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gif" Extension="gif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spreadsheetml.comments+xml" PartName="/xl/comments1.xml"/>
  <Override ContentType="application/vnd.openxmlformats-officedocument.spreadsheetml.comments+xml" PartName="/xl/comments10.xml"/>
  <Override ContentType="application/vnd.openxmlformats-officedocument.spreadsheetml.comments+xml" PartName="/xl/comments1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openxmlformats-officedocument.spreadsheetml.comments+xml" PartName="/xl/comments8.xml"/>
  <Override ContentType="application/vnd.openxmlformats-officedocument.spreadsheetml.comments+xml" PartName="/xl/comments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volatileDependencies+xml" PartName="/xl/volatileDependenci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yes"?>
<Relationships xmlns="http://schemas.openxmlformats.org/package/2006/relationships">
<Relationship Id="rId1" Target="xl/workbook.xml" Type="http://schemas.openxmlformats.org/officeDocument/2006/relationships/officeDocument"/>
<Relationship Id="rId2" Target="docProps/core.xml" Type="http://schemas.openxmlformats.org/package/2006/relationships/metadata/core-properties"/>
<Relationship Id="rId3" Target="docProps/app.xml" Type="http://schemas.openxmlformats.org/officeDocument/2006/relationships/extended-properties"/>
<Relationship Id="rId4" Target="docProps/custom.xml" Type="http://schemas.openxmlformats.org/officeDocument/2006/relationships/custom-properties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codeName="ThisWorkbook"/>
  <bookViews>
    <workbookView xWindow="975" yWindow="210" windowWidth="17055" windowHeight="7845" tabRatio="715"/>
  </bookViews>
  <sheets>
    <sheet name="ImportantDisclosures" sheetId="192" r:id="rId1"/>
    <sheet name="IS" sheetId="7" r:id="rId2"/>
    <sheet name="BS" sheetId="8" r:id="rId3"/>
    <sheet name="CF" sheetId="9" r:id="rId4"/>
    <sheet name="Rev Overview" sheetId="172" r:id="rId5"/>
    <sheet name="Rev Detail - NEW" sheetId="189" r:id="rId6"/>
    <sheet name="Rev Detail - OLD" sheetId="175" r:id="rId7"/>
    <sheet name="Client Unit Model" sheetId="171" r:id="rId8"/>
    <sheet name="Unearned Revenue Breakdown" sheetId="135" r:id="rId9"/>
    <sheet name="DEPR" sheetId="12" r:id="rId10"/>
    <sheet name="OPT" sheetId="123" r:id="rId11"/>
    <sheet name="Intrinsic Value" sheetId="141" r:id="rId12"/>
    <sheet name="IndexInformation" sheetId="193" r:id="rId13"/>
    <sheet name="ModPubIndex" sheetId="194" r:id="rId14"/>
    <sheet name="__FDSCACHE__" sheetId="157" state="veryHidden" r:id="rId15"/>
    <sheet name="MW-Cache" sheetId="138" state="veryHidden" r:id="rId16"/>
  </sheets>
  <externalReferences>
    <externalReference r:id="rId17"/>
  </externalReferences>
  <definedNames>
    <definedName name="__FDS_HYPERLINK_TOGGLE_STATE__" hidden="1">"ON"</definedName>
    <definedName name="_1c00">[1]Model!$AU$6:$AU$416</definedName>
    <definedName name="_1c01">[1]Model!$BA$6:$BA$416</definedName>
    <definedName name="_1c02">[1]Model!$BG$6:$BG$416</definedName>
    <definedName name="_1c03">[1]Model!$BM$6:$BM$416</definedName>
    <definedName name="_1c04">[1]Model!$BS$6:$BS$416</definedName>
    <definedName name="_1c05">[1]Model!$BY$6:$BY$416</definedName>
    <definedName name="_1c06">[1]Model!$CE$6:$CE$416</definedName>
    <definedName name="_1c07">[1]Model!$CK$5:$CK$50026</definedName>
    <definedName name="_1c08">[1]Model!$CQ$5:$CQ$50026</definedName>
    <definedName name="_1c09">[1]Model!$CW$5:$CW$50026</definedName>
    <definedName name="_1c10">[1]Model!$DC$5:$DC$50026</definedName>
    <definedName name="_1c11">[1]Model!$DI$5:$DI$50026</definedName>
    <definedName name="_1c12">[1]Model!$DO$5:$DO$50026</definedName>
    <definedName name="_1c13">[1]Model!$DU$5:$DU$50026</definedName>
    <definedName name="_1c14">[1]Model!$EA$6:$EA$416</definedName>
    <definedName name="_1c15">[1]Model!$EG$6:$EG$416</definedName>
    <definedName name="_1c16">[1]Model!$EM$6:$EM$416</definedName>
    <definedName name="_1c17">[1]Model!$ES$6:$ES$416</definedName>
    <definedName name="_1c18">[1]Model!$EY$6:$EY$416</definedName>
    <definedName name="_1c95">[1]Model!$Q$6:$Q$416</definedName>
    <definedName name="_1c96">[1]Model!$W$6:$W$416</definedName>
    <definedName name="_1c97">[1]Model!$AC$6:$AC$416</definedName>
    <definedName name="_1c98">[1]Model!$AI$6:$AI$416</definedName>
    <definedName name="_1c99">[1]Model!$AO$6:$AO$416</definedName>
    <definedName name="_2c00">[1]Model!$AV$6:$AV$416</definedName>
    <definedName name="_2c01">[1]Model!$BB$6:$BB$416</definedName>
    <definedName name="_2c02">[1]Model!$BH$6:$BH$416</definedName>
    <definedName name="_2c03">[1]Model!$BN$6:$BN$416</definedName>
    <definedName name="_2c04">[1]Model!$BT$6:$BT$416</definedName>
    <definedName name="_2c05">[1]Model!$BZ$6:$BZ$416</definedName>
    <definedName name="_2c06">[1]Model!$CF$5:$CF$50026</definedName>
    <definedName name="_2c07">[1]Model!$CL$5:$CL$50026</definedName>
    <definedName name="_2c08">[1]Model!$CR$5:$CR$50026</definedName>
    <definedName name="_2c09">[1]Model!$CX$5:$CX$50026</definedName>
    <definedName name="_2c10">[1]Model!$DD$5:$DD49973</definedName>
    <definedName name="_2c11">[1]Model!$DJ$5:$DJ$50026</definedName>
    <definedName name="_2c12">[1]Model!$DP$5:$DP$50026</definedName>
    <definedName name="_2c13">[1]Model!$DV$5:$DV$50026</definedName>
    <definedName name="_2c14">[1]Model!$EB$6:$EB$416</definedName>
    <definedName name="_2c15">[1]Model!$EH$6:$EH$416</definedName>
    <definedName name="_2c16">[1]Model!$EN$6:$EN$416</definedName>
    <definedName name="_2c17">[1]Model!$ET$6:$ET$416</definedName>
    <definedName name="_2c18">[1]Model!$EZ$6:$EZ$416</definedName>
    <definedName name="_2c95">[1]Model!$R$6:$R$416</definedName>
    <definedName name="_2c96">[1]Model!$X$6:$X$416</definedName>
    <definedName name="_2c97">[1]Model!$AD$6:$AD$416</definedName>
    <definedName name="_2c98">[1]Model!$AJ$6:$AJ$416</definedName>
    <definedName name="_2c99">[1]Model!$AP$6:$AP$416</definedName>
    <definedName name="_3c00">[1]Model!$AY$6:$AY$416</definedName>
    <definedName name="_3c01">[1]Model!$BE$6:$BE$416</definedName>
    <definedName name="_3c02">[1]Model!$BK$6:$BK$416</definedName>
    <definedName name="_3c03">[1]Model!$BQ$6:$BQ$416</definedName>
    <definedName name="_3c04">[1]Model!$BW$6:$BW$416</definedName>
    <definedName name="_3c05">[1]Model!$CC$6:$CC$416</definedName>
    <definedName name="_3c06">[1]Model!$CI$5:$CI$50026</definedName>
    <definedName name="_3c07">[1]Model!$CO$5:$CO$50026</definedName>
    <definedName name="_3c08">[1]Model!$CU$5:$CU$50026</definedName>
    <definedName name="_3c09">[1]Model!$DA$5:$DA$50026</definedName>
    <definedName name="_3c10">[1]Model!$DG$5:$DG$50026</definedName>
    <definedName name="_3c11">[1]Model!$DM$5:$DM$50026</definedName>
    <definedName name="_3c12">[1]Model!$DS$5:$DS$50026</definedName>
    <definedName name="_3c13">[1]Model!$DY$6:$DY$416</definedName>
    <definedName name="_3c14">[1]Model!$EE$6:$EE$416</definedName>
    <definedName name="_3c15">[1]Model!$EK$6:$EK$416</definedName>
    <definedName name="_3c16">[1]Model!$EQ$6:$EQ$416</definedName>
    <definedName name="_3C17">[1]Model!$EW$6:$EW$416</definedName>
    <definedName name="_3c94">[1]Model!$O$6:$O$416</definedName>
    <definedName name="_3c95">[1]Model!$U$6:$U$416</definedName>
    <definedName name="_3c96">[1]Model!$AA$6:$AA$416</definedName>
    <definedName name="_3c97">[1]Model!$AG$6:$AG$416</definedName>
    <definedName name="_3c98">[1]Model!$AM$6:$AM$416</definedName>
    <definedName name="_3c99">[1]Model!$AS$6:$AS$416</definedName>
    <definedName name="_4c00">[1]Model!$AZ$6:$AZ$416</definedName>
    <definedName name="_4c01">[1]Model!$BF$6:$BF$416</definedName>
    <definedName name="_4c02">[1]Model!$BL$6:$BL$416</definedName>
    <definedName name="_4c03">[1]Model!$BR$6:$BR$416</definedName>
    <definedName name="_4c04">[1]Model!$BX$6:$BX$416</definedName>
    <definedName name="_4c05">[1]Model!$CD$6:$CD$416</definedName>
    <definedName name="_4c06">[1]Model!$CJ$5:$CJ$50026</definedName>
    <definedName name="_4c07">[1]Model!$CP$5:$CP$50026</definedName>
    <definedName name="_4c08">[1]Model!$CV$5:$CV$50026</definedName>
    <definedName name="_4c09">[1]Model!$DB$5:$DB$50026</definedName>
    <definedName name="_4c10">[1]Model!$DH$5:$DH$50026</definedName>
    <definedName name="_4c11">[1]Model!$DN$5:$DN$50026</definedName>
    <definedName name="_4c12">[1]Model!$DT$5:$DT$50026</definedName>
    <definedName name="_4c13">[1]Model!$DZ$6:$DZ$416</definedName>
    <definedName name="_4c14">[1]Model!$EF$6:$EF$416</definedName>
    <definedName name="_4c15">[1]Model!$EL$6:$EL$416</definedName>
    <definedName name="_4c16">[1]Model!$ER$6:$ER$416</definedName>
    <definedName name="_4c17">[1]Model!$EX$6:$EX$416</definedName>
    <definedName name="_4c94">[1]Model!$P$6:$P$416</definedName>
    <definedName name="_4c95">[1]Model!$V$6:$V$416</definedName>
    <definedName name="_4c96">[1]Model!$AB$6:$AB$416</definedName>
    <definedName name="_4c97">[1]Model!$AH$6:$AH$416</definedName>
    <definedName name="_4c98">[1]Model!$AN$6:$AN$416</definedName>
    <definedName name="_4c99">[1]Model!$AT$6:$AT$416</definedName>
    <definedName name="_bdm.08B2747A98A94FB9A4E2050DE68CAA1D.edm" localSheetId="2" hidden="1">BS!$A$4:$DS$42</definedName>
    <definedName name="_bdm.09023A33F7EF41BAB50148267A25DD91.edm" localSheetId="3" hidden="1">CF!$A$4:$DX$43</definedName>
    <definedName name="_bdm.14FE54CA97AF446D83B76CDDD6555441.edm" localSheetId="11" hidden="1">'Intrinsic Value'!$A$1:$N$44</definedName>
    <definedName name="_bdm.1C3889A6B4E547F881A727BDC0FBFF1B.edm" localSheetId="1" hidden="1">IS!$A$4:$DN$90</definedName>
    <definedName name="_bdm.24CC8E032EB842D38F620B9ABEA247F9.edm" localSheetId="3" hidden="1">CF!$A$4:$GA$43</definedName>
    <definedName name="_bdm.2BF5E0BF31B44CF383B2DB0EAA23E045.edm" localSheetId="3" hidden="1">CF!$A$4:$DX$43</definedName>
    <definedName name="_bdm.2BF990C19401449CA4064A73C388DE2B.edm" localSheetId="1" hidden="1">IS!$A$4:$DI$90</definedName>
    <definedName name="_bdm.2E5715BF54E446D2BF46ABC639933A2B.edm" localSheetId="1" hidden="1">IS!$A$4:$FX$90</definedName>
    <definedName name="_bdm.3815ECBF501B4F33869C62C31ACD35F5.edm" localSheetId="2" hidden="1">BS!$A$4:$DX$42</definedName>
    <definedName name="_bdm.42A5320CD45B469CA73D0992F1BB68F9.edm" localSheetId="11" hidden="1">'Intrinsic Value'!$A$12:$H$27</definedName>
    <definedName name="_bdm.44B618241D194663BF15260467688814.edm" localSheetId="2" hidden="1">BS!$A$4:$EC$42</definedName>
    <definedName name="_bdm.454890256071482C86389010B041D3A7.edm" localSheetId="1" hidden="1">IS!$A$4:$EC$90</definedName>
    <definedName name="_bdm.56004D62E8644A31A419A2B2C7B4257E.edm" localSheetId="2" hidden="1">BS!$A$4:$DN$42</definedName>
    <definedName name="_bdm.60F998D8AA1943EB905D9B68017192E3.edm" localSheetId="11" hidden="1">'Intrinsic Value'!$A$4:$N$62</definedName>
    <definedName name="_bdm.6B4428AA960F45A794EE6B62E0FBD013.edm" hidden="1">CF!$1:$1048576</definedName>
    <definedName name="_bdm.6E78E59FF5A44CE0A8C7D01839B73EA7.edm" localSheetId="1" hidden="1">IS!$A$6:$FX$90</definedName>
    <definedName name="_bdm.7B123012AE17406BBE45056130C4AB84.edm" localSheetId="11" hidden="1">'Intrinsic Value'!$A$4:$N$44</definedName>
    <definedName name="_bdm.8A328493D3E8428F80BD9A3EA2F450FE.edm" hidden="1">BS!$1:$1048576</definedName>
    <definedName name="_bdm.9C321F93796A464F956099CA18D0E185.edm" localSheetId="11" hidden="1">'Intrinsic Value'!$X$13:$AB$19</definedName>
    <definedName name="_bdm.9D63BA8ED6DA4CD7AB36D2CFD6ED537F.edm" localSheetId="3" hidden="1">CF!$A$4:$DI$43</definedName>
    <definedName name="_bdm.A04FECA84FE640A08892DE79B830721D.edm" localSheetId="3" hidden="1">CF!$A$4:$EC$43</definedName>
    <definedName name="_bdm.A1E1409EC48040348E856835F32949EB.edm" localSheetId="3" hidden="1">CF!$A$4:$DS$43</definedName>
    <definedName name="_bdm.B3B74A1AF8034DD4B3A0C1193DA383FA.edm" localSheetId="11" hidden="1">'Intrinsic Value'!$A$4:$O$60</definedName>
    <definedName name="_bdm.B65F8E85BB77477D8C46B4096B7FE520.edm" localSheetId="2" hidden="1">BS!$A$4:$DI$42</definedName>
    <definedName name="_bdm.C0D1E9B43CDE4132AA3D8AA021104DC6.edm" hidden="1">'Intrinsic Value'!$1:$1048576</definedName>
    <definedName name="_bdm.C1877D74C9A24A7BB8E4596450F84F2B.edm" localSheetId="1" hidden="1">IS!$A$4:$DX$90</definedName>
    <definedName name="_bdm.CAF5E09986AD4016AC67E98CE0E1EAFE.edm" localSheetId="1" hidden="1">IS!$A$4:$DX$90</definedName>
    <definedName name="_bdm.CD56E10F6A4A46B4A3C1D993E2C2F620.edm" localSheetId="1" hidden="1">IS!$A$4:$DS$90</definedName>
    <definedName name="_bdm.D906D911021745E9B8051E7E503DC112.edm" localSheetId="3" hidden="1">CF!$A$4:$DN$43</definedName>
    <definedName name="_bdm.DA6C8875A1714A2A8BC3DFF8DAF52229.edm" hidden="1">IS!$1:$1048576</definedName>
    <definedName name="_bdm.DC7FA10D472F4B7A986C3A0529247E53.edm" localSheetId="1" hidden="1">IS!$A$4:$FY$90</definedName>
    <definedName name="_bdm.E61038AA1B3E4EE592CD2B358BE4A0B7.edm" localSheetId="1" hidden="1">IS!$A$4:$FZ$90</definedName>
    <definedName name="_bdm.F301732B53EB407F9CDA84F96676938F.edm" localSheetId="11" hidden="1">'Intrinsic Value'!$A$1:$N$62</definedName>
    <definedName name="_bdm.F5CE7543CCFA4C578DF4D832CDE0539A.edm" localSheetId="11" hidden="1">'Intrinsic Value'!$A$4:$U$62</definedName>
    <definedName name="_DCF" localSheetId="11">'Intrinsic Value'!$A$4:$O$61</definedName>
    <definedName name="_fy00">[1]Model!$AW$6:$AW$416</definedName>
    <definedName name="_fy01">[1]Model!$BC$6:$BC$416</definedName>
    <definedName name="_fy02">[1]Model!$BI$6:$BI$416</definedName>
    <definedName name="_fy03">[1]Model!$BO$6:$BO$416</definedName>
    <definedName name="_fy04">[1]Model!$BU$6:$BU$416</definedName>
    <definedName name="_fy05">[1]Model!$CA$6:$CA$416</definedName>
    <definedName name="_fy06">[1]Model!$CG$6:$CG$416</definedName>
    <definedName name="_fy07">[1]Model!$CM$5:$CM$50026</definedName>
    <definedName name="_fy08">[1]Model!$CS$5:$CS$50026</definedName>
    <definedName name="_fy09">[1]Model!$CY$5:$CY$50026</definedName>
    <definedName name="_fy10">[1]Model!$DE$5:$DE$50026</definedName>
    <definedName name="_fy11">[1]Model!$DK$5:$DK$50026</definedName>
    <definedName name="_fy12">[1]Model!$DQ$5:$DQ$50026</definedName>
    <definedName name="_fy13">[1]Model!$DW$5:$DW$50026</definedName>
    <definedName name="_fy14">[1]Model!$EC$5:$EC$50026</definedName>
    <definedName name="_fy15">[1]Model!$EI$5:$EI$50026</definedName>
    <definedName name="_fy16">[1]Model!$EO$5:$EO$50026</definedName>
    <definedName name="_fy17">[1]Model!$EU$5:$EU$50026</definedName>
    <definedName name="_fy18">[1]Model!$FA$5:$FA$50026</definedName>
    <definedName name="_fy84">[1]Model!$C$6:$C$416</definedName>
    <definedName name="_fy85">[1]Model!$D$6:$D$416</definedName>
    <definedName name="_fy86">[1]Model!$E$6:$E$416</definedName>
    <definedName name="_fy87">[1]Model!$F$6:$F$416</definedName>
    <definedName name="_fy88">[1]Model!$G$6:$G$416</definedName>
    <definedName name="_fy89">[1]Model!$H$6:$H$416</definedName>
    <definedName name="_fy90">[1]Model!$I$6:$I$416</definedName>
    <definedName name="_fy91">[1]Model!$J$6:$J$416</definedName>
    <definedName name="_fy92">[1]Model!$K$6:$K$416</definedName>
    <definedName name="_fy93">[1]Model!$L$6:$L$416</definedName>
    <definedName name="_fy94">[1]Model!$M$6:$M$416</definedName>
    <definedName name="_fy95">[1]Model!$S$6:$S$416</definedName>
    <definedName name="_fy96">[1]Model!$Y$6:$Y$416</definedName>
    <definedName name="_fy97">[1]Model!$AE$6:$AE$416</definedName>
    <definedName name="_fy98">[1]Model!$AK$6:$AK$416</definedName>
    <definedName name="_fy99">[1]Model!$AQ$6:$AQ$416</definedName>
    <definedName name="_Intrinsicvalue" localSheetId="11">'Intrinsic Value'!$A$4:$U$61</definedName>
    <definedName name="_Order1" hidden="1">0</definedName>
    <definedName name="abc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ActualRevenueUSDMTD">2</definedName>
    <definedName name="ActualRevenueUSDQTD">5</definedName>
    <definedName name="ActualRevenueUSDYTD">8</definedName>
    <definedName name="AdditionalInstructions">IndexInformation!$B$42</definedName>
    <definedName name="Address" localSheetId="0">ImportantDisclosures!$A$2:$A$2</definedName>
    <definedName name="alrev">[1]Model!$C$30:$HA$30</definedName>
    <definedName name="ANA" localSheetId="13">ModPubIndex!$A$7</definedName>
    <definedName name="AssetsCurrentAccountsReceivableAllowance" localSheetId="11">0</definedName>
    <definedName name="AssetsCurrentAccountsReceivableGross" localSheetId="11">0</definedName>
    <definedName name="AssetsCurrentDeferredIncomeTaxes">0</definedName>
    <definedName name="AssetsCurrentOther" localSheetId="11">0</definedName>
    <definedName name="AssetsCurrentPrepaidExpenses" localSheetId="11">0</definedName>
    <definedName name="AssetsCurrentShortTermInvestments">0</definedName>
    <definedName name="AssetsIntangiblesAccumulatedAmortization">0</definedName>
    <definedName name="AssetsIntangiblesGross">0</definedName>
    <definedName name="AssetsOtherAccumulatedAmortization">0</definedName>
    <definedName name="AssetsOtherGross">0</definedName>
    <definedName name="AssetsOtherNet">0</definedName>
    <definedName name="Authors" localSheetId="0">ImportantDisclosures!$A$7</definedName>
    <definedName name="Authors" localSheetId="12">IndexInformation!$B$18</definedName>
    <definedName name="BasicShares">IS!$88:$88</definedName>
    <definedName name="BRO" localSheetId="13">ModPubIndex!$A$1</definedName>
    <definedName name="BS_AccountsPayable">BS!$23:$23</definedName>
    <definedName name="BS_AccountsReceivable">BS!$10:$10</definedName>
    <definedName name="BS_AccruedCompensation">BS!$25:$25</definedName>
    <definedName name="BS_CashAndEquivalents">BS!$8:$8</definedName>
    <definedName name="BS_CurrentDeferredTaxes">BS!$12:$12</definedName>
    <definedName name="BS_DeferredRevenue">BS!$27:$27</definedName>
    <definedName name="BS_DeferredTaxesFromForecastedAcquisitions">BS!$28:$28</definedName>
    <definedName name="BS_EquityInUnconsolidatedAffiliates">BS!$16:$16</definedName>
    <definedName name="BS_FootnoteStart">BS!$A$58</definedName>
    <definedName name="BS_Goodwill">BS!$17:$17</definedName>
    <definedName name="BS_Inventory">BS!$11:$11</definedName>
    <definedName name="BS_LongTermDeferredTaxes">BS!$19:$19</definedName>
    <definedName name="BS_MinorityInterest">BS!$35:$35</definedName>
    <definedName name="BS_OtherAssets">BS!$13:$13</definedName>
    <definedName name="BS_OtherCurrentAssets">BS!$13:$13</definedName>
    <definedName name="BS_OtherIntangibles">BS!$18:$18</definedName>
    <definedName name="BS_OtherLongTermAssets">BS!$20:$20</definedName>
    <definedName name="BS_OtherLongTermLiabilities">BS!$33:$33</definedName>
    <definedName name="BS_PPE">BS!$15:$15</definedName>
    <definedName name="BS_PreferredStock">BS!$37:$37</definedName>
    <definedName name="BS_Q1_F2005">BS!$CF:$CF</definedName>
    <definedName name="BS_Q1_FY1989">BS!$D:$D</definedName>
    <definedName name="BS_Q1_FY1990">BS!$I:$I</definedName>
    <definedName name="BS_Q1_FY1991">BS!$N:$N</definedName>
    <definedName name="BS_Q1_FY1992">BS!$S:$S</definedName>
    <definedName name="BS_Q1_FY1993">BS!$X:$X</definedName>
    <definedName name="BS_Q1_FY1994">BS!$AC:$AC</definedName>
    <definedName name="BS_Q1_FY1995">BS!$AH:$AH</definedName>
    <definedName name="BS_Q1_FY1996">BS!$AM:$AM</definedName>
    <definedName name="BS_Q1_FY1997">BS!$AR:$AR</definedName>
    <definedName name="BS_Q1_FY1998">BS!$AW:$AW</definedName>
    <definedName name="BS_Q1_FY1999">BS!$BB:$BB</definedName>
    <definedName name="BS_Q1_FY2000">BS!$BG:$BG</definedName>
    <definedName name="BS_Q1_FY2001">BS!$BL:$BL</definedName>
    <definedName name="BS_Q1_FY2002">BS!$BQ:$BQ</definedName>
    <definedName name="BS_Q1_FY2003">BS!$BV:$BV</definedName>
    <definedName name="BS_Q1_FY2004">BS!$CA:$CA</definedName>
    <definedName name="BS_Q1_FY2005">BS!$CF:$CF</definedName>
    <definedName name="BS_Q1_FY2006">BS!$CK:$CK</definedName>
    <definedName name="BS_Q1_FY2007">BS!$CP:$CP</definedName>
    <definedName name="BS_Q1_FY2008">BS!$CU:$CU</definedName>
    <definedName name="BS_Q2_FY1989">BS!$E:$E</definedName>
    <definedName name="BS_Q2_FY1990">BS!$J:$J</definedName>
    <definedName name="BS_Q2_FY1991">BS!$O:$O</definedName>
    <definedName name="BS_Q2_FY1992">BS!$T:$T</definedName>
    <definedName name="BS_Q2_FY1993">BS!$Y:$Y</definedName>
    <definedName name="BS_Q2_FY1994">BS!$AD:$AD</definedName>
    <definedName name="BS_Q2_FY1995">BS!$AI:$AI</definedName>
    <definedName name="BS_Q2_FY1996">BS!$AN:$AN</definedName>
    <definedName name="BS_Q2_FY1997">BS!$AS:$AS</definedName>
    <definedName name="BS_Q2_FY1998">BS!$AX:$AX</definedName>
    <definedName name="BS_Q2_FY1999">BS!$BC:$BC</definedName>
    <definedName name="BS_Q2_FY2000">BS!$BH:$BH</definedName>
    <definedName name="BS_Q2_FY2001">BS!$BM:$BM</definedName>
    <definedName name="BS_Q2_FY2002">BS!$BR:$BR</definedName>
    <definedName name="BS_Q2_FY2003">BS!$BW:$BW</definedName>
    <definedName name="BS_Q2_FY2004">BS!$CB:$CB</definedName>
    <definedName name="BS_Q2_FY2005">BS!$CG:$CG</definedName>
    <definedName name="BS_Q2_FY2006">BS!$CL:$CL</definedName>
    <definedName name="BS_Q2_FY2007">BS!$CQ:$CQ</definedName>
    <definedName name="BS_Q2_FY2008">BS!$CV:$CV</definedName>
    <definedName name="BS_Q3_FY1989">BS!$F:$F</definedName>
    <definedName name="BS_Q3_FY1990">BS!$K:$K</definedName>
    <definedName name="BS_Q3_FY1991">BS!$P:$P</definedName>
    <definedName name="BS_Q3_FY1992">BS!$U:$U</definedName>
    <definedName name="BS_Q3_FY1993">BS!$Z:$Z</definedName>
    <definedName name="BS_Q3_FY1994">BS!$AE:$AE</definedName>
    <definedName name="BS_Q3_FY1995">BS!$AJ:$AJ</definedName>
    <definedName name="BS_Q3_FY1996">BS!$AO:$AO</definedName>
    <definedName name="BS_Q3_FY1997">BS!$AT:$AT</definedName>
    <definedName name="BS_Q3_FY1998">BS!$AY:$AY</definedName>
    <definedName name="BS_Q3_FY1999">BS!$BD:$BD</definedName>
    <definedName name="BS_Q3_FY2000">BS!$BI:$BI</definedName>
    <definedName name="BS_Q3_FY2001">BS!$BN:$BN</definedName>
    <definedName name="BS_Q3_FY2002">BS!$BS:$BS</definedName>
    <definedName name="BS_Q3_FY2003">BS!$BX:$BX</definedName>
    <definedName name="BS_Q3_FY2004">BS!$CC:$CC</definedName>
    <definedName name="BS_Q3_FY2005">BS!$CH:$CH</definedName>
    <definedName name="BS_Q3_FY2006">BS!$CM:$CM</definedName>
    <definedName name="BS_Q3_FY2007">BS!$CR:$CR</definedName>
    <definedName name="BS_Q3_FY2008">BS!$CW:$CW</definedName>
    <definedName name="BS_Q4_FY1989">BS!$G:$G</definedName>
    <definedName name="BS_Q4_FY1990">BS!$L:$L</definedName>
    <definedName name="BS_Q4_FY1991">BS!$Q:$Q</definedName>
    <definedName name="BS_Q4_FY1992">BS!$V:$V</definedName>
    <definedName name="BS_Q4_FY1993">BS!$AA:$AA</definedName>
    <definedName name="BS_Q4_FY1994">BS!$AF:$AF</definedName>
    <definedName name="BS_Q4_FY1995">BS!$AK:$AK</definedName>
    <definedName name="BS_Q4_FY1996">BS!$AP:$AP</definedName>
    <definedName name="BS_Q4_FY1997">BS!$AU:$AU</definedName>
    <definedName name="BS_Q4_FY1998">BS!$AZ:$AZ</definedName>
    <definedName name="BS_Q4_FY1999">BS!$BE:$BE</definedName>
    <definedName name="BS_Q4_FY2000">BS!$BJ:$BJ</definedName>
    <definedName name="BS_Q4_FY2001">BS!$BO:$BO</definedName>
    <definedName name="BS_Q4_FY2002">BS!$BT:$BT</definedName>
    <definedName name="BS_Q4_FY2003">BS!$BY:$BY</definedName>
    <definedName name="BS_Q4_FY2004">BS!$CD:$CD</definedName>
    <definedName name="BS_Q4_FY2005">BS!$CI:$CI</definedName>
    <definedName name="BS_Q4_FY2006">BS!$CN:$CN</definedName>
    <definedName name="BS_Q4_FY2007">BS!$CS:$CS</definedName>
    <definedName name="BS_Q4_FY2008">BS!$CX:$CX</definedName>
    <definedName name="BS_ShareholdersEquity">BS!$41:$41</definedName>
    <definedName name="BS_ShortTermInvestments">BS!$9:$9</definedName>
    <definedName name="BudgetLicenses">10</definedName>
    <definedName name="BudgetRevenue">5</definedName>
    <definedName name="BudgetRevenueUSDMTD">3</definedName>
    <definedName name="BudgetRevenueUSDQTD">6</definedName>
    <definedName name="BudgetRevenueUSDYTD">9</definedName>
    <definedName name="CashFlowCapitalExpenditureCellular">0</definedName>
    <definedName name="CashFlowCapitalExpenditureOther">0</definedName>
    <definedName name="CashFlowCapitalExpenditurePaging">0</definedName>
    <definedName name="CashFlowCapitalExpenditureTelephone">0</definedName>
    <definedName name="CashFlowCapitalExpenditureWireless">0</definedName>
    <definedName name="CashFlowDividendPaidPreferredStock">0</definedName>
    <definedName name="CF_Acquisitions">CF!$28:$28</definedName>
    <definedName name="CF_CapitalExpenditures">CF!$26:$26</definedName>
    <definedName name="CF_CashFlowFromOperations">CF!$25:$25</definedName>
    <definedName name="CF_ChangeInNWC">CF!$24:$24</definedName>
    <definedName name="CF_CY1999">CF!$FO:$FO</definedName>
    <definedName name="CF_CY2000">CF!$FP:$FP</definedName>
    <definedName name="CF_CY2001">CF!$FQ:$FQ</definedName>
    <definedName name="CF_CY2002">CF!$FR:$FR</definedName>
    <definedName name="CF_CY2003">CF!$FS:$FS</definedName>
    <definedName name="CF_CY2004">CF!$FT:$FT</definedName>
    <definedName name="CF_CY2005">CF!$FU:$FU</definedName>
    <definedName name="CF_CY2006">CF!$FV:$FV</definedName>
    <definedName name="CF_CY2007">CF!$FW:$FW</definedName>
    <definedName name="CF_CY2008">CF!$FX:$FX</definedName>
    <definedName name="CF_CY2009">CF!$FY:$FY</definedName>
    <definedName name="CF_DeferredTaxes">CF!$11:$11</definedName>
    <definedName name="CF_DepreciationAndAmortization">CF!$8:$8</definedName>
    <definedName name="CF_FootnoteStart">CF!$A$46</definedName>
    <definedName name="CF_Q1_CY2005">CF!$CF:$CF</definedName>
    <definedName name="CF_Q1_CY2006">CF!$CK:$CK</definedName>
    <definedName name="CF_Q1_FY1989">CF!$D:$D</definedName>
    <definedName name="CF_Q1_FY1990">CF!$I:$I</definedName>
    <definedName name="CF_Q1_FY1991">CF!$N:$N</definedName>
    <definedName name="CF_Q1_FY1992">CF!$S:$S</definedName>
    <definedName name="CF_Q1_FY1993">CF!$X:$X</definedName>
    <definedName name="CF_Q1_FY1994">CF!$AC:$AC</definedName>
    <definedName name="CF_Q1_FY1995">CF!$AH:$AH</definedName>
    <definedName name="CF_Q1_FY1996">CF!$AM:$AM</definedName>
    <definedName name="CF_Q1_FY1997">CF!$AR:$AR</definedName>
    <definedName name="CF_Q1_FY1998">CF!$AW:$AW</definedName>
    <definedName name="CF_Q1_FY1999">CF!$BB:$BB</definedName>
    <definedName name="CF_Q1_FY2000">CF!$BG:$BG</definedName>
    <definedName name="CF_Q1_FY2001">CF!$BL:$BL</definedName>
    <definedName name="CF_Q1_FY2002">CF!$BQ:$BQ</definedName>
    <definedName name="CF_Q1_FY2003">CF!$BV:$BV</definedName>
    <definedName name="CF_Q1_FY2004">CF!$CA:$CA</definedName>
    <definedName name="CF_Q1_FY2005">CF!$CF:$CF</definedName>
    <definedName name="CF_Q1_FY2006">CF!$CK:$CK</definedName>
    <definedName name="CF_Q1_FY2007">CF!$CP:$CP</definedName>
    <definedName name="CF_Q1_FY2008">CF!$CU:$CU</definedName>
    <definedName name="CF_Q2_CY2006">CF!$CL:$CL</definedName>
    <definedName name="CF_Q2_FY1989">CF!$E:$E</definedName>
    <definedName name="CF_Q2_FY1990">CF!$J:$J</definedName>
    <definedName name="CF_Q2_FY1991">CF!$O:$O</definedName>
    <definedName name="CF_Q2_FY1992">CF!$T:$T</definedName>
    <definedName name="CF_Q2_FY1993">CF!$Y:$Y</definedName>
    <definedName name="CF_Q2_FY1994">CF!$AD:$AD</definedName>
    <definedName name="CF_Q2_FY1995">CF!$AI:$AI</definedName>
    <definedName name="CF_Q2_FY1996">CF!$AN:$AN</definedName>
    <definedName name="CF_Q2_FY1997">CF!$AS:$AS</definedName>
    <definedName name="CF_Q2_FY1998">CF!$AX:$AX</definedName>
    <definedName name="CF_Q2_FY1999">CF!$BC:$BC</definedName>
    <definedName name="CF_Q2_FY2000">CF!$BH:$BH</definedName>
    <definedName name="CF_Q2_FY2001">CF!$BM:$BM</definedName>
    <definedName name="CF_Q2_FY2002">CF!$BR:$BR</definedName>
    <definedName name="CF_Q2_FY2003">CF!$BW:$BW</definedName>
    <definedName name="CF_Q2_FY2004">CF!$CB:$CB</definedName>
    <definedName name="CF_Q2_FY2005">CF!$CG:$CG</definedName>
    <definedName name="CF_Q2_FY2006">CF!$CL:$CL</definedName>
    <definedName name="CF_Q2_FY2007">CF!$CQ:$CQ</definedName>
    <definedName name="CF_Q2_FY2008">CF!$CV:$CV</definedName>
    <definedName name="CF_Q3_CY2006">CF!$CM:$CM</definedName>
    <definedName name="CF_Q3_FY1989">CF!$F:$F</definedName>
    <definedName name="CF_Q3_FY1990">CF!$K:$K</definedName>
    <definedName name="CF_Q3_FY1991">CF!$P:$P</definedName>
    <definedName name="CF_Q3_FY1992">CF!$U:$U</definedName>
    <definedName name="CF_Q3_FY1993">CF!$Z:$Z</definedName>
    <definedName name="CF_Q3_FY1994">CF!$AE:$AE</definedName>
    <definedName name="CF_Q3_FY1995">CF!$AJ:$AJ</definedName>
    <definedName name="CF_Q3_FY1996">CF!$AO:$AO</definedName>
    <definedName name="CF_Q3_FY1997">CF!$AT:$AT</definedName>
    <definedName name="CF_Q3_FY1998">CF!$AY:$AY</definedName>
    <definedName name="CF_Q3_FY1999">CF!$BD:$BD</definedName>
    <definedName name="CF_Q3_FY2000">CF!$BI:$BI</definedName>
    <definedName name="CF_Q3_FY2001">CF!$BN:$BN</definedName>
    <definedName name="CF_Q3_FY2002">CF!$BS:$BS</definedName>
    <definedName name="CF_Q3_FY2003">CF!$BX:$BX</definedName>
    <definedName name="CF_Q3_FY2004">CF!$CC:$CC</definedName>
    <definedName name="CF_Q3_FY2005">CF!$CH:$CH</definedName>
    <definedName name="CF_Q3_FY2006">CF!$CM:$CM</definedName>
    <definedName name="CF_Q3_FY2007">CF!$CR:$CR</definedName>
    <definedName name="CF_Q3_FY2008">CF!$CW:$CW</definedName>
    <definedName name="CF_Q4_CY2006">CF!$CN:$CN</definedName>
    <definedName name="CF_Q4_FY1989">CF!$G:$G</definedName>
    <definedName name="CF_Q4_FY1990">CF!$L:$L</definedName>
    <definedName name="CF_Q4_FY1991">CF!$Q:$Q</definedName>
    <definedName name="CF_Q4_FY1992">CF!$V:$V</definedName>
    <definedName name="CF_Q4_FY1993">CF!$AA:$AA</definedName>
    <definedName name="CF_Q4_FY1994">CF!$AF:$AF</definedName>
    <definedName name="CF_Q4_FY1995">CF!$AK:$AK</definedName>
    <definedName name="CF_Q4_FY1996">CF!$AP:$AP</definedName>
    <definedName name="CF_Q4_FY1997">CF!$AU:$AU</definedName>
    <definedName name="CF_Q4_FY1998">CF!$AZ:$AZ</definedName>
    <definedName name="CF_Q4_FY1999">CF!$BE:$BE</definedName>
    <definedName name="CF_Q4_FY2000">CF!$BJ:$BJ</definedName>
    <definedName name="CF_Q4_FY2001">CF!$BO:$BO</definedName>
    <definedName name="CF_Q4_FY2002">CF!$BT:$BT</definedName>
    <definedName name="CF_Q4_FY2003">CF!$BY:$BY</definedName>
    <definedName name="CF_Q4_FY2004">CF!$CD:$CD</definedName>
    <definedName name="CF_Q4_FY2005">CF!$CI:$CI</definedName>
    <definedName name="CF_Q4_FY2006">CF!$CN:$CN</definedName>
    <definedName name="CF_Q4_FY2007">CF!$CS:$CS</definedName>
    <definedName name="CF_Q4_FY2008">CF!$CX:$CX</definedName>
    <definedName name="CF_StockBasedCompensation">CF!$9:$9</definedName>
    <definedName name="CF_TaxBenefitFromStockOptions">CF!$10:$10</definedName>
    <definedName name="CopyrightStamp">ImportantDisclosures!$A$27</definedName>
    <definedName name="COU" localSheetId="13">ModPubIndex!$A$5</definedName>
    <definedName name="CQEnd" localSheetId="12">IndexInformation!$B$31</definedName>
    <definedName name="Currency" localSheetId="12">IndexInformation!$B$24</definedName>
    <definedName name="CurrentStockPrice" localSheetId="12">IndexInformation!$B$23</definedName>
    <definedName name="CurrQtrEPS" localSheetId="12">IndexInformation!$B$29</definedName>
    <definedName name="CurrYearEPS" localSheetId="12">IndexInformation!$B$11</definedName>
    <definedName name="CurrYearTotalRevenue" localSheetId="12">IndexInformation!$B$10</definedName>
    <definedName name="CurrYearTotalRevenueActual" localSheetId="12">IndexInformation!$B$32</definedName>
    <definedName name="CUSIP" localSheetId="12">IndexInformation!$B$20</definedName>
    <definedName name="CYEnd" localSheetId="12">IndexInformation!$B$30</definedName>
    <definedName name="Date" localSheetId="0">ImportantDisclosures!$A$8</definedName>
    <definedName name="Deleted" localSheetId="12">IndexInformation!$B$27</definedName>
    <definedName name="Description" localSheetId="12">IndexInformation!$B$7</definedName>
    <definedName name="DetailSheetNum">1</definedName>
    <definedName name="Discipline" localSheetId="12">IndexInformation!$B$3</definedName>
    <definedName name="DISCIPLINE" localSheetId="13">ModPubIndex!$A$12</definedName>
    <definedName name="DisclosuresText">ImportantDisclosures!$A$22</definedName>
    <definedName name="Distribution" localSheetId="12">IndexInformation!$B$26</definedName>
    <definedName name="DistTable" localSheetId="0">ImportantDisclosures!#REF!</definedName>
    <definedName name="DistTablePreamble" localSheetId="0">ImportantDisclosures!#REF!</definedName>
    <definedName name="dlrev">[1]Model!$C$27:$HA$27</definedName>
    <definedName name="DOCDAT" localSheetId="13">ModPubIndex!$A$2</definedName>
    <definedName name="DOCTIME" localSheetId="13">ModPubIndex!$A$3</definedName>
    <definedName name="DocType" localSheetId="12">IndexInformation!$B$5</definedName>
    <definedName name="dom">[1]Model!$C$323:$HA$323</definedName>
    <definedName name="dso">[1]Model!$C$353:$HA$353</definedName>
    <definedName name="EMAIL_ALERT" localSheetId="13">ModPubIndex!$A$10</definedName>
    <definedName name="EmailAlert" localSheetId="12">IndexInformation!$B$28</definedName>
    <definedName name="EquityAdjustments">0</definedName>
    <definedName name="EquityCost" localSheetId="11">'Intrinsic Value'!$B$20</definedName>
    <definedName name="EquityEmployeeStockOwnershipPlan">0</definedName>
    <definedName name="EquityPaidInCapital" localSheetId="11">0</definedName>
    <definedName name="EquityTreasuryStock" localSheetId="11">0</definedName>
    <definedName name="ｆ" hidden="1">"iQShowAnnual"</definedName>
    <definedName name="fcf">[1]Model!$C$365:$HA$365</definedName>
    <definedName name="FiveYearGrowthRate" localSheetId="12">IndexInformation!$B$16</definedName>
    <definedName name="FollowingYearEPS" localSheetId="12">IndexInformation!$B$15</definedName>
    <definedName name="FollowingYearTotalRevenue" localSheetId="12">IndexInformation!$B$14</definedName>
    <definedName name="FollowingYearTotalRevenueActual" localSheetId="12">IndexInformation!$B$34</definedName>
    <definedName name="FootnoteStart">IS!$A$126</definedName>
    <definedName name="FXVarianceQTD">7</definedName>
    <definedName name="FXVarianceYTD">10</definedName>
    <definedName name="FXVarQTD">10</definedName>
    <definedName name="FXVarYTD">18</definedName>
    <definedName name="grmgn">[1]Model!$C$113:$HA$113</definedName>
    <definedName name="HL" localSheetId="13">ModPubIndex!$A$8</definedName>
    <definedName name="IncomeEPSFullyDiluted">0</definedName>
    <definedName name="IncomeEPSPrimary">0</definedName>
    <definedName name="IncomeEPSRegular">0</definedName>
    <definedName name="IND" localSheetId="13">ModPubIndex!$A$9</definedName>
    <definedName name="Industry" localSheetId="0">ImportantDisclosures!$A$12</definedName>
    <definedName name="IndustryId">IndexInformation!$B$40</definedName>
    <definedName name="IndustryRating" localSheetId="0">ImportantDisclosures!$A$13</definedName>
    <definedName name="intl">[1]Model!$C$324:$HA$324</definedName>
    <definedName name="IS_BasicShares">IS!$88:$88</definedName>
    <definedName name="IS_CY1999">IS!$FN:$FN</definedName>
    <definedName name="IS_CY2000">IS!$FO:$FO</definedName>
    <definedName name="IS_CY2001">IS!$FP:$FP</definedName>
    <definedName name="IS_CY2002">IS!$FQ:$FQ</definedName>
    <definedName name="IS_CY2003">IS!$FR:$FR</definedName>
    <definedName name="IS_CY2004">IS!$FS:$FS</definedName>
    <definedName name="IS_CY2005">IS!$FT:$FT</definedName>
    <definedName name="IS_CY2006">IS!$FU:$FU</definedName>
    <definedName name="IS_CY2007">IS!$FV:$FV</definedName>
    <definedName name="IS_CY2008">IS!$FW:$FW</definedName>
    <definedName name="IS_CY2009">IS!$FX:$FX</definedName>
    <definedName name="IS_EBITDA">IS!$44:$44</definedName>
    <definedName name="IS_Extra1">IS!$72:$72</definedName>
    <definedName name="IS_Extra2">IS!$73:$73</definedName>
    <definedName name="IS_Extra4">IS!$75:$75</definedName>
    <definedName name="IS_FY1989">IS!$H:$H</definedName>
    <definedName name="IS_FY1990">IS!$M:$M</definedName>
    <definedName name="IS_FY1991">IS!$R:$R</definedName>
    <definedName name="IS_FY1992">IS!$W:$W</definedName>
    <definedName name="IS_FY1993">IS!$AB:$AB</definedName>
    <definedName name="IS_FY1994">IS!$AG:$AG</definedName>
    <definedName name="IS_FY1995">IS!$AL:$AL</definedName>
    <definedName name="IS_FY1996">IS!$AQ:$AQ</definedName>
    <definedName name="IS_FY1997">IS!$AV:$AV</definedName>
    <definedName name="IS_FY1998">IS!$BA:$BA</definedName>
    <definedName name="IS_FY1999">IS!$BF:$BF</definedName>
    <definedName name="IS_FY2000">IS!$BK:$BK</definedName>
    <definedName name="IS_FY2001">IS!$BP:$BP</definedName>
    <definedName name="IS_FY2002">IS!$BU:$BU</definedName>
    <definedName name="IS_FY2003">IS!$BZ:$BZ</definedName>
    <definedName name="IS_FY2004">IS!$CE:$CE</definedName>
    <definedName name="IS_FY2005">IS!$CJ:$CJ</definedName>
    <definedName name="IS_FY2006">IS!$CO:$CO</definedName>
    <definedName name="IS_FY2007">IS!$CT:$CT</definedName>
    <definedName name="IS_FY2008">IS!$CY:$CY</definedName>
    <definedName name="IS_FY2009">IS!$DD:$DD</definedName>
    <definedName name="IS_FY2010">IS!$DI:$DI</definedName>
    <definedName name="IS_FY2011">IS!$DN:$DN</definedName>
    <definedName name="IS_GrossProfit">IS!$18:$18</definedName>
    <definedName name="IS_NetInterest">IS!$51:$51</definedName>
    <definedName name="IS_OperatingExpensesExclAmort">IS!$34:$34</definedName>
    <definedName name="IS_OperatingIncomeExclAmort">IS!$37:$37</definedName>
    <definedName name="IS_OperatingNetIncome">IS!$56:$56</definedName>
    <definedName name="IS_PreTaxProfitInclAmort">IS!$53:$53</definedName>
    <definedName name="IS_ProvisionForTaxes">IS!$54:$54</definedName>
    <definedName name="IS_Q1_FY1989">IS!$D:$D</definedName>
    <definedName name="IS_Q1_FY1990">IS!$I:$I</definedName>
    <definedName name="IS_Q1_FY1991">IS!$N:$N</definedName>
    <definedName name="IS_Q1_FY1992">IS!$S:$S</definedName>
    <definedName name="IS_Q1_FY1993">IS!$X:$X</definedName>
    <definedName name="IS_Q1_FY1994">IS!$AC:$AC</definedName>
    <definedName name="IS_Q1_FY1995">IS!$AH:$AH</definedName>
    <definedName name="IS_Q1_FY1996">IS!$AM:$AM</definedName>
    <definedName name="IS_Q1_FY1997">IS!$AR:$AR</definedName>
    <definedName name="IS_Q1_FY1998">IS!$AW:$AW</definedName>
    <definedName name="IS_Q1_FY1999">IS!$BB:$BB</definedName>
    <definedName name="IS_Q1_FY2000">IS!$BG:$BG</definedName>
    <definedName name="IS_Q1_FY2001">IS!$BL:$BL</definedName>
    <definedName name="IS_Q1_FY2002">IS!$BQ:$BQ</definedName>
    <definedName name="IS_Q1_FY2003">IS!$BV:$BV</definedName>
    <definedName name="IS_Q1_FY2004">IS!$CA:$CA</definedName>
    <definedName name="IS_Q1_FY2005">IS!$CF:$CF</definedName>
    <definedName name="IS_Q1_FY2006">IS!$CK:$CK</definedName>
    <definedName name="IS_Q1_FY2007">IS!$CP:$CP</definedName>
    <definedName name="IS_Q1_FY2008">IS!$CU:$CU</definedName>
    <definedName name="IS_Q1_FY2009">IS!$CZ:$CZ</definedName>
    <definedName name="IS_Q1_FY2010">IS!$DE:$DE</definedName>
    <definedName name="IS_Q1_FY2011">IS!$DJ:$DJ</definedName>
    <definedName name="IS_Q2_FY1989">IS!$E:$E</definedName>
    <definedName name="IS_Q2_FY1990">IS!$J:$J</definedName>
    <definedName name="IS_Q2_FY1991">IS!$O:$O</definedName>
    <definedName name="IS_Q2_FY1992">IS!$T:$T</definedName>
    <definedName name="IS_Q2_FY1993">IS!$Y:$Y</definedName>
    <definedName name="IS_Q2_FY1994">IS!$AD:$AD</definedName>
    <definedName name="IS_Q2_FY1995">IS!$AI:$AI</definedName>
    <definedName name="IS_Q2_FY1996">IS!$AN:$AN</definedName>
    <definedName name="IS_Q2_FY1997">IS!$AS:$AS</definedName>
    <definedName name="IS_Q2_FY1998">IS!$AX:$AX</definedName>
    <definedName name="IS_Q2_FY1999">IS!$BC:$BC</definedName>
    <definedName name="IS_Q2_FY2000">IS!$BH:$BH</definedName>
    <definedName name="IS_Q2_FY2001">IS!$BM:$BM</definedName>
    <definedName name="IS_Q2_FY2002">IS!$BR:$BR</definedName>
    <definedName name="IS_Q2_FY2003">IS!$BW:$BW</definedName>
    <definedName name="IS_Q2_FY2004">IS!$CB:$CB</definedName>
    <definedName name="IS_Q2_FY2005">IS!$CG:$CG</definedName>
    <definedName name="IS_Q2_FY2006">IS!$CL:$CL</definedName>
    <definedName name="IS_Q2_FY2007">IS!$CQ:$CQ</definedName>
    <definedName name="IS_Q2_FY2008">IS!$CV:$CV</definedName>
    <definedName name="IS_Q2_FY2009">IS!$DA:$DA</definedName>
    <definedName name="IS_Q2_FY2010">IS!$DF:$DF</definedName>
    <definedName name="IS_Q2_FY2011">IS!$DK:$DK</definedName>
    <definedName name="IS_Q3_FY1989">IS!$F:$F</definedName>
    <definedName name="IS_Q3_FY1990">IS!$K:$K</definedName>
    <definedName name="IS_Q3_FY1991">IS!$P:$P</definedName>
    <definedName name="IS_Q3_FY1992">IS!$U:$U</definedName>
    <definedName name="IS_Q3_FY1993">IS!$Z:$Z</definedName>
    <definedName name="IS_Q3_FY1994">IS!$AE:$AE</definedName>
    <definedName name="IS_Q3_FY1995">IS!$AJ:$AJ</definedName>
    <definedName name="IS_Q3_FY1996">IS!$AO:$AO</definedName>
    <definedName name="IS_Q3_FY1997">IS!$AT:$AT</definedName>
    <definedName name="IS_Q3_FY1998">IS!$AY:$AY</definedName>
    <definedName name="IS_Q3_FY1999">IS!$BD:$BD</definedName>
    <definedName name="IS_Q3_FY2000">IS!$BI:$BI</definedName>
    <definedName name="IS_Q3_FY2001">IS!$BN:$BN</definedName>
    <definedName name="IS_Q3_FY2002">IS!$BS:$BS</definedName>
    <definedName name="IS_Q3_FY2003">IS!$BX:$BX</definedName>
    <definedName name="IS_Q3_FY2004">IS!$CC:$CC</definedName>
    <definedName name="IS_Q3_FY2005">IS!$CH:$CH</definedName>
    <definedName name="IS_Q3_FY2006">IS!$CM:$CM</definedName>
    <definedName name="IS_Q3_FY2007">IS!$CR:$CR</definedName>
    <definedName name="IS_Q3_FY2008">IS!$CW:$CW</definedName>
    <definedName name="IS_Q3_FY2009">IS!$DB:$DB</definedName>
    <definedName name="IS_Q3_FY2010">IS!$DG:$DG</definedName>
    <definedName name="IS_Q3_FY2011">IS!$DL:$DL</definedName>
    <definedName name="IS_Q4_FY1989">IS!$G:$G</definedName>
    <definedName name="IS_Q4_FY1990">IS!$L:$L</definedName>
    <definedName name="IS_Q4_FY1991">IS!$Q:$Q</definedName>
    <definedName name="IS_Q4_FY1992">IS!$V:$V</definedName>
    <definedName name="IS_Q4_FY1993">IS!$AA:$AA</definedName>
    <definedName name="IS_Q4_FY1994">IS!$AF:$AF</definedName>
    <definedName name="IS_Q4_FY1995">IS!$AK:$AK</definedName>
    <definedName name="IS_Q4_FY1996">IS!$AP:$AP</definedName>
    <definedName name="IS_Q4_FY1997">IS!$AU:$AU</definedName>
    <definedName name="IS_Q4_FY1998">IS!$AZ:$AZ</definedName>
    <definedName name="IS_Q4_FY1999">IS!$BE:$BE</definedName>
    <definedName name="IS_Q4_FY2000">IS!$BJ:$BJ</definedName>
    <definedName name="IS_Q4_FY2001">IS!$BO:$BO</definedName>
    <definedName name="IS_Q4_FY2002">IS!$BT:$BT</definedName>
    <definedName name="IS_Q4_FY2003">IS!$BY:$BY</definedName>
    <definedName name="IS_Q4_FY2004">IS!$CD:$CD</definedName>
    <definedName name="IS_Q4_FY2005">IS!$CI:$CI</definedName>
    <definedName name="IS_Q4_FY2006">IS!$CN:$CN</definedName>
    <definedName name="IS_Q4_FY2007">IS!$CS:$CS</definedName>
    <definedName name="IS_Q4_FY2008">IS!$CX:$CX</definedName>
    <definedName name="IS_Q4_FY2009">IS!$DC:$DC</definedName>
    <definedName name="IS_Q4_FY2010">IS!$DH:$DH</definedName>
    <definedName name="IS_Q4_FY2011">IS!$DM:$DM</definedName>
    <definedName name="IS_ReportedNetIncome">IS!$79:$79</definedName>
    <definedName name="IS_Revenue">IS!$8:$8</definedName>
    <definedName name="IS_WeightedAverageBasicShares">IS!$89:$89</definedName>
    <definedName name="IS_WeightedAverageDilutedShares">IS!$90:$90</definedName>
    <definedName name="KeepVersions" localSheetId="12">IndexInformation!$B$8</definedName>
    <definedName name="LanguageCode">IndexInformation!$B$38</definedName>
    <definedName name="LastCell" localSheetId="0">ImportantDisclosures!$A$22</definedName>
    <definedName name="LiabilitiesCurrentAccruedLiabilities">0</definedName>
    <definedName name="LiabilitiesCurrentNotesPayable">0</definedName>
    <definedName name="LiabilitiesDeferredIncomeTaxes" localSheetId="11">0</definedName>
    <definedName name="LiabilitiesOther" localSheetId="11">0</definedName>
    <definedName name="LiabilitiesUnamortizedInvestmentTaxCredits" localSheetId="11">0</definedName>
    <definedName name="Linking_1" localSheetId="5">'Rev Detail - NEW'!$A$389:$BI$427</definedName>
    <definedName name="Linking_1">'Rev Detail - OLD'!$A$389:$BI$427</definedName>
    <definedName name="Linking_12">'Rev Overview'!$A$450:$BY$507</definedName>
    <definedName name="Linking_20">IS!$A$4:$EW$59</definedName>
    <definedName name="Linking_21" localSheetId="5">'Rev Detail - NEW'!$A$2:$BI$85</definedName>
    <definedName name="Linking_21">'Rev Detail - OLD'!$A$2:$BI$85</definedName>
    <definedName name="Linking_22" localSheetId="5">'Rev Detail - NEW'!$A$2:$BI$104</definedName>
    <definedName name="Linking_22">'Rev Detail - OLD'!$A$2:$BI$104</definedName>
    <definedName name="Linking_23" localSheetId="5">'Rev Detail - NEW'!$A$2:$BI$132</definedName>
    <definedName name="Linking_23">'Rev Detail - OLD'!$A$2:$BI$132</definedName>
    <definedName name="Linking_24" localSheetId="5">'Rev Detail - NEW'!$A$50:$BI$85</definedName>
    <definedName name="Linking_24">'Rev Detail - OLD'!$A$50:$BI$85</definedName>
    <definedName name="Linking_25" localSheetId="5">'Rev Detail - NEW'!$A$87:$BI$104</definedName>
    <definedName name="Linking_25">'Rev Detail - OLD'!$A$87:$BI$104</definedName>
    <definedName name="Linking_26" localSheetId="5">'Rev Detail - NEW'!$A$106:$BI$132</definedName>
    <definedName name="Linking_26">'Rev Detail - OLD'!$A$106:$BI$132</definedName>
    <definedName name="Linking_28">IS!$A$4:$FB$90</definedName>
    <definedName name="Linking_29">IS!$A$4:$FB$59</definedName>
    <definedName name="Linking_30">BS!$A$4:$FB$42</definedName>
    <definedName name="Linking_31">CF!$A$4:$FB$43</definedName>
    <definedName name="Linking_32" localSheetId="5">'Rev Detail - NEW'!$A$2:$BN$85</definedName>
    <definedName name="Linking_32">'Rev Detail - OLD'!$A$2:$BN$85</definedName>
    <definedName name="Linking_33" localSheetId="5">'Rev Detail - NEW'!$A$2:$BN$104</definedName>
    <definedName name="Linking_33">'Rev Detail - OLD'!$A$2:$BN$104</definedName>
    <definedName name="Linking_34" localSheetId="5">'Rev Detail - NEW'!$A$2:$BN$132</definedName>
    <definedName name="Linking_34">'Rev Detail - OLD'!$A$2:$BN$132</definedName>
    <definedName name="Linking_36">'Rev Overview'!$A$450:$CD$507</definedName>
    <definedName name="Linking_37">#N/A</definedName>
    <definedName name="Linking_38">#N/A</definedName>
    <definedName name="Linking_40">'Rev Overview'!$A$450:$CD$520</definedName>
    <definedName name="Linking_41">IS!$A$6:$FB$64</definedName>
    <definedName name="Linking_42">BS!$A$5:$FB$42</definedName>
    <definedName name="Linking_43">CF!$A$5:$FB$43</definedName>
    <definedName name="Linking_44">IS!$A$2:$FB$64</definedName>
    <definedName name="Linking_45">BS!$A$2:$FB$42</definedName>
    <definedName name="Linking_46">CF!$A$2:$FB$43</definedName>
    <definedName name="Linking_48">'Rev Overview'!$A$450:$CE$520</definedName>
    <definedName name="Linking_49" localSheetId="5">'Rev Detail - NEW'!$A$2:$BS$85</definedName>
    <definedName name="Linking_49">'Rev Detail - OLD'!$A$2:$BS$85</definedName>
    <definedName name="Linking_50" localSheetId="5">'Rev Detail - NEW'!$A$2:$BS$104</definedName>
    <definedName name="Linking_50">'Rev Detail - OLD'!$A$2:$BS$104</definedName>
    <definedName name="Linking_51" localSheetId="5">'Rev Detail - NEW'!$A$2:$BS$132</definedName>
    <definedName name="Linking_51">'Rev Detail - OLD'!$A$2:$BS$132</definedName>
    <definedName name="Linking_52">CF!$A$5:$FG$43</definedName>
    <definedName name="Linking_53">BS!$A$4:$FG$42</definedName>
    <definedName name="Linking_54">IS!$A$6:$FG$59</definedName>
    <definedName name="Linking_55">'Rev Detail - NEW'!$A$1:$BS$135</definedName>
    <definedName name="Linking_57">IS!$A$4:$FG$59</definedName>
    <definedName name="Linking_58">CF!$A$4:$FG$43</definedName>
    <definedName name="Linking_59">'Rev Detail - NEW'!$A$1:$BS$85</definedName>
    <definedName name="Linking_60">'Rev Detail - NEW'!$A$1:$BS$104</definedName>
    <definedName name="Linking_61">'Rev Detail - NEW'!$A$1:$BS$132</definedName>
    <definedName name="Linking_62">#N/A</definedName>
    <definedName name="Linking_63">'Rev Detail - NEW'!$A$1:$BS$29</definedName>
    <definedName name="Linking_64">'Rev Detail - NEW'!$A$4:$BS$41</definedName>
    <definedName name="Linking_65">'Rev Detail - NEW'!$A$1:$BS$18</definedName>
    <definedName name="Linking_66">'Rev Detail - NEW'!$A$1:$BS$41</definedName>
    <definedName name="Linking_68">'Rev Detail - NEW'!$A$1:$BX$85</definedName>
    <definedName name="Linking_69">'Rev Detail - NEW'!$A$1:$BX$104</definedName>
    <definedName name="Linking_70">'Rev Detail - NEW'!$A$1:$BX$137</definedName>
    <definedName name="Linking_71">IS!$A$2:$FL$59</definedName>
    <definedName name="Linking_72">BS!$A$2:$FL$42</definedName>
    <definedName name="Linking_73">CF!$A$2:$FL$43</definedName>
    <definedName name="Linking_Range_10">CF!$A$4:$EC$43</definedName>
    <definedName name="Linking_Range_100">'Rev Overview'!$A$450:$BQ$505</definedName>
    <definedName name="Linking_Range_101">IS!$A$4:$ER$69</definedName>
    <definedName name="Linking_Range_102">BS!$A$4:$ER$42</definedName>
    <definedName name="Linking_Range_110">'Rev Overview'!$A$450:$BT$509</definedName>
    <definedName name="Linking_Range_114">IS!$A$6:$EW$69</definedName>
    <definedName name="Linking_Range_115">BS!$A$5:$EW$42</definedName>
    <definedName name="Linking_Range_116">CF!$A$5:$EW$43</definedName>
    <definedName name="Linking_Range_117">IS!$A$6:$EW$80</definedName>
    <definedName name="Linking_Range_119">IS!$A$4:$EW$84</definedName>
    <definedName name="Linking_Range_120">BS!$A$4:$EW$42</definedName>
    <definedName name="Linking_Range_121">CF!$A$4:$EW$43</definedName>
    <definedName name="Linking_Range_122">IS!$A$4:$EW$69</definedName>
    <definedName name="Linking_Range_16">IS!$A$4:$EH$90</definedName>
    <definedName name="Linking_Range_17">'Rev Overview'!$A$3:$BT$297</definedName>
    <definedName name="Linking_Range_18">BS!$A$4:$EH$42</definedName>
    <definedName name="Linking_Range_19">CF!$A$4:$EH$43</definedName>
    <definedName name="Linking_Range_2">IS!$A$4:$DX$90</definedName>
    <definedName name="Linking_Range_22">'Rev Overview'!$A$6:$BT$297</definedName>
    <definedName name="Linking_Range_23">'Client Unit Model'!$A$3:$CZ$190</definedName>
    <definedName name="Linking_Range_24">IS!$A$4:$GC$90</definedName>
    <definedName name="Linking_Range_25">'Rev Overview'!$A$3:$DK$297</definedName>
    <definedName name="Linking_Range_26">CF!$A$4:$GD$43</definedName>
    <definedName name="Linking_Range_28">CF!$A$4:$GD$45</definedName>
    <definedName name="Linking_Range_30">'Intrinsic Value'!$A$4:$N$60</definedName>
    <definedName name="Linking_Range_31">'Intrinsic Value'!$A$4:$N$62</definedName>
    <definedName name="Linking_Range_32">CF!$A$4:$ER$43</definedName>
    <definedName name="Linking_Range_33">IS!$A$4:$EM$90</definedName>
    <definedName name="Linking_Range_34">'Rev Overview'!$A$3:$BY$297</definedName>
    <definedName name="Linking_Range_35">BS!$A$4:$EM$42</definedName>
    <definedName name="Linking_Range_36">CF!$A$4:$EM$43</definedName>
    <definedName name="Linking_Range_38">'Unearned Revenue Breakdown'!$DR$153:$DU$157</definedName>
    <definedName name="Linking_Range_4">BS!$A$4:$DX$42</definedName>
    <definedName name="Linking_Range_40">'Rev Overview'!$A$3:$BY$298</definedName>
    <definedName name="Linking_Range_42" localSheetId="5">'Rev Detail - NEW'!$A$291:$AJ$297</definedName>
    <definedName name="Linking_Range_42">'Rev Detail - OLD'!$A$291:$AJ$297</definedName>
    <definedName name="Linking_Range_43">'Rev Overview'!$A$6:$BY$207</definedName>
    <definedName name="Linking_Range_44">'Rev Overview'!$A$3:$BY$203</definedName>
    <definedName name="Linking_Range_5">CF!$A$4:$DX$43</definedName>
    <definedName name="Linking_Range_66">'Rev Overview'!$A$450:$BM$505</definedName>
    <definedName name="Linking_Range_68" localSheetId="5">'Rev Detail - NEW'!$A$335:$BD$357</definedName>
    <definedName name="Linking_Range_68">'Rev Detail - OLD'!$A$335:$BD$357</definedName>
    <definedName name="Linking_Range_69" localSheetId="5">'Rev Detail - NEW'!$A$389:$AY$410</definedName>
    <definedName name="Linking_Range_69">'Rev Detail - OLD'!$A$389:$AY$410</definedName>
    <definedName name="Linking_Range_7">IS!$A$4:$EC$90</definedName>
    <definedName name="Linking_Range_70">'Rev Overview'!$A$6:$BY$147</definedName>
    <definedName name="Linking_Range_78">'Rev Overview'!$A$450:$BP$505</definedName>
    <definedName name="Linking_Range_79">IS!$A$4:$ER$90</definedName>
    <definedName name="Linking_Range_80">'Rev Overview'!$A$6:$CD$207</definedName>
    <definedName name="Linking_Range_81" localSheetId="5">'Rev Detail - NEW'!$A$2:$BD$356</definedName>
    <definedName name="Linking_Range_81">'Rev Detail - OLD'!$A$2:$BD$356</definedName>
    <definedName name="Linking_Range_82" localSheetId="5">'Rev Detail - NEW'!$A$229:$BD$269</definedName>
    <definedName name="Linking_Range_82">'Rev Detail - OLD'!$A$229:$BD$269</definedName>
    <definedName name="Linking_Range_83" localSheetId="5">'Rev Detail - NEW'!$A$197:$BD$201</definedName>
    <definedName name="Linking_Range_83">'Rev Detail - OLD'!$A$197:$BD$201</definedName>
    <definedName name="Linking_Range_84" localSheetId="5">'Rev Detail - NEW'!$A$359:$BD$363</definedName>
    <definedName name="Linking_Range_84">'Rev Detail - OLD'!$A$359:$BD$363</definedName>
    <definedName name="Linking_Range_85" localSheetId="5">'Rev Detail - NEW'!$A$359:$BD$363</definedName>
    <definedName name="Linking_Range_85">'Rev Detail - OLD'!$A$359:$BD$363</definedName>
    <definedName name="Linking_Range_88" localSheetId="5">'Rev Detail - NEW'!$A$310:$BD$318</definedName>
    <definedName name="Linking_Range_88">'Rev Detail - OLD'!$A$310:$BD$318</definedName>
    <definedName name="Linking_Range_89" localSheetId="5">'Rev Detail - NEW'!$A$389:$BD$410</definedName>
    <definedName name="Linking_Range_89">'Rev Detail - OLD'!$A$389:$BD$410</definedName>
    <definedName name="Linking_Range_9">BS!$A$4:$EC$42</definedName>
    <definedName name="lrev">[1]Model!$C$14:$HA$14</definedName>
    <definedName name="ltmopex">[1]Model!$B$334:$HA$334</definedName>
    <definedName name="ltmrev">[1]Model!$C$333:$HA$333</definedName>
    <definedName name="MacroVersion" localSheetId="12">IndexInformation!$B$1</definedName>
    <definedName name="ModelPrice" localSheetId="0">ImportantDisclosures!$A$14</definedName>
    <definedName name="MSBudgetAmountCon">2</definedName>
    <definedName name="MSBudgetAmountQTD">17</definedName>
    <definedName name="MSBudgetAmountQTDbysub">9</definedName>
    <definedName name="MSBudgetAmountQTDCon">12</definedName>
    <definedName name="MSBudgetAmountYTD">31</definedName>
    <definedName name="MSBudgetAmountYTDbysub">17</definedName>
    <definedName name="MSBudgetAmountYTDCon">22</definedName>
    <definedName name="MSBudgetLicensesQTD">22</definedName>
    <definedName name="MSBudgetLicensesYTD">36</definedName>
    <definedName name="MSSalesAmountQTDbysub">8</definedName>
    <definedName name="MSSalesAmountQTDCon">10</definedName>
    <definedName name="MSSalesAmountYTD">28</definedName>
    <definedName name="MSSalesAmountYTDbysub">16</definedName>
    <definedName name="MSSalesAmountYTDCon">20</definedName>
    <definedName name="MSSalesLicensesQTD">21</definedName>
    <definedName name="MSSalesLicensesYTD">35</definedName>
    <definedName name="Multiplier" localSheetId="12">IndexInformation!$B$35</definedName>
    <definedName name="NextYearEPS" localSheetId="12">IndexInformation!$B$13</definedName>
    <definedName name="NextYearTotalRevenue" localSheetId="12">IndexInformation!$B$12</definedName>
    <definedName name="NextYearTotalRevenueActual" localSheetId="12">IndexInformation!$B$33</definedName>
    <definedName name="ni">[1]Model!$C$155:$HA$155</definedName>
    <definedName name="Normalized_Income_Statement">"IS_Annual"</definedName>
    <definedName name="ObjectType">IndexInformation!$B$37</definedName>
    <definedName name="OpExAmortization">0</definedName>
    <definedName name="OpExBeforeDepreciationAmortizationExtraordinariesOther">0</definedName>
    <definedName name="OpExBeforeDepreciationAmortizationExtraordinariesTotal">0</definedName>
    <definedName name="OpExCostOfEquipment">0</definedName>
    <definedName name="OpExDepreciation">0</definedName>
    <definedName name="OpExGeneralAdministrative">0</definedName>
    <definedName name="OpExSellingMarketing">0</definedName>
    <definedName name="OpExTotal" localSheetId="11">0</definedName>
    <definedName name="opmgn">[1]Model!$C$139:$HA$139</definedName>
    <definedName name="OPT_Q1_FY1999" localSheetId="10">OPT!$BB:$BB</definedName>
    <definedName name="OPT_Q1_FY2000" localSheetId="10">OPT!$BG:$BG</definedName>
    <definedName name="OPT_Q1_FY2001" localSheetId="10">OPT!$BL:$BL</definedName>
    <definedName name="OPT_Q1_FY2002" localSheetId="10">OPT!$BQ:$BQ</definedName>
    <definedName name="OPT_Q1_FY2003" localSheetId="10">OPT!$BV:$BV</definedName>
    <definedName name="OPT_Q1_FY2004" localSheetId="10">OPT!$CA:$CA</definedName>
    <definedName name="OPT_Q1_FY2005" localSheetId="10">OPT!$CF:$CF</definedName>
    <definedName name="OPT_Q1_FY2006" localSheetId="10">OPT!$CK:$CK</definedName>
    <definedName name="OPT_Q1_FY2007" localSheetId="10">OPT!$CP:$CP</definedName>
    <definedName name="OPT_Q1_FY2008" localSheetId="10">OPT!$CU:$CU</definedName>
    <definedName name="OPT_Q2_FY1999" localSheetId="10">OPT!$BC:$BC</definedName>
    <definedName name="OPT_Q2_FY2000" localSheetId="10">OPT!$BH:$BH</definedName>
    <definedName name="OPT_Q2_FY2001" localSheetId="10">OPT!$BM:$BM</definedName>
    <definedName name="OPT_Q2_FY2002" localSheetId="10">OPT!$BR:$BR</definedName>
    <definedName name="OPT_Q2_FY2003" localSheetId="10">OPT!$BW:$BW</definedName>
    <definedName name="OPT_Q2_FY2004" localSheetId="10">OPT!$CB:$CB</definedName>
    <definedName name="OPT_Q2_FY2005" localSheetId="10">OPT!$CG:$CG</definedName>
    <definedName name="OPT_Q2_FY2006" localSheetId="10">OPT!$CL:$CL</definedName>
    <definedName name="OPT_Q2_FY2007" localSheetId="10">OPT!$CQ:$CQ</definedName>
    <definedName name="OPT_Q3_FY1999" localSheetId="10">OPT!$BD:$BD</definedName>
    <definedName name="OPT_Q3_FY2000" localSheetId="10">OPT!$BI:$BI</definedName>
    <definedName name="OPT_Q3_FY2001" localSheetId="10">OPT!$BN:$BN</definedName>
    <definedName name="OPT_Q3_FY2002" localSheetId="10">OPT!$BS:$BS</definedName>
    <definedName name="OPT_Q3_FY2003" localSheetId="10">OPT!$BX:$BX</definedName>
    <definedName name="OPT_Q3_FY2004" localSheetId="10">OPT!$CC:$CC</definedName>
    <definedName name="OPT_Q3_FY2005" localSheetId="10">OPT!$CH:$CH</definedName>
    <definedName name="OPT_Q3_FY2006" localSheetId="10">OPT!$CM:$CM</definedName>
    <definedName name="OPT_Q3_FY2007" localSheetId="10">OPT!$CR:$CR</definedName>
    <definedName name="OPT_Q3_FY2008" localSheetId="10">OPT!$CW:$CW</definedName>
    <definedName name="OPT_Q4_FY1999" localSheetId="10">OPT!$BE:$BE</definedName>
    <definedName name="OPT_Q4_FY2000" localSheetId="10">OPT!$BJ:$BJ</definedName>
    <definedName name="OPT_Q4_FY2001" localSheetId="10">OPT!$BO:$BO</definedName>
    <definedName name="OPT_Q4_FY2002" localSheetId="10">OPT!$BT:$BT</definedName>
    <definedName name="OPT_Q4_FY2003" localSheetId="10">OPT!$BY:$BY</definedName>
    <definedName name="OPT_Q4_FY2004" localSheetId="10">OPT!$CD:$CD</definedName>
    <definedName name="OPT_Q4_FY2005" localSheetId="10">OPT!$CI:$CI</definedName>
    <definedName name="OPT_Q4_FY2006" localSheetId="10">OPT!$CN:$CN</definedName>
    <definedName name="OPT_Q4_FY2007" localSheetId="10">OPT!$CS:$CS</definedName>
    <definedName name="OPT_Q4_FY2008" localSheetId="10">OPT!$CX:$CX</definedName>
    <definedName name="OptionsOutstanding" localSheetId="10">INDIRECT("OPT!"&amp;OPT!OptionsColumn&amp;ROWS(OPT!$A$1:OPT!OPT_OutFirstTranche)&amp;":"&amp;OPT!OptionsColumn&amp;ROWS(OPT!$A$1:OPT!OPT_OutLastTranche))</definedName>
    <definedName name="OptionsPrices" localSheetId="10">INDIRECT("OPT!"&amp;OPT!OptionsColumn&amp;ROWS(OPT!$A$1:OPT!OPT_PricesFirstTranche)&amp;":"&amp;OPT!OptionsColumn&amp;ROWS(OPT!$A$1:OPT!OPT_PricesLastTranche))</definedName>
    <definedName name="OtherExEquityIncome" localSheetId="11">0</definedName>
    <definedName name="OtherExGainOnSale" localSheetId="11">0</definedName>
    <definedName name="OtherExInterestIncome" localSheetId="11">0</definedName>
    <definedName name="OtherExMinorityInterest" localSheetId="11">0</definedName>
    <definedName name="OtherExTotal" localSheetId="11">0</definedName>
    <definedName name="PANA" localSheetId="13">ModPubIndex!$A$11</definedName>
    <definedName name="PathName" localSheetId="12">IndexInformation!$B$25</definedName>
    <definedName name="_xlnm.Print_Area" localSheetId="2">BS!$A$1:$EH$42</definedName>
    <definedName name="_xlnm.Print_Area" localSheetId="3">CF!$A$1:$EG$59</definedName>
    <definedName name="_xlnm.Print_Area" localSheetId="7">'Client Unit Model'!$A$1:$CH$202</definedName>
    <definedName name="_xlnm.Print_Area" localSheetId="11">'Intrinsic Value'!$A$1:$O$62</definedName>
    <definedName name="_xlnm.Print_Area" localSheetId="1">IS!$A$1:$FM$116</definedName>
    <definedName name="_xlnm.Print_Area" localSheetId="10">OPT!$A$1:$DN$67</definedName>
    <definedName name="_xlnm.Print_Area" localSheetId="4">'Rev Overview'!$A$1:$BT$339</definedName>
    <definedName name="_xlnm.Print_Area" localSheetId="8">'Unearned Revenue Breakdown'!$A$1:$EH$175</definedName>
    <definedName name="_xlnm.Print_Area">#REF!</definedName>
    <definedName name="_xlnm.Print_Titles" localSheetId="2">BS!$A:$C,BS!$2:$6</definedName>
    <definedName name="_xlnm.Print_Titles" localSheetId="3">CF!$A:$C,CF!$2:$2</definedName>
    <definedName name="_xlnm.Print_Titles" localSheetId="9">DEPR!$A:$C,DEPR!$1:$6</definedName>
    <definedName name="_xlnm.Print_Titles" localSheetId="1">IS!$A:$C,IS!$2:$7</definedName>
    <definedName name="_xlnm.Print_Titles">#REF!</definedName>
    <definedName name="PRODUCT" localSheetId="13">ModPubIndex!$A$6</definedName>
    <definedName name="PSYM" localSheetId="13">ModPubIndex!$A$4</definedName>
    <definedName name="PublishDate" localSheetId="12">IndexInformation!$B$2</definedName>
    <definedName name="Rating" localSheetId="12">IndexInformation!$B$9</definedName>
    <definedName name="RatingsDefined" localSheetId="0">ImportantDisclosures!$A$21</definedName>
    <definedName name="RatingsDefs" localSheetId="0">ImportantDisclosures!#REF!</definedName>
    <definedName name="RegACDisclosure" localSheetId="0">ImportantDisclosures!#REF!</definedName>
    <definedName name="ReportGroup" hidden="1">0</definedName>
    <definedName name="ResearchTopic" localSheetId="12">IndexInformation!$B$4</definedName>
    <definedName name="rev">[1]Model!$C$76:$HA$76</definedName>
    <definedName name="RevenuesCellularEquipment">0</definedName>
    <definedName name="RevenuesCellularOther">0</definedName>
    <definedName name="RevenuesCellularService">0</definedName>
    <definedName name="RevenuesCellularTotal">0</definedName>
    <definedName name="RevenuesPagingEquipment">0</definedName>
    <definedName name="RevenuesPagingOther">0</definedName>
    <definedName name="RevenuesPagingService">0</definedName>
    <definedName name="RevenuesPagingTotal">0</definedName>
    <definedName name="RevenuesWirelessEquipment">0</definedName>
    <definedName name="RevenuesWirelessOther">0</definedName>
    <definedName name="RevenuesWirelessService">0</definedName>
    <definedName name="RIC" localSheetId="12">IndexInformation!$B$21</definedName>
    <definedName name="SECSettlement" localSheetId="0">ImportantDisclosures!#REF!</definedName>
    <definedName name="SEDOL" localSheetId="12">IndexInformation!$B$22</definedName>
    <definedName name="SharesConvertibleSecurities">0</definedName>
    <definedName name="SharesFullyDiluted">0</definedName>
    <definedName name="SharesOptions">0</definedName>
    <definedName name="SharesOutstandingLatestDate">0</definedName>
    <definedName name="SharesOutstandingOther">0</definedName>
    <definedName name="SharesOutstandingSenior">0</definedName>
    <definedName name="SharesOutstandingSubordinate">0</definedName>
    <definedName name="SharesPrimary">0</definedName>
    <definedName name="SharesWarrants">0</definedName>
    <definedName name="shs">[1]Model!$C$191:$HA$191</definedName>
    <definedName name="solver_cvg" localSheetId="2" hidden="1">0.0001</definedName>
    <definedName name="solver_drv" localSheetId="2" hidden="1">1</definedName>
    <definedName name="solver_est" localSheetId="2" hidden="1">1</definedName>
    <definedName name="solver_itr" localSheetId="2" hidden="1">100</definedName>
    <definedName name="solver_lin" localSheetId="2" hidden="1">2</definedName>
    <definedName name="solver_neg" localSheetId="2" hidden="1">2</definedName>
    <definedName name="solver_num" localSheetId="2" hidden="1">1</definedName>
    <definedName name="solver_nwt" localSheetId="2" hidden="1">1</definedName>
    <definedName name="solver_pre" localSheetId="2" hidden="1">0.000001</definedName>
    <definedName name="solver_rel1" localSheetId="2" hidden="1">2</definedName>
    <definedName name="solver_rhs1" localSheetId="2" hidden="1">280256</definedName>
    <definedName name="solver_scl" localSheetId="2" hidden="1">2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3</definedName>
    <definedName name="solver_val" localSheetId="2" hidden="1">-329020</definedName>
    <definedName name="SourceDefined" localSheetId="0">ImportantDisclosures!$A$19</definedName>
    <definedName name="StartCol">1</definedName>
    <definedName name="StatsAccessLinesDomesticInternationalTotalAverage">0</definedName>
    <definedName name="StatsAccessLinesTotalAverage">0</definedName>
    <definedName name="StatsAverageMonthlyRevenue">0</definedName>
    <definedName name="StatsEmployeesConsolidatedInternational">0</definedName>
    <definedName name="StatsEmployeesTelephoneInternational">0</definedName>
    <definedName name="StatsPagingAverageMonthlyRevenue">0</definedName>
    <definedName name="StatsPagingSubscribers">0</definedName>
    <definedName name="StatsPenetration">0</definedName>
    <definedName name="StatsPOPS" localSheetId="11">0</definedName>
    <definedName name="StatsProportionatePenetration">0</definedName>
    <definedName name="StatsProportionatePOPS">0</definedName>
    <definedName name="StatsProportionateSubscribersAverage">0</definedName>
    <definedName name="StatsProportionateSubscribersBeginning">0</definedName>
    <definedName name="StatsProportionateSubscribersEnding">0</definedName>
    <definedName name="StatsProportionateSubscribersNetAdds">0</definedName>
    <definedName name="StatsSubscribersAverage">0</definedName>
    <definedName name="StatsSubscribersBeginning">0</definedName>
    <definedName name="StatsSubscribersEnding">0</definedName>
    <definedName name="StatsSubscribersNetAdds">0</definedName>
    <definedName name="StockRating" localSheetId="0">ImportantDisclosures!$A$11</definedName>
    <definedName name="SubjectCode" localSheetId="12">IndexInformation!$B$6</definedName>
    <definedName name="SubmitterUserId">IndexInformation!$B$39</definedName>
    <definedName name="SummarySheetNum">1</definedName>
    <definedName name="SUPPRESSED" localSheetId="13">ModPubIndex!$A$13</definedName>
    <definedName name="TargetPrice" localSheetId="0">ImportantDisclosures!$A$15</definedName>
    <definedName name="TemplateRegion">IndexInformation!$B$36</definedName>
    <definedName name="Ticker" localSheetId="0">ImportantDisclosures!$A$10</definedName>
    <definedName name="TickerRegion">IndexInformation!$B$41</definedName>
    <definedName name="Tickers" localSheetId="12">IndexInformation!$B$19</definedName>
    <definedName name="toteq">[1]Model!$C$348:$HA$348</definedName>
    <definedName name="UpdateReason" localSheetId="12">IndexInformation!$B$17</definedName>
    <definedName name="USRegDisclosures" localSheetId="0">ImportantDisclosures!#REF!</definedName>
    <definedName name="ValuationAdjustmentsOther">0</definedName>
    <definedName name="ValuationAdjustmentsValue">0</definedName>
    <definedName name="ValuationCellularValue">0</definedName>
    <definedName name="ValuationDebtAdjustment">0</definedName>
    <definedName name="ValuationDebtNet">0</definedName>
    <definedName name="ValuationDebtTotal">0</definedName>
    <definedName name="ValuationFirmValue">0</definedName>
    <definedName name="ValuationInvestments">0</definedName>
    <definedName name="ValuationMarketCapitalization">0</definedName>
    <definedName name="ValuationOtherValue">0</definedName>
    <definedName name="ValuationPagingValue">0</definedName>
    <definedName name="ValuationTelephoneValue">0</definedName>
    <definedName name="ValuationWirelessValue">0</definedName>
    <definedName name="wrn.Complete." hidden="1">{"Cover",#N/A,FALSE,"Cover";"Summary",#N/A,FALSE,"Summarpage";"Assumptions",#N/A,FALSE,"Assumptions";"Earnings",#N/A,FALSE,"Earnings";"CF Oper.",#N/A,FALSE,"Earnings";"Balance Sheet",#N/A,FALSE,"balance";"Cash Flow",#N/A,FALSE,"cash flow";"Paper Production",#N/A,FALSE,"Paper";"Paper Earnings",#N/A,FALSE,"Paper";"Wood Production",#N/A,FALSE,"Wood Products";"Wood Earnings",#N/A,FALSE,"Wood Products";"Pulp Production",#N/A,FALSE,"Pulp";"Pulp Earnings",#N/A,FALSE,"Pulp"}</definedName>
    <definedName name="wrn.Industry.xls." hidden="1">{#N/A,#N/A,FALSE,"Earnings";#N/A,#N/A,FALSE,"Overview";#N/A,#N/A,FALSE,"Summary";#N/A,#N/A,FALSE,"Summary II";#N/A,#N/A,FALSE,"R&amp;D";#N/A,#N/A,FALSE,"R&amp;D Forecast";#N/A,#N/A,FALSE,"Tax Adj";#N/A,#N/A,FALSE,"Goodwill";#N/A,#N/A,FALSE,"FX ";#N/A,#N/A,FALSE,"Consolidation";#N/A,#N/A,FALSE,"Provisions"}</definedName>
  </definedNames>
  <calcPr calcId="145621"/>
</workbook>
</file>

<file path=xl/calcChain.xml><?xml version="1.0" encoding="utf-8"?>
<calcChain xmlns="http://schemas.openxmlformats.org/spreadsheetml/2006/main">
  <c r="R50" i="141" l="1"/>
  <c r="Q50" i="141"/>
  <c r="P50" i="141"/>
  <c r="O50" i="141"/>
  <c r="N50" i="141"/>
  <c r="M50" i="141"/>
  <c r="G22" i="141"/>
  <c r="G23" i="141"/>
  <c r="G25" i="141"/>
  <c r="EU26" i="7"/>
  <c r="ET26" i="7"/>
  <c r="ES26" i="7"/>
  <c r="EQ26" i="7"/>
  <c r="EP26" i="7"/>
  <c r="EO26" i="7"/>
  <c r="EN26" i="7"/>
  <c r="EL26" i="7"/>
  <c r="EK26" i="7"/>
  <c r="EJ26" i="7"/>
  <c r="EI26" i="7"/>
  <c r="EG26" i="7"/>
  <c r="EF26" i="7"/>
  <c r="EE26" i="7"/>
  <c r="ED26" i="7"/>
  <c r="EU29" i="7"/>
  <c r="ET29" i="7"/>
  <c r="ES29" i="7"/>
  <c r="EQ29" i="7"/>
  <c r="EP29" i="7"/>
  <c r="EO29" i="7"/>
  <c r="EN29" i="7"/>
  <c r="EL29" i="7"/>
  <c r="EK29" i="7"/>
  <c r="EJ29" i="7"/>
  <c r="EI29" i="7"/>
  <c r="EG29" i="7"/>
  <c r="EF29" i="7"/>
  <c r="EE29" i="7"/>
  <c r="ED29" i="7"/>
  <c r="EU32" i="7"/>
  <c r="ET32" i="7"/>
  <c r="ES32" i="7"/>
  <c r="EQ32" i="7"/>
  <c r="EP32" i="7"/>
  <c r="EO32" i="7"/>
  <c r="EN32" i="7"/>
  <c r="EL32" i="7"/>
  <c r="EK32" i="7"/>
  <c r="EJ32" i="7"/>
  <c r="EI32" i="7"/>
  <c r="EG32" i="7"/>
  <c r="EF32" i="7"/>
  <c r="EE32" i="7"/>
  <c r="ED32" i="7"/>
  <c r="CJ55" i="172"/>
  <c r="CO55" i="172" s="1"/>
  <c r="CT55" i="172" s="1"/>
  <c r="CM55" i="172"/>
  <c r="CL55" i="172"/>
  <c r="CK55" i="172"/>
  <c r="CJ50" i="172"/>
  <c r="CO50" i="172" s="1"/>
  <c r="CT50" i="172" s="1"/>
  <c r="CK50" i="172"/>
  <c r="CP50" i="172" s="1"/>
  <c r="CU50" i="172" s="1"/>
  <c r="CL50" i="172"/>
  <c r="CQ50" i="172" s="1"/>
  <c r="CV50" i="172" s="1"/>
  <c r="CL45" i="172"/>
  <c r="CQ45" i="172" s="1"/>
  <c r="CV45" i="172" s="1"/>
  <c r="CK45" i="172"/>
  <c r="CP45" i="172" s="1"/>
  <c r="CU45" i="172" s="1"/>
  <c r="CJ45" i="172"/>
  <c r="CO45" i="172" s="1"/>
  <c r="CT45" i="172" s="1"/>
  <c r="CH55" i="172"/>
  <c r="BQ98" i="189" l="1"/>
  <c r="BR98" i="189"/>
  <c r="BP98" i="189"/>
  <c r="BO98" i="189"/>
  <c r="BK79" i="189"/>
  <c r="BL79" i="189" s="1"/>
  <c r="BM79" i="189" s="1"/>
  <c r="BO79" i="189" s="1"/>
  <c r="BP79" i="189" s="1"/>
  <c r="BQ79" i="189" s="1"/>
  <c r="BR79" i="189" s="1"/>
  <c r="BQ67" i="189"/>
  <c r="BV67" i="189" s="1"/>
  <c r="BL67" i="189"/>
  <c r="BK67" i="189"/>
  <c r="BJ67" i="189"/>
  <c r="BM67" i="189"/>
  <c r="BR67" i="189" s="1"/>
  <c r="BW67" i="189" s="1"/>
  <c r="BT234" i="189"/>
  <c r="AZ110" i="189"/>
  <c r="BA110" i="189"/>
  <c r="BF126" i="189"/>
  <c r="BG126" i="189"/>
  <c r="AZ125" i="189"/>
  <c r="BE125" i="189"/>
  <c r="BE126" i="189" s="1"/>
  <c r="BC110" i="189"/>
  <c r="BB110" i="189"/>
  <c r="BC63" i="189"/>
  <c r="BB63" i="189"/>
  <c r="BG38" i="189" l="1"/>
  <c r="BH10" i="171"/>
  <c r="BJ157" i="189"/>
  <c r="BK157" i="189" s="1"/>
  <c r="BL157" i="189" s="1"/>
  <c r="BM157" i="189" s="1"/>
  <c r="BB97" i="189"/>
  <c r="AW97" i="189" s="1"/>
  <c r="AR97" i="189" s="1"/>
  <c r="AM97" i="189" s="1"/>
  <c r="BG79" i="189"/>
  <c r="BG259" i="189"/>
  <c r="BG255" i="189"/>
  <c r="BG260" i="189" s="1"/>
  <c r="BG194" i="189"/>
  <c r="BG165" i="189"/>
  <c r="BG159" i="189"/>
  <c r="BG122" i="189"/>
  <c r="BG119" i="189"/>
  <c r="BG116" i="189"/>
  <c r="BG110" i="189"/>
  <c r="BG97" i="189"/>
  <c r="BG147" i="189" s="1"/>
  <c r="BG96" i="189"/>
  <c r="BG95" i="189"/>
  <c r="BG91" i="189"/>
  <c r="BG24" i="189" s="1"/>
  <c r="BG80" i="189"/>
  <c r="BG72" i="189"/>
  <c r="BG63" i="189"/>
  <c r="BG10" i="189" s="1"/>
  <c r="BG40" i="189"/>
  <c r="BG129" i="189" s="1"/>
  <c r="BG37" i="189"/>
  <c r="BG36" i="189"/>
  <c r="BG28" i="189"/>
  <c r="BG101" i="189" s="1"/>
  <c r="BG25" i="189"/>
  <c r="BG17" i="189"/>
  <c r="BG15" i="189"/>
  <c r="EU117" i="135"/>
  <c r="EU113" i="135"/>
  <c r="EU108" i="135"/>
  <c r="EU104" i="135" s="1"/>
  <c r="EU99" i="135"/>
  <c r="EU95" i="135" s="1"/>
  <c r="EU46" i="135"/>
  <c r="EU42" i="135"/>
  <c r="EU9" i="135"/>
  <c r="EU66" i="123"/>
  <c r="EU84" i="7" s="1"/>
  <c r="EU64" i="123"/>
  <c r="EU83" i="7" s="1"/>
  <c r="EU61" i="123"/>
  <c r="EU51" i="123"/>
  <c r="EU47" i="123"/>
  <c r="EU46" i="123"/>
  <c r="EU45" i="123"/>
  <c r="EU38" i="123"/>
  <c r="EU39" i="123" s="1"/>
  <c r="EU29" i="123"/>
  <c r="EU27" i="123"/>
  <c r="EU26" i="123"/>
  <c r="EU28" i="123" s="1"/>
  <c r="EU59" i="123" s="1"/>
  <c r="EU23" i="123"/>
  <c r="EU21" i="123"/>
  <c r="EU17" i="123"/>
  <c r="EU16" i="123"/>
  <c r="EU13" i="123"/>
  <c r="EU11" i="123"/>
  <c r="EU10" i="123"/>
  <c r="EU70" i="12"/>
  <c r="EU68" i="12"/>
  <c r="EU62" i="12"/>
  <c r="EU60" i="12"/>
  <c r="EU64" i="12" s="1"/>
  <c r="EU52" i="12"/>
  <c r="EU43" i="12"/>
  <c r="EU46" i="12" s="1"/>
  <c r="EU17" i="12"/>
  <c r="EU10" i="12"/>
  <c r="EU8" i="12"/>
  <c r="EU34" i="9"/>
  <c r="EU30" i="9"/>
  <c r="EU21" i="9"/>
  <c r="EU20" i="9"/>
  <c r="EU18" i="9"/>
  <c r="EU42" i="9"/>
  <c r="EU39" i="9"/>
  <c r="EU33" i="9"/>
  <c r="EU27" i="9"/>
  <c r="EU16" i="9"/>
  <c r="EU33" i="8"/>
  <c r="EU24" i="8"/>
  <c r="EU73" i="8" s="1"/>
  <c r="EU20" i="8"/>
  <c r="EU89" i="8"/>
  <c r="EU87" i="8" s="1"/>
  <c r="EU81" i="8"/>
  <c r="EV81" i="8" s="1"/>
  <c r="EX81" i="8" s="1"/>
  <c r="EY81" i="8" s="1"/>
  <c r="EZ81" i="8" s="1"/>
  <c r="FA81" i="8" s="1"/>
  <c r="FC81" i="8" s="1"/>
  <c r="FD81" i="8" s="1"/>
  <c r="FE81" i="8" s="1"/>
  <c r="FF81" i="8" s="1"/>
  <c r="FH81" i="8" s="1"/>
  <c r="FI81" i="8" s="1"/>
  <c r="FJ81" i="8" s="1"/>
  <c r="FK81" i="8" s="1"/>
  <c r="EU67" i="8"/>
  <c r="EU66" i="8"/>
  <c r="EU64" i="8"/>
  <c r="EU53" i="8"/>
  <c r="EU48" i="8"/>
  <c r="EU47" i="8"/>
  <c r="EU41" i="8"/>
  <c r="EU35" i="8"/>
  <c r="EU14" i="8"/>
  <c r="EU21" i="8" s="1"/>
  <c r="CH509" i="172"/>
  <c r="CH508" i="172"/>
  <c r="CH510" i="172" s="1"/>
  <c r="CH514" i="172" s="1"/>
  <c r="CG26" i="172"/>
  <c r="EU120" i="135" s="1"/>
  <c r="CG19" i="172"/>
  <c r="EU111" i="135" s="1"/>
  <c r="CG12" i="172"/>
  <c r="EU102" i="135" s="1"/>
  <c r="CG88" i="172"/>
  <c r="CG84" i="172"/>
  <c r="CG80" i="172"/>
  <c r="CG79" i="172"/>
  <c r="CG75" i="172"/>
  <c r="CG74" i="172"/>
  <c r="CG70" i="172"/>
  <c r="CG69" i="172"/>
  <c r="CG54" i="172"/>
  <c r="CG53" i="172" s="1"/>
  <c r="CG49" i="172"/>
  <c r="CG48" i="172" s="1"/>
  <c r="CG44" i="172"/>
  <c r="CG67" i="172" s="1"/>
  <c r="CG34" i="172"/>
  <c r="CG32" i="172"/>
  <c r="CG27" i="172"/>
  <c r="EU119" i="135" s="1"/>
  <c r="CG25" i="172"/>
  <c r="EU118" i="135" s="1"/>
  <c r="CG20" i="172"/>
  <c r="EU110" i="135" s="1"/>
  <c r="CG18" i="172"/>
  <c r="EU109" i="135" s="1"/>
  <c r="CG13" i="172"/>
  <c r="EU101" i="135" s="1"/>
  <c r="CG11" i="172"/>
  <c r="EU100" i="135" s="1"/>
  <c r="EU50" i="7"/>
  <c r="EU51" i="7" s="1"/>
  <c r="EU92" i="7"/>
  <c r="EU82" i="7"/>
  <c r="EU79" i="7"/>
  <c r="EU80" i="7" s="1"/>
  <c r="EU58" i="7"/>
  <c r="EU57" i="7"/>
  <c r="EU34" i="7"/>
  <c r="EU51" i="8" s="1"/>
  <c r="EU50" i="8" l="1"/>
  <c r="EU49" i="8"/>
  <c r="BG82" i="189"/>
  <c r="BG134" i="189"/>
  <c r="CG83" i="172"/>
  <c r="EU67" i="123"/>
  <c r="EU65" i="8"/>
  <c r="EU68" i="8" s="1"/>
  <c r="BG35" i="189"/>
  <c r="BG26" i="189"/>
  <c r="BG27" i="189" s="1"/>
  <c r="BG13" i="189"/>
  <c r="BG100" i="189"/>
  <c r="BL100" i="189" s="1"/>
  <c r="BG57" i="189"/>
  <c r="BG8" i="189" s="1"/>
  <c r="BG33" i="189"/>
  <c r="BG88" i="189"/>
  <c r="BG127" i="189"/>
  <c r="BG45" i="189"/>
  <c r="BG20" i="189"/>
  <c r="EU14" i="123"/>
  <c r="EU40" i="123"/>
  <c r="EU60" i="123" s="1"/>
  <c r="EU12" i="123"/>
  <c r="EU30" i="123"/>
  <c r="EU41" i="123"/>
  <c r="EU42" i="123" s="1"/>
  <c r="EU65" i="123"/>
  <c r="EU61" i="12"/>
  <c r="EU54" i="12"/>
  <c r="EU69" i="12" s="1"/>
  <c r="EU29" i="12" s="1"/>
  <c r="EU53" i="12"/>
  <c r="EU67" i="12" s="1"/>
  <c r="EU11" i="12" s="1"/>
  <c r="EU31" i="8"/>
  <c r="EU36" i="8" s="1"/>
  <c r="EU42" i="8" s="1"/>
  <c r="CH516" i="172"/>
  <c r="CH515" i="172"/>
  <c r="CG85" i="172"/>
  <c r="CG14" i="172"/>
  <c r="CG21" i="172"/>
  <c r="CG28" i="172"/>
  <c r="CG38" i="172"/>
  <c r="CG77" i="172"/>
  <c r="CG72" i="172"/>
  <c r="CG43" i="172"/>
  <c r="EU58" i="123" l="1"/>
  <c r="EU18" i="123"/>
  <c r="CH518" i="172"/>
  <c r="CH519" i="172" s="1"/>
  <c r="CH517" i="172"/>
  <c r="AU97" i="189" l="1"/>
  <c r="AP97" i="189" s="1"/>
  <c r="AK97" i="189" s="1"/>
  <c r="AV97" i="189"/>
  <c r="AQ97" i="189" s="1"/>
  <c r="AL97" i="189" s="1"/>
  <c r="BM27" i="189" l="1"/>
  <c r="BL27" i="189"/>
  <c r="BH27" i="189"/>
  <c r="BR100" i="189"/>
  <c r="BR27" i="189" s="1"/>
  <c r="BQ100" i="189"/>
  <c r="BV100" i="189" s="1"/>
  <c r="BV27" i="189" s="1"/>
  <c r="BF95" i="189"/>
  <c r="AZ94" i="189"/>
  <c r="BE95" i="189" s="1"/>
  <c r="BE94" i="189"/>
  <c r="BW100" i="189" l="1"/>
  <c r="BW27" i="189" s="1"/>
  <c r="BQ27" i="189"/>
  <c r="BF17" i="189" l="1"/>
  <c r="BE15" i="189"/>
  <c r="FA62" i="123" l="1"/>
  <c r="EZ62" i="123"/>
  <c r="EY62" i="123"/>
  <c r="EX62" i="123"/>
  <c r="CR55" i="172" l="1"/>
  <c r="CW55" i="172" s="1"/>
  <c r="CQ55" i="172"/>
  <c r="CV55" i="172" s="1"/>
  <c r="FK108" i="8" l="1"/>
  <c r="FJ108" i="8"/>
  <c r="FI108" i="8"/>
  <c r="FH108" i="8"/>
  <c r="DQ30" i="172" l="1"/>
  <c r="CH225" i="189" l="1"/>
  <c r="CH162" i="189"/>
  <c r="CH43" i="189"/>
  <c r="CH39" i="189"/>
  <c r="CH16" i="189"/>
  <c r="GI77" i="7"/>
  <c r="GI76" i="7"/>
  <c r="GI75" i="7"/>
  <c r="GI74" i="7"/>
  <c r="GI73" i="7"/>
  <c r="GI72" i="7"/>
  <c r="GI71" i="7"/>
  <c r="GI50" i="7"/>
  <c r="GI33" i="7"/>
  <c r="GI16" i="7"/>
  <c r="GI15" i="7"/>
  <c r="GI14" i="7"/>
  <c r="GI13" i="7"/>
  <c r="GI12" i="7"/>
  <c r="GI11" i="7"/>
  <c r="FL6" i="123"/>
  <c r="FJ22" i="123"/>
  <c r="FK22" i="123" s="1"/>
  <c r="FK6" i="123"/>
  <c r="FJ6" i="123"/>
  <c r="FI6" i="123"/>
  <c r="FH6" i="123"/>
  <c r="FK70" i="12"/>
  <c r="FJ70" i="12"/>
  <c r="FI70" i="12"/>
  <c r="FH70" i="12"/>
  <c r="FK68" i="12"/>
  <c r="FJ68" i="12"/>
  <c r="FI68" i="12"/>
  <c r="FH68" i="12"/>
  <c r="FH64" i="12"/>
  <c r="FK62" i="12"/>
  <c r="FJ62" i="12"/>
  <c r="FI62" i="12"/>
  <c r="FH62" i="12"/>
  <c r="FK60" i="12"/>
  <c r="FK64" i="12" s="1"/>
  <c r="FJ60" i="12"/>
  <c r="FJ64" i="12" s="1"/>
  <c r="FI60" i="12"/>
  <c r="FI64" i="12" s="1"/>
  <c r="FH60" i="12"/>
  <c r="FK52" i="12"/>
  <c r="FJ52" i="12"/>
  <c r="FI52" i="12"/>
  <c r="FH52" i="12"/>
  <c r="FH43" i="12"/>
  <c r="FH46" i="12" s="1"/>
  <c r="FL38" i="12"/>
  <c r="FL33" i="12"/>
  <c r="FL15" i="12"/>
  <c r="FH10" i="12"/>
  <c r="FL6" i="12"/>
  <c r="FK6" i="12"/>
  <c r="FJ6" i="12"/>
  <c r="FI6" i="12"/>
  <c r="FH6" i="12"/>
  <c r="FK158" i="135"/>
  <c r="FK142" i="135" s="1"/>
  <c r="FJ158" i="135"/>
  <c r="FJ142" i="135" s="1"/>
  <c r="FJ143" i="135" s="1"/>
  <c r="FI158" i="135"/>
  <c r="FI142" i="135" s="1"/>
  <c r="FH158" i="135"/>
  <c r="FH150" i="135" s="1"/>
  <c r="FH151" i="135" s="1"/>
  <c r="FJ146" i="135"/>
  <c r="FH142" i="135"/>
  <c r="FL5" i="135"/>
  <c r="FL41" i="135" s="1"/>
  <c r="FL52" i="135" s="1"/>
  <c r="FL163" i="135" s="1"/>
  <c r="FK5" i="135"/>
  <c r="FK41" i="135" s="1"/>
  <c r="FK52" i="135" s="1"/>
  <c r="FK163" i="135" s="1"/>
  <c r="FJ5" i="135"/>
  <c r="FJ41" i="135" s="1"/>
  <c r="FJ52" i="135" s="1"/>
  <c r="FJ163" i="135" s="1"/>
  <c r="FI5" i="135"/>
  <c r="FI41" i="135" s="1"/>
  <c r="FI52" i="135" s="1"/>
  <c r="FI163" i="135" s="1"/>
  <c r="FH5" i="135"/>
  <c r="FH41" i="135" s="1"/>
  <c r="FH52" i="135" s="1"/>
  <c r="FH163" i="135" s="1"/>
  <c r="BX218" i="171"/>
  <c r="BW218" i="171"/>
  <c r="BV218" i="171"/>
  <c r="BU218" i="171"/>
  <c r="BV163" i="171"/>
  <c r="BW163" i="171" s="1"/>
  <c r="BX158" i="171"/>
  <c r="BW158" i="171"/>
  <c r="BV158" i="171"/>
  <c r="BU158" i="171"/>
  <c r="BV145" i="171"/>
  <c r="BU127" i="171"/>
  <c r="BU174" i="171" s="1"/>
  <c r="BX53" i="171"/>
  <c r="BW53" i="171"/>
  <c r="BV53" i="171"/>
  <c r="BU53" i="171"/>
  <c r="BT35" i="171"/>
  <c r="BT40" i="171" s="1"/>
  <c r="BW259" i="189"/>
  <c r="BV259" i="189"/>
  <c r="BU259" i="189"/>
  <c r="BT259" i="189"/>
  <c r="BU248" i="189"/>
  <c r="BV248" i="189" s="1"/>
  <c r="BW248" i="189" s="1"/>
  <c r="BU240" i="189"/>
  <c r="BW165" i="189"/>
  <c r="BV165" i="189"/>
  <c r="BU165" i="189"/>
  <c r="BT165" i="189"/>
  <c r="BX162" i="189"/>
  <c r="BW122" i="189"/>
  <c r="BV122" i="189"/>
  <c r="BU122" i="189"/>
  <c r="BT122" i="189"/>
  <c r="BT37" i="189" s="1"/>
  <c r="BX37" i="189" s="1"/>
  <c r="BX39" i="189"/>
  <c r="BW37" i="189"/>
  <c r="BV37" i="189"/>
  <c r="BU37" i="189"/>
  <c r="BX16" i="189"/>
  <c r="BX3" i="189"/>
  <c r="BW3" i="189"/>
  <c r="BV3" i="189"/>
  <c r="BU3" i="189"/>
  <c r="BT3" i="189"/>
  <c r="BX2" i="189"/>
  <c r="CW409" i="172"/>
  <c r="CV409" i="172"/>
  <c r="CU409" i="172"/>
  <c r="CT409" i="172"/>
  <c r="CX409" i="172" s="1"/>
  <c r="CW406" i="172"/>
  <c r="CV406" i="172"/>
  <c r="CU406" i="172"/>
  <c r="CT406" i="172"/>
  <c r="CX405" i="172"/>
  <c r="CX406" i="172" s="1"/>
  <c r="CX291" i="172"/>
  <c r="CX263" i="172"/>
  <c r="CW262" i="172"/>
  <c r="CW260" i="172"/>
  <c r="CW261" i="172" s="1"/>
  <c r="CV260" i="172"/>
  <c r="CW214" i="172"/>
  <c r="CW210" i="172"/>
  <c r="CW212" i="172" s="1"/>
  <c r="CX196" i="172"/>
  <c r="CU183" i="172"/>
  <c r="CV183" i="172" s="1"/>
  <c r="CW183" i="172" s="1"/>
  <c r="CW140" i="172"/>
  <c r="CU135" i="172"/>
  <c r="CV130" i="172"/>
  <c r="CV480" i="172" s="1"/>
  <c r="CU130" i="172"/>
  <c r="CU480" i="172" s="1"/>
  <c r="CT130" i="172"/>
  <c r="CV125" i="172"/>
  <c r="CV475" i="172" s="1"/>
  <c r="CU125" i="172"/>
  <c r="CU475" i="172" s="1"/>
  <c r="CT125" i="172"/>
  <c r="CT475" i="172" s="1"/>
  <c r="CV114" i="172"/>
  <c r="CU114" i="172"/>
  <c r="CT114" i="172"/>
  <c r="CV107" i="172"/>
  <c r="CU107" i="172"/>
  <c r="CT107" i="172"/>
  <c r="CV101" i="172"/>
  <c r="CU101" i="172"/>
  <c r="CT101" i="172"/>
  <c r="CU99" i="172"/>
  <c r="CV96" i="172"/>
  <c r="CU96" i="172"/>
  <c r="CT96" i="172"/>
  <c r="CX7" i="172"/>
  <c r="CX451" i="172" s="1"/>
  <c r="CW7" i="172"/>
  <c r="CW451" i="172" s="1"/>
  <c r="CV7" i="172"/>
  <c r="CV451" i="172" s="1"/>
  <c r="CU7" i="172"/>
  <c r="CU451" i="172" s="1"/>
  <c r="CT7" i="172"/>
  <c r="CT451" i="172" s="1"/>
  <c r="FL40" i="9"/>
  <c r="FL38" i="9"/>
  <c r="FL31" i="9"/>
  <c r="FL30" i="9"/>
  <c r="FI28" i="9"/>
  <c r="FJ28" i="9" s="1"/>
  <c r="FK28" i="9" s="1"/>
  <c r="FL28" i="9" s="1"/>
  <c r="FH27" i="9"/>
  <c r="FI10" i="12"/>
  <c r="FL15" i="9"/>
  <c r="FL14" i="9"/>
  <c r="FL13" i="9"/>
  <c r="FL12" i="9"/>
  <c r="FL11" i="9"/>
  <c r="FL10" i="9"/>
  <c r="FL6" i="9"/>
  <c r="FK6" i="9"/>
  <c r="FJ6" i="9"/>
  <c r="FI6" i="9"/>
  <c r="FH6" i="9"/>
  <c r="FK124" i="8"/>
  <c r="FJ124" i="8"/>
  <c r="FI124" i="8"/>
  <c r="FH124" i="8"/>
  <c r="FH99" i="8"/>
  <c r="FL37" i="8"/>
  <c r="FL6" i="8"/>
  <c r="FK6" i="8"/>
  <c r="FJ6" i="8"/>
  <c r="FI6" i="8"/>
  <c r="FH6" i="8"/>
  <c r="FK78" i="7"/>
  <c r="FJ78" i="7"/>
  <c r="FI78" i="7"/>
  <c r="FH78" i="7"/>
  <c r="FL77" i="7"/>
  <c r="FL75" i="7"/>
  <c r="FL74" i="7"/>
  <c r="FL73" i="7"/>
  <c r="FL72" i="7"/>
  <c r="FL71" i="7"/>
  <c r="FK61" i="7"/>
  <c r="FJ61" i="7"/>
  <c r="FI61" i="7"/>
  <c r="FH61" i="7"/>
  <c r="FL50" i="7"/>
  <c r="FK49" i="7"/>
  <c r="FJ49" i="7"/>
  <c r="FI49" i="7"/>
  <c r="FH49" i="7"/>
  <c r="FL41" i="7"/>
  <c r="FL33" i="7"/>
  <c r="FL21" i="7"/>
  <c r="FH146" i="135" l="1"/>
  <c r="FH147" i="135" s="1"/>
  <c r="FH154" i="135"/>
  <c r="FH155" i="135" s="1"/>
  <c r="FH143" i="135"/>
  <c r="FK150" i="135"/>
  <c r="FL150" i="135" s="1"/>
  <c r="FK146" i="135"/>
  <c r="FK147" i="135" s="1"/>
  <c r="FL147" i="135" s="1"/>
  <c r="FK160" i="135"/>
  <c r="BW124" i="189"/>
  <c r="BX165" i="189"/>
  <c r="FL49" i="7"/>
  <c r="FI43" i="12"/>
  <c r="FI46" i="12" s="1"/>
  <c r="FI61" i="12" s="1"/>
  <c r="FJ43" i="12"/>
  <c r="FJ46" i="12" s="1"/>
  <c r="FJ53" i="12" s="1"/>
  <c r="FJ67" i="12" s="1"/>
  <c r="FJ11" i="12" s="1"/>
  <c r="FK43" i="12"/>
  <c r="FK46" i="12" s="1"/>
  <c r="FK61" i="12" s="1"/>
  <c r="FL123" i="8"/>
  <c r="FL78" i="7"/>
  <c r="CU104" i="172"/>
  <c r="CV104" i="172"/>
  <c r="CU128" i="172"/>
  <c r="CV182" i="172"/>
  <c r="CV181" i="172" s="1"/>
  <c r="CV110" i="172"/>
  <c r="CU119" i="172"/>
  <c r="CV133" i="172"/>
  <c r="BV240" i="189"/>
  <c r="FH61" i="12"/>
  <c r="FH54" i="12"/>
  <c r="FH69" i="12" s="1"/>
  <c r="FH29" i="12" s="1"/>
  <c r="FH53" i="12"/>
  <c r="FH67" i="12" s="1"/>
  <c r="FH11" i="12" s="1"/>
  <c r="FJ54" i="12"/>
  <c r="FJ69" i="12" s="1"/>
  <c r="FJ29" i="12" s="1"/>
  <c r="FK53" i="12"/>
  <c r="FK67" i="12" s="1"/>
  <c r="FK11" i="12" s="1"/>
  <c r="FI160" i="135"/>
  <c r="FI150" i="135"/>
  <c r="FI146" i="135"/>
  <c r="FI143" i="135"/>
  <c r="FJ147" i="135"/>
  <c r="FL142" i="135"/>
  <c r="FK143" i="135"/>
  <c r="FL143" i="135" s="1"/>
  <c r="FJ150" i="135"/>
  <c r="FL158" i="135"/>
  <c r="FJ160" i="135"/>
  <c r="BV127" i="171"/>
  <c r="BW145" i="171"/>
  <c r="BX163" i="171"/>
  <c r="BU124" i="189"/>
  <c r="BV124" i="189"/>
  <c r="BX122" i="189"/>
  <c r="BW240" i="189"/>
  <c r="CV455" i="172"/>
  <c r="CV99" i="172"/>
  <c r="CU470" i="172"/>
  <c r="CU117" i="172"/>
  <c r="CT480" i="172"/>
  <c r="CT135" i="172"/>
  <c r="CU138" i="172" s="1"/>
  <c r="CT465" i="172"/>
  <c r="CT460" i="172"/>
  <c r="CU465" i="172"/>
  <c r="CV470" i="172"/>
  <c r="CV119" i="172"/>
  <c r="CT455" i="172"/>
  <c r="CU460" i="172"/>
  <c r="CV117" i="172"/>
  <c r="CV465" i="172"/>
  <c r="CU455" i="172"/>
  <c r="CV460" i="172"/>
  <c r="CU110" i="172"/>
  <c r="CT470" i="172"/>
  <c r="CT119" i="172"/>
  <c r="CW197" i="172"/>
  <c r="CU133" i="172"/>
  <c r="CU182" i="172"/>
  <c r="CU181" i="172" s="1"/>
  <c r="CW215" i="172"/>
  <c r="CV128" i="172"/>
  <c r="CV135" i="172"/>
  <c r="CT182" i="172"/>
  <c r="FJ10" i="12"/>
  <c r="FI99" i="8"/>
  <c r="FK151" i="135" l="1"/>
  <c r="FL151" i="135" s="1"/>
  <c r="FI154" i="135"/>
  <c r="FL146" i="135"/>
  <c r="FK154" i="135"/>
  <c r="FI53" i="12"/>
  <c r="FI67" i="12" s="1"/>
  <c r="FI11" i="12" s="1"/>
  <c r="FL11" i="12" s="1"/>
  <c r="FI54" i="12"/>
  <c r="FI69" i="12" s="1"/>
  <c r="FI29" i="12" s="1"/>
  <c r="FK54" i="12"/>
  <c r="FK69" i="12" s="1"/>
  <c r="FK29" i="12" s="1"/>
  <c r="FJ61" i="12"/>
  <c r="FI147" i="135"/>
  <c r="FI155" i="135"/>
  <c r="FJ151" i="135"/>
  <c r="FJ154" i="135"/>
  <c r="FI151" i="135"/>
  <c r="BV174" i="171"/>
  <c r="BX145" i="171"/>
  <c r="BX127" i="171" s="1"/>
  <c r="BW127" i="171"/>
  <c r="CV138" i="172"/>
  <c r="CV122" i="172"/>
  <c r="CT181" i="172"/>
  <c r="CU122" i="172"/>
  <c r="FK10" i="12"/>
  <c r="FL10" i="12" s="1"/>
  <c r="FJ99" i="8"/>
  <c r="FK155" i="135" l="1"/>
  <c r="FL155" i="135" s="1"/>
  <c r="FL154" i="135"/>
  <c r="FL29" i="12"/>
  <c r="FL26" i="9"/>
  <c r="FJ155" i="135"/>
  <c r="BX174" i="171"/>
  <c r="BW174" i="171"/>
  <c r="FK99" i="8"/>
  <c r="FF124" i="8" l="1"/>
  <c r="FE124" i="8"/>
  <c r="FD124" i="8"/>
  <c r="FC124" i="8"/>
  <c r="FA124" i="8"/>
  <c r="EZ124" i="8"/>
  <c r="EY124" i="8"/>
  <c r="EX124" i="8"/>
  <c r="EV124" i="8"/>
  <c r="EU124" i="8"/>
  <c r="EU122" i="8" s="1"/>
  <c r="EU54" i="8" s="1"/>
  <c r="EZ54" i="8" s="1"/>
  <c r="FE54" i="8" s="1"/>
  <c r="FJ54" i="8" s="1"/>
  <c r="FF108" i="8"/>
  <c r="FE108" i="8"/>
  <c r="FD108" i="8"/>
  <c r="FC108" i="8"/>
  <c r="FA108" i="8"/>
  <c r="EZ108" i="8"/>
  <c r="EY108" i="8"/>
  <c r="EX108" i="8"/>
  <c r="EV108" i="8"/>
  <c r="ET33" i="8"/>
  <c r="FG123" i="8" l="1"/>
  <c r="FB123" i="8"/>
  <c r="EV122" i="8"/>
  <c r="EX122" i="8" s="1"/>
  <c r="EY122" i="8" s="1"/>
  <c r="EZ122" i="8" s="1"/>
  <c r="FA122" i="8" s="1"/>
  <c r="FC122" i="8" s="1"/>
  <c r="FD122" i="8" s="1"/>
  <c r="FE122" i="8" s="1"/>
  <c r="FF122" i="8" s="1"/>
  <c r="FH122" i="8" s="1"/>
  <c r="FI122" i="8" s="1"/>
  <c r="FJ122" i="8" s="1"/>
  <c r="FK122" i="8" s="1"/>
  <c r="EV34" i="8"/>
  <c r="BI10" i="171"/>
  <c r="ET66" i="123" l="1"/>
  <c r="ET64" i="123"/>
  <c r="ET61" i="123"/>
  <c r="ET51" i="123"/>
  <c r="ET47" i="123"/>
  <c r="ET46" i="123"/>
  <c r="ET45" i="123"/>
  <c r="ET39" i="123" s="1"/>
  <c r="ET38" i="123"/>
  <c r="ET41" i="123" s="1"/>
  <c r="ET29" i="123"/>
  <c r="ET28" i="123"/>
  <c r="ET59" i="123" s="1"/>
  <c r="ET27" i="123"/>
  <c r="ET26" i="123"/>
  <c r="ET30" i="123" s="1"/>
  <c r="ET23" i="123"/>
  <c r="ET21" i="123"/>
  <c r="ET17" i="123"/>
  <c r="ET16" i="123"/>
  <c r="ET13" i="123"/>
  <c r="ET10" i="123"/>
  <c r="ET70" i="12"/>
  <c r="ET68" i="12"/>
  <c r="ET62" i="12"/>
  <c r="ET60" i="12"/>
  <c r="ET64" i="12" s="1"/>
  <c r="ET52" i="12"/>
  <c r="ET43" i="12"/>
  <c r="ET46" i="12" s="1"/>
  <c r="ET61" i="12" s="1"/>
  <c r="ET17" i="12"/>
  <c r="ET10" i="12"/>
  <c r="ET8" i="12"/>
  <c r="ET158" i="135"/>
  <c r="ET117" i="135"/>
  <c r="ET113" i="135" s="1"/>
  <c r="EU115" i="135" s="1"/>
  <c r="ET108" i="135"/>
  <c r="ET104" i="135" s="1"/>
  <c r="EU106" i="135" s="1"/>
  <c r="ET99" i="135"/>
  <c r="ET95" i="135" s="1"/>
  <c r="EU97" i="135" s="1"/>
  <c r="ET46" i="135"/>
  <c r="ET42" i="135"/>
  <c r="ET9" i="135"/>
  <c r="ET8" i="135"/>
  <c r="BG10" i="171"/>
  <c r="BG29" i="171"/>
  <c r="BF194" i="189"/>
  <c r="BF80" i="189"/>
  <c r="BF259" i="189"/>
  <c r="BF255" i="189"/>
  <c r="BF260" i="189" s="1"/>
  <c r="BF57" i="189" s="1"/>
  <c r="BF240" i="189"/>
  <c r="BG240" i="189" s="1"/>
  <c r="BF159" i="189"/>
  <c r="BF119" i="189"/>
  <c r="BG121" i="189" s="1"/>
  <c r="BF116" i="189"/>
  <c r="BF40" i="189"/>
  <c r="BF28" i="189"/>
  <c r="BF82" i="189"/>
  <c r="BG84" i="189" s="1"/>
  <c r="BF15" i="189"/>
  <c r="BF35" i="189" l="1"/>
  <c r="BG118" i="189"/>
  <c r="BF8" i="189"/>
  <c r="BG59" i="189"/>
  <c r="EU56" i="123"/>
  <c r="EU57" i="123" s="1"/>
  <c r="EU50" i="123" s="1"/>
  <c r="EU53" i="123" s="1"/>
  <c r="EU62" i="123"/>
  <c r="ET142" i="135"/>
  <c r="ET143" i="135" s="1"/>
  <c r="BF20" i="189"/>
  <c r="ET65" i="123"/>
  <c r="BF101" i="189"/>
  <c r="BG103" i="189" s="1"/>
  <c r="ET67" i="123"/>
  <c r="ET11" i="123"/>
  <c r="ET14" i="123" s="1"/>
  <c r="ET40" i="123"/>
  <c r="ET60" i="123" s="1"/>
  <c r="ET12" i="123"/>
  <c r="ET53" i="12"/>
  <c r="ET67" i="12" s="1"/>
  <c r="ET11" i="12" s="1"/>
  <c r="ET54" i="12"/>
  <c r="ET69" i="12" s="1"/>
  <c r="ET29" i="12" s="1"/>
  <c r="ET150" i="135"/>
  <c r="ET36" i="135"/>
  <c r="ET47" i="135" s="1"/>
  <c r="ET146" i="135"/>
  <c r="BF36" i="189"/>
  <c r="BF45" i="189"/>
  <c r="BF129" i="189"/>
  <c r="BG131" i="189" s="1"/>
  <c r="BF165" i="189"/>
  <c r="ET42" i="123" l="1"/>
  <c r="ET58" i="123"/>
  <c r="ET18" i="123"/>
  <c r="ET147" i="135"/>
  <c r="ET154" i="135"/>
  <c r="ET21" i="135"/>
  <c r="ET22" i="135" s="1"/>
  <c r="ET43" i="135"/>
  <c r="ET85" i="135"/>
  <c r="ET7" i="135"/>
  <c r="ET151" i="135"/>
  <c r="ET155" i="135" l="1"/>
  <c r="BF122" i="189"/>
  <c r="BG124" i="189" s="1"/>
  <c r="BF37" i="189" l="1"/>
  <c r="CG509" i="172" l="1"/>
  <c r="CG508" i="172"/>
  <c r="CG510" i="172" s="1"/>
  <c r="CG514" i="172" s="1"/>
  <c r="CF26" i="172"/>
  <c r="ET120" i="135" s="1"/>
  <c r="CF19" i="172"/>
  <c r="ET111" i="135" s="1"/>
  <c r="CF12" i="172"/>
  <c r="ET102" i="135" s="1"/>
  <c r="CF88" i="172"/>
  <c r="CF84" i="172"/>
  <c r="CF80" i="172"/>
  <c r="CF79" i="172"/>
  <c r="CF75" i="172"/>
  <c r="CF74" i="172"/>
  <c r="CF70" i="172"/>
  <c r="CF69" i="172"/>
  <c r="CF54" i="172"/>
  <c r="CF77" i="172" s="1"/>
  <c r="CF49" i="172"/>
  <c r="CF44" i="172"/>
  <c r="CF34" i="172"/>
  <c r="CF32" i="172"/>
  <c r="CG36" i="172" s="1"/>
  <c r="CF27" i="172"/>
  <c r="ET119" i="135" s="1"/>
  <c r="CF25" i="172"/>
  <c r="ET118" i="135" s="1"/>
  <c r="CF20" i="172"/>
  <c r="ET110" i="135" s="1"/>
  <c r="CF18" i="172"/>
  <c r="ET109" i="135" s="1"/>
  <c r="CF13" i="172"/>
  <c r="ET101" i="135" s="1"/>
  <c r="CF11" i="172"/>
  <c r="ET100" i="135" s="1"/>
  <c r="CF28" i="172" l="1"/>
  <c r="BF134" i="189"/>
  <c r="BG136" i="189" s="1"/>
  <c r="CF21" i="172"/>
  <c r="CF14" i="172"/>
  <c r="CF48" i="172"/>
  <c r="CF43" i="172"/>
  <c r="CF67" i="172"/>
  <c r="CF85" i="172"/>
  <c r="CG516" i="172"/>
  <c r="CG515" i="172"/>
  <c r="CF53" i="172"/>
  <c r="CF72" i="172"/>
  <c r="CF38" i="172"/>
  <c r="CG40" i="172" s="1"/>
  <c r="CG518" i="172" l="1"/>
  <c r="CG517" i="172"/>
  <c r="CG519" i="172" l="1"/>
  <c r="ET34" i="9" l="1"/>
  <c r="ET30" i="9"/>
  <c r="ET33" i="9" s="1"/>
  <c r="ET21" i="9"/>
  <c r="ET20" i="9"/>
  <c r="ET18" i="9"/>
  <c r="ET23" i="9"/>
  <c r="EU23" i="9" s="1"/>
  <c r="EU56" i="135" s="1"/>
  <c r="ET42" i="9"/>
  <c r="ET39" i="9"/>
  <c r="ET27" i="9"/>
  <c r="ET16" i="9"/>
  <c r="ET79" i="8"/>
  <c r="EU79" i="8" s="1"/>
  <c r="ET78" i="8"/>
  <c r="EU78" i="8" s="1"/>
  <c r="ET24" i="8"/>
  <c r="ET20" i="8"/>
  <c r="ET95" i="8"/>
  <c r="EU97" i="8" s="1"/>
  <c r="ET94" i="8"/>
  <c r="ET89" i="8"/>
  <c r="ET87" i="8" s="1"/>
  <c r="ET81" i="8"/>
  <c r="ET67" i="8"/>
  <c r="ET66" i="8"/>
  <c r="ET64" i="8"/>
  <c r="ET48" i="8"/>
  <c r="ET47" i="8"/>
  <c r="ET41" i="8"/>
  <c r="EU63" i="8" s="1"/>
  <c r="EU69" i="8" s="1"/>
  <c r="EU70" i="8" s="1"/>
  <c r="ET31" i="8"/>
  <c r="ET36" i="8" s="1"/>
  <c r="ET73" i="8"/>
  <c r="ET14" i="8"/>
  <c r="ET21" i="8" s="1"/>
  <c r="ET58" i="7"/>
  <c r="ET50" i="7"/>
  <c r="ET51" i="7" s="1"/>
  <c r="ET84" i="7"/>
  <c r="ET83" i="7"/>
  <c r="ET82" i="7"/>
  <c r="ET79" i="7"/>
  <c r="ET80" i="7" s="1"/>
  <c r="ET57" i="7"/>
  <c r="ET34" i="7"/>
  <c r="EU74" i="8" l="1"/>
  <c r="EU75" i="8" s="1"/>
  <c r="ET53" i="8"/>
  <c r="ET54" i="8"/>
  <c r="EY54" i="8" s="1"/>
  <c r="FD54" i="8" s="1"/>
  <c r="FI54" i="8" s="1"/>
  <c r="ET74" i="8"/>
  <c r="EV74" i="8" s="1"/>
  <c r="ET50" i="8"/>
  <c r="ET51" i="8"/>
  <c r="ET65" i="8"/>
  <c r="ET68" i="8" s="1"/>
  <c r="CF83" i="172"/>
  <c r="ET49" i="8"/>
  <c r="ET22" i="9"/>
  <c r="ET56" i="135"/>
  <c r="ET42" i="8"/>
  <c r="ET53" i="135" l="1"/>
  <c r="ET75" i="8"/>
  <c r="EU76" i="8" s="1"/>
  <c r="ET24" i="9"/>
  <c r="ET25" i="9" s="1"/>
  <c r="ET41" i="9" s="1"/>
  <c r="ET43" i="9" s="1"/>
  <c r="ET54" i="9" l="1"/>
  <c r="DP30" i="172" l="1"/>
  <c r="ES34" i="7" l="1"/>
  <c r="ES54" i="8" l="1"/>
  <c r="EX54" i="8" s="1"/>
  <c r="FC54" i="8" s="1"/>
  <c r="FH54" i="8" s="1"/>
  <c r="BN10" i="171"/>
  <c r="BS10" i="171" s="1"/>
  <c r="BX10" i="171" s="1"/>
  <c r="BX69" i="171" s="1"/>
  <c r="BM10" i="171"/>
  <c r="BR10" i="171" s="1"/>
  <c r="BW10" i="171" s="1"/>
  <c r="BW69" i="171" s="1"/>
  <c r="BL10" i="171"/>
  <c r="BQ10" i="171" s="1"/>
  <c r="BV10" i="171" s="1"/>
  <c r="BV69" i="171" s="1"/>
  <c r="BK10" i="171"/>
  <c r="BP10" i="171" s="1"/>
  <c r="BU10" i="171" s="1"/>
  <c r="BU69" i="171" s="1"/>
  <c r="BW98" i="189" l="1"/>
  <c r="BU98" i="189"/>
  <c r="BT98" i="189"/>
  <c r="BV98" i="189"/>
  <c r="EO34" i="7"/>
  <c r="ET36" i="7" s="1"/>
  <c r="ES66" i="123"/>
  <c r="ES64" i="123"/>
  <c r="ES61" i="123"/>
  <c r="ES47" i="123"/>
  <c r="ES46" i="123"/>
  <c r="ES45" i="123"/>
  <c r="ES38" i="123"/>
  <c r="ES41" i="123" s="1"/>
  <c r="ES27" i="123"/>
  <c r="ES26" i="123"/>
  <c r="ES23" i="123"/>
  <c r="ES21" i="123"/>
  <c r="ES17" i="123"/>
  <c r="ES16" i="123" s="1"/>
  <c r="ES18" i="123" s="1"/>
  <c r="ES13" i="123"/>
  <c r="ES12" i="123"/>
  <c r="ES58" i="123" s="1"/>
  <c r="ES10" i="123"/>
  <c r="ES11" i="123" s="1"/>
  <c r="ES70" i="12"/>
  <c r="ES68" i="12"/>
  <c r="ES62" i="12"/>
  <c r="ES60" i="12"/>
  <c r="ES64" i="12" s="1"/>
  <c r="ES52" i="12"/>
  <c r="ES43" i="12"/>
  <c r="ES46" i="12" s="1"/>
  <c r="ES17" i="12"/>
  <c r="ES10" i="12"/>
  <c r="ES8" i="12"/>
  <c r="ES158" i="135"/>
  <c r="ET160" i="135" s="1"/>
  <c r="ES117" i="135"/>
  <c r="ES113" i="135" s="1"/>
  <c r="ET115" i="135" s="1"/>
  <c r="ES108" i="135"/>
  <c r="ES104" i="135" s="1"/>
  <c r="ET106" i="135" s="1"/>
  <c r="ES99" i="135"/>
  <c r="ES95" i="135" s="1"/>
  <c r="ET97" i="135" s="1"/>
  <c r="ES8" i="135"/>
  <c r="ES56" i="135"/>
  <c r="ES46" i="135"/>
  <c r="ES42" i="135"/>
  <c r="ET56" i="123" l="1"/>
  <c r="ET57" i="123" s="1"/>
  <c r="ET50" i="123" s="1"/>
  <c r="ET53" i="123" s="1"/>
  <c r="ET62" i="123"/>
  <c r="ES65" i="123"/>
  <c r="ES42" i="123"/>
  <c r="ES14" i="123"/>
  <c r="ES28" i="123"/>
  <c r="ES59" i="123" s="1"/>
  <c r="ES39" i="123"/>
  <c r="ES67" i="123"/>
  <c r="ES29" i="123"/>
  <c r="ES30" i="123" s="1"/>
  <c r="ES40" i="123"/>
  <c r="ES60" i="123" s="1"/>
  <c r="ES54" i="12"/>
  <c r="ES69" i="12" s="1"/>
  <c r="ES29" i="12" s="1"/>
  <c r="ES53" i="12"/>
  <c r="ES67" i="12" s="1"/>
  <c r="ES11" i="12" s="1"/>
  <c r="ES61" i="12"/>
  <c r="ES150" i="135"/>
  <c r="ES142" i="135"/>
  <c r="ES146" i="135"/>
  <c r="ES36" i="135"/>
  <c r="ES47" i="135" l="1"/>
  <c r="ET59" i="135"/>
  <c r="ET38" i="135"/>
  <c r="ES43" i="135"/>
  <c r="ES147" i="135"/>
  <c r="ES154" i="135"/>
  <c r="ES143" i="135"/>
  <c r="ES151" i="135"/>
  <c r="ES21" i="135"/>
  <c r="ES22" i="135" s="1"/>
  <c r="ES7" i="135"/>
  <c r="ES155" i="135" l="1"/>
  <c r="BP67" i="189" l="1"/>
  <c r="BU67" i="189" s="1"/>
  <c r="BO67" i="189"/>
  <c r="BT67" i="189" s="1"/>
  <c r="CP55" i="172" l="1"/>
  <c r="CU55" i="172" s="1"/>
  <c r="BF30" i="171"/>
  <c r="AK147" i="189"/>
  <c r="BE169" i="189"/>
  <c r="BE40" i="189"/>
  <c r="BE28" i="189"/>
  <c r="BE17" i="189"/>
  <c r="CF509" i="172"/>
  <c r="CF508" i="172"/>
  <c r="CF510" i="172" s="1"/>
  <c r="CF514" i="172" s="1"/>
  <c r="BE20" i="189" l="1"/>
  <c r="BE82" i="189"/>
  <c r="BF84" i="189" s="1"/>
  <c r="BE101" i="189"/>
  <c r="BF103" i="189" s="1"/>
  <c r="BE129" i="189"/>
  <c r="BF131" i="189" s="1"/>
  <c r="BE45" i="189"/>
  <c r="CF516" i="172"/>
  <c r="CF515" i="172"/>
  <c r="CF518" i="172" l="1"/>
  <c r="CF519" i="172" s="1"/>
  <c r="CF517" i="172"/>
  <c r="ES34" i="9"/>
  <c r="ES30" i="9"/>
  <c r="ES20" i="9"/>
  <c r="ES22" i="9"/>
  <c r="ES18" i="9"/>
  <c r="ES39" i="9"/>
  <c r="ES33" i="9"/>
  <c r="ES27" i="9"/>
  <c r="ES16" i="9"/>
  <c r="ES95" i="8"/>
  <c r="ES94" i="8"/>
  <c r="ER93" i="8"/>
  <c r="ES89" i="8"/>
  <c r="ES87" i="8" s="1"/>
  <c r="ES74" i="8"/>
  <c r="ES33" i="8"/>
  <c r="ES24" i="8"/>
  <c r="ES20" i="8"/>
  <c r="ES53" i="135" l="1"/>
  <c r="EU22" i="9"/>
  <c r="ES24" i="9"/>
  <c r="ES25" i="9" s="1"/>
  <c r="ES41" i="9" s="1"/>
  <c r="EU53" i="135" l="1"/>
  <c r="EU24" i="9"/>
  <c r="EU25" i="9" s="1"/>
  <c r="ES54" i="9"/>
  <c r="EU54" i="9" l="1"/>
  <c r="EU41" i="9"/>
  <c r="EU43" i="9" s="1"/>
  <c r="ES67" i="8"/>
  <c r="ES66" i="8"/>
  <c r="ES64" i="8"/>
  <c r="ES48" i="8"/>
  <c r="ES47" i="8"/>
  <c r="ES41" i="8"/>
  <c r="ET63" i="8" s="1"/>
  <c r="ET69" i="8" s="1"/>
  <c r="ET70" i="8" s="1"/>
  <c r="ES31" i="8"/>
  <c r="ES14" i="8"/>
  <c r="ES21" i="8" s="1"/>
  <c r="CE26" i="172"/>
  <c r="ES120" i="135" s="1"/>
  <c r="CE19" i="172"/>
  <c r="ES111" i="135" s="1"/>
  <c r="CE12" i="172"/>
  <c r="ES102" i="135" s="1"/>
  <c r="CE88" i="172"/>
  <c r="CE84" i="172"/>
  <c r="CE80" i="172"/>
  <c r="CE79" i="172"/>
  <c r="CE75" i="172"/>
  <c r="CE74" i="172"/>
  <c r="CE70" i="172"/>
  <c r="CE69" i="172"/>
  <c r="CE54" i="172"/>
  <c r="CE53" i="172" s="1"/>
  <c r="CE49" i="172"/>
  <c r="CE72" i="172" s="1"/>
  <c r="CE44" i="172"/>
  <c r="CE67" i="172" s="1"/>
  <c r="CE34" i="172"/>
  <c r="CE32" i="172"/>
  <c r="CE27" i="172"/>
  <c r="ES119" i="135" s="1"/>
  <c r="CE25" i="172"/>
  <c r="ES118" i="135" s="1"/>
  <c r="CE20" i="172"/>
  <c r="ES110" i="135" s="1"/>
  <c r="CE18" i="172"/>
  <c r="ES109" i="135" s="1"/>
  <c r="CE13" i="172"/>
  <c r="ES101" i="135" s="1"/>
  <c r="CE11" i="172"/>
  <c r="ES100" i="135" s="1"/>
  <c r="ES50" i="7"/>
  <c r="ES51" i="7" s="1"/>
  <c r="ES84" i="7"/>
  <c r="ES83" i="7"/>
  <c r="ES82" i="7"/>
  <c r="ES79" i="7"/>
  <c r="ES80" i="7" s="1"/>
  <c r="ES58" i="7"/>
  <c r="ES57" i="7"/>
  <c r="ES53" i="8"/>
  <c r="EL74" i="8"/>
  <c r="EP74" i="8"/>
  <c r="EO74" i="8"/>
  <c r="EN74" i="8"/>
  <c r="EM79" i="8"/>
  <c r="EM78" i="8"/>
  <c r="ER79" i="8"/>
  <c r="ER78" i="8"/>
  <c r="EQ74" i="8"/>
  <c r="BE134" i="189" l="1"/>
  <c r="BF136" i="189" s="1"/>
  <c r="CF36" i="172"/>
  <c r="CE83" i="172"/>
  <c r="ES49" i="8"/>
  <c r="ES65" i="8"/>
  <c r="ES51" i="8"/>
  <c r="ES50" i="8"/>
  <c r="ES36" i="8"/>
  <c r="ES42" i="8" s="1"/>
  <c r="CE77" i="172"/>
  <c r="CE85" i="172"/>
  <c r="CE14" i="172"/>
  <c r="CE21" i="172"/>
  <c r="CE28" i="172"/>
  <c r="CE38" i="172"/>
  <c r="CF40" i="172" s="1"/>
  <c r="CE43" i="172"/>
  <c r="CE48" i="172"/>
  <c r="ER74" i="8" l="1"/>
  <c r="EM74" i="8"/>
  <c r="EW74" i="8" l="1"/>
  <c r="EX74" i="8" l="1"/>
  <c r="EY74" i="8" s="1"/>
  <c r="EZ74" i="8" s="1"/>
  <c r="FA74" i="8" s="1"/>
  <c r="FB74" i="8" s="1"/>
  <c r="FC74" i="8" s="1"/>
  <c r="FD74" i="8" s="1"/>
  <c r="FE74" i="8" s="1"/>
  <c r="FF74" i="8" s="1"/>
  <c r="FG74" i="8" l="1"/>
  <c r="FH74" i="8" l="1"/>
  <c r="FI74" i="8" s="1"/>
  <c r="FJ74" i="8" s="1"/>
  <c r="FK74" i="8" s="1"/>
  <c r="FL74" i="8" s="1"/>
  <c r="DT123" i="135" l="1"/>
  <c r="DU123" i="135"/>
  <c r="DV123" i="135"/>
  <c r="DW123" i="135"/>
  <c r="DY123" i="135"/>
  <c r="DY124" i="135" s="1"/>
  <c r="DZ123" i="135"/>
  <c r="EA123" i="135"/>
  <c r="EA124" i="135" s="1"/>
  <c r="EB123" i="135"/>
  <c r="EB124" i="135" s="1"/>
  <c r="ED123" i="135"/>
  <c r="ED124" i="135" s="1"/>
  <c r="EE123" i="135"/>
  <c r="EF123" i="135"/>
  <c r="EG123" i="135"/>
  <c r="EG124" i="135" s="1"/>
  <c r="DT127" i="135"/>
  <c r="DU127" i="135"/>
  <c r="DV127" i="135"/>
  <c r="DW127" i="135"/>
  <c r="DY127" i="135"/>
  <c r="DZ127" i="135"/>
  <c r="DZ128" i="135" s="1"/>
  <c r="EA127" i="135"/>
  <c r="EB127" i="135"/>
  <c r="ED127" i="135"/>
  <c r="EE127" i="135"/>
  <c r="EF127" i="135"/>
  <c r="EG127" i="135"/>
  <c r="EG128" i="135" s="1"/>
  <c r="EF124" i="135" l="1"/>
  <c r="DY129" i="135"/>
  <c r="EA128" i="135"/>
  <c r="DW129" i="135"/>
  <c r="DV129" i="135"/>
  <c r="EB125" i="135"/>
  <c r="EF129" i="135"/>
  <c r="EF125" i="135"/>
  <c r="EC123" i="135"/>
  <c r="DX123" i="135"/>
  <c r="ED125" i="135"/>
  <c r="DU129" i="135"/>
  <c r="DY128" i="135"/>
  <c r="ED128" i="135"/>
  <c r="EE129" i="135"/>
  <c r="EA129" i="135"/>
  <c r="DZ129" i="135"/>
  <c r="DY125" i="135"/>
  <c r="ED129" i="135"/>
  <c r="EG125" i="135"/>
  <c r="EH123" i="135"/>
  <c r="EG129" i="135"/>
  <c r="EE124" i="135"/>
  <c r="EH127" i="135"/>
  <c r="EA125" i="135"/>
  <c r="DV125" i="135"/>
  <c r="DX127" i="135"/>
  <c r="EF128" i="135"/>
  <c r="EB129" i="135"/>
  <c r="EC127" i="135"/>
  <c r="EE125" i="135"/>
  <c r="DZ125" i="135"/>
  <c r="DU125" i="135"/>
  <c r="EB128" i="135"/>
  <c r="DW125" i="135"/>
  <c r="DZ124" i="135"/>
  <c r="EE128" i="135"/>
  <c r="EH124" i="135" l="1"/>
  <c r="EC124" i="135"/>
  <c r="EC128" i="135"/>
  <c r="EH128" i="135"/>
  <c r="BX45" i="172" l="1"/>
  <c r="CC45" i="172" s="1"/>
  <c r="CH45" i="172" s="1"/>
  <c r="CM45" i="172" s="1"/>
  <c r="CR45" i="172" s="1"/>
  <c r="CW45" i="172" s="1"/>
  <c r="BW45" i="172"/>
  <c r="CB45" i="172" s="1"/>
  <c r="BV45" i="172"/>
  <c r="CA45" i="172" s="1"/>
  <c r="BU45" i="172"/>
  <c r="BZ45" i="172" s="1"/>
  <c r="BX50" i="172"/>
  <c r="BW50" i="172"/>
  <c r="BV50" i="172"/>
  <c r="BU50" i="172"/>
  <c r="CC50" i="172" l="1"/>
  <c r="CH50" i="172" s="1"/>
  <c r="CM50" i="172" s="1"/>
  <c r="CR50" i="172" s="1"/>
  <c r="CW50" i="172" s="1"/>
  <c r="CB50" i="172"/>
  <c r="CA50" i="172"/>
  <c r="BZ50" i="172"/>
  <c r="AS77" i="189" l="1"/>
  <c r="AR77" i="189"/>
  <c r="AQ77" i="189"/>
  <c r="AP77" i="189"/>
  <c r="AS76" i="189"/>
  <c r="AR76" i="189"/>
  <c r="AQ76" i="189"/>
  <c r="AP76" i="189"/>
  <c r="AX75" i="189"/>
  <c r="BC75" i="189" s="1"/>
  <c r="AW75" i="189"/>
  <c r="BB75" i="189" s="1"/>
  <c r="BG75" i="189" s="1"/>
  <c r="AV75" i="189"/>
  <c r="AU75" i="189"/>
  <c r="AU77" i="189" s="1"/>
  <c r="AT75" i="189"/>
  <c r="AS77" i="175"/>
  <c r="AR77" i="175"/>
  <c r="AQ77" i="175"/>
  <c r="AP77" i="175"/>
  <c r="AS76" i="175"/>
  <c r="AR76" i="175"/>
  <c r="AQ76" i="175"/>
  <c r="AP76" i="175"/>
  <c r="AX75" i="175"/>
  <c r="AW75" i="175"/>
  <c r="AV75" i="175"/>
  <c r="BA75" i="175" s="1"/>
  <c r="AU75" i="175"/>
  <c r="AU77" i="175" s="1"/>
  <c r="AT75" i="175"/>
  <c r="BG144" i="189" l="1"/>
  <c r="BG69" i="189"/>
  <c r="BG14" i="189"/>
  <c r="BG12" i="189" s="1"/>
  <c r="AY75" i="189"/>
  <c r="AY76" i="189" s="1"/>
  <c r="AV77" i="189"/>
  <c r="AW77" i="189"/>
  <c r="BC77" i="189"/>
  <c r="AX77" i="189"/>
  <c r="AZ75" i="189"/>
  <c r="BA75" i="189"/>
  <c r="BF75" i="189" s="1"/>
  <c r="BG77" i="189" s="1"/>
  <c r="AV77" i="175"/>
  <c r="AW77" i="175"/>
  <c r="AX77" i="175"/>
  <c r="BB75" i="175"/>
  <c r="BB77" i="175" s="1"/>
  <c r="AY75" i="175"/>
  <c r="AY76" i="175" s="1"/>
  <c r="BC75" i="175"/>
  <c r="AZ75" i="175"/>
  <c r="BC77" i="175" l="1"/>
  <c r="BF144" i="189"/>
  <c r="BG146" i="189" s="1"/>
  <c r="BF14" i="189"/>
  <c r="BA77" i="189"/>
  <c r="BB77" i="189"/>
  <c r="AZ77" i="189"/>
  <c r="BD75" i="189"/>
  <c r="BD76" i="189" s="1"/>
  <c r="AZ77" i="175"/>
  <c r="BD75" i="175"/>
  <c r="BD76" i="175" s="1"/>
  <c r="BA77" i="175"/>
  <c r="CC54" i="172" l="1"/>
  <c r="CC53" i="172" s="1"/>
  <c r="CB54" i="172"/>
  <c r="CA54" i="172"/>
  <c r="BZ54" i="172"/>
  <c r="CC49" i="172"/>
  <c r="CC44" i="172"/>
  <c r="CC43" i="172" s="1"/>
  <c r="CA44" i="172"/>
  <c r="BZ44" i="172"/>
  <c r="BX49" i="172"/>
  <c r="BW49" i="172"/>
  <c r="BV49" i="172"/>
  <c r="BU49" i="172"/>
  <c r="BX48" i="172"/>
  <c r="BX44" i="172"/>
  <c r="BX43" i="172" s="1"/>
  <c r="BW44" i="172"/>
  <c r="BW43" i="172" s="1"/>
  <c r="BV44" i="172"/>
  <c r="BV43" i="172" s="1"/>
  <c r="BU44" i="172"/>
  <c r="BU43" i="172" s="1"/>
  <c r="CB53" i="172" l="1"/>
  <c r="CG56" i="172"/>
  <c r="CA43" i="172"/>
  <c r="CF46" i="172"/>
  <c r="CA53" i="172"/>
  <c r="CF56" i="172"/>
  <c r="BZ43" i="172"/>
  <c r="CE46" i="172"/>
  <c r="BZ53" i="172"/>
  <c r="CE56" i="172"/>
  <c r="CC48" i="172"/>
  <c r="BW48" i="172"/>
  <c r="BU48" i="172"/>
  <c r="BV48" i="172"/>
  <c r="CB44" i="172"/>
  <c r="BZ49" i="172"/>
  <c r="CE51" i="172" s="1"/>
  <c r="CB49" i="172"/>
  <c r="CG51" i="172" s="1"/>
  <c r="CA49" i="172"/>
  <c r="CF51" i="172" s="1"/>
  <c r="CB43" i="172" l="1"/>
  <c r="CG46" i="172"/>
  <c r="CB48" i="172"/>
  <c r="CA48" i="172"/>
  <c r="BZ48" i="172"/>
  <c r="A205" i="189" l="1"/>
  <c r="AX17" i="189"/>
  <c r="AX82" i="189" s="1"/>
  <c r="AW17" i="189"/>
  <c r="AW82" i="189" s="1"/>
  <c r="AV17" i="189"/>
  <c r="AV82" i="189" s="1"/>
  <c r="AU17" i="189"/>
  <c r="AX28" i="189"/>
  <c r="AX101" i="189" s="1"/>
  <c r="AW28" i="189"/>
  <c r="AW101" i="189" s="1"/>
  <c r="AV28" i="189"/>
  <c r="AV101" i="189" s="1"/>
  <c r="AU28" i="189"/>
  <c r="AU101" i="189" s="1"/>
  <c r="AX40" i="189"/>
  <c r="AX129" i="189" s="1"/>
  <c r="AW40" i="189"/>
  <c r="AW129" i="189" s="1"/>
  <c r="AV40" i="189"/>
  <c r="AV129" i="189" s="1"/>
  <c r="AU40" i="189"/>
  <c r="EQ42" i="9"/>
  <c r="EP42" i="9"/>
  <c r="EO42" i="9"/>
  <c r="EL42" i="9"/>
  <c r="EK42" i="9"/>
  <c r="EJ42" i="9"/>
  <c r="EQ95" i="8"/>
  <c r="ER95" i="8" s="1"/>
  <c r="EQ94" i="8"/>
  <c r="EP81" i="8"/>
  <c r="EO81" i="8"/>
  <c r="EN73" i="8"/>
  <c r="EN75" i="8" s="1"/>
  <c r="EK81" i="8"/>
  <c r="EJ81" i="8"/>
  <c r="EL73" i="8"/>
  <c r="EL75" i="8" s="1"/>
  <c r="EK73" i="8"/>
  <c r="EK75" i="8" s="1"/>
  <c r="EQ67" i="8"/>
  <c r="EP67" i="8"/>
  <c r="EO67" i="8"/>
  <c r="EN67" i="8"/>
  <c r="EQ66" i="8"/>
  <c r="EP66" i="8"/>
  <c r="EO66" i="8"/>
  <c r="EN66" i="8"/>
  <c r="EQ64" i="8"/>
  <c r="EP64" i="8"/>
  <c r="EO64" i="8"/>
  <c r="EN64" i="8"/>
  <c r="EL67" i="8"/>
  <c r="EK67" i="8"/>
  <c r="EJ67" i="8"/>
  <c r="EI67" i="8"/>
  <c r="EL66" i="8"/>
  <c r="EK66" i="8"/>
  <c r="EJ66" i="8"/>
  <c r="EI66" i="8"/>
  <c r="EL64" i="8"/>
  <c r="EK64" i="8"/>
  <c r="EJ64" i="8"/>
  <c r="EI64" i="8"/>
  <c r="EQ48" i="8"/>
  <c r="EP48" i="8"/>
  <c r="EO48" i="8"/>
  <c r="EN48" i="8"/>
  <c r="EQ47" i="8"/>
  <c r="EP47" i="8"/>
  <c r="EO47" i="8"/>
  <c r="EN47" i="8"/>
  <c r="EL48" i="8"/>
  <c r="EK48" i="8"/>
  <c r="EJ48" i="8"/>
  <c r="EI48" i="8"/>
  <c r="EL47" i="8"/>
  <c r="EK47" i="8"/>
  <c r="EJ47" i="8"/>
  <c r="EI47" i="8"/>
  <c r="CD10" i="172"/>
  <c r="CD17" i="172"/>
  <c r="CD24" i="172"/>
  <c r="BY24" i="172"/>
  <c r="BY17" i="172"/>
  <c r="BY10" i="172"/>
  <c r="BO35" i="171"/>
  <c r="BO40" i="171" s="1"/>
  <c r="CF35" i="171"/>
  <c r="AZ45" i="171"/>
  <c r="AZ46" i="171" s="1"/>
  <c r="AF231" i="189"/>
  <c r="BC260" i="189"/>
  <c r="BB260" i="189"/>
  <c r="BG261" i="189" s="1"/>
  <c r="BA260" i="189"/>
  <c r="BF261" i="189" s="1"/>
  <c r="CE433" i="189"/>
  <c r="AU431" i="189"/>
  <c r="AS431" i="189"/>
  <c r="AR431" i="189"/>
  <c r="AQ431" i="189"/>
  <c r="AP431" i="189"/>
  <c r="AN431" i="189"/>
  <c r="AM431" i="189"/>
  <c r="AL431" i="189"/>
  <c r="AK431" i="189"/>
  <c r="AE431" i="189"/>
  <c r="CE426" i="189"/>
  <c r="CE422" i="189"/>
  <c r="A422" i="189"/>
  <c r="CE418" i="189"/>
  <c r="AI418" i="189"/>
  <c r="AH418" i="189"/>
  <c r="AG418" i="189"/>
  <c r="AF418" i="189"/>
  <c r="AE418" i="189"/>
  <c r="A418" i="189"/>
  <c r="CE414" i="189"/>
  <c r="AI414" i="189"/>
  <c r="AH414" i="189"/>
  <c r="AG414" i="189"/>
  <c r="AF414" i="189"/>
  <c r="A414" i="189"/>
  <c r="CE408" i="189"/>
  <c r="AD408" i="189"/>
  <c r="AC408" i="189"/>
  <c r="AB408" i="189"/>
  <c r="AA408" i="189"/>
  <c r="Y408" i="189"/>
  <c r="X408" i="189"/>
  <c r="W408" i="189"/>
  <c r="V408" i="189"/>
  <c r="T408" i="189"/>
  <c r="S408" i="189"/>
  <c r="R408" i="189"/>
  <c r="Q408" i="189"/>
  <c r="O408" i="189"/>
  <c r="N408" i="189"/>
  <c r="M408" i="189"/>
  <c r="L408" i="189"/>
  <c r="J408" i="189"/>
  <c r="I408" i="189"/>
  <c r="H408" i="189"/>
  <c r="G408" i="189"/>
  <c r="E408" i="189"/>
  <c r="D408" i="189"/>
  <c r="C408" i="189"/>
  <c r="B408" i="189"/>
  <c r="CE404" i="189"/>
  <c r="A404" i="189"/>
  <c r="CE400" i="189"/>
  <c r="AM400" i="189"/>
  <c r="AL400" i="189"/>
  <c r="AK400" i="189"/>
  <c r="AI400" i="189"/>
  <c r="AH400" i="189"/>
  <c r="A400" i="189"/>
  <c r="CE396" i="189"/>
  <c r="A396" i="189"/>
  <c r="CE392" i="189"/>
  <c r="AK392" i="189"/>
  <c r="AI392" i="189"/>
  <c r="AH392" i="189"/>
  <c r="AG392" i="189"/>
  <c r="AF392" i="189"/>
  <c r="AK393" i="189" s="1"/>
  <c r="A392" i="189"/>
  <c r="A391" i="189"/>
  <c r="CE384" i="189"/>
  <c r="AD384" i="189"/>
  <c r="AC384" i="189"/>
  <c r="AB384" i="189"/>
  <c r="AA384" i="189"/>
  <c r="Y384" i="189"/>
  <c r="X384" i="189"/>
  <c r="W384" i="189"/>
  <c r="V384" i="189"/>
  <c r="T384" i="189"/>
  <c r="S384" i="189"/>
  <c r="R384" i="189"/>
  <c r="Q384" i="189"/>
  <c r="O384" i="189"/>
  <c r="N384" i="189"/>
  <c r="M384" i="189"/>
  <c r="L384" i="189"/>
  <c r="J384" i="189"/>
  <c r="I384" i="189"/>
  <c r="H384" i="189"/>
  <c r="G384" i="189"/>
  <c r="E384" i="189"/>
  <c r="D384" i="189"/>
  <c r="C384" i="189"/>
  <c r="B384" i="189"/>
  <c r="CE379" i="189"/>
  <c r="CE376" i="189"/>
  <c r="AS376" i="189"/>
  <c r="AX376" i="189" s="1"/>
  <c r="AX312" i="189" s="1"/>
  <c r="AQ376" i="189"/>
  <c r="AG376" i="189"/>
  <c r="CE373" i="189"/>
  <c r="AG373" i="189"/>
  <c r="CE366" i="189"/>
  <c r="AD366" i="189"/>
  <c r="AC366" i="189"/>
  <c r="AB366" i="189"/>
  <c r="AB367" i="189" s="1"/>
  <c r="AA366" i="189"/>
  <c r="AA367" i="189" s="1"/>
  <c r="CE360" i="189"/>
  <c r="AE360" i="189"/>
  <c r="CE354" i="189"/>
  <c r="CE351" i="189"/>
  <c r="AI351" i="189"/>
  <c r="AH351" i="189"/>
  <c r="AG351" i="189"/>
  <c r="AF351" i="189"/>
  <c r="AE351" i="189"/>
  <c r="AD351" i="189"/>
  <c r="AC351" i="189"/>
  <c r="AB351" i="189"/>
  <c r="AA351" i="189"/>
  <c r="Y351" i="189"/>
  <c r="X351" i="189"/>
  <c r="W351" i="189"/>
  <c r="V351" i="189"/>
  <c r="T351" i="189"/>
  <c r="S351" i="189"/>
  <c r="R351" i="189"/>
  <c r="Q351" i="189"/>
  <c r="O351" i="189"/>
  <c r="N351" i="189"/>
  <c r="M351" i="189"/>
  <c r="L351" i="189"/>
  <c r="J351" i="189"/>
  <c r="I351" i="189"/>
  <c r="H351" i="189"/>
  <c r="G351" i="189"/>
  <c r="E351" i="189"/>
  <c r="D351" i="189"/>
  <c r="C351" i="189"/>
  <c r="B351" i="189"/>
  <c r="CE348" i="189"/>
  <c r="AS348" i="189"/>
  <c r="AX348" i="189" s="1"/>
  <c r="AR348" i="189"/>
  <c r="AQ348" i="189"/>
  <c r="AV348" i="189" s="1"/>
  <c r="AN348" i="189"/>
  <c r="CE345" i="189"/>
  <c r="CE343" i="189"/>
  <c r="AV343" i="189"/>
  <c r="AV342" i="189"/>
  <c r="AU342" i="189"/>
  <c r="AS342" i="189"/>
  <c r="AR342" i="189"/>
  <c r="AQ342" i="189"/>
  <c r="AP342" i="189"/>
  <c r="AN342" i="189"/>
  <c r="AM342" i="189"/>
  <c r="AL342" i="189"/>
  <c r="AK342" i="189"/>
  <c r="AI342" i="189"/>
  <c r="AH342" i="189"/>
  <c r="AG342" i="189"/>
  <c r="AF342" i="189"/>
  <c r="CE340" i="189"/>
  <c r="CE338" i="189"/>
  <c r="CE336" i="189"/>
  <c r="AW336" i="189"/>
  <c r="AV336" i="189"/>
  <c r="AU336" i="189"/>
  <c r="AS336" i="189"/>
  <c r="AR336" i="189"/>
  <c r="AQ336" i="189"/>
  <c r="AP336" i="189"/>
  <c r="AN336" i="189"/>
  <c r="AM336" i="189"/>
  <c r="AL336" i="189"/>
  <c r="AK336" i="189"/>
  <c r="AI336" i="189"/>
  <c r="AH336" i="189"/>
  <c r="AG336" i="189"/>
  <c r="AF336" i="189"/>
  <c r="A335" i="189"/>
  <c r="CE332" i="189"/>
  <c r="AS332" i="189"/>
  <c r="AR332" i="189"/>
  <c r="AQ332" i="189"/>
  <c r="AP332" i="189"/>
  <c r="AN332" i="189"/>
  <c r="AM332" i="189"/>
  <c r="AL332" i="189"/>
  <c r="AK332" i="189"/>
  <c r="AI332" i="189"/>
  <c r="AI331" i="189" s="1"/>
  <c r="AH332" i="189"/>
  <c r="AH331" i="189" s="1"/>
  <c r="AG332" i="189"/>
  <c r="AG331" i="189" s="1"/>
  <c r="AF332" i="189"/>
  <c r="AF331" i="189" s="1"/>
  <c r="AD332" i="189"/>
  <c r="AC332" i="189"/>
  <c r="AB332" i="189"/>
  <c r="AA332" i="189"/>
  <c r="CE331" i="189"/>
  <c r="CE330" i="189"/>
  <c r="AN330" i="189"/>
  <c r="AN418" i="189" s="1"/>
  <c r="AM330" i="189"/>
  <c r="AL330" i="189"/>
  <c r="AL418" i="189" s="1"/>
  <c r="AK330" i="189"/>
  <c r="AK418" i="189" s="1"/>
  <c r="AJ330" i="189"/>
  <c r="CE329" i="189"/>
  <c r="CE328" i="189"/>
  <c r="AN328" i="189"/>
  <c r="AM328" i="189"/>
  <c r="AM414" i="189" s="1"/>
  <c r="AL328" i="189"/>
  <c r="AL414" i="189" s="1"/>
  <c r="AK328" i="189"/>
  <c r="AK414" i="189" s="1"/>
  <c r="AJ328" i="189"/>
  <c r="AE328" i="189"/>
  <c r="AE414" i="189" s="1"/>
  <c r="CE325" i="189"/>
  <c r="AS325" i="189"/>
  <c r="AR325" i="189"/>
  <c r="AQ325" i="189"/>
  <c r="AP325" i="189"/>
  <c r="AN325" i="189"/>
  <c r="AM325" i="189"/>
  <c r="AL325" i="189"/>
  <c r="AK325" i="189"/>
  <c r="AI325" i="189"/>
  <c r="AH325" i="189"/>
  <c r="AG325" i="189"/>
  <c r="AF325" i="189"/>
  <c r="AD325" i="189"/>
  <c r="AC325" i="189"/>
  <c r="AB325" i="189"/>
  <c r="AA325" i="189"/>
  <c r="CE324" i="189"/>
  <c r="CE323" i="189"/>
  <c r="CE322" i="189"/>
  <c r="AS396" i="189"/>
  <c r="AR396" i="189"/>
  <c r="AQ396" i="189"/>
  <c r="AP396" i="189"/>
  <c r="AN396" i="189"/>
  <c r="AL396" i="189"/>
  <c r="AK396" i="189"/>
  <c r="AH396" i="189"/>
  <c r="AG396" i="189"/>
  <c r="AF396" i="189"/>
  <c r="AE396" i="189"/>
  <c r="CE321" i="189"/>
  <c r="AP321" i="189"/>
  <c r="AP392" i="189" s="1"/>
  <c r="AN321" i="189"/>
  <c r="AJ321" i="189"/>
  <c r="AJ392" i="189" s="1"/>
  <c r="CE318" i="189"/>
  <c r="AS318" i="189"/>
  <c r="AR318" i="189"/>
  <c r="AQ318" i="189"/>
  <c r="AP318" i="189"/>
  <c r="AN318" i="189"/>
  <c r="AM318" i="189"/>
  <c r="AL318" i="189"/>
  <c r="AK318" i="189"/>
  <c r="AI318" i="189"/>
  <c r="AH318" i="189"/>
  <c r="AG318" i="189"/>
  <c r="AF318" i="189"/>
  <c r="AD318" i="189"/>
  <c r="AC318" i="189"/>
  <c r="AB318" i="189"/>
  <c r="AA318" i="189"/>
  <c r="CE317" i="189"/>
  <c r="AV317" i="189"/>
  <c r="AU317" i="189"/>
  <c r="CE316" i="189"/>
  <c r="AN316" i="189"/>
  <c r="AS316" i="189" s="1"/>
  <c r="AM316" i="189"/>
  <c r="AK316" i="189"/>
  <c r="AP316" i="189" s="1"/>
  <c r="AG316" i="189"/>
  <c r="AJ316" i="189" s="1"/>
  <c r="AE316" i="189" s="1"/>
  <c r="CE315" i="189"/>
  <c r="CE314" i="189"/>
  <c r="AI314" i="189"/>
  <c r="AH314" i="189"/>
  <c r="AG314" i="189"/>
  <c r="AF314" i="189"/>
  <c r="CE313" i="189"/>
  <c r="AK313" i="189"/>
  <c r="AK379" i="189" s="1"/>
  <c r="AI313" i="189"/>
  <c r="AH313" i="189"/>
  <c r="AH379" i="189" s="1"/>
  <c r="AG313" i="189"/>
  <c r="AG379" i="189" s="1"/>
  <c r="AF313" i="189"/>
  <c r="AF379" i="189" s="1"/>
  <c r="CE312" i="189"/>
  <c r="AL312" i="189"/>
  <c r="AL376" i="189" s="1"/>
  <c r="CE311" i="189"/>
  <c r="CD311" i="189"/>
  <c r="AY311" i="189"/>
  <c r="AI311" i="189"/>
  <c r="AI373" i="189" s="1"/>
  <c r="CE308" i="189"/>
  <c r="AS308" i="189"/>
  <c r="AR308" i="189"/>
  <c r="AR307" i="189" s="1"/>
  <c r="AQ308" i="189"/>
  <c r="AQ307" i="189" s="1"/>
  <c r="AP308" i="189"/>
  <c r="AP307" i="189" s="1"/>
  <c r="AN308" i="189"/>
  <c r="AN307" i="189" s="1"/>
  <c r="AM308" i="189"/>
  <c r="AL308" i="189"/>
  <c r="AK308" i="189"/>
  <c r="AS307" i="189"/>
  <c r="AM307" i="189"/>
  <c r="AL307" i="189"/>
  <c r="AK307" i="189"/>
  <c r="AI307" i="189"/>
  <c r="AH307" i="189"/>
  <c r="AG307" i="189"/>
  <c r="AF307" i="189"/>
  <c r="CE304" i="189"/>
  <c r="AS304" i="189"/>
  <c r="AR304" i="189"/>
  <c r="AQ304" i="189"/>
  <c r="AP304" i="189"/>
  <c r="AN304" i="189"/>
  <c r="AM304" i="189"/>
  <c r="AL304" i="189"/>
  <c r="AK304" i="189"/>
  <c r="AI304" i="189"/>
  <c r="AH304" i="189"/>
  <c r="AG304" i="189"/>
  <c r="AF304" i="189"/>
  <c r="AD304" i="189"/>
  <c r="AD360" i="189" s="1"/>
  <c r="AC304" i="189"/>
  <c r="AC360" i="189" s="1"/>
  <c r="AB304" i="189"/>
  <c r="AB360" i="189" s="1"/>
  <c r="AA304" i="189"/>
  <c r="AA360" i="189" s="1"/>
  <c r="AA361" i="189" s="1"/>
  <c r="CE303" i="189"/>
  <c r="CE302" i="189"/>
  <c r="CB302" i="189"/>
  <c r="AU302" i="189"/>
  <c r="AS302" i="189"/>
  <c r="AR302" i="189"/>
  <c r="AJ302" i="189"/>
  <c r="CE301" i="189"/>
  <c r="CE300" i="189"/>
  <c r="AX300" i="189"/>
  <c r="AW300" i="189"/>
  <c r="AV300" i="189"/>
  <c r="AU300" i="189"/>
  <c r="AF300" i="189"/>
  <c r="CE297" i="189"/>
  <c r="AS297" i="189"/>
  <c r="AR297" i="189"/>
  <c r="AQ297" i="189"/>
  <c r="AP297" i="189"/>
  <c r="AN297" i="189"/>
  <c r="AM297" i="189"/>
  <c r="AL297" i="189"/>
  <c r="AK297" i="189"/>
  <c r="AI297" i="189"/>
  <c r="AH297" i="189"/>
  <c r="AG297" i="189"/>
  <c r="AF297" i="189"/>
  <c r="AD297" i="189"/>
  <c r="AD354" i="189" s="1"/>
  <c r="AD355" i="189" s="1"/>
  <c r="AC297" i="189"/>
  <c r="AC354" i="189" s="1"/>
  <c r="AB297" i="189"/>
  <c r="AB354" i="189" s="1"/>
  <c r="AA297" i="189"/>
  <c r="AA354" i="189" s="1"/>
  <c r="CE296" i="189"/>
  <c r="CE295" i="189"/>
  <c r="AN295" i="189"/>
  <c r="AS295" i="189" s="1"/>
  <c r="CE294" i="189"/>
  <c r="CB294" i="189"/>
  <c r="AT294" i="189"/>
  <c r="CE293" i="189"/>
  <c r="CE292" i="189"/>
  <c r="AD267" i="189"/>
  <c r="AD426" i="189" s="1"/>
  <c r="AC267" i="189"/>
  <c r="AC426" i="189" s="1"/>
  <c r="AB267" i="189"/>
  <c r="AA267" i="189"/>
  <c r="AA426" i="189" s="1"/>
  <c r="Y267" i="189"/>
  <c r="Y426" i="189" s="1"/>
  <c r="X267" i="189"/>
  <c r="W267" i="189"/>
  <c r="W426" i="189" s="1"/>
  <c r="V267" i="189"/>
  <c r="V426" i="189" s="1"/>
  <c r="T267" i="189"/>
  <c r="S267" i="189"/>
  <c r="S426" i="189" s="1"/>
  <c r="R267" i="189"/>
  <c r="R426" i="189" s="1"/>
  <c r="Q267" i="189"/>
  <c r="Q426" i="189" s="1"/>
  <c r="O267" i="189"/>
  <c r="O426" i="189" s="1"/>
  <c r="N267" i="189"/>
  <c r="N426" i="189" s="1"/>
  <c r="M267" i="189"/>
  <c r="M426" i="189" s="1"/>
  <c r="L267" i="189"/>
  <c r="J267" i="189"/>
  <c r="J426" i="189" s="1"/>
  <c r="I267" i="189"/>
  <c r="I426" i="189" s="1"/>
  <c r="H267" i="189"/>
  <c r="G267" i="189"/>
  <c r="G426" i="189" s="1"/>
  <c r="E267" i="189"/>
  <c r="E426" i="189" s="1"/>
  <c r="D267" i="189"/>
  <c r="D426" i="189" s="1"/>
  <c r="C267" i="189"/>
  <c r="C426" i="189" s="1"/>
  <c r="B267" i="189"/>
  <c r="B426" i="189" s="1"/>
  <c r="BR259" i="189"/>
  <c r="BQ259" i="189"/>
  <c r="BP259" i="189"/>
  <c r="BO259" i="189"/>
  <c r="BM259" i="189"/>
  <c r="BL259" i="189"/>
  <c r="BK259" i="189"/>
  <c r="BJ259" i="189"/>
  <c r="BH259" i="189"/>
  <c r="BE259" i="189"/>
  <c r="AD255" i="189"/>
  <c r="AD263" i="189" s="1"/>
  <c r="AC255" i="189"/>
  <c r="AC263" i="189" s="1"/>
  <c r="AB255" i="189"/>
  <c r="AB263" i="189" s="1"/>
  <c r="AA255" i="189"/>
  <c r="AA263" i="189" s="1"/>
  <c r="Y255" i="189"/>
  <c r="Y263" i="189" s="1"/>
  <c r="X255" i="189"/>
  <c r="X263" i="189" s="1"/>
  <c r="W255" i="189"/>
  <c r="W263" i="189" s="1"/>
  <c r="V255" i="189"/>
  <c r="V263" i="189" s="1"/>
  <c r="T255" i="189"/>
  <c r="T263" i="189" s="1"/>
  <c r="S255" i="189"/>
  <c r="S263" i="189" s="1"/>
  <c r="R255" i="189"/>
  <c r="R263" i="189" s="1"/>
  <c r="R433" i="189" s="1"/>
  <c r="Q255" i="189"/>
  <c r="Q263" i="189" s="1"/>
  <c r="O255" i="189"/>
  <c r="O263" i="189" s="1"/>
  <c r="N255" i="189"/>
  <c r="N263" i="189" s="1"/>
  <c r="N433" i="189" s="1"/>
  <c r="M255" i="189"/>
  <c r="M263" i="189" s="1"/>
  <c r="R264" i="189" s="1"/>
  <c r="L255" i="189"/>
  <c r="L263" i="189" s="1"/>
  <c r="J255" i="189"/>
  <c r="J263" i="189" s="1"/>
  <c r="J433" i="189" s="1"/>
  <c r="I255" i="189"/>
  <c r="I263" i="189" s="1"/>
  <c r="H255" i="189"/>
  <c r="H263" i="189" s="1"/>
  <c r="G255" i="189"/>
  <c r="G263" i="189" s="1"/>
  <c r="E255" i="189"/>
  <c r="E263" i="189" s="1"/>
  <c r="E433" i="189" s="1"/>
  <c r="D255" i="189"/>
  <c r="D263" i="189" s="1"/>
  <c r="D433" i="189" s="1"/>
  <c r="C255" i="189"/>
  <c r="C263" i="189" s="1"/>
  <c r="C433" i="189" s="1"/>
  <c r="B255" i="189"/>
  <c r="B263" i="189" s="1"/>
  <c r="AM252" i="189"/>
  <c r="AL252" i="189"/>
  <c r="AK252" i="189"/>
  <c r="AJ252" i="189"/>
  <c r="BP248" i="189"/>
  <c r="BQ248" i="189" s="1"/>
  <c r="BR248" i="189" s="1"/>
  <c r="BK248" i="189"/>
  <c r="BL248" i="189" s="1"/>
  <c r="BM248" i="189" s="1"/>
  <c r="BH248" i="189"/>
  <c r="BC248" i="189"/>
  <c r="AS248" i="189"/>
  <c r="AU248" i="189" s="1"/>
  <c r="AV248" i="189" s="1"/>
  <c r="AW248" i="189" s="1"/>
  <c r="AX248" i="189" s="1"/>
  <c r="AZ248" i="189" s="1"/>
  <c r="AQ248" i="189"/>
  <c r="AF248" i="189"/>
  <c r="AG248" i="189" s="1"/>
  <c r="AH248" i="189" s="1"/>
  <c r="AI248" i="189" s="1"/>
  <c r="AK248" i="189" s="1"/>
  <c r="AL248" i="189" s="1"/>
  <c r="AM248" i="189" s="1"/>
  <c r="AN248" i="189" s="1"/>
  <c r="AG241" i="189"/>
  <c r="AF241" i="189"/>
  <c r="AE241" i="189"/>
  <c r="AE243" i="189" s="1"/>
  <c r="AE245" i="189" s="1"/>
  <c r="AE249" i="189" s="1"/>
  <c r="AE253" i="189" s="1"/>
  <c r="BP240" i="189"/>
  <c r="BQ240" i="189" s="1"/>
  <c r="BK240" i="189"/>
  <c r="BL240" i="189" s="1"/>
  <c r="BA240" i="189"/>
  <c r="BB240" i="189" s="1"/>
  <c r="BC240" i="189" s="1"/>
  <c r="AV240" i="189"/>
  <c r="AW240" i="189" s="1"/>
  <c r="AQ240" i="189"/>
  <c r="AR240" i="189" s="1"/>
  <c r="AS240" i="189" s="1"/>
  <c r="AH240" i="189"/>
  <c r="AH241" i="189" s="1"/>
  <c r="AJ239" i="189"/>
  <c r="AJ241" i="189" s="1"/>
  <c r="AF236" i="189"/>
  <c r="AF232" i="189" s="1"/>
  <c r="BI234" i="189"/>
  <c r="BD234" i="189"/>
  <c r="AY234" i="189"/>
  <c r="AR234" i="189"/>
  <c r="AR233" i="189" s="1"/>
  <c r="AQ234" i="189"/>
  <c r="AN234" i="189"/>
  <c r="AN233" i="189" s="1"/>
  <c r="AM234" i="189"/>
  <c r="AL234" i="189"/>
  <c r="AJ234" i="189"/>
  <c r="AH234" i="189"/>
  <c r="AG234" i="189"/>
  <c r="AF234" i="189"/>
  <c r="AI233" i="189"/>
  <c r="AK234" i="189" s="1"/>
  <c r="CG225" i="189"/>
  <c r="CF225" i="189"/>
  <c r="AN366" i="189"/>
  <c r="AR224" i="189"/>
  <c r="AQ224" i="189"/>
  <c r="AW223" i="189"/>
  <c r="AV223" i="189"/>
  <c r="AU223" i="189"/>
  <c r="AS223" i="189"/>
  <c r="AW221" i="189"/>
  <c r="AV221" i="189"/>
  <c r="AU221" i="189"/>
  <c r="AS221" i="189"/>
  <c r="AR221" i="189"/>
  <c r="AR222" i="189" s="1"/>
  <c r="AQ221" i="189"/>
  <c r="AQ225" i="189" s="1"/>
  <c r="AP221" i="189"/>
  <c r="AU222" i="189" s="1"/>
  <c r="AN221" i="189"/>
  <c r="BA217" i="189"/>
  <c r="BB217" i="189" s="1"/>
  <c r="BC217" i="189" s="1"/>
  <c r="AW216" i="189"/>
  <c r="AV216" i="189"/>
  <c r="AU216" i="189"/>
  <c r="AS216" i="189"/>
  <c r="AR216" i="189"/>
  <c r="AQ216" i="189"/>
  <c r="AP216" i="189"/>
  <c r="BB215" i="189"/>
  <c r="BB221" i="189" s="1"/>
  <c r="BB222" i="189" s="1"/>
  <c r="BA215" i="189"/>
  <c r="AZ215" i="189"/>
  <c r="AZ218" i="189" s="1"/>
  <c r="AX215" i="189"/>
  <c r="BC215" i="189" s="1"/>
  <c r="BC221" i="189" s="1"/>
  <c r="AT215" i="189"/>
  <c r="AW212" i="189"/>
  <c r="AV212" i="189"/>
  <c r="AU212" i="189"/>
  <c r="AS212" i="189"/>
  <c r="AS213" i="189" s="1"/>
  <c r="AR212" i="189"/>
  <c r="AR213" i="189" s="1"/>
  <c r="AQ212" i="189"/>
  <c r="AQ213" i="189" s="1"/>
  <c r="AP212" i="189"/>
  <c r="AW210" i="189"/>
  <c r="AV210" i="189"/>
  <c r="AU210" i="189"/>
  <c r="AS210" i="189"/>
  <c r="AR210" i="189"/>
  <c r="AQ210" i="189"/>
  <c r="AP210" i="189"/>
  <c r="BA209" i="189"/>
  <c r="AZ209" i="189"/>
  <c r="AX209" i="189"/>
  <c r="AT209" i="189"/>
  <c r="AS205" i="189"/>
  <c r="AS113" i="189" s="1"/>
  <c r="AR205" i="189"/>
  <c r="AR113" i="189" s="1"/>
  <c r="AQ205" i="189"/>
  <c r="AQ113" i="189" s="1"/>
  <c r="AP205" i="189"/>
  <c r="AP113" i="189" s="1"/>
  <c r="AN205" i="189"/>
  <c r="AN113" i="189" s="1"/>
  <c r="AM205" i="189"/>
  <c r="AR206" i="189" s="1"/>
  <c r="AL205" i="189"/>
  <c r="AL113" i="189" s="1"/>
  <c r="AK205" i="189"/>
  <c r="AK113" i="189" s="1"/>
  <c r="AS204" i="189"/>
  <c r="AR204" i="189"/>
  <c r="AQ204" i="189"/>
  <c r="AP204" i="189"/>
  <c r="AX203" i="189"/>
  <c r="BC203" i="189" s="1"/>
  <c r="BH203" i="189" s="1"/>
  <c r="AW203" i="189"/>
  <c r="AV203" i="189"/>
  <c r="AU203" i="189"/>
  <c r="AT203" i="189"/>
  <c r="AO203" i="189"/>
  <c r="AS201" i="189"/>
  <c r="AR201" i="189"/>
  <c r="AQ201" i="189"/>
  <c r="AP201" i="189"/>
  <c r="AN201" i="189"/>
  <c r="AM201" i="189"/>
  <c r="AL201" i="189"/>
  <c r="AK201" i="189"/>
  <c r="CB200" i="189"/>
  <c r="AT200" i="189"/>
  <c r="AO200" i="189"/>
  <c r="A200" i="189"/>
  <c r="AP198" i="189"/>
  <c r="AK198" i="189"/>
  <c r="AK199" i="189" s="1"/>
  <c r="AW197" i="189"/>
  <c r="AX197" i="189" s="1"/>
  <c r="AY197" i="189" s="1"/>
  <c r="AZ197" i="189" s="1"/>
  <c r="BA197" i="189" s="1"/>
  <c r="BB197" i="189" s="1"/>
  <c r="BC197" i="189" s="1"/>
  <c r="BD197" i="189" s="1"/>
  <c r="AQ197" i="189"/>
  <c r="AQ198" i="189" s="1"/>
  <c r="AV198" i="189" s="1"/>
  <c r="BA198" i="189" s="1"/>
  <c r="BF198" i="189" s="1"/>
  <c r="AL197" i="189"/>
  <c r="AM197" i="189" s="1"/>
  <c r="BD193" i="189"/>
  <c r="AV191" i="189"/>
  <c r="AU191" i="189"/>
  <c r="AS191" i="189"/>
  <c r="AR191" i="189"/>
  <c r="AQ191" i="189"/>
  <c r="AP191" i="189"/>
  <c r="CC190" i="189"/>
  <c r="CB190" i="189"/>
  <c r="BA190" i="189"/>
  <c r="BF190" i="189" s="1"/>
  <c r="AZ190" i="189"/>
  <c r="BE190" i="189" s="1"/>
  <c r="AX190" i="189"/>
  <c r="AX317" i="189" s="1"/>
  <c r="AW190" i="189"/>
  <c r="AT190" i="189"/>
  <c r="AO190" i="189"/>
  <c r="AO191" i="189" s="1"/>
  <c r="AS187" i="189"/>
  <c r="AR187" i="189"/>
  <c r="AR188" i="189" s="1"/>
  <c r="AQ187" i="189"/>
  <c r="AP187" i="189"/>
  <c r="AP188" i="189" s="1"/>
  <c r="AO187" i="189"/>
  <c r="AO188" i="189" s="1"/>
  <c r="AL186" i="189"/>
  <c r="AK184" i="189"/>
  <c r="AV178" i="189"/>
  <c r="AP178" i="189"/>
  <c r="AL178" i="189"/>
  <c r="AQ179" i="189" s="1"/>
  <c r="AJ178" i="189"/>
  <c r="AK170" i="189"/>
  <c r="BH169" i="189"/>
  <c r="AZ169" i="189"/>
  <c r="AS169" i="189"/>
  <c r="AU169" i="189" s="1"/>
  <c r="AL169" i="189"/>
  <c r="AM169" i="189" s="1"/>
  <c r="BR165" i="189"/>
  <c r="BQ165" i="189"/>
  <c r="BP165" i="189"/>
  <c r="BO165" i="189"/>
  <c r="BM165" i="189"/>
  <c r="BL165" i="189"/>
  <c r="BK165" i="189"/>
  <c r="BJ165" i="189"/>
  <c r="BH165" i="189"/>
  <c r="BE165" i="189"/>
  <c r="BC165" i="189"/>
  <c r="BB165" i="189"/>
  <c r="AL164" i="189"/>
  <c r="CG162" i="189"/>
  <c r="CF162" i="189"/>
  <c r="CE162" i="189"/>
  <c r="BS162" i="189"/>
  <c r="BN162" i="189"/>
  <c r="BI162" i="189"/>
  <c r="AR160" i="189"/>
  <c r="BC159" i="189"/>
  <c r="BB159" i="189"/>
  <c r="BA159" i="189"/>
  <c r="AZ159" i="189"/>
  <c r="AX159" i="189"/>
  <c r="AW159" i="189"/>
  <c r="AV159" i="189"/>
  <c r="AU159" i="189"/>
  <c r="AS159" i="189"/>
  <c r="AR159" i="189"/>
  <c r="AQ159" i="189"/>
  <c r="AP159" i="189"/>
  <c r="CD158" i="189"/>
  <c r="CC158" i="189"/>
  <c r="CB158" i="189"/>
  <c r="BD158" i="189"/>
  <c r="AY158" i="189"/>
  <c r="AT158" i="189"/>
  <c r="AO158" i="189"/>
  <c r="AF158" i="189"/>
  <c r="AF360" i="189" s="1"/>
  <c r="AL157" i="189"/>
  <c r="BB155" i="189"/>
  <c r="BB157" i="189" s="1"/>
  <c r="AZ155" i="189"/>
  <c r="AZ157" i="189" s="1"/>
  <c r="AX155" i="189"/>
  <c r="AX157" i="189" s="1"/>
  <c r="AW155" i="189"/>
  <c r="AW157" i="189" s="1"/>
  <c r="AV155" i="189"/>
  <c r="AV157" i="189" s="1"/>
  <c r="AU155" i="189"/>
  <c r="AS155" i="189"/>
  <c r="AS157" i="189" s="1"/>
  <c r="AR155" i="189"/>
  <c r="AR157" i="189" s="1"/>
  <c r="AQ155" i="189"/>
  <c r="AQ157" i="189" s="1"/>
  <c r="AP155" i="189"/>
  <c r="AP157" i="189" s="1"/>
  <c r="AN155" i="189"/>
  <c r="AN157" i="189" s="1"/>
  <c r="AM155" i="189"/>
  <c r="AM157" i="189" s="1"/>
  <c r="AK155" i="189"/>
  <c r="AK157" i="189" s="1"/>
  <c r="AI155" i="189"/>
  <c r="AH155" i="189"/>
  <c r="AG155" i="189"/>
  <c r="AF155" i="189"/>
  <c r="AN147" i="189"/>
  <c r="AM147" i="189"/>
  <c r="AL147" i="189"/>
  <c r="AS144" i="189"/>
  <c r="AR144" i="189"/>
  <c r="AQ144" i="189"/>
  <c r="AP144" i="189"/>
  <c r="AN144" i="189"/>
  <c r="AM144" i="189"/>
  <c r="AL144" i="189"/>
  <c r="AK144" i="189"/>
  <c r="AN141" i="189"/>
  <c r="AM141" i="189"/>
  <c r="AL141" i="189"/>
  <c r="AK141" i="189"/>
  <c r="CB129" i="189"/>
  <c r="AN127" i="189"/>
  <c r="AM127" i="189"/>
  <c r="AL127" i="189"/>
  <c r="AS125" i="189"/>
  <c r="AS126" i="189" s="1"/>
  <c r="AR125" i="189"/>
  <c r="AR126" i="189" s="1"/>
  <c r="AQ125" i="189"/>
  <c r="AQ126" i="189" s="1"/>
  <c r="AP125" i="189"/>
  <c r="AU125" i="189" s="1"/>
  <c r="AO125" i="189"/>
  <c r="BR122" i="189"/>
  <c r="BQ122" i="189"/>
  <c r="BP122" i="189"/>
  <c r="BO122" i="189"/>
  <c r="BM122" i="189"/>
  <c r="BM37" i="189" s="1"/>
  <c r="BL122" i="189"/>
  <c r="BL37" i="189" s="1"/>
  <c r="BK122" i="189"/>
  <c r="BK37" i="189" s="1"/>
  <c r="BJ122" i="189"/>
  <c r="BJ37" i="189" s="1"/>
  <c r="BH122" i="189"/>
  <c r="BH37" i="189" s="1"/>
  <c r="BE122" i="189"/>
  <c r="AN122" i="189"/>
  <c r="AM122" i="189"/>
  <c r="AL122" i="189"/>
  <c r="AK122" i="189"/>
  <c r="BC119" i="189"/>
  <c r="BC36" i="189" s="1"/>
  <c r="BB119" i="189"/>
  <c r="BA119" i="189"/>
  <c r="AZ119" i="189"/>
  <c r="AZ36" i="189" s="1"/>
  <c r="BC116" i="189"/>
  <c r="BC35" i="189" s="1"/>
  <c r="BB116" i="189"/>
  <c r="BA116" i="189"/>
  <c r="BF117" i="189" s="1"/>
  <c r="AZ116" i="189"/>
  <c r="AZ35" i="189" s="1"/>
  <c r="AX116" i="189"/>
  <c r="AX35" i="189" s="1"/>
  <c r="AW116" i="189"/>
  <c r="AW35" i="189" s="1"/>
  <c r="AV116" i="189"/>
  <c r="AV35" i="189" s="1"/>
  <c r="AU116" i="189"/>
  <c r="AU35" i="189" s="1"/>
  <c r="AS116" i="189"/>
  <c r="AS35" i="189" s="1"/>
  <c r="AR116" i="189"/>
  <c r="AR35" i="189" s="1"/>
  <c r="AQ116" i="189"/>
  <c r="AP116" i="189"/>
  <c r="AP35" i="189" s="1"/>
  <c r="AN116" i="189"/>
  <c r="AN35" i="189" s="1"/>
  <c r="AM116" i="189"/>
  <c r="AM35" i="189" s="1"/>
  <c r="AL116" i="189"/>
  <c r="AL35" i="189" s="1"/>
  <c r="AK116" i="189"/>
  <c r="AK35" i="189" s="1"/>
  <c r="A113" i="189"/>
  <c r="CB110" i="189"/>
  <c r="AN99" i="189"/>
  <c r="AM99" i="189"/>
  <c r="AL99" i="189"/>
  <c r="AS97" i="189"/>
  <c r="AS147" i="189" s="1"/>
  <c r="AR147" i="189"/>
  <c r="AP147" i="189"/>
  <c r="AO97" i="189"/>
  <c r="AO147" i="189" s="1"/>
  <c r="AN96" i="189"/>
  <c r="AM96" i="189"/>
  <c r="AL96" i="189"/>
  <c r="AS94" i="189"/>
  <c r="AX94" i="189" s="1"/>
  <c r="AX25" i="189" s="1"/>
  <c r="AR94" i="189"/>
  <c r="AR25" i="189" s="1"/>
  <c r="AQ94" i="189"/>
  <c r="AV94" i="189" s="1"/>
  <c r="AP94" i="189"/>
  <c r="AP25" i="189" s="1"/>
  <c r="AO94" i="189"/>
  <c r="BE80" i="189"/>
  <c r="BC80" i="189"/>
  <c r="BJ78" i="189"/>
  <c r="BJ15" i="189" s="1"/>
  <c r="CE78" i="189"/>
  <c r="CD78" i="189"/>
  <c r="CC78" i="189"/>
  <c r="CB78" i="189"/>
  <c r="BJ76" i="189"/>
  <c r="BK76" i="189" s="1"/>
  <c r="BL76" i="189" s="1"/>
  <c r="BM76" i="189" s="1"/>
  <c r="BO76" i="189" s="1"/>
  <c r="BP76" i="189" s="1"/>
  <c r="BQ76" i="189" s="1"/>
  <c r="BR76" i="189" s="1"/>
  <c r="BT76" i="189" s="1"/>
  <c r="BU76" i="189" s="1"/>
  <c r="BV76" i="189" s="1"/>
  <c r="BW76" i="189" s="1"/>
  <c r="CB75" i="189"/>
  <c r="AX144" i="189"/>
  <c r="AW144" i="189"/>
  <c r="AT144" i="189"/>
  <c r="AO75" i="189"/>
  <c r="AS66" i="189"/>
  <c r="AS11" i="189" s="1"/>
  <c r="AR66" i="189"/>
  <c r="AW66" i="189" s="1"/>
  <c r="AW11" i="189" s="1"/>
  <c r="AQ66" i="189"/>
  <c r="AQ141" i="189" s="1"/>
  <c r="AP66" i="189"/>
  <c r="AP141" i="189" s="1"/>
  <c r="AO66" i="189"/>
  <c r="AO141" i="189" s="1"/>
  <c r="AM56" i="189"/>
  <c r="AL56" i="189"/>
  <c r="CG43" i="189"/>
  <c r="CF43" i="189"/>
  <c r="CC43" i="189"/>
  <c r="CB43" i="189"/>
  <c r="BC40" i="189"/>
  <c r="BC129" i="189" s="1"/>
  <c r="BE131" i="189" s="1"/>
  <c r="BB40" i="189"/>
  <c r="BA40" i="189"/>
  <c r="AZ40" i="189"/>
  <c r="CG39" i="189"/>
  <c r="BS39" i="189"/>
  <c r="BN39" i="189"/>
  <c r="AN38" i="189"/>
  <c r="AM38" i="189"/>
  <c r="AL38" i="189"/>
  <c r="AK38" i="189"/>
  <c r="BR37" i="189"/>
  <c r="CB37" i="189"/>
  <c r="CC33" i="189"/>
  <c r="CB33" i="189"/>
  <c r="CC32" i="189"/>
  <c r="CB32" i="189"/>
  <c r="BC28" i="189"/>
  <c r="BC101" i="189" s="1"/>
  <c r="BE103" i="189" s="1"/>
  <c r="BB28" i="189"/>
  <c r="BA28" i="189"/>
  <c r="AZ28" i="189"/>
  <c r="CB28" i="189"/>
  <c r="AQ26" i="189"/>
  <c r="AN26" i="189"/>
  <c r="AM26" i="189"/>
  <c r="AL26" i="189"/>
  <c r="AK26" i="189"/>
  <c r="AN25" i="189"/>
  <c r="AM25" i="189"/>
  <c r="AL25" i="189"/>
  <c r="AK25" i="189"/>
  <c r="CB24" i="189"/>
  <c r="BC17" i="189"/>
  <c r="BC82" i="189" s="1"/>
  <c r="BB17" i="189"/>
  <c r="BA17" i="189"/>
  <c r="BF18" i="189" s="1"/>
  <c r="AZ17" i="189"/>
  <c r="CG16" i="189"/>
  <c r="BS16" i="189"/>
  <c r="BN16" i="189"/>
  <c r="BC15" i="189"/>
  <c r="BB15" i="189"/>
  <c r="BA15" i="189"/>
  <c r="BA14" i="189"/>
  <c r="AV14" i="189"/>
  <c r="AU14" i="189"/>
  <c r="AS14" i="189"/>
  <c r="AR14" i="189"/>
  <c r="AQ14" i="189"/>
  <c r="AP14" i="189"/>
  <c r="AN14" i="189"/>
  <c r="AM14" i="189"/>
  <c r="CB12" i="189" s="1"/>
  <c r="AL14" i="189"/>
  <c r="AK14" i="189"/>
  <c r="AN11" i="189"/>
  <c r="AM11" i="189"/>
  <c r="AL11" i="189"/>
  <c r="AK11" i="189"/>
  <c r="AM7" i="189"/>
  <c r="AL7" i="189"/>
  <c r="AK7" i="189"/>
  <c r="BS3" i="189"/>
  <c r="BR3" i="189"/>
  <c r="BQ3" i="189"/>
  <c r="BP3" i="189"/>
  <c r="BO3" i="189"/>
  <c r="BN3" i="189"/>
  <c r="BM3" i="189"/>
  <c r="BL3" i="189"/>
  <c r="BK3" i="189"/>
  <c r="BJ3" i="189"/>
  <c r="BI3" i="189"/>
  <c r="BH3" i="189"/>
  <c r="BG3" i="189"/>
  <c r="BF3" i="189"/>
  <c r="BE3" i="189"/>
  <c r="BD3" i="189"/>
  <c r="BC3" i="189"/>
  <c r="BB3" i="189"/>
  <c r="BA3" i="189"/>
  <c r="AZ3" i="189"/>
  <c r="AY3" i="189"/>
  <c r="AX3" i="189"/>
  <c r="AW3" i="189"/>
  <c r="AV3" i="189"/>
  <c r="AU3" i="189"/>
  <c r="AT3" i="189"/>
  <c r="AS3" i="189"/>
  <c r="AR3" i="189"/>
  <c r="AQ3" i="189"/>
  <c r="AP3" i="189"/>
  <c r="AO3" i="189"/>
  <c r="AN3" i="189"/>
  <c r="AM3" i="189"/>
  <c r="AL3" i="189"/>
  <c r="AK3" i="189"/>
  <c r="AJ3" i="189"/>
  <c r="AI3" i="189"/>
  <c r="AH3" i="189"/>
  <c r="AG3" i="189"/>
  <c r="AF3" i="189"/>
  <c r="AE3" i="189"/>
  <c r="AD3" i="189"/>
  <c r="AC3" i="189"/>
  <c r="AB3" i="189"/>
  <c r="AA3" i="189"/>
  <c r="Z3" i="189"/>
  <c r="Y3" i="189"/>
  <c r="X3" i="189"/>
  <c r="W3" i="189"/>
  <c r="V3" i="189"/>
  <c r="U3" i="189"/>
  <c r="T3" i="189"/>
  <c r="S3" i="189"/>
  <c r="R3" i="189"/>
  <c r="Q3" i="189"/>
  <c r="P3" i="189"/>
  <c r="O3" i="189"/>
  <c r="N3" i="189"/>
  <c r="M3" i="189"/>
  <c r="L3" i="189"/>
  <c r="K3" i="189"/>
  <c r="J3" i="189"/>
  <c r="I3" i="189"/>
  <c r="H3" i="189"/>
  <c r="G3" i="189"/>
  <c r="F3" i="189"/>
  <c r="E3" i="189"/>
  <c r="D3" i="189"/>
  <c r="C3" i="189"/>
  <c r="B3" i="189"/>
  <c r="BS2" i="189"/>
  <c r="BN2" i="189"/>
  <c r="BI2" i="189"/>
  <c r="BD2" i="189"/>
  <c r="AY2" i="189"/>
  <c r="AT2" i="189"/>
  <c r="AO2" i="189"/>
  <c r="AJ2" i="189"/>
  <c r="AE2" i="189"/>
  <c r="Z2" i="189"/>
  <c r="U2" i="189"/>
  <c r="P2" i="189"/>
  <c r="K2" i="189"/>
  <c r="F2" i="189"/>
  <c r="BB35" i="189" l="1"/>
  <c r="BG117" i="189"/>
  <c r="BB36" i="189"/>
  <c r="BG120" i="189"/>
  <c r="AU38" i="189"/>
  <c r="AZ126" i="189"/>
  <c r="AV25" i="189"/>
  <c r="BA95" i="189"/>
  <c r="CH165" i="189"/>
  <c r="BB101" i="189"/>
  <c r="BG102" i="189" s="1"/>
  <c r="BG29" i="189"/>
  <c r="BB82" i="189"/>
  <c r="BG83" i="189" s="1"/>
  <c r="BG18" i="189"/>
  <c r="BB129" i="189"/>
  <c r="BG130" i="189" s="1"/>
  <c r="BG41" i="189"/>
  <c r="BQ37" i="189"/>
  <c r="CH37" i="189" s="1"/>
  <c r="BV123" i="189"/>
  <c r="AS222" i="189"/>
  <c r="BO37" i="189"/>
  <c r="BS37" i="189" s="1"/>
  <c r="BT123" i="189"/>
  <c r="BW123" i="189"/>
  <c r="BT124" i="189"/>
  <c r="AL316" i="189"/>
  <c r="AQ316" i="189" s="1"/>
  <c r="BP37" i="189"/>
  <c r="BU123" i="189"/>
  <c r="BA36" i="189"/>
  <c r="BF120" i="189"/>
  <c r="BE37" i="189"/>
  <c r="BI37" i="189" s="1"/>
  <c r="BF124" i="189"/>
  <c r="BA129" i="189"/>
  <c r="BF130" i="189" s="1"/>
  <c r="BF41" i="189"/>
  <c r="BA101" i="189"/>
  <c r="BF102" i="189" s="1"/>
  <c r="BF29" i="189"/>
  <c r="AQ25" i="189"/>
  <c r="AQ38" i="189"/>
  <c r="AD368" i="189"/>
  <c r="AL402" i="189"/>
  <c r="AG416" i="189"/>
  <c r="AR26" i="189"/>
  <c r="AG243" i="189"/>
  <c r="AL239" i="189" s="1"/>
  <c r="AL241" i="189" s="1"/>
  <c r="AL242" i="189" s="1"/>
  <c r="AS25" i="189"/>
  <c r="AM113" i="189"/>
  <c r="AM115" i="189" s="1"/>
  <c r="BA218" i="189"/>
  <c r="AH420" i="189"/>
  <c r="AT204" i="189"/>
  <c r="AJ242" i="189"/>
  <c r="AP115" i="189"/>
  <c r="AS115" i="189"/>
  <c r="F351" i="189"/>
  <c r="P351" i="189"/>
  <c r="U351" i="189"/>
  <c r="Z351" i="189"/>
  <c r="AE352" i="189" s="1"/>
  <c r="AR96" i="189"/>
  <c r="AX145" i="189"/>
  <c r="BA118" i="189"/>
  <c r="BA35" i="189"/>
  <c r="CD35" i="189" s="1"/>
  <c r="BL124" i="189"/>
  <c r="BQ124" i="189"/>
  <c r="AL115" i="189"/>
  <c r="AX221" i="189"/>
  <c r="AX222" i="189" s="1"/>
  <c r="Y264" i="189"/>
  <c r="AG352" i="189"/>
  <c r="AB386" i="189"/>
  <c r="AI402" i="189"/>
  <c r="AL124" i="189"/>
  <c r="AP38" i="189"/>
  <c r="AZ221" i="189"/>
  <c r="AZ222" i="189" s="1"/>
  <c r="AC368" i="189"/>
  <c r="AI394" i="189"/>
  <c r="AK402" i="189"/>
  <c r="AG420" i="189"/>
  <c r="AZ101" i="189"/>
  <c r="BE102" i="189" s="1"/>
  <c r="BE29" i="189"/>
  <c r="AZ129" i="189"/>
  <c r="BE130" i="189" s="1"/>
  <c r="BE41" i="189"/>
  <c r="AZ82" i="189"/>
  <c r="BE83" i="189" s="1"/>
  <c r="BE18" i="189"/>
  <c r="BC84" i="189"/>
  <c r="AR11" i="189"/>
  <c r="AW84" i="189"/>
  <c r="BN37" i="189"/>
  <c r="AO38" i="189"/>
  <c r="AU118" i="189"/>
  <c r="AZ118" i="189"/>
  <c r="BO124" i="189"/>
  <c r="AF243" i="189"/>
  <c r="AK239" i="189" s="1"/>
  <c r="AL377" i="189"/>
  <c r="F384" i="189"/>
  <c r="K384" i="189"/>
  <c r="AG394" i="189"/>
  <c r="F408" i="189"/>
  <c r="P408" i="189"/>
  <c r="U408" i="189"/>
  <c r="AI420" i="189"/>
  <c r="AP26" i="189"/>
  <c r="CB26" i="189" s="1"/>
  <c r="BK123" i="189"/>
  <c r="AS170" i="189"/>
  <c r="AS206" i="189"/>
  <c r="BA221" i="189"/>
  <c r="BA222" i="189" s="1"/>
  <c r="AC352" i="189"/>
  <c r="AJ418" i="189"/>
  <c r="AJ419" i="189" s="1"/>
  <c r="AR38" i="189"/>
  <c r="CF165" i="189"/>
  <c r="AT201" i="189"/>
  <c r="AO205" i="189"/>
  <c r="AU225" i="189"/>
  <c r="AU366" i="189" s="1"/>
  <c r="AR328" i="189"/>
  <c r="AR414" i="189" s="1"/>
  <c r="AQ330" i="189"/>
  <c r="AQ418" i="189" s="1"/>
  <c r="AV418" i="189" s="1"/>
  <c r="AC385" i="189"/>
  <c r="AQ366" i="189"/>
  <c r="AQ367" i="189" s="1"/>
  <c r="AQ217" i="189"/>
  <c r="AQ218" i="189" s="1"/>
  <c r="AQ219" i="189" s="1"/>
  <c r="AQ122" i="189"/>
  <c r="AQ123" i="189" s="1"/>
  <c r="CB25" i="189"/>
  <c r="AP206" i="189"/>
  <c r="AU213" i="189"/>
  <c r="AV222" i="189"/>
  <c r="AS225" i="189"/>
  <c r="AS366" i="189" s="1"/>
  <c r="AI234" i="189"/>
  <c r="AD264" i="189"/>
  <c r="AD352" i="189"/>
  <c r="Z384" i="189"/>
  <c r="AA385" i="189"/>
  <c r="AK394" i="189"/>
  <c r="AM124" i="189"/>
  <c r="BH124" i="189"/>
  <c r="BM123" i="189"/>
  <c r="AR145" i="189"/>
  <c r="AT191" i="189"/>
  <c r="AQ206" i="189"/>
  <c r="AV213" i="189"/>
  <c r="AX218" i="189"/>
  <c r="AW222" i="189"/>
  <c r="AJ414" i="189"/>
  <c r="AJ415" i="189" s="1"/>
  <c r="AS114" i="189"/>
  <c r="AQ117" i="189"/>
  <c r="AN124" i="189"/>
  <c r="BJ123" i="189"/>
  <c r="BP124" i="189"/>
  <c r="AW125" i="189"/>
  <c r="BE197" i="189"/>
  <c r="AW213" i="189"/>
  <c r="AP222" i="189"/>
  <c r="W264" i="189"/>
  <c r="AK331" i="189"/>
  <c r="AK329" i="189" s="1"/>
  <c r="AB352" i="189"/>
  <c r="CC35" i="189"/>
  <c r="AP114" i="189"/>
  <c r="BJ124" i="189"/>
  <c r="AZ212" i="189"/>
  <c r="AZ213" i="189" s="1"/>
  <c r="AY215" i="189"/>
  <c r="AY216" i="189" s="1"/>
  <c r="AQ222" i="189"/>
  <c r="AW225" i="189"/>
  <c r="AW122" i="189" s="1"/>
  <c r="AC264" i="189"/>
  <c r="I268" i="189"/>
  <c r="AJ307" i="189"/>
  <c r="AL331" i="189"/>
  <c r="AL422" i="189" s="1"/>
  <c r="AH416" i="189"/>
  <c r="AP11" i="189"/>
  <c r="AM150" i="189"/>
  <c r="AL150" i="189"/>
  <c r="BC41" i="189"/>
  <c r="AZ35" i="171"/>
  <c r="I163" i="189"/>
  <c r="AC163" i="189"/>
  <c r="CB318" i="189"/>
  <c r="AQ11" i="189"/>
  <c r="AO14" i="189"/>
  <c r="AT14" i="189"/>
  <c r="BD15" i="189"/>
  <c r="AS26" i="189"/>
  <c r="AQ35" i="189"/>
  <c r="AT35" i="189" s="1"/>
  <c r="AY35" i="189"/>
  <c r="CF37" i="189"/>
  <c r="AS38" i="189"/>
  <c r="AS96" i="189"/>
  <c r="AL118" i="189"/>
  <c r="AP117" i="189"/>
  <c r="AU117" i="189"/>
  <c r="AZ117" i="189"/>
  <c r="AQ118" i="189"/>
  <c r="AK150" i="189"/>
  <c r="CE165" i="189"/>
  <c r="AR68" i="189"/>
  <c r="AP68" i="189"/>
  <c r="AU26" i="189"/>
  <c r="AP99" i="189"/>
  <c r="AM118" i="189"/>
  <c r="BB118" i="189"/>
  <c r="AQ127" i="189"/>
  <c r="BI165" i="189"/>
  <c r="AO11" i="189"/>
  <c r="AO25" i="189"/>
  <c r="AO35" i="189"/>
  <c r="CG37" i="189"/>
  <c r="AO144" i="189"/>
  <c r="AT145" i="189" s="1"/>
  <c r="AT76" i="189"/>
  <c r="AS99" i="189"/>
  <c r="AN118" i="189"/>
  <c r="AX117" i="189"/>
  <c r="BC118" i="189"/>
  <c r="AR127" i="189"/>
  <c r="AP146" i="189"/>
  <c r="AN150" i="189"/>
  <c r="AV103" i="189"/>
  <c r="F162" i="189"/>
  <c r="Q163" i="189"/>
  <c r="AA172" i="189"/>
  <c r="AK172" i="189"/>
  <c r="CB162" i="189"/>
  <c r="AY40" i="189"/>
  <c r="AV45" i="189"/>
  <c r="AZ20" i="189"/>
  <c r="M163" i="189"/>
  <c r="AG163" i="189"/>
  <c r="CB308" i="189"/>
  <c r="AM313" i="189"/>
  <c r="AM379" i="189" s="1"/>
  <c r="BC131" i="189"/>
  <c r="AO122" i="189"/>
  <c r="BD159" i="189"/>
  <c r="Y163" i="189"/>
  <c r="AK324" i="189"/>
  <c r="AK404" i="189" s="1"/>
  <c r="AX131" i="189"/>
  <c r="AW103" i="189"/>
  <c r="BB102" i="189"/>
  <c r="BC83" i="189"/>
  <c r="AX84" i="189"/>
  <c r="AF422" i="189"/>
  <c r="AF426" i="189" s="1"/>
  <c r="AF329" i="189"/>
  <c r="BC103" i="189"/>
  <c r="AW131" i="189"/>
  <c r="BC102" i="189"/>
  <c r="AX103" i="189"/>
  <c r="AI422" i="189"/>
  <c r="AI426" i="189" s="1"/>
  <c r="AI329" i="189"/>
  <c r="AU129" i="189"/>
  <c r="AY129" i="189" s="1"/>
  <c r="H163" i="189"/>
  <c r="R163" i="189"/>
  <c r="AB172" i="189"/>
  <c r="AK165" i="189"/>
  <c r="AK175" i="189" s="1"/>
  <c r="AK181" i="189" s="1"/>
  <c r="AF303" i="189"/>
  <c r="AF301" i="189" s="1"/>
  <c r="CB332" i="189"/>
  <c r="BA45" i="189"/>
  <c r="BF46" i="189" s="1"/>
  <c r="AY28" i="189"/>
  <c r="AW45" i="189"/>
  <c r="BB83" i="189"/>
  <c r="AH324" i="189"/>
  <c r="AH404" i="189" s="1"/>
  <c r="BA29" i="189"/>
  <c r="AK163" i="189"/>
  <c r="K295" i="189"/>
  <c r="CB325" i="189"/>
  <c r="AT332" i="189"/>
  <c r="CB336" i="189"/>
  <c r="BB45" i="189"/>
  <c r="BG46" i="189" s="1"/>
  <c r="BB130" i="189"/>
  <c r="AZ45" i="189"/>
  <c r="BE46" i="189" s="1"/>
  <c r="AY101" i="189"/>
  <c r="AZ18" i="189"/>
  <c r="J163" i="189"/>
  <c r="T163" i="189"/>
  <c r="AJ314" i="189"/>
  <c r="AG398" i="189"/>
  <c r="BC45" i="189"/>
  <c r="AY17" i="189"/>
  <c r="AU82" i="189"/>
  <c r="AY82" i="189" s="1"/>
  <c r="BC130" i="189"/>
  <c r="CC14" i="189"/>
  <c r="AX14" i="189"/>
  <c r="BC14" i="189"/>
  <c r="AX146" i="189"/>
  <c r="AW14" i="189"/>
  <c r="AX45" i="189"/>
  <c r="AU45" i="189"/>
  <c r="BC29" i="189"/>
  <c r="CF36" i="171"/>
  <c r="CI35" i="171"/>
  <c r="CZ35" i="171"/>
  <c r="CG35" i="171"/>
  <c r="DA35" i="171"/>
  <c r="CH35" i="171"/>
  <c r="CI36" i="171" s="1"/>
  <c r="AQ337" i="189"/>
  <c r="AW337" i="189"/>
  <c r="AT159" i="189"/>
  <c r="AJ155" i="189"/>
  <c r="AJ156" i="189" s="1"/>
  <c r="AF157" i="189"/>
  <c r="AL337" i="189"/>
  <c r="AY159" i="189"/>
  <c r="AS337" i="189"/>
  <c r="AY155" i="189"/>
  <c r="AY157" i="189" s="1"/>
  <c r="AK159" i="189"/>
  <c r="AJ336" i="189"/>
  <c r="AK337" i="189"/>
  <c r="AP337" i="189"/>
  <c r="AU337" i="189"/>
  <c r="BC121" i="189"/>
  <c r="BD36" i="189"/>
  <c r="BA121" i="189"/>
  <c r="AF235" i="189"/>
  <c r="AR21" i="189"/>
  <c r="AP21" i="189"/>
  <c r="AQ21" i="189"/>
  <c r="AV21" i="189"/>
  <c r="CB13" i="189"/>
  <c r="CD28" i="189"/>
  <c r="BD40" i="189"/>
  <c r="CB40" i="189"/>
  <c r="AM198" i="189"/>
  <c r="AN197" i="189"/>
  <c r="AO234" i="189"/>
  <c r="BD17" i="189"/>
  <c r="CB17" i="189"/>
  <c r="BC18" i="189"/>
  <c r="AU21" i="189"/>
  <c r="BC20" i="189"/>
  <c r="CB27" i="189"/>
  <c r="CC28" i="189"/>
  <c r="CC29" i="189" s="1"/>
  <c r="AZ29" i="189"/>
  <c r="BB41" i="189"/>
  <c r="BA82" i="189"/>
  <c r="BC94" i="189"/>
  <c r="CB101" i="189"/>
  <c r="AQ115" i="189"/>
  <c r="AQ114" i="189"/>
  <c r="AL172" i="189"/>
  <c r="AL163" i="189"/>
  <c r="CC17" i="189"/>
  <c r="AO26" i="189"/>
  <c r="CB14" i="189"/>
  <c r="CD17" i="189"/>
  <c r="BA18" i="189"/>
  <c r="AS21" i="189"/>
  <c r="AW21" i="189"/>
  <c r="BA20" i="189"/>
  <c r="BB29" i="189"/>
  <c r="CB34" i="189"/>
  <c r="CC40" i="189"/>
  <c r="AZ41" i="189"/>
  <c r="AS141" i="189"/>
  <c r="AS150" i="189" s="1"/>
  <c r="AX66" i="189"/>
  <c r="BC66" i="189" s="1"/>
  <c r="AS68" i="189"/>
  <c r="AU144" i="189"/>
  <c r="CC75" i="189"/>
  <c r="CC76" i="189" s="1"/>
  <c r="AQ147" i="189"/>
  <c r="AR149" i="189" s="1"/>
  <c r="AQ99" i="189"/>
  <c r="CB97" i="189"/>
  <c r="AQ146" i="189"/>
  <c r="AQ145" i="189"/>
  <c r="CB144" i="189"/>
  <c r="AU157" i="189"/>
  <c r="AU156" i="189"/>
  <c r="BB18" i="189"/>
  <c r="BB20" i="189"/>
  <c r="BB21" i="189" s="1"/>
  <c r="BD28" i="189"/>
  <c r="CD40" i="189"/>
  <c r="BA41" i="189"/>
  <c r="AW141" i="189"/>
  <c r="BB66" i="189"/>
  <c r="BG66" i="189" s="1"/>
  <c r="CB72" i="189"/>
  <c r="BA144" i="189"/>
  <c r="BF145" i="189" s="1"/>
  <c r="BH75" i="189"/>
  <c r="AP96" i="189"/>
  <c r="CB94" i="189"/>
  <c r="AU94" i="189"/>
  <c r="AT94" i="189"/>
  <c r="AT95" i="189" s="1"/>
  <c r="AV118" i="189"/>
  <c r="AV117" i="189"/>
  <c r="AV66" i="189"/>
  <c r="CB66" i="189"/>
  <c r="CD75" i="189"/>
  <c r="BH78" i="189"/>
  <c r="BJ80" i="189" s="1"/>
  <c r="CB82" i="189"/>
  <c r="CB91" i="189"/>
  <c r="AW94" i="189"/>
  <c r="BB95" i="189" s="1"/>
  <c r="AQ96" i="189"/>
  <c r="AP149" i="189"/>
  <c r="AP150" i="189"/>
  <c r="AP148" i="189"/>
  <c r="AT97" i="189"/>
  <c r="AX97" i="189"/>
  <c r="AR99" i="189"/>
  <c r="CC110" i="189"/>
  <c r="CC111" i="189" s="1"/>
  <c r="AO113" i="189"/>
  <c r="BD116" i="189"/>
  <c r="CB116" i="189"/>
  <c r="AU127" i="189"/>
  <c r="AR141" i="189"/>
  <c r="AV144" i="189"/>
  <c r="AP143" i="189"/>
  <c r="AP142" i="189"/>
  <c r="AT66" i="189"/>
  <c r="AQ68" i="189"/>
  <c r="AR148" i="189"/>
  <c r="CB113" i="189"/>
  <c r="AR118" i="189"/>
  <c r="CC116" i="189"/>
  <c r="AW118" i="189"/>
  <c r="AR117" i="189"/>
  <c r="BN122" i="189"/>
  <c r="BR124" i="189"/>
  <c r="BR123" i="189"/>
  <c r="BO123" i="189"/>
  <c r="CB141" i="189"/>
  <c r="N163" i="189"/>
  <c r="AC172" i="189"/>
  <c r="S163" i="189"/>
  <c r="X172" i="189"/>
  <c r="AQ143" i="189"/>
  <c r="AQ142" i="189"/>
  <c r="AU66" i="189"/>
  <c r="AU141" i="189" s="1"/>
  <c r="AW145" i="189"/>
  <c r="AS148" i="189"/>
  <c r="AS149" i="189"/>
  <c r="AS117" i="189"/>
  <c r="AP118" i="189"/>
  <c r="BK124" i="189"/>
  <c r="AS127" i="189"/>
  <c r="AX125" i="189"/>
  <c r="BC126" i="189" s="1"/>
  <c r="CC101" i="189"/>
  <c r="AT113" i="189"/>
  <c r="AR115" i="189"/>
  <c r="AY116" i="189"/>
  <c r="BC117" i="189"/>
  <c r="AS118" i="189"/>
  <c r="AX118" i="189"/>
  <c r="BD119" i="189"/>
  <c r="BI122" i="189"/>
  <c r="BM124" i="189"/>
  <c r="AV125" i="189"/>
  <c r="BA126" i="189" s="1"/>
  <c r="CB125" i="189"/>
  <c r="AP127" i="189"/>
  <c r="CB134" i="189"/>
  <c r="AQ156" i="189"/>
  <c r="W172" i="189"/>
  <c r="AJ162" i="189"/>
  <c r="AO162" i="189"/>
  <c r="AP163" i="189"/>
  <c r="AU162" i="189"/>
  <c r="AL165" i="189"/>
  <c r="AM164" i="189"/>
  <c r="BN165" i="189"/>
  <c r="BS165" i="189"/>
  <c r="AM170" i="189"/>
  <c r="AN169" i="189"/>
  <c r="BJ169" i="189"/>
  <c r="AG172" i="189"/>
  <c r="AM186" i="189"/>
  <c r="AL184" i="189"/>
  <c r="AW317" i="189"/>
  <c r="CD317" i="189" s="1"/>
  <c r="AY190" i="189"/>
  <c r="AY191" i="189" s="1"/>
  <c r="CD190" i="189"/>
  <c r="BB190" i="189"/>
  <c r="BG190" i="189" s="1"/>
  <c r="BJ190" i="189"/>
  <c r="AR114" i="189"/>
  <c r="AO116" i="189"/>
  <c r="AW117" i="189"/>
  <c r="BA117" i="189"/>
  <c r="BB121" i="189"/>
  <c r="BS122" i="189"/>
  <c r="BX123" i="189" s="1"/>
  <c r="BL123" i="189"/>
  <c r="BP123" i="189"/>
  <c r="AT125" i="189"/>
  <c r="AP126" i="189"/>
  <c r="AR146" i="189"/>
  <c r="O163" i="189"/>
  <c r="AH172" i="189"/>
  <c r="AH163" i="189"/>
  <c r="AM172" i="189"/>
  <c r="CG165" i="189"/>
  <c r="Y172" i="189"/>
  <c r="AT116" i="189"/>
  <c r="CD116" i="189"/>
  <c r="BB117" i="189"/>
  <c r="CF122" i="189"/>
  <c r="BQ123" i="189"/>
  <c r="AS145" i="189"/>
  <c r="AS146" i="189"/>
  <c r="AM156" i="189"/>
  <c r="G163" i="189"/>
  <c r="P162" i="189"/>
  <c r="U162" i="189"/>
  <c r="V172" i="189"/>
  <c r="V163" i="189"/>
  <c r="Z162" i="189"/>
  <c r="AD172" i="189"/>
  <c r="AD163" i="189"/>
  <c r="AI172" i="189"/>
  <c r="AQ188" i="189"/>
  <c r="CB187" i="189"/>
  <c r="BA200" i="189"/>
  <c r="AV200" i="189"/>
  <c r="AV205" i="189" s="1"/>
  <c r="BA203" i="189"/>
  <c r="BF203" i="189" s="1"/>
  <c r="AP145" i="189"/>
  <c r="AT155" i="189"/>
  <c r="AL156" i="189"/>
  <c r="AP156" i="189"/>
  <c r="AX156" i="189"/>
  <c r="BB156" i="189"/>
  <c r="AW162" i="189"/>
  <c r="L163" i="189"/>
  <c r="X163" i="189"/>
  <c r="AB163" i="189"/>
  <c r="AF163" i="189"/>
  <c r="AN163" i="189"/>
  <c r="AR163" i="189"/>
  <c r="AF172" i="189"/>
  <c r="AT187" i="189"/>
  <c r="AS188" i="189"/>
  <c r="AL198" i="189"/>
  <c r="AQ199" i="189" s="1"/>
  <c r="AY203" i="189"/>
  <c r="AY204" i="189" s="1"/>
  <c r="AZ203" i="189"/>
  <c r="BE203" i="189" s="1"/>
  <c r="AN156" i="189"/>
  <c r="AR156" i="189"/>
  <c r="AV156" i="189"/>
  <c r="AZ156" i="189"/>
  <c r="AF362" i="189"/>
  <c r="AF361" i="189"/>
  <c r="K162" i="189"/>
  <c r="AE162" i="189"/>
  <c r="AL170" i="189"/>
  <c r="AV302" i="189"/>
  <c r="CC302" i="189" s="1"/>
  <c r="AP234" i="189"/>
  <c r="AO233" i="189"/>
  <c r="AO155" i="189"/>
  <c r="AK156" i="189"/>
  <c r="AS156" i="189"/>
  <c r="AW156" i="189"/>
  <c r="AV162" i="189"/>
  <c r="W163" i="189"/>
  <c r="AA163" i="189"/>
  <c r="AI163" i="189"/>
  <c r="AM163" i="189"/>
  <c r="AQ163" i="189"/>
  <c r="AX167" i="189"/>
  <c r="AV169" i="189"/>
  <c r="AM178" i="189"/>
  <c r="AU179" i="189"/>
  <c r="BC190" i="189"/>
  <c r="AR197" i="189"/>
  <c r="AP199" i="189"/>
  <c r="AU198" i="189"/>
  <c r="BM203" i="189"/>
  <c r="AT205" i="189"/>
  <c r="BB218" i="189"/>
  <c r="S433" i="189"/>
  <c r="S264" i="189"/>
  <c r="L426" i="189"/>
  <c r="P426" i="189" s="1"/>
  <c r="L268" i="189"/>
  <c r="Q268" i="189"/>
  <c r="P267" i="189"/>
  <c r="T426" i="189"/>
  <c r="U426" i="189" s="1"/>
  <c r="T268" i="189"/>
  <c r="Y268" i="189"/>
  <c r="AO325" i="189"/>
  <c r="BD209" i="189"/>
  <c r="BA212" i="189"/>
  <c r="BD215" i="189"/>
  <c r="BC218" i="189"/>
  <c r="AO366" i="189"/>
  <c r="AO367" i="189" s="1"/>
  <c r="AN367" i="189"/>
  <c r="AN368" i="189"/>
  <c r="AR225" i="189"/>
  <c r="AV225" i="189"/>
  <c r="AI240" i="189"/>
  <c r="AI241" i="189" s="1"/>
  <c r="AI243" i="189" s="1"/>
  <c r="AX240" i="189"/>
  <c r="BH240" i="189"/>
  <c r="BM240" i="189"/>
  <c r="BR240" i="189"/>
  <c r="G433" i="189"/>
  <c r="K263" i="189"/>
  <c r="G264" i="189"/>
  <c r="K255" i="189"/>
  <c r="K258" i="189" s="1"/>
  <c r="O433" i="189"/>
  <c r="O264" i="189"/>
  <c r="I433" i="189"/>
  <c r="I264" i="189"/>
  <c r="AH422" i="189"/>
  <c r="AH329" i="189"/>
  <c r="AY209" i="189"/>
  <c r="AY210" i="189" s="1"/>
  <c r="AT212" i="189"/>
  <c r="AT211" i="189" s="1"/>
  <c r="AX212" i="189"/>
  <c r="AY212" i="189" s="1"/>
  <c r="AT221" i="189"/>
  <c r="AT222" i="189" s="1"/>
  <c r="AO225" i="189"/>
  <c r="AS233" i="189"/>
  <c r="Q433" i="189"/>
  <c r="Q264" i="189"/>
  <c r="U263" i="189"/>
  <c r="AA264" i="189"/>
  <c r="AI379" i="189"/>
  <c r="AN313" i="189"/>
  <c r="AO201" i="189"/>
  <c r="BB203" i="189"/>
  <c r="BG203" i="189" s="1"/>
  <c r="AP213" i="189"/>
  <c r="AH243" i="189"/>
  <c r="BK234" i="189"/>
  <c r="M433" i="189"/>
  <c r="M264" i="189"/>
  <c r="AK351" i="189"/>
  <c r="B433" i="189"/>
  <c r="F433" i="189" s="1"/>
  <c r="F263" i="189"/>
  <c r="F255" i="189"/>
  <c r="F258" i="189" s="1"/>
  <c r="Z263" i="189"/>
  <c r="Z255" i="189"/>
  <c r="AN351" i="189"/>
  <c r="N264" i="189"/>
  <c r="X426" i="189"/>
  <c r="Z426" i="189" s="1"/>
  <c r="X268" i="189"/>
  <c r="AQ397" i="189"/>
  <c r="AQ398" i="189"/>
  <c r="AV396" i="189"/>
  <c r="H433" i="189"/>
  <c r="H264" i="189"/>
  <c r="L433" i="189"/>
  <c r="L264" i="189"/>
  <c r="P263" i="189"/>
  <c r="P255" i="189"/>
  <c r="P258" i="189" s="1"/>
  <c r="T433" i="189"/>
  <c r="T264" i="189"/>
  <c r="X264" i="189"/>
  <c r="AB264" i="189"/>
  <c r="AL351" i="189"/>
  <c r="AS351" i="189"/>
  <c r="V264" i="189"/>
  <c r="H426" i="189"/>
  <c r="K426" i="189" s="1"/>
  <c r="H268" i="189"/>
  <c r="M268" i="189"/>
  <c r="AC268" i="189"/>
  <c r="AN392" i="189"/>
  <c r="AP394" i="189" s="1"/>
  <c r="AS321" i="189"/>
  <c r="AS392" i="189" s="1"/>
  <c r="U255" i="189"/>
  <c r="U258" i="189" s="1"/>
  <c r="AM351" i="189"/>
  <c r="CB260" i="189"/>
  <c r="J264" i="189"/>
  <c r="AB426" i="189"/>
  <c r="AC428" i="189" s="1"/>
  <c r="AB268" i="189"/>
  <c r="AT302" i="189"/>
  <c r="K267" i="189"/>
  <c r="AA427" i="189"/>
  <c r="CD300" i="189"/>
  <c r="AN337" i="189"/>
  <c r="U267" i="189"/>
  <c r="J268" i="189"/>
  <c r="N268" i="189"/>
  <c r="R268" i="189"/>
  <c r="V268" i="189"/>
  <c r="AD268" i="189"/>
  <c r="AB356" i="189"/>
  <c r="CB297" i="189"/>
  <c r="AY300" i="189"/>
  <c r="CB304" i="189"/>
  <c r="AT307" i="189"/>
  <c r="AT308" i="189" s="1"/>
  <c r="AJ313" i="189"/>
  <c r="AJ379" i="189" s="1"/>
  <c r="AM396" i="189"/>
  <c r="AR397" i="189" s="1"/>
  <c r="CB322" i="189"/>
  <c r="AT325" i="189"/>
  <c r="AN414" i="189"/>
  <c r="AN331" i="189"/>
  <c r="AS328" i="189"/>
  <c r="AS414" i="189" s="1"/>
  <c r="AM418" i="189"/>
  <c r="AN420" i="189" s="1"/>
  <c r="AR330" i="189"/>
  <c r="AV337" i="189"/>
  <c r="F426" i="189"/>
  <c r="F267" i="189"/>
  <c r="Z267" i="189"/>
  <c r="AD427" i="189"/>
  <c r="AD428" i="189"/>
  <c r="G268" i="189"/>
  <c r="O268" i="189"/>
  <c r="S268" i="189"/>
  <c r="W268" i="189"/>
  <c r="AA268" i="189"/>
  <c r="F295" i="189"/>
  <c r="AC356" i="189"/>
  <c r="AB355" i="189"/>
  <c r="AB362" i="189"/>
  <c r="AB361" i="189"/>
  <c r="AO307" i="189"/>
  <c r="AO308" i="189" s="1"/>
  <c r="AI396" i="189"/>
  <c r="AI398" i="189" s="1"/>
  <c r="AI324" i="189"/>
  <c r="AG422" i="189"/>
  <c r="AG329" i="189"/>
  <c r="AO332" i="189"/>
  <c r="CC336" i="189"/>
  <c r="AM337" i="189"/>
  <c r="AW348" i="189"/>
  <c r="AD356" i="189"/>
  <c r="AC355" i="189"/>
  <c r="AD362" i="189"/>
  <c r="AD361" i="189"/>
  <c r="AL313" i="189"/>
  <c r="AP313" i="189"/>
  <c r="AH398" i="189"/>
  <c r="AL397" i="189"/>
  <c r="AL398" i="189"/>
  <c r="AP397" i="189"/>
  <c r="AT396" i="189"/>
  <c r="AP398" i="189"/>
  <c r="AU396" i="189"/>
  <c r="AT322" i="189"/>
  <c r="AM416" i="189"/>
  <c r="AM415" i="189"/>
  <c r="AQ328" i="189"/>
  <c r="AL419" i="189"/>
  <c r="AL420" i="189"/>
  <c r="AP330" i="189"/>
  <c r="AT336" i="189"/>
  <c r="AJ351" i="189"/>
  <c r="AA355" i="189"/>
  <c r="AM402" i="189"/>
  <c r="AM401" i="189"/>
  <c r="AG315" i="189"/>
  <c r="AJ322" i="189"/>
  <c r="AR398" i="189"/>
  <c r="AW396" i="189"/>
  <c r="AK415" i="189"/>
  <c r="AK416" i="189"/>
  <c r="AO328" i="189"/>
  <c r="AN419" i="189"/>
  <c r="AM331" i="189"/>
  <c r="AR337" i="189"/>
  <c r="K351" i="189"/>
  <c r="AH352" i="189"/>
  <c r="AQ377" i="189"/>
  <c r="AC362" i="189"/>
  <c r="AC361" i="189"/>
  <c r="AK380" i="189"/>
  <c r="AR316" i="189"/>
  <c r="AU392" i="189"/>
  <c r="AP393" i="189"/>
  <c r="AK397" i="189"/>
  <c r="AO322" i="189"/>
  <c r="AS398" i="189"/>
  <c r="AX396" i="189"/>
  <c r="AS397" i="189"/>
  <c r="AL415" i="189"/>
  <c r="AL416" i="189"/>
  <c r="AP328" i="189"/>
  <c r="AK419" i="189"/>
  <c r="AK420" i="189"/>
  <c r="AO330" i="189"/>
  <c r="AS330" i="189"/>
  <c r="AO336" i="189"/>
  <c r="AA352" i="189"/>
  <c r="AI352" i="189"/>
  <c r="AF352" i="189"/>
  <c r="P384" i="189"/>
  <c r="U384" i="189"/>
  <c r="AD386" i="189"/>
  <c r="AD385" i="189"/>
  <c r="AS349" i="189"/>
  <c r="AD367" i="189"/>
  <c r="AG384" i="189"/>
  <c r="AC367" i="189"/>
  <c r="AV376" i="189"/>
  <c r="AV312" i="189" s="1"/>
  <c r="AC386" i="189"/>
  <c r="AB385" i="189"/>
  <c r="AH394" i="189"/>
  <c r="Z408" i="189"/>
  <c r="AB368" i="189"/>
  <c r="K408" i="189"/>
  <c r="AI416" i="189"/>
  <c r="BC259" i="175"/>
  <c r="BB259" i="175"/>
  <c r="BA259" i="175"/>
  <c r="AZ259" i="175"/>
  <c r="AX259" i="175"/>
  <c r="AW259" i="175"/>
  <c r="AV259" i="175"/>
  <c r="AU259" i="175"/>
  <c r="AS259" i="175"/>
  <c r="AR259" i="175"/>
  <c r="AQ259" i="175"/>
  <c r="AP259" i="175"/>
  <c r="BC80" i="175"/>
  <c r="AS72" i="175"/>
  <c r="AX72" i="175" s="1"/>
  <c r="AR72" i="175"/>
  <c r="AW72" i="175" s="1"/>
  <c r="AQ72" i="175"/>
  <c r="AP72" i="175"/>
  <c r="AP74" i="175" s="1"/>
  <c r="AS66" i="175"/>
  <c r="AX66" i="175" s="1"/>
  <c r="AR66" i="175"/>
  <c r="AW66" i="175" s="1"/>
  <c r="AQ66" i="175"/>
  <c r="AP66" i="175"/>
  <c r="AP68" i="175" s="1"/>
  <c r="AS63" i="175"/>
  <c r="AR63" i="175"/>
  <c r="AR60" i="175" s="1"/>
  <c r="AQ63" i="175"/>
  <c r="AV63" i="175" s="1"/>
  <c r="AT126" i="189" l="1"/>
  <c r="AO316" i="189"/>
  <c r="AW38" i="189"/>
  <c r="BB126" i="189"/>
  <c r="BG11" i="189"/>
  <c r="BG9" i="189" s="1"/>
  <c r="BG141" i="189"/>
  <c r="BG60" i="189"/>
  <c r="AP69" i="175"/>
  <c r="AV96" i="189"/>
  <c r="AZ95" i="189"/>
  <c r="AT25" i="189"/>
  <c r="BA130" i="189"/>
  <c r="BB131" i="189"/>
  <c r="BA102" i="189"/>
  <c r="BB103" i="189"/>
  <c r="BG104" i="189" s="1"/>
  <c r="BF25" i="189"/>
  <c r="BF197" i="189"/>
  <c r="BB84" i="189"/>
  <c r="BG85" i="189" s="1"/>
  <c r="BF83" i="189"/>
  <c r="BA21" i="189"/>
  <c r="BF21" i="189"/>
  <c r="AN397" i="189"/>
  <c r="BD101" i="189"/>
  <c r="BD102" i="189" s="1"/>
  <c r="AW127" i="189"/>
  <c r="AZ102" i="189"/>
  <c r="BD35" i="189"/>
  <c r="AN115" i="189"/>
  <c r="AS226" i="189"/>
  <c r="CB38" i="189"/>
  <c r="BD216" i="189"/>
  <c r="Z264" i="189"/>
  <c r="AQ419" i="189"/>
  <c r="AY317" i="189"/>
  <c r="CB330" i="189"/>
  <c r="AG245" i="189"/>
  <c r="AG249" i="189" s="1"/>
  <c r="AG253" i="189" s="1"/>
  <c r="CD101" i="189"/>
  <c r="CD102" i="189" s="1"/>
  <c r="BA103" i="189"/>
  <c r="BF104" i="189" s="1"/>
  <c r="AW366" i="189"/>
  <c r="AY221" i="189"/>
  <c r="AY222" i="189" s="1"/>
  <c r="AZ225" i="189"/>
  <c r="AZ122" i="189" s="1"/>
  <c r="BD212" i="189"/>
  <c r="BD211" i="189" s="1"/>
  <c r="BC222" i="189"/>
  <c r="AK398" i="189"/>
  <c r="AC427" i="189"/>
  <c r="AT206" i="189"/>
  <c r="BS123" i="189"/>
  <c r="BD221" i="189"/>
  <c r="AK360" i="189"/>
  <c r="AK361" i="189" s="1"/>
  <c r="Z268" i="189"/>
  <c r="AW307" i="189"/>
  <c r="AW308" i="189" s="1"/>
  <c r="AS122" i="189"/>
  <c r="AS123" i="189" s="1"/>
  <c r="AF245" i="189"/>
  <c r="AF249" i="189" s="1"/>
  <c r="AS217" i="189"/>
  <c r="AS218" i="189" s="1"/>
  <c r="AS219" i="189" s="1"/>
  <c r="AU122" i="189"/>
  <c r="AW217" i="189"/>
  <c r="AW218" i="189" s="1"/>
  <c r="BB219" i="189" s="1"/>
  <c r="CD117" i="189"/>
  <c r="AT26" i="189"/>
  <c r="AL329" i="189"/>
  <c r="BD29" i="189"/>
  <c r="AZ84" i="189"/>
  <c r="BE85" i="189" s="1"/>
  <c r="AZ103" i="189"/>
  <c r="BD129" i="189"/>
  <c r="BD130" i="189" s="1"/>
  <c r="BA131" i="189"/>
  <c r="CD129" i="189"/>
  <c r="AZ131" i="189"/>
  <c r="BE132" i="189" s="1"/>
  <c r="AK422" i="189"/>
  <c r="AK426" i="189" s="1"/>
  <c r="BA201" i="189"/>
  <c r="AT38" i="189"/>
  <c r="AO337" i="189"/>
  <c r="AU307" i="189"/>
  <c r="AU308" i="189" s="1"/>
  <c r="AD173" i="189"/>
  <c r="AU217" i="189"/>
  <c r="AU218" i="189" s="1"/>
  <c r="AZ219" i="189" s="1"/>
  <c r="AF173" i="189"/>
  <c r="BD190" i="189"/>
  <c r="BD191" i="189" s="1"/>
  <c r="AR62" i="175"/>
  <c r="AR65" i="175"/>
  <c r="AQ60" i="175"/>
  <c r="K433" i="189"/>
  <c r="AL243" i="189"/>
  <c r="AL244" i="189" s="1"/>
  <c r="P268" i="189"/>
  <c r="CB35" i="189"/>
  <c r="AJ243" i="189"/>
  <c r="AJ244" i="189" s="1"/>
  <c r="K268" i="189"/>
  <c r="Z258" i="189"/>
  <c r="AE231" i="189"/>
  <c r="K264" i="189"/>
  <c r="BD218" i="189"/>
  <c r="BD217" i="189" s="1"/>
  <c r="CD76" i="189"/>
  <c r="CB147" i="189"/>
  <c r="CB11" i="189"/>
  <c r="AU99" i="189"/>
  <c r="AO150" i="189"/>
  <c r="AO313" i="189"/>
  <c r="AJ422" i="189"/>
  <c r="AR313" i="189"/>
  <c r="AR379" i="189" s="1"/>
  <c r="K163" i="189"/>
  <c r="AM324" i="189"/>
  <c r="AR324" i="189" s="1"/>
  <c r="AP324" i="189"/>
  <c r="AP404" i="189" s="1"/>
  <c r="CC396" i="189"/>
  <c r="AB173" i="189"/>
  <c r="AO331" i="189"/>
  <c r="BH104" i="189"/>
  <c r="AG173" i="189"/>
  <c r="CC129" i="189"/>
  <c r="CC130" i="189" s="1"/>
  <c r="AA173" i="189"/>
  <c r="AU147" i="189"/>
  <c r="AU148" i="189" s="1"/>
  <c r="AT114" i="189"/>
  <c r="AZ147" i="189"/>
  <c r="AT11" i="189"/>
  <c r="CC102" i="189"/>
  <c r="AY14" i="189"/>
  <c r="BT79" i="189"/>
  <c r="BU79" i="189" s="1"/>
  <c r="BV79" i="189" s="1"/>
  <c r="BW79" i="189" s="1"/>
  <c r="BL78" i="189"/>
  <c r="BL15" i="189" s="1"/>
  <c r="BK78" i="189"/>
  <c r="CF78" i="189" s="1"/>
  <c r="CC41" i="189"/>
  <c r="AI424" i="189"/>
  <c r="AV131" i="189"/>
  <c r="CC82" i="189"/>
  <c r="CC83" i="189" s="1"/>
  <c r="AQ74" i="175"/>
  <c r="AS69" i="175"/>
  <c r="AR69" i="175"/>
  <c r="AC173" i="189"/>
  <c r="AV84" i="189"/>
  <c r="U163" i="189"/>
  <c r="AM173" i="189"/>
  <c r="AK173" i="189"/>
  <c r="BA83" i="189"/>
  <c r="BA84" i="189"/>
  <c r="AY45" i="189"/>
  <c r="AJ329" i="189"/>
  <c r="AZ83" i="189"/>
  <c r="AZ130" i="189"/>
  <c r="BC144" i="189"/>
  <c r="BC145" i="189" s="1"/>
  <c r="AS74" i="175"/>
  <c r="AU66" i="175"/>
  <c r="AU68" i="175" s="1"/>
  <c r="AS65" i="175"/>
  <c r="AQ68" i="175"/>
  <c r="AS68" i="175"/>
  <c r="AW63" i="175"/>
  <c r="AW60" i="175" s="1"/>
  <c r="AU72" i="175"/>
  <c r="AU69" i="175" s="1"/>
  <c r="AU70" i="175" s="1"/>
  <c r="CD18" i="189"/>
  <c r="CH36" i="171"/>
  <c r="CG36" i="171"/>
  <c r="AX21" i="189"/>
  <c r="BC21" i="189"/>
  <c r="AY213" i="189"/>
  <c r="AY211" i="189"/>
  <c r="AN416" i="189"/>
  <c r="AN415" i="189"/>
  <c r="AM398" i="189"/>
  <c r="AM397" i="189"/>
  <c r="CB396" i="189"/>
  <c r="AV330" i="189"/>
  <c r="AT316" i="189"/>
  <c r="BR203" i="189"/>
  <c r="BW203" i="189" s="1"/>
  <c r="AR198" i="189"/>
  <c r="AS197" i="189"/>
  <c r="BA162" i="189"/>
  <c r="AT234" i="189"/>
  <c r="BK198" i="189"/>
  <c r="AP152" i="189"/>
  <c r="AP151" i="189"/>
  <c r="AV99" i="189"/>
  <c r="BF97" i="189"/>
  <c r="BG99" i="189" s="1"/>
  <c r="AV147" i="189"/>
  <c r="AV26" i="189"/>
  <c r="CC26" i="189" s="1"/>
  <c r="AO414" i="189"/>
  <c r="AO415" i="189" s="1"/>
  <c r="AN398" i="189"/>
  <c r="AT337" i="189"/>
  <c r="AQ414" i="189"/>
  <c r="AR416" i="189" s="1"/>
  <c r="AQ331" i="189"/>
  <c r="AS418" i="189"/>
  <c r="AU394" i="189"/>
  <c r="AU321" i="189"/>
  <c r="AJ396" i="189"/>
  <c r="AJ397" i="189" s="1"/>
  <c r="AL379" i="189"/>
  <c r="AQ313" i="189"/>
  <c r="CD348" i="189"/>
  <c r="AS331" i="189"/>
  <c r="AS422" i="189" s="1"/>
  <c r="AL426" i="189"/>
  <c r="AL423" i="189"/>
  <c r="AR415" i="189"/>
  <c r="AW414" i="189"/>
  <c r="AR418" i="189"/>
  <c r="AN422" i="189"/>
  <c r="AN329" i="189"/>
  <c r="CB316" i="189"/>
  <c r="AH408" i="189"/>
  <c r="AB428" i="189"/>
  <c r="AB427" i="189"/>
  <c r="AQ351" i="189"/>
  <c r="P264" i="189"/>
  <c r="U264" i="189"/>
  <c r="AT233" i="189"/>
  <c r="AU233" i="189" s="1"/>
  <c r="BC219" i="189"/>
  <c r="BC225" i="189"/>
  <c r="BD210" i="189"/>
  <c r="AU368" i="189"/>
  <c r="BD203" i="189"/>
  <c r="BD204" i="189" s="1"/>
  <c r="AW165" i="189"/>
  <c r="AT157" i="189"/>
  <c r="AT156" i="189"/>
  <c r="AV296" i="189"/>
  <c r="AV201" i="189"/>
  <c r="BK190" i="189"/>
  <c r="AI173" i="189"/>
  <c r="AT117" i="189"/>
  <c r="AH173" i="189"/>
  <c r="BO190" i="189"/>
  <c r="BT190" i="189" s="1"/>
  <c r="AN186" i="189"/>
  <c r="AN184" i="189" s="1"/>
  <c r="AM184" i="189"/>
  <c r="AZ162" i="189"/>
  <c r="AJ172" i="189"/>
  <c r="AJ163" i="189"/>
  <c r="AY117" i="189"/>
  <c r="CC117" i="189"/>
  <c r="AT141" i="189"/>
  <c r="AT142" i="189" s="1"/>
  <c r="AT67" i="189"/>
  <c r="AW96" i="189"/>
  <c r="BC96" i="189"/>
  <c r="AW25" i="189"/>
  <c r="BK75" i="189"/>
  <c r="AW142" i="189"/>
  <c r="BH85" i="189"/>
  <c r="AZ144" i="189"/>
  <c r="BA146" i="189" s="1"/>
  <c r="BE75" i="189"/>
  <c r="BF77" i="189" s="1"/>
  <c r="AZ14" i="189"/>
  <c r="CB69" i="189"/>
  <c r="AS142" i="189"/>
  <c r="AS143" i="189"/>
  <c r="CC18" i="189"/>
  <c r="AL173" i="189"/>
  <c r="CB45" i="189"/>
  <c r="BH132" i="189"/>
  <c r="BD82" i="189"/>
  <c r="AM199" i="189"/>
  <c r="CD29" i="189"/>
  <c r="AY97" i="189"/>
  <c r="AZ21" i="189"/>
  <c r="AI404" i="189"/>
  <c r="AK406" i="189" s="1"/>
  <c r="AN324" i="189"/>
  <c r="BL234" i="189"/>
  <c r="BM234" i="189" s="1"/>
  <c r="AQ149" i="189"/>
  <c r="AQ150" i="189"/>
  <c r="AQ148" i="189"/>
  <c r="CD82" i="189"/>
  <c r="CD396" i="189"/>
  <c r="AW398" i="189"/>
  <c r="AW322" i="189"/>
  <c r="AG424" i="189"/>
  <c r="AG426" i="189"/>
  <c r="AM420" i="189"/>
  <c r="AM419" i="189"/>
  <c r="U268" i="189"/>
  <c r="AM352" i="189"/>
  <c r="AX392" i="189"/>
  <c r="AS393" i="189"/>
  <c r="AS352" i="189"/>
  <c r="AL352" i="189"/>
  <c r="P433" i="189"/>
  <c r="AO351" i="189"/>
  <c r="AK352" i="189"/>
  <c r="AN379" i="189"/>
  <c r="AN380" i="189" s="1"/>
  <c r="AS313" i="189"/>
  <c r="U433" i="189"/>
  <c r="AH424" i="189"/>
  <c r="AH426" i="189"/>
  <c r="AI428" i="189" s="1"/>
  <c r="AN429" i="189" s="1"/>
  <c r="AV366" i="189"/>
  <c r="AV307" i="189"/>
  <c r="AV308" i="189" s="1"/>
  <c r="AV217" i="189"/>
  <c r="AV218" i="189" s="1"/>
  <c r="AV226" i="189"/>
  <c r="AV122" i="189"/>
  <c r="BH190" i="189"/>
  <c r="AO157" i="189"/>
  <c r="AO156" i="189"/>
  <c r="AE172" i="189"/>
  <c r="AE163" i="189"/>
  <c r="AT188" i="189"/>
  <c r="BA205" i="189"/>
  <c r="CE190" i="189"/>
  <c r="CC97" i="189"/>
  <c r="CC98" i="189" s="1"/>
  <c r="AS151" i="189"/>
  <c r="BN123" i="189"/>
  <c r="AR142" i="189"/>
  <c r="AR143" i="189"/>
  <c r="AX147" i="189"/>
  <c r="BC97" i="189"/>
  <c r="AX99" i="189"/>
  <c r="AX26" i="189"/>
  <c r="BH80" i="189"/>
  <c r="BI78" i="189"/>
  <c r="BH15" i="189"/>
  <c r="BI15" i="189" s="1"/>
  <c r="BB144" i="189"/>
  <c r="BG145" i="189" s="1"/>
  <c r="BH77" i="189"/>
  <c r="BB14" i="189"/>
  <c r="AU96" i="189"/>
  <c r="BA96" i="189"/>
  <c r="AY94" i="189"/>
  <c r="AY95" i="189" s="1"/>
  <c r="AU25" i="189"/>
  <c r="BA145" i="189"/>
  <c r="CC94" i="189"/>
  <c r="CC95" i="189" s="1"/>
  <c r="CC45" i="189"/>
  <c r="AX96" i="189"/>
  <c r="AT328" i="189"/>
  <c r="AP414" i="189"/>
  <c r="AP331" i="189"/>
  <c r="CB328" i="189"/>
  <c r="AI427" i="189"/>
  <c r="AX225" i="189"/>
  <c r="AX213" i="189"/>
  <c r="AI245" i="189"/>
  <c r="AN239" i="189"/>
  <c r="AR178" i="189"/>
  <c r="AN178" i="189"/>
  <c r="CB178" i="189" s="1"/>
  <c r="AL175" i="189"/>
  <c r="BK169" i="189"/>
  <c r="AN164" i="189"/>
  <c r="AN165" i="189" s="1"/>
  <c r="AM165" i="189"/>
  <c r="AX127" i="189"/>
  <c r="AX38" i="189"/>
  <c r="AV146" i="189"/>
  <c r="AV145" i="189"/>
  <c r="AY125" i="189"/>
  <c r="BH144" i="189"/>
  <c r="BM75" i="189"/>
  <c r="BH14" i="189"/>
  <c r="BB141" i="189"/>
  <c r="BB11" i="189"/>
  <c r="AY21" i="189"/>
  <c r="BH94" i="189"/>
  <c r="BC25" i="189"/>
  <c r="AS367" i="189"/>
  <c r="AG317" i="189"/>
  <c r="AL317" i="189" s="1"/>
  <c r="AJ352" i="189"/>
  <c r="AG385" i="189"/>
  <c r="AF427" i="189"/>
  <c r="AF428" i="189"/>
  <c r="AK429" i="189" s="1"/>
  <c r="AO418" i="189"/>
  <c r="AO419" i="189" s="1"/>
  <c r="AX398" i="189"/>
  <c r="AX322" i="189"/>
  <c r="AO396" i="189"/>
  <c r="AM422" i="189"/>
  <c r="AM329" i="189"/>
  <c r="AP418" i="189"/>
  <c r="AT330" i="189"/>
  <c r="AU398" i="189"/>
  <c r="AY396" i="189"/>
  <c r="AY397" i="189" s="1"/>
  <c r="AU322" i="189"/>
  <c r="AP379" i="189"/>
  <c r="AR331" i="189"/>
  <c r="AR329" i="189" s="1"/>
  <c r="AM380" i="189"/>
  <c r="AS416" i="189"/>
  <c r="AX414" i="189"/>
  <c r="AS415" i="189"/>
  <c r="AR351" i="189"/>
  <c r="AN393" i="189"/>
  <c r="AV398" i="189"/>
  <c r="AV322" i="189"/>
  <c r="AN352" i="189"/>
  <c r="AP351" i="189"/>
  <c r="AH245" i="189"/>
  <c r="AM239" i="189"/>
  <c r="AR366" i="189"/>
  <c r="AS368" i="189" s="1"/>
  <c r="AX369" i="189" s="1"/>
  <c r="CC225" i="189"/>
  <c r="AR217" i="189"/>
  <c r="AR218" i="189" s="1"/>
  <c r="AR226" i="189"/>
  <c r="AR122" i="189"/>
  <c r="BA225" i="189"/>
  <c r="BA213" i="189"/>
  <c r="AK408" i="189"/>
  <c r="BB225" i="189"/>
  <c r="AK241" i="189"/>
  <c r="AZ198" i="189"/>
  <c r="BE198" i="189" s="1"/>
  <c r="BE200" i="189" s="1"/>
  <c r="BE205" i="189" s="1"/>
  <c r="AU200" i="189"/>
  <c r="AX170" i="189"/>
  <c r="BC167" i="189"/>
  <c r="AW226" i="189"/>
  <c r="AL199" i="189"/>
  <c r="AV206" i="189"/>
  <c r="AV113" i="189"/>
  <c r="Z172" i="189"/>
  <c r="Z163" i="189"/>
  <c r="P163" i="189"/>
  <c r="CC144" i="189"/>
  <c r="CC145" i="189" s="1"/>
  <c r="AO163" i="189"/>
  <c r="CC125" i="189"/>
  <c r="CC126" i="189" s="1"/>
  <c r="AV127" i="189"/>
  <c r="AV38" i="189"/>
  <c r="AW147" i="189"/>
  <c r="AW99" i="189"/>
  <c r="AW26" i="189"/>
  <c r="AW146" i="189"/>
  <c r="AY66" i="189"/>
  <c r="AZ66" i="189"/>
  <c r="AU68" i="189"/>
  <c r="AU11" i="189"/>
  <c r="CC66" i="189"/>
  <c r="CC67" i="189" s="1"/>
  <c r="AR150" i="189"/>
  <c r="AS152" i="189" s="1"/>
  <c r="AZ127" i="189"/>
  <c r="BE38" i="189"/>
  <c r="AZ38" i="189"/>
  <c r="BD117" i="189"/>
  <c r="AT147" i="189"/>
  <c r="AT148" i="189" s="1"/>
  <c r="AT98" i="189"/>
  <c r="AV141" i="189"/>
  <c r="AV68" i="189"/>
  <c r="AV11" i="189"/>
  <c r="BA66" i="189"/>
  <c r="AW68" i="189"/>
  <c r="CD41" i="189"/>
  <c r="AY144" i="189"/>
  <c r="AY145" i="189" s="1"/>
  <c r="AU146" i="189"/>
  <c r="AU145" i="189"/>
  <c r="AX141" i="189"/>
  <c r="AX68" i="189"/>
  <c r="AX11" i="189"/>
  <c r="CB100" i="189"/>
  <c r="BA25" i="189"/>
  <c r="BD20" i="189"/>
  <c r="BD21" i="189" s="1"/>
  <c r="BD18" i="189"/>
  <c r="AO197" i="189"/>
  <c r="AN198" i="189"/>
  <c r="AN199" i="189" s="1"/>
  <c r="CC72" i="189"/>
  <c r="CC73" i="189" s="1"/>
  <c r="BD41" i="189"/>
  <c r="CC24" i="189"/>
  <c r="AY156" i="189"/>
  <c r="AX69" i="175"/>
  <c r="AX74" i="175"/>
  <c r="BC72" i="175"/>
  <c r="BC72" i="189" s="1"/>
  <c r="BC69" i="189" s="1"/>
  <c r="AW61" i="175"/>
  <c r="BB66" i="175"/>
  <c r="AW69" i="175"/>
  <c r="BB72" i="175"/>
  <c r="BB72" i="189" s="1"/>
  <c r="BA63" i="175"/>
  <c r="BA63" i="189" s="1"/>
  <c r="AX68" i="175"/>
  <c r="BC66" i="175"/>
  <c r="AT66" i="175"/>
  <c r="AR68" i="175"/>
  <c r="AT72" i="175"/>
  <c r="AR74" i="175"/>
  <c r="AX63" i="175"/>
  <c r="BB63" i="175"/>
  <c r="AW65" i="175"/>
  <c r="AV66" i="175"/>
  <c r="AW68" i="175" s="1"/>
  <c r="AZ66" i="175"/>
  <c r="AV72" i="175"/>
  <c r="AS60" i="175"/>
  <c r="AQ69" i="175"/>
  <c r="AY126" i="189" l="1"/>
  <c r="BF200" i="189"/>
  <c r="BF201" i="189" s="1"/>
  <c r="BG197" i="189"/>
  <c r="BH197" i="189" s="1"/>
  <c r="BI197" i="189" s="1"/>
  <c r="BJ197" i="189" s="1"/>
  <c r="BK197" i="189" s="1"/>
  <c r="BL197" i="189" s="1"/>
  <c r="BM197" i="189" s="1"/>
  <c r="BN197" i="189" s="1"/>
  <c r="BO197" i="189" s="1"/>
  <c r="BP197" i="189" s="1"/>
  <c r="BQ197" i="189" s="1"/>
  <c r="BR197" i="189" s="1"/>
  <c r="BS197" i="189" s="1"/>
  <c r="BT197" i="189" s="1"/>
  <c r="BU197" i="189" s="1"/>
  <c r="BV197" i="189" s="1"/>
  <c r="BW197" i="189" s="1"/>
  <c r="BX197" i="189" s="1"/>
  <c r="BG142" i="189"/>
  <c r="BG150" i="189"/>
  <c r="BU234" i="189"/>
  <c r="BF205" i="189"/>
  <c r="BF63" i="189"/>
  <c r="BF85" i="189"/>
  <c r="BB68" i="189"/>
  <c r="BF66" i="189"/>
  <c r="BG68" i="189" s="1"/>
  <c r="BF206" i="189"/>
  <c r="BF113" i="189"/>
  <c r="CD125" i="189"/>
  <c r="CD126" i="189" s="1"/>
  <c r="BF147" i="189"/>
  <c r="BG149" i="189" s="1"/>
  <c r="BF26" i="189"/>
  <c r="AP323" i="189"/>
  <c r="AP400" i="189" s="1"/>
  <c r="AP408" i="189" s="1"/>
  <c r="AU149" i="189"/>
  <c r="AZ223" i="189"/>
  <c r="AZ224" i="189" s="1"/>
  <c r="CD83" i="189"/>
  <c r="BD222" i="189"/>
  <c r="BB38" i="189"/>
  <c r="BM78" i="189"/>
  <c r="BN78" i="189" s="1"/>
  <c r="BN79" i="189" s="1"/>
  <c r="AW368" i="189"/>
  <c r="AM404" i="189"/>
  <c r="AM405" i="189" s="1"/>
  <c r="CB414" i="189"/>
  <c r="AK424" i="189"/>
  <c r="AZ226" i="189"/>
  <c r="CC308" i="189"/>
  <c r="AK423" i="189"/>
  <c r="AL424" i="189"/>
  <c r="AT313" i="189"/>
  <c r="AU124" i="189"/>
  <c r="AO239" i="189"/>
  <c r="BC146" i="189"/>
  <c r="AL245" i="189"/>
  <c r="AL246" i="189" s="1"/>
  <c r="AJ245" i="189"/>
  <c r="AJ246" i="189" s="1"/>
  <c r="AX219" i="189"/>
  <c r="AO422" i="189"/>
  <c r="AO423" i="189" s="1"/>
  <c r="CD130" i="189"/>
  <c r="AU150" i="189"/>
  <c r="AU152" i="189" s="1"/>
  <c r="BO78" i="189"/>
  <c r="BT78" i="189" s="1"/>
  <c r="BE97" i="189"/>
  <c r="AQ239" i="189"/>
  <c r="AQ241" i="189" s="1"/>
  <c r="AQ242" i="189" s="1"/>
  <c r="CD97" i="189"/>
  <c r="CD98" i="189" s="1"/>
  <c r="BP78" i="189"/>
  <c r="BU78" i="189" s="1"/>
  <c r="AZ26" i="189"/>
  <c r="CB331" i="189"/>
  <c r="AZ99" i="189"/>
  <c r="AW367" i="189"/>
  <c r="BD83" i="189"/>
  <c r="BE84" i="189"/>
  <c r="BI190" i="189"/>
  <c r="BI191" i="189" s="1"/>
  <c r="BK15" i="189"/>
  <c r="BK80" i="189"/>
  <c r="BE144" i="189"/>
  <c r="BF146" i="189" s="1"/>
  <c r="BE14" i="189"/>
  <c r="AM321" i="189"/>
  <c r="AM392" i="189" s="1"/>
  <c r="AO397" i="189"/>
  <c r="AO329" i="189"/>
  <c r="AS329" i="189"/>
  <c r="AY26" i="189"/>
  <c r="BQ78" i="189"/>
  <c r="BL80" i="189"/>
  <c r="AS71" i="175"/>
  <c r="AU74" i="175"/>
  <c r="AY72" i="175"/>
  <c r="AY73" i="175" s="1"/>
  <c r="AZ72" i="175"/>
  <c r="AZ72" i="189" s="1"/>
  <c r="AZ13" i="189" s="1"/>
  <c r="AU71" i="175"/>
  <c r="AJ173" i="189"/>
  <c r="AP329" i="189"/>
  <c r="BH72" i="189"/>
  <c r="BM72" i="189" s="1"/>
  <c r="BC13" i="189"/>
  <c r="BC12" i="189" s="1"/>
  <c r="BA10" i="189"/>
  <c r="AT21" i="189"/>
  <c r="AY141" i="189"/>
  <c r="AY142" i="189" s="1"/>
  <c r="AY67" i="189"/>
  <c r="BA226" i="189"/>
  <c r="BA223" i="189"/>
  <c r="BA224" i="189" s="1"/>
  <c r="BA122" i="189"/>
  <c r="BF123" i="189" s="1"/>
  <c r="BC127" i="189"/>
  <c r="BH125" i="189"/>
  <c r="BC38" i="189"/>
  <c r="AX351" i="189"/>
  <c r="BL75" i="189"/>
  <c r="BM77" i="189" s="1"/>
  <c r="AV219" i="189"/>
  <c r="BA219" i="189"/>
  <c r="AY218" i="189"/>
  <c r="AG428" i="189"/>
  <c r="AL429" i="189" s="1"/>
  <c r="AG427" i="189"/>
  <c r="BB127" i="189"/>
  <c r="BJ203" i="189"/>
  <c r="BI203" i="189"/>
  <c r="BI204" i="189" s="1"/>
  <c r="AV233" i="189"/>
  <c r="AQ352" i="189"/>
  <c r="BA165" i="189"/>
  <c r="AY11" i="189"/>
  <c r="CC11" i="189"/>
  <c r="BB147" i="189"/>
  <c r="BG148" i="189" s="1"/>
  <c r="BB99" i="189"/>
  <c r="BB26" i="189"/>
  <c r="AR124" i="189"/>
  <c r="AR123" i="189"/>
  <c r="CC122" i="189"/>
  <c r="AW123" i="189"/>
  <c r="BK94" i="189"/>
  <c r="AX142" i="189"/>
  <c r="AX143" i="189"/>
  <c r="CB63" i="189"/>
  <c r="BD125" i="189"/>
  <c r="AR151" i="189"/>
  <c r="AR152" i="189"/>
  <c r="BD66" i="189"/>
  <c r="AZ11" i="189"/>
  <c r="BE66" i="189"/>
  <c r="AZ141" i="189"/>
  <c r="AZ150" i="189" s="1"/>
  <c r="AZ68" i="189"/>
  <c r="CD66" i="189"/>
  <c r="CD67" i="189" s="1"/>
  <c r="BB226" i="189"/>
  <c r="CE225" i="189"/>
  <c r="BB223" i="189"/>
  <c r="BB224" i="189" s="1"/>
  <c r="BB122" i="189"/>
  <c r="BG123" i="189" s="1"/>
  <c r="AR219" i="189"/>
  <c r="AH249" i="189"/>
  <c r="AH253" i="189" s="1"/>
  <c r="AR352" i="189"/>
  <c r="AP419" i="189"/>
  <c r="AT418" i="189"/>
  <c r="AT419" i="189" s="1"/>
  <c r="AP420" i="189"/>
  <c r="AU418" i="189"/>
  <c r="AQ420" i="189"/>
  <c r="BL66" i="189"/>
  <c r="AS178" i="189"/>
  <c r="CC178" i="189" s="1"/>
  <c r="AN241" i="189"/>
  <c r="AN242" i="189" s="1"/>
  <c r="AR404" i="189"/>
  <c r="CC46" i="189"/>
  <c r="AY25" i="189"/>
  <c r="CC25" i="189"/>
  <c r="BB145" i="189"/>
  <c r="BB146" i="189"/>
  <c r="AX149" i="189"/>
  <c r="AX150" i="189"/>
  <c r="AX148" i="189"/>
  <c r="BA206" i="189"/>
  <c r="BA113" i="189"/>
  <c r="BM190" i="189"/>
  <c r="AS379" i="189"/>
  <c r="CB418" i="189"/>
  <c r="BE72" i="189"/>
  <c r="AU404" i="189"/>
  <c r="AP405" i="189"/>
  <c r="BD144" i="189"/>
  <c r="BD145" i="189" s="1"/>
  <c r="BD162" i="189"/>
  <c r="AZ165" i="189"/>
  <c r="AO184" i="189"/>
  <c r="AK428" i="189"/>
  <c r="AP429" i="189" s="1"/>
  <c r="AK427" i="189"/>
  <c r="AS423" i="189"/>
  <c r="AS426" i="189"/>
  <c r="AX422" i="189"/>
  <c r="BA147" i="189"/>
  <c r="CD147" i="189" s="1"/>
  <c r="BA99" i="189"/>
  <c r="BA26" i="189"/>
  <c r="AR199" i="189"/>
  <c r="AW198" i="189"/>
  <c r="AU296" i="189"/>
  <c r="CC200" i="189"/>
  <c r="AU201" i="189"/>
  <c r="AU205" i="189"/>
  <c r="AR422" i="189"/>
  <c r="AI249" i="189"/>
  <c r="AI253" i="189" s="1"/>
  <c r="AQ152" i="189"/>
  <c r="AQ151" i="189"/>
  <c r="CB150" i="189"/>
  <c r="CC13" i="189"/>
  <c r="BE77" i="189"/>
  <c r="BI75" i="189"/>
  <c r="BJ75" i="189"/>
  <c r="CF75" i="189" s="1"/>
  <c r="BH96" i="189"/>
  <c r="BB25" i="189"/>
  <c r="BB96" i="189"/>
  <c r="AH409" i="189"/>
  <c r="AY38" i="189"/>
  <c r="CC38" i="189"/>
  <c r="AV114" i="189"/>
  <c r="AK242" i="189"/>
  <c r="AK243" i="189"/>
  <c r="CC366" i="189"/>
  <c r="AR367" i="189"/>
  <c r="AR368" i="189"/>
  <c r="AW369" i="189" s="1"/>
  <c r="AP380" i="189"/>
  <c r="AU379" i="189"/>
  <c r="BM94" i="189"/>
  <c r="BH25" i="189"/>
  <c r="BM144" i="189"/>
  <c r="BR75" i="189"/>
  <c r="BW75" i="189" s="1"/>
  <c r="BM14" i="189"/>
  <c r="BL169" i="189"/>
  <c r="AL360" i="189"/>
  <c r="AL181" i="189"/>
  <c r="AW178" i="189"/>
  <c r="AF253" i="189"/>
  <c r="AX366" i="189"/>
  <c r="AX307" i="189"/>
  <c r="AX226" i="189"/>
  <c r="AX223" i="189"/>
  <c r="AX224" i="189" s="1"/>
  <c r="AX122" i="189"/>
  <c r="AY122" i="189" s="1"/>
  <c r="CD225" i="189"/>
  <c r="AW379" i="189"/>
  <c r="AR380" i="189"/>
  <c r="AP422" i="189"/>
  <c r="AT331" i="189"/>
  <c r="BD97" i="189"/>
  <c r="AZ96" i="189"/>
  <c r="BD94" i="189"/>
  <c r="BD95" i="189" s="1"/>
  <c r="AZ25" i="189"/>
  <c r="CE75" i="189"/>
  <c r="CE76" i="189" s="1"/>
  <c r="AY225" i="189"/>
  <c r="AO352" i="189"/>
  <c r="AX321" i="189"/>
  <c r="AN404" i="189"/>
  <c r="AP406" i="189" s="1"/>
  <c r="AN323" i="189"/>
  <c r="AS324" i="189"/>
  <c r="AY147" i="189"/>
  <c r="AY148" i="189" s="1"/>
  <c r="AY98" i="189"/>
  <c r="CB198" i="189"/>
  <c r="CD94" i="189"/>
  <c r="CD95" i="189" s="1"/>
  <c r="BL125" i="189"/>
  <c r="BC226" i="189"/>
  <c r="BC223" i="189"/>
  <c r="BC122" i="189"/>
  <c r="AR420" i="189"/>
  <c r="AW418" i="189"/>
  <c r="AR419" i="189"/>
  <c r="AL428" i="189"/>
  <c r="AL427" i="189"/>
  <c r="AQ379" i="189"/>
  <c r="CB379" i="189" s="1"/>
  <c r="CB313" i="189"/>
  <c r="AQ422" i="189"/>
  <c r="AQ329" i="189"/>
  <c r="AT150" i="189"/>
  <c r="AT151" i="189" s="1"/>
  <c r="BP198" i="189"/>
  <c r="BK200" i="189"/>
  <c r="BK201" i="189" s="1"/>
  <c r="AO165" i="189"/>
  <c r="AO164" i="189" s="1"/>
  <c r="AP164" i="189" s="1"/>
  <c r="AV143" i="189"/>
  <c r="AV142" i="189"/>
  <c r="AW150" i="189"/>
  <c r="AW148" i="189"/>
  <c r="AW149" i="189"/>
  <c r="BA38" i="189"/>
  <c r="BA127" i="189"/>
  <c r="AO198" i="189"/>
  <c r="AO199" i="189" s="1"/>
  <c r="BL203" i="189"/>
  <c r="AP352" i="189"/>
  <c r="AT351" i="189"/>
  <c r="AQ317" i="189"/>
  <c r="AQ315" i="189" s="1"/>
  <c r="AL315" i="189"/>
  <c r="AL311" i="189" s="1"/>
  <c r="AZ123" i="189"/>
  <c r="AZ37" i="189"/>
  <c r="BE123" i="189"/>
  <c r="AZ149" i="189"/>
  <c r="AZ148" i="189"/>
  <c r="AH427" i="189"/>
  <c r="AH428" i="189"/>
  <c r="AM429" i="189" s="1"/>
  <c r="CB351" i="189"/>
  <c r="BB60" i="189"/>
  <c r="BG61" i="189" s="1"/>
  <c r="BB10" i="189"/>
  <c r="BK144" i="189"/>
  <c r="BP75" i="189"/>
  <c r="BU75" i="189" s="1"/>
  <c r="BK14" i="189"/>
  <c r="CD414" i="189"/>
  <c r="AW328" i="189"/>
  <c r="BA141" i="189"/>
  <c r="BA68" i="189"/>
  <c r="BA11" i="189"/>
  <c r="AU143" i="189"/>
  <c r="AU142" i="189"/>
  <c r="AZ200" i="189"/>
  <c r="BE201" i="189" s="1"/>
  <c r="AM424" i="189"/>
  <c r="AM426" i="189"/>
  <c r="AM423" i="189"/>
  <c r="BC141" i="189"/>
  <c r="BC68" i="189"/>
  <c r="BH66" i="189"/>
  <c r="BC11" i="189"/>
  <c r="BJ125" i="189"/>
  <c r="BE127" i="189"/>
  <c r="BC170" i="189"/>
  <c r="BC175" i="189" s="1"/>
  <c r="BH167" i="189"/>
  <c r="AM241" i="189"/>
  <c r="AM243" i="189" s="1"/>
  <c r="CB57" i="189"/>
  <c r="AX416" i="189"/>
  <c r="AX328" i="189"/>
  <c r="AY322" i="189"/>
  <c r="CC322" i="189"/>
  <c r="AJ426" i="189"/>
  <c r="BB142" i="189"/>
  <c r="BH145" i="189"/>
  <c r="AO178" i="189"/>
  <c r="AO179" i="189" s="1"/>
  <c r="BD225" i="189"/>
  <c r="AE236" i="189"/>
  <c r="AE232" i="189" s="1"/>
  <c r="BH255" i="189"/>
  <c r="BH260" i="189" s="1"/>
  <c r="AT397" i="189"/>
  <c r="AP415" i="189"/>
  <c r="AU414" i="189"/>
  <c r="AP416" i="189"/>
  <c r="AT414" i="189"/>
  <c r="AT415" i="189" s="1"/>
  <c r="AS124" i="189"/>
  <c r="BC147" i="189"/>
  <c r="BH97" i="189"/>
  <c r="BC99" i="189"/>
  <c r="BC26" i="189"/>
  <c r="CC141" i="189"/>
  <c r="CC142" i="189" s="1"/>
  <c r="CF190" i="189"/>
  <c r="BL190" i="189"/>
  <c r="BK203" i="189"/>
  <c r="AE173" i="189"/>
  <c r="AV124" i="189"/>
  <c r="AV123" i="189"/>
  <c r="AW124" i="189"/>
  <c r="AV368" i="189"/>
  <c r="AV367" i="189"/>
  <c r="CD322" i="189"/>
  <c r="CC69" i="189"/>
  <c r="CC70" i="189" s="1"/>
  <c r="BB69" i="189"/>
  <c r="BB13" i="189"/>
  <c r="AI408" i="189"/>
  <c r="AK410" i="189" s="1"/>
  <c r="AI406" i="189"/>
  <c r="BD14" i="189"/>
  <c r="CD14" i="189"/>
  <c r="AZ146" i="189"/>
  <c r="AZ145" i="189"/>
  <c r="CD144" i="189"/>
  <c r="CD145" i="189" s="1"/>
  <c r="BE104" i="189"/>
  <c r="AW143" i="189"/>
  <c r="AM175" i="189"/>
  <c r="BP190" i="189"/>
  <c r="BU190" i="189" s="1"/>
  <c r="AW219" i="189"/>
  <c r="AN426" i="189"/>
  <c r="AN423" i="189"/>
  <c r="AN424" i="189"/>
  <c r="AL380" i="189"/>
  <c r="AO379" i="189"/>
  <c r="AO380" i="189" s="1"/>
  <c r="AS420" i="189"/>
  <c r="AX418" i="189"/>
  <c r="AS419" i="189"/>
  <c r="AQ415" i="189"/>
  <c r="AV414" i="189"/>
  <c r="AW416" i="189" s="1"/>
  <c r="AQ416" i="189"/>
  <c r="AV150" i="189"/>
  <c r="AV148" i="189"/>
  <c r="AV149" i="189"/>
  <c r="CC147" i="189"/>
  <c r="CC148" i="189" s="1"/>
  <c r="BA60" i="189"/>
  <c r="AS198" i="189"/>
  <c r="AT197" i="189"/>
  <c r="BN234" i="189"/>
  <c r="AX65" i="175"/>
  <c r="BC63" i="175"/>
  <c r="AX60" i="175"/>
  <c r="AX71" i="175"/>
  <c r="AX70" i="175"/>
  <c r="AQ71" i="175"/>
  <c r="AR71" i="175"/>
  <c r="AW70" i="175"/>
  <c r="AV68" i="175"/>
  <c r="BA66" i="175"/>
  <c r="BA60" i="175" s="1"/>
  <c r="AY66" i="175"/>
  <c r="AY67" i="175" s="1"/>
  <c r="BB69" i="175"/>
  <c r="AT69" i="175"/>
  <c r="BB65" i="175"/>
  <c r="BB60" i="175"/>
  <c r="AS62" i="175"/>
  <c r="AZ68" i="175"/>
  <c r="BD66" i="175"/>
  <c r="AV74" i="175"/>
  <c r="BA72" i="175"/>
  <c r="BA72" i="189" s="1"/>
  <c r="BF72" i="189" s="1"/>
  <c r="BG74" i="189" s="1"/>
  <c r="AV69" i="175"/>
  <c r="AW71" i="175" s="1"/>
  <c r="BC68" i="175"/>
  <c r="AV60" i="175"/>
  <c r="AW74" i="175"/>
  <c r="BC69" i="175"/>
  <c r="BC74" i="175"/>
  <c r="BD126" i="189" l="1"/>
  <c r="BF10" i="189"/>
  <c r="BG65" i="189"/>
  <c r="BK63" i="189"/>
  <c r="BC71" i="189"/>
  <c r="BG70" i="189"/>
  <c r="BP200" i="189"/>
  <c r="BP201" i="189" s="1"/>
  <c r="BU198" i="189"/>
  <c r="BU200" i="189" s="1"/>
  <c r="BV234" i="189"/>
  <c r="BU80" i="189"/>
  <c r="BU15" i="189"/>
  <c r="BU14" i="189"/>
  <c r="BU144" i="189"/>
  <c r="BW144" i="189"/>
  <c r="BW14" i="189"/>
  <c r="BQ15" i="189"/>
  <c r="BV78" i="189"/>
  <c r="BT15" i="189"/>
  <c r="BF13" i="189"/>
  <c r="BF12" i="189" s="1"/>
  <c r="BF69" i="189"/>
  <c r="BG71" i="189" s="1"/>
  <c r="BF114" i="189"/>
  <c r="BF34" i="189"/>
  <c r="BF148" i="189"/>
  <c r="BF127" i="189"/>
  <c r="BF38" i="189"/>
  <c r="CE38" i="189" s="1"/>
  <c r="BF68" i="189"/>
  <c r="BF141" i="189"/>
  <c r="BG143" i="189" s="1"/>
  <c r="BF11" i="189"/>
  <c r="BF9" i="189" s="1"/>
  <c r="BF60" i="189"/>
  <c r="BE25" i="189"/>
  <c r="BF96" i="189"/>
  <c r="BE13" i="189"/>
  <c r="BE12" i="189" s="1"/>
  <c r="BF74" i="189"/>
  <c r="BF99" i="189"/>
  <c r="AT178" i="189"/>
  <c r="AT179" i="189" s="1"/>
  <c r="BM80" i="189"/>
  <c r="BM15" i="189"/>
  <c r="BN15" i="189" s="1"/>
  <c r="BO80" i="189"/>
  <c r="BR78" i="189"/>
  <c r="BR80" i="189" s="1"/>
  <c r="AL249" i="189"/>
  <c r="AL253" i="189" s="1"/>
  <c r="CC150" i="189"/>
  <c r="CC151" i="189" s="1"/>
  <c r="AM408" i="189"/>
  <c r="AM409" i="189" s="1"/>
  <c r="CD26" i="189"/>
  <c r="BE26" i="189"/>
  <c r="BE99" i="189"/>
  <c r="BJ97" i="189"/>
  <c r="BO97" i="189" s="1"/>
  <c r="BT97" i="189" s="1"/>
  <c r="BE147" i="189"/>
  <c r="BE148" i="189" s="1"/>
  <c r="BP80" i="189"/>
  <c r="BP15" i="189"/>
  <c r="BD26" i="189"/>
  <c r="BO15" i="189"/>
  <c r="BQ80" i="189"/>
  <c r="BD122" i="189"/>
  <c r="BI123" i="189" s="1"/>
  <c r="AR321" i="189"/>
  <c r="AR323" i="189" s="1"/>
  <c r="AR400" i="189" s="1"/>
  <c r="AU151" i="189"/>
  <c r="CG78" i="189"/>
  <c r="BA9" i="189"/>
  <c r="BD38" i="189"/>
  <c r="AN243" i="189"/>
  <c r="AN244" i="189" s="1"/>
  <c r="BI97" i="189"/>
  <c r="BB68" i="175"/>
  <c r="BE145" i="189"/>
  <c r="BE146" i="189"/>
  <c r="BE141" i="189"/>
  <c r="BE11" i="189"/>
  <c r="AT329" i="189"/>
  <c r="BD25" i="189"/>
  <c r="BD165" i="189"/>
  <c r="BD164" i="189" s="1"/>
  <c r="BD11" i="189"/>
  <c r="CD38" i="189"/>
  <c r="CB329" i="189"/>
  <c r="AZ74" i="175"/>
  <c r="BH69" i="189"/>
  <c r="BH70" i="189" s="1"/>
  <c r="BH13" i="189"/>
  <c r="BH12" i="189" s="1"/>
  <c r="AZ69" i="189"/>
  <c r="AZ69" i="175"/>
  <c r="AZ71" i="175" s="1"/>
  <c r="AO426" i="189"/>
  <c r="AO427" i="189" s="1"/>
  <c r="CB422" i="189"/>
  <c r="BK77" i="189"/>
  <c r="AY150" i="189"/>
  <c r="AY151" i="189" s="1"/>
  <c r="BI14" i="189"/>
  <c r="CF76" i="189"/>
  <c r="BA13" i="189"/>
  <c r="BA12" i="189" s="1"/>
  <c r="BA69" i="189"/>
  <c r="BC10" i="189"/>
  <c r="BC9" i="189" s="1"/>
  <c r="BH63" i="189"/>
  <c r="BC60" i="189"/>
  <c r="BC62" i="189" s="1"/>
  <c r="BB74" i="175"/>
  <c r="CD72" i="189"/>
  <c r="CD73" i="189" s="1"/>
  <c r="BD72" i="189"/>
  <c r="AE235" i="189"/>
  <c r="AP409" i="189"/>
  <c r="AM181" i="189"/>
  <c r="AM360" i="189"/>
  <c r="AU416" i="189"/>
  <c r="AY414" i="189"/>
  <c r="AY415" i="189" s="1"/>
  <c r="AU328" i="189"/>
  <c r="CC414" i="189"/>
  <c r="AM245" i="189"/>
  <c r="AM244" i="189"/>
  <c r="AR239" i="189"/>
  <c r="CD328" i="189"/>
  <c r="AT352" i="189"/>
  <c r="AW151" i="189"/>
  <c r="AW152" i="189"/>
  <c r="CD418" i="189"/>
  <c r="AW420" i="189"/>
  <c r="AW330" i="189"/>
  <c r="BM169" i="189"/>
  <c r="BA114" i="189"/>
  <c r="BA34" i="189"/>
  <c r="AX152" i="189"/>
  <c r="AX151" i="189"/>
  <c r="AR405" i="189"/>
  <c r="AW404" i="189"/>
  <c r="BC149" i="189"/>
  <c r="BC150" i="189"/>
  <c r="BC148" i="189"/>
  <c r="BC57" i="189"/>
  <c r="BD223" i="189"/>
  <c r="BD226" i="189"/>
  <c r="BA142" i="189"/>
  <c r="BA143" i="189"/>
  <c r="BL63" i="189"/>
  <c r="AL373" i="189"/>
  <c r="AX420" i="189"/>
  <c r="AX330" i="189"/>
  <c r="BL72" i="189"/>
  <c r="BM74" i="189" s="1"/>
  <c r="AS199" i="189"/>
  <c r="AX198" i="189"/>
  <c r="AY198" i="189" s="1"/>
  <c r="AV416" i="189"/>
  <c r="AV328" i="189"/>
  <c r="AN427" i="189"/>
  <c r="AN428" i="189"/>
  <c r="AS429" i="189" s="1"/>
  <c r="CE125" i="189"/>
  <c r="CE126" i="189" s="1"/>
  <c r="AQ243" i="189"/>
  <c r="BQ190" i="189"/>
  <c r="CG190" i="189"/>
  <c r="BN190" i="189"/>
  <c r="BN191" i="189" s="1"/>
  <c r="BB143" i="189"/>
  <c r="BI125" i="189"/>
  <c r="BK66" i="189"/>
  <c r="BL68" i="189" s="1"/>
  <c r="BP144" i="189"/>
  <c r="BP14" i="189"/>
  <c r="BB62" i="189"/>
  <c r="BQ203" i="189"/>
  <c r="BV203" i="189" s="1"/>
  <c r="AQ426" i="189"/>
  <c r="AQ424" i="189"/>
  <c r="AV422" i="189"/>
  <c r="AQ423" i="189"/>
  <c r="AQ380" i="189"/>
  <c r="AV379" i="189"/>
  <c r="AV313" i="189" s="1"/>
  <c r="BC224" i="189"/>
  <c r="AN405" i="189"/>
  <c r="AN406" i="189"/>
  <c r="AY223" i="189"/>
  <c r="BR144" i="189"/>
  <c r="BR14" i="189"/>
  <c r="CE94" i="189"/>
  <c r="CE95" i="189" s="1"/>
  <c r="CC198" i="189"/>
  <c r="BA150" i="189"/>
  <c r="BA148" i="189"/>
  <c r="BA149" i="189"/>
  <c r="AS427" i="189"/>
  <c r="AO185" i="189"/>
  <c r="AO186" i="189"/>
  <c r="AP186" i="189" s="1"/>
  <c r="AU324" i="189"/>
  <c r="CC27" i="189"/>
  <c r="BH74" i="189"/>
  <c r="BJ66" i="189"/>
  <c r="BE68" i="189"/>
  <c r="BI66" i="189"/>
  <c r="CE66" i="189"/>
  <c r="CE67" i="189" s="1"/>
  <c r="CB10" i="189"/>
  <c r="CB60" i="189"/>
  <c r="CC37" i="189"/>
  <c r="AY217" i="189"/>
  <c r="BD219" i="189"/>
  <c r="BB12" i="189"/>
  <c r="BM255" i="189"/>
  <c r="CB8" i="189"/>
  <c r="BK145" i="189"/>
  <c r="BB9" i="189"/>
  <c r="AP165" i="189"/>
  <c r="AQ164" i="189"/>
  <c r="BR94" i="189"/>
  <c r="BW94" i="189" s="1"/>
  <c r="BM25" i="189"/>
  <c r="AU206" i="189"/>
  <c r="AU113" i="189"/>
  <c r="AZ12" i="189"/>
  <c r="AX178" i="189"/>
  <c r="AY178" i="189" s="1"/>
  <c r="AY179" i="189" s="1"/>
  <c r="AU420" i="189"/>
  <c r="AY418" i="189"/>
  <c r="AY419" i="189" s="1"/>
  <c r="AU330" i="189"/>
  <c r="AV420" i="189"/>
  <c r="BL97" i="189"/>
  <c r="BK10" i="189"/>
  <c r="BP63" i="189"/>
  <c r="BU63" i="189" s="1"/>
  <c r="AL250" i="189"/>
  <c r="AQ429" i="189"/>
  <c r="CC418" i="189"/>
  <c r="BQ125" i="189"/>
  <c r="BL38" i="189"/>
  <c r="AS404" i="189"/>
  <c r="AU406" i="189" s="1"/>
  <c r="AS323" i="189"/>
  <c r="AS400" i="189" s="1"/>
  <c r="BD98" i="189"/>
  <c r="BD147" i="189"/>
  <c r="BD148" i="189" s="1"/>
  <c r="AX124" i="189"/>
  <c r="AX123" i="189"/>
  <c r="CD122" i="189"/>
  <c r="CD123" i="189" s="1"/>
  <c r="AX367" i="189"/>
  <c r="AX368" i="189"/>
  <c r="CD366" i="189"/>
  <c r="AY366" i="189"/>
  <c r="BM145" i="189"/>
  <c r="AU313" i="189"/>
  <c r="AK244" i="189"/>
  <c r="AP239" i="189"/>
  <c r="AK245" i="189"/>
  <c r="BJ144" i="189"/>
  <c r="CF144" i="189" s="1"/>
  <c r="BJ77" i="189"/>
  <c r="BN75" i="189"/>
  <c r="BO75" i="189"/>
  <c r="BJ14" i="189"/>
  <c r="CF14" i="189" s="1"/>
  <c r="CC12" i="189"/>
  <c r="AR426" i="189"/>
  <c r="AS428" i="189" s="1"/>
  <c r="AR424" i="189"/>
  <c r="AW422" i="189"/>
  <c r="AR423" i="189"/>
  <c r="CD11" i="189"/>
  <c r="AT198" i="189"/>
  <c r="AT199" i="189" s="1"/>
  <c r="BK97" i="189"/>
  <c r="AX426" i="189"/>
  <c r="AX331" i="189"/>
  <c r="CD25" i="189"/>
  <c r="CD141" i="189"/>
  <c r="CD142" i="189" s="1"/>
  <c r="AX379" i="189"/>
  <c r="AX313" i="189" s="1"/>
  <c r="AS380" i="189"/>
  <c r="CE14" i="189"/>
  <c r="AZ260" i="189"/>
  <c r="BB124" i="189"/>
  <c r="CE122" i="189"/>
  <c r="BB123" i="189"/>
  <c r="BB37" i="189"/>
  <c r="BD141" i="189"/>
  <c r="BD142" i="189" s="1"/>
  <c r="BD67" i="189"/>
  <c r="CC63" i="189"/>
  <c r="CC64" i="189" s="1"/>
  <c r="BP94" i="189"/>
  <c r="BU94" i="189" s="1"/>
  <c r="BK25" i="189"/>
  <c r="CE97" i="189"/>
  <c r="CE98" i="189" s="1"/>
  <c r="BN203" i="189"/>
  <c r="BN204" i="189" s="1"/>
  <c r="BO203" i="189"/>
  <c r="BT203" i="189" s="1"/>
  <c r="BA123" i="189"/>
  <c r="BA124" i="189"/>
  <c r="BA37" i="189"/>
  <c r="BK205" i="189"/>
  <c r="BP203" i="189"/>
  <c r="BH147" i="189"/>
  <c r="BM97" i="189"/>
  <c r="BH99" i="189"/>
  <c r="BH26" i="189"/>
  <c r="BH141" i="189"/>
  <c r="BH68" i="189"/>
  <c r="BM66" i="189"/>
  <c r="BH11" i="189"/>
  <c r="BK125" i="189"/>
  <c r="AP426" i="189"/>
  <c r="AP424" i="189"/>
  <c r="AU422" i="189"/>
  <c r="AP423" i="189"/>
  <c r="AT422" i="189"/>
  <c r="AT423" i="189" s="1"/>
  <c r="AX308" i="189"/>
  <c r="CD308" i="189" s="1"/>
  <c r="AY307" i="189"/>
  <c r="AY308" i="189" s="1"/>
  <c r="BB150" i="189"/>
  <c r="BG151" i="189" s="1"/>
  <c r="BB148" i="189"/>
  <c r="BB149" i="189"/>
  <c r="AX352" i="189"/>
  <c r="AX295" i="189"/>
  <c r="AM393" i="189"/>
  <c r="AN394" i="189"/>
  <c r="AP401" i="189"/>
  <c r="AU400" i="189"/>
  <c r="BH146" i="189"/>
  <c r="AM242" i="189"/>
  <c r="BO125" i="189"/>
  <c r="BT125" i="189" s="1"/>
  <c r="BJ127" i="189"/>
  <c r="BJ38" i="189"/>
  <c r="BJ198" i="189"/>
  <c r="AV151" i="189"/>
  <c r="AV152" i="189"/>
  <c r="AI410" i="189"/>
  <c r="AN411" i="189" s="1"/>
  <c r="AI409" i="189"/>
  <c r="BM167" i="189"/>
  <c r="BH170" i="189"/>
  <c r="BH175" i="189" s="1"/>
  <c r="BH176" i="189" s="1"/>
  <c r="BC142" i="189"/>
  <c r="BC143" i="189"/>
  <c r="AM427" i="189"/>
  <c r="AM428" i="189"/>
  <c r="AR429" i="189" s="1"/>
  <c r="AZ201" i="189"/>
  <c r="AZ205" i="189"/>
  <c r="BE206" i="189" s="1"/>
  <c r="AZ152" i="189"/>
  <c r="AZ151" i="189"/>
  <c r="AZ124" i="189"/>
  <c r="CD148" i="189"/>
  <c r="BH123" i="189"/>
  <c r="BC124" i="189"/>
  <c r="BC123" i="189"/>
  <c r="BE124" i="189"/>
  <c r="BC37" i="189"/>
  <c r="AN400" i="189"/>
  <c r="AP402" i="189" s="1"/>
  <c r="AO323" i="189"/>
  <c r="BE96" i="189"/>
  <c r="BI94" i="189"/>
  <c r="BI95" i="189" s="1"/>
  <c r="BJ94" i="189"/>
  <c r="BK96" i="189" s="1"/>
  <c r="AW313" i="189"/>
  <c r="AJ249" i="189"/>
  <c r="AW302" i="189"/>
  <c r="AL362" i="189"/>
  <c r="AT379" i="189"/>
  <c r="AT380" i="189" s="1"/>
  <c r="AO241" i="189"/>
  <c r="BL94" i="189"/>
  <c r="BM96" i="189" s="1"/>
  <c r="BI144" i="189"/>
  <c r="BI145" i="189" s="1"/>
  <c r="BI76" i="189"/>
  <c r="AW200" i="189"/>
  <c r="BB198" i="189"/>
  <c r="BG198" i="189" s="1"/>
  <c r="BG200" i="189" s="1"/>
  <c r="AS424" i="189"/>
  <c r="BE74" i="189"/>
  <c r="BJ72" i="189"/>
  <c r="BE69" i="189"/>
  <c r="BR190" i="189"/>
  <c r="BW190" i="189" s="1"/>
  <c r="CE144" i="189"/>
  <c r="CE145" i="189" s="1"/>
  <c r="BM69" i="189"/>
  <c r="BR72" i="189"/>
  <c r="BW72" i="189" s="1"/>
  <c r="BM13" i="189"/>
  <c r="BM12" i="189" s="1"/>
  <c r="BL141" i="189"/>
  <c r="BL11" i="189"/>
  <c r="BQ66" i="189"/>
  <c r="AZ143" i="189"/>
  <c r="AZ142" i="189"/>
  <c r="AW233" i="189"/>
  <c r="BQ75" i="189"/>
  <c r="BL144" i="189"/>
  <c r="BL14" i="189"/>
  <c r="BL77" i="189"/>
  <c r="BH127" i="189"/>
  <c r="BM125" i="189"/>
  <c r="BH38" i="189"/>
  <c r="BA74" i="175"/>
  <c r="BA69" i="175"/>
  <c r="BD67" i="175"/>
  <c r="BA68" i="175"/>
  <c r="AV61" i="175"/>
  <c r="AW62" i="175"/>
  <c r="BD72" i="175"/>
  <c r="BD73" i="175" s="1"/>
  <c r="BB61" i="175"/>
  <c r="BB62" i="175"/>
  <c r="BB70" i="175"/>
  <c r="AX61" i="175"/>
  <c r="AX62" i="175"/>
  <c r="AV70" i="175"/>
  <c r="AV71" i="175"/>
  <c r="AY69" i="175"/>
  <c r="AY70" i="175" s="1"/>
  <c r="BA61" i="175"/>
  <c r="BC71" i="175"/>
  <c r="BC70" i="175"/>
  <c r="BC65" i="175"/>
  <c r="BC60" i="175"/>
  <c r="BG205" i="189" l="1"/>
  <c r="BI126" i="189"/>
  <c r="BF61" i="189"/>
  <c r="BG62" i="189"/>
  <c r="BF71" i="189"/>
  <c r="BU201" i="189"/>
  <c r="BT38" i="189"/>
  <c r="BV125" i="189"/>
  <c r="BV75" i="189"/>
  <c r="BV14" i="189" s="1"/>
  <c r="BV66" i="189"/>
  <c r="BV141" i="189" s="1"/>
  <c r="CH190" i="189"/>
  <c r="BV190" i="189"/>
  <c r="CH78" i="189"/>
  <c r="BW234" i="189"/>
  <c r="BX234" i="189" s="1"/>
  <c r="BP205" i="189"/>
  <c r="BU203" i="189"/>
  <c r="BU205" i="189" s="1"/>
  <c r="BW145" i="189"/>
  <c r="BW13" i="189"/>
  <c r="BW12" i="189" s="1"/>
  <c r="BW69" i="189"/>
  <c r="BT80" i="189"/>
  <c r="BU25" i="189"/>
  <c r="BU10" i="189"/>
  <c r="CG75" i="189"/>
  <c r="CG76" i="189" s="1"/>
  <c r="BT75" i="189"/>
  <c r="CH75" i="189" s="1"/>
  <c r="BW25" i="189"/>
  <c r="BW78" i="189"/>
  <c r="BX78" i="189" s="1"/>
  <c r="BV80" i="189"/>
  <c r="BV15" i="189"/>
  <c r="BT26" i="189"/>
  <c r="BT147" i="189"/>
  <c r="BU145" i="189"/>
  <c r="BB71" i="189"/>
  <c r="BF70" i="189"/>
  <c r="BF150" i="189"/>
  <c r="BG152" i="189" s="1"/>
  <c r="BF143" i="189"/>
  <c r="BF142" i="189"/>
  <c r="BF149" i="189"/>
  <c r="BR15" i="189"/>
  <c r="BS78" i="189"/>
  <c r="BS79" i="189" s="1"/>
  <c r="BE149" i="189"/>
  <c r="BJ26" i="189"/>
  <c r="AR392" i="189"/>
  <c r="AR393" i="189" s="1"/>
  <c r="CF94" i="189"/>
  <c r="CF95" i="189" s="1"/>
  <c r="CE26" i="189"/>
  <c r="AO243" i="189"/>
  <c r="AO244" i="189" s="1"/>
  <c r="AS239" i="189"/>
  <c r="AT239" i="189" s="1"/>
  <c r="BJ147" i="189"/>
  <c r="BJ149" i="189" s="1"/>
  <c r="BJ99" i="189"/>
  <c r="BD123" i="189"/>
  <c r="BS15" i="189"/>
  <c r="AN245" i="189"/>
  <c r="AN246" i="189" s="1"/>
  <c r="CD198" i="189"/>
  <c r="AY199" i="189"/>
  <c r="CD13" i="189"/>
  <c r="BD37" i="189"/>
  <c r="BI98" i="189"/>
  <c r="BI147" i="189"/>
  <c r="BI148" i="189" s="1"/>
  <c r="BS190" i="189"/>
  <c r="BS191" i="189" s="1"/>
  <c r="BE150" i="189"/>
  <c r="BE143" i="189"/>
  <c r="BE142" i="189"/>
  <c r="CD379" i="189"/>
  <c r="CB426" i="189"/>
  <c r="BD150" i="189"/>
  <c r="BD151" i="189" s="1"/>
  <c r="CF66" i="189"/>
  <c r="CF67" i="189" s="1"/>
  <c r="CD313" i="189"/>
  <c r="AX429" i="189"/>
  <c r="AX329" i="189"/>
  <c r="AX332" i="189" s="1"/>
  <c r="AZ70" i="175"/>
  <c r="BD13" i="189"/>
  <c r="BH71" i="189"/>
  <c r="BD69" i="175"/>
  <c r="BD70" i="175" s="1"/>
  <c r="BD69" i="189"/>
  <c r="BD12" i="189"/>
  <c r="BI26" i="189"/>
  <c r="CD12" i="189"/>
  <c r="BI72" i="189"/>
  <c r="BI73" i="189" s="1"/>
  <c r="CE72" i="189"/>
  <c r="CE73" i="189" s="1"/>
  <c r="BH10" i="189"/>
  <c r="BH9" i="189" s="1"/>
  <c r="BM63" i="189"/>
  <c r="BM65" i="189" s="1"/>
  <c r="BH65" i="189"/>
  <c r="BH60" i="189"/>
  <c r="BH61" i="189" s="1"/>
  <c r="CD69" i="189"/>
  <c r="CD70" i="189" s="1"/>
  <c r="BA71" i="189"/>
  <c r="BK72" i="189"/>
  <c r="CF72" i="189" s="1"/>
  <c r="AU402" i="189"/>
  <c r="AU323" i="189"/>
  <c r="BP125" i="189"/>
  <c r="BK127" i="189"/>
  <c r="BK38" i="189"/>
  <c r="CF38" i="189" s="1"/>
  <c r="BP206" i="189"/>
  <c r="BP113" i="189"/>
  <c r="CC10" i="189"/>
  <c r="BK147" i="189"/>
  <c r="BK99" i="189"/>
  <c r="BP97" i="189"/>
  <c r="BK26" i="189"/>
  <c r="AW424" i="189"/>
  <c r="AW426" i="189"/>
  <c r="CD422" i="189"/>
  <c r="AW331" i="189"/>
  <c r="CD331" i="189" s="1"/>
  <c r="BN144" i="189"/>
  <c r="BN145" i="189" s="1"/>
  <c r="BN76" i="189"/>
  <c r="BP10" i="189"/>
  <c r="BH261" i="189"/>
  <c r="BH57" i="189"/>
  <c r="BR145" i="189"/>
  <c r="BO169" i="189"/>
  <c r="BM170" i="189"/>
  <c r="BM175" i="189" s="1"/>
  <c r="BM176" i="189" s="1"/>
  <c r="AY328" i="189"/>
  <c r="CC328" i="189"/>
  <c r="BO147" i="189"/>
  <c r="BO99" i="189"/>
  <c r="BO26" i="189"/>
  <c r="BJ200" i="189"/>
  <c r="BO198" i="189"/>
  <c r="BT198" i="189" s="1"/>
  <c r="AU426" i="189"/>
  <c r="AU424" i="189"/>
  <c r="AY422" i="189"/>
  <c r="AY423" i="189" s="1"/>
  <c r="AU331" i="189"/>
  <c r="AU329" i="189" s="1"/>
  <c r="AU332" i="189" s="1"/>
  <c r="BS203" i="189"/>
  <c r="BS204" i="189" s="1"/>
  <c r="BL145" i="189"/>
  <c r="BL146" i="189"/>
  <c r="AX233" i="189"/>
  <c r="BN97" i="189"/>
  <c r="BQ144" i="189"/>
  <c r="BQ14" i="189"/>
  <c r="BQ77" i="189"/>
  <c r="BQ141" i="189"/>
  <c r="BQ11" i="189"/>
  <c r="BL142" i="189"/>
  <c r="BM70" i="189"/>
  <c r="BJ74" i="189"/>
  <c r="BO72" i="189"/>
  <c r="BT72" i="189" s="1"/>
  <c r="BJ69" i="189"/>
  <c r="BJ13" i="189"/>
  <c r="BB200" i="189"/>
  <c r="BG201" i="189" s="1"/>
  <c r="AO242" i="189"/>
  <c r="AO240" i="189"/>
  <c r="AJ253" i="189"/>
  <c r="AJ248" i="189"/>
  <c r="AJ250" i="189"/>
  <c r="BJ96" i="189"/>
  <c r="BO94" i="189"/>
  <c r="BT94" i="189" s="1"/>
  <c r="BN94" i="189"/>
  <c r="BN95" i="189" s="1"/>
  <c r="BJ25" i="189"/>
  <c r="CF25" i="189" s="1"/>
  <c r="BI38" i="189"/>
  <c r="CF145" i="189"/>
  <c r="AP428" i="189"/>
  <c r="AU429" i="189" s="1"/>
  <c r="AP427" i="189"/>
  <c r="AT426" i="189"/>
  <c r="AT427" i="189" s="1"/>
  <c r="BH150" i="189"/>
  <c r="BH149" i="189"/>
  <c r="BH148" i="189"/>
  <c r="AX427" i="189"/>
  <c r="AR427" i="189"/>
  <c r="AR428" i="189"/>
  <c r="AW429" i="189" s="1"/>
  <c r="BO144" i="189"/>
  <c r="CG144" i="189" s="1"/>
  <c r="CG145" i="189" s="1"/>
  <c r="BO77" i="189"/>
  <c r="BS75" i="189"/>
  <c r="BO14" i="189"/>
  <c r="CG14" i="189" s="1"/>
  <c r="CE25" i="189"/>
  <c r="AP241" i="189"/>
  <c r="AP243" i="189" s="1"/>
  <c r="AY379" i="189"/>
  <c r="AY380" i="189" s="1"/>
  <c r="CF97" i="189"/>
  <c r="CF98" i="189" s="1"/>
  <c r="AY330" i="189"/>
  <c r="CC330" i="189"/>
  <c r="AX302" i="189"/>
  <c r="AU115" i="189"/>
  <c r="AU114" i="189"/>
  <c r="CC113" i="189"/>
  <c r="CC114" i="189" s="1"/>
  <c r="AV115" i="189"/>
  <c r="BR25" i="189"/>
  <c r="BM260" i="189"/>
  <c r="BR255" i="189"/>
  <c r="BW255" i="189" s="1"/>
  <c r="BI141" i="189"/>
  <c r="BI142" i="189" s="1"/>
  <c r="BI67" i="189"/>
  <c r="BR77" i="189"/>
  <c r="AV351" i="189"/>
  <c r="BP145" i="189"/>
  <c r="BC8" i="189"/>
  <c r="BC152" i="189"/>
  <c r="BC151" i="189"/>
  <c r="CC379" i="189"/>
  <c r="AN401" i="189"/>
  <c r="AN402" i="189"/>
  <c r="AO400" i="189"/>
  <c r="BB151" i="189"/>
  <c r="BB152" i="189"/>
  <c r="BA151" i="189"/>
  <c r="BA152" i="189"/>
  <c r="AW351" i="189"/>
  <c r="AX200" i="189"/>
  <c r="AY200" i="189" s="1"/>
  <c r="BC198" i="189"/>
  <c r="BD198" i="189" s="1"/>
  <c r="BD199" i="189" s="1"/>
  <c r="BE71" i="189"/>
  <c r="BE70" i="189"/>
  <c r="BQ94" i="189"/>
  <c r="BL25" i="189"/>
  <c r="BL96" i="189"/>
  <c r="BN125" i="189"/>
  <c r="BM147" i="189"/>
  <c r="BR97" i="189"/>
  <c r="BW97" i="189" s="1"/>
  <c r="BM99" i="189"/>
  <c r="BM26" i="189"/>
  <c r="BK206" i="189"/>
  <c r="BK113" i="189"/>
  <c r="BP25" i="189"/>
  <c r="CC60" i="189"/>
  <c r="CC61" i="189" s="1"/>
  <c r="CE123" i="189"/>
  <c r="CF123" i="189"/>
  <c r="BE255" i="189"/>
  <c r="BD255" i="189"/>
  <c r="CC422" i="189"/>
  <c r="AS401" i="189"/>
  <c r="AS402" i="189"/>
  <c r="AX400" i="189"/>
  <c r="AR164" i="189"/>
  <c r="AQ165" i="189"/>
  <c r="BJ141" i="189"/>
  <c r="BO66" i="189"/>
  <c r="BT66" i="189" s="1"/>
  <c r="BN66" i="189"/>
  <c r="BJ68" i="189"/>
  <c r="BJ11" i="189"/>
  <c r="AQ186" i="189"/>
  <c r="AP184" i="189"/>
  <c r="BK141" i="189"/>
  <c r="BK68" i="189"/>
  <c r="BP66" i="189"/>
  <c r="BU66" i="189" s="1"/>
  <c r="BK11" i="189"/>
  <c r="BK9" i="189" s="1"/>
  <c r="AQ245" i="189"/>
  <c r="AQ244" i="189"/>
  <c r="AV239" i="189"/>
  <c r="AL374" i="189"/>
  <c r="AL384" i="189"/>
  <c r="AW324" i="189"/>
  <c r="AR241" i="189"/>
  <c r="AR243" i="189" s="1"/>
  <c r="AM249" i="189"/>
  <c r="AM246" i="189"/>
  <c r="BM141" i="189"/>
  <c r="BR66" i="189"/>
  <c r="BW66" i="189" s="1"/>
  <c r="BM68" i="189"/>
  <c r="BM11" i="189"/>
  <c r="BQ38" i="189"/>
  <c r="CB9" i="189"/>
  <c r="AV426" i="189"/>
  <c r="AV424" i="189"/>
  <c r="AV331" i="189"/>
  <c r="AV329" i="189" s="1"/>
  <c r="AV332" i="189" s="1"/>
  <c r="BL65" i="189"/>
  <c r="BQ63" i="189"/>
  <c r="BL10" i="189"/>
  <c r="BL60" i="189"/>
  <c r="AW296" i="189"/>
  <c r="AW201" i="189"/>
  <c r="AW205" i="189"/>
  <c r="CF125" i="189"/>
  <c r="CF126" i="189" s="1"/>
  <c r="BM127" i="189"/>
  <c r="BR125" i="189"/>
  <c r="BW125" i="189" s="1"/>
  <c r="BM38" i="189"/>
  <c r="BR69" i="189"/>
  <c r="BR13" i="189"/>
  <c r="BR12" i="189" s="1"/>
  <c r="BI25" i="189"/>
  <c r="AZ206" i="189"/>
  <c r="AZ113" i="189"/>
  <c r="BR167" i="189"/>
  <c r="BW167" i="189" s="1"/>
  <c r="BW172" i="189" s="1"/>
  <c r="BO127" i="189"/>
  <c r="BO38" i="189"/>
  <c r="CE147" i="189"/>
  <c r="CE148" i="189" s="1"/>
  <c r="BH143" i="189"/>
  <c r="BH142" i="189"/>
  <c r="CE37" i="189"/>
  <c r="AU351" i="189"/>
  <c r="CC260" i="189"/>
  <c r="AX424" i="189"/>
  <c r="BN14" i="189"/>
  <c r="BJ146" i="189"/>
  <c r="BJ145" i="189"/>
  <c r="AK246" i="189"/>
  <c r="AK249" i="189"/>
  <c r="AY313" i="189"/>
  <c r="CC313" i="189"/>
  <c r="BM146" i="189"/>
  <c r="CD37" i="189"/>
  <c r="AS405" i="189"/>
  <c r="AS408" i="189"/>
  <c r="AX404" i="189"/>
  <c r="CD404" i="189" s="1"/>
  <c r="AS406" i="189"/>
  <c r="BL127" i="189"/>
  <c r="BK60" i="189"/>
  <c r="BQ97" i="189"/>
  <c r="BL147" i="189"/>
  <c r="BL99" i="189"/>
  <c r="BL26" i="189"/>
  <c r="BK146" i="189"/>
  <c r="BI11" i="189"/>
  <c r="CE11" i="189"/>
  <c r="CE141" i="189"/>
  <c r="CE142" i="189" s="1"/>
  <c r="AW400" i="189"/>
  <c r="AR401" i="189"/>
  <c r="AU408" i="189"/>
  <c r="AN408" i="189"/>
  <c r="AQ428" i="189"/>
  <c r="AV429" i="189" s="1"/>
  <c r="AQ427" i="189"/>
  <c r="BP77" i="189"/>
  <c r="BQ72" i="189"/>
  <c r="BL69" i="189"/>
  <c r="BM71" i="189" s="1"/>
  <c r="BL13" i="189"/>
  <c r="BD224" i="189"/>
  <c r="CD330" i="189"/>
  <c r="CD150" i="189"/>
  <c r="CD151" i="189" s="1"/>
  <c r="AM362" i="189"/>
  <c r="BA71" i="175"/>
  <c r="BA70" i="175"/>
  <c r="BC62" i="175"/>
  <c r="BC61" i="175"/>
  <c r="BB71" i="175"/>
  <c r="BG113" i="189" l="1"/>
  <c r="BN126" i="189"/>
  <c r="BV11" i="189"/>
  <c r="CH76" i="189"/>
  <c r="CH94" i="189"/>
  <c r="BV77" i="189"/>
  <c r="BV144" i="189"/>
  <c r="BV145" i="189" s="1"/>
  <c r="BW77" i="189"/>
  <c r="BW260" i="189"/>
  <c r="BT200" i="189"/>
  <c r="BT99" i="189"/>
  <c r="BX203" i="189"/>
  <c r="BX204" i="189" s="1"/>
  <c r="BQ127" i="189"/>
  <c r="BU125" i="189"/>
  <c r="BV127" i="189" s="1"/>
  <c r="BX79" i="189"/>
  <c r="BU113" i="189"/>
  <c r="BU206" i="189"/>
  <c r="CH66" i="189"/>
  <c r="BV97" i="189"/>
  <c r="BV147" i="189" s="1"/>
  <c r="BW127" i="189"/>
  <c r="BW38" i="189"/>
  <c r="BV63" i="189"/>
  <c r="BV10" i="189" s="1"/>
  <c r="BV38" i="189"/>
  <c r="BT127" i="189"/>
  <c r="BX190" i="189"/>
  <c r="BX191" i="189" s="1"/>
  <c r="BT74" i="189"/>
  <c r="BT13" i="189"/>
  <c r="BT69" i="189"/>
  <c r="BV142" i="189"/>
  <c r="BR74" i="189"/>
  <c r="BV72" i="189"/>
  <c r="BW11" i="189"/>
  <c r="BW68" i="189"/>
  <c r="BW141" i="189"/>
  <c r="BW26" i="189"/>
  <c r="BW147" i="189"/>
  <c r="BT96" i="189"/>
  <c r="BT25" i="189"/>
  <c r="BT14" i="189"/>
  <c r="BX14" i="189" s="1"/>
  <c r="BT144" i="189"/>
  <c r="CH144" i="189" s="1"/>
  <c r="CH145" i="189" s="1"/>
  <c r="BT77" i="189"/>
  <c r="BX75" i="189"/>
  <c r="BU77" i="189"/>
  <c r="BU141" i="189"/>
  <c r="BV143" i="189" s="1"/>
  <c r="BU11" i="189"/>
  <c r="BU9" i="189" s="1"/>
  <c r="BU68" i="189"/>
  <c r="BR96" i="189"/>
  <c r="BV94" i="189"/>
  <c r="BW80" i="189"/>
  <c r="BW15" i="189"/>
  <c r="BX15" i="189" s="1"/>
  <c r="BV26" i="189"/>
  <c r="BT141" i="189"/>
  <c r="BT68" i="189"/>
  <c r="BT11" i="189"/>
  <c r="BX66" i="189"/>
  <c r="CG97" i="189"/>
  <c r="CG98" i="189" s="1"/>
  <c r="BU97" i="189"/>
  <c r="BT148" i="189"/>
  <c r="BV68" i="189"/>
  <c r="BU60" i="189"/>
  <c r="BU96" i="189"/>
  <c r="BW70" i="189"/>
  <c r="BF152" i="189"/>
  <c r="BF151" i="189"/>
  <c r="AW392" i="189"/>
  <c r="AW321" i="189" s="1"/>
  <c r="AS241" i="189"/>
  <c r="AS242" i="189" s="1"/>
  <c r="AS394" i="189"/>
  <c r="AR408" i="189"/>
  <c r="AR409" i="189" s="1"/>
  <c r="CF26" i="189"/>
  <c r="AO245" i="189"/>
  <c r="AO246" i="189" s="1"/>
  <c r="BJ148" i="189"/>
  <c r="CF147" i="189"/>
  <c r="CF148" i="189" s="1"/>
  <c r="BJ150" i="189"/>
  <c r="BJ152" i="189" s="1"/>
  <c r="CD200" i="189"/>
  <c r="AN249" i="189"/>
  <c r="AO249" i="189" s="1"/>
  <c r="BS125" i="189"/>
  <c r="BE151" i="189"/>
  <c r="BE152" i="189"/>
  <c r="CF11" i="189"/>
  <c r="AW329" i="189"/>
  <c r="CD329" i="189" s="1"/>
  <c r="BI69" i="189"/>
  <c r="BI70" i="189" s="1"/>
  <c r="BI13" i="189"/>
  <c r="CE69" i="189"/>
  <c r="CE70" i="189" s="1"/>
  <c r="CF73" i="189"/>
  <c r="BI150" i="189"/>
  <c r="BI151" i="189" s="1"/>
  <c r="BS14" i="189"/>
  <c r="BS97" i="189"/>
  <c r="BN72" i="189"/>
  <c r="BN73" i="189" s="1"/>
  <c r="BL74" i="189"/>
  <c r="CE13" i="189"/>
  <c r="BH62" i="189"/>
  <c r="BR63" i="189"/>
  <c r="BM60" i="189"/>
  <c r="BM61" i="189" s="1"/>
  <c r="BM10" i="189"/>
  <c r="BM9" i="189" s="1"/>
  <c r="BK69" i="189"/>
  <c r="BK70" i="189" s="1"/>
  <c r="BK13" i="189"/>
  <c r="BK12" i="189" s="1"/>
  <c r="BP72" i="189"/>
  <c r="BK74" i="189"/>
  <c r="BP96" i="189"/>
  <c r="BI12" i="189"/>
  <c r="CC332" i="189"/>
  <c r="BK143" i="189"/>
  <c r="BK142" i="189"/>
  <c r="AR186" i="189"/>
  <c r="AQ184" i="189"/>
  <c r="BR260" i="189"/>
  <c r="BH152" i="189"/>
  <c r="BH151" i="189"/>
  <c r="BQ145" i="189"/>
  <c r="BQ146" i="189"/>
  <c r="AU428" i="189"/>
  <c r="AU427" i="189"/>
  <c r="AY426" i="189"/>
  <c r="AY427" i="189" s="1"/>
  <c r="BA57" i="189"/>
  <c r="BF58" i="189" s="1"/>
  <c r="BL12" i="189"/>
  <c r="AN410" i="189"/>
  <c r="AS411" i="189" s="1"/>
  <c r="AN409" i="189"/>
  <c r="AP410" i="189"/>
  <c r="CD400" i="189"/>
  <c r="AW323" i="189"/>
  <c r="CB165" i="189"/>
  <c r="BL150" i="189"/>
  <c r="BL148" i="189"/>
  <c r="BL149" i="189"/>
  <c r="BK61" i="189"/>
  <c r="AX408" i="189"/>
  <c r="AX406" i="189"/>
  <c r="AX324" i="189"/>
  <c r="CD324" i="189" s="1"/>
  <c r="BR127" i="189"/>
  <c r="BR38" i="189"/>
  <c r="AW206" i="189"/>
  <c r="AW113" i="189"/>
  <c r="BQ65" i="189"/>
  <c r="BQ60" i="189"/>
  <c r="BQ10" i="189"/>
  <c r="BN26" i="189"/>
  <c r="AL385" i="189"/>
  <c r="AQ249" i="189"/>
  <c r="AQ246" i="189"/>
  <c r="AP185" i="189"/>
  <c r="AU184" i="189"/>
  <c r="BD260" i="189"/>
  <c r="AZ57" i="189"/>
  <c r="CG94" i="189"/>
  <c r="CG95" i="189" s="1"/>
  <c r="CE150" i="189"/>
  <c r="CE151" i="189" s="1"/>
  <c r="AV352" i="189"/>
  <c r="AV295" i="189"/>
  <c r="BB57" i="189"/>
  <c r="BG58" i="189" s="1"/>
  <c r="AP242" i="189"/>
  <c r="CB241" i="189"/>
  <c r="BN25" i="189"/>
  <c r="BO74" i="189"/>
  <c r="BO69" i="189"/>
  <c r="BO13" i="189"/>
  <c r="BL143" i="189"/>
  <c r="BQ142" i="189"/>
  <c r="AY233" i="189"/>
  <c r="BJ201" i="189"/>
  <c r="BJ205" i="189"/>
  <c r="CD302" i="189"/>
  <c r="BH58" i="189"/>
  <c r="BH8" i="189"/>
  <c r="BK149" i="189"/>
  <c r="BK150" i="189"/>
  <c r="BK148" i="189"/>
  <c r="BP114" i="189"/>
  <c r="BP34" i="189"/>
  <c r="BP127" i="189"/>
  <c r="BP38" i="189"/>
  <c r="CG125" i="189"/>
  <c r="CG126" i="189" s="1"/>
  <c r="BL70" i="189"/>
  <c r="BK255" i="189"/>
  <c r="AS409" i="189"/>
  <c r="AK253" i="189"/>
  <c r="AK250" i="189"/>
  <c r="AV428" i="189"/>
  <c r="AV427" i="189"/>
  <c r="BN141" i="189"/>
  <c r="BN142" i="189" s="1"/>
  <c r="BN67" i="189"/>
  <c r="BM150" i="189"/>
  <c r="BM148" i="189"/>
  <c r="BM149" i="189"/>
  <c r="AW352" i="189"/>
  <c r="AW295" i="189"/>
  <c r="CD351" i="189"/>
  <c r="BO146" i="189"/>
  <c r="BO145" i="189"/>
  <c r="BO149" i="189"/>
  <c r="BO148" i="189"/>
  <c r="BR141" i="189"/>
  <c r="BR68" i="189"/>
  <c r="BR11" i="189"/>
  <c r="AR242" i="189"/>
  <c r="AV241" i="189"/>
  <c r="AV242" i="189" s="1"/>
  <c r="BO141" i="189"/>
  <c r="BS66" i="189"/>
  <c r="BO68" i="189"/>
  <c r="BO11" i="189"/>
  <c r="CG66" i="189"/>
  <c r="CG67" i="189" s="1"/>
  <c r="AS164" i="189"/>
  <c r="AR165" i="189"/>
  <c r="BC200" i="189"/>
  <c r="CE200" i="189" s="1"/>
  <c r="BH198" i="189"/>
  <c r="CF198" i="189" s="1"/>
  <c r="CD260" i="189"/>
  <c r="BM261" i="189"/>
  <c r="BM57" i="189"/>
  <c r="AP245" i="189"/>
  <c r="AP244" i="189"/>
  <c r="AU239" i="189"/>
  <c r="CB243" i="189"/>
  <c r="CC426" i="189"/>
  <c r="BN38" i="189"/>
  <c r="BO96" i="189"/>
  <c r="BS94" i="189"/>
  <c r="BS95" i="189" s="1"/>
  <c r="BO25" i="189"/>
  <c r="CE198" i="189"/>
  <c r="BJ12" i="189"/>
  <c r="AS243" i="189"/>
  <c r="AT243" i="189" s="1"/>
  <c r="BN147" i="189"/>
  <c r="BN148" i="189" s="1"/>
  <c r="BN98" i="189"/>
  <c r="AY331" i="189"/>
  <c r="CC331" i="189"/>
  <c r="AY302" i="189"/>
  <c r="BP169" i="189"/>
  <c r="BR146" i="189"/>
  <c r="CD426" i="189"/>
  <c r="AW428" i="189"/>
  <c r="AW427" i="189"/>
  <c r="BP147" i="189"/>
  <c r="BP99" i="189"/>
  <c r="BP26" i="189"/>
  <c r="CG26" i="189" s="1"/>
  <c r="CC9" i="189"/>
  <c r="BQ147" i="189"/>
  <c r="BQ99" i="189"/>
  <c r="BQ26" i="189"/>
  <c r="BR70" i="189"/>
  <c r="AR244" i="189"/>
  <c r="AR245" i="189"/>
  <c r="AW239" i="189"/>
  <c r="CC34" i="189"/>
  <c r="CC329" i="189"/>
  <c r="BL198" i="189"/>
  <c r="AU325" i="189"/>
  <c r="BQ13" i="189"/>
  <c r="BQ69" i="189"/>
  <c r="AU409" i="189"/>
  <c r="AU410" i="189"/>
  <c r="BL62" i="189"/>
  <c r="BL61" i="189"/>
  <c r="CC57" i="189"/>
  <c r="CC58" i="189" s="1"/>
  <c r="AU352" i="189"/>
  <c r="AY351" i="189"/>
  <c r="AY352" i="189" s="1"/>
  <c r="AU295" i="189"/>
  <c r="CC351" i="189"/>
  <c r="BE113" i="189"/>
  <c r="AZ114" i="189"/>
  <c r="AZ34" i="189"/>
  <c r="BA115" i="189"/>
  <c r="AY201" i="189"/>
  <c r="BL9" i="189"/>
  <c r="BM142" i="189"/>
  <c r="BM143" i="189"/>
  <c r="AM250" i="189"/>
  <c r="AM253" i="189"/>
  <c r="BP141" i="189"/>
  <c r="BQ143" i="189" s="1"/>
  <c r="BP68" i="189"/>
  <c r="BP11" i="189"/>
  <c r="BP9" i="189" s="1"/>
  <c r="BN11" i="189"/>
  <c r="BJ143" i="189"/>
  <c r="BJ142" i="189"/>
  <c r="CF141" i="189"/>
  <c r="CF142" i="189" s="1"/>
  <c r="AX402" i="189"/>
  <c r="AX323" i="189"/>
  <c r="BI255" i="189"/>
  <c r="BJ255" i="189"/>
  <c r="BE260" i="189"/>
  <c r="BK114" i="189"/>
  <c r="BK34" i="189"/>
  <c r="BR147" i="189"/>
  <c r="BT149" i="189" s="1"/>
  <c r="BR99" i="189"/>
  <c r="BR26" i="189"/>
  <c r="BQ96" i="189"/>
  <c r="BQ25" i="189"/>
  <c r="AX296" i="189"/>
  <c r="AY296" i="189" s="1"/>
  <c r="AX205" i="189"/>
  <c r="AY205" i="189" s="1"/>
  <c r="AY206" i="189" s="1"/>
  <c r="AX201" i="189"/>
  <c r="BP146" i="189"/>
  <c r="BL255" i="189"/>
  <c r="CE12" i="189"/>
  <c r="BS144" i="189"/>
  <c r="BS145" i="189" s="1"/>
  <c r="BS76" i="189"/>
  <c r="AX428" i="189"/>
  <c r="BB201" i="189"/>
  <c r="BB205" i="189"/>
  <c r="BG206" i="189" s="1"/>
  <c r="BJ70" i="189"/>
  <c r="BJ71" i="189"/>
  <c r="BQ68" i="189"/>
  <c r="BO200" i="189"/>
  <c r="BP60" i="189"/>
  <c r="BG34" i="189" l="1"/>
  <c r="BG115" i="189"/>
  <c r="BS126" i="189"/>
  <c r="BV9" i="189"/>
  <c r="CH25" i="189"/>
  <c r="BV146" i="189"/>
  <c r="BW99" i="189"/>
  <c r="CH141" i="189"/>
  <c r="CH67" i="189"/>
  <c r="BV65" i="189"/>
  <c r="CH125" i="189"/>
  <c r="CH126" i="189" s="1"/>
  <c r="CH95" i="189"/>
  <c r="AS410" i="189"/>
  <c r="AX411" i="189" s="1"/>
  <c r="BV99" i="189"/>
  <c r="CH11" i="189"/>
  <c r="BV60" i="189"/>
  <c r="BV61" i="189" s="1"/>
  <c r="BW146" i="189"/>
  <c r="BQ9" i="189"/>
  <c r="BU127" i="189"/>
  <c r="BU38" i="189"/>
  <c r="BX38" i="189" s="1"/>
  <c r="BX125" i="189"/>
  <c r="CH97" i="189"/>
  <c r="CH98" i="189" s="1"/>
  <c r="BR71" i="189"/>
  <c r="BU34" i="189"/>
  <c r="BU114" i="189"/>
  <c r="CH14" i="189"/>
  <c r="BW261" i="189"/>
  <c r="BW57" i="189"/>
  <c r="BQ12" i="189"/>
  <c r="BT150" i="189"/>
  <c r="BT205" i="189"/>
  <c r="BT201" i="189"/>
  <c r="BR10" i="189"/>
  <c r="BR9" i="189" s="1"/>
  <c r="BW63" i="189"/>
  <c r="BT142" i="189"/>
  <c r="BT143" i="189"/>
  <c r="BV25" i="189"/>
  <c r="BX25" i="189" s="1"/>
  <c r="BV96" i="189"/>
  <c r="BW96" i="189"/>
  <c r="BU143" i="189"/>
  <c r="BU142" i="189"/>
  <c r="BT145" i="189"/>
  <c r="BT146" i="189"/>
  <c r="BU146" i="189"/>
  <c r="BW148" i="189"/>
  <c r="BW149" i="189"/>
  <c r="BW150" i="189"/>
  <c r="BU61" i="189"/>
  <c r="BX141" i="189"/>
  <c r="BX67" i="189"/>
  <c r="BV148" i="189"/>
  <c r="BV150" i="189"/>
  <c r="BX94" i="189"/>
  <c r="BX95" i="189" s="1"/>
  <c r="BV13" i="189"/>
  <c r="BV12" i="189" s="1"/>
  <c r="BV69" i="189"/>
  <c r="BW74" i="189"/>
  <c r="BT71" i="189"/>
  <c r="BT70" i="189"/>
  <c r="BU26" i="189"/>
  <c r="BX26" i="189" s="1"/>
  <c r="BU99" i="189"/>
  <c r="BU147" i="189"/>
  <c r="BV149" i="189" s="1"/>
  <c r="BX97" i="189"/>
  <c r="BS72" i="189"/>
  <c r="BS73" i="189" s="1"/>
  <c r="BU72" i="189"/>
  <c r="BX11" i="189"/>
  <c r="BX144" i="189"/>
  <c r="BX145" i="189" s="1"/>
  <c r="BX76" i="189"/>
  <c r="BW143" i="189"/>
  <c r="BW142" i="189"/>
  <c r="BT12" i="189"/>
  <c r="BE34" i="189"/>
  <c r="BF115" i="189"/>
  <c r="AW408" i="189"/>
  <c r="AX410" i="189" s="1"/>
  <c r="AX394" i="189"/>
  <c r="CD392" i="189"/>
  <c r="AT241" i="189"/>
  <c r="AN251" i="189"/>
  <c r="AO251" i="189" s="1"/>
  <c r="AN250" i="189"/>
  <c r="BJ151" i="189"/>
  <c r="BD200" i="189"/>
  <c r="BD201" i="189" s="1"/>
  <c r="BS98" i="189"/>
  <c r="AV243" i="189"/>
  <c r="BA239" i="189" s="1"/>
  <c r="BI198" i="189"/>
  <c r="BI199" i="189" s="1"/>
  <c r="BS147" i="189"/>
  <c r="BS148" i="189" s="1"/>
  <c r="AW332" i="189"/>
  <c r="CD332" i="189" s="1"/>
  <c r="AY329" i="189"/>
  <c r="BS38" i="189"/>
  <c r="BR65" i="189"/>
  <c r="AY332" i="189"/>
  <c r="BM62" i="189"/>
  <c r="BQ74" i="189"/>
  <c r="CF69" i="189"/>
  <c r="CF70" i="189" s="1"/>
  <c r="BN69" i="189"/>
  <c r="BN70" i="189" s="1"/>
  <c r="BL71" i="189"/>
  <c r="BN150" i="189"/>
  <c r="BN151" i="189" s="1"/>
  <c r="BR60" i="189"/>
  <c r="BR61" i="189" s="1"/>
  <c r="CF13" i="189"/>
  <c r="BN13" i="189"/>
  <c r="BP13" i="189"/>
  <c r="BP12" i="189" s="1"/>
  <c r="CG72" i="189"/>
  <c r="CG73" i="189" s="1"/>
  <c r="BP74" i="189"/>
  <c r="BP69" i="189"/>
  <c r="BS69" i="189" s="1"/>
  <c r="BK71" i="189"/>
  <c r="BN12" i="189"/>
  <c r="BE114" i="189"/>
  <c r="BQ150" i="189"/>
  <c r="BQ148" i="189"/>
  <c r="BQ149" i="189"/>
  <c r="BO143" i="189"/>
  <c r="BO142" i="189"/>
  <c r="CG141" i="189"/>
  <c r="CG142" i="189" s="1"/>
  <c r="BD57" i="189"/>
  <c r="AZ8" i="189"/>
  <c r="BI256" i="189"/>
  <c r="BP143" i="189"/>
  <c r="BP142" i="189"/>
  <c r="CD296" i="189"/>
  <c r="BS26" i="189"/>
  <c r="CD57" i="189"/>
  <c r="CD58" i="189" s="1"/>
  <c r="AW241" i="189"/>
  <c r="BQ169" i="189"/>
  <c r="AS244" i="189"/>
  <c r="AS245" i="189"/>
  <c r="AX239" i="189"/>
  <c r="AY239" i="189" s="1"/>
  <c r="BS25" i="189"/>
  <c r="CB263" i="189"/>
  <c r="AP249" i="189"/>
  <c r="AP246" i="189"/>
  <c r="CB245" i="189"/>
  <c r="BM58" i="189"/>
  <c r="BM8" i="189"/>
  <c r="CG25" i="189"/>
  <c r="AU164" i="189"/>
  <c r="BS141" i="189"/>
  <c r="BS142" i="189" s="1"/>
  <c r="BS67" i="189"/>
  <c r="BR142" i="189"/>
  <c r="BR143" i="189"/>
  <c r="BK152" i="189"/>
  <c r="BK151" i="189"/>
  <c r="CF12" i="189"/>
  <c r="BJ206" i="189"/>
  <c r="BJ113" i="189"/>
  <c r="BO12" i="189"/>
  <c r="BQ62" i="189"/>
  <c r="BQ61" i="189"/>
  <c r="CD323" i="189"/>
  <c r="AV184" i="189"/>
  <c r="BA184" i="189" s="1"/>
  <c r="AQ185" i="189"/>
  <c r="BO201" i="189"/>
  <c r="BO205" i="189"/>
  <c r="BE261" i="189"/>
  <c r="BI260" i="189"/>
  <c r="BE57" i="189"/>
  <c r="BF59" i="189" s="1"/>
  <c r="AT244" i="189"/>
  <c r="BO150" i="189"/>
  <c r="AO248" i="189"/>
  <c r="AO250" i="189"/>
  <c r="CE260" i="189"/>
  <c r="AZ184" i="189"/>
  <c r="BE184" i="189" s="1"/>
  <c r="AR184" i="189"/>
  <c r="AS186" i="189"/>
  <c r="BB206" i="189"/>
  <c r="BB113" i="189"/>
  <c r="BG114" i="189" s="1"/>
  <c r="AX325" i="189"/>
  <c r="AN314" i="189"/>
  <c r="AN252" i="189"/>
  <c r="AN54" i="189"/>
  <c r="AY295" i="189"/>
  <c r="CC8" i="189"/>
  <c r="BQ198" i="189"/>
  <c r="BL200" i="189"/>
  <c r="BP150" i="189"/>
  <c r="BP148" i="189"/>
  <c r="BP149" i="189"/>
  <c r="AU241" i="189"/>
  <c r="AU243" i="189" s="1"/>
  <c r="BH200" i="189"/>
  <c r="BM198" i="189"/>
  <c r="BS11" i="189"/>
  <c r="BO70" i="189"/>
  <c r="BO71" i="189"/>
  <c r="AT242" i="189"/>
  <c r="AT240" i="189"/>
  <c r="AQ250" i="189"/>
  <c r="CG147" i="189"/>
  <c r="CG148" i="189" s="1"/>
  <c r="BA8" i="189"/>
  <c r="CG38" i="189"/>
  <c r="BP61" i="189"/>
  <c r="BL260" i="189"/>
  <c r="BQ255" i="189"/>
  <c r="BV255" i="189" s="1"/>
  <c r="AR246" i="189"/>
  <c r="AR249" i="189"/>
  <c r="BL151" i="189"/>
  <c r="BL152" i="189"/>
  <c r="CD321" i="189"/>
  <c r="AW325" i="189"/>
  <c r="AX206" i="189"/>
  <c r="AX113" i="189"/>
  <c r="AY113" i="189" s="1"/>
  <c r="BR149" i="189"/>
  <c r="BR150" i="189"/>
  <c r="BR148" i="189"/>
  <c r="BJ260" i="189"/>
  <c r="BN255" i="189"/>
  <c r="BO255" i="189"/>
  <c r="BT255" i="189" s="1"/>
  <c r="BQ70" i="189"/>
  <c r="BC201" i="189"/>
  <c r="BC205" i="189"/>
  <c r="CB193" i="189"/>
  <c r="CD295" i="189"/>
  <c r="BM151" i="189"/>
  <c r="BM152" i="189"/>
  <c r="BK260" i="189"/>
  <c r="BP255" i="189"/>
  <c r="BU255" i="189" s="1"/>
  <c r="AZ233" i="189"/>
  <c r="BB8" i="189"/>
  <c r="BD258" i="189"/>
  <c r="CF150" i="189"/>
  <c r="CF151" i="189" s="1"/>
  <c r="AW114" i="189"/>
  <c r="AW115" i="189"/>
  <c r="AX409" i="189"/>
  <c r="BR261" i="189"/>
  <c r="BR57" i="189"/>
  <c r="CG11" i="189"/>
  <c r="CF200" i="189" l="1"/>
  <c r="BH205" i="189"/>
  <c r="BX126" i="189"/>
  <c r="BT152" i="189"/>
  <c r="BV62" i="189"/>
  <c r="CH142" i="189"/>
  <c r="BT151" i="189"/>
  <c r="BV198" i="189"/>
  <c r="BV74" i="189"/>
  <c r="CH72" i="189"/>
  <c r="CH73" i="189" s="1"/>
  <c r="BT206" i="189"/>
  <c r="BT113" i="189"/>
  <c r="CH26" i="189"/>
  <c r="BT260" i="189"/>
  <c r="BX255" i="189"/>
  <c r="BV260" i="189"/>
  <c r="BW58" i="189"/>
  <c r="BW8" i="189"/>
  <c r="CH147" i="189"/>
  <c r="CH148" i="189" s="1"/>
  <c r="CH38" i="189"/>
  <c r="BU260" i="189"/>
  <c r="BX98" i="189"/>
  <c r="BX147" i="189"/>
  <c r="BX148" i="189" s="1"/>
  <c r="BU13" i="189"/>
  <c r="CH13" i="189" s="1"/>
  <c r="BU74" i="189"/>
  <c r="BU69" i="189"/>
  <c r="CH69" i="189" s="1"/>
  <c r="BX72" i="189"/>
  <c r="BX73" i="189" s="1"/>
  <c r="BV70" i="189"/>
  <c r="BW71" i="189"/>
  <c r="BV151" i="189"/>
  <c r="BX142" i="189"/>
  <c r="BW65" i="189"/>
  <c r="BW60" i="189"/>
  <c r="BW10" i="189"/>
  <c r="BW9" i="189" s="1"/>
  <c r="BU149" i="189"/>
  <c r="BU148" i="189"/>
  <c r="BU150" i="189"/>
  <c r="BV152" i="189" s="1"/>
  <c r="BW151" i="189"/>
  <c r="BW152" i="189"/>
  <c r="BF184" i="189"/>
  <c r="BF187" i="189" s="1"/>
  <c r="CD113" i="189"/>
  <c r="CD114" i="189" s="1"/>
  <c r="AW409" i="189"/>
  <c r="CD408" i="189"/>
  <c r="AN253" i="189"/>
  <c r="AV245" i="189"/>
  <c r="AV246" i="189" s="1"/>
  <c r="BE8" i="189"/>
  <c r="AV244" i="189"/>
  <c r="BI200" i="189"/>
  <c r="BI201" i="189" s="1"/>
  <c r="BR62" i="189"/>
  <c r="CG13" i="189"/>
  <c r="BS13" i="189"/>
  <c r="BQ71" i="189"/>
  <c r="BS12" i="189"/>
  <c r="BS70" i="189"/>
  <c r="CG150" i="189"/>
  <c r="CG151" i="189" s="1"/>
  <c r="CG12" i="189"/>
  <c r="BP71" i="189"/>
  <c r="CG69" i="189"/>
  <c r="CG70" i="189" s="1"/>
  <c r="BP70" i="189"/>
  <c r="CE57" i="189"/>
  <c r="CE58" i="189" s="1"/>
  <c r="BM200" i="189"/>
  <c r="BN200" i="189" s="1"/>
  <c r="BR198" i="189"/>
  <c r="BH59" i="189"/>
  <c r="BN256" i="189"/>
  <c r="BR152" i="189"/>
  <c r="BR151" i="189"/>
  <c r="CD325" i="189"/>
  <c r="BL261" i="189"/>
  <c r="BL57" i="189"/>
  <c r="BH201" i="189"/>
  <c r="AU242" i="189"/>
  <c r="CC241" i="189"/>
  <c r="BN198" i="189"/>
  <c r="BN199" i="189" s="1"/>
  <c r="AO252" i="189"/>
  <c r="AS184" i="189"/>
  <c r="AT184" i="189" s="1"/>
  <c r="AU186" i="189"/>
  <c r="BO152" i="189"/>
  <c r="BO151" i="189"/>
  <c r="BS150" i="189"/>
  <c r="BS151" i="189" s="1"/>
  <c r="BO206" i="189"/>
  <c r="BO113" i="189"/>
  <c r="BJ114" i="189"/>
  <c r="BJ34" i="189"/>
  <c r="BK115" i="189"/>
  <c r="CB271" i="189"/>
  <c r="BR169" i="189"/>
  <c r="AW242" i="189"/>
  <c r="BQ151" i="189"/>
  <c r="BQ152" i="189"/>
  <c r="BQ260" i="189"/>
  <c r="AP250" i="189"/>
  <c r="AP251" i="189"/>
  <c r="AS246" i="189"/>
  <c r="AS249" i="189"/>
  <c r="AS250" i="189" s="1"/>
  <c r="BD8" i="189"/>
  <c r="BC206" i="189"/>
  <c r="BC113" i="189"/>
  <c r="CD8" i="189"/>
  <c r="BN260" i="189"/>
  <c r="BJ261" i="189"/>
  <c r="BJ57" i="189"/>
  <c r="AR251" i="189"/>
  <c r="AR250" i="189"/>
  <c r="AU245" i="189"/>
  <c r="AU244" i="189"/>
  <c r="AZ239" i="189"/>
  <c r="CC243" i="189"/>
  <c r="BP151" i="189"/>
  <c r="BP152" i="189"/>
  <c r="BL201" i="189"/>
  <c r="BL205" i="189"/>
  <c r="CF260" i="189"/>
  <c r="BD205" i="189"/>
  <c r="BD206" i="189" s="1"/>
  <c r="AW184" i="189"/>
  <c r="AR185" i="189"/>
  <c r="BE58" i="189"/>
  <c r="BI57" i="189"/>
  <c r="BI58" i="189" s="1"/>
  <c r="BE59" i="189"/>
  <c r="AV164" i="189"/>
  <c r="AV165" i="189" s="1"/>
  <c r="AU165" i="189"/>
  <c r="AW243" i="189"/>
  <c r="BS234" i="189"/>
  <c r="BK261" i="189"/>
  <c r="BK57" i="189"/>
  <c r="BQ200" i="189"/>
  <c r="AO54" i="189"/>
  <c r="AN7" i="189"/>
  <c r="AN56" i="189"/>
  <c r="BR58" i="189"/>
  <c r="BR8" i="189"/>
  <c r="AY114" i="189"/>
  <c r="BA233" i="189"/>
  <c r="BP260" i="189"/>
  <c r="BA241" i="189"/>
  <c r="BA242" i="189" s="1"/>
  <c r="BO260" i="189"/>
  <c r="BS255" i="189"/>
  <c r="AX114" i="189"/>
  <c r="AX115" i="189"/>
  <c r="AZ115" i="189"/>
  <c r="AQ251" i="189"/>
  <c r="CG198" i="189"/>
  <c r="AO314" i="189"/>
  <c r="BB115" i="189"/>
  <c r="BB114" i="189"/>
  <c r="CE113" i="189"/>
  <c r="BB34" i="189"/>
  <c r="BD113" i="189"/>
  <c r="BI261" i="189"/>
  <c r="BI258" i="189"/>
  <c r="BI259" i="189" s="1"/>
  <c r="AT245" i="189"/>
  <c r="AT246" i="189" s="1"/>
  <c r="AX241" i="189"/>
  <c r="AX242" i="189" s="1"/>
  <c r="CH260" i="189" l="1"/>
  <c r="CE114" i="189"/>
  <c r="CH70" i="189"/>
  <c r="BX256" i="189"/>
  <c r="BR170" i="189"/>
  <c r="BR175" i="189" s="1"/>
  <c r="BR176" i="189" s="1"/>
  <c r="BT169" i="189"/>
  <c r="BR200" i="189"/>
  <c r="CH200" i="189" s="1"/>
  <c r="BW198" i="189"/>
  <c r="BW200" i="189" s="1"/>
  <c r="BU261" i="189"/>
  <c r="BU57" i="189"/>
  <c r="BT57" i="189"/>
  <c r="BT261" i="189"/>
  <c r="BX260" i="189"/>
  <c r="BT114" i="189"/>
  <c r="BT34" i="189"/>
  <c r="BU115" i="189"/>
  <c r="BV200" i="189"/>
  <c r="BV57" i="189"/>
  <c r="BV261" i="189"/>
  <c r="CH198" i="189"/>
  <c r="CH150" i="189"/>
  <c r="CH151" i="189" s="1"/>
  <c r="BU12" i="189"/>
  <c r="CH12" i="189" s="1"/>
  <c r="BX13" i="189"/>
  <c r="BW62" i="189"/>
  <c r="BW61" i="189"/>
  <c r="BU152" i="189"/>
  <c r="BU151" i="189"/>
  <c r="BX150" i="189"/>
  <c r="BX151" i="189" s="1"/>
  <c r="BU71" i="189"/>
  <c r="BU70" i="189"/>
  <c r="BX69" i="189"/>
  <c r="BX70" i="189" s="1"/>
  <c r="BV71" i="189"/>
  <c r="BK184" i="189"/>
  <c r="BP184" i="189" s="1"/>
  <c r="BU184" i="189" s="1"/>
  <c r="CG200" i="189"/>
  <c r="BN201" i="189"/>
  <c r="AV249" i="189"/>
  <c r="AV250" i="189" s="1"/>
  <c r="BI8" i="189"/>
  <c r="CF57" i="189"/>
  <c r="CF58" i="189" s="1"/>
  <c r="AT185" i="189"/>
  <c r="AT186" i="189"/>
  <c r="BL206" i="189"/>
  <c r="BL113" i="189"/>
  <c r="BJ184" i="189"/>
  <c r="AX243" i="189"/>
  <c r="BS260" i="189"/>
  <c r="BO261" i="189"/>
  <c r="BO57" i="189"/>
  <c r="AW244" i="189"/>
  <c r="AW245" i="189"/>
  <c r="BB239" i="189"/>
  <c r="AR314" i="189"/>
  <c r="AR253" i="189"/>
  <c r="AR252" i="189"/>
  <c r="AR54" i="189"/>
  <c r="BN261" i="189"/>
  <c r="BN258" i="189"/>
  <c r="BN259" i="189" s="1"/>
  <c r="BC114" i="189"/>
  <c r="BC115" i="189"/>
  <c r="BC34" i="189"/>
  <c r="BD34" i="189" s="1"/>
  <c r="BE115" i="189"/>
  <c r="CE8" i="189"/>
  <c r="BQ261" i="189"/>
  <c r="BQ57" i="189"/>
  <c r="CH57" i="189" s="1"/>
  <c r="BO114" i="189"/>
  <c r="BO34" i="189"/>
  <c r="BP115" i="189"/>
  <c r="AV186" i="189"/>
  <c r="AU187" i="189"/>
  <c r="BH206" i="189"/>
  <c r="BH113" i="189"/>
  <c r="CF113" i="189" s="1"/>
  <c r="CF114" i="189" s="1"/>
  <c r="CG260" i="189"/>
  <c r="BM201" i="189"/>
  <c r="BM205" i="189"/>
  <c r="BN205" i="189" s="1"/>
  <c r="BD114" i="189"/>
  <c r="AQ314" i="189"/>
  <c r="AQ311" i="189" s="1"/>
  <c r="AQ373" i="189" s="1"/>
  <c r="AQ253" i="189"/>
  <c r="AQ252" i="189"/>
  <c r="AQ54" i="189"/>
  <c r="BA243" i="189"/>
  <c r="BF239" i="189" s="1"/>
  <c r="BP261" i="189"/>
  <c r="BP57" i="189"/>
  <c r="AO7" i="189"/>
  <c r="BS198" i="189"/>
  <c r="BS199" i="189" s="1"/>
  <c r="BK59" i="189"/>
  <c r="BK58" i="189"/>
  <c r="BK8" i="189"/>
  <c r="BB184" i="189"/>
  <c r="BG184" i="189" s="1"/>
  <c r="BG187" i="189" s="1"/>
  <c r="CC263" i="189"/>
  <c r="AU249" i="189"/>
  <c r="AU246" i="189"/>
  <c r="AS185" i="189"/>
  <c r="AX184" i="189"/>
  <c r="BC184" i="189" s="1"/>
  <c r="BH184" i="189" s="1"/>
  <c r="BM184" i="189" s="1"/>
  <c r="BR184" i="189" s="1"/>
  <c r="BW184" i="189" s="1"/>
  <c r="BI205" i="189"/>
  <c r="BI206" i="189" s="1"/>
  <c r="BS256" i="189"/>
  <c r="BB233" i="189"/>
  <c r="AT249" i="189"/>
  <c r="CD34" i="189"/>
  <c r="CB119" i="189"/>
  <c r="BQ201" i="189"/>
  <c r="BQ205" i="189"/>
  <c r="BS200" i="189"/>
  <c r="BS201" i="189" s="1"/>
  <c r="AZ241" i="189"/>
  <c r="AZ243" i="189" s="1"/>
  <c r="AS251" i="189"/>
  <c r="AT251" i="189" s="1"/>
  <c r="BJ59" i="189"/>
  <c r="BJ58" i="189"/>
  <c r="BN57" i="189"/>
  <c r="BN58" i="189" s="1"/>
  <c r="BJ8" i="189"/>
  <c r="AP314" i="189"/>
  <c r="AP253" i="189"/>
  <c r="AP252" i="189"/>
  <c r="AP54" i="189"/>
  <c r="CB251" i="189"/>
  <c r="AY241" i="189"/>
  <c r="BL59" i="189"/>
  <c r="BL58" i="189"/>
  <c r="BL8" i="189"/>
  <c r="BM59" i="189"/>
  <c r="CC245" i="189"/>
  <c r="CC509" i="172"/>
  <c r="CB509" i="172"/>
  <c r="CA509" i="172"/>
  <c r="BZ509" i="172"/>
  <c r="BX509" i="172"/>
  <c r="BW509" i="172"/>
  <c r="BV509" i="172"/>
  <c r="BU509" i="172"/>
  <c r="CC508" i="172"/>
  <c r="CC510" i="172" s="1"/>
  <c r="CC514" i="172" s="1"/>
  <c r="CB508" i="172"/>
  <c r="CB510" i="172" s="1"/>
  <c r="CB514" i="172" s="1"/>
  <c r="CA508" i="172"/>
  <c r="CA510" i="172" s="1"/>
  <c r="CA514" i="172" s="1"/>
  <c r="BZ508" i="172"/>
  <c r="BZ510" i="172" s="1"/>
  <c r="BZ514" i="172" s="1"/>
  <c r="BX508" i="172"/>
  <c r="BX510" i="172" s="1"/>
  <c r="BX514" i="172" s="1"/>
  <c r="BW508" i="172"/>
  <c r="BW510" i="172" s="1"/>
  <c r="BW514" i="172" s="1"/>
  <c r="BV508" i="172"/>
  <c r="BV510" i="172" s="1"/>
  <c r="BV514" i="172" s="1"/>
  <c r="BU508" i="172"/>
  <c r="BU510" i="172" s="1"/>
  <c r="BU514" i="172" s="1"/>
  <c r="CC500" i="172"/>
  <c r="CB500" i="172"/>
  <c r="CA500" i="172"/>
  <c r="BZ500" i="172"/>
  <c r="BX500" i="172"/>
  <c r="BW500" i="172"/>
  <c r="BV500" i="172"/>
  <c r="BU500" i="172"/>
  <c r="BV409" i="172"/>
  <c r="BU409" i="172"/>
  <c r="CC406" i="172"/>
  <c r="CB406" i="172"/>
  <c r="CA406" i="172"/>
  <c r="BZ406" i="172"/>
  <c r="BX406" i="172"/>
  <c r="BW406" i="172"/>
  <c r="BV406" i="172"/>
  <c r="BU406" i="172"/>
  <c r="CD405" i="172"/>
  <c r="CD406" i="172" s="1"/>
  <c r="BY405" i="172"/>
  <c r="BY406" i="172" s="1"/>
  <c r="CD291" i="172"/>
  <c r="BY291" i="172"/>
  <c r="BZ279" i="172"/>
  <c r="BZ265" i="172"/>
  <c r="CA265" i="172" s="1"/>
  <c r="CB265" i="172" s="1"/>
  <c r="CC265" i="172" s="1"/>
  <c r="CD263" i="172"/>
  <c r="BY263" i="172"/>
  <c r="BX220" i="172"/>
  <c r="BZ220" i="172" s="1"/>
  <c r="CA220" i="172" s="1"/>
  <c r="CB220" i="172" s="1"/>
  <c r="CC220" i="172" s="1"/>
  <c r="CC214" i="172"/>
  <c r="CB214" i="172"/>
  <c r="CA214" i="172"/>
  <c r="BZ214" i="172"/>
  <c r="BX214" i="172"/>
  <c r="BW214" i="172"/>
  <c r="BV214" i="172"/>
  <c r="BU214" i="172"/>
  <c r="BU197" i="172"/>
  <c r="CD196" i="172"/>
  <c r="BY196" i="172"/>
  <c r="CC187" i="172"/>
  <c r="CB187" i="172"/>
  <c r="CA187" i="172"/>
  <c r="BZ187" i="172"/>
  <c r="CA183" i="172"/>
  <c r="BV183" i="172"/>
  <c r="BW183" i="172" s="1"/>
  <c r="BX183" i="172" s="1"/>
  <c r="BW171" i="172"/>
  <c r="BV171" i="172"/>
  <c r="BX171" i="172" s="1"/>
  <c r="BZ171" i="172" s="1"/>
  <c r="CC167" i="172"/>
  <c r="CB167" i="172"/>
  <c r="CA167" i="172"/>
  <c r="BZ167" i="172"/>
  <c r="CC163" i="172"/>
  <c r="CB163" i="172"/>
  <c r="CA163" i="172"/>
  <c r="BZ163" i="172"/>
  <c r="BZ159" i="172"/>
  <c r="CA159" i="172" s="1"/>
  <c r="CB159" i="172" s="1"/>
  <c r="CC159" i="172" s="1"/>
  <c r="CC140" i="172"/>
  <c r="CC197" i="172" s="1"/>
  <c r="CB140" i="172"/>
  <c r="CB197" i="172" s="1"/>
  <c r="CA140" i="172"/>
  <c r="BZ140" i="172"/>
  <c r="BZ197" i="172" s="1"/>
  <c r="BX140" i="172"/>
  <c r="AX431" i="189" s="1"/>
  <c r="BW140" i="172"/>
  <c r="AW431" i="189" s="1"/>
  <c r="BV140" i="172"/>
  <c r="CC130" i="172"/>
  <c r="CB130" i="172"/>
  <c r="CA130" i="172"/>
  <c r="BZ130" i="172"/>
  <c r="BZ480" i="172" s="1"/>
  <c r="BX130" i="172"/>
  <c r="BW130" i="172"/>
  <c r="BV130" i="172"/>
  <c r="BV131" i="172" s="1"/>
  <c r="BU130" i="172"/>
  <c r="BU131" i="172" s="1"/>
  <c r="CC125" i="172"/>
  <c r="CB125" i="172"/>
  <c r="CA125" i="172"/>
  <c r="CA475" i="172" s="1"/>
  <c r="BZ125" i="172"/>
  <c r="BX125" i="172"/>
  <c r="BW125" i="172"/>
  <c r="BV125" i="172"/>
  <c r="BU125" i="172"/>
  <c r="CC114" i="172"/>
  <c r="CB114" i="172"/>
  <c r="CA114" i="172"/>
  <c r="BZ114" i="172"/>
  <c r="BZ470" i="172" s="1"/>
  <c r="BX114" i="172"/>
  <c r="BW114" i="172"/>
  <c r="BW115" i="172" s="1"/>
  <c r="BV114" i="172"/>
  <c r="BV470" i="172" s="1"/>
  <c r="BU114" i="172"/>
  <c r="CC107" i="172"/>
  <c r="CC166" i="172" s="1"/>
  <c r="CB107" i="172"/>
  <c r="CB465" i="172" s="1"/>
  <c r="CA107" i="172"/>
  <c r="BZ107" i="172"/>
  <c r="BX107" i="172"/>
  <c r="BX465" i="172" s="1"/>
  <c r="BW107" i="172"/>
  <c r="BW108" i="172" s="1"/>
  <c r="BV107" i="172"/>
  <c r="BV166" i="172" s="1"/>
  <c r="BV165" i="172" s="1"/>
  <c r="BU107" i="172"/>
  <c r="BU110" i="172" s="1"/>
  <c r="CC101" i="172"/>
  <c r="CB101" i="172"/>
  <c r="CA101" i="172"/>
  <c r="BZ101" i="172"/>
  <c r="BZ460" i="172" s="1"/>
  <c r="BX101" i="172"/>
  <c r="BW101" i="172"/>
  <c r="BW102" i="172" s="1"/>
  <c r="BV101" i="172"/>
  <c r="BV460" i="172" s="1"/>
  <c r="BU101" i="172"/>
  <c r="BU104" i="172" s="1"/>
  <c r="CC96" i="172"/>
  <c r="CB96" i="172"/>
  <c r="CA96" i="172"/>
  <c r="CA455" i="172" s="1"/>
  <c r="BZ96" i="172"/>
  <c r="BZ455" i="172" s="1"/>
  <c r="BX96" i="172"/>
  <c r="BW96" i="172"/>
  <c r="BW97" i="172" s="1"/>
  <c r="BV96" i="172"/>
  <c r="BV97" i="172" s="1"/>
  <c r="BU96" i="172"/>
  <c r="CC88" i="172"/>
  <c r="CB88" i="172"/>
  <c r="CA88" i="172"/>
  <c r="BZ88" i="172"/>
  <c r="BX88" i="172"/>
  <c r="BW88" i="172"/>
  <c r="BV88" i="172"/>
  <c r="BU88" i="172"/>
  <c r="CC84" i="172"/>
  <c r="CB84" i="172"/>
  <c r="CA84" i="172"/>
  <c r="BZ84" i="172"/>
  <c r="CC80" i="172"/>
  <c r="CB80" i="172"/>
  <c r="CA80" i="172"/>
  <c r="BZ80" i="172"/>
  <c r="CC79" i="172"/>
  <c r="CB79" i="172"/>
  <c r="CA79" i="172"/>
  <c r="BZ79" i="172"/>
  <c r="BX79" i="172"/>
  <c r="BW79" i="172"/>
  <c r="BV79" i="172"/>
  <c r="BU79" i="172"/>
  <c r="CA77" i="172"/>
  <c r="BZ77" i="172"/>
  <c r="CC75" i="172"/>
  <c r="CB75" i="172"/>
  <c r="CA75" i="172"/>
  <c r="BZ75" i="172"/>
  <c r="CC74" i="172"/>
  <c r="CB74" i="172"/>
  <c r="CA74" i="172"/>
  <c r="BZ74" i="172"/>
  <c r="BX74" i="172"/>
  <c r="BW74" i="172"/>
  <c r="BV74" i="172"/>
  <c r="BU74" i="172"/>
  <c r="CC70" i="172"/>
  <c r="CB70" i="172"/>
  <c r="CA70" i="172"/>
  <c r="BZ70" i="172"/>
  <c r="CC69" i="172"/>
  <c r="CB69" i="172"/>
  <c r="CA69" i="172"/>
  <c r="BZ69" i="172"/>
  <c r="BX69" i="172"/>
  <c r="BW69" i="172"/>
  <c r="BV69" i="172"/>
  <c r="BU69" i="172"/>
  <c r="CA67" i="172"/>
  <c r="BZ67" i="172"/>
  <c r="BW67" i="172"/>
  <c r="BV67" i="172"/>
  <c r="CD54" i="172"/>
  <c r="CD53" i="172"/>
  <c r="CC72" i="172"/>
  <c r="CB72" i="172"/>
  <c r="BZ72" i="172"/>
  <c r="CD48" i="172"/>
  <c r="CC46" i="172"/>
  <c r="CA46" i="172"/>
  <c r="CD44" i="172"/>
  <c r="CD43" i="172"/>
  <c r="BY43" i="172"/>
  <c r="CC34" i="172"/>
  <c r="CB34" i="172"/>
  <c r="CA34" i="172"/>
  <c r="BZ34" i="172"/>
  <c r="BX34" i="172"/>
  <c r="BW34" i="172"/>
  <c r="BV34" i="172"/>
  <c r="BU34" i="172"/>
  <c r="CC32" i="172"/>
  <c r="CE36" i="172" s="1"/>
  <c r="CB32" i="172"/>
  <c r="CA32" i="172"/>
  <c r="BZ32" i="172"/>
  <c r="BZ21" i="172" s="1"/>
  <c r="BX32" i="172"/>
  <c r="BW32" i="172"/>
  <c r="BW14" i="172" s="1"/>
  <c r="BV32" i="172"/>
  <c r="BV28" i="172" s="1"/>
  <c r="BU32" i="172"/>
  <c r="CC27" i="172"/>
  <c r="CB27" i="172"/>
  <c r="CA27" i="172"/>
  <c r="BZ27" i="172"/>
  <c r="BX27" i="172"/>
  <c r="BW27" i="172"/>
  <c r="BV27" i="172"/>
  <c r="CC26" i="172"/>
  <c r="CB26" i="172"/>
  <c r="CA26" i="172"/>
  <c r="BZ26" i="172"/>
  <c r="BX26" i="172"/>
  <c r="BW26" i="172"/>
  <c r="BV26" i="172"/>
  <c r="BU26" i="172"/>
  <c r="CC25" i="172"/>
  <c r="CB25" i="172"/>
  <c r="CA25" i="172"/>
  <c r="BZ25" i="172"/>
  <c r="CD25" i="172"/>
  <c r="CC20" i="172"/>
  <c r="CB20" i="172"/>
  <c r="CA20" i="172"/>
  <c r="BZ20" i="172"/>
  <c r="BX20" i="172"/>
  <c r="BW20" i="172"/>
  <c r="BV20" i="172"/>
  <c r="CC19" i="172"/>
  <c r="CB19" i="172"/>
  <c r="CA19" i="172"/>
  <c r="BZ19" i="172"/>
  <c r="BX19" i="172"/>
  <c r="BW19" i="172"/>
  <c r="BV19" i="172"/>
  <c r="BU19" i="172"/>
  <c r="CC18" i="172"/>
  <c r="CB18" i="172"/>
  <c r="CA18" i="172"/>
  <c r="BZ18" i="172"/>
  <c r="CC13" i="172"/>
  <c r="CB13" i="172"/>
  <c r="CA13" i="172"/>
  <c r="BZ13" i="172"/>
  <c r="BX13" i="172"/>
  <c r="BW13" i="172"/>
  <c r="BV13" i="172"/>
  <c r="CC12" i="172"/>
  <c r="CB12" i="172"/>
  <c r="CA12" i="172"/>
  <c r="BZ12" i="172"/>
  <c r="BX12" i="172"/>
  <c r="BW12" i="172"/>
  <c r="BV12" i="172"/>
  <c r="BU12" i="172"/>
  <c r="CC11" i="172"/>
  <c r="CB11" i="172"/>
  <c r="CA11" i="172"/>
  <c r="BZ11" i="172"/>
  <c r="EP95" i="8"/>
  <c r="EO95" i="8"/>
  <c r="EN95" i="8"/>
  <c r="EL95" i="8"/>
  <c r="EM95" i="8" s="1"/>
  <c r="EK95" i="8"/>
  <c r="EJ95" i="8"/>
  <c r="EI95" i="8"/>
  <c r="EP94" i="8"/>
  <c r="EO94" i="8"/>
  <c r="EN94" i="8"/>
  <c r="EL94" i="8"/>
  <c r="EK94" i="8"/>
  <c r="EJ94" i="8"/>
  <c r="EI94" i="8"/>
  <c r="EM93" i="8"/>
  <c r="EQ89" i="8"/>
  <c r="EP89" i="8"/>
  <c r="EO89" i="8"/>
  <c r="EN89" i="8"/>
  <c r="EL89" i="8"/>
  <c r="EK89" i="8"/>
  <c r="EJ89" i="8"/>
  <c r="EI89" i="8"/>
  <c r="EQ87" i="8"/>
  <c r="EP87" i="8"/>
  <c r="EO87" i="8"/>
  <c r="EN87" i="8"/>
  <c r="EL87" i="8"/>
  <c r="EK87" i="8"/>
  <c r="EJ87" i="8"/>
  <c r="EI87" i="8"/>
  <c r="EK41" i="8"/>
  <c r="EL63" i="8" s="1"/>
  <c r="EJ41" i="8"/>
  <c r="EK63" i="8" s="1"/>
  <c r="EI41" i="8"/>
  <c r="EJ63" i="8" s="1"/>
  <c r="ER40" i="8"/>
  <c r="EM40" i="8"/>
  <c r="EQ39" i="8"/>
  <c r="EP39" i="8"/>
  <c r="EP41" i="8" s="1"/>
  <c r="EQ63" i="8" s="1"/>
  <c r="EO39" i="8"/>
  <c r="EN39" i="8"/>
  <c r="EL39" i="8"/>
  <c r="EL41" i="8" s="1"/>
  <c r="EN63" i="8" s="1"/>
  <c r="ER38" i="8"/>
  <c r="EM38" i="8"/>
  <c r="ER37" i="8"/>
  <c r="EM37" i="8"/>
  <c r="EP35" i="8"/>
  <c r="EQ35" i="8" s="1"/>
  <c r="ER35" i="8" s="1"/>
  <c r="EK35" i="8"/>
  <c r="EL35" i="8" s="1"/>
  <c r="EM35" i="8" s="1"/>
  <c r="ER34" i="8"/>
  <c r="EM34" i="8"/>
  <c r="EQ33" i="8"/>
  <c r="ER33" i="8" s="1"/>
  <c r="EP33" i="8"/>
  <c r="EO33" i="8"/>
  <c r="EN33" i="8"/>
  <c r="EL33" i="8"/>
  <c r="EK33" i="8"/>
  <c r="EJ33" i="8"/>
  <c r="EI33" i="8"/>
  <c r="ER32" i="8"/>
  <c r="EM32" i="8"/>
  <c r="EN31" i="8"/>
  <c r="EN36" i="8" s="1"/>
  <c r="EL31" i="8"/>
  <c r="EK31" i="8"/>
  <c r="ER30" i="8"/>
  <c r="EM30" i="8"/>
  <c r="ER29" i="8"/>
  <c r="EM29" i="8"/>
  <c r="ER28" i="8"/>
  <c r="EM28" i="8"/>
  <c r="ER27" i="8"/>
  <c r="EM27" i="8"/>
  <c r="ER26" i="8"/>
  <c r="EM26" i="8"/>
  <c r="ER25" i="8"/>
  <c r="EM25" i="8"/>
  <c r="EQ24" i="8"/>
  <c r="EQ73" i="8" s="1"/>
  <c r="EQ75" i="8" s="1"/>
  <c r="EP24" i="8"/>
  <c r="EP73" i="8" s="1"/>
  <c r="EP75" i="8" s="1"/>
  <c r="EO24" i="8"/>
  <c r="EO73" i="8" s="1"/>
  <c r="EO75" i="8" s="1"/>
  <c r="EM24" i="8"/>
  <c r="EJ24" i="8"/>
  <c r="EJ73" i="8" s="1"/>
  <c r="EJ75" i="8" s="1"/>
  <c r="EK76" i="8" s="1"/>
  <c r="EI24" i="8"/>
  <c r="EI73" i="8" s="1"/>
  <c r="EI75" i="8" s="1"/>
  <c r="EJ76" i="8" s="1"/>
  <c r="ER23" i="8"/>
  <c r="EM23" i="8"/>
  <c r="EQ20" i="8"/>
  <c r="EP20" i="8"/>
  <c r="EO20" i="8"/>
  <c r="EN20" i="8"/>
  <c r="EL20" i="8"/>
  <c r="EM20" i="8" s="1"/>
  <c r="ER19" i="8"/>
  <c r="EM19" i="8"/>
  <c r="ER18" i="8"/>
  <c r="EM18" i="8"/>
  <c r="ER17" i="8"/>
  <c r="EM17" i="8"/>
  <c r="ER16" i="8"/>
  <c r="EM16" i="8"/>
  <c r="ER15" i="8"/>
  <c r="EM15" i="8"/>
  <c r="EQ14" i="8"/>
  <c r="ER14" i="8" s="1"/>
  <c r="EP14" i="8"/>
  <c r="EP21" i="8" s="1"/>
  <c r="EO14" i="8"/>
  <c r="EO21" i="8" s="1"/>
  <c r="EN14" i="8"/>
  <c r="EN21" i="8" s="1"/>
  <c r="EL14" i="8"/>
  <c r="EK14" i="8"/>
  <c r="EK21" i="8" s="1"/>
  <c r="EJ14" i="8"/>
  <c r="EJ21" i="8" s="1"/>
  <c r="EI14" i="8"/>
  <c r="EI21" i="8" s="1"/>
  <c r="ER13" i="8"/>
  <c r="EM13" i="8"/>
  <c r="ER12" i="8"/>
  <c r="EM12" i="8"/>
  <c r="ER11" i="8"/>
  <c r="EM11" i="8"/>
  <c r="ER10" i="8"/>
  <c r="EM10" i="8"/>
  <c r="ER9" i="8"/>
  <c r="EM9" i="8"/>
  <c r="ER8" i="8"/>
  <c r="EM8" i="8"/>
  <c r="EP92" i="7"/>
  <c r="EK92" i="7"/>
  <c r="EQ79" i="7"/>
  <c r="EP79" i="7"/>
  <c r="EO79" i="7"/>
  <c r="EN79" i="7"/>
  <c r="EL79" i="7"/>
  <c r="EK79" i="7"/>
  <c r="EJ79" i="7"/>
  <c r="EI79" i="7"/>
  <c r="EI65" i="8" s="1"/>
  <c r="ER78" i="7"/>
  <c r="EM78" i="7"/>
  <c r="ER77" i="7"/>
  <c r="EM77" i="7"/>
  <c r="ER75" i="7"/>
  <c r="EM75" i="7"/>
  <c r="ER74" i="7"/>
  <c r="EM74" i="7"/>
  <c r="ER73" i="7"/>
  <c r="EM73" i="7"/>
  <c r="ER72" i="7"/>
  <c r="EM72" i="7"/>
  <c r="ER71" i="7"/>
  <c r="EM71" i="7"/>
  <c r="EQ58" i="7"/>
  <c r="EP58" i="7"/>
  <c r="EU59" i="7" s="1"/>
  <c r="EO58" i="7"/>
  <c r="ET59" i="7" s="1"/>
  <c r="EN58" i="7"/>
  <c r="ES59" i="7" s="1"/>
  <c r="EL58" i="7"/>
  <c r="EK58" i="7"/>
  <c r="EJ58" i="7"/>
  <c r="EI58" i="7"/>
  <c r="EQ57" i="7"/>
  <c r="EP57" i="7"/>
  <c r="EO57" i="7"/>
  <c r="EN57" i="7"/>
  <c r="EP50" i="7"/>
  <c r="EP51" i="7" s="1"/>
  <c r="EO50" i="7"/>
  <c r="EO51" i="7" s="1"/>
  <c r="EN50" i="7"/>
  <c r="EN51" i="7" s="1"/>
  <c r="EK50" i="7"/>
  <c r="EK51" i="7" s="1"/>
  <c r="EJ50" i="7"/>
  <c r="EJ51" i="7" s="1"/>
  <c r="EI50" i="7"/>
  <c r="EI51" i="7" s="1"/>
  <c r="EQ49" i="7"/>
  <c r="ER49" i="7" s="1"/>
  <c r="EL49" i="7"/>
  <c r="EM49" i="7" s="1"/>
  <c r="EQ48" i="7"/>
  <c r="EL48" i="7"/>
  <c r="EL81" i="8" s="1"/>
  <c r="EQ47" i="7"/>
  <c r="EL47" i="7"/>
  <c r="EL76" i="8" s="1"/>
  <c r="ER41" i="7"/>
  <c r="EQ34" i="7"/>
  <c r="EP34" i="7"/>
  <c r="CA205" i="172"/>
  <c r="EN34" i="7"/>
  <c r="EL34" i="7"/>
  <c r="BX505" i="172" s="1"/>
  <c r="EK34" i="7"/>
  <c r="BW205" i="172" s="1"/>
  <c r="EJ34" i="7"/>
  <c r="BV83" i="172" s="1"/>
  <c r="EI34" i="7"/>
  <c r="BU83" i="172" s="1"/>
  <c r="ER33" i="7"/>
  <c r="EM33" i="7"/>
  <c r="ER30" i="7"/>
  <c r="ER32" i="7" s="1"/>
  <c r="EM30" i="7"/>
  <c r="ER27" i="7"/>
  <c r="ER29" i="7" s="1"/>
  <c r="EM27" i="7"/>
  <c r="ER24" i="7"/>
  <c r="EM24" i="7"/>
  <c r="ER21" i="7"/>
  <c r="ER17" i="7"/>
  <c r="EM17" i="7"/>
  <c r="EJ116" i="7"/>
  <c r="EL114" i="7"/>
  <c r="EK116" i="7"/>
  <c r="EK114" i="7"/>
  <c r="EM116" i="7"/>
  <c r="EL116" i="7"/>
  <c r="ER116" i="7"/>
  <c r="EJ115" i="7"/>
  <c r="EI116" i="7"/>
  <c r="ER115" i="7"/>
  <c r="EJ114" i="7"/>
  <c r="EL115" i="7"/>
  <c r="EM114" i="7"/>
  <c r="EI114" i="7"/>
  <c r="ER114" i="7"/>
  <c r="EI115" i="7"/>
  <c r="EK115" i="7"/>
  <c r="EM115" i="7"/>
  <c r="CB21" i="172" l="1"/>
  <c r="CG35" i="172"/>
  <c r="CG33" i="172"/>
  <c r="ER26" i="7"/>
  <c r="CB505" i="172"/>
  <c r="EU36" i="7"/>
  <c r="CC83" i="172"/>
  <c r="EQ54" i="8"/>
  <c r="EV54" i="8" s="1"/>
  <c r="FA54" i="8" s="1"/>
  <c r="FF54" i="8" s="1"/>
  <c r="FK54" i="8" s="1"/>
  <c r="BR201" i="189"/>
  <c r="BR205" i="189"/>
  <c r="EM73" i="8"/>
  <c r="EM75" i="8" s="1"/>
  <c r="EN76" i="8" s="1"/>
  <c r="BX198" i="189"/>
  <c r="CC215" i="172"/>
  <c r="BV58" i="189"/>
  <c r="BV8" i="189"/>
  <c r="BV59" i="189"/>
  <c r="BW59" i="189"/>
  <c r="BX199" i="189"/>
  <c r="BU58" i="189"/>
  <c r="BU8" i="189"/>
  <c r="BU59" i="189"/>
  <c r="BV201" i="189"/>
  <c r="BV205" i="189"/>
  <c r="BX200" i="189"/>
  <c r="BX201" i="189" s="1"/>
  <c r="BU169" i="189"/>
  <c r="BT59" i="189"/>
  <c r="BT58" i="189"/>
  <c r="BT8" i="189"/>
  <c r="BX57" i="189"/>
  <c r="BX261" i="189"/>
  <c r="BX258" i="189"/>
  <c r="BW201" i="189"/>
  <c r="BW205" i="189"/>
  <c r="BX12" i="189"/>
  <c r="ER34" i="7"/>
  <c r="BF241" i="189"/>
  <c r="BF242" i="189" s="1"/>
  <c r="CA21" i="172"/>
  <c r="CF35" i="172"/>
  <c r="CF33" i="172"/>
  <c r="BV14" i="172"/>
  <c r="CA14" i="172"/>
  <c r="BV21" i="172"/>
  <c r="CD241" i="189"/>
  <c r="AV251" i="189"/>
  <c r="AV54" i="189" s="1"/>
  <c r="BW21" i="172"/>
  <c r="BZ14" i="172"/>
  <c r="BZ28" i="172"/>
  <c r="BW28" i="172"/>
  <c r="AY184" i="189"/>
  <c r="AY185" i="189" s="1"/>
  <c r="ES81" i="8"/>
  <c r="ES42" i="9"/>
  <c r="ES43" i="9" s="1"/>
  <c r="ER94" i="8"/>
  <c r="BZ83" i="172"/>
  <c r="ES36" i="7"/>
  <c r="EQ76" i="8"/>
  <c r="BI113" i="189"/>
  <c r="BI114" i="189" s="1"/>
  <c r="CE35" i="172"/>
  <c r="CE33" i="172"/>
  <c r="CA35" i="172"/>
  <c r="CA85" i="172"/>
  <c r="EQ41" i="8"/>
  <c r="ES63" i="8" s="1"/>
  <c r="ES68" i="8"/>
  <c r="BW36" i="172"/>
  <c r="CA28" i="172"/>
  <c r="BZ85" i="172"/>
  <c r="CA33" i="172"/>
  <c r="BW38" i="172"/>
  <c r="EP76" i="8"/>
  <c r="EO76" i="8"/>
  <c r="EJ31" i="8"/>
  <c r="EJ36" i="8" s="1"/>
  <c r="EJ42" i="8" s="1"/>
  <c r="EQ31" i="8"/>
  <c r="ER31" i="8" s="1"/>
  <c r="EM39" i="8"/>
  <c r="EL21" i="8"/>
  <c r="EM21" i="8" s="1"/>
  <c r="EL36" i="8"/>
  <c r="EL42" i="8" s="1"/>
  <c r="EM42" i="8" s="1"/>
  <c r="ER24" i="8"/>
  <c r="ER73" i="8" s="1"/>
  <c r="ER75" i="8" s="1"/>
  <c r="EM47" i="8"/>
  <c r="ER47" i="8"/>
  <c r="AX134" i="189"/>
  <c r="EL8" i="7"/>
  <c r="EL90" i="8" s="1"/>
  <c r="BX21" i="172"/>
  <c r="AU134" i="189"/>
  <c r="EI8" i="7"/>
  <c r="EI9" i="7" s="1"/>
  <c r="AZ134" i="189"/>
  <c r="BE135" i="189" s="1"/>
  <c r="EN8" i="7"/>
  <c r="EN35" i="7" s="1"/>
  <c r="BZ38" i="172"/>
  <c r="CE39" i="172" s="1"/>
  <c r="BC134" i="189"/>
  <c r="BE136" i="189" s="1"/>
  <c r="EQ8" i="7"/>
  <c r="EQ46" i="8" s="1"/>
  <c r="BX182" i="172"/>
  <c r="BX181" i="172" s="1"/>
  <c r="EJ8" i="7"/>
  <c r="EJ90" i="8" s="1"/>
  <c r="AV134" i="189"/>
  <c r="EO8" i="7"/>
  <c r="EO35" i="7" s="1"/>
  <c r="BA134" i="189"/>
  <c r="BF135" i="189" s="1"/>
  <c r="CA36" i="172"/>
  <c r="CA38" i="172"/>
  <c r="CF39" i="172" s="1"/>
  <c r="EK8" i="7"/>
  <c r="EK90" i="8" s="1"/>
  <c r="AW134" i="189"/>
  <c r="EP8" i="7"/>
  <c r="EP90" i="8" s="1"/>
  <c r="BB134" i="189"/>
  <c r="BG135" i="189" s="1"/>
  <c r="BV38" i="172"/>
  <c r="BX83" i="172"/>
  <c r="BZ505" i="172"/>
  <c r="BU205" i="172"/>
  <c r="EN59" i="7"/>
  <c r="CC205" i="172"/>
  <c r="BV505" i="172"/>
  <c r="EM31" i="8"/>
  <c r="ER64" i="8"/>
  <c r="ER67" i="8"/>
  <c r="EM94" i="8"/>
  <c r="ER42" i="9"/>
  <c r="EN42" i="9"/>
  <c r="EN81" i="8"/>
  <c r="EQ21" i="8"/>
  <c r="ER21" i="8" s="1"/>
  <c r="BW83" i="172"/>
  <c r="CA83" i="172"/>
  <c r="BX205" i="172"/>
  <c r="CB205" i="172"/>
  <c r="BU505" i="172"/>
  <c r="CC505" i="172"/>
  <c r="CB83" i="172"/>
  <c r="BV205" i="172"/>
  <c r="BZ205" i="172"/>
  <c r="CD205" i="172"/>
  <c r="BY500" i="172"/>
  <c r="BW505" i="172"/>
  <c r="CA505" i="172"/>
  <c r="EM48" i="7"/>
  <c r="CD500" i="172"/>
  <c r="CB133" i="172"/>
  <c r="BX108" i="172"/>
  <c r="BX117" i="172"/>
  <c r="BZ133" i="172"/>
  <c r="BZ99" i="172"/>
  <c r="EO53" i="8"/>
  <c r="EO50" i="8"/>
  <c r="EO54" i="8"/>
  <c r="EO51" i="8"/>
  <c r="EO49" i="8"/>
  <c r="ER48" i="7"/>
  <c r="EQ81" i="8"/>
  <c r="EO80" i="7"/>
  <c r="EO65" i="8"/>
  <c r="EK80" i="7"/>
  <c r="EK65" i="8"/>
  <c r="EK68" i="8" s="1"/>
  <c r="EK69" i="8" s="1"/>
  <c r="EK70" i="8" s="1"/>
  <c r="EL50" i="7"/>
  <c r="EL51" i="7" s="1"/>
  <c r="EL53" i="8"/>
  <c r="EL49" i="8"/>
  <c r="EL54" i="8"/>
  <c r="EL51" i="8"/>
  <c r="EL50" i="8"/>
  <c r="EQ53" i="8"/>
  <c r="EQ51" i="8"/>
  <c r="EQ50" i="8"/>
  <c r="EQ49" i="8"/>
  <c r="EL80" i="7"/>
  <c r="EL65" i="8"/>
  <c r="EQ80" i="7"/>
  <c r="EQ65" i="8"/>
  <c r="EJ54" i="8"/>
  <c r="EJ53" i="8"/>
  <c r="EJ51" i="8"/>
  <c r="EJ50" i="8"/>
  <c r="EJ49" i="8"/>
  <c r="EJ80" i="7"/>
  <c r="EJ65" i="8"/>
  <c r="EK54" i="8"/>
  <c r="EK53" i="8"/>
  <c r="EK51" i="8"/>
  <c r="EK50" i="8"/>
  <c r="EK49" i="8"/>
  <c r="EP54" i="8"/>
  <c r="EP53" i="8"/>
  <c r="EP51" i="8"/>
  <c r="EP50" i="8"/>
  <c r="EP49" i="8"/>
  <c r="ER47" i="7"/>
  <c r="EP80" i="7"/>
  <c r="EP65" i="8"/>
  <c r="EI54" i="8"/>
  <c r="EI53" i="8"/>
  <c r="EI51" i="8"/>
  <c r="EI50" i="8"/>
  <c r="EI49" i="8"/>
  <c r="EN54" i="8"/>
  <c r="EN53" i="8"/>
  <c r="EN51" i="8"/>
  <c r="EN50" i="8"/>
  <c r="EN49" i="8"/>
  <c r="EI68" i="8"/>
  <c r="EN80" i="7"/>
  <c r="EN65" i="8"/>
  <c r="CB104" i="172"/>
  <c r="BV115" i="172"/>
  <c r="BZ97" i="172"/>
  <c r="CC133" i="172"/>
  <c r="BZ104" i="172"/>
  <c r="BZ128" i="172"/>
  <c r="BU133" i="172"/>
  <c r="CC158" i="172"/>
  <c r="CC157" i="172" s="1"/>
  <c r="BX166" i="172"/>
  <c r="BX165" i="172" s="1"/>
  <c r="BU186" i="172"/>
  <c r="BU185" i="172" s="1"/>
  <c r="CA97" i="172"/>
  <c r="CB108" i="172"/>
  <c r="BW128" i="172"/>
  <c r="BW162" i="172"/>
  <c r="BW161" i="172" s="1"/>
  <c r="CB166" i="172"/>
  <c r="CB165" i="172" s="1"/>
  <c r="BV102" i="172"/>
  <c r="BU108" i="172"/>
  <c r="BV110" i="172"/>
  <c r="BV119" i="172"/>
  <c r="CC126" i="172"/>
  <c r="CA131" i="172"/>
  <c r="BZ162" i="172"/>
  <c r="BZ161" i="172" s="1"/>
  <c r="CA119" i="172"/>
  <c r="BZ110" i="172"/>
  <c r="CC115" i="172"/>
  <c r="BY125" i="172"/>
  <c r="BY475" i="172" s="1"/>
  <c r="BX126" i="172"/>
  <c r="BZ131" i="172"/>
  <c r="BV197" i="172"/>
  <c r="AV431" i="189"/>
  <c r="BV170" i="172"/>
  <c r="BV169" i="172" s="1"/>
  <c r="CF8" i="189"/>
  <c r="CG57" i="189"/>
  <c r="CG58" i="189" s="1"/>
  <c r="AT250" i="189"/>
  <c r="AT248" i="189"/>
  <c r="BA244" i="189"/>
  <c r="BA245" i="189"/>
  <c r="BA263" i="189"/>
  <c r="BS261" i="189"/>
  <c r="BS258" i="189"/>
  <c r="BS259" i="189" s="1"/>
  <c r="AY242" i="189"/>
  <c r="AY240" i="189"/>
  <c r="AP56" i="189"/>
  <c r="AP55" i="189"/>
  <c r="AP7" i="189"/>
  <c r="CB54" i="189"/>
  <c r="CB272" i="189"/>
  <c r="AU251" i="189"/>
  <c r="AU250" i="189"/>
  <c r="AV373" i="189"/>
  <c r="AQ384" i="189"/>
  <c r="AQ374" i="189"/>
  <c r="BQ58" i="189"/>
  <c r="BQ59" i="189"/>
  <c r="BQ8" i="189"/>
  <c r="BR59" i="189"/>
  <c r="AR55" i="189"/>
  <c r="AR7" i="189"/>
  <c r="AR56" i="189"/>
  <c r="BB241" i="189"/>
  <c r="BB243" i="189" s="1"/>
  <c r="BG239" i="189" s="1"/>
  <c r="AX245" i="189"/>
  <c r="BC239" i="189"/>
  <c r="AX244" i="189"/>
  <c r="AY243" i="189"/>
  <c r="CC271" i="189"/>
  <c r="AW246" i="189"/>
  <c r="AW249" i="189"/>
  <c r="BN206" i="189"/>
  <c r="CB314" i="189"/>
  <c r="AZ242" i="189"/>
  <c r="BQ206" i="189"/>
  <c r="BQ113" i="189"/>
  <c r="BS205" i="189"/>
  <c r="BS206" i="189" s="1"/>
  <c r="BD184" i="189"/>
  <c r="BP59" i="189"/>
  <c r="BP58" i="189"/>
  <c r="BP8" i="189"/>
  <c r="BM206" i="189"/>
  <c r="BM113" i="189"/>
  <c r="CG113" i="189" s="1"/>
  <c r="CG114" i="189" s="1"/>
  <c r="AV187" i="189"/>
  <c r="AW186" i="189"/>
  <c r="BO59" i="189"/>
  <c r="BO8" i="189"/>
  <c r="BS57" i="189"/>
  <c r="BO58" i="189"/>
  <c r="BL114" i="189"/>
  <c r="BL115" i="189"/>
  <c r="BL34" i="189"/>
  <c r="CB36" i="189"/>
  <c r="AU316" i="189"/>
  <c r="AU188" i="189"/>
  <c r="CC187" i="189"/>
  <c r="BR206" i="189"/>
  <c r="BR113" i="189"/>
  <c r="BT115" i="189" s="1"/>
  <c r="CB267" i="189"/>
  <c r="AT252" i="189"/>
  <c r="BN8" i="189"/>
  <c r="AS314" i="189"/>
  <c r="AS253" i="189"/>
  <c r="AS252" i="189"/>
  <c r="AS54" i="189"/>
  <c r="AT54" i="189" s="1"/>
  <c r="AT55" i="189" s="1"/>
  <c r="AZ244" i="189"/>
  <c r="AZ245" i="189"/>
  <c r="BE239" i="189"/>
  <c r="AZ263" i="189"/>
  <c r="BC233" i="189"/>
  <c r="AQ56" i="189"/>
  <c r="AQ55" i="189"/>
  <c r="AQ7" i="189"/>
  <c r="BH114" i="189"/>
  <c r="BH115" i="189"/>
  <c r="BH34" i="189"/>
  <c r="BJ115" i="189"/>
  <c r="CD243" i="189"/>
  <c r="BO184" i="189"/>
  <c r="BT184" i="189" s="1"/>
  <c r="CB39" i="189"/>
  <c r="CE34" i="189"/>
  <c r="EO36" i="7"/>
  <c r="EM47" i="7"/>
  <c r="EO59" i="7"/>
  <c r="EP59" i="7"/>
  <c r="EL92" i="7"/>
  <c r="EM92" i="7" s="1"/>
  <c r="EQ36" i="7"/>
  <c r="CD55" i="172"/>
  <c r="CB455" i="172"/>
  <c r="CB97" i="172"/>
  <c r="CB99" i="172"/>
  <c r="BY114" i="172"/>
  <c r="CD34" i="172"/>
  <c r="CD11" i="172"/>
  <c r="CB85" i="172"/>
  <c r="BU455" i="172"/>
  <c r="BU97" i="172"/>
  <c r="BU158" i="172"/>
  <c r="BU157" i="172" s="1"/>
  <c r="BY96" i="172"/>
  <c r="CC455" i="172"/>
  <c r="CC99" i="172"/>
  <c r="CC97" i="172"/>
  <c r="BW465" i="172"/>
  <c r="BW166" i="172"/>
  <c r="BW165" i="172" s="1"/>
  <c r="BW110" i="172"/>
  <c r="BW119" i="172"/>
  <c r="CB158" i="172"/>
  <c r="CB157" i="172" s="1"/>
  <c r="CC36" i="172"/>
  <c r="CC35" i="172"/>
  <c r="CC38" i="172"/>
  <c r="CE40" i="172" s="1"/>
  <c r="CC33" i="172"/>
  <c r="CC28" i="172"/>
  <c r="CC14" i="172"/>
  <c r="CC470" i="172"/>
  <c r="CC117" i="172"/>
  <c r="BU475" i="172"/>
  <c r="BU182" i="172"/>
  <c r="BU181" i="172" s="1"/>
  <c r="BU126" i="172"/>
  <c r="BU135" i="172"/>
  <c r="BU128" i="172"/>
  <c r="CB183" i="172"/>
  <c r="CA182" i="172"/>
  <c r="CA181" i="172" s="1"/>
  <c r="CD18" i="172"/>
  <c r="CB35" i="172"/>
  <c r="CB36" i="172"/>
  <c r="BX67" i="172"/>
  <c r="CB67" i="172"/>
  <c r="CB46" i="172"/>
  <c r="CB77" i="172"/>
  <c r="CC85" i="172"/>
  <c r="BU460" i="172"/>
  <c r="BU162" i="172"/>
  <c r="BU161" i="172" s="1"/>
  <c r="BY101" i="172"/>
  <c r="CC460" i="172"/>
  <c r="CC104" i="172"/>
  <c r="CC102" i="172"/>
  <c r="BZ102" i="172"/>
  <c r="CA108" i="172"/>
  <c r="BU38" i="172"/>
  <c r="BU28" i="172"/>
  <c r="BU14" i="172"/>
  <c r="BY32" i="172"/>
  <c r="AY134" i="189" s="1"/>
  <c r="CD45" i="172"/>
  <c r="BX455" i="172"/>
  <c r="BX158" i="172"/>
  <c r="BX157" i="172" s="1"/>
  <c r="BX97" i="172"/>
  <c r="BX99" i="172"/>
  <c r="CA465" i="172"/>
  <c r="CA110" i="172"/>
  <c r="BU470" i="172"/>
  <c r="BU170" i="172"/>
  <c r="BU169" i="172" s="1"/>
  <c r="BU117" i="172"/>
  <c r="BZ115" i="172"/>
  <c r="BU115" i="172"/>
  <c r="BU119" i="172"/>
  <c r="CC475" i="172"/>
  <c r="CC128" i="172"/>
  <c r="BU21" i="172"/>
  <c r="CC21" i="172"/>
  <c r="BX38" i="172"/>
  <c r="BX36" i="172"/>
  <c r="BX28" i="172"/>
  <c r="BX14" i="172"/>
  <c r="CB38" i="172"/>
  <c r="CG39" i="172" s="1"/>
  <c r="CB33" i="172"/>
  <c r="CB28" i="172"/>
  <c r="CB14" i="172"/>
  <c r="BZ33" i="172"/>
  <c r="BV36" i="172"/>
  <c r="BU67" i="172"/>
  <c r="BY44" i="172"/>
  <c r="CC67" i="172"/>
  <c r="BZ46" i="172"/>
  <c r="CD49" i="172"/>
  <c r="CC77" i="172"/>
  <c r="CA72" i="172"/>
  <c r="CD72" i="172" s="1"/>
  <c r="BU99" i="172"/>
  <c r="BU102" i="172"/>
  <c r="CB110" i="172"/>
  <c r="BX470" i="172"/>
  <c r="BX119" i="172"/>
  <c r="BX115" i="172"/>
  <c r="CB470" i="172"/>
  <c r="CB119" i="172"/>
  <c r="CB115" i="172"/>
  <c r="CB117" i="172"/>
  <c r="BZ117" i="172"/>
  <c r="CC119" i="172"/>
  <c r="BZ475" i="172"/>
  <c r="BZ182" i="172"/>
  <c r="BZ126" i="172"/>
  <c r="BW480" i="172"/>
  <c r="BW133" i="172"/>
  <c r="BZ135" i="172"/>
  <c r="BW516" i="172"/>
  <c r="BW515" i="172"/>
  <c r="BZ35" i="172"/>
  <c r="BZ36" i="172"/>
  <c r="BW455" i="172"/>
  <c r="BW158" i="172"/>
  <c r="BW157" i="172" s="1"/>
  <c r="BW99" i="172"/>
  <c r="BX460" i="172"/>
  <c r="BX102" i="172"/>
  <c r="CB460" i="172"/>
  <c r="CB102" i="172"/>
  <c r="BX104" i="172"/>
  <c r="BV465" i="172"/>
  <c r="BV108" i="172"/>
  <c r="BZ465" i="172"/>
  <c r="BZ166" i="172"/>
  <c r="BZ165" i="172" s="1"/>
  <c r="BZ108" i="172"/>
  <c r="CD107" i="172"/>
  <c r="BW470" i="172"/>
  <c r="CA470" i="172"/>
  <c r="CA117" i="172"/>
  <c r="CA115" i="172"/>
  <c r="BW117" i="172"/>
  <c r="BZ119" i="172"/>
  <c r="BW126" i="172"/>
  <c r="CB126" i="172"/>
  <c r="BU480" i="172"/>
  <c r="BY130" i="172"/>
  <c r="CC480" i="172"/>
  <c r="CC135" i="172"/>
  <c r="BW135" i="172"/>
  <c r="BX197" i="172"/>
  <c r="CA158" i="172"/>
  <c r="CA157" i="172" s="1"/>
  <c r="CB162" i="172"/>
  <c r="CB161" i="172" s="1"/>
  <c r="CC186" i="172"/>
  <c r="CC185" i="172" s="1"/>
  <c r="BV475" i="172"/>
  <c r="BV126" i="172"/>
  <c r="CD125" i="172"/>
  <c r="CA128" i="172"/>
  <c r="CA480" i="172"/>
  <c r="CA186" i="172"/>
  <c r="CA185" i="172" s="1"/>
  <c r="CA133" i="172"/>
  <c r="CA197" i="172"/>
  <c r="CB171" i="172"/>
  <c r="CB170" i="172" s="1"/>
  <c r="BZ170" i="172"/>
  <c r="BW186" i="172"/>
  <c r="CB516" i="172"/>
  <c r="CB515" i="172"/>
  <c r="CD32" i="172"/>
  <c r="BD134" i="189" s="1"/>
  <c r="BV455" i="172"/>
  <c r="BV158" i="172"/>
  <c r="BV157" i="172" s="1"/>
  <c r="CD96" i="172"/>
  <c r="BV99" i="172"/>
  <c r="CA99" i="172"/>
  <c r="BW460" i="172"/>
  <c r="CA460" i="172"/>
  <c r="CA162" i="172"/>
  <c r="CA161" i="172" s="1"/>
  <c r="CA104" i="172"/>
  <c r="CA102" i="172"/>
  <c r="BW104" i="172"/>
  <c r="BU465" i="172"/>
  <c r="BU166" i="172"/>
  <c r="BY107" i="172"/>
  <c r="CC465" i="172"/>
  <c r="CC165" i="172"/>
  <c r="CC110" i="172"/>
  <c r="CC108" i="172"/>
  <c r="BW475" i="172"/>
  <c r="CA126" i="172"/>
  <c r="BV128" i="172"/>
  <c r="CB128" i="172"/>
  <c r="BX480" i="172"/>
  <c r="BX186" i="172"/>
  <c r="BX185" i="172" s="1"/>
  <c r="BX135" i="172"/>
  <c r="BX131" i="172"/>
  <c r="CB480" i="172"/>
  <c r="CB135" i="172"/>
  <c r="CB131" i="172"/>
  <c r="BW131" i="172"/>
  <c r="CC131" i="172"/>
  <c r="BX133" i="172"/>
  <c r="BV135" i="172"/>
  <c r="CA135" i="172"/>
  <c r="BW197" i="172"/>
  <c r="BZ158" i="172"/>
  <c r="CD158" i="172" s="1"/>
  <c r="BX162" i="172"/>
  <c r="BX161" i="172" s="1"/>
  <c r="CA166" i="172"/>
  <c r="CA165" i="172" s="1"/>
  <c r="BW170" i="172"/>
  <c r="BW182" i="172"/>
  <c r="BW181" i="172" s="1"/>
  <c r="CB186" i="172"/>
  <c r="CD101" i="172"/>
  <c r="BV104" i="172"/>
  <c r="BX110" i="172"/>
  <c r="CD114" i="172"/>
  <c r="BV117" i="172"/>
  <c r="BX475" i="172"/>
  <c r="CB475" i="172"/>
  <c r="BX128" i="172"/>
  <c r="BV480" i="172"/>
  <c r="BV186" i="172"/>
  <c r="CD130" i="172"/>
  <c r="BV133" i="172"/>
  <c r="BY140" i="172"/>
  <c r="AY431" i="189" s="1"/>
  <c r="CC162" i="172"/>
  <c r="CC161" i="172" s="1"/>
  <c r="BX170" i="172"/>
  <c r="BZ186" i="172"/>
  <c r="CA215" i="172"/>
  <c r="CC216" i="172"/>
  <c r="CD140" i="172"/>
  <c r="CD197" i="172" s="1"/>
  <c r="BV162" i="172"/>
  <c r="BV161" i="172" s="1"/>
  <c r="BV516" i="172"/>
  <c r="BV517" i="172" s="1"/>
  <c r="BV515" i="172"/>
  <c r="CA516" i="172"/>
  <c r="CA515" i="172"/>
  <c r="BZ216" i="172"/>
  <c r="CD214" i="172"/>
  <c r="BZ215" i="172"/>
  <c r="CB216" i="172"/>
  <c r="BV182" i="172"/>
  <c r="BV181" i="172" s="1"/>
  <c r="BX216" i="172"/>
  <c r="CB215" i="172"/>
  <c r="BW216" i="172"/>
  <c r="BU516" i="172"/>
  <c r="BU517" i="172" s="1"/>
  <c r="BU515" i="172"/>
  <c r="BZ516" i="172"/>
  <c r="BZ515" i="172"/>
  <c r="BY214" i="172"/>
  <c r="BX516" i="172"/>
  <c r="BX515" i="172"/>
  <c r="CC516" i="172"/>
  <c r="CC515" i="172"/>
  <c r="EM41" i="8"/>
  <c r="ER63" i="8" s="1"/>
  <c r="EM14" i="8"/>
  <c r="EO31" i="8"/>
  <c r="EO36" i="8" s="1"/>
  <c r="EQ36" i="8"/>
  <c r="ER39" i="8"/>
  <c r="EN41" i="8"/>
  <c r="EO63" i="8" s="1"/>
  <c r="EP31" i="8"/>
  <c r="EP36" i="8" s="1"/>
  <c r="EP42" i="8" s="1"/>
  <c r="EO41" i="8"/>
  <c r="EP63" i="8" s="1"/>
  <c r="ER20" i="8"/>
  <c r="EI31" i="8"/>
  <c r="EI36" i="8" s="1"/>
  <c r="EI42" i="8" s="1"/>
  <c r="EM33" i="8"/>
  <c r="EK36" i="8"/>
  <c r="EK42" i="8" s="1"/>
  <c r="EM34" i="7"/>
  <c r="EP36" i="7"/>
  <c r="EL31" i="7"/>
  <c r="EM79" i="7"/>
  <c r="EM65" i="8" s="1"/>
  <c r="EQ92" i="7"/>
  <c r="ER92" i="7" s="1"/>
  <c r="EQ59" i="7"/>
  <c r="EN36" i="7"/>
  <c r="EQ50" i="7"/>
  <c r="EQ51" i="7" s="1"/>
  <c r="EI80" i="7"/>
  <c r="BG241" i="189" l="1"/>
  <c r="BG242" i="189" s="1"/>
  <c r="CD83" i="172"/>
  <c r="CD505" i="172"/>
  <c r="CH8" i="189"/>
  <c r="ER41" i="8"/>
  <c r="BW142" i="172"/>
  <c r="BW203" i="172" s="1"/>
  <c r="BF243" i="189"/>
  <c r="CH58" i="189"/>
  <c r="EI28" i="7"/>
  <c r="EK35" i="7"/>
  <c r="EL18" i="7"/>
  <c r="BX62" i="172" s="1"/>
  <c r="EQ25" i="7"/>
  <c r="BV40" i="172"/>
  <c r="EL10" i="7"/>
  <c r="EL25" i="7"/>
  <c r="EQ31" i="7"/>
  <c r="EL35" i="7"/>
  <c r="EL28" i="7"/>
  <c r="EQ18" i="7"/>
  <c r="CC62" i="172" s="1"/>
  <c r="CC63" i="172" s="1"/>
  <c r="EQ19" i="7" s="1"/>
  <c r="CC303" i="172" s="1"/>
  <c r="CH113" i="189"/>
  <c r="CH114" i="189" s="1"/>
  <c r="BX259" i="189"/>
  <c r="BW206" i="189"/>
  <c r="BW113" i="189"/>
  <c r="BV169" i="189"/>
  <c r="BV206" i="189"/>
  <c r="BV113" i="189"/>
  <c r="BX205" i="189"/>
  <c r="BX206" i="189" s="1"/>
  <c r="BX8" i="189"/>
  <c r="BS58" i="189"/>
  <c r="BX58" i="189"/>
  <c r="EI18" i="7"/>
  <c r="EI37" i="7" s="1"/>
  <c r="EI38" i="7" s="1"/>
  <c r="EN31" i="7"/>
  <c r="EM36" i="8"/>
  <c r="BF245" i="189"/>
  <c r="BF244" i="189"/>
  <c r="BF263" i="189"/>
  <c r="BF264" i="189" s="1"/>
  <c r="BW40" i="172"/>
  <c r="EJ18" i="7"/>
  <c r="EJ37" i="7" s="1"/>
  <c r="EJ53" i="7" s="1"/>
  <c r="EJ31" i="7"/>
  <c r="EM8" i="7"/>
  <c r="EP25" i="7"/>
  <c r="EQ35" i="7"/>
  <c r="EQ9" i="7"/>
  <c r="EQ28" i="7"/>
  <c r="AV253" i="189"/>
  <c r="BD185" i="189"/>
  <c r="CD245" i="189"/>
  <c r="AV252" i="189"/>
  <c r="AV314" i="189"/>
  <c r="EP31" i="7"/>
  <c r="BZ40" i="172"/>
  <c r="EP35" i="7"/>
  <c r="EJ25" i="7"/>
  <c r="BY21" i="172"/>
  <c r="EI35" i="7"/>
  <c r="EI31" i="7"/>
  <c r="EJ9" i="7"/>
  <c r="EP18" i="7"/>
  <c r="CB62" i="172" s="1"/>
  <c r="CB63" i="172" s="1"/>
  <c r="EP19" i="7" s="1"/>
  <c r="CB303" i="172" s="1"/>
  <c r="EK10" i="7"/>
  <c r="EI90" i="8"/>
  <c r="EJ28" i="7"/>
  <c r="EI25" i="7"/>
  <c r="EJ35" i="7"/>
  <c r="EQ10" i="7"/>
  <c r="EP28" i="7"/>
  <c r="CA39" i="172"/>
  <c r="BD135" i="189"/>
  <c r="AV136" i="189"/>
  <c r="BA137" i="189" s="1"/>
  <c r="BN113" i="189"/>
  <c r="BN114" i="189" s="1"/>
  <c r="EN9" i="7"/>
  <c r="EO10" i="7"/>
  <c r="EQ90" i="8"/>
  <c r="EV90" i="8" s="1"/>
  <c r="EN25" i="7"/>
  <c r="EN90" i="8"/>
  <c r="EN28" i="7"/>
  <c r="ES69" i="8"/>
  <c r="ES70" i="8" s="1"/>
  <c r="EO90" i="8"/>
  <c r="AZ135" i="189"/>
  <c r="AZ136" i="189"/>
  <c r="BE137" i="189" s="1"/>
  <c r="CA40" i="172"/>
  <c r="CD28" i="172"/>
  <c r="CD14" i="172"/>
  <c r="EP46" i="8"/>
  <c r="EP9" i="7"/>
  <c r="EI46" i="8"/>
  <c r="EI10" i="7"/>
  <c r="BB136" i="189"/>
  <c r="BG137" i="189" s="1"/>
  <c r="BB135" i="189"/>
  <c r="EO46" i="8"/>
  <c r="EO31" i="7"/>
  <c r="EO28" i="7"/>
  <c r="EO25" i="7"/>
  <c r="EO18" i="7"/>
  <c r="EO9" i="7"/>
  <c r="ER8" i="7"/>
  <c r="CB173" i="172"/>
  <c r="AW136" i="189"/>
  <c r="BB137" i="189" s="1"/>
  <c r="CD134" i="189"/>
  <c r="EJ46" i="8"/>
  <c r="EJ10" i="7"/>
  <c r="CC134" i="189"/>
  <c r="CC135" i="189" s="1"/>
  <c r="EL46" i="8"/>
  <c r="EL9" i="7"/>
  <c r="EP10" i="7"/>
  <c r="CD38" i="172"/>
  <c r="EK46" i="8"/>
  <c r="EK9" i="7"/>
  <c r="EK31" i="7"/>
  <c r="EK28" i="7"/>
  <c r="EK25" i="7"/>
  <c r="EK18" i="7"/>
  <c r="BA136" i="189"/>
  <c r="BF137" i="189" s="1"/>
  <c r="BA135" i="189"/>
  <c r="BC135" i="189"/>
  <c r="BC136" i="189"/>
  <c r="EN46" i="8"/>
  <c r="EN10" i="7"/>
  <c r="EN18" i="7"/>
  <c r="AX136" i="189"/>
  <c r="BC137" i="189" s="1"/>
  <c r="EM50" i="7"/>
  <c r="EM51" i="7" s="1"/>
  <c r="ER36" i="7"/>
  <c r="BY83" i="172"/>
  <c r="BY505" i="172"/>
  <c r="BY205" i="172"/>
  <c r="CB142" i="172"/>
  <c r="CB129" i="172" s="1"/>
  <c r="BY67" i="172"/>
  <c r="BY68" i="172" s="1"/>
  <c r="CA120" i="172"/>
  <c r="CC59" i="172"/>
  <c r="EL37" i="7"/>
  <c r="EL53" i="7" s="1"/>
  <c r="BU62" i="172"/>
  <c r="BW173" i="172"/>
  <c r="CD159" i="172"/>
  <c r="BY166" i="172"/>
  <c r="BY167" i="172" s="1"/>
  <c r="BV122" i="172"/>
  <c r="CD77" i="172"/>
  <c r="CD78" i="172" s="1"/>
  <c r="CD79" i="172" s="1"/>
  <c r="EL68" i="8"/>
  <c r="EL69" i="8" s="1"/>
  <c r="EL70" i="8" s="1"/>
  <c r="EJ68" i="8"/>
  <c r="EJ69" i="8" s="1"/>
  <c r="EJ70" i="8" s="1"/>
  <c r="EQ68" i="8"/>
  <c r="EQ69" i="8" s="1"/>
  <c r="EQ70" i="8" s="1"/>
  <c r="EP68" i="8"/>
  <c r="EP69" i="8" s="1"/>
  <c r="EP70" i="8" s="1"/>
  <c r="EN68" i="8"/>
  <c r="EN69" i="8" s="1"/>
  <c r="EN70" i="8" s="1"/>
  <c r="EO68" i="8"/>
  <c r="EO69" i="8" s="1"/>
  <c r="EO70" i="8" s="1"/>
  <c r="CD166" i="172"/>
  <c r="CD167" i="172" s="1"/>
  <c r="BS8" i="189"/>
  <c r="CD263" i="189"/>
  <c r="AQ385" i="189"/>
  <c r="AV55" i="189"/>
  <c r="AV7" i="189"/>
  <c r="BR114" i="189"/>
  <c r="BR115" i="189"/>
  <c r="BR34" i="189"/>
  <c r="BL184" i="189"/>
  <c r="BI184" i="189"/>
  <c r="BI185" i="189" s="1"/>
  <c r="BQ114" i="189"/>
  <c r="BQ115" i="189"/>
  <c r="BQ34" i="189"/>
  <c r="BS113" i="189"/>
  <c r="AW251" i="189"/>
  <c r="AW250" i="189"/>
  <c r="BC241" i="189"/>
  <c r="BD239" i="189"/>
  <c r="BB245" i="189"/>
  <c r="BB244" i="189"/>
  <c r="BB263" i="189"/>
  <c r="CF34" i="189"/>
  <c r="BD233" i="189"/>
  <c r="AX249" i="189"/>
  <c r="AX250" i="189" s="1"/>
  <c r="AX246" i="189"/>
  <c r="AY245" i="189"/>
  <c r="AY246" i="189" s="1"/>
  <c r="AZ271" i="189"/>
  <c r="AZ246" i="189"/>
  <c r="AZ249" i="189"/>
  <c r="AS55" i="189"/>
  <c r="AS56" i="189"/>
  <c r="AS7" i="189"/>
  <c r="AT7" i="189" s="1"/>
  <c r="AU315" i="189"/>
  <c r="AV316" i="189"/>
  <c r="AV315" i="189" s="1"/>
  <c r="AV188" i="189"/>
  <c r="AT314" i="189"/>
  <c r="AV384" i="189"/>
  <c r="CB7" i="189"/>
  <c r="BI34" i="189"/>
  <c r="BE241" i="189"/>
  <c r="BE243" i="189" s="1"/>
  <c r="AW187" i="189"/>
  <c r="AX186" i="189"/>
  <c r="AY244" i="189"/>
  <c r="AU314" i="189"/>
  <c r="AU253" i="189"/>
  <c r="AU252" i="189"/>
  <c r="AU54" i="189"/>
  <c r="AV56" i="189" s="1"/>
  <c r="CC251" i="189"/>
  <c r="CG8" i="189"/>
  <c r="BA246" i="189"/>
  <c r="BA271" i="189"/>
  <c r="BA249" i="189"/>
  <c r="BM114" i="189"/>
  <c r="BM115" i="189"/>
  <c r="BM34" i="189"/>
  <c r="CG34" i="189" s="1"/>
  <c r="BO115" i="189"/>
  <c r="BB242" i="189"/>
  <c r="CB51" i="189"/>
  <c r="CD215" i="172"/>
  <c r="BX173" i="172"/>
  <c r="BV202" i="172"/>
  <c r="BV185" i="172"/>
  <c r="CD470" i="172"/>
  <c r="CD115" i="172"/>
  <c r="BZ157" i="172"/>
  <c r="CA136" i="172"/>
  <c r="CA144" i="172"/>
  <c r="CA138" i="172"/>
  <c r="CA190" i="172"/>
  <c r="CB185" i="172"/>
  <c r="BX202" i="172"/>
  <c r="BY465" i="172"/>
  <c r="CD33" i="172"/>
  <c r="CA142" i="172"/>
  <c r="BZ174" i="172"/>
  <c r="BZ189" i="172" s="1"/>
  <c r="BZ120" i="172"/>
  <c r="CD119" i="172"/>
  <c r="BZ122" i="172"/>
  <c r="CD465" i="172"/>
  <c r="CD108" i="172"/>
  <c r="BW518" i="172"/>
  <c r="BW519" i="172" s="1"/>
  <c r="BW520" i="172" s="1"/>
  <c r="BW517" i="172"/>
  <c r="BZ181" i="172"/>
  <c r="BX169" i="172"/>
  <c r="BY45" i="172"/>
  <c r="BX40" i="172"/>
  <c r="BV174" i="172"/>
  <c r="BV189" i="172" s="1"/>
  <c r="BY28" i="172"/>
  <c r="BY460" i="172"/>
  <c r="BY455" i="172"/>
  <c r="BZ39" i="172"/>
  <c r="CA122" i="172"/>
  <c r="CC518" i="172"/>
  <c r="CC519" i="172" s="1"/>
  <c r="CC520" i="172" s="1"/>
  <c r="CC517" i="172"/>
  <c r="BZ517" i="172"/>
  <c r="BZ518" i="172"/>
  <c r="BZ519" i="172" s="1"/>
  <c r="BZ520" i="172" s="1"/>
  <c r="CA216" i="172"/>
  <c r="BV190" i="172"/>
  <c r="BV142" i="172"/>
  <c r="BW147" i="172" s="1"/>
  <c r="BV138" i="172"/>
  <c r="BW202" i="172"/>
  <c r="BW190" i="172"/>
  <c r="BW138" i="172"/>
  <c r="BW185" i="172"/>
  <c r="CD73" i="172"/>
  <c r="CD50" i="172"/>
  <c r="BU174" i="172"/>
  <c r="BU189" i="172" s="1"/>
  <c r="BY119" i="172"/>
  <c r="CD67" i="172"/>
  <c r="CD68" i="172" s="1"/>
  <c r="BY182" i="172"/>
  <c r="CC40" i="172"/>
  <c r="CC39" i="172"/>
  <c r="BU202" i="172"/>
  <c r="BW174" i="172"/>
  <c r="BW189" i="172" s="1"/>
  <c r="BW122" i="172"/>
  <c r="BY158" i="172"/>
  <c r="BY159" i="172" s="1"/>
  <c r="CA517" i="172"/>
  <c r="CA518" i="172"/>
  <c r="CA519" i="172" s="1"/>
  <c r="CA520" i="172" s="1"/>
  <c r="BW100" i="172"/>
  <c r="BW105" i="172"/>
  <c r="BW118" i="172"/>
  <c r="BU165" i="172"/>
  <c r="BY165" i="172" s="1"/>
  <c r="CD455" i="172"/>
  <c r="CD157" i="172"/>
  <c r="CD97" i="172"/>
  <c r="CB518" i="172"/>
  <c r="CB519" i="172" s="1"/>
  <c r="CB520" i="172" s="1"/>
  <c r="CB517" i="172"/>
  <c r="BZ173" i="172"/>
  <c r="BZ169" i="172"/>
  <c r="BY480" i="172"/>
  <c r="BY135" i="172"/>
  <c r="BW169" i="172"/>
  <c r="CD165" i="172"/>
  <c r="BV173" i="172"/>
  <c r="CC122" i="172"/>
  <c r="CC120" i="172"/>
  <c r="CB39" i="172"/>
  <c r="CB40" i="172"/>
  <c r="BY170" i="172"/>
  <c r="BY169" i="172" s="1"/>
  <c r="BU173" i="172"/>
  <c r="BY186" i="172"/>
  <c r="BY185" i="172" s="1"/>
  <c r="CD21" i="172"/>
  <c r="BY470" i="172"/>
  <c r="BY14" i="172"/>
  <c r="CB169" i="172"/>
  <c r="BX518" i="172"/>
  <c r="BX519" i="172" s="1"/>
  <c r="BX520" i="172" s="1"/>
  <c r="BX517" i="172"/>
  <c r="CD186" i="172"/>
  <c r="CD185" i="172" s="1"/>
  <c r="BZ202" i="172"/>
  <c r="BZ185" i="172"/>
  <c r="CD480" i="172"/>
  <c r="CD135" i="172"/>
  <c r="CD131" i="172"/>
  <c r="CD460" i="172"/>
  <c r="CD102" i="172"/>
  <c r="CB144" i="172"/>
  <c r="CB136" i="172"/>
  <c r="CB138" i="172"/>
  <c r="BX190" i="172"/>
  <c r="BX138" i="172"/>
  <c r="CD162" i="172"/>
  <c r="CD163" i="172" s="1"/>
  <c r="CD475" i="172"/>
  <c r="CD126" i="172"/>
  <c r="BX142" i="172"/>
  <c r="CC138" i="172"/>
  <c r="CC144" i="172"/>
  <c r="CC142" i="172"/>
  <c r="CC136" i="172"/>
  <c r="BZ190" i="172"/>
  <c r="BZ138" i="172"/>
  <c r="BZ136" i="172"/>
  <c r="BZ144" i="172"/>
  <c r="BZ142" i="172"/>
  <c r="BZ203" i="172" s="1"/>
  <c r="CB174" i="172"/>
  <c r="CB122" i="172"/>
  <c r="CB120" i="172"/>
  <c r="BX174" i="172"/>
  <c r="BX189" i="172" s="1"/>
  <c r="BX122" i="172"/>
  <c r="BY38" i="172"/>
  <c r="BY162" i="172"/>
  <c r="BY163" i="172" s="1"/>
  <c r="CB182" i="172"/>
  <c r="CB181" i="172" s="1"/>
  <c r="CC183" i="172"/>
  <c r="CC182" i="172" s="1"/>
  <c r="CC181" i="172" s="1"/>
  <c r="BU190" i="172"/>
  <c r="BU142" i="172"/>
  <c r="BU203" i="172" s="1"/>
  <c r="EN42" i="8"/>
  <c r="EQ42" i="8"/>
  <c r="ER42" i="8" s="1"/>
  <c r="ER36" i="8"/>
  <c r="EO42" i="8"/>
  <c r="ER50" i="7"/>
  <c r="ER51" i="7" s="1"/>
  <c r="EQ22" i="7"/>
  <c r="EQ37" i="7"/>
  <c r="CC61" i="172" l="1"/>
  <c r="CC58" i="172" s="1"/>
  <c r="BV62" i="172"/>
  <c r="BV61" i="172" s="1"/>
  <c r="BW129" i="172"/>
  <c r="BW201" i="172"/>
  <c r="BW111" i="172"/>
  <c r="BW134" i="172"/>
  <c r="BW149" i="172"/>
  <c r="CH34" i="189"/>
  <c r="BF265" i="189"/>
  <c r="BG243" i="189"/>
  <c r="FA90" i="8"/>
  <c r="BW169" i="189"/>
  <c r="BW170" i="189" s="1"/>
  <c r="BW175" i="189" s="1"/>
  <c r="BW176" i="189" s="1"/>
  <c r="BV115" i="189"/>
  <c r="BV114" i="189"/>
  <c r="BV34" i="189"/>
  <c r="BX113" i="189"/>
  <c r="BX114" i="189" s="1"/>
  <c r="BW114" i="189"/>
  <c r="BW34" i="189"/>
  <c r="BW115" i="189"/>
  <c r="CB105" i="172"/>
  <c r="ER35" i="7"/>
  <c r="EM25" i="7"/>
  <c r="ER31" i="7"/>
  <c r="ER18" i="7"/>
  <c r="ER28" i="7"/>
  <c r="ER25" i="7"/>
  <c r="EO16" i="7"/>
  <c r="BF271" i="189"/>
  <c r="BF249" i="189"/>
  <c r="BF246" i="189"/>
  <c r="EM35" i="7"/>
  <c r="CB59" i="172"/>
  <c r="EM28" i="7"/>
  <c r="ER9" i="7"/>
  <c r="CB143" i="172"/>
  <c r="CB147" i="172"/>
  <c r="EP22" i="7"/>
  <c r="CB118" i="172"/>
  <c r="CB100" i="172"/>
  <c r="CB145" i="172"/>
  <c r="CB111" i="172"/>
  <c r="EM31" i="7"/>
  <c r="EM18" i="7"/>
  <c r="CB134" i="172"/>
  <c r="CB149" i="172"/>
  <c r="CB150" i="172" s="1"/>
  <c r="AY249" i="189"/>
  <c r="AY248" i="189" s="1"/>
  <c r="AV318" i="189"/>
  <c r="CC54" i="189"/>
  <c r="CC55" i="189" s="1"/>
  <c r="CE241" i="189"/>
  <c r="CC316" i="189"/>
  <c r="EJ38" i="7"/>
  <c r="EP37" i="7"/>
  <c r="CB295" i="172" s="1"/>
  <c r="CB293" i="172" s="1"/>
  <c r="CB61" i="172"/>
  <c r="CB58" i="172" s="1"/>
  <c r="BS114" i="189"/>
  <c r="BH137" i="189"/>
  <c r="BZ62" i="172"/>
  <c r="EN37" i="7"/>
  <c r="EN39" i="7" s="1"/>
  <c r="CD135" i="189"/>
  <c r="BW62" i="172"/>
  <c r="BY62" i="172" s="1"/>
  <c r="BY63" i="172" s="1"/>
  <c r="EM19" i="7" s="1"/>
  <c r="EK37" i="7"/>
  <c r="EO22" i="7"/>
  <c r="EO37" i="7"/>
  <c r="CA62" i="172"/>
  <c r="EI53" i="7"/>
  <c r="EI52" i="8" s="1"/>
  <c r="EL44" i="7"/>
  <c r="BX84" i="172"/>
  <c r="BX85" i="172" s="1"/>
  <c r="BX206" i="172"/>
  <c r="BX207" i="172" s="1"/>
  <c r="BX295" i="172"/>
  <c r="BX293" i="172" s="1"/>
  <c r="EI44" i="7"/>
  <c r="BU295" i="172"/>
  <c r="BU84" i="172"/>
  <c r="BU85" i="172" s="1"/>
  <c r="BU206" i="172"/>
  <c r="BU207" i="172" s="1"/>
  <c r="EQ44" i="7"/>
  <c r="CC295" i="172"/>
  <c r="CC293" i="172" s="1"/>
  <c r="CC206" i="172"/>
  <c r="CC207" i="172" s="1"/>
  <c r="EJ44" i="7"/>
  <c r="BV295" i="172"/>
  <c r="BV293" i="172" s="1"/>
  <c r="BV206" i="172"/>
  <c r="BV84" i="172"/>
  <c r="BV85" i="172" s="1"/>
  <c r="BX61" i="172"/>
  <c r="BX63" i="172"/>
  <c r="EL19" i="7" s="1"/>
  <c r="BX303" i="172" s="1"/>
  <c r="BU63" i="172"/>
  <c r="EI19" i="7" s="1"/>
  <c r="BU303" i="172" s="1"/>
  <c r="BU61" i="172"/>
  <c r="EL38" i="7"/>
  <c r="BV63" i="172"/>
  <c r="EJ19" i="7" s="1"/>
  <c r="BV303" i="172" s="1"/>
  <c r="EL54" i="7"/>
  <c r="EL55" i="7" s="1"/>
  <c r="EL52" i="8"/>
  <c r="EJ54" i="7"/>
  <c r="EJ118" i="7" s="1"/>
  <c r="EJ52" i="8"/>
  <c r="CC190" i="172"/>
  <c r="CD271" i="189"/>
  <c r="CB81" i="189"/>
  <c r="AV385" i="189"/>
  <c r="BE233" i="189"/>
  <c r="BF233" i="189" s="1"/>
  <c r="BG233" i="189" s="1"/>
  <c r="AW314" i="189"/>
  <c r="AW252" i="189"/>
  <c r="AW253" i="189"/>
  <c r="AW54" i="189"/>
  <c r="BQ184" i="189"/>
  <c r="BN184" i="189"/>
  <c r="BN185" i="189" s="1"/>
  <c r="AZ186" i="189"/>
  <c r="AX187" i="189"/>
  <c r="AZ251" i="189"/>
  <c r="AZ250" i="189"/>
  <c r="BB271" i="189"/>
  <c r="BB249" i="189"/>
  <c r="BB246" i="189"/>
  <c r="AY250" i="189"/>
  <c r="CC193" i="189"/>
  <c r="CC267" i="189"/>
  <c r="BN34" i="189"/>
  <c r="BE244" i="189"/>
  <c r="BJ239" i="189"/>
  <c r="BE245" i="189"/>
  <c r="BE263" i="189"/>
  <c r="BE265" i="189" s="1"/>
  <c r="CB16" i="189"/>
  <c r="CB6" i="189"/>
  <c r="BC242" i="189"/>
  <c r="BD241" i="189"/>
  <c r="AX251" i="189"/>
  <c r="CC314" i="189"/>
  <c r="CC272" i="189"/>
  <c r="BA251" i="189"/>
  <c r="BA250" i="189"/>
  <c r="AW316" i="189"/>
  <c r="AW188" i="189"/>
  <c r="BS34" i="189"/>
  <c r="CC119" i="189"/>
  <c r="CC120" i="189" s="1"/>
  <c r="AU56" i="189"/>
  <c r="AU7" i="189"/>
  <c r="AU55" i="189"/>
  <c r="AY251" i="189"/>
  <c r="BE242" i="189"/>
  <c r="BC243" i="189"/>
  <c r="CC149" i="172"/>
  <c r="CC147" i="172"/>
  <c r="CC145" i="172"/>
  <c r="CC143" i="172"/>
  <c r="CC134" i="172"/>
  <c r="CC105" i="172"/>
  <c r="CC111" i="172"/>
  <c r="CC129" i="172"/>
  <c r="CC100" i="172"/>
  <c r="CC118" i="172"/>
  <c r="CD136" i="172"/>
  <c r="CD144" i="172"/>
  <c r="BY187" i="172"/>
  <c r="BY202" i="172"/>
  <c r="BY190" i="172"/>
  <c r="CD161" i="172"/>
  <c r="CD70" i="172"/>
  <c r="CD69" i="172"/>
  <c r="BY157" i="172"/>
  <c r="CD120" i="172"/>
  <c r="CB203" i="172"/>
  <c r="CB190" i="172"/>
  <c r="BY161" i="172"/>
  <c r="CD187" i="172"/>
  <c r="BY173" i="172"/>
  <c r="BY171" i="172"/>
  <c r="CA171" i="172" s="1"/>
  <c r="CA145" i="172"/>
  <c r="CA149" i="172"/>
  <c r="CA147" i="172"/>
  <c r="CA143" i="172"/>
  <c r="CA118" i="172"/>
  <c r="CA129" i="172"/>
  <c r="CA100" i="172"/>
  <c r="CA105" i="172"/>
  <c r="CA111" i="172"/>
  <c r="CA134" i="172"/>
  <c r="CB202" i="172"/>
  <c r="CB201" i="172" s="1"/>
  <c r="CD39" i="172"/>
  <c r="BZ201" i="172"/>
  <c r="BZ147" i="172"/>
  <c r="BZ145" i="172"/>
  <c r="BZ143" i="172"/>
  <c r="CD142" i="172"/>
  <c r="BZ111" i="172"/>
  <c r="BZ149" i="172"/>
  <c r="BZ100" i="172"/>
  <c r="BZ129" i="172"/>
  <c r="BZ118" i="172"/>
  <c r="BZ105" i="172"/>
  <c r="BZ134" i="172"/>
  <c r="BX201" i="172"/>
  <c r="BX149" i="172"/>
  <c r="BX147" i="172"/>
  <c r="BX134" i="172"/>
  <c r="BX105" i="172"/>
  <c r="BX100" i="172"/>
  <c r="BX129" i="172"/>
  <c r="BX111" i="172"/>
  <c r="BX118" i="172"/>
  <c r="BU201" i="172"/>
  <c r="BU149" i="172"/>
  <c r="BY142" i="172"/>
  <c r="BU134" i="172"/>
  <c r="BU111" i="172"/>
  <c r="BU118" i="172"/>
  <c r="BU129" i="172"/>
  <c r="BU100" i="172"/>
  <c r="BU105" i="172"/>
  <c r="BY183" i="172"/>
  <c r="BY181" i="172"/>
  <c r="BY174" i="172"/>
  <c r="BY189" i="172" s="1"/>
  <c r="CD74" i="172"/>
  <c r="BV149" i="172"/>
  <c r="BW151" i="172" s="1"/>
  <c r="BV147" i="172"/>
  <c r="BV111" i="172"/>
  <c r="BV201" i="172"/>
  <c r="BV100" i="172"/>
  <c r="BV129" i="172"/>
  <c r="BV118" i="172"/>
  <c r="BV105" i="172"/>
  <c r="BV134" i="172"/>
  <c r="BY69" i="172"/>
  <c r="CD182" i="172"/>
  <c r="BX203" i="172"/>
  <c r="CB189" i="172"/>
  <c r="BV203" i="172"/>
  <c r="EQ38" i="7"/>
  <c r="EQ42" i="7"/>
  <c r="EQ53" i="7"/>
  <c r="EQ39" i="7"/>
  <c r="BG245" i="189" l="1"/>
  <c r="BG244" i="189"/>
  <c r="BG263" i="189"/>
  <c r="BG264" i="189" s="1"/>
  <c r="BG265" i="189"/>
  <c r="BS184" i="189"/>
  <c r="BV184" i="189"/>
  <c r="BX184" i="189" s="1"/>
  <c r="BX185" i="189" s="1"/>
  <c r="BX34" i="189"/>
  <c r="ER22" i="7"/>
  <c r="ER37" i="7"/>
  <c r="CD206" i="172" s="1"/>
  <c r="CD207" i="172" s="1"/>
  <c r="ER48" i="8"/>
  <c r="BF250" i="189"/>
  <c r="CB151" i="172"/>
  <c r="EP42" i="7"/>
  <c r="EM48" i="8"/>
  <c r="EM37" i="7"/>
  <c r="EP44" i="7"/>
  <c r="EP38" i="7"/>
  <c r="CB206" i="172"/>
  <c r="CB207" i="172" s="1"/>
  <c r="EP53" i="7"/>
  <c r="EP54" i="7" s="1"/>
  <c r="EP119" i="7" s="1"/>
  <c r="CD251" i="189"/>
  <c r="EL119" i="7"/>
  <c r="CA295" i="172"/>
  <c r="CA293" i="172" s="1"/>
  <c r="CA294" i="172" s="1"/>
  <c r="EO53" i="7"/>
  <c r="EO42" i="7"/>
  <c r="EO44" i="7"/>
  <c r="EO45" i="7" s="1"/>
  <c r="CA206" i="172"/>
  <c r="CA207" i="172" s="1"/>
  <c r="EO38" i="7"/>
  <c r="EO39" i="7"/>
  <c r="EK53" i="7"/>
  <c r="BW84" i="172"/>
  <c r="BW85" i="172" s="1"/>
  <c r="BW206" i="172"/>
  <c r="BW207" i="172" s="1"/>
  <c r="EK44" i="7"/>
  <c r="BW295" i="172"/>
  <c r="BW293" i="172" s="1"/>
  <c r="CB294" i="172" s="1"/>
  <c r="EK38" i="7"/>
  <c r="EN38" i="7"/>
  <c r="EN44" i="7"/>
  <c r="EN45" i="7" s="1"/>
  <c r="EN53" i="7"/>
  <c r="BZ295" i="172"/>
  <c r="BZ206" i="172"/>
  <c r="BZ207" i="172" s="1"/>
  <c r="EP39" i="7"/>
  <c r="CA59" i="172"/>
  <c r="CA63" i="172"/>
  <c r="EO19" i="7" s="1"/>
  <c r="CA303" i="172" s="1"/>
  <c r="CA61" i="172"/>
  <c r="CA58" i="172" s="1"/>
  <c r="BW61" i="172"/>
  <c r="BY61" i="172" s="1"/>
  <c r="BW63" i="172"/>
  <c r="EK19" i="7" s="1"/>
  <c r="BW303" i="172" s="1"/>
  <c r="BZ63" i="172"/>
  <c r="EN19" i="7" s="1"/>
  <c r="BZ303" i="172" s="1"/>
  <c r="CD62" i="172"/>
  <c r="CD63" i="172" s="1"/>
  <c r="ER19" i="7" s="1"/>
  <c r="BZ59" i="172"/>
  <c r="BZ61" i="172"/>
  <c r="BV207" i="172"/>
  <c r="EJ183" i="7"/>
  <c r="CC294" i="172"/>
  <c r="EQ45" i="7"/>
  <c r="EJ119" i="7"/>
  <c r="EI54" i="7"/>
  <c r="EI119" i="7" s="1"/>
  <c r="BY303" i="172"/>
  <c r="EJ55" i="7"/>
  <c r="EJ66" i="7" s="1"/>
  <c r="BU293" i="172"/>
  <c r="BY295" i="172"/>
  <c r="BY293" i="172" s="1"/>
  <c r="EL66" i="7"/>
  <c r="EL118" i="7"/>
  <c r="EL183" i="7"/>
  <c r="EQ54" i="7"/>
  <c r="EQ55" i="7" s="1"/>
  <c r="EQ52" i="8"/>
  <c r="BA272" i="189"/>
  <c r="BA252" i="189"/>
  <c r="BA253" i="189"/>
  <c r="BA54" i="189"/>
  <c r="BA51" i="189" s="1"/>
  <c r="BA267" i="189"/>
  <c r="BD242" i="189"/>
  <c r="BD240" i="189"/>
  <c r="BE246" i="189"/>
  <c r="BE271" i="189"/>
  <c r="BE249" i="189"/>
  <c r="BB251" i="189"/>
  <c r="BB250" i="189"/>
  <c r="BS185" i="189"/>
  <c r="BC245" i="189"/>
  <c r="BC244" i="189"/>
  <c r="BH239" i="189"/>
  <c r="BC263" i="189"/>
  <c r="BD243" i="189"/>
  <c r="CE243" i="189"/>
  <c r="AX316" i="189"/>
  <c r="CD316" i="189" s="1"/>
  <c r="AX188" i="189"/>
  <c r="BK239" i="189"/>
  <c r="AY252" i="189"/>
  <c r="CC7" i="189"/>
  <c r="AY187" i="189"/>
  <c r="AW315" i="189"/>
  <c r="CC39" i="189"/>
  <c r="AZ187" i="189"/>
  <c r="BA186" i="189"/>
  <c r="AW55" i="189"/>
  <c r="AW56" i="189"/>
  <c r="AW7" i="189"/>
  <c r="BJ241" i="189"/>
  <c r="BJ243" i="189" s="1"/>
  <c r="CC81" i="189"/>
  <c r="AX314" i="189"/>
  <c r="CD314" i="189" s="1"/>
  <c r="AX253" i="189"/>
  <c r="AX252" i="189"/>
  <c r="AX54" i="189"/>
  <c r="BE264" i="189"/>
  <c r="CC51" i="189"/>
  <c r="CC52" i="189" s="1"/>
  <c r="AZ272" i="189"/>
  <c r="AZ252" i="189"/>
  <c r="AZ253" i="189"/>
  <c r="AZ54" i="189"/>
  <c r="AZ51" i="189" s="1"/>
  <c r="AZ267" i="189"/>
  <c r="CD183" i="172"/>
  <c r="CD181" i="172"/>
  <c r="BY201" i="172"/>
  <c r="BY129" i="172"/>
  <c r="BY100" i="172"/>
  <c r="BY111" i="172"/>
  <c r="BY118" i="172"/>
  <c r="BY105" i="172"/>
  <c r="BY134" i="172"/>
  <c r="BY149" i="172"/>
  <c r="CA170" i="172"/>
  <c r="CC171" i="172"/>
  <c r="CC170" i="172" s="1"/>
  <c r="BY203" i="172"/>
  <c r="BV151" i="172"/>
  <c r="CD145" i="172"/>
  <c r="CD143" i="172"/>
  <c r="CD105" i="172"/>
  <c r="CD118" i="172"/>
  <c r="CD111" i="172"/>
  <c r="CD134" i="172"/>
  <c r="CD100" i="172"/>
  <c r="CD129" i="172"/>
  <c r="CD190" i="172"/>
  <c r="BX151" i="172"/>
  <c r="BZ151" i="172"/>
  <c r="BZ150" i="172"/>
  <c r="CD149" i="172"/>
  <c r="CA150" i="172"/>
  <c r="CA151" i="172"/>
  <c r="CC151" i="172"/>
  <c r="CC150" i="172"/>
  <c r="ER53" i="7"/>
  <c r="EL61" i="7"/>
  <c r="EL62" i="7" s="1"/>
  <c r="EL63" i="7" s="1"/>
  <c r="BG246" i="189" l="1"/>
  <c r="BG249" i="189"/>
  <c r="BG271" i="189"/>
  <c r="ER39" i="7"/>
  <c r="ER38" i="7"/>
  <c r="ER42" i="7"/>
  <c r="CD84" i="172"/>
  <c r="CD85" i="172" s="1"/>
  <c r="CD303" i="172"/>
  <c r="EP52" i="8"/>
  <c r="BY206" i="172"/>
  <c r="BY207" i="172" s="1"/>
  <c r="EM38" i="7"/>
  <c r="EM53" i="7"/>
  <c r="BY84" i="172"/>
  <c r="BY85" i="172" s="1"/>
  <c r="EP45" i="7"/>
  <c r="CD272" i="189"/>
  <c r="CD54" i="189"/>
  <c r="CD55" i="189" s="1"/>
  <c r="EO54" i="7"/>
  <c r="EO52" i="8"/>
  <c r="EN54" i="7"/>
  <c r="EN52" i="8"/>
  <c r="EK54" i="7"/>
  <c r="EK52" i="8"/>
  <c r="CD61" i="172"/>
  <c r="BZ58" i="172"/>
  <c r="CD295" i="172"/>
  <c r="CD293" i="172" s="1"/>
  <c r="CD298" i="172" s="1"/>
  <c r="BZ293" i="172"/>
  <c r="BZ294" i="172" s="1"/>
  <c r="EP118" i="7"/>
  <c r="EQ119" i="7"/>
  <c r="EI118" i="7"/>
  <c r="EI55" i="7"/>
  <c r="EI183" i="7"/>
  <c r="EJ61" i="7"/>
  <c r="EJ62" i="7" s="1"/>
  <c r="EJ63" i="7" s="1"/>
  <c r="EQ118" i="7"/>
  <c r="EQ183" i="7"/>
  <c r="EP183" i="7"/>
  <c r="EP55" i="7"/>
  <c r="EP66" i="7" s="1"/>
  <c r="EL120" i="7"/>
  <c r="EL67" i="7"/>
  <c r="EL68" i="7" s="1"/>
  <c r="EQ66" i="7"/>
  <c r="EJ120" i="7"/>
  <c r="EJ67" i="7"/>
  <c r="EJ68" i="7" s="1"/>
  <c r="AZ56" i="189"/>
  <c r="AZ55" i="189"/>
  <c r="AZ7" i="189"/>
  <c r="BD244" i="189"/>
  <c r="BC271" i="189"/>
  <c r="BC249" i="189"/>
  <c r="BE251" i="189" s="1"/>
  <c r="BC246" i="189"/>
  <c r="BD245" i="189"/>
  <c r="BD246" i="189" s="1"/>
  <c r="CE245" i="189"/>
  <c r="CD193" i="189"/>
  <c r="CD267" i="189"/>
  <c r="AZ188" i="189"/>
  <c r="BA56" i="189"/>
  <c r="BA55" i="189"/>
  <c r="BA7" i="189"/>
  <c r="BA6" i="189" s="1"/>
  <c r="BA16" i="189" s="1"/>
  <c r="AY188" i="189"/>
  <c r="AY186" i="189"/>
  <c r="BL239" i="189"/>
  <c r="AY314" i="189"/>
  <c r="BJ242" i="189"/>
  <c r="BD263" i="189"/>
  <c r="BD257" i="189" s="1"/>
  <c r="CE263" i="189"/>
  <c r="BE250" i="189"/>
  <c r="AX55" i="189"/>
  <c r="AX7" i="189"/>
  <c r="AX56" i="189"/>
  <c r="AY54" i="189"/>
  <c r="AY55" i="189" s="1"/>
  <c r="BJ245" i="189"/>
  <c r="BO239" i="189"/>
  <c r="BJ244" i="189"/>
  <c r="BJ263" i="189"/>
  <c r="CD119" i="189"/>
  <c r="CD120" i="189" s="1"/>
  <c r="BA187" i="189"/>
  <c r="BF188" i="189" s="1"/>
  <c r="BB186" i="189"/>
  <c r="CC16" i="189"/>
  <c r="CC6" i="189"/>
  <c r="BK241" i="189"/>
  <c r="BK242" i="189" s="1"/>
  <c r="AX315" i="189"/>
  <c r="CD315" i="189" s="1"/>
  <c r="AY316" i="189"/>
  <c r="BH241" i="189"/>
  <c r="BI239" i="189"/>
  <c r="BB272" i="189"/>
  <c r="BB253" i="189"/>
  <c r="BB252" i="189"/>
  <c r="BB54" i="189"/>
  <c r="BB51" i="189" s="1"/>
  <c r="BB267" i="189"/>
  <c r="CC36" i="189"/>
  <c r="CD150" i="172"/>
  <c r="CC173" i="172"/>
  <c r="CC169" i="172"/>
  <c r="CC203" i="172"/>
  <c r="CC202" i="172"/>
  <c r="CC201" i="172" s="1"/>
  <c r="CC174" i="172"/>
  <c r="CC189" i="172" s="1"/>
  <c r="CA173" i="172"/>
  <c r="CA174" i="172"/>
  <c r="CA189" i="172" s="1"/>
  <c r="CA169" i="172"/>
  <c r="CA203" i="172"/>
  <c r="CD170" i="172"/>
  <c r="CA202" i="172"/>
  <c r="CA201" i="172" s="1"/>
  <c r="EQ61" i="7"/>
  <c r="EQ62" i="7" s="1"/>
  <c r="EQ63" i="7" s="1"/>
  <c r="BG251" i="189" l="1"/>
  <c r="BG250" i="189"/>
  <c r="BF251" i="189"/>
  <c r="CD86" i="172"/>
  <c r="ER54" i="7"/>
  <c r="BK243" i="189"/>
  <c r="BK244" i="189" s="1"/>
  <c r="CD294" i="172"/>
  <c r="EN118" i="7"/>
  <c r="EN183" i="7"/>
  <c r="EN55" i="7"/>
  <c r="EN119" i="7"/>
  <c r="EK118" i="7"/>
  <c r="EK183" i="7"/>
  <c r="EK119" i="7"/>
  <c r="EK55" i="7"/>
  <c r="EM54" i="7"/>
  <c r="EO119" i="7"/>
  <c r="EO118" i="7"/>
  <c r="EO183" i="7"/>
  <c r="EO55" i="7"/>
  <c r="ER55" i="7"/>
  <c r="ER61" i="7" s="1"/>
  <c r="EP61" i="7"/>
  <c r="EP62" i="7" s="1"/>
  <c r="EP63" i="7" s="1"/>
  <c r="EI61" i="7"/>
  <c r="EI62" i="7" s="1"/>
  <c r="EI63" i="7" s="1"/>
  <c r="EI66" i="7"/>
  <c r="EP120" i="7"/>
  <c r="EP67" i="7"/>
  <c r="EP68" i="7" s="1"/>
  <c r="EQ120" i="7"/>
  <c r="EQ67" i="7"/>
  <c r="EQ68" i="7" s="1"/>
  <c r="EQ69" i="7" s="1"/>
  <c r="BA188" i="189"/>
  <c r="CD187" i="189"/>
  <c r="BJ264" i="189"/>
  <c r="BJ265" i="189"/>
  <c r="AY7" i="189"/>
  <c r="AX318" i="189"/>
  <c r="BA53" i="189"/>
  <c r="BA81" i="189"/>
  <c r="AY315" i="189"/>
  <c r="BD271" i="189"/>
  <c r="CE271" i="189"/>
  <c r="BH242" i="189"/>
  <c r="BI241" i="189"/>
  <c r="CF241" i="189"/>
  <c r="BK245" i="189"/>
  <c r="CD51" i="189"/>
  <c r="CD52" i="189" s="1"/>
  <c r="BO241" i="189"/>
  <c r="BO243" i="189" s="1"/>
  <c r="BT239" i="189" s="1"/>
  <c r="BL241" i="189"/>
  <c r="BL243" i="189" s="1"/>
  <c r="AZ6" i="189"/>
  <c r="BH233" i="189"/>
  <c r="BB55" i="189"/>
  <c r="BB56" i="189"/>
  <c r="BB7" i="189"/>
  <c r="BH243" i="189"/>
  <c r="BC186" i="189"/>
  <c r="BE186" i="189" s="1"/>
  <c r="BE187" i="189" s="1"/>
  <c r="BB187" i="189"/>
  <c r="BG188" i="189" s="1"/>
  <c r="BJ271" i="189"/>
  <c r="BJ249" i="189"/>
  <c r="BJ246" i="189"/>
  <c r="BE272" i="189"/>
  <c r="BE252" i="189"/>
  <c r="BE253" i="189"/>
  <c r="BE54" i="189"/>
  <c r="BE7" i="189" s="1"/>
  <c r="BE267" i="189"/>
  <c r="BE269" i="189" s="1"/>
  <c r="CD7" i="189"/>
  <c r="BC250" i="189"/>
  <c r="BD249" i="189"/>
  <c r="BC251" i="189"/>
  <c r="CD173" i="172"/>
  <c r="CD171" i="172"/>
  <c r="CD169" i="172"/>
  <c r="CD174" i="172"/>
  <c r="CD189" i="172" s="1"/>
  <c r="CD203" i="172"/>
  <c r="CD202" i="172"/>
  <c r="CD201" i="172" s="1"/>
  <c r="BG272" i="189" l="1"/>
  <c r="BG267" i="189"/>
  <c r="BG268" i="189" s="1"/>
  <c r="BG54" i="189"/>
  <c r="BG252" i="189"/>
  <c r="BG253" i="189"/>
  <c r="BG269" i="189"/>
  <c r="BT241" i="189"/>
  <c r="BT243" i="189" s="1"/>
  <c r="BF272" i="189"/>
  <c r="BF267" i="189"/>
  <c r="BF268" i="189" s="1"/>
  <c r="BF253" i="189"/>
  <c r="BF252" i="189"/>
  <c r="BF54" i="189"/>
  <c r="BF269" i="189"/>
  <c r="BK263" i="189"/>
  <c r="BK264" i="189" s="1"/>
  <c r="BP239" i="189"/>
  <c r="BP241" i="189" s="1"/>
  <c r="BP242" i="189" s="1"/>
  <c r="ER118" i="7"/>
  <c r="ER56" i="7"/>
  <c r="ER62" i="7" s="1"/>
  <c r="ER119" i="7"/>
  <c r="ER183" i="7"/>
  <c r="BE6" i="189"/>
  <c r="BE188" i="189"/>
  <c r="EK66" i="7"/>
  <c r="EK61" i="7"/>
  <c r="EK62" i="7" s="1"/>
  <c r="EK63" i="7" s="1"/>
  <c r="EP64" i="7" s="1"/>
  <c r="EN61" i="7"/>
  <c r="EN62" i="7" s="1"/>
  <c r="EN63" i="7" s="1"/>
  <c r="EN64" i="7" s="1"/>
  <c r="EN66" i="7"/>
  <c r="EO66" i="7"/>
  <c r="EO61" i="7"/>
  <c r="EO62" i="7" s="1"/>
  <c r="EO63" i="7" s="1"/>
  <c r="EO64" i="7" s="1"/>
  <c r="EM118" i="7"/>
  <c r="EM119" i="7"/>
  <c r="EM183" i="7"/>
  <c r="EM56" i="7"/>
  <c r="EM55" i="7"/>
  <c r="EI120" i="7"/>
  <c r="EI67" i="7"/>
  <c r="EI68" i="7" s="1"/>
  <c r="BO245" i="189"/>
  <c r="BO244" i="189"/>
  <c r="BO263" i="189"/>
  <c r="BL244" i="189"/>
  <c r="BL245" i="189"/>
  <c r="BQ239" i="189"/>
  <c r="BL263" i="189"/>
  <c r="BI233" i="189"/>
  <c r="BD248" i="189"/>
  <c r="BD250" i="189"/>
  <c r="BE268" i="189"/>
  <c r="BB188" i="189"/>
  <c r="BB6" i="189"/>
  <c r="BJ250" i="189"/>
  <c r="BO242" i="189"/>
  <c r="BH244" i="189"/>
  <c r="BH245" i="189"/>
  <c r="BM239" i="189"/>
  <c r="BH263" i="189"/>
  <c r="BH265" i="189" s="1"/>
  <c r="BI243" i="189"/>
  <c r="CF243" i="189"/>
  <c r="BI242" i="189"/>
  <c r="BI240" i="189"/>
  <c r="CD6" i="189"/>
  <c r="CD36" i="189"/>
  <c r="BE55" i="189"/>
  <c r="BE51" i="189"/>
  <c r="BC187" i="189"/>
  <c r="BL242" i="189"/>
  <c r="BC253" i="189"/>
  <c r="BC272" i="189"/>
  <c r="BC252" i="189"/>
  <c r="BC54" i="189"/>
  <c r="BC51" i="189" s="1"/>
  <c r="BC267" i="189"/>
  <c r="BD251" i="189"/>
  <c r="CE251" i="189"/>
  <c r="BB53" i="189"/>
  <c r="BB81" i="189"/>
  <c r="BK271" i="189"/>
  <c r="BK249" i="189"/>
  <c r="BK246" i="189"/>
  <c r="BG55" i="189" l="1"/>
  <c r="BG51" i="189"/>
  <c r="BG56" i="189"/>
  <c r="BG7" i="189"/>
  <c r="BG6" i="189" s="1"/>
  <c r="BG16" i="189" s="1"/>
  <c r="CF16" i="189" s="1"/>
  <c r="BT244" i="189"/>
  <c r="BT245" i="189"/>
  <c r="BT263" i="189"/>
  <c r="BT242" i="189"/>
  <c r="ER79" i="7"/>
  <c r="ER65" i="8" s="1"/>
  <c r="BF55" i="189"/>
  <c r="BF7" i="189"/>
  <c r="BF6" i="189" s="1"/>
  <c r="BF16" i="189" s="1"/>
  <c r="BF51" i="189"/>
  <c r="BF56" i="189"/>
  <c r="ER57" i="7"/>
  <c r="BK265" i="189"/>
  <c r="EN67" i="7"/>
  <c r="EN68" i="7" s="1"/>
  <c r="EN69" i="7" s="1"/>
  <c r="EN120" i="7"/>
  <c r="EO67" i="7"/>
  <c r="EO68" i="7" s="1"/>
  <c r="EO69" i="7" s="1"/>
  <c r="EO120" i="7"/>
  <c r="EM61" i="7"/>
  <c r="EM62" i="7" s="1"/>
  <c r="EK120" i="7"/>
  <c r="EK67" i="7"/>
  <c r="EK68" i="7" s="1"/>
  <c r="EP69" i="7" s="1"/>
  <c r="CE267" i="189"/>
  <c r="BD267" i="189"/>
  <c r="BE52" i="189"/>
  <c r="BI244" i="189"/>
  <c r="BP243" i="189"/>
  <c r="BU239" i="189" s="1"/>
  <c r="BH264" i="189"/>
  <c r="BI263" i="189"/>
  <c r="BI265" i="189" s="1"/>
  <c r="CF263" i="189"/>
  <c r="BL264" i="189"/>
  <c r="BM241" i="189"/>
  <c r="BM243" i="189" s="1"/>
  <c r="BN239" i="189"/>
  <c r="BB16" i="189"/>
  <c r="BJ233" i="189"/>
  <c r="BQ241" i="189"/>
  <c r="BL265" i="189"/>
  <c r="BO271" i="189"/>
  <c r="BO249" i="189"/>
  <c r="BO246" i="189"/>
  <c r="BK250" i="189"/>
  <c r="BC56" i="189"/>
  <c r="BC7" i="189"/>
  <c r="BC55" i="189"/>
  <c r="BD54" i="189"/>
  <c r="BD55" i="189" s="1"/>
  <c r="CE54" i="189"/>
  <c r="CE55" i="189" s="1"/>
  <c r="BC188" i="189"/>
  <c r="BC178" i="189"/>
  <c r="BD187" i="189"/>
  <c r="BD252" i="189"/>
  <c r="BD272" i="189"/>
  <c r="CE272" i="189"/>
  <c r="BE56" i="189"/>
  <c r="BH271" i="189"/>
  <c r="BH246" i="189"/>
  <c r="BH249" i="189"/>
  <c r="BK251" i="189" s="1"/>
  <c r="BI245" i="189"/>
  <c r="BI246" i="189" s="1"/>
  <c r="CF245" i="189"/>
  <c r="BL271" i="189"/>
  <c r="BL246" i="189"/>
  <c r="BL249" i="189"/>
  <c r="BO264" i="189"/>
  <c r="BO265" i="189"/>
  <c r="BG53" i="189" l="1"/>
  <c r="BG52" i="189"/>
  <c r="BG81" i="189"/>
  <c r="BQ242" i="189"/>
  <c r="BT265" i="189"/>
  <c r="BT264" i="189"/>
  <c r="BU241" i="189"/>
  <c r="BU243" i="189"/>
  <c r="BT249" i="189"/>
  <c r="BT246" i="189"/>
  <c r="BT271" i="189"/>
  <c r="BF52" i="189"/>
  <c r="BF53" i="189"/>
  <c r="BF81" i="189"/>
  <c r="BK272" i="189"/>
  <c r="BK253" i="189"/>
  <c r="BK252" i="189"/>
  <c r="BK54" i="189"/>
  <c r="BK267" i="189"/>
  <c r="BK268" i="189" s="1"/>
  <c r="BM244" i="189"/>
  <c r="BM245" i="189"/>
  <c r="BR239" i="189"/>
  <c r="BM263" i="189"/>
  <c r="CG243" i="189"/>
  <c r="BN243" i="189"/>
  <c r="BC181" i="189"/>
  <c r="BH178" i="189"/>
  <c r="BC179" i="189"/>
  <c r="BC53" i="189"/>
  <c r="BC81" i="189"/>
  <c r="BD51" i="189"/>
  <c r="CE51" i="189"/>
  <c r="CE52" i="189" s="1"/>
  <c r="BO250" i="189"/>
  <c r="BD188" i="189"/>
  <c r="BD186" i="189"/>
  <c r="BQ243" i="189"/>
  <c r="BM242" i="189"/>
  <c r="BN241" i="189"/>
  <c r="CG241" i="189"/>
  <c r="CE187" i="189"/>
  <c r="BP244" i="189"/>
  <c r="BP245" i="189"/>
  <c r="BP263" i="189"/>
  <c r="BP265" i="189" s="1"/>
  <c r="CF271" i="189"/>
  <c r="BI271" i="189"/>
  <c r="BL251" i="189"/>
  <c r="BL250" i="189"/>
  <c r="BH250" i="189"/>
  <c r="BJ251" i="189"/>
  <c r="BH251" i="189"/>
  <c r="BI249" i="189"/>
  <c r="BC6" i="189"/>
  <c r="BD7" i="189"/>
  <c r="CE7" i="189"/>
  <c r="BK233" i="189"/>
  <c r="BI264" i="189"/>
  <c r="BI257" i="189"/>
  <c r="BE53" i="189"/>
  <c r="BV239" i="189" l="1"/>
  <c r="BU245" i="189"/>
  <c r="BU244" i="189"/>
  <c r="BU263" i="189"/>
  <c r="BT250" i="189"/>
  <c r="BU242" i="189"/>
  <c r="BI248" i="189"/>
  <c r="BI250" i="189"/>
  <c r="BP271" i="189"/>
  <c r="BP246" i="189"/>
  <c r="BP249" i="189"/>
  <c r="BH186" i="189"/>
  <c r="BM264" i="189"/>
  <c r="BN263" i="189"/>
  <c r="BN265" i="189" s="1"/>
  <c r="CG263" i="189"/>
  <c r="BM265" i="189"/>
  <c r="BR241" i="189"/>
  <c r="BS239" i="189"/>
  <c r="BJ272" i="189"/>
  <c r="BJ253" i="189"/>
  <c r="BJ252" i="189"/>
  <c r="BJ54" i="189"/>
  <c r="BK56" i="189" s="1"/>
  <c r="BJ267" i="189"/>
  <c r="BJ269" i="189" s="1"/>
  <c r="BN242" i="189"/>
  <c r="BN240" i="189"/>
  <c r="BM178" i="189"/>
  <c r="BH181" i="189"/>
  <c r="BH182" i="189" s="1"/>
  <c r="BN244" i="189"/>
  <c r="BM271" i="189"/>
  <c r="BM246" i="189"/>
  <c r="BM249" i="189"/>
  <c r="CG245" i="189"/>
  <c r="BN245" i="189"/>
  <c r="BN246" i="189" s="1"/>
  <c r="BH272" i="189"/>
  <c r="BH253" i="189"/>
  <c r="BH252" i="189"/>
  <c r="BH54" i="189"/>
  <c r="BH267" i="189"/>
  <c r="CF251" i="189"/>
  <c r="BI251" i="189"/>
  <c r="BL233" i="189"/>
  <c r="BC16" i="189"/>
  <c r="BD6" i="189"/>
  <c r="CE6" i="189"/>
  <c r="BL272" i="189"/>
  <c r="BL253" i="189"/>
  <c r="BL252" i="189"/>
  <c r="BL54" i="189"/>
  <c r="BL267" i="189"/>
  <c r="BP264" i="189"/>
  <c r="BQ244" i="189"/>
  <c r="BQ245" i="189"/>
  <c r="BQ263" i="189"/>
  <c r="BK7" i="189"/>
  <c r="BK6" i="189" s="1"/>
  <c r="BK17" i="189" s="1"/>
  <c r="CK10" i="172" s="1"/>
  <c r="BK55" i="189"/>
  <c r="BK51" i="189"/>
  <c r="BK269" i="189"/>
  <c r="BR243" i="189" l="1"/>
  <c r="BR263" i="189" s="1"/>
  <c r="BR264" i="189" s="1"/>
  <c r="CH241" i="189"/>
  <c r="BQ264" i="189"/>
  <c r="BU271" i="189"/>
  <c r="BU249" i="189"/>
  <c r="BU246" i="189"/>
  <c r="BU264" i="189"/>
  <c r="BU265" i="189"/>
  <c r="BV241" i="189"/>
  <c r="BV243" i="189" s="1"/>
  <c r="CG271" i="189"/>
  <c r="BN271" i="189"/>
  <c r="BK52" i="189"/>
  <c r="BK82" i="189"/>
  <c r="BQ265" i="189"/>
  <c r="BH55" i="189"/>
  <c r="BH51" i="189"/>
  <c r="BH7" i="189"/>
  <c r="BH56" i="189"/>
  <c r="BI54" i="189"/>
  <c r="BI55" i="189" s="1"/>
  <c r="CF54" i="189"/>
  <c r="CF55" i="189" s="1"/>
  <c r="CF272" i="189"/>
  <c r="BI272" i="189"/>
  <c r="BL268" i="189"/>
  <c r="BR178" i="189"/>
  <c r="BW178" i="189" s="1"/>
  <c r="BW181" i="189" s="1"/>
  <c r="BM181" i="189"/>
  <c r="BM182" i="189" s="1"/>
  <c r="BP251" i="189"/>
  <c r="BP250" i="189"/>
  <c r="BK20" i="189"/>
  <c r="BK21" i="189" s="1"/>
  <c r="BK18" i="189"/>
  <c r="BQ246" i="189"/>
  <c r="BQ271" i="189"/>
  <c r="BQ249" i="189"/>
  <c r="BL55" i="189"/>
  <c r="BL51" i="189"/>
  <c r="BL7" i="189"/>
  <c r="BL56" i="189"/>
  <c r="BL269" i="189"/>
  <c r="BL85" i="189"/>
  <c r="BJ268" i="189"/>
  <c r="BR245" i="189"/>
  <c r="CH245" i="189" s="1"/>
  <c r="BN264" i="189"/>
  <c r="BN257" i="189"/>
  <c r="BI252" i="189"/>
  <c r="BM233" i="189"/>
  <c r="BH268" i="189"/>
  <c r="CF267" i="189"/>
  <c r="BI267" i="189"/>
  <c r="BI268" i="189" s="1"/>
  <c r="BH269" i="189"/>
  <c r="BM250" i="189"/>
  <c r="BO251" i="189"/>
  <c r="BN249" i="189"/>
  <c r="BM251" i="189"/>
  <c r="BJ56" i="189"/>
  <c r="BJ55" i="189"/>
  <c r="BJ51" i="189"/>
  <c r="BJ7" i="189"/>
  <c r="BR242" i="189"/>
  <c r="BS241" i="189"/>
  <c r="BH187" i="189"/>
  <c r="BI187" i="189" s="1"/>
  <c r="BJ186" i="189"/>
  <c r="BR244" i="189" l="1"/>
  <c r="BS243" i="189"/>
  <c r="CH263" i="189"/>
  <c r="BV245" i="189"/>
  <c r="BV244" i="189"/>
  <c r="BV263" i="189"/>
  <c r="BU250" i="189"/>
  <c r="BV242" i="189"/>
  <c r="BW239" i="189"/>
  <c r="CH243" i="189"/>
  <c r="BS263" i="189"/>
  <c r="BS264" i="189" s="1"/>
  <c r="BI188" i="189"/>
  <c r="BI186" i="189"/>
  <c r="BK186" i="189"/>
  <c r="BJ187" i="189"/>
  <c r="BO272" i="189"/>
  <c r="BO253" i="189"/>
  <c r="BO252" i="189"/>
  <c r="BO54" i="189"/>
  <c r="BO267" i="189"/>
  <c r="BK83" i="189"/>
  <c r="BK81" i="189"/>
  <c r="BL52" i="189"/>
  <c r="BL53" i="189"/>
  <c r="BL82" i="189"/>
  <c r="BR181" i="189"/>
  <c r="BW182" i="189" s="1"/>
  <c r="BS242" i="189"/>
  <c r="BS240" i="189"/>
  <c r="BJ53" i="189"/>
  <c r="BJ52" i="189"/>
  <c r="BM272" i="189"/>
  <c r="BM253" i="189"/>
  <c r="BM252" i="189"/>
  <c r="BM54" i="189"/>
  <c r="BM267" i="189"/>
  <c r="BM269" i="189" s="1"/>
  <c r="CG251" i="189"/>
  <c r="BN251" i="189"/>
  <c r="BN233" i="189"/>
  <c r="BI269" i="189"/>
  <c r="BG21" i="189"/>
  <c r="BR265" i="189"/>
  <c r="BP272" i="189"/>
  <c r="BP252" i="189"/>
  <c r="BP253" i="189"/>
  <c r="BP54" i="189"/>
  <c r="BP267" i="189"/>
  <c r="BP268" i="189" s="1"/>
  <c r="BH6" i="189"/>
  <c r="CF7" i="189"/>
  <c r="BI7" i="189"/>
  <c r="BK53" i="189"/>
  <c r="BH188" i="189"/>
  <c r="BH193" i="189"/>
  <c r="BJ6" i="189"/>
  <c r="BN250" i="189"/>
  <c r="BN248" i="189"/>
  <c r="BS244" i="189"/>
  <c r="BR271" i="189"/>
  <c r="BS271" i="189" s="1"/>
  <c r="BR249" i="189"/>
  <c r="BU251" i="189" s="1"/>
  <c r="BR246" i="189"/>
  <c r="BL6" i="189"/>
  <c r="BQ251" i="189"/>
  <c r="BQ250" i="189"/>
  <c r="BH52" i="189"/>
  <c r="BH53" i="189"/>
  <c r="BH82" i="189"/>
  <c r="CF51" i="189"/>
  <c r="CF52" i="189" s="1"/>
  <c r="BI51" i="189"/>
  <c r="BI52" i="189" s="1"/>
  <c r="BS245" i="189"/>
  <c r="BS246" i="189" s="1"/>
  <c r="BU252" i="189" l="1"/>
  <c r="BU272" i="189"/>
  <c r="BU54" i="189"/>
  <c r="BU253" i="189"/>
  <c r="BU267" i="189"/>
  <c r="BU268" i="189" s="1"/>
  <c r="BV264" i="189"/>
  <c r="BV265" i="189"/>
  <c r="CH271" i="189"/>
  <c r="BW241" i="189"/>
  <c r="BX239" i="189"/>
  <c r="BR251" i="189"/>
  <c r="BR253" i="189" s="1"/>
  <c r="BT251" i="189"/>
  <c r="BV249" i="189"/>
  <c r="BV246" i="189"/>
  <c r="BV271" i="189"/>
  <c r="BS257" i="189"/>
  <c r="BS265" i="189"/>
  <c r="BH194" i="189"/>
  <c r="BH119" i="189"/>
  <c r="BL186" i="189"/>
  <c r="BK187" i="189"/>
  <c r="BH81" i="189"/>
  <c r="BH84" i="189"/>
  <c r="BM85" i="189" s="1"/>
  <c r="BH83" i="189"/>
  <c r="BQ272" i="189"/>
  <c r="BQ252" i="189"/>
  <c r="BQ253" i="189"/>
  <c r="BQ54" i="189"/>
  <c r="BQ267" i="189"/>
  <c r="BP55" i="189"/>
  <c r="BP51" i="189"/>
  <c r="BP56" i="189"/>
  <c r="BP7" i="189"/>
  <c r="BP6" i="189" s="1"/>
  <c r="BP17" i="189" s="1"/>
  <c r="BO233" i="189"/>
  <c r="BM268" i="189"/>
  <c r="CG267" i="189"/>
  <c r="BN267" i="189"/>
  <c r="BN268" i="189" s="1"/>
  <c r="BR182" i="189"/>
  <c r="BJ188" i="189"/>
  <c r="BM55" i="189"/>
  <c r="BM51" i="189"/>
  <c r="BM56" i="189"/>
  <c r="BM7" i="189"/>
  <c r="BN54" i="189"/>
  <c r="BN55" i="189" s="1"/>
  <c r="CG54" i="189"/>
  <c r="CG55" i="189" s="1"/>
  <c r="BO268" i="189"/>
  <c r="BH17" i="189"/>
  <c r="BI6" i="189"/>
  <c r="CF6" i="189"/>
  <c r="BN252" i="189"/>
  <c r="BO56" i="189"/>
  <c r="BO55" i="189"/>
  <c r="BO51" i="189"/>
  <c r="BO7" i="189"/>
  <c r="BR272" i="189"/>
  <c r="BR267" i="189"/>
  <c r="BR268" i="189" s="1"/>
  <c r="BR250" i="189"/>
  <c r="BS249" i="189"/>
  <c r="CG272" i="189"/>
  <c r="BN272" i="189"/>
  <c r="BL84" i="189"/>
  <c r="BQ85" i="189" s="1"/>
  <c r="BL81" i="189"/>
  <c r="BL83" i="189"/>
  <c r="BS251" i="189"/>
  <c r="BL17" i="189"/>
  <c r="CL10" i="172" s="1"/>
  <c r="BP269" i="189"/>
  <c r="BO269" i="189"/>
  <c r="BR54" i="189" l="1"/>
  <c r="BR252" i="189"/>
  <c r="CH251" i="189"/>
  <c r="BQ268" i="189"/>
  <c r="BT252" i="189"/>
  <c r="BT54" i="189"/>
  <c r="BT272" i="189"/>
  <c r="CH272" i="189" s="1"/>
  <c r="BT253" i="189"/>
  <c r="BT267" i="189"/>
  <c r="BW242" i="189"/>
  <c r="BX241" i="189"/>
  <c r="BU7" i="189"/>
  <c r="BU6" i="189" s="1"/>
  <c r="BU17" i="189" s="1"/>
  <c r="BU18" i="189" s="1"/>
  <c r="BU55" i="189"/>
  <c r="BU56" i="189"/>
  <c r="BU51" i="189"/>
  <c r="BU52" i="189" s="1"/>
  <c r="BV251" i="189"/>
  <c r="BV250" i="189"/>
  <c r="BW243" i="189"/>
  <c r="BU269" i="189"/>
  <c r="CP10" i="172"/>
  <c r="CH10" i="172"/>
  <c r="BS272" i="189"/>
  <c r="BQ269" i="189"/>
  <c r="BS267" i="189"/>
  <c r="BS268" i="189" s="1"/>
  <c r="BN269" i="189"/>
  <c r="BL18" i="189"/>
  <c r="BL20" i="189"/>
  <c r="BL21" i="189" s="1"/>
  <c r="BS250" i="189"/>
  <c r="BS248" i="189"/>
  <c r="BH20" i="189"/>
  <c r="BH21" i="189" s="1"/>
  <c r="BH18" i="189"/>
  <c r="BP52" i="189"/>
  <c r="BP53" i="189"/>
  <c r="BP82" i="189"/>
  <c r="BH120" i="189"/>
  <c r="BH36" i="189"/>
  <c r="BM6" i="189"/>
  <c r="CG7" i="189"/>
  <c r="BN7" i="189"/>
  <c r="BP233" i="189"/>
  <c r="BK188" i="189"/>
  <c r="CF187" i="189"/>
  <c r="BO6" i="189"/>
  <c r="BP20" i="189"/>
  <c r="BP18" i="189"/>
  <c r="BL187" i="189"/>
  <c r="BM186" i="189"/>
  <c r="BS252" i="189"/>
  <c r="BR7" i="189"/>
  <c r="BR6" i="189" s="1"/>
  <c r="BR17" i="189" s="1"/>
  <c r="BR269" i="189"/>
  <c r="BO53" i="189"/>
  <c r="BO52" i="189"/>
  <c r="BM52" i="189"/>
  <c r="BM53" i="189"/>
  <c r="BM82" i="189"/>
  <c r="CG51" i="189"/>
  <c r="CG52" i="189" s="1"/>
  <c r="BN51" i="189"/>
  <c r="BN52" i="189" s="1"/>
  <c r="BQ55" i="189"/>
  <c r="BQ51" i="189"/>
  <c r="BQ56" i="189"/>
  <c r="BQ7" i="189"/>
  <c r="CH54" i="189" l="1"/>
  <c r="CH55" i="189" s="1"/>
  <c r="BR56" i="189"/>
  <c r="BR51" i="189"/>
  <c r="BR55" i="189"/>
  <c r="BS54" i="189"/>
  <c r="BQ6" i="189"/>
  <c r="BS6" i="189" s="1"/>
  <c r="BU20" i="189"/>
  <c r="BU21" i="189" s="1"/>
  <c r="CU10" i="172"/>
  <c r="BU82" i="189"/>
  <c r="BT268" i="189"/>
  <c r="CH267" i="189"/>
  <c r="BV272" i="189"/>
  <c r="BV253" i="189"/>
  <c r="BV252" i="189"/>
  <c r="BV54" i="189"/>
  <c r="BV267" i="189"/>
  <c r="BV268" i="189" s="1"/>
  <c r="BT55" i="189"/>
  <c r="BT51" i="189"/>
  <c r="BT53" i="189" s="1"/>
  <c r="BT56" i="189"/>
  <c r="BT7" i="189"/>
  <c r="CH7" i="189" s="1"/>
  <c r="BW245" i="189"/>
  <c r="BW244" i="189"/>
  <c r="BW263" i="189"/>
  <c r="BX243" i="189"/>
  <c r="BX240" i="189"/>
  <c r="BX242" i="189"/>
  <c r="BT269" i="189"/>
  <c r="CR10" i="172"/>
  <c r="BP21" i="189"/>
  <c r="BS55" i="189"/>
  <c r="BS269" i="189"/>
  <c r="BQ52" i="189"/>
  <c r="BQ53" i="189"/>
  <c r="BQ82" i="189"/>
  <c r="BQ233" i="189"/>
  <c r="BP81" i="189"/>
  <c r="BP83" i="189"/>
  <c r="BM17" i="189"/>
  <c r="CM10" i="172" s="1"/>
  <c r="CG6" i="189"/>
  <c r="BN6" i="189"/>
  <c r="BM187" i="189"/>
  <c r="BO186" i="189"/>
  <c r="BM81" i="189"/>
  <c r="BM83" i="189"/>
  <c r="BM84" i="189"/>
  <c r="BR85" i="189" s="1"/>
  <c r="BR53" i="189"/>
  <c r="BR52" i="189"/>
  <c r="BR82" i="189"/>
  <c r="BS51" i="189"/>
  <c r="BR20" i="189"/>
  <c r="BL188" i="189"/>
  <c r="BS7" i="189"/>
  <c r="ER40" i="9"/>
  <c r="EM40" i="9"/>
  <c r="EQ39" i="9"/>
  <c r="ER38" i="9"/>
  <c r="EJ38" i="9"/>
  <c r="EI38" i="9"/>
  <c r="EM38" i="9" s="1"/>
  <c r="ER37" i="9"/>
  <c r="EJ37" i="9"/>
  <c r="EI37" i="9"/>
  <c r="ER36" i="9"/>
  <c r="EM36" i="9"/>
  <c r="ER35" i="9"/>
  <c r="EM35" i="9"/>
  <c r="EQ34" i="9"/>
  <c r="EP34" i="9"/>
  <c r="EP39" i="9" s="1"/>
  <c r="EO34" i="9"/>
  <c r="EO39" i="9" s="1"/>
  <c r="EN34" i="9"/>
  <c r="EN39" i="9" s="1"/>
  <c r="EL34" i="9"/>
  <c r="EL39" i="9" s="1"/>
  <c r="EK34" i="9"/>
  <c r="EK39" i="9" s="1"/>
  <c r="EJ34" i="9"/>
  <c r="EJ39" i="9" s="1"/>
  <c r="EI34" i="9"/>
  <c r="EM34" i="9" s="1"/>
  <c r="EQ33" i="9"/>
  <c r="EP33" i="9"/>
  <c r="EL33" i="9"/>
  <c r="EI33" i="9"/>
  <c r="ER32" i="9"/>
  <c r="EM32" i="9"/>
  <c r="ER31" i="9"/>
  <c r="EM31" i="9"/>
  <c r="EQ30" i="9"/>
  <c r="EP30" i="9"/>
  <c r="EO30" i="9"/>
  <c r="EO33" i="9" s="1"/>
  <c r="EN30" i="9"/>
  <c r="EN33" i="9" s="1"/>
  <c r="EL30" i="9"/>
  <c r="EK30" i="9"/>
  <c r="EK33" i="9" s="1"/>
  <c r="EJ30" i="9"/>
  <c r="EJ33" i="9" s="1"/>
  <c r="EI30" i="9"/>
  <c r="EM30" i="9" s="1"/>
  <c r="ER29" i="9"/>
  <c r="EM29" i="9"/>
  <c r="ER28" i="9"/>
  <c r="EM28" i="9"/>
  <c r="EQ27" i="9"/>
  <c r="EP27" i="9"/>
  <c r="EO27" i="9"/>
  <c r="EN27" i="9"/>
  <c r="EL27" i="9"/>
  <c r="EK27" i="9"/>
  <c r="EJ27" i="9"/>
  <c r="EI27" i="9"/>
  <c r="ER26" i="9"/>
  <c r="EM26" i="9"/>
  <c r="ER23" i="9"/>
  <c r="EM23" i="9"/>
  <c r="ER22" i="9"/>
  <c r="EM22" i="9"/>
  <c r="ER21" i="9"/>
  <c r="EM21" i="9"/>
  <c r="EQ20" i="9"/>
  <c r="EP20" i="9"/>
  <c r="EO20" i="9"/>
  <c r="EN20" i="9"/>
  <c r="ER20" i="9" s="1"/>
  <c r="EL20" i="9"/>
  <c r="EK20" i="9"/>
  <c r="EJ20" i="9"/>
  <c r="EI20" i="9"/>
  <c r="EM20" i="9" s="1"/>
  <c r="ER19" i="9"/>
  <c r="EM19" i="9"/>
  <c r="EQ18" i="9"/>
  <c r="EQ24" i="9" s="1"/>
  <c r="EP18" i="9"/>
  <c r="EP24" i="9" s="1"/>
  <c r="EO18" i="9"/>
  <c r="EO24" i="9" s="1"/>
  <c r="EN18" i="9"/>
  <c r="EN24" i="9" s="1"/>
  <c r="EL18" i="9"/>
  <c r="EL24" i="9" s="1"/>
  <c r="EK18" i="9"/>
  <c r="EK24" i="9" s="1"/>
  <c r="EJ18" i="9"/>
  <c r="EJ24" i="9" s="1"/>
  <c r="EI18" i="9"/>
  <c r="EI24" i="9" s="1"/>
  <c r="ER17" i="9"/>
  <c r="EM17" i="9"/>
  <c r="EQ16" i="9"/>
  <c r="EP16" i="9"/>
  <c r="EO16" i="9"/>
  <c r="EN16" i="9"/>
  <c r="EK16" i="9"/>
  <c r="EJ16" i="9"/>
  <c r="EI16" i="9"/>
  <c r="ER15" i="9"/>
  <c r="EM15" i="9"/>
  <c r="ER14" i="9"/>
  <c r="EM14" i="9"/>
  <c r="ER13" i="9"/>
  <c r="EM13" i="9"/>
  <c r="ER12" i="9"/>
  <c r="EM12" i="9"/>
  <c r="ER11" i="9"/>
  <c r="EM11" i="9"/>
  <c r="ER10" i="9"/>
  <c r="EM10" i="9"/>
  <c r="ER9" i="9"/>
  <c r="ER66" i="7" s="1"/>
  <c r="EM9" i="9"/>
  <c r="ER8" i="9"/>
  <c r="ER44" i="7" s="1"/>
  <c r="EM8" i="9"/>
  <c r="EM44" i="7" s="1"/>
  <c r="ER7" i="9"/>
  <c r="EL16" i="9"/>
  <c r="EJ25" i="9" l="1"/>
  <c r="EO25" i="9"/>
  <c r="ET45" i="9" s="1"/>
  <c r="ER16" i="9"/>
  <c r="EN25" i="9"/>
  <c r="ES45" i="9" s="1"/>
  <c r="FI99" i="135"/>
  <c r="CU44" i="172"/>
  <c r="CU43" i="172" s="1"/>
  <c r="BX244" i="189"/>
  <c r="BW249" i="189"/>
  <c r="BW246" i="189"/>
  <c r="BW271" i="189"/>
  <c r="BX271" i="189" s="1"/>
  <c r="BX245" i="189"/>
  <c r="BX246" i="189" s="1"/>
  <c r="BT52" i="189"/>
  <c r="BV269" i="189"/>
  <c r="BU81" i="189"/>
  <c r="BW264" i="189"/>
  <c r="BX263" i="189"/>
  <c r="BX265" i="189" s="1"/>
  <c r="BV56" i="189"/>
  <c r="BV7" i="189"/>
  <c r="BV6" i="189" s="1"/>
  <c r="BV17" i="189" s="1"/>
  <c r="BV55" i="189"/>
  <c r="BV51" i="189"/>
  <c r="BU83" i="189"/>
  <c r="BU53" i="189"/>
  <c r="BW265" i="189"/>
  <c r="BT6" i="189"/>
  <c r="CH51" i="189"/>
  <c r="CH52" i="189" s="1"/>
  <c r="CU11" i="172"/>
  <c r="BQ17" i="189"/>
  <c r="CH6" i="189"/>
  <c r="BS52" i="189"/>
  <c r="ER45" i="7"/>
  <c r="EM66" i="7"/>
  <c r="EM67" i="7" s="1"/>
  <c r="ER120" i="7"/>
  <c r="ER67" i="7"/>
  <c r="EQ25" i="9"/>
  <c r="EQ41" i="9" s="1"/>
  <c r="EQ43" i="9" s="1"/>
  <c r="EM66" i="8"/>
  <c r="EI25" i="9"/>
  <c r="EI54" i="9" s="1"/>
  <c r="ER66" i="8"/>
  <c r="ER68" i="8" s="1"/>
  <c r="ER69" i="8" s="1"/>
  <c r="ER70" i="8" s="1"/>
  <c r="BM20" i="189"/>
  <c r="BM21" i="189" s="1"/>
  <c r="BM18" i="189"/>
  <c r="BR18" i="189"/>
  <c r="BP186" i="189"/>
  <c r="BO187" i="189"/>
  <c r="BQ84" i="189"/>
  <c r="BV85" i="189" s="1"/>
  <c r="BQ81" i="189"/>
  <c r="BQ83" i="189"/>
  <c r="BM188" i="189"/>
  <c r="BM193" i="189"/>
  <c r="BN187" i="189"/>
  <c r="BR83" i="189"/>
  <c r="BR84" i="189"/>
  <c r="BW85" i="189" s="1"/>
  <c r="BR81" i="189"/>
  <c r="BR233" i="189"/>
  <c r="EM7" i="9"/>
  <c r="EM16" i="9" s="1"/>
  <c r="EO54" i="9"/>
  <c r="EO45" i="9"/>
  <c r="EO41" i="9"/>
  <c r="EO43" i="9" s="1"/>
  <c r="EL25" i="9"/>
  <c r="EJ41" i="9"/>
  <c r="EJ43" i="9" s="1"/>
  <c r="EJ54" i="9"/>
  <c r="EP25" i="9"/>
  <c r="EU45" i="9" s="1"/>
  <c r="EK25" i="9"/>
  <c r="EM33" i="9"/>
  <c r="EN41" i="9"/>
  <c r="EN43" i="9" s="1"/>
  <c r="EM18" i="9"/>
  <c r="EM24" i="9" s="1"/>
  <c r="EM37" i="9"/>
  <c r="ER18" i="9"/>
  <c r="ER24" i="9" s="1"/>
  <c r="ER25" i="9" s="1"/>
  <c r="ER30" i="9"/>
  <c r="ER33" i="9" s="1"/>
  <c r="ER34" i="9"/>
  <c r="ER39" i="9" s="1"/>
  <c r="EI39" i="9"/>
  <c r="EI41" i="9" s="1"/>
  <c r="ER27" i="9"/>
  <c r="EN54" i="9" l="1"/>
  <c r="EN45" i="9"/>
  <c r="BQ18" i="189"/>
  <c r="CQ10" i="172"/>
  <c r="BQ20" i="189"/>
  <c r="BQ21" i="189" s="1"/>
  <c r="BV20" i="189"/>
  <c r="CV10" i="172"/>
  <c r="BV18" i="189"/>
  <c r="BW250" i="189"/>
  <c r="BW251" i="189"/>
  <c r="BX249" i="189"/>
  <c r="FI100" i="135"/>
  <c r="BV53" i="189"/>
  <c r="BV82" i="189"/>
  <c r="BV52" i="189"/>
  <c r="BX257" i="189"/>
  <c r="BX264" i="189"/>
  <c r="EQ54" i="9"/>
  <c r="EU61" i="9" s="1"/>
  <c r="ES55" i="9"/>
  <c r="ET55" i="9"/>
  <c r="EQ57" i="9"/>
  <c r="EQ59" i="9" s="1"/>
  <c r="EM120" i="7"/>
  <c r="EN55" i="9"/>
  <c r="EN57" i="9"/>
  <c r="EN59" i="9" s="1"/>
  <c r="EI57" i="9"/>
  <c r="EI59" i="9" s="1"/>
  <c r="EJ57" i="9"/>
  <c r="EJ59" i="9" s="1"/>
  <c r="EO55" i="9"/>
  <c r="EO57" i="9"/>
  <c r="EO59" i="9" s="1"/>
  <c r="BR21" i="189"/>
  <c r="BM194" i="189"/>
  <c r="BM119" i="189"/>
  <c r="BO188" i="189"/>
  <c r="BP187" i="189"/>
  <c r="BQ186" i="189"/>
  <c r="BS233" i="189"/>
  <c r="BT233" i="189" s="1"/>
  <c r="BN186" i="189"/>
  <c r="BN188" i="189"/>
  <c r="EM25" i="9"/>
  <c r="ER45" i="9" s="1"/>
  <c r="ER41" i="9"/>
  <c r="ER43" i="9" s="1"/>
  <c r="ER54" i="9"/>
  <c r="EK54" i="9"/>
  <c r="EK41" i="9"/>
  <c r="EK43" i="9" s="1"/>
  <c r="EP54" i="9"/>
  <c r="EP45" i="9"/>
  <c r="EP41" i="9"/>
  <c r="EP43" i="9" s="1"/>
  <c r="EL54" i="9"/>
  <c r="EL41" i="9"/>
  <c r="EL43" i="9" s="1"/>
  <c r="EQ45" i="9"/>
  <c r="EM39" i="9"/>
  <c r="EQ61" i="9" l="1"/>
  <c r="EU55" i="9"/>
  <c r="EN61" i="9"/>
  <c r="BV21" i="189"/>
  <c r="BU233" i="189"/>
  <c r="CV11" i="172"/>
  <c r="BX248" i="189"/>
  <c r="BX250" i="189"/>
  <c r="FJ99" i="135"/>
  <c r="CV44" i="172"/>
  <c r="CV43" i="172" s="1"/>
  <c r="CV13" i="172"/>
  <c r="FJ101" i="135" s="1"/>
  <c r="BW54" i="189"/>
  <c r="BW272" i="189"/>
  <c r="BX272" i="189" s="1"/>
  <c r="BW253" i="189"/>
  <c r="BW252" i="189"/>
  <c r="BW267" i="189"/>
  <c r="BW269" i="189" s="1"/>
  <c r="BX251" i="189"/>
  <c r="BV81" i="189"/>
  <c r="BV83" i="189"/>
  <c r="BV84" i="189"/>
  <c r="ET61" i="9"/>
  <c r="EO61" i="9"/>
  <c r="EP61" i="9"/>
  <c r="ER61" i="9"/>
  <c r="EL61" i="9"/>
  <c r="EM61" i="9"/>
  <c r="ES61" i="9"/>
  <c r="EP55" i="9"/>
  <c r="EP57" i="9"/>
  <c r="EP59" i="9" s="1"/>
  <c r="EK57" i="9"/>
  <c r="EK59" i="9" s="1"/>
  <c r="EM41" i="9"/>
  <c r="ER57" i="9"/>
  <c r="ER59" i="9" s="1"/>
  <c r="EM54" i="9"/>
  <c r="EL57" i="9"/>
  <c r="EL59" i="9" s="1"/>
  <c r="BP188" i="189"/>
  <c r="CG187" i="189"/>
  <c r="BM120" i="189"/>
  <c r="BM36" i="189"/>
  <c r="BQ187" i="189"/>
  <c r="BR186" i="189"/>
  <c r="EQ55" i="9"/>
  <c r="AZ144" i="175"/>
  <c r="AU144" i="175"/>
  <c r="AS144" i="175"/>
  <c r="AR144" i="175"/>
  <c r="AQ144" i="175"/>
  <c r="AP144" i="175"/>
  <c r="AU145" i="175" s="1"/>
  <c r="AN144" i="175"/>
  <c r="AM144" i="175"/>
  <c r="AL144" i="175"/>
  <c r="AQ145" i="175" s="1"/>
  <c r="AK144" i="175"/>
  <c r="AK69" i="175"/>
  <c r="AP70" i="175" s="1"/>
  <c r="AM69" i="175"/>
  <c r="AR70" i="175" s="1"/>
  <c r="AN69" i="175"/>
  <c r="AN88" i="175"/>
  <c r="AM88" i="175"/>
  <c r="AM90" i="175" s="1"/>
  <c r="AL88" i="175"/>
  <c r="AK88" i="175"/>
  <c r="AS14" i="175"/>
  <c r="AR14" i="175"/>
  <c r="AQ14" i="175"/>
  <c r="AP14" i="175"/>
  <c r="AN14" i="175"/>
  <c r="AM14" i="175"/>
  <c r="AL14" i="175"/>
  <c r="AN13" i="175"/>
  <c r="AN12" i="175" s="1"/>
  <c r="AM13" i="175"/>
  <c r="AL13" i="175"/>
  <c r="AK14" i="175"/>
  <c r="AK13" i="175"/>
  <c r="BW75" i="175"/>
  <c r="AX14" i="175"/>
  <c r="BB14" i="175"/>
  <c r="BA14" i="175"/>
  <c r="AZ14" i="175"/>
  <c r="AO75" i="175"/>
  <c r="AT76" i="175" s="1"/>
  <c r="AN74" i="175"/>
  <c r="AM74" i="175"/>
  <c r="AL69" i="175"/>
  <c r="AQ70" i="175" s="1"/>
  <c r="BW268" i="189" l="1"/>
  <c r="BX267" i="189"/>
  <c r="BX268" i="189" s="1"/>
  <c r="BW55" i="189"/>
  <c r="BW51" i="189"/>
  <c r="BW56" i="189"/>
  <c r="BW7" i="189"/>
  <c r="BX54" i="189"/>
  <c r="BX55" i="189" s="1"/>
  <c r="FJ100" i="135"/>
  <c r="BR187" i="189"/>
  <c r="BS187" i="189" s="1"/>
  <c r="BT186" i="189"/>
  <c r="BV233" i="189"/>
  <c r="BX252" i="189"/>
  <c r="ER55" i="9"/>
  <c r="EM57" i="9"/>
  <c r="EM59" i="9" s="1"/>
  <c r="AZ145" i="175"/>
  <c r="AL90" i="175"/>
  <c r="BW144" i="175"/>
  <c r="AR145" i="175"/>
  <c r="AO144" i="175"/>
  <c r="AP71" i="175"/>
  <c r="AS70" i="175"/>
  <c r="BQ188" i="189"/>
  <c r="AS146" i="175"/>
  <c r="AV13" i="175"/>
  <c r="AP13" i="175"/>
  <c r="AP12" i="175" s="1"/>
  <c r="BA144" i="175"/>
  <c r="AV144" i="175"/>
  <c r="BX144" i="175" s="1"/>
  <c r="BB144" i="175"/>
  <c r="AW144" i="175"/>
  <c r="AT144" i="175"/>
  <c r="AX144" i="175"/>
  <c r="AQ146" i="175"/>
  <c r="AS145" i="175"/>
  <c r="AP146" i="175"/>
  <c r="AU146" i="175"/>
  <c r="AP145" i="175"/>
  <c r="AR146" i="175"/>
  <c r="AN90" i="175"/>
  <c r="AO88" i="175"/>
  <c r="AS13" i="175"/>
  <c r="AS12" i="175" s="1"/>
  <c r="BX72" i="175"/>
  <c r="AQ13" i="175"/>
  <c r="AQ12" i="175" s="1"/>
  <c r="AR13" i="175"/>
  <c r="AR12" i="175" s="1"/>
  <c r="AW13" i="175"/>
  <c r="AO13" i="175"/>
  <c r="AW14" i="175"/>
  <c r="BY14" i="175" s="1"/>
  <c r="AM71" i="175"/>
  <c r="AK12" i="175"/>
  <c r="AM12" i="175"/>
  <c r="AX13" i="175"/>
  <c r="AX12" i="175" s="1"/>
  <c r="AV14" i="175"/>
  <c r="AT14" i="175"/>
  <c r="BW14" i="175"/>
  <c r="AU14" i="175"/>
  <c r="AL12" i="175"/>
  <c r="AO14" i="175"/>
  <c r="AO72" i="175"/>
  <c r="AT73" i="175" s="1"/>
  <c r="AN71" i="175"/>
  <c r="BW72" i="175"/>
  <c r="BX75" i="175"/>
  <c r="BX76" i="175" s="1"/>
  <c r="AL74" i="175"/>
  <c r="BY75" i="175"/>
  <c r="AO69" i="175"/>
  <c r="AT70" i="175" s="1"/>
  <c r="BC144" i="175"/>
  <c r="BC13" i="175"/>
  <c r="BR193" i="189" l="1"/>
  <c r="BR194" i="189" s="1"/>
  <c r="BR188" i="189"/>
  <c r="BX269" i="189"/>
  <c r="BW53" i="189"/>
  <c r="BW82" i="189"/>
  <c r="BW52" i="189"/>
  <c r="BX51" i="189"/>
  <c r="BX52" i="189" s="1"/>
  <c r="BT187" i="189"/>
  <c r="BU186" i="189"/>
  <c r="BW6" i="189"/>
  <c r="BX7" i="189"/>
  <c r="BW233" i="189"/>
  <c r="BX145" i="175"/>
  <c r="AW146" i="175"/>
  <c r="BB145" i="175"/>
  <c r="BS188" i="189"/>
  <c r="BS186" i="189"/>
  <c r="AW145" i="175"/>
  <c r="BY144" i="175"/>
  <c r="BY145" i="175" s="1"/>
  <c r="AX146" i="175"/>
  <c r="AZ146" i="175"/>
  <c r="AV12" i="175"/>
  <c r="BB146" i="175"/>
  <c r="AV146" i="175"/>
  <c r="AV145" i="175"/>
  <c r="BA145" i="175"/>
  <c r="BA146" i="175"/>
  <c r="AX145" i="175"/>
  <c r="BB13" i="175"/>
  <c r="BB12" i="175" s="1"/>
  <c r="BC146" i="175"/>
  <c r="AY144" i="175"/>
  <c r="AY145" i="175" s="1"/>
  <c r="BC145" i="175"/>
  <c r="AT145" i="175"/>
  <c r="AZ13" i="175"/>
  <c r="AZ12" i="175" s="1"/>
  <c r="BW69" i="175"/>
  <c r="AU13" i="175"/>
  <c r="AU12" i="175" s="1"/>
  <c r="BW13" i="175"/>
  <c r="AT13" i="175"/>
  <c r="AT12" i="175"/>
  <c r="AW12" i="175"/>
  <c r="AO12" i="175"/>
  <c r="BX73" i="175"/>
  <c r="BY76" i="175"/>
  <c r="BX14" i="175"/>
  <c r="BA13" i="175"/>
  <c r="BA12" i="175" s="1"/>
  <c r="BW12" i="175"/>
  <c r="AY14" i="175"/>
  <c r="BZ75" i="175"/>
  <c r="BZ76" i="175" s="1"/>
  <c r="BC14" i="175"/>
  <c r="AL71" i="175"/>
  <c r="BR119" i="189" l="1"/>
  <c r="BR36" i="189" s="1"/>
  <c r="BU187" i="189"/>
  <c r="CH187" i="189" s="1"/>
  <c r="BV186" i="189"/>
  <c r="BW84" i="189"/>
  <c r="BW81" i="189"/>
  <c r="BW83" i="189"/>
  <c r="BW17" i="189"/>
  <c r="BX6" i="189"/>
  <c r="BX233" i="189"/>
  <c r="BT188" i="189"/>
  <c r="BX12" i="175"/>
  <c r="BZ144" i="175"/>
  <c r="BZ145" i="175" s="1"/>
  <c r="BY72" i="175"/>
  <c r="BY73" i="175" s="1"/>
  <c r="BD144" i="175"/>
  <c r="BD145" i="175" s="1"/>
  <c r="BX13" i="175"/>
  <c r="BX69" i="175"/>
  <c r="BX70" i="175" s="1"/>
  <c r="AY13" i="175"/>
  <c r="BD13" i="175"/>
  <c r="AY12" i="175"/>
  <c r="BY13" i="175"/>
  <c r="BY12" i="175"/>
  <c r="BD14" i="175"/>
  <c r="BC12" i="175"/>
  <c r="BZ14" i="175"/>
  <c r="BR120" i="189" l="1"/>
  <c r="BW20" i="189"/>
  <c r="BW21" i="189" s="1"/>
  <c r="CW10" i="172"/>
  <c r="BW18" i="189"/>
  <c r="BV187" i="189"/>
  <c r="BW186" i="189"/>
  <c r="BW187" i="189" s="1"/>
  <c r="BU188" i="189"/>
  <c r="BY69" i="175"/>
  <c r="BY70" i="175" s="1"/>
  <c r="BZ13" i="175"/>
  <c r="BZ69" i="175"/>
  <c r="BZ72" i="175"/>
  <c r="BZ73" i="175" s="1"/>
  <c r="BD12" i="175"/>
  <c r="BV188" i="189" l="1"/>
  <c r="BX187" i="189"/>
  <c r="CW44" i="172"/>
  <c r="CW43" i="172" s="1"/>
  <c r="CW13" i="172"/>
  <c r="FK101" i="135" s="1"/>
  <c r="FK99" i="135"/>
  <c r="CW11" i="172"/>
  <c r="BW188" i="189"/>
  <c r="BW193" i="189"/>
  <c r="BZ70" i="175"/>
  <c r="BZ12" i="175"/>
  <c r="FK100" i="135" l="1"/>
  <c r="BX186" i="189"/>
  <c r="BX188" i="189"/>
  <c r="BW194" i="189"/>
  <c r="BW119" i="189"/>
  <c r="AR97" i="175"/>
  <c r="AQ97" i="175"/>
  <c r="AP97" i="175"/>
  <c r="AS94" i="175"/>
  <c r="AR94" i="175"/>
  <c r="AQ94" i="175"/>
  <c r="AP94" i="175"/>
  <c r="BW36" i="189" l="1"/>
  <c r="BW120" i="189"/>
  <c r="GI40" i="9" l="1"/>
  <c r="GI38" i="9"/>
  <c r="GI31" i="9"/>
  <c r="GI30" i="9"/>
  <c r="GI15" i="9"/>
  <c r="GI14" i="9"/>
  <c r="GI13" i="9"/>
  <c r="GI12" i="9"/>
  <c r="GI11" i="9"/>
  <c r="GI10" i="9"/>
  <c r="FA28" i="7" l="1"/>
  <c r="FF28" i="7" s="1"/>
  <c r="FK28" i="7" s="1"/>
  <c r="FA25" i="7" l="1"/>
  <c r="FF25" i="7" s="1"/>
  <c r="FK25" i="7" s="1"/>
  <c r="FI27" i="9" l="1"/>
  <c r="GI26" i="9"/>
  <c r="J37" i="141" s="1"/>
  <c r="BC15" i="175"/>
  <c r="BC165" i="175"/>
  <c r="BC101" i="175"/>
  <c r="CE509" i="172"/>
  <c r="CE508" i="172"/>
  <c r="EQ66" i="123"/>
  <c r="EQ84" i="7" s="1"/>
  <c r="EQ64" i="123"/>
  <c r="EQ83" i="7" s="1"/>
  <c r="EQ61" i="123"/>
  <c r="EQ51" i="123"/>
  <c r="EQ47" i="123"/>
  <c r="EQ46" i="123"/>
  <c r="EQ45" i="123"/>
  <c r="EQ39" i="123" s="1"/>
  <c r="EQ38" i="123"/>
  <c r="EQ27" i="123"/>
  <c r="EQ26" i="123"/>
  <c r="EQ23" i="123"/>
  <c r="EQ22" i="123"/>
  <c r="EQ21" i="123"/>
  <c r="EQ17" i="123"/>
  <c r="EQ16" i="123"/>
  <c r="EQ10" i="123"/>
  <c r="EQ11" i="123" s="1"/>
  <c r="EQ70" i="12"/>
  <c r="EQ68" i="12"/>
  <c r="EQ62" i="12"/>
  <c r="EQ60" i="12"/>
  <c r="EQ64" i="12" s="1"/>
  <c r="EQ52" i="12"/>
  <c r="EQ43" i="12"/>
  <c r="EQ46" i="12" s="1"/>
  <c r="EQ10" i="12"/>
  <c r="EQ8" i="12"/>
  <c r="EQ117" i="135"/>
  <c r="EQ113" i="135" s="1"/>
  <c r="ES115" i="135" s="1"/>
  <c r="EQ108" i="135"/>
  <c r="EQ104" i="135" s="1"/>
  <c r="ES106" i="135" s="1"/>
  <c r="EQ99" i="135"/>
  <c r="EQ95" i="135" s="1"/>
  <c r="ES97" i="135" s="1"/>
  <c r="EQ85" i="135"/>
  <c r="EQ89" i="135" s="1"/>
  <c r="EQ56" i="135"/>
  <c r="EV56" i="135" s="1"/>
  <c r="EQ53" i="135"/>
  <c r="EQ46" i="135"/>
  <c r="EQ42" i="135"/>
  <c r="EQ9" i="135"/>
  <c r="EQ120" i="135"/>
  <c r="EQ111" i="135"/>
  <c r="EQ102" i="135"/>
  <c r="EQ119" i="135"/>
  <c r="EQ118" i="135"/>
  <c r="EQ110" i="135"/>
  <c r="EQ109" i="135"/>
  <c r="EQ101" i="135"/>
  <c r="EQ100" i="135"/>
  <c r="GH77" i="7"/>
  <c r="GH76" i="7"/>
  <c r="GH74" i="7"/>
  <c r="GH73" i="7"/>
  <c r="GH72" i="7"/>
  <c r="GH71" i="7"/>
  <c r="GH50" i="7"/>
  <c r="GH33" i="7"/>
  <c r="GH16" i="7"/>
  <c r="GH15" i="7"/>
  <c r="GH14" i="7"/>
  <c r="GH13" i="7"/>
  <c r="GH12" i="7"/>
  <c r="GH11" i="7"/>
  <c r="FK27" i="9" l="1"/>
  <c r="FJ27" i="9"/>
  <c r="EQ82" i="7"/>
  <c r="ER82" i="7" s="1"/>
  <c r="ER88" i="7" s="1"/>
  <c r="ES56" i="123"/>
  <c r="ES57" i="123" s="1"/>
  <c r="ES50" i="123" s="1"/>
  <c r="ES53" i="123" s="1"/>
  <c r="ES62" i="123"/>
  <c r="CE510" i="172"/>
  <c r="CE514" i="172" s="1"/>
  <c r="CE516" i="172" s="1"/>
  <c r="EQ36" i="135"/>
  <c r="BC82" i="175"/>
  <c r="EQ65" i="123"/>
  <c r="BC129" i="175"/>
  <c r="BC20" i="175"/>
  <c r="EQ18" i="123"/>
  <c r="EQ28" i="123"/>
  <c r="EQ59" i="123" s="1"/>
  <c r="EQ67" i="123"/>
  <c r="EQ12" i="123"/>
  <c r="EQ58" i="123" s="1"/>
  <c r="EQ29" i="123"/>
  <c r="EQ30" i="123" s="1"/>
  <c r="EQ40" i="123"/>
  <c r="EQ60" i="123" s="1"/>
  <c r="EQ13" i="123"/>
  <c r="EQ41" i="123"/>
  <c r="EQ42" i="123" s="1"/>
  <c r="EQ14" i="123"/>
  <c r="EQ61" i="12"/>
  <c r="EQ54" i="12"/>
  <c r="EQ69" i="12" s="1"/>
  <c r="EQ29" i="12" s="1"/>
  <c r="EQ53" i="12"/>
  <c r="EQ67" i="12" s="1"/>
  <c r="EQ11" i="12" s="1"/>
  <c r="EQ88" i="135"/>
  <c r="EQ90" i="135"/>
  <c r="EQ91" i="135"/>
  <c r="EQ7" i="135" l="1"/>
  <c r="EQ21" i="135"/>
  <c r="EQ22" i="135" s="1"/>
  <c r="EQ47" i="135"/>
  <c r="EQ43" i="135"/>
  <c r="CE515" i="172"/>
  <c r="CE518" i="172"/>
  <c r="CE519" i="172" s="1"/>
  <c r="CE517" i="172"/>
  <c r="EQ92" i="135"/>
  <c r="FG37" i="8" l="1"/>
  <c r="FG40" i="9"/>
  <c r="FG38" i="9"/>
  <c r="FG31" i="9"/>
  <c r="FG30" i="9"/>
  <c r="FD28" i="9"/>
  <c r="FE28" i="9" s="1"/>
  <c r="FF27" i="9"/>
  <c r="FE27" i="9"/>
  <c r="FD27" i="9"/>
  <c r="FC27" i="9"/>
  <c r="FG26" i="9"/>
  <c r="FG15" i="9"/>
  <c r="FG14" i="9"/>
  <c r="FG13" i="9"/>
  <c r="FG12" i="9"/>
  <c r="FG11" i="9"/>
  <c r="FG10" i="9"/>
  <c r="FE22" i="123"/>
  <c r="FF22" i="123" s="1"/>
  <c r="FF6" i="123"/>
  <c r="FE6" i="123"/>
  <c r="FD6" i="123"/>
  <c r="FC6" i="123"/>
  <c r="FF70" i="12"/>
  <c r="FE70" i="12"/>
  <c r="FD70" i="12"/>
  <c r="FC70" i="12"/>
  <c r="FF68" i="12"/>
  <c r="FE68" i="12"/>
  <c r="FD68" i="12"/>
  <c r="FC68" i="12"/>
  <c r="FF62" i="12"/>
  <c r="FE62" i="12"/>
  <c r="FD62" i="12"/>
  <c r="FC62" i="12"/>
  <c r="FF60" i="12"/>
  <c r="FF64" i="12" s="1"/>
  <c r="FE60" i="12"/>
  <c r="FE64" i="12" s="1"/>
  <c r="FD60" i="12"/>
  <c r="FD64" i="12" s="1"/>
  <c r="FC60" i="12"/>
  <c r="FC64" i="12" s="1"/>
  <c r="FF52" i="12"/>
  <c r="FE52" i="12"/>
  <c r="FD52" i="12"/>
  <c r="FC52" i="12"/>
  <c r="FC43" i="12"/>
  <c r="FC46" i="12" s="1"/>
  <c r="FG38" i="12"/>
  <c r="FG33" i="12"/>
  <c r="FG15" i="12"/>
  <c r="FF10" i="12"/>
  <c r="FE10" i="12"/>
  <c r="FD10" i="12"/>
  <c r="FC10" i="12"/>
  <c r="FG6" i="12"/>
  <c r="FF6" i="12"/>
  <c r="FE6" i="12"/>
  <c r="FD6" i="12"/>
  <c r="FC6" i="12"/>
  <c r="FG5" i="135"/>
  <c r="FG41" i="135" s="1"/>
  <c r="FG52" i="135" s="1"/>
  <c r="FG163" i="135" s="1"/>
  <c r="FF5" i="135"/>
  <c r="FF41" i="135" s="1"/>
  <c r="FF52" i="135" s="1"/>
  <c r="FF163" i="135" s="1"/>
  <c r="FE5" i="135"/>
  <c r="FE41" i="135" s="1"/>
  <c r="FE52" i="135" s="1"/>
  <c r="FE163" i="135" s="1"/>
  <c r="FD5" i="135"/>
  <c r="FD41" i="135" s="1"/>
  <c r="FD52" i="135" s="1"/>
  <c r="FD163" i="135" s="1"/>
  <c r="FC5" i="135"/>
  <c r="FC41" i="135" s="1"/>
  <c r="FC52" i="135" s="1"/>
  <c r="FC163" i="135" s="1"/>
  <c r="BS218" i="171"/>
  <c r="BR218" i="171"/>
  <c r="BQ218" i="171"/>
  <c r="BP218" i="171"/>
  <c r="BQ163" i="171"/>
  <c r="BR163" i="171" s="1"/>
  <c r="BS158" i="171"/>
  <c r="BR158" i="171"/>
  <c r="BQ158" i="171"/>
  <c r="BP158" i="171"/>
  <c r="BQ145" i="171"/>
  <c r="BR145" i="171" s="1"/>
  <c r="BP127" i="171"/>
  <c r="BP174" i="171" s="1"/>
  <c r="BS69" i="171"/>
  <c r="BR69" i="171"/>
  <c r="BQ69" i="171"/>
  <c r="BP69" i="171"/>
  <c r="BS53" i="171"/>
  <c r="BR53" i="171"/>
  <c r="BQ53" i="171"/>
  <c r="BP53" i="171"/>
  <c r="CR409" i="172"/>
  <c r="CQ409" i="172"/>
  <c r="CP409" i="172"/>
  <c r="CO409" i="172"/>
  <c r="CR406" i="172"/>
  <c r="CQ406" i="172"/>
  <c r="CP406" i="172"/>
  <c r="CO406" i="172"/>
  <c r="CS405" i="172"/>
  <c r="CS406" i="172" s="1"/>
  <c r="CS291" i="172"/>
  <c r="CS263" i="172"/>
  <c r="CR260" i="172"/>
  <c r="CQ260" i="172"/>
  <c r="CV261" i="172" s="1"/>
  <c r="CR214" i="172"/>
  <c r="CQ214" i="172"/>
  <c r="CR210" i="172"/>
  <c r="CS196" i="172"/>
  <c r="CP183" i="172"/>
  <c r="CQ183" i="172" s="1"/>
  <c r="CR140" i="172"/>
  <c r="CR130" i="172"/>
  <c r="CQ130" i="172"/>
  <c r="CP130" i="172"/>
  <c r="CO130" i="172"/>
  <c r="CR125" i="172"/>
  <c r="CQ125" i="172"/>
  <c r="CP125" i="172"/>
  <c r="CO125" i="172"/>
  <c r="CR114" i="172"/>
  <c r="CQ114" i="172"/>
  <c r="CP114" i="172"/>
  <c r="CO114" i="172"/>
  <c r="CR107" i="172"/>
  <c r="CQ107" i="172"/>
  <c r="CP107" i="172"/>
  <c r="CO107" i="172"/>
  <c r="CR101" i="172"/>
  <c r="CT104" i="172" s="1"/>
  <c r="CQ101" i="172"/>
  <c r="CP101" i="172"/>
  <c r="CO101" i="172"/>
  <c r="CR96" i="172"/>
  <c r="CQ96" i="172"/>
  <c r="CP96" i="172"/>
  <c r="CO96" i="172"/>
  <c r="CS7" i="172"/>
  <c r="CS451" i="172" s="1"/>
  <c r="CR7" i="172"/>
  <c r="CR451" i="172" s="1"/>
  <c r="CQ7" i="172"/>
  <c r="CQ451" i="172" s="1"/>
  <c r="CP7" i="172"/>
  <c r="CP451" i="172" s="1"/>
  <c r="CO7" i="172"/>
  <c r="CO451" i="172" s="1"/>
  <c r="FG6" i="9"/>
  <c r="FF6" i="9"/>
  <c r="FE6" i="9"/>
  <c r="FD6" i="9"/>
  <c r="FC6" i="9"/>
  <c r="FF99" i="8"/>
  <c r="FE99" i="8"/>
  <c r="FD99" i="8"/>
  <c r="FC99" i="8"/>
  <c r="FG6" i="8"/>
  <c r="FF6" i="8"/>
  <c r="FE6" i="8"/>
  <c r="FD6" i="8"/>
  <c r="FC6" i="8"/>
  <c r="FG77" i="7"/>
  <c r="FG74" i="7"/>
  <c r="FG73" i="7"/>
  <c r="FG72" i="7"/>
  <c r="FG71" i="7"/>
  <c r="FG50" i="7"/>
  <c r="FF49" i="7"/>
  <c r="FE49" i="7"/>
  <c r="FD49" i="7"/>
  <c r="FC49" i="7"/>
  <c r="FG41" i="7"/>
  <c r="FG33" i="7"/>
  <c r="FG21" i="7"/>
  <c r="GI49" i="7" l="1"/>
  <c r="FL27" i="9"/>
  <c r="CT97" i="172"/>
  <c r="CT108" i="172"/>
  <c r="CT115" i="172"/>
  <c r="CT126" i="172"/>
  <c r="CT131" i="172"/>
  <c r="CU97" i="172"/>
  <c r="CU102" i="172"/>
  <c r="CP465" i="172"/>
  <c r="CU108" i="172"/>
  <c r="CU115" i="172"/>
  <c r="CP475" i="172"/>
  <c r="CU126" i="172"/>
  <c r="CU131" i="172"/>
  <c r="CV97" i="172"/>
  <c r="CV102" i="172"/>
  <c r="CV108" i="172"/>
  <c r="CQ470" i="172"/>
  <c r="CV115" i="172"/>
  <c r="CV126" i="172"/>
  <c r="CQ480" i="172"/>
  <c r="CV131" i="172"/>
  <c r="CR455" i="172"/>
  <c r="CT99" i="172"/>
  <c r="CT110" i="172"/>
  <c r="CT117" i="172"/>
  <c r="CT128" i="172"/>
  <c r="CT133" i="172"/>
  <c r="CO460" i="172"/>
  <c r="CT102" i="172"/>
  <c r="BQ127" i="171"/>
  <c r="BQ174" i="171" s="1"/>
  <c r="CS409" i="172"/>
  <c r="FG49" i="7"/>
  <c r="FD43" i="12"/>
  <c r="FD46" i="12" s="1"/>
  <c r="FD54" i="12" s="1"/>
  <c r="FD69" i="12" s="1"/>
  <c r="FD29" i="12" s="1"/>
  <c r="CR99" i="172"/>
  <c r="CR104" i="172"/>
  <c r="CP128" i="172"/>
  <c r="CP182" i="172"/>
  <c r="FF28" i="9"/>
  <c r="FG28" i="9" s="1"/>
  <c r="FC61" i="12"/>
  <c r="FC54" i="12"/>
  <c r="FC69" i="12" s="1"/>
  <c r="FC29" i="12" s="1"/>
  <c r="FC53" i="12"/>
  <c r="FC67" i="12" s="1"/>
  <c r="FC11" i="12" s="1"/>
  <c r="FD61" i="12"/>
  <c r="FG10" i="12"/>
  <c r="BS145" i="171"/>
  <c r="BS163" i="171"/>
  <c r="BR127" i="171"/>
  <c r="CO465" i="172"/>
  <c r="CP470" i="172"/>
  <c r="CO455" i="172"/>
  <c r="CS96" i="172"/>
  <c r="CP110" i="172"/>
  <c r="CQ117" i="172"/>
  <c r="CO475" i="172"/>
  <c r="CO182" i="172"/>
  <c r="CS125" i="172"/>
  <c r="CP480" i="172"/>
  <c r="CP135" i="172"/>
  <c r="CU136" i="172" s="1"/>
  <c r="CQ133" i="172"/>
  <c r="CR183" i="172"/>
  <c r="CR182" i="172" s="1"/>
  <c r="CR181" i="172" s="1"/>
  <c r="CQ182" i="172"/>
  <c r="CQ181" i="172" s="1"/>
  <c r="CP455" i="172"/>
  <c r="CP99" i="172"/>
  <c r="CP460" i="172"/>
  <c r="CP104" i="172"/>
  <c r="CQ465" i="172"/>
  <c r="CQ110" i="172"/>
  <c r="CR470" i="172"/>
  <c r="CR119" i="172"/>
  <c r="CT122" i="172" s="1"/>
  <c r="CR117" i="172"/>
  <c r="CO119" i="172"/>
  <c r="CQ455" i="172"/>
  <c r="CQ99" i="172"/>
  <c r="CQ460" i="172"/>
  <c r="CQ104" i="172"/>
  <c r="CR465" i="172"/>
  <c r="CR110" i="172"/>
  <c r="CO470" i="172"/>
  <c r="CS114" i="172"/>
  <c r="CP119" i="172"/>
  <c r="CQ475" i="172"/>
  <c r="CQ135" i="172"/>
  <c r="CV136" i="172" s="1"/>
  <c r="CQ128" i="172"/>
  <c r="CR480" i="172"/>
  <c r="CR133" i="172"/>
  <c r="CR135" i="172"/>
  <c r="CT138" i="172" s="1"/>
  <c r="CR460" i="172"/>
  <c r="CS107" i="172"/>
  <c r="CP117" i="172"/>
  <c r="CQ119" i="172"/>
  <c r="CR475" i="172"/>
  <c r="CR128" i="172"/>
  <c r="CO480" i="172"/>
  <c r="CO135" i="172"/>
  <c r="CT136" i="172" s="1"/>
  <c r="CS130" i="172"/>
  <c r="CP133" i="172"/>
  <c r="CS101" i="172"/>
  <c r="CP181" i="172"/>
  <c r="CR197" i="172"/>
  <c r="CR262" i="172"/>
  <c r="FF43" i="12" l="1"/>
  <c r="FF46" i="12" s="1"/>
  <c r="FF54" i="12" s="1"/>
  <c r="FF69" i="12" s="1"/>
  <c r="FF29" i="12" s="1"/>
  <c r="CU120" i="172"/>
  <c r="CU144" i="172"/>
  <c r="CT120" i="172"/>
  <c r="CT144" i="172"/>
  <c r="CV144" i="172"/>
  <c r="CV120" i="172"/>
  <c r="FD53" i="12"/>
  <c r="FD67" i="12" s="1"/>
  <c r="FD11" i="12" s="1"/>
  <c r="CR142" i="172"/>
  <c r="CS182" i="172"/>
  <c r="CS183" i="172" s="1"/>
  <c r="FF53" i="12"/>
  <c r="FF67" i="12" s="1"/>
  <c r="FF11" i="12" s="1"/>
  <c r="FE43" i="12"/>
  <c r="FE46" i="12" s="1"/>
  <c r="BR174" i="171"/>
  <c r="BS127" i="171"/>
  <c r="CS460" i="172"/>
  <c r="CQ122" i="172"/>
  <c r="CS480" i="172"/>
  <c r="CS135" i="172"/>
  <c r="CP122" i="172"/>
  <c r="CR122" i="172"/>
  <c r="CP138" i="172"/>
  <c r="CO181" i="172"/>
  <c r="CS119" i="172"/>
  <c r="CS475" i="172"/>
  <c r="CS455" i="172"/>
  <c r="CS465" i="172"/>
  <c r="CR138" i="172"/>
  <c r="CQ138" i="172"/>
  <c r="CS470" i="172"/>
  <c r="FF61" i="12" l="1"/>
  <c r="CR111" i="172"/>
  <c r="CR105" i="172"/>
  <c r="CR129" i="172"/>
  <c r="CR100" i="172"/>
  <c r="CR134" i="172"/>
  <c r="CR118" i="172"/>
  <c r="CR149" i="172"/>
  <c r="CS181" i="172"/>
  <c r="FE61" i="12"/>
  <c r="FE54" i="12"/>
  <c r="FE69" i="12" s="1"/>
  <c r="FE29" i="12" s="1"/>
  <c r="FG29" i="12" s="1"/>
  <c r="FE53" i="12"/>
  <c r="FE67" i="12" s="1"/>
  <c r="FE11" i="12" s="1"/>
  <c r="FG11" i="12" s="1"/>
  <c r="BS174" i="171"/>
  <c r="FA31" i="7" l="1"/>
  <c r="FF31" i="7" s="1"/>
  <c r="FK31" i="7" s="1"/>
  <c r="EP70" i="12" l="1"/>
  <c r="EP68" i="12"/>
  <c r="EP62" i="12"/>
  <c r="EP60" i="12"/>
  <c r="EP64" i="12" s="1"/>
  <c r="EP52" i="12"/>
  <c r="EP43" i="12"/>
  <c r="EP46" i="12" s="1"/>
  <c r="EP17" i="12"/>
  <c r="EP10" i="12"/>
  <c r="EP8" i="12"/>
  <c r="AW116" i="175"/>
  <c r="BB116" i="175"/>
  <c r="BB129" i="175"/>
  <c r="BC131" i="175" s="1"/>
  <c r="BB101" i="175"/>
  <c r="BC23" i="171"/>
  <c r="BC6" i="171"/>
  <c r="BB82" i="175" l="1"/>
  <c r="EP54" i="12"/>
  <c r="EP69" i="12" s="1"/>
  <c r="EP29" i="12" s="1"/>
  <c r="EP53" i="12"/>
  <c r="EP67" i="12" s="1"/>
  <c r="EP11" i="12" s="1"/>
  <c r="EP61" i="12"/>
  <c r="EP66" i="123" l="1"/>
  <c r="EP84" i="7" s="1"/>
  <c r="EP64" i="123"/>
  <c r="EP83" i="7" s="1"/>
  <c r="EP61" i="123"/>
  <c r="EP82" i="7" s="1"/>
  <c r="EP51" i="123"/>
  <c r="EP47" i="123"/>
  <c r="EP46" i="123"/>
  <c r="EP45" i="123"/>
  <c r="EP39" i="123" s="1"/>
  <c r="EP41" i="123"/>
  <c r="EP38" i="123"/>
  <c r="EP26" i="123"/>
  <c r="EP27" i="123" s="1"/>
  <c r="EP23" i="123"/>
  <c r="EP21" i="123"/>
  <c r="EP17" i="123"/>
  <c r="EP16" i="123" s="1"/>
  <c r="EP18" i="123" s="1"/>
  <c r="EP13" i="123"/>
  <c r="EP12" i="123"/>
  <c r="EP58" i="123" s="1"/>
  <c r="EP10" i="123"/>
  <c r="BC11" i="171"/>
  <c r="EP117" i="135"/>
  <c r="EP113" i="135" s="1"/>
  <c r="EP111" i="135"/>
  <c r="EP108" i="135"/>
  <c r="EP104" i="135" s="1"/>
  <c r="EP99" i="135"/>
  <c r="EP95" i="135" s="1"/>
  <c r="EP85" i="135"/>
  <c r="EP91" i="135" s="1"/>
  <c r="EP56" i="135"/>
  <c r="EU57" i="135" s="1"/>
  <c r="EP53" i="135"/>
  <c r="EU54" i="135" s="1"/>
  <c r="EP46" i="135"/>
  <c r="EU48" i="135" s="1"/>
  <c r="EP42" i="135"/>
  <c r="EU44" i="135" s="1"/>
  <c r="EP9" i="135"/>
  <c r="EP119" i="135"/>
  <c r="EP120" i="135"/>
  <c r="EP118" i="135"/>
  <c r="EP110" i="135"/>
  <c r="EP109" i="135"/>
  <c r="EP101" i="135"/>
  <c r="EP102" i="135"/>
  <c r="EP100" i="135"/>
  <c r="EQ97" i="135" l="1"/>
  <c r="EU96" i="135"/>
  <c r="EQ106" i="135"/>
  <c r="EU105" i="135"/>
  <c r="EQ115" i="135"/>
  <c r="EU114" i="135"/>
  <c r="EQ56" i="123"/>
  <c r="EQ57" i="123" s="1"/>
  <c r="EQ50" i="123" s="1"/>
  <c r="EQ53" i="123" s="1"/>
  <c r="EQ62" i="123"/>
  <c r="EP67" i="123"/>
  <c r="EP36" i="135"/>
  <c r="EP88" i="135"/>
  <c r="EP89" i="135"/>
  <c r="EP65" i="123"/>
  <c r="EP28" i="123"/>
  <c r="EP59" i="123" s="1"/>
  <c r="EP11" i="123"/>
  <c r="EP14" i="123" s="1"/>
  <c r="EP29" i="123"/>
  <c r="EP30" i="123" s="1"/>
  <c r="EP40" i="123"/>
  <c r="EP60" i="123" s="1"/>
  <c r="EP90" i="135"/>
  <c r="EP92" i="135" l="1"/>
  <c r="EQ38" i="135"/>
  <c r="EP7" i="135"/>
  <c r="EP21" i="135"/>
  <c r="EP22" i="135" s="1"/>
  <c r="EQ63" i="135"/>
  <c r="EQ59" i="135"/>
  <c r="EP47" i="135"/>
  <c r="EP43" i="135"/>
  <c r="EP42" i="123"/>
  <c r="EV68" i="12" l="1"/>
  <c r="EX68" i="12"/>
  <c r="EY68" i="12"/>
  <c r="EZ68" i="12"/>
  <c r="FA68" i="12"/>
  <c r="FB41" i="7"/>
  <c r="EW41" i="7"/>
  <c r="FB21" i="7"/>
  <c r="EW21" i="7"/>
  <c r="EO58" i="123"/>
  <c r="BA240" i="175"/>
  <c r="BA129" i="175"/>
  <c r="BA101" i="175"/>
  <c r="EO66" i="123"/>
  <c r="EO84" i="7" s="1"/>
  <c r="EO64" i="123"/>
  <c r="EO83" i="7" s="1"/>
  <c r="EO61" i="123"/>
  <c r="EO82" i="7" s="1"/>
  <c r="EO51" i="123"/>
  <c r="EO47" i="123"/>
  <c r="EO46" i="123"/>
  <c r="EO45" i="123"/>
  <c r="EO39" i="123" s="1"/>
  <c r="EO41" i="123"/>
  <c r="EO38" i="123"/>
  <c r="EO40" i="123" s="1"/>
  <c r="EO60" i="123" s="1"/>
  <c r="EO26" i="123"/>
  <c r="EO27" i="123" s="1"/>
  <c r="EO23" i="123"/>
  <c r="EO21" i="123"/>
  <c r="EO17" i="123"/>
  <c r="EO16" i="123" s="1"/>
  <c r="EO18" i="123" s="1"/>
  <c r="EO13" i="123"/>
  <c r="EO12" i="123"/>
  <c r="EO10" i="123"/>
  <c r="EO70" i="12"/>
  <c r="EO68" i="12"/>
  <c r="EO62" i="12"/>
  <c r="EO60" i="12"/>
  <c r="EO64" i="12" s="1"/>
  <c r="EO52" i="12"/>
  <c r="EO43" i="12"/>
  <c r="EO46" i="12" s="1"/>
  <c r="EO17" i="12"/>
  <c r="EO10" i="12"/>
  <c r="EO8" i="12"/>
  <c r="EO117" i="135"/>
  <c r="EO113" i="135" s="1"/>
  <c r="EO108" i="135"/>
  <c r="EO104" i="135" s="1"/>
  <c r="EO99" i="135"/>
  <c r="EO95" i="135" s="1"/>
  <c r="EO85" i="135"/>
  <c r="EO88" i="135" s="1"/>
  <c r="EO56" i="135"/>
  <c r="ET57" i="135" s="1"/>
  <c r="EO53" i="135"/>
  <c r="ET54" i="135" s="1"/>
  <c r="EO46" i="135"/>
  <c r="ET48" i="135" s="1"/>
  <c r="EO42" i="135"/>
  <c r="ET44" i="135" s="1"/>
  <c r="EO9" i="135"/>
  <c r="EO19" i="135" s="1"/>
  <c r="ET19" i="135" s="1"/>
  <c r="EO120" i="135"/>
  <c r="EO111" i="135"/>
  <c r="EO102" i="135"/>
  <c r="EO119" i="135"/>
  <c r="EO118" i="135"/>
  <c r="EO110" i="135"/>
  <c r="EO109" i="135"/>
  <c r="EO101" i="135"/>
  <c r="EO100" i="135"/>
  <c r="EP97" i="135" l="1"/>
  <c r="ET96" i="135"/>
  <c r="EP106" i="135"/>
  <c r="ET105" i="135"/>
  <c r="EP115" i="135"/>
  <c r="ET114" i="135"/>
  <c r="BA82" i="175"/>
  <c r="EP56" i="123"/>
  <c r="EP57" i="123" s="1"/>
  <c r="EP50" i="123" s="1"/>
  <c r="EP53" i="123" s="1"/>
  <c r="EP62" i="123"/>
  <c r="EO67" i="123"/>
  <c r="EO14" i="123"/>
  <c r="EO42" i="123"/>
  <c r="EO28" i="123"/>
  <c r="EO59" i="123" s="1"/>
  <c r="EO11" i="123"/>
  <c r="EO29" i="123"/>
  <c r="EO30" i="123" s="1"/>
  <c r="EO65" i="123"/>
  <c r="EO54" i="12"/>
  <c r="EO69" i="12" s="1"/>
  <c r="EO29" i="12" s="1"/>
  <c r="EO53" i="12"/>
  <c r="EO67" i="12" s="1"/>
  <c r="EO11" i="12" s="1"/>
  <c r="EO61" i="12"/>
  <c r="EO91" i="135"/>
  <c r="EO89" i="135"/>
  <c r="EO90" i="135"/>
  <c r="EO14" i="135"/>
  <c r="ET14" i="135" s="1"/>
  <c r="EO36" i="135"/>
  <c r="ET37" i="135" s="1"/>
  <c r="EP38" i="135" l="1"/>
  <c r="EO7" i="135"/>
  <c r="EO21" i="135"/>
  <c r="EO22" i="135" s="1"/>
  <c r="EP63" i="135"/>
  <c r="EP59" i="135"/>
  <c r="EO47" i="135"/>
  <c r="EO43" i="135"/>
  <c r="EO92" i="135"/>
  <c r="FD31" i="7" l="1"/>
  <c r="FI31" i="7" s="1"/>
  <c r="EO63" i="12" l="1"/>
  <c r="EO65" i="12" s="1"/>
  <c r="B15" i="141" l="1"/>
  <c r="EZ9" i="135" l="1"/>
  <c r="FE9" i="135" s="1"/>
  <c r="FJ9" i="135" s="1"/>
  <c r="EY9" i="135"/>
  <c r="FD9" i="135" s="1"/>
  <c r="FI9" i="135" s="1"/>
  <c r="EY24" i="135"/>
  <c r="FD24" i="135" s="1"/>
  <c r="FI24" i="135" s="1"/>
  <c r="EV19" i="135"/>
  <c r="FA19" i="135" s="1"/>
  <c r="FF19" i="135" s="1"/>
  <c r="FK19" i="135" s="1"/>
  <c r="EU19" i="135"/>
  <c r="EZ19" i="135" s="1"/>
  <c r="FE19" i="135" s="1"/>
  <c r="FJ19" i="135" s="1"/>
  <c r="EV14" i="135"/>
  <c r="FA14" i="135" s="1"/>
  <c r="FF14" i="135" s="1"/>
  <c r="FK14" i="135" s="1"/>
  <c r="EU14" i="135"/>
  <c r="EZ14" i="135" s="1"/>
  <c r="FE14" i="135" s="1"/>
  <c r="FJ14" i="135" s="1"/>
  <c r="BY78" i="175" l="1"/>
  <c r="BX78" i="175"/>
  <c r="BW78" i="175"/>
  <c r="BB15" i="175" l="1"/>
  <c r="BZ78" i="175" l="1"/>
  <c r="BA15" i="175"/>
  <c r="BA20" i="175" l="1"/>
  <c r="BD15" i="175"/>
  <c r="EN66" i="123" l="1"/>
  <c r="EN84" i="7" s="1"/>
  <c r="ER84" i="7" s="1"/>
  <c r="ER90" i="7" s="1"/>
  <c r="EN64" i="123"/>
  <c r="EN83" i="7" s="1"/>
  <c r="ER83" i="7" s="1"/>
  <c r="ER89" i="7" s="1"/>
  <c r="EN61" i="123"/>
  <c r="EN82" i="7" s="1"/>
  <c r="EN47" i="123"/>
  <c r="EN46" i="123"/>
  <c r="EN45" i="123"/>
  <c r="EN38" i="123"/>
  <c r="EN39" i="123" s="1"/>
  <c r="EN29" i="123"/>
  <c r="EN27" i="123"/>
  <c r="EN26" i="123"/>
  <c r="EN28" i="123" s="1"/>
  <c r="EN59" i="123" s="1"/>
  <c r="EN23" i="123"/>
  <c r="EN21" i="123"/>
  <c r="EN17" i="123"/>
  <c r="EN16" i="123"/>
  <c r="EN13" i="123"/>
  <c r="EN11" i="123"/>
  <c r="EN10" i="123"/>
  <c r="EN70" i="12"/>
  <c r="EN68" i="12"/>
  <c r="EN62" i="12"/>
  <c r="EN60" i="12"/>
  <c r="EN64" i="12" s="1"/>
  <c r="EN52" i="12"/>
  <c r="EN43" i="12"/>
  <c r="EN46" i="12" s="1"/>
  <c r="EN17" i="12"/>
  <c r="EN10" i="12"/>
  <c r="EN8" i="12"/>
  <c r="EN56" i="135"/>
  <c r="ES57" i="135" s="1"/>
  <c r="EN53" i="135"/>
  <c r="ES54" i="135" s="1"/>
  <c r="EN46" i="135"/>
  <c r="ES48" i="135" s="1"/>
  <c r="EN42" i="135"/>
  <c r="ES44" i="135" s="1"/>
  <c r="AZ101" i="175"/>
  <c r="BD101" i="175" s="1"/>
  <c r="EN117" i="135"/>
  <c r="EN113" i="135" s="1"/>
  <c r="EN108" i="135"/>
  <c r="EN104" i="135" s="1"/>
  <c r="EN99" i="135"/>
  <c r="EN95" i="135" s="1"/>
  <c r="EN85" i="135"/>
  <c r="EN88" i="135" s="1"/>
  <c r="AZ129" i="175"/>
  <c r="AZ169" i="175"/>
  <c r="AZ119" i="175"/>
  <c r="EN120" i="135"/>
  <c r="EN111" i="135"/>
  <c r="EN102" i="135"/>
  <c r="EO97" i="135" l="1"/>
  <c r="ES96" i="135"/>
  <c r="EO106" i="135"/>
  <c r="ES105" i="135"/>
  <c r="EO115" i="135"/>
  <c r="ES114" i="135"/>
  <c r="ER58" i="7"/>
  <c r="ER80" i="7"/>
  <c r="ER68" i="7"/>
  <c r="ER63" i="7"/>
  <c r="EN67" i="123"/>
  <c r="EO56" i="123"/>
  <c r="EO57" i="123" s="1"/>
  <c r="EO50" i="123" s="1"/>
  <c r="EO53" i="123" s="1"/>
  <c r="EO62" i="123"/>
  <c r="AZ82" i="175"/>
  <c r="AZ20" i="175"/>
  <c r="EN36" i="135"/>
  <c r="ES37" i="135" s="1"/>
  <c r="AZ36" i="175"/>
  <c r="EN40" i="123"/>
  <c r="EN60" i="123" s="1"/>
  <c r="EN12" i="123"/>
  <c r="EN58" i="123" s="1"/>
  <c r="EN30" i="123"/>
  <c r="EN41" i="123"/>
  <c r="EN65" i="123"/>
  <c r="EN61" i="12"/>
  <c r="EN54" i="12"/>
  <c r="EN69" i="12" s="1"/>
  <c r="EN29" i="12" s="1"/>
  <c r="EN53" i="12"/>
  <c r="EN67" i="12" s="1"/>
  <c r="EN11" i="12" s="1"/>
  <c r="EN89" i="135"/>
  <c r="EN90" i="135"/>
  <c r="EN91" i="135"/>
  <c r="EN7" i="135" l="1"/>
  <c r="EN21" i="135"/>
  <c r="EN22" i="135" s="1"/>
  <c r="EO63" i="135"/>
  <c r="EO59" i="135"/>
  <c r="EN47" i="135"/>
  <c r="EN43" i="135"/>
  <c r="EO38" i="135"/>
  <c r="EN14" i="123"/>
  <c r="EN42" i="123"/>
  <c r="EN18" i="123"/>
  <c r="EN92" i="135"/>
  <c r="AX215" i="175" l="1"/>
  <c r="AX209" i="175"/>
  <c r="G181" i="7" l="1"/>
  <c r="F181" i="7"/>
  <c r="E181" i="7"/>
  <c r="D181" i="7"/>
  <c r="D179" i="7"/>
  <c r="D177" i="7"/>
  <c r="CX179" i="7"/>
  <c r="CW179" i="7"/>
  <c r="CV179" i="7"/>
  <c r="CU179" i="7"/>
  <c r="CX178" i="7"/>
  <c r="CW178" i="7"/>
  <c r="CV178" i="7"/>
  <c r="CU178" i="7"/>
  <c r="CX177" i="7"/>
  <c r="CW177" i="7"/>
  <c r="CV177" i="7"/>
  <c r="CU177" i="7"/>
  <c r="CX176" i="7"/>
  <c r="CW176" i="7"/>
  <c r="CV176" i="7"/>
  <c r="CU176" i="7"/>
  <c r="CS179" i="7"/>
  <c r="CR179" i="7"/>
  <c r="CQ179" i="7"/>
  <c r="CP179" i="7"/>
  <c r="CS178" i="7"/>
  <c r="CR178" i="7"/>
  <c r="CQ178" i="7"/>
  <c r="CP178" i="7"/>
  <c r="CS177" i="7"/>
  <c r="CR177" i="7"/>
  <c r="CQ177" i="7"/>
  <c r="CP177" i="7"/>
  <c r="CS176" i="7"/>
  <c r="CR176" i="7"/>
  <c r="CQ176" i="7"/>
  <c r="CP176" i="7"/>
  <c r="CL180" i="7"/>
  <c r="CN179" i="7"/>
  <c r="CM179" i="7"/>
  <c r="CL179" i="7"/>
  <c r="CK179" i="7"/>
  <c r="CN178" i="7"/>
  <c r="CM178" i="7"/>
  <c r="CL178" i="7"/>
  <c r="CK178" i="7"/>
  <c r="CN177" i="7"/>
  <c r="CM177" i="7"/>
  <c r="CL177" i="7"/>
  <c r="CK177" i="7"/>
  <c r="CN176" i="7"/>
  <c r="CM176" i="7"/>
  <c r="CL176" i="7"/>
  <c r="CK176" i="7"/>
  <c r="CI179" i="7"/>
  <c r="CH179" i="7"/>
  <c r="CG179" i="7"/>
  <c r="CF179" i="7"/>
  <c r="CI178" i="7"/>
  <c r="CH178" i="7"/>
  <c r="CF178" i="7"/>
  <c r="CI177" i="7"/>
  <c r="CH177" i="7"/>
  <c r="CG177" i="7"/>
  <c r="CF177" i="7"/>
  <c r="CI176" i="7"/>
  <c r="CH176" i="7"/>
  <c r="CF176" i="7"/>
  <c r="CA180" i="7"/>
  <c r="CD179" i="7"/>
  <c r="CA179" i="7"/>
  <c r="CD178" i="7"/>
  <c r="CC178" i="7"/>
  <c r="CA178" i="7"/>
  <c r="CD177" i="7"/>
  <c r="CA177" i="7"/>
  <c r="CD176" i="7"/>
  <c r="CC176" i="7"/>
  <c r="CA176" i="7"/>
  <c r="BV181" i="7"/>
  <c r="BX180" i="7"/>
  <c r="BV180" i="7"/>
  <c r="BY179" i="7"/>
  <c r="BX179" i="7"/>
  <c r="BW179" i="7"/>
  <c r="BV179" i="7"/>
  <c r="BY178" i="7"/>
  <c r="BX178" i="7"/>
  <c r="BW178" i="7"/>
  <c r="BV178" i="7"/>
  <c r="BY177" i="7"/>
  <c r="BX177" i="7"/>
  <c r="BW177" i="7"/>
  <c r="BV177" i="7"/>
  <c r="BY176" i="7"/>
  <c r="BX176" i="7"/>
  <c r="BW176" i="7"/>
  <c r="BV176" i="7"/>
  <c r="BT181" i="7"/>
  <c r="BS181" i="7"/>
  <c r="BR181" i="7"/>
  <c r="BT179" i="7"/>
  <c r="BS179" i="7"/>
  <c r="BR179" i="7"/>
  <c r="BQ179" i="7"/>
  <c r="BT178" i="7"/>
  <c r="BS178" i="7"/>
  <c r="BR178" i="7"/>
  <c r="BQ178" i="7"/>
  <c r="BT177" i="7"/>
  <c r="BS177" i="7"/>
  <c r="BR177" i="7"/>
  <c r="BQ177" i="7"/>
  <c r="BT176" i="7"/>
  <c r="BS176" i="7"/>
  <c r="BR176" i="7"/>
  <c r="BQ176" i="7"/>
  <c r="BO179" i="7"/>
  <c r="BN179" i="7"/>
  <c r="BM179" i="7"/>
  <c r="BL179" i="7"/>
  <c r="BO178" i="7"/>
  <c r="BN178" i="7"/>
  <c r="BM178" i="7"/>
  <c r="BL178" i="7"/>
  <c r="BO177" i="7"/>
  <c r="BN177" i="7"/>
  <c r="BM177" i="7"/>
  <c r="BL177" i="7"/>
  <c r="BO176" i="7"/>
  <c r="BN176" i="7"/>
  <c r="BM176" i="7"/>
  <c r="BL176" i="7"/>
  <c r="BJ179" i="7"/>
  <c r="BI179" i="7"/>
  <c r="BH179" i="7"/>
  <c r="BG179" i="7"/>
  <c r="BJ178" i="7"/>
  <c r="BI178" i="7"/>
  <c r="BH178" i="7"/>
  <c r="BG178" i="7"/>
  <c r="BJ177" i="7"/>
  <c r="BI177" i="7"/>
  <c r="BH177" i="7"/>
  <c r="BG177" i="7"/>
  <c r="BJ176" i="7"/>
  <c r="BI176" i="7"/>
  <c r="BH176" i="7"/>
  <c r="BG176" i="7"/>
  <c r="BE181" i="7"/>
  <c r="BD181" i="7"/>
  <c r="BC181" i="7"/>
  <c r="BB181" i="7"/>
  <c r="BE180" i="7"/>
  <c r="BD180" i="7"/>
  <c r="BC180" i="7"/>
  <c r="BB180" i="7"/>
  <c r="BE179" i="7"/>
  <c r="BD179" i="7"/>
  <c r="BC179" i="7"/>
  <c r="BB179" i="7"/>
  <c r="BE178" i="7"/>
  <c r="BD178" i="7"/>
  <c r="BC178" i="7"/>
  <c r="BB178" i="7"/>
  <c r="BE177" i="7"/>
  <c r="BD177" i="7"/>
  <c r="BC177" i="7"/>
  <c r="BB177" i="7"/>
  <c r="BE176" i="7"/>
  <c r="BD176" i="7"/>
  <c r="BC176" i="7"/>
  <c r="BB176" i="7"/>
  <c r="AZ181" i="7"/>
  <c r="AY181" i="7"/>
  <c r="AX181" i="7"/>
  <c r="AW181" i="7"/>
  <c r="AZ180" i="7"/>
  <c r="AY180" i="7"/>
  <c r="AX180" i="7"/>
  <c r="AW180" i="7"/>
  <c r="AZ179" i="7"/>
  <c r="AY179" i="7"/>
  <c r="AX179" i="7"/>
  <c r="AW179" i="7"/>
  <c r="AZ178" i="7"/>
  <c r="AY178" i="7"/>
  <c r="AX178" i="7"/>
  <c r="AW178" i="7"/>
  <c r="AZ177" i="7"/>
  <c r="AY177" i="7"/>
  <c r="AX177" i="7"/>
  <c r="AW177" i="7"/>
  <c r="AZ176" i="7"/>
  <c r="AY176" i="7"/>
  <c r="AX176" i="7"/>
  <c r="AW176" i="7"/>
  <c r="AU181" i="7"/>
  <c r="AT181" i="7"/>
  <c r="AS181" i="7"/>
  <c r="AR181" i="7"/>
  <c r="AU180" i="7"/>
  <c r="AT180" i="7"/>
  <c r="AS180" i="7"/>
  <c r="AR180" i="7"/>
  <c r="AU179" i="7"/>
  <c r="AT179" i="7"/>
  <c r="AS179" i="7"/>
  <c r="AR179" i="7"/>
  <c r="AU178" i="7"/>
  <c r="AT178" i="7"/>
  <c r="AS178" i="7"/>
  <c r="AR178" i="7"/>
  <c r="AU177" i="7"/>
  <c r="AT177" i="7"/>
  <c r="AS177" i="7"/>
  <c r="AR177" i="7"/>
  <c r="AU176" i="7"/>
  <c r="AT176" i="7"/>
  <c r="AS176" i="7"/>
  <c r="AR176" i="7"/>
  <c r="AP181" i="7"/>
  <c r="AO181" i="7"/>
  <c r="AN181" i="7"/>
  <c r="AM181" i="7"/>
  <c r="AP180" i="7"/>
  <c r="AO180" i="7"/>
  <c r="AN180" i="7"/>
  <c r="AM180" i="7"/>
  <c r="AP179" i="7"/>
  <c r="AO179" i="7"/>
  <c r="AN179" i="7"/>
  <c r="AM179" i="7"/>
  <c r="AP178" i="7"/>
  <c r="AO178" i="7"/>
  <c r="AN178" i="7"/>
  <c r="AM178" i="7"/>
  <c r="AP177" i="7"/>
  <c r="AO177" i="7"/>
  <c r="AN177" i="7"/>
  <c r="AM177" i="7"/>
  <c r="AP176" i="7"/>
  <c r="AO176" i="7"/>
  <c r="AN176" i="7"/>
  <c r="AM176" i="7"/>
  <c r="AK181" i="7"/>
  <c r="AJ181" i="7"/>
  <c r="AI181" i="7"/>
  <c r="AH181" i="7"/>
  <c r="AK180" i="7"/>
  <c r="AJ180" i="7"/>
  <c r="AI180" i="7"/>
  <c r="AH180" i="7"/>
  <c r="AK179" i="7"/>
  <c r="AJ179" i="7"/>
  <c r="AI179" i="7"/>
  <c r="AH179" i="7"/>
  <c r="AK178" i="7"/>
  <c r="AJ178" i="7"/>
  <c r="AI178" i="7"/>
  <c r="AH178" i="7"/>
  <c r="AK177" i="7"/>
  <c r="AJ177" i="7"/>
  <c r="AI177" i="7"/>
  <c r="AH177" i="7"/>
  <c r="AK176" i="7"/>
  <c r="AJ176" i="7"/>
  <c r="AI176" i="7"/>
  <c r="AH176" i="7"/>
  <c r="AF181" i="7"/>
  <c r="AE181" i="7"/>
  <c r="AD181" i="7"/>
  <c r="AC181" i="7"/>
  <c r="AF180" i="7"/>
  <c r="AE180" i="7"/>
  <c r="AD180" i="7"/>
  <c r="AC180" i="7"/>
  <c r="AF179" i="7"/>
  <c r="AE179" i="7"/>
  <c r="AD179" i="7"/>
  <c r="AC179" i="7"/>
  <c r="AF178" i="7"/>
  <c r="AE178" i="7"/>
  <c r="AD178" i="7"/>
  <c r="AC178" i="7"/>
  <c r="AF177" i="7"/>
  <c r="AE177" i="7"/>
  <c r="AD177" i="7"/>
  <c r="AC177" i="7"/>
  <c r="AF176" i="7"/>
  <c r="AE176" i="7"/>
  <c r="AD176" i="7"/>
  <c r="AC176" i="7"/>
  <c r="AA181" i="7"/>
  <c r="Z181" i="7"/>
  <c r="Y181" i="7"/>
  <c r="X181" i="7"/>
  <c r="AA180" i="7"/>
  <c r="Z180" i="7"/>
  <c r="Y180" i="7"/>
  <c r="X180" i="7"/>
  <c r="AA179" i="7"/>
  <c r="Z179" i="7"/>
  <c r="Y179" i="7"/>
  <c r="X179" i="7"/>
  <c r="AA178" i="7"/>
  <c r="Z178" i="7"/>
  <c r="Y178" i="7"/>
  <c r="X178" i="7"/>
  <c r="AA177" i="7"/>
  <c r="Z177" i="7"/>
  <c r="Y177" i="7"/>
  <c r="X177" i="7"/>
  <c r="AA176" i="7"/>
  <c r="Z176" i="7"/>
  <c r="Y176" i="7"/>
  <c r="X176" i="7"/>
  <c r="V181" i="7"/>
  <c r="U181" i="7"/>
  <c r="T181" i="7"/>
  <c r="S181" i="7"/>
  <c r="V180" i="7"/>
  <c r="U180" i="7"/>
  <c r="T180" i="7"/>
  <c r="S180" i="7"/>
  <c r="V179" i="7"/>
  <c r="U179" i="7"/>
  <c r="T179" i="7"/>
  <c r="S179" i="7"/>
  <c r="V178" i="7"/>
  <c r="U178" i="7"/>
  <c r="T178" i="7"/>
  <c r="S178" i="7"/>
  <c r="V177" i="7"/>
  <c r="U177" i="7"/>
  <c r="T177" i="7"/>
  <c r="S177" i="7"/>
  <c r="V176" i="7"/>
  <c r="U176" i="7"/>
  <c r="T176" i="7"/>
  <c r="S176" i="7"/>
  <c r="Q181" i="7"/>
  <c r="P181" i="7"/>
  <c r="O181" i="7"/>
  <c r="N181" i="7"/>
  <c r="Q180" i="7"/>
  <c r="P180" i="7"/>
  <c r="O180" i="7"/>
  <c r="N180" i="7"/>
  <c r="Q179" i="7"/>
  <c r="P179" i="7"/>
  <c r="O179" i="7"/>
  <c r="N179" i="7"/>
  <c r="Q178" i="7"/>
  <c r="P178" i="7"/>
  <c r="O178" i="7"/>
  <c r="N178" i="7"/>
  <c r="Q177" i="7"/>
  <c r="P177" i="7"/>
  <c r="O177" i="7"/>
  <c r="N177" i="7"/>
  <c r="Q176" i="7"/>
  <c r="P176" i="7"/>
  <c r="O176" i="7"/>
  <c r="N176" i="7"/>
  <c r="L181" i="7"/>
  <c r="K181" i="7"/>
  <c r="J181" i="7"/>
  <c r="I181" i="7"/>
  <c r="L180" i="7"/>
  <c r="K180" i="7"/>
  <c r="J180" i="7"/>
  <c r="I180" i="7"/>
  <c r="L179" i="7"/>
  <c r="K179" i="7"/>
  <c r="J179" i="7"/>
  <c r="I179" i="7"/>
  <c r="L178" i="7"/>
  <c r="K178" i="7"/>
  <c r="J178" i="7"/>
  <c r="I178" i="7"/>
  <c r="L177" i="7"/>
  <c r="K177" i="7"/>
  <c r="J177" i="7"/>
  <c r="I177" i="7"/>
  <c r="L176" i="7"/>
  <c r="K176" i="7"/>
  <c r="J176" i="7"/>
  <c r="I176" i="7"/>
  <c r="G180" i="7"/>
  <c r="F180" i="7"/>
  <c r="E180" i="7"/>
  <c r="G179" i="7"/>
  <c r="F179" i="7"/>
  <c r="E179" i="7"/>
  <c r="G178" i="7"/>
  <c r="F178" i="7"/>
  <c r="E178" i="7"/>
  <c r="G177" i="7"/>
  <c r="F177" i="7"/>
  <c r="E177" i="7"/>
  <c r="G176" i="7"/>
  <c r="F176" i="7"/>
  <c r="E176" i="7"/>
  <c r="L174" i="7"/>
  <c r="K174" i="7"/>
  <c r="J174" i="7"/>
  <c r="I174" i="7"/>
  <c r="L173" i="7"/>
  <c r="K173" i="7"/>
  <c r="J173" i="7"/>
  <c r="I173" i="7"/>
  <c r="L172" i="7"/>
  <c r="K172" i="7"/>
  <c r="J172" i="7"/>
  <c r="I172" i="7"/>
  <c r="L171" i="7"/>
  <c r="K171" i="7"/>
  <c r="J171" i="7"/>
  <c r="I171" i="7"/>
  <c r="L170" i="7"/>
  <c r="K170" i="7"/>
  <c r="J170" i="7"/>
  <c r="I170" i="7"/>
  <c r="G174" i="7"/>
  <c r="F174" i="7"/>
  <c r="E174" i="7"/>
  <c r="D174" i="7"/>
  <c r="G173" i="7"/>
  <c r="F173" i="7"/>
  <c r="E173" i="7"/>
  <c r="D173" i="7"/>
  <c r="G172" i="7"/>
  <c r="F172" i="7"/>
  <c r="E172" i="7"/>
  <c r="D172" i="7"/>
  <c r="G171" i="7"/>
  <c r="F171" i="7"/>
  <c r="E171" i="7"/>
  <c r="D171" i="7"/>
  <c r="G170" i="7"/>
  <c r="F170" i="7"/>
  <c r="E170" i="7"/>
  <c r="D170" i="7"/>
  <c r="BO174" i="7"/>
  <c r="BN174" i="7"/>
  <c r="BM174" i="7"/>
  <c r="BL174" i="7"/>
  <c r="BO173" i="7"/>
  <c r="BN173" i="7"/>
  <c r="BM173" i="7"/>
  <c r="BL173" i="7"/>
  <c r="BO172" i="7"/>
  <c r="BN172" i="7"/>
  <c r="BM172" i="7"/>
  <c r="BL172" i="7"/>
  <c r="BO171" i="7"/>
  <c r="BN171" i="7"/>
  <c r="BM171" i="7"/>
  <c r="BL171" i="7"/>
  <c r="BO170" i="7"/>
  <c r="BN170" i="7"/>
  <c r="BM170" i="7"/>
  <c r="BL170" i="7"/>
  <c r="BJ174" i="7"/>
  <c r="BI174" i="7"/>
  <c r="BH174" i="7"/>
  <c r="BG174" i="7"/>
  <c r="BJ173" i="7"/>
  <c r="BI173" i="7"/>
  <c r="BH173" i="7"/>
  <c r="BG173" i="7"/>
  <c r="BJ172" i="7"/>
  <c r="BI172" i="7"/>
  <c r="BH172" i="7"/>
  <c r="BG172" i="7"/>
  <c r="BJ171" i="7"/>
  <c r="BI171" i="7"/>
  <c r="BH171" i="7"/>
  <c r="BG171" i="7"/>
  <c r="BJ170" i="7"/>
  <c r="BI170" i="7"/>
  <c r="BH170" i="7"/>
  <c r="BG170" i="7"/>
  <c r="BE174" i="7"/>
  <c r="BD174" i="7"/>
  <c r="BC174" i="7"/>
  <c r="BB174" i="7"/>
  <c r="BE173" i="7"/>
  <c r="BD173" i="7"/>
  <c r="BC173" i="7"/>
  <c r="BB173" i="7"/>
  <c r="BE172" i="7"/>
  <c r="BD172" i="7"/>
  <c r="BC172" i="7"/>
  <c r="BB172" i="7"/>
  <c r="BE171" i="7"/>
  <c r="BD171" i="7"/>
  <c r="BC171" i="7"/>
  <c r="BB171" i="7"/>
  <c r="BE170" i="7"/>
  <c r="BD170" i="7"/>
  <c r="BC170" i="7"/>
  <c r="BB170" i="7"/>
  <c r="AZ174" i="7"/>
  <c r="AY174" i="7"/>
  <c r="AX174" i="7"/>
  <c r="AW174" i="7"/>
  <c r="AZ173" i="7"/>
  <c r="AY173" i="7"/>
  <c r="AX173" i="7"/>
  <c r="AW173" i="7"/>
  <c r="AZ172" i="7"/>
  <c r="AY172" i="7"/>
  <c r="AX172" i="7"/>
  <c r="AW172" i="7"/>
  <c r="AZ171" i="7"/>
  <c r="AY171" i="7"/>
  <c r="AX171" i="7"/>
  <c r="AW171" i="7"/>
  <c r="AZ170" i="7"/>
  <c r="AY170" i="7"/>
  <c r="AX170" i="7"/>
  <c r="AW170" i="7"/>
  <c r="AU174" i="7"/>
  <c r="AT174" i="7"/>
  <c r="AS174" i="7"/>
  <c r="AR174" i="7"/>
  <c r="AU173" i="7"/>
  <c r="AT173" i="7"/>
  <c r="AS173" i="7"/>
  <c r="AR173" i="7"/>
  <c r="AU172" i="7"/>
  <c r="AT172" i="7"/>
  <c r="AS172" i="7"/>
  <c r="AR172" i="7"/>
  <c r="AU171" i="7"/>
  <c r="AT171" i="7"/>
  <c r="AS171" i="7"/>
  <c r="AR171" i="7"/>
  <c r="AU170" i="7"/>
  <c r="AT170" i="7"/>
  <c r="AS170" i="7"/>
  <c r="AR170" i="7"/>
  <c r="AP174" i="7"/>
  <c r="AO174" i="7"/>
  <c r="AN174" i="7"/>
  <c r="AM174" i="7"/>
  <c r="AP173" i="7"/>
  <c r="AO173" i="7"/>
  <c r="AN173" i="7"/>
  <c r="AM173" i="7"/>
  <c r="AP172" i="7"/>
  <c r="AO172" i="7"/>
  <c r="AN172" i="7"/>
  <c r="AM172" i="7"/>
  <c r="AP171" i="7"/>
  <c r="AO171" i="7"/>
  <c r="AN171" i="7"/>
  <c r="AM171" i="7"/>
  <c r="AP170" i="7"/>
  <c r="AO170" i="7"/>
  <c r="AN170" i="7"/>
  <c r="AM170" i="7"/>
  <c r="AK174" i="7"/>
  <c r="AJ174" i="7"/>
  <c r="AI174" i="7"/>
  <c r="AH174" i="7"/>
  <c r="AK173" i="7"/>
  <c r="AJ173" i="7"/>
  <c r="AI173" i="7"/>
  <c r="AH173" i="7"/>
  <c r="AK172" i="7"/>
  <c r="AJ172" i="7"/>
  <c r="AI172" i="7"/>
  <c r="AH172" i="7"/>
  <c r="AK171" i="7"/>
  <c r="AJ171" i="7"/>
  <c r="AI171" i="7"/>
  <c r="AH171" i="7"/>
  <c r="AK170" i="7"/>
  <c r="AJ170" i="7"/>
  <c r="AI170" i="7"/>
  <c r="AH170" i="7"/>
  <c r="AF174" i="7"/>
  <c r="AE174" i="7"/>
  <c r="AD174" i="7"/>
  <c r="AC174" i="7"/>
  <c r="AF173" i="7"/>
  <c r="AE173" i="7"/>
  <c r="AD173" i="7"/>
  <c r="AC173" i="7"/>
  <c r="AF172" i="7"/>
  <c r="AE172" i="7"/>
  <c r="AD172" i="7"/>
  <c r="AC172" i="7"/>
  <c r="AF171" i="7"/>
  <c r="AE171" i="7"/>
  <c r="AD171" i="7"/>
  <c r="AC171" i="7"/>
  <c r="AF170" i="7"/>
  <c r="AE170" i="7"/>
  <c r="AD170" i="7"/>
  <c r="AC170" i="7"/>
  <c r="AA174" i="7"/>
  <c r="Z174" i="7"/>
  <c r="Y174" i="7"/>
  <c r="X174" i="7"/>
  <c r="AA173" i="7"/>
  <c r="Z173" i="7"/>
  <c r="Y173" i="7"/>
  <c r="X173" i="7"/>
  <c r="AA172" i="7"/>
  <c r="Z172" i="7"/>
  <c r="Y172" i="7"/>
  <c r="X172" i="7"/>
  <c r="AA171" i="7"/>
  <c r="Z171" i="7"/>
  <c r="Y171" i="7"/>
  <c r="X171" i="7"/>
  <c r="AA170" i="7"/>
  <c r="Z170" i="7"/>
  <c r="Y170" i="7"/>
  <c r="X170" i="7"/>
  <c r="V174" i="7"/>
  <c r="U174" i="7"/>
  <c r="T174" i="7"/>
  <c r="S174" i="7"/>
  <c r="V173" i="7"/>
  <c r="U173" i="7"/>
  <c r="T173" i="7"/>
  <c r="S173" i="7"/>
  <c r="V172" i="7"/>
  <c r="U172" i="7"/>
  <c r="T172" i="7"/>
  <c r="S172" i="7"/>
  <c r="V171" i="7"/>
  <c r="U171" i="7"/>
  <c r="T171" i="7"/>
  <c r="S171" i="7"/>
  <c r="V170" i="7"/>
  <c r="U170" i="7"/>
  <c r="T170" i="7"/>
  <c r="S170" i="7"/>
  <c r="Q174" i="7"/>
  <c r="P174" i="7"/>
  <c r="O174" i="7"/>
  <c r="N174" i="7"/>
  <c r="Q173" i="7"/>
  <c r="P173" i="7"/>
  <c r="O173" i="7"/>
  <c r="N173" i="7"/>
  <c r="Q172" i="7"/>
  <c r="P172" i="7"/>
  <c r="O172" i="7"/>
  <c r="N172" i="7"/>
  <c r="Q171" i="7"/>
  <c r="P171" i="7"/>
  <c r="O171" i="7"/>
  <c r="N171" i="7"/>
  <c r="Q170" i="7"/>
  <c r="P170" i="7"/>
  <c r="O170" i="7"/>
  <c r="N170" i="7"/>
  <c r="G167" i="7"/>
  <c r="F167" i="7"/>
  <c r="E167" i="7"/>
  <c r="D167" i="7"/>
  <c r="FY166" i="7"/>
  <c r="FX166" i="7"/>
  <c r="FW166" i="7"/>
  <c r="FV166" i="7"/>
  <c r="FU166" i="7"/>
  <c r="FT166" i="7"/>
  <c r="FS166" i="7"/>
  <c r="FR166" i="7"/>
  <c r="FQ166" i="7"/>
  <c r="FP166" i="7"/>
  <c r="FO166" i="7"/>
  <c r="FN166" i="7"/>
  <c r="D165" i="7"/>
  <c r="FY164" i="7"/>
  <c r="FX164" i="7"/>
  <c r="FW164" i="7"/>
  <c r="FV164" i="7"/>
  <c r="FU164" i="7"/>
  <c r="FT164" i="7"/>
  <c r="FS164" i="7"/>
  <c r="FR164" i="7"/>
  <c r="FQ164" i="7"/>
  <c r="FP164" i="7"/>
  <c r="FO164" i="7"/>
  <c r="FN164" i="7"/>
  <c r="D163" i="7"/>
  <c r="FY162" i="7"/>
  <c r="FX162" i="7"/>
  <c r="FW162" i="7"/>
  <c r="FV162" i="7"/>
  <c r="FU162" i="7"/>
  <c r="FT162" i="7"/>
  <c r="FS162" i="7"/>
  <c r="FR162" i="7"/>
  <c r="FQ162" i="7"/>
  <c r="FP162" i="7"/>
  <c r="FO162" i="7"/>
  <c r="FN162" i="7"/>
  <c r="D161" i="7"/>
  <c r="FY160" i="7"/>
  <c r="FX160" i="7"/>
  <c r="FW160" i="7"/>
  <c r="FV160" i="7"/>
  <c r="FU160" i="7"/>
  <c r="FT160" i="7"/>
  <c r="FS160" i="7"/>
  <c r="FR160" i="7"/>
  <c r="FQ160" i="7"/>
  <c r="FP160" i="7"/>
  <c r="FO160" i="7"/>
  <c r="FN160" i="7"/>
  <c r="CX167" i="7"/>
  <c r="CW167" i="7"/>
  <c r="CV167" i="7"/>
  <c r="CU167" i="7"/>
  <c r="CX166" i="7"/>
  <c r="CW166" i="7"/>
  <c r="CV166" i="7"/>
  <c r="CU166" i="7"/>
  <c r="CX165" i="7"/>
  <c r="CW165" i="7"/>
  <c r="CV165" i="7"/>
  <c r="CU165" i="7"/>
  <c r="CX164" i="7"/>
  <c r="CW164" i="7"/>
  <c r="CV164" i="7"/>
  <c r="CU164" i="7"/>
  <c r="CX163" i="7"/>
  <c r="CW163" i="7"/>
  <c r="CV163" i="7"/>
  <c r="CU163" i="7"/>
  <c r="CX162" i="7"/>
  <c r="CW162" i="7"/>
  <c r="CV162" i="7"/>
  <c r="CU162" i="7"/>
  <c r="CX161" i="7"/>
  <c r="CW161" i="7"/>
  <c r="CV161" i="7"/>
  <c r="CU161" i="7"/>
  <c r="CX160" i="7"/>
  <c r="CW160" i="7"/>
  <c r="CV160" i="7"/>
  <c r="CU160" i="7"/>
  <c r="CX157" i="7"/>
  <c r="CW157" i="7"/>
  <c r="CV157" i="7"/>
  <c r="CU157" i="7"/>
  <c r="CS167" i="7"/>
  <c r="CR167" i="7"/>
  <c r="CQ167" i="7"/>
  <c r="CP167" i="7"/>
  <c r="CS166" i="7"/>
  <c r="CR166" i="7"/>
  <c r="CQ166" i="7"/>
  <c r="CP166" i="7"/>
  <c r="CS165" i="7"/>
  <c r="CR165" i="7"/>
  <c r="CQ165" i="7"/>
  <c r="CP165" i="7"/>
  <c r="CS164" i="7"/>
  <c r="CR164" i="7"/>
  <c r="CQ164" i="7"/>
  <c r="CP164" i="7"/>
  <c r="CS163" i="7"/>
  <c r="CR163" i="7"/>
  <c r="CQ163" i="7"/>
  <c r="CP163" i="7"/>
  <c r="CS162" i="7"/>
  <c r="CR162" i="7"/>
  <c r="CQ162" i="7"/>
  <c r="CP162" i="7"/>
  <c r="CS161" i="7"/>
  <c r="CR161" i="7"/>
  <c r="CQ161" i="7"/>
  <c r="CP161" i="7"/>
  <c r="CS160" i="7"/>
  <c r="CR160" i="7"/>
  <c r="CQ160" i="7"/>
  <c r="CP160" i="7"/>
  <c r="CS157" i="7"/>
  <c r="CR157" i="7"/>
  <c r="CQ157" i="7"/>
  <c r="CP157" i="7"/>
  <c r="CN167" i="7"/>
  <c r="CM167" i="7"/>
  <c r="CL167" i="7"/>
  <c r="CK167" i="7"/>
  <c r="CN166" i="7"/>
  <c r="CM166" i="7"/>
  <c r="CL166" i="7"/>
  <c r="CK166" i="7"/>
  <c r="CN165" i="7"/>
  <c r="CM165" i="7"/>
  <c r="CL165" i="7"/>
  <c r="CK165" i="7"/>
  <c r="CN164" i="7"/>
  <c r="CM164" i="7"/>
  <c r="CL164" i="7"/>
  <c r="CK164" i="7"/>
  <c r="CN163" i="7"/>
  <c r="CM163" i="7"/>
  <c r="CL163" i="7"/>
  <c r="CK163" i="7"/>
  <c r="CN162" i="7"/>
  <c r="CM162" i="7"/>
  <c r="CL162" i="7"/>
  <c r="CK162" i="7"/>
  <c r="CN161" i="7"/>
  <c r="CM161" i="7"/>
  <c r="CL161" i="7"/>
  <c r="CK161" i="7"/>
  <c r="CN160" i="7"/>
  <c r="CM160" i="7"/>
  <c r="CL160" i="7"/>
  <c r="CK160" i="7"/>
  <c r="CN157" i="7"/>
  <c r="CM157" i="7"/>
  <c r="CL157" i="7"/>
  <c r="CK157" i="7"/>
  <c r="CI167" i="7"/>
  <c r="CH167" i="7"/>
  <c r="CG167" i="7"/>
  <c r="CF167" i="7"/>
  <c r="CI166" i="7"/>
  <c r="CH166" i="7"/>
  <c r="CG166" i="7"/>
  <c r="CF166" i="7"/>
  <c r="CI165" i="7"/>
  <c r="CH165" i="7"/>
  <c r="CG165" i="7"/>
  <c r="CF165" i="7"/>
  <c r="CI164" i="7"/>
  <c r="CH164" i="7"/>
  <c r="CG164" i="7"/>
  <c r="CF164" i="7"/>
  <c r="CI163" i="7"/>
  <c r="CH163" i="7"/>
  <c r="CG163" i="7"/>
  <c r="CF163" i="7"/>
  <c r="CI162" i="7"/>
  <c r="CH162" i="7"/>
  <c r="CG162" i="7"/>
  <c r="CF162" i="7"/>
  <c r="CI161" i="7"/>
  <c r="CH161" i="7"/>
  <c r="CG161" i="7"/>
  <c r="CF161" i="7"/>
  <c r="CI160" i="7"/>
  <c r="CH160" i="7"/>
  <c r="CG160" i="7"/>
  <c r="CF160" i="7"/>
  <c r="CI157" i="7"/>
  <c r="CH157" i="7"/>
  <c r="CG157" i="7"/>
  <c r="CF157" i="7"/>
  <c r="CD167" i="7"/>
  <c r="CC167" i="7"/>
  <c r="CB167" i="7"/>
  <c r="CA167" i="7"/>
  <c r="CD166" i="7"/>
  <c r="CC166" i="7"/>
  <c r="CB166" i="7"/>
  <c r="CA166" i="7"/>
  <c r="CD165" i="7"/>
  <c r="CC165" i="7"/>
  <c r="CB165" i="7"/>
  <c r="CA165" i="7"/>
  <c r="CD164" i="7"/>
  <c r="CC164" i="7"/>
  <c r="CB164" i="7"/>
  <c r="CA164" i="7"/>
  <c r="CD163" i="7"/>
  <c r="CC163" i="7"/>
  <c r="CB163" i="7"/>
  <c r="CA163" i="7"/>
  <c r="CD162" i="7"/>
  <c r="CC162" i="7"/>
  <c r="CB162" i="7"/>
  <c r="CA162" i="7"/>
  <c r="CD161" i="7"/>
  <c r="CC161" i="7"/>
  <c r="CB161" i="7"/>
  <c r="CA161" i="7"/>
  <c r="CD160" i="7"/>
  <c r="CC160" i="7"/>
  <c r="CB160" i="7"/>
  <c r="CA160" i="7"/>
  <c r="CD157" i="7"/>
  <c r="CC157" i="7"/>
  <c r="CB157" i="7"/>
  <c r="CA157" i="7"/>
  <c r="BY167" i="7"/>
  <c r="BX167" i="7"/>
  <c r="BW167" i="7"/>
  <c r="BV167" i="7"/>
  <c r="BY166" i="7"/>
  <c r="BX166" i="7"/>
  <c r="BW166" i="7"/>
  <c r="BV166" i="7"/>
  <c r="BY165" i="7"/>
  <c r="BX165" i="7"/>
  <c r="BW165" i="7"/>
  <c r="BV165" i="7"/>
  <c r="BY164" i="7"/>
  <c r="BX164" i="7"/>
  <c r="BW164" i="7"/>
  <c r="BV164" i="7"/>
  <c r="BY163" i="7"/>
  <c r="BX163" i="7"/>
  <c r="BW163" i="7"/>
  <c r="BV163" i="7"/>
  <c r="BY162" i="7"/>
  <c r="BX162" i="7"/>
  <c r="BW162" i="7"/>
  <c r="BV162" i="7"/>
  <c r="BY161" i="7"/>
  <c r="BX161" i="7"/>
  <c r="BW161" i="7"/>
  <c r="BV161" i="7"/>
  <c r="BY160" i="7"/>
  <c r="BX160" i="7"/>
  <c r="BW160" i="7"/>
  <c r="BV160" i="7"/>
  <c r="BY157" i="7"/>
  <c r="BX157" i="7"/>
  <c r="BW157" i="7"/>
  <c r="BV157" i="7"/>
  <c r="BT167" i="7"/>
  <c r="BS167" i="7"/>
  <c r="BR167" i="7"/>
  <c r="BQ167" i="7"/>
  <c r="BT166" i="7"/>
  <c r="BS166" i="7"/>
  <c r="BR166" i="7"/>
  <c r="BQ166" i="7"/>
  <c r="BT165" i="7"/>
  <c r="BS165" i="7"/>
  <c r="BR165" i="7"/>
  <c r="BQ165" i="7"/>
  <c r="BT164" i="7"/>
  <c r="BS164" i="7"/>
  <c r="BR164" i="7"/>
  <c r="BQ164" i="7"/>
  <c r="BT163" i="7"/>
  <c r="BS163" i="7"/>
  <c r="BR163" i="7"/>
  <c r="BQ163" i="7"/>
  <c r="BT162" i="7"/>
  <c r="BS162" i="7"/>
  <c r="BR162" i="7"/>
  <c r="BQ162" i="7"/>
  <c r="BT161" i="7"/>
  <c r="BS161" i="7"/>
  <c r="BR161" i="7"/>
  <c r="BQ161" i="7"/>
  <c r="BT160" i="7"/>
  <c r="BS160" i="7"/>
  <c r="BR160" i="7"/>
  <c r="BQ160" i="7"/>
  <c r="BT157" i="7"/>
  <c r="BS157" i="7"/>
  <c r="BR157" i="7"/>
  <c r="BQ157" i="7"/>
  <c r="BO167" i="7"/>
  <c r="BN167" i="7"/>
  <c r="BM167" i="7"/>
  <c r="BL167" i="7"/>
  <c r="BO166" i="7"/>
  <c r="BN166" i="7"/>
  <c r="BM166" i="7"/>
  <c r="BL166" i="7"/>
  <c r="BO165" i="7"/>
  <c r="BN165" i="7"/>
  <c r="BM165" i="7"/>
  <c r="BL165" i="7"/>
  <c r="BO164" i="7"/>
  <c r="BN164" i="7"/>
  <c r="BM164" i="7"/>
  <c r="BL164" i="7"/>
  <c r="BO163" i="7"/>
  <c r="BN163" i="7"/>
  <c r="BM163" i="7"/>
  <c r="BL163" i="7"/>
  <c r="BO162" i="7"/>
  <c r="BN162" i="7"/>
  <c r="BM162" i="7"/>
  <c r="BL162" i="7"/>
  <c r="BO161" i="7"/>
  <c r="BN161" i="7"/>
  <c r="BM161" i="7"/>
  <c r="BL161" i="7"/>
  <c r="BO160" i="7"/>
  <c r="BN160" i="7"/>
  <c r="BM160" i="7"/>
  <c r="BL160" i="7"/>
  <c r="BO157" i="7"/>
  <c r="BN157" i="7"/>
  <c r="BM157" i="7"/>
  <c r="BL157" i="7"/>
  <c r="BJ167" i="7"/>
  <c r="BI167" i="7"/>
  <c r="BH167" i="7"/>
  <c r="BG167" i="7"/>
  <c r="BJ166" i="7"/>
  <c r="BI166" i="7"/>
  <c r="BH166" i="7"/>
  <c r="BG166" i="7"/>
  <c r="BJ165" i="7"/>
  <c r="BI165" i="7"/>
  <c r="BH165" i="7"/>
  <c r="BG165" i="7"/>
  <c r="BJ164" i="7"/>
  <c r="BI164" i="7"/>
  <c r="BH164" i="7"/>
  <c r="BG164" i="7"/>
  <c r="BJ163" i="7"/>
  <c r="BI163" i="7"/>
  <c r="BH163" i="7"/>
  <c r="BG163" i="7"/>
  <c r="BJ162" i="7"/>
  <c r="BI162" i="7"/>
  <c r="BH162" i="7"/>
  <c r="BG162" i="7"/>
  <c r="BJ161" i="7"/>
  <c r="BI161" i="7"/>
  <c r="BH161" i="7"/>
  <c r="BG161" i="7"/>
  <c r="BJ160" i="7"/>
  <c r="BI160" i="7"/>
  <c r="BH160" i="7"/>
  <c r="BG160" i="7"/>
  <c r="BJ157" i="7"/>
  <c r="BI157" i="7"/>
  <c r="BH157" i="7"/>
  <c r="BG157" i="7"/>
  <c r="BE167" i="7"/>
  <c r="BD167" i="7"/>
  <c r="BC167" i="7"/>
  <c r="BB167" i="7"/>
  <c r="BE166" i="7"/>
  <c r="BD166" i="7"/>
  <c r="BC166" i="7"/>
  <c r="BB166" i="7"/>
  <c r="BE165" i="7"/>
  <c r="BD165" i="7"/>
  <c r="BC165" i="7"/>
  <c r="BB165" i="7"/>
  <c r="BE164" i="7"/>
  <c r="BD164" i="7"/>
  <c r="BC164" i="7"/>
  <c r="BB164" i="7"/>
  <c r="BE163" i="7"/>
  <c r="BD163" i="7"/>
  <c r="BC163" i="7"/>
  <c r="BB163" i="7"/>
  <c r="BE162" i="7"/>
  <c r="BD162" i="7"/>
  <c r="BC162" i="7"/>
  <c r="BB162" i="7"/>
  <c r="BE161" i="7"/>
  <c r="BD161" i="7"/>
  <c r="BC161" i="7"/>
  <c r="BB161" i="7"/>
  <c r="BE160" i="7"/>
  <c r="BD160" i="7"/>
  <c r="BC160" i="7"/>
  <c r="BB160" i="7"/>
  <c r="BE157" i="7"/>
  <c r="BD157" i="7"/>
  <c r="BC157" i="7"/>
  <c r="BB157" i="7"/>
  <c r="AZ167" i="7"/>
  <c r="AY167" i="7"/>
  <c r="AX167" i="7"/>
  <c r="AW167" i="7"/>
  <c r="AZ166" i="7"/>
  <c r="AY166" i="7"/>
  <c r="AX166" i="7"/>
  <c r="AW166" i="7"/>
  <c r="AZ165" i="7"/>
  <c r="AY165" i="7"/>
  <c r="AX165" i="7"/>
  <c r="AW165" i="7"/>
  <c r="AZ164" i="7"/>
  <c r="AY164" i="7"/>
  <c r="AX164" i="7"/>
  <c r="AW164" i="7"/>
  <c r="AZ163" i="7"/>
  <c r="AY163" i="7"/>
  <c r="AX163" i="7"/>
  <c r="AW163" i="7"/>
  <c r="AZ162" i="7"/>
  <c r="AY162" i="7"/>
  <c r="AX162" i="7"/>
  <c r="AW162" i="7"/>
  <c r="AZ161" i="7"/>
  <c r="AY161" i="7"/>
  <c r="AX161" i="7"/>
  <c r="AW161" i="7"/>
  <c r="AZ160" i="7"/>
  <c r="AY160" i="7"/>
  <c r="AX160" i="7"/>
  <c r="AW160" i="7"/>
  <c r="AZ157" i="7"/>
  <c r="AY157" i="7"/>
  <c r="AX157" i="7"/>
  <c r="AW157" i="7"/>
  <c r="AU167" i="7"/>
  <c r="AT167" i="7"/>
  <c r="AS167" i="7"/>
  <c r="AR167" i="7"/>
  <c r="AU166" i="7"/>
  <c r="AT166" i="7"/>
  <c r="AS166" i="7"/>
  <c r="AR166" i="7"/>
  <c r="AU165" i="7"/>
  <c r="AT165" i="7"/>
  <c r="AS165" i="7"/>
  <c r="AR165" i="7"/>
  <c r="AU164" i="7"/>
  <c r="AT164" i="7"/>
  <c r="AS164" i="7"/>
  <c r="AR164" i="7"/>
  <c r="AU163" i="7"/>
  <c r="AT163" i="7"/>
  <c r="AS163" i="7"/>
  <c r="AR163" i="7"/>
  <c r="AU162" i="7"/>
  <c r="AT162" i="7"/>
  <c r="AS162" i="7"/>
  <c r="AR162" i="7"/>
  <c r="AU161" i="7"/>
  <c r="AT161" i="7"/>
  <c r="AS161" i="7"/>
  <c r="AR161" i="7"/>
  <c r="AU160" i="7"/>
  <c r="AT160" i="7"/>
  <c r="AS160" i="7"/>
  <c r="AR160" i="7"/>
  <c r="AU157" i="7"/>
  <c r="AT157" i="7"/>
  <c r="AS157" i="7"/>
  <c r="AR157" i="7"/>
  <c r="AP167" i="7"/>
  <c r="AO167" i="7"/>
  <c r="AN167" i="7"/>
  <c r="AM167" i="7"/>
  <c r="AP166" i="7"/>
  <c r="AO166" i="7"/>
  <c r="AN166" i="7"/>
  <c r="AM166" i="7"/>
  <c r="AP165" i="7"/>
  <c r="AO165" i="7"/>
  <c r="AN165" i="7"/>
  <c r="AM165" i="7"/>
  <c r="AP164" i="7"/>
  <c r="AO164" i="7"/>
  <c r="AN164" i="7"/>
  <c r="AM164" i="7"/>
  <c r="AP163" i="7"/>
  <c r="AO163" i="7"/>
  <c r="AN163" i="7"/>
  <c r="AM163" i="7"/>
  <c r="AP162" i="7"/>
  <c r="AO162" i="7"/>
  <c r="AN162" i="7"/>
  <c r="AM162" i="7"/>
  <c r="AP161" i="7"/>
  <c r="AO161" i="7"/>
  <c r="AN161" i="7"/>
  <c r="AM161" i="7"/>
  <c r="AP160" i="7"/>
  <c r="AO160" i="7"/>
  <c r="AN160" i="7"/>
  <c r="AM160" i="7"/>
  <c r="AP157" i="7"/>
  <c r="AO157" i="7"/>
  <c r="AN157" i="7"/>
  <c r="AM157" i="7"/>
  <c r="AK167" i="7"/>
  <c r="AJ167" i="7"/>
  <c r="AI167" i="7"/>
  <c r="AH167" i="7"/>
  <c r="AK166" i="7"/>
  <c r="AJ166" i="7"/>
  <c r="AI166" i="7"/>
  <c r="AH166" i="7"/>
  <c r="AK165" i="7"/>
  <c r="AJ165" i="7"/>
  <c r="AI165" i="7"/>
  <c r="AH165" i="7"/>
  <c r="AK164" i="7"/>
  <c r="AJ164" i="7"/>
  <c r="AI164" i="7"/>
  <c r="AH164" i="7"/>
  <c r="AK163" i="7"/>
  <c r="AJ163" i="7"/>
  <c r="AI163" i="7"/>
  <c r="AH163" i="7"/>
  <c r="AK162" i="7"/>
  <c r="AJ162" i="7"/>
  <c r="AI162" i="7"/>
  <c r="AH162" i="7"/>
  <c r="AK161" i="7"/>
  <c r="AJ161" i="7"/>
  <c r="AI161" i="7"/>
  <c r="AH161" i="7"/>
  <c r="AK160" i="7"/>
  <c r="AJ160" i="7"/>
  <c r="AI160" i="7"/>
  <c r="AH160" i="7"/>
  <c r="AK157" i="7"/>
  <c r="AJ157" i="7"/>
  <c r="AI157" i="7"/>
  <c r="AH157" i="7"/>
  <c r="AF167" i="7"/>
  <c r="AE167" i="7"/>
  <c r="AD167" i="7"/>
  <c r="AC167" i="7"/>
  <c r="AF166" i="7"/>
  <c r="AE166" i="7"/>
  <c r="AD166" i="7"/>
  <c r="AC166" i="7"/>
  <c r="AF165" i="7"/>
  <c r="AE165" i="7"/>
  <c r="AD165" i="7"/>
  <c r="AC165" i="7"/>
  <c r="AF164" i="7"/>
  <c r="AE164" i="7"/>
  <c r="AD164" i="7"/>
  <c r="AC164" i="7"/>
  <c r="AF163" i="7"/>
  <c r="AE163" i="7"/>
  <c r="AD163" i="7"/>
  <c r="AC163" i="7"/>
  <c r="AF162" i="7"/>
  <c r="AE162" i="7"/>
  <c r="AD162" i="7"/>
  <c r="AC162" i="7"/>
  <c r="AF161" i="7"/>
  <c r="AE161" i="7"/>
  <c r="AD161" i="7"/>
  <c r="AC161" i="7"/>
  <c r="AF160" i="7"/>
  <c r="AE160" i="7"/>
  <c r="AD160" i="7"/>
  <c r="AC160" i="7"/>
  <c r="AF157" i="7"/>
  <c r="AE157" i="7"/>
  <c r="AD157" i="7"/>
  <c r="AC157" i="7"/>
  <c r="AA167" i="7"/>
  <c r="Z167" i="7"/>
  <c r="Y167" i="7"/>
  <c r="X167" i="7"/>
  <c r="AA166" i="7"/>
  <c r="Z166" i="7"/>
  <c r="Y166" i="7"/>
  <c r="X166" i="7"/>
  <c r="AA165" i="7"/>
  <c r="Z165" i="7"/>
  <c r="Y165" i="7"/>
  <c r="X165" i="7"/>
  <c r="AA164" i="7"/>
  <c r="Z164" i="7"/>
  <c r="Y164" i="7"/>
  <c r="X164" i="7"/>
  <c r="AA163" i="7"/>
  <c r="Z163" i="7"/>
  <c r="Y163" i="7"/>
  <c r="X163" i="7"/>
  <c r="AA162" i="7"/>
  <c r="Z162" i="7"/>
  <c r="Y162" i="7"/>
  <c r="X162" i="7"/>
  <c r="AA161" i="7"/>
  <c r="Z161" i="7"/>
  <c r="Y161" i="7"/>
  <c r="X161" i="7"/>
  <c r="AA160" i="7"/>
  <c r="Z160" i="7"/>
  <c r="Y160" i="7"/>
  <c r="X160" i="7"/>
  <c r="AA157" i="7"/>
  <c r="Z157" i="7"/>
  <c r="Y157" i="7"/>
  <c r="X157" i="7"/>
  <c r="V167" i="7"/>
  <c r="U167" i="7"/>
  <c r="T167" i="7"/>
  <c r="S167" i="7"/>
  <c r="V166" i="7"/>
  <c r="U166" i="7"/>
  <c r="T166" i="7"/>
  <c r="S166" i="7"/>
  <c r="V165" i="7"/>
  <c r="U165" i="7"/>
  <c r="T165" i="7"/>
  <c r="S165" i="7"/>
  <c r="V164" i="7"/>
  <c r="U164" i="7"/>
  <c r="T164" i="7"/>
  <c r="S164" i="7"/>
  <c r="V163" i="7"/>
  <c r="U163" i="7"/>
  <c r="T163" i="7"/>
  <c r="S163" i="7"/>
  <c r="V162" i="7"/>
  <c r="U162" i="7"/>
  <c r="T162" i="7"/>
  <c r="S162" i="7"/>
  <c r="V161" i="7"/>
  <c r="U161" i="7"/>
  <c r="T161" i="7"/>
  <c r="S161" i="7"/>
  <c r="V160" i="7"/>
  <c r="U160" i="7"/>
  <c r="T160" i="7"/>
  <c r="S160" i="7"/>
  <c r="V157" i="7"/>
  <c r="U157" i="7"/>
  <c r="T157" i="7"/>
  <c r="S157" i="7"/>
  <c r="Q167" i="7"/>
  <c r="P167" i="7"/>
  <c r="O167" i="7"/>
  <c r="N167" i="7"/>
  <c r="Q166" i="7"/>
  <c r="P166" i="7"/>
  <c r="O166" i="7"/>
  <c r="N166" i="7"/>
  <c r="Q165" i="7"/>
  <c r="P165" i="7"/>
  <c r="O165" i="7"/>
  <c r="N165" i="7"/>
  <c r="Q164" i="7"/>
  <c r="P164" i="7"/>
  <c r="O164" i="7"/>
  <c r="N164" i="7"/>
  <c r="Q163" i="7"/>
  <c r="P163" i="7"/>
  <c r="O163" i="7"/>
  <c r="N163" i="7"/>
  <c r="Q162" i="7"/>
  <c r="P162" i="7"/>
  <c r="O162" i="7"/>
  <c r="N162" i="7"/>
  <c r="Q161" i="7"/>
  <c r="P161" i="7"/>
  <c r="O161" i="7"/>
  <c r="N161" i="7"/>
  <c r="Q160" i="7"/>
  <c r="P160" i="7"/>
  <c r="O160" i="7"/>
  <c r="N160" i="7"/>
  <c r="Q157" i="7"/>
  <c r="P157" i="7"/>
  <c r="O157" i="7"/>
  <c r="N157" i="7"/>
  <c r="L167" i="7"/>
  <c r="K167" i="7"/>
  <c r="J167" i="7"/>
  <c r="I167" i="7"/>
  <c r="L166" i="7"/>
  <c r="K166" i="7"/>
  <c r="J166" i="7"/>
  <c r="I166" i="7"/>
  <c r="L165" i="7"/>
  <c r="K165" i="7"/>
  <c r="J165" i="7"/>
  <c r="I165" i="7"/>
  <c r="L164" i="7"/>
  <c r="K164" i="7"/>
  <c r="J164" i="7"/>
  <c r="I164" i="7"/>
  <c r="L163" i="7"/>
  <c r="K163" i="7"/>
  <c r="J163" i="7"/>
  <c r="I163" i="7"/>
  <c r="L162" i="7"/>
  <c r="K162" i="7"/>
  <c r="J162" i="7"/>
  <c r="I162" i="7"/>
  <c r="L161" i="7"/>
  <c r="K161" i="7"/>
  <c r="J161" i="7"/>
  <c r="I161" i="7"/>
  <c r="L160" i="7"/>
  <c r="K160" i="7"/>
  <c r="J160" i="7"/>
  <c r="I160" i="7"/>
  <c r="L157" i="7"/>
  <c r="K157" i="7"/>
  <c r="J157" i="7"/>
  <c r="I157" i="7"/>
  <c r="G166" i="7"/>
  <c r="F166" i="7"/>
  <c r="E166" i="7"/>
  <c r="G165" i="7"/>
  <c r="F165" i="7"/>
  <c r="E165" i="7"/>
  <c r="G164" i="7"/>
  <c r="F164" i="7"/>
  <c r="E164" i="7"/>
  <c r="G163" i="7"/>
  <c r="F163" i="7"/>
  <c r="E163" i="7"/>
  <c r="G162" i="7"/>
  <c r="F162" i="7"/>
  <c r="E162" i="7"/>
  <c r="G161" i="7"/>
  <c r="F161" i="7"/>
  <c r="E161" i="7"/>
  <c r="G160" i="7"/>
  <c r="F160" i="7"/>
  <c r="E160" i="7"/>
  <c r="G157" i="7"/>
  <c r="F157" i="7"/>
  <c r="E157" i="7"/>
  <c r="D157" i="7"/>
  <c r="DC150" i="7"/>
  <c r="CX150" i="7"/>
  <c r="CM150" i="7"/>
  <c r="CK150" i="7"/>
  <c r="CI150" i="7"/>
  <c r="A138" i="7"/>
  <c r="A137" i="7"/>
  <c r="A135" i="7"/>
  <c r="A134" i="7"/>
  <c r="A133" i="7"/>
  <c r="A132" i="7"/>
  <c r="A131" i="7"/>
  <c r="A130" i="7"/>
  <c r="A129" i="7"/>
  <c r="A128" i="7"/>
  <c r="A127" i="7"/>
  <c r="EG119" i="7"/>
  <c r="EF119" i="7"/>
  <c r="EE119" i="7"/>
  <c r="ED119" i="7"/>
  <c r="EB119" i="7"/>
  <c r="EA119" i="7"/>
  <c r="DZ119" i="7"/>
  <c r="DY119" i="7"/>
  <c r="DW119" i="7"/>
  <c r="DV119" i="7"/>
  <c r="DU119" i="7"/>
  <c r="DT119" i="7"/>
  <c r="DR119" i="7"/>
  <c r="DQ119" i="7"/>
  <c r="DP119" i="7"/>
  <c r="DO119" i="7"/>
  <c r="DM119" i="7"/>
  <c r="DL119" i="7"/>
  <c r="DK119" i="7"/>
  <c r="DJ119" i="7"/>
  <c r="DH119" i="7"/>
  <c r="DG119" i="7"/>
  <c r="DF119" i="7"/>
  <c r="DE119" i="7"/>
  <c r="DA119" i="7"/>
  <c r="CZ119" i="7"/>
  <c r="CV119" i="7"/>
  <c r="CU119" i="7"/>
  <c r="CS119" i="7"/>
  <c r="CQ119" i="7"/>
  <c r="CP119" i="7"/>
  <c r="CN119" i="7"/>
  <c r="CG119" i="7"/>
  <c r="CA119" i="7"/>
  <c r="EG118" i="7"/>
  <c r="EF118" i="7"/>
  <c r="EE118" i="7"/>
  <c r="ED118" i="7"/>
  <c r="DR118" i="7"/>
  <c r="DF118" i="7"/>
  <c r="DE118" i="7"/>
  <c r="CV118" i="7"/>
  <c r="CU118" i="7"/>
  <c r="CS118" i="7"/>
  <c r="CQ118" i="7"/>
  <c r="CP118" i="7"/>
  <c r="CN118" i="7"/>
  <c r="CG118" i="7"/>
  <c r="CA118" i="7"/>
  <c r="DH116" i="7"/>
  <c r="DH115" i="7"/>
  <c r="DH114" i="7"/>
  <c r="DD108" i="7"/>
  <c r="DD107" i="7"/>
  <c r="DA108" i="7"/>
  <c r="CZ108" i="7"/>
  <c r="DA107" i="7"/>
  <c r="CZ107" i="7"/>
  <c r="DD101" i="7"/>
  <c r="DA101" i="7"/>
  <c r="CZ101" i="7"/>
  <c r="EV92" i="7"/>
  <c r="EX92" i="7" s="1"/>
  <c r="EE92" i="7"/>
  <c r="DZ92" i="7"/>
  <c r="EA92" i="7" s="1"/>
  <c r="EB92" i="7" s="1"/>
  <c r="DU92" i="7"/>
  <c r="DP92" i="7"/>
  <c r="DQ92" i="7" s="1"/>
  <c r="DR92" i="7" s="1"/>
  <c r="DK92" i="7"/>
  <c r="DI92" i="7"/>
  <c r="DD92" i="7"/>
  <c r="CY92" i="7"/>
  <c r="A92" i="7"/>
  <c r="DL90" i="7"/>
  <c r="DK90" i="7"/>
  <c r="DJ90" i="7"/>
  <c r="DH90" i="7"/>
  <c r="DG90" i="7"/>
  <c r="DF90" i="7"/>
  <c r="DE90" i="7"/>
  <c r="DC90" i="7"/>
  <c r="DB90" i="7"/>
  <c r="DA90" i="7"/>
  <c r="CZ90" i="7"/>
  <c r="CX90" i="7"/>
  <c r="CW90" i="7"/>
  <c r="CV90" i="7"/>
  <c r="CU90" i="7"/>
  <c r="CT90" i="7"/>
  <c r="CS90" i="7"/>
  <c r="CR90" i="7"/>
  <c r="CQ90" i="7"/>
  <c r="CP90" i="7"/>
  <c r="CO90" i="7"/>
  <c r="CN90" i="7"/>
  <c r="CM90" i="7"/>
  <c r="CL90" i="7"/>
  <c r="CK90" i="7"/>
  <c r="CJ90" i="7"/>
  <c r="CI90" i="7"/>
  <c r="CH90" i="7"/>
  <c r="CG90" i="7"/>
  <c r="CF90" i="7"/>
  <c r="CE90" i="7"/>
  <c r="CD90" i="7"/>
  <c r="CC90" i="7"/>
  <c r="CB90" i="7"/>
  <c r="CA90" i="7"/>
  <c r="BZ90" i="7"/>
  <c r="BY90" i="7"/>
  <c r="BX90" i="7"/>
  <c r="BW90" i="7"/>
  <c r="BV90" i="7"/>
  <c r="BU90" i="7"/>
  <c r="BT90" i="7"/>
  <c r="BS90" i="7"/>
  <c r="BR90" i="7"/>
  <c r="BQ90" i="7"/>
  <c r="BP90" i="7"/>
  <c r="BO90" i="7"/>
  <c r="BN90" i="7"/>
  <c r="BM90" i="7"/>
  <c r="BL90" i="7"/>
  <c r="BK90" i="7"/>
  <c r="BJ90" i="7"/>
  <c r="BI90" i="7"/>
  <c r="BH90" i="7"/>
  <c r="BG90" i="7"/>
  <c r="BF90" i="7"/>
  <c r="BE90" i="7"/>
  <c r="BD90" i="7"/>
  <c r="BC90" i="7"/>
  <c r="BB90" i="7"/>
  <c r="BA90" i="7"/>
  <c r="AY90" i="7"/>
  <c r="AX90" i="7"/>
  <c r="AW90" i="7"/>
  <c r="AV90" i="7"/>
  <c r="AU90" i="7"/>
  <c r="AT90" i="7"/>
  <c r="AS90" i="7"/>
  <c r="AQ90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U90" i="7"/>
  <c r="T90" i="7"/>
  <c r="S90" i="7"/>
  <c r="R90" i="7"/>
  <c r="Q90" i="7"/>
  <c r="P90" i="7"/>
  <c r="O90" i="7"/>
  <c r="N90" i="7"/>
  <c r="M90" i="7"/>
  <c r="L90" i="7"/>
  <c r="K90" i="7"/>
  <c r="J90" i="7"/>
  <c r="I90" i="7"/>
  <c r="H90" i="7"/>
  <c r="G90" i="7"/>
  <c r="F90" i="7"/>
  <c r="E90" i="7"/>
  <c r="D90" i="7"/>
  <c r="A90" i="7"/>
  <c r="A89" i="7"/>
  <c r="A88" i="7"/>
  <c r="GD90" i="7"/>
  <c r="GC90" i="7"/>
  <c r="GD89" i="7"/>
  <c r="GB90" i="7"/>
  <c r="GB89" i="7"/>
  <c r="EB89" i="7"/>
  <c r="GC89" i="7" s="1"/>
  <c r="DQ90" i="7"/>
  <c r="GA90" i="7" s="1"/>
  <c r="DP90" i="7"/>
  <c r="DQ89" i="7"/>
  <c r="GA89" i="7" s="1"/>
  <c r="DP89" i="7"/>
  <c r="DO89" i="7"/>
  <c r="DM89" i="7"/>
  <c r="DL89" i="7"/>
  <c r="DK89" i="7"/>
  <c r="DJ89" i="7"/>
  <c r="DH89" i="7"/>
  <c r="DG89" i="7"/>
  <c r="DF89" i="7"/>
  <c r="DE89" i="7"/>
  <c r="DC89" i="7"/>
  <c r="DB89" i="7"/>
  <c r="DA89" i="7"/>
  <c r="CZ89" i="7"/>
  <c r="CX89" i="7"/>
  <c r="CW89" i="7"/>
  <c r="CV89" i="7"/>
  <c r="CU89" i="7"/>
  <c r="CT89" i="7"/>
  <c r="CS89" i="7"/>
  <c r="CR89" i="7"/>
  <c r="CQ89" i="7"/>
  <c r="CP89" i="7"/>
  <c r="CO89" i="7"/>
  <c r="CN89" i="7"/>
  <c r="CM89" i="7"/>
  <c r="CL89" i="7"/>
  <c r="CK89" i="7"/>
  <c r="CJ89" i="7"/>
  <c r="CI89" i="7"/>
  <c r="CH89" i="7"/>
  <c r="CG89" i="7"/>
  <c r="CF89" i="7"/>
  <c r="CE89" i="7"/>
  <c r="CD89" i="7"/>
  <c r="CC89" i="7"/>
  <c r="CB89" i="7"/>
  <c r="CA89" i="7"/>
  <c r="BZ89" i="7"/>
  <c r="BY89" i="7"/>
  <c r="BX89" i="7"/>
  <c r="BW89" i="7"/>
  <c r="BV89" i="7"/>
  <c r="BU89" i="7"/>
  <c r="BT89" i="7"/>
  <c r="BS89" i="7"/>
  <c r="BR89" i="7"/>
  <c r="BQ89" i="7"/>
  <c r="BP89" i="7"/>
  <c r="BO89" i="7"/>
  <c r="BN89" i="7"/>
  <c r="BM89" i="7"/>
  <c r="BL89" i="7"/>
  <c r="BK89" i="7"/>
  <c r="BJ89" i="7"/>
  <c r="BI89" i="7"/>
  <c r="BH89" i="7"/>
  <c r="BG89" i="7"/>
  <c r="BF89" i="7"/>
  <c r="BE89" i="7"/>
  <c r="BD89" i="7"/>
  <c r="BC89" i="7"/>
  <c r="BB89" i="7"/>
  <c r="BA89" i="7"/>
  <c r="AY89" i="7"/>
  <c r="AX89" i="7"/>
  <c r="AW89" i="7"/>
  <c r="AV89" i="7"/>
  <c r="AT89" i="7"/>
  <c r="AS89" i="7"/>
  <c r="AQ89" i="7"/>
  <c r="AP89" i="7"/>
  <c r="AO89" i="7"/>
  <c r="AN89" i="7"/>
  <c r="AM89" i="7"/>
  <c r="AL89" i="7"/>
  <c r="AK89" i="7"/>
  <c r="AJ89" i="7"/>
  <c r="AI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J89" i="7"/>
  <c r="I89" i="7"/>
  <c r="H89" i="7"/>
  <c r="G89" i="7"/>
  <c r="F89" i="7"/>
  <c r="E89" i="7"/>
  <c r="D89" i="7"/>
  <c r="DP88" i="7"/>
  <c r="DM88" i="7"/>
  <c r="DL88" i="7"/>
  <c r="DK88" i="7"/>
  <c r="DJ88" i="7"/>
  <c r="DH88" i="7"/>
  <c r="DG88" i="7"/>
  <c r="DF88" i="7"/>
  <c r="DE88" i="7"/>
  <c r="DB88" i="7"/>
  <c r="DA88" i="7"/>
  <c r="CZ88" i="7"/>
  <c r="CX88" i="7"/>
  <c r="CX152" i="7" s="1"/>
  <c r="CW88" i="7"/>
  <c r="CW152" i="7" s="1"/>
  <c r="CV88" i="7"/>
  <c r="CV152" i="7" s="1"/>
  <c r="CU88" i="7"/>
  <c r="CU152" i="7" s="1"/>
  <c r="CT88" i="7"/>
  <c r="CS88" i="7"/>
  <c r="CS152" i="7" s="1"/>
  <c r="CR88" i="7"/>
  <c r="CR152" i="7" s="1"/>
  <c r="CQ88" i="7"/>
  <c r="CQ152" i="7" s="1"/>
  <c r="CP88" i="7"/>
  <c r="CP152" i="7" s="1"/>
  <c r="CN88" i="7"/>
  <c r="CN152" i="7" s="1"/>
  <c r="CM88" i="7"/>
  <c r="CM152" i="7" s="1"/>
  <c r="CL88" i="7"/>
  <c r="CL152" i="7" s="1"/>
  <c r="CK88" i="7"/>
  <c r="CK152" i="7" s="1"/>
  <c r="CI88" i="7"/>
  <c r="CI152" i="7" s="1"/>
  <c r="CH88" i="7"/>
  <c r="CH152" i="7" s="1"/>
  <c r="CG88" i="7"/>
  <c r="CG152" i="7" s="1"/>
  <c r="CF88" i="7"/>
  <c r="CF152" i="7" s="1"/>
  <c r="CD88" i="7"/>
  <c r="CD152" i="7" s="1"/>
  <c r="CC88" i="7"/>
  <c r="CC152" i="7" s="1"/>
  <c r="CB88" i="7"/>
  <c r="CB152" i="7" s="1"/>
  <c r="CA88" i="7"/>
  <c r="CA152" i="7" s="1"/>
  <c r="BY88" i="7"/>
  <c r="BY152" i="7" s="1"/>
  <c r="BX88" i="7"/>
  <c r="BX152" i="7" s="1"/>
  <c r="BW88" i="7"/>
  <c r="BW152" i="7" s="1"/>
  <c r="BV88" i="7"/>
  <c r="BV152" i="7" s="1"/>
  <c r="BT88" i="7"/>
  <c r="BT152" i="7" s="1"/>
  <c r="BS88" i="7"/>
  <c r="BS152" i="7" s="1"/>
  <c r="BR88" i="7"/>
  <c r="BR152" i="7" s="1"/>
  <c r="BQ88" i="7"/>
  <c r="BQ152" i="7" s="1"/>
  <c r="BO88" i="7"/>
  <c r="BO152" i="7" s="1"/>
  <c r="BN88" i="7"/>
  <c r="BN152" i="7" s="1"/>
  <c r="BM88" i="7"/>
  <c r="BM152" i="7" s="1"/>
  <c r="BL88" i="7"/>
  <c r="BL152" i="7" s="1"/>
  <c r="BJ88" i="7"/>
  <c r="BJ152" i="7" s="1"/>
  <c r="BI88" i="7"/>
  <c r="BI152" i="7" s="1"/>
  <c r="BH88" i="7"/>
  <c r="BH152" i="7" s="1"/>
  <c r="BG88" i="7"/>
  <c r="BG152" i="7" s="1"/>
  <c r="BE88" i="7"/>
  <c r="BE152" i="7" s="1"/>
  <c r="BD88" i="7"/>
  <c r="BD152" i="7" s="1"/>
  <c r="BC88" i="7"/>
  <c r="BC152" i="7" s="1"/>
  <c r="BB88" i="7"/>
  <c r="BB152" i="7" s="1"/>
  <c r="AZ88" i="7"/>
  <c r="AZ152" i="7" s="1"/>
  <c r="AY88" i="7"/>
  <c r="AY152" i="7" s="1"/>
  <c r="AX88" i="7"/>
  <c r="AX152" i="7" s="1"/>
  <c r="AW88" i="7"/>
  <c r="AW152" i="7" s="1"/>
  <c r="AU88" i="7"/>
  <c r="AU152" i="7" s="1"/>
  <c r="AT88" i="7"/>
  <c r="AT152" i="7" s="1"/>
  <c r="AS88" i="7"/>
  <c r="AS152" i="7" s="1"/>
  <c r="AR88" i="7"/>
  <c r="AR152" i="7" s="1"/>
  <c r="AP88" i="7"/>
  <c r="AP152" i="7" s="1"/>
  <c r="AO88" i="7"/>
  <c r="AO152" i="7" s="1"/>
  <c r="AN88" i="7"/>
  <c r="AN152" i="7" s="1"/>
  <c r="AM88" i="7"/>
  <c r="AM152" i="7" s="1"/>
  <c r="AK88" i="7"/>
  <c r="AK152" i="7" s="1"/>
  <c r="AJ88" i="7"/>
  <c r="AJ152" i="7" s="1"/>
  <c r="AI88" i="7"/>
  <c r="AI152" i="7" s="1"/>
  <c r="AH88" i="7"/>
  <c r="AH152" i="7" s="1"/>
  <c r="AF88" i="7"/>
  <c r="AF152" i="7" s="1"/>
  <c r="AE88" i="7"/>
  <c r="AE152" i="7" s="1"/>
  <c r="AD88" i="7"/>
  <c r="AD152" i="7" s="1"/>
  <c r="AC88" i="7"/>
  <c r="AC152" i="7" s="1"/>
  <c r="AB88" i="7"/>
  <c r="AA88" i="7"/>
  <c r="AA152" i="7" s="1"/>
  <c r="Z88" i="7"/>
  <c r="Z152" i="7" s="1"/>
  <c r="Y88" i="7"/>
  <c r="Y152" i="7" s="1"/>
  <c r="X88" i="7"/>
  <c r="X152" i="7" s="1"/>
  <c r="W88" i="7"/>
  <c r="V88" i="7"/>
  <c r="V152" i="7" s="1"/>
  <c r="U88" i="7"/>
  <c r="U152" i="7" s="1"/>
  <c r="T88" i="7"/>
  <c r="T152" i="7" s="1"/>
  <c r="S88" i="7"/>
  <c r="S152" i="7" s="1"/>
  <c r="R88" i="7"/>
  <c r="Q88" i="7"/>
  <c r="Q152" i="7" s="1"/>
  <c r="P88" i="7"/>
  <c r="P152" i="7" s="1"/>
  <c r="O88" i="7"/>
  <c r="O152" i="7" s="1"/>
  <c r="N88" i="7"/>
  <c r="N152" i="7" s="1"/>
  <c r="M88" i="7"/>
  <c r="L88" i="7"/>
  <c r="L152" i="7" s="1"/>
  <c r="K88" i="7"/>
  <c r="K152" i="7" s="1"/>
  <c r="J88" i="7"/>
  <c r="J152" i="7" s="1"/>
  <c r="I88" i="7"/>
  <c r="I152" i="7" s="1"/>
  <c r="H88" i="7"/>
  <c r="G88" i="7"/>
  <c r="G152" i="7" s="1"/>
  <c r="F88" i="7"/>
  <c r="F152" i="7" s="1"/>
  <c r="E88" i="7"/>
  <c r="E152" i="7" s="1"/>
  <c r="D88" i="7"/>
  <c r="D152" i="7" s="1"/>
  <c r="DS84" i="7"/>
  <c r="DS90" i="7" s="1"/>
  <c r="DN84" i="7"/>
  <c r="DN90" i="7" s="1"/>
  <c r="DN83" i="7"/>
  <c r="DN89" i="7" s="1"/>
  <c r="DN82" i="7"/>
  <c r="DN88" i="7" s="1"/>
  <c r="DI84" i="7"/>
  <c r="DI90" i="7" s="1"/>
  <c r="DI83" i="7"/>
  <c r="DI89" i="7" s="1"/>
  <c r="DI82" i="7"/>
  <c r="DI88" i="7" s="1"/>
  <c r="DD84" i="7"/>
  <c r="DD90" i="7" s="1"/>
  <c r="DD83" i="7"/>
  <c r="DD89" i="7" s="1"/>
  <c r="DD82" i="7"/>
  <c r="DD88" i="7" s="1"/>
  <c r="CY84" i="7"/>
  <c r="CY90" i="7" s="1"/>
  <c r="CY83" i="7"/>
  <c r="CY89" i="7" s="1"/>
  <c r="CY82" i="7"/>
  <c r="CY88" i="7" s="1"/>
  <c r="AR84" i="7"/>
  <c r="AR90" i="7" s="1"/>
  <c r="AR83" i="7"/>
  <c r="AR89" i="7" s="1"/>
  <c r="DS83" i="7"/>
  <c r="DS89" i="7" s="1"/>
  <c r="AU83" i="7"/>
  <c r="AU89" i="7" s="1"/>
  <c r="DS82" i="7"/>
  <c r="DS88" i="7" s="1"/>
  <c r="CO82" i="7"/>
  <c r="CO88" i="7" s="1"/>
  <c r="CJ82" i="7"/>
  <c r="CJ88" i="7" s="1"/>
  <c r="CE82" i="7"/>
  <c r="CE88" i="7" s="1"/>
  <c r="BZ82" i="7"/>
  <c r="BZ88" i="7" s="1"/>
  <c r="BU82" i="7"/>
  <c r="BU88" i="7" s="1"/>
  <c r="BP82" i="7"/>
  <c r="BP88" i="7" s="1"/>
  <c r="BK82" i="7"/>
  <c r="BK88" i="7" s="1"/>
  <c r="BF82" i="7"/>
  <c r="BF88" i="7" s="1"/>
  <c r="BA82" i="7"/>
  <c r="BA88" i="7" s="1"/>
  <c r="AV82" i="7"/>
  <c r="AV88" i="7" s="1"/>
  <c r="AQ82" i="7"/>
  <c r="AQ88" i="7" s="1"/>
  <c r="AL82" i="7"/>
  <c r="AL88" i="7" s="1"/>
  <c r="FN77" i="7"/>
  <c r="EH78" i="7"/>
  <c r="CX78" i="7"/>
  <c r="CT78" i="7"/>
  <c r="CT77" i="7"/>
  <c r="CO77" i="7"/>
  <c r="CI78" i="7"/>
  <c r="CE77" i="7"/>
  <c r="CC78" i="7"/>
  <c r="CB78" i="7"/>
  <c r="BY78" i="7"/>
  <c r="BX78" i="7"/>
  <c r="BW78" i="7"/>
  <c r="BV78" i="7"/>
  <c r="BV54" i="7" s="1"/>
  <c r="BT78" i="7"/>
  <c r="BT54" i="7" s="1"/>
  <c r="BS78" i="7"/>
  <c r="BS54" i="7" s="1"/>
  <c r="BR78" i="7"/>
  <c r="BQ78" i="7"/>
  <c r="BP78" i="7"/>
  <c r="BK77" i="7"/>
  <c r="BF78" i="7"/>
  <c r="BF77" i="7"/>
  <c r="BA78" i="7"/>
  <c r="BA77" i="7"/>
  <c r="AV78" i="7"/>
  <c r="AV77" i="7"/>
  <c r="AQ78" i="7"/>
  <c r="AQ77" i="7"/>
  <c r="AL78" i="7"/>
  <c r="AL77" i="7"/>
  <c r="AG78" i="7"/>
  <c r="AG77" i="7"/>
  <c r="AB78" i="7"/>
  <c r="AB77" i="7"/>
  <c r="W78" i="7"/>
  <c r="W77" i="7"/>
  <c r="R78" i="7"/>
  <c r="R77" i="7"/>
  <c r="M78" i="7"/>
  <c r="M77" i="7"/>
  <c r="H78" i="7"/>
  <c r="H77" i="7"/>
  <c r="FV78" i="7"/>
  <c r="FO78" i="7"/>
  <c r="GG77" i="7"/>
  <c r="GF77" i="7"/>
  <c r="GE77" i="7"/>
  <c r="GC77" i="7"/>
  <c r="GB77" i="7"/>
  <c r="GA77" i="7"/>
  <c r="FZ77" i="7"/>
  <c r="FY77" i="7"/>
  <c r="FX77" i="7"/>
  <c r="FW77" i="7"/>
  <c r="FV77" i="7"/>
  <c r="FU77" i="7"/>
  <c r="FT77" i="7"/>
  <c r="FS77" i="7"/>
  <c r="FR77" i="7"/>
  <c r="FQ77" i="7"/>
  <c r="FP77" i="7"/>
  <c r="FO77" i="7"/>
  <c r="FB77" i="7"/>
  <c r="EW77" i="7"/>
  <c r="EG77" i="7"/>
  <c r="GD77" i="7" s="1"/>
  <c r="EC77" i="7"/>
  <c r="DX77" i="7"/>
  <c r="DS77" i="7"/>
  <c r="DN77" i="7"/>
  <c r="DI77" i="7"/>
  <c r="DD77" i="7"/>
  <c r="DD76" i="7"/>
  <c r="DD75" i="7"/>
  <c r="DD74" i="7"/>
  <c r="DD73" i="7"/>
  <c r="DD72" i="7"/>
  <c r="DD71" i="7"/>
  <c r="CY77" i="7"/>
  <c r="CJ77" i="7"/>
  <c r="BZ77" i="7"/>
  <c r="BU77" i="7"/>
  <c r="BP77" i="7"/>
  <c r="EH75" i="7"/>
  <c r="EH74" i="7"/>
  <c r="EH73" i="7"/>
  <c r="EH72" i="7"/>
  <c r="EH71" i="7"/>
  <c r="EC75" i="7"/>
  <c r="EC74" i="7"/>
  <c r="EC73" i="7"/>
  <c r="EC72" i="7"/>
  <c r="EC71" i="7"/>
  <c r="DX75" i="7"/>
  <c r="DX74" i="7"/>
  <c r="DX73" i="7"/>
  <c r="DX72" i="7"/>
  <c r="DX71" i="7"/>
  <c r="DS75" i="7"/>
  <c r="DS74" i="7"/>
  <c r="DS73" i="7"/>
  <c r="DS72" i="7"/>
  <c r="DS71" i="7"/>
  <c r="DN75" i="7"/>
  <c r="DN74" i="7"/>
  <c r="DN73" i="7"/>
  <c r="DN72" i="7"/>
  <c r="DN71" i="7"/>
  <c r="DI75" i="7"/>
  <c r="DI74" i="7"/>
  <c r="DI73" i="7"/>
  <c r="DI72" i="7"/>
  <c r="DI71" i="7"/>
  <c r="CY75" i="7"/>
  <c r="CY74" i="7"/>
  <c r="CY73" i="7"/>
  <c r="CY72" i="7"/>
  <c r="CY71" i="7"/>
  <c r="CT75" i="7"/>
  <c r="CT74" i="7"/>
  <c r="CT73" i="7"/>
  <c r="CT72" i="7"/>
  <c r="CT71" i="7"/>
  <c r="CO75" i="7"/>
  <c r="CO74" i="7"/>
  <c r="CO73" i="7"/>
  <c r="CO72" i="7"/>
  <c r="CO71" i="7"/>
  <c r="CJ75" i="7"/>
  <c r="CJ74" i="7"/>
  <c r="CJ73" i="7"/>
  <c r="CJ72" i="7"/>
  <c r="CJ71" i="7"/>
  <c r="CE75" i="7"/>
  <c r="CE74" i="7"/>
  <c r="CE73" i="7"/>
  <c r="CE72" i="7"/>
  <c r="CE71" i="7"/>
  <c r="BZ75" i="7"/>
  <c r="BZ74" i="7"/>
  <c r="BZ73" i="7"/>
  <c r="BZ72" i="7"/>
  <c r="BZ71" i="7"/>
  <c r="BU75" i="7"/>
  <c r="BU74" i="7"/>
  <c r="BU73" i="7"/>
  <c r="BU72" i="7"/>
  <c r="BU71" i="7"/>
  <c r="BP75" i="7"/>
  <c r="BP74" i="7"/>
  <c r="BP73" i="7"/>
  <c r="BP72" i="7"/>
  <c r="BP71" i="7"/>
  <c r="BK75" i="7"/>
  <c r="BK74" i="7"/>
  <c r="BK73" i="7"/>
  <c r="BK71" i="7"/>
  <c r="BF75" i="7"/>
  <c r="BF74" i="7"/>
  <c r="BF73" i="7"/>
  <c r="BF72" i="7"/>
  <c r="BF71" i="7"/>
  <c r="BA75" i="7"/>
  <c r="BA74" i="7"/>
  <c r="BA73" i="7"/>
  <c r="BA72" i="7"/>
  <c r="BA71" i="7"/>
  <c r="AV75" i="7"/>
  <c r="AV74" i="7"/>
  <c r="AV73" i="7"/>
  <c r="AV72" i="7"/>
  <c r="AV71" i="7"/>
  <c r="AQ75" i="7"/>
  <c r="AQ74" i="7"/>
  <c r="AQ73" i="7"/>
  <c r="AQ72" i="7"/>
  <c r="AQ71" i="7"/>
  <c r="AL75" i="7"/>
  <c r="AL74" i="7"/>
  <c r="AL73" i="7"/>
  <c r="AL72" i="7"/>
  <c r="AL71" i="7"/>
  <c r="AG75" i="7"/>
  <c r="AG74" i="7"/>
  <c r="AG73" i="7"/>
  <c r="AG72" i="7"/>
  <c r="AG71" i="7"/>
  <c r="AB75" i="7"/>
  <c r="AB74" i="7"/>
  <c r="AB73" i="7"/>
  <c r="AB72" i="7"/>
  <c r="AB71" i="7"/>
  <c r="W75" i="7"/>
  <c r="W74" i="7"/>
  <c r="W73" i="7"/>
  <c r="W72" i="7"/>
  <c r="W71" i="7"/>
  <c r="R75" i="7"/>
  <c r="R74" i="7"/>
  <c r="R73" i="7"/>
  <c r="R72" i="7"/>
  <c r="R71" i="7"/>
  <c r="M75" i="7"/>
  <c r="M74" i="7"/>
  <c r="M73" i="7"/>
  <c r="M72" i="7"/>
  <c r="M71" i="7"/>
  <c r="H75" i="7"/>
  <c r="H74" i="7"/>
  <c r="H73" i="7"/>
  <c r="H72" i="7"/>
  <c r="H71" i="7"/>
  <c r="FB74" i="7"/>
  <c r="FB73" i="7"/>
  <c r="FB72" i="7"/>
  <c r="FB71" i="7"/>
  <c r="EW74" i="7"/>
  <c r="EW73" i="7"/>
  <c r="EW72" i="7"/>
  <c r="EW71" i="7"/>
  <c r="BH72" i="7"/>
  <c r="BH78" i="7" s="1"/>
  <c r="BH54" i="7" s="1"/>
  <c r="GG76" i="7"/>
  <c r="GF76" i="7"/>
  <c r="GE76" i="7"/>
  <c r="GD76" i="7"/>
  <c r="GC76" i="7"/>
  <c r="GB76" i="7"/>
  <c r="GA76" i="7"/>
  <c r="GD75" i="7"/>
  <c r="GC75" i="7"/>
  <c r="GB75" i="7"/>
  <c r="GA75" i="7"/>
  <c r="GG74" i="7"/>
  <c r="GF74" i="7"/>
  <c r="GE74" i="7"/>
  <c r="GD74" i="7"/>
  <c r="GC74" i="7"/>
  <c r="GB74" i="7"/>
  <c r="GA74" i="7"/>
  <c r="GG73" i="7"/>
  <c r="GF73" i="7"/>
  <c r="GE73" i="7"/>
  <c r="GD73" i="7"/>
  <c r="GC73" i="7"/>
  <c r="GB73" i="7"/>
  <c r="GA73" i="7"/>
  <c r="GG72" i="7"/>
  <c r="GF72" i="7"/>
  <c r="GE72" i="7"/>
  <c r="GD72" i="7"/>
  <c r="GC72" i="7"/>
  <c r="GB72" i="7"/>
  <c r="GA72" i="7"/>
  <c r="GG71" i="7"/>
  <c r="GF71" i="7"/>
  <c r="GE71" i="7"/>
  <c r="GD71" i="7"/>
  <c r="GC71" i="7"/>
  <c r="GB71" i="7"/>
  <c r="GA71" i="7"/>
  <c r="FZ75" i="7"/>
  <c r="FY75" i="7"/>
  <c r="FX75" i="7"/>
  <c r="FW75" i="7"/>
  <c r="FV75" i="7"/>
  <c r="FU75" i="7"/>
  <c r="FT75" i="7"/>
  <c r="FS75" i="7"/>
  <c r="FR75" i="7"/>
  <c r="FQ75" i="7"/>
  <c r="FP75" i="7"/>
  <c r="FO75" i="7"/>
  <c r="FN75" i="7"/>
  <c r="FZ74" i="7"/>
  <c r="FY74" i="7"/>
  <c r="FX74" i="7"/>
  <c r="FW74" i="7"/>
  <c r="FV74" i="7"/>
  <c r="FU74" i="7"/>
  <c r="FT74" i="7"/>
  <c r="FS74" i="7"/>
  <c r="FR74" i="7"/>
  <c r="FQ74" i="7"/>
  <c r="FP74" i="7"/>
  <c r="FO74" i="7"/>
  <c r="FN74" i="7"/>
  <c r="FZ73" i="7"/>
  <c r="FY73" i="7"/>
  <c r="FX73" i="7"/>
  <c r="FW73" i="7"/>
  <c r="FV73" i="7"/>
  <c r="FU73" i="7"/>
  <c r="FT73" i="7"/>
  <c r="FS73" i="7"/>
  <c r="FR73" i="7"/>
  <c r="FQ73" i="7"/>
  <c r="FP73" i="7"/>
  <c r="FO73" i="7"/>
  <c r="FN73" i="7"/>
  <c r="FZ72" i="7"/>
  <c r="FY72" i="7"/>
  <c r="FX72" i="7"/>
  <c r="FW72" i="7"/>
  <c r="FV72" i="7"/>
  <c r="FU72" i="7"/>
  <c r="FT72" i="7"/>
  <c r="FS72" i="7"/>
  <c r="FR72" i="7"/>
  <c r="FQ72" i="7"/>
  <c r="FP72" i="7"/>
  <c r="FO72" i="7"/>
  <c r="FN72" i="7"/>
  <c r="FZ71" i="7"/>
  <c r="FY71" i="7"/>
  <c r="FX71" i="7"/>
  <c r="FW71" i="7"/>
  <c r="FV71" i="7"/>
  <c r="FU71" i="7"/>
  <c r="FT71" i="7"/>
  <c r="FS71" i="7"/>
  <c r="FR71" i="7"/>
  <c r="FQ71" i="7"/>
  <c r="FP71" i="7"/>
  <c r="FO71" i="7"/>
  <c r="FN71" i="7"/>
  <c r="BU69" i="7"/>
  <c r="BT69" i="7"/>
  <c r="BS69" i="7"/>
  <c r="BR69" i="7"/>
  <c r="BQ69" i="7"/>
  <c r="BP69" i="7"/>
  <c r="BO69" i="7"/>
  <c r="BN69" i="7"/>
  <c r="BM69" i="7"/>
  <c r="BL69" i="7"/>
  <c r="BK69" i="7"/>
  <c r="BJ69" i="7"/>
  <c r="BI69" i="7"/>
  <c r="BH69" i="7"/>
  <c r="BG69" i="7"/>
  <c r="BF69" i="7"/>
  <c r="BE69" i="7"/>
  <c r="BD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Q69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FN66" i="7"/>
  <c r="FP66" i="7"/>
  <c r="FO66" i="7"/>
  <c r="DC66" i="7"/>
  <c r="DC120" i="7" s="1"/>
  <c r="CX66" i="7"/>
  <c r="CX120" i="7" s="1"/>
  <c r="CM66" i="7"/>
  <c r="CK66" i="7"/>
  <c r="CK120" i="7" s="1"/>
  <c r="CI66" i="7"/>
  <c r="CI120" i="7" s="1"/>
  <c r="CL54" i="7"/>
  <c r="EC54" i="7"/>
  <c r="DX54" i="7"/>
  <c r="DS54" i="7"/>
  <c r="DN54" i="7"/>
  <c r="DI54" i="7"/>
  <c r="DB54" i="7"/>
  <c r="CW54" i="7"/>
  <c r="CT54" i="7"/>
  <c r="CR54" i="7"/>
  <c r="CF54" i="7"/>
  <c r="CD54" i="7"/>
  <c r="CC54" i="7"/>
  <c r="FS54" i="7" s="1"/>
  <c r="BW54" i="7"/>
  <c r="BR54" i="7"/>
  <c r="BO54" i="7"/>
  <c r="BP54" i="7" s="1"/>
  <c r="BF54" i="7"/>
  <c r="BA54" i="7"/>
  <c r="AV54" i="7"/>
  <c r="AQ54" i="7"/>
  <c r="AL54" i="7"/>
  <c r="AG54" i="7"/>
  <c r="AB54" i="7"/>
  <c r="W54" i="7"/>
  <c r="R54" i="7"/>
  <c r="M54" i="7"/>
  <c r="H54" i="7"/>
  <c r="GC54" i="7"/>
  <c r="GB54" i="7"/>
  <c r="GA54" i="7"/>
  <c r="FZ54" i="7"/>
  <c r="FY54" i="7"/>
  <c r="FV54" i="7"/>
  <c r="FO54" i="7"/>
  <c r="EH54" i="7"/>
  <c r="CI54" i="7"/>
  <c r="CH54" i="7"/>
  <c r="EE50" i="7"/>
  <c r="EE51" i="7" s="1"/>
  <c r="GC51" i="7" s="1"/>
  <c r="EC48" i="7"/>
  <c r="EC47" i="7"/>
  <c r="CV51" i="7"/>
  <c r="CK51" i="7"/>
  <c r="CI51" i="7"/>
  <c r="CD51" i="7"/>
  <c r="CC51" i="7"/>
  <c r="BS51" i="7"/>
  <c r="BO51" i="7"/>
  <c r="BN51" i="7"/>
  <c r="BL51" i="7"/>
  <c r="BJ51" i="7"/>
  <c r="BI51" i="7"/>
  <c r="BH51" i="7"/>
  <c r="BG51" i="7"/>
  <c r="BE51" i="7"/>
  <c r="BD51" i="7"/>
  <c r="BC51" i="7"/>
  <c r="BB51" i="7"/>
  <c r="AZ51" i="7"/>
  <c r="AY51" i="7"/>
  <c r="AX51" i="7"/>
  <c r="AW51" i="7"/>
  <c r="AU51" i="7"/>
  <c r="AT51" i="7"/>
  <c r="AS51" i="7"/>
  <c r="AR51" i="7"/>
  <c r="AP51" i="7"/>
  <c r="AM51" i="7"/>
  <c r="AK51" i="7"/>
  <c r="AJ51" i="7"/>
  <c r="AI51" i="7"/>
  <c r="AH51" i="7"/>
  <c r="AF51" i="7"/>
  <c r="AE51" i="7"/>
  <c r="AD51" i="7"/>
  <c r="AC51" i="7"/>
  <c r="AA51" i="7"/>
  <c r="Z51" i="7"/>
  <c r="X51" i="7"/>
  <c r="V51" i="7"/>
  <c r="U51" i="7"/>
  <c r="T51" i="7"/>
  <c r="S51" i="7"/>
  <c r="Q51" i="7"/>
  <c r="P51" i="7"/>
  <c r="O51" i="7"/>
  <c r="N51" i="7"/>
  <c r="L51" i="7"/>
  <c r="K51" i="7"/>
  <c r="J51" i="7"/>
  <c r="I51" i="7"/>
  <c r="G51" i="7"/>
  <c r="F51" i="7"/>
  <c r="E51" i="7"/>
  <c r="D51" i="7"/>
  <c r="EG50" i="7"/>
  <c r="GD50" i="7" s="1"/>
  <c r="EF50" i="7"/>
  <c r="ED50" i="7"/>
  <c r="EB49" i="7"/>
  <c r="EB50" i="7" s="1"/>
  <c r="DZ50" i="7"/>
  <c r="DY50" i="7"/>
  <c r="DV50" i="7"/>
  <c r="DV51" i="7" s="1"/>
  <c r="DU50" i="7"/>
  <c r="GA50" i="7" s="1"/>
  <c r="DT50" i="7"/>
  <c r="DW50" i="7" s="1"/>
  <c r="GB50" i="7" s="1"/>
  <c r="DR50" i="7"/>
  <c r="DQ50" i="7"/>
  <c r="DP50" i="7"/>
  <c r="DO50" i="7"/>
  <c r="DM50" i="7"/>
  <c r="DM51" i="7" s="1"/>
  <c r="DL50" i="7"/>
  <c r="DL51" i="7" s="1"/>
  <c r="DJ50" i="7"/>
  <c r="DH50" i="7"/>
  <c r="DF50" i="7"/>
  <c r="DF49" i="7"/>
  <c r="DF51" i="7" s="1"/>
  <c r="DB50" i="7"/>
  <c r="DA50" i="7"/>
  <c r="DA51" i="7" s="1"/>
  <c r="CZ50" i="7"/>
  <c r="FW50" i="7" s="1"/>
  <c r="CO50" i="7"/>
  <c r="CO48" i="7"/>
  <c r="CO47" i="7"/>
  <c r="CJ50" i="7"/>
  <c r="CJ48" i="7"/>
  <c r="CJ47" i="7"/>
  <c r="CE49" i="7"/>
  <c r="CE48" i="7"/>
  <c r="CE47" i="7"/>
  <c r="CB50" i="7"/>
  <c r="CB51" i="7" s="1"/>
  <c r="CA50" i="7"/>
  <c r="CA51" i="7" s="1"/>
  <c r="BY50" i="7"/>
  <c r="BY51" i="7" s="1"/>
  <c r="BX50" i="7"/>
  <c r="BW50" i="7"/>
  <c r="BW51" i="7" s="1"/>
  <c r="BV50" i="7"/>
  <c r="BT50" i="7"/>
  <c r="BS50" i="7"/>
  <c r="BR50" i="7"/>
  <c r="BR51" i="7" s="1"/>
  <c r="BQ50" i="7"/>
  <c r="BQ51" i="7" s="1"/>
  <c r="BP50" i="7"/>
  <c r="BK50" i="7"/>
  <c r="BK49" i="7"/>
  <c r="BK48" i="7"/>
  <c r="BK47" i="7"/>
  <c r="BF50" i="7"/>
  <c r="BF49" i="7"/>
  <c r="BF48" i="7"/>
  <c r="BF47" i="7"/>
  <c r="BA50" i="7"/>
  <c r="BA49" i="7"/>
  <c r="BA48" i="7"/>
  <c r="BA47" i="7"/>
  <c r="AV50" i="7"/>
  <c r="AV49" i="7"/>
  <c r="AV48" i="7"/>
  <c r="AV47" i="7"/>
  <c r="AQ49" i="7"/>
  <c r="AQ48" i="7"/>
  <c r="AQ47" i="7"/>
  <c r="AO50" i="7"/>
  <c r="AO51" i="7" s="1"/>
  <c r="AN50" i="7"/>
  <c r="AN51" i="7" s="1"/>
  <c r="AL50" i="7"/>
  <c r="AL49" i="7"/>
  <c r="AL48" i="7"/>
  <c r="AL47" i="7"/>
  <c r="AG50" i="7"/>
  <c r="AG49" i="7"/>
  <c r="AG48" i="7"/>
  <c r="AG47" i="7"/>
  <c r="AB49" i="7"/>
  <c r="AB48" i="7"/>
  <c r="AB47" i="7"/>
  <c r="Y50" i="7"/>
  <c r="AB50" i="7" s="1"/>
  <c r="W50" i="7"/>
  <c r="W49" i="7"/>
  <c r="W48" i="7"/>
  <c r="W47" i="7"/>
  <c r="R50" i="7"/>
  <c r="R49" i="7"/>
  <c r="R48" i="7"/>
  <c r="R47" i="7"/>
  <c r="M50" i="7"/>
  <c r="M49" i="7"/>
  <c r="M48" i="7"/>
  <c r="M47" i="7"/>
  <c r="H50" i="7"/>
  <c r="H49" i="7"/>
  <c r="H48" i="7"/>
  <c r="H47" i="7"/>
  <c r="EA49" i="7"/>
  <c r="DN47" i="7"/>
  <c r="DK49" i="7"/>
  <c r="DK50" i="7" s="1"/>
  <c r="DJ49" i="7"/>
  <c r="DN49" i="7" s="1"/>
  <c r="DH49" i="7"/>
  <c r="DH51" i="7" s="1"/>
  <c r="DG49" i="7"/>
  <c r="DE49" i="7"/>
  <c r="DE51" i="7" s="1"/>
  <c r="DC49" i="7"/>
  <c r="DC50" i="7" s="1"/>
  <c r="DC51" i="7" s="1"/>
  <c r="DB49" i="7"/>
  <c r="CZ49" i="7"/>
  <c r="CX49" i="7"/>
  <c r="CX51" i="7" s="1"/>
  <c r="CW49" i="7"/>
  <c r="CU50" i="7"/>
  <c r="CY50" i="7" s="1"/>
  <c r="CT50" i="7"/>
  <c r="CU49" i="7"/>
  <c r="CU51" i="7" s="1"/>
  <c r="CS49" i="7"/>
  <c r="CS51" i="7" s="1"/>
  <c r="CR49" i="7"/>
  <c r="CR51" i="7" s="1"/>
  <c r="CQ49" i="7"/>
  <c r="CQ51" i="7" s="1"/>
  <c r="CP49" i="7"/>
  <c r="CP51" i="7" s="1"/>
  <c r="CN49" i="7"/>
  <c r="CN51" i="7" s="1"/>
  <c r="CM49" i="7"/>
  <c r="CM51" i="7" s="1"/>
  <c r="CL49" i="7"/>
  <c r="CL51" i="7" s="1"/>
  <c r="CK49" i="7"/>
  <c r="CH49" i="7"/>
  <c r="CH51" i="7" s="1"/>
  <c r="CG49" i="7"/>
  <c r="FS49" i="7" s="1"/>
  <c r="CF49" i="7"/>
  <c r="CF51" i="7" s="1"/>
  <c r="BZ49" i="7"/>
  <c r="BZ48" i="7"/>
  <c r="BZ47" i="7"/>
  <c r="BU49" i="7"/>
  <c r="BU48" i="7"/>
  <c r="BU47" i="7"/>
  <c r="BP48" i="7"/>
  <c r="BP47" i="7"/>
  <c r="BM49" i="7"/>
  <c r="BP49" i="7" s="1"/>
  <c r="DR48" i="7"/>
  <c r="DS48" i="7" s="1"/>
  <c r="DJ48" i="7"/>
  <c r="DI48" i="7"/>
  <c r="DD48" i="7"/>
  <c r="CY48" i="7"/>
  <c r="CY47" i="7"/>
  <c r="CT48" i="7"/>
  <c r="CT47" i="7"/>
  <c r="FV50" i="7"/>
  <c r="FU50" i="7"/>
  <c r="FT50" i="7"/>
  <c r="FS50" i="7"/>
  <c r="FO50" i="7"/>
  <c r="FN50" i="7"/>
  <c r="FZ49" i="7"/>
  <c r="FR49" i="7"/>
  <c r="FQ49" i="7"/>
  <c r="FP49" i="7"/>
  <c r="FN49" i="7"/>
  <c r="GC48" i="7"/>
  <c r="FZ48" i="7"/>
  <c r="FY48" i="7"/>
  <c r="FX48" i="7"/>
  <c r="FW48" i="7"/>
  <c r="FV48" i="7"/>
  <c r="FU48" i="7"/>
  <c r="FT48" i="7"/>
  <c r="FS48" i="7"/>
  <c r="FR48" i="7"/>
  <c r="FQ48" i="7"/>
  <c r="FP48" i="7"/>
  <c r="FO48" i="7"/>
  <c r="FN48" i="7"/>
  <c r="GC47" i="7"/>
  <c r="FZ47" i="7"/>
  <c r="FY47" i="7"/>
  <c r="FX47" i="7"/>
  <c r="FV47" i="7"/>
  <c r="FU47" i="7"/>
  <c r="FT47" i="7"/>
  <c r="FS47" i="7"/>
  <c r="FR47" i="7"/>
  <c r="FQ47" i="7"/>
  <c r="FP47" i="7"/>
  <c r="FO47" i="7"/>
  <c r="FN47" i="7"/>
  <c r="FA49" i="7"/>
  <c r="EZ49" i="7"/>
  <c r="EY49" i="7"/>
  <c r="EX49" i="7"/>
  <c r="EG49" i="7"/>
  <c r="EH49" i="7" s="1"/>
  <c r="EG48" i="7"/>
  <c r="EH48" i="7" s="1"/>
  <c r="EG47" i="7"/>
  <c r="DT49" i="7"/>
  <c r="DS49" i="7"/>
  <c r="DT48" i="7"/>
  <c r="DT47" i="7"/>
  <c r="DS47" i="7"/>
  <c r="DI47" i="7"/>
  <c r="EG34" i="7"/>
  <c r="EL36" i="7" s="1"/>
  <c r="EF34" i="7"/>
  <c r="EK36" i="7" s="1"/>
  <c r="EE34" i="7"/>
  <c r="EJ36" i="7" s="1"/>
  <c r="ED34" i="7"/>
  <c r="EI36" i="7" s="1"/>
  <c r="EB34" i="7"/>
  <c r="EA34" i="7"/>
  <c r="DZ34" i="7"/>
  <c r="DY34" i="7"/>
  <c r="DW34" i="7"/>
  <c r="DV34" i="7"/>
  <c r="DV37" i="7" s="1"/>
  <c r="DU34" i="7"/>
  <c r="DU37" i="7" s="1"/>
  <c r="DT34" i="7"/>
  <c r="DR34" i="7"/>
  <c r="DQ34" i="7"/>
  <c r="DP34" i="7"/>
  <c r="DO34" i="7"/>
  <c r="DM34" i="7"/>
  <c r="DK34" i="7"/>
  <c r="DJ34" i="7"/>
  <c r="DH34" i="7"/>
  <c r="DE34" i="7"/>
  <c r="DB34" i="7"/>
  <c r="DA34" i="7"/>
  <c r="CZ34" i="7"/>
  <c r="CX34" i="7"/>
  <c r="CL34" i="7"/>
  <c r="CG34" i="7"/>
  <c r="CD34" i="7"/>
  <c r="CA34" i="7"/>
  <c r="BX34" i="7"/>
  <c r="BV34" i="7"/>
  <c r="BT34" i="7"/>
  <c r="BS34" i="7"/>
  <c r="BR34" i="7"/>
  <c r="BQ34" i="7"/>
  <c r="BM34" i="7"/>
  <c r="BE34" i="7"/>
  <c r="BD34" i="7"/>
  <c r="BC34" i="7"/>
  <c r="BC35" i="7" s="1"/>
  <c r="BB34" i="7"/>
  <c r="BB35" i="7" s="1"/>
  <c r="AZ34" i="7"/>
  <c r="AY34" i="7"/>
  <c r="AY35" i="7" s="1"/>
  <c r="AX34" i="7"/>
  <c r="AX35" i="7" s="1"/>
  <c r="AW34" i="7"/>
  <c r="AU34" i="7"/>
  <c r="AU35" i="7" s="1"/>
  <c r="AT34" i="7"/>
  <c r="AT35" i="7" s="1"/>
  <c r="AS34" i="7"/>
  <c r="AR34" i="7"/>
  <c r="AP34" i="7"/>
  <c r="AP35" i="7" s="1"/>
  <c r="AO34" i="7"/>
  <c r="AN34" i="7"/>
  <c r="AM34" i="7"/>
  <c r="AM35" i="7" s="1"/>
  <c r="AK34" i="7"/>
  <c r="AJ34" i="7"/>
  <c r="AI34" i="7"/>
  <c r="AI35" i="7" s="1"/>
  <c r="AH34" i="7"/>
  <c r="AH35" i="7" s="1"/>
  <c r="AF34" i="7"/>
  <c r="AE34" i="7"/>
  <c r="AE35" i="7" s="1"/>
  <c r="AD34" i="7"/>
  <c r="AD35" i="7" s="1"/>
  <c r="AC34" i="7"/>
  <c r="AA34" i="7"/>
  <c r="AA35" i="7" s="1"/>
  <c r="Z34" i="7"/>
  <c r="Z35" i="7" s="1"/>
  <c r="Y34" i="7"/>
  <c r="X34" i="7"/>
  <c r="V34" i="7"/>
  <c r="V35" i="7" s="1"/>
  <c r="U34" i="7"/>
  <c r="T34" i="7"/>
  <c r="S34" i="7"/>
  <c r="S35" i="7" s="1"/>
  <c r="Q34" i="7"/>
  <c r="P34" i="7"/>
  <c r="O34" i="7"/>
  <c r="O35" i="7" s="1"/>
  <c r="N34" i="7"/>
  <c r="N35" i="7" s="1"/>
  <c r="L34" i="7"/>
  <c r="K34" i="7"/>
  <c r="K35" i="7" s="1"/>
  <c r="J34" i="7"/>
  <c r="J35" i="7" s="1"/>
  <c r="I34" i="7"/>
  <c r="G34" i="7"/>
  <c r="G35" i="7" s="1"/>
  <c r="F34" i="7"/>
  <c r="F35" i="7" s="1"/>
  <c r="E34" i="7"/>
  <c r="D34" i="7"/>
  <c r="FB33" i="7"/>
  <c r="EW33" i="7"/>
  <c r="EH33" i="7"/>
  <c r="EH30" i="7"/>
  <c r="EH27" i="7"/>
  <c r="EH24" i="7"/>
  <c r="EC33" i="7"/>
  <c r="EC30" i="7"/>
  <c r="EC27" i="7"/>
  <c r="EC24" i="7"/>
  <c r="DX33" i="7"/>
  <c r="DX30" i="7"/>
  <c r="DX27" i="7"/>
  <c r="DX24" i="7"/>
  <c r="DS33" i="7"/>
  <c r="DS30" i="7"/>
  <c r="DS27" i="7"/>
  <c r="DS24" i="7"/>
  <c r="EG31" i="7"/>
  <c r="EF31" i="7"/>
  <c r="ED31" i="7"/>
  <c r="EB31" i="7"/>
  <c r="BE31" i="7"/>
  <c r="BD31" i="7"/>
  <c r="BC31" i="7"/>
  <c r="BB31" i="7"/>
  <c r="AZ31" i="7"/>
  <c r="AY31" i="7"/>
  <c r="AX31" i="7"/>
  <c r="AW31" i="7"/>
  <c r="AU31" i="7"/>
  <c r="AT31" i="7"/>
  <c r="AS31" i="7"/>
  <c r="AR31" i="7"/>
  <c r="AP31" i="7"/>
  <c r="AO31" i="7"/>
  <c r="AN31" i="7"/>
  <c r="AM31" i="7"/>
  <c r="AK31" i="7"/>
  <c r="AJ31" i="7"/>
  <c r="AI31" i="7"/>
  <c r="AH31" i="7"/>
  <c r="AF31" i="7"/>
  <c r="AE31" i="7"/>
  <c r="AD31" i="7"/>
  <c r="AC31" i="7"/>
  <c r="AA31" i="7"/>
  <c r="Z31" i="7"/>
  <c r="Y31" i="7"/>
  <c r="X31" i="7"/>
  <c r="V31" i="7"/>
  <c r="U31" i="7"/>
  <c r="T31" i="7"/>
  <c r="S31" i="7"/>
  <c r="Q31" i="7"/>
  <c r="P31" i="7"/>
  <c r="O31" i="7"/>
  <c r="N31" i="7"/>
  <c r="L31" i="7"/>
  <c r="K31" i="7"/>
  <c r="J31" i="7"/>
  <c r="I31" i="7"/>
  <c r="G31" i="7"/>
  <c r="F31" i="7"/>
  <c r="E31" i="7"/>
  <c r="D31" i="7"/>
  <c r="DN30" i="7"/>
  <c r="DN27" i="7"/>
  <c r="DI27" i="7"/>
  <c r="DI24" i="7"/>
  <c r="DG30" i="7"/>
  <c r="DG34" i="7" s="1"/>
  <c r="DF30" i="7"/>
  <c r="DF34" i="7" s="1"/>
  <c r="DC30" i="7"/>
  <c r="CY27" i="7"/>
  <c r="CY24" i="7"/>
  <c r="CW30" i="7"/>
  <c r="CW34" i="7" s="1"/>
  <c r="CV30" i="7"/>
  <c r="CV34" i="7" s="1"/>
  <c r="CU30" i="7"/>
  <c r="CS30" i="7"/>
  <c r="CS34" i="7" s="1"/>
  <c r="CR30" i="7"/>
  <c r="CR34" i="7" s="1"/>
  <c r="CQ30" i="7"/>
  <c r="CP30" i="7"/>
  <c r="CP34" i="7" s="1"/>
  <c r="CN30" i="7"/>
  <c r="CN34" i="7" s="1"/>
  <c r="CM30" i="7"/>
  <c r="CK30" i="7"/>
  <c r="CK34" i="7" s="1"/>
  <c r="CI30" i="7"/>
  <c r="CH30" i="7"/>
  <c r="CF30" i="7"/>
  <c r="CF34" i="7" s="1"/>
  <c r="CC30" i="7"/>
  <c r="FS30" i="7" s="1"/>
  <c r="CB30" i="7"/>
  <c r="BY30" i="7"/>
  <c r="BY34" i="7" s="1"/>
  <c r="BW30" i="7"/>
  <c r="BU30" i="7"/>
  <c r="BU27" i="7"/>
  <c r="BU24" i="7"/>
  <c r="BO30" i="7"/>
  <c r="BN30" i="7"/>
  <c r="BM30" i="7"/>
  <c r="BL30" i="7"/>
  <c r="BL34" i="7" s="1"/>
  <c r="BJ30" i="7"/>
  <c r="BI30" i="7"/>
  <c r="BI34" i="7" s="1"/>
  <c r="BH30" i="7"/>
  <c r="BH34" i="7" s="1"/>
  <c r="BG30" i="7"/>
  <c r="BF30" i="7"/>
  <c r="BA30" i="7"/>
  <c r="BA27" i="7"/>
  <c r="BA24" i="7"/>
  <c r="AV30" i="7"/>
  <c r="AV27" i="7"/>
  <c r="AV24" i="7"/>
  <c r="AQ30" i="7"/>
  <c r="AQ27" i="7"/>
  <c r="AQ24" i="7"/>
  <c r="AL30" i="7"/>
  <c r="AL27" i="7"/>
  <c r="AL24" i="7"/>
  <c r="AG30" i="7"/>
  <c r="AG27" i="7"/>
  <c r="AG24" i="7"/>
  <c r="AB30" i="7"/>
  <c r="AB27" i="7"/>
  <c r="AB24" i="7"/>
  <c r="W30" i="7"/>
  <c r="W27" i="7"/>
  <c r="W24" i="7"/>
  <c r="R30" i="7"/>
  <c r="R27" i="7"/>
  <c r="R24" i="7"/>
  <c r="M30" i="7"/>
  <c r="M27" i="7"/>
  <c r="M24" i="7"/>
  <c r="H30" i="7"/>
  <c r="H27" i="7"/>
  <c r="H24" i="7"/>
  <c r="EG28" i="7"/>
  <c r="EF28" i="7"/>
  <c r="ED28" i="7"/>
  <c r="EB28" i="7"/>
  <c r="BO28" i="7"/>
  <c r="BN28" i="7"/>
  <c r="BM28" i="7"/>
  <c r="BL28" i="7"/>
  <c r="BJ28" i="7"/>
  <c r="BI28" i="7"/>
  <c r="BH28" i="7"/>
  <c r="BG28" i="7"/>
  <c r="BE28" i="7"/>
  <c r="BD28" i="7"/>
  <c r="BC28" i="7"/>
  <c r="BB28" i="7"/>
  <c r="AZ28" i="7"/>
  <c r="AY28" i="7"/>
  <c r="AX28" i="7"/>
  <c r="AW28" i="7"/>
  <c r="AU28" i="7"/>
  <c r="AT28" i="7"/>
  <c r="AS28" i="7"/>
  <c r="AR28" i="7"/>
  <c r="AP28" i="7"/>
  <c r="AO28" i="7"/>
  <c r="AN28" i="7"/>
  <c r="AM28" i="7"/>
  <c r="AK28" i="7"/>
  <c r="AJ28" i="7"/>
  <c r="AI28" i="7"/>
  <c r="AH28" i="7"/>
  <c r="AF28" i="7"/>
  <c r="AE28" i="7"/>
  <c r="AD28" i="7"/>
  <c r="AC28" i="7"/>
  <c r="AA28" i="7"/>
  <c r="Z28" i="7"/>
  <c r="Y28" i="7"/>
  <c r="X28" i="7"/>
  <c r="V28" i="7"/>
  <c r="U28" i="7"/>
  <c r="T28" i="7"/>
  <c r="S28" i="7"/>
  <c r="Q28" i="7"/>
  <c r="P28" i="7"/>
  <c r="O28" i="7"/>
  <c r="N28" i="7"/>
  <c r="L28" i="7"/>
  <c r="K28" i="7"/>
  <c r="J28" i="7"/>
  <c r="I28" i="7"/>
  <c r="G28" i="7"/>
  <c r="F28" i="7"/>
  <c r="E28" i="7"/>
  <c r="D28" i="7"/>
  <c r="DD27" i="7"/>
  <c r="CT27" i="7"/>
  <c r="CT24" i="7"/>
  <c r="CO27" i="7"/>
  <c r="CO24" i="7"/>
  <c r="CJ27" i="7"/>
  <c r="CJ24" i="7"/>
  <c r="CB27" i="7"/>
  <c r="CE27" i="7" s="1"/>
  <c r="CB24" i="7"/>
  <c r="BZ27" i="7"/>
  <c r="BZ24" i="7"/>
  <c r="BP27" i="7"/>
  <c r="BP24" i="7"/>
  <c r="BK27" i="7"/>
  <c r="BK24" i="7"/>
  <c r="BF27" i="7"/>
  <c r="BF24" i="7"/>
  <c r="EG25" i="7"/>
  <c r="EF25" i="7"/>
  <c r="ED25" i="7"/>
  <c r="EB25" i="7"/>
  <c r="BO25" i="7"/>
  <c r="BN25" i="7"/>
  <c r="BM25" i="7"/>
  <c r="BL25" i="7"/>
  <c r="BJ25" i="7"/>
  <c r="BI25" i="7"/>
  <c r="BH25" i="7"/>
  <c r="BG25" i="7"/>
  <c r="BE25" i="7"/>
  <c r="BD25" i="7"/>
  <c r="BC25" i="7"/>
  <c r="BB25" i="7"/>
  <c r="AZ25" i="7"/>
  <c r="AY25" i="7"/>
  <c r="AX25" i="7"/>
  <c r="AW25" i="7"/>
  <c r="AU25" i="7"/>
  <c r="AT25" i="7"/>
  <c r="AS25" i="7"/>
  <c r="AR25" i="7"/>
  <c r="AP25" i="7"/>
  <c r="AO25" i="7"/>
  <c r="AN25" i="7"/>
  <c r="AM25" i="7"/>
  <c r="AK25" i="7"/>
  <c r="AJ25" i="7"/>
  <c r="AI25" i="7"/>
  <c r="AH25" i="7"/>
  <c r="AF25" i="7"/>
  <c r="AE25" i="7"/>
  <c r="AD25" i="7"/>
  <c r="AC25" i="7"/>
  <c r="AA25" i="7"/>
  <c r="Z25" i="7"/>
  <c r="Y25" i="7"/>
  <c r="X25" i="7"/>
  <c r="V25" i="7"/>
  <c r="U25" i="7"/>
  <c r="T25" i="7"/>
  <c r="S25" i="7"/>
  <c r="Q25" i="7"/>
  <c r="P25" i="7"/>
  <c r="O25" i="7"/>
  <c r="N25" i="7"/>
  <c r="L25" i="7"/>
  <c r="K25" i="7"/>
  <c r="J25" i="7"/>
  <c r="I25" i="7"/>
  <c r="G25" i="7"/>
  <c r="F25" i="7"/>
  <c r="E25" i="7"/>
  <c r="D25" i="7"/>
  <c r="GG33" i="7"/>
  <c r="GF33" i="7"/>
  <c r="GE33" i="7"/>
  <c r="GD33" i="7"/>
  <c r="GC33" i="7"/>
  <c r="GB33" i="7"/>
  <c r="GA33" i="7"/>
  <c r="FZ33" i="7"/>
  <c r="FY33" i="7"/>
  <c r="FX33" i="7"/>
  <c r="GD30" i="7"/>
  <c r="GC30" i="7"/>
  <c r="GB30" i="7"/>
  <c r="GA30" i="7"/>
  <c r="FZ30" i="7"/>
  <c r="FY30" i="7"/>
  <c r="GC27" i="7"/>
  <c r="GB27" i="7"/>
  <c r="GA27" i="7"/>
  <c r="FZ27" i="7"/>
  <c r="FY27" i="7"/>
  <c r="FX27" i="7"/>
  <c r="GD24" i="7"/>
  <c r="GC24" i="7"/>
  <c r="GB24" i="7"/>
  <c r="GA24" i="7"/>
  <c r="FY24" i="7"/>
  <c r="FW30" i="7"/>
  <c r="FQ30" i="7"/>
  <c r="FW27" i="7"/>
  <c r="FV27" i="7"/>
  <c r="FU27" i="7"/>
  <c r="FT27" i="7"/>
  <c r="FS27" i="7"/>
  <c r="FR27" i="7"/>
  <c r="FQ27" i="7"/>
  <c r="FP27" i="7"/>
  <c r="FO27" i="7"/>
  <c r="FN27" i="7"/>
  <c r="FN178" i="7" s="1"/>
  <c r="FW24" i="7"/>
  <c r="FV24" i="7"/>
  <c r="FU24" i="7"/>
  <c r="FT24" i="7"/>
  <c r="FS24" i="7"/>
  <c r="FR24" i="7"/>
  <c r="FQ24" i="7"/>
  <c r="FP24" i="7"/>
  <c r="FO24" i="7"/>
  <c r="FN24" i="7"/>
  <c r="DL24" i="7"/>
  <c r="DL34" i="7" s="1"/>
  <c r="DC24" i="7"/>
  <c r="EG18" i="7"/>
  <c r="EF18" i="7"/>
  <c r="ED18" i="7"/>
  <c r="ED19" i="7" s="1"/>
  <c r="EB18" i="7"/>
  <c r="BN62" i="172" s="1"/>
  <c r="BO18" i="7"/>
  <c r="BJ18" i="7"/>
  <c r="BJ19" i="7" s="1"/>
  <c r="BI18" i="7"/>
  <c r="BH18" i="7"/>
  <c r="BH19" i="7" s="1"/>
  <c r="BG18" i="7"/>
  <c r="BE18" i="7"/>
  <c r="BD18" i="7"/>
  <c r="BD19" i="7" s="1"/>
  <c r="BC18" i="7"/>
  <c r="BB18" i="7"/>
  <c r="AZ18" i="7"/>
  <c r="AZ19" i="7" s="1"/>
  <c r="AY18" i="7"/>
  <c r="AX18" i="7"/>
  <c r="AW18" i="7"/>
  <c r="AU18" i="7"/>
  <c r="AT18" i="7"/>
  <c r="AS18" i="7"/>
  <c r="AS19" i="7" s="1"/>
  <c r="AR18" i="7"/>
  <c r="AR19" i="7" s="1"/>
  <c r="AP18" i="7"/>
  <c r="AO18" i="7"/>
  <c r="AN18" i="7"/>
  <c r="AN19" i="7" s="1"/>
  <c r="AM18" i="7"/>
  <c r="AK18" i="7"/>
  <c r="AK19" i="7" s="1"/>
  <c r="AJ18" i="7"/>
  <c r="AJ19" i="7" s="1"/>
  <c r="AI18" i="7"/>
  <c r="AH18" i="7"/>
  <c r="AF18" i="7"/>
  <c r="AE18" i="7"/>
  <c r="AD18" i="7"/>
  <c r="AC18" i="7"/>
  <c r="AA18" i="7"/>
  <c r="Z18" i="7"/>
  <c r="Y18" i="7"/>
  <c r="Y19" i="7" s="1"/>
  <c r="X18" i="7"/>
  <c r="X19" i="7" s="1"/>
  <c r="V18" i="7"/>
  <c r="U18" i="7"/>
  <c r="T18" i="7"/>
  <c r="T19" i="7" s="1"/>
  <c r="S18" i="7"/>
  <c r="Q18" i="7"/>
  <c r="Q19" i="7" s="1"/>
  <c r="P18" i="7"/>
  <c r="O18" i="7"/>
  <c r="N18" i="7"/>
  <c r="L18" i="7"/>
  <c r="L19" i="7" s="1"/>
  <c r="K18" i="7"/>
  <c r="J18" i="7"/>
  <c r="I18" i="7"/>
  <c r="G18" i="7"/>
  <c r="F18" i="7"/>
  <c r="E18" i="7"/>
  <c r="D18" i="7"/>
  <c r="GD17" i="7"/>
  <c r="FZ17" i="7"/>
  <c r="FY17" i="7"/>
  <c r="FX17" i="7"/>
  <c r="FW17" i="7"/>
  <c r="FV17" i="7"/>
  <c r="FU17" i="7"/>
  <c r="FT17" i="7"/>
  <c r="FS17" i="7"/>
  <c r="FQ17" i="7"/>
  <c r="FN17" i="7"/>
  <c r="EE17" i="7"/>
  <c r="GC17" i="7" s="1"/>
  <c r="EC17" i="7"/>
  <c r="DS17" i="7"/>
  <c r="DN17" i="7"/>
  <c r="DI17" i="7"/>
  <c r="DD17" i="7"/>
  <c r="CY17" i="7"/>
  <c r="CT17" i="7"/>
  <c r="CO17" i="7"/>
  <c r="CJ17" i="7"/>
  <c r="CB17" i="7"/>
  <c r="CE17" i="7" s="1"/>
  <c r="BZ17" i="7"/>
  <c r="BU17" i="7"/>
  <c r="BN17" i="7"/>
  <c r="FP17" i="7" s="1"/>
  <c r="BM17" i="7"/>
  <c r="BM18" i="7" s="1"/>
  <c r="BL17" i="7"/>
  <c r="FO17" i="7" s="1"/>
  <c r="BK17" i="7"/>
  <c r="BF17" i="7"/>
  <c r="BA17" i="7"/>
  <c r="AV17" i="7"/>
  <c r="AQ17" i="7"/>
  <c r="AL17" i="7"/>
  <c r="AG17" i="7"/>
  <c r="AB17" i="7"/>
  <c r="W17" i="7"/>
  <c r="R17" i="7"/>
  <c r="M17" i="7"/>
  <c r="H17" i="7"/>
  <c r="GG16" i="7"/>
  <c r="GE16" i="7"/>
  <c r="GG15" i="7"/>
  <c r="GF15" i="7"/>
  <c r="GE15" i="7"/>
  <c r="GG14" i="7"/>
  <c r="GF14" i="7"/>
  <c r="GE14" i="7"/>
  <c r="GG13" i="7"/>
  <c r="GF13" i="7"/>
  <c r="GE13" i="7"/>
  <c r="GG12" i="7"/>
  <c r="GF12" i="7"/>
  <c r="GE12" i="7"/>
  <c r="GG11" i="7"/>
  <c r="GF11" i="7"/>
  <c r="GE11" i="7"/>
  <c r="GD15" i="7"/>
  <c r="GD14" i="7"/>
  <c r="GD13" i="7"/>
  <c r="GD12" i="7"/>
  <c r="GD11" i="7"/>
  <c r="DY15" i="7"/>
  <c r="DW15" i="7"/>
  <c r="DV15" i="7"/>
  <c r="DU15" i="7"/>
  <c r="DT15" i="7"/>
  <c r="DR15" i="7"/>
  <c r="DQ15" i="7"/>
  <c r="DP15" i="7"/>
  <c r="DO15" i="7"/>
  <c r="DM15" i="7"/>
  <c r="DL15" i="7"/>
  <c r="DK15" i="7"/>
  <c r="DJ15" i="7"/>
  <c r="DH15" i="7"/>
  <c r="DG15" i="7"/>
  <c r="DF15" i="7"/>
  <c r="DE15" i="7"/>
  <c r="DC15" i="7"/>
  <c r="DB15" i="7"/>
  <c r="DA15" i="7"/>
  <c r="CZ15" i="7"/>
  <c r="CX15" i="7"/>
  <c r="CW15" i="7"/>
  <c r="CV15" i="7"/>
  <c r="CU15" i="7"/>
  <c r="CS15" i="7"/>
  <c r="CR15" i="7"/>
  <c r="CQ15" i="7"/>
  <c r="CP15" i="7"/>
  <c r="CN15" i="7"/>
  <c r="CM15" i="7"/>
  <c r="CL15" i="7"/>
  <c r="CK15" i="7"/>
  <c r="CI15" i="7"/>
  <c r="CH15" i="7"/>
  <c r="CG15" i="7"/>
  <c r="CF15" i="7"/>
  <c r="DY14" i="7"/>
  <c r="DW14" i="7"/>
  <c r="DV14" i="7"/>
  <c r="DU14" i="7"/>
  <c r="DT14" i="7"/>
  <c r="DR14" i="7"/>
  <c r="DQ14" i="7"/>
  <c r="DP14" i="7"/>
  <c r="DO14" i="7"/>
  <c r="DM14" i="7"/>
  <c r="DL14" i="7"/>
  <c r="DK14" i="7"/>
  <c r="DJ14" i="7"/>
  <c r="DH14" i="7"/>
  <c r="DG14" i="7"/>
  <c r="DF14" i="7"/>
  <c r="DE14" i="7"/>
  <c r="DC14" i="7"/>
  <c r="DB14" i="7"/>
  <c r="DA14" i="7"/>
  <c r="CZ14" i="7"/>
  <c r="CX14" i="7"/>
  <c r="CW14" i="7"/>
  <c r="CV14" i="7"/>
  <c r="CU14" i="7"/>
  <c r="CS14" i="7"/>
  <c r="CR14" i="7"/>
  <c r="CQ14" i="7"/>
  <c r="CP14" i="7"/>
  <c r="CN14" i="7"/>
  <c r="CM14" i="7"/>
  <c r="CL14" i="7"/>
  <c r="CK14" i="7"/>
  <c r="CI14" i="7"/>
  <c r="CH14" i="7"/>
  <c r="CG14" i="7"/>
  <c r="CF14" i="7"/>
  <c r="DY13" i="7"/>
  <c r="DW13" i="7"/>
  <c r="DV13" i="7"/>
  <c r="DU13" i="7"/>
  <c r="DT13" i="7"/>
  <c r="DR13" i="7"/>
  <c r="DQ13" i="7"/>
  <c r="DP13" i="7"/>
  <c r="DO13" i="7"/>
  <c r="DM13" i="7"/>
  <c r="DL13" i="7"/>
  <c r="DK13" i="7"/>
  <c r="DJ13" i="7"/>
  <c r="DH13" i="7"/>
  <c r="DG13" i="7"/>
  <c r="DF13" i="7"/>
  <c r="DE13" i="7"/>
  <c r="DC13" i="7"/>
  <c r="DB13" i="7"/>
  <c r="DA13" i="7"/>
  <c r="CZ13" i="7"/>
  <c r="CX13" i="7"/>
  <c r="CW13" i="7"/>
  <c r="DY12" i="7"/>
  <c r="DW12" i="7"/>
  <c r="DV12" i="7"/>
  <c r="DU12" i="7"/>
  <c r="DT12" i="7"/>
  <c r="DR12" i="7"/>
  <c r="DQ12" i="7"/>
  <c r="DP12" i="7"/>
  <c r="DO12" i="7"/>
  <c r="DM12" i="7"/>
  <c r="DL12" i="7"/>
  <c r="DK12" i="7"/>
  <c r="DJ12" i="7"/>
  <c r="DH12" i="7"/>
  <c r="DG12" i="7"/>
  <c r="DF12" i="7"/>
  <c r="DE12" i="7"/>
  <c r="DC12" i="7"/>
  <c r="DB12" i="7"/>
  <c r="DA12" i="7"/>
  <c r="CZ12" i="7"/>
  <c r="CX12" i="7"/>
  <c r="CW12" i="7"/>
  <c r="CV12" i="7"/>
  <c r="CU12" i="7"/>
  <c r="CS12" i="7"/>
  <c r="CR12" i="7"/>
  <c r="CQ12" i="7"/>
  <c r="CP12" i="7"/>
  <c r="CN12" i="7"/>
  <c r="CM12" i="7"/>
  <c r="CL12" i="7"/>
  <c r="CK12" i="7"/>
  <c r="CI12" i="7"/>
  <c r="CH12" i="7"/>
  <c r="CG12" i="7"/>
  <c r="CF12" i="7"/>
  <c r="DY11" i="7"/>
  <c r="DW11" i="7"/>
  <c r="DV11" i="7"/>
  <c r="DU11" i="7"/>
  <c r="DT11" i="7"/>
  <c r="DR11" i="7"/>
  <c r="DQ11" i="7"/>
  <c r="DP11" i="7"/>
  <c r="DO11" i="7"/>
  <c r="DM11" i="7"/>
  <c r="DL11" i="7"/>
  <c r="DK11" i="7"/>
  <c r="DJ11" i="7"/>
  <c r="DH11" i="7"/>
  <c r="DG11" i="7"/>
  <c r="DF11" i="7"/>
  <c r="DE11" i="7"/>
  <c r="DC11" i="7"/>
  <c r="DB11" i="7"/>
  <c r="DA11" i="7"/>
  <c r="CZ11" i="7"/>
  <c r="CX11" i="7"/>
  <c r="CW11" i="7"/>
  <c r="CV11" i="7"/>
  <c r="CU11" i="7"/>
  <c r="CS11" i="7"/>
  <c r="CR11" i="7"/>
  <c r="CQ11" i="7"/>
  <c r="CP11" i="7"/>
  <c r="CN11" i="7"/>
  <c r="CM11" i="7"/>
  <c r="CL11" i="7"/>
  <c r="CK11" i="7"/>
  <c r="CI11" i="7"/>
  <c r="CH11" i="7"/>
  <c r="CG11" i="7"/>
  <c r="CF11" i="7"/>
  <c r="CD11" i="7"/>
  <c r="CC11" i="7"/>
  <c r="CB11" i="7"/>
  <c r="CA11" i="7"/>
  <c r="EG10" i="7"/>
  <c r="ED10" i="7"/>
  <c r="BO10" i="7"/>
  <c r="BN10" i="7"/>
  <c r="BM10" i="7"/>
  <c r="BL10" i="7"/>
  <c r="BJ10" i="7"/>
  <c r="BI10" i="7"/>
  <c r="BH10" i="7"/>
  <c r="BG10" i="7"/>
  <c r="BE10" i="7"/>
  <c r="BD10" i="7"/>
  <c r="BC10" i="7"/>
  <c r="BB10" i="7"/>
  <c r="AZ10" i="7"/>
  <c r="AY10" i="7"/>
  <c r="AX10" i="7"/>
  <c r="AW10" i="7"/>
  <c r="AU10" i="7"/>
  <c r="AT10" i="7"/>
  <c r="AS10" i="7"/>
  <c r="AR10" i="7"/>
  <c r="AP10" i="7"/>
  <c r="AO10" i="7"/>
  <c r="AN10" i="7"/>
  <c r="AM10" i="7"/>
  <c r="AK10" i="7"/>
  <c r="AJ10" i="7"/>
  <c r="AI10" i="7"/>
  <c r="AH10" i="7"/>
  <c r="AF10" i="7"/>
  <c r="AE10" i="7"/>
  <c r="AD10" i="7"/>
  <c r="AC10" i="7"/>
  <c r="AA10" i="7"/>
  <c r="Z10" i="7"/>
  <c r="Y10" i="7"/>
  <c r="X10" i="7"/>
  <c r="V10" i="7"/>
  <c r="U10" i="7"/>
  <c r="T10" i="7"/>
  <c r="S10" i="7"/>
  <c r="Q10" i="7"/>
  <c r="P10" i="7"/>
  <c r="O10" i="7"/>
  <c r="N10" i="7"/>
  <c r="L10" i="7"/>
  <c r="K10" i="7"/>
  <c r="J10" i="7"/>
  <c r="I10" i="7"/>
  <c r="G10" i="7"/>
  <c r="F10" i="7"/>
  <c r="E10" i="7"/>
  <c r="EG9" i="7"/>
  <c r="BO9" i="7"/>
  <c r="BN9" i="7"/>
  <c r="BM9" i="7"/>
  <c r="BL9" i="7"/>
  <c r="BJ9" i="7"/>
  <c r="BI9" i="7"/>
  <c r="BH9" i="7"/>
  <c r="BG9" i="7"/>
  <c r="BE9" i="7"/>
  <c r="BD9" i="7"/>
  <c r="BC9" i="7"/>
  <c r="BB9" i="7"/>
  <c r="AZ9" i="7"/>
  <c r="AY9" i="7"/>
  <c r="AX9" i="7"/>
  <c r="AW9" i="7"/>
  <c r="AU9" i="7"/>
  <c r="AT9" i="7"/>
  <c r="AS9" i="7"/>
  <c r="AR9" i="7"/>
  <c r="AP9" i="7"/>
  <c r="AO9" i="7"/>
  <c r="AN9" i="7"/>
  <c r="AM9" i="7"/>
  <c r="AK9" i="7"/>
  <c r="AJ9" i="7"/>
  <c r="AI9" i="7"/>
  <c r="AH9" i="7"/>
  <c r="AF9" i="7"/>
  <c r="AE9" i="7"/>
  <c r="AD9" i="7"/>
  <c r="AC9" i="7"/>
  <c r="AA9" i="7"/>
  <c r="Z9" i="7"/>
  <c r="Y9" i="7"/>
  <c r="X9" i="7"/>
  <c r="V9" i="7"/>
  <c r="U9" i="7"/>
  <c r="T9" i="7"/>
  <c r="S9" i="7"/>
  <c r="Q9" i="7"/>
  <c r="P9" i="7"/>
  <c r="O9" i="7"/>
  <c r="N9" i="7"/>
  <c r="L9" i="7"/>
  <c r="K9" i="7"/>
  <c r="J9" i="7"/>
  <c r="I9" i="7"/>
  <c r="GD8" i="7"/>
  <c r="FO8" i="7"/>
  <c r="FN8" i="7"/>
  <c r="EH8" i="7"/>
  <c r="EE8" i="7"/>
  <c r="EE25" i="7" s="1"/>
  <c r="BP8" i="7"/>
  <c r="BK8" i="7"/>
  <c r="BF8" i="7"/>
  <c r="BA8" i="7"/>
  <c r="AV8" i="7"/>
  <c r="AQ8" i="7"/>
  <c r="AL8" i="7"/>
  <c r="AG8" i="7"/>
  <c r="AB8" i="7"/>
  <c r="W8" i="7"/>
  <c r="R8" i="7"/>
  <c r="M8" i="7"/>
  <c r="H8" i="7"/>
  <c r="EF116" i="7"/>
  <c r="EG116" i="7"/>
  <c r="EG115" i="7"/>
  <c r="EE116" i="7"/>
  <c r="EF114" i="7"/>
  <c r="EH116" i="7"/>
  <c r="EF115" i="7"/>
  <c r="EH115" i="7"/>
  <c r="EE115" i="7"/>
  <c r="EH114" i="7"/>
  <c r="EG114" i="7"/>
  <c r="EE114" i="7"/>
  <c r="EH26" i="7" l="1"/>
  <c r="EM26" i="7"/>
  <c r="EH29" i="7"/>
  <c r="EM29" i="7"/>
  <c r="EH32" i="7"/>
  <c r="EM32" i="7"/>
  <c r="GH49" i="7"/>
  <c r="EM9" i="7"/>
  <c r="EG37" i="7"/>
  <c r="EL39" i="7" s="1"/>
  <c r="R31" i="7"/>
  <c r="D37" i="7"/>
  <c r="D38" i="7" s="1"/>
  <c r="N37" i="7"/>
  <c r="N44" i="7" s="1"/>
  <c r="S37" i="7"/>
  <c r="S53" i="7" s="1"/>
  <c r="AH37" i="7"/>
  <c r="AH44" i="7" s="1"/>
  <c r="AM37" i="7"/>
  <c r="AM53" i="7" s="1"/>
  <c r="BB37" i="7"/>
  <c r="BB53" i="7" s="1"/>
  <c r="FQ90" i="7"/>
  <c r="FU90" i="7"/>
  <c r="BK25" i="7"/>
  <c r="BM51" i="7"/>
  <c r="BN18" i="7"/>
  <c r="EF37" i="7"/>
  <c r="EK39" i="7" s="1"/>
  <c r="FU30" i="7"/>
  <c r="DI30" i="7"/>
  <c r="DI34" i="7" s="1"/>
  <c r="FO49" i="7"/>
  <c r="FO51" i="7" s="1"/>
  <c r="FT49" i="7"/>
  <c r="FT51" i="7" s="1"/>
  <c r="CO49" i="7"/>
  <c r="CO51" i="7" s="1"/>
  <c r="FY50" i="7"/>
  <c r="Y51" i="7"/>
  <c r="E37" i="7"/>
  <c r="E53" i="7" s="1"/>
  <c r="J37" i="7"/>
  <c r="J38" i="7" s="1"/>
  <c r="AX37" i="7"/>
  <c r="AX38" i="7" s="1"/>
  <c r="BC37" i="7"/>
  <c r="BC38" i="7" s="1"/>
  <c r="FV49" i="7"/>
  <c r="FV51" i="7" s="1"/>
  <c r="DJ51" i="7"/>
  <c r="DI50" i="7"/>
  <c r="CG51" i="7"/>
  <c r="EE10" i="7"/>
  <c r="FX49" i="7"/>
  <c r="FP50" i="7"/>
  <c r="FP51" i="7" s="1"/>
  <c r="DN48" i="7"/>
  <c r="FZ50" i="7"/>
  <c r="BK72" i="7"/>
  <c r="FZ90" i="7"/>
  <c r="FO30" i="7"/>
  <c r="FO34" i="7" s="1"/>
  <c r="GB34" i="7"/>
  <c r="FZ51" i="7"/>
  <c r="K37" i="7"/>
  <c r="AE37" i="7"/>
  <c r="AE53" i="7" s="1"/>
  <c r="AE55" i="7" s="1"/>
  <c r="AT37" i="7"/>
  <c r="AT53" i="7" s="1"/>
  <c r="BE37" i="7"/>
  <c r="BE53" i="7" s="1"/>
  <c r="F37" i="7"/>
  <c r="F53" i="7" s="1"/>
  <c r="P37" i="7"/>
  <c r="P53" i="7" s="1"/>
  <c r="Z37" i="7"/>
  <c r="Z53" i="7" s="1"/>
  <c r="AY37" i="7"/>
  <c r="EB37" i="7"/>
  <c r="W28" i="7"/>
  <c r="GA14" i="7"/>
  <c r="M18" i="7"/>
  <c r="M19" i="7" s="1"/>
  <c r="AG18" i="7"/>
  <c r="AG19" i="7" s="1"/>
  <c r="BA18" i="7"/>
  <c r="BA19" i="7" s="1"/>
  <c r="EF35" i="7"/>
  <c r="AG51" i="7"/>
  <c r="GA15" i="7"/>
  <c r="FW12" i="7"/>
  <c r="FY14" i="7"/>
  <c r="FS11" i="7"/>
  <c r="FW11" i="7"/>
  <c r="FY12" i="7"/>
  <c r="FY11" i="7"/>
  <c r="FZ14" i="7"/>
  <c r="FZ15" i="7"/>
  <c r="FO178" i="7"/>
  <c r="FS178" i="7"/>
  <c r="FW178" i="7"/>
  <c r="BA51" i="7"/>
  <c r="H18" i="7"/>
  <c r="H19" i="7" s="1"/>
  <c r="H34" i="7"/>
  <c r="BE19" i="7"/>
  <c r="AQ9" i="7"/>
  <c r="AG9" i="7"/>
  <c r="AG25" i="7"/>
  <c r="FN30" i="7"/>
  <c r="FN180" i="7" s="1"/>
  <c r="EG35" i="7"/>
  <c r="GD48" i="7"/>
  <c r="AJ37" i="7"/>
  <c r="AJ38" i="7" s="1"/>
  <c r="FQ89" i="7"/>
  <c r="FU89" i="7"/>
  <c r="FZ11" i="7"/>
  <c r="FX11" i="7"/>
  <c r="GA11" i="7"/>
  <c r="DX12" i="7"/>
  <c r="FY13" i="7"/>
  <c r="FZ13" i="7"/>
  <c r="DX13" i="7"/>
  <c r="FZ12" i="7"/>
  <c r="FW13" i="7"/>
  <c r="FW14" i="7"/>
  <c r="FW15" i="7"/>
  <c r="FX12" i="7"/>
  <c r="FX13" i="7"/>
  <c r="FX14" i="7"/>
  <c r="FX15" i="7"/>
  <c r="FY15" i="7"/>
  <c r="AL9" i="7"/>
  <c r="BF18" i="7"/>
  <c r="BF19" i="7" s="1"/>
  <c r="M9" i="7"/>
  <c r="I37" i="7"/>
  <c r="I38" i="7" s="1"/>
  <c r="I19" i="7"/>
  <c r="AC37" i="7"/>
  <c r="AC19" i="7"/>
  <c r="AW37" i="7"/>
  <c r="AW38" i="7" s="1"/>
  <c r="AW19" i="7"/>
  <c r="AQ28" i="7"/>
  <c r="FP78" i="7"/>
  <c r="BQ54" i="7"/>
  <c r="FP54" i="7" s="1"/>
  <c r="GD91" i="7"/>
  <c r="AB9" i="7"/>
  <c r="AV9" i="7"/>
  <c r="BP9" i="7"/>
  <c r="BA9" i="7"/>
  <c r="U37" i="7"/>
  <c r="U19" i="7"/>
  <c r="AO37" i="7"/>
  <c r="AO38" i="7" s="1"/>
  <c r="AO19" i="7"/>
  <c r="BI37" i="7"/>
  <c r="BI53" i="7" s="1"/>
  <c r="BI19" i="7"/>
  <c r="E19" i="7"/>
  <c r="AL31" i="7"/>
  <c r="AV34" i="7"/>
  <c r="AV35" i="7" s="1"/>
  <c r="EF36" i="7"/>
  <c r="FN51" i="7"/>
  <c r="M51" i="7"/>
  <c r="G37" i="7"/>
  <c r="G38" i="7" s="1"/>
  <c r="GD31" i="7"/>
  <c r="M31" i="7"/>
  <c r="W34" i="7"/>
  <c r="W35" i="7" s="1"/>
  <c r="BA31" i="7"/>
  <c r="DX34" i="7"/>
  <c r="EG51" i="7"/>
  <c r="GD51" i="7" s="1"/>
  <c r="EH47" i="7"/>
  <c r="GD47" i="7"/>
  <c r="GD49" i="7"/>
  <c r="AV51" i="7"/>
  <c r="BF51" i="7"/>
  <c r="BK51" i="7"/>
  <c r="EH50" i="7"/>
  <c r="O37" i="7"/>
  <c r="O38" i="7" s="1"/>
  <c r="Y37" i="7"/>
  <c r="AD37" i="7"/>
  <c r="AD53" i="7" s="1"/>
  <c r="AI37" i="7"/>
  <c r="AI53" i="7" s="1"/>
  <c r="AS37" i="7"/>
  <c r="AS53" i="7" s="1"/>
  <c r="EG19" i="7"/>
  <c r="BK28" i="7"/>
  <c r="H31" i="7"/>
  <c r="AQ34" i="7"/>
  <c r="AQ35" i="7" s="1"/>
  <c r="BP51" i="7"/>
  <c r="AL51" i="7"/>
  <c r="FQ78" i="7"/>
  <c r="Q37" i="7"/>
  <c r="Q53" i="7" s="1"/>
  <c r="V37" i="7"/>
  <c r="V38" i="7" s="1"/>
  <c r="AA37" i="7"/>
  <c r="AA53" i="7" s="1"/>
  <c r="AF37" i="7"/>
  <c r="AF38" i="7" s="1"/>
  <c r="AK37" i="7"/>
  <c r="AK53" i="7" s="1"/>
  <c r="AP37" i="7"/>
  <c r="AP53" i="7" s="1"/>
  <c r="AU37" i="7"/>
  <c r="AU38" i="7" s="1"/>
  <c r="ED37" i="7"/>
  <c r="EI39" i="7" s="1"/>
  <c r="BP28" i="7"/>
  <c r="AB25" i="7"/>
  <c r="AV31" i="7"/>
  <c r="BF31" i="7"/>
  <c r="EE36" i="7"/>
  <c r="FN90" i="7"/>
  <c r="FO90" i="7"/>
  <c r="FP90" i="7"/>
  <c r="FR90" i="7"/>
  <c r="FS90" i="7"/>
  <c r="FT90" i="7"/>
  <c r="FV90" i="7"/>
  <c r="FW90" i="7"/>
  <c r="FR78" i="7"/>
  <c r="FO89" i="7"/>
  <c r="FS89" i="7"/>
  <c r="FW89" i="7"/>
  <c r="FX89" i="7"/>
  <c r="FY89" i="7"/>
  <c r="FZ89" i="7"/>
  <c r="FY90" i="7"/>
  <c r="FX90" i="7"/>
  <c r="E38" i="7"/>
  <c r="BM37" i="7"/>
  <c r="BM19" i="7"/>
  <c r="AH53" i="7"/>
  <c r="AL18" i="7"/>
  <c r="EF38" i="7"/>
  <c r="FV176" i="7"/>
  <c r="AL28" i="7"/>
  <c r="BY159" i="7"/>
  <c r="BY158" i="7"/>
  <c r="AR159" i="7"/>
  <c r="AR158" i="7"/>
  <c r="AR35" i="7"/>
  <c r="FO9" i="7"/>
  <c r="R9" i="7"/>
  <c r="BF9" i="7"/>
  <c r="DX14" i="7"/>
  <c r="EH17" i="7"/>
  <c r="W18" i="7"/>
  <c r="AQ18" i="7"/>
  <c r="BK18" i="7"/>
  <c r="F19" i="7"/>
  <c r="J19" i="7"/>
  <c r="N19" i="7"/>
  <c r="V19" i="7"/>
  <c r="Z19" i="7"/>
  <c r="AD19" i="7"/>
  <c r="AH19" i="7"/>
  <c r="AP19" i="7"/>
  <c r="AT19" i="7"/>
  <c r="AX19" i="7"/>
  <c r="BB19" i="7"/>
  <c r="BN19" i="7"/>
  <c r="FO176" i="7"/>
  <c r="FS176" i="7"/>
  <c r="FS34" i="7"/>
  <c r="FW176" i="7"/>
  <c r="FW34" i="7"/>
  <c r="FP178" i="7"/>
  <c r="FT178" i="7"/>
  <c r="FN28" i="7"/>
  <c r="BF28" i="7"/>
  <c r="BP25" i="7"/>
  <c r="CC177" i="7"/>
  <c r="CG176" i="7"/>
  <c r="CB177" i="7"/>
  <c r="CB176" i="7"/>
  <c r="CE24" i="7"/>
  <c r="R34" i="7"/>
  <c r="R35" i="7" s="1"/>
  <c r="R25" i="7"/>
  <c r="AB28" i="7"/>
  <c r="AG28" i="7"/>
  <c r="AQ31" i="7"/>
  <c r="BJ181" i="7"/>
  <c r="BJ180" i="7"/>
  <c r="BJ34" i="7"/>
  <c r="BL159" i="7" s="1"/>
  <c r="CG180" i="7"/>
  <c r="CB181" i="7"/>
  <c r="CB180" i="7"/>
  <c r="FR30" i="7"/>
  <c r="FR34" i="7" s="1"/>
  <c r="CE30" i="7"/>
  <c r="CP159" i="7"/>
  <c r="CP158" i="7"/>
  <c r="CU181" i="7"/>
  <c r="CU180" i="7"/>
  <c r="CU34" i="7"/>
  <c r="CV159" i="7" s="1"/>
  <c r="CY30" i="7"/>
  <c r="CY34" i="7" s="1"/>
  <c r="FV30" i="7"/>
  <c r="FV34" i="7" s="1"/>
  <c r="EH31" i="7"/>
  <c r="P159" i="7"/>
  <c r="P158" i="7"/>
  <c r="P35" i="7"/>
  <c r="AN158" i="7"/>
  <c r="AN159" i="7"/>
  <c r="AN35" i="7"/>
  <c r="BH158" i="7"/>
  <c r="BH35" i="7"/>
  <c r="BT159" i="7"/>
  <c r="CB34" i="7"/>
  <c r="CG158" i="7" s="1"/>
  <c r="X37" i="7"/>
  <c r="AN37" i="7"/>
  <c r="BD37" i="7"/>
  <c r="R18" i="7"/>
  <c r="FN176" i="7"/>
  <c r="BF25" i="7"/>
  <c r="BS180" i="7"/>
  <c r="BN181" i="7"/>
  <c r="BN180" i="7"/>
  <c r="BN34" i="7"/>
  <c r="CH181" i="7"/>
  <c r="CH180" i="7"/>
  <c r="CH34" i="7"/>
  <c r="CJ30" i="7"/>
  <c r="BN31" i="7"/>
  <c r="DS34" i="7"/>
  <c r="EH28" i="7"/>
  <c r="T158" i="7"/>
  <c r="T159" i="7"/>
  <c r="T35" i="7"/>
  <c r="AZ159" i="7"/>
  <c r="AZ158" i="7"/>
  <c r="AZ35" i="7"/>
  <c r="AZ37" i="7"/>
  <c r="FN173" i="7"/>
  <c r="FN171" i="7"/>
  <c r="FN174" i="7"/>
  <c r="FN172" i="7"/>
  <c r="FN170" i="7"/>
  <c r="FO174" i="7"/>
  <c r="FO173" i="7"/>
  <c r="FO172" i="7"/>
  <c r="FO171" i="7"/>
  <c r="FO170" i="7"/>
  <c r="W9" i="7"/>
  <c r="BK9" i="7"/>
  <c r="DX11" i="7"/>
  <c r="DX15" i="7"/>
  <c r="GA12" i="7"/>
  <c r="GA13" i="7"/>
  <c r="FR17" i="7"/>
  <c r="FN18" i="7"/>
  <c r="GD18" i="7"/>
  <c r="D44" i="7"/>
  <c r="AB18" i="7"/>
  <c r="AV18" i="7"/>
  <c r="BL18" i="7"/>
  <c r="G19" i="7"/>
  <c r="K19" i="7"/>
  <c r="O19" i="7"/>
  <c r="S19" i="7"/>
  <c r="AA19" i="7"/>
  <c r="AE19" i="7"/>
  <c r="AI19" i="7"/>
  <c r="AM19" i="7"/>
  <c r="AU19" i="7"/>
  <c r="AY19" i="7"/>
  <c r="BC19" i="7"/>
  <c r="BG19" i="7"/>
  <c r="BO19" i="7"/>
  <c r="DC34" i="7"/>
  <c r="DD24" i="7"/>
  <c r="FX24" i="7"/>
  <c r="FY176" i="7" s="1"/>
  <c r="FP176" i="7"/>
  <c r="FT176" i="7"/>
  <c r="FN25" i="7"/>
  <c r="FQ178" i="7"/>
  <c r="FU178" i="7"/>
  <c r="FO28" i="7"/>
  <c r="FT30" i="7"/>
  <c r="FY34" i="7"/>
  <c r="H25" i="7"/>
  <c r="M25" i="7"/>
  <c r="R28" i="7"/>
  <c r="AB31" i="7"/>
  <c r="AG31" i="7"/>
  <c r="AV25" i="7"/>
  <c r="BA25" i="7"/>
  <c r="CQ181" i="7"/>
  <c r="CQ180" i="7"/>
  <c r="CQ34" i="7"/>
  <c r="CR159" i="7" s="1"/>
  <c r="EH25" i="7"/>
  <c r="D159" i="7"/>
  <c r="D35" i="7"/>
  <c r="L158" i="7"/>
  <c r="L159" i="7"/>
  <c r="L35" i="7"/>
  <c r="AJ159" i="7"/>
  <c r="AJ158" i="7"/>
  <c r="AJ35" i="7"/>
  <c r="FZ34" i="7"/>
  <c r="GA34" i="7"/>
  <c r="EB35" i="7"/>
  <c r="EG36" i="7"/>
  <c r="ED36" i="7"/>
  <c r="GC34" i="7"/>
  <c r="ED35" i="7"/>
  <c r="EH34" i="7"/>
  <c r="L37" i="7"/>
  <c r="AR37" i="7"/>
  <c r="BH37" i="7"/>
  <c r="DV53" i="7"/>
  <c r="DV44" i="7"/>
  <c r="AM38" i="7"/>
  <c r="FB49" i="7"/>
  <c r="CT49" i="7"/>
  <c r="CT51" i="7" s="1"/>
  <c r="FW49" i="7"/>
  <c r="CY49" i="7"/>
  <c r="CY51" i="7" s="1"/>
  <c r="CW51" i="7"/>
  <c r="GC49" i="7"/>
  <c r="EC49" i="7"/>
  <c r="CE50" i="7"/>
  <c r="CE51" i="7" s="1"/>
  <c r="FR176" i="7"/>
  <c r="CS159" i="7"/>
  <c r="CS158" i="7"/>
  <c r="T37" i="7"/>
  <c r="EE28" i="7"/>
  <c r="EE31" i="7"/>
  <c r="EF10" i="7"/>
  <c r="BP17" i="7"/>
  <c r="BP18" i="7" s="1"/>
  <c r="FO18" i="7"/>
  <c r="Q38" i="7"/>
  <c r="EE18" i="7"/>
  <c r="D19" i="7"/>
  <c r="P19" i="7"/>
  <c r="AF19" i="7"/>
  <c r="EF19" i="7"/>
  <c r="DN24" i="7"/>
  <c r="FQ176" i="7"/>
  <c r="FQ34" i="7"/>
  <c r="FU176" i="7"/>
  <c r="FU34" i="7"/>
  <c r="FO25" i="7"/>
  <c r="FP30" i="7"/>
  <c r="FP34" i="7" s="1"/>
  <c r="FZ24" i="7"/>
  <c r="GD25" i="7"/>
  <c r="FY178" i="7"/>
  <c r="BF34" i="7"/>
  <c r="BF35" i="7" s="1"/>
  <c r="H28" i="7"/>
  <c r="M28" i="7"/>
  <c r="W31" i="7"/>
  <c r="AL34" i="7"/>
  <c r="AL35" i="7" s="1"/>
  <c r="AL25" i="7"/>
  <c r="AV28" i="7"/>
  <c r="BA28" i="7"/>
  <c r="CM181" i="7"/>
  <c r="CM180" i="7"/>
  <c r="CM34" i="7"/>
  <c r="CO30" i="7"/>
  <c r="CW159" i="7"/>
  <c r="CW158" i="7"/>
  <c r="FX30" i="7"/>
  <c r="DD30" i="7"/>
  <c r="BJ31" i="7"/>
  <c r="EC34" i="7"/>
  <c r="X159" i="7"/>
  <c r="X158" i="7"/>
  <c r="X35" i="7"/>
  <c r="AB34" i="7"/>
  <c r="AB35" i="7" s="1"/>
  <c r="AF159" i="7"/>
  <c r="AF158" i="7"/>
  <c r="AF35" i="7"/>
  <c r="BD159" i="7"/>
  <c r="BD158" i="7"/>
  <c r="BD35" i="7"/>
  <c r="BL35" i="7"/>
  <c r="BX158" i="7"/>
  <c r="CF159" i="7"/>
  <c r="CF158" i="7"/>
  <c r="FX50" i="7"/>
  <c r="BG181" i="7"/>
  <c r="BG180" i="7"/>
  <c r="BK30" i="7"/>
  <c r="BK31" i="7" s="1"/>
  <c r="BQ181" i="7"/>
  <c r="BT180" i="7"/>
  <c r="BO181" i="7"/>
  <c r="BO180" i="7"/>
  <c r="BX181" i="7"/>
  <c r="BW181" i="7"/>
  <c r="BW180" i="7"/>
  <c r="CD181" i="7"/>
  <c r="CC181" i="7"/>
  <c r="CC180" i="7"/>
  <c r="CI181" i="7"/>
  <c r="CI180" i="7"/>
  <c r="CN181" i="7"/>
  <c r="CN180" i="7"/>
  <c r="CR181" i="7"/>
  <c r="CR180" i="7"/>
  <c r="CV181" i="7"/>
  <c r="CV180" i="7"/>
  <c r="BG31" i="7"/>
  <c r="BO31" i="7"/>
  <c r="E159" i="7"/>
  <c r="E158" i="7"/>
  <c r="I159" i="7"/>
  <c r="I158" i="7"/>
  <c r="M34" i="7"/>
  <c r="M35" i="7" s="1"/>
  <c r="Q159" i="7"/>
  <c r="Q158" i="7"/>
  <c r="U159" i="7"/>
  <c r="U158" i="7"/>
  <c r="Y159" i="7"/>
  <c r="Y158" i="7"/>
  <c r="AC159" i="7"/>
  <c r="AC158" i="7"/>
  <c r="AG34" i="7"/>
  <c r="AG35" i="7" s="1"/>
  <c r="AK159" i="7"/>
  <c r="AK158" i="7"/>
  <c r="AO159" i="7"/>
  <c r="AO158" i="7"/>
  <c r="AS159" i="7"/>
  <c r="AS158" i="7"/>
  <c r="AW159" i="7"/>
  <c r="AW158" i="7"/>
  <c r="BA34" i="7"/>
  <c r="BA35" i="7" s="1"/>
  <c r="BE159" i="7"/>
  <c r="BE158" i="7"/>
  <c r="BI159" i="7"/>
  <c r="BI158" i="7"/>
  <c r="BM159" i="7"/>
  <c r="BM158" i="7"/>
  <c r="BQ158" i="7"/>
  <c r="BU34" i="7"/>
  <c r="CC34" i="7"/>
  <c r="CD159" i="7" s="1"/>
  <c r="CG159" i="7"/>
  <c r="CK158" i="7"/>
  <c r="DU53" i="7"/>
  <c r="GA49" i="7"/>
  <c r="DW49" i="7"/>
  <c r="H51" i="7"/>
  <c r="R51" i="7"/>
  <c r="BX51" i="7"/>
  <c r="FR50" i="7"/>
  <c r="FR51" i="7" s="1"/>
  <c r="DN50" i="7"/>
  <c r="DS50" i="7"/>
  <c r="DS51" i="7" s="1"/>
  <c r="CC118" i="7"/>
  <c r="CC119" i="7"/>
  <c r="DB119" i="7"/>
  <c r="CC179" i="7"/>
  <c r="CG178" i="7"/>
  <c r="CB179" i="7"/>
  <c r="CB178" i="7"/>
  <c r="W25" i="7"/>
  <c r="AQ25" i="7"/>
  <c r="BH181" i="7"/>
  <c r="BH180" i="7"/>
  <c r="BQ180" i="7"/>
  <c r="BL181" i="7"/>
  <c r="BL180" i="7"/>
  <c r="BP30" i="7"/>
  <c r="BP31" i="7" s="1"/>
  <c r="CA181" i="7"/>
  <c r="CD180" i="7"/>
  <c r="BY181" i="7"/>
  <c r="BY180" i="7"/>
  <c r="CX180" i="7"/>
  <c r="CS181" i="7"/>
  <c r="CS180" i="7"/>
  <c r="CX181" i="7"/>
  <c r="CW181" i="7"/>
  <c r="CW180" i="7"/>
  <c r="BH31" i="7"/>
  <c r="BL31" i="7"/>
  <c r="F158" i="7"/>
  <c r="F159" i="7"/>
  <c r="J158" i="7"/>
  <c r="J159" i="7"/>
  <c r="N158" i="7"/>
  <c r="N159" i="7"/>
  <c r="V159" i="7"/>
  <c r="V158" i="7"/>
  <c r="Z159" i="7"/>
  <c r="Z158" i="7"/>
  <c r="AD158" i="7"/>
  <c r="AD159" i="7"/>
  <c r="AH159" i="7"/>
  <c r="AH158" i="7"/>
  <c r="AP159" i="7"/>
  <c r="AP158" i="7"/>
  <c r="AT159" i="7"/>
  <c r="AT158" i="7"/>
  <c r="AX158" i="7"/>
  <c r="AX159" i="7"/>
  <c r="BB159" i="7"/>
  <c r="BB158" i="7"/>
  <c r="BR158" i="7"/>
  <c r="BR159" i="7"/>
  <c r="BV159" i="7"/>
  <c r="BV158" i="7"/>
  <c r="CD158" i="7"/>
  <c r="CL158" i="7"/>
  <c r="CL159" i="7"/>
  <c r="CX159" i="7"/>
  <c r="CX158" i="7"/>
  <c r="EE35" i="7"/>
  <c r="GA47" i="7"/>
  <c r="DT51" i="7"/>
  <c r="GA51" i="7" s="1"/>
  <c r="DW47" i="7"/>
  <c r="GE49" i="7"/>
  <c r="DG51" i="7"/>
  <c r="DI49" i="7"/>
  <c r="FY49" i="7"/>
  <c r="W51" i="7"/>
  <c r="AB51" i="7"/>
  <c r="BT51" i="7"/>
  <c r="FQ50" i="7"/>
  <c r="FQ51" i="7" s="1"/>
  <c r="DX50" i="7"/>
  <c r="EC50" i="7"/>
  <c r="CL119" i="7"/>
  <c r="CL118" i="7"/>
  <c r="FR178" i="7"/>
  <c r="FV178" i="7"/>
  <c r="FX178" i="7"/>
  <c r="BI181" i="7"/>
  <c r="BI180" i="7"/>
  <c r="BR180" i="7"/>
  <c r="BM181" i="7"/>
  <c r="BM180" i="7"/>
  <c r="BZ30" i="7"/>
  <c r="CF181" i="7"/>
  <c r="CF180" i="7"/>
  <c r="CG181" i="7"/>
  <c r="CK181" i="7"/>
  <c r="CK180" i="7"/>
  <c r="CL181" i="7"/>
  <c r="CP181" i="7"/>
  <c r="CP180" i="7"/>
  <c r="CT30" i="7"/>
  <c r="BI31" i="7"/>
  <c r="BM31" i="7"/>
  <c r="G159" i="7"/>
  <c r="G158" i="7"/>
  <c r="K159" i="7"/>
  <c r="K158" i="7"/>
  <c r="O159" i="7"/>
  <c r="O158" i="7"/>
  <c r="S159" i="7"/>
  <c r="S158" i="7"/>
  <c r="AA159" i="7"/>
  <c r="AA158" i="7"/>
  <c r="AE159" i="7"/>
  <c r="AE158" i="7"/>
  <c r="AI159" i="7"/>
  <c r="AI158" i="7"/>
  <c r="AM159" i="7"/>
  <c r="AM158" i="7"/>
  <c r="AU159" i="7"/>
  <c r="AU158" i="7"/>
  <c r="AY159" i="7"/>
  <c r="AY158" i="7"/>
  <c r="BC159" i="7"/>
  <c r="BC158" i="7"/>
  <c r="BG34" i="7"/>
  <c r="BH159" i="7" s="1"/>
  <c r="BO34" i="7"/>
  <c r="BQ159" i="7" s="1"/>
  <c r="BS159" i="7"/>
  <c r="BW34" i="7"/>
  <c r="CA159" i="7"/>
  <c r="CA158" i="7"/>
  <c r="CI34" i="7"/>
  <c r="CN158" i="7" s="1"/>
  <c r="E35" i="7"/>
  <c r="I35" i="7"/>
  <c r="Q35" i="7"/>
  <c r="U35" i="7"/>
  <c r="Y35" i="7"/>
  <c r="AC35" i="7"/>
  <c r="AK35" i="7"/>
  <c r="AO35" i="7"/>
  <c r="AS35" i="7"/>
  <c r="AW35" i="7"/>
  <c r="BE35" i="7"/>
  <c r="BI35" i="7"/>
  <c r="BM35" i="7"/>
  <c r="DU44" i="7"/>
  <c r="GA48" i="7"/>
  <c r="DW48" i="7"/>
  <c r="GB48" i="7" s="1"/>
  <c r="FS51" i="7"/>
  <c r="DD49" i="7"/>
  <c r="DB51" i="7"/>
  <c r="BU50" i="7"/>
  <c r="BU51" i="7" s="1"/>
  <c r="BZ50" i="7"/>
  <c r="BZ51" i="7" s="1"/>
  <c r="EC119" i="7"/>
  <c r="FU49" i="7"/>
  <c r="FU51" i="7" s="1"/>
  <c r="GC50" i="7"/>
  <c r="BV51" i="7"/>
  <c r="CH119" i="7"/>
  <c r="CH78" i="7"/>
  <c r="EH119" i="7"/>
  <c r="EH118" i="7"/>
  <c r="CD119" i="7"/>
  <c r="CD118" i="7"/>
  <c r="CT119" i="7"/>
  <c r="CT118" i="7"/>
  <c r="DS119" i="7"/>
  <c r="DD50" i="7"/>
  <c r="CI119" i="7"/>
  <c r="CI118" i="7"/>
  <c r="CJ54" i="7"/>
  <c r="DI119" i="7"/>
  <c r="AQ50" i="7"/>
  <c r="AQ51" i="7" s="1"/>
  <c r="CJ49" i="7"/>
  <c r="CJ51" i="7" s="1"/>
  <c r="FQ54" i="7"/>
  <c r="FN54" i="7"/>
  <c r="BK54" i="7"/>
  <c r="CW119" i="7"/>
  <c r="CW118" i="7"/>
  <c r="CF118" i="7"/>
  <c r="CF119" i="7"/>
  <c r="CR118" i="7"/>
  <c r="CR119" i="7"/>
  <c r="DN119" i="7"/>
  <c r="DX119" i="7"/>
  <c r="CM120" i="7"/>
  <c r="BU78" i="7"/>
  <c r="BZ78" i="7"/>
  <c r="BK78" i="7"/>
  <c r="FN78" i="7"/>
  <c r="CE78" i="7"/>
  <c r="FS78" i="7"/>
  <c r="CY78" i="7"/>
  <c r="DV92" i="7"/>
  <c r="GA92" i="7"/>
  <c r="EY92" i="7"/>
  <c r="EZ92" i="7" s="1"/>
  <c r="FA92" i="7" s="1"/>
  <c r="FC92" i="7" s="1"/>
  <c r="FP89" i="7"/>
  <c r="FT89" i="7"/>
  <c r="EH77" i="7"/>
  <c r="GC91" i="7"/>
  <c r="FN89" i="7"/>
  <c r="FR89" i="7"/>
  <c r="FV89" i="7"/>
  <c r="EW92" i="7"/>
  <c r="GF92" i="7"/>
  <c r="GC92" i="7"/>
  <c r="DL92" i="7"/>
  <c r="DM92" i="7" s="1"/>
  <c r="FZ92" i="7" s="1"/>
  <c r="EC92" i="7"/>
  <c r="EF92" i="7"/>
  <c r="GE92" i="7"/>
  <c r="DS92" i="7"/>
  <c r="EH18" i="7" l="1"/>
  <c r="EG44" i="7"/>
  <c r="EL45" i="7" s="1"/>
  <c r="Q39" i="7"/>
  <c r="D53" i="7"/>
  <c r="D56" i="7" s="1"/>
  <c r="AM44" i="7"/>
  <c r="AM45" i="7" s="1"/>
  <c r="AK38" i="7"/>
  <c r="J53" i="7"/>
  <c r="J56" i="7" s="1"/>
  <c r="FY51" i="7"/>
  <c r="EG38" i="7"/>
  <c r="EM36" i="7"/>
  <c r="AX53" i="7"/>
  <c r="AX56" i="7" s="1"/>
  <c r="BB44" i="7"/>
  <c r="AJ53" i="7"/>
  <c r="AJ56" i="7" s="1"/>
  <c r="EF44" i="7"/>
  <c r="EK45" i="7" s="1"/>
  <c r="J39" i="7"/>
  <c r="FX51" i="7"/>
  <c r="EB44" i="7"/>
  <c r="AW53" i="7"/>
  <c r="AW56" i="7" s="1"/>
  <c r="BN37" i="7"/>
  <c r="BN38" i="7" s="1"/>
  <c r="Y53" i="7"/>
  <c r="Y183" i="7" s="1"/>
  <c r="AS38" i="7"/>
  <c r="I44" i="7"/>
  <c r="N45" i="7" s="1"/>
  <c r="S38" i="7"/>
  <c r="AW44" i="7"/>
  <c r="I39" i="7"/>
  <c r="G53" i="7"/>
  <c r="G56" i="7" s="1"/>
  <c r="AM39" i="7"/>
  <c r="AH38" i="7"/>
  <c r="AH39" i="7"/>
  <c r="N38" i="7"/>
  <c r="FO31" i="7"/>
  <c r="FD92" i="7"/>
  <c r="FE92" i="7" s="1"/>
  <c r="FF92" i="7" s="1"/>
  <c r="FH92" i="7" s="1"/>
  <c r="U39" i="7"/>
  <c r="BU54" i="7"/>
  <c r="AO53" i="7"/>
  <c r="AO55" i="7" s="1"/>
  <c r="Z38" i="7"/>
  <c r="FU180" i="7"/>
  <c r="S39" i="7"/>
  <c r="S44" i="7"/>
  <c r="S45" i="7" s="1"/>
  <c r="AT38" i="7"/>
  <c r="EG53" i="7"/>
  <c r="EG183" i="7" s="1"/>
  <c r="AY39" i="7"/>
  <c r="K39" i="7"/>
  <c r="K53" i="7"/>
  <c r="K55" i="7" s="1"/>
  <c r="BB38" i="7"/>
  <c r="N53" i="7"/>
  <c r="N183" i="7" s="1"/>
  <c r="AC53" i="7"/>
  <c r="AC55" i="7" s="1"/>
  <c r="BB39" i="7"/>
  <c r="F38" i="7"/>
  <c r="AC44" i="7"/>
  <c r="AH45" i="7" s="1"/>
  <c r="EB53" i="7"/>
  <c r="EB55" i="7" s="1"/>
  <c r="EG39" i="7"/>
  <c r="BC53" i="7"/>
  <c r="BC56" i="7" s="1"/>
  <c r="AI38" i="7"/>
  <c r="EB38" i="7"/>
  <c r="K38" i="7"/>
  <c r="AC38" i="7"/>
  <c r="AC39" i="7"/>
  <c r="ED53" i="7"/>
  <c r="ED183" i="7" s="1"/>
  <c r="AY38" i="7"/>
  <c r="I53" i="7"/>
  <c r="I56" i="7" s="1"/>
  <c r="N39" i="7"/>
  <c r="AW39" i="7"/>
  <c r="FN34" i="7"/>
  <c r="FN158" i="7" s="1"/>
  <c r="AU53" i="7"/>
  <c r="AU183" i="7" s="1"/>
  <c r="EF53" i="7"/>
  <c r="EF55" i="7" s="1"/>
  <c r="AX39" i="7"/>
  <c r="AT39" i="7"/>
  <c r="BS158" i="7"/>
  <c r="DI51" i="7"/>
  <c r="DN51" i="7"/>
  <c r="FP158" i="7"/>
  <c r="AS39" i="7"/>
  <c r="AO39" i="7"/>
  <c r="FO180" i="7"/>
  <c r="BC39" i="7"/>
  <c r="P38" i="7"/>
  <c r="ED38" i="7"/>
  <c r="AY53" i="7"/>
  <c r="AY183" i="7" s="1"/>
  <c r="ED44" i="7"/>
  <c r="EI45" i="7" s="1"/>
  <c r="AD38" i="7"/>
  <c r="AK39" i="7"/>
  <c r="EH51" i="7"/>
  <c r="AE183" i="7"/>
  <c r="EC51" i="7"/>
  <c r="BE38" i="7"/>
  <c r="BE39" i="7"/>
  <c r="BJ37" i="7"/>
  <c r="BJ38" i="7" s="1"/>
  <c r="U38" i="7"/>
  <c r="AE56" i="7"/>
  <c r="AE58" i="7" s="1"/>
  <c r="P39" i="7"/>
  <c r="AE38" i="7"/>
  <c r="AE39" i="7"/>
  <c r="AF53" i="7"/>
  <c r="AF56" i="7" s="1"/>
  <c r="FN31" i="7"/>
  <c r="H37" i="7"/>
  <c r="H38" i="7" s="1"/>
  <c r="AI39" i="7"/>
  <c r="H35" i="7"/>
  <c r="AF39" i="7"/>
  <c r="AU39" i="7"/>
  <c r="AA38" i="7"/>
  <c r="O39" i="7"/>
  <c r="AJ39" i="7"/>
  <c r="CV158" i="7"/>
  <c r="O53" i="7"/>
  <c r="O56" i="7" s="1"/>
  <c r="V39" i="7"/>
  <c r="BI38" i="7"/>
  <c r="Y38" i="7"/>
  <c r="U53" i="7"/>
  <c r="U183" i="7" s="1"/>
  <c r="AP39" i="7"/>
  <c r="Z39" i="7"/>
  <c r="BI39" i="7"/>
  <c r="Y39" i="7"/>
  <c r="AP38" i="7"/>
  <c r="AD39" i="7"/>
  <c r="V53" i="7"/>
  <c r="V183" i="7" s="1"/>
  <c r="AA39" i="7"/>
  <c r="EH19" i="7"/>
  <c r="BP19" i="7"/>
  <c r="FV158" i="7"/>
  <c r="EG92" i="7"/>
  <c r="GD92" i="7" s="1"/>
  <c r="DW92" i="7"/>
  <c r="DX92" i="7" s="1"/>
  <c r="CJ78" i="7"/>
  <c r="CJ118" i="7" s="1"/>
  <c r="GB47" i="7"/>
  <c r="DW51" i="7"/>
  <c r="GB51" i="7" s="1"/>
  <c r="GB49" i="7"/>
  <c r="DX49" i="7"/>
  <c r="DU56" i="7"/>
  <c r="DU55" i="7"/>
  <c r="BL158" i="7"/>
  <c r="FQ158" i="7"/>
  <c r="DN34" i="7"/>
  <c r="BI183" i="7"/>
  <c r="BI56" i="7"/>
  <c r="BI55" i="7"/>
  <c r="BE183" i="7"/>
  <c r="BE56" i="7"/>
  <c r="BE55" i="7"/>
  <c r="AS183" i="7"/>
  <c r="AS56" i="7"/>
  <c r="AS55" i="7"/>
  <c r="AK183" i="7"/>
  <c r="AK56" i="7"/>
  <c r="AK55" i="7"/>
  <c r="Q183" i="7"/>
  <c r="Q56" i="7"/>
  <c r="Q55" i="7"/>
  <c r="DV56" i="7"/>
  <c r="DV55" i="7"/>
  <c r="BK34" i="7"/>
  <c r="BK35" i="7" s="1"/>
  <c r="FX176" i="7"/>
  <c r="FX34" i="7"/>
  <c r="FY158" i="7" s="1"/>
  <c r="BL37" i="7"/>
  <c r="BL19" i="7"/>
  <c r="AD183" i="7"/>
  <c r="AD56" i="7"/>
  <c r="AD55" i="7"/>
  <c r="AN53" i="7"/>
  <c r="AN38" i="7"/>
  <c r="AN39" i="7"/>
  <c r="FR180" i="7"/>
  <c r="FS158" i="7"/>
  <c r="AM183" i="7"/>
  <c r="AM56" i="7"/>
  <c r="AM55" i="7"/>
  <c r="FW180" i="7"/>
  <c r="AX183" i="7"/>
  <c r="BF37" i="7"/>
  <c r="E183" i="7"/>
  <c r="E55" i="7"/>
  <c r="E56" i="7"/>
  <c r="DN92" i="7"/>
  <c r="FY92" i="7" s="1"/>
  <c r="FB92" i="7"/>
  <c r="CH118" i="7"/>
  <c r="DX48" i="7"/>
  <c r="BO159" i="7"/>
  <c r="BO158" i="7"/>
  <c r="BO35" i="7"/>
  <c r="CC159" i="7"/>
  <c r="CC158" i="7"/>
  <c r="CM159" i="7"/>
  <c r="CM158" i="7"/>
  <c r="BZ34" i="7"/>
  <c r="FO37" i="7"/>
  <c r="FO19" i="7"/>
  <c r="BH53" i="7"/>
  <c r="BH38" i="7"/>
  <c r="BH39" i="7"/>
  <c r="EH36" i="7"/>
  <c r="EH35" i="7"/>
  <c r="CT34" i="7"/>
  <c r="FT180" i="7"/>
  <c r="FT34" i="7"/>
  <c r="FT158" i="7" s="1"/>
  <c r="AV37" i="7"/>
  <c r="AV19" i="7"/>
  <c r="GD19" i="7"/>
  <c r="AZ53" i="7"/>
  <c r="AZ38" i="7"/>
  <c r="AZ39" i="7"/>
  <c r="BN159" i="7"/>
  <c r="BN158" i="7"/>
  <c r="BN35" i="7"/>
  <c r="R37" i="7"/>
  <c r="R19" i="7"/>
  <c r="J183" i="7"/>
  <c r="X53" i="7"/>
  <c r="X44" i="7"/>
  <c r="X38" i="7"/>
  <c r="X39" i="7"/>
  <c r="CR158" i="7"/>
  <c r="BT158" i="7"/>
  <c r="CU159" i="7"/>
  <c r="CU158" i="7"/>
  <c r="BJ159" i="7"/>
  <c r="BJ158" i="7"/>
  <c r="BJ35" i="7"/>
  <c r="BO37" i="7"/>
  <c r="AI183" i="7"/>
  <c r="AI56" i="7"/>
  <c r="AI55" i="7"/>
  <c r="AA183" i="7"/>
  <c r="AA56" i="7"/>
  <c r="AA55" i="7"/>
  <c r="AL37" i="7"/>
  <c r="AL19" i="7"/>
  <c r="BA37" i="7"/>
  <c r="M37" i="7"/>
  <c r="GG92" i="7"/>
  <c r="BW159" i="7"/>
  <c r="BW158" i="7"/>
  <c r="BG159" i="7"/>
  <c r="BG158" i="7"/>
  <c r="BG35" i="7"/>
  <c r="CK159" i="7"/>
  <c r="BX159" i="7"/>
  <c r="FP180" i="7"/>
  <c r="T53" i="7"/>
  <c r="T38" i="7"/>
  <c r="T39" i="7"/>
  <c r="AR53" i="7"/>
  <c r="AR44" i="7"/>
  <c r="AR38" i="7"/>
  <c r="AR39" i="7"/>
  <c r="DD34" i="7"/>
  <c r="AB19" i="7"/>
  <c r="AB37" i="7"/>
  <c r="FN19" i="7"/>
  <c r="CH159" i="7"/>
  <c r="CH158" i="7"/>
  <c r="AT183" i="7"/>
  <c r="AT56" i="7"/>
  <c r="AT55" i="7"/>
  <c r="FS180" i="7"/>
  <c r="FW158" i="7"/>
  <c r="BK19" i="7"/>
  <c r="S183" i="7"/>
  <c r="S56" i="7"/>
  <c r="S55" i="7"/>
  <c r="BM53" i="7"/>
  <c r="BM39" i="7"/>
  <c r="BM38" i="7"/>
  <c r="P183" i="7"/>
  <c r="P55" i="7"/>
  <c r="P56" i="7"/>
  <c r="CJ119" i="7"/>
  <c r="CI159" i="7"/>
  <c r="CI158" i="7"/>
  <c r="DX47" i="7"/>
  <c r="FX180" i="7"/>
  <c r="FY180" i="7"/>
  <c r="EE19" i="7"/>
  <c r="EE37" i="7"/>
  <c r="EJ39" i="7" s="1"/>
  <c r="CO34" i="7"/>
  <c r="FR158" i="7"/>
  <c r="BB183" i="7"/>
  <c r="BB56" i="7"/>
  <c r="BB55" i="7"/>
  <c r="AP183" i="7"/>
  <c r="AP55" i="7"/>
  <c r="AP56" i="7"/>
  <c r="Z183" i="7"/>
  <c r="Z56" i="7"/>
  <c r="Z55" i="7"/>
  <c r="L53" i="7"/>
  <c r="L38" i="7"/>
  <c r="L39" i="7"/>
  <c r="CQ159" i="7"/>
  <c r="CQ158" i="7"/>
  <c r="FQ180" i="7"/>
  <c r="BD38" i="7"/>
  <c r="BD53" i="7"/>
  <c r="BD39" i="7"/>
  <c r="CB158" i="7"/>
  <c r="CB159" i="7"/>
  <c r="BP34" i="7"/>
  <c r="BP35" i="7" s="1"/>
  <c r="FV180" i="7"/>
  <c r="CE34" i="7"/>
  <c r="BG37" i="7"/>
  <c r="AQ37" i="7"/>
  <c r="AQ19" i="7"/>
  <c r="W37" i="7"/>
  <c r="W19" i="7"/>
  <c r="CN159" i="7"/>
  <c r="AH183" i="7"/>
  <c r="AH56" i="7"/>
  <c r="AH55" i="7"/>
  <c r="F183" i="7"/>
  <c r="F56" i="7"/>
  <c r="F55" i="7"/>
  <c r="CJ34" i="7"/>
  <c r="AG37" i="7"/>
  <c r="EL85" i="135"/>
  <c r="EL90" i="135" s="1"/>
  <c r="D55" i="7" l="1"/>
  <c r="G183" i="7"/>
  <c r="EF56" i="7"/>
  <c r="EK57" i="7" s="1"/>
  <c r="D183" i="7"/>
  <c r="FI92" i="7"/>
  <c r="FJ92" i="7" s="1"/>
  <c r="FK92" i="7" s="1"/>
  <c r="EG45" i="7"/>
  <c r="J55" i="7"/>
  <c r="Y55" i="7"/>
  <c r="AJ55" i="7"/>
  <c r="N56" i="7"/>
  <c r="N57" i="7" s="1"/>
  <c r="AJ183" i="7"/>
  <c r="AW183" i="7"/>
  <c r="EG55" i="7"/>
  <c r="EG66" i="7" s="1"/>
  <c r="EG120" i="7" s="1"/>
  <c r="I183" i="7"/>
  <c r="BC183" i="7"/>
  <c r="I55" i="7"/>
  <c r="Y56" i="7"/>
  <c r="AD57" i="7" s="1"/>
  <c r="AX55" i="7"/>
  <c r="AW45" i="7"/>
  <c r="BB45" i="7"/>
  <c r="I45" i="7"/>
  <c r="G55" i="7"/>
  <c r="K56" i="7"/>
  <c r="K58" i="7" s="1"/>
  <c r="FO158" i="7"/>
  <c r="AO183" i="7"/>
  <c r="EB56" i="7"/>
  <c r="EB58" i="7" s="1"/>
  <c r="AW55" i="7"/>
  <c r="AC183" i="7"/>
  <c r="AO56" i="7"/>
  <c r="AT57" i="7" s="1"/>
  <c r="AC56" i="7"/>
  <c r="AC58" i="7" s="1"/>
  <c r="BN53" i="7"/>
  <c r="BN56" i="7" s="1"/>
  <c r="BN39" i="7"/>
  <c r="AC45" i="7"/>
  <c r="EG56" i="7"/>
  <c r="EL57" i="7" s="1"/>
  <c r="BC55" i="7"/>
  <c r="GH92" i="7"/>
  <c r="FG92" i="7"/>
  <c r="AF183" i="7"/>
  <c r="N55" i="7"/>
  <c r="FN37" i="7"/>
  <c r="FN53" i="7" s="1"/>
  <c r="K183" i="7"/>
  <c r="AU56" i="7"/>
  <c r="AU79" i="7" s="1"/>
  <c r="AU80" i="7" s="1"/>
  <c r="ED56" i="7"/>
  <c r="EI57" i="7" s="1"/>
  <c r="ED55" i="7"/>
  <c r="ED66" i="7" s="1"/>
  <c r="ED120" i="7" s="1"/>
  <c r="AE79" i="7"/>
  <c r="AE80" i="7" s="1"/>
  <c r="AU55" i="7"/>
  <c r="EF183" i="7"/>
  <c r="AY55" i="7"/>
  <c r="AY56" i="7"/>
  <c r="AY58" i="7" s="1"/>
  <c r="BJ53" i="7"/>
  <c r="BJ183" i="7" s="1"/>
  <c r="O183" i="7"/>
  <c r="BJ39" i="7"/>
  <c r="O55" i="7"/>
  <c r="H53" i="7"/>
  <c r="H55" i="7" s="1"/>
  <c r="V55" i="7"/>
  <c r="V56" i="7"/>
  <c r="V57" i="7" s="1"/>
  <c r="EL88" i="135"/>
  <c r="FB50" i="7"/>
  <c r="EL91" i="135"/>
  <c r="EL89" i="135"/>
  <c r="AF55" i="7"/>
  <c r="BK37" i="7"/>
  <c r="BK39" i="7" s="1"/>
  <c r="U55" i="7"/>
  <c r="U56" i="7"/>
  <c r="U57" i="7" s="1"/>
  <c r="GB92" i="7"/>
  <c r="DX51" i="7"/>
  <c r="AT79" i="7"/>
  <c r="AT80" i="7" s="1"/>
  <c r="AT58" i="7"/>
  <c r="X45" i="7"/>
  <c r="BD183" i="7"/>
  <c r="BD56" i="7"/>
  <c r="BI57" i="7" s="1"/>
  <c r="BD55" i="7"/>
  <c r="AP57" i="7"/>
  <c r="AP58" i="7"/>
  <c r="AP79" i="7"/>
  <c r="AP80" i="7" s="1"/>
  <c r="BB79" i="7"/>
  <c r="BB80" i="7" s="1"/>
  <c r="BB57" i="7"/>
  <c r="BB58" i="7"/>
  <c r="G79" i="7"/>
  <c r="G80" i="7" s="1"/>
  <c r="G58" i="7"/>
  <c r="FU158" i="7"/>
  <c r="BA53" i="7"/>
  <c r="BA39" i="7"/>
  <c r="BA38" i="7"/>
  <c r="EF79" i="7"/>
  <c r="EF80" i="7" s="1"/>
  <c r="EF58" i="7"/>
  <c r="EK59" i="7" s="1"/>
  <c r="AJ79" i="7"/>
  <c r="AJ80" i="7" s="1"/>
  <c r="AJ58" i="7"/>
  <c r="AJ59" i="7" s="1"/>
  <c r="AJ57" i="7"/>
  <c r="O79" i="7"/>
  <c r="O80" i="7" s="1"/>
  <c r="O57" i="7"/>
  <c r="O58" i="7"/>
  <c r="AI79" i="7"/>
  <c r="AI80" i="7" s="1"/>
  <c r="AI57" i="7"/>
  <c r="AI58" i="7"/>
  <c r="BO39" i="7"/>
  <c r="BO53" i="7"/>
  <c r="BO38" i="7"/>
  <c r="R38" i="7"/>
  <c r="R53" i="7"/>
  <c r="R39" i="7"/>
  <c r="AV53" i="7"/>
  <c r="AV38" i="7"/>
  <c r="AV39" i="7"/>
  <c r="AF79" i="7"/>
  <c r="AF80" i="7" s="1"/>
  <c r="AF58" i="7"/>
  <c r="AF57" i="7"/>
  <c r="AM79" i="7"/>
  <c r="AM80" i="7" s="1"/>
  <c r="AM57" i="7"/>
  <c r="AM58" i="7"/>
  <c r="AD79" i="7"/>
  <c r="AD80" i="7" s="1"/>
  <c r="AD58" i="7"/>
  <c r="DV58" i="7"/>
  <c r="AC79" i="7"/>
  <c r="AC80" i="7" s="1"/>
  <c r="BE79" i="7"/>
  <c r="BE80" i="7" s="1"/>
  <c r="BE58" i="7"/>
  <c r="Z79" i="7"/>
  <c r="Z80" i="7" s="1"/>
  <c r="Z58" i="7"/>
  <c r="EE53" i="7"/>
  <c r="EE38" i="7"/>
  <c r="EE44" i="7"/>
  <c r="EJ45" i="7" s="1"/>
  <c r="EH37" i="7"/>
  <c r="EM39" i="7" s="1"/>
  <c r="AG53" i="7"/>
  <c r="AG39" i="7"/>
  <c r="AG38" i="7"/>
  <c r="W53" i="7"/>
  <c r="W39" i="7"/>
  <c r="W38" i="7"/>
  <c r="F79" i="7"/>
  <c r="F80" i="7" s="1"/>
  <c r="F58" i="7"/>
  <c r="BG39" i="7"/>
  <c r="BG53" i="7"/>
  <c r="BG44" i="7"/>
  <c r="BG38" i="7"/>
  <c r="AE57" i="7"/>
  <c r="AR45" i="7"/>
  <c r="AA79" i="7"/>
  <c r="AA80" i="7" s="1"/>
  <c r="AA58" i="7"/>
  <c r="J57" i="7"/>
  <c r="J58" i="7"/>
  <c r="J79" i="7"/>
  <c r="J80" i="7" s="1"/>
  <c r="BH56" i="7"/>
  <c r="BH55" i="7"/>
  <c r="BH183" i="7"/>
  <c r="E79" i="7"/>
  <c r="E80" i="7" s="1"/>
  <c r="E58" i="7"/>
  <c r="D79" i="7"/>
  <c r="D80" i="7" s="1"/>
  <c r="D58" i="7"/>
  <c r="BL53" i="7"/>
  <c r="BL44" i="7"/>
  <c r="BL38" i="7"/>
  <c r="BL39" i="7"/>
  <c r="AW79" i="7"/>
  <c r="AW80" i="7" s="1"/>
  <c r="AW58" i="7"/>
  <c r="DU150" i="7"/>
  <c r="DU78" i="7"/>
  <c r="DU79" i="7" s="1"/>
  <c r="DU80" i="7" s="1"/>
  <c r="DU66" i="7"/>
  <c r="DU120" i="7" s="1"/>
  <c r="EH92" i="7"/>
  <c r="AL53" i="7"/>
  <c r="AL38" i="7"/>
  <c r="AL39" i="7"/>
  <c r="AN183" i="7"/>
  <c r="AN56" i="7"/>
  <c r="AS57" i="7" s="1"/>
  <c r="AN55" i="7"/>
  <c r="FX158" i="7"/>
  <c r="I79" i="7"/>
  <c r="I80" i="7" s="1"/>
  <c r="I58" i="7"/>
  <c r="I57" i="7"/>
  <c r="Q79" i="7"/>
  <c r="Q80" i="7" s="1"/>
  <c r="Q58" i="7"/>
  <c r="AS79" i="7"/>
  <c r="AS80" i="7" s="1"/>
  <c r="AS58" i="7"/>
  <c r="DU58" i="7"/>
  <c r="AR183" i="7"/>
  <c r="AR56" i="7"/>
  <c r="AR55" i="7"/>
  <c r="T183" i="7"/>
  <c r="T55" i="7"/>
  <c r="T56" i="7"/>
  <c r="BC79" i="7"/>
  <c r="BC80" i="7" s="1"/>
  <c r="BC57" i="7"/>
  <c r="BC58" i="7"/>
  <c r="AH79" i="7"/>
  <c r="AH80" i="7" s="1"/>
  <c r="AH58" i="7"/>
  <c r="AQ53" i="7"/>
  <c r="AQ39" i="7"/>
  <c r="AQ38" i="7"/>
  <c r="L183" i="7"/>
  <c r="L55" i="7"/>
  <c r="L56" i="7"/>
  <c r="P79" i="7"/>
  <c r="P80" i="7" s="1"/>
  <c r="P58" i="7"/>
  <c r="BM183" i="7"/>
  <c r="BM56" i="7"/>
  <c r="BM55" i="7"/>
  <c r="S79" i="7"/>
  <c r="S80" i="7" s="1"/>
  <c r="S58" i="7"/>
  <c r="AB38" i="7"/>
  <c r="AB53" i="7"/>
  <c r="AB39" i="7"/>
  <c r="M53" i="7"/>
  <c r="M39" i="7"/>
  <c r="M38" i="7"/>
  <c r="EF66" i="7"/>
  <c r="EF120" i="7" s="1"/>
  <c r="X183" i="7"/>
  <c r="X56" i="7"/>
  <c r="X55" i="7"/>
  <c r="AZ183" i="7"/>
  <c r="AZ55" i="7"/>
  <c r="AZ56" i="7"/>
  <c r="EB78" i="7"/>
  <c r="EB66" i="7"/>
  <c r="EB120" i="7" s="1"/>
  <c r="FO53" i="7"/>
  <c r="FO38" i="7"/>
  <c r="BF38" i="7"/>
  <c r="BF53" i="7"/>
  <c r="BF39" i="7"/>
  <c r="AX79" i="7"/>
  <c r="AX80" i="7" s="1"/>
  <c r="AX57" i="7"/>
  <c r="AX58" i="7"/>
  <c r="DV150" i="7"/>
  <c r="DV78" i="7"/>
  <c r="DV66" i="7"/>
  <c r="DV120" i="7" s="1"/>
  <c r="AK79" i="7"/>
  <c r="AK80" i="7" s="1"/>
  <c r="AK58" i="7"/>
  <c r="AK57" i="7"/>
  <c r="BI79" i="7"/>
  <c r="BI80" i="7" s="1"/>
  <c r="BI58" i="7"/>
  <c r="BP37" i="7"/>
  <c r="GI92" i="7" l="1"/>
  <c r="FL92" i="7"/>
  <c r="AO58" i="7"/>
  <c r="AT59" i="7" s="1"/>
  <c r="Y57" i="7"/>
  <c r="Y58" i="7"/>
  <c r="AD59" i="7" s="1"/>
  <c r="N79" i="7"/>
  <c r="N80" i="7" s="1"/>
  <c r="N58" i="7"/>
  <c r="S59" i="7" s="1"/>
  <c r="S57" i="7"/>
  <c r="FO39" i="7"/>
  <c r="AH57" i="7"/>
  <c r="AO57" i="7"/>
  <c r="AO79" i="7"/>
  <c r="AO80" i="7" s="1"/>
  <c r="Y79" i="7"/>
  <c r="Y80" i="7" s="1"/>
  <c r="EG57" i="7"/>
  <c r="P57" i="7"/>
  <c r="K57" i="7"/>
  <c r="K79" i="7"/>
  <c r="K80" i="7" s="1"/>
  <c r="V79" i="7"/>
  <c r="V80" i="7" s="1"/>
  <c r="BK38" i="7"/>
  <c r="ED58" i="7"/>
  <c r="EI59" i="7" s="1"/>
  <c r="FN38" i="7"/>
  <c r="BJ55" i="7"/>
  <c r="BN55" i="7"/>
  <c r="EG79" i="7"/>
  <c r="EG80" i="7" s="1"/>
  <c r="BN183" i="7"/>
  <c r="Z57" i="7"/>
  <c r="AU58" i="7"/>
  <c r="AU59" i="7" s="1"/>
  <c r="BJ56" i="7"/>
  <c r="BJ57" i="7" s="1"/>
  <c r="EG58" i="7"/>
  <c r="EL59" i="7" s="1"/>
  <c r="DU67" i="7"/>
  <c r="DU68" i="7" s="1"/>
  <c r="ED79" i="7"/>
  <c r="ED80" i="7" s="1"/>
  <c r="AY57" i="7"/>
  <c r="AY79" i="7"/>
  <c r="AY80" i="7" s="1"/>
  <c r="ED67" i="7"/>
  <c r="ED68" i="7" s="1"/>
  <c r="EI69" i="7" s="1"/>
  <c r="EL92" i="135"/>
  <c r="AU57" i="7"/>
  <c r="H56" i="7"/>
  <c r="H79" i="7" s="1"/>
  <c r="H80" i="7" s="1"/>
  <c r="BK53" i="7"/>
  <c r="BK56" i="7" s="1"/>
  <c r="V58" i="7"/>
  <c r="AA59" i="7" s="1"/>
  <c r="AA57" i="7"/>
  <c r="H183" i="7"/>
  <c r="U58" i="7"/>
  <c r="Z59" i="7" s="1"/>
  <c r="AY59" i="7"/>
  <c r="AH59" i="7"/>
  <c r="U79" i="7"/>
  <c r="U80" i="7" s="1"/>
  <c r="AK59" i="7"/>
  <c r="P59" i="7"/>
  <c r="J59" i="7"/>
  <c r="EG67" i="7"/>
  <c r="EG68" i="7" s="1"/>
  <c r="EL69" i="7" s="1"/>
  <c r="N59" i="7"/>
  <c r="AX59" i="7"/>
  <c r="AZ79" i="7"/>
  <c r="AZ57" i="7"/>
  <c r="X79" i="7"/>
  <c r="X80" i="7" s="1"/>
  <c r="X58" i="7"/>
  <c r="X59" i="7" s="1"/>
  <c r="X57" i="7"/>
  <c r="M56" i="7"/>
  <c r="M55" i="7"/>
  <c r="M183" i="7"/>
  <c r="BM79" i="7"/>
  <c r="BM80" i="7" s="1"/>
  <c r="BM58" i="7"/>
  <c r="BM57" i="7"/>
  <c r="BC59" i="7"/>
  <c r="FN56" i="7"/>
  <c r="FN55" i="7"/>
  <c r="BL45" i="7"/>
  <c r="K59" i="7"/>
  <c r="AO59" i="7"/>
  <c r="BG183" i="7"/>
  <c r="BG56" i="7"/>
  <c r="BG55" i="7"/>
  <c r="EH38" i="7"/>
  <c r="EH53" i="7"/>
  <c r="EE183" i="7"/>
  <c r="EE56" i="7"/>
  <c r="EJ57" i="7" s="1"/>
  <c r="EE55" i="7"/>
  <c r="BE57" i="7"/>
  <c r="DV67" i="7"/>
  <c r="DV68" i="7" s="1"/>
  <c r="BP53" i="7"/>
  <c r="BP38" i="7"/>
  <c r="BP39" i="7"/>
  <c r="DV183" i="7"/>
  <c r="DV118" i="7"/>
  <c r="AB56" i="7"/>
  <c r="AB183" i="7"/>
  <c r="AB55" i="7"/>
  <c r="AQ56" i="7"/>
  <c r="AQ55" i="7"/>
  <c r="AQ183" i="7"/>
  <c r="T79" i="7"/>
  <c r="T80" i="7" s="1"/>
  <c r="T58" i="7"/>
  <c r="T59" i="7" s="1"/>
  <c r="T57" i="7"/>
  <c r="AR79" i="7"/>
  <c r="AR80" i="7" s="1"/>
  <c r="AR58" i="7"/>
  <c r="AR59" i="7" s="1"/>
  <c r="AR57" i="7"/>
  <c r="AL55" i="7"/>
  <c r="AL56" i="7"/>
  <c r="AL183" i="7"/>
  <c r="BN79" i="7"/>
  <c r="BN80" i="7" s="1"/>
  <c r="BN57" i="7"/>
  <c r="BN58" i="7"/>
  <c r="BN59" i="7" s="1"/>
  <c r="DU183" i="7"/>
  <c r="DU118" i="7"/>
  <c r="BL183" i="7"/>
  <c r="BL55" i="7"/>
  <c r="BL56" i="7"/>
  <c r="EH44" i="7"/>
  <c r="EM45" i="7" s="1"/>
  <c r="DV79" i="7"/>
  <c r="DV80" i="7" s="1"/>
  <c r="AF59" i="7"/>
  <c r="R56" i="7"/>
  <c r="R55" i="7"/>
  <c r="R183" i="7"/>
  <c r="BO56" i="7"/>
  <c r="BO55" i="7"/>
  <c r="BO183" i="7"/>
  <c r="EF67" i="7"/>
  <c r="EF68" i="7" s="1"/>
  <c r="EK69" i="7" s="1"/>
  <c r="AE59" i="7"/>
  <c r="BH79" i="7"/>
  <c r="BH80" i="7" s="1"/>
  <c r="BH58" i="7"/>
  <c r="BH59" i="7" s="1"/>
  <c r="BH57" i="7"/>
  <c r="AG56" i="7"/>
  <c r="AG183" i="7"/>
  <c r="AG55" i="7"/>
  <c r="O59" i="7"/>
  <c r="BD79" i="7"/>
  <c r="BD80" i="7" s="1"/>
  <c r="BD58" i="7"/>
  <c r="BD59" i="7" s="1"/>
  <c r="BD57" i="7"/>
  <c r="EB67" i="7"/>
  <c r="EB68" i="7" s="1"/>
  <c r="BF55" i="7"/>
  <c r="BF56" i="7"/>
  <c r="BF183" i="7"/>
  <c r="FO56" i="7"/>
  <c r="FO55" i="7"/>
  <c r="EB183" i="7"/>
  <c r="EB118" i="7"/>
  <c r="L79" i="7"/>
  <c r="L80" i="7" s="1"/>
  <c r="L58" i="7"/>
  <c r="L59" i="7" s="1"/>
  <c r="L57" i="7"/>
  <c r="Q57" i="7"/>
  <c r="I59" i="7"/>
  <c r="AN79" i="7"/>
  <c r="AN80" i="7" s="1"/>
  <c r="AN58" i="7"/>
  <c r="AN59" i="7" s="1"/>
  <c r="AN57" i="7"/>
  <c r="EB79" i="7"/>
  <c r="EB80" i="7" s="1"/>
  <c r="AW57" i="7"/>
  <c r="BG45" i="7"/>
  <c r="W56" i="7"/>
  <c r="W55" i="7"/>
  <c r="W183" i="7"/>
  <c r="AC57" i="7"/>
  <c r="AM59" i="7"/>
  <c r="AV56" i="7"/>
  <c r="AV55" i="7"/>
  <c r="AV183" i="7"/>
  <c r="AI59" i="7"/>
  <c r="BA56" i="7"/>
  <c r="BA183" i="7"/>
  <c r="BA55" i="7"/>
  <c r="BB59" i="7"/>
  <c r="AP59" i="7"/>
  <c r="EG59" i="7" l="1"/>
  <c r="BJ79" i="7"/>
  <c r="BJ80" i="7" s="1"/>
  <c r="BJ58" i="7"/>
  <c r="BJ59" i="7" s="1"/>
  <c r="H58" i="7"/>
  <c r="BK55" i="7"/>
  <c r="V59" i="7"/>
  <c r="BK183" i="7"/>
  <c r="U59" i="7"/>
  <c r="Y59" i="7"/>
  <c r="AW59" i="7"/>
  <c r="AC59" i="7"/>
  <c r="BO79" i="7"/>
  <c r="BO80" i="7" s="1"/>
  <c r="BO57" i="7"/>
  <c r="BO58" i="7"/>
  <c r="EH56" i="7"/>
  <c r="EM57" i="7" s="1"/>
  <c r="EH183" i="7"/>
  <c r="EH55" i="7"/>
  <c r="BA79" i="7"/>
  <c r="BA80" i="7" s="1"/>
  <c r="BA58" i="7"/>
  <c r="BA57" i="7"/>
  <c r="FO79" i="7"/>
  <c r="FO80" i="7" s="1"/>
  <c r="FO67" i="7"/>
  <c r="FO68" i="7" s="1"/>
  <c r="FO58" i="7"/>
  <c r="FO57" i="7"/>
  <c r="BP56" i="7"/>
  <c r="BP183" i="7"/>
  <c r="BP55" i="7"/>
  <c r="EE79" i="7"/>
  <c r="EE80" i="7" s="1"/>
  <c r="EE58" i="7"/>
  <c r="EJ59" i="7" s="1"/>
  <c r="FN79" i="7"/>
  <c r="FN67" i="7"/>
  <c r="FN68" i="7" s="1"/>
  <c r="FN58" i="7"/>
  <c r="BM59" i="7"/>
  <c r="AZ83" i="7"/>
  <c r="AZ89" i="7" s="1"/>
  <c r="AZ84" i="7"/>
  <c r="AZ90" i="7" s="1"/>
  <c r="AZ58" i="7" s="1"/>
  <c r="W79" i="7"/>
  <c r="W80" i="7" s="1"/>
  <c r="W57" i="7"/>
  <c r="W58" i="7"/>
  <c r="AG79" i="7"/>
  <c r="AG80" i="7" s="1"/>
  <c r="AG58" i="7"/>
  <c r="AG57" i="7"/>
  <c r="R79" i="7"/>
  <c r="R80" i="7" s="1"/>
  <c r="R57" i="7"/>
  <c r="R58" i="7"/>
  <c r="AS59" i="7"/>
  <c r="BI59" i="7"/>
  <c r="BG79" i="7"/>
  <c r="BG80" i="7" s="1"/>
  <c r="BG57" i="7"/>
  <c r="BG58" i="7"/>
  <c r="BG59" i="7" s="1"/>
  <c r="BK79" i="7"/>
  <c r="BK80" i="7" s="1"/>
  <c r="BK57" i="7"/>
  <c r="BK58" i="7"/>
  <c r="BF57" i="7"/>
  <c r="BF79" i="7"/>
  <c r="BF80" i="7" s="1"/>
  <c r="BF58" i="7"/>
  <c r="AL79" i="7"/>
  <c r="AL80" i="7" s="1"/>
  <c r="AL57" i="7"/>
  <c r="AL58" i="7"/>
  <c r="AQ79" i="7"/>
  <c r="AQ80" i="7" s="1"/>
  <c r="AQ57" i="7"/>
  <c r="AQ58" i="7"/>
  <c r="M79" i="7"/>
  <c r="M80" i="7" s="1"/>
  <c r="M58" i="7"/>
  <c r="M57" i="7"/>
  <c r="AV79" i="7"/>
  <c r="AV80" i="7" s="1"/>
  <c r="AV58" i="7"/>
  <c r="AV57" i="7"/>
  <c r="BL79" i="7"/>
  <c r="BL80" i="7" s="1"/>
  <c r="BL58" i="7"/>
  <c r="BL57" i="7"/>
  <c r="EG69" i="7"/>
  <c r="AB79" i="7"/>
  <c r="AB80" i="7" s="1"/>
  <c r="AB58" i="7"/>
  <c r="AB57" i="7"/>
  <c r="EE66" i="7"/>
  <c r="EE120" i="7" s="1"/>
  <c r="Q59" i="7"/>
  <c r="M59" i="7" l="1"/>
  <c r="BO59" i="7"/>
  <c r="AB59" i="7"/>
  <c r="BF59" i="7"/>
  <c r="R59" i="7"/>
  <c r="AL59" i="7"/>
  <c r="BL59" i="7"/>
  <c r="AV59" i="7"/>
  <c r="BP79" i="7"/>
  <c r="BP80" i="7" s="1"/>
  <c r="BP58" i="7"/>
  <c r="BP59" i="7" s="1"/>
  <c r="BP57" i="7"/>
  <c r="FO59" i="7"/>
  <c r="AQ59" i="7"/>
  <c r="W59" i="7"/>
  <c r="EE67" i="7"/>
  <c r="EE68" i="7" s="1"/>
  <c r="EJ69" i="7" s="1"/>
  <c r="FO69" i="7"/>
  <c r="AZ59" i="7"/>
  <c r="BE59" i="7"/>
  <c r="BA59" i="7"/>
  <c r="BK59" i="7"/>
  <c r="AG59" i="7"/>
  <c r="AZ80" i="7"/>
  <c r="EH79" i="7"/>
  <c r="EL66" i="123" l="1"/>
  <c r="EL84" i="7" s="1"/>
  <c r="EL64" i="123"/>
  <c r="EL83" i="7" s="1"/>
  <c r="EL18" i="123"/>
  <c r="EL56" i="135"/>
  <c r="EQ57" i="135" s="1"/>
  <c r="EL53" i="135"/>
  <c r="EQ54" i="135" s="1"/>
  <c r="EL46" i="135"/>
  <c r="EQ48" i="135" s="1"/>
  <c r="EL42" i="135"/>
  <c r="EQ44" i="135" s="1"/>
  <c r="BC18" i="175" l="1"/>
  <c r="AX129" i="175"/>
  <c r="BC130" i="175" s="1"/>
  <c r="BC41" i="175"/>
  <c r="AX101" i="175"/>
  <c r="AZ103" i="175" s="1"/>
  <c r="BC29" i="175"/>
  <c r="AX82" i="175"/>
  <c r="AX20" i="175"/>
  <c r="BC21" i="175" s="1"/>
  <c r="EL67" i="123"/>
  <c r="EL9" i="135"/>
  <c r="FA9" i="135" s="1"/>
  <c r="FF9" i="135" s="1"/>
  <c r="FK9" i="135" s="1"/>
  <c r="EL70" i="12"/>
  <c r="EL68" i="12"/>
  <c r="EL62" i="12"/>
  <c r="EL60" i="12"/>
  <c r="EL64" i="12" s="1"/>
  <c r="EL52" i="12"/>
  <c r="EL43" i="12"/>
  <c r="EL46" i="12" s="1"/>
  <c r="EL61" i="12" s="1"/>
  <c r="EM38" i="12"/>
  <c r="EM33" i="12"/>
  <c r="EM15" i="12"/>
  <c r="EL10" i="12"/>
  <c r="EL8" i="12"/>
  <c r="AZ84" i="175" l="1"/>
  <c r="EL53" i="12"/>
  <c r="EL67" i="12" s="1"/>
  <c r="EL11" i="12" s="1"/>
  <c r="EL54" i="12"/>
  <c r="EL69" i="12" s="1"/>
  <c r="EL29" i="12" s="1"/>
  <c r="BB6" i="171" l="1"/>
  <c r="BA6" i="171"/>
  <c r="AY6" i="171"/>
  <c r="AX336" i="189" s="1"/>
  <c r="BC8" i="171" l="1"/>
  <c r="BG6" i="171"/>
  <c r="AX337" i="189"/>
  <c r="CD336" i="189"/>
  <c r="AY336" i="189"/>
  <c r="AY337" i="189" s="1"/>
  <c r="BA8" i="171"/>
  <c r="BA11" i="171"/>
  <c r="BG11" i="171" l="1"/>
  <c r="DC6" i="171" l="1"/>
  <c r="EV32" i="9" l="1"/>
  <c r="EX32" i="9" s="1"/>
  <c r="EY32" i="9" s="1"/>
  <c r="EZ32" i="9" s="1"/>
  <c r="FA32" i="9" l="1"/>
  <c r="FC32" i="9" s="1"/>
  <c r="FD32" i="9" s="1"/>
  <c r="AP205" i="175"/>
  <c r="AP113" i="175" s="1"/>
  <c r="A113" i="175"/>
  <c r="AS205" i="175"/>
  <c r="AS113" i="175" s="1"/>
  <c r="AR205" i="175"/>
  <c r="AR113" i="175" s="1"/>
  <c r="AQ205" i="175"/>
  <c r="AQ113" i="175" s="1"/>
  <c r="AN205" i="175"/>
  <c r="AM205" i="175"/>
  <c r="AM113" i="175" s="1"/>
  <c r="AL205" i="175"/>
  <c r="AL113" i="175" s="1"/>
  <c r="AK205" i="175"/>
  <c r="AK113" i="175" s="1"/>
  <c r="AS204" i="175"/>
  <c r="AR204" i="175"/>
  <c r="AQ204" i="175"/>
  <c r="AP204" i="175"/>
  <c r="AX203" i="175"/>
  <c r="BC203" i="175" s="1"/>
  <c r="AW203" i="175"/>
  <c r="BB203" i="175" s="1"/>
  <c r="AV203" i="175"/>
  <c r="BA203" i="175" s="1"/>
  <c r="AU203" i="175"/>
  <c r="AT203" i="175"/>
  <c r="AO203" i="175"/>
  <c r="AM122" i="175"/>
  <c r="AL122" i="175"/>
  <c r="AK122" i="175"/>
  <c r="AW221" i="175"/>
  <c r="AV221" i="175"/>
  <c r="AU221" i="175"/>
  <c r="AS221" i="175"/>
  <c r="AS222" i="175" s="1"/>
  <c r="AR221" i="175"/>
  <c r="AQ221" i="175"/>
  <c r="AQ225" i="175" s="1"/>
  <c r="AQ122" i="175" s="1"/>
  <c r="AP221" i="175"/>
  <c r="BA217" i="175"/>
  <c r="BB217" i="175" s="1"/>
  <c r="BC217" i="175" s="1"/>
  <c r="AW216" i="175"/>
  <c r="AV216" i="175"/>
  <c r="AU216" i="175"/>
  <c r="AS216" i="175"/>
  <c r="AR216" i="175"/>
  <c r="AQ216" i="175"/>
  <c r="AP216" i="175"/>
  <c r="AZ215" i="175"/>
  <c r="AX218" i="175"/>
  <c r="AT215" i="175"/>
  <c r="AT209" i="175"/>
  <c r="AW212" i="175"/>
  <c r="AV212" i="175"/>
  <c r="AU212" i="175"/>
  <c r="AS212" i="175"/>
  <c r="AS213" i="175" s="1"/>
  <c r="AR212" i="175"/>
  <c r="AR213" i="175" s="1"/>
  <c r="AQ212" i="175"/>
  <c r="AQ213" i="175" s="1"/>
  <c r="AP212" i="175"/>
  <c r="AZ209" i="175"/>
  <c r="AZ212" i="175" s="1"/>
  <c r="AX212" i="175"/>
  <c r="AW210" i="175"/>
  <c r="AV210" i="175"/>
  <c r="AU210" i="175"/>
  <c r="BA209" i="175"/>
  <c r="BA212" i="175" s="1"/>
  <c r="AS210" i="175"/>
  <c r="AR210" i="175"/>
  <c r="AQ210" i="175"/>
  <c r="AP210" i="175"/>
  <c r="FE32" i="9" l="1"/>
  <c r="FF32" i="9" s="1"/>
  <c r="FH32" i="9" s="1"/>
  <c r="GI32" i="9"/>
  <c r="AW222" i="175"/>
  <c r="BA213" i="175"/>
  <c r="BD212" i="175"/>
  <c r="AU222" i="175"/>
  <c r="AV222" i="175"/>
  <c r="AT212" i="175"/>
  <c r="AT211" i="175" s="1"/>
  <c r="BA215" i="175"/>
  <c r="BA221" i="175" s="1"/>
  <c r="BA222" i="175" s="1"/>
  <c r="AP206" i="175"/>
  <c r="AT204" i="175"/>
  <c r="AO205" i="175"/>
  <c r="AQ206" i="175"/>
  <c r="AR206" i="175"/>
  <c r="AT205" i="175"/>
  <c r="AS206" i="175"/>
  <c r="AN113" i="175"/>
  <c r="AY209" i="175"/>
  <c r="AY210" i="175" s="1"/>
  <c r="AW213" i="175"/>
  <c r="AX213" i="175"/>
  <c r="AV213" i="175"/>
  <c r="AU213" i="175"/>
  <c r="AP213" i="175"/>
  <c r="AY215" i="175"/>
  <c r="AY216" i="175" s="1"/>
  <c r="AX221" i="175"/>
  <c r="AX225" i="175"/>
  <c r="AX122" i="175" s="1"/>
  <c r="AY212" i="175"/>
  <c r="AY203" i="175"/>
  <c r="AY204" i="175" s="1"/>
  <c r="AZ203" i="175"/>
  <c r="AZ213" i="175"/>
  <c r="AZ221" i="175"/>
  <c r="BD209" i="175"/>
  <c r="AZ218" i="175"/>
  <c r="BB215" i="175"/>
  <c r="BC215" i="175"/>
  <c r="FI32" i="9" l="1"/>
  <c r="FJ32" i="9" s="1"/>
  <c r="FK32" i="9" s="1"/>
  <c r="FG32" i="9"/>
  <c r="AT206" i="175"/>
  <c r="BD211" i="175"/>
  <c r="BD210" i="175"/>
  <c r="BB218" i="175"/>
  <c r="BB225" i="175" s="1"/>
  <c r="BB221" i="175"/>
  <c r="BB222" i="175" s="1"/>
  <c r="BA218" i="175"/>
  <c r="BA225" i="175" s="1"/>
  <c r="BC218" i="175"/>
  <c r="BC225" i="175" s="1"/>
  <c r="BC221" i="175"/>
  <c r="BC222" i="175" s="1"/>
  <c r="BD215" i="175"/>
  <c r="BD216" i="175" s="1"/>
  <c r="AX222" i="175"/>
  <c r="AX223" i="175"/>
  <c r="AZ225" i="175"/>
  <c r="AZ122" i="175" s="1"/>
  <c r="AZ37" i="175" s="1"/>
  <c r="AY211" i="175"/>
  <c r="AY213" i="175"/>
  <c r="BD203" i="175"/>
  <c r="BD204" i="175" s="1"/>
  <c r="AZ222" i="175"/>
  <c r="FL32" i="9" l="1"/>
  <c r="AZ124" i="175"/>
  <c r="BD218" i="175"/>
  <c r="BD217" i="175" s="1"/>
  <c r="AZ223" i="175"/>
  <c r="BC219" i="175"/>
  <c r="BA223" i="175"/>
  <c r="BA122" i="175"/>
  <c r="BB223" i="175"/>
  <c r="BB122" i="175"/>
  <c r="BC122" i="175"/>
  <c r="BC37" i="175" s="1"/>
  <c r="BC223" i="175"/>
  <c r="BC224" i="175" s="1"/>
  <c r="AW223" i="175" l="1"/>
  <c r="BB224" i="175" s="1"/>
  <c r="AV223" i="175"/>
  <c r="BA224" i="175" s="1"/>
  <c r="AU223" i="175"/>
  <c r="AZ224" i="175" s="1"/>
  <c r="AS223" i="175"/>
  <c r="AX224" i="175" s="1"/>
  <c r="AX7" i="171" l="1"/>
  <c r="AW7" i="171"/>
  <c r="AV7" i="171"/>
  <c r="AU7" i="171"/>
  <c r="AT7" i="171"/>
  <c r="AS7" i="171"/>
  <c r="AR7" i="171"/>
  <c r="AQ7" i="171"/>
  <c r="AP7" i="171"/>
  <c r="AO7" i="171"/>
  <c r="AN7" i="171"/>
  <c r="AM7" i="171"/>
  <c r="AL7" i="171"/>
  <c r="AK7" i="171"/>
  <c r="AJ7" i="171"/>
  <c r="AI7" i="171"/>
  <c r="AH7" i="171"/>
  <c r="AG7" i="171"/>
  <c r="AF7" i="171"/>
  <c r="AE7" i="171"/>
  <c r="AD7" i="171"/>
  <c r="AC7" i="171"/>
  <c r="AB7" i="171"/>
  <c r="AA7" i="171"/>
  <c r="Z7" i="171"/>
  <c r="Y7" i="171"/>
  <c r="X7" i="171"/>
  <c r="W7" i="171"/>
  <c r="V7" i="171"/>
  <c r="U7" i="171"/>
  <c r="T7" i="171"/>
  <c r="S7" i="171"/>
  <c r="R7" i="171"/>
  <c r="Q7" i="171"/>
  <c r="P7" i="171"/>
  <c r="O7" i="171"/>
  <c r="N7" i="171"/>
  <c r="M7" i="171"/>
  <c r="L7" i="171"/>
  <c r="K7" i="171"/>
  <c r="J7" i="171"/>
  <c r="I7" i="171"/>
  <c r="H7" i="171"/>
  <c r="G7" i="171"/>
  <c r="F7" i="171"/>
  <c r="DA40" i="171" l="1"/>
  <c r="DA38" i="171"/>
  <c r="CZ40" i="171"/>
  <c r="CZ38" i="171"/>
  <c r="DE189" i="171"/>
  <c r="DE186" i="171"/>
  <c r="CM189" i="171"/>
  <c r="CM186" i="171"/>
  <c r="CM156" i="171"/>
  <c r="GH40" i="9"/>
  <c r="GH38" i="9"/>
  <c r="GH32" i="9"/>
  <c r="GH31" i="9"/>
  <c r="GH15" i="9"/>
  <c r="GH14" i="9"/>
  <c r="GH13" i="9"/>
  <c r="GH12" i="9"/>
  <c r="GH11" i="9"/>
  <c r="GH10" i="9"/>
  <c r="FB37" i="8"/>
  <c r="FB40" i="9"/>
  <c r="FB38" i="9"/>
  <c r="FB32" i="9"/>
  <c r="FB31" i="9"/>
  <c r="EY28" i="9"/>
  <c r="EZ28" i="9" s="1"/>
  <c r="FB15" i="9"/>
  <c r="FB14" i="9"/>
  <c r="FB13" i="9"/>
  <c r="FB12" i="9"/>
  <c r="FB11" i="9"/>
  <c r="FB10" i="9"/>
  <c r="FA70" i="12"/>
  <c r="EZ70" i="12"/>
  <c r="EY70" i="12"/>
  <c r="EX70" i="12"/>
  <c r="FA62" i="12"/>
  <c r="EZ62" i="12"/>
  <c r="EY62" i="12"/>
  <c r="EX62" i="12"/>
  <c r="FA60" i="12"/>
  <c r="FA64" i="12" s="1"/>
  <c r="EZ60" i="12"/>
  <c r="EZ64" i="12" s="1"/>
  <c r="EY60" i="12"/>
  <c r="EY64" i="12" s="1"/>
  <c r="EX60" i="12"/>
  <c r="EX64" i="12" s="1"/>
  <c r="FA52" i="12"/>
  <c r="EZ52" i="12"/>
  <c r="EY52" i="12"/>
  <c r="EX52" i="12"/>
  <c r="EX43" i="12"/>
  <c r="EX46" i="12" s="1"/>
  <c r="FB38" i="12"/>
  <c r="FB33" i="12"/>
  <c r="FB15" i="12"/>
  <c r="DU174" i="135"/>
  <c r="DK174" i="135"/>
  <c r="DJ174" i="135"/>
  <c r="DH174" i="135"/>
  <c r="CB174" i="135"/>
  <c r="DR173" i="135"/>
  <c r="DK170" i="135"/>
  <c r="DJ170" i="135"/>
  <c r="DH170" i="135"/>
  <c r="CB170" i="135"/>
  <c r="DU169" i="135"/>
  <c r="DU165" i="135"/>
  <c r="DK165" i="135"/>
  <c r="DJ165" i="135"/>
  <c r="DH165" i="135"/>
  <c r="CB165" i="135"/>
  <c r="DK160" i="135"/>
  <c r="DI158" i="135"/>
  <c r="DJ160" i="135" s="1"/>
  <c r="DU155" i="135"/>
  <c r="DJ155" i="135"/>
  <c r="DH155" i="135"/>
  <c r="CB155" i="135"/>
  <c r="DK154" i="135"/>
  <c r="DK155" i="135" s="1"/>
  <c r="DU151" i="135"/>
  <c r="DK151" i="135"/>
  <c r="DJ151" i="135"/>
  <c r="DH151" i="135"/>
  <c r="CB151" i="135"/>
  <c r="BU148" i="135"/>
  <c r="DU147" i="135"/>
  <c r="DK147" i="135"/>
  <c r="DJ147" i="135"/>
  <c r="DH147" i="135"/>
  <c r="CB147" i="135"/>
  <c r="DU143" i="135"/>
  <c r="DK143" i="135"/>
  <c r="DJ143" i="135"/>
  <c r="DH143" i="135"/>
  <c r="CB143" i="135"/>
  <c r="EK85" i="135"/>
  <c r="EK89" i="135" s="1"/>
  <c r="EM89" i="135" s="1"/>
  <c r="ER89" i="135" s="1"/>
  <c r="ES89" i="135" s="1"/>
  <c r="EJ85" i="135"/>
  <c r="EJ88" i="135" s="1"/>
  <c r="EI85" i="135"/>
  <c r="EI91" i="135" s="1"/>
  <c r="EG85" i="135"/>
  <c r="EG89" i="135" s="1"/>
  <c r="EF85" i="135"/>
  <c r="EF90" i="135" s="1"/>
  <c r="EE85" i="135"/>
  <c r="EE91" i="135" s="1"/>
  <c r="ED85" i="135"/>
  <c r="ED91" i="135" s="1"/>
  <c r="EB85" i="135"/>
  <c r="EB89" i="135" s="1"/>
  <c r="EH84" i="135"/>
  <c r="EH83" i="135"/>
  <c r="EH82" i="135"/>
  <c r="EH81" i="135"/>
  <c r="DR72" i="135"/>
  <c r="DQ72" i="135"/>
  <c r="DP72" i="135"/>
  <c r="EC68" i="135"/>
  <c r="DX68" i="135"/>
  <c r="DS68" i="135"/>
  <c r="DN68" i="135"/>
  <c r="DI68" i="135"/>
  <c r="DD68" i="135"/>
  <c r="CY68" i="135"/>
  <c r="CT68" i="135"/>
  <c r="DJ59" i="135"/>
  <c r="DH42" i="135"/>
  <c r="DH46" i="135" s="1"/>
  <c r="DH47" i="135" s="1"/>
  <c r="DR36" i="135"/>
  <c r="DQ36" i="135"/>
  <c r="DP36" i="135"/>
  <c r="DO36" i="135"/>
  <c r="DM36" i="135"/>
  <c r="DL36" i="135"/>
  <c r="DK36" i="135"/>
  <c r="DJ36" i="135"/>
  <c r="DH36" i="135"/>
  <c r="DG36" i="135"/>
  <c r="DF36" i="135"/>
  <c r="DE36" i="135"/>
  <c r="DC36" i="135"/>
  <c r="DB36" i="135"/>
  <c r="DA36" i="135"/>
  <c r="CZ36" i="135"/>
  <c r="CX36" i="135"/>
  <c r="CW36" i="135"/>
  <c r="CV36" i="135"/>
  <c r="CU36" i="135"/>
  <c r="DK26" i="135"/>
  <c r="DJ26" i="135"/>
  <c r="DH26" i="135"/>
  <c r="P295" i="189"/>
  <c r="Y265" i="171"/>
  <c r="AJ250" i="171"/>
  <c r="U240" i="171"/>
  <c r="T240" i="171"/>
  <c r="S240" i="171"/>
  <c r="R240" i="171"/>
  <c r="Q240" i="171"/>
  <c r="P240" i="171"/>
  <c r="AS223" i="171"/>
  <c r="CT201" i="171"/>
  <c r="CS201" i="171"/>
  <c r="CR201" i="171"/>
  <c r="CQ201" i="171"/>
  <c r="CA201" i="171"/>
  <c r="BZ201" i="171"/>
  <c r="CQ194" i="171"/>
  <c r="DD189" i="171"/>
  <c r="DC189" i="171"/>
  <c r="DB189" i="171"/>
  <c r="DA189" i="171"/>
  <c r="CL189" i="171"/>
  <c r="CK189" i="171"/>
  <c r="CJ189" i="171"/>
  <c r="CI189" i="171"/>
  <c r="CH189" i="171"/>
  <c r="CE189" i="171"/>
  <c r="DD186" i="171"/>
  <c r="DC186" i="171"/>
  <c r="DB186" i="171"/>
  <c r="DA186" i="171"/>
  <c r="CZ186" i="171"/>
  <c r="CY186" i="171"/>
  <c r="CX186" i="171"/>
  <c r="CW186" i="171"/>
  <c r="CV186" i="171"/>
  <c r="CU186" i="171"/>
  <c r="CT186" i="171"/>
  <c r="CS186" i="171"/>
  <c r="CL186" i="171"/>
  <c r="CK186" i="171"/>
  <c r="CJ186" i="171"/>
  <c r="CI186" i="171"/>
  <c r="CH186" i="171"/>
  <c r="CG186" i="171"/>
  <c r="CF186" i="171"/>
  <c r="CE186" i="171"/>
  <c r="CD186" i="171"/>
  <c r="CC186" i="171"/>
  <c r="CB186" i="171"/>
  <c r="CA186" i="171"/>
  <c r="BZ186" i="171"/>
  <c r="AE180" i="171"/>
  <c r="AI180" i="171" s="1"/>
  <c r="AM180" i="171" s="1"/>
  <c r="AD180" i="171"/>
  <c r="AH180" i="171" s="1"/>
  <c r="AL180" i="171" s="1"/>
  <c r="AC180" i="171"/>
  <c r="AG180" i="171" s="1"/>
  <c r="AK180" i="171" s="1"/>
  <c r="AO180" i="171" s="1"/>
  <c r="AB180" i="171"/>
  <c r="AF180" i="171" s="1"/>
  <c r="O174" i="171"/>
  <c r="N174" i="171"/>
  <c r="M174" i="171"/>
  <c r="L174" i="171"/>
  <c r="K174" i="171"/>
  <c r="J174" i="171"/>
  <c r="I174" i="171"/>
  <c r="H174" i="171"/>
  <c r="G174" i="171"/>
  <c r="F174" i="171"/>
  <c r="AY157" i="171"/>
  <c r="AS157" i="171"/>
  <c r="AS127" i="171" s="1"/>
  <c r="AR157" i="171"/>
  <c r="CU141" i="171"/>
  <c r="CT141" i="171"/>
  <c r="CS141" i="171"/>
  <c r="CR141" i="171"/>
  <c r="CC141" i="171"/>
  <c r="CB141" i="171"/>
  <c r="AJ133" i="171"/>
  <c r="AD133" i="171"/>
  <c r="BK127" i="171"/>
  <c r="BK174" i="171" s="1"/>
  <c r="BF127" i="171"/>
  <c r="BF174" i="171" s="1"/>
  <c r="BA127" i="171"/>
  <c r="BA174" i="171" s="1"/>
  <c r="Z109" i="171"/>
  <c r="S109" i="171"/>
  <c r="Q91" i="171"/>
  <c r="Z85" i="171"/>
  <c r="AO19" i="171"/>
  <c r="AL340" i="189" s="1"/>
  <c r="AN19" i="171"/>
  <c r="AK340" i="189" s="1"/>
  <c r="AM19" i="171"/>
  <c r="AI340" i="189" s="1"/>
  <c r="AL19" i="171"/>
  <c r="AH340" i="189" s="1"/>
  <c r="AK19" i="171"/>
  <c r="AG340" i="189" s="1"/>
  <c r="AJ19" i="171"/>
  <c r="AF340" i="189" s="1"/>
  <c r="AI19" i="171"/>
  <c r="AH19" i="171"/>
  <c r="AG19" i="171"/>
  <c r="AF19" i="171"/>
  <c r="AE19" i="171"/>
  <c r="AD19" i="171"/>
  <c r="AX18" i="171"/>
  <c r="CQ10" i="171"/>
  <c r="A422" i="175"/>
  <c r="AI418" i="175"/>
  <c r="AH418" i="175"/>
  <c r="AG418" i="175"/>
  <c r="AF418" i="175"/>
  <c r="AE418" i="175"/>
  <c r="A418" i="175"/>
  <c r="AI414" i="175"/>
  <c r="AH414" i="175"/>
  <c r="AG414" i="175"/>
  <c r="AF414" i="175"/>
  <c r="A414" i="175"/>
  <c r="A404" i="175"/>
  <c r="AM400" i="175"/>
  <c r="AL400" i="175"/>
  <c r="AK400" i="175"/>
  <c r="AI400" i="175"/>
  <c r="AH400" i="175"/>
  <c r="A400" i="175"/>
  <c r="AK392" i="175"/>
  <c r="AI392" i="175"/>
  <c r="AH392" i="175"/>
  <c r="AG392" i="175"/>
  <c r="AF392" i="175"/>
  <c r="A392" i="175"/>
  <c r="AD384" i="175"/>
  <c r="AC384" i="175"/>
  <c r="AB384" i="175"/>
  <c r="AA384" i="175"/>
  <c r="Y384" i="175"/>
  <c r="X384" i="175"/>
  <c r="W384" i="175"/>
  <c r="V384" i="175"/>
  <c r="T384" i="175"/>
  <c r="S384" i="175"/>
  <c r="R384" i="175"/>
  <c r="Q384" i="175"/>
  <c r="O384" i="175"/>
  <c r="N384" i="175"/>
  <c r="M384" i="175"/>
  <c r="L384" i="175"/>
  <c r="J384" i="175"/>
  <c r="I384" i="175"/>
  <c r="H384" i="175"/>
  <c r="G384" i="175"/>
  <c r="E384" i="175"/>
  <c r="D384" i="175"/>
  <c r="C384" i="175"/>
  <c r="B384" i="175"/>
  <c r="AG373" i="175"/>
  <c r="AW342" i="175"/>
  <c r="AV342" i="175"/>
  <c r="AU342" i="175"/>
  <c r="AS342" i="175"/>
  <c r="AR342" i="175"/>
  <c r="AQ342" i="175"/>
  <c r="AP342" i="175"/>
  <c r="AN342" i="175"/>
  <c r="AM342" i="175"/>
  <c r="AL342" i="175"/>
  <c r="AK342" i="175"/>
  <c r="AI342" i="175"/>
  <c r="AH342" i="175"/>
  <c r="AG342" i="175"/>
  <c r="AF342" i="175"/>
  <c r="A335" i="175"/>
  <c r="AN330" i="175"/>
  <c r="AN418" i="175" s="1"/>
  <c r="AM330" i="175"/>
  <c r="AM418" i="175" s="1"/>
  <c r="AL330" i="175"/>
  <c r="AL418" i="175" s="1"/>
  <c r="AK330" i="175"/>
  <c r="AJ330" i="175"/>
  <c r="AN328" i="175"/>
  <c r="AM328" i="175"/>
  <c r="AR328" i="175" s="1"/>
  <c r="AL328" i="175"/>
  <c r="AK328" i="175"/>
  <c r="AK414" i="175" s="1"/>
  <c r="AJ328" i="175"/>
  <c r="AE328" i="175"/>
  <c r="AE414" i="175" s="1"/>
  <c r="AP321" i="175"/>
  <c r="AP392" i="175" s="1"/>
  <c r="AN321" i="175"/>
  <c r="AJ321" i="175"/>
  <c r="AJ392" i="175" s="1"/>
  <c r="AK316" i="175"/>
  <c r="AG316" i="175"/>
  <c r="AL316" i="175" s="1"/>
  <c r="AI314" i="175"/>
  <c r="AH314" i="175"/>
  <c r="AG314" i="175"/>
  <c r="AF314" i="175"/>
  <c r="BZ311" i="175"/>
  <c r="BY311" i="175"/>
  <c r="AY311" i="175"/>
  <c r="AM307" i="175"/>
  <c r="AL307" i="175"/>
  <c r="AK307" i="175"/>
  <c r="AI307" i="175"/>
  <c r="AH307" i="175"/>
  <c r="AG307" i="175"/>
  <c r="AF307" i="175"/>
  <c r="AI267" i="175"/>
  <c r="AI269" i="175" s="1"/>
  <c r="AH267" i="175"/>
  <c r="AH269" i="175" s="1"/>
  <c r="AG267" i="175"/>
  <c r="AG269" i="175" s="1"/>
  <c r="AF267" i="175"/>
  <c r="AF269" i="175" s="1"/>
  <c r="AD267" i="175"/>
  <c r="AC267" i="175"/>
  <c r="AB267" i="175"/>
  <c r="AA267" i="175"/>
  <c r="Y267" i="175"/>
  <c r="X267" i="175"/>
  <c r="W267" i="175"/>
  <c r="V267" i="175"/>
  <c r="T267" i="175"/>
  <c r="S267" i="175"/>
  <c r="R267" i="175"/>
  <c r="Q267" i="175"/>
  <c r="O267" i="175"/>
  <c r="N267" i="175"/>
  <c r="M267" i="175"/>
  <c r="L267" i="175"/>
  <c r="J267" i="175"/>
  <c r="I267" i="175"/>
  <c r="H267" i="175"/>
  <c r="G267" i="175"/>
  <c r="E267" i="175"/>
  <c r="D267" i="175"/>
  <c r="C267" i="175"/>
  <c r="B267" i="175"/>
  <c r="AM252" i="175"/>
  <c r="AL252" i="175"/>
  <c r="AK252" i="175"/>
  <c r="AJ252" i="175"/>
  <c r="AF236" i="175"/>
  <c r="AF232" i="175" s="1"/>
  <c r="AF235" i="175" s="1"/>
  <c r="AR222" i="175"/>
  <c r="AQ222" i="175"/>
  <c r="AP222" i="175"/>
  <c r="AT221" i="175"/>
  <c r="AN221" i="175"/>
  <c r="AR187" i="175"/>
  <c r="AS112" i="175"/>
  <c r="AR112" i="175"/>
  <c r="AQ112" i="175"/>
  <c r="AP112" i="175"/>
  <c r="AN112" i="175"/>
  <c r="AM112" i="175"/>
  <c r="AL112" i="175"/>
  <c r="AS111" i="175"/>
  <c r="AR111" i="175"/>
  <c r="AQ111" i="175"/>
  <c r="AP111" i="175"/>
  <c r="BW110" i="175"/>
  <c r="AX110" i="175"/>
  <c r="BC110" i="175" s="1"/>
  <c r="BC33" i="175" s="1"/>
  <c r="AW110" i="175"/>
  <c r="BB110" i="175" s="1"/>
  <c r="AV110" i="175"/>
  <c r="BA110" i="175" s="1"/>
  <c r="BA33" i="175" s="1"/>
  <c r="BF110" i="189" s="1"/>
  <c r="AU110" i="175"/>
  <c r="AT110" i="175"/>
  <c r="AO110" i="175"/>
  <c r="AW33" i="175"/>
  <c r="AS33" i="175"/>
  <c r="AR33" i="175"/>
  <c r="AQ33" i="175"/>
  <c r="AP33" i="175"/>
  <c r="AN33" i="175"/>
  <c r="AM33" i="175"/>
  <c r="AL33" i="175"/>
  <c r="AK33" i="175"/>
  <c r="BS508" i="172"/>
  <c r="BR508" i="172"/>
  <c r="BQ508" i="172"/>
  <c r="BM508" i="172"/>
  <c r="BL508" i="172"/>
  <c r="BS500" i="172"/>
  <c r="BR500" i="172"/>
  <c r="BQ500" i="172"/>
  <c r="BP500" i="172"/>
  <c r="BN500" i="172"/>
  <c r="BM500" i="172"/>
  <c r="BL500" i="172"/>
  <c r="BS480" i="172"/>
  <c r="BR480" i="172"/>
  <c r="BQ480" i="172"/>
  <c r="BP480" i="172"/>
  <c r="BN480" i="172"/>
  <c r="BM480" i="172"/>
  <c r="BL480" i="172"/>
  <c r="BN473" i="172"/>
  <c r="BN508" i="172" s="1"/>
  <c r="BS470" i="172"/>
  <c r="BR470" i="172"/>
  <c r="BQ470" i="172"/>
  <c r="BP470" i="172"/>
  <c r="BN470" i="172"/>
  <c r="BM470" i="172"/>
  <c r="BL470" i="172"/>
  <c r="BS460" i="172"/>
  <c r="BR460" i="172"/>
  <c r="BQ460" i="172"/>
  <c r="BP460" i="172"/>
  <c r="BN460" i="172"/>
  <c r="BM460" i="172"/>
  <c r="BL460" i="172"/>
  <c r="AP410" i="172"/>
  <c r="M379" i="172"/>
  <c r="M375" i="172"/>
  <c r="M371" i="172"/>
  <c r="M367" i="172"/>
  <c r="Z362" i="172"/>
  <c r="Z359" i="172" s="1"/>
  <c r="Y362" i="172"/>
  <c r="Y329" i="172" s="1"/>
  <c r="X362" i="172"/>
  <c r="X329" i="172" s="1"/>
  <c r="W362" i="172"/>
  <c r="W329" i="172" s="1"/>
  <c r="U362" i="172"/>
  <c r="U329" i="172" s="1"/>
  <c r="T362" i="172"/>
  <c r="T329" i="172" s="1"/>
  <c r="S362" i="172"/>
  <c r="S329" i="172" s="1"/>
  <c r="R362" i="172"/>
  <c r="R359" i="172" s="1"/>
  <c r="P362" i="172"/>
  <c r="P359" i="172" s="1"/>
  <c r="O362" i="172"/>
  <c r="O359" i="172" s="1"/>
  <c r="N362" i="172"/>
  <c r="N359" i="172" s="1"/>
  <c r="M362" i="172"/>
  <c r="M329" i="172" s="1"/>
  <c r="K362" i="172"/>
  <c r="K359" i="172" s="1"/>
  <c r="J362" i="172"/>
  <c r="J359" i="172" s="1"/>
  <c r="I362" i="172"/>
  <c r="I359" i="172" s="1"/>
  <c r="H362" i="172"/>
  <c r="H359" i="172" s="1"/>
  <c r="F362" i="172"/>
  <c r="F359" i="172" s="1"/>
  <c r="E362" i="172"/>
  <c r="E359" i="172" s="1"/>
  <c r="D362" i="172"/>
  <c r="D359" i="172" s="1"/>
  <c r="C362" i="172"/>
  <c r="C329" i="172" s="1"/>
  <c r="B362" i="172"/>
  <c r="B359" i="172" s="1"/>
  <c r="Y359" i="172"/>
  <c r="X359" i="172"/>
  <c r="W359" i="172"/>
  <c r="U359" i="172"/>
  <c r="T359" i="172"/>
  <c r="S359" i="172"/>
  <c r="M359" i="172"/>
  <c r="AA358" i="172"/>
  <c r="V358" i="172"/>
  <c r="Q358" i="172"/>
  <c r="L358" i="172"/>
  <c r="G358" i="172"/>
  <c r="Z332" i="172"/>
  <c r="Y332" i="172"/>
  <c r="X332" i="172"/>
  <c r="W332" i="172"/>
  <c r="U332" i="172"/>
  <c r="T332" i="172"/>
  <c r="S332" i="172"/>
  <c r="R332" i="172"/>
  <c r="P332" i="172"/>
  <c r="O332" i="172"/>
  <c r="N332" i="172"/>
  <c r="M332" i="172"/>
  <c r="J332" i="172"/>
  <c r="I332" i="172"/>
  <c r="H332" i="172"/>
  <c r="Z330" i="172"/>
  <c r="Y330" i="172"/>
  <c r="X330" i="172"/>
  <c r="W330" i="172"/>
  <c r="U330" i="172"/>
  <c r="T330" i="172"/>
  <c r="S330" i="172"/>
  <c r="R330" i="172"/>
  <c r="P330" i="172"/>
  <c r="O330" i="172"/>
  <c r="N330" i="172"/>
  <c r="M330" i="172"/>
  <c r="K330" i="172"/>
  <c r="J330" i="172"/>
  <c r="I330" i="172"/>
  <c r="H330" i="172"/>
  <c r="D329" i="172"/>
  <c r="AA328" i="172"/>
  <c r="V328" i="172"/>
  <c r="Q328" i="172"/>
  <c r="L328" i="172"/>
  <c r="L332" i="172" s="1"/>
  <c r="G328" i="172"/>
  <c r="G332" i="172" s="1"/>
  <c r="Z319" i="172"/>
  <c r="Y319" i="172"/>
  <c r="X319" i="172"/>
  <c r="W319" i="172"/>
  <c r="U319" i="172"/>
  <c r="T319" i="172"/>
  <c r="S319" i="172"/>
  <c r="R319" i="172"/>
  <c r="P319" i="172"/>
  <c r="O319" i="172"/>
  <c r="N319" i="172"/>
  <c r="M319" i="172"/>
  <c r="J319" i="172"/>
  <c r="I319" i="172"/>
  <c r="H319" i="172"/>
  <c r="AA318" i="172"/>
  <c r="V318" i="172"/>
  <c r="Q318" i="172"/>
  <c r="BF287" i="172"/>
  <c r="BC287" i="172"/>
  <c r="BH285" i="172"/>
  <c r="BK282" i="172"/>
  <c r="BI282" i="172"/>
  <c r="BI283" i="172" s="1"/>
  <c r="BG282" i="172"/>
  <c r="BG283" i="172" s="1"/>
  <c r="BF282" i="172"/>
  <c r="BF283" i="172" s="1"/>
  <c r="BH281" i="172"/>
  <c r="BH282" i="172" s="1"/>
  <c r="BH283" i="172" s="1"/>
  <c r="AC281" i="172"/>
  <c r="DI279" i="172"/>
  <c r="BK279" i="172"/>
  <c r="BI279" i="172"/>
  <c r="BH279" i="172"/>
  <c r="BG279" i="172"/>
  <c r="BF279" i="172"/>
  <c r="BD279" i="172"/>
  <c r="BC279" i="172"/>
  <c r="BB279" i="172"/>
  <c r="BA279" i="172"/>
  <c r="AY279" i="172"/>
  <c r="AX279" i="172"/>
  <c r="AW279" i="172"/>
  <c r="AV279" i="172"/>
  <c r="AT279" i="172"/>
  <c r="AS279" i="172"/>
  <c r="AR279" i="172"/>
  <c r="AQ279" i="172"/>
  <c r="AO279" i="172"/>
  <c r="AN279" i="172"/>
  <c r="AM279" i="172"/>
  <c r="AL279" i="172"/>
  <c r="AJ279" i="172"/>
  <c r="AI279" i="172"/>
  <c r="AH279" i="172"/>
  <c r="AG279" i="172"/>
  <c r="AE279" i="172"/>
  <c r="AD279" i="172"/>
  <c r="AC279" i="172"/>
  <c r="AB279" i="172"/>
  <c r="Z279" i="172"/>
  <c r="Y279" i="172"/>
  <c r="X279" i="172"/>
  <c r="W279" i="172"/>
  <c r="U279" i="172"/>
  <c r="T279" i="172"/>
  <c r="S279" i="172"/>
  <c r="R279" i="172"/>
  <c r="BJ278" i="172"/>
  <c r="BE278" i="172"/>
  <c r="AZ278" i="172"/>
  <c r="AU278" i="172"/>
  <c r="AP278" i="172"/>
  <c r="AK278" i="172"/>
  <c r="AF278" i="172"/>
  <c r="AA278" i="172"/>
  <c r="V278" i="172"/>
  <c r="BK276" i="172"/>
  <c r="BI276" i="172"/>
  <c r="BH276" i="172"/>
  <c r="BG276" i="172"/>
  <c r="BF276" i="172"/>
  <c r="BD276" i="172"/>
  <c r="BC276" i="172"/>
  <c r="BB276" i="172"/>
  <c r="BA276" i="172"/>
  <c r="AY276" i="172"/>
  <c r="AX276" i="172"/>
  <c r="AW276" i="172"/>
  <c r="AV276" i="172"/>
  <c r="AT276" i="172"/>
  <c r="AS276" i="172"/>
  <c r="AR276" i="172"/>
  <c r="AQ276" i="172"/>
  <c r="AO276" i="172"/>
  <c r="AN276" i="172"/>
  <c r="AM276" i="172"/>
  <c r="AL276" i="172"/>
  <c r="AJ276" i="172"/>
  <c r="AI276" i="172"/>
  <c r="AH276" i="172"/>
  <c r="AG276" i="172"/>
  <c r="AE276" i="172"/>
  <c r="AD276" i="172"/>
  <c r="AC276" i="172"/>
  <c r="AB276" i="172"/>
  <c r="Z276" i="172"/>
  <c r="Y276" i="172"/>
  <c r="X276" i="172"/>
  <c r="W276" i="172"/>
  <c r="U276" i="172"/>
  <c r="T276" i="172"/>
  <c r="S276" i="172"/>
  <c r="R276" i="172"/>
  <c r="BM265" i="172"/>
  <c r="BL265" i="172"/>
  <c r="CL260" i="172"/>
  <c r="CQ261" i="172" s="1"/>
  <c r="BI257" i="172"/>
  <c r="BH257" i="172"/>
  <c r="K257" i="172"/>
  <c r="F257" i="172"/>
  <c r="E257" i="172"/>
  <c r="D257" i="172"/>
  <c r="C257" i="172"/>
  <c r="B257" i="172"/>
  <c r="AL239" i="172"/>
  <c r="CL210" i="172"/>
  <c r="BS202" i="172"/>
  <c r="BR202" i="172"/>
  <c r="BQ202" i="172"/>
  <c r="BP202" i="172"/>
  <c r="BN202" i="172"/>
  <c r="BM202" i="172"/>
  <c r="BL202" i="172"/>
  <c r="BK202" i="172"/>
  <c r="BI202" i="172"/>
  <c r="BH202" i="172"/>
  <c r="BG202" i="172"/>
  <c r="BF202" i="172"/>
  <c r="BD202" i="172"/>
  <c r="BC202" i="172"/>
  <c r="BB202" i="172"/>
  <c r="BA202" i="172"/>
  <c r="BI189" i="172"/>
  <c r="BH189" i="172"/>
  <c r="BG189" i="172"/>
  <c r="BF189" i="172"/>
  <c r="BD189" i="172"/>
  <c r="BC189" i="172"/>
  <c r="BB189" i="172"/>
  <c r="BA189" i="172"/>
  <c r="CG187" i="172"/>
  <c r="CF187" i="172"/>
  <c r="CE187" i="172"/>
  <c r="BS187" i="172"/>
  <c r="BR187" i="172"/>
  <c r="BQ187" i="172"/>
  <c r="BP187" i="172"/>
  <c r="BN187" i="172"/>
  <c r="BM187" i="172"/>
  <c r="BL187" i="172"/>
  <c r="BK187" i="172"/>
  <c r="BI187" i="172"/>
  <c r="BH187" i="172"/>
  <c r="BG187" i="172"/>
  <c r="BF187" i="172"/>
  <c r="BD187" i="172"/>
  <c r="BC187" i="172"/>
  <c r="BB187" i="172"/>
  <c r="BA187" i="172"/>
  <c r="DK186" i="172"/>
  <c r="DJ186" i="172"/>
  <c r="DI186" i="172"/>
  <c r="BT186" i="172"/>
  <c r="BO186" i="172"/>
  <c r="BJ186" i="172"/>
  <c r="BE186" i="172"/>
  <c r="BS185" i="172"/>
  <c r="BR185" i="172"/>
  <c r="BQ185" i="172"/>
  <c r="BP185" i="172"/>
  <c r="BN185" i="172"/>
  <c r="BM185" i="172"/>
  <c r="BL185" i="172"/>
  <c r="BK185" i="172"/>
  <c r="BI185" i="172"/>
  <c r="BH185" i="172"/>
  <c r="BG185" i="172"/>
  <c r="BF185" i="172"/>
  <c r="BD185" i="172"/>
  <c r="BC185" i="172"/>
  <c r="BB185" i="172"/>
  <c r="BA185" i="172"/>
  <c r="CK183" i="172"/>
  <c r="CL183" i="172" s="1"/>
  <c r="CF183" i="172"/>
  <c r="CG183" i="172" s="1"/>
  <c r="BS183" i="172"/>
  <c r="BR183" i="172"/>
  <c r="BQ183" i="172"/>
  <c r="BP183" i="172"/>
  <c r="BN183" i="172"/>
  <c r="BM183" i="172"/>
  <c r="BL183" i="172"/>
  <c r="BK183" i="172"/>
  <c r="BI183" i="172"/>
  <c r="BH183" i="172"/>
  <c r="BG183" i="172"/>
  <c r="BF183" i="172"/>
  <c r="BD183" i="172"/>
  <c r="BC183" i="172"/>
  <c r="BB183" i="172"/>
  <c r="BA183" i="172"/>
  <c r="DK182" i="172"/>
  <c r="DJ182" i="172"/>
  <c r="DI182" i="172"/>
  <c r="BT182" i="172"/>
  <c r="BO182" i="172"/>
  <c r="BJ182" i="172"/>
  <c r="BE182" i="172"/>
  <c r="BS181" i="172"/>
  <c r="BR181" i="172"/>
  <c r="BQ181" i="172"/>
  <c r="BP181" i="172"/>
  <c r="BN181" i="172"/>
  <c r="BM181" i="172"/>
  <c r="BL181" i="172"/>
  <c r="BK181" i="172"/>
  <c r="BI181" i="172"/>
  <c r="BH181" i="172"/>
  <c r="BG181" i="172"/>
  <c r="BF181" i="172"/>
  <c r="BD181" i="172"/>
  <c r="BC181" i="172"/>
  <c r="BB181" i="172"/>
  <c r="BA181" i="172"/>
  <c r="BN178" i="172"/>
  <c r="BS173" i="172"/>
  <c r="BR173" i="172"/>
  <c r="BQ173" i="172"/>
  <c r="BP173" i="172"/>
  <c r="BN173" i="172"/>
  <c r="BM173" i="172"/>
  <c r="BL173" i="172"/>
  <c r="BK173" i="172"/>
  <c r="BI173" i="172"/>
  <c r="BH173" i="172"/>
  <c r="BG173" i="172"/>
  <c r="BF173" i="172"/>
  <c r="BD173" i="172"/>
  <c r="BC173" i="172"/>
  <c r="BB173" i="172"/>
  <c r="BA173" i="172"/>
  <c r="BS159" i="172"/>
  <c r="BR159" i="172"/>
  <c r="BQ159" i="172"/>
  <c r="BP159" i="172"/>
  <c r="BN159" i="172"/>
  <c r="BM159" i="172"/>
  <c r="BL159" i="172"/>
  <c r="BK159" i="172"/>
  <c r="BI159" i="172"/>
  <c r="BH159" i="172"/>
  <c r="BG159" i="172"/>
  <c r="BF159" i="172"/>
  <c r="BD159" i="172"/>
  <c r="BC159" i="172"/>
  <c r="BB159" i="172"/>
  <c r="BA159" i="172"/>
  <c r="DK158" i="172"/>
  <c r="DJ158" i="172"/>
  <c r="DI158" i="172"/>
  <c r="BT158" i="172"/>
  <c r="BO158" i="172"/>
  <c r="BJ158" i="172"/>
  <c r="BE158" i="172"/>
  <c r="BS157" i="172"/>
  <c r="BR157" i="172"/>
  <c r="BQ157" i="172"/>
  <c r="BP157" i="172"/>
  <c r="BN157" i="172"/>
  <c r="BM157" i="172"/>
  <c r="BL157" i="172"/>
  <c r="BK157" i="172"/>
  <c r="BI157" i="172"/>
  <c r="BH157" i="172"/>
  <c r="BG157" i="172"/>
  <c r="BF157" i="172"/>
  <c r="BD157" i="172"/>
  <c r="BC157" i="172"/>
  <c r="BB157" i="172"/>
  <c r="BA157" i="172"/>
  <c r="BT89" i="172"/>
  <c r="BO89" i="172"/>
  <c r="BS88" i="172"/>
  <c r="BS84" i="172" s="1"/>
  <c r="BR88" i="172"/>
  <c r="BR84" i="172" s="1"/>
  <c r="BQ88" i="172"/>
  <c r="BQ84" i="172" s="1"/>
  <c r="BP88" i="172"/>
  <c r="BP84" i="172" s="1"/>
  <c r="BN88" i="172"/>
  <c r="BN84" i="172" s="1"/>
  <c r="BM88" i="172"/>
  <c r="BM84" i="172" s="1"/>
  <c r="BL88" i="172"/>
  <c r="BL84" i="172" s="1"/>
  <c r="BK88" i="172"/>
  <c r="BK84" i="172" s="1"/>
  <c r="BJ88" i="172"/>
  <c r="BJ84" i="172" s="1"/>
  <c r="BT87" i="172"/>
  <c r="BO87" i="172"/>
  <c r="BS80" i="172"/>
  <c r="BR80" i="172"/>
  <c r="BQ80" i="172"/>
  <c r="BP80" i="172"/>
  <c r="BS79" i="172"/>
  <c r="BR79" i="172"/>
  <c r="BQ79" i="172"/>
  <c r="BP79" i="172"/>
  <c r="BN79" i="172"/>
  <c r="BM79" i="172"/>
  <c r="BL79" i="172"/>
  <c r="BK79" i="172"/>
  <c r="DL78" i="172"/>
  <c r="DK78" i="172"/>
  <c r="BT78" i="172"/>
  <c r="BO78" i="172"/>
  <c r="BS70" i="172"/>
  <c r="BR70" i="172"/>
  <c r="BQ70" i="172"/>
  <c r="BP70" i="172"/>
  <c r="BS69" i="172"/>
  <c r="BR69" i="172"/>
  <c r="BQ69" i="172"/>
  <c r="BP69" i="172"/>
  <c r="BN69" i="172"/>
  <c r="BM69" i="172"/>
  <c r="BL69" i="172"/>
  <c r="BK69" i="172"/>
  <c r="DL68" i="172"/>
  <c r="DK68" i="172"/>
  <c r="BT68" i="172"/>
  <c r="BO68" i="172"/>
  <c r="BO70" i="172" s="1"/>
  <c r="EG42" i="9"/>
  <c r="EF42" i="9"/>
  <c r="EE42" i="9"/>
  <c r="EB42" i="9"/>
  <c r="EA42" i="9"/>
  <c r="DZ42" i="9"/>
  <c r="DW42" i="9"/>
  <c r="DV42" i="9"/>
  <c r="DU42" i="9"/>
  <c r="DR42" i="9"/>
  <c r="DQ42" i="9"/>
  <c r="DP42" i="9"/>
  <c r="DM42" i="9"/>
  <c r="DL42" i="9"/>
  <c r="DK42" i="9"/>
  <c r="DH42" i="9"/>
  <c r="DG42" i="9"/>
  <c r="DF42" i="9"/>
  <c r="DC42" i="9"/>
  <c r="DB42" i="9"/>
  <c r="DA42" i="9"/>
  <c r="CZ42" i="9"/>
  <c r="CX42" i="9"/>
  <c r="CW42" i="9"/>
  <c r="CV42" i="9"/>
  <c r="CU42" i="9"/>
  <c r="CS42" i="9"/>
  <c r="CR42" i="9"/>
  <c r="CQ42" i="9"/>
  <c r="CP42" i="9"/>
  <c r="CN42" i="9"/>
  <c r="CM42" i="9"/>
  <c r="CL42" i="9"/>
  <c r="CK42" i="9"/>
  <c r="CI42" i="9"/>
  <c r="BT42" i="9"/>
  <c r="BS42" i="9"/>
  <c r="BR42" i="9"/>
  <c r="BQ42" i="9"/>
  <c r="BO42" i="9"/>
  <c r="BN42" i="9"/>
  <c r="BM42" i="9"/>
  <c r="BL42" i="9"/>
  <c r="BJ42" i="9"/>
  <c r="BI42" i="9"/>
  <c r="BH42" i="9"/>
  <c r="BG42" i="9"/>
  <c r="BE42" i="9"/>
  <c r="BD42" i="9"/>
  <c r="BC42" i="9"/>
  <c r="BB42" i="9"/>
  <c r="AZ42" i="9"/>
  <c r="AY42" i="9"/>
  <c r="AX42" i="9"/>
  <c r="AW42" i="9"/>
  <c r="AU42" i="9"/>
  <c r="AT42" i="9"/>
  <c r="AS42" i="9"/>
  <c r="AR42" i="9"/>
  <c r="AP42" i="9"/>
  <c r="AO42" i="9"/>
  <c r="AN42" i="9"/>
  <c r="AM42" i="9"/>
  <c r="AK42" i="9"/>
  <c r="AJ42" i="9"/>
  <c r="AI42" i="9"/>
  <c r="AH42" i="9"/>
  <c r="AF42" i="9"/>
  <c r="AE42" i="9"/>
  <c r="AD42" i="9"/>
  <c r="AC42" i="9"/>
  <c r="AA42" i="9"/>
  <c r="Z42" i="9"/>
  <c r="Y42" i="9"/>
  <c r="X42" i="9"/>
  <c r="V42" i="9"/>
  <c r="U42" i="9"/>
  <c r="T42" i="9"/>
  <c r="S42" i="9"/>
  <c r="Q42" i="9"/>
  <c r="P42" i="9"/>
  <c r="O42" i="9"/>
  <c r="N42" i="9"/>
  <c r="L42" i="9"/>
  <c r="K42" i="9"/>
  <c r="J42" i="9"/>
  <c r="I42" i="9"/>
  <c r="G42" i="9"/>
  <c r="F42" i="9"/>
  <c r="E42" i="9"/>
  <c r="D42" i="9"/>
  <c r="BM40" i="9"/>
  <c r="BC40" i="9"/>
  <c r="AI40" i="9"/>
  <c r="AJ40" i="9" s="1"/>
  <c r="EA39" i="9"/>
  <c r="DV39" i="9"/>
  <c r="DT39" i="9"/>
  <c r="DR39" i="9"/>
  <c r="DQ39" i="9"/>
  <c r="DP39" i="9"/>
  <c r="DO39" i="9"/>
  <c r="DM39" i="9"/>
  <c r="DA39" i="9"/>
  <c r="CZ39" i="9"/>
  <c r="CX39" i="9"/>
  <c r="CW39" i="9"/>
  <c r="CV39" i="9"/>
  <c r="CU39" i="9"/>
  <c r="CS39" i="9"/>
  <c r="CR39" i="9"/>
  <c r="CN39" i="9"/>
  <c r="CM39" i="9"/>
  <c r="CH39" i="9"/>
  <c r="CD39" i="9"/>
  <c r="CC39" i="9"/>
  <c r="CB39" i="9"/>
  <c r="CA39" i="9"/>
  <c r="BW39" i="9"/>
  <c r="BV39" i="9"/>
  <c r="BQ39" i="9"/>
  <c r="BL39" i="9"/>
  <c r="AR39" i="9"/>
  <c r="AM39" i="9"/>
  <c r="AH39" i="9"/>
  <c r="AC39" i="9"/>
  <c r="X39" i="9"/>
  <c r="S39" i="9"/>
  <c r="N39" i="9"/>
  <c r="I39" i="9"/>
  <c r="D39" i="9"/>
  <c r="GG38" i="9"/>
  <c r="GF38" i="9"/>
  <c r="FX38" i="9"/>
  <c r="FW38" i="9"/>
  <c r="FT38" i="9"/>
  <c r="EW38" i="9"/>
  <c r="EE38" i="9"/>
  <c r="EE39" i="9" s="1"/>
  <c r="DS38" i="9"/>
  <c r="CY38" i="9"/>
  <c r="CQ38" i="9"/>
  <c r="CQ39" i="9" s="1"/>
  <c r="CO38" i="9"/>
  <c r="CI38" i="9"/>
  <c r="FU38" i="9" s="1"/>
  <c r="BM38" i="9"/>
  <c r="BN38" i="9" s="1"/>
  <c r="AW38" i="9"/>
  <c r="AS38" i="9"/>
  <c r="AN38" i="9"/>
  <c r="AI38" i="9"/>
  <c r="AD38" i="9"/>
  <c r="Y38" i="9"/>
  <c r="T38" i="9"/>
  <c r="O38" i="9"/>
  <c r="J38" i="9"/>
  <c r="E38" i="9"/>
  <c r="ED37" i="9"/>
  <c r="DY37" i="9"/>
  <c r="CI37" i="9"/>
  <c r="CF36" i="9"/>
  <c r="CF39" i="9" s="1"/>
  <c r="BX36" i="9"/>
  <c r="BR36" i="9"/>
  <c r="BM36" i="9"/>
  <c r="AX36" i="9"/>
  <c r="BX35" i="9"/>
  <c r="EF34" i="9"/>
  <c r="DZ34" i="9"/>
  <c r="DY34" i="9"/>
  <c r="DH34" i="9"/>
  <c r="DG34" i="9"/>
  <c r="DG39" i="9" s="1"/>
  <c r="DE34" i="9"/>
  <c r="DE39" i="9" s="1"/>
  <c r="DC34" i="9"/>
  <c r="DB34" i="9"/>
  <c r="DB39" i="9" s="1"/>
  <c r="DK33" i="9"/>
  <c r="DJ33" i="9"/>
  <c r="DC33" i="9"/>
  <c r="DB33" i="9"/>
  <c r="DA33" i="9"/>
  <c r="CZ33" i="9"/>
  <c r="CX33" i="9"/>
  <c r="CW33" i="9"/>
  <c r="CV33" i="9"/>
  <c r="CU33" i="9"/>
  <c r="CS33" i="9"/>
  <c r="CR33" i="9"/>
  <c r="CQ33" i="9"/>
  <c r="CP33" i="9"/>
  <c r="CN33" i="9"/>
  <c r="CM33" i="9"/>
  <c r="CL33" i="9"/>
  <c r="CK33" i="9"/>
  <c r="CG33" i="9"/>
  <c r="CF33" i="9"/>
  <c r="AM33" i="9"/>
  <c r="AH33" i="9"/>
  <c r="AC33" i="9"/>
  <c r="X33" i="9"/>
  <c r="S33" i="9"/>
  <c r="N33" i="9"/>
  <c r="I33" i="9"/>
  <c r="D33" i="9"/>
  <c r="EE30" i="9"/>
  <c r="EE33" i="9" s="1"/>
  <c r="EB30" i="9"/>
  <c r="DU30" i="9"/>
  <c r="DU33" i="9" s="1"/>
  <c r="DR30" i="9"/>
  <c r="DP30" i="9"/>
  <c r="DP33" i="9" s="1"/>
  <c r="DO30" i="9"/>
  <c r="DO33" i="9" s="1"/>
  <c r="DL30" i="9"/>
  <c r="DL33" i="9" s="1"/>
  <c r="DF30" i="9"/>
  <c r="DF33" i="9" s="1"/>
  <c r="DE30" i="9"/>
  <c r="DE33" i="9" s="1"/>
  <c r="CB30" i="9"/>
  <c r="CB33" i="9" s="1"/>
  <c r="CA30" i="9"/>
  <c r="CA33" i="9" s="1"/>
  <c r="BV30" i="9"/>
  <c r="BV33" i="9" s="1"/>
  <c r="BQ30" i="9"/>
  <c r="BQ33" i="9" s="1"/>
  <c r="BL30" i="9"/>
  <c r="BG30" i="9"/>
  <c r="BG33" i="9" s="1"/>
  <c r="DY29" i="9"/>
  <c r="BH29" i="9"/>
  <c r="BI29" i="9" s="1"/>
  <c r="AI29" i="9"/>
  <c r="GE28" i="9"/>
  <c r="GD28" i="9"/>
  <c r="GC28" i="9"/>
  <c r="GB28" i="9"/>
  <c r="GA28" i="9"/>
  <c r="FZ28" i="9"/>
  <c r="FY28" i="9"/>
  <c r="FX28" i="9"/>
  <c r="FW28" i="9"/>
  <c r="FV28" i="9"/>
  <c r="FT28" i="9"/>
  <c r="EH28" i="9"/>
  <c r="EC28" i="9"/>
  <c r="DX28" i="9"/>
  <c r="DS28" i="9"/>
  <c r="DN28" i="9"/>
  <c r="DI28" i="9"/>
  <c r="DD28" i="9"/>
  <c r="CY28" i="9"/>
  <c r="CT28" i="9"/>
  <c r="CO28" i="9"/>
  <c r="CI28" i="9"/>
  <c r="CJ28" i="9" s="1"/>
  <c r="BR28" i="9"/>
  <c r="BM28" i="9"/>
  <c r="BN28" i="9" s="1"/>
  <c r="BH28" i="9"/>
  <c r="BI28" i="9" s="1"/>
  <c r="BC28" i="9"/>
  <c r="BD28" i="9" s="1"/>
  <c r="AX28" i="9"/>
  <c r="AS28" i="9"/>
  <c r="AT28" i="9" s="1"/>
  <c r="AN28" i="9"/>
  <c r="AO28" i="9" s="1"/>
  <c r="AI28" i="9"/>
  <c r="AJ28" i="9" s="1"/>
  <c r="AD28" i="9"/>
  <c r="Y28" i="9"/>
  <c r="Z28" i="9" s="1"/>
  <c r="T28" i="9"/>
  <c r="U28" i="9" s="1"/>
  <c r="O28" i="9"/>
  <c r="P28" i="9" s="1"/>
  <c r="J28" i="9"/>
  <c r="E28" i="9"/>
  <c r="F28" i="9" s="1"/>
  <c r="CI26" i="9"/>
  <c r="AX26" i="9"/>
  <c r="BX23" i="9"/>
  <c r="BR23" i="9"/>
  <c r="BM23" i="9"/>
  <c r="BH23" i="9"/>
  <c r="BI23" i="9" s="1"/>
  <c r="BM22" i="9"/>
  <c r="BH22" i="9"/>
  <c r="BI22" i="9" s="1"/>
  <c r="AS22" i="9"/>
  <c r="EG20" i="9"/>
  <c r="EE20" i="9"/>
  <c r="EB20" i="9"/>
  <c r="EA20" i="9"/>
  <c r="DZ20" i="9"/>
  <c r="DW20" i="9"/>
  <c r="DV20" i="9"/>
  <c r="DU20" i="9"/>
  <c r="DT20" i="9"/>
  <c r="DM20" i="9"/>
  <c r="BX20" i="9"/>
  <c r="BH20" i="9"/>
  <c r="AN20" i="9"/>
  <c r="FY18" i="9"/>
  <c r="FX18" i="9"/>
  <c r="FW18" i="9"/>
  <c r="FV18" i="9"/>
  <c r="FU18" i="9"/>
  <c r="FT18" i="9"/>
  <c r="ED18" i="9"/>
  <c r="EB18" i="9"/>
  <c r="DW18" i="9"/>
  <c r="DV18" i="9"/>
  <c r="DT18" i="9"/>
  <c r="DP18" i="9"/>
  <c r="DL18" i="9"/>
  <c r="DK18" i="9"/>
  <c r="DJ18" i="9"/>
  <c r="DI18" i="9"/>
  <c r="DD18" i="9"/>
  <c r="CY18" i="9"/>
  <c r="CT18" i="9"/>
  <c r="CO18" i="9"/>
  <c r="CJ18" i="9"/>
  <c r="CE18" i="9"/>
  <c r="BX18" i="9"/>
  <c r="BR18" i="9"/>
  <c r="BS18" i="9" s="1"/>
  <c r="BM18" i="9"/>
  <c r="BN18" i="9" s="1"/>
  <c r="BH18" i="9"/>
  <c r="BI18" i="9" s="1"/>
  <c r="AX18" i="9"/>
  <c r="AY18" i="9" s="1"/>
  <c r="AZ18" i="9" s="1"/>
  <c r="BA18" i="9" s="1"/>
  <c r="AS18" i="9"/>
  <c r="AT18" i="9" s="1"/>
  <c r="AD18" i="9"/>
  <c r="AE18" i="9" s="1"/>
  <c r="Y18" i="9"/>
  <c r="Z18" i="9" s="1"/>
  <c r="T18" i="9"/>
  <c r="U18" i="9" s="1"/>
  <c r="O18" i="9"/>
  <c r="P18" i="9" s="1"/>
  <c r="J18" i="9"/>
  <c r="K18" i="9" s="1"/>
  <c r="E18" i="9"/>
  <c r="F18" i="9" s="1"/>
  <c r="BM17" i="9"/>
  <c r="BN17" i="9" s="1"/>
  <c r="BO17" i="9" s="1"/>
  <c r="BX12" i="9"/>
  <c r="BY12" i="9" s="1"/>
  <c r="BM12" i="9"/>
  <c r="DJ11" i="9"/>
  <c r="BR11" i="9"/>
  <c r="BM10" i="9"/>
  <c r="GE8" i="9"/>
  <c r="GD8" i="9"/>
  <c r="GC8" i="9"/>
  <c r="GB8" i="9"/>
  <c r="GA8" i="9"/>
  <c r="FZ8" i="9"/>
  <c r="FY8" i="9"/>
  <c r="FX8" i="9"/>
  <c r="FW8" i="9"/>
  <c r="FV8" i="9"/>
  <c r="FU8" i="9"/>
  <c r="FT8" i="9"/>
  <c r="FS8" i="9"/>
  <c r="EH8" i="9"/>
  <c r="EC8" i="9"/>
  <c r="DX8" i="9"/>
  <c r="DS8" i="9"/>
  <c r="DN8" i="9"/>
  <c r="DI8" i="9"/>
  <c r="DD8" i="9"/>
  <c r="CY8" i="9"/>
  <c r="CT8" i="9"/>
  <c r="CO8" i="9"/>
  <c r="CJ8" i="9"/>
  <c r="CE8" i="9"/>
  <c r="BZ8" i="9"/>
  <c r="BR8" i="9"/>
  <c r="BM8" i="9"/>
  <c r="BM44" i="7" s="1"/>
  <c r="BH8" i="9"/>
  <c r="BH44" i="7" s="1"/>
  <c r="BC8" i="9"/>
  <c r="BC44" i="7" s="1"/>
  <c r="AX8" i="9"/>
  <c r="AX44" i="7" s="1"/>
  <c r="AS8" i="9"/>
  <c r="AS44" i="7" s="1"/>
  <c r="AN8" i="9"/>
  <c r="AN44" i="7" s="1"/>
  <c r="AI8" i="9"/>
  <c r="AI44" i="7" s="1"/>
  <c r="AD8" i="9"/>
  <c r="AD44" i="7" s="1"/>
  <c r="Y8" i="9"/>
  <c r="Y44" i="7" s="1"/>
  <c r="T8" i="9"/>
  <c r="T44" i="7" s="1"/>
  <c r="O8" i="9"/>
  <c r="O44" i="7" s="1"/>
  <c r="J8" i="9"/>
  <c r="J44" i="7" s="1"/>
  <c r="E8" i="9"/>
  <c r="E44" i="7" s="1"/>
  <c r="DC82" i="8"/>
  <c r="DB82" i="8"/>
  <c r="DA82" i="8"/>
  <c r="CX82" i="8"/>
  <c r="CW82" i="8"/>
  <c r="CV82" i="8"/>
  <c r="CU82" i="8"/>
  <c r="CS82" i="8"/>
  <c r="CR82" i="8"/>
  <c r="CQ82" i="8"/>
  <c r="CP82" i="8"/>
  <c r="CN82" i="8"/>
  <c r="CM82" i="8"/>
  <c r="CL82" i="8"/>
  <c r="CK82" i="8"/>
  <c r="CI82" i="8"/>
  <c r="EF81" i="8"/>
  <c r="EE81" i="8"/>
  <c r="EB81" i="8"/>
  <c r="EA81" i="8"/>
  <c r="DZ81" i="8"/>
  <c r="DV81" i="8"/>
  <c r="DU81" i="8"/>
  <c r="DR81" i="8"/>
  <c r="DQ81" i="8"/>
  <c r="DP81" i="8"/>
  <c r="DM81" i="8"/>
  <c r="DL81" i="8"/>
  <c r="DK81" i="8"/>
  <c r="DH81" i="8"/>
  <c r="DG81" i="8"/>
  <c r="DF81" i="8"/>
  <c r="DC81" i="8"/>
  <c r="DB81" i="8"/>
  <c r="DA81" i="8"/>
  <c r="CX81" i="8"/>
  <c r="CW81" i="8"/>
  <c r="CV81" i="8"/>
  <c r="CU81" i="8"/>
  <c r="CS81" i="8"/>
  <c r="CR81" i="8"/>
  <c r="CQ81" i="8"/>
  <c r="CP81" i="8"/>
  <c r="CN81" i="8"/>
  <c r="CM81" i="8"/>
  <c r="CL81" i="8"/>
  <c r="CK81" i="8"/>
  <c r="CI81" i="8"/>
  <c r="EG64" i="8"/>
  <c r="EF64" i="8"/>
  <c r="EE64" i="8"/>
  <c r="ED64" i="8"/>
  <c r="EB64" i="8"/>
  <c r="EA64" i="8"/>
  <c r="DZ64" i="8"/>
  <c r="DY64" i="8"/>
  <c r="DW64" i="8"/>
  <c r="DV64" i="8"/>
  <c r="DU64" i="8"/>
  <c r="DT64" i="8"/>
  <c r="DR64" i="8"/>
  <c r="DQ64" i="8"/>
  <c r="DP64" i="8"/>
  <c r="DO64" i="8"/>
  <c r="DM64" i="8"/>
  <c r="DL64" i="8"/>
  <c r="DJ64" i="8"/>
  <c r="DH64" i="8"/>
  <c r="DG64" i="8"/>
  <c r="DF64" i="8"/>
  <c r="DE64" i="8"/>
  <c r="DC64" i="8"/>
  <c r="DB64" i="8"/>
  <c r="DA64" i="8"/>
  <c r="CZ64" i="8"/>
  <c r="CX64" i="8"/>
  <c r="CW64" i="8"/>
  <c r="CV64" i="8"/>
  <c r="CU64" i="8"/>
  <c r="CS64" i="8"/>
  <c r="CR64" i="8"/>
  <c r="CQ64" i="8"/>
  <c r="CP64" i="8"/>
  <c r="CN64" i="8"/>
  <c r="CM64" i="8"/>
  <c r="CL64" i="8"/>
  <c r="CK64" i="8"/>
  <c r="CI64" i="8"/>
  <c r="CH64" i="8"/>
  <c r="CG64" i="8"/>
  <c r="CF64" i="8"/>
  <c r="CD64" i="8"/>
  <c r="CC64" i="8"/>
  <c r="CB64" i="8"/>
  <c r="CA64" i="8"/>
  <c r="BY64" i="8"/>
  <c r="BX64" i="8"/>
  <c r="BW64" i="8"/>
  <c r="BV64" i="8"/>
  <c r="BT64" i="8"/>
  <c r="BS64" i="8"/>
  <c r="BR64" i="8"/>
  <c r="BQ64" i="8"/>
  <c r="BO64" i="8"/>
  <c r="BN64" i="8"/>
  <c r="BM64" i="8"/>
  <c r="BL64" i="8"/>
  <c r="BJ64" i="8"/>
  <c r="BI64" i="8"/>
  <c r="BH64" i="8"/>
  <c r="BG64" i="8"/>
  <c r="BE64" i="8"/>
  <c r="BD64" i="8"/>
  <c r="BC64" i="8"/>
  <c r="BB64" i="8"/>
  <c r="AZ64" i="8"/>
  <c r="AY64" i="8"/>
  <c r="AX64" i="8"/>
  <c r="AW64" i="8"/>
  <c r="AU64" i="8"/>
  <c r="AT64" i="8"/>
  <c r="AS64" i="8"/>
  <c r="AR64" i="8"/>
  <c r="AP64" i="8"/>
  <c r="AO64" i="8"/>
  <c r="AN64" i="8"/>
  <c r="AM64" i="8"/>
  <c r="AK64" i="8"/>
  <c r="AJ64" i="8"/>
  <c r="AI64" i="8"/>
  <c r="AH64" i="8"/>
  <c r="AF64" i="8"/>
  <c r="AE64" i="8"/>
  <c r="AD64" i="8"/>
  <c r="AC64" i="8"/>
  <c r="AA64" i="8"/>
  <c r="Z64" i="8"/>
  <c r="Y64" i="8"/>
  <c r="X64" i="8"/>
  <c r="V64" i="8"/>
  <c r="U64" i="8"/>
  <c r="T64" i="8"/>
  <c r="S64" i="8"/>
  <c r="EG46" i="8"/>
  <c r="EF46" i="8"/>
  <c r="EE46" i="8"/>
  <c r="ED46" i="8"/>
  <c r="EB46" i="8"/>
  <c r="BO46" i="8"/>
  <c r="BN46" i="8"/>
  <c r="BM46" i="8"/>
  <c r="BL46" i="8"/>
  <c r="BJ46" i="8"/>
  <c r="BI46" i="8"/>
  <c r="BH46" i="8"/>
  <c r="BG46" i="8"/>
  <c r="BE46" i="8"/>
  <c r="BD46" i="8"/>
  <c r="BC46" i="8"/>
  <c r="BB46" i="8"/>
  <c r="AZ46" i="8"/>
  <c r="AY46" i="8"/>
  <c r="AX46" i="8"/>
  <c r="AW46" i="8"/>
  <c r="AU46" i="8"/>
  <c r="AT46" i="8"/>
  <c r="AS46" i="8"/>
  <c r="AR46" i="8"/>
  <c r="AP46" i="8"/>
  <c r="AO46" i="8"/>
  <c r="AN46" i="8"/>
  <c r="AM46" i="8"/>
  <c r="AK46" i="8"/>
  <c r="AJ46" i="8"/>
  <c r="AI46" i="8"/>
  <c r="AH46" i="8"/>
  <c r="AF46" i="8"/>
  <c r="AE46" i="8"/>
  <c r="AD46" i="8"/>
  <c r="AC46" i="8"/>
  <c r="AA46" i="8"/>
  <c r="Z46" i="8"/>
  <c r="Y46" i="8"/>
  <c r="X46" i="8"/>
  <c r="V46" i="8"/>
  <c r="U46" i="8"/>
  <c r="T46" i="8"/>
  <c r="S46" i="8"/>
  <c r="Q46" i="8"/>
  <c r="P46" i="8"/>
  <c r="O46" i="8"/>
  <c r="N46" i="8"/>
  <c r="L46" i="8"/>
  <c r="K46" i="8"/>
  <c r="CA39" i="8"/>
  <c r="BY39" i="8"/>
  <c r="BV39" i="8"/>
  <c r="BT39" i="8"/>
  <c r="BO39" i="8"/>
  <c r="BL39" i="8"/>
  <c r="EH38" i="8"/>
  <c r="EM64" i="8" s="1"/>
  <c r="EC38" i="8"/>
  <c r="DX38" i="8"/>
  <c r="DS38" i="8"/>
  <c r="DN38" i="8"/>
  <c r="DI38" i="8"/>
  <c r="DD38" i="8"/>
  <c r="CY38" i="8"/>
  <c r="CT38" i="8"/>
  <c r="CO38" i="8"/>
  <c r="CJ38" i="8"/>
  <c r="CE38" i="8"/>
  <c r="BZ38" i="8"/>
  <c r="BU38" i="8"/>
  <c r="BP38" i="8"/>
  <c r="BK38" i="8"/>
  <c r="BF38" i="8"/>
  <c r="BA38" i="8"/>
  <c r="AV38" i="8"/>
  <c r="AQ38" i="8"/>
  <c r="AL38" i="8"/>
  <c r="AG38" i="8"/>
  <c r="AB38" i="8"/>
  <c r="W38" i="8"/>
  <c r="R38" i="8"/>
  <c r="M38" i="8"/>
  <c r="H38" i="8"/>
  <c r="EG33" i="8"/>
  <c r="EE33" i="8"/>
  <c r="ED33" i="8"/>
  <c r="EB33" i="8"/>
  <c r="EA33" i="8"/>
  <c r="DY33" i="8"/>
  <c r="DU33" i="8"/>
  <c r="DT33" i="8"/>
  <c r="DR33" i="8"/>
  <c r="DQ33" i="8"/>
  <c r="DP33" i="8"/>
  <c r="DO33" i="8"/>
  <c r="DM33" i="8"/>
  <c r="DL33" i="8"/>
  <c r="DK33" i="8"/>
  <c r="DJ33" i="8"/>
  <c r="DG33" i="8"/>
  <c r="DF33" i="8"/>
  <c r="BT33" i="8"/>
  <c r="BS33" i="8"/>
  <c r="EF30" i="8"/>
  <c r="CN30" i="8"/>
  <c r="AE30" i="8"/>
  <c r="V30" i="8"/>
  <c r="T30" i="8"/>
  <c r="Q30" i="8"/>
  <c r="EH28" i="8"/>
  <c r="EC28" i="8"/>
  <c r="DX28" i="8"/>
  <c r="DS28" i="8"/>
  <c r="DN28" i="8"/>
  <c r="DD28" i="8"/>
  <c r="CY28" i="8"/>
  <c r="CT28" i="8"/>
  <c r="CJ28" i="8"/>
  <c r="CE28" i="8"/>
  <c r="BZ28" i="8"/>
  <c r="BU28" i="8"/>
  <c r="BP28" i="8"/>
  <c r="BK28" i="8"/>
  <c r="BF28" i="8"/>
  <c r="BA28" i="8"/>
  <c r="AV28" i="8"/>
  <c r="AQ28" i="8"/>
  <c r="AL28" i="8"/>
  <c r="AG28" i="8"/>
  <c r="AB28" i="8"/>
  <c r="W28" i="8"/>
  <c r="R28" i="8"/>
  <c r="M28" i="8"/>
  <c r="H28" i="8"/>
  <c r="EG24" i="8"/>
  <c r="EE24" i="8"/>
  <c r="ED24" i="8"/>
  <c r="EH18" i="8"/>
  <c r="EC18" i="8"/>
  <c r="DX18" i="8"/>
  <c r="DS18" i="8"/>
  <c r="DN18" i="8"/>
  <c r="DI18" i="8"/>
  <c r="DD18" i="8"/>
  <c r="CY18" i="8"/>
  <c r="CT18" i="8"/>
  <c r="CO18" i="8"/>
  <c r="CJ18" i="8"/>
  <c r="CE18" i="8"/>
  <c r="BZ18" i="8"/>
  <c r="BU18" i="8"/>
  <c r="BP18" i="8"/>
  <c r="BK18" i="8"/>
  <c r="BF18" i="8"/>
  <c r="BA18" i="8"/>
  <c r="AV18" i="8"/>
  <c r="AQ18" i="8"/>
  <c r="AL18" i="8"/>
  <c r="AG18" i="8"/>
  <c r="AB18" i="8"/>
  <c r="W18" i="8"/>
  <c r="R18" i="8"/>
  <c r="M18" i="8"/>
  <c r="H18" i="8"/>
  <c r="EG14" i="8"/>
  <c r="EF14" i="8"/>
  <c r="EE14" i="8"/>
  <c r="ED14" i="8"/>
  <c r="EB14" i="8"/>
  <c r="EA14" i="8"/>
  <c r="DZ14" i="8"/>
  <c r="DY14" i="8"/>
  <c r="DW14" i="8"/>
  <c r="DV14" i="8"/>
  <c r="DU14" i="8"/>
  <c r="DT14" i="8"/>
  <c r="DR14" i="8"/>
  <c r="DQ14" i="8"/>
  <c r="DP14" i="8"/>
  <c r="DO14" i="8"/>
  <c r="DM14" i="8"/>
  <c r="DL14" i="8"/>
  <c r="DK14" i="8"/>
  <c r="DJ14" i="8"/>
  <c r="DH14" i="8"/>
  <c r="DG14" i="8"/>
  <c r="DF14" i="8"/>
  <c r="DE14" i="8"/>
  <c r="DC14" i="8"/>
  <c r="DB14" i="8"/>
  <c r="DA14" i="8"/>
  <c r="CZ14" i="8"/>
  <c r="CX14" i="8"/>
  <c r="CW14" i="8"/>
  <c r="CV14" i="8"/>
  <c r="CU14" i="8"/>
  <c r="CS14" i="8"/>
  <c r="CR14" i="8"/>
  <c r="CQ14" i="8"/>
  <c r="CP14" i="8"/>
  <c r="CN14" i="8"/>
  <c r="CM14" i="8"/>
  <c r="CL14" i="8"/>
  <c r="CK14" i="8"/>
  <c r="CI14" i="8"/>
  <c r="CH14" i="8"/>
  <c r="BS14" i="8"/>
  <c r="BR14" i="8"/>
  <c r="BQ14" i="8"/>
  <c r="BO14" i="8"/>
  <c r="BN14" i="8"/>
  <c r="BM14" i="8"/>
  <c r="BL14" i="8"/>
  <c r="BJ14" i="8"/>
  <c r="BI14" i="8"/>
  <c r="BH14" i="8"/>
  <c r="BG14" i="8"/>
  <c r="BE14" i="8"/>
  <c r="BD14" i="8"/>
  <c r="BC14" i="8"/>
  <c r="BB14" i="8"/>
  <c r="AZ14" i="8"/>
  <c r="AY14" i="8"/>
  <c r="AX14" i="8"/>
  <c r="AW14" i="8"/>
  <c r="AU14" i="8"/>
  <c r="AT14" i="8"/>
  <c r="AS14" i="8"/>
  <c r="AR14" i="8"/>
  <c r="AP14" i="8"/>
  <c r="AO14" i="8"/>
  <c r="AN14" i="8"/>
  <c r="AM14" i="8"/>
  <c r="AK14" i="8"/>
  <c r="AJ14" i="8"/>
  <c r="AI14" i="8"/>
  <c r="AH14" i="8"/>
  <c r="AF14" i="8"/>
  <c r="AE14" i="8"/>
  <c r="AD14" i="8"/>
  <c r="AC14" i="8"/>
  <c r="AA14" i="8"/>
  <c r="P14" i="8"/>
  <c r="O14" i="8"/>
  <c r="N14" i="8"/>
  <c r="L14" i="8"/>
  <c r="K14" i="8"/>
  <c r="J14" i="8"/>
  <c r="I14" i="8"/>
  <c r="G14" i="8"/>
  <c r="F14" i="8"/>
  <c r="E14" i="8"/>
  <c r="D14" i="8"/>
  <c r="CG9" i="8"/>
  <c r="CD9" i="8"/>
  <c r="CB9" i="8"/>
  <c r="CA9" i="8"/>
  <c r="BX9" i="8"/>
  <c r="BW9" i="8"/>
  <c r="Z9" i="8"/>
  <c r="Z14" i="8" s="1"/>
  <c r="Y9" i="8"/>
  <c r="Y14" i="8" s="1"/>
  <c r="X9" i="8"/>
  <c r="X14" i="8" s="1"/>
  <c r="V9" i="8"/>
  <c r="V14" i="8" s="1"/>
  <c r="U9" i="8"/>
  <c r="U14" i="8" s="1"/>
  <c r="T9" i="8"/>
  <c r="T14" i="8" s="1"/>
  <c r="S9" i="8"/>
  <c r="S14" i="8" s="1"/>
  <c r="Q9" i="8"/>
  <c r="Q14" i="8" s="1"/>
  <c r="EH8" i="8"/>
  <c r="EC8" i="8"/>
  <c r="DX8" i="8"/>
  <c r="DS8" i="8"/>
  <c r="DN8" i="8"/>
  <c r="DI8" i="8"/>
  <c r="DD8" i="8"/>
  <c r="CY8" i="8"/>
  <c r="CT8" i="8"/>
  <c r="CY42" i="9" s="1"/>
  <c r="CO8" i="8"/>
  <c r="CT42" i="9" s="1"/>
  <c r="CJ8" i="8"/>
  <c r="CO42" i="9" s="1"/>
  <c r="CG8" i="8"/>
  <c r="CG14" i="8" s="1"/>
  <c r="CC8" i="8"/>
  <c r="CA8" i="8"/>
  <c r="BY8" i="8"/>
  <c r="BV8" i="8"/>
  <c r="BW42" i="9" s="1"/>
  <c r="BP8" i="8"/>
  <c r="BU42" i="9" s="1"/>
  <c r="BK8" i="8"/>
  <c r="BP42" i="9" s="1"/>
  <c r="BF8" i="8"/>
  <c r="BK42" i="9" s="1"/>
  <c r="BA8" i="8"/>
  <c r="BF42" i="9" s="1"/>
  <c r="AV8" i="8"/>
  <c r="BA42" i="9" s="1"/>
  <c r="AQ8" i="8"/>
  <c r="AV42" i="9" s="1"/>
  <c r="AL8" i="8"/>
  <c r="AQ42" i="9" s="1"/>
  <c r="AG8" i="8"/>
  <c r="AL42" i="9" s="1"/>
  <c r="AB8" i="8"/>
  <c r="AG42" i="9" s="1"/>
  <c r="W8" i="8"/>
  <c r="AB42" i="9" s="1"/>
  <c r="R8" i="8"/>
  <c r="W42" i="9" s="1"/>
  <c r="M8" i="8"/>
  <c r="R42" i="9" s="1"/>
  <c r="H8" i="8"/>
  <c r="M42" i="9" s="1"/>
  <c r="BS62" i="172"/>
  <c r="AI10" i="9"/>
  <c r="BC10" i="9"/>
  <c r="BD10" i="9" s="1"/>
  <c r="AN17" i="9"/>
  <c r="BC17" i="9"/>
  <c r="BC18" i="9"/>
  <c r="BD18" i="9" s="1"/>
  <c r="BX26" i="9"/>
  <c r="BY26" i="9" s="1"/>
  <c r="CE28" i="9"/>
  <c r="BX28" i="9"/>
  <c r="BH37" i="9"/>
  <c r="CE38" i="9"/>
  <c r="BX38" i="9"/>
  <c r="BY38" i="9" s="1"/>
  <c r="BZ38" i="9" s="1"/>
  <c r="BR38" i="9"/>
  <c r="BS38" i="9" s="1"/>
  <c r="EZ22" i="123"/>
  <c r="FA22" i="123" s="1"/>
  <c r="FA6" i="123"/>
  <c r="EZ6" i="123"/>
  <c r="EY6" i="123"/>
  <c r="EX6" i="123"/>
  <c r="FB6" i="12"/>
  <c r="FA6" i="12"/>
  <c r="EZ6" i="12"/>
  <c r="EY6" i="12"/>
  <c r="EX6" i="12"/>
  <c r="FB5" i="135"/>
  <c r="FB41" i="135" s="1"/>
  <c r="FB52" i="135" s="1"/>
  <c r="FB163" i="135" s="1"/>
  <c r="FA5" i="135"/>
  <c r="FA41" i="135" s="1"/>
  <c r="FA52" i="135" s="1"/>
  <c r="FA163" i="135" s="1"/>
  <c r="EZ5" i="135"/>
  <c r="EZ41" i="135" s="1"/>
  <c r="EZ52" i="135" s="1"/>
  <c r="EZ163" i="135" s="1"/>
  <c r="EY5" i="135"/>
  <c r="EY41" i="135" s="1"/>
  <c r="EY52" i="135" s="1"/>
  <c r="EY163" i="135" s="1"/>
  <c r="EX5" i="135"/>
  <c r="EX41" i="135" s="1"/>
  <c r="EX52" i="135" s="1"/>
  <c r="EX163" i="135" s="1"/>
  <c r="BN218" i="171"/>
  <c r="BM218" i="171"/>
  <c r="BL218" i="171"/>
  <c r="BK218" i="171"/>
  <c r="BL163" i="171"/>
  <c r="BN158" i="171"/>
  <c r="BM158" i="171"/>
  <c r="BL158" i="171"/>
  <c r="BK158" i="171"/>
  <c r="BL145" i="171"/>
  <c r="BM145" i="171" s="1"/>
  <c r="BN53" i="171"/>
  <c r="BM53" i="171"/>
  <c r="BL53" i="171"/>
  <c r="BK53" i="171"/>
  <c r="CM409" i="172"/>
  <c r="CL409" i="172"/>
  <c r="CK409" i="172"/>
  <c r="CM406" i="172"/>
  <c r="CL406" i="172"/>
  <c r="CK406" i="172"/>
  <c r="CJ406" i="172"/>
  <c r="CN405" i="172"/>
  <c r="CN406" i="172" s="1"/>
  <c r="CN291" i="172"/>
  <c r="CN263" i="172"/>
  <c r="CM260" i="172"/>
  <c r="CR261" i="172" s="1"/>
  <c r="CM214" i="172"/>
  <c r="CR215" i="172" s="1"/>
  <c r="CL214" i="172"/>
  <c r="CQ215" i="172" s="1"/>
  <c r="CM210" i="172"/>
  <c r="CR212" i="172" s="1"/>
  <c r="CN196" i="172"/>
  <c r="CM140" i="172"/>
  <c r="CM197" i="172" s="1"/>
  <c r="CN7" i="172"/>
  <c r="CN451" i="172" s="1"/>
  <c r="CM7" i="172"/>
  <c r="CM451" i="172" s="1"/>
  <c r="CL7" i="172"/>
  <c r="CL451" i="172" s="1"/>
  <c r="CK7" i="172"/>
  <c r="CK451" i="172" s="1"/>
  <c r="CJ7" i="172"/>
  <c r="CJ451" i="172" s="1"/>
  <c r="FB6" i="9"/>
  <c r="FA6" i="9"/>
  <c r="EZ6" i="9"/>
  <c r="EY6" i="9"/>
  <c r="EX6" i="9"/>
  <c r="FB6" i="8"/>
  <c r="FA6" i="8"/>
  <c r="EZ6" i="8"/>
  <c r="EY6" i="8"/>
  <c r="EX6" i="8"/>
  <c r="BF33" i="189" l="1"/>
  <c r="BG112" i="189"/>
  <c r="ET89" i="135"/>
  <c r="EU89" i="135" s="1"/>
  <c r="EV89" i="135" s="1"/>
  <c r="EW89" i="135" s="1"/>
  <c r="EX89" i="135" s="1"/>
  <c r="EY89" i="135" s="1"/>
  <c r="EZ89" i="135" s="1"/>
  <c r="FA89" i="135" s="1"/>
  <c r="FB89" i="135" s="1"/>
  <c r="FC89" i="135" s="1"/>
  <c r="FD89" i="135" s="1"/>
  <c r="FE89" i="135" s="1"/>
  <c r="FF89" i="135" s="1"/>
  <c r="FG89" i="135" s="1"/>
  <c r="FH89" i="135" s="1"/>
  <c r="FI89" i="135" s="1"/>
  <c r="FJ89" i="135" s="1"/>
  <c r="FK89" i="135" s="1"/>
  <c r="FL89" i="135" s="1"/>
  <c r="R329" i="172"/>
  <c r="P329" i="172"/>
  <c r="F329" i="172"/>
  <c r="DK59" i="135"/>
  <c r="EM42" i="9"/>
  <c r="EM43" i="9" s="1"/>
  <c r="EI42" i="9"/>
  <c r="EI43" i="9" s="1"/>
  <c r="BC33" i="189"/>
  <c r="EV136" i="135" s="1"/>
  <c r="BH110" i="189"/>
  <c r="BA33" i="189"/>
  <c r="ET136" i="135" s="1"/>
  <c r="AJ340" i="189"/>
  <c r="AS180" i="171"/>
  <c r="AW180" i="171" s="1"/>
  <c r="BB180" i="171" s="1"/>
  <c r="BG180" i="171" s="1"/>
  <c r="BL180" i="171" s="1"/>
  <c r="BQ180" i="171" s="1"/>
  <c r="BV180" i="171" s="1"/>
  <c r="AK312" i="189"/>
  <c r="AK341" i="189"/>
  <c r="AP180" i="171"/>
  <c r="AT180" i="171" s="1"/>
  <c r="AX180" i="171" s="1"/>
  <c r="BC180" i="171" s="1"/>
  <c r="BH180" i="171" s="1"/>
  <c r="BM180" i="171" s="1"/>
  <c r="BR180" i="171" s="1"/>
  <c r="BW180" i="171" s="1"/>
  <c r="AH312" i="189"/>
  <c r="AY18" i="171"/>
  <c r="AW342" i="189"/>
  <c r="AL341" i="189"/>
  <c r="AQ180" i="171"/>
  <c r="AU180" i="171" s="1"/>
  <c r="AY180" i="171" s="1"/>
  <c r="BD180" i="171" s="1"/>
  <c r="BI180" i="171" s="1"/>
  <c r="BN180" i="171" s="1"/>
  <c r="BS180" i="171" s="1"/>
  <c r="BX180" i="171" s="1"/>
  <c r="AI312" i="189"/>
  <c r="AJ180" i="171"/>
  <c r="AE312" i="189"/>
  <c r="AE376" i="189" s="1"/>
  <c r="EZ43" i="12"/>
  <c r="EZ46" i="12" s="1"/>
  <c r="EZ54" i="12" s="1"/>
  <c r="H329" i="172"/>
  <c r="C359" i="172"/>
  <c r="CA202" i="171"/>
  <c r="Z329" i="172"/>
  <c r="CA14" i="8"/>
  <c r="AU33" i="175"/>
  <c r="AZ110" i="175"/>
  <c r="BY110" i="175" s="1"/>
  <c r="K329" i="172"/>
  <c r="B329" i="172"/>
  <c r="BM45" i="7"/>
  <c r="T45" i="7"/>
  <c r="AN45" i="7"/>
  <c r="BH45" i="7"/>
  <c r="AS45" i="7"/>
  <c r="J45" i="7"/>
  <c r="AD45" i="7"/>
  <c r="AX45" i="7"/>
  <c r="Y45" i="7"/>
  <c r="O45" i="7"/>
  <c r="AI45" i="7"/>
  <c r="BC45" i="7"/>
  <c r="AT111" i="175"/>
  <c r="EY43" i="12"/>
  <c r="EY46" i="12" s="1"/>
  <c r="EY54" i="12" s="1"/>
  <c r="W64" i="8"/>
  <c r="AQ64" i="8"/>
  <c r="N329" i="172"/>
  <c r="I329" i="172"/>
  <c r="DH43" i="135"/>
  <c r="EF89" i="135"/>
  <c r="EJ90" i="135"/>
  <c r="EB88" i="135"/>
  <c r="EI89" i="135"/>
  <c r="EF91" i="135"/>
  <c r="EF88" i="135"/>
  <c r="EJ89" i="135"/>
  <c r="EJ91" i="135"/>
  <c r="AP328" i="175"/>
  <c r="AQ330" i="175"/>
  <c r="AQ418" i="175" s="1"/>
  <c r="AV33" i="175"/>
  <c r="BK64" i="8"/>
  <c r="CE64" i="8"/>
  <c r="E329" i="172"/>
  <c r="J329" i="172"/>
  <c r="O329" i="172"/>
  <c r="DI181" i="172"/>
  <c r="DJ185" i="172"/>
  <c r="AV112" i="175"/>
  <c r="AA330" i="172"/>
  <c r="DK181" i="172"/>
  <c r="DI189" i="172"/>
  <c r="BC288" i="172"/>
  <c r="DI185" i="172"/>
  <c r="DK185" i="172"/>
  <c r="Q330" i="172"/>
  <c r="G330" i="172"/>
  <c r="BT80" i="172"/>
  <c r="DJ181" i="172"/>
  <c r="BI37" i="9"/>
  <c r="BJ37" i="9" s="1"/>
  <c r="FU28" i="9"/>
  <c r="FA28" i="9"/>
  <c r="FA43" i="12" s="1"/>
  <c r="FA46" i="12" s="1"/>
  <c r="FA61" i="12" s="1"/>
  <c r="EX61" i="12"/>
  <c r="EX54" i="12"/>
  <c r="EX53" i="12"/>
  <c r="EX67" i="12" s="1"/>
  <c r="EX11" i="12" s="1"/>
  <c r="EZ61" i="12"/>
  <c r="CY64" i="8"/>
  <c r="DS64" i="8"/>
  <c r="BY28" i="9"/>
  <c r="FS28" i="9" s="1"/>
  <c r="BE18" i="9"/>
  <c r="BF18" i="9" s="1"/>
  <c r="BM163" i="171"/>
  <c r="BL127" i="171"/>
  <c r="BL174" i="171" s="1"/>
  <c r="FS38" i="9"/>
  <c r="BP62" i="172"/>
  <c r="BT38" i="9"/>
  <c r="BU38" i="9" s="1"/>
  <c r="BQ62" i="172"/>
  <c r="BR62" i="172"/>
  <c r="CB42" i="9"/>
  <c r="CB81" i="8"/>
  <c r="DI42" i="9"/>
  <c r="DE42" i="9"/>
  <c r="EC42" i="9"/>
  <c r="DY42" i="9"/>
  <c r="AL64" i="8"/>
  <c r="BF64" i="8"/>
  <c r="BZ64" i="8"/>
  <c r="CT64" i="8"/>
  <c r="DN64" i="8"/>
  <c r="EH64" i="8"/>
  <c r="Q18" i="9"/>
  <c r="R18" i="9" s="1"/>
  <c r="CD42" i="9"/>
  <c r="DN42" i="9"/>
  <c r="DJ42" i="9"/>
  <c r="EH42" i="9"/>
  <c r="ED42" i="9"/>
  <c r="V18" i="9"/>
  <c r="W18" i="9" s="1"/>
  <c r="CA42" i="9"/>
  <c r="DS42" i="9"/>
  <c r="DO42" i="9"/>
  <c r="AB64" i="8"/>
  <c r="AV64" i="8"/>
  <c r="BP64" i="8"/>
  <c r="CJ64" i="8"/>
  <c r="DD64" i="8"/>
  <c r="DX64" i="8"/>
  <c r="G18" i="9"/>
  <c r="H18" i="9" s="1"/>
  <c r="AA18" i="9"/>
  <c r="AB18" i="9" s="1"/>
  <c r="AU18" i="9"/>
  <c r="AV18" i="9" s="1"/>
  <c r="BZ8" i="8"/>
  <c r="CE42" i="9" s="1"/>
  <c r="CH42" i="9"/>
  <c r="CH81" i="8"/>
  <c r="CH82" i="8"/>
  <c r="DD42" i="9"/>
  <c r="DX42" i="9"/>
  <c r="DT42" i="9"/>
  <c r="AG64" i="8"/>
  <c r="BA64" i="8"/>
  <c r="BU64" i="8"/>
  <c r="CO64" i="8"/>
  <c r="DI64" i="8"/>
  <c r="DK64" i="8"/>
  <c r="EC64" i="8"/>
  <c r="L18" i="9"/>
  <c r="M18" i="9" s="1"/>
  <c r="AF18" i="9"/>
  <c r="AG18" i="9" s="1"/>
  <c r="BJ18" i="9"/>
  <c r="BK18" i="9" s="1"/>
  <c r="BO18" i="9"/>
  <c r="FQ18" i="9" s="1"/>
  <c r="BT18" i="9"/>
  <c r="BU18" i="9" s="1"/>
  <c r="G28" i="9"/>
  <c r="Q28" i="9"/>
  <c r="V28" i="9"/>
  <c r="AA28" i="9"/>
  <c r="AK28" i="9"/>
  <c r="AP28" i="9"/>
  <c r="AQ28" i="9" s="1"/>
  <c r="AU28" i="9"/>
  <c r="BE28" i="9"/>
  <c r="BJ28" i="9"/>
  <c r="BK28" i="9" s="1"/>
  <c r="BO28" i="9"/>
  <c r="GF28" i="9"/>
  <c r="CI33" i="9"/>
  <c r="BO38" i="9"/>
  <c r="BP38" i="9" s="1"/>
  <c r="AW39" i="9"/>
  <c r="DK84" i="172"/>
  <c r="CM183" i="172"/>
  <c r="BL33" i="9"/>
  <c r="CJ187" i="172"/>
  <c r="CO187" i="172" s="1"/>
  <c r="F8" i="9"/>
  <c r="K8" i="9"/>
  <c r="P8" i="9"/>
  <c r="U8" i="9"/>
  <c r="Z8" i="9"/>
  <c r="AE8" i="9"/>
  <c r="AE44" i="7" s="1"/>
  <c r="AJ8" i="9"/>
  <c r="AO8" i="9"/>
  <c r="AT8" i="9"/>
  <c r="AT44" i="7" s="1"/>
  <c r="AY8" i="9"/>
  <c r="AY44" i="7" s="1"/>
  <c r="BD8" i="9"/>
  <c r="BD44" i="7" s="1"/>
  <c r="BI8" i="9"/>
  <c r="BN8" i="9"/>
  <c r="BN44" i="7" s="1"/>
  <c r="BS8" i="9"/>
  <c r="FZ18" i="9"/>
  <c r="BM30" i="9"/>
  <c r="F38" i="9"/>
  <c r="K38" i="9"/>
  <c r="P38" i="9"/>
  <c r="U38" i="9"/>
  <c r="V38" i="9" s="1"/>
  <c r="Z38" i="9"/>
  <c r="AE38" i="9"/>
  <c r="AJ38" i="9"/>
  <c r="AK38" i="9" s="1"/>
  <c r="AO38" i="9"/>
  <c r="AT38" i="9"/>
  <c r="AX38" i="9"/>
  <c r="AY38" i="9" s="1"/>
  <c r="CJ38" i="9"/>
  <c r="CK187" i="172"/>
  <c r="CP187" i="172" s="1"/>
  <c r="BY18" i="9"/>
  <c r="BZ18" i="9" s="1"/>
  <c r="K28" i="9"/>
  <c r="AE28" i="9"/>
  <c r="AF28" i="9" s="1"/>
  <c r="AY28" i="9"/>
  <c r="AZ28" i="9" s="1"/>
  <c r="BS28" i="9"/>
  <c r="BY35" i="9"/>
  <c r="GD38" i="9"/>
  <c r="CH183" i="172"/>
  <c r="BK283" i="172"/>
  <c r="BT70" i="172"/>
  <c r="BO80" i="172"/>
  <c r="BJ282" i="172"/>
  <c r="BB33" i="175"/>
  <c r="BB112" i="175"/>
  <c r="CH187" i="172"/>
  <c r="CL187" i="172"/>
  <c r="CQ187" i="172" s="1"/>
  <c r="BC112" i="175"/>
  <c r="BJ281" i="172"/>
  <c r="BF288" i="172"/>
  <c r="V330" i="172"/>
  <c r="AX33" i="175"/>
  <c r="BX110" i="175"/>
  <c r="BX111" i="175" s="1"/>
  <c r="AW112" i="175"/>
  <c r="AT222" i="175"/>
  <c r="AP414" i="175"/>
  <c r="AX112" i="175"/>
  <c r="AS321" i="175"/>
  <c r="AS392" i="175" s="1"/>
  <c r="AN392" i="175"/>
  <c r="AL414" i="175"/>
  <c r="AQ328" i="175"/>
  <c r="BW328" i="175" s="1"/>
  <c r="L330" i="172"/>
  <c r="AU112" i="175"/>
  <c r="AY221" i="175"/>
  <c r="AY222" i="175" s="1"/>
  <c r="AR414" i="175"/>
  <c r="AY110" i="175"/>
  <c r="AY111" i="175" s="1"/>
  <c r="AO328" i="175"/>
  <c r="AS328" i="175"/>
  <c r="AP330" i="175"/>
  <c r="AM414" i="175"/>
  <c r="AK418" i="175"/>
  <c r="AN414" i="175"/>
  <c r="AR330" i="175"/>
  <c r="AO330" i="175"/>
  <c r="AS330" i="175"/>
  <c r="AS174" i="171"/>
  <c r="EK88" i="135"/>
  <c r="EG90" i="135"/>
  <c r="EB91" i="135"/>
  <c r="EG88" i="135"/>
  <c r="EB90" i="135"/>
  <c r="EH85" i="135"/>
  <c r="EH88" i="135" s="1"/>
  <c r="ED89" i="135"/>
  <c r="ED90" i="135"/>
  <c r="EK91" i="135"/>
  <c r="EE90" i="135"/>
  <c r="EE88" i="135"/>
  <c r="EI90" i="135"/>
  <c r="EI88" i="135"/>
  <c r="ED88" i="135"/>
  <c r="EE89" i="135"/>
  <c r="EK90" i="135"/>
  <c r="EG91" i="135"/>
  <c r="DU170" i="135"/>
  <c r="BL69" i="171"/>
  <c r="BK69" i="171"/>
  <c r="BN145" i="171"/>
  <c r="CM262" i="172"/>
  <c r="EZ53" i="12" l="1"/>
  <c r="EZ67" i="12" s="1"/>
  <c r="EZ11" i="12" s="1"/>
  <c r="CQ186" i="172"/>
  <c r="CQ185" i="172" s="1"/>
  <c r="CV187" i="172"/>
  <c r="CV186" i="172" s="1"/>
  <c r="CP186" i="172"/>
  <c r="CP185" i="172" s="1"/>
  <c r="CU187" i="172"/>
  <c r="CU186" i="172" s="1"/>
  <c r="CO186" i="172"/>
  <c r="CO190" i="172" s="1"/>
  <c r="CT187" i="172"/>
  <c r="CT186" i="172" s="1"/>
  <c r="ET131" i="135"/>
  <c r="BA112" i="175"/>
  <c r="BB112" i="189"/>
  <c r="BB33" i="189"/>
  <c r="EU136" i="135" s="1"/>
  <c r="BM110" i="189"/>
  <c r="BH33" i="189"/>
  <c r="BK110" i="189"/>
  <c r="BC112" i="189"/>
  <c r="AI376" i="189"/>
  <c r="AI384" i="189" s="1"/>
  <c r="AN312" i="189"/>
  <c r="AI315" i="189"/>
  <c r="AI317" i="189" s="1"/>
  <c r="AN317" i="189" s="1"/>
  <c r="BA18" i="171"/>
  <c r="BB18" i="171" s="1"/>
  <c r="BC18" i="171" s="1"/>
  <c r="BD18" i="171" s="1"/>
  <c r="BF18" i="171" s="1"/>
  <c r="AX342" i="189"/>
  <c r="AX342" i="175"/>
  <c r="AH376" i="189"/>
  <c r="AM312" i="189"/>
  <c r="AK376" i="189"/>
  <c r="AP312" i="189"/>
  <c r="AN180" i="171"/>
  <c r="AR180" i="171" s="1"/>
  <c r="AV180" i="171" s="1"/>
  <c r="BA180" i="171" s="1"/>
  <c r="BF180" i="171" s="1"/>
  <c r="BK180" i="171" s="1"/>
  <c r="AF312" i="189"/>
  <c r="GI28" i="9"/>
  <c r="EF92" i="135"/>
  <c r="EX69" i="12"/>
  <c r="EX29" i="12" s="1"/>
  <c r="EZ69" i="12"/>
  <c r="EZ29" i="12" s="1"/>
  <c r="EY69" i="12"/>
  <c r="EY29" i="12" s="1"/>
  <c r="BY111" i="175"/>
  <c r="FA53" i="12"/>
  <c r="FA67" i="12" s="1"/>
  <c r="FA11" i="12" s="1"/>
  <c r="AZ33" i="175"/>
  <c r="AZ112" i="175"/>
  <c r="EJ92" i="135"/>
  <c r="BD45" i="7"/>
  <c r="BJ8" i="9"/>
  <c r="BJ44" i="7" s="1"/>
  <c r="BI44" i="7"/>
  <c r="BN45" i="7" s="1"/>
  <c r="AP8" i="9"/>
  <c r="AP44" i="7" s="1"/>
  <c r="AO44" i="7"/>
  <c r="AT45" i="7" s="1"/>
  <c r="V8" i="9"/>
  <c r="V44" i="7" s="1"/>
  <c r="U44" i="7"/>
  <c r="AK8" i="9"/>
  <c r="AJ44" i="7"/>
  <c r="BT8" i="9"/>
  <c r="BU8" i="9" s="1"/>
  <c r="AY45" i="7"/>
  <c r="L8" i="9"/>
  <c r="L44" i="7" s="1"/>
  <c r="K44" i="7"/>
  <c r="Q8" i="9"/>
  <c r="P44" i="7"/>
  <c r="AA8" i="9"/>
  <c r="AA44" i="7" s="1"/>
  <c r="Z44" i="7"/>
  <c r="G8" i="9"/>
  <c r="G44" i="7" s="1"/>
  <c r="F44" i="7"/>
  <c r="EY61" i="12"/>
  <c r="FA54" i="12"/>
  <c r="EY53" i="12"/>
  <c r="EY67" i="12" s="1"/>
  <c r="EY11" i="12" s="1"/>
  <c r="EB92" i="135"/>
  <c r="EG92" i="135"/>
  <c r="EE92" i="135"/>
  <c r="FO18" i="9"/>
  <c r="FB28" i="9"/>
  <c r="AZ38" i="9"/>
  <c r="BA38" i="9" s="1"/>
  <c r="EI92" i="135"/>
  <c r="EH90" i="135"/>
  <c r="BW330" i="175"/>
  <c r="AL38" i="9"/>
  <c r="GG28" i="9"/>
  <c r="FS18" i="9"/>
  <c r="AF38" i="9"/>
  <c r="FR18" i="9"/>
  <c r="G38" i="9"/>
  <c r="W28" i="9"/>
  <c r="AL28" i="9"/>
  <c r="FP18" i="9"/>
  <c r="FR38" i="9"/>
  <c r="EK92" i="135"/>
  <c r="EM88" i="135"/>
  <c r="ER88" i="135" s="1"/>
  <c r="ES88" i="135" s="1"/>
  <c r="EH89" i="135"/>
  <c r="AP418" i="175"/>
  <c r="AT330" i="175"/>
  <c r="FR8" i="9"/>
  <c r="BT28" i="9"/>
  <c r="FR28" i="9" s="1"/>
  <c r="L28" i="9"/>
  <c r="Q38" i="9"/>
  <c r="L38" i="9"/>
  <c r="AV28" i="9"/>
  <c r="H28" i="9"/>
  <c r="FQ38" i="9"/>
  <c r="AZ8" i="9"/>
  <c r="AP38" i="9"/>
  <c r="AQ38" i="9" s="1"/>
  <c r="BF28" i="9"/>
  <c r="EH91" i="135"/>
  <c r="AQ414" i="175"/>
  <c r="AT328" i="175"/>
  <c r="BD110" i="175"/>
  <c r="BD111" i="175" s="1"/>
  <c r="CM187" i="172"/>
  <c r="CR187" i="172" s="1"/>
  <c r="BA28" i="9"/>
  <c r="BP28" i="9"/>
  <c r="AU38" i="9"/>
  <c r="BP18" i="9"/>
  <c r="AF8" i="9"/>
  <c r="R28" i="9"/>
  <c r="BO8" i="9"/>
  <c r="BO44" i="7" s="1"/>
  <c r="BZ28" i="9"/>
  <c r="ED92" i="135"/>
  <c r="AS418" i="175"/>
  <c r="AR418" i="175"/>
  <c r="AS414" i="175"/>
  <c r="AG28" i="9"/>
  <c r="W38" i="9"/>
  <c r="EV28" i="9"/>
  <c r="GH28" i="9" s="1"/>
  <c r="FQ28" i="9"/>
  <c r="AB28" i="9"/>
  <c r="BE8" i="9"/>
  <c r="BE44" i="7" s="1"/>
  <c r="AA38" i="9"/>
  <c r="FP28" i="9"/>
  <c r="FO28" i="9"/>
  <c r="AU8" i="9"/>
  <c r="AU44" i="7" s="1"/>
  <c r="AV44" i="7" s="1"/>
  <c r="BN163" i="171"/>
  <c r="BN127" i="171" s="1"/>
  <c r="BN174" i="171" s="1"/>
  <c r="BM127" i="171"/>
  <c r="BM174" i="171" s="1"/>
  <c r="BM69" i="171"/>
  <c r="BI18" i="171" l="1"/>
  <c r="BK18" i="171" s="1"/>
  <c r="BL18" i="171" s="1"/>
  <c r="BM18" i="171" s="1"/>
  <c r="BN18" i="171" s="1"/>
  <c r="BG18" i="171"/>
  <c r="BH18" i="171" s="1"/>
  <c r="CO185" i="172"/>
  <c r="EU137" i="135"/>
  <c r="EU131" i="135"/>
  <c r="EU133" i="135" s="1"/>
  <c r="EU138" i="135"/>
  <c r="ET88" i="135"/>
  <c r="EU88" i="135" s="1"/>
  <c r="EV88" i="135" s="1"/>
  <c r="EW88" i="135" s="1"/>
  <c r="EX88" i="135" s="1"/>
  <c r="EY88" i="135" s="1"/>
  <c r="EZ88" i="135" s="1"/>
  <c r="FA88" i="135" s="1"/>
  <c r="FB88" i="135" s="1"/>
  <c r="FC88" i="135" s="1"/>
  <c r="FD88" i="135" s="1"/>
  <c r="FE88" i="135" s="1"/>
  <c r="FF88" i="135" s="1"/>
  <c r="FG88" i="135" s="1"/>
  <c r="FH88" i="135" s="1"/>
  <c r="FI88" i="135" s="1"/>
  <c r="FJ88" i="135" s="1"/>
  <c r="FK88" i="135" s="1"/>
  <c r="FL88" i="135" s="1"/>
  <c r="CQ190" i="172"/>
  <c r="CP190" i="172"/>
  <c r="CU185" i="172"/>
  <c r="CU190" i="172"/>
  <c r="CR186" i="172"/>
  <c r="CS186" i="172" s="1"/>
  <c r="CS190" i="172" s="1"/>
  <c r="CW187" i="172"/>
  <c r="CT185" i="172"/>
  <c r="CT190" i="172"/>
  <c r="CV185" i="172"/>
  <c r="CV190" i="172"/>
  <c r="AO312" i="189"/>
  <c r="AQ8" i="9"/>
  <c r="BP110" i="189"/>
  <c r="BU110" i="189" s="1"/>
  <c r="BK33" i="189"/>
  <c r="BR110" i="189"/>
  <c r="BM33" i="189"/>
  <c r="BE110" i="189"/>
  <c r="BD110" i="189"/>
  <c r="AZ33" i="189"/>
  <c r="CD110" i="189"/>
  <c r="CD111" i="189" s="1"/>
  <c r="BA112" i="189"/>
  <c r="BL110" i="189"/>
  <c r="BH112" i="189"/>
  <c r="DE180" i="171"/>
  <c r="CJ409" i="172" s="1"/>
  <c r="CN409" i="172" s="1"/>
  <c r="AM376" i="189"/>
  <c r="AR312" i="189"/>
  <c r="AT312" i="189" s="1"/>
  <c r="CB312" i="189"/>
  <c r="AN315" i="189"/>
  <c r="AN311" i="189" s="1"/>
  <c r="AN373" i="189" s="1"/>
  <c r="AS317" i="189"/>
  <c r="AS315" i="189" s="1"/>
  <c r="AS311" i="189" s="1"/>
  <c r="AS373" i="189" s="1"/>
  <c r="AF376" i="189"/>
  <c r="AJ376" i="189" s="1"/>
  <c r="AJ377" i="189" s="1"/>
  <c r="AJ312" i="189"/>
  <c r="AP376" i="189"/>
  <c r="AN376" i="189"/>
  <c r="AO376" i="189" s="1"/>
  <c r="BP180" i="171"/>
  <c r="BU180" i="171" s="1"/>
  <c r="CM180" i="171"/>
  <c r="AI385" i="189"/>
  <c r="AB8" i="9"/>
  <c r="FA69" i="12"/>
  <c r="FA29" i="12" s="1"/>
  <c r="FB29" i="12" s="1"/>
  <c r="BK8" i="9"/>
  <c r="FP8" i="9"/>
  <c r="FO44" i="7" s="1"/>
  <c r="W8" i="9"/>
  <c r="FB11" i="12"/>
  <c r="M8" i="9"/>
  <c r="BO45" i="7"/>
  <c r="BP44" i="7"/>
  <c r="H44" i="7"/>
  <c r="R8" i="9"/>
  <c r="Q44" i="7"/>
  <c r="Q45" i="7" s="1"/>
  <c r="AL8" i="9"/>
  <c r="AK44" i="7"/>
  <c r="AP45" i="7" s="1"/>
  <c r="AU45" i="7"/>
  <c r="U45" i="7"/>
  <c r="W44" i="7"/>
  <c r="H8" i="9"/>
  <c r="Z45" i="7"/>
  <c r="AB44" i="7"/>
  <c r="BF44" i="7"/>
  <c r="L45" i="7"/>
  <c r="BJ45" i="7"/>
  <c r="K45" i="7"/>
  <c r="M44" i="7"/>
  <c r="BI45" i="7"/>
  <c r="BK44" i="7"/>
  <c r="AG8" i="9"/>
  <c r="AF44" i="7"/>
  <c r="BA8" i="9"/>
  <c r="AZ44" i="7"/>
  <c r="AA45" i="7"/>
  <c r="P45" i="7"/>
  <c r="AE45" i="7"/>
  <c r="AJ45" i="7"/>
  <c r="AO45" i="7"/>
  <c r="AQ44" i="7"/>
  <c r="EH92" i="135"/>
  <c r="BF8" i="9"/>
  <c r="M38" i="9"/>
  <c r="EW28" i="9"/>
  <c r="FQ8" i="9"/>
  <c r="AV38" i="9"/>
  <c r="AV8" i="9"/>
  <c r="FO8" i="9"/>
  <c r="FN44" i="7" s="1"/>
  <c r="H38" i="9"/>
  <c r="BZ110" i="175"/>
  <c r="R38" i="9"/>
  <c r="M28" i="9"/>
  <c r="AB38" i="9"/>
  <c r="BU28" i="9"/>
  <c r="AG38" i="9"/>
  <c r="BP8" i="9"/>
  <c r="BN69" i="171"/>
  <c r="CR190" i="172" l="1"/>
  <c r="CS187" i="172"/>
  <c r="CS185" i="172"/>
  <c r="CR185" i="172"/>
  <c r="BR33" i="189"/>
  <c r="BW110" i="189"/>
  <c r="BU33" i="189"/>
  <c r="BE33" i="189"/>
  <c r="BF112" i="189"/>
  <c r="BM112" i="189"/>
  <c r="BQ110" i="189"/>
  <c r="BL112" i="189"/>
  <c r="BL33" i="189"/>
  <c r="BD33" i="189"/>
  <c r="CD33" i="189"/>
  <c r="CE110" i="189"/>
  <c r="CE111" i="189" s="1"/>
  <c r="BI110" i="189"/>
  <c r="BI111" i="189" s="1"/>
  <c r="BE112" i="189"/>
  <c r="BJ110" i="189"/>
  <c r="BP33" i="189"/>
  <c r="AK377" i="189"/>
  <c r="AN377" i="189"/>
  <c r="AS377" i="189"/>
  <c r="AS374" i="189"/>
  <c r="AX373" i="189"/>
  <c r="AX384" i="189" s="1"/>
  <c r="AS384" i="189"/>
  <c r="CB376" i="189"/>
  <c r="AM377" i="189"/>
  <c r="AR376" i="189"/>
  <c r="AT376" i="189" s="1"/>
  <c r="AT377" i="189" s="1"/>
  <c r="AO377" i="189"/>
  <c r="AN384" i="189"/>
  <c r="AN374" i="189"/>
  <c r="AP377" i="189"/>
  <c r="AU376" i="189"/>
  <c r="FO45" i="7"/>
  <c r="BZ111" i="175"/>
  <c r="AL44" i="7"/>
  <c r="AQ45" i="7" s="1"/>
  <c r="R44" i="7"/>
  <c r="R45" i="7" s="1"/>
  <c r="AB45" i="7"/>
  <c r="V45" i="7"/>
  <c r="M45" i="7"/>
  <c r="AZ45" i="7"/>
  <c r="BA44" i="7"/>
  <c r="BA45" i="7" s="1"/>
  <c r="BK45" i="7"/>
  <c r="BE45" i="7"/>
  <c r="BP45" i="7"/>
  <c r="AF45" i="7"/>
  <c r="AG44" i="7"/>
  <c r="AG45" i="7" s="1"/>
  <c r="AK45" i="7"/>
  <c r="AV45" i="7"/>
  <c r="BV110" i="189" l="1"/>
  <c r="BW112" i="189" s="1"/>
  <c r="BW33" i="189"/>
  <c r="BN110" i="189"/>
  <c r="BN111" i="189" s="1"/>
  <c r="BO110" i="189"/>
  <c r="BT110" i="189" s="1"/>
  <c r="BJ33" i="189"/>
  <c r="BJ112" i="189"/>
  <c r="CF110" i="189"/>
  <c r="CF111" i="189" s="1"/>
  <c r="BK112" i="189"/>
  <c r="BR112" i="189"/>
  <c r="BQ112" i="189"/>
  <c r="BQ33" i="189"/>
  <c r="BI33" i="189"/>
  <c r="CE33" i="189"/>
  <c r="AU312" i="189"/>
  <c r="AS385" i="189"/>
  <c r="AN385" i="189"/>
  <c r="CC376" i="189"/>
  <c r="AW376" i="189"/>
  <c r="AR377" i="189"/>
  <c r="AX385" i="189"/>
  <c r="W45" i="7"/>
  <c r="BF45" i="7"/>
  <c r="AL45" i="7"/>
  <c r="BT112" i="189" l="1"/>
  <c r="BT33" i="189"/>
  <c r="CH33" i="189" s="1"/>
  <c r="BX110" i="189"/>
  <c r="BU112" i="189"/>
  <c r="BV33" i="189"/>
  <c r="BV112" i="189"/>
  <c r="CH110" i="189"/>
  <c r="BN33" i="189"/>
  <c r="CF33" i="189"/>
  <c r="BO112" i="189"/>
  <c r="BS110" i="189"/>
  <c r="BS111" i="189" s="1"/>
  <c r="BO33" i="189"/>
  <c r="CG110" i="189"/>
  <c r="CG111" i="189" s="1"/>
  <c r="BP112" i="189"/>
  <c r="CD376" i="189"/>
  <c r="AW312" i="189"/>
  <c r="AY312" i="189" s="1"/>
  <c r="AY318" i="189" s="1"/>
  <c r="AY376" i="189"/>
  <c r="AY377" i="189" s="1"/>
  <c r="AU318" i="189"/>
  <c r="CC318" i="189" s="1"/>
  <c r="CC312" i="189"/>
  <c r="CH111" i="189" l="1"/>
  <c r="BX111" i="189"/>
  <c r="BX33" i="189"/>
  <c r="BS33" i="189"/>
  <c r="CG33" i="189"/>
  <c r="CD312" i="189"/>
  <c r="AW318" i="189"/>
  <c r="CD318" i="189" s="1"/>
  <c r="BP18" i="171" l="1"/>
  <c r="BQ18" i="171" l="1"/>
  <c r="BR18" i="171" l="1"/>
  <c r="BS18" i="171" l="1"/>
  <c r="BU18" i="171" s="1"/>
  <c r="BV18" i="171" l="1"/>
  <c r="BW18" i="171" l="1"/>
  <c r="BX18" i="171" s="1"/>
  <c r="BD221" i="175" l="1"/>
  <c r="BD222" i="175" s="1"/>
  <c r="AW197" i="175" l="1"/>
  <c r="AX197" i="175" s="1"/>
  <c r="AW129" i="175" l="1"/>
  <c r="AW101" i="175"/>
  <c r="EK66" i="123"/>
  <c r="EK84" i="7" s="1"/>
  <c r="EK64" i="123"/>
  <c r="EK83" i="7" s="1"/>
  <c r="EK61" i="123"/>
  <c r="EK82" i="7" s="1"/>
  <c r="EK17" i="12"/>
  <c r="EK56" i="135"/>
  <c r="EP57" i="135" s="1"/>
  <c r="EK53" i="135"/>
  <c r="EP54" i="135" s="1"/>
  <c r="EK46" i="135"/>
  <c r="EP48" i="135" s="1"/>
  <c r="EK42" i="135"/>
  <c r="EP44" i="135" s="1"/>
  <c r="EK9" i="135"/>
  <c r="EZ48" i="8"/>
  <c r="FE48" i="8" s="1"/>
  <c r="FJ48" i="8" s="1"/>
  <c r="AW82" i="175" l="1"/>
  <c r="AW20" i="175"/>
  <c r="EK67" i="123"/>
  <c r="AR160" i="175" l="1"/>
  <c r="AV178" i="175" l="1"/>
  <c r="AZ190" i="175"/>
  <c r="AX190" i="175"/>
  <c r="BC190" i="175" s="1"/>
  <c r="AW190" i="175"/>
  <c r="AO190" i="175"/>
  <c r="AO191" i="175" s="1"/>
  <c r="AO187" i="175"/>
  <c r="AP178" i="175"/>
  <c r="AU179" i="175" s="1"/>
  <c r="AL178" i="175"/>
  <c r="AV191" i="175"/>
  <c r="AU191" i="175"/>
  <c r="AJ178" i="175"/>
  <c r="J163" i="175"/>
  <c r="I163" i="175"/>
  <c r="H163" i="175"/>
  <c r="O163" i="175"/>
  <c r="N163" i="175"/>
  <c r="M163" i="175"/>
  <c r="L163" i="175"/>
  <c r="R163" i="175"/>
  <c r="Q163" i="175"/>
  <c r="Y163" i="175"/>
  <c r="W163" i="175"/>
  <c r="V163" i="175"/>
  <c r="AD163" i="175"/>
  <c r="AB163" i="175"/>
  <c r="AA172" i="175"/>
  <c r="AH172" i="175"/>
  <c r="AG163" i="175"/>
  <c r="AF163" i="175"/>
  <c r="X163" i="175" l="1"/>
  <c r="AI163" i="175"/>
  <c r="AM178" i="175"/>
  <c r="AR178" i="175" s="1"/>
  <c r="AQ179" i="175"/>
  <c r="AO188" i="175"/>
  <c r="AY190" i="175"/>
  <c r="AT190" i="175"/>
  <c r="AF172" i="175"/>
  <c r="AF173" i="175" s="1"/>
  <c r="Y172" i="175"/>
  <c r="AI172" i="175"/>
  <c r="V172" i="175"/>
  <c r="AA173" i="175" s="1"/>
  <c r="AC163" i="175"/>
  <c r="U162" i="175"/>
  <c r="AB172" i="175"/>
  <c r="AC172" i="175"/>
  <c r="AH173" i="175" s="1"/>
  <c r="AG172" i="175"/>
  <c r="AD172" i="175"/>
  <c r="W172" i="175"/>
  <c r="X172" i="175"/>
  <c r="AJ162" i="175"/>
  <c r="T163" i="175"/>
  <c r="AE162" i="175"/>
  <c r="K162" i="175"/>
  <c r="F162" i="175"/>
  <c r="P162" i="175"/>
  <c r="Z162" i="175"/>
  <c r="AA163" i="175"/>
  <c r="S163" i="175"/>
  <c r="G163" i="175"/>
  <c r="AH163" i="175"/>
  <c r="AN178" i="175" l="1"/>
  <c r="AS178" i="175" s="1"/>
  <c r="AT178" i="175" s="1"/>
  <c r="AY191" i="175"/>
  <c r="P163" i="175"/>
  <c r="AD173" i="175"/>
  <c r="AB173" i="175"/>
  <c r="AC173" i="175"/>
  <c r="AG173" i="175"/>
  <c r="AI173" i="175"/>
  <c r="Z163" i="175"/>
  <c r="Z172" i="175"/>
  <c r="AJ163" i="175"/>
  <c r="AE172" i="175"/>
  <c r="AJ172" i="175"/>
  <c r="AE163" i="175"/>
  <c r="K163" i="175"/>
  <c r="U163" i="175"/>
  <c r="AO178" i="175" l="1"/>
  <c r="AO179" i="175" s="1"/>
  <c r="AJ173" i="175"/>
  <c r="AE173" i="175"/>
  <c r="AW178" i="175" l="1"/>
  <c r="AO15" i="171" l="1"/>
  <c r="AN15" i="171"/>
  <c r="AM15" i="171"/>
  <c r="AL15" i="171"/>
  <c r="AK15" i="171"/>
  <c r="AJ15" i="171"/>
  <c r="EG73" i="8"/>
  <c r="EG75" i="8" s="1"/>
  <c r="EE73" i="8"/>
  <c r="EE75" i="8" s="1"/>
  <c r="ED73" i="8"/>
  <c r="ED75" i="8" s="1"/>
  <c r="EB73" i="8"/>
  <c r="EA73" i="8"/>
  <c r="DW73" i="8"/>
  <c r="DV73" i="8"/>
  <c r="DU73" i="8"/>
  <c r="DV76" i="8" s="1"/>
  <c r="DT73" i="8"/>
  <c r="DR73" i="8"/>
  <c r="DQ73" i="8"/>
  <c r="DP73" i="8"/>
  <c r="DO73" i="8"/>
  <c r="DM73" i="8"/>
  <c r="DL73" i="8"/>
  <c r="DK73" i="8"/>
  <c r="DJ73" i="8"/>
  <c r="DH73" i="8"/>
  <c r="DG73" i="8"/>
  <c r="DF73" i="8"/>
  <c r="DE73" i="8"/>
  <c r="DC73" i="8"/>
  <c r="DB73" i="8"/>
  <c r="DA73" i="8"/>
  <c r="CZ73" i="8"/>
  <c r="CZ47" i="7" s="1"/>
  <c r="DH76" i="8" l="1"/>
  <c r="DM76" i="8"/>
  <c r="DW76" i="8"/>
  <c r="CZ51" i="7"/>
  <c r="DD47" i="7"/>
  <c r="DD51" i="7" s="1"/>
  <c r="FW47" i="7"/>
  <c r="FW51" i="7" s="1"/>
  <c r="DK76" i="8"/>
  <c r="DP76" i="8"/>
  <c r="DU76" i="8"/>
  <c r="DL76" i="8"/>
  <c r="EB76" i="8"/>
  <c r="EE76" i="8"/>
  <c r="DR76" i="8"/>
  <c r="DQ76" i="8"/>
  <c r="DW81" i="8" l="1"/>
  <c r="BO500" i="172"/>
  <c r="EG27" i="9"/>
  <c r="EF27" i="9"/>
  <c r="EE27" i="9"/>
  <c r="ED27" i="9"/>
  <c r="EB27" i="9"/>
  <c r="EA27" i="9"/>
  <c r="DZ27" i="9"/>
  <c r="DY27" i="9"/>
  <c r="CI51" i="8" l="1"/>
  <c r="CI50" i="8"/>
  <c r="CI49" i="8"/>
  <c r="CI53" i="8"/>
  <c r="CI54" i="8"/>
  <c r="E54" i="8"/>
  <c r="E53" i="8"/>
  <c r="E51" i="8"/>
  <c r="E50" i="8"/>
  <c r="E49" i="8"/>
  <c r="O53" i="8"/>
  <c r="O51" i="8"/>
  <c r="O50" i="8"/>
  <c r="O49" i="8"/>
  <c r="O54" i="8"/>
  <c r="AD54" i="8"/>
  <c r="AD51" i="8"/>
  <c r="AD50" i="8"/>
  <c r="AD49" i="8"/>
  <c r="AD53" i="8"/>
  <c r="AI51" i="8"/>
  <c r="AI50" i="8"/>
  <c r="AI49" i="8"/>
  <c r="AI54" i="8"/>
  <c r="AI53" i="8"/>
  <c r="AN54" i="8"/>
  <c r="AN53" i="8"/>
  <c r="AN51" i="8"/>
  <c r="AN50" i="8"/>
  <c r="AN49" i="8"/>
  <c r="BC51" i="8"/>
  <c r="BC50" i="8"/>
  <c r="BC49" i="8"/>
  <c r="BC54" i="8"/>
  <c r="BC53" i="8"/>
  <c r="BV53" i="8"/>
  <c r="BV51" i="8"/>
  <c r="BV50" i="8"/>
  <c r="BV49" i="8"/>
  <c r="CD53" i="8"/>
  <c r="CD54" i="8"/>
  <c r="CD51" i="8"/>
  <c r="CD50" i="8"/>
  <c r="CD49" i="8"/>
  <c r="DE51" i="8"/>
  <c r="DE50" i="8"/>
  <c r="DE49" i="8"/>
  <c r="DM51" i="8"/>
  <c r="DM50" i="8"/>
  <c r="DM49" i="8"/>
  <c r="DM53" i="8"/>
  <c r="DM54" i="8"/>
  <c r="BS83" i="172"/>
  <c r="EG51" i="8"/>
  <c r="EG50" i="8"/>
  <c r="EG49" i="8"/>
  <c r="EG53" i="8"/>
  <c r="BS205" i="172"/>
  <c r="BS505" i="172"/>
  <c r="EG54" i="8"/>
  <c r="K53" i="8"/>
  <c r="K51" i="8"/>
  <c r="K50" i="8"/>
  <c r="K49" i="8"/>
  <c r="K54" i="8"/>
  <c r="P54" i="8"/>
  <c r="P53" i="8"/>
  <c r="P51" i="8"/>
  <c r="P50" i="8"/>
  <c r="P49" i="8"/>
  <c r="AE51" i="8"/>
  <c r="AE50" i="8"/>
  <c r="AE49" i="8"/>
  <c r="AE54" i="8"/>
  <c r="AE53" i="8"/>
  <c r="AT51" i="8"/>
  <c r="AT50" i="8"/>
  <c r="AT49" i="8"/>
  <c r="AT54" i="8"/>
  <c r="AT53" i="8"/>
  <c r="AY54" i="8"/>
  <c r="AY53" i="8"/>
  <c r="AY51" i="8"/>
  <c r="AY50" i="8"/>
  <c r="AY49" i="8"/>
  <c r="BR51" i="8"/>
  <c r="BR50" i="8"/>
  <c r="BR49" i="8"/>
  <c r="BR53" i="8"/>
  <c r="BW53" i="8"/>
  <c r="BW54" i="8"/>
  <c r="BW51" i="8"/>
  <c r="BW50" i="8"/>
  <c r="BW49" i="8"/>
  <c r="CF53" i="8"/>
  <c r="CF54" i="8"/>
  <c r="CF51" i="8"/>
  <c r="CF50" i="8"/>
  <c r="CF49" i="8"/>
  <c r="DO51" i="8"/>
  <c r="DO50" i="8"/>
  <c r="DO49" i="8"/>
  <c r="DO53" i="8"/>
  <c r="BA205" i="172"/>
  <c r="DO54" i="8"/>
  <c r="BF205" i="172"/>
  <c r="DT51" i="8"/>
  <c r="DT50" i="8"/>
  <c r="DT49" i="8"/>
  <c r="DT53" i="8"/>
  <c r="DT54" i="8"/>
  <c r="DY53" i="8"/>
  <c r="BK205" i="172"/>
  <c r="BK83" i="172"/>
  <c r="DY51" i="8"/>
  <c r="DY50" i="8"/>
  <c r="DY49" i="8"/>
  <c r="BK176" i="172"/>
  <c r="DY54" i="8"/>
  <c r="DF51" i="8"/>
  <c r="DF50" i="8"/>
  <c r="DF49" i="8"/>
  <c r="DF53" i="8"/>
  <c r="DF54" i="8"/>
  <c r="V51" i="8"/>
  <c r="V50" i="8"/>
  <c r="V49" i="8"/>
  <c r="V54" i="8"/>
  <c r="V53" i="8"/>
  <c r="AP54" i="8"/>
  <c r="AP53" i="8"/>
  <c r="AP51" i="8"/>
  <c r="AP50" i="8"/>
  <c r="AP49" i="8"/>
  <c r="AU51" i="8"/>
  <c r="AU50" i="8"/>
  <c r="AU49" i="8"/>
  <c r="AU54" i="8"/>
  <c r="AU53" i="8"/>
  <c r="BE51" i="8"/>
  <c r="BE50" i="8"/>
  <c r="BE49" i="8"/>
  <c r="BE54" i="8"/>
  <c r="BE53" i="8"/>
  <c r="BS51" i="8"/>
  <c r="BS50" i="8"/>
  <c r="BS49" i="8"/>
  <c r="BS53" i="8"/>
  <c r="BS54" i="8"/>
  <c r="BX51" i="8"/>
  <c r="BX50" i="8"/>
  <c r="BX49" i="8"/>
  <c r="BX53" i="8"/>
  <c r="CG54" i="8"/>
  <c r="CG51" i="8"/>
  <c r="CG50" i="8"/>
  <c r="CG49" i="8"/>
  <c r="CG53" i="8"/>
  <c r="DP53" i="8"/>
  <c r="BB205" i="172"/>
  <c r="DP51" i="8"/>
  <c r="DP50" i="8"/>
  <c r="DP49" i="8"/>
  <c r="DP54" i="8"/>
  <c r="BQ505" i="172"/>
  <c r="BQ205" i="172"/>
  <c r="BQ83" i="172"/>
  <c r="EE51" i="8"/>
  <c r="EE50" i="8"/>
  <c r="EE49" i="8"/>
  <c r="EE53" i="8"/>
  <c r="EE54" i="8"/>
  <c r="D54" i="8"/>
  <c r="D53" i="8"/>
  <c r="D51" i="8"/>
  <c r="D50" i="8"/>
  <c r="D49" i="8"/>
  <c r="S54" i="8"/>
  <c r="S51" i="8"/>
  <c r="S50" i="8"/>
  <c r="S49" i="8"/>
  <c r="X51" i="8"/>
  <c r="X50" i="8"/>
  <c r="X49" i="8"/>
  <c r="X53" i="8"/>
  <c r="X54" i="8"/>
  <c r="AC53" i="8"/>
  <c r="AC54" i="8"/>
  <c r="AC51" i="8"/>
  <c r="AC50" i="8"/>
  <c r="AC49" i="8"/>
  <c r="AW54" i="8"/>
  <c r="AW53" i="8"/>
  <c r="AW51" i="8"/>
  <c r="AW50" i="8"/>
  <c r="AW49" i="8"/>
  <c r="BO53" i="8"/>
  <c r="BO51" i="8"/>
  <c r="BO50" i="8"/>
  <c r="BO49" i="8"/>
  <c r="CA51" i="8"/>
  <c r="CA50" i="8"/>
  <c r="CA49" i="8"/>
  <c r="CA53" i="8"/>
  <c r="CA54" i="8"/>
  <c r="DQ53" i="8"/>
  <c r="BC205" i="172"/>
  <c r="DQ51" i="8"/>
  <c r="DQ49" i="8"/>
  <c r="DQ54" i="8"/>
  <c r="DV51" i="8"/>
  <c r="DV50" i="8"/>
  <c r="DV49" i="8"/>
  <c r="DV53" i="8"/>
  <c r="BH205" i="172"/>
  <c r="EA53" i="8"/>
  <c r="BM505" i="172"/>
  <c r="BM205" i="172"/>
  <c r="BM83" i="172"/>
  <c r="EA51" i="8"/>
  <c r="EA50" i="8"/>
  <c r="EA49" i="8"/>
  <c r="EA54" i="8"/>
  <c r="BG53" i="8"/>
  <c r="BG54" i="8"/>
  <c r="BG49" i="8"/>
  <c r="BG50" i="8"/>
  <c r="BG51" i="8"/>
  <c r="AS54" i="8"/>
  <c r="AS49" i="8"/>
  <c r="AS50" i="8"/>
  <c r="AS51" i="8"/>
  <c r="AS53" i="8"/>
  <c r="BQ53" i="8"/>
  <c r="BQ54" i="8"/>
  <c r="BQ49" i="8"/>
  <c r="BQ50" i="8"/>
  <c r="BQ51" i="8"/>
  <c r="BI205" i="172"/>
  <c r="DW51" i="8"/>
  <c r="DW53" i="8"/>
  <c r="DW49" i="8"/>
  <c r="DW50" i="8"/>
  <c r="CM50" i="8"/>
  <c r="CM51" i="8"/>
  <c r="CM54" i="8"/>
  <c r="CM49" i="8"/>
  <c r="F50" i="8"/>
  <c r="F51" i="8"/>
  <c r="F53" i="8"/>
  <c r="F54" i="8"/>
  <c r="F49" i="8"/>
  <c r="U50" i="8"/>
  <c r="U51" i="8"/>
  <c r="U54" i="8"/>
  <c r="U49" i="8"/>
  <c r="Z50" i="8"/>
  <c r="Z51" i="8"/>
  <c r="Z53" i="8"/>
  <c r="Z54" i="8"/>
  <c r="Z49" i="8"/>
  <c r="AJ50" i="8"/>
  <c r="AJ51" i="8"/>
  <c r="AJ53" i="8"/>
  <c r="AJ54" i="8"/>
  <c r="AJ49" i="8"/>
  <c r="AO50" i="8"/>
  <c r="AO51" i="8"/>
  <c r="AO53" i="8"/>
  <c r="AO54" i="8"/>
  <c r="AO49" i="8"/>
  <c r="BD50" i="8"/>
  <c r="BD51" i="8"/>
  <c r="BD53" i="8"/>
  <c r="BD54" i="8"/>
  <c r="BD49" i="8"/>
  <c r="CN51" i="8"/>
  <c r="CN54" i="8"/>
  <c r="CN49" i="8"/>
  <c r="CN50" i="8"/>
  <c r="CN53" i="8"/>
  <c r="CZ54" i="8"/>
  <c r="CZ49" i="8"/>
  <c r="CZ50" i="8"/>
  <c r="CZ51" i="8"/>
  <c r="DH51" i="8"/>
  <c r="DH53" i="8"/>
  <c r="DH49" i="8"/>
  <c r="DH50" i="8"/>
  <c r="BP505" i="172"/>
  <c r="BT504" i="172"/>
  <c r="BT503" i="172"/>
  <c r="BP205" i="172"/>
  <c r="BP83" i="172"/>
  <c r="ED53" i="8"/>
  <c r="ED49" i="8"/>
  <c r="ED50" i="8"/>
  <c r="ED51" i="8"/>
  <c r="ED54" i="8"/>
  <c r="BT500" i="172"/>
  <c r="J54" i="8"/>
  <c r="J49" i="8"/>
  <c r="J50" i="8"/>
  <c r="J51" i="8"/>
  <c r="J53" i="8"/>
  <c r="Y54" i="8"/>
  <c r="Y49" i="8"/>
  <c r="Y50" i="8"/>
  <c r="Y51" i="8"/>
  <c r="Y53" i="8"/>
  <c r="CX51" i="8"/>
  <c r="CX54" i="8"/>
  <c r="CX49" i="8"/>
  <c r="CX50" i="8"/>
  <c r="EG81" i="8"/>
  <c r="BI50" i="8"/>
  <c r="BI51" i="8"/>
  <c r="BI53" i="8"/>
  <c r="BI54" i="8"/>
  <c r="BI49" i="8"/>
  <c r="G51" i="8"/>
  <c r="G53" i="8"/>
  <c r="G54" i="8"/>
  <c r="G50" i="8"/>
  <c r="G49" i="8"/>
  <c r="L51" i="8"/>
  <c r="L53" i="8"/>
  <c r="L54" i="8"/>
  <c r="L50" i="8"/>
  <c r="L49" i="8"/>
  <c r="Q51" i="8"/>
  <c r="Q54" i="8"/>
  <c r="Q50" i="8"/>
  <c r="Q49" i="8"/>
  <c r="Q53" i="8"/>
  <c r="AA51" i="8"/>
  <c r="AA53" i="8"/>
  <c r="AA54" i="8"/>
  <c r="AA50" i="8"/>
  <c r="AA49" i="8"/>
  <c r="AF51" i="8"/>
  <c r="AF53" i="8"/>
  <c r="AF54" i="8"/>
  <c r="AF50" i="8"/>
  <c r="AF49" i="8"/>
  <c r="AK51" i="8"/>
  <c r="AK53" i="8"/>
  <c r="AK54" i="8"/>
  <c r="AK50" i="8"/>
  <c r="AK49" i="8"/>
  <c r="AZ51" i="8"/>
  <c r="AZ53" i="8"/>
  <c r="AZ54" i="8"/>
  <c r="AZ50" i="8"/>
  <c r="AZ49" i="8"/>
  <c r="CR50" i="8"/>
  <c r="CR51" i="8"/>
  <c r="CR54" i="8"/>
  <c r="CR49" i="8"/>
  <c r="DA54" i="8"/>
  <c r="DA49" i="8"/>
  <c r="DA50" i="8"/>
  <c r="DA51" i="8"/>
  <c r="DA53" i="8"/>
  <c r="DJ53" i="8"/>
  <c r="DJ49" i="8"/>
  <c r="DJ50" i="8"/>
  <c r="DJ51" i="8"/>
  <c r="DJ54" i="8"/>
  <c r="BG205" i="172"/>
  <c r="DU49" i="8"/>
  <c r="DU50" i="8"/>
  <c r="DU51" i="8"/>
  <c r="DU53" i="8"/>
  <c r="DU54" i="8"/>
  <c r="BL505" i="172"/>
  <c r="BL205" i="172"/>
  <c r="BL83" i="172"/>
  <c r="DZ49" i="8"/>
  <c r="DZ50" i="8"/>
  <c r="DZ51" i="8"/>
  <c r="DZ53" i="8"/>
  <c r="BL176" i="172"/>
  <c r="T54" i="8"/>
  <c r="T49" i="8"/>
  <c r="T50" i="8"/>
  <c r="T51" i="8"/>
  <c r="T53" i="8"/>
  <c r="AX54" i="8"/>
  <c r="AX49" i="8"/>
  <c r="AX50" i="8"/>
  <c r="AX51" i="8"/>
  <c r="AX53" i="8"/>
  <c r="CL54" i="8"/>
  <c r="CL49" i="8"/>
  <c r="CL50" i="8"/>
  <c r="CL51" i="8"/>
  <c r="CL53" i="8"/>
  <c r="BD205" i="172"/>
  <c r="DR51" i="8"/>
  <c r="DR53" i="8"/>
  <c r="DR49" i="8"/>
  <c r="DR50" i="8"/>
  <c r="DR54" i="8"/>
  <c r="BN505" i="172"/>
  <c r="BN83" i="172"/>
  <c r="BN205" i="172"/>
  <c r="EB51" i="8"/>
  <c r="EB53" i="8"/>
  <c r="EB49" i="8"/>
  <c r="EB50" i="8"/>
  <c r="EB54" i="8"/>
  <c r="I53" i="8"/>
  <c r="I54" i="8"/>
  <c r="I49" i="8"/>
  <c r="I50" i="8"/>
  <c r="I51" i="8"/>
  <c r="N53" i="8"/>
  <c r="N54" i="8"/>
  <c r="N49" i="8"/>
  <c r="N50" i="8"/>
  <c r="N51" i="8"/>
  <c r="AH53" i="8"/>
  <c r="AH54" i="8"/>
  <c r="AH49" i="8"/>
  <c r="AH50" i="8"/>
  <c r="AH51" i="8"/>
  <c r="AM53" i="8"/>
  <c r="AM54" i="8"/>
  <c r="AM49" i="8"/>
  <c r="AM50" i="8"/>
  <c r="AM51" i="8"/>
  <c r="AR53" i="8"/>
  <c r="AR54" i="8"/>
  <c r="AR49" i="8"/>
  <c r="AR50" i="8"/>
  <c r="AR51" i="8"/>
  <c r="BB53" i="8"/>
  <c r="BB54" i="8"/>
  <c r="BB49" i="8"/>
  <c r="BB50" i="8"/>
  <c r="BB51" i="8"/>
  <c r="BT51" i="8"/>
  <c r="BT53" i="8"/>
  <c r="BT49" i="8"/>
  <c r="BT50" i="8"/>
  <c r="BT54" i="8"/>
  <c r="CK53" i="8"/>
  <c r="CK54" i="8"/>
  <c r="CK49" i="8"/>
  <c r="CK50" i="8"/>
  <c r="CK51" i="8"/>
  <c r="CV54" i="8"/>
  <c r="CV49" i="8"/>
  <c r="CV50" i="8"/>
  <c r="CV51" i="8"/>
  <c r="DB50" i="8"/>
  <c r="DB51" i="8"/>
  <c r="DB54" i="8"/>
  <c r="DB49" i="8"/>
  <c r="DK49" i="8"/>
  <c r="DK50" i="8"/>
  <c r="DK51" i="8"/>
  <c r="DK53" i="8"/>
  <c r="DK54" i="8"/>
  <c r="BR505" i="172"/>
  <c r="BR83" i="172"/>
  <c r="BR205" i="172"/>
  <c r="EF50" i="8"/>
  <c r="EF51" i="8"/>
  <c r="EF49" i="8"/>
  <c r="EF53" i="8"/>
  <c r="BM54" i="8" l="1"/>
  <c r="BM53" i="8"/>
  <c r="BM51" i="8"/>
  <c r="BM50" i="8"/>
  <c r="BM49" i="8"/>
  <c r="CW54" i="8"/>
  <c r="CW51" i="8"/>
  <c r="CW50" i="8"/>
  <c r="CW49" i="8"/>
  <c r="DL53" i="8"/>
  <c r="DL51" i="8"/>
  <c r="DL50" i="8"/>
  <c r="DL49" i="8"/>
  <c r="DL54" i="8"/>
  <c r="DG53" i="8"/>
  <c r="DG51" i="8"/>
  <c r="DG50" i="8"/>
  <c r="DG49" i="8"/>
  <c r="DG54" i="8"/>
  <c r="DC53" i="8"/>
  <c r="DC54" i="8"/>
  <c r="DC51" i="8"/>
  <c r="DC50" i="8"/>
  <c r="DC49" i="8"/>
  <c r="CC50" i="8"/>
  <c r="CC51" i="8"/>
  <c r="CC53" i="8"/>
  <c r="CC54" i="8"/>
  <c r="CC49" i="8"/>
  <c r="CS51" i="8"/>
  <c r="CS54" i="8"/>
  <c r="CS49" i="8"/>
  <c r="CS50" i="8"/>
  <c r="BL53" i="8"/>
  <c r="BL54" i="8"/>
  <c r="BL49" i="8"/>
  <c r="BL50" i="8"/>
  <c r="BL51" i="8"/>
  <c r="BO505" i="172"/>
  <c r="BO83" i="172"/>
  <c r="BO205" i="172"/>
  <c r="BT505" i="172"/>
  <c r="BT205" i="172"/>
  <c r="BT83" i="172"/>
  <c r="CU54" i="8"/>
  <c r="CU49" i="8"/>
  <c r="CU50" i="8"/>
  <c r="CU51" i="8"/>
  <c r="BN50" i="8"/>
  <c r="BN51" i="8"/>
  <c r="BN53" i="8"/>
  <c r="BN54" i="8"/>
  <c r="BN49" i="8"/>
  <c r="BJ51" i="8"/>
  <c r="BJ53" i="8"/>
  <c r="BJ54" i="8"/>
  <c r="BJ50" i="8"/>
  <c r="BJ49" i="8"/>
  <c r="CP54" i="8"/>
  <c r="CP49" i="8"/>
  <c r="CP50" i="8"/>
  <c r="CP51" i="8"/>
  <c r="BE205" i="172"/>
  <c r="BJ205" i="172"/>
  <c r="BT506" i="172"/>
  <c r="CH50" i="8"/>
  <c r="CH51" i="8"/>
  <c r="CH53" i="8"/>
  <c r="CH54" i="8"/>
  <c r="CH49" i="8"/>
  <c r="BH54" i="8"/>
  <c r="BH49" i="8"/>
  <c r="BH50" i="8"/>
  <c r="BH51" i="8"/>
  <c r="BH53" i="8"/>
  <c r="BY51" i="8"/>
  <c r="BY53" i="8"/>
  <c r="BY49" i="8"/>
  <c r="BY50" i="8"/>
  <c r="CQ54" i="8"/>
  <c r="CQ49" i="8"/>
  <c r="CQ50" i="8"/>
  <c r="CQ51" i="8"/>
  <c r="CB54" i="8"/>
  <c r="CB49" i="8"/>
  <c r="CB50" i="8"/>
  <c r="CB51" i="8"/>
  <c r="CB53" i="8"/>
  <c r="EJ66" i="123" l="1"/>
  <c r="EJ84" i="7" s="1"/>
  <c r="EJ64" i="123"/>
  <c r="EJ83" i="7" s="1"/>
  <c r="EJ61" i="123"/>
  <c r="EJ82" i="7" s="1"/>
  <c r="EJ51" i="123"/>
  <c r="EJ47" i="123"/>
  <c r="EJ46" i="123"/>
  <c r="EJ45" i="123"/>
  <c r="EJ41" i="123"/>
  <c r="EJ38" i="123"/>
  <c r="EJ26" i="123"/>
  <c r="EJ27" i="123" s="1"/>
  <c r="EJ23" i="123"/>
  <c r="EJ21" i="123"/>
  <c r="EJ17" i="123"/>
  <c r="EJ16" i="123" s="1"/>
  <c r="EJ18" i="123" s="1"/>
  <c r="EJ13" i="123"/>
  <c r="EJ12" i="123"/>
  <c r="EJ58" i="123" s="1"/>
  <c r="EJ10" i="123"/>
  <c r="EJ11" i="123" s="1"/>
  <c r="EJ70" i="12"/>
  <c r="EJ68" i="12"/>
  <c r="EJ62" i="12"/>
  <c r="EJ60" i="12"/>
  <c r="EJ64" i="12" s="1"/>
  <c r="EJ52" i="12"/>
  <c r="EJ43" i="12"/>
  <c r="EJ46" i="12" s="1"/>
  <c r="EJ17" i="12"/>
  <c r="EJ10" i="12"/>
  <c r="EJ8" i="12"/>
  <c r="EJ56" i="135"/>
  <c r="EO57" i="135" s="1"/>
  <c r="EJ53" i="135"/>
  <c r="EO54" i="135" s="1"/>
  <c r="EJ46" i="135"/>
  <c r="EO48" i="135" s="1"/>
  <c r="EJ42" i="135"/>
  <c r="EO44" i="135" s="1"/>
  <c r="EJ9" i="135"/>
  <c r="EJ14" i="135" s="1"/>
  <c r="EY14" i="135" s="1"/>
  <c r="FD14" i="135" s="1"/>
  <c r="FI14" i="135" s="1"/>
  <c r="EJ117" i="135"/>
  <c r="EJ113" i="135" s="1"/>
  <c r="EO114" i="135" s="1"/>
  <c r="EJ108" i="135"/>
  <c r="EJ104" i="135" s="1"/>
  <c r="EO105" i="135" s="1"/>
  <c r="EJ99" i="135"/>
  <c r="EJ95" i="135" s="1"/>
  <c r="EO96" i="135" s="1"/>
  <c r="BQ30" i="172"/>
  <c r="AV101" i="175"/>
  <c r="EJ120" i="135"/>
  <c r="EJ111" i="135"/>
  <c r="EJ102" i="135"/>
  <c r="EY48" i="8"/>
  <c r="FD48" i="8" s="1"/>
  <c r="FI48" i="8" s="1"/>
  <c r="AV82" i="175" l="1"/>
  <c r="AV20" i="175"/>
  <c r="EK62" i="123"/>
  <c r="EJ19" i="135"/>
  <c r="AV129" i="175"/>
  <c r="EJ67" i="123"/>
  <c r="EJ65" i="123"/>
  <c r="EJ14" i="123"/>
  <c r="EJ28" i="123"/>
  <c r="EJ59" i="123" s="1"/>
  <c r="EJ39" i="123"/>
  <c r="EJ29" i="123"/>
  <c r="EJ40" i="123"/>
  <c r="EJ60" i="123" s="1"/>
  <c r="EJ30" i="123"/>
  <c r="EJ61" i="12"/>
  <c r="EJ54" i="12"/>
  <c r="EJ69" i="12" s="1"/>
  <c r="EJ29" i="12" s="1"/>
  <c r="EJ53" i="12"/>
  <c r="EJ67" i="12" s="1"/>
  <c r="EJ11" i="12" s="1"/>
  <c r="EY19" i="135" l="1"/>
  <c r="FD19" i="135" s="1"/>
  <c r="FI19" i="135" s="1"/>
  <c r="BA21" i="175"/>
  <c r="EJ42" i="123"/>
  <c r="EY56" i="135" l="1"/>
  <c r="FD56" i="135" s="1"/>
  <c r="FI56" i="135" s="1"/>
  <c r="FI23" i="9" l="1"/>
  <c r="FI57" i="135"/>
  <c r="FD57" i="135"/>
  <c r="FD23" i="9"/>
  <c r="EY57" i="135"/>
  <c r="EY23" i="9"/>
  <c r="AN99" i="175"/>
  <c r="AM99" i="175"/>
  <c r="AL99" i="175"/>
  <c r="AL297" i="172" l="1"/>
  <c r="CZ8" i="7" s="1"/>
  <c r="AM297" i="172"/>
  <c r="DA8" i="7" s="1"/>
  <c r="AN297" i="172"/>
  <c r="DB8" i="7" s="1"/>
  <c r="AO297" i="172"/>
  <c r="DC8" i="7" s="1"/>
  <c r="BK135" i="172"/>
  <c r="BK190" i="172" s="1"/>
  <c r="BK119" i="172"/>
  <c r="BK174" i="172" s="1"/>
  <c r="BK189" i="172" s="1"/>
  <c r="BL135" i="172"/>
  <c r="BL190" i="172" s="1"/>
  <c r="BL119" i="172"/>
  <c r="BL178" i="172" s="1"/>
  <c r="BM135" i="172"/>
  <c r="BM190" i="172" s="1"/>
  <c r="BM119" i="172"/>
  <c r="BF297" i="172"/>
  <c r="DT8" i="7" s="1"/>
  <c r="BG297" i="172"/>
  <c r="DU8" i="7" s="1"/>
  <c r="BH297" i="172"/>
  <c r="DV8" i="7" s="1"/>
  <c r="BI297" i="172"/>
  <c r="DW8" i="7" s="1"/>
  <c r="BA297" i="172"/>
  <c r="DO8" i="7" s="1"/>
  <c r="BB297" i="172"/>
  <c r="DP8" i="7" s="1"/>
  <c r="BC297" i="172"/>
  <c r="DQ8" i="7" s="1"/>
  <c r="BD297" i="172"/>
  <c r="DR8" i="7" s="1"/>
  <c r="AV297" i="172"/>
  <c r="DJ8" i="7" s="1"/>
  <c r="V433" i="189" s="1"/>
  <c r="AW297" i="172"/>
  <c r="DK8" i="7" s="1"/>
  <c r="W433" i="189" s="1"/>
  <c r="AX297" i="172"/>
  <c r="DL8" i="7" s="1"/>
  <c r="AY297" i="172"/>
  <c r="DM8" i="7" s="1"/>
  <c r="AQ297" i="172"/>
  <c r="DE8" i="7" s="1"/>
  <c r="AR297" i="172"/>
  <c r="DF8" i="7" s="1"/>
  <c r="AS297" i="172"/>
  <c r="DG8" i="7" s="1"/>
  <c r="AT297" i="172"/>
  <c r="DH8" i="7" s="1"/>
  <c r="BT73" i="172"/>
  <c r="BT88" i="172" s="1"/>
  <c r="BT84" i="172" s="1"/>
  <c r="BP54" i="172"/>
  <c r="BQ54" i="172"/>
  <c r="BR54" i="172"/>
  <c r="BR53" i="172" s="1"/>
  <c r="BS54" i="172"/>
  <c r="BP49" i="172"/>
  <c r="BQ49" i="172"/>
  <c r="BQ48" i="172" s="1"/>
  <c r="BR49" i="172"/>
  <c r="BS49" i="172"/>
  <c r="BP44" i="172"/>
  <c r="BQ44" i="172"/>
  <c r="BQ43" i="172" s="1"/>
  <c r="BR44" i="172"/>
  <c r="BS44" i="172"/>
  <c r="BT24" i="172"/>
  <c r="BT17" i="172"/>
  <c r="BT10" i="172"/>
  <c r="EH99" i="135" s="1"/>
  <c r="AP43" i="175"/>
  <c r="AP40" i="175"/>
  <c r="AP28" i="175"/>
  <c r="AP17" i="175"/>
  <c r="AQ43" i="175"/>
  <c r="AQ40" i="175"/>
  <c r="AQ28" i="175"/>
  <c r="AQ17" i="175"/>
  <c r="AR43" i="175"/>
  <c r="AR40" i="175"/>
  <c r="AR28" i="175"/>
  <c r="AR17" i="175"/>
  <c r="AS43" i="175"/>
  <c r="AS40" i="175"/>
  <c r="AS28" i="175"/>
  <c r="AS17" i="175"/>
  <c r="EE47" i="8"/>
  <c r="EY47" i="8" s="1"/>
  <c r="FD47" i="8" s="1"/>
  <c r="FI47" i="8" s="1"/>
  <c r="EE48" i="8"/>
  <c r="EE89" i="8"/>
  <c r="EE87" i="8" s="1"/>
  <c r="EE90" i="8" s="1"/>
  <c r="EI42" i="135"/>
  <c r="EN44" i="135" s="1"/>
  <c r="EI46" i="135"/>
  <c r="EN48" i="135" s="1"/>
  <c r="EE56" i="135"/>
  <c r="EJ57" i="135" s="1"/>
  <c r="DM43" i="12"/>
  <c r="DM46" i="12" s="1"/>
  <c r="DM61" i="12" s="1"/>
  <c r="DO43" i="12"/>
  <c r="DO46" i="12" s="1"/>
  <c r="DP43" i="12"/>
  <c r="DQ43" i="12"/>
  <c r="DQ46" i="12" s="1"/>
  <c r="DQ61" i="12" s="1"/>
  <c r="DR43" i="12"/>
  <c r="DR46" i="12" s="1"/>
  <c r="DR53" i="12" s="1"/>
  <c r="DR67" i="12" s="1"/>
  <c r="DR11" i="12" s="1"/>
  <c r="DT43" i="12"/>
  <c r="DT46" i="12" s="1"/>
  <c r="DT53" i="12" s="1"/>
  <c r="DT67" i="12" s="1"/>
  <c r="DT11" i="12" s="1"/>
  <c r="DU43" i="12"/>
  <c r="DU46" i="12" s="1"/>
  <c r="DV43" i="12"/>
  <c r="DV46" i="12" s="1"/>
  <c r="DV61" i="12" s="1"/>
  <c r="DW43" i="12"/>
  <c r="DW46" i="12" s="1"/>
  <c r="DW53" i="12" s="1"/>
  <c r="DW67" i="12" s="1"/>
  <c r="DW11" i="12" s="1"/>
  <c r="DY43" i="12"/>
  <c r="DY46" i="12" s="1"/>
  <c r="DY61" i="12" s="1"/>
  <c r="DZ43" i="12"/>
  <c r="DZ46" i="12" s="1"/>
  <c r="DZ61" i="12" s="1"/>
  <c r="EA43" i="12"/>
  <c r="EA46" i="12" s="1"/>
  <c r="EB43" i="12"/>
  <c r="EB46" i="12" s="1"/>
  <c r="EB61" i="12" s="1"/>
  <c r="ED43" i="12"/>
  <c r="ED46" i="12" s="1"/>
  <c r="EE43" i="12"/>
  <c r="EE46" i="12" s="1"/>
  <c r="EF43" i="12"/>
  <c r="EF46" i="12" s="1"/>
  <c r="EG43" i="12"/>
  <c r="EG46" i="12" s="1"/>
  <c r="EI43" i="12"/>
  <c r="EI46" i="12" s="1"/>
  <c r="EI61" i="123"/>
  <c r="EI82" i="7" s="1"/>
  <c r="CT61" i="123"/>
  <c r="CY56" i="123" s="1"/>
  <c r="CU61" i="123"/>
  <c r="CV56" i="123" s="1"/>
  <c r="CS61" i="123"/>
  <c r="CU56" i="123" s="1"/>
  <c r="CV61" i="123"/>
  <c r="CW61" i="123"/>
  <c r="CX61" i="123"/>
  <c r="CZ61" i="123"/>
  <c r="DA61" i="123"/>
  <c r="DB61" i="123"/>
  <c r="DC61" i="123"/>
  <c r="DE56" i="123" s="1"/>
  <c r="DE61" i="123"/>
  <c r="DF61" i="123"/>
  <c r="DG61" i="123"/>
  <c r="DH61" i="123"/>
  <c r="DK61" i="123"/>
  <c r="DL61" i="123"/>
  <c r="DM61" i="123"/>
  <c r="DO61" i="123"/>
  <c r="DP56" i="123" s="1"/>
  <c r="DP61" i="123"/>
  <c r="DQ61" i="123"/>
  <c r="DR56" i="123" s="1"/>
  <c r="DR61" i="123"/>
  <c r="DT61" i="123"/>
  <c r="DT82" i="7" s="1"/>
  <c r="DU61" i="123"/>
  <c r="DU82" i="7" s="1"/>
  <c r="DV61" i="123"/>
  <c r="DW61" i="123"/>
  <c r="DW82" i="7" s="1"/>
  <c r="DX82" i="7" s="1"/>
  <c r="DX88" i="7" s="1"/>
  <c r="DY61" i="123"/>
  <c r="DY82" i="7" s="1"/>
  <c r="DZ61" i="123"/>
  <c r="DZ82" i="7" s="1"/>
  <c r="EA61" i="123"/>
  <c r="EA82" i="7" s="1"/>
  <c r="EB61" i="123"/>
  <c r="EB82" i="7" s="1"/>
  <c r="EC82" i="7" s="1"/>
  <c r="EC88" i="7" s="1"/>
  <c r="ED61" i="123"/>
  <c r="ED82" i="7" s="1"/>
  <c r="EE61" i="123"/>
  <c r="EE82" i="7" s="1"/>
  <c r="EF61" i="123"/>
  <c r="EF82" i="7" s="1"/>
  <c r="EG61" i="123"/>
  <c r="EG82" i="7" s="1"/>
  <c r="EH82" i="7" s="1"/>
  <c r="EH88" i="7" s="1"/>
  <c r="EF47" i="8"/>
  <c r="EZ47" i="8" s="1"/>
  <c r="FE47" i="8" s="1"/>
  <c r="FJ47" i="8" s="1"/>
  <c r="EF48" i="8"/>
  <c r="EF89" i="8"/>
  <c r="EF87" i="8" s="1"/>
  <c r="EF90" i="8" s="1"/>
  <c r="EF56" i="135"/>
  <c r="EK43" i="12"/>
  <c r="EK46" i="12" s="1"/>
  <c r="EK61" i="12" s="1"/>
  <c r="EG48" i="8"/>
  <c r="EV48" i="8" s="1"/>
  <c r="FA48" i="8" s="1"/>
  <c r="FF48" i="8" s="1"/>
  <c r="FK48" i="8" s="1"/>
  <c r="EG89" i="8"/>
  <c r="EG87" i="8" s="1"/>
  <c r="EG47" i="8"/>
  <c r="EG56" i="135"/>
  <c r="EX48" i="8"/>
  <c r="FC48" i="8" s="1"/>
  <c r="FH48" i="8" s="1"/>
  <c r="EX47" i="8"/>
  <c r="FC47" i="8" s="1"/>
  <c r="FH47" i="8" s="1"/>
  <c r="EI56" i="135"/>
  <c r="EN57" i="135" s="1"/>
  <c r="ED66" i="123"/>
  <c r="ED84" i="7" s="1"/>
  <c r="EE66" i="123"/>
  <c r="EE84" i="7" s="1"/>
  <c r="EF66" i="123"/>
  <c r="EF84" i="7" s="1"/>
  <c r="EG66" i="123"/>
  <c r="EG84" i="7" s="1"/>
  <c r="BQ32" i="172"/>
  <c r="BV35" i="172" s="1"/>
  <c r="BT30" i="172"/>
  <c r="EH26" i="9"/>
  <c r="EC26" i="9"/>
  <c r="DX26" i="9"/>
  <c r="DS26" i="9"/>
  <c r="DN26" i="9"/>
  <c r="EW10" i="9"/>
  <c r="EW11" i="9"/>
  <c r="EW12" i="9"/>
  <c r="EW13" i="9"/>
  <c r="EW14" i="9"/>
  <c r="EW15" i="9"/>
  <c r="EH7" i="9"/>
  <c r="EH9" i="9"/>
  <c r="EH66" i="7" s="1"/>
  <c r="EH120" i="7" s="1"/>
  <c r="EH10" i="9"/>
  <c r="EH11" i="9"/>
  <c r="EH12" i="9"/>
  <c r="EH13" i="9"/>
  <c r="EH14" i="9"/>
  <c r="EH15" i="9"/>
  <c r="EH17" i="9"/>
  <c r="EH19" i="9"/>
  <c r="EH21" i="9"/>
  <c r="EH22" i="9"/>
  <c r="EH23" i="9"/>
  <c r="EC7" i="9"/>
  <c r="EC9" i="9"/>
  <c r="EC10" i="9"/>
  <c r="EC11" i="9"/>
  <c r="EC12" i="9"/>
  <c r="EC13" i="9"/>
  <c r="EC14" i="9"/>
  <c r="EC15" i="9"/>
  <c r="EC17" i="9"/>
  <c r="EC19" i="9"/>
  <c r="EC21" i="9"/>
  <c r="EC22" i="9"/>
  <c r="EC23" i="9"/>
  <c r="EH9" i="8"/>
  <c r="EH16" i="8"/>
  <c r="EC9" i="8"/>
  <c r="EC16" i="8"/>
  <c r="EI66" i="123"/>
  <c r="EI84" i="7" s="1"/>
  <c r="EM84" i="7" s="1"/>
  <c r="EM90" i="7" s="1"/>
  <c r="DY66" i="123"/>
  <c r="DY84" i="7" s="1"/>
  <c r="DZ66" i="123"/>
  <c r="DZ84" i="7" s="1"/>
  <c r="EA66" i="123"/>
  <c r="EA84" i="7" s="1"/>
  <c r="EB66" i="123"/>
  <c r="EB84" i="7" s="1"/>
  <c r="DT66" i="123"/>
  <c r="DT84" i="7" s="1"/>
  <c r="DU66" i="123"/>
  <c r="DU84" i="7" s="1"/>
  <c r="DV66" i="123"/>
  <c r="DV84" i="7" s="1"/>
  <c r="DW66" i="123"/>
  <c r="DW84" i="7" s="1"/>
  <c r="EH37" i="9"/>
  <c r="EH35" i="9"/>
  <c r="AP332" i="175"/>
  <c r="AQ332" i="175"/>
  <c r="AQ331" i="175" s="1"/>
  <c r="AR332" i="175"/>
  <c r="AR331" i="175" s="1"/>
  <c r="AS332" i="175"/>
  <c r="AS331" i="175" s="1"/>
  <c r="AK313" i="175"/>
  <c r="AP313" i="175" s="1"/>
  <c r="AG313" i="175"/>
  <c r="AH313" i="175"/>
  <c r="AM313" i="175" s="1"/>
  <c r="AR313" i="175" s="1"/>
  <c r="AR379" i="175" s="1"/>
  <c r="AW379" i="175" s="1"/>
  <c r="AI313" i="175"/>
  <c r="AN313" i="175" s="1"/>
  <c r="AS313" i="175" s="1"/>
  <c r="AS379" i="175" s="1"/>
  <c r="AK325" i="175"/>
  <c r="AG325" i="175"/>
  <c r="AG318" i="175"/>
  <c r="AG297" i="175"/>
  <c r="AG304" i="175"/>
  <c r="AH325" i="175"/>
  <c r="AI325" i="175"/>
  <c r="AL325" i="175"/>
  <c r="AM325" i="175"/>
  <c r="AP304" i="175"/>
  <c r="AQ304" i="175"/>
  <c r="AR304" i="175"/>
  <c r="AS304" i="175"/>
  <c r="AK318" i="175"/>
  <c r="AH318" i="175"/>
  <c r="AI318" i="175"/>
  <c r="AP308" i="175"/>
  <c r="AP307" i="175" s="1"/>
  <c r="AQ308" i="175"/>
  <c r="AQ307" i="175" s="1"/>
  <c r="AR308" i="175"/>
  <c r="AR307" i="175" s="1"/>
  <c r="AS308" i="175"/>
  <c r="AS307" i="175" s="1"/>
  <c r="AP297" i="175"/>
  <c r="AQ297" i="175"/>
  <c r="AR297" i="175"/>
  <c r="AS297" i="175"/>
  <c r="AN295" i="175"/>
  <c r="AS295" i="175" s="1"/>
  <c r="AP318" i="175"/>
  <c r="AQ318" i="175"/>
  <c r="AR318" i="175"/>
  <c r="AS318" i="175"/>
  <c r="AK304" i="175"/>
  <c r="AM304" i="175"/>
  <c r="AN304" i="175"/>
  <c r="AN308" i="175"/>
  <c r="AN307" i="175" s="1"/>
  <c r="AK332" i="175"/>
  <c r="AK331" i="175" s="1"/>
  <c r="AL332" i="175"/>
  <c r="AM332" i="175"/>
  <c r="AN332" i="175"/>
  <c r="AN331" i="175" s="1"/>
  <c r="AK297" i="175"/>
  <c r="AL297" i="175"/>
  <c r="AM297" i="175"/>
  <c r="AN297" i="175"/>
  <c r="AL318" i="175"/>
  <c r="AM318" i="175"/>
  <c r="AN318" i="175"/>
  <c r="DK24" i="172"/>
  <c r="DK17" i="172"/>
  <c r="DK10" i="172"/>
  <c r="DX9" i="8"/>
  <c r="DD9" i="9"/>
  <c r="DD10" i="9"/>
  <c r="DD11" i="9"/>
  <c r="DD12" i="9"/>
  <c r="DD13" i="9"/>
  <c r="DD14" i="9"/>
  <c r="EH34" i="8"/>
  <c r="ED89" i="8"/>
  <c r="ED87" i="8" s="1"/>
  <c r="ED90" i="8" s="1"/>
  <c r="EB89" i="8"/>
  <c r="EB87" i="8" s="1"/>
  <c r="EB90" i="8" s="1"/>
  <c r="EA89" i="8"/>
  <c r="EA87" i="8" s="1"/>
  <c r="DZ89" i="8"/>
  <c r="DZ87" i="8" s="1"/>
  <c r="DY89" i="8"/>
  <c r="DY87" i="8" s="1"/>
  <c r="DW89" i="8"/>
  <c r="DW87" i="8" s="1"/>
  <c r="DV89" i="8"/>
  <c r="DV87" i="8" s="1"/>
  <c r="DU89" i="8"/>
  <c r="DU87" i="8" s="1"/>
  <c r="DT89" i="8"/>
  <c r="DT87" i="8" s="1"/>
  <c r="EC34" i="8"/>
  <c r="AJ297" i="172"/>
  <c r="CX8" i="7" s="1"/>
  <c r="AG244" i="172"/>
  <c r="CU13" i="7" s="1"/>
  <c r="AH244" i="172"/>
  <c r="CV13" i="7" s="1"/>
  <c r="AI297" i="172"/>
  <c r="CW8" i="7" s="1"/>
  <c r="AB244" i="172"/>
  <c r="CP13" i="7" s="1"/>
  <c r="AC244" i="172"/>
  <c r="CQ13" i="7" s="1"/>
  <c r="AD244" i="172"/>
  <c r="CR13" i="7" s="1"/>
  <c r="AE244" i="172"/>
  <c r="CS13" i="7" s="1"/>
  <c r="W244" i="172"/>
  <c r="CK13" i="7" s="1"/>
  <c r="Y244" i="172"/>
  <c r="CM13" i="7" s="1"/>
  <c r="X244" i="172"/>
  <c r="CL13" i="7" s="1"/>
  <c r="Z244" i="172"/>
  <c r="CN13" i="7" s="1"/>
  <c r="R244" i="172"/>
  <c r="CF13" i="7" s="1"/>
  <c r="S244" i="172"/>
  <c r="CG13" i="7" s="1"/>
  <c r="T244" i="172"/>
  <c r="CH13" i="7" s="1"/>
  <c r="U244" i="172"/>
  <c r="CI13" i="7" s="1"/>
  <c r="N321" i="172"/>
  <c r="N244" i="172"/>
  <c r="CB13" i="7" s="1"/>
  <c r="N272" i="172"/>
  <c r="CB15" i="7" s="1"/>
  <c r="M321" i="172"/>
  <c r="M253" i="172" s="1"/>
  <c r="CA14" i="7" s="1"/>
  <c r="M244" i="172"/>
  <c r="CA13" i="7" s="1"/>
  <c r="M272" i="172"/>
  <c r="CA15" i="7" s="1"/>
  <c r="O321" i="172"/>
  <c r="O244" i="172"/>
  <c r="CC13" i="7" s="1"/>
  <c r="O272" i="172"/>
  <c r="CC15" i="7" s="1"/>
  <c r="P321" i="172"/>
  <c r="P244" i="172"/>
  <c r="CD13" i="7" s="1"/>
  <c r="P272" i="172"/>
  <c r="CD15" i="7" s="1"/>
  <c r="J321" i="172"/>
  <c r="J253" i="172" s="1"/>
  <c r="J244" i="172"/>
  <c r="J272" i="172"/>
  <c r="K321" i="172"/>
  <c r="K253" i="172" s="1"/>
  <c r="K244" i="172"/>
  <c r="K272" i="172"/>
  <c r="H321" i="172"/>
  <c r="H253" i="172" s="1"/>
  <c r="H244" i="172"/>
  <c r="H272" i="172"/>
  <c r="I321" i="172"/>
  <c r="I244" i="172"/>
  <c r="I272" i="172"/>
  <c r="C321" i="172"/>
  <c r="C244" i="172"/>
  <c r="C272" i="172"/>
  <c r="D321" i="172"/>
  <c r="D253" i="172" s="1"/>
  <c r="D244" i="172"/>
  <c r="D272" i="172"/>
  <c r="E321" i="172"/>
  <c r="E244" i="172"/>
  <c r="E272" i="172"/>
  <c r="F321" i="172"/>
  <c r="F253" i="172" s="1"/>
  <c r="F244" i="172"/>
  <c r="F272" i="172"/>
  <c r="GE9" i="9"/>
  <c r="GD9" i="9"/>
  <c r="GC9" i="9"/>
  <c r="GA9" i="9"/>
  <c r="FZ9" i="9"/>
  <c r="FY9" i="9"/>
  <c r="FX9" i="9"/>
  <c r="FV9" i="9"/>
  <c r="FU9" i="9"/>
  <c r="FT9" i="9"/>
  <c r="FS9" i="9"/>
  <c r="BR9" i="9"/>
  <c r="BS9" i="9" s="1"/>
  <c r="BM9" i="9"/>
  <c r="BN9" i="9" s="1"/>
  <c r="BH9" i="9"/>
  <c r="BI9" i="9" s="1"/>
  <c r="BC9" i="9"/>
  <c r="BD9" i="9" s="1"/>
  <c r="DX9" i="9"/>
  <c r="FW9" i="9"/>
  <c r="DS9" i="9"/>
  <c r="DN9" i="9"/>
  <c r="DI9" i="9"/>
  <c r="CY9" i="9"/>
  <c r="CT9" i="9"/>
  <c r="CO9" i="9"/>
  <c r="CJ9" i="9"/>
  <c r="CE9" i="9"/>
  <c r="EF64" i="123"/>
  <c r="EF83" i="7" s="1"/>
  <c r="EG64" i="123"/>
  <c r="EG83" i="7" s="1"/>
  <c r="DY64" i="123"/>
  <c r="DY83" i="7" s="1"/>
  <c r="DZ64" i="123"/>
  <c r="DZ83" i="7" s="1"/>
  <c r="EA64" i="123"/>
  <c r="EA83" i="7" s="1"/>
  <c r="DT64" i="123"/>
  <c r="DT83" i="7" s="1"/>
  <c r="DU64" i="123"/>
  <c r="DU83" i="7" s="1"/>
  <c r="DV64" i="123"/>
  <c r="DV83" i="7" s="1"/>
  <c r="DW64" i="123"/>
  <c r="DW83" i="7" s="1"/>
  <c r="EI64" i="123"/>
  <c r="EI83" i="7" s="1"/>
  <c r="EM83" i="7" s="1"/>
  <c r="EM89" i="7" s="1"/>
  <c r="BO196" i="172"/>
  <c r="BO170" i="172"/>
  <c r="BO162" i="172"/>
  <c r="BO166" i="172"/>
  <c r="BO140" i="172"/>
  <c r="BO130" i="172"/>
  <c r="BO125" i="172"/>
  <c r="BO475" i="172" s="1"/>
  <c r="BN119" i="172"/>
  <c r="BN135" i="172"/>
  <c r="BN190" i="172" s="1"/>
  <c r="BH264" i="172"/>
  <c r="BM264" i="172" s="1"/>
  <c r="BM253" i="172" s="1"/>
  <c r="EA14" i="7" s="1"/>
  <c r="GC14" i="7" s="1"/>
  <c r="BM244" i="172"/>
  <c r="EA13" i="7" s="1"/>
  <c r="GC13" i="7" s="1"/>
  <c r="BM224" i="172"/>
  <c r="EA12" i="7" s="1"/>
  <c r="GC12" i="7" s="1"/>
  <c r="BG264" i="172"/>
  <c r="BL264" i="172" s="1"/>
  <c r="BL253" i="172" s="1"/>
  <c r="DZ14" i="7" s="1"/>
  <c r="GB14" i="7" s="1"/>
  <c r="BL244" i="172"/>
  <c r="DZ13" i="7" s="1"/>
  <c r="GB13" i="7" s="1"/>
  <c r="BL224" i="172"/>
  <c r="DZ12" i="7" s="1"/>
  <c r="GB12" i="7" s="1"/>
  <c r="AF272" i="172"/>
  <c r="CT15" i="7" s="1"/>
  <c r="FV15" i="7" s="1"/>
  <c r="AA272" i="172"/>
  <c r="CO15" i="7" s="1"/>
  <c r="FU15" i="7" s="1"/>
  <c r="V272" i="172"/>
  <c r="CJ15" i="7" s="1"/>
  <c r="FT15" i="7" s="1"/>
  <c r="AF253" i="172"/>
  <c r="CT14" i="7" s="1"/>
  <c r="FV14" i="7" s="1"/>
  <c r="AA253" i="172"/>
  <c r="CO14" i="7" s="1"/>
  <c r="FU14" i="7" s="1"/>
  <c r="V253" i="172"/>
  <c r="CJ14" i="7" s="1"/>
  <c r="FT14" i="7" s="1"/>
  <c r="AF233" i="172"/>
  <c r="AF244" i="172" s="1"/>
  <c r="CT13" i="7" s="1"/>
  <c r="AA233" i="172"/>
  <c r="AA244" i="172" s="1"/>
  <c r="CO13" i="7" s="1"/>
  <c r="V233" i="172"/>
  <c r="AF224" i="172"/>
  <c r="CT12" i="7" s="1"/>
  <c r="FV12" i="7" s="1"/>
  <c r="AA224" i="172"/>
  <c r="CO12" i="7" s="1"/>
  <c r="FU12" i="7" s="1"/>
  <c r="V224" i="172"/>
  <c r="CJ12" i="7" s="1"/>
  <c r="FT12" i="7" s="1"/>
  <c r="AF210" i="172"/>
  <c r="CT11" i="7" s="1"/>
  <c r="FV11" i="7" s="1"/>
  <c r="AA210" i="172"/>
  <c r="CO11" i="7" s="1"/>
  <c r="FU11" i="7" s="1"/>
  <c r="V210" i="172"/>
  <c r="CJ11" i="7" s="1"/>
  <c r="FT11" i="7" s="1"/>
  <c r="BE272" i="172"/>
  <c r="DS15" i="7" s="1"/>
  <c r="AZ272" i="172"/>
  <c r="DN15" i="7" s="1"/>
  <c r="AU272" i="172"/>
  <c r="DI15" i="7" s="1"/>
  <c r="AP272" i="172"/>
  <c r="DD15" i="7" s="1"/>
  <c r="AK272" i="172"/>
  <c r="CY15" i="7" s="1"/>
  <c r="BE253" i="172"/>
  <c r="AZ253" i="172"/>
  <c r="DN14" i="7" s="1"/>
  <c r="AU253" i="172"/>
  <c r="DI14" i="7" s="1"/>
  <c r="AP253" i="172"/>
  <c r="DD14" i="7" s="1"/>
  <c r="AK253" i="172"/>
  <c r="CY14" i="7" s="1"/>
  <c r="BE244" i="172"/>
  <c r="AE313" i="175" s="1"/>
  <c r="AE379" i="175" s="1"/>
  <c r="AZ244" i="172"/>
  <c r="DN13" i="7" s="1"/>
  <c r="AU244" i="172"/>
  <c r="DI13" i="7" s="1"/>
  <c r="AP244" i="172"/>
  <c r="DD13" i="7" s="1"/>
  <c r="Q233" i="172"/>
  <c r="Q244" i="172" s="1"/>
  <c r="CE13" i="7" s="1"/>
  <c r="BE224" i="172"/>
  <c r="DS12" i="7" s="1"/>
  <c r="AZ224" i="172"/>
  <c r="DN12" i="7" s="1"/>
  <c r="AU224" i="172"/>
  <c r="DI12" i="7" s="1"/>
  <c r="AP224" i="172"/>
  <c r="DD12" i="7" s="1"/>
  <c r="AK224" i="172"/>
  <c r="CY12" i="7" s="1"/>
  <c r="BE210" i="172"/>
  <c r="DS11" i="7" s="1"/>
  <c r="AZ210" i="172"/>
  <c r="DN11" i="7" s="1"/>
  <c r="AU210" i="172"/>
  <c r="DI11" i="7" s="1"/>
  <c r="AP210" i="172"/>
  <c r="DD11" i="7" s="1"/>
  <c r="AK210" i="172"/>
  <c r="CY11" i="7" s="1"/>
  <c r="Q210" i="172"/>
  <c r="CE11" i="7" s="1"/>
  <c r="BT130" i="172"/>
  <c r="BY131" i="172" s="1"/>
  <c r="BS133" i="172"/>
  <c r="BR133" i="172"/>
  <c r="BQ133" i="172"/>
  <c r="BP133" i="172"/>
  <c r="BN133" i="172"/>
  <c r="BM133" i="172"/>
  <c r="BL133" i="172"/>
  <c r="BK133" i="172"/>
  <c r="BS131" i="172"/>
  <c r="BR131" i="172"/>
  <c r="BQ131" i="172"/>
  <c r="BP131" i="172"/>
  <c r="BJ130" i="172"/>
  <c r="BN131" i="172"/>
  <c r="BM131" i="172"/>
  <c r="BL131" i="172"/>
  <c r="BK131" i="172"/>
  <c r="AP325" i="175"/>
  <c r="AQ325" i="175"/>
  <c r="AR325" i="175"/>
  <c r="AS325" i="175"/>
  <c r="BT125" i="172"/>
  <c r="BS128" i="172"/>
  <c r="BR128" i="172"/>
  <c r="BQ128" i="172"/>
  <c r="BP128" i="172"/>
  <c r="BN128" i="172"/>
  <c r="BM128" i="172"/>
  <c r="BL128" i="172"/>
  <c r="BK128" i="172"/>
  <c r="BS126" i="172"/>
  <c r="BR126" i="172"/>
  <c r="BQ126" i="172"/>
  <c r="BQ127" i="172" s="1"/>
  <c r="BP126" i="172"/>
  <c r="BJ125" i="172"/>
  <c r="AJ325" i="189" s="1"/>
  <c r="BN126" i="172"/>
  <c r="BM126" i="172"/>
  <c r="BL126" i="172"/>
  <c r="BK126" i="172"/>
  <c r="BT170" i="172"/>
  <c r="BT114" i="172"/>
  <c r="BY115" i="172" s="1"/>
  <c r="BO114" i="172"/>
  <c r="BS117" i="172"/>
  <c r="BR117" i="172"/>
  <c r="BQ117" i="172"/>
  <c r="BP117" i="172"/>
  <c r="BN117" i="172"/>
  <c r="BM117" i="172"/>
  <c r="BL117" i="172"/>
  <c r="BK117" i="172"/>
  <c r="BS115" i="172"/>
  <c r="BR115" i="172"/>
  <c r="BQ115" i="172"/>
  <c r="BP115" i="172"/>
  <c r="BJ114" i="172"/>
  <c r="AJ318" i="189" s="1"/>
  <c r="BN115" i="172"/>
  <c r="BM115" i="172"/>
  <c r="BL115" i="172"/>
  <c r="BK115" i="172"/>
  <c r="CF167" i="172"/>
  <c r="CK167" i="172" s="1"/>
  <c r="CP167" i="172" s="1"/>
  <c r="CG167" i="172"/>
  <c r="CL167" i="172" s="1"/>
  <c r="CQ167" i="172" s="1"/>
  <c r="CE167" i="172"/>
  <c r="BT166" i="172"/>
  <c r="BT107" i="172"/>
  <c r="BY108" i="172" s="1"/>
  <c r="BO107" i="172"/>
  <c r="BS110" i="172"/>
  <c r="BR110" i="172"/>
  <c r="BQ110" i="172"/>
  <c r="BP110" i="172"/>
  <c r="BN110" i="172"/>
  <c r="BS108" i="172"/>
  <c r="BR108" i="172"/>
  <c r="BQ108" i="172"/>
  <c r="BP108" i="172"/>
  <c r="BT101" i="172"/>
  <c r="BY102" i="172" s="1"/>
  <c r="CF163" i="172"/>
  <c r="CK163" i="172" s="1"/>
  <c r="CP163" i="172" s="1"/>
  <c r="CG163" i="172"/>
  <c r="CL163" i="172" s="1"/>
  <c r="CQ163" i="172" s="1"/>
  <c r="CH163" i="172"/>
  <c r="CM163" i="172" s="1"/>
  <c r="CR163" i="172" s="1"/>
  <c r="BT162" i="172"/>
  <c r="BO101" i="172"/>
  <c r="BS104" i="172"/>
  <c r="BR104" i="172"/>
  <c r="BQ104" i="172"/>
  <c r="BP104" i="172"/>
  <c r="BN104" i="172"/>
  <c r="BM104" i="172"/>
  <c r="BL104" i="172"/>
  <c r="BK104" i="172"/>
  <c r="BS102" i="172"/>
  <c r="BR102" i="172"/>
  <c r="BQ102" i="172"/>
  <c r="BP102" i="172"/>
  <c r="BJ101" i="172"/>
  <c r="BN102" i="172"/>
  <c r="BM102" i="172"/>
  <c r="BL102" i="172"/>
  <c r="BK102" i="172"/>
  <c r="BT96" i="172"/>
  <c r="BY97" i="172" s="1"/>
  <c r="BO96" i="172"/>
  <c r="BN99" i="172"/>
  <c r="BM99" i="172"/>
  <c r="BL99" i="172"/>
  <c r="BK99" i="172"/>
  <c r="BS97" i="172"/>
  <c r="BR97" i="172"/>
  <c r="BQ97" i="172"/>
  <c r="BQ98" i="172" s="1"/>
  <c r="BP97" i="172"/>
  <c r="BJ96" i="172"/>
  <c r="BN97" i="172"/>
  <c r="BM97" i="172"/>
  <c r="BL97" i="172"/>
  <c r="BK97" i="172"/>
  <c r="EH27" i="8"/>
  <c r="EH32" i="8"/>
  <c r="EC27" i="8"/>
  <c r="EC32" i="8"/>
  <c r="BO24" i="172"/>
  <c r="BS25" i="172"/>
  <c r="BR25" i="172"/>
  <c r="BQ25" i="172"/>
  <c r="BP25" i="172"/>
  <c r="AZ29" i="175"/>
  <c r="BO17" i="172"/>
  <c r="BS18" i="172"/>
  <c r="BR18" i="172"/>
  <c r="BQ18" i="172"/>
  <c r="BP18" i="172"/>
  <c r="BO10" i="172"/>
  <c r="BS11" i="172"/>
  <c r="BR11" i="172"/>
  <c r="BQ11" i="172"/>
  <c r="BP11" i="172"/>
  <c r="BF259" i="172"/>
  <c r="BD259" i="172"/>
  <c r="BC259" i="172"/>
  <c r="BB259" i="172"/>
  <c r="BA259" i="172"/>
  <c r="BM110" i="172"/>
  <c r="BL110" i="172"/>
  <c r="BK110" i="172"/>
  <c r="AQ239" i="172"/>
  <c r="AV239" i="172" s="1"/>
  <c r="BA239" i="172" s="1"/>
  <c r="BA240" i="172" s="1"/>
  <c r="AM239" i="172"/>
  <c r="AR239" i="172" s="1"/>
  <c r="AW239" i="172" s="1"/>
  <c r="BB239" i="172" s="1"/>
  <c r="BJ244" i="172"/>
  <c r="B6" i="141"/>
  <c r="B7" i="141" s="1"/>
  <c r="AT294" i="175"/>
  <c r="AF297" i="175"/>
  <c r="AH297" i="175"/>
  <c r="AI297" i="175"/>
  <c r="AF300" i="175"/>
  <c r="AU300" i="175"/>
  <c r="AJ302" i="175"/>
  <c r="AR302" i="175"/>
  <c r="AT302" i="175" s="1"/>
  <c r="AS302" i="175"/>
  <c r="AF304" i="175"/>
  <c r="AH304" i="175"/>
  <c r="AI304" i="175"/>
  <c r="AL304" i="175"/>
  <c r="AK308" i="175"/>
  <c r="AL308" i="175"/>
  <c r="AM308" i="175"/>
  <c r="AI311" i="175"/>
  <c r="AI373" i="175" s="1"/>
  <c r="AL312" i="175"/>
  <c r="AF313" i="175"/>
  <c r="AF379" i="175" s="1"/>
  <c r="AM316" i="175"/>
  <c r="AR316" i="175" s="1"/>
  <c r="AN316" i="175"/>
  <c r="AS316" i="175" s="1"/>
  <c r="AP316" i="175"/>
  <c r="AF318" i="175"/>
  <c r="AH396" i="175"/>
  <c r="AF325" i="175"/>
  <c r="AN325" i="175"/>
  <c r="AF332" i="175"/>
  <c r="AF331" i="175" s="1"/>
  <c r="AG332" i="175"/>
  <c r="AG331" i="175" s="1"/>
  <c r="AH332" i="175"/>
  <c r="AH331" i="175" s="1"/>
  <c r="AI332" i="175"/>
  <c r="AI331" i="175" s="1"/>
  <c r="AV343" i="175"/>
  <c r="AN348" i="175"/>
  <c r="AS349" i="175" s="1"/>
  <c r="AQ348" i="175"/>
  <c r="AV348" i="175" s="1"/>
  <c r="AR348" i="175"/>
  <c r="AW348" i="175" s="1"/>
  <c r="AS348" i="175"/>
  <c r="AX348" i="175" s="1"/>
  <c r="AE351" i="175"/>
  <c r="AF351" i="175"/>
  <c r="AG351" i="175"/>
  <c r="AH351" i="175"/>
  <c r="AI351" i="175"/>
  <c r="AE360" i="175"/>
  <c r="AG376" i="175"/>
  <c r="AL376" i="175"/>
  <c r="AQ376" i="175"/>
  <c r="AV376" i="175" s="1"/>
  <c r="AS376" i="175"/>
  <c r="AX376" i="175" s="1"/>
  <c r="AK402" i="175"/>
  <c r="AM401" i="175"/>
  <c r="AE431" i="175"/>
  <c r="AK431" i="175"/>
  <c r="AL431" i="175"/>
  <c r="AM431" i="175"/>
  <c r="AN431" i="175"/>
  <c r="AP431" i="175"/>
  <c r="AQ431" i="175"/>
  <c r="AR431" i="175"/>
  <c r="AS431" i="175"/>
  <c r="AU431" i="175"/>
  <c r="AD53" i="171"/>
  <c r="AE53" i="171"/>
  <c r="AF53" i="171"/>
  <c r="AG53" i="171"/>
  <c r="AH53" i="171"/>
  <c r="AI53" i="171"/>
  <c r="AJ53" i="171"/>
  <c r="AK53" i="171"/>
  <c r="AL53" i="171"/>
  <c r="AM53" i="171"/>
  <c r="AM270" i="171" s="1"/>
  <c r="AN53" i="171"/>
  <c r="AN270" i="171" s="1"/>
  <c r="AO53" i="171"/>
  <c r="AO270" i="171" s="1"/>
  <c r="AP53" i="171"/>
  <c r="AP270" i="171" s="1"/>
  <c r="AQ53" i="171"/>
  <c r="AQ270" i="171" s="1"/>
  <c r="AR53" i="171"/>
  <c r="AR270" i="171" s="1"/>
  <c r="AS53" i="171"/>
  <c r="AS270" i="171" s="1"/>
  <c r="AT53" i="171"/>
  <c r="AT270" i="171" s="1"/>
  <c r="AU53" i="171"/>
  <c r="AU270" i="171" s="1"/>
  <c r="AV53" i="171"/>
  <c r="AV270" i="171" s="1"/>
  <c r="AW53" i="171"/>
  <c r="AX53" i="171"/>
  <c r="AY53" i="171"/>
  <c r="BA53" i="171"/>
  <c r="BB53" i="171"/>
  <c r="BC53" i="171"/>
  <c r="BD53" i="171"/>
  <c r="BF53" i="171"/>
  <c r="BG53" i="171"/>
  <c r="BH53" i="171"/>
  <c r="BI53" i="171"/>
  <c r="D56" i="171"/>
  <c r="E56" i="171"/>
  <c r="F56" i="171"/>
  <c r="G56" i="171"/>
  <c r="H56" i="171"/>
  <c r="I56" i="171"/>
  <c r="J56" i="171"/>
  <c r="K56" i="171"/>
  <c r="L56" i="171"/>
  <c r="M56" i="171"/>
  <c r="N56" i="171"/>
  <c r="O56" i="171"/>
  <c r="P56" i="171"/>
  <c r="Q56" i="171"/>
  <c r="R56" i="171"/>
  <c r="S56" i="171"/>
  <c r="AK59" i="171"/>
  <c r="AL59" i="171" s="1"/>
  <c r="AM59" i="171" s="1"/>
  <c r="AN59" i="171" s="1"/>
  <c r="AO59" i="171" s="1"/>
  <c r="AP59" i="171" s="1"/>
  <c r="AQ59" i="171" s="1"/>
  <c r="AR59" i="171" s="1"/>
  <c r="AS59" i="171" s="1"/>
  <c r="AT59" i="171" s="1"/>
  <c r="AU59" i="171" s="1"/>
  <c r="AV59" i="171" s="1"/>
  <c r="AW59" i="171" s="1"/>
  <c r="AX59" i="171" s="1"/>
  <c r="AY59" i="171" s="1"/>
  <c r="BA59" i="171" s="1"/>
  <c r="BB59" i="171" s="1"/>
  <c r="BC59" i="171" s="1"/>
  <c r="BD59" i="171" s="1"/>
  <c r="BF59" i="171" s="1"/>
  <c r="BG59" i="171" s="1"/>
  <c r="BH59" i="171" s="1"/>
  <c r="BI59" i="171" s="1"/>
  <c r="BK59" i="171" s="1"/>
  <c r="BL59" i="171" s="1"/>
  <c r="BM59" i="171" s="1"/>
  <c r="BN59" i="171" s="1"/>
  <c r="BP59" i="171" s="1"/>
  <c r="BQ59" i="171" s="1"/>
  <c r="BR59" i="171" s="1"/>
  <c r="BS59" i="171" s="1"/>
  <c r="BU59" i="171" s="1"/>
  <c r="BV59" i="171" s="1"/>
  <c r="BW59" i="171" s="1"/>
  <c r="BX59" i="171" s="1"/>
  <c r="BZ60" i="171"/>
  <c r="CA60" i="171"/>
  <c r="BZ63" i="171"/>
  <c r="CA63" i="171"/>
  <c r="BZ66" i="171"/>
  <c r="CA66" i="171"/>
  <c r="DI67" i="171"/>
  <c r="DJ67" i="171"/>
  <c r="DK67" i="171"/>
  <c r="DL67" i="171"/>
  <c r="DM67" i="171"/>
  <c r="L69" i="171"/>
  <c r="M69" i="171"/>
  <c r="N69" i="171"/>
  <c r="O69" i="171"/>
  <c r="P69" i="171"/>
  <c r="Q69" i="171"/>
  <c r="R69" i="171"/>
  <c r="S69" i="171"/>
  <c r="T69" i="171"/>
  <c r="U69" i="171"/>
  <c r="V69" i="171"/>
  <c r="W69" i="171"/>
  <c r="X69" i="171"/>
  <c r="Y69" i="171"/>
  <c r="Z69" i="171"/>
  <c r="AA69" i="171"/>
  <c r="AB69" i="171"/>
  <c r="AC69" i="171"/>
  <c r="AD69" i="171"/>
  <c r="AE69" i="171"/>
  <c r="AF69" i="171"/>
  <c r="AG69" i="171"/>
  <c r="AH69" i="171"/>
  <c r="AI69" i="171"/>
  <c r="AJ69" i="171"/>
  <c r="AK69" i="171"/>
  <c r="AL69" i="171"/>
  <c r="AM69" i="171"/>
  <c r="AN69" i="171"/>
  <c r="AO69" i="171"/>
  <c r="AP69" i="171"/>
  <c r="AQ69" i="171"/>
  <c r="AR69" i="171"/>
  <c r="AS69" i="171"/>
  <c r="AT69" i="171"/>
  <c r="AU69" i="171"/>
  <c r="AV69" i="171"/>
  <c r="X85" i="171"/>
  <c r="X174" i="171" s="1"/>
  <c r="Y85" i="171"/>
  <c r="AA85" i="171"/>
  <c r="P91" i="171"/>
  <c r="R91" i="171"/>
  <c r="S91" i="171"/>
  <c r="S174" i="171" s="1"/>
  <c r="T91" i="171"/>
  <c r="U91" i="171"/>
  <c r="V91" i="171"/>
  <c r="Y97" i="171"/>
  <c r="Y91" i="171" s="1"/>
  <c r="Z97" i="171"/>
  <c r="Z91" i="171" s="1"/>
  <c r="AA97" i="171"/>
  <c r="AA91" i="171" s="1"/>
  <c r="W103" i="171"/>
  <c r="W174" i="171" s="1"/>
  <c r="P109" i="171"/>
  <c r="Q109" i="171"/>
  <c r="Q174" i="171" s="1"/>
  <c r="R109" i="171"/>
  <c r="T109" i="171"/>
  <c r="U109" i="171"/>
  <c r="V109" i="171"/>
  <c r="Y109" i="171"/>
  <c r="AA109" i="171"/>
  <c r="AB109" i="171"/>
  <c r="AC109" i="171"/>
  <c r="AD109" i="171"/>
  <c r="AE109" i="171"/>
  <c r="AF109" i="171"/>
  <c r="AG109" i="171"/>
  <c r="AH109" i="171"/>
  <c r="AI109" i="171"/>
  <c r="CB120" i="171"/>
  <c r="CB122" i="171" s="1"/>
  <c r="CC120" i="171"/>
  <c r="CC122" i="171" s="1"/>
  <c r="CR120" i="171"/>
  <c r="CS122" i="171" s="1"/>
  <c r="CS120" i="171"/>
  <c r="CT120" i="171"/>
  <c r="CT122" i="171" s="1"/>
  <c r="CU120" i="171"/>
  <c r="Y121" i="171"/>
  <c r="Z121" i="171"/>
  <c r="AA121" i="171"/>
  <c r="CB123" i="171"/>
  <c r="CC123" i="171"/>
  <c r="CR123" i="171"/>
  <c r="CS123" i="171"/>
  <c r="CT123" i="171"/>
  <c r="CU123" i="171"/>
  <c r="CB126" i="171"/>
  <c r="CC126" i="171"/>
  <c r="CC128" i="171" s="1"/>
  <c r="CR126" i="171"/>
  <c r="CS126" i="171"/>
  <c r="CT126" i="171"/>
  <c r="CU126" i="171"/>
  <c r="CU128" i="171" s="1"/>
  <c r="CB129" i="171"/>
  <c r="CC129" i="171"/>
  <c r="CR129" i="171"/>
  <c r="CS129" i="171"/>
  <c r="CT129" i="171"/>
  <c r="CU129" i="171"/>
  <c r="CB132" i="171"/>
  <c r="CB134" i="171" s="1"/>
  <c r="CC132" i="171"/>
  <c r="CR132" i="171"/>
  <c r="CS132" i="171"/>
  <c r="CT132" i="171"/>
  <c r="CU132" i="171"/>
  <c r="AB133" i="171"/>
  <c r="AC133" i="171"/>
  <c r="AE133" i="171"/>
  <c r="AE127" i="171" s="1"/>
  <c r="AE174" i="171" s="1"/>
  <c r="AF133" i="171"/>
  <c r="AF127" i="171" s="1"/>
  <c r="AF174" i="171" s="1"/>
  <c r="AG133" i="171"/>
  <c r="AG127" i="171" s="1"/>
  <c r="AG174" i="171" s="1"/>
  <c r="AH133" i="171"/>
  <c r="AH127" i="171" s="1"/>
  <c r="AH174" i="171" s="1"/>
  <c r="AI133" i="171"/>
  <c r="AI127" i="171" s="1"/>
  <c r="AI174" i="171" s="1"/>
  <c r="AK133" i="171"/>
  <c r="AL133" i="171"/>
  <c r="AM133" i="171"/>
  <c r="AN133" i="171"/>
  <c r="AR133" i="171"/>
  <c r="CB135" i="171"/>
  <c r="CC135" i="171"/>
  <c r="CR135" i="171"/>
  <c r="CS135" i="171"/>
  <c r="CT135" i="171"/>
  <c r="CU135" i="171"/>
  <c r="CB138" i="171"/>
  <c r="CB140" i="171" s="1"/>
  <c r="CC138" i="171"/>
  <c r="CR138" i="171"/>
  <c r="CS138" i="171"/>
  <c r="CT138" i="171"/>
  <c r="CU138" i="171"/>
  <c r="CB144" i="171"/>
  <c r="CB146" i="171" s="1"/>
  <c r="CC144" i="171"/>
  <c r="CD144" i="171"/>
  <c r="CE144" i="171"/>
  <c r="CF144" i="171"/>
  <c r="CR144" i="171"/>
  <c r="CS144" i="171"/>
  <c r="CT144" i="171"/>
  <c r="CU144" i="171"/>
  <c r="CV144" i="171"/>
  <c r="CW144" i="171"/>
  <c r="CX144" i="171"/>
  <c r="AO145" i="171"/>
  <c r="AP145" i="171" s="1"/>
  <c r="AT145" i="171"/>
  <c r="AW145" i="171"/>
  <c r="AX145" i="171" s="1"/>
  <c r="BB145" i="171"/>
  <c r="BG145" i="171"/>
  <c r="BH145" i="171" s="1"/>
  <c r="CB147" i="171"/>
  <c r="CC147" i="171"/>
  <c r="CD147" i="171"/>
  <c r="CE147" i="171"/>
  <c r="CF147" i="171"/>
  <c r="CR147" i="171"/>
  <c r="CS147" i="171"/>
  <c r="CT147" i="171"/>
  <c r="CU147" i="171"/>
  <c r="CV147" i="171"/>
  <c r="CW147" i="171"/>
  <c r="CX147" i="171"/>
  <c r="CB150" i="171"/>
  <c r="CB152" i="171" s="1"/>
  <c r="CC150" i="171"/>
  <c r="CD150" i="171"/>
  <c r="CE150" i="171"/>
  <c r="CF150" i="171"/>
  <c r="CR150" i="171"/>
  <c r="CS150" i="171"/>
  <c r="CT150" i="171"/>
  <c r="CU150" i="171"/>
  <c r="CV150" i="171"/>
  <c r="CW150" i="171"/>
  <c r="CX150" i="171"/>
  <c r="CB153" i="171"/>
  <c r="CC153" i="171"/>
  <c r="CD153" i="171"/>
  <c r="CE153" i="171"/>
  <c r="CF153" i="171"/>
  <c r="CR153" i="171"/>
  <c r="CS153" i="171"/>
  <c r="CT153" i="171"/>
  <c r="CU153" i="171"/>
  <c r="CV153" i="171"/>
  <c r="CW153" i="171"/>
  <c r="CX153" i="171"/>
  <c r="CB156" i="171"/>
  <c r="CB158" i="171" s="1"/>
  <c r="CC156" i="171"/>
  <c r="CL156" i="171"/>
  <c r="CM158" i="171" s="1"/>
  <c r="CR156" i="171"/>
  <c r="CS156" i="171"/>
  <c r="CT156" i="171"/>
  <c r="CU156" i="171"/>
  <c r="AJ157" i="171"/>
  <c r="AJ127" i="171" s="1"/>
  <c r="AJ174" i="171" s="1"/>
  <c r="AK157" i="171"/>
  <c r="AL157" i="171"/>
  <c r="AM157" i="171"/>
  <c r="AN157" i="171"/>
  <c r="AO157" i="171"/>
  <c r="AP157" i="171"/>
  <c r="AQ157" i="171"/>
  <c r="AT157" i="171"/>
  <c r="AU157" i="171"/>
  <c r="AU127" i="171" s="1"/>
  <c r="AU174" i="171" s="1"/>
  <c r="AV157" i="171"/>
  <c r="AW157" i="171"/>
  <c r="AX157" i="171"/>
  <c r="CB159" i="171"/>
  <c r="CC159" i="171"/>
  <c r="CR159" i="171"/>
  <c r="CS159" i="171"/>
  <c r="CT159" i="171"/>
  <c r="CU159" i="171"/>
  <c r="CB162" i="171"/>
  <c r="CB164" i="171" s="1"/>
  <c r="CC162" i="171"/>
  <c r="CD162" i="171"/>
  <c r="CE164" i="171" s="1"/>
  <c r="CE162" i="171"/>
  <c r="CF162" i="171"/>
  <c r="CR162" i="171"/>
  <c r="CS162" i="171"/>
  <c r="CT162" i="171"/>
  <c r="CU162" i="171"/>
  <c r="CV162" i="171"/>
  <c r="CW162" i="171"/>
  <c r="CX162" i="171"/>
  <c r="BC163" i="171"/>
  <c r="BG163" i="171"/>
  <c r="CB165" i="171"/>
  <c r="CC165" i="171"/>
  <c r="CD165" i="171"/>
  <c r="CE165" i="171"/>
  <c r="CF165" i="171"/>
  <c r="CR165" i="171"/>
  <c r="CS165" i="171"/>
  <c r="CT165" i="171"/>
  <c r="CU165" i="171"/>
  <c r="CV165" i="171"/>
  <c r="CW165" i="171"/>
  <c r="CX165" i="171"/>
  <c r="AX172" i="171"/>
  <c r="M176" i="171"/>
  <c r="CA176" i="171"/>
  <c r="S176" i="171"/>
  <c r="W176" i="171" s="1"/>
  <c r="U176" i="171"/>
  <c r="V176" i="171"/>
  <c r="Z177" i="171" s="1"/>
  <c r="AF176" i="171"/>
  <c r="AG176" i="171"/>
  <c r="AK176" i="171" s="1"/>
  <c r="AH176" i="171"/>
  <c r="AL176" i="171" s="1"/>
  <c r="AI176" i="171"/>
  <c r="AM176" i="171" s="1"/>
  <c r="AI293" i="189" s="1"/>
  <c r="AI348" i="189" s="1"/>
  <c r="BZ176" i="171"/>
  <c r="CA177" i="171" s="1"/>
  <c r="CD176" i="171"/>
  <c r="CE176" i="171"/>
  <c r="CT176" i="171"/>
  <c r="CW176" i="171"/>
  <c r="L177" i="171"/>
  <c r="M177" i="171"/>
  <c r="N177" i="171"/>
  <c r="O177" i="171"/>
  <c r="P177" i="171"/>
  <c r="Q177" i="171"/>
  <c r="R177" i="171"/>
  <c r="T177" i="171"/>
  <c r="X177" i="171"/>
  <c r="Y177" i="171"/>
  <c r="AB177" i="171"/>
  <c r="AC177" i="171"/>
  <c r="AD177" i="171"/>
  <c r="AE177" i="171"/>
  <c r="AF178" i="171"/>
  <c r="AG178" i="171"/>
  <c r="AK178" i="171" s="1"/>
  <c r="AO178" i="171" s="1"/>
  <c r="AS178" i="171" s="1"/>
  <c r="AW178" i="171" s="1"/>
  <c r="BB178" i="171" s="1"/>
  <c r="BG178" i="171" s="1"/>
  <c r="AH178" i="171"/>
  <c r="AL178" i="171" s="1"/>
  <c r="AP178" i="171" s="1"/>
  <c r="AT178" i="171" s="1"/>
  <c r="AX178" i="171" s="1"/>
  <c r="BC178" i="171" s="1"/>
  <c r="BH178" i="171" s="1"/>
  <c r="BM178" i="171" s="1"/>
  <c r="BR178" i="171" s="1"/>
  <c r="BW178" i="171" s="1"/>
  <c r="AI178" i="171"/>
  <c r="AM178" i="171" s="1"/>
  <c r="AJ178" i="171"/>
  <c r="AN178" i="171" s="1"/>
  <c r="AR178" i="171" s="1"/>
  <c r="AV178" i="171" s="1"/>
  <c r="BA178" i="171" s="1"/>
  <c r="BF178" i="171" s="1"/>
  <c r="BK178" i="171" s="1"/>
  <c r="BP178" i="171" s="1"/>
  <c r="BU178" i="171" s="1"/>
  <c r="CE178" i="171"/>
  <c r="CE179" i="171" s="1"/>
  <c r="CW178" i="171"/>
  <c r="CW179" i="171" s="1"/>
  <c r="AB179" i="171"/>
  <c r="CB180" i="171"/>
  <c r="CC180" i="171"/>
  <c r="CD180" i="171"/>
  <c r="CU180" i="171"/>
  <c r="CV180" i="171"/>
  <c r="CF182" i="171"/>
  <c r="CF183" i="171" s="1"/>
  <c r="CW182" i="171"/>
  <c r="CW183" i="171" s="1"/>
  <c r="CX182" i="171"/>
  <c r="CC183" i="171"/>
  <c r="CD183" i="171"/>
  <c r="CE183" i="171"/>
  <c r="CV183" i="171"/>
  <c r="AV184" i="171"/>
  <c r="BU210" i="172" s="1"/>
  <c r="H192" i="171"/>
  <c r="I192" i="171"/>
  <c r="J192" i="171"/>
  <c r="K192" i="171"/>
  <c r="L192" i="171"/>
  <c r="M192" i="171"/>
  <c r="N192" i="171"/>
  <c r="O192" i="171"/>
  <c r="P192" i="171"/>
  <c r="Q192" i="171"/>
  <c r="R192" i="171"/>
  <c r="S192" i="171"/>
  <c r="T192" i="171"/>
  <c r="U192" i="171"/>
  <c r="V192" i="171"/>
  <c r="W192" i="171"/>
  <c r="X192" i="171"/>
  <c r="Y192" i="171"/>
  <c r="Z192" i="171"/>
  <c r="AA192" i="171"/>
  <c r="AB192" i="171"/>
  <c r="AC192" i="171"/>
  <c r="AD192" i="171"/>
  <c r="AE192" i="171"/>
  <c r="AF192" i="171"/>
  <c r="AG192" i="171"/>
  <c r="AH192" i="171"/>
  <c r="AI192" i="171"/>
  <c r="AJ192" i="171"/>
  <c r="AK192" i="171"/>
  <c r="AL192" i="171"/>
  <c r="AM192" i="171"/>
  <c r="CQ196" i="171"/>
  <c r="CA199" i="171"/>
  <c r="N210" i="171"/>
  <c r="N211" i="171" s="1"/>
  <c r="O210" i="171"/>
  <c r="O211" i="171" s="1"/>
  <c r="P210" i="171"/>
  <c r="P211" i="171" s="1"/>
  <c r="Q210" i="171"/>
  <c r="R210" i="171"/>
  <c r="S210" i="171"/>
  <c r="F211" i="171"/>
  <c r="G211" i="171"/>
  <c r="H211" i="171"/>
  <c r="I211" i="171"/>
  <c r="J211" i="171"/>
  <c r="K211" i="171"/>
  <c r="L211" i="171"/>
  <c r="M211" i="171"/>
  <c r="H213" i="171"/>
  <c r="I213" i="171"/>
  <c r="J213" i="171"/>
  <c r="K213" i="171"/>
  <c r="L213" i="171"/>
  <c r="M213" i="171"/>
  <c r="N213" i="171"/>
  <c r="O213" i="171"/>
  <c r="P213" i="171"/>
  <c r="Q213" i="171"/>
  <c r="R213" i="171"/>
  <c r="S213" i="171"/>
  <c r="T213" i="171"/>
  <c r="U213" i="171"/>
  <c r="V213" i="171"/>
  <c r="W213" i="171"/>
  <c r="F214" i="171"/>
  <c r="Y214" i="171"/>
  <c r="Z214" i="171" s="1"/>
  <c r="AA214" i="171" s="1"/>
  <c r="AB214" i="171" s="1"/>
  <c r="AC214" i="171" s="1"/>
  <c r="AD214" i="171" s="1"/>
  <c r="AE214" i="171" s="1"/>
  <c r="AS214" i="171"/>
  <c r="AT214" i="171" s="1"/>
  <c r="AU214" i="171" s="1"/>
  <c r="BA214" i="171" s="1"/>
  <c r="BB214" i="171" s="1"/>
  <c r="BC214" i="171" s="1"/>
  <c r="F215" i="171"/>
  <c r="N215" i="171"/>
  <c r="O215" i="171"/>
  <c r="P215" i="171"/>
  <c r="Q215" i="171"/>
  <c r="R215" i="171"/>
  <c r="S215" i="171"/>
  <c r="T215" i="171"/>
  <c r="U215" i="171"/>
  <c r="V215" i="171"/>
  <c r="W215" i="171"/>
  <c r="Y215" i="171"/>
  <c r="Y217" i="171" s="1"/>
  <c r="Y213" i="171" s="1"/>
  <c r="Z215" i="171"/>
  <c r="Z217" i="171" s="1"/>
  <c r="Z213" i="171" s="1"/>
  <c r="AA215" i="171"/>
  <c r="AA216" i="171" s="1"/>
  <c r="AB215" i="171"/>
  <c r="AB217" i="171" s="1"/>
  <c r="AB213" i="171" s="1"/>
  <c r="AC215" i="171"/>
  <c r="AD215" i="171"/>
  <c r="AD216" i="171" s="1"/>
  <c r="AE215" i="171"/>
  <c r="AE216" i="171" s="1"/>
  <c r="AF215" i="171"/>
  <c r="AF217" i="171" s="1"/>
  <c r="AF213" i="171" s="1"/>
  <c r="AG215" i="171"/>
  <c r="AG216" i="171" s="1"/>
  <c r="AH215" i="171"/>
  <c r="AH216" i="171" s="1"/>
  <c r="AI215" i="171"/>
  <c r="AI216" i="171" s="1"/>
  <c r="AJ215" i="171"/>
  <c r="AJ217" i="171" s="1"/>
  <c r="AJ213" i="171" s="1"/>
  <c r="F216" i="171"/>
  <c r="N216" i="171"/>
  <c r="O216" i="171"/>
  <c r="P216" i="171"/>
  <c r="Q216" i="171"/>
  <c r="R216" i="171"/>
  <c r="S216" i="171"/>
  <c r="T216" i="171"/>
  <c r="U216" i="171"/>
  <c r="V216" i="171"/>
  <c r="W216" i="171"/>
  <c r="X216" i="171"/>
  <c r="N217" i="171"/>
  <c r="O217" i="171"/>
  <c r="P217" i="171"/>
  <c r="Q217" i="171"/>
  <c r="R217" i="171"/>
  <c r="S217" i="171"/>
  <c r="T217" i="171"/>
  <c r="U217" i="171"/>
  <c r="V217" i="171"/>
  <c r="W217" i="171"/>
  <c r="X217" i="171"/>
  <c r="X213" i="171" s="1"/>
  <c r="Y218" i="171"/>
  <c r="Z218" i="171"/>
  <c r="AA218" i="171"/>
  <c r="AB218" i="171"/>
  <c r="AC218" i="171"/>
  <c r="AD218" i="171"/>
  <c r="AE218" i="171"/>
  <c r="AF218" i="171"/>
  <c r="AG218" i="171"/>
  <c r="AH218" i="171"/>
  <c r="AI218" i="171"/>
  <c r="AJ218" i="171"/>
  <c r="AK218" i="171"/>
  <c r="AL218" i="171"/>
  <c r="AM218" i="171"/>
  <c r="AN218" i="171"/>
  <c r="AO218" i="171"/>
  <c r="AP218" i="171"/>
  <c r="AQ218" i="171"/>
  <c r="AS218" i="171"/>
  <c r="AT218" i="171"/>
  <c r="AU218" i="171"/>
  <c r="AV218" i="171"/>
  <c r="AW218" i="171"/>
  <c r="AX218" i="171"/>
  <c r="AY218" i="171"/>
  <c r="BA218" i="171"/>
  <c r="BB218" i="171"/>
  <c r="BC218" i="171"/>
  <c r="BD218" i="171"/>
  <c r="BF218" i="171"/>
  <c r="BG218" i="171"/>
  <c r="BH218" i="171"/>
  <c r="BI218" i="171"/>
  <c r="Y219" i="171"/>
  <c r="Z219" i="171"/>
  <c r="AA219" i="171"/>
  <c r="AB219" i="171"/>
  <c r="AC219" i="171"/>
  <c r="AD219" i="171"/>
  <c r="AE219" i="171"/>
  <c r="AF219" i="171"/>
  <c r="AG219" i="171"/>
  <c r="AH219" i="171"/>
  <c r="AI219" i="171"/>
  <c r="AJ219" i="171"/>
  <c r="AK220" i="171"/>
  <c r="AK222" i="171" s="1"/>
  <c r="AS220" i="171"/>
  <c r="AT220" i="171" s="1"/>
  <c r="AT222" i="171" s="1"/>
  <c r="Y221" i="171"/>
  <c r="Z221" i="171"/>
  <c r="AA221" i="171"/>
  <c r="AB221" i="171"/>
  <c r="AC221" i="171"/>
  <c r="AD221" i="171"/>
  <c r="AE221" i="171"/>
  <c r="AF221" i="171"/>
  <c r="AG221" i="171"/>
  <c r="AH221" i="171"/>
  <c r="AI221" i="171"/>
  <c r="AJ221" i="171"/>
  <c r="Y222" i="171"/>
  <c r="Z222" i="171"/>
  <c r="AA222" i="171"/>
  <c r="AB222" i="171"/>
  <c r="AC222" i="171"/>
  <c r="AD222" i="171"/>
  <c r="AE222" i="171"/>
  <c r="AF222" i="171"/>
  <c r="AG222" i="171"/>
  <c r="AH222" i="171"/>
  <c r="AI222" i="171"/>
  <c r="AJ222" i="171"/>
  <c r="AP223" i="171"/>
  <c r="AP225" i="171" s="1"/>
  <c r="AP233" i="171" s="1"/>
  <c r="AP227" i="171" s="1"/>
  <c r="AS224" i="171"/>
  <c r="AS234" i="171" s="1"/>
  <c r="AS228" i="171" s="1"/>
  <c r="AV223" i="171"/>
  <c r="AV225" i="171" s="1"/>
  <c r="AV233" i="171" s="1"/>
  <c r="AV227" i="171" s="1"/>
  <c r="CY223" i="171"/>
  <c r="CZ223" i="171"/>
  <c r="DB223" i="171"/>
  <c r="AK224" i="171"/>
  <c r="AK234" i="171" s="1"/>
  <c r="AK228" i="171" s="1"/>
  <c r="AL224" i="171"/>
  <c r="AL234" i="171" s="1"/>
  <c r="AL228" i="171" s="1"/>
  <c r="AM224" i="171"/>
  <c r="AM234" i="171" s="1"/>
  <c r="AM228" i="171" s="1"/>
  <c r="AN224" i="171"/>
  <c r="AN234" i="171" s="1"/>
  <c r="AN228" i="171" s="1"/>
  <c r="AP224" i="171"/>
  <c r="AP234" i="171" s="1"/>
  <c r="AP228" i="171" s="1"/>
  <c r="AQ224" i="171"/>
  <c r="AT224" i="171"/>
  <c r="AT234" i="171" s="1"/>
  <c r="AT228" i="171" s="1"/>
  <c r="AU224" i="171"/>
  <c r="CY224" i="171"/>
  <c r="AK225" i="171"/>
  <c r="CY225" i="171" s="1"/>
  <c r="AL225" i="171"/>
  <c r="AL233" i="171" s="1"/>
  <c r="AL227" i="171" s="1"/>
  <c r="AM225" i="171"/>
  <c r="AM233" i="171" s="1"/>
  <c r="AM227" i="171" s="1"/>
  <c r="AN225" i="171"/>
  <c r="AN233" i="171" s="1"/>
  <c r="AN227" i="171" s="1"/>
  <c r="AO225" i="171"/>
  <c r="AO233" i="171" s="1"/>
  <c r="AO227" i="171" s="1"/>
  <c r="AQ225" i="171"/>
  <c r="AS225" i="171"/>
  <c r="AS233" i="171" s="1"/>
  <c r="AS227" i="171" s="1"/>
  <c r="AT225" i="171"/>
  <c r="AT233" i="171" s="1"/>
  <c r="AT227" i="171" s="1"/>
  <c r="AU225" i="171"/>
  <c r="AU233" i="171" s="1"/>
  <c r="AU227" i="171" s="1"/>
  <c r="AK231" i="171"/>
  <c r="BG260" i="172" s="1"/>
  <c r="AL231" i="171"/>
  <c r="BH260" i="172" s="1"/>
  <c r="AM231" i="171"/>
  <c r="BI260" i="172" s="1"/>
  <c r="AN231" i="171"/>
  <c r="BK260" i="172" s="1"/>
  <c r="AO231" i="171"/>
  <c r="BL260" i="172" s="1"/>
  <c r="BL257" i="172" s="1"/>
  <c r="AP231" i="171"/>
  <c r="AQ231" i="171"/>
  <c r="BN260" i="172" s="1"/>
  <c r="BN261" i="172" s="1"/>
  <c r="AR231" i="171"/>
  <c r="BP260" i="172" s="1"/>
  <c r="AS231" i="171"/>
  <c r="BQ260" i="172" s="1"/>
  <c r="AT231" i="171"/>
  <c r="BR260" i="172" s="1"/>
  <c r="AU231" i="171"/>
  <c r="BS260" i="172" s="1"/>
  <c r="BS261" i="172" s="1"/>
  <c r="AV231" i="171"/>
  <c r="AQ233" i="171"/>
  <c r="AQ227" i="171" s="1"/>
  <c r="AR233" i="171"/>
  <c r="AR227" i="171" s="1"/>
  <c r="AO234" i="171"/>
  <c r="AO228" i="171" s="1"/>
  <c r="AQ234" i="171"/>
  <c r="AQ228" i="171" s="1"/>
  <c r="AR234" i="171"/>
  <c r="AR228" i="171" s="1"/>
  <c r="AU234" i="171"/>
  <c r="AU228" i="171" s="1"/>
  <c r="U239" i="171"/>
  <c r="N244" i="171"/>
  <c r="N255" i="171" s="1"/>
  <c r="W248" i="171"/>
  <c r="W255" i="171" s="1"/>
  <c r="X248" i="171"/>
  <c r="X255" i="171" s="1"/>
  <c r="B255" i="171"/>
  <c r="C255" i="171"/>
  <c r="D255" i="171"/>
  <c r="E255" i="171"/>
  <c r="F255" i="171"/>
  <c r="G255" i="171"/>
  <c r="G256" i="171" s="1"/>
  <c r="H255" i="171"/>
  <c r="I255" i="171"/>
  <c r="I256" i="171" s="1"/>
  <c r="J255" i="171"/>
  <c r="K255" i="171"/>
  <c r="K256" i="171" s="1"/>
  <c r="L255" i="171"/>
  <c r="M255" i="171"/>
  <c r="M256" i="171" s="1"/>
  <c r="O255" i="171"/>
  <c r="P255" i="171"/>
  <c r="Q255" i="171"/>
  <c r="R255" i="171"/>
  <c r="S255" i="171"/>
  <c r="T255" i="171"/>
  <c r="U255" i="171"/>
  <c r="V255" i="171"/>
  <c r="AE255" i="171"/>
  <c r="AF255" i="171"/>
  <c r="AG255" i="171"/>
  <c r="AH255" i="171"/>
  <c r="AK269" i="171"/>
  <c r="CY269" i="171" s="1"/>
  <c r="AL269" i="171"/>
  <c r="AM269" i="171"/>
  <c r="AN269" i="171"/>
  <c r="AO269" i="171"/>
  <c r="AP269" i="171"/>
  <c r="AQ269" i="171"/>
  <c r="AR269" i="171"/>
  <c r="AS269" i="171"/>
  <c r="AT269" i="171"/>
  <c r="AU269" i="171"/>
  <c r="AV269" i="171"/>
  <c r="AK270" i="171"/>
  <c r="CY270" i="171" s="1"/>
  <c r="AL270" i="171"/>
  <c r="CW180" i="171"/>
  <c r="CW181" i="171" s="1"/>
  <c r="CT134" i="171"/>
  <c r="CU164" i="171"/>
  <c r="CE180" i="171"/>
  <c r="CB128" i="171"/>
  <c r="AK221" i="171"/>
  <c r="AU220" i="171"/>
  <c r="AU222" i="171" s="1"/>
  <c r="CX183" i="171"/>
  <c r="AC216" i="171"/>
  <c r="CS176" i="171"/>
  <c r="CT177" i="171" s="1"/>
  <c r="BW409" i="172" s="1"/>
  <c r="CT164" i="171"/>
  <c r="BD163" i="171"/>
  <c r="CW146" i="171"/>
  <c r="CC134" i="171"/>
  <c r="AN116" i="175"/>
  <c r="AM116" i="175"/>
  <c r="AL116" i="175"/>
  <c r="AM118" i="175" s="1"/>
  <c r="AK116" i="175"/>
  <c r="AK35" i="175" s="1"/>
  <c r="AS116" i="175"/>
  <c r="AR116" i="175"/>
  <c r="AQ116" i="175"/>
  <c r="AQ117" i="175" s="1"/>
  <c r="AP116" i="175"/>
  <c r="AP35" i="175" s="1"/>
  <c r="CI38" i="171"/>
  <c r="CH38" i="171"/>
  <c r="CG38" i="171"/>
  <c r="AW69" i="171"/>
  <c r="CB22" i="171"/>
  <c r="CC22" i="171"/>
  <c r="CD22" i="171"/>
  <c r="CE22" i="171"/>
  <c r="CF22" i="171"/>
  <c r="CG22" i="171"/>
  <c r="CH22" i="171"/>
  <c r="CI22" i="171"/>
  <c r="AE32" i="171"/>
  <c r="AD32" i="171"/>
  <c r="EI120" i="135"/>
  <c r="EI119" i="135"/>
  <c r="BS27" i="172"/>
  <c r="EG119" i="135" s="1"/>
  <c r="BR27" i="172"/>
  <c r="EF119" i="135" s="1"/>
  <c r="BQ27" i="172"/>
  <c r="EE119" i="135" s="1"/>
  <c r="BP27" i="172"/>
  <c r="ED119" i="135" s="1"/>
  <c r="BN27" i="172"/>
  <c r="EB119" i="135" s="1"/>
  <c r="BM27" i="172"/>
  <c r="EA119" i="135" s="1"/>
  <c r="BL27" i="172"/>
  <c r="DZ119" i="135" s="1"/>
  <c r="ED118" i="135"/>
  <c r="EI117" i="135"/>
  <c r="EI113" i="135" s="1"/>
  <c r="EN114" i="135" s="1"/>
  <c r="EG117" i="135"/>
  <c r="EG113" i="135" s="1"/>
  <c r="EF117" i="135"/>
  <c r="EF113" i="135" s="1"/>
  <c r="EE117" i="135"/>
  <c r="ED117" i="135"/>
  <c r="ED113" i="135" s="1"/>
  <c r="EB117" i="135"/>
  <c r="EA117" i="135"/>
  <c r="DZ117" i="135"/>
  <c r="DY117" i="135"/>
  <c r="DX117" i="135"/>
  <c r="EI110" i="135"/>
  <c r="BS20" i="172"/>
  <c r="EG110" i="135" s="1"/>
  <c r="BR20" i="172"/>
  <c r="EF110" i="135" s="1"/>
  <c r="BQ20" i="172"/>
  <c r="EE110" i="135" s="1"/>
  <c r="BP20" i="172"/>
  <c r="ED110" i="135" s="1"/>
  <c r="BN20" i="172"/>
  <c r="EB110" i="135" s="1"/>
  <c r="BM20" i="172"/>
  <c r="EA110" i="135" s="1"/>
  <c r="BL20" i="172"/>
  <c r="DZ110" i="135" s="1"/>
  <c r="EI108" i="135"/>
  <c r="EI104" i="135" s="1"/>
  <c r="EN105" i="135" s="1"/>
  <c r="EG108" i="135"/>
  <c r="EG104" i="135" s="1"/>
  <c r="EF108" i="135"/>
  <c r="EF104" i="135" s="1"/>
  <c r="EE108" i="135"/>
  <c r="EE104" i="135" s="1"/>
  <c r="ED108" i="135"/>
  <c r="ED104" i="135" s="1"/>
  <c r="EB108" i="135"/>
  <c r="EA108" i="135"/>
  <c r="DZ108" i="135"/>
  <c r="DY108" i="135"/>
  <c r="DX108" i="135"/>
  <c r="EI102" i="135"/>
  <c r="EI101" i="135"/>
  <c r="BS13" i="172"/>
  <c r="EG101" i="135" s="1"/>
  <c r="BR13" i="172"/>
  <c r="EF101" i="135" s="1"/>
  <c r="BQ13" i="172"/>
  <c r="EE101" i="135" s="1"/>
  <c r="BP13" i="172"/>
  <c r="ED101" i="135" s="1"/>
  <c r="BN13" i="172"/>
  <c r="EB101" i="135" s="1"/>
  <c r="BM13" i="172"/>
  <c r="EA101" i="135" s="1"/>
  <c r="BL13" i="172"/>
  <c r="DZ101" i="135" s="1"/>
  <c r="EI100" i="135"/>
  <c r="DX99" i="135"/>
  <c r="EI99" i="135"/>
  <c r="EI95" i="135" s="1"/>
  <c r="EN96" i="135" s="1"/>
  <c r="EG99" i="135"/>
  <c r="EG95" i="135" s="1"/>
  <c r="EF99" i="135"/>
  <c r="EF95" i="135" s="1"/>
  <c r="EE99" i="135"/>
  <c r="EE95" i="135" s="1"/>
  <c r="ED99" i="135"/>
  <c r="ED95" i="135" s="1"/>
  <c r="EB99" i="135"/>
  <c r="EA99" i="135"/>
  <c r="DZ99" i="135"/>
  <c r="DY99" i="135"/>
  <c r="AJ82" i="175"/>
  <c r="AJ101" i="175"/>
  <c r="AJ129" i="175"/>
  <c r="AJ43" i="175"/>
  <c r="AJ40" i="175"/>
  <c r="AJ28" i="175"/>
  <c r="AJ17" i="175"/>
  <c r="BO73" i="172"/>
  <c r="BO74" i="172" s="1"/>
  <c r="AU97" i="175"/>
  <c r="BS75" i="172"/>
  <c r="BR75" i="172"/>
  <c r="BQ75" i="172"/>
  <c r="BP75" i="172"/>
  <c r="EG6" i="135"/>
  <c r="EF6" i="135"/>
  <c r="EE6" i="135"/>
  <c r="ED6" i="135"/>
  <c r="EI8" i="135" s="1"/>
  <c r="EB6" i="135"/>
  <c r="EA6" i="135"/>
  <c r="EF8" i="135" s="1"/>
  <c r="DZ6" i="135"/>
  <c r="DY6" i="135"/>
  <c r="DW6" i="135"/>
  <c r="DV6" i="135"/>
  <c r="DU6" i="135"/>
  <c r="DT6" i="135"/>
  <c r="EI53" i="135"/>
  <c r="EN54" i="135" s="1"/>
  <c r="AV48" i="171"/>
  <c r="EI70" i="12"/>
  <c r="EI68" i="12"/>
  <c r="EI62" i="12"/>
  <c r="EI60" i="12"/>
  <c r="EI64" i="12" s="1"/>
  <c r="EI52" i="12"/>
  <c r="EI17" i="12"/>
  <c r="EI10" i="12"/>
  <c r="EI8" i="12"/>
  <c r="EM8" i="12" s="1"/>
  <c r="EI47" i="123"/>
  <c r="EI46" i="123"/>
  <c r="EI45" i="123"/>
  <c r="EI38" i="123"/>
  <c r="EI39" i="123"/>
  <c r="EI27" i="123"/>
  <c r="EI26" i="123"/>
  <c r="EI28" i="123"/>
  <c r="EI59" i="123"/>
  <c r="EI23" i="123"/>
  <c r="EI21" i="123"/>
  <c r="EI17" i="123"/>
  <c r="EI16" i="123"/>
  <c r="EI13" i="123"/>
  <c r="EI12" i="123"/>
  <c r="EI58" i="123"/>
  <c r="EI10" i="123"/>
  <c r="EI7" i="123"/>
  <c r="EI51" i="123"/>
  <c r="DD298" i="171"/>
  <c r="DC298" i="171"/>
  <c r="DB298" i="171"/>
  <c r="DA298" i="171"/>
  <c r="DA49" i="171"/>
  <c r="DA48" i="171"/>
  <c r="DA46" i="171"/>
  <c r="DA45" i="171"/>
  <c r="DK30" i="172"/>
  <c r="EI18" i="123"/>
  <c r="EI11" i="123"/>
  <c r="EI14" i="123"/>
  <c r="EI29" i="123"/>
  <c r="EI40" i="123"/>
  <c r="EI60" i="123"/>
  <c r="EI30" i="123"/>
  <c r="EI41" i="123"/>
  <c r="EI42" i="123"/>
  <c r="DK73" i="172"/>
  <c r="BN54" i="172"/>
  <c r="BN77" i="172" s="1"/>
  <c r="BM54" i="172"/>
  <c r="BM77" i="172" s="1"/>
  <c r="BL54" i="172"/>
  <c r="BL77" i="172" s="1"/>
  <c r="BK54" i="172"/>
  <c r="BK77" i="172" s="1"/>
  <c r="BN49" i="172"/>
  <c r="BN48" i="172" s="1"/>
  <c r="BM49" i="172"/>
  <c r="BM48" i="172" s="1"/>
  <c r="BL49" i="172"/>
  <c r="BL72" i="172" s="1"/>
  <c r="BK49" i="172"/>
  <c r="AS91" i="175"/>
  <c r="AR91" i="175"/>
  <c r="AQ91" i="175"/>
  <c r="AQ88" i="175" s="1"/>
  <c r="AP91" i="175"/>
  <c r="AP24" i="175" s="1"/>
  <c r="BW294" i="175"/>
  <c r="AA297" i="175"/>
  <c r="AA354" i="175" s="1"/>
  <c r="AB297" i="175"/>
  <c r="AB354" i="175" s="1"/>
  <c r="AC297" i="175"/>
  <c r="AC354" i="175" s="1"/>
  <c r="AD297" i="175"/>
  <c r="AD354" i="175" s="1"/>
  <c r="AD355" i="175" s="1"/>
  <c r="BW302" i="175"/>
  <c r="AA304" i="175"/>
  <c r="AA360" i="175" s="1"/>
  <c r="AB304" i="175"/>
  <c r="AB360" i="175" s="1"/>
  <c r="AC304" i="175"/>
  <c r="AC360" i="175" s="1"/>
  <c r="AD304" i="175"/>
  <c r="AD360" i="175" s="1"/>
  <c r="AA318" i="175"/>
  <c r="AB318" i="175"/>
  <c r="AC318" i="175"/>
  <c r="AD318" i="175"/>
  <c r="AA325" i="175"/>
  <c r="AB325" i="175"/>
  <c r="AC325" i="175"/>
  <c r="AD325" i="175"/>
  <c r="AA332" i="175"/>
  <c r="AB332" i="175"/>
  <c r="AC332" i="175"/>
  <c r="AD332" i="175"/>
  <c r="B351" i="175"/>
  <c r="C351" i="175"/>
  <c r="D351" i="175"/>
  <c r="E351" i="175"/>
  <c r="G351" i="175"/>
  <c r="H351" i="175"/>
  <c r="I351" i="175"/>
  <c r="J351" i="175"/>
  <c r="L351" i="175"/>
  <c r="M351" i="175"/>
  <c r="N351" i="175"/>
  <c r="O351" i="175"/>
  <c r="Q351" i="175"/>
  <c r="R351" i="175"/>
  <c r="S351" i="175"/>
  <c r="T351" i="175"/>
  <c r="V351" i="175"/>
  <c r="W351" i="175"/>
  <c r="X351" i="175"/>
  <c r="Y351" i="175"/>
  <c r="AA351" i="175"/>
  <c r="AB351" i="175"/>
  <c r="AB352" i="175" s="1"/>
  <c r="AC351" i="175"/>
  <c r="AC352" i="175" s="1"/>
  <c r="AD351" i="175"/>
  <c r="AA366" i="175"/>
  <c r="AA367" i="175" s="1"/>
  <c r="AB366" i="175"/>
  <c r="AB367" i="175" s="1"/>
  <c r="AC366" i="175"/>
  <c r="AD366" i="175"/>
  <c r="AD367" i="175" s="1"/>
  <c r="F384" i="175"/>
  <c r="U384" i="175"/>
  <c r="AC385" i="175"/>
  <c r="A391" i="175"/>
  <c r="A396" i="175"/>
  <c r="B408" i="175"/>
  <c r="C408" i="175"/>
  <c r="D408" i="175"/>
  <c r="E408" i="175"/>
  <c r="G408" i="175"/>
  <c r="H408" i="175"/>
  <c r="I408" i="175"/>
  <c r="J408" i="175"/>
  <c r="L408" i="175"/>
  <c r="M408" i="175"/>
  <c r="N408" i="175"/>
  <c r="O408" i="175"/>
  <c r="Q408" i="175"/>
  <c r="R408" i="175"/>
  <c r="S408" i="175"/>
  <c r="T408" i="175"/>
  <c r="V408" i="175"/>
  <c r="W408" i="175"/>
  <c r="X408" i="175"/>
  <c r="Y408" i="175"/>
  <c r="AA408" i="175"/>
  <c r="AB408" i="175"/>
  <c r="AC408" i="175"/>
  <c r="AD408" i="175"/>
  <c r="AF158" i="175"/>
  <c r="AF360" i="175" s="1"/>
  <c r="BW113" i="175"/>
  <c r="AF155" i="175"/>
  <c r="AG155" i="175"/>
  <c r="AL156" i="175" s="1"/>
  <c r="AH155" i="175"/>
  <c r="AI155" i="175"/>
  <c r="AK155" i="175"/>
  <c r="AK156" i="175" s="1"/>
  <c r="AM155" i="175"/>
  <c r="AM157" i="175" s="1"/>
  <c r="AN155" i="175"/>
  <c r="AN157" i="175" s="1"/>
  <c r="AP155" i="175"/>
  <c r="AP157" i="175" s="1"/>
  <c r="AQ155" i="175"/>
  <c r="AQ156" i="175" s="1"/>
  <c r="AR155" i="175"/>
  <c r="AR156" i="175" s="1"/>
  <c r="AS155" i="175"/>
  <c r="AS157" i="175" s="1"/>
  <c r="AN260" i="175"/>
  <c r="AM260" i="175"/>
  <c r="AL260" i="175"/>
  <c r="AK260" i="175"/>
  <c r="B426" i="175"/>
  <c r="C426" i="175"/>
  <c r="D426" i="175"/>
  <c r="E426" i="175"/>
  <c r="G426" i="175"/>
  <c r="H426" i="175"/>
  <c r="I426" i="175"/>
  <c r="J426" i="175"/>
  <c r="L426" i="175"/>
  <c r="M426" i="175"/>
  <c r="N426" i="175"/>
  <c r="O426" i="175"/>
  <c r="Q426" i="175"/>
  <c r="R426" i="175"/>
  <c r="S426" i="175"/>
  <c r="T426" i="175"/>
  <c r="V426" i="175"/>
  <c r="W426" i="175"/>
  <c r="X426" i="175"/>
  <c r="Y426" i="175"/>
  <c r="AA426" i="175"/>
  <c r="AA427" i="175" s="1"/>
  <c r="AB426" i="175"/>
  <c r="AC426" i="175"/>
  <c r="AD426" i="175"/>
  <c r="AS187" i="175"/>
  <c r="AS188" i="175" s="1"/>
  <c r="AQ187" i="175"/>
  <c r="AP187" i="175"/>
  <c r="BW97" i="175"/>
  <c r="BW66" i="175"/>
  <c r="AM124" i="175"/>
  <c r="AL124" i="175"/>
  <c r="AQ123" i="175"/>
  <c r="AS115" i="175"/>
  <c r="AR115" i="175"/>
  <c r="AQ115" i="175"/>
  <c r="AP115" i="175"/>
  <c r="AN115" i="175"/>
  <c r="AM115" i="175"/>
  <c r="AL115" i="175"/>
  <c r="AS114" i="175"/>
  <c r="AR114" i="175"/>
  <c r="AQ114" i="175"/>
  <c r="AP114" i="175"/>
  <c r="AN127" i="175"/>
  <c r="AM127" i="175"/>
  <c r="AL127" i="175"/>
  <c r="AQ37" i="175"/>
  <c r="AS34" i="175"/>
  <c r="AR34" i="175"/>
  <c r="AQ34" i="175"/>
  <c r="AP34" i="175"/>
  <c r="AR26" i="175"/>
  <c r="AQ26" i="175"/>
  <c r="AP26" i="175"/>
  <c r="AS11" i="175"/>
  <c r="AR11" i="175"/>
  <c r="AQ11" i="175"/>
  <c r="AP11" i="175"/>
  <c r="AN43" i="175"/>
  <c r="AM43" i="175"/>
  <c r="AL43" i="175"/>
  <c r="AN40" i="175"/>
  <c r="AM40" i="175"/>
  <c r="AL40" i="175"/>
  <c r="AN38" i="175"/>
  <c r="AM38" i="175"/>
  <c r="AL38" i="175"/>
  <c r="AM37" i="175"/>
  <c r="AL37" i="175"/>
  <c r="AN34" i="175"/>
  <c r="AM34" i="175"/>
  <c r="AL34" i="175"/>
  <c r="AN28" i="175"/>
  <c r="AM28" i="175"/>
  <c r="AL28" i="175"/>
  <c r="AN26" i="175"/>
  <c r="AM26" i="175"/>
  <c r="AL26" i="175"/>
  <c r="AN25" i="175"/>
  <c r="AM25" i="175"/>
  <c r="AL25" i="175"/>
  <c r="AN17" i="175"/>
  <c r="AM17" i="175"/>
  <c r="AL17" i="175"/>
  <c r="AN11" i="175"/>
  <c r="AM11" i="175"/>
  <c r="AL11" i="175"/>
  <c r="AM7" i="175"/>
  <c r="AL7" i="175"/>
  <c r="AK38" i="175"/>
  <c r="AK37" i="175"/>
  <c r="AK34" i="175"/>
  <c r="AK26" i="175"/>
  <c r="AK25" i="175"/>
  <c r="AK11" i="175"/>
  <c r="AK7" i="175"/>
  <c r="AS129" i="175"/>
  <c r="AR129" i="175"/>
  <c r="AQ129" i="175"/>
  <c r="AP129" i="175"/>
  <c r="AN129" i="175"/>
  <c r="AM129" i="175"/>
  <c r="AL129" i="175"/>
  <c r="AK129" i="175"/>
  <c r="AT113" i="175"/>
  <c r="AO125" i="175"/>
  <c r="AO113" i="175"/>
  <c r="AS125" i="175"/>
  <c r="AS38" i="175" s="1"/>
  <c r="AR125" i="175"/>
  <c r="AR38" i="175" s="1"/>
  <c r="AQ125" i="175"/>
  <c r="AQ38" i="175" s="1"/>
  <c r="AP125" i="175"/>
  <c r="AP126" i="175" s="1"/>
  <c r="AM56" i="175"/>
  <c r="AL56" i="175"/>
  <c r="AS101" i="175"/>
  <c r="AR101" i="175"/>
  <c r="AQ101" i="175"/>
  <c r="AP101" i="175"/>
  <c r="AN101" i="175"/>
  <c r="AN100" i="175" s="1"/>
  <c r="AM101" i="175"/>
  <c r="AL101" i="175"/>
  <c r="AK101" i="175"/>
  <c r="AR147" i="175"/>
  <c r="AQ147" i="175"/>
  <c r="AP147" i="175"/>
  <c r="AN147" i="175"/>
  <c r="AM147" i="175"/>
  <c r="AL147" i="175"/>
  <c r="AK147" i="175"/>
  <c r="AO97" i="175"/>
  <c r="AS141" i="175"/>
  <c r="AR141" i="175"/>
  <c r="AQ141" i="175"/>
  <c r="AQ150" i="175" s="1"/>
  <c r="AP141" i="175"/>
  <c r="AN141" i="175"/>
  <c r="AM141" i="175"/>
  <c r="AL141" i="175"/>
  <c r="AL150" i="175" s="1"/>
  <c r="AK141" i="175"/>
  <c r="AW97" i="175"/>
  <c r="AV97" i="175"/>
  <c r="AX141" i="175"/>
  <c r="AW11" i="175"/>
  <c r="AQ99" i="175"/>
  <c r="AR99" i="175"/>
  <c r="AP99" i="175"/>
  <c r="AN96" i="175"/>
  <c r="AM96" i="175"/>
  <c r="AL96" i="175"/>
  <c r="AS25" i="175"/>
  <c r="AV94" i="175"/>
  <c r="AU94" i="175"/>
  <c r="AZ94" i="175" s="1"/>
  <c r="AO94" i="175"/>
  <c r="AN24" i="175"/>
  <c r="AM24" i="175"/>
  <c r="AK24" i="175"/>
  <c r="AS82" i="175"/>
  <c r="AR82" i="175"/>
  <c r="AQ82" i="175"/>
  <c r="AP82" i="175"/>
  <c r="AN82" i="175"/>
  <c r="AM82" i="175"/>
  <c r="AL82" i="175"/>
  <c r="AK82" i="175"/>
  <c r="AT141" i="175"/>
  <c r="AO66" i="175"/>
  <c r="AT67" i="175" s="1"/>
  <c r="AB385" i="175"/>
  <c r="AD385" i="175"/>
  <c r="AC367" i="175"/>
  <c r="AC368" i="175"/>
  <c r="AL24" i="175"/>
  <c r="AL93" i="175"/>
  <c r="AM93" i="175"/>
  <c r="AO91" i="175"/>
  <c r="AN93" i="175"/>
  <c r="D29" i="141"/>
  <c r="E29" i="141" s="1"/>
  <c r="F29" i="141" s="1"/>
  <c r="G29" i="141" s="1"/>
  <c r="H29" i="141" s="1"/>
  <c r="I29" i="141" s="1"/>
  <c r="J29" i="141" s="1"/>
  <c r="K29" i="141" s="1"/>
  <c r="L29" i="141" s="1"/>
  <c r="M29" i="141" s="1"/>
  <c r="N29" i="141" s="1"/>
  <c r="O29" i="141" s="1"/>
  <c r="P29" i="141" s="1"/>
  <c r="Q29" i="141" s="1"/>
  <c r="R29" i="141" s="1"/>
  <c r="B23" i="141"/>
  <c r="A1" i="141"/>
  <c r="DR66" i="123"/>
  <c r="DQ66" i="123"/>
  <c r="DP66" i="123"/>
  <c r="DO66" i="123"/>
  <c r="DM66" i="123"/>
  <c r="DL66" i="123"/>
  <c r="DK66" i="123"/>
  <c r="DJ66" i="123"/>
  <c r="DH66" i="123"/>
  <c r="DG66" i="123"/>
  <c r="DF66" i="123"/>
  <c r="DE66" i="123"/>
  <c r="DC66" i="123"/>
  <c r="DB66" i="123"/>
  <c r="DA66" i="123"/>
  <c r="CZ66" i="123"/>
  <c r="CX66" i="123"/>
  <c r="CW66" i="123"/>
  <c r="CV66" i="123"/>
  <c r="CU66" i="123"/>
  <c r="CS66" i="123"/>
  <c r="CR66" i="123"/>
  <c r="CQ66" i="123"/>
  <c r="CP66" i="123"/>
  <c r="CN66" i="123"/>
  <c r="CM66" i="123"/>
  <c r="CL66" i="123"/>
  <c r="CK66" i="123"/>
  <c r="CI66" i="123"/>
  <c r="CH66" i="123"/>
  <c r="CG66" i="123"/>
  <c r="CF66" i="123"/>
  <c r="CD66" i="123"/>
  <c r="CC66" i="123"/>
  <c r="CB66" i="123"/>
  <c r="CA66" i="123"/>
  <c r="CS64" i="123"/>
  <c r="CN64" i="123"/>
  <c r="CI64" i="123"/>
  <c r="CD64" i="123"/>
  <c r="EE64" i="123"/>
  <c r="ED64" i="123"/>
  <c r="EB64" i="123"/>
  <c r="DR64" i="123"/>
  <c r="DQ64" i="123"/>
  <c r="DP64" i="123"/>
  <c r="DO64" i="123"/>
  <c r="DM64" i="123"/>
  <c r="DL64" i="123"/>
  <c r="DK64" i="123"/>
  <c r="DJ64" i="123"/>
  <c r="DH64" i="123"/>
  <c r="DG64" i="123"/>
  <c r="DF64" i="123"/>
  <c r="DE64" i="123"/>
  <c r="DC64" i="123"/>
  <c r="DB64" i="123"/>
  <c r="DA64" i="123"/>
  <c r="CZ64" i="123"/>
  <c r="CX64" i="123"/>
  <c r="CW64" i="123"/>
  <c r="CV64" i="123"/>
  <c r="CU64" i="123"/>
  <c r="CT64" i="123"/>
  <c r="CT66" i="123" s="1"/>
  <c r="CT67" i="123" s="1"/>
  <c r="CR64" i="123"/>
  <c r="CQ64" i="123"/>
  <c r="CP64" i="123"/>
  <c r="CO64" i="123"/>
  <c r="CO66" i="123" s="1"/>
  <c r="CO67" i="123" s="1"/>
  <c r="CM64" i="123"/>
  <c r="CL64" i="123"/>
  <c r="CK64" i="123"/>
  <c r="CJ64" i="123"/>
  <c r="CJ66" i="123" s="1"/>
  <c r="CJ67" i="123" s="1"/>
  <c r="CH64" i="123"/>
  <c r="CG64" i="123"/>
  <c r="CF64" i="123"/>
  <c r="CE64" i="123"/>
  <c r="CE66" i="123" s="1"/>
  <c r="CE67" i="123" s="1"/>
  <c r="CC64" i="123"/>
  <c r="CB64" i="123"/>
  <c r="CA64" i="123"/>
  <c r="CR61" i="123"/>
  <c r="CS56" i="123" s="1"/>
  <c r="CQ61" i="123"/>
  <c r="CR56" i="123" s="1"/>
  <c r="CP61" i="123"/>
  <c r="CQ56" i="123" s="1"/>
  <c r="CO61" i="123"/>
  <c r="CT56" i="123" s="1"/>
  <c r="CN61" i="123"/>
  <c r="CP56" i="123" s="1"/>
  <c r="CM61" i="123"/>
  <c r="CN56" i="123" s="1"/>
  <c r="CL61" i="123"/>
  <c r="CM56" i="123" s="1"/>
  <c r="CK61" i="123"/>
  <c r="CJ61" i="123"/>
  <c r="CO56" i="123" s="1"/>
  <c r="CI61" i="123"/>
  <c r="CK56" i="123" s="1"/>
  <c r="CH61" i="123"/>
  <c r="CI56" i="123" s="1"/>
  <c r="CG61" i="123"/>
  <c r="CH56" i="123" s="1"/>
  <c r="CF61" i="123"/>
  <c r="CG56" i="123" s="1"/>
  <c r="CE61" i="123"/>
  <c r="CD61" i="123"/>
  <c r="CF56" i="123" s="1"/>
  <c r="CC61" i="123"/>
  <c r="CD56" i="123" s="1"/>
  <c r="CD33" i="123" s="1"/>
  <c r="CB61" i="123"/>
  <c r="CC56" i="123" s="1"/>
  <c r="CC33" i="123" s="1"/>
  <c r="CA61" i="123"/>
  <c r="CB56" i="123" s="1"/>
  <c r="CB33" i="123" s="1"/>
  <c r="CY60" i="123"/>
  <c r="CT60" i="123"/>
  <c r="CO60" i="123"/>
  <c r="CM60" i="123"/>
  <c r="CL60" i="123"/>
  <c r="CK60" i="123"/>
  <c r="CJ60" i="123"/>
  <c r="CE60" i="123"/>
  <c r="CY59" i="123"/>
  <c r="CT59" i="123"/>
  <c r="CO59" i="123"/>
  <c r="CM59" i="123"/>
  <c r="CL59" i="123"/>
  <c r="CK59" i="123"/>
  <c r="CJ59" i="123"/>
  <c r="CE59" i="123"/>
  <c r="CD59" i="123"/>
  <c r="CC59" i="123"/>
  <c r="CB59" i="123"/>
  <c r="CA59" i="123"/>
  <c r="CY58" i="123"/>
  <c r="CT58" i="123"/>
  <c r="CO58" i="123"/>
  <c r="CM58" i="123"/>
  <c r="CL58" i="123"/>
  <c r="CK58" i="123"/>
  <c r="CJ58" i="123"/>
  <c r="CE58" i="123"/>
  <c r="CE56" i="123"/>
  <c r="CA56" i="123" s="1"/>
  <c r="CA33" i="123" s="1"/>
  <c r="EA51" i="123"/>
  <c r="DZ51" i="123"/>
  <c r="DY51" i="123"/>
  <c r="DR51" i="123"/>
  <c r="DQ51" i="123"/>
  <c r="DP51" i="123"/>
  <c r="DO51" i="123"/>
  <c r="DS51" i="123"/>
  <c r="DM51" i="123"/>
  <c r="DL51" i="123"/>
  <c r="DK51" i="123"/>
  <c r="DJ51" i="123"/>
  <c r="DN51" i="123"/>
  <c r="DH51" i="123"/>
  <c r="DG51" i="123"/>
  <c r="DF51" i="123"/>
  <c r="DE51" i="123"/>
  <c r="DI51" i="123"/>
  <c r="DC51" i="123"/>
  <c r="DB51" i="123"/>
  <c r="DA51" i="123"/>
  <c r="CZ51" i="123"/>
  <c r="DD51" i="123"/>
  <c r="CX51" i="123"/>
  <c r="CW51" i="123"/>
  <c r="CV51" i="123"/>
  <c r="CU51" i="123"/>
  <c r="CY51" i="123"/>
  <c r="CS51" i="123"/>
  <c r="CR51" i="123"/>
  <c r="CQ51" i="123"/>
  <c r="CP51" i="123"/>
  <c r="CN51" i="123"/>
  <c r="CM51" i="123"/>
  <c r="CL51" i="123"/>
  <c r="CK51" i="123"/>
  <c r="CO51" i="123"/>
  <c r="CI51" i="123"/>
  <c r="CH51" i="123"/>
  <c r="CG51" i="123"/>
  <c r="CF51" i="123"/>
  <c r="CJ51" i="123"/>
  <c r="CD51" i="123"/>
  <c r="CC51" i="123"/>
  <c r="CC53" i="123"/>
  <c r="CB51" i="123"/>
  <c r="CA51" i="123"/>
  <c r="CE51" i="123"/>
  <c r="CD50" i="123"/>
  <c r="CD53" i="123"/>
  <c r="CC50" i="123"/>
  <c r="CB50" i="123"/>
  <c r="CB53" i="123"/>
  <c r="CA50" i="123"/>
  <c r="CA53" i="123"/>
  <c r="CE47" i="123"/>
  <c r="CJ46" i="123"/>
  <c r="CE46" i="123"/>
  <c r="CJ45" i="123"/>
  <c r="CE42" i="123"/>
  <c r="CN41" i="123"/>
  <c r="CN40" i="123"/>
  <c r="CN60" i="123"/>
  <c r="CN39" i="123"/>
  <c r="CI41" i="123"/>
  <c r="CH41" i="123"/>
  <c r="CG41" i="123"/>
  <c r="CF41" i="123"/>
  <c r="CI40" i="123"/>
  <c r="CI60" i="123"/>
  <c r="CH40" i="123"/>
  <c r="CG40" i="123"/>
  <c r="CF40" i="123"/>
  <c r="CF60" i="123"/>
  <c r="CX41" i="123"/>
  <c r="CW41" i="123"/>
  <c r="CV41" i="123"/>
  <c r="CU41" i="123"/>
  <c r="CX40" i="123"/>
  <c r="CX60" i="123"/>
  <c r="CW40" i="123"/>
  <c r="CV40" i="123"/>
  <c r="CU40" i="123"/>
  <c r="CU60" i="123"/>
  <c r="CX39" i="123"/>
  <c r="CW39" i="123"/>
  <c r="CV39" i="123"/>
  <c r="CU39" i="123"/>
  <c r="CS41" i="123"/>
  <c r="CR41" i="123"/>
  <c r="CQ41" i="123"/>
  <c r="CP41" i="123"/>
  <c r="CS40" i="123"/>
  <c r="CS60" i="123"/>
  <c r="CR40" i="123"/>
  <c r="CQ40" i="123"/>
  <c r="CP40" i="123"/>
  <c r="CS39" i="123"/>
  <c r="CR39" i="123"/>
  <c r="CQ39" i="123"/>
  <c r="CP39" i="123"/>
  <c r="CJ39" i="123"/>
  <c r="CI39" i="123"/>
  <c r="CH39" i="123"/>
  <c r="CG39" i="123"/>
  <c r="CF39" i="123"/>
  <c r="CJ38" i="123"/>
  <c r="CD41" i="123"/>
  <c r="CC41" i="123"/>
  <c r="CB41" i="123"/>
  <c r="CB47" i="123"/>
  <c r="CA41" i="123"/>
  <c r="CD40" i="123"/>
  <c r="CD60" i="123"/>
  <c r="CC40" i="123"/>
  <c r="CC60" i="123"/>
  <c r="CB40" i="123"/>
  <c r="CA40" i="123"/>
  <c r="CD39" i="123"/>
  <c r="CC39" i="123"/>
  <c r="CB39" i="123"/>
  <c r="CB45" i="123"/>
  <c r="CA39" i="123"/>
  <c r="CA38" i="123"/>
  <c r="CA42" i="123"/>
  <c r="CB38" i="123"/>
  <c r="CE35" i="123"/>
  <c r="CD35" i="123"/>
  <c r="CC35" i="123"/>
  <c r="CB35" i="123"/>
  <c r="CA35" i="123"/>
  <c r="CJ34" i="123"/>
  <c r="CE34" i="123"/>
  <c r="CD34" i="123"/>
  <c r="CC34" i="123"/>
  <c r="CB34" i="123"/>
  <c r="CA34" i="123"/>
  <c r="CE33" i="123"/>
  <c r="CE30" i="123"/>
  <c r="CD30" i="123"/>
  <c r="CC30" i="123"/>
  <c r="CB30" i="123"/>
  <c r="CA30" i="123"/>
  <c r="CN29" i="123"/>
  <c r="CN28" i="123"/>
  <c r="CN59" i="123"/>
  <c r="CN27" i="123"/>
  <c r="CI29" i="123"/>
  <c r="CH29" i="123"/>
  <c r="CG29" i="123"/>
  <c r="CF29" i="123"/>
  <c r="CF35" i="123"/>
  <c r="CI28" i="123"/>
  <c r="CH28" i="123"/>
  <c r="CH59" i="123"/>
  <c r="CG28" i="123"/>
  <c r="CF28" i="123"/>
  <c r="CF59" i="123"/>
  <c r="CX29" i="123"/>
  <c r="CW29" i="123"/>
  <c r="CV29" i="123"/>
  <c r="CU29" i="123"/>
  <c r="CX28" i="123"/>
  <c r="CX59" i="123"/>
  <c r="CW28" i="123"/>
  <c r="CV28" i="123"/>
  <c r="CV59" i="123"/>
  <c r="CU28" i="123"/>
  <c r="CU59" i="123"/>
  <c r="CX27" i="123"/>
  <c r="CW27" i="123"/>
  <c r="CV27" i="123"/>
  <c r="CU27" i="123"/>
  <c r="CS29" i="123"/>
  <c r="CR29" i="123"/>
  <c r="CQ29" i="123"/>
  <c r="CP29" i="123"/>
  <c r="CS28" i="123"/>
  <c r="CR28" i="123"/>
  <c r="CR59" i="123"/>
  <c r="CQ28" i="123"/>
  <c r="CP28" i="123"/>
  <c r="CP59" i="123"/>
  <c r="CS27" i="123"/>
  <c r="CR27" i="123"/>
  <c r="CQ27" i="123"/>
  <c r="CP27" i="123"/>
  <c r="CJ27" i="123"/>
  <c r="CI27" i="123"/>
  <c r="CF27" i="123"/>
  <c r="CF33" i="123"/>
  <c r="CJ26" i="123"/>
  <c r="CJ35" i="123"/>
  <c r="CF26" i="123"/>
  <c r="CF34" i="123"/>
  <c r="EL22" i="123"/>
  <c r="EG22" i="123"/>
  <c r="EB22" i="123"/>
  <c r="DW22" i="123"/>
  <c r="DV22" i="123"/>
  <c r="DQ22" i="123"/>
  <c r="DR22" i="123"/>
  <c r="DM22" i="123"/>
  <c r="DL22" i="123"/>
  <c r="DG22" i="123"/>
  <c r="DH22" i="123"/>
  <c r="DC22" i="123"/>
  <c r="DB22" i="123"/>
  <c r="CE22" i="123"/>
  <c r="EV22" i="123"/>
  <c r="CE21" i="123"/>
  <c r="CY18" i="123"/>
  <c r="CT18" i="123"/>
  <c r="CP18" i="123"/>
  <c r="CO18" i="123"/>
  <c r="CL18" i="123"/>
  <c r="CK18" i="123"/>
  <c r="CJ18" i="123"/>
  <c r="DU17" i="123"/>
  <c r="DV17" i="123"/>
  <c r="DW17" i="123"/>
  <c r="DR17" i="123"/>
  <c r="DP17" i="123"/>
  <c r="DQ17" i="123"/>
  <c r="DF17" i="123"/>
  <c r="DG17" i="123"/>
  <c r="DH17" i="123"/>
  <c r="DB17" i="123"/>
  <c r="DC17" i="123"/>
  <c r="DE17" i="123"/>
  <c r="DA17" i="123"/>
  <c r="CY17" i="123"/>
  <c r="CW17" i="123"/>
  <c r="CT17" i="123"/>
  <c r="CR17" i="123"/>
  <c r="CO17" i="123"/>
  <c r="CK17" i="123"/>
  <c r="DZ17" i="123"/>
  <c r="EA17" i="123"/>
  <c r="EB17" i="123"/>
  <c r="ED17" i="123"/>
  <c r="EE17" i="123"/>
  <c r="EF17" i="123"/>
  <c r="EG17" i="123"/>
  <c r="EK17" i="123"/>
  <c r="EL17" i="123" s="1"/>
  <c r="DA16" i="123"/>
  <c r="CX16" i="123"/>
  <c r="DC16" i="123"/>
  <c r="CW16" i="123"/>
  <c r="DB16" i="123"/>
  <c r="CV16" i="123"/>
  <c r="CU16" i="123"/>
  <c r="CU17" i="123"/>
  <c r="CS16" i="123"/>
  <c r="CS17" i="123"/>
  <c r="CR16" i="123"/>
  <c r="CQ16" i="123"/>
  <c r="CP16" i="123"/>
  <c r="CP17" i="123"/>
  <c r="CN16" i="123"/>
  <c r="CN17" i="123"/>
  <c r="CI16" i="123"/>
  <c r="CI18" i="123"/>
  <c r="CH16" i="123"/>
  <c r="CM17" i="123"/>
  <c r="CG16" i="123"/>
  <c r="CL17" i="123"/>
  <c r="CF16" i="123"/>
  <c r="CF18" i="123"/>
  <c r="CD16" i="123"/>
  <c r="CD18" i="123"/>
  <c r="CC16" i="123"/>
  <c r="CC18" i="123"/>
  <c r="CB16" i="123"/>
  <c r="CA16" i="123"/>
  <c r="CX13" i="123"/>
  <c r="CW13" i="123"/>
  <c r="CV13" i="123"/>
  <c r="CU13" i="123"/>
  <c r="CT13" i="123"/>
  <c r="CR13" i="123"/>
  <c r="CO13" i="123"/>
  <c r="CN13" i="123"/>
  <c r="CM13" i="123"/>
  <c r="CL13" i="123"/>
  <c r="CK13" i="123"/>
  <c r="CI13" i="123"/>
  <c r="CH13" i="123"/>
  <c r="CG13" i="123"/>
  <c r="CF13" i="123"/>
  <c r="CE13" i="123"/>
  <c r="CB13" i="123"/>
  <c r="CN12" i="123"/>
  <c r="CN11" i="123"/>
  <c r="CX12" i="123"/>
  <c r="CW12" i="123"/>
  <c r="CV12" i="123"/>
  <c r="CU12" i="123"/>
  <c r="CU58" i="123"/>
  <c r="CX11" i="123"/>
  <c r="CW11" i="123"/>
  <c r="CV11" i="123"/>
  <c r="CU11" i="123"/>
  <c r="CS12" i="123"/>
  <c r="CS58" i="123"/>
  <c r="CR12" i="123"/>
  <c r="CQ12" i="123"/>
  <c r="CP12" i="123"/>
  <c r="CP58" i="123"/>
  <c r="CS11" i="123"/>
  <c r="CR11" i="123"/>
  <c r="CQ11" i="123"/>
  <c r="CP11" i="123"/>
  <c r="CI12" i="123"/>
  <c r="CH12" i="123"/>
  <c r="CG12" i="123"/>
  <c r="CG58" i="123"/>
  <c r="CF12" i="123"/>
  <c r="CF58" i="123"/>
  <c r="CI11" i="123"/>
  <c r="CH11" i="123"/>
  <c r="CG11" i="123"/>
  <c r="CF11" i="123"/>
  <c r="CD12" i="123"/>
  <c r="CC12" i="123"/>
  <c r="CC58" i="123"/>
  <c r="CB12" i="123"/>
  <c r="CA12" i="123"/>
  <c r="CD11" i="123"/>
  <c r="CC11" i="123"/>
  <c r="CB11" i="123"/>
  <c r="CA11" i="123"/>
  <c r="CA21" i="123"/>
  <c r="CA10" i="123"/>
  <c r="ED7" i="123"/>
  <c r="ED51" i="123"/>
  <c r="EB7" i="123"/>
  <c r="EB51" i="123"/>
  <c r="DT7" i="123"/>
  <c r="DT51" i="123"/>
  <c r="DS7" i="123"/>
  <c r="DN7" i="123"/>
  <c r="DI7" i="123"/>
  <c r="DD7" i="123"/>
  <c r="CY7" i="123"/>
  <c r="CT7" i="123"/>
  <c r="CO7" i="123"/>
  <c r="CJ7" i="123"/>
  <c r="CE7" i="123"/>
  <c r="EV6" i="123"/>
  <c r="EU6" i="123"/>
  <c r="ET6" i="123"/>
  <c r="ES6" i="123"/>
  <c r="EQ6" i="123"/>
  <c r="EP6" i="123"/>
  <c r="EO6" i="123"/>
  <c r="EN6" i="123"/>
  <c r="EL6" i="123"/>
  <c r="EK6" i="123"/>
  <c r="EJ6" i="123"/>
  <c r="EI6" i="123"/>
  <c r="EG6" i="123"/>
  <c r="EF6" i="123"/>
  <c r="EE6" i="123"/>
  <c r="ED6" i="123"/>
  <c r="EB6" i="123"/>
  <c r="EA6" i="123"/>
  <c r="DZ6" i="123"/>
  <c r="DY6" i="123"/>
  <c r="EV70" i="12"/>
  <c r="EK70" i="12"/>
  <c r="EK68" i="12"/>
  <c r="EG70" i="12"/>
  <c r="EF70" i="12"/>
  <c r="EE70" i="12"/>
  <c r="ED70" i="12"/>
  <c r="EG68" i="12"/>
  <c r="EF68" i="12"/>
  <c r="EE68" i="12"/>
  <c r="ED68" i="12"/>
  <c r="EB70" i="12"/>
  <c r="EA70" i="12"/>
  <c r="DZ70" i="12"/>
  <c r="DY70" i="12"/>
  <c r="EB68" i="12"/>
  <c r="EA68" i="12"/>
  <c r="DZ68" i="12"/>
  <c r="DY68" i="12"/>
  <c r="DW70" i="12"/>
  <c r="DV70" i="12"/>
  <c r="DU70" i="12"/>
  <c r="DT70" i="12"/>
  <c r="DW68" i="12"/>
  <c r="DV68" i="12"/>
  <c r="DU68" i="12"/>
  <c r="DT68" i="12"/>
  <c r="DR70" i="12"/>
  <c r="DQ70" i="12"/>
  <c r="DP70" i="12"/>
  <c r="DO70" i="12"/>
  <c r="DR68" i="12"/>
  <c r="DQ68" i="12"/>
  <c r="DP68" i="12"/>
  <c r="DO68" i="12"/>
  <c r="DM70" i="12"/>
  <c r="DL70" i="12"/>
  <c r="DK70" i="12"/>
  <c r="DJ70" i="12"/>
  <c r="DM68" i="12"/>
  <c r="DL68" i="12"/>
  <c r="DK68" i="12"/>
  <c r="DJ68" i="12"/>
  <c r="DH70" i="12"/>
  <c r="DH28" i="8" s="1"/>
  <c r="DI28" i="8" s="1"/>
  <c r="DG70" i="12"/>
  <c r="DF70" i="12"/>
  <c r="DF28" i="8" s="1"/>
  <c r="DF31" i="8" s="1"/>
  <c r="DE70" i="12"/>
  <c r="DH68" i="12"/>
  <c r="DG68" i="12"/>
  <c r="DF68" i="12"/>
  <c r="DE68" i="12"/>
  <c r="DC70" i="12"/>
  <c r="DB70" i="12"/>
  <c r="DA70" i="12"/>
  <c r="DA28" i="8" s="1"/>
  <c r="DA31" i="8" s="1"/>
  <c r="CZ70" i="12"/>
  <c r="DC68" i="12"/>
  <c r="DB68" i="12"/>
  <c r="DA68" i="12"/>
  <c r="CZ68" i="12"/>
  <c r="CX70" i="12"/>
  <c r="CW70" i="12"/>
  <c r="CV70" i="12"/>
  <c r="CU70" i="12"/>
  <c r="CX68" i="12"/>
  <c r="CW68" i="12"/>
  <c r="CV68" i="12"/>
  <c r="CU68" i="12"/>
  <c r="CS70" i="12"/>
  <c r="CR70" i="12"/>
  <c r="CQ70" i="12"/>
  <c r="CP70" i="12"/>
  <c r="CS68" i="12"/>
  <c r="CR68" i="12"/>
  <c r="CQ68" i="12"/>
  <c r="CP68" i="12"/>
  <c r="CN70" i="12"/>
  <c r="CM70" i="12"/>
  <c r="CM28" i="8" s="1"/>
  <c r="CL70" i="12"/>
  <c r="CK70" i="12"/>
  <c r="CN68" i="12"/>
  <c r="CM68" i="12"/>
  <c r="CL68" i="12"/>
  <c r="CK68" i="12"/>
  <c r="CI70" i="12"/>
  <c r="CH70" i="12"/>
  <c r="CG70" i="12"/>
  <c r="CF70" i="12"/>
  <c r="CI68" i="12"/>
  <c r="CH68" i="12"/>
  <c r="CG68" i="12"/>
  <c r="CF68" i="12"/>
  <c r="CD70" i="12"/>
  <c r="CC70" i="12"/>
  <c r="CD68" i="12"/>
  <c r="CC68" i="12"/>
  <c r="EV62" i="12"/>
  <c r="EV60" i="12"/>
  <c r="EV64" i="12"/>
  <c r="EK62" i="12"/>
  <c r="EK60" i="12"/>
  <c r="EK64" i="12"/>
  <c r="EG62" i="12"/>
  <c r="EF62" i="12"/>
  <c r="EE62" i="12"/>
  <c r="ED62" i="12"/>
  <c r="EG60" i="12"/>
  <c r="EG64" i="12" s="1"/>
  <c r="EF60" i="12"/>
  <c r="EF64" i="12"/>
  <c r="EE60" i="12"/>
  <c r="EE64" i="12" s="1"/>
  <c r="ED60" i="12"/>
  <c r="ED64" i="12"/>
  <c r="DZ64" i="12"/>
  <c r="EB62" i="12"/>
  <c r="EA62" i="12"/>
  <c r="DZ62" i="12"/>
  <c r="DY62" i="12"/>
  <c r="EB60" i="12"/>
  <c r="EB64" i="12" s="1"/>
  <c r="EA60" i="12"/>
  <c r="EA64" i="12" s="1"/>
  <c r="DZ60" i="12"/>
  <c r="DY60" i="12"/>
  <c r="DY64" i="12"/>
  <c r="DW62" i="12"/>
  <c r="DV62" i="12"/>
  <c r="DU62" i="12"/>
  <c r="DT62" i="12"/>
  <c r="DW60" i="12"/>
  <c r="DW64" i="12" s="1"/>
  <c r="DV60" i="12"/>
  <c r="DV64" i="12"/>
  <c r="DU60" i="12"/>
  <c r="DU64" i="12" s="1"/>
  <c r="DT60" i="12"/>
  <c r="DT64" i="12" s="1"/>
  <c r="DR62" i="12"/>
  <c r="DQ62" i="12"/>
  <c r="DO62" i="12"/>
  <c r="DR60" i="12"/>
  <c r="DR64" i="12" s="1"/>
  <c r="DQ60" i="12"/>
  <c r="DQ64" i="12"/>
  <c r="DP60" i="12"/>
  <c r="DP64" i="12" s="1"/>
  <c r="DO60" i="12"/>
  <c r="DO64" i="12"/>
  <c r="DM62" i="12"/>
  <c r="DL62" i="12"/>
  <c r="DK62" i="12"/>
  <c r="DJ62" i="12"/>
  <c r="DM60" i="12"/>
  <c r="DM64" i="12" s="1"/>
  <c r="DL60" i="12"/>
  <c r="DL64" i="12"/>
  <c r="DK60" i="12"/>
  <c r="DK64" i="12" s="1"/>
  <c r="DJ60" i="12"/>
  <c r="DJ64" i="12" s="1"/>
  <c r="DH64" i="12"/>
  <c r="DH62" i="12"/>
  <c r="DG62" i="12"/>
  <c r="DF62" i="12"/>
  <c r="DE62" i="12"/>
  <c r="DH60" i="12"/>
  <c r="DG60" i="12"/>
  <c r="DG64" i="12"/>
  <c r="DF60" i="12"/>
  <c r="DF64" i="12" s="1"/>
  <c r="DE60" i="12"/>
  <c r="DE64" i="12"/>
  <c r="DC62" i="12"/>
  <c r="DB62" i="12"/>
  <c r="DA62" i="12"/>
  <c r="CZ62" i="12"/>
  <c r="DC60" i="12"/>
  <c r="DC64" i="12" s="1"/>
  <c r="DB60" i="12"/>
  <c r="DB64" i="12"/>
  <c r="DA60" i="12"/>
  <c r="DA64" i="12" s="1"/>
  <c r="CZ60" i="12"/>
  <c r="CZ64" i="12" s="1"/>
  <c r="CX62" i="12"/>
  <c r="CW62" i="12"/>
  <c r="CV62" i="12"/>
  <c r="CU62" i="12"/>
  <c r="CX60" i="12"/>
  <c r="CX64" i="12" s="1"/>
  <c r="CW60" i="12"/>
  <c r="CW64" i="12" s="1"/>
  <c r="CV60" i="12"/>
  <c r="CV64" i="12" s="1"/>
  <c r="CU60" i="12"/>
  <c r="CU64" i="12"/>
  <c r="CS62" i="12"/>
  <c r="CR62" i="12"/>
  <c r="CQ62" i="12"/>
  <c r="CP62" i="12"/>
  <c r="CS60" i="12"/>
  <c r="CS64" i="12"/>
  <c r="CR60" i="12"/>
  <c r="CR64" i="12"/>
  <c r="CQ60" i="12"/>
  <c r="CQ64" i="12"/>
  <c r="CP60" i="12"/>
  <c r="CP64" i="12"/>
  <c r="CN62" i="12"/>
  <c r="CM62" i="12"/>
  <c r="CL62" i="12"/>
  <c r="CK62" i="12"/>
  <c r="CN60" i="12"/>
  <c r="CN64" i="12" s="1"/>
  <c r="CM60" i="12"/>
  <c r="CM64" i="12"/>
  <c r="CL60" i="12"/>
  <c r="CL64" i="12"/>
  <c r="CK60" i="12"/>
  <c r="CK64" i="12"/>
  <c r="CI62" i="12"/>
  <c r="CH62" i="12"/>
  <c r="CG62" i="12"/>
  <c r="CF62" i="12"/>
  <c r="CI60" i="12"/>
  <c r="CI64" i="12" s="1"/>
  <c r="CH60" i="12"/>
  <c r="CH64" i="12" s="1"/>
  <c r="CG60" i="12"/>
  <c r="CG64" i="12" s="1"/>
  <c r="CF60" i="12"/>
  <c r="CF64" i="12" s="1"/>
  <c r="CD62" i="12"/>
  <c r="CC62" i="12"/>
  <c r="CD60" i="12"/>
  <c r="CD64" i="12"/>
  <c r="CC60" i="12"/>
  <c r="CC64" i="12"/>
  <c r="EV52" i="12"/>
  <c r="EK52" i="12"/>
  <c r="EG52" i="12"/>
  <c r="EF52" i="12"/>
  <c r="EE52" i="12"/>
  <c r="ED52" i="12"/>
  <c r="EB52" i="12"/>
  <c r="EA52" i="12"/>
  <c r="DZ52" i="12"/>
  <c r="DY52" i="12"/>
  <c r="DW52" i="12"/>
  <c r="DV52" i="12"/>
  <c r="DU52" i="12"/>
  <c r="DT52" i="12"/>
  <c r="DR52" i="12"/>
  <c r="DQ52" i="12"/>
  <c r="DP52" i="12"/>
  <c r="DO52" i="12"/>
  <c r="DM52" i="12"/>
  <c r="DL52" i="12"/>
  <c r="DK52" i="12"/>
  <c r="DJ52" i="12"/>
  <c r="DH52" i="12"/>
  <c r="DG52" i="12"/>
  <c r="DF52" i="12"/>
  <c r="DE52" i="12"/>
  <c r="DC52" i="12"/>
  <c r="DB52" i="12"/>
  <c r="DA52" i="12"/>
  <c r="CZ52" i="12"/>
  <c r="CX52" i="12"/>
  <c r="CW52" i="12"/>
  <c r="CV52" i="12"/>
  <c r="CU52" i="12"/>
  <c r="CS52" i="12"/>
  <c r="CR52" i="12"/>
  <c r="CQ52" i="12"/>
  <c r="CP52" i="12"/>
  <c r="CN52" i="12"/>
  <c r="CM52" i="12"/>
  <c r="CL52" i="12"/>
  <c r="CK52" i="12"/>
  <c r="CI52" i="12"/>
  <c r="CH52" i="12"/>
  <c r="CG52" i="12"/>
  <c r="CF52" i="12"/>
  <c r="CD52" i="12"/>
  <c r="CC52" i="12"/>
  <c r="DP45" i="12"/>
  <c r="DL43" i="12"/>
  <c r="DL46" i="12" s="1"/>
  <c r="DL53" i="12" s="1"/>
  <c r="DL67" i="12" s="1"/>
  <c r="DL11" i="12" s="1"/>
  <c r="DK43" i="12"/>
  <c r="DK46" i="12" s="1"/>
  <c r="DK53" i="12" s="1"/>
  <c r="DK67" i="12" s="1"/>
  <c r="DK11" i="12" s="1"/>
  <c r="DJ43" i="12"/>
  <c r="DJ46" i="12" s="1"/>
  <c r="DJ61" i="12" s="1"/>
  <c r="DH43" i="12"/>
  <c r="DH46" i="12" s="1"/>
  <c r="DH54" i="12" s="1"/>
  <c r="DH69" i="12" s="1"/>
  <c r="DH29" i="12" s="1"/>
  <c r="DH34" i="12" s="1"/>
  <c r="DG43" i="12"/>
  <c r="DG46" i="12" s="1"/>
  <c r="DG54" i="12" s="1"/>
  <c r="DG69" i="12" s="1"/>
  <c r="DG29" i="12" s="1"/>
  <c r="DF43" i="12"/>
  <c r="DF46" i="12" s="1"/>
  <c r="DE43" i="12"/>
  <c r="DE46" i="12" s="1"/>
  <c r="DE53" i="12" s="1"/>
  <c r="DE67" i="12" s="1"/>
  <c r="DE11" i="12" s="1"/>
  <c r="DC43" i="12"/>
  <c r="DC46" i="12" s="1"/>
  <c r="DC53" i="12" s="1"/>
  <c r="DC67" i="12" s="1"/>
  <c r="DC11" i="12" s="1"/>
  <c r="DB43" i="12"/>
  <c r="DB46" i="12" s="1"/>
  <c r="DB61" i="12" s="1"/>
  <c r="DA43" i="12"/>
  <c r="DA46" i="12" s="1"/>
  <c r="CZ43" i="12"/>
  <c r="CZ46" i="12" s="1"/>
  <c r="CZ54" i="12" s="1"/>
  <c r="CZ69" i="12" s="1"/>
  <c r="CX43" i="12"/>
  <c r="CX46" i="12" s="1"/>
  <c r="CW43" i="12"/>
  <c r="CW46" i="12" s="1"/>
  <c r="CW48" i="12" s="1"/>
  <c r="CW49" i="12" s="1"/>
  <c r="CV43" i="12"/>
  <c r="CV46" i="12" s="1"/>
  <c r="CV54" i="12" s="1"/>
  <c r="CV69" i="12" s="1"/>
  <c r="CU43" i="12"/>
  <c r="CU46" i="12" s="1"/>
  <c r="CU61" i="12" s="1"/>
  <c r="CS43" i="12"/>
  <c r="CS46" i="12" s="1"/>
  <c r="CS48" i="12" s="1"/>
  <c r="CS49" i="12" s="1"/>
  <c r="CR43" i="12"/>
  <c r="CR46" i="12" s="1"/>
  <c r="CR61" i="12" s="1"/>
  <c r="CQ43" i="12"/>
  <c r="CQ46" i="12" s="1"/>
  <c r="CP43" i="12"/>
  <c r="CP46" i="12" s="1"/>
  <c r="CP61" i="12" s="1"/>
  <c r="CN43" i="12"/>
  <c r="CN46" i="12" s="1"/>
  <c r="CN54" i="12" s="1"/>
  <c r="CN69" i="12" s="1"/>
  <c r="CM43" i="12"/>
  <c r="CM46" i="12" s="1"/>
  <c r="CM48" i="12" s="1"/>
  <c r="CM49" i="12" s="1"/>
  <c r="CL43" i="12"/>
  <c r="CL46" i="12" s="1"/>
  <c r="CL61" i="12" s="1"/>
  <c r="CK43" i="12"/>
  <c r="CK46" i="12" s="1"/>
  <c r="CK61" i="12" s="1"/>
  <c r="CH43" i="12"/>
  <c r="CH46" i="12" s="1"/>
  <c r="CG43" i="12"/>
  <c r="CG46" i="12" s="1"/>
  <c r="CF43" i="12"/>
  <c r="CF46" i="12" s="1"/>
  <c r="CD43" i="12"/>
  <c r="CD46" i="12" s="1"/>
  <c r="CC43" i="12"/>
  <c r="CC46" i="12" s="1"/>
  <c r="EF39" i="12"/>
  <c r="EB39" i="12"/>
  <c r="EA39" i="12"/>
  <c r="DZ39" i="12"/>
  <c r="DW39" i="12"/>
  <c r="DV39" i="12"/>
  <c r="DU39" i="12"/>
  <c r="DQ39" i="12"/>
  <c r="DP39" i="12"/>
  <c r="DL39" i="12"/>
  <c r="DK39" i="12"/>
  <c r="DG39" i="12"/>
  <c r="DF39" i="12"/>
  <c r="DE39" i="12"/>
  <c r="DB39" i="12"/>
  <c r="DA39" i="12"/>
  <c r="CZ39" i="12"/>
  <c r="CX39" i="12"/>
  <c r="CW39" i="12"/>
  <c r="CV39" i="12"/>
  <c r="CY39" i="12" s="1"/>
  <c r="CU39" i="12"/>
  <c r="EW38" i="12"/>
  <c r="ER38" i="12"/>
  <c r="EH38" i="12"/>
  <c r="EC38" i="12"/>
  <c r="DX38" i="12"/>
  <c r="DS38" i="12"/>
  <c r="DN38" i="12"/>
  <c r="DI38" i="12"/>
  <c r="DR35" i="12"/>
  <c r="DM35" i="12"/>
  <c r="DO27" i="12" s="1"/>
  <c r="DS27" i="12" s="1"/>
  <c r="DL35" i="12"/>
  <c r="DM27" i="12" s="1"/>
  <c r="DK35" i="12"/>
  <c r="DH35" i="12"/>
  <c r="DG35" i="12"/>
  <c r="DH27" i="12" s="1"/>
  <c r="DF35" i="12"/>
  <c r="DG27" i="12" s="1"/>
  <c r="DE35" i="12"/>
  <c r="DC35" i="12"/>
  <c r="DB35" i="12"/>
  <c r="DC27" i="12" s="1"/>
  <c r="DA35" i="12"/>
  <c r="DB27" i="12" s="1"/>
  <c r="CZ35" i="12"/>
  <c r="CX35" i="12"/>
  <c r="CZ27" i="12" s="1"/>
  <c r="CW35" i="12"/>
  <c r="CX27" i="12" s="1"/>
  <c r="CV35" i="12"/>
  <c r="CW27" i="12" s="1"/>
  <c r="CU35" i="12"/>
  <c r="CV27" i="12" s="1"/>
  <c r="CS35" i="12"/>
  <c r="CR35" i="12"/>
  <c r="CS27" i="12" s="1"/>
  <c r="CQ35" i="12"/>
  <c r="CR27" i="12" s="1"/>
  <c r="CP35" i="12"/>
  <c r="CQ27" i="12" s="1"/>
  <c r="CN35" i="12"/>
  <c r="CM35" i="12"/>
  <c r="CN27" i="12" s="1"/>
  <c r="CL35" i="12"/>
  <c r="CM27" i="12" s="1"/>
  <c r="CK35" i="12"/>
  <c r="CL27" i="12" s="1"/>
  <c r="CI35" i="12"/>
  <c r="CH35" i="12"/>
  <c r="CI27" i="12" s="1"/>
  <c r="CG35" i="12"/>
  <c r="CH27" i="12" s="1"/>
  <c r="CF35" i="12"/>
  <c r="CG27" i="12" s="1"/>
  <c r="CD35" i="12"/>
  <c r="CE35" i="12" s="1"/>
  <c r="CC35" i="12"/>
  <c r="CD27" i="12" s="1"/>
  <c r="CB35" i="12"/>
  <c r="CC27" i="12" s="1"/>
  <c r="CA35" i="12"/>
  <c r="CB27" i="12" s="1"/>
  <c r="DD34" i="12"/>
  <c r="CY34" i="12"/>
  <c r="EW33" i="12"/>
  <c r="ER33" i="12"/>
  <c r="EH33" i="12"/>
  <c r="EC33" i="12"/>
  <c r="DX33" i="12"/>
  <c r="DS33" i="12"/>
  <c r="DN33" i="12"/>
  <c r="DI33" i="12"/>
  <c r="DC31" i="12"/>
  <c r="DC39" i="12" s="1"/>
  <c r="DD39" i="12" s="1"/>
  <c r="CY31" i="12"/>
  <c r="CS31" i="12"/>
  <c r="CS39" i="12"/>
  <c r="CR31" i="12"/>
  <c r="CR39" i="12" s="1"/>
  <c r="CQ31" i="12"/>
  <c r="CQ39" i="12" s="1"/>
  <c r="CP31" i="12"/>
  <c r="CP39" i="12" s="1"/>
  <c r="CN31" i="12"/>
  <c r="CN39" i="12" s="1"/>
  <c r="CM31" i="12"/>
  <c r="CM39" i="12" s="1"/>
  <c r="CL31" i="12"/>
  <c r="CL39" i="12"/>
  <c r="CK31" i="12"/>
  <c r="CK39" i="12" s="1"/>
  <c r="CI31" i="12"/>
  <c r="CI39" i="12" s="1"/>
  <c r="CH31" i="12"/>
  <c r="CH39" i="12" s="1"/>
  <c r="CG31" i="12"/>
  <c r="CG39" i="12" s="1"/>
  <c r="CF31" i="12"/>
  <c r="CF39" i="12" s="1"/>
  <c r="CD31" i="12"/>
  <c r="CD39" i="12"/>
  <c r="CC31" i="12"/>
  <c r="CC39" i="12" s="1"/>
  <c r="CB31" i="12"/>
  <c r="CB39" i="12" s="1"/>
  <c r="CA31" i="12"/>
  <c r="CA39" i="12" s="1"/>
  <c r="CE39" i="12" s="1"/>
  <c r="DA27" i="12"/>
  <c r="CE27" i="12"/>
  <c r="DM26" i="12"/>
  <c r="DM31" i="12" s="1"/>
  <c r="DH26" i="12"/>
  <c r="DH31" i="12" s="1"/>
  <c r="DG26" i="12"/>
  <c r="DF26" i="12"/>
  <c r="DF29" i="12"/>
  <c r="DE26" i="12"/>
  <c r="DE29" i="12"/>
  <c r="DC26" i="12"/>
  <c r="DC38" i="12"/>
  <c r="DB26" i="12"/>
  <c r="DB29" i="12"/>
  <c r="DA26" i="12"/>
  <c r="DA29" i="12" s="1"/>
  <c r="DD29" i="12" s="1"/>
  <c r="DA38" i="12"/>
  <c r="CZ26" i="12"/>
  <c r="CZ29" i="12"/>
  <c r="CX26" i="12"/>
  <c r="CX29" i="12"/>
  <c r="CW26" i="12"/>
  <c r="CW29" i="12" s="1"/>
  <c r="CW38" i="12"/>
  <c r="CV26" i="12"/>
  <c r="CV29" i="12"/>
  <c r="CE26" i="12"/>
  <c r="CE29" i="12"/>
  <c r="DE17" i="12"/>
  <c r="DC17" i="12"/>
  <c r="DD17" i="12" s="1"/>
  <c r="DB17" i="12"/>
  <c r="DA17" i="12"/>
  <c r="CZ17" i="12"/>
  <c r="CX17" i="12"/>
  <c r="CY17" i="12" s="1"/>
  <c r="CW17" i="12"/>
  <c r="CV17" i="12"/>
  <c r="CU17" i="12"/>
  <c r="CS17" i="12"/>
  <c r="CT17" i="12" s="1"/>
  <c r="CR17" i="12"/>
  <c r="CQ17" i="12"/>
  <c r="CP17" i="12"/>
  <c r="CN17" i="12"/>
  <c r="CO17" i="12" s="1"/>
  <c r="CM17" i="12"/>
  <c r="CL17" i="12"/>
  <c r="CK17" i="12"/>
  <c r="CI17" i="12"/>
  <c r="CJ17" i="12" s="1"/>
  <c r="CH17" i="12"/>
  <c r="CG17" i="12"/>
  <c r="CF17" i="12"/>
  <c r="CD17" i="12"/>
  <c r="CE17" i="12" s="1"/>
  <c r="CC17" i="12"/>
  <c r="CB17" i="12"/>
  <c r="CA17" i="12"/>
  <c r="BY17" i="12"/>
  <c r="BZ17" i="12" s="1"/>
  <c r="BX17" i="12"/>
  <c r="BW17" i="12"/>
  <c r="BV17" i="12"/>
  <c r="EF17" i="12"/>
  <c r="EE17" i="12"/>
  <c r="ED17" i="12"/>
  <c r="EB17" i="12"/>
  <c r="EC17" i="12" s="1"/>
  <c r="EA17" i="12"/>
  <c r="DZ17" i="12"/>
  <c r="DY17" i="12"/>
  <c r="DW17" i="12"/>
  <c r="DX17" i="12" s="1"/>
  <c r="DV17" i="12"/>
  <c r="DU17" i="12"/>
  <c r="DT17" i="12"/>
  <c r="DR17" i="12"/>
  <c r="DS17" i="12" s="1"/>
  <c r="DQ17" i="12"/>
  <c r="DP17" i="12"/>
  <c r="DO17" i="12"/>
  <c r="DM17" i="12"/>
  <c r="DN17" i="12" s="1"/>
  <c r="DL16" i="12"/>
  <c r="DK16" i="12"/>
  <c r="DF16" i="12"/>
  <c r="DG7" i="12"/>
  <c r="DE16" i="12"/>
  <c r="DD16" i="12"/>
  <c r="DB16" i="12"/>
  <c r="CY16" i="12"/>
  <c r="CT16" i="12"/>
  <c r="CO16" i="12"/>
  <c r="CJ16" i="12"/>
  <c r="CE16" i="12"/>
  <c r="EW15" i="12"/>
  <c r="ER15" i="12"/>
  <c r="EH15" i="12"/>
  <c r="EC15" i="12"/>
  <c r="DX15" i="12"/>
  <c r="DS15" i="12"/>
  <c r="DN15" i="12"/>
  <c r="DI15" i="12"/>
  <c r="EF13" i="12"/>
  <c r="EF22" i="12" s="1"/>
  <c r="EB13" i="12"/>
  <c r="EA13" i="12"/>
  <c r="DZ13" i="12"/>
  <c r="DW13" i="12"/>
  <c r="DV13" i="12"/>
  <c r="DU13" i="12"/>
  <c r="DQ13" i="12"/>
  <c r="DP13" i="12"/>
  <c r="DL13" i="12"/>
  <c r="DL22" i="12" s="1"/>
  <c r="DK13" i="12"/>
  <c r="DK22" i="12" s="1"/>
  <c r="DG13" i="12"/>
  <c r="DG22" i="12" s="1"/>
  <c r="DF13" i="12"/>
  <c r="DF22" i="12" s="1"/>
  <c r="DE13" i="12"/>
  <c r="DC13" i="12"/>
  <c r="DC22" i="12" s="1"/>
  <c r="DB13" i="12"/>
  <c r="DB22" i="12" s="1"/>
  <c r="DA13" i="12"/>
  <c r="DA22" i="12" s="1"/>
  <c r="CZ13" i="12"/>
  <c r="CX13" i="12"/>
  <c r="CX22" i="12" s="1"/>
  <c r="CW13" i="12"/>
  <c r="CW22" i="12" s="1"/>
  <c r="CV13" i="12"/>
  <c r="CV22" i="12" s="1"/>
  <c r="CU13" i="12"/>
  <c r="CS13" i="12"/>
  <c r="CS22" i="12" s="1"/>
  <c r="CR13" i="12"/>
  <c r="CR22" i="12" s="1"/>
  <c r="CQ13" i="12"/>
  <c r="CQ22" i="12" s="1"/>
  <c r="CP13" i="12"/>
  <c r="CN13" i="12"/>
  <c r="CN22" i="12" s="1"/>
  <c r="CM13" i="12"/>
  <c r="CM22" i="12" s="1"/>
  <c r="CL13" i="12"/>
  <c r="CL22" i="12" s="1"/>
  <c r="CK13" i="12"/>
  <c r="CK22" i="12" s="1"/>
  <c r="CI13" i="12"/>
  <c r="CI22" i="12" s="1"/>
  <c r="CH13" i="12"/>
  <c r="CH22" i="12" s="1"/>
  <c r="CG13" i="12"/>
  <c r="CG22" i="12" s="1"/>
  <c r="CF13" i="12"/>
  <c r="CD13" i="12"/>
  <c r="CD22" i="12" s="1"/>
  <c r="CC13" i="12"/>
  <c r="CC22" i="12" s="1"/>
  <c r="CB13" i="12"/>
  <c r="CB22" i="12" s="1"/>
  <c r="CA13" i="12"/>
  <c r="CA22" i="12" s="1"/>
  <c r="BY13" i="12"/>
  <c r="BX13" i="12"/>
  <c r="BW13" i="12"/>
  <c r="BV13" i="12"/>
  <c r="EG10" i="12"/>
  <c r="EF10" i="12"/>
  <c r="EE10" i="12"/>
  <c r="ED10" i="12"/>
  <c r="EB10" i="12"/>
  <c r="EA10" i="12"/>
  <c r="DZ10" i="12"/>
  <c r="DY10" i="12"/>
  <c r="DW10" i="12"/>
  <c r="DV10" i="12"/>
  <c r="DU10" i="12"/>
  <c r="DT10" i="12"/>
  <c r="DR10" i="12"/>
  <c r="DQ10" i="12"/>
  <c r="DP10" i="12"/>
  <c r="DO10" i="12"/>
  <c r="DM10" i="12"/>
  <c r="DL10" i="12"/>
  <c r="DK10" i="12"/>
  <c r="DJ10" i="12"/>
  <c r="DH10" i="12"/>
  <c r="DG10" i="12"/>
  <c r="DF10" i="12"/>
  <c r="DE10" i="12"/>
  <c r="DC10" i="12"/>
  <c r="DB10" i="12"/>
  <c r="DA10" i="12"/>
  <c r="CZ10" i="12"/>
  <c r="CX10" i="12"/>
  <c r="CW10" i="12"/>
  <c r="CV10" i="12"/>
  <c r="CU10" i="12"/>
  <c r="CS10" i="12"/>
  <c r="CR10" i="12"/>
  <c r="CQ10" i="12"/>
  <c r="CP10" i="12"/>
  <c r="CN10" i="12"/>
  <c r="CM10" i="12"/>
  <c r="CL10" i="12"/>
  <c r="CK10" i="12"/>
  <c r="CH10" i="12"/>
  <c r="CG10" i="12"/>
  <c r="CF10" i="12"/>
  <c r="CC10" i="12"/>
  <c r="CB10" i="12"/>
  <c r="CA10" i="12"/>
  <c r="BW10" i="12"/>
  <c r="BV10" i="12"/>
  <c r="EG8" i="12"/>
  <c r="EF8" i="12"/>
  <c r="EE8" i="12"/>
  <c r="ED8" i="12"/>
  <c r="EH8" i="12" s="1"/>
  <c r="EB8" i="12"/>
  <c r="EA8" i="12"/>
  <c r="DZ8" i="12"/>
  <c r="DY8" i="12"/>
  <c r="EC8" i="12" s="1"/>
  <c r="DW8" i="12"/>
  <c r="DV8" i="12"/>
  <c r="DU8" i="12"/>
  <c r="DT8" i="12"/>
  <c r="DX8" i="12" s="1"/>
  <c r="DR8" i="12"/>
  <c r="DQ8" i="12"/>
  <c r="DP8" i="12"/>
  <c r="DO8" i="12"/>
  <c r="DS8" i="12" s="1"/>
  <c r="DM8" i="12"/>
  <c r="DL8" i="12"/>
  <c r="DK8" i="12"/>
  <c r="DJ8" i="12"/>
  <c r="DN8" i="12" s="1"/>
  <c r="DH8" i="12"/>
  <c r="DG8" i="12"/>
  <c r="DF8" i="12"/>
  <c r="DE8" i="12"/>
  <c r="DI8" i="12" s="1"/>
  <c r="DC8" i="12"/>
  <c r="DB8" i="12"/>
  <c r="DA8" i="12"/>
  <c r="CZ8" i="12"/>
  <c r="DD8" i="12" s="1"/>
  <c r="CX8" i="12"/>
  <c r="CW8" i="12"/>
  <c r="CV8" i="12"/>
  <c r="CU8" i="12"/>
  <c r="CY8" i="12" s="1"/>
  <c r="CS8" i="12"/>
  <c r="CR8" i="12"/>
  <c r="CQ8" i="12"/>
  <c r="CP8" i="12"/>
  <c r="CT8" i="12" s="1"/>
  <c r="CN8" i="12"/>
  <c r="CM8" i="12"/>
  <c r="CL8" i="12"/>
  <c r="CK8" i="12"/>
  <c r="CO8" i="12" s="1"/>
  <c r="CI8" i="12"/>
  <c r="CH8" i="12"/>
  <c r="CG8" i="12"/>
  <c r="CF8" i="12"/>
  <c r="CJ8" i="12" s="1"/>
  <c r="CD8" i="12"/>
  <c r="CC8" i="12"/>
  <c r="CB8" i="12"/>
  <c r="CA8" i="12"/>
  <c r="CE8" i="12" s="1"/>
  <c r="BY8" i="12"/>
  <c r="BX8" i="12"/>
  <c r="BW8" i="12"/>
  <c r="BV8" i="12"/>
  <c r="BZ8" i="12" s="1"/>
  <c r="DM7" i="12"/>
  <c r="DL7" i="12"/>
  <c r="DF7" i="12"/>
  <c r="DE7" i="12"/>
  <c r="DI7" i="12" s="1"/>
  <c r="DC7" i="12"/>
  <c r="CZ7" i="12"/>
  <c r="CU7" i="12"/>
  <c r="CP7" i="12"/>
  <c r="CT7" i="12" s="1"/>
  <c r="CK7" i="12"/>
  <c r="CO7" i="12" s="1"/>
  <c r="CF7" i="12"/>
  <c r="CJ7" i="12" s="1"/>
  <c r="CE7" i="12"/>
  <c r="EW6" i="12"/>
  <c r="EV6" i="12"/>
  <c r="EU6" i="12"/>
  <c r="ET6" i="12"/>
  <c r="ES6" i="12"/>
  <c r="ER6" i="12"/>
  <c r="EQ6" i="12"/>
  <c r="EP6" i="12"/>
  <c r="EO6" i="12"/>
  <c r="EN6" i="12"/>
  <c r="EM6" i="12"/>
  <c r="EL6" i="12"/>
  <c r="EK6" i="12"/>
  <c r="EJ6" i="12"/>
  <c r="EI6" i="12"/>
  <c r="EH6" i="12"/>
  <c r="EG6" i="12"/>
  <c r="EF6" i="12"/>
  <c r="EE6" i="12"/>
  <c r="ED6" i="12"/>
  <c r="EC6" i="12"/>
  <c r="EB6" i="12"/>
  <c r="EA6" i="12"/>
  <c r="DZ6" i="12"/>
  <c r="DY6" i="12"/>
  <c r="DX6" i="12"/>
  <c r="DW6" i="12"/>
  <c r="DV6" i="12"/>
  <c r="DU6" i="12"/>
  <c r="DT6" i="12"/>
  <c r="DS6" i="12"/>
  <c r="DR6" i="12"/>
  <c r="DQ6" i="12"/>
  <c r="DP6" i="12"/>
  <c r="DO6" i="12"/>
  <c r="DN6" i="12"/>
  <c r="DM6" i="12"/>
  <c r="DL6" i="12"/>
  <c r="DK6" i="12"/>
  <c r="DJ6" i="12"/>
  <c r="DI6" i="12"/>
  <c r="DH6" i="12"/>
  <c r="DG6" i="12"/>
  <c r="DF6" i="12"/>
  <c r="DE6" i="12"/>
  <c r="DD6" i="12"/>
  <c r="DC6" i="12"/>
  <c r="DB6" i="12"/>
  <c r="DA6" i="12"/>
  <c r="CZ6" i="12"/>
  <c r="CY6" i="12"/>
  <c r="CX6" i="12"/>
  <c r="CW6" i="12"/>
  <c r="CV6" i="12"/>
  <c r="CU6" i="12"/>
  <c r="CT6" i="12"/>
  <c r="CS6" i="12"/>
  <c r="CR6" i="12"/>
  <c r="CQ6" i="12"/>
  <c r="CP6" i="12"/>
  <c r="CO6" i="12"/>
  <c r="CN6" i="12"/>
  <c r="CM6" i="12"/>
  <c r="CL6" i="12"/>
  <c r="CK6" i="12"/>
  <c r="CJ6" i="12"/>
  <c r="CI6" i="12"/>
  <c r="CH6" i="12"/>
  <c r="CG6" i="12"/>
  <c r="CF6" i="12"/>
  <c r="CE6" i="12"/>
  <c r="CD6" i="12"/>
  <c r="CC6" i="12"/>
  <c r="CB6" i="12"/>
  <c r="CA6" i="12"/>
  <c r="BZ6" i="12"/>
  <c r="BY6" i="12"/>
  <c r="BX6" i="12"/>
  <c r="BW6" i="12"/>
  <c r="BV6" i="12"/>
  <c r="BU6" i="12"/>
  <c r="BT6" i="12"/>
  <c r="BS6" i="12"/>
  <c r="BR6" i="12"/>
  <c r="BQ6" i="12"/>
  <c r="BP6" i="12"/>
  <c r="BO6" i="12"/>
  <c r="BN6" i="12"/>
  <c r="BM6" i="12"/>
  <c r="BL6" i="12"/>
  <c r="BK6" i="12"/>
  <c r="BJ6" i="12"/>
  <c r="BI6" i="12"/>
  <c r="BH6" i="12"/>
  <c r="BG6" i="12"/>
  <c r="BF6" i="12"/>
  <c r="BE6" i="12"/>
  <c r="BD6" i="12"/>
  <c r="BC6" i="12"/>
  <c r="BB6" i="12"/>
  <c r="BA6" i="12"/>
  <c r="AZ6" i="12"/>
  <c r="AY6" i="12"/>
  <c r="AX6" i="12"/>
  <c r="AW6" i="12"/>
  <c r="AV6" i="12"/>
  <c r="AU6" i="12"/>
  <c r="AT6" i="12"/>
  <c r="AS6" i="12"/>
  <c r="AR6" i="12"/>
  <c r="AQ6" i="12"/>
  <c r="AP6" i="12"/>
  <c r="AO6" i="12"/>
  <c r="AN6" i="12"/>
  <c r="AM6" i="12"/>
  <c r="AL6" i="12"/>
  <c r="AK6" i="12"/>
  <c r="AJ6" i="12"/>
  <c r="AI6" i="12"/>
  <c r="AH6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A1" i="12"/>
  <c r="CA58" i="123"/>
  <c r="CA22" i="123"/>
  <c r="CQ58" i="123"/>
  <c r="CV58" i="123"/>
  <c r="CN58" i="123"/>
  <c r="DH16" i="123"/>
  <c r="DD16" i="123"/>
  <c r="CE23" i="123"/>
  <c r="EE7" i="123"/>
  <c r="CB58" i="123"/>
  <c r="CH58" i="123"/>
  <c r="CR58" i="123"/>
  <c r="CR18" i="123"/>
  <c r="CW58" i="123"/>
  <c r="CA13" i="123"/>
  <c r="CA23" i="123"/>
  <c r="CS13" i="123"/>
  <c r="CE14" i="123"/>
  <c r="CJ10" i="123"/>
  <c r="DF16" i="123"/>
  <c r="DU7" i="123"/>
  <c r="CI58" i="123"/>
  <c r="CX58" i="123"/>
  <c r="CC13" i="123"/>
  <c r="CP13" i="123"/>
  <c r="CA18" i="123"/>
  <c r="CF17" i="123"/>
  <c r="CQ17" i="123"/>
  <c r="CQ18" i="123"/>
  <c r="CS18" i="123"/>
  <c r="CV18" i="123"/>
  <c r="CW18" i="123"/>
  <c r="CV17" i="123"/>
  <c r="CM18" i="123"/>
  <c r="CN18" i="123"/>
  <c r="EC7" i="123"/>
  <c r="CD58" i="123"/>
  <c r="CD13" i="123"/>
  <c r="CQ13" i="123"/>
  <c r="CB18" i="123"/>
  <c r="CH17" i="123"/>
  <c r="DG16" i="123"/>
  <c r="CH18" i="123"/>
  <c r="CF30" i="123"/>
  <c r="CG26" i="123"/>
  <c r="CG30" i="123"/>
  <c r="CH26" i="123"/>
  <c r="CH30" i="123"/>
  <c r="CI26" i="123"/>
  <c r="CG17" i="123"/>
  <c r="CZ16" i="123"/>
  <c r="CG18" i="123"/>
  <c r="CJ33" i="123"/>
  <c r="CG27" i="123"/>
  <c r="CS59" i="123"/>
  <c r="CI59" i="123"/>
  <c r="CJ30" i="123"/>
  <c r="CO26" i="123"/>
  <c r="CH34" i="123"/>
  <c r="CB60" i="123"/>
  <c r="CB46" i="123"/>
  <c r="CI17" i="123"/>
  <c r="CX17" i="123"/>
  <c r="CU18" i="123"/>
  <c r="CH27" i="123"/>
  <c r="CQ59" i="123"/>
  <c r="CG59" i="123"/>
  <c r="CG35" i="123"/>
  <c r="CC47" i="123"/>
  <c r="CW59" i="123"/>
  <c r="CB42" i="123"/>
  <c r="CC38" i="123"/>
  <c r="CC42" i="123"/>
  <c r="CD38" i="123"/>
  <c r="CA60" i="123"/>
  <c r="CA46" i="123"/>
  <c r="CA47" i="123"/>
  <c r="CR60" i="123"/>
  <c r="CW60" i="123"/>
  <c r="CH60" i="123"/>
  <c r="CC46" i="123"/>
  <c r="CJ47" i="123"/>
  <c r="CJ42" i="123"/>
  <c r="CO38" i="123"/>
  <c r="CQ60" i="123"/>
  <c r="CV60" i="123"/>
  <c r="CG60" i="123"/>
  <c r="CP60" i="123"/>
  <c r="CE53" i="123"/>
  <c r="CE50" i="123"/>
  <c r="EC51" i="123"/>
  <c r="CT51" i="123"/>
  <c r="CD46" i="123"/>
  <c r="DD7" i="12"/>
  <c r="CD29" i="12"/>
  <c r="CA29" i="12"/>
  <c r="CC29" i="12"/>
  <c r="CB29" i="12"/>
  <c r="CY7" i="12"/>
  <c r="DC29" i="12"/>
  <c r="DD26" i="12"/>
  <c r="CZ38" i="12"/>
  <c r="DI26" i="12"/>
  <c r="DD31" i="12"/>
  <c r="CV38" i="12"/>
  <c r="DB38" i="12"/>
  <c r="DD38" i="12" s="1"/>
  <c r="CX38" i="12"/>
  <c r="DP62" i="12"/>
  <c r="CI30" i="123"/>
  <c r="CI33" i="123"/>
  <c r="DU51" i="123"/>
  <c r="DV7" i="123"/>
  <c r="CJ23" i="123"/>
  <c r="CJ21" i="123"/>
  <c r="CJ22" i="123"/>
  <c r="CJ14" i="123"/>
  <c r="CO10" i="123"/>
  <c r="CG34" i="123"/>
  <c r="CH33" i="123"/>
  <c r="CO35" i="123"/>
  <c r="CO34" i="123"/>
  <c r="CO33" i="123"/>
  <c r="CO30" i="123"/>
  <c r="CT26" i="123"/>
  <c r="CK26" i="123"/>
  <c r="DL16" i="123"/>
  <c r="CH35" i="123"/>
  <c r="EE51" i="123"/>
  <c r="EF7" i="123"/>
  <c r="DD17" i="123"/>
  <c r="CD42" i="123"/>
  <c r="CF38" i="123"/>
  <c r="CD47" i="123"/>
  <c r="CD45" i="123"/>
  <c r="CC45" i="123"/>
  <c r="CI35" i="123"/>
  <c r="CG33" i="123"/>
  <c r="DE16" i="123"/>
  <c r="DI16" i="123"/>
  <c r="DM16" i="123"/>
  <c r="CA14" i="123"/>
  <c r="CB10" i="123"/>
  <c r="CO45" i="123"/>
  <c r="CO47" i="123"/>
  <c r="CO42" i="123"/>
  <c r="CT38" i="123"/>
  <c r="CO46" i="123"/>
  <c r="CX18" i="123"/>
  <c r="CI34" i="123"/>
  <c r="DK16" i="123"/>
  <c r="CA34" i="12"/>
  <c r="CB26" i="12" s="1"/>
  <c r="CB14" i="123"/>
  <c r="CC10" i="123"/>
  <c r="CB23" i="123"/>
  <c r="CB22" i="123"/>
  <c r="CB21" i="123"/>
  <c r="DJ16" i="123"/>
  <c r="CF42" i="123"/>
  <c r="CG38" i="123"/>
  <c r="CF45" i="123"/>
  <c r="CF47" i="123"/>
  <c r="CF46" i="123"/>
  <c r="EF51" i="123"/>
  <c r="EG7" i="123"/>
  <c r="CT35" i="123"/>
  <c r="CT33" i="123"/>
  <c r="CT34" i="123"/>
  <c r="CT30" i="123"/>
  <c r="CY26" i="123"/>
  <c r="CP26" i="123"/>
  <c r="CO21" i="123"/>
  <c r="CO14" i="123"/>
  <c r="CT10" i="123"/>
  <c r="CO22" i="123"/>
  <c r="CO23" i="123"/>
  <c r="DV51" i="123"/>
  <c r="DW7" i="123"/>
  <c r="DW51" i="123"/>
  <c r="DP16" i="123"/>
  <c r="DN16" i="123"/>
  <c r="DR16" i="123"/>
  <c r="EH7" i="123"/>
  <c r="DQ16" i="123"/>
  <c r="DX51" i="123"/>
  <c r="CT46" i="123"/>
  <c r="CT42" i="123"/>
  <c r="CY38" i="123"/>
  <c r="CT47" i="123"/>
  <c r="CT45" i="123"/>
  <c r="DI17" i="123"/>
  <c r="DX7" i="123"/>
  <c r="CK35" i="123"/>
  <c r="CK34" i="123"/>
  <c r="CK33" i="123"/>
  <c r="CK30" i="123"/>
  <c r="CL26" i="123"/>
  <c r="DQ175" i="135"/>
  <c r="DU175" i="135"/>
  <c r="DP175" i="135"/>
  <c r="DO175" i="135"/>
  <c r="DL175" i="135"/>
  <c r="DK175" i="135"/>
  <c r="DJ175" i="135"/>
  <c r="DH175" i="135"/>
  <c r="DI175" i="135" s="1"/>
  <c r="DG175" i="135"/>
  <c r="DF175" i="135"/>
  <c r="DE175" i="135"/>
  <c r="DC175" i="135"/>
  <c r="DD175" i="135" s="1"/>
  <c r="DB175" i="135"/>
  <c r="DA175" i="135"/>
  <c r="CZ175" i="135"/>
  <c r="CX175" i="135"/>
  <c r="CY175" i="135" s="1"/>
  <c r="CW175" i="135"/>
  <c r="CV175" i="135"/>
  <c r="CU175" i="135"/>
  <c r="CS175" i="135"/>
  <c r="CT175" i="135" s="1"/>
  <c r="CR175" i="135"/>
  <c r="CQ175" i="135"/>
  <c r="CP175" i="135"/>
  <c r="CN175" i="135"/>
  <c r="CO175" i="135" s="1"/>
  <c r="CM175" i="135"/>
  <c r="CL175" i="135"/>
  <c r="CK175" i="135"/>
  <c r="CI175" i="135"/>
  <c r="CJ175" i="135" s="1"/>
  <c r="CH175" i="135"/>
  <c r="CG175" i="135"/>
  <c r="CF175" i="135"/>
  <c r="CD175" i="135"/>
  <c r="CE175" i="135" s="1"/>
  <c r="CC175" i="135"/>
  <c r="CB175" i="135"/>
  <c r="CA175" i="135"/>
  <c r="BZ175" i="135"/>
  <c r="DY173" i="135"/>
  <c r="DX173" i="135"/>
  <c r="DI173" i="135"/>
  <c r="DD173" i="135"/>
  <c r="CY173" i="135"/>
  <c r="CT173" i="135"/>
  <c r="CO173" i="135"/>
  <c r="CJ173" i="135"/>
  <c r="CE173" i="135"/>
  <c r="BZ173" i="135"/>
  <c r="DO171" i="135"/>
  <c r="DL171" i="135"/>
  <c r="DK171" i="135"/>
  <c r="DJ171" i="135"/>
  <c r="DH171" i="135"/>
  <c r="DI171" i="135" s="1"/>
  <c r="DG171" i="135"/>
  <c r="DF171" i="135"/>
  <c r="DE171" i="135"/>
  <c r="DC171" i="135"/>
  <c r="DD171" i="135" s="1"/>
  <c r="DB171" i="135"/>
  <c r="DA171" i="135"/>
  <c r="CZ171" i="135"/>
  <c r="CX171" i="135"/>
  <c r="CY171" i="135" s="1"/>
  <c r="CW171" i="135"/>
  <c r="CV171" i="135"/>
  <c r="CU171" i="135"/>
  <c r="CS171" i="135"/>
  <c r="CT171" i="135" s="1"/>
  <c r="CR171" i="135"/>
  <c r="CQ171" i="135"/>
  <c r="CP171" i="135"/>
  <c r="CN171" i="135"/>
  <c r="CO171" i="135" s="1"/>
  <c r="CM171" i="135"/>
  <c r="CL171" i="135"/>
  <c r="CK171" i="135"/>
  <c r="CI171" i="135"/>
  <c r="CJ171" i="135" s="1"/>
  <c r="CH171" i="135"/>
  <c r="CG171" i="135"/>
  <c r="CF171" i="135"/>
  <c r="CD171" i="135"/>
  <c r="CE171" i="135" s="1"/>
  <c r="CC171" i="135"/>
  <c r="CB171" i="135"/>
  <c r="CA171" i="135"/>
  <c r="BZ171" i="135"/>
  <c r="DW169" i="135"/>
  <c r="DS169" i="135"/>
  <c r="DP169" i="135"/>
  <c r="DP171" i="135" s="1"/>
  <c r="DM169" i="135"/>
  <c r="DM171" i="135" s="1"/>
  <c r="DN171" i="135" s="1"/>
  <c r="DI169" i="135"/>
  <c r="DD169" i="135"/>
  <c r="CY169" i="135"/>
  <c r="CT169" i="135"/>
  <c r="CO169" i="135"/>
  <c r="CJ169" i="135"/>
  <c r="CE169" i="135"/>
  <c r="BZ169" i="135"/>
  <c r="DW167" i="135"/>
  <c r="DV167" i="135"/>
  <c r="DU167" i="135"/>
  <c r="DT167" i="135"/>
  <c r="DR167" i="135"/>
  <c r="DQ167" i="135"/>
  <c r="DP167" i="135"/>
  <c r="DO167" i="135"/>
  <c r="DM167" i="135"/>
  <c r="DL167" i="135"/>
  <c r="DK167" i="135"/>
  <c r="DJ167" i="135"/>
  <c r="DH167" i="135"/>
  <c r="DG167" i="135"/>
  <c r="DF167" i="135"/>
  <c r="DE167" i="135"/>
  <c r="DC167" i="135"/>
  <c r="DB167" i="135"/>
  <c r="DA167" i="135"/>
  <c r="CZ167" i="135"/>
  <c r="CX167" i="135"/>
  <c r="CW167" i="135"/>
  <c r="CV167" i="135"/>
  <c r="CU167" i="135"/>
  <c r="CS167" i="135"/>
  <c r="CR167" i="135"/>
  <c r="CQ167" i="135"/>
  <c r="CP167" i="135"/>
  <c r="CN167" i="135"/>
  <c r="CM167" i="135"/>
  <c r="CL167" i="135"/>
  <c r="CK167" i="135"/>
  <c r="CI167" i="135"/>
  <c r="CH167" i="135"/>
  <c r="CG167" i="135"/>
  <c r="CF167" i="135"/>
  <c r="CD167" i="135"/>
  <c r="CC167" i="135"/>
  <c r="CB167" i="135"/>
  <c r="CA167" i="135"/>
  <c r="BY167" i="135"/>
  <c r="BX167" i="135"/>
  <c r="BW167" i="135"/>
  <c r="DW166" i="135"/>
  <c r="DX166" i="135" s="1"/>
  <c r="DV166" i="135"/>
  <c r="DU166" i="135"/>
  <c r="DT166" i="135"/>
  <c r="DR166" i="135"/>
  <c r="DS166" i="135" s="1"/>
  <c r="DQ166" i="135"/>
  <c r="DP166" i="135"/>
  <c r="DO166" i="135"/>
  <c r="DM166" i="135"/>
  <c r="DN166" i="135" s="1"/>
  <c r="DL166" i="135"/>
  <c r="DK166" i="135"/>
  <c r="DJ166" i="135"/>
  <c r="DH166" i="135"/>
  <c r="DI166" i="135" s="1"/>
  <c r="DG166" i="135"/>
  <c r="DF166" i="135"/>
  <c r="DE166" i="135"/>
  <c r="DC166" i="135"/>
  <c r="DD166" i="135" s="1"/>
  <c r="DB166" i="135"/>
  <c r="DA166" i="135"/>
  <c r="CZ166" i="135"/>
  <c r="CX166" i="135"/>
  <c r="CY166" i="135" s="1"/>
  <c r="CW166" i="135"/>
  <c r="CV166" i="135"/>
  <c r="CU166" i="135"/>
  <c r="CS166" i="135"/>
  <c r="CT166" i="135" s="1"/>
  <c r="CR166" i="135"/>
  <c r="CQ166" i="135"/>
  <c r="CP166" i="135"/>
  <c r="CN166" i="135"/>
  <c r="CO166" i="135" s="1"/>
  <c r="CM166" i="135"/>
  <c r="CL166" i="135"/>
  <c r="CK166" i="135"/>
  <c r="CI166" i="135"/>
  <c r="CJ166" i="135" s="1"/>
  <c r="CH166" i="135"/>
  <c r="CG166" i="135"/>
  <c r="CF166" i="135"/>
  <c r="CD166" i="135"/>
  <c r="CE166" i="135" s="1"/>
  <c r="CC166" i="135"/>
  <c r="CB166" i="135"/>
  <c r="CA166" i="135"/>
  <c r="BZ166" i="135"/>
  <c r="DS164" i="135"/>
  <c r="DN164" i="135"/>
  <c r="DI164" i="135"/>
  <c r="DD164" i="135"/>
  <c r="CY164" i="135"/>
  <c r="CT164" i="135"/>
  <c r="CO164" i="135"/>
  <c r="CJ164" i="135"/>
  <c r="CE164" i="135"/>
  <c r="BZ164" i="135"/>
  <c r="DY164" i="135"/>
  <c r="DX164" i="135"/>
  <c r="DZ163" i="135"/>
  <c r="DY163" i="135"/>
  <c r="DX163" i="135"/>
  <c r="DW163" i="135"/>
  <c r="DV163" i="135"/>
  <c r="DU163" i="135"/>
  <c r="DT163" i="135"/>
  <c r="BU159" i="135"/>
  <c r="DR158" i="135"/>
  <c r="DP158" i="135"/>
  <c r="DO158" i="135"/>
  <c r="DL158" i="135"/>
  <c r="DG158" i="135"/>
  <c r="DF158" i="135"/>
  <c r="DE158" i="135"/>
  <c r="DC158" i="135"/>
  <c r="DB158" i="135"/>
  <c r="DA158" i="135"/>
  <c r="CZ158" i="135"/>
  <c r="CX158" i="135"/>
  <c r="CW158" i="135"/>
  <c r="CV158" i="135"/>
  <c r="CU158" i="135"/>
  <c r="CS158" i="135"/>
  <c r="CR158" i="135"/>
  <c r="CQ158" i="135"/>
  <c r="CP158" i="135"/>
  <c r="CN158" i="135"/>
  <c r="CM158" i="135"/>
  <c r="CL158" i="135"/>
  <c r="CK158" i="135"/>
  <c r="CI158" i="135"/>
  <c r="CH158" i="135"/>
  <c r="CG158" i="135"/>
  <c r="CF158" i="135"/>
  <c r="CD158" i="135"/>
  <c r="CC158" i="135"/>
  <c r="CA158" i="135"/>
  <c r="BY158" i="135"/>
  <c r="BX158" i="135"/>
  <c r="BW158" i="135"/>
  <c r="BV158" i="135"/>
  <c r="BT158" i="135"/>
  <c r="BS158" i="135"/>
  <c r="BR158" i="135"/>
  <c r="BQ158" i="135"/>
  <c r="DW156" i="135"/>
  <c r="DX156" i="135" s="1"/>
  <c r="DV156" i="135"/>
  <c r="DU156" i="135"/>
  <c r="DT156" i="135"/>
  <c r="DQ156" i="135"/>
  <c r="DO156" i="135"/>
  <c r="DL156" i="135"/>
  <c r="DJ156" i="135"/>
  <c r="DH156" i="135"/>
  <c r="DI156" i="135" s="1"/>
  <c r="DG156" i="135"/>
  <c r="DF156" i="135"/>
  <c r="DE156" i="135"/>
  <c r="DC156" i="135"/>
  <c r="DD156" i="135" s="1"/>
  <c r="DB156" i="135"/>
  <c r="DA156" i="135"/>
  <c r="CZ156" i="135"/>
  <c r="CX156" i="135"/>
  <c r="CY156" i="135" s="1"/>
  <c r="CW156" i="135"/>
  <c r="CV156" i="135"/>
  <c r="CU156" i="135"/>
  <c r="CS156" i="135"/>
  <c r="CT156" i="135" s="1"/>
  <c r="CR156" i="135"/>
  <c r="CQ156" i="135"/>
  <c r="CP156" i="135"/>
  <c r="CN156" i="135"/>
  <c r="CO156" i="135" s="1"/>
  <c r="CM156" i="135"/>
  <c r="CL156" i="135"/>
  <c r="CK156" i="135"/>
  <c r="CI156" i="135"/>
  <c r="CJ156" i="135" s="1"/>
  <c r="CH156" i="135"/>
  <c r="CG156" i="135"/>
  <c r="CF156" i="135"/>
  <c r="CD156" i="135"/>
  <c r="CE156" i="135" s="1"/>
  <c r="CC156" i="135"/>
  <c r="CB156" i="135"/>
  <c r="CA156" i="135"/>
  <c r="BY156" i="135"/>
  <c r="BZ156" i="135" s="1"/>
  <c r="BX156" i="135"/>
  <c r="BW156" i="135"/>
  <c r="BV156" i="135"/>
  <c r="BU156" i="135"/>
  <c r="DX154" i="135"/>
  <c r="DS154" i="135"/>
  <c r="DI154" i="135"/>
  <c r="DD154" i="135"/>
  <c r="CY154" i="135"/>
  <c r="CT154" i="135"/>
  <c r="CO154" i="135"/>
  <c r="CJ154" i="135"/>
  <c r="CE154" i="135"/>
  <c r="BZ154" i="135"/>
  <c r="BU154" i="135"/>
  <c r="DW152" i="135"/>
  <c r="DX152" i="135" s="1"/>
  <c r="DV152" i="135"/>
  <c r="DU152" i="135"/>
  <c r="DT152" i="135"/>
  <c r="DR152" i="135"/>
  <c r="DS152" i="135" s="1"/>
  <c r="DQ152" i="135"/>
  <c r="DP152" i="135"/>
  <c r="DO152" i="135"/>
  <c r="DM152" i="135"/>
  <c r="DN152" i="135" s="1"/>
  <c r="DL152" i="135"/>
  <c r="DK152" i="135"/>
  <c r="DJ152" i="135"/>
  <c r="DH152" i="135"/>
  <c r="DI152" i="135" s="1"/>
  <c r="DG152" i="135"/>
  <c r="DF152" i="135"/>
  <c r="DE152" i="135"/>
  <c r="DC152" i="135"/>
  <c r="DD152" i="135" s="1"/>
  <c r="DB152" i="135"/>
  <c r="DA152" i="135"/>
  <c r="CZ152" i="135"/>
  <c r="CX152" i="135"/>
  <c r="CY152" i="135" s="1"/>
  <c r="CW152" i="135"/>
  <c r="CV152" i="135"/>
  <c r="CU152" i="135"/>
  <c r="CS152" i="135"/>
  <c r="CT152" i="135" s="1"/>
  <c r="CR152" i="135"/>
  <c r="CQ152" i="135"/>
  <c r="CP152" i="135"/>
  <c r="CN152" i="135"/>
  <c r="CO152" i="135" s="1"/>
  <c r="CM152" i="135"/>
  <c r="CL152" i="135"/>
  <c r="CK152" i="135"/>
  <c r="CI152" i="135"/>
  <c r="CJ152" i="135" s="1"/>
  <c r="CH152" i="135"/>
  <c r="CG152" i="135"/>
  <c r="CF152" i="135"/>
  <c r="CD152" i="135"/>
  <c r="CE152" i="135" s="1"/>
  <c r="CC152" i="135"/>
  <c r="CB152" i="135"/>
  <c r="CA152" i="135"/>
  <c r="BY152" i="135"/>
  <c r="BZ152" i="135" s="1"/>
  <c r="BX152" i="135"/>
  <c r="BW152" i="135"/>
  <c r="BV152" i="135"/>
  <c r="BU152" i="135"/>
  <c r="DX150" i="135"/>
  <c r="DS150" i="135"/>
  <c r="DN150" i="135"/>
  <c r="DI150" i="135"/>
  <c r="DD150" i="135"/>
  <c r="CY150" i="135"/>
  <c r="CT150" i="135"/>
  <c r="CO150" i="135"/>
  <c r="CJ150" i="135"/>
  <c r="CE150" i="135"/>
  <c r="BZ150" i="135"/>
  <c r="BU150" i="135"/>
  <c r="DW148" i="135"/>
  <c r="DX148" i="135" s="1"/>
  <c r="DV148" i="135"/>
  <c r="DU148" i="135"/>
  <c r="DT148" i="135"/>
  <c r="DR148" i="135"/>
  <c r="DQ148" i="135"/>
  <c r="DP148" i="135"/>
  <c r="DO148" i="135"/>
  <c r="DM148" i="135"/>
  <c r="DN148" i="135" s="1"/>
  <c r="DL148" i="135"/>
  <c r="DK148" i="135"/>
  <c r="DJ148" i="135"/>
  <c r="DH148" i="135"/>
  <c r="DI148" i="135" s="1"/>
  <c r="DG148" i="135"/>
  <c r="DF148" i="135"/>
  <c r="DE148" i="135"/>
  <c r="DC148" i="135"/>
  <c r="DD148" i="135" s="1"/>
  <c r="DB148" i="135"/>
  <c r="DA148" i="135"/>
  <c r="CZ148" i="135"/>
  <c r="CX148" i="135"/>
  <c r="CY148" i="135" s="1"/>
  <c r="CW148" i="135"/>
  <c r="CV148" i="135"/>
  <c r="CU148" i="135"/>
  <c r="CS148" i="135"/>
  <c r="CT148" i="135" s="1"/>
  <c r="CR148" i="135"/>
  <c r="CQ148" i="135"/>
  <c r="CP148" i="135"/>
  <c r="CN148" i="135"/>
  <c r="CO148" i="135" s="1"/>
  <c r="CM148" i="135"/>
  <c r="CL148" i="135"/>
  <c r="CK148" i="135"/>
  <c r="CI148" i="135"/>
  <c r="CJ148" i="135" s="1"/>
  <c r="CH148" i="135"/>
  <c r="CG148" i="135"/>
  <c r="CF148" i="135"/>
  <c r="CD148" i="135"/>
  <c r="CE148" i="135" s="1"/>
  <c r="CC148" i="135"/>
  <c r="CB148" i="135"/>
  <c r="CA148" i="135"/>
  <c r="BY148" i="135"/>
  <c r="BZ148" i="135" s="1"/>
  <c r="BX148" i="135"/>
  <c r="BW148" i="135"/>
  <c r="BV148" i="135"/>
  <c r="DX146" i="135"/>
  <c r="DS146" i="135"/>
  <c r="DN146" i="135"/>
  <c r="DI146" i="135"/>
  <c r="DD146" i="135"/>
  <c r="CY146" i="135"/>
  <c r="CT146" i="135"/>
  <c r="CO146" i="135"/>
  <c r="CJ146" i="135"/>
  <c r="CE146" i="135"/>
  <c r="BZ146" i="135"/>
  <c r="BU146" i="135"/>
  <c r="DW144" i="135"/>
  <c r="DX144" i="135" s="1"/>
  <c r="DV144" i="135"/>
  <c r="DU144" i="135"/>
  <c r="DT144" i="135"/>
  <c r="DR144" i="135"/>
  <c r="DS144" i="135" s="1"/>
  <c r="DQ144" i="135"/>
  <c r="DP144" i="135"/>
  <c r="DO144" i="135"/>
  <c r="DM144" i="135"/>
  <c r="DN144" i="135" s="1"/>
  <c r="DL144" i="135"/>
  <c r="DK144" i="135"/>
  <c r="DJ144" i="135"/>
  <c r="DH144" i="135"/>
  <c r="DI144" i="135" s="1"/>
  <c r="DG144" i="135"/>
  <c r="DF144" i="135"/>
  <c r="DE144" i="135"/>
  <c r="DC144" i="135"/>
  <c r="DD144" i="135" s="1"/>
  <c r="DB144" i="135"/>
  <c r="DA144" i="135"/>
  <c r="CZ144" i="135"/>
  <c r="CX144" i="135"/>
  <c r="CY144" i="135" s="1"/>
  <c r="CW144" i="135"/>
  <c r="CV144" i="135"/>
  <c r="CU144" i="135"/>
  <c r="CS144" i="135"/>
  <c r="CT144" i="135" s="1"/>
  <c r="CR144" i="135"/>
  <c r="CQ144" i="135"/>
  <c r="CP144" i="135"/>
  <c r="CN144" i="135"/>
  <c r="CO144" i="135" s="1"/>
  <c r="CM144" i="135"/>
  <c r="CL144" i="135"/>
  <c r="CK144" i="135"/>
  <c r="CI144" i="135"/>
  <c r="CJ144" i="135" s="1"/>
  <c r="CH144" i="135"/>
  <c r="CG144" i="135"/>
  <c r="CF144" i="135"/>
  <c r="CD144" i="135"/>
  <c r="CE144" i="135" s="1"/>
  <c r="CC144" i="135"/>
  <c r="CB144" i="135"/>
  <c r="CA144" i="135"/>
  <c r="BY144" i="135"/>
  <c r="BZ144" i="135" s="1"/>
  <c r="BX144" i="135"/>
  <c r="BW144" i="135"/>
  <c r="BV144" i="135"/>
  <c r="BU144" i="135"/>
  <c r="DX142" i="135"/>
  <c r="DS142" i="135"/>
  <c r="DN142" i="135"/>
  <c r="DI142" i="135"/>
  <c r="DD142" i="135"/>
  <c r="CY142" i="135"/>
  <c r="CT142" i="135"/>
  <c r="CO142" i="135"/>
  <c r="CJ142" i="135"/>
  <c r="CE142" i="135"/>
  <c r="BZ142" i="135"/>
  <c r="BU142" i="135"/>
  <c r="CD77" i="135"/>
  <c r="CC77" i="135"/>
  <c r="CB77" i="135"/>
  <c r="CA77" i="135"/>
  <c r="BY77" i="135"/>
  <c r="BX77" i="135"/>
  <c r="BW77" i="135"/>
  <c r="CE76" i="135"/>
  <c r="BZ76" i="135"/>
  <c r="CI74" i="135"/>
  <c r="CI75" i="135" s="1"/>
  <c r="CI76" i="135" s="1"/>
  <c r="CH74" i="135"/>
  <c r="CH75" i="135" s="1"/>
  <c r="CH76" i="135" s="1"/>
  <c r="ED56" i="135"/>
  <c r="EB56" i="135"/>
  <c r="EA56" i="135"/>
  <c r="DZ56" i="135"/>
  <c r="DY56" i="135"/>
  <c r="DW56" i="135"/>
  <c r="DV56" i="135"/>
  <c r="DU56" i="135"/>
  <c r="DT56" i="135"/>
  <c r="DR56" i="135"/>
  <c r="DQ56" i="135"/>
  <c r="DP56" i="135"/>
  <c r="DO56" i="135"/>
  <c r="DM56" i="135"/>
  <c r="DL56" i="135"/>
  <c r="DK56" i="135"/>
  <c r="DJ56" i="135"/>
  <c r="DH56" i="135"/>
  <c r="DG56" i="135"/>
  <c r="DF56" i="135"/>
  <c r="DE56" i="135"/>
  <c r="DC56" i="135"/>
  <c r="DB56" i="135"/>
  <c r="DA56" i="135"/>
  <c r="CZ56" i="135"/>
  <c r="CX56" i="135"/>
  <c r="CW56" i="135"/>
  <c r="CV56" i="135"/>
  <c r="CU56" i="135"/>
  <c r="CS56" i="135"/>
  <c r="CR56" i="135"/>
  <c r="CQ56" i="135"/>
  <c r="CP56" i="135"/>
  <c r="CN56" i="135"/>
  <c r="CM56" i="135"/>
  <c r="CL56" i="135"/>
  <c r="CK56" i="135"/>
  <c r="CI56" i="135"/>
  <c r="CH56" i="135"/>
  <c r="CG56" i="135"/>
  <c r="CF56" i="135"/>
  <c r="CD56" i="135"/>
  <c r="CC56" i="135"/>
  <c r="CH57" i="135" s="1"/>
  <c r="CB56" i="135"/>
  <c r="CA56" i="135"/>
  <c r="BW56" i="135"/>
  <c r="BV56" i="135"/>
  <c r="BQ56" i="135"/>
  <c r="EG53" i="135"/>
  <c r="EF53" i="135"/>
  <c r="EE53" i="135"/>
  <c r="EJ54" i="135" s="1"/>
  <c r="ED53" i="135"/>
  <c r="EB53" i="135"/>
  <c r="EA53" i="135"/>
  <c r="DZ53" i="135"/>
  <c r="DY53" i="135"/>
  <c r="DW53" i="135"/>
  <c r="DV53" i="135"/>
  <c r="DU53" i="135"/>
  <c r="DT53" i="135"/>
  <c r="DR53" i="135"/>
  <c r="DQ53" i="135"/>
  <c r="DP53" i="135"/>
  <c r="DO53" i="135"/>
  <c r="DM53" i="135"/>
  <c r="DL53" i="135"/>
  <c r="DK53" i="135"/>
  <c r="DJ53" i="135"/>
  <c r="DH53" i="135"/>
  <c r="DG53" i="135"/>
  <c r="DF53" i="135"/>
  <c r="DE53" i="135"/>
  <c r="DC53" i="135"/>
  <c r="DB53" i="135"/>
  <c r="DA53" i="135"/>
  <c r="CZ53" i="135"/>
  <c r="CX53" i="135"/>
  <c r="CW53" i="135"/>
  <c r="CV53" i="135"/>
  <c r="CU53" i="135"/>
  <c r="CS53" i="135"/>
  <c r="CR53" i="135"/>
  <c r="CQ53" i="135"/>
  <c r="CP53" i="135"/>
  <c r="CN53" i="135"/>
  <c r="CM53" i="135"/>
  <c r="CL53" i="135"/>
  <c r="CK53" i="135"/>
  <c r="CI53" i="135"/>
  <c r="CH53" i="135"/>
  <c r="CG53" i="135"/>
  <c r="CF53" i="135"/>
  <c r="CD53" i="135"/>
  <c r="CC53" i="135"/>
  <c r="CB53" i="135"/>
  <c r="CA53" i="135"/>
  <c r="BW53" i="135"/>
  <c r="BV53" i="135"/>
  <c r="BQ53" i="135"/>
  <c r="EC52" i="135"/>
  <c r="EC163" i="135" s="1"/>
  <c r="EB52" i="135"/>
  <c r="EB163" i="135" s="1"/>
  <c r="EA52" i="135"/>
  <c r="EA163" i="135" s="1"/>
  <c r="DS52" i="135"/>
  <c r="DS163" i="135" s="1"/>
  <c r="DR52" i="135"/>
  <c r="DR163" i="135" s="1"/>
  <c r="DQ52" i="135"/>
  <c r="DQ163" i="135" s="1"/>
  <c r="DP52" i="135"/>
  <c r="DP163" i="135" s="1"/>
  <c r="DO52" i="135"/>
  <c r="DO163" i="135" s="1"/>
  <c r="EG46" i="135"/>
  <c r="EF46" i="135"/>
  <c r="EE46" i="135"/>
  <c r="ED46" i="135"/>
  <c r="EB46" i="135"/>
  <c r="EA46" i="135"/>
  <c r="DZ46" i="135"/>
  <c r="DY46" i="135"/>
  <c r="DW46" i="135"/>
  <c r="DX46" i="135" s="1"/>
  <c r="DV46" i="135"/>
  <c r="DU46" i="135"/>
  <c r="DU47" i="135" s="1"/>
  <c r="DT46" i="135"/>
  <c r="DR46" i="135"/>
  <c r="DS46" i="135" s="1"/>
  <c r="DQ46" i="135"/>
  <c r="DP46" i="135"/>
  <c r="DO46" i="135"/>
  <c r="DM46" i="135"/>
  <c r="DL46" i="135"/>
  <c r="DL47" i="135" s="1"/>
  <c r="DK46" i="135"/>
  <c r="DK47" i="135" s="1"/>
  <c r="DJ46" i="135"/>
  <c r="DJ47" i="135" s="1"/>
  <c r="DG46" i="135"/>
  <c r="DF46" i="135"/>
  <c r="DE46" i="135"/>
  <c r="DC46" i="135"/>
  <c r="DB46" i="135"/>
  <c r="DA46" i="135"/>
  <c r="CZ46" i="135"/>
  <c r="CX46" i="135"/>
  <c r="CW46" i="135"/>
  <c r="CV46" i="135"/>
  <c r="CU46" i="135"/>
  <c r="CU47" i="135" s="1"/>
  <c r="CS46" i="135"/>
  <c r="CR46" i="135"/>
  <c r="CQ46" i="135"/>
  <c r="CP46" i="135"/>
  <c r="CP47" i="135" s="1"/>
  <c r="CN46" i="135"/>
  <c r="CM46" i="135"/>
  <c r="CL46" i="135"/>
  <c r="CK46" i="135"/>
  <c r="CK47" i="135" s="1"/>
  <c r="CI46" i="135"/>
  <c r="CH46" i="135"/>
  <c r="CG46" i="135"/>
  <c r="CF46" i="135"/>
  <c r="CD46" i="135"/>
  <c r="CE46" i="135" s="1"/>
  <c r="CC46" i="135"/>
  <c r="CB46" i="135"/>
  <c r="CB47" i="135" s="1"/>
  <c r="CA46" i="135"/>
  <c r="BY46" i="135"/>
  <c r="BX46" i="135"/>
  <c r="BW46" i="135"/>
  <c r="BV46" i="135"/>
  <c r="BT46" i="135"/>
  <c r="BT47" i="135" s="1"/>
  <c r="BS46" i="135"/>
  <c r="BR46" i="135"/>
  <c r="BQ46" i="135"/>
  <c r="EG42" i="135"/>
  <c r="EF42" i="135"/>
  <c r="EE42" i="135"/>
  <c r="ED42" i="135"/>
  <c r="EB42" i="135"/>
  <c r="EA42" i="135"/>
  <c r="DZ42" i="135"/>
  <c r="DY42" i="135"/>
  <c r="DW42" i="135"/>
  <c r="DV42" i="135"/>
  <c r="DU42" i="135"/>
  <c r="DU43" i="135" s="1"/>
  <c r="DT42" i="135"/>
  <c r="DR42" i="135"/>
  <c r="DQ42" i="135"/>
  <c r="DP42" i="135"/>
  <c r="DO42" i="135"/>
  <c r="DM42" i="135"/>
  <c r="DN42" i="135" s="1"/>
  <c r="DL42" i="135"/>
  <c r="DK42" i="135"/>
  <c r="DK43" i="135" s="1"/>
  <c r="DJ42" i="135"/>
  <c r="DJ43" i="135" s="1"/>
  <c r="DG42" i="135"/>
  <c r="DF42" i="135"/>
  <c r="DE42" i="135"/>
  <c r="DC42" i="135"/>
  <c r="DD42" i="135" s="1"/>
  <c r="DB42" i="135"/>
  <c r="DA42" i="135"/>
  <c r="CZ42" i="135"/>
  <c r="CZ43" i="135" s="1"/>
  <c r="CX42" i="135"/>
  <c r="CW42" i="135"/>
  <c r="CV42" i="135"/>
  <c r="CU42" i="135"/>
  <c r="CU43" i="135" s="1"/>
  <c r="CS42" i="135"/>
  <c r="CT42" i="135" s="1"/>
  <c r="CR42" i="135"/>
  <c r="CQ42" i="135"/>
  <c r="CP42" i="135"/>
  <c r="CP43" i="135" s="1"/>
  <c r="CN42" i="135"/>
  <c r="CM42" i="135"/>
  <c r="CL42" i="135"/>
  <c r="CK42" i="135"/>
  <c r="CK43" i="135" s="1"/>
  <c r="CI42" i="135"/>
  <c r="CH42" i="135"/>
  <c r="CG42" i="135"/>
  <c r="CF42" i="135"/>
  <c r="CD42" i="135"/>
  <c r="CE42" i="135" s="1"/>
  <c r="CC42" i="135"/>
  <c r="CB42" i="135"/>
  <c r="CB43" i="135" s="1"/>
  <c r="CA42" i="135"/>
  <c r="BY42" i="135"/>
  <c r="BX42" i="135"/>
  <c r="BW42" i="135"/>
  <c r="BV42" i="135"/>
  <c r="BT42" i="135"/>
  <c r="BU42" i="135" s="1"/>
  <c r="BS42" i="135"/>
  <c r="BR42" i="135"/>
  <c r="BQ42" i="135"/>
  <c r="DS36" i="135"/>
  <c r="DM38" i="135"/>
  <c r="DI36" i="135"/>
  <c r="DD36" i="135"/>
  <c r="CY36" i="135"/>
  <c r="CZ38" i="135" s="1"/>
  <c r="EH33" i="135"/>
  <c r="EG33" i="135"/>
  <c r="EF33" i="135"/>
  <c r="EE33" i="135"/>
  <c r="ED33" i="135"/>
  <c r="EC33" i="135"/>
  <c r="EB33" i="135"/>
  <c r="EA33" i="135"/>
  <c r="DZ33" i="135"/>
  <c r="DY33" i="135"/>
  <c r="DX33" i="135"/>
  <c r="DW33" i="135"/>
  <c r="DV33" i="135"/>
  <c r="DU33" i="135"/>
  <c r="DT33" i="135"/>
  <c r="EG26" i="135"/>
  <c r="EG158" i="135" s="1"/>
  <c r="EF26" i="135"/>
  <c r="EF36" i="135" s="1"/>
  <c r="EE26" i="135"/>
  <c r="EE36" i="135" s="1"/>
  <c r="ED26" i="135"/>
  <c r="ED12" i="135" s="1"/>
  <c r="EB26" i="135"/>
  <c r="EB36" i="135" s="1"/>
  <c r="EA26" i="135"/>
  <c r="EA158" i="135" s="1"/>
  <c r="DZ26" i="135"/>
  <c r="DY26" i="135"/>
  <c r="DY12" i="135" s="1"/>
  <c r="DW26" i="135"/>
  <c r="DW158" i="135" s="1"/>
  <c r="DV26" i="135"/>
  <c r="DU26" i="135"/>
  <c r="DU22" i="135" s="1"/>
  <c r="DU23" i="135" s="1"/>
  <c r="DT26" i="135"/>
  <c r="DT36" i="135" s="1"/>
  <c r="EG24" i="135"/>
  <c r="EL24" i="135" s="1"/>
  <c r="EF24" i="135"/>
  <c r="EK24" i="135" s="1"/>
  <c r="EE24" i="135"/>
  <c r="EB24" i="135"/>
  <c r="EA24" i="135"/>
  <c r="DZ24" i="135"/>
  <c r="DW24" i="135"/>
  <c r="DV24" i="135"/>
  <c r="DU24" i="135"/>
  <c r="EG23" i="135"/>
  <c r="EF23" i="135"/>
  <c r="EE23" i="135"/>
  <c r="ED23" i="135"/>
  <c r="EB23" i="135"/>
  <c r="EA23" i="135"/>
  <c r="DZ23" i="135"/>
  <c r="DY23" i="135"/>
  <c r="DW23" i="135"/>
  <c r="EE22" i="135"/>
  <c r="EH21" i="135"/>
  <c r="EC21" i="135"/>
  <c r="ED24" i="135" s="1"/>
  <c r="DX21" i="135"/>
  <c r="DY24" i="135" s="1"/>
  <c r="DS21" i="135"/>
  <c r="DT24" i="135" s="1"/>
  <c r="EN19" i="135"/>
  <c r="EG19" i="135"/>
  <c r="EF19" i="135"/>
  <c r="EE19" i="135"/>
  <c r="EB19" i="135"/>
  <c r="EA19" i="135"/>
  <c r="DZ19" i="135"/>
  <c r="DW19" i="135"/>
  <c r="DV19" i="135"/>
  <c r="DU19" i="135"/>
  <c r="EG18" i="135"/>
  <c r="EF18" i="135"/>
  <c r="EE18" i="135"/>
  <c r="ED18" i="135"/>
  <c r="EB18" i="135"/>
  <c r="EA18" i="135"/>
  <c r="DZ18" i="135"/>
  <c r="DY18" i="135"/>
  <c r="DX18" i="135"/>
  <c r="DW18" i="135"/>
  <c r="DV18" i="135"/>
  <c r="DU18" i="135"/>
  <c r="DT18" i="135"/>
  <c r="EH16" i="135"/>
  <c r="EC16" i="135"/>
  <c r="ED19" i="135" s="1"/>
  <c r="DX16" i="135"/>
  <c r="DY19" i="135" s="1"/>
  <c r="DS16" i="135"/>
  <c r="DT19" i="135" s="1"/>
  <c r="EN14" i="135"/>
  <c r="EG14" i="135"/>
  <c r="EF14" i="135"/>
  <c r="EE14" i="135"/>
  <c r="EB14" i="135"/>
  <c r="EA14" i="135"/>
  <c r="DZ14" i="135"/>
  <c r="DW14" i="135"/>
  <c r="DV14" i="135"/>
  <c r="DU14" i="135"/>
  <c r="EG13" i="135"/>
  <c r="EF13" i="135"/>
  <c r="EE13" i="135"/>
  <c r="ED13" i="135"/>
  <c r="EB13" i="135"/>
  <c r="EA13" i="135"/>
  <c r="DZ13" i="135"/>
  <c r="DY13" i="135"/>
  <c r="DX13" i="135"/>
  <c r="DW13" i="135"/>
  <c r="DV13" i="135"/>
  <c r="DU13" i="135"/>
  <c r="DT13" i="135"/>
  <c r="EE12" i="135"/>
  <c r="EC11" i="135"/>
  <c r="EC5" i="135"/>
  <c r="DX11" i="135"/>
  <c r="DY14" i="135" s="1"/>
  <c r="DX5" i="135"/>
  <c r="DS11" i="135"/>
  <c r="DS6" i="135" s="1"/>
  <c r="DS5" i="135"/>
  <c r="EH11" i="135"/>
  <c r="EI11" i="135" s="1"/>
  <c r="EW5" i="135"/>
  <c r="EW41" i="135" s="1"/>
  <c r="EW52" i="135" s="1"/>
  <c r="EW163" i="135" s="1"/>
  <c r="EV5" i="135"/>
  <c r="EV41" i="135" s="1"/>
  <c r="EV52" i="135" s="1"/>
  <c r="EV163" i="135" s="1"/>
  <c r="EU5" i="135"/>
  <c r="EU41" i="135" s="1"/>
  <c r="EU52" i="135" s="1"/>
  <c r="EU163" i="135" s="1"/>
  <c r="ET5" i="135"/>
  <c r="ET41" i="135" s="1"/>
  <c r="ET52" i="135" s="1"/>
  <c r="ET163" i="135" s="1"/>
  <c r="ES5" i="135"/>
  <c r="ES41" i="135" s="1"/>
  <c r="ES52" i="135" s="1"/>
  <c r="ES163" i="135" s="1"/>
  <c r="ER5" i="135"/>
  <c r="ER41" i="135" s="1"/>
  <c r="ER52" i="135" s="1"/>
  <c r="ER163" i="135" s="1"/>
  <c r="EQ5" i="135"/>
  <c r="EQ41" i="135" s="1"/>
  <c r="EQ52" i="135" s="1"/>
  <c r="EQ163" i="135" s="1"/>
  <c r="EP5" i="135"/>
  <c r="EP41" i="135" s="1"/>
  <c r="EP52" i="135" s="1"/>
  <c r="EP163" i="135" s="1"/>
  <c r="EO5" i="135"/>
  <c r="EO41" i="135" s="1"/>
  <c r="EO52" i="135" s="1"/>
  <c r="EO163" i="135" s="1"/>
  <c r="EN5" i="135"/>
  <c r="EM5" i="135"/>
  <c r="EM41" i="135" s="1"/>
  <c r="EM52" i="135" s="1"/>
  <c r="EM163" i="135" s="1"/>
  <c r="EL5" i="135"/>
  <c r="EL41" i="135" s="1"/>
  <c r="EL52" i="135" s="1"/>
  <c r="EL163" i="135" s="1"/>
  <c r="EK5" i="135"/>
  <c r="EK41" i="135" s="1"/>
  <c r="EK52" i="135" s="1"/>
  <c r="EK163" i="135" s="1"/>
  <c r="EJ5" i="135"/>
  <c r="EJ41" i="135" s="1"/>
  <c r="EJ52" i="135" s="1"/>
  <c r="EJ163" i="135" s="1"/>
  <c r="EI5" i="135"/>
  <c r="EI41" i="135" s="1"/>
  <c r="EI52" i="135" s="1"/>
  <c r="EI163" i="135" s="1"/>
  <c r="EH5" i="135"/>
  <c r="EH41" i="135" s="1"/>
  <c r="EH52" i="135" s="1"/>
  <c r="EH163" i="135" s="1"/>
  <c r="EG5" i="135"/>
  <c r="EG41" i="135" s="1"/>
  <c r="EG52" i="135" s="1"/>
  <c r="EG163" i="135" s="1"/>
  <c r="EF5" i="135"/>
  <c r="EF41" i="135" s="1"/>
  <c r="EF52" i="135" s="1"/>
  <c r="EF163" i="135" s="1"/>
  <c r="EE5" i="135"/>
  <c r="EE41" i="135" s="1"/>
  <c r="EE52" i="135" s="1"/>
  <c r="EE163" i="135" s="1"/>
  <c r="ED5" i="135"/>
  <c r="ED41" i="135" s="1"/>
  <c r="ED52" i="135" s="1"/>
  <c r="ED163" i="135" s="1"/>
  <c r="EB5" i="135"/>
  <c r="EA5" i="135"/>
  <c r="DZ5" i="135"/>
  <c r="DY5" i="135"/>
  <c r="DW5" i="135"/>
  <c r="DV5" i="135"/>
  <c r="DU5" i="135"/>
  <c r="DT5" i="135"/>
  <c r="DR5" i="135"/>
  <c r="DQ5" i="135"/>
  <c r="DP5" i="135"/>
  <c r="DO5" i="135"/>
  <c r="DN5" i="135"/>
  <c r="DM5" i="135"/>
  <c r="DL5" i="135"/>
  <c r="DK5" i="135"/>
  <c r="DJ5" i="135"/>
  <c r="DI5" i="135"/>
  <c r="DH5" i="135"/>
  <c r="DG5" i="135"/>
  <c r="DF5" i="135"/>
  <c r="DE5" i="135"/>
  <c r="DD5" i="135"/>
  <c r="DC5" i="135"/>
  <c r="DB5" i="135"/>
  <c r="DA5" i="135"/>
  <c r="CZ5" i="135"/>
  <c r="CY5" i="135"/>
  <c r="CX5" i="135"/>
  <c r="CW5" i="135"/>
  <c r="CV5" i="135"/>
  <c r="CU5" i="135"/>
  <c r="CT5" i="135"/>
  <c r="CS5" i="135"/>
  <c r="CR5" i="135"/>
  <c r="CQ5" i="135"/>
  <c r="CP5" i="135"/>
  <c r="CO5" i="135"/>
  <c r="CN5" i="135"/>
  <c r="CM5" i="135"/>
  <c r="CL5" i="135"/>
  <c r="CK5" i="135"/>
  <c r="CJ5" i="135"/>
  <c r="CI5" i="135"/>
  <c r="CH5" i="135"/>
  <c r="CG5" i="135"/>
  <c r="CF5" i="135"/>
  <c r="CE5" i="135"/>
  <c r="CD5" i="135"/>
  <c r="CC5" i="135"/>
  <c r="CB5" i="135"/>
  <c r="CA5" i="135"/>
  <c r="BZ5" i="135"/>
  <c r="BY5" i="135"/>
  <c r="BX5" i="135"/>
  <c r="BW5" i="135"/>
  <c r="BV5" i="135"/>
  <c r="BU5" i="135"/>
  <c r="BT5" i="135"/>
  <c r="BS5" i="135"/>
  <c r="BR5" i="135"/>
  <c r="BQ5" i="135"/>
  <c r="BP5" i="135"/>
  <c r="BO5" i="135"/>
  <c r="BN5" i="135"/>
  <c r="BM5" i="135"/>
  <c r="BL5" i="135"/>
  <c r="BK5" i="135"/>
  <c r="BJ5" i="135"/>
  <c r="BI5" i="135"/>
  <c r="BH5" i="135"/>
  <c r="BG5" i="135"/>
  <c r="BF5" i="135"/>
  <c r="BE5" i="135"/>
  <c r="BD5" i="135"/>
  <c r="BC5" i="135"/>
  <c r="BB5" i="135"/>
  <c r="BA5" i="135"/>
  <c r="AZ5" i="135"/>
  <c r="AY5" i="135"/>
  <c r="AX5" i="135"/>
  <c r="AW5" i="135"/>
  <c r="AV5" i="135"/>
  <c r="AU5" i="135"/>
  <c r="AT5" i="135"/>
  <c r="AS5" i="135"/>
  <c r="AR5" i="135"/>
  <c r="AQ5" i="135"/>
  <c r="AP5" i="135"/>
  <c r="AO5" i="135"/>
  <c r="AN5" i="135"/>
  <c r="AM5" i="135"/>
  <c r="AL5" i="135"/>
  <c r="AK5" i="135"/>
  <c r="AJ5" i="135"/>
  <c r="AI5" i="135"/>
  <c r="AH5" i="135"/>
  <c r="AG5" i="135"/>
  <c r="AF5" i="135"/>
  <c r="AE5" i="135"/>
  <c r="AD5" i="135"/>
  <c r="AC5" i="135"/>
  <c r="AB5" i="135"/>
  <c r="AA5" i="135"/>
  <c r="Z5" i="135"/>
  <c r="Y5" i="135"/>
  <c r="X5" i="135"/>
  <c r="W5" i="135"/>
  <c r="V5" i="135"/>
  <c r="U5" i="135"/>
  <c r="T5" i="135"/>
  <c r="S5" i="135"/>
  <c r="R5" i="135"/>
  <c r="Q5" i="135"/>
  <c r="P5" i="135"/>
  <c r="O5" i="135"/>
  <c r="N5" i="135"/>
  <c r="M5" i="135"/>
  <c r="L5" i="135"/>
  <c r="K5" i="135"/>
  <c r="J5" i="135"/>
  <c r="I5" i="135"/>
  <c r="H5" i="135"/>
  <c r="G5" i="135"/>
  <c r="F5" i="135"/>
  <c r="E5" i="135"/>
  <c r="D5" i="135"/>
  <c r="A1" i="135"/>
  <c r="BL409" i="172"/>
  <c r="AY409" i="172"/>
  <c r="AV409" i="172"/>
  <c r="U11" i="171"/>
  <c r="T11" i="171"/>
  <c r="S11" i="171"/>
  <c r="R11" i="171"/>
  <c r="Q11" i="171"/>
  <c r="P11" i="171"/>
  <c r="O11" i="171"/>
  <c r="N11" i="171"/>
  <c r="M11" i="171"/>
  <c r="L11" i="171"/>
  <c r="K11" i="171"/>
  <c r="J11" i="171"/>
  <c r="I11" i="171"/>
  <c r="H11" i="171"/>
  <c r="G11" i="171"/>
  <c r="F11" i="171"/>
  <c r="E11" i="171"/>
  <c r="D11" i="171"/>
  <c r="C11" i="171"/>
  <c r="B11" i="171"/>
  <c r="AU23" i="171"/>
  <c r="AT23" i="171"/>
  <c r="AS23" i="171"/>
  <c r="AR23" i="171"/>
  <c r="AQ23" i="171"/>
  <c r="AP23" i="171"/>
  <c r="AO23" i="171"/>
  <c r="AN23" i="171"/>
  <c r="AM23" i="171"/>
  <c r="AL23" i="171"/>
  <c r="AK23" i="171"/>
  <c r="AJ23" i="171"/>
  <c r="AI23" i="171"/>
  <c r="AH23" i="171"/>
  <c r="AG23" i="171"/>
  <c r="AF23" i="171"/>
  <c r="AE23" i="171"/>
  <c r="AD23" i="171"/>
  <c r="CY22" i="171"/>
  <c r="CX22" i="171"/>
  <c r="CT22" i="171"/>
  <c r="CS22" i="171"/>
  <c r="CR22" i="171"/>
  <c r="CQ22" i="171"/>
  <c r="CT19" i="171"/>
  <c r="CS19" i="171"/>
  <c r="CR19" i="171"/>
  <c r="CQ19" i="171"/>
  <c r="CD19" i="171"/>
  <c r="CD281" i="171" s="1"/>
  <c r="CC19" i="171"/>
  <c r="CC281" i="171" s="1"/>
  <c r="CB19" i="171"/>
  <c r="DA22" i="171"/>
  <c r="CZ22" i="171"/>
  <c r="AO16" i="171"/>
  <c r="AN16" i="171"/>
  <c r="AM16" i="171"/>
  <c r="AL16" i="171"/>
  <c r="AK16" i="171"/>
  <c r="AJ16" i="171"/>
  <c r="AI16" i="171"/>
  <c r="AH16" i="171"/>
  <c r="AG16" i="171"/>
  <c r="AF16" i="171"/>
  <c r="AE16" i="171"/>
  <c r="AD16" i="171"/>
  <c r="AI15" i="171"/>
  <c r="AH15" i="171"/>
  <c r="AG15" i="171"/>
  <c r="AF15" i="171"/>
  <c r="AE15" i="171"/>
  <c r="AD15" i="171"/>
  <c r="CZ14" i="171"/>
  <c r="CY14" i="171"/>
  <c r="CX14" i="171"/>
  <c r="CX15" i="171" s="1"/>
  <c r="CT14" i="171"/>
  <c r="CS14" i="171"/>
  <c r="CR14" i="171"/>
  <c r="CQ14" i="171"/>
  <c r="CG14" i="171"/>
  <c r="CF14" i="171"/>
  <c r="CG15" i="171" s="1"/>
  <c r="CE14" i="171"/>
  <c r="CD14" i="171"/>
  <c r="CC14" i="171"/>
  <c r="CB14" i="171"/>
  <c r="CB15" i="171" s="1"/>
  <c r="AS14" i="171"/>
  <c r="AR14" i="171"/>
  <c r="AQ14" i="171"/>
  <c r="AQ19" i="171" s="1"/>
  <c r="AN340" i="189" s="1"/>
  <c r="AN341" i="189" s="1"/>
  <c r="AP14" i="171"/>
  <c r="AP19" i="171" s="1"/>
  <c r="AM340" i="189" s="1"/>
  <c r="U8" i="171"/>
  <c r="T8" i="171"/>
  <c r="S8" i="171"/>
  <c r="R8" i="171"/>
  <c r="Q8" i="171"/>
  <c r="P8" i="171"/>
  <c r="O8" i="171"/>
  <c r="N8" i="171"/>
  <c r="M8" i="171"/>
  <c r="L8" i="171"/>
  <c r="K8" i="171"/>
  <c r="J8" i="171"/>
  <c r="I8" i="171"/>
  <c r="H8" i="171"/>
  <c r="G8" i="171"/>
  <c r="F8" i="171"/>
  <c r="E8" i="171"/>
  <c r="D8" i="171"/>
  <c r="C8" i="171"/>
  <c r="DM66" i="171"/>
  <c r="DL66" i="171"/>
  <c r="DK66" i="171"/>
  <c r="DJ66" i="171"/>
  <c r="DI66" i="171"/>
  <c r="CU6" i="171"/>
  <c r="CT6" i="171"/>
  <c r="CS6" i="171"/>
  <c r="CR6" i="171"/>
  <c r="CQ6" i="171"/>
  <c r="CB6" i="171"/>
  <c r="CA6" i="171"/>
  <c r="BZ6" i="171"/>
  <c r="CA7" i="171" s="1"/>
  <c r="X11" i="171"/>
  <c r="W11" i="171"/>
  <c r="A1" i="171"/>
  <c r="AN259" i="175"/>
  <c r="AM259" i="175"/>
  <c r="AL259" i="175"/>
  <c r="AK259" i="175"/>
  <c r="AS248" i="175"/>
  <c r="AU248" i="175" s="1"/>
  <c r="AV248" i="175" s="1"/>
  <c r="AW248" i="175" s="1"/>
  <c r="AX248" i="175" s="1"/>
  <c r="AZ248" i="175" s="1"/>
  <c r="AQ248" i="175"/>
  <c r="AF248" i="175"/>
  <c r="AG248" i="175" s="1"/>
  <c r="AH248" i="175" s="1"/>
  <c r="AI248" i="175" s="1"/>
  <c r="AK248" i="175" s="1"/>
  <c r="AL248" i="175" s="1"/>
  <c r="AM248" i="175" s="1"/>
  <c r="AN248" i="175" s="1"/>
  <c r="AG241" i="175"/>
  <c r="AF241" i="175"/>
  <c r="AE241" i="175"/>
  <c r="BB240" i="175"/>
  <c r="BC240" i="175" s="1"/>
  <c r="AV240" i="175"/>
  <c r="AW240" i="175" s="1"/>
  <c r="AX240" i="175" s="1"/>
  <c r="AQ240" i="175"/>
  <c r="AR240" i="175" s="1"/>
  <c r="AH240" i="175"/>
  <c r="AH241" i="175" s="1"/>
  <c r="AJ239" i="175"/>
  <c r="AJ241" i="175" s="1"/>
  <c r="AR234" i="175"/>
  <c r="AR233" i="175" s="1"/>
  <c r="AS233" i="175" s="1"/>
  <c r="AQ234" i="175"/>
  <c r="AN234" i="175"/>
  <c r="AN233" i="175" s="1"/>
  <c r="AO233" i="175" s="1"/>
  <c r="AM234" i="175"/>
  <c r="AL234" i="175"/>
  <c r="AJ234" i="175"/>
  <c r="AH234" i="175"/>
  <c r="AG234" i="175"/>
  <c r="AG243" i="175" s="1"/>
  <c r="AF234" i="175"/>
  <c r="AI233" i="175"/>
  <c r="AI234" i="175" s="1"/>
  <c r="AN122" i="175"/>
  <c r="AS169" i="175"/>
  <c r="AU169" i="175" s="1"/>
  <c r="AX167" i="175"/>
  <c r="AR170" i="175"/>
  <c r="AV167" i="175"/>
  <c r="BA167" i="175" s="1"/>
  <c r="AU167" i="175"/>
  <c r="AX162" i="175"/>
  <c r="AW162" i="175"/>
  <c r="AV162" i="175"/>
  <c r="BA162" i="175" s="1"/>
  <c r="AU162" i="175"/>
  <c r="AZ162" i="175" s="1"/>
  <c r="AK165" i="175"/>
  <c r="A200" i="175"/>
  <c r="AQ197" i="175"/>
  <c r="AR197" i="175" s="1"/>
  <c r="AS197" i="175" s="1"/>
  <c r="AT197" i="175" s="1"/>
  <c r="AY197" i="175" s="1"/>
  <c r="AZ197" i="175" s="1"/>
  <c r="BA197" i="175" s="1"/>
  <c r="BB197" i="175" s="1"/>
  <c r="AL197" i="175"/>
  <c r="AM197" i="175" s="1"/>
  <c r="AN197" i="175" s="1"/>
  <c r="AO197" i="175" s="1"/>
  <c r="AK43" i="175"/>
  <c r="AK40" i="175"/>
  <c r="AK28" i="175"/>
  <c r="AK17" i="175"/>
  <c r="BD3" i="175"/>
  <c r="BC3" i="175"/>
  <c r="BB3" i="175"/>
  <c r="BA3" i="175"/>
  <c r="AZ3" i="175"/>
  <c r="AY3" i="175"/>
  <c r="AX3" i="175"/>
  <c r="AW3" i="175"/>
  <c r="AV3" i="175"/>
  <c r="AU3" i="175"/>
  <c r="AT3" i="175"/>
  <c r="AS3" i="175"/>
  <c r="AR3" i="175"/>
  <c r="AQ3" i="175"/>
  <c r="AP3" i="175"/>
  <c r="AO3" i="175"/>
  <c r="AN3" i="175"/>
  <c r="AM3" i="175"/>
  <c r="AL3" i="175"/>
  <c r="AK3" i="175"/>
  <c r="AJ3" i="175"/>
  <c r="AI3" i="175"/>
  <c r="AH3" i="175"/>
  <c r="AG3" i="175"/>
  <c r="AF3" i="175"/>
  <c r="AE3" i="175"/>
  <c r="AD3" i="175"/>
  <c r="AC3" i="175"/>
  <c r="AB3" i="175"/>
  <c r="AA3" i="175"/>
  <c r="Z3" i="175"/>
  <c r="Y3" i="175"/>
  <c r="X3" i="175"/>
  <c r="W3" i="175"/>
  <c r="V3" i="175"/>
  <c r="U3" i="175"/>
  <c r="T3" i="175"/>
  <c r="S3" i="175"/>
  <c r="R3" i="175"/>
  <c r="Q3" i="175"/>
  <c r="P3" i="175"/>
  <c r="O3" i="175"/>
  <c r="N3" i="175"/>
  <c r="M3" i="175"/>
  <c r="L3" i="175"/>
  <c r="K3" i="175"/>
  <c r="J3" i="175"/>
  <c r="I3" i="175"/>
  <c r="H3" i="175"/>
  <c r="G3" i="175"/>
  <c r="F3" i="175"/>
  <c r="E3" i="175"/>
  <c r="D3" i="175"/>
  <c r="C3" i="175"/>
  <c r="B3" i="175"/>
  <c r="BD2" i="175"/>
  <c r="AY2" i="175"/>
  <c r="AT2" i="175"/>
  <c r="AO2" i="175"/>
  <c r="AJ2" i="175"/>
  <c r="AE2" i="175"/>
  <c r="Z2" i="175"/>
  <c r="U2" i="175"/>
  <c r="P2" i="175"/>
  <c r="K2" i="175"/>
  <c r="F2" i="175"/>
  <c r="BS509" i="172"/>
  <c r="BS510" i="172" s="1"/>
  <c r="BS514" i="172" s="1"/>
  <c r="BR509" i="172"/>
  <c r="BR510" i="172" s="1"/>
  <c r="BR514" i="172" s="1"/>
  <c r="BQ509" i="172"/>
  <c r="BQ510" i="172" s="1"/>
  <c r="BQ514" i="172" s="1"/>
  <c r="BM509" i="172"/>
  <c r="BL509" i="172"/>
  <c r="BS475" i="172"/>
  <c r="BR475" i="172"/>
  <c r="BQ475" i="172"/>
  <c r="BM475" i="172"/>
  <c r="BL475" i="172"/>
  <c r="BP474" i="172"/>
  <c r="BP509" i="172" s="1"/>
  <c r="BP473" i="172"/>
  <c r="BP508" i="172" s="1"/>
  <c r="BN474" i="172"/>
  <c r="BN509" i="172" s="1"/>
  <c r="BS465" i="172"/>
  <c r="BR465" i="172"/>
  <c r="BQ465" i="172"/>
  <c r="BP465" i="172"/>
  <c r="BS455" i="172"/>
  <c r="BR455" i="172"/>
  <c r="BQ455" i="172"/>
  <c r="BP455" i="172"/>
  <c r="BN455" i="172"/>
  <c r="BM455" i="172"/>
  <c r="BL455" i="172"/>
  <c r="BJ451" i="172"/>
  <c r="AY451" i="172"/>
  <c r="AT451" i="172"/>
  <c r="AS451" i="172"/>
  <c r="AR451" i="172"/>
  <c r="AE450" i="172"/>
  <c r="AD450" i="172"/>
  <c r="AC450" i="172"/>
  <c r="AB450" i="172"/>
  <c r="Z450" i="172"/>
  <c r="Y450" i="172"/>
  <c r="X450" i="172"/>
  <c r="W450" i="172"/>
  <c r="AL425" i="172"/>
  <c r="AL434" i="172" s="1"/>
  <c r="AO424" i="172"/>
  <c r="AO433" i="172" s="1"/>
  <c r="AN424" i="172"/>
  <c r="AN433" i="172" s="1"/>
  <c r="AM424" i="172"/>
  <c r="AM433" i="172" s="1"/>
  <c r="AL424" i="172"/>
  <c r="AL433" i="172" s="1"/>
  <c r="AO423" i="172"/>
  <c r="AN423" i="172"/>
  <c r="AN432" i="172" s="1"/>
  <c r="AM423" i="172"/>
  <c r="AM432" i="172" s="1"/>
  <c r="AO422" i="172"/>
  <c r="AO431" i="172" s="1"/>
  <c r="AN422" i="172"/>
  <c r="AN431" i="172" s="1"/>
  <c r="AM422" i="172"/>
  <c r="AM431" i="172" s="1"/>
  <c r="AL422" i="172"/>
  <c r="AL431" i="172" s="1"/>
  <c r="AO421" i="172"/>
  <c r="AO430" i="172" s="1"/>
  <c r="AN421" i="172"/>
  <c r="AN430" i="172" s="1"/>
  <c r="AM421" i="172"/>
  <c r="AM430" i="172" s="1"/>
  <c r="AL421" i="172"/>
  <c r="AL430" i="172" s="1"/>
  <c r="AO420" i="172"/>
  <c r="AO429" i="172" s="1"/>
  <c r="AN420" i="172"/>
  <c r="AM420" i="172"/>
  <c r="AM429" i="172" s="1"/>
  <c r="AL420" i="172"/>
  <c r="AL429" i="172" s="1"/>
  <c r="AO417" i="172"/>
  <c r="AO425" i="172" s="1"/>
  <c r="AO434" i="172" s="1"/>
  <c r="AN417" i="172"/>
  <c r="AN425" i="172" s="1"/>
  <c r="AN434" i="172" s="1"/>
  <c r="AM417" i="172"/>
  <c r="AM425" i="172" s="1"/>
  <c r="AL416" i="172"/>
  <c r="AL423" i="172" s="1"/>
  <c r="AT413" i="172"/>
  <c r="AY413" i="172" s="1"/>
  <c r="BD413" i="172" s="1"/>
  <c r="BI413" i="172" s="1"/>
  <c r="BN413" i="172" s="1"/>
  <c r="BS413" i="172" s="1"/>
  <c r="AS413" i="172"/>
  <c r="AX413" i="172" s="1"/>
  <c r="BC413" i="172" s="1"/>
  <c r="BH413" i="172" s="1"/>
  <c r="BM413" i="172" s="1"/>
  <c r="BR413" i="172" s="1"/>
  <c r="AR413" i="172"/>
  <c r="AW413" i="172" s="1"/>
  <c r="BB413" i="172" s="1"/>
  <c r="BG413" i="172" s="1"/>
  <c r="BL413" i="172" s="1"/>
  <c r="BQ413" i="172" s="1"/>
  <c r="AQ413" i="172"/>
  <c r="AV413" i="172" s="1"/>
  <c r="BA413" i="172" s="1"/>
  <c r="BF413" i="172" s="1"/>
  <c r="BK413" i="172" s="1"/>
  <c r="BP413" i="172" s="1"/>
  <c r="AP413" i="172"/>
  <c r="AU413" i="172" s="1"/>
  <c r="AZ413" i="172" s="1"/>
  <c r="BE413" i="172" s="1"/>
  <c r="BJ413" i="172" s="1"/>
  <c r="BO413" i="172" s="1"/>
  <c r="BT413" i="172" s="1"/>
  <c r="AT410" i="172"/>
  <c r="AY410" i="172" s="1"/>
  <c r="BD410" i="172" s="1"/>
  <c r="BI410" i="172" s="1"/>
  <c r="BN410" i="172" s="1"/>
  <c r="BS410" i="172" s="1"/>
  <c r="AS410" i="172"/>
  <c r="AR410" i="172"/>
  <c r="AW410" i="172" s="1"/>
  <c r="BB410" i="172" s="1"/>
  <c r="BG410" i="172" s="1"/>
  <c r="BL410" i="172" s="1"/>
  <c r="BQ410" i="172" s="1"/>
  <c r="AQ410" i="172"/>
  <c r="AV410" i="172" s="1"/>
  <c r="BS409" i="172"/>
  <c r="BK409" i="172"/>
  <c r="BI409" i="172"/>
  <c r="AW409" i="172"/>
  <c r="AT409" i="172"/>
  <c r="AS409" i="172"/>
  <c r="AR409" i="172"/>
  <c r="AQ409" i="172"/>
  <c r="AP409" i="172"/>
  <c r="CH406" i="172"/>
  <c r="CG406" i="172"/>
  <c r="CF406" i="172"/>
  <c r="CE406" i="172"/>
  <c r="BS406" i="172"/>
  <c r="BR406" i="172"/>
  <c r="BQ406" i="172"/>
  <c r="BP406" i="172"/>
  <c r="BN406" i="172"/>
  <c r="BM406" i="172"/>
  <c r="BL406" i="172"/>
  <c r="BK406" i="172"/>
  <c r="BI406" i="172"/>
  <c r="BH406" i="172"/>
  <c r="BG406" i="172"/>
  <c r="BF406" i="172"/>
  <c r="BD406" i="172"/>
  <c r="BC406" i="172"/>
  <c r="BB406" i="172"/>
  <c r="BA406" i="172"/>
  <c r="AY406" i="172"/>
  <c r="AX406" i="172"/>
  <c r="AW406" i="172"/>
  <c r="AV406" i="172"/>
  <c r="AT406" i="172"/>
  <c r="AS406" i="172"/>
  <c r="AR406" i="172"/>
  <c r="AQ406" i="172"/>
  <c r="AO406" i="172"/>
  <c r="AN406" i="172"/>
  <c r="AM406" i="172"/>
  <c r="AL406" i="172"/>
  <c r="AJ406" i="172"/>
  <c r="AI406" i="172"/>
  <c r="AH406" i="172"/>
  <c r="AG406" i="172"/>
  <c r="CI405" i="172"/>
  <c r="CI406" i="172" s="1"/>
  <c r="BT405" i="172"/>
  <c r="BT406" i="172" s="1"/>
  <c r="BO405" i="172"/>
  <c r="BO406" i="172" s="1"/>
  <c r="BJ405" i="172"/>
  <c r="BJ406" i="172" s="1"/>
  <c r="BE405" i="172"/>
  <c r="BE406" i="172" s="1"/>
  <c r="AZ405" i="172"/>
  <c r="AZ406" i="172" s="1"/>
  <c r="AU405" i="172"/>
  <c r="AU406" i="172" s="1"/>
  <c r="AP405" i="172"/>
  <c r="AP406" i="172" s="1"/>
  <c r="AK405" i="172"/>
  <c r="AK406" i="172" s="1"/>
  <c r="AO399" i="172"/>
  <c r="AN399" i="172"/>
  <c r="AM399" i="172"/>
  <c r="AL399" i="172"/>
  <c r="L383" i="172"/>
  <c r="K383" i="172"/>
  <c r="J383" i="172"/>
  <c r="I383" i="172"/>
  <c r="H383" i="172"/>
  <c r="G383" i="172"/>
  <c r="F383" i="172"/>
  <c r="E383" i="172"/>
  <c r="D383" i="172"/>
  <c r="C383" i="172"/>
  <c r="B383" i="172"/>
  <c r="L381" i="172"/>
  <c r="K381" i="172"/>
  <c r="J381" i="172"/>
  <c r="I381" i="172"/>
  <c r="H381" i="172"/>
  <c r="G381" i="172"/>
  <c r="M381" i="172"/>
  <c r="L377" i="172"/>
  <c r="K377" i="172"/>
  <c r="J377" i="172"/>
  <c r="I377" i="172"/>
  <c r="H377" i="172"/>
  <c r="G377" i="172"/>
  <c r="M377" i="172"/>
  <c r="L373" i="172"/>
  <c r="K373" i="172"/>
  <c r="J373" i="172"/>
  <c r="I373" i="172"/>
  <c r="H373" i="172"/>
  <c r="G373" i="172"/>
  <c r="M373" i="172"/>
  <c r="L369" i="172"/>
  <c r="K369" i="172"/>
  <c r="J369" i="172"/>
  <c r="I369" i="172"/>
  <c r="H369" i="172"/>
  <c r="G369" i="172"/>
  <c r="AA360" i="172"/>
  <c r="V360" i="172"/>
  <c r="Z356" i="172"/>
  <c r="Y356" i="172"/>
  <c r="X356" i="172"/>
  <c r="W356" i="172"/>
  <c r="U356" i="172"/>
  <c r="T356" i="172"/>
  <c r="S356" i="172"/>
  <c r="R356" i="172"/>
  <c r="P356" i="172"/>
  <c r="O356" i="172"/>
  <c r="N356" i="172"/>
  <c r="M356" i="172"/>
  <c r="J356" i="172"/>
  <c r="I356" i="172"/>
  <c r="H356" i="172"/>
  <c r="AA355" i="172"/>
  <c r="AA352" i="172"/>
  <c r="V355" i="172"/>
  <c r="V352" i="172"/>
  <c r="Q355" i="172"/>
  <c r="Q352" i="172"/>
  <c r="K355" i="172"/>
  <c r="K354" i="172"/>
  <c r="Z354" i="172"/>
  <c r="Y354" i="172"/>
  <c r="X354" i="172"/>
  <c r="W354" i="172"/>
  <c r="U354" i="172"/>
  <c r="T354" i="172"/>
  <c r="S354" i="172"/>
  <c r="R354" i="172"/>
  <c r="P354" i="172"/>
  <c r="O354" i="172"/>
  <c r="N354" i="172"/>
  <c r="M354" i="172"/>
  <c r="J354" i="172"/>
  <c r="I354" i="172"/>
  <c r="H354" i="172"/>
  <c r="L352" i="172"/>
  <c r="G352" i="172"/>
  <c r="G356" i="172" s="1"/>
  <c r="Z350" i="172"/>
  <c r="Y350" i="172"/>
  <c r="X350" i="172"/>
  <c r="W350" i="172"/>
  <c r="U350" i="172"/>
  <c r="T350" i="172"/>
  <c r="S350" i="172"/>
  <c r="R350" i="172"/>
  <c r="P350" i="172"/>
  <c r="O350" i="172"/>
  <c r="N350" i="172"/>
  <c r="M350" i="172"/>
  <c r="J350" i="172"/>
  <c r="I350" i="172"/>
  <c r="H350" i="172"/>
  <c r="AA349" i="172"/>
  <c r="AA346" i="172"/>
  <c r="V349" i="172"/>
  <c r="V346" i="172"/>
  <c r="Q349" i="172"/>
  <c r="Q346" i="172"/>
  <c r="K349" i="172"/>
  <c r="K348" i="172"/>
  <c r="Z348" i="172"/>
  <c r="Y348" i="172"/>
  <c r="X348" i="172"/>
  <c r="W348" i="172"/>
  <c r="U348" i="172"/>
  <c r="T348" i="172"/>
  <c r="S348" i="172"/>
  <c r="R348" i="172"/>
  <c r="P348" i="172"/>
  <c r="O348" i="172"/>
  <c r="N348" i="172"/>
  <c r="M348" i="172"/>
  <c r="J348" i="172"/>
  <c r="I348" i="172"/>
  <c r="H348" i="172"/>
  <c r="L346" i="172"/>
  <c r="G346" i="172"/>
  <c r="G350" i="172" s="1"/>
  <c r="Z344" i="172"/>
  <c r="Y344" i="172"/>
  <c r="X344" i="172"/>
  <c r="W344" i="172"/>
  <c r="U344" i="172"/>
  <c r="T344" i="172"/>
  <c r="S344" i="172"/>
  <c r="R344" i="172"/>
  <c r="P344" i="172"/>
  <c r="O344" i="172"/>
  <c r="N344" i="172"/>
  <c r="M344" i="172"/>
  <c r="J344" i="172"/>
  <c r="I344" i="172"/>
  <c r="H344" i="172"/>
  <c r="AA343" i="172"/>
  <c r="AA340" i="172"/>
  <c r="V343" i="172"/>
  <c r="V340" i="172"/>
  <c r="Q343" i="172"/>
  <c r="Q340" i="172"/>
  <c r="Z342" i="172"/>
  <c r="Y342" i="172"/>
  <c r="X342" i="172"/>
  <c r="W342" i="172"/>
  <c r="U342" i="172"/>
  <c r="T342" i="172"/>
  <c r="S342" i="172"/>
  <c r="R342" i="172"/>
  <c r="P342" i="172"/>
  <c r="O342" i="172"/>
  <c r="N342" i="172"/>
  <c r="M342" i="172"/>
  <c r="K342" i="172"/>
  <c r="J342" i="172"/>
  <c r="I342" i="172"/>
  <c r="H342" i="172"/>
  <c r="L340" i="172"/>
  <c r="G340" i="172"/>
  <c r="G342" i="172" s="1"/>
  <c r="Z338" i="172"/>
  <c r="Y338" i="172"/>
  <c r="X338" i="172"/>
  <c r="W338" i="172"/>
  <c r="U338" i="172"/>
  <c r="T338" i="172"/>
  <c r="S338" i="172"/>
  <c r="R338" i="172"/>
  <c r="P338" i="172"/>
  <c r="P257" i="172" s="1"/>
  <c r="O338" i="172"/>
  <c r="O257" i="172" s="1"/>
  <c r="N338" i="172"/>
  <c r="N257" i="172" s="1"/>
  <c r="M338" i="172"/>
  <c r="M257" i="172" s="1"/>
  <c r="J338" i="172"/>
  <c r="J257" i="172" s="1"/>
  <c r="I338" i="172"/>
  <c r="I257" i="172" s="1"/>
  <c r="H338" i="172"/>
  <c r="H257" i="172" s="1"/>
  <c r="AA337" i="172"/>
  <c r="AA334" i="172"/>
  <c r="V337" i="172"/>
  <c r="V334" i="172"/>
  <c r="Q337" i="172"/>
  <c r="Q334" i="172"/>
  <c r="Z336" i="172"/>
  <c r="Y336" i="172"/>
  <c r="X336" i="172"/>
  <c r="W336" i="172"/>
  <c r="U336" i="172"/>
  <c r="T336" i="172"/>
  <c r="S336" i="172"/>
  <c r="R336" i="172"/>
  <c r="P336" i="172"/>
  <c r="O336" i="172"/>
  <c r="N336" i="172"/>
  <c r="M336" i="172"/>
  <c r="K336" i="172"/>
  <c r="J336" i="172"/>
  <c r="I336" i="172"/>
  <c r="H336" i="172"/>
  <c r="L334" i="172"/>
  <c r="L338" i="172" s="1"/>
  <c r="G334" i="172"/>
  <c r="G338" i="172" s="1"/>
  <c r="AA331" i="172"/>
  <c r="AA332" i="172" s="1"/>
  <c r="V331" i="172"/>
  <c r="V332" i="172" s="1"/>
  <c r="Q331" i="172"/>
  <c r="Q332" i="172" s="1"/>
  <c r="Z326" i="172"/>
  <c r="Y326" i="172"/>
  <c r="X326" i="172"/>
  <c r="W326" i="172"/>
  <c r="U326" i="172"/>
  <c r="T326" i="172"/>
  <c r="S326" i="172"/>
  <c r="R326" i="172"/>
  <c r="P326" i="172"/>
  <c r="O326" i="172"/>
  <c r="N326" i="172"/>
  <c r="M326" i="172"/>
  <c r="J326" i="172"/>
  <c r="I326" i="172"/>
  <c r="H326" i="172"/>
  <c r="AA325" i="172"/>
  <c r="AA322" i="172"/>
  <c r="V325" i="172"/>
  <c r="V322" i="172"/>
  <c r="Q325" i="172"/>
  <c r="Q322" i="172"/>
  <c r="Z324" i="172"/>
  <c r="Y324" i="172"/>
  <c r="X324" i="172"/>
  <c r="W324" i="172"/>
  <c r="U324" i="172"/>
  <c r="T324" i="172"/>
  <c r="S324" i="172"/>
  <c r="R324" i="172"/>
  <c r="P324" i="172"/>
  <c r="O324" i="172"/>
  <c r="N324" i="172"/>
  <c r="M324" i="172"/>
  <c r="K324" i="172"/>
  <c r="J324" i="172"/>
  <c r="I324" i="172"/>
  <c r="H324" i="172"/>
  <c r="L322" i="172"/>
  <c r="G322" i="172"/>
  <c r="Z321" i="172"/>
  <c r="Y321" i="172"/>
  <c r="X321" i="172"/>
  <c r="W321" i="172"/>
  <c r="U321" i="172"/>
  <c r="T321" i="172"/>
  <c r="S321" i="172"/>
  <c r="R321" i="172"/>
  <c r="B321" i="172"/>
  <c r="B253" i="172" s="1"/>
  <c r="AA315" i="172"/>
  <c r="V315" i="172"/>
  <c r="Q315" i="172"/>
  <c r="Z317" i="172"/>
  <c r="Y317" i="172"/>
  <c r="X317" i="172"/>
  <c r="W317" i="172"/>
  <c r="U317" i="172"/>
  <c r="T317" i="172"/>
  <c r="S317" i="172"/>
  <c r="R317" i="172"/>
  <c r="P317" i="172"/>
  <c r="O317" i="172"/>
  <c r="N317" i="172"/>
  <c r="M317" i="172"/>
  <c r="K317" i="172"/>
  <c r="J317" i="172"/>
  <c r="I317" i="172"/>
  <c r="H317" i="172"/>
  <c r="L315" i="172"/>
  <c r="G315" i="172"/>
  <c r="BF300" i="172"/>
  <c r="BK297" i="172"/>
  <c r="BK292" i="172" s="1"/>
  <c r="BJ295" i="172"/>
  <c r="BJ291" i="172"/>
  <c r="BE295" i="172"/>
  <c r="BE291" i="172"/>
  <c r="AZ295" i="172"/>
  <c r="AZ291" i="172"/>
  <c r="AU295" i="172"/>
  <c r="AU291" i="172"/>
  <c r="AP291" i="172"/>
  <c r="AK295" i="172"/>
  <c r="AK291" i="172"/>
  <c r="AF295" i="172"/>
  <c r="AF291" i="172"/>
  <c r="AA295" i="172"/>
  <c r="AA291" i="172"/>
  <c r="V295" i="172"/>
  <c r="V291" i="172"/>
  <c r="BK293" i="172"/>
  <c r="AL293" i="172"/>
  <c r="BI293" i="172"/>
  <c r="BH293" i="172"/>
  <c r="BG293" i="172"/>
  <c r="BF293" i="172"/>
  <c r="BD293" i="172"/>
  <c r="BC293" i="172"/>
  <c r="BB293" i="172"/>
  <c r="BA293" i="172"/>
  <c r="AY293" i="172"/>
  <c r="AX293" i="172"/>
  <c r="AW293" i="172"/>
  <c r="AV293" i="172"/>
  <c r="AT293" i="172"/>
  <c r="AS293" i="172"/>
  <c r="AR293" i="172"/>
  <c r="AQ293" i="172"/>
  <c r="AQ294" i="172" s="1"/>
  <c r="AO293" i="172"/>
  <c r="AN293" i="172"/>
  <c r="AJ293" i="172"/>
  <c r="AI293" i="172"/>
  <c r="AH293" i="172"/>
  <c r="AG293" i="172"/>
  <c r="AE293" i="172"/>
  <c r="AD293" i="172"/>
  <c r="AC293" i="172"/>
  <c r="AB293" i="172"/>
  <c r="Z293" i="172"/>
  <c r="Y293" i="172"/>
  <c r="X293" i="172"/>
  <c r="W293" i="172"/>
  <c r="U293" i="172"/>
  <c r="T293" i="172"/>
  <c r="S293" i="172"/>
  <c r="R293" i="172"/>
  <c r="P293" i="172"/>
  <c r="O293" i="172"/>
  <c r="N293" i="172"/>
  <c r="M293" i="172"/>
  <c r="DN291" i="172"/>
  <c r="DM291" i="172"/>
  <c r="DL291" i="172"/>
  <c r="DK291" i="172"/>
  <c r="DJ291" i="172"/>
  <c r="DI291" i="172"/>
  <c r="CI291" i="172"/>
  <c r="BT291" i="172"/>
  <c r="BO291" i="172"/>
  <c r="Q291" i="172"/>
  <c r="Q293" i="172" s="1"/>
  <c r="L291" i="172"/>
  <c r="G291" i="172"/>
  <c r="BB285" i="172"/>
  <c r="AC280" i="172"/>
  <c r="AC282" i="172" s="1"/>
  <c r="CE279" i="172"/>
  <c r="CJ279" i="172" s="1"/>
  <c r="CO279" i="172" s="1"/>
  <c r="CT279" i="172" s="1"/>
  <c r="P278" i="172"/>
  <c r="O278" i="172"/>
  <c r="N278" i="172"/>
  <c r="M278" i="172"/>
  <c r="J278" i="172"/>
  <c r="I278" i="172"/>
  <c r="H278" i="172"/>
  <c r="G278" i="172"/>
  <c r="BK275" i="172"/>
  <c r="BK274" i="172"/>
  <c r="BI275" i="172"/>
  <c r="BH275" i="172"/>
  <c r="BG275" i="172"/>
  <c r="BF275" i="172"/>
  <c r="BD275" i="172"/>
  <c r="BC275" i="172"/>
  <c r="BB275" i="172"/>
  <c r="BA275" i="172"/>
  <c r="AY275" i="172"/>
  <c r="AX275" i="172"/>
  <c r="AW275" i="172"/>
  <c r="AV275" i="172"/>
  <c r="AT275" i="172"/>
  <c r="AS275" i="172"/>
  <c r="AR275" i="172"/>
  <c r="AQ275" i="172"/>
  <c r="AO275" i="172"/>
  <c r="AN275" i="172"/>
  <c r="AM275" i="172"/>
  <c r="AL275" i="172"/>
  <c r="AJ275" i="172"/>
  <c r="AI275" i="172"/>
  <c r="AH275" i="172"/>
  <c r="AG275" i="172"/>
  <c r="AE275" i="172"/>
  <c r="AD275" i="172"/>
  <c r="AC275" i="172"/>
  <c r="AB275" i="172"/>
  <c r="Z275" i="172"/>
  <c r="Y275" i="172"/>
  <c r="X275" i="172"/>
  <c r="W275" i="172"/>
  <c r="U275" i="172"/>
  <c r="T275" i="172"/>
  <c r="S275" i="172"/>
  <c r="BJ272" i="172"/>
  <c r="BG274" i="172"/>
  <c r="BF274" i="172"/>
  <c r="BC274" i="172"/>
  <c r="BB274" i="172"/>
  <c r="BA274" i="172"/>
  <c r="AY274" i="172"/>
  <c r="AX274" i="172"/>
  <c r="AW274" i="172"/>
  <c r="AV274" i="172"/>
  <c r="AT274" i="172"/>
  <c r="AS274" i="172"/>
  <c r="AR274" i="172"/>
  <c r="AQ274" i="172"/>
  <c r="AO274" i="172"/>
  <c r="AN274" i="172"/>
  <c r="AM274" i="172"/>
  <c r="AL274" i="172"/>
  <c r="AJ274" i="172"/>
  <c r="AI274" i="172"/>
  <c r="AH274" i="172"/>
  <c r="AG274" i="172"/>
  <c r="AE274" i="172"/>
  <c r="AD274" i="172"/>
  <c r="AC274" i="172"/>
  <c r="AB274" i="172"/>
  <c r="Z274" i="172"/>
  <c r="Y274" i="172"/>
  <c r="X274" i="172"/>
  <c r="W274" i="172"/>
  <c r="DI272" i="172"/>
  <c r="BP272" i="172"/>
  <c r="B272" i="172"/>
  <c r="BK270" i="172"/>
  <c r="BI270" i="172"/>
  <c r="BH270" i="172"/>
  <c r="BG270" i="172"/>
  <c r="BF270" i="172"/>
  <c r="BD270" i="172"/>
  <c r="BC270" i="172"/>
  <c r="BB270" i="172"/>
  <c r="BA270" i="172"/>
  <c r="AY270" i="172"/>
  <c r="AX270" i="172"/>
  <c r="AW270" i="172"/>
  <c r="AV270" i="172"/>
  <c r="AT270" i="172"/>
  <c r="AS270" i="172"/>
  <c r="AR270" i="172"/>
  <c r="AQ270" i="172"/>
  <c r="AO270" i="172"/>
  <c r="AN270" i="172"/>
  <c r="AM270" i="172"/>
  <c r="AL270" i="172"/>
  <c r="AJ270" i="172"/>
  <c r="AI270" i="172"/>
  <c r="AH270" i="172"/>
  <c r="AG270" i="172"/>
  <c r="AE270" i="172"/>
  <c r="AD270" i="172"/>
  <c r="AC270" i="172"/>
  <c r="AB270" i="172"/>
  <c r="Z270" i="172"/>
  <c r="Y270" i="172"/>
  <c r="X270" i="172"/>
  <c r="W270" i="172"/>
  <c r="U270" i="172"/>
  <c r="T270" i="172"/>
  <c r="S270" i="172"/>
  <c r="R270" i="172"/>
  <c r="DI270" i="172"/>
  <c r="BJ269" i="172"/>
  <c r="BE269" i="172"/>
  <c r="AZ269" i="172"/>
  <c r="AU269" i="172"/>
  <c r="AP269" i="172"/>
  <c r="AK269" i="172"/>
  <c r="AF269" i="172"/>
  <c r="AA269" i="172"/>
  <c r="AA267" i="172" s="1"/>
  <c r="V269" i="172"/>
  <c r="BK267" i="172"/>
  <c r="BK264" i="172"/>
  <c r="BP264" i="172" s="1"/>
  <c r="BD267" i="172"/>
  <c r="BC267" i="172"/>
  <c r="BB267" i="172"/>
  <c r="BA267" i="172"/>
  <c r="AY267" i="172"/>
  <c r="AX267" i="172"/>
  <c r="AW267" i="172"/>
  <c r="AV267" i="172"/>
  <c r="AT267" i="172"/>
  <c r="AS267" i="172"/>
  <c r="AR267" i="172"/>
  <c r="AQ267" i="172"/>
  <c r="AO267" i="172"/>
  <c r="AN267" i="172"/>
  <c r="AM267" i="172"/>
  <c r="AL267" i="172"/>
  <c r="AJ267" i="172"/>
  <c r="AI267" i="172"/>
  <c r="AH267" i="172"/>
  <c r="AG267" i="172"/>
  <c r="AE267" i="172"/>
  <c r="AD267" i="172"/>
  <c r="AC267" i="172"/>
  <c r="AB267" i="172"/>
  <c r="Z267" i="172"/>
  <c r="Y267" i="172"/>
  <c r="X267" i="172"/>
  <c r="W267" i="172"/>
  <c r="U267" i="172"/>
  <c r="T267" i="172"/>
  <c r="S267" i="172"/>
  <c r="R267" i="172"/>
  <c r="BI267" i="172"/>
  <c r="BI268" i="172" s="1"/>
  <c r="BH267" i="172"/>
  <c r="BG267" i="172"/>
  <c r="BF267" i="172"/>
  <c r="BF268" i="172" s="1"/>
  <c r="BT263" i="172"/>
  <c r="BO263" i="172"/>
  <c r="BI264" i="172"/>
  <c r="BF264" i="172"/>
  <c r="BD264" i="172"/>
  <c r="BD266" i="172" s="1"/>
  <c r="BC264" i="172"/>
  <c r="BB264" i="172"/>
  <c r="BA264" i="172"/>
  <c r="CI263" i="172"/>
  <c r="BJ263" i="172"/>
  <c r="BE263" i="172"/>
  <c r="CH260" i="172"/>
  <c r="CM261" i="172" s="1"/>
  <c r="AY259" i="172"/>
  <c r="AX259" i="172"/>
  <c r="AW259" i="172"/>
  <c r="AV259" i="172"/>
  <c r="AT259" i="172"/>
  <c r="AS259" i="172"/>
  <c r="AR259" i="172"/>
  <c r="AQ259" i="172"/>
  <c r="AO259" i="172"/>
  <c r="AN259" i="172"/>
  <c r="AM259" i="172"/>
  <c r="AL259" i="172"/>
  <c r="AJ259" i="172"/>
  <c r="AI259" i="172"/>
  <c r="AH259" i="172"/>
  <c r="AG259" i="172"/>
  <c r="AE259" i="172"/>
  <c r="AD259" i="172"/>
  <c r="AC259" i="172"/>
  <c r="AB259" i="172"/>
  <c r="Z259" i="172"/>
  <c r="Y259" i="172"/>
  <c r="X259" i="172"/>
  <c r="W259" i="172"/>
  <c r="U259" i="172"/>
  <c r="T259" i="172"/>
  <c r="S259" i="172"/>
  <c r="BF258" i="172"/>
  <c r="BC258" i="172"/>
  <c r="BB258" i="172"/>
  <c r="BA258" i="172"/>
  <c r="AY258" i="172"/>
  <c r="AX258" i="172"/>
  <c r="AW258" i="172"/>
  <c r="AV258" i="172"/>
  <c r="AT258" i="172"/>
  <c r="AS258" i="172"/>
  <c r="AR258" i="172"/>
  <c r="AQ258" i="172"/>
  <c r="AO258" i="172"/>
  <c r="AN258" i="172"/>
  <c r="AM258" i="172"/>
  <c r="AL258" i="172"/>
  <c r="AJ258" i="172"/>
  <c r="AI258" i="172"/>
  <c r="AH258" i="172"/>
  <c r="AG258" i="172"/>
  <c r="AE258" i="172"/>
  <c r="AD258" i="172"/>
  <c r="AC258" i="172"/>
  <c r="AB258" i="172"/>
  <c r="Z258" i="172"/>
  <c r="Y258" i="172"/>
  <c r="X258" i="172"/>
  <c r="W258" i="172"/>
  <c r="BE257" i="172"/>
  <c r="AZ257" i="172"/>
  <c r="AU257" i="172"/>
  <c r="AP257" i="172"/>
  <c r="AK257" i="172"/>
  <c r="AF257" i="172"/>
  <c r="AA257" i="172"/>
  <c r="V257" i="172"/>
  <c r="BK256" i="172"/>
  <c r="BI256" i="172"/>
  <c r="BH256" i="172"/>
  <c r="BG256" i="172"/>
  <c r="BF256" i="172"/>
  <c r="BF255" i="172"/>
  <c r="BD256" i="172"/>
  <c r="BC256" i="172"/>
  <c r="BB256" i="172"/>
  <c r="BA256" i="172"/>
  <c r="AY256" i="172"/>
  <c r="AX256" i="172"/>
  <c r="AW256" i="172"/>
  <c r="AV256" i="172"/>
  <c r="AT256" i="172"/>
  <c r="AS256" i="172"/>
  <c r="AR256" i="172"/>
  <c r="AQ256" i="172"/>
  <c r="AO256" i="172"/>
  <c r="AN256" i="172"/>
  <c r="AM256" i="172"/>
  <c r="AL256" i="172"/>
  <c r="AJ256" i="172"/>
  <c r="AI256" i="172"/>
  <c r="AH256" i="172"/>
  <c r="AG256" i="172"/>
  <c r="AE256" i="172"/>
  <c r="AD256" i="172"/>
  <c r="AC256" i="172"/>
  <c r="AB256" i="172"/>
  <c r="Z256" i="172"/>
  <c r="Y256" i="172"/>
  <c r="X256" i="172"/>
  <c r="W256" i="172"/>
  <c r="U256" i="172"/>
  <c r="T256" i="172"/>
  <c r="S256" i="172"/>
  <c r="BC255" i="172"/>
  <c r="BB255" i="172"/>
  <c r="BA255" i="172"/>
  <c r="AY255" i="172"/>
  <c r="AX255" i="172"/>
  <c r="AW255" i="172"/>
  <c r="AV255" i="172"/>
  <c r="AT255" i="172"/>
  <c r="AS255" i="172"/>
  <c r="AR255" i="172"/>
  <c r="AQ255" i="172"/>
  <c r="AO255" i="172"/>
  <c r="AN255" i="172"/>
  <c r="AM255" i="172"/>
  <c r="AL255" i="172"/>
  <c r="AJ255" i="172"/>
  <c r="AI255" i="172"/>
  <c r="AH255" i="172"/>
  <c r="AG255" i="172"/>
  <c r="AE255" i="172"/>
  <c r="AD255" i="172"/>
  <c r="AC255" i="172"/>
  <c r="AB255" i="172"/>
  <c r="Z255" i="172"/>
  <c r="Y255" i="172"/>
  <c r="X255" i="172"/>
  <c r="W255" i="172"/>
  <c r="BK255" i="172"/>
  <c r="BI255" i="172"/>
  <c r="BH255" i="172"/>
  <c r="BG255" i="172"/>
  <c r="BH254" i="172"/>
  <c r="AI254" i="172"/>
  <c r="DI253" i="172"/>
  <c r="BJ253" i="172"/>
  <c r="AD252" i="172"/>
  <c r="AC252" i="172"/>
  <c r="BK251" i="172"/>
  <c r="BI251" i="172"/>
  <c r="BH251" i="172"/>
  <c r="BG251" i="172"/>
  <c r="BF251" i="172"/>
  <c r="BD251" i="172"/>
  <c r="BC251" i="172"/>
  <c r="BB251" i="172"/>
  <c r="BA251" i="172"/>
  <c r="AY251" i="172"/>
  <c r="AX251" i="172"/>
  <c r="AW251" i="172"/>
  <c r="AR251" i="172"/>
  <c r="AQ251" i="172"/>
  <c r="AO251" i="172"/>
  <c r="AN251" i="172"/>
  <c r="AM251" i="172"/>
  <c r="AL251" i="172"/>
  <c r="AJ251" i="172"/>
  <c r="AI251" i="172"/>
  <c r="DI251" i="172"/>
  <c r="BJ250" i="172"/>
  <c r="BE250" i="172"/>
  <c r="AV250" i="172"/>
  <c r="AU250" i="172"/>
  <c r="AP250" i="172"/>
  <c r="AP251" i="172" s="1"/>
  <c r="AK250" i="172"/>
  <c r="AE250" i="172"/>
  <c r="AE251" i="172" s="1"/>
  <c r="AD250" i="172"/>
  <c r="AC250" i="172"/>
  <c r="AB250" i="172"/>
  <c r="Z250" i="172"/>
  <c r="Z251" i="172" s="1"/>
  <c r="Y250" i="172"/>
  <c r="X250" i="172"/>
  <c r="X251" i="172" s="1"/>
  <c r="W250" i="172"/>
  <c r="U250" i="172"/>
  <c r="U251" i="172" s="1"/>
  <c r="T250" i="172"/>
  <c r="S250" i="172"/>
  <c r="R250" i="172"/>
  <c r="P250" i="172"/>
  <c r="O250" i="172"/>
  <c r="N250" i="172"/>
  <c r="M250" i="172"/>
  <c r="L250" i="172"/>
  <c r="K250" i="172"/>
  <c r="J250" i="172"/>
  <c r="I250" i="172"/>
  <c r="H250" i="172"/>
  <c r="H251" i="172" s="1"/>
  <c r="G250" i="172"/>
  <c r="BK248" i="172"/>
  <c r="BK247" i="172"/>
  <c r="BK246" i="172"/>
  <c r="BP246" i="172" s="1"/>
  <c r="BU246" i="172" s="1"/>
  <c r="BZ246" i="172" s="1"/>
  <c r="BP251" i="172"/>
  <c r="BQ251" i="172" s="1"/>
  <c r="AY248" i="172"/>
  <c r="AX248" i="172"/>
  <c r="AW248" i="172"/>
  <c r="AT248" i="172"/>
  <c r="AS248" i="172"/>
  <c r="AR248" i="172"/>
  <c r="AQ248" i="172"/>
  <c r="AJ248" i="172"/>
  <c r="AI248" i="172"/>
  <c r="BI248" i="172"/>
  <c r="BH248" i="172"/>
  <c r="BG248" i="172"/>
  <c r="BF248" i="172"/>
  <c r="BI247" i="172"/>
  <c r="BH247" i="172"/>
  <c r="BG247" i="172"/>
  <c r="BF247" i="172"/>
  <c r="BD248" i="172"/>
  <c r="BC248" i="172"/>
  <c r="BB248" i="172"/>
  <c r="BA248" i="172"/>
  <c r="BD247" i="172"/>
  <c r="BC247" i="172"/>
  <c r="BB247" i="172"/>
  <c r="BA247" i="172"/>
  <c r="AY247" i="172"/>
  <c r="AX247" i="172"/>
  <c r="AW247" i="172"/>
  <c r="AV247" i="172"/>
  <c r="AT247" i="172"/>
  <c r="AS247" i="172"/>
  <c r="AR247" i="172"/>
  <c r="AQ247" i="172"/>
  <c r="AO248" i="172"/>
  <c r="AN248" i="172"/>
  <c r="AM248" i="172"/>
  <c r="AL248" i="172"/>
  <c r="AO247" i="172"/>
  <c r="AN247" i="172"/>
  <c r="AM247" i="172"/>
  <c r="AL247" i="172"/>
  <c r="AJ247" i="172"/>
  <c r="BI246" i="172"/>
  <c r="BH246" i="172"/>
  <c r="BG246" i="172"/>
  <c r="BF246" i="172"/>
  <c r="BD246" i="172"/>
  <c r="BC246" i="172"/>
  <c r="BB246" i="172"/>
  <c r="BA246" i="172"/>
  <c r="AY246" i="172"/>
  <c r="AX246" i="172"/>
  <c r="AW246" i="172"/>
  <c r="AV246" i="172"/>
  <c r="AT246" i="172"/>
  <c r="AS246" i="172"/>
  <c r="AR246" i="172"/>
  <c r="AQ246" i="172"/>
  <c r="AO246" i="172"/>
  <c r="AN246" i="172"/>
  <c r="BC245" i="172"/>
  <c r="DI244" i="172"/>
  <c r="BS246" i="172"/>
  <c r="BX246" i="172" s="1"/>
  <c r="CC246" i="172" s="1"/>
  <c r="BR246" i="172"/>
  <c r="BW246" i="172" s="1"/>
  <c r="CB246" i="172" s="1"/>
  <c r="BQ246" i="172"/>
  <c r="BV246" i="172" s="1"/>
  <c r="BN244" i="172"/>
  <c r="BN250" i="172" s="1"/>
  <c r="B244" i="172"/>
  <c r="AG242" i="172"/>
  <c r="AH241" i="172"/>
  <c r="AJ239" i="172"/>
  <c r="AO239" i="172" s="1"/>
  <c r="AI239" i="172"/>
  <c r="AI241" i="172" s="1"/>
  <c r="AH237" i="172"/>
  <c r="AE237" i="172"/>
  <c r="AD237" i="172"/>
  <c r="AC237" i="172"/>
  <c r="AB237" i="172"/>
  <c r="Z237" i="172"/>
  <c r="Y237" i="172"/>
  <c r="X237" i="172"/>
  <c r="W237" i="172"/>
  <c r="U237" i="172"/>
  <c r="T237" i="172"/>
  <c r="S237" i="172"/>
  <c r="R237" i="172"/>
  <c r="P237" i="172"/>
  <c r="O237" i="172"/>
  <c r="N237" i="172"/>
  <c r="M237" i="172"/>
  <c r="J237" i="172"/>
  <c r="I237" i="172"/>
  <c r="H237" i="172"/>
  <c r="BN237" i="172"/>
  <c r="BS237" i="172" s="1"/>
  <c r="BM237" i="172"/>
  <c r="BR237" i="172" s="1"/>
  <c r="BL237" i="172"/>
  <c r="BQ237" i="172" s="1"/>
  <c r="BK237" i="172"/>
  <c r="BP237" i="172" s="1"/>
  <c r="BU237" i="172" s="1"/>
  <c r="AG236" i="172"/>
  <c r="AG237" i="172" s="1"/>
  <c r="AF236" i="172"/>
  <c r="AF250" i="172" s="1"/>
  <c r="AA236" i="172"/>
  <c r="V236" i="172"/>
  <c r="V250" i="172" s="1"/>
  <c r="Q236" i="172"/>
  <c r="Q250" i="172" s="1"/>
  <c r="AH235" i="172"/>
  <c r="AG235" i="172"/>
  <c r="AE235" i="172"/>
  <c r="AD235" i="172"/>
  <c r="AC235" i="172"/>
  <c r="AB235" i="172"/>
  <c r="Y235" i="172"/>
  <c r="X235" i="172"/>
  <c r="W235" i="172"/>
  <c r="U235" i="172"/>
  <c r="T235" i="172"/>
  <c r="S235" i="172"/>
  <c r="R235" i="172"/>
  <c r="P235" i="172"/>
  <c r="O235" i="172"/>
  <c r="N235" i="172"/>
  <c r="M235" i="172"/>
  <c r="K235" i="172"/>
  <c r="J235" i="172"/>
  <c r="I235" i="172"/>
  <c r="H235" i="172"/>
  <c r="AM233" i="172"/>
  <c r="AL233" i="172"/>
  <c r="AL235" i="172" s="1"/>
  <c r="AI233" i="172"/>
  <c r="AI235" i="172" s="1"/>
  <c r="L233" i="172"/>
  <c r="L237" i="172" s="1"/>
  <c r="G233" i="172"/>
  <c r="BK231" i="172"/>
  <c r="BP231" i="172" s="1"/>
  <c r="BI231" i="172"/>
  <c r="BN231" i="172" s="1"/>
  <c r="BS231" i="172" s="1"/>
  <c r="BH231" i="172"/>
  <c r="BG231" i="172"/>
  <c r="BF231" i="172"/>
  <c r="BD231" i="172"/>
  <c r="BC231" i="172"/>
  <c r="BB231" i="172"/>
  <c r="BA231" i="172"/>
  <c r="AY231" i="172"/>
  <c r="AX231" i="172"/>
  <c r="AW231" i="172"/>
  <c r="AV231" i="172"/>
  <c r="AT231" i="172"/>
  <c r="AS231" i="172"/>
  <c r="AR231" i="172"/>
  <c r="AQ231" i="172"/>
  <c r="AO231" i="172"/>
  <c r="AN231" i="172"/>
  <c r="AM231" i="172"/>
  <c r="AL231" i="172"/>
  <c r="AJ231" i="172"/>
  <c r="AI231" i="172"/>
  <c r="AH231" i="172"/>
  <c r="AG231" i="172"/>
  <c r="AE231" i="172"/>
  <c r="AD231" i="172"/>
  <c r="AC231" i="172"/>
  <c r="AB231" i="172"/>
  <c r="Z231" i="172"/>
  <c r="Y231" i="172"/>
  <c r="X231" i="172"/>
  <c r="W231" i="172"/>
  <c r="U231" i="172"/>
  <c r="T231" i="172"/>
  <c r="S231" i="172"/>
  <c r="R231" i="172"/>
  <c r="DI231" i="172"/>
  <c r="BJ230" i="172"/>
  <c r="BE230" i="172"/>
  <c r="AZ230" i="172"/>
  <c r="AU230" i="172"/>
  <c r="AP230" i="172"/>
  <c r="AK230" i="172"/>
  <c r="AF230" i="172"/>
  <c r="AA230" i="172"/>
  <c r="V230" i="172"/>
  <c r="P230" i="172"/>
  <c r="O230" i="172"/>
  <c r="O269" i="172" s="1"/>
  <c r="N230" i="172"/>
  <c r="N269" i="172" s="1"/>
  <c r="M230" i="172"/>
  <c r="L230" i="172"/>
  <c r="L269" i="172" s="1"/>
  <c r="K230" i="172"/>
  <c r="J230" i="172"/>
  <c r="J269" i="172" s="1"/>
  <c r="I230" i="172"/>
  <c r="I269" i="172" s="1"/>
  <c r="H230" i="172"/>
  <c r="H269" i="172" s="1"/>
  <c r="G230" i="172"/>
  <c r="G269" i="172" s="1"/>
  <c r="BK228" i="172"/>
  <c r="BK227" i="172"/>
  <c r="BK226" i="172"/>
  <c r="BP226" i="172" s="1"/>
  <c r="BU226" i="172" s="1"/>
  <c r="BZ226" i="172" s="1"/>
  <c r="BR231" i="172"/>
  <c r="BQ231" i="172"/>
  <c r="BI228" i="172"/>
  <c r="BH228" i="172"/>
  <c r="BG228" i="172"/>
  <c r="BF228" i="172"/>
  <c r="BI227" i="172"/>
  <c r="BH227" i="172"/>
  <c r="BG227" i="172"/>
  <c r="BF227" i="172"/>
  <c r="BD228" i="172"/>
  <c r="BC228" i="172"/>
  <c r="BB228" i="172"/>
  <c r="BA228" i="172"/>
  <c r="BD227" i="172"/>
  <c r="BC227" i="172"/>
  <c r="BB227" i="172"/>
  <c r="BA227" i="172"/>
  <c r="AY228" i="172"/>
  <c r="AX228" i="172"/>
  <c r="AW228" i="172"/>
  <c r="AV228" i="172"/>
  <c r="AY227" i="172"/>
  <c r="AX227" i="172"/>
  <c r="AW227" i="172"/>
  <c r="AV227" i="172"/>
  <c r="AT228" i="172"/>
  <c r="AS228" i="172"/>
  <c r="AR228" i="172"/>
  <c r="AQ228" i="172"/>
  <c r="AT227" i="172"/>
  <c r="AS227" i="172"/>
  <c r="AR227" i="172"/>
  <c r="AQ227" i="172"/>
  <c r="AO228" i="172"/>
  <c r="AN228" i="172"/>
  <c r="AM228" i="172"/>
  <c r="AL228" i="172"/>
  <c r="AO227" i="172"/>
  <c r="AN227" i="172"/>
  <c r="AM227" i="172"/>
  <c r="AL227" i="172"/>
  <c r="AJ228" i="172"/>
  <c r="AI228" i="172"/>
  <c r="AH228" i="172"/>
  <c r="AG228" i="172"/>
  <c r="AJ227" i="172"/>
  <c r="AI227" i="172"/>
  <c r="AH227" i="172"/>
  <c r="AG227" i="172"/>
  <c r="AE228" i="172"/>
  <c r="AD228" i="172"/>
  <c r="AC228" i="172"/>
  <c r="AB228" i="172"/>
  <c r="AE227" i="172"/>
  <c r="AD227" i="172"/>
  <c r="AC227" i="172"/>
  <c r="AB227" i="172"/>
  <c r="Z228" i="172"/>
  <c r="Y228" i="172"/>
  <c r="X228" i="172"/>
  <c r="W228" i="172"/>
  <c r="Z227" i="172"/>
  <c r="Y227" i="172"/>
  <c r="X227" i="172"/>
  <c r="W227" i="172"/>
  <c r="U228" i="172"/>
  <c r="T228" i="172"/>
  <c r="S228" i="172"/>
  <c r="R228" i="172"/>
  <c r="U227" i="172"/>
  <c r="T227" i="172"/>
  <c r="S227" i="172"/>
  <c r="BI226" i="172"/>
  <c r="BH226" i="172"/>
  <c r="BG226" i="172"/>
  <c r="BF226" i="172"/>
  <c r="BD226" i="172"/>
  <c r="BC226" i="172"/>
  <c r="BB226" i="172"/>
  <c r="BA226" i="172"/>
  <c r="AY226" i="172"/>
  <c r="AX226" i="172"/>
  <c r="AW226" i="172"/>
  <c r="AV226" i="172"/>
  <c r="AT226" i="172"/>
  <c r="AS226" i="172"/>
  <c r="AR226" i="172"/>
  <c r="AQ226" i="172"/>
  <c r="AO226" i="172"/>
  <c r="AN226" i="172"/>
  <c r="AM226" i="172"/>
  <c r="AL226" i="172"/>
  <c r="AJ226" i="172"/>
  <c r="AI226" i="172"/>
  <c r="AH226" i="172"/>
  <c r="AG226" i="172"/>
  <c r="AE226" i="172"/>
  <c r="AD226" i="172"/>
  <c r="AC226" i="172"/>
  <c r="AB226" i="172"/>
  <c r="Z226" i="172"/>
  <c r="Y226" i="172"/>
  <c r="X226" i="172"/>
  <c r="W226" i="172"/>
  <c r="BC225" i="172"/>
  <c r="DI224" i="172"/>
  <c r="BS226" i="172"/>
  <c r="BX226" i="172" s="1"/>
  <c r="CC226" i="172" s="1"/>
  <c r="BR226" i="172"/>
  <c r="BW226" i="172" s="1"/>
  <c r="CB226" i="172" s="1"/>
  <c r="BQ226" i="172"/>
  <c r="BV226" i="172" s="1"/>
  <c r="CA226" i="172" s="1"/>
  <c r="BN224" i="172"/>
  <c r="BJ224" i="172"/>
  <c r="BJ226" i="172" s="1"/>
  <c r="DI222" i="172"/>
  <c r="BK222" i="172"/>
  <c r="BI222" i="172"/>
  <c r="BH222" i="172"/>
  <c r="BG222" i="172"/>
  <c r="BF222" i="172"/>
  <c r="BK221" i="172"/>
  <c r="BL221" i="172" s="1"/>
  <c r="BM221" i="172" s="1"/>
  <c r="BN221" i="172" s="1"/>
  <c r="BP221" i="172" s="1"/>
  <c r="BQ221" i="172" s="1"/>
  <c r="BR221" i="172" s="1"/>
  <c r="BS221" i="172" s="1"/>
  <c r="BU221" i="172" s="1"/>
  <c r="CE220" i="172"/>
  <c r="CF220" i="172" s="1"/>
  <c r="CG220" i="172" s="1"/>
  <c r="CH220" i="172" s="1"/>
  <c r="CJ220" i="172" s="1"/>
  <c r="CK220" i="172" s="1"/>
  <c r="CL220" i="172" s="1"/>
  <c r="CM220" i="172" s="1"/>
  <c r="CO220" i="172" s="1"/>
  <c r="CP220" i="172" s="1"/>
  <c r="CQ220" i="172" s="1"/>
  <c r="CR220" i="172" s="1"/>
  <c r="CT220" i="172" s="1"/>
  <c r="BI220" i="172"/>
  <c r="BH220" i="172"/>
  <c r="BG220" i="172"/>
  <c r="BF220" i="172"/>
  <c r="BD220" i="172"/>
  <c r="BC220" i="172"/>
  <c r="BB220" i="172"/>
  <c r="BA220" i="172"/>
  <c r="AY220" i="172"/>
  <c r="AX220" i="172"/>
  <c r="AW220" i="172"/>
  <c r="AV220" i="172"/>
  <c r="AT220" i="172"/>
  <c r="AS220" i="172"/>
  <c r="AR220" i="172"/>
  <c r="AQ220" i="172"/>
  <c r="AO220" i="172"/>
  <c r="AN220" i="172"/>
  <c r="AM220" i="172"/>
  <c r="AL220" i="172"/>
  <c r="AJ220" i="172"/>
  <c r="AI220" i="172"/>
  <c r="AH220" i="172"/>
  <c r="AG220" i="172"/>
  <c r="AE220" i="172"/>
  <c r="AD220" i="172"/>
  <c r="AC220" i="172"/>
  <c r="AB220" i="172"/>
  <c r="Z220" i="172"/>
  <c r="Y220" i="172"/>
  <c r="X220" i="172"/>
  <c r="W220" i="172"/>
  <c r="U220" i="172"/>
  <c r="T220" i="172"/>
  <c r="S220" i="172"/>
  <c r="R220" i="172"/>
  <c r="P220" i="172"/>
  <c r="O220" i="172"/>
  <c r="N220" i="172"/>
  <c r="M220" i="172"/>
  <c r="J220" i="172"/>
  <c r="I220" i="172"/>
  <c r="H220" i="172"/>
  <c r="BJ219" i="172"/>
  <c r="BE219" i="172"/>
  <c r="AZ219" i="172"/>
  <c r="AU219" i="172"/>
  <c r="AP219" i="172"/>
  <c r="AP220" i="172" s="1"/>
  <c r="AK219" i="172"/>
  <c r="AF219" i="172"/>
  <c r="AA219" i="172"/>
  <c r="V219" i="172"/>
  <c r="V220" i="172" s="1"/>
  <c r="Q219" i="172"/>
  <c r="Q217" i="172" s="1"/>
  <c r="K219" i="172"/>
  <c r="BK217" i="172"/>
  <c r="BI217" i="172"/>
  <c r="BH217" i="172"/>
  <c r="BG217" i="172"/>
  <c r="BF217" i="172"/>
  <c r="BD217" i="172"/>
  <c r="BC217" i="172"/>
  <c r="BB217" i="172"/>
  <c r="BA217" i="172"/>
  <c r="BF218" i="172" s="1"/>
  <c r="AY217" i="172"/>
  <c r="AX217" i="172"/>
  <c r="AW217" i="172"/>
  <c r="AV217" i="172"/>
  <c r="AT217" i="172"/>
  <c r="AS217" i="172"/>
  <c r="AR217" i="172"/>
  <c r="AQ217" i="172"/>
  <c r="AO217" i="172"/>
  <c r="AN217" i="172"/>
  <c r="AM217" i="172"/>
  <c r="AL217" i="172"/>
  <c r="AJ217" i="172"/>
  <c r="AI217" i="172"/>
  <c r="AH217" i="172"/>
  <c r="AG217" i="172"/>
  <c r="AE217" i="172"/>
  <c r="AD217" i="172"/>
  <c r="AC217" i="172"/>
  <c r="AB217" i="172"/>
  <c r="Z217" i="172"/>
  <c r="Y217" i="172"/>
  <c r="X217" i="172"/>
  <c r="W217" i="172"/>
  <c r="U217" i="172"/>
  <c r="T217" i="172"/>
  <c r="S217" i="172"/>
  <c r="R217" i="172"/>
  <c r="P217" i="172"/>
  <c r="O217" i="172"/>
  <c r="N217" i="172"/>
  <c r="M217" i="172"/>
  <c r="CH214" i="172"/>
  <c r="CM215" i="172" s="1"/>
  <c r="BF214" i="172"/>
  <c r="BK213" i="172"/>
  <c r="BI213" i="172"/>
  <c r="BH213" i="172"/>
  <c r="BG213" i="172"/>
  <c r="BF213" i="172"/>
  <c r="BD213" i="172"/>
  <c r="BC213" i="172"/>
  <c r="BB213" i="172"/>
  <c r="BA213" i="172"/>
  <c r="AY213" i="172"/>
  <c r="AX213" i="172"/>
  <c r="AW213" i="172"/>
  <c r="AV213" i="172"/>
  <c r="AT213" i="172"/>
  <c r="AS213" i="172"/>
  <c r="AR213" i="172"/>
  <c r="AQ213" i="172"/>
  <c r="AO213" i="172"/>
  <c r="AN213" i="172"/>
  <c r="AM213" i="172"/>
  <c r="AL213" i="172"/>
  <c r="AJ213" i="172"/>
  <c r="AI213" i="172"/>
  <c r="AH213" i="172"/>
  <c r="AG213" i="172"/>
  <c r="AE213" i="172"/>
  <c r="AD213" i="172"/>
  <c r="AC213" i="172"/>
  <c r="AB213" i="172"/>
  <c r="Z213" i="172"/>
  <c r="Y213" i="172"/>
  <c r="X213" i="172"/>
  <c r="W213" i="172"/>
  <c r="U213" i="172"/>
  <c r="T213" i="172"/>
  <c r="S213" i="172"/>
  <c r="R213" i="172"/>
  <c r="P213" i="172"/>
  <c r="O213" i="172"/>
  <c r="N213" i="172"/>
  <c r="M213" i="172"/>
  <c r="K213" i="172"/>
  <c r="J213" i="172"/>
  <c r="I213" i="172"/>
  <c r="H213" i="172"/>
  <c r="BK212" i="172"/>
  <c r="BI212" i="172"/>
  <c r="BH212" i="172"/>
  <c r="BG212" i="172"/>
  <c r="BF212" i="172"/>
  <c r="BD212" i="172"/>
  <c r="BC212" i="172"/>
  <c r="BB212" i="172"/>
  <c r="BA212" i="172"/>
  <c r="AY212" i="172"/>
  <c r="AX212" i="172"/>
  <c r="AW212" i="172"/>
  <c r="AV212" i="172"/>
  <c r="AT212" i="172"/>
  <c r="AS212" i="172"/>
  <c r="AR212" i="172"/>
  <c r="AQ212" i="172"/>
  <c r="AO212" i="172"/>
  <c r="AN212" i="172"/>
  <c r="AM212" i="172"/>
  <c r="AL212" i="172"/>
  <c r="AJ212" i="172"/>
  <c r="AI212" i="172"/>
  <c r="AH212" i="172"/>
  <c r="AG212" i="172"/>
  <c r="AE212" i="172"/>
  <c r="AD212" i="172"/>
  <c r="AC212" i="172"/>
  <c r="AB212" i="172"/>
  <c r="Z212" i="172"/>
  <c r="Y212" i="172"/>
  <c r="X212" i="172"/>
  <c r="W212" i="172"/>
  <c r="U212" i="172"/>
  <c r="T212" i="172"/>
  <c r="S212" i="172"/>
  <c r="R212" i="172"/>
  <c r="P212" i="172"/>
  <c r="O212" i="172"/>
  <c r="N212" i="172"/>
  <c r="M212" i="172"/>
  <c r="K212" i="172"/>
  <c r="J212" i="172"/>
  <c r="I212" i="172"/>
  <c r="H212" i="172"/>
  <c r="CH210" i="172"/>
  <c r="CM212" i="172" s="1"/>
  <c r="BJ210" i="172"/>
  <c r="L210" i="172"/>
  <c r="G210" i="172"/>
  <c r="G212" i="172" s="1"/>
  <c r="DI199" i="172"/>
  <c r="BS197" i="172"/>
  <c r="BR197" i="172"/>
  <c r="BQ197" i="172"/>
  <c r="BP197" i="172"/>
  <c r="BN197" i="172"/>
  <c r="BM197" i="172"/>
  <c r="BL197" i="172"/>
  <c r="BK197" i="172"/>
  <c r="DN196" i="172"/>
  <c r="DM196" i="172"/>
  <c r="DL196" i="172"/>
  <c r="DK196" i="172"/>
  <c r="DJ196" i="172"/>
  <c r="DI196" i="172"/>
  <c r="CI196" i="172"/>
  <c r="BT196" i="172"/>
  <c r="BJ196" i="172"/>
  <c r="BE196" i="172"/>
  <c r="DJ177" i="172"/>
  <c r="DI177" i="172"/>
  <c r="BS171" i="172"/>
  <c r="BR171" i="172"/>
  <c r="BQ171" i="172"/>
  <c r="BP171" i="172"/>
  <c r="BN171" i="172"/>
  <c r="BM171" i="172"/>
  <c r="BL171" i="172"/>
  <c r="BK171" i="172"/>
  <c r="BI171" i="172"/>
  <c r="BH171" i="172"/>
  <c r="BG171" i="172"/>
  <c r="BF171" i="172"/>
  <c r="BD171" i="172"/>
  <c r="BC171" i="172"/>
  <c r="BB171" i="172"/>
  <c r="BA171" i="172"/>
  <c r="BJ170" i="172"/>
  <c r="BE170" i="172"/>
  <c r="DK170" i="172"/>
  <c r="DJ170" i="172"/>
  <c r="DI170" i="172"/>
  <c r="BS169" i="172"/>
  <c r="BR169" i="172"/>
  <c r="BQ169" i="172"/>
  <c r="BP169" i="172"/>
  <c r="BN169" i="172"/>
  <c r="BM169" i="172"/>
  <c r="BL169" i="172"/>
  <c r="BK169" i="172"/>
  <c r="BI169" i="172"/>
  <c r="BH169" i="172"/>
  <c r="BG169" i="172"/>
  <c r="BF169" i="172"/>
  <c r="BD169" i="172"/>
  <c r="BC169" i="172"/>
  <c r="BB169" i="172"/>
  <c r="BA169" i="172"/>
  <c r="BS167" i="172"/>
  <c r="BR167" i="172"/>
  <c r="BQ167" i="172"/>
  <c r="BP167" i="172"/>
  <c r="BN167" i="172"/>
  <c r="DK166" i="172"/>
  <c r="DJ166" i="172"/>
  <c r="DI166" i="172"/>
  <c r="DJ165" i="172"/>
  <c r="BS165" i="172"/>
  <c r="BR165" i="172"/>
  <c r="BQ165" i="172"/>
  <c r="BP165" i="172"/>
  <c r="BN165" i="172"/>
  <c r="BO165" i="172" s="1"/>
  <c r="BD165" i="172"/>
  <c r="BC165" i="172"/>
  <c r="BB165" i="172"/>
  <c r="BA165" i="172"/>
  <c r="BS163" i="172"/>
  <c r="BR163" i="172"/>
  <c r="BQ163" i="172"/>
  <c r="BP163" i="172"/>
  <c r="BN163" i="172"/>
  <c r="BM163" i="172"/>
  <c r="BL163" i="172"/>
  <c r="BK163" i="172"/>
  <c r="BI163" i="172"/>
  <c r="BH163" i="172"/>
  <c r="BG163" i="172"/>
  <c r="BF163" i="172"/>
  <c r="BD163" i="172"/>
  <c r="BC163" i="172"/>
  <c r="BB163" i="172"/>
  <c r="BA163" i="172"/>
  <c r="BJ162" i="172"/>
  <c r="BJ163" i="172" s="1"/>
  <c r="BE162" i="172"/>
  <c r="DK162" i="172"/>
  <c r="DJ162" i="172"/>
  <c r="DI162" i="172"/>
  <c r="BS161" i="172"/>
  <c r="BR161" i="172"/>
  <c r="BQ161" i="172"/>
  <c r="BP161" i="172"/>
  <c r="BN161" i="172"/>
  <c r="BM161" i="172"/>
  <c r="BL161" i="172"/>
  <c r="BK161" i="172"/>
  <c r="BI161" i="172"/>
  <c r="BH161" i="172"/>
  <c r="BG161" i="172"/>
  <c r="BF161" i="172"/>
  <c r="BD161" i="172"/>
  <c r="BC161" i="172"/>
  <c r="BB161" i="172"/>
  <c r="BA161" i="172"/>
  <c r="BD150" i="172"/>
  <c r="BC150" i="172"/>
  <c r="BB150" i="172"/>
  <c r="BA150" i="172"/>
  <c r="AZ142" i="172"/>
  <c r="DK140" i="172"/>
  <c r="BT140" i="172"/>
  <c r="BQ135" i="172"/>
  <c r="BS135" i="172"/>
  <c r="BR135" i="172"/>
  <c r="BW136" i="172" s="1"/>
  <c r="BP135" i="172"/>
  <c r="DY136" i="135"/>
  <c r="BI135" i="172"/>
  <c r="BI190" i="172" s="1"/>
  <c r="BH135" i="172"/>
  <c r="BH190" i="172" s="1"/>
  <c r="BG135" i="172"/>
  <c r="BG190" i="172" s="1"/>
  <c r="BF135" i="172"/>
  <c r="BF194" i="172" s="1"/>
  <c r="BD135" i="172"/>
  <c r="BD190" i="172" s="1"/>
  <c r="BC135" i="172"/>
  <c r="BC190" i="172" s="1"/>
  <c r="BB135" i="172"/>
  <c r="BB190" i="172" s="1"/>
  <c r="BA135" i="172"/>
  <c r="BA190" i="172" s="1"/>
  <c r="BI133" i="172"/>
  <c r="BH133" i="172"/>
  <c r="BG133" i="172"/>
  <c r="BF133" i="172"/>
  <c r="BD133" i="172"/>
  <c r="BC133" i="172"/>
  <c r="BB133" i="172"/>
  <c r="BA133" i="172"/>
  <c r="BI131" i="172"/>
  <c r="BH131" i="172"/>
  <c r="BG131" i="172"/>
  <c r="BF131" i="172"/>
  <c r="BD131" i="172"/>
  <c r="BC131" i="172"/>
  <c r="BB131" i="172"/>
  <c r="BA131" i="172"/>
  <c r="DK130" i="172"/>
  <c r="DK187" i="172" s="1"/>
  <c r="DJ130" i="172"/>
  <c r="DJ187" i="172" s="1"/>
  <c r="DI130" i="172"/>
  <c r="DI187" i="172" s="1"/>
  <c r="BE130" i="172"/>
  <c r="AE332" i="189" s="1"/>
  <c r="AE331" i="189" s="1"/>
  <c r="BI128" i="172"/>
  <c r="BH128" i="172"/>
  <c r="BG128" i="172"/>
  <c r="BF128" i="172"/>
  <c r="BD128" i="172"/>
  <c r="BC128" i="172"/>
  <c r="BB128" i="172"/>
  <c r="BA128" i="172"/>
  <c r="BI126" i="172"/>
  <c r="BH126" i="172"/>
  <c r="BG126" i="172"/>
  <c r="BF126" i="172"/>
  <c r="BD126" i="172"/>
  <c r="BC126" i="172"/>
  <c r="BB126" i="172"/>
  <c r="BA126" i="172"/>
  <c r="DK125" i="172"/>
  <c r="DJ125" i="172"/>
  <c r="DI125" i="172"/>
  <c r="BE125" i="172"/>
  <c r="AE325" i="189" s="1"/>
  <c r="BQ119" i="172"/>
  <c r="BS119" i="172"/>
  <c r="BR119" i="172"/>
  <c r="BP119" i="172"/>
  <c r="BI119" i="172"/>
  <c r="BI174" i="172" s="1"/>
  <c r="BH119" i="172"/>
  <c r="BH174" i="172" s="1"/>
  <c r="BG119" i="172"/>
  <c r="BG174" i="172" s="1"/>
  <c r="BF119" i="172"/>
  <c r="BD119" i="172"/>
  <c r="BD174" i="172" s="1"/>
  <c r="BC119" i="172"/>
  <c r="BC174" i="172" s="1"/>
  <c r="BB119" i="172"/>
  <c r="BB174" i="172" s="1"/>
  <c r="BA119" i="172"/>
  <c r="BI117" i="172"/>
  <c r="BH117" i="172"/>
  <c r="BG117" i="172"/>
  <c r="BF117" i="172"/>
  <c r="BD117" i="172"/>
  <c r="BC117" i="172"/>
  <c r="BB117" i="172"/>
  <c r="BA117" i="172"/>
  <c r="BI115" i="172"/>
  <c r="BH115" i="172"/>
  <c r="BG115" i="172"/>
  <c r="BF115" i="172"/>
  <c r="DK114" i="172"/>
  <c r="DJ114" i="172"/>
  <c r="DI114" i="172"/>
  <c r="BE114" i="172"/>
  <c r="BS112" i="172"/>
  <c r="BR112" i="172"/>
  <c r="BQ112" i="172"/>
  <c r="BP112" i="172"/>
  <c r="BN112" i="172"/>
  <c r="BI110" i="172"/>
  <c r="BH110" i="172"/>
  <c r="BG110" i="172"/>
  <c r="BF110" i="172"/>
  <c r="BD110" i="172"/>
  <c r="BC110" i="172"/>
  <c r="BB110" i="172"/>
  <c r="BA110" i="172"/>
  <c r="DK107" i="172"/>
  <c r="BI104" i="172"/>
  <c r="BH104" i="172"/>
  <c r="BG104" i="172"/>
  <c r="BF104" i="172"/>
  <c r="BD104" i="172"/>
  <c r="BC104" i="172"/>
  <c r="BB104" i="172"/>
  <c r="BA104" i="172"/>
  <c r="BI102" i="172"/>
  <c r="BH102" i="172"/>
  <c r="BG102" i="172"/>
  <c r="BF102" i="172"/>
  <c r="DK101" i="172"/>
  <c r="DJ101" i="172"/>
  <c r="DI101" i="172"/>
  <c r="BE101" i="172"/>
  <c r="AE304" i="189" s="1"/>
  <c r="BS99" i="172"/>
  <c r="BR99" i="172"/>
  <c r="BQ99" i="172"/>
  <c r="BP99" i="172"/>
  <c r="BI99" i="172"/>
  <c r="BH99" i="172"/>
  <c r="BG99" i="172"/>
  <c r="BF99" i="172"/>
  <c r="BD99" i="172"/>
  <c r="BC99" i="172"/>
  <c r="BB99" i="172"/>
  <c r="BA99" i="172"/>
  <c r="BI97" i="172"/>
  <c r="BH97" i="172"/>
  <c r="BG97" i="172"/>
  <c r="BF97" i="172"/>
  <c r="DK96" i="172"/>
  <c r="DK159" i="172" s="1"/>
  <c r="DJ96" i="172"/>
  <c r="DI96" i="172"/>
  <c r="DI159" i="172" s="1"/>
  <c r="BE96" i="172"/>
  <c r="AE297" i="189" s="1"/>
  <c r="BS74" i="172"/>
  <c r="BR74" i="172"/>
  <c r="BQ74" i="172"/>
  <c r="BP74" i="172"/>
  <c r="BN74" i="172"/>
  <c r="BM74" i="172"/>
  <c r="BL74" i="172"/>
  <c r="BK74" i="172"/>
  <c r="BJ36" i="172"/>
  <c r="BE36" i="172"/>
  <c r="BQ34" i="172"/>
  <c r="BJ35" i="172"/>
  <c r="BI35" i="172"/>
  <c r="BH35" i="172"/>
  <c r="BG35" i="172"/>
  <c r="BF35" i="172"/>
  <c r="BE35" i="172"/>
  <c r="BD35" i="172"/>
  <c r="BC35" i="172"/>
  <c r="BB35" i="172"/>
  <c r="BA35" i="172"/>
  <c r="BS34" i="172"/>
  <c r="BR34" i="172"/>
  <c r="BS32" i="172"/>
  <c r="BR32" i="172"/>
  <c r="BP34" i="172"/>
  <c r="BE34" i="172"/>
  <c r="BD34" i="172"/>
  <c r="BC34" i="172"/>
  <c r="BB34" i="172"/>
  <c r="BA34" i="172"/>
  <c r="BE33" i="172"/>
  <c r="BP32" i="172"/>
  <c r="BP14" i="172" s="1"/>
  <c r="BN32" i="172"/>
  <c r="AN134" i="175" s="1"/>
  <c r="BM32" i="172"/>
  <c r="BM85" i="172" s="1"/>
  <c r="BL32" i="172"/>
  <c r="BL38" i="172" s="1"/>
  <c r="BL39" i="172" s="1"/>
  <c r="BK32" i="172"/>
  <c r="BK85" i="172" s="1"/>
  <c r="BO30" i="172"/>
  <c r="CI7" i="172"/>
  <c r="CI451" i="172" s="1"/>
  <c r="CH7" i="172"/>
  <c r="CH451" i="172" s="1"/>
  <c r="CG7" i="172"/>
  <c r="CG451" i="172" s="1"/>
  <c r="CF7" i="172"/>
  <c r="CF451" i="172" s="1"/>
  <c r="CE7" i="172"/>
  <c r="CE451" i="172" s="1"/>
  <c r="CD7" i="172"/>
  <c r="CD451" i="172" s="1"/>
  <c r="CC7" i="172"/>
  <c r="CC451" i="172" s="1"/>
  <c r="CB7" i="172"/>
  <c r="CB451" i="172" s="1"/>
  <c r="CA7" i="172"/>
  <c r="CA451" i="172" s="1"/>
  <c r="BZ7" i="172"/>
  <c r="BZ451" i="172" s="1"/>
  <c r="BY7" i="172"/>
  <c r="BY451" i="172" s="1"/>
  <c r="BX7" i="172"/>
  <c r="BX451" i="172" s="1"/>
  <c r="BW7" i="172"/>
  <c r="BW451" i="172" s="1"/>
  <c r="BV7" i="172"/>
  <c r="BV451" i="172" s="1"/>
  <c r="BU7" i="172"/>
  <c r="BU451" i="172" s="1"/>
  <c r="BT7" i="172"/>
  <c r="BT451" i="172" s="1"/>
  <c r="BS7" i="172"/>
  <c r="BS451" i="172" s="1"/>
  <c r="BR7" i="172"/>
  <c r="BR451" i="172" s="1"/>
  <c r="BQ7" i="172"/>
  <c r="BQ451" i="172" s="1"/>
  <c r="BP7" i="172"/>
  <c r="BP451" i="172" s="1"/>
  <c r="BO7" i="172"/>
  <c r="BO451" i="172" s="1"/>
  <c r="BN7" i="172"/>
  <c r="BN451" i="172" s="1"/>
  <c r="BM7" i="172"/>
  <c r="BM451" i="172" s="1"/>
  <c r="BL7" i="172"/>
  <c r="BL451" i="172" s="1"/>
  <c r="BK7" i="172"/>
  <c r="BK451" i="172" s="1"/>
  <c r="AY7" i="172"/>
  <c r="AT7" i="172"/>
  <c r="AS7" i="172"/>
  <c r="AR7" i="172"/>
  <c r="AF2" i="172"/>
  <c r="A1" i="172"/>
  <c r="A47" i="9"/>
  <c r="EW40" i="9"/>
  <c r="EW32" i="9"/>
  <c r="EW31" i="9"/>
  <c r="EW6" i="9"/>
  <c r="ER6" i="9"/>
  <c r="EM6" i="9"/>
  <c r="EH40" i="9"/>
  <c r="EH36" i="9"/>
  <c r="EH31" i="9"/>
  <c r="EH29" i="9"/>
  <c r="EH6" i="9"/>
  <c r="EC40" i="9"/>
  <c r="EC32" i="9"/>
  <c r="EC31" i="9"/>
  <c r="EC6" i="9"/>
  <c r="DX40" i="9"/>
  <c r="DX31" i="9"/>
  <c r="DX23" i="9"/>
  <c r="DX22" i="9"/>
  <c r="DX17" i="9"/>
  <c r="DS40" i="9"/>
  <c r="DS37" i="9"/>
  <c r="DS36" i="9"/>
  <c r="DS35" i="9"/>
  <c r="DS34" i="9"/>
  <c r="DS31" i="9"/>
  <c r="DS29" i="9"/>
  <c r="DS23" i="9"/>
  <c r="DS22" i="9"/>
  <c r="DS21" i="9"/>
  <c r="DS19" i="9"/>
  <c r="DS17" i="9"/>
  <c r="DS15" i="9"/>
  <c r="DS14" i="9"/>
  <c r="DS13" i="9"/>
  <c r="DS11" i="9"/>
  <c r="DS10" i="9"/>
  <c r="DS7" i="9"/>
  <c r="DS6" i="9"/>
  <c r="DN40" i="9"/>
  <c r="DN32" i="9"/>
  <c r="DN31" i="9"/>
  <c r="DN29" i="9"/>
  <c r="DN23" i="9"/>
  <c r="DN22" i="9"/>
  <c r="DN21" i="9"/>
  <c r="DN19" i="9"/>
  <c r="DN17" i="9"/>
  <c r="DI40" i="9"/>
  <c r="DI37" i="9"/>
  <c r="DI36" i="9"/>
  <c r="DI35" i="9"/>
  <c r="DI66" i="8" s="1"/>
  <c r="DI32" i="9"/>
  <c r="DI31" i="9"/>
  <c r="DI29" i="9"/>
  <c r="DI26" i="9"/>
  <c r="DI23" i="9"/>
  <c r="DI22" i="9"/>
  <c r="DI21" i="9"/>
  <c r="DI20" i="9"/>
  <c r="DI19" i="9"/>
  <c r="DI17" i="9"/>
  <c r="DD40" i="9"/>
  <c r="DD37" i="9"/>
  <c r="DD36" i="9"/>
  <c r="DD35" i="9"/>
  <c r="DD32" i="9"/>
  <c r="DD31" i="9"/>
  <c r="DD30" i="9"/>
  <c r="DD29" i="9"/>
  <c r="DD26" i="9"/>
  <c r="DD23" i="9"/>
  <c r="DD22" i="9"/>
  <c r="DD21" i="9"/>
  <c r="DD20" i="9"/>
  <c r="DD19" i="9"/>
  <c r="DD17" i="9"/>
  <c r="CY40" i="9"/>
  <c r="CY37" i="9"/>
  <c r="CY36" i="9"/>
  <c r="CY35" i="9"/>
  <c r="CY66" i="8" s="1"/>
  <c r="CY34" i="9"/>
  <c r="CY32" i="9"/>
  <c r="CY31" i="9"/>
  <c r="CY30" i="9"/>
  <c r="CY29" i="9"/>
  <c r="CY26" i="9"/>
  <c r="CY23" i="9"/>
  <c r="CY22" i="9"/>
  <c r="CY21" i="9"/>
  <c r="CY20" i="9"/>
  <c r="CY19" i="9"/>
  <c r="CY17" i="9"/>
  <c r="CT40" i="9"/>
  <c r="CT37" i="9"/>
  <c r="CT36" i="9"/>
  <c r="CT35" i="9"/>
  <c r="CT66" i="8" s="1"/>
  <c r="CT34" i="9"/>
  <c r="CT32" i="9"/>
  <c r="CT31" i="9"/>
  <c r="CT30" i="9"/>
  <c r="CT29" i="9"/>
  <c r="CT26" i="9"/>
  <c r="CT23" i="9"/>
  <c r="CT22" i="9"/>
  <c r="CT21" i="9"/>
  <c r="CT20" i="9"/>
  <c r="CT19" i="9"/>
  <c r="CT17" i="9"/>
  <c r="CO40" i="9"/>
  <c r="CO37" i="9"/>
  <c r="CO35" i="9"/>
  <c r="CO34" i="9"/>
  <c r="CO32" i="9"/>
  <c r="CO31" i="9"/>
  <c r="CO30" i="9"/>
  <c r="CO29" i="9"/>
  <c r="CO26" i="9"/>
  <c r="CO23" i="9"/>
  <c r="CO22" i="9"/>
  <c r="CO21" i="9"/>
  <c r="CO20" i="9"/>
  <c r="CO19" i="9"/>
  <c r="CO17" i="9"/>
  <c r="CJ40" i="9"/>
  <c r="CJ34" i="9"/>
  <c r="CJ32" i="9"/>
  <c r="CJ31" i="9"/>
  <c r="CJ29" i="9"/>
  <c r="CJ23" i="9"/>
  <c r="CJ22" i="9"/>
  <c r="CJ19" i="9"/>
  <c r="CJ17" i="9"/>
  <c r="CE40" i="9"/>
  <c r="CE37" i="9"/>
  <c r="CE36" i="9"/>
  <c r="CE35" i="9"/>
  <c r="CE66" i="8" s="1"/>
  <c r="CE34" i="9"/>
  <c r="CE32" i="9"/>
  <c r="CE31" i="9"/>
  <c r="CE29" i="9"/>
  <c r="CE23" i="9"/>
  <c r="CE22" i="9"/>
  <c r="CE21" i="9"/>
  <c r="CE20" i="9"/>
  <c r="CE19" i="9"/>
  <c r="CE17" i="9"/>
  <c r="BX40" i="9"/>
  <c r="BY40" i="9" s="1"/>
  <c r="BR40" i="9"/>
  <c r="BS40" i="9" s="1"/>
  <c r="BN40" i="9"/>
  <c r="BH40" i="9"/>
  <c r="BI40" i="9" s="1"/>
  <c r="AX40" i="9"/>
  <c r="AY40" i="9" s="1"/>
  <c r="AZ40" i="9" s="1"/>
  <c r="AS40" i="9"/>
  <c r="AT40" i="9" s="1"/>
  <c r="AU40" i="9" s="1"/>
  <c r="AV40" i="9" s="1"/>
  <c r="AN40" i="9"/>
  <c r="AO40" i="9" s="1"/>
  <c r="AP40" i="9" s="1"/>
  <c r="AQ40" i="9" s="1"/>
  <c r="AD40" i="9"/>
  <c r="Y40" i="9"/>
  <c r="Z40" i="9" s="1"/>
  <c r="AA40" i="9" s="1"/>
  <c r="AB40" i="9" s="1"/>
  <c r="T40" i="9"/>
  <c r="U40" i="9" s="1"/>
  <c r="V40" i="9" s="1"/>
  <c r="W40" i="9" s="1"/>
  <c r="O40" i="9"/>
  <c r="P40" i="9" s="1"/>
  <c r="J40" i="9"/>
  <c r="K40" i="9" s="1"/>
  <c r="E40" i="9"/>
  <c r="F40" i="9" s="1"/>
  <c r="EG38" i="9"/>
  <c r="EG39" i="9" s="1"/>
  <c r="EF38" i="9"/>
  <c r="DZ38" i="9"/>
  <c r="EC38" i="9" s="1"/>
  <c r="DZ37" i="9"/>
  <c r="DZ36" i="9"/>
  <c r="DZ39" i="9" s="1"/>
  <c r="EC36" i="9"/>
  <c r="DW38" i="9"/>
  <c r="GC38" i="9" s="1"/>
  <c r="DW37" i="9"/>
  <c r="DW36" i="9"/>
  <c r="DX36" i="9"/>
  <c r="DW35" i="9"/>
  <c r="DX35" i="9"/>
  <c r="DX66" i="8" s="1"/>
  <c r="DW34" i="9"/>
  <c r="DW39" i="9" s="1"/>
  <c r="DX34" i="9"/>
  <c r="DU38" i="9"/>
  <c r="DL38" i="9"/>
  <c r="DJ38" i="9"/>
  <c r="DN38" i="9" s="1"/>
  <c r="DJ37" i="9"/>
  <c r="DJ36" i="9"/>
  <c r="DN36" i="9"/>
  <c r="DH38" i="9"/>
  <c r="DC38" i="9"/>
  <c r="CP38" i="9"/>
  <c r="CI35" i="9"/>
  <c r="CI66" i="8" s="1"/>
  <c r="BG38" i="9"/>
  <c r="BB38" i="9"/>
  <c r="EB37" i="9"/>
  <c r="CL36" i="9"/>
  <c r="CL39" i="9" s="1"/>
  <c r="CK36" i="9"/>
  <c r="CK39" i="9" s="1"/>
  <c r="CO36" i="9"/>
  <c r="CG36" i="9"/>
  <c r="CG39" i="9" s="1"/>
  <c r="DY35" i="9"/>
  <c r="DY39" i="9" s="1"/>
  <c r="DK35" i="9"/>
  <c r="DK39" i="9" s="1"/>
  <c r="BX37" i="9"/>
  <c r="BY36" i="9"/>
  <c r="BZ36" i="9" s="1"/>
  <c r="BX66" i="8"/>
  <c r="BR37" i="9"/>
  <c r="BS37" i="9" s="1"/>
  <c r="BS36" i="9"/>
  <c r="BR35" i="9"/>
  <c r="BS35" i="9" s="1"/>
  <c r="BM37" i="9"/>
  <c r="BN37" i="9" s="1"/>
  <c r="BN36" i="9"/>
  <c r="BO36" i="9" s="1"/>
  <c r="BP36" i="9" s="1"/>
  <c r="BM35" i="9"/>
  <c r="BN35" i="9" s="1"/>
  <c r="BN66" i="8" s="1"/>
  <c r="BH36" i="9"/>
  <c r="BI36" i="9" s="1"/>
  <c r="BJ36" i="9" s="1"/>
  <c r="BH35" i="9"/>
  <c r="BC37" i="9"/>
  <c r="BD37" i="9" s="1"/>
  <c r="BC36" i="9"/>
  <c r="BD36" i="9" s="1"/>
  <c r="BC35" i="9"/>
  <c r="AX37" i="9"/>
  <c r="AY37" i="9" s="1"/>
  <c r="AY36" i="9"/>
  <c r="AX35" i="9"/>
  <c r="AY35" i="9" s="1"/>
  <c r="AS37" i="9"/>
  <c r="AS36" i="9"/>
  <c r="AT36" i="9" s="1"/>
  <c r="AU36" i="9" s="1"/>
  <c r="AV36" i="9" s="1"/>
  <c r="AS35" i="9"/>
  <c r="AT35" i="9" s="1"/>
  <c r="AT66" i="8" s="1"/>
  <c r="AN37" i="9"/>
  <c r="AO37" i="9" s="1"/>
  <c r="AN36" i="9"/>
  <c r="AN35" i="9"/>
  <c r="AN66" i="8" s="1"/>
  <c r="AI37" i="9"/>
  <c r="AI36" i="9"/>
  <c r="AI35" i="9"/>
  <c r="AI66" i="8" s="1"/>
  <c r="AD37" i="9"/>
  <c r="AD36" i="9"/>
  <c r="AD35" i="9"/>
  <c r="AE35" i="9" s="1"/>
  <c r="Y37" i="9"/>
  <c r="Z37" i="9" s="1"/>
  <c r="AA37" i="9" s="1"/>
  <c r="AB37" i="9" s="1"/>
  <c r="Y36" i="9"/>
  <c r="Z36" i="9" s="1"/>
  <c r="Y35" i="9"/>
  <c r="Z35" i="9" s="1"/>
  <c r="T37" i="9"/>
  <c r="U37" i="9" s="1"/>
  <c r="T36" i="9"/>
  <c r="T35" i="9"/>
  <c r="T66" i="8" s="1"/>
  <c r="O37" i="9"/>
  <c r="P37" i="9" s="1"/>
  <c r="O36" i="9"/>
  <c r="O35" i="9"/>
  <c r="P35" i="9" s="1"/>
  <c r="J37" i="9"/>
  <c r="K37" i="9" s="1"/>
  <c r="L37" i="9" s="1"/>
  <c r="M37" i="9" s="1"/>
  <c r="J36" i="9"/>
  <c r="K36" i="9" s="1"/>
  <c r="L36" i="9" s="1"/>
  <c r="M36" i="9" s="1"/>
  <c r="J35" i="9"/>
  <c r="K35" i="9" s="1"/>
  <c r="E37" i="9"/>
  <c r="E36" i="9"/>
  <c r="F36" i="9" s="1"/>
  <c r="E35" i="9"/>
  <c r="F35" i="9" s="1"/>
  <c r="ED34" i="9"/>
  <c r="ED39" i="9" s="1"/>
  <c r="EB34" i="9"/>
  <c r="EB39" i="9" s="1"/>
  <c r="DJ34" i="9"/>
  <c r="DJ39" i="9" s="1"/>
  <c r="DN34" i="9"/>
  <c r="BZ34" i="9"/>
  <c r="BU34" i="9"/>
  <c r="BP34" i="9"/>
  <c r="BK34" i="9"/>
  <c r="BF34" i="9"/>
  <c r="BA34" i="9"/>
  <c r="AV34" i="9"/>
  <c r="AQ34" i="9"/>
  <c r="AL34" i="9"/>
  <c r="AG34" i="9"/>
  <c r="AG27" i="9"/>
  <c r="AB34" i="9"/>
  <c r="AB27" i="9"/>
  <c r="W34" i="9"/>
  <c r="W27" i="9"/>
  <c r="R34" i="9"/>
  <c r="R27" i="9"/>
  <c r="M34" i="9"/>
  <c r="M27" i="9"/>
  <c r="H34" i="9"/>
  <c r="H27" i="9"/>
  <c r="EG32" i="9"/>
  <c r="EH32" i="9"/>
  <c r="DF34" i="9"/>
  <c r="DF39" i="9" s="1"/>
  <c r="DT32" i="9"/>
  <c r="DX32" i="9" s="1"/>
  <c r="DR32" i="9"/>
  <c r="DR33" i="9" s="1"/>
  <c r="EG30" i="9"/>
  <c r="EG33" i="9" s="1"/>
  <c r="EF30" i="9"/>
  <c r="EF33" i="9" s="1"/>
  <c r="ED30" i="9"/>
  <c r="ED33" i="9" s="1"/>
  <c r="EA30" i="9"/>
  <c r="EA33" i="9" s="1"/>
  <c r="DZ30" i="9"/>
  <c r="DY30" i="9"/>
  <c r="DY33" i="9" s="1"/>
  <c r="DW30" i="9"/>
  <c r="DV30" i="9"/>
  <c r="DV33" i="9" s="1"/>
  <c r="DT30" i="9"/>
  <c r="DT33" i="9" s="1"/>
  <c r="DQ30" i="9"/>
  <c r="DQ33" i="9" s="1"/>
  <c r="DM30" i="9"/>
  <c r="DM33" i="9" s="1"/>
  <c r="DH30" i="9"/>
  <c r="DH33" i="9" s="1"/>
  <c r="DG30" i="9"/>
  <c r="DG33" i="9" s="1"/>
  <c r="CH30" i="9"/>
  <c r="CH33" i="9" s="1"/>
  <c r="CJ30" i="9"/>
  <c r="CC30" i="9"/>
  <c r="CC33" i="9" s="1"/>
  <c r="BW30" i="9"/>
  <c r="BB30" i="9"/>
  <c r="BB33" i="9" s="1"/>
  <c r="EB29" i="9"/>
  <c r="EB33" i="9" s="1"/>
  <c r="DZ29" i="9"/>
  <c r="DZ33" i="9" s="1"/>
  <c r="DW29" i="9"/>
  <c r="DW33" i="9" s="1"/>
  <c r="AW29" i="9"/>
  <c r="AW33" i="9" s="1"/>
  <c r="AR29" i="9"/>
  <c r="AR33" i="9" s="1"/>
  <c r="AI32" i="9"/>
  <c r="AJ32" i="9" s="1"/>
  <c r="AK32" i="9" s="1"/>
  <c r="AL32" i="9" s="1"/>
  <c r="AI31" i="9"/>
  <c r="AI30" i="9"/>
  <c r="AD32" i="9"/>
  <c r="AE32" i="9" s="1"/>
  <c r="AF32" i="9" s="1"/>
  <c r="AD31" i="9"/>
  <c r="AE31" i="9" s="1"/>
  <c r="AD30" i="9"/>
  <c r="AE30" i="9" s="1"/>
  <c r="AD29" i="9"/>
  <c r="AE29" i="9" s="1"/>
  <c r="Y32" i="9"/>
  <c r="Y31" i="9"/>
  <c r="Z31" i="9" s="1"/>
  <c r="Y30" i="9"/>
  <c r="Z30" i="9" s="1"/>
  <c r="Y29" i="9"/>
  <c r="T32" i="9"/>
  <c r="U32" i="9" s="1"/>
  <c r="T31" i="9"/>
  <c r="U31" i="9" s="1"/>
  <c r="V31" i="9" s="1"/>
  <c r="W31" i="9" s="1"/>
  <c r="T30" i="9"/>
  <c r="U30" i="9" s="1"/>
  <c r="V30" i="9" s="1"/>
  <c r="W30" i="9" s="1"/>
  <c r="T29" i="9"/>
  <c r="O32" i="9"/>
  <c r="P32" i="9" s="1"/>
  <c r="O31" i="9"/>
  <c r="O30" i="9"/>
  <c r="O29" i="9"/>
  <c r="J32" i="9"/>
  <c r="K32" i="9" s="1"/>
  <c r="L32" i="9" s="1"/>
  <c r="M32" i="9" s="1"/>
  <c r="J31" i="9"/>
  <c r="J30" i="9"/>
  <c r="K30" i="9" s="1"/>
  <c r="J29" i="9"/>
  <c r="K29" i="9" s="1"/>
  <c r="E32" i="9"/>
  <c r="F32" i="9" s="1"/>
  <c r="E31" i="9"/>
  <c r="F31" i="9" s="1"/>
  <c r="E30" i="9"/>
  <c r="F30" i="9" s="1"/>
  <c r="G30" i="9" s="1"/>
  <c r="H30" i="9" s="1"/>
  <c r="E29" i="9"/>
  <c r="F29" i="9" s="1"/>
  <c r="DW27" i="9"/>
  <c r="DV27" i="9"/>
  <c r="DU27" i="9"/>
  <c r="DT27" i="9"/>
  <c r="DR27" i="9"/>
  <c r="DQ27" i="9"/>
  <c r="DP27" i="9"/>
  <c r="DO27" i="9"/>
  <c r="DM27" i="9"/>
  <c r="DL27" i="9"/>
  <c r="DK27" i="9"/>
  <c r="DJ27" i="9"/>
  <c r="DH27" i="9"/>
  <c r="DG27" i="9"/>
  <c r="DF27" i="9"/>
  <c r="DE27" i="9"/>
  <c r="DC27" i="9"/>
  <c r="DA27" i="9"/>
  <c r="CZ27" i="9"/>
  <c r="CX27" i="9"/>
  <c r="CW27" i="9"/>
  <c r="CV27" i="9"/>
  <c r="CU27" i="9"/>
  <c r="CS27" i="9"/>
  <c r="CR27" i="9"/>
  <c r="CQ27" i="9"/>
  <c r="CP27" i="9"/>
  <c r="CM27" i="9"/>
  <c r="CL27" i="9"/>
  <c r="CK27" i="9"/>
  <c r="CH27" i="9"/>
  <c r="CG27" i="9"/>
  <c r="CF27" i="9"/>
  <c r="CB27" i="9"/>
  <c r="CA27" i="9"/>
  <c r="BV27" i="9"/>
  <c r="BQ27" i="9"/>
  <c r="BL27" i="9"/>
  <c r="BG27" i="9"/>
  <c r="BB27" i="9"/>
  <c r="AW27" i="9"/>
  <c r="AR27" i="9"/>
  <c r="AM27" i="9"/>
  <c r="CD26" i="9"/>
  <c r="CD33" i="9" s="1"/>
  <c r="CE26" i="9"/>
  <c r="CD24" i="9"/>
  <c r="BQ24" i="9"/>
  <c r="BL24" i="9"/>
  <c r="BG24" i="9"/>
  <c r="BB24" i="9"/>
  <c r="AW24" i="9"/>
  <c r="AR24" i="9"/>
  <c r="AC24" i="9"/>
  <c r="X24" i="9"/>
  <c r="S24" i="9"/>
  <c r="N24" i="9"/>
  <c r="I24" i="9"/>
  <c r="D24" i="9"/>
  <c r="EB24" i="9"/>
  <c r="DH24" i="9"/>
  <c r="DG24" i="9"/>
  <c r="DF24" i="9"/>
  <c r="DE24" i="9"/>
  <c r="DC24" i="9"/>
  <c r="DB24" i="9"/>
  <c r="DA24" i="9"/>
  <c r="CZ24" i="9"/>
  <c r="CX24" i="9"/>
  <c r="CW24" i="9"/>
  <c r="CV24" i="9"/>
  <c r="CU24" i="9"/>
  <c r="CS24" i="9"/>
  <c r="CR24" i="9"/>
  <c r="CQ24" i="9"/>
  <c r="CP24" i="9"/>
  <c r="CN24" i="9"/>
  <c r="CM24" i="9"/>
  <c r="CL24" i="9"/>
  <c r="CK24" i="9"/>
  <c r="CH24" i="9"/>
  <c r="CG24" i="9"/>
  <c r="CF24" i="9"/>
  <c r="CC24" i="9"/>
  <c r="CB24" i="9"/>
  <c r="CA24" i="9"/>
  <c r="BW24" i="9"/>
  <c r="BV24" i="9"/>
  <c r="DW21" i="9"/>
  <c r="DX21" i="9"/>
  <c r="DW19" i="9"/>
  <c r="DX19" i="9" s="1"/>
  <c r="DW24" i="9"/>
  <c r="CI21" i="9"/>
  <c r="CI20" i="9"/>
  <c r="CJ20" i="9" s="1"/>
  <c r="EF20" i="9"/>
  <c r="ED20" i="9"/>
  <c r="EH20" i="9" s="1"/>
  <c r="GC20" i="9"/>
  <c r="DY20" i="9"/>
  <c r="EC20" i="9" s="1"/>
  <c r="DX20" i="9"/>
  <c r="DR20" i="9"/>
  <c r="DQ20" i="9"/>
  <c r="DS20" i="9" s="1"/>
  <c r="DP20" i="9"/>
  <c r="DO20" i="9"/>
  <c r="DL20" i="9"/>
  <c r="DN20" i="9" s="1"/>
  <c r="DK20" i="9"/>
  <c r="DJ20" i="9"/>
  <c r="EG18" i="9"/>
  <c r="EG24" i="9" s="1"/>
  <c r="EF18" i="9"/>
  <c r="EE18" i="9"/>
  <c r="EE24" i="9"/>
  <c r="EA18" i="9"/>
  <c r="GD18" i="9" s="1"/>
  <c r="DZ18" i="9"/>
  <c r="DZ24" i="9"/>
  <c r="DY18" i="9"/>
  <c r="DV24" i="9"/>
  <c r="DU18" i="9"/>
  <c r="DX18" i="9" s="1"/>
  <c r="DU24" i="9"/>
  <c r="DR18" i="9"/>
  <c r="DR24" i="9" s="1"/>
  <c r="DQ18" i="9"/>
  <c r="GB18" i="9" s="1"/>
  <c r="DQ24" i="9"/>
  <c r="DP24" i="9"/>
  <c r="DO18" i="9"/>
  <c r="DM18" i="9"/>
  <c r="DM24" i="9" s="1"/>
  <c r="DL24" i="9"/>
  <c r="DK24" i="9"/>
  <c r="AM18" i="9"/>
  <c r="AH18" i="9"/>
  <c r="GG40" i="9"/>
  <c r="GF40" i="9"/>
  <c r="GE40" i="9"/>
  <c r="GD40" i="9"/>
  <c r="GC40" i="9"/>
  <c r="GB40" i="9"/>
  <c r="GA40" i="9"/>
  <c r="FZ40" i="9"/>
  <c r="FY40" i="9"/>
  <c r="FX40" i="9"/>
  <c r="FW40" i="9"/>
  <c r="FV40" i="9"/>
  <c r="FU40" i="9"/>
  <c r="FT40" i="9"/>
  <c r="GD37" i="9"/>
  <c r="GC37" i="9"/>
  <c r="GB37" i="9"/>
  <c r="GA37" i="9"/>
  <c r="FZ37" i="9"/>
  <c r="FY37" i="9"/>
  <c r="FX37" i="9"/>
  <c r="FW37" i="9"/>
  <c r="FV37" i="9"/>
  <c r="FU37" i="9"/>
  <c r="FT37" i="9"/>
  <c r="GD36" i="9"/>
  <c r="GC36" i="9"/>
  <c r="GB36" i="9"/>
  <c r="GA36" i="9"/>
  <c r="FZ36" i="9"/>
  <c r="FY36" i="9"/>
  <c r="FX36" i="9"/>
  <c r="FW36" i="9"/>
  <c r="FV36" i="9"/>
  <c r="FT36" i="9"/>
  <c r="GD35" i="9"/>
  <c r="GC35" i="9"/>
  <c r="GB35" i="9"/>
  <c r="GA35" i="9"/>
  <c r="FZ35" i="9"/>
  <c r="FY35" i="9"/>
  <c r="FX35" i="9"/>
  <c r="FW35" i="9"/>
  <c r="FV35" i="9"/>
  <c r="FT35" i="9"/>
  <c r="GD34" i="9"/>
  <c r="GC34" i="9"/>
  <c r="GB34" i="9"/>
  <c r="GA34" i="9"/>
  <c r="FZ34" i="9"/>
  <c r="FY34" i="9"/>
  <c r="FX34" i="9"/>
  <c r="FW34" i="9"/>
  <c r="FV34" i="9"/>
  <c r="FU34" i="9"/>
  <c r="FT34" i="9"/>
  <c r="FS34" i="9"/>
  <c r="FR34" i="9"/>
  <c r="FQ34" i="9"/>
  <c r="FP34" i="9"/>
  <c r="FO34" i="9"/>
  <c r="GG32" i="9"/>
  <c r="GF32" i="9"/>
  <c r="GE32" i="9"/>
  <c r="GD32" i="9"/>
  <c r="GC32" i="9"/>
  <c r="GB32" i="9"/>
  <c r="GA32" i="9"/>
  <c r="FZ32" i="9"/>
  <c r="FY32" i="9"/>
  <c r="FX32" i="9"/>
  <c r="FW32" i="9"/>
  <c r="FV32" i="9"/>
  <c r="FU32" i="9"/>
  <c r="FT32" i="9"/>
  <c r="GG31" i="9"/>
  <c r="GF31" i="9"/>
  <c r="GE31" i="9"/>
  <c r="GD31" i="9"/>
  <c r="GC31" i="9"/>
  <c r="GB31" i="9"/>
  <c r="GA31" i="9"/>
  <c r="FZ31" i="9"/>
  <c r="FY31" i="9"/>
  <c r="FX31" i="9"/>
  <c r="FW31" i="9"/>
  <c r="FV31" i="9"/>
  <c r="FU31" i="9"/>
  <c r="FT31" i="9"/>
  <c r="GE30" i="9"/>
  <c r="GD30" i="9"/>
  <c r="GC30" i="9"/>
  <c r="GB30" i="9"/>
  <c r="GA30" i="9"/>
  <c r="FZ30" i="9"/>
  <c r="FY30" i="9"/>
  <c r="FX30" i="9"/>
  <c r="FW30" i="9"/>
  <c r="FV30" i="9"/>
  <c r="FU30" i="9"/>
  <c r="FT30" i="9"/>
  <c r="GE29" i="9"/>
  <c r="GD29" i="9"/>
  <c r="GC29" i="9"/>
  <c r="GB29" i="9"/>
  <c r="GA29" i="9"/>
  <c r="FZ29" i="9"/>
  <c r="FY29" i="9"/>
  <c r="FX29" i="9"/>
  <c r="FW29" i="9"/>
  <c r="FV29" i="9"/>
  <c r="FU29" i="9"/>
  <c r="FT29" i="9"/>
  <c r="GD26" i="9"/>
  <c r="E37" i="141" s="1"/>
  <c r="GC26" i="9"/>
  <c r="D37" i="141" s="1"/>
  <c r="GB26" i="9"/>
  <c r="C37" i="141" s="1"/>
  <c r="GA26" i="9"/>
  <c r="B37" i="141" s="1"/>
  <c r="FZ26" i="9"/>
  <c r="FY26" i="9"/>
  <c r="FX26" i="9"/>
  <c r="FW26" i="9"/>
  <c r="FV26" i="9"/>
  <c r="FT26" i="9"/>
  <c r="GD23" i="9"/>
  <c r="GC23" i="9"/>
  <c r="GB23" i="9"/>
  <c r="GA23" i="9"/>
  <c r="FZ23" i="9"/>
  <c r="FY23" i="9"/>
  <c r="FX23" i="9"/>
  <c r="FW23" i="9"/>
  <c r="FV23" i="9"/>
  <c r="FU23" i="9"/>
  <c r="FT23" i="9"/>
  <c r="GD22" i="9"/>
  <c r="GC22" i="9"/>
  <c r="GB22" i="9"/>
  <c r="GA22" i="9"/>
  <c r="FZ22" i="9"/>
  <c r="FY22" i="9"/>
  <c r="FX22" i="9"/>
  <c r="FW22" i="9"/>
  <c r="FV22" i="9"/>
  <c r="FU22" i="9"/>
  <c r="FT22" i="9"/>
  <c r="GD21" i="9"/>
  <c r="GC21" i="9"/>
  <c r="GB21" i="9"/>
  <c r="GA21" i="9"/>
  <c r="FZ21" i="9"/>
  <c r="FY21" i="9"/>
  <c r="FX21" i="9"/>
  <c r="FW21" i="9"/>
  <c r="FV21" i="9"/>
  <c r="FT21" i="9"/>
  <c r="GD20" i="9"/>
  <c r="GB20" i="9"/>
  <c r="GA20" i="9"/>
  <c r="FZ20" i="9"/>
  <c r="FY20" i="9"/>
  <c r="FX20" i="9"/>
  <c r="FW20" i="9"/>
  <c r="FV20" i="9"/>
  <c r="FT20" i="9"/>
  <c r="GD19" i="9"/>
  <c r="GC19" i="9"/>
  <c r="GB19" i="9"/>
  <c r="GA19" i="9"/>
  <c r="FZ19" i="9"/>
  <c r="FY19" i="9"/>
  <c r="FX19" i="9"/>
  <c r="FW19" i="9"/>
  <c r="FV19" i="9"/>
  <c r="FU19" i="9"/>
  <c r="FT19" i="9"/>
  <c r="GD17" i="9"/>
  <c r="GC17" i="9"/>
  <c r="GB17" i="9"/>
  <c r="GA17" i="9"/>
  <c r="FZ17" i="9"/>
  <c r="FY17" i="9"/>
  <c r="FX17" i="9"/>
  <c r="FW17" i="9"/>
  <c r="FV17" i="9"/>
  <c r="FU17" i="9"/>
  <c r="FT17" i="9"/>
  <c r="EG16" i="9"/>
  <c r="EF16" i="9"/>
  <c r="EE16" i="9"/>
  <c r="ED16" i="9"/>
  <c r="EB16" i="9"/>
  <c r="EA16" i="9"/>
  <c r="DZ16" i="9"/>
  <c r="DY16" i="9"/>
  <c r="DW16" i="9"/>
  <c r="DV16" i="9"/>
  <c r="DU16" i="9"/>
  <c r="DR16" i="9"/>
  <c r="DQ16" i="9"/>
  <c r="DP16" i="9"/>
  <c r="DM16" i="9"/>
  <c r="DL16" i="9"/>
  <c r="DK16" i="9"/>
  <c r="DH16" i="9"/>
  <c r="DG16" i="9"/>
  <c r="BX32" i="9"/>
  <c r="BY32" i="9" s="1"/>
  <c r="BX31" i="9"/>
  <c r="BX29" i="9"/>
  <c r="BX10" i="12"/>
  <c r="BX22" i="9"/>
  <c r="BX53" i="135" s="1"/>
  <c r="BX21" i="9"/>
  <c r="BY21" i="9" s="1"/>
  <c r="BZ21" i="9" s="1"/>
  <c r="BX19" i="9"/>
  <c r="BY19" i="9" s="1"/>
  <c r="BX17" i="9"/>
  <c r="BY17" i="9" s="1"/>
  <c r="BR32" i="9"/>
  <c r="BS32" i="9" s="1"/>
  <c r="BT32" i="9" s="1"/>
  <c r="BR31" i="9"/>
  <c r="BR30" i="9"/>
  <c r="BR29" i="9"/>
  <c r="BR26" i="9"/>
  <c r="BS26" i="9" s="1"/>
  <c r="BR56" i="135"/>
  <c r="BR22" i="9"/>
  <c r="BR53" i="135" s="1"/>
  <c r="BR21" i="9"/>
  <c r="BS21" i="9" s="1"/>
  <c r="BR20" i="9"/>
  <c r="BR19" i="9"/>
  <c r="BS19" i="9" s="1"/>
  <c r="BR17" i="9"/>
  <c r="BM32" i="9"/>
  <c r="BN32" i="9" s="1"/>
  <c r="BM31" i="9"/>
  <c r="BN31" i="9" s="1"/>
  <c r="BO31" i="9" s="1"/>
  <c r="BM29" i="9"/>
  <c r="BM26" i="9"/>
  <c r="BN26" i="9" s="1"/>
  <c r="BN22" i="9"/>
  <c r="BO22" i="9" s="1"/>
  <c r="BM21" i="9"/>
  <c r="BN21" i="9" s="1"/>
  <c r="BM20" i="9"/>
  <c r="BM19" i="9"/>
  <c r="BN19" i="9" s="1"/>
  <c r="BH32" i="9"/>
  <c r="BI32" i="9" s="1"/>
  <c r="BH31" i="9"/>
  <c r="BH30" i="9"/>
  <c r="BH26" i="9"/>
  <c r="BH21" i="9"/>
  <c r="BI21" i="9" s="1"/>
  <c r="BI20" i="9"/>
  <c r="BH19" i="9"/>
  <c r="BH17" i="9"/>
  <c r="BI17" i="9" s="1"/>
  <c r="BC32" i="9"/>
  <c r="BD32" i="9" s="1"/>
  <c r="BC31" i="9"/>
  <c r="BD31" i="9" s="1"/>
  <c r="BE31" i="9" s="1"/>
  <c r="BC30" i="9"/>
  <c r="BC29" i="9"/>
  <c r="BC26" i="9"/>
  <c r="BC23" i="9"/>
  <c r="BD23" i="9" s="1"/>
  <c r="BC22" i="9"/>
  <c r="BD22" i="9" s="1"/>
  <c r="BC21" i="9"/>
  <c r="BC20" i="9"/>
  <c r="BD20" i="9" s="1"/>
  <c r="BC19" i="9"/>
  <c r="BD17" i="9"/>
  <c r="BE17" i="9" s="1"/>
  <c r="AX32" i="9"/>
  <c r="AY32" i="9" s="1"/>
  <c r="AX31" i="9"/>
  <c r="AY31" i="9" s="1"/>
  <c r="AX30" i="9"/>
  <c r="AY30" i="9" s="1"/>
  <c r="AX29" i="9"/>
  <c r="AX23" i="9"/>
  <c r="AY23" i="9" s="1"/>
  <c r="AX22" i="9"/>
  <c r="AY22" i="9" s="1"/>
  <c r="AX21" i="9"/>
  <c r="AX20" i="9"/>
  <c r="AX19" i="9"/>
  <c r="AY19" i="9" s="1"/>
  <c r="AZ19" i="9" s="1"/>
  <c r="BA19" i="9" s="1"/>
  <c r="AX17" i="9"/>
  <c r="AY17" i="9" s="1"/>
  <c r="AZ17" i="9" s="1"/>
  <c r="AS32" i="9"/>
  <c r="AT32" i="9" s="1"/>
  <c r="AS31" i="9"/>
  <c r="AS30" i="9"/>
  <c r="AS29" i="9"/>
  <c r="AS26" i="9"/>
  <c r="AT26" i="9" s="1"/>
  <c r="AS23" i="9"/>
  <c r="AS21" i="9"/>
  <c r="AT21" i="9" s="1"/>
  <c r="AS20" i="9"/>
  <c r="AT20" i="9" s="1"/>
  <c r="AS19" i="9"/>
  <c r="AT19" i="9" s="1"/>
  <c r="AS17" i="9"/>
  <c r="AT17" i="9" s="1"/>
  <c r="AU17" i="9" s="1"/>
  <c r="AN32" i="9"/>
  <c r="AN31" i="9"/>
  <c r="AO31" i="9" s="1"/>
  <c r="AN30" i="9"/>
  <c r="AO30" i="9" s="1"/>
  <c r="AN29" i="9"/>
  <c r="AO29" i="9" s="1"/>
  <c r="AP29" i="9" s="1"/>
  <c r="AN26" i="9"/>
  <c r="AN23" i="9"/>
  <c r="AN22" i="9"/>
  <c r="AO22" i="9" s="1"/>
  <c r="AN21" i="9"/>
  <c r="AO21" i="9" s="1"/>
  <c r="AP21" i="9" s="1"/>
  <c r="AQ21" i="9" s="1"/>
  <c r="AO20" i="9"/>
  <c r="AP20" i="9" s="1"/>
  <c r="AN19" i="9"/>
  <c r="AO19" i="9" s="1"/>
  <c r="AP19" i="9" s="1"/>
  <c r="AI26" i="9"/>
  <c r="AJ26" i="9" s="1"/>
  <c r="AI23" i="9"/>
  <c r="AJ23" i="9" s="1"/>
  <c r="AI22" i="9"/>
  <c r="AJ22" i="9" s="1"/>
  <c r="AK22" i="9" s="1"/>
  <c r="AL22" i="9" s="1"/>
  <c r="AI21" i="9"/>
  <c r="AJ21" i="9" s="1"/>
  <c r="AI20" i="9"/>
  <c r="AJ20" i="9" s="1"/>
  <c r="AI19" i="9"/>
  <c r="AJ19" i="9" s="1"/>
  <c r="AI17" i="9"/>
  <c r="AD26" i="9"/>
  <c r="AE26" i="9" s="1"/>
  <c r="AD23" i="9"/>
  <c r="AE23" i="9" s="1"/>
  <c r="AF23" i="9" s="1"/>
  <c r="AD22" i="9"/>
  <c r="AE22" i="9" s="1"/>
  <c r="AF22" i="9" s="1"/>
  <c r="AG22" i="9" s="1"/>
  <c r="AD21" i="9"/>
  <c r="AE21" i="9" s="1"/>
  <c r="AF21" i="9" s="1"/>
  <c r="AD20" i="9"/>
  <c r="AE20" i="9" s="1"/>
  <c r="AF20" i="9" s="1"/>
  <c r="AG20" i="9" s="1"/>
  <c r="AD19" i="9"/>
  <c r="AE19" i="9" s="1"/>
  <c r="AD17" i="9"/>
  <c r="AE17" i="9" s="1"/>
  <c r="AF17" i="9" s="1"/>
  <c r="AG17" i="9" s="1"/>
  <c r="Y26" i="9"/>
  <c r="Z26" i="9" s="1"/>
  <c r="Y23" i="9"/>
  <c r="Z23" i="9" s="1"/>
  <c r="Y22" i="9"/>
  <c r="Z22" i="9" s="1"/>
  <c r="Y21" i="9"/>
  <c r="Z21" i="9" s="1"/>
  <c r="Y20" i="9"/>
  <c r="Z20" i="9" s="1"/>
  <c r="AA20" i="9" s="1"/>
  <c r="AB20" i="9" s="1"/>
  <c r="Y19" i="9"/>
  <c r="Z19" i="9" s="1"/>
  <c r="Y17" i="9"/>
  <c r="Z17" i="9" s="1"/>
  <c r="T26" i="9"/>
  <c r="U26" i="9" s="1"/>
  <c r="T23" i="9"/>
  <c r="U23" i="9" s="1"/>
  <c r="T22" i="9"/>
  <c r="U22" i="9" s="1"/>
  <c r="V22" i="9" s="1"/>
  <c r="T21" i="9"/>
  <c r="U21" i="9" s="1"/>
  <c r="V21" i="9" s="1"/>
  <c r="W21" i="9" s="1"/>
  <c r="T20" i="9"/>
  <c r="T19" i="9"/>
  <c r="U19" i="9" s="1"/>
  <c r="T17" i="9"/>
  <c r="U17" i="9" s="1"/>
  <c r="O26" i="9"/>
  <c r="O23" i="9"/>
  <c r="P23" i="9" s="1"/>
  <c r="Q23" i="9" s="1"/>
  <c r="O22" i="9"/>
  <c r="P22" i="9" s="1"/>
  <c r="O21" i="9"/>
  <c r="P21" i="9" s="1"/>
  <c r="Q21" i="9" s="1"/>
  <c r="R21" i="9" s="1"/>
  <c r="O20" i="9"/>
  <c r="P20" i="9" s="1"/>
  <c r="Q20" i="9" s="1"/>
  <c r="O19" i="9"/>
  <c r="P19" i="9" s="1"/>
  <c r="O17" i="9"/>
  <c r="P17" i="9" s="1"/>
  <c r="J26" i="9"/>
  <c r="K26" i="9" s="1"/>
  <c r="J23" i="9"/>
  <c r="K23" i="9" s="1"/>
  <c r="J22" i="9"/>
  <c r="J21" i="9"/>
  <c r="K21" i="9" s="1"/>
  <c r="J20" i="9"/>
  <c r="K20" i="9" s="1"/>
  <c r="J19" i="9"/>
  <c r="K19" i="9" s="1"/>
  <c r="L19" i="9" s="1"/>
  <c r="J17" i="9"/>
  <c r="K17" i="9" s="1"/>
  <c r="L17" i="9" s="1"/>
  <c r="E26" i="9"/>
  <c r="F26" i="9" s="1"/>
  <c r="E23" i="9"/>
  <c r="F23" i="9" s="1"/>
  <c r="G23" i="9" s="1"/>
  <c r="H23" i="9" s="1"/>
  <c r="E22" i="9"/>
  <c r="F22" i="9" s="1"/>
  <c r="E21" i="9"/>
  <c r="E20" i="9"/>
  <c r="F20" i="9" s="1"/>
  <c r="G20" i="9" s="1"/>
  <c r="H20" i="9" s="1"/>
  <c r="E19" i="9"/>
  <c r="E17" i="9"/>
  <c r="F17" i="9" s="1"/>
  <c r="DT15" i="9"/>
  <c r="DT16" i="9" s="1"/>
  <c r="DX14" i="9"/>
  <c r="DX13" i="9"/>
  <c r="DX12" i="9"/>
  <c r="DX11" i="9"/>
  <c r="DX10" i="9"/>
  <c r="DX7" i="9"/>
  <c r="DX6" i="9"/>
  <c r="DN14" i="9"/>
  <c r="DN13" i="9"/>
  <c r="DN11" i="9"/>
  <c r="DN10" i="9"/>
  <c r="DN7" i="9"/>
  <c r="DN6" i="9"/>
  <c r="DI14" i="9"/>
  <c r="DI13" i="9"/>
  <c r="DI12" i="9"/>
  <c r="DI11" i="9"/>
  <c r="DI10" i="9"/>
  <c r="DI6" i="9"/>
  <c r="DD6" i="9"/>
  <c r="CY14" i="9"/>
  <c r="CY13" i="9"/>
  <c r="CY12" i="9"/>
  <c r="CY11" i="9"/>
  <c r="CY10" i="9"/>
  <c r="CY6" i="9"/>
  <c r="CT14" i="9"/>
  <c r="CT13" i="9"/>
  <c r="CT12" i="9"/>
  <c r="CT11" i="9"/>
  <c r="CT10" i="9"/>
  <c r="CT6" i="9"/>
  <c r="CB14" i="9"/>
  <c r="CC14" i="9" s="1"/>
  <c r="BW14" i="9"/>
  <c r="CO13" i="9"/>
  <c r="CO12" i="9"/>
  <c r="CO11" i="9"/>
  <c r="CO10" i="9"/>
  <c r="CO6" i="9"/>
  <c r="CJ13" i="9"/>
  <c r="CJ11" i="9"/>
  <c r="CJ10" i="9"/>
  <c r="CJ6" i="9"/>
  <c r="CE13" i="9"/>
  <c r="CE12" i="9"/>
  <c r="CE11" i="9"/>
  <c r="CE10" i="9"/>
  <c r="CE6" i="9"/>
  <c r="DO12" i="9"/>
  <c r="DJ12" i="9"/>
  <c r="DN12" i="9"/>
  <c r="CI12" i="9"/>
  <c r="CJ12" i="9" s="1"/>
  <c r="BY13" i="9"/>
  <c r="BZ11" i="9"/>
  <c r="BZ10" i="9"/>
  <c r="BZ9" i="9"/>
  <c r="BZ6" i="9"/>
  <c r="BR14" i="9"/>
  <c r="BS14" i="9" s="1"/>
  <c r="BR13" i="9"/>
  <c r="BR12" i="9"/>
  <c r="BS12" i="9" s="1"/>
  <c r="BS11" i="9"/>
  <c r="BT11" i="9" s="1"/>
  <c r="FR11" i="9" s="1"/>
  <c r="BR10" i="9"/>
  <c r="BS10" i="9" s="1"/>
  <c r="BM14" i="9"/>
  <c r="BM13" i="9"/>
  <c r="BN13" i="9" s="1"/>
  <c r="BN12" i="9"/>
  <c r="BM11" i="9"/>
  <c r="BN11" i="9" s="1"/>
  <c r="BO11" i="9" s="1"/>
  <c r="BH14" i="9"/>
  <c r="BI14" i="9" s="1"/>
  <c r="BH13" i="9"/>
  <c r="BI13" i="9" s="1"/>
  <c r="BH12" i="9"/>
  <c r="BI12" i="9" s="1"/>
  <c r="BH11" i="9"/>
  <c r="BI11" i="9" s="1"/>
  <c r="BH10" i="9"/>
  <c r="BI10" i="9" s="1"/>
  <c r="BC14" i="9"/>
  <c r="BD14" i="9" s="1"/>
  <c r="BC13" i="9"/>
  <c r="BD13" i="9" s="1"/>
  <c r="BC12" i="9"/>
  <c r="BD12" i="9" s="1"/>
  <c r="BC11" i="9"/>
  <c r="BD11" i="9" s="1"/>
  <c r="AX14" i="9"/>
  <c r="AY14" i="9" s="1"/>
  <c r="AX13" i="9"/>
  <c r="AY13" i="9" s="1"/>
  <c r="AX12" i="9"/>
  <c r="AY12" i="9" s="1"/>
  <c r="AX11" i="9"/>
  <c r="AY11" i="9" s="1"/>
  <c r="AX10" i="9"/>
  <c r="AY10" i="9" s="1"/>
  <c r="AX9" i="9"/>
  <c r="AY9" i="9" s="1"/>
  <c r="AS14" i="9"/>
  <c r="AT14" i="9" s="1"/>
  <c r="AS13" i="9"/>
  <c r="AT13" i="9" s="1"/>
  <c r="AS12" i="9"/>
  <c r="AT12" i="9" s="1"/>
  <c r="AS11" i="9"/>
  <c r="AS10" i="9"/>
  <c r="AT10" i="9" s="1"/>
  <c r="AS9" i="9"/>
  <c r="AN14" i="9"/>
  <c r="AO14" i="9" s="1"/>
  <c r="AN13" i="9"/>
  <c r="AO13" i="9" s="1"/>
  <c r="AP13" i="9" s="1"/>
  <c r="AQ13" i="9" s="1"/>
  <c r="AN12" i="9"/>
  <c r="AO12" i="9" s="1"/>
  <c r="AN11" i="9"/>
  <c r="AO11" i="9" s="1"/>
  <c r="AN10" i="9"/>
  <c r="AO10" i="9" s="1"/>
  <c r="AN9" i="9"/>
  <c r="AO9" i="9" s="1"/>
  <c r="AI14" i="9"/>
  <c r="AJ14" i="9" s="1"/>
  <c r="AI13" i="9"/>
  <c r="AI12" i="9"/>
  <c r="AJ12" i="9" s="1"/>
  <c r="AI11" i="9"/>
  <c r="AJ11" i="9" s="1"/>
  <c r="AJ10" i="9"/>
  <c r="AI9" i="9"/>
  <c r="AJ9" i="9" s="1"/>
  <c r="AD14" i="9"/>
  <c r="AD13" i="9"/>
  <c r="AE13" i="9" s="1"/>
  <c r="AD12" i="9"/>
  <c r="AE12" i="9" s="1"/>
  <c r="AD11" i="9"/>
  <c r="AE11" i="9" s="1"/>
  <c r="AF11" i="9" s="1"/>
  <c r="AG11" i="9" s="1"/>
  <c r="AD10" i="9"/>
  <c r="AD9" i="9"/>
  <c r="AE9" i="9" s="1"/>
  <c r="AF9" i="9" s="1"/>
  <c r="AG9" i="9" s="1"/>
  <c r="Y14" i="9"/>
  <c r="Z14" i="9" s="1"/>
  <c r="Y13" i="9"/>
  <c r="Y12" i="9"/>
  <c r="Z12" i="9" s="1"/>
  <c r="Y11" i="9"/>
  <c r="Z11" i="9" s="1"/>
  <c r="AA11" i="9" s="1"/>
  <c r="AB11" i="9" s="1"/>
  <c r="Y10" i="9"/>
  <c r="Y9" i="9"/>
  <c r="Z9" i="9" s="1"/>
  <c r="T14" i="9"/>
  <c r="U14" i="9" s="1"/>
  <c r="T13" i="9"/>
  <c r="U13" i="9" s="1"/>
  <c r="T12" i="9"/>
  <c r="T11" i="9"/>
  <c r="U11" i="9" s="1"/>
  <c r="V11" i="9" s="1"/>
  <c r="W11" i="9" s="1"/>
  <c r="T10" i="9"/>
  <c r="U10" i="9" s="1"/>
  <c r="T9" i="9"/>
  <c r="U9" i="9" s="1"/>
  <c r="O14" i="9"/>
  <c r="P14" i="9" s="1"/>
  <c r="O13" i="9"/>
  <c r="P13" i="9" s="1"/>
  <c r="Q13" i="9" s="1"/>
  <c r="R13" i="9" s="1"/>
  <c r="O12" i="9"/>
  <c r="O11" i="9"/>
  <c r="P11" i="9" s="1"/>
  <c r="Q11" i="9" s="1"/>
  <c r="R11" i="9" s="1"/>
  <c r="O10" i="9"/>
  <c r="P10" i="9" s="1"/>
  <c r="O9" i="9"/>
  <c r="P9" i="9" s="1"/>
  <c r="Q9" i="9" s="1"/>
  <c r="R9" i="9" s="1"/>
  <c r="J14" i="9"/>
  <c r="K14" i="9" s="1"/>
  <c r="J13" i="9"/>
  <c r="K13" i="9" s="1"/>
  <c r="J12" i="9"/>
  <c r="K12" i="9" s="1"/>
  <c r="J11" i="9"/>
  <c r="K11" i="9" s="1"/>
  <c r="L11" i="9" s="1"/>
  <c r="M11" i="9" s="1"/>
  <c r="J10" i="9"/>
  <c r="J9" i="9"/>
  <c r="K9" i="9" s="1"/>
  <c r="L9" i="9" s="1"/>
  <c r="M9" i="9" s="1"/>
  <c r="E14" i="9"/>
  <c r="F14" i="9" s="1"/>
  <c r="E13" i="9"/>
  <c r="F13" i="9" s="1"/>
  <c r="G13" i="9" s="1"/>
  <c r="H13" i="9" s="1"/>
  <c r="E12" i="9"/>
  <c r="F12" i="9" s="1"/>
  <c r="E11" i="9"/>
  <c r="F11" i="9" s="1"/>
  <c r="E10" i="9"/>
  <c r="F10" i="9" s="1"/>
  <c r="E9" i="9"/>
  <c r="F9" i="9" s="1"/>
  <c r="G9" i="9" s="1"/>
  <c r="H9" i="9" s="1"/>
  <c r="GG15" i="9"/>
  <c r="GF15" i="9"/>
  <c r="GE15" i="9"/>
  <c r="GD15" i="9"/>
  <c r="GC15" i="9"/>
  <c r="GB15" i="9"/>
  <c r="GA15" i="9"/>
  <c r="FZ15" i="9"/>
  <c r="FY15" i="9"/>
  <c r="GG14" i="9"/>
  <c r="GF14" i="9"/>
  <c r="GE14" i="9"/>
  <c r="GD14" i="9"/>
  <c r="GC14" i="9"/>
  <c r="GB14" i="9"/>
  <c r="GA14" i="9"/>
  <c r="FZ14" i="9"/>
  <c r="FY14" i="9"/>
  <c r="GG13" i="9"/>
  <c r="GF13" i="9"/>
  <c r="GE13" i="9"/>
  <c r="GD13" i="9"/>
  <c r="GC13" i="9"/>
  <c r="GB13" i="9"/>
  <c r="GA13" i="9"/>
  <c r="FZ13" i="9"/>
  <c r="FY13" i="9"/>
  <c r="GG12" i="9"/>
  <c r="GF12" i="9"/>
  <c r="GE12" i="9"/>
  <c r="GD12" i="9"/>
  <c r="GC12" i="9"/>
  <c r="GB12" i="9"/>
  <c r="GA12" i="9"/>
  <c r="FZ12" i="9"/>
  <c r="FY12" i="9"/>
  <c r="GG11" i="9"/>
  <c r="GF11" i="9"/>
  <c r="GE11" i="9"/>
  <c r="GD11" i="9"/>
  <c r="GC11" i="9"/>
  <c r="GB11" i="9"/>
  <c r="GA11" i="9"/>
  <c r="FZ11" i="9"/>
  <c r="FY11" i="9"/>
  <c r="GG10" i="9"/>
  <c r="GF10" i="9"/>
  <c r="GE10" i="9"/>
  <c r="GD10" i="9"/>
  <c r="GC10" i="9"/>
  <c r="GB10" i="9"/>
  <c r="GA10" i="9"/>
  <c r="FZ10" i="9"/>
  <c r="FY10" i="9"/>
  <c r="GB9" i="9"/>
  <c r="GD7" i="9"/>
  <c r="GC7" i="9"/>
  <c r="GB7" i="9"/>
  <c r="GA7" i="9"/>
  <c r="FZ7" i="9"/>
  <c r="FX14" i="9"/>
  <c r="FW14" i="9"/>
  <c r="FX13" i="9"/>
  <c r="FW13" i="9"/>
  <c r="FV13" i="9"/>
  <c r="FU13" i="9"/>
  <c r="FT13" i="9"/>
  <c r="FX12" i="9"/>
  <c r="FW12" i="9"/>
  <c r="FV12" i="9"/>
  <c r="FU12" i="9"/>
  <c r="FT12" i="9"/>
  <c r="FX11" i="9"/>
  <c r="FW11" i="9"/>
  <c r="FV11" i="9"/>
  <c r="FU11" i="9"/>
  <c r="FT11" i="9"/>
  <c r="FS11" i="9"/>
  <c r="FX10" i="9"/>
  <c r="FW10" i="9"/>
  <c r="FV10" i="9"/>
  <c r="FU10" i="9"/>
  <c r="FT10" i="9"/>
  <c r="FS10" i="9"/>
  <c r="EV6" i="9"/>
  <c r="EU6" i="9"/>
  <c r="ET6" i="9"/>
  <c r="ES6" i="9"/>
  <c r="EQ6" i="9"/>
  <c r="EP6" i="9"/>
  <c r="EO6" i="9"/>
  <c r="EN6" i="9"/>
  <c r="EL6" i="9"/>
  <c r="EK6" i="9"/>
  <c r="EJ6" i="9"/>
  <c r="EI6" i="9"/>
  <c r="EG6" i="9"/>
  <c r="EF6" i="9"/>
  <c r="EE6" i="9"/>
  <c r="ED6" i="9"/>
  <c r="EB6" i="9"/>
  <c r="EA6" i="9"/>
  <c r="DZ6" i="9"/>
  <c r="DY6" i="9"/>
  <c r="DW6" i="9"/>
  <c r="DV6" i="9"/>
  <c r="DU6" i="9"/>
  <c r="DT6" i="9"/>
  <c r="DR6" i="9"/>
  <c r="DQ6" i="9"/>
  <c r="DP6" i="9"/>
  <c r="DO6" i="9"/>
  <c r="DM6" i="9"/>
  <c r="DL6" i="9"/>
  <c r="DK6" i="9"/>
  <c r="DJ6" i="9"/>
  <c r="DH6" i="9"/>
  <c r="DG6" i="9"/>
  <c r="DF6" i="9"/>
  <c r="DE6" i="9"/>
  <c r="DC6" i="9"/>
  <c r="DB6" i="9"/>
  <c r="DA6" i="9"/>
  <c r="CZ6" i="9"/>
  <c r="CX6" i="9"/>
  <c r="CW6" i="9"/>
  <c r="CV6" i="9"/>
  <c r="CU6" i="9"/>
  <c r="CS6" i="9"/>
  <c r="CR6" i="9"/>
  <c r="CQ6" i="9"/>
  <c r="CP6" i="9"/>
  <c r="CN6" i="9"/>
  <c r="CM6" i="9"/>
  <c r="CL6" i="9"/>
  <c r="CK6" i="9"/>
  <c r="CI6" i="9"/>
  <c r="CH6" i="9"/>
  <c r="CG6" i="9"/>
  <c r="CF6" i="9"/>
  <c r="CD6" i="9"/>
  <c r="CC6" i="9"/>
  <c r="CB6" i="9"/>
  <c r="CA6" i="9"/>
  <c r="BY6" i="9"/>
  <c r="BX6" i="9"/>
  <c r="BW6" i="9"/>
  <c r="BV6" i="9"/>
  <c r="BU6" i="9"/>
  <c r="BT6" i="9"/>
  <c r="BS6" i="9"/>
  <c r="BR6" i="9"/>
  <c r="BQ6" i="9"/>
  <c r="BP6" i="9"/>
  <c r="BO6" i="9"/>
  <c r="BN6" i="9"/>
  <c r="BM6" i="9"/>
  <c r="BL6" i="9"/>
  <c r="BK6" i="9"/>
  <c r="BJ6" i="9"/>
  <c r="BI6" i="9"/>
  <c r="BH6" i="9"/>
  <c r="BG6" i="9"/>
  <c r="BF6" i="9"/>
  <c r="BE6" i="9"/>
  <c r="BD6" i="9"/>
  <c r="BC6" i="9"/>
  <c r="BB6" i="9"/>
  <c r="BA6" i="9"/>
  <c r="AZ6" i="9"/>
  <c r="AY6" i="9"/>
  <c r="AX6" i="9"/>
  <c r="AW6" i="9"/>
  <c r="AV6" i="9"/>
  <c r="AU6" i="9"/>
  <c r="AT6" i="9"/>
  <c r="AS6" i="9"/>
  <c r="AR6" i="9"/>
  <c r="AQ6" i="9"/>
  <c r="AP6" i="9"/>
  <c r="AO6" i="9"/>
  <c r="AN6" i="9"/>
  <c r="AM6" i="9"/>
  <c r="AL6" i="9"/>
  <c r="AK6" i="9"/>
  <c r="AJ6" i="9"/>
  <c r="AI6" i="9"/>
  <c r="AH6" i="9"/>
  <c r="AG6" i="9"/>
  <c r="AF6" i="9"/>
  <c r="AE6" i="9"/>
  <c r="AD6" i="9"/>
  <c r="AC6" i="9"/>
  <c r="AB6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G6" i="9"/>
  <c r="F6" i="9"/>
  <c r="E6" i="9"/>
  <c r="D6" i="9"/>
  <c r="A2" i="9"/>
  <c r="DC89" i="8"/>
  <c r="DC87" i="8" s="1"/>
  <c r="DR89" i="8"/>
  <c r="DR87" i="8" s="1"/>
  <c r="DQ89" i="8"/>
  <c r="DQ87" i="8" s="1"/>
  <c r="DP89" i="8"/>
  <c r="DP87" i="8" s="1"/>
  <c r="DO89" i="8"/>
  <c r="DO87" i="8" s="1"/>
  <c r="DM89" i="8"/>
  <c r="DM87" i="8" s="1"/>
  <c r="DL89" i="8"/>
  <c r="DL87" i="8" s="1"/>
  <c r="DK89" i="8"/>
  <c r="DK87" i="8" s="1"/>
  <c r="DJ89" i="8"/>
  <c r="DJ87" i="8" s="1"/>
  <c r="DH89" i="8"/>
  <c r="DH87" i="8" s="1"/>
  <c r="DG89" i="8"/>
  <c r="DG87" i="8" s="1"/>
  <c r="DF89" i="8"/>
  <c r="DF87" i="8" s="1"/>
  <c r="DE89" i="8"/>
  <c r="DE87" i="8" s="1"/>
  <c r="DB89" i="8"/>
  <c r="DB87" i="8" s="1"/>
  <c r="DA89" i="8"/>
  <c r="DA87" i="8" s="1"/>
  <c r="CZ89" i="8"/>
  <c r="CZ87" i="8" s="1"/>
  <c r="CX89" i="8"/>
  <c r="CX87" i="8" s="1"/>
  <c r="CW89" i="8"/>
  <c r="CW87" i="8" s="1"/>
  <c r="CV89" i="8"/>
  <c r="CV87" i="8" s="1"/>
  <c r="CU89" i="8"/>
  <c r="CU87" i="8" s="1"/>
  <c r="CS89" i="8"/>
  <c r="CS87" i="8" s="1"/>
  <c r="CR89" i="8"/>
  <c r="CR87" i="8" s="1"/>
  <c r="CQ89" i="8"/>
  <c r="CQ87" i="8" s="1"/>
  <c r="CP89" i="8"/>
  <c r="CP87" i="8" s="1"/>
  <c r="CN89" i="8"/>
  <c r="CN87" i="8" s="1"/>
  <c r="CM89" i="8"/>
  <c r="CM87" i="8" s="1"/>
  <c r="CL89" i="8"/>
  <c r="CL87" i="8" s="1"/>
  <c r="CK89" i="8"/>
  <c r="CK87" i="8" s="1"/>
  <c r="CB89" i="8"/>
  <c r="CB87" i="8" s="1"/>
  <c r="CA89" i="8"/>
  <c r="CA87" i="8" s="1"/>
  <c r="BY89" i="8"/>
  <c r="BY87" i="8" s="1"/>
  <c r="BX89" i="8"/>
  <c r="BX87" i="8" s="1"/>
  <c r="BW89" i="8"/>
  <c r="BW87" i="8" s="1"/>
  <c r="BV89" i="8"/>
  <c r="BV87" i="8" s="1"/>
  <c r="BT89" i="8"/>
  <c r="BT87" i="8" s="1"/>
  <c r="BS89" i="8"/>
  <c r="BS87" i="8" s="1"/>
  <c r="BR89" i="8"/>
  <c r="BR87" i="8" s="1"/>
  <c r="BQ89" i="8"/>
  <c r="BQ87" i="8" s="1"/>
  <c r="BO89" i="8"/>
  <c r="BO87" i="8" s="1"/>
  <c r="BO90" i="8" s="1"/>
  <c r="BN89" i="8"/>
  <c r="BN87" i="8" s="1"/>
  <c r="BN90" i="8" s="1"/>
  <c r="BM89" i="8"/>
  <c r="BM87" i="8" s="1"/>
  <c r="BM90" i="8" s="1"/>
  <c r="BL89" i="8"/>
  <c r="BL87" i="8" s="1"/>
  <c r="BL90" i="8" s="1"/>
  <c r="BJ89" i="8"/>
  <c r="BJ87" i="8" s="1"/>
  <c r="BJ90" i="8" s="1"/>
  <c r="BI89" i="8"/>
  <c r="BI87" i="8" s="1"/>
  <c r="BI90" i="8" s="1"/>
  <c r="BH89" i="8"/>
  <c r="BH87" i="8" s="1"/>
  <c r="BH90" i="8" s="1"/>
  <c r="BG89" i="8"/>
  <c r="BG87" i="8" s="1"/>
  <c r="BG90" i="8" s="1"/>
  <c r="BE89" i="8"/>
  <c r="BE87" i="8" s="1"/>
  <c r="BE90" i="8" s="1"/>
  <c r="BD89" i="8"/>
  <c r="BD87" i="8" s="1"/>
  <c r="BD90" i="8" s="1"/>
  <c r="BC89" i="8"/>
  <c r="BC87" i="8" s="1"/>
  <c r="BC90" i="8" s="1"/>
  <c r="BB89" i="8"/>
  <c r="BB87" i="8" s="1"/>
  <c r="BB90" i="8" s="1"/>
  <c r="AZ89" i="8"/>
  <c r="AZ87" i="8" s="1"/>
  <c r="AZ90" i="8" s="1"/>
  <c r="AY89" i="8"/>
  <c r="AY87" i="8" s="1"/>
  <c r="AY90" i="8" s="1"/>
  <c r="AX89" i="8"/>
  <c r="AX87" i="8" s="1"/>
  <c r="AX90" i="8" s="1"/>
  <c r="AW89" i="8"/>
  <c r="AW87" i="8" s="1"/>
  <c r="AW90" i="8" s="1"/>
  <c r="AU89" i="8"/>
  <c r="AU87" i="8" s="1"/>
  <c r="AU90" i="8" s="1"/>
  <c r="AT89" i="8"/>
  <c r="AT87" i="8" s="1"/>
  <c r="AT90" i="8" s="1"/>
  <c r="AS89" i="8"/>
  <c r="AS87" i="8" s="1"/>
  <c r="AS90" i="8" s="1"/>
  <c r="AR89" i="8"/>
  <c r="AR87" i="8" s="1"/>
  <c r="AR90" i="8" s="1"/>
  <c r="AP89" i="8"/>
  <c r="AP87" i="8" s="1"/>
  <c r="AP90" i="8" s="1"/>
  <c r="AO89" i="8"/>
  <c r="AO87" i="8" s="1"/>
  <c r="AO90" i="8" s="1"/>
  <c r="AN89" i="8"/>
  <c r="AN87" i="8" s="1"/>
  <c r="AN90" i="8" s="1"/>
  <c r="AM89" i="8"/>
  <c r="AM87" i="8" s="1"/>
  <c r="AM90" i="8" s="1"/>
  <c r="AK89" i="8"/>
  <c r="AK87" i="8" s="1"/>
  <c r="AK90" i="8" s="1"/>
  <c r="AJ89" i="8"/>
  <c r="AJ87" i="8" s="1"/>
  <c r="AJ90" i="8" s="1"/>
  <c r="AI89" i="8"/>
  <c r="AI87" i="8" s="1"/>
  <c r="AI90" i="8" s="1"/>
  <c r="AH89" i="8"/>
  <c r="AH87" i="8" s="1"/>
  <c r="AH90" i="8" s="1"/>
  <c r="AF89" i="8"/>
  <c r="AF87" i="8" s="1"/>
  <c r="AF90" i="8" s="1"/>
  <c r="AE89" i="8"/>
  <c r="AE87" i="8" s="1"/>
  <c r="AE90" i="8" s="1"/>
  <c r="AD89" i="8"/>
  <c r="AD87" i="8" s="1"/>
  <c r="AD90" i="8" s="1"/>
  <c r="AC89" i="8"/>
  <c r="AC87" i="8" s="1"/>
  <c r="AC90" i="8" s="1"/>
  <c r="AA89" i="8"/>
  <c r="AA87" i="8" s="1"/>
  <c r="AA90" i="8" s="1"/>
  <c r="Z89" i="8"/>
  <c r="Z87" i="8" s="1"/>
  <c r="Z90" i="8" s="1"/>
  <c r="Y89" i="8"/>
  <c r="Y87" i="8" s="1"/>
  <c r="Y90" i="8" s="1"/>
  <c r="X89" i="8"/>
  <c r="X87" i="8" s="1"/>
  <c r="X90" i="8" s="1"/>
  <c r="V89" i="8"/>
  <c r="V87" i="8" s="1"/>
  <c r="V90" i="8" s="1"/>
  <c r="U89" i="8"/>
  <c r="U87" i="8" s="1"/>
  <c r="U90" i="8" s="1"/>
  <c r="T89" i="8"/>
  <c r="T87" i="8" s="1"/>
  <c r="T90" i="8" s="1"/>
  <c r="S89" i="8"/>
  <c r="S87" i="8" s="1"/>
  <c r="S90" i="8" s="1"/>
  <c r="Q89" i="8"/>
  <c r="Q87" i="8" s="1"/>
  <c r="Q90" i="8" s="1"/>
  <c r="P89" i="8"/>
  <c r="P87" i="8" s="1"/>
  <c r="P90" i="8" s="1"/>
  <c r="O89" i="8"/>
  <c r="O87" i="8" s="1"/>
  <c r="O90" i="8" s="1"/>
  <c r="N89" i="8"/>
  <c r="N87" i="8" s="1"/>
  <c r="N90" i="8" s="1"/>
  <c r="L89" i="8"/>
  <c r="L87" i="8" s="1"/>
  <c r="L90" i="8" s="1"/>
  <c r="K89" i="8"/>
  <c r="K87" i="8" s="1"/>
  <c r="K90" i="8" s="1"/>
  <c r="J89" i="8"/>
  <c r="J87" i="8" s="1"/>
  <c r="J90" i="8" s="1"/>
  <c r="I89" i="8"/>
  <c r="I87" i="8" s="1"/>
  <c r="I90" i="8" s="1"/>
  <c r="G89" i="8"/>
  <c r="G87" i="8" s="1"/>
  <c r="G90" i="8" s="1"/>
  <c r="F89" i="8"/>
  <c r="F87" i="8" s="1"/>
  <c r="F90" i="8" s="1"/>
  <c r="E89" i="8"/>
  <c r="E87" i="8" s="1"/>
  <c r="E90" i="8" s="1"/>
  <c r="D89" i="8"/>
  <c r="D87" i="8" s="1"/>
  <c r="D90" i="8" s="1"/>
  <c r="CZ84" i="8"/>
  <c r="DA84" i="8" s="1"/>
  <c r="DB84" i="8" s="1"/>
  <c r="DC84" i="8" s="1"/>
  <c r="DE84" i="8" s="1"/>
  <c r="DF84" i="8" s="1"/>
  <c r="DG84" i="8" s="1"/>
  <c r="DH84" i="8" s="1"/>
  <c r="DJ84" i="8" s="1"/>
  <c r="DK84" i="8" s="1"/>
  <c r="DL84" i="8" s="1"/>
  <c r="DM84" i="8" s="1"/>
  <c r="DO84" i="8" s="1"/>
  <c r="DP84" i="8" s="1"/>
  <c r="DQ84" i="8" s="1"/>
  <c r="DR84" i="8" s="1"/>
  <c r="DT84" i="8" s="1"/>
  <c r="DU84" i="8" s="1"/>
  <c r="DV84" i="8" s="1"/>
  <c r="DW84" i="8" s="1"/>
  <c r="DY84" i="8" s="1"/>
  <c r="DZ84" i="8" s="1"/>
  <c r="EA84" i="8" s="1"/>
  <c r="EB84" i="8" s="1"/>
  <c r="ED84" i="8" s="1"/>
  <c r="EE84" i="8" s="1"/>
  <c r="EF84" i="8" s="1"/>
  <c r="EG84" i="8" s="1"/>
  <c r="EI84" i="8" s="1"/>
  <c r="EJ84" i="8" s="1"/>
  <c r="EK84" i="8" s="1"/>
  <c r="EL84" i="8" s="1"/>
  <c r="EN84" i="8" s="1"/>
  <c r="EO84" i="8" s="1"/>
  <c r="EP84" i="8" s="1"/>
  <c r="EQ84" i="8" s="1"/>
  <c r="ES84" i="8" s="1"/>
  <c r="ET84" i="8" s="1"/>
  <c r="EU84" i="8" s="1"/>
  <c r="EG67" i="8"/>
  <c r="EF67" i="8"/>
  <c r="EE67" i="8"/>
  <c r="ED67" i="8"/>
  <c r="EB67" i="8"/>
  <c r="EA67" i="8"/>
  <c r="DZ67" i="8"/>
  <c r="DY67" i="8"/>
  <c r="DW67" i="8"/>
  <c r="DV67" i="8"/>
  <c r="DU67" i="8"/>
  <c r="DF67" i="8"/>
  <c r="DE67" i="8"/>
  <c r="DC67" i="8"/>
  <c r="CZ67" i="8"/>
  <c r="CX67" i="8"/>
  <c r="CW67" i="8"/>
  <c r="EG66" i="8"/>
  <c r="EF66" i="8"/>
  <c r="EE66" i="8"/>
  <c r="ED66" i="8"/>
  <c r="EB66" i="8"/>
  <c r="EA66" i="8"/>
  <c r="DZ66" i="8"/>
  <c r="DY66" i="8"/>
  <c r="DW66" i="8"/>
  <c r="DV66" i="8"/>
  <c r="DU66" i="8"/>
  <c r="DT66" i="8"/>
  <c r="DR66" i="8"/>
  <c r="DQ66" i="8"/>
  <c r="DP66" i="8"/>
  <c r="DO66" i="8"/>
  <c r="DM66" i="8"/>
  <c r="DL66" i="8"/>
  <c r="DK66" i="8"/>
  <c r="DJ66" i="8"/>
  <c r="DH66" i="8"/>
  <c r="DG66" i="8"/>
  <c r="DF66" i="8"/>
  <c r="DE66" i="8"/>
  <c r="DD66" i="8"/>
  <c r="DC66" i="8"/>
  <c r="DB66" i="8"/>
  <c r="DA66" i="8"/>
  <c r="CZ66" i="8"/>
  <c r="CX66" i="8"/>
  <c r="CW66" i="8"/>
  <c r="CV66" i="8"/>
  <c r="CU66" i="8"/>
  <c r="CD67" i="8"/>
  <c r="CC67" i="8"/>
  <c r="CB67" i="8"/>
  <c r="CA67" i="8"/>
  <c r="BY67" i="8"/>
  <c r="BX67" i="8"/>
  <c r="BW67" i="8"/>
  <c r="BV67" i="8"/>
  <c r="BT67" i="8"/>
  <c r="BS67" i="8"/>
  <c r="BR67" i="8"/>
  <c r="BQ67" i="8"/>
  <c r="BO67" i="8"/>
  <c r="BN67" i="8"/>
  <c r="BM67" i="8"/>
  <c r="BL67" i="8"/>
  <c r="BJ67" i="8"/>
  <c r="BI67" i="8"/>
  <c r="BH67" i="8"/>
  <c r="BG67" i="8"/>
  <c r="BE67" i="8"/>
  <c r="BD67" i="8"/>
  <c r="BC67" i="8"/>
  <c r="BB67" i="8"/>
  <c r="AZ67" i="8"/>
  <c r="AY67" i="8"/>
  <c r="AX67" i="8"/>
  <c r="AW67" i="8"/>
  <c r="AU67" i="8"/>
  <c r="AT67" i="8"/>
  <c r="AS67" i="8"/>
  <c r="AR67" i="8"/>
  <c r="AP67" i="8"/>
  <c r="AO67" i="8"/>
  <c r="AN67" i="8"/>
  <c r="AM67" i="8"/>
  <c r="AK67" i="8"/>
  <c r="AJ67" i="8"/>
  <c r="AI67" i="8"/>
  <c r="AH67" i="8"/>
  <c r="AF67" i="8"/>
  <c r="AE67" i="8"/>
  <c r="AD67" i="8"/>
  <c r="AC67" i="8"/>
  <c r="AA67" i="8"/>
  <c r="Z67" i="8"/>
  <c r="Y67" i="8"/>
  <c r="X67" i="8"/>
  <c r="V67" i="8"/>
  <c r="U67" i="8"/>
  <c r="T67" i="8"/>
  <c r="S67" i="8"/>
  <c r="CS66" i="8"/>
  <c r="CR66" i="8"/>
  <c r="CQ66" i="8"/>
  <c r="CP66" i="8"/>
  <c r="CN66" i="8"/>
  <c r="CM66" i="8"/>
  <c r="CL66" i="8"/>
  <c r="CK66" i="8"/>
  <c r="CH66" i="8"/>
  <c r="CG66" i="8"/>
  <c r="CF66" i="8"/>
  <c r="CD66" i="8"/>
  <c r="CC66" i="8"/>
  <c r="CB66" i="8"/>
  <c r="CA66" i="8"/>
  <c r="BW66" i="8"/>
  <c r="BV66" i="8"/>
  <c r="BQ66" i="8"/>
  <c r="BL66" i="8"/>
  <c r="BG66" i="8"/>
  <c r="BB66" i="8"/>
  <c r="AW66" i="8"/>
  <c r="AR66" i="8"/>
  <c r="AM66" i="8"/>
  <c r="AH66" i="8"/>
  <c r="AC66" i="8"/>
  <c r="X66" i="8"/>
  <c r="S66" i="8"/>
  <c r="ED48" i="8"/>
  <c r="EB48" i="8"/>
  <c r="EA48" i="8"/>
  <c r="DZ48" i="8"/>
  <c r="DY48" i="8"/>
  <c r="DW48" i="8"/>
  <c r="DT48" i="8"/>
  <c r="DR48" i="8"/>
  <c r="DQ48" i="8"/>
  <c r="DP48" i="8"/>
  <c r="DO48" i="8"/>
  <c r="DM48" i="8"/>
  <c r="DL48" i="8"/>
  <c r="DK48" i="8"/>
  <c r="DJ48" i="8"/>
  <c r="DH48" i="8"/>
  <c r="DG48" i="8"/>
  <c r="DF48" i="8"/>
  <c r="DE48" i="8"/>
  <c r="DC48" i="8"/>
  <c r="DB48" i="8"/>
  <c r="DA48" i="8"/>
  <c r="CZ48" i="8"/>
  <c r="CX48" i="8"/>
  <c r="CW48" i="8"/>
  <c r="CV48" i="8"/>
  <c r="CU48" i="8"/>
  <c r="CS48" i="8"/>
  <c r="CR48" i="8"/>
  <c r="CQ48" i="8"/>
  <c r="CP48" i="8"/>
  <c r="CN48" i="8"/>
  <c r="CM48" i="8"/>
  <c r="CL48" i="8"/>
  <c r="CK48" i="8"/>
  <c r="CI48" i="8"/>
  <c r="CH48" i="8"/>
  <c r="CG48" i="8"/>
  <c r="CF48" i="8"/>
  <c r="CD48" i="8"/>
  <c r="CC48" i="8"/>
  <c r="CB48" i="8"/>
  <c r="CA48" i="8"/>
  <c r="BY48" i="8"/>
  <c r="BX48" i="8"/>
  <c r="BW48" i="8"/>
  <c r="BV48" i="8"/>
  <c r="BT48" i="8"/>
  <c r="BS48" i="8"/>
  <c r="BR48" i="8"/>
  <c r="BQ48" i="8"/>
  <c r="BO48" i="8"/>
  <c r="BN48" i="8"/>
  <c r="BM48" i="8"/>
  <c r="BL48" i="8"/>
  <c r="BJ48" i="8"/>
  <c r="BI48" i="8"/>
  <c r="BH48" i="8"/>
  <c r="BG48" i="8"/>
  <c r="BE48" i="8"/>
  <c r="BD48" i="8"/>
  <c r="BC48" i="8"/>
  <c r="BB48" i="8"/>
  <c r="AZ48" i="8"/>
  <c r="AY48" i="8"/>
  <c r="AX48" i="8"/>
  <c r="AW48" i="8"/>
  <c r="AU48" i="8"/>
  <c r="AT48" i="8"/>
  <c r="AS48" i="8"/>
  <c r="AR48" i="8"/>
  <c r="AP48" i="8"/>
  <c r="AO48" i="8"/>
  <c r="AN48" i="8"/>
  <c r="AM48" i="8"/>
  <c r="AK48" i="8"/>
  <c r="AJ48" i="8"/>
  <c r="AI48" i="8"/>
  <c r="AH48" i="8"/>
  <c r="AF48" i="8"/>
  <c r="AE48" i="8"/>
  <c r="AD48" i="8"/>
  <c r="AC48" i="8"/>
  <c r="AA48" i="8"/>
  <c r="Z48" i="8"/>
  <c r="Y48" i="8"/>
  <c r="X48" i="8"/>
  <c r="V48" i="8"/>
  <c r="U48" i="8"/>
  <c r="T48" i="8"/>
  <c r="S48" i="8"/>
  <c r="Q48" i="8"/>
  <c r="P48" i="8"/>
  <c r="O48" i="8"/>
  <c r="N48" i="8"/>
  <c r="L48" i="8"/>
  <c r="K48" i="8"/>
  <c r="ED47" i="8"/>
  <c r="EB47" i="8"/>
  <c r="EA47" i="8"/>
  <c r="DZ47" i="8"/>
  <c r="DY47" i="8"/>
  <c r="DW47" i="8"/>
  <c r="DT47" i="8"/>
  <c r="DR47" i="8"/>
  <c r="DQ47" i="8"/>
  <c r="DP47" i="8"/>
  <c r="DO47" i="8"/>
  <c r="DM47" i="8"/>
  <c r="DL47" i="8"/>
  <c r="DK47" i="8"/>
  <c r="DJ47" i="8"/>
  <c r="DH47" i="8"/>
  <c r="DG47" i="8"/>
  <c r="DF47" i="8"/>
  <c r="DE47" i="8"/>
  <c r="DC47" i="8"/>
  <c r="DB47" i="8"/>
  <c r="DA47" i="8"/>
  <c r="CZ47" i="8"/>
  <c r="CX47" i="8"/>
  <c r="CW47" i="8"/>
  <c r="CV47" i="8"/>
  <c r="CU47" i="8"/>
  <c r="CS47" i="8"/>
  <c r="CR47" i="8"/>
  <c r="CQ47" i="8"/>
  <c r="CP47" i="8"/>
  <c r="CN47" i="8"/>
  <c r="CM47" i="8"/>
  <c r="CL47" i="8"/>
  <c r="CK47" i="8"/>
  <c r="CI47" i="8"/>
  <c r="CH47" i="8"/>
  <c r="CG47" i="8"/>
  <c r="CF47" i="8"/>
  <c r="CD47" i="8"/>
  <c r="CC47" i="8"/>
  <c r="CB47" i="8"/>
  <c r="CA47" i="8"/>
  <c r="BY47" i="8"/>
  <c r="BX47" i="8"/>
  <c r="BW47" i="8"/>
  <c r="BV47" i="8"/>
  <c r="BT47" i="8"/>
  <c r="BS47" i="8"/>
  <c r="BR47" i="8"/>
  <c r="BQ47" i="8"/>
  <c r="BO47" i="8"/>
  <c r="BN47" i="8"/>
  <c r="BM47" i="8"/>
  <c r="BL47" i="8"/>
  <c r="BJ47" i="8"/>
  <c r="BI47" i="8"/>
  <c r="BH47" i="8"/>
  <c r="BG47" i="8"/>
  <c r="BE47" i="8"/>
  <c r="BD47" i="8"/>
  <c r="BC47" i="8"/>
  <c r="BB47" i="8"/>
  <c r="AZ47" i="8"/>
  <c r="AY47" i="8"/>
  <c r="AX47" i="8"/>
  <c r="AW47" i="8"/>
  <c r="AU47" i="8"/>
  <c r="AT47" i="8"/>
  <c r="AS47" i="8"/>
  <c r="AR47" i="8"/>
  <c r="AP47" i="8"/>
  <c r="AO47" i="8"/>
  <c r="AN47" i="8"/>
  <c r="AM47" i="8"/>
  <c r="AK47" i="8"/>
  <c r="AJ47" i="8"/>
  <c r="AI47" i="8"/>
  <c r="AH47" i="8"/>
  <c r="AF47" i="8"/>
  <c r="AE47" i="8"/>
  <c r="AD47" i="8"/>
  <c r="AC47" i="8"/>
  <c r="AA47" i="8"/>
  <c r="Z47" i="8"/>
  <c r="Y47" i="8"/>
  <c r="X47" i="8"/>
  <c r="V47" i="8"/>
  <c r="U47" i="8"/>
  <c r="T47" i="8"/>
  <c r="S47" i="8"/>
  <c r="Q47" i="8"/>
  <c r="P47" i="8"/>
  <c r="O47" i="8"/>
  <c r="N47" i="8"/>
  <c r="L47" i="8"/>
  <c r="K47" i="8"/>
  <c r="EG41" i="8"/>
  <c r="EF41" i="8"/>
  <c r="EG63" i="8" s="1"/>
  <c r="EE41" i="8"/>
  <c r="EF63" i="8" s="1"/>
  <c r="ED41" i="8"/>
  <c r="EE63" i="8" s="1"/>
  <c r="EB41" i="8"/>
  <c r="ED63" i="8" s="1"/>
  <c r="EA41" i="8"/>
  <c r="DZ41" i="8"/>
  <c r="EA63" i="8" s="1"/>
  <c r="DY41" i="8"/>
  <c r="DZ63" i="8" s="1"/>
  <c r="DW41" i="8"/>
  <c r="DX41" i="8" s="1"/>
  <c r="DV41" i="8"/>
  <c r="DW63" i="8" s="1"/>
  <c r="DU41" i="8"/>
  <c r="DV63" i="8" s="1"/>
  <c r="DT41" i="8"/>
  <c r="DU63" i="8" s="1"/>
  <c r="DF41" i="8"/>
  <c r="DG63" i="8" s="1"/>
  <c r="DE41" i="8"/>
  <c r="DF63" i="8" s="1"/>
  <c r="DC41" i="8"/>
  <c r="DE63" i="8" s="1"/>
  <c r="DB41" i="8"/>
  <c r="DC63" i="8" s="1"/>
  <c r="CZ41" i="8"/>
  <c r="DA63" i="8" s="1"/>
  <c r="CX41" i="8"/>
  <c r="CZ63" i="8" s="1"/>
  <c r="CW41" i="8"/>
  <c r="CX63" i="8" s="1"/>
  <c r="CV41" i="8"/>
  <c r="CW63" i="8" s="1"/>
  <c r="CD41" i="8"/>
  <c r="CF63" i="8" s="1"/>
  <c r="BY41" i="8"/>
  <c r="BZ41" i="8" s="1"/>
  <c r="BO41" i="8"/>
  <c r="BP41" i="8" s="1"/>
  <c r="BJ41" i="8"/>
  <c r="BI41" i="8"/>
  <c r="BJ63" i="8" s="1"/>
  <c r="BH41" i="8"/>
  <c r="BG41" i="8"/>
  <c r="BH63" i="8" s="1"/>
  <c r="BE41" i="8"/>
  <c r="BD41" i="8"/>
  <c r="BE63" i="8" s="1"/>
  <c r="BC41" i="8"/>
  <c r="BD63" i="8" s="1"/>
  <c r="BB41" i="8"/>
  <c r="AZ41" i="8"/>
  <c r="BA41" i="8" s="1"/>
  <c r="AY41" i="8"/>
  <c r="AZ63" i="8" s="1"/>
  <c r="AX41" i="8"/>
  <c r="AY63" i="8" s="1"/>
  <c r="AW41" i="8"/>
  <c r="AX63" i="8" s="1"/>
  <c r="AU41" i="8"/>
  <c r="AT41" i="8"/>
  <c r="AU63" i="8" s="1"/>
  <c r="AS41" i="8"/>
  <c r="AT63" i="8" s="1"/>
  <c r="AR41" i="8"/>
  <c r="AS63" i="8" s="1"/>
  <c r="AP41" i="8"/>
  <c r="AO41" i="8"/>
  <c r="AP63" i="8" s="1"/>
  <c r="AN41" i="8"/>
  <c r="AO63" i="8" s="1"/>
  <c r="AM41" i="8"/>
  <c r="AN63" i="8" s="1"/>
  <c r="AK41" i="8"/>
  <c r="AM63" i="8" s="1"/>
  <c r="AJ41" i="8"/>
  <c r="AK63" i="8" s="1"/>
  <c r="AI41" i="8"/>
  <c r="AJ63" i="8" s="1"/>
  <c r="AH41" i="8"/>
  <c r="AI63" i="8" s="1"/>
  <c r="AF41" i="8"/>
  <c r="AG41" i="8" s="1"/>
  <c r="AE41" i="8"/>
  <c r="AF63" i="8" s="1"/>
  <c r="AD41" i="8"/>
  <c r="AE63" i="8" s="1"/>
  <c r="AC41" i="8"/>
  <c r="AA41" i="8"/>
  <c r="Z41" i="8"/>
  <c r="AA63" i="8" s="1"/>
  <c r="Y41" i="8"/>
  <c r="Z63" i="8" s="1"/>
  <c r="X41" i="8"/>
  <c r="Y63" i="8" s="1"/>
  <c r="V41" i="8"/>
  <c r="U41" i="8"/>
  <c r="V63" i="8" s="1"/>
  <c r="T41" i="8"/>
  <c r="U63" i="8" s="1"/>
  <c r="S41" i="8"/>
  <c r="T63" i="8" s="1"/>
  <c r="Q41" i="8"/>
  <c r="P41" i="8"/>
  <c r="O41" i="8"/>
  <c r="N41" i="8"/>
  <c r="L41" i="8"/>
  <c r="M41" i="8" s="1"/>
  <c r="K41" i="8"/>
  <c r="J41" i="8"/>
  <c r="I41" i="8"/>
  <c r="G41" i="8"/>
  <c r="H41" i="8" s="1"/>
  <c r="F41" i="8"/>
  <c r="E41" i="8"/>
  <c r="D41" i="8"/>
  <c r="EC40" i="8"/>
  <c r="EC39" i="8"/>
  <c r="EC37" i="8"/>
  <c r="EC35" i="8"/>
  <c r="EC30" i="8"/>
  <c r="EC29" i="8"/>
  <c r="EC26" i="8"/>
  <c r="EC25" i="8"/>
  <c r="EC24" i="8"/>
  <c r="EC23" i="8"/>
  <c r="DX40" i="8"/>
  <c r="DX39" i="8"/>
  <c r="DX37" i="8"/>
  <c r="DX34" i="8"/>
  <c r="DX32" i="8"/>
  <c r="DX30" i="8"/>
  <c r="DX29" i="8"/>
  <c r="DX27" i="8"/>
  <c r="DX26" i="8"/>
  <c r="DX25" i="8"/>
  <c r="DX24" i="8"/>
  <c r="DX23" i="8"/>
  <c r="DG40" i="8"/>
  <c r="DG67" i="8" s="1"/>
  <c r="DD40" i="8"/>
  <c r="DD39" i="8"/>
  <c r="DD37" i="8"/>
  <c r="DD34" i="8"/>
  <c r="DD33" i="8"/>
  <c r="DD32" i="8"/>
  <c r="DD30" i="8"/>
  <c r="DD29" i="8"/>
  <c r="DD27" i="8"/>
  <c r="DD26" i="8"/>
  <c r="DD25" i="8"/>
  <c r="DD24" i="8"/>
  <c r="DD73" i="8" s="1"/>
  <c r="DD23" i="8"/>
  <c r="DD48" i="8" s="1"/>
  <c r="DA40" i="8"/>
  <c r="DA41" i="8" s="1"/>
  <c r="DB63" i="8" s="1"/>
  <c r="CY40" i="8"/>
  <c r="CY39" i="8"/>
  <c r="CY37" i="8"/>
  <c r="CY35" i="8"/>
  <c r="CY34" i="8"/>
  <c r="CY33" i="8"/>
  <c r="CY32" i="8"/>
  <c r="CY29" i="8"/>
  <c r="CY27" i="8"/>
  <c r="CY26" i="8"/>
  <c r="CY25" i="8"/>
  <c r="CY24" i="8"/>
  <c r="CY23" i="8"/>
  <c r="CY48" i="8" s="1"/>
  <c r="CF40" i="8"/>
  <c r="CF67" i="8" s="1"/>
  <c r="CE40" i="8"/>
  <c r="BZ40" i="8"/>
  <c r="BZ39" i="8"/>
  <c r="BZ37" i="8"/>
  <c r="BZ35" i="8"/>
  <c r="BZ34" i="8"/>
  <c r="BZ32" i="8"/>
  <c r="BZ30" i="8"/>
  <c r="BU40" i="8"/>
  <c r="BU39" i="8"/>
  <c r="BU37" i="8"/>
  <c r="BU35" i="8"/>
  <c r="BU34" i="8"/>
  <c r="BU32" i="8"/>
  <c r="BU30" i="8"/>
  <c r="BP40" i="8"/>
  <c r="BP39" i="8"/>
  <c r="BP37" i="8"/>
  <c r="BP35" i="8"/>
  <c r="BP34" i="8"/>
  <c r="BP32" i="8"/>
  <c r="BP30" i="8"/>
  <c r="BK40" i="8"/>
  <c r="BK39" i="8"/>
  <c r="BK37" i="8"/>
  <c r="BK35" i="8"/>
  <c r="BK34" i="8"/>
  <c r="BK33" i="8"/>
  <c r="BK32" i="8"/>
  <c r="BK30" i="8"/>
  <c r="BF40" i="8"/>
  <c r="BF39" i="8"/>
  <c r="BF37" i="8"/>
  <c r="BF35" i="8"/>
  <c r="BF34" i="8"/>
  <c r="BF33" i="8"/>
  <c r="BF32" i="8"/>
  <c r="BF30" i="8"/>
  <c r="BA40" i="8"/>
  <c r="BA39" i="8"/>
  <c r="BA37" i="8"/>
  <c r="BA35" i="8"/>
  <c r="BA34" i="8"/>
  <c r="BA33" i="8"/>
  <c r="BA32" i="8"/>
  <c r="BA30" i="8"/>
  <c r="AV40" i="8"/>
  <c r="AV39" i="8"/>
  <c r="AV37" i="8"/>
  <c r="AV35" i="8"/>
  <c r="AV34" i="8"/>
  <c r="AV33" i="8"/>
  <c r="AV32" i="8"/>
  <c r="AV30" i="8"/>
  <c r="AQ40" i="8"/>
  <c r="AQ39" i="8"/>
  <c r="AQ37" i="8"/>
  <c r="AQ35" i="8"/>
  <c r="AQ34" i="8"/>
  <c r="AQ33" i="8"/>
  <c r="AQ32" i="8"/>
  <c r="AQ30" i="8"/>
  <c r="AL40" i="8"/>
  <c r="AL39" i="8"/>
  <c r="AL37" i="8"/>
  <c r="AL35" i="8"/>
  <c r="AL34" i="8"/>
  <c r="AL33" i="8"/>
  <c r="AL32" i="8"/>
  <c r="AL30" i="8"/>
  <c r="AG40" i="8"/>
  <c r="AL67" i="8" s="1"/>
  <c r="AG39" i="8"/>
  <c r="AG37" i="8"/>
  <c r="AG35" i="8"/>
  <c r="AG34" i="8"/>
  <c r="AG33" i="8"/>
  <c r="AG32" i="8"/>
  <c r="AG30" i="8"/>
  <c r="AB40" i="8"/>
  <c r="AB39" i="8"/>
  <c r="AB37" i="8"/>
  <c r="AB35" i="8"/>
  <c r="AB34" i="8"/>
  <c r="AB33" i="8"/>
  <c r="AB32" i="8"/>
  <c r="AB30" i="8"/>
  <c r="W40" i="8"/>
  <c r="AB67" i="8" s="1"/>
  <c r="W39" i="8"/>
  <c r="W37" i="8"/>
  <c r="W35" i="8"/>
  <c r="W34" i="8"/>
  <c r="W33" i="8"/>
  <c r="W32" i="8"/>
  <c r="R40" i="8"/>
  <c r="R39" i="8"/>
  <c r="R37" i="8"/>
  <c r="R35" i="8"/>
  <c r="R34" i="8"/>
  <c r="R33" i="8"/>
  <c r="R32" i="8"/>
  <c r="M40" i="8"/>
  <c r="M39" i="8"/>
  <c r="M37" i="8"/>
  <c r="M35" i="8"/>
  <c r="M34" i="8"/>
  <c r="M33" i="8"/>
  <c r="M32" i="8"/>
  <c r="M30" i="8"/>
  <c r="H40" i="8"/>
  <c r="H39" i="8"/>
  <c r="H37" i="8"/>
  <c r="H35" i="8"/>
  <c r="H34" i="8"/>
  <c r="H33" i="8"/>
  <c r="H32" i="8"/>
  <c r="H30" i="8"/>
  <c r="DS39" i="8"/>
  <c r="DS37" i="8"/>
  <c r="DS34" i="8"/>
  <c r="DS32" i="8"/>
  <c r="DS30" i="8"/>
  <c r="DS29" i="8"/>
  <c r="DS27" i="8"/>
  <c r="DS26" i="8"/>
  <c r="DS25" i="8"/>
  <c r="DS24" i="8"/>
  <c r="DS23" i="8"/>
  <c r="DN39" i="8"/>
  <c r="DN37" i="8"/>
  <c r="DN34" i="8"/>
  <c r="DN32" i="8"/>
  <c r="DN30" i="8"/>
  <c r="DN29" i="8"/>
  <c r="DN27" i="8"/>
  <c r="DN26" i="8"/>
  <c r="DN25" i="8"/>
  <c r="DN24" i="8"/>
  <c r="DN23" i="8"/>
  <c r="DI39" i="8"/>
  <c r="DI37" i="8"/>
  <c r="DI35" i="8"/>
  <c r="DI34" i="8"/>
  <c r="DI32" i="8"/>
  <c r="DI30" i="8"/>
  <c r="DI29" i="8"/>
  <c r="DI27" i="8"/>
  <c r="DI26" i="8"/>
  <c r="DI25" i="8"/>
  <c r="DI24" i="8"/>
  <c r="DI23" i="8"/>
  <c r="CT39" i="8"/>
  <c r="CT37" i="8"/>
  <c r="CT35" i="8"/>
  <c r="CT34" i="8"/>
  <c r="CT33" i="8"/>
  <c r="CT32" i="8"/>
  <c r="CT29" i="8"/>
  <c r="CT27" i="8"/>
  <c r="CT26" i="8"/>
  <c r="CT25" i="8"/>
  <c r="CT24" i="8"/>
  <c r="CT23" i="8"/>
  <c r="CT48" i="8" s="1"/>
  <c r="CO39" i="8"/>
  <c r="CO37" i="8"/>
  <c r="CO35" i="8"/>
  <c r="CO34" i="8"/>
  <c r="CO33" i="8"/>
  <c r="CO32" i="8"/>
  <c r="CJ39" i="8"/>
  <c r="CJ37" i="8"/>
  <c r="CJ35" i="8"/>
  <c r="CJ34" i="8"/>
  <c r="CJ33" i="8"/>
  <c r="CJ32" i="8"/>
  <c r="CJ30" i="8"/>
  <c r="CF39" i="8"/>
  <c r="CE39" i="8"/>
  <c r="CC39" i="8"/>
  <c r="CB39" i="8"/>
  <c r="BX39" i="8"/>
  <c r="BW39" i="8"/>
  <c r="BT41" i="8"/>
  <c r="BV63" i="8" s="1"/>
  <c r="BS39" i="8"/>
  <c r="BR39" i="8"/>
  <c r="BQ39" i="8"/>
  <c r="BN39" i="8"/>
  <c r="BM39" i="8"/>
  <c r="BM41" i="8" s="1"/>
  <c r="EH40" i="8"/>
  <c r="EM67" i="8" s="1"/>
  <c r="EH39" i="8"/>
  <c r="EM68" i="8" s="1"/>
  <c r="CE37" i="8"/>
  <c r="CE35" i="8"/>
  <c r="CE34" i="8"/>
  <c r="CE33" i="8"/>
  <c r="CE32" i="8"/>
  <c r="CE30" i="8"/>
  <c r="EW37" i="8"/>
  <c r="EH37" i="8"/>
  <c r="EH35" i="8"/>
  <c r="EH30" i="8"/>
  <c r="EH29" i="8"/>
  <c r="EH26" i="8"/>
  <c r="EH25" i="8"/>
  <c r="EH23" i="8"/>
  <c r="EF35" i="8"/>
  <c r="ED35" i="8"/>
  <c r="DW35" i="8"/>
  <c r="DX35" i="8" s="1"/>
  <c r="DQ35" i="8"/>
  <c r="DR35" i="8" s="1"/>
  <c r="DS35" i="8" s="1"/>
  <c r="DM35" i="8"/>
  <c r="DN35" i="8" s="1"/>
  <c r="DF35" i="8"/>
  <c r="DG35" i="8" s="1"/>
  <c r="DC35" i="8"/>
  <c r="DA35" i="8"/>
  <c r="EF33" i="8"/>
  <c r="EF54" i="8" s="1"/>
  <c r="DZ33" i="8"/>
  <c r="DZ54" i="8" s="1"/>
  <c r="DW33" i="8"/>
  <c r="DW54" i="8" s="1"/>
  <c r="DV33" i="8"/>
  <c r="DV54" i="8" s="1"/>
  <c r="DH33" i="8"/>
  <c r="DH54" i="8" s="1"/>
  <c r="DE33" i="8"/>
  <c r="DE54" i="8" s="1"/>
  <c r="BY33" i="8"/>
  <c r="BY54" i="8" s="1"/>
  <c r="BX33" i="8"/>
  <c r="BX54" i="8" s="1"/>
  <c r="BV33" i="8"/>
  <c r="BV54" i="8" s="1"/>
  <c r="BR33" i="8"/>
  <c r="BR54" i="8" s="1"/>
  <c r="BO33" i="8"/>
  <c r="BO54" i="8" s="1"/>
  <c r="EE31" i="8"/>
  <c r="EE36" i="8" s="1"/>
  <c r="ED31" i="8"/>
  <c r="EB31" i="8"/>
  <c r="EC31" i="8" s="1"/>
  <c r="EA31" i="8"/>
  <c r="EA36" i="8" s="1"/>
  <c r="DW31" i="8"/>
  <c r="DX31" i="8" s="1"/>
  <c r="DV31" i="8"/>
  <c r="DU31" i="8"/>
  <c r="DU36" i="8" s="1"/>
  <c r="DU42" i="8" s="1"/>
  <c r="DT31" i="8"/>
  <c r="DT36" i="8" s="1"/>
  <c r="DR31" i="8"/>
  <c r="DS31" i="8" s="1"/>
  <c r="DQ31" i="8"/>
  <c r="DP31" i="8"/>
  <c r="DP36" i="8" s="1"/>
  <c r="DO31" i="8"/>
  <c r="DO36" i="8" s="1"/>
  <c r="DM31" i="8"/>
  <c r="DN31" i="8" s="1"/>
  <c r="DL31" i="8"/>
  <c r="DL36" i="8" s="1"/>
  <c r="DK31" i="8"/>
  <c r="DK36" i="8" s="1"/>
  <c r="DJ31" i="8"/>
  <c r="DJ36" i="8" s="1"/>
  <c r="DG31" i="8"/>
  <c r="DC31" i="8"/>
  <c r="DD31" i="8" s="1"/>
  <c r="CL31" i="8"/>
  <c r="CL36" i="8" s="1"/>
  <c r="CK31" i="8"/>
  <c r="CK36" i="8" s="1"/>
  <c r="CI31" i="8"/>
  <c r="CI36" i="8" s="1"/>
  <c r="CJ36" i="8" s="1"/>
  <c r="CG31" i="8"/>
  <c r="CG36" i="8" s="1"/>
  <c r="CF31" i="8"/>
  <c r="CF36" i="8" s="1"/>
  <c r="CD31" i="8"/>
  <c r="CD36" i="8" s="1"/>
  <c r="CE36" i="8" s="1"/>
  <c r="CC31" i="8"/>
  <c r="CC36" i="8" s="1"/>
  <c r="CB31" i="8"/>
  <c r="CB36" i="8" s="1"/>
  <c r="CA31" i="8"/>
  <c r="CA36" i="8" s="1"/>
  <c r="BY31" i="8"/>
  <c r="BZ31" i="8" s="1"/>
  <c r="BX31" i="8"/>
  <c r="BX36" i="8" s="1"/>
  <c r="BW31" i="8"/>
  <c r="BW36" i="8" s="1"/>
  <c r="BV31" i="8"/>
  <c r="BT31" i="8"/>
  <c r="BU31" i="8" s="1"/>
  <c r="BS31" i="8"/>
  <c r="BS36" i="8" s="1"/>
  <c r="BR31" i="8"/>
  <c r="BQ31" i="8"/>
  <c r="BQ36" i="8" s="1"/>
  <c r="BO31" i="8"/>
  <c r="BP31" i="8" s="1"/>
  <c r="BN31" i="8"/>
  <c r="BN36" i="8" s="1"/>
  <c r="BM31" i="8"/>
  <c r="BM36" i="8" s="1"/>
  <c r="BL31" i="8"/>
  <c r="BL36" i="8" s="1"/>
  <c r="BJ31" i="8"/>
  <c r="BK31" i="8" s="1"/>
  <c r="BI31" i="8"/>
  <c r="BI36" i="8" s="1"/>
  <c r="BH31" i="8"/>
  <c r="BH36" i="8" s="1"/>
  <c r="BG31" i="8"/>
  <c r="BG36" i="8" s="1"/>
  <c r="BG42" i="8" s="1"/>
  <c r="BE31" i="8"/>
  <c r="BF31" i="8" s="1"/>
  <c r="BD31" i="8"/>
  <c r="BD36" i="8" s="1"/>
  <c r="BC31" i="8"/>
  <c r="BC36" i="8" s="1"/>
  <c r="BB31" i="8"/>
  <c r="BB36" i="8" s="1"/>
  <c r="BB42" i="8" s="1"/>
  <c r="AZ31" i="8"/>
  <c r="BA31" i="8" s="1"/>
  <c r="AY31" i="8"/>
  <c r="AY36" i="8" s="1"/>
  <c r="AX31" i="8"/>
  <c r="AX36" i="8" s="1"/>
  <c r="AW31" i="8"/>
  <c r="AW36" i="8" s="1"/>
  <c r="AW42" i="8" s="1"/>
  <c r="AU31" i="8"/>
  <c r="AV31" i="8" s="1"/>
  <c r="AT31" i="8"/>
  <c r="AT36" i="8" s="1"/>
  <c r="AS31" i="8"/>
  <c r="AS36" i="8" s="1"/>
  <c r="AR31" i="8"/>
  <c r="AR36" i="8" s="1"/>
  <c r="AR42" i="8" s="1"/>
  <c r="AP31" i="8"/>
  <c r="AQ31" i="8" s="1"/>
  <c r="AO31" i="8"/>
  <c r="AO36" i="8" s="1"/>
  <c r="AN31" i="8"/>
  <c r="AN36" i="8" s="1"/>
  <c r="AM31" i="8"/>
  <c r="AM36" i="8" s="1"/>
  <c r="AM42" i="8" s="1"/>
  <c r="AK31" i="8"/>
  <c r="AL31" i="8" s="1"/>
  <c r="AJ31" i="8"/>
  <c r="AJ36" i="8" s="1"/>
  <c r="AI31" i="8"/>
  <c r="AI36" i="8" s="1"/>
  <c r="AH31" i="8"/>
  <c r="AH36" i="8" s="1"/>
  <c r="AH42" i="8" s="1"/>
  <c r="AF31" i="8"/>
  <c r="AG31" i="8" s="1"/>
  <c r="AE31" i="8"/>
  <c r="AE36" i="8" s="1"/>
  <c r="AD31" i="8"/>
  <c r="AD36" i="8" s="1"/>
  <c r="AC31" i="8"/>
  <c r="AC36" i="8" s="1"/>
  <c r="AC42" i="8" s="1"/>
  <c r="AA31" i="8"/>
  <c r="AB31" i="8" s="1"/>
  <c r="Z31" i="8"/>
  <c r="Z36" i="8" s="1"/>
  <c r="Y31" i="8"/>
  <c r="Y36" i="8" s="1"/>
  <c r="X31" i="8"/>
  <c r="X36" i="8" s="1"/>
  <c r="X42" i="8" s="1"/>
  <c r="P31" i="8"/>
  <c r="P36" i="8" s="1"/>
  <c r="O31" i="8"/>
  <c r="O36" i="8" s="1"/>
  <c r="N31" i="8"/>
  <c r="N36" i="8" s="1"/>
  <c r="L31" i="8"/>
  <c r="M31" i="8" s="1"/>
  <c r="K31" i="8"/>
  <c r="K36" i="8" s="1"/>
  <c r="J31" i="8"/>
  <c r="J36" i="8" s="1"/>
  <c r="I31" i="8"/>
  <c r="I36" i="8" s="1"/>
  <c r="G31" i="8"/>
  <c r="F31" i="8"/>
  <c r="F36" i="8" s="1"/>
  <c r="E31" i="8"/>
  <c r="E36" i="8" s="1"/>
  <c r="D31" i="8"/>
  <c r="D36" i="8" s="1"/>
  <c r="DE30" i="8"/>
  <c r="DE53" i="8" s="1"/>
  <c r="DB30" i="8"/>
  <c r="DB53" i="8" s="1"/>
  <c r="CZ30" i="8"/>
  <c r="CZ53" i="8" s="1"/>
  <c r="CX30" i="8"/>
  <c r="CX53" i="8" s="1"/>
  <c r="CW30" i="8"/>
  <c r="CW53" i="8" s="1"/>
  <c r="CV30" i="8"/>
  <c r="CV53" i="8" s="1"/>
  <c r="CU30" i="8"/>
  <c r="CU53" i="8" s="1"/>
  <c r="CS30" i="8"/>
  <c r="CS53" i="8" s="1"/>
  <c r="CR30" i="8"/>
  <c r="CR53" i="8" s="1"/>
  <c r="CQ30" i="8"/>
  <c r="CQ53" i="8" s="1"/>
  <c r="CP30" i="8"/>
  <c r="CP53" i="8" s="1"/>
  <c r="CM30" i="8"/>
  <c r="CM53" i="8" s="1"/>
  <c r="V31" i="8"/>
  <c r="W31" i="8" s="1"/>
  <c r="U30" i="8"/>
  <c r="U53" i="8" s="1"/>
  <c r="S30" i="8"/>
  <c r="S53" i="8" s="1"/>
  <c r="CJ27" i="8"/>
  <c r="CJ26" i="8"/>
  <c r="CJ25" i="8"/>
  <c r="CE27" i="8"/>
  <c r="CE26" i="8"/>
  <c r="CE25" i="8"/>
  <c r="BZ27" i="8"/>
  <c r="BZ26" i="8"/>
  <c r="BZ25" i="8"/>
  <c r="BU27" i="8"/>
  <c r="BU26" i="8"/>
  <c r="BU25" i="8"/>
  <c r="BP27" i="8"/>
  <c r="BP26" i="8"/>
  <c r="BP25" i="8"/>
  <c r="BK27" i="8"/>
  <c r="BK26" i="8"/>
  <c r="BK25" i="8"/>
  <c r="BF27" i="8"/>
  <c r="BF26" i="8"/>
  <c r="BF25" i="8"/>
  <c r="BA27" i="8"/>
  <c r="BA26" i="8"/>
  <c r="BA25" i="8"/>
  <c r="AV27" i="8"/>
  <c r="AV26" i="8"/>
  <c r="AV25" i="8"/>
  <c r="AQ27" i="8"/>
  <c r="AQ26" i="8"/>
  <c r="AQ25" i="8"/>
  <c r="AL27" i="8"/>
  <c r="AL26" i="8"/>
  <c r="AL25" i="8"/>
  <c r="AG27" i="8"/>
  <c r="AG26" i="8"/>
  <c r="AG25" i="8"/>
  <c r="AB27" i="8"/>
  <c r="AB26" i="8"/>
  <c r="AB25" i="8"/>
  <c r="W27" i="8"/>
  <c r="W26" i="8"/>
  <c r="W25" i="8"/>
  <c r="R27" i="8"/>
  <c r="R26" i="8"/>
  <c r="R25" i="8"/>
  <c r="M27" i="8"/>
  <c r="M26" i="8"/>
  <c r="M25" i="8"/>
  <c r="H27" i="8"/>
  <c r="H26" i="8"/>
  <c r="H25" i="8"/>
  <c r="CO27" i="8"/>
  <c r="CO26" i="8"/>
  <c r="CO25" i="8"/>
  <c r="EF24" i="8"/>
  <c r="EF73" i="8" s="1"/>
  <c r="EF75" i="8" s="1"/>
  <c r="DZ24" i="8"/>
  <c r="DZ73" i="8" s="1"/>
  <c r="EA76" i="8" s="1"/>
  <c r="DY24" i="8"/>
  <c r="DY73" i="8" s="1"/>
  <c r="DY31" i="8"/>
  <c r="CO23" i="8"/>
  <c r="CO48" i="8" s="1"/>
  <c r="CJ23" i="8"/>
  <c r="CJ48" i="8" s="1"/>
  <c r="CJ22" i="8"/>
  <c r="CJ20" i="8"/>
  <c r="CJ19" i="8"/>
  <c r="CJ17" i="8"/>
  <c r="CJ16" i="8"/>
  <c r="CJ15" i="8"/>
  <c r="CJ13" i="8"/>
  <c r="CJ12" i="8"/>
  <c r="CJ11" i="8"/>
  <c r="CJ47" i="8" s="1"/>
  <c r="CJ10" i="8"/>
  <c r="CJ9" i="8"/>
  <c r="CE23" i="8"/>
  <c r="CE48" i="8" s="1"/>
  <c r="CE22" i="8"/>
  <c r="CE20" i="8"/>
  <c r="CE19" i="8"/>
  <c r="CE17" i="8"/>
  <c r="CE16" i="8"/>
  <c r="CE15" i="8"/>
  <c r="CE13" i="8"/>
  <c r="CE12" i="8"/>
  <c r="CE11" i="8"/>
  <c r="CE47" i="8" s="1"/>
  <c r="CE10" i="8"/>
  <c r="BZ23" i="8"/>
  <c r="BZ48" i="8" s="1"/>
  <c r="BZ22" i="8"/>
  <c r="BZ20" i="8"/>
  <c r="BZ19" i="8"/>
  <c r="BZ17" i="8"/>
  <c r="BZ16" i="8"/>
  <c r="BZ15" i="8"/>
  <c r="BZ13" i="8"/>
  <c r="BZ12" i="8"/>
  <c r="BZ11" i="8"/>
  <c r="BZ47" i="8" s="1"/>
  <c r="BZ10" i="8"/>
  <c r="BU23" i="8"/>
  <c r="BU48" i="8" s="1"/>
  <c r="BU22" i="8"/>
  <c r="BU20" i="8"/>
  <c r="BU19" i="8"/>
  <c r="BU17" i="8"/>
  <c r="BU16" i="8"/>
  <c r="BU15" i="8"/>
  <c r="BU13" i="8"/>
  <c r="BU12" i="8"/>
  <c r="BU11" i="8"/>
  <c r="BU47" i="8" s="1"/>
  <c r="BU10" i="8"/>
  <c r="BP23" i="8"/>
  <c r="BP48" i="8" s="1"/>
  <c r="BP22" i="8"/>
  <c r="BP20" i="8"/>
  <c r="BP19" i="8"/>
  <c r="BP17" i="8"/>
  <c r="BP16" i="8"/>
  <c r="BP15" i="8"/>
  <c r="BP13" i="8"/>
  <c r="BP12" i="8"/>
  <c r="BP11" i="8"/>
  <c r="BP47" i="8" s="1"/>
  <c r="BP10" i="8"/>
  <c r="BP9" i="8"/>
  <c r="BK23" i="8"/>
  <c r="BK48" i="8" s="1"/>
  <c r="BK22" i="8"/>
  <c r="BK20" i="8"/>
  <c r="BK19" i="8"/>
  <c r="BK17" i="8"/>
  <c r="BK16" i="8"/>
  <c r="BK15" i="8"/>
  <c r="BK13" i="8"/>
  <c r="BK12" i="8"/>
  <c r="BK11" i="8"/>
  <c r="BK47" i="8" s="1"/>
  <c r="BK10" i="8"/>
  <c r="BK9" i="8"/>
  <c r="BF23" i="8"/>
  <c r="BF48" i="8" s="1"/>
  <c r="BF22" i="8"/>
  <c r="BF20" i="8"/>
  <c r="BF19" i="8"/>
  <c r="BF17" i="8"/>
  <c r="BF16" i="8"/>
  <c r="BF15" i="8"/>
  <c r="BF13" i="8"/>
  <c r="BF12" i="8"/>
  <c r="BF11" i="8"/>
  <c r="BF47" i="8" s="1"/>
  <c r="BF10" i="8"/>
  <c r="BF9" i="8"/>
  <c r="BA23" i="8"/>
  <c r="BA48" i="8" s="1"/>
  <c r="BA22" i="8"/>
  <c r="BA20" i="8"/>
  <c r="BA19" i="8"/>
  <c r="BA17" i="8"/>
  <c r="BA16" i="8"/>
  <c r="BA15" i="8"/>
  <c r="BA13" i="8"/>
  <c r="BA12" i="8"/>
  <c r="BA11" i="8"/>
  <c r="BA47" i="8" s="1"/>
  <c r="BA10" i="8"/>
  <c r="BA9" i="8"/>
  <c r="AV23" i="8"/>
  <c r="AV48" i="8" s="1"/>
  <c r="AV22" i="8"/>
  <c r="AV20" i="8"/>
  <c r="AV19" i="8"/>
  <c r="AV17" i="8"/>
  <c r="AV16" i="8"/>
  <c r="AV15" i="8"/>
  <c r="AV13" i="8"/>
  <c r="AV12" i="8"/>
  <c r="AV11" i="8"/>
  <c r="AV47" i="8" s="1"/>
  <c r="AV10" i="8"/>
  <c r="AV9" i="8"/>
  <c r="AQ23" i="8"/>
  <c r="AQ48" i="8" s="1"/>
  <c r="AQ22" i="8"/>
  <c r="AQ20" i="8"/>
  <c r="AQ19" i="8"/>
  <c r="AQ17" i="8"/>
  <c r="AQ16" i="8"/>
  <c r="AQ15" i="8"/>
  <c r="AQ13" i="8"/>
  <c r="AQ12" i="8"/>
  <c r="AQ11" i="8"/>
  <c r="AQ47" i="8" s="1"/>
  <c r="AQ10" i="8"/>
  <c r="AQ9" i="8"/>
  <c r="AL23" i="8"/>
  <c r="AL48" i="8" s="1"/>
  <c r="AL22" i="8"/>
  <c r="AL20" i="8"/>
  <c r="AL19" i="8"/>
  <c r="AL17" i="8"/>
  <c r="AL16" i="8"/>
  <c r="AL15" i="8"/>
  <c r="AL13" i="8"/>
  <c r="AL12" i="8"/>
  <c r="AL11" i="8"/>
  <c r="AL47" i="8" s="1"/>
  <c r="AL10" i="8"/>
  <c r="AL9" i="8"/>
  <c r="AG23" i="8"/>
  <c r="AG48" i="8" s="1"/>
  <c r="AG22" i="8"/>
  <c r="AG20" i="8"/>
  <c r="AG19" i="8"/>
  <c r="AG17" i="8"/>
  <c r="AG16" i="8"/>
  <c r="AG15" i="8"/>
  <c r="AG13" i="8"/>
  <c r="AG12" i="8"/>
  <c r="AG11" i="8"/>
  <c r="AG47" i="8" s="1"/>
  <c r="AG10" i="8"/>
  <c r="AG9" i="8"/>
  <c r="AB23" i="8"/>
  <c r="AB48" i="8" s="1"/>
  <c r="AB22" i="8"/>
  <c r="AB20" i="8"/>
  <c r="AB19" i="8"/>
  <c r="AB17" i="8"/>
  <c r="AB16" i="8"/>
  <c r="AB15" i="8"/>
  <c r="AB13" i="8"/>
  <c r="AB12" i="8"/>
  <c r="AB11" i="8"/>
  <c r="AB47" i="8" s="1"/>
  <c r="AB10" i="8"/>
  <c r="AB9" i="8"/>
  <c r="W23" i="8"/>
  <c r="W48" i="8" s="1"/>
  <c r="W22" i="8"/>
  <c r="W20" i="8"/>
  <c r="W19" i="8"/>
  <c r="W17" i="8"/>
  <c r="W16" i="8"/>
  <c r="W15" i="8"/>
  <c r="W13" i="8"/>
  <c r="W12" i="8"/>
  <c r="W11" i="8"/>
  <c r="W47" i="8" s="1"/>
  <c r="W10" i="8"/>
  <c r="R23" i="8"/>
  <c r="R48" i="8" s="1"/>
  <c r="R22" i="8"/>
  <c r="R20" i="8"/>
  <c r="R19" i="8"/>
  <c r="R17" i="8"/>
  <c r="R16" i="8"/>
  <c r="R15" i="8"/>
  <c r="R13" i="8"/>
  <c r="R12" i="8"/>
  <c r="R11" i="8"/>
  <c r="R47" i="8" s="1"/>
  <c r="R10" i="8"/>
  <c r="M23" i="8"/>
  <c r="M48" i="8" s="1"/>
  <c r="M22" i="8"/>
  <c r="M20" i="8"/>
  <c r="M19" i="8"/>
  <c r="M17" i="8"/>
  <c r="M16" i="8"/>
  <c r="M15" i="8"/>
  <c r="M13" i="8"/>
  <c r="M12" i="8"/>
  <c r="M11" i="8"/>
  <c r="M47" i="8" s="1"/>
  <c r="M10" i="8"/>
  <c r="M9" i="8"/>
  <c r="H23" i="8"/>
  <c r="H22" i="8"/>
  <c r="H20" i="8"/>
  <c r="H19" i="8"/>
  <c r="H17" i="8"/>
  <c r="H16" i="8"/>
  <c r="H15" i="8"/>
  <c r="H13" i="8"/>
  <c r="H12" i="8"/>
  <c r="H11" i="8"/>
  <c r="H10" i="8"/>
  <c r="H9" i="8"/>
  <c r="EC20" i="8"/>
  <c r="EC19" i="8"/>
  <c r="EC17" i="8"/>
  <c r="EC15" i="8"/>
  <c r="EC13" i="8"/>
  <c r="EC12" i="8"/>
  <c r="EC11" i="8"/>
  <c r="EC47" i="8" s="1"/>
  <c r="EC10" i="8"/>
  <c r="DX20" i="8"/>
  <c r="DX19" i="8"/>
  <c r="DX17" i="8"/>
  <c r="DX16" i="8"/>
  <c r="DX15" i="8"/>
  <c r="DX13" i="8"/>
  <c r="DX12" i="8"/>
  <c r="DX11" i="8"/>
  <c r="DX10" i="8"/>
  <c r="DS20" i="8"/>
  <c r="DS19" i="8"/>
  <c r="DS17" i="8"/>
  <c r="DS16" i="8"/>
  <c r="DS15" i="8"/>
  <c r="DS13" i="8"/>
  <c r="DS12" i="8"/>
  <c r="DS11" i="8"/>
  <c r="DS47" i="8" s="1"/>
  <c r="DS10" i="8"/>
  <c r="DS9" i="8"/>
  <c r="DQ20" i="8"/>
  <c r="DQ50" i="8" s="1"/>
  <c r="DN20" i="8"/>
  <c r="DN19" i="8"/>
  <c r="DN17" i="8"/>
  <c r="DN16" i="8"/>
  <c r="DN15" i="8"/>
  <c r="DN13" i="8"/>
  <c r="DN12" i="8"/>
  <c r="DN11" i="8"/>
  <c r="DN47" i="8" s="1"/>
  <c r="DN10" i="8"/>
  <c r="DN9" i="8"/>
  <c r="DO81" i="8" s="1"/>
  <c r="DI20" i="8"/>
  <c r="DI17" i="8"/>
  <c r="DI16" i="8"/>
  <c r="DI15" i="8"/>
  <c r="DI13" i="8"/>
  <c r="DI12" i="8"/>
  <c r="DI11" i="8"/>
  <c r="DI47" i="8" s="1"/>
  <c r="DI10" i="8"/>
  <c r="DI9" i="8"/>
  <c r="DJ81" i="8" s="1"/>
  <c r="DD20" i="8"/>
  <c r="DD19" i="8"/>
  <c r="DD17" i="8"/>
  <c r="DD16" i="8"/>
  <c r="DD15" i="8"/>
  <c r="DD13" i="8"/>
  <c r="DD12" i="8"/>
  <c r="DD11" i="8"/>
  <c r="DD47" i="8" s="1"/>
  <c r="DD10" i="8"/>
  <c r="DD9" i="8"/>
  <c r="DE81" i="8" s="1"/>
  <c r="CY20" i="8"/>
  <c r="CY19" i="8"/>
  <c r="CY17" i="8"/>
  <c r="CY16" i="8"/>
  <c r="CY15" i="8"/>
  <c r="CY13" i="8"/>
  <c r="CY12" i="8"/>
  <c r="CY11" i="8"/>
  <c r="CY47" i="8" s="1"/>
  <c r="CY10" i="8"/>
  <c r="CY9" i="8"/>
  <c r="CT20" i="8"/>
  <c r="CT19" i="8"/>
  <c r="CT17" i="8"/>
  <c r="CT16" i="8"/>
  <c r="CT15" i="8"/>
  <c r="CT13" i="8"/>
  <c r="CT12" i="8"/>
  <c r="CT11" i="8"/>
  <c r="CT47" i="8" s="1"/>
  <c r="CT10" i="8"/>
  <c r="CT9" i="8"/>
  <c r="CO20" i="8"/>
  <c r="CO19" i="8"/>
  <c r="CO17" i="8"/>
  <c r="CO16" i="8"/>
  <c r="CO15" i="8"/>
  <c r="CO13" i="8"/>
  <c r="CO12" i="8"/>
  <c r="CO11" i="8"/>
  <c r="CO47" i="8" s="1"/>
  <c r="CO10" i="8"/>
  <c r="CO9" i="8"/>
  <c r="DH19" i="8"/>
  <c r="DI19" i="8" s="1"/>
  <c r="EH14" i="8"/>
  <c r="EF21" i="8"/>
  <c r="EE21" i="8"/>
  <c r="ED21" i="8"/>
  <c r="EC14" i="8"/>
  <c r="EA21" i="8"/>
  <c r="DZ21" i="8"/>
  <c r="DY21" i="8"/>
  <c r="DV21" i="8"/>
  <c r="DU21" i="8"/>
  <c r="DT21" i="8"/>
  <c r="DQ21" i="8"/>
  <c r="DP21" i="8"/>
  <c r="DO21" i="8"/>
  <c r="DL21" i="8"/>
  <c r="DK21" i="8"/>
  <c r="DJ21" i="8"/>
  <c r="DG21" i="8"/>
  <c r="DF21" i="8"/>
  <c r="DE21" i="8"/>
  <c r="DB21" i="8"/>
  <c r="DA21" i="8"/>
  <c r="CZ21" i="8"/>
  <c r="CW21" i="8"/>
  <c r="CV21" i="8"/>
  <c r="CU21" i="8"/>
  <c r="CT14" i="8"/>
  <c r="CR21" i="8"/>
  <c r="CQ21" i="8"/>
  <c r="CP21" i="8"/>
  <c r="CO14" i="8"/>
  <c r="CM21" i="8"/>
  <c r="CL21" i="8"/>
  <c r="CK21" i="8"/>
  <c r="CJ14" i="8"/>
  <c r="CH21" i="8"/>
  <c r="BS21" i="8"/>
  <c r="BR21" i="8"/>
  <c r="BQ21" i="8"/>
  <c r="BN21" i="8"/>
  <c r="BM21" i="8"/>
  <c r="BL21" i="8"/>
  <c r="BI21" i="8"/>
  <c r="BH21" i="8"/>
  <c r="BG21" i="8"/>
  <c r="BD21" i="8"/>
  <c r="BC21" i="8"/>
  <c r="BB21" i="8"/>
  <c r="BA14" i="8"/>
  <c r="AY21" i="8"/>
  <c r="AX21" i="8"/>
  <c r="AW21" i="8"/>
  <c r="AT21" i="8"/>
  <c r="AS21" i="8"/>
  <c r="AR21" i="8"/>
  <c r="AO21" i="8"/>
  <c r="AN21" i="8"/>
  <c r="AM21" i="8"/>
  <c r="AJ21" i="8"/>
  <c r="AI21" i="8"/>
  <c r="AH21" i="8"/>
  <c r="AG14" i="8"/>
  <c r="AE21" i="8"/>
  <c r="AD21" i="8"/>
  <c r="AC21" i="8"/>
  <c r="AB14" i="8"/>
  <c r="P21" i="8"/>
  <c r="O21" i="8"/>
  <c r="N21" i="8"/>
  <c r="M14" i="8"/>
  <c r="K21" i="8"/>
  <c r="J21" i="8"/>
  <c r="I21" i="8"/>
  <c r="H14" i="8"/>
  <c r="F21" i="8"/>
  <c r="E21" i="8"/>
  <c r="D21" i="8"/>
  <c r="BT9" i="8"/>
  <c r="BU9" i="8" s="1"/>
  <c r="BT8" i="8"/>
  <c r="BT6" i="8"/>
  <c r="Y21" i="8"/>
  <c r="X21" i="8"/>
  <c r="EH20" i="8"/>
  <c r="EH19" i="8"/>
  <c r="EH17" i="8"/>
  <c r="EH15" i="8"/>
  <c r="EH13" i="8"/>
  <c r="EH12" i="8"/>
  <c r="EH48" i="8" s="1"/>
  <c r="EH11" i="8"/>
  <c r="EH47" i="8" s="1"/>
  <c r="EH10" i="8"/>
  <c r="CF9" i="8"/>
  <c r="CF8" i="8"/>
  <c r="CE9" i="8"/>
  <c r="CC9" i="8"/>
  <c r="CD8" i="8"/>
  <c r="CB8" i="8"/>
  <c r="BY9" i="8"/>
  <c r="BZ9" i="8" s="1"/>
  <c r="BV9" i="8"/>
  <c r="BV14" i="8" s="1"/>
  <c r="BV21" i="8" s="1"/>
  <c r="BX8" i="8"/>
  <c r="BW8" i="8"/>
  <c r="EW6" i="8"/>
  <c r="EV6" i="8"/>
  <c r="EU6" i="8"/>
  <c r="ET6" i="8"/>
  <c r="ES6" i="8"/>
  <c r="ER6" i="8"/>
  <c r="EQ6" i="8"/>
  <c r="EP6" i="8"/>
  <c r="EO6" i="8"/>
  <c r="EN6" i="8"/>
  <c r="EM6" i="8"/>
  <c r="EL6" i="8"/>
  <c r="EK6" i="8"/>
  <c r="EJ6" i="8"/>
  <c r="EI6" i="8"/>
  <c r="EH6" i="8"/>
  <c r="EG6" i="8"/>
  <c r="EF6" i="8"/>
  <c r="EE6" i="8"/>
  <c r="ED6" i="8"/>
  <c r="EC6" i="8"/>
  <c r="EB6" i="8"/>
  <c r="EA6" i="8"/>
  <c r="DZ6" i="8"/>
  <c r="DY6" i="8"/>
  <c r="DX6" i="8"/>
  <c r="DW6" i="8"/>
  <c r="DV6" i="8"/>
  <c r="DU6" i="8"/>
  <c r="DT6" i="8"/>
  <c r="DS6" i="8"/>
  <c r="DR6" i="8"/>
  <c r="DQ6" i="8"/>
  <c r="DP6" i="8"/>
  <c r="DO6" i="8"/>
  <c r="DN6" i="8"/>
  <c r="DM6" i="8"/>
  <c r="DL6" i="8"/>
  <c r="DK6" i="8"/>
  <c r="DJ6" i="8"/>
  <c r="DI6" i="8"/>
  <c r="DH6" i="8"/>
  <c r="DG6" i="8"/>
  <c r="DF6" i="8"/>
  <c r="DE6" i="8"/>
  <c r="DD6" i="8"/>
  <c r="DC6" i="8"/>
  <c r="DB6" i="8"/>
  <c r="DA6" i="8"/>
  <c r="CZ6" i="8"/>
  <c r="CY6" i="8"/>
  <c r="CX6" i="8"/>
  <c r="CW6" i="8"/>
  <c r="CV6" i="8"/>
  <c r="CU6" i="8"/>
  <c r="CT6" i="8"/>
  <c r="CS6" i="8"/>
  <c r="CR6" i="8"/>
  <c r="CQ6" i="8"/>
  <c r="CP6" i="8"/>
  <c r="CO6" i="8"/>
  <c r="CN6" i="8"/>
  <c r="CM6" i="8"/>
  <c r="CL6" i="8"/>
  <c r="CK6" i="8"/>
  <c r="CJ6" i="8"/>
  <c r="CI6" i="8"/>
  <c r="CH6" i="8"/>
  <c r="CG6" i="8"/>
  <c r="CF6" i="8"/>
  <c r="CE6" i="8"/>
  <c r="CD6" i="8"/>
  <c r="CC6" i="8"/>
  <c r="CB6" i="8"/>
  <c r="CA6" i="8"/>
  <c r="BZ6" i="8"/>
  <c r="BY6" i="8"/>
  <c r="BX6" i="8"/>
  <c r="BW6" i="8"/>
  <c r="BV6" i="8"/>
  <c r="BU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G6" i="8"/>
  <c r="F6" i="8"/>
  <c r="E6" i="8"/>
  <c r="D6" i="8"/>
  <c r="A2" i="8"/>
  <c r="AV225" i="172"/>
  <c r="BF225" i="172"/>
  <c r="AL273" i="172"/>
  <c r="AL225" i="172"/>
  <c r="AV245" i="172"/>
  <c r="BF245" i="172"/>
  <c r="AV211" i="172"/>
  <c r="BF211" i="172"/>
  <c r="BF254" i="172"/>
  <c r="Y8" i="171"/>
  <c r="AY273" i="172"/>
  <c r="D36" i="141"/>
  <c r="E36" i="141"/>
  <c r="B36" i="141"/>
  <c r="BA292" i="172"/>
  <c r="EA136" i="135"/>
  <c r="DB38" i="135"/>
  <c r="EA22" i="135"/>
  <c r="DT14" i="135"/>
  <c r="CT7" i="171"/>
  <c r="AJ292" i="172"/>
  <c r="EA12" i="135"/>
  <c r="DF38" i="135"/>
  <c r="DM173" i="135"/>
  <c r="DG37" i="135"/>
  <c r="DJ37" i="135"/>
  <c r="DR171" i="135"/>
  <c r="DR37" i="135"/>
  <c r="DO37" i="135"/>
  <c r="DB37" i="135"/>
  <c r="DK38" i="135"/>
  <c r="DG38" i="135"/>
  <c r="CN27" i="9"/>
  <c r="CI43" i="12"/>
  <c r="CI46" i="12" s="1"/>
  <c r="CI48" i="12" s="1"/>
  <c r="CI49" i="12" s="1"/>
  <c r="AZ36" i="8"/>
  <c r="BN409" i="172"/>
  <c r="AX409" i="172"/>
  <c r="BP475" i="172"/>
  <c r="DU131" i="135"/>
  <c r="BT74" i="172"/>
  <c r="AT101" i="175"/>
  <c r="BC266" i="172"/>
  <c r="BH292" i="172"/>
  <c r="BF292" i="172"/>
  <c r="AY234" i="175"/>
  <c r="BC409" i="172"/>
  <c r="CD15" i="171"/>
  <c r="CE23" i="171"/>
  <c r="X8" i="171"/>
  <c r="CC20" i="171"/>
  <c r="CB20" i="171"/>
  <c r="L244" i="172"/>
  <c r="L344" i="172"/>
  <c r="AS292" i="172"/>
  <c r="AX292" i="172"/>
  <c r="BC292" i="172"/>
  <c r="Z294" i="172"/>
  <c r="G336" i="172"/>
  <c r="BH294" i="172"/>
  <c r="AL292" i="172"/>
  <c r="BW178" i="175"/>
  <c r="CY35" i="123"/>
  <c r="CY34" i="123"/>
  <c r="CY30" i="123"/>
  <c r="DD26" i="123"/>
  <c r="CY33" i="123"/>
  <c r="EG51" i="123"/>
  <c r="EH51" i="123"/>
  <c r="CL35" i="123"/>
  <c r="CL33" i="123"/>
  <c r="CL34" i="123"/>
  <c r="CL30" i="123"/>
  <c r="CM26" i="123"/>
  <c r="DV16" i="123"/>
  <c r="DU16" i="123"/>
  <c r="CG47" i="123"/>
  <c r="CG42" i="123"/>
  <c r="CH38" i="123"/>
  <c r="CG46" i="123"/>
  <c r="CG45" i="123"/>
  <c r="CY47" i="123"/>
  <c r="CY42" i="123"/>
  <c r="DD38" i="123"/>
  <c r="CY46" i="123"/>
  <c r="CY45" i="123"/>
  <c r="DW16" i="123"/>
  <c r="DS16" i="123"/>
  <c r="CT22" i="123"/>
  <c r="CT21" i="123"/>
  <c r="CT14" i="123"/>
  <c r="CY10" i="123"/>
  <c r="CT23" i="123"/>
  <c r="DN17" i="123"/>
  <c r="CP35" i="123"/>
  <c r="CP33" i="123"/>
  <c r="CP34" i="123"/>
  <c r="CP30" i="123"/>
  <c r="CQ26" i="123"/>
  <c r="DO16" i="123"/>
  <c r="CC14" i="123"/>
  <c r="CD10" i="123"/>
  <c r="CC21" i="123"/>
  <c r="CC22" i="123"/>
  <c r="CC23" i="123"/>
  <c r="EI16" i="135"/>
  <c r="EI18" i="135" s="1"/>
  <c r="EG59" i="135"/>
  <c r="DP37" i="135"/>
  <c r="DV158" i="135"/>
  <c r="DV22" i="135"/>
  <c r="DV23" i="135" s="1"/>
  <c r="DZ158" i="135"/>
  <c r="EA27" i="135"/>
  <c r="EF27" i="135"/>
  <c r="CZ37" i="135"/>
  <c r="DH37" i="135"/>
  <c r="DL38" i="135"/>
  <c r="DL37" i="135"/>
  <c r="DQ37" i="135"/>
  <c r="DQ38" i="135"/>
  <c r="DU36" i="135"/>
  <c r="DC37" i="135"/>
  <c r="DK37" i="135"/>
  <c r="DA38" i="135"/>
  <c r="DV29" i="135"/>
  <c r="DA37" i="135"/>
  <c r="DE37" i="135"/>
  <c r="DM37" i="135"/>
  <c r="DF37" i="135"/>
  <c r="EF158" i="135"/>
  <c r="EF59" i="135"/>
  <c r="DP38" i="135"/>
  <c r="DE48" i="135"/>
  <c r="EE158" i="135"/>
  <c r="EE48" i="135"/>
  <c r="DW175" i="135"/>
  <c r="DX175" i="135" s="1"/>
  <c r="DS173" i="135"/>
  <c r="DQ169" i="135"/>
  <c r="DY167" i="135"/>
  <c r="DY166" i="135"/>
  <c r="T255" i="175"/>
  <c r="T263" i="175" s="1"/>
  <c r="AM396" i="175"/>
  <c r="AB255" i="175"/>
  <c r="Y11" i="171"/>
  <c r="CB7" i="171"/>
  <c r="CC6" i="171"/>
  <c r="CC7" i="171" s="1"/>
  <c r="V8" i="171"/>
  <c r="V11" i="171"/>
  <c r="W8" i="171"/>
  <c r="CD20" i="171"/>
  <c r="H12" i="171"/>
  <c r="D255" i="175"/>
  <c r="D263" i="175" s="1"/>
  <c r="H255" i="175"/>
  <c r="H263" i="175" s="1"/>
  <c r="L255" i="175"/>
  <c r="L263" i="175" s="1"/>
  <c r="AD255" i="175"/>
  <c r="AD263" i="175" s="1"/>
  <c r="B255" i="175"/>
  <c r="J255" i="175"/>
  <c r="J263" i="175" s="1"/>
  <c r="J433" i="175" s="1"/>
  <c r="N255" i="175"/>
  <c r="N263" i="175" s="1"/>
  <c r="R255" i="175"/>
  <c r="R263" i="175" s="1"/>
  <c r="W255" i="175"/>
  <c r="W263" i="175" s="1"/>
  <c r="AA255" i="175"/>
  <c r="AI255" i="175"/>
  <c r="AI261" i="175"/>
  <c r="C255" i="175"/>
  <c r="C263" i="175" s="1"/>
  <c r="G255" i="175"/>
  <c r="G263" i="175" s="1"/>
  <c r="G433" i="175" s="1"/>
  <c r="O255" i="175"/>
  <c r="S255" i="175"/>
  <c r="S263" i="175" s="1"/>
  <c r="S433" i="175" s="1"/>
  <c r="X255" i="175"/>
  <c r="X263" i="175" s="1"/>
  <c r="E255" i="175"/>
  <c r="I255" i="175"/>
  <c r="I263" i="175" s="1"/>
  <c r="I433" i="175" s="1"/>
  <c r="M255" i="175"/>
  <c r="M263" i="175" s="1"/>
  <c r="Q255" i="175"/>
  <c r="AC255" i="175"/>
  <c r="AC263" i="175" s="1"/>
  <c r="AU302" i="175"/>
  <c r="BK194" i="172"/>
  <c r="BM138" i="172"/>
  <c r="AE246" i="172"/>
  <c r="AJ233" i="172"/>
  <c r="AJ241" i="172"/>
  <c r="AH251" i="172"/>
  <c r="M269" i="172"/>
  <c r="AK239" i="172"/>
  <c r="AL241" i="172"/>
  <c r="AL236" i="172" s="1"/>
  <c r="AL240" i="172"/>
  <c r="AI246" i="172"/>
  <c r="AV251" i="172"/>
  <c r="AV248" i="172"/>
  <c r="AZ250" i="172"/>
  <c r="AZ251" i="172" s="1"/>
  <c r="BH265" i="172"/>
  <c r="BN264" i="172"/>
  <c r="R274" i="172"/>
  <c r="K258" i="172"/>
  <c r="R275" i="172"/>
  <c r="BZ12" i="9"/>
  <c r="DJ16" i="9"/>
  <c r="CC27" i="9"/>
  <c r="AK9" i="9"/>
  <c r="AL9" i="9" s="1"/>
  <c r="AP11" i="9"/>
  <c r="AQ11" i="9" s="1"/>
  <c r="BE10" i="9"/>
  <c r="FO10" i="9" s="1"/>
  <c r="DS12" i="9"/>
  <c r="DO16" i="9"/>
  <c r="BN23" i="9"/>
  <c r="BO23" i="9" s="1"/>
  <c r="BS23" i="9"/>
  <c r="BT23" i="9" s="1"/>
  <c r="BT56" i="135" s="1"/>
  <c r="AT22" i="9"/>
  <c r="AU22" i="9" s="1"/>
  <c r="AV22" i="9" s="1"/>
  <c r="AY26" i="9"/>
  <c r="AZ26" i="9" s="1"/>
  <c r="BA26" i="9" s="1"/>
  <c r="BN30" i="9"/>
  <c r="BY20" i="9"/>
  <c r="EK10" i="12"/>
  <c r="GE27" i="9"/>
  <c r="GE26" i="9"/>
  <c r="AM24" i="9"/>
  <c r="P31" i="9"/>
  <c r="Q31" i="9" s="1"/>
  <c r="R31" i="9" s="1"/>
  <c r="DI34" i="9"/>
  <c r="DJ24" i="9"/>
  <c r="DO24" i="9"/>
  <c r="DT24" i="9"/>
  <c r="DY24" i="9"/>
  <c r="ED24" i="9"/>
  <c r="EC30" i="9"/>
  <c r="EH30" i="9"/>
  <c r="EC29" i="9"/>
  <c r="DX29" i="9"/>
  <c r="CE30" i="9"/>
  <c r="DI30" i="9"/>
  <c r="DN30" i="9"/>
  <c r="DD34" i="9"/>
  <c r="EH34" i="9"/>
  <c r="F37" i="9"/>
  <c r="G37" i="9" s="1"/>
  <c r="H37" i="9" s="1"/>
  <c r="AT37" i="9"/>
  <c r="AU37" i="9" s="1"/>
  <c r="AV37" i="9" s="1"/>
  <c r="DN35" i="9"/>
  <c r="CI36" i="9"/>
  <c r="FU36" i="9" s="1"/>
  <c r="CJ37" i="9"/>
  <c r="AJ35" i="9"/>
  <c r="AJ66" i="8" s="1"/>
  <c r="EC34" i="9"/>
  <c r="BD40" i="9"/>
  <c r="DN37" i="9"/>
  <c r="DX37" i="9"/>
  <c r="G21" i="8"/>
  <c r="H21" i="8" s="1"/>
  <c r="AA21" i="8"/>
  <c r="AB21" i="8" s="1"/>
  <c r="CI21" i="8"/>
  <c r="CN21" i="8"/>
  <c r="CO21" i="8" s="1"/>
  <c r="EB21" i="8"/>
  <c r="EC21" i="8" s="1"/>
  <c r="S31" i="8"/>
  <c r="S36" i="8" s="1"/>
  <c r="DB31" i="8"/>
  <c r="DB36" i="8" s="1"/>
  <c r="BP33" i="8"/>
  <c r="CS21" i="8"/>
  <c r="CT21" i="8" s="1"/>
  <c r="EG21" i="8"/>
  <c r="EH21" i="8" s="1"/>
  <c r="EH24" i="8"/>
  <c r="EG31" i="8"/>
  <c r="EG36" i="8" s="1"/>
  <c r="T31" i="8"/>
  <c r="T36" i="8" s="1"/>
  <c r="CU31" i="8"/>
  <c r="CU36" i="8" s="1"/>
  <c r="CA21" i="8"/>
  <c r="CP31" i="8"/>
  <c r="CP36" i="8" s="1"/>
  <c r="CV31" i="8"/>
  <c r="CV36" i="8" s="1"/>
  <c r="CZ31" i="8"/>
  <c r="CZ36" i="8" s="1"/>
  <c r="CZ42" i="8" s="1"/>
  <c r="BZ33" i="8"/>
  <c r="DI33" i="8"/>
  <c r="DN33" i="8"/>
  <c r="DS33" i="8"/>
  <c r="DX33" i="8"/>
  <c r="EC33" i="8"/>
  <c r="EH33" i="8"/>
  <c r="CG21" i="8"/>
  <c r="R30" i="8"/>
  <c r="Q31" i="8"/>
  <c r="R31" i="8" s="1"/>
  <c r="W30" i="8"/>
  <c r="CQ31" i="8"/>
  <c r="CQ36" i="8" s="1"/>
  <c r="BL41" i="8"/>
  <c r="BM63" i="8" s="1"/>
  <c r="BX41" i="8"/>
  <c r="CB41" i="8"/>
  <c r="CC41" i="8"/>
  <c r="CD63" i="8" s="1"/>
  <c r="CY30" i="8"/>
  <c r="AD63" i="8"/>
  <c r="BQ41" i="8"/>
  <c r="BR63" i="8" s="1"/>
  <c r="U31" i="8"/>
  <c r="U36" i="8" s="1"/>
  <c r="CS31" i="8"/>
  <c r="CS36" i="8" s="1"/>
  <c r="CT36" i="8" s="1"/>
  <c r="CX31" i="8"/>
  <c r="CX36" i="8" s="1"/>
  <c r="CO30" i="8"/>
  <c r="BU33" i="8"/>
  <c r="BC63" i="8"/>
  <c r="BN41" i="8"/>
  <c r="BO63" i="8" s="1"/>
  <c r="BR41" i="8"/>
  <c r="BV41" i="8"/>
  <c r="BW63" i="8" s="1"/>
  <c r="DD41" i="8"/>
  <c r="BS41" i="8"/>
  <c r="BT63" i="8" s="1"/>
  <c r="BW41" i="8"/>
  <c r="BX63" i="8" s="1"/>
  <c r="CA41" i="8"/>
  <c r="CB63" i="8" s="1"/>
  <c r="CD6" i="171"/>
  <c r="BZ26" i="9"/>
  <c r="BY10" i="12"/>
  <c r="GE34" i="9"/>
  <c r="M268" i="175"/>
  <c r="I268" i="175"/>
  <c r="AB268" i="175"/>
  <c r="AL186" i="175"/>
  <c r="AM186" i="175" s="1"/>
  <c r="Y255" i="175"/>
  <c r="Y263" i="175" s="1"/>
  <c r="Y268" i="175"/>
  <c r="W268" i="175"/>
  <c r="V255" i="175"/>
  <c r="V263" i="175" s="1"/>
  <c r="O268" i="175"/>
  <c r="S268" i="175"/>
  <c r="R268" i="175"/>
  <c r="N268" i="175"/>
  <c r="CD14" i="123"/>
  <c r="CF10" i="123"/>
  <c r="CD22" i="123"/>
  <c r="CD21" i="123"/>
  <c r="CD23" i="123"/>
  <c r="CY22" i="123"/>
  <c r="CY21" i="123"/>
  <c r="CY23" i="123"/>
  <c r="CY14" i="123"/>
  <c r="DD10" i="123"/>
  <c r="EB16" i="123"/>
  <c r="DX16" i="123"/>
  <c r="DZ16" i="123"/>
  <c r="DT16" i="123"/>
  <c r="CQ30" i="123"/>
  <c r="CR26" i="123"/>
  <c r="CQ33" i="123"/>
  <c r="CQ34" i="123"/>
  <c r="CQ35" i="123"/>
  <c r="DS17" i="123"/>
  <c r="CH42" i="123"/>
  <c r="CI38" i="123"/>
  <c r="CH47" i="123"/>
  <c r="CH46" i="123"/>
  <c r="CH45" i="123"/>
  <c r="EA16" i="123"/>
  <c r="CM34" i="123"/>
  <c r="CM30" i="123"/>
  <c r="CN26" i="123"/>
  <c r="CM35" i="123"/>
  <c r="CM33" i="123"/>
  <c r="DU37" i="135"/>
  <c r="X268" i="175"/>
  <c r="AR396" i="175"/>
  <c r="AW396" i="175" s="1"/>
  <c r="Z8" i="171"/>
  <c r="Z11" i="171"/>
  <c r="AU155" i="175"/>
  <c r="AU157" i="175" s="1"/>
  <c r="AA8" i="171"/>
  <c r="AA11" i="171"/>
  <c r="AQ188" i="175"/>
  <c r="H268" i="175"/>
  <c r="AF261" i="175"/>
  <c r="AF255" i="175"/>
  <c r="J268" i="175"/>
  <c r="BD234" i="175"/>
  <c r="AC268" i="175"/>
  <c r="Q268" i="175"/>
  <c r="AR188" i="175"/>
  <c r="AW302" i="175"/>
  <c r="AI268" i="175"/>
  <c r="AA263" i="175"/>
  <c r="AH255" i="175"/>
  <c r="AH261" i="175"/>
  <c r="B263" i="175"/>
  <c r="BY66" i="8"/>
  <c r="CD27" i="9"/>
  <c r="FS26" i="9"/>
  <c r="CJ21" i="8"/>
  <c r="EV43" i="12"/>
  <c r="EV46" i="12" s="1"/>
  <c r="EV53" i="12" s="1"/>
  <c r="EV67" i="12" s="1"/>
  <c r="EV11" i="12" s="1"/>
  <c r="AR159" i="175"/>
  <c r="AT158" i="175"/>
  <c r="AS159" i="175"/>
  <c r="AP159" i="175"/>
  <c r="AL157" i="175"/>
  <c r="AK184" i="175"/>
  <c r="AN35" i="175"/>
  <c r="AS35" i="175"/>
  <c r="AS118" i="175"/>
  <c r="AS117" i="175"/>
  <c r="AR35" i="175"/>
  <c r="T268" i="175"/>
  <c r="AD268" i="175"/>
  <c r="EF16" i="123"/>
  <c r="CI42" i="123"/>
  <c r="CK38" i="123"/>
  <c r="CI46" i="123"/>
  <c r="CI47" i="123"/>
  <c r="CI45" i="123"/>
  <c r="CR30" i="123"/>
  <c r="CS26" i="123"/>
  <c r="CR34" i="123"/>
  <c r="CR35" i="123"/>
  <c r="CR33" i="123"/>
  <c r="EG16" i="123"/>
  <c r="EC16" i="123"/>
  <c r="CF14" i="123"/>
  <c r="CG10" i="123"/>
  <c r="CF23" i="123"/>
  <c r="CF21" i="123"/>
  <c r="CF22" i="123"/>
  <c r="EK51" i="123"/>
  <c r="CN30" i="123"/>
  <c r="CN33" i="123"/>
  <c r="CN35" i="123"/>
  <c r="CN34" i="123"/>
  <c r="EE16" i="123"/>
  <c r="DY16" i="123"/>
  <c r="DX17" i="123"/>
  <c r="GE23" i="9"/>
  <c r="AE11" i="171"/>
  <c r="AV23" i="171"/>
  <c r="AH268" i="175"/>
  <c r="AP188" i="175"/>
  <c r="AF268" i="175"/>
  <c r="AN261" i="175"/>
  <c r="AM255" i="175"/>
  <c r="AK261" i="175"/>
  <c r="AK255" i="175"/>
  <c r="DJ253" i="172"/>
  <c r="DJ255" i="172" s="1"/>
  <c r="BM255" i="172"/>
  <c r="BP17" i="9"/>
  <c r="AO158" i="175"/>
  <c r="BW158" i="175"/>
  <c r="AQ159" i="175"/>
  <c r="AM35" i="175"/>
  <c r="AR117" i="175"/>
  <c r="AN118" i="175"/>
  <c r="AL164" i="175"/>
  <c r="CG14" i="123"/>
  <c r="CH10" i="123"/>
  <c r="CG23" i="123"/>
  <c r="CG22" i="123"/>
  <c r="CG21" i="123"/>
  <c r="CS30" i="123"/>
  <c r="CU26" i="123"/>
  <c r="CS33" i="123"/>
  <c r="CS35" i="123"/>
  <c r="CS34" i="123"/>
  <c r="CK45" i="123"/>
  <c r="CK47" i="123"/>
  <c r="CK42" i="123"/>
  <c r="CL38" i="123"/>
  <c r="CK46" i="123"/>
  <c r="ED16" i="123"/>
  <c r="EC17" i="123"/>
  <c r="EH16" i="123"/>
  <c r="EK16" i="123"/>
  <c r="AG255" i="175"/>
  <c r="AG261" i="175"/>
  <c r="AJ260" i="175"/>
  <c r="AJ261" i="175" s="1"/>
  <c r="BB240" i="172"/>
  <c r="AM164" i="175"/>
  <c r="AN164" i="175" s="1"/>
  <c r="CU35" i="123"/>
  <c r="CU30" i="123"/>
  <c r="CV26" i="123"/>
  <c r="CU33" i="123"/>
  <c r="CU34" i="123"/>
  <c r="CH14" i="123"/>
  <c r="CI10" i="123"/>
  <c r="CH22" i="123"/>
  <c r="CH23" i="123"/>
  <c r="CH21" i="123"/>
  <c r="EH17" i="123"/>
  <c r="CL46" i="123"/>
  <c r="CL42" i="123"/>
  <c r="CM38" i="123"/>
  <c r="CL45" i="123"/>
  <c r="CL47" i="123"/>
  <c r="AG268" i="175"/>
  <c r="AJ267" i="175"/>
  <c r="AJ269" i="175" s="1"/>
  <c r="AL261" i="175"/>
  <c r="AL255" i="175"/>
  <c r="AU159" i="175"/>
  <c r="CV30" i="123"/>
  <c r="CW26" i="123"/>
  <c r="CV35" i="123"/>
  <c r="CV34" i="123"/>
  <c r="CV33" i="123"/>
  <c r="CI14" i="123"/>
  <c r="CK10" i="123"/>
  <c r="CI23" i="123"/>
  <c r="CI21" i="123"/>
  <c r="CI22" i="123"/>
  <c r="CM47" i="123"/>
  <c r="CM46" i="123"/>
  <c r="CM45" i="123"/>
  <c r="CM42" i="123"/>
  <c r="CN38" i="123"/>
  <c r="AU116" i="175"/>
  <c r="AU35" i="175" s="1"/>
  <c r="AQ191" i="175"/>
  <c r="AK170" i="175"/>
  <c r="AL169" i="175"/>
  <c r="AM169" i="175" s="1"/>
  <c r="AN169" i="175" s="1"/>
  <c r="CN42" i="123"/>
  <c r="CP38" i="123"/>
  <c r="CN47" i="123"/>
  <c r="CN45" i="123"/>
  <c r="CN46" i="123"/>
  <c r="CK21" i="123"/>
  <c r="CK14" i="123"/>
  <c r="CL10" i="123"/>
  <c r="CK22" i="123"/>
  <c r="CK23" i="123"/>
  <c r="CW30" i="123"/>
  <c r="CX26" i="123"/>
  <c r="CW35" i="123"/>
  <c r="CW33" i="123"/>
  <c r="CW34" i="123"/>
  <c r="AT179" i="175"/>
  <c r="AW317" i="175"/>
  <c r="AR191" i="175"/>
  <c r="AX317" i="175"/>
  <c r="AS191" i="175"/>
  <c r="CX30" i="123"/>
  <c r="CZ26" i="123"/>
  <c r="CX35" i="123"/>
  <c r="CX34" i="123"/>
  <c r="CX33" i="123"/>
  <c r="CP42" i="123"/>
  <c r="CQ38" i="123"/>
  <c r="CP45" i="123"/>
  <c r="CP46" i="123"/>
  <c r="CP47" i="123"/>
  <c r="CL22" i="123"/>
  <c r="CL21" i="123"/>
  <c r="CL14" i="123"/>
  <c r="CM10" i="123"/>
  <c r="CL23" i="123"/>
  <c r="AJ32" i="171"/>
  <c r="AN39" i="171"/>
  <c r="AK32" i="171"/>
  <c r="AO39" i="171"/>
  <c r="CQ42" i="123"/>
  <c r="CR38" i="123"/>
  <c r="CQ46" i="123"/>
  <c r="CQ47" i="123"/>
  <c r="CQ45" i="123"/>
  <c r="CZ29" i="123"/>
  <c r="CZ28" i="123"/>
  <c r="CZ30" i="123"/>
  <c r="DA26" i="123"/>
  <c r="CZ27" i="123"/>
  <c r="CM22" i="123"/>
  <c r="CM21" i="123"/>
  <c r="CM14" i="123"/>
  <c r="CN10" i="123"/>
  <c r="CM23" i="123"/>
  <c r="CG40" i="171"/>
  <c r="AT191" i="175"/>
  <c r="BW190" i="175"/>
  <c r="AP191" i="175"/>
  <c r="BX190" i="175"/>
  <c r="AO41" i="171"/>
  <c r="AN41" i="171"/>
  <c r="AQ39" i="171"/>
  <c r="AO32" i="171"/>
  <c r="AO44" i="171" s="1"/>
  <c r="AN32" i="171"/>
  <c r="AN44" i="171" s="1"/>
  <c r="AL32" i="171"/>
  <c r="AM32" i="171"/>
  <c r="AS39" i="171"/>
  <c r="AP39" i="171"/>
  <c r="AR39" i="171"/>
  <c r="DA28" i="123"/>
  <c r="DA59" i="123"/>
  <c r="DA29" i="123"/>
  <c r="DA27" i="123"/>
  <c r="DA30" i="123"/>
  <c r="DB26" i="123"/>
  <c r="CR47" i="123"/>
  <c r="CR42" i="123"/>
  <c r="CS38" i="123"/>
  <c r="CR46" i="123"/>
  <c r="CR45" i="123"/>
  <c r="CN14" i="123"/>
  <c r="CP10" i="123"/>
  <c r="CN22" i="123"/>
  <c r="CN23" i="123"/>
  <c r="CN21" i="123"/>
  <c r="CZ59" i="123"/>
  <c r="AP41" i="171"/>
  <c r="AQ41" i="171"/>
  <c r="AS41" i="171"/>
  <c r="CH40" i="171"/>
  <c r="CH41" i="171" s="1"/>
  <c r="AR32" i="171"/>
  <c r="AR44" i="171" s="1"/>
  <c r="AK107" i="175"/>
  <c r="AU39" i="171"/>
  <c r="AS32" i="171"/>
  <c r="AS44" i="171" s="1"/>
  <c r="AT39" i="171"/>
  <c r="AP32" i="171"/>
  <c r="AP44" i="171" s="1"/>
  <c r="AQ32" i="171"/>
  <c r="AQ44" i="171" s="1"/>
  <c r="AR41" i="171"/>
  <c r="DB28" i="123"/>
  <c r="DB59" i="123"/>
  <c r="DB30" i="123"/>
  <c r="DC26" i="123"/>
  <c r="DB27" i="123"/>
  <c r="DB29" i="123"/>
  <c r="CP14" i="123"/>
  <c r="CQ10" i="123"/>
  <c r="CP22" i="123"/>
  <c r="CP21" i="123"/>
  <c r="CP23" i="123"/>
  <c r="CS47" i="123"/>
  <c r="CS42" i="123"/>
  <c r="CU38" i="123"/>
  <c r="CS46" i="123"/>
  <c r="CS45" i="123"/>
  <c r="AT41" i="171"/>
  <c r="AU41" i="171"/>
  <c r="CI40" i="171"/>
  <c r="AU32" i="171"/>
  <c r="AU44" i="171" s="1"/>
  <c r="AT32" i="171"/>
  <c r="AT44" i="171" s="1"/>
  <c r="CU42" i="123"/>
  <c r="CV38" i="123"/>
  <c r="CU46" i="123"/>
  <c r="CU45" i="123"/>
  <c r="CU47" i="123"/>
  <c r="DD27" i="123"/>
  <c r="CQ14" i="123"/>
  <c r="CR10" i="123"/>
  <c r="CQ21" i="123"/>
  <c r="CQ22" i="123"/>
  <c r="CQ23" i="123"/>
  <c r="DC29" i="123"/>
  <c r="DD29" i="123"/>
  <c r="DD35" i="123"/>
  <c r="DC27" i="123"/>
  <c r="DC28" i="123"/>
  <c r="DC30" i="123"/>
  <c r="DE26" i="123"/>
  <c r="AL201" i="175"/>
  <c r="AK198" i="175"/>
  <c r="AK201" i="175"/>
  <c r="CI41" i="171"/>
  <c r="AO200" i="175"/>
  <c r="AO201" i="175" s="1"/>
  <c r="DE28" i="123"/>
  <c r="DE29" i="123"/>
  <c r="DE27" i="123"/>
  <c r="CR14" i="123"/>
  <c r="CS10" i="123"/>
  <c r="CR22" i="123"/>
  <c r="CR21" i="123"/>
  <c r="CR23" i="123"/>
  <c r="DC59" i="123"/>
  <c r="DD28" i="123"/>
  <c r="DD33" i="123"/>
  <c r="CV42" i="123"/>
  <c r="CW38" i="123"/>
  <c r="CV46" i="123"/>
  <c r="CV47" i="123"/>
  <c r="CV45" i="123"/>
  <c r="AP201" i="175"/>
  <c r="AP198" i="175"/>
  <c r="AU198" i="175" s="1"/>
  <c r="AQ201" i="175"/>
  <c r="AQ198" i="175"/>
  <c r="AV198" i="175" s="1"/>
  <c r="AN198" i="175"/>
  <c r="AN199" i="175" s="1"/>
  <c r="AN201" i="175"/>
  <c r="AM201" i="175"/>
  <c r="BW200" i="175"/>
  <c r="F36" i="141"/>
  <c r="DD34" i="123"/>
  <c r="DD59" i="123"/>
  <c r="DE30" i="123"/>
  <c r="DF26" i="123"/>
  <c r="CW42" i="123"/>
  <c r="CX38" i="123"/>
  <c r="CW47" i="123"/>
  <c r="CW45" i="123"/>
  <c r="CW46" i="123"/>
  <c r="CS14" i="123"/>
  <c r="CU10" i="123"/>
  <c r="CS21" i="123"/>
  <c r="CS22" i="123"/>
  <c r="CS23" i="123"/>
  <c r="DD30" i="123"/>
  <c r="DI26" i="123"/>
  <c r="DE59" i="123"/>
  <c r="AS201" i="175"/>
  <c r="AR201" i="175"/>
  <c r="AT200" i="175"/>
  <c r="DF28" i="123"/>
  <c r="DF29" i="123"/>
  <c r="DF27" i="123"/>
  <c r="CU21" i="123"/>
  <c r="CU14" i="123"/>
  <c r="CV10" i="123"/>
  <c r="CU23" i="123"/>
  <c r="CU22" i="123"/>
  <c r="CX42" i="123"/>
  <c r="CZ38" i="123"/>
  <c r="CX45" i="123"/>
  <c r="CZ45" i="123"/>
  <c r="CX47" i="123"/>
  <c r="CZ47" i="123"/>
  <c r="CX46" i="123"/>
  <c r="CZ46" i="123"/>
  <c r="DA45" i="123"/>
  <c r="CZ39" i="123"/>
  <c r="CV14" i="123"/>
  <c r="CW10" i="123"/>
  <c r="CV21" i="123"/>
  <c r="CV22" i="123"/>
  <c r="CV23" i="123"/>
  <c r="CZ40" i="123"/>
  <c r="DA46" i="123"/>
  <c r="DF59" i="123"/>
  <c r="DA47" i="123"/>
  <c r="CZ41" i="123"/>
  <c r="CZ42" i="123"/>
  <c r="DA38" i="123"/>
  <c r="DF30" i="123"/>
  <c r="DG26" i="123"/>
  <c r="DG29" i="123"/>
  <c r="DG27" i="123"/>
  <c r="DG28" i="123"/>
  <c r="DB46" i="123"/>
  <c r="DA40" i="123"/>
  <c r="DA60" i="123"/>
  <c r="CW14" i="123"/>
  <c r="CX10" i="123"/>
  <c r="CW23" i="123"/>
  <c r="CW21" i="123"/>
  <c r="CW22" i="123"/>
  <c r="DA41" i="123"/>
  <c r="DB47" i="123"/>
  <c r="CZ60" i="123"/>
  <c r="DB45" i="123"/>
  <c r="DA39" i="123"/>
  <c r="DA42" i="123"/>
  <c r="DB38" i="123"/>
  <c r="DB39" i="123"/>
  <c r="DC45" i="123"/>
  <c r="DC47" i="123"/>
  <c r="DB41" i="123"/>
  <c r="CX14" i="123"/>
  <c r="CZ10" i="123"/>
  <c r="CX21" i="123"/>
  <c r="CZ21" i="123"/>
  <c r="DA21" i="123"/>
  <c r="DB21" i="123"/>
  <c r="DC21" i="123"/>
  <c r="DE21" i="123"/>
  <c r="DF21" i="123"/>
  <c r="DG21" i="123"/>
  <c r="DH21" i="123"/>
  <c r="DJ21" i="123"/>
  <c r="DK21" i="123"/>
  <c r="DL21" i="123"/>
  <c r="DM21" i="123"/>
  <c r="DO21" i="123"/>
  <c r="DP21" i="123"/>
  <c r="DQ21" i="123"/>
  <c r="DR21" i="123"/>
  <c r="DT21" i="123"/>
  <c r="DU21" i="123"/>
  <c r="DV21" i="123"/>
  <c r="DW21" i="123"/>
  <c r="DY21" i="123"/>
  <c r="DZ21" i="123"/>
  <c r="EA21" i="123"/>
  <c r="EB21" i="123"/>
  <c r="ED21" i="123"/>
  <c r="EE21" i="123"/>
  <c r="EF21" i="123"/>
  <c r="EG21" i="123"/>
  <c r="EK21" i="123"/>
  <c r="EL21" i="123" s="1"/>
  <c r="EV21" i="123" s="1"/>
  <c r="EX21" i="123" s="1"/>
  <c r="EY21" i="123" s="1"/>
  <c r="EZ21" i="123" s="1"/>
  <c r="FA21" i="123" s="1"/>
  <c r="FC21" i="123" s="1"/>
  <c r="FD21" i="123" s="1"/>
  <c r="FE21" i="123" s="1"/>
  <c r="FF21" i="123" s="1"/>
  <c r="FH21" i="123" s="1"/>
  <c r="FI21" i="123" s="1"/>
  <c r="FJ21" i="123" s="1"/>
  <c r="FK21" i="123" s="1"/>
  <c r="CX23" i="123"/>
  <c r="CZ23" i="123"/>
  <c r="DA23" i="123"/>
  <c r="DB23" i="123"/>
  <c r="DC23" i="123"/>
  <c r="DE23" i="123"/>
  <c r="DF23" i="123"/>
  <c r="DG23" i="123"/>
  <c r="DH23" i="123"/>
  <c r="DJ23" i="123"/>
  <c r="DK23" i="123"/>
  <c r="DL23" i="123"/>
  <c r="DM23" i="123"/>
  <c r="DO23" i="123"/>
  <c r="DP23" i="123"/>
  <c r="DQ23" i="123"/>
  <c r="DR23" i="123"/>
  <c r="DT23" i="123"/>
  <c r="DU23" i="123"/>
  <c r="DV23" i="123"/>
  <c r="DW23" i="123"/>
  <c r="DY23" i="123"/>
  <c r="DZ23" i="123"/>
  <c r="EA23" i="123"/>
  <c r="EB23" i="123"/>
  <c r="ED23" i="123"/>
  <c r="EE23" i="123"/>
  <c r="EF23" i="123"/>
  <c r="EG23" i="123"/>
  <c r="EK23" i="123"/>
  <c r="EL23" i="123" s="1"/>
  <c r="EV23" i="123" s="1"/>
  <c r="EX23" i="123" s="1"/>
  <c r="EY23" i="123" s="1"/>
  <c r="EZ23" i="123" s="1"/>
  <c r="FA23" i="123" s="1"/>
  <c r="FC23" i="123" s="1"/>
  <c r="FD23" i="123" s="1"/>
  <c r="FE23" i="123" s="1"/>
  <c r="FF23" i="123" s="1"/>
  <c r="FH23" i="123" s="1"/>
  <c r="FI23" i="123" s="1"/>
  <c r="FJ23" i="123" s="1"/>
  <c r="FK23" i="123" s="1"/>
  <c r="CX22" i="123"/>
  <c r="DG30" i="123"/>
  <c r="DH26" i="123"/>
  <c r="DG59" i="123"/>
  <c r="DC46" i="123"/>
  <c r="DB40" i="123"/>
  <c r="DB60" i="123"/>
  <c r="DE47" i="123"/>
  <c r="DE46" i="123"/>
  <c r="DC40" i="123"/>
  <c r="DC60" i="123"/>
  <c r="DH27" i="123"/>
  <c r="DI27" i="123"/>
  <c r="DH28" i="123"/>
  <c r="DH29" i="123"/>
  <c r="DI29" i="123"/>
  <c r="DI35" i="123"/>
  <c r="CZ12" i="123"/>
  <c r="CZ13" i="123"/>
  <c r="CZ11" i="123"/>
  <c r="DE45" i="123"/>
  <c r="DB42" i="123"/>
  <c r="DC38" i="123"/>
  <c r="DD40" i="123"/>
  <c r="DH59" i="123"/>
  <c r="DI28" i="123"/>
  <c r="DF46" i="123"/>
  <c r="DC39" i="123"/>
  <c r="DD39" i="123"/>
  <c r="CZ14" i="123"/>
  <c r="DA10" i="123"/>
  <c r="DI33" i="123"/>
  <c r="DC41" i="123"/>
  <c r="DD41" i="123"/>
  <c r="DD47" i="123"/>
  <c r="DF45" i="123"/>
  <c r="CZ58" i="123"/>
  <c r="CZ18" i="123"/>
  <c r="DH30" i="123"/>
  <c r="DJ26" i="123"/>
  <c r="DF47" i="123"/>
  <c r="DG45" i="123"/>
  <c r="DG46" i="123"/>
  <c r="DI59" i="123"/>
  <c r="DI34" i="123"/>
  <c r="DG47" i="123"/>
  <c r="DI30" i="123"/>
  <c r="DN26" i="123"/>
  <c r="DC42" i="123"/>
  <c r="DE38" i="123"/>
  <c r="DD60" i="123"/>
  <c r="DD46" i="123"/>
  <c r="DJ29" i="123"/>
  <c r="DJ27" i="123"/>
  <c r="DJ30" i="123"/>
  <c r="DK26" i="123"/>
  <c r="DJ28" i="123"/>
  <c r="DA13" i="123"/>
  <c r="DA11" i="123"/>
  <c r="DA12" i="123"/>
  <c r="DD45" i="123"/>
  <c r="DD42" i="123"/>
  <c r="DI38" i="123"/>
  <c r="DK29" i="123"/>
  <c r="DK27" i="123"/>
  <c r="DK30" i="123"/>
  <c r="DL26" i="123"/>
  <c r="DK28" i="123"/>
  <c r="DK59" i="123"/>
  <c r="DA14" i="123"/>
  <c r="DB10" i="123"/>
  <c r="DE40" i="123"/>
  <c r="DE39" i="123"/>
  <c r="DE41" i="123"/>
  <c r="DH46" i="123"/>
  <c r="DH45" i="123"/>
  <c r="DA58" i="123"/>
  <c r="DA18" i="123"/>
  <c r="DJ59" i="123"/>
  <c r="DH47" i="123"/>
  <c r="DL28" i="123"/>
  <c r="DL29" i="123"/>
  <c r="DL27" i="123"/>
  <c r="DL30" i="123"/>
  <c r="DM26" i="123"/>
  <c r="DJ46" i="123"/>
  <c r="DE42" i="123"/>
  <c r="DF38" i="123"/>
  <c r="DJ47" i="123"/>
  <c r="DJ45" i="123"/>
  <c r="DB13" i="123"/>
  <c r="DB11" i="123"/>
  <c r="DB14" i="123"/>
  <c r="DC10" i="123"/>
  <c r="DB12" i="123"/>
  <c r="DE60" i="123"/>
  <c r="DM28" i="123"/>
  <c r="DM59" i="123"/>
  <c r="DM30" i="123"/>
  <c r="DO26" i="123"/>
  <c r="DM27" i="123"/>
  <c r="DM29" i="123"/>
  <c r="DN29" i="123"/>
  <c r="DN35" i="123"/>
  <c r="DC12" i="123"/>
  <c r="DC58" i="123"/>
  <c r="DC13" i="123"/>
  <c r="DC11" i="123"/>
  <c r="DD13" i="123"/>
  <c r="DD23" i="123"/>
  <c r="DD11" i="123"/>
  <c r="DK45" i="123"/>
  <c r="DF40" i="123"/>
  <c r="DF42" i="123"/>
  <c r="DG38" i="123"/>
  <c r="DF41" i="123"/>
  <c r="DF39" i="123"/>
  <c r="DN27" i="123"/>
  <c r="DB58" i="123"/>
  <c r="DB18" i="123"/>
  <c r="DD12" i="123"/>
  <c r="DK47" i="123"/>
  <c r="DK46" i="123"/>
  <c r="DL59" i="123"/>
  <c r="DN28" i="123"/>
  <c r="DG40" i="123"/>
  <c r="DG60" i="123"/>
  <c r="DG39" i="123"/>
  <c r="DG42" i="123"/>
  <c r="DH38" i="123"/>
  <c r="DG41" i="123"/>
  <c r="DD58" i="123"/>
  <c r="DD22" i="123"/>
  <c r="DD18" i="123"/>
  <c r="DC18" i="123"/>
  <c r="DL47" i="123"/>
  <c r="DD21" i="123"/>
  <c r="DD14" i="123"/>
  <c r="DI10" i="123"/>
  <c r="DO29" i="123"/>
  <c r="DO27" i="123"/>
  <c r="DO28" i="123"/>
  <c r="DN33" i="123"/>
  <c r="DN30" i="123"/>
  <c r="DS26" i="123"/>
  <c r="DC14" i="123"/>
  <c r="DE10" i="123"/>
  <c r="DL46" i="123"/>
  <c r="DF60" i="123"/>
  <c r="DN59" i="123"/>
  <c r="DN34" i="123"/>
  <c r="DL45" i="123"/>
  <c r="DH41" i="123"/>
  <c r="DI41" i="123"/>
  <c r="DI47" i="123"/>
  <c r="DH39" i="123"/>
  <c r="DI39" i="123"/>
  <c r="DH40" i="123"/>
  <c r="DM45" i="123"/>
  <c r="DM46" i="123"/>
  <c r="DO30" i="123"/>
  <c r="DP26" i="123"/>
  <c r="DE13" i="123"/>
  <c r="DE11" i="123"/>
  <c r="DE12" i="123"/>
  <c r="DO59" i="123"/>
  <c r="DM47" i="123"/>
  <c r="DO46" i="123"/>
  <c r="DH60" i="123"/>
  <c r="DI40" i="123"/>
  <c r="DP29" i="123"/>
  <c r="DP28" i="123"/>
  <c r="DP27" i="123"/>
  <c r="DI45" i="123"/>
  <c r="DI42" i="123"/>
  <c r="DN38" i="123"/>
  <c r="DO47" i="123"/>
  <c r="DE14" i="123"/>
  <c r="DF10" i="123"/>
  <c r="DE58" i="123"/>
  <c r="DE18" i="123"/>
  <c r="DO45" i="123"/>
  <c r="DH42" i="123"/>
  <c r="DJ38" i="123"/>
  <c r="DF13" i="123"/>
  <c r="DF11" i="123"/>
  <c r="DF12" i="123"/>
  <c r="DP59" i="123"/>
  <c r="DJ41" i="123"/>
  <c r="DJ40" i="123"/>
  <c r="DJ39" i="123"/>
  <c r="DJ42" i="123"/>
  <c r="DK38" i="123"/>
  <c r="DP46" i="123"/>
  <c r="DP45" i="123"/>
  <c r="DP47" i="123"/>
  <c r="DP30" i="123"/>
  <c r="DQ26" i="123"/>
  <c r="DI60" i="123"/>
  <c r="DI46" i="123"/>
  <c r="DK39" i="123"/>
  <c r="DK42" i="123"/>
  <c r="DL38" i="123"/>
  <c r="DK40" i="123"/>
  <c r="DK60" i="123"/>
  <c r="DK41" i="123"/>
  <c r="DQ45" i="123"/>
  <c r="DF58" i="123"/>
  <c r="DF18" i="123"/>
  <c r="DF14" i="123"/>
  <c r="DG10" i="123"/>
  <c r="DQ28" i="123"/>
  <c r="DQ29" i="123"/>
  <c r="DQ27" i="123"/>
  <c r="DQ30" i="123"/>
  <c r="DR26" i="123"/>
  <c r="DQ46" i="123"/>
  <c r="DJ60" i="123"/>
  <c r="DQ47" i="123"/>
  <c r="DL41" i="123"/>
  <c r="DL39" i="123"/>
  <c r="DL40" i="123"/>
  <c r="DR47" i="123"/>
  <c r="DQ59" i="123"/>
  <c r="DR28" i="123"/>
  <c r="DR59" i="123"/>
  <c r="DR27" i="123"/>
  <c r="DR30" i="123"/>
  <c r="DT26" i="123"/>
  <c r="DR29" i="123"/>
  <c r="DG12" i="123"/>
  <c r="DG13" i="123"/>
  <c r="DG11" i="123"/>
  <c r="DR46" i="123"/>
  <c r="DS27" i="123"/>
  <c r="DS29" i="123"/>
  <c r="DS35" i="123"/>
  <c r="DR45" i="123"/>
  <c r="DT27" i="123"/>
  <c r="DT29" i="123"/>
  <c r="DT28" i="123"/>
  <c r="DT46" i="123"/>
  <c r="DL60" i="123"/>
  <c r="DG58" i="123"/>
  <c r="DG18" i="123"/>
  <c r="DS33" i="123"/>
  <c r="DG14" i="123"/>
  <c r="DH10" i="123"/>
  <c r="DT47" i="123"/>
  <c r="DT45" i="123"/>
  <c r="DS28" i="123"/>
  <c r="DS30" i="123"/>
  <c r="DX26" i="123"/>
  <c r="DL42" i="123"/>
  <c r="DM38" i="123"/>
  <c r="DM39" i="123"/>
  <c r="DN39" i="123"/>
  <c r="DM40" i="123"/>
  <c r="DM41" i="123"/>
  <c r="DN41" i="123"/>
  <c r="DN47" i="123"/>
  <c r="DT59" i="123"/>
  <c r="DH12" i="123"/>
  <c r="DH13" i="123"/>
  <c r="DI13" i="123"/>
  <c r="DI23" i="123"/>
  <c r="DH11" i="123"/>
  <c r="DI11" i="123"/>
  <c r="DU47" i="123"/>
  <c r="DS59" i="123"/>
  <c r="DS34" i="123"/>
  <c r="DU45" i="123"/>
  <c r="DU46" i="123"/>
  <c r="DT30" i="123"/>
  <c r="DU26" i="123"/>
  <c r="DV46" i="123"/>
  <c r="DV45" i="123"/>
  <c r="DV47" i="123"/>
  <c r="DH14" i="123"/>
  <c r="DJ10" i="123"/>
  <c r="DM60" i="123"/>
  <c r="DN40" i="123"/>
  <c r="DI21" i="123"/>
  <c r="DN45" i="123"/>
  <c r="DN42" i="123"/>
  <c r="DS38" i="123"/>
  <c r="DM42" i="123"/>
  <c r="DO38" i="123"/>
  <c r="DU28" i="123"/>
  <c r="DU29" i="123"/>
  <c r="DU30" i="123"/>
  <c r="DV26" i="123"/>
  <c r="DU27" i="123"/>
  <c r="DH58" i="123"/>
  <c r="DI12" i="123"/>
  <c r="DV28" i="123"/>
  <c r="DV59" i="123"/>
  <c r="DV29" i="123"/>
  <c r="DV27" i="123"/>
  <c r="DV30" i="123"/>
  <c r="DW26" i="123"/>
  <c r="DN46" i="123"/>
  <c r="DN60" i="123"/>
  <c r="DW45" i="123"/>
  <c r="DI58" i="123"/>
  <c r="DI22" i="123"/>
  <c r="DI18" i="123"/>
  <c r="DH18" i="123"/>
  <c r="DU59" i="123"/>
  <c r="DO42" i="123"/>
  <c r="DP38" i="123"/>
  <c r="DO40" i="123"/>
  <c r="DO39" i="123"/>
  <c r="DO41" i="123"/>
  <c r="DI14" i="123"/>
  <c r="DN10" i="123"/>
  <c r="DJ13" i="123"/>
  <c r="DJ11" i="123"/>
  <c r="DJ12" i="123"/>
  <c r="DJ14" i="123"/>
  <c r="DK10" i="123"/>
  <c r="DW47" i="123"/>
  <c r="DW46" i="123"/>
  <c r="DW29" i="123"/>
  <c r="DX29" i="123"/>
  <c r="DX35" i="123"/>
  <c r="DW27" i="123"/>
  <c r="DX27" i="123"/>
  <c r="DW28" i="123"/>
  <c r="DK12" i="123"/>
  <c r="DK13" i="123"/>
  <c r="DK11" i="123"/>
  <c r="DK14" i="123"/>
  <c r="DL10" i="123"/>
  <c r="DP41" i="123"/>
  <c r="DP39" i="123"/>
  <c r="DP42" i="123"/>
  <c r="DQ38" i="123"/>
  <c r="DP40" i="123"/>
  <c r="DP60" i="123"/>
  <c r="DJ58" i="123"/>
  <c r="DJ18" i="123"/>
  <c r="DY45" i="123"/>
  <c r="DY46" i="123"/>
  <c r="DY47" i="123"/>
  <c r="DO60" i="123"/>
  <c r="DL12" i="123"/>
  <c r="DL13" i="123"/>
  <c r="DL11" i="123"/>
  <c r="DQ40" i="123"/>
  <c r="DQ39" i="123"/>
  <c r="DQ41" i="123"/>
  <c r="DZ47" i="123"/>
  <c r="DW59" i="123"/>
  <c r="DX28" i="123"/>
  <c r="DX33" i="123"/>
  <c r="DX30" i="123"/>
  <c r="EC26" i="123"/>
  <c r="DZ46" i="123"/>
  <c r="DZ45" i="123"/>
  <c r="DK58" i="123"/>
  <c r="DK18" i="123"/>
  <c r="DW30" i="123"/>
  <c r="DY26" i="123"/>
  <c r="DY28" i="123"/>
  <c r="DY27" i="123"/>
  <c r="DY29" i="123"/>
  <c r="DX34" i="123"/>
  <c r="DX59" i="123"/>
  <c r="EA47" i="123"/>
  <c r="DQ60" i="123"/>
  <c r="DL14" i="123"/>
  <c r="DM10" i="123"/>
  <c r="EA45" i="123"/>
  <c r="EA46" i="123"/>
  <c r="DQ42" i="123"/>
  <c r="DR38" i="123"/>
  <c r="DL58" i="123"/>
  <c r="DL18" i="123"/>
  <c r="EB46" i="123"/>
  <c r="DM14" i="123"/>
  <c r="DO10" i="123"/>
  <c r="DM13" i="123"/>
  <c r="DN13" i="123"/>
  <c r="DN23" i="123"/>
  <c r="DM11" i="123"/>
  <c r="DN11" i="123"/>
  <c r="DM12" i="123"/>
  <c r="EB47" i="123"/>
  <c r="DY30" i="123"/>
  <c r="DZ26" i="123"/>
  <c r="DR41" i="123"/>
  <c r="DS41" i="123"/>
  <c r="DS47" i="123"/>
  <c r="DR40" i="123"/>
  <c r="DR39" i="123"/>
  <c r="DS39" i="123"/>
  <c r="EB45" i="123"/>
  <c r="DY59" i="123"/>
  <c r="DZ29" i="123"/>
  <c r="DZ27" i="123"/>
  <c r="DZ28" i="123"/>
  <c r="ED47" i="123"/>
  <c r="DO12" i="123"/>
  <c r="DO14" i="123"/>
  <c r="DP10" i="123"/>
  <c r="DO13" i="123"/>
  <c r="DO11" i="123"/>
  <c r="DR60" i="123"/>
  <c r="DS40" i="123"/>
  <c r="DM58" i="123"/>
  <c r="DN12" i="123"/>
  <c r="ED46" i="123"/>
  <c r="DN21" i="123"/>
  <c r="DN14" i="123"/>
  <c r="DS10" i="123"/>
  <c r="DS45" i="123"/>
  <c r="ED45" i="123"/>
  <c r="DR42" i="123"/>
  <c r="DT38" i="123"/>
  <c r="DP12" i="123"/>
  <c r="DP13" i="123"/>
  <c r="DP11" i="123"/>
  <c r="DS60" i="123"/>
  <c r="DS46" i="123"/>
  <c r="DZ59" i="123"/>
  <c r="EE46" i="123"/>
  <c r="DO58" i="123"/>
  <c r="DO18" i="123"/>
  <c r="DT42" i="123"/>
  <c r="DU38" i="123"/>
  <c r="DT39" i="123"/>
  <c r="DT41" i="123"/>
  <c r="DT40" i="123"/>
  <c r="EE45" i="123"/>
  <c r="DN58" i="123"/>
  <c r="DN22" i="123"/>
  <c r="DN18" i="123"/>
  <c r="DM18" i="123"/>
  <c r="DZ30" i="123"/>
  <c r="EA26" i="123"/>
  <c r="DS42" i="123"/>
  <c r="DX38" i="123"/>
  <c r="EE47" i="123"/>
  <c r="DU40" i="123"/>
  <c r="DU60" i="123"/>
  <c r="DU41" i="123"/>
  <c r="DU42" i="123"/>
  <c r="DV38" i="123"/>
  <c r="DU39" i="123"/>
  <c r="EF47" i="123"/>
  <c r="DT60" i="123"/>
  <c r="EA29" i="123"/>
  <c r="EA27" i="123"/>
  <c r="EA30" i="123"/>
  <c r="EB26" i="123"/>
  <c r="EA28" i="123"/>
  <c r="EF46" i="123"/>
  <c r="DP14" i="123"/>
  <c r="DQ10" i="123"/>
  <c r="EF45" i="123"/>
  <c r="DP58" i="123"/>
  <c r="DP18" i="123"/>
  <c r="EB28" i="123"/>
  <c r="EB59" i="123"/>
  <c r="EB29" i="123"/>
  <c r="EB27" i="123"/>
  <c r="EB30" i="123"/>
  <c r="ED26" i="123"/>
  <c r="DV39" i="123"/>
  <c r="DV41" i="123"/>
  <c r="DV40" i="123"/>
  <c r="DQ13" i="123"/>
  <c r="DQ11" i="123"/>
  <c r="DQ14" i="123"/>
  <c r="DR10" i="123"/>
  <c r="DQ12" i="123"/>
  <c r="EA59" i="123"/>
  <c r="EC28" i="123"/>
  <c r="EG47" i="123"/>
  <c r="EC27" i="123"/>
  <c r="EG46" i="123"/>
  <c r="EG45" i="123"/>
  <c r="EC29" i="123"/>
  <c r="EC35" i="123"/>
  <c r="ED27" i="123"/>
  <c r="ED29" i="123"/>
  <c r="ED28" i="123"/>
  <c r="DR13" i="123"/>
  <c r="DR11" i="123"/>
  <c r="DS11" i="123"/>
  <c r="DR12" i="123"/>
  <c r="DR58" i="123"/>
  <c r="DV60" i="123"/>
  <c r="DQ58" i="123"/>
  <c r="DQ18" i="123"/>
  <c r="DS12" i="123"/>
  <c r="EC33" i="123"/>
  <c r="EC30" i="123"/>
  <c r="EH26" i="123"/>
  <c r="EC59" i="123"/>
  <c r="EC34" i="123"/>
  <c r="DS13" i="123"/>
  <c r="DS23" i="123"/>
  <c r="DV42" i="123"/>
  <c r="DW38" i="123"/>
  <c r="DS21" i="123"/>
  <c r="DS14" i="123"/>
  <c r="DX10" i="123"/>
  <c r="ED59" i="123"/>
  <c r="DW40" i="123"/>
  <c r="DW41" i="123"/>
  <c r="DX41" i="123"/>
  <c r="DX47" i="123"/>
  <c r="DW39" i="123"/>
  <c r="DX39" i="123"/>
  <c r="DS58" i="123"/>
  <c r="DS22" i="123"/>
  <c r="DS18" i="123"/>
  <c r="DR18" i="123"/>
  <c r="DR14" i="123"/>
  <c r="DT10" i="123"/>
  <c r="ED30" i="123"/>
  <c r="EE26" i="123"/>
  <c r="EE29" i="123"/>
  <c r="EE27" i="123"/>
  <c r="EE28" i="123"/>
  <c r="DT12" i="123"/>
  <c r="DT11" i="123"/>
  <c r="DT14" i="123"/>
  <c r="DU10" i="123"/>
  <c r="DT13" i="123"/>
  <c r="EK47" i="123"/>
  <c r="EL47" i="123" s="1"/>
  <c r="DW60" i="123"/>
  <c r="DX40" i="123"/>
  <c r="EK45" i="123"/>
  <c r="DW42" i="123"/>
  <c r="DY38" i="123"/>
  <c r="EK46" i="123"/>
  <c r="DX45" i="123"/>
  <c r="DX42" i="123"/>
  <c r="EC38" i="123"/>
  <c r="DU11" i="123"/>
  <c r="DU14" i="123"/>
  <c r="DV10" i="123"/>
  <c r="DU13" i="123"/>
  <c r="DU12" i="123"/>
  <c r="DX60" i="123"/>
  <c r="DX46" i="123"/>
  <c r="EE59" i="123"/>
  <c r="DY41" i="123"/>
  <c r="DY39" i="123"/>
  <c r="DY40" i="123"/>
  <c r="EL46" i="123"/>
  <c r="EL45" i="123"/>
  <c r="DT58" i="123"/>
  <c r="DT18" i="123"/>
  <c r="EE30" i="123"/>
  <c r="EF26" i="123"/>
  <c r="DV13" i="123"/>
  <c r="DV11" i="123"/>
  <c r="DV14" i="123"/>
  <c r="DW10" i="123"/>
  <c r="DV12" i="123"/>
  <c r="EF29" i="123"/>
  <c r="EF28" i="123"/>
  <c r="EF30" i="123"/>
  <c r="EG26" i="123"/>
  <c r="EF27" i="123"/>
  <c r="DY60" i="123"/>
  <c r="DU58" i="123"/>
  <c r="DU18" i="123"/>
  <c r="DY42" i="123"/>
  <c r="DZ38" i="123"/>
  <c r="DW13" i="123"/>
  <c r="DX13" i="123"/>
  <c r="DX23" i="123"/>
  <c r="DW12" i="123"/>
  <c r="DW58" i="123"/>
  <c r="DW11" i="123"/>
  <c r="DW14" i="123"/>
  <c r="DY10" i="123"/>
  <c r="EG28" i="123"/>
  <c r="EG59" i="123"/>
  <c r="EG29" i="123"/>
  <c r="EG27" i="123"/>
  <c r="EG30" i="123"/>
  <c r="EF59" i="123"/>
  <c r="EH28" i="123"/>
  <c r="DX11" i="123"/>
  <c r="EH29" i="123"/>
  <c r="EH35" i="123"/>
  <c r="DZ40" i="123"/>
  <c r="DZ41" i="123"/>
  <c r="DZ39" i="123"/>
  <c r="EH27" i="123"/>
  <c r="DV58" i="123"/>
  <c r="DV18" i="123"/>
  <c r="DX12" i="123"/>
  <c r="DY11" i="123"/>
  <c r="DY13" i="123"/>
  <c r="DY12" i="123"/>
  <c r="EH33" i="123"/>
  <c r="EH30" i="123"/>
  <c r="EM26" i="123"/>
  <c r="DX21" i="123"/>
  <c r="DX14" i="123"/>
  <c r="EC10" i="123"/>
  <c r="DX58" i="123"/>
  <c r="DX22" i="123"/>
  <c r="DX18" i="123"/>
  <c r="DW18" i="123"/>
  <c r="DZ60" i="123"/>
  <c r="EH59" i="123"/>
  <c r="EH34" i="123"/>
  <c r="DZ42" i="123"/>
  <c r="EA38" i="123"/>
  <c r="DY58" i="123"/>
  <c r="DY18" i="123"/>
  <c r="EA41" i="123"/>
  <c r="EA40" i="123"/>
  <c r="EA42" i="123"/>
  <c r="EB38" i="123"/>
  <c r="EA39" i="123"/>
  <c r="DY14" i="123"/>
  <c r="DZ10" i="123"/>
  <c r="EB41" i="123"/>
  <c r="EB39" i="123"/>
  <c r="EB42" i="123"/>
  <c r="ED38" i="123"/>
  <c r="EB40" i="123"/>
  <c r="EB60" i="123"/>
  <c r="DZ13" i="123"/>
  <c r="DZ11" i="123"/>
  <c r="DZ12" i="123"/>
  <c r="DZ14" i="123"/>
  <c r="EA10" i="123"/>
  <c r="EK26" i="123"/>
  <c r="EC39" i="123"/>
  <c r="EA60" i="123"/>
  <c r="EC40" i="123"/>
  <c r="EC41" i="123"/>
  <c r="EC47" i="123"/>
  <c r="EA12" i="123"/>
  <c r="EA13" i="123"/>
  <c r="EA11" i="123"/>
  <c r="EA14" i="123"/>
  <c r="EB10" i="123"/>
  <c r="EK28" i="123"/>
  <c r="EK59" i="123" s="1"/>
  <c r="EK29" i="123"/>
  <c r="EK27" i="123"/>
  <c r="ED41" i="123"/>
  <c r="ED40" i="123"/>
  <c r="ED39" i="123"/>
  <c r="EC45" i="123"/>
  <c r="EC42" i="123"/>
  <c r="EH38" i="123"/>
  <c r="DZ58" i="123"/>
  <c r="DZ18" i="123"/>
  <c r="EC60" i="123"/>
  <c r="EC46" i="123"/>
  <c r="EK30" i="123"/>
  <c r="EL26" i="123" s="1"/>
  <c r="EB12" i="123"/>
  <c r="EB13" i="123"/>
  <c r="EC13" i="123"/>
  <c r="EC23" i="123"/>
  <c r="EB11" i="123"/>
  <c r="EC11" i="123"/>
  <c r="ED60" i="123"/>
  <c r="ED42" i="123"/>
  <c r="EE38" i="123"/>
  <c r="EA58" i="123"/>
  <c r="EA18" i="123"/>
  <c r="EE40" i="123"/>
  <c r="EE39" i="123"/>
  <c r="EE41" i="123"/>
  <c r="EC21" i="123"/>
  <c r="EB14" i="123"/>
  <c r="ED10" i="123"/>
  <c r="EB58" i="123"/>
  <c r="EC12" i="123"/>
  <c r="ED13" i="123"/>
  <c r="ED11" i="123"/>
  <c r="ED12" i="123"/>
  <c r="EC58" i="123"/>
  <c r="EC22" i="123"/>
  <c r="EC18" i="123"/>
  <c r="EB18" i="123"/>
  <c r="EE60" i="123"/>
  <c r="EC14" i="123"/>
  <c r="EH10" i="123"/>
  <c r="EE42" i="123"/>
  <c r="EF38" i="123"/>
  <c r="ED58" i="123"/>
  <c r="ED18" i="123"/>
  <c r="ED14" i="123"/>
  <c r="EE10" i="123"/>
  <c r="EF41" i="123"/>
  <c r="EF39" i="123"/>
  <c r="EF40" i="123"/>
  <c r="EF42" i="123"/>
  <c r="EG38" i="123"/>
  <c r="EG39" i="123"/>
  <c r="EG42" i="123"/>
  <c r="EG40" i="123"/>
  <c r="EG60" i="123"/>
  <c r="EG41" i="123"/>
  <c r="EF60" i="123"/>
  <c r="EE12" i="123"/>
  <c r="EE13" i="123"/>
  <c r="EE11" i="123"/>
  <c r="EH39" i="123"/>
  <c r="EH41" i="123"/>
  <c r="EH47" i="123"/>
  <c r="EE14" i="123"/>
  <c r="EF10" i="123"/>
  <c r="EH45" i="123"/>
  <c r="EE58" i="123"/>
  <c r="EE18" i="123"/>
  <c r="EH40" i="123"/>
  <c r="EF12" i="123"/>
  <c r="EF13" i="123"/>
  <c r="EF11" i="123"/>
  <c r="EH60" i="123"/>
  <c r="EH46" i="123"/>
  <c r="EH42" i="123"/>
  <c r="EM38" i="123"/>
  <c r="EF58" i="123"/>
  <c r="EF18" i="123"/>
  <c r="EF14" i="123"/>
  <c r="EG10" i="123"/>
  <c r="EK38" i="123"/>
  <c r="EK41" i="123" s="1"/>
  <c r="EK39" i="123"/>
  <c r="EG13" i="123"/>
  <c r="EH13" i="123"/>
  <c r="EH23" i="123"/>
  <c r="EG11" i="123"/>
  <c r="EH11" i="123"/>
  <c r="EG12" i="123"/>
  <c r="EH21" i="123"/>
  <c r="EG14" i="123"/>
  <c r="EG58" i="123"/>
  <c r="EG18" i="123"/>
  <c r="EH12" i="123"/>
  <c r="EH58" i="123"/>
  <c r="EH22" i="123"/>
  <c r="EH18" i="123"/>
  <c r="EH14" i="123"/>
  <c r="EM10" i="123"/>
  <c r="EK10" i="123"/>
  <c r="EK13" i="123"/>
  <c r="GE36" i="9"/>
  <c r="EK8" i="12"/>
  <c r="B19" i="141"/>
  <c r="B20" i="141" s="1"/>
  <c r="B16" i="141"/>
  <c r="AX127" i="171" l="1"/>
  <c r="AX174" i="171" s="1"/>
  <c r="CU152" i="171"/>
  <c r="CS128" i="171"/>
  <c r="AJ44" i="171"/>
  <c r="DA223" i="171"/>
  <c r="U218" i="172"/>
  <c r="AQ20" i="9"/>
  <c r="BJ17" i="9"/>
  <c r="BK17" i="9" s="1"/>
  <c r="BO19" i="9"/>
  <c r="BS22" i="9"/>
  <c r="BT22" i="9" s="1"/>
  <c r="BT53" i="135" s="1"/>
  <c r="Q17" i="9"/>
  <c r="R17" i="9" s="1"/>
  <c r="V217" i="172"/>
  <c r="BP33" i="172"/>
  <c r="AY218" i="172"/>
  <c r="BD218" i="172"/>
  <c r="AB268" i="172"/>
  <c r="N274" i="172"/>
  <c r="BW187" i="175"/>
  <c r="ES8" i="123"/>
  <c r="FK8" i="123"/>
  <c r="FJ8" i="123"/>
  <c r="FI8" i="123"/>
  <c r="FH8" i="123"/>
  <c r="CU220" i="172"/>
  <c r="CR162" i="172"/>
  <c r="CR161" i="172" s="1"/>
  <c r="CW163" i="172"/>
  <c r="CQ162" i="172"/>
  <c r="CQ161" i="172" s="1"/>
  <c r="CV163" i="172"/>
  <c r="CV162" i="172" s="1"/>
  <c r="CV161" i="172" s="1"/>
  <c r="CQ166" i="172"/>
  <c r="CQ165" i="172" s="1"/>
  <c r="CV167" i="172"/>
  <c r="CV166" i="172" s="1"/>
  <c r="CV165" i="172" s="1"/>
  <c r="CP162" i="172"/>
  <c r="CP161" i="172" s="1"/>
  <c r="CU163" i="172"/>
  <c r="CU162" i="172" s="1"/>
  <c r="CU161" i="172" s="1"/>
  <c r="CP166" i="172"/>
  <c r="CP165" i="172" s="1"/>
  <c r="CU167" i="172"/>
  <c r="CU166" i="172" s="1"/>
  <c r="CU165" i="172" s="1"/>
  <c r="S12" i="171"/>
  <c r="AS221" i="171"/>
  <c r="AU215" i="171"/>
  <c r="AU216" i="171" s="1"/>
  <c r="AL44" i="171"/>
  <c r="AR16" i="171"/>
  <c r="AV220" i="171"/>
  <c r="AV222" i="171" s="1"/>
  <c r="AM44" i="171"/>
  <c r="AD217" i="171"/>
  <c r="AD213" i="171" s="1"/>
  <c r="AM42" i="171"/>
  <c r="AK44" i="171"/>
  <c r="Z12" i="171"/>
  <c r="AX218" i="172"/>
  <c r="BC218" i="172"/>
  <c r="CT31" i="8"/>
  <c r="BQ63" i="8"/>
  <c r="EH73" i="8"/>
  <c r="EH75" i="8" s="1"/>
  <c r="EI76" i="8" s="1"/>
  <c r="S42" i="8"/>
  <c r="AT82" i="175"/>
  <c r="AY225" i="172"/>
  <c r="H247" i="172"/>
  <c r="BL230" i="172"/>
  <c r="BL228" i="172" s="1"/>
  <c r="AY254" i="172"/>
  <c r="BN247" i="172"/>
  <c r="AM292" i="172"/>
  <c r="AT211" i="172"/>
  <c r="AY245" i="172"/>
  <c r="BI254" i="172"/>
  <c r="DQ25" i="9"/>
  <c r="DQ54" i="9" s="1"/>
  <c r="AA30" i="9"/>
  <c r="AB30" i="9" s="1"/>
  <c r="BF136" i="172"/>
  <c r="R294" i="172"/>
  <c r="AG294" i="172"/>
  <c r="AF293" i="172"/>
  <c r="L317" i="172"/>
  <c r="AE252" i="172"/>
  <c r="AW240" i="172"/>
  <c r="AR240" i="172"/>
  <c r="U248" i="172"/>
  <c r="AP231" i="172"/>
  <c r="Z246" i="172"/>
  <c r="BT135" i="172"/>
  <c r="BY136" i="172" s="1"/>
  <c r="L251" i="172"/>
  <c r="AI292" i="172"/>
  <c r="CW90" i="8"/>
  <c r="AW241" i="172"/>
  <c r="AR241" i="172"/>
  <c r="U274" i="172"/>
  <c r="BP244" i="172"/>
  <c r="BU244" i="172" s="1"/>
  <c r="BZ244" i="172" s="1"/>
  <c r="BO244" i="172"/>
  <c r="BO246" i="172" s="1"/>
  <c r="O246" i="172"/>
  <c r="AI211" i="172"/>
  <c r="AF231" i="172"/>
  <c r="O251" i="172"/>
  <c r="AU274" i="172"/>
  <c r="AG247" i="172"/>
  <c r="Z248" i="172"/>
  <c r="Z249" i="172" s="1"/>
  <c r="BS136" i="172"/>
  <c r="AE248" i="172"/>
  <c r="AJ246" i="172"/>
  <c r="AI225" i="172"/>
  <c r="AI245" i="172"/>
  <c r="AI273" i="172"/>
  <c r="D42" i="8"/>
  <c r="I42" i="8"/>
  <c r="N42" i="8"/>
  <c r="EE42" i="8"/>
  <c r="AC7" i="8"/>
  <c r="BU63" i="8"/>
  <c r="CP18" i="12"/>
  <c r="ES14" i="135"/>
  <c r="ES19" i="135"/>
  <c r="W294" i="172"/>
  <c r="AB294" i="172"/>
  <c r="AS294" i="172"/>
  <c r="AX294" i="172"/>
  <c r="W268" i="172"/>
  <c r="AL268" i="172"/>
  <c r="AQ268" i="172"/>
  <c r="AV268" i="172"/>
  <c r="BA268" i="172"/>
  <c r="EF31" i="8"/>
  <c r="DQ36" i="8"/>
  <c r="CG44" i="135"/>
  <c r="DA44" i="135"/>
  <c r="AK236" i="172"/>
  <c r="AL254" i="172"/>
  <c r="AG268" i="172"/>
  <c r="AI234" i="172"/>
  <c r="BJ131" i="172"/>
  <c r="AS211" i="172"/>
  <c r="BH273" i="172"/>
  <c r="AH294" i="172"/>
  <c r="BP266" i="172"/>
  <c r="B224" i="172"/>
  <c r="AX162" i="189"/>
  <c r="AS163" i="189"/>
  <c r="AS172" i="189"/>
  <c r="AT162" i="189"/>
  <c r="CC162" i="189"/>
  <c r="AS165" i="189"/>
  <c r="AV167" i="189"/>
  <c r="AQ172" i="189"/>
  <c r="AQ173" i="189" s="1"/>
  <c r="AQ168" i="189"/>
  <c r="U295" i="175"/>
  <c r="U295" i="189"/>
  <c r="AW167" i="189"/>
  <c r="AR168" i="189"/>
  <c r="AR172" i="189"/>
  <c r="AR173" i="189" s="1"/>
  <c r="AR170" i="189"/>
  <c r="AN172" i="189"/>
  <c r="AN173" i="189" s="1"/>
  <c r="CB167" i="189"/>
  <c r="AO167" i="189"/>
  <c r="AS168" i="189"/>
  <c r="AN170" i="189"/>
  <c r="AK295" i="175"/>
  <c r="AP295" i="175" s="1"/>
  <c r="AL295" i="175"/>
  <c r="AQ295" i="175" s="1"/>
  <c r="AL295" i="189"/>
  <c r="AQ295" i="189" s="1"/>
  <c r="AP168" i="189"/>
  <c r="AP172" i="189"/>
  <c r="AP173" i="189" s="1"/>
  <c r="AU167" i="189"/>
  <c r="AT167" i="189"/>
  <c r="AM295" i="175"/>
  <c r="AR295" i="175" s="1"/>
  <c r="AM295" i="189"/>
  <c r="DV36" i="8"/>
  <c r="DV42" i="8" s="1"/>
  <c r="DV7" i="8" s="1"/>
  <c r="DZ31" i="8"/>
  <c r="BV36" i="8"/>
  <c r="DV44" i="135"/>
  <c r="CM48" i="135"/>
  <c r="CR48" i="135"/>
  <c r="CW48" i="135"/>
  <c r="DR48" i="135"/>
  <c r="BU41" i="8"/>
  <c r="BZ63" i="8" s="1"/>
  <c r="BO36" i="8"/>
  <c r="AU36" i="8"/>
  <c r="AV36" i="8" s="1"/>
  <c r="BP190" i="172"/>
  <c r="BU136" i="172"/>
  <c r="AT431" i="175"/>
  <c r="AT431" i="189"/>
  <c r="AL211" i="172"/>
  <c r="BH211" i="172"/>
  <c r="BJ231" i="172"/>
  <c r="AX225" i="172"/>
  <c r="BV237" i="172"/>
  <c r="AX245" i="172"/>
  <c r="BC254" i="172"/>
  <c r="BC273" i="172"/>
  <c r="BV410" i="172"/>
  <c r="CA410" i="172" s="1"/>
  <c r="CF410" i="172" s="1"/>
  <c r="CK410" i="172" s="1"/>
  <c r="CP410" i="172" s="1"/>
  <c r="CU410" i="172" s="1"/>
  <c r="BU413" i="172"/>
  <c r="BZ413" i="172" s="1"/>
  <c r="CE413" i="172" s="1"/>
  <c r="CJ413" i="172" s="1"/>
  <c r="CO413" i="172" s="1"/>
  <c r="CT413" i="172" s="1"/>
  <c r="DS14" i="7"/>
  <c r="AE314" i="189"/>
  <c r="AE295" i="189"/>
  <c r="BY34" i="172"/>
  <c r="BR38" i="172"/>
  <c r="BW35" i="172"/>
  <c r="BU36" i="172"/>
  <c r="BX35" i="172"/>
  <c r="BS174" i="172"/>
  <c r="BS189" i="172" s="1"/>
  <c r="BU122" i="172"/>
  <c r="BX144" i="172"/>
  <c r="BX120" i="172"/>
  <c r="BU219" i="172"/>
  <c r="BV221" i="172"/>
  <c r="BW221" i="172"/>
  <c r="BW237" i="172"/>
  <c r="CA246" i="172"/>
  <c r="CF246" i="172" s="1"/>
  <c r="CK246" i="172" s="1"/>
  <c r="CP246" i="172" s="1"/>
  <c r="CU246" i="172" s="1"/>
  <c r="BP253" i="172"/>
  <c r="BP257" i="172" s="1"/>
  <c r="BU264" i="172"/>
  <c r="BV413" i="172"/>
  <c r="CA413" i="172" s="1"/>
  <c r="CF413" i="172" s="1"/>
  <c r="CK413" i="172" s="1"/>
  <c r="CP413" i="172" s="1"/>
  <c r="CU413" i="172" s="1"/>
  <c r="BT475" i="172"/>
  <c r="BY126" i="172"/>
  <c r="BS190" i="172"/>
  <c r="BU138" i="172"/>
  <c r="BX136" i="172"/>
  <c r="AX211" i="172"/>
  <c r="BH225" i="172"/>
  <c r="BV231" i="172"/>
  <c r="CA231" i="172" s="1"/>
  <c r="CF231" i="172" s="1"/>
  <c r="CK231" i="172" s="1"/>
  <c r="CP231" i="172" s="1"/>
  <c r="CU231" i="172" s="1"/>
  <c r="BX231" i="172"/>
  <c r="CC231" i="172" s="1"/>
  <c r="CH231" i="172" s="1"/>
  <c r="CM231" i="172" s="1"/>
  <c r="CR231" i="172" s="1"/>
  <c r="CW231" i="172" s="1"/>
  <c r="BX237" i="172"/>
  <c r="AL245" i="172"/>
  <c r="BH245" i="172"/>
  <c r="AS254" i="172"/>
  <c r="AS273" i="172"/>
  <c r="BX410" i="172"/>
  <c r="CC410" i="172" s="1"/>
  <c r="CH410" i="172" s="1"/>
  <c r="CM410" i="172" s="1"/>
  <c r="CR410" i="172" s="1"/>
  <c r="CW410" i="172" s="1"/>
  <c r="BW413" i="172"/>
  <c r="CB413" i="172" s="1"/>
  <c r="CG413" i="172" s="1"/>
  <c r="CL413" i="172" s="1"/>
  <c r="CQ413" i="172" s="1"/>
  <c r="CV413" i="172" s="1"/>
  <c r="AJ304" i="175"/>
  <c r="AJ304" i="189"/>
  <c r="AJ332" i="175"/>
  <c r="AJ331" i="175" s="1"/>
  <c r="AJ332" i="189"/>
  <c r="AJ331" i="189" s="1"/>
  <c r="BR174" i="172"/>
  <c r="BR189" i="172" s="1"/>
  <c r="BW144" i="172"/>
  <c r="BW120" i="172"/>
  <c r="BT190" i="172"/>
  <c r="BQ174" i="172"/>
  <c r="BQ189" i="172" s="1"/>
  <c r="BV120" i="172"/>
  <c r="BV144" i="172"/>
  <c r="BK266" i="172"/>
  <c r="BS122" i="172"/>
  <c r="BN85" i="172"/>
  <c r="BN63" i="172"/>
  <c r="BN61" i="172"/>
  <c r="AE318" i="175"/>
  <c r="AE318" i="189"/>
  <c r="BP174" i="172"/>
  <c r="BP189" i="172" s="1"/>
  <c r="BU144" i="172"/>
  <c r="BU120" i="172"/>
  <c r="AE422" i="189"/>
  <c r="AE329" i="189"/>
  <c r="BQ190" i="172"/>
  <c r="BV136" i="172"/>
  <c r="BC211" i="172"/>
  <c r="AS225" i="172"/>
  <c r="BW231" i="172"/>
  <c r="CB231" i="172" s="1"/>
  <c r="CG231" i="172" s="1"/>
  <c r="CL231" i="172" s="1"/>
  <c r="CQ231" i="172" s="1"/>
  <c r="CV231" i="172" s="1"/>
  <c r="BU231" i="172"/>
  <c r="BZ231" i="172" s="1"/>
  <c r="CE231" i="172" s="1"/>
  <c r="CJ231" i="172" s="1"/>
  <c r="CO231" i="172" s="1"/>
  <c r="CT231" i="172" s="1"/>
  <c r="BZ237" i="172"/>
  <c r="AS245" i="172"/>
  <c r="Y248" i="172"/>
  <c r="AX254" i="172"/>
  <c r="AP270" i="172"/>
  <c r="BP278" i="172"/>
  <c r="BU272" i="172"/>
  <c r="AX273" i="172"/>
  <c r="BY413" i="172"/>
  <c r="CD413" i="172" s="1"/>
  <c r="CI413" i="172" s="1"/>
  <c r="CN413" i="172" s="1"/>
  <c r="CS413" i="172" s="1"/>
  <c r="CX413" i="172" s="1"/>
  <c r="BX413" i="172"/>
  <c r="CC413" i="172" s="1"/>
  <c r="CH413" i="172" s="1"/>
  <c r="CM413" i="172" s="1"/>
  <c r="CR413" i="172" s="1"/>
  <c r="CW413" i="172" s="1"/>
  <c r="AJ297" i="175"/>
  <c r="AJ297" i="189"/>
  <c r="DS13" i="7"/>
  <c r="AE313" i="189"/>
  <c r="AE379" i="189" s="1"/>
  <c r="AJ380" i="189" s="1"/>
  <c r="AO431" i="175"/>
  <c r="AO431" i="189"/>
  <c r="CI54" i="135"/>
  <c r="DC54" i="135"/>
  <c r="DZ29" i="135"/>
  <c r="EH66" i="8"/>
  <c r="EM27" i="9"/>
  <c r="AA14" i="9"/>
  <c r="AB14" i="9" s="1"/>
  <c r="EI81" i="8"/>
  <c r="EH41" i="8"/>
  <c r="EM63" i="8" s="1"/>
  <c r="EM69" i="8" s="1"/>
  <c r="EM70" i="8" s="1"/>
  <c r="EI63" i="8"/>
  <c r="EI69" i="8" s="1"/>
  <c r="EI70" i="8" s="1"/>
  <c r="DE44" i="135"/>
  <c r="DA48" i="135"/>
  <c r="DR54" i="135"/>
  <c r="CF57" i="135"/>
  <c r="DY57" i="135"/>
  <c r="CS44" i="135"/>
  <c r="X433" i="189"/>
  <c r="AC433" i="189"/>
  <c r="AP366" i="189"/>
  <c r="AP122" i="189"/>
  <c r="AT225" i="189"/>
  <c r="AU226" i="189"/>
  <c r="AP217" i="189"/>
  <c r="AP218" i="189" s="1"/>
  <c r="CB225" i="189"/>
  <c r="AB433" i="189"/>
  <c r="Y433" i="189"/>
  <c r="AD433" i="189"/>
  <c r="Z433" i="189"/>
  <c r="AA433" i="189"/>
  <c r="AA434" i="189" s="1"/>
  <c r="BC294" i="172"/>
  <c r="AP150" i="175"/>
  <c r="AN150" i="175"/>
  <c r="AM267" i="175"/>
  <c r="AM269" i="175" s="1"/>
  <c r="AR260" i="175"/>
  <c r="AM57" i="175"/>
  <c r="AN351" i="175"/>
  <c r="AN352" i="175" s="1"/>
  <c r="AS260" i="175"/>
  <c r="AN57" i="175"/>
  <c r="AK150" i="175"/>
  <c r="AP260" i="175"/>
  <c r="AK57" i="175"/>
  <c r="AX125" i="175"/>
  <c r="AX38" i="175" s="1"/>
  <c r="AM150" i="175"/>
  <c r="AR150" i="175"/>
  <c r="AQ260" i="175"/>
  <c r="AL57" i="175"/>
  <c r="BR77" i="172"/>
  <c r="BQ77" i="172"/>
  <c r="BP77" i="172"/>
  <c r="BS77" i="172"/>
  <c r="BR48" i="172"/>
  <c r="BS48" i="172"/>
  <c r="BR72" i="172"/>
  <c r="BR67" i="172"/>
  <c r="BR43" i="172"/>
  <c r="BQ67" i="172"/>
  <c r="EM80" i="7"/>
  <c r="EM58" i="7"/>
  <c r="ER59" i="7" s="1"/>
  <c r="EM63" i="7"/>
  <c r="ER64" i="7" s="1"/>
  <c r="EM68" i="7"/>
  <c r="ER69" i="7" s="1"/>
  <c r="EF7" i="135"/>
  <c r="EJ11" i="135"/>
  <c r="EI13" i="135"/>
  <c r="DV59" i="135"/>
  <c r="EF9" i="135"/>
  <c r="EG8" i="135"/>
  <c r="DZ27" i="135"/>
  <c r="EB59" i="135"/>
  <c r="DZ12" i="135"/>
  <c r="DZ22" i="135"/>
  <c r="DV36" i="135"/>
  <c r="DV37" i="135" s="1"/>
  <c r="EE27" i="135"/>
  <c r="EA36" i="135"/>
  <c r="EF22" i="135"/>
  <c r="EF17" i="135"/>
  <c r="DZ17" i="135"/>
  <c r="EJ16" i="135"/>
  <c r="EJ18" i="135" s="1"/>
  <c r="EA59" i="135"/>
  <c r="EF29" i="135"/>
  <c r="EA29" i="135"/>
  <c r="DZ36" i="135"/>
  <c r="EE37" i="135" s="1"/>
  <c r="EA17" i="135"/>
  <c r="Z216" i="171"/>
  <c r="AN107" i="175"/>
  <c r="AN32" i="175" s="1"/>
  <c r="AM341" i="189"/>
  <c r="AO340" i="189"/>
  <c r="AO341" i="189" s="1"/>
  <c r="CW152" i="171"/>
  <c r="CU134" i="171"/>
  <c r="AN349" i="189"/>
  <c r="AO42" i="171"/>
  <c r="AH294" i="189"/>
  <c r="AH311" i="189" s="1"/>
  <c r="AH293" i="189"/>
  <c r="AW343" i="175"/>
  <c r="AW343" i="189"/>
  <c r="AG294" i="189"/>
  <c r="AG293" i="189"/>
  <c r="AR88" i="175"/>
  <c r="AP88" i="175"/>
  <c r="AQ90" i="175" s="1"/>
  <c r="AQ89" i="175"/>
  <c r="AW26" i="175"/>
  <c r="AN20" i="175"/>
  <c r="AK20" i="175"/>
  <c r="AU20" i="175"/>
  <c r="AR163" i="175"/>
  <c r="EI118" i="135"/>
  <c r="BW44" i="135"/>
  <c r="CL44" i="135"/>
  <c r="CQ44" i="135"/>
  <c r="CV44" i="135"/>
  <c r="DF44" i="135"/>
  <c r="DQ44" i="135"/>
  <c r="EA44" i="135"/>
  <c r="EF44" i="135"/>
  <c r="BX48" i="135"/>
  <c r="CC48" i="135"/>
  <c r="CH48" i="135"/>
  <c r="DB48" i="135"/>
  <c r="DG48" i="135"/>
  <c r="EG48" i="135"/>
  <c r="CB44" i="135"/>
  <c r="AA36" i="8"/>
  <c r="AB36" i="8" s="1"/>
  <c r="DW48" i="135"/>
  <c r="BJ36" i="8"/>
  <c r="BK36" i="8" s="1"/>
  <c r="BE36" i="8"/>
  <c r="BF36" i="8" s="1"/>
  <c r="AF36" i="8"/>
  <c r="AG36" i="8" s="1"/>
  <c r="EC41" i="8"/>
  <c r="EH63" i="8" s="1"/>
  <c r="AP36" i="8"/>
  <c r="CE31" i="8"/>
  <c r="BI265" i="172"/>
  <c r="BO167" i="172"/>
  <c r="BJ217" i="172"/>
  <c r="CG23" i="171"/>
  <c r="CS146" i="171"/>
  <c r="CD146" i="171"/>
  <c r="CT146" i="171"/>
  <c r="CE146" i="171"/>
  <c r="EQ24" i="135"/>
  <c r="EV24" i="135" s="1"/>
  <c r="FA24" i="135" s="1"/>
  <c r="FF24" i="135" s="1"/>
  <c r="FK24" i="135" s="1"/>
  <c r="BR120" i="172"/>
  <c r="AK134" i="175"/>
  <c r="T218" i="172"/>
  <c r="Y218" i="172"/>
  <c r="AD218" i="172"/>
  <c r="AI218" i="172"/>
  <c r="AN218" i="172"/>
  <c r="AS218" i="172"/>
  <c r="BH218" i="172"/>
  <c r="BO197" i="172"/>
  <c r="K246" i="172"/>
  <c r="BK28" i="172"/>
  <c r="EN8" i="123"/>
  <c r="EN51" i="123" s="1"/>
  <c r="EQ8" i="123"/>
  <c r="FD8" i="123"/>
  <c r="FC8" i="123"/>
  <c r="FF8" i="123"/>
  <c r="FE8" i="123"/>
  <c r="GC18" i="9"/>
  <c r="GC24" i="9" s="1"/>
  <c r="D38" i="141" s="1"/>
  <c r="EC18" i="9"/>
  <c r="EC24" i="9" s="1"/>
  <c r="GE18" i="9"/>
  <c r="DS30" i="9"/>
  <c r="DS32" i="9"/>
  <c r="BH38" i="9"/>
  <c r="BI38" i="9" s="1"/>
  <c r="BG39" i="9"/>
  <c r="DI38" i="9"/>
  <c r="FZ38" i="9"/>
  <c r="DH39" i="9"/>
  <c r="CA57" i="135"/>
  <c r="CD10" i="12"/>
  <c r="CE10" i="12" s="1"/>
  <c r="AI18" i="9"/>
  <c r="AJ18" i="9" s="1"/>
  <c r="BW33" i="9"/>
  <c r="BX30" i="9"/>
  <c r="GA38" i="9"/>
  <c r="DL39" i="9"/>
  <c r="EC35" i="9"/>
  <c r="AN18" i="9"/>
  <c r="AO18" i="9" s="1"/>
  <c r="AP18" i="9" s="1"/>
  <c r="AQ18" i="9" s="1"/>
  <c r="DN18" i="9"/>
  <c r="DN24" i="9" s="1"/>
  <c r="GA18" i="9"/>
  <c r="EH18" i="9"/>
  <c r="EH24" i="9" s="1"/>
  <c r="DX30" i="9"/>
  <c r="CP39" i="9"/>
  <c r="FV38" i="9"/>
  <c r="FV39" i="9" s="1"/>
  <c r="CT38" i="9"/>
  <c r="CT39" i="9" s="1"/>
  <c r="GB38" i="9"/>
  <c r="DX38" i="9"/>
  <c r="DX39" i="9" s="1"/>
  <c r="DU39" i="9"/>
  <c r="EC37" i="9"/>
  <c r="DS18" i="9"/>
  <c r="EA24" i="9"/>
  <c r="EF24" i="9"/>
  <c r="EF25" i="9" s="1"/>
  <c r="AH24" i="9"/>
  <c r="BC38" i="9"/>
  <c r="BD38" i="9" s="1"/>
  <c r="BE38" i="9" s="1"/>
  <c r="BF38" i="9" s="1"/>
  <c r="BB39" i="9"/>
  <c r="DD38" i="9"/>
  <c r="DD39" i="9" s="1"/>
  <c r="FY38" i="9"/>
  <c r="FY39" i="9" s="1"/>
  <c r="DC39" i="9"/>
  <c r="EF39" i="9"/>
  <c r="GE38" i="9"/>
  <c r="EH38" i="9"/>
  <c r="EH39" i="9" s="1"/>
  <c r="CU54" i="135"/>
  <c r="DE54" i="135"/>
  <c r="BC167" i="175"/>
  <c r="BL255" i="172"/>
  <c r="AF274" i="172"/>
  <c r="AB247" i="172"/>
  <c r="BJ246" i="172"/>
  <c r="R246" i="172"/>
  <c r="BN136" i="172"/>
  <c r="BG265" i="172"/>
  <c r="BD136" i="172"/>
  <c r="DR136" i="135"/>
  <c r="BI211" i="172"/>
  <c r="AJ211" i="172"/>
  <c r="AT273" i="172"/>
  <c r="AT225" i="172"/>
  <c r="AT254" i="172"/>
  <c r="AT245" i="172"/>
  <c r="AM273" i="172"/>
  <c r="CD192" i="171"/>
  <c r="BL256" i="172"/>
  <c r="BQ264" i="172"/>
  <c r="DJ264" i="172"/>
  <c r="AP228" i="172"/>
  <c r="Q235" i="172"/>
  <c r="AT292" i="172"/>
  <c r="BI136" i="172"/>
  <c r="BD292" i="172"/>
  <c r="BD211" i="172"/>
  <c r="BI273" i="172"/>
  <c r="BI225" i="172"/>
  <c r="AJ225" i="172"/>
  <c r="BI245" i="172"/>
  <c r="AM245" i="172"/>
  <c r="AM254" i="172"/>
  <c r="AU217" i="172"/>
  <c r="I246" i="172"/>
  <c r="J275" i="172"/>
  <c r="BL269" i="172"/>
  <c r="BL267" i="172" s="1"/>
  <c r="BL268" i="172" s="1"/>
  <c r="BL266" i="172"/>
  <c r="AZ270" i="172"/>
  <c r="O274" i="172"/>
  <c r="BK178" i="172"/>
  <c r="BK138" i="172"/>
  <c r="AZ267" i="172"/>
  <c r="O248" i="172"/>
  <c r="BN138" i="172"/>
  <c r="AY292" i="172"/>
  <c r="EB136" i="135"/>
  <c r="EB138" i="135" s="1"/>
  <c r="BI292" i="172"/>
  <c r="AY211" i="172"/>
  <c r="BD273" i="172"/>
  <c r="BD225" i="172"/>
  <c r="BD254" i="172"/>
  <c r="BD245" i="172"/>
  <c r="AM211" i="172"/>
  <c r="AM225" i="172"/>
  <c r="Q251" i="172"/>
  <c r="AX268" i="172"/>
  <c r="V267" i="172"/>
  <c r="AA268" i="172" s="1"/>
  <c r="S294" i="172"/>
  <c r="X294" i="172"/>
  <c r="AC294" i="172"/>
  <c r="AT294" i="172"/>
  <c r="AY294" i="172"/>
  <c r="BD294" i="172"/>
  <c r="BI294" i="172"/>
  <c r="V293" i="172"/>
  <c r="V294" i="172" s="1"/>
  <c r="Q317" i="172"/>
  <c r="V324" i="172"/>
  <c r="Q336" i="172"/>
  <c r="Q350" i="172"/>
  <c r="AA350" i="172"/>
  <c r="EP24" i="135"/>
  <c r="EZ24" i="135" s="1"/>
  <c r="FE24" i="135" s="1"/>
  <c r="FJ24" i="135" s="1"/>
  <c r="ED43" i="135"/>
  <c r="AV240" i="172"/>
  <c r="L348" i="172"/>
  <c r="L321" i="172"/>
  <c r="N275" i="172"/>
  <c r="X248" i="172"/>
  <c r="AE247" i="172"/>
  <c r="I247" i="172"/>
  <c r="BE217" i="172"/>
  <c r="AH247" i="172"/>
  <c r="AZ226" i="172"/>
  <c r="AZ246" i="172"/>
  <c r="AN233" i="172"/>
  <c r="AN236" i="172" s="1"/>
  <c r="Q237" i="172"/>
  <c r="BT171" i="172"/>
  <c r="G354" i="172"/>
  <c r="G348" i="172"/>
  <c r="AF270" i="172"/>
  <c r="BM227" i="172"/>
  <c r="BK245" i="172"/>
  <c r="EF118" i="135"/>
  <c r="AV241" i="172"/>
  <c r="AQ241" i="172"/>
  <c r="V270" i="172"/>
  <c r="AK274" i="172"/>
  <c r="AP248" i="172"/>
  <c r="AK255" i="172"/>
  <c r="P251" i="172"/>
  <c r="Y247" i="172"/>
  <c r="AI237" i="172"/>
  <c r="AI247" i="172"/>
  <c r="BM247" i="172"/>
  <c r="AA324" i="172"/>
  <c r="BE282" i="172"/>
  <c r="V228" i="172"/>
  <c r="I251" i="172"/>
  <c r="N279" i="172"/>
  <c r="EC108" i="135"/>
  <c r="S274" i="172"/>
  <c r="AF267" i="172"/>
  <c r="AP267" i="172"/>
  <c r="P247" i="172"/>
  <c r="AD246" i="172"/>
  <c r="DJ224" i="172"/>
  <c r="AM246" i="172"/>
  <c r="AH248" i="172"/>
  <c r="AM249" i="172" s="1"/>
  <c r="BL227" i="172"/>
  <c r="BM250" i="172"/>
  <c r="BM248" i="172" s="1"/>
  <c r="AF235" i="172"/>
  <c r="BS142" i="172"/>
  <c r="BS100" i="172" s="1"/>
  <c r="V231" i="172"/>
  <c r="BK254" i="172"/>
  <c r="BK273" i="172"/>
  <c r="BK225" i="172"/>
  <c r="AZ231" i="172"/>
  <c r="J279" i="172"/>
  <c r="BO18" i="172"/>
  <c r="EC109" i="135" s="1"/>
  <c r="BE32" i="9"/>
  <c r="DA14" i="171"/>
  <c r="DA15" i="171" s="1"/>
  <c r="AO133" i="171"/>
  <c r="AO127" i="171" s="1"/>
  <c r="AO174" i="171" s="1"/>
  <c r="AE12" i="171"/>
  <c r="BP262" i="172"/>
  <c r="AJ216" i="171"/>
  <c r="AF216" i="171"/>
  <c r="AR148" i="175"/>
  <c r="BN253" i="172"/>
  <c r="BN269" i="172" s="1"/>
  <c r="BN267" i="172" s="1"/>
  <c r="BN268" i="172" s="1"/>
  <c r="DW136" i="135"/>
  <c r="EG136" i="135"/>
  <c r="EG137" i="135" s="1"/>
  <c r="BK211" i="172"/>
  <c r="G17" i="9"/>
  <c r="H17" i="9" s="1"/>
  <c r="AA258" i="172"/>
  <c r="AU258" i="172"/>
  <c r="I274" i="172"/>
  <c r="CS7" i="171"/>
  <c r="J12" i="171"/>
  <c r="R12" i="171"/>
  <c r="CU201" i="171"/>
  <c r="CV201" i="171"/>
  <c r="CS164" i="171"/>
  <c r="CC201" i="171"/>
  <c r="CC202" i="171" s="1"/>
  <c r="CS158" i="171"/>
  <c r="CV146" i="171"/>
  <c r="CS134" i="171"/>
  <c r="CV152" i="171"/>
  <c r="CC152" i="171"/>
  <c r="CC158" i="171"/>
  <c r="DB224" i="171"/>
  <c r="CU140" i="171"/>
  <c r="CT128" i="171"/>
  <c r="AJ268" i="172"/>
  <c r="Z218" i="172"/>
  <c r="AE218" i="172"/>
  <c r="AJ218" i="172"/>
  <c r="AO218" i="172"/>
  <c r="AT218" i="172"/>
  <c r="BI218" i="172"/>
  <c r="BJ222" i="172"/>
  <c r="BJ169" i="172"/>
  <c r="H246" i="172"/>
  <c r="K274" i="172"/>
  <c r="J247" i="172"/>
  <c r="AT14" i="171"/>
  <c r="M12" i="171"/>
  <c r="Q12" i="171"/>
  <c r="U12" i="171"/>
  <c r="AM107" i="175"/>
  <c r="AT127" i="171"/>
  <c r="AT174" i="171" s="1"/>
  <c r="K12" i="171"/>
  <c r="O12" i="171"/>
  <c r="Y12" i="171"/>
  <c r="Y216" i="171"/>
  <c r="AQ42" i="171"/>
  <c r="AP107" i="175"/>
  <c r="AP32" i="175" s="1"/>
  <c r="AU221" i="171"/>
  <c r="AS215" i="171"/>
  <c r="AT221" i="171"/>
  <c r="AI217" i="171"/>
  <c r="AI213" i="171" s="1"/>
  <c r="AT42" i="171"/>
  <c r="AQ33" i="171"/>
  <c r="AU219" i="171"/>
  <c r="AS219" i="171"/>
  <c r="AT219" i="171"/>
  <c r="AU14" i="171"/>
  <c r="AU19" i="171" s="1"/>
  <c r="AS340" i="189" s="1"/>
  <c r="AS341" i="189" s="1"/>
  <c r="AT215" i="171"/>
  <c r="DW59" i="135"/>
  <c r="EG29" i="135"/>
  <c r="EB12" i="135"/>
  <c r="BM256" i="172"/>
  <c r="BM266" i="172"/>
  <c r="G272" i="172"/>
  <c r="G274" i="172" s="1"/>
  <c r="K275" i="172"/>
  <c r="Y251" i="172"/>
  <c r="AK226" i="172"/>
  <c r="AH246" i="172"/>
  <c r="AG246" i="172"/>
  <c r="BL250" i="172"/>
  <c r="BL248" i="172" s="1"/>
  <c r="BL249" i="172" s="1"/>
  <c r="O247" i="172"/>
  <c r="J246" i="172"/>
  <c r="BJ171" i="172"/>
  <c r="BB136" i="172"/>
  <c r="BL122" i="172"/>
  <c r="BK38" i="172"/>
  <c r="BK39" i="172" s="1"/>
  <c r="AF226" i="172"/>
  <c r="AA231" i="172"/>
  <c r="L342" i="172"/>
  <c r="AR134" i="175"/>
  <c r="BJ161" i="172"/>
  <c r="BR28" i="172"/>
  <c r="AJ318" i="175"/>
  <c r="AP274" i="172"/>
  <c r="BH266" i="172"/>
  <c r="BI266" i="172"/>
  <c r="AD247" i="172"/>
  <c r="Y246" i="172"/>
  <c r="AQ233" i="172"/>
  <c r="AV233" i="172" s="1"/>
  <c r="AV236" i="172" s="1"/>
  <c r="BE246" i="172"/>
  <c r="AL246" i="172"/>
  <c r="AF237" i="172"/>
  <c r="AA226" i="172"/>
  <c r="BL247" i="172"/>
  <c r="N246" i="172"/>
  <c r="AF246" i="172"/>
  <c r="AP217" i="172"/>
  <c r="AU218" i="172" s="1"/>
  <c r="AA212" i="172"/>
  <c r="BE226" i="172"/>
  <c r="S251" i="172"/>
  <c r="AP134" i="175"/>
  <c r="AP136" i="175" s="1"/>
  <c r="CC192" i="171"/>
  <c r="AL234" i="172"/>
  <c r="BF302" i="172"/>
  <c r="J251" i="172"/>
  <c r="S248" i="172"/>
  <c r="BN72" i="172"/>
  <c r="Q256" i="171"/>
  <c r="BM269" i="172"/>
  <c r="BM267" i="172" s="1"/>
  <c r="BM268" i="172" s="1"/>
  <c r="BR264" i="172"/>
  <c r="BW264" i="172" s="1"/>
  <c r="P274" i="172"/>
  <c r="AA274" i="172"/>
  <c r="M275" i="172"/>
  <c r="AC246" i="172"/>
  <c r="AG251" i="172"/>
  <c r="AG248" i="172"/>
  <c r="DJ244" i="172"/>
  <c r="DJ246" i="172" s="1"/>
  <c r="Z247" i="172"/>
  <c r="S246" i="172"/>
  <c r="AP226" i="172"/>
  <c r="BM120" i="172"/>
  <c r="X246" i="172"/>
  <c r="AA228" i="172"/>
  <c r="AU212" i="172"/>
  <c r="AZ255" i="172"/>
  <c r="DP136" i="135"/>
  <c r="BK14" i="172"/>
  <c r="BB225" i="172"/>
  <c r="O256" i="171"/>
  <c r="CZ54" i="135"/>
  <c r="CV57" i="135"/>
  <c r="CZ57" i="135"/>
  <c r="BY22" i="9"/>
  <c r="BY53" i="135" s="1"/>
  <c r="CD54" i="135" s="1"/>
  <c r="AZ11" i="9"/>
  <c r="BA11" i="9" s="1"/>
  <c r="AD66" i="8"/>
  <c r="DH25" i="9"/>
  <c r="DH54" i="9" s="1"/>
  <c r="CM57" i="135"/>
  <c r="EA57" i="135"/>
  <c r="AM261" i="175"/>
  <c r="AA264" i="175"/>
  <c r="AH243" i="175"/>
  <c r="AV125" i="175"/>
  <c r="AV38" i="175" s="1"/>
  <c r="AI240" i="175"/>
  <c r="AI241" i="175" s="1"/>
  <c r="AJ242" i="175"/>
  <c r="AQ35" i="175"/>
  <c r="AR118" i="175"/>
  <c r="AW147" i="175"/>
  <c r="AW148" i="175" s="1"/>
  <c r="AL35" i="175"/>
  <c r="AU11" i="175"/>
  <c r="DB90" i="8"/>
  <c r="CF68" i="123"/>
  <c r="EB67" i="123"/>
  <c r="CE201" i="171"/>
  <c r="CZ270" i="171"/>
  <c r="N12" i="171"/>
  <c r="V12" i="171"/>
  <c r="CD23" i="171"/>
  <c r="P256" i="171"/>
  <c r="AO182" i="171"/>
  <c r="BI262" i="172"/>
  <c r="AP133" i="171"/>
  <c r="AP127" i="171" s="1"/>
  <c r="AP174" i="171" s="1"/>
  <c r="AQ145" i="171"/>
  <c r="AQ133" i="171" s="1"/>
  <c r="AQ127" i="171" s="1"/>
  <c r="AQ174" i="171" s="1"/>
  <c r="CC15" i="171"/>
  <c r="CF23" i="171"/>
  <c r="CC23" i="171"/>
  <c r="AW223" i="171"/>
  <c r="AH217" i="171"/>
  <c r="AH213" i="171" s="1"/>
  <c r="AK219" i="171"/>
  <c r="CB176" i="171"/>
  <c r="CB177" i="171" s="1"/>
  <c r="CV164" i="171"/>
  <c r="AQ182" i="171"/>
  <c r="BH262" i="172"/>
  <c r="CF201" i="171"/>
  <c r="CF202" i="171" s="1"/>
  <c r="DA270" i="171"/>
  <c r="AQ16" i="171"/>
  <c r="AY145" i="171"/>
  <c r="AY127" i="171" s="1"/>
  <c r="AY174" i="171" s="1"/>
  <c r="CF152" i="171"/>
  <c r="CW164" i="171"/>
  <c r="AV224" i="171"/>
  <c r="AV185" i="171" s="1"/>
  <c r="AL220" i="171"/>
  <c r="DA269" i="171"/>
  <c r="CV181" i="171"/>
  <c r="CX201" i="171"/>
  <c r="CF164" i="171"/>
  <c r="AP16" i="171"/>
  <c r="CH14" i="171"/>
  <c r="CH15" i="171" s="1"/>
  <c r="CR7" i="171"/>
  <c r="CF15" i="171"/>
  <c r="DA23" i="171"/>
  <c r="I12" i="171"/>
  <c r="CT11" i="171"/>
  <c r="CT10" i="171" s="1"/>
  <c r="CT69" i="171" s="1"/>
  <c r="CH39" i="171"/>
  <c r="AK215" i="171"/>
  <c r="AK217" i="171" s="1"/>
  <c r="AK213" i="171" s="1"/>
  <c r="AR182" i="171"/>
  <c r="CE177" i="171"/>
  <c r="CU176" i="171"/>
  <c r="CU177" i="171" s="1"/>
  <c r="BX409" i="172" s="1"/>
  <c r="BY409" i="172" s="1"/>
  <c r="DP67" i="171"/>
  <c r="DC270" i="171"/>
  <c r="CB11" i="171"/>
  <c r="CB23" i="171"/>
  <c r="CQ11" i="171"/>
  <c r="CC164" i="171"/>
  <c r="CX164" i="171"/>
  <c r="DB269" i="171"/>
  <c r="CD181" i="171"/>
  <c r="CW201" i="171"/>
  <c r="DN67" i="171"/>
  <c r="CE15" i="171"/>
  <c r="CI23" i="171"/>
  <c r="AK216" i="171"/>
  <c r="CE181" i="171"/>
  <c r="CB201" i="171"/>
  <c r="CB202" i="171" s="1"/>
  <c r="AE217" i="171"/>
  <c r="AE213" i="171" s="1"/>
  <c r="CD164" i="171"/>
  <c r="CT158" i="171"/>
  <c r="AA217" i="171"/>
  <c r="AA213" i="171" s="1"/>
  <c r="AP182" i="171"/>
  <c r="AP184" i="171" s="1"/>
  <c r="CT152" i="171"/>
  <c r="AB127" i="171"/>
  <c r="AB174" i="171" s="1"/>
  <c r="EG22" i="135"/>
  <c r="EH22" i="135" s="1"/>
  <c r="EC26" i="135"/>
  <c r="EC12" i="135" s="1"/>
  <c r="EG7" i="135"/>
  <c r="EG12" i="135"/>
  <c r="EH12" i="135" s="1"/>
  <c r="EG17" i="135"/>
  <c r="EH17" i="135" s="1"/>
  <c r="BW43" i="135"/>
  <c r="CC47" i="135"/>
  <c r="CM47" i="135"/>
  <c r="DB47" i="135"/>
  <c r="DG47" i="135"/>
  <c r="DR47" i="135"/>
  <c r="EG36" i="135"/>
  <c r="EG38" i="135" s="1"/>
  <c r="EB29" i="135"/>
  <c r="EB22" i="135"/>
  <c r="EC22" i="135" s="1"/>
  <c r="EG27" i="135"/>
  <c r="EH26" i="135"/>
  <c r="EH36" i="135" s="1"/>
  <c r="EC6" i="135"/>
  <c r="ED9" i="135" s="1"/>
  <c r="CR43" i="135"/>
  <c r="CW43" i="135"/>
  <c r="DB43" i="135"/>
  <c r="DR43" i="135"/>
  <c r="EB158" i="135"/>
  <c r="EB150" i="135" s="1"/>
  <c r="EB151" i="135" s="1"/>
  <c r="EC23" i="135"/>
  <c r="EB17" i="135"/>
  <c r="EC17" i="135" s="1"/>
  <c r="DZ37" i="135"/>
  <c r="DW36" i="135"/>
  <c r="DW38" i="135" s="1"/>
  <c r="EH23" i="135"/>
  <c r="CE77" i="135"/>
  <c r="BO32" i="9"/>
  <c r="FQ32" i="9" s="1"/>
  <c r="BE20" i="9"/>
  <c r="BF20" i="9" s="1"/>
  <c r="AO23" i="9"/>
  <c r="AP23" i="9" s="1"/>
  <c r="AQ23" i="9" s="1"/>
  <c r="BJ21" i="9"/>
  <c r="FP21" i="9" s="1"/>
  <c r="FR23" i="9"/>
  <c r="BS56" i="135"/>
  <c r="BU56" i="135" s="1"/>
  <c r="BE37" i="9"/>
  <c r="FO37" i="9" s="1"/>
  <c r="BT40" i="9"/>
  <c r="BU40" i="9" s="1"/>
  <c r="BJ32" i="9"/>
  <c r="BK32" i="9" s="1"/>
  <c r="BT14" i="9"/>
  <c r="BU14" i="9" s="1"/>
  <c r="AU13" i="9"/>
  <c r="AV13" i="9" s="1"/>
  <c r="G14" i="9"/>
  <c r="H14" i="9" s="1"/>
  <c r="DL25" i="9"/>
  <c r="DL54" i="9" s="1"/>
  <c r="DW61" i="12"/>
  <c r="CF48" i="135"/>
  <c r="CZ48" i="135"/>
  <c r="BW42" i="8"/>
  <c r="AZ21" i="175"/>
  <c r="CU48" i="135"/>
  <c r="BG257" i="172"/>
  <c r="BG258" i="172" s="1"/>
  <c r="DC62" i="123"/>
  <c r="AM20" i="175"/>
  <c r="AS20" i="175"/>
  <c r="AR20" i="175"/>
  <c r="AQ20" i="175"/>
  <c r="AP20" i="175"/>
  <c r="AU409" i="172"/>
  <c r="BQ262" i="172"/>
  <c r="AU29" i="175"/>
  <c r="CP48" i="135"/>
  <c r="AL20" i="175"/>
  <c r="CK67" i="123"/>
  <c r="CZ65" i="123"/>
  <c r="ED65" i="123"/>
  <c r="DY81" i="8"/>
  <c r="DX95" i="8"/>
  <c r="DX94" i="8"/>
  <c r="EC95" i="8"/>
  <c r="EC94" i="8"/>
  <c r="CB42" i="8"/>
  <c r="AH63" i="8"/>
  <c r="EH95" i="8"/>
  <c r="EH94" i="8"/>
  <c r="DB67" i="8"/>
  <c r="DT81" i="8"/>
  <c r="DS95" i="8"/>
  <c r="DS94" i="8"/>
  <c r="DE65" i="123"/>
  <c r="ED36" i="8"/>
  <c r="ED42" i="8" s="1"/>
  <c r="ED7" i="8" s="1"/>
  <c r="CE63" i="8"/>
  <c r="CL48" i="135"/>
  <c r="EA48" i="135"/>
  <c r="EF48" i="135"/>
  <c r="DF36" i="8"/>
  <c r="DF42" i="8" s="1"/>
  <c r="DF7" i="8" s="1"/>
  <c r="CA63" i="8"/>
  <c r="EB36" i="8"/>
  <c r="EC36" i="8" s="1"/>
  <c r="CR31" i="8"/>
  <c r="CR36" i="8" s="1"/>
  <c r="CU44" i="135"/>
  <c r="DK44" i="135"/>
  <c r="BY14" i="8"/>
  <c r="BZ14" i="8" s="1"/>
  <c r="CA82" i="8"/>
  <c r="CA81" i="8"/>
  <c r="DZ76" i="8"/>
  <c r="EF76" i="8"/>
  <c r="EG76" i="8"/>
  <c r="CT30" i="8"/>
  <c r="BX14" i="8"/>
  <c r="BX21" i="8" s="1"/>
  <c r="BY42" i="9"/>
  <c r="CC42" i="9"/>
  <c r="CC81" i="8"/>
  <c r="CB14" i="8"/>
  <c r="CB21" i="8" s="1"/>
  <c r="CB82" i="8"/>
  <c r="CG42" i="9"/>
  <c r="CG81" i="8"/>
  <c r="CF14" i="8"/>
  <c r="CF21" i="8" s="1"/>
  <c r="CF82" i="8"/>
  <c r="CG82" i="8"/>
  <c r="DG41" i="8"/>
  <c r="DH63" i="8" s="1"/>
  <c r="CW31" i="8"/>
  <c r="CW36" i="8" s="1"/>
  <c r="CW42" i="8" s="1"/>
  <c r="CW7" i="8" s="1"/>
  <c r="CE8" i="8"/>
  <c r="CJ42" i="9" s="1"/>
  <c r="CF42" i="9"/>
  <c r="CD82" i="8"/>
  <c r="CD14" i="8"/>
  <c r="CF81" i="8"/>
  <c r="BV42" i="9"/>
  <c r="BT14" i="8"/>
  <c r="BT21" i="8" s="1"/>
  <c r="BU21" i="8" s="1"/>
  <c r="BU8" i="8"/>
  <c r="BZ42" i="9" s="1"/>
  <c r="BR36" i="8"/>
  <c r="BR42" i="8" s="1"/>
  <c r="BR7" i="8" s="1"/>
  <c r="CY31" i="8"/>
  <c r="DH40" i="8"/>
  <c r="DJ40" i="8" s="1"/>
  <c r="DJ41" i="8" s="1"/>
  <c r="DL63" i="8" s="1"/>
  <c r="DE31" i="8"/>
  <c r="DE36" i="8" s="1"/>
  <c r="DE42" i="8" s="1"/>
  <c r="BX42" i="9"/>
  <c r="BW14" i="8"/>
  <c r="BW21" i="8" s="1"/>
  <c r="CD81" i="8"/>
  <c r="CC14" i="8"/>
  <c r="CC21" i="8" s="1"/>
  <c r="CC82" i="8"/>
  <c r="X7" i="8"/>
  <c r="E42" i="8"/>
  <c r="E7" i="8" s="1"/>
  <c r="J42" i="8"/>
  <c r="O42" i="8"/>
  <c r="O7" i="8" s="1"/>
  <c r="CV18" i="12"/>
  <c r="DD67" i="8"/>
  <c r="Q14" i="9"/>
  <c r="R14" i="9" s="1"/>
  <c r="G10" i="9"/>
  <c r="H10" i="9" s="1"/>
  <c r="AO35" i="9"/>
  <c r="AO66" i="8" s="1"/>
  <c r="Q10" i="9"/>
  <c r="R10" i="9" s="1"/>
  <c r="DG25" i="9"/>
  <c r="EE25" i="9"/>
  <c r="U35" i="9"/>
  <c r="U66" i="8" s="1"/>
  <c r="DX33" i="9"/>
  <c r="AF12" i="9"/>
  <c r="AG12" i="9" s="1"/>
  <c r="L12" i="9"/>
  <c r="M12" i="9" s="1"/>
  <c r="FU35" i="9"/>
  <c r="FU39" i="9" s="1"/>
  <c r="DY27" i="135"/>
  <c r="EH13" i="135"/>
  <c r="CN43" i="135"/>
  <c r="CX43" i="135"/>
  <c r="ED158" i="135"/>
  <c r="EC18" i="135"/>
  <c r="ED14" i="135"/>
  <c r="DL43" i="135"/>
  <c r="DM158" i="135"/>
  <c r="DN169" i="135"/>
  <c r="BS43" i="135"/>
  <c r="BX43" i="135"/>
  <c r="CN47" i="135"/>
  <c r="CS47" i="135"/>
  <c r="CX47" i="135"/>
  <c r="DC47" i="135"/>
  <c r="CH54" i="135"/>
  <c r="CR54" i="135"/>
  <c r="DG54" i="135"/>
  <c r="DQ54" i="135"/>
  <c r="CI57" i="135"/>
  <c r="CS57" i="135"/>
  <c r="DH57" i="135"/>
  <c r="DM57" i="135"/>
  <c r="DW57" i="135"/>
  <c r="EB57" i="135"/>
  <c r="C51" i="141"/>
  <c r="EN41" i="135"/>
  <c r="EN52" i="135" s="1"/>
  <c r="EN163" i="135" s="1"/>
  <c r="AZ25" i="175"/>
  <c r="AZ11" i="175"/>
  <c r="BC248" i="175"/>
  <c r="AZ97" i="175"/>
  <c r="BQ36" i="172"/>
  <c r="BN21" i="172"/>
  <c r="AZ41" i="175"/>
  <c r="AU82" i="175"/>
  <c r="AZ18" i="175"/>
  <c r="ED59" i="135"/>
  <c r="EH6" i="135"/>
  <c r="EI9" i="135" s="1"/>
  <c r="EG9" i="135"/>
  <c r="DJ251" i="172"/>
  <c r="BN266" i="172"/>
  <c r="BO264" i="172"/>
  <c r="BS264" i="172"/>
  <c r="BS253" i="172" s="1"/>
  <c r="EF54" i="135"/>
  <c r="CX57" i="135"/>
  <c r="FS22" i="9"/>
  <c r="BJ40" i="9"/>
  <c r="FP40" i="9" s="1"/>
  <c r="EC33" i="9"/>
  <c r="ED25" i="9"/>
  <c r="EI45" i="9" s="1"/>
  <c r="BD19" i="9"/>
  <c r="BE19" i="9" s="1"/>
  <c r="Y66" i="8"/>
  <c r="FS36" i="9"/>
  <c r="DR57" i="135"/>
  <c r="FR22" i="9"/>
  <c r="DY25" i="9"/>
  <c r="DY54" i="9" s="1"/>
  <c r="BW27" i="9"/>
  <c r="FS32" i="9"/>
  <c r="BF10" i="9"/>
  <c r="CI24" i="9"/>
  <c r="BO13" i="9"/>
  <c r="FQ13" i="9" s="1"/>
  <c r="BZ32" i="9"/>
  <c r="BU11" i="9"/>
  <c r="BW57" i="135"/>
  <c r="FU20" i="9"/>
  <c r="DQ53" i="12"/>
  <c r="DQ67" i="12" s="1"/>
  <c r="DQ11" i="12" s="1"/>
  <c r="CE67" i="8"/>
  <c r="BP510" i="172"/>
  <c r="BP514" i="172" s="1"/>
  <c r="BP515" i="172" s="1"/>
  <c r="AT239" i="172"/>
  <c r="AO241" i="172"/>
  <c r="BG285" i="172"/>
  <c r="BD285" i="172"/>
  <c r="BB287" i="172"/>
  <c r="AN239" i="172"/>
  <c r="AP239" i="172" s="1"/>
  <c r="AP240" i="172" s="1"/>
  <c r="BC197" i="175"/>
  <c r="BD197" i="175" s="1"/>
  <c r="Q248" i="172"/>
  <c r="BT460" i="172"/>
  <c r="FV13" i="7"/>
  <c r="DF28" i="7"/>
  <c r="DF18" i="7"/>
  <c r="DF25" i="7"/>
  <c r="DF35" i="7"/>
  <c r="DF9" i="7"/>
  <c r="DF10" i="7"/>
  <c r="DF31" i="7"/>
  <c r="DK18" i="7"/>
  <c r="DK35" i="7"/>
  <c r="DK10" i="7"/>
  <c r="DK31" i="7"/>
  <c r="DK9" i="7"/>
  <c r="DK28" i="7"/>
  <c r="DK25" i="7"/>
  <c r="DP28" i="7"/>
  <c r="DP25" i="7"/>
  <c r="DP31" i="7"/>
  <c r="DP10" i="7"/>
  <c r="DP18" i="7"/>
  <c r="DP9" i="7"/>
  <c r="DP35" i="7"/>
  <c r="DU10" i="7"/>
  <c r="DU9" i="7"/>
  <c r="DU19" i="7"/>
  <c r="DU25" i="7"/>
  <c r="DU35" i="7"/>
  <c r="DU38" i="7"/>
  <c r="DU28" i="7"/>
  <c r="DU31" i="7"/>
  <c r="DC10" i="7"/>
  <c r="DC18" i="7"/>
  <c r="DC25" i="7"/>
  <c r="DC9" i="7"/>
  <c r="DC28" i="7"/>
  <c r="DC31" i="7"/>
  <c r="DC35" i="7"/>
  <c r="FU13" i="7"/>
  <c r="DE25" i="7"/>
  <c r="DE10" i="7"/>
  <c r="DE9" i="7"/>
  <c r="DE35" i="7"/>
  <c r="DI8" i="7"/>
  <c r="DE18" i="7"/>
  <c r="DE31" i="7"/>
  <c r="DE28" i="7"/>
  <c r="DJ28" i="7"/>
  <c r="DJ35" i="7"/>
  <c r="DJ10" i="7"/>
  <c r="DJ25" i="7"/>
  <c r="DJ31" i="7"/>
  <c r="DJ18" i="7"/>
  <c r="DJ9" i="7"/>
  <c r="DN8" i="7"/>
  <c r="FZ8" i="7"/>
  <c r="DO10" i="7"/>
  <c r="DS8" i="7"/>
  <c r="DO9" i="7"/>
  <c r="DO25" i="7"/>
  <c r="DO18" i="7"/>
  <c r="DO31" i="7"/>
  <c r="DO28" i="7"/>
  <c r="DO35" i="7"/>
  <c r="DX8" i="7"/>
  <c r="DT10" i="7"/>
  <c r="DT28" i="7"/>
  <c r="DT18" i="7"/>
  <c r="DT25" i="7"/>
  <c r="DT31" i="7"/>
  <c r="GA8" i="7"/>
  <c r="DT35" i="7"/>
  <c r="DT9" i="7"/>
  <c r="DB28" i="7"/>
  <c r="DB18" i="7"/>
  <c r="DB25" i="7"/>
  <c r="DB31" i="7"/>
  <c r="DB9" i="7"/>
  <c r="FX8" i="7"/>
  <c r="DB10" i="7"/>
  <c r="DB35" i="7"/>
  <c r="BO460" i="172"/>
  <c r="BO470" i="172"/>
  <c r="FS15" i="7"/>
  <c r="CX31" i="7"/>
  <c r="CX172" i="7"/>
  <c r="CX171" i="7"/>
  <c r="CX174" i="7"/>
  <c r="CX170" i="7"/>
  <c r="CX173" i="7"/>
  <c r="CX25" i="7"/>
  <c r="CX10" i="7"/>
  <c r="CX28" i="7"/>
  <c r="CX35" i="7"/>
  <c r="CX18" i="7"/>
  <c r="DH18" i="7"/>
  <c r="DH10" i="7"/>
  <c r="DH35" i="7"/>
  <c r="DH9" i="7"/>
  <c r="DH25" i="7"/>
  <c r="DH31" i="7"/>
  <c r="DH28" i="7"/>
  <c r="DM9" i="7"/>
  <c r="DM10" i="7"/>
  <c r="DM35" i="7"/>
  <c r="DM31" i="7"/>
  <c r="DM25" i="7"/>
  <c r="DM18" i="7"/>
  <c r="DM28" i="7"/>
  <c r="DR9" i="7"/>
  <c r="DR18" i="7"/>
  <c r="DR10" i="7"/>
  <c r="DR25" i="7"/>
  <c r="DR28" i="7"/>
  <c r="DR31" i="7"/>
  <c r="DR35" i="7"/>
  <c r="DW10" i="7"/>
  <c r="DW25" i="7"/>
  <c r="DW35" i="7"/>
  <c r="DW28" i="7"/>
  <c r="DW9" i="7"/>
  <c r="EB9" i="7"/>
  <c r="DW18" i="7"/>
  <c r="DW31" i="7"/>
  <c r="DA10" i="7"/>
  <c r="DA35" i="7"/>
  <c r="DA31" i="7"/>
  <c r="DA18" i="7"/>
  <c r="DA28" i="7"/>
  <c r="DA25" i="7"/>
  <c r="BQ103" i="172"/>
  <c r="BQ116" i="172"/>
  <c r="BQ132" i="172"/>
  <c r="FS13" i="7"/>
  <c r="DA244" i="172" s="1"/>
  <c r="FW8" i="7"/>
  <c r="CW174" i="7"/>
  <c r="CW170" i="7"/>
  <c r="CW172" i="7"/>
  <c r="CW35" i="7"/>
  <c r="CW31" i="7"/>
  <c r="CW173" i="7"/>
  <c r="CW28" i="7"/>
  <c r="CW171" i="7"/>
  <c r="CW25" i="7"/>
  <c r="CW18" i="7"/>
  <c r="DG31" i="7"/>
  <c r="DG28" i="7"/>
  <c r="DG35" i="7"/>
  <c r="FY8" i="7"/>
  <c r="DG9" i="7"/>
  <c r="DG18" i="7"/>
  <c r="DG25" i="7"/>
  <c r="DG10" i="7"/>
  <c r="DL31" i="7"/>
  <c r="DL35" i="7"/>
  <c r="DL18" i="7"/>
  <c r="DL28" i="7"/>
  <c r="DL10" i="7"/>
  <c r="DL9" i="7"/>
  <c r="DL25" i="7"/>
  <c r="DQ9" i="7"/>
  <c r="DQ35" i="7"/>
  <c r="DQ31" i="7"/>
  <c r="DQ25" i="7"/>
  <c r="DQ10" i="7"/>
  <c r="DQ28" i="7"/>
  <c r="DQ18" i="7"/>
  <c r="DV9" i="7"/>
  <c r="DV19" i="7"/>
  <c r="DV28" i="7"/>
  <c r="DV31" i="7"/>
  <c r="DV38" i="7"/>
  <c r="DV25" i="7"/>
  <c r="DV10" i="7"/>
  <c r="DV35" i="7"/>
  <c r="CZ10" i="7"/>
  <c r="CZ25" i="7"/>
  <c r="CZ31" i="7"/>
  <c r="CZ28" i="7"/>
  <c r="CZ35" i="7"/>
  <c r="DD8" i="7"/>
  <c r="CZ18" i="7"/>
  <c r="CM54" i="135"/>
  <c r="DV54" i="135"/>
  <c r="AF13" i="9"/>
  <c r="AG13" i="9" s="1"/>
  <c r="M19" i="9"/>
  <c r="DB54" i="135"/>
  <c r="EA54" i="135"/>
  <c r="BU23" i="9"/>
  <c r="L14" i="9"/>
  <c r="M14" i="9" s="1"/>
  <c r="CW54" i="135"/>
  <c r="DL54" i="135"/>
  <c r="CN57" i="135"/>
  <c r="DJ25" i="9"/>
  <c r="DJ54" i="9" s="1"/>
  <c r="AT31" i="9"/>
  <c r="AU31" i="9" s="1"/>
  <c r="V14" i="9"/>
  <c r="W14" i="9" s="1"/>
  <c r="AP37" i="9"/>
  <c r="AQ37" i="9" s="1"/>
  <c r="AK23" i="9"/>
  <c r="AL23" i="9" s="1"/>
  <c r="AA12" i="9"/>
  <c r="AB12" i="9" s="1"/>
  <c r="G12" i="9"/>
  <c r="H12" i="9" s="1"/>
  <c r="E50" i="141"/>
  <c r="BV59" i="135"/>
  <c r="DX56" i="135"/>
  <c r="EH67" i="7"/>
  <c r="BF17" i="9"/>
  <c r="BO37" i="9"/>
  <c r="BP37" i="9" s="1"/>
  <c r="BK36" i="9"/>
  <c r="AQ29" i="9"/>
  <c r="V10" i="9"/>
  <c r="W10" i="9" s="1"/>
  <c r="BW59" i="135"/>
  <c r="AV17" i="9"/>
  <c r="AP9" i="9"/>
  <c r="AQ9" i="9" s="1"/>
  <c r="DO65" i="123"/>
  <c r="AX91" i="175"/>
  <c r="BC91" i="175" s="1"/>
  <c r="BC91" i="189" s="1"/>
  <c r="AS24" i="175"/>
  <c r="BX66" i="175"/>
  <c r="BX67" i="175" s="1"/>
  <c r="AU91" i="175"/>
  <c r="AP93" i="175"/>
  <c r="BW91" i="175"/>
  <c r="ED131" i="135"/>
  <c r="ED27" i="135"/>
  <c r="DU29" i="135"/>
  <c r="ED22" i="135"/>
  <c r="DY59" i="135"/>
  <c r="EH18" i="135"/>
  <c r="EF38" i="135"/>
  <c r="DT22" i="135"/>
  <c r="DT23" i="135" s="1"/>
  <c r="DY17" i="135"/>
  <c r="EF37" i="135"/>
  <c r="DY131" i="135"/>
  <c r="EE59" i="135"/>
  <c r="DY43" i="135"/>
  <c r="ED36" i="135"/>
  <c r="DY158" i="135"/>
  <c r="DT131" i="135"/>
  <c r="DU133" i="135" s="1"/>
  <c r="ED17" i="135"/>
  <c r="EE29" i="135"/>
  <c r="DZ59" i="135"/>
  <c r="DY36" i="135"/>
  <c r="DY37" i="135" s="1"/>
  <c r="DU59" i="135"/>
  <c r="DY22" i="135"/>
  <c r="DY47" i="135"/>
  <c r="EA67" i="123"/>
  <c r="ED67" i="123"/>
  <c r="DM67" i="123"/>
  <c r="DV82" i="7"/>
  <c r="DW62" i="123"/>
  <c r="CC43" i="135"/>
  <c r="CC44" i="135"/>
  <c r="CM44" i="135"/>
  <c r="CJ46" i="135"/>
  <c r="CJ48" i="135" s="1"/>
  <c r="CI48" i="135"/>
  <c r="CQ54" i="135"/>
  <c r="DP54" i="135"/>
  <c r="CR57" i="135"/>
  <c r="DB57" i="135"/>
  <c r="DG57" i="135"/>
  <c r="DL57" i="135"/>
  <c r="CI18" i="12"/>
  <c r="BK262" i="172"/>
  <c r="BK257" i="172"/>
  <c r="BK258" i="172" s="1"/>
  <c r="EG57" i="135"/>
  <c r="CG67" i="123"/>
  <c r="CQ68" i="123"/>
  <c r="CV68" i="123"/>
  <c r="EH83" i="7"/>
  <c r="EH89" i="7" s="1"/>
  <c r="DX84" i="7"/>
  <c r="DX90" i="7" s="1"/>
  <c r="EC84" i="7"/>
  <c r="EC90" i="7" s="1"/>
  <c r="CE53" i="135"/>
  <c r="DI56" i="135"/>
  <c r="CA16" i="12"/>
  <c r="CB7" i="12" s="1"/>
  <c r="CB20" i="12" s="1"/>
  <c r="BY15" i="12"/>
  <c r="AA450" i="172"/>
  <c r="AF450" i="172"/>
  <c r="DV67" i="123"/>
  <c r="GA84" i="7"/>
  <c r="DY67" i="123"/>
  <c r="DC65" i="123"/>
  <c r="DH67" i="123"/>
  <c r="EC83" i="7"/>
  <c r="EC89" i="7" s="1"/>
  <c r="GB84" i="7"/>
  <c r="GD84" i="7"/>
  <c r="DX83" i="7"/>
  <c r="DX89" i="7" s="1"/>
  <c r="GC84" i="7"/>
  <c r="EH84" i="7"/>
  <c r="EH90" i="7" s="1"/>
  <c r="DB62" i="123"/>
  <c r="CH67" i="123"/>
  <c r="DW67" i="123"/>
  <c r="EA65" i="123"/>
  <c r="DW65" i="123"/>
  <c r="DR62" i="123"/>
  <c r="DG62" i="123"/>
  <c r="EC63" i="8"/>
  <c r="DA36" i="8"/>
  <c r="DA42" i="8" s="1"/>
  <c r="DA7" i="8" s="1"/>
  <c r="DX48" i="135"/>
  <c r="BY44" i="135"/>
  <c r="CI44" i="135"/>
  <c r="DO44" i="135"/>
  <c r="DT44" i="135"/>
  <c r="DY44" i="135"/>
  <c r="ED44" i="135"/>
  <c r="BV48" i="135"/>
  <c r="CA48" i="135"/>
  <c r="DP48" i="135"/>
  <c r="AF352" i="175"/>
  <c r="DX26" i="135"/>
  <c r="DX36" i="135" s="1"/>
  <c r="DX37" i="135" s="1"/>
  <c r="CG43" i="135"/>
  <c r="CL43" i="135"/>
  <c r="EG63" i="135"/>
  <c r="EG69" i="135" s="1"/>
  <c r="CG47" i="135"/>
  <c r="CL47" i="135"/>
  <c r="CA59" i="135"/>
  <c r="EM10" i="12"/>
  <c r="GC16" i="9"/>
  <c r="BS36" i="172"/>
  <c r="AA23" i="9"/>
  <c r="AB23" i="9" s="1"/>
  <c r="AP22" i="9"/>
  <c r="AQ22" i="9" s="1"/>
  <c r="CY27" i="9"/>
  <c r="AX39" i="9"/>
  <c r="CS54" i="135"/>
  <c r="CX54" i="135"/>
  <c r="DH54" i="135"/>
  <c r="DM54" i="135"/>
  <c r="DW54" i="135"/>
  <c r="EB54" i="135"/>
  <c r="EG54" i="135"/>
  <c r="CK57" i="135"/>
  <c r="CP57" i="135"/>
  <c r="CU57" i="135"/>
  <c r="DJ57" i="135"/>
  <c r="DO57" i="135"/>
  <c r="DT57" i="135"/>
  <c r="ED57" i="135"/>
  <c r="DO25" i="9"/>
  <c r="DO54" i="9" s="1"/>
  <c r="CA54" i="135"/>
  <c r="BV57" i="135"/>
  <c r="Q36" i="8"/>
  <c r="R36" i="8" s="1"/>
  <c r="DY63" i="8"/>
  <c r="CD44" i="135"/>
  <c r="BZ42" i="135"/>
  <c r="CE44" i="135" s="1"/>
  <c r="DC44" i="135"/>
  <c r="CJ42" i="135"/>
  <c r="CJ44" i="135" s="1"/>
  <c r="CY42" i="135"/>
  <c r="DD44" i="135" s="1"/>
  <c r="AE42" i="8"/>
  <c r="AJ42" i="8"/>
  <c r="AJ7" i="8" s="1"/>
  <c r="AO42" i="8"/>
  <c r="AO7" i="8" s="1"/>
  <c r="AT42" i="8"/>
  <c r="AY42" i="8"/>
  <c r="AY7" i="8" s="1"/>
  <c r="BD42" i="8"/>
  <c r="BD7" i="8" s="1"/>
  <c r="BI42" i="8"/>
  <c r="BI7" i="8" s="1"/>
  <c r="DS73" i="8"/>
  <c r="DX73" i="8"/>
  <c r="CD18" i="12"/>
  <c r="ED81" i="8"/>
  <c r="U42" i="8"/>
  <c r="BM42" i="8"/>
  <c r="EG42" i="8"/>
  <c r="EH42" i="8" s="1"/>
  <c r="CD42" i="8"/>
  <c r="CE42" i="8" s="1"/>
  <c r="CX44" i="135"/>
  <c r="CE41" i="8"/>
  <c r="CJ63" i="8" s="1"/>
  <c r="CK48" i="135"/>
  <c r="W67" i="8"/>
  <c r="AG67" i="8"/>
  <c r="D7" i="8"/>
  <c r="I7" i="8"/>
  <c r="N7" i="8"/>
  <c r="BJ228" i="172"/>
  <c r="BS21" i="172"/>
  <c r="AI324" i="175"/>
  <c r="AI404" i="175" s="1"/>
  <c r="AS134" i="175"/>
  <c r="AS135" i="175" s="1"/>
  <c r="BL21" i="172"/>
  <c r="BL36" i="172"/>
  <c r="AL134" i="175"/>
  <c r="BL28" i="172"/>
  <c r="BS72" i="172"/>
  <c r="BI122" i="172"/>
  <c r="BK122" i="172"/>
  <c r="EF146" i="135"/>
  <c r="EF147" i="135" s="1"/>
  <c r="EF142" i="135"/>
  <c r="EF143" i="135" s="1"/>
  <c r="EF159" i="135"/>
  <c r="EF150" i="135"/>
  <c r="EF151" i="135" s="1"/>
  <c r="DZ142" i="135"/>
  <c r="DZ143" i="135" s="1"/>
  <c r="DZ159" i="135"/>
  <c r="DZ150" i="135"/>
  <c r="DZ151" i="135" s="1"/>
  <c r="DZ146" i="135"/>
  <c r="DZ147" i="135" s="1"/>
  <c r="DV165" i="135"/>
  <c r="DV155" i="135"/>
  <c r="DV143" i="135"/>
  <c r="DV151" i="135"/>
  <c r="DV160" i="135"/>
  <c r="DV147" i="135"/>
  <c r="DV43" i="135"/>
  <c r="EA43" i="135"/>
  <c r="EF43" i="135"/>
  <c r="EG47" i="135"/>
  <c r="CK174" i="135"/>
  <c r="CK165" i="135"/>
  <c r="CK143" i="135"/>
  <c r="CK151" i="135"/>
  <c r="CK170" i="135"/>
  <c r="CK155" i="135"/>
  <c r="CK147" i="135"/>
  <c r="EA159" i="135"/>
  <c r="EA150" i="135"/>
  <c r="EA151" i="135" s="1"/>
  <c r="EA160" i="135"/>
  <c r="EA146" i="135"/>
  <c r="EA147" i="135" s="1"/>
  <c r="EA142" i="135"/>
  <c r="EG43" i="135"/>
  <c r="ED47" i="135"/>
  <c r="CG170" i="135"/>
  <c r="CG155" i="135"/>
  <c r="CG147" i="135"/>
  <c r="CG174" i="135"/>
  <c r="CG165" i="135"/>
  <c r="CG159" i="135"/>
  <c r="CG143" i="135"/>
  <c r="CG151" i="135"/>
  <c r="CL160" i="135"/>
  <c r="CL159" i="135"/>
  <c r="CL151" i="135"/>
  <c r="CL59" i="135"/>
  <c r="CL170" i="135"/>
  <c r="CL155" i="135"/>
  <c r="CL147" i="135"/>
  <c r="CL174" i="135"/>
  <c r="CL165" i="135"/>
  <c r="CL143" i="135"/>
  <c r="EG160" i="135"/>
  <c r="EG142" i="135"/>
  <c r="EH158" i="135"/>
  <c r="EG150" i="135"/>
  <c r="EG151" i="135" s="1"/>
  <c r="EG146" i="135"/>
  <c r="EG147" i="135" s="1"/>
  <c r="DZ47" i="135"/>
  <c r="CC151" i="135"/>
  <c r="CC170" i="135"/>
  <c r="CC160" i="135"/>
  <c r="CC155" i="135"/>
  <c r="CC147" i="135"/>
  <c r="CC174" i="135"/>
  <c r="CC165" i="135"/>
  <c r="CC143" i="135"/>
  <c r="CC59" i="135"/>
  <c r="DB174" i="135"/>
  <c r="DB165" i="135"/>
  <c r="DB143" i="135"/>
  <c r="DB151" i="135"/>
  <c r="DB170" i="135"/>
  <c r="DB155" i="135"/>
  <c r="DB147" i="135"/>
  <c r="DB26" i="135"/>
  <c r="DG151" i="135"/>
  <c r="DG170" i="135"/>
  <c r="DG155" i="135"/>
  <c r="DG147" i="135"/>
  <c r="DG26" i="135"/>
  <c r="DG174" i="135"/>
  <c r="DG165" i="135"/>
  <c r="DH160" i="135"/>
  <c r="DG159" i="135"/>
  <c r="DG143" i="135"/>
  <c r="DS158" i="135"/>
  <c r="DR151" i="135"/>
  <c r="DR170" i="135"/>
  <c r="DR147" i="135"/>
  <c r="DR26" i="135"/>
  <c r="DR165" i="135"/>
  <c r="DR155" i="135"/>
  <c r="DR143" i="135"/>
  <c r="DR174" i="135"/>
  <c r="DV47" i="135"/>
  <c r="EA47" i="135"/>
  <c r="EF47" i="135"/>
  <c r="CN151" i="135"/>
  <c r="CN170" i="135"/>
  <c r="CN155" i="135"/>
  <c r="CN147" i="135"/>
  <c r="CN174" i="135"/>
  <c r="CN165" i="135"/>
  <c r="CN143" i="135"/>
  <c r="CO158" i="135"/>
  <c r="CX170" i="135"/>
  <c r="CX155" i="135"/>
  <c r="CX147" i="135"/>
  <c r="CX26" i="135"/>
  <c r="CX174" i="135"/>
  <c r="CX165" i="135"/>
  <c r="CX143" i="135"/>
  <c r="CY158" i="135"/>
  <c r="CZ160" i="135" s="1"/>
  <c r="CX151" i="135"/>
  <c r="DL160" i="135"/>
  <c r="DL151" i="135"/>
  <c r="DL170" i="135"/>
  <c r="DL159" i="135"/>
  <c r="DL147" i="135"/>
  <c r="DL59" i="135"/>
  <c r="DL26" i="135"/>
  <c r="DL174" i="135"/>
  <c r="DL165" i="135"/>
  <c r="DL155" i="135"/>
  <c r="DL143" i="135"/>
  <c r="Q338" i="172"/>
  <c r="AU26" i="175"/>
  <c r="AQ143" i="175"/>
  <c r="AO34" i="175"/>
  <c r="AQ93" i="175"/>
  <c r="AU147" i="175"/>
  <c r="AU148" i="175" s="1"/>
  <c r="AP96" i="175"/>
  <c r="AM165" i="175"/>
  <c r="AF243" i="175"/>
  <c r="AK239" i="175" s="1"/>
  <c r="AK241" i="175" s="1"/>
  <c r="AR127" i="175"/>
  <c r="U351" i="175"/>
  <c r="F351" i="175"/>
  <c r="AG352" i="175"/>
  <c r="AH245" i="175"/>
  <c r="AM239" i="175"/>
  <c r="AH272" i="175"/>
  <c r="AG272" i="175"/>
  <c r="AL239" i="175"/>
  <c r="AG245" i="175"/>
  <c r="AK351" i="175"/>
  <c r="AK352" i="175" s="1"/>
  <c r="AK267" i="175"/>
  <c r="AK269" i="175" s="1"/>
  <c r="AL351" i="175"/>
  <c r="AL352" i="175" s="1"/>
  <c r="AL267" i="175"/>
  <c r="AL269" i="175" s="1"/>
  <c r="AK27" i="175"/>
  <c r="AI243" i="175"/>
  <c r="AE243" i="175"/>
  <c r="AE245" i="175" s="1"/>
  <c r="AE249" i="175" s="1"/>
  <c r="AE253" i="175" s="1"/>
  <c r="AQ126" i="175"/>
  <c r="K351" i="175"/>
  <c r="AL377" i="175"/>
  <c r="M17" i="9"/>
  <c r="FP36" i="9"/>
  <c r="G40" i="9"/>
  <c r="H40" i="9" s="1"/>
  <c r="BE36" i="9"/>
  <c r="BF36" i="9" s="1"/>
  <c r="O24" i="9"/>
  <c r="DE57" i="135"/>
  <c r="BY31" i="9"/>
  <c r="FS31" i="9" s="1"/>
  <c r="DV25" i="9"/>
  <c r="DV54" i="9" s="1"/>
  <c r="DV55" i="9" s="1"/>
  <c r="EA25" i="9"/>
  <c r="EA54" i="9" s="1"/>
  <c r="BC39" i="9"/>
  <c r="DI39" i="9"/>
  <c r="BI31" i="9"/>
  <c r="BJ31" i="9" s="1"/>
  <c r="BJ13" i="9"/>
  <c r="BO21" i="9"/>
  <c r="FQ21" i="9" s="1"/>
  <c r="GC39" i="9"/>
  <c r="E39" i="9"/>
  <c r="Y39" i="9"/>
  <c r="AS39" i="9"/>
  <c r="CO56" i="135"/>
  <c r="AP30" i="9"/>
  <c r="AQ30" i="9" s="1"/>
  <c r="BE14" i="9"/>
  <c r="FO14" i="9" s="1"/>
  <c r="J24" i="9"/>
  <c r="T39" i="9"/>
  <c r="CE24" i="9"/>
  <c r="CT33" i="9"/>
  <c r="CY33" i="9"/>
  <c r="DD33" i="9"/>
  <c r="V344" i="172"/>
  <c r="V348" i="172"/>
  <c r="BT102" i="172"/>
  <c r="DK102" i="172"/>
  <c r="CK68" i="123"/>
  <c r="CP68" i="123"/>
  <c r="CL62" i="123"/>
  <c r="AO122" i="175"/>
  <c r="AN37" i="175"/>
  <c r="AN124" i="175"/>
  <c r="AT43" i="175"/>
  <c r="AM170" i="175"/>
  <c r="AM172" i="175"/>
  <c r="AM173" i="175" s="1"/>
  <c r="AL165" i="175"/>
  <c r="AO43" i="175"/>
  <c r="AO225" i="175"/>
  <c r="AN366" i="175"/>
  <c r="AH324" i="175"/>
  <c r="AM324" i="175" s="1"/>
  <c r="AM321" i="175" s="1"/>
  <c r="AT19" i="171"/>
  <c r="AX14" i="171"/>
  <c r="AX19" i="171" s="1"/>
  <c r="AW340" i="189" s="1"/>
  <c r="AR107" i="175"/>
  <c r="BL178" i="171"/>
  <c r="BQ178" i="171" s="1"/>
  <c r="BV178" i="171" s="1"/>
  <c r="AS182" i="171"/>
  <c r="AM127" i="171"/>
  <c r="AM174" i="171" s="1"/>
  <c r="V174" i="171"/>
  <c r="R174" i="171"/>
  <c r="AL182" i="171"/>
  <c r="AL127" i="171"/>
  <c r="AL174" i="171" s="1"/>
  <c r="AD127" i="171"/>
  <c r="AD174" i="171" s="1"/>
  <c r="U174" i="171"/>
  <c r="P174" i="171"/>
  <c r="CU158" i="171"/>
  <c r="BC145" i="171"/>
  <c r="BC127" i="171" s="1"/>
  <c r="BC174" i="171" s="1"/>
  <c r="BB127" i="171"/>
  <c r="BB174" i="171" s="1"/>
  <c r="AR127" i="171"/>
  <c r="AR174" i="171" s="1"/>
  <c r="AK127" i="171"/>
  <c r="AK174" i="171" s="1"/>
  <c r="Z174" i="171"/>
  <c r="T174" i="171"/>
  <c r="AA174" i="171"/>
  <c r="CE202" i="171"/>
  <c r="AT182" i="171"/>
  <c r="AN182" i="171"/>
  <c r="AW127" i="171"/>
  <c r="AW174" i="171" s="1"/>
  <c r="AN127" i="171"/>
  <c r="AN174" i="171" s="1"/>
  <c r="P84" i="171"/>
  <c r="P87" i="171" s="1"/>
  <c r="P90" i="171"/>
  <c r="P93" i="171" s="1"/>
  <c r="EX8" i="123"/>
  <c r="FA8" i="123"/>
  <c r="EV8" i="123"/>
  <c r="EL8" i="123"/>
  <c r="EZ8" i="123"/>
  <c r="EY8" i="123"/>
  <c r="DI165" i="172"/>
  <c r="BD268" i="172"/>
  <c r="Y294" i="172"/>
  <c r="AL294" i="172"/>
  <c r="BA249" i="172"/>
  <c r="AS249" i="172"/>
  <c r="J274" i="172"/>
  <c r="DJ163" i="172"/>
  <c r="AG218" i="172"/>
  <c r="BK218" i="172"/>
  <c r="EG100" i="135"/>
  <c r="EE118" i="135"/>
  <c r="EC117" i="135"/>
  <c r="BO25" i="172"/>
  <c r="EC118" i="135" s="1"/>
  <c r="BT157" i="172"/>
  <c r="BT159" i="172"/>
  <c r="BT455" i="172"/>
  <c r="BT161" i="172"/>
  <c r="BT163" i="172"/>
  <c r="BT465" i="172"/>
  <c r="BT167" i="172"/>
  <c r="BT470" i="172"/>
  <c r="BT169" i="172"/>
  <c r="BJ135" i="172"/>
  <c r="DX136" i="135" s="1"/>
  <c r="AJ325" i="175"/>
  <c r="V212" i="172"/>
  <c r="Q220" i="172"/>
  <c r="AZ212" i="172"/>
  <c r="CE192" i="171"/>
  <c r="AU228" i="172"/>
  <c r="AU226" i="172"/>
  <c r="AU231" i="172"/>
  <c r="BE255" i="172"/>
  <c r="DD210" i="172"/>
  <c r="AF212" i="172"/>
  <c r="AF297" i="172"/>
  <c r="AF234" i="172" s="1"/>
  <c r="V244" i="172"/>
  <c r="CJ13" i="7" s="1"/>
  <c r="FT13" i="7" s="1"/>
  <c r="V237" i="172"/>
  <c r="AA255" i="172"/>
  <c r="DD272" i="172"/>
  <c r="AF276" i="172"/>
  <c r="AF279" i="172"/>
  <c r="BR224" i="172"/>
  <c r="BW224" i="172" s="1"/>
  <c r="BM230" i="172"/>
  <c r="BM228" i="172" s="1"/>
  <c r="BM229" i="172" s="1"/>
  <c r="BO224" i="172"/>
  <c r="BO226" i="172" s="1"/>
  <c r="C253" i="172"/>
  <c r="G321" i="172"/>
  <c r="H279" i="172"/>
  <c r="M274" i="172"/>
  <c r="H274" i="172"/>
  <c r="H275" i="172"/>
  <c r="L272" i="172"/>
  <c r="I275" i="172"/>
  <c r="K251" i="172"/>
  <c r="K247" i="172"/>
  <c r="O276" i="172"/>
  <c r="O275" i="172"/>
  <c r="P275" i="172"/>
  <c r="T274" i="172"/>
  <c r="N247" i="172"/>
  <c r="M247" i="172"/>
  <c r="M246" i="172"/>
  <c r="N253" i="172"/>
  <c r="CB14" i="7" s="1"/>
  <c r="Q321" i="172"/>
  <c r="R251" i="172"/>
  <c r="S247" i="172"/>
  <c r="W246" i="172"/>
  <c r="X247" i="172"/>
  <c r="W247" i="172"/>
  <c r="AC247" i="172"/>
  <c r="AB246" i="172"/>
  <c r="AJ245" i="172"/>
  <c r="AJ273" i="172"/>
  <c r="AJ234" i="172"/>
  <c r="AJ254" i="172"/>
  <c r="AB218" i="172"/>
  <c r="AV218" i="172"/>
  <c r="BS224" i="172"/>
  <c r="BN227" i="172"/>
  <c r="BS244" i="172"/>
  <c r="BX244" i="172" s="1"/>
  <c r="AO225" i="172"/>
  <c r="AO211" i="172"/>
  <c r="AO292" i="172"/>
  <c r="AO245" i="172"/>
  <c r="AO273" i="172"/>
  <c r="AE304" i="175"/>
  <c r="BE119" i="172"/>
  <c r="BE174" i="172" s="1"/>
  <c r="BE189" i="172" s="1"/>
  <c r="BE192" i="172" s="1"/>
  <c r="BJ102" i="172"/>
  <c r="Z268" i="172"/>
  <c r="AE268" i="172"/>
  <c r="AO268" i="172"/>
  <c r="AT268" i="172"/>
  <c r="AY268" i="172"/>
  <c r="AU267" i="172"/>
  <c r="AU270" i="172"/>
  <c r="BG300" i="172"/>
  <c r="BH300" i="172" s="1"/>
  <c r="BF301" i="172"/>
  <c r="L350" i="172"/>
  <c r="Q348" i="172"/>
  <c r="L356" i="172"/>
  <c r="L354" i="172"/>
  <c r="AX410" i="172"/>
  <c r="BC410" i="172" s="1"/>
  <c r="BH410" i="172" s="1"/>
  <c r="BM410" i="172" s="1"/>
  <c r="BR410" i="172" s="1"/>
  <c r="AU410" i="172"/>
  <c r="DZ131" i="135"/>
  <c r="DZ132" i="135" s="1"/>
  <c r="EE131" i="135"/>
  <c r="BP53" i="172"/>
  <c r="EF136" i="135"/>
  <c r="EF137" i="135" s="1"/>
  <c r="BR190" i="172"/>
  <c r="BS138" i="172"/>
  <c r="BR136" i="172"/>
  <c r="BR142" i="172"/>
  <c r="BR129" i="172" s="1"/>
  <c r="W218" i="172"/>
  <c r="R218" i="172"/>
  <c r="AA220" i="172"/>
  <c r="AA217" i="172"/>
  <c r="AA218" i="172" s="1"/>
  <c r="AI229" i="172"/>
  <c r="AN229" i="172"/>
  <c r="AS229" i="172"/>
  <c r="AX229" i="172"/>
  <c r="BT79" i="172"/>
  <c r="BT34" i="172"/>
  <c r="BP67" i="172"/>
  <c r="BP43" i="172"/>
  <c r="BP72" i="172"/>
  <c r="BP48" i="172"/>
  <c r="AR273" i="172"/>
  <c r="AR254" i="172"/>
  <c r="AR292" i="172"/>
  <c r="AR211" i="172"/>
  <c r="AR225" i="172"/>
  <c r="AR245" i="172"/>
  <c r="AW142" i="172"/>
  <c r="AW292" i="172"/>
  <c r="AW254" i="172"/>
  <c r="AW211" i="172"/>
  <c r="AW225" i="172"/>
  <c r="AW273" i="172"/>
  <c r="BB211" i="172"/>
  <c r="BB254" i="172"/>
  <c r="BB245" i="172"/>
  <c r="BB273" i="172"/>
  <c r="BB292" i="172"/>
  <c r="DI297" i="172"/>
  <c r="BG225" i="172"/>
  <c r="BG211" i="172"/>
  <c r="BG254" i="172"/>
  <c r="BG292" i="172"/>
  <c r="BG273" i="172"/>
  <c r="BL174" i="172"/>
  <c r="BL189" i="172" s="1"/>
  <c r="BL192" i="172" s="1"/>
  <c r="BM122" i="172"/>
  <c r="BN230" i="172"/>
  <c r="BN228" i="172" s="1"/>
  <c r="BN229" i="172" s="1"/>
  <c r="AO254" i="172"/>
  <c r="CX90" i="8"/>
  <c r="BA174" i="172"/>
  <c r="BA120" i="172"/>
  <c r="BF174" i="172"/>
  <c r="BF120" i="172"/>
  <c r="BF144" i="172"/>
  <c r="BF34" i="172" s="1"/>
  <c r="BA122" i="172"/>
  <c r="BP250" i="172"/>
  <c r="BP248" i="172" s="1"/>
  <c r="BP249" i="172" s="1"/>
  <c r="BP247" i="172"/>
  <c r="BR144" i="172"/>
  <c r="G344" i="172"/>
  <c r="AA348" i="172"/>
  <c r="BK120" i="172"/>
  <c r="AW245" i="172"/>
  <c r="BG245" i="172"/>
  <c r="BF249" i="172"/>
  <c r="BK249" i="172"/>
  <c r="N251" i="172"/>
  <c r="N248" i="172"/>
  <c r="AC248" i="172"/>
  <c r="AC251" i="172"/>
  <c r="BJ251" i="172"/>
  <c r="BJ248" i="172"/>
  <c r="BJ267" i="172"/>
  <c r="BJ255" i="172"/>
  <c r="BO32" i="172"/>
  <c r="BO21" i="172" s="1"/>
  <c r="Z229" i="172"/>
  <c r="AO229" i="172"/>
  <c r="BD229" i="172"/>
  <c r="BI229" i="172"/>
  <c r="Q278" i="172"/>
  <c r="AJ294" i="172"/>
  <c r="AW294" i="172"/>
  <c r="Q324" i="172"/>
  <c r="EE109" i="135"/>
  <c r="AK276" i="172"/>
  <c r="AK279" i="172"/>
  <c r="BO181" i="172"/>
  <c r="BO183" i="172"/>
  <c r="I279" i="172"/>
  <c r="Q272" i="172"/>
  <c r="BP28" i="172"/>
  <c r="BP85" i="172"/>
  <c r="BR21" i="172"/>
  <c r="BR85" i="172"/>
  <c r="W229" i="172"/>
  <c r="AL229" i="172"/>
  <c r="AQ229" i="172"/>
  <c r="BF229" i="172"/>
  <c r="BK229" i="172"/>
  <c r="AW249" i="172"/>
  <c r="AN27" i="175"/>
  <c r="E224" i="172"/>
  <c r="E253" i="172"/>
  <c r="O224" i="172"/>
  <c r="CC12" i="7" s="1"/>
  <c r="O253" i="172"/>
  <c r="CC14" i="7" s="1"/>
  <c r="N276" i="172"/>
  <c r="BL14" i="172"/>
  <c r="BL85" i="172"/>
  <c r="BS28" i="172"/>
  <c r="BS85" i="172"/>
  <c r="DK171" i="172"/>
  <c r="X229" i="172"/>
  <c r="AM229" i="172"/>
  <c r="AR229" i="172"/>
  <c r="BG229" i="172"/>
  <c r="BI249" i="172"/>
  <c r="AR249" i="172"/>
  <c r="AX249" i="172"/>
  <c r="R248" i="172"/>
  <c r="W248" i="172"/>
  <c r="AF258" i="172"/>
  <c r="BC268" i="172"/>
  <c r="BJ270" i="172"/>
  <c r="BP282" i="172"/>
  <c r="BP283" i="172" s="1"/>
  <c r="BP276" i="172"/>
  <c r="BJ276" i="172"/>
  <c r="BJ279" i="172"/>
  <c r="O279" i="172"/>
  <c r="AA338" i="172"/>
  <c r="AF257" i="171"/>
  <c r="EG109" i="135"/>
  <c r="BT131" i="172"/>
  <c r="BT480" i="172"/>
  <c r="BT185" i="172"/>
  <c r="BT187" i="172"/>
  <c r="I224" i="172"/>
  <c r="I231" i="172" s="1"/>
  <c r="I253" i="172"/>
  <c r="P224" i="172"/>
  <c r="P253" i="172"/>
  <c r="CD14" i="7" s="1"/>
  <c r="AI329" i="175"/>
  <c r="AI422" i="175"/>
  <c r="BW332" i="175"/>
  <c r="CW130" i="172" s="1"/>
  <c r="AM331" i="175"/>
  <c r="AS422" i="175"/>
  <c r="AX422" i="175" s="1"/>
  <c r="AS329" i="175"/>
  <c r="AS225" i="175"/>
  <c r="EF131" i="135"/>
  <c r="EE113" i="135"/>
  <c r="EJ114" i="135" s="1"/>
  <c r="AH422" i="175"/>
  <c r="AH329" i="175"/>
  <c r="AR329" i="175"/>
  <c r="AR422" i="175"/>
  <c r="AW422" i="175" s="1"/>
  <c r="BF142" i="172"/>
  <c r="BF203" i="172" s="1"/>
  <c r="DT46" i="8"/>
  <c r="AL27" i="175"/>
  <c r="AK422" i="175"/>
  <c r="AK329" i="175"/>
  <c r="AG315" i="175"/>
  <c r="AG317" i="175" s="1"/>
  <c r="AL317" i="175" s="1"/>
  <c r="AL315" i="175" s="1"/>
  <c r="AQ422" i="175"/>
  <c r="AV422" i="175" s="1"/>
  <c r="AQ329" i="175"/>
  <c r="CH28" i="8"/>
  <c r="CH31" i="8" s="1"/>
  <c r="CH36" i="8" s="1"/>
  <c r="CN28" i="8"/>
  <c r="CO28" i="8" s="1"/>
  <c r="U257" i="171"/>
  <c r="AN329" i="175"/>
  <c r="AN422" i="175"/>
  <c r="AO325" i="175"/>
  <c r="AT332" i="175"/>
  <c r="AP331" i="175"/>
  <c r="DG46" i="8"/>
  <c r="AX142" i="172"/>
  <c r="DL63" i="135"/>
  <c r="DL69" i="135" s="1"/>
  <c r="X433" i="175"/>
  <c r="DL46" i="8"/>
  <c r="L40" i="9"/>
  <c r="M40" i="9" s="1"/>
  <c r="AE33" i="9"/>
  <c r="AF26" i="9"/>
  <c r="AZ30" i="9"/>
  <c r="BA30" i="9" s="1"/>
  <c r="J39" i="9"/>
  <c r="AD39" i="9"/>
  <c r="AI39" i="9"/>
  <c r="BN39" i="9"/>
  <c r="DD53" i="135"/>
  <c r="Z39" i="9"/>
  <c r="Q35" i="9"/>
  <c r="AT29" i="9"/>
  <c r="AS33" i="9"/>
  <c r="AZ22" i="9"/>
  <c r="BA22" i="9" s="1"/>
  <c r="E33" i="9"/>
  <c r="J33" i="9"/>
  <c r="O33" i="9"/>
  <c r="U29" i="9"/>
  <c r="U33" i="9" s="1"/>
  <c r="T33" i="9"/>
  <c r="Z29" i="9"/>
  <c r="Y33" i="9"/>
  <c r="AF29" i="9"/>
  <c r="AG29" i="9" s="1"/>
  <c r="AD33" i="9"/>
  <c r="AJ30" i="9"/>
  <c r="AK30" i="9" s="1"/>
  <c r="AL30" i="9" s="1"/>
  <c r="AI33" i="9"/>
  <c r="AT39" i="9"/>
  <c r="G35" i="9"/>
  <c r="F39" i="9"/>
  <c r="L29" i="9"/>
  <c r="AG26" i="9"/>
  <c r="Y24" i="9"/>
  <c r="AN33" i="9"/>
  <c r="BD29" i="9"/>
  <c r="BC33" i="9"/>
  <c r="BI26" i="9"/>
  <c r="BJ26" i="9" s="1"/>
  <c r="FP26" i="9" s="1"/>
  <c r="BS29" i="9"/>
  <c r="BT29" i="9" s="1"/>
  <c r="GD39" i="9"/>
  <c r="AE37" i="9"/>
  <c r="AY39" i="9"/>
  <c r="BR66" i="8"/>
  <c r="BR39" i="9"/>
  <c r="CY39" i="9"/>
  <c r="L35" i="9"/>
  <c r="K39" i="9"/>
  <c r="G29" i="9"/>
  <c r="F33" i="9"/>
  <c r="AX33" i="9"/>
  <c r="BE22" i="9"/>
  <c r="BD30" i="9"/>
  <c r="BE30" i="9" s="1"/>
  <c r="BM33" i="9"/>
  <c r="DS27" i="9"/>
  <c r="GD27" i="9" s="1"/>
  <c r="GD33" i="9" s="1"/>
  <c r="O39" i="9"/>
  <c r="AZ37" i="9"/>
  <c r="BM39" i="9"/>
  <c r="BS39" i="9"/>
  <c r="BY37" i="9"/>
  <c r="BX39" i="9"/>
  <c r="CE39" i="9"/>
  <c r="DS39" i="9"/>
  <c r="DI53" i="135"/>
  <c r="CT56" i="135"/>
  <c r="DZ54" i="135"/>
  <c r="CW57" i="135"/>
  <c r="DQ57" i="135"/>
  <c r="CZ82" i="8"/>
  <c r="CZ81" i="8"/>
  <c r="CC42" i="8"/>
  <c r="DN73" i="8"/>
  <c r="DO76" i="8" s="1"/>
  <c r="DL44" i="135"/>
  <c r="DG43" i="135"/>
  <c r="BH42" i="8"/>
  <c r="DG91" i="8"/>
  <c r="DG90" i="8"/>
  <c r="DL91" i="8"/>
  <c r="DL90" i="8"/>
  <c r="BA67" i="8"/>
  <c r="FQ23" i="9"/>
  <c r="BP23" i="9"/>
  <c r="AK32" i="175"/>
  <c r="AT35" i="175"/>
  <c r="DM165" i="135"/>
  <c r="DM160" i="135"/>
  <c r="DM159" i="135"/>
  <c r="DN158" i="135"/>
  <c r="DO160" i="135" s="1"/>
  <c r="DM170" i="135"/>
  <c r="DR159" i="135"/>
  <c r="DM154" i="135"/>
  <c r="DM155" i="135" s="1"/>
  <c r="DM147" i="135"/>
  <c r="DM143" i="135"/>
  <c r="DM151" i="135"/>
  <c r="DM63" i="135"/>
  <c r="DM69" i="135" s="1"/>
  <c r="DM59" i="135"/>
  <c r="DM26" i="135"/>
  <c r="DM43" i="135"/>
  <c r="AF268" i="172"/>
  <c r="BM249" i="172"/>
  <c r="CD7" i="171"/>
  <c r="EE160" i="135"/>
  <c r="EE159" i="135"/>
  <c r="EF160" i="135"/>
  <c r="EE142" i="135"/>
  <c r="EE143" i="135" s="1"/>
  <c r="EE150" i="135"/>
  <c r="EE151" i="135" s="1"/>
  <c r="EE146" i="135"/>
  <c r="EE147" i="135" s="1"/>
  <c r="EE47" i="135"/>
  <c r="EE43" i="135"/>
  <c r="DE91" i="8"/>
  <c r="DE90" i="8"/>
  <c r="DI33" i="9"/>
  <c r="DN33" i="9"/>
  <c r="BE181" i="172"/>
  <c r="BE183" i="172"/>
  <c r="BJ202" i="172"/>
  <c r="AL218" i="172"/>
  <c r="AQ218" i="172"/>
  <c r="AD229" i="172"/>
  <c r="Y229" i="172"/>
  <c r="BH229" i="172"/>
  <c r="DI228" i="172"/>
  <c r="DI230" i="172" s="1"/>
  <c r="BC229" i="172"/>
  <c r="AN249" i="172"/>
  <c r="AY249" i="172"/>
  <c r="BD249" i="172"/>
  <c r="V362" i="172"/>
  <c r="V319" i="172"/>
  <c r="B380" i="172"/>
  <c r="B376" i="172"/>
  <c r="B372" i="172"/>
  <c r="B368" i="172"/>
  <c r="F380" i="172"/>
  <c r="F376" i="172"/>
  <c r="F372" i="172"/>
  <c r="F368" i="172"/>
  <c r="J380" i="172"/>
  <c r="J376" i="172"/>
  <c r="J372" i="172"/>
  <c r="J368" i="172"/>
  <c r="F84" i="171"/>
  <c r="F90" i="171"/>
  <c r="J84" i="171"/>
  <c r="J90" i="171"/>
  <c r="N84" i="171"/>
  <c r="N90" i="171"/>
  <c r="R84" i="171"/>
  <c r="R90" i="171"/>
  <c r="EF63" i="135"/>
  <c r="EF69" i="135" s="1"/>
  <c r="EE63" i="135"/>
  <c r="EE69" i="135" s="1"/>
  <c r="DM47" i="135"/>
  <c r="BT160" i="135"/>
  <c r="BU160" i="135" s="1"/>
  <c r="BU158" i="135"/>
  <c r="BT155" i="135"/>
  <c r="BU155" i="135" s="1"/>
  <c r="BT151" i="135"/>
  <c r="BU151" i="135" s="1"/>
  <c r="BT147" i="135"/>
  <c r="BU147" i="135" s="1"/>
  <c r="BT143" i="135"/>
  <c r="BU143" i="135" s="1"/>
  <c r="BT43" i="135"/>
  <c r="BU43" i="135" s="1"/>
  <c r="BY165" i="135"/>
  <c r="BY160" i="135"/>
  <c r="BY174" i="135"/>
  <c r="BZ158" i="135"/>
  <c r="BY159" i="135"/>
  <c r="BY170" i="135"/>
  <c r="BY155" i="135"/>
  <c r="BY143" i="135"/>
  <c r="BY147" i="135"/>
  <c r="BY151" i="135"/>
  <c r="BY47" i="135"/>
  <c r="BY43" i="135"/>
  <c r="CF170" i="135"/>
  <c r="CF155" i="135"/>
  <c r="CG160" i="135"/>
  <c r="CF160" i="135"/>
  <c r="CF159" i="135"/>
  <c r="CF174" i="135"/>
  <c r="CF165" i="135"/>
  <c r="CK159" i="135"/>
  <c r="CF147" i="135"/>
  <c r="CF143" i="135"/>
  <c r="CF151" i="135"/>
  <c r="CF59" i="135"/>
  <c r="CF43" i="135"/>
  <c r="CF47" i="135"/>
  <c r="CG59" i="135"/>
  <c r="CP170" i="135"/>
  <c r="CP155" i="135"/>
  <c r="CP165" i="135"/>
  <c r="CP159" i="135"/>
  <c r="CP174" i="135"/>
  <c r="CP160" i="135"/>
  <c r="CP151" i="135"/>
  <c r="CP147" i="135"/>
  <c r="CP143" i="135"/>
  <c r="CP59" i="135"/>
  <c r="CU170" i="135"/>
  <c r="CU155" i="135"/>
  <c r="CU165" i="135"/>
  <c r="CU159" i="135"/>
  <c r="CU174" i="135"/>
  <c r="CU147" i="135"/>
  <c r="CU143" i="135"/>
  <c r="CU151" i="135"/>
  <c r="CU26" i="135"/>
  <c r="CU59" i="135"/>
  <c r="CZ170" i="135"/>
  <c r="CZ155" i="135"/>
  <c r="CZ174" i="135"/>
  <c r="CZ165" i="135"/>
  <c r="CZ159" i="135"/>
  <c r="CZ147" i="135"/>
  <c r="CZ143" i="135"/>
  <c r="CZ151" i="135"/>
  <c r="CZ59" i="135"/>
  <c r="CZ26" i="135"/>
  <c r="CZ63" i="135"/>
  <c r="CZ69" i="135" s="1"/>
  <c r="CZ47" i="135"/>
  <c r="DE170" i="135"/>
  <c r="DE155" i="135"/>
  <c r="DE174" i="135"/>
  <c r="DE165" i="135"/>
  <c r="DJ159" i="135"/>
  <c r="DE159" i="135"/>
  <c r="DE147" i="135"/>
  <c r="DE143" i="135"/>
  <c r="DE151" i="135"/>
  <c r="DE47" i="135"/>
  <c r="DE43" i="135"/>
  <c r="DE63" i="135"/>
  <c r="DE69" i="135" s="1"/>
  <c r="DE59" i="135"/>
  <c r="DG59" i="135"/>
  <c r="DE26" i="135"/>
  <c r="DO170" i="135"/>
  <c r="DO155" i="135"/>
  <c r="DO174" i="135"/>
  <c r="DO165" i="135"/>
  <c r="DO159" i="135"/>
  <c r="DO147" i="135"/>
  <c r="DO143" i="135"/>
  <c r="DO151" i="135"/>
  <c r="DO63" i="135"/>
  <c r="DO69" i="135" s="1"/>
  <c r="DO26" i="135"/>
  <c r="DO43" i="135"/>
  <c r="DO47" i="135"/>
  <c r="DO59" i="135"/>
  <c r="DY165" i="135"/>
  <c r="CK62" i="123"/>
  <c r="CG57" i="123"/>
  <c r="CG50" i="123" s="1"/>
  <c r="CG53" i="123" s="1"/>
  <c r="CO57" i="123"/>
  <c r="AM27" i="175"/>
  <c r="AC427" i="175"/>
  <c r="AC428" i="175"/>
  <c r="AD352" i="175"/>
  <c r="AI352" i="175"/>
  <c r="CZ225" i="171"/>
  <c r="BM260" i="172"/>
  <c r="BR261" i="172" s="1"/>
  <c r="CX178" i="171"/>
  <c r="CX179" i="171" s="1"/>
  <c r="Y174" i="171"/>
  <c r="Y84" i="171"/>
  <c r="BT173" i="172"/>
  <c r="BT183" i="172"/>
  <c r="BT181" i="172"/>
  <c r="BW325" i="175"/>
  <c r="CW125" i="172" s="1"/>
  <c r="AT325" i="175"/>
  <c r="AZ276" i="172"/>
  <c r="AZ279" i="172"/>
  <c r="BS120" i="172"/>
  <c r="BN177" i="172"/>
  <c r="BN176" i="172" s="1"/>
  <c r="BN174" i="172"/>
  <c r="BN189" i="172" s="1"/>
  <c r="DF46" i="8"/>
  <c r="DF90" i="8"/>
  <c r="DF91" i="8"/>
  <c r="DK63" i="135"/>
  <c r="DK69" i="135" s="1"/>
  <c r="DU46" i="8"/>
  <c r="DU90" i="8"/>
  <c r="AO35" i="175"/>
  <c r="DZ160" i="135"/>
  <c r="DY146" i="135"/>
  <c r="DY147" i="135" s="1"/>
  <c r="DY142" i="135"/>
  <c r="DY143" i="135" s="1"/>
  <c r="DY150" i="135"/>
  <c r="DY151" i="135" s="1"/>
  <c r="CI39" i="9"/>
  <c r="EH33" i="9"/>
  <c r="BE187" i="172"/>
  <c r="BE185" i="172"/>
  <c r="BE173" i="172"/>
  <c r="BE176" i="172" s="1"/>
  <c r="BT202" i="172"/>
  <c r="AJ229" i="172"/>
  <c r="AE229" i="172"/>
  <c r="AT229" i="172"/>
  <c r="AY229" i="172"/>
  <c r="DH248" i="172"/>
  <c r="BB249" i="172"/>
  <c r="BG249" i="172"/>
  <c r="AJ249" i="172"/>
  <c r="AT249" i="172"/>
  <c r="DG248" i="172"/>
  <c r="G362" i="172"/>
  <c r="G319" i="172"/>
  <c r="AA362" i="172"/>
  <c r="AA319" i="172"/>
  <c r="C380" i="172"/>
  <c r="C376" i="172"/>
  <c r="C372" i="172"/>
  <c r="C368" i="172"/>
  <c r="G380" i="172"/>
  <c r="G376" i="172"/>
  <c r="G372" i="172"/>
  <c r="G368" i="172"/>
  <c r="K380" i="172"/>
  <c r="K376" i="172"/>
  <c r="K372" i="172"/>
  <c r="K368" i="172"/>
  <c r="G90" i="171"/>
  <c r="G93" i="171" s="1"/>
  <c r="G84" i="171"/>
  <c r="G87" i="171" s="1"/>
  <c r="K84" i="171"/>
  <c r="K90" i="171"/>
  <c r="O84" i="171"/>
  <c r="O90" i="171"/>
  <c r="S90" i="171"/>
  <c r="S84" i="171"/>
  <c r="BQ155" i="135"/>
  <c r="BQ151" i="135"/>
  <c r="BQ147" i="135"/>
  <c r="BQ143" i="135"/>
  <c r="BQ47" i="135"/>
  <c r="BQ43" i="135"/>
  <c r="BV170" i="135"/>
  <c r="BV155" i="135"/>
  <c r="BV159" i="135"/>
  <c r="BV165" i="135"/>
  <c r="BV174" i="135"/>
  <c r="BV160" i="135"/>
  <c r="BV147" i="135"/>
  <c r="BV143" i="135"/>
  <c r="BV151" i="135"/>
  <c r="BV47" i="135"/>
  <c r="CA170" i="135"/>
  <c r="CA155" i="135"/>
  <c r="CA160" i="135"/>
  <c r="CA159" i="135"/>
  <c r="CA165" i="135"/>
  <c r="CA174" i="135"/>
  <c r="CB160" i="135"/>
  <c r="CA147" i="135"/>
  <c r="CA143" i="135"/>
  <c r="CA151" i="135"/>
  <c r="CA47" i="135"/>
  <c r="CA43" i="135"/>
  <c r="CB59" i="135"/>
  <c r="CQ174" i="135"/>
  <c r="CQ170" i="135"/>
  <c r="CQ155" i="135"/>
  <c r="CQ160" i="135"/>
  <c r="CQ165" i="135"/>
  <c r="CQ159" i="135"/>
  <c r="CQ151" i="135"/>
  <c r="CQ143" i="135"/>
  <c r="CQ147" i="135"/>
  <c r="CQ43" i="135"/>
  <c r="CQ30" i="135"/>
  <c r="CQ59" i="135"/>
  <c r="CV165" i="135"/>
  <c r="CV159" i="135"/>
  <c r="CV170" i="135"/>
  <c r="CV174" i="135"/>
  <c r="CV160" i="135"/>
  <c r="CV151" i="135"/>
  <c r="CV147" i="135"/>
  <c r="CV155" i="135"/>
  <c r="CV143" i="135"/>
  <c r="CV43" i="135"/>
  <c r="CV26" i="135"/>
  <c r="CV59" i="135"/>
  <c r="CV47" i="135"/>
  <c r="DA165" i="135"/>
  <c r="DA160" i="135"/>
  <c r="DA159" i="135"/>
  <c r="DA170" i="135"/>
  <c r="DA155" i="135"/>
  <c r="DA174" i="135"/>
  <c r="DB160" i="135"/>
  <c r="DB63" i="135"/>
  <c r="DB69" i="135" s="1"/>
  <c r="DA151" i="135"/>
  <c r="DA147" i="135"/>
  <c r="DA143" i="135"/>
  <c r="DA63" i="135"/>
  <c r="DA69" i="135" s="1"/>
  <c r="DA43" i="135"/>
  <c r="DA26" i="135"/>
  <c r="DB59" i="135"/>
  <c r="DA47" i="135"/>
  <c r="DA59" i="135"/>
  <c r="DF174" i="135"/>
  <c r="DG160" i="135"/>
  <c r="DF151" i="135"/>
  <c r="DF165" i="135"/>
  <c r="DF160" i="135"/>
  <c r="DK159" i="135"/>
  <c r="DF159" i="135"/>
  <c r="DF170" i="135"/>
  <c r="DF155" i="135"/>
  <c r="DG63" i="135"/>
  <c r="DG69" i="135" s="1"/>
  <c r="DF143" i="135"/>
  <c r="DF147" i="135"/>
  <c r="DH59" i="135"/>
  <c r="DF43" i="135"/>
  <c r="DF63" i="135"/>
  <c r="DF69" i="135" s="1"/>
  <c r="DF26" i="135"/>
  <c r="DF47" i="135"/>
  <c r="DP170" i="135"/>
  <c r="DP155" i="135"/>
  <c r="DP151" i="135"/>
  <c r="DP174" i="135"/>
  <c r="DP165" i="135"/>
  <c r="DP160" i="135"/>
  <c r="DP159" i="135"/>
  <c r="DU159" i="135"/>
  <c r="DP143" i="135"/>
  <c r="DP147" i="135"/>
  <c r="DR59" i="135"/>
  <c r="DP47" i="135"/>
  <c r="DP26" i="135"/>
  <c r="DY174" i="135"/>
  <c r="AB428" i="175"/>
  <c r="AB427" i="175"/>
  <c r="AM182" i="171"/>
  <c r="AG422" i="175"/>
  <c r="AG329" i="175"/>
  <c r="BO69" i="172"/>
  <c r="EF109" i="135"/>
  <c r="BJ157" i="172"/>
  <c r="BJ159" i="172"/>
  <c r="BJ187" i="172"/>
  <c r="BJ185" i="172"/>
  <c r="BE276" i="172"/>
  <c r="BE279" i="172"/>
  <c r="P279" i="172"/>
  <c r="P276" i="172"/>
  <c r="CW46" i="8"/>
  <c r="DW90" i="8"/>
  <c r="DW91" i="8"/>
  <c r="AO332" i="175"/>
  <c r="AL331" i="175"/>
  <c r="BS43" i="172"/>
  <c r="BS67" i="172"/>
  <c r="DE46" i="8"/>
  <c r="DJ63" i="135"/>
  <c r="DJ69" i="135" s="1"/>
  <c r="V433" i="175"/>
  <c r="AV142" i="172"/>
  <c r="DJ91" i="8"/>
  <c r="DJ46" i="8"/>
  <c r="DJ90" i="8"/>
  <c r="AA433" i="175"/>
  <c r="BA142" i="172"/>
  <c r="BA203" i="172" s="1"/>
  <c r="DO91" i="8"/>
  <c r="DO46" i="8"/>
  <c r="DO90" i="8"/>
  <c r="DB46" i="8"/>
  <c r="AM32" i="175"/>
  <c r="AA120" i="171"/>
  <c r="AA123" i="171" s="1"/>
  <c r="AA84" i="171"/>
  <c r="AA90" i="171"/>
  <c r="BO30" i="9"/>
  <c r="BP30" i="9" s="1"/>
  <c r="DJ228" i="172"/>
  <c r="DJ230" i="172" s="1"/>
  <c r="BL229" i="172"/>
  <c r="V84" i="171"/>
  <c r="V90" i="171"/>
  <c r="ED159" i="135"/>
  <c r="ED146" i="135"/>
  <c r="ED147" i="135" s="1"/>
  <c r="ED142" i="135"/>
  <c r="ED143" i="135" s="1"/>
  <c r="ED150" i="135"/>
  <c r="ED151" i="135" s="1"/>
  <c r="AE249" i="172"/>
  <c r="AZ23" i="9"/>
  <c r="BA23" i="9" s="1"/>
  <c r="FZ39" i="9"/>
  <c r="FW39" i="9"/>
  <c r="GA39" i="9"/>
  <c r="CE33" i="9"/>
  <c r="CO33" i="9"/>
  <c r="DK97" i="172"/>
  <c r="DJ159" i="172"/>
  <c r="BK144" i="172"/>
  <c r="BK34" i="172" s="1"/>
  <c r="BF190" i="172"/>
  <c r="BJ173" i="172"/>
  <c r="BJ176" i="172" s="1"/>
  <c r="AG229" i="172"/>
  <c r="AB229" i="172"/>
  <c r="BA229" i="172"/>
  <c r="AV229" i="172"/>
  <c r="BC249" i="172"/>
  <c r="DI248" i="172"/>
  <c r="DI250" i="172" s="1"/>
  <c r="DJ248" i="172"/>
  <c r="BH249" i="172"/>
  <c r="AQ249" i="172"/>
  <c r="AV249" i="172"/>
  <c r="L362" i="172"/>
  <c r="L319" i="172"/>
  <c r="D380" i="172"/>
  <c r="D376" i="172"/>
  <c r="D372" i="172"/>
  <c r="D368" i="172"/>
  <c r="H380" i="172"/>
  <c r="H376" i="172"/>
  <c r="H372" i="172"/>
  <c r="H368" i="172"/>
  <c r="L380" i="172"/>
  <c r="L376" i="172"/>
  <c r="L372" i="172"/>
  <c r="L368" i="172"/>
  <c r="W90" i="171"/>
  <c r="W84" i="171"/>
  <c r="AV14" i="171"/>
  <c r="AR19" i="171"/>
  <c r="AP340" i="189" s="1"/>
  <c r="H90" i="171"/>
  <c r="H84" i="171"/>
  <c r="L90" i="171"/>
  <c r="L84" i="171"/>
  <c r="T84" i="171"/>
  <c r="T90" i="171"/>
  <c r="DW174" i="135"/>
  <c r="DW165" i="135"/>
  <c r="DW160" i="135"/>
  <c r="DW159" i="135"/>
  <c r="DX158" i="135"/>
  <c r="DY160" i="135" s="1"/>
  <c r="DW155" i="135"/>
  <c r="DW151" i="135"/>
  <c r="DW143" i="135"/>
  <c r="DW147" i="135"/>
  <c r="DW47" i="135"/>
  <c r="DW63" i="135"/>
  <c r="DW69" i="135" s="1"/>
  <c r="DW43" i="135"/>
  <c r="BR155" i="135"/>
  <c r="BR160" i="135"/>
  <c r="BR143" i="135"/>
  <c r="BR151" i="135"/>
  <c r="BR147" i="135"/>
  <c r="BR43" i="135"/>
  <c r="BR47" i="135"/>
  <c r="BW165" i="135"/>
  <c r="CB159" i="135"/>
  <c r="BW174" i="135"/>
  <c r="BW170" i="135"/>
  <c r="BW160" i="135"/>
  <c r="BW159" i="135"/>
  <c r="BW151" i="135"/>
  <c r="BW147" i="135"/>
  <c r="BW155" i="135"/>
  <c r="BW143" i="135"/>
  <c r="BW47" i="135"/>
  <c r="CH174" i="135"/>
  <c r="CH159" i="135"/>
  <c r="CH151" i="135"/>
  <c r="CH165" i="135"/>
  <c r="CH170" i="135"/>
  <c r="CH155" i="135"/>
  <c r="CH160" i="135"/>
  <c r="CH147" i="135"/>
  <c r="CH143" i="135"/>
  <c r="CH59" i="135"/>
  <c r="CH43" i="135"/>
  <c r="CH47" i="135"/>
  <c r="CM174" i="135"/>
  <c r="CN160" i="135"/>
  <c r="CM159" i="135"/>
  <c r="CM151" i="135"/>
  <c r="CM160" i="135"/>
  <c r="CM170" i="135"/>
  <c r="CM165" i="135"/>
  <c r="CM155" i="135"/>
  <c r="CM147" i="135"/>
  <c r="CM143" i="135"/>
  <c r="CN59" i="135"/>
  <c r="CM59" i="135"/>
  <c r="CM43" i="135"/>
  <c r="CR174" i="135"/>
  <c r="CR159" i="135"/>
  <c r="CR151" i="135"/>
  <c r="CR160" i="135"/>
  <c r="CR165" i="135"/>
  <c r="CR170" i="135"/>
  <c r="CR155" i="135"/>
  <c r="CR143" i="135"/>
  <c r="CR147" i="135"/>
  <c r="CR59" i="135"/>
  <c r="CR47" i="135"/>
  <c r="CW174" i="135"/>
  <c r="CX160" i="135"/>
  <c r="DB159" i="135"/>
  <c r="CW159" i="135"/>
  <c r="CW151" i="135"/>
  <c r="CW170" i="135"/>
  <c r="CW155" i="135"/>
  <c r="CW160" i="135"/>
  <c r="CW165" i="135"/>
  <c r="CW63" i="135"/>
  <c r="CW69" i="135" s="1"/>
  <c r="CW143" i="135"/>
  <c r="CW147" i="135"/>
  <c r="CX59" i="135"/>
  <c r="CW26" i="135"/>
  <c r="CW59" i="135"/>
  <c r="CW47" i="135"/>
  <c r="DY169" i="135"/>
  <c r="DW170" i="135"/>
  <c r="EB65" i="123"/>
  <c r="CC62" i="123"/>
  <c r="CG62" i="123"/>
  <c r="CL56" i="123"/>
  <c r="CL57" i="123" s="1"/>
  <c r="CL50" i="123" s="1"/>
  <c r="CL53" i="123" s="1"/>
  <c r="CB68" i="123"/>
  <c r="CL68" i="123"/>
  <c r="DA65" i="123"/>
  <c r="DF67" i="123"/>
  <c r="DK65" i="123"/>
  <c r="DP67" i="123"/>
  <c r="AS142" i="175"/>
  <c r="AO25" i="175"/>
  <c r="Z426" i="175"/>
  <c r="U426" i="175"/>
  <c r="P426" i="175"/>
  <c r="K426" i="175"/>
  <c r="F426" i="175"/>
  <c r="DA225" i="171"/>
  <c r="AH352" i="175"/>
  <c r="AJ351" i="175"/>
  <c r="AF329" i="175"/>
  <c r="AF422" i="175"/>
  <c r="BO157" i="172"/>
  <c r="BO159" i="172"/>
  <c r="AP276" i="172"/>
  <c r="AP279" i="172"/>
  <c r="V276" i="172"/>
  <c r="V279" i="172"/>
  <c r="BO480" i="172"/>
  <c r="BO185" i="172"/>
  <c r="BO187" i="172"/>
  <c r="BO173" i="172"/>
  <c r="DT91" i="8"/>
  <c r="DT90" i="8"/>
  <c r="BT69" i="172"/>
  <c r="DH63" i="135"/>
  <c r="DH69" i="135" s="1"/>
  <c r="DH46" i="8"/>
  <c r="DH90" i="8"/>
  <c r="DH91" i="8"/>
  <c r="Y433" i="175"/>
  <c r="AY142" i="172"/>
  <c r="DM46" i="8"/>
  <c r="BI142" i="172"/>
  <c r="BI203" i="172" s="1"/>
  <c r="DW46" i="8"/>
  <c r="BM177" i="172"/>
  <c r="BM176" i="172" s="1"/>
  <c r="BM174" i="172"/>
  <c r="BM189" i="172" s="1"/>
  <c r="BK192" i="172"/>
  <c r="DA46" i="8"/>
  <c r="DA90" i="8"/>
  <c r="AQ224" i="175"/>
  <c r="AP108" i="175"/>
  <c r="AE120" i="171"/>
  <c r="AE84" i="171"/>
  <c r="AE90" i="171"/>
  <c r="AT159" i="175"/>
  <c r="Z84" i="171"/>
  <c r="Z120" i="171"/>
  <c r="Z90" i="171"/>
  <c r="DN39" i="9"/>
  <c r="AL249" i="172"/>
  <c r="Y120" i="171"/>
  <c r="Y90" i="171"/>
  <c r="DM174" i="135"/>
  <c r="DM90" i="8"/>
  <c r="DM91" i="8"/>
  <c r="BH33" i="9"/>
  <c r="BI30" i="9"/>
  <c r="BR33" i="9"/>
  <c r="BY29" i="9"/>
  <c r="BX33" i="9"/>
  <c r="GA24" i="9"/>
  <c r="FT39" i="9"/>
  <c r="FX39" i="9"/>
  <c r="GB39" i="9"/>
  <c r="AN39" i="9"/>
  <c r="AO36" i="9"/>
  <c r="AP36" i="9" s="1"/>
  <c r="CO66" i="8"/>
  <c r="CO39" i="9"/>
  <c r="DD24" i="9"/>
  <c r="DI24" i="9"/>
  <c r="BE159" i="172"/>
  <c r="BE157" i="172"/>
  <c r="DJ171" i="172"/>
  <c r="BE202" i="172"/>
  <c r="AH229" i="172"/>
  <c r="AC229" i="172"/>
  <c r="BB229" i="172"/>
  <c r="AW229" i="172"/>
  <c r="AO249" i="172"/>
  <c r="AZ258" i="172"/>
  <c r="Y268" i="172"/>
  <c r="AD268" i="172"/>
  <c r="AI268" i="172"/>
  <c r="AS268" i="172"/>
  <c r="Q362" i="172"/>
  <c r="Q319" i="172"/>
  <c r="E380" i="172"/>
  <c r="E376" i="172"/>
  <c r="E372" i="172"/>
  <c r="E368" i="172"/>
  <c r="I380" i="172"/>
  <c r="I376" i="172"/>
  <c r="I372" i="172"/>
  <c r="I368" i="172"/>
  <c r="AZ409" i="172"/>
  <c r="X90" i="171"/>
  <c r="X84" i="171"/>
  <c r="CB10" i="171"/>
  <c r="CB69" i="171" s="1"/>
  <c r="AW14" i="171"/>
  <c r="AW19" i="171" s="1"/>
  <c r="AV340" i="189" s="1"/>
  <c r="AS19" i="171"/>
  <c r="CY15" i="171"/>
  <c r="I90" i="171"/>
  <c r="I93" i="171" s="1"/>
  <c r="I84" i="171"/>
  <c r="I87" i="171" s="1"/>
  <c r="M90" i="171"/>
  <c r="M84" i="171"/>
  <c r="Q84" i="171"/>
  <c r="Q90" i="171"/>
  <c r="U90" i="171"/>
  <c r="U84" i="171"/>
  <c r="BV43" i="135"/>
  <c r="DP43" i="135"/>
  <c r="CQ47" i="135"/>
  <c r="BS151" i="135"/>
  <c r="BS160" i="135"/>
  <c r="BS155" i="135"/>
  <c r="BS143" i="135"/>
  <c r="BS147" i="135"/>
  <c r="BS47" i="135"/>
  <c r="BX174" i="135"/>
  <c r="CC159" i="135"/>
  <c r="BX159" i="135"/>
  <c r="BX151" i="135"/>
  <c r="BX170" i="135"/>
  <c r="BX155" i="135"/>
  <c r="BX160" i="135"/>
  <c r="BX165" i="135"/>
  <c r="BX143" i="135"/>
  <c r="BX147" i="135"/>
  <c r="BX47" i="135"/>
  <c r="CD165" i="135"/>
  <c r="CD160" i="135"/>
  <c r="CD174" i="135"/>
  <c r="CD170" i="135"/>
  <c r="CD155" i="135"/>
  <c r="CD159" i="135"/>
  <c r="CE158" i="135"/>
  <c r="CD143" i="135"/>
  <c r="CD151" i="135"/>
  <c r="CD147" i="135"/>
  <c r="CD59" i="135"/>
  <c r="CD47" i="135"/>
  <c r="CD43" i="135"/>
  <c r="CI165" i="135"/>
  <c r="CI160" i="135"/>
  <c r="CI159" i="135"/>
  <c r="CI174" i="135"/>
  <c r="CI170" i="135"/>
  <c r="CN159" i="135"/>
  <c r="CJ158" i="135"/>
  <c r="CK160" i="135" s="1"/>
  <c r="CI151" i="135"/>
  <c r="CI147" i="135"/>
  <c r="CI155" i="135"/>
  <c r="CI143" i="135"/>
  <c r="CI59" i="135"/>
  <c r="CI47" i="135"/>
  <c r="CK59" i="135"/>
  <c r="CI43" i="135"/>
  <c r="CS174" i="135"/>
  <c r="CS165" i="135"/>
  <c r="CS160" i="135"/>
  <c r="CT158" i="135"/>
  <c r="CU160" i="135" s="1"/>
  <c r="CS170" i="135"/>
  <c r="CS159" i="135"/>
  <c r="CS155" i="135"/>
  <c r="CX159" i="135"/>
  <c r="CS151" i="135"/>
  <c r="CS147" i="135"/>
  <c r="CS143" i="135"/>
  <c r="CS59" i="135"/>
  <c r="CS43" i="135"/>
  <c r="DC174" i="135"/>
  <c r="DC165" i="135"/>
  <c r="DC160" i="135"/>
  <c r="DC170" i="135"/>
  <c r="DH159" i="135"/>
  <c r="DC159" i="135"/>
  <c r="DC155" i="135"/>
  <c r="DD158" i="135"/>
  <c r="DF59" i="135" s="1"/>
  <c r="DC143" i="135"/>
  <c r="DC151" i="135"/>
  <c r="DC147" i="135"/>
  <c r="DC59" i="135"/>
  <c r="DC26" i="135"/>
  <c r="DC43" i="135"/>
  <c r="CK57" i="123"/>
  <c r="CK50" i="123" s="1"/>
  <c r="CK53" i="123" s="1"/>
  <c r="AD428" i="175"/>
  <c r="AD427" i="175"/>
  <c r="AA352" i="175"/>
  <c r="Z351" i="175"/>
  <c r="AE352" i="175" s="1"/>
  <c r="P351" i="175"/>
  <c r="BO75" i="172"/>
  <c r="BO88" i="172"/>
  <c r="BO84" i="172" s="1"/>
  <c r="DA224" i="171"/>
  <c r="DB225" i="171"/>
  <c r="AU182" i="171"/>
  <c r="BH163" i="171"/>
  <c r="BG127" i="171"/>
  <c r="BG174" i="171" s="1"/>
  <c r="AV127" i="171"/>
  <c r="AV174" i="171" s="1"/>
  <c r="AC127" i="171"/>
  <c r="AC174" i="171" s="1"/>
  <c r="ED109" i="135"/>
  <c r="EI109" i="135"/>
  <c r="BO79" i="172"/>
  <c r="BJ181" i="172"/>
  <c r="BJ183" i="172"/>
  <c r="AE295" i="175"/>
  <c r="AE314" i="175"/>
  <c r="AU276" i="172"/>
  <c r="AU279" i="172"/>
  <c r="AA276" i="172"/>
  <c r="AA279" i="172"/>
  <c r="BO202" i="172"/>
  <c r="M279" i="172"/>
  <c r="M276" i="172"/>
  <c r="BQ28" i="172"/>
  <c r="BQ85" i="172"/>
  <c r="EG90" i="8"/>
  <c r="DV63" i="135"/>
  <c r="DV69" i="135" s="1"/>
  <c r="BH142" i="172"/>
  <c r="BH203" i="172" s="1"/>
  <c r="DV46" i="8"/>
  <c r="DV90" i="8"/>
  <c r="DV91" i="8"/>
  <c r="CZ46" i="8"/>
  <c r="CZ90" i="8"/>
  <c r="AI8" i="171"/>
  <c r="AI11" i="171"/>
  <c r="AI78" i="171" s="1"/>
  <c r="AL396" i="175"/>
  <c r="AQ396" i="175"/>
  <c r="AR398" i="175" s="1"/>
  <c r="AN396" i="175"/>
  <c r="AP396" i="175"/>
  <c r="DN173" i="135"/>
  <c r="AM100" i="175"/>
  <c r="AU33" i="171"/>
  <c r="AS33" i="171"/>
  <c r="AP42" i="171"/>
  <c r="AO33" i="171"/>
  <c r="AK42" i="171"/>
  <c r="AH11" i="171"/>
  <c r="AH96" i="171" s="1"/>
  <c r="AD11" i="171"/>
  <c r="AD78" i="171" s="1"/>
  <c r="AO116" i="175"/>
  <c r="FO17" i="9"/>
  <c r="BP19" i="9"/>
  <c r="AC11" i="171"/>
  <c r="AC114" i="171" s="1"/>
  <c r="AK324" i="175"/>
  <c r="DZ38" i="135"/>
  <c r="FQ36" i="9"/>
  <c r="AZ274" i="172"/>
  <c r="BH268" i="172"/>
  <c r="AP255" i="172"/>
  <c r="U246" i="172"/>
  <c r="AL237" i="172"/>
  <c r="AK212" i="172"/>
  <c r="AU220" i="172"/>
  <c r="BJ212" i="172"/>
  <c r="AP297" i="172"/>
  <c r="AP245" i="172" s="1"/>
  <c r="BI144" i="172"/>
  <c r="BI34" i="172" s="1"/>
  <c r="BN122" i="172"/>
  <c r="BL194" i="172"/>
  <c r="BO169" i="172"/>
  <c r="BN144" i="172"/>
  <c r="BN34" i="172" s="1"/>
  <c r="BT112" i="172"/>
  <c r="BO112" i="172"/>
  <c r="L12" i="171"/>
  <c r="CA11" i="171"/>
  <c r="CS11" i="171"/>
  <c r="CV6" i="171"/>
  <c r="CV7" i="171" s="1"/>
  <c r="EB27" i="135"/>
  <c r="AF228" i="172"/>
  <c r="AZ228" i="172"/>
  <c r="AK220" i="172"/>
  <c r="T246" i="172"/>
  <c r="P246" i="172"/>
  <c r="V235" i="172"/>
  <c r="BE297" i="172"/>
  <c r="BE211" i="172" s="1"/>
  <c r="BA218" i="172"/>
  <c r="CZ15" i="171"/>
  <c r="AS16" i="171"/>
  <c r="T247" i="172"/>
  <c r="EC13" i="135"/>
  <c r="DS42" i="135"/>
  <c r="DS44" i="135" s="1"/>
  <c r="CO42" i="135"/>
  <c r="DX6" i="135"/>
  <c r="EE7" i="135"/>
  <c r="DO136" i="135"/>
  <c r="BQ21" i="172"/>
  <c r="CU7" i="171"/>
  <c r="AQ211" i="172"/>
  <c r="AQ273" i="172"/>
  <c r="AQ245" i="172"/>
  <c r="BA211" i="172"/>
  <c r="DI63" i="8"/>
  <c r="AZ36" i="9"/>
  <c r="DK115" i="172"/>
  <c r="AE332" i="175"/>
  <c r="AE331" i="175" s="1"/>
  <c r="AN273" i="172"/>
  <c r="DN46" i="135"/>
  <c r="DS48" i="135" s="1"/>
  <c r="CY56" i="135"/>
  <c r="EG62" i="123"/>
  <c r="EB62" i="123"/>
  <c r="DF65" i="123"/>
  <c r="BM53" i="172"/>
  <c r="EE8" i="135"/>
  <c r="EF100" i="135"/>
  <c r="EJ115" i="135"/>
  <c r="BD214" i="171"/>
  <c r="AI396" i="175"/>
  <c r="AI398" i="175" s="1"/>
  <c r="AI394" i="175"/>
  <c r="DH62" i="123"/>
  <c r="AS396" i="175"/>
  <c r="BE197" i="172"/>
  <c r="AL313" i="175"/>
  <c r="AL379" i="175" s="1"/>
  <c r="AU134" i="175"/>
  <c r="AT201" i="175"/>
  <c r="AN42" i="171"/>
  <c r="EJ8" i="135"/>
  <c r="AD8" i="171"/>
  <c r="BN63" i="8"/>
  <c r="AZ248" i="172"/>
  <c r="BZ67" i="8"/>
  <c r="BT36" i="9"/>
  <c r="FR36" i="9" s="1"/>
  <c r="DN66" i="8"/>
  <c r="L336" i="172"/>
  <c r="AK217" i="172"/>
  <c r="AU246" i="172"/>
  <c r="AU297" i="172"/>
  <c r="AU211" i="172" s="1"/>
  <c r="BO171" i="172"/>
  <c r="BS144" i="172"/>
  <c r="BL138" i="172"/>
  <c r="EH136" i="135"/>
  <c r="BN120" i="172"/>
  <c r="BE171" i="172"/>
  <c r="BF122" i="172"/>
  <c r="BI120" i="172"/>
  <c r="BO163" i="172"/>
  <c r="BQ33" i="172"/>
  <c r="BQ35" i="172" s="1"/>
  <c r="T12" i="171"/>
  <c r="AA56" i="171"/>
  <c r="DC48" i="135"/>
  <c r="ED48" i="135"/>
  <c r="AA270" i="172"/>
  <c r="P248" i="172"/>
  <c r="AA235" i="172"/>
  <c r="CU11" i="171"/>
  <c r="AV292" i="172"/>
  <c r="AP212" i="172"/>
  <c r="BR36" i="172"/>
  <c r="DV57" i="135"/>
  <c r="DW22" i="135"/>
  <c r="DX22" i="135" s="1"/>
  <c r="DX23" i="135" s="1"/>
  <c r="AQ254" i="172"/>
  <c r="BA225" i="172"/>
  <c r="DW25" i="9"/>
  <c r="DW54" i="9" s="1"/>
  <c r="CT27" i="9"/>
  <c r="DD27" i="9"/>
  <c r="DI27" i="9"/>
  <c r="DN27" i="9"/>
  <c r="CY24" i="9"/>
  <c r="DX24" i="9"/>
  <c r="BF178" i="172"/>
  <c r="DZ136" i="135"/>
  <c r="BM409" i="172"/>
  <c r="BO409" i="172" s="1"/>
  <c r="DZ173" i="135"/>
  <c r="DZ174" i="135" s="1"/>
  <c r="CD62" i="123"/>
  <c r="EI56" i="123"/>
  <c r="EI57" i="123" s="1"/>
  <c r="EI50" i="123" s="1"/>
  <c r="EI53" i="123" s="1"/>
  <c r="CC67" i="123"/>
  <c r="CW67" i="123"/>
  <c r="DB67" i="123"/>
  <c r="DL65" i="123"/>
  <c r="AQ24" i="175"/>
  <c r="CY178" i="171"/>
  <c r="CF176" i="171"/>
  <c r="M257" i="171"/>
  <c r="AK233" i="171"/>
  <c r="AK227" i="171" s="1"/>
  <c r="AK182" i="171" s="1"/>
  <c r="AG217" i="171"/>
  <c r="AG213" i="171" s="1"/>
  <c r="AC217" i="171"/>
  <c r="AC213" i="171" s="1"/>
  <c r="AG396" i="175"/>
  <c r="AH398" i="175" s="1"/>
  <c r="AE56" i="171"/>
  <c r="BS30" i="9"/>
  <c r="AE297" i="175"/>
  <c r="DT136" i="135"/>
  <c r="AN268" i="172"/>
  <c r="BN53" i="172"/>
  <c r="EI111" i="135"/>
  <c r="BQ38" i="172"/>
  <c r="AT33" i="171"/>
  <c r="AS42" i="171"/>
  <c r="AE8" i="171"/>
  <c r="BT59" i="135"/>
  <c r="AT16" i="171"/>
  <c r="BB63" i="8"/>
  <c r="FQ30" i="9"/>
  <c r="BE274" i="172"/>
  <c r="AU255" i="172"/>
  <c r="U247" i="172"/>
  <c r="DJ226" i="172"/>
  <c r="BE212" i="172"/>
  <c r="R247" i="172"/>
  <c r="G220" i="172"/>
  <c r="BK136" i="172"/>
  <c r="BA136" i="172"/>
  <c r="BJ115" i="172"/>
  <c r="BD120" i="172"/>
  <c r="BO161" i="172"/>
  <c r="BJ97" i="172"/>
  <c r="BO455" i="172"/>
  <c r="P12" i="171"/>
  <c r="BZ11" i="171"/>
  <c r="BZ10" i="171" s="1"/>
  <c r="BZ69" i="171" s="1"/>
  <c r="CN44" i="135"/>
  <c r="DW29" i="135"/>
  <c r="EE38" i="135"/>
  <c r="AF255" i="172"/>
  <c r="BE220" i="172"/>
  <c r="CH23" i="171"/>
  <c r="CR11" i="171"/>
  <c r="CR10" i="171" s="1"/>
  <c r="CR69" i="171" s="1"/>
  <c r="AQ292" i="172"/>
  <c r="AN292" i="172"/>
  <c r="BF138" i="172"/>
  <c r="BA138" i="172"/>
  <c r="AQ134" i="175"/>
  <c r="DD46" i="135"/>
  <c r="BQ14" i="172"/>
  <c r="CB192" i="171"/>
  <c r="BA254" i="172"/>
  <c r="BA273" i="172"/>
  <c r="BA245" i="172"/>
  <c r="AQ225" i="172"/>
  <c r="AV254" i="172"/>
  <c r="EA42" i="8"/>
  <c r="EA7" i="8" s="1"/>
  <c r="DS66" i="8"/>
  <c r="CJ35" i="9"/>
  <c r="CO24" i="9"/>
  <c r="BP120" i="172"/>
  <c r="AN211" i="172"/>
  <c r="AN225" i="172"/>
  <c r="AT233" i="175"/>
  <c r="DZ164" i="135"/>
  <c r="DZ165" i="135" s="1"/>
  <c r="CB67" i="123"/>
  <c r="CA67" i="123"/>
  <c r="CF67" i="123"/>
  <c r="AK100" i="175"/>
  <c r="AM351" i="175"/>
  <c r="BL53" i="172"/>
  <c r="BS53" i="172"/>
  <c r="CF178" i="171"/>
  <c r="CF179" i="171" s="1"/>
  <c r="AB216" i="171"/>
  <c r="BT126" i="172"/>
  <c r="AX379" i="175"/>
  <c r="AX313" i="175" s="1"/>
  <c r="CU67" i="123"/>
  <c r="CZ67" i="123"/>
  <c r="DH39" i="12"/>
  <c r="DI39" i="12" s="1"/>
  <c r="DI31" i="12"/>
  <c r="DH13" i="12"/>
  <c r="DH22" i="12" s="1"/>
  <c r="DJ22" i="12" s="1"/>
  <c r="DJ13" i="12" s="1"/>
  <c r="CJ39" i="12"/>
  <c r="CO39" i="12"/>
  <c r="CB34" i="12"/>
  <c r="CC26" i="12" s="1"/>
  <c r="CB38" i="12"/>
  <c r="DM13" i="12"/>
  <c r="DM22" i="12" s="1"/>
  <c r="DO22" i="12" s="1"/>
  <c r="DP22" i="12" s="1"/>
  <c r="DQ22" i="12" s="1"/>
  <c r="DM39" i="12"/>
  <c r="CT39" i="12"/>
  <c r="DC15" i="12"/>
  <c r="DC18" i="12" s="1"/>
  <c r="EI54" i="12"/>
  <c r="EI69" i="12" s="1"/>
  <c r="EI29" i="12" s="1"/>
  <c r="ED54" i="12"/>
  <c r="ED69" i="12" s="1"/>
  <c r="ED29" i="12" s="1"/>
  <c r="DY54" i="12"/>
  <c r="DY69" i="12" s="1"/>
  <c r="DY29" i="12" s="1"/>
  <c r="DP46" i="12"/>
  <c r="DP54" i="12" s="1"/>
  <c r="DP69" i="12" s="1"/>
  <c r="DP29" i="12" s="1"/>
  <c r="CF20" i="12"/>
  <c r="CA38" i="12"/>
  <c r="DW54" i="12"/>
  <c r="DW69" i="12" s="1"/>
  <c r="DW29" i="12" s="1"/>
  <c r="DQ54" i="12"/>
  <c r="DQ69" i="12" s="1"/>
  <c r="DQ29" i="12" s="1"/>
  <c r="DY53" i="12"/>
  <c r="DY67" i="12" s="1"/>
  <c r="DY11" i="12" s="1"/>
  <c r="CE43" i="12"/>
  <c r="ED53" i="12"/>
  <c r="ED67" i="12" s="1"/>
  <c r="ED11" i="12" s="1"/>
  <c r="CS53" i="12"/>
  <c r="CS67" i="12" s="1"/>
  <c r="CS11" i="12" s="1"/>
  <c r="CS15" i="12" s="1"/>
  <c r="CW33" i="12"/>
  <c r="DB33" i="12"/>
  <c r="ED61" i="12"/>
  <c r="BR262" i="172"/>
  <c r="DX169" i="135"/>
  <c r="DX171" i="135" s="1"/>
  <c r="BQ261" i="172"/>
  <c r="Q257" i="171"/>
  <c r="R257" i="171"/>
  <c r="F257" i="171"/>
  <c r="AM300" i="175"/>
  <c r="AM301" i="175" s="1"/>
  <c r="BM214" i="172"/>
  <c r="AL107" i="175"/>
  <c r="CH32" i="171"/>
  <c r="CI32" i="171"/>
  <c r="AQ107" i="175"/>
  <c r="CX176" i="171"/>
  <c r="CX177" i="171" s="1"/>
  <c r="CA409" i="172" s="1"/>
  <c r="BT260" i="172"/>
  <c r="BL262" i="172"/>
  <c r="DJ260" i="172"/>
  <c r="DI260" i="172"/>
  <c r="AL84" i="175"/>
  <c r="BP261" i="172"/>
  <c r="Q246" i="172"/>
  <c r="BS262" i="172"/>
  <c r="BJ260" i="172"/>
  <c r="W251" i="172"/>
  <c r="BL261" i="172"/>
  <c r="EI53" i="12"/>
  <c r="EI67" i="12" s="1"/>
  <c r="EI11" i="12" s="1"/>
  <c r="EI61" i="12"/>
  <c r="CB54" i="135"/>
  <c r="DU48" i="135"/>
  <c r="BX44" i="135"/>
  <c r="DB44" i="135"/>
  <c r="DZ44" i="135"/>
  <c r="EE44" i="135"/>
  <c r="BW48" i="135"/>
  <c r="CB48" i="135"/>
  <c r="CG48" i="135"/>
  <c r="CQ48" i="135"/>
  <c r="CV48" i="135"/>
  <c r="DF48" i="135"/>
  <c r="DQ48" i="135"/>
  <c r="CI67" i="123"/>
  <c r="DE67" i="123"/>
  <c r="DJ65" i="123"/>
  <c r="DO67" i="123"/>
  <c r="DX16" i="9"/>
  <c r="CP67" i="123"/>
  <c r="CJ62" i="123"/>
  <c r="DJ67" i="123"/>
  <c r="EC64" i="123"/>
  <c r="CA68" i="123"/>
  <c r="CE57" i="123"/>
  <c r="CN57" i="123"/>
  <c r="CN50" i="123" s="1"/>
  <c r="CN53" i="123" s="1"/>
  <c r="EE65" i="123"/>
  <c r="CD67" i="123"/>
  <c r="CS67" i="123"/>
  <c r="DM65" i="123"/>
  <c r="DR65" i="123"/>
  <c r="DV62" i="123"/>
  <c r="DQ62" i="123"/>
  <c r="DA62" i="123"/>
  <c r="DT65" i="123"/>
  <c r="CN62" i="123"/>
  <c r="DZ62" i="123"/>
  <c r="EE67" i="123"/>
  <c r="CV62" i="123"/>
  <c r="DY65" i="123"/>
  <c r="CI62" i="123"/>
  <c r="DX64" i="123"/>
  <c r="CB62" i="123"/>
  <c r="DR67" i="123"/>
  <c r="EF65" i="123"/>
  <c r="DZ65" i="123"/>
  <c r="EA62" i="123"/>
  <c r="CJ56" i="123"/>
  <c r="CJ57" i="123" s="1"/>
  <c r="DZ67" i="123"/>
  <c r="DV65" i="123"/>
  <c r="CI57" i="123"/>
  <c r="CI50" i="123" s="1"/>
  <c r="CI53" i="123" s="1"/>
  <c r="CM57" i="123"/>
  <c r="CM50" i="123" s="1"/>
  <c r="CM53" i="123" s="1"/>
  <c r="DS64" i="123"/>
  <c r="CN67" i="123"/>
  <c r="EB63" i="8"/>
  <c r="BI63" i="8"/>
  <c r="DA67" i="8"/>
  <c r="BF67" i="8"/>
  <c r="DK48" i="135"/>
  <c r="DV48" i="135"/>
  <c r="CH44" i="135"/>
  <c r="CW44" i="135"/>
  <c r="DU44" i="135"/>
  <c r="DZ43" i="135"/>
  <c r="DG44" i="135"/>
  <c r="J7" i="8"/>
  <c r="Y42" i="8"/>
  <c r="CX42" i="8"/>
  <c r="CY42" i="8" s="1"/>
  <c r="BU14" i="8"/>
  <c r="CF41" i="8"/>
  <c r="CG63" i="8" s="1"/>
  <c r="BX42" i="8"/>
  <c r="T42" i="8"/>
  <c r="DR36" i="8"/>
  <c r="DS36" i="8" s="1"/>
  <c r="DP44" i="135"/>
  <c r="CR44" i="135"/>
  <c r="CG40" i="8"/>
  <c r="CG67" i="8" s="1"/>
  <c r="DL48" i="135"/>
  <c r="CA33" i="12"/>
  <c r="CY41" i="8"/>
  <c r="DD63" i="8" s="1"/>
  <c r="DZ48" i="135"/>
  <c r="CJ31" i="8"/>
  <c r="DM36" i="8"/>
  <c r="DN36" i="8" s="1"/>
  <c r="H42" i="9"/>
  <c r="EF36" i="8"/>
  <c r="EF42" i="8" s="1"/>
  <c r="EF7" i="8" s="1"/>
  <c r="AX42" i="8"/>
  <c r="AX7" i="8" s="1"/>
  <c r="BC42" i="8"/>
  <c r="CB15" i="12"/>
  <c r="AB368" i="175"/>
  <c r="BQ515" i="172"/>
  <c r="BQ516" i="172"/>
  <c r="BQ517" i="172" s="1"/>
  <c r="K224" i="172"/>
  <c r="AK293" i="172"/>
  <c r="AK294" i="172" s="1"/>
  <c r="BR515" i="172"/>
  <c r="BR516" i="172"/>
  <c r="BR517" i="172" s="1"/>
  <c r="DK126" i="172"/>
  <c r="BS515" i="172"/>
  <c r="BS516" i="172"/>
  <c r="BS517" i="172" s="1"/>
  <c r="V321" i="172"/>
  <c r="AA321" i="172"/>
  <c r="V326" i="172"/>
  <c r="AA326" i="172"/>
  <c r="V342" i="172"/>
  <c r="BN10" i="9"/>
  <c r="BO10" i="9" s="1"/>
  <c r="BS13" i="9"/>
  <c r="AZ35" i="9"/>
  <c r="AZ66" i="8" s="1"/>
  <c r="AY66" i="8"/>
  <c r="BJ11" i="9"/>
  <c r="BK11" i="9" s="1"/>
  <c r="CI53" i="12"/>
  <c r="CI67" i="12" s="1"/>
  <c r="CI11" i="12" s="1"/>
  <c r="CI61" i="12"/>
  <c r="CI54" i="12"/>
  <c r="CI69" i="12" s="1"/>
  <c r="Z13" i="9"/>
  <c r="AA13" i="9" s="1"/>
  <c r="AB13" i="9" s="1"/>
  <c r="AE14" i="9"/>
  <c r="AF14" i="9" s="1"/>
  <c r="AG14" i="9" s="1"/>
  <c r="CF14" i="9"/>
  <c r="CE14" i="9"/>
  <c r="BN29" i="9"/>
  <c r="BO29" i="9" s="1"/>
  <c r="BT21" i="9"/>
  <c r="FR21" i="9" s="1"/>
  <c r="BS31" i="9"/>
  <c r="BT31" i="9" s="1"/>
  <c r="BZ19" i="9"/>
  <c r="BX24" i="9"/>
  <c r="BX56" i="135"/>
  <c r="BY23" i="9"/>
  <c r="BY30" i="9"/>
  <c r="FS30" i="9" s="1"/>
  <c r="DP25" i="9"/>
  <c r="EH56" i="135"/>
  <c r="EF57" i="135"/>
  <c r="AT11" i="9"/>
  <c r="AU11" i="9" s="1"/>
  <c r="AV11" i="9" s="1"/>
  <c r="BN14" i="9"/>
  <c r="CE27" i="9"/>
  <c r="FT27" i="9"/>
  <c r="FT33" i="9" s="1"/>
  <c r="U12" i="9"/>
  <c r="V12" i="9" s="1"/>
  <c r="W12" i="9" s="1"/>
  <c r="Z10" i="9"/>
  <c r="AA10" i="9" s="1"/>
  <c r="K22" i="9"/>
  <c r="L22" i="9" s="1"/>
  <c r="T24" i="9"/>
  <c r="AD24" i="9"/>
  <c r="AJ17" i="9"/>
  <c r="AK17" i="9" s="1"/>
  <c r="AI24" i="9"/>
  <c r="AN24" i="9"/>
  <c r="AO17" i="9"/>
  <c r="AS27" i="9"/>
  <c r="AN27" i="9"/>
  <c r="AO26" i="9"/>
  <c r="AP26" i="9" s="1"/>
  <c r="AQ26" i="9" s="1"/>
  <c r="AU19" i="9"/>
  <c r="AV19" i="9" s="1"/>
  <c r="AT23" i="9"/>
  <c r="AT30" i="9"/>
  <c r="AY29" i="9"/>
  <c r="AY33" i="9" s="1"/>
  <c r="BD21" i="9"/>
  <c r="BE21" i="9" s="1"/>
  <c r="FO21" i="9" s="1"/>
  <c r="CJ21" i="9"/>
  <c r="CJ24" i="9" s="1"/>
  <c r="FU21" i="9"/>
  <c r="CO27" i="9"/>
  <c r="P29" i="9"/>
  <c r="Q29" i="9" s="1"/>
  <c r="AJ29" i="9"/>
  <c r="FU26" i="9"/>
  <c r="CI27" i="9"/>
  <c r="FU27" i="9" s="1"/>
  <c r="CI10" i="12"/>
  <c r="CJ10" i="12" s="1"/>
  <c r="CJ26" i="9"/>
  <c r="CJ33" i="9" s="1"/>
  <c r="P36" i="9"/>
  <c r="P39" i="9" s="1"/>
  <c r="U36" i="9"/>
  <c r="V36" i="9" s="1"/>
  <c r="AE36" i="9"/>
  <c r="AJ36" i="9"/>
  <c r="AU35" i="9"/>
  <c r="AU39" i="9" s="1"/>
  <c r="AS66" i="8"/>
  <c r="AX66" i="8"/>
  <c r="BD35" i="9"/>
  <c r="BD39" i="9" s="1"/>
  <c r="BC66" i="8"/>
  <c r="BH66" i="8"/>
  <c r="BI35" i="9"/>
  <c r="BM66" i="8"/>
  <c r="CF54" i="135"/>
  <c r="CK54" i="135"/>
  <c r="CP54" i="135"/>
  <c r="DJ54" i="135"/>
  <c r="DO54" i="135"/>
  <c r="DT54" i="135"/>
  <c r="DY54" i="135"/>
  <c r="CB57" i="135"/>
  <c r="CE56" i="135"/>
  <c r="DS56" i="135"/>
  <c r="DP57" i="135"/>
  <c r="DU57" i="135"/>
  <c r="G26" i="9"/>
  <c r="H26" i="9" s="1"/>
  <c r="BS53" i="135"/>
  <c r="BU22" i="9"/>
  <c r="K10" i="9"/>
  <c r="L10" i="9" s="1"/>
  <c r="M10" i="9" s="1"/>
  <c r="F19" i="9"/>
  <c r="G19" i="9" s="1"/>
  <c r="H19" i="9" s="1"/>
  <c r="E24" i="9"/>
  <c r="FO20" i="9"/>
  <c r="DU25" i="9"/>
  <c r="DU54" i="9" s="1"/>
  <c r="FQ17" i="9"/>
  <c r="DS24" i="9"/>
  <c r="EB25" i="9"/>
  <c r="FW27" i="9"/>
  <c r="FW33" i="9" s="1"/>
  <c r="FX27" i="9"/>
  <c r="FX33" i="9" s="1"/>
  <c r="FY27" i="9"/>
  <c r="FY33" i="9" s="1"/>
  <c r="FZ27" i="9"/>
  <c r="FZ33" i="9" s="1"/>
  <c r="GA27" i="9"/>
  <c r="GA33" i="9" s="1"/>
  <c r="DT25" i="9"/>
  <c r="DT54" i="9" s="1"/>
  <c r="DN16" i="9"/>
  <c r="DR25" i="9"/>
  <c r="FX24" i="9"/>
  <c r="GB24" i="9"/>
  <c r="C38" i="141" s="1"/>
  <c r="FY24" i="9"/>
  <c r="DS10" i="12"/>
  <c r="BZ13" i="12"/>
  <c r="CY36" i="8"/>
  <c r="BY21" i="8"/>
  <c r="BZ21" i="8" s="1"/>
  <c r="CC63" i="8"/>
  <c r="DR175" i="135"/>
  <c r="DS175" i="135" s="1"/>
  <c r="AZ21" i="8"/>
  <c r="BA21" i="8" s="1"/>
  <c r="V36" i="8"/>
  <c r="W36" i="8" s="1"/>
  <c r="BV42" i="8"/>
  <c r="CA42" i="8"/>
  <c r="CA7" i="8" s="1"/>
  <c r="AF21" i="8"/>
  <c r="AG21" i="8" s="1"/>
  <c r="L21" i="8"/>
  <c r="M21" i="8" s="1"/>
  <c r="EH36" i="8"/>
  <c r="DM175" i="135"/>
  <c r="DN175" i="135" s="1"/>
  <c r="CH18" i="12"/>
  <c r="CM18" i="12"/>
  <c r="CR18" i="12"/>
  <c r="CC68" i="123"/>
  <c r="CM67" i="123"/>
  <c r="CR67" i="123"/>
  <c r="DG67" i="123"/>
  <c r="DL67" i="123"/>
  <c r="DQ67" i="123"/>
  <c r="EV47" i="8"/>
  <c r="FA47" i="8" s="1"/>
  <c r="FF47" i="8" s="1"/>
  <c r="FK47" i="8" s="1"/>
  <c r="AX142" i="175"/>
  <c r="AI402" i="175"/>
  <c r="AP142" i="175"/>
  <c r="AG394" i="175"/>
  <c r="EF67" i="123"/>
  <c r="CM62" i="123"/>
  <c r="DP65" i="123"/>
  <c r="CH57" i="123"/>
  <c r="CH50" i="123" s="1"/>
  <c r="CH53" i="123" s="1"/>
  <c r="CQ67" i="123"/>
  <c r="EG65" i="123"/>
  <c r="DU62" i="123"/>
  <c r="CL67" i="123"/>
  <c r="CH62" i="123"/>
  <c r="CH68" i="123"/>
  <c r="CM68" i="123"/>
  <c r="CW65" i="123"/>
  <c r="CW68" i="123" s="1"/>
  <c r="CR68" i="123"/>
  <c r="DU67" i="123"/>
  <c r="CG68" i="123"/>
  <c r="DK67" i="123"/>
  <c r="CU62" i="123"/>
  <c r="DP62" i="123"/>
  <c r="CV67" i="123"/>
  <c r="EH64" i="123"/>
  <c r="EF62" i="123"/>
  <c r="EG67" i="123"/>
  <c r="DU65" i="123"/>
  <c r="CS57" i="123"/>
  <c r="CS50" i="123" s="1"/>
  <c r="CS53" i="123" s="1"/>
  <c r="DS16" i="9"/>
  <c r="DT67" i="123"/>
  <c r="DA67" i="123"/>
  <c r="CQ62" i="123"/>
  <c r="DD64" i="123"/>
  <c r="EE62" i="123"/>
  <c r="EI65" i="123"/>
  <c r="EI67" i="123"/>
  <c r="DM62" i="123"/>
  <c r="DF62" i="123"/>
  <c r="DS148" i="135"/>
  <c r="AA356" i="172"/>
  <c r="AU293" i="172"/>
  <c r="BE293" i="172"/>
  <c r="BH144" i="172"/>
  <c r="BH34" i="172" s="1"/>
  <c r="BP142" i="172"/>
  <c r="BE161" i="172"/>
  <c r="G257" i="172"/>
  <c r="G258" i="172" s="1"/>
  <c r="AQ234" i="172"/>
  <c r="V317" i="172"/>
  <c r="AA317" i="172"/>
  <c r="G324" i="172"/>
  <c r="G326" i="172"/>
  <c r="V336" i="172"/>
  <c r="AA336" i="172"/>
  <c r="Q356" i="172"/>
  <c r="Q354" i="172"/>
  <c r="AN429" i="172"/>
  <c r="AN435" i="172" s="1"/>
  <c r="AN426" i="172"/>
  <c r="AO432" i="172"/>
  <c r="AO435" i="172" s="1"/>
  <c r="AO426" i="172"/>
  <c r="BE163" i="172"/>
  <c r="BS129" i="172"/>
  <c r="BN28" i="172"/>
  <c r="BS33" i="172"/>
  <c r="BN38" i="172"/>
  <c r="BP36" i="172"/>
  <c r="BN14" i="172"/>
  <c r="DJ102" i="172"/>
  <c r="DI163" i="172"/>
  <c r="DI119" i="172"/>
  <c r="DI178" i="172" s="1"/>
  <c r="BC120" i="172"/>
  <c r="BD122" i="172"/>
  <c r="DJ119" i="172"/>
  <c r="DJ178" i="172" s="1"/>
  <c r="BH120" i="172"/>
  <c r="BM144" i="172"/>
  <c r="BM34" i="172" s="1"/>
  <c r="BT119" i="172"/>
  <c r="BP122" i="172"/>
  <c r="AE325" i="175"/>
  <c r="BJ126" i="172"/>
  <c r="BE135" i="172"/>
  <c r="BE190" i="172" s="1"/>
  <c r="DK131" i="172"/>
  <c r="BD138" i="172"/>
  <c r="BH136" i="172"/>
  <c r="BM136" i="172"/>
  <c r="BI138" i="172"/>
  <c r="DV136" i="135"/>
  <c r="DJ135" i="172"/>
  <c r="DJ183" i="172" s="1"/>
  <c r="BP138" i="172"/>
  <c r="BP144" i="172"/>
  <c r="BP136" i="172"/>
  <c r="DK135" i="172"/>
  <c r="DK183" i="172" s="1"/>
  <c r="DK161" i="172"/>
  <c r="AF220" i="172"/>
  <c r="AF217" i="172"/>
  <c r="CF226" i="172"/>
  <c r="CK226" i="172" s="1"/>
  <c r="CP226" i="172" s="1"/>
  <c r="CU226" i="172" s="1"/>
  <c r="BQ224" i="172"/>
  <c r="CG246" i="172"/>
  <c r="CL246" i="172" s="1"/>
  <c r="CQ246" i="172" s="1"/>
  <c r="CV246" i="172" s="1"/>
  <c r="BR244" i="172"/>
  <c r="BW244" i="172" s="1"/>
  <c r="M251" i="172"/>
  <c r="M248" i="172"/>
  <c r="AB248" i="172"/>
  <c r="AB251" i="172"/>
  <c r="BE248" i="172"/>
  <c r="BE251" i="172"/>
  <c r="AI294" i="172"/>
  <c r="AN294" i="172"/>
  <c r="AV294" i="172"/>
  <c r="BA294" i="172"/>
  <c r="BF294" i="172"/>
  <c r="AA297" i="172"/>
  <c r="AA273" i="172" s="1"/>
  <c r="DV131" i="135"/>
  <c r="DV133" i="135" s="1"/>
  <c r="EA131" i="135"/>
  <c r="V218" i="172"/>
  <c r="BC136" i="172"/>
  <c r="BK72" i="172"/>
  <c r="BP51" i="172"/>
  <c r="BK48" i="172"/>
  <c r="BN142" i="172"/>
  <c r="BN203" i="172" s="1"/>
  <c r="EB19" i="7" s="1"/>
  <c r="D257" i="171"/>
  <c r="BT9" i="9"/>
  <c r="FR9" i="9" s="1"/>
  <c r="AZ9" i="9"/>
  <c r="BA9" i="9" s="1"/>
  <c r="BJ30" i="9"/>
  <c r="BK30" i="9" s="1"/>
  <c r="V13" i="9"/>
  <c r="W13" i="9" s="1"/>
  <c r="AA22" i="9"/>
  <c r="AB22" i="9" s="1"/>
  <c r="CJ35" i="12"/>
  <c r="CK27" i="12"/>
  <c r="CO35" i="12"/>
  <c r="CP27" i="12"/>
  <c r="CT35" i="12"/>
  <c r="CU27" i="12"/>
  <c r="DE27" i="12"/>
  <c r="DI27" i="12" s="1"/>
  <c r="DD35" i="12"/>
  <c r="DF27" i="12" s="1"/>
  <c r="DI35" i="12"/>
  <c r="DK27" i="12" s="1"/>
  <c r="DJ27" i="12"/>
  <c r="DN27" i="12" s="1"/>
  <c r="DS35" i="12"/>
  <c r="DT27" i="12"/>
  <c r="DX27" i="12" s="1"/>
  <c r="BA36" i="8"/>
  <c r="AZ42" i="8"/>
  <c r="BA42" i="8" s="1"/>
  <c r="CY14" i="8"/>
  <c r="CX21" i="8"/>
  <c r="DC21" i="8"/>
  <c r="DD14" i="8"/>
  <c r="DI14" i="8"/>
  <c r="DH21" i="8"/>
  <c r="DI21" i="8" s="1"/>
  <c r="DN14" i="8"/>
  <c r="DM21" i="8"/>
  <c r="DR21" i="8"/>
  <c r="DS14" i="8"/>
  <c r="DW21" i="8"/>
  <c r="DX14" i="8"/>
  <c r="G36" i="8"/>
  <c r="H31" i="8"/>
  <c r="DD35" i="8"/>
  <c r="DC36" i="8"/>
  <c r="DW36" i="8"/>
  <c r="DY35" i="8"/>
  <c r="AQ67" i="8"/>
  <c r="AV67" i="8"/>
  <c r="BP67" i="8"/>
  <c r="BU67" i="8"/>
  <c r="EC67" i="8"/>
  <c r="S63" i="8"/>
  <c r="R41" i="8"/>
  <c r="W63" i="8" s="1"/>
  <c r="W41" i="8"/>
  <c r="AB63" i="8" s="1"/>
  <c r="AB41" i="8"/>
  <c r="AG63" i="8" s="1"/>
  <c r="AC63" i="8"/>
  <c r="AQ41" i="8"/>
  <c r="AV63" i="8" s="1"/>
  <c r="AR63" i="8"/>
  <c r="AV41" i="8"/>
  <c r="BA63" i="8" s="1"/>
  <c r="AW63" i="8"/>
  <c r="BE42" i="8"/>
  <c r="BF42" i="8" s="1"/>
  <c r="BG63" i="8"/>
  <c r="BF41" i="8"/>
  <c r="BK63" i="8" s="1"/>
  <c r="BK41" i="8"/>
  <c r="BP63" i="8" s="1"/>
  <c r="BL63" i="8"/>
  <c r="BV44" i="135"/>
  <c r="CA44" i="135"/>
  <c r="CF44" i="135"/>
  <c r="CK44" i="135"/>
  <c r="CP44" i="135"/>
  <c r="CZ44" i="135"/>
  <c r="DJ44" i="135"/>
  <c r="DR44" i="135"/>
  <c r="DX42" i="135"/>
  <c r="DW44" i="135"/>
  <c r="EC42" i="135"/>
  <c r="EB44" i="135"/>
  <c r="EG44" i="135"/>
  <c r="EH42" i="135"/>
  <c r="BU46" i="135"/>
  <c r="BU47" i="135"/>
  <c r="BZ46" i="135"/>
  <c r="CE48" i="135" s="1"/>
  <c r="BY48" i="135"/>
  <c r="CD48" i="135"/>
  <c r="CN48" i="135"/>
  <c r="CO46" i="135"/>
  <c r="CT46" i="135"/>
  <c r="CS48" i="135"/>
  <c r="CX48" i="135"/>
  <c r="CY46" i="135"/>
  <c r="DJ48" i="135"/>
  <c r="DO48" i="135"/>
  <c r="DT48" i="135"/>
  <c r="DY48" i="135"/>
  <c r="EC46" i="135"/>
  <c r="EC48" i="135" s="1"/>
  <c r="EB48" i="135"/>
  <c r="EH46" i="135"/>
  <c r="BY63" i="8"/>
  <c r="EH31" i="8"/>
  <c r="BS63" i="8"/>
  <c r="BJ42" i="8"/>
  <c r="BK42" i="8" s="1"/>
  <c r="CF27" i="12"/>
  <c r="EB42" i="8"/>
  <c r="AL41" i="8"/>
  <c r="AQ63" i="8" s="1"/>
  <c r="X63" i="8"/>
  <c r="BO42" i="8"/>
  <c r="BP42" i="8" s="1"/>
  <c r="BP36" i="8"/>
  <c r="AQ36" i="8"/>
  <c r="AP42" i="8"/>
  <c r="AQ42" i="8" s="1"/>
  <c r="AL14" i="8"/>
  <c r="AK21" i="8"/>
  <c r="AL21" i="8" s="1"/>
  <c r="AQ14" i="8"/>
  <c r="AP21" i="8"/>
  <c r="AV14" i="8"/>
  <c r="AU21" i="8"/>
  <c r="AV21" i="8" s="1"/>
  <c r="BF14" i="8"/>
  <c r="BE21" i="8"/>
  <c r="BK14" i="8"/>
  <c r="BJ21" i="8"/>
  <c r="BP14" i="8"/>
  <c r="BO21" i="8"/>
  <c r="CC18" i="12"/>
  <c r="CV42" i="8"/>
  <c r="AU42" i="8"/>
  <c r="AV42" i="8" s="1"/>
  <c r="DT42" i="8"/>
  <c r="DT7" i="8" s="1"/>
  <c r="EH67" i="8"/>
  <c r="AL63" i="8"/>
  <c r="BK67" i="8"/>
  <c r="P42" i="8"/>
  <c r="P7" i="8" s="1"/>
  <c r="Z42" i="8"/>
  <c r="CB18" i="12"/>
  <c r="CL18" i="12"/>
  <c r="CQ18" i="12"/>
  <c r="CD33" i="12"/>
  <c r="DC33" i="12"/>
  <c r="EI48" i="135"/>
  <c r="AF42" i="8"/>
  <c r="AM7" i="8"/>
  <c r="AR7" i="8"/>
  <c r="AW7" i="8"/>
  <c r="BB7" i="8"/>
  <c r="EI44" i="135"/>
  <c r="DB42" i="8"/>
  <c r="DB7" i="8" s="1"/>
  <c r="EC73" i="8"/>
  <c r="EC75" i="8" s="1"/>
  <c r="AS42" i="8"/>
  <c r="CU18" i="12"/>
  <c r="DH31" i="8"/>
  <c r="DI31" i="8" s="1"/>
  <c r="CI65" i="123"/>
  <c r="EE56" i="123"/>
  <c r="EE57" i="123" s="1"/>
  <c r="EE50" i="123" s="1"/>
  <c r="EE53" i="123" s="1"/>
  <c r="DG54" i="9"/>
  <c r="G11" i="9"/>
  <c r="H11" i="9" s="1"/>
  <c r="V9" i="9"/>
  <c r="W9" i="9" s="1"/>
  <c r="AA9" i="9"/>
  <c r="AB9" i="9" s="1"/>
  <c r="AA26" i="9"/>
  <c r="AB26" i="9" s="1"/>
  <c r="AU21" i="9"/>
  <c r="AV21" i="9" s="1"/>
  <c r="L13" i="9"/>
  <c r="M13" i="9" s="1"/>
  <c r="BJ9" i="9"/>
  <c r="FP9" i="9" s="1"/>
  <c r="AG21" i="9"/>
  <c r="AS24" i="9"/>
  <c r="AX27" i="9"/>
  <c r="BC24" i="9"/>
  <c r="EG25" i="9"/>
  <c r="GB27" i="9"/>
  <c r="GB33" i="9" s="1"/>
  <c r="GD24" i="9"/>
  <c r="E38" i="141" s="1"/>
  <c r="FW24" i="9"/>
  <c r="FV24" i="9"/>
  <c r="FZ24" i="9"/>
  <c r="CT53" i="135"/>
  <c r="DS53" i="135"/>
  <c r="DK18" i="12"/>
  <c r="GA16" i="9"/>
  <c r="E59" i="141"/>
  <c r="BG7" i="8"/>
  <c r="CV7" i="8"/>
  <c r="BY36" i="8"/>
  <c r="AH7" i="8"/>
  <c r="AD42" i="8"/>
  <c r="AD7" i="8" s="1"/>
  <c r="AI42" i="8"/>
  <c r="AI7" i="8" s="1"/>
  <c r="BQ42" i="8"/>
  <c r="BQ7" i="8" s="1"/>
  <c r="DA33" i="12"/>
  <c r="CG18" i="12"/>
  <c r="EI36" i="135"/>
  <c r="L36" i="8"/>
  <c r="AK36" i="8"/>
  <c r="BT36" i="8"/>
  <c r="AE7" i="8"/>
  <c r="AN42" i="8"/>
  <c r="AN7" i="8" s="1"/>
  <c r="BF63" i="8"/>
  <c r="CS18" i="12"/>
  <c r="F42" i="8"/>
  <c r="F7" i="8" s="1"/>
  <c r="K42" i="8"/>
  <c r="K7" i="8" s="1"/>
  <c r="BS42" i="8"/>
  <c r="BS7" i="8" s="1"/>
  <c r="DW56" i="123"/>
  <c r="DW57" i="123" s="1"/>
  <c r="DW50" i="123" s="1"/>
  <c r="DW53" i="123" s="1"/>
  <c r="AJ31" i="9"/>
  <c r="AK31" i="9" s="1"/>
  <c r="AL31" i="9" s="1"/>
  <c r="CP22" i="12"/>
  <c r="CT13" i="12"/>
  <c r="CQ54" i="12"/>
  <c r="CQ69" i="12" s="1"/>
  <c r="CQ61" i="12"/>
  <c r="R35" i="9"/>
  <c r="FQ19" i="9"/>
  <c r="BI66" i="8"/>
  <c r="BT37" i="9"/>
  <c r="FR37" i="9" s="1"/>
  <c r="V37" i="9"/>
  <c r="W37" i="9" s="1"/>
  <c r="V26" i="9"/>
  <c r="W26" i="9" s="1"/>
  <c r="P12" i="9"/>
  <c r="Q12" i="9" s="1"/>
  <c r="AE10" i="9"/>
  <c r="AF10" i="9" s="1"/>
  <c r="AK11" i="9"/>
  <c r="AL11" i="9" s="1"/>
  <c r="AT9" i="9"/>
  <c r="AU9" i="9" s="1"/>
  <c r="AZ13" i="9"/>
  <c r="BA13" i="9" s="1"/>
  <c r="BE12" i="9"/>
  <c r="FO12" i="9" s="1"/>
  <c r="AK19" i="9"/>
  <c r="AL19" i="9" s="1"/>
  <c r="BC27" i="9"/>
  <c r="BH27" i="9"/>
  <c r="BD26" i="9"/>
  <c r="BE26" i="9" s="1"/>
  <c r="BF26" i="9" s="1"/>
  <c r="BH24" i="9"/>
  <c r="BI19" i="9"/>
  <c r="BJ19" i="9" s="1"/>
  <c r="BJ23" i="9"/>
  <c r="BK23" i="9" s="1"/>
  <c r="BJ29" i="9"/>
  <c r="BN20" i="9"/>
  <c r="BO20" i="9" s="1"/>
  <c r="BO24" i="9" s="1"/>
  <c r="BM24" i="9"/>
  <c r="BR27" i="9"/>
  <c r="BO26" i="9"/>
  <c r="Z66" i="8"/>
  <c r="AA35" i="9"/>
  <c r="Q19" i="9"/>
  <c r="R19" i="9" s="1"/>
  <c r="BE40" i="9"/>
  <c r="BF40" i="9" s="1"/>
  <c r="BT26" i="9"/>
  <c r="BX27" i="9"/>
  <c r="BS27" i="9"/>
  <c r="FQ11" i="9"/>
  <c r="BP11" i="9"/>
  <c r="Q40" i="9"/>
  <c r="R40" i="9" s="1"/>
  <c r="BJ22" i="9"/>
  <c r="BK22" i="9" s="1"/>
  <c r="P26" i="9"/>
  <c r="Q26" i="9" s="1"/>
  <c r="EH53" i="135"/>
  <c r="ED54" i="135"/>
  <c r="EI54" i="135"/>
  <c r="CJ56" i="135"/>
  <c r="CG57" i="135"/>
  <c r="CQ57" i="135"/>
  <c r="CL57" i="135"/>
  <c r="DD56" i="135"/>
  <c r="DA57" i="135"/>
  <c r="DF57" i="135"/>
  <c r="DK57" i="135"/>
  <c r="DN56" i="135"/>
  <c r="EE57" i="135"/>
  <c r="EC56" i="135"/>
  <c r="DZ57" i="135"/>
  <c r="DT54" i="12"/>
  <c r="DT69" i="12" s="1"/>
  <c r="DT29" i="12" s="1"/>
  <c r="DT61" i="12"/>
  <c r="BZ13" i="9"/>
  <c r="FS13" i="9"/>
  <c r="BX14" i="9"/>
  <c r="BY14" i="9" s="1"/>
  <c r="FS14" i="9" s="1"/>
  <c r="AY20" i="9"/>
  <c r="AX24" i="9"/>
  <c r="BS17" i="9"/>
  <c r="BR24" i="9"/>
  <c r="AF30" i="9"/>
  <c r="AG30" i="9" s="1"/>
  <c r="BV54" i="135"/>
  <c r="BQ59" i="135"/>
  <c r="CJ53" i="135"/>
  <c r="CG54" i="135"/>
  <c r="CL54" i="135"/>
  <c r="CO53" i="135"/>
  <c r="CV54" i="135"/>
  <c r="CY53" i="135"/>
  <c r="DA54" i="135"/>
  <c r="DF54" i="135"/>
  <c r="DN53" i="135"/>
  <c r="DK54" i="135"/>
  <c r="DX53" i="135"/>
  <c r="DU54" i="135"/>
  <c r="EE54" i="135"/>
  <c r="EC53" i="135"/>
  <c r="CD48" i="12"/>
  <c r="CD49" i="12" s="1"/>
  <c r="CD54" i="12"/>
  <c r="CD69" i="12" s="1"/>
  <c r="AJ13" i="9"/>
  <c r="FV27" i="9"/>
  <c r="FV33" i="9" s="1"/>
  <c r="K31" i="9"/>
  <c r="L31" i="9" s="1"/>
  <c r="M31" i="9" s="1"/>
  <c r="P30" i="9"/>
  <c r="Q30" i="9" s="1"/>
  <c r="R30" i="9" s="1"/>
  <c r="AJ37" i="9"/>
  <c r="AK37" i="9" s="1"/>
  <c r="AL37" i="9" s="1"/>
  <c r="CF54" i="12"/>
  <c r="CF69" i="12" s="1"/>
  <c r="CF48" i="12"/>
  <c r="CF49" i="12" s="1"/>
  <c r="C36" i="141"/>
  <c r="GB16" i="9"/>
  <c r="DK25" i="9"/>
  <c r="EI57" i="135"/>
  <c r="DX27" i="9"/>
  <c r="FZ16" i="9"/>
  <c r="GD16" i="9"/>
  <c r="FS12" i="9"/>
  <c r="BM27" i="9"/>
  <c r="DM25" i="9"/>
  <c r="CT10" i="12"/>
  <c r="DN10" i="12"/>
  <c r="EC10" i="12"/>
  <c r="EH10" i="12"/>
  <c r="DZ25" i="9"/>
  <c r="DZ54" i="9" s="1"/>
  <c r="DS21" i="8"/>
  <c r="CB7" i="8"/>
  <c r="BL42" i="8"/>
  <c r="BL7" i="8" s="1"/>
  <c r="CA18" i="12"/>
  <c r="CF18" i="12"/>
  <c r="CK18" i="12"/>
  <c r="CB33" i="12"/>
  <c r="BN42" i="8"/>
  <c r="BN7" i="8" s="1"/>
  <c r="DG36" i="8"/>
  <c r="DG42" i="8" s="1"/>
  <c r="DG7" i="8" s="1"/>
  <c r="DI73" i="8"/>
  <c r="DJ76" i="8" s="1"/>
  <c r="CW18" i="12"/>
  <c r="CC33" i="12"/>
  <c r="DV56" i="123"/>
  <c r="DV57" i="123" s="1"/>
  <c r="DV50" i="123" s="1"/>
  <c r="DV53" i="123" s="1"/>
  <c r="CD65" i="123"/>
  <c r="EG56" i="123"/>
  <c r="EG57" i="123" s="1"/>
  <c r="EG50" i="123" s="1"/>
  <c r="EG53" i="123" s="1"/>
  <c r="DJ126" i="172"/>
  <c r="BE258" i="172"/>
  <c r="AO294" i="172"/>
  <c r="BK294" i="172"/>
  <c r="AA293" i="172"/>
  <c r="V338" i="172"/>
  <c r="AU129" i="175"/>
  <c r="AU130" i="175" s="1"/>
  <c r="BT75" i="172"/>
  <c r="DJ231" i="172"/>
  <c r="BN475" i="172"/>
  <c r="BO102" i="172"/>
  <c r="ED136" i="135"/>
  <c r="DQ136" i="135"/>
  <c r="BS14" i="172"/>
  <c r="BS38" i="172"/>
  <c r="BR14" i="172"/>
  <c r="BP21" i="172"/>
  <c r="BK21" i="172"/>
  <c r="BK268" i="172"/>
  <c r="BT49" i="172"/>
  <c r="BT50" i="172" s="1"/>
  <c r="BT54" i="172"/>
  <c r="BP38" i="172"/>
  <c r="DJ97" i="172"/>
  <c r="DI161" i="172"/>
  <c r="DJ161" i="172"/>
  <c r="DI169" i="172"/>
  <c r="DJ169" i="172"/>
  <c r="BJ293" i="172"/>
  <c r="Q326" i="172"/>
  <c r="K278" i="172"/>
  <c r="L278" i="172" s="1"/>
  <c r="V350" i="172"/>
  <c r="BO250" i="172"/>
  <c r="T257" i="171"/>
  <c r="L257" i="171"/>
  <c r="BT115" i="172"/>
  <c r="AX94" i="175"/>
  <c r="AZ96" i="175" s="1"/>
  <c r="AP143" i="175"/>
  <c r="AH394" i="175"/>
  <c r="AR126" i="175"/>
  <c r="AW125" i="175"/>
  <c r="AW38" i="175" s="1"/>
  <c r="AQ142" i="175"/>
  <c r="AP100" i="175"/>
  <c r="Z408" i="175"/>
  <c r="Z384" i="175"/>
  <c r="AT116" i="175"/>
  <c r="AT117" i="175" s="1"/>
  <c r="AO162" i="175"/>
  <c r="AO167" i="175"/>
  <c r="AO168" i="175" s="1"/>
  <c r="AN393" i="175"/>
  <c r="BA190" i="175"/>
  <c r="AS127" i="175"/>
  <c r="AX11" i="175"/>
  <c r="AB386" i="175"/>
  <c r="AS126" i="175"/>
  <c r="K267" i="175"/>
  <c r="AP25" i="175"/>
  <c r="AQ148" i="175"/>
  <c r="BW34" i="175"/>
  <c r="AO38" i="175"/>
  <c r="AT187" i="175"/>
  <c r="AT188" i="175" s="1"/>
  <c r="BW17" i="175"/>
  <c r="L433" i="175"/>
  <c r="L264" i="175"/>
  <c r="AN165" i="175"/>
  <c r="AR198" i="175"/>
  <c r="AW198" i="175" s="1"/>
  <c r="BB198" i="175" s="1"/>
  <c r="AS93" i="175"/>
  <c r="BW116" i="175"/>
  <c r="AN255" i="175"/>
  <c r="AP117" i="175"/>
  <c r="Z255" i="175"/>
  <c r="Z258" i="175" s="1"/>
  <c r="L268" i="175"/>
  <c r="AA268" i="175"/>
  <c r="AR149" i="175"/>
  <c r="AL60" i="175"/>
  <c r="AU125" i="175"/>
  <c r="AZ125" i="175" s="1"/>
  <c r="AC386" i="175"/>
  <c r="AD386" i="175"/>
  <c r="AU18" i="175"/>
  <c r="AS198" i="175"/>
  <c r="AX198" i="175" s="1"/>
  <c r="AT34" i="175"/>
  <c r="AO24" i="175"/>
  <c r="AQ118" i="175"/>
  <c r="AT11" i="175"/>
  <c r="AL118" i="175"/>
  <c r="AP118" i="175"/>
  <c r="V268" i="175"/>
  <c r="G268" i="175"/>
  <c r="AP18" i="175"/>
  <c r="AQ127" i="175"/>
  <c r="AD368" i="175"/>
  <c r="AM402" i="175"/>
  <c r="AR24" i="175"/>
  <c r="AM163" i="175"/>
  <c r="AT17" i="175"/>
  <c r="AE267" i="175"/>
  <c r="AJ268" i="175" s="1"/>
  <c r="AL402" i="175"/>
  <c r="AK163" i="175"/>
  <c r="AK172" i="175"/>
  <c r="AK173" i="175" s="1"/>
  <c r="AP172" i="175"/>
  <c r="AL163" i="175"/>
  <c r="AL172" i="175"/>
  <c r="AL173" i="175" s="1"/>
  <c r="AQ172" i="175"/>
  <c r="BW297" i="175"/>
  <c r="CW96" i="172" s="1"/>
  <c r="AR172" i="175"/>
  <c r="AN172" i="175"/>
  <c r="AN173" i="175" s="1"/>
  <c r="AS172" i="175"/>
  <c r="AP130" i="175"/>
  <c r="P295" i="175"/>
  <c r="AN170" i="175"/>
  <c r="AK159" i="175"/>
  <c r="AP163" i="175"/>
  <c r="AT28" i="175"/>
  <c r="AO40" i="175"/>
  <c r="AF157" i="175"/>
  <c r="BW43" i="175"/>
  <c r="AR157" i="175"/>
  <c r="AM45" i="175"/>
  <c r="BW40" i="175"/>
  <c r="BW28" i="175"/>
  <c r="AU317" i="175"/>
  <c r="BW162" i="175"/>
  <c r="AQ18" i="175"/>
  <c r="AP83" i="175"/>
  <c r="AR41" i="175"/>
  <c r="AM84" i="175"/>
  <c r="AP103" i="175"/>
  <c r="AW322" i="175"/>
  <c r="BX167" i="175"/>
  <c r="AR168" i="175"/>
  <c r="AT40" i="175"/>
  <c r="AP41" i="175"/>
  <c r="AO17" i="175"/>
  <c r="AP102" i="175"/>
  <c r="AU41" i="175"/>
  <c r="AW167" i="175"/>
  <c r="BB167" i="175" s="1"/>
  <c r="AN163" i="175"/>
  <c r="AP156" i="175"/>
  <c r="AS156" i="175"/>
  <c r="AF396" i="175"/>
  <c r="AQ157" i="175"/>
  <c r="AK157" i="175"/>
  <c r="AR397" i="175"/>
  <c r="AO155" i="175"/>
  <c r="AO157" i="175" s="1"/>
  <c r="AP84" i="175"/>
  <c r="AL103" i="175"/>
  <c r="AQ103" i="175"/>
  <c r="AT114" i="175"/>
  <c r="AS18" i="175"/>
  <c r="AT155" i="175"/>
  <c r="AT157" i="175" s="1"/>
  <c r="F295" i="175"/>
  <c r="AU156" i="175"/>
  <c r="AM379" i="175"/>
  <c r="AR380" i="175" s="1"/>
  <c r="Z295" i="175"/>
  <c r="AN156" i="175"/>
  <c r="AO316" i="175"/>
  <c r="AQ316" i="175"/>
  <c r="BW316" i="175" s="1"/>
  <c r="AR142" i="175"/>
  <c r="AP38" i="175"/>
  <c r="AR143" i="175"/>
  <c r="AS29" i="175"/>
  <c r="AQ377" i="175"/>
  <c r="AJ316" i="175"/>
  <c r="AE316" i="175" s="1"/>
  <c r="AP127" i="175"/>
  <c r="AT125" i="175"/>
  <c r="AT126" i="175" s="1"/>
  <c r="BW94" i="175"/>
  <c r="BW125" i="175"/>
  <c r="AQ41" i="175"/>
  <c r="AJ313" i="175"/>
  <c r="AJ379" i="175" s="1"/>
  <c r="AJ380" i="175" s="1"/>
  <c r="AI379" i="175"/>
  <c r="AQ25" i="175"/>
  <c r="AQ96" i="175"/>
  <c r="K295" i="175"/>
  <c r="AQ84" i="175"/>
  <c r="AS102" i="175"/>
  <c r="AM131" i="175"/>
  <c r="AR130" i="175"/>
  <c r="AJ155" i="175"/>
  <c r="AJ156" i="175" s="1"/>
  <c r="AQ83" i="175"/>
  <c r="AM156" i="175"/>
  <c r="AJ322" i="175"/>
  <c r="AK379" i="175"/>
  <c r="AK380" i="175" s="1"/>
  <c r="AJ314" i="175"/>
  <c r="BW318" i="175"/>
  <c r="CW114" i="172" s="1"/>
  <c r="BW304" i="175"/>
  <c r="CW101" i="172" s="1"/>
  <c r="AN103" i="175"/>
  <c r="AR18" i="175"/>
  <c r="AK175" i="175"/>
  <c r="AK360" i="175" s="1"/>
  <c r="AR84" i="175"/>
  <c r="AN131" i="175"/>
  <c r="AT167" i="175"/>
  <c r="AV312" i="175"/>
  <c r="BA198" i="175"/>
  <c r="AV200" i="175"/>
  <c r="AV205" i="175" s="1"/>
  <c r="AU200" i="175"/>
  <c r="AU205" i="175" s="1"/>
  <c r="AZ198" i="175"/>
  <c r="AL170" i="175"/>
  <c r="AX200" i="175"/>
  <c r="AX205" i="175" s="1"/>
  <c r="BC198" i="175"/>
  <c r="AS199" i="175"/>
  <c r="AK199" i="175"/>
  <c r="AL198" i="175"/>
  <c r="BW322" i="175"/>
  <c r="AS168" i="175"/>
  <c r="AP168" i="175"/>
  <c r="BX198" i="175"/>
  <c r="AP199" i="175"/>
  <c r="AU117" i="175"/>
  <c r="AT322" i="175"/>
  <c r="BW167" i="175"/>
  <c r="AT162" i="175"/>
  <c r="AQ168" i="175"/>
  <c r="AK45" i="175"/>
  <c r="AM198" i="175"/>
  <c r="AU118" i="175"/>
  <c r="AM256" i="175"/>
  <c r="AL184" i="175"/>
  <c r="K255" i="175"/>
  <c r="K258" i="175" s="1"/>
  <c r="AQ163" i="175"/>
  <c r="AS163" i="175"/>
  <c r="AM103" i="175"/>
  <c r="AL131" i="175"/>
  <c r="AP131" i="175"/>
  <c r="AM397" i="175"/>
  <c r="BW101" i="175"/>
  <c r="AR102" i="175"/>
  <c r="AR29" i="175"/>
  <c r="AQ29" i="175"/>
  <c r="BW82" i="175"/>
  <c r="AS130" i="175"/>
  <c r="AS83" i="175"/>
  <c r="AQ102" i="175"/>
  <c r="AL45" i="175"/>
  <c r="AO147" i="175"/>
  <c r="DB65" i="123"/>
  <c r="DG65" i="123"/>
  <c r="DQ65" i="123"/>
  <c r="CN65" i="123"/>
  <c r="CX62" i="123"/>
  <c r="CP57" i="123"/>
  <c r="CP50" i="123" s="1"/>
  <c r="CP53" i="123" s="1"/>
  <c r="CY64" i="123"/>
  <c r="DI64" i="123"/>
  <c r="DN64" i="123"/>
  <c r="U408" i="175"/>
  <c r="P408" i="175"/>
  <c r="K408" i="175"/>
  <c r="AJ307" i="175"/>
  <c r="AV91" i="175"/>
  <c r="BM14" i="172"/>
  <c r="BR33" i="172"/>
  <c r="BN36" i="172"/>
  <c r="BM28" i="172"/>
  <c r="BM38" i="172"/>
  <c r="BM21" i="172"/>
  <c r="DK32" i="172"/>
  <c r="DK85" i="172" s="1"/>
  <c r="BM36" i="172"/>
  <c r="AM134" i="175"/>
  <c r="Q212" i="172"/>
  <c r="L220" i="172"/>
  <c r="L212" i="172"/>
  <c r="S218" i="172"/>
  <c r="X218" i="172"/>
  <c r="AC218" i="172"/>
  <c r="AH218" i="172"/>
  <c r="AM218" i="172"/>
  <c r="AR218" i="172"/>
  <c r="AW218" i="172"/>
  <c r="BB218" i="172"/>
  <c r="BG218" i="172"/>
  <c r="AZ220" i="172"/>
  <c r="AZ217" i="172"/>
  <c r="BP224" i="172"/>
  <c r="BU224" i="172" s="1"/>
  <c r="P269" i="172"/>
  <c r="Q269" i="172" s="1"/>
  <c r="Q230" i="172"/>
  <c r="AK231" i="172"/>
  <c r="AK228" i="172"/>
  <c r="BE231" i="172"/>
  <c r="BE228" i="172"/>
  <c r="G237" i="172"/>
  <c r="G244" i="172"/>
  <c r="G235" i="172"/>
  <c r="L235" i="172"/>
  <c r="AM236" i="172"/>
  <c r="AR233" i="172"/>
  <c r="AM234" i="172"/>
  <c r="AA250" i="172"/>
  <c r="AA237" i="172"/>
  <c r="AK258" i="172"/>
  <c r="AP258" i="172"/>
  <c r="BE264" i="172"/>
  <c r="BB266" i="172"/>
  <c r="BK265" i="172"/>
  <c r="BF266" i="172"/>
  <c r="BJ264" i="172"/>
  <c r="BG266" i="172"/>
  <c r="DI264" i="172"/>
  <c r="DJ265" i="172" s="1"/>
  <c r="BF265" i="172"/>
  <c r="BG268" i="172"/>
  <c r="DI267" i="172"/>
  <c r="DI269" i="172" s="1"/>
  <c r="X268" i="172"/>
  <c r="AC268" i="172"/>
  <c r="AH268" i="172"/>
  <c r="AM268" i="172"/>
  <c r="AR268" i="172"/>
  <c r="AW268" i="172"/>
  <c r="DH267" i="172"/>
  <c r="BB268" i="172"/>
  <c r="AK267" i="172"/>
  <c r="AK270" i="172"/>
  <c r="BE267" i="172"/>
  <c r="BE270" i="172"/>
  <c r="CE246" i="172"/>
  <c r="CJ246" i="172" s="1"/>
  <c r="CO246" i="172" s="1"/>
  <c r="CT246" i="172" s="1"/>
  <c r="AK233" i="172"/>
  <c r="AK237" i="172" s="1"/>
  <c r="AJ237" i="172"/>
  <c r="AO233" i="172"/>
  <c r="AO234" i="172" s="1"/>
  <c r="AJ235" i="172"/>
  <c r="DK112" i="172"/>
  <c r="DI171" i="172"/>
  <c r="DJ115" i="172"/>
  <c r="BB120" i="172"/>
  <c r="BB122" i="172"/>
  <c r="BC122" i="172"/>
  <c r="BJ119" i="172"/>
  <c r="BJ174" i="172" s="1"/>
  <c r="BJ189" i="172" s="1"/>
  <c r="BJ192" i="172" s="1"/>
  <c r="BG120" i="172"/>
  <c r="BH122" i="172"/>
  <c r="BL144" i="172"/>
  <c r="BL34" i="172" s="1"/>
  <c r="BG122" i="172"/>
  <c r="BL120" i="172"/>
  <c r="DK119" i="172"/>
  <c r="BQ122" i="172"/>
  <c r="BQ120" i="172"/>
  <c r="BQ121" i="172" s="1"/>
  <c r="DJ131" i="172"/>
  <c r="BB138" i="172"/>
  <c r="BC138" i="172"/>
  <c r="DU136" i="135"/>
  <c r="BL136" i="172"/>
  <c r="BG144" i="172"/>
  <c r="BG34" i="172" s="1"/>
  <c r="BG138" i="172"/>
  <c r="DI135" i="172"/>
  <c r="BH138" i="172"/>
  <c r="BG136" i="172"/>
  <c r="EE136" i="135"/>
  <c r="BQ144" i="172"/>
  <c r="BQ142" i="172"/>
  <c r="BQ138" i="172"/>
  <c r="BQ136" i="172"/>
  <c r="BQ137" i="172" s="1"/>
  <c r="BR138" i="172"/>
  <c r="DK165" i="172"/>
  <c r="BT165" i="172"/>
  <c r="DK169" i="172"/>
  <c r="BE169" i="172"/>
  <c r="U294" i="172"/>
  <c r="AE294" i="172"/>
  <c r="BB294" i="172"/>
  <c r="DI293" i="172"/>
  <c r="BG294" i="172"/>
  <c r="AZ297" i="172"/>
  <c r="AZ293" i="172"/>
  <c r="G317" i="172"/>
  <c r="L326" i="172"/>
  <c r="L324" i="172"/>
  <c r="V356" i="172"/>
  <c r="AA354" i="172"/>
  <c r="V354" i="172"/>
  <c r="T251" i="172"/>
  <c r="T248" i="172"/>
  <c r="AD248" i="172"/>
  <c r="AD249" i="172" s="1"/>
  <c r="AD251" i="172"/>
  <c r="AU248" i="172"/>
  <c r="AU251" i="172"/>
  <c r="BJ297" i="172"/>
  <c r="BJ274" i="172"/>
  <c r="Q342" i="172"/>
  <c r="Q344" i="172"/>
  <c r="AA344" i="172"/>
  <c r="AA342" i="172"/>
  <c r="AP29" i="175"/>
  <c r="AO28" i="175"/>
  <c r="BQ244" i="172"/>
  <c r="BQ250" i="172" s="1"/>
  <c r="AN254" i="172"/>
  <c r="AN84" i="175"/>
  <c r="AR103" i="175"/>
  <c r="AR83" i="175"/>
  <c r="AQ100" i="175"/>
  <c r="AS131" i="175"/>
  <c r="AL100" i="175"/>
  <c r="DK49" i="172"/>
  <c r="EC99" i="135"/>
  <c r="EE100" i="135"/>
  <c r="EI115" i="135"/>
  <c r="X256" i="171"/>
  <c r="S297" i="172"/>
  <c r="Y297" i="172"/>
  <c r="CM8" i="7" s="1"/>
  <c r="AC297" i="172"/>
  <c r="AG297" i="172"/>
  <c r="R297" i="172"/>
  <c r="W297" i="172"/>
  <c r="CK8" i="7" s="1"/>
  <c r="AB297" i="172"/>
  <c r="AK241" i="172"/>
  <c r="AK242" i="172" s="1"/>
  <c r="EG131" i="135"/>
  <c r="AM241" i="172"/>
  <c r="BF273" i="172"/>
  <c r="AS84" i="175"/>
  <c r="AO129" i="175"/>
  <c r="AO130" i="175" s="1"/>
  <c r="BW308" i="175"/>
  <c r="BQ56" i="172"/>
  <c r="BR56" i="172"/>
  <c r="BQ53" i="172"/>
  <c r="AO82" i="175"/>
  <c r="BO11" i="172"/>
  <c r="EC100" i="135" s="1"/>
  <c r="EH108" i="135"/>
  <c r="O257" i="171"/>
  <c r="K257" i="171"/>
  <c r="BT97" i="172"/>
  <c r="U297" i="172"/>
  <c r="CI8" i="7" s="1"/>
  <c r="Z297" i="172"/>
  <c r="AE297" i="172"/>
  <c r="AR45" i="175"/>
  <c r="DW131" i="135"/>
  <c r="EB131" i="135"/>
  <c r="AN245" i="172"/>
  <c r="AV273" i="172"/>
  <c r="AS103" i="175"/>
  <c r="AN45" i="175"/>
  <c r="AS41" i="175"/>
  <c r="BW129" i="175"/>
  <c r="BO49" i="172"/>
  <c r="BS51" i="172"/>
  <c r="BR51" i="172"/>
  <c r="BO54" i="172"/>
  <c r="AO101" i="175"/>
  <c r="ED100" i="135"/>
  <c r="EG118" i="135"/>
  <c r="J257" i="171"/>
  <c r="J256" i="171"/>
  <c r="P257" i="171"/>
  <c r="AG379" i="175"/>
  <c r="AG384" i="175" s="1"/>
  <c r="AH379" i="175"/>
  <c r="BO131" i="172"/>
  <c r="AK244" i="172"/>
  <c r="CY13" i="7" s="1"/>
  <c r="C224" i="172"/>
  <c r="T297" i="172"/>
  <c r="CH8" i="7" s="1"/>
  <c r="X297" i="172"/>
  <c r="AD297" i="172"/>
  <c r="CR8" i="7" s="1"/>
  <c r="CW9" i="7" s="1"/>
  <c r="AH297" i="172"/>
  <c r="CV8" i="7" s="1"/>
  <c r="CW10" i="7" s="1"/>
  <c r="B38" i="141"/>
  <c r="AK12" i="9"/>
  <c r="AL12" i="9" s="1"/>
  <c r="AP14" i="9"/>
  <c r="AQ14" i="9" s="1"/>
  <c r="AZ10" i="9"/>
  <c r="BA10" i="9" s="1"/>
  <c r="BE13" i="9"/>
  <c r="BF13" i="9" s="1"/>
  <c r="BJ14" i="9"/>
  <c r="FP14" i="9" s="1"/>
  <c r="BT10" i="9"/>
  <c r="FR10" i="9" s="1"/>
  <c r="Q22" i="9"/>
  <c r="R22" i="9" s="1"/>
  <c r="AZ32" i="9"/>
  <c r="BA32" i="9" s="1"/>
  <c r="BE29" i="9"/>
  <c r="FS17" i="9"/>
  <c r="BZ17" i="9"/>
  <c r="Q32" i="9"/>
  <c r="R32" i="9" s="1"/>
  <c r="FR32" i="9"/>
  <c r="BU32" i="9"/>
  <c r="AK10" i="9"/>
  <c r="AL10" i="9" s="1"/>
  <c r="AP12" i="9"/>
  <c r="AQ12" i="9" s="1"/>
  <c r="AU14" i="9"/>
  <c r="AV14" i="9" s="1"/>
  <c r="BE11" i="9"/>
  <c r="BF11" i="9" s="1"/>
  <c r="G31" i="9"/>
  <c r="H31" i="9" s="1"/>
  <c r="AP10" i="9"/>
  <c r="AQ10" i="9" s="1"/>
  <c r="AU12" i="9"/>
  <c r="AV12" i="9" s="1"/>
  <c r="AZ14" i="9"/>
  <c r="BA14" i="9" s="1"/>
  <c r="BJ12" i="9"/>
  <c r="BK12" i="9" s="1"/>
  <c r="BT12" i="9"/>
  <c r="BU12" i="9" s="1"/>
  <c r="AF19" i="9"/>
  <c r="AG19" i="9" s="1"/>
  <c r="FQ22" i="9"/>
  <c r="BP22" i="9"/>
  <c r="FO31" i="9"/>
  <c r="BF31" i="9"/>
  <c r="AK14" i="9"/>
  <c r="AL14" i="9" s="1"/>
  <c r="AU10" i="9"/>
  <c r="AV10" i="9" s="1"/>
  <c r="AZ12" i="9"/>
  <c r="BA12" i="9" s="1"/>
  <c r="BJ10" i="9"/>
  <c r="BK10" i="9" s="1"/>
  <c r="AA17" i="9"/>
  <c r="AB17" i="9" s="1"/>
  <c r="BJ20" i="9"/>
  <c r="FP20" i="9" s="1"/>
  <c r="AE40" i="9"/>
  <c r="AF40" i="9" s="1"/>
  <c r="CA20" i="12"/>
  <c r="CE13" i="12"/>
  <c r="CF22" i="12"/>
  <c r="CJ13" i="12"/>
  <c r="CO13" i="12"/>
  <c r="CK20" i="12"/>
  <c r="CU22" i="12"/>
  <c r="CY13" i="12"/>
  <c r="DE22" i="12"/>
  <c r="CC61" i="12"/>
  <c r="CC53" i="12"/>
  <c r="CC67" i="12" s="1"/>
  <c r="CC11" i="12" s="1"/>
  <c r="CC15" i="12" s="1"/>
  <c r="CG61" i="12"/>
  <c r="CG48" i="12"/>
  <c r="CG49" i="12" s="1"/>
  <c r="CG54" i="12"/>
  <c r="CG69" i="12" s="1"/>
  <c r="CG53" i="12"/>
  <c r="CG67" i="12" s="1"/>
  <c r="CG11" i="12" s="1"/>
  <c r="CG15" i="12" s="1"/>
  <c r="CN48" i="12"/>
  <c r="CN49" i="12" s="1"/>
  <c r="CN53" i="12"/>
  <c r="CN67" i="12" s="1"/>
  <c r="CN11" i="12" s="1"/>
  <c r="CN15" i="12" s="1"/>
  <c r="CN61" i="12"/>
  <c r="CX54" i="12"/>
  <c r="CX69" i="12" s="1"/>
  <c r="CX61" i="12"/>
  <c r="CX48" i="12"/>
  <c r="CX49" i="12" s="1"/>
  <c r="CX53" i="12"/>
  <c r="CX67" i="12" s="1"/>
  <c r="CX11" i="12" s="1"/>
  <c r="CX15" i="12" s="1"/>
  <c r="DH53" i="12"/>
  <c r="DH67" i="12" s="1"/>
  <c r="DH11" i="12" s="1"/>
  <c r="DH61" i="12"/>
  <c r="DL61" i="12"/>
  <c r="DL54" i="12"/>
  <c r="DL69" i="12" s="1"/>
  <c r="EG54" i="12"/>
  <c r="EG69" i="12" s="1"/>
  <c r="EG29" i="12" s="1"/>
  <c r="EG61" i="12"/>
  <c r="EG53" i="12"/>
  <c r="EG67" i="12" s="1"/>
  <c r="EG11" i="12" s="1"/>
  <c r="AA21" i="9"/>
  <c r="AB21" i="9" s="1"/>
  <c r="AU20" i="9"/>
  <c r="AV20" i="9" s="1"/>
  <c r="FS21" i="9"/>
  <c r="B59" i="141"/>
  <c r="CL54" i="12"/>
  <c r="CL69" i="12" s="1"/>
  <c r="CL53" i="12"/>
  <c r="CL67" i="12" s="1"/>
  <c r="CL11" i="12" s="1"/>
  <c r="CL15" i="12" s="1"/>
  <c r="CL48" i="12"/>
  <c r="CL49" i="12" s="1"/>
  <c r="CV53" i="12"/>
  <c r="CV67" i="12" s="1"/>
  <c r="CV11" i="12" s="1"/>
  <c r="CV15" i="12" s="1"/>
  <c r="CV61" i="12"/>
  <c r="CV48" i="12"/>
  <c r="CV49" i="12" s="1"/>
  <c r="CZ61" i="12"/>
  <c r="CZ53" i="12"/>
  <c r="CZ67" i="12" s="1"/>
  <c r="CZ11" i="12" s="1"/>
  <c r="CZ16" i="12" s="1"/>
  <c r="DA7" i="12" s="1"/>
  <c r="DF54" i="12"/>
  <c r="DF69" i="12" s="1"/>
  <c r="DF61" i="12"/>
  <c r="DF53" i="12"/>
  <c r="DF67" i="12" s="1"/>
  <c r="DF11" i="12" s="1"/>
  <c r="DF18" i="12" s="1"/>
  <c r="DJ54" i="12"/>
  <c r="DJ69" i="12" s="1"/>
  <c r="DJ29" i="12" s="1"/>
  <c r="DJ53" i="12"/>
  <c r="DJ67" i="12" s="1"/>
  <c r="DJ11" i="12" s="1"/>
  <c r="BO9" i="9"/>
  <c r="BP9" i="9" s="1"/>
  <c r="EB54" i="12"/>
  <c r="EB69" i="12" s="1"/>
  <c r="EB29" i="12" s="1"/>
  <c r="EB53" i="12"/>
  <c r="EB67" i="12" s="1"/>
  <c r="EB11" i="12" s="1"/>
  <c r="DU54" i="12"/>
  <c r="DU69" i="12" s="1"/>
  <c r="DU29" i="12" s="1"/>
  <c r="DU53" i="12"/>
  <c r="DU67" i="12" s="1"/>
  <c r="DU11" i="12" s="1"/>
  <c r="DU61" i="12"/>
  <c r="L20" i="9"/>
  <c r="M20" i="9" s="1"/>
  <c r="FT24" i="9"/>
  <c r="Z32" i="9"/>
  <c r="AA32" i="9" s="1"/>
  <c r="DC57" i="135"/>
  <c r="CZ22" i="12"/>
  <c r="DD13" i="12"/>
  <c r="CH54" i="12"/>
  <c r="CH69" i="12" s="1"/>
  <c r="CH61" i="12"/>
  <c r="CM61" i="12"/>
  <c r="CM54" i="12"/>
  <c r="CM69" i="12" s="1"/>
  <c r="CM53" i="12"/>
  <c r="CM67" i="12" s="1"/>
  <c r="CM11" i="12" s="1"/>
  <c r="CM15" i="12" s="1"/>
  <c r="CS61" i="12"/>
  <c r="CS54" i="12"/>
  <c r="CS69" i="12" s="1"/>
  <c r="CW61" i="12"/>
  <c r="CW54" i="12"/>
  <c r="CW69" i="12" s="1"/>
  <c r="CW53" i="12"/>
  <c r="CW67" i="12" s="1"/>
  <c r="CW11" i="12" s="1"/>
  <c r="CW15" i="12" s="1"/>
  <c r="DC54" i="12"/>
  <c r="DC69" i="12" s="1"/>
  <c r="DC61" i="12"/>
  <c r="DI29" i="12"/>
  <c r="BE9" i="9"/>
  <c r="BF9" i="9" s="1"/>
  <c r="EH27" i="9"/>
  <c r="EF61" i="12"/>
  <c r="EF54" i="12"/>
  <c r="EF69" i="12" s="1"/>
  <c r="EF29" i="12" s="1"/>
  <c r="EF53" i="12"/>
  <c r="EF67" i="12" s="1"/>
  <c r="EF11" i="12" s="1"/>
  <c r="EA61" i="12"/>
  <c r="EA54" i="12"/>
  <c r="EA69" i="12" s="1"/>
  <c r="EA29" i="12" s="1"/>
  <c r="EA53" i="12"/>
  <c r="EA67" i="12" s="1"/>
  <c r="EA11" i="12" s="1"/>
  <c r="DO54" i="12"/>
  <c r="DO69" i="12" s="1"/>
  <c r="DO29" i="12" s="1"/>
  <c r="DO53" i="12"/>
  <c r="DO67" i="12" s="1"/>
  <c r="DO11" i="12" s="1"/>
  <c r="DO61" i="12"/>
  <c r="L30" i="9"/>
  <c r="M30" i="9" s="1"/>
  <c r="CF53" i="12"/>
  <c r="CF67" i="12" s="1"/>
  <c r="CF11" i="12" s="1"/>
  <c r="CF15" i="12" s="1"/>
  <c r="CF61" i="12"/>
  <c r="CQ48" i="12"/>
  <c r="CQ49" i="12" s="1"/>
  <c r="CQ53" i="12"/>
  <c r="CQ67" i="12" s="1"/>
  <c r="CQ11" i="12" s="1"/>
  <c r="CQ15" i="12" s="1"/>
  <c r="DA53" i="12"/>
  <c r="DA67" i="12" s="1"/>
  <c r="DA11" i="12" s="1"/>
  <c r="DA15" i="12" s="1"/>
  <c r="DA61" i="12"/>
  <c r="DE61" i="12"/>
  <c r="DE54" i="12"/>
  <c r="DE69" i="12" s="1"/>
  <c r="DK54" i="12"/>
  <c r="DK69" i="12" s="1"/>
  <c r="DK61" i="12"/>
  <c r="EE54" i="12"/>
  <c r="EE69" i="12" s="1"/>
  <c r="EE29" i="12" s="1"/>
  <c r="EE61" i="12"/>
  <c r="EE53" i="12"/>
  <c r="EE67" i="12" s="1"/>
  <c r="EE11" i="12" s="1"/>
  <c r="DR54" i="12"/>
  <c r="DR69" i="12" s="1"/>
  <c r="DR29" i="12" s="1"/>
  <c r="DR61" i="12"/>
  <c r="DM54" i="12"/>
  <c r="DM69" i="12" s="1"/>
  <c r="DM29" i="12" s="1"/>
  <c r="DM34" i="12" s="1"/>
  <c r="DM53" i="12"/>
  <c r="DM67" i="12" s="1"/>
  <c r="DM11" i="12" s="1"/>
  <c r="CO10" i="12"/>
  <c r="CT24" i="9"/>
  <c r="CN54" i="135"/>
  <c r="CY10" i="12"/>
  <c r="DD10" i="12"/>
  <c r="DI10" i="12"/>
  <c r="DX10" i="12"/>
  <c r="EC27" i="9"/>
  <c r="DD21" i="8"/>
  <c r="AG42" i="8"/>
  <c r="EI7" i="8"/>
  <c r="BH7" i="8"/>
  <c r="BX7" i="8"/>
  <c r="Y7" i="8"/>
  <c r="BC7" i="8"/>
  <c r="BW15" i="12"/>
  <c r="CX33" i="12"/>
  <c r="BV7" i="8"/>
  <c r="AS7" i="8"/>
  <c r="AT7" i="8"/>
  <c r="BM7" i="8"/>
  <c r="EE7" i="8"/>
  <c r="BW7" i="8"/>
  <c r="CN18" i="12"/>
  <c r="CV33" i="12"/>
  <c r="BV15" i="12"/>
  <c r="EB56" i="123"/>
  <c r="EB57" i="123" s="1"/>
  <c r="EB50" i="123" s="1"/>
  <c r="EB53" i="123" s="1"/>
  <c r="ED56" i="123"/>
  <c r="ED57" i="123" s="1"/>
  <c r="DR57" i="123"/>
  <c r="DR50" i="123" s="1"/>
  <c r="DR53" i="123" s="1"/>
  <c r="CS65" i="123"/>
  <c r="CX67" i="123"/>
  <c r="DC67" i="123"/>
  <c r="DH65" i="123"/>
  <c r="DZ56" i="123"/>
  <c r="DZ57" i="123" s="1"/>
  <c r="DZ50" i="123" s="1"/>
  <c r="DZ53" i="123" s="1"/>
  <c r="DU56" i="123"/>
  <c r="DU57" i="123" s="1"/>
  <c r="EJ56" i="123"/>
  <c r="EJ57" i="123" s="1"/>
  <c r="EJ50" i="123" s="1"/>
  <c r="EJ53" i="123" s="1"/>
  <c r="EJ62" i="123"/>
  <c r="BB97" i="175"/>
  <c r="AW141" i="175"/>
  <c r="AW150" i="175" s="1"/>
  <c r="CO68" i="123"/>
  <c r="CW62" i="123"/>
  <c r="CT68" i="123"/>
  <c r="CX65" i="123"/>
  <c r="CX68" i="123" s="1"/>
  <c r="CT57" i="123"/>
  <c r="DL62" i="123"/>
  <c r="CS62" i="123"/>
  <c r="CT62" i="123"/>
  <c r="CR57" i="123"/>
  <c r="CR50" i="123" s="1"/>
  <c r="CR53" i="123" s="1"/>
  <c r="CF62" i="123"/>
  <c r="CJ68" i="123"/>
  <c r="CR62" i="123"/>
  <c r="CO62" i="123"/>
  <c r="CP62" i="123"/>
  <c r="CQ57" i="123"/>
  <c r="CQ50" i="123" s="1"/>
  <c r="CQ53" i="123" s="1"/>
  <c r="CF57" i="123"/>
  <c r="CF50" i="123" s="1"/>
  <c r="CF53" i="123" s="1"/>
  <c r="EL29" i="123"/>
  <c r="EM29" i="123" s="1"/>
  <c r="EM35" i="123" s="1"/>
  <c r="EL28" i="123"/>
  <c r="EL27" i="123"/>
  <c r="EM27" i="123" s="1"/>
  <c r="EL16" i="123"/>
  <c r="EK12" i="123"/>
  <c r="EK18" i="123" s="1"/>
  <c r="EK11" i="123"/>
  <c r="EK40" i="123"/>
  <c r="DD37" i="135"/>
  <c r="DE38" i="135"/>
  <c r="DI37" i="135"/>
  <c r="DJ38" i="135"/>
  <c r="DN36" i="135"/>
  <c r="DS37" i="135" s="1"/>
  <c r="DR38" i="135"/>
  <c r="DH38" i="135"/>
  <c r="DC38" i="135"/>
  <c r="ED8" i="135"/>
  <c r="EE9" i="135"/>
  <c r="ED7" i="135"/>
  <c r="AA177" i="171"/>
  <c r="CC176" i="171"/>
  <c r="CV176" i="171"/>
  <c r="BI145" i="171"/>
  <c r="CX180" i="171"/>
  <c r="BA409" i="172"/>
  <c r="BB409" i="172"/>
  <c r="AJ176" i="171"/>
  <c r="CS152" i="171"/>
  <c r="CS140" i="171"/>
  <c r="AF303" i="175"/>
  <c r="AF301" i="175" s="1"/>
  <c r="AU217" i="171"/>
  <c r="AU213" i="171" s="1"/>
  <c r="X257" i="171"/>
  <c r="CC181" i="171"/>
  <c r="CC146" i="171"/>
  <c r="CC140" i="171"/>
  <c r="AI300" i="175"/>
  <c r="AU101" i="175"/>
  <c r="AQ131" i="175"/>
  <c r="AR131" i="175"/>
  <c r="AT129" i="175"/>
  <c r="EH117" i="135"/>
  <c r="AQ130" i="175"/>
  <c r="BT32" i="172"/>
  <c r="BT85" i="172" s="1"/>
  <c r="AQ45" i="175"/>
  <c r="AX392" i="175"/>
  <c r="AS393" i="175"/>
  <c r="F408" i="175"/>
  <c r="AX312" i="175"/>
  <c r="AU392" i="175"/>
  <c r="AP394" i="175"/>
  <c r="P384" i="175"/>
  <c r="K384" i="175"/>
  <c r="AN231" i="175"/>
  <c r="AN231" i="189" s="1"/>
  <c r="AJ255" i="175"/>
  <c r="AL231" i="175"/>
  <c r="AL231" i="189" s="1"/>
  <c r="AL236" i="189" s="1"/>
  <c r="AV317" i="175"/>
  <c r="AM231" i="175"/>
  <c r="AM231" i="189" s="1"/>
  <c r="AM236" i="189" s="1"/>
  <c r="AL256" i="175"/>
  <c r="B433" i="175"/>
  <c r="G264" i="175"/>
  <c r="Q263" i="175"/>
  <c r="U255" i="175"/>
  <c r="U258" i="175" s="1"/>
  <c r="E263" i="175"/>
  <c r="F263" i="175" s="1"/>
  <c r="F255" i="175"/>
  <c r="F258" i="175" s="1"/>
  <c r="O263" i="175"/>
  <c r="P263" i="175" s="1"/>
  <c r="P255" i="175"/>
  <c r="P258" i="175" s="1"/>
  <c r="AP234" i="175"/>
  <c r="AK231" i="175"/>
  <c r="AK231" i="189" s="1"/>
  <c r="AK236" i="189" s="1"/>
  <c r="AK256" i="175"/>
  <c r="AB263" i="175"/>
  <c r="AE255" i="175"/>
  <c r="H433" i="175"/>
  <c r="K433" i="175" s="1"/>
  <c r="K263" i="175"/>
  <c r="AZ167" i="175"/>
  <c r="X264" i="175"/>
  <c r="U267" i="175"/>
  <c r="Z263" i="175"/>
  <c r="AS170" i="175"/>
  <c r="AK234" i="175"/>
  <c r="Z267" i="175"/>
  <c r="F267" i="175"/>
  <c r="AA385" i="175"/>
  <c r="AO260" i="175"/>
  <c r="P267" i="175"/>
  <c r="AD264" i="175"/>
  <c r="Y264" i="175"/>
  <c r="M433" i="175"/>
  <c r="M264" i="175"/>
  <c r="T433" i="175"/>
  <c r="AM184" i="175"/>
  <c r="AN186" i="175"/>
  <c r="AN184" i="175" s="1"/>
  <c r="H264" i="175"/>
  <c r="C433" i="175"/>
  <c r="R433" i="175"/>
  <c r="W264" i="175"/>
  <c r="R264" i="175"/>
  <c r="I264" i="175"/>
  <c r="D433" i="175"/>
  <c r="AC264" i="175"/>
  <c r="N433" i="175"/>
  <c r="S264" i="175"/>
  <c r="N264" i="175"/>
  <c r="AS240" i="175"/>
  <c r="AW99" i="175"/>
  <c r="AF248" i="172"/>
  <c r="AF251" i="172"/>
  <c r="S257" i="171"/>
  <c r="AN379" i="175"/>
  <c r="AS380" i="175" s="1"/>
  <c r="BO97" i="172"/>
  <c r="DH272" i="172"/>
  <c r="DI274" i="172" s="1"/>
  <c r="CH167" i="172"/>
  <c r="BO119" i="172"/>
  <c r="BO174" i="172" s="1"/>
  <c r="BO189" i="172" s="1"/>
  <c r="AS45" i="175"/>
  <c r="BT44" i="172"/>
  <c r="AJ45" i="175"/>
  <c r="BO135" i="172"/>
  <c r="BO190" i="172" s="1"/>
  <c r="AP45" i="175"/>
  <c r="BM112" i="172"/>
  <c r="AF35" i="9"/>
  <c r="AU26" i="9"/>
  <c r="AV26" i="9" s="1"/>
  <c r="AY27" i="9"/>
  <c r="AQ19" i="9"/>
  <c r="G22" i="9"/>
  <c r="H22" i="9" s="1"/>
  <c r="L23" i="9"/>
  <c r="M23" i="9" s="1"/>
  <c r="D51" i="141"/>
  <c r="E51" i="141"/>
  <c r="D59" i="141"/>
  <c r="AE66" i="8"/>
  <c r="AE24" i="9"/>
  <c r="BZ35" i="9"/>
  <c r="FS35" i="9"/>
  <c r="BT35" i="9"/>
  <c r="BS66" i="8"/>
  <c r="BO35" i="9"/>
  <c r="AK40" i="9"/>
  <c r="AL40" i="9" s="1"/>
  <c r="G36" i="9"/>
  <c r="FS20" i="9"/>
  <c r="BZ20" i="9"/>
  <c r="AK21" i="9"/>
  <c r="AL21" i="9" s="1"/>
  <c r="Z24" i="9"/>
  <c r="AA19" i="9"/>
  <c r="L21" i="9"/>
  <c r="M21" i="9" s="1"/>
  <c r="FO32" i="9"/>
  <c r="BF32" i="9"/>
  <c r="BE23" i="9"/>
  <c r="AZ31" i="9"/>
  <c r="BA31" i="9" s="1"/>
  <c r="AP31" i="9"/>
  <c r="AQ31" i="9" s="1"/>
  <c r="AK26" i="9"/>
  <c r="AL26" i="9" s="1"/>
  <c r="AK35" i="9"/>
  <c r="AL35" i="9" s="1"/>
  <c r="FP32" i="9"/>
  <c r="BX15" i="12"/>
  <c r="BZ10" i="12"/>
  <c r="AK36" i="9"/>
  <c r="DJ26" i="12"/>
  <c r="DI34" i="12"/>
  <c r="DK26" i="12" s="1"/>
  <c r="DK29" i="12" s="1"/>
  <c r="EV54" i="12"/>
  <c r="FP17" i="9"/>
  <c r="AA31" i="9"/>
  <c r="BA17" i="9"/>
  <c r="FP37" i="9"/>
  <c r="BK37" i="9"/>
  <c r="Q37" i="9"/>
  <c r="GE33" i="9"/>
  <c r="F37" i="141"/>
  <c r="F51" i="141" s="1"/>
  <c r="BT19" i="9"/>
  <c r="BU19" i="9" s="1"/>
  <c r="AK20" i="9"/>
  <c r="W22" i="9"/>
  <c r="L26" i="9"/>
  <c r="AG23" i="9"/>
  <c r="R20" i="9"/>
  <c r="BO12" i="9"/>
  <c r="BP12" i="9" s="1"/>
  <c r="EV61" i="12"/>
  <c r="CJ36" i="9"/>
  <c r="AA36" i="9"/>
  <c r="AG32" i="9"/>
  <c r="BP31" i="9"/>
  <c r="FQ31" i="9"/>
  <c r="V17" i="9"/>
  <c r="W17" i="9" s="1"/>
  <c r="R23" i="9"/>
  <c r="BO40" i="9"/>
  <c r="BP40" i="9" s="1"/>
  <c r="DE18" i="12"/>
  <c r="CC54" i="135"/>
  <c r="BZ40" i="9"/>
  <c r="FS40" i="9"/>
  <c r="BR59" i="135"/>
  <c r="BW54" i="135"/>
  <c r="BA40" i="9"/>
  <c r="V32" i="9"/>
  <c r="W32" i="9" s="1"/>
  <c r="F21" i="9"/>
  <c r="G21" i="9" s="1"/>
  <c r="V19" i="9"/>
  <c r="W19" i="9" s="1"/>
  <c r="U20" i="9"/>
  <c r="V20" i="9" s="1"/>
  <c r="V23" i="9"/>
  <c r="W23" i="9" s="1"/>
  <c r="AO32" i="9"/>
  <c r="AY21" i="9"/>
  <c r="BS20" i="9"/>
  <c r="BT20" i="9" s="1"/>
  <c r="G32" i="9"/>
  <c r="H32" i="9" s="1"/>
  <c r="AF31" i="9"/>
  <c r="AG31" i="9" s="1"/>
  <c r="CD53" i="12"/>
  <c r="CD67" i="12" s="1"/>
  <c r="CD11" i="12" s="1"/>
  <c r="CD61" i="12"/>
  <c r="CK53" i="12"/>
  <c r="CK67" i="12" s="1"/>
  <c r="CK11" i="12" s="1"/>
  <c r="CK48" i="12"/>
  <c r="CK49" i="12" s="1"/>
  <c r="CK54" i="12"/>
  <c r="CK69" i="12" s="1"/>
  <c r="CP53" i="12"/>
  <c r="CP67" i="12" s="1"/>
  <c r="CP11" i="12" s="1"/>
  <c r="CP48" i="12"/>
  <c r="CP49" i="12" s="1"/>
  <c r="CP54" i="12"/>
  <c r="CP69" i="12" s="1"/>
  <c r="CR48" i="12"/>
  <c r="CR49" i="12" s="1"/>
  <c r="CR53" i="12"/>
  <c r="CR67" i="12" s="1"/>
  <c r="CR11" i="12" s="1"/>
  <c r="CR15" i="12" s="1"/>
  <c r="CR54" i="12"/>
  <c r="CR69" i="12" s="1"/>
  <c r="CU53" i="12"/>
  <c r="CU67" i="12" s="1"/>
  <c r="CU11" i="12" s="1"/>
  <c r="CU48" i="12"/>
  <c r="CU49" i="12" s="1"/>
  <c r="CU54" i="12"/>
  <c r="CU69" i="12" s="1"/>
  <c r="DB53" i="12"/>
  <c r="DB67" i="12" s="1"/>
  <c r="DB11" i="12" s="1"/>
  <c r="DB15" i="12" s="1"/>
  <c r="DB18" i="12" s="1"/>
  <c r="DB54" i="12"/>
  <c r="DB69" i="12" s="1"/>
  <c r="DG61" i="12"/>
  <c r="DG53" i="12"/>
  <c r="DG67" i="12" s="1"/>
  <c r="DG11" i="12" s="1"/>
  <c r="DV54" i="12"/>
  <c r="DV69" i="12" s="1"/>
  <c r="DV29" i="12" s="1"/>
  <c r="DV53" i="12"/>
  <c r="DV67" i="12" s="1"/>
  <c r="DV11" i="12" s="1"/>
  <c r="DL18" i="12"/>
  <c r="EC16" i="9"/>
  <c r="AU32" i="9"/>
  <c r="AV32" i="9" s="1"/>
  <c r="DZ54" i="12"/>
  <c r="DZ69" i="12" s="1"/>
  <c r="DZ29" i="12" s="1"/>
  <c r="DZ53" i="12"/>
  <c r="DZ67" i="12" s="1"/>
  <c r="DZ11" i="12" s="1"/>
  <c r="EK54" i="12"/>
  <c r="EK69" i="12" s="1"/>
  <c r="EK29" i="12" s="1"/>
  <c r="EK53" i="12"/>
  <c r="EK67" i="12" s="1"/>
  <c r="EK11" i="12" s="1"/>
  <c r="CH53" i="12"/>
  <c r="CH67" i="12" s="1"/>
  <c r="CH11" i="12" s="1"/>
  <c r="CH48" i="12"/>
  <c r="CH49" i="12" s="1"/>
  <c r="DA54" i="12"/>
  <c r="DA69" i="12" s="1"/>
  <c r="CC48" i="12"/>
  <c r="CC49" i="12" s="1"/>
  <c r="EH16" i="9"/>
  <c r="CC54" i="12"/>
  <c r="CC69" i="12" s="1"/>
  <c r="CA15" i="12"/>
  <c r="F50" i="141"/>
  <c r="AU7" i="8"/>
  <c r="DE7" i="8"/>
  <c r="DU7" i="8"/>
  <c r="EV19" i="8"/>
  <c r="EX19" i="8" s="1"/>
  <c r="EY19" i="8" s="1"/>
  <c r="EZ19" i="8" s="1"/>
  <c r="FA19" i="8" s="1"/>
  <c r="FC19" i="8" s="1"/>
  <c r="FD19" i="8" s="1"/>
  <c r="FE19" i="8" s="1"/>
  <c r="FF19" i="8" s="1"/>
  <c r="CZ7" i="8"/>
  <c r="DX21" i="8"/>
  <c r="DD27" i="12"/>
  <c r="CZ33" i="12"/>
  <c r="EV29" i="8"/>
  <c r="EX29" i="8" s="1"/>
  <c r="EY29" i="8" s="1"/>
  <c r="EZ29" i="8" s="1"/>
  <c r="FA29" i="8" s="1"/>
  <c r="FC29" i="8" s="1"/>
  <c r="FD29" i="8" s="1"/>
  <c r="FE29" i="8" s="1"/>
  <c r="FF29" i="8" s="1"/>
  <c r="CY35" i="12"/>
  <c r="DN35" i="12"/>
  <c r="B24" i="141"/>
  <c r="B25" i="141" s="1"/>
  <c r="EF56" i="123"/>
  <c r="EF57" i="123" s="1"/>
  <c r="EF50" i="123" s="1"/>
  <c r="EF53" i="123" s="1"/>
  <c r="EA56" i="123"/>
  <c r="EA57" i="123" s="1"/>
  <c r="EA50" i="123" s="1"/>
  <c r="EA53" i="123" s="1"/>
  <c r="DT56" i="123"/>
  <c r="DT57" i="123" s="1"/>
  <c r="DT50" i="123" s="1"/>
  <c r="DT53" i="123" s="1"/>
  <c r="CU57" i="123"/>
  <c r="CU50" i="123" s="1"/>
  <c r="CU53" i="123" s="1"/>
  <c r="DT37" i="135"/>
  <c r="DU38" i="135"/>
  <c r="EE17" i="135"/>
  <c r="DE224" i="172"/>
  <c r="DH224" i="172"/>
  <c r="DI226" i="172" s="1"/>
  <c r="D224" i="172"/>
  <c r="J224" i="172"/>
  <c r="T294" i="172"/>
  <c r="BR122" i="172"/>
  <c r="AD294" i="172"/>
  <c r="DB272" i="172"/>
  <c r="DG272" i="172"/>
  <c r="BM142" i="172"/>
  <c r="EA8" i="7" s="1"/>
  <c r="DK163" i="172"/>
  <c r="DC224" i="172"/>
  <c r="DF244" i="172"/>
  <c r="DD253" i="172"/>
  <c r="DE253" i="172"/>
  <c r="DG253" i="172"/>
  <c r="BL142" i="172"/>
  <c r="DZ8" i="7" s="1"/>
  <c r="DF210" i="172"/>
  <c r="EK11" i="135"/>
  <c r="EJ13" i="135"/>
  <c r="DQ158" i="135"/>
  <c r="DQ171" i="135"/>
  <c r="EG115" i="135"/>
  <c r="AW94" i="175"/>
  <c r="AR96" i="175"/>
  <c r="AS96" i="175"/>
  <c r="AR25" i="175"/>
  <c r="AT94" i="175"/>
  <c r="AT95" i="175" s="1"/>
  <c r="AO11" i="175"/>
  <c r="BW11" i="175"/>
  <c r="AO26" i="175"/>
  <c r="BW26" i="175"/>
  <c r="AR100" i="175"/>
  <c r="AR93" i="175"/>
  <c r="AW91" i="175"/>
  <c r="AW88" i="175" s="1"/>
  <c r="AT91" i="175"/>
  <c r="AU141" i="175"/>
  <c r="AO141" i="175"/>
  <c r="AT142" i="175" s="1"/>
  <c r="AV11" i="175"/>
  <c r="AV141" i="175"/>
  <c r="AV150" i="175" s="1"/>
  <c r="AV147" i="175"/>
  <c r="AV26" i="175"/>
  <c r="AV99" i="175"/>
  <c r="BA97" i="175"/>
  <c r="BW141" i="175"/>
  <c r="AS143" i="175"/>
  <c r="BW147" i="175"/>
  <c r="AP149" i="175"/>
  <c r="AQ149" i="175"/>
  <c r="AP148" i="175"/>
  <c r="BX94" i="175"/>
  <c r="AU25" i="175"/>
  <c r="AU96" i="175"/>
  <c r="AV96" i="175"/>
  <c r="BA94" i="175"/>
  <c r="AV25" i="175"/>
  <c r="AB361" i="175"/>
  <c r="AB362" i="175"/>
  <c r="AA361" i="175"/>
  <c r="AF361" i="175"/>
  <c r="AD356" i="175"/>
  <c r="AC355" i="175"/>
  <c r="AD361" i="175"/>
  <c r="AF362" i="175"/>
  <c r="T256" i="171"/>
  <c r="BO126" i="172"/>
  <c r="DA210" i="172"/>
  <c r="DG224" i="172"/>
  <c r="DE244" i="172"/>
  <c r="DC253" i="172"/>
  <c r="DF253" i="172"/>
  <c r="DE272" i="172"/>
  <c r="S256" i="171"/>
  <c r="DF224" i="172"/>
  <c r="DB253" i="172"/>
  <c r="DC210" i="172"/>
  <c r="U256" i="171"/>
  <c r="R256" i="171"/>
  <c r="BT108" i="172"/>
  <c r="DG210" i="172"/>
  <c r="DB224" i="172"/>
  <c r="DG244" i="172"/>
  <c r="DG250" i="172" s="1"/>
  <c r="DH253" i="172"/>
  <c r="N224" i="172"/>
  <c r="CB12" i="7" s="1"/>
  <c r="H224" i="172"/>
  <c r="BK142" i="172"/>
  <c r="DY8" i="7" s="1"/>
  <c r="CM31" i="8"/>
  <c r="CM36" i="8" s="1"/>
  <c r="DM56" i="123"/>
  <c r="DM57" i="123" s="1"/>
  <c r="DM50" i="123" s="1"/>
  <c r="DM53" i="123" s="1"/>
  <c r="DG56" i="123"/>
  <c r="DG57" i="123" s="1"/>
  <c r="DG50" i="123" s="1"/>
  <c r="DG53" i="123" s="1"/>
  <c r="DC56" i="123"/>
  <c r="DC57" i="123" s="1"/>
  <c r="DC50" i="123" s="1"/>
  <c r="DC53" i="123" s="1"/>
  <c r="CX56" i="123"/>
  <c r="CX57" i="123" s="1"/>
  <c r="CX50" i="123" s="1"/>
  <c r="CX53" i="123" s="1"/>
  <c r="DQ56" i="123"/>
  <c r="DQ57" i="123" s="1"/>
  <c r="DQ50" i="123" s="1"/>
  <c r="DQ53" i="123" s="1"/>
  <c r="DP57" i="123"/>
  <c r="DP50" i="123" s="1"/>
  <c r="DP53" i="123" s="1"/>
  <c r="DL56" i="123"/>
  <c r="DL57" i="123" s="1"/>
  <c r="DL50" i="123" s="1"/>
  <c r="DL53" i="123" s="1"/>
  <c r="DB56" i="123"/>
  <c r="DB57" i="123" s="1"/>
  <c r="DB50" i="123" s="1"/>
  <c r="DB53" i="123" s="1"/>
  <c r="CW56" i="123"/>
  <c r="CW57" i="123" s="1"/>
  <c r="CW50" i="123" s="1"/>
  <c r="CW53" i="123" s="1"/>
  <c r="CV57" i="123"/>
  <c r="CV50" i="123" s="1"/>
  <c r="DJ56" i="123"/>
  <c r="DJ61" i="123"/>
  <c r="DF56" i="123"/>
  <c r="DF57" i="123" s="1"/>
  <c r="DF50" i="123" s="1"/>
  <c r="DF53" i="123" s="1"/>
  <c r="DE57" i="123"/>
  <c r="DA56" i="123"/>
  <c r="DA57" i="123" s="1"/>
  <c r="DA50" i="123" s="1"/>
  <c r="DA53" i="123" s="1"/>
  <c r="DO56" i="123"/>
  <c r="DO57" i="123" s="1"/>
  <c r="DH56" i="123"/>
  <c r="DH57" i="123" s="1"/>
  <c r="DH50" i="123" s="1"/>
  <c r="DH53" i="123" s="1"/>
  <c r="CZ56" i="123"/>
  <c r="CZ57" i="123" s="1"/>
  <c r="DY56" i="123"/>
  <c r="DY57" i="123" s="1"/>
  <c r="EF12" i="135"/>
  <c r="AA12" i="171"/>
  <c r="W12" i="171"/>
  <c r="CC11" i="171"/>
  <c r="AS300" i="175"/>
  <c r="AS303" i="175" s="1"/>
  <c r="AS301" i="175" s="1"/>
  <c r="BS214" i="172"/>
  <c r="AF312" i="175"/>
  <c r="BD409" i="172"/>
  <c r="CF180" i="171"/>
  <c r="AQ178" i="171"/>
  <c r="CG178" i="171"/>
  <c r="CZ178" i="171"/>
  <c r="AF214" i="171"/>
  <c r="AG214" i="171" s="1"/>
  <c r="AH214" i="171" s="1"/>
  <c r="AI214" i="171" s="1"/>
  <c r="AN214" i="171" s="1"/>
  <c r="AO214" i="171" s="1"/>
  <c r="AP214" i="171" s="1"/>
  <c r="AQ214" i="171" s="1"/>
  <c r="AV214" i="171" s="1"/>
  <c r="AW214" i="171" s="1"/>
  <c r="AX214" i="171" s="1"/>
  <c r="AY214" i="171" s="1"/>
  <c r="BF214" i="171" s="1"/>
  <c r="BG214" i="171" s="1"/>
  <c r="BH214" i="171" s="1"/>
  <c r="BI214" i="171" s="1"/>
  <c r="BP214" i="171" s="1"/>
  <c r="AJ214" i="171"/>
  <c r="AK214" i="171" s="1"/>
  <c r="AL214" i="171" s="1"/>
  <c r="AM214" i="171" s="1"/>
  <c r="AP176" i="171"/>
  <c r="AM293" i="189" s="1"/>
  <c r="CD201" i="171"/>
  <c r="CD202" i="171" s="1"/>
  <c r="CD152" i="171"/>
  <c r="DC269" i="171"/>
  <c r="E257" i="171"/>
  <c r="CI39" i="171"/>
  <c r="AW220" i="171"/>
  <c r="AW222" i="171" s="1"/>
  <c r="DB270" i="171"/>
  <c r="CZ269" i="171"/>
  <c r="CZ224" i="171"/>
  <c r="CX152" i="171"/>
  <c r="CU146" i="171"/>
  <c r="CF146" i="171"/>
  <c r="CU122" i="171"/>
  <c r="CZ32" i="171"/>
  <c r="AL42" i="171"/>
  <c r="AP33" i="171"/>
  <c r="CG32" i="171"/>
  <c r="CH33" i="171" s="1"/>
  <c r="AN33" i="171"/>
  <c r="AJ42" i="171"/>
  <c r="AS107" i="175"/>
  <c r="AU42" i="171"/>
  <c r="AR33" i="171"/>
  <c r="AR42" i="171"/>
  <c r="DA32" i="171"/>
  <c r="AX231" i="171"/>
  <c r="AX269" i="171"/>
  <c r="AX270" i="171"/>
  <c r="AX23" i="171"/>
  <c r="AW155" i="175"/>
  <c r="AW157" i="175" s="1"/>
  <c r="X72" i="171"/>
  <c r="X102" i="171"/>
  <c r="X96" i="171"/>
  <c r="X114" i="171"/>
  <c r="X78" i="171"/>
  <c r="X108" i="171"/>
  <c r="CV11" i="171"/>
  <c r="X12" i="171"/>
  <c r="CD11" i="171"/>
  <c r="AH336" i="175"/>
  <c r="AC96" i="171"/>
  <c r="Z56" i="171"/>
  <c r="AC56" i="171"/>
  <c r="DK285" i="171"/>
  <c r="H78" i="171"/>
  <c r="H81" i="171" s="1"/>
  <c r="H72" i="171"/>
  <c r="H108" i="171"/>
  <c r="H96" i="171"/>
  <c r="H114" i="171"/>
  <c r="H102" i="171"/>
  <c r="L72" i="171"/>
  <c r="L96" i="171"/>
  <c r="L114" i="171"/>
  <c r="L108" i="171"/>
  <c r="L78" i="171"/>
  <c r="L81" i="171" s="1"/>
  <c r="L102" i="171"/>
  <c r="P72" i="171"/>
  <c r="P78" i="171"/>
  <c r="P81" i="171" s="1"/>
  <c r="P96" i="171"/>
  <c r="P102" i="171"/>
  <c r="P108" i="171"/>
  <c r="P114" i="171"/>
  <c r="T72" i="171"/>
  <c r="T102" i="171"/>
  <c r="T114" i="171"/>
  <c r="T96" i="171"/>
  <c r="T108" i="171"/>
  <c r="T78" i="171"/>
  <c r="AD108" i="171"/>
  <c r="AD56" i="171"/>
  <c r="AB56" i="171"/>
  <c r="Y72" i="171"/>
  <c r="Y78" i="171"/>
  <c r="Y102" i="171"/>
  <c r="Y114" i="171"/>
  <c r="Y138" i="171"/>
  <c r="Y141" i="171" s="1"/>
  <c r="Y126" i="171"/>
  <c r="Y132" i="171"/>
  <c r="Y156" i="171"/>
  <c r="Y96" i="171"/>
  <c r="V56" i="171"/>
  <c r="T56" i="171"/>
  <c r="U56" i="171"/>
  <c r="X56" i="171"/>
  <c r="DL285" i="171"/>
  <c r="I96" i="171"/>
  <c r="I99" i="171" s="1"/>
  <c r="I72" i="171"/>
  <c r="I114" i="171"/>
  <c r="I117" i="171" s="1"/>
  <c r="I78" i="171"/>
  <c r="I81" i="171" s="1"/>
  <c r="I102" i="171"/>
  <c r="I108" i="171"/>
  <c r="I111" i="171" s="1"/>
  <c r="M72" i="171"/>
  <c r="M102" i="171"/>
  <c r="M108" i="171"/>
  <c r="M78" i="171"/>
  <c r="M81" i="171" s="1"/>
  <c r="M96" i="171"/>
  <c r="M114" i="171"/>
  <c r="Q72" i="171"/>
  <c r="Q96" i="171"/>
  <c r="Q102" i="171"/>
  <c r="Q114" i="171"/>
  <c r="Q78" i="171"/>
  <c r="U78" i="171"/>
  <c r="U72" i="171"/>
  <c r="U102" i="171"/>
  <c r="U108" i="171"/>
  <c r="U114" i="171"/>
  <c r="U96" i="171"/>
  <c r="AE72" i="171"/>
  <c r="AE78" i="171"/>
  <c r="AE96" i="171"/>
  <c r="AE114" i="171"/>
  <c r="AE156" i="171"/>
  <c r="AE138" i="171"/>
  <c r="AE141" i="171" s="1"/>
  <c r="AE102" i="171"/>
  <c r="AA72" i="171"/>
  <c r="AA102" i="171"/>
  <c r="AA78" i="171"/>
  <c r="AA132" i="171"/>
  <c r="AA126" i="171"/>
  <c r="AA138" i="171"/>
  <c r="AA141" i="171" s="1"/>
  <c r="AA108" i="171"/>
  <c r="AA114" i="171"/>
  <c r="AA156" i="171"/>
  <c r="AA96" i="171"/>
  <c r="Z72" i="171"/>
  <c r="Z78" i="171"/>
  <c r="Z114" i="171"/>
  <c r="Z126" i="171"/>
  <c r="Z138" i="171"/>
  <c r="Z141" i="171" s="1"/>
  <c r="Z156" i="171"/>
  <c r="Z102" i="171"/>
  <c r="Z132" i="171"/>
  <c r="Z96" i="171"/>
  <c r="V78" i="171"/>
  <c r="V96" i="171"/>
  <c r="V72" i="171"/>
  <c r="V102" i="171"/>
  <c r="V114" i="171"/>
  <c r="W96" i="171"/>
  <c r="W102" i="171"/>
  <c r="W114" i="171"/>
  <c r="W108" i="171"/>
  <c r="W78" i="171"/>
  <c r="W72" i="171"/>
  <c r="Y56" i="171"/>
  <c r="DJ284" i="171"/>
  <c r="DJ285" i="171" s="1"/>
  <c r="F72" i="171"/>
  <c r="F96" i="171"/>
  <c r="F78" i="171"/>
  <c r="F81" i="171" s="1"/>
  <c r="F102" i="171"/>
  <c r="F114" i="171"/>
  <c r="F108" i="171"/>
  <c r="J108" i="171"/>
  <c r="J96" i="171"/>
  <c r="J102" i="171"/>
  <c r="J72" i="171"/>
  <c r="J78" i="171"/>
  <c r="J81" i="171" s="1"/>
  <c r="J114" i="171"/>
  <c r="N78" i="171"/>
  <c r="N81" i="171" s="1"/>
  <c r="N72" i="171"/>
  <c r="N96" i="171"/>
  <c r="N102" i="171"/>
  <c r="N114" i="171"/>
  <c r="N108" i="171"/>
  <c r="R102" i="171"/>
  <c r="R78" i="171"/>
  <c r="R108" i="171"/>
  <c r="R72" i="171"/>
  <c r="R114" i="171"/>
  <c r="R96" i="171"/>
  <c r="AI336" i="175"/>
  <c r="W56" i="171"/>
  <c r="DP66" i="171"/>
  <c r="DN66" i="171"/>
  <c r="CZ23" i="171"/>
  <c r="G102" i="171"/>
  <c r="G108" i="171"/>
  <c r="G111" i="171" s="1"/>
  <c r="G78" i="171"/>
  <c r="G81" i="171" s="1"/>
  <c r="G96" i="171"/>
  <c r="G99" i="171" s="1"/>
  <c r="G114" i="171"/>
  <c r="G117" i="171" s="1"/>
  <c r="G72" i="171"/>
  <c r="K78" i="171"/>
  <c r="K81" i="171" s="1"/>
  <c r="K96" i="171"/>
  <c r="K102" i="171"/>
  <c r="K72" i="171"/>
  <c r="K108" i="171"/>
  <c r="K114" i="171"/>
  <c r="O96" i="171"/>
  <c r="O102" i="171"/>
  <c r="O78" i="171"/>
  <c r="O81" i="171" s="1"/>
  <c r="O108" i="171"/>
  <c r="O114" i="171"/>
  <c r="O72" i="171"/>
  <c r="S96" i="171"/>
  <c r="S72" i="171"/>
  <c r="S78" i="171"/>
  <c r="S102" i="171"/>
  <c r="S114" i="171"/>
  <c r="AH300" i="175"/>
  <c r="AS222" i="171"/>
  <c r="W253" i="171"/>
  <c r="X253" i="171" s="1"/>
  <c r="G257" i="171"/>
  <c r="AE312" i="175"/>
  <c r="AI293" i="175"/>
  <c r="AI348" i="175" s="1"/>
  <c r="AQ176" i="171"/>
  <c r="AG293" i="175"/>
  <c r="AG294" i="175"/>
  <c r="AO176" i="171"/>
  <c r="AL293" i="189" s="1"/>
  <c r="AL348" i="189" s="1"/>
  <c r="AH294" i="175"/>
  <c r="AH293" i="175"/>
  <c r="CE152" i="171"/>
  <c r="CX146" i="171"/>
  <c r="AE108" i="171"/>
  <c r="CT140" i="171"/>
  <c r="AE132" i="171"/>
  <c r="Y108" i="171"/>
  <c r="Y111" i="171" s="1"/>
  <c r="S108" i="171"/>
  <c r="Q108" i="171"/>
  <c r="V108" i="171"/>
  <c r="Z108" i="171"/>
  <c r="CG226" i="172"/>
  <c r="CL226" i="172" s="1"/>
  <c r="CQ226" i="172" s="1"/>
  <c r="CV226" i="172" s="1"/>
  <c r="BR251" i="172"/>
  <c r="CE265" i="172"/>
  <c r="DJ270" i="172"/>
  <c r="CH226" i="172"/>
  <c r="CM226" i="172" s="1"/>
  <c r="CR226" i="172" s="1"/>
  <c r="CW226" i="172" s="1"/>
  <c r="AC361" i="175"/>
  <c r="AD362" i="175"/>
  <c r="AC362" i="175"/>
  <c r="AB355" i="175"/>
  <c r="AC356" i="175"/>
  <c r="AO236" i="172"/>
  <c r="BP255" i="172"/>
  <c r="BA410" i="172"/>
  <c r="AZ410" i="172"/>
  <c r="AL432" i="172"/>
  <c r="AL435" i="172" s="1"/>
  <c r="AL426" i="172"/>
  <c r="AA355" i="175"/>
  <c r="AB356" i="175"/>
  <c r="CE226" i="172"/>
  <c r="CJ226" i="172" s="1"/>
  <c r="CO226" i="172" s="1"/>
  <c r="CT226" i="172" s="1"/>
  <c r="AM434" i="172"/>
  <c r="AM435" i="172" s="1"/>
  <c r="AM426" i="172"/>
  <c r="BK53" i="172"/>
  <c r="BM72" i="172"/>
  <c r="BQ51" i="172"/>
  <c r="BP56" i="172"/>
  <c r="BL48" i="172"/>
  <c r="C257" i="171"/>
  <c r="F256" i="171"/>
  <c r="W256" i="171"/>
  <c r="W257" i="171"/>
  <c r="I257" i="171"/>
  <c r="L256" i="171"/>
  <c r="H257" i="171"/>
  <c r="H256" i="171"/>
  <c r="BG239" i="172"/>
  <c r="BB241" i="172"/>
  <c r="BN248" i="172"/>
  <c r="BN249" i="172" s="1"/>
  <c r="DK54" i="172"/>
  <c r="BS56" i="172"/>
  <c r="EI114" i="135"/>
  <c r="V257" i="171"/>
  <c r="V256" i="171"/>
  <c r="N256" i="171"/>
  <c r="N257" i="171"/>
  <c r="AG257" i="171"/>
  <c r="AH257" i="171"/>
  <c r="BF239" i="172"/>
  <c r="BA241" i="172"/>
  <c r="DB210" i="172"/>
  <c r="BT11" i="172"/>
  <c r="BT25" i="172"/>
  <c r="BO115" i="172"/>
  <c r="CE163" i="172"/>
  <c r="CJ163" i="172" s="1"/>
  <c r="CO163" i="172" s="1"/>
  <c r="BT18" i="172"/>
  <c r="DE210" i="172"/>
  <c r="DH244" i="172"/>
  <c r="DF272" i="172"/>
  <c r="DC272" i="172"/>
  <c r="DH210" i="172"/>
  <c r="DD224" i="172"/>
  <c r="M224" i="172"/>
  <c r="CA12" i="7" s="1"/>
  <c r="F224" i="172"/>
  <c r="AP379" i="175"/>
  <c r="AW313" i="175"/>
  <c r="AT307" i="175"/>
  <c r="BQ72" i="172"/>
  <c r="EC36" i="135"/>
  <c r="B8" i="141"/>
  <c r="AO295" i="175" l="1"/>
  <c r="DY29" i="135"/>
  <c r="AV215" i="171"/>
  <c r="AV221" i="171"/>
  <c r="AV234" i="171"/>
  <c r="AV228" i="171" s="1"/>
  <c r="BU260" i="172" s="1"/>
  <c r="BU262" i="172" s="1"/>
  <c r="AV219" i="171"/>
  <c r="BP269" i="172"/>
  <c r="BP267" i="172" s="1"/>
  <c r="BN256" i="172"/>
  <c r="BP256" i="172"/>
  <c r="BE268" i="172"/>
  <c r="BR118" i="172"/>
  <c r="BN257" i="172"/>
  <c r="DS33" i="9"/>
  <c r="AA42" i="8"/>
  <c r="DK40" i="8"/>
  <c r="DH67" i="8"/>
  <c r="DJ42" i="8"/>
  <c r="DJ7" i="8" s="1"/>
  <c r="DJ67" i="8"/>
  <c r="AF7" i="8"/>
  <c r="DH41" i="8"/>
  <c r="DI40" i="8"/>
  <c r="DI67" i="8" s="1"/>
  <c r="BW260" i="175"/>
  <c r="AR136" i="175"/>
  <c r="BO253" i="172"/>
  <c r="BO255" i="172" s="1"/>
  <c r="BJ268" i="172"/>
  <c r="BN255" i="172"/>
  <c r="AU135" i="175"/>
  <c r="BL258" i="172"/>
  <c r="DI257" i="172"/>
  <c r="CD15" i="12"/>
  <c r="CE15" i="12" s="1"/>
  <c r="AO27" i="9"/>
  <c r="AJ295" i="175"/>
  <c r="BO251" i="172"/>
  <c r="BS111" i="172"/>
  <c r="U249" i="172"/>
  <c r="BS40" i="172"/>
  <c r="BS105" i="172"/>
  <c r="BS149" i="172"/>
  <c r="BX150" i="172" s="1"/>
  <c r="AP218" i="172"/>
  <c r="AH249" i="172"/>
  <c r="CO162" i="172"/>
  <c r="CT163" i="172"/>
  <c r="CT162" i="172" s="1"/>
  <c r="CT161" i="172" s="1"/>
  <c r="CV220" i="172"/>
  <c r="FG19" i="8"/>
  <c r="FH19" i="8"/>
  <c r="FI19" i="8" s="1"/>
  <c r="FJ19" i="8" s="1"/>
  <c r="FK19" i="8" s="1"/>
  <c r="FL19" i="8" s="1"/>
  <c r="FG29" i="8"/>
  <c r="FH29" i="8"/>
  <c r="FI29" i="8" s="1"/>
  <c r="FJ29" i="8" s="1"/>
  <c r="FK29" i="8" s="1"/>
  <c r="FL29" i="8" s="1"/>
  <c r="CW480" i="172"/>
  <c r="CW131" i="172"/>
  <c r="CW186" i="172"/>
  <c r="CW135" i="172"/>
  <c r="CW133" i="172"/>
  <c r="CX130" i="172"/>
  <c r="CW162" i="172"/>
  <c r="CW102" i="172"/>
  <c r="CW460" i="172"/>
  <c r="CX101" i="172"/>
  <c r="CW104" i="172"/>
  <c r="CX125" i="172"/>
  <c r="CW475" i="172"/>
  <c r="CW182" i="172"/>
  <c r="CX182" i="172" s="1"/>
  <c r="CW126" i="172"/>
  <c r="CW128" i="172"/>
  <c r="CW470" i="172"/>
  <c r="CX114" i="172"/>
  <c r="CW117" i="172"/>
  <c r="CW115" i="172"/>
  <c r="CW455" i="172"/>
  <c r="CW97" i="172"/>
  <c r="CX96" i="172"/>
  <c r="CW99" i="172"/>
  <c r="AC102" i="171"/>
  <c r="AC104" i="171" s="1"/>
  <c r="AN109" i="175"/>
  <c r="AR108" i="175"/>
  <c r="BU261" i="172"/>
  <c r="CO44" i="135"/>
  <c r="FU24" i="9"/>
  <c r="BH39" i="9"/>
  <c r="BF37" i="9"/>
  <c r="BY24" i="9"/>
  <c r="EC39" i="9"/>
  <c r="AO33" i="9"/>
  <c r="BN27" i="9"/>
  <c r="BZ53" i="135"/>
  <c r="CE54" i="135" s="1"/>
  <c r="BI39" i="9"/>
  <c r="BZ22" i="9"/>
  <c r="AQ236" i="172"/>
  <c r="G279" i="172"/>
  <c r="S249" i="172"/>
  <c r="EB137" i="135"/>
  <c r="BR253" i="172"/>
  <c r="EG138" i="135"/>
  <c r="BP39" i="172"/>
  <c r="L274" i="172"/>
  <c r="AA229" i="172"/>
  <c r="CZ15" i="12"/>
  <c r="CZ18" i="12" s="1"/>
  <c r="EX19" i="135"/>
  <c r="FC19" i="135" s="1"/>
  <c r="FH19" i="135" s="1"/>
  <c r="EX14" i="135"/>
  <c r="FC14" i="135" s="1"/>
  <c r="FH14" i="135" s="1"/>
  <c r="AX91" i="189"/>
  <c r="AU150" i="175"/>
  <c r="AT168" i="189"/>
  <c r="Z295" i="189"/>
  <c r="AO170" i="189"/>
  <c r="AO169" i="189" s="1"/>
  <c r="AP169" i="189" s="1"/>
  <c r="AN175" i="189"/>
  <c r="AR175" i="189"/>
  <c r="AT172" i="189"/>
  <c r="AT163" i="189"/>
  <c r="AU172" i="189"/>
  <c r="AU173" i="189" s="1"/>
  <c r="AY167" i="189"/>
  <c r="AY168" i="189" s="1"/>
  <c r="AZ167" i="189"/>
  <c r="BE167" i="189" s="1"/>
  <c r="AU170" i="189"/>
  <c r="BA167" i="189"/>
  <c r="BF167" i="189" s="1"/>
  <c r="AV170" i="189"/>
  <c r="AV175" i="189" s="1"/>
  <c r="AV172" i="189"/>
  <c r="AV173" i="189" s="1"/>
  <c r="AS173" i="189"/>
  <c r="AR295" i="189"/>
  <c r="CC295" i="189" s="1"/>
  <c r="AK295" i="189"/>
  <c r="AJ295" i="189"/>
  <c r="AO168" i="189"/>
  <c r="AO172" i="189"/>
  <c r="AO173" i="189" s="1"/>
  <c r="AS175" i="189"/>
  <c r="AT165" i="189"/>
  <c r="AT164" i="189" s="1"/>
  <c r="CC165" i="189"/>
  <c r="CC167" i="189"/>
  <c r="BB167" i="189"/>
  <c r="BG167" i="189" s="1"/>
  <c r="AW172" i="189"/>
  <c r="AW173" i="189" s="1"/>
  <c r="AW170" i="189"/>
  <c r="AW175" i="189" s="1"/>
  <c r="AX165" i="189"/>
  <c r="AY162" i="189"/>
  <c r="AX172" i="189"/>
  <c r="AX173" i="189" s="1"/>
  <c r="BC172" i="189"/>
  <c r="CD162" i="189"/>
  <c r="BH172" i="189"/>
  <c r="BM172" i="189"/>
  <c r="BR172" i="189"/>
  <c r="BW173" i="189" s="1"/>
  <c r="EF132" i="135"/>
  <c r="EF134" i="135" s="1"/>
  <c r="EB63" i="135"/>
  <c r="EB69" i="135" s="1"/>
  <c r="EB43" i="135"/>
  <c r="DW37" i="135"/>
  <c r="CB244" i="172"/>
  <c r="BR111" i="172"/>
  <c r="BW143" i="172"/>
  <c r="BW146" i="172" s="1"/>
  <c r="BW145" i="172"/>
  <c r="BX247" i="172"/>
  <c r="CC244" i="172"/>
  <c r="BX143" i="172"/>
  <c r="BU147" i="172"/>
  <c r="BX145" i="172"/>
  <c r="DK264" i="172"/>
  <c r="DK265" i="172" s="1"/>
  <c r="BV264" i="172"/>
  <c r="BU278" i="172"/>
  <c r="BU276" i="172" s="1"/>
  <c r="BU277" i="172" s="1"/>
  <c r="BZ272" i="172"/>
  <c r="CE272" i="172" s="1"/>
  <c r="BU282" i="172"/>
  <c r="BU283" i="172" s="1"/>
  <c r="BV244" i="172"/>
  <c r="BX221" i="172"/>
  <c r="BU227" i="172"/>
  <c r="BZ224" i="172"/>
  <c r="BU230" i="172"/>
  <c r="BU228" i="172" s="1"/>
  <c r="BT174" i="172"/>
  <c r="BT189" i="172" s="1"/>
  <c r="BY144" i="172"/>
  <c r="BY120" i="172"/>
  <c r="BU151" i="172"/>
  <c r="BP105" i="172"/>
  <c r="BU143" i="172"/>
  <c r="BU146" i="172" s="1"/>
  <c r="BU145" i="172"/>
  <c r="P226" i="172"/>
  <c r="BW410" i="172"/>
  <c r="CB410" i="172" s="1"/>
  <c r="CG410" i="172" s="1"/>
  <c r="CL410" i="172" s="1"/>
  <c r="CQ410" i="172" s="1"/>
  <c r="CV410" i="172" s="1"/>
  <c r="BS118" i="172"/>
  <c r="AE426" i="189"/>
  <c r="AJ427" i="189" s="1"/>
  <c r="AJ423" i="189"/>
  <c r="BU266" i="172"/>
  <c r="BU253" i="172"/>
  <c r="BU297" i="172" s="1"/>
  <c r="BZ264" i="172"/>
  <c r="CB237" i="172"/>
  <c r="BU217" i="172"/>
  <c r="BU222" i="172"/>
  <c r="BQ230" i="172"/>
  <c r="BQ228" i="172" s="1"/>
  <c r="BQ229" i="172" s="1"/>
  <c r="BV224" i="172"/>
  <c r="DL224" i="172" s="1"/>
  <c r="BT48" i="172"/>
  <c r="BS230" i="172"/>
  <c r="BS228" i="172" s="1"/>
  <c r="BS229" i="172" s="1"/>
  <c r="BX224" i="172"/>
  <c r="BS203" i="172"/>
  <c r="BS266" i="172"/>
  <c r="BX264" i="172"/>
  <c r="BZ247" i="172"/>
  <c r="CC237" i="172"/>
  <c r="CA237" i="172"/>
  <c r="BQ203" i="172"/>
  <c r="BV143" i="172"/>
  <c r="BV146" i="172" s="1"/>
  <c r="BV145" i="172"/>
  <c r="DJ267" i="172"/>
  <c r="DJ269" i="172" s="1"/>
  <c r="BS134" i="172"/>
  <c r="CB224" i="172"/>
  <c r="BW230" i="172"/>
  <c r="BW228" i="172" s="1"/>
  <c r="CB264" i="172"/>
  <c r="BW253" i="172"/>
  <c r="BU247" i="172"/>
  <c r="AP398" i="175"/>
  <c r="EB159" i="135"/>
  <c r="EB146" i="135"/>
  <c r="EB147" i="135" s="1"/>
  <c r="ED63" i="135"/>
  <c r="ED69" i="135" s="1"/>
  <c r="EC158" i="135"/>
  <c r="ED160" i="135" s="1"/>
  <c r="EB160" i="135"/>
  <c r="EB47" i="135"/>
  <c r="EB37" i="135"/>
  <c r="EC27" i="135"/>
  <c r="EG159" i="135"/>
  <c r="EB142" i="135"/>
  <c r="EB154" i="135" s="1"/>
  <c r="EB155" i="135" s="1"/>
  <c r="ED37" i="135"/>
  <c r="EA38" i="135"/>
  <c r="EG37" i="135"/>
  <c r="DV38" i="135"/>
  <c r="EH27" i="135"/>
  <c r="EH59" i="135"/>
  <c r="ED29" i="135"/>
  <c r="EA37" i="135"/>
  <c r="EK16" i="135"/>
  <c r="EB38" i="135"/>
  <c r="EG54" i="9"/>
  <c r="EL45" i="9"/>
  <c r="EF45" i="9"/>
  <c r="EK45" i="9"/>
  <c r="EE54" i="9"/>
  <c r="EJ45" i="9"/>
  <c r="BY54" i="135"/>
  <c r="AO107" i="175"/>
  <c r="AP21" i="175"/>
  <c r="AH348" i="189"/>
  <c r="AD435" i="189"/>
  <c r="AD434" i="189"/>
  <c r="AP123" i="189"/>
  <c r="AU123" i="189"/>
  <c r="AP124" i="189"/>
  <c r="AQ124" i="189"/>
  <c r="CB122" i="189"/>
  <c r="CC123" i="189" s="1"/>
  <c r="AT122" i="189"/>
  <c r="AL136" i="175"/>
  <c r="AU219" i="189"/>
  <c r="AP219" i="189"/>
  <c r="AT218" i="189"/>
  <c r="AQ368" i="189"/>
  <c r="AV369" i="189" s="1"/>
  <c r="CB366" i="189"/>
  <c r="AP367" i="189"/>
  <c r="AP368" i="189"/>
  <c r="AU369" i="189" s="1"/>
  <c r="AU367" i="189"/>
  <c r="AT366" i="189"/>
  <c r="AB434" i="189"/>
  <c r="AB435" i="189"/>
  <c r="AT226" i="189"/>
  <c r="AT223" i="189"/>
  <c r="AY224" i="189" s="1"/>
  <c r="AY226" i="189"/>
  <c r="BX57" i="135"/>
  <c r="AP109" i="175"/>
  <c r="AC435" i="189"/>
  <c r="AC434" i="189"/>
  <c r="AF272" i="175"/>
  <c r="J264" i="175"/>
  <c r="AK232" i="189"/>
  <c r="AK235" i="189" s="1"/>
  <c r="AK237" i="189"/>
  <c r="AQ261" i="175"/>
  <c r="AQ255" i="175"/>
  <c r="AQ57" i="175"/>
  <c r="AQ351" i="175"/>
  <c r="AK51" i="175"/>
  <c r="AK63" i="175" s="1"/>
  <c r="AK8" i="175"/>
  <c r="AO57" i="175"/>
  <c r="AN8" i="175"/>
  <c r="AN59" i="175"/>
  <c r="AR261" i="175"/>
  <c r="AR57" i="175"/>
  <c r="AR255" i="175"/>
  <c r="AL232" i="189"/>
  <c r="AL235" i="189" s="1"/>
  <c r="AT260" i="175"/>
  <c r="AP57" i="175"/>
  <c r="AP255" i="175"/>
  <c r="AP261" i="175"/>
  <c r="AP351" i="175"/>
  <c r="AS255" i="175"/>
  <c r="AS57" i="175"/>
  <c r="AS261" i="175"/>
  <c r="BC24" i="189"/>
  <c r="BC27" i="189" s="1"/>
  <c r="BC100" i="189"/>
  <c r="BC88" i="189"/>
  <c r="AX88" i="189" s="1"/>
  <c r="BH91" i="189"/>
  <c r="AM232" i="189"/>
  <c r="AM235" i="189" s="1"/>
  <c r="AO231" i="189"/>
  <c r="AO236" i="189" s="1"/>
  <c r="AN236" i="189"/>
  <c r="AQ61" i="175"/>
  <c r="AL59" i="175"/>
  <c r="AL8" i="175"/>
  <c r="AL51" i="175"/>
  <c r="AL53" i="175" s="1"/>
  <c r="AM8" i="175"/>
  <c r="AM51" i="175"/>
  <c r="AM59" i="175"/>
  <c r="BT77" i="172"/>
  <c r="BT55" i="172"/>
  <c r="BT67" i="172"/>
  <c r="BT45" i="172"/>
  <c r="BO77" i="172"/>
  <c r="BO55" i="172"/>
  <c r="BO72" i="172"/>
  <c r="BO50" i="172"/>
  <c r="AZ83" i="175"/>
  <c r="AG348" i="189"/>
  <c r="AL349" i="189" s="1"/>
  <c r="AM348" i="189"/>
  <c r="AK185" i="171"/>
  <c r="AG300" i="189"/>
  <c r="AG158" i="189"/>
  <c r="AO185" i="171"/>
  <c r="AL300" i="189"/>
  <c r="AL301" i="189" s="1"/>
  <c r="AQ349" i="189"/>
  <c r="CG176" i="171"/>
  <c r="AF294" i="189"/>
  <c r="AF293" i="189"/>
  <c r="AM185" i="171"/>
  <c r="AI300" i="189"/>
  <c r="AI303" i="189" s="1"/>
  <c r="AI301" i="189" s="1"/>
  <c r="AI158" i="189"/>
  <c r="AL185" i="171"/>
  <c r="AH300" i="189"/>
  <c r="AH303" i="189" s="1"/>
  <c r="AH301" i="189" s="1"/>
  <c r="AH158" i="189"/>
  <c r="AS185" i="171"/>
  <c r="AQ300" i="189"/>
  <c r="AQ303" i="189" s="1"/>
  <c r="AQ301" i="189" s="1"/>
  <c r="AR340" i="189"/>
  <c r="AW341" i="189" s="1"/>
  <c r="AQ340" i="189"/>
  <c r="AQ341" i="189" s="1"/>
  <c r="CB107" i="189"/>
  <c r="BU216" i="172"/>
  <c r="BX215" i="172"/>
  <c r="AE294" i="175"/>
  <c r="AE311" i="175" s="1"/>
  <c r="AE373" i="175" s="1"/>
  <c r="AE294" i="189"/>
  <c r="AE311" i="189" s="1"/>
  <c r="AE293" i="189"/>
  <c r="AN185" i="171"/>
  <c r="AK300" i="189"/>
  <c r="AP185" i="171"/>
  <c r="AM300" i="189"/>
  <c r="AQ185" i="171"/>
  <c r="AN300" i="189"/>
  <c r="AU185" i="171"/>
  <c r="AS300" i="189"/>
  <c r="AP341" i="189"/>
  <c r="AT185" i="171"/>
  <c r="AR300" i="189"/>
  <c r="AR303" i="189" s="1"/>
  <c r="AR185" i="171"/>
  <c r="AP300" i="189"/>
  <c r="AH373" i="189"/>
  <c r="AH384" i="189" s="1"/>
  <c r="AH315" i="189"/>
  <c r="AH317" i="189" s="1"/>
  <c r="AM317" i="189" s="1"/>
  <c r="AM10" i="175"/>
  <c r="AM60" i="175"/>
  <c r="AL10" i="175"/>
  <c r="AM65" i="175"/>
  <c r="AP89" i="175"/>
  <c r="AP90" i="175"/>
  <c r="AR89" i="175"/>
  <c r="AR90" i="175"/>
  <c r="AV88" i="175"/>
  <c r="AW90" i="175" s="1"/>
  <c r="AU93" i="175"/>
  <c r="AU88" i="175"/>
  <c r="AU89" i="175" s="1"/>
  <c r="AW89" i="175"/>
  <c r="AT20" i="175"/>
  <c r="BW24" i="175"/>
  <c r="AU83" i="175"/>
  <c r="AZ102" i="175"/>
  <c r="AY101" i="175"/>
  <c r="BJ38" i="9"/>
  <c r="BK38" i="9" s="1"/>
  <c r="BE218" i="172"/>
  <c r="EC66" i="8"/>
  <c r="AK18" i="9"/>
  <c r="AL18" i="9" s="1"/>
  <c r="FO38" i="9"/>
  <c r="BC170" i="175"/>
  <c r="BC175" i="175" s="1"/>
  <c r="BC172" i="175"/>
  <c r="BC24" i="175"/>
  <c r="BT264" i="172"/>
  <c r="BT265" i="172" s="1"/>
  <c r="AZ218" i="172"/>
  <c r="AN234" i="172"/>
  <c r="AP254" i="172"/>
  <c r="DJ250" i="172"/>
  <c r="BJ218" i="172"/>
  <c r="AU268" i="172"/>
  <c r="BR266" i="172"/>
  <c r="BQ253" i="172"/>
  <c r="AK235" i="172"/>
  <c r="BQ266" i="172"/>
  <c r="AB249" i="172"/>
  <c r="V251" i="172"/>
  <c r="AP229" i="172"/>
  <c r="BO230" i="172"/>
  <c r="BO231" i="172" s="1"/>
  <c r="AS233" i="172"/>
  <c r="AU229" i="172"/>
  <c r="X249" i="172"/>
  <c r="W254" i="172"/>
  <c r="BS247" i="172"/>
  <c r="V246" i="172"/>
  <c r="DH250" i="172"/>
  <c r="DH251" i="172" s="1"/>
  <c r="CO161" i="172"/>
  <c r="CS162" i="172"/>
  <c r="I226" i="172"/>
  <c r="EE115" i="135"/>
  <c r="AU249" i="172"/>
  <c r="DX11" i="12"/>
  <c r="DY45" i="9"/>
  <c r="FB29" i="8"/>
  <c r="FB19" i="8"/>
  <c r="BQ214" i="171"/>
  <c r="AP183" i="171"/>
  <c r="CY182" i="171"/>
  <c r="CY184" i="171" s="1"/>
  <c r="CG179" i="171"/>
  <c r="AU184" i="171"/>
  <c r="CI33" i="171"/>
  <c r="DN57" i="135"/>
  <c r="DV45" i="9"/>
  <c r="EA45" i="9"/>
  <c r="DL45" i="9"/>
  <c r="DQ45" i="9"/>
  <c r="AY14" i="171"/>
  <c r="AU16" i="171"/>
  <c r="CI14" i="171"/>
  <c r="CI15" i="171" s="1"/>
  <c r="AR32" i="175"/>
  <c r="BG259" i="172"/>
  <c r="AD132" i="171"/>
  <c r="AD72" i="171"/>
  <c r="DA44" i="171"/>
  <c r="AC108" i="171"/>
  <c r="AC111" i="171" s="1"/>
  <c r="AC132" i="171"/>
  <c r="AC78" i="171"/>
  <c r="AC80" i="171" s="1"/>
  <c r="AN300" i="175"/>
  <c r="AN303" i="175" s="1"/>
  <c r="AQ184" i="171"/>
  <c r="AC156" i="171"/>
  <c r="AC158" i="171" s="1"/>
  <c r="AC72" i="171"/>
  <c r="AC74" i="171" s="1"/>
  <c r="BD145" i="171"/>
  <c r="BD127" i="171" s="1"/>
  <c r="BD174" i="171" s="1"/>
  <c r="AS217" i="171"/>
  <c r="AS213" i="171" s="1"/>
  <c r="AS216" i="171"/>
  <c r="AR300" i="175"/>
  <c r="AR303" i="175" s="1"/>
  <c r="AC138" i="171"/>
  <c r="AC141" i="171" s="1"/>
  <c r="AT217" i="171"/>
  <c r="AT213" i="171" s="1"/>
  <c r="AT216" i="171"/>
  <c r="BO265" i="172"/>
  <c r="BO269" i="172"/>
  <c r="BO270" i="172" s="1"/>
  <c r="BQ227" i="172"/>
  <c r="BP516" i="172"/>
  <c r="BP517" i="172" s="1"/>
  <c r="AP135" i="175"/>
  <c r="AY24" i="9"/>
  <c r="BK21" i="9"/>
  <c r="V35" i="9"/>
  <c r="V39" i="9" s="1"/>
  <c r="FR40" i="9"/>
  <c r="ED54" i="9"/>
  <c r="K24" i="9"/>
  <c r="DN11" i="12"/>
  <c r="C52" i="141"/>
  <c r="AO39" i="9"/>
  <c r="CT57" i="135"/>
  <c r="ED45" i="9"/>
  <c r="GC45" i="9"/>
  <c r="EV69" i="12"/>
  <c r="EV29" i="12" s="1"/>
  <c r="AZ29" i="9"/>
  <c r="BA29" i="9" s="1"/>
  <c r="BA33" i="9" s="1"/>
  <c r="BA35" i="9"/>
  <c r="BA66" i="8" s="1"/>
  <c r="BA125" i="175"/>
  <c r="BA127" i="175" s="1"/>
  <c r="AU127" i="175"/>
  <c r="BW35" i="175"/>
  <c r="AY317" i="175"/>
  <c r="AO313" i="175"/>
  <c r="AU24" i="175"/>
  <c r="AU396" i="175"/>
  <c r="AU398" i="175" s="1"/>
  <c r="AT168" i="175"/>
  <c r="AF245" i="175"/>
  <c r="AF249" i="175" s="1"/>
  <c r="AF253" i="175" s="1"/>
  <c r="P268" i="175"/>
  <c r="AX24" i="175"/>
  <c r="AW149" i="175"/>
  <c r="AI72" i="171"/>
  <c r="AI75" i="171" s="1"/>
  <c r="DK260" i="172"/>
  <c r="AX223" i="171"/>
  <c r="AW225" i="171"/>
  <c r="AW233" i="171" s="1"/>
  <c r="AW227" i="171" s="1"/>
  <c r="AW224" i="171"/>
  <c r="AI102" i="171"/>
  <c r="AI104" i="171" s="1"/>
  <c r="BB14" i="171"/>
  <c r="AM220" i="171"/>
  <c r="AL215" i="171"/>
  <c r="AL219" i="171"/>
  <c r="AL222" i="171"/>
  <c r="AL221" i="171"/>
  <c r="AO183" i="171"/>
  <c r="AH114" i="171"/>
  <c r="AH117" i="171" s="1"/>
  <c r="AD156" i="171"/>
  <c r="AD159" i="171" s="1"/>
  <c r="AD102" i="171"/>
  <c r="AD104" i="171" s="1"/>
  <c r="AX16" i="171"/>
  <c r="BG214" i="172"/>
  <c r="BG302" i="172" s="1"/>
  <c r="AD138" i="171"/>
  <c r="AD141" i="171" s="1"/>
  <c r="AD96" i="171"/>
  <c r="AH98" i="171" s="1"/>
  <c r="AG158" i="175"/>
  <c r="AL159" i="175" s="1"/>
  <c r="AG300" i="175"/>
  <c r="AG303" i="175" s="1"/>
  <c r="AL303" i="175" s="1"/>
  <c r="AV19" i="171"/>
  <c r="AU340" i="189" s="1"/>
  <c r="BA14" i="171"/>
  <c r="AD114" i="171"/>
  <c r="AD117" i="171" s="1"/>
  <c r="AK184" i="171"/>
  <c r="EE133" i="135"/>
  <c r="ED132" i="135"/>
  <c r="AP233" i="172"/>
  <c r="BL259" i="172"/>
  <c r="AT233" i="172"/>
  <c r="AT234" i="172" s="1"/>
  <c r="BE229" i="172"/>
  <c r="AC249" i="172"/>
  <c r="AF24" i="9"/>
  <c r="BP13" i="9"/>
  <c r="BJ35" i="9"/>
  <c r="FP35" i="9" s="1"/>
  <c r="GA25" i="9"/>
  <c r="DW45" i="9"/>
  <c r="EB45" i="9"/>
  <c r="CY57" i="135"/>
  <c r="FR14" i="9"/>
  <c r="BP32" i="9"/>
  <c r="F59" i="141"/>
  <c r="BX59" i="135"/>
  <c r="BZ59" i="135" s="1"/>
  <c r="BE35" i="9"/>
  <c r="BE39" i="9" s="1"/>
  <c r="DN25" i="9"/>
  <c r="DN54" i="9" s="1"/>
  <c r="EG7" i="8"/>
  <c r="V42" i="8"/>
  <c r="CC7" i="8"/>
  <c r="AR21" i="175"/>
  <c r="AW21" i="175"/>
  <c r="DP61" i="12"/>
  <c r="AL175" i="175"/>
  <c r="AL360" i="175" s="1"/>
  <c r="DP59" i="135"/>
  <c r="AO20" i="175"/>
  <c r="DP53" i="12"/>
  <c r="DP67" i="12" s="1"/>
  <c r="DP11" i="12" s="1"/>
  <c r="DS11" i="12" s="1"/>
  <c r="CY44" i="135"/>
  <c r="AQ21" i="175"/>
  <c r="AV21" i="175"/>
  <c r="AS21" i="175"/>
  <c r="AX21" i="175"/>
  <c r="AV396" i="175"/>
  <c r="AV322" i="175" s="1"/>
  <c r="AU21" i="175"/>
  <c r="ED76" i="8"/>
  <c r="DT76" i="8"/>
  <c r="DY76" i="8"/>
  <c r="CD21" i="8"/>
  <c r="CE14" i="8"/>
  <c r="CF42" i="8"/>
  <c r="CF7" i="8" s="1"/>
  <c r="DU45" i="9"/>
  <c r="DI54" i="135"/>
  <c r="DT45" i="9"/>
  <c r="EF54" i="9"/>
  <c r="CB16" i="12"/>
  <c r="CC7" i="12" s="1"/>
  <c r="CC16" i="12" s="1"/>
  <c r="CD7" i="12" s="1"/>
  <c r="CD20" i="12" s="1"/>
  <c r="CF16" i="12" s="1"/>
  <c r="CG7" i="12" s="1"/>
  <c r="CG20" i="12" s="1"/>
  <c r="BN24" i="9"/>
  <c r="DP54" i="9"/>
  <c r="DU55" i="9" s="1"/>
  <c r="DO45" i="9"/>
  <c r="GC27" i="9"/>
  <c r="GC33" i="9" s="1"/>
  <c r="AK39" i="9"/>
  <c r="BF14" i="9"/>
  <c r="EH25" i="9"/>
  <c r="AP35" i="9"/>
  <c r="AP39" i="9" s="1"/>
  <c r="BK40" i="9"/>
  <c r="Q36" i="9"/>
  <c r="Q39" i="9" s="1"/>
  <c r="CG14" i="9"/>
  <c r="FT14" i="9" s="1"/>
  <c r="EN37" i="135"/>
  <c r="AZ26" i="175"/>
  <c r="AZ38" i="175"/>
  <c r="AZ127" i="175"/>
  <c r="AZ91" i="175"/>
  <c r="AU91" i="189" s="1"/>
  <c r="AU84" i="175"/>
  <c r="AZ85" i="175" s="1"/>
  <c r="Q279" i="172"/>
  <c r="EC59" i="135"/>
  <c r="AZ147" i="175"/>
  <c r="AZ148" i="175" s="1"/>
  <c r="W292" i="172"/>
  <c r="AS239" i="172"/>
  <c r="AU239" i="172" s="1"/>
  <c r="AU240" i="172" s="1"/>
  <c r="AH404" i="175"/>
  <c r="AH408" i="175" s="1"/>
  <c r="AN241" i="172"/>
  <c r="AP241" i="172" s="1"/>
  <c r="AP242" i="172" s="1"/>
  <c r="BE285" i="172"/>
  <c r="BF19" i="9"/>
  <c r="FO19" i="9"/>
  <c r="AV31" i="9"/>
  <c r="DV17" i="7"/>
  <c r="GB17" i="7" s="1"/>
  <c r="BC289" i="172"/>
  <c r="BB289" i="172"/>
  <c r="BB288" i="172"/>
  <c r="BT43" i="172"/>
  <c r="BD287" i="172"/>
  <c r="BI285" i="172"/>
  <c r="AY239" i="172"/>
  <c r="AT241" i="172"/>
  <c r="AT240" i="172"/>
  <c r="EH113" i="135"/>
  <c r="EF115" i="135"/>
  <c r="BA200" i="175"/>
  <c r="BA205" i="175" s="1"/>
  <c r="BA113" i="175" s="1"/>
  <c r="BA34" i="175" s="1"/>
  <c r="AN397" i="175"/>
  <c r="EB10" i="7"/>
  <c r="GC8" i="7"/>
  <c r="EA28" i="7"/>
  <c r="EA9" i="7"/>
  <c r="EA31" i="7"/>
  <c r="EF9" i="7"/>
  <c r="EA18" i="7"/>
  <c r="BM62" i="172" s="1"/>
  <c r="EA25" i="7"/>
  <c r="EA35" i="7"/>
  <c r="EA10" i="7"/>
  <c r="CH171" i="7"/>
  <c r="CH174" i="7"/>
  <c r="CH170" i="7"/>
  <c r="CH31" i="7"/>
  <c r="CH173" i="7"/>
  <c r="CH25" i="7"/>
  <c r="CH172" i="7"/>
  <c r="CH18" i="7"/>
  <c r="CH28" i="7"/>
  <c r="CH35" i="7"/>
  <c r="DD28" i="7"/>
  <c r="DD31" i="7"/>
  <c r="DD25" i="7"/>
  <c r="DD18" i="7"/>
  <c r="DD35" i="7"/>
  <c r="CW37" i="7"/>
  <c r="CW19" i="7"/>
  <c r="W211" i="172"/>
  <c r="W234" i="172"/>
  <c r="CL8" i="7"/>
  <c r="FT8" i="7" s="1"/>
  <c r="CS8" i="7"/>
  <c r="CS46" i="8" s="1"/>
  <c r="CP8" i="7"/>
  <c r="CP90" i="8" s="1"/>
  <c r="CQ8" i="7"/>
  <c r="CV9" i="7" s="1"/>
  <c r="V274" i="172"/>
  <c r="BR100" i="172"/>
  <c r="P228" i="172"/>
  <c r="U229" i="172" s="1"/>
  <c r="CD12" i="7"/>
  <c r="FS12" i="7" s="1"/>
  <c r="FS14" i="7"/>
  <c r="CZ37" i="7"/>
  <c r="CZ19" i="7"/>
  <c r="FY25" i="7"/>
  <c r="FY28" i="7"/>
  <c r="FY31" i="7"/>
  <c r="FY35" i="7"/>
  <c r="FY171" i="7"/>
  <c r="FY174" i="7"/>
  <c r="FY170" i="7"/>
  <c r="FY173" i="7"/>
  <c r="FY9" i="7"/>
  <c r="FY18" i="7"/>
  <c r="FY172" i="7"/>
  <c r="FW174" i="7"/>
  <c r="FW170" i="7"/>
  <c r="FW173" i="7"/>
  <c r="FW18" i="7"/>
  <c r="FW172" i="7"/>
  <c r="FW31" i="7"/>
  <c r="FW25" i="7"/>
  <c r="FW171" i="7"/>
  <c r="FW28" i="7"/>
  <c r="FW35" i="7"/>
  <c r="DR37" i="7"/>
  <c r="DR19" i="7"/>
  <c r="DM37" i="7"/>
  <c r="DM19" i="7"/>
  <c r="DH19" i="7"/>
  <c r="DH37" i="7"/>
  <c r="DI31" i="7"/>
  <c r="DI28" i="7"/>
  <c r="DI35" i="7"/>
  <c r="DI18" i="7"/>
  <c r="DI9" i="7"/>
  <c r="DI25" i="7"/>
  <c r="DU17" i="7"/>
  <c r="DK19" i="7"/>
  <c r="DK37" i="7"/>
  <c r="CM18" i="7"/>
  <c r="CM173" i="7"/>
  <c r="CM25" i="7"/>
  <c r="CM172" i="7"/>
  <c r="CM28" i="7"/>
  <c r="CM171" i="7"/>
  <c r="CM9" i="7"/>
  <c r="CM174" i="7"/>
  <c r="CM170" i="7"/>
  <c r="CM31" i="7"/>
  <c r="CM35" i="7"/>
  <c r="DQ37" i="7"/>
  <c r="DQ19" i="7"/>
  <c r="DA19" i="7"/>
  <c r="DA37" i="7"/>
  <c r="DS9" i="7"/>
  <c r="DS25" i="7"/>
  <c r="DS31" i="7"/>
  <c r="DS18" i="7"/>
  <c r="DS35" i="7"/>
  <c r="DS28" i="7"/>
  <c r="DY9" i="7"/>
  <c r="DY18" i="7"/>
  <c r="BK62" i="172" s="1"/>
  <c r="EC8" i="7"/>
  <c r="DY25" i="7"/>
  <c r="ED9" i="7"/>
  <c r="DY10" i="7"/>
  <c r="DY28" i="7"/>
  <c r="DY35" i="7"/>
  <c r="DY31" i="7"/>
  <c r="GB8" i="7"/>
  <c r="DZ28" i="7"/>
  <c r="EE9" i="7"/>
  <c r="DZ31" i="7"/>
  <c r="DZ35" i="7"/>
  <c r="DZ25" i="7"/>
  <c r="DZ10" i="7"/>
  <c r="DZ18" i="7"/>
  <c r="BL62" i="172" s="1"/>
  <c r="DZ9" i="7"/>
  <c r="W225" i="172"/>
  <c r="W245" i="172"/>
  <c r="AS241" i="172"/>
  <c r="AU136" i="175"/>
  <c r="AZ137" i="175" s="1"/>
  <c r="CV18" i="7"/>
  <c r="CV25" i="7"/>
  <c r="CV173" i="7"/>
  <c r="CV28" i="7"/>
  <c r="CV172" i="7"/>
  <c r="CV170" i="7"/>
  <c r="CV31" i="7"/>
  <c r="CV35" i="7"/>
  <c r="CV174" i="7"/>
  <c r="CV171" i="7"/>
  <c r="CI172" i="7"/>
  <c r="CI28" i="7"/>
  <c r="CI171" i="7"/>
  <c r="CI174" i="7"/>
  <c r="CI170" i="7"/>
  <c r="CI18" i="7"/>
  <c r="CI10" i="7"/>
  <c r="CI173" i="7"/>
  <c r="CI25" i="7"/>
  <c r="CI31" i="7"/>
  <c r="CI35" i="7"/>
  <c r="CF8" i="7"/>
  <c r="CF63" i="135" s="1"/>
  <c r="CG8" i="7"/>
  <c r="CG63" i="135" s="1"/>
  <c r="BR105" i="172"/>
  <c r="AF218" i="172"/>
  <c r="AZ268" i="172"/>
  <c r="DG19" i="7"/>
  <c r="DG37" i="7"/>
  <c r="DT37" i="7"/>
  <c r="DT19" i="7"/>
  <c r="DX35" i="7"/>
  <c r="DX28" i="7"/>
  <c r="DX25" i="7"/>
  <c r="DX31" i="7"/>
  <c r="DX9" i="7"/>
  <c r="DO37" i="7"/>
  <c r="DO19" i="7"/>
  <c r="DC37" i="7"/>
  <c r="DC19" i="7"/>
  <c r="DF37" i="7"/>
  <c r="DF19" i="7"/>
  <c r="CN8" i="7"/>
  <c r="CN46" i="8" s="1"/>
  <c r="CK25" i="7"/>
  <c r="CK10" i="7"/>
  <c r="CK173" i="7"/>
  <c r="CK28" i="7"/>
  <c r="CK172" i="7"/>
  <c r="CK18" i="7"/>
  <c r="CK171" i="7"/>
  <c r="CK174" i="7"/>
  <c r="CK170" i="7"/>
  <c r="CK31" i="7"/>
  <c r="CK35" i="7"/>
  <c r="Q276" i="172"/>
  <c r="CE15" i="7"/>
  <c r="DL19" i="7"/>
  <c r="DL37" i="7"/>
  <c r="CX19" i="7"/>
  <c r="CX37" i="7"/>
  <c r="DN25" i="7"/>
  <c r="DN31" i="7"/>
  <c r="DN28" i="7"/>
  <c r="DN18" i="7"/>
  <c r="DN9" i="7"/>
  <c r="DN35" i="7"/>
  <c r="DP37" i="7"/>
  <c r="DP19" i="7"/>
  <c r="CH246" i="172"/>
  <c r="CM246" i="172" s="1"/>
  <c r="CR246" i="172" s="1"/>
  <c r="CW246" i="172" s="1"/>
  <c r="W273" i="172"/>
  <c r="W383" i="172"/>
  <c r="W375" i="172" s="1"/>
  <c r="CR35" i="7"/>
  <c r="CR171" i="7"/>
  <c r="CR25" i="7"/>
  <c r="CR170" i="7"/>
  <c r="CR173" i="7"/>
  <c r="CR174" i="7"/>
  <c r="CR18" i="7"/>
  <c r="CR172" i="7"/>
  <c r="CR28" i="7"/>
  <c r="CR9" i="7"/>
  <c r="CR31" i="7"/>
  <c r="CU8" i="7"/>
  <c r="AQ136" i="175"/>
  <c r="BR134" i="172"/>
  <c r="BS147" i="172"/>
  <c r="V297" i="172"/>
  <c r="V245" i="172" s="1"/>
  <c r="BR149" i="172"/>
  <c r="BR203" i="172"/>
  <c r="DA9" i="7"/>
  <c r="DW37" i="7"/>
  <c r="DW19" i="7"/>
  <c r="FX25" i="7"/>
  <c r="FX171" i="7"/>
  <c r="FX9" i="7"/>
  <c r="FX174" i="7"/>
  <c r="FX173" i="7"/>
  <c r="FX172" i="7"/>
  <c r="FX18" i="7"/>
  <c r="FX31" i="7"/>
  <c r="FX170" i="7"/>
  <c r="FX28" i="7"/>
  <c r="FX35" i="7"/>
  <c r="DB37" i="7"/>
  <c r="DB19" i="7"/>
  <c r="GA35" i="7"/>
  <c r="GA28" i="7"/>
  <c r="GA31" i="7"/>
  <c r="GA25" i="7"/>
  <c r="GA9" i="7"/>
  <c r="FZ31" i="7"/>
  <c r="FZ25" i="7"/>
  <c r="FZ28" i="7"/>
  <c r="FZ35" i="7"/>
  <c r="FZ18" i="7"/>
  <c r="FZ9" i="7"/>
  <c r="DJ37" i="7"/>
  <c r="DJ19" i="7"/>
  <c r="DE37" i="7"/>
  <c r="DE19" i="7"/>
  <c r="AJ24" i="9"/>
  <c r="BD27" i="9"/>
  <c r="FQ37" i="9"/>
  <c r="BE24" i="9"/>
  <c r="BO39" i="9"/>
  <c r="V29" i="9"/>
  <c r="W29" i="9" s="1"/>
  <c r="W33" i="9" s="1"/>
  <c r="AF37" i="9"/>
  <c r="AG37" i="9" s="1"/>
  <c r="DI11" i="12"/>
  <c r="BI27" i="9"/>
  <c r="GD25" i="9"/>
  <c r="FQ29" i="9"/>
  <c r="DX57" i="135"/>
  <c r="AL17" i="9"/>
  <c r="BD24" i="9"/>
  <c r="DJ17" i="12"/>
  <c r="DI13" i="12"/>
  <c r="GC54" i="9"/>
  <c r="BD66" i="8"/>
  <c r="FP11" i="9"/>
  <c r="AE39" i="9"/>
  <c r="BI33" i="9"/>
  <c r="AQ151" i="175"/>
  <c r="DY132" i="135"/>
  <c r="EF154" i="135"/>
  <c r="EF155" i="135" s="1"/>
  <c r="AN398" i="175"/>
  <c r="AO165" i="175"/>
  <c r="AO164" i="175" s="1"/>
  <c r="AP164" i="175" s="1"/>
  <c r="AQ164" i="175" s="1"/>
  <c r="CO48" i="135"/>
  <c r="DX44" i="135"/>
  <c r="AS136" i="175"/>
  <c r="DH17" i="12"/>
  <c r="DI17" i="12" s="1"/>
  <c r="AG398" i="175"/>
  <c r="CJ54" i="135"/>
  <c r="EH58" i="7"/>
  <c r="EM59" i="7" s="1"/>
  <c r="EH68" i="7"/>
  <c r="EM69" i="7" s="1"/>
  <c r="EH80" i="7"/>
  <c r="DD33" i="12"/>
  <c r="Q42" i="8"/>
  <c r="R42" i="8" s="1"/>
  <c r="CT44" i="135"/>
  <c r="DD65" i="123"/>
  <c r="DD66" i="123" s="1"/>
  <c r="DD67" i="123" s="1"/>
  <c r="DH274" i="172"/>
  <c r="BC94" i="175"/>
  <c r="AM175" i="175"/>
  <c r="AM360" i="175" s="1"/>
  <c r="EM29" i="12"/>
  <c r="EM11" i="12"/>
  <c r="BF21" i="9"/>
  <c r="BF30" i="9"/>
  <c r="FO30" i="9"/>
  <c r="BP21" i="9"/>
  <c r="BK31" i="9"/>
  <c r="FO36" i="9"/>
  <c r="EC44" i="135"/>
  <c r="BO248" i="172"/>
  <c r="BO249" i="172" s="1"/>
  <c r="AF245" i="172"/>
  <c r="AQ135" i="175"/>
  <c r="AF211" i="172"/>
  <c r="BO28" i="172"/>
  <c r="BO85" i="172"/>
  <c r="W433" i="175"/>
  <c r="BT53" i="172"/>
  <c r="AF254" i="172"/>
  <c r="AF292" i="172"/>
  <c r="AN324" i="175"/>
  <c r="AN404" i="175" s="1"/>
  <c r="AN405" i="175" s="1"/>
  <c r="DK90" i="8"/>
  <c r="DK46" i="8"/>
  <c r="AF225" i="172"/>
  <c r="AF273" i="172"/>
  <c r="BO38" i="172"/>
  <c r="DA272" i="172"/>
  <c r="DB274" i="172" s="1"/>
  <c r="AZ229" i="172"/>
  <c r="DK91" i="8"/>
  <c r="BP129" i="172"/>
  <c r="BG301" i="172"/>
  <c r="AX239" i="172"/>
  <c r="BC239" i="172" s="1"/>
  <c r="BR230" i="172"/>
  <c r="BR228" i="172" s="1"/>
  <c r="BR229" i="172" s="1"/>
  <c r="CX63" i="135"/>
  <c r="CX69" i="135" s="1"/>
  <c r="DU91" i="8"/>
  <c r="BG142" i="172"/>
  <c r="BG203" i="172" s="1"/>
  <c r="CX46" i="8"/>
  <c r="CN31" i="8"/>
  <c r="CO31" i="8" s="1"/>
  <c r="AS240" i="172"/>
  <c r="AU131" i="175"/>
  <c r="AZ132" i="175" s="1"/>
  <c r="P231" i="172"/>
  <c r="EF133" i="135"/>
  <c r="BR227" i="172"/>
  <c r="BE249" i="172"/>
  <c r="W249" i="172"/>
  <c r="EB143" i="135"/>
  <c r="DE160" i="135"/>
  <c r="EG154" i="135"/>
  <c r="EG155" i="135" s="1"/>
  <c r="EG143" i="135"/>
  <c r="EA154" i="135"/>
  <c r="EA155" i="135" s="1"/>
  <c r="EA143" i="135"/>
  <c r="DZ154" i="135"/>
  <c r="DZ155" i="135" s="1"/>
  <c r="AU38" i="175"/>
  <c r="BX38" i="175" s="1"/>
  <c r="BX125" i="175"/>
  <c r="BX126" i="175" s="1"/>
  <c r="AV24" i="175"/>
  <c r="AV127" i="175"/>
  <c r="AI272" i="175"/>
  <c r="AN239" i="175"/>
  <c r="AO239" i="175" s="1"/>
  <c r="AI245" i="175"/>
  <c r="AI249" i="175" s="1"/>
  <c r="AI253" i="175" s="1"/>
  <c r="AP352" i="175"/>
  <c r="AI263" i="175"/>
  <c r="AI264" i="175" s="1"/>
  <c r="AQ352" i="175"/>
  <c r="AT24" i="175"/>
  <c r="AV201" i="175"/>
  <c r="AS217" i="175"/>
  <c r="AS218" i="175" s="1"/>
  <c r="AX219" i="175" s="1"/>
  <c r="AS122" i="175"/>
  <c r="FP31" i="9"/>
  <c r="AG33" i="9"/>
  <c r="BZ31" i="9"/>
  <c r="BK13" i="9"/>
  <c r="FP13" i="9"/>
  <c r="BJ136" i="172"/>
  <c r="AU273" i="172"/>
  <c r="DC91" i="8"/>
  <c r="DC46" i="8"/>
  <c r="AP236" i="172"/>
  <c r="AP237" i="172" s="1"/>
  <c r="AS234" i="172"/>
  <c r="BS227" i="172"/>
  <c r="Q274" i="172"/>
  <c r="DZ133" i="135"/>
  <c r="BE178" i="172"/>
  <c r="DC63" i="135"/>
  <c r="DC69" i="135" s="1"/>
  <c r="DJ189" i="172"/>
  <c r="DJ190" i="172" s="1"/>
  <c r="DC90" i="8"/>
  <c r="EE132" i="135"/>
  <c r="AU113" i="175"/>
  <c r="AU206" i="175"/>
  <c r="AQ27" i="175"/>
  <c r="BW25" i="175"/>
  <c r="AV206" i="175"/>
  <c r="AV113" i="175"/>
  <c r="AX206" i="175"/>
  <c r="AX113" i="175"/>
  <c r="AP27" i="175"/>
  <c r="AP217" i="175"/>
  <c r="AP218" i="175" s="1"/>
  <c r="AP122" i="175"/>
  <c r="AO37" i="175"/>
  <c r="AS397" i="175"/>
  <c r="AL397" i="175"/>
  <c r="AX396" i="175"/>
  <c r="AR173" i="175"/>
  <c r="AM303" i="175"/>
  <c r="AM398" i="175"/>
  <c r="AS398" i="175"/>
  <c r="AJ329" i="175"/>
  <c r="AO18" i="175"/>
  <c r="BB172" i="175"/>
  <c r="BD167" i="175"/>
  <c r="AI156" i="171"/>
  <c r="AI158" i="171" s="1"/>
  <c r="AI114" i="171"/>
  <c r="AI117" i="171" s="1"/>
  <c r="CY179" i="171"/>
  <c r="AM109" i="175"/>
  <c r="AI108" i="171"/>
  <c r="AI111" i="171" s="1"/>
  <c r="AI138" i="171"/>
  <c r="AI141" i="171" s="1"/>
  <c r="AI96" i="171"/>
  <c r="AI98" i="171" s="1"/>
  <c r="CG177" i="171"/>
  <c r="AI132" i="171"/>
  <c r="AI134" i="171" s="1"/>
  <c r="P194" i="171"/>
  <c r="P167" i="171"/>
  <c r="P171" i="171" s="1"/>
  <c r="CJ167" i="172"/>
  <c r="CM167" i="172"/>
  <c r="AG249" i="172"/>
  <c r="O228" i="172"/>
  <c r="T229" i="172" s="1"/>
  <c r="O231" i="172"/>
  <c r="T226" i="172"/>
  <c r="AI249" i="172"/>
  <c r="DB244" i="172"/>
  <c r="DB246" i="172" s="1"/>
  <c r="AA246" i="172"/>
  <c r="V248" i="172"/>
  <c r="V249" i="172" s="1"/>
  <c r="BJ229" i="172"/>
  <c r="P227" i="172"/>
  <c r="R227" i="172"/>
  <c r="U226" i="172"/>
  <c r="R249" i="172"/>
  <c r="BO14" i="172"/>
  <c r="AO134" i="175"/>
  <c r="L279" i="172"/>
  <c r="BJ190" i="172"/>
  <c r="BJ194" i="172"/>
  <c r="AO100" i="175"/>
  <c r="AS366" i="175"/>
  <c r="AS226" i="175"/>
  <c r="AM329" i="175"/>
  <c r="BW331" i="175"/>
  <c r="AM422" i="175"/>
  <c r="AR321" i="175"/>
  <c r="AR392" i="175" s="1"/>
  <c r="AM392" i="175"/>
  <c r="AM404" i="175"/>
  <c r="AR324" i="175"/>
  <c r="AS46" i="175"/>
  <c r="AP329" i="175"/>
  <c r="AT329" i="175" s="1"/>
  <c r="AP422" i="175"/>
  <c r="AU422" i="175" s="1"/>
  <c r="AP366" i="175"/>
  <c r="AR224" i="175"/>
  <c r="AR225" i="175"/>
  <c r="AR122" i="175" s="1"/>
  <c r="CP46" i="8"/>
  <c r="AT331" i="175"/>
  <c r="AG35" i="9"/>
  <c r="AG66" i="8" s="1"/>
  <c r="AA66" i="8"/>
  <c r="AA39" i="9"/>
  <c r="P33" i="9"/>
  <c r="FS37" i="9"/>
  <c r="FS39" i="9" s="1"/>
  <c r="BZ37" i="9"/>
  <c r="BZ39" i="9" s="1"/>
  <c r="BF22" i="9"/>
  <c r="FO22" i="9"/>
  <c r="H29" i="9"/>
  <c r="H33" i="9" s="1"/>
  <c r="G33" i="9"/>
  <c r="M29" i="9"/>
  <c r="L33" i="9"/>
  <c r="AF36" i="9"/>
  <c r="DR45" i="9"/>
  <c r="AZ39" i="9"/>
  <c r="BY39" i="9"/>
  <c r="AA29" i="9"/>
  <c r="Z33" i="9"/>
  <c r="R29" i="9"/>
  <c r="Q33" i="9"/>
  <c r="AJ39" i="9"/>
  <c r="BS33" i="9"/>
  <c r="BY33" i="9"/>
  <c r="BN33" i="9"/>
  <c r="AZ20" i="9"/>
  <c r="BA20" i="9" s="1"/>
  <c r="L39" i="9"/>
  <c r="M35" i="9"/>
  <c r="M39" i="9" s="1"/>
  <c r="BD33" i="9"/>
  <c r="G39" i="9"/>
  <c r="H35" i="9"/>
  <c r="AT33" i="9"/>
  <c r="BF29" i="9"/>
  <c r="BE33" i="9"/>
  <c r="AJ33" i="9"/>
  <c r="U39" i="9"/>
  <c r="AU30" i="9"/>
  <c r="AV30" i="9" s="1"/>
  <c r="K33" i="9"/>
  <c r="AF33" i="9"/>
  <c r="AU29" i="9"/>
  <c r="D52" i="141"/>
  <c r="EV57" i="135"/>
  <c r="FA56" i="135"/>
  <c r="FF56" i="135" s="1"/>
  <c r="FK56" i="135" s="1"/>
  <c r="EX56" i="135"/>
  <c r="FC56" i="135" s="1"/>
  <c r="EZ56" i="135"/>
  <c r="FE56" i="135" s="1"/>
  <c r="FJ56" i="135" s="1"/>
  <c r="CE33" i="12"/>
  <c r="EW19" i="8"/>
  <c r="CY48" i="135"/>
  <c r="EW29" i="8"/>
  <c r="S167" i="171"/>
  <c r="S194" i="171"/>
  <c r="J194" i="171"/>
  <c r="J167" i="171"/>
  <c r="J171" i="171" s="1"/>
  <c r="V194" i="171"/>
  <c r="V167" i="171"/>
  <c r="V171" i="171" s="1"/>
  <c r="AS108" i="175"/>
  <c r="AS109" i="175"/>
  <c r="AS32" i="175"/>
  <c r="BS39" i="172"/>
  <c r="BN39" i="172"/>
  <c r="BP40" i="172"/>
  <c r="AC433" i="175"/>
  <c r="BC142" i="172"/>
  <c r="BC203" i="172" s="1"/>
  <c r="DQ46" i="8"/>
  <c r="DQ91" i="8"/>
  <c r="DQ90" i="8"/>
  <c r="AH84" i="171"/>
  <c r="AH90" i="171"/>
  <c r="AH120" i="171"/>
  <c r="U87" i="171"/>
  <c r="U86" i="171"/>
  <c r="AE86" i="171"/>
  <c r="AE87" i="171"/>
  <c r="L359" i="172"/>
  <c r="L329" i="172"/>
  <c r="O93" i="171"/>
  <c r="O92" i="171"/>
  <c r="CR90" i="171"/>
  <c r="F93" i="171"/>
  <c r="AH108" i="171"/>
  <c r="AH111" i="171" s="1"/>
  <c r="AH132" i="171"/>
  <c r="AH135" i="171" s="1"/>
  <c r="AH102" i="171"/>
  <c r="F194" i="171"/>
  <c r="F167" i="171"/>
  <c r="F171" i="171" s="1"/>
  <c r="AA167" i="171"/>
  <c r="AA171" i="171" s="1"/>
  <c r="AA194" i="171"/>
  <c r="U194" i="171"/>
  <c r="U167" i="171"/>
  <c r="U171" i="171" s="1"/>
  <c r="M194" i="171"/>
  <c r="M167" i="171"/>
  <c r="M171" i="171" s="1"/>
  <c r="CV141" i="171"/>
  <c r="CD141" i="171"/>
  <c r="Y194" i="171"/>
  <c r="Y167" i="171"/>
  <c r="AV16" i="171"/>
  <c r="BK203" i="172"/>
  <c r="BX91" i="175"/>
  <c r="BX92" i="175" s="1"/>
  <c r="EB54" i="9"/>
  <c r="EG45" i="9"/>
  <c r="AO231" i="175"/>
  <c r="AN236" i="175"/>
  <c r="AN232" i="175" s="1"/>
  <c r="AN235" i="175" s="1"/>
  <c r="AQ46" i="175"/>
  <c r="AT45" i="175"/>
  <c r="DR54" i="9"/>
  <c r="DW55" i="9" s="1"/>
  <c r="CR46" i="8"/>
  <c r="CI87" i="8"/>
  <c r="CI46" i="8"/>
  <c r="CK46" i="8"/>
  <c r="CK90" i="8"/>
  <c r="CM46" i="8"/>
  <c r="Y249" i="172"/>
  <c r="T249" i="172"/>
  <c r="AK242" i="175"/>
  <c r="AT396" i="175"/>
  <c r="BO48" i="172"/>
  <c r="AQ108" i="175"/>
  <c r="AQ109" i="175"/>
  <c r="AQ32" i="175"/>
  <c r="AC120" i="171"/>
  <c r="AC90" i="171"/>
  <c r="AC84" i="171"/>
  <c r="CI63" i="135"/>
  <c r="U93" i="171"/>
  <c r="U92" i="171"/>
  <c r="M92" i="171"/>
  <c r="M93" i="171"/>
  <c r="X86" i="171"/>
  <c r="CD84" i="171"/>
  <c r="X87" i="171"/>
  <c r="Q359" i="172"/>
  <c r="Q329" i="172"/>
  <c r="DR91" i="8"/>
  <c r="CR90" i="8"/>
  <c r="Y93" i="171"/>
  <c r="Y92" i="171"/>
  <c r="Z87" i="171"/>
  <c r="Z86" i="171"/>
  <c r="DY170" i="135"/>
  <c r="DZ169" i="135"/>
  <c r="CM63" i="135"/>
  <c r="T93" i="171"/>
  <c r="CC90" i="171"/>
  <c r="T92" i="171"/>
  <c r="BZ84" i="171"/>
  <c r="H87" i="171"/>
  <c r="W86" i="171"/>
  <c r="W87" i="171"/>
  <c r="BO33" i="9"/>
  <c r="AL422" i="175"/>
  <c r="AL329" i="175"/>
  <c r="AO331" i="175"/>
  <c r="O86" i="171"/>
  <c r="O87" i="171"/>
  <c r="G329" i="172"/>
  <c r="G359" i="172"/>
  <c r="N86" i="171"/>
  <c r="CT84" i="171"/>
  <c r="N87" i="171"/>
  <c r="F87" i="171"/>
  <c r="CR84" i="171"/>
  <c r="BZ81" i="171"/>
  <c r="CV46" i="8"/>
  <c r="CV90" i="8"/>
  <c r="AP324" i="175"/>
  <c r="AK404" i="175"/>
  <c r="BI163" i="171"/>
  <c r="BI127" i="171" s="1"/>
  <c r="BI174" i="171" s="1"/>
  <c r="BH127" i="171"/>
  <c r="BH174" i="171" s="1"/>
  <c r="M87" i="171"/>
  <c r="M86" i="171"/>
  <c r="L93" i="171"/>
  <c r="CA90" i="171"/>
  <c r="L92" i="171"/>
  <c r="P92" i="171"/>
  <c r="AA86" i="171"/>
  <c r="AA87" i="171"/>
  <c r="AF294" i="175"/>
  <c r="AJ294" i="175" s="1"/>
  <c r="S171" i="171"/>
  <c r="O167" i="171"/>
  <c r="O171" i="171" s="1"/>
  <c r="O194" i="171"/>
  <c r="K167" i="171"/>
  <c r="K171" i="171" s="1"/>
  <c r="K194" i="171"/>
  <c r="G167" i="171"/>
  <c r="G171" i="171" s="1"/>
  <c r="G194" i="171"/>
  <c r="AH156" i="171"/>
  <c r="AH159" i="171" s="1"/>
  <c r="AH78" i="171"/>
  <c r="AH81" i="171" s="1"/>
  <c r="I194" i="171"/>
  <c r="I167" i="171"/>
  <c r="I171" i="171" s="1"/>
  <c r="T194" i="171"/>
  <c r="T167" i="171"/>
  <c r="T171" i="171" s="1"/>
  <c r="CA81" i="171"/>
  <c r="L194" i="171"/>
  <c r="L167" i="171"/>
  <c r="L171" i="171" s="1"/>
  <c r="AV93" i="175"/>
  <c r="AM236" i="175"/>
  <c r="AM232" i="175" s="1"/>
  <c r="AM235" i="175" s="1"/>
  <c r="DI65" i="123"/>
  <c r="DI66" i="123" s="1"/>
  <c r="DI67" i="123" s="1"/>
  <c r="DK120" i="172"/>
  <c r="DK38" i="172"/>
  <c r="BR39" i="172"/>
  <c r="BM39" i="172"/>
  <c r="BW396" i="175"/>
  <c r="AO322" i="175"/>
  <c r="BP134" i="172"/>
  <c r="BP203" i="172"/>
  <c r="DN13" i="12"/>
  <c r="CJ39" i="9"/>
  <c r="AB433" i="175"/>
  <c r="BB142" i="172"/>
  <c r="BB203" i="172" s="1"/>
  <c r="DP46" i="8"/>
  <c r="DP91" i="8"/>
  <c r="DP90" i="8"/>
  <c r="DY38" i="135"/>
  <c r="AI120" i="171"/>
  <c r="AI90" i="171"/>
  <c r="AI84" i="171"/>
  <c r="CK63" i="135"/>
  <c r="Q93" i="171"/>
  <c r="Q92" i="171"/>
  <c r="CB90" i="171"/>
  <c r="X93" i="171"/>
  <c r="X92" i="171"/>
  <c r="CD90" i="171"/>
  <c r="BT30" i="9"/>
  <c r="BT33" i="9" s="1"/>
  <c r="DR90" i="8"/>
  <c r="CM90" i="8"/>
  <c r="AV225" i="175"/>
  <c r="T86" i="171"/>
  <c r="T87" i="171"/>
  <c r="CC84" i="171"/>
  <c r="H93" i="171"/>
  <c r="BZ90" i="171"/>
  <c r="W92" i="171"/>
  <c r="W93" i="171"/>
  <c r="ED154" i="135"/>
  <c r="ED155" i="135" s="1"/>
  <c r="BW107" i="175"/>
  <c r="AR109" i="175"/>
  <c r="DP63" i="135"/>
  <c r="DP69" i="135" s="1"/>
  <c r="CV63" i="135"/>
  <c r="CV69" i="135" s="1"/>
  <c r="S86" i="171"/>
  <c r="S87" i="171"/>
  <c r="K93" i="171"/>
  <c r="K92" i="171"/>
  <c r="AK243" i="175"/>
  <c r="R92" i="171"/>
  <c r="CU90" i="171"/>
  <c r="R93" i="171"/>
  <c r="J92" i="171"/>
  <c r="CS90" i="171"/>
  <c r="J93" i="171"/>
  <c r="EE154" i="135"/>
  <c r="EE155" i="135" s="1"/>
  <c r="R194" i="171"/>
  <c r="V195" i="171" s="1"/>
  <c r="R167" i="171"/>
  <c r="R171" i="171" s="1"/>
  <c r="N194" i="171"/>
  <c r="N167" i="171"/>
  <c r="W167" i="171"/>
  <c r="W171" i="171" s="1"/>
  <c r="W194" i="171"/>
  <c r="X194" i="171"/>
  <c r="X167" i="171"/>
  <c r="X171" i="171" s="1"/>
  <c r="BM203" i="172"/>
  <c r="AK229" i="172"/>
  <c r="AF229" i="172"/>
  <c r="AJ352" i="175"/>
  <c r="V87" i="171"/>
  <c r="V86" i="171"/>
  <c r="CV84" i="171"/>
  <c r="N92" i="171"/>
  <c r="N93" i="171"/>
  <c r="CT90" i="171"/>
  <c r="EH109" i="135"/>
  <c r="AE293" i="175"/>
  <c r="AH138" i="171"/>
  <c r="AH141" i="171" s="1"/>
  <c r="AH72" i="171"/>
  <c r="AH74" i="171" s="1"/>
  <c r="CS81" i="171"/>
  <c r="CR81" i="171"/>
  <c r="Z194" i="171"/>
  <c r="Z167" i="171"/>
  <c r="Z171" i="171" s="1"/>
  <c r="Q194" i="171"/>
  <c r="Q167" i="171"/>
  <c r="Q171" i="171" s="1"/>
  <c r="Y171" i="171"/>
  <c r="H194" i="171"/>
  <c r="H167" i="171"/>
  <c r="H171" i="171" s="1"/>
  <c r="AW16" i="171"/>
  <c r="DB14" i="171"/>
  <c r="DB15" i="171" s="1"/>
  <c r="BA91" i="175"/>
  <c r="BF91" i="189" s="1"/>
  <c r="BG93" i="189" s="1"/>
  <c r="BX25" i="175"/>
  <c r="AT25" i="175"/>
  <c r="DQ174" i="135"/>
  <c r="DR160" i="135"/>
  <c r="DV159" i="135"/>
  <c r="DQ159" i="135"/>
  <c r="DQ151" i="135"/>
  <c r="DQ165" i="135"/>
  <c r="DQ160" i="135"/>
  <c r="DQ170" i="135"/>
  <c r="DQ155" i="135"/>
  <c r="DQ63" i="135"/>
  <c r="DQ69" i="135" s="1"/>
  <c r="DQ143" i="135"/>
  <c r="DQ147" i="135"/>
  <c r="DQ47" i="135"/>
  <c r="DQ43" i="135"/>
  <c r="DQ59" i="135"/>
  <c r="DR63" i="135"/>
  <c r="DR69" i="135" s="1"/>
  <c r="DQ26" i="135"/>
  <c r="BL203" i="172"/>
  <c r="W367" i="172"/>
  <c r="GC25" i="9"/>
  <c r="AK236" i="175"/>
  <c r="AK232" i="175" s="1"/>
  <c r="AK235" i="175" s="1"/>
  <c r="AL236" i="175"/>
  <c r="AL232" i="175" s="1"/>
  <c r="AL235" i="175" s="1"/>
  <c r="FS29" i="9"/>
  <c r="CH87" i="8"/>
  <c r="CH46" i="8"/>
  <c r="DI183" i="172"/>
  <c r="DI190" i="172"/>
  <c r="AT38" i="175"/>
  <c r="AQ398" i="175"/>
  <c r="AQ397" i="175"/>
  <c r="AO45" i="175"/>
  <c r="AP46" i="175"/>
  <c r="BW45" i="175"/>
  <c r="AR46" i="175"/>
  <c r="AR27" i="175"/>
  <c r="FZ25" i="9"/>
  <c r="FP30" i="9"/>
  <c r="BJ33" i="9"/>
  <c r="E52" i="141"/>
  <c r="BP149" i="172"/>
  <c r="BU150" i="172" s="1"/>
  <c r="EC65" i="123"/>
  <c r="EC66" i="123" s="1"/>
  <c r="EC67" i="123" s="1"/>
  <c r="AL109" i="175"/>
  <c r="AL32" i="175"/>
  <c r="AO351" i="175"/>
  <c r="AM352" i="175"/>
  <c r="BW351" i="175"/>
  <c r="AR231" i="175"/>
  <c r="AR231" i="189" s="1"/>
  <c r="AR236" i="189" s="1"/>
  <c r="BR40" i="172"/>
  <c r="BQ40" i="172"/>
  <c r="BQ39" i="172"/>
  <c r="AD433" i="175"/>
  <c r="BD142" i="172"/>
  <c r="BD203" i="172" s="1"/>
  <c r="DR46" i="8"/>
  <c r="BU36" i="9"/>
  <c r="BT39" i="9"/>
  <c r="AZ249" i="172"/>
  <c r="AR351" i="175"/>
  <c r="AE329" i="175"/>
  <c r="AE422" i="175"/>
  <c r="AD84" i="171"/>
  <c r="AD90" i="171"/>
  <c r="AD120" i="171"/>
  <c r="BW100" i="175"/>
  <c r="Q87" i="171"/>
  <c r="Q86" i="171"/>
  <c r="CB84" i="171"/>
  <c r="Z92" i="171"/>
  <c r="Z93" i="171"/>
  <c r="AE93" i="171"/>
  <c r="AE92" i="171"/>
  <c r="AT107" i="175"/>
  <c r="DK189" i="172"/>
  <c r="DK190" i="172" s="1"/>
  <c r="CR63" i="135"/>
  <c r="CR69" i="135" s="1"/>
  <c r="CH63" i="135"/>
  <c r="L87" i="171"/>
  <c r="L86" i="171"/>
  <c r="CA84" i="171"/>
  <c r="P86" i="171"/>
  <c r="V92" i="171"/>
  <c r="CV90" i="171"/>
  <c r="V93" i="171"/>
  <c r="AA93" i="171"/>
  <c r="AA92" i="171"/>
  <c r="S92" i="171"/>
  <c r="S93" i="171"/>
  <c r="K86" i="171"/>
  <c r="K87" i="171"/>
  <c r="AA359" i="172"/>
  <c r="AA329" i="172"/>
  <c r="DY154" i="135"/>
  <c r="DY155" i="135" s="1"/>
  <c r="BJ249" i="172"/>
  <c r="Y87" i="171"/>
  <c r="Y86" i="171"/>
  <c r="BM261" i="172"/>
  <c r="BN262" i="172"/>
  <c r="BM262" i="172"/>
  <c r="BO260" i="172"/>
  <c r="BT261" i="172" s="1"/>
  <c r="BM257" i="172"/>
  <c r="R87" i="171"/>
  <c r="CU84" i="171"/>
  <c r="R86" i="171"/>
  <c r="CS84" i="171"/>
  <c r="J87" i="171"/>
  <c r="J86" i="171"/>
  <c r="V329" i="172"/>
  <c r="V359" i="172"/>
  <c r="ED55" i="9"/>
  <c r="E433" i="175"/>
  <c r="AT18" i="175"/>
  <c r="CC57" i="135"/>
  <c r="AU292" i="172"/>
  <c r="BP111" i="172"/>
  <c r="AK29" i="9"/>
  <c r="AK33" i="9" s="1"/>
  <c r="CJ66" i="8"/>
  <c r="BO177" i="172"/>
  <c r="BO176" i="172" s="1"/>
  <c r="CF177" i="171"/>
  <c r="EA173" i="135"/>
  <c r="EA174" i="135" s="1"/>
  <c r="DZ175" i="135"/>
  <c r="CU10" i="171"/>
  <c r="CU69" i="171" s="1"/>
  <c r="CU12" i="171"/>
  <c r="V211" i="172"/>
  <c r="BZ29" i="9"/>
  <c r="CW6" i="171"/>
  <c r="CW7" i="171" s="1"/>
  <c r="AG8" i="171"/>
  <c r="AB8" i="171"/>
  <c r="CE6" i="171"/>
  <c r="AB11" i="171"/>
  <c r="AL36" i="9"/>
  <c r="AL39" i="9" s="1"/>
  <c r="BO142" i="172"/>
  <c r="BO203" i="172" s="1"/>
  <c r="AG385" i="175"/>
  <c r="AU201" i="175"/>
  <c r="DZ167" i="135"/>
  <c r="EA164" i="135"/>
  <c r="EA165" i="135" s="1"/>
  <c r="DZ166" i="135"/>
  <c r="AU233" i="175"/>
  <c r="AQ313" i="175"/>
  <c r="BE254" i="172"/>
  <c r="BE225" i="172"/>
  <c r="BE245" i="172"/>
  <c r="BE292" i="172"/>
  <c r="BE273" i="172"/>
  <c r="CA10" i="171"/>
  <c r="CA69" i="171" s="1"/>
  <c r="CA12" i="171"/>
  <c r="CB12" i="171"/>
  <c r="AD12" i="171"/>
  <c r="AE396" i="175"/>
  <c r="AI12" i="171"/>
  <c r="AE376" i="175"/>
  <c r="AU100" i="175"/>
  <c r="AK218" i="172"/>
  <c r="AV296" i="175"/>
  <c r="DP45" i="9"/>
  <c r="FR26" i="9"/>
  <c r="AU254" i="172"/>
  <c r="AU225" i="172"/>
  <c r="BP118" i="172"/>
  <c r="AG11" i="171"/>
  <c r="AL11" i="171"/>
  <c r="AH338" i="189" s="1"/>
  <c r="AK396" i="175"/>
  <c r="AC8" i="171"/>
  <c r="AP32" i="9"/>
  <c r="AP33" i="9" s="1"/>
  <c r="K264" i="175"/>
  <c r="DJ120" i="172"/>
  <c r="DX131" i="135"/>
  <c r="AU245" i="172"/>
  <c r="DX25" i="9"/>
  <c r="DX54" i="9" s="1"/>
  <c r="BK214" i="171"/>
  <c r="BA36" i="9"/>
  <c r="CS10" i="171"/>
  <c r="CS69" i="171" s="1"/>
  <c r="CT12" i="171"/>
  <c r="AP211" i="172"/>
  <c r="AP225" i="172"/>
  <c r="AP292" i="172"/>
  <c r="AP273" i="172"/>
  <c r="AC12" i="171"/>
  <c r="AH12" i="171"/>
  <c r="AM11" i="171"/>
  <c r="AI338" i="189" s="1"/>
  <c r="AM8" i="171"/>
  <c r="AH8" i="171"/>
  <c r="EH11" i="12"/>
  <c r="CC34" i="12"/>
  <c r="CD26" i="12" s="1"/>
  <c r="CC38" i="12"/>
  <c r="DX29" i="12"/>
  <c r="EC29" i="12"/>
  <c r="CE244" i="172"/>
  <c r="CJ244" i="172" s="1"/>
  <c r="CO244" i="172" s="1"/>
  <c r="CT244" i="172" s="1"/>
  <c r="EA55" i="9"/>
  <c r="DX65" i="123"/>
  <c r="DX66" i="123" s="1"/>
  <c r="DX67" i="123" s="1"/>
  <c r="DN65" i="123"/>
  <c r="DN66" i="123" s="1"/>
  <c r="DN67" i="123" s="1"/>
  <c r="CY65" i="123"/>
  <c r="CY66" i="123" s="1"/>
  <c r="CY67" i="123" s="1"/>
  <c r="DC274" i="172"/>
  <c r="CJ53" i="123"/>
  <c r="CO50" i="123"/>
  <c r="EH65" i="123"/>
  <c r="EH66" i="123" s="1"/>
  <c r="EH67" i="123" s="1"/>
  <c r="DH36" i="8"/>
  <c r="DI36" i="8" s="1"/>
  <c r="CO53" i="123"/>
  <c r="CH40" i="8"/>
  <c r="CG41" i="8"/>
  <c r="AL380" i="175"/>
  <c r="BP100" i="172"/>
  <c r="FR31" i="9"/>
  <c r="BU31" i="9"/>
  <c r="FQ10" i="9"/>
  <c r="BP10" i="9"/>
  <c r="BI24" i="9"/>
  <c r="GA45" i="9"/>
  <c r="BK9" i="9"/>
  <c r="DS25" i="9"/>
  <c r="BU21" i="9"/>
  <c r="BT13" i="9"/>
  <c r="FR13" i="9" s="1"/>
  <c r="M22" i="9"/>
  <c r="M24" i="9" s="1"/>
  <c r="DS57" i="135"/>
  <c r="GD45" i="9"/>
  <c r="DZ45" i="9"/>
  <c r="AT24" i="9"/>
  <c r="AV35" i="9"/>
  <c r="AV39" i="9" s="1"/>
  <c r="AU66" i="8"/>
  <c r="W36" i="9"/>
  <c r="FU33" i="9"/>
  <c r="CJ27" i="9"/>
  <c r="AU23" i="9"/>
  <c r="AU24" i="9" s="1"/>
  <c r="AO24" i="9"/>
  <c r="AP17" i="9"/>
  <c r="AB10" i="9"/>
  <c r="BO14" i="9"/>
  <c r="FQ14" i="9" s="1"/>
  <c r="FS23" i="9"/>
  <c r="BZ23" i="9"/>
  <c r="BZ24" i="9" s="1"/>
  <c r="BY56" i="135"/>
  <c r="BP29" i="9"/>
  <c r="BZ30" i="9"/>
  <c r="AT27" i="9"/>
  <c r="FS19" i="9"/>
  <c r="BX54" i="135"/>
  <c r="BS59" i="135"/>
  <c r="BU59" i="135" s="1"/>
  <c r="BU53" i="135"/>
  <c r="AQ36" i="9"/>
  <c r="CI15" i="12"/>
  <c r="DI41" i="8"/>
  <c r="DJ63" i="8"/>
  <c r="AS173" i="175"/>
  <c r="AY11" i="175"/>
  <c r="AO184" i="175"/>
  <c r="AO185" i="175" s="1"/>
  <c r="ED50" i="123"/>
  <c r="EH50" i="123" s="1"/>
  <c r="EH57" i="123"/>
  <c r="CJ50" i="123"/>
  <c r="DS65" i="123"/>
  <c r="DS66" i="123" s="1"/>
  <c r="DS67" i="123" s="1"/>
  <c r="BB26" i="175"/>
  <c r="BD198" i="175"/>
  <c r="AX127" i="175"/>
  <c r="AW127" i="175"/>
  <c r="AY125" i="175"/>
  <c r="AY126" i="175" s="1"/>
  <c r="EK14" i="123"/>
  <c r="EL10" i="123" s="1"/>
  <c r="EM7" i="123"/>
  <c r="EL51" i="123"/>
  <c r="EM51" i="123" s="1"/>
  <c r="EH44" i="135"/>
  <c r="DD48" i="135"/>
  <c r="BJ265" i="172"/>
  <c r="AM380" i="175"/>
  <c r="DC226" i="172"/>
  <c r="BN118" i="172"/>
  <c r="BN129" i="172"/>
  <c r="BN149" i="172"/>
  <c r="BS150" i="172" s="1"/>
  <c r="BN111" i="172"/>
  <c r="BN105" i="172"/>
  <c r="BN100" i="172"/>
  <c r="BN134" i="172"/>
  <c r="EA133" i="135"/>
  <c r="EA132" i="135"/>
  <c r="AA245" i="172"/>
  <c r="AA254" i="172"/>
  <c r="AA225" i="172"/>
  <c r="AA234" i="172"/>
  <c r="AA211" i="172"/>
  <c r="AA383" i="172"/>
  <c r="DS136" i="135"/>
  <c r="BE142" i="172"/>
  <c r="BE203" i="172" s="1"/>
  <c r="BE194" i="172"/>
  <c r="BS145" i="172"/>
  <c r="BP147" i="172"/>
  <c r="AA292" i="172"/>
  <c r="DK136" i="172"/>
  <c r="BS143" i="172"/>
  <c r="BA233" i="172"/>
  <c r="AV234" i="172"/>
  <c r="EC54" i="135"/>
  <c r="BU9" i="9"/>
  <c r="BF12" i="9"/>
  <c r="AG10" i="9"/>
  <c r="BU37" i="9"/>
  <c r="BJ7" i="8"/>
  <c r="BK21" i="8"/>
  <c r="EH48" i="135"/>
  <c r="CT48" i="135"/>
  <c r="AZ7" i="8"/>
  <c r="EC42" i="8"/>
  <c r="EB7" i="8"/>
  <c r="AB42" i="8"/>
  <c r="AA7" i="8"/>
  <c r="DZ35" i="8"/>
  <c r="DZ36" i="8" s="1"/>
  <c r="DZ42" i="8" s="1"/>
  <c r="DZ7" i="8" s="1"/>
  <c r="DY36" i="8"/>
  <c r="DY42" i="8" s="1"/>
  <c r="DY7" i="8" s="1"/>
  <c r="CY21" i="8"/>
  <c r="CX7" i="8"/>
  <c r="CT27" i="12"/>
  <c r="BP21" i="8"/>
  <c r="BO7" i="8"/>
  <c r="BE7" i="8"/>
  <c r="BF21" i="8"/>
  <c r="AQ21" i="8"/>
  <c r="AP7" i="8"/>
  <c r="CJ27" i="12"/>
  <c r="DX36" i="8"/>
  <c r="DW42" i="8"/>
  <c r="G42" i="8"/>
  <c r="H36" i="8"/>
  <c r="DK67" i="8"/>
  <c r="DK41" i="8"/>
  <c r="DK42" i="8" s="1"/>
  <c r="DK7" i="8" s="1"/>
  <c r="DL40" i="8"/>
  <c r="W42" i="8"/>
  <c r="DC42" i="8"/>
  <c r="DD36" i="8"/>
  <c r="DN21" i="8"/>
  <c r="CY27" i="12"/>
  <c r="CO27" i="12"/>
  <c r="BK19" i="9"/>
  <c r="BJ24" i="9"/>
  <c r="FO23" i="9"/>
  <c r="BU10" i="9"/>
  <c r="DX54" i="135"/>
  <c r="FP22" i="9"/>
  <c r="AG24" i="9"/>
  <c r="BU29" i="9"/>
  <c r="AK42" i="8"/>
  <c r="AL36" i="8"/>
  <c r="M36" i="8"/>
  <c r="L42" i="8"/>
  <c r="BY42" i="8"/>
  <c r="BZ36" i="8"/>
  <c r="BT42" i="8"/>
  <c r="BU36" i="8"/>
  <c r="R12" i="9"/>
  <c r="FQ40" i="9"/>
  <c r="FQ12" i="9"/>
  <c r="DK54" i="9"/>
  <c r="FZ54" i="9" s="1"/>
  <c r="FO29" i="9"/>
  <c r="GB45" i="9"/>
  <c r="GB25" i="9"/>
  <c r="CT54" i="135"/>
  <c r="CO54" i="135"/>
  <c r="DI57" i="135"/>
  <c r="DD57" i="135"/>
  <c r="CJ57" i="135"/>
  <c r="CO57" i="135"/>
  <c r="FP23" i="9"/>
  <c r="FO40" i="9"/>
  <c r="EE45" i="9"/>
  <c r="FP19" i="9"/>
  <c r="R37" i="9"/>
  <c r="FO9" i="9"/>
  <c r="D50" i="141"/>
  <c r="C50" i="141"/>
  <c r="C59" i="141"/>
  <c r="BT17" i="9"/>
  <c r="FR17" i="9" s="1"/>
  <c r="FR29" i="9"/>
  <c r="AV9" i="9"/>
  <c r="AK13" i="9"/>
  <c r="AL13" i="9" s="1"/>
  <c r="CY54" i="135"/>
  <c r="DD54" i="135"/>
  <c r="BZ14" i="9"/>
  <c r="EC57" i="135"/>
  <c r="EH57" i="135"/>
  <c r="BZ15" i="12"/>
  <c r="DM54" i="9"/>
  <c r="DM45" i="9"/>
  <c r="DN54" i="135"/>
  <c r="DS54" i="135"/>
  <c r="EH54" i="135"/>
  <c r="R26" i="9"/>
  <c r="BT27" i="9"/>
  <c r="BU27" i="9" s="1"/>
  <c r="BY27" i="9"/>
  <c r="BU26" i="9"/>
  <c r="AB35" i="9"/>
  <c r="BP26" i="9"/>
  <c r="FQ26" i="9"/>
  <c r="FP29" i="9"/>
  <c r="BK29" i="9"/>
  <c r="CT53" i="123"/>
  <c r="AO41" i="175"/>
  <c r="AA294" i="172"/>
  <c r="AF294" i="172"/>
  <c r="BJ298" i="172"/>
  <c r="BJ294" i="172"/>
  <c r="ED137" i="135"/>
  <c r="BT72" i="172"/>
  <c r="AN175" i="175"/>
  <c r="AN181" i="175" s="1"/>
  <c r="AN193" i="175" s="1"/>
  <c r="AN119" i="175" s="1"/>
  <c r="AN128" i="175" s="1"/>
  <c r="AY167" i="175"/>
  <c r="AY168" i="175" s="1"/>
  <c r="AO163" i="175"/>
  <c r="AO172" i="175"/>
  <c r="AO173" i="175" s="1"/>
  <c r="AO170" i="175"/>
  <c r="AO169" i="175" s="1"/>
  <c r="AP169" i="175" s="1"/>
  <c r="AR152" i="175"/>
  <c r="AX25" i="175"/>
  <c r="BB190" i="175"/>
  <c r="BX95" i="175"/>
  <c r="AR151" i="175"/>
  <c r="AF263" i="175"/>
  <c r="AF265" i="175" s="1"/>
  <c r="AY38" i="175"/>
  <c r="K268" i="175"/>
  <c r="AU296" i="175"/>
  <c r="AT41" i="175"/>
  <c r="BB147" i="175"/>
  <c r="BB148" i="175" s="1"/>
  <c r="AM62" i="175"/>
  <c r="AW200" i="175"/>
  <c r="AW296" i="175" s="1"/>
  <c r="BY198" i="175"/>
  <c r="AT172" i="175"/>
  <c r="AT198" i="175"/>
  <c r="AQ173" i="175"/>
  <c r="AP173" i="175"/>
  <c r="AY141" i="175"/>
  <c r="AY142" i="175" s="1"/>
  <c r="BB200" i="175"/>
  <c r="BB205" i="175" s="1"/>
  <c r="AQ231" i="175"/>
  <c r="AQ231" i="189" s="1"/>
  <c r="AQ236" i="189" s="1"/>
  <c r="AN256" i="175"/>
  <c r="AO255" i="175"/>
  <c r="AO258" i="175" s="1"/>
  <c r="AY198" i="175"/>
  <c r="AP231" i="175"/>
  <c r="AP231" i="189" s="1"/>
  <c r="AP236" i="189" s="1"/>
  <c r="AQ317" i="175"/>
  <c r="AQ315" i="175" s="1"/>
  <c r="AX172" i="175"/>
  <c r="AX173" i="175" s="1"/>
  <c r="AW172" i="175"/>
  <c r="AW173" i="175" s="1"/>
  <c r="AJ396" i="175"/>
  <c r="AK181" i="175"/>
  <c r="AT29" i="175"/>
  <c r="AT156" i="175"/>
  <c r="AT130" i="175"/>
  <c r="BX200" i="175"/>
  <c r="BW38" i="175"/>
  <c r="AF376" i="175"/>
  <c r="AT316" i="175"/>
  <c r="AT163" i="175"/>
  <c r="AO156" i="175"/>
  <c r="AO198" i="175"/>
  <c r="AO199" i="175" s="1"/>
  <c r="AG263" i="175"/>
  <c r="AG265" i="175" s="1"/>
  <c r="AL241" i="175"/>
  <c r="AO29" i="175"/>
  <c r="AZ200" i="175"/>
  <c r="AZ205" i="175" s="1"/>
  <c r="AZ113" i="175" s="1"/>
  <c r="AZ34" i="175" s="1"/>
  <c r="AJ243" i="175"/>
  <c r="AJ244" i="175" s="1"/>
  <c r="T264" i="175"/>
  <c r="O433" i="175"/>
  <c r="P433" i="175" s="1"/>
  <c r="AR199" i="175"/>
  <c r="BW198" i="175"/>
  <c r="AM199" i="175"/>
  <c r="AL199" i="175"/>
  <c r="AQ199" i="175"/>
  <c r="BW150" i="175"/>
  <c r="O264" i="175"/>
  <c r="BC200" i="175"/>
  <c r="BC205" i="175" s="1"/>
  <c r="AT92" i="175"/>
  <c r="AX296" i="175"/>
  <c r="AX201" i="175"/>
  <c r="BY167" i="175"/>
  <c r="AV149" i="175"/>
  <c r="AH263" i="175"/>
  <c r="AH264" i="175" s="1"/>
  <c r="BX141" i="175"/>
  <c r="BX142" i="175" s="1"/>
  <c r="CT50" i="123"/>
  <c r="DF226" i="172"/>
  <c r="DG212" i="172"/>
  <c r="AW93" i="175"/>
  <c r="AZ211" i="172"/>
  <c r="AZ225" i="172"/>
  <c r="AZ292" i="172"/>
  <c r="AZ245" i="172"/>
  <c r="AZ254" i="172"/>
  <c r="AZ273" i="172"/>
  <c r="AK268" i="172"/>
  <c r="AP268" i="172"/>
  <c r="AR234" i="172"/>
  <c r="AW233" i="172"/>
  <c r="AR236" i="172"/>
  <c r="G251" i="172"/>
  <c r="G246" i="172"/>
  <c r="L246" i="172"/>
  <c r="AR135" i="175"/>
  <c r="AM136" i="175"/>
  <c r="AN136" i="175"/>
  <c r="BW134" i="175"/>
  <c r="AH234" i="172"/>
  <c r="AH292" i="172"/>
  <c r="AH225" i="172"/>
  <c r="AH273" i="172"/>
  <c r="AH211" i="172"/>
  <c r="AH245" i="172"/>
  <c r="AH254" i="172"/>
  <c r="X273" i="172"/>
  <c r="X234" i="172"/>
  <c r="X292" i="172"/>
  <c r="X245" i="172"/>
  <c r="X211" i="172"/>
  <c r="X225" i="172"/>
  <c r="X254" i="172"/>
  <c r="X383" i="172"/>
  <c r="EB132" i="135"/>
  <c r="ED133" i="135"/>
  <c r="EB133" i="135"/>
  <c r="Z234" i="172"/>
  <c r="Z292" i="172"/>
  <c r="Z225" i="172"/>
  <c r="Z273" i="172"/>
  <c r="Z211" i="172"/>
  <c r="Z245" i="172"/>
  <c r="Z254" i="172"/>
  <c r="Z383" i="172"/>
  <c r="AC273" i="172"/>
  <c r="AC211" i="172"/>
  <c r="AC245" i="172"/>
  <c r="AC254" i="172"/>
  <c r="AC383" i="172"/>
  <c r="AC225" i="172"/>
  <c r="AC234" i="172"/>
  <c r="AC292" i="172"/>
  <c r="S225" i="172"/>
  <c r="S273" i="172"/>
  <c r="S234" i="172"/>
  <c r="S292" i="172"/>
  <c r="S383" i="172"/>
  <c r="S211" i="172"/>
  <c r="S245" i="172"/>
  <c r="S254" i="172"/>
  <c r="EC131" i="135"/>
  <c r="DY133" i="135"/>
  <c r="DW133" i="135"/>
  <c r="DD244" i="172"/>
  <c r="DE246" i="172" s="1"/>
  <c r="EH131" i="135"/>
  <c r="AB273" i="172"/>
  <c r="AB225" i="172"/>
  <c r="AB245" i="172"/>
  <c r="AB211" i="172"/>
  <c r="AB383" i="172"/>
  <c r="AB254" i="172"/>
  <c r="AB292" i="172"/>
  <c r="AB234" i="172"/>
  <c r="R234" i="172"/>
  <c r="R292" i="172"/>
  <c r="R225" i="172"/>
  <c r="R273" i="172"/>
  <c r="R211" i="172"/>
  <c r="R383" i="172"/>
  <c r="R254" i="172"/>
  <c r="R245" i="172"/>
  <c r="DC244" i="172"/>
  <c r="BJ292" i="172"/>
  <c r="BJ273" i="172"/>
  <c r="BJ211" i="172"/>
  <c r="BJ254" i="172"/>
  <c r="BJ245" i="172"/>
  <c r="BJ225" i="172"/>
  <c r="BJ144" i="172"/>
  <c r="BJ34" i="172" s="1"/>
  <c r="BJ120" i="172"/>
  <c r="BJ178" i="172"/>
  <c r="AD254" i="172"/>
  <c r="AD383" i="172"/>
  <c r="AD234" i="172"/>
  <c r="AD245" i="172"/>
  <c r="AD292" i="172"/>
  <c r="AD225" i="172"/>
  <c r="AD273" i="172"/>
  <c r="AD211" i="172"/>
  <c r="T273" i="172"/>
  <c r="T245" i="172"/>
  <c r="T225" i="172"/>
  <c r="T211" i="172"/>
  <c r="T254" i="172"/>
  <c r="T292" i="172"/>
  <c r="T234" i="172"/>
  <c r="T383" i="172"/>
  <c r="AK297" i="172"/>
  <c r="AK251" i="172"/>
  <c r="AP246" i="172"/>
  <c r="AK248" i="172"/>
  <c r="AK246" i="172"/>
  <c r="AO102" i="175"/>
  <c r="AT102" i="175"/>
  <c r="AE225" i="172"/>
  <c r="AE292" i="172"/>
  <c r="AE273" i="172"/>
  <c r="AE254" i="172"/>
  <c r="AE245" i="172"/>
  <c r="AE383" i="172"/>
  <c r="AE234" i="172"/>
  <c r="AE211" i="172"/>
  <c r="U245" i="172"/>
  <c r="U383" i="172"/>
  <c r="U234" i="172"/>
  <c r="U292" i="172"/>
  <c r="U225" i="172"/>
  <c r="U273" i="172"/>
  <c r="U211" i="172"/>
  <c r="U254" i="172"/>
  <c r="EG132" i="135"/>
  <c r="EG134" i="135" s="1"/>
  <c r="EG133" i="135"/>
  <c r="AG245" i="172"/>
  <c r="AG273" i="172"/>
  <c r="AG211" i="172"/>
  <c r="AG254" i="172"/>
  <c r="AG234" i="172"/>
  <c r="AG292" i="172"/>
  <c r="AG225" i="172"/>
  <c r="Y254" i="172"/>
  <c r="Y383" i="172"/>
  <c r="Y234" i="172"/>
  <c r="Y245" i="172"/>
  <c r="Y292" i="172"/>
  <c r="Y225" i="172"/>
  <c r="Y273" i="172"/>
  <c r="Y211" i="172"/>
  <c r="EE138" i="135"/>
  <c r="EE137" i="135"/>
  <c r="EF138" i="135"/>
  <c r="DJ136" i="172"/>
  <c r="BS269" i="172"/>
  <c r="BS267" i="172" s="1"/>
  <c r="BS268" i="172" s="1"/>
  <c r="BS257" i="172"/>
  <c r="BS255" i="172"/>
  <c r="AA248" i="172"/>
  <c r="AA251" i="172"/>
  <c r="BP230" i="172"/>
  <c r="BP227" i="172"/>
  <c r="DK224" i="172"/>
  <c r="BT224" i="172"/>
  <c r="BT226" i="172" s="1"/>
  <c r="AO379" i="175"/>
  <c r="AO380" i="175" s="1"/>
  <c r="AO83" i="175"/>
  <c r="AT83" i="175"/>
  <c r="BT244" i="172"/>
  <c r="BT246" i="172" s="1"/>
  <c r="BQ247" i="172"/>
  <c r="DK244" i="172"/>
  <c r="BR247" i="172"/>
  <c r="AZ294" i="172"/>
  <c r="BE294" i="172"/>
  <c r="BR147" i="172"/>
  <c r="BQ105" i="172"/>
  <c r="BQ134" i="172"/>
  <c r="BQ129" i="172"/>
  <c r="BQ118" i="172"/>
  <c r="BQ111" i="172"/>
  <c r="BQ100" i="172"/>
  <c r="BT142" i="172"/>
  <c r="BQ149" i="172"/>
  <c r="BV150" i="172" s="1"/>
  <c r="BQ147" i="172"/>
  <c r="EH29" i="12"/>
  <c r="DS29" i="12"/>
  <c r="FQ9" i="9"/>
  <c r="BK20" i="9"/>
  <c r="FP10" i="9"/>
  <c r="FQ20" i="9"/>
  <c r="FQ24" i="9" s="1"/>
  <c r="FP12" i="9"/>
  <c r="BK14" i="9"/>
  <c r="FO13" i="9"/>
  <c r="AB31" i="9"/>
  <c r="AB32" i="9"/>
  <c r="FR12" i="9"/>
  <c r="FO11" i="9"/>
  <c r="CE11" i="12"/>
  <c r="P24" i="9"/>
  <c r="AG40" i="9"/>
  <c r="AZ21" i="9"/>
  <c r="BA21" i="9" s="1"/>
  <c r="M26" i="9"/>
  <c r="DO26" i="12"/>
  <c r="DN34" i="12"/>
  <c r="Q24" i="9"/>
  <c r="BP20" i="9"/>
  <c r="DU50" i="123"/>
  <c r="DX57" i="123"/>
  <c r="DG246" i="172"/>
  <c r="BA38" i="175"/>
  <c r="BB125" i="175"/>
  <c r="AW142" i="175"/>
  <c r="AX143" i="175"/>
  <c r="EL13" i="123"/>
  <c r="EM13" i="123" s="1"/>
  <c r="EM23" i="123" s="1"/>
  <c r="EL12" i="123"/>
  <c r="EL58" i="123" s="1"/>
  <c r="EL11" i="123"/>
  <c r="EM11" i="123" s="1"/>
  <c r="EK58" i="123"/>
  <c r="EM12" i="123"/>
  <c r="EL30" i="123"/>
  <c r="EM16" i="123"/>
  <c r="EK42" i="123"/>
  <c r="EL38" i="123" s="1"/>
  <c r="EK60" i="123"/>
  <c r="EM33" i="123"/>
  <c r="EM28" i="123"/>
  <c r="EM30" i="123" s="1"/>
  <c r="ER26" i="123" s="1"/>
  <c r="EL59" i="123"/>
  <c r="DO38" i="135"/>
  <c r="DN37" i="135"/>
  <c r="AI303" i="175"/>
  <c r="AI301" i="175" s="1"/>
  <c r="AF293" i="175"/>
  <c r="CG182" i="171"/>
  <c r="CG183" i="171" s="1"/>
  <c r="AM184" i="171"/>
  <c r="AV217" i="171"/>
  <c r="AV213" i="171" s="1"/>
  <c r="AV216" i="171"/>
  <c r="AT184" i="171"/>
  <c r="AT183" i="171"/>
  <c r="BR214" i="172"/>
  <c r="CX181" i="171"/>
  <c r="CV177" i="171"/>
  <c r="CW177" i="171"/>
  <c r="BZ409" i="172" s="1"/>
  <c r="AN176" i="171"/>
  <c r="AR176" i="171" s="1"/>
  <c r="AV176" i="171" s="1"/>
  <c r="AU293" i="189" s="1"/>
  <c r="CY176" i="171"/>
  <c r="CY177" i="171" s="1"/>
  <c r="CB409" i="172" s="1"/>
  <c r="CZ182" i="171"/>
  <c r="AI158" i="175"/>
  <c r="AH158" i="175"/>
  <c r="BH214" i="172"/>
  <c r="BM215" i="172" s="1"/>
  <c r="AL184" i="171"/>
  <c r="CD177" i="171"/>
  <c r="CC177" i="171"/>
  <c r="BE409" i="172"/>
  <c r="BI214" i="172"/>
  <c r="AU102" i="175"/>
  <c r="AU103" i="175"/>
  <c r="AZ104" i="175" s="1"/>
  <c r="BT38" i="172"/>
  <c r="BT28" i="172"/>
  <c r="BT33" i="172"/>
  <c r="BT21" i="172"/>
  <c r="AT134" i="175"/>
  <c r="BT14" i="172"/>
  <c r="AX321" i="175"/>
  <c r="AN380" i="175"/>
  <c r="F433" i="175"/>
  <c r="AU321" i="175"/>
  <c r="AU394" i="175"/>
  <c r="AS351" i="175"/>
  <c r="AS352" i="175" s="1"/>
  <c r="AO261" i="175"/>
  <c r="U268" i="175"/>
  <c r="P264" i="175"/>
  <c r="Q433" i="175"/>
  <c r="U433" i="175" s="1"/>
  <c r="Q264" i="175"/>
  <c r="V264" i="175"/>
  <c r="U263" i="175"/>
  <c r="U264" i="175" s="1"/>
  <c r="BY190" i="175"/>
  <c r="AF264" i="175"/>
  <c r="AV169" i="175"/>
  <c r="AU170" i="175"/>
  <c r="AO234" i="175"/>
  <c r="AE231" i="175"/>
  <c r="AE258" i="175"/>
  <c r="AT234" i="175"/>
  <c r="AF271" i="175"/>
  <c r="AJ258" i="175"/>
  <c r="AJ256" i="175"/>
  <c r="AJ231" i="175"/>
  <c r="AO150" i="175"/>
  <c r="AE268" i="175"/>
  <c r="Z268" i="175"/>
  <c r="AB264" i="175"/>
  <c r="AE263" i="175"/>
  <c r="AE264" i="175" s="1"/>
  <c r="AG264" i="175"/>
  <c r="AI265" i="175"/>
  <c r="AM241" i="175"/>
  <c r="AH271" i="175"/>
  <c r="AH249" i="175"/>
  <c r="AH253" i="175" s="1"/>
  <c r="BB99" i="175"/>
  <c r="BT120" i="172"/>
  <c r="BO120" i="172"/>
  <c r="AI408" i="175"/>
  <c r="AO27" i="175"/>
  <c r="BT136" i="172"/>
  <c r="EC136" i="135"/>
  <c r="BO144" i="172"/>
  <c r="BO34" i="172" s="1"/>
  <c r="BT144" i="172"/>
  <c r="BO136" i="172"/>
  <c r="GF30" i="9"/>
  <c r="BO66" i="8"/>
  <c r="FR20" i="9"/>
  <c r="BU20" i="9"/>
  <c r="BS24" i="9"/>
  <c r="H21" i="9"/>
  <c r="H24" i="9" s="1"/>
  <c r="BK26" i="9"/>
  <c r="BJ27" i="9"/>
  <c r="BO27" i="9"/>
  <c r="V66" i="8"/>
  <c r="W35" i="9"/>
  <c r="AL20" i="9"/>
  <c r="FR19" i="9"/>
  <c r="G24" i="9"/>
  <c r="AK66" i="8"/>
  <c r="BF23" i="9"/>
  <c r="BA37" i="9"/>
  <c r="BP35" i="9"/>
  <c r="BP39" i="9" s="1"/>
  <c r="AF66" i="8"/>
  <c r="DA16" i="12"/>
  <c r="AP27" i="9"/>
  <c r="AQ27" i="9" s="1"/>
  <c r="AK27" i="9"/>
  <c r="AL27" i="9" s="1"/>
  <c r="FR35" i="9"/>
  <c r="FR39" i="9" s="1"/>
  <c r="BT66" i="8"/>
  <c r="BU35" i="9"/>
  <c r="CH15" i="12"/>
  <c r="CJ11" i="12"/>
  <c r="CO11" i="12"/>
  <c r="CK15" i="12"/>
  <c r="CO15" i="12" s="1"/>
  <c r="W20" i="9"/>
  <c r="W24" i="9" s="1"/>
  <c r="FO26" i="9"/>
  <c r="BE27" i="9"/>
  <c r="AB36" i="9"/>
  <c r="EC11" i="12"/>
  <c r="H36" i="9"/>
  <c r="GF26" i="9"/>
  <c r="CU16" i="12"/>
  <c r="CV7" i="12" s="1"/>
  <c r="CY11" i="12"/>
  <c r="CU15" i="12"/>
  <c r="CY15" i="12" s="1"/>
  <c r="V24" i="9"/>
  <c r="DN26" i="12"/>
  <c r="DJ34" i="12"/>
  <c r="DL26" i="12" s="1"/>
  <c r="DL29" i="12" s="1"/>
  <c r="DN29" i="12" s="1"/>
  <c r="DJ31" i="12"/>
  <c r="AA24" i="9"/>
  <c r="AB19" i="9"/>
  <c r="AB24" i="9" s="1"/>
  <c r="BZ66" i="8"/>
  <c r="AL66" i="8"/>
  <c r="GF29" i="9"/>
  <c r="EC25" i="9"/>
  <c r="DG17" i="12"/>
  <c r="CP15" i="12"/>
  <c r="CT15" i="12" s="1"/>
  <c r="CT11" i="12"/>
  <c r="DD11" i="12"/>
  <c r="U24" i="9"/>
  <c r="DY55" i="9"/>
  <c r="DT55" i="9"/>
  <c r="DZ55" i="9"/>
  <c r="F24" i="9"/>
  <c r="L24" i="9"/>
  <c r="FQ35" i="9"/>
  <c r="AZ27" i="9"/>
  <c r="BA27" i="9" s="1"/>
  <c r="AU27" i="9"/>
  <c r="EV35" i="8"/>
  <c r="EX35" i="8" s="1"/>
  <c r="EY35" i="8" s="1"/>
  <c r="EZ35" i="8" s="1"/>
  <c r="FA35" i="8" s="1"/>
  <c r="FC35" i="8" s="1"/>
  <c r="FD35" i="8" s="1"/>
  <c r="FE35" i="8" s="1"/>
  <c r="FF35" i="8" s="1"/>
  <c r="EV16" i="8"/>
  <c r="EX16" i="8" s="1"/>
  <c r="EY16" i="8" s="1"/>
  <c r="EZ16" i="8" s="1"/>
  <c r="FA16" i="8" s="1"/>
  <c r="FC16" i="8" s="1"/>
  <c r="FD16" i="8" s="1"/>
  <c r="FE16" i="8" s="1"/>
  <c r="FF16" i="8" s="1"/>
  <c r="EV12" i="8"/>
  <c r="EX12" i="8" s="1"/>
  <c r="EY12" i="8" s="1"/>
  <c r="EZ12" i="8" s="1"/>
  <c r="FA12" i="8" s="1"/>
  <c r="FC12" i="8" s="1"/>
  <c r="FD12" i="8" s="1"/>
  <c r="FE12" i="8" s="1"/>
  <c r="FF12" i="8" s="1"/>
  <c r="DD212" i="172"/>
  <c r="EK8" i="135"/>
  <c r="O226" i="172"/>
  <c r="J231" i="172"/>
  <c r="K227" i="172"/>
  <c r="J226" i="172"/>
  <c r="J227" i="172"/>
  <c r="AX240" i="172"/>
  <c r="DE255" i="172"/>
  <c r="BL111" i="172"/>
  <c r="BL129" i="172"/>
  <c r="BL105" i="172"/>
  <c r="BL100" i="172"/>
  <c r="BL118" i="172"/>
  <c r="BQ145" i="172"/>
  <c r="BQ143" i="172"/>
  <c r="BQ146" i="172" s="1"/>
  <c r="BL149" i="172"/>
  <c r="BL134" i="172"/>
  <c r="BM111" i="172"/>
  <c r="BM134" i="172"/>
  <c r="BM149" i="172"/>
  <c r="DK142" i="172"/>
  <c r="BM129" i="172"/>
  <c r="BM100" i="172"/>
  <c r="BR143" i="172"/>
  <c r="BM105" i="172"/>
  <c r="BR145" i="172"/>
  <c r="BN147" i="172"/>
  <c r="BM147" i="172"/>
  <c r="BM118" i="172"/>
  <c r="EL11" i="135"/>
  <c r="EK13" i="135"/>
  <c r="AU142" i="175"/>
  <c r="AU143" i="175"/>
  <c r="AW25" i="175"/>
  <c r="AX96" i="175"/>
  <c r="AW103" i="175"/>
  <c r="BB104" i="175" s="1"/>
  <c r="BB94" i="175"/>
  <c r="BB96" i="175" s="1"/>
  <c r="AW96" i="175"/>
  <c r="AV148" i="175"/>
  <c r="AP152" i="175"/>
  <c r="AQ152" i="175"/>
  <c r="AP151" i="175"/>
  <c r="AZ141" i="175"/>
  <c r="AZ150" i="175" s="1"/>
  <c r="AW24" i="175"/>
  <c r="BB91" i="175"/>
  <c r="AX93" i="175"/>
  <c r="AY94" i="175"/>
  <c r="BA99" i="175"/>
  <c r="BA26" i="175"/>
  <c r="BA147" i="175"/>
  <c r="AY91" i="175"/>
  <c r="AV142" i="175"/>
  <c r="AW143" i="175"/>
  <c r="AV143" i="175"/>
  <c r="BX11" i="175"/>
  <c r="BA96" i="175"/>
  <c r="BA25" i="175"/>
  <c r="BY94" i="175"/>
  <c r="BY95" i="175" s="1"/>
  <c r="AV102" i="175"/>
  <c r="AV100" i="175"/>
  <c r="AV103" i="175"/>
  <c r="BA104" i="175" s="1"/>
  <c r="BX101" i="175"/>
  <c r="BX102" i="175" s="1"/>
  <c r="BB11" i="175"/>
  <c r="BB141" i="175"/>
  <c r="BB150" i="175" s="1"/>
  <c r="BA141" i="175"/>
  <c r="BA150" i="175" s="1"/>
  <c r="BY66" i="175"/>
  <c r="BY67" i="175" s="1"/>
  <c r="BA11" i="175"/>
  <c r="DF246" i="172"/>
  <c r="BK111" i="172"/>
  <c r="BK134" i="172"/>
  <c r="BK105" i="172"/>
  <c r="BP143" i="172"/>
  <c r="BL147" i="172"/>
  <c r="BK129" i="172"/>
  <c r="BP145" i="172"/>
  <c r="BK118" i="172"/>
  <c r="BK149" i="172"/>
  <c r="BK100" i="172"/>
  <c r="N226" i="172"/>
  <c r="O227" i="172"/>
  <c r="S226" i="172"/>
  <c r="N228" i="172"/>
  <c r="S229" i="172" s="1"/>
  <c r="N231" i="172"/>
  <c r="DG255" i="172"/>
  <c r="DF255" i="172"/>
  <c r="DG251" i="172"/>
  <c r="I227" i="172"/>
  <c r="H226" i="172"/>
  <c r="L224" i="172"/>
  <c r="H231" i="172"/>
  <c r="DH255" i="172"/>
  <c r="DI255" i="172"/>
  <c r="DD255" i="172"/>
  <c r="DC255" i="172"/>
  <c r="DH226" i="172"/>
  <c r="DG226" i="172"/>
  <c r="AV18" i="175"/>
  <c r="BX17" i="175"/>
  <c r="BX18" i="175" s="1"/>
  <c r="DS57" i="123"/>
  <c r="DO50" i="123"/>
  <c r="DI57" i="123"/>
  <c r="DE50" i="123"/>
  <c r="EC57" i="123"/>
  <c r="DY50" i="123"/>
  <c r="CY57" i="123"/>
  <c r="CY61" i="123" s="1"/>
  <c r="DD57" i="123"/>
  <c r="CZ50" i="123"/>
  <c r="DK56" i="123"/>
  <c r="DK57" i="123" s="1"/>
  <c r="DK50" i="123" s="1"/>
  <c r="DK53" i="123" s="1"/>
  <c r="DJ57" i="123"/>
  <c r="DK62" i="123"/>
  <c r="CV53" i="123"/>
  <c r="CY53" i="123" s="1"/>
  <c r="CY50" i="123"/>
  <c r="AP300" i="175"/>
  <c r="AV183" i="171"/>
  <c r="CI182" i="171"/>
  <c r="CV214" i="172" s="1"/>
  <c r="CV215" i="172" s="1"/>
  <c r="AR184" i="171"/>
  <c r="BP214" i="172"/>
  <c r="BU215" i="172" s="1"/>
  <c r="CZ179" i="171"/>
  <c r="AW221" i="171"/>
  <c r="AX220" i="171"/>
  <c r="AW215" i="171"/>
  <c r="AW219" i="171"/>
  <c r="AM293" i="175"/>
  <c r="AM348" i="175" s="1"/>
  <c r="AR349" i="175" s="1"/>
  <c r="AT176" i="171"/>
  <c r="AX176" i="171" s="1"/>
  <c r="AW293" i="189" s="1"/>
  <c r="AG360" i="175"/>
  <c r="CC12" i="171"/>
  <c r="CC10" i="171"/>
  <c r="CC69" i="171" s="1"/>
  <c r="AG348" i="175"/>
  <c r="AQ300" i="175"/>
  <c r="AQ303" i="175" s="1"/>
  <c r="AQ301" i="175" s="1"/>
  <c r="AS183" i="171"/>
  <c r="BQ214" i="172"/>
  <c r="BV215" i="172" s="1"/>
  <c r="AS184" i="171"/>
  <c r="AU178" i="171"/>
  <c r="CH178" i="171"/>
  <c r="DA178" i="171"/>
  <c r="DA179" i="171" s="1"/>
  <c r="DA182" i="171"/>
  <c r="DA183" i="171" s="1"/>
  <c r="BN214" i="172"/>
  <c r="AQ183" i="171"/>
  <c r="CY183" i="171"/>
  <c r="DI214" i="172"/>
  <c r="DI302" i="172" s="1"/>
  <c r="CF181" i="171"/>
  <c r="BP409" i="172"/>
  <c r="AL300" i="175"/>
  <c r="AL301" i="175" s="1"/>
  <c r="AO184" i="171"/>
  <c r="BL214" i="172"/>
  <c r="AU183" i="171"/>
  <c r="CZ183" i="171"/>
  <c r="CZ184" i="171"/>
  <c r="DJ214" i="172"/>
  <c r="Q110" i="171"/>
  <c r="Q111" i="171"/>
  <c r="AE134" i="171"/>
  <c r="AE135" i="171"/>
  <c r="AH311" i="175"/>
  <c r="AL293" i="175"/>
  <c r="AL348" i="175" s="1"/>
  <c r="AS176" i="171"/>
  <c r="Z123" i="171"/>
  <c r="AN349" i="175"/>
  <c r="S104" i="171"/>
  <c r="S196" i="171"/>
  <c r="S105" i="171"/>
  <c r="O99" i="171"/>
  <c r="O98" i="171"/>
  <c r="K104" i="171"/>
  <c r="K196" i="171"/>
  <c r="K105" i="171"/>
  <c r="K80" i="171"/>
  <c r="R104" i="171"/>
  <c r="R196" i="171"/>
  <c r="CU102" i="171"/>
  <c r="R105" i="171"/>
  <c r="CT78" i="171"/>
  <c r="N80" i="171"/>
  <c r="J80" i="171"/>
  <c r="CS78" i="171"/>
  <c r="CS108" i="171"/>
  <c r="J111" i="171"/>
  <c r="J110" i="171"/>
  <c r="F105" i="171"/>
  <c r="F196" i="171"/>
  <c r="CR102" i="171"/>
  <c r="F75" i="171"/>
  <c r="CR72" i="171"/>
  <c r="W75" i="171"/>
  <c r="W74" i="171"/>
  <c r="W196" i="171"/>
  <c r="W197" i="171" s="1"/>
  <c r="W104" i="171"/>
  <c r="W105" i="171"/>
  <c r="V105" i="171"/>
  <c r="V196" i="171"/>
  <c r="CV102" i="171"/>
  <c r="V104" i="171"/>
  <c r="Z134" i="171"/>
  <c r="Z135" i="171"/>
  <c r="Z140" i="171"/>
  <c r="Z74" i="171"/>
  <c r="Z75" i="171"/>
  <c r="AA110" i="171"/>
  <c r="AA111" i="171"/>
  <c r="AA134" i="171"/>
  <c r="AA135" i="171"/>
  <c r="AE116" i="171"/>
  <c r="AE117" i="171"/>
  <c r="AE98" i="171"/>
  <c r="AE99" i="171"/>
  <c r="AI140" i="171"/>
  <c r="U116" i="171"/>
  <c r="U117" i="171"/>
  <c r="U74" i="171"/>
  <c r="U75" i="171"/>
  <c r="Q80" i="171"/>
  <c r="Q81" i="171"/>
  <c r="CT81" i="171" s="1"/>
  <c r="Q74" i="171"/>
  <c r="Q75" i="171"/>
  <c r="M99" i="171"/>
  <c r="M98" i="171"/>
  <c r="M74" i="171"/>
  <c r="M75" i="171"/>
  <c r="Y158" i="171"/>
  <c r="CV156" i="171"/>
  <c r="Y159" i="171"/>
  <c r="Y262" i="171"/>
  <c r="Y266" i="171" s="1"/>
  <c r="CD156" i="171"/>
  <c r="Y117" i="171"/>
  <c r="Y116" i="171"/>
  <c r="AD99" i="171"/>
  <c r="CC108" i="171"/>
  <c r="T110" i="171"/>
  <c r="T111" i="171"/>
  <c r="T104" i="171"/>
  <c r="T196" i="171"/>
  <c r="T105" i="171"/>
  <c r="CC102" i="171"/>
  <c r="P104" i="171"/>
  <c r="CB102" i="171"/>
  <c r="P105" i="171"/>
  <c r="P196" i="171"/>
  <c r="P80" i="171"/>
  <c r="CB78" i="171"/>
  <c r="CA108" i="171"/>
  <c r="L110" i="171"/>
  <c r="L111" i="171"/>
  <c r="L98" i="171"/>
  <c r="L99" i="171"/>
  <c r="CA96" i="171"/>
  <c r="H99" i="171"/>
  <c r="BZ96" i="171"/>
  <c r="H75" i="171"/>
  <c r="BZ72" i="171"/>
  <c r="AC105" i="171"/>
  <c r="X116" i="171"/>
  <c r="CD114" i="171"/>
  <c r="X117" i="171"/>
  <c r="X75" i="171"/>
  <c r="X74" i="171"/>
  <c r="CD72" i="171"/>
  <c r="S81" i="171"/>
  <c r="S80" i="171"/>
  <c r="O74" i="171"/>
  <c r="O75" i="171"/>
  <c r="K116" i="171"/>
  <c r="K117" i="171"/>
  <c r="K99" i="171"/>
  <c r="K98" i="171"/>
  <c r="G75" i="171"/>
  <c r="AH158" i="171"/>
  <c r="AH75" i="171"/>
  <c r="R98" i="171"/>
  <c r="R99" i="171"/>
  <c r="CU96" i="171"/>
  <c r="R74" i="171"/>
  <c r="R75" i="171"/>
  <c r="CU72" i="171"/>
  <c r="N110" i="171"/>
  <c r="CT108" i="171"/>
  <c r="N111" i="171"/>
  <c r="N104" i="171"/>
  <c r="N105" i="171"/>
  <c r="N196" i="171"/>
  <c r="CT102" i="171"/>
  <c r="J117" i="171"/>
  <c r="J116" i="171"/>
  <c r="CS114" i="171"/>
  <c r="CS72" i="171"/>
  <c r="J75" i="171"/>
  <c r="J74" i="171"/>
  <c r="F111" i="171"/>
  <c r="CR108" i="171"/>
  <c r="CR78" i="171"/>
  <c r="W81" i="171"/>
  <c r="W80" i="171"/>
  <c r="W98" i="171"/>
  <c r="W99" i="171"/>
  <c r="V74" i="171"/>
  <c r="V75" i="171"/>
  <c r="CV72" i="171"/>
  <c r="Z128" i="171"/>
  <c r="Z129" i="171"/>
  <c r="AA98" i="171"/>
  <c r="AA99" i="171"/>
  <c r="AA140" i="171"/>
  <c r="AA81" i="171"/>
  <c r="AA80" i="171"/>
  <c r="AE104" i="171"/>
  <c r="AE196" i="171"/>
  <c r="AE105" i="171"/>
  <c r="AE80" i="171"/>
  <c r="AE81" i="171"/>
  <c r="U110" i="171"/>
  <c r="U111" i="171"/>
  <c r="U80" i="171"/>
  <c r="U81" i="171"/>
  <c r="Q117" i="171"/>
  <c r="Q116" i="171"/>
  <c r="M116" i="171"/>
  <c r="M117" i="171"/>
  <c r="M80" i="171"/>
  <c r="Y134" i="171"/>
  <c r="CV132" i="171"/>
  <c r="Y135" i="171"/>
  <c r="CD132" i="171"/>
  <c r="Y196" i="171"/>
  <c r="Y105" i="171"/>
  <c r="Y104" i="171"/>
  <c r="AD80" i="171"/>
  <c r="AD81" i="171"/>
  <c r="T98" i="171"/>
  <c r="T99" i="171"/>
  <c r="CC96" i="171"/>
  <c r="T75" i="171"/>
  <c r="T74" i="171"/>
  <c r="CC72" i="171"/>
  <c r="P98" i="171"/>
  <c r="P99" i="171"/>
  <c r="CB96" i="171"/>
  <c r="P74" i="171"/>
  <c r="CB72" i="171"/>
  <c r="P75" i="171"/>
  <c r="L75" i="171"/>
  <c r="CA72" i="171"/>
  <c r="L74" i="171"/>
  <c r="BZ108" i="171"/>
  <c r="H111" i="171"/>
  <c r="BZ78" i="171"/>
  <c r="CV10" i="171"/>
  <c r="CV69" i="171" s="1"/>
  <c r="CV12" i="171"/>
  <c r="X98" i="171"/>
  <c r="X99" i="171"/>
  <c r="CD96" i="171"/>
  <c r="AW156" i="175"/>
  <c r="DA33" i="171"/>
  <c r="V110" i="171"/>
  <c r="V111" i="171"/>
  <c r="CV108" i="171"/>
  <c r="S110" i="171"/>
  <c r="S111" i="171"/>
  <c r="AK300" i="175"/>
  <c r="AN184" i="171"/>
  <c r="AR183" i="171"/>
  <c r="CH182" i="171"/>
  <c r="BK214" i="172"/>
  <c r="AH303" i="175"/>
  <c r="S74" i="171"/>
  <c r="S75" i="171"/>
  <c r="O117" i="171"/>
  <c r="O116" i="171"/>
  <c r="O80" i="171"/>
  <c r="K110" i="171"/>
  <c r="K111" i="171"/>
  <c r="AH99" i="171"/>
  <c r="R116" i="171"/>
  <c r="R117" i="171"/>
  <c r="CU114" i="171"/>
  <c r="R111" i="171"/>
  <c r="CU108" i="171"/>
  <c r="R110" i="171"/>
  <c r="N117" i="171"/>
  <c r="N116" i="171"/>
  <c r="CT114" i="171"/>
  <c r="N98" i="171"/>
  <c r="N99" i="171"/>
  <c r="CT96" i="171"/>
  <c r="J196" i="171"/>
  <c r="J104" i="171"/>
  <c r="CS102" i="171"/>
  <c r="J105" i="171"/>
  <c r="F99" i="171"/>
  <c r="CR96" i="171"/>
  <c r="W110" i="171"/>
  <c r="W111" i="171"/>
  <c r="V98" i="171"/>
  <c r="V99" i="171"/>
  <c r="CV96" i="171"/>
  <c r="Z104" i="171"/>
  <c r="Z196" i="171"/>
  <c r="Z105" i="171"/>
  <c r="Z117" i="171"/>
  <c r="Z116" i="171"/>
  <c r="AA159" i="171"/>
  <c r="AA262" i="171"/>
  <c r="AA158" i="171"/>
  <c r="AA128" i="171"/>
  <c r="AA129" i="171"/>
  <c r="AA104" i="171"/>
  <c r="AA105" i="171"/>
  <c r="AA196" i="171"/>
  <c r="AE140" i="171"/>
  <c r="AE74" i="171"/>
  <c r="AE75" i="171"/>
  <c r="AI159" i="171"/>
  <c r="U196" i="171"/>
  <c r="U104" i="171"/>
  <c r="U105" i="171"/>
  <c r="Q104" i="171"/>
  <c r="Q105" i="171"/>
  <c r="Q196" i="171"/>
  <c r="M110" i="171"/>
  <c r="M111" i="171"/>
  <c r="CV126" i="171"/>
  <c r="Y128" i="171"/>
  <c r="Y129" i="171"/>
  <c r="CD126" i="171"/>
  <c r="Y80" i="171"/>
  <c r="Y81" i="171"/>
  <c r="AD110" i="171"/>
  <c r="AD111" i="171"/>
  <c r="AX69" i="171"/>
  <c r="T116" i="171"/>
  <c r="T117" i="171"/>
  <c r="CC114" i="171"/>
  <c r="P117" i="171"/>
  <c r="P116" i="171"/>
  <c r="CB114" i="171"/>
  <c r="L104" i="171"/>
  <c r="L196" i="171"/>
  <c r="L105" i="171"/>
  <c r="CA102" i="171"/>
  <c r="H105" i="171"/>
  <c r="H196" i="171"/>
  <c r="BZ102" i="171"/>
  <c r="AC140" i="171"/>
  <c r="CD108" i="171"/>
  <c r="X111" i="171"/>
  <c r="Z111" i="171"/>
  <c r="Z110" i="171"/>
  <c r="AK294" i="175"/>
  <c r="Y123" i="171"/>
  <c r="CD120" i="171"/>
  <c r="CV120" i="171"/>
  <c r="AE110" i="171"/>
  <c r="AE111" i="171"/>
  <c r="AH348" i="175"/>
  <c r="AU176" i="171"/>
  <c r="S117" i="171"/>
  <c r="S116" i="171"/>
  <c r="S99" i="171"/>
  <c r="S98" i="171"/>
  <c r="O110" i="171"/>
  <c r="O111" i="171"/>
  <c r="O104" i="171"/>
  <c r="O196" i="171"/>
  <c r="O105" i="171"/>
  <c r="K75" i="171"/>
  <c r="K74" i="171"/>
  <c r="G196" i="171"/>
  <c r="G105" i="171"/>
  <c r="R80" i="171"/>
  <c r="R81" i="171"/>
  <c r="CU78" i="171"/>
  <c r="N74" i="171"/>
  <c r="N75" i="171"/>
  <c r="CT72" i="171"/>
  <c r="J98" i="171"/>
  <c r="J99" i="171"/>
  <c r="CS96" i="171"/>
  <c r="F117" i="171"/>
  <c r="CR114" i="171"/>
  <c r="W117" i="171"/>
  <c r="W116" i="171"/>
  <c r="V116" i="171"/>
  <c r="V117" i="171"/>
  <c r="CV114" i="171"/>
  <c r="V80" i="171"/>
  <c r="V81" i="171"/>
  <c r="CV78" i="171"/>
  <c r="Z98" i="171"/>
  <c r="Z99" i="171"/>
  <c r="Z158" i="171"/>
  <c r="Z159" i="171"/>
  <c r="Z262" i="171"/>
  <c r="Z80" i="171"/>
  <c r="Z81" i="171"/>
  <c r="AA116" i="171"/>
  <c r="AA117" i="171"/>
  <c r="AA75" i="171"/>
  <c r="AA74" i="171"/>
  <c r="AA195" i="171"/>
  <c r="AE159" i="171"/>
  <c r="AE158" i="171"/>
  <c r="AI80" i="171"/>
  <c r="AI81" i="171"/>
  <c r="U99" i="171"/>
  <c r="U98" i="171"/>
  <c r="Q98" i="171"/>
  <c r="Q99" i="171"/>
  <c r="M104" i="171"/>
  <c r="M196" i="171"/>
  <c r="M105" i="171"/>
  <c r="M246" i="171" s="1"/>
  <c r="I196" i="171"/>
  <c r="I105" i="171"/>
  <c r="I75" i="171"/>
  <c r="Y98" i="171"/>
  <c r="Y99" i="171"/>
  <c r="CV138" i="171"/>
  <c r="Y140" i="171"/>
  <c r="CD138" i="171"/>
  <c r="Y74" i="171"/>
  <c r="Y75" i="171"/>
  <c r="AD74" i="171"/>
  <c r="AD75" i="171"/>
  <c r="T80" i="171"/>
  <c r="T81" i="171"/>
  <c r="CC78" i="171"/>
  <c r="CB108" i="171"/>
  <c r="P110" i="171"/>
  <c r="P111" i="171"/>
  <c r="CA78" i="171"/>
  <c r="L80" i="171"/>
  <c r="L116" i="171"/>
  <c r="CA114" i="171"/>
  <c r="L117" i="171"/>
  <c r="H117" i="171"/>
  <c r="BZ114" i="171"/>
  <c r="AC134" i="171"/>
  <c r="AC135" i="171"/>
  <c r="AC99" i="171"/>
  <c r="AC98" i="171"/>
  <c r="AC116" i="171"/>
  <c r="AC117" i="171"/>
  <c r="CD12" i="171"/>
  <c r="CD10" i="171"/>
  <c r="CD69" i="171" s="1"/>
  <c r="X80" i="171"/>
  <c r="X81" i="171"/>
  <c r="CD78" i="171"/>
  <c r="X104" i="171"/>
  <c r="X196" i="171"/>
  <c r="X105" i="171"/>
  <c r="CD102" i="171"/>
  <c r="AT295" i="175"/>
  <c r="BW295" i="175"/>
  <c r="DH212" i="172"/>
  <c r="EH100" i="135"/>
  <c r="BE410" i="172"/>
  <c r="BF410" i="172"/>
  <c r="BR257" i="172"/>
  <c r="BR269" i="172"/>
  <c r="BR267" i="172" s="1"/>
  <c r="BR255" i="172"/>
  <c r="BS256" i="172"/>
  <c r="BR256" i="172"/>
  <c r="BR250" i="172"/>
  <c r="BS251" i="172"/>
  <c r="BU251" i="172" s="1"/>
  <c r="AT308" i="175"/>
  <c r="AL311" i="175"/>
  <c r="AL373" i="175" s="1"/>
  <c r="AL384" i="175" s="1"/>
  <c r="G224" i="172"/>
  <c r="H227" i="172"/>
  <c r="K226" i="172"/>
  <c r="DD274" i="172"/>
  <c r="DE274" i="172"/>
  <c r="BO53" i="172"/>
  <c r="BI300" i="172"/>
  <c r="BH301" i="172"/>
  <c r="Q224" i="172"/>
  <c r="CE12" i="7" s="1"/>
  <c r="M228" i="172"/>
  <c r="R229" i="172" s="1"/>
  <c r="M227" i="172"/>
  <c r="M231" i="172"/>
  <c r="M226" i="172"/>
  <c r="R226" i="172"/>
  <c r="N227" i="172"/>
  <c r="DF274" i="172"/>
  <c r="DG274" i="172"/>
  <c r="DF212" i="172"/>
  <c r="DE212" i="172"/>
  <c r="DB212" i="172"/>
  <c r="DC212" i="172"/>
  <c r="BP268" i="172"/>
  <c r="BP258" i="172"/>
  <c r="BP259" i="172"/>
  <c r="AP235" i="172"/>
  <c r="AP234" i="172"/>
  <c r="DK253" i="172"/>
  <c r="BQ256" i="172"/>
  <c r="BQ257" i="172"/>
  <c r="BQ255" i="172"/>
  <c r="BT253" i="172"/>
  <c r="BQ269" i="172"/>
  <c r="DK270" i="172" s="1"/>
  <c r="CE264" i="172"/>
  <c r="CF265" i="172"/>
  <c r="CG265" i="172" s="1"/>
  <c r="CH265" i="172" s="1"/>
  <c r="AU379" i="175"/>
  <c r="AP380" i="175"/>
  <c r="DD226" i="172"/>
  <c r="DE226" i="172"/>
  <c r="DH246" i="172"/>
  <c r="DI246" i="172"/>
  <c r="EH118" i="135"/>
  <c r="BF241" i="172"/>
  <c r="BK239" i="172"/>
  <c r="BF240" i="172"/>
  <c r="BG241" i="172"/>
  <c r="BL239" i="172"/>
  <c r="BG240" i="172"/>
  <c r="AT236" i="172"/>
  <c r="DL264" i="172"/>
  <c r="DL265" i="172" s="1"/>
  <c r="BQ248" i="172"/>
  <c r="BQ249" i="172" s="1"/>
  <c r="DK251" i="172"/>
  <c r="CG244" i="172"/>
  <c r="CL244" i="172" s="1"/>
  <c r="CQ244" i="172" s="1"/>
  <c r="CV244" i="172" s="1"/>
  <c r="EC37" i="135"/>
  <c r="EH37" i="135"/>
  <c r="ED38" i="135"/>
  <c r="BG170" i="189" l="1"/>
  <c r="BG175" i="189" s="1"/>
  <c r="BG172" i="189"/>
  <c r="CJ272" i="172"/>
  <c r="CO272" i="172" s="1"/>
  <c r="CT272" i="172" s="1"/>
  <c r="CT278" i="172" s="1"/>
  <c r="CT276" i="172" s="1"/>
  <c r="CE278" i="172"/>
  <c r="CE276" i="172" s="1"/>
  <c r="BH101" i="189"/>
  <c r="CX162" i="172"/>
  <c r="CX161" i="172" s="1"/>
  <c r="BO267" i="172"/>
  <c r="BO268" i="172" s="1"/>
  <c r="BU30" i="9"/>
  <c r="FQ39" i="9"/>
  <c r="CW220" i="172"/>
  <c r="CW181" i="172"/>
  <c r="FC23" i="9"/>
  <c r="FH56" i="135"/>
  <c r="FK57" i="135"/>
  <c r="FK23" i="9"/>
  <c r="BU13" i="9"/>
  <c r="FJ57" i="135"/>
  <c r="FJ23" i="9"/>
  <c r="FG35" i="8"/>
  <c r="FH35" i="8"/>
  <c r="FI35" i="8" s="1"/>
  <c r="FJ35" i="8" s="1"/>
  <c r="FK35" i="8" s="1"/>
  <c r="FL35" i="8" s="1"/>
  <c r="FG16" i="8"/>
  <c r="FH16" i="8"/>
  <c r="FI16" i="8" s="1"/>
  <c r="FJ16" i="8" s="1"/>
  <c r="FK16" i="8" s="1"/>
  <c r="FL16" i="8" s="1"/>
  <c r="CX455" i="172"/>
  <c r="CX97" i="172"/>
  <c r="CX183" i="172"/>
  <c r="CW161" i="172"/>
  <c r="CX131" i="172"/>
  <c r="CX480" i="172"/>
  <c r="CX135" i="172"/>
  <c r="CX115" i="172"/>
  <c r="CX470" i="172"/>
  <c r="CX126" i="172"/>
  <c r="CX181" i="172"/>
  <c r="CX475" i="172"/>
  <c r="CW138" i="172"/>
  <c r="CW136" i="172"/>
  <c r="CW190" i="172"/>
  <c r="CX102" i="172"/>
  <c r="CX460" i="172"/>
  <c r="CX163" i="172"/>
  <c r="CX186" i="172"/>
  <c r="CX185" i="172" s="1"/>
  <c r="CW185" i="172"/>
  <c r="FG12" i="8"/>
  <c r="FH12" i="8"/>
  <c r="FI12" i="8" s="1"/>
  <c r="FJ12" i="8" s="1"/>
  <c r="FK12" i="8" s="1"/>
  <c r="FL12" i="8" s="1"/>
  <c r="AC81" i="171"/>
  <c r="BB19" i="171"/>
  <c r="BB22" i="171" s="1"/>
  <c r="BA155" i="189" s="1"/>
  <c r="BG14" i="171"/>
  <c r="BL14" i="171" s="1"/>
  <c r="BF24" i="189"/>
  <c r="BF27" i="189" s="1"/>
  <c r="BF88" i="189"/>
  <c r="BG90" i="189" s="1"/>
  <c r="BF100" i="189"/>
  <c r="BK100" i="189" s="1"/>
  <c r="DD15" i="12"/>
  <c r="BZ54" i="135"/>
  <c r="GD54" i="9"/>
  <c r="BF170" i="189"/>
  <c r="BF175" i="189" s="1"/>
  <c r="BF172" i="189"/>
  <c r="CE282" i="172"/>
  <c r="FQ27" i="9"/>
  <c r="BK27" i="9"/>
  <c r="EF61" i="9"/>
  <c r="EJ55" i="9"/>
  <c r="EE61" i="9"/>
  <c r="EL55" i="9"/>
  <c r="EH61" i="9"/>
  <c r="EG61" i="9"/>
  <c r="EI61" i="9"/>
  <c r="EJ61" i="9"/>
  <c r="EK61" i="9"/>
  <c r="EG55" i="9"/>
  <c r="EE55" i="9"/>
  <c r="EI55" i="9"/>
  <c r="ED61" i="9"/>
  <c r="AK24" i="9"/>
  <c r="AA249" i="172"/>
  <c r="CP63" i="135"/>
  <c r="AU241" i="172"/>
  <c r="AU242" i="172" s="1"/>
  <c r="BO228" i="172"/>
  <c r="BO229" i="172" s="1"/>
  <c r="AU100" i="189"/>
  <c r="AZ93" i="189"/>
  <c r="AX100" i="189"/>
  <c r="AV91" i="189"/>
  <c r="BA93" i="189"/>
  <c r="BE172" i="189"/>
  <c r="BE170" i="189"/>
  <c r="BE175" i="189" s="1"/>
  <c r="FP38" i="9"/>
  <c r="FP39" i="9" s="1"/>
  <c r="BY264" i="172"/>
  <c r="BY265" i="172" s="1"/>
  <c r="BY224" i="172"/>
  <c r="BY226" i="172" s="1"/>
  <c r="BX396" i="175"/>
  <c r="AS324" i="175"/>
  <c r="AS404" i="175" s="1"/>
  <c r="BM173" i="189"/>
  <c r="BR173" i="189"/>
  <c r="BC173" i="189"/>
  <c r="CC170" i="189"/>
  <c r="AW360" i="189"/>
  <c r="AW303" i="189"/>
  <c r="AW181" i="189"/>
  <c r="AW176" i="189"/>
  <c r="BA170" i="189"/>
  <c r="BA175" i="189" s="1"/>
  <c r="BA172" i="189"/>
  <c r="BA173" i="189" s="1"/>
  <c r="AY170" i="189"/>
  <c r="AY169" i="189" s="1"/>
  <c r="AU175" i="189"/>
  <c r="CC175" i="189" s="1"/>
  <c r="BH173" i="189"/>
  <c r="AY172" i="189"/>
  <c r="AY173" i="189" s="1"/>
  <c r="AY163" i="189"/>
  <c r="BD163" i="189"/>
  <c r="BB172" i="189"/>
  <c r="BB173" i="189" s="1"/>
  <c r="BB170" i="189"/>
  <c r="BB175" i="189" s="1"/>
  <c r="AS360" i="189"/>
  <c r="AS176" i="189"/>
  <c r="AS181" i="189"/>
  <c r="AO295" i="189"/>
  <c r="AP295" i="189"/>
  <c r="CD167" i="189"/>
  <c r="BD167" i="189"/>
  <c r="AZ170" i="189"/>
  <c r="AZ172" i="189"/>
  <c r="AZ173" i="189" s="1"/>
  <c r="AT173" i="189"/>
  <c r="AN181" i="189"/>
  <c r="AO181" i="189" s="1"/>
  <c r="AO182" i="189" s="1"/>
  <c r="AN360" i="189"/>
  <c r="AO175" i="189"/>
  <c r="AO176" i="189" s="1"/>
  <c r="AX175" i="189"/>
  <c r="CD165" i="189"/>
  <c r="AY165" i="189"/>
  <c r="AY164" i="189" s="1"/>
  <c r="AV181" i="189"/>
  <c r="AV360" i="189"/>
  <c r="AV303" i="189"/>
  <c r="AV301" i="189" s="1"/>
  <c r="AV304" i="189" s="1"/>
  <c r="AR181" i="189"/>
  <c r="AR182" i="189" s="1"/>
  <c r="AR360" i="189"/>
  <c r="AR176" i="189"/>
  <c r="AQ169" i="189"/>
  <c r="AQ170" i="189" s="1"/>
  <c r="AQ175" i="189" s="1"/>
  <c r="AV176" i="189" s="1"/>
  <c r="AP170" i="189"/>
  <c r="BU292" i="172"/>
  <c r="BU211" i="172"/>
  <c r="BU245" i="172"/>
  <c r="BU225" i="172"/>
  <c r="BU273" i="172"/>
  <c r="BW227" i="172"/>
  <c r="CC264" i="172"/>
  <c r="CE266" i="172" s="1"/>
  <c r="BX253" i="172"/>
  <c r="BX266" i="172"/>
  <c r="BV247" i="172"/>
  <c r="CA244" i="172"/>
  <c r="CB247" i="172" s="1"/>
  <c r="BY244" i="172"/>
  <c r="BZ278" i="172"/>
  <c r="BZ276" i="172" s="1"/>
  <c r="BZ282" i="172"/>
  <c r="BZ283" i="172" s="1"/>
  <c r="CC247" i="172"/>
  <c r="BY145" i="172"/>
  <c r="BY143" i="172"/>
  <c r="AK60" i="175"/>
  <c r="BW266" i="172"/>
  <c r="BW229" i="172"/>
  <c r="CF237" i="172"/>
  <c r="CK237" i="172" s="1"/>
  <c r="CP237" i="172" s="1"/>
  <c r="CU237" i="172" s="1"/>
  <c r="BW247" i="172"/>
  <c r="BW255" i="172"/>
  <c r="BW269" i="172"/>
  <c r="BW267" i="172" s="1"/>
  <c r="BW268" i="172" s="1"/>
  <c r="CB230" i="172"/>
  <c r="CB228" i="172" s="1"/>
  <c r="CB229" i="172" s="1"/>
  <c r="CH237" i="172"/>
  <c r="CM237" i="172" s="1"/>
  <c r="CR237" i="172" s="1"/>
  <c r="CW237" i="172" s="1"/>
  <c r="BV230" i="172"/>
  <c r="BV228" i="172" s="1"/>
  <c r="BV229" i="172" s="1"/>
  <c r="BV227" i="172"/>
  <c r="CA224" i="172"/>
  <c r="CB227" i="172" s="1"/>
  <c r="BZ266" i="172"/>
  <c r="BZ253" i="172"/>
  <c r="CA264" i="172"/>
  <c r="CB266" i="172" s="1"/>
  <c r="BV253" i="172"/>
  <c r="BV266" i="172"/>
  <c r="BV251" i="172"/>
  <c r="BW251" i="172" s="1"/>
  <c r="BU250" i="172"/>
  <c r="BU248" i="172" s="1"/>
  <c r="BU249" i="172" s="1"/>
  <c r="BS151" i="172"/>
  <c r="BW150" i="172"/>
  <c r="CB253" i="172"/>
  <c r="BX230" i="172"/>
  <c r="BX228" i="172" s="1"/>
  <c r="BX229" i="172" s="1"/>
  <c r="CC224" i="172"/>
  <c r="BX227" i="172"/>
  <c r="CG237" i="172"/>
  <c r="CL237" i="172" s="1"/>
  <c r="CQ237" i="172" s="1"/>
  <c r="CV237" i="172" s="1"/>
  <c r="BU255" i="172"/>
  <c r="BU256" i="172"/>
  <c r="BU269" i="172"/>
  <c r="BU267" i="172" s="1"/>
  <c r="BU268" i="172" s="1"/>
  <c r="BU257" i="172"/>
  <c r="BU259" i="172" s="1"/>
  <c r="BU254" i="172"/>
  <c r="BZ230" i="172"/>
  <c r="BZ228" i="172" s="1"/>
  <c r="BZ229" i="172" s="1"/>
  <c r="BZ227" i="172"/>
  <c r="BZ221" i="172"/>
  <c r="EK18" i="135"/>
  <c r="EL16" i="135"/>
  <c r="EF55" i="9"/>
  <c r="EK55" i="9"/>
  <c r="BK63" i="172"/>
  <c r="BK61" i="172"/>
  <c r="BM63" i="172"/>
  <c r="BM61" i="172"/>
  <c r="BL63" i="172"/>
  <c r="BL61" i="172"/>
  <c r="AT367" i="189"/>
  <c r="AY367" i="189"/>
  <c r="AJ397" i="175"/>
  <c r="AE384" i="175"/>
  <c r="AE348" i="175"/>
  <c r="AT123" i="189"/>
  <c r="AY123" i="189"/>
  <c r="AE315" i="175"/>
  <c r="AE317" i="175" s="1"/>
  <c r="EH54" i="9"/>
  <c r="EM45" i="9"/>
  <c r="AT217" i="189"/>
  <c r="AY219" i="189"/>
  <c r="AN241" i="175"/>
  <c r="BY125" i="175"/>
  <c r="BY126" i="175" s="1"/>
  <c r="AP232" i="189"/>
  <c r="AP235" i="189" s="1"/>
  <c r="AP237" i="189"/>
  <c r="AM81" i="175"/>
  <c r="AR61" i="175"/>
  <c r="CB236" i="189"/>
  <c r="AS59" i="175"/>
  <c r="AS58" i="175"/>
  <c r="AS8" i="175"/>
  <c r="AU255" i="175"/>
  <c r="AP256" i="175"/>
  <c r="AT255" i="175"/>
  <c r="AT256" i="175" s="1"/>
  <c r="AM53" i="175"/>
  <c r="AL6" i="175"/>
  <c r="AL81" i="175"/>
  <c r="AN232" i="189"/>
  <c r="AN235" i="189" s="1"/>
  <c r="AX255" i="175"/>
  <c r="AS256" i="175"/>
  <c r="AP58" i="175"/>
  <c r="AP59" i="175"/>
  <c r="AT57" i="175"/>
  <c r="AT58" i="175" s="1"/>
  <c r="BW57" i="175"/>
  <c r="AP8" i="175"/>
  <c r="AO8" i="175"/>
  <c r="AK6" i="175"/>
  <c r="AQ58" i="175"/>
  <c r="AQ59" i="175"/>
  <c r="AQ8" i="175"/>
  <c r="AR232" i="189"/>
  <c r="AR235" i="189" s="1"/>
  <c r="AR237" i="189"/>
  <c r="BA88" i="189"/>
  <c r="BA24" i="189"/>
  <c r="BA27" i="189" s="1"/>
  <c r="BA100" i="189"/>
  <c r="AZ88" i="189"/>
  <c r="AZ24" i="189"/>
  <c r="BE91" i="189"/>
  <c r="BF93" i="189" s="1"/>
  <c r="AZ100" i="189"/>
  <c r="AM6" i="175"/>
  <c r="AO232" i="189"/>
  <c r="AO235" i="189" s="1"/>
  <c r="AT261" i="175"/>
  <c r="AW255" i="175"/>
  <c r="AR256" i="175"/>
  <c r="AP63" i="175"/>
  <c r="AL65" i="175"/>
  <c r="AK10" i="175"/>
  <c r="AQ256" i="175"/>
  <c r="AV255" i="175"/>
  <c r="AQ232" i="189"/>
  <c r="AQ235" i="189" s="1"/>
  <c r="AQ237" i="189"/>
  <c r="BH88" i="189"/>
  <c r="BM91" i="189"/>
  <c r="BH24" i="189"/>
  <c r="AR58" i="175"/>
  <c r="AR59" i="175"/>
  <c r="AR8" i="175"/>
  <c r="BZ93" i="171"/>
  <c r="CR87" i="171"/>
  <c r="AT340" i="189"/>
  <c r="AT341" i="189" s="1"/>
  <c r="AE348" i="189"/>
  <c r="AW294" i="189"/>
  <c r="AM315" i="189"/>
  <c r="AR317" i="189"/>
  <c r="AR301" i="189"/>
  <c r="CC300" i="189"/>
  <c r="AS303" i="189"/>
  <c r="AS301" i="189" s="1"/>
  <c r="AN303" i="189"/>
  <c r="AN301" i="189"/>
  <c r="AK301" i="189"/>
  <c r="AO300" i="189"/>
  <c r="AK303" i="189"/>
  <c r="AK293" i="189"/>
  <c r="AF348" i="189"/>
  <c r="AJ293" i="189"/>
  <c r="BS258" i="172"/>
  <c r="BA157" i="189"/>
  <c r="BA156" i="189"/>
  <c r="AH386" i="189"/>
  <c r="AM387" i="189" s="1"/>
  <c r="AH385" i="189"/>
  <c r="AI386" i="189"/>
  <c r="AN387" i="189" s="1"/>
  <c r="AI157" i="189"/>
  <c r="AN159" i="189"/>
  <c r="AI360" i="189"/>
  <c r="AK294" i="189"/>
  <c r="AJ294" i="189"/>
  <c r="AF311" i="189"/>
  <c r="AV341" i="189"/>
  <c r="AP303" i="189"/>
  <c r="AT300" i="189"/>
  <c r="CB300" i="189"/>
  <c r="AM303" i="189"/>
  <c r="AM301" i="189"/>
  <c r="AH360" i="189"/>
  <c r="AH157" i="189"/>
  <c r="AM159" i="189"/>
  <c r="AG360" i="189"/>
  <c r="AL159" i="189"/>
  <c r="AG157" i="189"/>
  <c r="AR349" i="189"/>
  <c r="AM349" i="189"/>
  <c r="BR215" i="172"/>
  <c r="BW215" i="172"/>
  <c r="AE300" i="175"/>
  <c r="AE303" i="175" s="1"/>
  <c r="AE301" i="175" s="1"/>
  <c r="AE300" i="189"/>
  <c r="AE303" i="189" s="1"/>
  <c r="AE301" i="189" s="1"/>
  <c r="AU341" i="189"/>
  <c r="AE315" i="189"/>
  <c r="AE373" i="189"/>
  <c r="AE384" i="189" s="1"/>
  <c r="AR341" i="189"/>
  <c r="CC340" i="189"/>
  <c r="AG303" i="189"/>
  <c r="AJ300" i="189"/>
  <c r="AJ158" i="189" s="1"/>
  <c r="CB340" i="189"/>
  <c r="AL62" i="175"/>
  <c r="AK81" i="175"/>
  <c r="AM9" i="175"/>
  <c r="AM16" i="175" s="1"/>
  <c r="AR10" i="175"/>
  <c r="AQ10" i="175"/>
  <c r="AL9" i="175"/>
  <c r="AL16" i="175" s="1"/>
  <c r="AV90" i="175"/>
  <c r="AV89" i="175"/>
  <c r="AZ88" i="175"/>
  <c r="AZ89" i="175" s="1"/>
  <c r="BB88" i="175"/>
  <c r="BB89" i="175" s="1"/>
  <c r="BA88" i="175"/>
  <c r="V292" i="172"/>
  <c r="V273" i="172"/>
  <c r="W379" i="172"/>
  <c r="BT39" i="172"/>
  <c r="V225" i="172"/>
  <c r="W371" i="172"/>
  <c r="CQ90" i="8"/>
  <c r="V254" i="172"/>
  <c r="V234" i="172"/>
  <c r="V383" i="172"/>
  <c r="BC173" i="175"/>
  <c r="BC25" i="175"/>
  <c r="AS236" i="172"/>
  <c r="AX233" i="172"/>
  <c r="FE57" i="135"/>
  <c r="FE23" i="9"/>
  <c r="FF57" i="135"/>
  <c r="FF23" i="9"/>
  <c r="AO46" i="175"/>
  <c r="CO167" i="172"/>
  <c r="CO166" i="172" s="1"/>
  <c r="CR167" i="172"/>
  <c r="CS163" i="172"/>
  <c r="CS161" i="172"/>
  <c r="CO282" i="172"/>
  <c r="CO278" i="172"/>
  <c r="CO276" i="172" s="1"/>
  <c r="AT21" i="175"/>
  <c r="FC57" i="135"/>
  <c r="FG56" i="135"/>
  <c r="BF33" i="9"/>
  <c r="R36" i="9"/>
  <c r="BE66" i="8"/>
  <c r="AV27" i="9"/>
  <c r="FB16" i="8"/>
  <c r="FB12" i="8"/>
  <c r="FB35" i="8"/>
  <c r="BR214" i="171"/>
  <c r="AY19" i="171"/>
  <c r="AX340" i="189" s="1"/>
  <c r="BC14" i="171"/>
  <c r="CK14" i="171" s="1"/>
  <c r="CK15" i="171" s="1"/>
  <c r="AG157" i="175"/>
  <c r="CJ14" i="171"/>
  <c r="CJ15" i="171" s="1"/>
  <c r="AY16" i="171"/>
  <c r="BA16" i="171"/>
  <c r="Y168" i="171"/>
  <c r="BD14" i="171"/>
  <c r="BD19" i="171" s="1"/>
  <c r="BD22" i="171" s="1"/>
  <c r="CR99" i="171"/>
  <c r="S168" i="171"/>
  <c r="CC20" i="12"/>
  <c r="L195" i="171"/>
  <c r="AD116" i="171"/>
  <c r="AH134" i="171"/>
  <c r="AD140" i="171"/>
  <c r="AI116" i="171"/>
  <c r="AC75" i="171"/>
  <c r="AD105" i="171"/>
  <c r="AC110" i="171"/>
  <c r="AD134" i="171"/>
  <c r="AC196" i="171"/>
  <c r="AC197" i="171" s="1"/>
  <c r="AD135" i="171"/>
  <c r="AH116" i="171"/>
  <c r="AH104" i="171"/>
  <c r="AH105" i="171"/>
  <c r="AC159" i="171"/>
  <c r="AN301" i="175"/>
  <c r="CZ176" i="171"/>
  <c r="BD16" i="171"/>
  <c r="AD196" i="171"/>
  <c r="AD197" i="171" s="1"/>
  <c r="AI74" i="171"/>
  <c r="BI14" i="171"/>
  <c r="BI19" i="171" s="1"/>
  <c r="S195" i="171"/>
  <c r="AD158" i="171"/>
  <c r="AY233" i="172"/>
  <c r="AX241" i="172"/>
  <c r="AN323" i="175"/>
  <c r="AN400" i="175" s="1"/>
  <c r="CS63" i="135"/>
  <c r="CS69" i="135" s="1"/>
  <c r="AU233" i="172"/>
  <c r="AZ239" i="172"/>
  <c r="AZ240" i="172" s="1"/>
  <c r="DM224" i="172"/>
  <c r="DM226" i="172" s="1"/>
  <c r="DL226" i="172"/>
  <c r="FV8" i="7"/>
  <c r="FV174" i="7" s="1"/>
  <c r="BP24" i="9"/>
  <c r="AL24" i="9"/>
  <c r="BF35" i="9"/>
  <c r="BF39" i="9" s="1"/>
  <c r="FO35" i="9"/>
  <c r="FO39" i="9" s="1"/>
  <c r="AQ32" i="9"/>
  <c r="AQ33" i="9" s="1"/>
  <c r="AZ33" i="9"/>
  <c r="FP27" i="9"/>
  <c r="FP33" i="9" s="1"/>
  <c r="BT24" i="9"/>
  <c r="CI14" i="9"/>
  <c r="CJ14" i="9" s="1"/>
  <c r="CL14" i="9" s="1"/>
  <c r="FU14" i="9" s="1"/>
  <c r="BC102" i="175"/>
  <c r="BX24" i="175"/>
  <c r="AL181" i="175"/>
  <c r="AL193" i="175" s="1"/>
  <c r="AL119" i="175" s="1"/>
  <c r="AL128" i="175" s="1"/>
  <c r="AY396" i="175"/>
  <c r="AY397" i="175" s="1"/>
  <c r="AU322" i="175"/>
  <c r="AM181" i="175"/>
  <c r="AM193" i="175" s="1"/>
  <c r="AM119" i="175" s="1"/>
  <c r="AM128" i="175" s="1"/>
  <c r="AU27" i="175"/>
  <c r="AV398" i="175"/>
  <c r="AW398" i="175"/>
  <c r="AX398" i="175"/>
  <c r="CF87" i="8"/>
  <c r="CF88" i="8" s="1"/>
  <c r="CF89" i="8" s="1"/>
  <c r="CN90" i="8"/>
  <c r="CU46" i="8"/>
  <c r="CF46" i="8"/>
  <c r="CG87" i="8"/>
  <c r="CG88" i="8" s="1"/>
  <c r="CG89" i="8" s="1"/>
  <c r="CG46" i="8"/>
  <c r="GB18" i="7"/>
  <c r="GB19" i="7" s="1"/>
  <c r="CL63" i="135"/>
  <c r="CU63" i="135"/>
  <c r="CU69" i="135" s="1"/>
  <c r="CR10" i="7"/>
  <c r="CK9" i="7"/>
  <c r="EH45" i="9"/>
  <c r="CQ46" i="8"/>
  <c r="FU8" i="7"/>
  <c r="FU170" i="7" s="1"/>
  <c r="I169" i="171"/>
  <c r="I187" i="171" s="1"/>
  <c r="X6" i="172" s="1"/>
  <c r="CT93" i="171"/>
  <c r="AL216" i="171"/>
  <c r="AL217" i="171"/>
  <c r="AL213" i="171" s="1"/>
  <c r="AD98" i="171"/>
  <c r="BA19" i="171"/>
  <c r="AI105" i="171"/>
  <c r="AH80" i="171"/>
  <c r="Y195" i="171"/>
  <c r="AM221" i="171"/>
  <c r="AN220" i="171"/>
  <c r="AM215" i="171"/>
  <c r="AM219" i="171"/>
  <c r="AM222" i="171"/>
  <c r="AW234" i="171"/>
  <c r="AW228" i="171" s="1"/>
  <c r="BV260" i="172" s="1"/>
  <c r="AY223" i="171"/>
  <c r="AX224" i="171"/>
  <c r="DC224" i="171" s="1"/>
  <c r="DC223" i="171"/>
  <c r="AX225" i="171"/>
  <c r="AF311" i="175"/>
  <c r="AF373" i="175" s="1"/>
  <c r="AF384" i="175" s="1"/>
  <c r="AI99" i="171"/>
  <c r="AJ300" i="175"/>
  <c r="AJ158" i="175" s="1"/>
  <c r="AJ157" i="175" s="1"/>
  <c r="AI196" i="171"/>
  <c r="AI197" i="171" s="1"/>
  <c r="BH302" i="172"/>
  <c r="AH110" i="171"/>
  <c r="CU87" i="171"/>
  <c r="N195" i="171"/>
  <c r="CA117" i="171"/>
  <c r="AI135" i="171"/>
  <c r="AI249" i="171" s="1"/>
  <c r="AI251" i="171" s="1"/>
  <c r="N168" i="171"/>
  <c r="EC132" i="135"/>
  <c r="BP33" i="9"/>
  <c r="BJ39" i="9"/>
  <c r="BJ66" i="8"/>
  <c r="BK35" i="9"/>
  <c r="CL46" i="8"/>
  <c r="CM10" i="7"/>
  <c r="AP165" i="175"/>
  <c r="CD7" i="8"/>
  <c r="CE21" i="8"/>
  <c r="FO24" i="9"/>
  <c r="GA54" i="9"/>
  <c r="V33" i="9"/>
  <c r="FO27" i="9"/>
  <c r="FO33" i="9" s="1"/>
  <c r="AF39" i="9"/>
  <c r="BF24" i="9"/>
  <c r="AP66" i="8"/>
  <c r="AQ35" i="9"/>
  <c r="AQ66" i="8" s="1"/>
  <c r="AZ93" i="175"/>
  <c r="AZ24" i="175"/>
  <c r="AZ27" i="175" s="1"/>
  <c r="AZ100" i="175"/>
  <c r="BA206" i="175"/>
  <c r="AZ115" i="175"/>
  <c r="AZ114" i="175"/>
  <c r="CU90" i="8"/>
  <c r="BA201" i="175"/>
  <c r="AS219" i="175"/>
  <c r="BD239" i="172"/>
  <c r="BE239" i="172" s="1"/>
  <c r="AY241" i="172"/>
  <c r="AZ241" i="172" s="1"/>
  <c r="AY240" i="172"/>
  <c r="BF289" i="172"/>
  <c r="BD288" i="172"/>
  <c r="BD289" i="172"/>
  <c r="BE287" i="172"/>
  <c r="BE288" i="172" s="1"/>
  <c r="BJ285" i="172"/>
  <c r="FT174" i="7"/>
  <c r="FT173" i="7"/>
  <c r="FT170" i="7"/>
  <c r="FT171" i="7"/>
  <c r="FT28" i="7"/>
  <c r="FT25" i="7"/>
  <c r="FT172" i="7"/>
  <c r="FT18" i="7"/>
  <c r="FT31" i="7"/>
  <c r="DE44" i="7"/>
  <c r="DE38" i="7"/>
  <c r="DE53" i="7"/>
  <c r="DE39" i="7"/>
  <c r="FZ37" i="7"/>
  <c r="FZ19" i="7"/>
  <c r="FX37" i="7"/>
  <c r="FX19" i="7"/>
  <c r="DW39" i="7"/>
  <c r="EB39" i="7"/>
  <c r="DW53" i="7"/>
  <c r="DW44" i="7"/>
  <c r="DW38" i="7"/>
  <c r="DN37" i="7"/>
  <c r="DN19" i="7"/>
  <c r="CX38" i="7"/>
  <c r="CX53" i="7"/>
  <c r="CX44" i="7"/>
  <c r="CO8" i="7"/>
  <c r="CN63" i="135"/>
  <c r="DH39" i="7"/>
  <c r="DC38" i="7"/>
  <c r="DC53" i="7"/>
  <c r="DC54" i="7" s="1"/>
  <c r="DC39" i="7"/>
  <c r="DC44" i="7"/>
  <c r="CF25" i="7"/>
  <c r="CJ8" i="7"/>
  <c r="CF18" i="7"/>
  <c r="CF171" i="7"/>
  <c r="CF174" i="7"/>
  <c r="CF170" i="7"/>
  <c r="CF173" i="7"/>
  <c r="CF31" i="7"/>
  <c r="CF35" i="7"/>
  <c r="CF172" i="7"/>
  <c r="CF28" i="7"/>
  <c r="DQ53" i="7"/>
  <c r="DV39" i="7"/>
  <c r="DQ39" i="7"/>
  <c r="DQ44" i="7"/>
  <c r="DQ38" i="7"/>
  <c r="DK53" i="7"/>
  <c r="DK44" i="7"/>
  <c r="DK38" i="7"/>
  <c r="DK39" i="7"/>
  <c r="DM44" i="7"/>
  <c r="DM38" i="7"/>
  <c r="DM53" i="7"/>
  <c r="DM39" i="7"/>
  <c r="CP25" i="7"/>
  <c r="CP28" i="7"/>
  <c r="CP10" i="7"/>
  <c r="CT8" i="7"/>
  <c r="CP18" i="7"/>
  <c r="CP171" i="7"/>
  <c r="CP170" i="7"/>
  <c r="CP173" i="7"/>
  <c r="CP174" i="7"/>
  <c r="CP35" i="7"/>
  <c r="CP172" i="7"/>
  <c r="CP9" i="7"/>
  <c r="CP31" i="7"/>
  <c r="CW44" i="7"/>
  <c r="CW38" i="7"/>
  <c r="CW53" i="7"/>
  <c r="EA37" i="7"/>
  <c r="EA19" i="7"/>
  <c r="GC18" i="7"/>
  <c r="CR37" i="7"/>
  <c r="CW39" i="7" s="1"/>
  <c r="CR19" i="7"/>
  <c r="DP44" i="7"/>
  <c r="DP38" i="7"/>
  <c r="DP39" i="7"/>
  <c r="DP53" i="7"/>
  <c r="DU39" i="7"/>
  <c r="CV37" i="7"/>
  <c r="DA39" i="7" s="1"/>
  <c r="CV19" i="7"/>
  <c r="GB35" i="7"/>
  <c r="GB28" i="7"/>
  <c r="GB25" i="7"/>
  <c r="GB31" i="7"/>
  <c r="GB9" i="7"/>
  <c r="EC25" i="7"/>
  <c r="EC31" i="7"/>
  <c r="EC28" i="7"/>
  <c r="EC35" i="7"/>
  <c r="EH9" i="7"/>
  <c r="EC18" i="7"/>
  <c r="EC9" i="7"/>
  <c r="DA38" i="7"/>
  <c r="DA53" i="7"/>
  <c r="DA44" i="7"/>
  <c r="CM19" i="7"/>
  <c r="CM37" i="7"/>
  <c r="DI37" i="7"/>
  <c r="DI19" i="7"/>
  <c r="DH44" i="7"/>
  <c r="DH45" i="7" s="1"/>
  <c r="DH38" i="7"/>
  <c r="DH53" i="7"/>
  <c r="FW19" i="7"/>
  <c r="FW37" i="7"/>
  <c r="CZ44" i="7"/>
  <c r="CZ38" i="7"/>
  <c r="CZ53" i="7"/>
  <c r="DJ38" i="7"/>
  <c r="DJ53" i="7"/>
  <c r="DJ39" i="7"/>
  <c r="DJ44" i="7"/>
  <c r="CU25" i="7"/>
  <c r="CU170" i="7"/>
  <c r="CU18" i="7"/>
  <c r="CU31" i="7"/>
  <c r="CU9" i="7"/>
  <c r="CU174" i="7"/>
  <c r="CU171" i="7"/>
  <c r="CU172" i="7"/>
  <c r="CU28" i="7"/>
  <c r="CY8" i="7"/>
  <c r="CU173" i="7"/>
  <c r="CU10" i="7"/>
  <c r="CU35" i="7"/>
  <c r="CZ9" i="7"/>
  <c r="DL53" i="7"/>
  <c r="DL44" i="7"/>
  <c r="DL38" i="7"/>
  <c r="DL39" i="7"/>
  <c r="DF44" i="7"/>
  <c r="DF38" i="7"/>
  <c r="DF53" i="7"/>
  <c r="DF39" i="7"/>
  <c r="DO39" i="7"/>
  <c r="DO53" i="7"/>
  <c r="DO38" i="7"/>
  <c r="DO44" i="7"/>
  <c r="DT44" i="7"/>
  <c r="DT38" i="7"/>
  <c r="DT39" i="7"/>
  <c r="DT53" i="7"/>
  <c r="CG10" i="7"/>
  <c r="CG171" i="7"/>
  <c r="CG173" i="7"/>
  <c r="CG18" i="7"/>
  <c r="CG25" i="7"/>
  <c r="CG174" i="7"/>
  <c r="CG31" i="7"/>
  <c r="CG170" i="7"/>
  <c r="CG28" i="7"/>
  <c r="CG35" i="7"/>
  <c r="CG172" i="7"/>
  <c r="DY19" i="7"/>
  <c r="DY37" i="7"/>
  <c r="DS37" i="7"/>
  <c r="DS19" i="7"/>
  <c r="GA17" i="7"/>
  <c r="GA18" i="7" s="1"/>
  <c r="DX17" i="7"/>
  <c r="DX18" i="7" s="1"/>
  <c r="DR39" i="7"/>
  <c r="DR44" i="7"/>
  <c r="DR38" i="7"/>
  <c r="DR53" i="7"/>
  <c r="FY37" i="7"/>
  <c r="FY19" i="7"/>
  <c r="CQ10" i="7"/>
  <c r="CQ18" i="7"/>
  <c r="CQ9" i="7"/>
  <c r="CQ174" i="7"/>
  <c r="CQ171" i="7"/>
  <c r="CQ173" i="7"/>
  <c r="CQ28" i="7"/>
  <c r="CQ25" i="7"/>
  <c r="CQ31" i="7"/>
  <c r="CQ172" i="7"/>
  <c r="CQ170" i="7"/>
  <c r="CQ35" i="7"/>
  <c r="CS9" i="7"/>
  <c r="CS10" i="7"/>
  <c r="CS35" i="7"/>
  <c r="CS172" i="7"/>
  <c r="CS25" i="7"/>
  <c r="CS31" i="7"/>
  <c r="CS171" i="7"/>
  <c r="CS174" i="7"/>
  <c r="CS170" i="7"/>
  <c r="CS18" i="7"/>
  <c r="CS173" i="7"/>
  <c r="CS28" i="7"/>
  <c r="CX9" i="7"/>
  <c r="CL25" i="7"/>
  <c r="CL171" i="7"/>
  <c r="CL28" i="7"/>
  <c r="CL31" i="7"/>
  <c r="CL174" i="7"/>
  <c r="CL172" i="7"/>
  <c r="CL10" i="7"/>
  <c r="CL170" i="7"/>
  <c r="CL9" i="7"/>
  <c r="CL173" i="7"/>
  <c r="CL18" i="7"/>
  <c r="CL35" i="7"/>
  <c r="DD37" i="7"/>
  <c r="DD19" i="7"/>
  <c r="CH37" i="7"/>
  <c r="CH19" i="7"/>
  <c r="GC25" i="7"/>
  <c r="GC28" i="7"/>
  <c r="GC31" i="7"/>
  <c r="GD9" i="7"/>
  <c r="GC35" i="7"/>
  <c r="GC9" i="7"/>
  <c r="DB44" i="7"/>
  <c r="DB38" i="7"/>
  <c r="DB53" i="7"/>
  <c r="DB39" i="7"/>
  <c r="CK37" i="7"/>
  <c r="CK19" i="7"/>
  <c r="CN18" i="7"/>
  <c r="CN10" i="7"/>
  <c r="CN35" i="7"/>
  <c r="CN174" i="7"/>
  <c r="CN170" i="7"/>
  <c r="CN9" i="7"/>
  <c r="CN31" i="7"/>
  <c r="CN173" i="7"/>
  <c r="CN25" i="7"/>
  <c r="CN172" i="7"/>
  <c r="CN28" i="7"/>
  <c r="CN171" i="7"/>
  <c r="DG38" i="7"/>
  <c r="DG44" i="7"/>
  <c r="DG53" i="7"/>
  <c r="DG39" i="7"/>
  <c r="CI37" i="7"/>
  <c r="CI19" i="7"/>
  <c r="CV10" i="7"/>
  <c r="DZ37" i="7"/>
  <c r="DZ19" i="7"/>
  <c r="CQ63" i="135"/>
  <c r="CQ69" i="135" s="1"/>
  <c r="CS90" i="8"/>
  <c r="CL90" i="8"/>
  <c r="CH10" i="7"/>
  <c r="AG36" i="9"/>
  <c r="AG39" i="9" s="1"/>
  <c r="R39" i="9"/>
  <c r="GF9" i="9"/>
  <c r="GB54" i="9"/>
  <c r="AZ24" i="9"/>
  <c r="W39" i="9"/>
  <c r="FS24" i="9"/>
  <c r="DX45" i="9"/>
  <c r="AX322" i="175"/>
  <c r="AY322" i="175" s="1"/>
  <c r="AT108" i="175"/>
  <c r="CN36" i="8"/>
  <c r="CO36" i="8" s="1"/>
  <c r="AU236" i="172"/>
  <c r="AU237" i="172" s="1"/>
  <c r="BO100" i="172"/>
  <c r="BO134" i="172"/>
  <c r="BY101" i="175"/>
  <c r="BY102" i="175" s="1"/>
  <c r="BY91" i="175"/>
  <c r="BY92" i="175" s="1"/>
  <c r="BW27" i="175"/>
  <c r="AV217" i="175"/>
  <c r="AV218" i="175" s="1"/>
  <c r="BA219" i="175" s="1"/>
  <c r="AV122" i="175"/>
  <c r="AS124" i="175"/>
  <c r="AS37" i="175"/>
  <c r="AS123" i="175"/>
  <c r="AO241" i="175"/>
  <c r="AO242" i="175" s="1"/>
  <c r="AR123" i="175"/>
  <c r="AR124" i="175"/>
  <c r="AR37" i="175"/>
  <c r="BA24" i="9"/>
  <c r="BO111" i="172"/>
  <c r="BO118" i="172"/>
  <c r="EH132" i="135"/>
  <c r="BO105" i="172"/>
  <c r="DH42" i="8"/>
  <c r="DH7" i="8" s="1"/>
  <c r="BO178" i="172"/>
  <c r="BP178" i="172" s="1"/>
  <c r="BP177" i="172" s="1"/>
  <c r="BP176" i="172" s="1"/>
  <c r="BO149" i="172"/>
  <c r="BO129" i="172"/>
  <c r="AR164" i="175"/>
  <c r="AR165" i="175" s="1"/>
  <c r="AR175" i="175" s="1"/>
  <c r="AQ165" i="175"/>
  <c r="BC113" i="175"/>
  <c r="BC34" i="175" s="1"/>
  <c r="BC206" i="175"/>
  <c r="BD199" i="175"/>
  <c r="AV114" i="175"/>
  <c r="AV34" i="175"/>
  <c r="AV115" i="175"/>
  <c r="BB113" i="175"/>
  <c r="AY199" i="175"/>
  <c r="AY200" i="175"/>
  <c r="AW205" i="175"/>
  <c r="AO186" i="175"/>
  <c r="BA114" i="175"/>
  <c r="BB201" i="175"/>
  <c r="BD205" i="175"/>
  <c r="AZ206" i="175"/>
  <c r="AX114" i="175"/>
  <c r="AX34" i="175"/>
  <c r="AU114" i="175"/>
  <c r="AU115" i="175"/>
  <c r="AU34" i="175"/>
  <c r="BX113" i="175"/>
  <c r="BX114" i="175" s="1"/>
  <c r="AL302" i="175"/>
  <c r="AP124" i="175"/>
  <c r="AP37" i="175"/>
  <c r="AQ124" i="175"/>
  <c r="AP123" i="175"/>
  <c r="AT122" i="175"/>
  <c r="BW122" i="175"/>
  <c r="AT135" i="175"/>
  <c r="AP219" i="175"/>
  <c r="AN360" i="175"/>
  <c r="AR217" i="175"/>
  <c r="AR218" i="175" s="1"/>
  <c r="AR219" i="175" s="1"/>
  <c r="BW32" i="175"/>
  <c r="AK408" i="175"/>
  <c r="AO329" i="175"/>
  <c r="BB16" i="171"/>
  <c r="AA168" i="171"/>
  <c r="Z263" i="171"/>
  <c r="Z266" i="171" s="1"/>
  <c r="BF14" i="171"/>
  <c r="BK14" i="171" s="1"/>
  <c r="BP14" i="171" s="1"/>
  <c r="BU14" i="171" s="1"/>
  <c r="BU19" i="171" s="1"/>
  <c r="AH196" i="171"/>
  <c r="AH197" i="171" s="1"/>
  <c r="L168" i="171"/>
  <c r="DA176" i="171"/>
  <c r="DA177" i="171" s="1"/>
  <c r="AI110" i="171"/>
  <c r="AN159" i="175"/>
  <c r="DC14" i="171"/>
  <c r="DC15" i="171" s="1"/>
  <c r="AA197" i="171"/>
  <c r="CU111" i="171"/>
  <c r="CD105" i="171"/>
  <c r="CD81" i="171"/>
  <c r="CH176" i="171"/>
  <c r="CH177" i="171" s="1"/>
  <c r="P169" i="171"/>
  <c r="P187" i="171" s="1"/>
  <c r="P193" i="171" s="1"/>
  <c r="P190" i="171" s="1"/>
  <c r="CV87" i="171"/>
  <c r="CT87" i="171"/>
  <c r="CU93" i="171"/>
  <c r="X249" i="171"/>
  <c r="X251" i="171" s="1"/>
  <c r="CV111" i="171"/>
  <c r="CT111" i="171"/>
  <c r="R169" i="171"/>
  <c r="R187" i="171" s="1"/>
  <c r="R193" i="171" s="1"/>
  <c r="R190" i="171" s="1"/>
  <c r="CH264" i="172"/>
  <c r="CJ265" i="172"/>
  <c r="CK265" i="172" s="1"/>
  <c r="CL265" i="172" s="1"/>
  <c r="CM265" i="172" s="1"/>
  <c r="CO265" i="172" s="1"/>
  <c r="CP265" i="172" s="1"/>
  <c r="CQ265" i="172" s="1"/>
  <c r="CR265" i="172" s="1"/>
  <c r="CT265" i="172" s="1"/>
  <c r="CU265" i="172" s="1"/>
  <c r="CV265" i="172" s="1"/>
  <c r="CW265" i="172" s="1"/>
  <c r="S371" i="172"/>
  <c r="S375" i="172"/>
  <c r="S379" i="172"/>
  <c r="S367" i="172"/>
  <c r="DA224" i="172"/>
  <c r="DB226" i="172" s="1"/>
  <c r="AB375" i="172"/>
  <c r="AB377" i="172" s="1"/>
  <c r="AB379" i="172"/>
  <c r="AB381" i="172" s="1"/>
  <c r="AB367" i="172"/>
  <c r="AB371" i="172"/>
  <c r="AF249" i="172"/>
  <c r="CJ282" i="172"/>
  <c r="CJ283" i="172" s="1"/>
  <c r="CJ278" i="172"/>
  <c r="CJ276" i="172" s="1"/>
  <c r="CJ277" i="172" s="1"/>
  <c r="BC226" i="175"/>
  <c r="BW329" i="175"/>
  <c r="AU225" i="175"/>
  <c r="BX225" i="175" s="1"/>
  <c r="AX366" i="175"/>
  <c r="AX307" i="175"/>
  <c r="AX226" i="175"/>
  <c r="AR366" i="175"/>
  <c r="AR226" i="175"/>
  <c r="AR404" i="175"/>
  <c r="AR323" i="175"/>
  <c r="AR400" i="175" s="1"/>
  <c r="AW400" i="175" s="1"/>
  <c r="AW225" i="175"/>
  <c r="BU39" i="9"/>
  <c r="R33" i="9"/>
  <c r="AU33" i="9"/>
  <c r="AV29" i="9"/>
  <c r="AV33" i="9" s="1"/>
  <c r="M33" i="9"/>
  <c r="AB66" i="8"/>
  <c r="AB39" i="9"/>
  <c r="BU33" i="9"/>
  <c r="FP24" i="9"/>
  <c r="BA39" i="9"/>
  <c r="H39" i="9"/>
  <c r="AA33" i="9"/>
  <c r="AB29" i="9"/>
  <c r="AB33" i="9" s="1"/>
  <c r="EZ57" i="135"/>
  <c r="EZ23" i="9"/>
  <c r="FA57" i="135"/>
  <c r="FA23" i="9"/>
  <c r="FB56" i="135"/>
  <c r="EX23" i="9"/>
  <c r="EX57" i="135"/>
  <c r="EW12" i="8"/>
  <c r="EW35" i="8"/>
  <c r="AR236" i="175"/>
  <c r="AR232" i="175" s="1"/>
  <c r="AR235" i="175" s="1"/>
  <c r="H169" i="171"/>
  <c r="H187" i="171" s="1"/>
  <c r="AN242" i="175"/>
  <c r="AN243" i="175"/>
  <c r="Y379" i="172"/>
  <c r="Y375" i="172"/>
  <c r="Y371" i="172"/>
  <c r="Y367" i="172"/>
  <c r="AD92" i="171"/>
  <c r="AD93" i="171"/>
  <c r="EA63" i="135"/>
  <c r="EA69" i="135" s="1"/>
  <c r="EA46" i="8"/>
  <c r="EA90" i="8"/>
  <c r="AK272" i="175"/>
  <c r="AK245" i="175"/>
  <c r="AP239" i="175"/>
  <c r="DH297" i="172"/>
  <c r="AH87" i="171"/>
  <c r="AH86" i="171"/>
  <c r="L169" i="171"/>
  <c r="L187" i="171" s="1"/>
  <c r="AC379" i="172"/>
  <c r="AC375" i="172"/>
  <c r="AC371" i="172"/>
  <c r="AC367" i="172"/>
  <c r="CB86" i="171"/>
  <c r="AO352" i="175"/>
  <c r="CA92" i="171"/>
  <c r="N171" i="171"/>
  <c r="CD92" i="171"/>
  <c r="CC81" i="171"/>
  <c r="AA169" i="171"/>
  <c r="AA187" i="171" s="1"/>
  <c r="N169" i="171"/>
  <c r="N187" i="171" s="1"/>
  <c r="K169" i="171"/>
  <c r="K187" i="171" s="1"/>
  <c r="CD111" i="171"/>
  <c r="S169" i="171"/>
  <c r="S187" i="171" s="1"/>
  <c r="CA194" i="171"/>
  <c r="CA167" i="171"/>
  <c r="CA85" i="171" s="1"/>
  <c r="T169" i="171"/>
  <c r="T187" i="171" s="1"/>
  <c r="CR111" i="171"/>
  <c r="G169" i="171"/>
  <c r="G172" i="171" s="1"/>
  <c r="CB81" i="171"/>
  <c r="W169" i="171"/>
  <c r="W187" i="171" s="1"/>
  <c r="BA93" i="175"/>
  <c r="EB55" i="9"/>
  <c r="AJ236" i="175"/>
  <c r="AJ232" i="175" s="1"/>
  <c r="AJ235" i="175" s="1"/>
  <c r="AI231" i="175"/>
  <c r="AI231" i="189" s="1"/>
  <c r="AD379" i="172"/>
  <c r="AD375" i="172"/>
  <c r="AD371" i="172"/>
  <c r="AD367" i="172"/>
  <c r="R379" i="172"/>
  <c r="R375" i="172"/>
  <c r="R371" i="172"/>
  <c r="R367" i="172"/>
  <c r="Z379" i="172"/>
  <c r="Z375" i="172"/>
  <c r="Z371" i="172"/>
  <c r="Z367" i="172"/>
  <c r="X379" i="172"/>
  <c r="X375" i="172"/>
  <c r="X371" i="172"/>
  <c r="X367" i="172"/>
  <c r="AQ236" i="175"/>
  <c r="AQ232" i="175" s="1"/>
  <c r="AQ235" i="175" s="1"/>
  <c r="BZ33" i="9"/>
  <c r="CV86" i="171"/>
  <c r="DN48" i="8"/>
  <c r="Z249" i="171"/>
  <c r="CB87" i="171"/>
  <c r="AD86" i="171"/>
  <c r="AD87" i="171"/>
  <c r="AT351" i="175"/>
  <c r="AR352" i="175"/>
  <c r="CU92" i="171"/>
  <c r="CV92" i="171"/>
  <c r="CC92" i="171"/>
  <c r="BO261" i="172"/>
  <c r="CU86" i="171"/>
  <c r="BZ87" i="171"/>
  <c r="CD87" i="171"/>
  <c r="DY46" i="8"/>
  <c r="DY90" i="8"/>
  <c r="DY63" i="135"/>
  <c r="DY69" i="135" s="1"/>
  <c r="CS92" i="171"/>
  <c r="DS48" i="8"/>
  <c r="V169" i="171"/>
  <c r="V187" i="171" s="1"/>
  <c r="CS194" i="171"/>
  <c r="CS167" i="171"/>
  <c r="CS171" i="171" s="1"/>
  <c r="CD194" i="171"/>
  <c r="CD277" i="171"/>
  <c r="CD167" i="171"/>
  <c r="CD91" i="171" s="1"/>
  <c r="Z169" i="171"/>
  <c r="Z187" i="171" s="1"/>
  <c r="CS111" i="171"/>
  <c r="AM242" i="175"/>
  <c r="AM243" i="175"/>
  <c r="BK33" i="9"/>
  <c r="AM120" i="171"/>
  <c r="AM90" i="171"/>
  <c r="AM84" i="171"/>
  <c r="CS99" i="171"/>
  <c r="AH140" i="171"/>
  <c r="BZ111" i="171"/>
  <c r="CA111" i="171"/>
  <c r="ED53" i="123"/>
  <c r="EH53" i="123" s="1"/>
  <c r="AO256" i="175"/>
  <c r="U379" i="172"/>
  <c r="U375" i="172"/>
  <c r="U371" i="172"/>
  <c r="U367" i="172"/>
  <c r="AE379" i="172"/>
  <c r="AE375" i="172"/>
  <c r="AE371" i="172"/>
  <c r="AE367" i="172"/>
  <c r="AK249" i="172"/>
  <c r="AP249" i="172"/>
  <c r="DK248" i="172"/>
  <c r="DK250" i="172" s="1"/>
  <c r="CS87" i="171"/>
  <c r="AS323" i="175"/>
  <c r="CA87" i="171"/>
  <c r="AO32" i="175"/>
  <c r="CT92" i="171"/>
  <c r="W249" i="171"/>
  <c r="W251" i="171" s="1"/>
  <c r="CD86" i="171"/>
  <c r="AV366" i="175"/>
  <c r="AV307" i="175"/>
  <c r="AI86" i="171"/>
  <c r="AI87" i="171"/>
  <c r="CB92" i="171"/>
  <c r="AP404" i="175"/>
  <c r="AP323" i="175"/>
  <c r="CS86" i="171"/>
  <c r="CA86" i="171"/>
  <c r="AC87" i="171"/>
  <c r="AC86" i="171"/>
  <c r="AT46" i="175"/>
  <c r="AO236" i="175"/>
  <c r="AO232" i="175" s="1"/>
  <c r="AO235" i="175" s="1"/>
  <c r="CV81" i="171"/>
  <c r="CT194" i="171"/>
  <c r="CT167" i="171"/>
  <c r="CT91" i="171" s="1"/>
  <c r="BT145" i="172"/>
  <c r="BT203" i="172"/>
  <c r="CB194" i="171"/>
  <c r="CB167" i="171"/>
  <c r="CB171" i="171" s="1"/>
  <c r="O169" i="171"/>
  <c r="O187" i="171" s="1"/>
  <c r="X169" i="171"/>
  <c r="X187" i="171" s="1"/>
  <c r="CR194" i="171"/>
  <c r="CR167" i="171"/>
  <c r="CR171" i="171" s="1"/>
  <c r="AH373" i="175"/>
  <c r="BZ117" i="171"/>
  <c r="Y169" i="171"/>
  <c r="Y187" i="171" s="1"/>
  <c r="CV117" i="171"/>
  <c r="CU81" i="171"/>
  <c r="O197" i="171"/>
  <c r="CC277" i="171"/>
  <c r="CC194" i="171"/>
  <c r="CC167" i="171"/>
  <c r="CC91" i="171" s="1"/>
  <c r="CV194" i="171"/>
  <c r="CV167" i="171"/>
  <c r="CV91" i="171" s="1"/>
  <c r="J169" i="171"/>
  <c r="J187" i="171" s="1"/>
  <c r="CU194" i="171"/>
  <c r="CU167" i="171"/>
  <c r="CU85" i="171" s="1"/>
  <c r="BZ194" i="171"/>
  <c r="BZ167" i="171"/>
  <c r="BZ171" i="171" s="1"/>
  <c r="CC171" i="171"/>
  <c r="CC111" i="171"/>
  <c r="M169" i="171"/>
  <c r="M187" i="171" s="1"/>
  <c r="Q169" i="171"/>
  <c r="Q187" i="171" s="1"/>
  <c r="U169" i="171"/>
  <c r="U187" i="171" s="1"/>
  <c r="F169" i="171"/>
  <c r="F172" i="171" s="1"/>
  <c r="CB111" i="171"/>
  <c r="BA24" i="175"/>
  <c r="BY25" i="175"/>
  <c r="AY25" i="175"/>
  <c r="CY68" i="123"/>
  <c r="CJ15" i="12"/>
  <c r="AE236" i="175"/>
  <c r="AE232" i="175" s="1"/>
  <c r="AE235" i="175" s="1"/>
  <c r="T379" i="172"/>
  <c r="T375" i="172"/>
  <c r="T371" i="172"/>
  <c r="T367" i="172"/>
  <c r="AL242" i="175"/>
  <c r="AL243" i="175"/>
  <c r="AP236" i="175"/>
  <c r="AP232" i="175" s="1"/>
  <c r="AP235" i="175" s="1"/>
  <c r="AL84" i="171"/>
  <c r="AL120" i="171"/>
  <c r="AL90" i="171"/>
  <c r="AG120" i="171"/>
  <c r="AG90" i="171"/>
  <c r="AG84" i="171"/>
  <c r="AB120" i="171"/>
  <c r="AB90" i="171"/>
  <c r="AB84" i="171"/>
  <c r="CT86" i="171"/>
  <c r="BO257" i="172"/>
  <c r="BN259" i="172"/>
  <c r="BM259" i="172"/>
  <c r="AA249" i="171"/>
  <c r="CC86" i="171"/>
  <c r="FF90" i="8"/>
  <c r="FK90" i="8" s="1"/>
  <c r="DZ46" i="8"/>
  <c r="DZ90" i="8"/>
  <c r="DZ63" i="135"/>
  <c r="DZ69" i="135" s="1"/>
  <c r="CC87" i="171"/>
  <c r="AM295" i="172"/>
  <c r="AI92" i="171"/>
  <c r="AI93" i="171"/>
  <c r="DI48" i="8"/>
  <c r="DZ170" i="135"/>
  <c r="EA169" i="135"/>
  <c r="Y249" i="171"/>
  <c r="Y250" i="171" s="1"/>
  <c r="AC92" i="171"/>
  <c r="AC93" i="171"/>
  <c r="AH92" i="171"/>
  <c r="AH93" i="171"/>
  <c r="Z197" i="171"/>
  <c r="V197" i="171"/>
  <c r="AY201" i="175"/>
  <c r="AM12" i="171"/>
  <c r="AM102" i="171"/>
  <c r="AM138" i="171"/>
  <c r="AM108" i="171"/>
  <c r="AI338" i="175"/>
  <c r="AM78" i="171"/>
  <c r="AM162" i="171"/>
  <c r="AM72" i="171"/>
  <c r="AM96" i="171"/>
  <c r="AM114" i="171"/>
  <c r="AM156" i="171"/>
  <c r="AM132" i="171"/>
  <c r="AK394" i="175"/>
  <c r="AP393" i="175"/>
  <c r="AK393" i="175"/>
  <c r="AL12" i="171"/>
  <c r="AH338" i="175"/>
  <c r="AL108" i="171"/>
  <c r="AL138" i="171"/>
  <c r="AL141" i="171" s="1"/>
  <c r="AL78" i="171"/>
  <c r="AL72" i="171"/>
  <c r="AL114" i="171"/>
  <c r="AL162" i="171"/>
  <c r="AL102" i="171"/>
  <c r="AL96" i="171"/>
  <c r="AL156" i="171"/>
  <c r="AL132" i="171"/>
  <c r="AV233" i="175"/>
  <c r="CE7" i="171"/>
  <c r="CG180" i="171"/>
  <c r="CY180" i="171"/>
  <c r="AL29" i="9"/>
  <c r="AL33" i="9" s="1"/>
  <c r="X197" i="171"/>
  <c r="AQ8" i="171"/>
  <c r="AQ11" i="171"/>
  <c r="AN338" i="189" s="1"/>
  <c r="AN339" i="189" s="1"/>
  <c r="AN336" i="175"/>
  <c r="AN337" i="175" s="1"/>
  <c r="AL398" i="175"/>
  <c r="AK398" i="175"/>
  <c r="AP397" i="175"/>
  <c r="AO396" i="175"/>
  <c r="AT397" i="175" s="1"/>
  <c r="AP11" i="171"/>
  <c r="AM338" i="189" s="1"/>
  <c r="AP8" i="171"/>
  <c r="AM336" i="175"/>
  <c r="AK11" i="171"/>
  <c r="AG338" i="189" s="1"/>
  <c r="AG336" i="175"/>
  <c r="DS45" i="9"/>
  <c r="AG12" i="171"/>
  <c r="AG78" i="171"/>
  <c r="AG114" i="171"/>
  <c r="AG72" i="171"/>
  <c r="AG132" i="171"/>
  <c r="AG96" i="171"/>
  <c r="AG156" i="171"/>
  <c r="AG108" i="171"/>
  <c r="AG102" i="171"/>
  <c r="AG138" i="171"/>
  <c r="AG141" i="171" s="1"/>
  <c r="AK397" i="175"/>
  <c r="AQ379" i="175"/>
  <c r="AT313" i="175"/>
  <c r="BW313" i="175"/>
  <c r="EB164" i="135"/>
  <c r="EB165" i="135" s="1"/>
  <c r="EA167" i="135"/>
  <c r="EA166" i="135"/>
  <c r="AF11" i="171"/>
  <c r="CF6" i="171"/>
  <c r="AE336" i="189" s="1"/>
  <c r="AJ337" i="189" s="1"/>
  <c r="AF8" i="171"/>
  <c r="CX6" i="171"/>
  <c r="CX7" i="171" s="1"/>
  <c r="AH56" i="171"/>
  <c r="AG56" i="171"/>
  <c r="AI56" i="171"/>
  <c r="AF56" i="171"/>
  <c r="CZ180" i="171"/>
  <c r="AH312" i="175"/>
  <c r="AH315" i="175" s="1"/>
  <c r="DK246" i="172"/>
  <c r="DK226" i="172"/>
  <c r="AH409" i="175"/>
  <c r="DS54" i="9"/>
  <c r="DX55" i="9" s="1"/>
  <c r="BL214" i="171"/>
  <c r="AL8" i="171"/>
  <c r="FR30" i="9"/>
  <c r="AI312" i="175"/>
  <c r="AI315" i="175" s="1"/>
  <c r="CW11" i="171"/>
  <c r="CE11" i="171"/>
  <c r="AB78" i="171"/>
  <c r="AB114" i="171"/>
  <c r="AB132" i="171"/>
  <c r="AB96" i="171"/>
  <c r="AB138" i="171"/>
  <c r="AB141" i="171" s="1"/>
  <c r="AB108" i="171"/>
  <c r="AB72" i="171"/>
  <c r="AB102" i="171"/>
  <c r="AB12" i="171"/>
  <c r="AB156" i="171"/>
  <c r="CD34" i="12"/>
  <c r="CF26" i="12" s="1"/>
  <c r="CD38" i="12"/>
  <c r="CE38" i="12" s="1"/>
  <c r="EW16" i="8"/>
  <c r="T168" i="171"/>
  <c r="AO175" i="175"/>
  <c r="AO176" i="175" s="1"/>
  <c r="BJ214" i="172"/>
  <c r="BJ302" i="172" s="1"/>
  <c r="BH216" i="172"/>
  <c r="BS216" i="172"/>
  <c r="BT143" i="172"/>
  <c r="EW11" i="12"/>
  <c r="DC246" i="172"/>
  <c r="CG42" i="8"/>
  <c r="CG7" i="8" s="1"/>
  <c r="CH63" i="8"/>
  <c r="CH67" i="8"/>
  <c r="CI40" i="8"/>
  <c r="CH41" i="8"/>
  <c r="BP151" i="172"/>
  <c r="CG16" i="12"/>
  <c r="CH7" i="12" s="1"/>
  <c r="CH16" i="12" s="1"/>
  <c r="CI7" i="12" s="1"/>
  <c r="CI20" i="12" s="1"/>
  <c r="CK16" i="12" s="1"/>
  <c r="CL7" i="12" s="1"/>
  <c r="FR27" i="9"/>
  <c r="CD57" i="135"/>
  <c r="BZ56" i="135"/>
  <c r="BY57" i="135"/>
  <c r="FQ33" i="9"/>
  <c r="BK24" i="9"/>
  <c r="AP24" i="9"/>
  <c r="AQ17" i="9"/>
  <c r="AQ24" i="9" s="1"/>
  <c r="AV66" i="8"/>
  <c r="BP14" i="9"/>
  <c r="AV23" i="9"/>
  <c r="AV24" i="9" s="1"/>
  <c r="DN63" i="8"/>
  <c r="DK63" i="8"/>
  <c r="AW201" i="175"/>
  <c r="AY24" i="175"/>
  <c r="EL14" i="123"/>
  <c r="BQ150" i="172"/>
  <c r="BA234" i="172"/>
  <c r="BA236" i="172"/>
  <c r="BF233" i="172"/>
  <c r="BE111" i="172"/>
  <c r="BE129" i="172"/>
  <c r="BE118" i="172"/>
  <c r="BE134" i="172"/>
  <c r="BE100" i="172"/>
  <c r="BE105" i="172"/>
  <c r="BE32" i="172"/>
  <c r="DX42" i="8"/>
  <c r="DW7" i="8"/>
  <c r="DM40" i="8"/>
  <c r="DL67" i="8"/>
  <c r="DL41" i="8"/>
  <c r="DD42" i="8"/>
  <c r="DC7" i="8"/>
  <c r="H42" i="8"/>
  <c r="G7" i="8"/>
  <c r="M42" i="8"/>
  <c r="L7" i="8"/>
  <c r="BU42" i="8"/>
  <c r="BT7" i="8"/>
  <c r="BZ42" i="8"/>
  <c r="BY7" i="8"/>
  <c r="AK7" i="8"/>
  <c r="AL42" i="8"/>
  <c r="BZ27" i="9"/>
  <c r="FS27" i="9"/>
  <c r="FS33" i="9" s="1"/>
  <c r="FR24" i="9"/>
  <c r="BU17" i="9"/>
  <c r="BU24" i="9" s="1"/>
  <c r="AN36" i="175"/>
  <c r="AK193" i="175"/>
  <c r="AX102" i="175"/>
  <c r="AQ169" i="175"/>
  <c r="AQ170" i="175" s="1"/>
  <c r="AP170" i="175"/>
  <c r="BD168" i="175"/>
  <c r="BZ167" i="175"/>
  <c r="BD200" i="175"/>
  <c r="BD201" i="175" s="1"/>
  <c r="BD190" i="175"/>
  <c r="BD191" i="175" s="1"/>
  <c r="AI406" i="175"/>
  <c r="AT173" i="175"/>
  <c r="BB149" i="175"/>
  <c r="BY200" i="175"/>
  <c r="AH265" i="175"/>
  <c r="BB173" i="175"/>
  <c r="AG301" i="175"/>
  <c r="AF348" i="175"/>
  <c r="AK406" i="175"/>
  <c r="AT199" i="175"/>
  <c r="AW152" i="175"/>
  <c r="AJ293" i="175"/>
  <c r="AJ348" i="175" s="1"/>
  <c r="AI271" i="175"/>
  <c r="AJ263" i="175"/>
  <c r="AJ265" i="175" s="1"/>
  <c r="AJ272" i="175"/>
  <c r="AK293" i="175"/>
  <c r="AK348" i="175" s="1"/>
  <c r="AJ245" i="175"/>
  <c r="AJ246" i="175" s="1"/>
  <c r="BY296" i="175"/>
  <c r="AZ201" i="175"/>
  <c r="BZ198" i="175"/>
  <c r="AG271" i="175"/>
  <c r="AJ271" i="175" s="1"/>
  <c r="AG249" i="175"/>
  <c r="AG253" i="175" s="1"/>
  <c r="BD94" i="175"/>
  <c r="BD95" i="175" s="1"/>
  <c r="BC201" i="175"/>
  <c r="AY92" i="175"/>
  <c r="AI360" i="175"/>
  <c r="BX322" i="175"/>
  <c r="BY396" i="175"/>
  <c r="AI157" i="175"/>
  <c r="AO259" i="175"/>
  <c r="BD91" i="175"/>
  <c r="Z264" i="175"/>
  <c r="BB93" i="175"/>
  <c r="BT111" i="172"/>
  <c r="BT118" i="172"/>
  <c r="BT134" i="172"/>
  <c r="BT149" i="172"/>
  <c r="BT100" i="172"/>
  <c r="BT129" i="172"/>
  <c r="BT105" i="172"/>
  <c r="AK254" i="172"/>
  <c r="AK225" i="172"/>
  <c r="AK273" i="172"/>
  <c r="AK211" i="172"/>
  <c r="AK292" i="172"/>
  <c r="AK234" i="172"/>
  <c r="AW236" i="172"/>
  <c r="BB233" i="172"/>
  <c r="AW234" i="172"/>
  <c r="DD246" i="172"/>
  <c r="CF224" i="172"/>
  <c r="BP228" i="172"/>
  <c r="BU229" i="172" s="1"/>
  <c r="DK231" i="172"/>
  <c r="BT230" i="172"/>
  <c r="BQ151" i="172"/>
  <c r="BR151" i="172"/>
  <c r="DL244" i="172"/>
  <c r="DL246" i="172" s="1"/>
  <c r="AK245" i="172"/>
  <c r="BP27" i="9"/>
  <c r="R24" i="9"/>
  <c r="BF27" i="9"/>
  <c r="DO31" i="12"/>
  <c r="DS26" i="12"/>
  <c r="DO34" i="12"/>
  <c r="DP26" i="12" s="1"/>
  <c r="DP34" i="12" s="1"/>
  <c r="DQ26" i="12" s="1"/>
  <c r="DQ34" i="12" s="1"/>
  <c r="DR26" i="12" s="1"/>
  <c r="DU53" i="123"/>
  <c r="DX53" i="123" s="1"/>
  <c r="DX50" i="123"/>
  <c r="BB38" i="175"/>
  <c r="BB127" i="175"/>
  <c r="BC125" i="175"/>
  <c r="BY38" i="175"/>
  <c r="AW151" i="175"/>
  <c r="EM18" i="123"/>
  <c r="EM17" i="123"/>
  <c r="EM59" i="123"/>
  <c r="EM34" i="123"/>
  <c r="EM58" i="123"/>
  <c r="EM22" i="123"/>
  <c r="EM21" i="123"/>
  <c r="EM14" i="123"/>
  <c r="ER10" i="123" s="1"/>
  <c r="EV46" i="123"/>
  <c r="EX46" i="123" s="1"/>
  <c r="EL39" i="123"/>
  <c r="EM39" i="123" s="1"/>
  <c r="EL42" i="123"/>
  <c r="EL40" i="123"/>
  <c r="EL41" i="123"/>
  <c r="EM41" i="123" s="1"/>
  <c r="EM47" i="123" s="1"/>
  <c r="AH360" i="175"/>
  <c r="AH157" i="175"/>
  <c r="AM159" i="175"/>
  <c r="M197" i="171"/>
  <c r="BI216" i="172"/>
  <c r="AU293" i="175"/>
  <c r="BA176" i="171"/>
  <c r="AY102" i="175"/>
  <c r="AJ259" i="175"/>
  <c r="BZ190" i="175"/>
  <c r="AV170" i="175"/>
  <c r="BY317" i="175"/>
  <c r="AS231" i="175"/>
  <c r="AS231" i="189" s="1"/>
  <c r="AY296" i="175"/>
  <c r="AP186" i="175"/>
  <c r="AV152" i="175"/>
  <c r="AV151" i="175"/>
  <c r="AI409" i="175"/>
  <c r="AK410" i="175"/>
  <c r="AI410" i="175"/>
  <c r="AN411" i="175" s="1"/>
  <c r="ED138" i="135"/>
  <c r="EC137" i="135"/>
  <c r="EH137" i="135"/>
  <c r="G37" i="141"/>
  <c r="ER10" i="12"/>
  <c r="DB7" i="12"/>
  <c r="DA18" i="12"/>
  <c r="CN14" i="9"/>
  <c r="FV14" i="9" s="1"/>
  <c r="EC54" i="9"/>
  <c r="EC45" i="9"/>
  <c r="DN31" i="12"/>
  <c r="DJ39" i="12"/>
  <c r="DN39" i="12" s="1"/>
  <c r="DJ35" i="12"/>
  <c r="DL27" i="12" s="1"/>
  <c r="CV16" i="12"/>
  <c r="CW7" i="12" s="1"/>
  <c r="BP66" i="8"/>
  <c r="W66" i="8"/>
  <c r="GF27" i="9"/>
  <c r="GF33" i="9" s="1"/>
  <c r="ER11" i="12"/>
  <c r="BU66" i="8"/>
  <c r="EM6" i="135"/>
  <c r="EL8" i="135"/>
  <c r="W377" i="172"/>
  <c r="CE237" i="172"/>
  <c r="CJ237" i="172" s="1"/>
  <c r="CO237" i="172" s="1"/>
  <c r="CT237" i="172" s="1"/>
  <c r="BC240" i="172"/>
  <c r="BC241" i="172"/>
  <c r="BH239" i="172"/>
  <c r="BR150" i="172"/>
  <c r="EL13" i="135"/>
  <c r="EM11" i="135"/>
  <c r="AY95" i="175"/>
  <c r="BB24" i="175"/>
  <c r="BC93" i="175"/>
  <c r="AZ142" i="175"/>
  <c r="AZ143" i="175"/>
  <c r="BX82" i="175"/>
  <c r="BX83" i="175" s="1"/>
  <c r="AV84" i="175"/>
  <c r="AV83" i="175"/>
  <c r="BB25" i="175"/>
  <c r="BC96" i="175"/>
  <c r="AU151" i="175"/>
  <c r="BA148" i="175"/>
  <c r="BA149" i="175"/>
  <c r="AW100" i="175"/>
  <c r="AX103" i="175"/>
  <c r="BC104" i="175" s="1"/>
  <c r="AW102" i="175"/>
  <c r="BZ94" i="175"/>
  <c r="BA103" i="175"/>
  <c r="BB142" i="175"/>
  <c r="BB143" i="175"/>
  <c r="BA142" i="175"/>
  <c r="BY141" i="175"/>
  <c r="BY142" i="175" s="1"/>
  <c r="BA143" i="175"/>
  <c r="BY11" i="175"/>
  <c r="L231" i="172"/>
  <c r="BP150" i="172"/>
  <c r="DL10" i="172"/>
  <c r="EJ101" i="135"/>
  <c r="DN57" i="123"/>
  <c r="DJ50" i="123"/>
  <c r="DD56" i="123"/>
  <c r="DD61" i="123" s="1"/>
  <c r="CZ62" i="123"/>
  <c r="CY62" i="123"/>
  <c r="DS50" i="123"/>
  <c r="DO53" i="123"/>
  <c r="DS53" i="123" s="1"/>
  <c r="CZ53" i="123"/>
  <c r="DD53" i="123" s="1"/>
  <c r="DD50" i="123"/>
  <c r="DY53" i="123"/>
  <c r="EC53" i="123" s="1"/>
  <c r="EC50" i="123"/>
  <c r="DE53" i="123"/>
  <c r="DI53" i="123" s="1"/>
  <c r="DI50" i="123"/>
  <c r="Q168" i="171"/>
  <c r="BW300" i="175"/>
  <c r="BL215" i="172"/>
  <c r="BM216" i="172"/>
  <c r="AY178" i="171"/>
  <c r="DB178" i="171"/>
  <c r="DB179" i="171" s="1"/>
  <c r="CI178" i="171"/>
  <c r="CI179" i="171" s="1"/>
  <c r="BR216" i="172"/>
  <c r="BQ216" i="172"/>
  <c r="BQ215" i="172"/>
  <c r="AP303" i="175"/>
  <c r="AT300" i="175"/>
  <c r="U195" i="171"/>
  <c r="BN215" i="172"/>
  <c r="BN216" i="172"/>
  <c r="AG361" i="175"/>
  <c r="AG362" i="175"/>
  <c r="AW217" i="171"/>
  <c r="AW213" i="171" s="1"/>
  <c r="AW216" i="171"/>
  <c r="BP216" i="172"/>
  <c r="BT214" i="172"/>
  <c r="V168" i="171"/>
  <c r="DK214" i="172"/>
  <c r="DK215" i="172" s="1"/>
  <c r="DA184" i="171"/>
  <c r="BS215" i="172"/>
  <c r="AW293" i="175"/>
  <c r="AW294" i="175" s="1"/>
  <c r="BC176" i="171"/>
  <c r="AX219" i="171"/>
  <c r="AX222" i="171"/>
  <c r="AX221" i="171"/>
  <c r="AY220" i="171"/>
  <c r="AX215" i="171"/>
  <c r="CH179" i="171"/>
  <c r="CB80" i="171"/>
  <c r="CV140" i="171"/>
  <c r="CT98" i="171"/>
  <c r="CV122" i="171"/>
  <c r="CC116" i="171"/>
  <c r="CC117" i="171"/>
  <c r="CD128" i="171"/>
  <c r="CV99" i="171"/>
  <c r="CR93" i="171"/>
  <c r="CU116" i="171"/>
  <c r="CV110" i="171"/>
  <c r="CA80" i="171"/>
  <c r="CA75" i="171"/>
  <c r="CB75" i="171"/>
  <c r="CD74" i="171"/>
  <c r="CC75" i="171"/>
  <c r="Y197" i="171"/>
  <c r="CV93" i="171"/>
  <c r="CT74" i="171"/>
  <c r="CS117" i="171"/>
  <c r="R168" i="171"/>
  <c r="O195" i="171"/>
  <c r="CC93" i="171"/>
  <c r="X195" i="171"/>
  <c r="BZ75" i="171"/>
  <c r="CA99" i="171"/>
  <c r="CB110" i="171"/>
  <c r="T197" i="171"/>
  <c r="CD110" i="171"/>
  <c r="CV158" i="171"/>
  <c r="Q195" i="171"/>
  <c r="Z168" i="171"/>
  <c r="CT110" i="171"/>
  <c r="R197" i="171"/>
  <c r="S197" i="171"/>
  <c r="CZ177" i="171"/>
  <c r="CC409" i="172" s="1"/>
  <c r="CD409" i="172" s="1"/>
  <c r="DJ215" i="172"/>
  <c r="CB116" i="171"/>
  <c r="CD140" i="171"/>
  <c r="AM349" i="175"/>
  <c r="CD122" i="171"/>
  <c r="BZ196" i="171"/>
  <c r="CA104" i="171"/>
  <c r="CB104" i="171"/>
  <c r="CA196" i="171"/>
  <c r="CB93" i="171"/>
  <c r="CV129" i="171"/>
  <c r="CD129" i="171"/>
  <c r="AM39" i="171"/>
  <c r="CS98" i="171"/>
  <c r="CS105" i="171"/>
  <c r="CU98" i="171"/>
  <c r="AK303" i="175"/>
  <c r="AO303" i="175" s="1"/>
  <c r="AK301" i="175"/>
  <c r="AO300" i="175"/>
  <c r="AW270" i="171"/>
  <c r="AW231" i="171"/>
  <c r="AW269" i="171"/>
  <c r="AW23" i="171"/>
  <c r="DB22" i="171"/>
  <c r="DB23" i="171" s="1"/>
  <c r="AV155" i="175"/>
  <c r="AV157" i="175" s="1"/>
  <c r="CB74" i="171"/>
  <c r="CC74" i="171"/>
  <c r="CC98" i="171"/>
  <c r="CD98" i="171"/>
  <c r="CD134" i="171"/>
  <c r="CS80" i="171"/>
  <c r="CT196" i="171"/>
  <c r="CU104" i="171"/>
  <c r="CV74" i="171"/>
  <c r="AL39" i="171"/>
  <c r="AT32" i="175"/>
  <c r="X168" i="171"/>
  <c r="BZ97" i="171"/>
  <c r="CA74" i="171"/>
  <c r="CA98" i="171"/>
  <c r="CC80" i="171"/>
  <c r="P197" i="171"/>
  <c r="CD158" i="171"/>
  <c r="Z195" i="171"/>
  <c r="CV196" i="171"/>
  <c r="W168" i="171"/>
  <c r="CR75" i="171"/>
  <c r="CR105" i="171"/>
  <c r="CT80" i="171"/>
  <c r="AR301" i="175"/>
  <c r="AW176" i="171"/>
  <c r="AV293" i="189" s="1"/>
  <c r="AV294" i="189" s="1"/>
  <c r="CI176" i="171"/>
  <c r="CI177" i="171" s="1"/>
  <c r="CD196" i="171"/>
  <c r="CD279" i="171"/>
  <c r="BZ115" i="171"/>
  <c r="CA116" i="171"/>
  <c r="CS116" i="171"/>
  <c r="CU74" i="171"/>
  <c r="CV80" i="171"/>
  <c r="CV123" i="171"/>
  <c r="CD123" i="171"/>
  <c r="AK311" i="175"/>
  <c r="AO294" i="175"/>
  <c r="CA105" i="171"/>
  <c r="CB117" i="171"/>
  <c r="CT104" i="171"/>
  <c r="CS196" i="171"/>
  <c r="CT99" i="171"/>
  <c r="CT117" i="171"/>
  <c r="CV116" i="171"/>
  <c r="CI183" i="171"/>
  <c r="CH183" i="171"/>
  <c r="CD99" i="171"/>
  <c r="P195" i="171"/>
  <c r="CB99" i="171"/>
  <c r="T195" i="171"/>
  <c r="CC99" i="171"/>
  <c r="CV135" i="171"/>
  <c r="CD135" i="171"/>
  <c r="CS75" i="171"/>
  <c r="CT116" i="171"/>
  <c r="N197" i="171"/>
  <c r="CU75" i="171"/>
  <c r="CV98" i="171"/>
  <c r="O168" i="171"/>
  <c r="CD75" i="171"/>
  <c r="BZ99" i="171"/>
  <c r="CB105" i="171"/>
  <c r="CC279" i="171"/>
  <c r="CC196" i="171"/>
  <c r="CD104" i="171"/>
  <c r="M195" i="171"/>
  <c r="W195" i="171"/>
  <c r="CS74" i="171"/>
  <c r="CS104" i="171"/>
  <c r="CR196" i="171"/>
  <c r="CU80" i="171"/>
  <c r="CU105" i="171"/>
  <c r="AL349" i="175"/>
  <c r="AQ349" i="175"/>
  <c r="CC110" i="171"/>
  <c r="CD80" i="171"/>
  <c r="CR117" i="171"/>
  <c r="CT75" i="171"/>
  <c r="AY176" i="171"/>
  <c r="AX293" i="189" s="1"/>
  <c r="AX294" i="189" s="1"/>
  <c r="CD93" i="171"/>
  <c r="BZ105" i="171"/>
  <c r="L197" i="171"/>
  <c r="CD116" i="171"/>
  <c r="AY69" i="171"/>
  <c r="CV128" i="171"/>
  <c r="Q197" i="171"/>
  <c r="U197" i="171"/>
  <c r="CS93" i="171"/>
  <c r="CU117" i="171"/>
  <c r="AH301" i="175"/>
  <c r="AJ303" i="175"/>
  <c r="BL216" i="172"/>
  <c r="BK216" i="172"/>
  <c r="BP215" i="172"/>
  <c r="BO214" i="172"/>
  <c r="AW300" i="175"/>
  <c r="AW159" i="175"/>
  <c r="CA110" i="171"/>
  <c r="BZ109" i="171"/>
  <c r="CA93" i="171"/>
  <c r="P168" i="171"/>
  <c r="CV134" i="171"/>
  <c r="AE197" i="171"/>
  <c r="CV75" i="171"/>
  <c r="CS110" i="171"/>
  <c r="CT105" i="171"/>
  <c r="CU110" i="171"/>
  <c r="R195" i="171"/>
  <c r="CU99" i="171"/>
  <c r="CD117" i="171"/>
  <c r="CB98" i="171"/>
  <c r="CC104" i="171"/>
  <c r="CB196" i="171"/>
  <c r="CC105" i="171"/>
  <c r="CD159" i="171"/>
  <c r="CV159" i="171"/>
  <c r="M168" i="171"/>
  <c r="U168" i="171"/>
  <c r="CV105" i="171"/>
  <c r="CU196" i="171"/>
  <c r="CV104" i="171"/>
  <c r="BR268" i="172"/>
  <c r="CF264" i="172"/>
  <c r="BK241" i="172"/>
  <c r="BP239" i="172"/>
  <c r="BU239" i="172" s="1"/>
  <c r="BK240" i="172"/>
  <c r="CE159" i="172"/>
  <c r="BQ259" i="172"/>
  <c r="BQ258" i="172"/>
  <c r="CH244" i="172"/>
  <c r="CM244" i="172" s="1"/>
  <c r="CR244" i="172" s="1"/>
  <c r="CR247" i="172" s="1"/>
  <c r="CE247" i="172"/>
  <c r="AU235" i="172"/>
  <c r="AU234" i="172"/>
  <c r="BT269" i="172"/>
  <c r="BT270" i="172" s="1"/>
  <c r="BQ239" i="172"/>
  <c r="BV239" i="172" s="1"/>
  <c r="BL241" i="172"/>
  <c r="BL240" i="172"/>
  <c r="AU313" i="175"/>
  <c r="CE253" i="172"/>
  <c r="DK255" i="172"/>
  <c r="DK257" i="172"/>
  <c r="CG264" i="172"/>
  <c r="G231" i="172"/>
  <c r="L226" i="172"/>
  <c r="G226" i="172"/>
  <c r="DL253" i="172"/>
  <c r="DL255" i="172" s="1"/>
  <c r="AY236" i="172"/>
  <c r="BQ267" i="172"/>
  <c r="BS250" i="172"/>
  <c r="BS259" i="172"/>
  <c r="BR258" i="172"/>
  <c r="BR259" i="172"/>
  <c r="CE224" i="172"/>
  <c r="CG224" i="172"/>
  <c r="CL224" i="172" s="1"/>
  <c r="CQ224" i="172" s="1"/>
  <c r="CV224" i="172" s="1"/>
  <c r="BT255" i="172"/>
  <c r="BT257" i="172"/>
  <c r="Q231" i="172"/>
  <c r="Q228" i="172"/>
  <c r="V229" i="172" s="1"/>
  <c r="V226" i="172"/>
  <c r="Q226" i="172"/>
  <c r="CH224" i="172"/>
  <c r="CM224" i="172" s="1"/>
  <c r="CR224" i="172" s="1"/>
  <c r="CW224" i="172" s="1"/>
  <c r="BK300" i="172"/>
  <c r="BI302" i="172"/>
  <c r="BI301" i="172"/>
  <c r="BR248" i="172"/>
  <c r="BR249" i="172" s="1"/>
  <c r="BK410" i="172"/>
  <c r="BJ410" i="172"/>
  <c r="CU73" i="171" l="1"/>
  <c r="I193" i="171"/>
  <c r="BU22" i="171"/>
  <c r="BU281" i="171"/>
  <c r="BU60" i="171"/>
  <c r="BU63" i="171" s="1"/>
  <c r="BU66" i="171" s="1"/>
  <c r="DB176" i="171"/>
  <c r="CU115" i="171"/>
  <c r="CU79" i="171"/>
  <c r="BM101" i="189"/>
  <c r="BM88" i="189"/>
  <c r="BG173" i="189"/>
  <c r="BG176" i="189"/>
  <c r="BG178" i="189"/>
  <c r="CT282" i="172"/>
  <c r="CT283" i="172" s="1"/>
  <c r="AC373" i="172"/>
  <c r="AZ233" i="172"/>
  <c r="W373" i="172"/>
  <c r="BQ178" i="172"/>
  <c r="AB373" i="172"/>
  <c r="AY234" i="172"/>
  <c r="BD233" i="172"/>
  <c r="BD236" i="172" s="1"/>
  <c r="DM264" i="172"/>
  <c r="DM265" i="172" s="1"/>
  <c r="CM264" i="172"/>
  <c r="W381" i="172"/>
  <c r="BY253" i="172"/>
  <c r="BK27" i="189"/>
  <c r="BP100" i="189"/>
  <c r="DL230" i="172"/>
  <c r="DL231" i="172" s="1"/>
  <c r="CH253" i="172"/>
  <c r="CH257" i="172" s="1"/>
  <c r="DL228" i="172"/>
  <c r="CT277" i="172"/>
  <c r="CV230" i="172"/>
  <c r="CV228" i="172" s="1"/>
  <c r="CR166" i="172"/>
  <c r="CR165" i="172" s="1"/>
  <c r="CW167" i="172"/>
  <c r="CT167" i="172"/>
  <c r="CT166" i="172" s="1"/>
  <c r="CT165" i="172" s="1"/>
  <c r="CT247" i="172"/>
  <c r="CW230" i="172"/>
  <c r="CW228" i="172" s="1"/>
  <c r="CW227" i="172"/>
  <c r="CW244" i="172"/>
  <c r="FH57" i="135"/>
  <c r="FH23" i="9"/>
  <c r="FL23" i="9" s="1"/>
  <c r="FL56" i="135"/>
  <c r="FL57" i="135" s="1"/>
  <c r="CX187" i="172"/>
  <c r="CX136" i="172"/>
  <c r="CX190" i="172"/>
  <c r="CT109" i="171"/>
  <c r="CD278" i="171"/>
  <c r="CU103" i="171"/>
  <c r="CU97" i="171"/>
  <c r="CT115" i="171"/>
  <c r="BV262" i="172"/>
  <c r="BV261" i="172"/>
  <c r="BG16" i="171"/>
  <c r="BG19" i="171"/>
  <c r="FU31" i="7"/>
  <c r="FU171" i="7"/>
  <c r="AV88" i="189"/>
  <c r="BF89" i="189"/>
  <c r="BF173" i="189"/>
  <c r="BF176" i="189"/>
  <c r="BF178" i="189"/>
  <c r="GB37" i="7"/>
  <c r="GB44" i="7" s="1"/>
  <c r="BF66" i="8"/>
  <c r="BI22" i="171"/>
  <c r="BH155" i="189" s="1"/>
  <c r="BZ277" i="172"/>
  <c r="CE277" i="172"/>
  <c r="BE24" i="189"/>
  <c r="BE27" i="189" s="1"/>
  <c r="BI27" i="189" s="1"/>
  <c r="BD91" i="189"/>
  <c r="AW91" i="189"/>
  <c r="BB93" i="189"/>
  <c r="BC93" i="189"/>
  <c r="AV93" i="189"/>
  <c r="AV100" i="189"/>
  <c r="CC100" i="189" s="1"/>
  <c r="CC91" i="189"/>
  <c r="CC92" i="189" s="1"/>
  <c r="BE178" i="189"/>
  <c r="BE173" i="189"/>
  <c r="AU88" i="189"/>
  <c r="AZ90" i="189"/>
  <c r="DB45" i="7"/>
  <c r="BY230" i="172"/>
  <c r="BY231" i="172" s="1"/>
  <c r="AS182" i="189"/>
  <c r="AT170" i="189"/>
  <c r="AT169" i="189" s="1"/>
  <c r="AP175" i="189"/>
  <c r="CB175" i="189" s="1"/>
  <c r="CB170" i="189"/>
  <c r="AR361" i="189"/>
  <c r="AX303" i="189"/>
  <c r="AX301" i="189" s="1"/>
  <c r="AX304" i="189" s="1"/>
  <c r="BC176" i="189"/>
  <c r="AX181" i="189"/>
  <c r="AX360" i="189"/>
  <c r="CD360" i="189" s="1"/>
  <c r="AX176" i="189"/>
  <c r="BD168" i="189"/>
  <c r="BD172" i="189"/>
  <c r="BD173" i="189" s="1"/>
  <c r="AQ176" i="189"/>
  <c r="AQ360" i="189"/>
  <c r="AR362" i="189" s="1"/>
  <c r="AQ181" i="189"/>
  <c r="AQ182" i="189" s="1"/>
  <c r="CE167" i="189"/>
  <c r="BJ167" i="189"/>
  <c r="BI167" i="189"/>
  <c r="BL167" i="189"/>
  <c r="BA176" i="189"/>
  <c r="BA178" i="189"/>
  <c r="AW182" i="189"/>
  <c r="AN362" i="189"/>
  <c r="AO360" i="189"/>
  <c r="AO362" i="189" s="1"/>
  <c r="AT295" i="189"/>
  <c r="CB295" i="189"/>
  <c r="AS361" i="189"/>
  <c r="AS362" i="189"/>
  <c r="AU181" i="189"/>
  <c r="AU303" i="189"/>
  <c r="CC303" i="189" s="1"/>
  <c r="AY175" i="189"/>
  <c r="AU360" i="189"/>
  <c r="AV362" i="189" s="1"/>
  <c r="BK167" i="189"/>
  <c r="AW301" i="189"/>
  <c r="CD170" i="189"/>
  <c r="AZ175" i="189"/>
  <c r="BE176" i="189" s="1"/>
  <c r="BD170" i="189"/>
  <c r="BD169" i="189" s="1"/>
  <c r="BB176" i="189"/>
  <c r="BB178" i="189"/>
  <c r="AW361" i="189"/>
  <c r="AW362" i="189"/>
  <c r="BZ269" i="172"/>
  <c r="BZ267" i="172" s="1"/>
  <c r="BZ268" i="172" s="1"/>
  <c r="BZ256" i="172"/>
  <c r="BZ255" i="172"/>
  <c r="CA247" i="172"/>
  <c r="CD244" i="172"/>
  <c r="CC266" i="172"/>
  <c r="CC253" i="172"/>
  <c r="BV240" i="172"/>
  <c r="BV241" i="172"/>
  <c r="CA239" i="172"/>
  <c r="CB255" i="172"/>
  <c r="CB269" i="172"/>
  <c r="CB267" i="172" s="1"/>
  <c r="CB268" i="172" s="1"/>
  <c r="CE283" i="172"/>
  <c r="BY246" i="172"/>
  <c r="CB221" i="172"/>
  <c r="CA221" i="172"/>
  <c r="BU258" i="172"/>
  <c r="BV257" i="172"/>
  <c r="BV255" i="172"/>
  <c r="BV256" i="172"/>
  <c r="BV269" i="172"/>
  <c r="BV267" i="172" s="1"/>
  <c r="BV268" i="172" s="1"/>
  <c r="CD224" i="172"/>
  <c r="CA227" i="172"/>
  <c r="CA230" i="172"/>
  <c r="BW256" i="172"/>
  <c r="BU241" i="172"/>
  <c r="BU240" i="172"/>
  <c r="BZ239" i="172"/>
  <c r="BT150" i="172"/>
  <c r="BY150" i="172"/>
  <c r="BY255" i="172"/>
  <c r="CC230" i="172"/>
  <c r="CC228" i="172" s="1"/>
  <c r="CC229" i="172" s="1"/>
  <c r="CC227" i="172"/>
  <c r="BX251" i="172"/>
  <c r="BW250" i="172"/>
  <c r="BW248" i="172" s="1"/>
  <c r="BW249" i="172" s="1"/>
  <c r="CA253" i="172"/>
  <c r="CA266" i="172"/>
  <c r="CD264" i="172"/>
  <c r="CD265" i="172" s="1"/>
  <c r="BV250" i="172"/>
  <c r="BX255" i="172"/>
  <c r="BX269" i="172"/>
  <c r="BX267" i="172" s="1"/>
  <c r="BX268" i="172" s="1"/>
  <c r="BX256" i="172"/>
  <c r="BY228" i="172"/>
  <c r="EL18" i="135"/>
  <c r="EM16" i="135"/>
  <c r="CB303" i="189"/>
  <c r="AE308" i="175"/>
  <c r="AE308" i="189"/>
  <c r="EM55" i="9"/>
  <c r="AT258" i="175"/>
  <c r="AT259" i="175" s="1"/>
  <c r="AT231" i="189"/>
  <c r="AT236" i="189" s="1"/>
  <c r="AS236" i="189"/>
  <c r="BR91" i="189"/>
  <c r="BM24" i="189"/>
  <c r="AV260" i="175"/>
  <c r="BA255" i="175"/>
  <c r="BA260" i="175" s="1"/>
  <c r="AU63" i="175"/>
  <c r="AP60" i="175"/>
  <c r="AP65" i="175"/>
  <c r="AQ65" i="175"/>
  <c r="AT63" i="175"/>
  <c r="BA90" i="189"/>
  <c r="AU260" i="175"/>
  <c r="AZ255" i="175"/>
  <c r="AY255" i="175"/>
  <c r="AY256" i="175" s="1"/>
  <c r="BH89" i="189"/>
  <c r="BJ91" i="189"/>
  <c r="BE93" i="189"/>
  <c r="BE88" i="189"/>
  <c r="BF90" i="189" s="1"/>
  <c r="AJ231" i="189"/>
  <c r="AJ236" i="189" s="1"/>
  <c r="AI236" i="189"/>
  <c r="BH102" i="189"/>
  <c r="AK9" i="175"/>
  <c r="AK16" i="175" s="1"/>
  <c r="BB255" i="175"/>
  <c r="BB260" i="175" s="1"/>
  <c r="AW260" i="175"/>
  <c r="BC255" i="175"/>
  <c r="BC260" i="175" s="1"/>
  <c r="AX260" i="175"/>
  <c r="BB24" i="189"/>
  <c r="BD24" i="189" s="1"/>
  <c r="BB88" i="189"/>
  <c r="CE91" i="189"/>
  <c r="BB100" i="189"/>
  <c r="BD100" i="189" s="1"/>
  <c r="BH28" i="189"/>
  <c r="CD24" i="189"/>
  <c r="AZ27" i="189"/>
  <c r="BK91" i="189"/>
  <c r="BK101" i="189" s="1"/>
  <c r="AT8" i="175"/>
  <c r="BW8" i="175"/>
  <c r="AJ159" i="189"/>
  <c r="AO159" i="189"/>
  <c r="AJ157" i="189"/>
  <c r="AK311" i="189"/>
  <c r="AO294" i="189"/>
  <c r="AY293" i="189"/>
  <c r="AK348" i="189"/>
  <c r="AP293" i="189"/>
  <c r="AO293" i="189"/>
  <c r="AO348" i="189" s="1"/>
  <c r="CC317" i="189"/>
  <c r="AR315" i="189"/>
  <c r="BV216" i="172"/>
  <c r="BY215" i="172"/>
  <c r="AM339" i="189"/>
  <c r="BC155" i="175"/>
  <c r="BC155" i="189"/>
  <c r="AX341" i="189"/>
  <c r="CD340" i="189"/>
  <c r="AJ303" i="189"/>
  <c r="AG301" i="189"/>
  <c r="AJ301" i="189" s="1"/>
  <c r="AL303" i="189"/>
  <c r="AL302" i="189" s="1"/>
  <c r="AO302" i="189" s="1"/>
  <c r="AE317" i="189"/>
  <c r="AH362" i="189"/>
  <c r="AH361" i="189"/>
  <c r="AM361" i="189"/>
  <c r="AJ360" i="189"/>
  <c r="AI361" i="189"/>
  <c r="AI362" i="189"/>
  <c r="AK362" i="189"/>
  <c r="AN361" i="189"/>
  <c r="CC293" i="189"/>
  <c r="AM311" i="189"/>
  <c r="AY340" i="189"/>
  <c r="AY341" i="189" s="1"/>
  <c r="AG361" i="189"/>
  <c r="AG362" i="189"/>
  <c r="AL361" i="189"/>
  <c r="AF315" i="189"/>
  <c r="AF373" i="189"/>
  <c r="AJ311" i="189"/>
  <c r="AJ348" i="189"/>
  <c r="CD294" i="189"/>
  <c r="AP301" i="189"/>
  <c r="AT301" i="189" s="1"/>
  <c r="AT304" i="189" s="1"/>
  <c r="AT303" i="189"/>
  <c r="AO301" i="189"/>
  <c r="AO304" i="189" s="1"/>
  <c r="CD293" i="189"/>
  <c r="BC11" i="175"/>
  <c r="AR9" i="175"/>
  <c r="AW10" i="175"/>
  <c r="AV10" i="175"/>
  <c r="AQ9" i="175"/>
  <c r="FU18" i="7"/>
  <c r="FU37" i="7" s="1"/>
  <c r="FU35" i="7"/>
  <c r="FU9" i="7"/>
  <c r="FV170" i="7"/>
  <c r="BB90" i="175"/>
  <c r="BA90" i="175"/>
  <c r="BA89" i="175"/>
  <c r="FV9" i="7"/>
  <c r="FV35" i="7"/>
  <c r="BC157" i="175"/>
  <c r="GI23" i="9"/>
  <c r="FG23" i="9"/>
  <c r="CO277" i="172"/>
  <c r="FV173" i="7"/>
  <c r="FV172" i="7"/>
  <c r="FW9" i="7"/>
  <c r="FV28" i="7"/>
  <c r="FV25" i="7"/>
  <c r="FV18" i="7"/>
  <c r="FV19" i="7" s="1"/>
  <c r="FV171" i="7"/>
  <c r="FV31" i="7"/>
  <c r="BD125" i="175"/>
  <c r="BD126" i="175" s="1"/>
  <c r="BC38" i="175"/>
  <c r="BC233" i="172"/>
  <c r="AX236" i="172"/>
  <c r="AZ236" i="172" s="1"/>
  <c r="AZ237" i="172" s="1"/>
  <c r="AX234" i="172"/>
  <c r="CR227" i="172"/>
  <c r="CR230" i="172"/>
  <c r="CR228" i="172" s="1"/>
  <c r="AZ242" i="172"/>
  <c r="CO283" i="172"/>
  <c r="CO165" i="172"/>
  <c r="CQ230" i="172"/>
  <c r="CQ228" i="172" s="1"/>
  <c r="AO323" i="175"/>
  <c r="AA375" i="172"/>
  <c r="CR264" i="172"/>
  <c r="CW264" i="172" s="1"/>
  <c r="BE240" i="172"/>
  <c r="CO247" i="172"/>
  <c r="BT267" i="172"/>
  <c r="BT268" i="172" s="1"/>
  <c r="FG57" i="135"/>
  <c r="BP19" i="171"/>
  <c r="BP22" i="171" s="1"/>
  <c r="BL19" i="171"/>
  <c r="BL22" i="171" s="1"/>
  <c r="BQ14" i="171"/>
  <c r="BV14" i="171" s="1"/>
  <c r="BS214" i="171"/>
  <c r="BC16" i="171"/>
  <c r="BC19" i="171"/>
  <c r="DE52" i="171" s="1"/>
  <c r="DE53" i="171" s="1"/>
  <c r="BH14" i="171"/>
  <c r="DE14" i="171" s="1"/>
  <c r="AJ311" i="175"/>
  <c r="BN14" i="171"/>
  <c r="BS14" i="171" s="1"/>
  <c r="CA195" i="171"/>
  <c r="CC115" i="171"/>
  <c r="CV97" i="171"/>
  <c r="BT258" i="172"/>
  <c r="CB103" i="171"/>
  <c r="CB115" i="171"/>
  <c r="CB85" i="171"/>
  <c r="AF315" i="175"/>
  <c r="AF317" i="175" s="1"/>
  <c r="CR109" i="171"/>
  <c r="CB109" i="171"/>
  <c r="BF16" i="171"/>
  <c r="AO301" i="175"/>
  <c r="AO304" i="175" s="1"/>
  <c r="BF19" i="171"/>
  <c r="BF22" i="171" s="1"/>
  <c r="BE155" i="189" s="1"/>
  <c r="BE157" i="189" s="1"/>
  <c r="CR103" i="171"/>
  <c r="CV139" i="171"/>
  <c r="DD14" i="171"/>
  <c r="DD15" i="171" s="1"/>
  <c r="AC377" i="172"/>
  <c r="FU174" i="7"/>
  <c r="EW29" i="12"/>
  <c r="ER29" i="12"/>
  <c r="AO181" i="175"/>
  <c r="AO182" i="175" s="1"/>
  <c r="AJ159" i="175"/>
  <c r="AS164" i="175"/>
  <c r="AU164" i="175" s="1"/>
  <c r="BW165" i="175"/>
  <c r="AO159" i="175"/>
  <c r="FU172" i="7"/>
  <c r="FU173" i="7"/>
  <c r="FU25" i="7"/>
  <c r="FU28" i="7"/>
  <c r="DG45" i="7"/>
  <c r="CA97" i="171"/>
  <c r="CC103" i="171"/>
  <c r="CA115" i="171"/>
  <c r="AM141" i="171"/>
  <c r="CS91" i="171"/>
  <c r="CT195" i="171"/>
  <c r="AY224" i="171"/>
  <c r="AY234" i="171" s="1"/>
  <c r="AY228" i="171" s="1"/>
  <c r="BX260" i="172" s="1"/>
  <c r="BA223" i="171"/>
  <c r="AY225" i="171"/>
  <c r="CS115" i="171"/>
  <c r="CS79" i="171"/>
  <c r="CC73" i="171"/>
  <c r="DC225" i="171"/>
  <c r="AX233" i="171"/>
  <c r="AX227" i="171" s="1"/>
  <c r="AM217" i="171"/>
  <c r="AM213" i="171" s="1"/>
  <c r="AM105" i="171" s="1"/>
  <c r="AM216" i="171"/>
  <c r="AM99" i="171" s="1"/>
  <c r="AX234" i="171"/>
  <c r="AX228" i="171" s="1"/>
  <c r="BW260" i="172" s="1"/>
  <c r="CC79" i="171"/>
  <c r="CS103" i="171"/>
  <c r="CC97" i="171"/>
  <c r="CS97" i="171"/>
  <c r="CS85" i="171"/>
  <c r="CA91" i="171"/>
  <c r="AN221" i="171"/>
  <c r="AO220" i="171"/>
  <c r="AN215" i="171"/>
  <c r="AN219" i="171"/>
  <c r="AN222" i="171"/>
  <c r="CD139" i="171"/>
  <c r="R188" i="171"/>
  <c r="CD79" i="171"/>
  <c r="CT79" i="171"/>
  <c r="CV133" i="171"/>
  <c r="CV127" i="171"/>
  <c r="AA263" i="171"/>
  <c r="AA266" i="171" s="1"/>
  <c r="CD171" i="171"/>
  <c r="BK39" i="9"/>
  <c r="BK66" i="8"/>
  <c r="CH20" i="12"/>
  <c r="AN121" i="175"/>
  <c r="BZ95" i="175"/>
  <c r="FR33" i="9"/>
  <c r="AQ39" i="9"/>
  <c r="EY46" i="123"/>
  <c r="BL16" i="171"/>
  <c r="AJ257" i="175"/>
  <c r="AO240" i="175"/>
  <c r="BD240" i="172"/>
  <c r="BI239" i="172"/>
  <c r="BJ239" i="172" s="1"/>
  <c r="BJ240" i="172" s="1"/>
  <c r="BD241" i="172"/>
  <c r="BE241" i="172" s="1"/>
  <c r="BE242" i="172" s="1"/>
  <c r="DC45" i="7"/>
  <c r="DM45" i="7"/>
  <c r="DZ38" i="7"/>
  <c r="DZ44" i="7"/>
  <c r="EE39" i="7"/>
  <c r="DZ53" i="7"/>
  <c r="DZ39" i="7"/>
  <c r="DX37" i="7"/>
  <c r="DX19" i="7"/>
  <c r="ED39" i="7"/>
  <c r="DY53" i="7"/>
  <c r="DY38" i="7"/>
  <c r="DY44" i="7"/>
  <c r="DY45" i="7" s="1"/>
  <c r="DY39" i="7"/>
  <c r="CY28" i="7"/>
  <c r="CY25" i="7"/>
  <c r="CY35" i="7"/>
  <c r="CY18" i="7"/>
  <c r="CY31" i="7"/>
  <c r="CY9" i="7"/>
  <c r="DD9" i="7"/>
  <c r="DN44" i="7"/>
  <c r="DJ45" i="7"/>
  <c r="DD44" i="7"/>
  <c r="CM53" i="7"/>
  <c r="CM44" i="7"/>
  <c r="CM38" i="7"/>
  <c r="DA56" i="7"/>
  <c r="DA55" i="7"/>
  <c r="EC37" i="7"/>
  <c r="EC19" i="7"/>
  <c r="DM55" i="7"/>
  <c r="DM56" i="7"/>
  <c r="DQ45" i="7"/>
  <c r="DV45" i="7"/>
  <c r="DN53" i="7"/>
  <c r="DN38" i="7"/>
  <c r="DN39" i="7"/>
  <c r="FX39" i="7"/>
  <c r="FX53" i="7"/>
  <c r="FX38" i="7"/>
  <c r="FX44" i="7"/>
  <c r="DE183" i="7"/>
  <c r="DE56" i="7"/>
  <c r="DE55" i="7"/>
  <c r="DG56" i="7"/>
  <c r="DG55" i="7"/>
  <c r="CK44" i="7"/>
  <c r="CK38" i="7"/>
  <c r="CK53" i="7"/>
  <c r="CK54" i="7" s="1"/>
  <c r="CM39" i="7"/>
  <c r="CH53" i="7"/>
  <c r="CH44" i="7"/>
  <c r="CH38" i="7"/>
  <c r="CL37" i="7"/>
  <c r="CL19" i="7"/>
  <c r="DR45" i="7"/>
  <c r="GA37" i="7"/>
  <c r="GA19" i="7"/>
  <c r="CG37" i="7"/>
  <c r="CG19" i="7"/>
  <c r="DT45" i="7"/>
  <c r="DX44" i="7"/>
  <c r="DO56" i="7"/>
  <c r="DO55" i="7"/>
  <c r="DF55" i="7"/>
  <c r="DF183" i="7"/>
  <c r="DF56" i="7"/>
  <c r="CZ56" i="7"/>
  <c r="CZ55" i="7"/>
  <c r="FW38" i="7"/>
  <c r="FW44" i="7"/>
  <c r="FW53" i="7"/>
  <c r="CV53" i="7"/>
  <c r="CV44" i="7"/>
  <c r="DA45" i="7" s="1"/>
  <c r="CV38" i="7"/>
  <c r="CR39" i="7"/>
  <c r="CR53" i="7"/>
  <c r="CR44" i="7"/>
  <c r="CR38" i="7"/>
  <c r="EA38" i="7"/>
  <c r="EA44" i="7"/>
  <c r="EA39" i="7"/>
  <c r="EA53" i="7"/>
  <c r="EF39" i="7"/>
  <c r="DK45" i="7"/>
  <c r="CX54" i="7"/>
  <c r="FY53" i="7"/>
  <c r="FY38" i="7"/>
  <c r="FY39" i="7"/>
  <c r="FY44" i="7"/>
  <c r="DT56" i="7"/>
  <c r="DT55" i="7"/>
  <c r="DL45" i="7"/>
  <c r="DJ55" i="7"/>
  <c r="DJ56" i="7"/>
  <c r="DP45" i="7"/>
  <c r="DU45" i="7"/>
  <c r="CP37" i="7"/>
  <c r="CP19" i="7"/>
  <c r="DK56" i="7"/>
  <c r="DK55" i="7"/>
  <c r="CF19" i="7"/>
  <c r="CF37" i="7"/>
  <c r="DC56" i="7"/>
  <c r="DC119" i="7"/>
  <c r="DC78" i="7"/>
  <c r="DC118" i="7" s="1"/>
  <c r="FX54" i="7"/>
  <c r="FX55" i="7" s="1"/>
  <c r="DD54" i="7"/>
  <c r="CO25" i="7"/>
  <c r="CO18" i="7"/>
  <c r="CO9" i="7"/>
  <c r="CO28" i="7"/>
  <c r="CO31" i="7"/>
  <c r="CO35" i="7"/>
  <c r="EB45" i="7"/>
  <c r="DW45" i="7"/>
  <c r="FZ53" i="7"/>
  <c r="FZ39" i="7"/>
  <c r="FZ38" i="7"/>
  <c r="FZ44" i="7"/>
  <c r="DE45" i="7"/>
  <c r="DI44" i="7"/>
  <c r="CI38" i="7"/>
  <c r="CI44" i="7"/>
  <c r="CI53" i="7"/>
  <c r="CN19" i="7"/>
  <c r="CN37" i="7"/>
  <c r="DB56" i="7"/>
  <c r="DB55" i="7"/>
  <c r="DD38" i="7"/>
  <c r="DD53" i="7"/>
  <c r="CS37" i="7"/>
  <c r="CS19" i="7"/>
  <c r="CQ37" i="7"/>
  <c r="CQ19" i="7"/>
  <c r="DR56" i="7"/>
  <c r="DR183" i="7"/>
  <c r="DR55" i="7"/>
  <c r="DS38" i="7"/>
  <c r="DS53" i="7"/>
  <c r="DS39" i="7"/>
  <c r="DO45" i="7"/>
  <c r="DS44" i="7"/>
  <c r="DF45" i="7"/>
  <c r="DL56" i="7"/>
  <c r="DL55" i="7"/>
  <c r="CU37" i="7"/>
  <c r="CU19" i="7"/>
  <c r="DH55" i="7"/>
  <c r="DH56" i="7"/>
  <c r="DI38" i="7"/>
  <c r="DI53" i="7"/>
  <c r="DI39" i="7"/>
  <c r="DP56" i="7"/>
  <c r="DP55" i="7"/>
  <c r="GC19" i="7"/>
  <c r="GC37" i="7"/>
  <c r="CW183" i="7"/>
  <c r="CW56" i="7"/>
  <c r="CW55" i="7"/>
  <c r="CT25" i="7"/>
  <c r="CT31" i="7"/>
  <c r="CT28" i="7"/>
  <c r="CT9" i="7"/>
  <c r="CT18" i="7"/>
  <c r="CT35" i="7"/>
  <c r="DQ56" i="7"/>
  <c r="DQ55" i="7"/>
  <c r="CJ25" i="7"/>
  <c r="CJ28" i="7"/>
  <c r="CJ18" i="7"/>
  <c r="CJ31" i="7"/>
  <c r="CJ35" i="7"/>
  <c r="DW56" i="7"/>
  <c r="DW55" i="7"/>
  <c r="FT19" i="7"/>
  <c r="FT37" i="7"/>
  <c r="BA102" i="175"/>
  <c r="BA100" i="175"/>
  <c r="BZ91" i="175"/>
  <c r="AQ175" i="175"/>
  <c r="AQ176" i="175" s="1"/>
  <c r="DI42" i="8"/>
  <c r="BY24" i="175"/>
  <c r="AJ264" i="175"/>
  <c r="AU217" i="175"/>
  <c r="AU218" i="175" s="1"/>
  <c r="AU122" i="175"/>
  <c r="AZ123" i="175" s="1"/>
  <c r="AW217" i="175"/>
  <c r="AW218" i="175" s="1"/>
  <c r="AW122" i="175"/>
  <c r="CJ264" i="172"/>
  <c r="CO264" i="172" s="1"/>
  <c r="CT264" i="172" s="1"/>
  <c r="BX34" i="175"/>
  <c r="BA115" i="175"/>
  <c r="BD113" i="175"/>
  <c r="BB34" i="175"/>
  <c r="BB115" i="175"/>
  <c r="AW113" i="175"/>
  <c r="AW206" i="175"/>
  <c r="AY205" i="175"/>
  <c r="AY206" i="175" s="1"/>
  <c r="BB206" i="175"/>
  <c r="BC114" i="175"/>
  <c r="BC115" i="175"/>
  <c r="AW219" i="175"/>
  <c r="AT37" i="175"/>
  <c r="BW37" i="175"/>
  <c r="AT123" i="175"/>
  <c r="AN361" i="175"/>
  <c r="AO293" i="175"/>
  <c r="AO348" i="175" s="1"/>
  <c r="AI361" i="175"/>
  <c r="EL108" i="135"/>
  <c r="AO397" i="175"/>
  <c r="BA85" i="175"/>
  <c r="AY225" i="175"/>
  <c r="CC197" i="171"/>
  <c r="AI362" i="175"/>
  <c r="CD85" i="171"/>
  <c r="CT171" i="171"/>
  <c r="AW182" i="171"/>
  <c r="AW185" i="171" s="1"/>
  <c r="CA171" i="171"/>
  <c r="CT169" i="171"/>
  <c r="CT187" i="171" s="1"/>
  <c r="CV171" i="171"/>
  <c r="BZ85" i="171"/>
  <c r="CM230" i="172"/>
  <c r="CM228" i="172" s="1"/>
  <c r="CM227" i="172"/>
  <c r="DN224" i="172"/>
  <c r="DN226" i="172" s="1"/>
  <c r="CJ224" i="172"/>
  <c r="CO224" i="172" s="1"/>
  <c r="CT224" i="172" s="1"/>
  <c r="CL230" i="172"/>
  <c r="CL228" i="172" s="1"/>
  <c r="BP229" i="172"/>
  <c r="DK228" i="172"/>
  <c r="DK230" i="172" s="1"/>
  <c r="AW366" i="175"/>
  <c r="AW226" i="175"/>
  <c r="AW307" i="175"/>
  <c r="AU366" i="175"/>
  <c r="AU226" i="175"/>
  <c r="AU307" i="175"/>
  <c r="BY225" i="175"/>
  <c r="FB23" i="9"/>
  <c r="CV169" i="171"/>
  <c r="CV187" i="171" s="1"/>
  <c r="CU169" i="171"/>
  <c r="CU187" i="171" s="1"/>
  <c r="CS169" i="171"/>
  <c r="CS187" i="171" s="1"/>
  <c r="CR169" i="171"/>
  <c r="CB169" i="171"/>
  <c r="CB187" i="171" s="1"/>
  <c r="BD25" i="175"/>
  <c r="BZ25" i="175"/>
  <c r="AJ301" i="175"/>
  <c r="AF120" i="171"/>
  <c r="AF84" i="171"/>
  <c r="AF90" i="171"/>
  <c r="AK120" i="171"/>
  <c r="AK90" i="171"/>
  <c r="AK84" i="171"/>
  <c r="AB93" i="171"/>
  <c r="CE90" i="171"/>
  <c r="AB92" i="171"/>
  <c r="CW90" i="171"/>
  <c r="AL92" i="171"/>
  <c r="AL93" i="171"/>
  <c r="Q193" i="171"/>
  <c r="Q190" i="171" s="1"/>
  <c r="Q188" i="171"/>
  <c r="J193" i="171"/>
  <c r="Y6" i="172"/>
  <c r="BK16" i="171"/>
  <c r="BK19" i="171"/>
  <c r="BK22" i="171" s="1"/>
  <c r="X188" i="171"/>
  <c r="X193" i="171"/>
  <c r="X190" i="171" s="1"/>
  <c r="BQ177" i="172"/>
  <c r="BQ176" i="172" s="1"/>
  <c r="BR178" i="172"/>
  <c r="CR85" i="171"/>
  <c r="AM245" i="175"/>
  <c r="AR239" i="175"/>
  <c r="AM272" i="175"/>
  <c r="CU91" i="171"/>
  <c r="T188" i="171"/>
  <c r="T193" i="171"/>
  <c r="T190" i="171" s="1"/>
  <c r="S188" i="171"/>
  <c r="S193" i="171"/>
  <c r="S190" i="171" s="1"/>
  <c r="AA188" i="171"/>
  <c r="AA193" i="171"/>
  <c r="AA190" i="171" s="1"/>
  <c r="BZ91" i="171"/>
  <c r="AS239" i="175"/>
  <c r="AN245" i="175"/>
  <c r="CD197" i="171"/>
  <c r="CD169" i="171"/>
  <c r="CD187" i="171" s="1"/>
  <c r="CQ210" i="172" s="1"/>
  <c r="BZ169" i="171"/>
  <c r="BZ187" i="171" s="1"/>
  <c r="CC169" i="171"/>
  <c r="CC187" i="171" s="1"/>
  <c r="CA169" i="171"/>
  <c r="CA187" i="171" s="1"/>
  <c r="AJ249" i="175"/>
  <c r="AJ253" i="175" s="1"/>
  <c r="AK119" i="175"/>
  <c r="AK128" i="175" s="1"/>
  <c r="AO193" i="175"/>
  <c r="AP84" i="171"/>
  <c r="AP120" i="171"/>
  <c r="AP90" i="171"/>
  <c r="AG87" i="171"/>
  <c r="AG86" i="171"/>
  <c r="CU171" i="171"/>
  <c r="M188" i="171"/>
  <c r="AC6" i="172"/>
  <c r="M193" i="171"/>
  <c r="O188" i="171"/>
  <c r="AE6" i="172"/>
  <c r="O193" i="171"/>
  <c r="AP400" i="175"/>
  <c r="AU400" i="175" s="1"/>
  <c r="Z188" i="171"/>
  <c r="CT85" i="171"/>
  <c r="AI236" i="175"/>
  <c r="AI232" i="175" s="1"/>
  <c r="AI235" i="175" s="1"/>
  <c r="AH231" i="175"/>
  <c r="AH231" i="189" s="1"/>
  <c r="AH236" i="189" s="1"/>
  <c r="W188" i="171"/>
  <c r="W193" i="171"/>
  <c r="W190" i="171" s="1"/>
  <c r="L193" i="171"/>
  <c r="L188" i="171"/>
  <c r="AB6" i="172"/>
  <c r="P188" i="171"/>
  <c r="AQ120" i="171"/>
  <c r="AQ84" i="171"/>
  <c r="AQ90" i="171"/>
  <c r="AG93" i="171"/>
  <c r="AG92" i="171"/>
  <c r="AL87" i="171"/>
  <c r="AL86" i="171"/>
  <c r="AL272" i="175"/>
  <c r="AL245" i="175"/>
  <c r="AQ239" i="175"/>
  <c r="CC85" i="171"/>
  <c r="CV85" i="171"/>
  <c r="AM86" i="171"/>
  <c r="AM87" i="171"/>
  <c r="CR91" i="171"/>
  <c r="CB91" i="171"/>
  <c r="BA226" i="175"/>
  <c r="K193" i="171"/>
  <c r="Z6" i="172"/>
  <c r="AK373" i="175"/>
  <c r="AT231" i="175"/>
  <c r="AS236" i="175"/>
  <c r="AS232" i="175" s="1"/>
  <c r="AS235" i="175" s="1"/>
  <c r="CE141" i="171"/>
  <c r="CW141" i="171"/>
  <c r="EA170" i="135"/>
  <c r="EB169" i="135"/>
  <c r="AB87" i="171"/>
  <c r="CE84" i="171"/>
  <c r="AB86" i="171"/>
  <c r="CW84" i="171"/>
  <c r="U193" i="171"/>
  <c r="U190" i="171" s="1"/>
  <c r="U188" i="171"/>
  <c r="Y193" i="171"/>
  <c r="Y190" i="171" s="1"/>
  <c r="Y188" i="171"/>
  <c r="AS400" i="175"/>
  <c r="AX400" i="175" s="1"/>
  <c r="AM92" i="171"/>
  <c r="AM93" i="171"/>
  <c r="V188" i="171"/>
  <c r="V193" i="171"/>
  <c r="V190" i="171" s="1"/>
  <c r="AT352" i="175"/>
  <c r="N193" i="171"/>
  <c r="N188" i="171"/>
  <c r="AD6" i="172"/>
  <c r="H193" i="171"/>
  <c r="W6" i="172"/>
  <c r="CH266" i="172"/>
  <c r="CL264" i="172"/>
  <c r="GF34" i="9"/>
  <c r="AB158" i="171"/>
  <c r="AB159" i="171"/>
  <c r="CW156" i="171"/>
  <c r="CE156" i="171"/>
  <c r="AB110" i="171"/>
  <c r="AB111" i="171"/>
  <c r="CW108" i="171"/>
  <c r="CE108" i="171"/>
  <c r="CW114" i="171"/>
  <c r="AB116" i="171"/>
  <c r="AB117" i="171"/>
  <c r="CE114" i="171"/>
  <c r="BH409" i="172"/>
  <c r="BG409" i="172"/>
  <c r="AE336" i="175"/>
  <c r="AV379" i="175"/>
  <c r="BW379" i="175"/>
  <c r="AQ380" i="175"/>
  <c r="AT379" i="175"/>
  <c r="AT380" i="175" s="1"/>
  <c r="AG111" i="171"/>
  <c r="AG110" i="171"/>
  <c r="AG74" i="171"/>
  <c r="AG75" i="171"/>
  <c r="AT11" i="171"/>
  <c r="AR336" i="175"/>
  <c r="CJ247" i="172"/>
  <c r="BF409" i="172"/>
  <c r="AK312" i="175"/>
  <c r="AK315" i="175" s="1"/>
  <c r="CH180" i="171"/>
  <c r="CF7" i="171"/>
  <c r="AL98" i="171"/>
  <c r="AL99" i="171"/>
  <c r="AL75" i="171"/>
  <c r="AL74" i="171"/>
  <c r="AM134" i="171"/>
  <c r="AM135" i="171"/>
  <c r="AM74" i="171"/>
  <c r="AM75" i="171"/>
  <c r="AM110" i="171"/>
  <c r="DN264" i="172"/>
  <c r="DN265" i="172" s="1"/>
  <c r="CK264" i="172"/>
  <c r="CP264" i="172" s="1"/>
  <c r="CU264" i="172" s="1"/>
  <c r="AB140" i="171"/>
  <c r="CW138" i="171"/>
  <c r="CE138" i="171"/>
  <c r="CE78" i="171"/>
  <c r="CW78" i="171"/>
  <c r="AB80" i="171"/>
  <c r="AB81" i="171"/>
  <c r="AB123" i="171"/>
  <c r="CM253" i="172"/>
  <c r="CF11" i="171"/>
  <c r="AE338" i="189" s="1"/>
  <c r="AF12" i="171"/>
  <c r="AF72" i="171"/>
  <c r="AF138" i="171"/>
  <c r="AF141" i="171" s="1"/>
  <c r="AF114" i="171"/>
  <c r="AF78" i="171"/>
  <c r="AF132" i="171"/>
  <c r="AF102" i="171"/>
  <c r="AF108" i="171"/>
  <c r="AF156" i="171"/>
  <c r="AF96" i="171"/>
  <c r="CX11" i="171"/>
  <c r="ED164" i="135"/>
  <c r="ED165" i="135" s="1"/>
  <c r="EC164" i="135"/>
  <c r="EB173" i="135"/>
  <c r="EB174" i="135" s="1"/>
  <c r="EB166" i="135"/>
  <c r="EC166" i="135" s="1"/>
  <c r="EB167" i="135"/>
  <c r="AG158" i="171"/>
  <c r="AG159" i="171"/>
  <c r="AK39" i="171" s="1"/>
  <c r="AG116" i="171"/>
  <c r="AG117" i="171"/>
  <c r="AK12" i="171"/>
  <c r="AK96" i="171"/>
  <c r="AK78" i="171"/>
  <c r="AK132" i="171"/>
  <c r="AK162" i="171"/>
  <c r="AK108" i="171"/>
  <c r="AK114" i="171"/>
  <c r="AK156" i="171"/>
  <c r="AG338" i="175"/>
  <c r="AK72" i="171"/>
  <c r="AK138" i="171"/>
  <c r="AK141" i="171" s="1"/>
  <c r="AK102" i="171"/>
  <c r="AM337" i="175"/>
  <c r="AP12" i="171"/>
  <c r="AP78" i="171"/>
  <c r="AP80" i="171" s="1"/>
  <c r="AP72" i="171"/>
  <c r="AP132" i="171"/>
  <c r="AP96" i="171"/>
  <c r="AP98" i="171" s="1"/>
  <c r="AP138" i="171"/>
  <c r="AP108" i="171"/>
  <c r="AP156" i="171"/>
  <c r="AP102" i="171"/>
  <c r="AP114" i="171"/>
  <c r="AP162" i="171"/>
  <c r="AM338" i="175"/>
  <c r="AL104" i="171"/>
  <c r="AL196" i="171"/>
  <c r="AL197" i="171" s="1"/>
  <c r="AL105" i="171"/>
  <c r="AL81" i="171"/>
  <c r="AL80" i="171"/>
  <c r="AM158" i="171"/>
  <c r="AM159" i="171"/>
  <c r="AM165" i="171"/>
  <c r="AM164" i="171"/>
  <c r="AM140" i="171"/>
  <c r="CM247" i="172"/>
  <c r="CF230" i="172"/>
  <c r="CF228" i="172" s="1"/>
  <c r="CK224" i="172"/>
  <c r="CP224" i="172" s="1"/>
  <c r="CU224" i="172" s="1"/>
  <c r="AB126" i="171"/>
  <c r="AB167" i="171" s="1"/>
  <c r="CE102" i="171"/>
  <c r="CW102" i="171"/>
  <c r="AB104" i="171"/>
  <c r="AB196" i="171"/>
  <c r="AB105" i="171"/>
  <c r="CW96" i="171"/>
  <c r="AB98" i="171"/>
  <c r="AB99" i="171"/>
  <c r="CE96" i="171"/>
  <c r="CE10" i="171"/>
  <c r="CE69" i="171" s="1"/>
  <c r="CE12" i="171"/>
  <c r="AM312" i="175"/>
  <c r="AJ312" i="175"/>
  <c r="AH376" i="175"/>
  <c r="AH384" i="175" s="1"/>
  <c r="AJ8" i="171"/>
  <c r="CG6" i="171"/>
  <c r="AO56" i="171"/>
  <c r="AJ11" i="171"/>
  <c r="AF338" i="189" s="1"/>
  <c r="AJ338" i="189" s="1"/>
  <c r="AJ56" i="171"/>
  <c r="CY6" i="171"/>
  <c r="CY7" i="171" s="1"/>
  <c r="AL56" i="171"/>
  <c r="AF336" i="175"/>
  <c r="AJ336" i="175" s="1"/>
  <c r="AM56" i="171"/>
  <c r="AG140" i="171"/>
  <c r="AG98" i="171"/>
  <c r="AG99" i="171"/>
  <c r="AG80" i="171"/>
  <c r="AG81" i="171"/>
  <c r="AO11" i="171"/>
  <c r="AL338" i="189" s="1"/>
  <c r="AL339" i="189" s="1"/>
  <c r="AL336" i="175"/>
  <c r="AL337" i="175" s="1"/>
  <c r="AU11" i="171"/>
  <c r="AS338" i="189" s="1"/>
  <c r="AS339" i="189" s="1"/>
  <c r="AU8" i="171"/>
  <c r="AS336" i="175"/>
  <c r="AS337" i="175" s="1"/>
  <c r="CY181" i="171"/>
  <c r="CZ181" i="171"/>
  <c r="AW233" i="175"/>
  <c r="AL134" i="171"/>
  <c r="AL135" i="171"/>
  <c r="AL164" i="171"/>
  <c r="AL165" i="171"/>
  <c r="AL140" i="171"/>
  <c r="AM117" i="171"/>
  <c r="AM116" i="171"/>
  <c r="AM80" i="171"/>
  <c r="AM196" i="171"/>
  <c r="AM197" i="171" s="1"/>
  <c r="AM279" i="171"/>
  <c r="AM104" i="171"/>
  <c r="CE72" i="171"/>
  <c r="CW72" i="171"/>
  <c r="AB74" i="171"/>
  <c r="AB75" i="171"/>
  <c r="CW132" i="171"/>
  <c r="CE132" i="171"/>
  <c r="AB134" i="171"/>
  <c r="AB135" i="171"/>
  <c r="CW10" i="171"/>
  <c r="CW69" i="171" s="1"/>
  <c r="CW12" i="171"/>
  <c r="AI376" i="175"/>
  <c r="AI384" i="175" s="1"/>
  <c r="AI317" i="175"/>
  <c r="AN317" i="175" s="1"/>
  <c r="AS317" i="175" s="1"/>
  <c r="AN312" i="175"/>
  <c r="BM214" i="171"/>
  <c r="CE409" i="172"/>
  <c r="AG105" i="171"/>
  <c r="AG196" i="171"/>
  <c r="AG197" i="171" s="1"/>
  <c r="AG104" i="171"/>
  <c r="AG134" i="171"/>
  <c r="AG135" i="171"/>
  <c r="AK56" i="171"/>
  <c r="AK8" i="171"/>
  <c r="AQ12" i="171"/>
  <c r="AQ72" i="171"/>
  <c r="AQ102" i="171"/>
  <c r="AQ156" i="171"/>
  <c r="AQ138" i="171"/>
  <c r="AQ78" i="171"/>
  <c r="AQ80" i="171" s="1"/>
  <c r="AQ114" i="171"/>
  <c r="AQ132" i="171"/>
  <c r="AQ134" i="171" s="1"/>
  <c r="AQ96" i="171"/>
  <c r="AQ98" i="171" s="1"/>
  <c r="AN338" i="175"/>
  <c r="AQ108" i="171"/>
  <c r="AQ110" i="171" s="1"/>
  <c r="AQ162" i="171"/>
  <c r="CG181" i="171"/>
  <c r="BQ409" i="172"/>
  <c r="CH181" i="171"/>
  <c r="AL159" i="171"/>
  <c r="AL158" i="171"/>
  <c r="AL116" i="171"/>
  <c r="AL117" i="171"/>
  <c r="AL111" i="171"/>
  <c r="AL110" i="171"/>
  <c r="AM98" i="171"/>
  <c r="AI416" i="175"/>
  <c r="CJ26" i="12"/>
  <c r="CJ29" i="12" s="1"/>
  <c r="CF38" i="12"/>
  <c r="CT73" i="171"/>
  <c r="CI67" i="8"/>
  <c r="CI41" i="8"/>
  <c r="CK40" i="8"/>
  <c r="CJ40" i="8"/>
  <c r="CJ67" i="8" s="1"/>
  <c r="CI63" i="8"/>
  <c r="CH42" i="8"/>
  <c r="CH7" i="8" s="1"/>
  <c r="AP293" i="175"/>
  <c r="AT293" i="175" s="1"/>
  <c r="AT348" i="175" s="1"/>
  <c r="CE57" i="135"/>
  <c r="BZ57" i="135"/>
  <c r="AN39" i="175"/>
  <c r="BD24" i="175"/>
  <c r="AD381" i="172"/>
  <c r="BF236" i="172"/>
  <c r="BF234" i="172"/>
  <c r="BK233" i="172"/>
  <c r="DM63" i="8"/>
  <c r="DL42" i="8"/>
  <c r="DL7" i="8" s="1"/>
  <c r="DM41" i="8"/>
  <c r="DO40" i="8"/>
  <c r="DN40" i="8"/>
  <c r="DN67" i="8" s="1"/>
  <c r="DM67" i="8"/>
  <c r="EH55" i="9"/>
  <c r="Y377" i="172"/>
  <c r="Y373" i="172"/>
  <c r="AE381" i="172"/>
  <c r="X381" i="172"/>
  <c r="AL36" i="175"/>
  <c r="AM36" i="175"/>
  <c r="AM121" i="175"/>
  <c r="BD92" i="175"/>
  <c r="AP175" i="175"/>
  <c r="BW170" i="175"/>
  <c r="AT170" i="175"/>
  <c r="AT169" i="175" s="1"/>
  <c r="BD102" i="175"/>
  <c r="BZ162" i="175"/>
  <c r="AJ360" i="175"/>
  <c r="AJ361" i="175" s="1"/>
  <c r="AR181" i="175"/>
  <c r="AR193" i="175" s="1"/>
  <c r="AR176" i="175"/>
  <c r="AR360" i="175"/>
  <c r="BX170" i="175"/>
  <c r="BZ296" i="175"/>
  <c r="BZ200" i="175"/>
  <c r="AO400" i="175"/>
  <c r="AN402" i="175"/>
  <c r="AN408" i="175"/>
  <c r="AN409" i="175" s="1"/>
  <c r="AN401" i="175"/>
  <c r="BY322" i="175"/>
  <c r="AW404" i="175"/>
  <c r="AR405" i="175"/>
  <c r="AX404" i="175"/>
  <c r="AS406" i="175"/>
  <c r="AS405" i="175"/>
  <c r="BZ396" i="175"/>
  <c r="AU404" i="175"/>
  <c r="AP405" i="175"/>
  <c r="AP406" i="175"/>
  <c r="AM405" i="175"/>
  <c r="AN406" i="175"/>
  <c r="AH362" i="175"/>
  <c r="AA371" i="172"/>
  <c r="AC381" i="172"/>
  <c r="AE373" i="172"/>
  <c r="Z373" i="172"/>
  <c r="BG233" i="172"/>
  <c r="BB234" i="172"/>
  <c r="BB236" i="172"/>
  <c r="X377" i="172"/>
  <c r="Z381" i="172"/>
  <c r="AD377" i="172"/>
  <c r="X373" i="172"/>
  <c r="R377" i="172"/>
  <c r="V375" i="172"/>
  <c r="BT228" i="172"/>
  <c r="BT229" i="172" s="1"/>
  <c r="BT231" i="172"/>
  <c r="R381" i="172"/>
  <c r="V379" i="172"/>
  <c r="EJ100" i="135"/>
  <c r="AA379" i="172"/>
  <c r="CF244" i="172"/>
  <c r="CK244" i="172" s="1"/>
  <c r="CP244" i="172" s="1"/>
  <c r="CU244" i="172" s="1"/>
  <c r="DM244" i="172"/>
  <c r="DM246" i="172" s="1"/>
  <c r="Z377" i="172"/>
  <c r="AD373" i="172"/>
  <c r="AE377" i="172"/>
  <c r="Y381" i="172"/>
  <c r="R373" i="172"/>
  <c r="V371" i="172"/>
  <c r="CO14" i="9"/>
  <c r="DR34" i="12"/>
  <c r="DR31" i="12"/>
  <c r="DO13" i="12"/>
  <c r="DO39" i="12"/>
  <c r="DO35" i="12"/>
  <c r="DP27" i="12" s="1"/>
  <c r="DP35" i="12" s="1"/>
  <c r="DQ27" i="12" s="1"/>
  <c r="DQ35" i="12" s="1"/>
  <c r="DR27" i="12" s="1"/>
  <c r="EM8" i="135"/>
  <c r="BC127" i="175"/>
  <c r="EM45" i="123"/>
  <c r="EL60" i="123"/>
  <c r="EM40" i="123"/>
  <c r="CR73" i="171"/>
  <c r="CA197" i="171"/>
  <c r="CD73" i="171"/>
  <c r="BF176" i="171"/>
  <c r="CS109" i="171"/>
  <c r="CS73" i="171"/>
  <c r="AH361" i="175"/>
  <c r="AW170" i="175"/>
  <c r="BZ317" i="175"/>
  <c r="AP184" i="175"/>
  <c r="AQ186" i="175"/>
  <c r="GG30" i="9"/>
  <c r="CW16" i="12"/>
  <c r="CX7" i="12" s="1"/>
  <c r="G51" i="141"/>
  <c r="CL20" i="12"/>
  <c r="CL16" i="12"/>
  <c r="CM7" i="12" s="1"/>
  <c r="EC55" i="9"/>
  <c r="BM239" i="172"/>
  <c r="BH240" i="172"/>
  <c r="BH241" i="172"/>
  <c r="EN11" i="135"/>
  <c r="EO11" i="135" s="1"/>
  <c r="EM13" i="135"/>
  <c r="BC103" i="175"/>
  <c r="BB100" i="175"/>
  <c r="BB102" i="175"/>
  <c r="BB103" i="175"/>
  <c r="AZ151" i="175"/>
  <c r="EJ110" i="135"/>
  <c r="DL17" i="172"/>
  <c r="BC141" i="175"/>
  <c r="BZ66" i="175"/>
  <c r="BA152" i="175"/>
  <c r="BA151" i="175"/>
  <c r="BB152" i="175"/>
  <c r="BB151" i="175"/>
  <c r="DL44" i="172"/>
  <c r="DL11" i="172"/>
  <c r="DI56" i="123"/>
  <c r="DI61" i="123" s="1"/>
  <c r="DD62" i="123"/>
  <c r="DE62" i="123"/>
  <c r="DN50" i="123"/>
  <c r="DJ53" i="123"/>
  <c r="DN53" i="123" s="1"/>
  <c r="CB79" i="171"/>
  <c r="BZ73" i="171"/>
  <c r="AX216" i="171"/>
  <c r="AX217" i="171"/>
  <c r="AX213" i="171" s="1"/>
  <c r="AT303" i="175"/>
  <c r="AP301" i="175"/>
  <c r="BW303" i="175"/>
  <c r="CT197" i="171"/>
  <c r="AY221" i="171"/>
  <c r="AY219" i="171"/>
  <c r="BA219" i="171" s="1"/>
  <c r="BB219" i="171" s="1"/>
  <c r="BC219" i="171" s="1"/>
  <c r="BD219" i="171" s="1"/>
  <c r="AY222" i="171"/>
  <c r="AY215" i="171"/>
  <c r="BA220" i="171"/>
  <c r="BH176" i="171"/>
  <c r="BD178" i="171"/>
  <c r="DE178" i="171" s="1"/>
  <c r="CJ178" i="171"/>
  <c r="CJ179" i="171" s="1"/>
  <c r="DC178" i="171"/>
  <c r="DC179" i="171" s="1"/>
  <c r="CV73" i="171"/>
  <c r="CD280" i="171"/>
  <c r="CB97" i="171"/>
  <c r="CV197" i="171"/>
  <c r="CU197" i="171"/>
  <c r="Q170" i="171"/>
  <c r="Q172" i="171"/>
  <c r="BA69" i="171"/>
  <c r="AX293" i="175"/>
  <c r="BD176" i="171"/>
  <c r="CD198" i="171"/>
  <c r="CS197" i="171"/>
  <c r="CV79" i="171"/>
  <c r="CD103" i="171"/>
  <c r="CD157" i="171"/>
  <c r="CA168" i="171"/>
  <c r="CU139" i="171"/>
  <c r="CU121" i="171"/>
  <c r="CU133" i="171"/>
  <c r="CU163" i="171"/>
  <c r="CU145" i="171"/>
  <c r="CV168" i="171"/>
  <c r="CU151" i="171"/>
  <c r="CU127" i="171"/>
  <c r="CU157" i="171"/>
  <c r="CR79" i="171"/>
  <c r="CB73" i="171"/>
  <c r="CB195" i="171"/>
  <c r="AV156" i="175"/>
  <c r="CT97" i="171"/>
  <c r="CB197" i="171"/>
  <c r="AJ373" i="175"/>
  <c r="AJ374" i="175" s="1"/>
  <c r="CV115" i="171"/>
  <c r="AA170" i="171"/>
  <c r="AA172" i="171"/>
  <c r="CC109" i="171"/>
  <c r="T172" i="171"/>
  <c r="T170" i="171"/>
  <c r="CC198" i="171"/>
  <c r="CD195" i="171"/>
  <c r="P172" i="171"/>
  <c r="P170" i="171"/>
  <c r="AJ349" i="175"/>
  <c r="V172" i="171"/>
  <c r="V170" i="171"/>
  <c r="CD145" i="171"/>
  <c r="CD151" i="171"/>
  <c r="CD163" i="171"/>
  <c r="CV103" i="171"/>
  <c r="CV195" i="171"/>
  <c r="CU195" i="171"/>
  <c r="CB198" i="171"/>
  <c r="CC195" i="171"/>
  <c r="CD97" i="171"/>
  <c r="Y252" i="171"/>
  <c r="Z252" i="171" s="1"/>
  <c r="Z248" i="171" s="1"/>
  <c r="Z255" i="171" s="1"/>
  <c r="Y251" i="171"/>
  <c r="AH317" i="175"/>
  <c r="H172" i="171"/>
  <c r="CD115" i="171"/>
  <c r="L172" i="171"/>
  <c r="L170" i="171"/>
  <c r="CV109" i="171"/>
  <c r="CV121" i="171"/>
  <c r="Z170" i="171"/>
  <c r="Z172" i="171"/>
  <c r="AW35" i="175"/>
  <c r="AW117" i="175"/>
  <c r="BO215" i="172"/>
  <c r="BT215" i="172"/>
  <c r="N170" i="171"/>
  <c r="N172" i="171"/>
  <c r="N245" i="171"/>
  <c r="J172" i="171"/>
  <c r="J173" i="171" s="1"/>
  <c r="U172" i="171"/>
  <c r="U170" i="171"/>
  <c r="CD133" i="171"/>
  <c r="CB121" i="171"/>
  <c r="CB151" i="171"/>
  <c r="CB163" i="171"/>
  <c r="CB139" i="171"/>
  <c r="CB133" i="171"/>
  <c r="CB145" i="171"/>
  <c r="CB157" i="171"/>
  <c r="CB127" i="171"/>
  <c r="CC168" i="171"/>
  <c r="CB168" i="171"/>
  <c r="S172" i="171"/>
  <c r="S170" i="171"/>
  <c r="CD121" i="171"/>
  <c r="AK349" i="175"/>
  <c r="CA109" i="171"/>
  <c r="CS195" i="171"/>
  <c r="CC139" i="171"/>
  <c r="CC121" i="171"/>
  <c r="CC127" i="171"/>
  <c r="CC157" i="171"/>
  <c r="CC133" i="171"/>
  <c r="CC163" i="171"/>
  <c r="CD168" i="171"/>
  <c r="CC145" i="171"/>
  <c r="CC151" i="171"/>
  <c r="CA79" i="171"/>
  <c r="Y170" i="171"/>
  <c r="Y172" i="171"/>
  <c r="CS168" i="171"/>
  <c r="CR133" i="171"/>
  <c r="CR151" i="171"/>
  <c r="CR157" i="171"/>
  <c r="CR145" i="171"/>
  <c r="CR127" i="171"/>
  <c r="CR163" i="171"/>
  <c r="CR121" i="171"/>
  <c r="CR139" i="171"/>
  <c r="X170" i="171"/>
  <c r="X172" i="171"/>
  <c r="R170" i="171"/>
  <c r="R172" i="171"/>
  <c r="CV151" i="171"/>
  <c r="CV163" i="171"/>
  <c r="CV145" i="171"/>
  <c r="DB177" i="171"/>
  <c r="K172" i="171"/>
  <c r="K173" i="171" s="1"/>
  <c r="CT133" i="171"/>
  <c r="CT157" i="171"/>
  <c r="CT139" i="171"/>
  <c r="CT163" i="171"/>
  <c r="CT145" i="171"/>
  <c r="CT151" i="171"/>
  <c r="CT121" i="171"/>
  <c r="CT127" i="171"/>
  <c r="CU168" i="171"/>
  <c r="CR115" i="171"/>
  <c r="AV293" i="175"/>
  <c r="BB176" i="171"/>
  <c r="DC176" i="171" s="1"/>
  <c r="CJ176" i="171"/>
  <c r="CJ177" i="171" s="1"/>
  <c r="M245" i="171"/>
  <c r="M170" i="171"/>
  <c r="M172" i="171"/>
  <c r="O172" i="171"/>
  <c r="O170" i="171"/>
  <c r="CT103" i="171"/>
  <c r="CA73" i="171"/>
  <c r="CR97" i="171"/>
  <c r="CA103" i="171"/>
  <c r="BZ103" i="171"/>
  <c r="CD109" i="171"/>
  <c r="I172" i="171"/>
  <c r="W170" i="171"/>
  <c r="W172" i="171"/>
  <c r="CV157" i="171"/>
  <c r="CS151" i="171"/>
  <c r="CS121" i="171"/>
  <c r="CS163" i="171"/>
  <c r="CS127" i="171"/>
  <c r="CT168" i="171"/>
  <c r="CS139" i="171"/>
  <c r="CS145" i="171"/>
  <c r="CS157" i="171"/>
  <c r="CS133" i="171"/>
  <c r="BZ79" i="171"/>
  <c r="CU109" i="171"/>
  <c r="CD127" i="171"/>
  <c r="BL300" i="172"/>
  <c r="BK302" i="172"/>
  <c r="BK301" i="172"/>
  <c r="CE227" i="172"/>
  <c r="CI224" i="172"/>
  <c r="CE230" i="172"/>
  <c r="CF227" i="172"/>
  <c r="BD234" i="172"/>
  <c r="BP241" i="172"/>
  <c r="BP240" i="172"/>
  <c r="BS248" i="172"/>
  <c r="BS249" i="172" s="1"/>
  <c r="BT250" i="172"/>
  <c r="AL374" i="175"/>
  <c r="CF266" i="172"/>
  <c r="CF253" i="172"/>
  <c r="CH230" i="172"/>
  <c r="CH228" i="172" s="1"/>
  <c r="CH227" i="172"/>
  <c r="DM230" i="172"/>
  <c r="DM231" i="172" s="1"/>
  <c r="CI264" i="172"/>
  <c r="DM253" i="172"/>
  <c r="DM255" i="172" s="1"/>
  <c r="BQ268" i="172"/>
  <c r="DK267" i="172"/>
  <c r="DK269" i="172" s="1"/>
  <c r="AZ235" i="172"/>
  <c r="AZ234" i="172"/>
  <c r="CG266" i="172"/>
  <c r="CG253" i="172"/>
  <c r="CE256" i="172"/>
  <c r="CE255" i="172"/>
  <c r="CE269" i="172"/>
  <c r="CE267" i="172" s="1"/>
  <c r="BO410" i="172"/>
  <c r="BP410" i="172"/>
  <c r="BU410" i="172" s="1"/>
  <c r="CG230" i="172"/>
  <c r="CG228" i="172" s="1"/>
  <c r="CG229" i="172" s="1"/>
  <c r="CG227" i="172"/>
  <c r="BQ240" i="172"/>
  <c r="BQ241" i="172"/>
  <c r="CH247" i="172"/>
  <c r="CF159" i="172"/>
  <c r="CH255" i="172"/>
  <c r="BV16" i="171" l="1"/>
  <c r="BV19" i="171"/>
  <c r="BT155" i="189"/>
  <c r="BU231" i="171"/>
  <c r="BU269" i="171"/>
  <c r="BU270" i="171"/>
  <c r="AJ339" i="189"/>
  <c r="BG181" i="189"/>
  <c r="BG179" i="189"/>
  <c r="CH256" i="172"/>
  <c r="BI233" i="172"/>
  <c r="GB53" i="7"/>
  <c r="CH269" i="172"/>
  <c r="CH267" i="172" s="1"/>
  <c r="BX14" i="171"/>
  <c r="BX19" i="171" s="1"/>
  <c r="BX22" i="171" s="1"/>
  <c r="BU16" i="171"/>
  <c r="BU23" i="171"/>
  <c r="BU20" i="171"/>
  <c r="AW88" i="189"/>
  <c r="AX90" i="189" s="1"/>
  <c r="BG89" i="189"/>
  <c r="BU100" i="189"/>
  <c r="BU27" i="189" s="1"/>
  <c r="BP27" i="189"/>
  <c r="BE233" i="172"/>
  <c r="BW91" i="189"/>
  <c r="BW88" i="189" s="1"/>
  <c r="BR101" i="189"/>
  <c r="CS165" i="172"/>
  <c r="CS166" i="172"/>
  <c r="CS167" i="172" s="1"/>
  <c r="CW253" i="172"/>
  <c r="CU247" i="172"/>
  <c r="CV247" i="172"/>
  <c r="CX244" i="172"/>
  <c r="CT266" i="172"/>
  <c r="CT253" i="172"/>
  <c r="CW247" i="172"/>
  <c r="CE268" i="172"/>
  <c r="CU266" i="172"/>
  <c r="CU253" i="172"/>
  <c r="CU227" i="172"/>
  <c r="CU230" i="172"/>
  <c r="CU228" i="172" s="1"/>
  <c r="CV227" i="172"/>
  <c r="CT230" i="172"/>
  <c r="CT227" i="172"/>
  <c r="CX224" i="172"/>
  <c r="CW229" i="172"/>
  <c r="CV229" i="172"/>
  <c r="GB38" i="7"/>
  <c r="GB39" i="7"/>
  <c r="BW262" i="172"/>
  <c r="BW261" i="172"/>
  <c r="BW257" i="172"/>
  <c r="BW258" i="172" s="1"/>
  <c r="BY260" i="172"/>
  <c r="BY261" i="172" s="1"/>
  <c r="BX262" i="172"/>
  <c r="BX261" i="172"/>
  <c r="BX257" i="172"/>
  <c r="BX258" i="172" s="1"/>
  <c r="BG22" i="171"/>
  <c r="BG26" i="171" s="1"/>
  <c r="BG20" i="171"/>
  <c r="BF179" i="189"/>
  <c r="BF181" i="189"/>
  <c r="CI244" i="172"/>
  <c r="BK155" i="189"/>
  <c r="BH156" i="189"/>
  <c r="DL269" i="172"/>
  <c r="DL270" i="172" s="1"/>
  <c r="CI265" i="172"/>
  <c r="DL267" i="172"/>
  <c r="EY136" i="135"/>
  <c r="BI91" i="189"/>
  <c r="FA136" i="135"/>
  <c r="AW93" i="189"/>
  <c r="AW100" i="189"/>
  <c r="CD100" i="189" s="1"/>
  <c r="AX93" i="189"/>
  <c r="CD91" i="189"/>
  <c r="CD92" i="189" s="1"/>
  <c r="AJ248" i="175"/>
  <c r="AJ250" i="175"/>
  <c r="AY218" i="175"/>
  <c r="AY91" i="189"/>
  <c r="AY100" i="189" s="1"/>
  <c r="BE181" i="189"/>
  <c r="AW90" i="189"/>
  <c r="AV90" i="189"/>
  <c r="AY88" i="189"/>
  <c r="CD230" i="172"/>
  <c r="CD231" i="172" s="1"/>
  <c r="AA377" i="172"/>
  <c r="AQ181" i="175"/>
  <c r="AQ193" i="175" s="1"/>
  <c r="CD303" i="189"/>
  <c r="AV361" i="189"/>
  <c r="AU176" i="189"/>
  <c r="AV182" i="189"/>
  <c r="BB181" i="189"/>
  <c r="BB182" i="189" s="1"/>
  <c r="BB179" i="189"/>
  <c r="BD175" i="189"/>
  <c r="BD176" i="189" s="1"/>
  <c r="AZ176" i="189"/>
  <c r="AZ178" i="189"/>
  <c r="BE179" i="189" s="1"/>
  <c r="CD301" i="189"/>
  <c r="AW304" i="189"/>
  <c r="CD304" i="189" s="1"/>
  <c r="AY303" i="189"/>
  <c r="AU301" i="189"/>
  <c r="BI168" i="189"/>
  <c r="BI172" i="189"/>
  <c r="BI173" i="189" s="1"/>
  <c r="AY181" i="189"/>
  <c r="BL172" i="189"/>
  <c r="BL173" i="189" s="1"/>
  <c r="BQ167" i="189"/>
  <c r="BL170" i="189"/>
  <c r="CE170" i="189"/>
  <c r="BI170" i="189"/>
  <c r="BI169" i="189" s="1"/>
  <c r="AU362" i="189"/>
  <c r="AY360" i="189"/>
  <c r="BA181" i="189"/>
  <c r="BA182" i="189" s="1"/>
  <c r="BA179" i="189"/>
  <c r="CF167" i="189"/>
  <c r="BN167" i="189"/>
  <c r="BJ172" i="189"/>
  <c r="BJ173" i="189" s="1"/>
  <c r="BJ170" i="189"/>
  <c r="BO167" i="189"/>
  <c r="BT167" i="189" s="1"/>
  <c r="CD175" i="189"/>
  <c r="AX362" i="189"/>
  <c r="AX361" i="189"/>
  <c r="CC360" i="189"/>
  <c r="AP176" i="189"/>
  <c r="AP360" i="189"/>
  <c r="AP181" i="189"/>
  <c r="AU182" i="189" s="1"/>
  <c r="AT175" i="189"/>
  <c r="AT176" i="189" s="1"/>
  <c r="BK172" i="189"/>
  <c r="BK173" i="189" s="1"/>
  <c r="BK170" i="189"/>
  <c r="BK175" i="189" s="1"/>
  <c r="BK176" i="189" s="1"/>
  <c r="BP167" i="189"/>
  <c r="BU167" i="189" s="1"/>
  <c r="AY176" i="189"/>
  <c r="AQ361" i="189"/>
  <c r="AX182" i="189"/>
  <c r="BC182" i="189"/>
  <c r="BV248" i="172"/>
  <c r="BV249" i="172" s="1"/>
  <c r="CC221" i="172"/>
  <c r="BY269" i="172"/>
  <c r="CD246" i="172"/>
  <c r="BZ251" i="172"/>
  <c r="BX250" i="172"/>
  <c r="BX248" i="172" s="1"/>
  <c r="BX249" i="172" s="1"/>
  <c r="CD226" i="172"/>
  <c r="BV259" i="172"/>
  <c r="BV258" i="172"/>
  <c r="BY410" i="172"/>
  <c r="BZ410" i="172"/>
  <c r="CD410" i="172" s="1"/>
  <c r="CH229" i="172"/>
  <c r="BZ240" i="172"/>
  <c r="BZ241" i="172"/>
  <c r="CA228" i="172"/>
  <c r="CA240" i="172"/>
  <c r="CA241" i="172"/>
  <c r="CC256" i="172"/>
  <c r="CC269" i="172"/>
  <c r="CC255" i="172"/>
  <c r="BY229" i="172"/>
  <c r="CA255" i="172"/>
  <c r="CA269" i="172"/>
  <c r="CA267" i="172" s="1"/>
  <c r="CA268" i="172" s="1"/>
  <c r="CA256" i="172"/>
  <c r="CB256" i="172"/>
  <c r="CD253" i="172"/>
  <c r="EM18" i="135"/>
  <c r="EN16" i="135"/>
  <c r="CE101" i="189"/>
  <c r="CE102" i="189" s="1"/>
  <c r="BK104" i="189"/>
  <c r="CH17" i="172"/>
  <c r="BH29" i="189"/>
  <c r="AW261" i="175"/>
  <c r="AW57" i="175"/>
  <c r="BJ24" i="189"/>
  <c r="BO91" i="189"/>
  <c r="BT91" i="189" s="1"/>
  <c r="BJ88" i="189"/>
  <c r="BJ93" i="189"/>
  <c r="AU261" i="175"/>
  <c r="AU57" i="175"/>
  <c r="AY260" i="175"/>
  <c r="AU65" i="175"/>
  <c r="AZ63" i="175"/>
  <c r="AZ63" i="189" s="1"/>
  <c r="AV65" i="175"/>
  <c r="AU60" i="175"/>
  <c r="AY63" i="175"/>
  <c r="AY64" i="175" s="1"/>
  <c r="BM89" i="189"/>
  <c r="AH232" i="189"/>
  <c r="AH235" i="189" s="1"/>
  <c r="AM237" i="189"/>
  <c r="BZ113" i="175"/>
  <c r="CE24" i="189"/>
  <c r="BB27" i="189"/>
  <c r="CE27" i="189" s="1"/>
  <c r="AI232" i="189"/>
  <c r="AI235" i="189" s="1"/>
  <c r="AN237" i="189"/>
  <c r="AZ260" i="175"/>
  <c r="BD255" i="175"/>
  <c r="BD256" i="175" s="1"/>
  <c r="AP61" i="175"/>
  <c r="AQ62" i="175"/>
  <c r="AT60" i="175"/>
  <c r="BM102" i="189"/>
  <c r="AS232" i="189"/>
  <c r="AS235" i="189" s="1"/>
  <c r="AS237" i="189"/>
  <c r="BP91" i="189"/>
  <c r="BU91" i="189" s="1"/>
  <c r="BK24" i="189"/>
  <c r="BK28" i="189" s="1"/>
  <c r="FD136" i="135" s="1"/>
  <c r="BK93" i="189"/>
  <c r="BK88" i="189"/>
  <c r="BB90" i="189"/>
  <c r="BC90" i="189"/>
  <c r="AX261" i="175"/>
  <c r="AX57" i="175"/>
  <c r="BB57" i="175"/>
  <c r="BB261" i="175"/>
  <c r="BJ104" i="189"/>
  <c r="BE100" i="189"/>
  <c r="BJ100" i="189" s="1"/>
  <c r="CE28" i="189"/>
  <c r="CE29" i="189" s="1"/>
  <c r="BA57" i="175"/>
  <c r="BA261" i="175"/>
  <c r="BM28" i="189"/>
  <c r="FF136" i="135" s="1"/>
  <c r="AT232" i="189"/>
  <c r="AT235" i="189" s="1"/>
  <c r="AT237" i="189"/>
  <c r="AJ232" i="189"/>
  <c r="AJ235" i="189" s="1"/>
  <c r="AJ237" i="189"/>
  <c r="AO237" i="189"/>
  <c r="CD27" i="189"/>
  <c r="BL91" i="189"/>
  <c r="BL101" i="189" s="1"/>
  <c r="BI24" i="189"/>
  <c r="BI88" i="189"/>
  <c r="CF91" i="189"/>
  <c r="CF92" i="189" s="1"/>
  <c r="BH93" i="189"/>
  <c r="BC261" i="175"/>
  <c r="BC57" i="175"/>
  <c r="BE89" i="189"/>
  <c r="BE90" i="189"/>
  <c r="AV57" i="175"/>
  <c r="AV261" i="175"/>
  <c r="BR88" i="189"/>
  <c r="BR24" i="189"/>
  <c r="BR28" i="189" s="1"/>
  <c r="FK136" i="135" s="1"/>
  <c r="BD88" i="189"/>
  <c r="FU19" i="7"/>
  <c r="AJ315" i="175"/>
  <c r="BN19" i="171"/>
  <c r="BN22" i="171" s="1"/>
  <c r="AO303" i="189"/>
  <c r="CB301" i="189"/>
  <c r="AJ315" i="189"/>
  <c r="AF317" i="189"/>
  <c r="AJ317" i="189" s="1"/>
  <c r="AP363" i="189"/>
  <c r="AP348" i="189"/>
  <c r="AT293" i="189"/>
  <c r="AT348" i="189" s="1"/>
  <c r="CB293" i="189"/>
  <c r="AK373" i="189"/>
  <c r="AK315" i="189"/>
  <c r="AO311" i="189"/>
  <c r="BE156" i="189"/>
  <c r="AJ349" i="189"/>
  <c r="AS363" i="189"/>
  <c r="AX363" i="189"/>
  <c r="CC315" i="189"/>
  <c r="AR311" i="189"/>
  <c r="AK349" i="189"/>
  <c r="AQ338" i="189"/>
  <c r="AQ339" i="189" s="1"/>
  <c r="AR338" i="189"/>
  <c r="BI16" i="171"/>
  <c r="AQ363" i="189"/>
  <c r="AM373" i="189"/>
  <c r="AR363" i="189"/>
  <c r="AW363" i="189"/>
  <c r="BC156" i="189"/>
  <c r="BC157" i="189"/>
  <c r="BD155" i="189"/>
  <c r="AJ373" i="189"/>
  <c r="AJ374" i="189" s="1"/>
  <c r="AF384" i="189"/>
  <c r="AJ361" i="189"/>
  <c r="AO361" i="189"/>
  <c r="AO349" i="189"/>
  <c r="AW9" i="175"/>
  <c r="EK136" i="135" s="1"/>
  <c r="BB10" i="175"/>
  <c r="BA10" i="175"/>
  <c r="AV9" i="175"/>
  <c r="EJ136" i="135" s="1"/>
  <c r="EV84" i="8"/>
  <c r="EX84" i="8" s="1"/>
  <c r="EY84" i="8" s="1"/>
  <c r="EZ84" i="8" s="1"/>
  <c r="FA84" i="8" s="1"/>
  <c r="FC84" i="8" s="1"/>
  <c r="FD84" i="8" s="1"/>
  <c r="FE84" i="8" s="1"/>
  <c r="FF84" i="8" s="1"/>
  <c r="FH84" i="8" s="1"/>
  <c r="FI84" i="8" s="1"/>
  <c r="FJ84" i="8" s="1"/>
  <c r="FK84" i="8" s="1"/>
  <c r="FV37" i="7"/>
  <c r="FV38" i="7" s="1"/>
  <c r="BC234" i="172"/>
  <c r="BC236" i="172"/>
  <c r="BE236" i="172" s="1"/>
  <c r="BE237" i="172" s="1"/>
  <c r="BH233" i="172"/>
  <c r="BJ233" i="172" s="1"/>
  <c r="CQ229" i="172"/>
  <c r="EO13" i="135"/>
  <c r="EP11" i="135"/>
  <c r="CP247" i="172"/>
  <c r="CQ247" i="172"/>
  <c r="CS244" i="172"/>
  <c r="CP230" i="172"/>
  <c r="CP228" i="172" s="1"/>
  <c r="CP227" i="172"/>
  <c r="CO253" i="172"/>
  <c r="CO266" i="172"/>
  <c r="CR253" i="172"/>
  <c r="CO227" i="172"/>
  <c r="CO230" i="172"/>
  <c r="CS224" i="172"/>
  <c r="CP253" i="172"/>
  <c r="CP266" i="172"/>
  <c r="CM266" i="172"/>
  <c r="CQ264" i="172"/>
  <c r="CV264" i="172" s="1"/>
  <c r="CR229" i="172"/>
  <c r="CQ227" i="172"/>
  <c r="CB188" i="171"/>
  <c r="BQ16" i="171"/>
  <c r="BQ19" i="171"/>
  <c r="BQ22" i="171" s="1"/>
  <c r="BS19" i="171"/>
  <c r="BS22" i="171" s="1"/>
  <c r="BP281" i="171"/>
  <c r="BU282" i="171" s="1"/>
  <c r="BO155" i="189"/>
  <c r="BT156" i="189" s="1"/>
  <c r="BP20" i="171"/>
  <c r="CQ212" i="172"/>
  <c r="BP16" i="171"/>
  <c r="BC26" i="171"/>
  <c r="BC32" i="171" s="1"/>
  <c r="BC44" i="171" s="1"/>
  <c r="BC20" i="171"/>
  <c r="BJ155" i="189"/>
  <c r="BJ158" i="189" s="1"/>
  <c r="BM14" i="171"/>
  <c r="BR14" i="171" s="1"/>
  <c r="BH19" i="171"/>
  <c r="CL14" i="171"/>
  <c r="CL15" i="171" s="1"/>
  <c r="BH16" i="171"/>
  <c r="DE15" i="171"/>
  <c r="CR172" i="171"/>
  <c r="AQ360" i="175"/>
  <c r="AR362" i="175" s="1"/>
  <c r="AS165" i="175"/>
  <c r="AS175" i="175" s="1"/>
  <c r="AT175" i="175" s="1"/>
  <c r="AT176" i="175" s="1"/>
  <c r="BZ24" i="175"/>
  <c r="BZ101" i="175"/>
  <c r="BZ102" i="175" s="1"/>
  <c r="CU188" i="171"/>
  <c r="AO215" i="171"/>
  <c r="AO219" i="171"/>
  <c r="AP220" i="171"/>
  <c r="AO221" i="171"/>
  <c r="AO222" i="171"/>
  <c r="AX182" i="171"/>
  <c r="BA224" i="171"/>
  <c r="BA225" i="171"/>
  <c r="BB223" i="171"/>
  <c r="AM111" i="171"/>
  <c r="AN217" i="171"/>
  <c r="AN213" i="171" s="1"/>
  <c r="AN216" i="171"/>
  <c r="AM81" i="171"/>
  <c r="AY233" i="171"/>
  <c r="AY227" i="171" s="1"/>
  <c r="BW293" i="175"/>
  <c r="X173" i="171"/>
  <c r="AW183" i="171"/>
  <c r="AW184" i="171"/>
  <c r="BV210" i="172" s="1"/>
  <c r="U173" i="171"/>
  <c r="DB182" i="171"/>
  <c r="DB184" i="171" s="1"/>
  <c r="DK177" i="172"/>
  <c r="DK178" i="172" s="1"/>
  <c r="DI45" i="7"/>
  <c r="FY45" i="7"/>
  <c r="CR45" i="7"/>
  <c r="DS45" i="7"/>
  <c r="BZ92" i="175"/>
  <c r="BZ67" i="175"/>
  <c r="EZ46" i="123"/>
  <c r="DD56" i="7"/>
  <c r="DD58" i="7" s="1"/>
  <c r="CW45" i="7"/>
  <c r="BI240" i="172"/>
  <c r="BI241" i="172"/>
  <c r="BJ241" i="172" s="1"/>
  <c r="BJ242" i="172" s="1"/>
  <c r="BN239" i="172"/>
  <c r="BO239" i="172" s="1"/>
  <c r="BO240" i="172" s="1"/>
  <c r="DC79" i="7"/>
  <c r="DC80" i="7" s="1"/>
  <c r="FZ45" i="7"/>
  <c r="EL109" i="135"/>
  <c r="DW78" i="7"/>
  <c r="DW66" i="7"/>
  <c r="DW120" i="7" s="1"/>
  <c r="DW150" i="7"/>
  <c r="CT19" i="7"/>
  <c r="CT37" i="7"/>
  <c r="GC38" i="7"/>
  <c r="GC39" i="7"/>
  <c r="GC53" i="7"/>
  <c r="GC44" i="7"/>
  <c r="DH66" i="7"/>
  <c r="DH120" i="7" s="1"/>
  <c r="DH150" i="7"/>
  <c r="DH78" i="7"/>
  <c r="DL58" i="7"/>
  <c r="DL57" i="7"/>
  <c r="DR150" i="7"/>
  <c r="DR66" i="7"/>
  <c r="DR120" i="7" s="1"/>
  <c r="CQ39" i="7"/>
  <c r="CQ53" i="7"/>
  <c r="CQ44" i="7"/>
  <c r="CV45" i="7" s="1"/>
  <c r="CQ38" i="7"/>
  <c r="CN38" i="7"/>
  <c r="CN53" i="7"/>
  <c r="CN44" i="7"/>
  <c r="CN45" i="7" s="1"/>
  <c r="FZ55" i="7"/>
  <c r="FZ56" i="7"/>
  <c r="CF38" i="7"/>
  <c r="CF53" i="7"/>
  <c r="CF44" i="7"/>
  <c r="CK45" i="7" s="1"/>
  <c r="DJ57" i="7"/>
  <c r="DJ58" i="7"/>
  <c r="DT58" i="7"/>
  <c r="DT57" i="7"/>
  <c r="FY56" i="7"/>
  <c r="FY55" i="7"/>
  <c r="CY54" i="7"/>
  <c r="CX183" i="7"/>
  <c r="FW54" i="7"/>
  <c r="FW55" i="7" s="1"/>
  <c r="CX119" i="7"/>
  <c r="CX118" i="7"/>
  <c r="EA55" i="7"/>
  <c r="EA56" i="7"/>
  <c r="CV55" i="7"/>
  <c r="CV56" i="7"/>
  <c r="DA57" i="7" s="1"/>
  <c r="CV183" i="7"/>
  <c r="CZ150" i="7"/>
  <c r="CZ66" i="7"/>
  <c r="CZ120" i="7" s="1"/>
  <c r="CZ78" i="7"/>
  <c r="DF66" i="7"/>
  <c r="DF120" i="7" s="1"/>
  <c r="DF150" i="7"/>
  <c r="CL44" i="7"/>
  <c r="CL38" i="7"/>
  <c r="CL39" i="7"/>
  <c r="CL53" i="7"/>
  <c r="DE58" i="7"/>
  <c r="DE79" i="7"/>
  <c r="DE80" i="7" s="1"/>
  <c r="DE57" i="7"/>
  <c r="FX56" i="7"/>
  <c r="DN56" i="7"/>
  <c r="DN55" i="7"/>
  <c r="DM150" i="7"/>
  <c r="DM78" i="7"/>
  <c r="DM66" i="7"/>
  <c r="DM120" i="7" s="1"/>
  <c r="DA150" i="7"/>
  <c r="DA78" i="7"/>
  <c r="DA66" i="7"/>
  <c r="DA120" i="7" s="1"/>
  <c r="CM54" i="7"/>
  <c r="CM56" i="7" s="1"/>
  <c r="DN45" i="7"/>
  <c r="CY37" i="7"/>
  <c r="CY19" i="7"/>
  <c r="DZ45" i="7"/>
  <c r="EE45" i="7"/>
  <c r="EB57" i="7"/>
  <c r="DW57" i="7"/>
  <c r="DW58" i="7"/>
  <c r="DQ66" i="7"/>
  <c r="DQ120" i="7" s="1"/>
  <c r="DQ150" i="7"/>
  <c r="DQ78" i="7"/>
  <c r="CW150" i="7"/>
  <c r="CW66" i="7"/>
  <c r="DI55" i="7"/>
  <c r="DI56" i="7"/>
  <c r="GB43" i="7"/>
  <c r="DS56" i="7"/>
  <c r="DS55" i="7"/>
  <c r="CP39" i="7"/>
  <c r="CP44" i="7"/>
  <c r="CP38" i="7"/>
  <c r="CP53" i="7"/>
  <c r="DJ66" i="7"/>
  <c r="DJ120" i="7" s="1"/>
  <c r="DJ150" i="7"/>
  <c r="DJ78" i="7"/>
  <c r="CV39" i="7"/>
  <c r="FW56" i="7"/>
  <c r="CZ58" i="7"/>
  <c r="CZ79" i="7"/>
  <c r="CZ80" i="7" s="1"/>
  <c r="DO78" i="7"/>
  <c r="DO66" i="7"/>
  <c r="DO150" i="7"/>
  <c r="GA38" i="7"/>
  <c r="GA39" i="7"/>
  <c r="GA53" i="7"/>
  <c r="GA44" i="7"/>
  <c r="GA45" i="7" s="1"/>
  <c r="CK39" i="7"/>
  <c r="DA58" i="7"/>
  <c r="ED45" i="7"/>
  <c r="EC44" i="7"/>
  <c r="FT38" i="7"/>
  <c r="FT53" i="7"/>
  <c r="FT44" i="7"/>
  <c r="CJ19" i="7"/>
  <c r="CJ37" i="7"/>
  <c r="DQ58" i="7"/>
  <c r="DQ57" i="7"/>
  <c r="DV57" i="7"/>
  <c r="CW58" i="7"/>
  <c r="CW79" i="7"/>
  <c r="CW80" i="7" s="1"/>
  <c r="DP78" i="7"/>
  <c r="DP66" i="7"/>
  <c r="DP120" i="7" s="1"/>
  <c r="DP150" i="7"/>
  <c r="GB56" i="7"/>
  <c r="GB55" i="7"/>
  <c r="CU53" i="7"/>
  <c r="CU39" i="7"/>
  <c r="CU44" i="7"/>
  <c r="CU38" i="7"/>
  <c r="CZ39" i="7"/>
  <c r="DR57" i="7"/>
  <c r="DR79" i="7"/>
  <c r="DR80" i="7" s="1"/>
  <c r="DR58" i="7"/>
  <c r="CS53" i="7"/>
  <c r="CS39" i="7"/>
  <c r="CS44" i="7"/>
  <c r="CS38" i="7"/>
  <c r="CX39" i="7"/>
  <c r="DB150" i="7"/>
  <c r="DB66" i="7"/>
  <c r="DB78" i="7"/>
  <c r="CI56" i="7"/>
  <c r="CI183" i="7"/>
  <c r="CN39" i="7"/>
  <c r="DC183" i="7"/>
  <c r="DK150" i="7"/>
  <c r="DK78" i="7"/>
  <c r="DK66" i="7"/>
  <c r="DK120" i="7" s="1"/>
  <c r="FU38" i="7"/>
  <c r="FU39" i="7"/>
  <c r="FU53" i="7"/>
  <c r="FU44" i="7"/>
  <c r="EF45" i="7"/>
  <c r="EA45" i="7"/>
  <c r="DK57" i="7"/>
  <c r="DF79" i="7"/>
  <c r="DF80" i="7" s="1"/>
  <c r="DF57" i="7"/>
  <c r="DF58" i="7"/>
  <c r="DO57" i="7"/>
  <c r="DO58" i="7"/>
  <c r="CM45" i="7"/>
  <c r="CK56" i="7"/>
  <c r="CK78" i="7"/>
  <c r="CK183" i="7" s="1"/>
  <c r="FT54" i="7"/>
  <c r="CK119" i="7"/>
  <c r="DG66" i="7"/>
  <c r="DG150" i="7"/>
  <c r="DG78" i="7"/>
  <c r="FX45" i="7"/>
  <c r="EH39" i="7"/>
  <c r="EC39" i="7"/>
  <c r="EC38" i="7"/>
  <c r="EC53" i="7"/>
  <c r="DZ55" i="7"/>
  <c r="DZ56" i="7"/>
  <c r="DP58" i="7"/>
  <c r="DP57" i="7"/>
  <c r="DU57" i="7"/>
  <c r="DH58" i="7"/>
  <c r="DH57" i="7"/>
  <c r="DL78" i="7"/>
  <c r="DL79" i="7" s="1"/>
  <c r="DL80" i="7" s="1"/>
  <c r="DL150" i="7"/>
  <c r="DL66" i="7"/>
  <c r="DL120" i="7" s="1"/>
  <c r="DB57" i="7"/>
  <c r="DB58" i="7"/>
  <c r="CO19" i="7"/>
  <c r="CO37" i="7"/>
  <c r="DD119" i="7"/>
  <c r="DD55" i="7"/>
  <c r="DC58" i="7"/>
  <c r="DC67" i="7"/>
  <c r="DC68" i="7" s="1"/>
  <c r="DK58" i="7"/>
  <c r="DT150" i="7"/>
  <c r="DT78" i="7"/>
  <c r="DT66" i="7"/>
  <c r="CX56" i="7"/>
  <c r="CR183" i="7"/>
  <c r="CR55" i="7"/>
  <c r="CR56" i="7"/>
  <c r="DX45" i="7"/>
  <c r="CG53" i="7"/>
  <c r="CG44" i="7"/>
  <c r="CG38" i="7"/>
  <c r="CH56" i="7"/>
  <c r="CH55" i="7"/>
  <c r="CH183" i="7"/>
  <c r="DG57" i="7"/>
  <c r="DG58" i="7"/>
  <c r="DE150" i="7"/>
  <c r="DE66" i="7"/>
  <c r="DE120" i="7" s="1"/>
  <c r="DM57" i="7"/>
  <c r="DM58" i="7"/>
  <c r="DY55" i="7"/>
  <c r="DY56" i="7"/>
  <c r="DY57" i="7" s="1"/>
  <c r="DX38" i="7"/>
  <c r="DX43" i="7"/>
  <c r="DX53" i="7"/>
  <c r="DX39" i="7"/>
  <c r="AP401" i="175"/>
  <c r="DL18" i="172"/>
  <c r="BB219" i="175"/>
  <c r="AZ219" i="175"/>
  <c r="AU219" i="175"/>
  <c r="CI253" i="172"/>
  <c r="CJ253" i="172"/>
  <c r="CJ266" i="172"/>
  <c r="AW114" i="175"/>
  <c r="AW34" i="175"/>
  <c r="AW115" i="175"/>
  <c r="BY113" i="175"/>
  <c r="BY114" i="175" s="1"/>
  <c r="AY113" i="175"/>
  <c r="AY114" i="175" s="1"/>
  <c r="AX115" i="175"/>
  <c r="BD34" i="175"/>
  <c r="BD206" i="175"/>
  <c r="BB114" i="175"/>
  <c r="AY217" i="175"/>
  <c r="BD219" i="175"/>
  <c r="AP408" i="175"/>
  <c r="AP410" i="175" s="1"/>
  <c r="AK36" i="175"/>
  <c r="AO36" i="175" s="1"/>
  <c r="AO119" i="175"/>
  <c r="AP402" i="175"/>
  <c r="AL121" i="175"/>
  <c r="AY223" i="175"/>
  <c r="AP348" i="175"/>
  <c r="AU348" i="175" s="1"/>
  <c r="AS401" i="175"/>
  <c r="AS408" i="175"/>
  <c r="AS409" i="175" s="1"/>
  <c r="AJ337" i="175"/>
  <c r="BD225" i="175"/>
  <c r="Z173" i="171"/>
  <c r="W173" i="171"/>
  <c r="O173" i="171"/>
  <c r="CT188" i="171"/>
  <c r="AM249" i="171"/>
  <c r="CL229" i="172"/>
  <c r="CM229" i="172"/>
  <c r="EJ109" i="135"/>
  <c r="CJ227" i="172"/>
  <c r="CJ230" i="172"/>
  <c r="CJ228" i="172" s="1"/>
  <c r="BB226" i="175"/>
  <c r="AZ226" i="175"/>
  <c r="AB168" i="171"/>
  <c r="AB171" i="171"/>
  <c r="CD174" i="171"/>
  <c r="AA381" i="172"/>
  <c r="AR194" i="175"/>
  <c r="AR119" i="175"/>
  <c r="AR128" i="175" s="1"/>
  <c r="BJ409" i="172"/>
  <c r="CE86" i="171"/>
  <c r="AQ92" i="171"/>
  <c r="AP87" i="171"/>
  <c r="AP86" i="171"/>
  <c r="AB194" i="171"/>
  <c r="AB195" i="171" s="1"/>
  <c r="CD188" i="171"/>
  <c r="CC193" i="171"/>
  <c r="BS178" i="172"/>
  <c r="BS177" i="172" s="1"/>
  <c r="BS176" i="172" s="1"/>
  <c r="BR177" i="172"/>
  <c r="BR176" i="172" s="1"/>
  <c r="AK87" i="171"/>
  <c r="AK86" i="171"/>
  <c r="AL249" i="171"/>
  <c r="AU120" i="171"/>
  <c r="AU84" i="171"/>
  <c r="AU90" i="171"/>
  <c r="AO120" i="171"/>
  <c r="AO90" i="171"/>
  <c r="AO84" i="171"/>
  <c r="CF229" i="172"/>
  <c r="CF141" i="171"/>
  <c r="CX141" i="171"/>
  <c r="AT84" i="171"/>
  <c r="AT90" i="171"/>
  <c r="AT120" i="171"/>
  <c r="CE111" i="171"/>
  <c r="CW111" i="171"/>
  <c r="EC48" i="8"/>
  <c r="CE87" i="171"/>
  <c r="CW87" i="171"/>
  <c r="AQ86" i="171"/>
  <c r="AQ87" i="171"/>
  <c r="CA188" i="171"/>
  <c r="CE92" i="171"/>
  <c r="AK93" i="171"/>
  <c r="AK92" i="171"/>
  <c r="AQ194" i="175"/>
  <c r="AQ119" i="175"/>
  <c r="AQ128" i="175" s="1"/>
  <c r="AJ120" i="171"/>
  <c r="AJ84" i="171"/>
  <c r="CY84" i="171" s="1"/>
  <c r="AJ90" i="171"/>
  <c r="CY90" i="171" s="1"/>
  <c r="CW86" i="171"/>
  <c r="ED169" i="135"/>
  <c r="EB170" i="135"/>
  <c r="AT236" i="175"/>
  <c r="AT232" i="175" s="1"/>
  <c r="AT235" i="175" s="1"/>
  <c r="AH236" i="175"/>
  <c r="AH232" i="175" s="1"/>
  <c r="AH235" i="175" s="1"/>
  <c r="AG231" i="175"/>
  <c r="AG231" i="189" s="1"/>
  <c r="AG236" i="189" s="1"/>
  <c r="AP92" i="171"/>
  <c r="CD193" i="171"/>
  <c r="CW93" i="171"/>
  <c r="CE93" i="171"/>
  <c r="AF93" i="171"/>
  <c r="AF92" i="171"/>
  <c r="CF90" i="171"/>
  <c r="CX90" i="171"/>
  <c r="CX92" i="171" s="1"/>
  <c r="CC188" i="171"/>
  <c r="CV188" i="171"/>
  <c r="AT301" i="175"/>
  <c r="AT304" i="175" s="1"/>
  <c r="BW301" i="175"/>
  <c r="CE81" i="171"/>
  <c r="CW81" i="171"/>
  <c r="CW92" i="171"/>
  <c r="CF84" i="171"/>
  <c r="CF86" i="171" s="1"/>
  <c r="AF87" i="171"/>
  <c r="AF86" i="171"/>
  <c r="CX84" i="171"/>
  <c r="AU172" i="175"/>
  <c r="AU173" i="175" s="1"/>
  <c r="AQ140" i="171"/>
  <c r="AS315" i="175"/>
  <c r="AN315" i="175"/>
  <c r="CW135" i="171"/>
  <c r="CE135" i="171"/>
  <c r="CE75" i="171"/>
  <c r="CW75" i="171"/>
  <c r="AU72" i="171"/>
  <c r="AU102" i="171"/>
  <c r="AU138" i="171"/>
  <c r="AU141" i="171" s="1"/>
  <c r="AU78" i="171"/>
  <c r="AU114" i="171"/>
  <c r="AU156" i="171"/>
  <c r="AU132" i="171"/>
  <c r="AS338" i="175"/>
  <c r="AU96" i="171"/>
  <c r="AU162" i="171"/>
  <c r="AU12" i="171"/>
  <c r="AU108" i="171"/>
  <c r="AS11" i="171"/>
  <c r="AQ336" i="175"/>
  <c r="AQ337" i="175" s="1"/>
  <c r="AR312" i="175"/>
  <c r="AM376" i="175"/>
  <c r="AM377" i="175" s="1"/>
  <c r="CW98" i="171"/>
  <c r="CW196" i="171"/>
  <c r="CW104" i="171"/>
  <c r="CN224" i="172"/>
  <c r="CK227" i="172"/>
  <c r="CL227" i="172"/>
  <c r="CK230" i="172"/>
  <c r="AM339" i="175"/>
  <c r="AP140" i="171"/>
  <c r="AK75" i="171"/>
  <c r="AK74" i="171"/>
  <c r="AK111" i="171"/>
  <c r="AK110" i="171"/>
  <c r="AK98" i="171"/>
  <c r="AK99" i="171"/>
  <c r="EE164" i="135"/>
  <c r="EE165" i="135" s="1"/>
  <c r="ED167" i="135"/>
  <c r="ED166" i="135"/>
  <c r="CX156" i="171"/>
  <c r="AF158" i="171"/>
  <c r="AF159" i="171"/>
  <c r="CF156" i="171"/>
  <c r="CF158" i="171" s="1"/>
  <c r="CF78" i="171"/>
  <c r="AF80" i="171"/>
  <c r="AF81" i="171"/>
  <c r="CX78" i="171"/>
  <c r="CX80" i="171" s="1"/>
  <c r="CE140" i="171"/>
  <c r="CK266" i="172"/>
  <c r="CK253" i="172"/>
  <c r="CN264" i="172"/>
  <c r="CN265" i="172" s="1"/>
  <c r="AH416" i="175"/>
  <c r="AT8" i="171"/>
  <c r="EC169" i="135"/>
  <c r="EC171" i="135" s="1"/>
  <c r="EB171" i="135"/>
  <c r="DB180" i="171"/>
  <c r="CW117" i="171"/>
  <c r="CE117" i="171"/>
  <c r="CW110" i="171"/>
  <c r="CX158" i="171"/>
  <c r="CW158" i="171"/>
  <c r="BK176" i="171"/>
  <c r="BP176" i="171" s="1"/>
  <c r="BU176" i="171" s="1"/>
  <c r="AQ164" i="171"/>
  <c r="AQ165" i="171"/>
  <c r="AQ158" i="171"/>
  <c r="AX336" i="175"/>
  <c r="AX337" i="175" s="1"/>
  <c r="AY8" i="171"/>
  <c r="AY11" i="171"/>
  <c r="AX338" i="189" s="1"/>
  <c r="AX339" i="189" s="1"/>
  <c r="AO8" i="171"/>
  <c r="CE98" i="171"/>
  <c r="CE105" i="171"/>
  <c r="CW105" i="171"/>
  <c r="CE196" i="171"/>
  <c r="CE197" i="171" s="1"/>
  <c r="CE104" i="171"/>
  <c r="CE279" i="171"/>
  <c r="CE280" i="171" s="1"/>
  <c r="AP165" i="171"/>
  <c r="AP164" i="171"/>
  <c r="AP158" i="171"/>
  <c r="CG162" i="171"/>
  <c r="CY162" i="171"/>
  <c r="AK165" i="171"/>
  <c r="AK164" i="171"/>
  <c r="CY163" i="171"/>
  <c r="CF108" i="171"/>
  <c r="CF110" i="171" s="1"/>
  <c r="AF110" i="171"/>
  <c r="CX108" i="171"/>
  <c r="AF111" i="171"/>
  <c r="CX114" i="171"/>
  <c r="CX116" i="171" s="1"/>
  <c r="AF117" i="171"/>
  <c r="CF114" i="171"/>
  <c r="AF116" i="171"/>
  <c r="AE338" i="175"/>
  <c r="CF12" i="171"/>
  <c r="CF10" i="171"/>
  <c r="CF69" i="171" s="1"/>
  <c r="CM255" i="172"/>
  <c r="CM269" i="172"/>
  <c r="CM267" i="172" s="1"/>
  <c r="CM268" i="172" s="1"/>
  <c r="CM257" i="172"/>
  <c r="CW140" i="171"/>
  <c r="BR409" i="172"/>
  <c r="BT409" i="172" s="1"/>
  <c r="CI180" i="171"/>
  <c r="CI181" i="171" s="1"/>
  <c r="AR337" i="175"/>
  <c r="AT12" i="171"/>
  <c r="AR338" i="175"/>
  <c r="AT78" i="171"/>
  <c r="AT138" i="171"/>
  <c r="AT141" i="171" s="1"/>
  <c r="AT102" i="171"/>
  <c r="AQ338" i="175"/>
  <c r="AT108" i="171"/>
  <c r="AT132" i="171"/>
  <c r="AT96" i="171"/>
  <c r="AT72" i="171"/>
  <c r="AT114" i="171"/>
  <c r="AT156" i="171"/>
  <c r="AT162" i="171"/>
  <c r="CW159" i="171"/>
  <c r="CE159" i="171"/>
  <c r="BM176" i="171"/>
  <c r="BR176" i="171" s="1"/>
  <c r="BW176" i="171" s="1"/>
  <c r="CK247" i="172"/>
  <c r="CN244" i="172"/>
  <c r="CL247" i="172"/>
  <c r="AQ117" i="171"/>
  <c r="AQ116" i="171"/>
  <c r="AQ196" i="171"/>
  <c r="AQ197" i="171" s="1"/>
  <c r="AQ104" i="171"/>
  <c r="AQ279" i="171"/>
  <c r="AQ280" i="171" s="1"/>
  <c r="AN376" i="175"/>
  <c r="CE134" i="171"/>
  <c r="CW74" i="171"/>
  <c r="AO12" i="171"/>
  <c r="AO102" i="171"/>
  <c r="AO138" i="171"/>
  <c r="AO156" i="171"/>
  <c r="AO114" i="171"/>
  <c r="AL338" i="175"/>
  <c r="AO78" i="171"/>
  <c r="AO162" i="171"/>
  <c r="AO96" i="171"/>
  <c r="AO72" i="171"/>
  <c r="AO108" i="171"/>
  <c r="AO132" i="171"/>
  <c r="AJ12" i="171"/>
  <c r="CG11" i="171"/>
  <c r="AJ102" i="171"/>
  <c r="AJ114" i="171"/>
  <c r="AJ72" i="171"/>
  <c r="AJ108" i="171"/>
  <c r="AJ132" i="171"/>
  <c r="AJ138" i="171"/>
  <c r="AJ141" i="171" s="1"/>
  <c r="AF338" i="175"/>
  <c r="AJ96" i="171"/>
  <c r="AJ156" i="171"/>
  <c r="AJ78" i="171"/>
  <c r="CY78" i="171" s="1"/>
  <c r="CY10" i="171"/>
  <c r="CY69" i="171" s="1"/>
  <c r="CY11" i="171"/>
  <c r="CY12" i="171" s="1"/>
  <c r="AJ376" i="175"/>
  <c r="AJ377" i="175" s="1"/>
  <c r="CE99" i="171"/>
  <c r="CW99" i="171"/>
  <c r="AB197" i="171"/>
  <c r="AP117" i="171"/>
  <c r="AP116" i="171"/>
  <c r="AP110" i="171"/>
  <c r="AP134" i="171"/>
  <c r="AK196" i="171"/>
  <c r="AK104" i="171"/>
  <c r="AK105" i="171"/>
  <c r="AK159" i="171"/>
  <c r="AK158" i="171"/>
  <c r="AK134" i="171"/>
  <c r="AK135" i="171"/>
  <c r="EC173" i="135"/>
  <c r="EB175" i="135"/>
  <c r="EC175" i="135" s="1"/>
  <c r="ED173" i="135"/>
  <c r="ED174" i="135" s="1"/>
  <c r="CX10" i="171"/>
  <c r="CX69" i="171" s="1"/>
  <c r="CX12" i="171"/>
  <c r="AF196" i="171"/>
  <c r="CF102" i="171"/>
  <c r="AF105" i="171"/>
  <c r="CX102" i="171"/>
  <c r="AF104" i="171"/>
  <c r="CF138" i="171"/>
  <c r="CX138" i="171"/>
  <c r="CX140" i="171" s="1"/>
  <c r="AF140" i="171"/>
  <c r="CW80" i="171"/>
  <c r="AK376" i="175"/>
  <c r="AK384" i="175" s="1"/>
  <c r="AP312" i="175"/>
  <c r="AO312" i="175"/>
  <c r="AX8" i="171"/>
  <c r="AW336" i="175"/>
  <c r="AX11" i="171"/>
  <c r="AV313" i="175"/>
  <c r="BX379" i="175"/>
  <c r="AY379" i="175"/>
  <c r="AY380" i="175" s="1"/>
  <c r="DA180" i="171"/>
  <c r="CW116" i="171"/>
  <c r="CL266" i="172"/>
  <c r="CL253" i="172"/>
  <c r="AN339" i="175"/>
  <c r="AQ74" i="171"/>
  <c r="AQ75" i="171"/>
  <c r="BN214" i="171"/>
  <c r="BU214" i="171" s="1"/>
  <c r="BV214" i="171" s="1"/>
  <c r="BW214" i="171" s="1"/>
  <c r="BX214" i="171" s="1"/>
  <c r="AI385" i="175"/>
  <c r="CW134" i="171"/>
  <c r="CE74" i="171"/>
  <c r="AX233" i="175"/>
  <c r="AS8" i="171"/>
  <c r="AN11" i="171"/>
  <c r="AK338" i="189" s="1"/>
  <c r="CH6" i="171"/>
  <c r="CH7" i="171" s="1"/>
  <c r="AN8" i="171"/>
  <c r="AN56" i="171"/>
  <c r="AK336" i="175"/>
  <c r="CZ6" i="171"/>
  <c r="CZ7" i="171" s="1"/>
  <c r="AQ56" i="171"/>
  <c r="AP56" i="171"/>
  <c r="AB128" i="171"/>
  <c r="AB129" i="171"/>
  <c r="AB169" i="171" s="1"/>
  <c r="AB187" i="171" s="1"/>
  <c r="AP104" i="171"/>
  <c r="AP196" i="171"/>
  <c r="AP197" i="171" s="1"/>
  <c r="AP279" i="171"/>
  <c r="AP74" i="171"/>
  <c r="AP75" i="171"/>
  <c r="AK140" i="171"/>
  <c r="AK116" i="171"/>
  <c r="AK117" i="171"/>
  <c r="AK80" i="171"/>
  <c r="AK81" i="171"/>
  <c r="AF98" i="171"/>
  <c r="CX96" i="171"/>
  <c r="AF99" i="171"/>
  <c r="CF96" i="171"/>
  <c r="CX132" i="171"/>
  <c r="CF132" i="171"/>
  <c r="CF134" i="171" s="1"/>
  <c r="AF135" i="171"/>
  <c r="AF134" i="171"/>
  <c r="AF75" i="171"/>
  <c r="CF72" i="171"/>
  <c r="CX72" i="171"/>
  <c r="AF74" i="171"/>
  <c r="CF80" i="171"/>
  <c r="CE80" i="171"/>
  <c r="CG7" i="171"/>
  <c r="CF116" i="171"/>
  <c r="CE116" i="171"/>
  <c r="CE110" i="171"/>
  <c r="CE158" i="171"/>
  <c r="AB262" i="171"/>
  <c r="AB263" i="171" s="1"/>
  <c r="CH29" i="12"/>
  <c r="CH33" i="12" s="1"/>
  <c r="CF29" i="12"/>
  <c r="CI29" i="12"/>
  <c r="CI33" i="12" s="1"/>
  <c r="CG29" i="12"/>
  <c r="CG33" i="12" s="1"/>
  <c r="L173" i="171"/>
  <c r="CK41" i="8"/>
  <c r="CL40" i="8"/>
  <c r="CK67" i="8"/>
  <c r="CK63" i="8"/>
  <c r="CJ41" i="8"/>
  <c r="CO63" i="8" s="1"/>
  <c r="CI42" i="8"/>
  <c r="GG27" i="9"/>
  <c r="BK236" i="172"/>
  <c r="BK234" i="172"/>
  <c r="BP233" i="172"/>
  <c r="BU233" i="172" s="1"/>
  <c r="DO67" i="8"/>
  <c r="DO41" i="8"/>
  <c r="DP40" i="8"/>
  <c r="DO63" i="8"/>
  <c r="DN41" i="8"/>
  <c r="DS63" i="8" s="1"/>
  <c r="DM42" i="8"/>
  <c r="AO128" i="175"/>
  <c r="AM39" i="175"/>
  <c r="AL39" i="175"/>
  <c r="AQ182" i="175"/>
  <c r="AP360" i="175"/>
  <c r="AP176" i="175"/>
  <c r="BW175" i="175"/>
  <c r="AP181" i="175"/>
  <c r="AR182" i="175"/>
  <c r="AM408" i="175"/>
  <c r="AM393" i="175"/>
  <c r="AN394" i="175"/>
  <c r="BZ322" i="175"/>
  <c r="AW324" i="175"/>
  <c r="AU406" i="175"/>
  <c r="AU324" i="175"/>
  <c r="AX324" i="175"/>
  <c r="AX406" i="175"/>
  <c r="AA373" i="172"/>
  <c r="CG247" i="172"/>
  <c r="CF247" i="172"/>
  <c r="DN244" i="172"/>
  <c r="DN246" i="172" s="1"/>
  <c r="BG234" i="172"/>
  <c r="BG236" i="172"/>
  <c r="BL233" i="172"/>
  <c r="DR13" i="12"/>
  <c r="DR22" i="12" s="1"/>
  <c r="DT22" i="12" s="1"/>
  <c r="DU22" i="12" s="1"/>
  <c r="DV22" i="12" s="1"/>
  <c r="DW22" i="12" s="1"/>
  <c r="DY22" i="12" s="1"/>
  <c r="DZ22" i="12" s="1"/>
  <c r="EA22" i="12" s="1"/>
  <c r="EB22" i="12" s="1"/>
  <c r="DR39" i="12"/>
  <c r="DS39" i="12" s="1"/>
  <c r="DT26" i="12"/>
  <c r="DS34" i="12"/>
  <c r="DS31" i="12"/>
  <c r="GG26" i="9"/>
  <c r="H37" i="141" s="1"/>
  <c r="BD38" i="175"/>
  <c r="EM60" i="123"/>
  <c r="EM46" i="123"/>
  <c r="EM42" i="123"/>
  <c r="ER38" i="123" s="1"/>
  <c r="GF36" i="9"/>
  <c r="EV45" i="123"/>
  <c r="EX45" i="123" s="1"/>
  <c r="EY45" i="123" s="1"/>
  <c r="N173" i="171"/>
  <c r="GG9" i="9"/>
  <c r="AX170" i="175"/>
  <c r="AY170" i="175" s="1"/>
  <c r="AY169" i="175" s="1"/>
  <c r="AU165" i="175"/>
  <c r="AV164" i="175"/>
  <c r="BX162" i="175" s="1"/>
  <c r="AR186" i="175"/>
  <c r="AQ184" i="175"/>
  <c r="AU184" i="175"/>
  <c r="AP185" i="175"/>
  <c r="CM16" i="12"/>
  <c r="CN7" i="12" s="1"/>
  <c r="CM20" i="12"/>
  <c r="GG29" i="9"/>
  <c r="EU99" i="8"/>
  <c r="BM241" i="172"/>
  <c r="BM240" i="172"/>
  <c r="BR239" i="172"/>
  <c r="BW239" i="172" s="1"/>
  <c r="EN13" i="135"/>
  <c r="EK110" i="135"/>
  <c r="EL110" i="135"/>
  <c r="EK108" i="135"/>
  <c r="EK104" i="135" s="1"/>
  <c r="EP105" i="135" s="1"/>
  <c r="DM17" i="172"/>
  <c r="EN110" i="135"/>
  <c r="BC142" i="175"/>
  <c r="BC143" i="175"/>
  <c r="BZ141" i="175"/>
  <c r="BD141" i="175"/>
  <c r="BD142" i="175" s="1"/>
  <c r="BZ11" i="175"/>
  <c r="BD11" i="175"/>
  <c r="DN56" i="123"/>
  <c r="DN61" i="123" s="1"/>
  <c r="DI62" i="123"/>
  <c r="CD199" i="171"/>
  <c r="BI178" i="171"/>
  <c r="CM178" i="171" s="1"/>
  <c r="DD178" i="171"/>
  <c r="CK178" i="171"/>
  <c r="Y248" i="171"/>
  <c r="Y255" i="171" s="1"/>
  <c r="Z257" i="171" s="1"/>
  <c r="BA222" i="171"/>
  <c r="BB220" i="171"/>
  <c r="BA215" i="171"/>
  <c r="BA221" i="171"/>
  <c r="AY216" i="171"/>
  <c r="AY217" i="171"/>
  <c r="AY213" i="171" s="1"/>
  <c r="DC177" i="171"/>
  <c r="CB172" i="171"/>
  <c r="M173" i="171"/>
  <c r="AV294" i="175"/>
  <c r="BX293" i="175"/>
  <c r="AY293" i="175"/>
  <c r="R173" i="171"/>
  <c r="Y173" i="171"/>
  <c r="AO349" i="175"/>
  <c r="T173" i="171"/>
  <c r="AF386" i="175"/>
  <c r="AK387" i="175" s="1"/>
  <c r="AF385" i="175"/>
  <c r="AJ384" i="175"/>
  <c r="AJ385" i="175" s="1"/>
  <c r="AG386" i="175"/>
  <c r="AL387" i="175" s="1"/>
  <c r="BX158" i="175"/>
  <c r="AV300" i="175"/>
  <c r="AV159" i="175"/>
  <c r="AV116" i="175"/>
  <c r="Q173" i="171"/>
  <c r="AJ317" i="175"/>
  <c r="S173" i="171"/>
  <c r="CD172" i="171"/>
  <c r="CU172" i="171"/>
  <c r="CT172" i="171"/>
  <c r="CA172" i="171"/>
  <c r="CC199" i="171"/>
  <c r="CB199" i="171"/>
  <c r="CS172" i="171"/>
  <c r="AK374" i="175"/>
  <c r="BI176" i="171"/>
  <c r="BB69" i="171"/>
  <c r="CV172" i="171"/>
  <c r="AT349" i="175"/>
  <c r="DL260" i="172"/>
  <c r="BY293" i="175"/>
  <c r="BG176" i="171"/>
  <c r="CK176" i="171"/>
  <c r="BZ172" i="171"/>
  <c r="CC172" i="171"/>
  <c r="AM317" i="175"/>
  <c r="Z256" i="171"/>
  <c r="DL214" i="172"/>
  <c r="DL215" i="172" s="1"/>
  <c r="V173" i="171"/>
  <c r="P173" i="171"/>
  <c r="AA173" i="171"/>
  <c r="AK317" i="175"/>
  <c r="AX294" i="175"/>
  <c r="DM267" i="172"/>
  <c r="CI230" i="172"/>
  <c r="CI231" i="172" s="1"/>
  <c r="BT410" i="172"/>
  <c r="BT251" i="172"/>
  <c r="BT248" i="172"/>
  <c r="BT249" i="172" s="1"/>
  <c r="BE234" i="172"/>
  <c r="BE235" i="172"/>
  <c r="BL301" i="172"/>
  <c r="BM300" i="172"/>
  <c r="CI246" i="172"/>
  <c r="DN230" i="172"/>
  <c r="DN231" i="172" s="1"/>
  <c r="CF256" i="172"/>
  <c r="CF255" i="172"/>
  <c r="CF269" i="172"/>
  <c r="CF267" i="172" s="1"/>
  <c r="DN253" i="172"/>
  <c r="DN255" i="172" s="1"/>
  <c r="BI236" i="172"/>
  <c r="BN233" i="172"/>
  <c r="BI234" i="172"/>
  <c r="CI226" i="172"/>
  <c r="CG159" i="172"/>
  <c r="CG256" i="172"/>
  <c r="CG255" i="172"/>
  <c r="CG269" i="172"/>
  <c r="DM269" i="172"/>
  <c r="DM270" i="172" s="1"/>
  <c r="CE228" i="172"/>
  <c r="CE229" i="172" s="1"/>
  <c r="BV22" i="171" l="1"/>
  <c r="BV60" i="171" s="1"/>
  <c r="BV63" i="171" s="1"/>
  <c r="BV66" i="171" s="1"/>
  <c r="BV281" i="171"/>
  <c r="BG182" i="189"/>
  <c r="CX230" i="172"/>
  <c r="CX231" i="172" s="1"/>
  <c r="CD228" i="172"/>
  <c r="CD229" i="172" s="1"/>
  <c r="BW24" i="189"/>
  <c r="BW28" i="189" s="1"/>
  <c r="BW29" i="189" s="1"/>
  <c r="BP101" i="189"/>
  <c r="BX281" i="171"/>
  <c r="BW101" i="189"/>
  <c r="BW102" i="189" s="1"/>
  <c r="BV23" i="171"/>
  <c r="BV20" i="171"/>
  <c r="BH22" i="171"/>
  <c r="BG155" i="189" s="1"/>
  <c r="BX23" i="171"/>
  <c r="BX20" i="171"/>
  <c r="BS16" i="171"/>
  <c r="BW14" i="171"/>
  <c r="BO100" i="189"/>
  <c r="BJ27" i="189"/>
  <c r="BJ101" i="189"/>
  <c r="CT228" i="172"/>
  <c r="CU229" i="172"/>
  <c r="CU269" i="172"/>
  <c r="CU267" i="172" s="1"/>
  <c r="CU256" i="172"/>
  <c r="CU255" i="172"/>
  <c r="CX246" i="172"/>
  <c r="CV253" i="172"/>
  <c r="CV266" i="172"/>
  <c r="CX226" i="172"/>
  <c r="CX228" i="172"/>
  <c r="CX264" i="172"/>
  <c r="CW266" i="172"/>
  <c r="CT255" i="172"/>
  <c r="CT256" i="172"/>
  <c r="CT269" i="172"/>
  <c r="CX253" i="172"/>
  <c r="CW255" i="172"/>
  <c r="CW269" i="172"/>
  <c r="CW267" i="172" s="1"/>
  <c r="CW257" i="172"/>
  <c r="CW256" i="172"/>
  <c r="BX259" i="172"/>
  <c r="BW259" i="172"/>
  <c r="BT172" i="189"/>
  <c r="BT170" i="189"/>
  <c r="BV167" i="189"/>
  <c r="CH167" i="189"/>
  <c r="BU172" i="189"/>
  <c r="BU170" i="189"/>
  <c r="BU175" i="189" s="1"/>
  <c r="BU24" i="189"/>
  <c r="BU28" i="189" s="1"/>
  <c r="BU93" i="189"/>
  <c r="BU88" i="189"/>
  <c r="BU101" i="189"/>
  <c r="BW89" i="189"/>
  <c r="FK137" i="135"/>
  <c r="BT24" i="189"/>
  <c r="BT93" i="189"/>
  <c r="BT88" i="189"/>
  <c r="BT101" i="189"/>
  <c r="BY257" i="172"/>
  <c r="BY258" i="172" s="1"/>
  <c r="BG32" i="171"/>
  <c r="BV219" i="172"/>
  <c r="BN16" i="171"/>
  <c r="BG23" i="171"/>
  <c r="BF155" i="189"/>
  <c r="BF182" i="189"/>
  <c r="CD269" i="172"/>
  <c r="BM155" i="189"/>
  <c r="BM156" i="189" s="1"/>
  <c r="BI92" i="189"/>
  <c r="CD178" i="189"/>
  <c r="AS176" i="175"/>
  <c r="AT165" i="175"/>
  <c r="AT164" i="175" s="1"/>
  <c r="CE92" i="189"/>
  <c r="CI255" i="172"/>
  <c r="FV53" i="7"/>
  <c r="FV55" i="7" s="1"/>
  <c r="CD270" i="172"/>
  <c r="BD27" i="189"/>
  <c r="CG167" i="189"/>
  <c r="AP361" i="189"/>
  <c r="AP362" i="189"/>
  <c r="AU363" i="189" s="1"/>
  <c r="AT360" i="189"/>
  <c r="AY361" i="189" s="1"/>
  <c r="CB360" i="189"/>
  <c r="AQ362" i="189"/>
  <c r="AV363" i="189" s="1"/>
  <c r="BN172" i="189"/>
  <c r="BN173" i="189" s="1"/>
  <c r="BN168" i="189"/>
  <c r="BK178" i="189"/>
  <c r="AU361" i="189"/>
  <c r="AU304" i="189"/>
  <c r="CC304" i="189" s="1"/>
  <c r="AY301" i="189"/>
  <c r="AY304" i="189" s="1"/>
  <c r="CC301" i="189"/>
  <c r="AZ181" i="189"/>
  <c r="BE182" i="189" s="1"/>
  <c r="AZ179" i="189"/>
  <c r="BD178" i="189"/>
  <c r="BD179" i="189" s="1"/>
  <c r="BL178" i="189"/>
  <c r="BS167" i="189"/>
  <c r="BO172" i="189"/>
  <c r="BO173" i="189" s="1"/>
  <c r="BO170" i="189"/>
  <c r="BI175" i="189"/>
  <c r="BI176" i="189" s="1"/>
  <c r="CE175" i="189"/>
  <c r="BL175" i="189"/>
  <c r="BP172" i="189"/>
  <c r="BP173" i="189" s="1"/>
  <c r="BP170" i="189"/>
  <c r="BP175" i="189" s="1"/>
  <c r="BP176" i="189" s="1"/>
  <c r="AP182" i="189"/>
  <c r="AT181" i="189"/>
  <c r="AT182" i="189" s="1"/>
  <c r="CF170" i="189"/>
  <c r="BJ175" i="189"/>
  <c r="BN170" i="189"/>
  <c r="BN169" i="189" s="1"/>
  <c r="AY362" i="189"/>
  <c r="BQ172" i="189"/>
  <c r="BQ173" i="189" s="1"/>
  <c r="BQ170" i="189"/>
  <c r="CC267" i="172"/>
  <c r="CA251" i="172"/>
  <c r="BZ250" i="172"/>
  <c r="BW241" i="172"/>
  <c r="BW240" i="172"/>
  <c r="CB239" i="172"/>
  <c r="CD267" i="172"/>
  <c r="CD255" i="172"/>
  <c r="CA229" i="172"/>
  <c r="DM228" i="172"/>
  <c r="BZ233" i="172"/>
  <c r="BU236" i="172"/>
  <c r="BU234" i="172"/>
  <c r="BY270" i="172"/>
  <c r="BY267" i="172"/>
  <c r="BY268" i="172" s="1"/>
  <c r="BY250" i="172"/>
  <c r="EO16" i="135"/>
  <c r="EN18" i="135"/>
  <c r="FV44" i="7"/>
  <c r="FV45" i="7" s="1"/>
  <c r="FW39" i="7"/>
  <c r="FV39" i="7"/>
  <c r="AG232" i="189"/>
  <c r="AG235" i="189" s="1"/>
  <c r="AL237" i="189"/>
  <c r="BR89" i="189"/>
  <c r="CM17" i="172"/>
  <c r="BM29" i="189"/>
  <c r="AX58" i="175"/>
  <c r="AX59" i="175"/>
  <c r="BK89" i="189"/>
  <c r="BK90" i="189"/>
  <c r="BP24" i="189"/>
  <c r="BP28" i="189" s="1"/>
  <c r="FI136" i="135" s="1"/>
  <c r="BP93" i="189"/>
  <c r="BP88" i="189"/>
  <c r="AU58" i="175"/>
  <c r="AU59" i="175"/>
  <c r="AY57" i="175"/>
  <c r="AY58" i="175" s="1"/>
  <c r="AW59" i="175"/>
  <c r="AW58" i="175"/>
  <c r="BI100" i="189"/>
  <c r="BL104" i="189"/>
  <c r="BH103" i="189"/>
  <c r="BM104" i="189" s="1"/>
  <c r="CF24" i="189"/>
  <c r="BA58" i="175"/>
  <c r="CF101" i="189"/>
  <c r="CF102" i="189" s="1"/>
  <c r="BK102" i="189"/>
  <c r="BK103" i="189"/>
  <c r="BP104" i="189" s="1"/>
  <c r="AZ60" i="175"/>
  <c r="AZ65" i="175"/>
  <c r="BA65" i="175"/>
  <c r="BD63" i="175"/>
  <c r="BD64" i="175" s="1"/>
  <c r="BJ89" i="189"/>
  <c r="BJ90" i="189"/>
  <c r="CE100" i="189"/>
  <c r="BR102" i="189"/>
  <c r="AV59" i="175"/>
  <c r="AV58" i="175"/>
  <c r="BC58" i="175"/>
  <c r="BC59" i="175"/>
  <c r="BL24" i="189"/>
  <c r="BL93" i="189"/>
  <c r="BL88" i="189"/>
  <c r="BQ91" i="189"/>
  <c r="CG91" i="189"/>
  <c r="CG92" i="189" s="1"/>
  <c r="BM93" i="189"/>
  <c r="BI101" i="189"/>
  <c r="BI102" i="189" s="1"/>
  <c r="BJ102" i="189"/>
  <c r="BJ103" i="189"/>
  <c r="BO104" i="189" s="1"/>
  <c r="BO93" i="189"/>
  <c r="BO24" i="189"/>
  <c r="BO88" i="189"/>
  <c r="CR17" i="172"/>
  <c r="BR29" i="189"/>
  <c r="BI89" i="189"/>
  <c r="BH90" i="189"/>
  <c r="BB59" i="175"/>
  <c r="BB58" i="175"/>
  <c r="BK29" i="189"/>
  <c r="CK17" i="172"/>
  <c r="CK49" i="172" s="1"/>
  <c r="AZ57" i="175"/>
  <c r="AZ261" i="175"/>
  <c r="BD260" i="175"/>
  <c r="AU62" i="175"/>
  <c r="AU61" i="175"/>
  <c r="AV62" i="175"/>
  <c r="AY60" i="175"/>
  <c r="AY61" i="175" s="1"/>
  <c r="AY261" i="175"/>
  <c r="AY258" i="175"/>
  <c r="AY259" i="175" s="1"/>
  <c r="BN91" i="189"/>
  <c r="DB183" i="171"/>
  <c r="BJ156" i="189"/>
  <c r="BD156" i="189"/>
  <c r="BD157" i="189"/>
  <c r="AJ384" i="189"/>
  <c r="AJ385" i="189" s="1"/>
  <c r="AF386" i="189"/>
  <c r="AK387" i="189" s="1"/>
  <c r="AF385" i="189"/>
  <c r="AG386" i="189"/>
  <c r="AL387" i="189" s="1"/>
  <c r="AT349" i="189"/>
  <c r="AK339" i="189"/>
  <c r="AO338" i="189"/>
  <c r="AO339" i="189" s="1"/>
  <c r="AM374" i="189"/>
  <c r="AM384" i="189"/>
  <c r="AR339" i="189"/>
  <c r="AR373" i="189"/>
  <c r="CC311" i="189"/>
  <c r="AK317" i="189"/>
  <c r="AO315" i="189"/>
  <c r="AO318" i="189" s="1"/>
  <c r="AU348" i="189"/>
  <c r="AP349" i="189"/>
  <c r="CB348" i="189"/>
  <c r="BC12" i="171"/>
  <c r="AW338" i="189"/>
  <c r="BO156" i="189"/>
  <c r="AK374" i="189"/>
  <c r="AK384" i="189"/>
  <c r="AO373" i="189"/>
  <c r="AO374" i="189" s="1"/>
  <c r="BB9" i="175"/>
  <c r="EP136" i="135" s="1"/>
  <c r="BA9" i="175"/>
  <c r="EO136" i="135" s="1"/>
  <c r="EP13" i="135"/>
  <c r="EQ11" i="135"/>
  <c r="BH236" i="172"/>
  <c r="BJ236" i="172" s="1"/>
  <c r="BJ237" i="172" s="1"/>
  <c r="BM233" i="172"/>
  <c r="BH234" i="172"/>
  <c r="CQ253" i="172"/>
  <c r="CR256" i="172" s="1"/>
  <c r="CQ266" i="172"/>
  <c r="CS264" i="172"/>
  <c r="CS265" i="172" s="1"/>
  <c r="CS246" i="172"/>
  <c r="CR257" i="172"/>
  <c r="CR258" i="172" s="1"/>
  <c r="CR255" i="172"/>
  <c r="CR269" i="172"/>
  <c r="CR267" i="172" s="1"/>
  <c r="CR268" i="172" s="1"/>
  <c r="CS226" i="172"/>
  <c r="CR266" i="172"/>
  <c r="CO256" i="172"/>
  <c r="CO255" i="172"/>
  <c r="CO269" i="172"/>
  <c r="CP255" i="172"/>
  <c r="CP256" i="172"/>
  <c r="CP269" i="172"/>
  <c r="CP267" i="172" s="1"/>
  <c r="CO228" i="172"/>
  <c r="CO229" i="172" s="1"/>
  <c r="CS230" i="172"/>
  <c r="CS231" i="172" s="1"/>
  <c r="BP231" i="171"/>
  <c r="BP23" i="171"/>
  <c r="BP270" i="171"/>
  <c r="BP269" i="171"/>
  <c r="BR16" i="171"/>
  <c r="BR19" i="171"/>
  <c r="BR22" i="171" s="1"/>
  <c r="BP60" i="171"/>
  <c r="BU61" i="171" s="1"/>
  <c r="BP155" i="189"/>
  <c r="BQ20" i="171"/>
  <c r="BQ281" i="171"/>
  <c r="BV282" i="171" s="1"/>
  <c r="CM14" i="171"/>
  <c r="CM15" i="171" s="1"/>
  <c r="BS281" i="171"/>
  <c r="BX282" i="171" s="1"/>
  <c r="BS20" i="171"/>
  <c r="BM16" i="171"/>
  <c r="BM19" i="171"/>
  <c r="BM22" i="171" s="1"/>
  <c r="DE19" i="171"/>
  <c r="AO141" i="171"/>
  <c r="AP409" i="175"/>
  <c r="DQ67" i="7"/>
  <c r="DQ68" i="7" s="1"/>
  <c r="DV69" i="7" s="1"/>
  <c r="DK67" i="7"/>
  <c r="DK68" i="7" s="1"/>
  <c r="DB59" i="7"/>
  <c r="FT55" i="7"/>
  <c r="CK118" i="7"/>
  <c r="AX185" i="171"/>
  <c r="AX183" i="171"/>
  <c r="AX184" i="171"/>
  <c r="BW210" i="172" s="1"/>
  <c r="AB198" i="171"/>
  <c r="BA234" i="171"/>
  <c r="BA228" i="171" s="1"/>
  <c r="BZ260" i="172" s="1"/>
  <c r="AP222" i="171"/>
  <c r="AP159" i="171" s="1"/>
  <c r="AP215" i="171"/>
  <c r="AP221" i="171"/>
  <c r="AP141" i="171" s="1"/>
  <c r="AP219" i="171"/>
  <c r="AQ220" i="171"/>
  <c r="BB224" i="171"/>
  <c r="BB234" i="171" s="1"/>
  <c r="BB228" i="171" s="1"/>
  <c r="CA260" i="172" s="1"/>
  <c r="BC223" i="171"/>
  <c r="BB225" i="171"/>
  <c r="AO216" i="171"/>
  <c r="AO217" i="171"/>
  <c r="DD223" i="171"/>
  <c r="BA233" i="171"/>
  <c r="BA227" i="171" s="1"/>
  <c r="AP135" i="171"/>
  <c r="Y253" i="171"/>
  <c r="Z253" i="171" s="1"/>
  <c r="CO54" i="7"/>
  <c r="CO119" i="7" s="1"/>
  <c r="DM18" i="172"/>
  <c r="AP349" i="175"/>
  <c r="BZ142" i="175"/>
  <c r="DH67" i="7"/>
  <c r="DH68" i="7" s="1"/>
  <c r="DH69" i="7" s="1"/>
  <c r="DR67" i="7"/>
  <c r="DR68" i="7" s="1"/>
  <c r="DF67" i="7"/>
  <c r="DF68" i="7" s="1"/>
  <c r="DP67" i="7"/>
  <c r="DP68" i="7" s="1"/>
  <c r="DU69" i="7" s="1"/>
  <c r="CZ67" i="7"/>
  <c r="CZ68" i="7" s="1"/>
  <c r="DM67" i="7"/>
  <c r="DM68" i="7" s="1"/>
  <c r="DW67" i="7"/>
  <c r="DW68" i="7" s="1"/>
  <c r="EB69" i="7" s="1"/>
  <c r="EN109" i="135"/>
  <c r="EZ45" i="123"/>
  <c r="FA46" i="123"/>
  <c r="FC46" i="123" s="1"/>
  <c r="EW30" i="9"/>
  <c r="BS239" i="172"/>
  <c r="BX239" i="172" s="1"/>
  <c r="BY239" i="172" s="1"/>
  <c r="BN240" i="172"/>
  <c r="BN241" i="172"/>
  <c r="BO241" i="172" s="1"/>
  <c r="BO242" i="172" s="1"/>
  <c r="DM59" i="7"/>
  <c r="DG59" i="7"/>
  <c r="FU45" i="7"/>
  <c r="DA67" i="7"/>
  <c r="DA68" i="7" s="1"/>
  <c r="CO44" i="7"/>
  <c r="CM58" i="7"/>
  <c r="CM67" i="7"/>
  <c r="CM68" i="7" s="1"/>
  <c r="CM57" i="7"/>
  <c r="DY78" i="7"/>
  <c r="DY66" i="7"/>
  <c r="DY67" i="7" s="1"/>
  <c r="DY68" i="7" s="1"/>
  <c r="CX58" i="7"/>
  <c r="DC59" i="7" s="1"/>
  <c r="CX79" i="7"/>
  <c r="CX80" i="7" s="1"/>
  <c r="CX67" i="7"/>
  <c r="CX68" i="7" s="1"/>
  <c r="DC69" i="7" s="1"/>
  <c r="DH59" i="7"/>
  <c r="CK58" i="7"/>
  <c r="CK67" i="7"/>
  <c r="CK68" i="7" s="1"/>
  <c r="DB79" i="7"/>
  <c r="DB80" i="7" s="1"/>
  <c r="FX78" i="7"/>
  <c r="FX79" i="7" s="1"/>
  <c r="FX80" i="7" s="1"/>
  <c r="DB183" i="7"/>
  <c r="DB118" i="7"/>
  <c r="CU183" i="7"/>
  <c r="CU56" i="7"/>
  <c r="CU55" i="7"/>
  <c r="DV59" i="7"/>
  <c r="DQ59" i="7"/>
  <c r="DO79" i="7"/>
  <c r="DO80" i="7" s="1"/>
  <c r="DS78" i="7"/>
  <c r="FZ78" i="7"/>
  <c r="FZ79" i="7" s="1"/>
  <c r="FZ80" i="7" s="1"/>
  <c r="DO183" i="7"/>
  <c r="DO118" i="7"/>
  <c r="CT44" i="7"/>
  <c r="CP45" i="7"/>
  <c r="CW67" i="7"/>
  <c r="CW68" i="7" s="1"/>
  <c r="CW120" i="7"/>
  <c r="FW66" i="7"/>
  <c r="FW67" i="7" s="1"/>
  <c r="FW68" i="7" s="1"/>
  <c r="DN150" i="7"/>
  <c r="DN66" i="7"/>
  <c r="DN120" i="7" s="1"/>
  <c r="DE67" i="7"/>
  <c r="DE68" i="7" s="1"/>
  <c r="CL45" i="7"/>
  <c r="CV150" i="7"/>
  <c r="CV66" i="7"/>
  <c r="CV120" i="7" s="1"/>
  <c r="CJ44" i="7"/>
  <c r="FZ57" i="7"/>
  <c r="FZ58" i="7"/>
  <c r="CQ45" i="7"/>
  <c r="GC43" i="7"/>
  <c r="GC45" i="7"/>
  <c r="CH150" i="7"/>
  <c r="CH66" i="7"/>
  <c r="CH67" i="7" s="1"/>
  <c r="CH68" i="7" s="1"/>
  <c r="CR58" i="7"/>
  <c r="CR57" i="7"/>
  <c r="CR79" i="7"/>
  <c r="CR80" i="7" s="1"/>
  <c r="DT67" i="7"/>
  <c r="DT68" i="7" s="1"/>
  <c r="DT120" i="7"/>
  <c r="GA66" i="7"/>
  <c r="CO39" i="7"/>
  <c r="CO38" i="7"/>
  <c r="CO53" i="7"/>
  <c r="EE57" i="7"/>
  <c r="DZ57" i="7"/>
  <c r="DZ58" i="7"/>
  <c r="DG67" i="7"/>
  <c r="DG68" i="7" s="1"/>
  <c r="FY66" i="7"/>
  <c r="FY67" i="7" s="1"/>
  <c r="FY68" i="7" s="1"/>
  <c r="DG120" i="7"/>
  <c r="DB67" i="7"/>
  <c r="DB68" i="7" s="1"/>
  <c r="DB120" i="7"/>
  <c r="FX66" i="7"/>
  <c r="FX67" i="7" s="1"/>
  <c r="FX68" i="7" s="1"/>
  <c r="CS45" i="7"/>
  <c r="CX45" i="7"/>
  <c r="DR59" i="7"/>
  <c r="DP79" i="7"/>
  <c r="DP80" i="7" s="1"/>
  <c r="DP183" i="7"/>
  <c r="DP118" i="7"/>
  <c r="CJ38" i="7"/>
  <c r="CJ53" i="7"/>
  <c r="FT56" i="7"/>
  <c r="FW58" i="7"/>
  <c r="GB45" i="7"/>
  <c r="CM119" i="7"/>
  <c r="CM78" i="7"/>
  <c r="FU78" i="7" s="1"/>
  <c r="FU54" i="7"/>
  <c r="FU55" i="7" s="1"/>
  <c r="DN57" i="7"/>
  <c r="DN58" i="7"/>
  <c r="CL56" i="7"/>
  <c r="CL55" i="7"/>
  <c r="CL183" i="7"/>
  <c r="EF57" i="7"/>
  <c r="EA58" i="7"/>
  <c r="EA57" i="7"/>
  <c r="FY58" i="7"/>
  <c r="DJ59" i="7"/>
  <c r="CF55" i="7"/>
  <c r="CF183" i="7"/>
  <c r="CF56" i="7"/>
  <c r="CK57" i="7" s="1"/>
  <c r="CN183" i="7"/>
  <c r="CN55" i="7"/>
  <c r="CN56" i="7"/>
  <c r="CQ183" i="7"/>
  <c r="CQ55" i="7"/>
  <c r="CQ56" i="7"/>
  <c r="DL67" i="7"/>
  <c r="DL68" i="7" s="1"/>
  <c r="DH79" i="7"/>
  <c r="DH80" i="7" s="1"/>
  <c r="DH183" i="7"/>
  <c r="DH118" i="7"/>
  <c r="GC56" i="7"/>
  <c r="GC55" i="7"/>
  <c r="CT38" i="7"/>
  <c r="CT53" i="7"/>
  <c r="CT39" i="7"/>
  <c r="DW79" i="7"/>
  <c r="DW80" i="7" s="1"/>
  <c r="DW183" i="7"/>
  <c r="DW118" i="7"/>
  <c r="CH58" i="7"/>
  <c r="CH79" i="7"/>
  <c r="CH80" i="7" s="1"/>
  <c r="CG183" i="7"/>
  <c r="CG56" i="7"/>
  <c r="CG55" i="7"/>
  <c r="CR150" i="7"/>
  <c r="CR66" i="7"/>
  <c r="DT79" i="7"/>
  <c r="DT80" i="7" s="1"/>
  <c r="GA78" i="7"/>
  <c r="DT183" i="7"/>
  <c r="DT118" i="7"/>
  <c r="DX78" i="7"/>
  <c r="DC57" i="7"/>
  <c r="DP59" i="7"/>
  <c r="DU59" i="7"/>
  <c r="DZ78" i="7"/>
  <c r="DZ66" i="7"/>
  <c r="DZ120" i="7" s="1"/>
  <c r="DK59" i="7"/>
  <c r="DF59" i="7"/>
  <c r="DK79" i="7"/>
  <c r="DK80" i="7" s="1"/>
  <c r="DK118" i="7"/>
  <c r="DK183" i="7"/>
  <c r="CY44" i="7"/>
  <c r="CU45" i="7"/>
  <c r="CZ45" i="7"/>
  <c r="GB58" i="7"/>
  <c r="CW57" i="7"/>
  <c r="CP183" i="7"/>
  <c r="CP56" i="7"/>
  <c r="CP55" i="7"/>
  <c r="DS150" i="7"/>
  <c r="DS66" i="7"/>
  <c r="DS120" i="7" s="1"/>
  <c r="DI58" i="7"/>
  <c r="DI59" i="7" s="1"/>
  <c r="DI57" i="7"/>
  <c r="DQ79" i="7"/>
  <c r="DQ80" i="7" s="1"/>
  <c r="DQ183" i="7"/>
  <c r="DQ118" i="7"/>
  <c r="DW59" i="7"/>
  <c r="EB59" i="7"/>
  <c r="CY53" i="7"/>
  <c r="CY55" i="7" s="1"/>
  <c r="CY39" i="7"/>
  <c r="CY38" i="7"/>
  <c r="DD39" i="7"/>
  <c r="DM79" i="7"/>
  <c r="DM80" i="7" s="1"/>
  <c r="DM118" i="7"/>
  <c r="DM183" i="7"/>
  <c r="FY57" i="7"/>
  <c r="FX58" i="7"/>
  <c r="FX57" i="7"/>
  <c r="DE59" i="7"/>
  <c r="EA78" i="7"/>
  <c r="EA66" i="7"/>
  <c r="EA67" i="7" s="1"/>
  <c r="EA68" i="7" s="1"/>
  <c r="DX55" i="7"/>
  <c r="DX56" i="7"/>
  <c r="ED57" i="7"/>
  <c r="DY58" i="7"/>
  <c r="DD150" i="7"/>
  <c r="DD66" i="7"/>
  <c r="DL118" i="7"/>
  <c r="DL183" i="7"/>
  <c r="EC56" i="7"/>
  <c r="EC55" i="7"/>
  <c r="DG79" i="7"/>
  <c r="DG80" i="7" s="1"/>
  <c r="FY78" i="7"/>
  <c r="FY79" i="7" s="1"/>
  <c r="FY80" i="7" s="1"/>
  <c r="DG183" i="7"/>
  <c r="DG118" i="7"/>
  <c r="DI78" i="7"/>
  <c r="CK79" i="7"/>
  <c r="CK80" i="7" s="1"/>
  <c r="FT78" i="7"/>
  <c r="DO59" i="7"/>
  <c r="CI67" i="7"/>
  <c r="CI68" i="7" s="1"/>
  <c r="CI58" i="7"/>
  <c r="CI79" i="7"/>
  <c r="CI80" i="7" s="1"/>
  <c r="CS183" i="7"/>
  <c r="CS56" i="7"/>
  <c r="CX57" i="7" s="1"/>
  <c r="CS55" i="7"/>
  <c r="EH45" i="7"/>
  <c r="EC45" i="7"/>
  <c r="GA56" i="7"/>
  <c r="GA55" i="7"/>
  <c r="DO67" i="7"/>
  <c r="DO68" i="7" s="1"/>
  <c r="DO120" i="7"/>
  <c r="FZ66" i="7"/>
  <c r="FZ67" i="7" s="1"/>
  <c r="FZ68" i="7" s="1"/>
  <c r="DJ79" i="7"/>
  <c r="DJ80" i="7" s="1"/>
  <c r="DJ118" i="7"/>
  <c r="DJ183" i="7"/>
  <c r="DN78" i="7"/>
  <c r="DS57" i="7"/>
  <c r="DS58" i="7"/>
  <c r="DI150" i="7"/>
  <c r="DI66" i="7"/>
  <c r="DI120" i="7" s="1"/>
  <c r="DA79" i="7"/>
  <c r="DA80" i="7" s="1"/>
  <c r="DA183" i="7"/>
  <c r="DA118" i="7"/>
  <c r="DD78" i="7"/>
  <c r="FW78" i="7"/>
  <c r="FW79" i="7" s="1"/>
  <c r="FW80" i="7" s="1"/>
  <c r="CZ183" i="7"/>
  <c r="CZ118" i="7"/>
  <c r="CV79" i="7"/>
  <c r="CV80" i="7" s="1"/>
  <c r="CV58" i="7"/>
  <c r="DA59" i="7" s="1"/>
  <c r="CY118" i="7"/>
  <c r="CY119" i="7"/>
  <c r="DT59" i="7"/>
  <c r="DJ67" i="7"/>
  <c r="DJ68" i="7" s="1"/>
  <c r="DL59" i="7"/>
  <c r="BW348" i="175"/>
  <c r="AK39" i="175"/>
  <c r="AO39" i="175" s="1"/>
  <c r="BD114" i="175"/>
  <c r="CJ256" i="172"/>
  <c r="CJ255" i="172"/>
  <c r="CJ269" i="172"/>
  <c r="CJ267" i="172" s="1"/>
  <c r="CJ268" i="172" s="1"/>
  <c r="BY34" i="175"/>
  <c r="AY34" i="175"/>
  <c r="BZ114" i="175"/>
  <c r="BZ34" i="175"/>
  <c r="BD226" i="175"/>
  <c r="BD223" i="175"/>
  <c r="BD224" i="175" s="1"/>
  <c r="CM176" i="171"/>
  <c r="DD179" i="171"/>
  <c r="DE179" i="171"/>
  <c r="DE176" i="171"/>
  <c r="CJ229" i="172"/>
  <c r="DN228" i="172"/>
  <c r="EK109" i="135"/>
  <c r="AB188" i="171"/>
  <c r="AB193" i="171"/>
  <c r="AB190" i="171" s="1"/>
  <c r="AS120" i="171"/>
  <c r="AS90" i="171"/>
  <c r="AS84" i="171"/>
  <c r="CY86" i="171"/>
  <c r="ED170" i="135"/>
  <c r="EE169" i="135"/>
  <c r="CC173" i="171"/>
  <c r="AG236" i="175"/>
  <c r="AG232" i="175" s="1"/>
  <c r="AG235" i="175" s="1"/>
  <c r="AT92" i="171"/>
  <c r="AT93" i="171"/>
  <c r="AO87" i="171"/>
  <c r="AO86" i="171"/>
  <c r="AU93" i="171"/>
  <c r="AU92" i="171"/>
  <c r="DL248" i="172"/>
  <c r="CF111" i="171"/>
  <c r="CX111" i="171"/>
  <c r="CF87" i="171"/>
  <c r="CX87" i="171"/>
  <c r="CF93" i="171"/>
  <c r="CX93" i="171"/>
  <c r="CX86" i="171"/>
  <c r="AJ93" i="171"/>
  <c r="CG93" i="171" s="1"/>
  <c r="CG90" i="171"/>
  <c r="CG92" i="171" s="1"/>
  <c r="AJ92" i="171"/>
  <c r="CF92" i="171"/>
  <c r="AT86" i="171"/>
  <c r="AT87" i="171"/>
  <c r="AO93" i="171"/>
  <c r="AO92" i="171"/>
  <c r="AU86" i="171"/>
  <c r="AU87" i="171"/>
  <c r="AN120" i="171"/>
  <c r="AN90" i="171"/>
  <c r="AN84" i="171"/>
  <c r="AX84" i="171"/>
  <c r="AX90" i="171"/>
  <c r="AX120" i="171"/>
  <c r="AK249" i="171"/>
  <c r="AK251" i="171" s="1"/>
  <c r="CG141" i="171"/>
  <c r="AY120" i="171"/>
  <c r="AY90" i="171"/>
  <c r="AY84" i="171"/>
  <c r="CF81" i="171"/>
  <c r="CX81" i="171"/>
  <c r="CY92" i="171"/>
  <c r="AJ86" i="171"/>
  <c r="AJ87" i="171"/>
  <c r="CG87" i="171" s="1"/>
  <c r="CG84" i="171"/>
  <c r="AY233" i="175"/>
  <c r="CX134" i="171"/>
  <c r="AO33" i="175"/>
  <c r="BY379" i="175"/>
  <c r="AX102" i="171"/>
  <c r="AX78" i="171"/>
  <c r="AX162" i="171"/>
  <c r="AX72" i="171"/>
  <c r="AX132" i="171"/>
  <c r="AX156" i="171"/>
  <c r="AX12" i="171"/>
  <c r="AX96" i="171"/>
  <c r="AX138" i="171"/>
  <c r="AX141" i="171" s="1"/>
  <c r="AW338" i="175"/>
  <c r="AX114" i="171"/>
  <c r="AX108" i="171"/>
  <c r="CX196" i="171"/>
  <c r="CX197" i="171" s="1"/>
  <c r="AK197" i="171"/>
  <c r="CG156" i="171"/>
  <c r="CG158" i="171" s="1"/>
  <c r="CY156" i="171"/>
  <c r="AJ158" i="171"/>
  <c r="CY157" i="171"/>
  <c r="AJ159" i="171"/>
  <c r="AJ135" i="171"/>
  <c r="CY133" i="171"/>
  <c r="CG132" i="171"/>
  <c r="CG134" i="171" s="1"/>
  <c r="CY132" i="171"/>
  <c r="CY134" i="171" s="1"/>
  <c r="AJ134" i="171"/>
  <c r="AJ104" i="171"/>
  <c r="AJ105" i="171"/>
  <c r="CG105" i="171" s="1"/>
  <c r="AJ196" i="171"/>
  <c r="CG102" i="171"/>
  <c r="AO98" i="171"/>
  <c r="AO117" i="171"/>
  <c r="AO116" i="171"/>
  <c r="CX74" i="171"/>
  <c r="AS377" i="175"/>
  <c r="AN377" i="175"/>
  <c r="CN246" i="172"/>
  <c r="AT159" i="171"/>
  <c r="AT158" i="171"/>
  <c r="AT134" i="171"/>
  <c r="AT135" i="171"/>
  <c r="AT140" i="171"/>
  <c r="CM258" i="172"/>
  <c r="CX110" i="171"/>
  <c r="CK269" i="172"/>
  <c r="CK267" i="172" s="1"/>
  <c r="CK268" i="172" s="1"/>
  <c r="CK256" i="172"/>
  <c r="CK255" i="172"/>
  <c r="CN253" i="172"/>
  <c r="EE166" i="135"/>
  <c r="EF164" i="135"/>
  <c r="EF165" i="135" s="1"/>
  <c r="EE167" i="135"/>
  <c r="CW197" i="171"/>
  <c r="AV336" i="175"/>
  <c r="AV337" i="175" s="1"/>
  <c r="AW11" i="171"/>
  <c r="AV338" i="189" s="1"/>
  <c r="AV339" i="189" s="1"/>
  <c r="AU135" i="171"/>
  <c r="AU134" i="171"/>
  <c r="AU140" i="171"/>
  <c r="BN176" i="171"/>
  <c r="BS176" i="171" s="1"/>
  <c r="BX176" i="171" s="1"/>
  <c r="AV172" i="175"/>
  <c r="AV173" i="175" s="1"/>
  <c r="DB181" i="171"/>
  <c r="DA181" i="171"/>
  <c r="CF409" i="172"/>
  <c r="BX313" i="175"/>
  <c r="AY313" i="175"/>
  <c r="AW337" i="175"/>
  <c r="CX105" i="171"/>
  <c r="CF105" i="171"/>
  <c r="ED175" i="135"/>
  <c r="EE173" i="135"/>
  <c r="EE174" i="135" s="1"/>
  <c r="CG96" i="171"/>
  <c r="AJ98" i="171"/>
  <c r="AJ99" i="171"/>
  <c r="CG99" i="171" s="1"/>
  <c r="CY108" i="171"/>
  <c r="CY110" i="171" s="1"/>
  <c r="AJ111" i="171"/>
  <c r="CY109" i="171"/>
  <c r="AJ110" i="171"/>
  <c r="CG108" i="171"/>
  <c r="CG110" i="171" s="1"/>
  <c r="CG12" i="171"/>
  <c r="CG10" i="171"/>
  <c r="CG69" i="171" s="1"/>
  <c r="AO134" i="171"/>
  <c r="AO135" i="171"/>
  <c r="AO165" i="171"/>
  <c r="AO164" i="171"/>
  <c r="AO158" i="171"/>
  <c r="AO159" i="171"/>
  <c r="AT116" i="171"/>
  <c r="AT117" i="171"/>
  <c r="AT111" i="171"/>
  <c r="AT110" i="171"/>
  <c r="AT80" i="171"/>
  <c r="AT81" i="171"/>
  <c r="CX117" i="171"/>
  <c r="CF117" i="171"/>
  <c r="CG165" i="171"/>
  <c r="CY165" i="171"/>
  <c r="CY80" i="171"/>
  <c r="CX104" i="171"/>
  <c r="AR376" i="175"/>
  <c r="AS56" i="171"/>
  <c r="AU164" i="171"/>
  <c r="AU165" i="171"/>
  <c r="AU159" i="171"/>
  <c r="AU105" i="171"/>
  <c r="AU104" i="171"/>
  <c r="AU196" i="171"/>
  <c r="AU279" i="171"/>
  <c r="AU280" i="171" s="1"/>
  <c r="AO99" i="171"/>
  <c r="AY162" i="175"/>
  <c r="DD176" i="171"/>
  <c r="BL176" i="171"/>
  <c r="BQ176" i="171" s="1"/>
  <c r="BV176" i="171" s="1"/>
  <c r="CL178" i="171"/>
  <c r="CM179" i="171" s="1"/>
  <c r="BN178" i="171"/>
  <c r="BS178" i="171" s="1"/>
  <c r="BX178" i="171" s="1"/>
  <c r="CX75" i="171"/>
  <c r="CF75" i="171"/>
  <c r="CX135" i="171"/>
  <c r="CF135" i="171"/>
  <c r="CF99" i="171"/>
  <c r="CX99" i="171"/>
  <c r="AO336" i="175"/>
  <c r="AO337" i="175" s="1"/>
  <c r="AK337" i="175"/>
  <c r="AN12" i="171"/>
  <c r="CH11" i="171"/>
  <c r="AN72" i="171"/>
  <c r="CZ72" i="171" s="1"/>
  <c r="AN162" i="171"/>
  <c r="AN132" i="171"/>
  <c r="AK338" i="175"/>
  <c r="AN114" i="171"/>
  <c r="AN102" i="171"/>
  <c r="CZ102" i="171" s="1"/>
  <c r="AN108" i="171"/>
  <c r="AN78" i="171"/>
  <c r="AN138" i="171"/>
  <c r="AN141" i="171" s="1"/>
  <c r="AN156" i="171"/>
  <c r="AN96" i="171"/>
  <c r="CZ11" i="171"/>
  <c r="CZ12" i="171" s="1"/>
  <c r="CZ10" i="171"/>
  <c r="CZ69" i="171" s="1"/>
  <c r="CF74" i="171"/>
  <c r="BW312" i="175"/>
  <c r="AT312" i="175"/>
  <c r="AP376" i="175"/>
  <c r="CF279" i="171"/>
  <c r="CF280" i="171" s="1"/>
  <c r="CG104" i="171"/>
  <c r="CF196" i="171"/>
  <c r="CF197" i="171" s="1"/>
  <c r="CY102" i="171"/>
  <c r="AJ414" i="175"/>
  <c r="AJ415" i="175" s="1"/>
  <c r="AJ338" i="175"/>
  <c r="AJ339" i="175" s="1"/>
  <c r="CG72" i="171"/>
  <c r="AJ74" i="171"/>
  <c r="AJ75" i="171"/>
  <c r="AO110" i="171"/>
  <c r="AO80" i="171"/>
  <c r="AO140" i="171"/>
  <c r="AT74" i="171"/>
  <c r="AT75" i="171"/>
  <c r="AQ339" i="175"/>
  <c r="AR339" i="175"/>
  <c r="CY164" i="171"/>
  <c r="CF104" i="171"/>
  <c r="AY72" i="171"/>
  <c r="AY114" i="171"/>
  <c r="AY132" i="171"/>
  <c r="AY78" i="171"/>
  <c r="AY102" i="171"/>
  <c r="AY138" i="171"/>
  <c r="AY141" i="171" s="1"/>
  <c r="AY12" i="171"/>
  <c r="AY96" i="171"/>
  <c r="AY98" i="171" s="1"/>
  <c r="AX338" i="175"/>
  <c r="AY108" i="171"/>
  <c r="AY156" i="171"/>
  <c r="CF140" i="171"/>
  <c r="CX159" i="171"/>
  <c r="CF159" i="171"/>
  <c r="CY96" i="171"/>
  <c r="CY98" i="171" s="1"/>
  <c r="CY72" i="171"/>
  <c r="AM416" i="175"/>
  <c r="AM415" i="175"/>
  <c r="CN226" i="172"/>
  <c r="AU98" i="171"/>
  <c r="AU99" i="171"/>
  <c r="AU116" i="171"/>
  <c r="AU117" i="171"/>
  <c r="AU74" i="171"/>
  <c r="AU75" i="171"/>
  <c r="AR8" i="171"/>
  <c r="AR11" i="171"/>
  <c r="AP338" i="189" s="1"/>
  <c r="AW56" i="171"/>
  <c r="CI6" i="171"/>
  <c r="AR56" i="171"/>
  <c r="AP336" i="175"/>
  <c r="DA6" i="171"/>
  <c r="DA7" i="171" s="1"/>
  <c r="AT56" i="171"/>
  <c r="AU56" i="171"/>
  <c r="AN415" i="175"/>
  <c r="AN416" i="175"/>
  <c r="CL256" i="172"/>
  <c r="CL269" i="172"/>
  <c r="CL255" i="172"/>
  <c r="CL257" i="172"/>
  <c r="AO376" i="175"/>
  <c r="AO377" i="175" s="1"/>
  <c r="AK377" i="175"/>
  <c r="AF197" i="171"/>
  <c r="AH385" i="175"/>
  <c r="AI386" i="175"/>
  <c r="AN387" i="175" s="1"/>
  <c r="AH386" i="175"/>
  <c r="AM387" i="175" s="1"/>
  <c r="CG78" i="171"/>
  <c r="AJ81" i="171"/>
  <c r="CG81" i="171" s="1"/>
  <c r="AJ80" i="171"/>
  <c r="CY138" i="171"/>
  <c r="CY141" i="171" s="1"/>
  <c r="AJ140" i="171"/>
  <c r="CY139" i="171"/>
  <c r="CG138" i="171"/>
  <c r="CG140" i="171" s="1"/>
  <c r="CG114" i="171"/>
  <c r="AJ117" i="171"/>
  <c r="CG117" i="171" s="1"/>
  <c r="CY115" i="171"/>
  <c r="CY114" i="171" s="1"/>
  <c r="CY116" i="171" s="1"/>
  <c r="AJ116" i="171"/>
  <c r="AO75" i="171"/>
  <c r="AO74" i="171"/>
  <c r="AL339" i="175"/>
  <c r="AO104" i="171"/>
  <c r="AO196" i="171"/>
  <c r="AO279" i="171"/>
  <c r="AT164" i="171"/>
  <c r="AT165" i="171"/>
  <c r="AT98" i="171"/>
  <c r="AT99" i="171"/>
  <c r="AT196" i="171"/>
  <c r="AT105" i="171"/>
  <c r="AT104" i="171"/>
  <c r="AT279" i="171"/>
  <c r="AT280" i="171" s="1"/>
  <c r="CM256" i="172"/>
  <c r="CG164" i="171"/>
  <c r="CF98" i="171"/>
  <c r="ED171" i="135"/>
  <c r="CK228" i="172"/>
  <c r="CK229" i="172" s="1"/>
  <c r="CN230" i="172"/>
  <c r="CN231" i="172" s="1"/>
  <c r="CX98" i="171"/>
  <c r="AS12" i="171"/>
  <c r="AS72" i="171"/>
  <c r="AS96" i="171"/>
  <c r="AS162" i="171"/>
  <c r="AS102" i="171"/>
  <c r="AS138" i="171"/>
  <c r="AS141" i="171" s="1"/>
  <c r="AS156" i="171"/>
  <c r="AS108" i="171"/>
  <c r="AS114" i="171"/>
  <c r="AS78" i="171"/>
  <c r="AS132" i="171"/>
  <c r="AU110" i="171"/>
  <c r="AU111" i="171"/>
  <c r="AS339" i="175"/>
  <c r="AU80" i="171"/>
  <c r="AU81" i="171"/>
  <c r="BD162" i="175"/>
  <c r="AZ172" i="175"/>
  <c r="AZ173" i="175" s="1"/>
  <c r="BY162" i="175"/>
  <c r="CF33" i="12"/>
  <c r="CJ33" i="12" s="1"/>
  <c r="CF34" i="12"/>
  <c r="CG26" i="12" s="1"/>
  <c r="CV173" i="171"/>
  <c r="AA6" i="172"/>
  <c r="CI7" i="8"/>
  <c r="CJ42" i="8"/>
  <c r="CL67" i="8"/>
  <c r="CL41" i="8"/>
  <c r="CM40" i="8"/>
  <c r="CL63" i="8"/>
  <c r="CK42" i="8"/>
  <c r="CK7" i="8" s="1"/>
  <c r="ER7" i="123"/>
  <c r="ER51" i="123"/>
  <c r="BP236" i="172"/>
  <c r="DP67" i="8"/>
  <c r="DQ40" i="8"/>
  <c r="DP41" i="8"/>
  <c r="DN42" i="8"/>
  <c r="DM7" i="8"/>
  <c r="DO42" i="8"/>
  <c r="DO7" i="8" s="1"/>
  <c r="DP63" i="8"/>
  <c r="AP362" i="175"/>
  <c r="AP182" i="175"/>
  <c r="AP193" i="175"/>
  <c r="AQ362" i="175"/>
  <c r="AU175" i="175"/>
  <c r="AS394" i="175"/>
  <c r="AR393" i="175"/>
  <c r="AW392" i="175"/>
  <c r="AR401" i="175"/>
  <c r="AS402" i="175"/>
  <c r="AR408" i="175"/>
  <c r="AM409" i="175"/>
  <c r="AN410" i="175"/>
  <c r="AS411" i="175" s="1"/>
  <c r="BQ233" i="172"/>
  <c r="BV233" i="172" s="1"/>
  <c r="BL236" i="172"/>
  <c r="EV9" i="9"/>
  <c r="DT34" i="12"/>
  <c r="DU26" i="12" s="1"/>
  <c r="DU34" i="12" s="1"/>
  <c r="DV26" i="12" s="1"/>
  <c r="DV34" i="12" s="1"/>
  <c r="DW26" i="12" s="1"/>
  <c r="DW34" i="12" s="1"/>
  <c r="DX26" i="12"/>
  <c r="DT31" i="12"/>
  <c r="DS13" i="12"/>
  <c r="BZ125" i="175"/>
  <c r="EK111" i="135"/>
  <c r="ER29" i="123"/>
  <c r="ER35" i="123" s="1"/>
  <c r="ER27" i="123"/>
  <c r="ER16" i="123"/>
  <c r="ER28" i="123"/>
  <c r="AZ170" i="175"/>
  <c r="AZ184" i="175"/>
  <c r="AV184" i="175"/>
  <c r="BA184" i="175" s="1"/>
  <c r="AQ185" i="175"/>
  <c r="AV165" i="175"/>
  <c r="AV175" i="175" s="1"/>
  <c r="AR184" i="175"/>
  <c r="AS186" i="175"/>
  <c r="CI269" i="172"/>
  <c r="CI270" i="172" s="1"/>
  <c r="GG33" i="9"/>
  <c r="H51" i="141"/>
  <c r="CN20" i="12"/>
  <c r="ES73" i="8"/>
  <c r="ES75" i="8" s="1"/>
  <c r="CI228" i="172"/>
  <c r="CI229" i="172" s="1"/>
  <c r="BT239" i="172"/>
  <c r="BT240" i="172" s="1"/>
  <c r="BR241" i="172"/>
  <c r="BR240" i="172"/>
  <c r="DL250" i="172"/>
  <c r="DL251" i="172" s="1"/>
  <c r="DN269" i="172"/>
  <c r="DN270" i="172" s="1"/>
  <c r="DS56" i="123"/>
  <c r="DS61" i="123" s="1"/>
  <c r="DN62" i="123"/>
  <c r="DO62" i="123"/>
  <c r="CU173" i="171"/>
  <c r="CK179" i="171"/>
  <c r="BA216" i="171"/>
  <c r="BA217" i="171"/>
  <c r="BA213" i="171" s="1"/>
  <c r="BB215" i="171"/>
  <c r="BB222" i="171"/>
  <c r="BC220" i="171"/>
  <c r="BB221" i="171"/>
  <c r="AR317" i="175"/>
  <c r="AM315" i="175"/>
  <c r="AF6" i="172"/>
  <c r="Y189" i="171"/>
  <c r="W189" i="171"/>
  <c r="CC189" i="171" s="1"/>
  <c r="CC190" i="171" s="1"/>
  <c r="CD173" i="171"/>
  <c r="BX300" i="175"/>
  <c r="AP317" i="175"/>
  <c r="BW317" i="175" s="1"/>
  <c r="AO317" i="175"/>
  <c r="DL257" i="172"/>
  <c r="DL258" i="172" s="1"/>
  <c r="CK177" i="171"/>
  <c r="BZ293" i="175"/>
  <c r="CL176" i="171"/>
  <c r="CL177" i="171" s="1"/>
  <c r="AA189" i="171"/>
  <c r="Y256" i="171"/>
  <c r="Y257" i="171"/>
  <c r="AV118" i="175"/>
  <c r="AV35" i="175"/>
  <c r="AV117" i="175"/>
  <c r="BX116" i="175"/>
  <c r="BX117" i="175" s="1"/>
  <c r="AW118" i="175"/>
  <c r="BC69" i="171"/>
  <c r="AU294" i="175"/>
  <c r="BX348" i="175"/>
  <c r="Z193" i="171"/>
  <c r="Z190" i="171" s="1"/>
  <c r="X189" i="171"/>
  <c r="CF268" i="172"/>
  <c r="DN267" i="172"/>
  <c r="CG267" i="172"/>
  <c r="CG268" i="172" s="1"/>
  <c r="CH159" i="172"/>
  <c r="CJ159" i="172" s="1"/>
  <c r="CK159" i="172" s="1"/>
  <c r="CL159" i="172" s="1"/>
  <c r="CM159" i="172" s="1"/>
  <c r="CO159" i="172" s="1"/>
  <c r="BJ234" i="172"/>
  <c r="BJ235" i="172"/>
  <c r="BM301" i="172"/>
  <c r="BN300" i="172"/>
  <c r="CE221" i="172"/>
  <c r="BS233" i="172"/>
  <c r="BX233" i="172" s="1"/>
  <c r="BN236" i="172"/>
  <c r="BO233" i="172"/>
  <c r="CE239" i="172"/>
  <c r="CJ239" i="172" s="1"/>
  <c r="CO239" i="172" s="1"/>
  <c r="CT239" i="172" s="1"/>
  <c r="CF239" i="172"/>
  <c r="CK239" i="172" s="1"/>
  <c r="CP239" i="172" s="1"/>
  <c r="CU239" i="172" s="1"/>
  <c r="BV270" i="171" l="1"/>
  <c r="BU155" i="189"/>
  <c r="BV231" i="171"/>
  <c r="BV269" i="171"/>
  <c r="CW17" i="172"/>
  <c r="BX60" i="171"/>
  <c r="BW155" i="189"/>
  <c r="BX231" i="171"/>
  <c r="CU260" i="172" s="1"/>
  <c r="BX269" i="171"/>
  <c r="BX270" i="171"/>
  <c r="BG156" i="189"/>
  <c r="BG157" i="189"/>
  <c r="BW16" i="171"/>
  <c r="BX16" i="171"/>
  <c r="BW19" i="171"/>
  <c r="BW22" i="171" s="1"/>
  <c r="CF27" i="189"/>
  <c r="BN27" i="189"/>
  <c r="BO27" i="189"/>
  <c r="BO101" i="189"/>
  <c r="BT102" i="189" s="1"/>
  <c r="BT100" i="189"/>
  <c r="BT27" i="189" s="1"/>
  <c r="BJ28" i="189"/>
  <c r="CF28" i="189" s="1"/>
  <c r="CF29" i="189" s="1"/>
  <c r="CH91" i="189"/>
  <c r="CH92" i="189" s="1"/>
  <c r="BQ101" i="189"/>
  <c r="CH101" i="189" s="1"/>
  <c r="ET137" i="135"/>
  <c r="EO131" i="135"/>
  <c r="CU268" i="172"/>
  <c r="CW268" i="172"/>
  <c r="CT229" i="172"/>
  <c r="CW258" i="172"/>
  <c r="CV255" i="172"/>
  <c r="CV257" i="172"/>
  <c r="CW259" i="172" s="1"/>
  <c r="CV269" i="172"/>
  <c r="CV267" i="172" s="1"/>
  <c r="CV256" i="172"/>
  <c r="CT240" i="172"/>
  <c r="CT241" i="172"/>
  <c r="CU241" i="172"/>
  <c r="CU240" i="172"/>
  <c r="CT267" i="172"/>
  <c r="CX265" i="172"/>
  <c r="BQ175" i="189"/>
  <c r="CH170" i="189"/>
  <c r="BV172" i="189"/>
  <c r="BV173" i="189" s="1"/>
  <c r="BV170" i="189"/>
  <c r="BV175" i="189" s="1"/>
  <c r="BP156" i="189"/>
  <c r="BU156" i="189"/>
  <c r="BU176" i="189"/>
  <c r="BT175" i="189"/>
  <c r="BU173" i="189"/>
  <c r="BX167" i="189"/>
  <c r="BT173" i="189"/>
  <c r="BU29" i="189"/>
  <c r="CU17" i="172"/>
  <c r="BS91" i="189"/>
  <c r="BV91" i="189"/>
  <c r="CW18" i="172"/>
  <c r="FK108" i="135"/>
  <c r="CW49" i="172"/>
  <c r="CW48" i="172" s="1"/>
  <c r="BT90" i="189"/>
  <c r="BT89" i="189"/>
  <c r="BU102" i="189"/>
  <c r="BU103" i="189"/>
  <c r="FI137" i="135"/>
  <c r="BU90" i="189"/>
  <c r="BU89" i="189"/>
  <c r="BT103" i="189"/>
  <c r="BT28" i="189"/>
  <c r="BZ262" i="172"/>
  <c r="BZ261" i="172"/>
  <c r="BZ257" i="172"/>
  <c r="BV222" i="172"/>
  <c r="CA262" i="172"/>
  <c r="CA261" i="172"/>
  <c r="CA257" i="172"/>
  <c r="BF157" i="189"/>
  <c r="BF156" i="189"/>
  <c r="BK156" i="189"/>
  <c r="BW213" i="172"/>
  <c r="BW219" i="172"/>
  <c r="BW222" i="172" s="1"/>
  <c r="BV217" i="172"/>
  <c r="ES76" i="8"/>
  <c r="ET76" i="8"/>
  <c r="CS253" i="172"/>
  <c r="CX255" i="172" s="1"/>
  <c r="FW45" i="7"/>
  <c r="BI155" i="189"/>
  <c r="BI156" i="189" s="1"/>
  <c r="EZ136" i="135"/>
  <c r="FV56" i="7"/>
  <c r="BN92" i="189"/>
  <c r="BY240" i="172"/>
  <c r="BQ176" i="189"/>
  <c r="CG170" i="189"/>
  <c r="BJ178" i="189"/>
  <c r="BI178" i="189"/>
  <c r="BI179" i="189" s="1"/>
  <c r="CE178" i="189"/>
  <c r="CF175" i="189"/>
  <c r="BJ176" i="189"/>
  <c r="BN175" i="189"/>
  <c r="BN176" i="189" s="1"/>
  <c r="BL176" i="189"/>
  <c r="BO175" i="189"/>
  <c r="CG175" i="189" s="1"/>
  <c r="BS170" i="189"/>
  <c r="BS169" i="189" s="1"/>
  <c r="BL181" i="189"/>
  <c r="BQ178" i="189"/>
  <c r="AT361" i="189"/>
  <c r="AT362" i="189"/>
  <c r="AZ182" i="189"/>
  <c r="BD181" i="189"/>
  <c r="BD182" i="189" s="1"/>
  <c r="AY182" i="189"/>
  <c r="BS172" i="189"/>
  <c r="BS173" i="189" s="1"/>
  <c r="BS168" i="189"/>
  <c r="BP178" i="189"/>
  <c r="BK181" i="189"/>
  <c r="CC233" i="172"/>
  <c r="CC236" i="172" s="1"/>
  <c r="BX236" i="172"/>
  <c r="BY251" i="172"/>
  <c r="BY248" i="172"/>
  <c r="BY249" i="172" s="1"/>
  <c r="BZ236" i="172"/>
  <c r="CB240" i="172"/>
  <c r="CB241" i="172"/>
  <c r="BX241" i="172"/>
  <c r="BY241" i="172" s="1"/>
  <c r="BY242" i="172" s="1"/>
  <c r="CC239" i="172"/>
  <c r="CD239" i="172" s="1"/>
  <c r="CD240" i="172" s="1"/>
  <c r="BX240" i="172"/>
  <c r="BZ248" i="172"/>
  <c r="BZ249" i="172" s="1"/>
  <c r="CA233" i="172"/>
  <c r="CA236" i="172" s="1"/>
  <c r="BV236" i="172"/>
  <c r="CD268" i="172"/>
  <c r="CB251" i="172"/>
  <c r="CA250" i="172"/>
  <c r="CA248" i="172" s="1"/>
  <c r="CA249" i="172" s="1"/>
  <c r="CC268" i="172"/>
  <c r="CH268" i="172"/>
  <c r="EO18" i="135"/>
  <c r="EP16" i="135"/>
  <c r="BN101" i="189"/>
  <c r="BN102" i="189" s="1"/>
  <c r="BL102" i="189"/>
  <c r="BN100" i="189"/>
  <c r="BL103" i="189"/>
  <c r="BQ104" i="189" s="1"/>
  <c r="CG101" i="189"/>
  <c r="CG102" i="189" s="1"/>
  <c r="BM103" i="189"/>
  <c r="BR104" i="189" s="1"/>
  <c r="AZ62" i="175"/>
  <c r="BD60" i="175"/>
  <c r="BD61" i="175" s="1"/>
  <c r="BA62" i="175"/>
  <c r="AZ61" i="175"/>
  <c r="CF100" i="189"/>
  <c r="CP17" i="172"/>
  <c r="CP18" i="172" s="1"/>
  <c r="BP29" i="189"/>
  <c r="AZ59" i="175"/>
  <c r="AZ58" i="175"/>
  <c r="BD57" i="175"/>
  <c r="BD58" i="175" s="1"/>
  <c r="BO28" i="189"/>
  <c r="BL28" i="189"/>
  <c r="FE136" i="135" s="1"/>
  <c r="CG24" i="189"/>
  <c r="BN24" i="189"/>
  <c r="BE63" i="189"/>
  <c r="BF65" i="189" s="1"/>
  <c r="CD63" i="189"/>
  <c r="CD64" i="189" s="1"/>
  <c r="AZ10" i="189"/>
  <c r="BD63" i="189"/>
  <c r="AZ60" i="189"/>
  <c r="BI28" i="189"/>
  <c r="BP90" i="189"/>
  <c r="BP89" i="189"/>
  <c r="BO102" i="189"/>
  <c r="BQ93" i="189"/>
  <c r="BQ24" i="189"/>
  <c r="BQ88" i="189"/>
  <c r="BS88" i="189" s="1"/>
  <c r="BR93" i="189"/>
  <c r="BP102" i="189"/>
  <c r="BD258" i="175"/>
  <c r="BD259" i="175" s="1"/>
  <c r="BD261" i="175"/>
  <c r="BO90" i="189"/>
  <c r="BO89" i="189"/>
  <c r="BL89" i="189"/>
  <c r="BL90" i="189"/>
  <c r="BM90" i="189"/>
  <c r="BA59" i="175"/>
  <c r="BN88" i="189"/>
  <c r="BN89" i="189" s="1"/>
  <c r="AW339" i="189"/>
  <c r="CD338" i="189"/>
  <c r="AP339" i="189"/>
  <c r="AT338" i="189"/>
  <c r="AT339" i="189" s="1"/>
  <c r="CB338" i="189"/>
  <c r="BS60" i="171"/>
  <c r="BX61" i="171" s="1"/>
  <c r="BR155" i="189"/>
  <c r="AU294" i="189"/>
  <c r="CC348" i="189"/>
  <c r="AW373" i="189"/>
  <c r="AR384" i="189"/>
  <c r="AR374" i="189"/>
  <c r="AM385" i="189"/>
  <c r="AM386" i="189"/>
  <c r="AR387" i="189" s="1"/>
  <c r="AN386" i="189"/>
  <c r="AS387" i="189" s="1"/>
  <c r="BE116" i="189"/>
  <c r="CE158" i="189"/>
  <c r="BE159" i="189"/>
  <c r="AK385" i="189"/>
  <c r="AK386" i="189"/>
  <c r="AP387" i="189" s="1"/>
  <c r="AL386" i="189"/>
  <c r="AQ387" i="189" s="1"/>
  <c r="AO384" i="189"/>
  <c r="AO385" i="189" s="1"/>
  <c r="AP317" i="189"/>
  <c r="AO317" i="189"/>
  <c r="EQ13" i="135"/>
  <c r="CS228" i="172"/>
  <c r="CX229" i="172" s="1"/>
  <c r="BR233" i="172"/>
  <c r="BW233" i="172" s="1"/>
  <c r="BM236" i="172"/>
  <c r="BO236" i="172" s="1"/>
  <c r="BO237" i="172" s="1"/>
  <c r="FD46" i="123"/>
  <c r="CP241" i="172"/>
  <c r="CP240" i="172"/>
  <c r="CP268" i="172"/>
  <c r="CO267" i="172"/>
  <c r="CO268" i="172" s="1"/>
  <c r="CS255" i="172"/>
  <c r="CQ269" i="172"/>
  <c r="CQ267" i="172" s="1"/>
  <c r="CQ255" i="172"/>
  <c r="CQ257" i="172"/>
  <c r="CQ256" i="172"/>
  <c r="CP159" i="172"/>
  <c r="CO158" i="172"/>
  <c r="CP229" i="172"/>
  <c r="CO240" i="172"/>
  <c r="CO241" i="172"/>
  <c r="CR259" i="172"/>
  <c r="BR281" i="171"/>
  <c r="BR20" i="171"/>
  <c r="BQ60" i="171"/>
  <c r="BV61" i="171" s="1"/>
  <c r="BQ231" i="171"/>
  <c r="BQ270" i="171"/>
  <c r="BQ23" i="171"/>
  <c r="BQ269" i="171"/>
  <c r="CM259" i="172"/>
  <c r="BS269" i="171"/>
  <c r="BS23" i="171"/>
  <c r="BS231" i="171"/>
  <c r="CP260" i="172" s="1"/>
  <c r="CU261" i="172" s="1"/>
  <c r="BS270" i="171"/>
  <c r="BP63" i="171"/>
  <c r="BU64" i="171" s="1"/>
  <c r="DE281" i="171"/>
  <c r="DE18" i="171"/>
  <c r="BL155" i="189"/>
  <c r="CM19" i="171"/>
  <c r="DK69" i="7"/>
  <c r="DN17" i="172"/>
  <c r="CY87" i="171"/>
  <c r="CY99" i="171"/>
  <c r="CY105" i="171"/>
  <c r="CY93" i="171"/>
  <c r="DF69" i="7"/>
  <c r="DP69" i="7"/>
  <c r="AP216" i="171"/>
  <c r="AP99" i="171" s="1"/>
  <c r="AP217" i="171"/>
  <c r="AP93" i="171"/>
  <c r="BC224" i="171"/>
  <c r="BC225" i="171"/>
  <c r="BD223" i="171"/>
  <c r="DE223" i="171"/>
  <c r="CL179" i="171"/>
  <c r="AQ222" i="171"/>
  <c r="AQ159" i="171" s="1"/>
  <c r="AQ135" i="171"/>
  <c r="AQ219" i="171"/>
  <c r="AQ215" i="171"/>
  <c r="AQ221" i="171"/>
  <c r="AQ141" i="171" s="1"/>
  <c r="CH141" i="171" s="1"/>
  <c r="AO81" i="171"/>
  <c r="AO213" i="171"/>
  <c r="AO105" i="171" s="1"/>
  <c r="AO111" i="171"/>
  <c r="BB233" i="171"/>
  <c r="BB227" i="171" s="1"/>
  <c r="DD225" i="171"/>
  <c r="DD224" i="171"/>
  <c r="ER11" i="135"/>
  <c r="ES11" i="135" s="1"/>
  <c r="ET11" i="135" s="1"/>
  <c r="CO56" i="7"/>
  <c r="CO58" i="7" s="1"/>
  <c r="CY56" i="7"/>
  <c r="CY79" i="7" s="1"/>
  <c r="CY80" i="7" s="1"/>
  <c r="DS67" i="7"/>
  <c r="DS68" i="7" s="1"/>
  <c r="FU56" i="7"/>
  <c r="FU57" i="7" s="1"/>
  <c r="CO55" i="7"/>
  <c r="CO150" i="7" s="1"/>
  <c r="CY183" i="7"/>
  <c r="DM69" i="7"/>
  <c r="FT79" i="7"/>
  <c r="FT80" i="7" s="1"/>
  <c r="CO78" i="7"/>
  <c r="CO183" i="7" s="1"/>
  <c r="BZ126" i="175"/>
  <c r="CO45" i="7"/>
  <c r="DB69" i="7"/>
  <c r="DL69" i="7"/>
  <c r="DW69" i="7"/>
  <c r="FZ69" i="7"/>
  <c r="DN67" i="7"/>
  <c r="DN68" i="7" s="1"/>
  <c r="DR69" i="7"/>
  <c r="EW26" i="9"/>
  <c r="GH30" i="9"/>
  <c r="CT45" i="7"/>
  <c r="FB30" i="9"/>
  <c r="CK48" i="172"/>
  <c r="CK51" i="172"/>
  <c r="AZ233" i="175"/>
  <c r="FA45" i="123"/>
  <c r="FC45" i="123" s="1"/>
  <c r="FD45" i="123" s="1"/>
  <c r="BS240" i="172"/>
  <c r="BS241" i="172"/>
  <c r="BT241" i="172" s="1"/>
  <c r="BT242" i="172" s="1"/>
  <c r="CV67" i="7"/>
  <c r="CV68" i="7" s="1"/>
  <c r="DA69" i="7" s="1"/>
  <c r="CR59" i="7"/>
  <c r="EA69" i="7"/>
  <c r="EF69" i="7"/>
  <c r="DN79" i="7"/>
  <c r="DN80" i="7" s="1"/>
  <c r="DN183" i="7"/>
  <c r="DN118" i="7"/>
  <c r="GA79" i="7"/>
  <c r="GA80" i="7" s="1"/>
  <c r="GA58" i="7"/>
  <c r="GA59" i="7" s="1"/>
  <c r="GA57" i="7"/>
  <c r="CS150" i="7"/>
  <c r="CS66" i="7"/>
  <c r="CS120" i="7" s="1"/>
  <c r="DI183" i="7"/>
  <c r="DI118" i="7"/>
  <c r="EC57" i="7"/>
  <c r="EH57" i="7"/>
  <c r="EC58" i="7"/>
  <c r="DX57" i="7"/>
  <c r="DX58" i="7"/>
  <c r="EA79" i="7"/>
  <c r="EA80" i="7" s="1"/>
  <c r="EA183" i="7"/>
  <c r="EA118" i="7"/>
  <c r="GC78" i="7"/>
  <c r="GC79" i="7" s="1"/>
  <c r="GC80" i="7" s="1"/>
  <c r="FY59" i="7"/>
  <c r="FX59" i="7"/>
  <c r="DI67" i="7"/>
  <c r="DI68" i="7" s="1"/>
  <c r="GB57" i="7"/>
  <c r="CY45" i="7"/>
  <c r="DD45" i="7"/>
  <c r="DZ79" i="7"/>
  <c r="DZ80" i="7" s="1"/>
  <c r="DZ183" i="7"/>
  <c r="DZ118" i="7"/>
  <c r="CT56" i="7"/>
  <c r="CT55" i="7"/>
  <c r="CT183" i="7"/>
  <c r="CV57" i="7"/>
  <c r="CQ57" i="7"/>
  <c r="CQ58" i="7"/>
  <c r="CQ79" i="7"/>
  <c r="CQ80" i="7" s="1"/>
  <c r="CN66" i="7"/>
  <c r="CN67" i="7" s="1"/>
  <c r="CN68" i="7" s="1"/>
  <c r="CN69" i="7" s="1"/>
  <c r="CN150" i="7"/>
  <c r="CF150" i="7"/>
  <c r="CF66" i="7"/>
  <c r="DN59" i="7"/>
  <c r="DG69" i="7"/>
  <c r="GA67" i="7"/>
  <c r="GA68" i="7" s="1"/>
  <c r="GA69" i="7" s="1"/>
  <c r="FZ59" i="7"/>
  <c r="DJ69" i="7"/>
  <c r="DE69" i="7"/>
  <c r="DS79" i="7"/>
  <c r="DS80" i="7" s="1"/>
  <c r="DS118" i="7"/>
  <c r="DS183" i="7"/>
  <c r="CU58" i="7"/>
  <c r="CU79" i="7"/>
  <c r="CU80" i="7" s="1"/>
  <c r="CU57" i="7"/>
  <c r="CZ57" i="7"/>
  <c r="CY150" i="7"/>
  <c r="CY66" i="7"/>
  <c r="CS58" i="7"/>
  <c r="CX59" i="7" s="1"/>
  <c r="CS79" i="7"/>
  <c r="CS80" i="7" s="1"/>
  <c r="CS57" i="7"/>
  <c r="FV79" i="7"/>
  <c r="FV80" i="7" s="1"/>
  <c r="FV58" i="7"/>
  <c r="DY69" i="7"/>
  <c r="ED69" i="7"/>
  <c r="DX150" i="7"/>
  <c r="DX66" i="7"/>
  <c r="DX120" i="7" s="1"/>
  <c r="CG150" i="7"/>
  <c r="CG66" i="7"/>
  <c r="CG120" i="7" s="1"/>
  <c r="CQ150" i="7"/>
  <c r="CQ66" i="7"/>
  <c r="CQ120" i="7" s="1"/>
  <c r="CL66" i="7"/>
  <c r="CL67" i="7" s="1"/>
  <c r="CL68" i="7" s="1"/>
  <c r="CL150" i="7"/>
  <c r="FW57" i="7"/>
  <c r="DZ67" i="7"/>
  <c r="DZ68" i="7" s="1"/>
  <c r="CM69" i="7"/>
  <c r="DS59" i="7"/>
  <c r="DO69" i="7"/>
  <c r="DD120" i="7"/>
  <c r="DD67" i="7"/>
  <c r="DD68" i="7" s="1"/>
  <c r="ED59" i="7"/>
  <c r="DY59" i="7"/>
  <c r="DI79" i="7"/>
  <c r="DI80" i="7" s="1"/>
  <c r="CP66" i="7"/>
  <c r="CP120" i="7" s="1"/>
  <c r="CP150" i="7"/>
  <c r="DX79" i="7"/>
  <c r="DX80" i="7" s="1"/>
  <c r="DX118" i="7"/>
  <c r="DX183" i="7"/>
  <c r="CG79" i="7"/>
  <c r="CG80" i="7" s="1"/>
  <c r="CG58" i="7"/>
  <c r="CF79" i="7"/>
  <c r="CF80" i="7" s="1"/>
  <c r="CF58" i="7"/>
  <c r="CK59" i="7" s="1"/>
  <c r="EA59" i="7"/>
  <c r="EF59" i="7"/>
  <c r="CL79" i="7"/>
  <c r="CL80" i="7" s="1"/>
  <c r="CL57" i="7"/>
  <c r="CL58" i="7"/>
  <c r="CM118" i="7"/>
  <c r="FT58" i="7"/>
  <c r="DZ59" i="7"/>
  <c r="EE59" i="7"/>
  <c r="DT69" i="7"/>
  <c r="CH120" i="7"/>
  <c r="CW59" i="7"/>
  <c r="DY120" i="7"/>
  <c r="GB66" i="7"/>
  <c r="GB67" i="7" s="1"/>
  <c r="GB68" i="7" s="1"/>
  <c r="CM79" i="7"/>
  <c r="CM80" i="7" s="1"/>
  <c r="DD79" i="7"/>
  <c r="DD80" i="7" s="1"/>
  <c r="DD183" i="7"/>
  <c r="DD118" i="7"/>
  <c r="EC66" i="7"/>
  <c r="EC120" i="7" s="1"/>
  <c r="EA120" i="7"/>
  <c r="GC66" i="7"/>
  <c r="GC67" i="7" s="1"/>
  <c r="GC68" i="7" s="1"/>
  <c r="FY69" i="7"/>
  <c r="FX69" i="7"/>
  <c r="CP79" i="7"/>
  <c r="CP80" i="7" s="1"/>
  <c r="CP57" i="7"/>
  <c r="CP58" i="7"/>
  <c r="CP59" i="7" s="1"/>
  <c r="CR67" i="7"/>
  <c r="CR68" i="7" s="1"/>
  <c r="CR69" i="7" s="1"/>
  <c r="CR120" i="7"/>
  <c r="GC57" i="7"/>
  <c r="GC58" i="7"/>
  <c r="CN79" i="7"/>
  <c r="CN80" i="7" s="1"/>
  <c r="CN58" i="7"/>
  <c r="CN59" i="7" s="1"/>
  <c r="CN57" i="7"/>
  <c r="CM183" i="7"/>
  <c r="CJ56" i="7"/>
  <c r="CJ55" i="7"/>
  <c r="CJ150" i="7" s="1"/>
  <c r="CJ183" i="7"/>
  <c r="DQ69" i="7"/>
  <c r="CU150" i="7"/>
  <c r="CU66" i="7"/>
  <c r="CU120" i="7" s="1"/>
  <c r="DY79" i="7"/>
  <c r="DY80" i="7" s="1"/>
  <c r="DY183" i="7"/>
  <c r="DY118" i="7"/>
  <c r="GB78" i="7"/>
  <c r="GB79" i="7" s="1"/>
  <c r="GB80" i="7" s="1"/>
  <c r="EC78" i="7"/>
  <c r="CM59" i="7"/>
  <c r="EV99" i="8"/>
  <c r="EX9" i="9"/>
  <c r="EY9" i="9" s="1"/>
  <c r="EY108" i="135"/>
  <c r="CK18" i="172"/>
  <c r="CN269" i="172"/>
  <c r="CN270" i="172" s="1"/>
  <c r="BX35" i="175"/>
  <c r="DD177" i="171"/>
  <c r="DE177" i="171"/>
  <c r="CM177" i="171"/>
  <c r="AJ249" i="171"/>
  <c r="AJ251" i="171" s="1"/>
  <c r="CK240" i="172"/>
  <c r="CK241" i="172"/>
  <c r="CG74" i="171"/>
  <c r="CG111" i="171"/>
  <c r="CY111" i="171"/>
  <c r="AX92" i="171"/>
  <c r="AX93" i="171"/>
  <c r="AN93" i="171"/>
  <c r="CZ93" i="171" s="1"/>
  <c r="AN92" i="171"/>
  <c r="CH90" i="171"/>
  <c r="CH92" i="171" s="1"/>
  <c r="CV189" i="171"/>
  <c r="CV190" i="171" s="1"/>
  <c r="AP194" i="175"/>
  <c r="AP119" i="175"/>
  <c r="AP128" i="175" s="1"/>
  <c r="BW193" i="175"/>
  <c r="AX87" i="171"/>
  <c r="AX86" i="171"/>
  <c r="CZ90" i="171"/>
  <c r="AS87" i="171"/>
  <c r="AS86" i="171"/>
  <c r="AW120" i="171"/>
  <c r="AW90" i="171"/>
  <c r="AW84" i="171"/>
  <c r="AY86" i="171"/>
  <c r="AY87" i="171"/>
  <c r="BZ351" i="175"/>
  <c r="CY81" i="171"/>
  <c r="AS92" i="171"/>
  <c r="AS93" i="171"/>
  <c r="CL267" i="172"/>
  <c r="CL268" i="172" s="1"/>
  <c r="AR120" i="171"/>
  <c r="AR90" i="171"/>
  <c r="AR84" i="171"/>
  <c r="DA84" i="171" s="1"/>
  <c r="CZ141" i="171"/>
  <c r="AY99" i="171"/>
  <c r="CG86" i="171"/>
  <c r="AY93" i="171"/>
  <c r="AY92" i="171"/>
  <c r="AN86" i="171"/>
  <c r="CH84" i="171"/>
  <c r="CH86" i="171" s="1"/>
  <c r="AN87" i="171"/>
  <c r="CH87" i="171" s="1"/>
  <c r="CZ84" i="171"/>
  <c r="EE170" i="135"/>
  <c r="EF169" i="135"/>
  <c r="CJ240" i="172"/>
  <c r="CJ241" i="172"/>
  <c r="AS117" i="171"/>
  <c r="AS116" i="171"/>
  <c r="AS196" i="171"/>
  <c r="AS104" i="171"/>
  <c r="AS105" i="171"/>
  <c r="AS279" i="171"/>
  <c r="AS280" i="171" s="1"/>
  <c r="AL415" i="175"/>
  <c r="CZ74" i="171"/>
  <c r="AY159" i="171"/>
  <c r="AY158" i="171"/>
  <c r="AY81" i="171"/>
  <c r="AY80" i="171"/>
  <c r="AW414" i="175"/>
  <c r="AR415" i="175"/>
  <c r="AR416" i="175"/>
  <c r="AN140" i="171"/>
  <c r="CH138" i="171"/>
  <c r="CH140" i="171" s="1"/>
  <c r="CZ138" i="171"/>
  <c r="CZ140" i="171" s="1"/>
  <c r="CZ139" i="171"/>
  <c r="AN116" i="171"/>
  <c r="CH114" i="171"/>
  <c r="AN117" i="171"/>
  <c r="CH117" i="171" s="1"/>
  <c r="CZ115" i="171"/>
  <c r="CZ114" i="171" s="1"/>
  <c r="CZ116" i="171" s="1"/>
  <c r="AN74" i="171"/>
  <c r="AN75" i="171"/>
  <c r="CZ75" i="171" s="1"/>
  <c r="CH72" i="171"/>
  <c r="CH74" i="171" s="1"/>
  <c r="AU197" i="171"/>
  <c r="AW376" i="175"/>
  <c r="AR377" i="175"/>
  <c r="BA172" i="175"/>
  <c r="BA173" i="175" s="1"/>
  <c r="AW72" i="171"/>
  <c r="AW102" i="171"/>
  <c r="AW156" i="171"/>
  <c r="AW78" i="171"/>
  <c r="AW132" i="171"/>
  <c r="AV338" i="175"/>
  <c r="AW96" i="171"/>
  <c r="AW138" i="171"/>
  <c r="AW141" i="171" s="1"/>
  <c r="AW12" i="171"/>
  <c r="AW108" i="171"/>
  <c r="AW114" i="171"/>
  <c r="AW162" i="171"/>
  <c r="CG80" i="171"/>
  <c r="CN255" i="172"/>
  <c r="CX272" i="171"/>
  <c r="AX140" i="171"/>
  <c r="AX134" i="171"/>
  <c r="AX135" i="171"/>
  <c r="AX105" i="171"/>
  <c r="AX104" i="171"/>
  <c r="AX196" i="171"/>
  <c r="AX197" i="171" s="1"/>
  <c r="AX279" i="171"/>
  <c r="AX280" i="171" s="1"/>
  <c r="BY313" i="175"/>
  <c r="AS111" i="171"/>
  <c r="AS110" i="171"/>
  <c r="AS164" i="171"/>
  <c r="AS165" i="171"/>
  <c r="AT197" i="171"/>
  <c r="AO197" i="171"/>
  <c r="AY110" i="171"/>
  <c r="AY111" i="171"/>
  <c r="AY134" i="171"/>
  <c r="AY135" i="171"/>
  <c r="AP377" i="175"/>
  <c r="AU376" i="175"/>
  <c r="AT376" i="175"/>
  <c r="AT377" i="175" s="1"/>
  <c r="BW376" i="175"/>
  <c r="CH78" i="171"/>
  <c r="CH80" i="171" s="1"/>
  <c r="AN80" i="171"/>
  <c r="AN81" i="171"/>
  <c r="AK339" i="175"/>
  <c r="AO338" i="175"/>
  <c r="AO339" i="175" s="1"/>
  <c r="CH12" i="171"/>
  <c r="CH10" i="171"/>
  <c r="CH69" i="171" s="1"/>
  <c r="AB172" i="171"/>
  <c r="AB173" i="171" s="1"/>
  <c r="AB170" i="171"/>
  <c r="CY135" i="171"/>
  <c r="CG135" i="171"/>
  <c r="AX110" i="171"/>
  <c r="AX111" i="171"/>
  <c r="AX98" i="171"/>
  <c r="AX99" i="171"/>
  <c r="AX74" i="171"/>
  <c r="AX75" i="171"/>
  <c r="BZ379" i="175"/>
  <c r="AX414" i="175"/>
  <c r="AS416" i="175"/>
  <c r="AS415" i="175"/>
  <c r="AS135" i="171"/>
  <c r="AS134" i="171"/>
  <c r="AS158" i="171"/>
  <c r="AS159" i="171"/>
  <c r="AS99" i="171"/>
  <c r="AS98" i="171"/>
  <c r="EE171" i="135"/>
  <c r="AV8" i="171"/>
  <c r="AV11" i="171"/>
  <c r="AU336" i="175"/>
  <c r="CJ6" i="171"/>
  <c r="CJ7" i="171" s="1"/>
  <c r="AV56" i="171"/>
  <c r="DB6" i="171"/>
  <c r="DB7" i="171" s="1"/>
  <c r="AX56" i="171"/>
  <c r="AY56" i="171"/>
  <c r="AJ39" i="171"/>
  <c r="CF38" i="171"/>
  <c r="AX339" i="175"/>
  <c r="AY140" i="171"/>
  <c r="AY116" i="171"/>
  <c r="AY117" i="171"/>
  <c r="AV414" i="175"/>
  <c r="AQ415" i="175"/>
  <c r="CZ78" i="171"/>
  <c r="CH96" i="171"/>
  <c r="AN98" i="171"/>
  <c r="AN99" i="171"/>
  <c r="CZ99" i="171" s="1"/>
  <c r="CH108" i="171"/>
  <c r="AN110" i="171"/>
  <c r="CZ108" i="171"/>
  <c r="AN111" i="171"/>
  <c r="CZ109" i="171"/>
  <c r="AN135" i="171"/>
  <c r="CH132" i="171"/>
  <c r="CH134" i="171" s="1"/>
  <c r="AN134" i="171"/>
  <c r="CZ132" i="171"/>
  <c r="CZ134" i="171" s="1"/>
  <c r="CZ133" i="171"/>
  <c r="EE175" i="135"/>
  <c r="EF173" i="135"/>
  <c r="EF174" i="135" s="1"/>
  <c r="CI7" i="171"/>
  <c r="CG98" i="171"/>
  <c r="BB8" i="171"/>
  <c r="BB11" i="171"/>
  <c r="BG12" i="171" s="1"/>
  <c r="EF167" i="135"/>
  <c r="EF166" i="135"/>
  <c r="EG164" i="135"/>
  <c r="EG165" i="135" s="1"/>
  <c r="CY158" i="171"/>
  <c r="CG116" i="171"/>
  <c r="CG196" i="171"/>
  <c r="CG197" i="171" s="1"/>
  <c r="CG279" i="171"/>
  <c r="CG280" i="171" s="1"/>
  <c r="CY159" i="171"/>
  <c r="CG159" i="171"/>
  <c r="AX117" i="171"/>
  <c r="AX116" i="171"/>
  <c r="AX164" i="171"/>
  <c r="AX165" i="171"/>
  <c r="BD172" i="175"/>
  <c r="BD163" i="175"/>
  <c r="AS80" i="171"/>
  <c r="AS81" i="171"/>
  <c r="AS140" i="171"/>
  <c r="AS74" i="171"/>
  <c r="AS75" i="171"/>
  <c r="AP337" i="175"/>
  <c r="AT336" i="175"/>
  <c r="AT337" i="175" s="1"/>
  <c r="BW336" i="175"/>
  <c r="AR12" i="171"/>
  <c r="CI11" i="171"/>
  <c r="AR102" i="171"/>
  <c r="AR162" i="171"/>
  <c r="AR72" i="171"/>
  <c r="DA72" i="171" s="1"/>
  <c r="AR156" i="171"/>
  <c r="AR108" i="171"/>
  <c r="AR96" i="171"/>
  <c r="DA96" i="171" s="1"/>
  <c r="AR138" i="171"/>
  <c r="AR141" i="171" s="1"/>
  <c r="CI141" i="171" s="1"/>
  <c r="AR78" i="171"/>
  <c r="AR114" i="171"/>
  <c r="AR132" i="171"/>
  <c r="AP338" i="175"/>
  <c r="DA10" i="171"/>
  <c r="DA69" i="171" s="1"/>
  <c r="DA11" i="171"/>
  <c r="DA12" i="171" s="1"/>
  <c r="CN228" i="172"/>
  <c r="CN229" i="172" s="1"/>
  <c r="AY104" i="171"/>
  <c r="AY75" i="171"/>
  <c r="AY74" i="171"/>
  <c r="CG75" i="171"/>
  <c r="CY196" i="171"/>
  <c r="CZ104" i="171"/>
  <c r="AN159" i="171"/>
  <c r="AN158" i="171"/>
  <c r="CH156" i="171"/>
  <c r="CH158" i="171" s="1"/>
  <c r="CZ156" i="171"/>
  <c r="CZ157" i="171"/>
  <c r="CH102" i="171"/>
  <c r="AN104" i="171"/>
  <c r="AN279" i="171"/>
  <c r="AN196" i="171"/>
  <c r="AN105" i="171"/>
  <c r="CZ105" i="171" s="1"/>
  <c r="AN164" i="171"/>
  <c r="CH162" i="171"/>
  <c r="AN165" i="171"/>
  <c r="CZ162" i="171"/>
  <c r="CZ163" i="171"/>
  <c r="AY172" i="175"/>
  <c r="AY163" i="175"/>
  <c r="AY105" i="171"/>
  <c r="AW8" i="171"/>
  <c r="CY75" i="171"/>
  <c r="AG416" i="175"/>
  <c r="CZ96" i="171"/>
  <c r="AJ197" i="171"/>
  <c r="CY104" i="171"/>
  <c r="CY140" i="171"/>
  <c r="AW339" i="175"/>
  <c r="AX159" i="171"/>
  <c r="AX158" i="171"/>
  <c r="AX80" i="171"/>
  <c r="AX81" i="171"/>
  <c r="CY74" i="171"/>
  <c r="CG38" i="12"/>
  <c r="CG34" i="12"/>
  <c r="CH26" i="12" s="1"/>
  <c r="CL42" i="8"/>
  <c r="CL7" i="8" s="1"/>
  <c r="CM63" i="8"/>
  <c r="CM41" i="8"/>
  <c r="CM67" i="8"/>
  <c r="CN40" i="8"/>
  <c r="EV27" i="9"/>
  <c r="EV40" i="8"/>
  <c r="EX40" i="8" s="1"/>
  <c r="DP42" i="8"/>
  <c r="DP7" i="8" s="1"/>
  <c r="DQ63" i="8"/>
  <c r="DQ41" i="8"/>
  <c r="DR40" i="8"/>
  <c r="DQ67" i="8"/>
  <c r="AU181" i="175"/>
  <c r="AS410" i="175"/>
  <c r="AX411" i="175" s="1"/>
  <c r="AR409" i="175"/>
  <c r="AX394" i="175"/>
  <c r="AW321" i="175"/>
  <c r="BQ236" i="172"/>
  <c r="DX31" i="12"/>
  <c r="DT35" i="12"/>
  <c r="DU27" i="12" s="1"/>
  <c r="DU35" i="12" s="1"/>
  <c r="DV27" i="12" s="1"/>
  <c r="DV35" i="12" s="1"/>
  <c r="DW27" i="12" s="1"/>
  <c r="DW35" i="12" s="1"/>
  <c r="DT13" i="12"/>
  <c r="DX13" i="12" s="1"/>
  <c r="DT39" i="12"/>
  <c r="DX39" i="12" s="1"/>
  <c r="EW9" i="9"/>
  <c r="DY26" i="12"/>
  <c r="DX34" i="12"/>
  <c r="BZ38" i="175"/>
  <c r="ER33" i="123"/>
  <c r="ER30" i="123"/>
  <c r="EW26" i="123" s="1"/>
  <c r="ER34" i="123"/>
  <c r="ER59" i="123"/>
  <c r="ER17" i="123"/>
  <c r="CI267" i="172"/>
  <c r="CI268" i="172" s="1"/>
  <c r="BA170" i="175"/>
  <c r="AU303" i="175"/>
  <c r="AU176" i="175"/>
  <c r="AU360" i="175"/>
  <c r="AU186" i="175"/>
  <c r="AV186" i="175" s="1"/>
  <c r="AS184" i="175"/>
  <c r="AT184" i="175" s="1"/>
  <c r="AW165" i="175"/>
  <c r="AW175" i="175" s="1"/>
  <c r="AW181" i="175" s="1"/>
  <c r="AR185" i="175"/>
  <c r="AW184" i="175"/>
  <c r="BB184" i="175" s="1"/>
  <c r="BX165" i="175"/>
  <c r="BT177" i="172"/>
  <c r="BT176" i="172" s="1"/>
  <c r="CP20" i="12"/>
  <c r="CP16" i="12"/>
  <c r="CQ7" i="12" s="1"/>
  <c r="EV10" i="12"/>
  <c r="ER6" i="135"/>
  <c r="DN49" i="172"/>
  <c r="DX56" i="123"/>
  <c r="DX61" i="123" s="1"/>
  <c r="DS62" i="123"/>
  <c r="DT62" i="123"/>
  <c r="BB217" i="171"/>
  <c r="BB213" i="171" s="1"/>
  <c r="BB216" i="171"/>
  <c r="BC215" i="171"/>
  <c r="BD220" i="171"/>
  <c r="BC222" i="171"/>
  <c r="BC221" i="171"/>
  <c r="Z189" i="171"/>
  <c r="CW189" i="171" s="1"/>
  <c r="BD69" i="171"/>
  <c r="BY348" i="175"/>
  <c r="DL30" i="172"/>
  <c r="AY294" i="175"/>
  <c r="AY348" i="175" s="1"/>
  <c r="BX294" i="175"/>
  <c r="AM311" i="175"/>
  <c r="AO315" i="175"/>
  <c r="AP315" i="175"/>
  <c r="BW315" i="175" s="1"/>
  <c r="AT317" i="175"/>
  <c r="BX317" i="175"/>
  <c r="AR315" i="175"/>
  <c r="CE240" i="172"/>
  <c r="CE241" i="172"/>
  <c r="CE410" i="172"/>
  <c r="BS236" i="172"/>
  <c r="BT233" i="172"/>
  <c r="CF221" i="172"/>
  <c r="CG221" i="172"/>
  <c r="BO235" i="172"/>
  <c r="CF240" i="172"/>
  <c r="CF241" i="172"/>
  <c r="BN301" i="172"/>
  <c r="BP300" i="172"/>
  <c r="BP103" i="189" l="1"/>
  <c r="BU104" i="189" s="1"/>
  <c r="BO103" i="189"/>
  <c r="BT104" i="189" s="1"/>
  <c r="CV262" i="172"/>
  <c r="CU257" i="172"/>
  <c r="CV259" i="172" s="1"/>
  <c r="BX63" i="171"/>
  <c r="BX66" i="171" s="1"/>
  <c r="BS63" i="171"/>
  <c r="BW20" i="171"/>
  <c r="BW60" i="171"/>
  <c r="BW281" i="171"/>
  <c r="BW282" i="171" s="1"/>
  <c r="BS92" i="189"/>
  <c r="BV176" i="189"/>
  <c r="ET12" i="135"/>
  <c r="ET13" i="135"/>
  <c r="BS27" i="189"/>
  <c r="CG27" i="189"/>
  <c r="CJ17" i="172"/>
  <c r="EX108" i="135" s="1"/>
  <c r="BJ29" i="189"/>
  <c r="CH27" i="189"/>
  <c r="BX27" i="189"/>
  <c r="CH102" i="189"/>
  <c r="CV268" i="172"/>
  <c r="DN50" i="172"/>
  <c r="CT268" i="172"/>
  <c r="DN18" i="172"/>
  <c r="CX269" i="172"/>
  <c r="CQ258" i="172"/>
  <c r="CV258" i="172"/>
  <c r="BT176" i="189"/>
  <c r="BX175" i="189"/>
  <c r="BP181" i="189"/>
  <c r="BU178" i="189"/>
  <c r="BU181" i="189" s="1"/>
  <c r="BX168" i="189"/>
  <c r="BX172" i="189"/>
  <c r="BX173" i="189" s="1"/>
  <c r="BR156" i="189"/>
  <c r="BW156" i="189"/>
  <c r="BQ28" i="189"/>
  <c r="CQ17" i="172" s="1"/>
  <c r="CH24" i="189"/>
  <c r="BQ181" i="189"/>
  <c r="BQ193" i="189" s="1"/>
  <c r="BV178" i="189"/>
  <c r="BV181" i="189" s="1"/>
  <c r="BX170" i="189"/>
  <c r="BX169" i="189" s="1"/>
  <c r="CH175" i="189"/>
  <c r="BV24" i="189"/>
  <c r="BV93" i="189"/>
  <c r="BV88" i="189"/>
  <c r="BV101" i="189"/>
  <c r="BW93" i="189"/>
  <c r="BX91" i="189"/>
  <c r="BT29" i="189"/>
  <c r="CT17" i="172"/>
  <c r="CU20" i="172" s="1"/>
  <c r="FI110" i="135" s="1"/>
  <c r="FK109" i="135"/>
  <c r="FI108" i="135"/>
  <c r="CU49" i="172"/>
  <c r="CU48" i="172" s="1"/>
  <c r="CU18" i="172"/>
  <c r="BW217" i="172"/>
  <c r="CA259" i="172"/>
  <c r="CA258" i="172"/>
  <c r="BZ258" i="172"/>
  <c r="BZ259" i="172"/>
  <c r="CI17" i="172"/>
  <c r="BE35" i="189"/>
  <c r="BF118" i="189"/>
  <c r="ES9" i="135"/>
  <c r="EX9" i="135" s="1"/>
  <c r="FC9" i="135" s="1"/>
  <c r="FH9" i="135" s="1"/>
  <c r="ES12" i="135"/>
  <c r="ES13" i="135"/>
  <c r="BE10" i="189"/>
  <c r="BE9" i="189" s="1"/>
  <c r="BE16" i="189" s="1"/>
  <c r="CE16" i="189" s="1"/>
  <c r="BI29" i="189"/>
  <c r="BK182" i="189"/>
  <c r="BK193" i="189"/>
  <c r="BQ182" i="189"/>
  <c r="BP182" i="189"/>
  <c r="BP193" i="189"/>
  <c r="BL182" i="189"/>
  <c r="BL193" i="189"/>
  <c r="BI181" i="189"/>
  <c r="BI182" i="189" s="1"/>
  <c r="BJ181" i="189"/>
  <c r="BO178" i="189"/>
  <c r="BT178" i="189" s="1"/>
  <c r="CH178" i="189" s="1"/>
  <c r="BN178" i="189"/>
  <c r="BN179" i="189" s="1"/>
  <c r="CF178" i="189"/>
  <c r="BO176" i="189"/>
  <c r="BS175" i="189"/>
  <c r="BS176" i="189" s="1"/>
  <c r="CB233" i="172"/>
  <c r="BW236" i="172"/>
  <c r="BY236" i="172" s="1"/>
  <c r="CC251" i="172"/>
  <c r="CC250" i="172" s="1"/>
  <c r="CC248" i="172" s="1"/>
  <c r="CC249" i="172" s="1"/>
  <c r="CB250" i="172"/>
  <c r="CC241" i="172"/>
  <c r="CD241" i="172" s="1"/>
  <c r="CD242" i="172" s="1"/>
  <c r="CC240" i="172"/>
  <c r="BY233" i="172"/>
  <c r="BY235" i="172" s="1"/>
  <c r="EP18" i="135"/>
  <c r="EQ16" i="135"/>
  <c r="BQ102" i="189"/>
  <c r="BQ103" i="189"/>
  <c r="BV104" i="189" s="1"/>
  <c r="BR103" i="189"/>
  <c r="BW104" i="189" s="1"/>
  <c r="BS101" i="189"/>
  <c r="BS102" i="189" s="1"/>
  <c r="CO17" i="172"/>
  <c r="CO49" i="172" s="1"/>
  <c r="BO29" i="189"/>
  <c r="BQ90" i="189"/>
  <c r="BQ89" i="189"/>
  <c r="BR90" i="189"/>
  <c r="CD10" i="189"/>
  <c r="BD10" i="189"/>
  <c r="AZ9" i="189"/>
  <c r="ES136" i="135" s="1"/>
  <c r="ET138" i="135" s="1"/>
  <c r="BS89" i="189"/>
  <c r="CL17" i="172"/>
  <c r="BL29" i="189"/>
  <c r="CG28" i="189"/>
  <c r="CG29" i="189" s="1"/>
  <c r="BN28" i="189"/>
  <c r="CG100" i="189"/>
  <c r="BD60" i="189"/>
  <c r="CD60" i="189"/>
  <c r="CD61" i="189" s="1"/>
  <c r="BA62" i="189"/>
  <c r="AZ81" i="189"/>
  <c r="BE65" i="189"/>
  <c r="BJ63" i="189"/>
  <c r="BI63" i="189"/>
  <c r="BI64" i="189" s="1"/>
  <c r="CE63" i="189"/>
  <c r="CE64" i="189" s="1"/>
  <c r="BE60" i="189"/>
  <c r="BF62" i="189" s="1"/>
  <c r="BS24" i="189"/>
  <c r="BA12" i="171"/>
  <c r="AU338" i="189"/>
  <c r="AP315" i="189"/>
  <c r="AT317" i="189"/>
  <c r="CB317" i="189"/>
  <c r="BR60" i="171"/>
  <c r="BR63" i="171" s="1"/>
  <c r="BR66" i="171" s="1"/>
  <c r="BQ155" i="189"/>
  <c r="AR385" i="189"/>
  <c r="AR386" i="189"/>
  <c r="AW387" i="189" s="1"/>
  <c r="AS386" i="189"/>
  <c r="AX387" i="189" s="1"/>
  <c r="CE116" i="189"/>
  <c r="CE117" i="189" s="1"/>
  <c r="BE117" i="189"/>
  <c r="BE118" i="189"/>
  <c r="CD373" i="189"/>
  <c r="AW384" i="189"/>
  <c r="AY294" i="189"/>
  <c r="CC294" i="189"/>
  <c r="BL156" i="189"/>
  <c r="BN155" i="189"/>
  <c r="BN156" i="189" s="1"/>
  <c r="CJ18" i="172"/>
  <c r="FD108" i="135"/>
  <c r="CP49" i="172"/>
  <c r="BR236" i="172"/>
  <c r="BT236" i="172" s="1"/>
  <c r="BT237" i="172" s="1"/>
  <c r="FE45" i="123"/>
  <c r="FE46" i="123"/>
  <c r="CO157" i="172"/>
  <c r="CS229" i="172"/>
  <c r="CQ159" i="172"/>
  <c r="CP158" i="172"/>
  <c r="CP157" i="172" s="1"/>
  <c r="CQ268" i="172"/>
  <c r="CS269" i="172"/>
  <c r="FD109" i="135"/>
  <c r="BR231" i="171"/>
  <c r="CO260" i="172" s="1"/>
  <c r="BR270" i="171"/>
  <c r="BR23" i="171"/>
  <c r="BR269" i="171"/>
  <c r="BP66" i="171"/>
  <c r="BU67" i="171" s="1"/>
  <c r="CQ262" i="172"/>
  <c r="CP257" i="172"/>
  <c r="BQ63" i="171"/>
  <c r="CM18" i="171"/>
  <c r="CM281" i="171"/>
  <c r="CZ117" i="171"/>
  <c r="CY57" i="7"/>
  <c r="EW27" i="9"/>
  <c r="DD57" i="7"/>
  <c r="CY58" i="7"/>
  <c r="DD59" i="7" s="1"/>
  <c r="GB59" i="7"/>
  <c r="FU58" i="7"/>
  <c r="FV59" i="7" s="1"/>
  <c r="CO118" i="7"/>
  <c r="FU79" i="7"/>
  <c r="FU80" i="7" s="1"/>
  <c r="FV57" i="7"/>
  <c r="CO79" i="7"/>
  <c r="CO80" i="7" s="1"/>
  <c r="DE224" i="171"/>
  <c r="BC234" i="171"/>
  <c r="BC228" i="171" s="1"/>
  <c r="CB260" i="172" s="1"/>
  <c r="AQ93" i="171"/>
  <c r="CH93" i="171" s="1"/>
  <c r="AQ216" i="171"/>
  <c r="AQ99" i="171" s="1"/>
  <c r="CH99" i="171" s="1"/>
  <c r="AQ217" i="171"/>
  <c r="BD224" i="171"/>
  <c r="BD234" i="171" s="1"/>
  <c r="BD228" i="171" s="1"/>
  <c r="CC260" i="172" s="1"/>
  <c r="BD225" i="171"/>
  <c r="BD233" i="171" s="1"/>
  <c r="BD227" i="171" s="1"/>
  <c r="BF223" i="171"/>
  <c r="AP111" i="171"/>
  <c r="AP81" i="171"/>
  <c r="AP213" i="171"/>
  <c r="AP105" i="171" s="1"/>
  <c r="BC233" i="171"/>
  <c r="BC227" i="171" s="1"/>
  <c r="DE225" i="171"/>
  <c r="DE290" i="171" s="1"/>
  <c r="ER13" i="135"/>
  <c r="DS69" i="7"/>
  <c r="CT57" i="7"/>
  <c r="FT66" i="7"/>
  <c r="FT67" i="7" s="1"/>
  <c r="FT68" i="7" s="1"/>
  <c r="CP67" i="7"/>
  <c r="CP68" i="7" s="1"/>
  <c r="CP69" i="7" s="1"/>
  <c r="CG67" i="7"/>
  <c r="CG68" i="7" s="1"/>
  <c r="CL69" i="7" s="1"/>
  <c r="CS67" i="7"/>
  <c r="CS68" i="7" s="1"/>
  <c r="CX69" i="7" s="1"/>
  <c r="DN69" i="7"/>
  <c r="EX99" i="8"/>
  <c r="EX27" i="9"/>
  <c r="EX10" i="12"/>
  <c r="GB69" i="7"/>
  <c r="EY109" i="135"/>
  <c r="CL59" i="7"/>
  <c r="FV66" i="7"/>
  <c r="FV67" i="7" s="1"/>
  <c r="FV68" i="7" s="1"/>
  <c r="CO66" i="7"/>
  <c r="CL120" i="7"/>
  <c r="CS59" i="7"/>
  <c r="CU67" i="7"/>
  <c r="CU68" i="7" s="1"/>
  <c r="FW59" i="7"/>
  <c r="CV59" i="7"/>
  <c r="CQ59" i="7"/>
  <c r="CT150" i="7"/>
  <c r="CT66" i="7"/>
  <c r="CT120" i="7" s="1"/>
  <c r="DX67" i="7"/>
  <c r="DX68" i="7" s="1"/>
  <c r="DX69" i="7" s="1"/>
  <c r="EC67" i="7"/>
  <c r="EC68" i="7" s="1"/>
  <c r="EC79" i="7"/>
  <c r="EC80" i="7" s="1"/>
  <c r="EC183" i="7"/>
  <c r="EC118" i="7"/>
  <c r="GC69" i="7"/>
  <c r="DZ69" i="7"/>
  <c r="EE69" i="7"/>
  <c r="CY67" i="7"/>
  <c r="CY68" i="7" s="1"/>
  <c r="DD69" i="7" s="1"/>
  <c r="CY120" i="7"/>
  <c r="CN120" i="7"/>
  <c r="FU66" i="7"/>
  <c r="FU67" i="7" s="1"/>
  <c r="FU68" i="7" s="1"/>
  <c r="CT79" i="7"/>
  <c r="CT80" i="7" s="1"/>
  <c r="CT58" i="7"/>
  <c r="CT59" i="7" s="1"/>
  <c r="DI69" i="7"/>
  <c r="DX59" i="7"/>
  <c r="CJ58" i="7"/>
  <c r="CJ79" i="7"/>
  <c r="CJ80" i="7" s="1"/>
  <c r="GC59" i="7"/>
  <c r="CF67" i="7"/>
  <c r="CF68" i="7" s="1"/>
  <c r="CF120" i="7"/>
  <c r="CJ66" i="7"/>
  <c r="CJ120" i="7" s="1"/>
  <c r="CQ67" i="7"/>
  <c r="CQ68" i="7" s="1"/>
  <c r="CW69" i="7"/>
  <c r="CO57" i="7"/>
  <c r="CU59" i="7"/>
  <c r="CZ59" i="7"/>
  <c r="EC59" i="7"/>
  <c r="EH59" i="7"/>
  <c r="GH9" i="9"/>
  <c r="AY173" i="175"/>
  <c r="CN267" i="172"/>
  <c r="CN268" i="172" s="1"/>
  <c r="EX67" i="8"/>
  <c r="EY40" i="8"/>
  <c r="CI410" i="172"/>
  <c r="CJ410" i="172"/>
  <c r="EZ9" i="9"/>
  <c r="DA74" i="171"/>
  <c r="DA102" i="171"/>
  <c r="DA104" i="171" s="1"/>
  <c r="CZ81" i="171"/>
  <c r="AR93" i="171"/>
  <c r="AR92" i="171"/>
  <c r="CI90" i="171"/>
  <c r="CI92" i="171" s="1"/>
  <c r="DA90" i="171"/>
  <c r="DA92" i="171" s="1"/>
  <c r="AW87" i="171"/>
  <c r="AW86" i="171"/>
  <c r="CZ87" i="171"/>
  <c r="EF170" i="135"/>
  <c r="EG169" i="135"/>
  <c r="AW93" i="171"/>
  <c r="AW92" i="171"/>
  <c r="CD189" i="171"/>
  <c r="CD190" i="171" s="1"/>
  <c r="CZ92" i="171"/>
  <c r="DA141" i="171"/>
  <c r="AM373" i="175"/>
  <c r="AM384" i="175" s="1"/>
  <c r="BB120" i="171"/>
  <c r="BB90" i="171"/>
  <c r="BB84" i="171"/>
  <c r="CZ111" i="171"/>
  <c r="CH104" i="171"/>
  <c r="CZ196" i="171"/>
  <c r="CZ272" i="171" s="1"/>
  <c r="AV120" i="171"/>
  <c r="AV84" i="171"/>
  <c r="AV90" i="171"/>
  <c r="DA86" i="171"/>
  <c r="CZ86" i="171"/>
  <c r="AR87" i="171"/>
  <c r="CI87" i="171" s="1"/>
  <c r="AR86" i="171"/>
  <c r="CI84" i="171"/>
  <c r="DA98" i="171"/>
  <c r="CH165" i="171"/>
  <c r="CZ165" i="171"/>
  <c r="AN197" i="171"/>
  <c r="CZ159" i="171"/>
  <c r="CH159" i="171"/>
  <c r="AR81" i="171"/>
  <c r="AR80" i="171"/>
  <c r="CI78" i="171"/>
  <c r="CI80" i="171" s="1"/>
  <c r="AR158" i="171"/>
  <c r="AR159" i="171"/>
  <c r="CI156" i="171"/>
  <c r="CI158" i="171" s="1"/>
  <c r="DA156" i="171"/>
  <c r="DA158" i="171" s="1"/>
  <c r="DA157" i="171"/>
  <c r="CI12" i="171"/>
  <c r="CI10" i="171"/>
  <c r="CI69" i="171" s="1"/>
  <c r="EG167" i="135"/>
  <c r="EG166" i="135"/>
  <c r="EH166" i="135" s="1"/>
  <c r="EH164" i="135"/>
  <c r="EI164" i="135"/>
  <c r="BB102" i="171"/>
  <c r="BB105" i="171" s="1"/>
  <c r="BB78" i="171"/>
  <c r="BB80" i="171" s="1"/>
  <c r="BB108" i="171"/>
  <c r="BB96" i="171"/>
  <c r="BB132" i="171"/>
  <c r="BB12" i="171"/>
  <c r="BB114" i="171"/>
  <c r="BB138" i="171"/>
  <c r="BB141" i="171" s="1"/>
  <c r="BB72" i="171"/>
  <c r="BB156" i="171"/>
  <c r="CZ135" i="171"/>
  <c r="CH135" i="171"/>
  <c r="CZ80" i="171"/>
  <c r="AV12" i="171"/>
  <c r="AV72" i="171"/>
  <c r="AV114" i="171"/>
  <c r="AV132" i="171"/>
  <c r="DB132" i="171" s="1"/>
  <c r="AV108" i="171"/>
  <c r="AV96" i="171"/>
  <c r="DB96" i="171" s="1"/>
  <c r="AV138" i="171"/>
  <c r="AV141" i="171" s="1"/>
  <c r="AV102" i="171"/>
  <c r="AV156" i="171"/>
  <c r="AU338" i="175"/>
  <c r="AV78" i="171"/>
  <c r="AV162" i="171"/>
  <c r="CJ11" i="171"/>
  <c r="DB11" i="171"/>
  <c r="CZ110" i="171"/>
  <c r="AK415" i="175"/>
  <c r="AK416" i="175"/>
  <c r="AO414" i="175"/>
  <c r="AO415" i="175" s="1"/>
  <c r="CZ98" i="171"/>
  <c r="AW110" i="171"/>
  <c r="AW111" i="171"/>
  <c r="AV339" i="175"/>
  <c r="AW196" i="171"/>
  <c r="AW197" i="171" s="1"/>
  <c r="AW279" i="171"/>
  <c r="AW280" i="171" s="1"/>
  <c r="AW105" i="171"/>
  <c r="AW104" i="171"/>
  <c r="AW328" i="175"/>
  <c r="AW416" i="175"/>
  <c r="CH164" i="171"/>
  <c r="CY272" i="171"/>
  <c r="CY273" i="171" s="1"/>
  <c r="AP339" i="175"/>
  <c r="AT338" i="175"/>
  <c r="AT339" i="175" s="1"/>
  <c r="BW338" i="175"/>
  <c r="AR140" i="171"/>
  <c r="CI138" i="171"/>
  <c r="CI140" i="171" s="1"/>
  <c r="DA139" i="171"/>
  <c r="DA138" i="171"/>
  <c r="DA140" i="171" s="1"/>
  <c r="AR74" i="171"/>
  <c r="AR75" i="171"/>
  <c r="DA75" i="171" s="1"/>
  <c r="CI72" i="171"/>
  <c r="CI74" i="171" s="1"/>
  <c r="BA233" i="175"/>
  <c r="EG173" i="135"/>
  <c r="EG174" i="135" s="1"/>
  <c r="EF175" i="135"/>
  <c r="DC7" i="171"/>
  <c r="BZ313" i="175"/>
  <c r="CZ158" i="171"/>
  <c r="CY197" i="171"/>
  <c r="AW134" i="171"/>
  <c r="AW135" i="171"/>
  <c r="AW74" i="171"/>
  <c r="AW75" i="171"/>
  <c r="AW312" i="175"/>
  <c r="CH116" i="171"/>
  <c r="AS197" i="171"/>
  <c r="AR134" i="171"/>
  <c r="AR135" i="171"/>
  <c r="CI135" i="171" s="1"/>
  <c r="CI132" i="171"/>
  <c r="CI134" i="171" s="1"/>
  <c r="DA132" i="171"/>
  <c r="DA133" i="171"/>
  <c r="AR99" i="171"/>
  <c r="AR98" i="171"/>
  <c r="CI96" i="171"/>
  <c r="CI162" i="171"/>
  <c r="CI164" i="171" s="1"/>
  <c r="AR165" i="171"/>
  <c r="AR164" i="171"/>
  <c r="DA163" i="171"/>
  <c r="DA162" i="171"/>
  <c r="DA164" i="171" s="1"/>
  <c r="DA78" i="171"/>
  <c r="BD173" i="175"/>
  <c r="CG39" i="171"/>
  <c r="CF39" i="171"/>
  <c r="CH110" i="171"/>
  <c r="AY376" i="175"/>
  <c r="AY377" i="175" s="1"/>
  <c r="AU312" i="175"/>
  <c r="BX376" i="175"/>
  <c r="AW164" i="171"/>
  <c r="AW165" i="171"/>
  <c r="AW140" i="171"/>
  <c r="AW81" i="171"/>
  <c r="AW80" i="171"/>
  <c r="CI75" i="171"/>
  <c r="CH75" i="171"/>
  <c r="CZ164" i="171"/>
  <c r="CH196" i="171"/>
  <c r="CH197" i="171" s="1"/>
  <c r="CH279" i="171"/>
  <c r="CH280" i="171" s="1"/>
  <c r="AR116" i="171"/>
  <c r="AR117" i="171"/>
  <c r="CI117" i="171" s="1"/>
  <c r="DA115" i="171"/>
  <c r="DA114" i="171" s="1"/>
  <c r="DA116" i="171" s="1"/>
  <c r="CI114" i="171"/>
  <c r="AR111" i="171"/>
  <c r="AR110" i="171"/>
  <c r="DA109" i="171"/>
  <c r="DA108" i="171"/>
  <c r="CI108" i="171"/>
  <c r="AR279" i="171"/>
  <c r="AR280" i="171" s="1"/>
  <c r="AR196" i="171"/>
  <c r="AR104" i="171"/>
  <c r="AR105" i="171"/>
  <c r="CI102" i="171"/>
  <c r="AV328" i="175"/>
  <c r="AU337" i="175"/>
  <c r="AY336" i="175"/>
  <c r="AY337" i="175" s="1"/>
  <c r="BX336" i="175"/>
  <c r="EF171" i="135"/>
  <c r="AX328" i="175"/>
  <c r="AX416" i="175"/>
  <c r="AW116" i="171"/>
  <c r="AW117" i="171"/>
  <c r="AW99" i="171"/>
  <c r="AW98" i="171"/>
  <c r="AW158" i="171"/>
  <c r="AW159" i="171"/>
  <c r="CH98" i="171"/>
  <c r="AL416" i="175"/>
  <c r="CH38" i="12"/>
  <c r="CH34" i="12"/>
  <c r="CI26" i="12" s="1"/>
  <c r="CM42" i="8"/>
  <c r="CM7" i="8" s="1"/>
  <c r="CN63" i="8"/>
  <c r="CO40" i="8"/>
  <c r="CO67" i="8" s="1"/>
  <c r="CN41" i="8"/>
  <c r="CP40" i="8"/>
  <c r="CN67" i="8"/>
  <c r="EV67" i="8"/>
  <c r="EW40" i="8"/>
  <c r="EW67" i="8" s="1"/>
  <c r="CE233" i="172"/>
  <c r="DS40" i="8"/>
  <c r="DR41" i="8"/>
  <c r="DR67" i="8"/>
  <c r="DT67" i="8"/>
  <c r="DR63" i="8"/>
  <c r="DQ42" i="8"/>
  <c r="DQ7" i="8" s="1"/>
  <c r="EV24" i="8"/>
  <c r="EX24" i="8" s="1"/>
  <c r="AU182" i="175"/>
  <c r="AW182" i="175"/>
  <c r="BY170" i="175"/>
  <c r="DY34" i="12"/>
  <c r="DZ26" i="12" s="1"/>
  <c r="DZ34" i="12" s="1"/>
  <c r="EA26" i="12" s="1"/>
  <c r="EA34" i="12" s="1"/>
  <c r="EB26" i="12" s="1"/>
  <c r="EB34" i="12" s="1"/>
  <c r="DY31" i="12"/>
  <c r="EC26" i="12"/>
  <c r="DY27" i="12"/>
  <c r="DX35" i="12"/>
  <c r="ER13" i="123"/>
  <c r="ER23" i="123" s="1"/>
  <c r="ER11" i="123"/>
  <c r="EV17" i="123"/>
  <c r="ER39" i="123"/>
  <c r="ER41" i="123"/>
  <c r="ER47" i="123" s="1"/>
  <c r="EV47" i="123"/>
  <c r="EX47" i="123" s="1"/>
  <c r="BX175" i="175"/>
  <c r="BB170" i="175"/>
  <c r="AX184" i="175"/>
  <c r="AS185" i="175"/>
  <c r="AV303" i="175"/>
  <c r="AV176" i="175"/>
  <c r="AU187" i="175"/>
  <c r="AT186" i="175"/>
  <c r="AT185" i="175"/>
  <c r="AX165" i="175"/>
  <c r="AX175" i="175" s="1"/>
  <c r="AU361" i="175"/>
  <c r="AU301" i="175"/>
  <c r="BT178" i="172"/>
  <c r="BU178" i="172" s="1"/>
  <c r="CQ16" i="12"/>
  <c r="CR7" i="12" s="1"/>
  <c r="CQ20" i="12"/>
  <c r="EW10" i="12"/>
  <c r="CG239" i="172"/>
  <c r="CL239" i="172" s="1"/>
  <c r="CQ239" i="172" s="1"/>
  <c r="CV239" i="172" s="1"/>
  <c r="EC56" i="123"/>
  <c r="EC61" i="123" s="1"/>
  <c r="DX62" i="123"/>
  <c r="DY62" i="123"/>
  <c r="BC217" i="171"/>
  <c r="BC213" i="171" s="1"/>
  <c r="BC216" i="171"/>
  <c r="BF220" i="171"/>
  <c r="BD221" i="171"/>
  <c r="BD215" i="171"/>
  <c r="BD222" i="171"/>
  <c r="AY349" i="175"/>
  <c r="DL140" i="172"/>
  <c r="AV431" i="175"/>
  <c r="AV41" i="175"/>
  <c r="BX40" i="175"/>
  <c r="BX41" i="175" s="1"/>
  <c r="BY294" i="175"/>
  <c r="BF69" i="171"/>
  <c r="AT315" i="175"/>
  <c r="BZ348" i="175"/>
  <c r="CH221" i="172"/>
  <c r="BQ300" i="172"/>
  <c r="BP301" i="172"/>
  <c r="BT235" i="172"/>
  <c r="CU258" i="172" l="1"/>
  <c r="CJ49" i="172"/>
  <c r="CJ48" i="172" s="1"/>
  <c r="BQ66" i="171"/>
  <c r="BV67" i="171" s="1"/>
  <c r="BV64" i="171"/>
  <c r="BS66" i="171"/>
  <c r="BX67" i="171" s="1"/>
  <c r="BX64" i="171"/>
  <c r="BW61" i="171"/>
  <c r="BW63" i="171"/>
  <c r="BW64" i="171" s="1"/>
  <c r="BW270" i="171"/>
  <c r="BW269" i="171"/>
  <c r="BW23" i="171"/>
  <c r="BW231" i="171"/>
  <c r="CT260" i="172" s="1"/>
  <c r="CT261" i="172" s="1"/>
  <c r="BV155" i="189"/>
  <c r="BX155" i="189" s="1"/>
  <c r="BQ29" i="189"/>
  <c r="BS28" i="189"/>
  <c r="CK20" i="172"/>
  <c r="EY110" i="135" s="1"/>
  <c r="DQ17" i="172"/>
  <c r="BX92" i="189"/>
  <c r="CO48" i="172"/>
  <c r="CV241" i="172"/>
  <c r="CV240" i="172"/>
  <c r="CX270" i="172"/>
  <c r="CX267" i="172"/>
  <c r="CP262" i="172"/>
  <c r="BS100" i="189"/>
  <c r="CH100" i="189"/>
  <c r="BU182" i="189"/>
  <c r="BU193" i="189"/>
  <c r="BX176" i="189"/>
  <c r="BX178" i="189"/>
  <c r="BT181" i="189"/>
  <c r="BV182" i="189"/>
  <c r="BV193" i="189"/>
  <c r="FJ136" i="135"/>
  <c r="CH28" i="189"/>
  <c r="CH29" i="189" s="1"/>
  <c r="FI109" i="135"/>
  <c r="BV90" i="189"/>
  <c r="BV89" i="189"/>
  <c r="BW90" i="189"/>
  <c r="BX88" i="189"/>
  <c r="BX89" i="189" s="1"/>
  <c r="CU51" i="172"/>
  <c r="FH108" i="135"/>
  <c r="CT49" i="172"/>
  <c r="CT48" i="172" s="1"/>
  <c r="CT20" i="172"/>
  <c r="FH110" i="135" s="1"/>
  <c r="CT18" i="172"/>
  <c r="BV28" i="189"/>
  <c r="BX24" i="189"/>
  <c r="BV103" i="189"/>
  <c r="BX100" i="189"/>
  <c r="BV102" i="189"/>
  <c r="BW103" i="189"/>
  <c r="BX101" i="189"/>
  <c r="BX102" i="189" s="1"/>
  <c r="CC261" i="172"/>
  <c r="CC262" i="172"/>
  <c r="CC257" i="172"/>
  <c r="CB262" i="172"/>
  <c r="CB261" i="172"/>
  <c r="CB257" i="172"/>
  <c r="CD260" i="172"/>
  <c r="CD261" i="172" s="1"/>
  <c r="ES131" i="135"/>
  <c r="BI16" i="189"/>
  <c r="CN17" i="172"/>
  <c r="DP17" i="172"/>
  <c r="BY237" i="172"/>
  <c r="EZ108" i="135"/>
  <c r="BN29" i="189"/>
  <c r="BL194" i="189"/>
  <c r="BL119" i="189"/>
  <c r="BQ194" i="189"/>
  <c r="BQ119" i="189"/>
  <c r="BO181" i="189"/>
  <c r="BS178" i="189"/>
  <c r="BS179" i="189" s="1"/>
  <c r="CG178" i="189"/>
  <c r="BE119" i="189"/>
  <c r="BF121" i="189" s="1"/>
  <c r="BE194" i="189"/>
  <c r="CE193" i="189"/>
  <c r="BI193" i="189"/>
  <c r="BI194" i="189" s="1"/>
  <c r="BH121" i="189"/>
  <c r="BJ182" i="189"/>
  <c r="BN181" i="189"/>
  <c r="BN182" i="189" s="1"/>
  <c r="BJ193" i="189"/>
  <c r="BP194" i="189"/>
  <c r="BP119" i="189"/>
  <c r="BK119" i="189"/>
  <c r="BK194" i="189"/>
  <c r="BV178" i="172"/>
  <c r="BU177" i="172"/>
  <c r="CB248" i="172"/>
  <c r="CB249" i="172" s="1"/>
  <c r="CD250" i="172"/>
  <c r="CB236" i="172"/>
  <c r="CD236" i="172" s="1"/>
  <c r="CD233" i="172"/>
  <c r="CD235" i="172" s="1"/>
  <c r="CQ18" i="172"/>
  <c r="ER16" i="135"/>
  <c r="ES16" i="135" s="1"/>
  <c r="ET16" i="135" s="1"/>
  <c r="EQ18" i="135"/>
  <c r="FC108" i="135"/>
  <c r="CQ20" i="172"/>
  <c r="FE110" i="135" s="1"/>
  <c r="FE108" i="135"/>
  <c r="CQ49" i="172"/>
  <c r="CP20" i="172"/>
  <c r="FD110" i="135" s="1"/>
  <c r="CL20" i="172"/>
  <c r="EZ110" i="135" s="1"/>
  <c r="CL49" i="172"/>
  <c r="CO18" i="172"/>
  <c r="CL18" i="172"/>
  <c r="CE60" i="189"/>
  <c r="CE61" i="189" s="1"/>
  <c r="BE61" i="189"/>
  <c r="BI60" i="189"/>
  <c r="BI61" i="189" s="1"/>
  <c r="BE62" i="189"/>
  <c r="BN63" i="189"/>
  <c r="BN64" i="189" s="1"/>
  <c r="BJ10" i="189"/>
  <c r="BJ65" i="189"/>
  <c r="BJ60" i="189"/>
  <c r="CF63" i="189"/>
  <c r="CF64" i="189" s="1"/>
  <c r="BO63" i="189"/>
  <c r="BT63" i="189" s="1"/>
  <c r="CH63" i="189" s="1"/>
  <c r="BK65" i="189"/>
  <c r="CD9" i="189"/>
  <c r="BD9" i="189"/>
  <c r="AZ16" i="189"/>
  <c r="CD16" i="189" s="1"/>
  <c r="CS17" i="172"/>
  <c r="CD81" i="189"/>
  <c r="BD81" i="189"/>
  <c r="BI10" i="189"/>
  <c r="EX136" i="135"/>
  <c r="CE10" i="189"/>
  <c r="AY136" i="189"/>
  <c r="AY348" i="189"/>
  <c r="CE35" i="189"/>
  <c r="AX386" i="189"/>
  <c r="AW386" i="189"/>
  <c r="AW385" i="189"/>
  <c r="CD384" i="189"/>
  <c r="BH158" i="189"/>
  <c r="AT315" i="189"/>
  <c r="AP311" i="189"/>
  <c r="CB315" i="189"/>
  <c r="AU339" i="189"/>
  <c r="AY338" i="189"/>
  <c r="AY339" i="189" s="1"/>
  <c r="CC338" i="189"/>
  <c r="BQ156" i="189"/>
  <c r="BS155" i="189"/>
  <c r="EX109" i="135"/>
  <c r="CP48" i="172"/>
  <c r="CP51" i="172"/>
  <c r="BC184" i="175"/>
  <c r="BD184" i="175" s="1"/>
  <c r="AY175" i="175"/>
  <c r="AY176" i="175" s="1"/>
  <c r="BC176" i="175"/>
  <c r="FF45" i="123"/>
  <c r="FH45" i="123" s="1"/>
  <c r="FI45" i="123" s="1"/>
  <c r="FF46" i="123"/>
  <c r="FH46" i="123" s="1"/>
  <c r="CQ241" i="172"/>
  <c r="CQ240" i="172"/>
  <c r="CQ158" i="172"/>
  <c r="CR159" i="172"/>
  <c r="CN410" i="172"/>
  <c r="CO410" i="172"/>
  <c r="CS270" i="172"/>
  <c r="CS267" i="172"/>
  <c r="CS268" i="172" s="1"/>
  <c r="CQ259" i="172"/>
  <c r="CO262" i="172"/>
  <c r="CS260" i="172"/>
  <c r="CO257" i="172"/>
  <c r="DB138" i="171"/>
  <c r="CZ197" i="171"/>
  <c r="CI93" i="171"/>
  <c r="FU59" i="7"/>
  <c r="AQ111" i="171"/>
  <c r="CH111" i="171" s="1"/>
  <c r="AQ81" i="171"/>
  <c r="CH81" i="171" s="1"/>
  <c r="AQ213" i="171"/>
  <c r="AQ105" i="171" s="1"/>
  <c r="BF224" i="171"/>
  <c r="BF234" i="171" s="1"/>
  <c r="BF228" i="171" s="1"/>
  <c r="BG223" i="171"/>
  <c r="BF225" i="171"/>
  <c r="BF233" i="171" s="1"/>
  <c r="BF227" i="171" s="1"/>
  <c r="CS69" i="7"/>
  <c r="FU69" i="7"/>
  <c r="EY99" i="8"/>
  <c r="EY10" i="12"/>
  <c r="EY27" i="9"/>
  <c r="GH27" i="9" s="1"/>
  <c r="GH26" i="9"/>
  <c r="I37" i="141" s="1"/>
  <c r="J51" i="141" s="1"/>
  <c r="EY47" i="123"/>
  <c r="EV16" i="123"/>
  <c r="EW16" i="123" s="1"/>
  <c r="EX17" i="123"/>
  <c r="CH239" i="172"/>
  <c r="CI239" i="172" s="1"/>
  <c r="CY59" i="7"/>
  <c r="CJ67" i="7"/>
  <c r="CJ68" i="7" s="1"/>
  <c r="CT67" i="7"/>
  <c r="CT68" i="7" s="1"/>
  <c r="CY69" i="7" s="1"/>
  <c r="EH69" i="7"/>
  <c r="EC69" i="7"/>
  <c r="CK69" i="7"/>
  <c r="FV69" i="7"/>
  <c r="FW69" i="7"/>
  <c r="CV69" i="7"/>
  <c r="CQ69" i="7"/>
  <c r="CO59" i="7"/>
  <c r="CO120" i="7"/>
  <c r="CO67" i="7"/>
  <c r="CO68" i="7" s="1"/>
  <c r="CU69" i="7"/>
  <c r="CZ69" i="7"/>
  <c r="EY24" i="8"/>
  <c r="EY67" i="8"/>
  <c r="EZ40" i="8"/>
  <c r="BB81" i="171"/>
  <c r="DB134" i="171"/>
  <c r="CH219" i="172"/>
  <c r="CH217" i="172" s="1"/>
  <c r="CJ221" i="172"/>
  <c r="CL241" i="172"/>
  <c r="CL240" i="172"/>
  <c r="FA9" i="9"/>
  <c r="FC9" i="9" s="1"/>
  <c r="AV93" i="171"/>
  <c r="AV92" i="171"/>
  <c r="CJ90" i="171"/>
  <c r="CJ92" i="171" s="1"/>
  <c r="DB90" i="171"/>
  <c r="DB92" i="171" s="1"/>
  <c r="DA87" i="171"/>
  <c r="CI104" i="171"/>
  <c r="CJ84" i="171"/>
  <c r="CJ86" i="171" s="1"/>
  <c r="AV87" i="171"/>
  <c r="AV86" i="171"/>
  <c r="DB84" i="171"/>
  <c r="BB87" i="171"/>
  <c r="BB86" i="171"/>
  <c r="AU304" i="175"/>
  <c r="CJ141" i="171"/>
  <c r="DB141" i="171"/>
  <c r="DA93" i="171"/>
  <c r="CI86" i="171"/>
  <c r="BB93" i="171"/>
  <c r="BB92" i="171"/>
  <c r="EI169" i="135"/>
  <c r="EG170" i="135"/>
  <c r="BA120" i="171"/>
  <c r="BA84" i="171"/>
  <c r="BA90" i="171"/>
  <c r="GG34" i="9"/>
  <c r="BY376" i="175"/>
  <c r="CI116" i="171"/>
  <c r="BA78" i="171"/>
  <c r="BA138" i="171"/>
  <c r="BA141" i="171" s="1"/>
  <c r="BA114" i="171"/>
  <c r="BA108" i="171"/>
  <c r="DC108" i="171" s="1"/>
  <c r="BA156" i="171"/>
  <c r="BA132" i="171"/>
  <c r="BA72" i="171"/>
  <c r="BA96" i="171"/>
  <c r="BA102" i="171"/>
  <c r="DC11" i="171"/>
  <c r="DA134" i="171"/>
  <c r="AT414" i="175"/>
  <c r="AT415" i="175" s="1"/>
  <c r="AP415" i="175"/>
  <c r="AU414" i="175"/>
  <c r="AP416" i="175"/>
  <c r="BW414" i="175"/>
  <c r="AQ416" i="175"/>
  <c r="DB10" i="171"/>
  <c r="DB69" i="171" s="1"/>
  <c r="DB12" i="171"/>
  <c r="AV80" i="171"/>
  <c r="AV81" i="171"/>
  <c r="CJ78" i="171"/>
  <c r="CJ80" i="171" s="1"/>
  <c r="DB78" i="171"/>
  <c r="AV140" i="171"/>
  <c r="CJ138" i="171"/>
  <c r="CJ140" i="171" s="1"/>
  <c r="AV116" i="171"/>
  <c r="AV117" i="171"/>
  <c r="CJ114" i="171"/>
  <c r="DB114" i="171"/>
  <c r="DB116" i="171" s="1"/>
  <c r="BB111" i="171"/>
  <c r="BB110" i="171"/>
  <c r="EI167" i="135"/>
  <c r="EI166" i="135"/>
  <c r="EJ164" i="135"/>
  <c r="DA196" i="171"/>
  <c r="CE236" i="172"/>
  <c r="CJ233" i="172"/>
  <c r="CO233" i="172" s="1"/>
  <c r="CT233" i="172" s="1"/>
  <c r="DA110" i="171"/>
  <c r="DA117" i="171"/>
  <c r="AU339" i="175"/>
  <c r="AY338" i="175"/>
  <c r="AY339" i="175" s="1"/>
  <c r="BX338" i="175"/>
  <c r="AV98" i="171"/>
  <c r="AV99" i="171"/>
  <c r="CJ96" i="171"/>
  <c r="CJ98" i="171" s="1"/>
  <c r="AV75" i="171"/>
  <c r="CJ75" i="171" s="1"/>
  <c r="AV74" i="171"/>
  <c r="DB72" i="171"/>
  <c r="CJ72" i="171"/>
  <c r="DA80" i="171"/>
  <c r="BB140" i="171"/>
  <c r="BB134" i="171"/>
  <c r="BB135" i="171"/>
  <c r="EG171" i="135"/>
  <c r="EH169" i="135"/>
  <c r="EH171" i="135" s="1"/>
  <c r="AR197" i="171"/>
  <c r="CI165" i="171"/>
  <c r="DA165" i="171"/>
  <c r="CI99" i="171"/>
  <c r="DA99" i="171"/>
  <c r="EG175" i="135"/>
  <c r="EH175" i="135" s="1"/>
  <c r="EH173" i="135"/>
  <c r="EI173" i="135"/>
  <c r="BB233" i="175"/>
  <c r="DB140" i="171"/>
  <c r="CJ12" i="171"/>
  <c r="CJ10" i="171"/>
  <c r="CJ69" i="171" s="1"/>
  <c r="AV158" i="171"/>
  <c r="AV159" i="171"/>
  <c r="CJ156" i="171"/>
  <c r="CJ158" i="171" s="1"/>
  <c r="DB156" i="171"/>
  <c r="DB158" i="171" s="1"/>
  <c r="AV110" i="171"/>
  <c r="AV111" i="171"/>
  <c r="DB108" i="171"/>
  <c r="CJ108" i="171"/>
  <c r="CJ110" i="171" s="1"/>
  <c r="BG158" i="171"/>
  <c r="BB159" i="171"/>
  <c r="BB158" i="171"/>
  <c r="BB116" i="171"/>
  <c r="BB117" i="171"/>
  <c r="BB98" i="171"/>
  <c r="BB99" i="171"/>
  <c r="BB104" i="171"/>
  <c r="DB98" i="171"/>
  <c r="CI196" i="171"/>
  <c r="CI197" i="171" s="1"/>
  <c r="CI279" i="171"/>
  <c r="CI280" i="171" s="1"/>
  <c r="AY312" i="175"/>
  <c r="BX312" i="175"/>
  <c r="BY336" i="175"/>
  <c r="CI110" i="171"/>
  <c r="DA135" i="171"/>
  <c r="AV165" i="171"/>
  <c r="DB165" i="171" s="1"/>
  <c r="AV164" i="171"/>
  <c r="DB162" i="171"/>
  <c r="AV196" i="171"/>
  <c r="AV105" i="171"/>
  <c r="AV104" i="171"/>
  <c r="AV279" i="171"/>
  <c r="AV280" i="171" s="1"/>
  <c r="CJ102" i="171"/>
  <c r="DB102" i="171"/>
  <c r="AV134" i="171"/>
  <c r="AV135" i="171"/>
  <c r="CJ135" i="171" s="1"/>
  <c r="CJ132" i="171"/>
  <c r="CI98" i="171"/>
  <c r="BB75" i="171"/>
  <c r="BB74" i="171"/>
  <c r="CI159" i="171"/>
  <c r="DA159" i="171"/>
  <c r="CZ273" i="171"/>
  <c r="CI34" i="12"/>
  <c r="CK26" i="12" s="1"/>
  <c r="CI38" i="12"/>
  <c r="CJ38" i="12" s="1"/>
  <c r="CP63" i="8"/>
  <c r="CO41" i="8"/>
  <c r="CT63" i="8" s="1"/>
  <c r="CN42" i="8"/>
  <c r="CP41" i="8"/>
  <c r="CQ40" i="8"/>
  <c r="CP67" i="8"/>
  <c r="EV7" i="123"/>
  <c r="DR42" i="8"/>
  <c r="DT63" i="8"/>
  <c r="DS41" i="8"/>
  <c r="DX63" i="8" s="1"/>
  <c r="DS67" i="8"/>
  <c r="DX67" i="8"/>
  <c r="EW24" i="8"/>
  <c r="AY165" i="175"/>
  <c r="AY164" i="175" s="1"/>
  <c r="AY184" i="175"/>
  <c r="AY185" i="175" s="1"/>
  <c r="AU193" i="175"/>
  <c r="CF233" i="172"/>
  <c r="DY35" i="12"/>
  <c r="DZ27" i="12" s="1"/>
  <c r="DZ35" i="12" s="1"/>
  <c r="EA27" i="12" s="1"/>
  <c r="EA35" i="12" s="1"/>
  <c r="EB27" i="12" s="1"/>
  <c r="EB35" i="12" s="1"/>
  <c r="EC27" i="12"/>
  <c r="DY13" i="12"/>
  <c r="EC13" i="12" s="1"/>
  <c r="DY39" i="12"/>
  <c r="EC39" i="12" s="1"/>
  <c r="EC31" i="12"/>
  <c r="ED26" i="12"/>
  <c r="EC34" i="12"/>
  <c r="ER40" i="123"/>
  <c r="ER42" i="123" s="1"/>
  <c r="EW38" i="123" s="1"/>
  <c r="EW17" i="123"/>
  <c r="ER45" i="123"/>
  <c r="ER12" i="123"/>
  <c r="ER14" i="123" s="1"/>
  <c r="EW10" i="123" s="1"/>
  <c r="ER21" i="123"/>
  <c r="BX303" i="175"/>
  <c r="BD170" i="175"/>
  <c r="BD169" i="175" s="1"/>
  <c r="AU188" i="175"/>
  <c r="AU316" i="175"/>
  <c r="AX303" i="175"/>
  <c r="AX176" i="175"/>
  <c r="AZ165" i="175"/>
  <c r="AW186" i="175"/>
  <c r="AV187" i="175"/>
  <c r="AW176" i="175"/>
  <c r="AW303" i="175"/>
  <c r="AW360" i="175"/>
  <c r="CR16" i="12"/>
  <c r="CS7" i="12" s="1"/>
  <c r="CR20" i="12"/>
  <c r="CG240" i="172"/>
  <c r="CG241" i="172"/>
  <c r="EH56" i="123"/>
  <c r="EH61" i="123" s="1"/>
  <c r="EC62" i="123"/>
  <c r="ED62" i="123"/>
  <c r="BD216" i="171"/>
  <c r="BD217" i="171"/>
  <c r="BD213" i="171" s="1"/>
  <c r="BG220" i="171"/>
  <c r="BF221" i="171"/>
  <c r="BF219" i="171"/>
  <c r="BG219" i="171" s="1"/>
  <c r="BH219" i="171" s="1"/>
  <c r="BI219" i="171" s="1"/>
  <c r="BF215" i="171"/>
  <c r="BF222" i="171"/>
  <c r="BF159" i="171" s="1"/>
  <c r="DL24" i="172"/>
  <c r="EJ119" i="135"/>
  <c r="AM374" i="175"/>
  <c r="BZ294" i="175"/>
  <c r="BG69" i="171"/>
  <c r="CH233" i="172"/>
  <c r="CM233" i="172" s="1"/>
  <c r="CR233" i="172" s="1"/>
  <c r="BR300" i="172"/>
  <c r="BQ301" i="172"/>
  <c r="CO51" i="172" l="1"/>
  <c r="CJ51" i="172"/>
  <c r="BW66" i="171"/>
  <c r="BW67" i="171" s="1"/>
  <c r="BV156" i="189"/>
  <c r="CT262" i="172"/>
  <c r="CU262" i="172"/>
  <c r="CX260" i="172"/>
  <c r="CX261" i="172" s="1"/>
  <c r="CT257" i="172"/>
  <c r="BS29" i="189"/>
  <c r="FI46" i="123"/>
  <c r="FJ45" i="123"/>
  <c r="ET17" i="135"/>
  <c r="ET18" i="135"/>
  <c r="ET133" i="135"/>
  <c r="CX268" i="172"/>
  <c r="CR158" i="172"/>
  <c r="CR157" i="172" s="1"/>
  <c r="CT159" i="172"/>
  <c r="CT236" i="172"/>
  <c r="CR236" i="172"/>
  <c r="CW233" i="172"/>
  <c r="CW236" i="172" s="1"/>
  <c r="CS410" i="172"/>
  <c r="CT410" i="172"/>
  <c r="CX410" i="172" s="1"/>
  <c r="CQ48" i="172"/>
  <c r="DQ18" i="172"/>
  <c r="BT182" i="189"/>
  <c r="BX181" i="189"/>
  <c r="BT193" i="189"/>
  <c r="BU194" i="189"/>
  <c r="BU119" i="189"/>
  <c r="FK138" i="135"/>
  <c r="FJ137" i="135"/>
  <c r="FJ138" i="135"/>
  <c r="BX179" i="189"/>
  <c r="BV194" i="189"/>
  <c r="BV119" i="189"/>
  <c r="BS156" i="189"/>
  <c r="BX156" i="189"/>
  <c r="BT65" i="189"/>
  <c r="BT10" i="189"/>
  <c r="CH10" i="189" s="1"/>
  <c r="BT60" i="189"/>
  <c r="CH60" i="189" s="1"/>
  <c r="BX63" i="189"/>
  <c r="BU65" i="189"/>
  <c r="FH109" i="135"/>
  <c r="BV29" i="189"/>
  <c r="CV17" i="172"/>
  <c r="BX28" i="189"/>
  <c r="BX29" i="189" s="1"/>
  <c r="CT51" i="172"/>
  <c r="CC259" i="172"/>
  <c r="CC258" i="172"/>
  <c r="CB258" i="172"/>
  <c r="CB259" i="172"/>
  <c r="CD257" i="172"/>
  <c r="CD258" i="172" s="1"/>
  <c r="EV73" i="8"/>
  <c r="EV75" i="8" s="1"/>
  <c r="EV34" i="9"/>
  <c r="CL48" i="172"/>
  <c r="ES18" i="135"/>
  <c r="ES17" i="135"/>
  <c r="BI158" i="189"/>
  <c r="BI157" i="189" s="1"/>
  <c r="FE109" i="135"/>
  <c r="BE36" i="189"/>
  <c r="CE119" i="189"/>
  <c r="CE120" i="189" s="1"/>
  <c r="BJ119" i="189"/>
  <c r="BK121" i="189" s="1"/>
  <c r="BJ194" i="189"/>
  <c r="BN193" i="189"/>
  <c r="BN194" i="189" s="1"/>
  <c r="CF193" i="189"/>
  <c r="BK120" i="189"/>
  <c r="BK36" i="189"/>
  <c r="BP120" i="189"/>
  <c r="BP36" i="189"/>
  <c r="BO182" i="189"/>
  <c r="BS181" i="189"/>
  <c r="BS182" i="189" s="1"/>
  <c r="BO193" i="189"/>
  <c r="BL36" i="189"/>
  <c r="BL120" i="189"/>
  <c r="BL121" i="189"/>
  <c r="BM121" i="189"/>
  <c r="BE121" i="189"/>
  <c r="BE120" i="189"/>
  <c r="BI119" i="189"/>
  <c r="BI120" i="189" s="1"/>
  <c r="BQ36" i="189"/>
  <c r="BQ121" i="189"/>
  <c r="BR121" i="189"/>
  <c r="BQ120" i="189"/>
  <c r="FC109" i="135"/>
  <c r="CD251" i="172"/>
  <c r="CD248" i="172"/>
  <c r="CD249" i="172" s="1"/>
  <c r="BU176" i="172"/>
  <c r="BY177" i="172"/>
  <c r="BU193" i="172"/>
  <c r="CD237" i="172"/>
  <c r="BV177" i="172"/>
  <c r="BW178" i="172"/>
  <c r="BD16" i="189"/>
  <c r="EW136" i="135"/>
  <c r="ER18" i="135"/>
  <c r="CL51" i="172"/>
  <c r="EZ109" i="135"/>
  <c r="CQ51" i="172"/>
  <c r="BI9" i="189"/>
  <c r="FB136" i="135" s="1"/>
  <c r="CE9" i="189"/>
  <c r="BO60" i="189"/>
  <c r="CG63" i="189"/>
  <c r="CG64" i="189" s="1"/>
  <c r="BO65" i="189"/>
  <c r="BO10" i="189"/>
  <c r="BS63" i="189"/>
  <c r="BS64" i="189" s="1"/>
  <c r="BP65" i="189"/>
  <c r="BJ9" i="189"/>
  <c r="FC136" i="135" s="1"/>
  <c r="CF10" i="189"/>
  <c r="BN10" i="189"/>
  <c r="BN60" i="189"/>
  <c r="BN61" i="189" s="1"/>
  <c r="BJ62" i="189"/>
  <c r="CF60" i="189"/>
  <c r="CF61" i="189" s="1"/>
  <c r="BJ61" i="189"/>
  <c r="BK62" i="189"/>
  <c r="BJ82" i="189"/>
  <c r="BE81" i="189"/>
  <c r="BJ85" i="189"/>
  <c r="CE82" i="189"/>
  <c r="CE83" i="189" s="1"/>
  <c r="BK85" i="189"/>
  <c r="BI82" i="189"/>
  <c r="BI83" i="189" s="1"/>
  <c r="AP373" i="189"/>
  <c r="AT311" i="189"/>
  <c r="AT318" i="189" s="1"/>
  <c r="CB311" i="189"/>
  <c r="BH159" i="189"/>
  <c r="BH116" i="189"/>
  <c r="AY349" i="189"/>
  <c r="FE138" i="135"/>
  <c r="K37" i="141"/>
  <c r="L37" i="141" s="1"/>
  <c r="M37" i="141" s="1"/>
  <c r="CG233" i="172"/>
  <c r="CI233" i="172" s="1"/>
  <c r="CQ157" i="172"/>
  <c r="CS158" i="172"/>
  <c r="CO236" i="172"/>
  <c r="FD9" i="9"/>
  <c r="FE9" i="9" s="1"/>
  <c r="FF9" i="9" s="1"/>
  <c r="FH9" i="9" s="1"/>
  <c r="CS257" i="172"/>
  <c r="CO259" i="172"/>
  <c r="CP259" i="172"/>
  <c r="DA81" i="171"/>
  <c r="DA111" i="171"/>
  <c r="DA105" i="171"/>
  <c r="CH105" i="171"/>
  <c r="CI81" i="171"/>
  <c r="CI111" i="171"/>
  <c r="CI105" i="171"/>
  <c r="BH223" i="171"/>
  <c r="BG224" i="171"/>
  <c r="BG234" i="171" s="1"/>
  <c r="BG228" i="171" s="1"/>
  <c r="BG225" i="171"/>
  <c r="BG233" i="171" s="1"/>
  <c r="BG227" i="171" s="1"/>
  <c r="EU11" i="135"/>
  <c r="I51" i="141"/>
  <c r="CO69" i="7"/>
  <c r="EZ99" i="8"/>
  <c r="EZ10" i="12"/>
  <c r="FB26" i="9"/>
  <c r="EZ27" i="9"/>
  <c r="EV26" i="123"/>
  <c r="EV29" i="123" s="1"/>
  <c r="EW29" i="123" s="1"/>
  <c r="EW35" i="123" s="1"/>
  <c r="EY17" i="123"/>
  <c r="EX16" i="123"/>
  <c r="EZ47" i="123"/>
  <c r="DC138" i="171"/>
  <c r="DC140" i="171" s="1"/>
  <c r="CM239" i="172"/>
  <c r="CR239" i="172" s="1"/>
  <c r="CW239" i="172" s="1"/>
  <c r="CH241" i="172"/>
  <c r="CI241" i="172" s="1"/>
  <c r="CI242" i="172" s="1"/>
  <c r="CH240" i="172"/>
  <c r="CT69" i="7"/>
  <c r="DL25" i="172"/>
  <c r="EZ67" i="8"/>
  <c r="FA40" i="8"/>
  <c r="FC40" i="8" s="1"/>
  <c r="FD40" i="8" s="1"/>
  <c r="FE40" i="8" s="1"/>
  <c r="FF40" i="8" s="1"/>
  <c r="EZ24" i="8"/>
  <c r="CH222" i="172"/>
  <c r="DB75" i="171"/>
  <c r="DB135" i="171"/>
  <c r="CF236" i="172"/>
  <c r="CK233" i="172"/>
  <c r="CK221" i="172"/>
  <c r="CM221" i="172" s="1"/>
  <c r="CL221" i="172"/>
  <c r="CL219" i="172" s="1"/>
  <c r="FB9" i="9"/>
  <c r="EV51" i="123"/>
  <c r="EW51" i="123" s="1"/>
  <c r="EX7" i="123"/>
  <c r="AU194" i="175"/>
  <c r="AU119" i="175"/>
  <c r="AZ120" i="175" s="1"/>
  <c r="CJ74" i="171"/>
  <c r="BA86" i="171"/>
  <c r="BA87" i="171"/>
  <c r="DC84" i="171"/>
  <c r="DC86" i="171" s="1"/>
  <c r="DC141" i="171"/>
  <c r="EJ169" i="135"/>
  <c r="DB86" i="171"/>
  <c r="CJ81" i="171"/>
  <c r="DB81" i="171"/>
  <c r="DM248" i="172"/>
  <c r="CJ111" i="171"/>
  <c r="DB111" i="171"/>
  <c r="BA93" i="171"/>
  <c r="BA92" i="171"/>
  <c r="DC90" i="171"/>
  <c r="DC92" i="171" s="1"/>
  <c r="CJ87" i="171"/>
  <c r="DB87" i="171"/>
  <c r="CJ93" i="171"/>
  <c r="DB93" i="171"/>
  <c r="AV197" i="171"/>
  <c r="BA104" i="171"/>
  <c r="BA105" i="171"/>
  <c r="DC105" i="171" s="1"/>
  <c r="DC102" i="171"/>
  <c r="DC104" i="171" s="1"/>
  <c r="BA75" i="171"/>
  <c r="BA74" i="171"/>
  <c r="DC72" i="171"/>
  <c r="BA116" i="171"/>
  <c r="BA117" i="171"/>
  <c r="DC117" i="171" s="1"/>
  <c r="DC114" i="171"/>
  <c r="DC116" i="171" s="1"/>
  <c r="CM236" i="172"/>
  <c r="CJ104" i="171"/>
  <c r="BY338" i="175"/>
  <c r="BA134" i="171"/>
  <c r="BA135" i="171"/>
  <c r="DC135" i="171" s="1"/>
  <c r="DC132" i="171"/>
  <c r="BA140" i="171"/>
  <c r="CJ116" i="171"/>
  <c r="CI240" i="172"/>
  <c r="DC110" i="171"/>
  <c r="BC233" i="175"/>
  <c r="EI175" i="135"/>
  <c r="EJ173" i="135"/>
  <c r="DB164" i="171"/>
  <c r="DB99" i="171"/>
  <c r="CJ99" i="171"/>
  <c r="CJ236" i="172"/>
  <c r="DA272" i="171"/>
  <c r="DA273" i="171" s="1"/>
  <c r="DA197" i="171"/>
  <c r="CJ117" i="171"/>
  <c r="DB117" i="171"/>
  <c r="DC10" i="171"/>
  <c r="DC69" i="171" s="1"/>
  <c r="DC12" i="171"/>
  <c r="BF158" i="171"/>
  <c r="BA158" i="171"/>
  <c r="BA159" i="171"/>
  <c r="DC159" i="171" s="1"/>
  <c r="DC156" i="171"/>
  <c r="BA80" i="171"/>
  <c r="BA81" i="171"/>
  <c r="DC78" i="171"/>
  <c r="DC80" i="171" s="1"/>
  <c r="BY312" i="175"/>
  <c r="DB110" i="171"/>
  <c r="DB196" i="171"/>
  <c r="DB197" i="171" s="1"/>
  <c r="DB104" i="171"/>
  <c r="DB105" i="171"/>
  <c r="CJ105" i="171"/>
  <c r="DB159" i="171"/>
  <c r="CJ159" i="171"/>
  <c r="EI171" i="135"/>
  <c r="DB74" i="171"/>
  <c r="CJ134" i="171"/>
  <c r="EJ167" i="135"/>
  <c r="EK164" i="135"/>
  <c r="EJ166" i="135"/>
  <c r="DB80" i="171"/>
  <c r="AY414" i="175"/>
  <c r="AY415" i="175" s="1"/>
  <c r="AU328" i="175"/>
  <c r="AU416" i="175"/>
  <c r="BX414" i="175"/>
  <c r="AV416" i="175"/>
  <c r="BA98" i="171"/>
  <c r="BA99" i="171"/>
  <c r="DC99" i="171" s="1"/>
  <c r="DC96" i="171"/>
  <c r="BA110" i="171"/>
  <c r="BA111" i="171"/>
  <c r="BZ376" i="175"/>
  <c r="CK38" i="12"/>
  <c r="CO26" i="12"/>
  <c r="CO29" i="12" s="1"/>
  <c r="CR40" i="8"/>
  <c r="CQ67" i="8"/>
  <c r="CQ41" i="8"/>
  <c r="CN7" i="8"/>
  <c r="CO42" i="8"/>
  <c r="CP42" i="8"/>
  <c r="CP7" i="8" s="1"/>
  <c r="CQ63" i="8"/>
  <c r="EW7" i="123"/>
  <c r="DS42" i="8"/>
  <c r="DR7" i="8"/>
  <c r="AZ175" i="175"/>
  <c r="BD185" i="175"/>
  <c r="EJ118" i="135"/>
  <c r="ED31" i="12"/>
  <c r="EH26" i="12"/>
  <c r="ED34" i="12"/>
  <c r="EE26" i="12" s="1"/>
  <c r="ED27" i="12"/>
  <c r="EC35" i="12"/>
  <c r="ER60" i="123"/>
  <c r="ER46" i="123"/>
  <c r="ER58" i="123"/>
  <c r="ER22" i="123"/>
  <c r="ER18" i="123"/>
  <c r="BX187" i="175"/>
  <c r="BA165" i="175"/>
  <c r="BA175" i="175" s="1"/>
  <c r="AW361" i="175"/>
  <c r="AV316" i="175"/>
  <c r="AV315" i="175" s="1"/>
  <c r="AV188" i="175"/>
  <c r="AU315" i="175"/>
  <c r="AW301" i="175"/>
  <c r="AY303" i="175"/>
  <c r="AX186" i="175"/>
  <c r="AW187" i="175"/>
  <c r="CS20" i="12"/>
  <c r="CU20" i="12" s="1"/>
  <c r="CV20" i="12" s="1"/>
  <c r="CW20" i="12" s="1"/>
  <c r="CX20" i="12" s="1"/>
  <c r="CZ20" i="12" s="1"/>
  <c r="DA20" i="12" s="1"/>
  <c r="DB20" i="12" s="1"/>
  <c r="DC20" i="12" s="1"/>
  <c r="DE20" i="12" s="1"/>
  <c r="DF20" i="12" s="1"/>
  <c r="EW34" i="8"/>
  <c r="EI62" i="123"/>
  <c r="EM56" i="123"/>
  <c r="EH62" i="123"/>
  <c r="BG221" i="171"/>
  <c r="BG215" i="171"/>
  <c r="BH220" i="171"/>
  <c r="BG222" i="171"/>
  <c r="BG159" i="171" s="1"/>
  <c r="BF216" i="171"/>
  <c r="BF217" i="171"/>
  <c r="BF213" i="171" s="1"/>
  <c r="BH69" i="171"/>
  <c r="DL32" i="172"/>
  <c r="AV134" i="175"/>
  <c r="CH236" i="172"/>
  <c r="BS300" i="172"/>
  <c r="BU300" i="172" s="1"/>
  <c r="BR301" i="172"/>
  <c r="DM250" i="172"/>
  <c r="DM251" i="172" s="1"/>
  <c r="CT259" i="172" l="1"/>
  <c r="CU259" i="172"/>
  <c r="CX257" i="172"/>
  <c r="CX258" i="172" s="1"/>
  <c r="CT258" i="172"/>
  <c r="FK45" i="123"/>
  <c r="FJ46" i="123"/>
  <c r="CW240" i="172"/>
  <c r="CW241" i="172"/>
  <c r="CX241" i="172" s="1"/>
  <c r="CX239" i="172"/>
  <c r="CU159" i="172"/>
  <c r="CT158" i="172"/>
  <c r="FI9" i="9"/>
  <c r="FH66" i="7"/>
  <c r="FH120" i="7" s="1"/>
  <c r="FG40" i="8"/>
  <c r="FH40" i="8"/>
  <c r="CH64" i="189"/>
  <c r="BU120" i="189"/>
  <c r="BU36" i="189"/>
  <c r="BV121" i="189"/>
  <c r="BV36" i="189"/>
  <c r="BV120" i="189"/>
  <c r="BW121" i="189"/>
  <c r="BT119" i="189"/>
  <c r="BT194" i="189"/>
  <c r="BX193" i="189"/>
  <c r="CH193" i="189"/>
  <c r="BX182" i="189"/>
  <c r="CV20" i="172"/>
  <c r="FJ110" i="135" s="1"/>
  <c r="FJ108" i="135"/>
  <c r="CV18" i="172"/>
  <c r="CV49" i="172"/>
  <c r="CW20" i="172"/>
  <c r="FK110" i="135" s="1"/>
  <c r="CX17" i="172"/>
  <c r="BX64" i="189"/>
  <c r="BT61" i="189"/>
  <c r="BT62" i="189"/>
  <c r="BT82" i="189"/>
  <c r="CH82" i="189" s="1"/>
  <c r="BX60" i="189"/>
  <c r="BU62" i="189"/>
  <c r="BX10" i="189"/>
  <c r="BT9" i="189"/>
  <c r="CH9" i="189" s="1"/>
  <c r="EX34" i="8"/>
  <c r="EY34" i="8" s="1"/>
  <c r="EZ34" i="8" s="1"/>
  <c r="FA34" i="8" s="1"/>
  <c r="EV28" i="123"/>
  <c r="EV59" i="123" s="1"/>
  <c r="BI159" i="189"/>
  <c r="BO194" i="189"/>
  <c r="BO119" i="189"/>
  <c r="BS193" i="189"/>
  <c r="BS194" i="189" s="1"/>
  <c r="CG193" i="189"/>
  <c r="CE36" i="189"/>
  <c r="BI36" i="189"/>
  <c r="BJ36" i="189"/>
  <c r="BJ120" i="189"/>
  <c r="BJ121" i="189"/>
  <c r="BN119" i="189"/>
  <c r="BN120" i="189" s="1"/>
  <c r="CF119" i="189"/>
  <c r="CF120" i="189" s="1"/>
  <c r="BV176" i="172"/>
  <c r="BV193" i="172"/>
  <c r="BU301" i="172"/>
  <c r="BV300" i="172"/>
  <c r="BU302" i="172"/>
  <c r="BU192" i="172"/>
  <c r="BU194" i="172"/>
  <c r="BU199" i="172"/>
  <c r="BX178" i="172"/>
  <c r="BX177" i="172" s="1"/>
  <c r="BW177" i="172"/>
  <c r="BY176" i="172"/>
  <c r="BY178" i="172"/>
  <c r="BZ178" i="172" s="1"/>
  <c r="BY193" i="172"/>
  <c r="BJ84" i="189"/>
  <c r="BO85" i="189" s="1"/>
  <c r="BJ83" i="189"/>
  <c r="BK84" i="189"/>
  <c r="BP85" i="189" s="1"/>
  <c r="CF82" i="189"/>
  <c r="CF83" i="189" s="1"/>
  <c r="BJ81" i="189"/>
  <c r="BN82" i="189"/>
  <c r="BN83" i="189" s="1"/>
  <c r="BN9" i="189"/>
  <c r="FG136" i="135" s="1"/>
  <c r="CF9" i="189"/>
  <c r="BJ17" i="189"/>
  <c r="CI10" i="172"/>
  <c r="CE17" i="189"/>
  <c r="CE18" i="189" s="1"/>
  <c r="BE21" i="189"/>
  <c r="BI17" i="189"/>
  <c r="BO62" i="189"/>
  <c r="CG60" i="189"/>
  <c r="CG61" i="189" s="1"/>
  <c r="BO61" i="189"/>
  <c r="BP62" i="189"/>
  <c r="BS60" i="189"/>
  <c r="BS61" i="189" s="1"/>
  <c r="BO82" i="189"/>
  <c r="CE81" i="189"/>
  <c r="BI81" i="189"/>
  <c r="CG10" i="189"/>
  <c r="BS10" i="189"/>
  <c r="BO9" i="189"/>
  <c r="FH136" i="135" s="1"/>
  <c r="BJ116" i="189"/>
  <c r="BJ159" i="189"/>
  <c r="BK158" i="189"/>
  <c r="BH117" i="189"/>
  <c r="BH35" i="189"/>
  <c r="BH118" i="189"/>
  <c r="BI116" i="189"/>
  <c r="BI117" i="189" s="1"/>
  <c r="AT373" i="189"/>
  <c r="AT374" i="189" s="1"/>
  <c r="AP374" i="189"/>
  <c r="AU373" i="189"/>
  <c r="AP384" i="189"/>
  <c r="CB373" i="189"/>
  <c r="BI35" i="189"/>
  <c r="GD27" i="7"/>
  <c r="GD28" i="7" s="1"/>
  <c r="FG9" i="9"/>
  <c r="GI9" i="9"/>
  <c r="FG27" i="9"/>
  <c r="CL233" i="172"/>
  <c r="CN233" i="172" s="1"/>
  <c r="CG236" i="172"/>
  <c r="CR241" i="172"/>
  <c r="CS241" i="172" s="1"/>
  <c r="CR240" i="172"/>
  <c r="CS239" i="172"/>
  <c r="CM219" i="172"/>
  <c r="CM222" i="172" s="1"/>
  <c r="CO221" i="172"/>
  <c r="CS159" i="172"/>
  <c r="CS157" i="172"/>
  <c r="CK236" i="172"/>
  <c r="CP233" i="172"/>
  <c r="CU233" i="172" s="1"/>
  <c r="FC67" i="8"/>
  <c r="EV27" i="123"/>
  <c r="EW27" i="123" s="1"/>
  <c r="EW28" i="123"/>
  <c r="EW59" i="123" s="1"/>
  <c r="BH224" i="171"/>
  <c r="BH234" i="171" s="1"/>
  <c r="BH228" i="171" s="1"/>
  <c r="BH225" i="171"/>
  <c r="BH233" i="171" s="1"/>
  <c r="BH227" i="171" s="1"/>
  <c r="BI223" i="171"/>
  <c r="EV11" i="135"/>
  <c r="EU13" i="135"/>
  <c r="FB27" i="9"/>
  <c r="FA99" i="8"/>
  <c r="FA10" i="12"/>
  <c r="FB10" i="12" s="1"/>
  <c r="FA27" i="9"/>
  <c r="GI27" i="9" s="1"/>
  <c r="FA47" i="123"/>
  <c r="FC47" i="123" s="1"/>
  <c r="EZ17" i="123"/>
  <c r="EY16" i="123"/>
  <c r="CM241" i="172"/>
  <c r="CN241" i="172" s="1"/>
  <c r="CM240" i="172"/>
  <c r="CN239" i="172"/>
  <c r="CN240" i="172" s="1"/>
  <c r="FA24" i="8"/>
  <c r="FC24" i="8" s="1"/>
  <c r="FD24" i="8" s="1"/>
  <c r="FE24" i="8" s="1"/>
  <c r="FF24" i="8" s="1"/>
  <c r="FA67" i="8"/>
  <c r="FB40" i="8"/>
  <c r="FB67" i="8" s="1"/>
  <c r="CI236" i="172"/>
  <c r="CI237" i="172" s="1"/>
  <c r="CL222" i="172"/>
  <c r="CL217" i="172"/>
  <c r="EX51" i="123"/>
  <c r="EY7" i="123"/>
  <c r="DC93" i="171"/>
  <c r="DC111" i="171"/>
  <c r="DL38" i="172"/>
  <c r="DL39" i="172" s="1"/>
  <c r="EK169" i="135"/>
  <c r="DC87" i="171"/>
  <c r="AW304" i="175"/>
  <c r="AY328" i="175"/>
  <c r="BX328" i="175"/>
  <c r="DC74" i="171"/>
  <c r="DC81" i="171"/>
  <c r="BY414" i="175"/>
  <c r="EJ171" i="135"/>
  <c r="DC158" i="171"/>
  <c r="DC75" i="171"/>
  <c r="BZ312" i="175"/>
  <c r="BD233" i="175"/>
  <c r="DC134" i="171"/>
  <c r="EW73" i="8"/>
  <c r="DC98" i="171"/>
  <c r="EK173" i="135"/>
  <c r="EJ175" i="135"/>
  <c r="DL33" i="172"/>
  <c r="EW34" i="9"/>
  <c r="EK167" i="135"/>
  <c r="EK166" i="135"/>
  <c r="EL164" i="135"/>
  <c r="DB272" i="171"/>
  <c r="DB273" i="171" s="1"/>
  <c r="CM29" i="12"/>
  <c r="CM33" i="12" s="1"/>
  <c r="CL29" i="12"/>
  <c r="CL33" i="12" s="1"/>
  <c r="CK29" i="12"/>
  <c r="CN29" i="12"/>
  <c r="CN33" i="12" s="1"/>
  <c r="CR63" i="8"/>
  <c r="CQ42" i="8"/>
  <c r="CQ7" i="8" s="1"/>
  <c r="CR67" i="8"/>
  <c r="CS40" i="8"/>
  <c r="CR41" i="8"/>
  <c r="AW193" i="175"/>
  <c r="BX316" i="175"/>
  <c r="BY165" i="175"/>
  <c r="EH27" i="12"/>
  <c r="ED35" i="12"/>
  <c r="EE27" i="12" s="1"/>
  <c r="EE31" i="12"/>
  <c r="EE34" i="12"/>
  <c r="EF26" i="12" s="1"/>
  <c r="EF34" i="12" s="1"/>
  <c r="EG26" i="12" s="1"/>
  <c r="ED13" i="12"/>
  <c r="ED22" i="12" s="1"/>
  <c r="ED39" i="12"/>
  <c r="EU8" i="135"/>
  <c r="EV6" i="135"/>
  <c r="EW33" i="123"/>
  <c r="EV30" i="123"/>
  <c r="EX26" i="123" s="1"/>
  <c r="AZ176" i="175"/>
  <c r="BY175" i="175"/>
  <c r="BA176" i="175"/>
  <c r="BX315" i="175"/>
  <c r="AZ186" i="175"/>
  <c r="AX187" i="175"/>
  <c r="AX188" i="175" s="1"/>
  <c r="AW316" i="175"/>
  <c r="AW188" i="175"/>
  <c r="BB165" i="175"/>
  <c r="BB175" i="175" s="1"/>
  <c r="DG20" i="12"/>
  <c r="DG16" i="12"/>
  <c r="N37" i="141"/>
  <c r="O37" i="141" s="1"/>
  <c r="BI220" i="171"/>
  <c r="BK220" i="171" s="1"/>
  <c r="BH221" i="171"/>
  <c r="BH215" i="171"/>
  <c r="BH222" i="171"/>
  <c r="BH159" i="171" s="1"/>
  <c r="BG217" i="171"/>
  <c r="BG213" i="171" s="1"/>
  <c r="BG216" i="171"/>
  <c r="AV136" i="175"/>
  <c r="BA137" i="175" s="1"/>
  <c r="BX134" i="175"/>
  <c r="BX135" i="175" s="1"/>
  <c r="AV135" i="175"/>
  <c r="BI69" i="171"/>
  <c r="BS301" i="172"/>
  <c r="CE251" i="172"/>
  <c r="CI235" i="172"/>
  <c r="EY34" i="9" l="1"/>
  <c r="EW30" i="123"/>
  <c r="FB26" i="123" s="1"/>
  <c r="FK46" i="123"/>
  <c r="EW34" i="123"/>
  <c r="CU158" i="172"/>
  <c r="CU157" i="172" s="1"/>
  <c r="CV159" i="172"/>
  <c r="CX240" i="172"/>
  <c r="CX242" i="172"/>
  <c r="CU236" i="172"/>
  <c r="CT157" i="172"/>
  <c r="FJ9" i="9"/>
  <c r="FI66" i="7"/>
  <c r="FI120" i="7" s="1"/>
  <c r="FH67" i="8"/>
  <c r="FI40" i="8"/>
  <c r="CH61" i="189"/>
  <c r="BT121" i="189"/>
  <c r="BT36" i="189"/>
  <c r="BT120" i="189"/>
  <c r="BX119" i="189"/>
  <c r="CH119" i="189"/>
  <c r="BU121" i="189"/>
  <c r="BX194" i="189"/>
  <c r="CV51" i="172"/>
  <c r="CX49" i="172"/>
  <c r="CV48" i="172"/>
  <c r="FH137" i="135"/>
  <c r="FH138" i="135"/>
  <c r="FI138" i="135"/>
  <c r="BX61" i="189"/>
  <c r="FJ109" i="135"/>
  <c r="BX9" i="189"/>
  <c r="BT17" i="189"/>
  <c r="CH17" i="189" s="1"/>
  <c r="BT83" i="189"/>
  <c r="BT81" i="189"/>
  <c r="BT84" i="189"/>
  <c r="BX82" i="189"/>
  <c r="BU84" i="189"/>
  <c r="FL108" i="135"/>
  <c r="CX18" i="172"/>
  <c r="FG24" i="8"/>
  <c r="FH24" i="8"/>
  <c r="EX73" i="8"/>
  <c r="EX75" i="8" s="1"/>
  <c r="EX34" i="9"/>
  <c r="GH34" i="9" s="1"/>
  <c r="BN36" i="189"/>
  <c r="CF36" i="189"/>
  <c r="BO121" i="189"/>
  <c r="BO120" i="189"/>
  <c r="BO36" i="189"/>
  <c r="BS119" i="189"/>
  <c r="BS120" i="189" s="1"/>
  <c r="CG119" i="189"/>
  <c r="CG120" i="189" s="1"/>
  <c r="BP121" i="189"/>
  <c r="EW75" i="8"/>
  <c r="CA178" i="172"/>
  <c r="BZ177" i="172"/>
  <c r="BV301" i="172"/>
  <c r="BW300" i="172"/>
  <c r="BW176" i="172"/>
  <c r="BW193" i="172"/>
  <c r="BV199" i="172"/>
  <c r="BV194" i="172"/>
  <c r="BV192" i="172"/>
  <c r="BY192" i="172"/>
  <c r="BY194" i="172"/>
  <c r="BY199" i="172"/>
  <c r="BX176" i="172"/>
  <c r="BX193" i="172"/>
  <c r="EU16" i="135"/>
  <c r="CM217" i="172"/>
  <c r="CM218" i="172" s="1"/>
  <c r="BO81" i="189"/>
  <c r="CG82" i="189"/>
  <c r="CG83" i="189" s="1"/>
  <c r="BO83" i="189"/>
  <c r="BP84" i="189"/>
  <c r="BU85" i="189" s="1"/>
  <c r="BO84" i="189"/>
  <c r="BT85" i="189" s="1"/>
  <c r="BS82" i="189"/>
  <c r="BS83" i="189" s="1"/>
  <c r="BS9" i="189"/>
  <c r="FL136" i="135" s="1"/>
  <c r="FL137" i="135" s="1"/>
  <c r="CG9" i="189"/>
  <c r="BO17" i="189"/>
  <c r="CJ10" i="172"/>
  <c r="BJ20" i="189"/>
  <c r="BJ21" i="189" s="1"/>
  <c r="BJ18" i="189"/>
  <c r="CF17" i="189"/>
  <c r="CF18" i="189" s="1"/>
  <c r="BN17" i="189"/>
  <c r="BI20" i="189"/>
  <c r="BI21" i="189" s="1"/>
  <c r="BI18" i="189"/>
  <c r="CF81" i="189"/>
  <c r="BN81" i="189"/>
  <c r="AP385" i="189"/>
  <c r="AQ386" i="189"/>
  <c r="AV387" i="189" s="1"/>
  <c r="AT384" i="189"/>
  <c r="AT385" i="189" s="1"/>
  <c r="AP386" i="189"/>
  <c r="AU387" i="189" s="1"/>
  <c r="CB384" i="189"/>
  <c r="BL158" i="189"/>
  <c r="BJ117" i="189"/>
  <c r="BJ35" i="189"/>
  <c r="BJ118" i="189"/>
  <c r="AU384" i="189"/>
  <c r="AY373" i="189"/>
  <c r="AY374" i="189" s="1"/>
  <c r="CC373" i="189"/>
  <c r="BK159" i="189"/>
  <c r="BK116" i="189"/>
  <c r="CF158" i="189"/>
  <c r="GD34" i="7"/>
  <c r="AY187" i="175"/>
  <c r="AY186" i="175" s="1"/>
  <c r="CS242" i="172"/>
  <c r="CQ233" i="172"/>
  <c r="CL236" i="172"/>
  <c r="CN236" i="172" s="1"/>
  <c r="CN237" i="172" s="1"/>
  <c r="FD47" i="123"/>
  <c r="CS240" i="172"/>
  <c r="CP236" i="172"/>
  <c r="CQ221" i="172"/>
  <c r="CQ219" i="172" s="1"/>
  <c r="CP221" i="172"/>
  <c r="CR221" i="172" s="1"/>
  <c r="FD67" i="8"/>
  <c r="BK223" i="171"/>
  <c r="BI225" i="171"/>
  <c r="BI233" i="171" s="1"/>
  <c r="BI227" i="171" s="1"/>
  <c r="BI224" i="171"/>
  <c r="BI234" i="171" s="1"/>
  <c r="BI228" i="171" s="1"/>
  <c r="EW11" i="135"/>
  <c r="EV13" i="135"/>
  <c r="EX27" i="123"/>
  <c r="EX28" i="123"/>
  <c r="EX29" i="123"/>
  <c r="FA17" i="123"/>
  <c r="EZ16" i="123"/>
  <c r="CN242" i="172"/>
  <c r="CN235" i="172"/>
  <c r="EZ34" i="9"/>
  <c r="EY73" i="8"/>
  <c r="EY75" i="8" s="1"/>
  <c r="FB24" i="8"/>
  <c r="BK222" i="171"/>
  <c r="BK159" i="171" s="1"/>
  <c r="BL220" i="171"/>
  <c r="BK219" i="171"/>
  <c r="BL219" i="171" s="1"/>
  <c r="BM219" i="171" s="1"/>
  <c r="BN219" i="171" s="1"/>
  <c r="BK215" i="171"/>
  <c r="BK221" i="171"/>
  <c r="P37" i="141"/>
  <c r="EZ7" i="123"/>
  <c r="EY51" i="123"/>
  <c r="AW194" i="175"/>
  <c r="AW119" i="175"/>
  <c r="BY328" i="175"/>
  <c r="EL169" i="135"/>
  <c r="BZ414" i="175"/>
  <c r="EK171" i="135"/>
  <c r="EK175" i="135"/>
  <c r="EL173" i="135"/>
  <c r="EL167" i="135"/>
  <c r="EN164" i="135"/>
  <c r="EO164" i="135" s="1"/>
  <c r="EP164" i="135" s="1"/>
  <c r="EQ164" i="135" s="1"/>
  <c r="ES164" i="135" s="1"/>
  <c r="EL166" i="135"/>
  <c r="EM166" i="135" s="1"/>
  <c r="EM164" i="135"/>
  <c r="CK33" i="12"/>
  <c r="CO33" i="12" s="1"/>
  <c r="CK34" i="12"/>
  <c r="CL26" i="12" s="1"/>
  <c r="CR42" i="8"/>
  <c r="CR7" i="8" s="1"/>
  <c r="CS63" i="8"/>
  <c r="CS41" i="8"/>
  <c r="CU40" i="8"/>
  <c r="CT40" i="8"/>
  <c r="CS67" i="8"/>
  <c r="EE35" i="12"/>
  <c r="EF27" i="12" s="1"/>
  <c r="EF35" i="12" s="1"/>
  <c r="EG27" i="12" s="1"/>
  <c r="BZ170" i="175"/>
  <c r="EE13" i="12"/>
  <c r="EE22" i="12" s="1"/>
  <c r="EE39" i="12"/>
  <c r="EG34" i="12"/>
  <c r="EG31" i="12"/>
  <c r="EV8" i="135"/>
  <c r="EW6" i="135"/>
  <c r="BY303" i="175"/>
  <c r="AZ187" i="175"/>
  <c r="AZ178" i="175" s="1"/>
  <c r="AZ179" i="175" s="1"/>
  <c r="BA186" i="175"/>
  <c r="BD175" i="175"/>
  <c r="BD176" i="175" s="1"/>
  <c r="AW315" i="175"/>
  <c r="AX316" i="175"/>
  <c r="AX315" i="175" s="1"/>
  <c r="BX129" i="175"/>
  <c r="BX130" i="175" s="1"/>
  <c r="AV130" i="175"/>
  <c r="AV131" i="175"/>
  <c r="BA132" i="175" s="1"/>
  <c r="DH7" i="12"/>
  <c r="DG18" i="12"/>
  <c r="EK56" i="123"/>
  <c r="BI215" i="171"/>
  <c r="BI222" i="171"/>
  <c r="BI159" i="171" s="1"/>
  <c r="CL159" i="171" s="1"/>
  <c r="BI221" i="171"/>
  <c r="BH217" i="171"/>
  <c r="BH213" i="171" s="1"/>
  <c r="BH216" i="171"/>
  <c r="CF251" i="172"/>
  <c r="CE250" i="172"/>
  <c r="CH120" i="189" l="1"/>
  <c r="CQ236" i="172"/>
  <c r="CS236" i="172" s="1"/>
  <c r="CV233" i="172"/>
  <c r="CW159" i="172"/>
  <c r="CW158" i="172" s="1"/>
  <c r="CW157" i="172" s="1"/>
  <c r="CV158" i="172"/>
  <c r="CR219" i="172"/>
  <c r="CT221" i="172"/>
  <c r="FK9" i="9"/>
  <c r="FJ66" i="7"/>
  <c r="FJ120" i="7" s="1"/>
  <c r="FI67" i="8"/>
  <c r="FJ40" i="8"/>
  <c r="CH83" i="189"/>
  <c r="BX81" i="189"/>
  <c r="CH81" i="189"/>
  <c r="BX36" i="189"/>
  <c r="CH36" i="189"/>
  <c r="BX120" i="189"/>
  <c r="CX48" i="172"/>
  <c r="CX50" i="172"/>
  <c r="FL109" i="135"/>
  <c r="BX83" i="189"/>
  <c r="BX17" i="189"/>
  <c r="BT20" i="189"/>
  <c r="CT10" i="172"/>
  <c r="DQ10" i="172" s="1"/>
  <c r="BT18" i="189"/>
  <c r="FI24" i="8"/>
  <c r="CN10" i="172"/>
  <c r="DO10" i="172"/>
  <c r="ES165" i="135"/>
  <c r="ES166" i="135"/>
  <c r="ES167" i="135"/>
  <c r="BS36" i="189"/>
  <c r="CG36" i="189"/>
  <c r="BX300" i="172"/>
  <c r="BW301" i="172"/>
  <c r="BX192" i="172"/>
  <c r="BX194" i="172"/>
  <c r="BX199" i="172"/>
  <c r="BW194" i="172"/>
  <c r="BW199" i="172"/>
  <c r="BW192" i="172"/>
  <c r="BZ193" i="172"/>
  <c r="BZ176" i="172"/>
  <c r="CD177" i="172"/>
  <c r="CA177" i="172"/>
  <c r="CB178" i="172"/>
  <c r="EV16" i="135"/>
  <c r="EU18" i="135"/>
  <c r="BN18" i="189"/>
  <c r="BN20" i="189"/>
  <c r="BN21" i="189" s="1"/>
  <c r="CO10" i="172"/>
  <c r="BO18" i="189"/>
  <c r="CG17" i="189"/>
  <c r="CG18" i="189" s="1"/>
  <c r="BS17" i="189"/>
  <c r="BO20" i="189"/>
  <c r="BO21" i="189" s="1"/>
  <c r="CG81" i="189"/>
  <c r="BS81" i="189"/>
  <c r="BM158" i="189"/>
  <c r="BN158" i="189" s="1"/>
  <c r="BO157" i="189"/>
  <c r="BL159" i="189"/>
  <c r="BL116" i="189"/>
  <c r="BK35" i="189"/>
  <c r="CF35" i="189" s="1"/>
  <c r="BK118" i="189"/>
  <c r="BK117" i="189"/>
  <c r="AY384" i="189"/>
  <c r="AY385" i="189" s="1"/>
  <c r="AV386" i="189"/>
  <c r="AU386" i="189"/>
  <c r="AU385" i="189"/>
  <c r="CC384" i="189"/>
  <c r="CF116" i="189"/>
  <c r="CF117" i="189" s="1"/>
  <c r="GD35" i="7"/>
  <c r="GD37" i="7"/>
  <c r="CS233" i="172"/>
  <c r="CS235" i="172" s="1"/>
  <c r="EQ166" i="135"/>
  <c r="EQ167" i="135"/>
  <c r="AY188" i="175"/>
  <c r="EX30" i="123"/>
  <c r="EY26" i="123" s="1"/>
  <c r="EY29" i="123" s="1"/>
  <c r="FA16" i="123"/>
  <c r="FB16" i="123" s="1"/>
  <c r="FB17" i="123" s="1"/>
  <c r="FC17" i="123"/>
  <c r="FE47" i="123"/>
  <c r="EP166" i="135"/>
  <c r="EP167" i="135"/>
  <c r="CQ222" i="172"/>
  <c r="CQ217" i="172"/>
  <c r="CR222" i="172"/>
  <c r="CR217" i="172"/>
  <c r="CR218" i="172" s="1"/>
  <c r="FE67" i="8"/>
  <c r="BK224" i="171"/>
  <c r="BK234" i="171" s="1"/>
  <c r="BK228" i="171" s="1"/>
  <c r="BK225" i="171"/>
  <c r="BK233" i="171" s="1"/>
  <c r="BK227" i="171" s="1"/>
  <c r="BL223" i="171"/>
  <c r="EO166" i="135"/>
  <c r="EO167" i="135"/>
  <c r="EW13" i="135"/>
  <c r="EX11" i="135"/>
  <c r="EY28" i="123"/>
  <c r="EY59" i="123" s="1"/>
  <c r="EY27" i="123"/>
  <c r="EX59" i="123"/>
  <c r="FA34" i="9"/>
  <c r="EZ73" i="8"/>
  <c r="EZ75" i="8" s="1"/>
  <c r="BL222" i="171"/>
  <c r="BL159" i="171" s="1"/>
  <c r="BM220" i="171"/>
  <c r="BL215" i="171"/>
  <c r="BL221" i="171"/>
  <c r="BK217" i="171"/>
  <c r="BK213" i="171" s="1"/>
  <c r="BK216" i="171"/>
  <c r="CM159" i="171"/>
  <c r="Q37" i="141"/>
  <c r="R37" i="141" s="1"/>
  <c r="EZ51" i="123"/>
  <c r="FA7" i="123"/>
  <c r="BZ328" i="175"/>
  <c r="EN169" i="135"/>
  <c r="EO169" i="135" s="1"/>
  <c r="EP169" i="135" s="1"/>
  <c r="EQ169" i="135" s="1"/>
  <c r="ES169" i="135" s="1"/>
  <c r="EL171" i="135"/>
  <c r="EM169" i="135"/>
  <c r="EM171" i="135" s="1"/>
  <c r="EW8" i="135"/>
  <c r="EX6" i="135"/>
  <c r="EG35" i="12"/>
  <c r="EI27" i="12" s="1"/>
  <c r="EM27" i="12" s="1"/>
  <c r="EN166" i="135"/>
  <c r="EN167" i="135"/>
  <c r="EN173" i="135"/>
  <c r="EO173" i="135" s="1"/>
  <c r="EP173" i="135" s="1"/>
  <c r="EL175" i="135"/>
  <c r="EM175" i="135" s="1"/>
  <c r="EM173" i="135"/>
  <c r="CL34" i="12"/>
  <c r="CM26" i="12" s="1"/>
  <c r="CL38" i="12"/>
  <c r="CY67" i="8"/>
  <c r="CT67" i="8"/>
  <c r="CU63" i="8"/>
  <c r="CT41" i="8"/>
  <c r="CY63" i="8" s="1"/>
  <c r="CS42" i="8"/>
  <c r="CV67" i="8"/>
  <c r="CU67" i="8"/>
  <c r="CU41" i="8"/>
  <c r="BD165" i="175"/>
  <c r="BD164" i="175" s="1"/>
  <c r="EG39" i="12"/>
  <c r="EH39" i="12" s="1"/>
  <c r="EG13" i="12"/>
  <c r="EG22" i="12" s="1"/>
  <c r="EI26" i="12"/>
  <c r="EM26" i="12" s="1"/>
  <c r="EH34" i="12"/>
  <c r="EH31" i="12"/>
  <c r="GG36" i="9"/>
  <c r="AY316" i="175"/>
  <c r="AY315" i="175"/>
  <c r="BA187" i="175"/>
  <c r="BA178" i="175" s="1"/>
  <c r="BA179" i="175" s="1"/>
  <c r="BB186" i="175"/>
  <c r="BC186" i="175" s="1"/>
  <c r="BC187" i="175" s="1"/>
  <c r="BB176" i="175"/>
  <c r="AZ188" i="175"/>
  <c r="DH20" i="12"/>
  <c r="DH16" i="12"/>
  <c r="EL56" i="123"/>
  <c r="EK57" i="123"/>
  <c r="EK50" i="123" s="1"/>
  <c r="EK53" i="123" s="1"/>
  <c r="GE35" i="9"/>
  <c r="BI216" i="171"/>
  <c r="BI217" i="171"/>
  <c r="BI213" i="171" s="1"/>
  <c r="GE22" i="9"/>
  <c r="CE248" i="172"/>
  <c r="CG251" i="172"/>
  <c r="CF250" i="172"/>
  <c r="CV157" i="172" l="1"/>
  <c r="CX158" i="172"/>
  <c r="CV236" i="172"/>
  <c r="CX236" i="172" s="1"/>
  <c r="CX233" i="172"/>
  <c r="CX235" i="172" s="1"/>
  <c r="CU221" i="172"/>
  <c r="CV221" i="172"/>
  <c r="FK66" i="7"/>
  <c r="FK120" i="7" s="1"/>
  <c r="FL9" i="9"/>
  <c r="FJ67" i="8"/>
  <c r="FK40" i="8"/>
  <c r="CQ218" i="172"/>
  <c r="CH18" i="189"/>
  <c r="BT21" i="189"/>
  <c r="BX20" i="189"/>
  <c r="BX18" i="189"/>
  <c r="FH99" i="135"/>
  <c r="CT44" i="172"/>
  <c r="CT43" i="172" s="1"/>
  <c r="CT13" i="172"/>
  <c r="FH101" i="135" s="1"/>
  <c r="CT11" i="172"/>
  <c r="CX10" i="172"/>
  <c r="CU13" i="172"/>
  <c r="FI101" i="135" s="1"/>
  <c r="FJ24" i="8"/>
  <c r="EV38" i="123"/>
  <c r="EV40" i="123" s="1"/>
  <c r="EV10" i="123"/>
  <c r="EV11" i="123" s="1"/>
  <c r="EW11" i="123" s="1"/>
  <c r="EW21" i="123" s="1"/>
  <c r="CS10" i="172"/>
  <c r="DP10" i="172"/>
  <c r="ES170" i="135"/>
  <c r="ES171" i="135"/>
  <c r="CA193" i="172"/>
  <c r="CA176" i="172"/>
  <c r="CD176" i="172"/>
  <c r="CD178" i="172"/>
  <c r="CD193" i="172"/>
  <c r="CC178" i="172"/>
  <c r="CC177" i="172" s="1"/>
  <c r="CB177" i="172"/>
  <c r="BZ194" i="172"/>
  <c r="BZ199" i="172"/>
  <c r="BZ192" i="172"/>
  <c r="BZ300" i="172"/>
  <c r="BX301" i="172"/>
  <c r="EW16" i="135"/>
  <c r="EV18" i="135"/>
  <c r="BC178" i="175"/>
  <c r="BC181" i="175" s="1"/>
  <c r="BC188" i="175"/>
  <c r="BS18" i="189"/>
  <c r="BS20" i="189"/>
  <c r="BS21" i="189" s="1"/>
  <c r="BL117" i="189"/>
  <c r="BL35" i="189"/>
  <c r="BL118" i="189"/>
  <c r="BN159" i="189"/>
  <c r="BN157" i="189"/>
  <c r="BP157" i="189"/>
  <c r="BO158" i="189"/>
  <c r="BM159" i="189"/>
  <c r="BM116" i="189"/>
  <c r="GD38" i="7"/>
  <c r="GD53" i="7"/>
  <c r="GD39" i="7"/>
  <c r="GD44" i="7"/>
  <c r="GD54" i="7"/>
  <c r="CS237" i="172"/>
  <c r="EP175" i="135"/>
  <c r="EQ173" i="135"/>
  <c r="ES173" i="135" s="1"/>
  <c r="EQ171" i="135"/>
  <c r="FD17" i="123"/>
  <c r="FC16" i="123"/>
  <c r="EY30" i="123"/>
  <c r="EZ26" i="123" s="1"/>
  <c r="EZ28" i="123" s="1"/>
  <c r="FF47" i="123"/>
  <c r="FH47" i="123" s="1"/>
  <c r="FA51" i="123"/>
  <c r="FB51" i="123" s="1"/>
  <c r="FC7" i="123"/>
  <c r="FF67" i="8"/>
  <c r="FG67" i="8"/>
  <c r="EP171" i="135"/>
  <c r="EV12" i="123"/>
  <c r="EV58" i="123" s="1"/>
  <c r="EV60" i="123"/>
  <c r="EW40" i="123"/>
  <c r="EW60" i="123" s="1"/>
  <c r="EV41" i="123"/>
  <c r="EW41" i="123" s="1"/>
  <c r="EW47" i="123" s="1"/>
  <c r="BM223" i="171"/>
  <c r="BL224" i="171"/>
  <c r="BL234" i="171" s="1"/>
  <c r="BL228" i="171" s="1"/>
  <c r="BL225" i="171"/>
  <c r="BL233" i="171" s="1"/>
  <c r="BL227" i="171" s="1"/>
  <c r="EO171" i="135"/>
  <c r="EO175" i="135"/>
  <c r="EY11" i="135"/>
  <c r="EX13" i="135"/>
  <c r="EZ29" i="123"/>
  <c r="EH35" i="12"/>
  <c r="FB34" i="8"/>
  <c r="FA73" i="8"/>
  <c r="FA75" i="8" s="1"/>
  <c r="BL217" i="171"/>
  <c r="BL213" i="171" s="1"/>
  <c r="BL216" i="171"/>
  <c r="BM222" i="171"/>
  <c r="BM159" i="171" s="1"/>
  <c r="BM215" i="171"/>
  <c r="BN220" i="171"/>
  <c r="BP220" i="171" s="1"/>
  <c r="BM221" i="171"/>
  <c r="FB7" i="123"/>
  <c r="AZ194" i="175"/>
  <c r="CE249" i="172"/>
  <c r="FB34" i="9"/>
  <c r="EN171" i="135"/>
  <c r="EN175" i="135"/>
  <c r="EX8" i="135"/>
  <c r="EY6" i="135"/>
  <c r="CM38" i="12"/>
  <c r="CM34" i="12"/>
  <c r="CN26" i="12" s="1"/>
  <c r="CS7" i="8"/>
  <c r="CT42" i="8"/>
  <c r="CU42" i="8"/>
  <c r="CU7" i="8" s="1"/>
  <c r="CV63" i="8"/>
  <c r="EG17" i="12"/>
  <c r="EH17" i="12" s="1"/>
  <c r="EH13" i="12"/>
  <c r="EI31" i="12"/>
  <c r="EI34" i="12"/>
  <c r="EJ26" i="12" s="1"/>
  <c r="EW46" i="123"/>
  <c r="BB187" i="175"/>
  <c r="BB178" i="175" s="1"/>
  <c r="BA188" i="175"/>
  <c r="BY187" i="175"/>
  <c r="DH18" i="12"/>
  <c r="DJ7" i="12"/>
  <c r="DI16" i="12"/>
  <c r="EK65" i="123"/>
  <c r="GE21" i="9"/>
  <c r="CF248" i="172"/>
  <c r="CH251" i="172"/>
  <c r="CG250" i="172"/>
  <c r="DN250" i="172"/>
  <c r="DN251" i="172" s="1"/>
  <c r="FI47" i="123" l="1"/>
  <c r="EV13" i="123"/>
  <c r="EW13" i="123" s="1"/>
  <c r="EW23" i="123" s="1"/>
  <c r="CX237" i="172"/>
  <c r="CW221" i="172"/>
  <c r="CW219" i="172" s="1"/>
  <c r="CX159" i="172"/>
  <c r="CX157" i="172"/>
  <c r="DQ11" i="172"/>
  <c r="FL40" i="8"/>
  <c r="FL67" i="8" s="1"/>
  <c r="FK67" i="8"/>
  <c r="BX21" i="189"/>
  <c r="CX43" i="172"/>
  <c r="FL99" i="135"/>
  <c r="CX11" i="172"/>
  <c r="FH100" i="135"/>
  <c r="CX44" i="172"/>
  <c r="CX45" i="172" s="1"/>
  <c r="FK24" i="8"/>
  <c r="FC34" i="8"/>
  <c r="FD34" i="8" s="1"/>
  <c r="FE34" i="8" s="1"/>
  <c r="FF34" i="8" s="1"/>
  <c r="EW12" i="123"/>
  <c r="EZ27" i="123"/>
  <c r="EV39" i="123"/>
  <c r="EW39" i="123" s="1"/>
  <c r="EW45" i="123" s="1"/>
  <c r="ES175" i="135"/>
  <c r="ES174" i="135"/>
  <c r="EV14" i="123"/>
  <c r="EX10" i="123" s="1"/>
  <c r="EX12" i="123" s="1"/>
  <c r="CA300" i="172"/>
  <c r="BZ301" i="172"/>
  <c r="CB193" i="172"/>
  <c r="CB176" i="172"/>
  <c r="CC176" i="172"/>
  <c r="CC193" i="172"/>
  <c r="CD194" i="172"/>
  <c r="CD192" i="172"/>
  <c r="CD199" i="172"/>
  <c r="CA192" i="172"/>
  <c r="CA199" i="172"/>
  <c r="CA194" i="172"/>
  <c r="EW18" i="135"/>
  <c r="EX16" i="135"/>
  <c r="BQ157" i="189"/>
  <c r="BP158" i="189"/>
  <c r="CG158" i="189" s="1"/>
  <c r="BM35" i="189"/>
  <c r="BN35" i="189" s="1"/>
  <c r="BM117" i="189"/>
  <c r="BM118" i="189"/>
  <c r="BO159" i="189"/>
  <c r="BO116" i="189"/>
  <c r="BN116" i="189"/>
  <c r="BN117" i="189" s="1"/>
  <c r="GD56" i="7"/>
  <c r="GD58" i="7" s="1"/>
  <c r="GD55" i="7"/>
  <c r="GD78" i="7"/>
  <c r="GD43" i="7"/>
  <c r="GD45" i="7"/>
  <c r="EQ175" i="135"/>
  <c r="FE17" i="123"/>
  <c r="FD16" i="123"/>
  <c r="FC51" i="123"/>
  <c r="FD7" i="123"/>
  <c r="FB73" i="8"/>
  <c r="BP222" i="171"/>
  <c r="BP159" i="171" s="1"/>
  <c r="BP219" i="171"/>
  <c r="BQ220" i="171"/>
  <c r="BP215" i="171"/>
  <c r="BP221" i="171"/>
  <c r="BB179" i="175"/>
  <c r="BB181" i="175"/>
  <c r="BB182" i="175" s="1"/>
  <c r="EZ30" i="123"/>
  <c r="FA26" i="123" s="1"/>
  <c r="FA29" i="123" s="1"/>
  <c r="FB29" i="123" s="1"/>
  <c r="FB35" i="123" s="1"/>
  <c r="EW14" i="123"/>
  <c r="FB10" i="123" s="1"/>
  <c r="BM224" i="171"/>
  <c r="BM234" i="171" s="1"/>
  <c r="BM228" i="171" s="1"/>
  <c r="BM225" i="171"/>
  <c r="BM233" i="171" s="1"/>
  <c r="BM227" i="171" s="1"/>
  <c r="BN223" i="171"/>
  <c r="BP223" i="171" s="1"/>
  <c r="EZ11" i="135"/>
  <c r="EY13" i="135"/>
  <c r="EZ59" i="123"/>
  <c r="BM217" i="171"/>
  <c r="BM213" i="171" s="1"/>
  <c r="BM216" i="171"/>
  <c r="BN222" i="171"/>
  <c r="BN159" i="171" s="1"/>
  <c r="BN215" i="171"/>
  <c r="BN221" i="171"/>
  <c r="CH250" i="172"/>
  <c r="CI250" i="172" s="1"/>
  <c r="CJ251" i="172"/>
  <c r="CF249" i="172"/>
  <c r="DN248" i="172"/>
  <c r="EY8" i="135"/>
  <c r="EZ6" i="135"/>
  <c r="CN34" i="12"/>
  <c r="CP26" i="12" s="1"/>
  <c r="CN38" i="12"/>
  <c r="CO38" i="12" s="1"/>
  <c r="EI13" i="12"/>
  <c r="EI22" i="12" s="1"/>
  <c r="EI39" i="12"/>
  <c r="EI35" i="12"/>
  <c r="EJ27" i="12" s="1"/>
  <c r="EJ31" i="12"/>
  <c r="EJ34" i="12"/>
  <c r="EK26" i="12" s="1"/>
  <c r="EW58" i="123"/>
  <c r="EW22" i="123"/>
  <c r="EW18" i="123"/>
  <c r="EV18" i="123" s="1"/>
  <c r="EW42" i="123"/>
  <c r="FB38" i="123" s="1"/>
  <c r="BZ175" i="175"/>
  <c r="BY316" i="175"/>
  <c r="BB188" i="175"/>
  <c r="AW83" i="175"/>
  <c r="AW84" i="175"/>
  <c r="BZ165" i="175"/>
  <c r="DN7" i="12"/>
  <c r="DJ20" i="12"/>
  <c r="DJ16" i="12"/>
  <c r="GE17" i="9"/>
  <c r="GE19" i="9"/>
  <c r="CG248" i="172"/>
  <c r="FJ47" i="123" l="1"/>
  <c r="CW222" i="172"/>
  <c r="CW217" i="172"/>
  <c r="CW218" i="172" s="1"/>
  <c r="FD34" i="9"/>
  <c r="FL100" i="135"/>
  <c r="FL24" i="8"/>
  <c r="FC34" i="9"/>
  <c r="EV42" i="123"/>
  <c r="EX38" i="123" s="1"/>
  <c r="EX11" i="123"/>
  <c r="EX13" i="123"/>
  <c r="EX14" i="123" s="1"/>
  <c r="EY10" i="123" s="1"/>
  <c r="EY12" i="123" s="1"/>
  <c r="FB75" i="8"/>
  <c r="CB199" i="172"/>
  <c r="CB194" i="172"/>
  <c r="CB192" i="172"/>
  <c r="CC199" i="172"/>
  <c r="CC192" i="172"/>
  <c r="CC194" i="172"/>
  <c r="CA301" i="172"/>
  <c r="CB300" i="172"/>
  <c r="EX18" i="135"/>
  <c r="EY16" i="135"/>
  <c r="BP159" i="189"/>
  <c r="BP116" i="189"/>
  <c r="CG116" i="189" s="1"/>
  <c r="CG117" i="189" s="1"/>
  <c r="BO118" i="189"/>
  <c r="BO35" i="189"/>
  <c r="BO117" i="189"/>
  <c r="BQ158" i="189"/>
  <c r="BR157" i="189"/>
  <c r="GD79" i="7"/>
  <c r="GD80" i="7" s="1"/>
  <c r="GD57" i="7"/>
  <c r="GD66" i="7"/>
  <c r="GD67" i="7" s="1"/>
  <c r="GD68" i="7" s="1"/>
  <c r="GD69" i="7" s="1"/>
  <c r="GD59" i="7"/>
  <c r="FA27" i="123"/>
  <c r="FB27" i="123" s="1"/>
  <c r="FB33" i="123" s="1"/>
  <c r="FF17" i="123"/>
  <c r="FE16" i="123"/>
  <c r="EX39" i="123"/>
  <c r="FA28" i="123"/>
  <c r="FA59" i="123" s="1"/>
  <c r="FD51" i="123"/>
  <c r="FE7" i="123"/>
  <c r="GI34" i="9"/>
  <c r="FE34" i="9"/>
  <c r="FC73" i="8"/>
  <c r="FC75" i="8" s="1"/>
  <c r="BP225" i="171"/>
  <c r="BQ223" i="171"/>
  <c r="BP224" i="171"/>
  <c r="BP217" i="171"/>
  <c r="BP216" i="171"/>
  <c r="BR220" i="171"/>
  <c r="BQ215" i="171"/>
  <c r="BQ222" i="171"/>
  <c r="BQ159" i="171" s="1"/>
  <c r="BQ221" i="171"/>
  <c r="BQ219" i="171"/>
  <c r="BN224" i="171"/>
  <c r="BN234" i="171" s="1"/>
  <c r="BN228" i="171" s="1"/>
  <c r="BN225" i="171"/>
  <c r="BN233" i="171" s="1"/>
  <c r="BN227" i="171" s="1"/>
  <c r="FA11" i="135"/>
  <c r="EZ13" i="135"/>
  <c r="FA30" i="123"/>
  <c r="FC26" i="123" s="1"/>
  <c r="EV36" i="9"/>
  <c r="EW36" i="9" s="1"/>
  <c r="EX58" i="123"/>
  <c r="EX18" i="123"/>
  <c r="EX36" i="9" s="1"/>
  <c r="CH248" i="172"/>
  <c r="CH249" i="172" s="1"/>
  <c r="BB85" i="175"/>
  <c r="BN217" i="171"/>
  <c r="BN213" i="171" s="1"/>
  <c r="BN216" i="171"/>
  <c r="CK251" i="172"/>
  <c r="CJ250" i="172"/>
  <c r="CJ248" i="172" s="1"/>
  <c r="CJ249" i="172" s="1"/>
  <c r="BB194" i="175"/>
  <c r="BB119" i="175"/>
  <c r="CG249" i="172"/>
  <c r="BD187" i="175"/>
  <c r="BD186" i="175" s="1"/>
  <c r="ER166" i="135"/>
  <c r="ER164" i="135"/>
  <c r="ET164" i="135" s="1"/>
  <c r="FA6" i="135"/>
  <c r="EZ8" i="135"/>
  <c r="CP38" i="12"/>
  <c r="CT26" i="12"/>
  <c r="CT29" i="12" s="1"/>
  <c r="EJ13" i="12"/>
  <c r="EJ22" i="12" s="1"/>
  <c r="EJ39" i="12"/>
  <c r="EJ35" i="12"/>
  <c r="EK27" i="12" s="1"/>
  <c r="EK34" i="12"/>
  <c r="EL26" i="12" s="1"/>
  <c r="EK31" i="12"/>
  <c r="EK13" i="12" s="1"/>
  <c r="EK22" i="12" s="1"/>
  <c r="AW18" i="175"/>
  <c r="BY315" i="175"/>
  <c r="BZ303" i="175"/>
  <c r="DK7" i="12"/>
  <c r="DK20" i="12" s="1"/>
  <c r="DL20" i="12" s="1"/>
  <c r="DJ18" i="12"/>
  <c r="GE37" i="9"/>
  <c r="GE39" i="9" s="1"/>
  <c r="DL73" i="172"/>
  <c r="CI251" i="172"/>
  <c r="CI248" i="172"/>
  <c r="FB28" i="123" l="1"/>
  <c r="FB30" i="123" s="1"/>
  <c r="FG26" i="123" s="1"/>
  <c r="FF16" i="123"/>
  <c r="FG16" i="123" s="1"/>
  <c r="FH17" i="123"/>
  <c r="FK47" i="123"/>
  <c r="ET165" i="135"/>
  <c r="ET166" i="135"/>
  <c r="ET167" i="135"/>
  <c r="BR158" i="189"/>
  <c r="BR116" i="189" s="1"/>
  <c r="BT157" i="189"/>
  <c r="EX40" i="123"/>
  <c r="EX60" i="123" s="1"/>
  <c r="EX41" i="123"/>
  <c r="CB301" i="172"/>
  <c r="CC300" i="172"/>
  <c r="CC301" i="172" s="1"/>
  <c r="EZ16" i="135"/>
  <c r="EY18" i="135"/>
  <c r="BQ116" i="189"/>
  <c r="BQ159" i="189"/>
  <c r="BP118" i="189"/>
  <c r="BP117" i="189"/>
  <c r="BP35" i="189"/>
  <c r="CG35" i="189" s="1"/>
  <c r="EY11" i="123"/>
  <c r="FG17" i="123"/>
  <c r="FC27" i="123"/>
  <c r="FC29" i="123"/>
  <c r="FC28" i="123"/>
  <c r="EY13" i="123"/>
  <c r="FF7" i="123"/>
  <c r="FE51" i="123"/>
  <c r="FF34" i="9"/>
  <c r="FD73" i="8"/>
  <c r="FD75" i="8" s="1"/>
  <c r="BS220" i="171"/>
  <c r="BU220" i="171" s="1"/>
  <c r="BR222" i="171"/>
  <c r="BR159" i="171" s="1"/>
  <c r="BR221" i="171"/>
  <c r="BR215" i="171"/>
  <c r="BP234" i="171"/>
  <c r="BP228" i="171" s="1"/>
  <c r="BR223" i="171"/>
  <c r="BQ224" i="171"/>
  <c r="BQ225" i="171"/>
  <c r="BR219" i="171"/>
  <c r="BQ217" i="171"/>
  <c r="BQ216" i="171"/>
  <c r="BP213" i="171"/>
  <c r="BP233" i="171"/>
  <c r="BP227" i="171" s="1"/>
  <c r="FB11" i="135"/>
  <c r="FA13" i="135"/>
  <c r="FB59" i="123"/>
  <c r="FB34" i="123"/>
  <c r="EY58" i="123"/>
  <c r="EY18" i="123"/>
  <c r="BD188" i="175"/>
  <c r="EL31" i="12"/>
  <c r="EL39" i="12" s="1"/>
  <c r="EL34" i="12"/>
  <c r="CL251" i="172"/>
  <c r="CK250" i="172"/>
  <c r="CI249" i="172"/>
  <c r="FA8" i="135"/>
  <c r="FB6" i="135"/>
  <c r="ER169" i="135"/>
  <c r="ER175" i="135"/>
  <c r="ER173" i="135"/>
  <c r="ET173" i="135" s="1"/>
  <c r="CS29" i="12"/>
  <c r="CS33" i="12" s="1"/>
  <c r="CR29" i="12"/>
  <c r="CR33" i="12" s="1"/>
  <c r="CP29" i="12"/>
  <c r="CQ29" i="12"/>
  <c r="CQ33" i="12" s="1"/>
  <c r="EK35" i="12"/>
  <c r="EL27" i="12" s="1"/>
  <c r="EK39" i="12"/>
  <c r="EK99" i="135"/>
  <c r="EK95" i="135" s="1"/>
  <c r="EP96" i="135" s="1"/>
  <c r="EK101" i="135"/>
  <c r="DM16" i="12"/>
  <c r="DM20" i="12"/>
  <c r="BU222" i="171" l="1"/>
  <c r="BU159" i="171" s="1"/>
  <c r="BU221" i="171"/>
  <c r="BU215" i="171"/>
  <c r="BV220" i="171"/>
  <c r="BU219" i="171"/>
  <c r="BV219" i="171" s="1"/>
  <c r="BW219" i="171" s="1"/>
  <c r="BX219" i="171" s="1"/>
  <c r="BR159" i="189"/>
  <c r="BS158" i="189"/>
  <c r="BS159" i="189" s="1"/>
  <c r="FI17" i="123"/>
  <c r="FH16" i="123"/>
  <c r="FC30" i="123"/>
  <c r="FD26" i="123" s="1"/>
  <c r="EY14" i="123"/>
  <c r="EZ10" i="123" s="1"/>
  <c r="ET175" i="135"/>
  <c r="ET174" i="135"/>
  <c r="FF51" i="123"/>
  <c r="FG51" i="123" s="1"/>
  <c r="FH7" i="123"/>
  <c r="BU157" i="189"/>
  <c r="BT158" i="189"/>
  <c r="ER171" i="135"/>
  <c r="ET169" i="135"/>
  <c r="EX42" i="123"/>
  <c r="EY38" i="123" s="1"/>
  <c r="EZ18" i="135"/>
  <c r="FA16" i="135"/>
  <c r="BQ35" i="189"/>
  <c r="BQ118" i="189"/>
  <c r="BQ117" i="189"/>
  <c r="BS116" i="189"/>
  <c r="BS117" i="189" s="1"/>
  <c r="BR35" i="189"/>
  <c r="BR117" i="189"/>
  <c r="BR118" i="189"/>
  <c r="BP182" i="171"/>
  <c r="FG7" i="123"/>
  <c r="FD27" i="123"/>
  <c r="FD28" i="123"/>
  <c r="FD59" i="123" s="1"/>
  <c r="FD29" i="123"/>
  <c r="FC59" i="123"/>
  <c r="FB8" i="135"/>
  <c r="FC6" i="135"/>
  <c r="FB13" i="135"/>
  <c r="FC11" i="135"/>
  <c r="FG34" i="8"/>
  <c r="FH34" i="8" s="1"/>
  <c r="FG34" i="9"/>
  <c r="EL35" i="12"/>
  <c r="EN27" i="12" s="1"/>
  <c r="FE73" i="8"/>
  <c r="FE75" i="8" s="1"/>
  <c r="BS219" i="171"/>
  <c r="BS223" i="171"/>
  <c r="BU223" i="171" s="1"/>
  <c r="BR225" i="171"/>
  <c r="BR224" i="171"/>
  <c r="BR217" i="171"/>
  <c r="BR216" i="171"/>
  <c r="BQ213" i="171"/>
  <c r="BQ233" i="171"/>
  <c r="BQ227" i="171" s="1"/>
  <c r="BQ234" i="171"/>
  <c r="BQ228" i="171" s="1"/>
  <c r="BS215" i="171"/>
  <c r="BS222" i="171"/>
  <c r="BS159" i="171" s="1"/>
  <c r="BS221" i="171"/>
  <c r="EM39" i="12"/>
  <c r="EM34" i="12"/>
  <c r="EN26" i="12"/>
  <c r="EY36" i="9"/>
  <c r="EZ11" i="123"/>
  <c r="EZ12" i="123"/>
  <c r="EZ18" i="123" s="1"/>
  <c r="EZ36" i="9" s="1"/>
  <c r="EZ13" i="123"/>
  <c r="EM31" i="12"/>
  <c r="CK248" i="172"/>
  <c r="CK249" i="172" s="1"/>
  <c r="CM251" i="172"/>
  <c r="CL250" i="172"/>
  <c r="CL248" i="172" s="1"/>
  <c r="CL249" i="172" s="1"/>
  <c r="EU164" i="135"/>
  <c r="CP33" i="12"/>
  <c r="CT33" i="12" s="1"/>
  <c r="CP34" i="12"/>
  <c r="CQ26" i="12" s="1"/>
  <c r="EK102" i="135"/>
  <c r="EK100" i="135"/>
  <c r="BZ187" i="175"/>
  <c r="DM18" i="12"/>
  <c r="DN16" i="12"/>
  <c r="DO7" i="12" s="1"/>
  <c r="BU217" i="171" l="1"/>
  <c r="BU213" i="171" s="1"/>
  <c r="BU216" i="171"/>
  <c r="BW220" i="171"/>
  <c r="BV222" i="171"/>
  <c r="BV159" i="171" s="1"/>
  <c r="BV215" i="171"/>
  <c r="BV221" i="171"/>
  <c r="BV223" i="171"/>
  <c r="BU225" i="171"/>
  <c r="BU233" i="171" s="1"/>
  <c r="BU227" i="171" s="1"/>
  <c r="BU182" i="171" s="1"/>
  <c r="BU224" i="171"/>
  <c r="BU234" i="171" s="1"/>
  <c r="BU228" i="171" s="1"/>
  <c r="BS157" i="189"/>
  <c r="BP184" i="171"/>
  <c r="FJ17" i="123"/>
  <c r="FI16" i="123"/>
  <c r="FH51" i="123"/>
  <c r="FI7" i="123"/>
  <c r="FI34" i="8"/>
  <c r="FH73" i="8"/>
  <c r="FH75" i="8" s="1"/>
  <c r="FH34" i="9"/>
  <c r="BT159" i="189"/>
  <c r="BT116" i="189"/>
  <c r="BV157" i="189"/>
  <c r="BU158" i="189"/>
  <c r="ET170" i="135"/>
  <c r="ET171" i="135"/>
  <c r="EY39" i="123"/>
  <c r="EY41" i="123"/>
  <c r="EY40" i="123"/>
  <c r="EM35" i="12"/>
  <c r="BP185" i="171"/>
  <c r="FB16" i="135"/>
  <c r="FA18" i="135"/>
  <c r="BS35" i="189"/>
  <c r="FD30" i="123"/>
  <c r="FE26" i="123" s="1"/>
  <c r="FC13" i="135"/>
  <c r="FD11" i="135"/>
  <c r="FC8" i="135"/>
  <c r="FD6" i="135"/>
  <c r="CM250" i="172"/>
  <c r="CM248" i="172" s="1"/>
  <c r="CM249" i="172" s="1"/>
  <c r="CO251" i="172"/>
  <c r="FG73" i="8"/>
  <c r="FG75" i="8" s="1"/>
  <c r="FF73" i="8"/>
  <c r="FF75" i="8" s="1"/>
  <c r="BQ182" i="171"/>
  <c r="BR234" i="171"/>
  <c r="BR228" i="171" s="1"/>
  <c r="BR233" i="171"/>
  <c r="BR227" i="171" s="1"/>
  <c r="BR213" i="171"/>
  <c r="BS225" i="171"/>
  <c r="BS224" i="171"/>
  <c r="BS216" i="171"/>
  <c r="BS217" i="171"/>
  <c r="EZ14" i="123"/>
  <c r="FA10" i="123" s="1"/>
  <c r="FA13" i="123" s="1"/>
  <c r="FB13" i="123" s="1"/>
  <c r="FB23" i="123" s="1"/>
  <c r="EN31" i="12"/>
  <c r="EN35" i="12" s="1"/>
  <c r="EO27" i="12" s="1"/>
  <c r="EN34" i="12"/>
  <c r="EO26" i="12" s="1"/>
  <c r="GH36" i="9"/>
  <c r="EZ58" i="123"/>
  <c r="EU169" i="135"/>
  <c r="EU173" i="135"/>
  <c r="EV164" i="135"/>
  <c r="EU167" i="135"/>
  <c r="EU166" i="135"/>
  <c r="CQ38" i="12"/>
  <c r="CQ34" i="12"/>
  <c r="CR26" i="12" s="1"/>
  <c r="ER27" i="12"/>
  <c r="ER26" i="12"/>
  <c r="BZ315" i="175"/>
  <c r="BZ316" i="175"/>
  <c r="DO20" i="12"/>
  <c r="DS7" i="12"/>
  <c r="DO16" i="12"/>
  <c r="CE300" i="172"/>
  <c r="BV225" i="171" l="1"/>
  <c r="BV233" i="171" s="1"/>
  <c r="BV227" i="171" s="1"/>
  <c r="BW223" i="171"/>
  <c r="BV224" i="171"/>
  <c r="BV234" i="171" s="1"/>
  <c r="BV228" i="171" s="1"/>
  <c r="BW221" i="171"/>
  <c r="BW215" i="171"/>
  <c r="BW222" i="171"/>
  <c r="BW159" i="171" s="1"/>
  <c r="BX220" i="171"/>
  <c r="BU184" i="171"/>
  <c r="BU185" i="171"/>
  <c r="BU183" i="171"/>
  <c r="BV216" i="171"/>
  <c r="BV217" i="171"/>
  <c r="BV213" i="171" s="1"/>
  <c r="FK17" i="123"/>
  <c r="FK16" i="123" s="1"/>
  <c r="FL16" i="123" s="1"/>
  <c r="FJ16" i="123"/>
  <c r="FJ7" i="123"/>
  <c r="FI51" i="123"/>
  <c r="FJ34" i="8"/>
  <c r="FI73" i="8"/>
  <c r="FI75" i="8" s="1"/>
  <c r="FI34" i="9"/>
  <c r="BU159" i="189"/>
  <c r="BU116" i="189"/>
  <c r="BT118" i="189"/>
  <c r="BT35" i="189"/>
  <c r="BT117" i="189"/>
  <c r="BW157" i="189"/>
  <c r="BW158" i="189" s="1"/>
  <c r="BV158" i="189"/>
  <c r="CH158" i="189"/>
  <c r="EY60" i="123"/>
  <c r="EY42" i="123"/>
  <c r="EZ38" i="123" s="1"/>
  <c r="FB18" i="135"/>
  <c r="FC16" i="135"/>
  <c r="BR182" i="171"/>
  <c r="CN250" i="172"/>
  <c r="CN251" i="172" s="1"/>
  <c r="FA11" i="123"/>
  <c r="FB11" i="123" s="1"/>
  <c r="FB21" i="123" s="1"/>
  <c r="FE29" i="123"/>
  <c r="FE27" i="123"/>
  <c r="FE28" i="123"/>
  <c r="FD8" i="135"/>
  <c r="FE6" i="135"/>
  <c r="FD131" i="135"/>
  <c r="FD13" i="135"/>
  <c r="FE11" i="135"/>
  <c r="CP251" i="172"/>
  <c r="CO250" i="172"/>
  <c r="BS233" i="171"/>
  <c r="BS227" i="171" s="1"/>
  <c r="BS213" i="171"/>
  <c r="BS234" i="171"/>
  <c r="BS228" i="171" s="1"/>
  <c r="BQ185" i="171"/>
  <c r="BQ184" i="171"/>
  <c r="FA12" i="123"/>
  <c r="FA14" i="123" s="1"/>
  <c r="FC10" i="123" s="1"/>
  <c r="EO31" i="12"/>
  <c r="EO34" i="12"/>
  <c r="EP26" i="12" s="1"/>
  <c r="EN39" i="12"/>
  <c r="EN13" i="12"/>
  <c r="EN22" i="12" s="1"/>
  <c r="EV169" i="135"/>
  <c r="EV173" i="135"/>
  <c r="EU175" i="135"/>
  <c r="EX164" i="135"/>
  <c r="EV167" i="135"/>
  <c r="EV166" i="135"/>
  <c r="EW166" i="135" s="1"/>
  <c r="EW164" i="135"/>
  <c r="EU171" i="135"/>
  <c r="CR34" i="12"/>
  <c r="CS26" i="12" s="1"/>
  <c r="CR38" i="12"/>
  <c r="DP7" i="12"/>
  <c r="DO18" i="12"/>
  <c r="CE301" i="172"/>
  <c r="CF300" i="172"/>
  <c r="BX221" i="171" l="1"/>
  <c r="BX215" i="171"/>
  <c r="BX222" i="171"/>
  <c r="BX159" i="171" s="1"/>
  <c r="BW224" i="171"/>
  <c r="BW234" i="171" s="1"/>
  <c r="BW228" i="171" s="1"/>
  <c r="BW225" i="171"/>
  <c r="BW233" i="171" s="1"/>
  <c r="BW227" i="171" s="1"/>
  <c r="BX223" i="171"/>
  <c r="BW216" i="171"/>
  <c r="BW217" i="171"/>
  <c r="BW213" i="171" s="1"/>
  <c r="BV182" i="171"/>
  <c r="BR185" i="171"/>
  <c r="FL17" i="123"/>
  <c r="FK7" i="123"/>
  <c r="FK51" i="123" s="1"/>
  <c r="FJ51" i="123"/>
  <c r="FK34" i="8"/>
  <c r="FJ34" i="9"/>
  <c r="FJ73" i="8"/>
  <c r="FJ75" i="8" s="1"/>
  <c r="BV159" i="189"/>
  <c r="BV116" i="189"/>
  <c r="BU35" i="189"/>
  <c r="CH35" i="189" s="1"/>
  <c r="BU117" i="189"/>
  <c r="BU118" i="189"/>
  <c r="BW159" i="189"/>
  <c r="BW116" i="189"/>
  <c r="CH116" i="189"/>
  <c r="CH117" i="189" s="1"/>
  <c r="BX158" i="189"/>
  <c r="CO214" i="172"/>
  <c r="EZ39" i="123"/>
  <c r="EZ41" i="123"/>
  <c r="EZ40" i="123"/>
  <c r="CN248" i="172"/>
  <c r="CN249" i="172" s="1"/>
  <c r="FE30" i="123"/>
  <c r="FF26" i="123" s="1"/>
  <c r="FF27" i="123" s="1"/>
  <c r="FG27" i="123" s="1"/>
  <c r="BR184" i="171"/>
  <c r="FC18" i="135"/>
  <c r="FD16" i="135"/>
  <c r="FC12" i="123"/>
  <c r="FC11" i="123"/>
  <c r="FC13" i="123"/>
  <c r="FE59" i="123"/>
  <c r="FE13" i="135"/>
  <c r="FF11" i="135"/>
  <c r="FF6" i="135"/>
  <c r="FE8" i="135"/>
  <c r="FE131" i="135"/>
  <c r="CO248" i="172"/>
  <c r="CO249" i="172" s="1"/>
  <c r="CQ251" i="172"/>
  <c r="CP250" i="172"/>
  <c r="CP248" i="172" s="1"/>
  <c r="CP249" i="172" s="1"/>
  <c r="BS182" i="171"/>
  <c r="EP31" i="12"/>
  <c r="EP34" i="12"/>
  <c r="EQ26" i="12" s="1"/>
  <c r="FA58" i="123"/>
  <c r="FB12" i="123"/>
  <c r="EO39" i="12"/>
  <c r="EO13" i="12"/>
  <c r="EO22" i="12" s="1"/>
  <c r="EO35" i="12"/>
  <c r="EP27" i="12" s="1"/>
  <c r="EX169" i="135"/>
  <c r="EV171" i="135"/>
  <c r="EW169" i="135"/>
  <c r="EW171" i="135" s="1"/>
  <c r="EX166" i="135"/>
  <c r="EX167" i="135"/>
  <c r="EY164" i="135"/>
  <c r="EX173" i="135"/>
  <c r="EV175" i="135"/>
  <c r="EW175" i="135" s="1"/>
  <c r="EW173" i="135"/>
  <c r="CS38" i="12"/>
  <c r="CT38" i="12" s="1"/>
  <c r="CS34" i="12"/>
  <c r="CU26" i="12" s="1"/>
  <c r="DP16" i="12"/>
  <c r="DP20" i="12"/>
  <c r="CG300" i="172"/>
  <c r="CF301" i="172"/>
  <c r="BX224" i="171" l="1"/>
  <c r="BX234" i="171" s="1"/>
  <c r="BX228" i="171" s="1"/>
  <c r="BX225" i="171"/>
  <c r="BX233" i="171" s="1"/>
  <c r="BX227" i="171" s="1"/>
  <c r="BX182" i="171" s="1"/>
  <c r="BX217" i="171"/>
  <c r="BX213" i="171" s="1"/>
  <c r="BX216" i="171"/>
  <c r="BV185" i="171"/>
  <c r="BV184" i="171"/>
  <c r="BV183" i="171"/>
  <c r="BW182" i="171"/>
  <c r="FL51" i="123"/>
  <c r="FL7" i="123"/>
  <c r="FL34" i="8"/>
  <c r="FL73" i="8" s="1"/>
  <c r="FL75" i="8" s="1"/>
  <c r="FK34" i="9"/>
  <c r="FL34" i="9" s="1"/>
  <c r="FK73" i="8"/>
  <c r="FK75" i="8" s="1"/>
  <c r="CQ216" i="172"/>
  <c r="BW117" i="189"/>
  <c r="BW35" i="189"/>
  <c r="BW118" i="189"/>
  <c r="BV35" i="189"/>
  <c r="BV118" i="189"/>
  <c r="BV117" i="189"/>
  <c r="BX116" i="189"/>
  <c r="BX117" i="189" s="1"/>
  <c r="BX157" i="189"/>
  <c r="BX159" i="189"/>
  <c r="CO216" i="172"/>
  <c r="EZ60" i="123"/>
  <c r="FC14" i="123"/>
  <c r="FD10" i="123" s="1"/>
  <c r="FD13" i="123" s="1"/>
  <c r="EZ42" i="123"/>
  <c r="FA38" i="123" s="1"/>
  <c r="FF29" i="123"/>
  <c r="FG29" i="123" s="1"/>
  <c r="FG35" i="123" s="1"/>
  <c r="FF28" i="123"/>
  <c r="FF59" i="123" s="1"/>
  <c r="FE16" i="135"/>
  <c r="FD18" i="135"/>
  <c r="EQ31" i="12"/>
  <c r="EQ34" i="12"/>
  <c r="ES26" i="12" s="1"/>
  <c r="FD11" i="123"/>
  <c r="FG33" i="123"/>
  <c r="FC58" i="123"/>
  <c r="FC18" i="123"/>
  <c r="FC36" i="9" s="1"/>
  <c r="FE133" i="135"/>
  <c r="FG11" i="135"/>
  <c r="FF13" i="135"/>
  <c r="FF8" i="135"/>
  <c r="FG6" i="135"/>
  <c r="CR251" i="172"/>
  <c r="CQ250" i="172"/>
  <c r="CQ248" i="172" s="1"/>
  <c r="CQ249" i="172" s="1"/>
  <c r="BS184" i="171"/>
  <c r="CP214" i="172"/>
  <c r="BS185" i="171"/>
  <c r="EP35" i="12"/>
  <c r="EQ27" i="12" s="1"/>
  <c r="EP39" i="12"/>
  <c r="EP13" i="12"/>
  <c r="EP22" i="12" s="1"/>
  <c r="FB18" i="123"/>
  <c r="FA18" i="123" s="1"/>
  <c r="FA36" i="9" s="1"/>
  <c r="FB14" i="123"/>
  <c r="FG10" i="123" s="1"/>
  <c r="FB58" i="123"/>
  <c r="FB22" i="123"/>
  <c r="EY169" i="135"/>
  <c r="EY166" i="135"/>
  <c r="EZ164" i="135"/>
  <c r="EY167" i="135"/>
  <c r="EY173" i="135"/>
  <c r="EX175" i="135"/>
  <c r="EX171" i="135"/>
  <c r="CU29" i="12"/>
  <c r="CU38" i="12"/>
  <c r="CY38" i="12" s="1"/>
  <c r="CY26" i="12"/>
  <c r="DQ7" i="12"/>
  <c r="DP18" i="12"/>
  <c r="CH300" i="172"/>
  <c r="CJ300" i="172" s="1"/>
  <c r="CG301" i="172"/>
  <c r="BX184" i="171" l="1"/>
  <c r="BX185" i="171"/>
  <c r="CU214" i="172"/>
  <c r="CW216" i="172" s="1"/>
  <c r="CU215" i="172"/>
  <c r="CT214" i="172"/>
  <c r="BW185" i="171"/>
  <c r="BW184" i="171"/>
  <c r="BW183" i="171"/>
  <c r="BX183" i="171"/>
  <c r="FG13" i="135"/>
  <c r="FH11" i="135"/>
  <c r="FG8" i="135"/>
  <c r="FH6" i="135"/>
  <c r="CR250" i="172"/>
  <c r="CR248" i="172" s="1"/>
  <c r="CR249" i="172" s="1"/>
  <c r="CT251" i="172"/>
  <c r="BX35" i="189"/>
  <c r="FA40" i="123"/>
  <c r="FA39" i="123"/>
  <c r="FB39" i="123" s="1"/>
  <c r="FA41" i="123"/>
  <c r="FB41" i="123" s="1"/>
  <c r="FB47" i="123" s="1"/>
  <c r="FA42" i="123"/>
  <c r="FC38" i="123" s="1"/>
  <c r="FG28" i="123"/>
  <c r="FG30" i="123" s="1"/>
  <c r="FL26" i="123" s="1"/>
  <c r="FD12" i="123"/>
  <c r="FD58" i="123" s="1"/>
  <c r="ES31" i="12"/>
  <c r="ES34" i="12"/>
  <c r="ET26" i="12" s="1"/>
  <c r="FF30" i="123"/>
  <c r="FH26" i="123" s="1"/>
  <c r="FF16" i="135"/>
  <c r="FE18" i="135"/>
  <c r="FB36" i="9"/>
  <c r="EQ35" i="12"/>
  <c r="EQ13" i="12"/>
  <c r="EQ39" i="12"/>
  <c r="ER39" i="12" s="1"/>
  <c r="FD14" i="123"/>
  <c r="FE10" i="123" s="1"/>
  <c r="FD18" i="123"/>
  <c r="FD36" i="9" s="1"/>
  <c r="GI36" i="9" s="1"/>
  <c r="FG59" i="123"/>
  <c r="FG34" i="123"/>
  <c r="CR216" i="172"/>
  <c r="CS214" i="172"/>
  <c r="CJ301" i="172"/>
  <c r="CK300" i="172"/>
  <c r="EZ169" i="135"/>
  <c r="EZ173" i="135"/>
  <c r="EY175" i="135"/>
  <c r="EZ167" i="135"/>
  <c r="EZ166" i="135"/>
  <c r="FA164" i="135"/>
  <c r="FC164" i="135" s="1"/>
  <c r="EY171" i="135"/>
  <c r="CY29" i="12"/>
  <c r="CU33" i="12"/>
  <c r="CY33" i="12" s="1"/>
  <c r="ER34" i="12"/>
  <c r="ER31" i="12"/>
  <c r="DQ20" i="12"/>
  <c r="DQ16" i="12"/>
  <c r="CH301" i="172"/>
  <c r="CV216" i="172" l="1"/>
  <c r="CX214" i="172"/>
  <c r="CT216" i="172"/>
  <c r="CT215" i="172"/>
  <c r="FH27" i="123"/>
  <c r="FH29" i="123"/>
  <c r="FH28" i="123"/>
  <c r="FH8" i="135"/>
  <c r="FI6" i="135"/>
  <c r="FH131" i="135"/>
  <c r="FH12" i="135"/>
  <c r="FH13" i="135"/>
  <c r="FI11" i="135"/>
  <c r="CS250" i="172"/>
  <c r="CS251" i="172" s="1"/>
  <c r="CU251" i="172"/>
  <c r="CT250" i="172"/>
  <c r="CU216" i="172"/>
  <c r="CX215" i="172"/>
  <c r="ET31" i="12"/>
  <c r="ET34" i="12"/>
  <c r="EU26" i="12" s="1"/>
  <c r="FC39" i="123"/>
  <c r="FC42" i="123" s="1"/>
  <c r="FD38" i="123" s="1"/>
  <c r="FC40" i="123"/>
  <c r="FC60" i="123" s="1"/>
  <c r="FC41" i="123"/>
  <c r="FB45" i="123"/>
  <c r="FA60" i="123"/>
  <c r="FB40" i="123"/>
  <c r="ER13" i="12"/>
  <c r="EQ22" i="12"/>
  <c r="ES39" i="12"/>
  <c r="ES13" i="12"/>
  <c r="ES22" i="12" s="1"/>
  <c r="ER35" i="12"/>
  <c r="ES27" i="12"/>
  <c r="ES35" i="12" s="1"/>
  <c r="ET27" i="12" s="1"/>
  <c r="FG16" i="135"/>
  <c r="FF18" i="135"/>
  <c r="EQ17" i="12"/>
  <c r="FE13" i="123"/>
  <c r="FE12" i="123"/>
  <c r="FE58" i="123" s="1"/>
  <c r="FE11" i="123"/>
  <c r="FD164" i="135"/>
  <c r="FC167" i="135"/>
  <c r="FC166" i="135"/>
  <c r="CL300" i="172"/>
  <c r="CK301" i="172"/>
  <c r="FA169" i="135"/>
  <c r="FC169" i="135" s="1"/>
  <c r="FB164" i="135"/>
  <c r="FA167" i="135"/>
  <c r="FA166" i="135"/>
  <c r="FB166" i="135" s="1"/>
  <c r="EZ175" i="135"/>
  <c r="FA173" i="135"/>
  <c r="FC173" i="135" s="1"/>
  <c r="EZ171" i="135"/>
  <c r="EW26" i="12"/>
  <c r="DQ18" i="12"/>
  <c r="DR7" i="12"/>
  <c r="EU31" i="12" l="1"/>
  <c r="EU34" i="12"/>
  <c r="FH59" i="123"/>
  <c r="FH30" i="123"/>
  <c r="FI26" i="123" s="1"/>
  <c r="FI13" i="135"/>
  <c r="FI12" i="135"/>
  <c r="FJ11" i="135"/>
  <c r="FI8" i="135"/>
  <c r="FJ6" i="135"/>
  <c r="FI131" i="135"/>
  <c r="FG18" i="135"/>
  <c r="FH16" i="135"/>
  <c r="CS248" i="172"/>
  <c r="CS249" i="172" s="1"/>
  <c r="CT248" i="172"/>
  <c r="CT249" i="172" s="1"/>
  <c r="CV251" i="172"/>
  <c r="CU250" i="172"/>
  <c r="CU248" i="172" s="1"/>
  <c r="CU249" i="172" s="1"/>
  <c r="ET35" i="12"/>
  <c r="EU27" i="12" s="1"/>
  <c r="EU35" i="12" s="1"/>
  <c r="ET39" i="12"/>
  <c r="ET13" i="12"/>
  <c r="FB46" i="123"/>
  <c r="FB60" i="123"/>
  <c r="FD39" i="123"/>
  <c r="FD41" i="123"/>
  <c r="FD40" i="123"/>
  <c r="FD60" i="123" s="1"/>
  <c r="FB42" i="123"/>
  <c r="FG38" i="123" s="1"/>
  <c r="EW27" i="12"/>
  <c r="FE14" i="123"/>
  <c r="FF10" i="123" s="1"/>
  <c r="FE18" i="123"/>
  <c r="FE36" i="9" s="1"/>
  <c r="FC175" i="135"/>
  <c r="FD173" i="135"/>
  <c r="FD167" i="135"/>
  <c r="FD166" i="135"/>
  <c r="FE164" i="135"/>
  <c r="FC171" i="135"/>
  <c r="FD169" i="135"/>
  <c r="CM300" i="172"/>
  <c r="CL301" i="172"/>
  <c r="FA171" i="135"/>
  <c r="FB169" i="135"/>
  <c r="FB171" i="135" s="1"/>
  <c r="FA175" i="135"/>
  <c r="FB175" i="135" s="1"/>
  <c r="FB173" i="135"/>
  <c r="DR20" i="12"/>
  <c r="DR16" i="12"/>
  <c r="EU39" i="12" l="1"/>
  <c r="EU13" i="12"/>
  <c r="EU22" i="12" s="1"/>
  <c r="FI29" i="123"/>
  <c r="FI27" i="123"/>
  <c r="FI28" i="123"/>
  <c r="FI133" i="135"/>
  <c r="FI132" i="135"/>
  <c r="FK11" i="135"/>
  <c r="FJ13" i="135"/>
  <c r="FJ12" i="135"/>
  <c r="FJ8" i="135"/>
  <c r="FK6" i="135"/>
  <c r="FJ131" i="135"/>
  <c r="FI16" i="135"/>
  <c r="FH17" i="135"/>
  <c r="FH18" i="135"/>
  <c r="CW251" i="172"/>
  <c r="CW250" i="172" s="1"/>
  <c r="CW248" i="172" s="1"/>
  <c r="CW249" i="172" s="1"/>
  <c r="CV250" i="172"/>
  <c r="CV248" i="172" s="1"/>
  <c r="CV249" i="172" s="1"/>
  <c r="ET22" i="12"/>
  <c r="EV22" i="12" s="1"/>
  <c r="FD42" i="123"/>
  <c r="FE38" i="123" s="1"/>
  <c r="FF13" i="123"/>
  <c r="FG13" i="123" s="1"/>
  <c r="FG23" i="123" s="1"/>
  <c r="FF12" i="123"/>
  <c r="FF58" i="123" s="1"/>
  <c r="FF11" i="123"/>
  <c r="FE173" i="135"/>
  <c r="FD175" i="135"/>
  <c r="FE166" i="135"/>
  <c r="FF164" i="135"/>
  <c r="FH164" i="135" s="1"/>
  <c r="FE167" i="135"/>
  <c r="FE169" i="135"/>
  <c r="FD171" i="135"/>
  <c r="CM301" i="172"/>
  <c r="CO300" i="172"/>
  <c r="EV26" i="12"/>
  <c r="DS16" i="12"/>
  <c r="DT7" i="12" s="1"/>
  <c r="DR18" i="12"/>
  <c r="FI59" i="123" l="1"/>
  <c r="FI30" i="123"/>
  <c r="FJ26" i="123" s="1"/>
  <c r="FL6" i="135"/>
  <c r="FL8" i="135" s="1"/>
  <c r="FK8" i="135"/>
  <c r="FK131" i="135"/>
  <c r="FL11" i="135"/>
  <c r="FL13" i="135" s="1"/>
  <c r="FK13" i="135"/>
  <c r="FK12" i="135"/>
  <c r="FL12" i="135" s="1"/>
  <c r="FJ133" i="135"/>
  <c r="FJ132" i="135"/>
  <c r="FH165" i="135"/>
  <c r="FH167" i="135"/>
  <c r="FH166" i="135"/>
  <c r="FI164" i="135"/>
  <c r="FI18" i="135"/>
  <c r="FJ16" i="135"/>
  <c r="FI17" i="135"/>
  <c r="CX250" i="172"/>
  <c r="FE39" i="123"/>
  <c r="FE42" i="123" s="1"/>
  <c r="FF38" i="123" s="1"/>
  <c r="FE40" i="123"/>
  <c r="FE41" i="123"/>
  <c r="EX22" i="12"/>
  <c r="EV13" i="12"/>
  <c r="FG12" i="123"/>
  <c r="FG58" i="123" s="1"/>
  <c r="FF14" i="123"/>
  <c r="FH10" i="123" s="1"/>
  <c r="FG11" i="123"/>
  <c r="FF167" i="135"/>
  <c r="FF166" i="135"/>
  <c r="FG166" i="135" s="1"/>
  <c r="FG164" i="135"/>
  <c r="FF173" i="135"/>
  <c r="FH173" i="135" s="1"/>
  <c r="FE175" i="135"/>
  <c r="CP300" i="172"/>
  <c r="CO301" i="172"/>
  <c r="FE171" i="135"/>
  <c r="FF169" i="135"/>
  <c r="FH169" i="135" s="1"/>
  <c r="GG8" i="9"/>
  <c r="H36" i="141" s="1"/>
  <c r="EV31" i="12"/>
  <c r="EV18" i="8" s="1"/>
  <c r="EV34" i="12"/>
  <c r="EX26" i="12" s="1"/>
  <c r="EV27" i="12"/>
  <c r="DT20" i="12"/>
  <c r="DX7" i="12"/>
  <c r="DT16" i="12"/>
  <c r="FJ29" i="123" l="1"/>
  <c r="FJ27" i="123"/>
  <c r="FJ28" i="123"/>
  <c r="FJ30" i="123" s="1"/>
  <c r="FK26" i="123" s="1"/>
  <c r="FH12" i="123"/>
  <c r="FH11" i="123"/>
  <c r="FH14" i="123"/>
  <c r="FI10" i="123" s="1"/>
  <c r="FH13" i="123"/>
  <c r="FH174" i="135"/>
  <c r="FI173" i="135"/>
  <c r="FH175" i="135"/>
  <c r="FK133" i="135"/>
  <c r="FL131" i="135"/>
  <c r="FI165" i="135"/>
  <c r="FI166" i="135"/>
  <c r="FJ164" i="135"/>
  <c r="FI167" i="135"/>
  <c r="FK16" i="135"/>
  <c r="FJ18" i="135"/>
  <c r="FJ17" i="135"/>
  <c r="EW13" i="12"/>
  <c r="CX251" i="172"/>
  <c r="CX248" i="172"/>
  <c r="CX249" i="172" s="1"/>
  <c r="FH170" i="135"/>
  <c r="FH171" i="135"/>
  <c r="FI169" i="135"/>
  <c r="FF40" i="123"/>
  <c r="FF60" i="123" s="1"/>
  <c r="FF39" i="123"/>
  <c r="FG39" i="123" s="1"/>
  <c r="FG45" i="123" s="1"/>
  <c r="FF41" i="123"/>
  <c r="FG41" i="123" s="1"/>
  <c r="FG47" i="123" s="1"/>
  <c r="FE60" i="123"/>
  <c r="FG40" i="123"/>
  <c r="EY22" i="12"/>
  <c r="EX13" i="12"/>
  <c r="FG21" i="123"/>
  <c r="FG14" i="123"/>
  <c r="FL10" i="123" s="1"/>
  <c r="FG22" i="123"/>
  <c r="FG18" i="123"/>
  <c r="FF18" i="123" s="1"/>
  <c r="FF36" i="9" s="1"/>
  <c r="FG36" i="9" s="1"/>
  <c r="FF175" i="135"/>
  <c r="FG175" i="135" s="1"/>
  <c r="FG173" i="135"/>
  <c r="FF171" i="135"/>
  <c r="FG169" i="135"/>
  <c r="FG171" i="135" s="1"/>
  <c r="CP301" i="172"/>
  <c r="CQ300" i="172"/>
  <c r="FB26" i="12"/>
  <c r="EX31" i="12"/>
  <c r="EX18" i="8" s="1"/>
  <c r="EX34" i="12"/>
  <c r="EY26" i="12" s="1"/>
  <c r="EW18" i="8"/>
  <c r="H59" i="141"/>
  <c r="EW34" i="12"/>
  <c r="EV35" i="12"/>
  <c r="EX27" i="12" s="1"/>
  <c r="EV39" i="12"/>
  <c r="EW39" i="12" s="1"/>
  <c r="EV8" i="9"/>
  <c r="EW8" i="9" s="1"/>
  <c r="EW31" i="12"/>
  <c r="DU7" i="12"/>
  <c r="DT18" i="12"/>
  <c r="FK29" i="123" l="1"/>
  <c r="FL29" i="123" s="1"/>
  <c r="FL35" i="123" s="1"/>
  <c r="FK27" i="123"/>
  <c r="FL27" i="123" s="1"/>
  <c r="FK28" i="123"/>
  <c r="FK59" i="123" s="1"/>
  <c r="FK30" i="123"/>
  <c r="FF42" i="123"/>
  <c r="FH38" i="123" s="1"/>
  <c r="FI12" i="123"/>
  <c r="FI13" i="123"/>
  <c r="FI14" i="123" s="1"/>
  <c r="FJ10" i="123" s="1"/>
  <c r="FI11" i="123"/>
  <c r="FJ59" i="123"/>
  <c r="FL28" i="123"/>
  <c r="FH58" i="123"/>
  <c r="FH18" i="123"/>
  <c r="FH36" i="9" s="1"/>
  <c r="FJ166" i="135"/>
  <c r="FJ165" i="135"/>
  <c r="FJ167" i="135"/>
  <c r="FK164" i="135"/>
  <c r="FK17" i="135"/>
  <c r="FL17" i="135" s="1"/>
  <c r="FL16" i="135"/>
  <c r="FL18" i="135" s="1"/>
  <c r="FK18" i="135"/>
  <c r="FJ173" i="135"/>
  <c r="FI174" i="135"/>
  <c r="FI175" i="135"/>
  <c r="FI171" i="135"/>
  <c r="FJ169" i="135"/>
  <c r="FI170" i="135"/>
  <c r="FG42" i="123"/>
  <c r="FL38" i="123" s="1"/>
  <c r="FG60" i="123"/>
  <c r="FG46" i="123"/>
  <c r="EY13" i="12"/>
  <c r="EZ22" i="12"/>
  <c r="CQ301" i="172"/>
  <c r="CR300" i="172"/>
  <c r="FB27" i="12"/>
  <c r="EX35" i="12"/>
  <c r="EY27" i="12" s="1"/>
  <c r="EY31" i="12"/>
  <c r="EY18" i="8" s="1"/>
  <c r="EY34" i="12"/>
  <c r="EZ26" i="12" s="1"/>
  <c r="EX39" i="12"/>
  <c r="EX8" i="9"/>
  <c r="EW35" i="12"/>
  <c r="DU20" i="12"/>
  <c r="DU16" i="12"/>
  <c r="FJ13" i="123" l="1"/>
  <c r="FJ11" i="123"/>
  <c r="FJ12" i="123"/>
  <c r="FL34" i="123"/>
  <c r="FL59" i="123"/>
  <c r="FI58" i="123"/>
  <c r="FI18" i="123"/>
  <c r="FI36" i="9" s="1"/>
  <c r="FL33" i="123"/>
  <c r="FL30" i="123"/>
  <c r="FH39" i="123"/>
  <c r="FH42" i="123" s="1"/>
  <c r="FI38" i="123" s="1"/>
  <c r="FH40" i="123"/>
  <c r="FH41" i="123"/>
  <c r="FK173" i="135"/>
  <c r="FJ174" i="135"/>
  <c r="FJ175" i="135"/>
  <c r="FK166" i="135"/>
  <c r="FL166" i="135" s="1"/>
  <c r="FL164" i="135"/>
  <c r="FK167" i="135"/>
  <c r="FK165" i="135"/>
  <c r="FL165" i="135" s="1"/>
  <c r="CR301" i="172"/>
  <c r="CT300" i="172"/>
  <c r="FK169" i="135"/>
  <c r="FJ171" i="135"/>
  <c r="FJ170" i="135"/>
  <c r="FA22" i="12"/>
  <c r="EZ13" i="12"/>
  <c r="EZ34" i="12"/>
  <c r="FA26" i="12" s="1"/>
  <c r="EZ31" i="12"/>
  <c r="EY39" i="12"/>
  <c r="EY8" i="9"/>
  <c r="GH8" i="9" s="1"/>
  <c r="I36" i="141" s="1"/>
  <c r="EY35" i="12"/>
  <c r="EZ27" i="12" s="1"/>
  <c r="DV7" i="12"/>
  <c r="DU18" i="12"/>
  <c r="FI39" i="123" l="1"/>
  <c r="FI42" i="123" s="1"/>
  <c r="FJ38" i="123" s="1"/>
  <c r="FI40" i="123"/>
  <c r="FI60" i="123" s="1"/>
  <c r="FI41" i="123"/>
  <c r="FH60" i="123"/>
  <c r="FJ14" i="123"/>
  <c r="FK10" i="123" s="1"/>
  <c r="FJ58" i="123"/>
  <c r="FJ18" i="123"/>
  <c r="FJ36" i="9" s="1"/>
  <c r="FL173" i="135"/>
  <c r="FK175" i="135"/>
  <c r="FL175" i="135" s="1"/>
  <c r="FK174" i="135"/>
  <c r="FL174" i="135" s="1"/>
  <c r="CU300" i="172"/>
  <c r="CT301" i="172"/>
  <c r="FK170" i="135"/>
  <c r="FL170" i="135" s="1"/>
  <c r="FL169" i="135"/>
  <c r="FL171" i="135" s="1"/>
  <c r="FK171" i="135"/>
  <c r="FC22" i="12"/>
  <c r="FA13" i="12"/>
  <c r="FB13" i="12" s="1"/>
  <c r="EZ35" i="12"/>
  <c r="FA27" i="12" s="1"/>
  <c r="I50" i="141"/>
  <c r="I59" i="141"/>
  <c r="FA31" i="12"/>
  <c r="FA34" i="12"/>
  <c r="EZ39" i="12"/>
  <c r="EZ8" i="9"/>
  <c r="EZ18" i="8"/>
  <c r="DV20" i="12"/>
  <c r="DV16" i="12"/>
  <c r="FJ39" i="123" l="1"/>
  <c r="FJ42" i="123" s="1"/>
  <c r="FK38" i="123" s="1"/>
  <c r="FJ40" i="123"/>
  <c r="FJ41" i="123"/>
  <c r="FK12" i="123"/>
  <c r="FK13" i="123"/>
  <c r="FL13" i="123" s="1"/>
  <c r="FL23" i="123" s="1"/>
  <c r="FK11" i="123"/>
  <c r="FL11" i="123" s="1"/>
  <c r="CV300" i="172"/>
  <c r="CU301" i="172"/>
  <c r="FC13" i="12"/>
  <c r="FD22" i="12"/>
  <c r="FB34" i="12"/>
  <c r="FC26" i="12"/>
  <c r="FA18" i="8"/>
  <c r="FA39" i="12"/>
  <c r="FB39" i="12" s="1"/>
  <c r="FA8" i="9"/>
  <c r="FB8" i="9" s="1"/>
  <c r="FB31" i="12"/>
  <c r="FA35" i="12"/>
  <c r="DW7" i="12"/>
  <c r="DV18" i="12"/>
  <c r="FK39" i="123" l="1"/>
  <c r="FL39" i="123" s="1"/>
  <c r="FK40" i="123"/>
  <c r="FK60" i="123" s="1"/>
  <c r="FK41" i="123"/>
  <c r="FL41" i="123" s="1"/>
  <c r="FL47" i="123" s="1"/>
  <c r="FK14" i="123"/>
  <c r="FL21" i="123"/>
  <c r="FJ60" i="123"/>
  <c r="FK58" i="123"/>
  <c r="FL12" i="123"/>
  <c r="CV301" i="172"/>
  <c r="CW300" i="172"/>
  <c r="CW301" i="172" s="1"/>
  <c r="FE22" i="12"/>
  <c r="FD13" i="12"/>
  <c r="FG26" i="12"/>
  <c r="FC34" i="12"/>
  <c r="FD26" i="12" s="1"/>
  <c r="FC31" i="12"/>
  <c r="FC8" i="9" s="1"/>
  <c r="FB35" i="12"/>
  <c r="FC27" i="12"/>
  <c r="FB18" i="8"/>
  <c r="DW16" i="12"/>
  <c r="DW20" i="12"/>
  <c r="FL58" i="123" l="1"/>
  <c r="FL22" i="123"/>
  <c r="FL18" i="123"/>
  <c r="FK18" i="123" s="1"/>
  <c r="FK36" i="9" s="1"/>
  <c r="FL36" i="9" s="1"/>
  <c r="FL45" i="123"/>
  <c r="FL14" i="123"/>
  <c r="FL40" i="123"/>
  <c r="FK42" i="123"/>
  <c r="FE13" i="12"/>
  <c r="FF22" i="12"/>
  <c r="FC18" i="8"/>
  <c r="FC39" i="12"/>
  <c r="FD34" i="12"/>
  <c r="FE26" i="12" s="1"/>
  <c r="FD31" i="12"/>
  <c r="FD8" i="9" s="1"/>
  <c r="GI8" i="9" s="1"/>
  <c r="J36" i="141" s="1"/>
  <c r="FG27" i="12"/>
  <c r="FC35" i="12"/>
  <c r="FD27" i="12" s="1"/>
  <c r="DW18" i="12"/>
  <c r="DX16" i="12"/>
  <c r="DY7" i="12" s="1"/>
  <c r="FL60" i="123" l="1"/>
  <c r="FL46" i="123"/>
  <c r="FL42" i="123"/>
  <c r="FF13" i="12"/>
  <c r="FG13" i="12" s="1"/>
  <c r="FH22" i="12"/>
  <c r="J50" i="141"/>
  <c r="J59" i="141"/>
  <c r="K36" i="141"/>
  <c r="FD35" i="12"/>
  <c r="FE27" i="12" s="1"/>
  <c r="FD18" i="8"/>
  <c r="FD39" i="12"/>
  <c r="FE31" i="12"/>
  <c r="FE34" i="12"/>
  <c r="FF26" i="12" s="1"/>
  <c r="EC7" i="12"/>
  <c r="DY16" i="12"/>
  <c r="DY20" i="12"/>
  <c r="FI22" i="12" l="1"/>
  <c r="FH13" i="12"/>
  <c r="L36" i="141"/>
  <c r="K59" i="141"/>
  <c r="FE18" i="8"/>
  <c r="FE35" i="12"/>
  <c r="FF27" i="12" s="1"/>
  <c r="FE8" i="9"/>
  <c r="FE39" i="12"/>
  <c r="FF31" i="12"/>
  <c r="FF8" i="9" s="1"/>
  <c r="FF34" i="12"/>
  <c r="DZ7" i="12"/>
  <c r="DY18" i="12"/>
  <c r="FG34" i="12" l="1"/>
  <c r="FH26" i="12"/>
  <c r="FJ22" i="12"/>
  <c r="FI13" i="12"/>
  <c r="L59" i="141"/>
  <c r="M36" i="141"/>
  <c r="FG8" i="9"/>
  <c r="FF18" i="8"/>
  <c r="FF39" i="12"/>
  <c r="FG39" i="12" s="1"/>
  <c r="FG31" i="12"/>
  <c r="FF35" i="12"/>
  <c r="DZ16" i="12"/>
  <c r="DZ20" i="12"/>
  <c r="FK22" i="12" l="1"/>
  <c r="FK13" i="12" s="1"/>
  <c r="FJ13" i="12"/>
  <c r="FL26" i="12"/>
  <c r="FH31" i="12"/>
  <c r="FH18" i="8" s="1"/>
  <c r="FH34" i="12"/>
  <c r="FI26" i="12" s="1"/>
  <c r="FG18" i="8"/>
  <c r="FG35" i="12"/>
  <c r="FH27" i="12"/>
  <c r="N36" i="141"/>
  <c r="M59" i="141"/>
  <c r="EA7" i="12"/>
  <c r="DZ18" i="12"/>
  <c r="FI31" i="12" l="1"/>
  <c r="FI34" i="12"/>
  <c r="FJ26" i="12" s="1"/>
  <c r="FH39" i="12"/>
  <c r="FH8" i="9"/>
  <c r="FL13" i="12"/>
  <c r="FL27" i="12"/>
  <c r="FH35" i="12"/>
  <c r="FI27" i="12" s="1"/>
  <c r="N59" i="141"/>
  <c r="O36" i="141"/>
  <c r="EA20" i="12"/>
  <c r="EA16" i="12"/>
  <c r="FI35" i="12" l="1"/>
  <c r="FJ27" i="12" s="1"/>
  <c r="FI39" i="12"/>
  <c r="FI8" i="9"/>
  <c r="FJ31" i="12"/>
  <c r="FJ34" i="12"/>
  <c r="FK26" i="12" s="1"/>
  <c r="FI18" i="8"/>
  <c r="O59" i="141"/>
  <c r="P36" i="141"/>
  <c r="EA18" i="12"/>
  <c r="EB7" i="12"/>
  <c r="FK31" i="12" l="1"/>
  <c r="FL31" i="12" s="1"/>
  <c r="FK34" i="12"/>
  <c r="FL34" i="12" s="1"/>
  <c r="FJ39" i="12"/>
  <c r="FJ8" i="9"/>
  <c r="FJ18" i="8"/>
  <c r="FK18" i="8" s="1"/>
  <c r="FL18" i="8" s="1"/>
  <c r="FJ35" i="12"/>
  <c r="FK27" i="12" s="1"/>
  <c r="P59" i="141"/>
  <c r="Q36" i="141"/>
  <c r="EB20" i="12"/>
  <c r="EB16" i="12"/>
  <c r="FK35" i="12" l="1"/>
  <c r="FL35" i="12" s="1"/>
  <c r="FK39" i="12"/>
  <c r="FL39" i="12" s="1"/>
  <c r="FK8" i="9"/>
  <c r="Q59" i="141"/>
  <c r="R36" i="141"/>
  <c r="R59" i="141" s="1"/>
  <c r="EC16" i="12"/>
  <c r="ED7" i="12" s="1"/>
  <c r="EB18" i="12"/>
  <c r="FL8" i="9" l="1"/>
  <c r="ED20" i="12"/>
  <c r="ED16" i="12"/>
  <c r="EH7" i="12"/>
  <c r="EE7" i="12" l="1"/>
  <c r="ED18" i="12"/>
  <c r="EE20" i="12" l="1"/>
  <c r="EE16" i="12"/>
  <c r="EF7" i="12" l="1"/>
  <c r="EE18" i="12"/>
  <c r="EF16" i="12" l="1"/>
  <c r="EF20" i="12"/>
  <c r="EG7" i="12" l="1"/>
  <c r="EF18" i="12"/>
  <c r="EG20" i="12" l="1"/>
  <c r="EG16" i="12"/>
  <c r="EH16" i="12" l="1"/>
  <c r="EI7" i="12" s="1"/>
  <c r="EM7" i="12" s="1"/>
  <c r="EG18" i="12"/>
  <c r="EI20" i="12" l="1"/>
  <c r="EI16" i="12"/>
  <c r="EJ7" i="12" s="1"/>
  <c r="EJ20" i="12" l="1"/>
  <c r="EJ16" i="12"/>
  <c r="EJ18" i="12" s="1"/>
  <c r="EI18" i="12"/>
  <c r="EK7" i="12" l="1"/>
  <c r="EK20" i="12" l="1"/>
  <c r="EK16" i="12"/>
  <c r="EL7" i="12" s="1"/>
  <c r="EL20" i="12" l="1"/>
  <c r="EL16" i="12"/>
  <c r="EM16" i="12" s="1"/>
  <c r="EN7" i="12" s="1"/>
  <c r="EK18" i="12"/>
  <c r="EN16" i="12" l="1"/>
  <c r="EO7" i="12" s="1"/>
  <c r="EN18" i="12" l="1"/>
  <c r="ER7" i="12"/>
  <c r="GE20" i="9" l="1"/>
  <c r="GE24" i="9" s="1"/>
  <c r="F38" i="141" s="1"/>
  <c r="F52" i="141" s="1"/>
  <c r="GE7" i="9" l="1"/>
  <c r="GE16" i="9" s="1"/>
  <c r="GE45" i="9" l="1"/>
  <c r="GE25" i="9"/>
  <c r="GE54" i="9" l="1"/>
  <c r="EJ7" i="8" l="1"/>
  <c r="AV29" i="175" l="1"/>
  <c r="BX28" i="175"/>
  <c r="AV27" i="175"/>
  <c r="BX29" i="175" l="1"/>
  <c r="AW431" i="175" l="1"/>
  <c r="EJ44" i="135" l="1"/>
  <c r="EJ48" i="135"/>
  <c r="EJ36" i="135"/>
  <c r="EO37" i="135" l="1"/>
  <c r="EK57" i="135" l="1"/>
  <c r="EM56" i="135" l="1"/>
  <c r="EM57" i="135" s="1"/>
  <c r="EL57" i="135"/>
  <c r="ER56" i="135" l="1"/>
  <c r="ER57" i="135" s="1"/>
  <c r="GF23" i="9"/>
  <c r="GG23" i="9" l="1"/>
  <c r="EV23" i="9" l="1"/>
  <c r="EW56" i="135"/>
  <c r="GH23" i="9" l="1"/>
  <c r="EW57" i="135"/>
  <c r="FB57" i="135"/>
  <c r="EW23" i="9"/>
  <c r="AS181" i="175" l="1"/>
  <c r="AT181" i="175" s="1"/>
  <c r="AS360" i="175"/>
  <c r="AX178" i="175"/>
  <c r="AY178" i="175" l="1"/>
  <c r="AY179" i="175" s="1"/>
  <c r="BC179" i="175"/>
  <c r="AT360" i="175"/>
  <c r="AS362" i="175"/>
  <c r="AS361" i="175"/>
  <c r="AU362" i="175"/>
  <c r="AX181" i="175"/>
  <c r="BC182" i="175" s="1"/>
  <c r="AX302" i="175"/>
  <c r="AS193" i="175"/>
  <c r="AS182" i="175"/>
  <c r="AS194" i="175" l="1"/>
  <c r="AS119" i="175"/>
  <c r="AS128" i="175" s="1"/>
  <c r="AT193" i="175"/>
  <c r="AT194" i="175" s="1"/>
  <c r="AX301" i="175"/>
  <c r="AT182" i="175"/>
  <c r="AX182" i="175"/>
  <c r="AX193" i="175"/>
  <c r="AX194" i="175" l="1"/>
  <c r="AX119" i="175"/>
  <c r="AZ121" i="175" s="1"/>
  <c r="BC194" i="175" l="1"/>
  <c r="BC119" i="175"/>
  <c r="BC36" i="175" s="1"/>
  <c r="BX178" i="175" l="1"/>
  <c r="AV181" i="175"/>
  <c r="AY181" i="175" s="1"/>
  <c r="AV360" i="175"/>
  <c r="AV302" i="175"/>
  <c r="AY182" i="175" l="1"/>
  <c r="BA181" i="175"/>
  <c r="AV182" i="175"/>
  <c r="AV193" i="175"/>
  <c r="AY302" i="175"/>
  <c r="BX302" i="175"/>
  <c r="AV301" i="175"/>
  <c r="BX360" i="175"/>
  <c r="AV361" i="175"/>
  <c r="AV362" i="175"/>
  <c r="AW362" i="175"/>
  <c r="AV304" i="175" l="1"/>
  <c r="AY301" i="175"/>
  <c r="BX301" i="175"/>
  <c r="AV119" i="175"/>
  <c r="AV194" i="175"/>
  <c r="AY193" i="175"/>
  <c r="AY194" i="175" s="1"/>
  <c r="BX193" i="175"/>
  <c r="BA182" i="175"/>
  <c r="BA119" i="175" l="1"/>
  <c r="BA194" i="175"/>
  <c r="BD193" i="175"/>
  <c r="BD194" i="175" s="1"/>
  <c r="BY193" i="175"/>
  <c r="BX304" i="175"/>
  <c r="DL101" i="172" l="1"/>
  <c r="DL162" i="172" l="1"/>
  <c r="DL163" i="172" s="1"/>
  <c r="DL102" i="172"/>
  <c r="DL161" i="172" l="1"/>
  <c r="EK119" i="135" l="1"/>
  <c r="EK117" i="135"/>
  <c r="EK113" i="135" s="1"/>
  <c r="EP114" i="135" s="1"/>
  <c r="EK120" i="135" l="1"/>
  <c r="EK118" i="135"/>
  <c r="EK7" i="8" l="1"/>
  <c r="AW134" i="175" l="1"/>
  <c r="AW135" i="175" l="1"/>
  <c r="AW136" i="175"/>
  <c r="BB137" i="175" s="1"/>
  <c r="AW130" i="175" l="1"/>
  <c r="AW131" i="175"/>
  <c r="BB132" i="175" s="1"/>
  <c r="EK44" i="135" l="1"/>
  <c r="EK48" i="135"/>
  <c r="EK36" i="135"/>
  <c r="EP37" i="135" s="1"/>
  <c r="EK115" i="135" l="1"/>
  <c r="EK114" i="135"/>
  <c r="EK54" i="135"/>
  <c r="AW29" i="175" l="1"/>
  <c r="AW27" i="175"/>
  <c r="AW41" i="175" l="1"/>
  <c r="BK145" i="172" l="1"/>
  <c r="BF145" i="172"/>
  <c r="BK143" i="172"/>
  <c r="BF118" i="172"/>
  <c r="BF105" i="172"/>
  <c r="BF134" i="172"/>
  <c r="BF201" i="172"/>
  <c r="BF100" i="172"/>
  <c r="BF129" i="172"/>
  <c r="BI129" i="172"/>
  <c r="BI134" i="172"/>
  <c r="BI201" i="172"/>
  <c r="BI105" i="172"/>
  <c r="BN145" i="172"/>
  <c r="BN143" i="172"/>
  <c r="BI145" i="172"/>
  <c r="BI100" i="172"/>
  <c r="BK147" i="172"/>
  <c r="BI118" i="172"/>
  <c r="DU47" i="8"/>
  <c r="DU48" i="8"/>
  <c r="M256" i="172"/>
  <c r="M297" i="172"/>
  <c r="M363" i="172" s="1"/>
  <c r="R255" i="172"/>
  <c r="M270" i="172"/>
  <c r="M255" i="172"/>
  <c r="AM423" i="175"/>
  <c r="AM426" i="175"/>
  <c r="AM424" i="175"/>
  <c r="BW422" i="175"/>
  <c r="BC118" i="172"/>
  <c r="BC134" i="172"/>
  <c r="DI142" i="172"/>
  <c r="BC129" i="172"/>
  <c r="BC100" i="172"/>
  <c r="BC105" i="172"/>
  <c r="BD105" i="172"/>
  <c r="BD134" i="172"/>
  <c r="BD201" i="172"/>
  <c r="BD100" i="172"/>
  <c r="BD32" i="172"/>
  <c r="BD129" i="172"/>
  <c r="BD118" i="172"/>
  <c r="BB129" i="172"/>
  <c r="BB134" i="172"/>
  <c r="BB201" i="172"/>
  <c r="BB105" i="172"/>
  <c r="BB100" i="172"/>
  <c r="BB32" i="172"/>
  <c r="BB118" i="172"/>
  <c r="BH100" i="172"/>
  <c r="BH118" i="172"/>
  <c r="BH145" i="172"/>
  <c r="BH129" i="172"/>
  <c r="BM145" i="172"/>
  <c r="BH134" i="172"/>
  <c r="BM143" i="172"/>
  <c r="BH105" i="172"/>
  <c r="G341" i="172"/>
  <c r="G353" i="172"/>
  <c r="G347" i="172"/>
  <c r="G316" i="172"/>
  <c r="G335" i="172"/>
  <c r="G323" i="172"/>
  <c r="Q347" i="172"/>
  <c r="Q353" i="172"/>
  <c r="Q316" i="172"/>
  <c r="Q341" i="172"/>
  <c r="Q335" i="172"/>
  <c r="Q323" i="172"/>
  <c r="AA335" i="172"/>
  <c r="AA347" i="172"/>
  <c r="AA363" i="172"/>
  <c r="AA316" i="172"/>
  <c r="AA323" i="172"/>
  <c r="AA341" i="172"/>
  <c r="AA353" i="172"/>
  <c r="V341" i="172"/>
  <c r="V353" i="172"/>
  <c r="V335" i="172"/>
  <c r="V347" i="172"/>
  <c r="V363" i="172"/>
  <c r="V316" i="172"/>
  <c r="V323" i="172"/>
  <c r="BL143" i="172"/>
  <c r="BG134" i="172"/>
  <c r="BG118" i="172"/>
  <c r="BG105" i="172"/>
  <c r="BG145" i="172"/>
  <c r="BG100" i="172"/>
  <c r="BG129" i="172"/>
  <c r="BG201" i="172"/>
  <c r="BL145" i="172"/>
  <c r="I297" i="172"/>
  <c r="I256" i="172"/>
  <c r="I255" i="172"/>
  <c r="I270" i="172"/>
  <c r="J297" i="172"/>
  <c r="BX8" i="7" s="1"/>
  <c r="J270" i="172"/>
  <c r="J256" i="172"/>
  <c r="J255" i="172"/>
  <c r="T255" i="172"/>
  <c r="O255" i="172"/>
  <c r="O256" i="172"/>
  <c r="O270" i="172"/>
  <c r="O297" i="172"/>
  <c r="CC8" i="7" s="1"/>
  <c r="S255" i="172"/>
  <c r="N297" i="172"/>
  <c r="N363" i="172" s="1"/>
  <c r="N270" i="172"/>
  <c r="N255" i="172"/>
  <c r="N256" i="172"/>
  <c r="H255" i="172"/>
  <c r="H297" i="172"/>
  <c r="H363" i="172" s="1"/>
  <c r="H270" i="172"/>
  <c r="L253" i="172"/>
  <c r="L297" i="172" s="1"/>
  <c r="H256" i="172"/>
  <c r="P256" i="172"/>
  <c r="P297" i="172"/>
  <c r="P255" i="172"/>
  <c r="P270" i="172"/>
  <c r="U255" i="172"/>
  <c r="R256" i="172"/>
  <c r="P258" i="172"/>
  <c r="P259" i="172"/>
  <c r="U258" i="172"/>
  <c r="R259" i="172"/>
  <c r="BA100" i="172"/>
  <c r="BA134" i="172"/>
  <c r="BA118" i="172"/>
  <c r="BA32" i="172"/>
  <c r="BA105" i="172"/>
  <c r="BA201" i="172"/>
  <c r="BA129" i="172"/>
  <c r="J353" i="172"/>
  <c r="J347" i="172"/>
  <c r="J341" i="172"/>
  <c r="J316" i="172"/>
  <c r="J335" i="172"/>
  <c r="J323" i="172"/>
  <c r="J363" i="172"/>
  <c r="U347" i="172"/>
  <c r="U323" i="172"/>
  <c r="U353" i="172"/>
  <c r="U341" i="172"/>
  <c r="U363" i="172"/>
  <c r="U335" i="172"/>
  <c r="U316" i="172"/>
  <c r="P335" i="172"/>
  <c r="P341" i="172"/>
  <c r="P323" i="172"/>
  <c r="P347" i="172"/>
  <c r="P353" i="172"/>
  <c r="P363" i="172"/>
  <c r="P316" i="172"/>
  <c r="K353" i="172"/>
  <c r="K335" i="172"/>
  <c r="K347" i="172"/>
  <c r="K341" i="172"/>
  <c r="K316" i="172"/>
  <c r="K323" i="172"/>
  <c r="K255" i="172"/>
  <c r="K297" i="172"/>
  <c r="K256" i="172"/>
  <c r="S335" i="172"/>
  <c r="S363" i="172"/>
  <c r="S323" i="172"/>
  <c r="S347" i="172"/>
  <c r="S341" i="172"/>
  <c r="S316" i="172"/>
  <c r="S353" i="172"/>
  <c r="Z363" i="172"/>
  <c r="Z353" i="172"/>
  <c r="Z316" i="172"/>
  <c r="Z347" i="172"/>
  <c r="Z323" i="172"/>
  <c r="Z341" i="172"/>
  <c r="Z335" i="172"/>
  <c r="BP63" i="172"/>
  <c r="BP59" i="172"/>
  <c r="F347" i="172"/>
  <c r="F316" i="172"/>
  <c r="F341" i="172"/>
  <c r="F335" i="172"/>
  <c r="F353" i="172"/>
  <c r="F323" i="172"/>
  <c r="N347" i="172"/>
  <c r="N316" i="172"/>
  <c r="N353" i="172"/>
  <c r="N341" i="172"/>
  <c r="N335" i="172"/>
  <c r="N323" i="172"/>
  <c r="B335" i="172"/>
  <c r="B316" i="172"/>
  <c r="B353" i="172"/>
  <c r="B347" i="172"/>
  <c r="B323" i="172"/>
  <c r="B341" i="172"/>
  <c r="D323" i="172"/>
  <c r="D335" i="172"/>
  <c r="D341" i="172"/>
  <c r="D353" i="172"/>
  <c r="D347" i="172"/>
  <c r="D316" i="172"/>
  <c r="O353" i="172"/>
  <c r="O323" i="172"/>
  <c r="O347" i="172"/>
  <c r="O363" i="172"/>
  <c r="O316" i="172"/>
  <c r="O341" i="172"/>
  <c r="O335" i="172"/>
  <c r="H335" i="172"/>
  <c r="H353" i="172"/>
  <c r="H347" i="172"/>
  <c r="H316" i="172"/>
  <c r="H323" i="172"/>
  <c r="H341" i="172"/>
  <c r="M347" i="172"/>
  <c r="M316" i="172"/>
  <c r="M341" i="172"/>
  <c r="M323" i="172"/>
  <c r="M335" i="172"/>
  <c r="M353" i="172"/>
  <c r="L347" i="172"/>
  <c r="L323" i="172"/>
  <c r="L335" i="172"/>
  <c r="L341" i="172"/>
  <c r="L353" i="172"/>
  <c r="L316" i="172"/>
  <c r="X323" i="172"/>
  <c r="X347" i="172"/>
  <c r="X363" i="172"/>
  <c r="X316" i="172"/>
  <c r="X353" i="172"/>
  <c r="X335" i="172"/>
  <c r="X341" i="172"/>
  <c r="I323" i="172"/>
  <c r="I335" i="172"/>
  <c r="I363" i="172"/>
  <c r="I341" i="172"/>
  <c r="I316" i="172"/>
  <c r="I347" i="172"/>
  <c r="I353" i="172"/>
  <c r="W363" i="172"/>
  <c r="W341" i="172"/>
  <c r="W316" i="172"/>
  <c r="W347" i="172"/>
  <c r="W335" i="172"/>
  <c r="W323" i="172"/>
  <c r="W353" i="172"/>
  <c r="R323" i="172"/>
  <c r="R341" i="172"/>
  <c r="R363" i="172"/>
  <c r="R353" i="172"/>
  <c r="R335" i="172"/>
  <c r="R316" i="172"/>
  <c r="R347" i="172"/>
  <c r="C353" i="172"/>
  <c r="C341" i="172"/>
  <c r="C316" i="172"/>
  <c r="C323" i="172"/>
  <c r="C335" i="172"/>
  <c r="C347" i="172"/>
  <c r="Y323" i="172"/>
  <c r="Y347" i="172"/>
  <c r="Y341" i="172"/>
  <c r="Y316" i="172"/>
  <c r="Y363" i="172"/>
  <c r="Y353" i="172"/>
  <c r="Y335" i="172"/>
  <c r="E353" i="172"/>
  <c r="E316" i="172"/>
  <c r="E347" i="172"/>
  <c r="E335" i="172"/>
  <c r="E323" i="172"/>
  <c r="E341" i="172"/>
  <c r="T335" i="172"/>
  <c r="T353" i="172"/>
  <c r="T341" i="172"/>
  <c r="T316" i="172"/>
  <c r="T347" i="172"/>
  <c r="T323" i="172"/>
  <c r="T363" i="172"/>
  <c r="BR59" i="172"/>
  <c r="BR63" i="172"/>
  <c r="DL62" i="172"/>
  <c r="BP303" i="172"/>
  <c r="BX422" i="175"/>
  <c r="AR424" i="175"/>
  <c r="AR426" i="175"/>
  <c r="AR423" i="175"/>
  <c r="AW331" i="175"/>
  <c r="BY422" i="175"/>
  <c r="AW424" i="175"/>
  <c r="BZ422" i="175"/>
  <c r="CK19" i="171"/>
  <c r="CK18" i="171" s="1"/>
  <c r="BA20" i="171"/>
  <c r="BA281" i="171"/>
  <c r="AW340" i="175"/>
  <c r="AX281" i="171"/>
  <c r="AX20" i="171"/>
  <c r="BC281" i="171"/>
  <c r="DS159" i="135"/>
  <c r="DN159" i="135"/>
  <c r="DD159" i="135"/>
  <c r="CY159" i="135"/>
  <c r="DI159" i="135"/>
  <c r="EI97" i="135"/>
  <c r="EI96" i="135"/>
  <c r="DP70" i="135"/>
  <c r="AN424" i="175"/>
  <c r="AN423" i="175"/>
  <c r="AN426" i="175"/>
  <c r="AP423" i="175"/>
  <c r="AP426" i="175"/>
  <c r="AP424" i="175"/>
  <c r="AR420" i="175"/>
  <c r="AR419" i="175"/>
  <c r="AW281" i="171"/>
  <c r="AW20" i="171"/>
  <c r="BM303" i="172"/>
  <c r="BR303" i="172"/>
  <c r="BD281" i="171"/>
  <c r="BD20" i="171"/>
  <c r="ED72" i="135"/>
  <c r="ED70" i="135"/>
  <c r="AP20" i="171"/>
  <c r="AP281" i="171"/>
  <c r="DR70" i="135"/>
  <c r="BQ59" i="172"/>
  <c r="BQ63" i="172"/>
  <c r="BQ303" i="172"/>
  <c r="AU424" i="175"/>
  <c r="AU331" i="175"/>
  <c r="DD19" i="171"/>
  <c r="DD281" i="171" s="1"/>
  <c r="DE282" i="171" s="1"/>
  <c r="DL70" i="135"/>
  <c r="DL72" i="135"/>
  <c r="EA70" i="135"/>
  <c r="EA72" i="135"/>
  <c r="CJ159" i="135"/>
  <c r="DE70" i="135"/>
  <c r="DE72" i="135"/>
  <c r="O259" i="172"/>
  <c r="O258" i="172"/>
  <c r="T258" i="172"/>
  <c r="CT159" i="135"/>
  <c r="CO159" i="135"/>
  <c r="N259" i="172"/>
  <c r="N258" i="172"/>
  <c r="S258" i="172"/>
  <c r="DB70" i="135"/>
  <c r="DB72" i="135"/>
  <c r="BF20" i="171"/>
  <c r="BF281" i="171"/>
  <c r="BK20" i="171"/>
  <c r="BK281" i="171"/>
  <c r="BP282" i="171" s="1"/>
  <c r="AM361" i="175"/>
  <c r="AR361" i="175"/>
  <c r="BW360" i="175"/>
  <c r="AM362" i="175"/>
  <c r="BL303" i="172"/>
  <c r="BK303" i="172"/>
  <c r="EH159" i="135"/>
  <c r="EG70" i="135"/>
  <c r="EG72" i="135"/>
  <c r="BG303" i="172"/>
  <c r="CE159" i="135"/>
  <c r="AV281" i="171"/>
  <c r="CJ19" i="171"/>
  <c r="CJ281" i="171" s="1"/>
  <c r="AV20" i="171"/>
  <c r="AM244" i="175"/>
  <c r="AL426" i="175"/>
  <c r="AL423" i="175"/>
  <c r="AL424" i="175"/>
  <c r="DZ72" i="135"/>
  <c r="BB281" i="171"/>
  <c r="BB20" i="171"/>
  <c r="EC159" i="135"/>
  <c r="J258" i="172"/>
  <c r="J259" i="172"/>
  <c r="K259" i="172"/>
  <c r="DA121" i="171"/>
  <c r="AP123" i="171"/>
  <c r="DC72" i="135"/>
  <c r="DC70" i="135"/>
  <c r="BN281" i="171"/>
  <c r="BS282" i="171" s="1"/>
  <c r="BN20" i="171"/>
  <c r="AK424" i="175"/>
  <c r="AK426" i="175"/>
  <c r="AK423" i="175"/>
  <c r="DH72" i="135"/>
  <c r="DH70" i="135"/>
  <c r="AQ424" i="175"/>
  <c r="AQ426" i="175"/>
  <c r="AQ423" i="175"/>
  <c r="DG72" i="135"/>
  <c r="DG70" i="135"/>
  <c r="BI281" i="171"/>
  <c r="BI20" i="171"/>
  <c r="DK156" i="135"/>
  <c r="DP156" i="135"/>
  <c r="BL281" i="171"/>
  <c r="BQ282" i="171" s="1"/>
  <c r="BL20" i="171"/>
  <c r="CI66" i="135"/>
  <c r="DO72" i="135"/>
  <c r="DO70" i="135"/>
  <c r="CZ72" i="135"/>
  <c r="CZ70" i="135"/>
  <c r="AY20" i="171"/>
  <c r="AY281" i="171"/>
  <c r="BH20" i="171"/>
  <c r="BH281" i="171"/>
  <c r="DV70" i="135"/>
  <c r="AM419" i="175"/>
  <c r="AM420" i="175"/>
  <c r="BW418" i="175"/>
  <c r="BS303" i="172"/>
  <c r="CW72" i="135"/>
  <c r="CW70" i="135"/>
  <c r="AK244" i="175"/>
  <c r="DF70" i="135"/>
  <c r="DF72" i="135"/>
  <c r="DH64" i="135"/>
  <c r="DH66" i="135"/>
  <c r="CV70" i="135"/>
  <c r="CV72" i="135"/>
  <c r="CT69" i="135"/>
  <c r="BG281" i="171"/>
  <c r="BG282" i="171" s="1"/>
  <c r="EJ96" i="135"/>
  <c r="EJ97" i="135"/>
  <c r="DK70" i="135"/>
  <c r="DK72" i="135"/>
  <c r="CN66" i="135"/>
  <c r="CN64" i="135"/>
  <c r="BH303" i="172"/>
  <c r="AX424" i="175"/>
  <c r="AX331" i="175"/>
  <c r="BF303" i="172"/>
  <c r="DQ70" i="135"/>
  <c r="AN281" i="171"/>
  <c r="AN20" i="171"/>
  <c r="CH19" i="171"/>
  <c r="CH18" i="171" s="1"/>
  <c r="EL111" i="135"/>
  <c r="EB72" i="135"/>
  <c r="EB70" i="135"/>
  <c r="AK361" i="175"/>
  <c r="AP361" i="175"/>
  <c r="AO360" i="175"/>
  <c r="AO361" i="175" s="1"/>
  <c r="AK362" i="175"/>
  <c r="AP363" i="175" s="1"/>
  <c r="BI303" i="172"/>
  <c r="DY66" i="135"/>
  <c r="DM72" i="135"/>
  <c r="DM70" i="135"/>
  <c r="DV47" i="8"/>
  <c r="DV48" i="8"/>
  <c r="AR20" i="171"/>
  <c r="CI19" i="171"/>
  <c r="AR281" i="171"/>
  <c r="AS426" i="175"/>
  <c r="AS424" i="175"/>
  <c r="AS423" i="175"/>
  <c r="F56" i="141"/>
  <c r="AM271" i="175"/>
  <c r="AM246" i="175"/>
  <c r="EA148" i="135"/>
  <c r="DW72" i="135"/>
  <c r="DW70" i="135"/>
  <c r="CX72" i="135"/>
  <c r="CX70" i="135"/>
  <c r="DC19" i="171"/>
  <c r="BM281" i="171"/>
  <c r="BR282" i="171" s="1"/>
  <c r="BM20" i="171"/>
  <c r="DA19" i="171"/>
  <c r="DA18" i="171" s="1"/>
  <c r="CW64" i="135"/>
  <c r="CW66" i="135"/>
  <c r="AN368" i="175"/>
  <c r="AN367" i="175"/>
  <c r="AV331" i="175"/>
  <c r="AV424" i="175"/>
  <c r="DM44" i="135"/>
  <c r="DH44" i="135"/>
  <c r="DY152" i="135"/>
  <c r="DI42" i="135"/>
  <c r="DN44" i="135" s="1"/>
  <c r="M259" i="172"/>
  <c r="M258" i="172"/>
  <c r="R258" i="172"/>
  <c r="DY72" i="135"/>
  <c r="BF149" i="172"/>
  <c r="BF150" i="172" s="1"/>
  <c r="CL19" i="171"/>
  <c r="BS59" i="172"/>
  <c r="BS63" i="172"/>
  <c r="EE72" i="135"/>
  <c r="EE70" i="135"/>
  <c r="DB19" i="171"/>
  <c r="AT281" i="171"/>
  <c r="AT282" i="171" s="1"/>
  <c r="AT20" i="171"/>
  <c r="DZ171" i="135"/>
  <c r="DU171" i="135"/>
  <c r="AD20" i="171"/>
  <c r="CX19" i="171"/>
  <c r="CX18" i="171" s="1"/>
  <c r="CE19" i="171"/>
  <c r="CE281" i="171" s="1"/>
  <c r="AR237" i="175"/>
  <c r="EF148" i="135"/>
  <c r="EF72" i="135"/>
  <c r="EF70" i="135"/>
  <c r="EG148" i="135"/>
  <c r="EH148" i="135" s="1"/>
  <c r="EH146" i="135"/>
  <c r="EA156" i="135"/>
  <c r="AL420" i="175"/>
  <c r="AL419" i="175"/>
  <c r="DG64" i="135"/>
  <c r="DG66" i="135"/>
  <c r="BW236" i="175"/>
  <c r="AM237" i="175"/>
  <c r="AG26" i="171"/>
  <c r="AG20" i="171"/>
  <c r="AN244" i="175"/>
  <c r="BP61" i="172"/>
  <c r="EE148" i="135"/>
  <c r="BZ159" i="135"/>
  <c r="DM29" i="135"/>
  <c r="DM27" i="135"/>
  <c r="BN258" i="172"/>
  <c r="BK259" i="172"/>
  <c r="DO66" i="135"/>
  <c r="DX159" i="135"/>
  <c r="AL361" i="175"/>
  <c r="AQ361" i="175"/>
  <c r="EA152" i="135"/>
  <c r="DZ152" i="135"/>
  <c r="ED148" i="135"/>
  <c r="DM64" i="135"/>
  <c r="DM66" i="135"/>
  <c r="AM268" i="175"/>
  <c r="AL362" i="175"/>
  <c r="AV363" i="175" s="1"/>
  <c r="BW119" i="175"/>
  <c r="AP120" i="175"/>
  <c r="AX340" i="175"/>
  <c r="DJ27" i="135"/>
  <c r="DA72" i="135"/>
  <c r="DA70" i="135"/>
  <c r="DK29" i="135"/>
  <c r="DK27" i="135"/>
  <c r="C297" i="172"/>
  <c r="BQ8" i="7" s="1"/>
  <c r="G253" i="172"/>
  <c r="EF144" i="135"/>
  <c r="EE156" i="135"/>
  <c r="AP419" i="175"/>
  <c r="AP420" i="175"/>
  <c r="BY366" i="175"/>
  <c r="AW367" i="175"/>
  <c r="DH48" i="135"/>
  <c r="DI46" i="135"/>
  <c r="DM48" i="135"/>
  <c r="EA144" i="135"/>
  <c r="BH149" i="172"/>
  <c r="BM150" i="172" s="1"/>
  <c r="AU20" i="171"/>
  <c r="AU281" i="171"/>
  <c r="DL29" i="135"/>
  <c r="DL27" i="135"/>
  <c r="AG60" i="171"/>
  <c r="AG63" i="171" s="1"/>
  <c r="CV66" i="135"/>
  <c r="CV64" i="135"/>
  <c r="DR66" i="135"/>
  <c r="AL246" i="175"/>
  <c r="AL271" i="175"/>
  <c r="AM123" i="171"/>
  <c r="DQ66" i="135"/>
  <c r="DB29" i="135"/>
  <c r="DB27" i="135"/>
  <c r="CS66" i="135"/>
  <c r="CS64" i="135"/>
  <c r="DJ257" i="172"/>
  <c r="BM258" i="172"/>
  <c r="BJ257" i="172"/>
  <c r="BJ258" i="172" s="1"/>
  <c r="DZ148" i="135"/>
  <c r="AR367" i="175"/>
  <c r="BX366" i="175"/>
  <c r="DE27" i="135"/>
  <c r="BG140" i="172"/>
  <c r="EA66" i="135"/>
  <c r="ED144" i="135"/>
  <c r="DY148" i="135"/>
  <c r="AS20" i="171"/>
  <c r="AS281" i="171"/>
  <c r="AM281" i="171"/>
  <c r="AM20" i="171"/>
  <c r="DJ70" i="135"/>
  <c r="DJ72" i="135"/>
  <c r="AT119" i="175"/>
  <c r="CY121" i="171"/>
  <c r="AH123" i="171"/>
  <c r="AR340" i="175"/>
  <c r="AW418" i="175"/>
  <c r="AW426" i="175" s="1"/>
  <c r="EF152" i="135"/>
  <c r="BP277" i="172"/>
  <c r="BK277" i="172"/>
  <c r="DZ144" i="135"/>
  <c r="DF27" i="135"/>
  <c r="DF29" i="135"/>
  <c r="CX66" i="135"/>
  <c r="CX64" i="135"/>
  <c r="CW120" i="171"/>
  <c r="AC123" i="171"/>
  <c r="CW123" i="171" s="1"/>
  <c r="AL244" i="175"/>
  <c r="AE123" i="171"/>
  <c r="AG424" i="175"/>
  <c r="AG426" i="175"/>
  <c r="DZ156" i="135"/>
  <c r="DT27" i="135"/>
  <c r="DO27" i="135"/>
  <c r="AV340" i="175"/>
  <c r="Q257" i="172"/>
  <c r="V258" i="172" s="1"/>
  <c r="DF66" i="135"/>
  <c r="DF64" i="135"/>
  <c r="AO281" i="171"/>
  <c r="AO20" i="171"/>
  <c r="EE66" i="135"/>
  <c r="DA27" i="135"/>
  <c r="DA29" i="135"/>
  <c r="AQ20" i="171"/>
  <c r="AQ281" i="171"/>
  <c r="BT303" i="172"/>
  <c r="ED152" i="135"/>
  <c r="DB64" i="135"/>
  <c r="DB66" i="135"/>
  <c r="CZ27" i="135"/>
  <c r="AC434" i="175"/>
  <c r="AC435" i="175"/>
  <c r="AK263" i="175"/>
  <c r="AK264" i="175" s="1"/>
  <c r="EE152" i="135"/>
  <c r="DB52" i="171"/>
  <c r="DB279" i="171" s="1"/>
  <c r="AD434" i="175"/>
  <c r="AD435" i="175"/>
  <c r="BI140" i="172"/>
  <c r="AM263" i="175"/>
  <c r="AM265" i="175" s="1"/>
  <c r="AO243" i="175"/>
  <c r="AO244" i="175" s="1"/>
  <c r="AH20" i="171"/>
  <c r="AH26" i="171"/>
  <c r="EF66" i="135"/>
  <c r="CZ19" i="171"/>
  <c r="AL20" i="171"/>
  <c r="ED156" i="135"/>
  <c r="CR72" i="135"/>
  <c r="EC146" i="135"/>
  <c r="EB148" i="135"/>
  <c r="EC148" i="135" s="1"/>
  <c r="DJ66" i="135"/>
  <c r="DJ64" i="135"/>
  <c r="AK246" i="175"/>
  <c r="AK271" i="175"/>
  <c r="E297" i="172"/>
  <c r="BS8" i="7" s="1"/>
  <c r="AS419" i="175"/>
  <c r="AX418" i="175"/>
  <c r="AS340" i="175"/>
  <c r="AS420" i="175"/>
  <c r="BG277" i="172"/>
  <c r="DW66" i="135"/>
  <c r="I259" i="172"/>
  <c r="I258" i="172"/>
  <c r="BW33" i="175"/>
  <c r="DP66" i="135"/>
  <c r="CH66" i="135"/>
  <c r="AU123" i="175"/>
  <c r="AU124" i="175"/>
  <c r="CK66" i="135"/>
  <c r="CK64" i="135"/>
  <c r="EE97" i="135"/>
  <c r="AK20" i="171"/>
  <c r="BA124" i="175"/>
  <c r="BA123" i="175"/>
  <c r="AP367" i="175"/>
  <c r="EG66" i="135"/>
  <c r="E56" i="141"/>
  <c r="DK157" i="172"/>
  <c r="DY156" i="135"/>
  <c r="DK64" i="135"/>
  <c r="AE20" i="171"/>
  <c r="AE60" i="171"/>
  <c r="BB123" i="175"/>
  <c r="BB124" i="175"/>
  <c r="CU64" i="135"/>
  <c r="CU66" i="135"/>
  <c r="AV123" i="175"/>
  <c r="AV124" i="175"/>
  <c r="AI26" i="171"/>
  <c r="AI20" i="171"/>
  <c r="CP66" i="135"/>
  <c r="CP64" i="135"/>
  <c r="AX123" i="175"/>
  <c r="AX124" i="175"/>
  <c r="DH27" i="135"/>
  <c r="DH29" i="135"/>
  <c r="AS237" i="175"/>
  <c r="BH277" i="172"/>
  <c r="BZ33" i="175"/>
  <c r="AH424" i="175"/>
  <c r="AH426" i="175"/>
  <c r="AQ420" i="175"/>
  <c r="AQ419" i="175"/>
  <c r="BI149" i="172"/>
  <c r="BN150" i="172" s="1"/>
  <c r="Q21" i="8"/>
  <c r="Q7" i="8" s="1"/>
  <c r="R14" i="8"/>
  <c r="CR64" i="135"/>
  <c r="CR66" i="135"/>
  <c r="BY33" i="175"/>
  <c r="DD47" i="135"/>
  <c r="AM385" i="175"/>
  <c r="EB66" i="135"/>
  <c r="W14" i="8"/>
  <c r="BG149" i="172"/>
  <c r="BL150" i="172" s="1"/>
  <c r="DY144" i="135"/>
  <c r="AO123" i="171"/>
  <c r="Z277" i="172"/>
  <c r="CX120" i="171"/>
  <c r="EG97" i="135"/>
  <c r="AP241" i="175"/>
  <c r="AT239" i="175"/>
  <c r="H259" i="172"/>
  <c r="H258" i="172"/>
  <c r="BH32" i="172"/>
  <c r="BM33" i="172" s="1"/>
  <c r="CZ121" i="171"/>
  <c r="AW124" i="175"/>
  <c r="AW123" i="175"/>
  <c r="AN271" i="175"/>
  <c r="AN246" i="175"/>
  <c r="AM249" i="175"/>
  <c r="AM253" i="175" s="1"/>
  <c r="CY19" i="171"/>
  <c r="CY18" i="171" s="1"/>
  <c r="DJ142" i="172"/>
  <c r="DK143" i="172" s="1"/>
  <c r="BI32" i="172"/>
  <c r="CS72" i="135"/>
  <c r="EJ106" i="135"/>
  <c r="EJ105" i="135"/>
  <c r="AQ340" i="175"/>
  <c r="AV418" i="175"/>
  <c r="AV426" i="175" s="1"/>
  <c r="AG123" i="171"/>
  <c r="AB434" i="175"/>
  <c r="AB435" i="175"/>
  <c r="EF97" i="135"/>
  <c r="DN154" i="135"/>
  <c r="DC64" i="135"/>
  <c r="DC66" i="135"/>
  <c r="EK105" i="135"/>
  <c r="EK106" i="135"/>
  <c r="CL180" i="171"/>
  <c r="CM181" i="171" s="1"/>
  <c r="DZ66" i="135"/>
  <c r="CQ66" i="135"/>
  <c r="CQ64" i="135"/>
  <c r="DP27" i="135"/>
  <c r="DU27" i="135"/>
  <c r="AK420" i="175"/>
  <c r="AK419" i="175"/>
  <c r="BI277" i="172"/>
  <c r="CT43" i="135"/>
  <c r="DE66" i="135"/>
  <c r="DE64" i="135"/>
  <c r="DC29" i="135"/>
  <c r="DC27" i="135"/>
  <c r="CZ64" i="135"/>
  <c r="CZ66" i="135"/>
  <c r="DW64" i="135"/>
  <c r="AD60" i="171"/>
  <c r="AD63" i="171" s="1"/>
  <c r="DL66" i="135"/>
  <c r="DL64" i="135"/>
  <c r="DQ176" i="135"/>
  <c r="B297" i="172"/>
  <c r="B254" i="172" s="1"/>
  <c r="EE144" i="135"/>
  <c r="DD43" i="135"/>
  <c r="CU72" i="135"/>
  <c r="AU120" i="175"/>
  <c r="AN277" i="172"/>
  <c r="AN420" i="175"/>
  <c r="AN340" i="175"/>
  <c r="AN419" i="175"/>
  <c r="CM64" i="135"/>
  <c r="CM66" i="135"/>
  <c r="CG66" i="135"/>
  <c r="F297" i="172"/>
  <c r="BC123" i="175"/>
  <c r="BC124" i="175"/>
  <c r="AX120" i="175"/>
  <c r="AF20" i="171"/>
  <c r="BF111" i="172"/>
  <c r="AM60" i="171"/>
  <c r="AM63" i="171" s="1"/>
  <c r="AM144" i="171" s="1"/>
  <c r="AS123" i="171"/>
  <c r="CJ180" i="171"/>
  <c r="AH277" i="172"/>
  <c r="AQ26" i="171"/>
  <c r="AQ29" i="171" s="1"/>
  <c r="V21" i="8"/>
  <c r="W21" i="8" s="1"/>
  <c r="AN249" i="175"/>
  <c r="AN250" i="175" s="1"/>
  <c r="CL66" i="135"/>
  <c r="CL64" i="135"/>
  <c r="AI424" i="175"/>
  <c r="AI426" i="175"/>
  <c r="BA120" i="175"/>
  <c r="BC277" i="172"/>
  <c r="CT151" i="135"/>
  <c r="AO422" i="175"/>
  <c r="AU123" i="171"/>
  <c r="DX170" i="135"/>
  <c r="AQ237" i="175"/>
  <c r="AV120" i="175"/>
  <c r="EI105" i="135"/>
  <c r="EI106" i="135"/>
  <c r="DA64" i="135"/>
  <c r="DA66" i="135"/>
  <c r="AR120" i="175"/>
  <c r="CZ52" i="171"/>
  <c r="CZ279" i="171" s="1"/>
  <c r="CZ289" i="171" s="1"/>
  <c r="FZ41" i="9"/>
  <c r="BC201" i="172"/>
  <c r="AY123" i="171"/>
  <c r="EC47" i="135"/>
  <c r="EH104" i="135"/>
  <c r="DL303" i="172"/>
  <c r="CJ43" i="135"/>
  <c r="DG27" i="135"/>
  <c r="DG29" i="135"/>
  <c r="AQ123" i="171"/>
  <c r="CY174" i="135"/>
  <c r="DK41" i="9"/>
  <c r="DK43" i="9" s="1"/>
  <c r="AR36" i="175"/>
  <c r="AR39" i="175" s="1"/>
  <c r="AI60" i="171"/>
  <c r="AI63" i="171" s="1"/>
  <c r="AJ20" i="171"/>
  <c r="CY47" i="135"/>
  <c r="BG143" i="172"/>
  <c r="BG33" i="172" s="1"/>
  <c r="CY26" i="135"/>
  <c r="CZ29" i="135" s="1"/>
  <c r="EF156" i="135"/>
  <c r="AK249" i="175"/>
  <c r="AK253" i="175" s="1"/>
  <c r="AL277" i="172"/>
  <c r="GB41" i="9"/>
  <c r="EH150" i="135"/>
  <c r="DH276" i="172"/>
  <c r="AX277" i="172"/>
  <c r="BF143" i="172"/>
  <c r="BF33" i="172" s="1"/>
  <c r="L257" i="172"/>
  <c r="L258" i="172" s="1"/>
  <c r="DM156" i="135"/>
  <c r="DN156" i="135" s="1"/>
  <c r="AO302" i="175"/>
  <c r="CJ160" i="135"/>
  <c r="BZ43" i="135"/>
  <c r="BX33" i="175"/>
  <c r="DK303" i="172"/>
  <c r="AO277" i="172"/>
  <c r="AW120" i="175"/>
  <c r="EK96" i="135"/>
  <c r="EK97" i="135"/>
  <c r="BH206" i="172"/>
  <c r="BH207" i="172" s="1"/>
  <c r="DQ27" i="135"/>
  <c r="DV27" i="135"/>
  <c r="CJ165" i="135"/>
  <c r="EC69" i="135"/>
  <c r="BC120" i="175"/>
  <c r="AS241" i="175"/>
  <c r="AK60" i="171"/>
  <c r="AK63" i="171" s="1"/>
  <c r="D297" i="172"/>
  <c r="CK180" i="171"/>
  <c r="BZ170" i="135"/>
  <c r="CT170" i="135"/>
  <c r="DN151" i="135"/>
  <c r="AX36" i="175"/>
  <c r="AI123" i="171"/>
  <c r="CY59" i="135"/>
  <c r="DN155" i="135"/>
  <c r="EH154" i="135"/>
  <c r="EH142" i="135"/>
  <c r="EX49" i="8"/>
  <c r="FC49" i="8" s="1"/>
  <c r="FH49" i="8" s="1"/>
  <c r="M267" i="172"/>
  <c r="R268" i="172" s="1"/>
  <c r="DI165" i="135"/>
  <c r="AV36" i="175"/>
  <c r="BY119" i="175"/>
  <c r="AJ277" i="172"/>
  <c r="AL268" i="175"/>
  <c r="Y277" i="172"/>
  <c r="DI47" i="135"/>
  <c r="AX367" i="175"/>
  <c r="DN26" i="135"/>
  <c r="DO29" i="135" s="1"/>
  <c r="DO64" i="135"/>
  <c r="AJ60" i="171"/>
  <c r="DX174" i="135"/>
  <c r="S277" i="172"/>
  <c r="DD170" i="135"/>
  <c r="BF206" i="172"/>
  <c r="BF207" i="172" s="1"/>
  <c r="BC206" i="172"/>
  <c r="BC207" i="172" s="1"/>
  <c r="AM340" i="175"/>
  <c r="EH155" i="135"/>
  <c r="EC150" i="135"/>
  <c r="DI143" i="135"/>
  <c r="CO170" i="135"/>
  <c r="BY122" i="175"/>
  <c r="BT62" i="172"/>
  <c r="AS367" i="175"/>
  <c r="CJ147" i="135"/>
  <c r="EG156" i="135"/>
  <c r="EH156" i="135" s="1"/>
  <c r="CY52" i="171"/>
  <c r="CY53" i="171" s="1"/>
  <c r="BQ201" i="172"/>
  <c r="CL125" i="172"/>
  <c r="DI157" i="172"/>
  <c r="BA111" i="172"/>
  <c r="BT201" i="172"/>
  <c r="BG111" i="172"/>
  <c r="EB64" i="135"/>
  <c r="EC154" i="135"/>
  <c r="CE170" i="135"/>
  <c r="DD155" i="135"/>
  <c r="EH151" i="135"/>
  <c r="BB123" i="171"/>
  <c r="DC52" i="171"/>
  <c r="DC53" i="171" s="1"/>
  <c r="D32" i="141"/>
  <c r="AK123" i="171"/>
  <c r="BA121" i="175"/>
  <c r="DI170" i="135"/>
  <c r="CT63" i="135"/>
  <c r="DH41" i="9"/>
  <c r="DH43" i="9" s="1"/>
  <c r="DP64" i="135"/>
  <c r="DX165" i="135"/>
  <c r="BB120" i="175"/>
  <c r="CH125" i="172"/>
  <c r="BD147" i="172"/>
  <c r="BD36" i="172" s="1"/>
  <c r="EC155" i="135"/>
  <c r="CY69" i="135"/>
  <c r="BX119" i="175"/>
  <c r="AF426" i="175"/>
  <c r="BK201" i="172"/>
  <c r="CO160" i="135"/>
  <c r="BR61" i="172"/>
  <c r="BR58" i="172" s="1"/>
  <c r="BZ143" i="135"/>
  <c r="AW123" i="171"/>
  <c r="EC151" i="135"/>
  <c r="DS63" i="135"/>
  <c r="AY119" i="175"/>
  <c r="BB36" i="175"/>
  <c r="AS120" i="175"/>
  <c r="AX368" i="175"/>
  <c r="AY366" i="175"/>
  <c r="AU367" i="175"/>
  <c r="CF19" i="171"/>
  <c r="AE340" i="189" s="1"/>
  <c r="AJ341" i="189" s="1"/>
  <c r="AE426" i="175"/>
  <c r="EG144" i="135"/>
  <c r="EH144" i="135" s="1"/>
  <c r="CY155" i="135"/>
  <c r="AT237" i="175"/>
  <c r="DD52" i="171"/>
  <c r="DD53" i="171" s="1"/>
  <c r="AK268" i="175"/>
  <c r="DZ41" i="9"/>
  <c r="DZ43" i="9" s="1"/>
  <c r="AT128" i="175"/>
  <c r="DK202" i="172"/>
  <c r="DK203" i="172" s="1"/>
  <c r="BS61" i="172"/>
  <c r="BS58" i="172" s="1"/>
  <c r="BA36" i="175"/>
  <c r="AD126" i="171"/>
  <c r="AD262" i="171" s="1"/>
  <c r="BH201" i="172"/>
  <c r="AS368" i="175"/>
  <c r="AN26" i="171"/>
  <c r="AE277" i="172"/>
  <c r="DI276" i="172"/>
  <c r="DI278" i="172" s="1"/>
  <c r="AX60" i="171"/>
  <c r="AX63" i="171" s="1"/>
  <c r="BC111" i="172"/>
  <c r="CO47" i="135"/>
  <c r="AK277" i="172"/>
  <c r="DS143" i="135"/>
  <c r="DK205" i="172"/>
  <c r="CJ63" i="135"/>
  <c r="AW36" i="175"/>
  <c r="CT59" i="135"/>
  <c r="DN43" i="135"/>
  <c r="DD69" i="135"/>
  <c r="AA277" i="172"/>
  <c r="DV64" i="135"/>
  <c r="BB147" i="172"/>
  <c r="BB36" i="172" s="1"/>
  <c r="BB37" i="175"/>
  <c r="O267" i="172"/>
  <c r="T268" i="172" s="1"/>
  <c r="EG106" i="135"/>
  <c r="BB111" i="172"/>
  <c r="BA206" i="172"/>
  <c r="BA207" i="172" s="1"/>
  <c r="AI340" i="175"/>
  <c r="AI420" i="175"/>
  <c r="BD119" i="175"/>
  <c r="AR123" i="171"/>
  <c r="AW368" i="175"/>
  <c r="AP277" i="172"/>
  <c r="DS170" i="135"/>
  <c r="BJ277" i="172"/>
  <c r="AX323" i="175"/>
  <c r="AX325" i="175" s="1"/>
  <c r="DP41" i="9"/>
  <c r="DP43" i="9" s="1"/>
  <c r="AP237" i="175"/>
  <c r="EH143" i="135"/>
  <c r="AF26" i="171"/>
  <c r="DW27" i="135"/>
  <c r="DR27" i="135"/>
  <c r="EG41" i="9"/>
  <c r="EG43" i="9" s="1"/>
  <c r="AD277" i="172"/>
  <c r="CT165" i="135"/>
  <c r="BE277" i="172"/>
  <c r="EX53" i="8"/>
  <c r="FC53" i="8" s="1"/>
  <c r="FH53" i="8" s="1"/>
  <c r="CJ143" i="135"/>
  <c r="BQ61" i="172"/>
  <c r="BQ58" i="172" s="1"/>
  <c r="DS174" i="135"/>
  <c r="AI277" i="172"/>
  <c r="DJ41" i="9"/>
  <c r="DJ43" i="9" s="1"/>
  <c r="DN47" i="135"/>
  <c r="AK237" i="175"/>
  <c r="BH140" i="172"/>
  <c r="AH431" i="189" s="1"/>
  <c r="BZ147" i="135"/>
  <c r="CJ174" i="135"/>
  <c r="CO143" i="135"/>
  <c r="AC277" i="172"/>
  <c r="GE41" i="9"/>
  <c r="DI205" i="172"/>
  <c r="CO155" i="135"/>
  <c r="R277" i="172"/>
  <c r="AV277" i="172"/>
  <c r="CJ59" i="135"/>
  <c r="DS155" i="135"/>
  <c r="DW41" i="9"/>
  <c r="DW43" i="9" s="1"/>
  <c r="CO147" i="135"/>
  <c r="DX47" i="135"/>
  <c r="DD151" i="135"/>
  <c r="AS60" i="171"/>
  <c r="BB143" i="172"/>
  <c r="BB33" i="172" s="1"/>
  <c r="AU36" i="175"/>
  <c r="CE160" i="135"/>
  <c r="U277" i="172"/>
  <c r="BF147" i="172"/>
  <c r="BF36" i="172" s="1"/>
  <c r="GC41" i="9"/>
  <c r="CJ155" i="135"/>
  <c r="DY41" i="9"/>
  <c r="DY43" i="9" s="1"/>
  <c r="AZ277" i="172"/>
  <c r="CO59" i="135"/>
  <c r="CO174" i="135"/>
  <c r="AS277" i="172"/>
  <c r="BD277" i="172"/>
  <c r="DS147" i="135"/>
  <c r="EA64" i="135"/>
  <c r="EC142" i="135"/>
  <c r="BD111" i="172"/>
  <c r="AQ277" i="172"/>
  <c r="DK173" i="172"/>
  <c r="DK174" i="172" s="1"/>
  <c r="F32" i="141"/>
  <c r="BZ151" i="135"/>
  <c r="DX147" i="135"/>
  <c r="BA37" i="175"/>
  <c r="BC32" i="172"/>
  <c r="EX51" i="8"/>
  <c r="FC51" i="8" s="1"/>
  <c r="FH51" i="8" s="1"/>
  <c r="AR241" i="175"/>
  <c r="BA277" i="172"/>
  <c r="AW408" i="175"/>
  <c r="EG152" i="135"/>
  <c r="EH152" i="135" s="1"/>
  <c r="BD206" i="172"/>
  <c r="BD207" i="172" s="1"/>
  <c r="AO418" i="175"/>
  <c r="AQ120" i="175"/>
  <c r="AE26" i="171"/>
  <c r="AE29" i="171" s="1"/>
  <c r="AN362" i="175"/>
  <c r="AX363" i="175" s="1"/>
  <c r="AR277" i="172"/>
  <c r="AL237" i="175"/>
  <c r="AL126" i="171"/>
  <c r="AQ241" i="175"/>
  <c r="AM26" i="171"/>
  <c r="CJ47" i="135"/>
  <c r="EF65" i="135"/>
  <c r="BB206" i="172"/>
  <c r="BB207" i="172" s="1"/>
  <c r="CT143" i="135"/>
  <c r="DD63" i="135"/>
  <c r="CY151" i="135"/>
  <c r="AM293" i="172"/>
  <c r="CJ170" i="135"/>
  <c r="AW60" i="171"/>
  <c r="AN123" i="171"/>
  <c r="BB140" i="172"/>
  <c r="BB197" i="172" s="1"/>
  <c r="AW37" i="175"/>
  <c r="CO63" i="135"/>
  <c r="AJ123" i="171"/>
  <c r="AH340" i="175"/>
  <c r="AH420" i="175"/>
  <c r="EH170" i="135"/>
  <c r="BZ165" i="135"/>
  <c r="BF140" i="172"/>
  <c r="AF431" i="189" s="1"/>
  <c r="AF277" i="172"/>
  <c r="AT123" i="171"/>
  <c r="AX26" i="171"/>
  <c r="AX32" i="171" s="1"/>
  <c r="AX44" i="171" s="1"/>
  <c r="EC174" i="135"/>
  <c r="CO43" i="135"/>
  <c r="DN59" i="135"/>
  <c r="BM201" i="172"/>
  <c r="AU368" i="175"/>
  <c r="BD140" i="172"/>
  <c r="BD197" i="172" s="1"/>
  <c r="AW323" i="175"/>
  <c r="DG41" i="9"/>
  <c r="DG43" i="9" s="1"/>
  <c r="AV37" i="175"/>
  <c r="DN63" i="135"/>
  <c r="CE47" i="135"/>
  <c r="CY147" i="135"/>
  <c r="AT26" i="171"/>
  <c r="V277" i="172"/>
  <c r="AB277" i="172"/>
  <c r="AV308" i="175"/>
  <c r="DD180" i="171"/>
  <c r="EB41" i="9"/>
  <c r="EB43" i="9" s="1"/>
  <c r="BH147" i="172"/>
  <c r="BH36" i="172" s="1"/>
  <c r="DX143" i="135"/>
  <c r="AT277" i="172"/>
  <c r="CE143" i="135"/>
  <c r="CT47" i="135"/>
  <c r="EH95" i="135"/>
  <c r="EF106" i="135"/>
  <c r="AU308" i="175"/>
  <c r="DS69" i="135"/>
  <c r="AK26" i="171"/>
  <c r="AK29" i="171" s="1"/>
  <c r="AK385" i="175"/>
  <c r="T21" i="8"/>
  <c r="T7" i="8" s="1"/>
  <c r="CG120" i="171"/>
  <c r="AD123" i="171"/>
  <c r="Q253" i="172"/>
  <c r="CE14" i="7" s="1"/>
  <c r="EC170" i="135"/>
  <c r="AG340" i="175"/>
  <c r="AG420" i="175"/>
  <c r="V367" i="172"/>
  <c r="AX308" i="175"/>
  <c r="BD122" i="175"/>
  <c r="CY170" i="135"/>
  <c r="CY165" i="135"/>
  <c r="BA147" i="172"/>
  <c r="BA36" i="172" s="1"/>
  <c r="BA143" i="172"/>
  <c r="BA33" i="172" s="1"/>
  <c r="BC121" i="175"/>
  <c r="EC63" i="135"/>
  <c r="ED66" i="135" s="1"/>
  <c r="DQ64" i="135"/>
  <c r="DS43" i="135"/>
  <c r="BA123" i="171"/>
  <c r="EE64" i="135"/>
  <c r="AL263" i="175"/>
  <c r="AL265" i="175" s="1"/>
  <c r="DX43" i="135"/>
  <c r="AP26" i="171"/>
  <c r="AP29" i="171" s="1"/>
  <c r="DR41" i="9"/>
  <c r="DR43" i="9" s="1"/>
  <c r="AU60" i="171"/>
  <c r="DD59" i="135"/>
  <c r="DD143" i="135"/>
  <c r="BG32" i="172"/>
  <c r="BL33" i="172" s="1"/>
  <c r="BI111" i="172"/>
  <c r="EB156" i="135"/>
  <c r="EC156" i="135" s="1"/>
  <c r="EE41" i="9"/>
  <c r="EE43" i="9" s="1"/>
  <c r="AT418" i="175"/>
  <c r="AT419" i="175" s="1"/>
  <c r="CE59" i="135"/>
  <c r="DD147" i="135"/>
  <c r="DH303" i="172"/>
  <c r="AO366" i="175"/>
  <c r="DI26" i="135"/>
  <c r="AL385" i="175"/>
  <c r="GD41" i="9"/>
  <c r="AU418" i="175"/>
  <c r="BZ47" i="135"/>
  <c r="DX151" i="135"/>
  <c r="BM206" i="172"/>
  <c r="BM207" i="172" s="1"/>
  <c r="DV41" i="9"/>
  <c r="DV43" i="9" s="1"/>
  <c r="DR156" i="135"/>
  <c r="DS156" i="135" s="1"/>
  <c r="EH47" i="135"/>
  <c r="EC147" i="135"/>
  <c r="AJ26" i="171"/>
  <c r="BZ174" i="135"/>
  <c r="BI147" i="172"/>
  <c r="BI36" i="172" s="1"/>
  <c r="DD174" i="135"/>
  <c r="EC143" i="135"/>
  <c r="DI69" i="135"/>
  <c r="BS206" i="172"/>
  <c r="BS207" i="172" s="1"/>
  <c r="BS201" i="172"/>
  <c r="DN174" i="135"/>
  <c r="CE155" i="135"/>
  <c r="BI143" i="172"/>
  <c r="BI33" i="172" s="1"/>
  <c r="DS47" i="135"/>
  <c r="AN60" i="171"/>
  <c r="DU41" i="9"/>
  <c r="DU43" i="9" s="1"/>
  <c r="EC43" i="135"/>
  <c r="X369" i="172"/>
  <c r="AM122" i="171"/>
  <c r="AM126" i="171"/>
  <c r="EG64" i="135"/>
  <c r="EH63" i="135"/>
  <c r="AC369" i="172"/>
  <c r="DI147" i="135"/>
  <c r="DJ202" i="172"/>
  <c r="AX37" i="175"/>
  <c r="CM125" i="172"/>
  <c r="AO60" i="171"/>
  <c r="AO63" i="171" s="1"/>
  <c r="AO144" i="171" s="1"/>
  <c r="AW126" i="171"/>
  <c r="AW262" i="171" s="1"/>
  <c r="DQ41" i="9"/>
  <c r="DQ43" i="9" s="1"/>
  <c r="AK340" i="175"/>
  <c r="EG65" i="135"/>
  <c r="AO237" i="175"/>
  <c r="DG52" i="8"/>
  <c r="AW26" i="171"/>
  <c r="AW32" i="171" s="1"/>
  <c r="AW44" i="171" s="1"/>
  <c r="BP201" i="172"/>
  <c r="AO26" i="171"/>
  <c r="BB121" i="175"/>
  <c r="AX408" i="175"/>
  <c r="AX409" i="175" s="1"/>
  <c r="AT422" i="175"/>
  <c r="DC120" i="171"/>
  <c r="CE147" i="135"/>
  <c r="BD33" i="175"/>
  <c r="P267" i="172"/>
  <c r="U268" i="172" s="1"/>
  <c r="AA434" i="175"/>
  <c r="CT155" i="135"/>
  <c r="EH43" i="135"/>
  <c r="EC41" i="9"/>
  <c r="EC43" i="9" s="1"/>
  <c r="EH44" i="9" s="1"/>
  <c r="DG303" i="172"/>
  <c r="EB152" i="135"/>
  <c r="EC152" i="135" s="1"/>
  <c r="DD26" i="135"/>
  <c r="DE29" i="135" s="1"/>
  <c r="AV126" i="171"/>
  <c r="AV262" i="171" s="1"/>
  <c r="BQ206" i="172"/>
  <c r="AU37" i="175"/>
  <c r="AL386" i="175"/>
  <c r="AQ387" i="175" s="1"/>
  <c r="DL41" i="9"/>
  <c r="DL43" i="9" s="1"/>
  <c r="CE174" i="135"/>
  <c r="AN263" i="175"/>
  <c r="AN264" i="175" s="1"/>
  <c r="DN147" i="135"/>
  <c r="CE151" i="135"/>
  <c r="W9" i="8"/>
  <c r="AR60" i="171"/>
  <c r="BZ155" i="135"/>
  <c r="BZ295" i="175"/>
  <c r="ED64" i="135"/>
  <c r="AR26" i="171"/>
  <c r="AR29" i="171" s="1"/>
  <c r="DN143" i="135"/>
  <c r="DC180" i="171"/>
  <c r="CG409" i="172" s="1"/>
  <c r="DI151" i="135"/>
  <c r="AW121" i="175"/>
  <c r="EB144" i="135"/>
  <c r="EC144" i="135" s="1"/>
  <c r="AQ36" i="175"/>
  <c r="BP206" i="172"/>
  <c r="BP207" i="172" s="1"/>
  <c r="EA41" i="9"/>
  <c r="EA43" i="9" s="1"/>
  <c r="DY52" i="8"/>
  <c r="AY122" i="175"/>
  <c r="AY123" i="175" s="1"/>
  <c r="BI206" i="172"/>
  <c r="BI207" i="172" s="1"/>
  <c r="BG147" i="172"/>
  <c r="BG36" i="172" s="1"/>
  <c r="AV123" i="171"/>
  <c r="GA41" i="9"/>
  <c r="CY43" i="135"/>
  <c r="DR64" i="135"/>
  <c r="ED41" i="9"/>
  <c r="ED43" i="9" s="1"/>
  <c r="AL123" i="171"/>
  <c r="AP295" i="172"/>
  <c r="AP293" i="172" s="1"/>
  <c r="AM277" i="172"/>
  <c r="AP36" i="175"/>
  <c r="AI126" i="171"/>
  <c r="AI129" i="171" s="1"/>
  <c r="DN69" i="135"/>
  <c r="DA52" i="171"/>
  <c r="DA279" i="171" s="1"/>
  <c r="EC165" i="135"/>
  <c r="BL201" i="172"/>
  <c r="EE106" i="135"/>
  <c r="AU277" i="172"/>
  <c r="CY120" i="171"/>
  <c r="DO41" i="9"/>
  <c r="DO43" i="9" s="1"/>
  <c r="CM96" i="172"/>
  <c r="AQ60" i="171"/>
  <c r="EH41" i="9"/>
  <c r="EH43" i="9" s="1"/>
  <c r="EM44" i="9" s="1"/>
  <c r="CT174" i="135"/>
  <c r="BK206" i="172"/>
  <c r="BK207" i="172" s="1"/>
  <c r="CE120" i="171"/>
  <c r="Z433" i="175"/>
  <c r="DJ173" i="172"/>
  <c r="DJ174" i="172" s="1"/>
  <c r="EE65" i="135"/>
  <c r="EH165" i="135"/>
  <c r="DI173" i="172"/>
  <c r="DI174" i="172" s="1"/>
  <c r="CO165" i="135"/>
  <c r="BE201" i="172"/>
  <c r="DI174" i="135"/>
  <c r="E32" i="141"/>
  <c r="CO151" i="135"/>
  <c r="AV26" i="171"/>
  <c r="AV32" i="171" s="1"/>
  <c r="AV44" i="171" s="1"/>
  <c r="AV45" i="171" s="1"/>
  <c r="BC140" i="172"/>
  <c r="AP60" i="171"/>
  <c r="AP63" i="171" s="1"/>
  <c r="AP144" i="171" s="1"/>
  <c r="CY63" i="135"/>
  <c r="DM41" i="9"/>
  <c r="DM43" i="9" s="1"/>
  <c r="DI63" i="135"/>
  <c r="AO245" i="175"/>
  <c r="AO246" i="175" s="1"/>
  <c r="B56" i="141"/>
  <c r="DI155" i="135"/>
  <c r="DL205" i="172"/>
  <c r="DI59" i="135"/>
  <c r="AH60" i="171"/>
  <c r="DN170" i="135"/>
  <c r="DH52" i="8"/>
  <c r="BG206" i="172"/>
  <c r="BG207" i="172" s="1"/>
  <c r="AT33" i="175"/>
  <c r="BF32" i="172"/>
  <c r="AL249" i="175"/>
  <c r="AL253" i="175" s="1"/>
  <c r="T277" i="172"/>
  <c r="BB277" i="172"/>
  <c r="BF277" i="172"/>
  <c r="DL52" i="8"/>
  <c r="Y369" i="172"/>
  <c r="CG125" i="172"/>
  <c r="AD26" i="171"/>
  <c r="AD29" i="171" s="1"/>
  <c r="DA120" i="171"/>
  <c r="AF340" i="175"/>
  <c r="AJ418" i="175"/>
  <c r="AJ419" i="175" s="1"/>
  <c r="R9" i="8"/>
  <c r="AX121" i="175"/>
  <c r="EX50" i="8"/>
  <c r="FC50" i="8" s="1"/>
  <c r="FH50" i="8" s="1"/>
  <c r="AQ121" i="175"/>
  <c r="AU408" i="175"/>
  <c r="AU410" i="175" s="1"/>
  <c r="DT52" i="8"/>
  <c r="EA52" i="8"/>
  <c r="BH111" i="172"/>
  <c r="Z21" i="8"/>
  <c r="Z7" i="8" s="1"/>
  <c r="AJ237" i="175"/>
  <c r="AC122" i="171"/>
  <c r="AC126" i="171"/>
  <c r="CW126" i="171" s="1"/>
  <c r="B32" i="141"/>
  <c r="B60" i="141" s="1"/>
  <c r="AV368" i="175"/>
  <c r="AP7" i="9"/>
  <c r="AP16" i="9" s="1"/>
  <c r="AP25" i="9" s="1"/>
  <c r="AL60" i="171"/>
  <c r="AL63" i="171" s="1"/>
  <c r="AL340" i="175"/>
  <c r="CG19" i="171"/>
  <c r="CE43" i="135"/>
  <c r="DD165" i="135"/>
  <c r="FE137" i="135"/>
  <c r="AK122" i="171"/>
  <c r="AK126" i="171"/>
  <c r="AK129" i="171" s="1"/>
  <c r="FD137" i="135"/>
  <c r="AF126" i="171"/>
  <c r="AF262" i="171" s="1"/>
  <c r="U21" i="8"/>
  <c r="U7" i="8" s="1"/>
  <c r="AU340" i="175"/>
  <c r="DN165" i="135"/>
  <c r="BL206" i="172"/>
  <c r="BL199" i="172" s="1"/>
  <c r="CH120" i="171"/>
  <c r="AX402" i="175"/>
  <c r="DJ157" i="172"/>
  <c r="AF123" i="171"/>
  <c r="BO201" i="172"/>
  <c r="AT60" i="171"/>
  <c r="AT63" i="171" s="1"/>
  <c r="BZ160" i="135"/>
  <c r="DQ52" i="8"/>
  <c r="DB120" i="171"/>
  <c r="DX155" i="135"/>
  <c r="DI43" i="135"/>
  <c r="AP126" i="171"/>
  <c r="AP262" i="171" s="1"/>
  <c r="EY53" i="8"/>
  <c r="FD53" i="8" s="1"/>
  <c r="FI53" i="8" s="1"/>
  <c r="DS165" i="135"/>
  <c r="EB52" i="8"/>
  <c r="CS63" i="12"/>
  <c r="CS65" i="12" s="1"/>
  <c r="R369" i="172"/>
  <c r="AH122" i="171"/>
  <c r="AH126" i="171"/>
  <c r="AL26" i="171"/>
  <c r="AL27" i="171" s="1"/>
  <c r="AW277" i="172"/>
  <c r="CX52" i="8"/>
  <c r="AV60" i="171"/>
  <c r="DT41" i="9"/>
  <c r="DT43" i="9" s="1"/>
  <c r="AN237" i="175"/>
  <c r="AW122" i="171"/>
  <c r="AW308" i="175"/>
  <c r="CF120" i="171"/>
  <c r="N267" i="172"/>
  <c r="S268" i="172" s="1"/>
  <c r="BI259" i="172"/>
  <c r="AS26" i="171"/>
  <c r="X277" i="172"/>
  <c r="AY307" i="175"/>
  <c r="DQ29" i="135"/>
  <c r="BX122" i="175"/>
  <c r="AJ122" i="171"/>
  <c r="AJ126" i="171"/>
  <c r="DZ52" i="8"/>
  <c r="BC143" i="172"/>
  <c r="BC33" i="172" s="1"/>
  <c r="AX123" i="171"/>
  <c r="AL122" i="171"/>
  <c r="CZ120" i="171"/>
  <c r="DS151" i="135"/>
  <c r="CT160" i="135"/>
  <c r="CJ120" i="171"/>
  <c r="DW52" i="8"/>
  <c r="CZ52" i="8"/>
  <c r="AU121" i="175"/>
  <c r="AY33" i="175"/>
  <c r="AG122" i="171"/>
  <c r="AG126" i="171"/>
  <c r="AG129" i="171" s="1"/>
  <c r="AG169" i="171" s="1"/>
  <c r="DP52" i="8"/>
  <c r="DJ205" i="172"/>
  <c r="BH143" i="172"/>
  <c r="BH33" i="172" s="1"/>
  <c r="AP340" i="175"/>
  <c r="BN206" i="172"/>
  <c r="BN201" i="172"/>
  <c r="AU323" i="175"/>
  <c r="EH174" i="135"/>
  <c r="EY51" i="8"/>
  <c r="FD51" i="8" s="1"/>
  <c r="FI51" i="8" s="1"/>
  <c r="AS36" i="175"/>
  <c r="CT147" i="135"/>
  <c r="DJ52" i="8"/>
  <c r="AE369" i="172"/>
  <c r="EH147" i="135"/>
  <c r="C32" i="141"/>
  <c r="AP121" i="175"/>
  <c r="BC147" i="172"/>
  <c r="BC36" i="172" s="1"/>
  <c r="M369" i="172"/>
  <c r="AR121" i="175"/>
  <c r="AV122" i="171"/>
  <c r="CN63" i="12"/>
  <c r="CN65" i="12" s="1"/>
  <c r="AY422" i="175"/>
  <c r="DS26" i="135"/>
  <c r="DT29" i="135" s="1"/>
  <c r="AU26" i="171"/>
  <c r="DP29" i="135"/>
  <c r="BO206" i="172"/>
  <c r="BO207" i="172" s="1"/>
  <c r="BR206" i="172"/>
  <c r="BR207" i="172" s="1"/>
  <c r="BR201" i="172"/>
  <c r="DN41" i="9"/>
  <c r="DN43" i="9" s="1"/>
  <c r="DS44" i="9" s="1"/>
  <c r="AM386" i="175"/>
  <c r="AR387" i="175" s="1"/>
  <c r="AU402" i="175"/>
  <c r="DI202" i="172"/>
  <c r="DR29" i="135"/>
  <c r="AN122" i="171"/>
  <c r="AN126" i="171"/>
  <c r="AF122" i="171"/>
  <c r="DU52" i="8"/>
  <c r="AD122" i="171"/>
  <c r="AP122" i="171"/>
  <c r="CK52" i="8"/>
  <c r="DS59" i="135"/>
  <c r="EF41" i="9"/>
  <c r="EF43" i="9" s="1"/>
  <c r="AP368" i="175"/>
  <c r="AU369" i="175" s="1"/>
  <c r="BA122" i="171"/>
  <c r="BA126" i="171"/>
  <c r="BA129" i="171" s="1"/>
  <c r="AG277" i="172"/>
  <c r="BD143" i="172"/>
  <c r="BD33" i="172" s="1"/>
  <c r="W277" i="172"/>
  <c r="AE122" i="171"/>
  <c r="AE126" i="171"/>
  <c r="AE129" i="171" s="1"/>
  <c r="AA367" i="172"/>
  <c r="W369" i="172"/>
  <c r="BH259" i="172"/>
  <c r="AY277" i="172"/>
  <c r="AS122" i="171"/>
  <c r="AS126" i="171"/>
  <c r="AS129" i="171" s="1"/>
  <c r="DA253" i="172"/>
  <c r="DB255" i="172" s="1"/>
  <c r="EE52" i="8"/>
  <c r="BE206" i="172"/>
  <c r="BE207" i="172" s="1"/>
  <c r="AS121" i="175"/>
  <c r="AV121" i="175"/>
  <c r="AF60" i="171"/>
  <c r="DM52" i="8"/>
  <c r="BA140" i="172"/>
  <c r="BA197" i="172" s="1"/>
  <c r="AT122" i="171"/>
  <c r="AT126" i="171"/>
  <c r="AT129" i="171" s="1"/>
  <c r="AQ122" i="171"/>
  <c r="AQ126" i="171"/>
  <c r="AQ129" i="171" s="1"/>
  <c r="EZ50" i="8"/>
  <c r="FE50" i="8" s="1"/>
  <c r="FJ50" i="8" s="1"/>
  <c r="DV52" i="8"/>
  <c r="CE165" i="135"/>
  <c r="EZ51" i="8"/>
  <c r="FE51" i="8" s="1"/>
  <c r="FJ51" i="8" s="1"/>
  <c r="EZ53" i="8"/>
  <c r="FE53" i="8" s="1"/>
  <c r="FJ53" i="8" s="1"/>
  <c r="AI122" i="171"/>
  <c r="CJ151" i="135"/>
  <c r="AJ422" i="175"/>
  <c r="AJ423" i="175" s="1"/>
  <c r="EF64" i="135"/>
  <c r="CI52" i="8"/>
  <c r="CF52" i="8"/>
  <c r="AY122" i="171"/>
  <c r="AY126" i="171"/>
  <c r="AY262" i="171" s="1"/>
  <c r="AD369" i="172"/>
  <c r="DS41" i="9"/>
  <c r="DS43" i="9" s="1"/>
  <c r="DX44" i="9" s="1"/>
  <c r="AR126" i="171"/>
  <c r="AR129" i="171" s="1"/>
  <c r="AO122" i="171"/>
  <c r="AO126" i="171"/>
  <c r="AO129" i="171" s="1"/>
  <c r="S21" i="8"/>
  <c r="S7" i="8" s="1"/>
  <c r="DX41" i="9"/>
  <c r="DX43" i="9" s="1"/>
  <c r="EC44" i="9" s="1"/>
  <c r="CQ63" i="12"/>
  <c r="CQ65" i="12" s="1"/>
  <c r="AK386" i="175"/>
  <c r="AP387" i="175" s="1"/>
  <c r="EY50" i="8"/>
  <c r="FD50" i="8" s="1"/>
  <c r="FI50" i="8" s="1"/>
  <c r="AU122" i="171"/>
  <c r="AU126" i="171"/>
  <c r="AU129" i="171" s="1"/>
  <c r="AR122" i="171"/>
  <c r="CI120" i="171"/>
  <c r="BB122" i="171"/>
  <c r="BB126" i="171"/>
  <c r="CY143" i="135"/>
  <c r="EM92" i="135"/>
  <c r="ER92" i="135" s="1"/>
  <c r="ES92" i="135" s="1"/>
  <c r="CG52" i="8"/>
  <c r="CM52" i="8"/>
  <c r="DE63" i="12"/>
  <c r="DE65" i="12" s="1"/>
  <c r="AX122" i="171"/>
  <c r="AX126" i="171"/>
  <c r="AB369" i="172"/>
  <c r="BT206" i="172"/>
  <c r="AY26" i="171"/>
  <c r="DK52" i="8"/>
  <c r="EM90" i="135"/>
  <c r="ER90" i="135" s="1"/>
  <c r="ES90" i="135" s="1"/>
  <c r="Z369" i="172"/>
  <c r="AO307" i="175"/>
  <c r="BA60" i="171"/>
  <c r="EM91" i="135"/>
  <c r="ER91" i="135" s="1"/>
  <c r="ES91" i="135" s="1"/>
  <c r="ET92" i="135" l="1"/>
  <c r="ET90" i="135"/>
  <c r="ET91" i="135"/>
  <c r="AW45" i="171"/>
  <c r="AX45" i="171"/>
  <c r="AP39" i="175"/>
  <c r="AL341" i="175"/>
  <c r="DZ30" i="135"/>
  <c r="AG308" i="175"/>
  <c r="AG308" i="189"/>
  <c r="AF308" i="175"/>
  <c r="AF308" i="189"/>
  <c r="AB308" i="175"/>
  <c r="AB308" i="189"/>
  <c r="AC308" i="175"/>
  <c r="AC308" i="189"/>
  <c r="BI197" i="172"/>
  <c r="AI431" i="189"/>
  <c r="AH308" i="175"/>
  <c r="AH308" i="189"/>
  <c r="BG197" i="172"/>
  <c r="AG431" i="189"/>
  <c r="AI308" i="175"/>
  <c r="AI308" i="189"/>
  <c r="AD308" i="175"/>
  <c r="AD308" i="189"/>
  <c r="AA308" i="175"/>
  <c r="AA308" i="189"/>
  <c r="BC27" i="171"/>
  <c r="AY32" i="171"/>
  <c r="AY44" i="171" s="1"/>
  <c r="AY45" i="171" s="1"/>
  <c r="BB282" i="171"/>
  <c r="AO342" i="175"/>
  <c r="AO342" i="189"/>
  <c r="BT63" i="172"/>
  <c r="CR97" i="172"/>
  <c r="CO99" i="172"/>
  <c r="CQ126" i="172"/>
  <c r="CO128" i="172"/>
  <c r="CR126" i="172"/>
  <c r="EK131" i="135"/>
  <c r="EK132" i="135" s="1"/>
  <c r="EK134" i="135" s="1"/>
  <c r="AI169" i="171"/>
  <c r="AI187" i="171" s="1"/>
  <c r="CF123" i="171"/>
  <c r="AM27" i="171"/>
  <c r="CF26" i="171"/>
  <c r="BM282" i="171"/>
  <c r="AS27" i="171"/>
  <c r="AJ27" i="171"/>
  <c r="CY60" i="171"/>
  <c r="CL181" i="171"/>
  <c r="AU27" i="171"/>
  <c r="BH282" i="171"/>
  <c r="BF282" i="171"/>
  <c r="AS29" i="171"/>
  <c r="AO27" i="171"/>
  <c r="CH123" i="171"/>
  <c r="AK64" i="171"/>
  <c r="DB32" i="171"/>
  <c r="DB33" i="171" s="1"/>
  <c r="AE169" i="171"/>
  <c r="AE187" i="171" s="1"/>
  <c r="AQ282" i="171"/>
  <c r="EA30" i="135"/>
  <c r="EZ49" i="8"/>
  <c r="FE49" i="8" s="1"/>
  <c r="FJ49" i="8" s="1"/>
  <c r="EY49" i="8"/>
  <c r="FD49" i="8" s="1"/>
  <c r="FI49" i="8" s="1"/>
  <c r="EF30" i="135"/>
  <c r="EK30" i="135" s="1"/>
  <c r="AY423" i="175"/>
  <c r="EB30" i="135"/>
  <c r="CJ20" i="171"/>
  <c r="DC123" i="171"/>
  <c r="AO362" i="175"/>
  <c r="H254" i="172"/>
  <c r="AA369" i="172"/>
  <c r="DD70" i="135"/>
  <c r="F254" i="172"/>
  <c r="BT8" i="7"/>
  <c r="BQ10" i="7"/>
  <c r="BQ28" i="7"/>
  <c r="BQ9" i="7"/>
  <c r="BQ25" i="7"/>
  <c r="BQ174" i="7"/>
  <c r="BQ170" i="7"/>
  <c r="BQ173" i="7"/>
  <c r="BQ31" i="7"/>
  <c r="BQ18" i="7"/>
  <c r="BQ35" i="7"/>
  <c r="BQ172" i="7"/>
  <c r="BQ171" i="7"/>
  <c r="H245" i="172"/>
  <c r="BV8" i="7"/>
  <c r="D254" i="172"/>
  <c r="BR8" i="7"/>
  <c r="BU8" i="7" s="1"/>
  <c r="BS171" i="7"/>
  <c r="BS35" i="7"/>
  <c r="BS174" i="7"/>
  <c r="BS170" i="7"/>
  <c r="BS31" i="7"/>
  <c r="BS173" i="7"/>
  <c r="BS28" i="7"/>
  <c r="BS9" i="7"/>
  <c r="BS172" i="7"/>
  <c r="BS25" i="7"/>
  <c r="BS18" i="7"/>
  <c r="BS10" i="7"/>
  <c r="N211" i="172"/>
  <c r="CB8" i="7"/>
  <c r="CC10" i="7" s="1"/>
  <c r="K292" i="172"/>
  <c r="BY8" i="7"/>
  <c r="P292" i="172"/>
  <c r="CD8" i="7"/>
  <c r="FS8" i="7" s="1"/>
  <c r="M292" i="172"/>
  <c r="CA8" i="7"/>
  <c r="CC9" i="7"/>
  <c r="CC171" i="7"/>
  <c r="CC174" i="7"/>
  <c r="CC170" i="7"/>
  <c r="CC173" i="7"/>
  <c r="CC28" i="7"/>
  <c r="CC31" i="7"/>
  <c r="CC172" i="7"/>
  <c r="CC25" i="7"/>
  <c r="CC18" i="7"/>
  <c r="CC35" i="7"/>
  <c r="CH9" i="7"/>
  <c r="BX18" i="7"/>
  <c r="BX171" i="7"/>
  <c r="BX28" i="7"/>
  <c r="BX174" i="7"/>
  <c r="BX170" i="7"/>
  <c r="BX9" i="7"/>
  <c r="BX173" i="7"/>
  <c r="BX25" i="7"/>
  <c r="BX172" i="7"/>
  <c r="BX31" i="7"/>
  <c r="BX35" i="7"/>
  <c r="I225" i="172"/>
  <c r="BW8" i="7"/>
  <c r="F33" i="141"/>
  <c r="CY70" i="135"/>
  <c r="AY308" i="175"/>
  <c r="AL250" i="175"/>
  <c r="AO308" i="175"/>
  <c r="EE30" i="135"/>
  <c r="EJ30" i="135" s="1"/>
  <c r="DI44" i="135"/>
  <c r="DI32" i="172"/>
  <c r="AX420" i="175"/>
  <c r="AM264" i="175"/>
  <c r="AK250" i="175"/>
  <c r="BJ140" i="172"/>
  <c r="DJ203" i="172"/>
  <c r="DI201" i="172"/>
  <c r="DJ32" i="172"/>
  <c r="DK33" i="172" s="1"/>
  <c r="P254" i="172"/>
  <c r="EG52" i="8"/>
  <c r="DS70" i="135"/>
  <c r="DI70" i="135"/>
  <c r="BK150" i="172"/>
  <c r="AZ65" i="8"/>
  <c r="AZ68" i="8" s="1"/>
  <c r="AZ69" i="8" s="1"/>
  <c r="AZ70" i="8" s="1"/>
  <c r="AZ7" i="9"/>
  <c r="AZ16" i="9" s="1"/>
  <c r="AZ25" i="9" s="1"/>
  <c r="AZ41" i="9" s="1"/>
  <c r="AZ43" i="9" s="1"/>
  <c r="AZ44" i="9" s="1"/>
  <c r="DI203" i="172"/>
  <c r="CO64" i="135"/>
  <c r="CY64" i="135"/>
  <c r="DJ201" i="172"/>
  <c r="BK36" i="172"/>
  <c r="BK282" i="171"/>
  <c r="BY120" i="175"/>
  <c r="AO367" i="175"/>
  <c r="AS39" i="175"/>
  <c r="AS363" i="175"/>
  <c r="AY120" i="175"/>
  <c r="BX120" i="175"/>
  <c r="AJ340" i="175"/>
  <c r="AT423" i="175"/>
  <c r="BD120" i="175"/>
  <c r="AX369" i="175"/>
  <c r="AQ363" i="175"/>
  <c r="AY36" i="175"/>
  <c r="BX308" i="175"/>
  <c r="BY123" i="175"/>
  <c r="BY308" i="175"/>
  <c r="AV27" i="171"/>
  <c r="AX27" i="171"/>
  <c r="DB20" i="171"/>
  <c r="CX60" i="171"/>
  <c r="CY61" i="171" s="1"/>
  <c r="CI281" i="171"/>
  <c r="CJ282" i="171" s="1"/>
  <c r="AV341" i="175"/>
  <c r="AV282" i="171"/>
  <c r="AX282" i="171"/>
  <c r="CH409" i="172"/>
  <c r="CI409" i="172" s="1"/>
  <c r="DE181" i="171"/>
  <c r="DA281" i="171"/>
  <c r="DA285" i="171" s="1"/>
  <c r="DC20" i="171"/>
  <c r="CZ26" i="171"/>
  <c r="CZ29" i="171" s="1"/>
  <c r="CY20" i="171"/>
  <c r="DB18" i="171"/>
  <c r="CI20" i="171"/>
  <c r="AK27" i="171"/>
  <c r="CJ123" i="171"/>
  <c r="BK60" i="171"/>
  <c r="BD282" i="171"/>
  <c r="AX341" i="175"/>
  <c r="DC281" i="171"/>
  <c r="DC290" i="171" s="1"/>
  <c r="DE22" i="171"/>
  <c r="CM22" i="171"/>
  <c r="CL18" i="171"/>
  <c r="CM20" i="171"/>
  <c r="BC282" i="171"/>
  <c r="CK20" i="171"/>
  <c r="CL281" i="171"/>
  <c r="CM282" i="171" s="1"/>
  <c r="DC18" i="171"/>
  <c r="DD20" i="171"/>
  <c r="DE20" i="171"/>
  <c r="BG150" i="172"/>
  <c r="N254" i="172"/>
  <c r="BH150" i="172"/>
  <c r="DT63" i="12"/>
  <c r="DT65" i="12" s="1"/>
  <c r="BI150" i="172"/>
  <c r="AX410" i="175"/>
  <c r="AI431" i="175"/>
  <c r="BX123" i="175"/>
  <c r="DB63" i="12"/>
  <c r="DB65" i="12" s="1"/>
  <c r="DN70" i="135"/>
  <c r="DS57" i="9"/>
  <c r="DS59" i="9" s="1"/>
  <c r="DN57" i="9"/>
  <c r="DN59" i="9" s="1"/>
  <c r="BA61" i="171"/>
  <c r="BA63" i="171"/>
  <c r="EG57" i="9"/>
  <c r="EG59" i="9" s="1"/>
  <c r="DM63" i="12"/>
  <c r="DM65" i="12" s="1"/>
  <c r="DR57" i="9"/>
  <c r="DR59" i="9" s="1"/>
  <c r="AL66" i="171"/>
  <c r="AL144" i="171"/>
  <c r="CW167" i="171"/>
  <c r="CW127" i="171" s="1"/>
  <c r="CW128" i="171"/>
  <c r="U259" i="171"/>
  <c r="AP41" i="9"/>
  <c r="AP43" i="9" s="1"/>
  <c r="AP44" i="9" s="1"/>
  <c r="AP54" i="9"/>
  <c r="EC57" i="9"/>
  <c r="EC59" i="9" s="1"/>
  <c r="AZ155" i="175"/>
  <c r="AZ157" i="175" s="1"/>
  <c r="D52" i="8"/>
  <c r="DA52" i="8"/>
  <c r="AY52" i="8"/>
  <c r="BM52" i="8"/>
  <c r="AJ52" i="8"/>
  <c r="DC126" i="171"/>
  <c r="AX128" i="171"/>
  <c r="AX262" i="171"/>
  <c r="AO52" i="8"/>
  <c r="BC231" i="171"/>
  <c r="BC182" i="171" s="1"/>
  <c r="BC269" i="171"/>
  <c r="BC60" i="171"/>
  <c r="BB128" i="171"/>
  <c r="X52" i="8"/>
  <c r="E7" i="9"/>
  <c r="E16" i="9" s="1"/>
  <c r="E25" i="9" s="1"/>
  <c r="E41" i="9" s="1"/>
  <c r="E43" i="9" s="1"/>
  <c r="E44" i="9" s="1"/>
  <c r="AY23" i="171"/>
  <c r="AY270" i="171"/>
  <c r="AY269" i="171"/>
  <c r="CJ22" i="171"/>
  <c r="DC22" i="171"/>
  <c r="DC23" i="171" s="1"/>
  <c r="AY60" i="171"/>
  <c r="CJ60" i="171" s="1"/>
  <c r="AY231" i="171"/>
  <c r="BG52" i="8"/>
  <c r="AY129" i="171"/>
  <c r="BC52" i="8"/>
  <c r="G52" i="8"/>
  <c r="AF52" i="8"/>
  <c r="CF60" i="171"/>
  <c r="AC52" i="8"/>
  <c r="AR52" i="8"/>
  <c r="BM270" i="171"/>
  <c r="BM269" i="171"/>
  <c r="BM231" i="171"/>
  <c r="CJ260" i="172" s="1"/>
  <c r="CO261" i="172" s="1"/>
  <c r="BM23" i="171"/>
  <c r="BM60" i="171"/>
  <c r="BR61" i="171" s="1"/>
  <c r="AN128" i="171"/>
  <c r="CH126" i="171"/>
  <c r="AU29" i="171"/>
  <c r="AM52" i="8"/>
  <c r="AU325" i="175"/>
  <c r="AP341" i="175"/>
  <c r="AT340" i="175"/>
  <c r="BA231" i="171"/>
  <c r="BA182" i="171" s="1"/>
  <c r="AG187" i="171"/>
  <c r="AJ194" i="171"/>
  <c r="AJ167" i="171"/>
  <c r="AJ128" i="171"/>
  <c r="CG126" i="171"/>
  <c r="AJ262" i="171"/>
  <c r="EF52" i="8"/>
  <c r="AH194" i="171"/>
  <c r="AH167" i="171"/>
  <c r="AH128" i="171"/>
  <c r="CY127" i="171"/>
  <c r="CY126" i="171"/>
  <c r="AH129" i="171"/>
  <c r="Q52" i="8"/>
  <c r="AT64" i="171"/>
  <c r="BD36" i="175"/>
  <c r="DK66" i="135"/>
  <c r="DN64" i="135"/>
  <c r="AP146" i="171"/>
  <c r="BC197" i="172"/>
  <c r="DI140" i="172"/>
  <c r="E60" i="141"/>
  <c r="E47" i="141"/>
  <c r="E33" i="141"/>
  <c r="CG63" i="12"/>
  <c r="CG65" i="12" s="1"/>
  <c r="CM455" i="172"/>
  <c r="CM158" i="172"/>
  <c r="CM157" i="172" s="1"/>
  <c r="EE63" i="12"/>
  <c r="EE65" i="12" s="1"/>
  <c r="AQ39" i="175"/>
  <c r="X259" i="171"/>
  <c r="ED52" i="8"/>
  <c r="AR61" i="171"/>
  <c r="CI60" i="171"/>
  <c r="BQ207" i="172"/>
  <c r="BQ193" i="172"/>
  <c r="BQ199" i="172" s="1"/>
  <c r="CK22" i="171"/>
  <c r="BD37" i="175"/>
  <c r="DB52" i="8"/>
  <c r="AO66" i="171"/>
  <c r="AO61" i="171"/>
  <c r="AM277" i="171"/>
  <c r="AM128" i="171"/>
  <c r="AM262" i="171"/>
  <c r="DI27" i="135"/>
  <c r="CX123" i="171"/>
  <c r="DB26" i="171"/>
  <c r="CF27" i="171"/>
  <c r="Y52" i="8"/>
  <c r="CU52" i="8"/>
  <c r="CU63" i="12"/>
  <c r="CU65" i="12" s="1"/>
  <c r="CQ52" i="8"/>
  <c r="AU107" i="175"/>
  <c r="AV33" i="171"/>
  <c r="AS52" i="8"/>
  <c r="CI129" i="171"/>
  <c r="AY128" i="171"/>
  <c r="V52" i="8"/>
  <c r="AH52" i="8"/>
  <c r="AB259" i="171"/>
  <c r="DM57" i="9"/>
  <c r="DM59" i="9" s="1"/>
  <c r="BL52" i="8"/>
  <c r="L52" i="8"/>
  <c r="AE170" i="171"/>
  <c r="CF63" i="12"/>
  <c r="CF65" i="12" s="1"/>
  <c r="BA128" i="171"/>
  <c r="BA262" i="171"/>
  <c r="BJ52" i="8"/>
  <c r="BE52" i="8"/>
  <c r="BB269" i="171"/>
  <c r="BB23" i="171"/>
  <c r="BB270" i="171"/>
  <c r="BB60" i="171"/>
  <c r="BD52" i="8"/>
  <c r="AG194" i="171"/>
  <c r="AG167" i="171"/>
  <c r="AG128" i="171"/>
  <c r="AG262" i="171"/>
  <c r="AA52" i="8"/>
  <c r="AV107" i="175"/>
  <c r="AW33" i="171"/>
  <c r="AV61" i="171"/>
  <c r="AV63" i="171"/>
  <c r="AP129" i="171"/>
  <c r="DC122" i="171"/>
  <c r="Z52" i="8"/>
  <c r="AT61" i="171"/>
  <c r="DB60" i="171"/>
  <c r="CI122" i="171"/>
  <c r="BL207" i="172"/>
  <c r="AY340" i="175"/>
  <c r="AU341" i="175"/>
  <c r="AK128" i="171"/>
  <c r="AK262" i="171"/>
  <c r="BB262" i="171"/>
  <c r="AP52" i="8"/>
  <c r="AU409" i="175"/>
  <c r="CW52" i="8"/>
  <c r="CW63" i="12"/>
  <c r="CW65" i="12" s="1"/>
  <c r="B57" i="141"/>
  <c r="BB231" i="171"/>
  <c r="AP64" i="171"/>
  <c r="E57" i="141"/>
  <c r="AP65" i="8"/>
  <c r="CI63" i="12"/>
  <c r="CI65" i="12" s="1"/>
  <c r="BK199" i="172"/>
  <c r="BB162" i="171"/>
  <c r="CZ122" i="171"/>
  <c r="DA53" i="171"/>
  <c r="DL283" i="171" s="1"/>
  <c r="DL284" i="171" s="1"/>
  <c r="AI194" i="171"/>
  <c r="AI167" i="171"/>
  <c r="AI128" i="171"/>
  <c r="AI262" i="171"/>
  <c r="BW36" i="175"/>
  <c r="AT36" i="175"/>
  <c r="DD181" i="171"/>
  <c r="DC181" i="171"/>
  <c r="CJ126" i="171"/>
  <c r="AV128" i="171"/>
  <c r="AV129" i="171"/>
  <c r="DD27" i="135"/>
  <c r="BB26" i="171"/>
  <c r="AW27" i="171"/>
  <c r="AK341" i="175"/>
  <c r="AO340" i="175"/>
  <c r="AW129" i="171"/>
  <c r="AW128" i="171"/>
  <c r="AN61" i="171"/>
  <c r="CH60" i="171"/>
  <c r="AN63" i="171"/>
  <c r="BS193" i="172"/>
  <c r="DK201" i="172"/>
  <c r="AX144" i="171"/>
  <c r="AX277" i="171" s="1"/>
  <c r="AX64" i="171"/>
  <c r="BA23" i="171"/>
  <c r="BA270" i="171"/>
  <c r="BA269" i="171"/>
  <c r="I52" i="8"/>
  <c r="K52" i="8"/>
  <c r="BN231" i="171"/>
  <c r="CK260" i="172" s="1"/>
  <c r="CP261" i="172" s="1"/>
  <c r="BN270" i="171"/>
  <c r="BN23" i="171"/>
  <c r="BN269" i="171"/>
  <c r="BN60" i="171"/>
  <c r="BS61" i="171" s="1"/>
  <c r="T52" i="8"/>
  <c r="AX52" i="8"/>
  <c r="BG269" i="171"/>
  <c r="BG231" i="171"/>
  <c r="CE260" i="172" s="1"/>
  <c r="BG270" i="171"/>
  <c r="BG60" i="171"/>
  <c r="BB52" i="8"/>
  <c r="J52" i="8"/>
  <c r="CV52" i="8"/>
  <c r="CV63" i="12"/>
  <c r="CV65" i="12" s="1"/>
  <c r="E52" i="8"/>
  <c r="CJ122" i="171"/>
  <c r="AU128" i="171"/>
  <c r="AU262" i="171"/>
  <c r="S52" i="8"/>
  <c r="AO277" i="171"/>
  <c r="AO128" i="171"/>
  <c r="AO262" i="171"/>
  <c r="DL206" i="172"/>
  <c r="CR52" i="8"/>
  <c r="AR128" i="171"/>
  <c r="CI126" i="171"/>
  <c r="EG63" i="12"/>
  <c r="EG65" i="12" s="1"/>
  <c r="DC52" i="8"/>
  <c r="AN52" i="8"/>
  <c r="CL52" i="8"/>
  <c r="CL63" i="12"/>
  <c r="CL65" i="12" s="1"/>
  <c r="AE167" i="171"/>
  <c r="AE194" i="171"/>
  <c r="AE128" i="171"/>
  <c r="AE262" i="171"/>
  <c r="BO52" i="8"/>
  <c r="BD269" i="171"/>
  <c r="BD23" i="171"/>
  <c r="BD270" i="171"/>
  <c r="BD60" i="171"/>
  <c r="BA155" i="175"/>
  <c r="DX27" i="135"/>
  <c r="DS27" i="135"/>
  <c r="BI52" i="8"/>
  <c r="CH52" i="8"/>
  <c r="CH63" i="12"/>
  <c r="CH65" i="12" s="1"/>
  <c r="P52" i="8"/>
  <c r="BN207" i="172"/>
  <c r="BN193" i="172"/>
  <c r="BF23" i="171"/>
  <c r="BF269" i="171"/>
  <c r="BF270" i="171"/>
  <c r="CL22" i="171"/>
  <c r="BF231" i="171"/>
  <c r="BF182" i="171" s="1"/>
  <c r="DA122" i="171"/>
  <c r="CG122" i="171"/>
  <c r="AP277" i="171"/>
  <c r="DA127" i="171"/>
  <c r="AP128" i="171"/>
  <c r="DA126" i="171"/>
  <c r="BA162" i="171"/>
  <c r="BA26" i="171"/>
  <c r="BA32" i="171" s="1"/>
  <c r="BA44" i="171" s="1"/>
  <c r="EY137" i="135"/>
  <c r="EY131" i="135"/>
  <c r="FD132" i="135" s="1"/>
  <c r="CE126" i="171"/>
  <c r="CE194" i="171" s="1"/>
  <c r="DB122" i="171"/>
  <c r="AY27" i="171"/>
  <c r="DD22" i="171"/>
  <c r="W259" i="171"/>
  <c r="BR193" i="172"/>
  <c r="BR199" i="172" s="1"/>
  <c r="AP61" i="171"/>
  <c r="DA60" i="171"/>
  <c r="CJ26" i="171"/>
  <c r="BD231" i="171"/>
  <c r="DA289" i="171"/>
  <c r="DA280" i="171"/>
  <c r="AT66" i="171"/>
  <c r="AU294" i="172"/>
  <c r="AP294" i="172"/>
  <c r="CZ123" i="171"/>
  <c r="AR27" i="171"/>
  <c r="CI26" i="171"/>
  <c r="AN265" i="175"/>
  <c r="BX37" i="175"/>
  <c r="AY37" i="175"/>
  <c r="BO193" i="172"/>
  <c r="DL107" i="172"/>
  <c r="CS52" i="8"/>
  <c r="AO147" i="171"/>
  <c r="CM475" i="172"/>
  <c r="CM128" i="172"/>
  <c r="CM126" i="172"/>
  <c r="CM182" i="172"/>
  <c r="CM181" i="172" s="1"/>
  <c r="EH64" i="135"/>
  <c r="AR262" i="171"/>
  <c r="AP66" i="171"/>
  <c r="AR63" i="171"/>
  <c r="AR66" i="171" s="1"/>
  <c r="BD123" i="175"/>
  <c r="AO419" i="175"/>
  <c r="AD52" i="8"/>
  <c r="BH52" i="8"/>
  <c r="BT207" i="172"/>
  <c r="BT193" i="172"/>
  <c r="F52" i="8"/>
  <c r="AW52" i="8"/>
  <c r="AX129" i="171"/>
  <c r="DE52" i="8"/>
  <c r="AW107" i="175"/>
  <c r="BB155" i="175"/>
  <c r="BB157" i="175" s="1"/>
  <c r="BN52" i="8"/>
  <c r="AK52" i="8"/>
  <c r="BB129" i="171"/>
  <c r="BH231" i="171"/>
  <c r="CF260" i="172" s="1"/>
  <c r="BH270" i="171"/>
  <c r="BH23" i="171"/>
  <c r="BH269" i="171"/>
  <c r="BH60" i="171"/>
  <c r="AX155" i="175"/>
  <c r="DF52" i="8"/>
  <c r="DF63" i="12"/>
  <c r="DF65" i="12" s="1"/>
  <c r="CR63" i="12"/>
  <c r="CR65" i="12" s="1"/>
  <c r="AE52" i="8"/>
  <c r="AT128" i="171"/>
  <c r="DB126" i="171"/>
  <c r="AT262" i="171"/>
  <c r="DR52" i="8"/>
  <c r="DR63" i="12"/>
  <c r="DR65" i="12" s="1"/>
  <c r="AF63" i="171"/>
  <c r="AF66" i="171" s="1"/>
  <c r="BL269" i="171"/>
  <c r="BL231" i="171"/>
  <c r="BL182" i="171" s="1"/>
  <c r="BQ183" i="171" s="1"/>
  <c r="BL270" i="171"/>
  <c r="BL23" i="171"/>
  <c r="BE199" i="172"/>
  <c r="AS128" i="171"/>
  <c r="AS262" i="171"/>
  <c r="U52" i="8"/>
  <c r="CP52" i="8"/>
  <c r="CP63" i="12"/>
  <c r="CP65" i="12" s="1"/>
  <c r="O52" i="8"/>
  <c r="AI52" i="8"/>
  <c r="AN129" i="171"/>
  <c r="EG30" i="135"/>
  <c r="EL30" i="135" s="1"/>
  <c r="BI231" i="171"/>
  <c r="CG260" i="172" s="1"/>
  <c r="BI269" i="171"/>
  <c r="BI270" i="171"/>
  <c r="BI23" i="171"/>
  <c r="BI60" i="171"/>
  <c r="AT52" i="8"/>
  <c r="BO303" i="172"/>
  <c r="AQ262" i="171"/>
  <c r="CN52" i="8"/>
  <c r="AU52" i="8"/>
  <c r="AY162" i="171"/>
  <c r="C47" i="141"/>
  <c r="C60" i="141"/>
  <c r="DO52" i="8"/>
  <c r="BN303" i="172"/>
  <c r="AJ129" i="171"/>
  <c r="EF63" i="12"/>
  <c r="EF65" i="12" s="1"/>
  <c r="AZ52" i="8"/>
  <c r="AH262" i="171"/>
  <c r="AL29" i="171"/>
  <c r="BF60" i="171"/>
  <c r="AT144" i="171"/>
  <c r="AT277" i="171" s="1"/>
  <c r="N52" i="8"/>
  <c r="AF167" i="171"/>
  <c r="AF194" i="171"/>
  <c r="CF126" i="171"/>
  <c r="AF128" i="171"/>
  <c r="EZ131" i="135"/>
  <c r="FE132" i="135" s="1"/>
  <c r="EZ137" i="135"/>
  <c r="EZ138" i="135"/>
  <c r="CH20" i="171"/>
  <c r="CG281" i="171"/>
  <c r="CG18" i="171"/>
  <c r="CZ60" i="171"/>
  <c r="CZ61" i="171" s="1"/>
  <c r="AL61" i="171"/>
  <c r="AC194" i="171"/>
  <c r="AC167" i="171"/>
  <c r="AC128" i="171"/>
  <c r="AC129" i="171"/>
  <c r="AC262" i="171"/>
  <c r="AC263" i="171" s="1"/>
  <c r="AD263" i="171" s="1"/>
  <c r="AN262" i="171"/>
  <c r="CG182" i="172"/>
  <c r="CG475" i="172"/>
  <c r="BK33" i="172"/>
  <c r="AH61" i="171"/>
  <c r="AH63" i="171"/>
  <c r="AL64" i="171" s="1"/>
  <c r="DI64" i="135"/>
  <c r="AP147" i="171"/>
  <c r="CE122" i="171"/>
  <c r="CF122" i="171"/>
  <c r="AG172" i="171"/>
  <c r="AQ63" i="171"/>
  <c r="AQ61" i="171"/>
  <c r="BL60" i="171"/>
  <c r="BQ61" i="171" s="1"/>
  <c r="AX33" i="171"/>
  <c r="AF129" i="171"/>
  <c r="BP193" i="172"/>
  <c r="ED63" i="12"/>
  <c r="ED65" i="12" s="1"/>
  <c r="B33" i="141"/>
  <c r="AQ128" i="171"/>
  <c r="AO29" i="171"/>
  <c r="BC270" i="171"/>
  <c r="AM129" i="171"/>
  <c r="DT59" i="135"/>
  <c r="DX59" i="135" s="1"/>
  <c r="CG123" i="171"/>
  <c r="DD64" i="135"/>
  <c r="CG26" i="171"/>
  <c r="DM107" i="172"/>
  <c r="AL264" i="175"/>
  <c r="Q255" i="172"/>
  <c r="V255" i="172"/>
  <c r="Q297" i="172"/>
  <c r="Q254" i="172" s="1"/>
  <c r="Q270" i="172"/>
  <c r="DB123" i="171"/>
  <c r="DX47" i="8"/>
  <c r="AR294" i="172"/>
  <c r="AM294" i="172"/>
  <c r="AM29" i="171"/>
  <c r="AQ30" i="171" s="1"/>
  <c r="CZ127" i="171"/>
  <c r="AL128" i="171"/>
  <c r="AL129" i="171"/>
  <c r="AL262" i="171"/>
  <c r="AR242" i="175"/>
  <c r="AR243" i="175"/>
  <c r="AH431" i="175"/>
  <c r="BH197" i="172"/>
  <c r="AN27" i="171"/>
  <c r="CH26" i="171"/>
  <c r="EJ137" i="135"/>
  <c r="EJ139" i="135" s="1"/>
  <c r="AT29" i="171"/>
  <c r="CF281" i="171"/>
  <c r="CF282" i="171" s="1"/>
  <c r="CG20" i="171"/>
  <c r="AE340" i="175"/>
  <c r="CF18" i="171"/>
  <c r="AU426" i="175"/>
  <c r="AV428" i="175" s="1"/>
  <c r="BX418" i="175"/>
  <c r="AU330" i="175"/>
  <c r="AU420" i="175"/>
  <c r="DA26" i="171"/>
  <c r="BK270" i="171"/>
  <c r="BK23" i="171"/>
  <c r="BK231" i="171"/>
  <c r="BK182" i="171" s="1"/>
  <c r="BP183" i="171" s="1"/>
  <c r="BK269" i="171"/>
  <c r="DK206" i="172"/>
  <c r="DK207" i="172" s="1"/>
  <c r="DX48" i="8"/>
  <c r="AQ242" i="175"/>
  <c r="AQ243" i="175"/>
  <c r="EK138" i="135"/>
  <c r="EK137" i="135"/>
  <c r="EK139" i="135" s="1"/>
  <c r="AD194" i="171"/>
  <c r="AD167" i="171"/>
  <c r="CX126" i="171"/>
  <c r="CX194" i="171" s="1"/>
  <c r="AD128" i="171"/>
  <c r="AD129" i="171"/>
  <c r="CT64" i="135"/>
  <c r="CY123" i="171"/>
  <c r="AQ27" i="171"/>
  <c r="AU61" i="171"/>
  <c r="AU63" i="171"/>
  <c r="AP27" i="171"/>
  <c r="AW325" i="175"/>
  <c r="AF431" i="175"/>
  <c r="BF197" i="172"/>
  <c r="BY37" i="175"/>
  <c r="AW409" i="175"/>
  <c r="BM193" i="172"/>
  <c r="BM199" i="172" s="1"/>
  <c r="AS61" i="171"/>
  <c r="AS63" i="171"/>
  <c r="CI123" i="171"/>
  <c r="BY36" i="175"/>
  <c r="AX61" i="171"/>
  <c r="AX66" i="171"/>
  <c r="AJ29" i="171"/>
  <c r="AJ61" i="171"/>
  <c r="AO423" i="175"/>
  <c r="DJ29" i="135"/>
  <c r="ED30" i="135" s="1"/>
  <c r="EI30" i="135" s="1"/>
  <c r="DN27" i="135"/>
  <c r="Q267" i="172"/>
  <c r="V268" i="172" s="1"/>
  <c r="CH122" i="171"/>
  <c r="AT27" i="171"/>
  <c r="AW61" i="171"/>
  <c r="AW63" i="171"/>
  <c r="CZ126" i="171"/>
  <c r="F47" i="141"/>
  <c r="F60" i="141"/>
  <c r="AY418" i="175"/>
  <c r="AY419" i="175" s="1"/>
  <c r="DJ140" i="172"/>
  <c r="AN29" i="171"/>
  <c r="EJ131" i="135"/>
  <c r="EO132" i="135" s="1"/>
  <c r="DS64" i="135"/>
  <c r="DA123" i="171"/>
  <c r="AM147" i="171"/>
  <c r="AM146" i="171"/>
  <c r="AF428" i="175"/>
  <c r="AK429" i="175" s="1"/>
  <c r="AJ426" i="175"/>
  <c r="AJ427" i="175" s="1"/>
  <c r="AF427" i="175"/>
  <c r="AS242" i="175"/>
  <c r="AS243" i="175"/>
  <c r="BX36" i="175"/>
  <c r="V7" i="8"/>
  <c r="AM61" i="171"/>
  <c r="AM66" i="171"/>
  <c r="AM150" i="171" s="1"/>
  <c r="D47" i="141"/>
  <c r="D60" i="141"/>
  <c r="BT52" i="172"/>
  <c r="BT47" i="172"/>
  <c r="CG60" i="171"/>
  <c r="AK61" i="171"/>
  <c r="AK66" i="171"/>
  <c r="AK150" i="171" s="1"/>
  <c r="DJ206" i="172"/>
  <c r="DJ207" i="172" s="1"/>
  <c r="AO249" i="175"/>
  <c r="AI61" i="171"/>
  <c r="AI66" i="171"/>
  <c r="AD66" i="171"/>
  <c r="CE60" i="171"/>
  <c r="DB289" i="171"/>
  <c r="DB280" i="171"/>
  <c r="CH182" i="172"/>
  <c r="CH475" i="172"/>
  <c r="CH126" i="172"/>
  <c r="CH128" i="172"/>
  <c r="BW340" i="175"/>
  <c r="AM341" i="175"/>
  <c r="AJ63" i="171"/>
  <c r="AJ66" i="171" s="1"/>
  <c r="AK144" i="171"/>
  <c r="CZ53" i="171"/>
  <c r="DK283" i="171"/>
  <c r="DK284" i="171" s="1"/>
  <c r="AI427" i="175"/>
  <c r="AI428" i="175"/>
  <c r="AN429" i="175" s="1"/>
  <c r="CJ181" i="171"/>
  <c r="CK181" i="171"/>
  <c r="F273" i="172"/>
  <c r="F234" i="172"/>
  <c r="F225" i="172"/>
  <c r="F245" i="172"/>
  <c r="F363" i="172"/>
  <c r="F211" i="172"/>
  <c r="F292" i="172"/>
  <c r="B292" i="172"/>
  <c r="B273" i="172"/>
  <c r="B245" i="172"/>
  <c r="B211" i="172"/>
  <c r="B225" i="172"/>
  <c r="B363" i="172"/>
  <c r="B234" i="172"/>
  <c r="AQ341" i="175"/>
  <c r="Q258" i="172"/>
  <c r="CL126" i="172"/>
  <c r="CL182" i="172"/>
  <c r="CL181" i="172" s="1"/>
  <c r="CL475" i="172"/>
  <c r="DI206" i="172"/>
  <c r="DI207" i="172" s="1"/>
  <c r="D234" i="172"/>
  <c r="D245" i="172"/>
  <c r="D363" i="172"/>
  <c r="D211" i="172"/>
  <c r="D292" i="172"/>
  <c r="D225" i="172"/>
  <c r="D273" i="172"/>
  <c r="AM64" i="171"/>
  <c r="AN341" i="175"/>
  <c r="BN33" i="172"/>
  <c r="DJ143" i="172"/>
  <c r="CY122" i="171"/>
  <c r="E225" i="172"/>
  <c r="E211" i="172"/>
  <c r="E245" i="172"/>
  <c r="E273" i="172"/>
  <c r="E363" i="172"/>
  <c r="E234" i="172"/>
  <c r="E292" i="172"/>
  <c r="AO263" i="175"/>
  <c r="AR341" i="175"/>
  <c r="BX340" i="175"/>
  <c r="AT120" i="175"/>
  <c r="AW420" i="175"/>
  <c r="AG66" i="171"/>
  <c r="BQ90" i="8"/>
  <c r="BQ46" i="8"/>
  <c r="AK265" i="175"/>
  <c r="AL427" i="175"/>
  <c r="AL428" i="175"/>
  <c r="DD290" i="171"/>
  <c r="BZ340" i="175"/>
  <c r="AW341" i="175"/>
  <c r="BX46" i="8"/>
  <c r="BX90" i="8"/>
  <c r="BX63" i="135"/>
  <c r="AN251" i="175"/>
  <c r="E254" i="172"/>
  <c r="CZ20" i="171"/>
  <c r="CZ281" i="171"/>
  <c r="DB53" i="171"/>
  <c r="R21" i="8"/>
  <c r="AE63" i="171"/>
  <c r="AI64" i="171" s="1"/>
  <c r="AG431" i="175"/>
  <c r="AW330" i="175"/>
  <c r="CE123" i="171"/>
  <c r="BO258" i="172"/>
  <c r="AV330" i="175"/>
  <c r="AV329" i="175" s="1"/>
  <c r="AV332" i="175" s="1"/>
  <c r="AV420" i="175"/>
  <c r="AT241" i="175"/>
  <c r="AP242" i="175"/>
  <c r="BW241" i="175"/>
  <c r="AP243" i="175"/>
  <c r="AO271" i="175"/>
  <c r="AG428" i="175"/>
  <c r="AL429" i="175" s="1"/>
  <c r="AG427" i="175"/>
  <c r="CW194" i="171"/>
  <c r="CX122" i="171"/>
  <c r="AS282" i="171"/>
  <c r="DK258" i="172"/>
  <c r="DJ258" i="172"/>
  <c r="BY418" i="175"/>
  <c r="AU282" i="171"/>
  <c r="DN48" i="135"/>
  <c r="DI48" i="135"/>
  <c r="AX330" i="175"/>
  <c r="AX329" i="175" s="1"/>
  <c r="AX332" i="175" s="1"/>
  <c r="BP58" i="172"/>
  <c r="BT61" i="172"/>
  <c r="CW122" i="171"/>
  <c r="AV427" i="175"/>
  <c r="AM250" i="175"/>
  <c r="AH427" i="175"/>
  <c r="AH428" i="175"/>
  <c r="AM429" i="175" s="1"/>
  <c r="DL84" i="172"/>
  <c r="DL85" i="172" s="1"/>
  <c r="AS341" i="175"/>
  <c r="AW427" i="175"/>
  <c r="AW428" i="175"/>
  <c r="G255" i="172"/>
  <c r="G297" i="172"/>
  <c r="G254" i="172" s="1"/>
  <c r="G270" i="172"/>
  <c r="AX426" i="175"/>
  <c r="CZ18" i="171"/>
  <c r="AR363" i="175"/>
  <c r="AW363" i="175"/>
  <c r="L234" i="172"/>
  <c r="L211" i="172"/>
  <c r="L225" i="172"/>
  <c r="L273" i="172"/>
  <c r="L245" i="172"/>
  <c r="L363" i="172"/>
  <c r="L292" i="172"/>
  <c r="CC63" i="135"/>
  <c r="CC87" i="8"/>
  <c r="CC46" i="8"/>
  <c r="DB281" i="171"/>
  <c r="AT361" i="175"/>
  <c r="AY282" i="171"/>
  <c r="BL282" i="171"/>
  <c r="CE20" i="171"/>
  <c r="AP428" i="175"/>
  <c r="AP427" i="175"/>
  <c r="AT426" i="175"/>
  <c r="BY340" i="175"/>
  <c r="CJ18" i="171"/>
  <c r="CI18" i="171"/>
  <c r="BA282" i="171"/>
  <c r="CL20" i="171"/>
  <c r="BY331" i="175"/>
  <c r="O292" i="172"/>
  <c r="O234" i="172"/>
  <c r="K211" i="172"/>
  <c r="K234" i="172"/>
  <c r="C225" i="172"/>
  <c r="J225" i="172"/>
  <c r="J211" i="172"/>
  <c r="P273" i="172"/>
  <c r="P234" i="172"/>
  <c r="H292" i="172"/>
  <c r="AM428" i="175"/>
  <c r="AM427" i="175"/>
  <c r="BW426" i="175"/>
  <c r="L255" i="172"/>
  <c r="N273" i="172"/>
  <c r="N234" i="172"/>
  <c r="M211" i="172"/>
  <c r="DA20" i="171"/>
  <c r="AU363" i="175"/>
  <c r="BI282" i="171"/>
  <c r="BN282" i="171"/>
  <c r="CF20" i="171"/>
  <c r="DD18" i="171"/>
  <c r="AY331" i="175"/>
  <c r="BX331" i="175"/>
  <c r="AN428" i="175"/>
  <c r="AN427" i="175"/>
  <c r="CH281" i="171"/>
  <c r="BZ331" i="175"/>
  <c r="C363" i="172"/>
  <c r="J254" i="172"/>
  <c r="O245" i="172"/>
  <c r="O383" i="172"/>
  <c r="K225" i="172"/>
  <c r="C273" i="172"/>
  <c r="C211" i="172"/>
  <c r="J245" i="172"/>
  <c r="I211" i="172"/>
  <c r="I245" i="172"/>
  <c r="P383" i="172"/>
  <c r="P225" i="172"/>
  <c r="H273" i="172"/>
  <c r="H225" i="172"/>
  <c r="L254" i="172"/>
  <c r="N383" i="172"/>
  <c r="M245" i="172"/>
  <c r="M234" i="172"/>
  <c r="CK281" i="171"/>
  <c r="CK282" i="171" s="1"/>
  <c r="AR427" i="175"/>
  <c r="AR428" i="175"/>
  <c r="O211" i="172"/>
  <c r="O225" i="172"/>
  <c r="K245" i="172"/>
  <c r="C245" i="172"/>
  <c r="C292" i="172"/>
  <c r="J273" i="172"/>
  <c r="J234" i="172"/>
  <c r="I234" i="172"/>
  <c r="I292" i="172"/>
  <c r="P211" i="172"/>
  <c r="H234" i="172"/>
  <c r="H211" i="172"/>
  <c r="L270" i="172"/>
  <c r="N292" i="172"/>
  <c r="N245" i="172"/>
  <c r="M254" i="172"/>
  <c r="M225" i="172"/>
  <c r="M273" i="172"/>
  <c r="C254" i="172"/>
  <c r="AS427" i="175"/>
  <c r="AS428" i="175"/>
  <c r="AR282" i="171"/>
  <c r="AQ427" i="175"/>
  <c r="AQ428" i="175"/>
  <c r="AK428" i="175"/>
  <c r="AK427" i="175"/>
  <c r="AO426" i="175"/>
  <c r="AW282" i="171"/>
  <c r="K254" i="172"/>
  <c r="K363" i="172"/>
  <c r="O254" i="172"/>
  <c r="I254" i="172"/>
  <c r="O273" i="172"/>
  <c r="K273" i="172"/>
  <c r="C234" i="172"/>
  <c r="J292" i="172"/>
  <c r="I273" i="172"/>
  <c r="P245" i="172"/>
  <c r="N225" i="172"/>
  <c r="DA128" i="171" l="1"/>
  <c r="AI170" i="171"/>
  <c r="ET84" i="135"/>
  <c r="EU91" i="135"/>
  <c r="EU84" i="135" s="1"/>
  <c r="EU90" i="135"/>
  <c r="EV90" i="135" s="1"/>
  <c r="EW90" i="135" s="1"/>
  <c r="EX90" i="135" s="1"/>
  <c r="EY90" i="135" s="1"/>
  <c r="EZ90" i="135" s="1"/>
  <c r="FA90" i="135" s="1"/>
  <c r="FB90" i="135" s="1"/>
  <c r="FC90" i="135" s="1"/>
  <c r="FD90" i="135" s="1"/>
  <c r="FE90" i="135" s="1"/>
  <c r="FF90" i="135" s="1"/>
  <c r="FG90" i="135" s="1"/>
  <c r="FH90" i="135" s="1"/>
  <c r="FI90" i="135" s="1"/>
  <c r="FJ90" i="135" s="1"/>
  <c r="FK90" i="135" s="1"/>
  <c r="FL90" i="135" s="1"/>
  <c r="EU92" i="135"/>
  <c r="EV92" i="135" s="1"/>
  <c r="EW92" i="135" s="1"/>
  <c r="EX92" i="135" s="1"/>
  <c r="EY92" i="135" s="1"/>
  <c r="EZ92" i="135" s="1"/>
  <c r="FA92" i="135" s="1"/>
  <c r="FB92" i="135" s="1"/>
  <c r="FC92" i="135" s="1"/>
  <c r="FD92" i="135" s="1"/>
  <c r="FE92" i="135" s="1"/>
  <c r="FF92" i="135" s="1"/>
  <c r="FG92" i="135" s="1"/>
  <c r="FH92" i="135" s="1"/>
  <c r="FI92" i="135" s="1"/>
  <c r="FJ92" i="135" s="1"/>
  <c r="FK92" i="135" s="1"/>
  <c r="FL92" i="135" s="1"/>
  <c r="BB32" i="171"/>
  <c r="BG27" i="171"/>
  <c r="BW39" i="175"/>
  <c r="BA45" i="171"/>
  <c r="BA35" i="171" s="1"/>
  <c r="BJ142" i="172"/>
  <c r="BO143" i="172" s="1"/>
  <c r="AJ431" i="189"/>
  <c r="AW35" i="171"/>
  <c r="CC107" i="189"/>
  <c r="CC108" i="189" s="1"/>
  <c r="AJ342" i="175"/>
  <c r="AJ342" i="189"/>
  <c r="AT342" i="175"/>
  <c r="AT342" i="189"/>
  <c r="AE342" i="175"/>
  <c r="AE342" i="189"/>
  <c r="AY342" i="175"/>
  <c r="AY342" i="189"/>
  <c r="DB45" i="171"/>
  <c r="AX35" i="171"/>
  <c r="EK133" i="135"/>
  <c r="F48" i="141"/>
  <c r="AX157" i="175"/>
  <c r="BC156" i="175"/>
  <c r="BK63" i="171"/>
  <c r="BP64" i="171" s="1"/>
  <c r="BP61" i="171"/>
  <c r="AS30" i="171"/>
  <c r="CW121" i="171"/>
  <c r="DB29" i="171"/>
  <c r="DA282" i="171"/>
  <c r="BA157" i="175"/>
  <c r="DA290" i="171"/>
  <c r="CH282" i="171"/>
  <c r="CJ61" i="171"/>
  <c r="AK194" i="171"/>
  <c r="AK198" i="171" s="1"/>
  <c r="AT278" i="171"/>
  <c r="DB129" i="171"/>
  <c r="CG61" i="171"/>
  <c r="CF130" i="172"/>
  <c r="FR8" i="7"/>
  <c r="FR170" i="7" s="1"/>
  <c r="AP429" i="175"/>
  <c r="AS429" i="175"/>
  <c r="BU35" i="7"/>
  <c r="BU18" i="7"/>
  <c r="BU31" i="7"/>
  <c r="BU9" i="7"/>
  <c r="BU25" i="7"/>
  <c r="BU28" i="7"/>
  <c r="BW28" i="7"/>
  <c r="BW18" i="7"/>
  <c r="BW9" i="7"/>
  <c r="BW10" i="7"/>
  <c r="BW170" i="7"/>
  <c r="BW173" i="7"/>
  <c r="BW171" i="7"/>
  <c r="BW172" i="7"/>
  <c r="BW25" i="7"/>
  <c r="BW31" i="7"/>
  <c r="BW174" i="7"/>
  <c r="BW35" i="7"/>
  <c r="BQ37" i="7"/>
  <c r="BQ19" i="7"/>
  <c r="CC37" i="7"/>
  <c r="CC19" i="7"/>
  <c r="CA174" i="7"/>
  <c r="CA170" i="7"/>
  <c r="CA9" i="7"/>
  <c r="CA25" i="7"/>
  <c r="CA18" i="7"/>
  <c r="CA173" i="7"/>
  <c r="CA35" i="7"/>
  <c r="CA28" i="7"/>
  <c r="CA172" i="7"/>
  <c r="CA31" i="7"/>
  <c r="CA10" i="7"/>
  <c r="CA171" i="7"/>
  <c r="CE8" i="7"/>
  <c r="CF9" i="7"/>
  <c r="BY25" i="7"/>
  <c r="BY10" i="7"/>
  <c r="BY9" i="7"/>
  <c r="BY35" i="7"/>
  <c r="BY173" i="7"/>
  <c r="BY28" i="7"/>
  <c r="BY172" i="7"/>
  <c r="BY31" i="7"/>
  <c r="BY171" i="7"/>
  <c r="BY18" i="7"/>
  <c r="BY174" i="7"/>
  <c r="BY170" i="7"/>
  <c r="BX10" i="7"/>
  <c r="BX19" i="7"/>
  <c r="BX37" i="7"/>
  <c r="BS19" i="7"/>
  <c r="BS37" i="7"/>
  <c r="BR173" i="7"/>
  <c r="BR25" i="7"/>
  <c r="BR171" i="7"/>
  <c r="BR9" i="7"/>
  <c r="BR174" i="7"/>
  <c r="BR172" i="7"/>
  <c r="BR31" i="7"/>
  <c r="BR10" i="7"/>
  <c r="BR170" i="7"/>
  <c r="BR28" i="7"/>
  <c r="BR18" i="7"/>
  <c r="BR35" i="7"/>
  <c r="BV31" i="7"/>
  <c r="BZ8" i="7"/>
  <c r="BV28" i="7"/>
  <c r="BV10" i="7"/>
  <c r="BV18" i="7"/>
  <c r="BV173" i="7"/>
  <c r="BV172" i="7"/>
  <c r="BV9" i="7"/>
  <c r="BV35" i="7"/>
  <c r="BV171" i="7"/>
  <c r="BV174" i="7"/>
  <c r="BV170" i="7"/>
  <c r="BV25" i="7"/>
  <c r="BT25" i="7"/>
  <c r="BT10" i="7"/>
  <c r="BT28" i="7"/>
  <c r="BT35" i="7"/>
  <c r="BT18" i="7"/>
  <c r="BT173" i="7"/>
  <c r="BT31" i="7"/>
  <c r="BT9" i="7"/>
  <c r="BT172" i="7"/>
  <c r="BT171" i="7"/>
  <c r="BT174" i="7"/>
  <c r="BT170" i="7"/>
  <c r="FS174" i="7"/>
  <c r="FS172" i="7"/>
  <c r="FS28" i="7"/>
  <c r="FS171" i="7"/>
  <c r="FS25" i="7"/>
  <c r="FS170" i="7"/>
  <c r="FS18" i="7"/>
  <c r="FS31" i="7"/>
  <c r="FS173" i="7"/>
  <c r="FT9" i="7"/>
  <c r="CD35" i="7"/>
  <c r="CD31" i="7"/>
  <c r="CD28" i="7"/>
  <c r="CD174" i="7"/>
  <c r="CD170" i="7"/>
  <c r="CD10" i="7"/>
  <c r="CD173" i="7"/>
  <c r="CD25" i="7"/>
  <c r="CD18" i="7"/>
  <c r="CD172" i="7"/>
  <c r="CD9" i="7"/>
  <c r="CD171" i="7"/>
  <c r="CI9" i="7"/>
  <c r="CF10" i="7"/>
  <c r="CB172" i="7"/>
  <c r="CB174" i="7"/>
  <c r="CB10" i="7"/>
  <c r="CB18" i="7"/>
  <c r="CB171" i="7"/>
  <c r="CB173" i="7"/>
  <c r="CB31" i="7"/>
  <c r="CB170" i="7"/>
  <c r="CB25" i="7"/>
  <c r="CB9" i="7"/>
  <c r="CB28" i="7"/>
  <c r="CB35" i="7"/>
  <c r="CG9" i="7"/>
  <c r="FQ8" i="7"/>
  <c r="FP8" i="7"/>
  <c r="BX426" i="175"/>
  <c r="AJ431" i="175"/>
  <c r="BJ197" i="172"/>
  <c r="DJ33" i="172"/>
  <c r="EA57" i="9"/>
  <c r="EA59" i="9" s="1"/>
  <c r="DB7" i="9"/>
  <c r="DU57" i="9"/>
  <c r="DU59" i="9" s="1"/>
  <c r="DL57" i="9"/>
  <c r="DL59" i="9" s="1"/>
  <c r="DU63" i="12"/>
  <c r="DU65" i="12" s="1"/>
  <c r="AA259" i="171"/>
  <c r="DH57" i="9"/>
  <c r="DH59" i="9" s="1"/>
  <c r="AR429" i="175"/>
  <c r="CK130" i="172"/>
  <c r="EE57" i="9"/>
  <c r="EE59" i="9" s="1"/>
  <c r="DR65" i="8"/>
  <c r="AZ54" i="9"/>
  <c r="AZ57" i="9" s="1"/>
  <c r="AZ59" i="9" s="1"/>
  <c r="EJ63" i="12"/>
  <c r="EJ65" i="12" s="1"/>
  <c r="DT57" i="9"/>
  <c r="DT59" i="9" s="1"/>
  <c r="B34" i="141"/>
  <c r="DP57" i="9"/>
  <c r="DP59" i="9" s="1"/>
  <c r="DW57" i="9"/>
  <c r="DW59" i="9" s="1"/>
  <c r="EI63" i="12"/>
  <c r="EI65" i="12" s="1"/>
  <c r="DD23" i="171"/>
  <c r="DD270" i="171"/>
  <c r="DE270" i="171"/>
  <c r="DE269" i="171"/>
  <c r="BN182" i="171"/>
  <c r="AJ341" i="175"/>
  <c r="AO341" i="175"/>
  <c r="AV429" i="175"/>
  <c r="AY341" i="175"/>
  <c r="DM108" i="172"/>
  <c r="AO427" i="175"/>
  <c r="CG181" i="172"/>
  <c r="AX429" i="175"/>
  <c r="DC60" i="171"/>
  <c r="DC61" i="171" s="1"/>
  <c r="AH66" i="171"/>
  <c r="CF66" i="171" s="1"/>
  <c r="CH27" i="171"/>
  <c r="BK61" i="171"/>
  <c r="DD282" i="171"/>
  <c r="BM182" i="171"/>
  <c r="BH182" i="171"/>
  <c r="BH184" i="171" s="1"/>
  <c r="CM23" i="171"/>
  <c r="CK60" i="171"/>
  <c r="CK61" i="171" s="1"/>
  <c r="DE23" i="171"/>
  <c r="DE60" i="171"/>
  <c r="CM60" i="171"/>
  <c r="AQ429" i="175"/>
  <c r="AU429" i="175"/>
  <c r="DH63" i="12"/>
  <c r="DH65" i="12" s="1"/>
  <c r="CH181" i="172"/>
  <c r="BF185" i="171"/>
  <c r="BF184" i="171"/>
  <c r="BF183" i="171"/>
  <c r="AX278" i="171"/>
  <c r="DI303" i="172"/>
  <c r="P379" i="172"/>
  <c r="P375" i="172"/>
  <c r="P371" i="172"/>
  <c r="P367" i="172"/>
  <c r="DB285" i="171"/>
  <c r="DB286" i="171" s="1"/>
  <c r="DB282" i="171"/>
  <c r="DB290" i="171"/>
  <c r="CX195" i="171"/>
  <c r="CW195" i="171"/>
  <c r="CZ290" i="171"/>
  <c r="CG66" i="171"/>
  <c r="AM153" i="171"/>
  <c r="AM169" i="171" s="1"/>
  <c r="AI292" i="189" s="1"/>
  <c r="AM201" i="171"/>
  <c r="AM202" i="171" s="1"/>
  <c r="AM152" i="171"/>
  <c r="AX239" i="175"/>
  <c r="AS245" i="175"/>
  <c r="AS244" i="175"/>
  <c r="AS263" i="175"/>
  <c r="AS264" i="175" s="1"/>
  <c r="CE63" i="171"/>
  <c r="CE277" i="171" s="1"/>
  <c r="CE278" i="171" s="1"/>
  <c r="AG65" i="8"/>
  <c r="AB65" i="8"/>
  <c r="AU144" i="171"/>
  <c r="AU64" i="171"/>
  <c r="AD171" i="171"/>
  <c r="AD168" i="171"/>
  <c r="CX167" i="171"/>
  <c r="CX127" i="171" s="1"/>
  <c r="BJ303" i="172"/>
  <c r="BF65" i="8"/>
  <c r="AU428" i="175"/>
  <c r="AY426" i="175"/>
  <c r="AY427" i="175" s="1"/>
  <c r="AU427" i="175"/>
  <c r="AT30" i="171"/>
  <c r="AC195" i="171"/>
  <c r="AC198" i="171"/>
  <c r="CG282" i="171"/>
  <c r="CG128" i="171"/>
  <c r="CH129" i="171"/>
  <c r="T259" i="171"/>
  <c r="BB65" i="8"/>
  <c r="BB7" i="9"/>
  <c r="AR64" i="171"/>
  <c r="CI63" i="171"/>
  <c r="AR144" i="171"/>
  <c r="BA164" i="171"/>
  <c r="BA165" i="171"/>
  <c r="BA196" i="171"/>
  <c r="BA279" i="171"/>
  <c r="BA280" i="171" s="1"/>
  <c r="CF194" i="171"/>
  <c r="CN65" i="8"/>
  <c r="CN7" i="9"/>
  <c r="CN16" i="9" s="1"/>
  <c r="CN25" i="9" s="1"/>
  <c r="AE263" i="171"/>
  <c r="AF263" i="171" s="1"/>
  <c r="AG263" i="171" s="1"/>
  <c r="AH263" i="171" s="1"/>
  <c r="AI263" i="171" s="1"/>
  <c r="AJ263" i="171" s="1"/>
  <c r="AK263" i="171" s="1"/>
  <c r="AL263" i="171" s="1"/>
  <c r="AM263" i="171" s="1"/>
  <c r="AN263" i="171" s="1"/>
  <c r="AO263" i="171" s="1"/>
  <c r="AP263" i="171" s="1"/>
  <c r="AQ263" i="171" s="1"/>
  <c r="AR263" i="171" s="1"/>
  <c r="AS263" i="171" s="1"/>
  <c r="AT263" i="171" s="1"/>
  <c r="AU263" i="171" s="1"/>
  <c r="AV263" i="171" s="1"/>
  <c r="AW263" i="171" s="1"/>
  <c r="AX263" i="171" s="1"/>
  <c r="AY263" i="171" s="1"/>
  <c r="BA263" i="171" s="1"/>
  <c r="BB263" i="171" s="1"/>
  <c r="CP65" i="8"/>
  <c r="CP7" i="9"/>
  <c r="AE65" i="8"/>
  <c r="AE7" i="9"/>
  <c r="AE16" i="9" s="1"/>
  <c r="AE25" i="9" s="1"/>
  <c r="AE41" i="9" s="1"/>
  <c r="AE43" i="9" s="1"/>
  <c r="AE44" i="9" s="1"/>
  <c r="BN7" i="9"/>
  <c r="BN65" i="8"/>
  <c r="BN63" i="171"/>
  <c r="BN61" i="171"/>
  <c r="CK262" i="172"/>
  <c r="CL262" i="172"/>
  <c r="CK261" i="172"/>
  <c r="CK257" i="172"/>
  <c r="CP258" i="172" s="1"/>
  <c r="BA185" i="171"/>
  <c r="BA184" i="171"/>
  <c r="BZ210" i="172" s="1"/>
  <c r="BA183" i="171"/>
  <c r="AN64" i="171"/>
  <c r="AN144" i="171"/>
  <c r="CZ145" i="171" s="1"/>
  <c r="CH63" i="171"/>
  <c r="AN66" i="171"/>
  <c r="CZ66" i="171" s="1"/>
  <c r="BB27" i="171"/>
  <c r="AI195" i="171"/>
  <c r="AI198" i="171"/>
  <c r="W65" i="8"/>
  <c r="BI65" i="8"/>
  <c r="BI7" i="9"/>
  <c r="CL7" i="9"/>
  <c r="CL16" i="9" s="1"/>
  <c r="CL25" i="9" s="1"/>
  <c r="CL65" i="8"/>
  <c r="S65" i="8"/>
  <c r="S7" i="9"/>
  <c r="AU108" i="175"/>
  <c r="AU109" i="175"/>
  <c r="AU32" i="175"/>
  <c r="BX107" i="175"/>
  <c r="BX108" i="175" s="1"/>
  <c r="AU128" i="175"/>
  <c r="CG27" i="171"/>
  <c r="AM167" i="171"/>
  <c r="V259" i="171"/>
  <c r="DG57" i="9"/>
  <c r="ED57" i="9"/>
  <c r="ED59" i="9" s="1"/>
  <c r="CX63" i="12"/>
  <c r="CX65" i="12" s="1"/>
  <c r="AH169" i="171"/>
  <c r="CY129" i="171"/>
  <c r="AH171" i="171"/>
  <c r="AH168" i="171"/>
  <c r="AJ171" i="171"/>
  <c r="AJ168" i="171"/>
  <c r="AK41" i="171"/>
  <c r="AG32" i="171"/>
  <c r="AT341" i="175"/>
  <c r="BM63" i="171"/>
  <c r="BM61" i="171"/>
  <c r="L7" i="9"/>
  <c r="L16" i="9" s="1"/>
  <c r="L25" i="9" s="1"/>
  <c r="L41" i="9" s="1"/>
  <c r="L43" i="9" s="1"/>
  <c r="L44" i="9" s="1"/>
  <c r="CF61" i="171"/>
  <c r="BJ65" i="8"/>
  <c r="BJ7" i="9"/>
  <c r="BJ16" i="9" s="1"/>
  <c r="BJ25" i="9" s="1"/>
  <c r="K7" i="9"/>
  <c r="K16" i="9" s="1"/>
  <c r="K25" i="9" s="1"/>
  <c r="K41" i="9" s="1"/>
  <c r="K43" i="9" s="1"/>
  <c r="K44" i="9" s="1"/>
  <c r="AL150" i="171"/>
  <c r="CG150" i="171" s="1"/>
  <c r="AS65" i="8"/>
  <c r="AS7" i="9"/>
  <c r="AS16" i="9" s="1"/>
  <c r="AS25" i="9" s="1"/>
  <c r="BD65" i="8"/>
  <c r="BD7" i="9"/>
  <c r="CA90" i="8"/>
  <c r="CA46" i="8"/>
  <c r="CA63" i="135"/>
  <c r="CC88" i="8"/>
  <c r="CH88" i="8" s="1"/>
  <c r="CH89" i="8" s="1"/>
  <c r="BZ418" i="175"/>
  <c r="BY330" i="175"/>
  <c r="AW329" i="175"/>
  <c r="AN314" i="175"/>
  <c r="AN267" i="175"/>
  <c r="AN253" i="175"/>
  <c r="AN252" i="175"/>
  <c r="AN54" i="175"/>
  <c r="AN272" i="175"/>
  <c r="AO251" i="175"/>
  <c r="AO264" i="175"/>
  <c r="AO257" i="175"/>
  <c r="AO265" i="175"/>
  <c r="AK146" i="171"/>
  <c r="CY145" i="171"/>
  <c r="CG144" i="171"/>
  <c r="CY144" i="171"/>
  <c r="AK147" i="171"/>
  <c r="CY151" i="171"/>
  <c r="AK153" i="171"/>
  <c r="AK201" i="171"/>
  <c r="AK202" i="171" s="1"/>
  <c r="CY150" i="171"/>
  <c r="AK152" i="171"/>
  <c r="EJ132" i="135"/>
  <c r="EJ134" i="135" s="1"/>
  <c r="AN30" i="171"/>
  <c r="AR30" i="171"/>
  <c r="AD169" i="171"/>
  <c r="CX129" i="171"/>
  <c r="CX169" i="171" s="1"/>
  <c r="AD195" i="171"/>
  <c r="AD198" i="171"/>
  <c r="BJ206" i="172"/>
  <c r="AR245" i="175"/>
  <c r="AW239" i="175"/>
  <c r="AR244" i="175"/>
  <c r="AR263" i="175"/>
  <c r="AR265" i="175" s="1"/>
  <c r="CZ129" i="171"/>
  <c r="CJ125" i="172"/>
  <c r="AF169" i="171"/>
  <c r="CF129" i="171"/>
  <c r="AM41" i="171"/>
  <c r="AI32" i="171"/>
  <c r="AQ144" i="171"/>
  <c r="AQ64" i="171"/>
  <c r="AQ66" i="171"/>
  <c r="AC169" i="171"/>
  <c r="CW129" i="171"/>
  <c r="CW169" i="171" s="1"/>
  <c r="CE129" i="171"/>
  <c r="CE169" i="171" s="1"/>
  <c r="EZ132" i="135"/>
  <c r="EZ133" i="135"/>
  <c r="AF195" i="171"/>
  <c r="AF198" i="171"/>
  <c r="AF199" i="171" s="1"/>
  <c r="AY164" i="171"/>
  <c r="AY165" i="171"/>
  <c r="CJ162" i="171"/>
  <c r="AY196" i="171"/>
  <c r="AY197" i="171" s="1"/>
  <c r="DC162" i="171"/>
  <c r="AY279" i="171"/>
  <c r="AY280" i="171" s="1"/>
  <c r="BI61" i="171"/>
  <c r="BI63" i="171"/>
  <c r="BI66" i="171" s="1"/>
  <c r="CL261" i="172"/>
  <c r="CG262" i="172"/>
  <c r="CH262" i="172"/>
  <c r="CG257" i="172"/>
  <c r="BL185" i="171"/>
  <c r="BL184" i="171"/>
  <c r="AX156" i="175"/>
  <c r="AY155" i="175"/>
  <c r="AY156" i="175" s="1"/>
  <c r="CV65" i="8"/>
  <c r="CV7" i="9"/>
  <c r="CV16" i="9" s="1"/>
  <c r="CV25" i="9" s="1"/>
  <c r="BT192" i="172"/>
  <c r="BT194" i="172"/>
  <c r="BT197" i="172"/>
  <c r="AP150" i="171"/>
  <c r="AP67" i="171"/>
  <c r="DL112" i="172"/>
  <c r="DL108" i="172"/>
  <c r="DA41" i="171"/>
  <c r="Y259" i="171"/>
  <c r="DJ57" i="9"/>
  <c r="DJ59" i="9" s="1"/>
  <c r="DA61" i="171"/>
  <c r="BA156" i="175"/>
  <c r="CI65" i="8"/>
  <c r="CI7" i="9"/>
  <c r="CI16" i="9" s="1"/>
  <c r="CI25" i="9" s="1"/>
  <c r="DF65" i="8"/>
  <c r="DF7" i="9"/>
  <c r="DF16" i="9" s="1"/>
  <c r="DF25" i="9" s="1"/>
  <c r="BG61" i="171"/>
  <c r="BG63" i="171"/>
  <c r="BG66" i="171" s="1"/>
  <c r="CH61" i="171"/>
  <c r="BB164" i="171"/>
  <c r="BB165" i="171"/>
  <c r="BB279" i="171"/>
  <c r="BB280" i="171" s="1"/>
  <c r="BB196" i="171"/>
  <c r="BB197" i="171" s="1"/>
  <c r="DW63" i="12"/>
  <c r="DW65" i="12" s="1"/>
  <c r="AL65" i="8"/>
  <c r="AK167" i="171"/>
  <c r="CS65" i="8"/>
  <c r="CS7" i="9"/>
  <c r="CS16" i="9" s="1"/>
  <c r="CS25" i="9" s="1"/>
  <c r="AV128" i="175"/>
  <c r="AV109" i="175"/>
  <c r="AV32" i="175"/>
  <c r="AV108" i="175"/>
  <c r="CH65" i="8"/>
  <c r="CH7" i="9"/>
  <c r="DY30" i="135"/>
  <c r="DB44" i="171"/>
  <c r="AI188" i="171"/>
  <c r="AI193" i="171"/>
  <c r="AI190" i="171" s="1"/>
  <c r="CZ128" i="171"/>
  <c r="AH195" i="171"/>
  <c r="AH198" i="171"/>
  <c r="AJ195" i="171"/>
  <c r="AJ198" i="171"/>
  <c r="AJ199" i="171" s="1"/>
  <c r="AA65" i="8"/>
  <c r="AA7" i="9"/>
  <c r="AA16" i="9" s="1"/>
  <c r="AA25" i="9" s="1"/>
  <c r="AA41" i="9" s="1"/>
  <c r="AA43" i="9" s="1"/>
  <c r="AA44" i="9" s="1"/>
  <c r="AU30" i="171"/>
  <c r="CK23" i="171"/>
  <c r="CJ23" i="171"/>
  <c r="DD60" i="171"/>
  <c r="BC61" i="171"/>
  <c r="BC63" i="171"/>
  <c r="BC66" i="171" s="1"/>
  <c r="BC185" i="171"/>
  <c r="BC183" i="171"/>
  <c r="BC184" i="171"/>
  <c r="CB210" i="172" s="1"/>
  <c r="AP57" i="9"/>
  <c r="AP59" i="9" s="1"/>
  <c r="EH57" i="9"/>
  <c r="EH59" i="9" s="1"/>
  <c r="T7" i="9"/>
  <c r="T16" i="9" s="1"/>
  <c r="T25" i="9" s="1"/>
  <c r="T41" i="9" s="1"/>
  <c r="T43" i="9" s="1"/>
  <c r="T44" i="9" s="1"/>
  <c r="T65" i="8"/>
  <c r="F7" i="9"/>
  <c r="F16" i="9" s="1"/>
  <c r="F25" i="9" s="1"/>
  <c r="F41" i="9" s="1"/>
  <c r="F43" i="9" s="1"/>
  <c r="F44" i="9" s="1"/>
  <c r="CW85" i="171"/>
  <c r="CW91" i="171"/>
  <c r="CW171" i="171"/>
  <c r="CW157" i="171"/>
  <c r="CW103" i="171"/>
  <c r="CW163" i="171"/>
  <c r="CW115" i="171"/>
  <c r="CW133" i="171"/>
  <c r="CW145" i="171"/>
  <c r="CW168" i="171"/>
  <c r="CW73" i="171"/>
  <c r="CW139" i="171"/>
  <c r="CW79" i="171"/>
  <c r="CX168" i="171"/>
  <c r="CW151" i="171"/>
  <c r="CW109" i="171"/>
  <c r="CW97" i="171"/>
  <c r="CZ63" i="171"/>
  <c r="Y65" i="8"/>
  <c r="Y7" i="9"/>
  <c r="Y16" i="9" s="1"/>
  <c r="Y25" i="9" s="1"/>
  <c r="Y41" i="9" s="1"/>
  <c r="Y43" i="9" s="1"/>
  <c r="Y44" i="9" s="1"/>
  <c r="CU7" i="9"/>
  <c r="CU65" i="8"/>
  <c r="BY46" i="8"/>
  <c r="BY90" i="8"/>
  <c r="BY63" i="135"/>
  <c r="BV90" i="8"/>
  <c r="BV46" i="8"/>
  <c r="BV63" i="135"/>
  <c r="BW46" i="8"/>
  <c r="BW63" i="135"/>
  <c r="BX66" i="135" s="1"/>
  <c r="BW90" i="8"/>
  <c r="CC64" i="135"/>
  <c r="CH64" i="135"/>
  <c r="AX427" i="175"/>
  <c r="AX428" i="175"/>
  <c r="AT242" i="175"/>
  <c r="AT240" i="175"/>
  <c r="DC282" i="171"/>
  <c r="BR46" i="8"/>
  <c r="BR90" i="8"/>
  <c r="BR63" i="135"/>
  <c r="AE66" i="171"/>
  <c r="CE66" i="171" s="1"/>
  <c r="AW64" i="171"/>
  <c r="AW144" i="171"/>
  <c r="AW66" i="171"/>
  <c r="AX150" i="171"/>
  <c r="AX194" i="171" s="1"/>
  <c r="AX67" i="171"/>
  <c r="AS64" i="171"/>
  <c r="AS144" i="171"/>
  <c r="AQ245" i="175"/>
  <c r="AV239" i="175"/>
  <c r="AQ244" i="175"/>
  <c r="AQ263" i="175"/>
  <c r="AQ264" i="175" s="1"/>
  <c r="BK185" i="171"/>
  <c r="BK183" i="171"/>
  <c r="BK184" i="171"/>
  <c r="AU329" i="175"/>
  <c r="AY330" i="175"/>
  <c r="BX330" i="175"/>
  <c r="BA65" i="8"/>
  <c r="AR150" i="171"/>
  <c r="AR67" i="171"/>
  <c r="DP63" i="12"/>
  <c r="DP65" i="12" s="1"/>
  <c r="AF171" i="171"/>
  <c r="AF168" i="171"/>
  <c r="CF167" i="171"/>
  <c r="AT146" i="171"/>
  <c r="AT147" i="171"/>
  <c r="BF61" i="171"/>
  <c r="CL60" i="171"/>
  <c r="BF63" i="171"/>
  <c r="BF66" i="171" s="1"/>
  <c r="AJ169" i="171"/>
  <c r="AF292" i="189" s="1"/>
  <c r="CG129" i="171"/>
  <c r="DO57" i="9"/>
  <c r="DO59" i="9" s="1"/>
  <c r="BI182" i="171"/>
  <c r="CF63" i="171"/>
  <c r="DC128" i="171"/>
  <c r="DC129" i="171"/>
  <c r="AW65" i="8"/>
  <c r="AW7" i="9"/>
  <c r="DL166" i="172"/>
  <c r="BO192" i="172"/>
  <c r="BO194" i="172"/>
  <c r="DY57" i="9"/>
  <c r="DY59" i="9" s="1"/>
  <c r="CE262" i="172"/>
  <c r="BR192" i="172"/>
  <c r="BR194" i="172"/>
  <c r="CE167" i="171"/>
  <c r="CE127" i="171" s="1"/>
  <c r="CE128" i="171"/>
  <c r="CF128" i="171"/>
  <c r="EY132" i="135"/>
  <c r="N7" i="9"/>
  <c r="BN192" i="172"/>
  <c r="BN194" i="172"/>
  <c r="BN199" i="172"/>
  <c r="AU7" i="9"/>
  <c r="AU16" i="9" s="1"/>
  <c r="AU25" i="9" s="1"/>
  <c r="AU65" i="8"/>
  <c r="BD61" i="171"/>
  <c r="BD63" i="171"/>
  <c r="BD66" i="171" s="1"/>
  <c r="AT65" i="8"/>
  <c r="AT7" i="9"/>
  <c r="AT16" i="9" s="1"/>
  <c r="AT25" i="9" s="1"/>
  <c r="AE198" i="171"/>
  <c r="AE195" i="171"/>
  <c r="O7" i="9"/>
  <c r="O16" i="9" s="1"/>
  <c r="O25" i="9" s="1"/>
  <c r="O41" i="9" s="1"/>
  <c r="O43" i="9" s="1"/>
  <c r="O44" i="9" s="1"/>
  <c r="CJ128" i="171"/>
  <c r="BG182" i="171"/>
  <c r="AU66" i="171"/>
  <c r="DJ199" i="172"/>
  <c r="AP68" i="8"/>
  <c r="AP69" i="8" s="1"/>
  <c r="AP70" i="8" s="1"/>
  <c r="CF261" i="172"/>
  <c r="DB61" i="171"/>
  <c r="DA129" i="171"/>
  <c r="AV64" i="171"/>
  <c r="AV144" i="171"/>
  <c r="AV66" i="171"/>
  <c r="AW30" i="171"/>
  <c r="AG171" i="171"/>
  <c r="AG168" i="171"/>
  <c r="P7" i="9"/>
  <c r="P16" i="9" s="1"/>
  <c r="P25" i="9" s="1"/>
  <c r="P41" i="9" s="1"/>
  <c r="P43" i="9" s="1"/>
  <c r="P44" i="9" s="1"/>
  <c r="BB61" i="171"/>
  <c r="BB63" i="171"/>
  <c r="BB66" i="171" s="1"/>
  <c r="BO65" i="8"/>
  <c r="BO7" i="9"/>
  <c r="BO16" i="9" s="1"/>
  <c r="BO25" i="9" s="1"/>
  <c r="AN65" i="8"/>
  <c r="AN7" i="9"/>
  <c r="AN16" i="9" s="1"/>
  <c r="AN25" i="9" s="1"/>
  <c r="CF7" i="9"/>
  <c r="AV30" i="171"/>
  <c r="AS66" i="171"/>
  <c r="DB27" i="171"/>
  <c r="AP30" i="171"/>
  <c r="CL23" i="171"/>
  <c r="BQ192" i="172"/>
  <c r="BQ194" i="172"/>
  <c r="CI61" i="171"/>
  <c r="AT39" i="175"/>
  <c r="E34" i="141"/>
  <c r="E41" i="141" s="1"/>
  <c r="DB63" i="171"/>
  <c r="Z65" i="8"/>
  <c r="Z7" i="9"/>
  <c r="Z16" i="9" s="1"/>
  <c r="Z25" i="9" s="1"/>
  <c r="Z41" i="9" s="1"/>
  <c r="Z43" i="9" s="1"/>
  <c r="Z44" i="9" s="1"/>
  <c r="CH128" i="171"/>
  <c r="AG193" i="171"/>
  <c r="CI128" i="171"/>
  <c r="DV57" i="9"/>
  <c r="AY182" i="171"/>
  <c r="DD269" i="171"/>
  <c r="DB65" i="8"/>
  <c r="AH65" i="8"/>
  <c r="AH7" i="9"/>
  <c r="CJ65" i="8"/>
  <c r="V7" i="9"/>
  <c r="V16" i="9" s="1"/>
  <c r="V25" i="9" s="1"/>
  <c r="V41" i="9" s="1"/>
  <c r="V43" i="9" s="1"/>
  <c r="V44" i="9" s="1"/>
  <c r="V65" i="8"/>
  <c r="BA64" i="171"/>
  <c r="BA144" i="171"/>
  <c r="AD65" i="8"/>
  <c r="AD7" i="9"/>
  <c r="AD16" i="9" s="1"/>
  <c r="AD25" i="9" s="1"/>
  <c r="AD41" i="9" s="1"/>
  <c r="AD43" i="9" s="1"/>
  <c r="AD44" i="9" s="1"/>
  <c r="BH65" i="8"/>
  <c r="BH7" i="9"/>
  <c r="BH16" i="9" s="1"/>
  <c r="BH25" i="9" s="1"/>
  <c r="AT427" i="175"/>
  <c r="AW429" i="175"/>
  <c r="CB46" i="8"/>
  <c r="CB63" i="135"/>
  <c r="CC66" i="135" s="1"/>
  <c r="CB90" i="8"/>
  <c r="CD87" i="8"/>
  <c r="CD46" i="8"/>
  <c r="CD63" i="135"/>
  <c r="CI282" i="171"/>
  <c r="N379" i="172"/>
  <c r="N375" i="172"/>
  <c r="N371" i="172"/>
  <c r="N367" i="172"/>
  <c r="O379" i="172"/>
  <c r="O375" i="172"/>
  <c r="O371" i="172"/>
  <c r="O367" i="172"/>
  <c r="DJ303" i="172"/>
  <c r="CL282" i="171"/>
  <c r="G292" i="172"/>
  <c r="G225" i="172"/>
  <c r="G363" i="172"/>
  <c r="G273" i="172"/>
  <c r="G211" i="172"/>
  <c r="G245" i="172"/>
  <c r="G234" i="172"/>
  <c r="AP245" i="175"/>
  <c r="AU239" i="175"/>
  <c r="BW243" i="175"/>
  <c r="AP244" i="175"/>
  <c r="AT243" i="175"/>
  <c r="AP263" i="175"/>
  <c r="BS46" i="8"/>
  <c r="BS90" i="8"/>
  <c r="BS63" i="135"/>
  <c r="BX64" i="135" s="1"/>
  <c r="CX198" i="171"/>
  <c r="BT46" i="8"/>
  <c r="BT90" i="8"/>
  <c r="BT63" i="135"/>
  <c r="AJ64" i="171"/>
  <c r="CG63" i="171"/>
  <c r="AO248" i="175"/>
  <c r="AO250" i="175"/>
  <c r="CX63" i="171"/>
  <c r="BM192" i="172"/>
  <c r="BM194" i="172"/>
  <c r="CE125" i="172"/>
  <c r="CY128" i="171"/>
  <c r="DA27" i="171"/>
  <c r="DA29" i="171"/>
  <c r="DA30" i="171" s="1"/>
  <c r="CH29" i="171"/>
  <c r="CI27" i="171"/>
  <c r="Q225" i="172"/>
  <c r="Q245" i="172"/>
  <c r="Q363" i="172"/>
  <c r="Q292" i="172"/>
  <c r="Q234" i="172"/>
  <c r="Q211" i="172"/>
  <c r="Q273" i="172"/>
  <c r="Q383" i="172"/>
  <c r="DM166" i="172"/>
  <c r="Z259" i="171"/>
  <c r="DK57" i="9"/>
  <c r="DK59" i="9" s="1"/>
  <c r="AO30" i="171"/>
  <c r="BP192" i="172"/>
  <c r="BP194" i="172"/>
  <c r="BL61" i="171"/>
  <c r="BL63" i="171"/>
  <c r="CE195" i="171"/>
  <c r="CE198" i="171"/>
  <c r="CE199" i="171" s="1"/>
  <c r="AH64" i="171"/>
  <c r="CY63" i="171"/>
  <c r="AC171" i="171"/>
  <c r="AC168" i="171"/>
  <c r="DZ57" i="9"/>
  <c r="DZ59" i="9" s="1"/>
  <c r="BH61" i="171"/>
  <c r="BH63" i="171"/>
  <c r="CF262" i="172"/>
  <c r="CF257" i="172"/>
  <c r="BB156" i="175"/>
  <c r="AW109" i="175"/>
  <c r="AW32" i="175"/>
  <c r="AW108" i="175"/>
  <c r="AW128" i="175"/>
  <c r="AO146" i="171"/>
  <c r="CJ27" i="171"/>
  <c r="CI29" i="171"/>
  <c r="AT150" i="171"/>
  <c r="AT67" i="171"/>
  <c r="DQ57" i="9"/>
  <c r="BA27" i="171"/>
  <c r="DB128" i="171"/>
  <c r="BD182" i="171"/>
  <c r="AI65" i="8"/>
  <c r="AI7" i="9"/>
  <c r="AI16" i="9" s="1"/>
  <c r="AI25" i="9" s="1"/>
  <c r="AI41" i="9" s="1"/>
  <c r="AI43" i="9" s="1"/>
  <c r="AI44" i="9" s="1"/>
  <c r="AE171" i="171"/>
  <c r="AE168" i="171"/>
  <c r="AE172" i="171"/>
  <c r="AE173" i="171" s="1"/>
  <c r="U65" i="8"/>
  <c r="U7" i="9"/>
  <c r="U16" i="9" s="1"/>
  <c r="U25" i="9" s="1"/>
  <c r="U41" i="9" s="1"/>
  <c r="U43" i="9" s="1"/>
  <c r="U44" i="9" s="1"/>
  <c r="AK65" i="8"/>
  <c r="AK7" i="9"/>
  <c r="AK16" i="9" s="1"/>
  <c r="AK25" i="9" s="1"/>
  <c r="AK41" i="9" s="1"/>
  <c r="AK43" i="9" s="1"/>
  <c r="AK44" i="9" s="1"/>
  <c r="DE65" i="8"/>
  <c r="DE7" i="9"/>
  <c r="DC26" i="171"/>
  <c r="DC27" i="171" s="1"/>
  <c r="CE257" i="172"/>
  <c r="CI260" i="172"/>
  <c r="J7" i="9"/>
  <c r="J16" i="9" s="1"/>
  <c r="J25" i="9" s="1"/>
  <c r="J41" i="9" s="1"/>
  <c r="J43" i="9" s="1"/>
  <c r="J44" i="9" s="1"/>
  <c r="AX146" i="171"/>
  <c r="AX147" i="171"/>
  <c r="BS192" i="172"/>
  <c r="BS199" i="172"/>
  <c r="BS194" i="172"/>
  <c r="DA63" i="171"/>
  <c r="CJ129" i="171"/>
  <c r="CK63" i="12"/>
  <c r="CK65" i="12" s="1"/>
  <c r="AI171" i="171"/>
  <c r="AI168" i="171"/>
  <c r="AG195" i="171"/>
  <c r="AG198" i="171"/>
  <c r="BB182" i="171"/>
  <c r="AE188" i="171"/>
  <c r="AE193" i="171"/>
  <c r="AE190" i="171" s="1"/>
  <c r="CR65" i="8"/>
  <c r="CR7" i="9"/>
  <c r="AM194" i="171"/>
  <c r="AO150" i="171"/>
  <c r="AO67" i="171"/>
  <c r="BP199" i="172"/>
  <c r="AI172" i="171"/>
  <c r="EF57" i="9"/>
  <c r="EB57" i="9"/>
  <c r="EB59" i="9" s="1"/>
  <c r="CW65" i="8"/>
  <c r="CW7" i="9"/>
  <c r="CE261" i="172"/>
  <c r="AX30" i="171"/>
  <c r="BO199" i="172"/>
  <c r="CJ262" i="172"/>
  <c r="CJ261" i="172"/>
  <c r="CJ257" i="172"/>
  <c r="CO258" i="172" s="1"/>
  <c r="CN260" i="172"/>
  <c r="CS261" i="172" s="1"/>
  <c r="AY63" i="171"/>
  <c r="AY66" i="171" s="1"/>
  <c r="AY61" i="171"/>
  <c r="AZ116" i="175"/>
  <c r="AZ35" i="175" s="1"/>
  <c r="AZ156" i="175"/>
  <c r="BD155" i="175"/>
  <c r="BL65" i="8"/>
  <c r="BL7" i="9"/>
  <c r="I7" i="9"/>
  <c r="CX128" i="171"/>
  <c r="AL146" i="171"/>
  <c r="AL147" i="171"/>
  <c r="BT199" i="172"/>
  <c r="BA66" i="171"/>
  <c r="AX65" i="8"/>
  <c r="AX7" i="9"/>
  <c r="AX16" i="9" s="1"/>
  <c r="AX25" i="9" s="1"/>
  <c r="BE65" i="8"/>
  <c r="BE7" i="9"/>
  <c r="BE16" i="9" s="1"/>
  <c r="BE25" i="9" s="1"/>
  <c r="EV91" i="135" l="1"/>
  <c r="EW91" i="135" s="1"/>
  <c r="EX91" i="135" s="1"/>
  <c r="EY91" i="135" s="1"/>
  <c r="EZ91" i="135" s="1"/>
  <c r="FA91" i="135" s="1"/>
  <c r="FB91" i="135" s="1"/>
  <c r="FC91" i="135" s="1"/>
  <c r="FD91" i="135" s="1"/>
  <c r="FE91" i="135" s="1"/>
  <c r="FF91" i="135" s="1"/>
  <c r="FG91" i="135" s="1"/>
  <c r="FH91" i="135" s="1"/>
  <c r="FI91" i="135" s="1"/>
  <c r="FJ91" i="135" s="1"/>
  <c r="FK91" i="135" s="1"/>
  <c r="FL91" i="135" s="1"/>
  <c r="BJ118" i="172"/>
  <c r="CB213" i="172"/>
  <c r="CB212" i="172"/>
  <c r="CB219" i="172"/>
  <c r="CB222" i="172" s="1"/>
  <c r="BZ212" i="172"/>
  <c r="BZ297" i="172"/>
  <c r="BZ219" i="172"/>
  <c r="BZ217" i="172" s="1"/>
  <c r="BZ218" i="172" s="1"/>
  <c r="BB44" i="171"/>
  <c r="BG33" i="171"/>
  <c r="BJ111" i="172"/>
  <c r="AJ308" i="175" s="1"/>
  <c r="BJ145" i="172"/>
  <c r="BJ105" i="172"/>
  <c r="BJ100" i="172"/>
  <c r="BJ129" i="172"/>
  <c r="BO145" i="172"/>
  <c r="BJ201" i="172"/>
  <c r="BJ32" i="172"/>
  <c r="BO33" i="172" s="1"/>
  <c r="BJ143" i="172"/>
  <c r="BJ33" i="172" s="1"/>
  <c r="BJ203" i="172"/>
  <c r="BJ134" i="172"/>
  <c r="AW46" i="171"/>
  <c r="AX46" i="171"/>
  <c r="AW43" i="175" s="1"/>
  <c r="AW45" i="175" s="1"/>
  <c r="AW46" i="175" s="1"/>
  <c r="AV46" i="171"/>
  <c r="AV35" i="171"/>
  <c r="AI345" i="189"/>
  <c r="AI354" i="189" s="1"/>
  <c r="AI296" i="189"/>
  <c r="AF296" i="189"/>
  <c r="AF323" i="189" s="1"/>
  <c r="AF345" i="189"/>
  <c r="BK66" i="171"/>
  <c r="BP67" i="171" s="1"/>
  <c r="CF480" i="172"/>
  <c r="BM66" i="171"/>
  <c r="BR67" i="171" s="1"/>
  <c r="BR64" i="171"/>
  <c r="BL66" i="171"/>
  <c r="BQ67" i="171" s="1"/>
  <c r="BQ64" i="171"/>
  <c r="BN66" i="171"/>
  <c r="BS67" i="171" s="1"/>
  <c r="BS64" i="171"/>
  <c r="BM185" i="171"/>
  <c r="BR183" i="171"/>
  <c r="BN184" i="171"/>
  <c r="BS183" i="171"/>
  <c r="CP131" i="172"/>
  <c r="CO126" i="172"/>
  <c r="CF186" i="172"/>
  <c r="BN185" i="171"/>
  <c r="CF131" i="172"/>
  <c r="BK64" i="171"/>
  <c r="AK195" i="171"/>
  <c r="CY66" i="171"/>
  <c r="AH199" i="171"/>
  <c r="FR173" i="7"/>
  <c r="FR28" i="7"/>
  <c r="FS9" i="7"/>
  <c r="FR31" i="7"/>
  <c r="FR172" i="7"/>
  <c r="FR174" i="7"/>
  <c r="FR18" i="7"/>
  <c r="FR19" i="7" s="1"/>
  <c r="FR25" i="7"/>
  <c r="FR171" i="7"/>
  <c r="CZ144" i="171"/>
  <c r="CZ277" i="171" s="1"/>
  <c r="CG64" i="171"/>
  <c r="AI173" i="171"/>
  <c r="CI30" i="171"/>
  <c r="CF64" i="171"/>
  <c r="AG199" i="171"/>
  <c r="DB66" i="171"/>
  <c r="B41" i="141"/>
  <c r="B58" i="141" s="1"/>
  <c r="BY426" i="175"/>
  <c r="AZ117" i="175"/>
  <c r="CK214" i="172"/>
  <c r="CP215" i="172" s="1"/>
  <c r="DD61" i="171"/>
  <c r="FQ31" i="7"/>
  <c r="FQ28" i="7"/>
  <c r="FQ171" i="7"/>
  <c r="FQ18" i="7"/>
  <c r="FQ174" i="7"/>
  <c r="FQ170" i="7"/>
  <c r="FQ173" i="7"/>
  <c r="FQ9" i="7"/>
  <c r="FQ25" i="7"/>
  <c r="FQ172" i="7"/>
  <c r="FS19" i="7"/>
  <c r="FS37" i="7"/>
  <c r="BX39" i="7"/>
  <c r="BS39" i="7"/>
  <c r="BS53" i="7"/>
  <c r="BS38" i="7"/>
  <c r="BS44" i="7"/>
  <c r="BS45" i="7" s="1"/>
  <c r="CC53" i="7"/>
  <c r="CC39" i="7"/>
  <c r="CC44" i="7"/>
  <c r="CC38" i="7"/>
  <c r="CH39" i="7"/>
  <c r="BW37" i="7"/>
  <c r="BW19" i="7"/>
  <c r="BR37" i="7"/>
  <c r="BR19" i="7"/>
  <c r="BQ44" i="7"/>
  <c r="BQ38" i="7"/>
  <c r="BQ53" i="7"/>
  <c r="BQ39" i="7"/>
  <c r="CB37" i="7"/>
  <c r="CB19" i="7"/>
  <c r="BT37" i="7"/>
  <c r="BT19" i="7"/>
  <c r="BZ25" i="7"/>
  <c r="BZ31" i="7"/>
  <c r="BZ28" i="7"/>
  <c r="BZ9" i="7"/>
  <c r="BZ18" i="7"/>
  <c r="BZ35" i="7"/>
  <c r="BX53" i="7"/>
  <c r="BX38" i="7"/>
  <c r="BX44" i="7"/>
  <c r="CE28" i="7"/>
  <c r="CE31" i="7"/>
  <c r="CE9" i="7"/>
  <c r="CE18" i="7"/>
  <c r="CE25" i="7"/>
  <c r="CE35" i="7"/>
  <c r="CJ9" i="7"/>
  <c r="CA37" i="7"/>
  <c r="CA19" i="7"/>
  <c r="BU37" i="7"/>
  <c r="BU19" i="7"/>
  <c r="FP9" i="7"/>
  <c r="FP174" i="7"/>
  <c r="FP171" i="7"/>
  <c r="FP31" i="7"/>
  <c r="FP28" i="7"/>
  <c r="FP172" i="7"/>
  <c r="FP25" i="7"/>
  <c r="FP173" i="7"/>
  <c r="FP170" i="7"/>
  <c r="FP18" i="7"/>
  <c r="CD19" i="7"/>
  <c r="CD37" i="7"/>
  <c r="BV19" i="7"/>
  <c r="BV37" i="7"/>
  <c r="BY37" i="7"/>
  <c r="BY19" i="7"/>
  <c r="FR9" i="7"/>
  <c r="AQ265" i="175"/>
  <c r="CF65" i="8"/>
  <c r="CF68" i="8" s="1"/>
  <c r="CF69" i="8" s="1"/>
  <c r="CF70" i="8" s="1"/>
  <c r="DL65" i="8"/>
  <c r="DL68" i="8" s="1"/>
  <c r="DL69" i="8" s="1"/>
  <c r="DL70" i="8" s="1"/>
  <c r="CN261" i="172"/>
  <c r="DT65" i="8"/>
  <c r="DT68" i="8" s="1"/>
  <c r="DT69" i="8" s="1"/>
  <c r="DT70" i="8" s="1"/>
  <c r="EK63" i="12"/>
  <c r="EK65" i="12" s="1"/>
  <c r="DL63" i="12"/>
  <c r="DL65" i="12" s="1"/>
  <c r="DL165" i="172"/>
  <c r="F57" i="141"/>
  <c r="F34" i="141" s="1"/>
  <c r="EA63" i="12"/>
  <c r="EA65" i="12" s="1"/>
  <c r="CF214" i="172"/>
  <c r="CH216" i="172" s="1"/>
  <c r="BD156" i="175"/>
  <c r="DA64" i="171"/>
  <c r="DC66" i="171"/>
  <c r="CJ214" i="172"/>
  <c r="BM184" i="171"/>
  <c r="CL182" i="171"/>
  <c r="BH183" i="171"/>
  <c r="BH185" i="171"/>
  <c r="CM61" i="171"/>
  <c r="BH66" i="171"/>
  <c r="BH67" i="171" s="1"/>
  <c r="CM63" i="171"/>
  <c r="DE63" i="171"/>
  <c r="BM183" i="171"/>
  <c r="CL61" i="171"/>
  <c r="DE61" i="171"/>
  <c r="DE182" i="171"/>
  <c r="DE184" i="171" s="1"/>
  <c r="CM182" i="171"/>
  <c r="CM63" i="12"/>
  <c r="CM65" i="12" s="1"/>
  <c r="DC63" i="12"/>
  <c r="DC65" i="12" s="1"/>
  <c r="AX198" i="171"/>
  <c r="DJ65" i="8"/>
  <c r="BI67" i="171"/>
  <c r="DZ65" i="8"/>
  <c r="BA150" i="171"/>
  <c r="BA67" i="171"/>
  <c r="CK66" i="171"/>
  <c r="AM195" i="171"/>
  <c r="AM198" i="171"/>
  <c r="AM199" i="171" s="1"/>
  <c r="DG65" i="8"/>
  <c r="CR68" i="8"/>
  <c r="CR69" i="8" s="1"/>
  <c r="CR70" i="8" s="1"/>
  <c r="BB185" i="171"/>
  <c r="BB183" i="171"/>
  <c r="BB184" i="171"/>
  <c r="CA210" i="172" s="1"/>
  <c r="CJ258" i="172"/>
  <c r="CI257" i="172"/>
  <c r="DE16" i="9"/>
  <c r="DE25" i="9" s="1"/>
  <c r="DI7" i="9"/>
  <c r="DI16" i="9" s="1"/>
  <c r="DI25" i="9" s="1"/>
  <c r="U68" i="8"/>
  <c r="U69" i="8" s="1"/>
  <c r="U70" i="8" s="1"/>
  <c r="BD185" i="171"/>
  <c r="BD183" i="171"/>
  <c r="BD184" i="171"/>
  <c r="CC210" i="172" s="1"/>
  <c r="DQ63" i="12"/>
  <c r="DQ65" i="12" s="1"/>
  <c r="AP264" i="175"/>
  <c r="AT263" i="175"/>
  <c r="BW263" i="175"/>
  <c r="O369" i="172"/>
  <c r="T369" i="172"/>
  <c r="N369" i="172"/>
  <c r="S369" i="172"/>
  <c r="BH68" i="8"/>
  <c r="BH69" i="8" s="1"/>
  <c r="BH70" i="8" s="1"/>
  <c r="DB68" i="8"/>
  <c r="DB69" i="8" s="1"/>
  <c r="DB70" i="8" s="1"/>
  <c r="DM260" i="172"/>
  <c r="CQ65" i="8"/>
  <c r="CQ7" i="9"/>
  <c r="CQ16" i="9" s="1"/>
  <c r="CQ25" i="9" s="1"/>
  <c r="DV59" i="9"/>
  <c r="GC57" i="9"/>
  <c r="AN68" i="8"/>
  <c r="AN69" i="8" s="1"/>
  <c r="AN70" i="8" s="1"/>
  <c r="BB150" i="171"/>
  <c r="BB67" i="171"/>
  <c r="AV150" i="171"/>
  <c r="AV194" i="171" s="1"/>
  <c r="AV67" i="171"/>
  <c r="CJ66" i="171"/>
  <c r="DR68" i="8"/>
  <c r="DR69" i="8" s="1"/>
  <c r="DR70" i="8" s="1"/>
  <c r="BD67" i="171"/>
  <c r="AU41" i="9"/>
  <c r="AU43" i="9" s="1"/>
  <c r="AU44" i="9" s="1"/>
  <c r="AU54" i="9"/>
  <c r="AU57" i="9" s="1"/>
  <c r="AU59" i="9" s="1"/>
  <c r="CH261" i="172"/>
  <c r="AW16" i="9"/>
  <c r="AW25" i="9" s="1"/>
  <c r="CG65" i="8"/>
  <c r="CG7" i="9"/>
  <c r="CG16" i="9" s="1"/>
  <c r="CG25" i="9" s="1"/>
  <c r="CT65" i="8"/>
  <c r="BI185" i="171"/>
  <c r="BI183" i="171"/>
  <c r="BI184" i="171"/>
  <c r="CG214" i="172"/>
  <c r="DO63" i="12"/>
  <c r="DO65" i="12" s="1"/>
  <c r="BF67" i="171"/>
  <c r="AR201" i="171"/>
  <c r="AR153" i="171"/>
  <c r="AR167" i="171"/>
  <c r="AW150" i="171"/>
  <c r="AW194" i="171" s="1"/>
  <c r="AW67" i="171"/>
  <c r="BU63" i="135"/>
  <c r="CK480" i="172"/>
  <c r="CK186" i="172"/>
  <c r="CK131" i="172"/>
  <c r="CZ64" i="171"/>
  <c r="DD182" i="171"/>
  <c r="BC67" i="171"/>
  <c r="DD66" i="171"/>
  <c r="EE65" i="8"/>
  <c r="ED65" i="8"/>
  <c r="CH16" i="9"/>
  <c r="CH25" i="9" s="1"/>
  <c r="CS41" i="9"/>
  <c r="CS43" i="9" s="1"/>
  <c r="CS44" i="9" s="1"/>
  <c r="CS54" i="9"/>
  <c r="CS57" i="9" s="1"/>
  <c r="CS59" i="9" s="1"/>
  <c r="AL68" i="8"/>
  <c r="AL69" i="8" s="1"/>
  <c r="BG67" i="171"/>
  <c r="DK45" i="9"/>
  <c r="DF54" i="9"/>
  <c r="DF57" i="9" s="1"/>
  <c r="DF59" i="9" s="1"/>
  <c r="DF41" i="9"/>
  <c r="DF43" i="9" s="1"/>
  <c r="CI68" i="8"/>
  <c r="CI69" i="8" s="1"/>
  <c r="CI70" i="8" s="1"/>
  <c r="AP201" i="171"/>
  <c r="AP153" i="171"/>
  <c r="AP152" i="171"/>
  <c r="AP194" i="171"/>
  <c r="AP167" i="171"/>
  <c r="CV54" i="9"/>
  <c r="CV57" i="9" s="1"/>
  <c r="CV59" i="9" s="1"/>
  <c r="CV41" i="9"/>
  <c r="CV43" i="9" s="1"/>
  <c r="CV44" i="9" s="1"/>
  <c r="D7" i="9"/>
  <c r="BC65" i="8"/>
  <c r="BC7" i="9"/>
  <c r="BC16" i="9" s="1"/>
  <c r="BC25" i="9" s="1"/>
  <c r="BL183" i="171"/>
  <c r="CJ165" i="171"/>
  <c r="DC165" i="171"/>
  <c r="CW187" i="171"/>
  <c r="CW172" i="171"/>
  <c r="CW173" i="171" s="1"/>
  <c r="AQ150" i="171"/>
  <c r="AQ67" i="171"/>
  <c r="AF187" i="171"/>
  <c r="AF170" i="171"/>
  <c r="AF172" i="171"/>
  <c r="AF173" i="171" s="1"/>
  <c r="CF169" i="171"/>
  <c r="AE292" i="189" s="1"/>
  <c r="BJ207" i="172"/>
  <c r="BJ199" i="172"/>
  <c r="CX66" i="171"/>
  <c r="CY147" i="171"/>
  <c r="CG147" i="171"/>
  <c r="AO54" i="175"/>
  <c r="AN51" i="175"/>
  <c r="AN56" i="175"/>
  <c r="AN7" i="175"/>
  <c r="AN268" i="175"/>
  <c r="AO267" i="175"/>
  <c r="AO268" i="175" s="1"/>
  <c r="CC89" i="8"/>
  <c r="CA66" i="135"/>
  <c r="CA64" i="135"/>
  <c r="CF64" i="135"/>
  <c r="CE63" i="135"/>
  <c r="BD68" i="8"/>
  <c r="BD69" i="8" s="1"/>
  <c r="BD70" i="8" s="1"/>
  <c r="AS68" i="8"/>
  <c r="AS69" i="8" s="1"/>
  <c r="AS70" i="8" s="1"/>
  <c r="AL201" i="171"/>
  <c r="AL202" i="171" s="1"/>
  <c r="AL152" i="171"/>
  <c r="AL153" i="171"/>
  <c r="CG153" i="171" s="1"/>
  <c r="AL194" i="171"/>
  <c r="AL167" i="171"/>
  <c r="BJ68" i="8"/>
  <c r="BJ69" i="8" s="1"/>
  <c r="BJ70" i="8" s="1"/>
  <c r="CL68" i="8"/>
  <c r="CL69" i="8" s="1"/>
  <c r="CL70" i="8" s="1"/>
  <c r="BI68" i="8"/>
  <c r="BI69" i="8" s="1"/>
  <c r="BI70" i="8" s="1"/>
  <c r="AI199" i="171"/>
  <c r="CH144" i="171"/>
  <c r="CH146" i="171" s="1"/>
  <c r="AN146" i="171"/>
  <c r="AN147" i="171"/>
  <c r="AN277" i="171"/>
  <c r="CL259" i="172"/>
  <c r="CK259" i="172"/>
  <c r="BN68" i="8"/>
  <c r="BN69" i="8" s="1"/>
  <c r="BN70" i="8" s="1"/>
  <c r="AE68" i="8"/>
  <c r="AE69" i="8" s="1"/>
  <c r="AE70" i="8" s="1"/>
  <c r="CN68" i="8"/>
  <c r="CN69" i="8" s="1"/>
  <c r="CN70" i="8" s="1"/>
  <c r="AO65" i="8"/>
  <c r="AO7" i="9"/>
  <c r="AO16" i="9" s="1"/>
  <c r="AO25" i="9" s="1"/>
  <c r="AC65" i="8"/>
  <c r="AC7" i="9"/>
  <c r="AM187" i="171"/>
  <c r="AM170" i="171"/>
  <c r="AI292" i="175"/>
  <c r="AM172" i="171"/>
  <c r="AI343" i="189" s="1"/>
  <c r="AS271" i="175"/>
  <c r="AS246" i="175"/>
  <c r="AS249" i="175"/>
  <c r="AS250" i="175" s="1"/>
  <c r="P377" i="172"/>
  <c r="U377" i="172"/>
  <c r="EB63" i="12"/>
  <c r="EB65" i="12" s="1"/>
  <c r="AT201" i="171"/>
  <c r="AT153" i="171"/>
  <c r="AT152" i="171"/>
  <c r="AT167" i="171"/>
  <c r="DZ63" i="12"/>
  <c r="DZ65" i="12" s="1"/>
  <c r="DK63" i="12"/>
  <c r="DK65" i="12" s="1"/>
  <c r="CE182" i="172"/>
  <c r="CE475" i="172"/>
  <c r="CE128" i="172"/>
  <c r="CE126" i="172"/>
  <c r="AT244" i="175"/>
  <c r="AY239" i="175"/>
  <c r="AU241" i="175"/>
  <c r="T373" i="172"/>
  <c r="O373" i="172"/>
  <c r="N373" i="172"/>
  <c r="S373" i="172"/>
  <c r="CD88" i="8"/>
  <c r="CI88" i="8" s="1"/>
  <c r="CI89" i="8" s="1"/>
  <c r="AD68" i="8"/>
  <c r="AD69" i="8" s="1"/>
  <c r="AD70" i="8" s="1"/>
  <c r="AH16" i="9"/>
  <c r="AH25" i="9" s="1"/>
  <c r="AH41" i="9" s="1"/>
  <c r="AH43" i="9" s="1"/>
  <c r="AH44" i="9" s="1"/>
  <c r="Z68" i="8"/>
  <c r="Z69" i="8" s="1"/>
  <c r="Z70" i="8" s="1"/>
  <c r="AS150" i="171"/>
  <c r="AS194" i="171" s="1"/>
  <c r="AS67" i="171"/>
  <c r="BO41" i="9"/>
  <c r="BO43" i="9" s="1"/>
  <c r="BO44" i="9" s="1"/>
  <c r="BO54" i="9"/>
  <c r="BO57" i="9" s="1"/>
  <c r="BO59" i="9" s="1"/>
  <c r="BB64" i="171"/>
  <c r="BB144" i="171"/>
  <c r="AV146" i="171"/>
  <c r="AV147" i="171"/>
  <c r="AV277" i="171"/>
  <c r="AU150" i="171"/>
  <c r="AU194" i="171" s="1"/>
  <c r="AU67" i="171"/>
  <c r="AT41" i="9"/>
  <c r="AT43" i="9" s="1"/>
  <c r="AT44" i="9" s="1"/>
  <c r="AT54" i="9"/>
  <c r="AT57" i="9" s="1"/>
  <c r="AT59" i="9" s="1"/>
  <c r="BD64" i="171"/>
  <c r="AW68" i="8"/>
  <c r="AW69" i="8" s="1"/>
  <c r="AW70" i="8" s="1"/>
  <c r="AJ187" i="171"/>
  <c r="AJ170" i="171"/>
  <c r="AJ172" i="171"/>
  <c r="AF343" i="189" s="1"/>
  <c r="AF292" i="175"/>
  <c r="BF64" i="171"/>
  <c r="CL63" i="171"/>
  <c r="DB144" i="171"/>
  <c r="AV241" i="175"/>
  <c r="AV242" i="175" s="1"/>
  <c r="AW147" i="171"/>
  <c r="AW146" i="171"/>
  <c r="AW277" i="171"/>
  <c r="BW64" i="135"/>
  <c r="BW66" i="135"/>
  <c r="BC64" i="171"/>
  <c r="DD63" i="171"/>
  <c r="AA68" i="8"/>
  <c r="AA69" i="8" s="1"/>
  <c r="AA70" i="8" s="1"/>
  <c r="CH68" i="8"/>
  <c r="CH69" i="8" s="1"/>
  <c r="CH70" i="8" s="1"/>
  <c r="AV39" i="175"/>
  <c r="CS68" i="8"/>
  <c r="CS69" i="8" s="1"/>
  <c r="CS70" i="8" s="1"/>
  <c r="BN183" i="171"/>
  <c r="CF277" i="171"/>
  <c r="CF278" i="171" s="1"/>
  <c r="CV68" i="8"/>
  <c r="CV69" i="8" s="1"/>
  <c r="CV70" i="8" s="1"/>
  <c r="CL258" i="172"/>
  <c r="CH259" i="172"/>
  <c r="CG259" i="172"/>
  <c r="DC164" i="171"/>
  <c r="DC279" i="171"/>
  <c r="DC196" i="171"/>
  <c r="AC187" i="171"/>
  <c r="AC170" i="171"/>
  <c r="AC172" i="171"/>
  <c r="AG170" i="171"/>
  <c r="DM165" i="172"/>
  <c r="CX187" i="171"/>
  <c r="CX172" i="171"/>
  <c r="CY153" i="171"/>
  <c r="AK169" i="171"/>
  <c r="AG292" i="189" s="1"/>
  <c r="CY146" i="171"/>
  <c r="AN269" i="175"/>
  <c r="AN311" i="175"/>
  <c r="AO314" i="175"/>
  <c r="BY329" i="175"/>
  <c r="AW332" i="175"/>
  <c r="BZ426" i="175"/>
  <c r="AG29" i="171"/>
  <c r="AK33" i="171"/>
  <c r="AH187" i="171"/>
  <c r="AH170" i="171"/>
  <c r="AH172" i="171"/>
  <c r="DP65" i="8"/>
  <c r="BX32" i="175"/>
  <c r="AU39" i="175"/>
  <c r="S16" i="9"/>
  <c r="S25" i="9" s="1"/>
  <c r="S41" i="9" s="1"/>
  <c r="S43" i="9" s="1"/>
  <c r="S44" i="9" s="1"/>
  <c r="W7" i="9"/>
  <c r="W16" i="9" s="1"/>
  <c r="W25" i="9" s="1"/>
  <c r="W41" i="9" s="1"/>
  <c r="W43" i="9" s="1"/>
  <c r="AB44" i="9" s="1"/>
  <c r="CL54" i="9"/>
  <c r="CL57" i="9" s="1"/>
  <c r="CL59" i="9" s="1"/>
  <c r="CL41" i="9"/>
  <c r="CL43" i="9" s="1"/>
  <c r="CL44" i="9" s="1"/>
  <c r="DH65" i="8"/>
  <c r="BB16" i="9"/>
  <c r="BB25" i="9" s="1"/>
  <c r="G7" i="9"/>
  <c r="G16" i="9" s="1"/>
  <c r="G25" i="9" s="1"/>
  <c r="G41" i="9" s="1"/>
  <c r="G43" i="9" s="1"/>
  <c r="G44" i="9" s="1"/>
  <c r="AB68" i="8"/>
  <c r="AB69" i="8" s="1"/>
  <c r="AX241" i="175"/>
  <c r="P381" i="172"/>
  <c r="U381" i="172"/>
  <c r="DB30" i="171"/>
  <c r="AK199" i="171"/>
  <c r="M7" i="9"/>
  <c r="M16" i="9" s="1"/>
  <c r="M25" i="9" s="1"/>
  <c r="M41" i="9" s="1"/>
  <c r="M43" i="9" s="1"/>
  <c r="R44" i="9" s="1"/>
  <c r="I16" i="9"/>
  <c r="I25" i="9" s="1"/>
  <c r="I41" i="9" s="1"/>
  <c r="I43" i="9" s="1"/>
  <c r="I44" i="9" s="1"/>
  <c r="AY150" i="171"/>
  <c r="AY67" i="171"/>
  <c r="CJ259" i="172"/>
  <c r="CN257" i="172"/>
  <c r="CS258" i="172" s="1"/>
  <c r="EF65" i="8"/>
  <c r="CW16" i="9"/>
  <c r="CW25" i="9" s="1"/>
  <c r="DE68" i="8"/>
  <c r="DE69" i="8" s="1"/>
  <c r="DE70" i="8" s="1"/>
  <c r="AK68" i="8"/>
  <c r="AK69" i="8" s="1"/>
  <c r="AK70" i="8" s="1"/>
  <c r="BE54" i="9"/>
  <c r="BE57" i="9" s="1"/>
  <c r="BE59" i="9" s="1"/>
  <c r="BE41" i="9"/>
  <c r="BE43" i="9" s="1"/>
  <c r="BE44" i="9" s="1"/>
  <c r="AX41" i="9"/>
  <c r="AX43" i="9" s="1"/>
  <c r="AX44" i="9" s="1"/>
  <c r="AX54" i="9"/>
  <c r="AX57" i="9" s="1"/>
  <c r="AX59" i="9" s="1"/>
  <c r="BL16" i="9"/>
  <c r="BL25" i="9" s="1"/>
  <c r="AY144" i="171"/>
  <c r="AY64" i="171"/>
  <c r="DC63" i="171"/>
  <c r="DC64" i="171" s="1"/>
  <c r="GD57" i="9"/>
  <c r="AI68" i="8"/>
  <c r="AI69" i="8" s="1"/>
  <c r="AI70" i="8" s="1"/>
  <c r="GB57" i="9"/>
  <c r="DQ59" i="9"/>
  <c r="DY65" i="8"/>
  <c r="AF65" i="8"/>
  <c r="AF7" i="9"/>
  <c r="AF16" i="9" s="1"/>
  <c r="AF25" i="9" s="1"/>
  <c r="AF41" i="9" s="1"/>
  <c r="AF43" i="9" s="1"/>
  <c r="AF44" i="9" s="1"/>
  <c r="CX65" i="8"/>
  <c r="CX7" i="9"/>
  <c r="CX16" i="9" s="1"/>
  <c r="CX25" i="9" s="1"/>
  <c r="DU65" i="8"/>
  <c r="BL64" i="171"/>
  <c r="Q379" i="172"/>
  <c r="Q375" i="172"/>
  <c r="Q371" i="172"/>
  <c r="Q367" i="172"/>
  <c r="AP265" i="175"/>
  <c r="BW245" i="175"/>
  <c r="AP246" i="175"/>
  <c r="AP249" i="175"/>
  <c r="AP271" i="175"/>
  <c r="AT245" i="175"/>
  <c r="AT246" i="175" s="1"/>
  <c r="O377" i="172"/>
  <c r="T377" i="172"/>
  <c r="N377" i="172"/>
  <c r="S377" i="172"/>
  <c r="C56" i="141"/>
  <c r="C33" i="141" s="1"/>
  <c r="CK63" i="171"/>
  <c r="CJ68" i="8"/>
  <c r="CJ69" i="8" s="1"/>
  <c r="DA63" i="12"/>
  <c r="DA65" i="12" s="1"/>
  <c r="AY185" i="171"/>
  <c r="AY184" i="171"/>
  <c r="BX210" i="172" s="1"/>
  <c r="DC182" i="171"/>
  <c r="CJ182" i="171"/>
  <c r="AY183" i="171"/>
  <c r="AN54" i="9"/>
  <c r="AN57" i="9" s="1"/>
  <c r="AN59" i="9" s="1"/>
  <c r="AN41" i="9"/>
  <c r="AN43" i="9" s="1"/>
  <c r="AN44" i="9" s="1"/>
  <c r="BO68" i="8"/>
  <c r="BO69" i="8" s="1"/>
  <c r="BO70" i="8" s="1"/>
  <c r="CJ63" i="171"/>
  <c r="CJ64" i="171" s="1"/>
  <c r="BG185" i="171"/>
  <c r="BG184" i="171"/>
  <c r="BG183" i="171"/>
  <c r="CE214" i="172"/>
  <c r="AT68" i="8"/>
  <c r="AT69" i="8" s="1"/>
  <c r="AT70" i="8" s="1"/>
  <c r="N16" i="9"/>
  <c r="N25" i="9" s="1"/>
  <c r="N41" i="9" s="1"/>
  <c r="N43" i="9" s="1"/>
  <c r="N44" i="9" s="1"/>
  <c r="DY63" i="12"/>
  <c r="DY65" i="12" s="1"/>
  <c r="CI66" i="171"/>
  <c r="BA68" i="8"/>
  <c r="BA69" i="8" s="1"/>
  <c r="AY329" i="175"/>
  <c r="BX329" i="175"/>
  <c r="AU332" i="175"/>
  <c r="AQ271" i="175"/>
  <c r="AQ246" i="175"/>
  <c r="AQ249" i="175"/>
  <c r="AS146" i="171"/>
  <c r="AS147" i="171"/>
  <c r="AS277" i="171"/>
  <c r="AS278" i="171" s="1"/>
  <c r="BP65" i="8"/>
  <c r="CU68" i="8"/>
  <c r="CU69" i="8" s="1"/>
  <c r="CU70" i="8" s="1"/>
  <c r="T68" i="8"/>
  <c r="T69" i="8" s="1"/>
  <c r="T70" i="8" s="1"/>
  <c r="AI189" i="171"/>
  <c r="AI248" i="171"/>
  <c r="DF68" i="8"/>
  <c r="DF69" i="8" s="1"/>
  <c r="DF70" i="8" s="1"/>
  <c r="DJ63" i="12"/>
  <c r="DJ65" i="12" s="1"/>
  <c r="DA66" i="171"/>
  <c r="DA67" i="171" s="1"/>
  <c r="X65" i="8"/>
  <c r="X7" i="9"/>
  <c r="Q7" i="9"/>
  <c r="Q16" i="9" s="1"/>
  <c r="Q25" i="9" s="1"/>
  <c r="Q41" i="9" s="1"/>
  <c r="Q43" i="9" s="1"/>
  <c r="Q44" i="9" s="1"/>
  <c r="AQ146" i="171"/>
  <c r="AQ147" i="171"/>
  <c r="DA145" i="171"/>
  <c r="AQ277" i="171"/>
  <c r="AQ278" i="171" s="1"/>
  <c r="DA144" i="171"/>
  <c r="AQ194" i="171"/>
  <c r="CJ182" i="172"/>
  <c r="CJ181" i="172" s="1"/>
  <c r="CJ475" i="172"/>
  <c r="CJ126" i="172"/>
  <c r="CJ128" i="172"/>
  <c r="AR264" i="175"/>
  <c r="AW241" i="175"/>
  <c r="AD187" i="171"/>
  <c r="AD170" i="171"/>
  <c r="AD172" i="171"/>
  <c r="AD173" i="171" s="1"/>
  <c r="CY152" i="171"/>
  <c r="CY201" i="171"/>
  <c r="CY194" i="171"/>
  <c r="CY167" i="171"/>
  <c r="CY168" i="171" s="1"/>
  <c r="CG146" i="171"/>
  <c r="CG277" i="171"/>
  <c r="AO252" i="175"/>
  <c r="CG130" i="172"/>
  <c r="BD16" i="9"/>
  <c r="BD25" i="9" s="1"/>
  <c r="BM64" i="171"/>
  <c r="DG63" i="12"/>
  <c r="DG65" i="12" s="1"/>
  <c r="S68" i="8"/>
  <c r="S69" i="8" s="1"/>
  <c r="S70" i="8" s="1"/>
  <c r="W68" i="8"/>
  <c r="W69" i="8" s="1"/>
  <c r="CG126" i="172"/>
  <c r="AN150" i="171"/>
  <c r="CH66" i="171"/>
  <c r="CH67" i="171" s="1"/>
  <c r="CK182" i="171"/>
  <c r="BN64" i="171"/>
  <c r="BN16" i="9"/>
  <c r="BN25" i="9" s="1"/>
  <c r="CP16" i="9"/>
  <c r="CP25" i="9" s="1"/>
  <c r="CF195" i="171"/>
  <c r="CF198" i="171"/>
  <c r="CF199" i="171" s="1"/>
  <c r="CZ63" i="12"/>
  <c r="CZ65" i="12" s="1"/>
  <c r="CI144" i="171"/>
  <c r="AR146" i="171"/>
  <c r="AR147" i="171"/>
  <c r="AR277" i="171"/>
  <c r="AR194" i="171"/>
  <c r="BB68" i="8"/>
  <c r="BB69" i="8" s="1"/>
  <c r="BB70" i="8" s="1"/>
  <c r="BM7" i="9"/>
  <c r="BM16" i="9" s="1"/>
  <c r="BM25" i="9" s="1"/>
  <c r="BM65" i="8"/>
  <c r="CX171" i="171"/>
  <c r="CX85" i="171"/>
  <c r="CX91" i="171"/>
  <c r="CX109" i="171"/>
  <c r="CX151" i="171"/>
  <c r="CX103" i="171"/>
  <c r="CX115" i="171"/>
  <c r="CX133" i="171"/>
  <c r="CX139" i="171"/>
  <c r="CX163" i="171"/>
  <c r="CX79" i="171"/>
  <c r="CX73" i="171"/>
  <c r="CX157" i="171"/>
  <c r="CX145" i="171"/>
  <c r="CX97" i="171"/>
  <c r="CX121" i="171"/>
  <c r="AU147" i="171"/>
  <c r="AU146" i="171"/>
  <c r="AU277" i="171"/>
  <c r="P369" i="172"/>
  <c r="U369" i="172"/>
  <c r="AX431" i="175"/>
  <c r="AY431" i="175"/>
  <c r="BL68" i="8"/>
  <c r="BL69" i="8" s="1"/>
  <c r="BL70" i="8" s="1"/>
  <c r="BE68" i="8"/>
  <c r="BE69" i="8" s="1"/>
  <c r="BE70" i="8" s="1"/>
  <c r="AX68" i="8"/>
  <c r="AX69" i="8" s="1"/>
  <c r="AX70" i="8" s="1"/>
  <c r="AZ159" i="175"/>
  <c r="CG258" i="172"/>
  <c r="DN260" i="172"/>
  <c r="CE258" i="172"/>
  <c r="CI261" i="172"/>
  <c r="CW68" i="8"/>
  <c r="CW69" i="8" s="1"/>
  <c r="CW70" i="8" s="1"/>
  <c r="GE57" i="9"/>
  <c r="EF59" i="9"/>
  <c r="AO153" i="171"/>
  <c r="AO169" i="171" s="1"/>
  <c r="AL292" i="189" s="1"/>
  <c r="AO201" i="171"/>
  <c r="AO202" i="171" s="1"/>
  <c r="AO152" i="171"/>
  <c r="AO167" i="171"/>
  <c r="AO194" i="171"/>
  <c r="FW7" i="9"/>
  <c r="FW16" i="9" s="1"/>
  <c r="FW25" i="9" s="1"/>
  <c r="FW41" i="9" s="1"/>
  <c r="CR16" i="9"/>
  <c r="CR25" i="9" s="1"/>
  <c r="AJ7" i="9"/>
  <c r="AJ16" i="9" s="1"/>
  <c r="AJ25" i="9" s="1"/>
  <c r="AJ41" i="9" s="1"/>
  <c r="AJ43" i="9" s="1"/>
  <c r="AJ44" i="9" s="1"/>
  <c r="AJ65" i="8"/>
  <c r="AW39" i="175"/>
  <c r="CK258" i="172"/>
  <c r="CF259" i="172"/>
  <c r="BH64" i="171"/>
  <c r="CY64" i="171"/>
  <c r="O381" i="172"/>
  <c r="T381" i="172"/>
  <c r="N381" i="172"/>
  <c r="S381" i="172"/>
  <c r="CI64" i="135"/>
  <c r="CD64" i="135"/>
  <c r="CD66" i="135"/>
  <c r="CF66" i="135"/>
  <c r="CB66" i="135"/>
  <c r="CB64" i="135"/>
  <c r="CG64" i="135"/>
  <c r="BH54" i="9"/>
  <c r="BH57" i="9" s="1"/>
  <c r="BH59" i="9" s="1"/>
  <c r="BH41" i="9"/>
  <c r="BH43" i="9" s="1"/>
  <c r="BH44" i="9" s="1"/>
  <c r="BA146" i="171"/>
  <c r="BA147" i="171"/>
  <c r="BA277" i="171"/>
  <c r="V68" i="8"/>
  <c r="V69" i="8" s="1"/>
  <c r="V70" i="8" s="1"/>
  <c r="AH68" i="8"/>
  <c r="AH69" i="8" s="1"/>
  <c r="AH70" i="8" s="1"/>
  <c r="DB16" i="9"/>
  <c r="DB25" i="9" s="1"/>
  <c r="DV63" i="12"/>
  <c r="DV65" i="12" s="1"/>
  <c r="DB64" i="171"/>
  <c r="CF16" i="9"/>
  <c r="CF25" i="9" s="1"/>
  <c r="AU68" i="8"/>
  <c r="AU69" i="8" s="1"/>
  <c r="AU70" i="8" s="1"/>
  <c r="DM65" i="8"/>
  <c r="CE85" i="171"/>
  <c r="CE91" i="171"/>
  <c r="CE171" i="171"/>
  <c r="CE109" i="171"/>
  <c r="CE163" i="171"/>
  <c r="CE115" i="171"/>
  <c r="CE151" i="171"/>
  <c r="CE133" i="171"/>
  <c r="CE168" i="171"/>
  <c r="CE139" i="171"/>
  <c r="CF168" i="171"/>
  <c r="CE103" i="171"/>
  <c r="CE79" i="171"/>
  <c r="CE145" i="171"/>
  <c r="CE157" i="171"/>
  <c r="CE73" i="171"/>
  <c r="CE97" i="171"/>
  <c r="CE121" i="171"/>
  <c r="AT194" i="171"/>
  <c r="AR65" i="8"/>
  <c r="AR7" i="9"/>
  <c r="CF171" i="171"/>
  <c r="CF85" i="171"/>
  <c r="CF91" i="171"/>
  <c r="CF139" i="171"/>
  <c r="CF109" i="171"/>
  <c r="CF163" i="171"/>
  <c r="CF79" i="171"/>
  <c r="CF151" i="171"/>
  <c r="CF115" i="171"/>
  <c r="CF97" i="171"/>
  <c r="CF157" i="171"/>
  <c r="CF133" i="171"/>
  <c r="CF145" i="171"/>
  <c r="CF103" i="171"/>
  <c r="CF73" i="171"/>
  <c r="CF121" i="171"/>
  <c r="AX201" i="171"/>
  <c r="AX153" i="171"/>
  <c r="AX152" i="171"/>
  <c r="AX167" i="171"/>
  <c r="BK65" i="8"/>
  <c r="D56" i="141"/>
  <c r="D33" i="141" s="1"/>
  <c r="BZ63" i="135"/>
  <c r="BY64" i="135"/>
  <c r="BY66" i="135"/>
  <c r="CU16" i="9"/>
  <c r="CU25" i="9" s="1"/>
  <c r="Y68" i="8"/>
  <c r="Y69" i="8" s="1"/>
  <c r="Y70" i="8" s="1"/>
  <c r="GA57" i="9"/>
  <c r="AK171" i="171"/>
  <c r="AK168" i="171"/>
  <c r="BG64" i="171"/>
  <c r="CI41" i="9"/>
  <c r="CI43" i="9" s="1"/>
  <c r="CI44" i="9" s="1"/>
  <c r="CI54" i="9"/>
  <c r="CI57" i="9" s="1"/>
  <c r="CI59" i="9" s="1"/>
  <c r="EG65" i="8"/>
  <c r="AY65" i="8"/>
  <c r="AY7" i="9"/>
  <c r="AY16" i="9" s="1"/>
  <c r="AY25" i="9" s="1"/>
  <c r="AY158" i="175"/>
  <c r="AX159" i="175"/>
  <c r="AX360" i="175"/>
  <c r="AX116" i="175"/>
  <c r="AZ118" i="175" s="1"/>
  <c r="AX300" i="175"/>
  <c r="CG261" i="172"/>
  <c r="BI64" i="171"/>
  <c r="AM7" i="9"/>
  <c r="AM65" i="8"/>
  <c r="CJ164" i="171"/>
  <c r="CJ196" i="171"/>
  <c r="CJ197" i="171" s="1"/>
  <c r="CJ279" i="171"/>
  <c r="CJ280" i="171" s="1"/>
  <c r="CE187" i="171"/>
  <c r="CE172" i="171"/>
  <c r="CE173" i="171" s="1"/>
  <c r="AM33" i="171"/>
  <c r="AI29" i="171"/>
  <c r="AR271" i="175"/>
  <c r="AR249" i="175"/>
  <c r="AR246" i="175"/>
  <c r="AQ65" i="8"/>
  <c r="CG152" i="171"/>
  <c r="CG201" i="171"/>
  <c r="CG202" i="171" s="1"/>
  <c r="CG194" i="171"/>
  <c r="AO272" i="175"/>
  <c r="BZ330" i="175"/>
  <c r="CH130" i="172"/>
  <c r="AS54" i="9"/>
  <c r="AS57" i="9" s="1"/>
  <c r="AS59" i="9" s="1"/>
  <c r="AS41" i="9"/>
  <c r="AS43" i="9" s="1"/>
  <c r="AS44" i="9" s="1"/>
  <c r="CZ67" i="171"/>
  <c r="EH65" i="8"/>
  <c r="BJ41" i="9"/>
  <c r="BJ43" i="9" s="1"/>
  <c r="BJ44" i="9" s="1"/>
  <c r="BJ54" i="9"/>
  <c r="BJ57" i="9" s="1"/>
  <c r="BJ59" i="9" s="1"/>
  <c r="DG59" i="9"/>
  <c r="FZ57" i="9"/>
  <c r="AM171" i="171"/>
  <c r="AM168" i="171"/>
  <c r="BI16" i="9"/>
  <c r="BI25" i="9" s="1"/>
  <c r="CH64" i="171"/>
  <c r="CP68" i="8"/>
  <c r="CP69" i="8" s="1"/>
  <c r="CP70" i="8" s="1"/>
  <c r="CN54" i="9"/>
  <c r="CN57" i="9" s="1"/>
  <c r="CN59" i="9" s="1"/>
  <c r="CN41" i="9"/>
  <c r="CN43" i="9" s="1"/>
  <c r="CN44" i="9" s="1"/>
  <c r="BA197" i="171"/>
  <c r="CI64" i="171"/>
  <c r="BG65" i="8"/>
  <c r="BG7" i="9"/>
  <c r="AV65" i="8"/>
  <c r="CF127" i="171"/>
  <c r="BF68" i="8"/>
  <c r="BF69" i="8" s="1"/>
  <c r="AG68" i="8"/>
  <c r="AG69" i="8" s="1"/>
  <c r="AS265" i="175"/>
  <c r="U373" i="172"/>
  <c r="P373" i="172"/>
  <c r="DK199" i="172"/>
  <c r="AJ308" i="189" l="1"/>
  <c r="CZ146" i="171"/>
  <c r="AX202" i="171"/>
  <c r="BC45" i="171"/>
  <c r="BC35" i="171" s="1"/>
  <c r="BB45" i="171"/>
  <c r="BB35" i="171" s="1"/>
  <c r="BZ225" i="172"/>
  <c r="BZ254" i="172"/>
  <c r="BZ273" i="172"/>
  <c r="BZ292" i="172"/>
  <c r="BZ245" i="172"/>
  <c r="BZ234" i="172"/>
  <c r="BZ302" i="172"/>
  <c r="CB217" i="172"/>
  <c r="CB218" i="172" s="1"/>
  <c r="CC213" i="172"/>
  <c r="CC212" i="172"/>
  <c r="CC219" i="172"/>
  <c r="CC222" i="172" s="1"/>
  <c r="CA212" i="172"/>
  <c r="CA219" i="172"/>
  <c r="CA222" i="172" s="1"/>
  <c r="BZ222" i="172"/>
  <c r="CD210" i="172"/>
  <c r="BX213" i="172"/>
  <c r="BX219" i="172"/>
  <c r="BX217" i="172" s="1"/>
  <c r="BY210" i="172"/>
  <c r="CA213" i="172" s="1"/>
  <c r="BZ211" i="172"/>
  <c r="BZ213" i="172"/>
  <c r="BJ38" i="172"/>
  <c r="BO39" i="172" s="1"/>
  <c r="AJ134" i="175"/>
  <c r="AO135" i="175" s="1"/>
  <c r="DB46" i="171"/>
  <c r="CF185" i="172"/>
  <c r="AV49" i="171"/>
  <c r="EI32" i="135" s="1"/>
  <c r="BK67" i="171"/>
  <c r="CZ147" i="171"/>
  <c r="AV38" i="171"/>
  <c r="AV40" i="171" s="1"/>
  <c r="AW38" i="171"/>
  <c r="AW40" i="171" s="1"/>
  <c r="AU43" i="175"/>
  <c r="AU45" i="175" s="1"/>
  <c r="AX38" i="171"/>
  <c r="BC38" i="171" s="1"/>
  <c r="BH38" i="171" s="1"/>
  <c r="DB35" i="171"/>
  <c r="AV43" i="175"/>
  <c r="AV45" i="175" s="1"/>
  <c r="AV46" i="175" s="1"/>
  <c r="AE321" i="189"/>
  <c r="AE296" i="189"/>
  <c r="AE323" i="189" s="1"/>
  <c r="AE400" i="189" s="1"/>
  <c r="AE345" i="189"/>
  <c r="AE354" i="189" s="1"/>
  <c r="AI355" i="189"/>
  <c r="AI433" i="189"/>
  <c r="AL345" i="189"/>
  <c r="AL296" i="189"/>
  <c r="AG296" i="189"/>
  <c r="AG323" i="189" s="1"/>
  <c r="AG345" i="189"/>
  <c r="AG354" i="189" s="1"/>
  <c r="AF354" i="189"/>
  <c r="AF324" i="189"/>
  <c r="AF400" i="189"/>
  <c r="AT265" i="175"/>
  <c r="AT257" i="175"/>
  <c r="BL67" i="171"/>
  <c r="BN67" i="171"/>
  <c r="CJ216" i="172"/>
  <c r="CO215" i="172"/>
  <c r="AR278" i="171"/>
  <c r="CY169" i="171"/>
  <c r="CY187" i="171" s="1"/>
  <c r="CY188" i="171" s="1"/>
  <c r="FR37" i="7"/>
  <c r="FR44" i="7" s="1"/>
  <c r="DB67" i="171"/>
  <c r="AU278" i="171"/>
  <c r="CF215" i="172"/>
  <c r="DC67" i="171"/>
  <c r="CK215" i="172"/>
  <c r="AT202" i="171"/>
  <c r="CM216" i="172"/>
  <c r="CN214" i="172"/>
  <c r="BA278" i="171"/>
  <c r="CL183" i="171"/>
  <c r="F49" i="141"/>
  <c r="F41" i="141"/>
  <c r="F53" i="141" s="1"/>
  <c r="BX45" i="7"/>
  <c r="AZ130" i="175"/>
  <c r="AZ131" i="175"/>
  <c r="AO269" i="175"/>
  <c r="BX54" i="7"/>
  <c r="BX56" i="7" s="1"/>
  <c r="BT39" i="7"/>
  <c r="BT53" i="7"/>
  <c r="BT38" i="7"/>
  <c r="BT44" i="7"/>
  <c r="BT45" i="7" s="1"/>
  <c r="CC45" i="7"/>
  <c r="CH45" i="7"/>
  <c r="FS38" i="7"/>
  <c r="FS53" i="7"/>
  <c r="FS44" i="7"/>
  <c r="FT39" i="7"/>
  <c r="FQ37" i="7"/>
  <c r="FQ19" i="7"/>
  <c r="BY39" i="7"/>
  <c r="BY44" i="7"/>
  <c r="BY38" i="7"/>
  <c r="BY53" i="7"/>
  <c r="BY54" i="7" s="1"/>
  <c r="CD44" i="7"/>
  <c r="CD38" i="7"/>
  <c r="CD39" i="7"/>
  <c r="CD53" i="7"/>
  <c r="CI39" i="7"/>
  <c r="CB53" i="7"/>
  <c r="CB44" i="7"/>
  <c r="CB38" i="7"/>
  <c r="CB39" i="7"/>
  <c r="CG39" i="7"/>
  <c r="BQ45" i="7"/>
  <c r="BW44" i="7"/>
  <c r="BW38" i="7"/>
  <c r="BW53" i="7"/>
  <c r="BW39" i="7"/>
  <c r="BS55" i="7"/>
  <c r="BS150" i="7" s="1"/>
  <c r="BS183" i="7"/>
  <c r="BS56" i="7"/>
  <c r="BV39" i="7"/>
  <c r="BV53" i="7"/>
  <c r="BV44" i="7"/>
  <c r="BV38" i="7"/>
  <c r="BU38" i="7"/>
  <c r="BU53" i="7"/>
  <c r="BU39" i="7"/>
  <c r="CA39" i="7"/>
  <c r="CA53" i="7"/>
  <c r="CA38" i="7"/>
  <c r="CA44" i="7"/>
  <c r="CF39" i="7"/>
  <c r="CE19" i="7"/>
  <c r="CE37" i="7"/>
  <c r="BZ19" i="7"/>
  <c r="BZ37" i="7"/>
  <c r="CC56" i="7"/>
  <c r="CC183" i="7"/>
  <c r="CC63" i="12" s="1"/>
  <c r="CC65" i="12" s="1"/>
  <c r="CC55" i="7"/>
  <c r="FP37" i="7"/>
  <c r="FP19" i="7"/>
  <c r="BQ183" i="7"/>
  <c r="BQ55" i="7"/>
  <c r="BQ150" i="7" s="1"/>
  <c r="BQ56" i="7"/>
  <c r="BR38" i="7"/>
  <c r="BR39" i="7"/>
  <c r="BR53" i="7"/>
  <c r="BR44" i="7"/>
  <c r="BR45" i="7" s="1"/>
  <c r="FP7" i="9"/>
  <c r="FP16" i="9" s="1"/>
  <c r="FP25" i="9" s="1"/>
  <c r="FP41" i="9" s="1"/>
  <c r="CE181" i="172"/>
  <c r="BF7" i="9"/>
  <c r="BF16" i="9" s="1"/>
  <c r="BF25" i="9" s="1"/>
  <c r="BF54" i="9" s="1"/>
  <c r="BF57" i="9" s="1"/>
  <c r="BF59" i="9" s="1"/>
  <c r="DW65" i="8"/>
  <c r="DW68" i="8" s="1"/>
  <c r="DW69" i="8" s="1"/>
  <c r="DW70" i="8" s="1"/>
  <c r="EA65" i="8"/>
  <c r="EA68" i="8" s="1"/>
  <c r="EA69" i="8" s="1"/>
  <c r="EA70" i="8" s="1"/>
  <c r="CY7" i="9"/>
  <c r="CY16" i="9" s="1"/>
  <c r="CY25" i="9" s="1"/>
  <c r="CY54" i="9" s="1"/>
  <c r="CY57" i="9" s="1"/>
  <c r="CY59" i="9" s="1"/>
  <c r="CJ7" i="9"/>
  <c r="CJ16" i="9" s="1"/>
  <c r="CJ25" i="9" s="1"/>
  <c r="CJ41" i="9" s="1"/>
  <c r="CJ43" i="9" s="1"/>
  <c r="CO44" i="9" s="1"/>
  <c r="CT7" i="9"/>
  <c r="CT16" i="9" s="1"/>
  <c r="CT25" i="9" s="1"/>
  <c r="CT41" i="9" s="1"/>
  <c r="CT43" i="9" s="1"/>
  <c r="CY44" i="9" s="1"/>
  <c r="BZ64" i="135"/>
  <c r="AV243" i="175"/>
  <c r="AV245" i="175" s="1"/>
  <c r="DC150" i="171"/>
  <c r="BA194" i="171"/>
  <c r="BA198" i="171" s="1"/>
  <c r="CG278" i="171"/>
  <c r="CE174" i="171"/>
  <c r="DB147" i="171"/>
  <c r="CI150" i="171"/>
  <c r="CI201" i="171" s="1"/>
  <c r="CI202" i="171" s="1"/>
  <c r="CL216" i="172"/>
  <c r="BM67" i="171"/>
  <c r="CL66" i="171"/>
  <c r="CL67" i="171" s="1"/>
  <c r="DN214" i="172"/>
  <c r="CN258" i="172"/>
  <c r="DD67" i="171"/>
  <c r="CF216" i="172"/>
  <c r="CM183" i="171"/>
  <c r="CM64" i="171"/>
  <c r="DE66" i="171"/>
  <c r="DE67" i="171" s="1"/>
  <c r="CM66" i="171"/>
  <c r="DD184" i="171"/>
  <c r="DE183" i="171"/>
  <c r="DE64" i="171"/>
  <c r="AX361" i="175"/>
  <c r="AY360" i="175"/>
  <c r="AX362" i="175"/>
  <c r="D48" i="141"/>
  <c r="E48" i="141"/>
  <c r="BK68" i="8"/>
  <c r="BK69" i="8" s="1"/>
  <c r="AR68" i="8"/>
  <c r="AR69" i="8" s="1"/>
  <c r="AR70" i="8" s="1"/>
  <c r="CR54" i="9"/>
  <c r="CR41" i="9"/>
  <c r="CR43" i="9" s="1"/>
  <c r="CR44" i="9" s="1"/>
  <c r="AU195" i="171"/>
  <c r="AU198" i="171"/>
  <c r="AU199" i="171" s="1"/>
  <c r="CZ65" i="8"/>
  <c r="CZ7" i="9"/>
  <c r="BD54" i="9"/>
  <c r="BD57" i="9" s="1"/>
  <c r="BD59" i="9" s="1"/>
  <c r="BD41" i="9"/>
  <c r="BD43" i="9" s="1"/>
  <c r="BD44" i="9" s="1"/>
  <c r="DX57" i="9"/>
  <c r="DX59" i="9" s="1"/>
  <c r="DB146" i="171"/>
  <c r="DA277" i="171"/>
  <c r="CF189" i="171"/>
  <c r="AQ250" i="175"/>
  <c r="AQ251" i="175"/>
  <c r="AQ54" i="175" s="1"/>
  <c r="CI67" i="171"/>
  <c r="R7" i="9"/>
  <c r="R16" i="9" s="1"/>
  <c r="R25" i="9" s="1"/>
  <c r="R41" i="9" s="1"/>
  <c r="R43" i="9" s="1"/>
  <c r="W44" i="9" s="1"/>
  <c r="CJ183" i="171"/>
  <c r="CK183" i="171"/>
  <c r="AP250" i="175"/>
  <c r="AT249" i="175"/>
  <c r="AP251" i="175"/>
  <c r="AP54" i="175" s="1"/>
  <c r="V377" i="172"/>
  <c r="Q377" i="172"/>
  <c r="CX54" i="9"/>
  <c r="CX57" i="9" s="1"/>
  <c r="CX59" i="9" s="1"/>
  <c r="CX41" i="9"/>
  <c r="CX43" i="9" s="1"/>
  <c r="CX44" i="9" s="1"/>
  <c r="DY68" i="8"/>
  <c r="DY69" i="8" s="1"/>
  <c r="DY70" i="8" s="1"/>
  <c r="AY146" i="171"/>
  <c r="AY147" i="171"/>
  <c r="CJ147" i="171" s="1"/>
  <c r="AY277" i="171"/>
  <c r="AY278" i="171" s="1"/>
  <c r="AY194" i="171"/>
  <c r="DC144" i="171"/>
  <c r="DC146" i="171" s="1"/>
  <c r="AX242" i="175"/>
  <c r="BX39" i="175"/>
  <c r="AH193" i="171"/>
  <c r="AH190" i="171" s="1"/>
  <c r="AH188" i="171"/>
  <c r="AN373" i="175"/>
  <c r="AO311" i="175"/>
  <c r="AC193" i="171"/>
  <c r="AC259" i="171" s="1"/>
  <c r="AC188" i="171"/>
  <c r="AG188" i="171"/>
  <c r="CL64" i="171"/>
  <c r="AJ173" i="171"/>
  <c r="AF343" i="175"/>
  <c r="AU201" i="171"/>
  <c r="AU153" i="171"/>
  <c r="AU169" i="171" s="1"/>
  <c r="AS292" i="189" s="1"/>
  <c r="AU152" i="171"/>
  <c r="AU167" i="171"/>
  <c r="CJ144" i="171"/>
  <c r="CJ146" i="171" s="1"/>
  <c r="AT171" i="171"/>
  <c r="AT168" i="171"/>
  <c r="DB150" i="171"/>
  <c r="AI345" i="175"/>
  <c r="AI354" i="175" s="1"/>
  <c r="AI296" i="175"/>
  <c r="BX52" i="8"/>
  <c r="D16" i="9"/>
  <c r="D25" i="9" s="1"/>
  <c r="D41" i="9" s="1"/>
  <c r="D43" i="9" s="1"/>
  <c r="D44" i="9" s="1"/>
  <c r="H7" i="9"/>
  <c r="H16" i="9" s="1"/>
  <c r="H25" i="9" s="1"/>
  <c r="H41" i="9" s="1"/>
  <c r="H43" i="9" s="1"/>
  <c r="M44" i="9" s="1"/>
  <c r="AP171" i="171"/>
  <c r="AP168" i="171"/>
  <c r="DA150" i="171"/>
  <c r="CM65" i="8"/>
  <c r="CM7" i="9"/>
  <c r="E58" i="141"/>
  <c r="CQ68" i="8"/>
  <c r="CQ69" i="8" s="1"/>
  <c r="CQ70" i="8" s="1"/>
  <c r="AT264" i="175"/>
  <c r="DG68" i="8"/>
  <c r="DG69" i="8" s="1"/>
  <c r="DG70" i="8" s="1"/>
  <c r="CK67" i="171"/>
  <c r="EH68" i="8"/>
  <c r="EH69" i="8" s="1"/>
  <c r="EH70" i="8" s="1"/>
  <c r="CM130" i="172"/>
  <c r="CG195" i="171"/>
  <c r="CG198" i="171"/>
  <c r="CG199" i="171" s="1"/>
  <c r="AS251" i="175"/>
  <c r="AS54" i="175" s="1"/>
  <c r="AR251" i="175"/>
  <c r="AR54" i="175" s="1"/>
  <c r="AR250" i="175"/>
  <c r="AM30" i="171"/>
  <c r="AY41" i="9"/>
  <c r="AY43" i="9" s="1"/>
  <c r="AY44" i="9" s="1"/>
  <c r="AY54" i="9"/>
  <c r="AY57" i="9" s="1"/>
  <c r="AY59" i="9" s="1"/>
  <c r="EG68" i="8"/>
  <c r="EG69" i="8" s="1"/>
  <c r="EG70" i="8" s="1"/>
  <c r="AX171" i="171"/>
  <c r="AX168" i="171"/>
  <c r="CF174" i="171"/>
  <c r="AT195" i="171"/>
  <c r="AT198" i="171"/>
  <c r="DM68" i="8"/>
  <c r="DM69" i="8" s="1"/>
  <c r="DM70" i="8" s="1"/>
  <c r="CF41" i="9"/>
  <c r="CF43" i="9" s="1"/>
  <c r="CF44" i="9" s="1"/>
  <c r="CF54" i="9"/>
  <c r="CF57" i="9" s="1"/>
  <c r="CF59" i="9" s="1"/>
  <c r="AJ68" i="8"/>
  <c r="AJ69" i="8" s="1"/>
  <c r="AJ70" i="8" s="1"/>
  <c r="CI147" i="171"/>
  <c r="BN54" i="9"/>
  <c r="BN57" i="9" s="1"/>
  <c r="BN59" i="9" s="1"/>
  <c r="BN41" i="9"/>
  <c r="BN43" i="9" s="1"/>
  <c r="BN44" i="9" s="1"/>
  <c r="AN201" i="171"/>
  <c r="AN202" i="171" s="1"/>
  <c r="CH150" i="171"/>
  <c r="AN152" i="171"/>
  <c r="AN153" i="171"/>
  <c r="AN167" i="171"/>
  <c r="AR168" i="171" s="1"/>
  <c r="CC52" i="8"/>
  <c r="CL130" i="172"/>
  <c r="CY91" i="171"/>
  <c r="CY85" i="171"/>
  <c r="CY171" i="171"/>
  <c r="CY73" i="171"/>
  <c r="CY103" i="171"/>
  <c r="CY79" i="171"/>
  <c r="CY97" i="171"/>
  <c r="AW242" i="175"/>
  <c r="AB7" i="9"/>
  <c r="AB16" i="9" s="1"/>
  <c r="AB25" i="9" s="1"/>
  <c r="AB41" i="9" s="1"/>
  <c r="AB43" i="9" s="1"/>
  <c r="AG44" i="9" s="1"/>
  <c r="X16" i="9"/>
  <c r="X25" i="9" s="1"/>
  <c r="X41" i="9" s="1"/>
  <c r="X43" i="9" s="1"/>
  <c r="X44" i="9" s="1"/>
  <c r="AS195" i="171"/>
  <c r="AS198" i="171"/>
  <c r="AS199" i="171" s="1"/>
  <c r="DM214" i="172"/>
  <c r="DM215" i="172" s="1"/>
  <c r="DC183" i="171"/>
  <c r="DD183" i="171"/>
  <c r="DC184" i="171"/>
  <c r="CK64" i="171"/>
  <c r="V381" i="172"/>
  <c r="Q381" i="172"/>
  <c r="CX68" i="8"/>
  <c r="CX69" i="8" s="1"/>
  <c r="CX70" i="8" s="1"/>
  <c r="EF68" i="8"/>
  <c r="EF69" i="8" s="1"/>
  <c r="EF70" i="8" s="1"/>
  <c r="AY153" i="171"/>
  <c r="AY152" i="171"/>
  <c r="AY201" i="171"/>
  <c r="AY167" i="171"/>
  <c r="AX243" i="175"/>
  <c r="BB54" i="9"/>
  <c r="BB57" i="9" s="1"/>
  <c r="BB59" i="9" s="1"/>
  <c r="BB41" i="9"/>
  <c r="BB43" i="9" s="1"/>
  <c r="BB44" i="9" s="1"/>
  <c r="AL41" i="171"/>
  <c r="AH32" i="171"/>
  <c r="BY332" i="175"/>
  <c r="CX173" i="171"/>
  <c r="AW195" i="171"/>
  <c r="AW198" i="171"/>
  <c r="AV278" i="171"/>
  <c r="AU242" i="175"/>
  <c r="AY241" i="175"/>
  <c r="BX241" i="175"/>
  <c r="AO41" i="9"/>
  <c r="AO43" i="9" s="1"/>
  <c r="AO44" i="9" s="1"/>
  <c r="AO54" i="9"/>
  <c r="AO57" i="9" s="1"/>
  <c r="AO59" i="9" s="1"/>
  <c r="CH147" i="171"/>
  <c r="AL171" i="171"/>
  <c r="AL168" i="171"/>
  <c r="CZ151" i="171"/>
  <c r="AO51" i="175"/>
  <c r="AN53" i="175"/>
  <c r="CF187" i="171"/>
  <c r="CF188" i="171" s="1"/>
  <c r="CF172" i="171"/>
  <c r="AE343" i="189" s="1"/>
  <c r="AE292" i="175"/>
  <c r="AE321" i="175" s="1"/>
  <c r="AF188" i="171"/>
  <c r="AF193" i="171"/>
  <c r="CX188" i="171"/>
  <c r="CW190" i="171"/>
  <c r="CW188" i="171"/>
  <c r="BC41" i="9"/>
  <c r="BC43" i="9" s="1"/>
  <c r="BC44" i="9" s="1"/>
  <c r="BC54" i="9"/>
  <c r="BC57" i="9" s="1"/>
  <c r="BC59" i="9" s="1"/>
  <c r="AP195" i="171"/>
  <c r="AP198" i="171"/>
  <c r="AP199" i="171" s="1"/>
  <c r="DA151" i="171"/>
  <c r="ED68" i="8"/>
  <c r="ED69" i="8" s="1"/>
  <c r="ED70" i="8" s="1"/>
  <c r="CK185" i="172"/>
  <c r="AW201" i="171"/>
  <c r="AW153" i="171"/>
  <c r="AW152" i="171"/>
  <c r="AW167" i="171"/>
  <c r="AR171" i="171"/>
  <c r="CG41" i="9"/>
  <c r="CG43" i="9" s="1"/>
  <c r="CG44" i="9" s="1"/>
  <c r="CG54" i="9"/>
  <c r="CG57" i="9" s="1"/>
  <c r="CG59" i="9" s="1"/>
  <c r="BA7" i="9"/>
  <c r="BA16" i="9" s="1"/>
  <c r="BA25" i="9" s="1"/>
  <c r="CH258" i="172"/>
  <c r="AV201" i="171"/>
  <c r="AV202" i="171" s="1"/>
  <c r="CJ150" i="171"/>
  <c r="AV153" i="171"/>
  <c r="AV152" i="171"/>
  <c r="AV167" i="171"/>
  <c r="DQ65" i="8"/>
  <c r="AX195" i="171"/>
  <c r="BI41" i="9"/>
  <c r="BI43" i="9" s="1"/>
  <c r="BI44" i="9" s="1"/>
  <c r="BI54" i="9"/>
  <c r="BI57" i="9" s="1"/>
  <c r="BI59" i="9" s="1"/>
  <c r="BG68" i="8"/>
  <c r="BG69" i="8" s="1"/>
  <c r="BG70" i="8" s="1"/>
  <c r="CH480" i="172"/>
  <c r="CH186" i="172"/>
  <c r="CH135" i="172"/>
  <c r="CH131" i="172"/>
  <c r="CH133" i="172"/>
  <c r="AM68" i="8"/>
  <c r="AM69" i="8" s="1"/>
  <c r="AM70" i="8" s="1"/>
  <c r="AX304" i="175"/>
  <c r="AY300" i="175"/>
  <c r="AY157" i="175"/>
  <c r="AY159" i="175"/>
  <c r="AY68" i="8"/>
  <c r="AY69" i="8" s="1"/>
  <c r="AY70" i="8" s="1"/>
  <c r="CU54" i="9"/>
  <c r="CU57" i="9" s="1"/>
  <c r="CU59" i="9" s="1"/>
  <c r="CU41" i="9"/>
  <c r="CU43" i="9" s="1"/>
  <c r="CU44" i="9" s="1"/>
  <c r="D57" i="141"/>
  <c r="D34" i="141" s="1"/>
  <c r="D41" i="141" s="1"/>
  <c r="CF258" i="172"/>
  <c r="AO195" i="171"/>
  <c r="AO198" i="171"/>
  <c r="AO199" i="171" s="1"/>
  <c r="AO187" i="171"/>
  <c r="AL292" i="175"/>
  <c r="AO170" i="171"/>
  <c r="AO172" i="171"/>
  <c r="AL343" i="189" s="1"/>
  <c r="BM68" i="8"/>
  <c r="BM69" i="8" s="1"/>
  <c r="BM70" i="8" s="1"/>
  <c r="CP54" i="9"/>
  <c r="CP57" i="9" s="1"/>
  <c r="CP59" i="9" s="1"/>
  <c r="CP41" i="9"/>
  <c r="CP43" i="9" s="1"/>
  <c r="CP44" i="9" s="1"/>
  <c r="CY198" i="171"/>
  <c r="CY199" i="171" s="1"/>
  <c r="CY195" i="171"/>
  <c r="AD193" i="171"/>
  <c r="AD190" i="171" s="1"/>
  <c r="AD188" i="171"/>
  <c r="AW243" i="175"/>
  <c r="CZ288" i="171"/>
  <c r="CZ283" i="171"/>
  <c r="BP68" i="8"/>
  <c r="BP69" i="8" s="1"/>
  <c r="DA65" i="8"/>
  <c r="DA7" i="9"/>
  <c r="DA16" i="9" s="1"/>
  <c r="DA25" i="9" s="1"/>
  <c r="V369" i="172"/>
  <c r="Q369" i="172"/>
  <c r="DU68" i="8"/>
  <c r="DU69" i="8" s="1"/>
  <c r="DU70" i="8" s="1"/>
  <c r="BP7" i="9"/>
  <c r="BP16" i="9" s="1"/>
  <c r="BP25" i="9" s="1"/>
  <c r="CW54" i="9"/>
  <c r="CW41" i="9"/>
  <c r="CW43" i="9" s="1"/>
  <c r="CW44" i="9" s="1"/>
  <c r="DA146" i="171"/>
  <c r="DH68" i="8"/>
  <c r="DH69" i="8" s="1"/>
  <c r="DH70" i="8" s="1"/>
  <c r="DP68" i="8"/>
  <c r="DP69" i="8" s="1"/>
  <c r="DP70" i="8" s="1"/>
  <c r="AH173" i="171"/>
  <c r="AK30" i="171"/>
  <c r="AK187" i="171"/>
  <c r="AK170" i="171"/>
  <c r="AK172" i="171"/>
  <c r="AG343" i="189" s="1"/>
  <c r="AG292" i="175"/>
  <c r="CX190" i="171"/>
  <c r="AC173" i="171"/>
  <c r="AG173" i="171"/>
  <c r="DC197" i="171"/>
  <c r="DC272" i="171"/>
  <c r="DC273" i="171" s="1"/>
  <c r="AW278" i="171"/>
  <c r="BA239" i="175"/>
  <c r="AV244" i="175"/>
  <c r="DB277" i="171"/>
  <c r="AJ193" i="171"/>
  <c r="AJ190" i="171" s="1"/>
  <c r="AJ188" i="171"/>
  <c r="AV198" i="171"/>
  <c r="BB146" i="171"/>
  <c r="BB147" i="171"/>
  <c r="BB277" i="171"/>
  <c r="BB278" i="171" s="1"/>
  <c r="BB194" i="171"/>
  <c r="AL7" i="9"/>
  <c r="AL16" i="9" s="1"/>
  <c r="AL25" i="9" s="1"/>
  <c r="AL41" i="9" s="1"/>
  <c r="AL43" i="9" s="1"/>
  <c r="AQ44" i="9" s="1"/>
  <c r="DK65" i="8"/>
  <c r="AT169" i="171"/>
  <c r="AR292" i="189" s="1"/>
  <c r="EB65" i="8"/>
  <c r="AM188" i="171"/>
  <c r="AM193" i="171"/>
  <c r="AM189" i="171" s="1"/>
  <c r="AG7" i="9"/>
  <c r="AG16" i="9" s="1"/>
  <c r="AG25" i="9" s="1"/>
  <c r="AG41" i="9" s="1"/>
  <c r="AG43" i="9" s="1"/>
  <c r="AL44" i="9" s="1"/>
  <c r="AC16" i="9"/>
  <c r="AC25" i="9" s="1"/>
  <c r="AC41" i="9" s="1"/>
  <c r="AC43" i="9" s="1"/>
  <c r="AC44" i="9" s="1"/>
  <c r="AO68" i="8"/>
  <c r="AO69" i="8" s="1"/>
  <c r="AO70" i="8" s="1"/>
  <c r="AL195" i="171"/>
  <c r="AL198" i="171"/>
  <c r="AL199" i="171" s="1"/>
  <c r="AJ41" i="171"/>
  <c r="CF40" i="171"/>
  <c r="AF32" i="171"/>
  <c r="BC68" i="8"/>
  <c r="BC69" i="8" s="1"/>
  <c r="BC70" i="8" s="1"/>
  <c r="AP202" i="171"/>
  <c r="AR152" i="171"/>
  <c r="DO65" i="8"/>
  <c r="CG68" i="8"/>
  <c r="CG69" i="8" s="1"/>
  <c r="CG70" i="8" s="1"/>
  <c r="AW41" i="9"/>
  <c r="AW43" i="9" s="1"/>
  <c r="AW44" i="9" s="1"/>
  <c r="AW54" i="9"/>
  <c r="AW57" i="9" s="1"/>
  <c r="AW59" i="9" s="1"/>
  <c r="DM257" i="172"/>
  <c r="DM258" i="172" s="1"/>
  <c r="DN45" i="9"/>
  <c r="DI54" i="9"/>
  <c r="DI57" i="9" s="1"/>
  <c r="DI59" i="9" s="1"/>
  <c r="DI41" i="9"/>
  <c r="DI43" i="9" s="1"/>
  <c r="DN44" i="9" s="1"/>
  <c r="CE259" i="172"/>
  <c r="BA153" i="171"/>
  <c r="BA152" i="171"/>
  <c r="BA201" i="171"/>
  <c r="BA167" i="171"/>
  <c r="BK7" i="9"/>
  <c r="BK16" i="9" s="1"/>
  <c r="BK25" i="9" s="1"/>
  <c r="BG16" i="9"/>
  <c r="BG25" i="9" s="1"/>
  <c r="BZ329" i="175"/>
  <c r="CE190" i="171"/>
  <c r="CE193" i="171"/>
  <c r="CE188" i="171"/>
  <c r="AV68" i="8"/>
  <c r="AV69" i="8" s="1"/>
  <c r="AQ68" i="8"/>
  <c r="AQ69" i="8" s="1"/>
  <c r="DV65" i="8"/>
  <c r="AQ7" i="9"/>
  <c r="AQ16" i="9" s="1"/>
  <c r="AQ25" i="9" s="1"/>
  <c r="AM16" i="9"/>
  <c r="AM25" i="9" s="1"/>
  <c r="AX118" i="175"/>
  <c r="AX35" i="175"/>
  <c r="AY116" i="175"/>
  <c r="AY117" i="175" s="1"/>
  <c r="AX117" i="175"/>
  <c r="BQ52" i="8"/>
  <c r="AX169" i="171"/>
  <c r="AW292" i="189" s="1"/>
  <c r="AV7" i="9"/>
  <c r="AV16" i="9" s="1"/>
  <c r="AV25" i="9" s="1"/>
  <c r="AR16" i="9"/>
  <c r="AR25" i="9" s="1"/>
  <c r="DG45" i="9"/>
  <c r="DB54" i="9"/>
  <c r="DB41" i="9"/>
  <c r="DB43" i="9" s="1"/>
  <c r="DB44" i="9" s="1"/>
  <c r="C57" i="141"/>
  <c r="C34" i="141" s="1"/>
  <c r="C41" i="141" s="1"/>
  <c r="CK65" i="8"/>
  <c r="CK7" i="9"/>
  <c r="AO171" i="171"/>
  <c r="AO168" i="171"/>
  <c r="DN257" i="172"/>
  <c r="BM54" i="9"/>
  <c r="BM57" i="9" s="1"/>
  <c r="BM59" i="9" s="1"/>
  <c r="BM41" i="9"/>
  <c r="BM43" i="9" s="1"/>
  <c r="BM44" i="9" s="1"/>
  <c r="AR198" i="171"/>
  <c r="AR199" i="171" s="1"/>
  <c r="AR195" i="171"/>
  <c r="CI277" i="171"/>
  <c r="DC65" i="8"/>
  <c r="DC7" i="9"/>
  <c r="FO7" i="9"/>
  <c r="FO16" i="9" s="1"/>
  <c r="FO25" i="9" s="1"/>
  <c r="FO41" i="9" s="1"/>
  <c r="CG480" i="172"/>
  <c r="CG186" i="172"/>
  <c r="CG135" i="172"/>
  <c r="CG133" i="172"/>
  <c r="AQ195" i="171"/>
  <c r="AQ198" i="171"/>
  <c r="AQ199" i="171" s="1"/>
  <c r="DA147" i="171"/>
  <c r="X68" i="8"/>
  <c r="X69" i="8" s="1"/>
  <c r="X70" i="8" s="1"/>
  <c r="AI255" i="171"/>
  <c r="AI253" i="171"/>
  <c r="AY332" i="175"/>
  <c r="BX332" i="175"/>
  <c r="CE215" i="172"/>
  <c r="CE216" i="172"/>
  <c r="CI214" i="172"/>
  <c r="C48" i="141"/>
  <c r="AT271" i="175"/>
  <c r="BW271" i="175"/>
  <c r="V373" i="172"/>
  <c r="Q373" i="172"/>
  <c r="AF68" i="8"/>
  <c r="AF69" i="8" s="1"/>
  <c r="AF70" i="8" s="1"/>
  <c r="BL54" i="9"/>
  <c r="BL57" i="9" s="1"/>
  <c r="BL59" i="9" s="1"/>
  <c r="BL41" i="9"/>
  <c r="BL43" i="9" s="1"/>
  <c r="BL44" i="9" s="1"/>
  <c r="DC289" i="171"/>
  <c r="DC280" i="171"/>
  <c r="DC285" i="171"/>
  <c r="DC286" i="171" s="1"/>
  <c r="DD64" i="171"/>
  <c r="AF345" i="175"/>
  <c r="AF354" i="175" s="1"/>
  <c r="AF296" i="175"/>
  <c r="AF323" i="175" s="1"/>
  <c r="AS153" i="171"/>
  <c r="AS169" i="171" s="1"/>
  <c r="AQ292" i="189" s="1"/>
  <c r="AS201" i="171"/>
  <c r="AS202" i="171" s="1"/>
  <c r="AS152" i="171"/>
  <c r="AS167" i="171"/>
  <c r="CJ215" i="172"/>
  <c r="CD89" i="8"/>
  <c r="AU243" i="175"/>
  <c r="AZ239" i="175" s="1"/>
  <c r="AM173" i="171"/>
  <c r="AI343" i="175"/>
  <c r="AC68" i="8"/>
  <c r="AC69" i="8" s="1"/>
  <c r="AC70" i="8" s="1"/>
  <c r="AN194" i="171"/>
  <c r="AV195" i="171" s="1"/>
  <c r="CI146" i="171"/>
  <c r="CH277" i="171"/>
  <c r="CH278" i="171" s="1"/>
  <c r="AL169" i="171"/>
  <c r="CZ150" i="171"/>
  <c r="CE64" i="135"/>
  <c r="CJ64" i="135"/>
  <c r="AN6" i="175"/>
  <c r="AO7" i="175"/>
  <c r="AQ153" i="171"/>
  <c r="AQ169" i="171" s="1"/>
  <c r="AN292" i="189" s="1"/>
  <c r="AQ201" i="171"/>
  <c r="AQ202" i="171" s="1"/>
  <c r="AQ152" i="171"/>
  <c r="AQ167" i="171"/>
  <c r="AP169" i="171"/>
  <c r="AM292" i="189" s="1"/>
  <c r="CH41" i="9"/>
  <c r="CH43" i="9" s="1"/>
  <c r="CH44" i="9" s="1"/>
  <c r="CH54" i="9"/>
  <c r="CH57" i="9" s="1"/>
  <c r="CH59" i="9" s="1"/>
  <c r="EE68" i="8"/>
  <c r="EE69" i="8" s="1"/>
  <c r="EE70" i="8" s="1"/>
  <c r="AR169" i="171"/>
  <c r="AP292" i="189" s="1"/>
  <c r="CG216" i="172"/>
  <c r="CL215" i="172"/>
  <c r="CG215" i="172"/>
  <c r="CT68" i="8"/>
  <c r="CT69" i="8" s="1"/>
  <c r="CJ67" i="171"/>
  <c r="BB153" i="171"/>
  <c r="BB152" i="171"/>
  <c r="BB167" i="171"/>
  <c r="BB201" i="171"/>
  <c r="CQ54" i="9"/>
  <c r="CQ57" i="9" s="1"/>
  <c r="CQ59" i="9" s="1"/>
  <c r="CQ41" i="9"/>
  <c r="CQ43" i="9" s="1"/>
  <c r="CQ44" i="9" s="1"/>
  <c r="CH215" i="172"/>
  <c r="DJ45" i="9"/>
  <c r="DE54" i="9"/>
  <c r="DE57" i="9" s="1"/>
  <c r="DE59" i="9" s="1"/>
  <c r="DE41" i="9"/>
  <c r="DE43" i="9" s="1"/>
  <c r="CG167" i="171"/>
  <c r="DZ68" i="8"/>
  <c r="DZ69" i="8" s="1"/>
  <c r="DZ70" i="8" s="1"/>
  <c r="DJ68" i="8"/>
  <c r="DJ69" i="8" s="1"/>
  <c r="DJ70" i="8" s="1"/>
  <c r="CC217" i="172" l="1"/>
  <c r="CC218" i="172" s="1"/>
  <c r="CD219" i="172"/>
  <c r="BX222" i="172"/>
  <c r="BY219" i="172"/>
  <c r="BY222" i="172" s="1"/>
  <c r="CA217" i="172"/>
  <c r="CA218" i="172" s="1"/>
  <c r="CD212" i="172"/>
  <c r="BC40" i="171"/>
  <c r="AW48" i="171"/>
  <c r="DB48" i="171" s="1"/>
  <c r="AR55" i="175"/>
  <c r="AR56" i="175"/>
  <c r="AR51" i="175"/>
  <c r="AP55" i="175"/>
  <c r="AP51" i="175"/>
  <c r="AT54" i="175"/>
  <c r="AT55" i="175" s="1"/>
  <c r="AP56" i="175"/>
  <c r="AS55" i="175"/>
  <c r="AS51" i="175"/>
  <c r="AS56" i="175"/>
  <c r="AQ51" i="175"/>
  <c r="AQ56" i="175"/>
  <c r="AQ55" i="175"/>
  <c r="DB40" i="171"/>
  <c r="DB41" i="171" s="1"/>
  <c r="CY172" i="171"/>
  <c r="CY173" i="171" s="1"/>
  <c r="AX40" i="171"/>
  <c r="BA38" i="171"/>
  <c r="DB38" i="171"/>
  <c r="AV169" i="171"/>
  <c r="AV172" i="171" s="1"/>
  <c r="AU343" i="189" s="1"/>
  <c r="BX43" i="175"/>
  <c r="AL344" i="189"/>
  <c r="AG400" i="189"/>
  <c r="AJ400" i="189" s="1"/>
  <c r="AG324" i="189"/>
  <c r="AJ324" i="189" s="1"/>
  <c r="AP345" i="189"/>
  <c r="AT292" i="189"/>
  <c r="AT345" i="189" s="1"/>
  <c r="AP296" i="189"/>
  <c r="AM345" i="189"/>
  <c r="AM296" i="189"/>
  <c r="CB292" i="189"/>
  <c r="AN296" i="189"/>
  <c r="AN345" i="189"/>
  <c r="CG169" i="171"/>
  <c r="AJ292" i="189" s="1"/>
  <c r="AH292" i="189"/>
  <c r="AJ323" i="189"/>
  <c r="AF356" i="189"/>
  <c r="AK357" i="189" s="1"/>
  <c r="AF355" i="189"/>
  <c r="EI33" i="135"/>
  <c r="EI26" i="135"/>
  <c r="AW345" i="189"/>
  <c r="AW297" i="189"/>
  <c r="AR296" i="189"/>
  <c r="AR345" i="189"/>
  <c r="AK401" i="189"/>
  <c r="AU46" i="175"/>
  <c r="BX45" i="175"/>
  <c r="BX46" i="175" s="1"/>
  <c r="AL346" i="189"/>
  <c r="AL354" i="189"/>
  <c r="AI434" i="189"/>
  <c r="AQ345" i="189"/>
  <c r="AQ296" i="189"/>
  <c r="AS296" i="189"/>
  <c r="AS345" i="189"/>
  <c r="AF404" i="189"/>
  <c r="AG355" i="189"/>
  <c r="AG356" i="189"/>
  <c r="AL357" i="189" s="1"/>
  <c r="AE392" i="189"/>
  <c r="AJ393" i="189" s="1"/>
  <c r="AE324" i="189"/>
  <c r="AE404" i="189" s="1"/>
  <c r="AN60" i="175"/>
  <c r="AN10" i="175"/>
  <c r="AN65" i="175"/>
  <c r="AO63" i="175"/>
  <c r="FR38" i="7"/>
  <c r="FS39" i="7"/>
  <c r="CP216" i="172"/>
  <c r="CS215" i="172"/>
  <c r="CO133" i="172"/>
  <c r="CR131" i="172"/>
  <c r="CQ131" i="172"/>
  <c r="AY202" i="171"/>
  <c r="CZ153" i="171"/>
  <c r="CZ169" i="171" s="1"/>
  <c r="CZ170" i="171" s="1"/>
  <c r="F58" i="141"/>
  <c r="FR53" i="7"/>
  <c r="FR39" i="7"/>
  <c r="BB202" i="171"/>
  <c r="DA153" i="171"/>
  <c r="DA169" i="171" s="1"/>
  <c r="DA187" i="171" s="1"/>
  <c r="AZ241" i="175"/>
  <c r="AZ242" i="175" s="1"/>
  <c r="BB169" i="171"/>
  <c r="BB187" i="171" s="1"/>
  <c r="BA195" i="171"/>
  <c r="CM67" i="171"/>
  <c r="BY45" i="7"/>
  <c r="CC66" i="7"/>
  <c r="CC120" i="7" s="1"/>
  <c r="CC150" i="7"/>
  <c r="CA45" i="7"/>
  <c r="CE44" i="7"/>
  <c r="CF45" i="7"/>
  <c r="BV45" i="7"/>
  <c r="BZ44" i="7"/>
  <c r="CB54" i="7"/>
  <c r="CB56" i="7" s="1"/>
  <c r="BT56" i="7"/>
  <c r="BT183" i="7"/>
  <c r="BT55" i="7"/>
  <c r="BT150" i="7" s="1"/>
  <c r="CE38" i="7"/>
  <c r="CE39" i="7"/>
  <c r="CE53" i="7"/>
  <c r="CJ39" i="7"/>
  <c r="BU183" i="7"/>
  <c r="BU55" i="7"/>
  <c r="BU150" i="7" s="1"/>
  <c r="BU56" i="7"/>
  <c r="BV183" i="7"/>
  <c r="BV55" i="7"/>
  <c r="BV56" i="7"/>
  <c r="BW45" i="7"/>
  <c r="CD45" i="7"/>
  <c r="CI45" i="7"/>
  <c r="FS45" i="7"/>
  <c r="FT45" i="7"/>
  <c r="BQ79" i="7"/>
  <c r="BQ80" i="7" s="1"/>
  <c r="BQ58" i="7"/>
  <c r="BQ59" i="7" s="1"/>
  <c r="BQ57" i="7"/>
  <c r="CC58" i="7"/>
  <c r="CC57" i="7"/>
  <c r="CC79" i="7"/>
  <c r="CC80" i="7" s="1"/>
  <c r="CC67" i="7"/>
  <c r="CC68" i="7" s="1"/>
  <c r="CH57" i="7"/>
  <c r="CA55" i="7"/>
  <c r="CA183" i="7"/>
  <c r="CA56" i="7"/>
  <c r="BU44" i="7"/>
  <c r="BU45" i="7" s="1"/>
  <c r="CD56" i="7"/>
  <c r="CD55" i="7"/>
  <c r="CD183" i="7"/>
  <c r="CD63" i="12" s="1"/>
  <c r="CD65" i="12" s="1"/>
  <c r="BY56" i="7"/>
  <c r="BY183" i="7"/>
  <c r="BY55" i="7"/>
  <c r="FS55" i="7"/>
  <c r="FS56" i="7"/>
  <c r="BX79" i="7"/>
  <c r="BX80" i="7" s="1"/>
  <c r="BX58" i="7"/>
  <c r="BX57" i="7"/>
  <c r="BR55" i="7"/>
  <c r="BR150" i="7" s="1"/>
  <c r="BR183" i="7"/>
  <c r="BR56" i="7"/>
  <c r="FP38" i="7"/>
  <c r="FP39" i="7"/>
  <c r="FP53" i="7"/>
  <c r="FP44" i="7"/>
  <c r="FP45" i="7" s="1"/>
  <c r="BZ39" i="7"/>
  <c r="BZ53" i="7"/>
  <c r="BZ38" i="7"/>
  <c r="BS79" i="7"/>
  <c r="BS80" i="7" s="1"/>
  <c r="BS57" i="7"/>
  <c r="BS58" i="7"/>
  <c r="BS59" i="7" s="1"/>
  <c r="BW55" i="7"/>
  <c r="BW183" i="7"/>
  <c r="BW56" i="7"/>
  <c r="CB45" i="7"/>
  <c r="CG45" i="7"/>
  <c r="FQ53" i="7"/>
  <c r="FQ38" i="7"/>
  <c r="FQ39" i="7"/>
  <c r="FQ44" i="7"/>
  <c r="BX183" i="7"/>
  <c r="BX55" i="7"/>
  <c r="BZ54" i="7"/>
  <c r="CY41" i="9"/>
  <c r="CY43" i="9" s="1"/>
  <c r="DD44" i="9" s="1"/>
  <c r="BF41" i="9"/>
  <c r="BF43" i="9" s="1"/>
  <c r="BK44" i="9" s="1"/>
  <c r="CH185" i="172"/>
  <c r="DC167" i="171"/>
  <c r="DC151" i="171" s="1"/>
  <c r="CJ54" i="9"/>
  <c r="CJ57" i="9" s="1"/>
  <c r="CJ59" i="9" s="1"/>
  <c r="CT54" i="9"/>
  <c r="CT57" i="9" s="1"/>
  <c r="CT59" i="9" s="1"/>
  <c r="AO318" i="175"/>
  <c r="DC201" i="171"/>
  <c r="DB153" i="171"/>
  <c r="DB169" i="171" s="1"/>
  <c r="DB187" i="171" s="1"/>
  <c r="AY169" i="171"/>
  <c r="AX292" i="175" s="1"/>
  <c r="CI153" i="171"/>
  <c r="BA202" i="171"/>
  <c r="CI194" i="171"/>
  <c r="AM190" i="171"/>
  <c r="DN258" i="172"/>
  <c r="DN215" i="172"/>
  <c r="CJ153" i="171"/>
  <c r="AC190" i="171"/>
  <c r="FX7" i="9"/>
  <c r="FX16" i="9" s="1"/>
  <c r="FX25" i="9" s="1"/>
  <c r="FX41" i="9" s="1"/>
  <c r="CZ187" i="171"/>
  <c r="D49" i="141"/>
  <c r="E49" i="141"/>
  <c r="CG187" i="171"/>
  <c r="CG188" i="171" s="1"/>
  <c r="CG171" i="171"/>
  <c r="CG91" i="171"/>
  <c r="CG85" i="171"/>
  <c r="CG73" i="171"/>
  <c r="CG79" i="171"/>
  <c r="CG139" i="171"/>
  <c r="CG103" i="171"/>
  <c r="CG157" i="171"/>
  <c r="CG163" i="171"/>
  <c r="CG115" i="171"/>
  <c r="CG97" i="171"/>
  <c r="CG109" i="171"/>
  <c r="CG133" i="171"/>
  <c r="CG121" i="171"/>
  <c r="CG127" i="171"/>
  <c r="CG151" i="171"/>
  <c r="CG168" i="171"/>
  <c r="CG145" i="171"/>
  <c r="BB168" i="171"/>
  <c r="BB171" i="171"/>
  <c r="AQ171" i="171"/>
  <c r="AQ168" i="171"/>
  <c r="AF355" i="175"/>
  <c r="AF356" i="175"/>
  <c r="AK357" i="175" s="1"/>
  <c r="CI215" i="172"/>
  <c r="CK216" i="172"/>
  <c r="DC16" i="9"/>
  <c r="DC25" i="9" s="1"/>
  <c r="FY7" i="9"/>
  <c r="FY16" i="9" s="1"/>
  <c r="CK16" i="9"/>
  <c r="CK25" i="9" s="1"/>
  <c r="CO7" i="9"/>
  <c r="CO16" i="9" s="1"/>
  <c r="CO25" i="9" s="1"/>
  <c r="FU7" i="9"/>
  <c r="FU16" i="9" s="1"/>
  <c r="FU25" i="9" s="1"/>
  <c r="FU41" i="9" s="1"/>
  <c r="AV54" i="9"/>
  <c r="AV57" i="9" s="1"/>
  <c r="AV59" i="9" s="1"/>
  <c r="AV41" i="9"/>
  <c r="AV43" i="9" s="1"/>
  <c r="BA44" i="9" s="1"/>
  <c r="DV68" i="8"/>
  <c r="DV69" i="8" s="1"/>
  <c r="DV70" i="8" s="1"/>
  <c r="BA168" i="171"/>
  <c r="BA171" i="171"/>
  <c r="BA169" i="171"/>
  <c r="EB68" i="8"/>
  <c r="EB69" i="8" s="1"/>
  <c r="EB70" i="8" s="1"/>
  <c r="AT187" i="171"/>
  <c r="AT172" i="171"/>
  <c r="AT170" i="171"/>
  <c r="AR292" i="175"/>
  <c r="DK68" i="8"/>
  <c r="DK69" i="8" s="1"/>
  <c r="DK70" i="8" s="1"/>
  <c r="AJ189" i="171"/>
  <c r="AJ248" i="171"/>
  <c r="AJ255" i="171" s="1"/>
  <c r="AK173" i="171"/>
  <c r="AG343" i="175"/>
  <c r="AW245" i="175"/>
  <c r="BB239" i="175"/>
  <c r="AW244" i="175"/>
  <c r="CE130" i="172"/>
  <c r="AL296" i="175"/>
  <c r="AL345" i="175"/>
  <c r="AY304" i="175"/>
  <c r="CH190" i="172"/>
  <c r="DQ68" i="8"/>
  <c r="DQ69" i="8" s="1"/>
  <c r="DQ70" i="8" s="1"/>
  <c r="AW202" i="171"/>
  <c r="BW52" i="8"/>
  <c r="AE345" i="175"/>
  <c r="AE354" i="175" s="1"/>
  <c r="AE296" i="175"/>
  <c r="AE323" i="175" s="1"/>
  <c r="AE400" i="175" s="1"/>
  <c r="AY242" i="175"/>
  <c r="AY240" i="175"/>
  <c r="AW199" i="171"/>
  <c r="DM130" i="172"/>
  <c r="AY172" i="171"/>
  <c r="AX343" i="189" s="1"/>
  <c r="CO65" i="8"/>
  <c r="CD52" i="8"/>
  <c r="CM16" i="9"/>
  <c r="CM25" i="9" s="1"/>
  <c r="FV7" i="9"/>
  <c r="FV16" i="9" s="1"/>
  <c r="FV25" i="9" s="1"/>
  <c r="FV41" i="9" s="1"/>
  <c r="DA201" i="171"/>
  <c r="DB152" i="171"/>
  <c r="DA167" i="171"/>
  <c r="DA194" i="171"/>
  <c r="CJ277" i="171"/>
  <c r="CJ278" i="171" s="1"/>
  <c r="AU202" i="171"/>
  <c r="DC147" i="171"/>
  <c r="AR187" i="171"/>
  <c r="AR172" i="171"/>
  <c r="AP292" i="175"/>
  <c r="CI169" i="171"/>
  <c r="AP187" i="171"/>
  <c r="AP172" i="171"/>
  <c r="AM343" i="189" s="1"/>
  <c r="AP170" i="171"/>
  <c r="AM292" i="175"/>
  <c r="AS187" i="171"/>
  <c r="AS172" i="171"/>
  <c r="AS170" i="171"/>
  <c r="AQ292" i="175"/>
  <c r="DX65" i="8"/>
  <c r="DC68" i="8"/>
  <c r="DC69" i="8" s="1"/>
  <c r="DC70" i="8" s="1"/>
  <c r="CK68" i="8"/>
  <c r="CK69" i="8" s="1"/>
  <c r="CK70" i="8" s="1"/>
  <c r="AX187" i="171"/>
  <c r="AX170" i="171"/>
  <c r="AW292" i="175"/>
  <c r="DD65" i="8"/>
  <c r="CF32" i="171"/>
  <c r="AF29" i="171"/>
  <c r="AJ33" i="171"/>
  <c r="BA241" i="175"/>
  <c r="BA242" i="175" s="1"/>
  <c r="DN65" i="8"/>
  <c r="AO188" i="171"/>
  <c r="BL210" i="172"/>
  <c r="DZ11" i="7" s="1"/>
  <c r="GB11" i="7" s="1"/>
  <c r="CH138" i="172"/>
  <c r="CH136" i="172"/>
  <c r="AW171" i="171"/>
  <c r="AW168" i="171"/>
  <c r="AW169" i="171"/>
  <c r="AV292" i="189" s="1"/>
  <c r="AE343" i="175"/>
  <c r="CF173" i="171"/>
  <c r="AY168" i="171"/>
  <c r="AY171" i="171"/>
  <c r="BT52" i="8"/>
  <c r="CB52" i="8"/>
  <c r="CL480" i="172"/>
  <c r="CL186" i="172"/>
  <c r="CL185" i="172" s="1"/>
  <c r="CL135" i="172"/>
  <c r="CQ136" i="172" s="1"/>
  <c r="CL133" i="172"/>
  <c r="CL131" i="172"/>
  <c r="CH201" i="171"/>
  <c r="CH202" i="171" s="1"/>
  <c r="CI152" i="171"/>
  <c r="CH194" i="171"/>
  <c r="CH152" i="171"/>
  <c r="CI258" i="172"/>
  <c r="CM68" i="8"/>
  <c r="CM69" i="8" s="1"/>
  <c r="CM70" i="8" s="1"/>
  <c r="DC152" i="171"/>
  <c r="DB201" i="171"/>
  <c r="DB167" i="171"/>
  <c r="DB194" i="171"/>
  <c r="AU171" i="171"/>
  <c r="AU168" i="171"/>
  <c r="BY52" i="8"/>
  <c r="DC277" i="171"/>
  <c r="AP272" i="175"/>
  <c r="AT251" i="175"/>
  <c r="AP314" i="175"/>
  <c r="AP252" i="175"/>
  <c r="AP267" i="175"/>
  <c r="AP253" i="175"/>
  <c r="BW251" i="175"/>
  <c r="DC194" i="171"/>
  <c r="CI198" i="171"/>
  <c r="BB172" i="171"/>
  <c r="DA152" i="171"/>
  <c r="CZ201" i="171"/>
  <c r="CZ202" i="171" s="1"/>
  <c r="CZ194" i="171"/>
  <c r="CZ167" i="171"/>
  <c r="CZ152" i="171"/>
  <c r="AN195" i="171"/>
  <c r="AN198" i="171"/>
  <c r="AN199" i="171" s="1"/>
  <c r="AS171" i="171"/>
  <c r="AS168" i="171"/>
  <c r="BR52" i="8"/>
  <c r="C49" i="141"/>
  <c r="CG190" i="172"/>
  <c r="CI278" i="171"/>
  <c r="BA199" i="171"/>
  <c r="DB57" i="9"/>
  <c r="DC153" i="171"/>
  <c r="AM54" i="9"/>
  <c r="AM57" i="9" s="1"/>
  <c r="AM59" i="9" s="1"/>
  <c r="AM41" i="9"/>
  <c r="AM43" i="9" s="1"/>
  <c r="AM44" i="9" s="1"/>
  <c r="BZ332" i="175"/>
  <c r="BG41" i="9"/>
  <c r="BG43" i="9" s="1"/>
  <c r="BG44" i="9" s="1"/>
  <c r="BG54" i="9"/>
  <c r="BG57" i="9" s="1"/>
  <c r="BG59" i="9" s="1"/>
  <c r="DO68" i="8"/>
  <c r="DO69" i="8" s="1"/>
  <c r="DO70" i="8" s="1"/>
  <c r="CF41" i="171"/>
  <c r="CG41" i="171"/>
  <c r="CN215" i="172"/>
  <c r="AV246" i="175"/>
  <c r="AV249" i="175"/>
  <c r="AV271" i="175"/>
  <c r="AK188" i="171"/>
  <c r="AK193" i="171"/>
  <c r="CW57" i="9"/>
  <c r="DA41" i="9"/>
  <c r="DA43" i="9" s="1"/>
  <c r="DA44" i="9" s="1"/>
  <c r="DA54" i="9"/>
  <c r="DA57" i="9" s="1"/>
  <c r="DA59" i="9" s="1"/>
  <c r="DF45" i="9"/>
  <c r="AO173" i="171"/>
  <c r="AL343" i="175"/>
  <c r="CY65" i="8"/>
  <c r="CJ194" i="171"/>
  <c r="CJ201" i="171"/>
  <c r="CJ202" i="171" s="1"/>
  <c r="DS65" i="8"/>
  <c r="CI167" i="171"/>
  <c r="AE392" i="175"/>
  <c r="AJ393" i="175" s="1"/>
  <c r="CF190" i="171"/>
  <c r="CG208" i="171"/>
  <c r="AL33" i="171"/>
  <c r="AH29" i="171"/>
  <c r="AN171" i="171"/>
  <c r="AN168" i="171"/>
  <c r="CH167" i="171"/>
  <c r="CH151" i="171" s="1"/>
  <c r="AR314" i="175"/>
  <c r="AR252" i="175"/>
  <c r="AR253" i="175"/>
  <c r="AR272" i="175"/>
  <c r="AR267" i="175"/>
  <c r="AR269" i="175" s="1"/>
  <c r="AN384" i="175"/>
  <c r="AN374" i="175"/>
  <c r="AO373" i="175"/>
  <c r="AO374" i="175" s="1"/>
  <c r="AY195" i="171"/>
  <c r="AY198" i="171"/>
  <c r="AY199" i="171" s="1"/>
  <c r="AT250" i="175"/>
  <c r="AT248" i="175"/>
  <c r="DA278" i="171"/>
  <c r="DA288" i="171"/>
  <c r="DA39" i="171" s="1"/>
  <c r="DA283" i="171"/>
  <c r="DD7" i="9"/>
  <c r="DD16" i="9" s="1"/>
  <c r="DD25" i="9" s="1"/>
  <c r="CZ16" i="9"/>
  <c r="CZ25" i="9" s="1"/>
  <c r="FW54" i="9"/>
  <c r="CR57" i="9"/>
  <c r="AY362" i="175"/>
  <c r="AY361" i="175"/>
  <c r="CJ152" i="171"/>
  <c r="AQ187" i="171"/>
  <c r="AQ170" i="171"/>
  <c r="AQ172" i="171"/>
  <c r="AN343" i="189" s="1"/>
  <c r="AN344" i="189" s="1"/>
  <c r="AN292" i="175"/>
  <c r="AO6" i="175"/>
  <c r="AL187" i="171"/>
  <c r="AL170" i="171"/>
  <c r="AL172" i="171"/>
  <c r="AH343" i="189" s="1"/>
  <c r="AH292" i="175"/>
  <c r="AU245" i="175"/>
  <c r="AU244" i="175"/>
  <c r="AY243" i="175"/>
  <c r="BX243" i="175"/>
  <c r="AF400" i="175"/>
  <c r="AF324" i="175"/>
  <c r="CA52" i="8"/>
  <c r="DL130" i="172"/>
  <c r="DL131" i="172" s="1"/>
  <c r="AI256" i="171"/>
  <c r="AI257" i="171"/>
  <c r="CG185" i="172"/>
  <c r="AR54" i="9"/>
  <c r="AR57" i="9" s="1"/>
  <c r="AR59" i="9" s="1"/>
  <c r="AR41" i="9"/>
  <c r="AR43" i="9" s="1"/>
  <c r="AR44" i="9" s="1"/>
  <c r="AY35" i="175"/>
  <c r="AQ41" i="9"/>
  <c r="AQ43" i="9" s="1"/>
  <c r="AV44" i="9" s="1"/>
  <c r="AQ54" i="9"/>
  <c r="AQ57" i="9" s="1"/>
  <c r="AQ59" i="9" s="1"/>
  <c r="BK54" i="9"/>
  <c r="BK57" i="9" s="1"/>
  <c r="BK59" i="9" s="1"/>
  <c r="BK41" i="9"/>
  <c r="BK43" i="9" s="1"/>
  <c r="BP44" i="9" s="1"/>
  <c r="BB195" i="171"/>
  <c r="BB198" i="171"/>
  <c r="BB199" i="171" s="1"/>
  <c r="AV199" i="171"/>
  <c r="DB288" i="171"/>
  <c r="DB278" i="171"/>
  <c r="DB283" i="171"/>
  <c r="AG345" i="175"/>
  <c r="AG354" i="175" s="1"/>
  <c r="AG296" i="175"/>
  <c r="AG323" i="175" s="1"/>
  <c r="BP41" i="9"/>
  <c r="BP43" i="9" s="1"/>
  <c r="BU44" i="9" s="1"/>
  <c r="BP54" i="9"/>
  <c r="BP57" i="9" s="1"/>
  <c r="BP59" i="9" s="1"/>
  <c r="DA68" i="8"/>
  <c r="DA69" i="8" s="1"/>
  <c r="DA70" i="8" s="1"/>
  <c r="BV52" i="8"/>
  <c r="AV171" i="171"/>
  <c r="CJ167" i="171"/>
  <c r="AV168" i="171"/>
  <c r="BA41" i="9"/>
  <c r="BA43" i="9" s="1"/>
  <c r="BF44" i="9" s="1"/>
  <c r="BA54" i="9"/>
  <c r="BA57" i="9" s="1"/>
  <c r="BA59" i="9" s="1"/>
  <c r="BC239" i="175"/>
  <c r="AX245" i="175"/>
  <c r="AX244" i="175"/>
  <c r="CH153" i="171"/>
  <c r="AN169" i="171"/>
  <c r="AK292" i="189" s="1"/>
  <c r="AT199" i="171"/>
  <c r="AS314" i="175"/>
  <c r="AS311" i="175" s="1"/>
  <c r="AS373" i="175" s="1"/>
  <c r="AS267" i="175"/>
  <c r="AS268" i="175" s="1"/>
  <c r="AS253" i="175"/>
  <c r="AS272" i="175"/>
  <c r="AS252" i="175"/>
  <c r="CM480" i="172"/>
  <c r="CM186" i="172"/>
  <c r="CM185" i="172" s="1"/>
  <c r="CM131" i="172"/>
  <c r="CM133" i="172"/>
  <c r="CM135" i="172"/>
  <c r="AX199" i="171"/>
  <c r="AR202" i="171"/>
  <c r="AI355" i="175"/>
  <c r="AI433" i="175"/>
  <c r="AU187" i="171"/>
  <c r="AU170" i="171"/>
  <c r="AS292" i="175"/>
  <c r="AU172" i="171"/>
  <c r="AS343" i="189" s="1"/>
  <c r="EC65" i="8"/>
  <c r="AQ272" i="175"/>
  <c r="AQ314" i="175"/>
  <c r="AQ311" i="175" s="1"/>
  <c r="AQ373" i="175" s="1"/>
  <c r="AQ252" i="175"/>
  <c r="AQ267" i="175"/>
  <c r="AQ268" i="175" s="1"/>
  <c r="AQ253" i="175"/>
  <c r="DI65" i="8"/>
  <c r="CZ68" i="8"/>
  <c r="CZ69" i="8" s="1"/>
  <c r="CZ70" i="8" s="1"/>
  <c r="BS52" i="8"/>
  <c r="CZ188" i="171"/>
  <c r="AP343" i="189" l="1"/>
  <c r="DB39" i="171"/>
  <c r="DA172" i="171"/>
  <c r="AY170" i="171"/>
  <c r="CG172" i="171"/>
  <c r="AJ343" i="189" s="1"/>
  <c r="AJ344" i="189" s="1"/>
  <c r="CZ172" i="171"/>
  <c r="CZ173" i="171" s="1"/>
  <c r="DA170" i="171"/>
  <c r="AJ292" i="175"/>
  <c r="CI195" i="171"/>
  <c r="CG170" i="171"/>
  <c r="BY217" i="172"/>
  <c r="CD217" i="172"/>
  <c r="CD222" i="172"/>
  <c r="BF38" i="171"/>
  <c r="BA40" i="171"/>
  <c r="AW49" i="171"/>
  <c r="DB49" i="171" s="1"/>
  <c r="AT64" i="175"/>
  <c r="AQ52" i="175"/>
  <c r="AQ53" i="175"/>
  <c r="AQ81" i="175"/>
  <c r="AR81" i="175"/>
  <c r="AR53" i="175"/>
  <c r="AR52" i="175"/>
  <c r="AS52" i="175"/>
  <c r="AS81" i="175"/>
  <c r="AS53" i="175"/>
  <c r="AN81" i="175"/>
  <c r="AO81" i="175" s="1"/>
  <c r="AS61" i="175"/>
  <c r="AP62" i="175"/>
  <c r="AP81" i="175"/>
  <c r="AP53" i="175"/>
  <c r="AP52" i="175"/>
  <c r="AT51" i="175"/>
  <c r="AT52" i="175" s="1"/>
  <c r="AV170" i="171"/>
  <c r="BC33" i="171"/>
  <c r="BC42" i="171"/>
  <c r="AE408" i="189"/>
  <c r="AE433" i="189" s="1"/>
  <c r="BA42" i="171"/>
  <c r="AU292" i="189"/>
  <c r="AV187" i="171"/>
  <c r="AU292" i="175"/>
  <c r="AU345" i="175" s="1"/>
  <c r="AS344" i="189"/>
  <c r="AU344" i="189"/>
  <c r="AM344" i="189"/>
  <c r="AR343" i="189"/>
  <c r="AQ343" i="189"/>
  <c r="AF408" i="189"/>
  <c r="AK405" i="189"/>
  <c r="AR346" i="189"/>
  <c r="AR354" i="189"/>
  <c r="AN346" i="189"/>
  <c r="AN354" i="189"/>
  <c r="CB345" i="189"/>
  <c r="AM354" i="189"/>
  <c r="AK345" i="189"/>
  <c r="AP346" i="189" s="1"/>
  <c r="AO292" i="189"/>
  <c r="AK296" i="189"/>
  <c r="AO296" i="189" s="1"/>
  <c r="AL355" i="189"/>
  <c r="AJ401" i="189"/>
  <c r="AO401" i="189"/>
  <c r="CC296" i="189"/>
  <c r="EI7" i="135"/>
  <c r="EI12" i="135"/>
  <c r="EI21" i="135"/>
  <c r="EI59" i="135"/>
  <c r="EI63" i="135"/>
  <c r="EI17" i="135"/>
  <c r="EI29" i="135"/>
  <c r="EI158" i="135"/>
  <c r="EI27" i="135"/>
  <c r="EI65" i="135"/>
  <c r="AT296" i="189"/>
  <c r="AT297" i="189" s="1"/>
  <c r="AL324" i="189"/>
  <c r="AG404" i="189"/>
  <c r="AJ404" i="189" s="1"/>
  <c r="AQ346" i="189"/>
  <c r="AQ354" i="189"/>
  <c r="AH345" i="189"/>
  <c r="AH354" i="189" s="1"/>
  <c r="AH296" i="189"/>
  <c r="AT354" i="189"/>
  <c r="AG402" i="189"/>
  <c r="AH402" i="189"/>
  <c r="AL401" i="189"/>
  <c r="AV345" i="189"/>
  <c r="AV297" i="189"/>
  <c r="CD343" i="189"/>
  <c r="AX344" i="189"/>
  <c r="AY187" i="171"/>
  <c r="AY188" i="171" s="1"/>
  <c r="AX292" i="189"/>
  <c r="AS346" i="189"/>
  <c r="AS354" i="189"/>
  <c r="CC292" i="189"/>
  <c r="AW346" i="189"/>
  <c r="AW354" i="189"/>
  <c r="AJ345" i="189"/>
  <c r="AJ296" i="189"/>
  <c r="CB296" i="189"/>
  <c r="AP354" i="189"/>
  <c r="AN62" i="175"/>
  <c r="AO60" i="175"/>
  <c r="AT61" i="175" s="1"/>
  <c r="AS10" i="175"/>
  <c r="AN9" i="175"/>
  <c r="AO10" i="175"/>
  <c r="CO138" i="172"/>
  <c r="CR136" i="172"/>
  <c r="BB170" i="171"/>
  <c r="AL344" i="175"/>
  <c r="DC169" i="171"/>
  <c r="DC170" i="171" s="1"/>
  <c r="DB202" i="171"/>
  <c r="DC202" i="171"/>
  <c r="FQ45" i="7"/>
  <c r="FR54" i="7"/>
  <c r="FR55" i="7" s="1"/>
  <c r="AZ243" i="175"/>
  <c r="DC171" i="171"/>
  <c r="DC145" i="171"/>
  <c r="DC127" i="171"/>
  <c r="DC79" i="171"/>
  <c r="DC139" i="171"/>
  <c r="DC97" i="171"/>
  <c r="DC133" i="171"/>
  <c r="DC157" i="171"/>
  <c r="DC163" i="171"/>
  <c r="DC73" i="171"/>
  <c r="DC109" i="171"/>
  <c r="DC91" i="171"/>
  <c r="DC121" i="171"/>
  <c r="DC103" i="171"/>
  <c r="DC115" i="171"/>
  <c r="DC85" i="171"/>
  <c r="AS269" i="175"/>
  <c r="BZ56" i="7"/>
  <c r="BZ55" i="7"/>
  <c r="BZ150" i="7" s="1"/>
  <c r="BZ183" i="7"/>
  <c r="BW150" i="7"/>
  <c r="BW66" i="7"/>
  <c r="BW67" i="7" s="1"/>
  <c r="BW68" i="7" s="1"/>
  <c r="BW69" i="7" s="1"/>
  <c r="FP55" i="7"/>
  <c r="FP56" i="7"/>
  <c r="BX59" i="7"/>
  <c r="BY150" i="7"/>
  <c r="BY66" i="7"/>
  <c r="BY67" i="7" s="1"/>
  <c r="BY68" i="7" s="1"/>
  <c r="BY69" i="7" s="1"/>
  <c r="CD66" i="7"/>
  <c r="CD120" i="7" s="1"/>
  <c r="CD150" i="7"/>
  <c r="BV57" i="7"/>
  <c r="BV58" i="7"/>
  <c r="BV59" i="7" s="1"/>
  <c r="BV79" i="7"/>
  <c r="BV80" i="7" s="1"/>
  <c r="BZ45" i="7"/>
  <c r="CD57" i="7"/>
  <c r="CD58" i="7"/>
  <c r="CD79" i="7"/>
  <c r="CD80" i="7" s="1"/>
  <c r="CI57" i="7"/>
  <c r="CA150" i="7"/>
  <c r="CA66" i="7"/>
  <c r="BV150" i="7"/>
  <c r="BV66" i="7"/>
  <c r="BT79" i="7"/>
  <c r="BT80" i="7" s="1"/>
  <c r="BT58" i="7"/>
  <c r="BT59" i="7" s="1"/>
  <c r="BT57" i="7"/>
  <c r="BX66" i="7"/>
  <c r="BX150" i="7"/>
  <c r="BW79" i="7"/>
  <c r="BW80" i="7" s="1"/>
  <c r="BW57" i="7"/>
  <c r="BW58" i="7"/>
  <c r="FS67" i="7"/>
  <c r="FS68" i="7" s="1"/>
  <c r="FS58" i="7"/>
  <c r="FS79" i="7"/>
  <c r="FS80" i="7" s="1"/>
  <c r="FT57" i="7"/>
  <c r="BY57" i="7"/>
  <c r="BY79" i="7"/>
  <c r="BY80" i="7" s="1"/>
  <c r="BY58" i="7"/>
  <c r="CC59" i="7"/>
  <c r="CH59" i="7"/>
  <c r="FR45" i="7"/>
  <c r="CB79" i="7"/>
  <c r="CB80" i="7" s="1"/>
  <c r="CB58" i="7"/>
  <c r="CB57" i="7"/>
  <c r="CG57" i="7"/>
  <c r="FQ55" i="7"/>
  <c r="FQ56" i="7"/>
  <c r="BR79" i="7"/>
  <c r="BR80" i="7" s="1"/>
  <c r="BR57" i="7"/>
  <c r="BR58" i="7"/>
  <c r="BR59" i="7" s="1"/>
  <c r="CA58" i="7"/>
  <c r="CA79" i="7"/>
  <c r="CA80" i="7" s="1"/>
  <c r="CA57" i="7"/>
  <c r="CF57" i="7"/>
  <c r="CH69" i="7"/>
  <c r="BU79" i="7"/>
  <c r="BU80" i="7" s="1"/>
  <c r="BU58" i="7"/>
  <c r="BU59" i="7" s="1"/>
  <c r="BU57" i="7"/>
  <c r="CB118" i="7"/>
  <c r="CB119" i="7"/>
  <c r="CB55" i="7"/>
  <c r="CB183" i="7"/>
  <c r="CE54" i="7"/>
  <c r="CE45" i="7"/>
  <c r="CJ45" i="7"/>
  <c r="AJ253" i="171"/>
  <c r="DT169" i="135" s="1"/>
  <c r="FX45" i="9"/>
  <c r="AE324" i="175"/>
  <c r="AE404" i="175" s="1"/>
  <c r="AE408" i="175" s="1"/>
  <c r="AE433" i="175" s="1"/>
  <c r="DB170" i="171"/>
  <c r="AU173" i="171"/>
  <c r="AS343" i="175"/>
  <c r="AI434" i="175"/>
  <c r="AS7" i="175"/>
  <c r="AX246" i="175"/>
  <c r="AX271" i="175"/>
  <c r="AX249" i="175"/>
  <c r="AX250" i="175" s="1"/>
  <c r="CJ85" i="171"/>
  <c r="CJ171" i="171"/>
  <c r="CJ91" i="171"/>
  <c r="CJ79" i="171"/>
  <c r="CJ133" i="171"/>
  <c r="CJ97" i="171"/>
  <c r="CJ109" i="171"/>
  <c r="CJ103" i="171"/>
  <c r="CJ157" i="171"/>
  <c r="CJ139" i="171"/>
  <c r="CJ115" i="171"/>
  <c r="CJ73" i="171"/>
  <c r="CJ121" i="171"/>
  <c r="CJ127" i="171"/>
  <c r="CJ163" i="171"/>
  <c r="BQ65" i="8"/>
  <c r="BQ7" i="9"/>
  <c r="AH296" i="175"/>
  <c r="AH345" i="175"/>
  <c r="AH354" i="175" s="1"/>
  <c r="AQ188" i="171"/>
  <c r="BN210" i="172"/>
  <c r="DD45" i="9"/>
  <c r="DD41" i="9"/>
  <c r="DD43" i="9" s="1"/>
  <c r="DD54" i="9"/>
  <c r="DD57" i="9" s="1"/>
  <c r="DD59" i="9" s="1"/>
  <c r="DI45" i="9"/>
  <c r="AL30" i="171"/>
  <c r="CJ195" i="171"/>
  <c r="CJ198" i="171"/>
  <c r="CJ199" i="171" s="1"/>
  <c r="CY68" i="8"/>
  <c r="CY69" i="8" s="1"/>
  <c r="CY70" i="8" s="1"/>
  <c r="AK189" i="171"/>
  <c r="CY189" i="171" s="1"/>
  <c r="CY190" i="171" s="1"/>
  <c r="AK248" i="171"/>
  <c r="DN130" i="172"/>
  <c r="DN131" i="172" s="1"/>
  <c r="CG131" i="172"/>
  <c r="DC187" i="171"/>
  <c r="DC188" i="171" s="1"/>
  <c r="C53" i="141"/>
  <c r="C58" i="141"/>
  <c r="B27" i="141"/>
  <c r="DA195" i="171"/>
  <c r="CZ198" i="171"/>
  <c r="CZ199" i="171" s="1"/>
  <c r="CZ195" i="171"/>
  <c r="AP268" i="175"/>
  <c r="AT267" i="175"/>
  <c r="AT268" i="175" s="1"/>
  <c r="BW267" i="175"/>
  <c r="AP269" i="175"/>
  <c r="DC195" i="171"/>
  <c r="DB198" i="171"/>
  <c r="CF33" i="171"/>
  <c r="CG33" i="171"/>
  <c r="DX68" i="8"/>
  <c r="DX69" i="8" s="1"/>
  <c r="DX70" i="8" s="1"/>
  <c r="AS188" i="171"/>
  <c r="BQ210" i="172"/>
  <c r="BV212" i="172" s="1"/>
  <c r="AM343" i="175"/>
  <c r="AP173" i="171"/>
  <c r="AP345" i="175"/>
  <c r="AT292" i="175"/>
  <c r="AP296" i="175"/>
  <c r="DA202" i="171"/>
  <c r="AX345" i="175"/>
  <c r="DM186" i="172"/>
  <c r="DM187" i="172" s="1"/>
  <c r="AW271" i="175"/>
  <c r="AW246" i="175"/>
  <c r="AW249" i="175"/>
  <c r="AJ256" i="171"/>
  <c r="AJ257" i="171"/>
  <c r="AT173" i="171"/>
  <c r="AR343" i="175"/>
  <c r="AQ343" i="175"/>
  <c r="AX173" i="171"/>
  <c r="FZ45" i="9"/>
  <c r="FY45" i="9"/>
  <c r="FY25" i="9"/>
  <c r="FY41" i="9" s="1"/>
  <c r="D53" i="141"/>
  <c r="D58" i="141"/>
  <c r="E53" i="141"/>
  <c r="DA188" i="171"/>
  <c r="AF404" i="175"/>
  <c r="BD239" i="175"/>
  <c r="AH343" i="175"/>
  <c r="AL173" i="171"/>
  <c r="AN345" i="175"/>
  <c r="AN296" i="175"/>
  <c r="CR59" i="9"/>
  <c r="FW57" i="9"/>
  <c r="DS68" i="8"/>
  <c r="DS69" i="8" s="1"/>
  <c r="DS70" i="8" s="1"/>
  <c r="AK190" i="171"/>
  <c r="DB59" i="9"/>
  <c r="DB188" i="171"/>
  <c r="DA190" i="171"/>
  <c r="DC198" i="171"/>
  <c r="AT272" i="175"/>
  <c r="BW272" i="175"/>
  <c r="DB171" i="171"/>
  <c r="DB91" i="171"/>
  <c r="DB85" i="171"/>
  <c r="DB109" i="171"/>
  <c r="DB79" i="171"/>
  <c r="DB115" i="171"/>
  <c r="DC168" i="171"/>
  <c r="DB73" i="171"/>
  <c r="DB163" i="171"/>
  <c r="DB133" i="171"/>
  <c r="DB139" i="171"/>
  <c r="DB103" i="171"/>
  <c r="DB157" i="171"/>
  <c r="DB97" i="171"/>
  <c r="DB121" i="171"/>
  <c r="DB127" i="171"/>
  <c r="DB145" i="171"/>
  <c r="DB172" i="171"/>
  <c r="AW345" i="175"/>
  <c r="AQ296" i="175"/>
  <c r="AQ345" i="175"/>
  <c r="AP188" i="171"/>
  <c r="BM210" i="172"/>
  <c r="EA11" i="7" s="1"/>
  <c r="GC11" i="7" s="1"/>
  <c r="AP343" i="175"/>
  <c r="CJ145" i="171"/>
  <c r="DB195" i="171"/>
  <c r="DA198" i="171"/>
  <c r="DA199" i="171" s="1"/>
  <c r="AY173" i="171"/>
  <c r="AX343" i="175"/>
  <c r="DM131" i="172"/>
  <c r="CE480" i="172"/>
  <c r="CE186" i="172"/>
  <c r="CE135" i="172"/>
  <c r="CE131" i="172"/>
  <c r="CI130" i="172"/>
  <c r="CE133" i="172"/>
  <c r="CF133" i="172"/>
  <c r="AT188" i="171"/>
  <c r="BR210" i="172"/>
  <c r="BW212" i="172" s="1"/>
  <c r="DH45" i="9"/>
  <c r="DC54" i="9"/>
  <c r="DC41" i="9"/>
  <c r="DC43" i="9" s="1"/>
  <c r="DC44" i="9" s="1"/>
  <c r="AJ296" i="175"/>
  <c r="AJ345" i="175"/>
  <c r="EC68" i="8"/>
  <c r="EC69" i="8" s="1"/>
  <c r="EC70" i="8" s="1"/>
  <c r="AS345" i="175"/>
  <c r="AS296" i="175"/>
  <c r="CM138" i="172"/>
  <c r="CM136" i="172"/>
  <c r="BC241" i="175"/>
  <c r="BC242" i="175" s="1"/>
  <c r="AG400" i="175"/>
  <c r="AJ400" i="175" s="1"/>
  <c r="AG324" i="175"/>
  <c r="AJ324" i="175" s="1"/>
  <c r="AQ7" i="175"/>
  <c r="AQ384" i="175"/>
  <c r="AQ374" i="175"/>
  <c r="AV373" i="175"/>
  <c r="CM190" i="172"/>
  <c r="AN187" i="171"/>
  <c r="AR188" i="171" s="1"/>
  <c r="AN170" i="171"/>
  <c r="CH169" i="171"/>
  <c r="CI170" i="171" s="1"/>
  <c r="AN172" i="171"/>
  <c r="AK343" i="189" s="1"/>
  <c r="AK344" i="189" s="1"/>
  <c r="AK292" i="175"/>
  <c r="AV173" i="171"/>
  <c r="AU343" i="175"/>
  <c r="AG355" i="175"/>
  <c r="AG356" i="175"/>
  <c r="AL357" i="175" s="1"/>
  <c r="DL186" i="172"/>
  <c r="DL187" i="172" s="1"/>
  <c r="AJ323" i="175"/>
  <c r="AU271" i="175"/>
  <c r="AU246" i="175"/>
  <c r="AU249" i="175"/>
  <c r="AV251" i="175" s="1"/>
  <c r="AV54" i="175" s="1"/>
  <c r="AY245" i="175"/>
  <c r="AY246" i="175" s="1"/>
  <c r="BX245" i="175"/>
  <c r="AQ173" i="171"/>
  <c r="AN343" i="175"/>
  <c r="AN344" i="175" s="1"/>
  <c r="AR311" i="175"/>
  <c r="CH171" i="171"/>
  <c r="CH85" i="171"/>
  <c r="CH91" i="171"/>
  <c r="CH115" i="171"/>
  <c r="CH79" i="171"/>
  <c r="CH139" i="171"/>
  <c r="CH157" i="171"/>
  <c r="CH163" i="171"/>
  <c r="CI168" i="171"/>
  <c r="CH103" i="171"/>
  <c r="CH73" i="171"/>
  <c r="CH109" i="171"/>
  <c r="CH133" i="171"/>
  <c r="CH97" i="171"/>
  <c r="CH121" i="171"/>
  <c r="CH127" i="171"/>
  <c r="CH145" i="171"/>
  <c r="CJ151" i="171"/>
  <c r="CW59" i="9"/>
  <c r="AV250" i="175"/>
  <c r="AP311" i="175"/>
  <c r="AT314" i="175"/>
  <c r="BW314" i="175"/>
  <c r="AP7" i="175"/>
  <c r="BW54" i="175"/>
  <c r="DB151" i="171"/>
  <c r="CL190" i="172"/>
  <c r="AW187" i="171"/>
  <c r="BB188" i="171" s="1"/>
  <c r="AW170" i="171"/>
  <c r="AV292" i="175"/>
  <c r="CJ169" i="171"/>
  <c r="BA243" i="175"/>
  <c r="AJ30" i="171"/>
  <c r="AM345" i="175"/>
  <c r="BW292" i="175"/>
  <c r="AM296" i="175"/>
  <c r="AR170" i="171"/>
  <c r="DA85" i="171"/>
  <c r="DA91" i="171"/>
  <c r="DA171" i="171"/>
  <c r="DA73" i="171"/>
  <c r="DA103" i="171"/>
  <c r="DA79" i="171"/>
  <c r="DB168" i="171"/>
  <c r="DA97" i="171"/>
  <c r="CM54" i="9"/>
  <c r="CM57" i="9" s="1"/>
  <c r="CM59" i="9" s="1"/>
  <c r="CM41" i="9"/>
  <c r="CM43" i="9" s="1"/>
  <c r="CM44" i="9" s="1"/>
  <c r="AL354" i="175"/>
  <c r="AL346" i="175"/>
  <c r="AR345" i="175"/>
  <c r="AR296" i="175"/>
  <c r="BA187" i="171"/>
  <c r="BA172" i="171"/>
  <c r="BA170" i="171"/>
  <c r="BY292" i="175"/>
  <c r="CO41" i="9"/>
  <c r="CO43" i="9" s="1"/>
  <c r="CT44" i="9" s="1"/>
  <c r="CO54" i="9"/>
  <c r="CO57" i="9" s="1"/>
  <c r="CO59" i="9" s="1"/>
  <c r="DI68" i="8"/>
  <c r="DI69" i="8" s="1"/>
  <c r="DI70" i="8" s="1"/>
  <c r="AQ269" i="175"/>
  <c r="AU188" i="171"/>
  <c r="BS210" i="172"/>
  <c r="BX65" i="8"/>
  <c r="BX7" i="9"/>
  <c r="AS384" i="175"/>
  <c r="AX373" i="175"/>
  <c r="AS374" i="175"/>
  <c r="AK401" i="175"/>
  <c r="AY244" i="175"/>
  <c r="AL193" i="171"/>
  <c r="AL190" i="171" s="1"/>
  <c r="AL188" i="171"/>
  <c r="CZ54" i="9"/>
  <c r="CZ41" i="9"/>
  <c r="CZ43" i="9" s="1"/>
  <c r="CZ44" i="9" s="1"/>
  <c r="DE45" i="9"/>
  <c r="AN385" i="175"/>
  <c r="AO384" i="175"/>
  <c r="AO385" i="175" s="1"/>
  <c r="AN386" i="175"/>
  <c r="AS387" i="175" s="1"/>
  <c r="AR268" i="175"/>
  <c r="AR7" i="175"/>
  <c r="CI85" i="171"/>
  <c r="CI171" i="171"/>
  <c r="CI91" i="171"/>
  <c r="CI103" i="171"/>
  <c r="CI163" i="171"/>
  <c r="CI139" i="171"/>
  <c r="CI133" i="171"/>
  <c r="CI157" i="171"/>
  <c r="CJ168" i="171"/>
  <c r="CI73" i="171"/>
  <c r="CI79" i="171"/>
  <c r="CI115" i="171"/>
  <c r="CI97" i="171"/>
  <c r="CI109" i="171"/>
  <c r="CI121" i="171"/>
  <c r="CI127" i="171"/>
  <c r="CI151" i="171"/>
  <c r="CI145" i="171"/>
  <c r="CZ85" i="171"/>
  <c r="CZ171" i="171"/>
  <c r="CZ91" i="171"/>
  <c r="CZ103" i="171"/>
  <c r="DA168" i="171"/>
  <c r="CZ79" i="171"/>
  <c r="CZ73" i="171"/>
  <c r="CZ97" i="171"/>
  <c r="CZ168" i="171"/>
  <c r="BB173" i="171"/>
  <c r="AT252" i="175"/>
  <c r="DC288" i="171"/>
  <c r="DC278" i="171"/>
  <c r="DC283" i="171"/>
  <c r="CH195" i="171"/>
  <c r="CH198" i="171"/>
  <c r="CH199" i="171" s="1"/>
  <c r="CC65" i="8"/>
  <c r="CC7" i="9"/>
  <c r="CL136" i="172"/>
  <c r="BL212" i="172"/>
  <c r="BL219" i="172"/>
  <c r="BL217" i="172" s="1"/>
  <c r="BL218" i="172" s="1"/>
  <c r="BL272" i="172"/>
  <c r="DJ210" i="172"/>
  <c r="BL213" i="172"/>
  <c r="DN68" i="8"/>
  <c r="DN69" i="8" s="1"/>
  <c r="DN70" i="8" s="1"/>
  <c r="DB190" i="171"/>
  <c r="DD68" i="8"/>
  <c r="DD69" i="8" s="1"/>
  <c r="DD70" i="8" s="1"/>
  <c r="AX188" i="171"/>
  <c r="AW173" i="171"/>
  <c r="AS173" i="171"/>
  <c r="CI187" i="171"/>
  <c r="CV210" i="172" s="1"/>
  <c r="CI172" i="171"/>
  <c r="AT343" i="189" s="1"/>
  <c r="BP210" i="172"/>
  <c r="BU212" i="172" s="1"/>
  <c r="CO68" i="8"/>
  <c r="CO69" i="8" s="1"/>
  <c r="CJ130" i="172"/>
  <c r="BB241" i="175"/>
  <c r="CK41" i="9"/>
  <c r="CK43" i="9" s="1"/>
  <c r="CK44" i="9" s="1"/>
  <c r="CK54" i="9"/>
  <c r="CK57" i="9" s="1"/>
  <c r="CK59" i="9" s="1"/>
  <c r="CH168" i="171"/>
  <c r="CV212" i="172" l="1"/>
  <c r="CV219" i="172"/>
  <c r="CV222" i="172" s="1"/>
  <c r="CV217" i="172"/>
  <c r="CV218" i="172" s="1"/>
  <c r="AX48" i="171"/>
  <c r="AX49" i="171" s="1"/>
  <c r="EK32" i="135" s="1"/>
  <c r="DB173" i="171"/>
  <c r="AJ343" i="175"/>
  <c r="AJ344" i="175" s="1"/>
  <c r="CG173" i="171"/>
  <c r="EJ32" i="135"/>
  <c r="DA173" i="171"/>
  <c r="CD218" i="172"/>
  <c r="AV188" i="171"/>
  <c r="AV55" i="175"/>
  <c r="AV51" i="175"/>
  <c r="AT81" i="175"/>
  <c r="AZ107" i="175"/>
  <c r="BA33" i="171"/>
  <c r="BC30" i="171"/>
  <c r="BH29" i="171"/>
  <c r="AU345" i="189"/>
  <c r="CC345" i="189" s="1"/>
  <c r="AU297" i="189"/>
  <c r="CC297" i="189" s="1"/>
  <c r="AJ405" i="189"/>
  <c r="AW355" i="189"/>
  <c r="AW433" i="189"/>
  <c r="AS355" i="189"/>
  <c r="AS433" i="189"/>
  <c r="AV346" i="189"/>
  <c r="AV354" i="189"/>
  <c r="AW356" i="189" s="1"/>
  <c r="AL321" i="189"/>
  <c r="AQ324" i="189"/>
  <c r="AL404" i="189"/>
  <c r="AO324" i="189"/>
  <c r="EI160" i="135"/>
  <c r="EI150" i="135"/>
  <c r="EI159" i="135"/>
  <c r="EI43" i="135"/>
  <c r="EI146" i="135"/>
  <c r="EI47" i="135"/>
  <c r="EI142" i="135"/>
  <c r="EI165" i="135"/>
  <c r="EI170" i="135"/>
  <c r="EI174" i="135"/>
  <c r="AK354" i="189"/>
  <c r="AP355" i="189" s="1"/>
  <c r="AK346" i="189"/>
  <c r="AN355" i="189"/>
  <c r="AN356" i="189"/>
  <c r="AN433" i="189"/>
  <c r="AQ344" i="189"/>
  <c r="AV344" i="189"/>
  <c r="EJ33" i="135"/>
  <c r="EJ34" i="135"/>
  <c r="EJ26" i="135"/>
  <c r="AQ355" i="189"/>
  <c r="AQ356" i="189"/>
  <c r="EI24" i="135"/>
  <c r="EI23" i="135"/>
  <c r="EI22" i="135"/>
  <c r="AP344" i="189"/>
  <c r="AM355" i="189"/>
  <c r="AM356" i="189"/>
  <c r="AM433" i="189"/>
  <c r="AR344" i="189"/>
  <c r="CC343" i="189"/>
  <c r="AW344" i="189"/>
  <c r="AX345" i="189"/>
  <c r="AX297" i="189"/>
  <c r="CD297" i="189" s="1"/>
  <c r="CD292" i="189"/>
  <c r="AY292" i="189"/>
  <c r="AS356" i="189"/>
  <c r="AR355" i="189"/>
  <c r="AR356" i="189"/>
  <c r="AR433" i="189"/>
  <c r="BX212" i="172"/>
  <c r="BU213" i="172"/>
  <c r="CB354" i="189"/>
  <c r="AP356" i="189"/>
  <c r="AP433" i="189"/>
  <c r="AJ346" i="189"/>
  <c r="AJ354" i="189"/>
  <c r="AJ355" i="189" s="1"/>
  <c r="AH355" i="189"/>
  <c r="AH356" i="189"/>
  <c r="AM357" i="189" s="1"/>
  <c r="AH433" i="189"/>
  <c r="AI356" i="189"/>
  <c r="AN357" i="189" s="1"/>
  <c r="AG408" i="189"/>
  <c r="AJ408" i="189" s="1"/>
  <c r="AJ409" i="189" s="1"/>
  <c r="AH406" i="189"/>
  <c r="AG406" i="189"/>
  <c r="EI69" i="135"/>
  <c r="EI64" i="135"/>
  <c r="EI66" i="135"/>
  <c r="AO297" i="189"/>
  <c r="AO345" i="189"/>
  <c r="AM346" i="189"/>
  <c r="AF409" i="189"/>
  <c r="AF433" i="189"/>
  <c r="AF410" i="189"/>
  <c r="AK409" i="189"/>
  <c r="CB343" i="189"/>
  <c r="AT269" i="175"/>
  <c r="AN16" i="175"/>
  <c r="AO9" i="175"/>
  <c r="AX10" i="175"/>
  <c r="AS9" i="175"/>
  <c r="FR56" i="7"/>
  <c r="FS57" i="7" s="1"/>
  <c r="CO131" i="172"/>
  <c r="DC199" i="171"/>
  <c r="DC172" i="171"/>
  <c r="DC173" i="171" s="1"/>
  <c r="DL185" i="172"/>
  <c r="AZ244" i="175"/>
  <c r="AZ245" i="175"/>
  <c r="AK253" i="171"/>
  <c r="BO210" i="172"/>
  <c r="BO212" i="172" s="1"/>
  <c r="CD67" i="7"/>
  <c r="CD68" i="7" s="1"/>
  <c r="CI69" i="7" s="1"/>
  <c r="BY59" i="7"/>
  <c r="CE56" i="7"/>
  <c r="CE55" i="7"/>
  <c r="CE150" i="7" s="1"/>
  <c r="CE183" i="7"/>
  <c r="CE118" i="7"/>
  <c r="CE119" i="7"/>
  <c r="CA59" i="7"/>
  <c r="CF59" i="7"/>
  <c r="FQ57" i="7"/>
  <c r="FQ58" i="7"/>
  <c r="FQ79" i="7"/>
  <c r="FQ80" i="7" s="1"/>
  <c r="FT59" i="7"/>
  <c r="CA67" i="7"/>
  <c r="CA68" i="7" s="1"/>
  <c r="CA120" i="7"/>
  <c r="FP79" i="7"/>
  <c r="FP80" i="7" s="1"/>
  <c r="FP67" i="7"/>
  <c r="FP68" i="7" s="1"/>
  <c r="FP69" i="7" s="1"/>
  <c r="FP58" i="7"/>
  <c r="FP59" i="7" s="1"/>
  <c r="FP57" i="7"/>
  <c r="CB66" i="7"/>
  <c r="CE66" i="7" s="1"/>
  <c r="CE120" i="7" s="1"/>
  <c r="CB150" i="7"/>
  <c r="CB59" i="7"/>
  <c r="CG59" i="7"/>
  <c r="FT69" i="7"/>
  <c r="CD59" i="7"/>
  <c r="CI59" i="7"/>
  <c r="BW59" i="7"/>
  <c r="BX67" i="7"/>
  <c r="BX68" i="7" s="1"/>
  <c r="BV67" i="7"/>
  <c r="BV68" i="7" s="1"/>
  <c r="BV69" i="7" s="1"/>
  <c r="FQ66" i="7"/>
  <c r="FQ67" i="7" s="1"/>
  <c r="FQ68" i="7" s="1"/>
  <c r="BZ66" i="7"/>
  <c r="BZ67" i="7" s="1"/>
  <c r="BZ68" i="7" s="1"/>
  <c r="BZ69" i="7" s="1"/>
  <c r="BZ79" i="7"/>
  <c r="BZ80" i="7" s="1"/>
  <c r="BZ57" i="7"/>
  <c r="BZ58" i="7"/>
  <c r="BZ59" i="7" s="1"/>
  <c r="BL297" i="172"/>
  <c r="BL211" i="172" s="1"/>
  <c r="DZ15" i="7"/>
  <c r="GB15" i="7" s="1"/>
  <c r="BC243" i="175"/>
  <c r="BC245" i="175" s="1"/>
  <c r="BX296" i="175"/>
  <c r="BW296" i="175"/>
  <c r="AU344" i="175"/>
  <c r="AO401" i="175"/>
  <c r="AJ401" i="175"/>
  <c r="CJ480" i="172"/>
  <c r="CJ186" i="172"/>
  <c r="CJ185" i="172" s="1"/>
  <c r="CJ133" i="172"/>
  <c r="CJ135" i="172"/>
  <c r="CO136" i="172" s="1"/>
  <c r="CN130" i="172"/>
  <c r="CJ131" i="172"/>
  <c r="CK133" i="172"/>
  <c r="AT343" i="175"/>
  <c r="DT173" i="135"/>
  <c r="DT158" i="135" s="1"/>
  <c r="DT171" i="135"/>
  <c r="DY171" i="135"/>
  <c r="AR6" i="175"/>
  <c r="AR16" i="175" s="1"/>
  <c r="BX68" i="8"/>
  <c r="BX69" i="8" s="1"/>
  <c r="BX70" i="8" s="1"/>
  <c r="AL355" i="175"/>
  <c r="AV345" i="175"/>
  <c r="AY292" i="175"/>
  <c r="BW51" i="175"/>
  <c r="AR373" i="175"/>
  <c r="BX311" i="175"/>
  <c r="AN173" i="171"/>
  <c r="AK343" i="175"/>
  <c r="AK344" i="175" s="1"/>
  <c r="AQ385" i="175"/>
  <c r="BS65" i="8"/>
  <c r="BS7" i="9"/>
  <c r="AJ354" i="175"/>
  <c r="AJ355" i="175" s="1"/>
  <c r="AJ346" i="175"/>
  <c r="CE190" i="172"/>
  <c r="CI186" i="172"/>
  <c r="AQ354" i="175"/>
  <c r="AQ346" i="175"/>
  <c r="EN119" i="135"/>
  <c r="BY243" i="175"/>
  <c r="AP354" i="175"/>
  <c r="AU346" i="175"/>
  <c r="BR7" i="9"/>
  <c r="BR16" i="9" s="1"/>
  <c r="BR25" i="9" s="1"/>
  <c r="BR65" i="8"/>
  <c r="AH355" i="175"/>
  <c r="AH356" i="175"/>
  <c r="AM357" i="175" s="1"/>
  <c r="AH433" i="175"/>
  <c r="AI356" i="175"/>
  <c r="AN357" i="175" s="1"/>
  <c r="BQ68" i="8"/>
  <c r="BQ69" i="8" s="1"/>
  <c r="BQ70" i="8" s="1"/>
  <c r="AS344" i="175"/>
  <c r="BP297" i="172"/>
  <c r="BP211" i="172" s="1"/>
  <c r="BT210" i="172"/>
  <c r="DK210" i="172"/>
  <c r="DK212" i="172" s="1"/>
  <c r="BP212" i="172"/>
  <c r="BP219" i="172"/>
  <c r="BP217" i="172" s="1"/>
  <c r="BU218" i="172" s="1"/>
  <c r="BP213" i="172"/>
  <c r="BB242" i="175"/>
  <c r="BL282" i="172"/>
  <c r="BL278" i="172"/>
  <c r="BL295" i="172" s="1"/>
  <c r="BL275" i="172"/>
  <c r="BQ272" i="172"/>
  <c r="DJ272" i="172"/>
  <c r="CC68" i="8"/>
  <c r="CC69" i="8" s="1"/>
  <c r="CC70" i="8" s="1"/>
  <c r="BB243" i="175"/>
  <c r="DJ222" i="172"/>
  <c r="DJ217" i="172" s="1"/>
  <c r="DJ219" i="172" s="1"/>
  <c r="BL222" i="172"/>
  <c r="AL248" i="171"/>
  <c r="AL189" i="171"/>
  <c r="BA173" i="171"/>
  <c r="BX292" i="175"/>
  <c r="AU251" i="175"/>
  <c r="AU54" i="175" s="1"/>
  <c r="AU250" i="175"/>
  <c r="AY249" i="175"/>
  <c r="CH187" i="171"/>
  <c r="CH170" i="171"/>
  <c r="CH172" i="171"/>
  <c r="AQ6" i="175"/>
  <c r="AQ16" i="175" s="1"/>
  <c r="AL324" i="175"/>
  <c r="AG404" i="175"/>
  <c r="AJ404" i="175" s="1"/>
  <c r="DC57" i="9"/>
  <c r="FY54" i="9"/>
  <c r="CE185" i="172"/>
  <c r="DN185" i="172" s="1"/>
  <c r="CD65" i="8"/>
  <c r="CD7" i="9"/>
  <c r="CD16" i="9" s="1"/>
  <c r="CD25" i="9" s="1"/>
  <c r="BM219" i="172"/>
  <c r="BM213" i="172"/>
  <c r="BM212" i="172"/>
  <c r="BM272" i="172"/>
  <c r="AW346" i="175"/>
  <c r="AK405" i="175"/>
  <c r="AF408" i="175"/>
  <c r="AQ344" i="175"/>
  <c r="AV344" i="175"/>
  <c r="DB199" i="171"/>
  <c r="AK255" i="171"/>
  <c r="AK252" i="171"/>
  <c r="DI210" i="172"/>
  <c r="DJ212" i="172" s="1"/>
  <c r="EL119" i="135"/>
  <c r="EL117" i="135"/>
  <c r="DM24" i="172"/>
  <c r="CI190" i="171"/>
  <c r="CZ57" i="9"/>
  <c r="FX54" i="9"/>
  <c r="AS385" i="175"/>
  <c r="BS219" i="172"/>
  <c r="BS213" i="172"/>
  <c r="BS212" i="172"/>
  <c r="AR354" i="175"/>
  <c r="AR346" i="175"/>
  <c r="AM354" i="175"/>
  <c r="BW345" i="175"/>
  <c r="AM346" i="175"/>
  <c r="BA245" i="175"/>
  <c r="BA244" i="175"/>
  <c r="AW188" i="171"/>
  <c r="AP373" i="175"/>
  <c r="AT311" i="175"/>
  <c r="BW311" i="175"/>
  <c r="AV272" i="175"/>
  <c r="AV252" i="175"/>
  <c r="AV314" i="175"/>
  <c r="AV318" i="175" s="1"/>
  <c r="AV253" i="175"/>
  <c r="AV384" i="175"/>
  <c r="AG402" i="175"/>
  <c r="AL401" i="175"/>
  <c r="AH402" i="175"/>
  <c r="BV65" i="8"/>
  <c r="BV7" i="9"/>
  <c r="CE136" i="172"/>
  <c r="CE138" i="172"/>
  <c r="BY65" i="8"/>
  <c r="BY7" i="9"/>
  <c r="BY16" i="9" s="1"/>
  <c r="BY25" i="9" s="1"/>
  <c r="AN354" i="175"/>
  <c r="AN346" i="175"/>
  <c r="AW344" i="175"/>
  <c r="AR344" i="175"/>
  <c r="BX343" i="175"/>
  <c r="AW251" i="175"/>
  <c r="AW54" i="175" s="1"/>
  <c r="AW250" i="175"/>
  <c r="AX251" i="175"/>
  <c r="AX54" i="175" s="1"/>
  <c r="AX346" i="175"/>
  <c r="AT296" i="175"/>
  <c r="BW343" i="175"/>
  <c r="AM344" i="175"/>
  <c r="BQ219" i="172"/>
  <c r="BQ217" i="172" s="1"/>
  <c r="BQ212" i="172"/>
  <c r="BQ213" i="172"/>
  <c r="DC190" i="171"/>
  <c r="CG136" i="172"/>
  <c r="CA7" i="9"/>
  <c r="CA65" i="8"/>
  <c r="AS6" i="175"/>
  <c r="BW7" i="9"/>
  <c r="BW16" i="9" s="1"/>
  <c r="BW25" i="9" s="1"/>
  <c r="BW65" i="8"/>
  <c r="BT65" i="8"/>
  <c r="BT7" i="9"/>
  <c r="BT16" i="9" s="1"/>
  <c r="BT25" i="9" s="1"/>
  <c r="CC16" i="9"/>
  <c r="CC25" i="9" s="1"/>
  <c r="BX16" i="9"/>
  <c r="BX25" i="9" s="1"/>
  <c r="BA188" i="171"/>
  <c r="CJ187" i="171"/>
  <c r="CJ170" i="171"/>
  <c r="CJ172" i="171"/>
  <c r="AY343" i="189" s="1"/>
  <c r="AY344" i="189" s="1"/>
  <c r="AP6" i="175"/>
  <c r="AT7" i="175"/>
  <c r="BW7" i="175"/>
  <c r="AY271" i="175"/>
  <c r="BX271" i="175"/>
  <c r="AK345" i="175"/>
  <c r="AO292" i="175"/>
  <c r="AK296" i="175"/>
  <c r="AO296" i="175" s="1"/>
  <c r="AN188" i="171"/>
  <c r="AS354" i="175"/>
  <c r="AS346" i="175"/>
  <c r="BR219" i="172"/>
  <c r="BR212" i="172"/>
  <c r="BR213" i="172"/>
  <c r="CI480" i="172"/>
  <c r="CI131" i="172"/>
  <c r="DM185" i="172"/>
  <c r="AX344" i="175"/>
  <c r="AR173" i="171"/>
  <c r="BD241" i="175"/>
  <c r="BY241" i="175"/>
  <c r="AT345" i="175"/>
  <c r="CI199" i="171"/>
  <c r="DN186" i="172"/>
  <c r="DN187" i="172" s="1"/>
  <c r="BN213" i="172"/>
  <c r="BN219" i="172"/>
  <c r="BN272" i="172"/>
  <c r="BN297" i="172" s="1"/>
  <c r="BN212" i="172"/>
  <c r="BQ16" i="9"/>
  <c r="BQ25" i="9" s="1"/>
  <c r="AY48" i="171" l="1"/>
  <c r="BM29" i="171"/>
  <c r="BR29" i="171" s="1"/>
  <c r="BW29" i="171" s="1"/>
  <c r="FR57" i="7"/>
  <c r="AS16" i="175"/>
  <c r="AW55" i="175"/>
  <c r="AW56" i="175"/>
  <c r="AW51" i="175"/>
  <c r="AU56" i="175"/>
  <c r="AY54" i="175"/>
  <c r="AY55" i="175" s="1"/>
  <c r="AU55" i="175"/>
  <c r="AU51" i="175"/>
  <c r="AV52" i="175"/>
  <c r="AV81" i="175"/>
  <c r="AX55" i="175"/>
  <c r="AX56" i="175"/>
  <c r="AX51" i="175"/>
  <c r="AV56" i="175"/>
  <c r="FR58" i="7"/>
  <c r="FS59" i="7" s="1"/>
  <c r="FR79" i="7"/>
  <c r="FR80" i="7" s="1"/>
  <c r="BK29" i="171"/>
  <c r="BP29" i="171" s="1"/>
  <c r="BU29" i="171" s="1"/>
  <c r="BA30" i="171"/>
  <c r="AU354" i="189"/>
  <c r="AV356" i="189" s="1"/>
  <c r="AU346" i="189"/>
  <c r="AZ32" i="175"/>
  <c r="AZ108" i="175"/>
  <c r="AZ128" i="175"/>
  <c r="BQ218" i="172"/>
  <c r="BV218" i="172"/>
  <c r="AP411" i="189"/>
  <c r="AK411" i="189"/>
  <c r="AU411" i="189"/>
  <c r="AY345" i="189"/>
  <c r="AY297" i="189"/>
  <c r="AR357" i="189"/>
  <c r="EJ63" i="135"/>
  <c r="EJ21" i="135"/>
  <c r="EJ158" i="135"/>
  <c r="EJ12" i="135"/>
  <c r="EJ29" i="135"/>
  <c r="EJ17" i="135"/>
  <c r="EJ27" i="135"/>
  <c r="EJ28" i="135" s="1"/>
  <c r="EJ7" i="135"/>
  <c r="EJ59" i="135"/>
  <c r="EI151" i="135"/>
  <c r="EI152" i="135"/>
  <c r="AQ404" i="189"/>
  <c r="CB324" i="189"/>
  <c r="AT324" i="189"/>
  <c r="AW434" i="189"/>
  <c r="EK34" i="135"/>
  <c r="EK33" i="135"/>
  <c r="EK26" i="135"/>
  <c r="BQ297" i="172"/>
  <c r="BQ211" i="172" s="1"/>
  <c r="BV272" i="172"/>
  <c r="AF434" i="189"/>
  <c r="AF435" i="189"/>
  <c r="AK436" i="189" s="1"/>
  <c r="AO346" i="189"/>
  <c r="AO354" i="189"/>
  <c r="AT346" i="189"/>
  <c r="AG433" i="189"/>
  <c r="AH435" i="189" s="1"/>
  <c r="AM436" i="189" s="1"/>
  <c r="AG410" i="189"/>
  <c r="AL411" i="189" s="1"/>
  <c r="AH410" i="189"/>
  <c r="AM411" i="189" s="1"/>
  <c r="AG409" i="189"/>
  <c r="AP435" i="189"/>
  <c r="AW357" i="189"/>
  <c r="EI147" i="135"/>
  <c r="EI148" i="135"/>
  <c r="AL392" i="189"/>
  <c r="AL408" i="189" s="1"/>
  <c r="AO321" i="189"/>
  <c r="AQ321" i="189"/>
  <c r="EI70" i="135"/>
  <c r="EI72" i="135"/>
  <c r="AN435" i="189"/>
  <c r="AN434" i="189"/>
  <c r="AK355" i="189"/>
  <c r="AK356" i="189"/>
  <c r="AP357" i="189" s="1"/>
  <c r="AK433" i="189"/>
  <c r="AL356" i="189"/>
  <c r="AQ357" i="189" s="1"/>
  <c r="EI154" i="135"/>
  <c r="AS434" i="189"/>
  <c r="AS435" i="189"/>
  <c r="AJ411" i="189"/>
  <c r="CI173" i="171"/>
  <c r="AO343" i="189"/>
  <c r="BV213" i="172"/>
  <c r="BY212" i="172"/>
  <c r="AH434" i="189"/>
  <c r="AI435" i="189"/>
  <c r="AN436" i="189" s="1"/>
  <c r="AR434" i="189"/>
  <c r="AX357" i="189"/>
  <c r="AX346" i="189"/>
  <c r="AX354" i="189"/>
  <c r="CD345" i="189"/>
  <c r="AM434" i="189"/>
  <c r="AS357" i="189"/>
  <c r="EI143" i="135"/>
  <c r="EI144" i="135"/>
  <c r="AO404" i="189"/>
  <c r="AO405" i="189" s="1"/>
  <c r="AL405" i="189"/>
  <c r="AM406" i="189"/>
  <c r="AL406" i="189"/>
  <c r="AV355" i="189"/>
  <c r="AX9" i="175"/>
  <c r="EL136" i="135" s="1"/>
  <c r="AO16" i="175"/>
  <c r="BC10" i="175"/>
  <c r="CS131" i="172"/>
  <c r="AL253" i="171"/>
  <c r="FR66" i="7"/>
  <c r="FR67" i="7" s="1"/>
  <c r="FR68" i="7" s="1"/>
  <c r="FR69" i="7" s="1"/>
  <c r="DM25" i="172"/>
  <c r="AZ249" i="175"/>
  <c r="AZ246" i="175"/>
  <c r="EN118" i="135"/>
  <c r="FQ7" i="9"/>
  <c r="FQ16" i="9" s="1"/>
  <c r="FQ25" i="9" s="1"/>
  <c r="FQ41" i="9" s="1"/>
  <c r="CD69" i="7"/>
  <c r="BL302" i="172"/>
  <c r="FQ69" i="7"/>
  <c r="BL254" i="172"/>
  <c r="BX69" i="7"/>
  <c r="CC69" i="7"/>
  <c r="CA69" i="7"/>
  <c r="CF69" i="7"/>
  <c r="FQ59" i="7"/>
  <c r="CB120" i="7"/>
  <c r="CB67" i="7"/>
  <c r="CB68" i="7" s="1"/>
  <c r="CE79" i="7"/>
  <c r="CE80" i="7" s="1"/>
  <c r="CE57" i="7"/>
  <c r="CE58" i="7"/>
  <c r="CE67" i="7"/>
  <c r="CE68" i="7" s="1"/>
  <c r="CJ57" i="7"/>
  <c r="CI185" i="172"/>
  <c r="BL292" i="172"/>
  <c r="BL273" i="172"/>
  <c r="BM297" i="172"/>
  <c r="BM211" i="172" s="1"/>
  <c r="EA15" i="7"/>
  <c r="GC15" i="7" s="1"/>
  <c r="DJ297" i="172"/>
  <c r="DJ302" i="172" s="1"/>
  <c r="BL234" i="172"/>
  <c r="BL225" i="172"/>
  <c r="BL245" i="172"/>
  <c r="BC244" i="175"/>
  <c r="AT318" i="175"/>
  <c r="BU7" i="9"/>
  <c r="BU16" i="9" s="1"/>
  <c r="BU25" i="9" s="1"/>
  <c r="BU54" i="9" s="1"/>
  <c r="BU57" i="9" s="1"/>
  <c r="BU59" i="9" s="1"/>
  <c r="FT7" i="9"/>
  <c r="FT16" i="9" s="1"/>
  <c r="FT25" i="9" s="1"/>
  <c r="FT41" i="9" s="1"/>
  <c r="AP344" i="175"/>
  <c r="AT297" i="175"/>
  <c r="BY343" i="175"/>
  <c r="BX345" i="175"/>
  <c r="BN273" i="172"/>
  <c r="BN302" i="172"/>
  <c r="BN234" i="172"/>
  <c r="BN225" i="172"/>
  <c r="BN292" i="172"/>
  <c r="BN254" i="172"/>
  <c r="BN245" i="172"/>
  <c r="BN211" i="172"/>
  <c r="BL293" i="172"/>
  <c r="BN222" i="172"/>
  <c r="CB65" i="8"/>
  <c r="CB7" i="9"/>
  <c r="CE7" i="9" s="1"/>
  <c r="CE16" i="9" s="1"/>
  <c r="CE25" i="9" s="1"/>
  <c r="AS356" i="175"/>
  <c r="AS355" i="175"/>
  <c r="AK354" i="175"/>
  <c r="AP355" i="175" s="1"/>
  <c r="AK346" i="175"/>
  <c r="CJ190" i="171"/>
  <c r="BT68" i="8"/>
  <c r="BT69" i="8" s="1"/>
  <c r="BT70" i="8" s="1"/>
  <c r="BW68" i="8"/>
  <c r="BW69" i="8" s="1"/>
  <c r="BW70" i="8" s="1"/>
  <c r="CA16" i="9"/>
  <c r="CA25" i="9" s="1"/>
  <c r="AW314" i="175"/>
  <c r="AW253" i="175"/>
  <c r="AW272" i="175"/>
  <c r="AW252" i="175"/>
  <c r="BY54" i="9"/>
  <c r="BY57" i="9" s="1"/>
  <c r="BY59" i="9" s="1"/>
  <c r="BY41" i="9"/>
  <c r="BY43" i="9" s="1"/>
  <c r="BY44" i="9" s="1"/>
  <c r="BV16" i="9"/>
  <c r="BV25" i="9" s="1"/>
  <c r="BZ7" i="9"/>
  <c r="BZ16" i="9" s="1"/>
  <c r="BZ25" i="9" s="1"/>
  <c r="AV7" i="175"/>
  <c r="BA246" i="175"/>
  <c r="BA249" i="175"/>
  <c r="BA271" i="175"/>
  <c r="BS217" i="172"/>
  <c r="BX218" i="172" s="1"/>
  <c r="BS222" i="172"/>
  <c r="CZ59" i="9"/>
  <c r="FX57" i="9"/>
  <c r="DC59" i="9"/>
  <c r="FY57" i="9"/>
  <c r="AY251" i="175"/>
  <c r="AU272" i="175"/>
  <c r="AU252" i="175"/>
  <c r="AU314" i="175"/>
  <c r="AU253" i="175"/>
  <c r="BX251" i="175"/>
  <c r="BU65" i="8"/>
  <c r="AL255" i="171"/>
  <c r="AL252" i="171"/>
  <c r="DV169" i="135" s="1"/>
  <c r="BT212" i="172"/>
  <c r="BR68" i="8"/>
  <c r="BR69" i="8" s="1"/>
  <c r="BR70" i="8" s="1"/>
  <c r="AP356" i="175"/>
  <c r="DM96" i="172"/>
  <c r="BC271" i="175"/>
  <c r="BC246" i="175"/>
  <c r="BC249" i="175"/>
  <c r="BC250" i="175" s="1"/>
  <c r="CJ138" i="172"/>
  <c r="CJ136" i="172"/>
  <c r="BN282" i="172"/>
  <c r="BN283" i="172" s="1"/>
  <c r="BN275" i="172"/>
  <c r="BS272" i="172"/>
  <c r="BN278" i="172"/>
  <c r="BN295" i="172" s="1"/>
  <c r="BN293" i="172" s="1"/>
  <c r="BN294" i="172" s="1"/>
  <c r="BP275" i="172"/>
  <c r="BD240" i="175"/>
  <c r="BD242" i="175"/>
  <c r="BR222" i="172"/>
  <c r="BX41" i="9"/>
  <c r="BX43" i="9" s="1"/>
  <c r="BX44" i="9" s="1"/>
  <c r="BX54" i="9"/>
  <c r="BX57" i="9" s="1"/>
  <c r="BX59" i="9" s="1"/>
  <c r="BW41" i="9"/>
  <c r="BW43" i="9" s="1"/>
  <c r="BW44" i="9" s="1"/>
  <c r="BW54" i="9"/>
  <c r="BW57" i="9" s="1"/>
  <c r="BW59" i="9" s="1"/>
  <c r="BY68" i="8"/>
  <c r="BY69" i="8" s="1"/>
  <c r="BY70" i="8" s="1"/>
  <c r="DL210" i="172"/>
  <c r="DL212" i="172" s="1"/>
  <c r="DI212" i="172"/>
  <c r="DI217" i="172"/>
  <c r="DI219" i="172" s="1"/>
  <c r="AJ405" i="175"/>
  <c r="BM217" i="172"/>
  <c r="BM218" i="172" s="1"/>
  <c r="BM222" i="172"/>
  <c r="DK222" i="172"/>
  <c r="DK217" i="172" s="1"/>
  <c r="DK219" i="172" s="1"/>
  <c r="CD54" i="9"/>
  <c r="CD57" i="9" s="1"/>
  <c r="CD59" i="9" s="1"/>
  <c r="CD41" i="9"/>
  <c r="CD43" i="9" s="1"/>
  <c r="AG408" i="175"/>
  <c r="AJ408" i="175" s="1"/>
  <c r="AJ409" i="175" s="1"/>
  <c r="AH406" i="175"/>
  <c r="AG406" i="175"/>
  <c r="CI188" i="171"/>
  <c r="CH190" i="171"/>
  <c r="CH188" i="171"/>
  <c r="BB245" i="175"/>
  <c r="BB244" i="175"/>
  <c r="BZ65" i="8"/>
  <c r="BQ282" i="172"/>
  <c r="BQ275" i="172"/>
  <c r="BQ278" i="172"/>
  <c r="BL276" i="172"/>
  <c r="BP295" i="172"/>
  <c r="BP222" i="172"/>
  <c r="BT219" i="172"/>
  <c r="BT222" i="172" s="1"/>
  <c r="BP254" i="172"/>
  <c r="BP273" i="172"/>
  <c r="BP234" i="172"/>
  <c r="BP302" i="172"/>
  <c r="BP225" i="172"/>
  <c r="BP292" i="172"/>
  <c r="BP245" i="172"/>
  <c r="BR54" i="9"/>
  <c r="BR57" i="9" s="1"/>
  <c r="BR59" i="9" s="1"/>
  <c r="BR41" i="9"/>
  <c r="BR43" i="9" s="1"/>
  <c r="BR44" i="9" s="1"/>
  <c r="BD243" i="175"/>
  <c r="AZ271" i="175"/>
  <c r="BY245" i="175"/>
  <c r="CI187" i="172"/>
  <c r="AY345" i="175"/>
  <c r="BQ54" i="9"/>
  <c r="BQ57" i="9" s="1"/>
  <c r="BQ59" i="9" s="1"/>
  <c r="BQ41" i="9"/>
  <c r="BQ43" i="9" s="1"/>
  <c r="BQ44" i="9" s="1"/>
  <c r="BN217" i="172"/>
  <c r="BN218" i="172" s="1"/>
  <c r="AT354" i="175"/>
  <c r="BR217" i="172"/>
  <c r="BW218" i="172" s="1"/>
  <c r="AT6" i="175"/>
  <c r="BW6" i="175"/>
  <c r="CJ173" i="171"/>
  <c r="AY343" i="175"/>
  <c r="AY344" i="175" s="1"/>
  <c r="CC41" i="9"/>
  <c r="CC43" i="9" s="1"/>
  <c r="CC44" i="9" s="1"/>
  <c r="CC54" i="9"/>
  <c r="CC57" i="9" s="1"/>
  <c r="CC59" i="9" s="1"/>
  <c r="AX314" i="175"/>
  <c r="AX318" i="175" s="1"/>
  <c r="AX253" i="175"/>
  <c r="AX272" i="175"/>
  <c r="AX252" i="175"/>
  <c r="BV68" i="8"/>
  <c r="BV69" i="8" s="1"/>
  <c r="BV70" i="8" s="1"/>
  <c r="AR355" i="175"/>
  <c r="AR356" i="175"/>
  <c r="CJ188" i="171"/>
  <c r="BY345" i="175"/>
  <c r="BM282" i="172"/>
  <c r="BM283" i="172" s="1"/>
  <c r="BM275" i="172"/>
  <c r="BR272" i="172"/>
  <c r="BW272" i="172" s="1"/>
  <c r="BM278" i="172"/>
  <c r="DK272" i="172"/>
  <c r="DK274" i="172" s="1"/>
  <c r="CD68" i="8"/>
  <c r="CD69" i="8" s="1"/>
  <c r="CD70" i="8" s="1"/>
  <c r="AL404" i="175"/>
  <c r="AQ324" i="175"/>
  <c r="AL321" i="175"/>
  <c r="AO324" i="175"/>
  <c r="AY250" i="175"/>
  <c r="AY248" i="175"/>
  <c r="AX384" i="175"/>
  <c r="BO272" i="172"/>
  <c r="BL283" i="172"/>
  <c r="BP218" i="172"/>
  <c r="AH434" i="175"/>
  <c r="AI435" i="175"/>
  <c r="AN436" i="175" s="1"/>
  <c r="BS16" i="9"/>
  <c r="BS25" i="9" s="1"/>
  <c r="FR7" i="9"/>
  <c r="FR16" i="9" s="1"/>
  <c r="FR25" i="9" s="1"/>
  <c r="FR41" i="9" s="1"/>
  <c r="DT174" i="135"/>
  <c r="DT175" i="135"/>
  <c r="DY175" i="135"/>
  <c r="CN480" i="172"/>
  <c r="CN131" i="172"/>
  <c r="AO297" i="175"/>
  <c r="AO345" i="175"/>
  <c r="AT346" i="175" s="1"/>
  <c r="BT54" i="9"/>
  <c r="BT57" i="9" s="1"/>
  <c r="BT59" i="9" s="1"/>
  <c r="BT41" i="9"/>
  <c r="BT43" i="9" s="1"/>
  <c r="BT44" i="9" s="1"/>
  <c r="CA68" i="8"/>
  <c r="CA69" i="8" s="1"/>
  <c r="CA70" i="8" s="1"/>
  <c r="BQ302" i="172"/>
  <c r="BQ222" i="172"/>
  <c r="AN355" i="175"/>
  <c r="AN356" i="175"/>
  <c r="AS357" i="175" s="1"/>
  <c r="AN433" i="175"/>
  <c r="AV385" i="175"/>
  <c r="AP384" i="175"/>
  <c r="AU373" i="175"/>
  <c r="AP374" i="175"/>
  <c r="AT373" i="175"/>
  <c r="AT374" i="175" s="1"/>
  <c r="BW373" i="175"/>
  <c r="AM355" i="175"/>
  <c r="BW354" i="175"/>
  <c r="AM356" i="175"/>
  <c r="AR357" i="175" s="1"/>
  <c r="AM433" i="175"/>
  <c r="AS433" i="175"/>
  <c r="EL118" i="135"/>
  <c r="EL120" i="135"/>
  <c r="AK256" i="171"/>
  <c r="AK257" i="171"/>
  <c r="AF410" i="175"/>
  <c r="AK409" i="175"/>
  <c r="AF409" i="175"/>
  <c r="AF433" i="175"/>
  <c r="CH173" i="171"/>
  <c r="AO343" i="175"/>
  <c r="AO344" i="175" s="1"/>
  <c r="CZ189" i="171"/>
  <c r="CZ190" i="171" s="1"/>
  <c r="CG189" i="171"/>
  <c r="CG190" i="171" s="1"/>
  <c r="BO219" i="172"/>
  <c r="DJ274" i="172"/>
  <c r="DJ279" i="172"/>
  <c r="DM210" i="172"/>
  <c r="AP346" i="175"/>
  <c r="AQ355" i="175"/>
  <c r="AQ356" i="175"/>
  <c r="BS68" i="8"/>
  <c r="BS69" i="8" s="1"/>
  <c r="BS70" i="8" s="1"/>
  <c r="AR384" i="175"/>
  <c r="AW373" i="175"/>
  <c r="AR374" i="175"/>
  <c r="AV346" i="175"/>
  <c r="DT155" i="135"/>
  <c r="DT160" i="135"/>
  <c r="DT159" i="135"/>
  <c r="DT165" i="135"/>
  <c r="DU160" i="135"/>
  <c r="DT147" i="135"/>
  <c r="DT143" i="135"/>
  <c r="DT151" i="135"/>
  <c r="DT63" i="135"/>
  <c r="DU63" i="135"/>
  <c r="DT47" i="135"/>
  <c r="DT43" i="135"/>
  <c r="DY159" i="135"/>
  <c r="DT170" i="135"/>
  <c r="CN186" i="172"/>
  <c r="CN185" i="172" s="1"/>
  <c r="CJ190" i="172"/>
  <c r="FR59" i="7" l="1"/>
  <c r="BQ225" i="172"/>
  <c r="AU53" i="175"/>
  <c r="AU52" i="175"/>
  <c r="AY51" i="175"/>
  <c r="AY52" i="175" s="1"/>
  <c r="AU81" i="175"/>
  <c r="AX53" i="175"/>
  <c r="AX52" i="175"/>
  <c r="AX81" i="175"/>
  <c r="AV53" i="175"/>
  <c r="AW53" i="175"/>
  <c r="AW52" i="175"/>
  <c r="AW81" i="175"/>
  <c r="AU433" i="189"/>
  <c r="CC354" i="189"/>
  <c r="AU355" i="189"/>
  <c r="AU356" i="189"/>
  <c r="AZ39" i="175"/>
  <c r="BQ245" i="172"/>
  <c r="BQ292" i="172"/>
  <c r="BQ234" i="172"/>
  <c r="BQ254" i="172"/>
  <c r="BQ273" i="172"/>
  <c r="BX272" i="172"/>
  <c r="BY272" i="172" s="1"/>
  <c r="BU275" i="172"/>
  <c r="AO355" i="189"/>
  <c r="AT355" i="189"/>
  <c r="AQ405" i="189"/>
  <c r="AT404" i="189"/>
  <c r="AT405" i="189" s="1"/>
  <c r="AV404" i="189"/>
  <c r="AR406" i="189"/>
  <c r="AQ406" i="189"/>
  <c r="CB404" i="189"/>
  <c r="AL409" i="189"/>
  <c r="AM410" i="189"/>
  <c r="AR411" i="189" s="1"/>
  <c r="AO408" i="189"/>
  <c r="AO409" i="189" s="1"/>
  <c r="AL410" i="189"/>
  <c r="AQ411" i="189" s="1"/>
  <c r="AL433" i="189"/>
  <c r="AO433" i="189" s="1"/>
  <c r="CD354" i="189"/>
  <c r="AX356" i="189"/>
  <c r="AX355" i="189"/>
  <c r="AX433" i="189"/>
  <c r="AO344" i="189"/>
  <c r="AT344" i="189"/>
  <c r="AX436" i="189"/>
  <c r="AK435" i="189"/>
  <c r="AP436" i="189" s="1"/>
  <c r="AK434" i="189"/>
  <c r="AS436" i="189"/>
  <c r="CB321" i="189"/>
  <c r="AT321" i="189"/>
  <c r="AQ392" i="189"/>
  <c r="BV282" i="172"/>
  <c r="BV297" i="172"/>
  <c r="CA272" i="172"/>
  <c r="BV275" i="172"/>
  <c r="BV278" i="172"/>
  <c r="AQ323" i="189"/>
  <c r="EJ142" i="135"/>
  <c r="EJ160" i="135"/>
  <c r="EJ174" i="135"/>
  <c r="EJ47" i="135"/>
  <c r="EJ43" i="135"/>
  <c r="EJ150" i="135"/>
  <c r="EJ165" i="135"/>
  <c r="EJ170" i="135"/>
  <c r="EJ159" i="135"/>
  <c r="EJ146" i="135"/>
  <c r="AV357" i="189"/>
  <c r="AP434" i="189"/>
  <c r="AG435" i="189"/>
  <c r="AL436" i="189" s="1"/>
  <c r="AG434" i="189"/>
  <c r="EJ22" i="135"/>
  <c r="EJ23" i="135"/>
  <c r="AY346" i="189"/>
  <c r="AY354" i="189"/>
  <c r="AY355" i="189" s="1"/>
  <c r="BW278" i="172"/>
  <c r="BW276" i="172" s="1"/>
  <c r="BW297" i="172"/>
  <c r="BW282" i="172"/>
  <c r="CB272" i="172"/>
  <c r="BW275" i="172"/>
  <c r="AU357" i="189"/>
  <c r="EI155" i="135"/>
  <c r="EI156" i="135"/>
  <c r="AM394" i="189"/>
  <c r="AL393" i="189"/>
  <c r="AL394" i="189"/>
  <c r="AO392" i="189"/>
  <c r="AO393" i="189" s="1"/>
  <c r="AJ433" i="189"/>
  <c r="AJ434" i="189" s="1"/>
  <c r="EK21" i="135"/>
  <c r="EK158" i="135"/>
  <c r="EK27" i="135"/>
  <c r="EK28" i="135" s="1"/>
  <c r="EK29" i="135"/>
  <c r="EK7" i="135"/>
  <c r="EK17" i="135"/>
  <c r="EK63" i="135"/>
  <c r="EK12" i="135"/>
  <c r="EK59" i="135"/>
  <c r="EJ69" i="135"/>
  <c r="EJ66" i="135"/>
  <c r="EJ64" i="135"/>
  <c r="BC9" i="175"/>
  <c r="EQ136" i="135" s="1"/>
  <c r="DM212" i="172"/>
  <c r="DK297" i="172"/>
  <c r="DK302" i="172" s="1"/>
  <c r="BM302" i="172"/>
  <c r="BM292" i="172"/>
  <c r="BM234" i="172"/>
  <c r="BM254" i="172"/>
  <c r="BM225" i="172"/>
  <c r="BM245" i="172"/>
  <c r="BM273" i="172"/>
  <c r="BO278" i="172"/>
  <c r="BO279" i="172" s="1"/>
  <c r="FS69" i="7"/>
  <c r="BZ241" i="175"/>
  <c r="AZ251" i="175"/>
  <c r="AZ54" i="175" s="1"/>
  <c r="AZ250" i="175"/>
  <c r="BD245" i="175"/>
  <c r="BD246" i="175" s="1"/>
  <c r="CE69" i="7"/>
  <c r="CJ69" i="7"/>
  <c r="CE59" i="7"/>
  <c r="CJ59" i="7"/>
  <c r="CB69" i="7"/>
  <c r="CG69" i="7"/>
  <c r="BO282" i="172"/>
  <c r="BO283" i="172" s="1"/>
  <c r="BU41" i="9"/>
  <c r="BU43" i="9" s="1"/>
  <c r="BZ44" i="9" s="1"/>
  <c r="BT272" i="172"/>
  <c r="BT274" i="172" s="1"/>
  <c r="BQ295" i="172"/>
  <c r="BQ293" i="172" s="1"/>
  <c r="BV294" i="172" s="1"/>
  <c r="BR218" i="172"/>
  <c r="DK279" i="172"/>
  <c r="AM252" i="171"/>
  <c r="AM248" i="171" s="1"/>
  <c r="AM255" i="171" s="1"/>
  <c r="AM257" i="171" s="1"/>
  <c r="BS218" i="172"/>
  <c r="AJ411" i="175"/>
  <c r="BN276" i="172"/>
  <c r="BN277" i="172" s="1"/>
  <c r="CE41" i="9"/>
  <c r="CE54" i="9"/>
  <c r="CE57" i="9" s="1"/>
  <c r="CE59" i="9" s="1"/>
  <c r="AU384" i="175"/>
  <c r="BX384" i="175" s="1"/>
  <c r="BY373" i="175"/>
  <c r="AY373" i="175"/>
  <c r="AY374" i="175" s="1"/>
  <c r="BS282" i="172"/>
  <c r="BS283" i="172" s="1"/>
  <c r="BS275" i="172"/>
  <c r="BS278" i="172"/>
  <c r="BS297" i="172"/>
  <c r="CE65" i="8"/>
  <c r="BX373" i="175"/>
  <c r="AP385" i="175"/>
  <c r="AP386" i="175"/>
  <c r="AU387" i="175" s="1"/>
  <c r="AT384" i="175"/>
  <c r="AT385" i="175" s="1"/>
  <c r="AP433" i="175"/>
  <c r="BW384" i="175"/>
  <c r="AQ386" i="175"/>
  <c r="AV387" i="175" s="1"/>
  <c r="AO354" i="175"/>
  <c r="AO355" i="175" s="1"/>
  <c r="AO346" i="175"/>
  <c r="DL96" i="172"/>
  <c r="DL97" i="172" s="1"/>
  <c r="AX385" i="175"/>
  <c r="AO321" i="175"/>
  <c r="AL392" i="175"/>
  <c r="AL408" i="175" s="1"/>
  <c r="AQ321" i="175"/>
  <c r="AQ323" i="175" s="1"/>
  <c r="BM276" i="172"/>
  <c r="AT344" i="175"/>
  <c r="BY271" i="175"/>
  <c r="DL272" i="172"/>
  <c r="DL274" i="172" s="1"/>
  <c r="CD44" i="9"/>
  <c r="CE43" i="9"/>
  <c r="CJ44" i="9" s="1"/>
  <c r="DV170" i="135"/>
  <c r="DV171" i="135"/>
  <c r="DV173" i="135"/>
  <c r="EA171" i="135"/>
  <c r="AU318" i="175"/>
  <c r="AY314" i="175"/>
  <c r="BX314" i="175"/>
  <c r="AY252" i="175"/>
  <c r="CB68" i="8"/>
  <c r="CB69" i="8" s="1"/>
  <c r="CB70" i="8" s="1"/>
  <c r="BL294" i="172"/>
  <c r="DJ293" i="172"/>
  <c r="AW384" i="175"/>
  <c r="AX386" i="175" s="1"/>
  <c r="BL277" i="172"/>
  <c r="DJ276" i="172"/>
  <c r="DJ278" i="172" s="1"/>
  <c r="BZ68" i="8"/>
  <c r="BZ69" i="8" s="1"/>
  <c r="AU7" i="175"/>
  <c r="BX54" i="175"/>
  <c r="BX55" i="175" s="1"/>
  <c r="CN187" i="172"/>
  <c r="DU69" i="135"/>
  <c r="DU66" i="135"/>
  <c r="DV66" i="135"/>
  <c r="DZ64" i="135"/>
  <c r="DU64" i="135"/>
  <c r="AR385" i="175"/>
  <c r="AR386" i="175"/>
  <c r="AW387" i="175" s="1"/>
  <c r="AR433" i="175"/>
  <c r="AS435" i="175" s="1"/>
  <c r="AS386" i="175"/>
  <c r="AX387" i="175" s="1"/>
  <c r="BO222" i="172"/>
  <c r="BO217" i="172"/>
  <c r="BO218" i="172" s="1"/>
  <c r="BO276" i="172"/>
  <c r="BO277" i="172" s="1"/>
  <c r="BO274" i="172"/>
  <c r="BO297" i="172"/>
  <c r="AQ404" i="175"/>
  <c r="BW324" i="175"/>
  <c r="AT324" i="175"/>
  <c r="BR282" i="172"/>
  <c r="BR283" i="172" s="1"/>
  <c r="BR275" i="172"/>
  <c r="BR278" i="172"/>
  <c r="BR297" i="172"/>
  <c r="AW357" i="175"/>
  <c r="BQ283" i="172"/>
  <c r="BB249" i="175"/>
  <c r="BB271" i="175"/>
  <c r="BB246" i="175"/>
  <c r="AH410" i="175"/>
  <c r="AM411" i="175" s="1"/>
  <c r="AG409" i="175"/>
  <c r="AG410" i="175"/>
  <c r="AL411" i="175" s="1"/>
  <c r="AG433" i="175"/>
  <c r="AJ433" i="175" s="1"/>
  <c r="AJ434" i="175" s="1"/>
  <c r="BM295" i="172"/>
  <c r="DL219" i="172"/>
  <c r="DL222" i="172" s="1"/>
  <c r="DM158" i="172"/>
  <c r="DM159" i="172" s="1"/>
  <c r="DM217" i="172"/>
  <c r="AL256" i="171"/>
  <c r="AL257" i="171"/>
  <c r="BU68" i="8"/>
  <c r="BU69" i="8" s="1"/>
  <c r="BA251" i="175"/>
  <c r="BA54" i="175" s="1"/>
  <c r="BA250" i="175"/>
  <c r="AW7" i="175"/>
  <c r="AW318" i="175"/>
  <c r="AX357" i="175"/>
  <c r="AS434" i="175"/>
  <c r="AN434" i="175"/>
  <c r="AN435" i="175"/>
  <c r="AS436" i="175" s="1"/>
  <c r="AX7" i="175"/>
  <c r="BV54" i="9"/>
  <c r="BV57" i="9" s="1"/>
  <c r="BV59" i="9" s="1"/>
  <c r="BV41" i="9"/>
  <c r="BV43" i="9" s="1"/>
  <c r="BV44" i="9" s="1"/>
  <c r="AK355" i="175"/>
  <c r="AK356" i="175"/>
  <c r="AP357" i="175" s="1"/>
  <c r="AK433" i="175"/>
  <c r="AL356" i="175"/>
  <c r="AQ357" i="175" s="1"/>
  <c r="CB16" i="9"/>
  <c r="CB25" i="9" s="1"/>
  <c r="FS7" i="9"/>
  <c r="FS16" i="9" s="1"/>
  <c r="FS25" i="9" s="1"/>
  <c r="FS41" i="9" s="1"/>
  <c r="DT69" i="135"/>
  <c r="DT66" i="135"/>
  <c r="DT64" i="135"/>
  <c r="DY64" i="135"/>
  <c r="DX63" i="135"/>
  <c r="AF434" i="175"/>
  <c r="AF435" i="175"/>
  <c r="AK436" i="175" s="1"/>
  <c r="AK411" i="175"/>
  <c r="AU411" i="175"/>
  <c r="AP411" i="175"/>
  <c r="AM434" i="175"/>
  <c r="BS41" i="9"/>
  <c r="BS43" i="9" s="1"/>
  <c r="BS44" i="9" s="1"/>
  <c r="BS54" i="9"/>
  <c r="BS57" i="9" s="1"/>
  <c r="BS59" i="9" s="1"/>
  <c r="AM406" i="175"/>
  <c r="AL405" i="175"/>
  <c r="AL406" i="175"/>
  <c r="AO404" i="175"/>
  <c r="AO405" i="175" s="1"/>
  <c r="AY346" i="175"/>
  <c r="BD244" i="175"/>
  <c r="BP293" i="172"/>
  <c r="BU294" i="172" s="1"/>
  <c r="BQ276" i="172"/>
  <c r="BQ277" i="172" s="1"/>
  <c r="BT217" i="172"/>
  <c r="BY218" i="172" s="1"/>
  <c r="DM219" i="172"/>
  <c r="DM222" i="172" s="1"/>
  <c r="AY272" i="175"/>
  <c r="BX272" i="175"/>
  <c r="BZ41" i="9"/>
  <c r="BZ43" i="9" s="1"/>
  <c r="CE44" i="9" s="1"/>
  <c r="BZ54" i="9"/>
  <c r="BZ57" i="9" s="1"/>
  <c r="BZ59" i="9" s="1"/>
  <c r="CA54" i="9"/>
  <c r="CA57" i="9" s="1"/>
  <c r="CA59" i="9" s="1"/>
  <c r="CA41" i="9"/>
  <c r="CA43" i="9" s="1"/>
  <c r="CA44" i="9" s="1"/>
  <c r="AZ56" i="175" l="1"/>
  <c r="AZ55" i="175"/>
  <c r="AZ51" i="175"/>
  <c r="BA56" i="175"/>
  <c r="BA55" i="175"/>
  <c r="BA51" i="175"/>
  <c r="AY81" i="175"/>
  <c r="AU435" i="189"/>
  <c r="AU434" i="189"/>
  <c r="EK69" i="135"/>
  <c r="EK64" i="135"/>
  <c r="EK66" i="135"/>
  <c r="CB282" i="172"/>
  <c r="CB283" i="172" s="1"/>
  <c r="CB278" i="172"/>
  <c r="CB276" i="172" s="1"/>
  <c r="CB277" i="172" s="1"/>
  <c r="CB297" i="172"/>
  <c r="CB273" i="172" s="1"/>
  <c r="CB275" i="172"/>
  <c r="EJ143" i="135"/>
  <c r="EJ144" i="135"/>
  <c r="CA275" i="172"/>
  <c r="CA297" i="172"/>
  <c r="CA273" i="172" s="1"/>
  <c r="CA282" i="172"/>
  <c r="CA278" i="172"/>
  <c r="BV283" i="172"/>
  <c r="CC404" i="189"/>
  <c r="AY404" i="189"/>
  <c r="AY405" i="189" s="1"/>
  <c r="AV406" i="189"/>
  <c r="AW406" i="189"/>
  <c r="AV324" i="189"/>
  <c r="EJ72" i="135"/>
  <c r="EJ70" i="135"/>
  <c r="EJ71" i="135" s="1"/>
  <c r="EK150" i="135"/>
  <c r="EK43" i="135"/>
  <c r="EK47" i="135"/>
  <c r="EK170" i="135"/>
  <c r="EK142" i="135"/>
  <c r="EK165" i="135"/>
  <c r="EK159" i="135"/>
  <c r="EK146" i="135"/>
  <c r="EK174" i="135"/>
  <c r="EK160" i="135"/>
  <c r="BW283" i="172"/>
  <c r="AT323" i="189"/>
  <c r="AQ400" i="189"/>
  <c r="CB323" i="189"/>
  <c r="BV211" i="172"/>
  <c r="BV245" i="172"/>
  <c r="BV225" i="172"/>
  <c r="BV234" i="172"/>
  <c r="BV302" i="172"/>
  <c r="BV254" i="172"/>
  <c r="BV292" i="172"/>
  <c r="AQ394" i="189"/>
  <c r="AR394" i="189"/>
  <c r="AV392" i="189"/>
  <c r="CB392" i="189"/>
  <c r="AT392" i="189"/>
  <c r="AT393" i="189" s="1"/>
  <c r="AQ393" i="189"/>
  <c r="AO434" i="189"/>
  <c r="AU436" i="189"/>
  <c r="EK23" i="135"/>
  <c r="EK22" i="135"/>
  <c r="BW292" i="172"/>
  <c r="BW225" i="172"/>
  <c r="BW234" i="172"/>
  <c r="BW254" i="172"/>
  <c r="BW245" i="172"/>
  <c r="BW302" i="172"/>
  <c r="BW211" i="172"/>
  <c r="EJ154" i="135"/>
  <c r="BV276" i="172"/>
  <c r="BV277" i="172" s="1"/>
  <c r="BY274" i="172"/>
  <c r="BY297" i="172"/>
  <c r="BY273" i="172" s="1"/>
  <c r="EJ65" i="135"/>
  <c r="BW273" i="172"/>
  <c r="EJ147" i="135"/>
  <c r="EJ148" i="135"/>
  <c r="EJ151" i="135"/>
  <c r="EJ152" i="135"/>
  <c r="BV273" i="172"/>
  <c r="AX434" i="189"/>
  <c r="AX435" i="189"/>
  <c r="CD433" i="189"/>
  <c r="AL435" i="189"/>
  <c r="AQ436" i="189" s="1"/>
  <c r="AL434" i="189"/>
  <c r="AM435" i="189"/>
  <c r="AR436" i="189" s="1"/>
  <c r="CC272" i="172"/>
  <c r="CD272" i="172" s="1"/>
  <c r="BX297" i="172"/>
  <c r="BX275" i="172"/>
  <c r="BX282" i="172"/>
  <c r="BX283" i="172" s="1"/>
  <c r="BX278" i="172"/>
  <c r="BX276" i="172" s="1"/>
  <c r="BZ275" i="172"/>
  <c r="EQ131" i="135"/>
  <c r="ES133" i="135" s="1"/>
  <c r="BQ294" i="172"/>
  <c r="BZ243" i="175"/>
  <c r="BT218" i="172"/>
  <c r="AZ253" i="175"/>
  <c r="AZ252" i="175"/>
  <c r="BT297" i="172"/>
  <c r="BT273" i="172" s="1"/>
  <c r="AM256" i="171"/>
  <c r="DL297" i="172"/>
  <c r="DL302" i="172" s="1"/>
  <c r="BT278" i="172"/>
  <c r="BT279" i="172" s="1"/>
  <c r="DM97" i="172"/>
  <c r="AU357" i="175"/>
  <c r="AT355" i="175"/>
  <c r="BT282" i="172"/>
  <c r="BT283" i="172" s="1"/>
  <c r="AL409" i="175"/>
  <c r="AO408" i="175"/>
  <c r="AO409" i="175" s="1"/>
  <c r="AM410" i="175"/>
  <c r="AR411" i="175" s="1"/>
  <c r="AL410" i="175"/>
  <c r="AQ411" i="175" s="1"/>
  <c r="AL433" i="175"/>
  <c r="AO433" i="175" s="1"/>
  <c r="AO434" i="175" s="1"/>
  <c r="DM157" i="172"/>
  <c r="DL217" i="172"/>
  <c r="BC251" i="175"/>
  <c r="BC54" i="175" s="1"/>
  <c r="BB250" i="175"/>
  <c r="BB251" i="175"/>
  <c r="BB54" i="175" s="1"/>
  <c r="BO273" i="172"/>
  <c r="BO234" i="172"/>
  <c r="BO245" i="172"/>
  <c r="BO254" i="172"/>
  <c r="BO225" i="172"/>
  <c r="BO292" i="172"/>
  <c r="BO211" i="172"/>
  <c r="AR434" i="175"/>
  <c r="DZ70" i="135"/>
  <c r="DU72" i="135"/>
  <c r="DU70" i="135"/>
  <c r="DV72" i="135"/>
  <c r="AY318" i="175"/>
  <c r="CF272" i="172"/>
  <c r="BD249" i="175"/>
  <c r="CB41" i="9"/>
  <c r="CB43" i="9" s="1"/>
  <c r="CB44" i="9" s="1"/>
  <c r="CB54" i="9"/>
  <c r="CB57" i="9" s="1"/>
  <c r="CB59" i="9" s="1"/>
  <c r="AX436" i="175"/>
  <c r="BM293" i="172"/>
  <c r="BO295" i="172"/>
  <c r="BO293" i="172" s="1"/>
  <c r="BR273" i="172"/>
  <c r="BR292" i="172"/>
  <c r="BR254" i="172"/>
  <c r="BR302" i="172"/>
  <c r="BR245" i="172"/>
  <c r="BR225" i="172"/>
  <c r="BR234" i="172"/>
  <c r="BR211" i="172"/>
  <c r="AQ400" i="175"/>
  <c r="BW323" i="175"/>
  <c r="AT323" i="175"/>
  <c r="BX318" i="175"/>
  <c r="DK276" i="172"/>
  <c r="DK278" i="172" s="1"/>
  <c r="BM277" i="172"/>
  <c r="DL158" i="172"/>
  <c r="DL159" i="172" s="1"/>
  <c r="AP434" i="175"/>
  <c r="AP435" i="175"/>
  <c r="BS295" i="172"/>
  <c r="BS293" i="172" s="1"/>
  <c r="BX294" i="172" s="1"/>
  <c r="BS276" i="172"/>
  <c r="BS277" i="172" s="1"/>
  <c r="EC64" i="135"/>
  <c r="DX64" i="135"/>
  <c r="BA272" i="175"/>
  <c r="BA253" i="175"/>
  <c r="BA252" i="175"/>
  <c r="AG434" i="175"/>
  <c r="AG435" i="175"/>
  <c r="AL436" i="175" s="1"/>
  <c r="AH435" i="175"/>
  <c r="AM436" i="175" s="1"/>
  <c r="BR295" i="172"/>
  <c r="BR276" i="172"/>
  <c r="BR277" i="172" s="1"/>
  <c r="AV404" i="175"/>
  <c r="BW404" i="175"/>
  <c r="AR406" i="175"/>
  <c r="AQ405" i="175"/>
  <c r="AQ406" i="175"/>
  <c r="AT404" i="175"/>
  <c r="AT405" i="175" s="1"/>
  <c r="AV357" i="175"/>
  <c r="AY7" i="175"/>
  <c r="BX7" i="175"/>
  <c r="DL278" i="172"/>
  <c r="DL279" i="172" s="1"/>
  <c r="BD271" i="175"/>
  <c r="AQ392" i="175"/>
  <c r="AT321" i="175"/>
  <c r="BW321" i="175"/>
  <c r="AZ272" i="175"/>
  <c r="BY251" i="175"/>
  <c r="AU385" i="175"/>
  <c r="AY384" i="175"/>
  <c r="AY385" i="175" s="1"/>
  <c r="AU386" i="175"/>
  <c r="AV386" i="175"/>
  <c r="BP294" i="172"/>
  <c r="DT72" i="135"/>
  <c r="DY70" i="135"/>
  <c r="DT70" i="135"/>
  <c r="DX69" i="135"/>
  <c r="AK434" i="175"/>
  <c r="AK435" i="175"/>
  <c r="AP436" i="175" s="1"/>
  <c r="DM272" i="172"/>
  <c r="DM274" i="172" s="1"/>
  <c r="AW385" i="175"/>
  <c r="AW386" i="175"/>
  <c r="DV174" i="135"/>
  <c r="EA175" i="135"/>
  <c r="DV175" i="135"/>
  <c r="AO392" i="175"/>
  <c r="AO393" i="175" s="1"/>
  <c r="AM394" i="175"/>
  <c r="AL393" i="175"/>
  <c r="AL394" i="175"/>
  <c r="CE68" i="8"/>
  <c r="CE69" i="8" s="1"/>
  <c r="BS273" i="172"/>
  <c r="BS292" i="172"/>
  <c r="BS302" i="172"/>
  <c r="BS245" i="172"/>
  <c r="BS254" i="172"/>
  <c r="BS234" i="172"/>
  <c r="BS225" i="172"/>
  <c r="BS211" i="172"/>
  <c r="BD54" i="175" l="1"/>
  <c r="BD55" i="175" s="1"/>
  <c r="BC56" i="175"/>
  <c r="BC55" i="175"/>
  <c r="BC51" i="175"/>
  <c r="BB55" i="175"/>
  <c r="BB56" i="175"/>
  <c r="BB51" i="175"/>
  <c r="BA52" i="175"/>
  <c r="BA53" i="175"/>
  <c r="BA81" i="175"/>
  <c r="AZ53" i="175"/>
  <c r="AZ52" i="175"/>
  <c r="AZ81" i="175"/>
  <c r="EK154" i="135"/>
  <c r="EK156" i="135" s="1"/>
  <c r="BY278" i="172"/>
  <c r="CD274" i="172"/>
  <c r="CD297" i="172"/>
  <c r="CD273" i="172" s="1"/>
  <c r="BX273" i="172"/>
  <c r="BX234" i="172"/>
  <c r="BX254" i="172"/>
  <c r="BX225" i="172"/>
  <c r="BX302" i="172"/>
  <c r="BX211" i="172"/>
  <c r="BX245" i="172"/>
  <c r="BX292" i="172"/>
  <c r="AT400" i="189"/>
  <c r="AT401" i="189" s="1"/>
  <c r="AQ402" i="189"/>
  <c r="CB400" i="189"/>
  <c r="AV400" i="189"/>
  <c r="AR402" i="189"/>
  <c r="AQ401" i="189"/>
  <c r="AQ408" i="189"/>
  <c r="CA225" i="172"/>
  <c r="CA245" i="172"/>
  <c r="CA292" i="172"/>
  <c r="CA211" i="172"/>
  <c r="CA254" i="172"/>
  <c r="CA302" i="172"/>
  <c r="CA234" i="172"/>
  <c r="EK65" i="135"/>
  <c r="BX277" i="172"/>
  <c r="CC297" i="172"/>
  <c r="CC273" i="172" s="1"/>
  <c r="CC282" i="172"/>
  <c r="CC283" i="172" s="1"/>
  <c r="CC278" i="172"/>
  <c r="CC276" i="172" s="1"/>
  <c r="CC277" i="172" s="1"/>
  <c r="AV321" i="189"/>
  <c r="AV394" i="189"/>
  <c r="AY392" i="189"/>
  <c r="AY393" i="189" s="1"/>
  <c r="AW394" i="189"/>
  <c r="CC392" i="189"/>
  <c r="EK143" i="135"/>
  <c r="EK144" i="135"/>
  <c r="EK151" i="135"/>
  <c r="EK152" i="135"/>
  <c r="CC324" i="189"/>
  <c r="AY324" i="189"/>
  <c r="CA276" i="172"/>
  <c r="CA277" i="172" s="1"/>
  <c r="CC275" i="172"/>
  <c r="EK70" i="135"/>
  <c r="EK71" i="135" s="1"/>
  <c r="EK72" i="135"/>
  <c r="BY211" i="172"/>
  <c r="BY245" i="172"/>
  <c r="BY234" i="172"/>
  <c r="BY225" i="172"/>
  <c r="BY292" i="172"/>
  <c r="BY254" i="172"/>
  <c r="EJ155" i="135"/>
  <c r="EJ156" i="135"/>
  <c r="EK147" i="135"/>
  <c r="EK148" i="135"/>
  <c r="BY282" i="172"/>
  <c r="BY283" i="172" s="1"/>
  <c r="CA283" i="172"/>
  <c r="CB245" i="172"/>
  <c r="CB225" i="172"/>
  <c r="CB292" i="172"/>
  <c r="CB234" i="172"/>
  <c r="CB211" i="172"/>
  <c r="CB254" i="172"/>
  <c r="CB302" i="172"/>
  <c r="BW277" i="172"/>
  <c r="BS294" i="172"/>
  <c r="BT292" i="172"/>
  <c r="BT234" i="172"/>
  <c r="BZ245" i="175"/>
  <c r="BT254" i="172"/>
  <c r="BT245" i="172"/>
  <c r="BT211" i="172"/>
  <c r="BT225" i="172"/>
  <c r="AZ7" i="175"/>
  <c r="BT276" i="172"/>
  <c r="BT277" i="172" s="1"/>
  <c r="BY272" i="175"/>
  <c r="CG272" i="172"/>
  <c r="DN272" i="172"/>
  <c r="DN274" i="172" s="1"/>
  <c r="BD251" i="175"/>
  <c r="BY54" i="175"/>
  <c r="BY55" i="175" s="1"/>
  <c r="DL276" i="172"/>
  <c r="AV406" i="175"/>
  <c r="AV324" i="175"/>
  <c r="BX404" i="175"/>
  <c r="AW406" i="175"/>
  <c r="AY404" i="175"/>
  <c r="AY405" i="175" s="1"/>
  <c r="AU436" i="175"/>
  <c r="AV400" i="175"/>
  <c r="AT400" i="175"/>
  <c r="AT401" i="175" s="1"/>
  <c r="AR402" i="175"/>
  <c r="AQ401" i="175"/>
  <c r="BW400" i="175"/>
  <c r="AQ402" i="175"/>
  <c r="BD250" i="175"/>
  <c r="BD248" i="175"/>
  <c r="CF282" i="172"/>
  <c r="CF278" i="172"/>
  <c r="CF276" i="172" s="1"/>
  <c r="CF275" i="172"/>
  <c r="CK272" i="172"/>
  <c r="CP272" i="172" s="1"/>
  <c r="CU272" i="172" s="1"/>
  <c r="DM278" i="172"/>
  <c r="DM279" i="172" s="1"/>
  <c r="AX84" i="175"/>
  <c r="AX83" i="175"/>
  <c r="AY82" i="175"/>
  <c r="AY83" i="175" s="1"/>
  <c r="BB253" i="175"/>
  <c r="BB252" i="175"/>
  <c r="BB272" i="175"/>
  <c r="DX70" i="135"/>
  <c r="EC70" i="135"/>
  <c r="BO298" i="172"/>
  <c r="BO294" i="172"/>
  <c r="BC253" i="175"/>
  <c r="BC252" i="175"/>
  <c r="BC7" i="175"/>
  <c r="BC272" i="175"/>
  <c r="AX18" i="175"/>
  <c r="CH272" i="172"/>
  <c r="CE275" i="172"/>
  <c r="DM297" i="172"/>
  <c r="DM302" i="172" s="1"/>
  <c r="BR293" i="172"/>
  <c r="BW294" i="172" s="1"/>
  <c r="BT295" i="172"/>
  <c r="BT293" i="172" s="1"/>
  <c r="DL157" i="172"/>
  <c r="BY384" i="175"/>
  <c r="BZ271" i="175"/>
  <c r="BY314" i="175"/>
  <c r="AQ393" i="175"/>
  <c r="BW392" i="175"/>
  <c r="AV392" i="175"/>
  <c r="AR394" i="175"/>
  <c r="AT392" i="175"/>
  <c r="AT393" i="175" s="1"/>
  <c r="AQ394" i="175"/>
  <c r="AQ408" i="175"/>
  <c r="BA7" i="175"/>
  <c r="DL114" i="172"/>
  <c r="DL115" i="172" s="1"/>
  <c r="BZ373" i="175"/>
  <c r="DK293" i="172"/>
  <c r="BM294" i="172"/>
  <c r="AL434" i="175"/>
  <c r="AL435" i="175"/>
  <c r="AQ436" i="175" s="1"/>
  <c r="AM435" i="175"/>
  <c r="AR436" i="175" s="1"/>
  <c r="BD51" i="175" l="1"/>
  <c r="BD52" i="175" s="1"/>
  <c r="CU278" i="172"/>
  <c r="CU276" i="172" s="1"/>
  <c r="CU282" i="172"/>
  <c r="CU275" i="172"/>
  <c r="EK155" i="135"/>
  <c r="CD282" i="172"/>
  <c r="CD283" i="172" s="1"/>
  <c r="BB53" i="175"/>
  <c r="BB52" i="175"/>
  <c r="BB81" i="175"/>
  <c r="BC52" i="175"/>
  <c r="BC53" i="175"/>
  <c r="BC81" i="175"/>
  <c r="CD278" i="172"/>
  <c r="CD279" i="172" s="1"/>
  <c r="BY279" i="172"/>
  <c r="BY276" i="172"/>
  <c r="BY277" i="172" s="1"/>
  <c r="CC400" i="189"/>
  <c r="AV323" i="189"/>
  <c r="AV325" i="189" s="1"/>
  <c r="AV402" i="189"/>
  <c r="AW402" i="189"/>
  <c r="AY400" i="189"/>
  <c r="AY401" i="189" s="1"/>
  <c r="AV408" i="189"/>
  <c r="CD211" i="172"/>
  <c r="CD245" i="172"/>
  <c r="CD225" i="172"/>
  <c r="CD234" i="172"/>
  <c r="CD254" i="172"/>
  <c r="CD292" i="172"/>
  <c r="CC321" i="189"/>
  <c r="AY321" i="189"/>
  <c r="AQ410" i="189"/>
  <c r="AV411" i="189" s="1"/>
  <c r="AT408" i="189"/>
  <c r="AT409" i="189" s="1"/>
  <c r="AQ409" i="189"/>
  <c r="CB408" i="189"/>
  <c r="AR410" i="189"/>
  <c r="AW411" i="189" s="1"/>
  <c r="AQ433" i="189"/>
  <c r="CC211" i="172"/>
  <c r="CC225" i="172"/>
  <c r="CC254" i="172"/>
  <c r="CC234" i="172"/>
  <c r="CC245" i="172"/>
  <c r="CC292" i="172"/>
  <c r="CC302" i="172"/>
  <c r="BY298" i="172"/>
  <c r="BY294" i="172"/>
  <c r="BR294" i="172"/>
  <c r="AY20" i="175"/>
  <c r="CP278" i="172"/>
  <c r="CP276" i="172" s="1"/>
  <c r="CP275" i="172"/>
  <c r="CP282" i="172"/>
  <c r="BC85" i="175"/>
  <c r="BB7" i="175"/>
  <c r="CK282" i="172"/>
  <c r="CK278" i="172"/>
  <c r="CK275" i="172"/>
  <c r="CF283" i="172"/>
  <c r="BY404" i="175"/>
  <c r="CG282" i="172"/>
  <c r="CG283" i="172" s="1"/>
  <c r="CL272" i="172"/>
  <c r="CQ272" i="172" s="1"/>
  <c r="CV272" i="172" s="1"/>
  <c r="CG278" i="172"/>
  <c r="CG276" i="172" s="1"/>
  <c r="CG277" i="172" s="1"/>
  <c r="CG275" i="172"/>
  <c r="DM276" i="172"/>
  <c r="BT298" i="172"/>
  <c r="BT294" i="172"/>
  <c r="CH282" i="172"/>
  <c r="CH283" i="172" s="1"/>
  <c r="CJ275" i="172"/>
  <c r="CH297" i="172"/>
  <c r="CH273" i="172" s="1"/>
  <c r="CH275" i="172"/>
  <c r="CM272" i="172"/>
  <c r="CH278" i="172"/>
  <c r="CH276" i="172" s="1"/>
  <c r="EL99" i="135"/>
  <c r="EL101" i="135"/>
  <c r="AY400" i="175"/>
  <c r="AY401" i="175" s="1"/>
  <c r="BX400" i="175"/>
  <c r="AV323" i="175"/>
  <c r="AW402" i="175"/>
  <c r="AV402" i="175"/>
  <c r="DL293" i="172"/>
  <c r="DL119" i="172"/>
  <c r="DL120" i="172" s="1"/>
  <c r="AV321" i="175"/>
  <c r="AW394" i="175"/>
  <c r="BX392" i="175"/>
  <c r="AY392" i="175"/>
  <c r="AY393" i="175" s="1"/>
  <c r="AV394" i="175"/>
  <c r="AY18" i="175"/>
  <c r="AQ410" i="175"/>
  <c r="AV411" i="175" s="1"/>
  <c r="AQ409" i="175"/>
  <c r="AR410" i="175"/>
  <c r="AW411" i="175" s="1"/>
  <c r="BW408" i="175"/>
  <c r="AT408" i="175"/>
  <c r="AT409" i="175" s="1"/>
  <c r="BY318" i="175"/>
  <c r="CF277" i="172"/>
  <c r="AV408" i="175"/>
  <c r="BY7" i="175"/>
  <c r="BD252" i="175"/>
  <c r="DL170" i="172"/>
  <c r="DL171" i="172" s="1"/>
  <c r="CI272" i="172"/>
  <c r="AY324" i="175"/>
  <c r="BX324" i="175"/>
  <c r="DN278" i="172"/>
  <c r="DN279" i="172" s="1"/>
  <c r="BD272" i="175"/>
  <c r="CD276" i="172" l="1"/>
  <c r="CD277" i="172" s="1"/>
  <c r="CU283" i="172"/>
  <c r="CV278" i="172"/>
  <c r="CV282" i="172"/>
  <c r="CV275" i="172"/>
  <c r="CV297" i="172"/>
  <c r="CV273" i="172" s="1"/>
  <c r="CU277" i="172"/>
  <c r="BD81" i="175"/>
  <c r="AQ434" i="189"/>
  <c r="AQ435" i="189"/>
  <c r="AV436" i="189" s="1"/>
  <c r="AT433" i="189"/>
  <c r="AT434" i="189" s="1"/>
  <c r="CB433" i="189"/>
  <c r="AR435" i="189"/>
  <c r="AW436" i="189" s="1"/>
  <c r="AY408" i="189"/>
  <c r="AY409" i="189" s="1"/>
  <c r="AV409" i="189"/>
  <c r="CC408" i="189"/>
  <c r="AV410" i="189"/>
  <c r="AW410" i="189"/>
  <c r="AV433" i="189"/>
  <c r="AY323" i="189"/>
  <c r="CC323" i="189"/>
  <c r="CC325" i="189"/>
  <c r="AY325" i="189"/>
  <c r="AY21" i="175"/>
  <c r="CP283" i="172"/>
  <c r="CO275" i="172"/>
  <c r="CR272" i="172"/>
  <c r="CQ278" i="172"/>
  <c r="CQ276" i="172" s="1"/>
  <c r="CQ275" i="172"/>
  <c r="CQ282" i="172"/>
  <c r="CQ297" i="172"/>
  <c r="BZ251" i="175"/>
  <c r="BD7" i="175"/>
  <c r="CI278" i="172"/>
  <c r="CI279" i="172" s="1"/>
  <c r="DN276" i="172"/>
  <c r="AV325" i="175"/>
  <c r="AY321" i="175"/>
  <c r="BX321" i="175"/>
  <c r="DL177" i="172"/>
  <c r="DL178" i="172" s="1"/>
  <c r="BY82" i="175"/>
  <c r="BY83" i="175" s="1"/>
  <c r="CM282" i="172"/>
  <c r="CM283" i="172" s="1"/>
  <c r="CM297" i="172"/>
  <c r="CM273" i="172" s="1"/>
  <c r="CM275" i="172"/>
  <c r="CM278" i="172"/>
  <c r="CL282" i="172"/>
  <c r="CL283" i="172" s="1"/>
  <c r="CL278" i="172"/>
  <c r="CL276" i="172" s="1"/>
  <c r="CL277" i="172" s="1"/>
  <c r="CL297" i="172"/>
  <c r="CL273" i="172" s="1"/>
  <c r="CL275" i="172"/>
  <c r="DL173" i="172"/>
  <c r="DL174" i="172" s="1"/>
  <c r="AV409" i="175"/>
  <c r="AV410" i="175"/>
  <c r="AW410" i="175"/>
  <c r="BX408" i="175"/>
  <c r="AY408" i="175"/>
  <c r="AY409" i="175" s="1"/>
  <c r="DM114" i="172"/>
  <c r="DM115" i="172" s="1"/>
  <c r="EM99" i="135"/>
  <c r="BY400" i="175"/>
  <c r="EL100" i="135"/>
  <c r="EL102" i="135"/>
  <c r="CH114" i="172"/>
  <c r="CI274" i="172"/>
  <c r="DL169" i="172"/>
  <c r="AY323" i="175"/>
  <c r="BX323" i="175"/>
  <c r="AX134" i="175"/>
  <c r="CH245" i="172"/>
  <c r="CH254" i="172"/>
  <c r="CH292" i="172"/>
  <c r="CH234" i="172"/>
  <c r="CH225" i="172"/>
  <c r="CH211" i="172"/>
  <c r="CH302" i="172"/>
  <c r="BY324" i="175"/>
  <c r="BZ404" i="175"/>
  <c r="CK283" i="172"/>
  <c r="BA83" i="175"/>
  <c r="BA84" i="175"/>
  <c r="CF114" i="172"/>
  <c r="BA18" i="175"/>
  <c r="BY392" i="175"/>
  <c r="CH277" i="172"/>
  <c r="CG114" i="172"/>
  <c r="CI282" i="172"/>
  <c r="CI283" i="172" s="1"/>
  <c r="CN272" i="172"/>
  <c r="CK276" i="172"/>
  <c r="CK277" i="172" s="1"/>
  <c r="CV283" i="172" l="1"/>
  <c r="CV254" i="172"/>
  <c r="CV245" i="172"/>
  <c r="CV225" i="172"/>
  <c r="CV302" i="172"/>
  <c r="CV234" i="172"/>
  <c r="CV292" i="172"/>
  <c r="CV211" i="172"/>
  <c r="CS272" i="172"/>
  <c r="CS274" i="172" s="1"/>
  <c r="CW272" i="172"/>
  <c r="CT275" i="172"/>
  <c r="CV276" i="172"/>
  <c r="CV277" i="172" s="1"/>
  <c r="CI276" i="172"/>
  <c r="AV434" i="189"/>
  <c r="AV435" i="189"/>
  <c r="AY433" i="189"/>
  <c r="AY434" i="189" s="1"/>
  <c r="AW435" i="189"/>
  <c r="CC433" i="189"/>
  <c r="BB20" i="175"/>
  <c r="BB21" i="175" s="1"/>
  <c r="CQ277" i="172"/>
  <c r="CR282" i="172"/>
  <c r="CR283" i="172" s="1"/>
  <c r="CR275" i="172"/>
  <c r="CR278" i="172"/>
  <c r="CR297" i="172"/>
  <c r="CR273" i="172" s="1"/>
  <c r="CQ254" i="172"/>
  <c r="CQ234" i="172"/>
  <c r="CQ225" i="172"/>
  <c r="CQ245" i="172"/>
  <c r="CQ302" i="172"/>
  <c r="CQ292" i="172"/>
  <c r="CQ211" i="172"/>
  <c r="CQ273" i="172"/>
  <c r="CP277" i="172"/>
  <c r="CQ283" i="172"/>
  <c r="CI277" i="172"/>
  <c r="BZ272" i="175"/>
  <c r="CN282" i="172"/>
  <c r="CN283" i="172" s="1"/>
  <c r="CN278" i="172"/>
  <c r="CN279" i="172" s="1"/>
  <c r="BY408" i="175"/>
  <c r="CG470" i="172"/>
  <c r="CG115" i="172"/>
  <c r="CG117" i="172"/>
  <c r="BB83" i="175"/>
  <c r="BB84" i="175"/>
  <c r="AX135" i="175"/>
  <c r="AX136" i="175"/>
  <c r="BC137" i="175" s="1"/>
  <c r="BZ400" i="175"/>
  <c r="EM100" i="135"/>
  <c r="BC83" i="175"/>
  <c r="BC84" i="175"/>
  <c r="BD82" i="175"/>
  <c r="BD83" i="175" s="1"/>
  <c r="BX325" i="175"/>
  <c r="AY325" i="175"/>
  <c r="BZ392" i="175"/>
  <c r="CF470" i="172"/>
  <c r="CF115" i="172"/>
  <c r="BZ324" i="175"/>
  <c r="CL292" i="172"/>
  <c r="CL245" i="172"/>
  <c r="CL302" i="172"/>
  <c r="CL254" i="172"/>
  <c r="CL211" i="172"/>
  <c r="CL234" i="172"/>
  <c r="CL225" i="172"/>
  <c r="CM276" i="172"/>
  <c r="CM277" i="172" s="1"/>
  <c r="BY321" i="175"/>
  <c r="BZ314" i="175"/>
  <c r="BY323" i="175"/>
  <c r="CN274" i="172"/>
  <c r="BZ384" i="175"/>
  <c r="BZ54" i="175"/>
  <c r="AY134" i="175"/>
  <c r="BY17" i="175"/>
  <c r="BY18" i="175" s="1"/>
  <c r="CH470" i="172"/>
  <c r="CH115" i="172"/>
  <c r="CH117" i="172"/>
  <c r="CM225" i="172"/>
  <c r="CM254" i="172"/>
  <c r="CM302" i="172"/>
  <c r="CM234" i="172"/>
  <c r="CM211" i="172"/>
  <c r="CM292" i="172"/>
  <c r="CM245" i="172"/>
  <c r="CW282" i="172" l="1"/>
  <c r="CW278" i="172"/>
  <c r="CW276" i="172" s="1"/>
  <c r="CW275" i="172"/>
  <c r="CW297" i="172"/>
  <c r="CW273" i="172" s="1"/>
  <c r="CX272" i="172"/>
  <c r="CR254" i="172"/>
  <c r="CR225" i="172"/>
  <c r="CR234" i="172"/>
  <c r="CR245" i="172"/>
  <c r="CR302" i="172"/>
  <c r="CR211" i="172"/>
  <c r="CR292" i="172"/>
  <c r="CR276" i="172"/>
  <c r="CR277" i="172" s="1"/>
  <c r="CS278" i="172"/>
  <c r="CS282" i="172"/>
  <c r="CS283" i="172" s="1"/>
  <c r="BZ55" i="175"/>
  <c r="DM170" i="172"/>
  <c r="DM171" i="172" s="1"/>
  <c r="CN276" i="172"/>
  <c r="CN277" i="172" s="1"/>
  <c r="CM114" i="172"/>
  <c r="BZ408" i="175"/>
  <c r="DL199" i="172"/>
  <c r="BY325" i="175"/>
  <c r="BB18" i="175"/>
  <c r="BZ321" i="175"/>
  <c r="CE171" i="172"/>
  <c r="EN101" i="135"/>
  <c r="DM10" i="172"/>
  <c r="CE114" i="172"/>
  <c r="BZ318" i="175"/>
  <c r="CL114" i="172"/>
  <c r="BZ323" i="175"/>
  <c r="CK114" i="172"/>
  <c r="DL125" i="172"/>
  <c r="DL126" i="172" s="1"/>
  <c r="AY135" i="175"/>
  <c r="AY136" i="175"/>
  <c r="BZ7" i="175"/>
  <c r="CW277" i="172" l="1"/>
  <c r="CW211" i="172"/>
  <c r="CW302" i="172"/>
  <c r="CW234" i="172"/>
  <c r="CW245" i="172"/>
  <c r="CW254" i="172"/>
  <c r="CW292" i="172"/>
  <c r="CW225" i="172"/>
  <c r="CW283" i="172"/>
  <c r="CX282" i="172"/>
  <c r="CX283" i="172" s="1"/>
  <c r="CX274" i="172"/>
  <c r="CX278" i="172"/>
  <c r="CX279" i="172" s="1"/>
  <c r="BD20" i="175"/>
  <c r="BD18" i="175"/>
  <c r="CS279" i="172"/>
  <c r="CS276" i="172"/>
  <c r="CS277" i="172" s="1"/>
  <c r="CQ115" i="172"/>
  <c r="CR115" i="172"/>
  <c r="CO117" i="172"/>
  <c r="CP115" i="172"/>
  <c r="DM11" i="172"/>
  <c r="EN100" i="135"/>
  <c r="DL181" i="172"/>
  <c r="EV53" i="8"/>
  <c r="FA53" i="8" s="1"/>
  <c r="FF53" i="8" s="1"/>
  <c r="FK53" i="8" s="1"/>
  <c r="EV51" i="8"/>
  <c r="FA51" i="8" s="1"/>
  <c r="FF51" i="8" s="1"/>
  <c r="FK51" i="8" s="1"/>
  <c r="EV50" i="8"/>
  <c r="FA50" i="8" s="1"/>
  <c r="FF50" i="8" s="1"/>
  <c r="FK50" i="8" s="1"/>
  <c r="EV49" i="8"/>
  <c r="FA49" i="8" s="1"/>
  <c r="FF49" i="8" s="1"/>
  <c r="FK49" i="8" s="1"/>
  <c r="CJ114" i="172"/>
  <c r="CL470" i="172"/>
  <c r="CL117" i="172"/>
  <c r="CL115" i="172"/>
  <c r="DL135" i="172"/>
  <c r="DL136" i="172" s="1"/>
  <c r="CE170" i="172"/>
  <c r="CG171" i="172"/>
  <c r="CG170" i="172" s="1"/>
  <c r="DM125" i="172"/>
  <c r="DM126" i="172" s="1"/>
  <c r="CM470" i="172"/>
  <c r="CM117" i="172"/>
  <c r="CM115" i="172"/>
  <c r="DM44" i="172"/>
  <c r="DM169" i="172"/>
  <c r="ER99" i="135"/>
  <c r="DL202" i="172"/>
  <c r="DL182" i="172"/>
  <c r="CK470" i="172"/>
  <c r="CK115" i="172"/>
  <c r="CE470" i="172"/>
  <c r="CE115" i="172"/>
  <c r="CI114" i="172"/>
  <c r="CE117" i="172"/>
  <c r="CF117" i="172"/>
  <c r="DN114" i="172"/>
  <c r="CF125" i="172"/>
  <c r="BZ325" i="175"/>
  <c r="DM45" i="172" l="1"/>
  <c r="CX276" i="172"/>
  <c r="CX277" i="172" s="1"/>
  <c r="BD21" i="175"/>
  <c r="CO115" i="172"/>
  <c r="CF171" i="172"/>
  <c r="CH171" i="172" s="1"/>
  <c r="CE169" i="172"/>
  <c r="DL183" i="172"/>
  <c r="DN115" i="172"/>
  <c r="CJ470" i="172"/>
  <c r="CJ117" i="172"/>
  <c r="CJ115" i="172"/>
  <c r="CN114" i="172"/>
  <c r="DL189" i="172"/>
  <c r="DL190" i="172" s="1"/>
  <c r="ER100" i="135"/>
  <c r="DM62" i="172"/>
  <c r="CG169" i="172"/>
  <c r="DL201" i="172"/>
  <c r="DL142" i="172"/>
  <c r="DL203" i="172" s="1"/>
  <c r="CF182" i="172"/>
  <c r="CF475" i="172"/>
  <c r="CF126" i="172"/>
  <c r="CF128" i="172"/>
  <c r="CG128" i="172"/>
  <c r="CF135" i="172"/>
  <c r="CI125" i="172"/>
  <c r="DN125" i="172"/>
  <c r="DN126" i="172" s="1"/>
  <c r="CK117" i="172"/>
  <c r="DM135" i="172"/>
  <c r="DM136" i="172" s="1"/>
  <c r="CK125" i="172"/>
  <c r="DM182" i="172"/>
  <c r="CI470" i="172"/>
  <c r="CI115" i="172"/>
  <c r="CP126" i="172" l="1"/>
  <c r="CS115" i="172"/>
  <c r="CF170" i="172"/>
  <c r="CF181" i="172"/>
  <c r="DN181" i="172" s="1"/>
  <c r="DM181" i="172"/>
  <c r="CF190" i="172"/>
  <c r="DN182" i="172"/>
  <c r="CI182" i="172"/>
  <c r="DM183" i="172"/>
  <c r="CI475" i="172"/>
  <c r="CI126" i="172"/>
  <c r="CI135" i="172"/>
  <c r="CN470" i="172"/>
  <c r="CN115" i="172"/>
  <c r="CK182" i="172"/>
  <c r="CK181" i="172" s="1"/>
  <c r="CK126" i="172"/>
  <c r="CK475" i="172"/>
  <c r="CK128" i="172"/>
  <c r="CL128" i="172"/>
  <c r="CN125" i="172"/>
  <c r="CK135" i="172"/>
  <c r="CP136" i="172" s="1"/>
  <c r="DL143" i="172"/>
  <c r="DL207" i="172"/>
  <c r="CH170" i="172"/>
  <c r="CJ171" i="172"/>
  <c r="CF136" i="172"/>
  <c r="CF138" i="172"/>
  <c r="CG138" i="172"/>
  <c r="DN135" i="172"/>
  <c r="DN136" i="172" s="1"/>
  <c r="CS126" i="172" l="1"/>
  <c r="DN170" i="172"/>
  <c r="DN171" i="172" s="1"/>
  <c r="CF169" i="172"/>
  <c r="DN169" i="172" s="1"/>
  <c r="CI181" i="172"/>
  <c r="CN475" i="172"/>
  <c r="CN126" i="172"/>
  <c r="CN135" i="172"/>
  <c r="CS136" i="172" s="1"/>
  <c r="CN182" i="172"/>
  <c r="CK190" i="172"/>
  <c r="CL171" i="172"/>
  <c r="CL170" i="172" s="1"/>
  <c r="CJ170" i="172"/>
  <c r="CI183" i="172"/>
  <c r="CI190" i="172"/>
  <c r="CH169" i="172"/>
  <c r="CI170" i="172"/>
  <c r="CK136" i="172"/>
  <c r="CK138" i="172"/>
  <c r="CL138" i="172"/>
  <c r="CI136" i="172"/>
  <c r="DN183" i="172"/>
  <c r="EV52" i="8" l="1"/>
  <c r="FA52" i="8" s="1"/>
  <c r="FF52" i="8" s="1"/>
  <c r="FK52" i="8" s="1"/>
  <c r="CJ169" i="172"/>
  <c r="CL169" i="172"/>
  <c r="CN136" i="172"/>
  <c r="CI171" i="172"/>
  <c r="CK171" i="172" s="1"/>
  <c r="CI169" i="172"/>
  <c r="CN183" i="172"/>
  <c r="CN190" i="172"/>
  <c r="CN181" i="172"/>
  <c r="CM171" i="172" l="1"/>
  <c r="CK170" i="172"/>
  <c r="CM170" i="172" l="1"/>
  <c r="CM169" i="172" s="1"/>
  <c r="CO171" i="172"/>
  <c r="CK169" i="172"/>
  <c r="CN170" i="172"/>
  <c r="CQ171" i="172" l="1"/>
  <c r="CQ170" i="172" s="1"/>
  <c r="CO170" i="172"/>
  <c r="CN171" i="172"/>
  <c r="CP171" i="172" s="1"/>
  <c r="CN169" i="172"/>
  <c r="CR171" i="172" l="1"/>
  <c r="CP170" i="172"/>
  <c r="CO169" i="172"/>
  <c r="CO202" i="172"/>
  <c r="CS170" i="172"/>
  <c r="CO174" i="172"/>
  <c r="CO189" i="172" s="1"/>
  <c r="CO173" i="172"/>
  <c r="CQ169" i="172"/>
  <c r="CQ202" i="172"/>
  <c r="CQ173" i="172"/>
  <c r="CQ174" i="172"/>
  <c r="CQ189" i="172" s="1"/>
  <c r="CR170" i="172" l="1"/>
  <c r="CR203" i="172" s="1"/>
  <c r="CT171" i="172"/>
  <c r="CP169" i="172"/>
  <c r="CP173" i="172"/>
  <c r="CP174" i="172"/>
  <c r="CP189" i="172" s="1"/>
  <c r="CP202" i="172"/>
  <c r="CS169" i="172"/>
  <c r="CS174" i="172"/>
  <c r="CS189" i="172" s="1"/>
  <c r="CS173" i="172"/>
  <c r="CS171" i="172"/>
  <c r="CU171" i="172" s="1"/>
  <c r="CS202" i="172"/>
  <c r="CR173" i="172"/>
  <c r="CR174" i="172" l="1"/>
  <c r="CR189" i="172" s="1"/>
  <c r="CR202" i="172"/>
  <c r="CR201" i="172" s="1"/>
  <c r="CR169" i="172"/>
  <c r="CW171" i="172"/>
  <c r="CW170" i="172" s="1"/>
  <c r="CU170" i="172"/>
  <c r="CT170" i="172"/>
  <c r="CV171" i="172"/>
  <c r="CV170" i="172" s="1"/>
  <c r="BF6" i="171"/>
  <c r="BD6" i="171"/>
  <c r="BK6" i="171" l="1"/>
  <c r="BP6" i="171" s="1"/>
  <c r="BU6" i="171" s="1"/>
  <c r="BG8" i="171"/>
  <c r="BU11" i="171"/>
  <c r="CU173" i="172"/>
  <c r="CU169" i="172"/>
  <c r="CU202" i="172"/>
  <c r="CU174" i="172"/>
  <c r="CU189" i="172" s="1"/>
  <c r="CV169" i="172"/>
  <c r="CV174" i="172"/>
  <c r="CV189" i="172" s="1"/>
  <c r="CV202" i="172"/>
  <c r="CV173" i="172"/>
  <c r="CT169" i="172"/>
  <c r="CT202" i="172"/>
  <c r="CX170" i="172"/>
  <c r="CT174" i="172"/>
  <c r="CT189" i="172" s="1"/>
  <c r="CT173" i="172"/>
  <c r="CW169" i="172"/>
  <c r="BD11" i="171"/>
  <c r="BD78" i="171" s="1"/>
  <c r="BC78" i="171"/>
  <c r="BG144" i="171"/>
  <c r="BG90" i="171"/>
  <c r="BG84" i="171"/>
  <c r="BG132" i="171"/>
  <c r="BG96" i="171"/>
  <c r="BG114" i="171"/>
  <c r="BG108" i="171"/>
  <c r="BG126" i="171"/>
  <c r="BG120" i="171"/>
  <c r="BG138" i="171"/>
  <c r="BG150" i="171"/>
  <c r="BG78" i="171"/>
  <c r="BG162" i="171"/>
  <c r="BG102" i="171"/>
  <c r="BG72" i="171"/>
  <c r="BK8" i="171"/>
  <c r="BC108" i="171"/>
  <c r="BC138" i="171"/>
  <c r="BD56" i="171"/>
  <c r="BD8" i="171"/>
  <c r="BF8" i="171"/>
  <c r="BB56" i="171"/>
  <c r="CK6" i="171"/>
  <c r="BA56" i="171"/>
  <c r="BC56" i="171"/>
  <c r="DD6" i="171"/>
  <c r="DD7" i="171" s="1"/>
  <c r="BH6" i="171"/>
  <c r="BI6" i="171"/>
  <c r="BP8" i="171" s="1"/>
  <c r="BF11" i="171"/>
  <c r="BL6" i="171"/>
  <c r="BQ6" i="171" s="1"/>
  <c r="BV6" i="171" s="1"/>
  <c r="BK11" i="171" l="1"/>
  <c r="BP11" i="171"/>
  <c r="BD72" i="171"/>
  <c r="BD74" i="171" s="1"/>
  <c r="BV11" i="171"/>
  <c r="BV8" i="171"/>
  <c r="BU126" i="171"/>
  <c r="BU96" i="171"/>
  <c r="BU72" i="171"/>
  <c r="BU102" i="171"/>
  <c r="BU84" i="171"/>
  <c r="BU12" i="171"/>
  <c r="BU90" i="171"/>
  <c r="BU138" i="171"/>
  <c r="BU120" i="171"/>
  <c r="BU108" i="171"/>
  <c r="BU114" i="171"/>
  <c r="BU78" i="171"/>
  <c r="BU132" i="171"/>
  <c r="BU26" i="171"/>
  <c r="BU162" i="171"/>
  <c r="BU144" i="171"/>
  <c r="BU150" i="171"/>
  <c r="CX171" i="172"/>
  <c r="CX169" i="172"/>
  <c r="BQ8" i="171"/>
  <c r="BQ11" i="171"/>
  <c r="BP78" i="171"/>
  <c r="BP81" i="171" s="1"/>
  <c r="BP96" i="171"/>
  <c r="BP99" i="171" s="1"/>
  <c r="BP108" i="171"/>
  <c r="BP111" i="171" s="1"/>
  <c r="BP132" i="171"/>
  <c r="BP135" i="171" s="1"/>
  <c r="BP72" i="171"/>
  <c r="BP114" i="171"/>
  <c r="BP117" i="171" s="1"/>
  <c r="BP102" i="171"/>
  <c r="BP12" i="171"/>
  <c r="BP90" i="171"/>
  <c r="BP93" i="171" s="1"/>
  <c r="BP84" i="171"/>
  <c r="BP87" i="171" s="1"/>
  <c r="BP120" i="171"/>
  <c r="BP138" i="171"/>
  <c r="BP126" i="171"/>
  <c r="BP129" i="171" s="1"/>
  <c r="BP26" i="171"/>
  <c r="BP32" i="171" s="1"/>
  <c r="BP44" i="171" s="1"/>
  <c r="BP162" i="171"/>
  <c r="BP144" i="171"/>
  <c r="BP147" i="171" s="1"/>
  <c r="BP150" i="171"/>
  <c r="BD90" i="171"/>
  <c r="BD93" i="171" s="1"/>
  <c r="BD114" i="171"/>
  <c r="BD116" i="171" s="1"/>
  <c r="BD150" i="171"/>
  <c r="BD153" i="171" s="1"/>
  <c r="BF56" i="171"/>
  <c r="BD26" i="171"/>
  <c r="BD132" i="171"/>
  <c r="BD134" i="171" s="1"/>
  <c r="BD144" i="171"/>
  <c r="BD147" i="171" s="1"/>
  <c r="BD138" i="171"/>
  <c r="BD140" i="171" s="1"/>
  <c r="BD96" i="171"/>
  <c r="BD99" i="171" s="1"/>
  <c r="BD12" i="171"/>
  <c r="BD156" i="171"/>
  <c r="BD159" i="171" s="1"/>
  <c r="DE159" i="171" s="1"/>
  <c r="BD126" i="171"/>
  <c r="BD129" i="171" s="1"/>
  <c r="BD162" i="171"/>
  <c r="BD164" i="171" s="1"/>
  <c r="BD120" i="171"/>
  <c r="BD123" i="171" s="1"/>
  <c r="DD11" i="171"/>
  <c r="DD12" i="171" s="1"/>
  <c r="BD102" i="171"/>
  <c r="BD108" i="171"/>
  <c r="BD111" i="171" s="1"/>
  <c r="BD84" i="171"/>
  <c r="BD86" i="171" s="1"/>
  <c r="CK11" i="171"/>
  <c r="CK10" i="171" s="1"/>
  <c r="CK69" i="171" s="1"/>
  <c r="BC120" i="171"/>
  <c r="BC123" i="171" s="1"/>
  <c r="BC72" i="171"/>
  <c r="BC75" i="171" s="1"/>
  <c r="BC162" i="171"/>
  <c r="BC164" i="171" s="1"/>
  <c r="BC126" i="171"/>
  <c r="BC129" i="171" s="1"/>
  <c r="BC84" i="171"/>
  <c r="BC87" i="171" s="1"/>
  <c r="BC114" i="171"/>
  <c r="BG56" i="171"/>
  <c r="BC150" i="171"/>
  <c r="BC152" i="171" s="1"/>
  <c r="BC96" i="171"/>
  <c r="BC99" i="171" s="1"/>
  <c r="BC90" i="171"/>
  <c r="BC93" i="171" s="1"/>
  <c r="BC102" i="171"/>
  <c r="BC104" i="171" s="1"/>
  <c r="BC156" i="171"/>
  <c r="BC158" i="171" s="1"/>
  <c r="BC144" i="171"/>
  <c r="BC147" i="171" s="1"/>
  <c r="BC132" i="171"/>
  <c r="BC134" i="171" s="1"/>
  <c r="BK96" i="171"/>
  <c r="BK132" i="171"/>
  <c r="BP134" i="171" s="1"/>
  <c r="BK78" i="171"/>
  <c r="BK144" i="171"/>
  <c r="BK12" i="171"/>
  <c r="BK84" i="171"/>
  <c r="BK114" i="171"/>
  <c r="BK126" i="171"/>
  <c r="BK150" i="171"/>
  <c r="BK120" i="171"/>
  <c r="BK90" i="171"/>
  <c r="BK108" i="171"/>
  <c r="BK138" i="171"/>
  <c r="BP140" i="171" s="1"/>
  <c r="BK102" i="171"/>
  <c r="BK72" i="171"/>
  <c r="BK162" i="171"/>
  <c r="BK26" i="171"/>
  <c r="BI8" i="171"/>
  <c r="BI56" i="171"/>
  <c r="BN6" i="171"/>
  <c r="BI11" i="171"/>
  <c r="BD141" i="171"/>
  <c r="BD98" i="171"/>
  <c r="BG104" i="171"/>
  <c r="BG279" i="171"/>
  <c r="BG280" i="171" s="1"/>
  <c r="BG196" i="171"/>
  <c r="BG105" i="171"/>
  <c r="BG140" i="171"/>
  <c r="BG262" i="171"/>
  <c r="BG141" i="171"/>
  <c r="BG116" i="171"/>
  <c r="BG117" i="171"/>
  <c r="BG92" i="171"/>
  <c r="BG93" i="171"/>
  <c r="BD92" i="171"/>
  <c r="BG164" i="171"/>
  <c r="BG165" i="171"/>
  <c r="BG201" i="171"/>
  <c r="BG202" i="171" s="1"/>
  <c r="BG122" i="171"/>
  <c r="BG123" i="171"/>
  <c r="BG98" i="171"/>
  <c r="BG99" i="171"/>
  <c r="CK7" i="171"/>
  <c r="BL8" i="171"/>
  <c r="BL11" i="171"/>
  <c r="BC140" i="171"/>
  <c r="CK138" i="171"/>
  <c r="BC141" i="171"/>
  <c r="BC110" i="171"/>
  <c r="CK108" i="171"/>
  <c r="BC111" i="171"/>
  <c r="BD128" i="171"/>
  <c r="BG80" i="171"/>
  <c r="BG81" i="171"/>
  <c r="BG129" i="171"/>
  <c r="BG128" i="171"/>
  <c r="BG134" i="171"/>
  <c r="BG135" i="171"/>
  <c r="BG146" i="171"/>
  <c r="BG147" i="171"/>
  <c r="BZ336" i="175"/>
  <c r="BF12" i="171"/>
  <c r="BF96" i="171"/>
  <c r="BF78" i="171"/>
  <c r="DD78" i="171" s="1"/>
  <c r="BF132" i="171"/>
  <c r="BF126" i="171"/>
  <c r="BF84" i="171"/>
  <c r="BF120" i="171"/>
  <c r="BF138" i="171"/>
  <c r="DD138" i="171" s="1"/>
  <c r="BF150" i="171"/>
  <c r="BF102" i="171"/>
  <c r="BF90" i="171"/>
  <c r="BF114" i="171"/>
  <c r="BF162" i="171"/>
  <c r="BF144" i="171"/>
  <c r="BF108" i="171"/>
  <c r="BF72" i="171"/>
  <c r="BF26" i="171"/>
  <c r="BF32" i="171" s="1"/>
  <c r="BH8" i="171"/>
  <c r="BH56" i="171"/>
  <c r="DE6" i="171"/>
  <c r="DE7" i="171" s="1"/>
  <c r="BH11" i="171"/>
  <c r="BM6" i="171"/>
  <c r="BR6" i="171" s="1"/>
  <c r="BW6" i="171" s="1"/>
  <c r="CL6" i="171"/>
  <c r="CL7" i="171" s="1"/>
  <c r="BH158" i="171"/>
  <c r="BC80" i="171"/>
  <c r="CK78" i="171"/>
  <c r="BC81" i="171"/>
  <c r="BD104" i="171"/>
  <c r="BD105" i="171"/>
  <c r="BD80" i="171"/>
  <c r="BD81" i="171"/>
  <c r="BG74" i="171"/>
  <c r="BG277" i="171"/>
  <c r="BG278" i="171" s="1"/>
  <c r="BG167" i="171"/>
  <c r="BG194" i="171"/>
  <c r="BG75" i="171"/>
  <c r="BG152" i="171"/>
  <c r="BG153" i="171"/>
  <c r="BG110" i="171"/>
  <c r="BG111" i="171"/>
  <c r="BG86" i="171"/>
  <c r="BG87" i="171"/>
  <c r="BD75" i="171" l="1"/>
  <c r="BU135" i="171"/>
  <c r="BU134" i="171"/>
  <c r="BU86" i="171"/>
  <c r="BU87" i="171"/>
  <c r="BU27" i="171"/>
  <c r="BU32" i="171"/>
  <c r="BU111" i="171"/>
  <c r="BU110" i="171"/>
  <c r="BU99" i="171"/>
  <c r="BU98" i="171"/>
  <c r="BS6" i="171"/>
  <c r="BX6" i="171" s="1"/>
  <c r="BX11" i="171" s="1"/>
  <c r="BU8" i="171"/>
  <c r="BU152" i="171"/>
  <c r="BU153" i="171"/>
  <c r="BU129" i="171"/>
  <c r="BU128" i="171"/>
  <c r="BU146" i="171"/>
  <c r="BU147" i="171"/>
  <c r="BU81" i="171"/>
  <c r="BU80" i="171"/>
  <c r="BU141" i="171"/>
  <c r="BU140" i="171"/>
  <c r="BU262" i="171"/>
  <c r="BU105" i="171"/>
  <c r="BU104" i="171"/>
  <c r="BU196" i="171"/>
  <c r="BU122" i="171"/>
  <c r="BU123" i="171"/>
  <c r="BU279" i="171"/>
  <c r="BU165" i="171"/>
  <c r="BU164" i="171"/>
  <c r="BU201" i="171"/>
  <c r="BU117" i="171"/>
  <c r="BU116" i="171"/>
  <c r="BU93" i="171"/>
  <c r="BU92" i="171"/>
  <c r="BU75" i="171"/>
  <c r="BU74" i="171"/>
  <c r="BU277" i="171"/>
  <c r="BU167" i="171"/>
  <c r="BU171" i="171" s="1"/>
  <c r="BU194" i="171"/>
  <c r="BV120" i="171"/>
  <c r="BV96" i="171"/>
  <c r="BV72" i="171"/>
  <c r="BV108" i="171"/>
  <c r="BV114" i="171"/>
  <c r="BV90" i="171"/>
  <c r="BV12" i="171"/>
  <c r="BV138" i="171"/>
  <c r="BV132" i="171"/>
  <c r="BV102" i="171"/>
  <c r="BV78" i="171"/>
  <c r="BV84" i="171"/>
  <c r="BV126" i="171"/>
  <c r="BV26" i="171"/>
  <c r="BV162" i="171"/>
  <c r="BV150" i="171"/>
  <c r="BV144" i="171"/>
  <c r="BW8" i="171"/>
  <c r="BW11" i="171"/>
  <c r="BD110" i="171"/>
  <c r="BC86" i="171"/>
  <c r="BP86" i="171"/>
  <c r="BC92" i="171"/>
  <c r="BP27" i="171"/>
  <c r="BP98" i="171"/>
  <c r="BP116" i="171"/>
  <c r="BP146" i="171"/>
  <c r="BP104" i="171"/>
  <c r="BP164" i="171"/>
  <c r="BP110" i="171"/>
  <c r="BD87" i="171"/>
  <c r="CK87" i="171" s="1"/>
  <c r="CK132" i="171"/>
  <c r="BD27" i="171"/>
  <c r="BD32" i="171"/>
  <c r="BD44" i="171" s="1"/>
  <c r="BD45" i="171" s="1"/>
  <c r="BD35" i="171" s="1"/>
  <c r="BF33" i="171"/>
  <c r="BF44" i="171"/>
  <c r="BF42" i="171"/>
  <c r="BK42" i="171" s="1"/>
  <c r="BP42" i="171" s="1"/>
  <c r="BP152" i="171"/>
  <c r="DD84" i="171"/>
  <c r="DD86" i="171" s="1"/>
  <c r="BD122" i="171"/>
  <c r="BD117" i="171"/>
  <c r="DD132" i="171"/>
  <c r="BP128" i="171"/>
  <c r="CK114" i="171"/>
  <c r="CK116" i="171" s="1"/>
  <c r="CK120" i="171"/>
  <c r="CK122" i="171" s="1"/>
  <c r="BP74" i="171"/>
  <c r="BP92" i="171"/>
  <c r="BP80" i="171"/>
  <c r="BS8" i="171"/>
  <c r="BP194" i="171"/>
  <c r="BP198" i="171" s="1"/>
  <c r="BP153" i="171"/>
  <c r="BP75" i="171"/>
  <c r="BP277" i="171"/>
  <c r="BP167" i="171"/>
  <c r="BP171" i="171" s="1"/>
  <c r="BP262" i="171"/>
  <c r="BP141" i="171"/>
  <c r="BQ126" i="171"/>
  <c r="BQ129" i="171" s="1"/>
  <c r="BQ90" i="171"/>
  <c r="BQ93" i="171" s="1"/>
  <c r="BQ102" i="171"/>
  <c r="BQ12" i="171"/>
  <c r="BQ120" i="171"/>
  <c r="BQ138" i="171"/>
  <c r="BQ84" i="171"/>
  <c r="BQ87" i="171" s="1"/>
  <c r="BQ96" i="171"/>
  <c r="BQ99" i="171" s="1"/>
  <c r="BQ108" i="171"/>
  <c r="BQ111" i="171" s="1"/>
  <c r="BQ78" i="171"/>
  <c r="BQ81" i="171" s="1"/>
  <c r="BQ114" i="171"/>
  <c r="BQ117" i="171" s="1"/>
  <c r="BQ132" i="171"/>
  <c r="BQ135" i="171" s="1"/>
  <c r="BQ72" i="171"/>
  <c r="BQ26" i="171"/>
  <c r="BQ162" i="171"/>
  <c r="BQ144" i="171"/>
  <c r="BQ147" i="171" s="1"/>
  <c r="BQ150" i="171"/>
  <c r="BQ153" i="171" s="1"/>
  <c r="BR8" i="171"/>
  <c r="BR11" i="171"/>
  <c r="BP201" i="171"/>
  <c r="BP165" i="171"/>
  <c r="BP122" i="171"/>
  <c r="BP123" i="171"/>
  <c r="BP196" i="171"/>
  <c r="BP279" i="171"/>
  <c r="BP105" i="171"/>
  <c r="BP56" i="171"/>
  <c r="BG197" i="171"/>
  <c r="BL56" i="171"/>
  <c r="BC74" i="171"/>
  <c r="BC116" i="171"/>
  <c r="BC153" i="171"/>
  <c r="BC105" i="171"/>
  <c r="CK105" i="171" s="1"/>
  <c r="CK162" i="171"/>
  <c r="CK164" i="171" s="1"/>
  <c r="BC262" i="171"/>
  <c r="BC263" i="171" s="1"/>
  <c r="BD152" i="171"/>
  <c r="CK72" i="171"/>
  <c r="CK74" i="171" s="1"/>
  <c r="BD165" i="171"/>
  <c r="BD196" i="171"/>
  <c r="BD197" i="171" s="1"/>
  <c r="BC117" i="171"/>
  <c r="CK102" i="171"/>
  <c r="CK104" i="171" s="1"/>
  <c r="DD72" i="171"/>
  <c r="DD74" i="171" s="1"/>
  <c r="DD114" i="171"/>
  <c r="DD116" i="171" s="1"/>
  <c r="CK12" i="171"/>
  <c r="BC128" i="171"/>
  <c r="DD126" i="171"/>
  <c r="DD128" i="171" s="1"/>
  <c r="CK90" i="171"/>
  <c r="CK92" i="171" s="1"/>
  <c r="CK126" i="171"/>
  <c r="CK128" i="171" s="1"/>
  <c r="CK150" i="171"/>
  <c r="CK152" i="171" s="1"/>
  <c r="BD135" i="171"/>
  <c r="BD262" i="171"/>
  <c r="BD167" i="171"/>
  <c r="BD168" i="171" s="1"/>
  <c r="BD279" i="171"/>
  <c r="BD280" i="171" s="1"/>
  <c r="BD201" i="171"/>
  <c r="BD202" i="171" s="1"/>
  <c r="DE156" i="171"/>
  <c r="BI158" i="171"/>
  <c r="BD194" i="171"/>
  <c r="BD195" i="171" s="1"/>
  <c r="DD10" i="171"/>
  <c r="DD69" i="171" s="1"/>
  <c r="CK156" i="171"/>
  <c r="CL158" i="171" s="1"/>
  <c r="BD158" i="171"/>
  <c r="BD277" i="171"/>
  <c r="BD278" i="171" s="1"/>
  <c r="BD146" i="171"/>
  <c r="BC135" i="171"/>
  <c r="BC159" i="171"/>
  <c r="DD159" i="171" s="1"/>
  <c r="BC165" i="171"/>
  <c r="BC122" i="171"/>
  <c r="BC279" i="171"/>
  <c r="BC280" i="171" s="1"/>
  <c r="CK84" i="171"/>
  <c r="CK86" i="171" s="1"/>
  <c r="DD156" i="171"/>
  <c r="DD158" i="171" s="1"/>
  <c r="DD26" i="171"/>
  <c r="DD27" i="171" s="1"/>
  <c r="DD162" i="171"/>
  <c r="DD164" i="171" s="1"/>
  <c r="BC201" i="171"/>
  <c r="BC202" i="171" s="1"/>
  <c r="DD144" i="171"/>
  <c r="DD146" i="171" s="1"/>
  <c r="CK26" i="171"/>
  <c r="CK27" i="171" s="1"/>
  <c r="CK144" i="171"/>
  <c r="BC146" i="171"/>
  <c r="BC194" i="171"/>
  <c r="BC195" i="171" s="1"/>
  <c r="BC277" i="171"/>
  <c r="BC278" i="171" s="1"/>
  <c r="CK96" i="171"/>
  <c r="CM6" i="171"/>
  <c r="CM7" i="171" s="1"/>
  <c r="BC167" i="171"/>
  <c r="BC171" i="171" s="1"/>
  <c r="BC196" i="171"/>
  <c r="BC197" i="171" s="1"/>
  <c r="BC98" i="171"/>
  <c r="BD171" i="171"/>
  <c r="DD140" i="171"/>
  <c r="BG168" i="171"/>
  <c r="CK80" i="171"/>
  <c r="CK147" i="171"/>
  <c r="BH132" i="171"/>
  <c r="BH114" i="171"/>
  <c r="DE114" i="171" s="1"/>
  <c r="BH96" i="171"/>
  <c r="DE96" i="171" s="1"/>
  <c r="BH108" i="171"/>
  <c r="BH12" i="171"/>
  <c r="BH126" i="171"/>
  <c r="DE126" i="171" s="1"/>
  <c r="BH120" i="171"/>
  <c r="DE120" i="171" s="1"/>
  <c r="BH84" i="171"/>
  <c r="BH90" i="171"/>
  <c r="BH78" i="171"/>
  <c r="BH144" i="171"/>
  <c r="DE144" i="171" s="1"/>
  <c r="BH150" i="171"/>
  <c r="DE150" i="171" s="1"/>
  <c r="BH102" i="171"/>
  <c r="BH138" i="171"/>
  <c r="DE138" i="171" s="1"/>
  <c r="DE11" i="171"/>
  <c r="BH162" i="171"/>
  <c r="BH72" i="171"/>
  <c r="DE72" i="171" s="1"/>
  <c r="BH26" i="171"/>
  <c r="BF146" i="171"/>
  <c r="BF147" i="171"/>
  <c r="CL11" i="171"/>
  <c r="BF122" i="171"/>
  <c r="BF123" i="171"/>
  <c r="DD123" i="171" s="1"/>
  <c r="BF81" i="171"/>
  <c r="DD81" i="171" s="1"/>
  <c r="BF80" i="171"/>
  <c r="DD120" i="171"/>
  <c r="CK110" i="171"/>
  <c r="CK140" i="171"/>
  <c r="CK153" i="171"/>
  <c r="BG171" i="171"/>
  <c r="BN8" i="171"/>
  <c r="BN56" i="171"/>
  <c r="BN11" i="171"/>
  <c r="BK27" i="171"/>
  <c r="BK32" i="171"/>
  <c r="BK44" i="171" s="1"/>
  <c r="BK141" i="171"/>
  <c r="BK140" i="171"/>
  <c r="BK262" i="171"/>
  <c r="BK153" i="171"/>
  <c r="BK152" i="171"/>
  <c r="BK87" i="171"/>
  <c r="BK86" i="171"/>
  <c r="BK134" i="171"/>
  <c r="BK135" i="171"/>
  <c r="DD80" i="171"/>
  <c r="CK134" i="171"/>
  <c r="BF27" i="171"/>
  <c r="BF164" i="171"/>
  <c r="BF201" i="171"/>
  <c r="BF202" i="171" s="1"/>
  <c r="BF165" i="171"/>
  <c r="BF104" i="171"/>
  <c r="BF279" i="171"/>
  <c r="BF280" i="171" s="1"/>
  <c r="BF105" i="171"/>
  <c r="DD105" i="171" s="1"/>
  <c r="BF196" i="171"/>
  <c r="BF86" i="171"/>
  <c r="BF87" i="171"/>
  <c r="BF98" i="171"/>
  <c r="BF99" i="171"/>
  <c r="DD99" i="171" s="1"/>
  <c r="DD90" i="171"/>
  <c r="CK99" i="171"/>
  <c r="BK164" i="171"/>
  <c r="BK165" i="171"/>
  <c r="BK201" i="171"/>
  <c r="BK110" i="171"/>
  <c r="BK111" i="171"/>
  <c r="BK99" i="171"/>
  <c r="BK98" i="171"/>
  <c r="BG169" i="171"/>
  <c r="BF74" i="171"/>
  <c r="BF277" i="171"/>
  <c r="BF278" i="171" s="1"/>
  <c r="BF167" i="171"/>
  <c r="BF194" i="171"/>
  <c r="BF75" i="171"/>
  <c r="DD75" i="171" s="1"/>
  <c r="BF116" i="171"/>
  <c r="BF117" i="171"/>
  <c r="BF152" i="171"/>
  <c r="BF153" i="171"/>
  <c r="BF128" i="171"/>
  <c r="BF129" i="171"/>
  <c r="DD129" i="171" s="1"/>
  <c r="CK123" i="171"/>
  <c r="CK111" i="171"/>
  <c r="DD96" i="171"/>
  <c r="DD150" i="171"/>
  <c r="BK74" i="171"/>
  <c r="BK277" i="171"/>
  <c r="BK194" i="171"/>
  <c r="BK167" i="171"/>
  <c r="BK75" i="171"/>
  <c r="BK92" i="171"/>
  <c r="BK93" i="171"/>
  <c r="BK128" i="171"/>
  <c r="BK129" i="171"/>
  <c r="BK146" i="171"/>
  <c r="BK147" i="171"/>
  <c r="BG195" i="171"/>
  <c r="BG198" i="171"/>
  <c r="CK81" i="171"/>
  <c r="DD134" i="171"/>
  <c r="BM56" i="171"/>
  <c r="BM8" i="171"/>
  <c r="BM11" i="171"/>
  <c r="BF110" i="171"/>
  <c r="BF111" i="171"/>
  <c r="BF92" i="171"/>
  <c r="BF93" i="171"/>
  <c r="DD93" i="171" s="1"/>
  <c r="BF140" i="171"/>
  <c r="BF141" i="171"/>
  <c r="DD141" i="171" s="1"/>
  <c r="BF262" i="171"/>
  <c r="BF135" i="171"/>
  <c r="BF134" i="171"/>
  <c r="CK75" i="171"/>
  <c r="BK56" i="171"/>
  <c r="DD108" i="171"/>
  <c r="CK141" i="171"/>
  <c r="DD102" i="171"/>
  <c r="BL12" i="171"/>
  <c r="BL90" i="171"/>
  <c r="BL84" i="171"/>
  <c r="BL108" i="171"/>
  <c r="BL78" i="171"/>
  <c r="BL96" i="171"/>
  <c r="BL132" i="171"/>
  <c r="BQ134" i="171" s="1"/>
  <c r="BL114" i="171"/>
  <c r="BQ116" i="171" s="1"/>
  <c r="BL120" i="171"/>
  <c r="BL126" i="171"/>
  <c r="BL150" i="171"/>
  <c r="BL144" i="171"/>
  <c r="BL138" i="171"/>
  <c r="BL162" i="171"/>
  <c r="BL102" i="171"/>
  <c r="BL26" i="171"/>
  <c r="BL72" i="171"/>
  <c r="CK93" i="171"/>
  <c r="BZ338" i="175"/>
  <c r="CK129" i="171"/>
  <c r="BI96" i="171"/>
  <c r="BI12" i="171"/>
  <c r="BI144" i="171"/>
  <c r="BI126" i="171"/>
  <c r="BI108" i="171"/>
  <c r="BI78" i="171"/>
  <c r="BI114" i="171"/>
  <c r="BI90" i="171"/>
  <c r="BI132" i="171"/>
  <c r="BI84" i="171"/>
  <c r="BI150" i="171"/>
  <c r="BI120" i="171"/>
  <c r="BI102" i="171"/>
  <c r="BI138" i="171"/>
  <c r="BI162" i="171"/>
  <c r="BI26" i="171"/>
  <c r="BI72" i="171"/>
  <c r="BK104" i="171"/>
  <c r="BK105" i="171"/>
  <c r="BK196" i="171"/>
  <c r="BK197" i="171" s="1"/>
  <c r="BK279" i="171"/>
  <c r="BK123" i="171"/>
  <c r="BK122" i="171"/>
  <c r="BK117" i="171"/>
  <c r="BK116" i="171"/>
  <c r="BK81" i="171"/>
  <c r="BK80" i="171"/>
  <c r="BQ104" i="171" l="1"/>
  <c r="BQ86" i="171"/>
  <c r="BP38" i="171"/>
  <c r="BU42" i="171"/>
  <c r="BQ27" i="171"/>
  <c r="BV134" i="171"/>
  <c r="BV135" i="171"/>
  <c r="BV123" i="171"/>
  <c r="BV122" i="171"/>
  <c r="BX96" i="171"/>
  <c r="BX72" i="171"/>
  <c r="BX102" i="171"/>
  <c r="BX138" i="171"/>
  <c r="BX132" i="171"/>
  <c r="BX90" i="171"/>
  <c r="BX114" i="171"/>
  <c r="BX84" i="171"/>
  <c r="BX120" i="171"/>
  <c r="BX78" i="171"/>
  <c r="BX108" i="171"/>
  <c r="BX126" i="171"/>
  <c r="BX162" i="171"/>
  <c r="BX26" i="171"/>
  <c r="BX150" i="171"/>
  <c r="BX144" i="171"/>
  <c r="BQ146" i="171"/>
  <c r="BQ56" i="171"/>
  <c r="BS11" i="171"/>
  <c r="BX12" i="171" s="1"/>
  <c r="BX56" i="171"/>
  <c r="BW56" i="171"/>
  <c r="BV27" i="171"/>
  <c r="BV105" i="171"/>
  <c r="BV104" i="171"/>
  <c r="BV279" i="171"/>
  <c r="BV196" i="171"/>
  <c r="BV93" i="171"/>
  <c r="BV92" i="171"/>
  <c r="BV99" i="171"/>
  <c r="BV98" i="171"/>
  <c r="BU278" i="171"/>
  <c r="BV201" i="171"/>
  <c r="BV146" i="171"/>
  <c r="BV147" i="171"/>
  <c r="BV116" i="171"/>
  <c r="BV117" i="171"/>
  <c r="BQ98" i="171"/>
  <c r="BS56" i="171"/>
  <c r="BV56" i="171"/>
  <c r="BV153" i="171"/>
  <c r="BV152" i="171"/>
  <c r="BV87" i="171"/>
  <c r="BV86" i="171"/>
  <c r="BV141" i="171"/>
  <c r="BV262" i="171"/>
  <c r="BV140" i="171"/>
  <c r="BV110" i="171"/>
  <c r="BV111" i="171"/>
  <c r="BU195" i="171"/>
  <c r="BU198" i="171"/>
  <c r="BU280" i="171"/>
  <c r="BU197" i="171"/>
  <c r="BU169" i="171"/>
  <c r="BU44" i="171"/>
  <c r="BU38" i="171"/>
  <c r="BU33" i="171"/>
  <c r="BV129" i="171"/>
  <c r="BV128" i="171"/>
  <c r="BR56" i="171"/>
  <c r="BX8" i="171"/>
  <c r="BU56" i="171"/>
  <c r="BV165" i="171"/>
  <c r="BV164" i="171"/>
  <c r="BV80" i="171"/>
  <c r="BV81" i="171"/>
  <c r="BV74" i="171"/>
  <c r="BV75" i="171"/>
  <c r="BV167" i="171"/>
  <c r="BV277" i="171"/>
  <c r="BV194" i="171"/>
  <c r="BU168" i="171"/>
  <c r="BU202" i="171"/>
  <c r="BW108" i="171"/>
  <c r="BW96" i="171"/>
  <c r="BW72" i="171"/>
  <c r="BW138" i="171"/>
  <c r="BW132" i="171"/>
  <c r="BW90" i="171"/>
  <c r="BW114" i="171"/>
  <c r="BW78" i="171"/>
  <c r="BW102" i="171"/>
  <c r="BW84" i="171"/>
  <c r="BW12" i="171"/>
  <c r="BW120" i="171"/>
  <c r="BW126" i="171"/>
  <c r="BW26" i="171"/>
  <c r="BW162" i="171"/>
  <c r="BW144" i="171"/>
  <c r="BW150" i="171"/>
  <c r="DD87" i="171"/>
  <c r="BQ164" i="171"/>
  <c r="BQ128" i="171"/>
  <c r="BP280" i="171"/>
  <c r="BQ140" i="171"/>
  <c r="BQ80" i="171"/>
  <c r="BP195" i="171"/>
  <c r="BQ92" i="171"/>
  <c r="BF45" i="171"/>
  <c r="BF35" i="171" s="1"/>
  <c r="BF40" i="171" s="1"/>
  <c r="BF41" i="171" s="1"/>
  <c r="BD263" i="171"/>
  <c r="CK117" i="171"/>
  <c r="BQ152" i="171"/>
  <c r="CK135" i="171"/>
  <c r="BQ74" i="171"/>
  <c r="DD117" i="171"/>
  <c r="BP202" i="171"/>
  <c r="BQ110" i="171"/>
  <c r="BP278" i="171"/>
  <c r="DE128" i="171"/>
  <c r="BP33" i="171"/>
  <c r="BQ75" i="171"/>
  <c r="BQ194" i="171"/>
  <c r="BQ167" i="171"/>
  <c r="BQ171" i="171" s="1"/>
  <c r="BQ277" i="171"/>
  <c r="BQ122" i="171"/>
  <c r="BQ123" i="171"/>
  <c r="BR132" i="171"/>
  <c r="BR135" i="171" s="1"/>
  <c r="BR102" i="171"/>
  <c r="BR78" i="171"/>
  <c r="BR81" i="171" s="1"/>
  <c r="BR120" i="171"/>
  <c r="BR96" i="171"/>
  <c r="BR99" i="171" s="1"/>
  <c r="BR72" i="171"/>
  <c r="BR126" i="171"/>
  <c r="BR129" i="171" s="1"/>
  <c r="BR114" i="171"/>
  <c r="BR117" i="171" s="1"/>
  <c r="BR90" i="171"/>
  <c r="BR93" i="171" s="1"/>
  <c r="BR12" i="171"/>
  <c r="BR138" i="171"/>
  <c r="BR108" i="171"/>
  <c r="BR111" i="171" s="1"/>
  <c r="BR84" i="171"/>
  <c r="BR87" i="171" s="1"/>
  <c r="BR26" i="171"/>
  <c r="BR32" i="171" s="1"/>
  <c r="BR44" i="171" s="1"/>
  <c r="BR162" i="171"/>
  <c r="BR150" i="171"/>
  <c r="BR153" i="171" s="1"/>
  <c r="BR144" i="171"/>
  <c r="BR147" i="171" s="1"/>
  <c r="BS114" i="171"/>
  <c r="BS117" i="171" s="1"/>
  <c r="BS84" i="171"/>
  <c r="BS87" i="171" s="1"/>
  <c r="BS132" i="171"/>
  <c r="BS135" i="171" s="1"/>
  <c r="BS90" i="171"/>
  <c r="BS93" i="171" s="1"/>
  <c r="BS78" i="171"/>
  <c r="BS81" i="171" s="1"/>
  <c r="BS102" i="171"/>
  <c r="BS138" i="171"/>
  <c r="BS72" i="171"/>
  <c r="BS120" i="171"/>
  <c r="BS108" i="171"/>
  <c r="BS111" i="171" s="1"/>
  <c r="BS12" i="171"/>
  <c r="BS96" i="171"/>
  <c r="BS99" i="171" s="1"/>
  <c r="BS126" i="171"/>
  <c r="BS129" i="171" s="1"/>
  <c r="BS26" i="171"/>
  <c r="BS162" i="171"/>
  <c r="BS150" i="171"/>
  <c r="BS153" i="171" s="1"/>
  <c r="BS144" i="171"/>
  <c r="BS147" i="171" s="1"/>
  <c r="BQ201" i="171"/>
  <c r="BQ165" i="171"/>
  <c r="BQ279" i="171"/>
  <c r="BQ196" i="171"/>
  <c r="BQ197" i="171" s="1"/>
  <c r="BQ105" i="171"/>
  <c r="BP169" i="171"/>
  <c r="BQ262" i="171"/>
  <c r="BQ141" i="171"/>
  <c r="BG199" i="171"/>
  <c r="BK171" i="171"/>
  <c r="BP168" i="171"/>
  <c r="BF197" i="171"/>
  <c r="BP197" i="171"/>
  <c r="BD169" i="171"/>
  <c r="CL150" i="171"/>
  <c r="CL152" i="171" s="1"/>
  <c r="CK159" i="171"/>
  <c r="CK165" i="171"/>
  <c r="CL120" i="171"/>
  <c r="CL122" i="171" s="1"/>
  <c r="BD198" i="171"/>
  <c r="BD199" i="171" s="1"/>
  <c r="CK194" i="171"/>
  <c r="CK198" i="171" s="1"/>
  <c r="CK199" i="171" s="1"/>
  <c r="CL114" i="171"/>
  <c r="BK278" i="171"/>
  <c r="DD165" i="171"/>
  <c r="BK280" i="171"/>
  <c r="CK158" i="171"/>
  <c r="CK196" i="171"/>
  <c r="CK197" i="171" s="1"/>
  <c r="CM11" i="171"/>
  <c r="CM10" i="171" s="1"/>
  <c r="CM69" i="171" s="1"/>
  <c r="CK279" i="171"/>
  <c r="CK280" i="171" s="1"/>
  <c r="DE158" i="171"/>
  <c r="DD201" i="171"/>
  <c r="DD202" i="171" s="1"/>
  <c r="DE146" i="171"/>
  <c r="CK98" i="171"/>
  <c r="BC169" i="171"/>
  <c r="BC170" i="171" s="1"/>
  <c r="BF263" i="171"/>
  <c r="BG263" i="171" s="1"/>
  <c r="BK202" i="171"/>
  <c r="CK277" i="171"/>
  <c r="CK278" i="171" s="1"/>
  <c r="CK167" i="171"/>
  <c r="CK157" i="171" s="1"/>
  <c r="BC198" i="171"/>
  <c r="BC199" i="171" s="1"/>
  <c r="BB107" i="175"/>
  <c r="BB32" i="175" s="1"/>
  <c r="BK168" i="171"/>
  <c r="CK201" i="171"/>
  <c r="CK202" i="171" s="1"/>
  <c r="CK146" i="171"/>
  <c r="BC168" i="171"/>
  <c r="DD167" i="171"/>
  <c r="DD157" i="171" s="1"/>
  <c r="DD277" i="171"/>
  <c r="DD288" i="171" s="1"/>
  <c r="CL144" i="171"/>
  <c r="CL146" i="171" s="1"/>
  <c r="CL116" i="171"/>
  <c r="BI140" i="171"/>
  <c r="BI141" i="171"/>
  <c r="BI262" i="171"/>
  <c r="BI87" i="171"/>
  <c r="BI86" i="171"/>
  <c r="BI81" i="171"/>
  <c r="BI80" i="171"/>
  <c r="BL27" i="171"/>
  <c r="BL122" i="171"/>
  <c r="BL123" i="171"/>
  <c r="BL81" i="171"/>
  <c r="BL80" i="171"/>
  <c r="BK195" i="171"/>
  <c r="BK198" i="171"/>
  <c r="BK199" i="171" s="1"/>
  <c r="BF195" i="171"/>
  <c r="BF198" i="171"/>
  <c r="CL84" i="171"/>
  <c r="DD153" i="171"/>
  <c r="DE116" i="171"/>
  <c r="CL12" i="171"/>
  <c r="CL10" i="171"/>
  <c r="CL69" i="171" s="1"/>
  <c r="BH27" i="171"/>
  <c r="DE26" i="171"/>
  <c r="DE27" i="171" s="1"/>
  <c r="BH32" i="171"/>
  <c r="BH42" i="171" s="1"/>
  <c r="BM42" i="171" s="1"/>
  <c r="BR42" i="171" s="1"/>
  <c r="BW42" i="171" s="1"/>
  <c r="BH140" i="171"/>
  <c r="BH141" i="171"/>
  <c r="BH262" i="171"/>
  <c r="CM138" i="171"/>
  <c r="BH80" i="171"/>
  <c r="BH81" i="171"/>
  <c r="CM78" i="171"/>
  <c r="DE78" i="171"/>
  <c r="BH123" i="171"/>
  <c r="DE123" i="171" s="1"/>
  <c r="BH122" i="171"/>
  <c r="CM120" i="171"/>
  <c r="BH99" i="171"/>
  <c r="BH98" i="171"/>
  <c r="CM96" i="171"/>
  <c r="BI74" i="171"/>
  <c r="BI194" i="171"/>
  <c r="BI167" i="171"/>
  <c r="BI168" i="171" s="1"/>
  <c r="BI277" i="171"/>
  <c r="BI278" i="171" s="1"/>
  <c r="BI75" i="171"/>
  <c r="BI104" i="171"/>
  <c r="BI105" i="171"/>
  <c r="BI279" i="171"/>
  <c r="BI280" i="171" s="1"/>
  <c r="BI196" i="171"/>
  <c r="BI134" i="171"/>
  <c r="BI135" i="171"/>
  <c r="BI111" i="171"/>
  <c r="BI110" i="171"/>
  <c r="BL104" i="171"/>
  <c r="BL105" i="171"/>
  <c r="BL196" i="171"/>
  <c r="BL197" i="171" s="1"/>
  <c r="BL279" i="171"/>
  <c r="BL147" i="171"/>
  <c r="BL146" i="171"/>
  <c r="BL117" i="171"/>
  <c r="BL116" i="171"/>
  <c r="BL110" i="171"/>
  <c r="BL111" i="171"/>
  <c r="DD152" i="171"/>
  <c r="DE152" i="171"/>
  <c r="BF168" i="171"/>
  <c r="DE140" i="171"/>
  <c r="DD92" i="171"/>
  <c r="DE122" i="171"/>
  <c r="CL102" i="171"/>
  <c r="BN84" i="171"/>
  <c r="BN108" i="171"/>
  <c r="BN132" i="171"/>
  <c r="BN90" i="171"/>
  <c r="BN126" i="171"/>
  <c r="BN12" i="171"/>
  <c r="BN96" i="171"/>
  <c r="BN78" i="171"/>
  <c r="BN114" i="171"/>
  <c r="BN150" i="171"/>
  <c r="BN144" i="171"/>
  <c r="BS146" i="171" s="1"/>
  <c r="BN120" i="171"/>
  <c r="BN138" i="171"/>
  <c r="BN102" i="171"/>
  <c r="BN162" i="171"/>
  <c r="BN26" i="171"/>
  <c r="BS27" i="171" s="1"/>
  <c r="BN72" i="171"/>
  <c r="DD122" i="171"/>
  <c r="CK195" i="171"/>
  <c r="BH74" i="171"/>
  <c r="BH277" i="171"/>
  <c r="BH278" i="171" s="1"/>
  <c r="BH75" i="171"/>
  <c r="DE75" i="171" s="1"/>
  <c r="BH167" i="171"/>
  <c r="BH171" i="171" s="1"/>
  <c r="BH194" i="171"/>
  <c r="CM72" i="171"/>
  <c r="BH104" i="171"/>
  <c r="BH105" i="171"/>
  <c r="BH196" i="171"/>
  <c r="BH279" i="171"/>
  <c r="BH280" i="171" s="1"/>
  <c r="CM102" i="171"/>
  <c r="DE102" i="171"/>
  <c r="BH93" i="171"/>
  <c r="BH92" i="171"/>
  <c r="CM90" i="171"/>
  <c r="BH128" i="171"/>
  <c r="BH129" i="171"/>
  <c r="DE129" i="171" s="1"/>
  <c r="CM126" i="171"/>
  <c r="BH116" i="171"/>
  <c r="BH117" i="171"/>
  <c r="CM114" i="171"/>
  <c r="DD147" i="171"/>
  <c r="DE90" i="171"/>
  <c r="BI27" i="171"/>
  <c r="BI123" i="171"/>
  <c r="BI122" i="171"/>
  <c r="BI93" i="171"/>
  <c r="BI92" i="171"/>
  <c r="BI129" i="171"/>
  <c r="BI128" i="171"/>
  <c r="BI98" i="171"/>
  <c r="BI99" i="171"/>
  <c r="BL165" i="171"/>
  <c r="BL164" i="171"/>
  <c r="BL201" i="171"/>
  <c r="BL152" i="171"/>
  <c r="BL153" i="171"/>
  <c r="BL135" i="171"/>
  <c r="BL134" i="171"/>
  <c r="BL87" i="171"/>
  <c r="BL86" i="171"/>
  <c r="DD110" i="171"/>
  <c r="CL132" i="171"/>
  <c r="CL138" i="171"/>
  <c r="CL90" i="171"/>
  <c r="CL108" i="171"/>
  <c r="BK169" i="171"/>
  <c r="DD98" i="171"/>
  <c r="DE74" i="171"/>
  <c r="CL126" i="171"/>
  <c r="BF169" i="171"/>
  <c r="CL96" i="171"/>
  <c r="BK33" i="171"/>
  <c r="BK38" i="171"/>
  <c r="BD170" i="171"/>
  <c r="BD172" i="171"/>
  <c r="BD187" i="171"/>
  <c r="CL78" i="171"/>
  <c r="BH165" i="171"/>
  <c r="BH164" i="171"/>
  <c r="BH201" i="171"/>
  <c r="BH202" i="171" s="1"/>
  <c r="CM162" i="171"/>
  <c r="BH153" i="171"/>
  <c r="BH152" i="171"/>
  <c r="CM150" i="171"/>
  <c r="BH134" i="171"/>
  <c r="BH135" i="171"/>
  <c r="CM132" i="171"/>
  <c r="DE132" i="171"/>
  <c r="BI164" i="171"/>
  <c r="BI165" i="171"/>
  <c r="BI201" i="171"/>
  <c r="BI202" i="171" s="1"/>
  <c r="BI153" i="171"/>
  <c r="BI152" i="171"/>
  <c r="BI117" i="171"/>
  <c r="BI116" i="171"/>
  <c r="BI146" i="171"/>
  <c r="BI147" i="171"/>
  <c r="BL74" i="171"/>
  <c r="BL167" i="171"/>
  <c r="BL277" i="171"/>
  <c r="BL194" i="171"/>
  <c r="BL75" i="171"/>
  <c r="BL140" i="171"/>
  <c r="BL141" i="171"/>
  <c r="BL262" i="171"/>
  <c r="BL128" i="171"/>
  <c r="BL129" i="171"/>
  <c r="BL99" i="171"/>
  <c r="BL98" i="171"/>
  <c r="BL92" i="171"/>
  <c r="BL93" i="171"/>
  <c r="DD104" i="171"/>
  <c r="DD196" i="171"/>
  <c r="DD279" i="171"/>
  <c r="BM108" i="171"/>
  <c r="BM120" i="171"/>
  <c r="BM12" i="171"/>
  <c r="BM114" i="171"/>
  <c r="BM84" i="171"/>
  <c r="BM96" i="171"/>
  <c r="BM132" i="171"/>
  <c r="BM90" i="171"/>
  <c r="BM78" i="171"/>
  <c r="BM150" i="171"/>
  <c r="BM126" i="171"/>
  <c r="BM144" i="171"/>
  <c r="BM162" i="171"/>
  <c r="BM138" i="171"/>
  <c r="BR140" i="171" s="1"/>
  <c r="BM102" i="171"/>
  <c r="BM26" i="171"/>
  <c r="BM72" i="171"/>
  <c r="BR74" i="171" s="1"/>
  <c r="DE98" i="171"/>
  <c r="DD111" i="171"/>
  <c r="CL72" i="171"/>
  <c r="BG170" i="171"/>
  <c r="BG172" i="171"/>
  <c r="BG187" i="171"/>
  <c r="BF171" i="171"/>
  <c r="CL162" i="171"/>
  <c r="CL26" i="171"/>
  <c r="DE12" i="171"/>
  <c r="DE10" i="171"/>
  <c r="DE69" i="171" s="1"/>
  <c r="BH146" i="171"/>
  <c r="BH147" i="171"/>
  <c r="CM144" i="171"/>
  <c r="BH86" i="171"/>
  <c r="BH87" i="171"/>
  <c r="DE84" i="171"/>
  <c r="CM84" i="171"/>
  <c r="BH110" i="171"/>
  <c r="BH111" i="171"/>
  <c r="CM108" i="171"/>
  <c r="DE108" i="171"/>
  <c r="DD135" i="171"/>
  <c r="DD194" i="171"/>
  <c r="DE162" i="171"/>
  <c r="BP39" i="171" l="1"/>
  <c r="BU39" i="171"/>
  <c r="BV280" i="171"/>
  <c r="BP170" i="171"/>
  <c r="BR152" i="171"/>
  <c r="BV168" i="171"/>
  <c r="BV169" i="171"/>
  <c r="BS164" i="171"/>
  <c r="BS134" i="171"/>
  <c r="BV202" i="171"/>
  <c r="BX27" i="171"/>
  <c r="BX80" i="171"/>
  <c r="BX81" i="171"/>
  <c r="BS86" i="171"/>
  <c r="BV278" i="171"/>
  <c r="BU187" i="171"/>
  <c r="BU172" i="171"/>
  <c r="BU170" i="171"/>
  <c r="BV197" i="171"/>
  <c r="BX167" i="171"/>
  <c r="BX153" i="171"/>
  <c r="BX152" i="171"/>
  <c r="BX111" i="171"/>
  <c r="BX110" i="171"/>
  <c r="BX117" i="171"/>
  <c r="BX116" i="171"/>
  <c r="BX105" i="171"/>
  <c r="BX104" i="171"/>
  <c r="BX279" i="171"/>
  <c r="BX196" i="171"/>
  <c r="BX165" i="171"/>
  <c r="BX164" i="171"/>
  <c r="BX201" i="171"/>
  <c r="BX123" i="171"/>
  <c r="BX122" i="171"/>
  <c r="BX134" i="171"/>
  <c r="BX135" i="171"/>
  <c r="BX75" i="171"/>
  <c r="BX74" i="171"/>
  <c r="BX277" i="171"/>
  <c r="BX194" i="171"/>
  <c r="BV172" i="171"/>
  <c r="BV187" i="171"/>
  <c r="BX92" i="171"/>
  <c r="BX93" i="171"/>
  <c r="BS104" i="171"/>
  <c r="BS110" i="171"/>
  <c r="BV195" i="171"/>
  <c r="BV198" i="171"/>
  <c r="BU199" i="171"/>
  <c r="BV171" i="171"/>
  <c r="BX147" i="171"/>
  <c r="BX146" i="171"/>
  <c r="BX128" i="171"/>
  <c r="BX129" i="171"/>
  <c r="BX87" i="171"/>
  <c r="BX86" i="171"/>
  <c r="BX141" i="171"/>
  <c r="BX140" i="171"/>
  <c r="BX262" i="171"/>
  <c r="BX99" i="171"/>
  <c r="BX98" i="171"/>
  <c r="BW147" i="171"/>
  <c r="BW146" i="171"/>
  <c r="BW122" i="171"/>
  <c r="BW123" i="171"/>
  <c r="BR80" i="171"/>
  <c r="BW164" i="171"/>
  <c r="BW165" i="171"/>
  <c r="BW201" i="171"/>
  <c r="BW117" i="171"/>
  <c r="BW116" i="171"/>
  <c r="BW75" i="171"/>
  <c r="BW74" i="171"/>
  <c r="BW277" i="171"/>
  <c r="BW194" i="171"/>
  <c r="BW167" i="171"/>
  <c r="BW81" i="171"/>
  <c r="BW80" i="171"/>
  <c r="BR164" i="171"/>
  <c r="BW32" i="171"/>
  <c r="BW27" i="171"/>
  <c r="BW87" i="171"/>
  <c r="BW86" i="171"/>
  <c r="BW93" i="171"/>
  <c r="BW92" i="171"/>
  <c r="BW98" i="171"/>
  <c r="BW99" i="171"/>
  <c r="BW140" i="171"/>
  <c r="BW141" i="171"/>
  <c r="BW262" i="171"/>
  <c r="BR128" i="171"/>
  <c r="BW152" i="171"/>
  <c r="BW153" i="171"/>
  <c r="BW128" i="171"/>
  <c r="BW129" i="171"/>
  <c r="BW105" i="171"/>
  <c r="BW104" i="171"/>
  <c r="BW196" i="171"/>
  <c r="BW279" i="171"/>
  <c r="BW171" i="171"/>
  <c r="BW134" i="171"/>
  <c r="BW135" i="171"/>
  <c r="BW110" i="171"/>
  <c r="BW111" i="171"/>
  <c r="BH44" i="171"/>
  <c r="BS80" i="171"/>
  <c r="BR27" i="171"/>
  <c r="BR104" i="171"/>
  <c r="BS116" i="171"/>
  <c r="BS128" i="171"/>
  <c r="BF36" i="171"/>
  <c r="BE107" i="189"/>
  <c r="BR134" i="171"/>
  <c r="BS98" i="171"/>
  <c r="BR98" i="171"/>
  <c r="BS152" i="171"/>
  <c r="BR86" i="171"/>
  <c r="BR110" i="171"/>
  <c r="BS74" i="171"/>
  <c r="BS140" i="171"/>
  <c r="BR146" i="171"/>
  <c r="BR92" i="171"/>
  <c r="BR116" i="171"/>
  <c r="BS92" i="171"/>
  <c r="BS122" i="171"/>
  <c r="BS123" i="171"/>
  <c r="BR38" i="171"/>
  <c r="BR75" i="171"/>
  <c r="BR167" i="171"/>
  <c r="BR171" i="171" s="1"/>
  <c r="BR194" i="171"/>
  <c r="BR198" i="171" s="1"/>
  <c r="BR277" i="171"/>
  <c r="BR196" i="171"/>
  <c r="BR197" i="171" s="1"/>
  <c r="BR279" i="171"/>
  <c r="BR105" i="171"/>
  <c r="BP172" i="171"/>
  <c r="BP187" i="171"/>
  <c r="BS75" i="171"/>
  <c r="BS167" i="171"/>
  <c r="BS171" i="171" s="1"/>
  <c r="BS194" i="171"/>
  <c r="BS198" i="171" s="1"/>
  <c r="BS277" i="171"/>
  <c r="BS201" i="171"/>
  <c r="BS165" i="171"/>
  <c r="BS262" i="171"/>
  <c r="BS141" i="171"/>
  <c r="BR123" i="171"/>
  <c r="BR122" i="171"/>
  <c r="BQ198" i="171"/>
  <c r="BQ199" i="171" s="1"/>
  <c r="BQ195" i="171"/>
  <c r="BS196" i="171"/>
  <c r="BS197" i="171" s="1"/>
  <c r="BS279" i="171"/>
  <c r="BS105" i="171"/>
  <c r="BR201" i="171"/>
  <c r="BR165" i="171"/>
  <c r="BR262" i="171"/>
  <c r="BR141" i="171"/>
  <c r="BQ169" i="171"/>
  <c r="BV170" i="171" s="1"/>
  <c r="BF199" i="171"/>
  <c r="BP199" i="171"/>
  <c r="BL278" i="171"/>
  <c r="BQ278" i="171"/>
  <c r="BL202" i="171"/>
  <c r="BQ202" i="171"/>
  <c r="BL280" i="171"/>
  <c r="BQ280" i="171"/>
  <c r="BI197" i="171"/>
  <c r="BL168" i="171"/>
  <c r="BQ168" i="171"/>
  <c r="BH197" i="171"/>
  <c r="BC187" i="171"/>
  <c r="BC188" i="171" s="1"/>
  <c r="CL141" i="171"/>
  <c r="CM12" i="171"/>
  <c r="CK169" i="171"/>
  <c r="CK170" i="171" s="1"/>
  <c r="BC172" i="171"/>
  <c r="CL117" i="171"/>
  <c r="CK171" i="171"/>
  <c r="BH263" i="171"/>
  <c r="BI263" i="171" s="1"/>
  <c r="BK263" i="171" s="1"/>
  <c r="BL263" i="171" s="1"/>
  <c r="CM105" i="171"/>
  <c r="BB108" i="175"/>
  <c r="CL135" i="171"/>
  <c r="CL75" i="171"/>
  <c r="DD278" i="171"/>
  <c r="CM111" i="171"/>
  <c r="CL87" i="171"/>
  <c r="CK73" i="171"/>
  <c r="CK151" i="171"/>
  <c r="CK133" i="171"/>
  <c r="CK103" i="171"/>
  <c r="CK145" i="171"/>
  <c r="CK115" i="171"/>
  <c r="CK163" i="171"/>
  <c r="CK168" i="171"/>
  <c r="CK139" i="171"/>
  <c r="CK91" i="171"/>
  <c r="CK127" i="171"/>
  <c r="CK79" i="171"/>
  <c r="CK109" i="171"/>
  <c r="CK121" i="171"/>
  <c r="CK85" i="171"/>
  <c r="CK97" i="171"/>
  <c r="CL81" i="171"/>
  <c r="CM141" i="171"/>
  <c r="CL99" i="171"/>
  <c r="CL167" i="171"/>
  <c r="CL121" i="171" s="1"/>
  <c r="DD97" i="171"/>
  <c r="DD103" i="171"/>
  <c r="DD109" i="171"/>
  <c r="DD145" i="171"/>
  <c r="DD85" i="171"/>
  <c r="DD171" i="171"/>
  <c r="DD121" i="171"/>
  <c r="DD139" i="171"/>
  <c r="CL123" i="171"/>
  <c r="DD133" i="171"/>
  <c r="DD79" i="171"/>
  <c r="DD73" i="171"/>
  <c r="DD163" i="171"/>
  <c r="DD127" i="171"/>
  <c r="DD168" i="171"/>
  <c r="DD91" i="171"/>
  <c r="DD151" i="171"/>
  <c r="DD115" i="171"/>
  <c r="DD169" i="171"/>
  <c r="DD172" i="171" s="1"/>
  <c r="DD173" i="171" s="1"/>
  <c r="CL153" i="171"/>
  <c r="BI171" i="171"/>
  <c r="BG173" i="171"/>
  <c r="BM104" i="171"/>
  <c r="BM105" i="171"/>
  <c r="BM196" i="171"/>
  <c r="BM197" i="171" s="1"/>
  <c r="BM279" i="171"/>
  <c r="BM129" i="171"/>
  <c r="BM128" i="171"/>
  <c r="BM117" i="171"/>
  <c r="BM116" i="171"/>
  <c r="DD197" i="171"/>
  <c r="DD272" i="171"/>
  <c r="DD273" i="171" s="1"/>
  <c r="DE134" i="171"/>
  <c r="CM80" i="171"/>
  <c r="CL80" i="171"/>
  <c r="BD173" i="171"/>
  <c r="CM140" i="171"/>
  <c r="CL140" i="171"/>
  <c r="CM129" i="171"/>
  <c r="DE93" i="171"/>
  <c r="CM93" i="171"/>
  <c r="CM277" i="171"/>
  <c r="CM194" i="171"/>
  <c r="BN27" i="171"/>
  <c r="BN262" i="171"/>
  <c r="BN140" i="171"/>
  <c r="BN141" i="171"/>
  <c r="BN116" i="171"/>
  <c r="BN117" i="171"/>
  <c r="BN128" i="171"/>
  <c r="BN129" i="171"/>
  <c r="BN87" i="171"/>
  <c r="BN86" i="171"/>
  <c r="CM104" i="171"/>
  <c r="CL279" i="171"/>
  <c r="CL280" i="171" s="1"/>
  <c r="CL196" i="171"/>
  <c r="CL197" i="171" s="1"/>
  <c r="CL104" i="171"/>
  <c r="CL93" i="171"/>
  <c r="BI169" i="171"/>
  <c r="DE99" i="171"/>
  <c r="CM99" i="171"/>
  <c r="DE80" i="171"/>
  <c r="BH33" i="171"/>
  <c r="DE105" i="171"/>
  <c r="DE153" i="171"/>
  <c r="CL111" i="171"/>
  <c r="DE110" i="171"/>
  <c r="CF96" i="172"/>
  <c r="BM141" i="171"/>
  <c r="BM140" i="171"/>
  <c r="BM262" i="171"/>
  <c r="BM152" i="171"/>
  <c r="BM153" i="171"/>
  <c r="BM135" i="171"/>
  <c r="BM134" i="171"/>
  <c r="BL169" i="171"/>
  <c r="BK39" i="171"/>
  <c r="CM98" i="171"/>
  <c r="CL98" i="171"/>
  <c r="CM128" i="171"/>
  <c r="CL128" i="171"/>
  <c r="BK187" i="171"/>
  <c r="BK170" i="171"/>
  <c r="BK172" i="171"/>
  <c r="CM134" i="171"/>
  <c r="CL134" i="171"/>
  <c r="CM117" i="171"/>
  <c r="DE117" i="171"/>
  <c r="DE104" i="171"/>
  <c r="DE196" i="171"/>
  <c r="DE272" i="171" s="1"/>
  <c r="DE279" i="171"/>
  <c r="BH195" i="171"/>
  <c r="BH198" i="171"/>
  <c r="BN165" i="171"/>
  <c r="BN164" i="171"/>
  <c r="BN201" i="171"/>
  <c r="BN122" i="171"/>
  <c r="BN123" i="171"/>
  <c r="BN80" i="171"/>
  <c r="BN81" i="171"/>
  <c r="BN92" i="171"/>
  <c r="BN93" i="171"/>
  <c r="CL129" i="171"/>
  <c r="CL105" i="171"/>
  <c r="CM152" i="171"/>
  <c r="CM122" i="171"/>
  <c r="DE201" i="171"/>
  <c r="DE202" i="171" s="1"/>
  <c r="DE164" i="171"/>
  <c r="DE86" i="171"/>
  <c r="DE147" i="171"/>
  <c r="CM147" i="171"/>
  <c r="CL27" i="171"/>
  <c r="BG188" i="171"/>
  <c r="CE210" i="172"/>
  <c r="CM74" i="171"/>
  <c r="CL277" i="171"/>
  <c r="CL278" i="171" s="1"/>
  <c r="CL194" i="171"/>
  <c r="CL74" i="171"/>
  <c r="BM74" i="171"/>
  <c r="BM167" i="171"/>
  <c r="BM277" i="171"/>
  <c r="BM194" i="171"/>
  <c r="BM75" i="171"/>
  <c r="BM164" i="171"/>
  <c r="BM165" i="171"/>
  <c r="BM201" i="171"/>
  <c r="BM81" i="171"/>
  <c r="BM80" i="171"/>
  <c r="BM99" i="171"/>
  <c r="BM98" i="171"/>
  <c r="BM123" i="171"/>
  <c r="BM122" i="171"/>
  <c r="BL195" i="171"/>
  <c r="BL198" i="171"/>
  <c r="BL199" i="171" s="1"/>
  <c r="CM135" i="171"/>
  <c r="DE135" i="171"/>
  <c r="CM153" i="171"/>
  <c r="CM165" i="171"/>
  <c r="DE165" i="171"/>
  <c r="DE111" i="171"/>
  <c r="DE194" i="171"/>
  <c r="DE198" i="171" s="1"/>
  <c r="DE167" i="171"/>
  <c r="CM110" i="171"/>
  <c r="CL110" i="171"/>
  <c r="DE92" i="171"/>
  <c r="CM279" i="171"/>
  <c r="CM196" i="171"/>
  <c r="BH168" i="171"/>
  <c r="CM167" i="171"/>
  <c r="CM157" i="171" s="1"/>
  <c r="CL147" i="171"/>
  <c r="BN104" i="171"/>
  <c r="BN105" i="171"/>
  <c r="BN279" i="171"/>
  <c r="BN196" i="171"/>
  <c r="BN197" i="171" s="1"/>
  <c r="BN147" i="171"/>
  <c r="BN146" i="171"/>
  <c r="BN99" i="171"/>
  <c r="BN98" i="171"/>
  <c r="BN135" i="171"/>
  <c r="BN134" i="171"/>
  <c r="DE81" i="171"/>
  <c r="CM81" i="171"/>
  <c r="CM86" i="171"/>
  <c r="CL86" i="171"/>
  <c r="CM146" i="171"/>
  <c r="CM116" i="171"/>
  <c r="DD195" i="171"/>
  <c r="DD198" i="171"/>
  <c r="DD199" i="171" s="1"/>
  <c r="CM87" i="171"/>
  <c r="DE87" i="171"/>
  <c r="CM164" i="171"/>
  <c r="CL201" i="171"/>
  <c r="CL202" i="171" s="1"/>
  <c r="CL164" i="171"/>
  <c r="BM27" i="171"/>
  <c r="BM32" i="171"/>
  <c r="BM44" i="171" s="1"/>
  <c r="BM147" i="171"/>
  <c r="BM146" i="171"/>
  <c r="BM92" i="171"/>
  <c r="BM93" i="171"/>
  <c r="BM86" i="171"/>
  <c r="BM87" i="171"/>
  <c r="BM111" i="171"/>
  <c r="BM110" i="171"/>
  <c r="DD289" i="171"/>
  <c r="DD280" i="171"/>
  <c r="DD283" i="171"/>
  <c r="DD285" i="171"/>
  <c r="DD286" i="171" s="1"/>
  <c r="CM201" i="171"/>
  <c r="CM202" i="171" s="1"/>
  <c r="BD188" i="171"/>
  <c r="BF170" i="171"/>
  <c r="BF172" i="171"/>
  <c r="BF187" i="171"/>
  <c r="BF188" i="171" s="1"/>
  <c r="DE277" i="171"/>
  <c r="CM92" i="171"/>
  <c r="CL92" i="171"/>
  <c r="BH169" i="171"/>
  <c r="CM75" i="171"/>
  <c r="BN74" i="171"/>
  <c r="BN194" i="171"/>
  <c r="BN277" i="171"/>
  <c r="BN167" i="171"/>
  <c r="BN75" i="171"/>
  <c r="BN152" i="171"/>
  <c r="BN153" i="171"/>
  <c r="BN111" i="171"/>
  <c r="BN110" i="171"/>
  <c r="CL165" i="171"/>
  <c r="BL171" i="171"/>
  <c r="BI195" i="171"/>
  <c r="BI198" i="171"/>
  <c r="CM123" i="171"/>
  <c r="CM26" i="171"/>
  <c r="CM27" i="171" s="1"/>
  <c r="DE141" i="171"/>
  <c r="BP188" i="171" l="1"/>
  <c r="BQ170" i="171"/>
  <c r="BW169" i="171"/>
  <c r="BW187" i="171" s="1"/>
  <c r="BW202" i="171"/>
  <c r="BU188" i="171"/>
  <c r="BX168" i="171"/>
  <c r="BX278" i="171"/>
  <c r="BX280" i="171"/>
  <c r="BX169" i="171"/>
  <c r="BU173" i="171"/>
  <c r="BV199" i="171"/>
  <c r="BX171" i="171"/>
  <c r="BX198" i="171"/>
  <c r="BX195" i="171"/>
  <c r="BX202" i="171"/>
  <c r="BX197" i="171"/>
  <c r="BW33" i="171"/>
  <c r="BW44" i="171"/>
  <c r="BW38" i="171"/>
  <c r="BW39" i="171" s="1"/>
  <c r="BW168" i="171"/>
  <c r="BW280" i="171"/>
  <c r="BW198" i="171"/>
  <c r="BW195" i="171"/>
  <c r="BW197" i="171"/>
  <c r="BW278" i="171"/>
  <c r="BP173" i="171"/>
  <c r="BS195" i="171"/>
  <c r="BR33" i="171"/>
  <c r="BR195" i="171"/>
  <c r="CL163" i="171"/>
  <c r="CL85" i="171"/>
  <c r="BQ187" i="171"/>
  <c r="BV188" i="171" s="1"/>
  <c r="BQ172" i="171"/>
  <c r="BV173" i="171" s="1"/>
  <c r="BR169" i="171"/>
  <c r="BW170" i="171" s="1"/>
  <c r="BS169" i="171"/>
  <c r="BN280" i="171"/>
  <c r="BS280" i="171"/>
  <c r="BM168" i="171"/>
  <c r="BR168" i="171"/>
  <c r="BN168" i="171"/>
  <c r="BS168" i="171"/>
  <c r="BM202" i="171"/>
  <c r="BR202" i="171"/>
  <c r="BH199" i="171"/>
  <c r="BR199" i="171"/>
  <c r="BN278" i="171"/>
  <c r="BS278" i="171"/>
  <c r="BI199" i="171"/>
  <c r="BS199" i="171"/>
  <c r="BM278" i="171"/>
  <c r="BR278" i="171"/>
  <c r="BN202" i="171"/>
  <c r="BS202" i="171"/>
  <c r="BM280" i="171"/>
  <c r="BR280" i="171"/>
  <c r="BZ292" i="175"/>
  <c r="CK172" i="171"/>
  <c r="CK173" i="171" s="1"/>
  <c r="BC173" i="171"/>
  <c r="CK187" i="171"/>
  <c r="CK188" i="171" s="1"/>
  <c r="CL151" i="171"/>
  <c r="CM280" i="171"/>
  <c r="CL127" i="171"/>
  <c r="CL97" i="171"/>
  <c r="CL103" i="171"/>
  <c r="CL139" i="171"/>
  <c r="CL109" i="171"/>
  <c r="CL73" i="171"/>
  <c r="CL133" i="171"/>
  <c r="CL171" i="171"/>
  <c r="CL145" i="171"/>
  <c r="CL91" i="171"/>
  <c r="CL115" i="171"/>
  <c r="DE273" i="171"/>
  <c r="CL79" i="171"/>
  <c r="CL157" i="171"/>
  <c r="CL168" i="171"/>
  <c r="CM197" i="171"/>
  <c r="DD170" i="171"/>
  <c r="CM127" i="171"/>
  <c r="CM163" i="171"/>
  <c r="DE195" i="171"/>
  <c r="DD187" i="171"/>
  <c r="DD188" i="171" s="1"/>
  <c r="DE199" i="171"/>
  <c r="DE169" i="171"/>
  <c r="DE187" i="171" s="1"/>
  <c r="DE190" i="171" s="1"/>
  <c r="CM103" i="171"/>
  <c r="DE278" i="171"/>
  <c r="DE288" i="171"/>
  <c r="CM171" i="171"/>
  <c r="DE157" i="171"/>
  <c r="DE168" i="171"/>
  <c r="DE151" i="171"/>
  <c r="DE127" i="171"/>
  <c r="DE145" i="171"/>
  <c r="DE139" i="171"/>
  <c r="DE115" i="171"/>
  <c r="DE121" i="171"/>
  <c r="DE73" i="171"/>
  <c r="DE97" i="171"/>
  <c r="BM169" i="171"/>
  <c r="DE85" i="171"/>
  <c r="DE163" i="171"/>
  <c r="CM121" i="171"/>
  <c r="DE171" i="171"/>
  <c r="BL170" i="171"/>
  <c r="BL172" i="171"/>
  <c r="BL187" i="171"/>
  <c r="CF455" i="172"/>
  <c r="CF97" i="172"/>
  <c r="CF158" i="172"/>
  <c r="DE79" i="171"/>
  <c r="DE133" i="171"/>
  <c r="BM171" i="171"/>
  <c r="BN195" i="171"/>
  <c r="BN198" i="171"/>
  <c r="BN199" i="171" s="1"/>
  <c r="BN171" i="171"/>
  <c r="BM195" i="171"/>
  <c r="BM198" i="171"/>
  <c r="BM199" i="171" s="1"/>
  <c r="CM109" i="171"/>
  <c r="CM85" i="171"/>
  <c r="DE289" i="171"/>
  <c r="DE280" i="171"/>
  <c r="DE283" i="171"/>
  <c r="DE285" i="171"/>
  <c r="DE286" i="171" s="1"/>
  <c r="DE103" i="171"/>
  <c r="BK188" i="171"/>
  <c r="BM263" i="171"/>
  <c r="BN263" i="171" s="1"/>
  <c r="BP263" i="171" s="1"/>
  <c r="BQ263" i="171" s="1"/>
  <c r="BR263" i="171" s="1"/>
  <c r="BS263" i="171" s="1"/>
  <c r="BU263" i="171" s="1"/>
  <c r="BV263" i="171" s="1"/>
  <c r="BW263" i="171" s="1"/>
  <c r="BX263" i="171" s="1"/>
  <c r="CM145" i="171"/>
  <c r="CM195" i="171"/>
  <c r="CM198" i="171"/>
  <c r="BH170" i="171"/>
  <c r="BH172" i="171"/>
  <c r="BH187" i="171"/>
  <c r="CM169" i="171"/>
  <c r="CL169" i="171"/>
  <c r="BN169" i="171"/>
  <c r="BS170" i="171" s="1"/>
  <c r="CH212" i="172"/>
  <c r="BM33" i="171"/>
  <c r="BM38" i="171"/>
  <c r="CM97" i="171"/>
  <c r="CM91" i="171"/>
  <c r="CL195" i="171"/>
  <c r="CL198" i="171"/>
  <c r="CL199" i="171" s="1"/>
  <c r="CE212" i="172"/>
  <c r="CE297" i="172"/>
  <c r="CE211" i="172" s="1"/>
  <c r="CE213" i="172"/>
  <c r="CE219" i="172"/>
  <c r="CM133" i="171"/>
  <c r="DE109" i="171"/>
  <c r="CM139" i="171"/>
  <c r="CM278" i="171"/>
  <c r="CM151" i="171"/>
  <c r="DE197" i="171"/>
  <c r="CE96" i="172"/>
  <c r="BZ345" i="175"/>
  <c r="BF173" i="171"/>
  <c r="DE91" i="171"/>
  <c r="CM79" i="171"/>
  <c r="BK173" i="171"/>
  <c r="BI170" i="171"/>
  <c r="BI187" i="171"/>
  <c r="BI172" i="171"/>
  <c r="CM73" i="171"/>
  <c r="CM115" i="171"/>
  <c r="CM168" i="171"/>
  <c r="BW172" i="171" l="1"/>
  <c r="BX199" i="171"/>
  <c r="BX187" i="171"/>
  <c r="BX172" i="171"/>
  <c r="BX170" i="171"/>
  <c r="BW199" i="171"/>
  <c r="CT210" i="172"/>
  <c r="BQ173" i="171"/>
  <c r="BR170" i="171"/>
  <c r="CK190" i="171"/>
  <c r="BS187" i="171"/>
  <c r="CP210" i="172" s="1"/>
  <c r="BS172" i="171"/>
  <c r="BR187" i="171"/>
  <c r="CO210" i="172" s="1"/>
  <c r="BR172" i="171"/>
  <c r="BW173" i="171" s="1"/>
  <c r="BL188" i="171"/>
  <c r="BQ188" i="171"/>
  <c r="BM39" i="171"/>
  <c r="BR39" i="171"/>
  <c r="CF99" i="172"/>
  <c r="DE170" i="171"/>
  <c r="DD190" i="171"/>
  <c r="DE172" i="171"/>
  <c r="DE173" i="171" s="1"/>
  <c r="DE188" i="171"/>
  <c r="CE222" i="172"/>
  <c r="BH188" i="171"/>
  <c r="CF210" i="172"/>
  <c r="CH96" i="172"/>
  <c r="BN172" i="171"/>
  <c r="BN170" i="171"/>
  <c r="BN187" i="171"/>
  <c r="BH173" i="171"/>
  <c r="CF157" i="172"/>
  <c r="CJ96" i="172"/>
  <c r="BM170" i="171"/>
  <c r="BM172" i="171"/>
  <c r="BM187" i="171"/>
  <c r="CL170" i="171"/>
  <c r="CL187" i="171"/>
  <c r="CL172" i="171"/>
  <c r="CL173" i="171" s="1"/>
  <c r="CM199" i="171"/>
  <c r="DN96" i="172"/>
  <c r="DN97" i="172" s="1"/>
  <c r="BI173" i="171"/>
  <c r="CM170" i="171"/>
  <c r="CM172" i="171"/>
  <c r="CM187" i="171"/>
  <c r="CM190" i="171" s="1"/>
  <c r="BI188" i="171"/>
  <c r="CG210" i="172"/>
  <c r="CE455" i="172"/>
  <c r="CE99" i="172"/>
  <c r="CE97" i="172"/>
  <c r="CE158" i="172"/>
  <c r="CE217" i="172"/>
  <c r="CE218" i="172" s="1"/>
  <c r="CE254" i="172"/>
  <c r="CE302" i="172"/>
  <c r="CE245" i="172"/>
  <c r="CE292" i="172"/>
  <c r="CE225" i="172"/>
  <c r="CE273" i="172"/>
  <c r="CE234" i="172"/>
  <c r="CG96" i="172"/>
  <c r="BZ343" i="175"/>
  <c r="BZ297" i="175"/>
  <c r="BL173" i="171"/>
  <c r="BS188" i="171" l="1"/>
  <c r="BX173" i="171"/>
  <c r="BX188" i="171"/>
  <c r="CU210" i="172"/>
  <c r="CX210" i="172" s="1"/>
  <c r="CV213" i="172"/>
  <c r="CT213" i="172"/>
  <c r="CT297" i="172"/>
  <c r="CT219" i="172"/>
  <c r="CT217" i="172" s="1"/>
  <c r="CT212" i="172"/>
  <c r="BW188" i="171"/>
  <c r="BR173" i="171"/>
  <c r="BR188" i="171"/>
  <c r="BS173" i="171"/>
  <c r="CO213" i="172"/>
  <c r="CO297" i="172"/>
  <c r="CS210" i="172"/>
  <c r="CO219" i="172"/>
  <c r="CQ213" i="172"/>
  <c r="CR213" i="172"/>
  <c r="CP219" i="172"/>
  <c r="CP222" i="172" s="1"/>
  <c r="CP297" i="172"/>
  <c r="CP211" i="172" s="1"/>
  <c r="CO97" i="172"/>
  <c r="CM173" i="171"/>
  <c r="CE157" i="172"/>
  <c r="CI96" i="172"/>
  <c r="CH218" i="172"/>
  <c r="BN173" i="171"/>
  <c r="CH455" i="172"/>
  <c r="CH99" i="172"/>
  <c r="CM97" i="172"/>
  <c r="CH97" i="172"/>
  <c r="CH158" i="172"/>
  <c r="CG212" i="172"/>
  <c r="CL212" i="172"/>
  <c r="CG213" i="172"/>
  <c r="CG297" i="172"/>
  <c r="CG219" i="172"/>
  <c r="CG222" i="172" s="1"/>
  <c r="CK96" i="172"/>
  <c r="CL96" i="172"/>
  <c r="CF212" i="172"/>
  <c r="CH213" i="172"/>
  <c r="CF213" i="172"/>
  <c r="CF297" i="172"/>
  <c r="CF211" i="172" s="1"/>
  <c r="CF219" i="172"/>
  <c r="CF217" i="172" s="1"/>
  <c r="DN210" i="172"/>
  <c r="DN212" i="172" s="1"/>
  <c r="CI210" i="172"/>
  <c r="CG99" i="172"/>
  <c r="CG455" i="172"/>
  <c r="CG97" i="172"/>
  <c r="CG158" i="172"/>
  <c r="DN158" i="172"/>
  <c r="DN159" i="172" s="1"/>
  <c r="BM188" i="171"/>
  <c r="CJ210" i="172"/>
  <c r="CO212" i="172" s="1"/>
  <c r="BN188" i="171"/>
  <c r="CK210" i="172"/>
  <c r="CP212" i="172" s="1"/>
  <c r="CM188" i="171"/>
  <c r="CL190" i="171"/>
  <c r="CL188" i="171"/>
  <c r="BM173" i="171"/>
  <c r="CJ99" i="172"/>
  <c r="CJ455" i="172"/>
  <c r="CJ97" i="172"/>
  <c r="CJ158" i="172"/>
  <c r="CJ157" i="172" s="1"/>
  <c r="BZ354" i="175"/>
  <c r="CW213" i="172" l="1"/>
  <c r="CU219" i="172"/>
  <c r="CU222" i="172" s="1"/>
  <c r="CU297" i="172"/>
  <c r="CU212" i="172"/>
  <c r="CT273" i="172"/>
  <c r="CT245" i="172"/>
  <c r="CT225" i="172"/>
  <c r="CT292" i="172"/>
  <c r="CT254" i="172"/>
  <c r="CT234" i="172"/>
  <c r="CT302" i="172"/>
  <c r="CX297" i="172"/>
  <c r="CX211" i="172" s="1"/>
  <c r="CT222" i="172"/>
  <c r="CT211" i="172"/>
  <c r="CU213" i="172"/>
  <c r="CX212" i="172"/>
  <c r="CO222" i="172"/>
  <c r="CS219" i="172"/>
  <c r="CS222" i="172" s="1"/>
  <c r="CS297" i="172"/>
  <c r="CP245" i="172"/>
  <c r="CP292" i="172"/>
  <c r="CP273" i="172"/>
  <c r="CP302" i="172"/>
  <c r="CP234" i="172"/>
  <c r="CP225" i="172"/>
  <c r="CP254" i="172"/>
  <c r="CO217" i="172"/>
  <c r="CT218" i="172" s="1"/>
  <c r="CO211" i="172"/>
  <c r="CO292" i="172"/>
  <c r="CO234" i="172"/>
  <c r="CO273" i="172"/>
  <c r="CO254" i="172"/>
  <c r="CO245" i="172"/>
  <c r="CO225" i="172"/>
  <c r="CO302" i="172"/>
  <c r="CP217" i="172"/>
  <c r="CQ97" i="172"/>
  <c r="CP97" i="172"/>
  <c r="DN157" i="172"/>
  <c r="CG157" i="172"/>
  <c r="CI97" i="172"/>
  <c r="CI455" i="172"/>
  <c r="CN96" i="172"/>
  <c r="CI158" i="172"/>
  <c r="CF218" i="172"/>
  <c r="DN217" i="172"/>
  <c r="CG217" i="172"/>
  <c r="CJ213" i="172"/>
  <c r="CL213" i="172"/>
  <c r="CJ297" i="172"/>
  <c r="CJ211" i="172" s="1"/>
  <c r="CJ212" i="172"/>
  <c r="CN210" i="172"/>
  <c r="CJ219" i="172"/>
  <c r="CG225" i="172"/>
  <c r="CG254" i="172"/>
  <c r="CG234" i="172"/>
  <c r="CG292" i="172"/>
  <c r="CG302" i="172"/>
  <c r="CG245" i="172"/>
  <c r="CG273" i="172"/>
  <c r="CG211" i="172"/>
  <c r="CH157" i="172"/>
  <c r="CM213" i="172"/>
  <c r="CK213" i="172"/>
  <c r="CK212" i="172"/>
  <c r="CK297" i="172"/>
  <c r="CK211" i="172" s="1"/>
  <c r="CK219" i="172"/>
  <c r="CK222" i="172" s="1"/>
  <c r="CF222" i="172"/>
  <c r="DN219" i="172"/>
  <c r="DN222" i="172" s="1"/>
  <c r="CI219" i="172"/>
  <c r="CI222" i="172" s="1"/>
  <c r="CL455" i="172"/>
  <c r="CL99" i="172"/>
  <c r="CM99" i="172"/>
  <c r="CL97" i="172"/>
  <c r="CL158" i="172"/>
  <c r="CK99" i="172"/>
  <c r="CK455" i="172"/>
  <c r="CK97" i="172"/>
  <c r="CK158" i="172"/>
  <c r="CK157" i="172" s="1"/>
  <c r="CI212" i="172"/>
  <c r="CI297" i="172"/>
  <c r="CI211" i="172" s="1"/>
  <c r="CF292" i="172"/>
  <c r="CF273" i="172"/>
  <c r="CF302" i="172"/>
  <c r="CF225" i="172"/>
  <c r="CF234" i="172"/>
  <c r="CF254" i="172"/>
  <c r="CF245" i="172"/>
  <c r="DN297" i="172"/>
  <c r="DN302" i="172" s="1"/>
  <c r="CX219" i="172" l="1"/>
  <c r="CX222" i="172" s="1"/>
  <c r="CU273" i="172"/>
  <c r="CU292" i="172"/>
  <c r="CU254" i="172"/>
  <c r="CU245" i="172"/>
  <c r="CU234" i="172"/>
  <c r="CU302" i="172"/>
  <c r="CU225" i="172"/>
  <c r="CU217" i="172"/>
  <c r="CU218" i="172" s="1"/>
  <c r="CU211" i="172"/>
  <c r="CX245" i="172"/>
  <c r="CX254" i="172"/>
  <c r="CX234" i="172"/>
  <c r="CX225" i="172"/>
  <c r="CX292" i="172"/>
  <c r="CX273" i="172"/>
  <c r="CS217" i="172"/>
  <c r="CS273" i="172"/>
  <c r="CS254" i="172"/>
  <c r="CS234" i="172"/>
  <c r="CS225" i="172"/>
  <c r="CS292" i="172"/>
  <c r="CS245" i="172"/>
  <c r="CS211" i="172"/>
  <c r="CS212" i="172"/>
  <c r="CP213" i="172"/>
  <c r="CS97" i="172"/>
  <c r="CN455" i="172"/>
  <c r="CN97" i="172"/>
  <c r="CI157" i="172"/>
  <c r="CI159" i="172"/>
  <c r="CI217" i="172"/>
  <c r="CI218" i="172" s="1"/>
  <c r="CL157" i="172"/>
  <c r="CL218" i="172"/>
  <c r="CG218" i="172"/>
  <c r="CI234" i="172"/>
  <c r="CI254" i="172"/>
  <c r="CI225" i="172"/>
  <c r="CI273" i="172"/>
  <c r="CI292" i="172"/>
  <c r="CI245" i="172"/>
  <c r="CN158" i="172"/>
  <c r="CJ222" i="172"/>
  <c r="CN219" i="172"/>
  <c r="CN222" i="172" s="1"/>
  <c r="CK217" i="172"/>
  <c r="CJ217" i="172"/>
  <c r="CJ273" i="172"/>
  <c r="CJ254" i="172"/>
  <c r="CJ292" i="172"/>
  <c r="CJ302" i="172"/>
  <c r="CJ225" i="172"/>
  <c r="CJ234" i="172"/>
  <c r="CJ245" i="172"/>
  <c r="CK245" i="172"/>
  <c r="CK225" i="172"/>
  <c r="CK302" i="172"/>
  <c r="CK254" i="172"/>
  <c r="CK292" i="172"/>
  <c r="CK273" i="172"/>
  <c r="CK234" i="172"/>
  <c r="CN297" i="172"/>
  <c r="CN211" i="172" s="1"/>
  <c r="CN212" i="172"/>
  <c r="CX217" i="172" l="1"/>
  <c r="CX218" i="172" s="1"/>
  <c r="CJ218" i="172"/>
  <c r="CO218" i="172"/>
  <c r="CK218" i="172"/>
  <c r="CP218" i="172"/>
  <c r="CN217" i="172"/>
  <c r="CN292" i="172"/>
  <c r="CN225" i="172"/>
  <c r="CN234" i="172"/>
  <c r="CN254" i="172"/>
  <c r="CN273" i="172"/>
  <c r="CN245" i="172"/>
  <c r="CN159" i="172"/>
  <c r="CN157" i="172"/>
  <c r="CN218" i="172" l="1"/>
  <c r="CS218" i="172"/>
  <c r="AV226" i="175"/>
  <c r="BW225" i="175"/>
  <c r="AQ366" i="175"/>
  <c r="AQ367" i="175" s="1"/>
  <c r="AQ217" i="175"/>
  <c r="AQ218" i="175" s="1"/>
  <c r="AT225" i="175"/>
  <c r="AR368" i="175" l="1"/>
  <c r="AY226" i="175"/>
  <c r="AT218" i="175"/>
  <c r="AY219" i="175" s="1"/>
  <c r="AV219" i="175"/>
  <c r="AQ219" i="175"/>
  <c r="AT223" i="175"/>
  <c r="AY224" i="175" s="1"/>
  <c r="AT226" i="175"/>
  <c r="AV367" i="175"/>
  <c r="BW366" i="175"/>
  <c r="CW107" i="172" s="1"/>
  <c r="AT366" i="175"/>
  <c r="AQ368" i="175"/>
  <c r="AQ433" i="175"/>
  <c r="CW108" i="172" l="1"/>
  <c r="CW110" i="172"/>
  <c r="CX107" i="172"/>
  <c r="CW465" i="172"/>
  <c r="CW166" i="172"/>
  <c r="CW119" i="172"/>
  <c r="AW369" i="175"/>
  <c r="AT217" i="175"/>
  <c r="AY367" i="175"/>
  <c r="AT362" i="175"/>
  <c r="AT367" i="175"/>
  <c r="AV369" i="175"/>
  <c r="AQ434" i="175"/>
  <c r="AR435" i="175"/>
  <c r="AQ435" i="175"/>
  <c r="BW433" i="175"/>
  <c r="AT433" i="175"/>
  <c r="CW174" i="172" l="1"/>
  <c r="CW189" i="172" s="1"/>
  <c r="CX119" i="172"/>
  <c r="CW122" i="172"/>
  <c r="CW120" i="172"/>
  <c r="CW142" i="172"/>
  <c r="CW203" i="172" s="1"/>
  <c r="CW144" i="172"/>
  <c r="CX108" i="172"/>
  <c r="CX465" i="172"/>
  <c r="CW165" i="172"/>
  <c r="CX165" i="172" s="1"/>
  <c r="CX166" i="172"/>
  <c r="CW173" i="172"/>
  <c r="CW202" i="172"/>
  <c r="AV436" i="175"/>
  <c r="AT434" i="175"/>
  <c r="AW436" i="175"/>
  <c r="BZ225" i="175"/>
  <c r="CH107" i="172"/>
  <c r="CF107" i="172"/>
  <c r="CE107" i="172"/>
  <c r="CX167" i="172" l="1"/>
  <c r="CX173" i="172"/>
  <c r="CX202" i="172"/>
  <c r="CW201" i="172"/>
  <c r="CX174" i="172"/>
  <c r="CX189" i="172" s="1"/>
  <c r="CX120" i="172"/>
  <c r="CX144" i="172"/>
  <c r="CW149" i="172"/>
  <c r="CW145" i="172"/>
  <c r="CW143" i="172"/>
  <c r="CW134" i="172"/>
  <c r="CW105" i="172"/>
  <c r="CW129" i="172"/>
  <c r="CW100" i="172"/>
  <c r="CW118" i="172"/>
  <c r="CW111" i="172"/>
  <c r="BZ308" i="175"/>
  <c r="BZ37" i="175"/>
  <c r="CH465" i="172"/>
  <c r="CH108" i="172"/>
  <c r="CH166" i="172"/>
  <c r="BZ122" i="175"/>
  <c r="CG107" i="172"/>
  <c r="CF110" i="172"/>
  <c r="CF465" i="172"/>
  <c r="CF108" i="172"/>
  <c r="CF166" i="172"/>
  <c r="DN107" i="172"/>
  <c r="DN108" i="172" s="1"/>
  <c r="CE110" i="172"/>
  <c r="CE465" i="172"/>
  <c r="CE108" i="172"/>
  <c r="CE166" i="172"/>
  <c r="BZ366" i="175"/>
  <c r="CW150" i="172" l="1"/>
  <c r="BZ123" i="175"/>
  <c r="CF165" i="172"/>
  <c r="CE165" i="172"/>
  <c r="CH165" i="172"/>
  <c r="CH110" i="172"/>
  <c r="CI107" i="172"/>
  <c r="CI108" i="172" s="1"/>
  <c r="CL107" i="172"/>
  <c r="DN166" i="172"/>
  <c r="CG465" i="172"/>
  <c r="CG110" i="172"/>
  <c r="CG108" i="172"/>
  <c r="CG166" i="172"/>
  <c r="CJ107" i="172"/>
  <c r="CQ108" i="172" l="1"/>
  <c r="CO108" i="172"/>
  <c r="CI465" i="172"/>
  <c r="DN165" i="172"/>
  <c r="CJ110" i="172"/>
  <c r="CJ108" i="172"/>
  <c r="CJ465" i="172"/>
  <c r="CJ166" i="172"/>
  <c r="CJ165" i="172" s="1"/>
  <c r="CI166" i="172"/>
  <c r="CL465" i="172"/>
  <c r="CL108" i="172"/>
  <c r="CL166" i="172"/>
  <c r="CG165" i="172"/>
  <c r="CI165" i="172" s="1"/>
  <c r="CM107" i="172" l="1"/>
  <c r="CL165" i="172"/>
  <c r="CK107" i="172"/>
  <c r="CI167" i="172"/>
  <c r="CP108" i="172" l="1"/>
  <c r="CR108" i="172"/>
  <c r="CO110" i="172"/>
  <c r="CK108" i="172"/>
  <c r="CK110" i="172"/>
  <c r="CK465" i="172"/>
  <c r="CK166" i="172"/>
  <c r="CK165" i="172" s="1"/>
  <c r="CL110" i="172"/>
  <c r="CN107" i="172"/>
  <c r="CM110" i="172"/>
  <c r="CM108" i="172"/>
  <c r="CM465" i="172"/>
  <c r="CM166" i="172"/>
  <c r="CM165" i="172" s="1"/>
  <c r="CS108" i="172" l="1"/>
  <c r="CN165" i="172"/>
  <c r="CN166" i="172"/>
  <c r="CN465" i="172"/>
  <c r="CN108" i="172"/>
  <c r="CN167" i="172" l="1"/>
  <c r="EL63" i="12" l="1"/>
  <c r="EL65" i="12" s="1"/>
  <c r="EL7" i="8" l="1"/>
  <c r="ER8" i="12"/>
  <c r="ER17" i="12" l="1"/>
  <c r="EW8" i="12" l="1"/>
  <c r="EV8" i="12" l="1"/>
  <c r="EV17" i="12" s="1"/>
  <c r="EV15" i="8" l="1"/>
  <c r="EW17" i="12"/>
  <c r="EW15" i="8" l="1"/>
  <c r="EX8" i="12"/>
  <c r="EX17" i="12" l="1"/>
  <c r="EX15" i="8" s="1"/>
  <c r="FB8" i="12"/>
  <c r="EY8" i="12" l="1"/>
  <c r="EY17" i="12" s="1"/>
  <c r="EY15" i="8" s="1"/>
  <c r="EZ8" i="12" l="1"/>
  <c r="EZ17" i="12" s="1"/>
  <c r="EZ15" i="8" s="1"/>
  <c r="FA8" i="12" l="1"/>
  <c r="FA17" i="12" s="1"/>
  <c r="FA15" i="8" l="1"/>
  <c r="FC8" i="12" s="1"/>
  <c r="FB17" i="12"/>
  <c r="FG8" i="12" l="1"/>
  <c r="FC17" i="12"/>
  <c r="FB15" i="8"/>
  <c r="GF8" i="9"/>
  <c r="G36" i="141" s="1"/>
  <c r="EL13" i="12"/>
  <c r="EN20" i="12" l="1"/>
  <c r="EO20" i="12" s="1"/>
  <c r="EL22" i="12"/>
  <c r="FC15" i="8"/>
  <c r="FD8" i="12" s="1"/>
  <c r="FD17" i="12" s="1"/>
  <c r="FD15" i="8" s="1"/>
  <c r="FE8" i="12" s="1"/>
  <c r="FE17" i="12" s="1"/>
  <c r="G50" i="141"/>
  <c r="G59" i="141"/>
  <c r="H50" i="141"/>
  <c r="EL18" i="12"/>
  <c r="EM13" i="12"/>
  <c r="EL17" i="12"/>
  <c r="EM17" i="12" s="1"/>
  <c r="EO16" i="12" l="1"/>
  <c r="EO18" i="12" s="1"/>
  <c r="FE15" i="8"/>
  <c r="FF8" i="12" s="1"/>
  <c r="FF17" i="12" s="1"/>
  <c r="EP7" i="12" l="1"/>
  <c r="EP20" i="12" s="1"/>
  <c r="FF15" i="8"/>
  <c r="FG17" i="12"/>
  <c r="EP16" i="12"/>
  <c r="FG15" i="8" l="1"/>
  <c r="FH8" i="12"/>
  <c r="EP18" i="12"/>
  <c r="EQ7" i="12"/>
  <c r="FH17" i="12" l="1"/>
  <c r="FH15" i="8" s="1"/>
  <c r="FI8" i="12" s="1"/>
  <c r="FI17" i="12" s="1"/>
  <c r="FI15" i="8" s="1"/>
  <c r="FJ8" i="12" s="1"/>
  <c r="FJ17" i="12" s="1"/>
  <c r="FJ15" i="8" s="1"/>
  <c r="FK8" i="12" s="1"/>
  <c r="FK17" i="12" s="1"/>
  <c r="FL8" i="12"/>
  <c r="EQ20" i="12"/>
  <c r="EQ16" i="12"/>
  <c r="EQ18" i="12" s="1"/>
  <c r="FL17" i="12" l="1"/>
  <c r="FK15" i="8"/>
  <c r="FL15" i="8" s="1"/>
  <c r="ER16" i="12"/>
  <c r="ES7" i="12" s="1"/>
  <c r="ES20" i="12" l="1"/>
  <c r="ES16" i="12"/>
  <c r="EW7" i="12"/>
  <c r="ES18" i="12" l="1"/>
  <c r="ET7" i="12"/>
  <c r="ET20" i="12" l="1"/>
  <c r="ET16" i="12"/>
  <c r="ET18" i="12" l="1"/>
  <c r="EU7" i="12"/>
  <c r="EU20" i="12" l="1"/>
  <c r="EU16" i="12"/>
  <c r="EU18" i="12" s="1"/>
  <c r="EV7" i="12" l="1"/>
  <c r="EV20" i="12" l="1"/>
  <c r="EV16" i="12"/>
  <c r="EW16" i="12" l="1"/>
  <c r="EV18" i="12"/>
  <c r="EX7" i="12"/>
  <c r="FB7" i="12" l="1"/>
  <c r="EX20" i="12"/>
  <c r="EX16" i="12"/>
  <c r="EX18" i="12" l="1"/>
  <c r="EY7" i="12"/>
  <c r="EY16" i="12" l="1"/>
  <c r="EY20" i="12"/>
  <c r="EZ7" i="12" l="1"/>
  <c r="EY18" i="12"/>
  <c r="EZ16" i="12" l="1"/>
  <c r="EZ20" i="12"/>
  <c r="FA7" i="12" l="1"/>
  <c r="EZ18" i="12"/>
  <c r="FA16" i="12" l="1"/>
  <c r="FC7" i="12" s="1"/>
  <c r="FA20" i="12"/>
  <c r="FC20" i="12" l="1"/>
  <c r="FG7" i="12"/>
  <c r="FC16" i="12"/>
  <c r="FB16" i="12"/>
  <c r="FA18" i="12"/>
  <c r="FD7" i="12" l="1"/>
  <c r="FC18" i="12"/>
  <c r="FD20" i="12" l="1"/>
  <c r="FD16" i="12"/>
  <c r="FE7" i="12" l="1"/>
  <c r="FD18" i="12"/>
  <c r="AY33" i="171"/>
  <c r="CJ32" i="171"/>
  <c r="AX107" i="175"/>
  <c r="AY35" i="171" l="1"/>
  <c r="AZ107" i="189"/>
  <c r="FE16" i="12"/>
  <c r="FE20" i="12"/>
  <c r="AX128" i="175"/>
  <c r="AZ109" i="175"/>
  <c r="CJ33" i="171"/>
  <c r="CJ29" i="171"/>
  <c r="CJ30" i="171" s="1"/>
  <c r="AY30" i="171"/>
  <c r="AX108" i="175"/>
  <c r="AX109" i="175"/>
  <c r="AX32" i="175"/>
  <c r="AY107" i="175"/>
  <c r="AZ128" i="189" l="1"/>
  <c r="AZ32" i="189"/>
  <c r="AZ39" i="189" s="1"/>
  <c r="BA46" i="171"/>
  <c r="AY46" i="171"/>
  <c r="AX43" i="175" s="1"/>
  <c r="AY43" i="175" s="1"/>
  <c r="FF7" i="12"/>
  <c r="FE18" i="12"/>
  <c r="GE75" i="7"/>
  <c r="AY108" i="175"/>
  <c r="AY129" i="175"/>
  <c r="AX130" i="175"/>
  <c r="AX131" i="175"/>
  <c r="BC132" i="175" s="1"/>
  <c r="AY32" i="175"/>
  <c r="AY38" i="171" l="1"/>
  <c r="AY49" i="171"/>
  <c r="EL32" i="135" s="1"/>
  <c r="CJ35" i="171"/>
  <c r="BA36" i="171"/>
  <c r="AZ46" i="189"/>
  <c r="FF20" i="12"/>
  <c r="FF16" i="12"/>
  <c r="FH7" i="12" s="1"/>
  <c r="AZ43" i="175"/>
  <c r="AZ45" i="175" s="1"/>
  <c r="AZ46" i="175" s="1"/>
  <c r="DM140" i="172"/>
  <c r="BA134" i="175"/>
  <c r="AY128" i="175"/>
  <c r="AY130" i="175"/>
  <c r="DM30" i="172"/>
  <c r="FH20" i="12" l="1"/>
  <c r="FH16" i="12"/>
  <c r="FL7" i="12"/>
  <c r="BA48" i="171"/>
  <c r="BA49" i="171" s="1"/>
  <c r="BB48" i="171" s="1"/>
  <c r="DC48" i="171" s="1"/>
  <c r="BD38" i="171"/>
  <c r="BD40" i="171" s="1"/>
  <c r="CJ38" i="171"/>
  <c r="CJ39" i="171" s="1"/>
  <c r="AY40" i="171"/>
  <c r="CJ36" i="171"/>
  <c r="EL33" i="135"/>
  <c r="EL34" i="135"/>
  <c r="EM32" i="135"/>
  <c r="EM33" i="135" s="1"/>
  <c r="FG16" i="12"/>
  <c r="FF18" i="12"/>
  <c r="GE30" i="7"/>
  <c r="GE27" i="7"/>
  <c r="GE8" i="7"/>
  <c r="GE9" i="7" s="1"/>
  <c r="DM32" i="172"/>
  <c r="AZ134" i="175"/>
  <c r="BA136" i="175" s="1"/>
  <c r="BA135" i="175"/>
  <c r="DM33" i="172" l="1"/>
  <c r="DM63" i="172"/>
  <c r="FI7" i="12"/>
  <c r="FH18" i="12"/>
  <c r="CJ40" i="171"/>
  <c r="CJ41" i="171" s="1"/>
  <c r="BD42" i="171"/>
  <c r="BN42" i="171" s="1"/>
  <c r="BS42" i="171" s="1"/>
  <c r="BX42" i="171" s="1"/>
  <c r="GE28" i="7"/>
  <c r="GE31" i="7"/>
  <c r="GE24" i="7"/>
  <c r="GE25" i="7" s="1"/>
  <c r="AZ135" i="175"/>
  <c r="BY134" i="175"/>
  <c r="BY135" i="175" s="1"/>
  <c r="AZ136" i="175"/>
  <c r="FI16" i="12" l="1"/>
  <c r="FI20" i="12"/>
  <c r="BD33" i="171"/>
  <c r="BD30" i="171"/>
  <c r="GE17" i="7"/>
  <c r="GE34" i="7"/>
  <c r="G32" i="141"/>
  <c r="FJ7" i="12" l="1"/>
  <c r="FI18" i="12"/>
  <c r="GE35" i="7"/>
  <c r="GE36" i="7"/>
  <c r="GE18" i="7"/>
  <c r="G47" i="141"/>
  <c r="G60" i="141"/>
  <c r="DM205" i="172"/>
  <c r="FJ16" i="12" l="1"/>
  <c r="FJ20" i="12"/>
  <c r="GE37" i="7"/>
  <c r="GE19" i="7"/>
  <c r="GF18" i="9"/>
  <c r="FK7" i="12" l="1"/>
  <c r="FJ18" i="12"/>
  <c r="GE44" i="7"/>
  <c r="GE39" i="7"/>
  <c r="GE38" i="7"/>
  <c r="DM206" i="172"/>
  <c r="GF17" i="9"/>
  <c r="DM84" i="172"/>
  <c r="DM85" i="172" s="1"/>
  <c r="DM303" i="172"/>
  <c r="GF21" i="9"/>
  <c r="GF19" i="9"/>
  <c r="FK20" i="12" l="1"/>
  <c r="FK16" i="12"/>
  <c r="GE43" i="7"/>
  <c r="GE45" i="7"/>
  <c r="DM73" i="172"/>
  <c r="DM68" i="172"/>
  <c r="DM293" i="172"/>
  <c r="DM78" i="172"/>
  <c r="G56" i="141"/>
  <c r="G33" i="141" s="1"/>
  <c r="FL16" i="12" l="1"/>
  <c r="FK18" i="12"/>
  <c r="G48" i="141"/>
  <c r="EL44" i="135" l="1"/>
  <c r="EM42" i="135"/>
  <c r="EM44" i="135" l="1"/>
  <c r="EL48" i="135"/>
  <c r="EM46" i="135"/>
  <c r="EM48" i="135" s="1"/>
  <c r="EL36" i="135"/>
  <c r="EM36" i="135" l="1"/>
  <c r="EL21" i="135"/>
  <c r="EL26" i="135"/>
  <c r="EL59" i="135" s="1"/>
  <c r="EQ37" i="135"/>
  <c r="EL29" i="135" l="1"/>
  <c r="EN59" i="135"/>
  <c r="ER59" i="135" s="1"/>
  <c r="EN63" i="135"/>
  <c r="EL158" i="135"/>
  <c r="EL174" i="135" s="1"/>
  <c r="EM174" i="135" s="1"/>
  <c r="EL27" i="135"/>
  <c r="EL17" i="135"/>
  <c r="EM17" i="135" s="1"/>
  <c r="EL12" i="135"/>
  <c r="EM12" i="135" s="1"/>
  <c r="EL63" i="135"/>
  <c r="EL7" i="135"/>
  <c r="EM7" i="135" s="1"/>
  <c r="EM59" i="135"/>
  <c r="EL165" i="135" l="1"/>
  <c r="EM165" i="135" s="1"/>
  <c r="EN69" i="135"/>
  <c r="EL43" i="135"/>
  <c r="EM43" i="135" s="1"/>
  <c r="EL64" i="135"/>
  <c r="EL69" i="135"/>
  <c r="EL72" i="135" s="1"/>
  <c r="EL170" i="135"/>
  <c r="EM170" i="135" s="1"/>
  <c r="EL142" i="135"/>
  <c r="EL144" i="135" s="1"/>
  <c r="EM144" i="135" s="1"/>
  <c r="EL150" i="135"/>
  <c r="EL152" i="135" s="1"/>
  <c r="EM152" i="135" s="1"/>
  <c r="EL66" i="135"/>
  <c r="EM63" i="135"/>
  <c r="EM64" i="135" s="1"/>
  <c r="EL146" i="135"/>
  <c r="EM146" i="135" s="1"/>
  <c r="EL47" i="135"/>
  <c r="EM47" i="135" s="1"/>
  <c r="EL159" i="135"/>
  <c r="EM159" i="135" s="1"/>
  <c r="EL160" i="135"/>
  <c r="EM158" i="135"/>
  <c r="EL23" i="135"/>
  <c r="EM21" i="135"/>
  <c r="EL22" i="135"/>
  <c r="EM22" i="135" s="1"/>
  <c r="EL54" i="135"/>
  <c r="EM53" i="135"/>
  <c r="EL113" i="135"/>
  <c r="EL104" i="135"/>
  <c r="EL95" i="135"/>
  <c r="EL65" i="135" l="1"/>
  <c r="EL70" i="135"/>
  <c r="EL71" i="135" s="1"/>
  <c r="EM142" i="135"/>
  <c r="EL147" i="135"/>
  <c r="EM147" i="135" s="1"/>
  <c r="EL143" i="135"/>
  <c r="EM143" i="135" s="1"/>
  <c r="EL148" i="135"/>
  <c r="EM148" i="135" s="1"/>
  <c r="EL154" i="135"/>
  <c r="EL155" i="135" s="1"/>
  <c r="EM155" i="135" s="1"/>
  <c r="EL151" i="135"/>
  <c r="EM151" i="135" s="1"/>
  <c r="EM150" i="135"/>
  <c r="EM23" i="135"/>
  <c r="EM26" i="135"/>
  <c r="EN106" i="135"/>
  <c r="EQ105" i="135"/>
  <c r="EN97" i="135"/>
  <c r="EQ96" i="135"/>
  <c r="EN115" i="135"/>
  <c r="EQ114" i="135"/>
  <c r="EL96" i="135"/>
  <c r="EL97" i="135"/>
  <c r="EM95" i="135"/>
  <c r="EM96" i="135" s="1"/>
  <c r="EM54" i="135"/>
  <c r="EL115" i="135"/>
  <c r="EL114" i="135"/>
  <c r="EM113" i="135"/>
  <c r="EM114" i="135" s="1"/>
  <c r="EL105" i="135"/>
  <c r="EM104" i="135"/>
  <c r="EM105" i="135" s="1"/>
  <c r="EL106" i="135"/>
  <c r="EM154" i="135" l="1"/>
  <c r="EL156" i="135"/>
  <c r="EM156" i="135" s="1"/>
  <c r="EM27" i="135"/>
  <c r="EM64" i="123"/>
  <c r="EL65" i="123"/>
  <c r="EM65" i="123" s="1"/>
  <c r="EN66" i="135" l="1"/>
  <c r="EN38" i="135"/>
  <c r="EM85" i="135"/>
  <c r="EM66" i="123"/>
  <c r="EM67" i="123" s="1"/>
  <c r="EM82" i="135" l="1"/>
  <c r="EM84" i="135"/>
  <c r="EM81" i="135"/>
  <c r="EM83" i="135"/>
  <c r="EN72" i="135"/>
  <c r="EN70" i="135"/>
  <c r="EL61" i="123" l="1"/>
  <c r="EL82" i="7" s="1"/>
  <c r="EM82" i="7" s="1"/>
  <c r="EM88" i="7" s="1"/>
  <c r="EN56" i="123" l="1"/>
  <c r="EN57" i="123" s="1"/>
  <c r="EN50" i="123" s="1"/>
  <c r="EN53" i="123" s="1"/>
  <c r="EN62" i="123"/>
  <c r="EL62" i="123"/>
  <c r="EL57" i="123"/>
  <c r="EL50" i="123" l="1"/>
  <c r="EM57" i="123"/>
  <c r="EM61" i="123" s="1"/>
  <c r="EM62" i="123" l="1"/>
  <c r="ER56" i="123"/>
  <c r="EL53" i="123"/>
  <c r="EM53" i="123" s="1"/>
  <c r="EM50" i="123"/>
  <c r="GF35" i="9" l="1"/>
  <c r="GE89" i="7"/>
  <c r="GE84" i="7" l="1"/>
  <c r="GE90" i="7" l="1"/>
  <c r="ER64" i="123"/>
  <c r="ER57" i="123"/>
  <c r="ER61" i="123" s="1"/>
  <c r="ER62" i="123" s="1"/>
  <c r="GF37" i="9"/>
  <c r="GF39" i="9" s="1"/>
  <c r="ER50" i="123"/>
  <c r="GE91" i="7" l="1"/>
  <c r="CE520" i="172"/>
  <c r="ER65" i="123"/>
  <c r="ER66" i="123" s="1"/>
  <c r="ER67" i="123" s="1"/>
  <c r="ER53" i="123"/>
  <c r="EW56" i="123"/>
  <c r="GG35" i="9" l="1"/>
  <c r="GF89" i="7"/>
  <c r="EV56" i="123"/>
  <c r="EU101" i="8"/>
  <c r="EU100" i="8"/>
  <c r="EV61" i="123"/>
  <c r="EV82" i="7" s="1"/>
  <c r="CF520" i="172"/>
  <c r="GF84" i="7" l="1"/>
  <c r="EV88" i="7"/>
  <c r="EW82" i="7"/>
  <c r="EW88" i="7" s="1"/>
  <c r="GF90" i="7"/>
  <c r="EV64" i="123"/>
  <c r="EV83" i="7" s="1"/>
  <c r="CG520" i="172"/>
  <c r="EX56" i="123"/>
  <c r="EX61" i="123"/>
  <c r="EX82" i="7" s="1"/>
  <c r="EX88" i="7" s="1"/>
  <c r="EV57" i="123"/>
  <c r="GF91" i="7" l="1"/>
  <c r="EW64" i="123"/>
  <c r="EV66" i="123"/>
  <c r="EV84" i="7" s="1"/>
  <c r="EV90" i="7" s="1"/>
  <c r="CH520" i="172" s="1"/>
  <c r="EV89" i="7"/>
  <c r="EW83" i="7"/>
  <c r="EW89" i="7" s="1"/>
  <c r="EX64" i="123"/>
  <c r="EV35" i="9"/>
  <c r="EV100" i="8" s="1"/>
  <c r="EV50" i="123"/>
  <c r="EW57" i="123"/>
  <c r="EW61" i="123" s="1"/>
  <c r="EW62" i="123" s="1"/>
  <c r="EV65" i="123"/>
  <c r="EY56" i="123"/>
  <c r="EX35" i="9"/>
  <c r="EX57" i="123"/>
  <c r="EY61" i="123"/>
  <c r="EY82" i="7" s="1"/>
  <c r="EY88" i="7" s="1"/>
  <c r="GG37" i="9"/>
  <c r="GG39" i="9" s="1"/>
  <c r="EX100" i="8" l="1"/>
  <c r="EW84" i="7"/>
  <c r="EW90" i="7" s="1"/>
  <c r="EX66" i="123"/>
  <c r="EX84" i="7" s="1"/>
  <c r="EX90" i="7" s="1"/>
  <c r="EX83" i="7"/>
  <c r="EW65" i="123"/>
  <c r="EW66" i="123" s="1"/>
  <c r="EW67" i="123" s="1"/>
  <c r="EY64" i="123"/>
  <c r="EY83" i="7" s="1"/>
  <c r="EY89" i="7" s="1"/>
  <c r="EX66" i="8"/>
  <c r="EZ56" i="123"/>
  <c r="EY35" i="9"/>
  <c r="EY57" i="123"/>
  <c r="EY50" i="123" s="1"/>
  <c r="EY53" i="123" s="1"/>
  <c r="EY37" i="9" s="1"/>
  <c r="EY101" i="8" s="1"/>
  <c r="EZ61" i="123"/>
  <c r="EZ82" i="7" s="1"/>
  <c r="EZ88" i="7" s="1"/>
  <c r="FB56" i="123"/>
  <c r="EX50" i="123"/>
  <c r="EV53" i="123"/>
  <c r="EW50" i="123"/>
  <c r="EV66" i="8"/>
  <c r="EW35" i="9"/>
  <c r="EY100" i="8" l="1"/>
  <c r="EX65" i="123"/>
  <c r="EX89" i="7"/>
  <c r="GG89" i="7" s="1"/>
  <c r="EY66" i="123"/>
  <c r="EY84" i="7" s="1"/>
  <c r="EY90" i="7" s="1"/>
  <c r="EZ64" i="123"/>
  <c r="EZ83" i="7" s="1"/>
  <c r="EZ89" i="7" s="1"/>
  <c r="EV37" i="9"/>
  <c r="EV101" i="8" s="1"/>
  <c r="EW53" i="123"/>
  <c r="EY66" i="8"/>
  <c r="EY39" i="9"/>
  <c r="GH35" i="9"/>
  <c r="EW66" i="8"/>
  <c r="EX53" i="123"/>
  <c r="FA56" i="123"/>
  <c r="EZ35" i="9"/>
  <c r="EZ57" i="123"/>
  <c r="FA61" i="123"/>
  <c r="EZ100" i="8" l="1"/>
  <c r="FA82" i="7"/>
  <c r="FB82" i="7" s="1"/>
  <c r="FB88" i="7" s="1"/>
  <c r="FC56" i="123"/>
  <c r="FC61" i="123"/>
  <c r="FD56" i="123" s="1"/>
  <c r="EY65" i="123"/>
  <c r="EZ66" i="123"/>
  <c r="EZ84" i="7" s="1"/>
  <c r="EZ90" i="7" s="1"/>
  <c r="GG84" i="7"/>
  <c r="GG90" i="7"/>
  <c r="FA64" i="123"/>
  <c r="FA66" i="123" s="1"/>
  <c r="FA84" i="7" s="1"/>
  <c r="FA90" i="7" s="1"/>
  <c r="EZ50" i="123"/>
  <c r="EZ66" i="8"/>
  <c r="EW37" i="9"/>
  <c r="EV39" i="9"/>
  <c r="FA57" i="123"/>
  <c r="FA50" i="123" s="1"/>
  <c r="FA53" i="123" s="1"/>
  <c r="FA37" i="9" s="1"/>
  <c r="FA101" i="8" s="1"/>
  <c r="EX37" i="9"/>
  <c r="EX101" i="8" l="1"/>
  <c r="FA88" i="7"/>
  <c r="FA35" i="9" s="1"/>
  <c r="FC64" i="123"/>
  <c r="FC83" i="7" s="1"/>
  <c r="FD61" i="123"/>
  <c r="FC82" i="7"/>
  <c r="FC88" i="7" s="1"/>
  <c r="FC35" i="9" s="1"/>
  <c r="FC57" i="123"/>
  <c r="GG91" i="7"/>
  <c r="EZ65" i="123"/>
  <c r="FB64" i="123"/>
  <c r="FA83" i="7"/>
  <c r="FB84" i="7"/>
  <c r="FB90" i="7" s="1"/>
  <c r="FB57" i="123"/>
  <c r="FB61" i="123" s="1"/>
  <c r="EX39" i="9"/>
  <c r="EZ53" i="123"/>
  <c r="FB50" i="123"/>
  <c r="FA65" i="123"/>
  <c r="GH37" i="9"/>
  <c r="GH39" i="9" s="1"/>
  <c r="EV38" i="8"/>
  <c r="EW39" i="9"/>
  <c r="FG56" i="123" l="1"/>
  <c r="FB62" i="123"/>
  <c r="FE56" i="123"/>
  <c r="FD57" i="123"/>
  <c r="FD50" i="123" s="1"/>
  <c r="FD53" i="123" s="1"/>
  <c r="FD37" i="9" s="1"/>
  <c r="FD101" i="8" s="1"/>
  <c r="FA100" i="8"/>
  <c r="FC66" i="123"/>
  <c r="FC65" i="123" s="1"/>
  <c r="FE61" i="123"/>
  <c r="FD82" i="7"/>
  <c r="FD88" i="7" s="1"/>
  <c r="FD35" i="9" s="1"/>
  <c r="FC50" i="123"/>
  <c r="FC66" i="8"/>
  <c r="FC100" i="8"/>
  <c r="FD64" i="123"/>
  <c r="FC89" i="7"/>
  <c r="FB65" i="123"/>
  <c r="FB66" i="123" s="1"/>
  <c r="FB67" i="123" s="1"/>
  <c r="FA89" i="7"/>
  <c r="FB83" i="7"/>
  <c r="FB89" i="7" s="1"/>
  <c r="EV64" i="8"/>
  <c r="EW38" i="8"/>
  <c r="FA39" i="9"/>
  <c r="FA66" i="8"/>
  <c r="FB35" i="9"/>
  <c r="EZ37" i="9"/>
  <c r="FB53" i="123"/>
  <c r="FF56" i="123" l="1"/>
  <c r="FE57" i="123"/>
  <c r="GI35" i="9"/>
  <c r="FC84" i="7"/>
  <c r="FC90" i="7" s="1"/>
  <c r="EZ101" i="8"/>
  <c r="FD66" i="8"/>
  <c r="FD39" i="9"/>
  <c r="FD100" i="8"/>
  <c r="FE82" i="7"/>
  <c r="FE88" i="7" s="1"/>
  <c r="FE35" i="9" s="1"/>
  <c r="FF61" i="123"/>
  <c r="FD66" i="123"/>
  <c r="FD83" i="7"/>
  <c r="FC53" i="123"/>
  <c r="FE64" i="123"/>
  <c r="EW64" i="8"/>
  <c r="EX38" i="8"/>
  <c r="FB66" i="8"/>
  <c r="EZ39" i="9"/>
  <c r="FB37" i="9"/>
  <c r="FH56" i="123" l="1"/>
  <c r="FF57" i="123"/>
  <c r="FG57" i="123" s="1"/>
  <c r="FH61" i="123"/>
  <c r="FF64" i="123"/>
  <c r="FF83" i="7" s="1"/>
  <c r="FF89" i="7" s="1"/>
  <c r="FE66" i="123"/>
  <c r="FE83" i="7"/>
  <c r="FE89" i="7" s="1"/>
  <c r="FD89" i="7"/>
  <c r="GH89" i="7" s="1"/>
  <c r="FD65" i="123"/>
  <c r="FD84" i="7"/>
  <c r="GH84" i="7" s="1"/>
  <c r="FF82" i="7"/>
  <c r="FC37" i="9"/>
  <c r="FE66" i="8"/>
  <c r="FE100" i="8"/>
  <c r="FE50" i="123"/>
  <c r="EX64" i="8"/>
  <c r="EY38" i="8"/>
  <c r="FB39" i="9"/>
  <c r="FF50" i="123" l="1"/>
  <c r="FF53" i="123" s="1"/>
  <c r="FF37" i="9" s="1"/>
  <c r="FF101" i="8" s="1"/>
  <c r="FH64" i="123"/>
  <c r="FH83" i="7" s="1"/>
  <c r="FH57" i="123"/>
  <c r="FI56" i="123"/>
  <c r="FI61" i="123"/>
  <c r="FH82" i="7"/>
  <c r="FH88" i="7" s="1"/>
  <c r="FH35" i="9" s="1"/>
  <c r="GI37" i="9"/>
  <c r="GI39" i="9" s="1"/>
  <c r="FG64" i="123"/>
  <c r="FF66" i="123"/>
  <c r="FF84" i="7" s="1"/>
  <c r="FF90" i="7" s="1"/>
  <c r="FG61" i="123"/>
  <c r="FG62" i="123" s="1"/>
  <c r="FG83" i="7"/>
  <c r="FG89" i="7" s="1"/>
  <c r="FD90" i="7"/>
  <c r="GH90" i="7" s="1"/>
  <c r="FC101" i="8"/>
  <c r="FC39" i="9"/>
  <c r="FE53" i="123"/>
  <c r="FG50" i="123"/>
  <c r="FF88" i="7"/>
  <c r="FF35" i="9" s="1"/>
  <c r="FG82" i="7"/>
  <c r="FG88" i="7" s="1"/>
  <c r="FE65" i="123"/>
  <c r="FE84" i="7"/>
  <c r="FE90" i="7" s="1"/>
  <c r="EY64" i="8"/>
  <c r="EZ38" i="8"/>
  <c r="FH66" i="123" l="1"/>
  <c r="FH65" i="123" s="1"/>
  <c r="FI57" i="123"/>
  <c r="FI50" i="123" s="1"/>
  <c r="FI53" i="123" s="1"/>
  <c r="FI37" i="9" s="1"/>
  <c r="FI101" i="8" s="1"/>
  <c r="FI82" i="7"/>
  <c r="FI88" i="7" s="1"/>
  <c r="FI35" i="9" s="1"/>
  <c r="FJ61" i="123"/>
  <c r="FJ56" i="123"/>
  <c r="FH50" i="123"/>
  <c r="FH66" i="8"/>
  <c r="FH100" i="8"/>
  <c r="FH89" i="7"/>
  <c r="FL56" i="123"/>
  <c r="FI64" i="123"/>
  <c r="FH84" i="7"/>
  <c r="GH91" i="7"/>
  <c r="FF65" i="123"/>
  <c r="FG65" i="123" s="1"/>
  <c r="FG66" i="123" s="1"/>
  <c r="FG67" i="123" s="1"/>
  <c r="FF39" i="9"/>
  <c r="FF100" i="8"/>
  <c r="FF66" i="8"/>
  <c r="FG35" i="9"/>
  <c r="FG84" i="7"/>
  <c r="FG90" i="7" s="1"/>
  <c r="FE37" i="9"/>
  <c r="FG53" i="123"/>
  <c r="EZ64" i="8"/>
  <c r="FA38" i="8"/>
  <c r="FJ64" i="123" l="1"/>
  <c r="FJ83" i="7" s="1"/>
  <c r="FJ89" i="7" s="1"/>
  <c r="FI66" i="123"/>
  <c r="FI83" i="7"/>
  <c r="FK56" i="123"/>
  <c r="FJ82" i="7"/>
  <c r="FJ88" i="7" s="1"/>
  <c r="FJ35" i="9" s="1"/>
  <c r="FK61" i="123"/>
  <c r="FJ57" i="123"/>
  <c r="FJ50" i="123" s="1"/>
  <c r="FJ53" i="123" s="1"/>
  <c r="FJ37" i="9" s="1"/>
  <c r="FJ101" i="8" s="1"/>
  <c r="FH90" i="7"/>
  <c r="FH53" i="123"/>
  <c r="FI100" i="8"/>
  <c r="FI66" i="8"/>
  <c r="FI39" i="9"/>
  <c r="FG66" i="8"/>
  <c r="FE101" i="8"/>
  <c r="FE39" i="9"/>
  <c r="FG37" i="9"/>
  <c r="FA64" i="8"/>
  <c r="FB38" i="8"/>
  <c r="FC38" i="8" s="1"/>
  <c r="FD38" i="8" s="1"/>
  <c r="FE38" i="8" s="1"/>
  <c r="FF38" i="8" s="1"/>
  <c r="FG38" i="8" s="1"/>
  <c r="FJ66" i="123" l="1"/>
  <c r="FJ65" i="123" s="1"/>
  <c r="FK64" i="123"/>
  <c r="FK66" i="123" s="1"/>
  <c r="FH37" i="9"/>
  <c r="FK82" i="7"/>
  <c r="FK57" i="123"/>
  <c r="FK50" i="123" s="1"/>
  <c r="FI89" i="7"/>
  <c r="GI89" i="7" s="1"/>
  <c r="FJ100" i="8"/>
  <c r="FJ66" i="8"/>
  <c r="FJ39" i="9"/>
  <c r="FI65" i="123"/>
  <c r="FI84" i="7"/>
  <c r="FG39" i="9"/>
  <c r="FB64" i="8"/>
  <c r="GE47" i="7"/>
  <c r="FJ84" i="7" l="1"/>
  <c r="FJ90" i="7" s="1"/>
  <c r="FL64" i="123"/>
  <c r="FK83" i="7"/>
  <c r="FK53" i="123"/>
  <c r="FL50" i="123"/>
  <c r="FK88" i="7"/>
  <c r="FK35" i="9" s="1"/>
  <c r="FL82" i="7"/>
  <c r="FL88" i="7" s="1"/>
  <c r="FH101" i="8"/>
  <c r="FH39" i="9"/>
  <c r="FI90" i="7"/>
  <c r="GI90" i="7" s="1"/>
  <c r="GI91" i="7" s="1"/>
  <c r="GI84" i="7"/>
  <c r="FH38" i="8"/>
  <c r="FL57" i="123"/>
  <c r="FL61" i="123" s="1"/>
  <c r="FL62" i="123" s="1"/>
  <c r="FK84" i="7"/>
  <c r="FK90" i="7" s="1"/>
  <c r="FK65" i="123"/>
  <c r="FL65" i="123" s="1"/>
  <c r="FC64" i="8"/>
  <c r="FL66" i="123" l="1"/>
  <c r="FL67" i="123" s="1"/>
  <c r="FK89" i="7"/>
  <c r="FL83" i="7"/>
  <c r="FL89" i="7" s="1"/>
  <c r="FL84" i="7"/>
  <c r="FL90" i="7" s="1"/>
  <c r="FK100" i="8"/>
  <c r="FK66" i="8"/>
  <c r="FL35" i="9"/>
  <c r="FL66" i="8" s="1"/>
  <c r="FH64" i="8"/>
  <c r="FI38" i="8"/>
  <c r="FK37" i="9"/>
  <c r="FL53" i="123"/>
  <c r="FD64" i="8"/>
  <c r="FK101" i="8" l="1"/>
  <c r="FL37" i="9"/>
  <c r="FK39" i="9"/>
  <c r="FI64" i="8"/>
  <c r="FJ38" i="8"/>
  <c r="FE64" i="8"/>
  <c r="FL39" i="9" l="1"/>
  <c r="FJ64" i="8"/>
  <c r="FK38" i="8"/>
  <c r="FF64" i="8"/>
  <c r="FG64" i="8"/>
  <c r="FK64" i="8" l="1"/>
  <c r="FL38" i="8"/>
  <c r="FL64" i="8" s="1"/>
  <c r="AX29" i="175" l="1"/>
  <c r="EQ137" i="135"/>
  <c r="EQ139" i="135" s="1"/>
  <c r="EL131" i="135" l="1"/>
  <c r="EL137" i="135"/>
  <c r="EL139" i="135" s="1"/>
  <c r="EL138" i="135"/>
  <c r="AY29" i="175"/>
  <c r="EL132" i="135" l="1"/>
  <c r="EL134" i="135" s="1"/>
  <c r="EQ132" i="135"/>
  <c r="EQ134" i="135" s="1"/>
  <c r="EL133" i="135"/>
  <c r="EM108" i="135"/>
  <c r="EM109" i="135" l="1"/>
  <c r="AX41" i="175" l="1"/>
  <c r="AX45" i="175"/>
  <c r="AX39" i="175"/>
  <c r="AY45" i="175" l="1"/>
  <c r="AX46" i="175"/>
  <c r="AY39" i="175"/>
  <c r="AY41" i="175"/>
  <c r="EM117" i="135" l="1"/>
  <c r="EM118" i="135"/>
  <c r="AY46" i="175"/>
  <c r="GE50" i="7" l="1"/>
  <c r="EN63" i="12" l="1"/>
  <c r="EN65" i="12" s="1"/>
  <c r="GE66" i="7" l="1"/>
  <c r="GE78" i="7"/>
  <c r="EN7" i="8" l="1"/>
  <c r="GE48" i="7" l="1"/>
  <c r="GE51" i="7" l="1"/>
  <c r="EV61" i="7" l="1"/>
  <c r="EX61" i="7"/>
  <c r="GE53" i="7"/>
  <c r="EV66" i="7"/>
  <c r="EV120" i="7" s="1"/>
  <c r="GE54" i="7" l="1"/>
  <c r="GE55" i="7" s="1"/>
  <c r="EX66" i="7"/>
  <c r="EX120" i="7" s="1"/>
  <c r="EY61" i="7"/>
  <c r="EV28" i="8" l="1"/>
  <c r="EW28" i="8" s="1"/>
  <c r="EX28" i="8" s="1"/>
  <c r="EY28" i="8" s="1"/>
  <c r="EZ28" i="8" s="1"/>
  <c r="FA28" i="8" s="1"/>
  <c r="FB28" i="8" s="1"/>
  <c r="FC28" i="8" s="1"/>
  <c r="FD28" i="8" s="1"/>
  <c r="FE28" i="8" s="1"/>
  <c r="FF28" i="8" s="1"/>
  <c r="FG28" i="8" s="1"/>
  <c r="FH28" i="8" s="1"/>
  <c r="FI28" i="8" s="1"/>
  <c r="FJ28" i="8" s="1"/>
  <c r="FK28" i="8" s="1"/>
  <c r="FL28" i="8" s="1"/>
  <c r="EY66" i="7"/>
  <c r="EY120" i="7" s="1"/>
  <c r="EZ61" i="7"/>
  <c r="GF20" i="9"/>
  <c r="G57" i="141"/>
  <c r="G34" i="141" s="1"/>
  <c r="GE56" i="7"/>
  <c r="G49" i="141" l="1"/>
  <c r="GE57" i="7"/>
  <c r="GE58" i="7"/>
  <c r="GE79" i="7"/>
  <c r="GE80" i="7" s="1"/>
  <c r="GE67" i="7"/>
  <c r="GE68" i="7" s="1"/>
  <c r="GE69" i="7" s="1"/>
  <c r="EZ66" i="7"/>
  <c r="EZ120" i="7" s="1"/>
  <c r="FA61" i="7" l="1"/>
  <c r="EV17" i="8"/>
  <c r="EX17" i="8" s="1"/>
  <c r="EY17" i="8" s="1"/>
  <c r="EZ17" i="8" s="1"/>
  <c r="FA17" i="8" s="1"/>
  <c r="FC17" i="8" s="1"/>
  <c r="FD17" i="8" s="1"/>
  <c r="FE17" i="8" s="1"/>
  <c r="FF17" i="8" s="1"/>
  <c r="GE59" i="7"/>
  <c r="FA78" i="7"/>
  <c r="FA66" i="7"/>
  <c r="FA120" i="7" s="1"/>
  <c r="GF7" i="9"/>
  <c r="GF16" i="9" s="1"/>
  <c r="FG17" i="8" l="1"/>
  <c r="FH17" i="8"/>
  <c r="FI17" i="8" s="1"/>
  <c r="FJ17" i="8" s="1"/>
  <c r="FK17" i="8" s="1"/>
  <c r="FL17" i="8" s="1"/>
  <c r="FC61" i="7"/>
  <c r="FC66" i="7"/>
  <c r="FC120" i="7" s="1"/>
  <c r="FB17" i="8"/>
  <c r="EW17" i="8"/>
  <c r="GF45" i="9"/>
  <c r="FD61" i="7" l="1"/>
  <c r="FD66" i="7"/>
  <c r="FD120" i="7" s="1"/>
  <c r="BY178" i="175"/>
  <c r="BD178" i="175"/>
  <c r="BD179" i="175" s="1"/>
  <c r="AZ181" i="175"/>
  <c r="FE61" i="7" l="1"/>
  <c r="FE66" i="7"/>
  <c r="GH66" i="7"/>
  <c r="BZ193" i="175"/>
  <c r="BY302" i="175"/>
  <c r="BD181" i="175"/>
  <c r="BD182" i="175" s="1"/>
  <c r="AZ182" i="175"/>
  <c r="BZ178" i="175"/>
  <c r="FE120" i="7" l="1"/>
  <c r="FF78" i="7"/>
  <c r="FF61" i="7"/>
  <c r="FF66" i="7"/>
  <c r="FF120" i="7" s="1"/>
  <c r="BZ119" i="175"/>
  <c r="BZ120" i="175" s="1"/>
  <c r="BY301" i="175"/>
  <c r="BZ302" i="175"/>
  <c r="GI66" i="7" l="1"/>
  <c r="BZ36" i="175"/>
  <c r="BZ301" i="175"/>
  <c r="EN17" i="135" l="1"/>
  <c r="EN12" i="135"/>
  <c r="EN158" i="135"/>
  <c r="ES159" i="135" s="1"/>
  <c r="EN174" i="135" l="1"/>
  <c r="EX24" i="135"/>
  <c r="FC24" i="135" s="1"/>
  <c r="FH24" i="135" s="1"/>
  <c r="EN146" i="135"/>
  <c r="ES148" i="135" s="1"/>
  <c r="EN150" i="135"/>
  <c r="ES152" i="135" s="1"/>
  <c r="EN165" i="135"/>
  <c r="EN142" i="135"/>
  <c r="ES144" i="135" s="1"/>
  <c r="EN159" i="135"/>
  <c r="EN170" i="135"/>
  <c r="EN160" i="135"/>
  <c r="EN143" i="135" l="1"/>
  <c r="EN144" i="135"/>
  <c r="EN148" i="135"/>
  <c r="EN147" i="135"/>
  <c r="EN154" i="135"/>
  <c r="ES156" i="135" s="1"/>
  <c r="EN151" i="135"/>
  <c r="EN152" i="135"/>
  <c r="EN156" i="135" l="1"/>
  <c r="EN155" i="135"/>
  <c r="GF22" i="9" l="1"/>
  <c r="GF24" i="9" s="1"/>
  <c r="GF25" i="9" l="1"/>
  <c r="GF41" i="9" s="1"/>
  <c r="G38" i="141"/>
  <c r="G41" i="141" s="1"/>
  <c r="GF54" i="9" l="1"/>
  <c r="EO7" i="8"/>
  <c r="G52" i="141"/>
  <c r="G58" i="141" l="1"/>
  <c r="G53" i="141"/>
  <c r="GF57" i="9"/>
  <c r="BY28" i="175" l="1"/>
  <c r="BA29" i="175"/>
  <c r="BA27" i="175"/>
  <c r="BY29" i="175" l="1"/>
  <c r="EO137" i="135"/>
  <c r="EO139" i="135" s="1"/>
  <c r="ET132" i="135"/>
  <c r="EO134" i="135" l="1"/>
  <c r="BA41" i="175" l="1"/>
  <c r="BY40" i="175"/>
  <c r="BY41" i="175" s="1"/>
  <c r="BB38" i="171" l="1"/>
  <c r="BG38" i="171" l="1"/>
  <c r="BG42" i="171" s="1"/>
  <c r="BB40" i="171"/>
  <c r="DC38" i="171"/>
  <c r="DC39" i="171" s="1"/>
  <c r="DC40" i="171" l="1"/>
  <c r="DC41" i="171" s="1"/>
  <c r="BB42" i="171" l="1"/>
  <c r="BL42" i="171" s="1"/>
  <c r="BQ42" i="171" s="1"/>
  <c r="BV42" i="171" s="1"/>
  <c r="DC32" i="171"/>
  <c r="BB33" i="171"/>
  <c r="BA107" i="175"/>
  <c r="BA107" i="189" l="1"/>
  <c r="BA109" i="189" s="1"/>
  <c r="BB107" i="189"/>
  <c r="BB30" i="171"/>
  <c r="DC44" i="171"/>
  <c r="BA109" i="175"/>
  <c r="BB109" i="175"/>
  <c r="BA108" i="175"/>
  <c r="BY107" i="175"/>
  <c r="BY108" i="175" s="1"/>
  <c r="BA32" i="175"/>
  <c r="DC33" i="171"/>
  <c r="DC29" i="171"/>
  <c r="DC30" i="171" s="1"/>
  <c r="CD107" i="189" l="1"/>
  <c r="CD108" i="189" s="1"/>
  <c r="BA128" i="189"/>
  <c r="BA32" i="189"/>
  <c r="BA39" i="189" s="1"/>
  <c r="BB32" i="189"/>
  <c r="BB39" i="189" s="1"/>
  <c r="BB128" i="189"/>
  <c r="BB109" i="189"/>
  <c r="DC45" i="171"/>
  <c r="BC46" i="171"/>
  <c r="BB43" i="175" s="1"/>
  <c r="BB46" i="171"/>
  <c r="BB49" i="171" s="1"/>
  <c r="BB36" i="171"/>
  <c r="DC35" i="171"/>
  <c r="DC36" i="171" s="1"/>
  <c r="CD32" i="189"/>
  <c r="BY32" i="175"/>
  <c r="BA130" i="175"/>
  <c r="BA131" i="175"/>
  <c r="BY129" i="175"/>
  <c r="BY130" i="175" s="1"/>
  <c r="BG44" i="171"/>
  <c r="BL29" i="171"/>
  <c r="BH45" i="171" l="1"/>
  <c r="BG45" i="171"/>
  <c r="BG35" i="171" s="1"/>
  <c r="BG40" i="171" s="1"/>
  <c r="BG41" i="171" s="1"/>
  <c r="DC46" i="171"/>
  <c r="BA43" i="175"/>
  <c r="BC36" i="171"/>
  <c r="BC48" i="171"/>
  <c r="BC49" i="171" s="1"/>
  <c r="DC49" i="171"/>
  <c r="CD39" i="189"/>
  <c r="BL32" i="171"/>
  <c r="BL44" i="171" s="1"/>
  <c r="BQ29" i="171"/>
  <c r="BQ32" i="171" l="1"/>
  <c r="BQ44" i="171" s="1"/>
  <c r="BV29" i="171"/>
  <c r="BV32" i="171" s="1"/>
  <c r="BF107" i="189"/>
  <c r="BG36" i="171"/>
  <c r="CD43" i="189"/>
  <c r="BL38" i="171"/>
  <c r="BL39" i="171" s="1"/>
  <c r="BL33" i="171"/>
  <c r="BH35" i="171"/>
  <c r="BA46" i="189"/>
  <c r="CD45" i="189"/>
  <c r="CD46" i="189" s="1"/>
  <c r="BB46" i="189"/>
  <c r="BD48" i="171"/>
  <c r="DM38" i="172"/>
  <c r="DM39" i="172" s="1"/>
  <c r="BY43" i="175"/>
  <c r="BA45" i="175"/>
  <c r="BQ38" i="171" l="1"/>
  <c r="BQ33" i="171"/>
  <c r="BV33" i="171"/>
  <c r="BG107" i="189"/>
  <c r="BG128" i="189" s="1"/>
  <c r="BH40" i="171"/>
  <c r="BH41" i="171" s="1"/>
  <c r="BV38" i="171"/>
  <c r="BV39" i="171" s="1"/>
  <c r="BV44" i="171"/>
  <c r="BF32" i="189"/>
  <c r="BF39" i="189" s="1"/>
  <c r="BF108" i="189"/>
  <c r="BF109" i="189"/>
  <c r="BF128" i="189"/>
  <c r="BQ39" i="171"/>
  <c r="BH36" i="171"/>
  <c r="EO158" i="135"/>
  <c r="ET159" i="135" s="1"/>
  <c r="EO12" i="135"/>
  <c r="EO17" i="135"/>
  <c r="EP158" i="135"/>
  <c r="EP12" i="135"/>
  <c r="EP17" i="135"/>
  <c r="BA46" i="175"/>
  <c r="BY45" i="175"/>
  <c r="BY46" i="175" s="1"/>
  <c r="BG108" i="189" l="1"/>
  <c r="BG32" i="189"/>
  <c r="BG39" i="189" s="1"/>
  <c r="CF39" i="189" s="1"/>
  <c r="BG109" i="189"/>
  <c r="EO146" i="135"/>
  <c r="ET148" i="135" s="1"/>
  <c r="EO170" i="135"/>
  <c r="EO159" i="135"/>
  <c r="EO165" i="135"/>
  <c r="EO142" i="135"/>
  <c r="ET144" i="135" s="1"/>
  <c r="EO174" i="135"/>
  <c r="EO150" i="135"/>
  <c r="ET152" i="135" s="1"/>
  <c r="EO160" i="135"/>
  <c r="EO69" i="135"/>
  <c r="EO66" i="135"/>
  <c r="EP66" i="135"/>
  <c r="EP65" i="135"/>
  <c r="EP69" i="135"/>
  <c r="EP142" i="135"/>
  <c r="EP150" i="135"/>
  <c r="EP159" i="135"/>
  <c r="EP146" i="135"/>
  <c r="EP174" i="135"/>
  <c r="EP160" i="135"/>
  <c r="EP165" i="135"/>
  <c r="EP170" i="135"/>
  <c r="EO65" i="135" l="1"/>
  <c r="EO152" i="135"/>
  <c r="EO151" i="135"/>
  <c r="EO70" i="135"/>
  <c r="EO71" i="135" s="1"/>
  <c r="EO72" i="135"/>
  <c r="EO143" i="135"/>
  <c r="EO144" i="135"/>
  <c r="EO147" i="135"/>
  <c r="EO148" i="135"/>
  <c r="EO154" i="135"/>
  <c r="ET156" i="135" s="1"/>
  <c r="EP154" i="135"/>
  <c r="EP155" i="135" s="1"/>
  <c r="EP152" i="135"/>
  <c r="EP151" i="135"/>
  <c r="EP143" i="135"/>
  <c r="EP144" i="135"/>
  <c r="EP148" i="135"/>
  <c r="EP147" i="135"/>
  <c r="EP70" i="135"/>
  <c r="EP71" i="135" s="1"/>
  <c r="EP72" i="135"/>
  <c r="EU8" i="7" l="1"/>
  <c r="EO156" i="135"/>
  <c r="EO155" i="135"/>
  <c r="EP156" i="135"/>
  <c r="EU46" i="8" l="1"/>
  <c r="EU90" i="8"/>
  <c r="EU31" i="7"/>
  <c r="EZ31" i="7" s="1"/>
  <c r="FE31" i="7" s="1"/>
  <c r="FJ31" i="7" s="1"/>
  <c r="EU28" i="7"/>
  <c r="EZ28" i="7" s="1"/>
  <c r="FE28" i="7" s="1"/>
  <c r="FJ28" i="7" s="1"/>
  <c r="EU25" i="7"/>
  <c r="EZ25" i="7" s="1"/>
  <c r="FE25" i="7" s="1"/>
  <c r="FJ25" i="7" s="1"/>
  <c r="EU9" i="7"/>
  <c r="EU18" i="7"/>
  <c r="CG62" i="172" s="1"/>
  <c r="EU35" i="7"/>
  <c r="ER42" i="135"/>
  <c r="ER46" i="135"/>
  <c r="EZ90" i="8" l="1"/>
  <c r="FE90" i="8" s="1"/>
  <c r="FJ90" i="8" s="1"/>
  <c r="CG59" i="172"/>
  <c r="CG63" i="172"/>
  <c r="CG61" i="172"/>
  <c r="CG58" i="172" s="1"/>
  <c r="EU22" i="7"/>
  <c r="EU37" i="7"/>
  <c r="ER44" i="135"/>
  <c r="ER36" i="135"/>
  <c r="ER48" i="135"/>
  <c r="ER53" i="135"/>
  <c r="ER54" i="135" s="1"/>
  <c r="ER104" i="135"/>
  <c r="ER105" i="135" s="1"/>
  <c r="ER95" i="135"/>
  <c r="ER96" i="135" s="1"/>
  <c r="EU39" i="7" l="1"/>
  <c r="EU42" i="7"/>
  <c r="EU38" i="7"/>
  <c r="EU53" i="7"/>
  <c r="EU44" i="7"/>
  <c r="EU45" i="7" s="1"/>
  <c r="ER7" i="135"/>
  <c r="ES59" i="135"/>
  <c r="ES38" i="135"/>
  <c r="ER43" i="135"/>
  <c r="ER47" i="135"/>
  <c r="BB159" i="175"/>
  <c r="BC159" i="175"/>
  <c r="BC116" i="175"/>
  <c r="BC35" i="175" s="1"/>
  <c r="BD158" i="175"/>
  <c r="BA159" i="175"/>
  <c r="BY158" i="175"/>
  <c r="BA116" i="175"/>
  <c r="EU54" i="7" l="1"/>
  <c r="EU52" i="8"/>
  <c r="EZ52" i="8" s="1"/>
  <c r="FE52" i="8" s="1"/>
  <c r="FJ52" i="8" s="1"/>
  <c r="EU118" i="7"/>
  <c r="EU55" i="7"/>
  <c r="EU57" i="9" s="1"/>
  <c r="EU59" i="9" s="1"/>
  <c r="EU119" i="7"/>
  <c r="BD157" i="175"/>
  <c r="BD159" i="175"/>
  <c r="BA128" i="175"/>
  <c r="BD116" i="175"/>
  <c r="BD117" i="175" s="1"/>
  <c r="BY116" i="175"/>
  <c r="BY117" i="175" s="1"/>
  <c r="BA117" i="175"/>
  <c r="BA118" i="175"/>
  <c r="BA35" i="175"/>
  <c r="BC118" i="175"/>
  <c r="BC117" i="175"/>
  <c r="BY300" i="175"/>
  <c r="BY360" i="175"/>
  <c r="BB118" i="175"/>
  <c r="BB117" i="175"/>
  <c r="BB35" i="175"/>
  <c r="BB39" i="175" s="1"/>
  <c r="EU66" i="7" l="1"/>
  <c r="EU61" i="7"/>
  <c r="EU62" i="7" s="1"/>
  <c r="EU63" i="7" s="1"/>
  <c r="EU64" i="7" s="1"/>
  <c r="BB128" i="175"/>
  <c r="BB130" i="175"/>
  <c r="BB131" i="175"/>
  <c r="BY35" i="175"/>
  <c r="BD35" i="175"/>
  <c r="BA39" i="175"/>
  <c r="BZ158" i="175"/>
  <c r="BY304" i="175"/>
  <c r="EU120" i="7" l="1"/>
  <c r="EU67" i="7"/>
  <c r="EU68" i="7" s="1"/>
  <c r="EU69" i="7" s="1"/>
  <c r="GG66" i="7"/>
  <c r="BB41" i="175"/>
  <c r="BY39" i="175"/>
  <c r="BZ360" i="175"/>
  <c r="CF101" i="172"/>
  <c r="DM101" i="172"/>
  <c r="DM102" i="172" s="1"/>
  <c r="BZ300" i="175" l="1"/>
  <c r="BZ35" i="175"/>
  <c r="BZ116" i="175"/>
  <c r="BZ117" i="175" s="1"/>
  <c r="DM119" i="172"/>
  <c r="DM120" i="172" s="1"/>
  <c r="BZ433" i="175"/>
  <c r="CE101" i="172"/>
  <c r="BZ304" i="175"/>
  <c r="CF460" i="172"/>
  <c r="CF102" i="172"/>
  <c r="CF162" i="172"/>
  <c r="CF161" i="172" s="1"/>
  <c r="CF119" i="172"/>
  <c r="CG101" i="172"/>
  <c r="DM162" i="172"/>
  <c r="DM163" i="172" s="1"/>
  <c r="DM202" i="172"/>
  <c r="BC134" i="175" l="1"/>
  <c r="DM161" i="172"/>
  <c r="DM173" i="172"/>
  <c r="DM174" i="172" s="1"/>
  <c r="CF120" i="172"/>
  <c r="CF144" i="172"/>
  <c r="CE460" i="172"/>
  <c r="CE102" i="172"/>
  <c r="CE104" i="172"/>
  <c r="CE119" i="172"/>
  <c r="CF122" i="172" s="1"/>
  <c r="CE162" i="172"/>
  <c r="CE161" i="172" s="1"/>
  <c r="DN161" i="172" s="1"/>
  <c r="DN101" i="172"/>
  <c r="DN102" i="172" s="1"/>
  <c r="DM177" i="172"/>
  <c r="DM178" i="172" s="1"/>
  <c r="CE178" i="172"/>
  <c r="DM189" i="172"/>
  <c r="DM190" i="172" s="1"/>
  <c r="CG460" i="172"/>
  <c r="CG104" i="172"/>
  <c r="CG102" i="172"/>
  <c r="CG119" i="172"/>
  <c r="CG162" i="172"/>
  <c r="CH101" i="172"/>
  <c r="DM142" i="172"/>
  <c r="DM203" i="172" s="1"/>
  <c r="DM201" i="172"/>
  <c r="ER113" i="135"/>
  <c r="ER114" i="135" s="1"/>
  <c r="CF202" i="172"/>
  <c r="CF173" i="172"/>
  <c r="CF174" i="172"/>
  <c r="CF189" i="172" s="1"/>
  <c r="CF104" i="172"/>
  <c r="BB134" i="175"/>
  <c r="CG202" i="172" l="1"/>
  <c r="CG174" i="172"/>
  <c r="CG189" i="172" s="1"/>
  <c r="CG173" i="172"/>
  <c r="CH104" i="172"/>
  <c r="CH102" i="172"/>
  <c r="CH460" i="172"/>
  <c r="CH119" i="172"/>
  <c r="CI119" i="172" s="1"/>
  <c r="CH162" i="172"/>
  <c r="CI162" i="172" s="1"/>
  <c r="CG122" i="172"/>
  <c r="CG144" i="172"/>
  <c r="CG120" i="172"/>
  <c r="CG161" i="172"/>
  <c r="CI101" i="172"/>
  <c r="CF178" i="172"/>
  <c r="CE177" i="172"/>
  <c r="BB135" i="175"/>
  <c r="BB136" i="175"/>
  <c r="CE202" i="172"/>
  <c r="DN202" i="172" s="1"/>
  <c r="CE173" i="172"/>
  <c r="CE174" i="172"/>
  <c r="CE189" i="172" s="1"/>
  <c r="DN162" i="172"/>
  <c r="DN163" i="172" s="1"/>
  <c r="BC136" i="175"/>
  <c r="BC135" i="175"/>
  <c r="BD134" i="175"/>
  <c r="BD135" i="175" s="1"/>
  <c r="DM143" i="172"/>
  <c r="DM207" i="172"/>
  <c r="CE122" i="172"/>
  <c r="CE144" i="172"/>
  <c r="CE120" i="172"/>
  <c r="DN119" i="172"/>
  <c r="DN120" i="172" s="1"/>
  <c r="CI144" i="172" l="1"/>
  <c r="CI120" i="172"/>
  <c r="CI202" i="172"/>
  <c r="CI163" i="172"/>
  <c r="CI173" i="172"/>
  <c r="CI174" i="172"/>
  <c r="CI189" i="172" s="1"/>
  <c r="CK101" i="172"/>
  <c r="CP102" i="172" s="1"/>
  <c r="DM199" i="172"/>
  <c r="CH120" i="172"/>
  <c r="CH144" i="172"/>
  <c r="CH122" i="172"/>
  <c r="DN189" i="172"/>
  <c r="DN190" i="172" s="1"/>
  <c r="DN173" i="172"/>
  <c r="DN174" i="172" s="1"/>
  <c r="CJ101" i="172"/>
  <c r="CO102" i="172" s="1"/>
  <c r="CF177" i="172"/>
  <c r="DN177" i="172" s="1"/>
  <c r="DN178" i="172" s="1"/>
  <c r="CG178" i="172"/>
  <c r="CI460" i="172"/>
  <c r="CI161" i="172"/>
  <c r="CI102" i="172"/>
  <c r="CH202" i="172"/>
  <c r="CH173" i="172"/>
  <c r="CH174" i="172"/>
  <c r="CH189" i="172" s="1"/>
  <c r="CH161" i="172"/>
  <c r="CH178" i="172" l="1"/>
  <c r="CH177" i="172" s="1"/>
  <c r="CG177" i="172"/>
  <c r="CJ104" i="172"/>
  <c r="CJ460" i="172"/>
  <c r="CJ102" i="172"/>
  <c r="CJ162" i="172"/>
  <c r="CJ119" i="172"/>
  <c r="CM101" i="172"/>
  <c r="CK460" i="172"/>
  <c r="CK104" i="172"/>
  <c r="CK102" i="172"/>
  <c r="CK119" i="172"/>
  <c r="CK162" i="172"/>
  <c r="CK161" i="172" s="1"/>
  <c r="CO144" i="172" l="1"/>
  <c r="CO120" i="172"/>
  <c r="CO104" i="172"/>
  <c r="CR102" i="172"/>
  <c r="CP120" i="172"/>
  <c r="CP144" i="172"/>
  <c r="CM460" i="172"/>
  <c r="CM102" i="172"/>
  <c r="CM119" i="172"/>
  <c r="CM162" i="172"/>
  <c r="CM161" i="172" s="1"/>
  <c r="CK202" i="172"/>
  <c r="CK173" i="172"/>
  <c r="CK174" i="172"/>
  <c r="CK189" i="172" s="1"/>
  <c r="CJ122" i="172"/>
  <c r="CJ144" i="172"/>
  <c r="CJ120" i="172"/>
  <c r="CL101" i="172"/>
  <c r="CQ102" i="172" s="1"/>
  <c r="CJ202" i="172"/>
  <c r="CJ173" i="172"/>
  <c r="CJ174" i="172"/>
  <c r="CJ189" i="172" s="1"/>
  <c r="CI177" i="172"/>
  <c r="CK122" i="172"/>
  <c r="CK120" i="172"/>
  <c r="CK144" i="172"/>
  <c r="CJ161" i="172"/>
  <c r="CO122" i="172" l="1"/>
  <c r="CR144" i="172"/>
  <c r="CR120" i="172"/>
  <c r="CM120" i="172"/>
  <c r="CM144" i="172"/>
  <c r="CM142" i="172"/>
  <c r="CL104" i="172"/>
  <c r="CL460" i="172"/>
  <c r="CL102" i="172"/>
  <c r="CL119" i="172"/>
  <c r="CL162" i="172"/>
  <c r="CL161" i="172" s="1"/>
  <c r="CN101" i="172"/>
  <c r="CS102" i="172" s="1"/>
  <c r="CM104" i="172"/>
  <c r="CI178" i="172"/>
  <c r="CJ178" i="172" s="1"/>
  <c r="CM202" i="172"/>
  <c r="CM173" i="172"/>
  <c r="CM174" i="172"/>
  <c r="CM189" i="172" s="1"/>
  <c r="CM122" i="172" l="1"/>
  <c r="CQ120" i="172"/>
  <c r="CQ144" i="172"/>
  <c r="CM203" i="172"/>
  <c r="CR145" i="172"/>
  <c r="CR143" i="172"/>
  <c r="CN460" i="172"/>
  <c r="CN102" i="172"/>
  <c r="CJ177" i="172"/>
  <c r="CK178" i="172"/>
  <c r="CL202" i="172"/>
  <c r="CL173" i="172"/>
  <c r="CL174" i="172"/>
  <c r="CL189" i="172" s="1"/>
  <c r="CN162" i="172"/>
  <c r="CL122" i="172"/>
  <c r="CL120" i="172"/>
  <c r="CL144" i="172"/>
  <c r="CN119" i="172"/>
  <c r="CM134" i="172"/>
  <c r="CM100" i="172"/>
  <c r="CM201" i="172"/>
  <c r="CM118" i="172"/>
  <c r="CM129" i="172"/>
  <c r="CM111" i="172"/>
  <c r="CM149" i="172"/>
  <c r="CM105" i="172"/>
  <c r="CR150" i="172" l="1"/>
  <c r="CS144" i="172"/>
  <c r="CS120" i="172"/>
  <c r="CN163" i="172"/>
  <c r="CN202" i="172"/>
  <c r="CN173" i="172"/>
  <c r="CN174" i="172"/>
  <c r="CN189" i="172" s="1"/>
  <c r="CN161" i="172"/>
  <c r="CK177" i="172"/>
  <c r="CL178" i="172"/>
  <c r="CN144" i="172"/>
  <c r="CN120" i="172"/>
  <c r="CL177" i="172" l="1"/>
  <c r="CM178" i="172"/>
  <c r="CM177" i="172" s="1"/>
  <c r="EP63" i="12"/>
  <c r="EP65" i="12" s="1"/>
  <c r="CN177" i="172" l="1"/>
  <c r="CN178" i="172" l="1"/>
  <c r="CO178" i="172" s="1"/>
  <c r="CP178" i="172" l="1"/>
  <c r="CO177" i="172"/>
  <c r="CS177" i="172" l="1"/>
  <c r="CP177" i="172"/>
  <c r="CQ178" i="172"/>
  <c r="CR178" i="172" l="1"/>
  <c r="CR177" i="172" s="1"/>
  <c r="CQ177" i="172"/>
  <c r="CS178" i="172"/>
  <c r="CT178" i="172" s="1"/>
  <c r="EP7" i="8"/>
  <c r="CU178" i="172" l="1"/>
  <c r="CT177" i="172"/>
  <c r="EQ63" i="12"/>
  <c r="EQ65" i="12" s="1"/>
  <c r="CV178" i="172" l="1"/>
  <c r="CU177" i="172"/>
  <c r="CX177" i="172"/>
  <c r="CV177" i="172" l="1"/>
  <c r="CW178" i="172"/>
  <c r="CW177" i="172" s="1"/>
  <c r="CX178" i="172"/>
  <c r="EW42" i="9" l="1"/>
  <c r="EW44" i="9" s="1"/>
  <c r="EW63" i="8"/>
  <c r="EQ7" i="8" l="1"/>
  <c r="BZ28" i="175" l="1"/>
  <c r="BZ29" i="175" s="1"/>
  <c r="BB45" i="175"/>
  <c r="BB46" i="175" s="1"/>
  <c r="BB29" i="175"/>
  <c r="BB27" i="175"/>
  <c r="EQ138" i="135" l="1"/>
  <c r="BD29" i="175"/>
  <c r="EP137" i="135"/>
  <c r="EP139" i="135" s="1"/>
  <c r="EP138" i="135"/>
  <c r="EP131" i="135"/>
  <c r="EQ133" i="135" l="1"/>
  <c r="EU132" i="135"/>
  <c r="ER109" i="135"/>
  <c r="ER108" i="135"/>
  <c r="EP133" i="135"/>
  <c r="EP132" i="135"/>
  <c r="EP134" i="135" s="1"/>
  <c r="CK38" i="171" l="1"/>
  <c r="CK39" i="171" s="1"/>
  <c r="CK40" i="171"/>
  <c r="DD32" i="171"/>
  <c r="CK32" i="171"/>
  <c r="DD38" i="171"/>
  <c r="DD39" i="171" s="1"/>
  <c r="BC107" i="175"/>
  <c r="BI29" i="171"/>
  <c r="BI32" i="171" l="1"/>
  <c r="BE45" i="171"/>
  <c r="BE35" i="171" s="1"/>
  <c r="BC107" i="189"/>
  <c r="BE32" i="189"/>
  <c r="BE39" i="189" s="1"/>
  <c r="BI39" i="189" s="1"/>
  <c r="BF46" i="171"/>
  <c r="CE140" i="172" s="1"/>
  <c r="BD107" i="175"/>
  <c r="BD108" i="175" s="1"/>
  <c r="BC32" i="175"/>
  <c r="BC39" i="175" s="1"/>
  <c r="BC128" i="175"/>
  <c r="BN29" i="171"/>
  <c r="BH46" i="171"/>
  <c r="CK33" i="171"/>
  <c r="BC108" i="175"/>
  <c r="BC109" i="175"/>
  <c r="BZ107" i="175"/>
  <c r="BZ108" i="175" s="1"/>
  <c r="DD44" i="171"/>
  <c r="DD33" i="171"/>
  <c r="DD29" i="171"/>
  <c r="DD30" i="171" s="1"/>
  <c r="CK29" i="171"/>
  <c r="CK30" i="171" s="1"/>
  <c r="CK41" i="171"/>
  <c r="CL32" i="171" l="1"/>
  <c r="CL33" i="171" s="1"/>
  <c r="DE32" i="171"/>
  <c r="DE33" i="171" s="1"/>
  <c r="BI38" i="171"/>
  <c r="BI39" i="171" s="1"/>
  <c r="BI33" i="171"/>
  <c r="BI44" i="171"/>
  <c r="DE44" i="171" s="1"/>
  <c r="BE108" i="189"/>
  <c r="BC32" i="189"/>
  <c r="BE109" i="189"/>
  <c r="BC109" i="189"/>
  <c r="BC128" i="189"/>
  <c r="BD107" i="189"/>
  <c r="CE107" i="189"/>
  <c r="CE108" i="189" s="1"/>
  <c r="BD46" i="171"/>
  <c r="BE46" i="171"/>
  <c r="BG46" i="171"/>
  <c r="BJ45" i="171"/>
  <c r="BJ35" i="171" s="1"/>
  <c r="BJ40" i="171" s="1"/>
  <c r="DD45" i="171"/>
  <c r="BS29" i="171"/>
  <c r="BN32" i="171"/>
  <c r="BN44" i="171" s="1"/>
  <c r="BZ39" i="175"/>
  <c r="BD39" i="175"/>
  <c r="BD129" i="175"/>
  <c r="BZ129" i="175"/>
  <c r="BZ130" i="175" s="1"/>
  <c r="BZ32" i="175"/>
  <c r="BD32" i="175"/>
  <c r="CL29" i="171"/>
  <c r="CL30" i="171" s="1"/>
  <c r="CE197" i="172"/>
  <c r="CE142" i="172"/>
  <c r="CG140" i="172"/>
  <c r="CL38" i="171" l="1"/>
  <c r="DE29" i="171"/>
  <c r="DE30" i="171" s="1"/>
  <c r="BS32" i="171"/>
  <c r="BX29" i="171"/>
  <c r="BX32" i="171" s="1"/>
  <c r="DE38" i="171"/>
  <c r="DE39" i="171" s="1"/>
  <c r="BI45" i="171"/>
  <c r="BI35" i="171" s="1"/>
  <c r="BK45" i="171"/>
  <c r="BK35" i="171" s="1"/>
  <c r="BJ107" i="189" s="1"/>
  <c r="BJ32" i="189" s="1"/>
  <c r="BJ40" i="189" s="1"/>
  <c r="BJ41" i="189" s="1"/>
  <c r="BL45" i="171"/>
  <c r="BL46" i="171" s="1"/>
  <c r="CJ140" i="172" s="1"/>
  <c r="BM45" i="171"/>
  <c r="DD40" i="171"/>
  <c r="DD41" i="171" s="1"/>
  <c r="BP45" i="171"/>
  <c r="BR45" i="171"/>
  <c r="BQ45" i="171"/>
  <c r="BN45" i="171"/>
  <c r="BE128" i="189"/>
  <c r="BJ132" i="189"/>
  <c r="CE129" i="189"/>
  <c r="CE130" i="189" s="1"/>
  <c r="CE40" i="189"/>
  <c r="CE41" i="189" s="1"/>
  <c r="BD128" i="189"/>
  <c r="BC39" i="189"/>
  <c r="BD32" i="189"/>
  <c r="CE32" i="189"/>
  <c r="BD49" i="171"/>
  <c r="GF75" i="7"/>
  <c r="BC43" i="175"/>
  <c r="BZ43" i="175" s="1"/>
  <c r="DD46" i="171"/>
  <c r="GF78" i="7"/>
  <c r="DN30" i="172"/>
  <c r="CF140" i="172"/>
  <c r="CF142" i="172" s="1"/>
  <c r="BD36" i="171"/>
  <c r="CK35" i="171"/>
  <c r="DD35" i="171"/>
  <c r="DD36" i="171" s="1"/>
  <c r="CE43" i="189"/>
  <c r="BN33" i="171"/>
  <c r="CM32" i="171"/>
  <c r="BN38" i="171"/>
  <c r="CL39" i="171"/>
  <c r="CG197" i="172"/>
  <c r="CG142" i="172"/>
  <c r="BD130" i="175"/>
  <c r="BD128" i="175"/>
  <c r="CE134" i="172"/>
  <c r="CE143" i="172"/>
  <c r="CE145" i="172"/>
  <c r="CE118" i="172"/>
  <c r="CE147" i="172"/>
  <c r="CE149" i="172"/>
  <c r="CE111" i="172"/>
  <c r="CE100" i="172"/>
  <c r="CE129" i="172"/>
  <c r="CE105" i="172"/>
  <c r="CE203" i="172"/>
  <c r="CE201" i="172"/>
  <c r="EY78" i="7"/>
  <c r="BZ40" i="175"/>
  <c r="BZ41" i="175" s="1"/>
  <c r="BX33" i="171" l="1"/>
  <c r="BK40" i="171"/>
  <c r="BK41" i="171" s="1"/>
  <c r="BS44" i="171"/>
  <c r="BS45" i="171" s="1"/>
  <c r="BS46" i="171" s="1"/>
  <c r="BS38" i="171"/>
  <c r="BS39" i="171" s="1"/>
  <c r="BS33" i="171"/>
  <c r="BI46" i="171"/>
  <c r="CH140" i="172" s="1"/>
  <c r="CH142" i="172" s="1"/>
  <c r="CI142" i="172" s="1"/>
  <c r="BK46" i="171"/>
  <c r="BX44" i="171"/>
  <c r="BX45" i="171" s="1"/>
  <c r="BX35" i="171" s="1"/>
  <c r="BX38" i="171"/>
  <c r="BM35" i="171"/>
  <c r="BM46" i="171"/>
  <c r="CK140" i="172" s="1"/>
  <c r="CK142" i="172" s="1"/>
  <c r="DE45" i="171"/>
  <c r="BL35" i="171"/>
  <c r="BL40" i="171" s="1"/>
  <c r="BL41" i="171" s="1"/>
  <c r="BJ108" i="189"/>
  <c r="BJ129" i="189"/>
  <c r="BJ128" i="189" s="1"/>
  <c r="BH107" i="189"/>
  <c r="BI40" i="171"/>
  <c r="BJ45" i="189"/>
  <c r="BJ46" i="189" s="1"/>
  <c r="CJ24" i="172"/>
  <c r="CJ25" i="172" s="1"/>
  <c r="BK132" i="189"/>
  <c r="DN24" i="172"/>
  <c r="BL132" i="189"/>
  <c r="CL35" i="171"/>
  <c r="CL36" i="171" s="1"/>
  <c r="BI36" i="171"/>
  <c r="CE39" i="189"/>
  <c r="BD39" i="189"/>
  <c r="DN140" i="172"/>
  <c r="BF48" i="171"/>
  <c r="BF49" i="171" s="1"/>
  <c r="BG48" i="171" s="1"/>
  <c r="BD43" i="175"/>
  <c r="CF197" i="172"/>
  <c r="BC45" i="175"/>
  <c r="BC46" i="175" s="1"/>
  <c r="BK36" i="171"/>
  <c r="BP35" i="171"/>
  <c r="BR35" i="171"/>
  <c r="BQ35" i="171"/>
  <c r="CK36" i="171"/>
  <c r="BC46" i="189"/>
  <c r="BD45" i="189"/>
  <c r="BD46" i="189" s="1"/>
  <c r="CE45" i="189"/>
  <c r="CE46" i="189" s="1"/>
  <c r="DO30" i="172"/>
  <c r="CM38" i="171"/>
  <c r="CM39" i="171" s="1"/>
  <c r="BN39" i="171"/>
  <c r="CM29" i="171"/>
  <c r="CM30" i="171" s="1"/>
  <c r="CM33" i="171"/>
  <c r="CE151" i="172"/>
  <c r="CE150" i="172"/>
  <c r="BD41" i="175"/>
  <c r="CF100" i="172"/>
  <c r="CF129" i="172"/>
  <c r="CF147" i="172"/>
  <c r="CF203" i="172"/>
  <c r="CF105" i="172"/>
  <c r="CF111" i="172"/>
  <c r="CF118" i="172"/>
  <c r="CF143" i="172"/>
  <c r="CF201" i="172"/>
  <c r="DN201" i="172" s="1"/>
  <c r="CF134" i="172"/>
  <c r="CF145" i="172"/>
  <c r="CF149" i="172"/>
  <c r="GG75" i="7"/>
  <c r="EX78" i="7"/>
  <c r="DN142" i="172"/>
  <c r="EV78" i="7"/>
  <c r="EW78" i="7" s="1"/>
  <c r="EW75" i="7"/>
  <c r="CJ142" i="172"/>
  <c r="CJ197" i="172"/>
  <c r="CG118" i="172"/>
  <c r="CG143" i="172"/>
  <c r="CG145" i="172"/>
  <c r="CG201" i="172"/>
  <c r="CG111" i="172"/>
  <c r="CG100" i="172"/>
  <c r="CG129" i="172"/>
  <c r="CG105" i="172"/>
  <c r="CG149" i="172"/>
  <c r="CG203" i="172"/>
  <c r="CG134" i="172"/>
  <c r="CG147" i="172"/>
  <c r="BV45" i="171" l="1"/>
  <c r="BV35" i="171" s="1"/>
  <c r="BU107" i="189" s="1"/>
  <c r="BX39" i="171"/>
  <c r="CK197" i="172"/>
  <c r="DE35" i="171"/>
  <c r="DE36" i="171" s="1"/>
  <c r="CI140" i="172"/>
  <c r="CI197" i="172" s="1"/>
  <c r="CH197" i="172"/>
  <c r="DE46" i="171"/>
  <c r="BS35" i="171"/>
  <c r="BR107" i="189" s="1"/>
  <c r="BU45" i="171"/>
  <c r="BW45" i="171"/>
  <c r="BX46" i="171"/>
  <c r="CV140" i="172" s="1"/>
  <c r="CV197" i="172" s="1"/>
  <c r="BX40" i="171"/>
  <c r="BW107" i="189"/>
  <c r="BK107" i="189"/>
  <c r="BK108" i="189" s="1"/>
  <c r="BL36" i="171"/>
  <c r="DN25" i="172"/>
  <c r="BM40" i="171"/>
  <c r="BM41" i="171" s="1"/>
  <c r="BL107" i="189"/>
  <c r="BM36" i="171"/>
  <c r="ET8" i="7"/>
  <c r="BJ130" i="189"/>
  <c r="BO107" i="189"/>
  <c r="BP40" i="171"/>
  <c r="BP107" i="189"/>
  <c r="BQ40" i="171"/>
  <c r="BQ107" i="189"/>
  <c r="BR40" i="171"/>
  <c r="DE40" i="171"/>
  <c r="DE41" i="171" s="1"/>
  <c r="BI41" i="171"/>
  <c r="CL40" i="171"/>
  <c r="CL41" i="171" s="1"/>
  <c r="ES8" i="7"/>
  <c r="CJ32" i="172"/>
  <c r="CJ38" i="172" s="1"/>
  <c r="EX117" i="135"/>
  <c r="CJ54" i="172"/>
  <c r="CJ56" i="172" s="1"/>
  <c r="BH129" i="189"/>
  <c r="BJ109" i="189"/>
  <c r="BH32" i="189"/>
  <c r="BH109" i="189"/>
  <c r="BH108" i="189"/>
  <c r="BI107" i="189"/>
  <c r="EX118" i="135"/>
  <c r="DN54" i="172"/>
  <c r="BN35" i="171"/>
  <c r="BN46" i="171"/>
  <c r="BD45" i="175"/>
  <c r="BD46" i="175" s="1"/>
  <c r="BP46" i="171"/>
  <c r="BP36" i="171"/>
  <c r="BQ46" i="171"/>
  <c r="BQ36" i="171"/>
  <c r="BR46" i="171"/>
  <c r="FD78" i="7" s="1"/>
  <c r="BR36" i="171"/>
  <c r="DD48" i="171"/>
  <c r="BG49" i="171"/>
  <c r="EQ158" i="135"/>
  <c r="EQ12" i="135"/>
  <c r="ER12" i="135" s="1"/>
  <c r="EQ17" i="135"/>
  <c r="ER17" i="135" s="1"/>
  <c r="FE78" i="7"/>
  <c r="GI78" i="7" s="1"/>
  <c r="CQ140" i="172"/>
  <c r="CH100" i="172"/>
  <c r="CH201" i="172"/>
  <c r="CH147" i="172"/>
  <c r="CM145" i="172"/>
  <c r="CH129" i="172"/>
  <c r="CM143" i="172"/>
  <c r="CH105" i="172"/>
  <c r="CH149" i="172"/>
  <c r="CI149" i="172" s="1"/>
  <c r="CI150" i="172" s="1"/>
  <c r="CH145" i="172"/>
  <c r="CH134" i="172"/>
  <c r="CH203" i="172"/>
  <c r="CH143" i="172"/>
  <c r="CH111" i="172"/>
  <c r="CH118" i="172"/>
  <c r="CJ147" i="172"/>
  <c r="CJ143" i="172"/>
  <c r="CJ134" i="172"/>
  <c r="CJ203" i="172"/>
  <c r="CJ105" i="172"/>
  <c r="CJ149" i="172"/>
  <c r="CJ111" i="172"/>
  <c r="CJ145" i="172"/>
  <c r="CJ118" i="172"/>
  <c r="CJ129" i="172"/>
  <c r="CJ100" i="172"/>
  <c r="CJ201" i="172"/>
  <c r="ER117" i="135"/>
  <c r="GG78" i="7"/>
  <c r="CK118" i="172"/>
  <c r="CK111" i="172"/>
  <c r="CK145" i="172"/>
  <c r="CK143" i="172"/>
  <c r="CK105" i="172"/>
  <c r="CK129" i="172"/>
  <c r="CK147" i="172"/>
  <c r="CK203" i="172"/>
  <c r="CK201" i="172"/>
  <c r="CK134" i="172"/>
  <c r="CK100" i="172"/>
  <c r="CK149" i="172"/>
  <c r="DN143" i="172"/>
  <c r="DN203" i="172"/>
  <c r="CG150" i="172"/>
  <c r="CG151" i="172"/>
  <c r="CI143" i="172"/>
  <c r="CI118" i="172"/>
  <c r="CI129" i="172"/>
  <c r="CI111" i="172"/>
  <c r="CI203" i="172"/>
  <c r="CI201" i="172"/>
  <c r="CI100" i="172"/>
  <c r="CI145" i="172"/>
  <c r="CI134" i="172"/>
  <c r="CI105" i="172"/>
  <c r="CF151" i="172"/>
  <c r="CF150" i="172"/>
  <c r="BS40" i="171" l="1"/>
  <c r="BX36" i="171"/>
  <c r="BV40" i="171"/>
  <c r="BV46" i="171"/>
  <c r="CT140" i="172" s="1"/>
  <c r="CT142" i="172" s="1"/>
  <c r="CT149" i="172" s="1"/>
  <c r="BV36" i="171"/>
  <c r="BX41" i="171"/>
  <c r="BU46" i="171"/>
  <c r="BU35" i="171"/>
  <c r="BW46" i="171"/>
  <c r="CU140" i="172" s="1"/>
  <c r="BW35" i="171"/>
  <c r="BK32" i="189"/>
  <c r="BK40" i="189" s="1"/>
  <c r="BK129" i="189"/>
  <c r="BK131" i="189" s="1"/>
  <c r="BP132" i="189" s="1"/>
  <c r="BK109" i="189"/>
  <c r="BL109" i="189"/>
  <c r="CF107" i="189"/>
  <c r="CF108" i="189" s="1"/>
  <c r="ET63" i="135"/>
  <c r="ET64" i="135" s="1"/>
  <c r="EU10" i="7"/>
  <c r="CV142" i="172"/>
  <c r="CV134" i="172" s="1"/>
  <c r="BU108" i="189"/>
  <c r="CT203" i="172"/>
  <c r="CT134" i="172"/>
  <c r="CT201" i="172"/>
  <c r="CT129" i="172"/>
  <c r="CT111" i="172"/>
  <c r="CT105" i="172"/>
  <c r="CT147" i="172"/>
  <c r="CT100" i="172"/>
  <c r="BU32" i="189"/>
  <c r="BU40" i="189" s="1"/>
  <c r="BU129" i="189"/>
  <c r="BW32" i="189"/>
  <c r="BW40" i="189" s="1"/>
  <c r="BW129" i="189"/>
  <c r="BQ41" i="171"/>
  <c r="BV41" i="171"/>
  <c r="BR41" i="171"/>
  <c r="BP41" i="171"/>
  <c r="DN55" i="172"/>
  <c r="BO32" i="189"/>
  <c r="BO40" i="189" s="1"/>
  <c r="BR129" i="189"/>
  <c r="BW108" i="189"/>
  <c r="BQ108" i="189"/>
  <c r="BL108" i="189"/>
  <c r="BL129" i="189"/>
  <c r="BL32" i="189"/>
  <c r="BL40" i="189" s="1"/>
  <c r="BQ32" i="189"/>
  <c r="BQ129" i="189"/>
  <c r="BO129" i="189"/>
  <c r="BO108" i="189"/>
  <c r="ET31" i="7"/>
  <c r="ET9" i="7"/>
  <c r="ET46" i="8"/>
  <c r="ET28" i="7"/>
  <c r="EY28" i="7" s="1"/>
  <c r="FD28" i="7" s="1"/>
  <c r="FI28" i="7" s="1"/>
  <c r="ET18" i="7"/>
  <c r="ET25" i="7"/>
  <c r="EY25" i="7" s="1"/>
  <c r="FD25" i="7" s="1"/>
  <c r="FI25" i="7" s="1"/>
  <c r="ET10" i="7"/>
  <c r="ET35" i="7"/>
  <c r="ET90" i="8"/>
  <c r="ES63" i="135"/>
  <c r="BP109" i="189"/>
  <c r="BP108" i="189"/>
  <c r="BP32" i="189"/>
  <c r="BP40" i="189" s="1"/>
  <c r="BS107" i="189"/>
  <c r="BP129" i="189"/>
  <c r="BR32" i="189"/>
  <c r="BR40" i="189" s="1"/>
  <c r="BR109" i="189"/>
  <c r="BQ109" i="189"/>
  <c r="BS36" i="171"/>
  <c r="BN40" i="171"/>
  <c r="CM35" i="171"/>
  <c r="CM36" i="171" s="1"/>
  <c r="ES90" i="8"/>
  <c r="ES46" i="8"/>
  <c r="ES31" i="7"/>
  <c r="EX31" i="7" s="1"/>
  <c r="FC31" i="7" s="1"/>
  <c r="FH31" i="7" s="1"/>
  <c r="ES28" i="7"/>
  <c r="EX28" i="7" s="1"/>
  <c r="FC28" i="7" s="1"/>
  <c r="FH28" i="7" s="1"/>
  <c r="ES10" i="7"/>
  <c r="ES35" i="7"/>
  <c r="ES18" i="7"/>
  <c r="ES25" i="7"/>
  <c r="EX25" i="7" s="1"/>
  <c r="FC25" i="7" s="1"/>
  <c r="FH25" i="7" s="1"/>
  <c r="ES9" i="7"/>
  <c r="BK130" i="189"/>
  <c r="BN36" i="171"/>
  <c r="BM107" i="189"/>
  <c r="CJ53" i="172"/>
  <c r="BI129" i="189"/>
  <c r="BJ131" i="189"/>
  <c r="BO132" i="189" s="1"/>
  <c r="BH131" i="189"/>
  <c r="BH128" i="189"/>
  <c r="BH130" i="189"/>
  <c r="BI108" i="189"/>
  <c r="BI32" i="189"/>
  <c r="BH40" i="189"/>
  <c r="CL140" i="172"/>
  <c r="CL142" i="172" s="1"/>
  <c r="CP140" i="172"/>
  <c r="CP142" i="172" s="1"/>
  <c r="CO140" i="172"/>
  <c r="CO197" i="172" s="1"/>
  <c r="EQ66" i="135"/>
  <c r="EQ69" i="135"/>
  <c r="ER63" i="135"/>
  <c r="ER21" i="135"/>
  <c r="ER22" i="135" s="1"/>
  <c r="EQ146" i="135"/>
  <c r="EQ159" i="135"/>
  <c r="ER159" i="135" s="1"/>
  <c r="EQ142" i="135"/>
  <c r="EQ165" i="135"/>
  <c r="ER165" i="135" s="1"/>
  <c r="EQ160" i="135"/>
  <c r="EQ170" i="135"/>
  <c r="ER170" i="135" s="1"/>
  <c r="EQ150" i="135"/>
  <c r="EQ174" i="135"/>
  <c r="ER174" i="135" s="1"/>
  <c r="ER158" i="135"/>
  <c r="ES160" i="135" s="1"/>
  <c r="BH48" i="171"/>
  <c r="BH49" i="171" s="1"/>
  <c r="BI48" i="171" s="1"/>
  <c r="DD49" i="171"/>
  <c r="CQ142" i="172"/>
  <c r="CQ197" i="172"/>
  <c r="GH75" i="7"/>
  <c r="FC78" i="7"/>
  <c r="FG75" i="7"/>
  <c r="EZ78" i="7"/>
  <c r="FB78" i="7" s="1"/>
  <c r="FB75" i="7"/>
  <c r="CH150" i="172"/>
  <c r="CH151" i="172"/>
  <c r="CM150" i="172"/>
  <c r="CK151" i="172"/>
  <c r="CK150" i="172"/>
  <c r="CJ151" i="172"/>
  <c r="CJ150" i="172"/>
  <c r="ER118" i="135"/>
  <c r="CT118" i="172" l="1"/>
  <c r="EY90" i="8"/>
  <c r="FD90" i="8" s="1"/>
  <c r="FI90" i="8" s="1"/>
  <c r="EX90" i="8"/>
  <c r="FC90" i="8" s="1"/>
  <c r="FH90" i="8" s="1"/>
  <c r="CT197" i="172"/>
  <c r="CF129" i="189"/>
  <c r="CF130" i="189" s="1"/>
  <c r="CF32" i="189"/>
  <c r="CU142" i="172"/>
  <c r="CX142" i="172" s="1"/>
  <c r="CX105" i="172" s="1"/>
  <c r="CU197" i="172"/>
  <c r="BT107" i="189"/>
  <c r="BU40" i="171"/>
  <c r="BU41" i="171" s="1"/>
  <c r="BU36" i="171"/>
  <c r="CX140" i="172"/>
  <c r="CX197" i="172" s="1"/>
  <c r="BW36" i="171"/>
  <c r="BW40" i="171"/>
  <c r="BW41" i="171" s="1"/>
  <c r="BV107" i="189"/>
  <c r="BL131" i="189"/>
  <c r="BQ132" i="189" s="1"/>
  <c r="BK128" i="189"/>
  <c r="CV111" i="172"/>
  <c r="ET66" i="135"/>
  <c r="CV105" i="172"/>
  <c r="CW147" i="172"/>
  <c r="CV129" i="172"/>
  <c r="CV201" i="172"/>
  <c r="CV203" i="172"/>
  <c r="CV147" i="172"/>
  <c r="CV118" i="172"/>
  <c r="CV100" i="172"/>
  <c r="CV149" i="172"/>
  <c r="CW151" i="172" s="1"/>
  <c r="BW128" i="189"/>
  <c r="BU45" i="189"/>
  <c r="CU24" i="172"/>
  <c r="CT151" i="172"/>
  <c r="CW24" i="172"/>
  <c r="BW45" i="189"/>
  <c r="BU128" i="189"/>
  <c r="CU143" i="172"/>
  <c r="CV143" i="172"/>
  <c r="CV145" i="172"/>
  <c r="BO41" i="189"/>
  <c r="CO24" i="172"/>
  <c r="BO45" i="189"/>
  <c r="BO46" i="189" s="1"/>
  <c r="BO128" i="189"/>
  <c r="BQ130" i="189"/>
  <c r="BQ40" i="189"/>
  <c r="BP130" i="189"/>
  <c r="BU130" i="189"/>
  <c r="BR128" i="189"/>
  <c r="BW130" i="189"/>
  <c r="BP45" i="189"/>
  <c r="BU41" i="189"/>
  <c r="BR45" i="189"/>
  <c r="BW41" i="189"/>
  <c r="BL130" i="189"/>
  <c r="BL128" i="189"/>
  <c r="BL41" i="189"/>
  <c r="CL24" i="172"/>
  <c r="BL45" i="189"/>
  <c r="BL46" i="189" s="1"/>
  <c r="BQ128" i="189"/>
  <c r="CF62" i="172"/>
  <c r="CF63" i="172" s="1"/>
  <c r="GF16" i="7"/>
  <c r="BR131" i="189"/>
  <c r="BO130" i="189"/>
  <c r="ES66" i="135"/>
  <c r="ET22" i="7"/>
  <c r="ET37" i="7"/>
  <c r="CP24" i="172"/>
  <c r="BQ131" i="189"/>
  <c r="ES64" i="135"/>
  <c r="ES22" i="7"/>
  <c r="BS32" i="189"/>
  <c r="CR24" i="172"/>
  <c r="BS129" i="189"/>
  <c r="BP131" i="189"/>
  <c r="BU132" i="189" s="1"/>
  <c r="BP128" i="189"/>
  <c r="BN41" i="171"/>
  <c r="BS41" i="171"/>
  <c r="CM40" i="171"/>
  <c r="CM41" i="171" s="1"/>
  <c r="ES37" i="7"/>
  <c r="ES39" i="7" s="1"/>
  <c r="CE62" i="172"/>
  <c r="BM109" i="189"/>
  <c r="CG107" i="189"/>
  <c r="CG108" i="189" s="1"/>
  <c r="BM32" i="189"/>
  <c r="BM129" i="189"/>
  <c r="BO109" i="189"/>
  <c r="BR108" i="189"/>
  <c r="BN107" i="189"/>
  <c r="BM108" i="189"/>
  <c r="CK24" i="172"/>
  <c r="BP41" i="189"/>
  <c r="BK45" i="189"/>
  <c r="BK41" i="189"/>
  <c r="BH45" i="189"/>
  <c r="BH41" i="189"/>
  <c r="CF40" i="189"/>
  <c r="BI40" i="189"/>
  <c r="CH24" i="172"/>
  <c r="BM132" i="189"/>
  <c r="BI130" i="189"/>
  <c r="BI128" i="189"/>
  <c r="CN140" i="172"/>
  <c r="CN197" i="172" s="1"/>
  <c r="CL197" i="172"/>
  <c r="CP197" i="172"/>
  <c r="CS140" i="172"/>
  <c r="CS197" i="172" s="1"/>
  <c r="CO142" i="172"/>
  <c r="EQ154" i="135"/>
  <c r="ER154" i="135" s="1"/>
  <c r="EQ152" i="135"/>
  <c r="ER152" i="135" s="1"/>
  <c r="EQ151" i="135"/>
  <c r="ER151" i="135" s="1"/>
  <c r="ER150" i="135"/>
  <c r="ER23" i="135"/>
  <c r="EQ147" i="135"/>
  <c r="ER147" i="135" s="1"/>
  <c r="EQ148" i="135"/>
  <c r="ER148" i="135" s="1"/>
  <c r="ER146" i="135"/>
  <c r="EQ72" i="135"/>
  <c r="EQ70" i="135"/>
  <c r="EQ71" i="135" s="1"/>
  <c r="EQ143" i="135"/>
  <c r="ER143" i="135" s="1"/>
  <c r="EQ144" i="135"/>
  <c r="ER144" i="135" s="1"/>
  <c r="ER142" i="135"/>
  <c r="EQ65" i="135"/>
  <c r="FG78" i="7"/>
  <c r="GH78" i="7"/>
  <c r="CP201" i="172"/>
  <c r="CP105" i="172"/>
  <c r="CP100" i="172"/>
  <c r="CP203" i="172"/>
  <c r="CP149" i="172"/>
  <c r="CP129" i="172"/>
  <c r="CP111" i="172"/>
  <c r="CP134" i="172"/>
  <c r="CP143" i="172"/>
  <c r="CP118" i="172"/>
  <c r="CP145" i="172"/>
  <c r="CL145" i="172"/>
  <c r="CL111" i="172"/>
  <c r="CL134" i="172"/>
  <c r="CN142" i="172"/>
  <c r="CL129" i="172"/>
  <c r="CL149" i="172"/>
  <c r="CM147" i="172"/>
  <c r="CL105" i="172"/>
  <c r="CL201" i="172"/>
  <c r="CL143" i="172"/>
  <c r="CL203" i="172"/>
  <c r="CL147" i="172"/>
  <c r="CL118" i="172"/>
  <c r="CL100" i="172"/>
  <c r="CQ149" i="172"/>
  <c r="CQ201" i="172"/>
  <c r="CQ129" i="172"/>
  <c r="CQ100" i="172"/>
  <c r="CQ203" i="172"/>
  <c r="CQ111" i="172"/>
  <c r="CQ143" i="172"/>
  <c r="CQ105" i="172"/>
  <c r="CQ147" i="172"/>
  <c r="CQ134" i="172"/>
  <c r="CR147" i="172"/>
  <c r="CQ145" i="172"/>
  <c r="CQ118" i="172"/>
  <c r="BI49" i="171"/>
  <c r="CU145" i="172" l="1"/>
  <c r="BV132" i="189"/>
  <c r="CX203" i="172"/>
  <c r="CV150" i="172"/>
  <c r="BU109" i="189"/>
  <c r="BT32" i="189"/>
  <c r="BT108" i="189"/>
  <c r="BX107" i="189"/>
  <c r="BX108" i="189" s="1"/>
  <c r="CH107" i="189"/>
  <c r="CH108" i="189" s="1"/>
  <c r="BT129" i="189"/>
  <c r="BT109" i="189"/>
  <c r="BV32" i="189"/>
  <c r="BV40" i="189" s="1"/>
  <c r="BV41" i="189" s="1"/>
  <c r="BV109" i="189"/>
  <c r="BV129" i="189"/>
  <c r="BW109" i="189"/>
  <c r="BV108" i="189"/>
  <c r="CU134" i="172"/>
  <c r="CU118" i="172"/>
  <c r="CU147" i="172"/>
  <c r="CU100" i="172"/>
  <c r="CU149" i="172"/>
  <c r="CU150" i="172" s="1"/>
  <c r="CU129" i="172"/>
  <c r="CU203" i="172"/>
  <c r="CU111" i="172"/>
  <c r="CU105" i="172"/>
  <c r="CU201" i="172"/>
  <c r="BU46" i="189"/>
  <c r="CX134" i="172"/>
  <c r="CX111" i="172"/>
  <c r="CX100" i="172"/>
  <c r="CX118" i="172"/>
  <c r="CX129" i="172"/>
  <c r="CX201" i="172"/>
  <c r="CO25" i="172"/>
  <c r="FC117" i="135"/>
  <c r="CO32" i="172"/>
  <c r="CO38" i="172" s="1"/>
  <c r="BS40" i="189"/>
  <c r="BQ41" i="189"/>
  <c r="BW46" i="189"/>
  <c r="CO54" i="172"/>
  <c r="CO56" i="172" s="1"/>
  <c r="FI117" i="135"/>
  <c r="CU54" i="172"/>
  <c r="CU62" i="172" s="1"/>
  <c r="CU32" i="172"/>
  <c r="CQ24" i="172"/>
  <c r="CQ32" i="172" s="1"/>
  <c r="CQ38" i="172" s="1"/>
  <c r="CW54" i="172"/>
  <c r="CW62" i="172" s="1"/>
  <c r="CW32" i="172"/>
  <c r="FK117" i="135"/>
  <c r="CO111" i="172"/>
  <c r="CT143" i="172"/>
  <c r="CT145" i="172"/>
  <c r="BQ45" i="189"/>
  <c r="BS45" i="189" s="1"/>
  <c r="BS128" i="189"/>
  <c r="CU25" i="172"/>
  <c r="CU34" i="172"/>
  <c r="CR32" i="172"/>
  <c r="CW25" i="172"/>
  <c r="CW34" i="172"/>
  <c r="CL25" i="172"/>
  <c r="CL54" i="172"/>
  <c r="CL56" i="172" s="1"/>
  <c r="CL32" i="172"/>
  <c r="CL38" i="172" s="1"/>
  <c r="EZ117" i="135"/>
  <c r="CF61" i="172"/>
  <c r="CF58" i="172" s="1"/>
  <c r="CF59" i="172"/>
  <c r="CR54" i="172"/>
  <c r="ET53" i="7"/>
  <c r="ET42" i="7"/>
  <c r="ET38" i="7"/>
  <c r="ET39" i="7"/>
  <c r="ET44" i="7"/>
  <c r="ET45" i="7" s="1"/>
  <c r="FD117" i="135"/>
  <c r="CP54" i="172"/>
  <c r="CP27" i="172"/>
  <c r="FD119" i="135" s="1"/>
  <c r="CP32" i="172"/>
  <c r="FF117" i="135"/>
  <c r="ES42" i="7"/>
  <c r="ES53" i="7"/>
  <c r="ES54" i="7" s="1"/>
  <c r="ES55" i="7" s="1"/>
  <c r="ES57" i="9" s="1"/>
  <c r="ES59" i="9" s="1"/>
  <c r="ES38" i="7"/>
  <c r="ES44" i="7"/>
  <c r="ES45" i="7" s="1"/>
  <c r="CE59" i="172"/>
  <c r="CE63" i="172"/>
  <c r="CE61" i="172"/>
  <c r="CE58" i="172" s="1"/>
  <c r="CO129" i="172"/>
  <c r="BR130" i="189"/>
  <c r="BM128" i="189"/>
  <c r="BO131" i="189"/>
  <c r="BT132" i="189" s="1"/>
  <c r="CG129" i="189"/>
  <c r="CG130" i="189" s="1"/>
  <c r="BM131" i="189"/>
  <c r="BR132" i="189" s="1"/>
  <c r="BN129" i="189"/>
  <c r="BM130" i="189"/>
  <c r="BP46" i="189"/>
  <c r="BK46" i="189"/>
  <c r="BS108" i="189"/>
  <c r="BN108" i="189"/>
  <c r="CG32" i="189"/>
  <c r="BM40" i="189"/>
  <c r="BN32" i="189"/>
  <c r="CK32" i="172"/>
  <c r="EY117" i="135"/>
  <c r="CK54" i="172"/>
  <c r="CK53" i="172" s="1"/>
  <c r="CK27" i="172"/>
  <c r="EY119" i="135" s="1"/>
  <c r="CL27" i="172"/>
  <c r="EZ119" i="135" s="1"/>
  <c r="CP25" i="172"/>
  <c r="CK25" i="172"/>
  <c r="CI24" i="172"/>
  <c r="CH32" i="172"/>
  <c r="EV8" i="7" s="1"/>
  <c r="EV87" i="8" s="1"/>
  <c r="CH25" i="172"/>
  <c r="CJ27" i="172"/>
  <c r="EX119" i="135" s="1"/>
  <c r="DO24" i="172"/>
  <c r="CH27" i="172"/>
  <c r="EV119" i="135" s="1"/>
  <c r="CH54" i="172"/>
  <c r="EV117" i="135"/>
  <c r="BI45" i="189"/>
  <c r="CF45" i="189"/>
  <c r="BH46" i="189"/>
  <c r="BI41" i="189"/>
  <c r="CF41" i="189"/>
  <c r="CS142" i="172"/>
  <c r="CO134" i="172"/>
  <c r="CP147" i="172"/>
  <c r="CO118" i="172"/>
  <c r="CO100" i="172"/>
  <c r="CO203" i="172"/>
  <c r="CO149" i="172"/>
  <c r="CO105" i="172"/>
  <c r="CO143" i="172"/>
  <c r="CO147" i="172"/>
  <c r="CO145" i="172"/>
  <c r="CO201" i="172"/>
  <c r="EQ155" i="135"/>
  <c r="ER155" i="135" s="1"/>
  <c r="EQ156" i="135"/>
  <c r="ER156" i="135" s="1"/>
  <c r="CL151" i="172"/>
  <c r="CL150" i="172"/>
  <c r="CN149" i="172"/>
  <c r="CN150" i="172" s="1"/>
  <c r="CM151" i="172"/>
  <c r="CP150" i="172"/>
  <c r="CQ150" i="172"/>
  <c r="CR151" i="172"/>
  <c r="CQ151" i="172"/>
  <c r="CN111" i="172"/>
  <c r="CN143" i="172"/>
  <c r="CN201" i="172"/>
  <c r="CN105" i="172"/>
  <c r="CN145" i="172"/>
  <c r="CN100" i="172"/>
  <c r="CN203" i="172"/>
  <c r="CN134" i="172"/>
  <c r="CN118" i="172"/>
  <c r="CN129" i="172"/>
  <c r="BK48" i="171"/>
  <c r="CO53" i="172" l="1"/>
  <c r="CW53" i="172"/>
  <c r="CW61" i="172" s="1"/>
  <c r="CW58" i="172" s="1"/>
  <c r="BV130" i="189"/>
  <c r="BW131" i="189"/>
  <c r="BV131" i="189"/>
  <c r="BV128" i="189"/>
  <c r="BX129" i="189"/>
  <c r="BU131" i="189"/>
  <c r="BT128" i="189"/>
  <c r="BT130" i="189"/>
  <c r="BT131" i="189"/>
  <c r="CH129" i="189"/>
  <c r="CH130" i="189" s="1"/>
  <c r="CU151" i="172"/>
  <c r="CV151" i="172"/>
  <c r="CX149" i="172"/>
  <c r="BT40" i="189"/>
  <c r="BX32" i="189"/>
  <c r="CH32" i="189"/>
  <c r="CV24" i="172"/>
  <c r="CV25" i="172" s="1"/>
  <c r="FJ118" i="135" s="1"/>
  <c r="BV45" i="189"/>
  <c r="BV46" i="189" s="1"/>
  <c r="FC118" i="135"/>
  <c r="BQ46" i="189"/>
  <c r="FE117" i="135"/>
  <c r="CU53" i="172"/>
  <c r="CU61" i="172" s="1"/>
  <c r="CU58" i="172" s="1"/>
  <c r="CW21" i="172"/>
  <c r="CW38" i="172"/>
  <c r="CW14" i="172"/>
  <c r="FK8" i="7"/>
  <c r="BW134" i="189"/>
  <c r="CU14" i="172"/>
  <c r="CU21" i="172"/>
  <c r="BU134" i="189"/>
  <c r="CU38" i="172"/>
  <c r="FI8" i="7"/>
  <c r="CV34" i="172"/>
  <c r="CW28" i="172"/>
  <c r="CS24" i="172"/>
  <c r="CR27" i="172"/>
  <c r="FF119" i="135" s="1"/>
  <c r="CQ27" i="172"/>
  <c r="FE119" i="135" s="1"/>
  <c r="CQ54" i="172"/>
  <c r="CW59" i="172"/>
  <c r="CW63" i="172"/>
  <c r="FK19" i="7" s="1"/>
  <c r="CQ25" i="172"/>
  <c r="FE118" i="135" s="1"/>
  <c r="CU28" i="172"/>
  <c r="CU59" i="172"/>
  <c r="CU63" i="172"/>
  <c r="FI19" i="7" s="1"/>
  <c r="DO25" i="172"/>
  <c r="CS145" i="172"/>
  <c r="CX143" i="172"/>
  <c r="CX145" i="172"/>
  <c r="CO151" i="172"/>
  <c r="CT150" i="172"/>
  <c r="BW132" i="189"/>
  <c r="CP53" i="172"/>
  <c r="CU56" i="172"/>
  <c r="FI118" i="135"/>
  <c r="CP38" i="172"/>
  <c r="CU33" i="172"/>
  <c r="FK118" i="135"/>
  <c r="CR53" i="172"/>
  <c r="CW56" i="172"/>
  <c r="CR38" i="172"/>
  <c r="CW33" i="172"/>
  <c r="CL53" i="172"/>
  <c r="EZ118" i="135"/>
  <c r="ET54" i="7"/>
  <c r="ET52" i="8"/>
  <c r="EY52" i="8" s="1"/>
  <c r="FD52" i="8" s="1"/>
  <c r="FI52" i="8" s="1"/>
  <c r="CS32" i="172"/>
  <c r="ES52" i="8"/>
  <c r="EX52" i="8" s="1"/>
  <c r="FC52" i="8" s="1"/>
  <c r="FH52" i="8" s="1"/>
  <c r="ES66" i="7"/>
  <c r="ES67" i="7" s="1"/>
  <c r="ES68" i="7" s="1"/>
  <c r="ES69" i="7" s="1"/>
  <c r="ES61" i="7"/>
  <c r="ES62" i="7" s="1"/>
  <c r="ES63" i="7" s="1"/>
  <c r="ES64" i="7" s="1"/>
  <c r="CS105" i="172"/>
  <c r="CS134" i="172"/>
  <c r="CS203" i="172"/>
  <c r="CS143" i="172"/>
  <c r="CS201" i="172"/>
  <c r="CS111" i="172"/>
  <c r="CS118" i="172"/>
  <c r="CS100" i="172"/>
  <c r="CS129" i="172"/>
  <c r="EY118" i="135"/>
  <c r="CK38" i="172"/>
  <c r="FD118" i="135"/>
  <c r="BN128" i="189"/>
  <c r="BS130" i="189"/>
  <c r="BN130" i="189"/>
  <c r="CP56" i="172"/>
  <c r="CK56" i="172"/>
  <c r="BR41" i="189"/>
  <c r="CM24" i="172"/>
  <c r="BM45" i="189"/>
  <c r="CG40" i="189"/>
  <c r="BN40" i="189"/>
  <c r="BM41" i="189"/>
  <c r="CH53" i="172"/>
  <c r="CI53" i="172" s="1"/>
  <c r="CH56" i="172"/>
  <c r="DO54" i="172"/>
  <c r="CI54" i="172"/>
  <c r="EV118" i="135"/>
  <c r="CF46" i="189"/>
  <c r="BI46" i="189"/>
  <c r="CH38" i="172"/>
  <c r="CI32" i="172"/>
  <c r="EW117" i="135"/>
  <c r="CI25" i="172"/>
  <c r="CP151" i="172"/>
  <c r="CS149" i="172"/>
  <c r="CO150" i="172"/>
  <c r="ER37" i="135"/>
  <c r="ER85" i="135"/>
  <c r="BK49" i="171"/>
  <c r="BT41" i="189" l="1"/>
  <c r="CH40" i="189"/>
  <c r="CH41" i="189" s="1"/>
  <c r="BX40" i="189"/>
  <c r="BX41" i="189" s="1"/>
  <c r="BT45" i="189"/>
  <c r="CT24" i="172"/>
  <c r="CV54" i="172"/>
  <c r="CV32" i="172"/>
  <c r="CV27" i="172"/>
  <c r="FJ119" i="135" s="1"/>
  <c r="CW27" i="172"/>
  <c r="FK119" i="135" s="1"/>
  <c r="FJ117" i="135"/>
  <c r="BX128" i="189"/>
  <c r="BX130" i="189"/>
  <c r="CQ53" i="172"/>
  <c r="CS53" i="172" s="1"/>
  <c r="FG117" i="135"/>
  <c r="CS54" i="172"/>
  <c r="CS55" i="172" s="1"/>
  <c r="CQ56" i="172"/>
  <c r="FI30" i="7"/>
  <c r="FI17" i="7"/>
  <c r="FI18" i="7" s="1"/>
  <c r="FI87" i="8"/>
  <c r="FI27" i="7"/>
  <c r="FI24" i="7"/>
  <c r="CW303" i="172"/>
  <c r="FK30" i="7"/>
  <c r="FK27" i="7"/>
  <c r="FK17" i="7"/>
  <c r="FK24" i="7"/>
  <c r="FK87" i="8"/>
  <c r="CU303" i="172"/>
  <c r="DO55" i="172"/>
  <c r="CS150" i="172"/>
  <c r="CX150" i="172"/>
  <c r="DP24" i="172"/>
  <c r="CG41" i="189"/>
  <c r="CS38" i="172"/>
  <c r="CU39" i="172"/>
  <c r="CW39" i="172"/>
  <c r="ET118" i="7"/>
  <c r="ET183" i="7"/>
  <c r="ET63" i="12" s="1"/>
  <c r="ET65" i="12" s="1"/>
  <c r="ET55" i="7"/>
  <c r="ET119" i="7"/>
  <c r="ES120" i="7"/>
  <c r="CI38" i="172"/>
  <c r="BS41" i="189"/>
  <c r="BN41" i="189"/>
  <c r="BN45" i="189"/>
  <c r="BR46" i="189"/>
  <c r="CG45" i="189"/>
  <c r="BM46" i="189"/>
  <c r="CM32" i="172"/>
  <c r="CO27" i="172"/>
  <c r="FC119" i="135" s="1"/>
  <c r="CR25" i="172"/>
  <c r="CM27" i="172"/>
  <c r="FA119" i="135" s="1"/>
  <c r="FA117" i="135"/>
  <c r="CM54" i="172"/>
  <c r="CM25" i="172"/>
  <c r="CN24" i="172"/>
  <c r="EW118" i="135"/>
  <c r="CI55" i="172"/>
  <c r="ES85" i="135"/>
  <c r="ER82" i="135"/>
  <c r="ER84" i="135"/>
  <c r="ER81" i="135"/>
  <c r="ER83" i="135"/>
  <c r="BL48" i="171"/>
  <c r="CV28" i="172" l="1"/>
  <c r="CV36" i="172"/>
  <c r="CV33" i="172"/>
  <c r="CW36" i="172"/>
  <c r="CV14" i="172"/>
  <c r="CV21" i="172"/>
  <c r="CV38" i="172"/>
  <c r="FJ8" i="7"/>
  <c r="BV134" i="189"/>
  <c r="CV62" i="172"/>
  <c r="CV53" i="172"/>
  <c r="CV61" i="172" s="1"/>
  <c r="CV58" i="172" s="1"/>
  <c r="CU27" i="172"/>
  <c r="FI119" i="135" s="1"/>
  <c r="FH117" i="135"/>
  <c r="CT34" i="172"/>
  <c r="CT27" i="172"/>
  <c r="FH119" i="135" s="1"/>
  <c r="DQ24" i="172"/>
  <c r="DQ25" i="172" s="1"/>
  <c r="CT54" i="172"/>
  <c r="CT25" i="172"/>
  <c r="CX24" i="172"/>
  <c r="CT32" i="172"/>
  <c r="BX45" i="189"/>
  <c r="BX46" i="189" s="1"/>
  <c r="CH45" i="189"/>
  <c r="CH46" i="189" s="1"/>
  <c r="BT46" i="189"/>
  <c r="CV56" i="172"/>
  <c r="FK34" i="7"/>
  <c r="FI34" i="7"/>
  <c r="FI37" i="7" s="1"/>
  <c r="FI22" i="7"/>
  <c r="FK18" i="7"/>
  <c r="FK23" i="8"/>
  <c r="FL23" i="8" s="1"/>
  <c r="FK11" i="8"/>
  <c r="FL11" i="8" s="1"/>
  <c r="CW500" i="172"/>
  <c r="FI11" i="8"/>
  <c r="FI23" i="8"/>
  <c r="CU500" i="172"/>
  <c r="DP25" i="172"/>
  <c r="DP32" i="172"/>
  <c r="CG46" i="189"/>
  <c r="ET57" i="9"/>
  <c r="ET59" i="9" s="1"/>
  <c r="ET66" i="7"/>
  <c r="ET61" i="7"/>
  <c r="ET62" i="7" s="1"/>
  <c r="ET63" i="7" s="1"/>
  <c r="ET64" i="7" s="1"/>
  <c r="CM53" i="172"/>
  <c r="CN53" i="172" s="1"/>
  <c r="DP54" i="172"/>
  <c r="CM38" i="172"/>
  <c r="CN32" i="172"/>
  <c r="BS46" i="189"/>
  <c r="BN46" i="189"/>
  <c r="FA118" i="135"/>
  <c r="FF118" i="135"/>
  <c r="FB117" i="135"/>
  <c r="CN25" i="172"/>
  <c r="CS25" i="172"/>
  <c r="CM56" i="172"/>
  <c r="CN54" i="172"/>
  <c r="CN55" i="172" s="1"/>
  <c r="CR56" i="172"/>
  <c r="ES84" i="135"/>
  <c r="EU12" i="135"/>
  <c r="EU158" i="135"/>
  <c r="EU17" i="135"/>
  <c r="BL49" i="171"/>
  <c r="DE48" i="171"/>
  <c r="CX34" i="172" l="1"/>
  <c r="FL117" i="135"/>
  <c r="CX25" i="172"/>
  <c r="FJ30" i="7"/>
  <c r="FJ24" i="7"/>
  <c r="FK10" i="7"/>
  <c r="FJ87" i="8"/>
  <c r="FJ10" i="7"/>
  <c r="FJ27" i="7"/>
  <c r="FH118" i="135"/>
  <c r="CV40" i="172"/>
  <c r="CW40" i="172"/>
  <c r="CV39" i="172"/>
  <c r="CT53" i="172"/>
  <c r="CT62" i="172"/>
  <c r="CT56" i="172"/>
  <c r="DQ54" i="172"/>
  <c r="CX54" i="172"/>
  <c r="CX55" i="172" s="1"/>
  <c r="CV59" i="172"/>
  <c r="CV63" i="172"/>
  <c r="FJ19" i="7" s="1"/>
  <c r="DQ32" i="172"/>
  <c r="DQ33" i="172" s="1"/>
  <c r="CU36" i="172"/>
  <c r="FH8" i="7"/>
  <c r="CT36" i="172"/>
  <c r="BT134" i="189"/>
  <c r="BU136" i="189" s="1"/>
  <c r="CT14" i="172"/>
  <c r="CT28" i="172"/>
  <c r="CT21" i="172"/>
  <c r="CX32" i="172"/>
  <c r="CT38" i="172"/>
  <c r="CT33" i="172"/>
  <c r="BV136" i="189"/>
  <c r="BW136" i="189"/>
  <c r="FK22" i="7"/>
  <c r="FK37" i="7"/>
  <c r="CW505" i="172"/>
  <c r="FK35" i="7"/>
  <c r="FK20" i="8"/>
  <c r="FL20" i="8" s="1"/>
  <c r="FK30" i="8"/>
  <c r="FL30" i="8" s="1"/>
  <c r="FK13" i="8"/>
  <c r="FL13" i="8" s="1"/>
  <c r="CW83" i="172"/>
  <c r="CW205" i="172"/>
  <c r="FK25" i="8"/>
  <c r="FL25" i="8" s="1"/>
  <c r="CW176" i="172"/>
  <c r="CU83" i="172"/>
  <c r="FI30" i="8"/>
  <c r="FI20" i="8"/>
  <c r="FI35" i="7"/>
  <c r="CU205" i="172"/>
  <c r="FI13" i="8"/>
  <c r="FI33" i="8"/>
  <c r="CU505" i="172"/>
  <c r="FI25" i="8"/>
  <c r="CU176" i="172"/>
  <c r="CU295" i="172"/>
  <c r="CU293" i="172" s="1"/>
  <c r="FI44" i="7"/>
  <c r="CU84" i="172"/>
  <c r="CU85" i="172" s="1"/>
  <c r="FI38" i="7"/>
  <c r="FI42" i="7"/>
  <c r="CU206" i="172"/>
  <c r="DP55" i="172"/>
  <c r="ET67" i="7"/>
  <c r="ET68" i="7" s="1"/>
  <c r="ET69" i="7" s="1"/>
  <c r="ET120" i="7"/>
  <c r="GF66" i="7"/>
  <c r="CN38" i="172"/>
  <c r="DQ38" i="172" s="1"/>
  <c r="DP38" i="172"/>
  <c r="FG118" i="135"/>
  <c r="FB118" i="135"/>
  <c r="EU174" i="135"/>
  <c r="EU150" i="135"/>
  <c r="EU142" i="135"/>
  <c r="EU146" i="135"/>
  <c r="EU170" i="135"/>
  <c r="EU159" i="135"/>
  <c r="EU165" i="135"/>
  <c r="EU160" i="135"/>
  <c r="EV12" i="135"/>
  <c r="EW12" i="135" s="1"/>
  <c r="EV17" i="135"/>
  <c r="EW17" i="135" s="1"/>
  <c r="EV158" i="135"/>
  <c r="BM48" i="171"/>
  <c r="BM49" i="171" s="1"/>
  <c r="BP48" i="171" s="1"/>
  <c r="BP49" i="171" s="1"/>
  <c r="BQ48" i="171" s="1"/>
  <c r="BQ49" i="171" s="1"/>
  <c r="BR48" i="171" s="1"/>
  <c r="BR49" i="171" s="1"/>
  <c r="DE49" i="171"/>
  <c r="FH87" i="8" l="1"/>
  <c r="FI10" i="7"/>
  <c r="FH27" i="7"/>
  <c r="FL8" i="7"/>
  <c r="FH30" i="7"/>
  <c r="FH24" i="7"/>
  <c r="CV303" i="172"/>
  <c r="FL118" i="135"/>
  <c r="CU40" i="172"/>
  <c r="CT40" i="172"/>
  <c r="CX38" i="172"/>
  <c r="CX39" i="172" s="1"/>
  <c r="CT39" i="172"/>
  <c r="CX62" i="172"/>
  <c r="CT59" i="172"/>
  <c r="CT63" i="172"/>
  <c r="FH19" i="7" s="1"/>
  <c r="FH17" i="7" s="1"/>
  <c r="FH23" i="8" s="1"/>
  <c r="FJ17" i="7"/>
  <c r="CX33" i="172"/>
  <c r="BX134" i="189"/>
  <c r="CX14" i="172"/>
  <c r="CX21" i="172"/>
  <c r="CT61" i="172"/>
  <c r="CX53" i="172"/>
  <c r="FJ34" i="7"/>
  <c r="CX28" i="172"/>
  <c r="DQ55" i="172"/>
  <c r="CU193" i="172"/>
  <c r="CU199" i="172" s="1"/>
  <c r="CU207" i="172"/>
  <c r="CW84" i="172"/>
  <c r="CW85" i="172" s="1"/>
  <c r="CW206" i="172"/>
  <c r="FK38" i="7"/>
  <c r="FK44" i="7"/>
  <c r="FK42" i="7"/>
  <c r="CW295" i="172"/>
  <c r="CW293" i="172" s="1"/>
  <c r="BS48" i="171"/>
  <c r="BS49" i="171" s="1"/>
  <c r="BU48" i="171"/>
  <c r="BU49" i="171" s="1"/>
  <c r="BV48" i="171" s="1"/>
  <c r="BV49" i="171" s="1"/>
  <c r="BW48" i="171" s="1"/>
  <c r="BW49" i="171" s="1"/>
  <c r="BX48" i="171" s="1"/>
  <c r="BX49" i="171" s="1"/>
  <c r="DQ39" i="172"/>
  <c r="GG22" i="9"/>
  <c r="EU143" i="135"/>
  <c r="EU144" i="135"/>
  <c r="EV160" i="135"/>
  <c r="EV146" i="135"/>
  <c r="EV142" i="135"/>
  <c r="EV165" i="135"/>
  <c r="EW165" i="135" s="1"/>
  <c r="EV174" i="135"/>
  <c r="EW174" i="135" s="1"/>
  <c r="EV150" i="135"/>
  <c r="EV159" i="135"/>
  <c r="EW159" i="135" s="1"/>
  <c r="EW158" i="135"/>
  <c r="EV170" i="135"/>
  <c r="EW170" i="135" s="1"/>
  <c r="EU154" i="135"/>
  <c r="EU152" i="135"/>
  <c r="EU151" i="135"/>
  <c r="EU148" i="135"/>
  <c r="EU147" i="135"/>
  <c r="BN48" i="171"/>
  <c r="BN49" i="171" s="1"/>
  <c r="FL30" i="7" l="1"/>
  <c r="FL27" i="7"/>
  <c r="FL28" i="7" s="1"/>
  <c r="CT500" i="172"/>
  <c r="FJ18" i="7"/>
  <c r="CV500" i="172"/>
  <c r="FJ11" i="8"/>
  <c r="FJ23" i="8"/>
  <c r="FH18" i="7"/>
  <c r="FH22" i="7" s="1"/>
  <c r="FL17" i="7"/>
  <c r="CV505" i="172"/>
  <c r="CV83" i="172"/>
  <c r="FJ33" i="8"/>
  <c r="CV205" i="172"/>
  <c r="FJ25" i="8"/>
  <c r="FJ35" i="7"/>
  <c r="CV176" i="172"/>
  <c r="FJ30" i="8"/>
  <c r="FJ20" i="8"/>
  <c r="FJ13" i="8"/>
  <c r="CT303" i="172"/>
  <c r="FL24" i="7"/>
  <c r="FH34" i="7"/>
  <c r="FH11" i="8"/>
  <c r="CX61" i="172"/>
  <c r="CT58" i="172"/>
  <c r="CX57" i="172"/>
  <c r="CX63" i="172"/>
  <c r="FL19" i="7" s="1"/>
  <c r="CX47" i="172"/>
  <c r="CX52" i="172"/>
  <c r="FL31" i="7"/>
  <c r="CU192" i="172"/>
  <c r="CU194" i="172"/>
  <c r="CW207" i="172"/>
  <c r="CW193" i="172"/>
  <c r="CW199" i="172" s="1"/>
  <c r="EV154" i="135"/>
  <c r="EV155" i="135" s="1"/>
  <c r="EW155" i="135" s="1"/>
  <c r="EV143" i="135"/>
  <c r="EW143" i="135" s="1"/>
  <c r="EW142" i="135"/>
  <c r="EV144" i="135"/>
  <c r="EW144" i="135" s="1"/>
  <c r="EU156" i="135"/>
  <c r="EU155" i="135"/>
  <c r="EV148" i="135"/>
  <c r="EW148" i="135" s="1"/>
  <c r="EW146" i="135"/>
  <c r="EV147" i="135"/>
  <c r="EW147" i="135" s="1"/>
  <c r="EX12" i="135"/>
  <c r="EX17" i="135"/>
  <c r="EX158" i="135"/>
  <c r="EW150" i="135"/>
  <c r="EV151" i="135"/>
  <c r="EW151" i="135" s="1"/>
  <c r="EV152" i="135"/>
  <c r="EW152" i="135" s="1"/>
  <c r="FL18" i="7" l="1"/>
  <c r="FH37" i="7"/>
  <c r="FH42" i="7" s="1"/>
  <c r="CX500" i="172"/>
  <c r="FL47" i="8"/>
  <c r="FL34" i="7"/>
  <c r="FL25" i="7"/>
  <c r="FJ19" i="9"/>
  <c r="FK19" i="9"/>
  <c r="CX303" i="172"/>
  <c r="FK18" i="9"/>
  <c r="FJ18" i="9"/>
  <c r="FH33" i="8"/>
  <c r="FI21" i="9" s="1"/>
  <c r="CT176" i="172"/>
  <c r="CT83" i="172"/>
  <c r="CT205" i="172"/>
  <c r="FH20" i="8"/>
  <c r="FI19" i="9" s="1"/>
  <c r="FH13" i="8"/>
  <c r="FI18" i="9" s="1"/>
  <c r="FH35" i="7"/>
  <c r="FH30" i="8"/>
  <c r="FH25" i="8"/>
  <c r="CT505" i="172"/>
  <c r="FJ21" i="9"/>
  <c r="FJ22" i="7"/>
  <c r="FJ37" i="7"/>
  <c r="CW194" i="172"/>
  <c r="CW192" i="172"/>
  <c r="EV156" i="135"/>
  <c r="EW156" i="135" s="1"/>
  <c r="EW154" i="135"/>
  <c r="EX170" i="135"/>
  <c r="EX146" i="135"/>
  <c r="EX165" i="135"/>
  <c r="EX159" i="135"/>
  <c r="EX142" i="135"/>
  <c r="EX160" i="135"/>
  <c r="EX150" i="135"/>
  <c r="EX174" i="135"/>
  <c r="EY17" i="135"/>
  <c r="EY12" i="135"/>
  <c r="EY158" i="135"/>
  <c r="FL22" i="7" l="1"/>
  <c r="FL48" i="8"/>
  <c r="CT295" i="172"/>
  <c r="CT293" i="172" s="1"/>
  <c r="FH44" i="7"/>
  <c r="CT206" i="172"/>
  <c r="CT193" i="172" s="1"/>
  <c r="FH38" i="7"/>
  <c r="CT84" i="172"/>
  <c r="CT85" i="172" s="1"/>
  <c r="FL37" i="7"/>
  <c r="FJ42" i="7"/>
  <c r="CV84" i="172"/>
  <c r="CV85" i="172" s="1"/>
  <c r="CV295" i="172"/>
  <c r="CV293" i="172" s="1"/>
  <c r="FJ44" i="7"/>
  <c r="FJ38" i="7"/>
  <c r="CV206" i="172"/>
  <c r="CX176" i="172"/>
  <c r="FL35" i="7"/>
  <c r="CX505" i="172"/>
  <c r="CX83" i="172"/>
  <c r="CX205" i="172"/>
  <c r="CT207" i="172"/>
  <c r="EX154" i="135"/>
  <c r="EX155" i="135" s="1"/>
  <c r="EY142" i="135"/>
  <c r="EY170" i="135"/>
  <c r="EY150" i="135"/>
  <c r="EY159" i="135"/>
  <c r="EY174" i="135"/>
  <c r="EY160" i="135"/>
  <c r="EY165" i="135"/>
  <c r="EY146" i="135"/>
  <c r="EX148" i="135"/>
  <c r="EX147" i="135"/>
  <c r="EX144" i="135"/>
  <c r="EX143" i="135"/>
  <c r="EZ17" i="135"/>
  <c r="EZ158" i="135"/>
  <c r="EZ12" i="135"/>
  <c r="EX151" i="135"/>
  <c r="EX152" i="135"/>
  <c r="FL44" i="7" l="1"/>
  <c r="FL38" i="7"/>
  <c r="CX206" i="172"/>
  <c r="CX193" i="172" s="1"/>
  <c r="FL42" i="7"/>
  <c r="CX84" i="172"/>
  <c r="CX85" i="172" s="1"/>
  <c r="CX295" i="172"/>
  <c r="CX293" i="172" s="1"/>
  <c r="CV207" i="172"/>
  <c r="CV193" i="172"/>
  <c r="CT199" i="172"/>
  <c r="CT192" i="172"/>
  <c r="CT194" i="172"/>
  <c r="EX156" i="135"/>
  <c r="EY154" i="135"/>
  <c r="EY156" i="135" s="1"/>
  <c r="EY143" i="135"/>
  <c r="EY144" i="135"/>
  <c r="EY147" i="135"/>
  <c r="EY148" i="135"/>
  <c r="EY152" i="135"/>
  <c r="EY151" i="135"/>
  <c r="FA12" i="135"/>
  <c r="FB12" i="135" s="1"/>
  <c r="FA158" i="135"/>
  <c r="FA17" i="135"/>
  <c r="FB17" i="135" s="1"/>
  <c r="EZ159" i="135"/>
  <c r="EZ174" i="135"/>
  <c r="EZ142" i="135"/>
  <c r="EZ146" i="135"/>
  <c r="EZ160" i="135"/>
  <c r="EZ165" i="135"/>
  <c r="EZ170" i="135"/>
  <c r="EZ150" i="135"/>
  <c r="CX207" i="172" l="1"/>
  <c r="CV199" i="172"/>
  <c r="CV194" i="172"/>
  <c r="CV192" i="172"/>
  <c r="CX199" i="172"/>
  <c r="CX192" i="172"/>
  <c r="CX194" i="172"/>
  <c r="EY155" i="135"/>
  <c r="EZ154" i="135"/>
  <c r="EZ155" i="135" s="1"/>
  <c r="EZ151" i="135"/>
  <c r="EZ152" i="135"/>
  <c r="EZ143" i="135"/>
  <c r="EZ144" i="135"/>
  <c r="FA160" i="135"/>
  <c r="FB158" i="135"/>
  <c r="FA170" i="135"/>
  <c r="FB170" i="135" s="1"/>
  <c r="FA146" i="135"/>
  <c r="FA174" i="135"/>
  <c r="FB174" i="135" s="1"/>
  <c r="FA142" i="135"/>
  <c r="FA150" i="135"/>
  <c r="FA165" i="135"/>
  <c r="FB165" i="135" s="1"/>
  <c r="FA159" i="135"/>
  <c r="FB159" i="135" s="1"/>
  <c r="EZ147" i="135"/>
  <c r="EZ148" i="135"/>
  <c r="EZ156" i="135" l="1"/>
  <c r="FA151" i="135"/>
  <c r="FB151" i="135" s="1"/>
  <c r="FA152" i="135"/>
  <c r="FB152" i="135" s="1"/>
  <c r="FB150" i="135"/>
  <c r="FA147" i="135"/>
  <c r="FB147" i="135" s="1"/>
  <c r="FA148" i="135"/>
  <c r="FB148" i="135" s="1"/>
  <c r="FB146" i="135"/>
  <c r="FC158" i="135"/>
  <c r="FH159" i="135" s="1"/>
  <c r="FC12" i="135"/>
  <c r="FC17" i="135"/>
  <c r="FA154" i="135"/>
  <c r="FB142" i="135"/>
  <c r="FA143" i="135"/>
  <c r="FB143" i="135" s="1"/>
  <c r="FA144" i="135"/>
  <c r="FB144" i="135" s="1"/>
  <c r="FA155" i="135" l="1"/>
  <c r="FB155" i="135" s="1"/>
  <c r="FA156" i="135"/>
  <c r="FB156" i="135" s="1"/>
  <c r="FB154" i="135"/>
  <c r="FD12" i="135"/>
  <c r="FD17" i="135"/>
  <c r="FD158" i="135"/>
  <c r="FI159" i="135" s="1"/>
  <c r="FC165" i="135"/>
  <c r="FC150" i="135"/>
  <c r="FH152" i="135" s="1"/>
  <c r="FC160" i="135"/>
  <c r="FC174" i="135"/>
  <c r="FC142" i="135"/>
  <c r="FH144" i="135" s="1"/>
  <c r="FC170" i="135"/>
  <c r="FC159" i="135"/>
  <c r="FC146" i="135"/>
  <c r="FH148" i="135" s="1"/>
  <c r="FC154" i="135" l="1"/>
  <c r="FC152" i="135"/>
  <c r="FC151" i="135"/>
  <c r="FC143" i="135"/>
  <c r="FC144" i="135"/>
  <c r="FC147" i="135"/>
  <c r="FC148" i="135"/>
  <c r="FD146" i="135"/>
  <c r="FI148" i="135" s="1"/>
  <c r="FD160" i="135"/>
  <c r="FD159" i="135"/>
  <c r="FD174" i="135"/>
  <c r="FD170" i="135"/>
  <c r="FD165" i="135"/>
  <c r="FD142" i="135"/>
  <c r="FI144" i="135" s="1"/>
  <c r="FD150" i="135"/>
  <c r="FI152" i="135" s="1"/>
  <c r="FE17" i="135"/>
  <c r="FE158" i="135"/>
  <c r="FJ159" i="135" s="1"/>
  <c r="FE12" i="135"/>
  <c r="FC156" i="135" l="1"/>
  <c r="FH156" i="135"/>
  <c r="FD154" i="135"/>
  <c r="FC155" i="135"/>
  <c r="FD152" i="135"/>
  <c r="FD151" i="135"/>
  <c r="FD148" i="135"/>
  <c r="FD147" i="135"/>
  <c r="FD144" i="135"/>
  <c r="FD143" i="135"/>
  <c r="FF12" i="135"/>
  <c r="FG12" i="135" s="1"/>
  <c r="FF158" i="135"/>
  <c r="FK159" i="135" s="1"/>
  <c r="FL159" i="135" s="1"/>
  <c r="FF17" i="135"/>
  <c r="FG17" i="135" s="1"/>
  <c r="FE170" i="135"/>
  <c r="FE150" i="135"/>
  <c r="FJ152" i="135" s="1"/>
  <c r="FE159" i="135"/>
  <c r="FE142" i="135"/>
  <c r="FJ144" i="135" s="1"/>
  <c r="FE160" i="135"/>
  <c r="FE146" i="135"/>
  <c r="FJ148" i="135" s="1"/>
  <c r="FE174" i="135"/>
  <c r="FE165" i="135"/>
  <c r="FD155" i="135" l="1"/>
  <c r="FI156" i="135"/>
  <c r="FD156" i="135"/>
  <c r="FE154" i="135"/>
  <c r="FE148" i="135"/>
  <c r="FE147" i="135"/>
  <c r="FE152" i="135"/>
  <c r="FE151" i="135"/>
  <c r="FE143" i="135"/>
  <c r="FE144" i="135"/>
  <c r="FF160" i="135"/>
  <c r="FF174" i="135"/>
  <c r="FG174" i="135" s="1"/>
  <c r="FF142" i="135"/>
  <c r="FK144" i="135" s="1"/>
  <c r="FL144" i="135" s="1"/>
  <c r="FG158" i="135"/>
  <c r="FH160" i="135" s="1"/>
  <c r="FF165" i="135"/>
  <c r="FG165" i="135" s="1"/>
  <c r="FF146" i="135"/>
  <c r="FK148" i="135" s="1"/>
  <c r="FL148" i="135" s="1"/>
  <c r="FF150" i="135"/>
  <c r="FK152" i="135" s="1"/>
  <c r="FL152" i="135" s="1"/>
  <c r="FF170" i="135"/>
  <c r="FG170" i="135" s="1"/>
  <c r="FF159" i="135"/>
  <c r="FG159" i="135" s="1"/>
  <c r="FE156" i="135" l="1"/>
  <c r="FJ156" i="135"/>
  <c r="FE155" i="135"/>
  <c r="FF152" i="135"/>
  <c r="FG152" i="135" s="1"/>
  <c r="FG150" i="135"/>
  <c r="FF151" i="135"/>
  <c r="FG151" i="135" s="1"/>
  <c r="FF144" i="135"/>
  <c r="FG144" i="135" s="1"/>
  <c r="FF143" i="135"/>
  <c r="FG143" i="135" s="1"/>
  <c r="FG142" i="135"/>
  <c r="FF154" i="135"/>
  <c r="FK156" i="135" s="1"/>
  <c r="FL156" i="135" s="1"/>
  <c r="FG146" i="135"/>
  <c r="FF148" i="135"/>
  <c r="FG148" i="135" s="1"/>
  <c r="FF147" i="135"/>
  <c r="FG147" i="135" s="1"/>
  <c r="FF156" i="135" l="1"/>
  <c r="FG156" i="135" s="1"/>
  <c r="FF155" i="135"/>
  <c r="FG155" i="135" s="1"/>
  <c r="FG154" i="135"/>
  <c r="EV76" i="8" l="1"/>
  <c r="EX76" i="8" s="1"/>
  <c r="EV47" i="7" l="1"/>
  <c r="GF47" i="7"/>
  <c r="EX47" i="7" l="1"/>
  <c r="EY76" i="8" l="1"/>
  <c r="EZ76" i="8" s="1"/>
  <c r="FA76" i="8" s="1"/>
  <c r="FC76" i="8" s="1"/>
  <c r="FD76" i="8" s="1"/>
  <c r="FE76" i="8" s="1"/>
  <c r="FF76" i="8" s="1"/>
  <c r="FH76" i="8" s="1"/>
  <c r="EW47" i="7"/>
  <c r="FI76" i="8" l="1"/>
  <c r="FH47" i="7"/>
  <c r="EY47" i="7"/>
  <c r="GG47" i="7" s="1"/>
  <c r="EZ47" i="7"/>
  <c r="FJ76" i="8" l="1"/>
  <c r="FI47" i="7"/>
  <c r="FA47" i="7"/>
  <c r="FB47" i="7" s="1"/>
  <c r="FJ47" i="7" l="1"/>
  <c r="FK76" i="8"/>
  <c r="FK47" i="7" s="1"/>
  <c r="FC47" i="7"/>
  <c r="FD47" i="7"/>
  <c r="FL47" i="7" l="1"/>
  <c r="FE47" i="7"/>
  <c r="GH47" i="7"/>
  <c r="FF47" i="7" l="1"/>
  <c r="GI47" i="7" s="1"/>
  <c r="FG47" i="7" l="1"/>
  <c r="EV50" i="7" l="1"/>
  <c r="GG50" i="7" s="1"/>
  <c r="GF50" i="7" l="1"/>
  <c r="EW50" i="7"/>
  <c r="AS97" i="175" l="1"/>
  <c r="AX97" i="175" l="1"/>
  <c r="AX100" i="175" s="1"/>
  <c r="AS88" i="175"/>
  <c r="AU99" i="175"/>
  <c r="BX97" i="175"/>
  <c r="BX98" i="175" s="1"/>
  <c r="AS100" i="175"/>
  <c r="AT97" i="175"/>
  <c r="AS99" i="175"/>
  <c r="AS147" i="175"/>
  <c r="AS150" i="175" s="1"/>
  <c r="AT150" i="175" s="1"/>
  <c r="AS26" i="175"/>
  <c r="AX26" i="175" l="1"/>
  <c r="AY97" i="175"/>
  <c r="AZ99" i="175"/>
  <c r="BY97" i="175"/>
  <c r="AX147" i="175"/>
  <c r="AX150" i="175" s="1"/>
  <c r="AY150" i="175" s="1"/>
  <c r="AX99" i="175"/>
  <c r="AU90" i="175"/>
  <c r="AS89" i="175"/>
  <c r="AS90" i="175"/>
  <c r="AT88" i="175"/>
  <c r="AT89" i="175" s="1"/>
  <c r="BC97" i="175"/>
  <c r="AX88" i="175"/>
  <c r="AS149" i="175"/>
  <c r="AU149" i="175"/>
  <c r="AS148" i="175"/>
  <c r="BX147" i="175"/>
  <c r="BX148" i="175" s="1"/>
  <c r="AY147" i="175"/>
  <c r="AY98" i="175"/>
  <c r="BX26" i="175"/>
  <c r="AT26" i="175"/>
  <c r="AS27" i="175"/>
  <c r="AX148" i="175"/>
  <c r="AZ149" i="175"/>
  <c r="AX149" i="175"/>
  <c r="BY98" i="175"/>
  <c r="AT100" i="175"/>
  <c r="BX100" i="175"/>
  <c r="AT147" i="175"/>
  <c r="AT148" i="175" s="1"/>
  <c r="AT98" i="175"/>
  <c r="BY26" i="175"/>
  <c r="AX27" i="175"/>
  <c r="AY26" i="175"/>
  <c r="AY100" i="175"/>
  <c r="BY100" i="175"/>
  <c r="BY147" i="175" l="1"/>
  <c r="BY148" i="175" s="1"/>
  <c r="AX89" i="175"/>
  <c r="AZ90" i="175"/>
  <c r="AY88" i="175"/>
  <c r="AY89" i="175" s="1"/>
  <c r="AX90" i="175"/>
  <c r="BC88" i="175"/>
  <c r="BC99" i="175"/>
  <c r="BC147" i="175"/>
  <c r="BC150" i="175" s="1"/>
  <c r="BD150" i="175" s="1"/>
  <c r="BC26" i="175"/>
  <c r="BZ97" i="175"/>
  <c r="BZ98" i="175" s="1"/>
  <c r="BC100" i="175"/>
  <c r="BD97" i="175"/>
  <c r="BX27" i="175"/>
  <c r="AT27" i="175"/>
  <c r="AY148" i="175"/>
  <c r="BY27" i="175"/>
  <c r="AY27" i="175"/>
  <c r="AX151" i="175"/>
  <c r="BY150" i="175"/>
  <c r="AX152" i="175"/>
  <c r="AZ152" i="175"/>
  <c r="AU152" i="175"/>
  <c r="BX150" i="175"/>
  <c r="BX151" i="175" s="1"/>
  <c r="AS152" i="175"/>
  <c r="AT151" i="175"/>
  <c r="AS151" i="175"/>
  <c r="BC149" i="175" l="1"/>
  <c r="BZ147" i="175"/>
  <c r="BZ148" i="175" s="1"/>
  <c r="BC148" i="175"/>
  <c r="BD147" i="175"/>
  <c r="BD148" i="175" s="1"/>
  <c r="BD98" i="175"/>
  <c r="BD100" i="175"/>
  <c r="BZ100" i="175"/>
  <c r="BZ26" i="175"/>
  <c r="BC27" i="175"/>
  <c r="BD26" i="175"/>
  <c r="BC89" i="175"/>
  <c r="BC90" i="175"/>
  <c r="BD88" i="175"/>
  <c r="BD89" i="175" s="1"/>
  <c r="BY151" i="175"/>
  <c r="AY151" i="175"/>
  <c r="BZ27" i="175" l="1"/>
  <c r="BD27" i="175"/>
  <c r="BD151" i="175"/>
  <c r="BC151" i="175"/>
  <c r="BC152" i="175"/>
  <c r="BZ150" i="175"/>
  <c r="BZ151" i="175" s="1"/>
  <c r="CH20" i="172" l="1"/>
  <c r="EV110" i="135" s="1"/>
  <c r="CH49" i="172"/>
  <c r="EV108" i="135"/>
  <c r="CJ20" i="172"/>
  <c r="EX110" i="135" s="1"/>
  <c r="DO17" i="172"/>
  <c r="CH18" i="172"/>
  <c r="EV138" i="135"/>
  <c r="EV137" i="135"/>
  <c r="EV131" i="135"/>
  <c r="DO18" i="172" l="1"/>
  <c r="DP18" i="172"/>
  <c r="EV109" i="135"/>
  <c r="EW108" i="135"/>
  <c r="CI18" i="172"/>
  <c r="FA131" i="135"/>
  <c r="FA138" i="135"/>
  <c r="FA137" i="135"/>
  <c r="CH48" i="172"/>
  <c r="CH51" i="172"/>
  <c r="CI49" i="172"/>
  <c r="DO49" i="172"/>
  <c r="CM18" i="172"/>
  <c r="CO20" i="172"/>
  <c r="FC110" i="135" s="1"/>
  <c r="CM49" i="172"/>
  <c r="CM20" i="172"/>
  <c r="FA110" i="135" s="1"/>
  <c r="FA108" i="135"/>
  <c r="EV133" i="135"/>
  <c r="EV132" i="135"/>
  <c r="DO50" i="172" l="1"/>
  <c r="DP49" i="172"/>
  <c r="CM48" i="172"/>
  <c r="CN49" i="172"/>
  <c r="CN50" i="172" s="1"/>
  <c r="CM51" i="172"/>
  <c r="CI48" i="172"/>
  <c r="FA133" i="135"/>
  <c r="FA132" i="135"/>
  <c r="FB108" i="135"/>
  <c r="CN18" i="172"/>
  <c r="CR18" i="172"/>
  <c r="FF108" i="135"/>
  <c r="CR20" i="172"/>
  <c r="FF110" i="135" s="1"/>
  <c r="CR49" i="172"/>
  <c r="FF137" i="135"/>
  <c r="FF138" i="135"/>
  <c r="FF131" i="135"/>
  <c r="EW109" i="135"/>
  <c r="FA109" i="135"/>
  <c r="CI50" i="172"/>
  <c r="CW51" i="172" l="1"/>
  <c r="DQ49" i="172"/>
  <c r="DP50" i="172"/>
  <c r="FK132" i="135"/>
  <c r="FH133" i="135"/>
  <c r="FF133" i="135"/>
  <c r="FF132" i="135"/>
  <c r="CR51" i="172"/>
  <c r="CS49" i="172"/>
  <c r="CS50" i="172" s="1"/>
  <c r="CR48" i="172"/>
  <c r="FF109" i="135"/>
  <c r="FG108" i="135"/>
  <c r="CS18" i="172"/>
  <c r="CN48" i="172"/>
  <c r="FB109" i="135"/>
  <c r="DQ50" i="172" l="1"/>
  <c r="CS48" i="172"/>
  <c r="FG109" i="135"/>
  <c r="BW63" i="175" l="1"/>
  <c r="AP10" i="175"/>
  <c r="AT10" i="175" s="1"/>
  <c r="BX63" i="175" l="1"/>
  <c r="BX64" i="175" s="1"/>
  <c r="AU10" i="175"/>
  <c r="BW60" i="175"/>
  <c r="BW10" i="175"/>
  <c r="AP9" i="175"/>
  <c r="AP16" i="175" s="1"/>
  <c r="BY63" i="175" l="1"/>
  <c r="BY64" i="175" s="1"/>
  <c r="AZ10" i="175"/>
  <c r="BW9" i="175"/>
  <c r="BW16" i="175"/>
  <c r="AT9" i="175"/>
  <c r="AT16" i="175" s="1"/>
  <c r="BW81" i="175"/>
  <c r="BX10" i="175"/>
  <c r="AU9" i="175"/>
  <c r="EI136" i="135" s="1"/>
  <c r="AY10" i="175"/>
  <c r="BX60" i="175"/>
  <c r="BX61" i="175" s="1"/>
  <c r="EI138" i="135" l="1"/>
  <c r="EI137" i="135"/>
  <c r="EI131" i="135"/>
  <c r="EJ138" i="135"/>
  <c r="BY60" i="175"/>
  <c r="BY61" i="175" s="1"/>
  <c r="BX9" i="175"/>
  <c r="AY9" i="175"/>
  <c r="EM136" i="135" s="1"/>
  <c r="BZ63" i="175"/>
  <c r="BZ64" i="175" s="1"/>
  <c r="BY10" i="175"/>
  <c r="AZ9" i="175"/>
  <c r="EN136" i="135" s="1"/>
  <c r="ES137" i="135" s="1"/>
  <c r="BD10" i="175"/>
  <c r="EI132" i="135" l="1"/>
  <c r="EI134" i="135" s="1"/>
  <c r="EI133" i="135"/>
  <c r="EJ133" i="135"/>
  <c r="BZ60" i="175"/>
  <c r="BZ61" i="175" s="1"/>
  <c r="BY9" i="175"/>
  <c r="BD9" i="175"/>
  <c r="ER136" i="135" s="1"/>
  <c r="ES138" i="135" s="1"/>
  <c r="BZ10" i="175"/>
  <c r="BZ9" i="175" l="1"/>
  <c r="ER137" i="135"/>
  <c r="EM131" i="135"/>
  <c r="EM132" i="135" s="1"/>
  <c r="EM137" i="135"/>
  <c r="EN137" i="135"/>
  <c r="EO138" i="135"/>
  <c r="EN131" i="135"/>
  <c r="ES132" i="135" s="1"/>
  <c r="EN138" i="135"/>
  <c r="EN133" i="135" l="1"/>
  <c r="EN132" i="135"/>
  <c r="EO133" i="135"/>
  <c r="ER131" i="135"/>
  <c r="ER132" i="135" s="1"/>
  <c r="EW137" i="135"/>
  <c r="EW131" i="135" l="1"/>
  <c r="EW132" i="135" s="1"/>
  <c r="FB137" i="135"/>
  <c r="EX137" i="135"/>
  <c r="EX138" i="135"/>
  <c r="EY138" i="135"/>
  <c r="EX131" i="135"/>
  <c r="FC138" i="135" l="1"/>
  <c r="FD138" i="135"/>
  <c r="FC131" i="135"/>
  <c r="FH132" i="135" s="1"/>
  <c r="FC137" i="135"/>
  <c r="FG137" i="135"/>
  <c r="EX133" i="135"/>
  <c r="EX132" i="135"/>
  <c r="EY133" i="135"/>
  <c r="FB131" i="135"/>
  <c r="FB132" i="135" s="1"/>
  <c r="FC132" i="135" l="1"/>
  <c r="FG131" i="135"/>
  <c r="FC133" i="135"/>
  <c r="FD133" i="135"/>
  <c r="FG132" i="135" l="1"/>
  <c r="FL132" i="135"/>
  <c r="AW351" i="175"/>
  <c r="AW267" i="175"/>
  <c r="AX267" i="175"/>
  <c r="AX351" i="175"/>
  <c r="AU263" i="175"/>
  <c r="AU231" i="175"/>
  <c r="AU231" i="189" s="1"/>
  <c r="AU236" i="189" s="1"/>
  <c r="AV267" i="175"/>
  <c r="AV351" i="175"/>
  <c r="BX260" i="175"/>
  <c r="AU267" i="175"/>
  <c r="AU351" i="175"/>
  <c r="AU232" i="189" l="1"/>
  <c r="AU235" i="189" s="1"/>
  <c r="AU237" i="189"/>
  <c r="AU265" i="175"/>
  <c r="AU264" i="175"/>
  <c r="AU268" i="175"/>
  <c r="BX267" i="175"/>
  <c r="AY267" i="175"/>
  <c r="AU269" i="175"/>
  <c r="AV8" i="175"/>
  <c r="AX295" i="175"/>
  <c r="AX297" i="175" s="1"/>
  <c r="AX352" i="175"/>
  <c r="AX354" i="175"/>
  <c r="AZ231" i="175"/>
  <c r="AZ231" i="189" s="1"/>
  <c r="AZ263" i="175"/>
  <c r="AX8" i="175"/>
  <c r="BX57" i="175"/>
  <c r="BX58" i="175" s="1"/>
  <c r="AU8" i="175"/>
  <c r="AU352" i="175"/>
  <c r="BX351" i="175"/>
  <c r="AY351" i="175"/>
  <c r="AU354" i="175"/>
  <c r="AU295" i="175"/>
  <c r="AV269" i="175"/>
  <c r="AV268" i="175"/>
  <c r="AX268" i="175"/>
  <c r="AX269" i="175"/>
  <c r="AW269" i="175"/>
  <c r="AW268" i="175"/>
  <c r="AV352" i="175"/>
  <c r="AV295" i="175"/>
  <c r="AV297" i="175" s="1"/>
  <c r="AV354" i="175"/>
  <c r="AW8" i="175"/>
  <c r="AV231" i="175"/>
  <c r="AV231" i="189" s="1"/>
  <c r="AV236" i="189" s="1"/>
  <c r="AV263" i="175"/>
  <c r="BX263" i="175" s="1"/>
  <c r="AU236" i="175"/>
  <c r="AU232" i="175" s="1"/>
  <c r="AU235" i="175" s="1"/>
  <c r="AX263" i="175"/>
  <c r="AX231" i="175"/>
  <c r="AX231" i="189" s="1"/>
  <c r="AW263" i="175"/>
  <c r="AW231" i="175"/>
  <c r="AW231" i="189" s="1"/>
  <c r="AW236" i="189" s="1"/>
  <c r="AW295" i="175"/>
  <c r="AW354" i="175"/>
  <c r="BY351" i="175"/>
  <c r="AW352" i="175"/>
  <c r="AV232" i="189" l="1"/>
  <c r="AV235" i="189" s="1"/>
  <c r="AV237" i="189"/>
  <c r="AW232" i="189"/>
  <c r="AW235" i="189" s="1"/>
  <c r="AW237" i="189"/>
  <c r="CC236" i="189"/>
  <c r="AY231" i="189"/>
  <c r="AY236" i="189" s="1"/>
  <c r="AX236" i="189"/>
  <c r="AZ236" i="189"/>
  <c r="AZ237" i="189" s="1"/>
  <c r="AV355" i="175"/>
  <c r="AV356" i="175"/>
  <c r="AV433" i="175"/>
  <c r="BC263" i="175"/>
  <c r="BC231" i="175"/>
  <c r="BC231" i="189" s="1"/>
  <c r="BA263" i="175"/>
  <c r="BY263" i="175" s="1"/>
  <c r="BA231" i="175"/>
  <c r="BA231" i="189" s="1"/>
  <c r="AW6" i="175"/>
  <c r="BX295" i="175"/>
  <c r="AU297" i="175"/>
  <c r="BX297" i="175" s="1"/>
  <c r="AY295" i="175"/>
  <c r="AX6" i="175"/>
  <c r="AX16" i="175" s="1"/>
  <c r="AZ236" i="175"/>
  <c r="AZ237" i="175" s="1"/>
  <c r="AW236" i="175"/>
  <c r="AW232" i="175" s="1"/>
  <c r="AW235" i="175" s="1"/>
  <c r="AY352" i="175"/>
  <c r="AY354" i="175"/>
  <c r="AY355" i="175" s="1"/>
  <c r="AZ267" i="175"/>
  <c r="BY260" i="175"/>
  <c r="BB263" i="175"/>
  <c r="BB231" i="175"/>
  <c r="BB231" i="189" s="1"/>
  <c r="AY231" i="175"/>
  <c r="AX236" i="175"/>
  <c r="AX237" i="175" s="1"/>
  <c r="AU237" i="175"/>
  <c r="AV264" i="175"/>
  <c r="AV265" i="175"/>
  <c r="BX354" i="175"/>
  <c r="AU355" i="175"/>
  <c r="AU433" i="175"/>
  <c r="AU356" i="175"/>
  <c r="BX8" i="175"/>
  <c r="AY8" i="175"/>
  <c r="AU6" i="175"/>
  <c r="AY263" i="175"/>
  <c r="AY257" i="175" s="1"/>
  <c r="BY354" i="175"/>
  <c r="AW355" i="175"/>
  <c r="AW433" i="175"/>
  <c r="AW356" i="175"/>
  <c r="AX355" i="175"/>
  <c r="AX433" i="175"/>
  <c r="AX356" i="175"/>
  <c r="AV6" i="175"/>
  <c r="AV16" i="175" s="1"/>
  <c r="BY295" i="175"/>
  <c r="AW297" i="175"/>
  <c r="BY297" i="175" s="1"/>
  <c r="AW265" i="175"/>
  <c r="AW264" i="175"/>
  <c r="AX265" i="175"/>
  <c r="AX264" i="175"/>
  <c r="AV236" i="175"/>
  <c r="AV237" i="175" s="1"/>
  <c r="BX51" i="175"/>
  <c r="BX52" i="175" s="1"/>
  <c r="AZ265" i="175"/>
  <c r="AZ264" i="175"/>
  <c r="AY268" i="175"/>
  <c r="AY269" i="175"/>
  <c r="AX232" i="189" l="1"/>
  <c r="AX235" i="189" s="1"/>
  <c r="AX237" i="189"/>
  <c r="BB236" i="189"/>
  <c r="BE231" i="189"/>
  <c r="BF231" i="189" s="1"/>
  <c r="BG231" i="189" s="1"/>
  <c r="BD231" i="189"/>
  <c r="BC236" i="189"/>
  <c r="BC237" i="189" s="1"/>
  <c r="AY232" i="189"/>
  <c r="AY235" i="189" s="1"/>
  <c r="AY237" i="189"/>
  <c r="BA236" i="189"/>
  <c r="AZ232" i="189"/>
  <c r="AZ235" i="189" s="1"/>
  <c r="AY264" i="175"/>
  <c r="AY265" i="175"/>
  <c r="BX6" i="175"/>
  <c r="AY6" i="175"/>
  <c r="AY16" i="175" s="1"/>
  <c r="AU16" i="175"/>
  <c r="BX16" i="175" s="1"/>
  <c r="AX232" i="175"/>
  <c r="AX235" i="175" s="1"/>
  <c r="BB267" i="175"/>
  <c r="AZ8" i="175"/>
  <c r="AZ232" i="175"/>
  <c r="AZ235" i="175" s="1"/>
  <c r="AW16" i="175"/>
  <c r="BA265" i="175"/>
  <c r="BA264" i="175"/>
  <c r="BC264" i="175"/>
  <c r="BC265" i="175"/>
  <c r="BX236" i="175"/>
  <c r="AV232" i="175"/>
  <c r="AV235" i="175" s="1"/>
  <c r="AW434" i="175"/>
  <c r="AW435" i="175"/>
  <c r="BY433" i="175"/>
  <c r="BX433" i="175"/>
  <c r="AU435" i="175"/>
  <c r="AY433" i="175"/>
  <c r="AY434" i="175" s="1"/>
  <c r="AU434" i="175"/>
  <c r="BB236" i="175"/>
  <c r="BB232" i="175" s="1"/>
  <c r="BB235" i="175" s="1"/>
  <c r="AZ268" i="175"/>
  <c r="AZ269" i="175"/>
  <c r="AY297" i="175"/>
  <c r="BZ263" i="175"/>
  <c r="AV434" i="175"/>
  <c r="AV435" i="175"/>
  <c r="AX434" i="175"/>
  <c r="AX435" i="175"/>
  <c r="AY236" i="175"/>
  <c r="AY237" i="175" s="1"/>
  <c r="BB264" i="175"/>
  <c r="BB265" i="175"/>
  <c r="BA236" i="175"/>
  <c r="BA237" i="175" s="1"/>
  <c r="BC267" i="175"/>
  <c r="BD263" i="175"/>
  <c r="BD257" i="175" s="1"/>
  <c r="BX81" i="175"/>
  <c r="AW237" i="175"/>
  <c r="BA267" i="175"/>
  <c r="BY57" i="175"/>
  <c r="BY58" i="175" s="1"/>
  <c r="BC236" i="175"/>
  <c r="BC237" i="175" s="1"/>
  <c r="BD231" i="175"/>
  <c r="BG236" i="189" l="1"/>
  <c r="BG237" i="189" s="1"/>
  <c r="BF236" i="189"/>
  <c r="BF237" i="189" s="1"/>
  <c r="CD236" i="189"/>
  <c r="BA237" i="189"/>
  <c r="BD236" i="189"/>
  <c r="BD237" i="189" s="1"/>
  <c r="BA232" i="189"/>
  <c r="BA235" i="189" s="1"/>
  <c r="BB237" i="189"/>
  <c r="AY232" i="175"/>
  <c r="AY235" i="175" s="1"/>
  <c r="BE236" i="189"/>
  <c r="BE237" i="189" s="1"/>
  <c r="BC232" i="189"/>
  <c r="BC235" i="189" s="1"/>
  <c r="BB232" i="189"/>
  <c r="BB235" i="189" s="1"/>
  <c r="BZ260" i="175"/>
  <c r="BY236" i="175"/>
  <c r="BA232" i="175"/>
  <c r="BA235" i="175" s="1"/>
  <c r="BD236" i="175"/>
  <c r="BD237" i="175" s="1"/>
  <c r="BA269" i="175"/>
  <c r="BA268" i="175"/>
  <c r="BC268" i="175"/>
  <c r="BC269" i="175"/>
  <c r="BY267" i="175"/>
  <c r="AZ6" i="175"/>
  <c r="BB268" i="175"/>
  <c r="BB269" i="175"/>
  <c r="BA8" i="175"/>
  <c r="BD265" i="175"/>
  <c r="BD264" i="175"/>
  <c r="BC232" i="175"/>
  <c r="BC235" i="175" s="1"/>
  <c r="BC8" i="175"/>
  <c r="BD267" i="175"/>
  <c r="BB237" i="175"/>
  <c r="BY51" i="175"/>
  <c r="BY52" i="175" s="1"/>
  <c r="BZ57" i="175"/>
  <c r="BZ58" i="175" s="1"/>
  <c r="BB8" i="175"/>
  <c r="BG232" i="189" l="1"/>
  <c r="BG235" i="189" s="1"/>
  <c r="BF232" i="189"/>
  <c r="BF235" i="189" s="1"/>
  <c r="BH231" i="189"/>
  <c r="BE232" i="189"/>
  <c r="BE235" i="189" s="1"/>
  <c r="BD232" i="189"/>
  <c r="BD235" i="189" s="1"/>
  <c r="BZ236" i="175"/>
  <c r="BD232" i="175"/>
  <c r="BD235" i="175" s="1"/>
  <c r="BB6" i="175"/>
  <c r="BD268" i="175"/>
  <c r="BD269" i="175"/>
  <c r="BA6" i="175"/>
  <c r="BA16" i="175" s="1"/>
  <c r="AZ16" i="175"/>
  <c r="BY8" i="175"/>
  <c r="BD8" i="175"/>
  <c r="BZ51" i="175"/>
  <c r="BZ52" i="175" s="1"/>
  <c r="BC6" i="175"/>
  <c r="BC16" i="175" s="1"/>
  <c r="BZ267" i="175"/>
  <c r="CE236" i="189" l="1"/>
  <c r="BJ231" i="189"/>
  <c r="BI231" i="189"/>
  <c r="BH236" i="189"/>
  <c r="BH237" i="189" s="1"/>
  <c r="BY6" i="175"/>
  <c r="BD6" i="175"/>
  <c r="BD16" i="175" s="1"/>
  <c r="BZ8" i="175"/>
  <c r="BY16" i="175"/>
  <c r="BB16" i="175"/>
  <c r="BZ16" i="175" s="1"/>
  <c r="BY81" i="175"/>
  <c r="BK231" i="189" l="1"/>
  <c r="BI236" i="189"/>
  <c r="BI237" i="189" s="1"/>
  <c r="BL231" i="189"/>
  <c r="BJ236" i="189"/>
  <c r="BH232" i="189"/>
  <c r="BH235" i="189" s="1"/>
  <c r="BZ6" i="175"/>
  <c r="BZ17" i="175"/>
  <c r="BZ18" i="175" s="1"/>
  <c r="BZ81" i="175"/>
  <c r="BZ82" i="175"/>
  <c r="BZ83" i="175" s="1"/>
  <c r="BI232" i="189" l="1"/>
  <c r="BI235" i="189" s="1"/>
  <c r="BJ237" i="189"/>
  <c r="BL236" i="189"/>
  <c r="BL237" i="189" s="1"/>
  <c r="BJ232" i="189"/>
  <c r="BJ235" i="189" s="1"/>
  <c r="BM231" i="189"/>
  <c r="BK236" i="189"/>
  <c r="BK237" i="189" s="1"/>
  <c r="BZ45" i="175"/>
  <c r="BZ46" i="175" s="1"/>
  <c r="CH34" i="172"/>
  <c r="CH11" i="172"/>
  <c r="CH13" i="172"/>
  <c r="EV101" i="135" s="1"/>
  <c r="EV99" i="135"/>
  <c r="CH44" i="172"/>
  <c r="DN10" i="172"/>
  <c r="DN11" i="172" l="1"/>
  <c r="CH43" i="172"/>
  <c r="CH61" i="172" s="1"/>
  <c r="CH58" i="172" s="1"/>
  <c r="BN231" i="189"/>
  <c r="BO231" i="189"/>
  <c r="BM236" i="189"/>
  <c r="BM237" i="189" s="1"/>
  <c r="CF236" i="189"/>
  <c r="BK232" i="189"/>
  <c r="BK235" i="189" s="1"/>
  <c r="BL232" i="189"/>
  <c r="BL235" i="189" s="1"/>
  <c r="CH14" i="172"/>
  <c r="BH134" i="189"/>
  <c r="BK137" i="189"/>
  <c r="BJ137" i="189"/>
  <c r="CE134" i="189"/>
  <c r="CE135" i="189" s="1"/>
  <c r="CP34" i="172"/>
  <c r="CP11" i="172"/>
  <c r="FD99" i="135"/>
  <c r="CP44" i="172"/>
  <c r="BP134" i="189"/>
  <c r="BU135" i="189" s="1"/>
  <c r="CI34" i="172"/>
  <c r="EW99" i="135"/>
  <c r="CI11" i="172"/>
  <c r="CH46" i="172"/>
  <c r="CH62" i="172"/>
  <c r="CQ11" i="172"/>
  <c r="CR11" i="172"/>
  <c r="CR13" i="172"/>
  <c r="FF101" i="135" s="1"/>
  <c r="CR34" i="172"/>
  <c r="FF99" i="135"/>
  <c r="CR44" i="172"/>
  <c r="DN32" i="172"/>
  <c r="DN33" i="172" s="1"/>
  <c r="CK34" i="172"/>
  <c r="CK44" i="172"/>
  <c r="EY99" i="135"/>
  <c r="CK11" i="172"/>
  <c r="CK13" i="172"/>
  <c r="EY101" i="135" s="1"/>
  <c r="EV100" i="135"/>
  <c r="CJ34" i="172"/>
  <c r="CJ13" i="172"/>
  <c r="EX101" i="135" s="1"/>
  <c r="CJ11" i="172"/>
  <c r="EX99" i="135"/>
  <c r="CJ44" i="172"/>
  <c r="CJ43" i="172" s="1"/>
  <c r="CQ13" i="172"/>
  <c r="FE101" i="135" s="1"/>
  <c r="FE99" i="135"/>
  <c r="CQ44" i="172"/>
  <c r="DN44" i="172"/>
  <c r="CM11" i="172"/>
  <c r="CM34" i="172"/>
  <c r="FA99" i="135"/>
  <c r="CM44" i="172"/>
  <c r="BM134" i="189"/>
  <c r="CH28" i="172"/>
  <c r="CH33" i="172"/>
  <c r="CH21" i="172"/>
  <c r="CP13" i="172"/>
  <c r="FD101" i="135" s="1"/>
  <c r="DN45" i="172" l="1"/>
  <c r="CV46" i="172"/>
  <c r="DQ44" i="172"/>
  <c r="CR43" i="172"/>
  <c r="CR61" i="172" s="1"/>
  <c r="CR58" i="172" s="1"/>
  <c r="CW46" i="172"/>
  <c r="CP43" i="172"/>
  <c r="CP61" i="172" s="1"/>
  <c r="CP58" i="172" s="1"/>
  <c r="CU46" i="172"/>
  <c r="CI44" i="172"/>
  <c r="CI45" i="172" s="1"/>
  <c r="DO11" i="172"/>
  <c r="DP11" i="172"/>
  <c r="BM232" i="189"/>
  <c r="BM235" i="189" s="1"/>
  <c r="BQ231" i="189"/>
  <c r="BO236" i="189"/>
  <c r="BO237" i="189" s="1"/>
  <c r="BP231" i="189"/>
  <c r="BN236" i="189"/>
  <c r="BN237" i="189" s="1"/>
  <c r="CQ14" i="172"/>
  <c r="BQ134" i="189"/>
  <c r="CR14" i="172"/>
  <c r="BR134" i="189"/>
  <c r="BM135" i="189"/>
  <c r="CK14" i="172"/>
  <c r="BK134" i="189"/>
  <c r="BH135" i="189"/>
  <c r="BH136" i="189"/>
  <c r="BM137" i="189" s="1"/>
  <c r="CJ14" i="172"/>
  <c r="BJ134" i="189"/>
  <c r="CM13" i="172"/>
  <c r="FA101" i="135" s="1"/>
  <c r="CQ34" i="172"/>
  <c r="FA100" i="135"/>
  <c r="CK46" i="172"/>
  <c r="CK62" i="172"/>
  <c r="BI134" i="189"/>
  <c r="BI135" i="189" s="1"/>
  <c r="CH59" i="172"/>
  <c r="CH63" i="172"/>
  <c r="ET19" i="7"/>
  <c r="CM28" i="172"/>
  <c r="CM33" i="172"/>
  <c r="CM21" i="172"/>
  <c r="FA8" i="7"/>
  <c r="DN62" i="172"/>
  <c r="DN63" i="172" s="1"/>
  <c r="ES19" i="7"/>
  <c r="DO44" i="172"/>
  <c r="EX100" i="135"/>
  <c r="EY100" i="135"/>
  <c r="CL11" i="172"/>
  <c r="CL34" i="172"/>
  <c r="CL13" i="172"/>
  <c r="EZ101" i="135" s="1"/>
  <c r="EZ99" i="135"/>
  <c r="CL44" i="172"/>
  <c r="CQ62" i="172"/>
  <c r="FE100" i="135"/>
  <c r="CI39" i="172"/>
  <c r="DO32" i="172"/>
  <c r="CR46" i="172"/>
  <c r="CR62" i="172"/>
  <c r="CP28" i="172"/>
  <c r="CP33" i="172"/>
  <c r="CP21" i="172"/>
  <c r="FD8" i="7"/>
  <c r="CO34" i="172"/>
  <c r="CO13" i="172"/>
  <c r="FC101" i="135" s="1"/>
  <c r="CO11" i="172"/>
  <c r="CO44" i="172"/>
  <c r="FC99" i="135"/>
  <c r="EV9" i="7"/>
  <c r="EV27" i="7"/>
  <c r="EV29" i="7" s="1"/>
  <c r="EV30" i="7"/>
  <c r="EV32" i="7" s="1"/>
  <c r="EV24" i="7"/>
  <c r="EV26" i="7" s="1"/>
  <c r="CM46" i="172"/>
  <c r="CM62" i="172"/>
  <c r="CM14" i="172"/>
  <c r="CQ43" i="172"/>
  <c r="CQ61" i="172" s="1"/>
  <c r="CQ58" i="172" s="1"/>
  <c r="CJ21" i="172"/>
  <c r="CJ28" i="172"/>
  <c r="CJ33" i="172"/>
  <c r="CJ36" i="172"/>
  <c r="EX8" i="7"/>
  <c r="CJ61" i="172"/>
  <c r="GF8" i="7"/>
  <c r="DN38" i="172"/>
  <c r="DN39" i="172" s="1"/>
  <c r="FF100" i="135"/>
  <c r="EW100" i="135"/>
  <c r="CP46" i="172"/>
  <c r="CP62" i="172"/>
  <c r="FD100" i="135"/>
  <c r="CN34" i="172"/>
  <c r="FB99" i="135"/>
  <c r="CN11" i="172"/>
  <c r="CH39" i="172"/>
  <c r="CH36" i="172"/>
  <c r="CM43" i="172"/>
  <c r="CM61" i="172" s="1"/>
  <c r="CM58" i="172" s="1"/>
  <c r="CQ36" i="172"/>
  <c r="CQ21" i="172"/>
  <c r="CQ28" i="172"/>
  <c r="FE8" i="7"/>
  <c r="CJ46" i="172"/>
  <c r="CJ62" i="172"/>
  <c r="CJ63" i="172" s="1"/>
  <c r="CK21" i="172"/>
  <c r="CK28" i="172"/>
  <c r="CK33" i="172"/>
  <c r="CK36" i="172"/>
  <c r="EY8" i="7"/>
  <c r="CK43" i="172"/>
  <c r="CK61" i="172" s="1"/>
  <c r="CK58" i="172" s="1"/>
  <c r="BZ134" i="175"/>
  <c r="BZ135" i="175" s="1"/>
  <c r="CR28" i="172"/>
  <c r="CR36" i="172"/>
  <c r="CR33" i="172"/>
  <c r="CR21" i="172"/>
  <c r="FF8" i="7"/>
  <c r="CP14" i="172"/>
  <c r="DQ62" i="172" l="1"/>
  <c r="DQ63" i="172" s="1"/>
  <c r="DQ45" i="172"/>
  <c r="DO45" i="172"/>
  <c r="CH134" i="189"/>
  <c r="FI9" i="7"/>
  <c r="BQ136" i="189"/>
  <c r="BV135" i="189"/>
  <c r="FJ9" i="7"/>
  <c r="GI8" i="7"/>
  <c r="BR135" i="189"/>
  <c r="BW135" i="189"/>
  <c r="BT136" i="189"/>
  <c r="FK9" i="7"/>
  <c r="FH10" i="7"/>
  <c r="CO43" i="172"/>
  <c r="CO61" i="172" s="1"/>
  <c r="CT46" i="172"/>
  <c r="CN44" i="172"/>
  <c r="DP44" i="172"/>
  <c r="DO33" i="172"/>
  <c r="DP33" i="172"/>
  <c r="EV10" i="7"/>
  <c r="BN232" i="189"/>
  <c r="BN235" i="189" s="1"/>
  <c r="BO232" i="189"/>
  <c r="BO235" i="189" s="1"/>
  <c r="BQ236" i="189"/>
  <c r="BR231" i="189"/>
  <c r="BT231" i="189" s="1"/>
  <c r="BP236" i="189"/>
  <c r="BP232" i="189" s="1"/>
  <c r="BP235" i="189" s="1"/>
  <c r="CP36" i="172"/>
  <c r="BO134" i="189"/>
  <c r="BR136" i="189"/>
  <c r="BK136" i="189"/>
  <c r="BP137" i="189" s="1"/>
  <c r="BP135" i="189"/>
  <c r="BK135" i="189"/>
  <c r="CH40" i="172"/>
  <c r="CM36" i="172"/>
  <c r="BL134" i="189"/>
  <c r="BL137" i="189"/>
  <c r="CF134" i="189"/>
  <c r="CF135" i="189" s="1"/>
  <c r="BJ135" i="189"/>
  <c r="BJ136" i="189"/>
  <c r="BO137" i="189" s="1"/>
  <c r="CI43" i="172"/>
  <c r="CQ33" i="172"/>
  <c r="EW8" i="7"/>
  <c r="CO14" i="172"/>
  <c r="CL14" i="172"/>
  <c r="EX10" i="7"/>
  <c r="EX30" i="7"/>
  <c r="EX32" i="7" s="1"/>
  <c r="EX27" i="7"/>
  <c r="EX29" i="7" s="1"/>
  <c r="EX87" i="8"/>
  <c r="GG8" i="7"/>
  <c r="EX24" i="7"/>
  <c r="EX26" i="7" s="1"/>
  <c r="EX9" i="7"/>
  <c r="CM59" i="172"/>
  <c r="CM63" i="172"/>
  <c r="EV88" i="8"/>
  <c r="CP39" i="172"/>
  <c r="CL46" i="172"/>
  <c r="CL62" i="172"/>
  <c r="FE27" i="7"/>
  <c r="FE10" i="7"/>
  <c r="FE30" i="7"/>
  <c r="FE24" i="7"/>
  <c r="FE87" i="8"/>
  <c r="CQ40" i="172"/>
  <c r="FB100" i="135"/>
  <c r="GF27" i="7"/>
  <c r="GF28" i="7" s="1"/>
  <c r="GF24" i="7"/>
  <c r="GF25" i="7" s="1"/>
  <c r="CJ40" i="172"/>
  <c r="CJ39" i="172"/>
  <c r="FC100" i="135"/>
  <c r="DO38" i="172"/>
  <c r="CI61" i="172"/>
  <c r="DO62" i="172"/>
  <c r="DO63" i="172" s="1"/>
  <c r="EU19" i="7"/>
  <c r="CI62" i="172"/>
  <c r="FA30" i="7"/>
  <c r="FA32" i="7" s="1"/>
  <c r="FA27" i="7"/>
  <c r="FA29" i="7" s="1"/>
  <c r="FA9" i="7"/>
  <c r="FA24" i="7"/>
  <c r="FA26" i="7" s="1"/>
  <c r="FA87" i="8"/>
  <c r="CS34" i="172"/>
  <c r="FG99" i="135"/>
  <c r="CS11" i="172"/>
  <c r="FF10" i="7"/>
  <c r="FF27" i="7"/>
  <c r="FF30" i="7"/>
  <c r="FF24" i="7"/>
  <c r="FF9" i="7"/>
  <c r="FF87" i="8"/>
  <c r="EY27" i="7"/>
  <c r="EY29" i="7" s="1"/>
  <c r="EY30" i="7"/>
  <c r="EY32" i="7" s="1"/>
  <c r="EY10" i="7"/>
  <c r="EY9" i="7"/>
  <c r="EY24" i="7"/>
  <c r="EY26" i="7" s="1"/>
  <c r="EY87" i="8"/>
  <c r="CK39" i="172"/>
  <c r="CK40" i="172"/>
  <c r="CJ59" i="172"/>
  <c r="EV34" i="7"/>
  <c r="CH505" i="172" s="1"/>
  <c r="CO36" i="172"/>
  <c r="CO28" i="172"/>
  <c r="CO33" i="172"/>
  <c r="CO21" i="172"/>
  <c r="BS134" i="189"/>
  <c r="BX135" i="189" s="1"/>
  <c r="CP40" i="172"/>
  <c r="FC8" i="7"/>
  <c r="FH9" i="7" s="1"/>
  <c r="FD9" i="7"/>
  <c r="FD30" i="7"/>
  <c r="FD27" i="7"/>
  <c r="FD24" i="7"/>
  <c r="FD87" i="8"/>
  <c r="EW27" i="7"/>
  <c r="EW29" i="7" s="1"/>
  <c r="EW30" i="7"/>
  <c r="EW32" i="7" s="1"/>
  <c r="EW24" i="7"/>
  <c r="EW26" i="7" s="1"/>
  <c r="CQ63" i="172"/>
  <c r="FE19" i="7" s="1"/>
  <c r="CQ59" i="172"/>
  <c r="CL21" i="172"/>
  <c r="CL28" i="172"/>
  <c r="CL36" i="172"/>
  <c r="CM40" i="172"/>
  <c r="CL33" i="172"/>
  <c r="EZ8" i="7"/>
  <c r="EZ100" i="135"/>
  <c r="CM39" i="172"/>
  <c r="CI28" i="172"/>
  <c r="CI21" i="172"/>
  <c r="CI33" i="172"/>
  <c r="CI14" i="172"/>
  <c r="CR40" i="172"/>
  <c r="CR39" i="172"/>
  <c r="CP59" i="172"/>
  <c r="CP63" i="172"/>
  <c r="FD19" i="7" s="1"/>
  <c r="FD17" i="7" s="1"/>
  <c r="GF9" i="7"/>
  <c r="H32" i="141"/>
  <c r="GF30" i="7"/>
  <c r="GF31" i="7" s="1"/>
  <c r="CJ58" i="172"/>
  <c r="CN33" i="172"/>
  <c r="CS44" i="172"/>
  <c r="CO46" i="172"/>
  <c r="CO62" i="172"/>
  <c r="CR59" i="172"/>
  <c r="CR63" i="172"/>
  <c r="FF19" i="7" s="1"/>
  <c r="CQ46" i="172"/>
  <c r="CL43" i="172"/>
  <c r="CL61" i="172" s="1"/>
  <c r="CL58" i="172" s="1"/>
  <c r="EV19" i="7"/>
  <c r="CK59" i="172"/>
  <c r="CK63" i="172"/>
  <c r="FJ32" i="7" l="1"/>
  <c r="FD32" i="7"/>
  <c r="FI32" i="7"/>
  <c r="FD29" i="7"/>
  <c r="FI29" i="7"/>
  <c r="FF29" i="7"/>
  <c r="FK29" i="7"/>
  <c r="FJ29" i="7"/>
  <c r="FJ26" i="7"/>
  <c r="FF26" i="7"/>
  <c r="FK26" i="7"/>
  <c r="FD26" i="7"/>
  <c r="FI26" i="7"/>
  <c r="FF32" i="7"/>
  <c r="FK32" i="7"/>
  <c r="CS43" i="172"/>
  <c r="DP45" i="172"/>
  <c r="CN45" i="172"/>
  <c r="BV231" i="189"/>
  <c r="BT236" i="189"/>
  <c r="BT237" i="189" s="1"/>
  <c r="BQ237" i="189"/>
  <c r="BO135" i="189"/>
  <c r="BT135" i="189"/>
  <c r="GI24" i="7"/>
  <c r="GI25" i="7" s="1"/>
  <c r="GI27" i="7"/>
  <c r="GI28" i="7" s="1"/>
  <c r="GI30" i="7"/>
  <c r="GI31" i="7" s="1"/>
  <c r="CN62" i="172"/>
  <c r="DP62" i="172"/>
  <c r="DP63" i="172" s="1"/>
  <c r="DO39" i="172"/>
  <c r="DP39" i="172"/>
  <c r="CF176" i="172"/>
  <c r="FD10" i="7"/>
  <c r="BQ232" i="189"/>
  <c r="BQ235" i="189" s="1"/>
  <c r="EW9" i="7"/>
  <c r="BS231" i="189"/>
  <c r="BU231" i="189" s="1"/>
  <c r="BR236" i="189"/>
  <c r="BR237" i="189" s="1"/>
  <c r="CG236" i="189"/>
  <c r="BP237" i="189"/>
  <c r="EW31" i="7"/>
  <c r="EW28" i="7"/>
  <c r="FF34" i="7"/>
  <c r="FK36" i="7" s="1"/>
  <c r="BP136" i="189"/>
  <c r="BU137" i="189" s="1"/>
  <c r="BO136" i="189"/>
  <c r="BT137" i="189" s="1"/>
  <c r="CN14" i="172"/>
  <c r="BN134" i="189"/>
  <c r="BL136" i="189"/>
  <c r="BQ137" i="189" s="1"/>
  <c r="BL135" i="189"/>
  <c r="CG134" i="189"/>
  <c r="BQ135" i="189"/>
  <c r="BM136" i="189"/>
  <c r="BR137" i="189" s="1"/>
  <c r="CN21" i="172"/>
  <c r="CF205" i="172"/>
  <c r="CN28" i="172"/>
  <c r="CF505" i="172"/>
  <c r="EX88" i="8"/>
  <c r="EX89" i="8" s="1"/>
  <c r="EX10" i="8" s="1"/>
  <c r="FD34" i="7"/>
  <c r="FI36" i="7" s="1"/>
  <c r="FA88" i="8"/>
  <c r="FF88" i="8" s="1"/>
  <c r="EW25" i="7"/>
  <c r="EW34" i="7"/>
  <c r="CO59" i="172"/>
  <c r="CO63" i="172"/>
  <c r="FC19" i="7" s="1"/>
  <c r="FC17" i="7" s="1"/>
  <c r="FC18" i="7" s="1"/>
  <c r="CS62" i="172"/>
  <c r="CS47" i="172" s="1"/>
  <c r="CN61" i="172"/>
  <c r="H47" i="141"/>
  <c r="H60" i="141"/>
  <c r="CQ303" i="172"/>
  <c r="CP303" i="172"/>
  <c r="EZ30" i="7"/>
  <c r="EZ9" i="7"/>
  <c r="EZ27" i="7"/>
  <c r="EZ10" i="7"/>
  <c r="EZ24" i="7"/>
  <c r="FE26" i="7" s="1"/>
  <c r="EZ87" i="8"/>
  <c r="CO39" i="172"/>
  <c r="CO40" i="172"/>
  <c r="FG100" i="135"/>
  <c r="FA10" i="7"/>
  <c r="CE176" i="172"/>
  <c r="CE505" i="172"/>
  <c r="CE205" i="172"/>
  <c r="GF34" i="7"/>
  <c r="FE34" i="7"/>
  <c r="GG9" i="7"/>
  <c r="I32" i="141"/>
  <c r="CP500" i="172"/>
  <c r="FD11" i="8"/>
  <c r="FD23" i="8"/>
  <c r="GG24" i="7"/>
  <c r="GG25" i="7" s="1"/>
  <c r="EX34" i="7"/>
  <c r="CR303" i="172"/>
  <c r="CS45" i="172"/>
  <c r="FD18" i="7"/>
  <c r="CS28" i="172"/>
  <c r="CS33" i="172"/>
  <c r="CS21" i="172"/>
  <c r="EX19" i="7"/>
  <c r="EY34" i="7"/>
  <c r="CF303" i="172"/>
  <c r="FA34" i="7"/>
  <c r="CI52" i="172"/>
  <c r="CI63" i="172"/>
  <c r="CI47" i="172"/>
  <c r="FE9" i="7"/>
  <c r="CE303" i="172"/>
  <c r="EV89" i="8"/>
  <c r="EV10" i="8" s="1"/>
  <c r="EV46" i="8" s="1"/>
  <c r="GG30" i="7"/>
  <c r="GG31" i="7" s="1"/>
  <c r="CN43" i="172"/>
  <c r="FE17" i="7"/>
  <c r="EY19" i="7"/>
  <c r="CH303" i="172"/>
  <c r="EV17" i="7"/>
  <c r="CL40" i="172"/>
  <c r="CL39" i="172"/>
  <c r="FC10" i="7"/>
  <c r="FC30" i="7"/>
  <c r="FC9" i="7"/>
  <c r="FC27" i="7"/>
  <c r="FC87" i="8"/>
  <c r="FC24" i="7"/>
  <c r="FG8" i="7"/>
  <c r="GH8" i="7"/>
  <c r="GI9" i="7" s="1"/>
  <c r="EV35" i="7"/>
  <c r="CH205" i="172"/>
  <c r="EV13" i="8"/>
  <c r="EW13" i="8" s="1"/>
  <c r="CH176" i="172"/>
  <c r="CH83" i="172"/>
  <c r="EV25" i="8"/>
  <c r="EW25" i="8" s="1"/>
  <c r="EV30" i="8"/>
  <c r="EW30" i="8" s="1"/>
  <c r="EV36" i="7"/>
  <c r="EV20" i="8"/>
  <c r="EW20" i="8" s="1"/>
  <c r="FF17" i="7"/>
  <c r="CS14" i="172"/>
  <c r="CN39" i="172"/>
  <c r="EY88" i="8"/>
  <c r="FD88" i="8" s="1"/>
  <c r="CQ39" i="172"/>
  <c r="CL59" i="172"/>
  <c r="CL63" i="172"/>
  <c r="CO58" i="172"/>
  <c r="CS61" i="172"/>
  <c r="FA19" i="7"/>
  <c r="FB8" i="7"/>
  <c r="GG27" i="7"/>
  <c r="GG28" i="7" s="1"/>
  <c r="FB27" i="7" l="1"/>
  <c r="FB29" i="7" s="1"/>
  <c r="EZ29" i="7"/>
  <c r="FB24" i="7"/>
  <c r="FB26" i="7" s="1"/>
  <c r="EZ26" i="7"/>
  <c r="FB30" i="7"/>
  <c r="FB32" i="7" s="1"/>
  <c r="EZ32" i="7"/>
  <c r="FC32" i="7"/>
  <c r="FH32" i="7"/>
  <c r="FE29" i="7"/>
  <c r="FE32" i="7"/>
  <c r="FC29" i="7"/>
  <c r="FH29" i="7"/>
  <c r="FC26" i="7"/>
  <c r="FH26" i="7"/>
  <c r="CH500" i="172"/>
  <c r="EX33" i="8"/>
  <c r="EY33" i="8"/>
  <c r="GF35" i="7"/>
  <c r="GF36" i="7"/>
  <c r="CN47" i="172"/>
  <c r="CG135" i="189"/>
  <c r="CH135" i="189"/>
  <c r="BW231" i="189"/>
  <c r="BU236" i="189"/>
  <c r="BU237" i="189" s="1"/>
  <c r="BT232" i="189"/>
  <c r="BT235" i="189" s="1"/>
  <c r="BV236" i="189"/>
  <c r="BV237" i="189" s="1"/>
  <c r="FL9" i="7"/>
  <c r="BW137" i="189"/>
  <c r="GI17" i="7"/>
  <c r="FE33" i="8"/>
  <c r="FJ36" i="7"/>
  <c r="GI34" i="7"/>
  <c r="BV137" i="189"/>
  <c r="FF89" i="8"/>
  <c r="FF10" i="8" s="1"/>
  <c r="FF46" i="8" s="1"/>
  <c r="FK88" i="8"/>
  <c r="FK89" i="8" s="1"/>
  <c r="FK10" i="8" s="1"/>
  <c r="FD89" i="8"/>
  <c r="FD10" i="8" s="1"/>
  <c r="FD46" i="8" s="1"/>
  <c r="FI88" i="8"/>
  <c r="FI89" i="8" s="1"/>
  <c r="FI10" i="8" s="1"/>
  <c r="CP176" i="172"/>
  <c r="FD33" i="8"/>
  <c r="CR83" i="172"/>
  <c r="CG505" i="172"/>
  <c r="CN57" i="172"/>
  <c r="CN52" i="172"/>
  <c r="CN63" i="172"/>
  <c r="FB19" i="7" s="1"/>
  <c r="CR505" i="172"/>
  <c r="BS236" i="189"/>
  <c r="BS237" i="189" s="1"/>
  <c r="BR232" i="189"/>
  <c r="BR235" i="189" s="1"/>
  <c r="FF20" i="8"/>
  <c r="FG20" i="8" s="1"/>
  <c r="FH19" i="9" s="1"/>
  <c r="FL19" i="9" s="1"/>
  <c r="FF25" i="8"/>
  <c r="FG25" i="8" s="1"/>
  <c r="CR205" i="172"/>
  <c r="FF35" i="7"/>
  <c r="FF13" i="8"/>
  <c r="FG13" i="8" s="1"/>
  <c r="CR176" i="172"/>
  <c r="FF30" i="8"/>
  <c r="FG30" i="8" s="1"/>
  <c r="FC88" i="8"/>
  <c r="BN135" i="189"/>
  <c r="BS135" i="189"/>
  <c r="DN205" i="172"/>
  <c r="FD20" i="8"/>
  <c r="FD35" i="7"/>
  <c r="CP205" i="172"/>
  <c r="FD13" i="8"/>
  <c r="FD30" i="8"/>
  <c r="CP505" i="172"/>
  <c r="CP83" i="172"/>
  <c r="FD25" i="8"/>
  <c r="GG21" i="9"/>
  <c r="FB28" i="7"/>
  <c r="FA89" i="8"/>
  <c r="FA10" i="8" s="1"/>
  <c r="FB10" i="8" s="1"/>
  <c r="EZ88" i="8"/>
  <c r="FE88" i="8" s="1"/>
  <c r="EZ34" i="7"/>
  <c r="FC22" i="7"/>
  <c r="CF500" i="172"/>
  <c r="FG9" i="7"/>
  <c r="GH30" i="7"/>
  <c r="GH31" i="7" s="1"/>
  <c r="FG30" i="7"/>
  <c r="CG176" i="172"/>
  <c r="CG205" i="172"/>
  <c r="EW19" i="7"/>
  <c r="FA35" i="7"/>
  <c r="CM176" i="172"/>
  <c r="FA36" i="7"/>
  <c r="CM205" i="172"/>
  <c r="CM505" i="172"/>
  <c r="FA25" i="8"/>
  <c r="FB25" i="8" s="1"/>
  <c r="FA13" i="8"/>
  <c r="FB13" i="8" s="1"/>
  <c r="CM83" i="172"/>
  <c r="FA30" i="8"/>
  <c r="FB30" i="8" s="1"/>
  <c r="FA20" i="8"/>
  <c r="FB20" i="8" s="1"/>
  <c r="EY36" i="7"/>
  <c r="CK505" i="172"/>
  <c r="CK205" i="172"/>
  <c r="EY25" i="8"/>
  <c r="EY30" i="8"/>
  <c r="EY13" i="8"/>
  <c r="EY35" i="7"/>
  <c r="CK83" i="172"/>
  <c r="CK176" i="172"/>
  <c r="EY20" i="8"/>
  <c r="EX30" i="8"/>
  <c r="CJ176" i="172"/>
  <c r="CJ205" i="172"/>
  <c r="CJ83" i="172"/>
  <c r="CJ505" i="172"/>
  <c r="EX25" i="8"/>
  <c r="EX35" i="7"/>
  <c r="EX13" i="8"/>
  <c r="EX20" i="8"/>
  <c r="EX36" i="7"/>
  <c r="GG34" i="7"/>
  <c r="FD36" i="7"/>
  <c r="CO303" i="172"/>
  <c r="CM303" i="172"/>
  <c r="FA17" i="7"/>
  <c r="EZ19" i="7"/>
  <c r="GH24" i="7"/>
  <c r="GH25" i="7" s="1"/>
  <c r="FG24" i="7"/>
  <c r="FC34" i="7"/>
  <c r="EV11" i="8"/>
  <c r="EW11" i="8" s="1"/>
  <c r="EV23" i="8"/>
  <c r="EV18" i="7"/>
  <c r="CK303" i="172"/>
  <c r="EY17" i="7"/>
  <c r="EW10" i="8"/>
  <c r="EX17" i="9" s="1"/>
  <c r="EY89" i="8"/>
  <c r="EY10" i="8" s="1"/>
  <c r="EY17" i="9" s="1"/>
  <c r="CS39" i="172"/>
  <c r="CG303" i="172"/>
  <c r="CG500" i="172"/>
  <c r="CI176" i="172"/>
  <c r="EW36" i="7"/>
  <c r="CI83" i="172"/>
  <c r="CI205" i="172"/>
  <c r="CI505" i="172"/>
  <c r="EW35" i="7"/>
  <c r="CO500" i="172"/>
  <c r="FG17" i="7"/>
  <c r="FC11" i="8"/>
  <c r="FC23" i="8"/>
  <c r="GH27" i="7"/>
  <c r="GH28" i="7" s="1"/>
  <c r="FG27" i="7"/>
  <c r="EX46" i="8"/>
  <c r="CJ303" i="172"/>
  <c r="EX17" i="7"/>
  <c r="I60" i="141"/>
  <c r="I47" i="141"/>
  <c r="FB9" i="7"/>
  <c r="CR500" i="172"/>
  <c r="FF11" i="8"/>
  <c r="FG11" i="8" s="1"/>
  <c r="FF23" i="8"/>
  <c r="FF18" i="7"/>
  <c r="GH9" i="7"/>
  <c r="J32" i="141"/>
  <c r="CQ500" i="172"/>
  <c r="FE11" i="8"/>
  <c r="FE23" i="8"/>
  <c r="FE18" i="7"/>
  <c r="FB31" i="7"/>
  <c r="GF17" i="7"/>
  <c r="CE500" i="172"/>
  <c r="FD22" i="7"/>
  <c r="FD37" i="7"/>
  <c r="FI39" i="7" s="1"/>
  <c r="CQ505" i="172"/>
  <c r="FE13" i="8"/>
  <c r="CQ176" i="172"/>
  <c r="FE30" i="8"/>
  <c r="CQ83" i="172"/>
  <c r="CQ205" i="172"/>
  <c r="FE35" i="7"/>
  <c r="FE25" i="8"/>
  <c r="FE20" i="8"/>
  <c r="FF36" i="7"/>
  <c r="CS57" i="172"/>
  <c r="CS52" i="172"/>
  <c r="CS63" i="172"/>
  <c r="FG19" i="7" s="1"/>
  <c r="FB34" i="7" l="1"/>
  <c r="FB25" i="7"/>
  <c r="FG28" i="7"/>
  <c r="FG29" i="7"/>
  <c r="FL29" i="7"/>
  <c r="FG26" i="7"/>
  <c r="FL26" i="7"/>
  <c r="FG31" i="7"/>
  <c r="FG32" i="7"/>
  <c r="FL32" i="7"/>
  <c r="FH18" i="9"/>
  <c r="FL18" i="9" s="1"/>
  <c r="CS500" i="172"/>
  <c r="FG10" i="8"/>
  <c r="GG35" i="7"/>
  <c r="GG36" i="7"/>
  <c r="GI35" i="7"/>
  <c r="BV232" i="189"/>
  <c r="BV235" i="189" s="1"/>
  <c r="BU232" i="189"/>
  <c r="BU235" i="189" s="1"/>
  <c r="CH236" i="189"/>
  <c r="BX231" i="189"/>
  <c r="BW236" i="189"/>
  <c r="BW237" i="189" s="1"/>
  <c r="GI18" i="7"/>
  <c r="FC33" i="8"/>
  <c r="FH36" i="7"/>
  <c r="FE89" i="8"/>
  <c r="FE10" i="8" s="1"/>
  <c r="FE46" i="8" s="1"/>
  <c r="FJ88" i="8"/>
  <c r="FJ89" i="8" s="1"/>
  <c r="FJ10" i="8" s="1"/>
  <c r="FJ17" i="9" s="1"/>
  <c r="FC89" i="8"/>
  <c r="FC10" i="8" s="1"/>
  <c r="FC46" i="8" s="1"/>
  <c r="FH88" i="8"/>
  <c r="FH89" i="8" s="1"/>
  <c r="FH10" i="8" s="1"/>
  <c r="FI46" i="8"/>
  <c r="FL10" i="8"/>
  <c r="FK46" i="8"/>
  <c r="CL505" i="172"/>
  <c r="EZ33" i="8"/>
  <c r="EZ21" i="9" s="1"/>
  <c r="EW17" i="7"/>
  <c r="EZ13" i="8"/>
  <c r="FE21" i="9"/>
  <c r="BS232" i="189"/>
  <c r="BS235" i="189" s="1"/>
  <c r="FF19" i="9"/>
  <c r="EZ36" i="7"/>
  <c r="EZ89" i="8"/>
  <c r="EZ10" i="8" s="1"/>
  <c r="EZ17" i="9" s="1"/>
  <c r="FG47" i="8"/>
  <c r="FA46" i="8"/>
  <c r="EY19" i="9"/>
  <c r="EZ35" i="7"/>
  <c r="CL176" i="172"/>
  <c r="CL205" i="172"/>
  <c r="CL83" i="172"/>
  <c r="EZ30" i="8"/>
  <c r="FE36" i="7"/>
  <c r="EZ20" i="8"/>
  <c r="FA19" i="9" s="1"/>
  <c r="EZ25" i="8"/>
  <c r="FF18" i="9"/>
  <c r="EY21" i="9"/>
  <c r="FD44" i="7"/>
  <c r="FI45" i="7" s="1"/>
  <c r="CP206" i="172"/>
  <c r="FD38" i="7"/>
  <c r="FD42" i="7"/>
  <c r="CP84" i="172"/>
  <c r="CP85" i="172" s="1"/>
  <c r="CP295" i="172"/>
  <c r="CP293" i="172" s="1"/>
  <c r="CU294" i="172" s="1"/>
  <c r="GG17" i="7"/>
  <c r="CJ500" i="172"/>
  <c r="EX11" i="8"/>
  <c r="EX18" i="9" s="1"/>
  <c r="EX23" i="8"/>
  <c r="EX18" i="7"/>
  <c r="EV18" i="9"/>
  <c r="EV22" i="7"/>
  <c r="EV37" i="7"/>
  <c r="CN505" i="172"/>
  <c r="CN83" i="172"/>
  <c r="FB35" i="7"/>
  <c r="CN176" i="172"/>
  <c r="CN205" i="172"/>
  <c r="FB36" i="7"/>
  <c r="GF18" i="7"/>
  <c r="J60" i="141"/>
  <c r="J47" i="141"/>
  <c r="K47" i="141" s="1"/>
  <c r="L47" i="141" s="1"/>
  <c r="M47" i="141" s="1"/>
  <c r="N47" i="141" s="1"/>
  <c r="O47" i="141" s="1"/>
  <c r="P47" i="141" s="1"/>
  <c r="Q47" i="141" s="1"/>
  <c r="R47" i="141" s="1"/>
  <c r="EX19" i="9"/>
  <c r="EY46" i="8"/>
  <c r="CI303" i="172"/>
  <c r="FG23" i="8"/>
  <c r="CS303" i="172"/>
  <c r="CN303" i="172"/>
  <c r="FF22" i="7"/>
  <c r="FF37" i="7"/>
  <c r="FK39" i="7" s="1"/>
  <c r="FE19" i="9"/>
  <c r="CL303" i="172"/>
  <c r="EZ17" i="7"/>
  <c r="FB17" i="7" s="1"/>
  <c r="GG19" i="9"/>
  <c r="FE18" i="9"/>
  <c r="FG18" i="7"/>
  <c r="CO83" i="172"/>
  <c r="CO505" i="172"/>
  <c r="FC13" i="8"/>
  <c r="FD18" i="9" s="1"/>
  <c r="FC25" i="8"/>
  <c r="CO205" i="172"/>
  <c r="FC35" i="7"/>
  <c r="CO176" i="172"/>
  <c r="FC30" i="8"/>
  <c r="FC36" i="7"/>
  <c r="FC20" i="8"/>
  <c r="FD19" i="9" s="1"/>
  <c r="GH34" i="7"/>
  <c r="FE22" i="7"/>
  <c r="FE37" i="7"/>
  <c r="FJ39" i="7" s="1"/>
  <c r="GG17" i="9"/>
  <c r="CK500" i="172"/>
  <c r="EY23" i="8"/>
  <c r="EY11" i="8"/>
  <c r="EY18" i="7"/>
  <c r="EW23" i="8"/>
  <c r="FG25" i="7"/>
  <c r="FG34" i="7"/>
  <c r="CM500" i="172"/>
  <c r="FA11" i="8"/>
  <c r="FB11" i="8" s="1"/>
  <c r="FA23" i="8"/>
  <c r="FA18" i="7"/>
  <c r="EV17" i="9"/>
  <c r="EV19" i="9"/>
  <c r="FC37" i="7"/>
  <c r="FH39" i="7" s="1"/>
  <c r="EW47" i="8" l="1"/>
  <c r="GI36" i="7"/>
  <c r="FC17" i="9"/>
  <c r="GH35" i="7"/>
  <c r="GH36" i="7"/>
  <c r="BX236" i="189"/>
  <c r="BX237" i="189" s="1"/>
  <c r="FF17" i="9"/>
  <c r="FE17" i="9"/>
  <c r="BW232" i="189"/>
  <c r="BW235" i="189" s="1"/>
  <c r="FL36" i="7"/>
  <c r="GI19" i="7"/>
  <c r="GI37" i="7"/>
  <c r="FH46" i="8"/>
  <c r="FI17" i="9"/>
  <c r="FD17" i="9"/>
  <c r="FJ46" i="8"/>
  <c r="FK17" i="9"/>
  <c r="FH17" i="9"/>
  <c r="EW18" i="7"/>
  <c r="CI500" i="172"/>
  <c r="FA17" i="9"/>
  <c r="EZ46" i="8"/>
  <c r="EZ19" i="9"/>
  <c r="FB19" i="9" s="1"/>
  <c r="GH19" i="9"/>
  <c r="EW18" i="9"/>
  <c r="EW19" i="9"/>
  <c r="GG18" i="9"/>
  <c r="K32" i="141"/>
  <c r="EV39" i="7"/>
  <c r="EV44" i="7"/>
  <c r="EV45" i="7" s="1"/>
  <c r="CH206" i="172"/>
  <c r="EV42" i="7"/>
  <c r="CH295" i="172"/>
  <c r="CH293" i="172" s="1"/>
  <c r="CH294" i="172" s="1"/>
  <c r="CH84" i="172"/>
  <c r="EV38" i="7"/>
  <c r="GG18" i="7"/>
  <c r="EX22" i="7"/>
  <c r="EX37" i="7"/>
  <c r="FC39" i="7" s="1"/>
  <c r="CP207" i="172"/>
  <c r="CP193" i="172"/>
  <c r="FB23" i="8"/>
  <c r="FC19" i="9"/>
  <c r="FG19" i="9" s="1"/>
  <c r="FB47" i="8"/>
  <c r="FC18" i="9"/>
  <c r="FG18" i="9" s="1"/>
  <c r="EY22" i="7"/>
  <c r="EY37" i="7"/>
  <c r="FC42" i="7"/>
  <c r="CO206" i="172"/>
  <c r="FC38" i="7"/>
  <c r="CO84" i="172"/>
  <c r="CO85" i="172" s="1"/>
  <c r="FC44" i="7"/>
  <c r="FH45" i="7" s="1"/>
  <c r="CO295" i="172"/>
  <c r="FD21" i="9"/>
  <c r="FG48" i="8"/>
  <c r="FG22" i="7"/>
  <c r="FG37" i="7"/>
  <c r="FL39" i="7" s="1"/>
  <c r="CL500" i="172"/>
  <c r="EZ11" i="8"/>
  <c r="FA18" i="9" s="1"/>
  <c r="EZ23" i="8"/>
  <c r="EZ18" i="7"/>
  <c r="GH17" i="7"/>
  <c r="GF19" i="7"/>
  <c r="GF37" i="7"/>
  <c r="CS83" i="172"/>
  <c r="CS176" i="172"/>
  <c r="FG35" i="7"/>
  <c r="CS505" i="172"/>
  <c r="CS205" i="172"/>
  <c r="FG36" i="7"/>
  <c r="CN500" i="172"/>
  <c r="FB18" i="7"/>
  <c r="GH17" i="9"/>
  <c r="FA22" i="7"/>
  <c r="FA37" i="7"/>
  <c r="EW17" i="9"/>
  <c r="FE38" i="7"/>
  <c r="FE42" i="7"/>
  <c r="CQ206" i="172"/>
  <c r="CQ295" i="172"/>
  <c r="CQ293" i="172" s="1"/>
  <c r="CV294" i="172" s="1"/>
  <c r="FE44" i="7"/>
  <c r="CQ84" i="172"/>
  <c r="CF295" i="172"/>
  <c r="CF293" i="172" s="1"/>
  <c r="CF294" i="172" s="1"/>
  <c r="CF206" i="172"/>
  <c r="FF42" i="7"/>
  <c r="FF44" i="7"/>
  <c r="FK45" i="7" s="1"/>
  <c r="CR206" i="172"/>
  <c r="CR295" i="172"/>
  <c r="CR293" i="172" s="1"/>
  <c r="CW294" i="172" s="1"/>
  <c r="FF38" i="7"/>
  <c r="CR84" i="172"/>
  <c r="CR85" i="172" s="1"/>
  <c r="CE206" i="172"/>
  <c r="CE295" i="172"/>
  <c r="EY18" i="9"/>
  <c r="CQ85" i="172" l="1"/>
  <c r="DQ84" i="172"/>
  <c r="GI38" i="7"/>
  <c r="FG17" i="9"/>
  <c r="BX232" i="189"/>
  <c r="BX235" i="189" s="1"/>
  <c r="FL17" i="9"/>
  <c r="FJ45" i="7"/>
  <c r="GI44" i="7"/>
  <c r="GI17" i="9"/>
  <c r="EW37" i="7"/>
  <c r="EW42" i="7" s="1"/>
  <c r="EW48" i="8"/>
  <c r="EW22" i="7"/>
  <c r="CH85" i="172"/>
  <c r="FB17" i="9"/>
  <c r="GH18" i="9"/>
  <c r="EZ18" i="9"/>
  <c r="GI18" i="9" s="1"/>
  <c r="CP194" i="172"/>
  <c r="CP192" i="172"/>
  <c r="CH207" i="172"/>
  <c r="CH193" i="172"/>
  <c r="CH199" i="172" s="1"/>
  <c r="CE207" i="172"/>
  <c r="CE193" i="172"/>
  <c r="CE199" i="172" s="1"/>
  <c r="DN199" i="172" s="1"/>
  <c r="DN206" i="172"/>
  <c r="DN207" i="172" s="1"/>
  <c r="FA39" i="7"/>
  <c r="FA42" i="7"/>
  <c r="FA44" i="7"/>
  <c r="FA45" i="7" s="1"/>
  <c r="CM84" i="172"/>
  <c r="CM206" i="172"/>
  <c r="FA38" i="7"/>
  <c r="CM295" i="172"/>
  <c r="CM293" i="172" s="1"/>
  <c r="CM294" i="172" s="1"/>
  <c r="CO293" i="172"/>
  <c r="CT294" i="172" s="1"/>
  <c r="CS295" i="172"/>
  <c r="CS293" i="172" s="1"/>
  <c r="DN84" i="172"/>
  <c r="DN85" i="172" s="1"/>
  <c r="CG206" i="172"/>
  <c r="CG295" i="172"/>
  <c r="CG293" i="172" s="1"/>
  <c r="CG294" i="172" s="1"/>
  <c r="CF207" i="172"/>
  <c r="CF193" i="172"/>
  <c r="CF199" i="172" s="1"/>
  <c r="FB22" i="7"/>
  <c r="FB48" i="8"/>
  <c r="FB37" i="7"/>
  <c r="GF39" i="7"/>
  <c r="GF38" i="7"/>
  <c r="EZ22" i="7"/>
  <c r="EZ37" i="7"/>
  <c r="GH18" i="7"/>
  <c r="CS84" i="172"/>
  <c r="CS85" i="172" s="1"/>
  <c r="FG42" i="7"/>
  <c r="CS206" i="172"/>
  <c r="FG38" i="7"/>
  <c r="FG44" i="7"/>
  <c r="FL45" i="7" s="1"/>
  <c r="EY42" i="7"/>
  <c r="EY44" i="7"/>
  <c r="EY39" i="7"/>
  <c r="CK84" i="172"/>
  <c r="CK85" i="172" s="1"/>
  <c r="CK206" i="172"/>
  <c r="EY38" i="7"/>
  <c r="CK295" i="172"/>
  <c r="CK293" i="172" s="1"/>
  <c r="FD39" i="7"/>
  <c r="EX42" i="7"/>
  <c r="EX39" i="7"/>
  <c r="CJ206" i="172"/>
  <c r="EX38" i="7"/>
  <c r="CJ84" i="172"/>
  <c r="CJ85" i="172" s="1"/>
  <c r="CJ295" i="172"/>
  <c r="EX44" i="7"/>
  <c r="DN303" i="172"/>
  <c r="GI19" i="9"/>
  <c r="CE293" i="172"/>
  <c r="GF44" i="7"/>
  <c r="CR207" i="172"/>
  <c r="CR193" i="172"/>
  <c r="CR199" i="172" s="1"/>
  <c r="FF39" i="7"/>
  <c r="CQ207" i="172"/>
  <c r="CQ193" i="172"/>
  <c r="CQ199" i="172" s="1"/>
  <c r="CO207" i="172"/>
  <c r="CO193" i="172"/>
  <c r="CO199" i="172" s="1"/>
  <c r="CP199" i="172"/>
  <c r="GG19" i="7"/>
  <c r="GG37" i="7"/>
  <c r="K60" i="141"/>
  <c r="L32" i="141"/>
  <c r="CM85" i="172" l="1"/>
  <c r="GI43" i="7"/>
  <c r="CX294" i="172"/>
  <c r="CX298" i="172"/>
  <c r="EW38" i="7"/>
  <c r="CI84" i="172"/>
  <c r="CI85" i="172" s="1"/>
  <c r="EW39" i="7"/>
  <c r="CI206" i="172"/>
  <c r="CI207" i="172" s="1"/>
  <c r="CI295" i="172"/>
  <c r="CI293" i="172" s="1"/>
  <c r="CI298" i="172" s="1"/>
  <c r="FB18" i="9"/>
  <c r="FF45" i="7"/>
  <c r="EW44" i="7"/>
  <c r="EW45" i="7" s="1"/>
  <c r="H56" i="141"/>
  <c r="H33" i="141" s="1"/>
  <c r="L60" i="141"/>
  <c r="M32" i="141"/>
  <c r="DN293" i="172"/>
  <c r="CE294" i="172"/>
  <c r="CK207" i="172"/>
  <c r="CK193" i="172"/>
  <c r="CK199" i="172" s="1"/>
  <c r="CL84" i="172"/>
  <c r="EZ39" i="7"/>
  <c r="EZ42" i="7"/>
  <c r="EZ44" i="7"/>
  <c r="FB44" i="7" s="1"/>
  <c r="EZ38" i="7"/>
  <c r="CL206" i="172"/>
  <c r="CL295" i="172"/>
  <c r="CL293" i="172" s="1"/>
  <c r="FE39" i="7"/>
  <c r="CH192" i="172"/>
  <c r="CH194" i="172"/>
  <c r="CR294" i="172"/>
  <c r="CJ193" i="172"/>
  <c r="CJ207" i="172"/>
  <c r="EY45" i="7"/>
  <c r="FD45" i="7"/>
  <c r="GH19" i="7"/>
  <c r="GH37" i="7"/>
  <c r="CR194" i="172"/>
  <c r="CR192" i="172"/>
  <c r="GF43" i="7"/>
  <c r="GF45" i="7"/>
  <c r="EX45" i="7"/>
  <c r="GG44" i="7"/>
  <c r="CK294" i="172"/>
  <c r="CP294" i="172"/>
  <c r="FB42" i="7"/>
  <c r="FB39" i="7"/>
  <c r="CN84" i="172"/>
  <c r="CN85" i="172" s="1"/>
  <c r="CN206" i="172"/>
  <c r="FB38" i="7"/>
  <c r="CM193" i="172"/>
  <c r="CM199" i="172" s="1"/>
  <c r="CM207" i="172"/>
  <c r="CE192" i="172"/>
  <c r="CE194" i="172"/>
  <c r="GG39" i="7"/>
  <c r="GG38" i="7"/>
  <c r="CS207" i="172"/>
  <c r="CS193" i="172"/>
  <c r="CS199" i="172" s="1"/>
  <c r="ES183" i="7"/>
  <c r="ES63" i="12" s="1"/>
  <c r="ES65" i="12" s="1"/>
  <c r="ES119" i="7"/>
  <c r="ES118" i="7"/>
  <c r="CG207" i="172"/>
  <c r="CG193" i="172"/>
  <c r="CQ192" i="172"/>
  <c r="CQ194" i="172"/>
  <c r="CO192" i="172"/>
  <c r="CO194" i="172"/>
  <c r="CJ293" i="172"/>
  <c r="CJ294" i="172" s="1"/>
  <c r="FC45" i="7"/>
  <c r="FG39" i="7"/>
  <c r="CF192" i="172"/>
  <c r="CF194" i="172"/>
  <c r="DO84" i="172"/>
  <c r="DO85" i="172" s="1"/>
  <c r="DQ85" i="172" l="1"/>
  <c r="GH39" i="7"/>
  <c r="GI39" i="7"/>
  <c r="CI193" i="172"/>
  <c r="CI192" i="172" s="1"/>
  <c r="CL85" i="172"/>
  <c r="DP84" i="172"/>
  <c r="DP85" i="172" s="1"/>
  <c r="CI294" i="172"/>
  <c r="FB45" i="7"/>
  <c r="CN295" i="172"/>
  <c r="CN293" i="172" s="1"/>
  <c r="CN294" i="172" s="1"/>
  <c r="CJ192" i="172"/>
  <c r="CJ194" i="172"/>
  <c r="CO294" i="172"/>
  <c r="CG192" i="172"/>
  <c r="CG194" i="172"/>
  <c r="CS194" i="172"/>
  <c r="CS192" i="172"/>
  <c r="I56" i="141"/>
  <c r="I33" i="141" s="1"/>
  <c r="CN207" i="172"/>
  <c r="CN193" i="172"/>
  <c r="FG45" i="7"/>
  <c r="GG45" i="7"/>
  <c r="GG43" i="7"/>
  <c r="CL294" i="172"/>
  <c r="CQ294" i="172"/>
  <c r="EZ45" i="7"/>
  <c r="FE45" i="7"/>
  <c r="GH44" i="7"/>
  <c r="CK192" i="172"/>
  <c r="CK194" i="172"/>
  <c r="CG199" i="172"/>
  <c r="CM192" i="172"/>
  <c r="CM194" i="172"/>
  <c r="GH38" i="7"/>
  <c r="CJ199" i="172"/>
  <c r="CL193" i="172"/>
  <c r="CL199" i="172" s="1"/>
  <c r="CL207" i="172"/>
  <c r="M60" i="141"/>
  <c r="N32" i="141"/>
  <c r="H48" i="141"/>
  <c r="GH43" i="7" l="1"/>
  <c r="GH45" i="7"/>
  <c r="GI45" i="7"/>
  <c r="CI199" i="172"/>
  <c r="CI194" i="172"/>
  <c r="CN298" i="172"/>
  <c r="CS298" i="172"/>
  <c r="CS294" i="172"/>
  <c r="CN192" i="172"/>
  <c r="CN194" i="172"/>
  <c r="I48" i="141"/>
  <c r="CL194" i="172"/>
  <c r="CL192" i="172"/>
  <c r="J56" i="141"/>
  <c r="K56" i="141" s="1"/>
  <c r="L56" i="141" s="1"/>
  <c r="M56" i="141" s="1"/>
  <c r="N56" i="141" s="1"/>
  <c r="O56" i="141" s="1"/>
  <c r="P56" i="141" s="1"/>
  <c r="Q56" i="141" s="1"/>
  <c r="R56" i="141" s="1"/>
  <c r="CN199" i="172"/>
  <c r="O32" i="141"/>
  <c r="N60" i="141"/>
  <c r="J33" i="141" l="1"/>
  <c r="J48" i="141" s="1"/>
  <c r="O60" i="141"/>
  <c r="P32" i="141"/>
  <c r="K33" i="141" l="1"/>
  <c r="K48" i="141" s="1"/>
  <c r="P60" i="141"/>
  <c r="Q32" i="141"/>
  <c r="R32" i="141" s="1"/>
  <c r="R60" i="141" l="1"/>
  <c r="L33" i="141"/>
  <c r="L48" i="141" s="1"/>
  <c r="Q60" i="141"/>
  <c r="M33" i="141" l="1"/>
  <c r="M48" i="141" s="1"/>
  <c r="ES7" i="8"/>
  <c r="GF48" i="7"/>
  <c r="N33" i="141" l="1"/>
  <c r="N48" i="141" s="1"/>
  <c r="GF49" i="7"/>
  <c r="O33" i="141" l="1"/>
  <c r="O48" i="141" s="1"/>
  <c r="GF51" i="7"/>
  <c r="P33" i="141" l="1"/>
  <c r="P48" i="141" s="1"/>
  <c r="GF53" i="7"/>
  <c r="Q33" i="141" l="1"/>
  <c r="Q48" i="141" s="1"/>
  <c r="R33" i="141"/>
  <c r="GF54" i="7"/>
  <c r="GF55" i="7" s="1"/>
  <c r="R48" i="141" l="1"/>
  <c r="GF56" i="7"/>
  <c r="GF58" i="7" s="1"/>
  <c r="GG20" i="9"/>
  <c r="GG24" i="9" s="1"/>
  <c r="H38" i="141" s="1"/>
  <c r="H52" i="141" s="1"/>
  <c r="H57" i="141"/>
  <c r="H34" i="141" s="1"/>
  <c r="GF79" i="7" l="1"/>
  <c r="GF80" i="7" s="1"/>
  <c r="GF57" i="7"/>
  <c r="GF67" i="7"/>
  <c r="GF68" i="7" s="1"/>
  <c r="GF69" i="7" s="1"/>
  <c r="H49" i="141"/>
  <c r="H41" i="141"/>
  <c r="GF59" i="7" l="1"/>
  <c r="GG7" i="9"/>
  <c r="GG16" i="9" s="1"/>
  <c r="H53" i="141"/>
  <c r="H58" i="141"/>
  <c r="GG45" i="9" l="1"/>
  <c r="GG25" i="9"/>
  <c r="GG41" i="9" s="1"/>
  <c r="GG54" i="9" l="1"/>
  <c r="GG57" i="9" l="1"/>
  <c r="ET7" i="8"/>
  <c r="EU183" i="7" l="1"/>
  <c r="EU63" i="12" s="1"/>
  <c r="EU65" i="12" s="1"/>
  <c r="EU98" i="8" l="1"/>
  <c r="EU104" i="8" s="1"/>
  <c r="EV97" i="8" s="1"/>
  <c r="EV42" i="9" l="1"/>
  <c r="EV48" i="7"/>
  <c r="EV49" i="7" s="1"/>
  <c r="EV63" i="8" l="1"/>
  <c r="EU7" i="8"/>
  <c r="EV51" i="7"/>
  <c r="EW48" i="7"/>
  <c r="EW49" i="7" l="1"/>
  <c r="EW51" i="7" s="1"/>
  <c r="GG49" i="7"/>
  <c r="EV53" i="7"/>
  <c r="EW53" i="7" l="1"/>
  <c r="EV26" i="8"/>
  <c r="EV54" i="7"/>
  <c r="EV56" i="7" s="1"/>
  <c r="EV58" i="7" s="1"/>
  <c r="EV57" i="7" l="1"/>
  <c r="EV67" i="7"/>
  <c r="EV68" i="7" s="1"/>
  <c r="EV69" i="7" s="1"/>
  <c r="EV79" i="7"/>
  <c r="EV62" i="7"/>
  <c r="EV63" i="7" s="1"/>
  <c r="EW26" i="8"/>
  <c r="EV20" i="9"/>
  <c r="EV118" i="7"/>
  <c r="EV119" i="7"/>
  <c r="EV183" i="7"/>
  <c r="EV63" i="12" s="1"/>
  <c r="EV65" i="12" s="1"/>
  <c r="EW54" i="7"/>
  <c r="EV80" i="7" l="1"/>
  <c r="EV7" i="9"/>
  <c r="EV65" i="8"/>
  <c r="EV59" i="7"/>
  <c r="EW20" i="9"/>
  <c r="EW119" i="7"/>
  <c r="EW118" i="7"/>
  <c r="EW55" i="7"/>
  <c r="EW183" i="7"/>
  <c r="EW56" i="7"/>
  <c r="EV64" i="7"/>
  <c r="EV16" i="9" l="1"/>
  <c r="EW7" i="9"/>
  <c r="EW16" i="9" s="1"/>
  <c r="EV39" i="8"/>
  <c r="EW57" i="7"/>
  <c r="EW58" i="7"/>
  <c r="EW79" i="7"/>
  <c r="EW61" i="7"/>
  <c r="EW62" i="7" s="1"/>
  <c r="EW63" i="7" s="1"/>
  <c r="EW66" i="7"/>
  <c r="EW120" i="7" s="1"/>
  <c r="EW64" i="7" l="1"/>
  <c r="EV68" i="8"/>
  <c r="EV69" i="8" s="1"/>
  <c r="EW39" i="8"/>
  <c r="EV41" i="8"/>
  <c r="EW80" i="7"/>
  <c r="EW65" i="8"/>
  <c r="EW59" i="7"/>
  <c r="EW67" i="7"/>
  <c r="EW68" i="7" s="1"/>
  <c r="EW69" i="7" s="1"/>
  <c r="EV70" i="8" l="1"/>
  <c r="EX63" i="8"/>
  <c r="EW41" i="8"/>
  <c r="EW68" i="8"/>
  <c r="EW69" i="8" s="1"/>
  <c r="EW70" i="8" l="1"/>
  <c r="FB63" i="8"/>
  <c r="K34" i="141" l="1"/>
  <c r="L34" i="141" l="1"/>
  <c r="L49" i="141" l="1"/>
  <c r="M34" i="141"/>
  <c r="M49" i="141" l="1"/>
  <c r="N34" i="141"/>
  <c r="O34" i="141" l="1"/>
  <c r="N49" i="141"/>
  <c r="P34" i="141" l="1"/>
  <c r="O49" i="141"/>
  <c r="Q34" i="141" l="1"/>
  <c r="R34" i="141"/>
  <c r="P49" i="141"/>
  <c r="Q49" i="141" l="1"/>
  <c r="R49" i="141"/>
  <c r="BL44" i="172" l="1"/>
  <c r="BQ46" i="172" s="1"/>
  <c r="BN44" i="172"/>
  <c r="BS46" i="172" s="1"/>
  <c r="BM44" i="172"/>
  <c r="BR46" i="172" s="1"/>
  <c r="BK44" i="172"/>
  <c r="BK67" i="172" s="1"/>
  <c r="BM67" i="172" l="1"/>
  <c r="BN67" i="172"/>
  <c r="BN59" i="172"/>
  <c r="DK44" i="172"/>
  <c r="BO44" i="172"/>
  <c r="BP46" i="172"/>
  <c r="BL67" i="172"/>
  <c r="BL43" i="172"/>
  <c r="BL58" i="172" s="1"/>
  <c r="BK43" i="172"/>
  <c r="BN43" i="172"/>
  <c r="BN58" i="172" s="1"/>
  <c r="BM43" i="172"/>
  <c r="BM58" i="172" s="1"/>
  <c r="BO67" i="172" l="1"/>
  <c r="BO45" i="172"/>
  <c r="BO62" i="172"/>
  <c r="BK59" i="172"/>
  <c r="BL59" i="172"/>
  <c r="DK62" i="172"/>
  <c r="BM59" i="172"/>
  <c r="BO43" i="172"/>
  <c r="BO63" i="172" l="1"/>
  <c r="BO61" i="172"/>
  <c r="BK58" i="172"/>
  <c r="BX72" i="172"/>
  <c r="CC51" i="172"/>
  <c r="BZ51" i="172"/>
  <c r="DL49" i="172"/>
  <c r="BY48" i="172"/>
  <c r="BW72" i="172"/>
  <c r="CB51" i="172"/>
  <c r="DM49" i="172"/>
  <c r="CA51" i="172"/>
  <c r="BV72" i="172"/>
  <c r="BU72" i="172"/>
  <c r="BY49" i="172"/>
  <c r="BY50" i="172" s="1"/>
  <c r="DM50" i="172" l="1"/>
  <c r="BY72" i="172"/>
  <c r="BY73" i="172" s="1"/>
  <c r="BY74" i="172" l="1"/>
  <c r="CD75" i="172"/>
  <c r="BX54" i="172"/>
  <c r="BU54" i="172"/>
  <c r="BU59" i="172" s="1"/>
  <c r="BW54" i="172"/>
  <c r="BV54" i="172"/>
  <c r="CA56" i="172" l="1"/>
  <c r="BV59" i="172"/>
  <c r="BX77" i="172"/>
  <c r="BX59" i="172"/>
  <c r="CB56" i="172"/>
  <c r="BW59" i="172"/>
  <c r="DL54" i="172"/>
  <c r="BV53" i="172"/>
  <c r="BV58" i="172" s="1"/>
  <c r="BU77" i="172"/>
  <c r="BX53" i="172"/>
  <c r="BX58" i="172" s="1"/>
  <c r="CC56" i="172"/>
  <c r="BW77" i="172"/>
  <c r="BY54" i="172"/>
  <c r="BU53" i="172"/>
  <c r="BU58" i="172" s="1"/>
  <c r="BZ56" i="172"/>
  <c r="BW53" i="172"/>
  <c r="BW58" i="172" s="1"/>
  <c r="BV77" i="172"/>
  <c r="DM54" i="172"/>
  <c r="DM55" i="172" l="1"/>
  <c r="BY77" i="172"/>
  <c r="BY78" i="172" s="1"/>
  <c r="BY53" i="172"/>
  <c r="BY55" i="172"/>
  <c r="CD80" i="172" l="1"/>
  <c r="BY79" i="172"/>
  <c r="EU36" i="135" l="1"/>
  <c r="EU21" i="135" l="1"/>
  <c r="EU22" i="135" s="1"/>
  <c r="EU59" i="135"/>
  <c r="EU63" i="135"/>
  <c r="EV21" i="135"/>
  <c r="EU47" i="135"/>
  <c r="EU37" i="135"/>
  <c r="EU38" i="135"/>
  <c r="EU43" i="135"/>
  <c r="EU7" i="135"/>
  <c r="EU66" i="135" l="1"/>
  <c r="EU64" i="135"/>
  <c r="EV23" i="135"/>
  <c r="EV36" i="135"/>
  <c r="EV22" i="135" s="1"/>
  <c r="EW21" i="135"/>
  <c r="EW36" i="135" l="1"/>
  <c r="EW23" i="135"/>
  <c r="EX21" i="135"/>
  <c r="EV38" i="135"/>
  <c r="EV7" i="135"/>
  <c r="EV37" i="135"/>
  <c r="EV46" i="135"/>
  <c r="EV63" i="135"/>
  <c r="EV42" i="135"/>
  <c r="EV85" i="135"/>
  <c r="EV59" i="135"/>
  <c r="EV48" i="135" l="1"/>
  <c r="EV47" i="135"/>
  <c r="EW46" i="135"/>
  <c r="EV32" i="8"/>
  <c r="EW32" i="8" s="1"/>
  <c r="EW7" i="135"/>
  <c r="EW85" i="135"/>
  <c r="EW37" i="135"/>
  <c r="EV53" i="135"/>
  <c r="EW59" i="135"/>
  <c r="EX23" i="135"/>
  <c r="EX36" i="135"/>
  <c r="EX22" i="135" s="1"/>
  <c r="EY21" i="135"/>
  <c r="EV44" i="135"/>
  <c r="EV43" i="135"/>
  <c r="EW42" i="135"/>
  <c r="EV27" i="8"/>
  <c r="EW22" i="135"/>
  <c r="EV84" i="135"/>
  <c r="EV81" i="135"/>
  <c r="EV95" i="135" s="1"/>
  <c r="EV82" i="135"/>
  <c r="EV104" i="135" s="1"/>
  <c r="EV83" i="135"/>
  <c r="EV113" i="135" s="1"/>
  <c r="EV64" i="135"/>
  <c r="EV66" i="135"/>
  <c r="EW63" i="135"/>
  <c r="EW64" i="135" s="1"/>
  <c r="EV97" i="135" l="1"/>
  <c r="EV96" i="135"/>
  <c r="EW95" i="135"/>
  <c r="EW96" i="135" s="1"/>
  <c r="EV54" i="135"/>
  <c r="EV22" i="9"/>
  <c r="EW53" i="135"/>
  <c r="EW54" i="135" s="1"/>
  <c r="EW48" i="135"/>
  <c r="EW47" i="135"/>
  <c r="EW44" i="135"/>
  <c r="EW43" i="135"/>
  <c r="EW82" i="135"/>
  <c r="EW81" i="135"/>
  <c r="EW84" i="135"/>
  <c r="EW83" i="135"/>
  <c r="EX7" i="135"/>
  <c r="EX38" i="135"/>
  <c r="EX42" i="135"/>
  <c r="EX37" i="135"/>
  <c r="EX63" i="135"/>
  <c r="EX59" i="135"/>
  <c r="EX85" i="135"/>
  <c r="EV114" i="135"/>
  <c r="EV115" i="135"/>
  <c r="EW113" i="135"/>
  <c r="EW114" i="135" s="1"/>
  <c r="EV105" i="135"/>
  <c r="EV106" i="135"/>
  <c r="EW104" i="135"/>
  <c r="EW105" i="135" s="1"/>
  <c r="EV31" i="8"/>
  <c r="EW27" i="8"/>
  <c r="EY23" i="135"/>
  <c r="EZ21" i="135"/>
  <c r="EY36" i="135"/>
  <c r="EY22" i="135" s="1"/>
  <c r="EX66" i="135" l="1"/>
  <c r="EX64" i="135"/>
  <c r="EY38" i="135"/>
  <c r="EY37" i="135"/>
  <c r="EY7" i="135"/>
  <c r="EY63" i="135"/>
  <c r="EY42" i="135"/>
  <c r="EY85" i="135"/>
  <c r="EW31" i="8"/>
  <c r="EX84" i="135"/>
  <c r="EX83" i="135"/>
  <c r="EX113" i="135" s="1"/>
  <c r="EX82" i="135"/>
  <c r="EX104" i="135" s="1"/>
  <c r="EX81" i="135"/>
  <c r="EX95" i="135" s="1"/>
  <c r="EX44" i="135"/>
  <c r="EX43" i="135"/>
  <c r="EX27" i="8"/>
  <c r="EZ23" i="135"/>
  <c r="FA21" i="135"/>
  <c r="EZ36" i="135"/>
  <c r="EZ22" i="135" s="1"/>
  <c r="EX53" i="135"/>
  <c r="EX46" i="135"/>
  <c r="EY59" i="135" s="1"/>
  <c r="EW22" i="9"/>
  <c r="EY53" i="135" l="1"/>
  <c r="FA23" i="135"/>
  <c r="FA36" i="135"/>
  <c r="FA22" i="135" s="1"/>
  <c r="FB21" i="135"/>
  <c r="EX114" i="135"/>
  <c r="EX115" i="135"/>
  <c r="EY84" i="135"/>
  <c r="EY83" i="135"/>
  <c r="EY113" i="135" s="1"/>
  <c r="EY81" i="135"/>
  <c r="EY95" i="135" s="1"/>
  <c r="EY82" i="135"/>
  <c r="EY104" i="135" s="1"/>
  <c r="EX54" i="135"/>
  <c r="EX22" i="9"/>
  <c r="EX48" i="135"/>
  <c r="EX47" i="135"/>
  <c r="EX32" i="8"/>
  <c r="EX97" i="135"/>
  <c r="EX96" i="135"/>
  <c r="EY43" i="135"/>
  <c r="EY44" i="135"/>
  <c r="EY27" i="8"/>
  <c r="EZ7" i="135"/>
  <c r="EZ63" i="135"/>
  <c r="EZ38" i="135"/>
  <c r="EZ37" i="135"/>
  <c r="EZ85" i="135"/>
  <c r="EZ42" i="135"/>
  <c r="EZ46" i="135" s="1"/>
  <c r="EX105" i="135"/>
  <c r="EX106" i="135"/>
  <c r="EY66" i="135"/>
  <c r="EY64" i="135"/>
  <c r="EY46" i="135"/>
  <c r="EZ59" i="135" s="1"/>
  <c r="EZ53" i="135" s="1"/>
  <c r="EY97" i="135" l="1"/>
  <c r="EY96" i="135"/>
  <c r="EZ54" i="135"/>
  <c r="EZ22" i="9"/>
  <c r="EY114" i="135"/>
  <c r="EY115" i="135"/>
  <c r="EY48" i="135"/>
  <c r="EY32" i="8"/>
  <c r="EY47" i="135"/>
  <c r="FB36" i="135"/>
  <c r="FB22" i="135" s="1"/>
  <c r="FB23" i="135"/>
  <c r="FC21" i="135"/>
  <c r="EZ66" i="135"/>
  <c r="EZ64" i="135"/>
  <c r="EZ84" i="135"/>
  <c r="EZ83" i="135"/>
  <c r="EZ113" i="135" s="1"/>
  <c r="EZ82" i="135"/>
  <c r="EZ104" i="135" s="1"/>
  <c r="EZ81" i="135"/>
  <c r="EZ95" i="135" s="1"/>
  <c r="EZ48" i="135"/>
  <c r="EZ47" i="135"/>
  <c r="EZ32" i="8"/>
  <c r="EZ43" i="135"/>
  <c r="EZ44" i="135"/>
  <c r="EZ27" i="8"/>
  <c r="EY106" i="135"/>
  <c r="EY105" i="135"/>
  <c r="FA7" i="135"/>
  <c r="FA63" i="135"/>
  <c r="FA59" i="135"/>
  <c r="FA53" i="135" s="1"/>
  <c r="FA37" i="135"/>
  <c r="FA38" i="135"/>
  <c r="FA85" i="135"/>
  <c r="FA42" i="135"/>
  <c r="EY22" i="9"/>
  <c r="GH22" i="9" s="1"/>
  <c r="EY54" i="135"/>
  <c r="EZ106" i="135" l="1"/>
  <c r="EZ105" i="135"/>
  <c r="EZ114" i="135"/>
  <c r="EZ115" i="135"/>
  <c r="FA22" i="9"/>
  <c r="FB22" i="9" s="1"/>
  <c r="FA54" i="135"/>
  <c r="FB59" i="135"/>
  <c r="FB37" i="135"/>
  <c r="FB85" i="135"/>
  <c r="FB7" i="135"/>
  <c r="FA44" i="135"/>
  <c r="FA43" i="135"/>
  <c r="FB42" i="135"/>
  <c r="FA27" i="8"/>
  <c r="FA46" i="135"/>
  <c r="FA84" i="135"/>
  <c r="FA83" i="135"/>
  <c r="FA113" i="135" s="1"/>
  <c r="FA81" i="135"/>
  <c r="FA95" i="135" s="1"/>
  <c r="FA82" i="135"/>
  <c r="FA104" i="135" s="1"/>
  <c r="FA64" i="135"/>
  <c r="FA66" i="135"/>
  <c r="EZ97" i="135"/>
  <c r="EZ96" i="135"/>
  <c r="FB63" i="135"/>
  <c r="FB64" i="135" s="1"/>
  <c r="FC23" i="135"/>
  <c r="FD21" i="135"/>
  <c r="FC36" i="135"/>
  <c r="FC22" i="135" s="1"/>
  <c r="FB53" i="135"/>
  <c r="FB54" i="135" s="1"/>
  <c r="FD23" i="135" l="1"/>
  <c r="FE21" i="135"/>
  <c r="FD36" i="135"/>
  <c r="FA48" i="135"/>
  <c r="FB46" i="135"/>
  <c r="FA47" i="135"/>
  <c r="FA32" i="8"/>
  <c r="FB32" i="8" s="1"/>
  <c r="FA106" i="135"/>
  <c r="FA105" i="135"/>
  <c r="FA96" i="135"/>
  <c r="FA97" i="135"/>
  <c r="FB95" i="135"/>
  <c r="FB96" i="135" s="1"/>
  <c r="FB27" i="8"/>
  <c r="FA115" i="135"/>
  <c r="FA114" i="135"/>
  <c r="FB43" i="135"/>
  <c r="FB44" i="135"/>
  <c r="FB113" i="135"/>
  <c r="FB114" i="135" s="1"/>
  <c r="FC7" i="135"/>
  <c r="FC37" i="135"/>
  <c r="FC38" i="135"/>
  <c r="FC63" i="135"/>
  <c r="FC59" i="135"/>
  <c r="FC42" i="135"/>
  <c r="FC85" i="135"/>
  <c r="FB81" i="135"/>
  <c r="FB83" i="135"/>
  <c r="FB84" i="135"/>
  <c r="FB82" i="135"/>
  <c r="FB104" i="135"/>
  <c r="FB105" i="135" s="1"/>
  <c r="FC43" i="135" l="1"/>
  <c r="FC44" i="135"/>
  <c r="FC27" i="8"/>
  <c r="FD7" i="135"/>
  <c r="FD38" i="135"/>
  <c r="FD37" i="135"/>
  <c r="FD63" i="135"/>
  <c r="FD42" i="135"/>
  <c r="FD85" i="135"/>
  <c r="FE23" i="135"/>
  <c r="FE36" i="135"/>
  <c r="FE22" i="135" s="1"/>
  <c r="FF21" i="135"/>
  <c r="FB48" i="135"/>
  <c r="FB47" i="135"/>
  <c r="FC53" i="135"/>
  <c r="FC66" i="135"/>
  <c r="FC64" i="135"/>
  <c r="FC84" i="135"/>
  <c r="FC82" i="135"/>
  <c r="FC104" i="135" s="1"/>
  <c r="FC81" i="135"/>
  <c r="FC95" i="135" s="1"/>
  <c r="FC83" i="135"/>
  <c r="FC113" i="135" s="1"/>
  <c r="FC46" i="135"/>
  <c r="FD22" i="135"/>
  <c r="FC48" i="135" l="1"/>
  <c r="FC47" i="135"/>
  <c r="FC32" i="8"/>
  <c r="FD59" i="135"/>
  <c r="FD43" i="135"/>
  <c r="FD44" i="135"/>
  <c r="FD27" i="8"/>
  <c r="FD46" i="135"/>
  <c r="FC114" i="135"/>
  <c r="FC115" i="135"/>
  <c r="FC54" i="135"/>
  <c r="FC22" i="9"/>
  <c r="FE38" i="135"/>
  <c r="FE7" i="135"/>
  <c r="FE37" i="135"/>
  <c r="FE59" i="135"/>
  <c r="FE53" i="135" s="1"/>
  <c r="FE63" i="135"/>
  <c r="FE42" i="135"/>
  <c r="FE85" i="135"/>
  <c r="FD64" i="135"/>
  <c r="FD66" i="135"/>
  <c r="FF23" i="135"/>
  <c r="FF36" i="135"/>
  <c r="FG21" i="135"/>
  <c r="FC96" i="135"/>
  <c r="FC97" i="135"/>
  <c r="FC106" i="135"/>
  <c r="FC105" i="135"/>
  <c r="FD83" i="135"/>
  <c r="FD113" i="135" s="1"/>
  <c r="FD84" i="135"/>
  <c r="FD82" i="135"/>
  <c r="FD104" i="135" s="1"/>
  <c r="FD81" i="135"/>
  <c r="FD95" i="135" s="1"/>
  <c r="FE54" i="135" l="1"/>
  <c r="FE22" i="9"/>
  <c r="FD32" i="8"/>
  <c r="FD48" i="135"/>
  <c r="FD47" i="135"/>
  <c r="FD53" i="135"/>
  <c r="FG23" i="135"/>
  <c r="FG36" i="135"/>
  <c r="FH21" i="135"/>
  <c r="FF38" i="135"/>
  <c r="FF37" i="135"/>
  <c r="FF7" i="135"/>
  <c r="FF63" i="135"/>
  <c r="FG63" i="135" s="1"/>
  <c r="FG64" i="135" s="1"/>
  <c r="FF42" i="135"/>
  <c r="FF85" i="135"/>
  <c r="FE84" i="135"/>
  <c r="FE82" i="135"/>
  <c r="FE104" i="135" s="1"/>
  <c r="FE83" i="135"/>
  <c r="FE113" i="135" s="1"/>
  <c r="FE81" i="135"/>
  <c r="FE95" i="135" s="1"/>
  <c r="FE43" i="135"/>
  <c r="FE44" i="135"/>
  <c r="FE27" i="8"/>
  <c r="FD115" i="135"/>
  <c r="FD114" i="135"/>
  <c r="FD97" i="135"/>
  <c r="FD96" i="135"/>
  <c r="FD105" i="135"/>
  <c r="FD106" i="135"/>
  <c r="FF22" i="135"/>
  <c r="FE64" i="135"/>
  <c r="FE66" i="135"/>
  <c r="FE46" i="135"/>
  <c r="FE47" i="135" l="1"/>
  <c r="FE32" i="8"/>
  <c r="FE48" i="135"/>
  <c r="FE114" i="135"/>
  <c r="FE115" i="135"/>
  <c r="FF43" i="135"/>
  <c r="FF44" i="135"/>
  <c r="FG42" i="135"/>
  <c r="FF27" i="8"/>
  <c r="FG85" i="135"/>
  <c r="FG37" i="135"/>
  <c r="FG7" i="135"/>
  <c r="FD54" i="135"/>
  <c r="FD22" i="9"/>
  <c r="FE106" i="135"/>
  <c r="FE105" i="135"/>
  <c r="FF46" i="135"/>
  <c r="FG22" i="135"/>
  <c r="FF59" i="135"/>
  <c r="FE97" i="135"/>
  <c r="FE96" i="135"/>
  <c r="FF84" i="135"/>
  <c r="FF83" i="135"/>
  <c r="FF113" i="135" s="1"/>
  <c r="FG113" i="135" s="1"/>
  <c r="FG114" i="135" s="1"/>
  <c r="FF81" i="135"/>
  <c r="FF95" i="135" s="1"/>
  <c r="FG95" i="135" s="1"/>
  <c r="FG96" i="135" s="1"/>
  <c r="FF82" i="135"/>
  <c r="FF104" i="135" s="1"/>
  <c r="FF66" i="135"/>
  <c r="FF64" i="135"/>
  <c r="FH23" i="135"/>
  <c r="FI21" i="135"/>
  <c r="FH36" i="135"/>
  <c r="FH22" i="135" s="1"/>
  <c r="FF47" i="135" l="1"/>
  <c r="FF48" i="135"/>
  <c r="FG46" i="135"/>
  <c r="FH59" i="135" s="1"/>
  <c r="FF32" i="8"/>
  <c r="FG32" i="8" s="1"/>
  <c r="FG43" i="135"/>
  <c r="FG44" i="135"/>
  <c r="FI23" i="135"/>
  <c r="FJ21" i="135"/>
  <c r="FI36" i="135"/>
  <c r="FI22" i="135" s="1"/>
  <c r="FF105" i="135"/>
  <c r="FF106" i="135"/>
  <c r="FG104" i="135"/>
  <c r="FG105" i="135" s="1"/>
  <c r="GI22" i="9"/>
  <c r="FG84" i="135"/>
  <c r="FG83" i="135"/>
  <c r="FG81" i="135"/>
  <c r="FG82" i="135"/>
  <c r="FF97" i="135"/>
  <c r="FF96" i="135"/>
  <c r="FH37" i="135"/>
  <c r="FH7" i="135"/>
  <c r="FH38" i="135"/>
  <c r="FH42" i="135"/>
  <c r="FH63" i="135"/>
  <c r="FH85" i="135"/>
  <c r="FF114" i="135"/>
  <c r="FF115" i="135"/>
  <c r="FF53" i="135"/>
  <c r="FG59" i="135"/>
  <c r="FG27" i="8"/>
  <c r="FG48" i="135" l="1"/>
  <c r="FG47" i="135"/>
  <c r="FH44" i="135"/>
  <c r="FH43" i="135"/>
  <c r="FH27" i="8"/>
  <c r="FI37" i="135"/>
  <c r="FI7" i="135"/>
  <c r="FI38" i="135"/>
  <c r="FI63" i="135"/>
  <c r="FI42" i="135"/>
  <c r="FI85" i="135"/>
  <c r="FH46" i="135"/>
  <c r="FI59" i="135" s="1"/>
  <c r="FI53" i="135" s="1"/>
  <c r="FH53" i="135"/>
  <c r="FH84" i="135"/>
  <c r="FH82" i="135"/>
  <c r="FH104" i="135" s="1"/>
  <c r="FH83" i="135"/>
  <c r="FH113" i="135" s="1"/>
  <c r="FH81" i="135"/>
  <c r="FH95" i="135" s="1"/>
  <c r="FF54" i="135"/>
  <c r="FF22" i="9"/>
  <c r="FG22" i="9" s="1"/>
  <c r="FG53" i="135"/>
  <c r="FG54" i="135" s="1"/>
  <c r="FH64" i="135"/>
  <c r="FH66" i="135"/>
  <c r="FJ23" i="135"/>
  <c r="FK21" i="135"/>
  <c r="FJ36" i="135"/>
  <c r="FJ22" i="135" s="1"/>
  <c r="FI54" i="135" l="1"/>
  <c r="FI22" i="9"/>
  <c r="FH97" i="135"/>
  <c r="FH96" i="135"/>
  <c r="FH114" i="135"/>
  <c r="FH115" i="135"/>
  <c r="FI84" i="135"/>
  <c r="FI83" i="135"/>
  <c r="FI113" i="135" s="1"/>
  <c r="FI81" i="135"/>
  <c r="FI95" i="135" s="1"/>
  <c r="FI82" i="135"/>
  <c r="FI104" i="135" s="1"/>
  <c r="FH54" i="135"/>
  <c r="FH22" i="9"/>
  <c r="FJ37" i="135"/>
  <c r="FJ7" i="135"/>
  <c r="FJ63" i="135"/>
  <c r="FJ38" i="135"/>
  <c r="FJ85" i="135"/>
  <c r="FJ42" i="135"/>
  <c r="FH105" i="135"/>
  <c r="FH106" i="135"/>
  <c r="FH48" i="135"/>
  <c r="FH32" i="8"/>
  <c r="FH47" i="135"/>
  <c r="FI44" i="135"/>
  <c r="FI43" i="135"/>
  <c r="FI27" i="8"/>
  <c r="FI46" i="135"/>
  <c r="FK23" i="135"/>
  <c r="FL21" i="135"/>
  <c r="FK36" i="135"/>
  <c r="FI64" i="135"/>
  <c r="FI66" i="135"/>
  <c r="FI48" i="135" l="1"/>
  <c r="FI47" i="135"/>
  <c r="FI32" i="8"/>
  <c r="FJ84" i="135"/>
  <c r="FJ81" i="135"/>
  <c r="FJ95" i="135" s="1"/>
  <c r="FJ83" i="135"/>
  <c r="FJ113" i="135" s="1"/>
  <c r="FJ82" i="135"/>
  <c r="FJ104" i="135" s="1"/>
  <c r="FI106" i="135"/>
  <c r="FI105" i="135"/>
  <c r="FJ43" i="135"/>
  <c r="FJ44" i="135"/>
  <c r="FJ27" i="8"/>
  <c r="FJ46" i="135"/>
  <c r="FI96" i="135"/>
  <c r="FI97" i="135"/>
  <c r="FK37" i="135"/>
  <c r="FK38" i="135"/>
  <c r="FK63" i="135"/>
  <c r="FL63" i="135" s="1"/>
  <c r="FL64" i="135" s="1"/>
  <c r="FK7" i="135"/>
  <c r="FK42" i="135"/>
  <c r="FK59" i="135"/>
  <c r="FK53" i="135" s="1"/>
  <c r="FK85" i="135"/>
  <c r="FL36" i="135"/>
  <c r="FL23" i="135"/>
  <c r="FK22" i="135"/>
  <c r="FJ59" i="135"/>
  <c r="FJ64" i="135"/>
  <c r="FJ66" i="135"/>
  <c r="FI114" i="135"/>
  <c r="FI115" i="135"/>
  <c r="FJ106" i="135" l="1"/>
  <c r="FJ105" i="135"/>
  <c r="FL37" i="135"/>
  <c r="FL85" i="135"/>
  <c r="FL7" i="135"/>
  <c r="FK43" i="135"/>
  <c r="FL42" i="135"/>
  <c r="FK44" i="135"/>
  <c r="FK27" i="8"/>
  <c r="FK54" i="135"/>
  <c r="FK22" i="9"/>
  <c r="FK66" i="135"/>
  <c r="FK64" i="135"/>
  <c r="FJ114" i="135"/>
  <c r="FJ115" i="135"/>
  <c r="FJ53" i="135"/>
  <c r="FL59" i="135"/>
  <c r="FK84" i="135"/>
  <c r="FK81" i="135"/>
  <c r="FK95" i="135" s="1"/>
  <c r="FL95" i="135" s="1"/>
  <c r="FL96" i="135" s="1"/>
  <c r="FK83" i="135"/>
  <c r="FK113" i="135" s="1"/>
  <c r="FK82" i="135"/>
  <c r="FK104" i="135" s="1"/>
  <c r="FL104" i="135" s="1"/>
  <c r="FL105" i="135" s="1"/>
  <c r="FL22" i="135"/>
  <c r="FK46" i="135"/>
  <c r="FJ47" i="135"/>
  <c r="FJ48" i="135"/>
  <c r="FJ32" i="8"/>
  <c r="FJ97" i="135"/>
  <c r="FJ96" i="135"/>
  <c r="FL44" i="135" l="1"/>
  <c r="FL43" i="135"/>
  <c r="FK115" i="135"/>
  <c r="FK114" i="135"/>
  <c r="FJ54" i="135"/>
  <c r="FJ22" i="9"/>
  <c r="FL22" i="9" s="1"/>
  <c r="FL53" i="135"/>
  <c r="FL54" i="135" s="1"/>
  <c r="FL27" i="8"/>
  <c r="FK105" i="135"/>
  <c r="FK106" i="135"/>
  <c r="FK47" i="135"/>
  <c r="FK48" i="135"/>
  <c r="FL46" i="135"/>
  <c r="FK32" i="8"/>
  <c r="FL32" i="8" s="1"/>
  <c r="FK96" i="135"/>
  <c r="FK97" i="135"/>
  <c r="FL113" i="135"/>
  <c r="FL114" i="135" s="1"/>
  <c r="FL82" i="135"/>
  <c r="FL84" i="135"/>
  <c r="FL83" i="135"/>
  <c r="FL81" i="135"/>
  <c r="FL48" i="135" l="1"/>
  <c r="FL47" i="135"/>
  <c r="FA33" i="8"/>
  <c r="EV33" i="8"/>
  <c r="EV21" i="9" s="1"/>
  <c r="EW21" i="9" l="1"/>
  <c r="EW24" i="9" s="1"/>
  <c r="EW25" i="9" s="1"/>
  <c r="EV24" i="9"/>
  <c r="EV25" i="9" s="1"/>
  <c r="EW33" i="8"/>
  <c r="EV36" i="8"/>
  <c r="EX21" i="9"/>
  <c r="FB33" i="8"/>
  <c r="FC21" i="9"/>
  <c r="FA21" i="9"/>
  <c r="FB21" i="9" l="1"/>
  <c r="EV54" i="9"/>
  <c r="EV45" i="9"/>
  <c r="EV98" i="8"/>
  <c r="EV104" i="8" s="1"/>
  <c r="EX97" i="8" s="1"/>
  <c r="EV29" i="9"/>
  <c r="FK33" i="8"/>
  <c r="FF33" i="8"/>
  <c r="EW45" i="9"/>
  <c r="EW54" i="9"/>
  <c r="GI21" i="9"/>
  <c r="EV42" i="8"/>
  <c r="EW42" i="8" s="1"/>
  <c r="EW36" i="8"/>
  <c r="GH21" i="9"/>
  <c r="EV33" i="9" l="1"/>
  <c r="EV41" i="9" s="1"/>
  <c r="EV43" i="9" s="1"/>
  <c r="EV8" i="8" s="1"/>
  <c r="EW29" i="9"/>
  <c r="EW33" i="9" s="1"/>
  <c r="EW41" i="9" s="1"/>
  <c r="EW43" i="9" s="1"/>
  <c r="EV9" i="8"/>
  <c r="EW57" i="9"/>
  <c r="EW59" i="9" s="1"/>
  <c r="EW55" i="9"/>
  <c r="FG33" i="8"/>
  <c r="FH21" i="9"/>
  <c r="FF21" i="9"/>
  <c r="FG21" i="9" s="1"/>
  <c r="FL33" i="8"/>
  <c r="FK21" i="9"/>
  <c r="EV61" i="9"/>
  <c r="EV55" i="9"/>
  <c r="EV57" i="9"/>
  <c r="EW61" i="9"/>
  <c r="FL21" i="9" l="1"/>
  <c r="EW9" i="8"/>
  <c r="EW8" i="8"/>
  <c r="EV14" i="8"/>
  <c r="EX48" i="7"/>
  <c r="EV59" i="9"/>
  <c r="EW14" i="8" l="1"/>
  <c r="EV21" i="8"/>
  <c r="EX42" i="9"/>
  <c r="FB42" i="9"/>
  <c r="FB44" i="9" s="1"/>
  <c r="EX51" i="7"/>
  <c r="EX53" i="7" l="1"/>
  <c r="EW21" i="8"/>
  <c r="EV7" i="8"/>
  <c r="EX26" i="8" l="1"/>
  <c r="EX54" i="7"/>
  <c r="EX56" i="7" s="1"/>
  <c r="EX58" i="7" l="1"/>
  <c r="EX67" i="7"/>
  <c r="EX68" i="7" s="1"/>
  <c r="EX69" i="7" s="1"/>
  <c r="EX62" i="7"/>
  <c r="EX63" i="7" s="1"/>
  <c r="EX57" i="7"/>
  <c r="EX79" i="7"/>
  <c r="EX119" i="7"/>
  <c r="EX118" i="7"/>
  <c r="EX183" i="7"/>
  <c r="EX63" i="12" s="1"/>
  <c r="EX65" i="12" s="1"/>
  <c r="EX31" i="8"/>
  <c r="EX36" i="8" s="1"/>
  <c r="EX20" i="9"/>
  <c r="EX64" i="7" l="1"/>
  <c r="EX24" i="9"/>
  <c r="EX80" i="7"/>
  <c r="EX65" i="8"/>
  <c r="EX7" i="9"/>
  <c r="EX59" i="7"/>
  <c r="EX39" i="8" l="1"/>
  <c r="EX16" i="9"/>
  <c r="EX25" i="9" s="1"/>
  <c r="EX68" i="8" l="1"/>
  <c r="EX69" i="8" s="1"/>
  <c r="EX41" i="8"/>
  <c r="EX98" i="8"/>
  <c r="EX104" i="8" s="1"/>
  <c r="EY97" i="8" s="1"/>
  <c r="EX29" i="9"/>
  <c r="EX45" i="9"/>
  <c r="EX54" i="9"/>
  <c r="EX57" i="9" l="1"/>
  <c r="EX55" i="9"/>
  <c r="EX61" i="9"/>
  <c r="EY63" i="8"/>
  <c r="EX70" i="8"/>
  <c r="EX42" i="8"/>
  <c r="EX33" i="9"/>
  <c r="EX41" i="9" s="1"/>
  <c r="EX43" i="9" s="1"/>
  <c r="EX8" i="8" s="1"/>
  <c r="EX9" i="8"/>
  <c r="EY42" i="9" l="1"/>
  <c r="EX14" i="8"/>
  <c r="EX21" i="8" s="1"/>
  <c r="EX7" i="8" s="1"/>
  <c r="EY48" i="7"/>
  <c r="EX59" i="9"/>
  <c r="EY51" i="7" l="1"/>
  <c r="GG48" i="7"/>
  <c r="EY53" i="7" l="1"/>
  <c r="GG51" i="7"/>
  <c r="GG53" i="7" l="1"/>
  <c r="EY54" i="7"/>
  <c r="EY26" i="8"/>
  <c r="EY31" i="8" l="1"/>
  <c r="EY36" i="8" s="1"/>
  <c r="EY20" i="9"/>
  <c r="EY119" i="7"/>
  <c r="EY183" i="7"/>
  <c r="EY63" i="12" s="1"/>
  <c r="EY65" i="12" s="1"/>
  <c r="EY118" i="7"/>
  <c r="GG54" i="7"/>
  <c r="GG55" i="7" s="1"/>
  <c r="EY56" i="7"/>
  <c r="EY24" i="9" l="1"/>
  <c r="GH20" i="9"/>
  <c r="GH24" i="9" s="1"/>
  <c r="I38" i="141" s="1"/>
  <c r="I52" i="141" s="1"/>
  <c r="I57" i="141"/>
  <c r="I34" i="141" s="1"/>
  <c r="GG56" i="7"/>
  <c r="EY58" i="7"/>
  <c r="EY62" i="7"/>
  <c r="EY63" i="7" s="1"/>
  <c r="EY67" i="7"/>
  <c r="EY68" i="7" s="1"/>
  <c r="EY69" i="7" s="1"/>
  <c r="EY57" i="7"/>
  <c r="EY79" i="7"/>
  <c r="GG79" i="7" l="1"/>
  <c r="GG80" i="7" s="1"/>
  <c r="GG57" i="7"/>
  <c r="GG67" i="7"/>
  <c r="GG68" i="7" s="1"/>
  <c r="GG69" i="7" s="1"/>
  <c r="GG58" i="7"/>
  <c r="GG59" i="7" s="1"/>
  <c r="EY65" i="8"/>
  <c r="EY80" i="7"/>
  <c r="EY7" i="9"/>
  <c r="EY59" i="7"/>
  <c r="EY64" i="7"/>
  <c r="I49" i="141"/>
  <c r="I41" i="141"/>
  <c r="I53" i="141" l="1"/>
  <c r="I58" i="141"/>
  <c r="I42" i="141"/>
  <c r="EY16" i="9"/>
  <c r="EY25" i="9" s="1"/>
  <c r="GH7" i="9"/>
  <c r="GH16" i="9" s="1"/>
  <c r="EY39" i="8"/>
  <c r="EY41" i="8" l="1"/>
  <c r="EY68" i="8"/>
  <c r="EY69" i="8" s="1"/>
  <c r="GH25" i="9"/>
  <c r="GH45" i="9"/>
  <c r="EY29" i="9"/>
  <c r="EY45" i="9"/>
  <c r="EY98" i="8"/>
  <c r="EY104" i="8" s="1"/>
  <c r="EZ97" i="8" s="1"/>
  <c r="EY54" i="9"/>
  <c r="EY33" i="9" l="1"/>
  <c r="EY41" i="9" s="1"/>
  <c r="EY43" i="9" s="1"/>
  <c r="EY8" i="8" s="1"/>
  <c r="GH29" i="9"/>
  <c r="GH33" i="9" s="1"/>
  <c r="GH41" i="9" s="1"/>
  <c r="EY9" i="8"/>
  <c r="EY61" i="9"/>
  <c r="EY55" i="9"/>
  <c r="EY57" i="9"/>
  <c r="GH54" i="9"/>
  <c r="EZ63" i="8"/>
  <c r="EY70" i="8"/>
  <c r="EY42" i="8"/>
  <c r="EY59" i="9" l="1"/>
  <c r="GH57" i="9"/>
  <c r="EY14" i="8"/>
  <c r="EY21" i="8" s="1"/>
  <c r="EY7" i="8" s="1"/>
  <c r="EZ42" i="9"/>
  <c r="EZ48" i="7"/>
  <c r="EZ51" i="7" l="1"/>
  <c r="EZ53" i="7" s="1"/>
  <c r="EZ54" i="7" l="1"/>
  <c r="EZ56" i="7" s="1"/>
  <c r="EZ26" i="8"/>
  <c r="EZ57" i="7" l="1"/>
  <c r="EZ67" i="7"/>
  <c r="EZ68" i="7" s="1"/>
  <c r="EZ69" i="7" s="1"/>
  <c r="EZ58" i="7"/>
  <c r="EZ62" i="7"/>
  <c r="EZ63" i="7" s="1"/>
  <c r="EZ79" i="7"/>
  <c r="EZ31" i="8"/>
  <c r="EZ36" i="8" s="1"/>
  <c r="EZ20" i="9"/>
  <c r="EZ118" i="7"/>
  <c r="EZ183" i="7"/>
  <c r="EZ63" i="12" s="1"/>
  <c r="EZ65" i="12" s="1"/>
  <c r="EZ119" i="7"/>
  <c r="EZ64" i="7" l="1"/>
  <c r="EZ24" i="9"/>
  <c r="EZ59" i="7"/>
  <c r="EZ80" i="7"/>
  <c r="EZ65" i="8"/>
  <c r="EZ7" i="9"/>
  <c r="EZ16" i="9" l="1"/>
  <c r="EZ25" i="9" s="1"/>
  <c r="EZ39" i="8"/>
  <c r="EZ54" i="9" l="1"/>
  <c r="EZ45" i="9"/>
  <c r="EZ98" i="8"/>
  <c r="EZ104" i="8" s="1"/>
  <c r="FA97" i="8" s="1"/>
  <c r="EZ29" i="9"/>
  <c r="EZ68" i="8"/>
  <c r="EZ69" i="8" s="1"/>
  <c r="EZ41" i="8"/>
  <c r="EZ33" i="9" l="1"/>
  <c r="EZ41" i="9" s="1"/>
  <c r="EZ43" i="9" s="1"/>
  <c r="EZ8" i="8" s="1"/>
  <c r="EZ9" i="8"/>
  <c r="FA63" i="8"/>
  <c r="EZ70" i="8"/>
  <c r="EZ42" i="8"/>
  <c r="EZ55" i="9"/>
  <c r="EZ61" i="9"/>
  <c r="EZ57" i="9"/>
  <c r="FA42" i="9" l="1"/>
  <c r="EZ14" i="8"/>
  <c r="EZ21" i="8" s="1"/>
  <c r="EZ7" i="8" s="1"/>
  <c r="FA48" i="7"/>
  <c r="EZ59" i="9"/>
  <c r="FA51" i="7" l="1"/>
  <c r="FA53" i="7" s="1"/>
  <c r="FB48" i="7"/>
  <c r="FB51" i="7" s="1"/>
  <c r="FB53" i="7" l="1"/>
  <c r="FA26" i="8"/>
  <c r="FA54" i="7"/>
  <c r="FA183" i="7" l="1"/>
  <c r="FA63" i="12" s="1"/>
  <c r="FA65" i="12" s="1"/>
  <c r="FA119" i="7"/>
  <c r="FA118" i="7"/>
  <c r="FB54" i="7"/>
  <c r="FA20" i="9"/>
  <c r="FB26" i="8"/>
  <c r="FA31" i="8"/>
  <c r="FA56" i="7"/>
  <c r="FB183" i="7" l="1"/>
  <c r="FB55" i="7"/>
  <c r="FB118" i="7"/>
  <c r="FB119" i="7"/>
  <c r="FA36" i="8"/>
  <c r="FB31" i="8"/>
  <c r="FB56" i="7"/>
  <c r="FA57" i="7"/>
  <c r="FA62" i="7"/>
  <c r="FA63" i="7" s="1"/>
  <c r="FA58" i="7"/>
  <c r="FA67" i="7"/>
  <c r="FA68" i="7" s="1"/>
  <c r="FA69" i="7" s="1"/>
  <c r="FA79" i="7"/>
  <c r="FA24" i="9"/>
  <c r="FB20" i="9"/>
  <c r="FB24" i="9" s="1"/>
  <c r="FB79" i="7" l="1"/>
  <c r="FB58" i="7"/>
  <c r="FB57" i="7"/>
  <c r="FA80" i="7"/>
  <c r="FA65" i="8"/>
  <c r="FA7" i="9"/>
  <c r="FA59" i="7"/>
  <c r="FB61" i="7"/>
  <c r="FB62" i="7" s="1"/>
  <c r="FB63" i="7" s="1"/>
  <c r="FB66" i="7"/>
  <c r="FB120" i="7" s="1"/>
  <c r="FA64" i="7"/>
  <c r="FB36" i="8"/>
  <c r="FB64" i="7" l="1"/>
  <c r="FB59" i="7"/>
  <c r="FB67" i="7"/>
  <c r="FB68" i="7" s="1"/>
  <c r="FB69" i="7" s="1"/>
  <c r="FA16" i="9"/>
  <c r="FA25" i="9" s="1"/>
  <c r="FB7" i="9"/>
  <c r="FB16" i="9" s="1"/>
  <c r="FB25" i="9" s="1"/>
  <c r="FA39" i="8"/>
  <c r="FB65" i="8"/>
  <c r="FB80" i="7"/>
  <c r="FB39" i="8" l="1"/>
  <c r="FB68" i="8" s="1"/>
  <c r="FB69" i="8" s="1"/>
  <c r="FA68" i="8"/>
  <c r="FA69" i="8" s="1"/>
  <c r="FA41" i="8"/>
  <c r="FA45" i="9"/>
  <c r="FA98" i="8"/>
  <c r="FA104" i="8" s="1"/>
  <c r="FC97" i="8" s="1"/>
  <c r="FA29" i="9"/>
  <c r="FA54" i="9"/>
  <c r="FB45" i="9"/>
  <c r="FB54" i="9"/>
  <c r="FA33" i="9" l="1"/>
  <c r="FA41" i="9" s="1"/>
  <c r="FA43" i="9" s="1"/>
  <c r="FA8" i="8" s="1"/>
  <c r="FB29" i="9"/>
  <c r="FB33" i="9" s="1"/>
  <c r="FB41" i="9" s="1"/>
  <c r="FB43" i="9" s="1"/>
  <c r="FA9" i="8"/>
  <c r="FA70" i="8"/>
  <c r="FC63" i="8"/>
  <c r="FB41" i="8"/>
  <c r="FA42" i="8"/>
  <c r="FB42" i="8" s="1"/>
  <c r="FB57" i="9"/>
  <c r="FB59" i="9" s="1"/>
  <c r="FB55" i="9"/>
  <c r="FB61" i="9"/>
  <c r="FB63" i="123" s="1"/>
  <c r="FA55" i="9"/>
  <c r="FA61" i="9"/>
  <c r="FA57" i="9"/>
  <c r="FA59" i="9" l="1"/>
  <c r="FB70" i="8"/>
  <c r="FG63" i="8"/>
  <c r="FB9" i="8"/>
  <c r="FB8" i="8"/>
  <c r="FA14" i="8"/>
  <c r="FC48" i="7"/>
  <c r="FC42" i="9" l="1"/>
  <c r="FG42" i="9"/>
  <c r="FG44" i="9" s="1"/>
  <c r="FC51" i="7"/>
  <c r="FA21" i="8"/>
  <c r="FB14" i="8"/>
  <c r="FC53" i="7" l="1"/>
  <c r="FB21" i="8"/>
  <c r="FA7" i="8"/>
  <c r="FC26" i="8" l="1"/>
  <c r="FC54" i="7"/>
  <c r="FC118" i="7" l="1"/>
  <c r="FC119" i="7"/>
  <c r="FC183" i="7"/>
  <c r="FC63" i="12" s="1"/>
  <c r="FC65" i="12" s="1"/>
  <c r="FC56" i="7"/>
  <c r="FC20" i="9"/>
  <c r="FC31" i="8"/>
  <c r="FC36" i="8" s="1"/>
  <c r="FC24" i="9" l="1"/>
  <c r="FC62" i="7"/>
  <c r="FC63" i="7" s="1"/>
  <c r="FC58" i="7"/>
  <c r="FC57" i="7"/>
  <c r="FC67" i="7"/>
  <c r="FC68" i="7" s="1"/>
  <c r="FC69" i="7" s="1"/>
  <c r="FC79" i="7"/>
  <c r="FC59" i="7" l="1"/>
  <c r="FC80" i="7"/>
  <c r="FC65" i="8"/>
  <c r="FC7" i="9"/>
  <c r="FC64" i="7"/>
  <c r="FC16" i="9" l="1"/>
  <c r="FC25" i="9" s="1"/>
  <c r="FC39" i="8"/>
  <c r="FC45" i="9" l="1"/>
  <c r="FC29" i="9"/>
  <c r="FC98" i="8"/>
  <c r="FC104" i="8" s="1"/>
  <c r="FD97" i="8" s="1"/>
  <c r="FC54" i="9"/>
  <c r="FC41" i="8"/>
  <c r="FC68" i="8"/>
  <c r="FC69" i="8" s="1"/>
  <c r="FC57" i="9" l="1"/>
  <c r="FC55" i="9"/>
  <c r="FC61" i="9"/>
  <c r="FC33" i="9"/>
  <c r="FC41" i="9" s="1"/>
  <c r="FC43" i="9" s="1"/>
  <c r="FC8" i="8" s="1"/>
  <c r="FC9" i="8"/>
  <c r="FC70" i="8"/>
  <c r="FD63" i="8"/>
  <c r="FC42" i="8"/>
  <c r="FD42" i="9" l="1"/>
  <c r="FC14" i="8"/>
  <c r="FC21" i="8" s="1"/>
  <c r="FC7" i="8" s="1"/>
  <c r="FD48" i="7"/>
  <c r="FC59" i="9"/>
  <c r="FD51" i="7" l="1"/>
  <c r="GH48" i="7"/>
  <c r="FD53" i="7" l="1"/>
  <c r="GH51" i="7"/>
  <c r="GH53" i="7" l="1"/>
  <c r="FD26" i="8"/>
  <c r="FD54" i="7"/>
  <c r="FD118" i="7" l="1"/>
  <c r="FD119" i="7"/>
  <c r="FD183" i="7"/>
  <c r="FD63" i="12" s="1"/>
  <c r="FD65" i="12" s="1"/>
  <c r="GH54" i="7"/>
  <c r="GH55" i="7" s="1"/>
  <c r="FD20" i="9"/>
  <c r="FD31" i="8"/>
  <c r="FD36" i="8" s="1"/>
  <c r="FD56" i="7"/>
  <c r="GH56" i="7" l="1"/>
  <c r="GH67" i="7" s="1"/>
  <c r="GH68" i="7" s="1"/>
  <c r="GH69" i="7" s="1"/>
  <c r="FD24" i="9"/>
  <c r="GI20" i="9"/>
  <c r="GI24" i="9" s="1"/>
  <c r="J38" i="141" s="1"/>
  <c r="FD57" i="7"/>
  <c r="FD67" i="7"/>
  <c r="FD68" i="7" s="1"/>
  <c r="FD69" i="7" s="1"/>
  <c r="FD58" i="7"/>
  <c r="FD62" i="7"/>
  <c r="FD63" i="7" s="1"/>
  <c r="FD79" i="7"/>
  <c r="J57" i="141"/>
  <c r="J34" i="141" s="1"/>
  <c r="GH57" i="7" l="1"/>
  <c r="GH79" i="7"/>
  <c r="GH80" i="7" s="1"/>
  <c r="GH58" i="7"/>
  <c r="GK60" i="7" s="1"/>
  <c r="FD59" i="7"/>
  <c r="FD64" i="7"/>
  <c r="K49" i="141"/>
  <c r="J49" i="141"/>
  <c r="J41" i="141"/>
  <c r="J52" i="141"/>
  <c r="K38" i="141"/>
  <c r="FD80" i="7"/>
  <c r="FD65" i="8"/>
  <c r="FD7" i="9"/>
  <c r="GH59" i="7" l="1"/>
  <c r="L38" i="141"/>
  <c r="K41" i="141"/>
  <c r="FD16" i="9"/>
  <c r="FD25" i="9" s="1"/>
  <c r="GI7" i="9"/>
  <c r="GI16" i="9" s="1"/>
  <c r="FD39" i="8"/>
  <c r="J53" i="141"/>
  <c r="J42" i="141"/>
  <c r="J58" i="141"/>
  <c r="FD45" i="9" l="1"/>
  <c r="FD29" i="9"/>
  <c r="FD98" i="8"/>
  <c r="FD104" i="8" s="1"/>
  <c r="FE97" i="8" s="1"/>
  <c r="FD54" i="9"/>
  <c r="FD68" i="8"/>
  <c r="FD69" i="8" s="1"/>
  <c r="FD41" i="8"/>
  <c r="K42" i="141"/>
  <c r="K53" i="141"/>
  <c r="K58" i="141"/>
  <c r="GI25" i="9"/>
  <c r="GI45" i="9"/>
  <c r="M38" i="141"/>
  <c r="L41" i="141"/>
  <c r="M41" i="141" l="1"/>
  <c r="N38" i="141"/>
  <c r="L42" i="141"/>
  <c r="L53" i="141"/>
  <c r="L58" i="141"/>
  <c r="FE63" i="8"/>
  <c r="FD70" i="8"/>
  <c r="FD42" i="8"/>
  <c r="FD57" i="9"/>
  <c r="FD61" i="9"/>
  <c r="FD55" i="9"/>
  <c r="GI54" i="9"/>
  <c r="FD33" i="9"/>
  <c r="FD41" i="9" s="1"/>
  <c r="FD43" i="9" s="1"/>
  <c r="FD8" i="8" s="1"/>
  <c r="GI29" i="9"/>
  <c r="GI33" i="9" s="1"/>
  <c r="GI41" i="9" s="1"/>
  <c r="FD9" i="8"/>
  <c r="FD14" i="8" l="1"/>
  <c r="FD21" i="8" s="1"/>
  <c r="FD7" i="8" s="1"/>
  <c r="FE42" i="9"/>
  <c r="FE48" i="7"/>
  <c r="FD59" i="9"/>
  <c r="GI57" i="9"/>
  <c r="N41" i="141"/>
  <c r="O38" i="141"/>
  <c r="M42" i="141"/>
  <c r="M53" i="141"/>
  <c r="M58" i="141"/>
  <c r="O41" i="141" l="1"/>
  <c r="P38" i="141"/>
  <c r="FE51" i="7"/>
  <c r="FE53" i="7" s="1"/>
  <c r="N58" i="141"/>
  <c r="N42" i="141"/>
  <c r="N53" i="141"/>
  <c r="FE54" i="7" l="1"/>
  <c r="FE56" i="7" s="1"/>
  <c r="FE26" i="8"/>
  <c r="P41" i="141"/>
  <c r="Q38" i="141"/>
  <c r="O58" i="141"/>
  <c r="O42" i="141"/>
  <c r="O53" i="141"/>
  <c r="P53" i="141" l="1"/>
  <c r="P42" i="141"/>
  <c r="P58" i="141"/>
  <c r="FE57" i="7"/>
  <c r="FE67" i="7"/>
  <c r="FE68" i="7" s="1"/>
  <c r="FE69" i="7" s="1"/>
  <c r="FE58" i="7"/>
  <c r="FE62" i="7"/>
  <c r="FE63" i="7" s="1"/>
  <c r="FE79" i="7"/>
  <c r="FE20" i="9"/>
  <c r="FE31" i="8"/>
  <c r="FE36" i="8" s="1"/>
  <c r="Q41" i="141"/>
  <c r="R38" i="141"/>
  <c r="R41" i="141" s="1"/>
  <c r="FE119" i="7"/>
  <c r="FE118" i="7"/>
  <c r="FE183" i="7"/>
  <c r="FE63" i="12" s="1"/>
  <c r="FE65" i="12" s="1"/>
  <c r="FE65" i="8" l="1"/>
  <c r="FE80" i="7"/>
  <c r="FE7" i="9"/>
  <c r="FE64" i="7"/>
  <c r="FE59" i="7"/>
  <c r="R42" i="141"/>
  <c r="G21" i="141"/>
  <c r="R58" i="141"/>
  <c r="R53" i="141"/>
  <c r="Q42" i="141"/>
  <c r="Q53" i="141"/>
  <c r="Q58" i="141"/>
  <c r="FE24" i="9"/>
  <c r="FE16" i="9" l="1"/>
  <c r="FE25" i="9" s="1"/>
  <c r="FE39" i="8"/>
  <c r="G20" i="141"/>
  <c r="G19" i="141" l="1"/>
  <c r="FE41" i="8"/>
  <c r="FE68" i="8"/>
  <c r="FE69" i="8" s="1"/>
  <c r="FE45" i="9"/>
  <c r="FE29" i="9"/>
  <c r="FE98" i="8"/>
  <c r="FE104" i="8" s="1"/>
  <c r="FF97" i="8" s="1"/>
  <c r="FE54" i="9"/>
  <c r="FE33" i="9" l="1"/>
  <c r="FE41" i="9" s="1"/>
  <c r="FE43" i="9" s="1"/>
  <c r="FE8" i="8" s="1"/>
  <c r="FE9" i="8"/>
  <c r="G24" i="141"/>
  <c r="H19" i="141" s="1"/>
  <c r="FE70" i="8"/>
  <c r="FF63" i="8"/>
  <c r="FE42" i="8"/>
  <c r="FE57" i="9"/>
  <c r="FE59" i="9" s="1"/>
  <c r="FE55" i="9"/>
  <c r="FE61" i="9"/>
  <c r="FF42" i="9" l="1"/>
  <c r="FE14" i="8"/>
  <c r="FE21" i="8" s="1"/>
  <c r="FE7" i="8" s="1"/>
  <c r="FF48" i="7"/>
  <c r="H23" i="141"/>
  <c r="H24" i="141"/>
  <c r="H22" i="141"/>
  <c r="G14" i="141"/>
  <c r="H21" i="141"/>
  <c r="H20" i="141"/>
  <c r="FF51" i="7" l="1"/>
  <c r="FF53" i="7" s="1"/>
  <c r="FG48" i="7"/>
  <c r="FG51" i="7" s="1"/>
  <c r="G16" i="141"/>
  <c r="G10" i="141"/>
  <c r="G11" i="141" s="1"/>
  <c r="FG53" i="7" l="1"/>
  <c r="FF54" i="7"/>
  <c r="FF26" i="8"/>
  <c r="FF183" i="7" l="1"/>
  <c r="FF63" i="12" s="1"/>
  <c r="FF65" i="12" s="1"/>
  <c r="FF118" i="7"/>
  <c r="FF119" i="7"/>
  <c r="FG54" i="7"/>
  <c r="FG26" i="8"/>
  <c r="FF20" i="9"/>
  <c r="FF31" i="8"/>
  <c r="FF56" i="7"/>
  <c r="FF57" i="7" l="1"/>
  <c r="FF62" i="7"/>
  <c r="FF63" i="7" s="1"/>
  <c r="FF58" i="7"/>
  <c r="FF67" i="7"/>
  <c r="FF68" i="7" s="1"/>
  <c r="FF69" i="7" s="1"/>
  <c r="FF79" i="7"/>
  <c r="FF36" i="8"/>
  <c r="FG31" i="8"/>
  <c r="FF24" i="9"/>
  <c r="FG20" i="9"/>
  <c r="FG24" i="9" s="1"/>
  <c r="FG118" i="7"/>
  <c r="FG119" i="7"/>
  <c r="FG183" i="7"/>
  <c r="FG55" i="7"/>
  <c r="FG56" i="7"/>
  <c r="FF59" i="7" l="1"/>
  <c r="FG36" i="8"/>
  <c r="FF64" i="7"/>
  <c r="FG61" i="7"/>
  <c r="FG62" i="7" s="1"/>
  <c r="FG63" i="7" s="1"/>
  <c r="FG66" i="7"/>
  <c r="FG120" i="7" s="1"/>
  <c r="FG57" i="7"/>
  <c r="FG58" i="7"/>
  <c r="FG79" i="7"/>
  <c r="FF65" i="8"/>
  <c r="FF80" i="7"/>
  <c r="FF7" i="9"/>
  <c r="FF16" i="9" l="1"/>
  <c r="FF25" i="9" s="1"/>
  <c r="FG7" i="9"/>
  <c r="FG16" i="9" s="1"/>
  <c r="FG25" i="9" s="1"/>
  <c r="FF39" i="8"/>
  <c r="FG59" i="7"/>
  <c r="FG64" i="7"/>
  <c r="FG65" i="8"/>
  <c r="FG80" i="7"/>
  <c r="FG67" i="7"/>
  <c r="FG68" i="7" s="1"/>
  <c r="FG69" i="7" s="1"/>
  <c r="FG39" i="8" l="1"/>
  <c r="FG68" i="8" s="1"/>
  <c r="FG69" i="8" s="1"/>
  <c r="FF68" i="8"/>
  <c r="FF69" i="8" s="1"/>
  <c r="FF41" i="8"/>
  <c r="FG45" i="9"/>
  <c r="FG54" i="9"/>
  <c r="FF45" i="9"/>
  <c r="FF98" i="8"/>
  <c r="FF104" i="8" s="1"/>
  <c r="FH97" i="8" s="1"/>
  <c r="FF54" i="9"/>
  <c r="FF29" i="9"/>
  <c r="FF70" i="8" l="1"/>
  <c r="FG41" i="8"/>
  <c r="FH63" i="8"/>
  <c r="FF42" i="8"/>
  <c r="FG42" i="8" s="1"/>
  <c r="FF33" i="9"/>
  <c r="FF41" i="9" s="1"/>
  <c r="FF43" i="9" s="1"/>
  <c r="FF8" i="8" s="1"/>
  <c r="FG29" i="9"/>
  <c r="FG33" i="9" s="1"/>
  <c r="FG41" i="9" s="1"/>
  <c r="FG43" i="9" s="1"/>
  <c r="FF9" i="8"/>
  <c r="FF61" i="9"/>
  <c r="FG61" i="9"/>
  <c r="FG63" i="123" s="1"/>
  <c r="FF55" i="9"/>
  <c r="FF57" i="9"/>
  <c r="FF59" i="9" s="1"/>
  <c r="FG55" i="9"/>
  <c r="FG57" i="9"/>
  <c r="FG59" i="9" s="1"/>
  <c r="FG8" i="8" l="1"/>
  <c r="FF14" i="8"/>
  <c r="FH48" i="7"/>
  <c r="FG70" i="8"/>
  <c r="FL63" i="8"/>
  <c r="FG9" i="8"/>
  <c r="FH51" i="7" l="1"/>
  <c r="FG14" i="8"/>
  <c r="FF21" i="8"/>
  <c r="FH42" i="9"/>
  <c r="FL42" i="9"/>
  <c r="FL44" i="9" s="1"/>
  <c r="FH53" i="7" l="1"/>
  <c r="FG21" i="8"/>
  <c r="FF7" i="8"/>
  <c r="FH26" i="8" l="1"/>
  <c r="FH54" i="7"/>
  <c r="FH56" i="7" s="1"/>
  <c r="FH67" i="7" l="1"/>
  <c r="FH68" i="7" s="1"/>
  <c r="FH69" i="7" s="1"/>
  <c r="FH57" i="7"/>
  <c r="FH58" i="7"/>
  <c r="FH62" i="7"/>
  <c r="FH63" i="7" s="1"/>
  <c r="FH79" i="7"/>
  <c r="FH119" i="7"/>
  <c r="FH183" i="7"/>
  <c r="FH63" i="12" s="1"/>
  <c r="FH65" i="12" s="1"/>
  <c r="FH118" i="7"/>
  <c r="FH20" i="9"/>
  <c r="FH31" i="8"/>
  <c r="FH36" i="8" s="1"/>
  <c r="FH59" i="7" l="1"/>
  <c r="FH64" i="7"/>
  <c r="FH24" i="9"/>
  <c r="FH80" i="7"/>
  <c r="FH65" i="8"/>
  <c r="FH7" i="9"/>
  <c r="FH16" i="9" l="1"/>
  <c r="FH25" i="9" s="1"/>
  <c r="FH39" i="8"/>
  <c r="FH68" i="8" l="1"/>
  <c r="FH69" i="8" s="1"/>
  <c r="FH41" i="8"/>
  <c r="FH54" i="9"/>
  <c r="FH45" i="9"/>
  <c r="FH29" i="9"/>
  <c r="FH98" i="8"/>
  <c r="FH104" i="8" s="1"/>
  <c r="FI97" i="8" s="1"/>
  <c r="FH55" i="9" l="1"/>
  <c r="FH57" i="9"/>
  <c r="FH59" i="9" s="1"/>
  <c r="FH61" i="9"/>
  <c r="FH33" i="9"/>
  <c r="FH41" i="9" s="1"/>
  <c r="FH43" i="9" s="1"/>
  <c r="FH8" i="8" s="1"/>
  <c r="FH9" i="8"/>
  <c r="FH70" i="8"/>
  <c r="FI63" i="8"/>
  <c r="FH42" i="8"/>
  <c r="FH14" i="8" l="1"/>
  <c r="FH21" i="8" s="1"/>
  <c r="FH7" i="8" s="1"/>
  <c r="FI42" i="9"/>
  <c r="FI48" i="7"/>
  <c r="FI51" i="7" l="1"/>
  <c r="GI48" i="7"/>
  <c r="FI53" i="7" l="1"/>
  <c r="GI51" i="7"/>
  <c r="GI53" i="7" s="1"/>
  <c r="FI54" i="7" l="1"/>
  <c r="FI56" i="7" s="1"/>
  <c r="FI26" i="8"/>
  <c r="FI20" i="9" l="1"/>
  <c r="FI31" i="8"/>
  <c r="FI36" i="8" s="1"/>
  <c r="FI67" i="7"/>
  <c r="FI68" i="7" s="1"/>
  <c r="FI69" i="7" s="1"/>
  <c r="FI62" i="7"/>
  <c r="FI63" i="7" s="1"/>
  <c r="FI57" i="7"/>
  <c r="FI58" i="7"/>
  <c r="FI79" i="7"/>
  <c r="FI183" i="7"/>
  <c r="FI63" i="12" s="1"/>
  <c r="FI65" i="12" s="1"/>
  <c r="FI119" i="7"/>
  <c r="FI118" i="7"/>
  <c r="GI54" i="7"/>
  <c r="FI64" i="7" l="1"/>
  <c r="FI65" i="8"/>
  <c r="FI80" i="7"/>
  <c r="FI7" i="9"/>
  <c r="GI55" i="7"/>
  <c r="GI56" i="7"/>
  <c r="FI59" i="7"/>
  <c r="FI24" i="9"/>
  <c r="GI58" i="7" l="1"/>
  <c r="GI59" i="7" s="1"/>
  <c r="GI57" i="7"/>
  <c r="GI79" i="7"/>
  <c r="GI80" i="7" s="1"/>
  <c r="GI67" i="7"/>
  <c r="GI68" i="7" s="1"/>
  <c r="GI69" i="7" s="1"/>
  <c r="FI16" i="9"/>
  <c r="FI25" i="9" s="1"/>
  <c r="FI39" i="8"/>
  <c r="FI68" i="8" l="1"/>
  <c r="FI69" i="8" s="1"/>
  <c r="FI41" i="8"/>
  <c r="FI98" i="8"/>
  <c r="FI104" i="8" s="1"/>
  <c r="FJ97" i="8" s="1"/>
  <c r="FI29" i="9"/>
  <c r="FI45" i="9"/>
  <c r="FI54" i="9"/>
  <c r="FI57" i="9" l="1"/>
  <c r="FI59" i="9" s="1"/>
  <c r="FI61" i="9"/>
  <c r="FI55" i="9"/>
  <c r="FI70" i="8"/>
  <c r="FJ63" i="8"/>
  <c r="FI42" i="8"/>
  <c r="FI33" i="9"/>
  <c r="FI41" i="9" s="1"/>
  <c r="FI43" i="9" s="1"/>
  <c r="FI8" i="8" s="1"/>
  <c r="FI9" i="8"/>
  <c r="FJ42" i="9" l="1"/>
  <c r="FI14" i="8"/>
  <c r="FI21" i="8" s="1"/>
  <c r="FI7" i="8" s="1"/>
  <c r="FJ48" i="7"/>
  <c r="FJ51" i="7" l="1"/>
  <c r="FJ53" i="7" s="1"/>
  <c r="FJ26" i="8" l="1"/>
  <c r="FJ54" i="7"/>
  <c r="FJ56" i="7" s="1"/>
  <c r="FJ67" i="7" l="1"/>
  <c r="FJ68" i="7" s="1"/>
  <c r="FJ69" i="7" s="1"/>
  <c r="FJ62" i="7"/>
  <c r="FJ63" i="7" s="1"/>
  <c r="FJ57" i="7"/>
  <c r="FJ58" i="7"/>
  <c r="FJ79" i="7"/>
  <c r="FJ118" i="7"/>
  <c r="FJ119" i="7"/>
  <c r="FJ183" i="7"/>
  <c r="FJ63" i="12" s="1"/>
  <c r="FJ65" i="12" s="1"/>
  <c r="FJ31" i="8"/>
  <c r="FJ36" i="8" s="1"/>
  <c r="FJ20" i="9"/>
  <c r="FJ59" i="7" l="1"/>
  <c r="FJ24" i="9"/>
  <c r="FJ64" i="7"/>
  <c r="FJ80" i="7"/>
  <c r="FJ65" i="8"/>
  <c r="FJ7" i="9"/>
  <c r="FJ16" i="9" l="1"/>
  <c r="FJ25" i="9" s="1"/>
  <c r="FJ39" i="8"/>
  <c r="FJ41" i="8" l="1"/>
  <c r="FJ68" i="8"/>
  <c r="FJ69" i="8" s="1"/>
  <c r="FJ29" i="9"/>
  <c r="FJ45" i="9"/>
  <c r="FJ54" i="9"/>
  <c r="FJ98" i="8"/>
  <c r="FJ104" i="8" s="1"/>
  <c r="FK97" i="8" s="1"/>
  <c r="FJ33" i="9" l="1"/>
  <c r="FJ41" i="9" s="1"/>
  <c r="FJ43" i="9" s="1"/>
  <c r="FJ8" i="8" s="1"/>
  <c r="FJ9" i="8"/>
  <c r="FJ55" i="9"/>
  <c r="FJ61" i="9"/>
  <c r="FJ57" i="9"/>
  <c r="FJ59" i="9" s="1"/>
  <c r="FK63" i="8"/>
  <c r="FJ70" i="8"/>
  <c r="FJ42" i="8"/>
  <c r="FJ14" i="8" l="1"/>
  <c r="FJ21" i="8" s="1"/>
  <c r="FJ7" i="8" s="1"/>
  <c r="FK42" i="9"/>
  <c r="FK48" i="7"/>
  <c r="FK51" i="7" l="1"/>
  <c r="FK53" i="7" s="1"/>
  <c r="FL48" i="7"/>
  <c r="FL51" i="7" s="1"/>
  <c r="FL53" i="7" s="1"/>
  <c r="FK26" i="8" l="1"/>
  <c r="FK54" i="7"/>
  <c r="FK56" i="7" s="1"/>
  <c r="FK57" i="7" l="1"/>
  <c r="FK67" i="7"/>
  <c r="FK68" i="7" s="1"/>
  <c r="FK69" i="7" s="1"/>
  <c r="FK62" i="7"/>
  <c r="FK63" i="7" s="1"/>
  <c r="FK58" i="7"/>
  <c r="FK79" i="7"/>
  <c r="FK119" i="7"/>
  <c r="FK118" i="7"/>
  <c r="FK183" i="7"/>
  <c r="FK63" i="12" s="1"/>
  <c r="FK65" i="12" s="1"/>
  <c r="FL54" i="7"/>
  <c r="FK20" i="9"/>
  <c r="FL26" i="8"/>
  <c r="FK31" i="8"/>
  <c r="FK59" i="7" l="1"/>
  <c r="FK64" i="7"/>
  <c r="FK24" i="9"/>
  <c r="FL20" i="9"/>
  <c r="FL24" i="9" s="1"/>
  <c r="FL31" i="8"/>
  <c r="FK36" i="8"/>
  <c r="FL118" i="7"/>
  <c r="FL183" i="7"/>
  <c r="FL119" i="7"/>
  <c r="FL55" i="7"/>
  <c r="FL56" i="7"/>
  <c r="FK80" i="7"/>
  <c r="FK65" i="8"/>
  <c r="FK7" i="9"/>
  <c r="FK16" i="9" l="1"/>
  <c r="FK25" i="9" s="1"/>
  <c r="FL7" i="9"/>
  <c r="FL16" i="9" s="1"/>
  <c r="FL25" i="9" s="1"/>
  <c r="FK39" i="8"/>
  <c r="FL36" i="8"/>
  <c r="FL61" i="7"/>
  <c r="FL62" i="7" s="1"/>
  <c r="FL63" i="7" s="1"/>
  <c r="FL66" i="7"/>
  <c r="FL120" i="7" s="1"/>
  <c r="FL57" i="7"/>
  <c r="FL79" i="7"/>
  <c r="FL58" i="7"/>
  <c r="FL64" i="7" l="1"/>
  <c r="FK68" i="8"/>
  <c r="FK69" i="8" s="1"/>
  <c r="FL39" i="8"/>
  <c r="FK41" i="8"/>
  <c r="FL80" i="7"/>
  <c r="FL65" i="8"/>
  <c r="FL45" i="9"/>
  <c r="FL54" i="9"/>
  <c r="FL67" i="7"/>
  <c r="FL68" i="7" s="1"/>
  <c r="FL69" i="7" s="1"/>
  <c r="FL59" i="7"/>
  <c r="FK54" i="9"/>
  <c r="FK29" i="9"/>
  <c r="FK98" i="8"/>
  <c r="FK104" i="8" s="1"/>
  <c r="FK45" i="9"/>
  <c r="FL68" i="8" l="1"/>
  <c r="FK33" i="9"/>
  <c r="FK41" i="9" s="1"/>
  <c r="FK43" i="9" s="1"/>
  <c r="FK8" i="8" s="1"/>
  <c r="FL29" i="9"/>
  <c r="FL33" i="9" s="1"/>
  <c r="FL41" i="9" s="1"/>
  <c r="FL43" i="9" s="1"/>
  <c r="FK9" i="8"/>
  <c r="FL9" i="8" s="1"/>
  <c r="FL69" i="8"/>
  <c r="FL61" i="9"/>
  <c r="FL63" i="123" s="1"/>
  <c r="FK61" i="9"/>
  <c r="FK55" i="9"/>
  <c r="FK57" i="9"/>
  <c r="FK59" i="9" s="1"/>
  <c r="FL55" i="9"/>
  <c r="FL57" i="9"/>
  <c r="FL59" i="9" s="1"/>
  <c r="FL41" i="8"/>
  <c r="FK70" i="8"/>
  <c r="FK42" i="8"/>
  <c r="FL42" i="8" s="1"/>
  <c r="FL70" i="8" l="1"/>
  <c r="FL8" i="8"/>
  <c r="FK14" i="8"/>
  <c r="FL14" i="8" l="1"/>
  <c r="FK21" i="8"/>
  <c r="FL21" i="8" l="1"/>
  <c r="FK7" i="8"/>
</calcChain>
</file>

<file path=xl/comments1.xml><?xml version="1.0" encoding="utf-8"?>
<comments xmlns="http://schemas.openxmlformats.org/spreadsheetml/2006/main">
  <authors>
    <author>Baer, Josh (Research)</author>
    <author>Gorham, Melissa (Research)</author>
    <author>swanjenn</author>
    <author>nitdok</author>
    <author>meligo</author>
    <author>briancho</author>
    <author>Nitin Doke</author>
  </authors>
  <commentList>
    <comment ref="EE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$326M Bundled Offerings for Non-GAAP</t>
        </r>
      </text>
    </comment>
    <comment ref="EB17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includes $1.931B for Nokia</t>
        </r>
      </text>
    </comment>
    <comment ref="DC24" authorId="2">
      <text>
        <r>
          <rPr>
            <b/>
            <sz val="8"/>
            <color indexed="81"/>
            <rFont val="Tahoma"/>
            <family val="2"/>
          </rPr>
          <t>swanjenn:</t>
        </r>
        <r>
          <rPr>
            <sz val="8"/>
            <color indexed="81"/>
            <rFont val="Tahoma"/>
            <family val="2"/>
          </rPr>
          <t xml:space="preserve">
Adds back $105M in capitalized R&amp;D</t>
        </r>
      </text>
    </comment>
    <comment ref="CN30" authorId="3">
      <text>
        <r>
          <rPr>
            <b/>
            <sz val="8"/>
            <color indexed="81"/>
            <rFont val="Tahoma"/>
            <family val="2"/>
          </rPr>
          <t>nitdok:</t>
        </r>
        <r>
          <rPr>
            <sz val="8"/>
            <color indexed="81"/>
            <rFont val="Tahoma"/>
            <family val="2"/>
          </rPr>
          <t xml:space="preserve">
$351M in legal charges excl from pro forma G&amp;A expenses</t>
        </r>
      </text>
    </comment>
    <comment ref="DC30" authorId="2">
      <text>
        <r>
          <rPr>
            <b/>
            <sz val="8"/>
            <color indexed="81"/>
            <rFont val="Tahoma"/>
            <family val="2"/>
          </rPr>
          <t>swanjenn:</t>
        </r>
        <r>
          <rPr>
            <sz val="8"/>
            <color indexed="81"/>
            <rFont val="Tahoma"/>
            <family val="2"/>
          </rPr>
          <t xml:space="preserve">
Excludes $40M restructuring and $193M legal fee</t>
        </r>
      </text>
    </comment>
    <comment ref="DV30" authorId="4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EU fine of $733M</t>
        </r>
      </text>
    </comment>
    <comment ref="CQ38" authorId="5">
      <text>
        <r>
          <rPr>
            <b/>
            <sz val="8"/>
            <color indexed="81"/>
            <rFont val="Tahoma"/>
            <family val="2"/>
          </rPr>
          <t>briancho:</t>
        </r>
        <r>
          <rPr>
            <sz val="8"/>
            <color indexed="81"/>
            <rFont val="Tahoma"/>
            <family val="2"/>
          </rPr>
          <t xml:space="preserve">
Reflects ~$1.5B of revenue deferrals that will be captured in FQ3</t>
        </r>
      </text>
    </comment>
    <comment ref="DB49" authorId="6">
      <text>
        <r>
          <rPr>
            <b/>
            <sz val="8"/>
            <color indexed="81"/>
            <rFont val="Tahoma"/>
            <family val="2"/>
          </rPr>
          <t>Nitin Doke:</t>
        </r>
        <r>
          <rPr>
            <sz val="8"/>
            <color indexed="81"/>
            <rFont val="Tahoma"/>
            <family val="2"/>
          </rPr>
          <t xml:space="preserve">
excl. $420M in asset impairment charge</t>
        </r>
      </text>
    </comment>
    <comment ref="DC49" authorId="2">
      <text>
        <r>
          <rPr>
            <b/>
            <sz val="8"/>
            <color indexed="81"/>
            <rFont val="Tahoma"/>
            <family val="2"/>
          </rPr>
          <t>swanjenn:</t>
        </r>
        <r>
          <rPr>
            <sz val="8"/>
            <color indexed="81"/>
            <rFont val="Tahoma"/>
            <family val="2"/>
          </rPr>
          <t xml:space="preserve">
Excludes $108M in asset impairment
</t>
        </r>
      </text>
    </comment>
    <comment ref="CZ50" authorId="3">
      <text>
        <r>
          <rPr>
            <b/>
            <sz val="8"/>
            <color indexed="81"/>
            <rFont val="Tahoma"/>
            <family val="2"/>
          </rPr>
          <t>nitdok:</t>
        </r>
        <r>
          <rPr>
            <sz val="8"/>
            <color indexed="81"/>
            <rFont val="Tahoma"/>
            <family val="2"/>
          </rPr>
          <t xml:space="preserve">
Started including fx gains/losses here startingQ108. Used to incl. in S&amp;M previously. </t>
        </r>
      </text>
    </comment>
    <comment ref="DB51" authorId="6">
      <text>
        <r>
          <rPr>
            <b/>
            <sz val="8"/>
            <color indexed="81"/>
            <rFont val="Tahoma"/>
            <family val="2"/>
          </rPr>
          <t>Nitin Doke:</t>
        </r>
        <r>
          <rPr>
            <sz val="8"/>
            <color indexed="81"/>
            <rFont val="Tahoma"/>
            <family val="2"/>
          </rPr>
          <t xml:space="preserve">
Excl. $420M in asset impairment charge</t>
        </r>
      </text>
    </comment>
    <comment ref="DC51" authorId="2">
      <text>
        <r>
          <rPr>
            <b/>
            <sz val="8"/>
            <color indexed="81"/>
            <rFont val="Tahoma"/>
            <family val="2"/>
          </rPr>
          <t>swanjenn:</t>
        </r>
        <r>
          <rPr>
            <sz val="8"/>
            <color indexed="81"/>
            <rFont val="Tahoma"/>
            <family val="2"/>
          </rPr>
          <t xml:space="preserve">
Excludes $108M in asset impairment
</t>
        </r>
      </text>
    </comment>
    <comment ref="EB55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$458M adjustment related to prior years' liabilities for intercompany transfer pricing</t>
        </r>
      </text>
    </comment>
    <comment ref="EM5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1Q16 Call: 19% to 21% for 2Q16 and FY16
2Q16 Call: 19% to 21% for 3Q16 and FY16
3Q16: 20-21%</t>
        </r>
      </text>
    </comment>
    <comment ref="EG7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$7.5B goodwill and asset impairment charges related to Phone Hardware.</t>
        </r>
      </text>
    </comment>
    <comment ref="A75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reflects windows deferral</t>
        </r>
      </text>
    </comment>
    <comment ref="ED77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restructuring and integration charges</t>
        </r>
      </text>
    </comment>
    <comment ref="EE77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restructuring + integration charges</t>
        </r>
      </text>
    </comment>
    <comment ref="EF77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restructuring + integration charges</t>
        </r>
      </text>
    </comment>
    <comment ref="EG7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$780M restructuring w/ phone hardware announced 7/15 and $160M integration and restructuring from previous plan
</t>
        </r>
      </text>
    </comment>
    <comment ref="EL7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Smartphone Hardware Restructuring Charge
</t>
        </r>
      </text>
    </comment>
    <comment ref="EQ7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Impairment / restructuring
</t>
        </r>
      </text>
    </comment>
    <comment ref="ET9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estimate. Not provided due to gaap loss from tax charge</t>
        </r>
      </text>
    </comment>
    <comment ref="CY96" authorId="3">
      <text>
        <r>
          <rPr>
            <b/>
            <sz val="8"/>
            <color indexed="81"/>
            <rFont val="Tahoma"/>
            <family val="2"/>
          </rPr>
          <t>nitdok:</t>
        </r>
        <r>
          <rPr>
            <sz val="8"/>
            <color indexed="81"/>
            <rFont val="Tahoma"/>
            <family val="2"/>
          </rPr>
          <t xml:space="preserve">
incl. legal charges. Or $24-24.4B excl. legal charges</t>
        </r>
      </text>
    </comment>
  </commentList>
</comments>
</file>

<file path=xl/comments2.xml><?xml version="1.0" encoding="utf-8"?>
<comments xmlns="http://schemas.openxmlformats.org/spreadsheetml/2006/main">
  <authors>
    <author>Baer, Josh (Research)</author>
    <author>Benjamin Dorr</author>
  </authors>
  <commentList>
    <comment ref="EF34" authorId="0">
      <text>
        <r>
          <rPr>
            <sz val="9"/>
            <color indexed="81"/>
            <rFont val="Tahoma"/>
            <family val="2"/>
          </rPr>
          <t xml:space="preserve">$10.75B Senior Unsecured Notes Priced February 9, 2015
</t>
        </r>
      </text>
    </comment>
    <comment ref="EJ34" authorId="0">
      <text>
        <r>
          <rPr>
            <sz val="9"/>
            <color indexed="81"/>
            <rFont val="Tahoma"/>
            <family val="2"/>
          </rPr>
          <t xml:space="preserve">$13B Senior Unsecured Notes, closed November 3rd, 2015
</t>
        </r>
      </text>
    </comment>
    <comment ref="EI3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Adjusted from 68093 to 67811 to reflect new accounting standards as of 3Q16</t>
        </r>
      </text>
    </comment>
    <comment ref="EJ3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Adjusted from 68279 to 67977 to reflect new accounting standards as of 3Q16</t>
        </r>
      </text>
    </comment>
    <comment ref="CF39" authorId="1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359 charge for Novell pro forma</t>
        </r>
      </text>
    </comment>
    <comment ref="EI3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Adjusted from 7614 to 7896 to reflect new accounting standards as of 3Q16</t>
        </r>
      </text>
    </comment>
    <comment ref="EJ3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Adjusted from 6728 to 7030 to reflect new accounting standards as of 3Q16</t>
        </r>
      </text>
    </comment>
    <comment ref="ET7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Not Actuals
</t>
        </r>
      </text>
    </comment>
    <comment ref="EU7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Not Actuals
</t>
        </r>
      </text>
    </comment>
  </commentList>
</comments>
</file>

<file path=xl/comments3.xml><?xml version="1.0" encoding="utf-8"?>
<comments xmlns="http://schemas.openxmlformats.org/spreadsheetml/2006/main">
  <authors>
    <author>Benjamin Dorr</author>
    <author>Baer, Josh (Research)</author>
  </authors>
  <commentList>
    <comment ref="BX8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Adjusted for stock comp
</t>
        </r>
      </text>
    </comment>
    <comment ref="BY8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Adjusted for stock comp
</t>
        </r>
      </text>
    </comment>
    <comment ref="BX10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Adjusted for stock comp
</t>
        </r>
      </text>
    </comment>
    <comment ref="BY10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Adjusted for stock comp
</t>
        </r>
      </text>
    </comment>
    <comment ref="BX11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Adjusted for stock comp
</t>
        </r>
      </text>
    </comment>
    <comment ref="BY11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Adjusted for stock comp
</t>
        </r>
      </text>
    </comment>
    <comment ref="ES22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plug so net change of unearned equals (1,806) as per CFS</t>
        </r>
      </text>
    </comment>
    <comment ref="ET22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plug so net change of unearned equals (1,065) as per CFS</t>
        </r>
      </text>
    </comment>
    <comment ref="EU22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plug so net change of unearned equals 91 as per CFS</t>
        </r>
      </text>
    </comment>
    <comment ref="ES23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ET23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EU23" authorId="1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CF30" authorId="0">
      <text>
        <r>
          <rPr>
            <b/>
            <sz val="8"/>
            <color indexed="81"/>
            <rFont val="Tahoma"/>
            <family val="2"/>
          </rPr>
          <t>Benjamin Dorr:</t>
        </r>
        <r>
          <rPr>
            <sz val="8"/>
            <color indexed="81"/>
            <rFont val="Tahoma"/>
            <family val="2"/>
          </rPr>
          <t xml:space="preserve">
Pro forma for Novell cash
</t>
        </r>
      </text>
    </comment>
  </commentList>
</comments>
</file>

<file path=xl/comments4.xml><?xml version="1.0" encoding="utf-8"?>
<comments xmlns="http://schemas.openxmlformats.org/spreadsheetml/2006/main">
  <authors>
    <author>Baer, Josh (Research)</author>
    <author>Gorham, Melissa (Research)</author>
    <author>meligo</author>
    <author>U726234</author>
    <author>Derek Wong</author>
    <author>Nitin Doke</author>
    <author>swanjenn</author>
  </authors>
  <commentList>
    <comment ref="BU1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-$437</t>
        </r>
      </text>
    </comment>
    <comment ref="BV1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-$439</t>
        </r>
      </text>
    </comment>
    <comment ref="BW1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-$339</t>
        </r>
      </text>
    </comment>
    <comment ref="BX1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-$249</t>
        </r>
      </text>
    </comment>
    <comment ref="BZ1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-$125</t>
        </r>
      </text>
    </comment>
    <comment ref="BV1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-369</t>
        </r>
      </text>
    </comment>
    <comment ref="BW1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-282
</t>
        </r>
      </text>
    </comment>
    <comment ref="BX1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-215
</t>
        </r>
      </text>
    </comment>
    <comment ref="BV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-404
</t>
        </r>
      </text>
    </comment>
    <comment ref="BW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-217
</t>
        </r>
      </text>
    </comment>
    <comment ref="BX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-133
</t>
        </r>
      </text>
    </comment>
    <comment ref="BQ3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Excludes $326M Bundled Offerings for Non-GAAP</t>
        </r>
      </text>
    </comment>
    <comment ref="BN107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includes $382M from the conclusion of the commercial agreement with Nokia</t>
        </r>
      </text>
    </comment>
    <comment ref="BG114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includes $380M in recognized deferrals</t>
        </r>
      </text>
    </comment>
    <comment ref="BN165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includes $0.17B for amortization of acquired intangible assets and the impact of decisions to rationalize portfolio, 11% gross margin ex the one times</t>
        </r>
      </text>
    </comment>
    <comment ref="BE199" authorId="2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Excludes the $6B write-down for Aquantive</t>
        </r>
      </text>
    </comment>
    <comment ref="A210" authorId="3">
      <text>
        <r>
          <rPr>
            <sz val="8"/>
            <color indexed="81"/>
            <rFont val="Tahoma"/>
            <family val="2"/>
          </rPr>
          <t>75% OEM
15% Annuity
10% License</t>
        </r>
      </text>
    </comment>
    <comment ref="O210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Professional, 58%</t>
        </r>
      </text>
    </comment>
    <comment ref="W210" authorId="5">
      <text>
        <r>
          <rPr>
            <sz val="8"/>
            <color indexed="81"/>
            <rFont val="Tahoma"/>
            <family val="2"/>
          </rPr>
          <t xml:space="preserve">
MSFT moved rev betw Client and ED&amp;D on 10.24.06</t>
        </r>
      </text>
    </comment>
    <comment ref="AB210" authorId="5">
      <text>
        <r>
          <rPr>
            <sz val="8"/>
            <color indexed="81"/>
            <rFont val="Tahoma"/>
            <family val="2"/>
          </rPr>
          <t xml:space="preserve">
-45M from tech guarantee</t>
        </r>
      </text>
    </comment>
    <comment ref="AC210" authorId="5">
      <text>
        <r>
          <rPr>
            <sz val="8"/>
            <color indexed="81"/>
            <rFont val="Tahoma"/>
            <family val="2"/>
          </rPr>
          <t xml:space="preserve">
-1.1B from tech guarantee</t>
        </r>
      </text>
    </comment>
    <comment ref="AD210" authorId="5">
      <text>
        <r>
          <rPr>
            <sz val="8"/>
            <color indexed="81"/>
            <rFont val="Tahoma"/>
            <family val="2"/>
          </rPr>
          <t xml:space="preserve">
+$1.2B from tech guarantee</t>
        </r>
      </text>
    </comment>
    <comment ref="N219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$307M of SOTP expense</t>
        </r>
      </text>
    </comment>
    <comment ref="O219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$700M in legal expenses.</t>
        </r>
      </text>
    </comment>
    <comment ref="AQ219" authorId="6">
      <text>
        <r>
          <rPr>
            <b/>
            <sz val="8"/>
            <color indexed="81"/>
            <rFont val="Tahoma"/>
            <family val="2"/>
          </rPr>
          <t>swanjenn:</t>
        </r>
        <r>
          <rPr>
            <sz val="8"/>
            <color indexed="81"/>
            <rFont val="Tahoma"/>
            <family val="2"/>
          </rPr>
          <t xml:space="preserve">
Excludes revenue deferral</t>
        </r>
      </text>
    </comment>
    <comment ref="BI219" authorId="2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$900 Surface Inventory write down</t>
        </r>
      </text>
    </comment>
    <comment ref="AC253" authorId="5">
      <text>
        <r>
          <rPr>
            <sz val="8"/>
            <color indexed="81"/>
            <rFont val="Tahoma"/>
            <family val="2"/>
          </rPr>
          <t xml:space="preserve">
-500M from tech guarantee</t>
        </r>
      </text>
    </comment>
    <comment ref="AD253" authorId="5">
      <text>
        <r>
          <rPr>
            <sz val="8"/>
            <color indexed="81"/>
            <rFont val="Tahoma"/>
            <family val="2"/>
          </rPr>
          <t xml:space="preserve">
+500M from tech guarantee</t>
        </r>
      </text>
    </comment>
    <comment ref="BF253" authorId="2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-$186M from tech guarantees</t>
        </r>
      </text>
    </comment>
    <comment ref="BG253" authorId="2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Includes $788M in deferrals from Office guarantee</t>
        </r>
      </text>
    </comment>
    <comment ref="W272" authorId="5">
      <text>
        <r>
          <rPr>
            <sz val="8"/>
            <color indexed="81"/>
            <rFont val="Tahoma"/>
            <family val="2"/>
          </rPr>
          <t xml:space="preserve">
MSFT moved rev betw Client and ED&amp;D on 10.24.06</t>
        </r>
      </text>
    </comment>
    <comment ref="BG272" authorId="2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includes $380M in deferrals</t>
        </r>
      </text>
    </comment>
    <comment ref="A313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We use MSFT's GAAP reported sector breakdown, ex-one time items i.e. litigation and SOTP.  However, we do not back out stock-comp expense as our IS does not back out stock-comp at op. level.  </t>
        </r>
      </text>
    </comment>
    <comment ref="K314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Numbers here and back do not take into account stock comp, whereas FY04 Q1 does and going forward.  </t>
        </r>
      </text>
    </comment>
    <comment ref="A315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75% OEM
15% Annuity
10% License</t>
        </r>
      </text>
    </comment>
    <comment ref="O315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Professional, 58%</t>
        </r>
      </text>
    </comment>
    <comment ref="N318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$307M of SOTP expense</t>
        </r>
      </text>
    </comment>
    <comment ref="O318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$700M in legal expenses.</t>
        </r>
      </text>
    </comment>
    <comment ref="A321" authorId="5">
      <text>
        <r>
          <rPr>
            <b/>
            <sz val="8"/>
            <color indexed="81"/>
            <rFont val="Tahoma"/>
            <family val="2"/>
          </rPr>
          <t>Nitin Doke:</t>
        </r>
        <r>
          <rPr>
            <sz val="8"/>
            <color indexed="81"/>
            <rFont val="Tahoma"/>
            <family val="2"/>
          </rPr>
          <t xml:space="preserve">
Assuming Exchange serv biz + CALs related to MBS products accounted for 16% of S&amp;T old rev. </t>
        </r>
      </text>
    </comment>
    <comment ref="A322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50% License
40% Annuity
10% OEM</t>
        </r>
      </text>
    </comment>
    <comment ref="Q322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$350 due to currency</t>
        </r>
      </text>
    </comment>
    <comment ref="N325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$651M of SOTP expense</t>
        </r>
      </text>
    </comment>
    <comment ref="O325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$1.22B in legal expense.</t>
        </r>
      </text>
    </comment>
    <comment ref="A328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40% Annuity
40% License
20% OEM</t>
        </r>
      </text>
    </comment>
    <comment ref="Q328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$485M due to currency</t>
        </r>
      </text>
    </comment>
    <comment ref="N331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$351M of SOTP expense</t>
        </r>
      </text>
    </comment>
    <comment ref="V334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SMS&amp;P reorg constitutes approx. $100M in revenue, no guidance given on approx. costs. </t>
        </r>
      </text>
    </comment>
    <comment ref="Q340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$1.197B approx in advertising, representing 43% YoY growth.
Internet Access FY04: $952M in rev, vs. 1$1.120B in FY03.  </t>
        </r>
      </text>
    </comment>
    <comment ref="N343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$144M of SOTP expense</t>
        </r>
      </text>
    </comment>
    <comment ref="N349" authorId="3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Excludes $58M of SOTP expense</t>
        </r>
      </text>
    </comment>
    <comment ref="Q352" authorId="4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Xbox rev. approx $1.744B increase of 9% YoY.</t>
        </r>
      </text>
    </comment>
    <comment ref="BT503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previously 33.2-33.6B</t>
        </r>
      </text>
    </comment>
    <comment ref="BY503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4Q15 Call: 32.1 to 32.4
1Q16: 31.9 to 32.1
2Q16: 31.4 to 31.6
</t>
        </r>
      </text>
    </comment>
    <comment ref="CD503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Q1: 31.1-31.4 ex-LNKD
Q2: 33.1-33.3</t>
        </r>
      </text>
    </comment>
    <comment ref="CD50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Q2: ~20%
Q3: 21% +/- 1%</t>
        </r>
      </text>
    </comment>
  </commentList>
</comments>
</file>

<file path=xl/comments5.xml><?xml version="1.0" encoding="utf-8"?>
<comments xmlns="http://schemas.openxmlformats.org/spreadsheetml/2006/main">
  <authors>
    <author>Baer, Josh (Research)</author>
  </authors>
  <commentList>
    <comment ref="BE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+10% / 10% cc</t>
        </r>
      </text>
    </comment>
    <comment ref="BF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+10% / 10% cc</t>
        </r>
      </text>
    </comment>
    <comment ref="BG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14% / 12% cc</t>
        </r>
      </text>
    </comment>
    <comment ref="BE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-17%/-17%cc</t>
        </r>
      </text>
    </comment>
    <comment ref="BF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-16% reported and cc
</t>
        </r>
      </text>
    </comment>
    <comment ref="BG64" authorId="0">
      <text>
        <r>
          <rPr>
            <b/>
            <sz val="9"/>
            <color indexed="81"/>
            <rFont val="Tahoma"/>
            <charset val="1"/>
          </rPr>
          <t>Baer, Josh (Research):</t>
        </r>
        <r>
          <rPr>
            <sz val="9"/>
            <color indexed="81"/>
            <rFont val="Tahoma"/>
            <charset val="1"/>
          </rPr>
          <t xml:space="preserve">
-15% / -16% cc</t>
        </r>
      </text>
    </comment>
    <comment ref="AU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nearly 70% cc</t>
        </r>
      </text>
    </comment>
    <comment ref="AV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nearly 70% cc</t>
        </r>
      </text>
    </comment>
    <comment ref="AW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+63% cc</t>
        </r>
      </text>
    </comment>
    <comment ref="AX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O365 commercial: 54% reported, 59% cc
dynamics products and cloud: 6% reported 7% cc</t>
        </r>
      </text>
    </comment>
    <comment ref="AZ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+51% / +54%cc</t>
        </r>
      </text>
    </comment>
    <comment ref="BA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+47% / +49% cc</t>
        </r>
      </text>
    </comment>
    <comment ref="BB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O365 +45% / +45% cc
Dynamics +81% / +82%cc</t>
        </r>
      </text>
    </comment>
    <comment ref="BC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O365 +43%, +44% cc
Dynamics 365 +74%, +75% cc</t>
        </r>
      </text>
    </comment>
    <comment ref="BF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+41% reported and cc
</t>
        </r>
      </text>
    </comment>
    <comment ref="BG67" authorId="0">
      <text>
        <r>
          <rPr>
            <b/>
            <sz val="9"/>
            <color indexed="81"/>
            <rFont val="Tahoma"/>
            <charset val="1"/>
          </rPr>
          <t>Baer, Josh (Research):</t>
        </r>
        <r>
          <rPr>
            <sz val="9"/>
            <color indexed="81"/>
            <rFont val="Tahoma"/>
            <charset val="1"/>
          </rPr>
          <t xml:space="preserve">
42% / 40% in cc</t>
        </r>
      </text>
    </comment>
    <comment ref="BF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+10% / +9% cc</t>
        </r>
      </text>
    </comment>
    <comment ref="BG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17% / 14% cc</t>
        </r>
      </text>
    </comment>
    <comment ref="BF7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+67% reported, +68% cc</t>
        </r>
      </text>
    </comment>
    <comment ref="BG76" authorId="0">
      <text>
        <r>
          <rPr>
            <b/>
            <sz val="9"/>
            <color indexed="81"/>
            <rFont val="Tahoma"/>
            <charset val="1"/>
          </rPr>
          <t>Baer, Josh (Research):</t>
        </r>
        <r>
          <rPr>
            <sz val="9"/>
            <color indexed="81"/>
            <rFont val="Tahoma"/>
            <charset val="1"/>
          </rPr>
          <t xml:space="preserve">
+65% / +62% cc</t>
        </r>
      </text>
    </comment>
    <comment ref="BB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18%/20%cc</t>
        </r>
      </text>
    </comment>
    <comment ref="BC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12%/13%cc</t>
        </r>
      </text>
    </comment>
    <comment ref="BE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17%/17%cc</t>
        </r>
      </text>
    </comment>
    <comment ref="BF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18%/18%cc</t>
        </r>
      </text>
    </comment>
    <comment ref="BG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+20% / +17%cc</t>
        </r>
      </text>
    </comment>
    <comment ref="AZ9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Math from 10Q Disclosures
</t>
        </r>
      </text>
    </comment>
    <comment ref="BA9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Math from 10Q Disclosures
</t>
        </r>
      </text>
    </comment>
    <comment ref="BB9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Math from 10Q Disclosures
</t>
        </r>
      </text>
    </comment>
    <comment ref="AZ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+5% cc</t>
        </r>
      </text>
    </comment>
    <comment ref="BA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+6% cc</t>
        </r>
      </text>
    </comment>
    <comment ref="BB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+11%cc</t>
        </r>
      </text>
    </comment>
    <comment ref="BC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+3%cc</t>
        </r>
      </text>
    </comment>
    <comment ref="BE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2% / 2% cc</t>
        </r>
      </text>
    </comment>
    <comment ref="BF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+4% / +3% cc</t>
        </r>
      </text>
    </comment>
    <comment ref="BG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 / +1% cc</t>
        </r>
      </text>
    </comment>
    <comment ref="AQ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10% / 12% cc</t>
        </r>
      </text>
    </comment>
    <comment ref="AR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7% / +13% cc</t>
        </r>
      </text>
    </comment>
    <comment ref="AS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-1% / +5% cc</t>
        </r>
      </text>
    </comment>
    <comment ref="AU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9% / 16% cc</t>
        </r>
      </text>
    </comment>
    <comment ref="AV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10% / 16% cc</t>
        </r>
      </text>
    </comment>
    <comment ref="AW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11% / 15% cc</t>
        </r>
      </text>
    </comment>
    <comment ref="AX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12% / 14% cc</t>
        </r>
      </text>
    </comment>
    <comment ref="AZ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1% / 2% cc</t>
        </r>
      </text>
    </comment>
    <comment ref="BA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-4% / -2% cc</t>
        </r>
      </text>
    </comment>
    <comment ref="BB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-1% / 0% cc
</t>
        </r>
      </text>
    </comment>
    <comment ref="BC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-3% / -1% cc
</t>
        </r>
      </text>
    </comment>
    <comment ref="BE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1% / 0% cc</t>
        </r>
      </text>
    </comment>
    <comment ref="BF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5% / 3% cc</t>
        </r>
      </text>
    </comment>
    <comment ref="BG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8%/5%cc</t>
        </r>
      </text>
    </comment>
    <comment ref="AZ9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Math from 10Q Disclosures
</t>
        </r>
      </text>
    </comment>
    <comment ref="BA9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Math from 10Q Disclosures
</t>
        </r>
      </text>
    </comment>
    <comment ref="BB9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Math from 10Q Disclosures
</t>
        </r>
      </text>
    </comment>
    <comment ref="AR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+100% cc</t>
        </r>
      </text>
    </comment>
    <comment ref="AS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~133% cc</t>
        </r>
      </text>
    </comment>
    <comment ref="AU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135% cc</t>
        </r>
      </text>
    </comment>
    <comment ref="AV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140% cc</t>
        </r>
      </text>
    </comment>
    <comment ref="AW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+120% cc</t>
        </r>
      </text>
    </comment>
    <comment ref="AX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+108% cc</t>
        </r>
      </text>
    </comment>
    <comment ref="AZ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116% / 121%cc</t>
        </r>
      </text>
    </comment>
    <comment ref="BA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93% / 95% cc</t>
        </r>
      </text>
    </comment>
    <comment ref="BB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93% / 94% cc</t>
        </r>
      </text>
    </comment>
    <comment ref="BC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97% / 98% cc</t>
        </r>
      </text>
    </comment>
    <comment ref="BE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+90% / +89% cc</t>
        </r>
      </text>
    </comment>
    <comment ref="BF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+98% / 98% cc</t>
        </r>
      </text>
    </comment>
    <comment ref="BG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93%/89% cc</t>
        </r>
      </text>
    </comment>
    <comment ref="BF11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-4% / -5% cc</t>
        </r>
      </text>
    </comment>
    <comment ref="BG11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+21%/+17%cc</t>
        </r>
      </text>
    </comment>
    <comment ref="AZ12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BA12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BB12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BE12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BF12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BG12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</t>
        </r>
      </text>
    </comment>
    <comment ref="BE15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56% / 55% cc</t>
        </r>
      </text>
    </comment>
    <comment ref="BF15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56% / 56% cc</t>
        </r>
      </text>
    </comment>
    <comment ref="BG15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58% / 55% cc</t>
        </r>
      </text>
    </comment>
    <comment ref="BF18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+14% / 13% cc</t>
        </r>
      </text>
    </comment>
    <comment ref="BF19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8% / 8% cc</t>
        </r>
      </text>
    </comment>
  </commentList>
</comments>
</file>

<file path=xl/comments6.xml><?xml version="1.0" encoding="utf-8"?>
<comments xmlns="http://schemas.openxmlformats.org/spreadsheetml/2006/main">
  <authors>
    <author>Baer, Josh (Research)</author>
    <author>Gorham, Melissa (Research)</author>
  </authors>
  <commentList>
    <comment ref="AU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V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W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X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Y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Z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A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B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C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D1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U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V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W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X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Y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Z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A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B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C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D2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U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V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W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X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Y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Z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A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B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C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BD4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Old Accounting</t>
        </r>
      </text>
    </comment>
    <comment ref="AP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7%</t>
        </r>
      </text>
    </comment>
    <comment ref="AQ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-12%</t>
        </r>
      </text>
    </comment>
    <comment ref="AR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-29%</t>
        </r>
      </text>
    </comment>
    <comment ref="AS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V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-14%</t>
        </r>
      </text>
    </comment>
    <comment ref="AW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 reported, +6% cc</t>
        </r>
      </text>
    </comment>
    <comment ref="AX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19%</t>
        </r>
      </text>
    </comment>
    <comment ref="AZ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+8% / +8%cc</t>
        </r>
      </text>
    </comment>
    <comment ref="BA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+22% / +21% cc</t>
        </r>
      </text>
    </comment>
    <comment ref="BB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+15% / +14% cc</t>
        </r>
      </text>
    </comment>
    <comment ref="BC5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+13%
</t>
        </r>
      </text>
    </comment>
    <comment ref="AK57" authorId="0">
      <text>
        <r>
          <rPr>
            <b/>
            <sz val="9"/>
            <color indexed="81"/>
            <rFont val="Tahoma"/>
            <family val="2"/>
          </rPr>
          <t>Down 23% YoY</t>
        </r>
      </text>
    </comment>
    <comment ref="AL57" authorId="0">
      <text>
        <r>
          <rPr>
            <b/>
            <sz val="9"/>
            <color indexed="81"/>
            <rFont val="Tahoma"/>
            <family val="2"/>
          </rPr>
          <t>Down 24% YoY</t>
        </r>
      </text>
    </comment>
    <comment ref="AM57" authorId="0">
      <text>
        <r>
          <rPr>
            <b/>
            <sz val="9"/>
            <color indexed="81"/>
            <rFont val="Tahoma"/>
            <family val="2"/>
          </rPr>
          <t>Up 15% YoY</t>
        </r>
      </text>
    </comment>
    <comment ref="AN57" authorId="0">
      <text>
        <r>
          <rPr>
            <b/>
            <sz val="9"/>
            <color indexed="81"/>
            <rFont val="Tahoma"/>
            <family val="2"/>
          </rPr>
          <t>Up 21% YoY</t>
        </r>
      </text>
    </comment>
    <comment ref="AQ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-1% / 0% cc</t>
        </r>
      </text>
    </comment>
    <comment ref="AR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-2% / 1% cc</t>
        </r>
      </text>
    </comment>
    <comment ref="AS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-4% / 1% cc</t>
        </r>
      </text>
    </comment>
    <comment ref="AU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-2% / 5% cc</t>
        </r>
      </text>
    </comment>
    <comment ref="AV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-1% / +5% cc</t>
        </r>
      </text>
    </comment>
    <comment ref="AW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+0% reported / +7% cc</t>
        </r>
      </text>
    </comment>
    <comment ref="AX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5% reported / 9% cc</t>
        </r>
      </text>
    </comment>
    <comment ref="AY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+1% </t>
        </r>
      </text>
    </comment>
    <comment ref="AZ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+5% / +8% cc</t>
        </r>
      </text>
    </comment>
    <comment ref="BA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+5% / +7% cc</t>
        </r>
      </text>
    </comment>
    <comment ref="BB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Office: +7% / +8% cc
Dynamics: +10% / +11% cc</t>
        </r>
      </text>
    </comment>
    <comment ref="BC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+5% /  +6% cc</t>
        </r>
      </text>
    </comment>
    <comment ref="BD6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+7% New Acct Std, +6% old</t>
        </r>
      </text>
    </comment>
    <comment ref="BC63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For the first time, O365 commercial revenue surpassed revenue from traditional licensing business
</t>
        </r>
      </text>
    </comment>
    <comment ref="AQ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-13%</t>
        </r>
      </text>
    </comment>
    <comment ref="AR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-13% cc, 16% reported
</t>
        </r>
      </text>
    </comment>
    <comment ref="AS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-13% cc, 18% reported
</t>
        </r>
      </text>
    </comment>
    <comment ref="AU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-8%cc</t>
        </r>
      </text>
    </comment>
    <comment ref="AV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-8%cc</t>
        </r>
      </text>
    </comment>
    <comment ref="AW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-11% cc</t>
        </r>
      </text>
    </comment>
    <comment ref="AX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Office Commercial: -12% reported, -9% cc
</t>
        </r>
      </text>
    </comment>
    <comment ref="AZ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-14% / -13%cc</t>
        </r>
      </text>
    </comment>
    <comment ref="BA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-13% / -12% cc</t>
        </r>
      </text>
    </comment>
    <comment ref="BB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Office: -13% / -13% cc
Dynamics likely down more than 15% given Dynamics 365 grew 81%</t>
        </r>
      </text>
    </comment>
    <comment ref="BC6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-17%, -16% cc</t>
        </r>
      </text>
    </comment>
    <comment ref="BC6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For the first time, O365 commercial revenue surpassed revenue from traditional licensing business
</t>
        </r>
      </text>
    </comment>
    <comment ref="AR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~113% cc</t>
        </r>
      </text>
    </comment>
    <comment ref="AS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~86% cc / 78% reported</t>
        </r>
      </text>
    </comment>
    <comment ref="AU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nearly 70% cc</t>
        </r>
      </text>
    </comment>
    <comment ref="AV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nearly 70% cc</t>
        </r>
      </text>
    </comment>
    <comment ref="AW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+63% cc</t>
        </r>
      </text>
    </comment>
    <comment ref="AX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O365 commercial: 54% reported, 59% cc
dynamics products and cloud: 6% reported 7% cc</t>
        </r>
      </text>
    </comment>
    <comment ref="AZ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+51% / +54%cc</t>
        </r>
      </text>
    </comment>
    <comment ref="BA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+47% / +49% cc</t>
        </r>
      </text>
    </comment>
    <comment ref="BB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O365 +45% / +45% cc
Dynamics +81% / +82%cc</t>
        </r>
      </text>
    </comment>
    <comment ref="BC67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O365 +43%, +44% cc
Dynamics 365 +74%, +75% cc</t>
        </r>
      </text>
    </comment>
    <comment ref="AP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15%</t>
        </r>
      </text>
    </comment>
    <comment ref="AQ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13% / 17% cc</t>
        </r>
      </text>
    </comment>
    <comment ref="AR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13% / 20% cc</t>
        </r>
      </text>
    </comment>
    <comment ref="AS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6% / 15% cc</t>
        </r>
      </text>
    </comment>
    <comment ref="AU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 / +12% cc</t>
        </r>
      </text>
    </comment>
    <comment ref="AV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 / +11% cc</t>
        </r>
      </text>
    </comment>
    <comment ref="AW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+4% / +9% cc</t>
        </r>
      </text>
    </comment>
    <comment ref="AX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+6% / +7% cc</t>
        </r>
      </text>
    </comment>
    <comment ref="AY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4%</t>
        </r>
      </text>
    </comment>
    <comment ref="AZ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+11% / +13% cc</t>
        </r>
      </text>
    </comment>
    <comment ref="BA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+7% / +9% cc</t>
        </r>
      </text>
    </comment>
    <comment ref="BB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+10% / +11% cc</t>
        </r>
      </text>
    </comment>
    <comment ref="BC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+7% / +9% cc</t>
        </r>
      </text>
    </comment>
    <comment ref="BD7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9%</t>
        </r>
      </text>
    </comment>
    <comment ref="AY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4%
</t>
        </r>
      </text>
    </comment>
    <comment ref="AZ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+11% / +13 cc</t>
        </r>
      </text>
    </comment>
    <comment ref="BA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+12% / +14% cc</t>
        </r>
      </text>
    </comment>
    <comment ref="BB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+15% / +16%cc</t>
        </r>
      </text>
    </comment>
    <comment ref="BC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+15% / +16%cc</t>
        </r>
      </text>
    </comment>
    <comment ref="BD89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13%
</t>
        </r>
      </text>
    </comment>
    <comment ref="AV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+5% cc</t>
        </r>
      </text>
    </comment>
    <comment ref="AX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 cc</t>
        </r>
      </text>
    </comment>
    <comment ref="AZ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+2% / +4%cc</t>
        </r>
      </text>
    </comment>
    <comment ref="BA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+5% / +7% cc</t>
        </r>
      </text>
    </comment>
    <comment ref="BB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+6% / +7% cc</t>
        </r>
      </text>
    </comment>
    <comment ref="BC9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+4%, +5%cc</t>
        </r>
      </text>
    </comment>
    <comment ref="AY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11%</t>
        </r>
      </text>
    </comment>
    <comment ref="BA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-4% / -2%cc</t>
        </r>
      </text>
    </comment>
    <comment ref="BB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-1% / flat cc</t>
        </r>
      </text>
    </comment>
    <comment ref="BC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-3%, -1% cc</t>
        </r>
      </text>
    </comment>
    <comment ref="BD95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-2%</t>
        </r>
      </text>
    </comment>
    <comment ref="AR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+100% cc</t>
        </r>
      </text>
    </comment>
    <comment ref="AS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~133% cc</t>
        </r>
      </text>
    </comment>
    <comment ref="AU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135% cc</t>
        </r>
      </text>
    </comment>
    <comment ref="AV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140% cc</t>
        </r>
      </text>
    </comment>
    <comment ref="AW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+120% cc</t>
        </r>
      </text>
    </comment>
    <comment ref="AX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+108% cc</t>
        </r>
      </text>
    </comment>
    <comment ref="AZ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+116% / +121%cc</t>
        </r>
      </text>
    </comment>
    <comment ref="BA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+93%/ +95%cc</t>
        </r>
      </text>
    </comment>
    <comment ref="BB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+93% / +94% cc</t>
        </r>
      </text>
    </comment>
    <comment ref="BC98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+97%, +98% cc</t>
        </r>
      </text>
    </comment>
    <comment ref="BB122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Phone revenue decline $730M, no material phone rev in quarter</t>
        </r>
      </text>
    </comment>
    <comment ref="BA1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+10% / +11%cc</t>
        </r>
      </text>
    </comment>
    <comment ref="BB1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+8% / +9% cc</t>
        </r>
      </text>
    </comment>
    <comment ref="BC1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+10% / +11% cc</t>
        </r>
      </text>
    </comment>
    <comment ref="AU15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Almost 70% yoy growth, but &gt;8.2B rev. run rate</t>
        </r>
      </text>
    </comment>
    <comment ref="AV150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up over 70% yoy growth, &gt;9.4B rev. run rate</t>
        </r>
      </text>
    </comment>
    <comment ref="AU15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Almost 70% yoy growth, but &gt;8.2B rev. run rate</t>
        </r>
      </text>
    </comment>
    <comment ref="AV15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up over 70% yoy growth, &gt;9.4B rev. run rate</t>
        </r>
      </text>
    </comment>
    <comment ref="BB19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+4% / +6%cc</t>
        </r>
      </text>
    </comment>
    <comment ref="BC194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+3%, +4%cc</t>
        </r>
      </text>
    </comment>
    <comment ref="AP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AQ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AR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AS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AU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AV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AW221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10Q/10K
</t>
        </r>
      </text>
    </comment>
    <comment ref="BA226" authorId="0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Down 81%</t>
        </r>
      </text>
    </comment>
    <comment ref="AJ295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Office consumer revenue (13%) YoY or $580M</t>
        </r>
      </text>
    </comment>
    <comment ref="AJ296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Windows Phone licensing increased $1.2B YoY</t>
        </r>
      </text>
    </comment>
    <comment ref="AN296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includes $382M in revenue from the conclusion of the Nokia agreement</t>
        </r>
      </text>
    </comment>
  </commentList>
</comments>
</file>

<file path=xl/comments7.xml><?xml version="1.0" encoding="utf-8"?>
<comments xmlns="http://schemas.openxmlformats.org/spreadsheetml/2006/main">
  <authors>
    <author>Lowe, Jennifer Swanson (Research)</author>
    <author>Gorham, Melissa (Research)</author>
    <author>Baer, Josh (Research)</author>
  </authors>
  <commentList>
    <comment ref="AP39" authorId="0">
      <text>
        <r>
          <rPr>
            <b/>
            <sz val="8"/>
            <color indexed="81"/>
            <rFont val="Tahoma"/>
            <family val="2"/>
          </rPr>
          <t>Lowe, Jennifer Swanson (Research):</t>
        </r>
        <r>
          <rPr>
            <sz val="8"/>
            <color indexed="81"/>
            <rFont val="Tahoma"/>
            <family val="2"/>
          </rPr>
          <t xml:space="preserve">
Up 19%</t>
        </r>
      </text>
    </comment>
    <comment ref="AQ39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up 11%</t>
        </r>
      </text>
    </comment>
    <comment ref="AR39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4% decline</t>
        </r>
      </text>
    </comment>
    <comment ref="AS39" authorId="2">
      <text>
        <r>
          <rPr>
            <b/>
            <sz val="9"/>
            <color indexed="81"/>
            <rFont val="Tahoma"/>
            <family val="2"/>
          </rPr>
          <t>13% decline</t>
        </r>
      </text>
    </comment>
    <comment ref="AT39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19% decline</t>
        </r>
      </text>
    </comment>
    <comment ref="AU39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-21%</t>
        </r>
      </text>
    </comment>
    <comment ref="AO41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down 20% YoY</t>
        </r>
      </text>
    </comment>
    <comment ref="AP41" authorId="0">
      <text>
        <r>
          <rPr>
            <b/>
            <sz val="8"/>
            <color indexed="81"/>
            <rFont val="Tahoma"/>
            <family val="2"/>
          </rPr>
          <t>Lowe, Jennifer Swanson (Research):</t>
        </r>
        <r>
          <rPr>
            <sz val="8"/>
            <color indexed="81"/>
            <rFont val="Tahoma"/>
            <family val="2"/>
          </rPr>
          <t xml:space="preserve">
Down -15%</t>
        </r>
      </text>
    </comment>
    <comment ref="AQ41" authorId="1">
      <text>
        <r>
          <rPr>
            <b/>
            <sz val="9"/>
            <color indexed="81"/>
            <rFont val="Tahoma"/>
            <family val="2"/>
          </rPr>
          <t>Gorham, Melissa (Research):down 9%</t>
        </r>
      </text>
    </comment>
    <comment ref="AR41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1% decline</t>
        </r>
      </text>
    </comment>
    <comment ref="AS41" authorId="2">
      <text>
        <r>
          <rPr>
            <b/>
            <sz val="9"/>
            <color indexed="81"/>
            <rFont val="Tahoma"/>
            <family val="2"/>
          </rPr>
          <t>13% decline</t>
        </r>
      </text>
    </comment>
    <comment ref="AT41" authorId="1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26% decline</t>
        </r>
      </text>
    </comment>
    <comment ref="AU4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-27%</t>
        </r>
      </text>
    </comment>
    <comment ref="BF4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-1%</t>
        </r>
      </text>
    </comment>
    <comment ref="AV1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-6%</t>
        </r>
      </text>
    </comment>
  </commentList>
</comments>
</file>

<file path=xl/comments8.xml><?xml version="1.0" encoding="utf-8"?>
<comments xmlns="http://schemas.openxmlformats.org/spreadsheetml/2006/main">
  <authors>
    <author>U726234</author>
    <author>Derek Wong</author>
    <author>Baer, Josh (Research)</author>
    <author>meligo</author>
    <author>Gorham, Melissa (Research)</author>
  </authors>
  <commentList>
    <comment ref="CB26" authorId="0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$2.56B rec in Q304, $1.94B in Q404, $1.08B in Q105, and $.647B in Q205 and $1.62B thereafter</t>
        </r>
      </text>
    </comment>
    <comment ref="CJ26" authorId="1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Includes reduction of $300M of unearned due to reduction of product deferral rates in Undelivered Elements.</t>
        </r>
      </text>
    </comment>
    <comment ref="EI2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1Q16 Call: Assume total yoy cc growth = commercial unearned revenue cc growth of 10%</t>
        </r>
      </text>
    </comment>
    <comment ref="CB36" authorId="0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$2.56B rec in Q304, $1.94B in Q404, $1.08B in Q105, and $.647B in Q205 and $1.62B thereafter</t>
        </r>
      </text>
    </comment>
    <comment ref="CJ36" authorId="1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Includes reduction of $300M of unearned due to reduction of product deferral rates in Undelivered Elements.</t>
        </r>
      </text>
    </comment>
    <comment ref="EG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&gt;$24.5B</t>
        </r>
      </text>
    </comment>
    <comment ref="EI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&gt;23,500
</t>
        </r>
      </text>
    </comment>
    <comment ref="EJ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&gt;25,500
</t>
        </r>
      </text>
    </comment>
    <comment ref="EK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&gt;25,000
</t>
        </r>
      </text>
    </comment>
    <comment ref="EL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&gt;25,500
</t>
        </r>
      </text>
    </comment>
    <comment ref="EN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&gt;25,500
</t>
        </r>
      </text>
    </comment>
    <comment ref="EO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&gt;28,000
</t>
        </r>
      </text>
    </comment>
    <comment ref="EP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&gt;27,500
</t>
        </r>
      </text>
    </comment>
    <comment ref="EQ68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&gt;31,500
</t>
        </r>
      </text>
    </comment>
    <comment ref="A69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MS estimates based on bookings approximation and est. of bookings growth</t>
        </r>
      </text>
    </comment>
    <comment ref="DA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should be -10% YoY growth</t>
        </r>
      </text>
    </comment>
    <comment ref="DL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mgmt's commentary was 8% growth</t>
        </r>
      </text>
    </comment>
    <comment ref="DM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mgmt's commentary was 17% growth</t>
        </r>
      </text>
    </comment>
    <comment ref="DO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flat growth</t>
        </r>
      </text>
    </comment>
    <comment ref="DP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3% growth</t>
        </r>
      </text>
    </comment>
    <comment ref="DT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flat growth</t>
        </r>
      </text>
    </comment>
    <comment ref="DY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+6% growth</t>
        </r>
      </text>
    </comment>
    <comment ref="DZ70" authorId="4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12% bookings growth</t>
        </r>
      </text>
    </comment>
    <comment ref="EA70" authorId="4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6% bookings growth</t>
        </r>
      </text>
    </comment>
    <comment ref="EB70" authorId="4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29% bookings growth</t>
        </r>
      </text>
    </comment>
    <comment ref="ED70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+18% growth</t>
        </r>
      </text>
    </comment>
    <comment ref="EE70" authorId="4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0%</t>
        </r>
      </text>
    </comment>
    <comment ref="EF70" authorId="4">
      <text>
        <r>
          <rPr>
            <b/>
            <sz val="9"/>
            <color indexed="81"/>
            <rFont val="Tahoma"/>
            <family val="2"/>
          </rPr>
          <t>Gorham, Melissa (Research):</t>
        </r>
        <r>
          <rPr>
            <sz val="9"/>
            <color indexed="81"/>
            <rFont val="Tahoma"/>
            <family val="2"/>
          </rPr>
          <t xml:space="preserve">
2%
</t>
        </r>
      </text>
    </comment>
    <comment ref="EI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2% / 10% cc, 8% implied FX impact</t>
        </r>
      </text>
    </comment>
    <comment ref="EJ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12% / 19% cc, 7% implied FX impact</t>
        </r>
      </text>
    </comment>
    <comment ref="EK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7% / 9% cc, 2% implied FX impact</t>
        </r>
      </text>
    </comment>
    <comment ref="EL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3% / 4% cc, 1% implied FX impact</t>
        </r>
      </text>
    </comment>
    <comment ref="EN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18% / 18% cc
</t>
        </r>
      </text>
    </comment>
    <comment ref="EO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7% / 12% cc, 5% implied FX impact</t>
        </r>
      </text>
    </comment>
    <comment ref="EQ70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30% / 30% cc</t>
        </r>
      </text>
    </comment>
    <comment ref="EI7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2% / 10% cc, 8% implied FX impact</t>
        </r>
      </text>
    </comment>
    <comment ref="EJ7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12% / 19% cc, 7% implied FX impact</t>
        </r>
      </text>
    </comment>
    <comment ref="EK7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7% / 9% cc, 2% implied FX impact</t>
        </r>
      </text>
    </comment>
    <comment ref="EL7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3% / 4% cc, 1% implied FX impact</t>
        </r>
      </text>
    </comment>
    <comment ref="EO71" authorId="2">
      <text>
        <r>
          <rPr>
            <b/>
            <sz val="9"/>
            <color indexed="81"/>
            <rFont val="Tahoma"/>
            <family val="2"/>
          </rPr>
          <t>Baer, Josh (Research):</t>
        </r>
        <r>
          <rPr>
            <sz val="9"/>
            <color indexed="81"/>
            <rFont val="Tahoma"/>
            <family val="2"/>
          </rPr>
          <t xml:space="preserve">
Total Commercial bookings yoy growth 7% / 12% cc, 5% implied FX impact</t>
        </r>
      </text>
    </comment>
    <comment ref="EJ139" authorId="2">
      <text>
        <r>
          <rPr>
            <b/>
            <sz val="9"/>
            <color indexed="81"/>
            <rFont val="Tahoma"/>
            <family val="2"/>
          </rPr>
          <t>avg of intelligent cloud FX and PBP FX</t>
        </r>
      </text>
    </comment>
    <comment ref="EO139" authorId="2">
      <text>
        <r>
          <rPr>
            <b/>
            <sz val="9"/>
            <color indexed="81"/>
            <rFont val="Tahoma"/>
            <family val="2"/>
          </rPr>
          <t>avg of intelligent cloud FX and PBP FX</t>
        </r>
      </text>
    </comment>
    <comment ref="CB158" authorId="0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$2.56B rec in Q304, $1.94B in Q404, $1.08B in Q105, and $.647B in Q205 and $1.62B thereafter</t>
        </r>
      </text>
    </comment>
    <comment ref="CJ158" authorId="1">
      <text>
        <r>
          <rPr>
            <b/>
            <sz val="8"/>
            <color indexed="81"/>
            <rFont val="Tahoma"/>
            <family val="2"/>
          </rPr>
          <t>Derek Wong:</t>
        </r>
        <r>
          <rPr>
            <sz val="8"/>
            <color indexed="81"/>
            <rFont val="Tahoma"/>
            <family val="2"/>
          </rPr>
          <t xml:space="preserve">
Includes reduction of $300M of unearned due to reduction of product deferral rates in Undelivered Elements.</t>
        </r>
      </text>
    </comment>
    <comment ref="A164" authorId="0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Includes, L+SA, Government long-term deals, and EA</t>
        </r>
      </text>
    </comment>
    <comment ref="A169" authorId="0">
      <text>
        <r>
          <rPr>
            <b/>
            <sz val="8"/>
            <color indexed="81"/>
            <rFont val="Tahoma"/>
            <family val="2"/>
          </rPr>
          <t>U726234:</t>
        </r>
        <r>
          <rPr>
            <sz val="8"/>
            <color indexed="81"/>
            <rFont val="Tahoma"/>
            <family val="2"/>
          </rPr>
          <t xml:space="preserve">
For product deferrals:
15%-25% rev. deferral for Windows Home
5-15% rev. deferral for Windows Professional
1-15% rev. defferal for desktop applications
</t>
        </r>
      </text>
    </comment>
    <comment ref="DT169" authorId="3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Includes $189M deferral in MBD
</t>
        </r>
      </text>
    </comment>
  </commentList>
</comments>
</file>

<file path=xl/comments9.xml><?xml version="1.0" encoding="utf-8"?>
<comments xmlns="http://schemas.openxmlformats.org/spreadsheetml/2006/main">
  <authors>
    <author>meligo</author>
  </authors>
  <commentList>
    <comment ref="DP43" authorId="0">
      <text>
        <r>
          <rPr>
            <b/>
            <sz val="8"/>
            <color indexed="81"/>
            <rFont val="Tahoma"/>
            <family val="2"/>
          </rPr>
          <t>meligo:</t>
        </r>
        <r>
          <rPr>
            <sz val="8"/>
            <color indexed="81"/>
            <rFont val="Tahoma"/>
            <family val="2"/>
          </rPr>
          <t xml:space="preserve">
Skype Acquisition: $8.5B, $142M in cash, $686M in debt</t>
        </r>
      </text>
    </comment>
  </commentList>
</comments>
</file>

<file path=xl/comments10.xml><?xml version="1.0" encoding="utf-8"?>
<comments xmlns="http://schemas.openxmlformats.org/spreadsheetml/2006/main">
  <authors>
    <author>sonialok</author>
  </authors>
  <commentList>
    <comment ref="CJ11" authorId="0">
      <text>
        <r>
          <rPr>
            <sz val="8"/>
            <color indexed="81"/>
            <rFont val="Tahoma"/>
            <family val="2"/>
          </rPr>
          <t>Special Dividend Adjustment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Y11" authorId="0">
      <text>
        <r>
          <rPr>
            <sz val="8"/>
            <color indexed="81"/>
            <rFont val="Tahoma"/>
            <family val="2"/>
          </rPr>
          <t>Special Dividend Adjustment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J27" authorId="0">
      <text>
        <r>
          <rPr>
            <sz val="8"/>
            <color indexed="81"/>
            <rFont val="Tahoma"/>
            <family val="2"/>
          </rPr>
          <t>Special Dividend Adjusted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Y27" authorId="0">
      <text>
        <r>
          <rPr>
            <sz val="8"/>
            <color indexed="81"/>
            <rFont val="Tahoma"/>
            <family val="2"/>
          </rPr>
          <t>Special Dividend Adjusted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1.xml><?xml version="1.0" encoding="utf-8"?>
<comments xmlns="http://schemas.openxmlformats.org/spreadsheetml/2006/main">
  <authors>
    <author>meligo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卟䙄_x0001_＀＀垒䞄*卍呆䥞䝂偟噁彇䴳〨⼱㄰㈯〰ⰴ㌰㌯⼱〲㐰䌬⥑_x0018_＀＀_x0018_＀＀_x0008_＀＀_x0001_＀＀_x0001_＀＀_xDAA6_ꬱ䀺垒䞄)卍呆䥞䝂偟噁彇䴳〨⼷⼱〲㜶〬⼹〳㈯〰ⰶ元착ް＀＀_x0018_＀＀ޠ＀＀ô＀＀_x0001_＀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결⤴䁀嵤䛜됃䁀瀧滫䊞䀽䀥ⵍ퍛䀽䬋ꀼᩬ䀽眈﮶䀼국ሯ䀸垒䞄*卍呆䥞䝂偟噁彇䴳〨⼴㄰㈯〰ⰵ㘰㌯⼰〲㔰䌬⥑_x0018_＀＀_x0018_＀＀_x0008_＀＀_x0001_＀＀_x0001_＀＀꺓粙△䀹垒䞄)卍呆䥞䝂偟噁彇䴳〨⼴⼱〲㜰〬⼶〳㈯〰ⰷ元착_x0018_＀＀_x0018_＀＀_x0008_＀＀_x0001_＀＀_x0001_＀＀䀥ⵍ퍛䀽䞊_x0011_卍呆灞㘨㌯⼰〲㜰착_x0018_＀＀_x0018_＀＀_x0008_＀＀_x0001_＀＀_x0001_＀＀Ẹ硑䀽垒䞄(卍呆䥞䝂偟噁彇䴳ㄨㄯ㈯〰ⰷ㌰㌯⼱〲㜰䌬⥑_x0018_＀＀_x0018_＀＀_x0008_＀＀_x0001_＀＀_x0001_＀＀䬋ꀼᩬ䀽垒䞄*卍呆䥞䝂偟噁彇䴳ㄨ⼰㄰㈯〰ⰴ㈱㌯⼱〲㐰䌬⥑_x0018_＀＀_x0018_＀＀_x0008_＀＀_x0001_＀＀_x0001_＀＀繨ܵ똈䀻䞊_x0011_卍呆灞㤨㌯⼰〲㜰착_x0018_＀＀_x0018_＀＀_x0008_＀＀_x0001_＀＀_x0001_＀＀⣶轜痂䀽垒䞄*卍呆䥞䝂偟噁彇䴳ㄨ⼰㄰㈯〰ⰶ㈱㌯⼱〲㘰䌬⥑_x0018_＀＀_x0018_＀＀_x0008_＀＀_x0001_＀＀_x0001_＀＀眈﮶䀼垒䞄*卍呆䥞䝂偟噁彇䴳〨⼷㄰㈯〰ⰳ㤰㌯⼰〲㌰䌬⥑_x0018_＀＀_x0018_＀＀_x0008_＀＀_x0001_＀＀_x0001_＀＀泴絖ᚮ䀻ꡈ䥸)卍呆䥞䝂偟噁彇䴳ㄨ⼰⼱〲㠰ㄬ⼲ㄳ㈯〰ⰸ元착_x0018_＀＀_x0018_＀＀_x0008_＀＀_x0001_＀＀_x0001_＀＀聴蹠圞䀵垒䞄*卍呆䥞䝂偟噁彇䴳〨⼷㄰㈯〰ⰵ㤰㌯⼰〲㔰䌬⥑_x0018_＀＀_x0018_＀＀_x0008_＀＀_x0001_＀＀_x0001_＀＀뢻ڍ㻰䀺䆸䡐_x000C_獭瑦偞偟楲散_x0018_＀＀_x0018_＀＀_x0008_＀＀_x0001_＀＀_x0001_＀＀炤਽䀻垒䞄*卍呆䥞䝂偟噁彇䴳〨⼱㄰㈯〰ⰵ㌰㌯⼱〲㔰䌬⥑_x0018_＀＀_x0018_＀＀_x0008_＀＀_x0001_＀＀_x0001_＀＀㸮쀅鹸䀹䵁(卍呆䥞䝂偟噁彇䴳㤨ㄯ㈯㄰ⰰ㈱㌯⼱〲〱䌬⥑ ＀＀_x0018_＀＀_x0010_＀＀_x0002_＀＀_x0001_＀＀_xD917_썓䀸粅돐䵙䀺垒䞄*卍呆䥞䝂偟噁彇䴳〨⼴㄰㈯〰ⰴ㘰㌯⼰〲㐰䌬⥑_x0018_＀＀_x0018_＀＀_x0008_＀＀_x0001_＀＀_x0001_＀＀✔㯷攔䀺䞊_x0011_卍呆灞㌨㌯⼱〲㜰착_x0018_＀＀_x0018_＀＀_x0008_＀＀_x0001_＀＀_x0001_＀＀蔟凫_xDEB8_䀻垒䞄)卍呆䥞䝂偟噁彇䴳〨⼱⼱〲㘰〬⼳ㄳ㈯〰ⰶ元착_x0018_＀＀_x0018_＀＀_x0008_＀＀_x0001_＀＀_x0001_＀＀兙榃ؘ䀻䵁(卍呆䥞䝂偟噁彇䴳㤨ㄯ㈯〰ⰹ㈱㌯⼱〲㤰䌬⥑ ＀＀_x0018_＀＀_x0010_＀＀_x0002_＀＀_x0001_＀＀偳䳂㟛䀸峑醧銖䀼垒䞄*卍呆䥞䝂偟噁彇䴳ㄨ⼰㄰㈯〰ⰳ㈱㌯⼱〲㌰䌬⥑_x0018_＀＀_x0018_＀＀_x0008_＀＀_x0001_＀＀_x0001_＀＀膅_xDEE7_׃䀻䞊_x0012_卍呆灞ㄨ⼲ㄳ㈯〰⤷_x0018_＀＀_x0018_＀＀_x0008_＀＀_x0001_＀＀_x0001_＀＀쳍쳌쳌䁁鋙䠅(卍呆䥞䝂偟噁彇䴳ㄨㄯ㈯〰ⰸ㌰㌯⼱〲㠰䌬⥑_x0018_＀＀_x0018_＀＀_x0008_＀＀_x0001_＀＀_x0001_＀＀욒啨䀾垒䞄*卍呆䥞䝂偟噁彇䴳ㄨ⼰㄰㈯〰ⰵ㈱㌯⼱〲㔰䌬⥑_x0018_＀＀_x0018_＀＀_x0008_＀＀_x0001_＀＀_x0001_＀＀擬汰䀺柚䣫(卍呆䥞䝂偟噁彇䴳㐨ㄯ㈯〰ⰸ㘰㌯⼰〲㠰䌬⥑_x0018_＀＀_x0018_＀＀_x0008_＀＀_x0001_＀＀_x0001_＀＀ꀨ낉퇡䀼ኵ䞙)卍呆䥞䝂偟噁彇䴳ㄨ⼰⼱〲㜰ㄬ⼲ㄳ㈯〰ⰷ元착_x0018_＀＀_x0018_＀＀_x0008_＀＀_x0001_＀＀_x0001_＀＀嵤䛜됃䁀傢䞋_x000E_卍呆灞灟楲散⤨_x0018_＀＀_x0018_＀＀_x0008_＀＀_x0001_＀＀_x0001_＀＀긕䁀垒䞄*卍呆䥞䝂偟噁彇䴳〨⼷㄰㈯〰ⰴ㤰㌯⼰〲㐰䌬⥑_x0018_＀＀_x0018_＀＀_x0008_＀＀_x0001_＀＀_x0001_＀＀崥盧ꭦ䀻垒䞄)卍呆䥞䝂偟噁彇䴳〨⼷⼱〲㜰〬⼹〳㈯〰ⰷ元착_x0018_＀＀_x0018_＀＀_x0008_＀＀_x0001_＀＀_x0001_＀＀瀧滫䊞䀽垒䞄)卍呆䥞䝂偟噁彇䴳〨⼴⼱〲㘰〬⼹〳㈯〰ⰶ元착 ＀＀_x0018_＀＀_x0010_＀＀_x0002_＀＀_x0001_＀＀ஷ痍䄚䀸국ሯ䀸氖䣫(卍呆䥞䝂偟噁彇䴳㜨ㄯ㈯〰ⰸ〱㌯⼰〲㠰䌬⥑_x0018_＀＀_x0018_＀＀_x0008_＀＀_x0001_＀＀_x0001_＀＀腴䀺읲䧰'卍呆䥞䝂偟噁彇䴳ㄨㄯ㈯〰ⰹ⼳ㄳ㈯〰ⰹ元착_x0018_＀＀_x0018_＀＀_x0008_＀＀_x0001_＀＀_x0001_＀＀꘣ቄﲽ䀱</t>
        </r>
      </text>
    </comment>
    <comment ref="B1" authorId="0">
      <text>
        <r>
          <rPr>
            <b/>
            <sz val="8"/>
            <color indexed="81"/>
            <rFont val="Tahoma"/>
            <family val="2"/>
          </rPr>
          <t>2238</t>
        </r>
      </text>
    </comment>
  </commentList>
</comments>
</file>

<file path=xl/sharedStrings.xml><?xml version="1.0" encoding="utf-8"?>
<sst xmlns="http://schemas.openxmlformats.org/spreadsheetml/2006/main" count="4097" uniqueCount="1847">
  <si>
    <t>Total</t>
  </si>
  <si>
    <t>10% Windows Retail</t>
  </si>
  <si>
    <t>Xbox Studios and Marketplaces</t>
  </si>
  <si>
    <t>CY15</t>
  </si>
  <si>
    <t>C2010A</t>
  </si>
  <si>
    <t>C2011A</t>
  </si>
  <si>
    <t>CY2010</t>
  </si>
  <si>
    <t>CY2011</t>
  </si>
  <si>
    <t>Microsoft Client Revenue Guidance</t>
  </si>
  <si>
    <t>% cash offshore</t>
  </si>
  <si>
    <t>Discounted Cash Flow Analysis</t>
  </si>
  <si>
    <t>($ Millions, Except Per-Share Data)</t>
  </si>
  <si>
    <t>% Undervalued (Overvalued)</t>
  </si>
  <si>
    <t>DCF Assumptions</t>
  </si>
  <si>
    <t>Per Share</t>
  </si>
  <si>
    <t>% of Total</t>
  </si>
  <si>
    <t>Adjusted Beta (Raw Beta * 0.67 + 1.00 * 0.33)</t>
  </si>
  <si>
    <t>Intrinsic Value</t>
  </si>
  <si>
    <t>Estimated Beta (Used for WACC)</t>
  </si>
  <si>
    <t>Expected Return on Market</t>
  </si>
  <si>
    <t>10 Year Treasury Yield</t>
  </si>
  <si>
    <t>Current Equity Risk Premium</t>
  </si>
  <si>
    <t>Current Year for DCF</t>
  </si>
  <si>
    <t>LR Average Equity Risk Premium (Used for WACC)</t>
  </si>
  <si>
    <t>Sum of NPV of FCF</t>
  </si>
  <si>
    <t xml:space="preserve">     Excluding Terminal Value</t>
  </si>
  <si>
    <t>Jun-13</t>
  </si>
  <si>
    <t>2013</t>
  </si>
  <si>
    <t>Consumer PC SKUs</t>
  </si>
  <si>
    <t>Enterprise PC SKUs</t>
  </si>
  <si>
    <t>Tablet SKUs</t>
  </si>
  <si>
    <t>Total SKUs</t>
  </si>
  <si>
    <t>Enterprise + tablet SKUs</t>
  </si>
  <si>
    <t>6/13</t>
  </si>
  <si>
    <t>Consumer PC Revenue</t>
  </si>
  <si>
    <t>Enterprise PC Revenue</t>
  </si>
  <si>
    <t>Tablet Revenue</t>
  </si>
  <si>
    <t>Cost of LT Debt</t>
  </si>
  <si>
    <t xml:space="preserve">     Terminal Value Only</t>
  </si>
  <si>
    <t>Cash Market Value</t>
  </si>
  <si>
    <t>Debt Market Value</t>
  </si>
  <si>
    <t>Debt/Capital Ratio</t>
  </si>
  <si>
    <t>Shares Outstanding</t>
  </si>
  <si>
    <t>Terminal Growth Rate</t>
  </si>
  <si>
    <t>Terminal Value Multiple</t>
  </si>
  <si>
    <t>2015E</t>
  </si>
  <si>
    <t>Free Cash Flow Analysis</t>
  </si>
  <si>
    <t>Operating Income (EBIT)</t>
  </si>
  <si>
    <t>EBIT (1-t)</t>
  </si>
  <si>
    <t>+ Depreciation &amp; Amortortization</t>
  </si>
  <si>
    <t>- Capital Expenditures</t>
  </si>
  <si>
    <t>- Increase in working capital need</t>
  </si>
  <si>
    <t>Free Cash Flow</t>
  </si>
  <si>
    <t>Net Present Value of Free Cash Flow</t>
  </si>
  <si>
    <t>Note: Free Cash Flow is calculated by the following equation: FCF = EBIT (1 - t) + Depreciation Expense - Capital Expenditures - Change in Working Capital Need</t>
  </si>
  <si>
    <t>Growth Y/Y %</t>
  </si>
  <si>
    <t>Near Term</t>
  </si>
  <si>
    <t>EBIT</t>
  </si>
  <si>
    <t>Depreciation &amp; Amortortization</t>
  </si>
  <si>
    <t>Change in Working Capital</t>
  </si>
  <si>
    <t>Selected Ratios</t>
  </si>
  <si>
    <t>Free Cash Flow to EBIT (1-T)</t>
  </si>
  <si>
    <t>Capital Expenditure to Depreciation</t>
  </si>
  <si>
    <t>Capital Expenditure to Revenue</t>
  </si>
  <si>
    <t>Premium SKU Revenue</t>
  </si>
  <si>
    <t>% of Premium OEM Revenue</t>
  </si>
  <si>
    <t>E = Morgan Stanley Research Estimates</t>
  </si>
  <si>
    <t>Jun-11</t>
  </si>
  <si>
    <t>2011</t>
  </si>
  <si>
    <t>FY11</t>
  </si>
  <si>
    <t>6/11</t>
  </si>
  <si>
    <t>Amortization of Goodwill</t>
  </si>
  <si>
    <t>Cumulative Effect of Accounting Change</t>
  </si>
  <si>
    <t>Worldwide PC Units</t>
  </si>
  <si>
    <t>Microsoft Observed PC growth</t>
  </si>
  <si>
    <t>Microsoft OEM Unit growth</t>
  </si>
  <si>
    <t>Microsoft PC Guidance</t>
  </si>
  <si>
    <t>Dec-08</t>
  </si>
  <si>
    <t>Non-Split Adjusted Wtd. Avg. Shares Out (Basic)</t>
  </si>
  <si>
    <t>Implied Stock Issuance (To INCOME STATEMENT)</t>
  </si>
  <si>
    <t>Asset Acquisitions</t>
  </si>
  <si>
    <t>% Fixed</t>
  </si>
  <si>
    <t>% Intangible</t>
  </si>
  <si>
    <t>Acquired Fixed Assets</t>
  </si>
  <si>
    <t>Acquired Intangible Assets</t>
  </si>
  <si>
    <t>Corporate Acquisition (Very Simplified)</t>
  </si>
  <si>
    <t>Fixed Assets Book Value</t>
  </si>
  <si>
    <t>DSO Normalized For Rev Deferral</t>
  </si>
  <si>
    <t>Securities Lending Payable</t>
  </si>
  <si>
    <t>Windows &amp; Windows Live</t>
  </si>
  <si>
    <t>OEM Revenue Growth</t>
  </si>
  <si>
    <t>Windows Division</t>
  </si>
  <si>
    <t>Plus: Asset Write-Up</t>
  </si>
  <si>
    <t>Intangible Asset Book Value</t>
  </si>
  <si>
    <t>Adjusted Asset Value</t>
  </si>
  <si>
    <t>Less: Net Cash Acquired</t>
  </si>
  <si>
    <t>Plus: Deferred Tax Liability from Write-Up</t>
  </si>
  <si>
    <t>Less: Adjusted Asset Value</t>
  </si>
  <si>
    <t>Incremental Goodwill</t>
  </si>
  <si>
    <t>Balance Sheet Changes</t>
  </si>
  <si>
    <t>(9) F2005E EPS guidance includes $0.03 related to Novell and $0.05 related to Sun, Gateway and Burst.</t>
  </si>
  <si>
    <t>Incremental Fixed Assets</t>
  </si>
  <si>
    <t>Incremental Intangibles</t>
  </si>
  <si>
    <t>Incremental Deferred Tax Liability</t>
  </si>
  <si>
    <t>Cumulative Change in Accounting</t>
  </si>
  <si>
    <t>Reconciliation to MW shareholder's Equity</t>
  </si>
  <si>
    <t>NM</t>
  </si>
  <si>
    <t>Long term Debt</t>
  </si>
  <si>
    <t>Annual Financing rate</t>
  </si>
  <si>
    <t>FY</t>
  </si>
  <si>
    <t xml:space="preserve">Cost of Goods Sold </t>
  </si>
  <si>
    <t>% YoY Growth</t>
  </si>
  <si>
    <t xml:space="preserve">Gross Profit </t>
  </si>
  <si>
    <t>Gross Margin</t>
  </si>
  <si>
    <t>Sales and Marketing</t>
  </si>
  <si>
    <t xml:space="preserve">General &amp; Administrative </t>
  </si>
  <si>
    <t xml:space="preserve">Total Operating Expenses </t>
  </si>
  <si>
    <t>Operating Margin</t>
  </si>
  <si>
    <t xml:space="preserve">EBITDA </t>
  </si>
  <si>
    <t>Operating EPS</t>
  </si>
  <si>
    <t>Adjusted Net Income excluding Option Expense</t>
  </si>
  <si>
    <t>% YoY Change</t>
  </si>
  <si>
    <t>Adjusted EPS (excl. Stock comp)</t>
  </si>
  <si>
    <t>% of Revenue</t>
  </si>
  <si>
    <t>1999</t>
  </si>
  <si>
    <t>2000</t>
  </si>
  <si>
    <t>1991</t>
  </si>
  <si>
    <t>1992</t>
  </si>
  <si>
    <t>1993</t>
  </si>
  <si>
    <t>1994</t>
  </si>
  <si>
    <t>1995</t>
  </si>
  <si>
    <t>1996</t>
  </si>
  <si>
    <t>CY2008</t>
  </si>
  <si>
    <t>C2008A</t>
  </si>
  <si>
    <t>1997</t>
  </si>
  <si>
    <t>1998</t>
  </si>
  <si>
    <t>2001</t>
  </si>
  <si>
    <t>2002</t>
  </si>
  <si>
    <t>2003</t>
  </si>
  <si>
    <t>2004</t>
  </si>
  <si>
    <t>2005</t>
  </si>
  <si>
    <t>2006</t>
  </si>
  <si>
    <t>2007</t>
  </si>
  <si>
    <t>C2000A</t>
  </si>
  <si>
    <t>C2001A</t>
  </si>
  <si>
    <t>C2002A</t>
  </si>
  <si>
    <t>C2003A</t>
  </si>
  <si>
    <t>C2004A</t>
  </si>
  <si>
    <t>C2005A</t>
  </si>
  <si>
    <t>C2006A</t>
  </si>
  <si>
    <t>Tax Rate</t>
  </si>
  <si>
    <t>Revenue Breakdown</t>
  </si>
  <si>
    <t>14-16%</t>
  </si>
  <si>
    <t>Merger//restructuring Costs</t>
  </si>
  <si>
    <t>Q1</t>
  </si>
  <si>
    <t>Q2</t>
  </si>
  <si>
    <t>Q3</t>
  </si>
  <si>
    <t>Q4</t>
  </si>
  <si>
    <t>Launch Quarter</t>
  </si>
  <si>
    <t>Sep-12</t>
  </si>
  <si>
    <t>9/12</t>
  </si>
  <si>
    <t>Sector Breakdown</t>
  </si>
  <si>
    <t>% Total Revenue</t>
  </si>
  <si>
    <t>YoY Growth</t>
  </si>
  <si>
    <t>Server and Tools</t>
  </si>
  <si>
    <t>Online Services Group - ex AQNT</t>
  </si>
  <si>
    <t>aQuantive</t>
  </si>
  <si>
    <t>Business Division</t>
  </si>
  <si>
    <t>Adjusted Free Cash Flow</t>
  </si>
  <si>
    <t xml:space="preserve">  YoY</t>
  </si>
  <si>
    <t>Adj FCF w/ buyback</t>
  </si>
  <si>
    <t>New Segments</t>
  </si>
  <si>
    <t>Mar-12</t>
  </si>
  <si>
    <t>3/12</t>
  </si>
  <si>
    <t>FY06</t>
  </si>
  <si>
    <t>FY07</t>
  </si>
  <si>
    <t>FY08</t>
  </si>
  <si>
    <t>FY09</t>
  </si>
  <si>
    <t>FY10</t>
  </si>
  <si>
    <t>Jun-12</t>
  </si>
  <si>
    <t>2012</t>
  </si>
  <si>
    <t>6/12</t>
  </si>
  <si>
    <t>FY12</t>
  </si>
  <si>
    <t>Other Income</t>
  </si>
  <si>
    <t>Dec-11</t>
  </si>
  <si>
    <t>12/11</t>
  </si>
  <si>
    <t>Client includes the former Client segment</t>
  </si>
  <si>
    <t xml:space="preserve">S&amp;T includes former S&amp;T excluding Exchange Server business and certain MBS related CALs </t>
  </si>
  <si>
    <t>Online Services group includes the former MSN and Windows Live</t>
  </si>
  <si>
    <t>Microsoft Business Division includes former IW and MBS segments as well as Exchange Server business and MBS related CALs which were formerly reported within the S&amp;T segment</t>
  </si>
  <si>
    <t>Entertainment and Devices division includes former H&amp;E and MED segments</t>
  </si>
  <si>
    <t>Sector Breakdown - OLD</t>
  </si>
  <si>
    <t>Client - old</t>
  </si>
  <si>
    <t>Exchange serv. Biz. + CALs for MBS products</t>
  </si>
  <si>
    <t>Server and Tools - old</t>
  </si>
  <si>
    <t>Information Worker - OLD</t>
  </si>
  <si>
    <t>Business Solutions - OLD</t>
  </si>
  <si>
    <t>MSN - OLD</t>
  </si>
  <si>
    <t>Mobile and Embedded Devices - OLD</t>
  </si>
  <si>
    <t>Home and Entertainment - OLD</t>
  </si>
  <si>
    <t>Customer Breakdown</t>
  </si>
  <si>
    <t>2005E</t>
  </si>
  <si>
    <t>Americas</t>
  </si>
  <si>
    <t>EMEA</t>
  </si>
  <si>
    <t>Asia</t>
  </si>
  <si>
    <t>OEM</t>
  </si>
  <si>
    <t>Note: Company begins reporting operating income end of FY2003</t>
  </si>
  <si>
    <t>Vista Pricing --New/Upgrade</t>
  </si>
  <si>
    <t>Dec-10</t>
  </si>
  <si>
    <t>12/10</t>
  </si>
  <si>
    <t>Vista Ultimate - $400/$260</t>
  </si>
  <si>
    <t>Vista Business - $299/$200</t>
  </si>
  <si>
    <t xml:space="preserve">   D&amp;C Licensing Revenue</t>
  </si>
  <si>
    <t xml:space="preserve">   D&amp;C Other Revenue</t>
  </si>
  <si>
    <t xml:space="preserve">   Commercial Licensing Revenue</t>
  </si>
  <si>
    <t xml:space="preserve">   Commercial Other Revenue</t>
  </si>
  <si>
    <t xml:space="preserve">   D&amp;C Licensing COGS</t>
  </si>
  <si>
    <t xml:space="preserve">   D&amp;C Licensing Gross Profit </t>
  </si>
  <si>
    <t xml:space="preserve">   D&amp;C Licensing Gross Margin %</t>
  </si>
  <si>
    <t xml:space="preserve">   D&amp;C Other COGS</t>
  </si>
  <si>
    <t xml:space="preserve">   D&amp;C Other Gross Margin %</t>
  </si>
  <si>
    <t xml:space="preserve">   D&amp;C Other Gross Profit</t>
  </si>
  <si>
    <t xml:space="preserve">   Cons. &amp; Devices Opex as a % of Total Opex</t>
  </si>
  <si>
    <t xml:space="preserve">   Commercial Opex as a % of Total Opex</t>
  </si>
  <si>
    <t>Total Operating Income</t>
  </si>
  <si>
    <t>Total Operating Margin</t>
  </si>
  <si>
    <t xml:space="preserve">   Corporate and Other Op. Income</t>
  </si>
  <si>
    <t>Total Operating Expenses</t>
  </si>
  <si>
    <t>Vista Home Premium - $239/$159</t>
  </si>
  <si>
    <t>Vista Home Basic - $199/$100</t>
  </si>
  <si>
    <t>XP Pricing--New/Upgrade</t>
  </si>
  <si>
    <t>XP-Pro - $299/$199</t>
  </si>
  <si>
    <t>XP-Home - $199/$99</t>
  </si>
  <si>
    <t>Income Tax Adjustment for Extraordinary Items</t>
  </si>
  <si>
    <t>Amortization</t>
  </si>
  <si>
    <t>After-Tax Cost of Debt</t>
  </si>
  <si>
    <t>Microsoft</t>
  </si>
  <si>
    <t>Beginning Net PP&amp;E</t>
  </si>
  <si>
    <t>Beginning Gross PP&amp;E</t>
  </si>
  <si>
    <t>Ending Gross PP&amp;E</t>
  </si>
  <si>
    <t>Ending Net PP&amp;E</t>
  </si>
  <si>
    <t xml:space="preserve"> Debt</t>
  </si>
  <si>
    <t>$17.3-17.8B</t>
  </si>
  <si>
    <t>$6.1-6.4B</t>
  </si>
  <si>
    <t>$0.51-0.53</t>
  </si>
  <si>
    <t>7-10%</t>
  </si>
  <si>
    <t>6-10%</t>
  </si>
  <si>
    <t>7-8%</t>
  </si>
  <si>
    <t>(5%)-1%</t>
  </si>
  <si>
    <t>2-6%</t>
  </si>
  <si>
    <t>15-17%</t>
  </si>
  <si>
    <t>10-13%</t>
  </si>
  <si>
    <t>12-13%</t>
  </si>
  <si>
    <t>(3%)-Flat</t>
  </si>
  <si>
    <t>2-5%</t>
  </si>
  <si>
    <t>8-12%</t>
  </si>
  <si>
    <t>CY2009</t>
  </si>
  <si>
    <t>Sep-09</t>
  </si>
  <si>
    <t xml:space="preserve">   YoY</t>
  </si>
  <si>
    <t xml:space="preserve">   100% Peripherals</t>
  </si>
  <si>
    <t xml:space="preserve">   Xbox Consoles and Third Party Devices</t>
  </si>
  <si>
    <t>Other Long-Term Assets as % of Annualized OpEx</t>
  </si>
  <si>
    <t>Accrued Compensation as % of Annualized OpEx</t>
  </si>
  <si>
    <t>Impact of Tech Guarantees</t>
  </si>
  <si>
    <t>Vista</t>
  </si>
  <si>
    <t>Normalized Client Revenue</t>
  </si>
  <si>
    <t>% QoQ Change</t>
  </si>
  <si>
    <t>% of OEM Revenue</t>
  </si>
  <si>
    <t>Coupon Deferals</t>
  </si>
  <si>
    <t>Coupon Exercised/Expired</t>
  </si>
  <si>
    <t>Aggregate Deferral</t>
  </si>
  <si>
    <t>Win 8 Surface</t>
  </si>
  <si>
    <t>Win 8 RT</t>
  </si>
  <si>
    <t>Consolidated Balance Sheet Statement</t>
  </si>
  <si>
    <t>Assets:</t>
  </si>
  <si>
    <t>Cash &amp; Cash Equivalents</t>
  </si>
  <si>
    <t>Short-Term Investments</t>
  </si>
  <si>
    <t>Accounts Receivable</t>
  </si>
  <si>
    <t>Inventory</t>
  </si>
  <si>
    <t>Current Deferred Taxes</t>
  </si>
  <si>
    <t>Other</t>
  </si>
  <si>
    <t>Current Assets</t>
  </si>
  <si>
    <t>Property &amp; Equipment</t>
  </si>
  <si>
    <t>Goodwill</t>
  </si>
  <si>
    <t>(Gain) / Loss on Sale of Short-Term Investments</t>
  </si>
  <si>
    <t>Tax Benefit from Exercise of Stock Options</t>
  </si>
  <si>
    <t>Stock-Based Compensation</t>
  </si>
  <si>
    <t>Windiws Vista-Home Basic/EM</t>
  </si>
  <si>
    <t>CY13</t>
  </si>
  <si>
    <t>Units</t>
  </si>
  <si>
    <t xml:space="preserve">Revenue </t>
  </si>
  <si>
    <t>Windows XP-Pro</t>
  </si>
  <si>
    <t>Windows Vista Home Basic</t>
  </si>
  <si>
    <t>Windows Vista Home Premium</t>
  </si>
  <si>
    <t>Windows Vista Ultimate</t>
  </si>
  <si>
    <t>Windows Vista Business</t>
  </si>
  <si>
    <t>Total Paid Windows Units</t>
  </si>
  <si>
    <t>Total OEM Revenue</t>
  </si>
  <si>
    <t>Premium Mix</t>
  </si>
  <si>
    <t>ASP</t>
  </si>
  <si>
    <t>YoY Change</t>
  </si>
  <si>
    <t>Royalty Assumptions</t>
  </si>
  <si>
    <t>Windows XP-Home</t>
  </si>
  <si>
    <t>Windows Vista-Home Premium</t>
  </si>
  <si>
    <t>Windows Vista-Ultimate</t>
  </si>
  <si>
    <t>Windows Vista-Business</t>
  </si>
  <si>
    <t>Linearity</t>
  </si>
  <si>
    <t>CY04</t>
  </si>
  <si>
    <t>CY05</t>
  </si>
  <si>
    <t>CY06</t>
  </si>
  <si>
    <t>CY07</t>
  </si>
  <si>
    <t>2009</t>
  </si>
  <si>
    <t>Capitalized R&amp;D</t>
  </si>
  <si>
    <t>Jun-09</t>
  </si>
  <si>
    <t>6/08</t>
  </si>
  <si>
    <t>Windows 7 Business</t>
  </si>
  <si>
    <t>Windows 7 Ultimate</t>
  </si>
  <si>
    <t>Windows 7 Home Premium</t>
  </si>
  <si>
    <t>Windows 7 Home Basic (EM only)</t>
  </si>
  <si>
    <t>Windows 7 Starter Edition (Netbooks)</t>
  </si>
  <si>
    <t>Netbooks (w/ Windows 7)</t>
  </si>
  <si>
    <t>Old Segmentation -- actuals thru Q409</t>
  </si>
  <si>
    <t>Windows Live, OSD --&gt; Client</t>
  </si>
  <si>
    <t>Windows Live Revenue</t>
  </si>
  <si>
    <t>Mobile Services, OSD --&gt; EDD</t>
  </si>
  <si>
    <t>Other, Other --&gt; MBD</t>
  </si>
  <si>
    <t>Adjustments (9/22/09)</t>
  </si>
  <si>
    <t>Net Revenue</t>
  </si>
  <si>
    <t>Marketing &amp; Sales</t>
  </si>
  <si>
    <t>General &amp; Administrative</t>
  </si>
  <si>
    <t>Research &amp; Development</t>
  </si>
  <si>
    <t>Provision / (Benefit) for Income Taxes</t>
  </si>
  <si>
    <t>Minority Interest</t>
  </si>
  <si>
    <t>Acquired In-Process R&amp;D</t>
  </si>
  <si>
    <t>Reported Net Income</t>
  </si>
  <si>
    <t>Non-Split Adjusted Basic Shares Outstanding</t>
  </si>
  <si>
    <t>C1999A</t>
  </si>
  <si>
    <t>Other Metrics</t>
  </si>
  <si>
    <t>Net Cash Used in Investing Activities</t>
  </si>
  <si>
    <t>Jun-15E</t>
  </si>
  <si>
    <t>C2014E</t>
  </si>
  <si>
    <t>CY14E</t>
  </si>
  <si>
    <t>One-Time Charges</t>
  </si>
  <si>
    <t>Other Items</t>
  </si>
  <si>
    <t>Recognition of Unearned Revenue</t>
  </si>
  <si>
    <t>Effective tax rate</t>
  </si>
  <si>
    <r>
      <t xml:space="preserve">Average Closing Share Price </t>
    </r>
    <r>
      <rPr>
        <sz val="9"/>
        <color indexed="12"/>
        <rFont val="Times New Roman"/>
        <family val="1"/>
      </rPr>
      <t>(FactSet)</t>
    </r>
  </si>
  <si>
    <t>Guidance</t>
  </si>
  <si>
    <t>EPS</t>
  </si>
  <si>
    <t>Detailed Guidance</t>
  </si>
  <si>
    <t>S&amp;T</t>
  </si>
  <si>
    <t>Online Services</t>
  </si>
  <si>
    <t>Microsoft Business division</t>
  </si>
  <si>
    <t>Entertainment &amp; Devices Division</t>
  </si>
  <si>
    <t>Tax rate</t>
  </si>
  <si>
    <t>Unearned revenue balance</t>
  </si>
  <si>
    <t>PC growth</t>
  </si>
  <si>
    <t>9.7-9.8B</t>
  </si>
  <si>
    <t>10.9-11.2B</t>
  </si>
  <si>
    <t>11.5-11.7B</t>
  </si>
  <si>
    <t>44.0-44.2B</t>
  </si>
  <si>
    <t>$10.6-10.8B</t>
  </si>
  <si>
    <t>$11.8-12.4B</t>
  </si>
  <si>
    <t>$13.7-14.0B</t>
  </si>
  <si>
    <t>50.9-51.2B</t>
  </si>
  <si>
    <t>$12.4-12.6B</t>
  </si>
  <si>
    <t>$15.6-16.1B</t>
  </si>
  <si>
    <t>$15.5-15.8B</t>
  </si>
  <si>
    <t>60.1-60.3B</t>
  </si>
  <si>
    <t>4.3-4.5B</t>
  </si>
  <si>
    <t>4.5-4.6B</t>
  </si>
  <si>
    <t>4.0-4.2B</t>
  </si>
  <si>
    <t>16.6-16.8B</t>
  </si>
  <si>
    <t>$4.0-4.2B</t>
  </si>
  <si>
    <t>$2.9-3.1B</t>
  </si>
  <si>
    <t>$6.1-6.3B</t>
  </si>
  <si>
    <t>19.5-19.7B</t>
  </si>
  <si>
    <t>$5.0-5.2B</t>
  </si>
  <si>
    <t>$5.9-6.1B</t>
  </si>
  <si>
    <t>$5.8-6.2B</t>
  </si>
  <si>
    <t>22.6-23B</t>
  </si>
  <si>
    <t>0.29-0.31</t>
  </si>
  <si>
    <t>0.32-0.33</t>
  </si>
  <si>
    <t>$0.30-$0.32</t>
  </si>
  <si>
    <t>$0.22-$0.24</t>
  </si>
  <si>
    <t>$0.45-46</t>
  </si>
  <si>
    <t>$1.48-1.50</t>
  </si>
  <si>
    <t>$0.38-0.40</t>
  </si>
  <si>
    <t>$0.44-0.46</t>
  </si>
  <si>
    <t>$0.45-0.48</t>
  </si>
  <si>
    <t>$1.87-1.90</t>
  </si>
  <si>
    <t>3.3-3.6M</t>
  </si>
  <si>
    <t>$13.1-13.4B</t>
  </si>
  <si>
    <t>5-6%</t>
  </si>
  <si>
    <t>(27)-(25)%</t>
  </si>
  <si>
    <t>54-56%</t>
  </si>
  <si>
    <t>14-15%</t>
  </si>
  <si>
    <t>15-16%</t>
  </si>
  <si>
    <t>62-64%</t>
  </si>
  <si>
    <t>(20)-(18)%</t>
  </si>
  <si>
    <t>7-11%</t>
  </si>
  <si>
    <t>11-12%</t>
  </si>
  <si>
    <t>12-14%</t>
  </si>
  <si>
    <t>16-17%</t>
  </si>
  <si>
    <t>17-19%</t>
  </si>
  <si>
    <t>18-20%</t>
  </si>
  <si>
    <t>0-(4%)</t>
  </si>
  <si>
    <t>3-5%</t>
  </si>
  <si>
    <t>4-10%</t>
  </si>
  <si>
    <t>10-15%</t>
  </si>
  <si>
    <t>5-7%</t>
  </si>
  <si>
    <t>10-11%</t>
  </si>
  <si>
    <t>32-35%</t>
  </si>
  <si>
    <t>40-45%</t>
  </si>
  <si>
    <t>37-41%</t>
  </si>
  <si>
    <t>(10)-(8)%</t>
  </si>
  <si>
    <t>27-28%</t>
  </si>
  <si>
    <t>13-14%</t>
  </si>
  <si>
    <t>31-33%</t>
  </si>
  <si>
    <t>(1)-0%</t>
  </si>
  <si>
    <t>53-60%</t>
  </si>
  <si>
    <t>50-75%</t>
  </si>
  <si>
    <t>(15%)-(25%)</t>
  </si>
  <si>
    <t>(11%)-(2%)</t>
  </si>
  <si>
    <t>27-30% (12M 360 by FYE)</t>
  </si>
  <si>
    <t>30-40%</t>
  </si>
  <si>
    <t>-8%-0%</t>
  </si>
  <si>
    <t>25-35%</t>
  </si>
  <si>
    <t>32-34%</t>
  </si>
  <si>
    <t>$0.30-$0.33</t>
  </si>
  <si>
    <t>$0.37-39</t>
  </si>
  <si>
    <t>31%</t>
  </si>
  <si>
    <t>8-10%</t>
  </si>
  <si>
    <t>CY14</t>
  </si>
  <si>
    <t>QoQ decrease</t>
  </si>
  <si>
    <t>Flat QoQ</t>
  </si>
  <si>
    <t>Up QoQ</t>
  </si>
  <si>
    <t>9-11%</t>
  </si>
  <si>
    <t>10-12%</t>
  </si>
  <si>
    <t>11-13%</t>
  </si>
  <si>
    <t>4-6%</t>
  </si>
  <si>
    <t>C2007A</t>
  </si>
  <si>
    <t>CY2007</t>
  </si>
  <si>
    <t>CY2006</t>
  </si>
  <si>
    <t>CY2005</t>
  </si>
  <si>
    <t>CY2004</t>
  </si>
  <si>
    <t>CY2003</t>
  </si>
  <si>
    <t>CY2002</t>
  </si>
  <si>
    <t>CY2001</t>
  </si>
  <si>
    <t>CY2000</t>
  </si>
  <si>
    <t>CY1999</t>
  </si>
  <si>
    <t>Reported Tax Expense - GAAP</t>
  </si>
  <si>
    <t>Reported Tax Expense - Non-GAAP</t>
  </si>
  <si>
    <t>Tax Benefit associated with Stock Comp. Exp.</t>
  </si>
  <si>
    <t>Tax-(Benefit) Expense of One-Time Items</t>
  </si>
  <si>
    <t>Fiscal Year ends in June. E = Morgan Stanley Research Estimates.</t>
  </si>
  <si>
    <t>Capital Expenditures</t>
  </si>
  <si>
    <t>Change in Net Working Capital</t>
  </si>
  <si>
    <t>WACC</t>
  </si>
  <si>
    <t>Equity and Other Investments</t>
  </si>
  <si>
    <t>ST Debt</t>
  </si>
  <si>
    <t>Current Unearned Revenue</t>
  </si>
  <si>
    <t>Current Income Taxes</t>
  </si>
  <si>
    <t>Long-Term Unearned Revenue</t>
  </si>
  <si>
    <t>Mar-13</t>
  </si>
  <si>
    <t>3/13</t>
  </si>
  <si>
    <t>Common Stock and Paid-In Capital</t>
  </si>
  <si>
    <t>Projected unearned recognized in the next Q</t>
  </si>
  <si>
    <t>Extraordinary Legal Expenses</t>
  </si>
  <si>
    <t>USD</t>
  </si>
  <si>
    <t>Mar-11</t>
  </si>
  <si>
    <t>3/11</t>
  </si>
  <si>
    <t>2021E</t>
  </si>
  <si>
    <t>C2009A</t>
  </si>
  <si>
    <t>Billings</t>
  </si>
  <si>
    <t>9/10</t>
  </si>
  <si>
    <t>Bookings</t>
  </si>
  <si>
    <t>Contracted Not Billed</t>
  </si>
  <si>
    <t>Sep-11</t>
  </si>
  <si>
    <t>9/11</t>
  </si>
  <si>
    <t xml:space="preserve">      Skype</t>
  </si>
  <si>
    <t xml:space="preserve">      EDD Ex Skype</t>
  </si>
  <si>
    <t xml:space="preserve">      % of Total Revenue</t>
  </si>
  <si>
    <t xml:space="preserve">   Licensing COGS</t>
  </si>
  <si>
    <t xml:space="preserve">   Licensing Other COGS</t>
  </si>
  <si>
    <t xml:space="preserve">   Other Gross Profit</t>
  </si>
  <si>
    <t xml:space="preserve">   Total Cons. &amp; Devices Gross Profit</t>
  </si>
  <si>
    <t xml:space="preserve">   Licensing Gross Profit</t>
  </si>
  <si>
    <t>Total Gross Profit</t>
  </si>
  <si>
    <t>Total COGS</t>
  </si>
  <si>
    <t>Old Reporting Segments-- Changed as of 09/30/2013</t>
  </si>
  <si>
    <t xml:space="preserve">   Total Cons. &amp; Devices Gross Margin %</t>
  </si>
  <si>
    <t xml:space="preserve">   Total Cons. &amp; Devices Operating Income</t>
  </si>
  <si>
    <t xml:space="preserve">   Total Commercial Gross Profit</t>
  </si>
  <si>
    <t xml:space="preserve">   Total Commercial Operating Income</t>
  </si>
  <si>
    <t xml:space="preserve">   Total Commercial Operating Margin</t>
  </si>
  <si>
    <t xml:space="preserve">   Total Cons. &amp; Devices Operating Margin</t>
  </si>
  <si>
    <t>D&amp;C Licensing</t>
  </si>
  <si>
    <t>Surface</t>
  </si>
  <si>
    <t>D&amp;C Other</t>
  </si>
  <si>
    <t>Commercial Licensing</t>
  </si>
  <si>
    <t>Skype</t>
  </si>
  <si>
    <t>Commercial Other</t>
  </si>
  <si>
    <t>Enterprise Services</t>
  </si>
  <si>
    <t>Azure</t>
  </si>
  <si>
    <t>Interest (Expense)</t>
  </si>
  <si>
    <t>Realized Investment Gains</t>
  </si>
  <si>
    <t>Net Interest(Income and Other Income</t>
  </si>
  <si>
    <t>Other Long-Term Liabilities</t>
  </si>
  <si>
    <t>Total Liabilities</t>
  </si>
  <si>
    <t>Preferred Stock</t>
  </si>
  <si>
    <t>Retained Earnings</t>
  </si>
  <si>
    <t>Accumulated Other Comprehensive Income</t>
  </si>
  <si>
    <t>Shareholders' Equity</t>
  </si>
  <si>
    <t>Total Liabilities &amp; Equity</t>
  </si>
  <si>
    <t>Other Intangibles</t>
  </si>
  <si>
    <t>Long-Term Deferred Taxes</t>
  </si>
  <si>
    <t>Other Assets</t>
  </si>
  <si>
    <t>Total Assets</t>
  </si>
  <si>
    <t>Liabilities &amp; Equity:</t>
  </si>
  <si>
    <t>Accounts Payable</t>
  </si>
  <si>
    <t>Accrued Compensation and Benefits</t>
  </si>
  <si>
    <t>Total Current Liabilities</t>
  </si>
  <si>
    <t>$14.3-14.6B</t>
  </si>
  <si>
    <t>$5.6-5.7B</t>
  </si>
  <si>
    <t>$0.43-0.45</t>
  </si>
  <si>
    <t>Server</t>
  </si>
  <si>
    <t>MBD</t>
  </si>
  <si>
    <t>EDD</t>
  </si>
  <si>
    <t>Operating Income</t>
  </si>
  <si>
    <t>Funds from Operations</t>
  </si>
  <si>
    <t>(Inc.) Dec. in Accounts Receivable</t>
  </si>
  <si>
    <t>Cash Flow from Operations</t>
  </si>
  <si>
    <t>Acquisitions, Net of Cash Acquired</t>
  </si>
  <si>
    <t>Purchase of Short-Term Investments</t>
  </si>
  <si>
    <t>Statutory Tax Rate</t>
  </si>
  <si>
    <t>(US$ in Millions, Except per Share Data)</t>
  </si>
  <si>
    <t>Revenue</t>
  </si>
  <si>
    <t>Cost of Equity</t>
  </si>
  <si>
    <t>% Paid Units</t>
  </si>
  <si>
    <t>Commercial and Retail Licensing</t>
  </si>
  <si>
    <t>Change in Undelivered Elements</t>
  </si>
  <si>
    <t>Consumer SKUs</t>
  </si>
  <si>
    <t>Business SKUs</t>
  </si>
  <si>
    <t>Unit Driven Client Model</t>
  </si>
  <si>
    <t>($ in millions, Units in millions</t>
  </si>
  <si>
    <t>Mar-10</t>
  </si>
  <si>
    <t>3/10</t>
  </si>
  <si>
    <t>Description</t>
  </si>
  <si>
    <t>Entertainment and Devices Division</t>
  </si>
  <si>
    <t>Type of Acquisition (Asset = 1, Corporate = 0)</t>
  </si>
  <si>
    <t>Net Cash Acquired</t>
  </si>
  <si>
    <t>Stock Compensation (Y/Y)</t>
  </si>
  <si>
    <t>Stock Compensation (Q/Q)</t>
  </si>
  <si>
    <t>Expenses with Stock Compensation as a Separate Line Item</t>
  </si>
  <si>
    <t>Microsoft Corp.</t>
  </si>
  <si>
    <t>Shares Analysis</t>
  </si>
  <si>
    <t>Stock Options</t>
  </si>
  <si>
    <t>Beginning Outstanding</t>
  </si>
  <si>
    <t>+ Options Granted</t>
  </si>
  <si>
    <t>- Options Exercised</t>
  </si>
  <si>
    <t>- Options Forfeited/ Cancelled</t>
  </si>
  <si>
    <t>Closing Outstanding</t>
  </si>
  <si>
    <t>Weighted Average Exercise Price of Options Exercised</t>
  </si>
  <si>
    <t>Increase in Exercise Price of Options Exercised</t>
  </si>
  <si>
    <t>Proceeds from Stock Options Exercise</t>
  </si>
  <si>
    <t>Stock Option Drivers</t>
  </si>
  <si>
    <t>Options Granted as % of Beg. Options Outstanding</t>
  </si>
  <si>
    <t>Options Exercised as % of Beg. Options Outstanding</t>
  </si>
  <si>
    <t xml:space="preserve">Dilution ratio </t>
  </si>
  <si>
    <t>Options Forfeited as % of Beg. Options Outstanding</t>
  </si>
  <si>
    <t>Unvested Shares Outstanding</t>
  </si>
  <si>
    <t>+ Issued</t>
  </si>
  <si>
    <t>- Vested</t>
  </si>
  <si>
    <t>- Forfeited / Repurchased</t>
  </si>
  <si>
    <t>Unvested Share Drivers</t>
  </si>
  <si>
    <t>$14.7-14.9B</t>
  </si>
  <si>
    <t>$5.9-6.0B</t>
  </si>
  <si>
    <t>$0.47-0.48</t>
  </si>
  <si>
    <t>6-7%</t>
  </si>
  <si>
    <t>19-20%</t>
  </si>
  <si>
    <t>,mscalc:sedolCodeCalc</t>
  </si>
  <si>
    <t>,mscalc:closePriceCurrencyCalc</t>
  </si>
  <si>
    <t>,mscalc:targetPrice,,,,USD</t>
  </si>
  <si>
    <t>MSFT.O,mscalc:targetPrice</t>
  </si>
  <si>
    <t>(26%)-(23%)</t>
  </si>
  <si>
    <t>Decline QoQ</t>
  </si>
  <si>
    <t>Shares Granted as % of Beg. Outstanding</t>
  </si>
  <si>
    <t>Shares Vested as % of Beg. Outstanding</t>
  </si>
  <si>
    <t>Netbooks</t>
  </si>
  <si>
    <t>Netbooks (w/ Windows XP)</t>
  </si>
  <si>
    <t>Jun-10</t>
  </si>
  <si>
    <t>2010</t>
  </si>
  <si>
    <t>22-24%</t>
  </si>
  <si>
    <t>6/10</t>
  </si>
  <si>
    <t>2'010</t>
  </si>
  <si>
    <t>Shares Forfeited as % of Beg. Outstanding</t>
  </si>
  <si>
    <t>Shared performance Unvested Shares Outstanding</t>
  </si>
  <si>
    <t>Other share issuances/repurchased</t>
  </si>
  <si>
    <t>Net share issued/ repurchased</t>
  </si>
  <si>
    <t>Weighted average Share price</t>
  </si>
  <si>
    <t>Total value of Share issuances/ re-purchases</t>
  </si>
  <si>
    <t>Beginning Basic Shares Outstanding</t>
  </si>
  <si>
    <t>+ Net Shares Issued/ Repurchased</t>
  </si>
  <si>
    <t>+ Stock Options Exercised</t>
  </si>
  <si>
    <t>+ Unvested Shares Vested</t>
  </si>
  <si>
    <t>Windows 7 Units</t>
  </si>
  <si>
    <t>Windows 7 installed base</t>
  </si>
  <si>
    <t>Total PC installed base</t>
  </si>
  <si>
    <t>% of PCs with Windows 7</t>
  </si>
  <si>
    <t>+ Shared Performance Unvested Shares Vested</t>
  </si>
  <si>
    <t>Ending Basic Shares Outstanding</t>
  </si>
  <si>
    <t xml:space="preserve">   % non-acquisition growth in shares</t>
  </si>
  <si>
    <t>Average Basic Shares</t>
  </si>
  <si>
    <t>Average Diluted Shares</t>
  </si>
  <si>
    <t>Mar-09</t>
  </si>
  <si>
    <t>Windows XP-Media Center</t>
  </si>
  <si>
    <t>Windows XP Media Center</t>
  </si>
  <si>
    <t>Dividends</t>
  </si>
  <si>
    <t>Changes in AOCI</t>
  </si>
  <si>
    <t>BOP Shareholder's Equity</t>
  </si>
  <si>
    <t>EOP Shareholder's Equity</t>
  </si>
  <si>
    <t>Check</t>
  </si>
  <si>
    <t>Other changes in AOCI</t>
  </si>
  <si>
    <t>Net Issuance / repurchase of stock</t>
  </si>
  <si>
    <t xml:space="preserve">Unrecorded Goodwill </t>
  </si>
  <si>
    <t>Pre-Tax Profit (incl. Stock Compensation)</t>
  </si>
  <si>
    <t>Total Equity Value</t>
  </si>
  <si>
    <t>Stock Compensation</t>
  </si>
  <si>
    <t>One-Time Stock Transfer Program Expense</t>
  </si>
  <si>
    <t>NA</t>
  </si>
  <si>
    <t>Deferred Taxes</t>
  </si>
  <si>
    <t>6-8%</t>
  </si>
  <si>
    <t>Net Impact</t>
  </si>
  <si>
    <t>Razorfish. OSD --&gt; Other</t>
  </si>
  <si>
    <t>Media Center, Client --&gt; EDD</t>
  </si>
  <si>
    <t>Other, Client --&gt; Other</t>
  </si>
  <si>
    <t>Other, Other --&gt; S&amp;T</t>
  </si>
  <si>
    <t>Other, Other --&gt; OSD</t>
  </si>
  <si>
    <t>New Segmentation -- actuals start Q110</t>
  </si>
  <si>
    <t>Online Services Division</t>
  </si>
  <si>
    <t>2016E</t>
  </si>
  <si>
    <t>2018E</t>
  </si>
  <si>
    <t>Interest Income</t>
  </si>
  <si>
    <t>COGS/Operating Costs</t>
  </si>
  <si>
    <t>Excess cash rate- on BOP</t>
  </si>
  <si>
    <t>Implied interest rate on average balance</t>
  </si>
  <si>
    <t>Amortization Schedule</t>
  </si>
  <si>
    <t>Beginning Gross Intangibles</t>
  </si>
  <si>
    <t>Beginning Net Intangibles</t>
  </si>
  <si>
    <t>Subtractions</t>
  </si>
  <si>
    <t>Adjustments</t>
  </si>
  <si>
    <t>Ending Gross Intangibles</t>
  </si>
  <si>
    <t>Ending Net Intangibles</t>
  </si>
  <si>
    <t>Intangibles- Life</t>
  </si>
  <si>
    <t>Mar-17E</t>
  </si>
  <si>
    <t>Jun-17E</t>
  </si>
  <si>
    <t>C2012A</t>
  </si>
  <si>
    <t>Total Amortization</t>
  </si>
  <si>
    <t>General &amp; Administrative (Q/Q)</t>
  </si>
  <si>
    <t>Research &amp; Development (Y/Y)</t>
  </si>
  <si>
    <t>Research &amp; Development (Q/Q)</t>
  </si>
  <si>
    <t>COGS</t>
  </si>
  <si>
    <t>Latest Calendar Year</t>
  </si>
  <si>
    <t>Unearned Revenue Breakdown</t>
  </si>
  <si>
    <t>% Total Unearned Revenue</t>
  </si>
  <si>
    <t>All Other</t>
  </si>
  <si>
    <t>QoQ Growth</t>
  </si>
  <si>
    <t>Temporal Breakdown</t>
  </si>
  <si>
    <t>Short-Term Unearned Revenue</t>
  </si>
  <si>
    <t>Recognition/Derivative Breakdown</t>
  </si>
  <si>
    <t>Unearned Revenue Added</t>
  </si>
  <si>
    <t>Unearned Revenue Recognized as Revenue</t>
  </si>
  <si>
    <t>Net Change In Unearned Revenue</t>
  </si>
  <si>
    <t>Component Breakdown</t>
  </si>
  <si>
    <t>Volume Licensing Programs</t>
  </si>
  <si>
    <t>Undelivered Elements</t>
  </si>
  <si>
    <t>Upgrade Agreement Component</t>
  </si>
  <si>
    <t>UA Earn-Back</t>
  </si>
  <si>
    <t>Sep-10</t>
  </si>
  <si>
    <t>QoQ Change</t>
  </si>
  <si>
    <t>($ in millions)</t>
  </si>
  <si>
    <t>Current Valuation Date</t>
  </si>
  <si>
    <t>Implied Days Before Valuation Date</t>
  </si>
  <si>
    <t>Implied Days Left After Valuation Date</t>
  </si>
  <si>
    <t>Consolidated Income Statement</t>
  </si>
  <si>
    <t>Non-Split Adjusted Wtd. Avg. Shares Out (Diluted)</t>
  </si>
  <si>
    <t>Split Adjustment</t>
  </si>
  <si>
    <t>Reported EPS</t>
  </si>
  <si>
    <t>COGS (Y/Y)</t>
  </si>
  <si>
    <t>COGS (Q/Q)</t>
  </si>
  <si>
    <t>Expenses (Y/Y)</t>
  </si>
  <si>
    <t>Expenses (Q/Q)</t>
  </si>
  <si>
    <t>Marketing &amp; Sales (Y/Y)</t>
  </si>
  <si>
    <t>Marketing &amp; Sales (Q/Q)</t>
  </si>
  <si>
    <t>General &amp; Administrative (Y/Y)</t>
  </si>
  <si>
    <t>Cash as % of Transaction Cost</t>
  </si>
  <si>
    <t>Stock Portion</t>
  </si>
  <si>
    <t>Special Dividends per Share</t>
  </si>
  <si>
    <t>--</t>
  </si>
  <si>
    <t>Modelware</t>
  </si>
  <si>
    <t>Additions:</t>
  </si>
  <si>
    <t>Subtractions:</t>
  </si>
  <si>
    <t>Adjustments:</t>
  </si>
  <si>
    <t>Other Current Liabilities as % of Annualized OpEx</t>
  </si>
  <si>
    <t>Total Unearned Revenue</t>
  </si>
  <si>
    <t>Piracy</t>
  </si>
  <si>
    <t>Online Services Group</t>
  </si>
  <si>
    <t>Microsoft Business Division</t>
  </si>
  <si>
    <t>Entertainment and Devices</t>
  </si>
  <si>
    <t>Surface Pro</t>
  </si>
  <si>
    <t>Surface RT</t>
  </si>
  <si>
    <t>Total Surface</t>
  </si>
  <si>
    <t>2022E</t>
  </si>
  <si>
    <t>2023E</t>
  </si>
  <si>
    <t>FY13</t>
  </si>
  <si>
    <t>Devices and Consumer</t>
  </si>
  <si>
    <t xml:space="preserve">      YoY</t>
  </si>
  <si>
    <t xml:space="preserve">      QoQ</t>
  </si>
  <si>
    <t>Commercial</t>
  </si>
  <si>
    <t xml:space="preserve">   Total Commercial Revenue</t>
  </si>
  <si>
    <t xml:space="preserve">   Total Consumer &amp; Devices Revenue</t>
  </si>
  <si>
    <t>Corporate and Other Revenue</t>
  </si>
  <si>
    <t xml:space="preserve">   Total Commercial Gross Margin</t>
  </si>
  <si>
    <t xml:space="preserve">   Corporate and Other COGS</t>
  </si>
  <si>
    <t xml:space="preserve">   Corporate and Other Gross Margin</t>
  </si>
  <si>
    <t xml:space="preserve">   Licensing Gross Margin %</t>
  </si>
  <si>
    <t xml:space="preserve">   Other Gross Margin %</t>
  </si>
  <si>
    <t>Total Gross Margin %</t>
  </si>
  <si>
    <t>Common Stock Dividends</t>
  </si>
  <si>
    <t>Proceeds from Sale of Common Stock</t>
  </si>
  <si>
    <t>Repurchase of Common Stock (Treasury Shares)</t>
  </si>
  <si>
    <t>Net Cash Provided by Financing Activities</t>
  </si>
  <si>
    <t>Translation Gains (Losses)</t>
  </si>
  <si>
    <t>Inc. (Dec.) in Cash and Cash Equivalents</t>
  </si>
  <si>
    <t>** Historical PC shipments based on IDC estimates. Forward-looking PC shipments based on Morgan Stanley estimates</t>
  </si>
  <si>
    <t>Beginning Cash and Cash Equivalents</t>
  </si>
  <si>
    <t>Ending Cash and Cash Equivalents</t>
  </si>
  <si>
    <t>DCF Valuation</t>
  </si>
  <si>
    <t>Balance Sheet Metrics</t>
  </si>
  <si>
    <t>% growth Capex</t>
  </si>
  <si>
    <t>Client</t>
  </si>
  <si>
    <t>Server &amp; Tools</t>
  </si>
  <si>
    <t>Total Revenue</t>
  </si>
  <si>
    <t>Booking of Unearned Revenue</t>
  </si>
  <si>
    <t>(Inc.) Dec. in Other Current Assets</t>
  </si>
  <si>
    <t>(Inc.) Dec. in Other Long-Term Assets</t>
  </si>
  <si>
    <t>Inc. (Dec.) in Other Current Liabilities</t>
  </si>
  <si>
    <t>Inc. (Dec.) in Other Long-Term Liabilities</t>
  </si>
  <si>
    <t>Proceeds from Sales/Maturities of Short-Term Investments</t>
  </si>
  <si>
    <t>Adjustment for Historical Periods</t>
  </si>
  <si>
    <t>CHECK ROW</t>
  </si>
  <si>
    <t>Depreciation Waterfall</t>
  </si>
  <si>
    <t>Existing PP&amp;E Life</t>
  </si>
  <si>
    <t>New PP&amp;E Life</t>
  </si>
  <si>
    <t>Total Depreciation</t>
  </si>
  <si>
    <t>Acquisitions</t>
  </si>
  <si>
    <t>Current Stock Price</t>
  </si>
  <si>
    <t>Sep-13</t>
  </si>
  <si>
    <t>Windows OEM non-Pro</t>
  </si>
  <si>
    <t>9/13</t>
  </si>
  <si>
    <t>Gross Margins by Segment</t>
  </si>
  <si>
    <t>OLD SEGMENTS--</t>
  </si>
  <si>
    <t>Average Seasonality</t>
  </si>
  <si>
    <t xml:space="preserve">      YoY ex- Other Revenue</t>
  </si>
  <si>
    <t>Basic Shares Outstanding</t>
  </si>
  <si>
    <t>Debt issuance (repayment)</t>
  </si>
  <si>
    <t>Currency</t>
  </si>
  <si>
    <t>Impact of Upgrade Deferrals</t>
  </si>
  <si>
    <t>YoY Growth Ex-Deferrals</t>
  </si>
  <si>
    <t>QoQ Growth Ex-Deferrals</t>
  </si>
  <si>
    <t>Revenue Ex-Deferrals</t>
  </si>
  <si>
    <t>9/09</t>
  </si>
  <si>
    <t>12/09</t>
  </si>
  <si>
    <t>Count</t>
  </si>
  <si>
    <t>EPS impact from Tech Guarantees</t>
  </si>
  <si>
    <t>Windows 7/8 Home Basic (EM Only)</t>
  </si>
  <si>
    <t xml:space="preserve">    Surface Operating Margin</t>
  </si>
  <si>
    <t xml:space="preserve">     Surface Hardware Revenue</t>
  </si>
  <si>
    <t xml:space="preserve">       YoY Growth</t>
  </si>
  <si>
    <t xml:space="preserve">       QoQ Growth</t>
  </si>
  <si>
    <t xml:space="preserve">   Windows Operating Margin</t>
  </si>
  <si>
    <t xml:space="preserve">   Surface Operating Margin</t>
  </si>
  <si>
    <t>Blended Operating Margin</t>
  </si>
  <si>
    <t>Prior Gross Margin (post FY12, Pre Surface Adds)</t>
  </si>
  <si>
    <t xml:space="preserve">    Surface Gross Margin</t>
  </si>
  <si>
    <t>New Gross Margin (Post Surface Adds)</t>
  </si>
  <si>
    <t>Current Gross Margin</t>
  </si>
  <si>
    <t>Windows Tablet Units</t>
  </si>
  <si>
    <t>% Win 8</t>
  </si>
  <si>
    <t>% Win RT</t>
  </si>
  <si>
    <t xml:space="preserve">  Surface Units</t>
  </si>
  <si>
    <t>Paid Windows Tablet Units</t>
  </si>
  <si>
    <t xml:space="preserve">   Paid Win 8 Tablet Units</t>
  </si>
  <si>
    <t xml:space="preserve">   YoY Change</t>
  </si>
  <si>
    <t xml:space="preserve">   Paid Win RT Tablet Units</t>
  </si>
  <si>
    <t>% of Total PCs</t>
  </si>
  <si>
    <t>Windows 8 Consumer</t>
  </si>
  <si>
    <t>Windows 8 RT</t>
  </si>
  <si>
    <t>Windows 8 Pro</t>
  </si>
  <si>
    <t>PC Peripherals</t>
  </si>
  <si>
    <t>Surface Hardware Revenue (ex-software)</t>
  </si>
  <si>
    <t>Avg. ASP (ex-Software)</t>
  </si>
  <si>
    <t>Avg. ASP (with Software)</t>
  </si>
  <si>
    <t>Windows 8 SKUs</t>
  </si>
  <si>
    <t>Windows RT Surface ASP</t>
  </si>
  <si>
    <t>Windows 8 Surface ASP</t>
  </si>
  <si>
    <t>Win7 / Win8, Net Impact</t>
  </si>
  <si>
    <t xml:space="preserve">     Surface Office Revenue</t>
  </si>
  <si>
    <t>Surface Office ASP</t>
  </si>
  <si>
    <t>Surface Office Revenue</t>
  </si>
  <si>
    <t>Windows RT Surface ASP-- Hardware Only</t>
  </si>
  <si>
    <t>Windows 8 Surface ASP-- Hardware Only</t>
  </si>
  <si>
    <t xml:space="preserve">      YoY Growth</t>
  </si>
  <si>
    <t xml:space="preserve">      QoQ Growth</t>
  </si>
  <si>
    <t xml:space="preserve">      Business Division ex- Surface units</t>
  </si>
  <si>
    <t>CY09</t>
  </si>
  <si>
    <t>CY10</t>
  </si>
  <si>
    <t>CY11</t>
  </si>
  <si>
    <t>CY12</t>
  </si>
  <si>
    <t>CY</t>
  </si>
  <si>
    <t>Client Revenue (Before Deferral)</t>
  </si>
  <si>
    <t>Client Revenue (After Deferral)</t>
  </si>
  <si>
    <t>Upgrade Coupon Deferral</t>
  </si>
  <si>
    <t>Sep-15E</t>
  </si>
  <si>
    <t>Dec-15E</t>
  </si>
  <si>
    <t>Mar-16E</t>
  </si>
  <si>
    <t>Jun-16E</t>
  </si>
  <si>
    <t>Consumer SKUs-- Ex Tablets</t>
  </si>
  <si>
    <t>3/11E</t>
  </si>
  <si>
    <t>2008</t>
  </si>
  <si>
    <t>MSFT.O,mscalc:targetPrice,,,,USD</t>
  </si>
  <si>
    <t>MSFT.O,mscalc:sedolCodeCalc</t>
  </si>
  <si>
    <t>MSFT.O,mscalc:closePriceCurrencyCalc</t>
  </si>
  <si>
    <t/>
  </si>
  <si>
    <t>CY13E</t>
  </si>
  <si>
    <t xml:space="preserve"> </t>
  </si>
  <si>
    <t>Dec-09</t>
  </si>
  <si>
    <t>Proceeds from Sales/Maturities of Long-Term Investments</t>
  </si>
  <si>
    <t>Other Current Assets as % of Annualized OpEx</t>
  </si>
  <si>
    <t>Consolidated Cash Flow Statement</t>
  </si>
  <si>
    <t>Net Income</t>
  </si>
  <si>
    <t>Depreciation and Amortization</t>
  </si>
  <si>
    <t>Mar-04</t>
  </si>
  <si>
    <t>Jun-04</t>
  </si>
  <si>
    <t>Sep-04</t>
  </si>
  <si>
    <t>Dec-04</t>
  </si>
  <si>
    <t>CY08</t>
  </si>
  <si>
    <t>Mar-05</t>
  </si>
  <si>
    <t>Jun-05</t>
  </si>
  <si>
    <t>Sep-05</t>
  </si>
  <si>
    <t>Dec-05</t>
  </si>
  <si>
    <t>Mar-06</t>
  </si>
  <si>
    <t>Jun-06</t>
  </si>
  <si>
    <t>Sep-06</t>
  </si>
  <si>
    <t>Dec-06</t>
  </si>
  <si>
    <t>Mar-07</t>
  </si>
  <si>
    <t>Jun-07</t>
  </si>
  <si>
    <t>Sep-07</t>
  </si>
  <si>
    <t>Dec-07</t>
  </si>
  <si>
    <t>Mar-08</t>
  </si>
  <si>
    <t>Jun-08</t>
  </si>
  <si>
    <t>Sep-08</t>
  </si>
  <si>
    <t xml:space="preserve">Stock option expense, net of tax </t>
  </si>
  <si>
    <t>Operating Net Income (incl. Stock Comp)</t>
  </si>
  <si>
    <t>1990</t>
  </si>
  <si>
    <t>% QoQ Growth</t>
  </si>
  <si>
    <t>Special Dividends Paid</t>
  </si>
  <si>
    <t>Footnotes</t>
  </si>
  <si>
    <t>Investment in intangible assets</t>
  </si>
  <si>
    <t>Current Income Taxes as % of Pre-Tax Profit</t>
  </si>
  <si>
    <t>Other Long-Term Liabilities as % of Annualized OpEx</t>
  </si>
  <si>
    <t>Amortization Waterfall</t>
  </si>
  <si>
    <t>Other-Than-Temporary Impairments</t>
  </si>
  <si>
    <t>Depreciation</t>
  </si>
  <si>
    <t>1989</t>
  </si>
  <si>
    <t>$64.9-66.4B (Withdrew guidance on Q2 call)</t>
  </si>
  <si>
    <t>$24.4-25.5B (Withdrew guidance on Q2 call)</t>
  </si>
  <si>
    <t>$2.00-2.10 (Withdrew guidance on Q2 call)</t>
  </si>
  <si>
    <t>No guidance provided</t>
  </si>
  <si>
    <t>Days Sales in Receivables</t>
  </si>
  <si>
    <t>Days COGS in Inventory</t>
  </si>
  <si>
    <t>Days COGS in Payables</t>
  </si>
  <si>
    <t>Accounts Receivables</t>
  </si>
  <si>
    <t>Gross Accounts Receivable</t>
  </si>
  <si>
    <t>Allowance for Doubtful Accounts - Ending Balance</t>
  </si>
  <si>
    <t>Net Accounts Receivable</t>
  </si>
  <si>
    <t>2017E</t>
  </si>
  <si>
    <t>2019E</t>
  </si>
  <si>
    <t>2020E</t>
  </si>
  <si>
    <t>Days Sales in Gross Receivables</t>
  </si>
  <si>
    <t>Forecasted Acquired Fixed Assets</t>
  </si>
  <si>
    <t>+ Dilutive Stock Options and unvested shares</t>
  </si>
  <si>
    <t>This sheet contains Factset binary data for use with this workbook's =FDS codes.  Modifying the worksheet's contents may damage the workbook's =FDS functionality.</t>
  </si>
  <si>
    <t>Dec-12</t>
  </si>
  <si>
    <t>Revenue ex Deferrals</t>
  </si>
  <si>
    <t>12/12</t>
  </si>
  <si>
    <t>MSFT.O</t>
  </si>
  <si>
    <t>Cost of equity</t>
  </si>
  <si>
    <t>&gt;40%</t>
  </si>
  <si>
    <t>&gt;50%</t>
  </si>
  <si>
    <t>~75%</t>
  </si>
  <si>
    <t>~66%</t>
  </si>
  <si>
    <t>&gt;60%</t>
  </si>
  <si>
    <t>&gt;25%</t>
  </si>
  <si>
    <t>Dec-13</t>
  </si>
  <si>
    <t>12/13</t>
  </si>
  <si>
    <t xml:space="preserve">   High</t>
  </si>
  <si>
    <t xml:space="preserve">   Low</t>
  </si>
  <si>
    <t>Commercial License</t>
  </si>
  <si>
    <t xml:space="preserve">   Midpoint vs. MS</t>
  </si>
  <si>
    <t>OPEX</t>
  </si>
  <si>
    <t xml:space="preserve">   MS vs. Midpoint</t>
  </si>
  <si>
    <t>Windows Enterprise</t>
  </si>
  <si>
    <t>Office Business (+ Dynamics and Unified Communications)</t>
  </si>
  <si>
    <t>Server Tools</t>
  </si>
  <si>
    <t xml:space="preserve">   First Party Video Games</t>
  </si>
  <si>
    <t xml:space="preserve">   Marketplaces</t>
  </si>
  <si>
    <t>Commercial Cloud</t>
  </si>
  <si>
    <t xml:space="preserve">   Azure </t>
  </si>
  <si>
    <t xml:space="preserve">   Office 365 Pro + Dynamics CRM Online</t>
  </si>
  <si>
    <t>Revenue Estimates</t>
  </si>
  <si>
    <t xml:space="preserve"> % Tablet Share</t>
  </si>
  <si>
    <t>Other Windows (Retail, Academic)</t>
  </si>
  <si>
    <t>Consumer Office (non-O365)</t>
  </si>
  <si>
    <t>Total PC Units</t>
  </si>
  <si>
    <t>YoY</t>
  </si>
  <si>
    <t>Windows PC Units</t>
  </si>
  <si>
    <t>Avg. ASP</t>
  </si>
  <si>
    <t>OEM Revenue (Client Unit Model)</t>
  </si>
  <si>
    <t># of Devices</t>
  </si>
  <si>
    <t>Avg. Windows OEM ASP</t>
  </si>
  <si>
    <t>Office Units Shipped (M)</t>
  </si>
  <si>
    <t>Office 365 Home Users</t>
  </si>
  <si>
    <t>% of Base</t>
  </si>
  <si>
    <t>Surface Units Shipped</t>
  </si>
  <si>
    <t>Total Surface Revenue</t>
  </si>
  <si>
    <t>Avg. ASP-- Xbox One</t>
  </si>
  <si>
    <t>Avg. ASP-- Xbox 360</t>
  </si>
  <si>
    <t>Windows Phone Licensing and IP</t>
  </si>
  <si>
    <t>Windows OEM (100%)</t>
  </si>
  <si>
    <t>Win Volume Lic (Academic)</t>
  </si>
  <si>
    <t>Office Consumer (non-O365)</t>
  </si>
  <si>
    <t xml:space="preserve">Surface </t>
  </si>
  <si>
    <t>Windows Live</t>
  </si>
  <si>
    <t>O365 Home Premium</t>
  </si>
  <si>
    <t>Win Retail (90%)</t>
  </si>
  <si>
    <t>Xbox 360 Units Shipped</t>
  </si>
  <si>
    <t>Xbox One Units Shipped</t>
  </si>
  <si>
    <t>Xbox 360 Revenue</t>
  </si>
  <si>
    <t>Xbox One Revenue</t>
  </si>
  <si>
    <t>Total D&amp;C Licensing</t>
  </si>
  <si>
    <t>QoQ</t>
  </si>
  <si>
    <t>3 Yr Avg. QoQ</t>
  </si>
  <si>
    <t>Total D&amp;C Other</t>
  </si>
  <si>
    <t>Avg. ASP of Xbox Game</t>
  </si>
  <si>
    <t>First Party Game Units</t>
  </si>
  <si>
    <t>First Party Video Games Revenue</t>
  </si>
  <si>
    <t>Net New O365 Users</t>
  </si>
  <si>
    <t>O365 Units Up for Renewal</t>
  </si>
  <si>
    <t>Renewal Rate</t>
  </si>
  <si>
    <t>Renewal O365 Units</t>
  </si>
  <si>
    <t>New O365 Units</t>
  </si>
  <si>
    <t>O365 Avg. ASP</t>
  </si>
  <si>
    <t>O365 Billings</t>
  </si>
  <si>
    <t>% of Billings</t>
  </si>
  <si>
    <t>O365 Home Premium Revenue</t>
  </si>
  <si>
    <t>Total O365 Units Billed</t>
  </si>
  <si>
    <t>% O365</t>
  </si>
  <si>
    <t>Net Subscription Impact</t>
  </si>
  <si>
    <t>Consumer Office Analysis</t>
  </si>
  <si>
    <t>Perpetual Office Est. Installed Base-- Consumer</t>
  </si>
  <si>
    <t>Consumer Office Installed Base</t>
  </si>
  <si>
    <t>Gross Subscription Impact</t>
  </si>
  <si>
    <t>Total Commercial Licensing</t>
  </si>
  <si>
    <t>Total Commercial Other</t>
  </si>
  <si>
    <t>Other Revenue</t>
  </si>
  <si>
    <t>Drivers Detail</t>
  </si>
  <si>
    <t>% Total Office Units Shipped</t>
  </si>
  <si>
    <t>Total Office Units Sold (Office + O365)</t>
  </si>
  <si>
    <t>Total Consumer Office Revenue</t>
  </si>
  <si>
    <t>C2013A</t>
  </si>
  <si>
    <t>CY2012</t>
  </si>
  <si>
    <t>CY2013</t>
  </si>
  <si>
    <t>Mar-14</t>
  </si>
  <si>
    <t>Nokia Devices</t>
  </si>
  <si>
    <t>Nokia Units</t>
  </si>
  <si>
    <t xml:space="preserve">     Organic YoY</t>
  </si>
  <si>
    <t xml:space="preserve">      YoY Organic</t>
  </si>
  <si>
    <t>Office 365</t>
  </si>
  <si>
    <t>FY14</t>
  </si>
  <si>
    <t>FY15</t>
  </si>
  <si>
    <t>FY16</t>
  </si>
  <si>
    <t>FY17</t>
  </si>
  <si>
    <t xml:space="preserve">   Computing and Gaming Revenue</t>
  </si>
  <si>
    <t>Computing and Gaming</t>
  </si>
  <si>
    <t>Phone Hardware</t>
  </si>
  <si>
    <t xml:space="preserve">    Phone Hardware</t>
  </si>
  <si>
    <t>Computing and Gaming Hardware</t>
  </si>
  <si>
    <t xml:space="preserve">   Computing and Gaming COGS</t>
  </si>
  <si>
    <t xml:space="preserve">   Computing and Gaming Gross Profit</t>
  </si>
  <si>
    <t xml:space="preserve">   Computing and Gaming Gross Margin %</t>
  </si>
  <si>
    <t xml:space="preserve">   Phone Hardware COGS</t>
  </si>
  <si>
    <t xml:space="preserve">   Phone Hardware Gross Profit</t>
  </si>
  <si>
    <t xml:space="preserve">   Phone Hardware Gross Margin %</t>
  </si>
  <si>
    <t>Jun-14</t>
  </si>
  <si>
    <t>2014</t>
  </si>
  <si>
    <t>21-23%</t>
  </si>
  <si>
    <t>Total Computing and Gaming Hardware</t>
  </si>
  <si>
    <t>Total Phone Hardware</t>
  </si>
  <si>
    <t>3/14</t>
  </si>
  <si>
    <t>6/14</t>
  </si>
  <si>
    <t>Commercial Other Billings</t>
  </si>
  <si>
    <t>Commercial Licensing Billings</t>
  </si>
  <si>
    <t>Total Commercial Billings</t>
  </si>
  <si>
    <t>CY16</t>
  </si>
  <si>
    <t>Sep-14</t>
  </si>
  <si>
    <t>CY2017</t>
  </si>
  <si>
    <t>Mar-18E</t>
  </si>
  <si>
    <t>Jun-18E</t>
  </si>
  <si>
    <t>CY2017E</t>
  </si>
  <si>
    <t>CY17e</t>
  </si>
  <si>
    <t>FY18E</t>
  </si>
  <si>
    <t>CY17E</t>
  </si>
  <si>
    <t>FC Consensus</t>
  </si>
  <si>
    <t>Dec-14</t>
  </si>
  <si>
    <t>Mar-15</t>
  </si>
  <si>
    <t xml:space="preserve">      YoY cc</t>
  </si>
  <si>
    <t>YoY Growth CC</t>
  </si>
  <si>
    <t>Jun-15</t>
  </si>
  <si>
    <t>2015</t>
  </si>
  <si>
    <t>YoY Growth cc</t>
  </si>
  <si>
    <t>Total Non-GAAP Revenue</t>
  </si>
  <si>
    <t>Total GAAP Revenue</t>
  </si>
  <si>
    <t>Windows Deferral</t>
  </si>
  <si>
    <t>Total Unearned Revenue With Windows Deferral</t>
  </si>
  <si>
    <t>Total Unearned Revenue Without Windows Deferral</t>
  </si>
  <si>
    <t>Windows OEM Billings</t>
  </si>
  <si>
    <t>Change in Windows OEM Deferred Revenue</t>
  </si>
  <si>
    <t>Windows OEM Deferred Revenue BoP</t>
  </si>
  <si>
    <t>Windows OEM Deferred Revenue EoP</t>
  </si>
  <si>
    <t>Old Reporting Segments -- Changed 9/29/2015</t>
  </si>
  <si>
    <t>Revenue by Segment</t>
  </si>
  <si>
    <t>Productivity and Business Processes</t>
  </si>
  <si>
    <t>Productivity and Business Processes Revenue</t>
  </si>
  <si>
    <t>Intelligent Cloud</t>
  </si>
  <si>
    <t>Intelligent Cloud Revenue</t>
  </si>
  <si>
    <t>More Personal Computing</t>
  </si>
  <si>
    <t>More Personal Computing Revenue</t>
  </si>
  <si>
    <t>Operating Margins by Segment</t>
  </si>
  <si>
    <t>Productivity and Business Processes OpEx</t>
  </si>
  <si>
    <t>Productivity and Business Processes Op. Inc. $</t>
  </si>
  <si>
    <t>Productivity and Business Processes Op.Margin %</t>
  </si>
  <si>
    <t>Intelligent Cloud OpEx</t>
  </si>
  <si>
    <t>Intelligent Cloud Op. Inc. $</t>
  </si>
  <si>
    <t>Intelligent Cloud Op.Margin %</t>
  </si>
  <si>
    <t>More Personal Computing OpEx</t>
  </si>
  <si>
    <t>More Personal Computing Op. Inc. $</t>
  </si>
  <si>
    <t>More Personal Computing Op.Margin %</t>
  </si>
  <si>
    <t>Total Non-GAAP Operating Expenses</t>
  </si>
  <si>
    <t>Total Non-GAAP Operating Income</t>
  </si>
  <si>
    <t>Total Non-GAAP Operating Margin</t>
  </si>
  <si>
    <t>Total GAAP Operating Income</t>
  </si>
  <si>
    <t>Impairment, Integration &amp; Restructuring</t>
  </si>
  <si>
    <t>Office Consumer Total</t>
  </si>
  <si>
    <t>O365 Consumer</t>
  </si>
  <si>
    <t>Windows OEM</t>
  </si>
  <si>
    <t>Windows Volume Licensing (Enterprise &amp; Academics)</t>
  </si>
  <si>
    <t>Search Advertising &amp; Online Services</t>
  </si>
  <si>
    <t>O365 Commercial</t>
  </si>
  <si>
    <t>Total Xbox Console Revenue</t>
  </si>
  <si>
    <t>Corporate and Other, ex-Deferred Windows Rev</t>
  </si>
  <si>
    <t>Productivity and Business Processes COGS</t>
  </si>
  <si>
    <t>Productivity and Business Processes Gross Profit $</t>
  </si>
  <si>
    <t>Productivity and Business Processes Gross Margin %</t>
  </si>
  <si>
    <t>Intelligent Cloud COGS</t>
  </si>
  <si>
    <t>More Personal Computing COGS</t>
  </si>
  <si>
    <t>Intelligent Cloud Gross Profit $</t>
  </si>
  <si>
    <t>More Personal Computing Gross Profit $</t>
  </si>
  <si>
    <t>Intelligent Cloud Gross Margin %</t>
  </si>
  <si>
    <t>More Personal Computing Gross Margin %</t>
  </si>
  <si>
    <t>Total Non-GAAP COGS</t>
  </si>
  <si>
    <t>Total Non-GAAP Gross Profit $</t>
  </si>
  <si>
    <t>Total Non-GAAP Gross Margin %</t>
  </si>
  <si>
    <t>Additional Detail</t>
  </si>
  <si>
    <t>Corporate and Other</t>
  </si>
  <si>
    <t>Sep-15</t>
  </si>
  <si>
    <t>Corporate &amp; Other Op Income</t>
  </si>
  <si>
    <t>Commercial Unearned (lic + other)</t>
  </si>
  <si>
    <t>Total Commercial Revenue</t>
  </si>
  <si>
    <t>Other COGS</t>
  </si>
  <si>
    <t>Other GP $</t>
  </si>
  <si>
    <t>YoY Gross Profit $ Growth</t>
  </si>
  <si>
    <t>YoY Operating Income $ Growth</t>
  </si>
  <si>
    <t>19-21%</t>
  </si>
  <si>
    <t>Implied Total Revenue Low ex-Other</t>
  </si>
  <si>
    <t>Implied Total Revenue High ex-Other</t>
  </si>
  <si>
    <t>Unearned Revenue ($ in millions)</t>
  </si>
  <si>
    <t xml:space="preserve">      Total</t>
  </si>
  <si>
    <t>Unearned Revenue (as % of total)</t>
  </si>
  <si>
    <t>By Segment</t>
  </si>
  <si>
    <t>Billings By Segment</t>
  </si>
  <si>
    <t>Productivity and Business Processes Billings</t>
  </si>
  <si>
    <t>Intelligent Cloud Billings</t>
  </si>
  <si>
    <t>More Personal Computing Billings</t>
  </si>
  <si>
    <t>% Paid Windows PC Units</t>
  </si>
  <si>
    <t>Paid Windows PC Units</t>
  </si>
  <si>
    <t>% Windows Tablets</t>
  </si>
  <si>
    <t>% OEM Pro</t>
  </si>
  <si>
    <t>Cash Onshore BOP</t>
  </si>
  <si>
    <t>-30% Capex</t>
  </si>
  <si>
    <t>-Dividends</t>
  </si>
  <si>
    <t>-Share Repurchases</t>
  </si>
  <si>
    <t>Cash Onshore EOP</t>
  </si>
  <si>
    <t>Offshore Cash EOP</t>
  </si>
  <si>
    <t>+ Onshore Debt Issuance</t>
  </si>
  <si>
    <t>Other Income and Expense</t>
  </si>
  <si>
    <t>Dec-15</t>
  </si>
  <si>
    <t>Worldwide Tablet &amp; 2-in-1 Units</t>
  </si>
  <si>
    <t>Other Xbox Hardware and Peripherals</t>
  </si>
  <si>
    <t>Total Xbox Hardware Revenue</t>
  </si>
  <si>
    <t>Total Xbox Console Installed Base (5-Yr)</t>
  </si>
  <si>
    <t>Xbox Live (Transactions, Subscriptions, &amp; Ads) + 3rd Party Royalties</t>
  </si>
  <si>
    <t>Total Gaming Revenue</t>
  </si>
  <si>
    <t>Xbox (Hardware, Xbox Live, Video Games, 3rd Party Royalties)</t>
  </si>
  <si>
    <t>Mar-16</t>
  </si>
  <si>
    <t>20-21%</t>
  </si>
  <si>
    <t>Implied Gross Margin $'s at Mid-pt</t>
  </si>
  <si>
    <t>Implied Gross Margin % at Mid-pt</t>
  </si>
  <si>
    <t>Implied Operating Income $'s at Mid-pt</t>
  </si>
  <si>
    <t>Implied Operating Margin % at Mid-pt</t>
  </si>
  <si>
    <t>C2015</t>
  </si>
  <si>
    <t>Implied Pre-tax Income</t>
  </si>
  <si>
    <t>Implied Net Income</t>
  </si>
  <si>
    <t>Implied EPS</t>
  </si>
  <si>
    <t>Model</t>
  </si>
  <si>
    <t>Sep-18E</t>
  </si>
  <si>
    <t>Dec-18E</t>
  </si>
  <si>
    <t>Mar-19E</t>
  </si>
  <si>
    <t>Jun-19E</t>
  </si>
  <si>
    <t>FY19E</t>
  </si>
  <si>
    <t>CY2018</t>
  </si>
  <si>
    <t>CY2018E</t>
  </si>
  <si>
    <t>CY2015</t>
  </si>
  <si>
    <t>CY18E</t>
  </si>
  <si>
    <t>2024E</t>
  </si>
  <si>
    <t>2025E</t>
  </si>
  <si>
    <t>2026E</t>
  </si>
  <si>
    <t>One Year Forward Price:</t>
  </si>
  <si>
    <t>Feature Phones Units</t>
  </si>
  <si>
    <t>Feature Phone ASP</t>
  </si>
  <si>
    <t>Feature Phone Revenue</t>
  </si>
  <si>
    <t>Smartphone ASP</t>
  </si>
  <si>
    <t>Smartphone Units</t>
  </si>
  <si>
    <t>Smartphone Revenue</t>
  </si>
  <si>
    <t>Total Phone Hardware Revenue</t>
  </si>
  <si>
    <t>Windows Embedded &amp; Other</t>
  </si>
  <si>
    <t>Windows Phone Licensing, IP, Embedded &amp; Other</t>
  </si>
  <si>
    <t>MSFT.O,mstag:transfersFromToRegulatoryReservesRecognizedInProfitAndLoss,2019FY,,FYR,,,IN-PROGRESS</t>
  </si>
  <si>
    <t>#Refresh#</t>
  </si>
  <si>
    <t>MSFT.O,mscalc:operatingAssets,2018FY,,FYR,,,IN-PROGRESS</t>
  </si>
  <si>
    <t>MSFT.O,mstag:preferredEquity,2017FY,,FYR,,,IN-PROGRESS</t>
  </si>
  <si>
    <t>MSFT.O,mstag:statutoryTaxRate,2011FY,,FYR,,,IN-PROGRESS</t>
  </si>
  <si>
    <t>MSFT.O,mscalc:pensionAndOpebAdjustment,2014FY,,FYR,,,IN-PROGRESS</t>
  </si>
  <si>
    <t>MSFT.O,mstag:amortizationOfNonTaxableOtherIntangiblesInIncomeStatement,2020FY,,FYR,,,IN-PROGRESS</t>
  </si>
  <si>
    <t>MSFT.O,mscalc:directorAndEmployeeCompensationJapanAndTaiwanInEarnings,2020FY,,FYR,,,IN-PROGRESS</t>
  </si>
  <si>
    <t>MSFT.O,mscalc:netFinancialIncomeExpensePretax,2015FY,,FYR,,,IN-PROGRESS</t>
  </si>
  <si>
    <t>MSFT.O,mstag:securitizedAssetsNonFinancialServices,2017FY,,FYR,,,IN-PROGRESS</t>
  </si>
  <si>
    <t>MSFT.O,mscalc:pensionAndOpebAdjustment,2011FY,,FYR,,,IN-PROGRESS</t>
  </si>
  <si>
    <t>MSFT.O,mstag:securitizedAssetsNonFinancialServices,2011FY,,FYR,,,IN-PROGRESS</t>
  </si>
  <si>
    <t>MSFT.O,mscalc:shareholdersEquity,2010FY,,FYR,,,IN-PROGRESS</t>
  </si>
  <si>
    <t>MSFT.O,mstag:amortizationOfNonTaxableOtherIntangiblesInIncomeStatement,2011FY,,FYR,,,IN-PROGRESS</t>
  </si>
  <si>
    <t>MSFT.O,mstag:impliedCapitalizedOperatingLeaseObligationsLessee,2011FY,,FYR,,,IN-PROGRESS</t>
  </si>
  <si>
    <t>MSFT.O,mscalc:operatingExpenses,2017FY,,FYR,,,IN-PROGRESS</t>
  </si>
  <si>
    <t>MSFT.O,mscalc:taxExpensetotal,2017FY,,FYR,,,IN-PROGRESS</t>
  </si>
  <si>
    <t>MSFT.O,mscalc:otherNonOperatingAssetsLiabilities,2011FY,,FYR,,,IN-PROGRESS</t>
  </si>
  <si>
    <t>MSFT.O,mstag:notesReceivable,2014FY,,FYR,,,IN-PROGRESS</t>
  </si>
  <si>
    <t>MSFT.O,mscalc:operatingAssets,2019FY,,FYR,,,IN-PROGRESS</t>
  </si>
  <si>
    <t>MSFT.O,mscalc:shortAndLongtermDebt,2010FY,,FYR,,,IN-PROGRESS</t>
  </si>
  <si>
    <t>MSFT.O,mscalc:operatingAssets,2017FY,,FYR,,,IN-PROGRESS</t>
  </si>
  <si>
    <t>MSFT.O,mscalc:pensionAndOpebAdjustment,2010FY,,FYR,,,IN-PROGRESS</t>
  </si>
  <si>
    <t>MSFT.O,mstag:incomeLossFromInvestmentsAccountedForUnderTheEquityMethodOperatingIncomeStatement,2013FY,,FYR,,,IN-PROGRESS</t>
  </si>
  <si>
    <t>MSFT.O,mstag:incomeLossFromInvestmentsAccountedForUnderTheEquityMethodOperatingIncomeStatement,2020FY,,FYR,,,IN-PROGRESS</t>
  </si>
  <si>
    <t>MSFT.O,mscalc:shareholdersEquity,2012FY,,FYR,,,IN-PROGRESS</t>
  </si>
  <si>
    <t>MSFT.O,mscalc:financingTaxesNet,2019FY,,FYR,,,IN-PROGRESS</t>
  </si>
  <si>
    <t>MSFT.O,mscalc:operatingLiabilities,2016FY,,FYR,,,IN-PROGRESS</t>
  </si>
  <si>
    <t>MSFT.O,mscalc:operatingLiabilities,2019FY,,FYR,,,IN-PROGRESS</t>
  </si>
  <si>
    <t>MSFT.O,mscalc:otheroperatingIncomeExpense,2017FY,,FYR,,,IN-PROGRESS</t>
  </si>
  <si>
    <t>MSFT.O,mstag:statutoryTaxRate,2016FY,,FYR,,,IN-PROGRESS</t>
  </si>
  <si>
    <t>MSFT.O,mstag:securitizedAssetsNonFinancialServices,2016FY,,FYR,,,IN-PROGRESS</t>
  </si>
  <si>
    <t>MSFT.O,mscalc:operatingLiabilities,2013FY,,FYR,,,IN-PROGRESS</t>
  </si>
  <si>
    <t>MSFT.O,mscalc:netFinancialIncomeExpensePretax,2019FY,,FYR,,,IN-PROGRESS</t>
  </si>
  <si>
    <t>MSFT.O,mscalc:taxExpensetotal,2015FY,,FYR,,,IN-PROGRESS</t>
  </si>
  <si>
    <t>MSFT.O,mscalc:directorAndEmployeeCompensationJapanAndTaiwanInEarnings,2018FY,,FYR,,,IN-PROGRESS</t>
  </si>
  <si>
    <t>MSFT.O,mscalc:otherNonOperatingAssetsLiabilities,2019FY,,FYR,,,IN-PROGRESS</t>
  </si>
  <si>
    <t>MSFT.O,mscalc:directorAndEmployeeCompensationJapanAndTaiwanInEarnings,2017FY,,FYR,,,IN-PROGRESS</t>
  </si>
  <si>
    <t>MSFT.O,mscalc:operatingLiabilities,2018FY,,FYR,,,IN-PROGRESS</t>
  </si>
  <si>
    <t>MSFT.O,mstag:incomeLossFromInvestmentsAccountedForUnderTheEquityMethodOperatingIncomeStatement,2014FY,,FYR,,,IN-PROGRESS</t>
  </si>
  <si>
    <t>MSFT.O,mscalc:shortAndLongtermDebt,2017FY,,FYR,,,IN-PROGRESS</t>
  </si>
  <si>
    <t>MSFT.O,mscalc:directorAndEmployeeCompensationJapanAndTaiwanInEarnings,2012FY,,FYR,,,IN-PROGRESS</t>
  </si>
  <si>
    <t>MSFT.O,mscalc:operatingRevenue,2013FY,,FYR,,,IN-PROGRESS</t>
  </si>
  <si>
    <t>MSFT.O,mscalc:directorAndEmployeeCompensationJapanAndTaiwanInEarnings,2015FY,,FYR,,,IN-PROGRESS</t>
  </si>
  <si>
    <t>MSFT.O,mscalc:taxExpenseFromOperations,2011FY,,FYR,,,IN-PROGRESS</t>
  </si>
  <si>
    <t>MSFT.O,mstag:amortizationOfNonTaxableOtherIntangiblesInIncomeStatement,2015FY,,FYR,,,IN-PROGRESS</t>
  </si>
  <si>
    <t>MSFT.O,mscalc:taxExpenseFromOperations,2014FY,,FYR,,,IN-PROGRESS</t>
  </si>
  <si>
    <t>MSFT.O,mstag:statutoryTaxRate,2012FY,,FYR,,,IN-PROGRESS</t>
  </si>
  <si>
    <t>MSFT.O,mstag:notesReceivable,2012FY,,FYR,,,IN-PROGRESS</t>
  </si>
  <si>
    <t>MSFT.O,mstag:cashAndCashEquivalents,2016FY,,FYR,,,IN-PROGRESS</t>
  </si>
  <si>
    <t>MSFT.O,mscalc:operatingLiabilities,2010FY,,FYR,,,IN-PROGRESS</t>
  </si>
  <si>
    <t>MSFT.O,mscalc:otheroperatingIncomeExpense,2015FY,,FYR,,,IN-PROGRESS</t>
  </si>
  <si>
    <t>MSFT.O,mscalc:otherNonoperatingIncomeExpensePretax,2019FY,,FYR,,,IN-PROGRESS</t>
  </si>
  <si>
    <t>MSFT.O,mstag:transfersFromToRegulatoryReservesRecognizedInProfitAndLoss,2011FY,,FYR,,,IN-PROGRESS</t>
  </si>
  <si>
    <t>MSFT.O,mstag:incomeLossFromInvestmentsAccountedForUnderTheEquityMethodOperatingIncomeStatement,2012FY,,FYR,,,IN-PROGRESS</t>
  </si>
  <si>
    <t>MSFT.O,mscalc:shareholdersEquity,2016FY,,FYR,,,IN-PROGRESS</t>
  </si>
  <si>
    <t>MSFT.O,mscalc:operatingRevenue,2016FY,,FYR,,,IN-PROGRESS</t>
  </si>
  <si>
    <t>MSFT.O,mscalc:shortAndLongtermDebt,2013FY,,FYR,,,IN-PROGRESS</t>
  </si>
  <si>
    <t>MSFT.O,mscalc:shareholdersEquity,2015FY,,FYR,,,IN-PROGRESS</t>
  </si>
  <si>
    <t>MSFT.O,mscalc:netFinancialIncomeExpensePretax,2018FY,,FYR,,,IN-PROGRESS</t>
  </si>
  <si>
    <t>MSFT.O,mscalc:otherNonoperatingIncomeExpensePretax,2014FY,,FYR,,,IN-PROGRESS</t>
  </si>
  <si>
    <t>MSFT.O,mscalc:financingTaxesNet,2016FY,,FYR,,,IN-PROGRESS</t>
  </si>
  <si>
    <t>MSFT.O,mscalc:taxExpensetotal,2018FY,,FYR,,,IN-PROGRESS</t>
  </si>
  <si>
    <t>MSFT.O,mscalc:operatingLiabilities,2011FY,,FYR,,,IN-PROGRESS</t>
  </si>
  <si>
    <t>MSFT.O,mstag:securitizedAssetsNonFinancialServices,2012FY,,FYR,,,IN-PROGRESS</t>
  </si>
  <si>
    <t>MSFT.O,mscalc:otheroperatingIncomeExpense,2014FY,,FYR,,,IN-PROGRESS</t>
  </si>
  <si>
    <t>MSFT.O,mscalc:shareholdersEquity,2017FY,,FYR,,,IN-PROGRESS</t>
  </si>
  <si>
    <t>MSFT.O,mstag:investmentsNonOperating,2015FY,,FYR,,,IN-PROGRESS</t>
  </si>
  <si>
    <t>MSFT.O,mstag:preferredEquity,2018FY,,FYR,,,IN-PROGRESS</t>
  </si>
  <si>
    <t>MSFT.O,mstag:cashAndCashEquivalents,2019FY,,FYR,,,IN-PROGRESS</t>
  </si>
  <si>
    <t>MSFT.O,mstag:impliedCapitalizedOperatingLeaseObligationsLessee,2014FY,,FYR,,,IN-PROGRESS</t>
  </si>
  <si>
    <t>MSFT.O,mstag:investmentsNonOperating,2011FY,,FYR,,,IN-PROGRESS</t>
  </si>
  <si>
    <t>MSFT.O,mscalc:otherNonOperatingAssetsLiabilities,2017FY,,FYR,,,IN-PROGRESS</t>
  </si>
  <si>
    <t>MSFT.O,mstag:cashAndCashEquivalents,2017FY,,FYR,,,IN-PROGRESS</t>
  </si>
  <si>
    <t>MSFT.O,mscalc:otherNonOperatingAssetsLiabilities,2016FY,,FYR,,,IN-PROGRESS</t>
  </si>
  <si>
    <t>MSFT.O,mscalc:taxExpenseFromOperations,2019FY,,FYR,,,IN-PROGRESS</t>
  </si>
  <si>
    <t>MSFT.O,mscalc:otherNonoperatingIncomeExpensePretax,2013FY,,FYR,,,IN-PROGRESS</t>
  </si>
  <si>
    <t>MSFT.O,mstag:amortizationOfNonTaxableOtherIntangiblesInIncomeStatement,2019FY,,FYR,,,IN-PROGRESS</t>
  </si>
  <si>
    <t>MSFT.O,mstag:preferredEquity,2010FY,,FYR,,,IN-PROGRESS</t>
  </si>
  <si>
    <t>MSFT.O,mscalc:pensionAndOpebAdjustment,2018FY,,FYR,,,IN-PROGRESS</t>
  </si>
  <si>
    <t>MSFT.O,mstag:transfersFromToRegulatoryReservesRecognizedInProfitAndLoss,2012FY,,FYR,,,IN-PROGRESS</t>
  </si>
  <si>
    <t>MSFT.O,mscalc:taxExpenseFromOperations,2013FY,,FYR,,,IN-PROGRESS</t>
  </si>
  <si>
    <t>MSFT.O,mstag:transfersFromToRegulatoryReservesRecognizedInProfitAndLoss,2015FY,,FYR,,,IN-PROGRESS</t>
  </si>
  <si>
    <t>MSFT.O,mscalc:financingTaxesNet,2011FY,,FYR,,,IN-PROGRESS</t>
  </si>
  <si>
    <t>MSFT.O,mscalc:taxExpensetotal,2012FY,,FYR,,,IN-PROGRESS</t>
  </si>
  <si>
    <t>MSFT.O,mstag:incomeLossFromInvestmentsAccountedForUnderTheEquityMethodOperatingIncomeStatement,2016FY,,FYR,,,IN-PROGRESS</t>
  </si>
  <si>
    <t>MSFT.O,mstag:preferredEquity,2016FY,,FYR,,,IN-PROGRESS</t>
  </si>
  <si>
    <t>MSFT.O,mscalc:operatingRevenue,2017FY,,FYR,,,IN-PROGRESS</t>
  </si>
  <si>
    <t>MSFT.O,mstag:statutoryTaxRate,2014FY,,FYR,,,IN-PROGRESS</t>
  </si>
  <si>
    <t>MSFT.O,mscalc:otherNonOperatingAssetsLiabilities,2010FY,,FYR,,,IN-PROGRESS</t>
  </si>
  <si>
    <t>MSFT.O,mscalc:taxExpenseFromOperations,2015FY,,FYR,,,IN-PROGRESS</t>
  </si>
  <si>
    <t>MSFT.O,mscalc:directorAndEmployeeCompensationJapanAndTaiwanInEarnings,2014FY,,FYR,,,IN-PROGRESS</t>
  </si>
  <si>
    <t>MSFT.O,mscalc:operatingAssets,2013FY,,FYR,,,IN-PROGRESS</t>
  </si>
  <si>
    <t>MSFT.O,mscalc:otherNonOperatingAssetsLiabilities,2013FY,,FYR,,,IN-PROGRESS</t>
  </si>
  <si>
    <t>MSFT.O,mstag:securitizedAssetsNonFinancialServices,2010FY,,FYR,,,IN-PROGRESS</t>
  </si>
  <si>
    <t>MSFT.O,mstag:amortizationOfNonTaxableOtherIntangiblesInIncomeStatement,2017FY,,FYR,,,IN-PROGRESS</t>
  </si>
  <si>
    <t>MSFT.O,mstag:incomeLossFromInvestmentsAccountedForUnderTheEquityMethodOperatingIncomeStatement,2019FY,,FYR,,,IN-PROGRESS</t>
  </si>
  <si>
    <t>MSFT.O,mscalc:otherNonoperatingIncomeExpensePretax,2016FY,,FYR,,,IN-PROGRESS</t>
  </si>
  <si>
    <t>MSFT.O,mstag:securitizedAssetsNonFinancialServices,2018FY,,FYR,,,IN-PROGRESS</t>
  </si>
  <si>
    <t>MSFT.O,mstag:impliedCapitalizedOperatingLeaseObligationsLessee,2010FY,,FYR,,,IN-PROGRESS</t>
  </si>
  <si>
    <t>MSFT.O,mstag:transfersFromToRegulatoryReservesRecognizedInProfitAndLoss,2016FY,,FYR,,,IN-PROGRESS</t>
  </si>
  <si>
    <t>MSFT.O,mscalc:otheroperatingIncomeExpense,2013FY,,FYR,,,IN-PROGRESS</t>
  </si>
  <si>
    <t>MSFT.O,mstag:impliedCapitalizedOperatingLeaseObligationsLessee,2013FY,,FYR,,,IN-PROGRESS</t>
  </si>
  <si>
    <t>MSFT.O,mstag:securitizedAssetsNonFinancialServices,2014FY,,FYR,,,IN-PROGRESS</t>
  </si>
  <si>
    <t>MSFT.O,mscalc:operatingRevenue,2015FY,,FYR,,,IN-PROGRESS</t>
  </si>
  <si>
    <t>MSFT.O,mstag:transfersFromToRegulatoryReservesRecognizedInProfitAndLoss,2017FY,,FYR,,,IN-PROGRESS</t>
  </si>
  <si>
    <t>MSFT.O,mscalc:shortAndLongtermDebt,2011FY,,FYR,,,IN-PROGRESS</t>
  </si>
  <si>
    <t>MSFT.O,mstag:transfersFromToRegulatoryReservesRecognizedInProfitAndLoss,2014FY,,FYR,,,IN-PROGRESS</t>
  </si>
  <si>
    <t>MSFT.O,mscalc:shareholdersEquity,2019FY,,FYR,,,IN-PROGRESS</t>
  </si>
  <si>
    <t>MSFT.O,mstag:amortizationOfNonTaxableOtherIntangiblesInIncomeStatement,2012FY,,FYR,,,IN-PROGRESS</t>
  </si>
  <si>
    <t>MSFT.O,mstag:investmentsNonOperating,2012FY,,FYR,,,IN-PROGRESS</t>
  </si>
  <si>
    <t>MSFT.O,mscalc:operatingRevenue,2014FY,,FYR,,,IN-PROGRESS</t>
  </si>
  <si>
    <t>MSFT.O,mstag:investmentsNonOperating,2018FY,,FYR,,,IN-PROGRESS</t>
  </si>
  <si>
    <t>MSFT.O,mscalc:operatingAssets,2011FY,,FYR,,,IN-PROGRESS</t>
  </si>
  <si>
    <t>MSFT.O,mscalc:shortAndLongtermDebt,2018FY,,FYR,,,IN-PROGRESS</t>
  </si>
  <si>
    <t>MSFT.O,mscalc:otherNonOperatingAssetsLiabilities,2012FY,,FYR,,,IN-PROGRESS</t>
  </si>
  <si>
    <t>MSFT.O,mscalc:otheroperatingIncomeExpense,2018FY,,FYR,,,IN-PROGRESS</t>
  </si>
  <si>
    <t>MSFT.O,mstag:notesReceivable,2013FY,,FYR,,,IN-PROGRESS</t>
  </si>
  <si>
    <t>MSFT.O,mstag:preferredEquity,2013FY,,FYR,,,IN-PROGRESS</t>
  </si>
  <si>
    <t>MSFT.O,mscalc:pensionAndOpebAdjustment,2012FY,,FYR,,,IN-PROGRESS</t>
  </si>
  <si>
    <t>MSFT.O,mscalc:operatingExpenses,2012FY,,FYR,,,IN-PROGRESS</t>
  </si>
  <si>
    <t>MSFT.O,mscalc:directorAndEmployeeCompensationJapanAndTaiwanInEarnings,2016FY,,FYR,,,IN-PROGRESS</t>
  </si>
  <si>
    <t>MSFT.O,mscalc:taxExpenseFromOperations,2020FY,,FYR,,,IN-PROGRESS</t>
  </si>
  <si>
    <t>MSFT.O,mscalc:pensionAndOpebAdjustment,2016FY,,FYR,,,IN-PROGRESS</t>
  </si>
  <si>
    <t>MSFT.O,mstag:amortizationOfNonTaxableOtherIntangiblesInIncomeStatement,2016FY,,FYR,,,IN-PROGRESS</t>
  </si>
  <si>
    <t>MSFT.O,mscalc:operatingAssets,2016FY,,FYR,,,IN-PROGRESS</t>
  </si>
  <si>
    <t>MSFT.O,mstag:cashAndCashEquivalents,2014FY,,FYR,,,IN-PROGRESS</t>
  </si>
  <si>
    <t>MSFT.O,mstag:impliedCapitalizedOperatingLeaseObligationsLessee,2016FY,,FYR,,,IN-PROGRESS</t>
  </si>
  <si>
    <t>MSFT.O,mscalc:operatingExpenses,2020FY,,FYR,,,IN-PROGRESS</t>
  </si>
  <si>
    <t>MSFT.O,mstag:cashAndCashEquivalents,2012FY,,FYR,,,IN-PROGRESS</t>
  </si>
  <si>
    <t>MSFT.O,mscalc:shortAndLongtermDebt,2014FY,,FYR,,,IN-PROGRESS</t>
  </si>
  <si>
    <t>MSFT.O,mstag:preferredEquity,2011FY,,FYR,,,IN-PROGRESS</t>
  </si>
  <si>
    <t>MSFT.O,mscalc:financingTaxesNet,2010FY,,FYR,,,IN-PROGRESS</t>
  </si>
  <si>
    <t>MSFT.O,mscalc:financingTaxesNet,2018FY,,FYR,,,IN-PROGRESS</t>
  </si>
  <si>
    <t>MSFT.O,mscalc:financingTaxesNet,2015FY,,FYR,,,IN-PROGRESS</t>
  </si>
  <si>
    <t>MSFT.O,mstag:impliedCapitalizedOperatingLeaseObligationsLessee,2017FY,,FYR,,,IN-PROGRESS</t>
  </si>
  <si>
    <t>MSFT.O,mscalc:taxExpensetotal,2011FY,,FYR,,,IN-PROGRESS</t>
  </si>
  <si>
    <t>MSFT.O,mstag:investmentsNonOperating,2010FY,,FYR,,,IN-PROGRESS</t>
  </si>
  <si>
    <t>MSFT.O,mstag:cashAndCashEquivalents,2011FY,,FYR,,,IN-PROGRESS</t>
  </si>
  <si>
    <t>MSFT.O,mstag:notesReceivable,2017FY,,FYR,,,IN-PROGRESS</t>
  </si>
  <si>
    <t>MSFT.O,mstag:incomeLossFromInvestmentsAccountedForUnderTheEquityMethodOperatingIncomeStatement,2017FY,,FYR,,,IN-PROGRESS</t>
  </si>
  <si>
    <t>MSFT.O,mstag:statutoryTaxRate,2018FY,,FYR,,,IN-PROGRESS</t>
  </si>
  <si>
    <t>MSFT.O,mstag:investmentsNonOperating,2017FY,,FYR,,,IN-PROGRESS</t>
  </si>
  <si>
    <t>MSFT.O,mscalc:directorAndEmployeeCompensationJapanAndTaiwanInEarnings,2011FY,,FYR,,,IN-PROGRESS</t>
  </si>
  <si>
    <t>MSFT.O,mstag:impliedCapitalizedOperatingLeaseObligationsLessee,2018FY,,FYR,,,IN-PROGRESS</t>
  </si>
  <si>
    <t>MSFT.O,mstag:securitizedAssetsNonFinancialServices,2015FY,,FYR,,,IN-PROGRESS</t>
  </si>
  <si>
    <t>MSFT.O,mscalc:shareholdersEquity,2018FY,,FYR,,,IN-PROGRESS</t>
  </si>
  <si>
    <t>MSFT.O,mscalc:otheroperatingIncomeExpense,2019FY,,FYR,,,IN-PROGRESS</t>
  </si>
  <si>
    <t>MSFT.O,mscalc:operatingExpenses,2013FY,,FYR,,,IN-PROGRESS</t>
  </si>
  <si>
    <t>MSFT.O,mstag:incomeLossFromInvestmentsAccountedForUnderTheEquityMethodOperatingIncomeStatement,2015FY,,FYR,,,IN-PROGRESS</t>
  </si>
  <si>
    <t>MSFT.O,mscalc:otherNonOperatingAssetsLiabilities,2015FY,,FYR,,,IN-PROGRESS</t>
  </si>
  <si>
    <t>MSFT.O,mscalc:taxExpensetotal,2014FY,,FYR,,,IN-PROGRESS</t>
  </si>
  <si>
    <t>MSFT.O,mscalc:otherNonoperatingIncomeExpensePretax,2017FY,,FYR,,,IN-PROGRESS</t>
  </si>
  <si>
    <t>MSFT.O,mstag:amortizationOfNonTaxableOtherIntangiblesInIncomeStatement,2018FY,,FYR,,,IN-PROGRESS</t>
  </si>
  <si>
    <t>MSFT.O,mscalc:shortAndLongtermDebt,2015FY,,FYR,,,IN-PROGRESS</t>
  </si>
  <si>
    <t>MSFT.O,mscalc:otherNonOperatingAssetsLiabilities,2014FY,,FYR,,,IN-PROGRESS</t>
  </si>
  <si>
    <t>MSFT.O,mscalc:financingTaxesNet,2012FY,,FYR,,,IN-PROGRESS</t>
  </si>
  <si>
    <t>MSFT.O,mscalc:operatingExpenses,2016FY,,FYR,,,IN-PROGRESS</t>
  </si>
  <si>
    <t>MSFT.O,mstag:transfersFromToRegulatoryReservesRecognizedInProfitAndLoss,2020FY,,FYR,,,IN-PROGRESS</t>
  </si>
  <si>
    <t>MSFT.O,mstag:statutoryTaxRate,2020FY,,FYR,,,IN-PROGRESS</t>
  </si>
  <si>
    <t>MSFT.O,mstag:investmentsNonOperating,2019FY,,FYR,,,IN-PROGRESS</t>
  </si>
  <si>
    <t>MSFT.O,mscalc:otheroperatingIncomeExpense,2020FY,,FYR,,,IN-PROGRESS</t>
  </si>
  <si>
    <t>MSFT.O,mstag:cashAndCashEquivalents,2015FY,,FYR,,,IN-PROGRESS</t>
  </si>
  <si>
    <t>MSFT.O,mscalc:taxExpenseFromOperations,2012FY,,FYR,,,IN-PROGRESS</t>
  </si>
  <si>
    <t>MSFT.O,mstag:transfersFromToRegulatoryReservesRecognizedInProfitAndLoss,2013FY,,FYR,,,IN-PROGRESS</t>
  </si>
  <si>
    <t>MSFT.O,mscalc:operatingAssets,2010FY,,FYR,,,IN-PROGRESS</t>
  </si>
  <si>
    <t>MSFT.O,mscalc:directorAndEmployeeCompensationJapanAndTaiwanInEarnings,2019FY,,FYR,,,IN-PROGRESS</t>
  </si>
  <si>
    <t>MSFT.O,mscalc:netFinancialIncomeExpensePretax,2013FY,,FYR,,,IN-PROGRESS</t>
  </si>
  <si>
    <t>MSFT.O,mscalc:financingTaxesNet,2014FY,,FYR,,,IN-PROGRESS</t>
  </si>
  <si>
    <t>MSFT.O,mscalc:pensionAndOpebAdjustment,2019FY,,FYR,,,IN-PROGRESS</t>
  </si>
  <si>
    <t>MSFT.O,mscalc:operatingRevenue,2011FY,,FYR,,,IN-PROGRESS</t>
  </si>
  <si>
    <t>MSFT.O,mscalc:shortAndLongtermDebt,2012FY,,FYR,,,IN-PROGRESS</t>
  </si>
  <si>
    <t>MSFT.O,mscalc:taxExpensetotal,2016FY,,FYR,,,IN-PROGRESS</t>
  </si>
  <si>
    <t>MSFT.O,mscalc:taxExpensetotal,2013FY,,FYR,,,IN-PROGRESS</t>
  </si>
  <si>
    <t>MSFT.O,mstag:amortizationOfNonTaxableOtherIntangiblesInIncomeStatement,2013FY,,FYR,,,IN-PROGRESS</t>
  </si>
  <si>
    <t>MSFT.O,mscalc:operatingExpenses,2018FY,,FYR,,,IN-PROGRESS</t>
  </si>
  <si>
    <t>MSFT.O,mstag:notesReceivable,2015FY,,FYR,,,IN-PROGRESS</t>
  </si>
  <si>
    <t>MSFT.O,mscalc:netFinancialIncomeExpensePretax,2020FY,,FYR,,,IN-PROGRESS</t>
  </si>
  <si>
    <t>MSFT.O,mscalc:otheroperatingIncomeExpense,2016FY,,FYR,,,IN-PROGRESS</t>
  </si>
  <si>
    <t>MSFT.O,mstag:impliedCapitalizedOperatingLeaseObligationsLessee,2012FY,,FYR,,,IN-PROGRESS</t>
  </si>
  <si>
    <t>MSFT.O,mstag:amortizationOfNonTaxableOtherIntangiblesInIncomeStatement,2014FY,,FYR,,,IN-PROGRESS</t>
  </si>
  <si>
    <t>MSFT.O,mscalc:shortAndLongtermDebt,2016FY,,FYR,,,IN-PROGRESS</t>
  </si>
  <si>
    <t>MSFT.O,mscalc:operatingLiabilities,2014FY,,FYR,,,IN-PROGRESS</t>
  </si>
  <si>
    <t>MSFT.O,mstag:securitizedAssetsNonFinancialServices,2013FY,,FYR,,,IN-PROGRESS</t>
  </si>
  <si>
    <t>MSFT.O,mscalc:directorAndEmployeeCompensationJapanAndTaiwanInEarnings,2013FY,,FYR,,,IN-PROGRESS</t>
  </si>
  <si>
    <t>MSFT.O,mstag:transfersFromToRegulatoryReservesRecognizedInProfitAndLoss,2018FY,,FYR,,,IN-PROGRESS</t>
  </si>
  <si>
    <t>MSFT.O,mscalc:operatingExpenses,2011FY,,FYR,,,IN-PROGRESS</t>
  </si>
  <si>
    <t>MSFT.O,mstag:notesReceivable,2010FY,,FYR,,,IN-PROGRESS</t>
  </si>
  <si>
    <t>MSFT.O,mscalc:operatingRevenue,2019FY,,FYR,,,IN-PROGRESS</t>
  </si>
  <si>
    <t>MSFT.O,mstag:notesReceivable,2019FY,,FYR,,,IN-PROGRESS</t>
  </si>
  <si>
    <t>MSFT.O,mscalc:operatingLiabilities,2015FY,,FYR,,,IN-PROGRESS</t>
  </si>
  <si>
    <t>MSFT.O,mscalc:taxExpenseFromOperations,2018FY,,FYR,,,IN-PROGRESS</t>
  </si>
  <si>
    <t>MSFT.O,mscalc:netFinancialIncomeExpensePretax,2016FY,,FYR,,,IN-PROGRESS</t>
  </si>
  <si>
    <t>MSFT.O,mscalc:taxExpensetotal,2019FY,,FYR,,,IN-PROGRESS</t>
  </si>
  <si>
    <t>MSFT.O,mstag:investmentsNonOperating,2014FY,,FYR,,,IN-PROGRESS</t>
  </si>
  <si>
    <t>MSFT.O,mstag:preferredEquity,2014FY,,FYR,,,IN-PROGRESS</t>
  </si>
  <si>
    <t>MSFT.O,mscalc:operatingAssets,2012FY,,FYR,,,IN-PROGRESS</t>
  </si>
  <si>
    <t>MSFT.O,mscalc:shareholdersEquity,2011FY,,FYR,,,IN-PROGRESS</t>
  </si>
  <si>
    <t>MSFT.O,mscalc:otherNonOperatingAssetsLiabilities,2018FY,,FYR,,,IN-PROGRESS</t>
  </si>
  <si>
    <t>MSFT.O,mscalc:otheroperatingIncomeExpense,2012FY,,FYR,,,IN-PROGRESS</t>
  </si>
  <si>
    <t>MSFT.O,mstag:notesReceivable,2016FY,,FYR,,,IN-PROGRESS</t>
  </si>
  <si>
    <t>MSFT.O,mstag:investmentsNonOperating,2013FY,,FYR,,,IN-PROGRESS</t>
  </si>
  <si>
    <t>MSFT.O,mstag:impliedCapitalizedOperatingLeaseObligationsLessee,2015FY,,FYR,,,IN-PROGRESS</t>
  </si>
  <si>
    <t>MSFT.O,mscalc:taxExpenseFromOperations,2017FY,,FYR,,,IN-PROGRESS</t>
  </si>
  <si>
    <t>MSFT.O,mscalc:shortAndLongtermDebt,2019FY,,FYR,,,IN-PROGRESS</t>
  </si>
  <si>
    <t>MSFT.O,mscalc:taxExpensetotal,2020FY,,FYR,,,IN-PROGRESS</t>
  </si>
  <si>
    <t>MSFT.O,mscalc:operatingLiabilities,2012FY,,FYR,,,IN-PROGRESS</t>
  </si>
  <si>
    <t>MSFT.O,mscalc:shareholdersEquity,2013FY,,FYR,,,IN-PROGRESS</t>
  </si>
  <si>
    <t>MSFT.O,mstag:statutoryTaxRate,2019FY,,FYR,,,IN-PROGRESS</t>
  </si>
  <si>
    <t>MSFT.O,mstag:incomeLossFromInvestmentsAccountedForUnderTheEquityMethodOperatingIncomeStatement,2018FY,,FYR,,,IN-PROGRESS</t>
  </si>
  <si>
    <t>MSFT.O,mscalc:shareholdersEquity,2014FY,,FYR,,,IN-PROGRESS</t>
  </si>
  <si>
    <t>MSFT.O,mscalc:netFinancialIncomeExpensePretax,2012FY,,FYR,,,IN-PROGRESS</t>
  </si>
  <si>
    <t>MSFT.O,mstag:notesReceivable,2011FY,,FYR,,,IN-PROGRESS</t>
  </si>
  <si>
    <t>MSFT.O,mscalc:pensionAndOpebAdjustment,2015FY,,FYR,,,IN-PROGRESS</t>
  </si>
  <si>
    <t>MSFT.O,mscalc:pensionAndOpebAdjustment,2017FY,,FYR,,,IN-PROGRESS</t>
  </si>
  <si>
    <t>MSFT.O,mscalc:operatingAssets,2015FY,,FYR,,,IN-PROGRESS</t>
  </si>
  <si>
    <t>MSFT.O,mscalc:operatingRevenue,2012FY,,FYR,,,IN-PROGRESS</t>
  </si>
  <si>
    <t>MSFT.O,mstag:cashAndCashEquivalents,2010FY,,FYR,,,IN-PROGRESS</t>
  </si>
  <si>
    <t>MSFT.O,mscalc:financingTaxesNet,2017FY,,FYR,,,IN-PROGRESS</t>
  </si>
  <si>
    <t>MSFT.O,mstag:statutoryTaxRate,2017FY,,FYR,,,IN-PROGRESS</t>
  </si>
  <si>
    <t>MSFT.O,mstag:cashAndCashEquivalents,2018FY,,FYR,,,IN-PROGRESS</t>
  </si>
  <si>
    <t>MSFT.O,mstag:notesReceivable,2018FY,,FYR,,,IN-PROGRESS</t>
  </si>
  <si>
    <t>MSFT.O,mstag:statutoryTaxRate,2013FY,,FYR,,,IN-PROGRESS</t>
  </si>
  <si>
    <t>MSFT.O,mscalc:pensionAndOpebAdjustment,2013FY,,FYR,,,IN-PROGRESS</t>
  </si>
  <si>
    <t>MSFT.O,mscalc:operatingRevenue,2020FY,,FYR,,,IN-PROGRESS</t>
  </si>
  <si>
    <t>MSFT.O,mstag:incomeLossFromInvestmentsAccountedForUnderTheEquityMethodOperatingIncomeStatement,2011FY,,FYR,,,IN-PROGRESS</t>
  </si>
  <si>
    <t>MSFT.O,mstag:preferredEquity,2015FY,,FYR,,,IN-PROGRESS</t>
  </si>
  <si>
    <t>MSFT.O,mscalc:taxExpenseFromOperations,2016FY,,FYR,,,IN-PROGRESS</t>
  </si>
  <si>
    <t>MSFT.O,mscalc:operatingExpenses,2014FY,,FYR,,,IN-PROGRESS</t>
  </si>
  <si>
    <t>MSFT.O,mscalc:operatingLiabilities,2017FY,,FYR,,,IN-PROGRESS</t>
  </si>
  <si>
    <t>MSFT.O,mscalc:otherNonoperatingIncomeExpensePretax,2018FY,,FYR,,,IN-PROGRESS</t>
  </si>
  <si>
    <t>MSFT.O,mscalc:financingTaxesNet,2013FY,,FYR,,,IN-PROGRESS</t>
  </si>
  <si>
    <t>MSFT.O,mscalc:operatingRevenue,2018FY,,FYR,,,IN-PROGRESS</t>
  </si>
  <si>
    <t>MSFT.O,mstag:securitizedAssetsNonFinancialServices,2019FY,,FYR,,,IN-PROGRESS</t>
  </si>
  <si>
    <t>MSFT.O,mstag:statutoryTaxRate,2015FY,,FYR,,,IN-PROGRESS</t>
  </si>
  <si>
    <t>MSFT.O,mscalc:operatingExpenses,2015FY,,FYR,,,IN-PROGRESS</t>
  </si>
  <si>
    <t>MSFT.O,mscalc:otherNonoperatingIncomeExpensePretax,2012FY,,FYR,,,IN-PROGRESS</t>
  </si>
  <si>
    <t>MSFT.O,mscalc:netFinancialIncomeExpensePretax,2017FY,,FYR,,,IN-PROGRESS</t>
  </si>
  <si>
    <t>MSFT.O,mscalc:netFinancialIncomeExpensePretax,2014FY,,FYR,,,IN-PROGRESS</t>
  </si>
  <si>
    <t>MSFT.O,mstag:impliedCapitalizedOperatingLeaseObligationsLessee,2019FY,,FYR,,,IN-PROGRESS</t>
  </si>
  <si>
    <t>MSFT.O,mscalc:otherNonoperatingIncomeExpensePretax,2020FY,,FYR,,,IN-PROGRESS</t>
  </si>
  <si>
    <t>MSFT.O,mstag:preferredEquity,2012FY,,FYR,,,IN-PROGRESS</t>
  </si>
  <si>
    <t>MSFT.O,mstag:cashAndCashEquivalents,2013FY,,FYR,,,IN-PROGRESS</t>
  </si>
  <si>
    <t>MSFT.O,mscalc:operatingAssets,2014FY,,FYR,,,IN-PROGRESS</t>
  </si>
  <si>
    <t>MSFT.O,mscalc:otherNonoperatingIncomeExpensePretax,2015FY,,FYR,,,IN-PROGRESS</t>
  </si>
  <si>
    <t>MSFT.O,mscalc:otheroperatingIncomeExpense,2011FY,,FYR,,,IN-PROGRESS</t>
  </si>
  <si>
    <t>MSFT.O,mscalc:otherNonoperatingIncomeExpensePretax,2011FY,,FYR,,,IN-PROGRESS</t>
  </si>
  <si>
    <t>MSFT.O,mstag:preferredEquity,2019FY,,FYR,,,IN-PROGRESS</t>
  </si>
  <si>
    <t>MSFT.O,mstag:investmentsNonOperating,2016FY,,FYR,,,IN-PROGRESS</t>
  </si>
  <si>
    <t>MSFT.O,mscalc:netFinancialIncomeExpensePretax,2011FY,,FYR,,,IN-PROGRESS</t>
  </si>
  <si>
    <t>MSFT.O,mscalc:operatingExpenses,2019FY,,FYR,,,IN-PROGRESS</t>
  </si>
  <si>
    <t>$IV$4</t>
  </si>
  <si>
    <t>2588173</t>
  </si>
  <si>
    <t>Jun-16</t>
  </si>
  <si>
    <t>2016</t>
  </si>
  <si>
    <t>Sep-16</t>
  </si>
  <si>
    <t>Onshore Cash EOP</t>
  </si>
  <si>
    <t>+ 50% CFO</t>
  </si>
  <si>
    <t>LinkedIn</t>
  </si>
  <si>
    <t>Onshore Acquisition</t>
  </si>
  <si>
    <t>CY18e</t>
  </si>
  <si>
    <t>PBP ex-LinkedIn</t>
  </si>
  <si>
    <t>PBP YoY Growth ex-LinkedIn</t>
  </si>
  <si>
    <t>Dec-16</t>
  </si>
  <si>
    <t>C2016</t>
  </si>
  <si>
    <t>CY2014</t>
  </si>
  <si>
    <t>CY2016</t>
  </si>
  <si>
    <t>2015A</t>
  </si>
  <si>
    <t>2016A</t>
  </si>
  <si>
    <t>~20</t>
  </si>
  <si>
    <t>Amort of Intang. From LNKD Acquisition (COGS)</t>
  </si>
  <si>
    <t>Amort of Intang. From LNKD Acquisition (OPEX)</t>
  </si>
  <si>
    <t>Adjusted Gross Margin ex-LNKD amort of int.</t>
  </si>
  <si>
    <t>Adj. Op. Margin ex-LNKD amort of int.</t>
  </si>
  <si>
    <t xml:space="preserve">Amort. Of Intang. From LNKD, net of tax </t>
  </si>
  <si>
    <t>Adjusted Net Income excluding LNKD Deal Amort of Intang.</t>
  </si>
  <si>
    <t>Adjusted EPS (excl. LNKD Amort of Int.)</t>
  </si>
  <si>
    <t>Mar-17</t>
  </si>
  <si>
    <t>Sep-19E</t>
  </si>
  <si>
    <t>Dec-19E</t>
  </si>
  <si>
    <t>Mar-20E</t>
  </si>
  <si>
    <t>Jun-20E</t>
  </si>
  <si>
    <t>CY19e</t>
  </si>
  <si>
    <t>CY2019</t>
  </si>
  <si>
    <t>Jun-17</t>
  </si>
  <si>
    <t>2017</t>
  </si>
  <si>
    <t>CY2019E</t>
  </si>
  <si>
    <t>Dynamics Total</t>
  </si>
  <si>
    <t>Dynamics On-Premise</t>
  </si>
  <si>
    <t>Dynamics 365</t>
  </si>
  <si>
    <t>Server Products and Cloud Services</t>
  </si>
  <si>
    <t>Office Commercial Products and Cloud Services</t>
  </si>
  <si>
    <t>Windows OEM GAAP Revenue @ 97%</t>
  </si>
  <si>
    <t>Total OEM Billings</t>
  </si>
  <si>
    <t>Windows OEM Pro Revenue</t>
  </si>
  <si>
    <t>3% Windows OEM Deferred</t>
  </si>
  <si>
    <t>Note: Reflects Old Accounting Standard</t>
  </si>
  <si>
    <t>Note: Reflects New Accounting Standard ASC 606</t>
  </si>
  <si>
    <t>Windows Patent Licensing, IP, IoT, Embedded &amp; Other</t>
  </si>
  <si>
    <t>Windows Commercial Products and Cloud Services</t>
  </si>
  <si>
    <t>Note: FY16 Incomparable to FY15; FY16 Forward Reflects New Accounting Standard ASC 606</t>
  </si>
  <si>
    <t>Office Business (+ Skype, Unified Com.)</t>
  </si>
  <si>
    <t>Office Business (+ Skype and Unified Communications)</t>
  </si>
  <si>
    <t>Interest Expense Calculation</t>
  </si>
  <si>
    <t>Total Interest Bearing</t>
  </si>
  <si>
    <t>Capital Lease Obligations in Other Current Liabilities</t>
  </si>
  <si>
    <t>Capital Lease Obligations in Other Long-term Liabilities</t>
  </si>
  <si>
    <t>Capital Lease Liability Balance</t>
  </si>
  <si>
    <t>Sep-17</t>
  </si>
  <si>
    <t>2027E</t>
  </si>
  <si>
    <t>- Tax Schedule from Repatriation</t>
  </si>
  <si>
    <t>Dec-17</t>
  </si>
  <si>
    <t>Debt Repayments Total</t>
  </si>
  <si>
    <t>TTM Capital Return / TTM FCF</t>
  </si>
  <si>
    <t>Estimated Tax Liability</t>
  </si>
  <si>
    <t>Sep-20E</t>
  </si>
  <si>
    <t>Dec-20E</t>
  </si>
  <si>
    <t>Mar-21E</t>
  </si>
  <si>
    <t>Jun-21E</t>
  </si>
  <si>
    <t>CY2020</t>
  </si>
  <si>
    <t>Office Business (non-O365)</t>
  </si>
  <si>
    <t>CY20e</t>
  </si>
  <si>
    <t>130</t>
  </si>
  <si>
    <t>Mar-18</t>
  </si>
  <si>
    <t>Research</t>
  </si>
  <si>
    <t>e = Morgan Stanley Research estimates unless otherwise noted</t>
  </si>
  <si>
    <t>Source: Morgan Stanley Research unless otherwise noted</t>
  </si>
  <si>
    <t>Stocks ratings are relative to the analyst's industry coverage universe.</t>
  </si>
  <si>
    <t>1585 Broadway</t>
  </si>
  <si>
    <t>New York, NY  10036-8293</t>
  </si>
  <si>
    <t>United States</t>
  </si>
  <si>
    <t>Tel: +1 (1)212 761 4000</t>
  </si>
  <si>
    <t>Authors: Keith Weiss, Josh Baer</t>
  </si>
  <si>
    <t>Date: 27 Apr 2018</t>
  </si>
  <si>
    <t>Ticker: MSFT.O</t>
  </si>
  <si>
    <t>Stock Rating: Overweight</t>
  </si>
  <si>
    <t>Industry: Software</t>
  </si>
  <si>
    <t>Industry View: Attractive</t>
  </si>
  <si>
    <t>Price as of 27 Apr 2018: 94.26</t>
  </si>
  <si>
    <t>Target Price: 130</t>
  </si>
  <si>
    <t>Analyst Certification</t>
  </si>
  <si>
    <t>Unless otherwise stated, the individuals listed on the cover page of this report are research analysts.</t>
  </si>
  <si>
    <t>Global Research Conflict Management Policy</t>
  </si>
  <si>
    <t>Important US Regulatory Disclosures on Subject Companies</t>
  </si>
  <si>
    <t>Morgan Stanley &amp; Co. LLC makes a market in the securities of Microsoft.</t>
  </si>
  <si>
    <t>STOCK RATINGS</t>
  </si>
  <si>
    <t>Global Stock Ratings Distribution</t>
  </si>
  <si>
    <t>(as of March 31, 2018)</t>
  </si>
  <si>
    <t>Coverage Universe</t>
  </si>
  <si>
    <t>Investment Banking Clients (IBC)</t>
  </si>
  <si>
    <t>Other Material Investment Services Clients (MISC)</t>
  </si>
  <si>
    <t>Stock Rating Category</t>
  </si>
  <si>
    <t>% of Total IBC</t>
  </si>
  <si>
    <t>% of Rating Category</t>
  </si>
  <si>
    <t>% of Total Other MISC</t>
  </si>
  <si>
    <t>Overweight/Buy</t>
  </si>
  <si>
    <t>Equal-weight/Hold</t>
  </si>
  <si>
    <t>Not-Rated/Hold</t>
  </si>
  <si>
    <t>Underweight/Sell</t>
  </si>
  <si>
    <t>Analyst Stock Ratings</t>
  </si>
  <si>
    <t>Analyst Industry Views</t>
  </si>
  <si>
    <t>.</t>
  </si>
  <si>
    <t>Stock Price, Price Target and Rating History (See Rating Definitions)</t>
  </si>
  <si>
    <t>Important Disclosures for Morgan Stanley Smith Barney LLC Customers</t>
  </si>
  <si>
    <t>Other Important Disclosures</t>
  </si>
  <si>
    <t>Morgan Stanley Research, or any portion thereof may not be reprinted, sold or redistributed without the</t>
  </si>
  <si>
    <t>written consent of Morgan Stanley.</t>
  </si>
  <si>
    <t>The trademarks and service marks contained in Morgan Stanley Research are the property of their</t>
  </si>
  <si>
    <t>respective owners. Third-party data providers make no warranties or representations relating to the</t>
  </si>
  <si>
    <t>accuracy, completeness, or timeliness of the data they provide and shall not have liability for any</t>
  </si>
  <si>
    <t>damages relating to such data. The Global Industry Classification Standard (GICS) was developed by and</t>
  </si>
  <si>
    <t>is the exclusive property of MSCI and S&amp;P.</t>
  </si>
  <si>
    <t>As required by the Capital Markets Board of Turkey, investment information, comments and recommendations</t>
  </si>
  <si>
    <t>stated here, are not within the scope of investment advisory activity. Investment advisory service is</t>
  </si>
  <si>
    <t>provided exclusively to persons based on their risk and income preferences by the authorized firms.</t>
  </si>
  <si>
    <t>Comments and recommendations stated here are general in nature. These opinions may not fit to your</t>
  </si>
  <si>
    <t>financial status, risk and return preferences. For this reason, to make an investment decision by</t>
  </si>
  <si>
    <t>relying solely to this information stated here may not bring about outcomes that fit your expectations.</t>
  </si>
  <si>
    <t>The information in Morgan Stanley Research is being communicated by Morgan Stanley &amp; Co. International</t>
  </si>
  <si>
    <t>plc (QFC Branch), regulated by the Qatar Financial Centre Regulatory Authority (the QFCRA), and is</t>
  </si>
  <si>
    <t>directed at business customers and market counterparties only and is not intended for Retail Customers</t>
  </si>
  <si>
    <t>as defined by the QFCRA.</t>
  </si>
  <si>
    <t>plc (DIFC Branch), regulated by the Dubai Financial Services Authority (the DFSA), and is directed at</t>
  </si>
  <si>
    <t>Professional Clients only, as defined by the DFSA. The financial products or financial services to which</t>
  </si>
  <si>
    <t>this research relates will only be made available to a customer who we are satisfied meets the</t>
  </si>
  <si>
    <t>regulatory criteria to be a Professional Client.</t>
  </si>
  <si>
    <t>Morgan Stanley Research is disseminated in Brazil by Morgan Stanley C.T.V.M. S.A.; in Mexico by Morgan</t>
  </si>
  <si>
    <t>Stanley México, Casa de Bolsa, S.A. de C.V which is regulated by Comision Nacional Bancaria y de</t>
  </si>
  <si>
    <t>Valores. Paseo de los Tamarindos 90, Torre 1, Col. Bosques de las Lomas Floor 29, 05120 Mexico City; in</t>
  </si>
  <si>
    <t>Japan by Morgan Stanley MUFG Securities Co., Ltd. and, for Commodities related research reports only,</t>
  </si>
  <si>
    <t>Morgan Stanley Capital Group Japan Co., Ltd; in Hong Kong by Morgan Stanley Asia Limited (which accepts</t>
  </si>
  <si>
    <t>responsibility for its contents) and by Morgan Stanley Asia International Limited, Hong Kong Branch; in</t>
  </si>
  <si>
    <t>Singapore by Morgan Stanley Asia (Singapore) Pte. (Registration number 199206298Z) and/or Morgan Stanley</t>
  </si>
  <si>
    <t>Asia (Singapore) Securities Pte Ltd (Registration number 200008434H), regulated by the Monetary</t>
  </si>
  <si>
    <t>Authority of Singapore (which accepts legal responsibility for its contents and should be contacted with</t>
  </si>
  <si>
    <t>respect to any matters arising from, or in connection with, Morgan Stanley Research) and by Morgan</t>
  </si>
  <si>
    <t>Stanley Asia International Limited, Singapore Branch (Registration number T11FC0207F); in Australia to</t>
  </si>
  <si>
    <t>"wholesale clients" within the meaning of the Australian Corporations Act by Morgan Stanley Australia</t>
  </si>
  <si>
    <t>Limited A.B.N. 67 003 734 576, holder of Australian financial services license No. 233742, which accepts</t>
  </si>
  <si>
    <t>responsibility for its contents; in Australia to "wholesale clients" and "retail clients" within the</t>
  </si>
  <si>
    <t>meaning of the Australian Corporations Act by Morgan Stanley Wealth Management Australia Pty Ltd (A.B.N.</t>
  </si>
  <si>
    <t>19 009 145 555, holder of Australian financial services license No. 240813, which accepts responsibility</t>
  </si>
  <si>
    <t>for its contents; in Korea by Morgan Stanley &amp; Co International plc, Seoul Branch; in India by Morgan</t>
  </si>
  <si>
    <t>Stanley India Company Private Limited; in Indonesia by PT. Morgan Stanley Sekuritas Indonesia; in Canada</t>
  </si>
  <si>
    <t>by Morgan Stanley Canada Limited, which has approved of and takes responsibility for its contents in</t>
  </si>
  <si>
    <t>Canada; in Germany by Morgan Stanley Bank AG, Frankfurt am Main and Morgan Stanley Private Wealth</t>
  </si>
  <si>
    <t>Management Limited, Niederlassung Deutschland, regulated by Bundesanstalt fuer</t>
  </si>
  <si>
    <t>Finanzdienstleistungsaufsicht (BaFin); in Spain by Morgan Stanley, S.V., S.A., a Morgan Stanley group</t>
  </si>
  <si>
    <t>company, which is supervised by the Spanish Securities Markets Commission (CNMV) and states that Morgan</t>
  </si>
  <si>
    <t>Stanley Research has been written and distributed in accordance with the rules of conduct applicable to</t>
  </si>
  <si>
    <t>financial research as established under Spanish regulations; in the US by Morgan Stanley &amp; Co. LLC,</t>
  </si>
  <si>
    <t>which accepts responsibility for its contents. Morgan Stanley &amp; Co. International plc, authorized by the</t>
  </si>
  <si>
    <t>Prudential Regulatory Authority and regulated by the Financial Conduct Authority and the Prudential</t>
  </si>
  <si>
    <t>Regulatory Authority, disseminates in the UK research that it has prepared, and approves solely for the</t>
  </si>
  <si>
    <t>purposes of section 21 of the Financial Services and Markets Act 2000, research which has been prepared</t>
  </si>
  <si>
    <t>by any of its affiliates. RMB Morgan Stanley Proprietary Limited is a member of the JSE Limited and</t>
  </si>
  <si>
    <t>regulated by the Financial Services Board in South Africa. RMB Morgan Stanley Proprietary Limited is a</t>
  </si>
  <si>
    <t>joint venture owned equally by Morgan Stanley International Holdings Inc. and RMB Investment Advisory</t>
  </si>
  <si>
    <t>(Proprietary) Limited, which is wholly owned by FirstRand Limited. The information in Morgan Stanley</t>
  </si>
  <si>
    <t>Research is being disseminated by Morgan Stanley Saudi Arabia, regulated by the Capital Market Authority</t>
  </si>
  <si>
    <t>in the Kingdom of Saudi Arabia , and is directed at Sophisticated investors only.</t>
  </si>
  <si>
    <t>Morgan Stanley is not incorporated under PRC law and the research in relation to this report is</t>
  </si>
  <si>
    <t>conducted outside the PRC. Morgan Stanley Research does not constitute an offer to sell or the</t>
  </si>
  <si>
    <t>solicitation of an offer to buy any securities in the PRC. PRC investors shall have the relevant</t>
  </si>
  <si>
    <t>qualifications to invest in such securities and shall be responsible for obtaining all relevant</t>
  </si>
  <si>
    <t>approvals, licenses, verifications and/or registrations from the relevant governmental authorities</t>
  </si>
  <si>
    <t>themselves. Neither this report nor any part of it is intended as, or shall constitute, provision of any</t>
  </si>
  <si>
    <t>consultancy or advisory service of securities investment as defined under PRC law. Such information is</t>
  </si>
  <si>
    <t>provided for your reference only.</t>
  </si>
  <si>
    <t>To our readers based in Taiwan or trading in Taiwan securities/instruments: Information on</t>
  </si>
  <si>
    <t>securities/instruments that trade in Taiwan is distributed by Morgan Stanley Taiwan Limited ("MSTL").</t>
  </si>
  <si>
    <t>Such information is for your reference only. The reader should independently evaluate the investment</t>
  </si>
  <si>
    <t>risks and is solely responsible for their investment decisions. Morgan Stanley Research may not be</t>
  </si>
  <si>
    <t>distributed to the public media or quoted or used by the public media without the express written</t>
  </si>
  <si>
    <t>consent of Morgan Stanley. Any non-customer reader within the scope of Article 7-1 of the Taiwan Stock</t>
  </si>
  <si>
    <t>Exchange Recommendation Regulations accessing and/or receiving Morgan Stanley Research is not permitted</t>
  </si>
  <si>
    <t>to provide Morgan Stanley Research to any third party (including but not limited to related parties,</t>
  </si>
  <si>
    <t>affiliated companies and any other third parties) or engage in any activities regarding Morgan Stanley</t>
  </si>
  <si>
    <t>Research which may create or give the appearance of creating a conflict of interest. Information on</t>
  </si>
  <si>
    <t>securities/instruments that do not trade in Taiwan is for informational purposes only and is not to be</t>
  </si>
  <si>
    <t>construed as a recommendation or a solicitation to trade in such securities/instruments. MSTL may not</t>
  </si>
  <si>
    <t>execute transactions for clients in these securities/instruments.</t>
  </si>
  <si>
    <t>Morgan Stanley may make investment decisions that are inconsistent with the recommendations or views in</t>
  </si>
  <si>
    <t>this report.</t>
  </si>
  <si>
    <t>Morgan Stanley Research personnel may participate in company events such as site visits and are</t>
  </si>
  <si>
    <t>generally prohibited from accepting payment by the company of associated expenses unless pre-approved by</t>
  </si>
  <si>
    <t>authorized members of Research management.</t>
  </si>
  <si>
    <t>With the exception of information regarding Morgan Stanley, Morgan Stanley Research is based on public</t>
  </si>
  <si>
    <t>information. Morgan Stanley makes every effort to use reliable, comprehensive information, but we make</t>
  </si>
  <si>
    <t>no representation that it is accurate or complete. We have no obligation to tell you when opinions or</t>
  </si>
  <si>
    <t>information in Morgan Stanley Research change apart from when we intend to discontinue equity research</t>
  </si>
  <si>
    <t>coverage of a subject company. Facts and views presented in Morgan Stanley Research have not been</t>
  </si>
  <si>
    <t>reviewed by, and may not reflect information known to, professionals in other Morgan Stanley business</t>
  </si>
  <si>
    <t>areas, including investment banking personnel.</t>
  </si>
  <si>
    <t>The "Important US Regulatory Disclosures on Subject Companies" section in Morgan Stanley Research lists</t>
  </si>
  <si>
    <t>all companies mentioned where Morgan Stanley owns 1% or more of a class of common equity securities of</t>
  </si>
  <si>
    <t>the companies. For all other companies mentioned in Morgan Stanley Research, Morgan Stanley may have an</t>
  </si>
  <si>
    <t>investment of less than 1% in securities/instruments or derivatives of securities/instruments of</t>
  </si>
  <si>
    <t>companies and may trade them in ways different from those discussed in Morgan Stanley Research.</t>
  </si>
  <si>
    <t>Employees of Morgan Stanley not involved in the preparation of Morgan Stanley Research may have</t>
  </si>
  <si>
    <t>investments in securities/instruments or derivatives of securities/instruments of companies mentioned</t>
  </si>
  <si>
    <t>and may trade them in ways different from those discussed in Morgan Stanley Research. Derivatives may be</t>
  </si>
  <si>
    <t>issued by Morgan Stanley or associated persons.</t>
  </si>
  <si>
    <t>The fixed income research analysts, strategists or economists principally responsible for the</t>
  </si>
  <si>
    <t>preparation of Morgan Stanley Research have received compensation based upon various factors, including</t>
  </si>
  <si>
    <t>quality, accuracy and value of research, firm profitability or revenues (which include fixed income</t>
  </si>
  <si>
    <t>trading and capital markets profitability or revenues), client feedback and competitive factors. Fixed</t>
  </si>
  <si>
    <t>Income Research analysts', strategists' or economists' compensation is not linked to investment banking</t>
  </si>
  <si>
    <t>or capital markets transactions performed by Morgan Stanley or the profitability or revenues of</t>
  </si>
  <si>
    <t>particular trading desks.</t>
  </si>
  <si>
    <t>Morgan Stanley Research does not provide individually tailored investment advice. Morgan Stanley</t>
  </si>
  <si>
    <t>Research has been prepared without regard to the circumstances and objectives of those who receive it.</t>
  </si>
  <si>
    <t>Morgan Stanley recommends that investors independently evaluate particular investments and strategies,</t>
  </si>
  <si>
    <t>and encourages investors to seek the advice of a financial adviser. The appropriateness of an investment</t>
  </si>
  <si>
    <t>or strategy will depend on an investor's circumstances and objectives. The securities, instruments, or</t>
  </si>
  <si>
    <t>strategies discussed in Morgan Stanley Research may not be suitable for all investors, and certain</t>
  </si>
  <si>
    <t>investors may not be eligible to purchase or participate in some or all of them. Morgan Stanley Research</t>
  </si>
  <si>
    <t>is not an offer to buy or sell or the solicitation of an offer to buy or sell any security/instrument or</t>
  </si>
  <si>
    <t>to participate in any particular trading strategy. The value of and income from your investments may</t>
  </si>
  <si>
    <t>vary because of changes in interest rates, foreign exchange rates, default rates, prepayment rates,</t>
  </si>
  <si>
    <t>securities/instruments prices, market indexes, operational or financial conditions of companies or other</t>
  </si>
  <si>
    <t>factors. There may be time limitations on the exercise of options or other rights in</t>
  </si>
  <si>
    <t>securities/instruments transactions. Past performance is not necessarily a guide to future performance.</t>
  </si>
  <si>
    <t>Estimates of future performance are based on assumptions that may not be realized. If provided, and</t>
  </si>
  <si>
    <t>unless otherwise stated, the closing price on the cover page is that of the primary exchange for the</t>
  </si>
  <si>
    <t>subject company's securities/instruments.</t>
  </si>
  <si>
    <t>If you do not agree to our Terms of Use and/or if you do not wish to provide your consent to Morgan</t>
  </si>
  <si>
    <t>Stanley processing your personal data or using cookies please do not access our research.</t>
  </si>
  <si>
    <t>Any access and/or use of Morgan Stanley Research is subject to Morgan Stanley's Terms of Use</t>
  </si>
  <si>
    <t>(http://www.morganstanley.com/terms.html). By accessing and/or using Morgan Stanley Research, you are</t>
  </si>
  <si>
    <t>indicating that you have read and agree to be bound by our Terms of Use</t>
  </si>
  <si>
    <t>(http://www.morganstanley.com/terms.html). In addition you consent to Morgan Stanley processing your</t>
  </si>
  <si>
    <t>personal data and using cookies in accordance with our Privacy Policy and our Global Cookies Policy</t>
  </si>
  <si>
    <t>(http://www.morganstanley.com/privacy_pledge.html), including for the purposes of setting your</t>
  </si>
  <si>
    <t>preferences and to collect readership data so that we can deliver better and more personalized service</t>
  </si>
  <si>
    <t>and products to you. To find out more information about how Morgan Stanley processes personal data, how</t>
  </si>
  <si>
    <t>we use cookies and how to reject cookies see our Privacy Policy and our Global Cookies Policy</t>
  </si>
  <si>
    <t>(http://www.morganstanley.com/privacy_pledge.html).</t>
  </si>
  <si>
    <t>Morgan Stanley Research is provided to our clients through our proprietary research portal on Matrix and</t>
  </si>
  <si>
    <t>also distributed electronically by Morgan Stanley to clients. Certain, but not all, Morgan Stanley</t>
  </si>
  <si>
    <t>Research products are also made available to clients through third-party vendors or redistributed to</t>
  </si>
  <si>
    <t>clients through alternate electronic means as a convenience. For access to all available Morgan Stanley</t>
  </si>
  <si>
    <t>Research, please contact your sales representative or go to Matrix at</t>
  </si>
  <si>
    <t>http://www.morganstanley.com/matrix.</t>
  </si>
  <si>
    <t>Morgan Stanley produces an equity research product called a "Tactical Idea." Views contained in a</t>
  </si>
  <si>
    <t>"Tactical Idea" on a particular stock may be contrary to the recommendations or views expressed in</t>
  </si>
  <si>
    <t>research on the same stock. This may be the result of differing time horizons, methodologies, market</t>
  </si>
  <si>
    <t>events, or other factors. For all research available on a particular stock, please contact your sales</t>
  </si>
  <si>
    <t>representative or go to Matrix at http://www.morganstanley.com/matrix.</t>
  </si>
  <si>
    <t>Morgan Stanley is not acting as a municipal advisor and the opinions or views contained herein are not</t>
  </si>
  <si>
    <t>intended to be, and do not constitute, advice within the meaning of Section 975 of the Dodd-Frank Wall</t>
  </si>
  <si>
    <t>Street Reform and Consumer Protection Act.</t>
  </si>
  <si>
    <t>Morgan Stanley Research policy is to update research reports as and when the Research Analyst and</t>
  </si>
  <si>
    <t>Research Management deem appropriate, based on developments with the issuer, the sector, or the market</t>
  </si>
  <si>
    <t>that may have a material impact on the research views or opinions stated therein. In addition, certain</t>
  </si>
  <si>
    <t>Research publications are intended to be updated on a regular periodic basis</t>
  </si>
  <si>
    <t>(weekly/monthly/quarterly/annual) and will ordinarily be updated with that frequency, unless the</t>
  </si>
  <si>
    <t>Research Analyst and Research Management determine that a different publication schedule is appropriate</t>
  </si>
  <si>
    <t>based on current conditions.</t>
  </si>
  <si>
    <t>Morgan Stanley &amp; Co. International PLC and its affiliates have a significant financial interest in the</t>
  </si>
  <si>
    <t>debt securities of Microsoft.</t>
  </si>
  <si>
    <t>Each Morgan Stanley Equity Research report is reviewed and approved on behalf of Morgan Stanley Smith</t>
  </si>
  <si>
    <t>Barney LLC. This review and approval is conducted by the same person who reviews the Equity Research</t>
  </si>
  <si>
    <t>report on behalf of Morgan Stanley. This could create a conflict of interest.</t>
  </si>
  <si>
    <t>Important disclosures regarding the relationship between the companies that are the subject of Morgan</t>
  </si>
  <si>
    <t>Stanley Research and Morgan Stanley Smith Barney LLC or Morgan Stanley or any of their affiliates, are</t>
  </si>
  <si>
    <t>available on the Morgan Stanley Wealth Management disclosure website at</t>
  </si>
  <si>
    <t>www.morganstanley.com/online/researchdisclosures. For Morgan Stanley specific disclosures, you may refer</t>
  </si>
  <si>
    <t>to www.morganstanley.com/researchdisclosures.</t>
  </si>
  <si>
    <t>Benchmarks for each region are as follows: North America - S&amp;P 500; Latin America - relevant MSCI</t>
  </si>
  <si>
    <t>country index or MSCI Latin America Index; Europe - MSCI Europe; Japan - TOPIX; Asia - relevant MSCI</t>
  </si>
  <si>
    <t>country index or MSCI sub-regional index or MSCI AC Asia Pacific ex Japan Index.</t>
  </si>
  <si>
    <t>Cautious (C): The analyst views the performance of his or her industry coverage universe over the next</t>
  </si>
  <si>
    <t>12-18 months with caution vs. the relevant broad market benchmark, as indicated below.</t>
  </si>
  <si>
    <t>In-Line (I): The analyst expects the performance of his or her industry coverage universe over the next</t>
  </si>
  <si>
    <t>12-18 months to be in line with the relevant broad market benchmark, as indicated below.</t>
  </si>
  <si>
    <t>Attractive (A): The analyst expects the performance of his or her industry coverage universe over the</t>
  </si>
  <si>
    <t>next 12-18 months to be attractive vs. the relevant broad market benchmark, as indicated below.</t>
  </si>
  <si>
    <t>Unless otherwise specified, the time frame for price targets included in Morgan Stanley Research is 12</t>
  </si>
  <si>
    <t>to 18 months.</t>
  </si>
  <si>
    <t>Underweight (U). The stock's total return is expected to be below the average total return of the</t>
  </si>
  <si>
    <t>analyst's industry (or industry team's) coverage universe, on a risk-adjusted basis, over the next 12-18</t>
  </si>
  <si>
    <t>months.</t>
  </si>
  <si>
    <t>Not-Rated (NR). Currently the analyst does not have adequate conviction about the stock's total return</t>
  </si>
  <si>
    <t>relative to the average total return of the analyst's industry (or industry team's) coverage universe,</t>
  </si>
  <si>
    <t>on a risk-adjusted basis, over the next 12-18 months.</t>
  </si>
  <si>
    <t>Equal-weight (E). The stock's total return is expected to be in line with the average total return of</t>
  </si>
  <si>
    <t>the analyst's industry (or industry team's) coverage universe, on a risk-adjusted basis, over the next</t>
  </si>
  <si>
    <t>12-18 months.</t>
  </si>
  <si>
    <t>Overweight (O). The stock's total return is expected to exceed the average total return of the analyst's</t>
  </si>
  <si>
    <t>industry (or industry team's) coverage universe, on a risk-adjusted basis, over the next 12-18 months.</t>
  </si>
  <si>
    <t>Data include common stock and ADRs currently assigned ratings. Investment Banking Clients are companies</t>
  </si>
  <si>
    <t>from whom Morgan Stanley received investment banking compensation in the last 12 months. Due to rounding</t>
  </si>
  <si>
    <t>off of decimals, the percentages provided in the "% of total" column may not add up to exactly 100</t>
  </si>
  <si>
    <t>percent.</t>
  </si>
  <si>
    <t>For disclosure purposes only (in accordance with NASD and NYSE requirements), we include the category</t>
  </si>
  <si>
    <t>headings of Buy, Hold, and Sell alongside our ratings of Overweight, Equal-weight, Not-Rated and</t>
  </si>
  <si>
    <t>Underweight. Morgan Stanley does not assign ratings of Buy, Hold or Sell to the stocks we cover.</t>
  </si>
  <si>
    <t>Overweight, Equal-weight, Not-Rated and Underweight are not the equivalent of buy, hold, and sell but</t>
  </si>
  <si>
    <t>represent recommended relative weightings (see definitions below). To satisfy regulatory requirements,</t>
  </si>
  <si>
    <t>we correspond Overweight, our most positive stock rating, with a buy recommendation; we correspond</t>
  </si>
  <si>
    <t>Equal-weight and Not-Rated to hold and Underweight to sell recommendations, respectively.</t>
  </si>
  <si>
    <t>The Stock Ratings described below apply to Morgan Stanley's Fundamental Equity Research and do not apply</t>
  </si>
  <si>
    <t>to Debt Research produced by the Firm.</t>
  </si>
  <si>
    <t>Morgan Stanley uses a relative rating system using terms such as Overweight, Equal-weight, Not-Rated or</t>
  </si>
  <si>
    <t>Underweight (see definitions below). Morgan Stanley does not assign ratings of Buy, Hold or Sell to the</t>
  </si>
  <si>
    <t>stocks we cover. Overweight, Equal-weight, Not-Rated and Underweight are not the equivalent of buy, hold</t>
  </si>
  <si>
    <t>and sell. Investors should carefully read the definitions of all ratings used in Morgan Stanley</t>
  </si>
  <si>
    <t>Research. In addition, since Morgan Stanley Research contains more complete information concerning the</t>
  </si>
  <si>
    <t>analyst's views, investors should carefully read Morgan Stanley Research, in its entirety, and not infer</t>
  </si>
  <si>
    <t>the contents from the rating alone. In any case, ratings (or research) should not be used or relied upon</t>
  </si>
  <si>
    <t>as investment advice. An investor's decision to buy or sell a stock should depend on individual</t>
  </si>
  <si>
    <t>circumstances (such as the investor's existing holdings) and other considerations.</t>
  </si>
  <si>
    <t>Certain disclosures listed above are also for compliance with applicable regulations in non-US</t>
  </si>
  <si>
    <t>jurisdictions.</t>
  </si>
  <si>
    <t>Morgan Stanley and its affiliates do business that relates to companies/instruments covered in Morgan</t>
  </si>
  <si>
    <t>Stanley Research, including market making, providing liquidity, fund management, commercial banking,</t>
  </si>
  <si>
    <t>extension of credit, investment services and investment banking. Morgan Stanley sells to and buys from</t>
  </si>
  <si>
    <t>customers the securities/instruments of companies covered in Morgan Stanley Research on a principal</t>
  </si>
  <si>
    <t>basis. Morgan Stanley may have a position in the debt of the Company or instruments discussed in this</t>
  </si>
  <si>
    <t>report. Morgan Stanley trades or may trade as principal in the debt securities (or in related</t>
  </si>
  <si>
    <t>derivatives) that are the subject of the debt research report.</t>
  </si>
  <si>
    <t>The equity research analysts or strategists principally responsible for the preparation of Morgan</t>
  </si>
  <si>
    <t>Stanley Research have received compensation based upon various factors, including quality of research,</t>
  </si>
  <si>
    <t>investor client feedback, stock picking, competitive factors, firm revenues and overall investment</t>
  </si>
  <si>
    <t>banking revenues. Equity Research analysts' or strategists' compensation is not linked to investment</t>
  </si>
  <si>
    <t>banking or capital markets transactions performed by Morgan Stanley or the profitability or revenues of</t>
  </si>
  <si>
    <t>Within the last 12 months, Morgan Stanley has either provided or is providing non-investment banking,</t>
  </si>
  <si>
    <t>securities-related services to and/or in the past has entered into an agreement to provide services or</t>
  </si>
  <si>
    <t>has a client relationship with the following company: Microsoft.</t>
  </si>
  <si>
    <t>Within the last 12 months, Morgan Stanley has provided or is providing investment banking services to,</t>
  </si>
  <si>
    <t>or has an investment banking client relationship with, the following company: Microsoft.</t>
  </si>
  <si>
    <t>Within the last 12 months, Morgan Stanley has received compensation for products and services other than</t>
  </si>
  <si>
    <t>investment banking services from Microsoft.</t>
  </si>
  <si>
    <t>In the next 3 months, Morgan Stanley expects to receive or intends to seek compensation for investment</t>
  </si>
  <si>
    <t>banking services from Microsoft.</t>
  </si>
  <si>
    <t>Within the last 12 months, Morgan Stanley has received compensation for investment banking services from</t>
  </si>
  <si>
    <t>Microsoft.</t>
  </si>
  <si>
    <t>Morgan Stanley Research has been published in accordance with our conflict management policy, which is</t>
  </si>
  <si>
    <t>available at www.morganstanley.com/institutional/research/conflictpolicies.</t>
  </si>
  <si>
    <t>The following analysts hereby certify that their views about the companies and their securities</t>
  </si>
  <si>
    <t>discussed in this report are accurately expressed and that they have not received and will not receive</t>
  </si>
  <si>
    <t>direct or indirect compensation in exchange for expressing specific recommendations or views in this</t>
  </si>
  <si>
    <t>report: Keith Weiss, CFA.</t>
  </si>
  <si>
    <t>For valuation methodology and risks associated with any recommendation, rating or price target</t>
  </si>
  <si>
    <t>referenced in this research report, please contact the Client Support Team as follows: US/Canada +1 800</t>
  </si>
  <si>
    <t>303-2495; Hong Kong +852 2848-5999; Latin America +1 718 754-5444 (U.S.); London +44 (0)20-7425-8169;</t>
  </si>
  <si>
    <t>Singapore +65 6834-6860; Sydney +61 (0)2-9770-1505; Tokyo +81 (0)3-6836-9000. Alternatively you may</t>
  </si>
  <si>
    <t>contact your investment representative or Morgan Stanley Research at 1585 Broadway, (Attention: Research</t>
  </si>
  <si>
    <t>Management), New York, NY 10036 USA.</t>
  </si>
  <si>
    <t>For important disclosures, stock price charts and equity rating histories regarding companies that are</t>
  </si>
  <si>
    <t>the subject of this report, please see the Morgan Stanley Research Disclosure Website at</t>
  </si>
  <si>
    <t>www.morganstanley.com/researchdisclosures, or contact your investment representative or Morgan Stanley</t>
  </si>
  <si>
    <t>Research at 1585 Broadway, (Attention: Research Management), New York, NY, 10036 USA.</t>
  </si>
  <si>
    <t>The information and opinions in Morgan Stanley Research were prepared by Morgan Stanley &amp; Co. LLC,</t>
  </si>
  <si>
    <t>and/or Morgan Stanley C.T.V.M. S.A., and/or Morgan Stanley Mexico, Casa de Bolsa, S.A. de C.V., and/or</t>
  </si>
  <si>
    <t>Morgan Stanley Canada Limited. As used in this disclosure section, "Morgan Stanley" includes Morgan</t>
  </si>
  <si>
    <t>Stanley &amp; Co. LLC, Morgan Stanley C.T.V.M. S.A., Morgan Stanley Mexico, Casa de Bolsa, S.A. de C.V.,</t>
  </si>
  <si>
    <t>Morgan Stanley Canada Limited and their affiliates as necessary.</t>
  </si>
  <si>
    <t>Morgan Stanley does and seeks to do business with companies covered in Morgan Stanley Research. As a</t>
  </si>
  <si>
    <t>result, investors should be aware that the firm may have a conflict of interest that could affect the</t>
  </si>
  <si>
    <t>objectivity of Morgan Stanley Research. Investors should consider Morgan Stanley Research as only a</t>
  </si>
  <si>
    <t>single factor in making their investment decision.</t>
  </si>
  <si>
    <t>© Copyright 2018 Morgan Stanley</t>
  </si>
  <si>
    <t>MacroVersion</t>
  </si>
  <si>
    <t>PublishDate</t>
  </si>
  <si>
    <t>Discipline</t>
  </si>
  <si>
    <t>ResearchTopic</t>
  </si>
  <si>
    <t>Company</t>
  </si>
  <si>
    <t>DocType</t>
  </si>
  <si>
    <t>SubjectCode</t>
  </si>
  <si>
    <t>KeepVersions</t>
  </si>
  <si>
    <t>All</t>
  </si>
  <si>
    <t>Rating</t>
  </si>
  <si>
    <t>CurrYearTotalRevenue*</t>
  </si>
  <si>
    <t>CurrYearEPS*</t>
  </si>
  <si>
    <t>NextYearTotalRevenue*</t>
  </si>
  <si>
    <t>NextYearEPS*</t>
  </si>
  <si>
    <t>FollowingYearTotalRevenue*</t>
  </si>
  <si>
    <t>FollowingYearEPS*</t>
  </si>
  <si>
    <t>5YearGrowthRate</t>
  </si>
  <si>
    <t>UpdateReason</t>
  </si>
  <si>
    <t>Authors</t>
  </si>
  <si>
    <t>Tickers</t>
  </si>
  <si>
    <t>CUSIP</t>
  </si>
  <si>
    <t>RIC</t>
  </si>
  <si>
    <t>SEDOL</t>
  </si>
  <si>
    <t>PathName</t>
  </si>
  <si>
    <t>Distribution</t>
  </si>
  <si>
    <t>Deleted</t>
  </si>
  <si>
    <t>NO</t>
  </si>
  <si>
    <t>EmailAlert</t>
  </si>
  <si>
    <t>YES</t>
  </si>
  <si>
    <t>CurrQtrEPS</t>
  </si>
  <si>
    <t>CYEnd</t>
  </si>
  <si>
    <t>CQEnd</t>
  </si>
  <si>
    <t>CurrYearTotalRevenueActual*</t>
  </si>
  <si>
    <t>NextYearTotalRevenueActual*</t>
  </si>
  <si>
    <t>FollowingYearTotalRevenueActual*</t>
  </si>
  <si>
    <t>Multiplier</t>
  </si>
  <si>
    <t>TemplateRegion</t>
  </si>
  <si>
    <t>ObjectType</t>
  </si>
  <si>
    <t>excel</t>
  </si>
  <si>
    <t>LanguageCode</t>
  </si>
  <si>
    <t>en-US</t>
  </si>
  <si>
    <t>SubmitterUserId</t>
  </si>
  <si>
    <t>IndustryId</t>
  </si>
  <si>
    <t>TickerRegion</t>
  </si>
  <si>
    <t>AdditionalInstructions</t>
  </si>
  <si>
    <t>*Estimated</t>
  </si>
  <si>
    <t>Overweight / Attractive</t>
  </si>
  <si>
    <t>Quarterly Update</t>
  </si>
  <si>
    <t>NorthAmerica</t>
  </si>
  <si>
    <t>baerjos</t>
  </si>
  <si>
    <t>MSA11763, MSA89JKF</t>
  </si>
  <si>
    <t>L:\ER43\ESWModels\MSFT_Next.xlsm</t>
  </si>
  <si>
    <t>[BRO MSA]</t>
  </si>
  <si>
    <t>[PRODUCT MODEL]</t>
  </si>
  <si>
    <t>[EMAIL_ALERT YES]</t>
  </si>
  <si>
    <t>[DISCIPLINE Company]</t>
  </si>
  <si>
    <t>[SUPPRESSED NO]</t>
  </si>
  <si>
    <t>[DOCDAT 2018-04-27]</t>
  </si>
  <si>
    <t>[DOCTIME 01:08]</t>
  </si>
  <si>
    <t>[PSYM MSFT.O(S&amp;P) (None)]</t>
  </si>
  <si>
    <t>[COU 1]</t>
  </si>
  <si>
    <t>[ANA MSA89JKF]</t>
  </si>
  <si>
    <t>[HL MSFT.O Model]</t>
  </si>
  <si>
    <t>[IND TECHNO COMPUT DATAPR]</t>
  </si>
  <si>
    <t>[PANA MSA11763]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</si>
</sst>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_%_);\(&quot;$&quot;#,##0\)_%;&quot;$&quot;#,##0_%_);@_%_)"/>
    <numFmt numFmtId="165" formatCode="#,##0.0_%_);\(#,##0.0\)_%;#,##0.0_%_);@_%_)"/>
    <numFmt numFmtId="166" formatCode="#,##0_%_);\(#,##0\)_%;#,##0_%_);@_%_)"/>
    <numFmt numFmtId="167" formatCode="0.0\%_);\(0.0\%\);0.0\%_);@_%_)"/>
    <numFmt numFmtId="168" formatCode="&quot;$&quot;#,##0.00_%_);\(&quot;$&quot;#,##0.00\)_%;&quot;$&quot;#,##0.00_%_);@_%_)"/>
    <numFmt numFmtId="169" formatCode="#,##0.00_%_);\(#,##0.00\)_%;#,##0.00_%_);@_%_)"/>
    <numFmt numFmtId="170" formatCode="mm/dd/yy"/>
    <numFmt numFmtId="171" formatCode="0.0%"/>
    <numFmt numFmtId="172" formatCode="#,##0.000_%_);\(#,##0.000\)_%;#,##0.000_%_);@_%_)"/>
    <numFmt numFmtId="173" formatCode="0\%_);\(0\%\);0\%_);@_%_)"/>
    <numFmt numFmtId="175" formatCode="0.0"/>
    <numFmt numFmtId="176" formatCode="m/yy"/>
    <numFmt numFmtId="177" formatCode="#,##0\%_);\(#,##0\%\);#,##0\%_);@_%_)"/>
    <numFmt numFmtId="178" formatCode="#,##0.0\%_);\(#,##0.0\%\);#,##0.0\%_);@_%_)"/>
    <numFmt numFmtId="179" formatCode="#,##0.0000000000000000"/>
    <numFmt numFmtId="180" formatCode="#,##0.00000000000000"/>
    <numFmt numFmtId="181" formatCode="#,##0.00\%_);\(#,##0.00\%\);#,##0.00\%_);@_%_)"/>
    <numFmt numFmtId="182" formatCode="#,##0.0"/>
    <numFmt numFmtId="184" formatCode="&quot;$&quot;#,##0.000_%_);\(&quot;$&quot;#,##0.000\)_%;&quot;$&quot;#,##0.000_%_);@_%_)"/>
    <numFmt numFmtId="186" formatCode="yyyy"/>
    <numFmt numFmtId="187" formatCode="0.000%"/>
    <numFmt numFmtId="188" formatCode="0.00%_);[Red]\(0.00%\)"/>
    <numFmt numFmtId="190" formatCode="#,##0.0;\(#,##0.0\);\-_)"/>
    <numFmt numFmtId="191" formatCode="0_);\(0\)"/>
    <numFmt numFmtId="192" formatCode="_-* #,##0.00_-;\-* #,##0.00_-;_-* &quot;-&quot;??_-;_-@_-"/>
    <numFmt numFmtId="193" formatCode="mmm\-yy&quot;E&quot;"/>
    <numFmt numFmtId="194" formatCode="0&quot;E&quot;"/>
    <numFmt numFmtId="195" formatCode="[$-409]mmm\-yy;@"/>
    <numFmt numFmtId="197" formatCode="_(* #,##0.0_);_(* \(#,##0.0\);_(* &quot;-&quot;??_);_(@_)"/>
    <numFmt numFmtId="198" formatCode="&quot;$&quot;#,##0.00"/>
    <numFmt numFmtId="199" formatCode="&quot;$&quot;#,##0"/>
    <numFmt numFmtId="204" formatCode="0%_);[Red]\(0%\)"/>
    <numFmt numFmtId="205" formatCode="0.0\x"/>
    <numFmt numFmtId="206" formatCode="&quot;$&quot;#,##0.000_);\(&quot;$&quot;#,##0.000\)"/>
    <numFmt numFmtId="209" formatCode="#,##0.000_);[Red]\(#,##0.000\)"/>
    <numFmt numFmtId="210" formatCode="&quot;$&quot;#,##0.0_);\(&quot;$&quot;#,##0.0\)"/>
    <numFmt numFmtId="212" formatCode="0_);[Red]\(0\)"/>
    <numFmt numFmtId="216" formatCode="0.0000"/>
    <numFmt numFmtId="217" formatCode="_(* #,##0.000_);_(* \(#,##0.000\);_(* &quot;-&quot;??_);_(@_)"/>
    <numFmt numFmtId="218" formatCode="0.00\%_);\(0.00\%\);0.00\%_);@_%_)"/>
    <numFmt numFmtId="219" formatCode="_(* #,##0.0000_);_(* \(#,##0.0000\);_(* &quot;-&quot;??_);_(@_)"/>
    <numFmt numFmtId="220" formatCode="_(* #,##0_);_(* \(#,##0\);_(* &quot;-&quot;??_);_(@_)"/>
    <numFmt numFmtId="221" formatCode="0&quot;A&quot;"/>
    <numFmt numFmtId="226" formatCode="0.0000000000000000%"/>
    <numFmt numFmtId="228" formatCode="0.0000%"/>
    <numFmt numFmtId="230" formatCode="_ * #,##0_ ;_ * \-#,##0_ ;_ * &quot;-&quot;_ ;_ @_ "/>
    <numFmt numFmtId="231" formatCode="&quot;$&quot;#,##0.0_%_);\(&quot;$&quot;#,##0.0\)_%;&quot;$&quot;#,##0.0_%_);@_%_)"/>
    <numFmt numFmtId="239" formatCode="mm/dd/yy\ hh:mm"/>
  </numFmts>
  <fonts count="146">
    <font>
      <sz val="10"/>
      <name val="Arial"/>
    </font>
    <font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8"/>
      <color indexed="12"/>
      <name val="Arial"/>
      <family val="2"/>
    </font>
    <font>
      <b/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20"/>
      <name val="Arial"/>
      <family val="2"/>
    </font>
    <font>
      <b/>
      <sz val="8"/>
      <color indexed="12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0"/>
      <name val="Arial"/>
      <family val="2"/>
    </font>
    <font>
      <i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20"/>
      <name val="Arial"/>
      <family val="2"/>
    </font>
    <font>
      <u/>
      <sz val="8"/>
      <name val="Arial"/>
      <family val="2"/>
    </font>
    <font>
      <sz val="8"/>
      <color indexed="20"/>
      <name val="Arial"/>
      <family val="2"/>
    </font>
    <font>
      <b/>
      <sz val="8"/>
      <color indexed="2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Times New Roman"/>
      <family val="1"/>
    </font>
    <font>
      <sz val="10"/>
      <name val="GillSans Light"/>
    </font>
    <font>
      <b/>
      <sz val="11"/>
      <color indexed="9"/>
      <name val="GillSans"/>
    </font>
    <font>
      <b/>
      <sz val="11"/>
      <name val="GillSans"/>
    </font>
    <font>
      <sz val="8"/>
      <color indexed="9"/>
      <name val="Arial"/>
      <family val="2"/>
    </font>
    <font>
      <sz val="7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8"/>
      <color indexed="12"/>
      <name val="Arial"/>
      <family val="2"/>
    </font>
    <font>
      <sz val="10"/>
      <name val="MS Sans Serif"/>
      <family val="2"/>
    </font>
    <font>
      <sz val="10"/>
      <color indexed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9"/>
      <color indexed="10"/>
      <name val="Times New Roman"/>
      <family val="1"/>
    </font>
    <font>
      <b/>
      <sz val="9"/>
      <color indexed="12"/>
      <name val="Times New Roman"/>
      <family val="1"/>
    </font>
    <font>
      <sz val="9"/>
      <color indexed="10"/>
      <name val="Times New Roman"/>
      <family val="1"/>
    </font>
    <font>
      <sz val="9"/>
      <color indexed="20"/>
      <name val="Times New Roman"/>
      <family val="1"/>
    </font>
    <font>
      <sz val="9"/>
      <color indexed="12"/>
      <name val="Times New Roman"/>
      <family val="1"/>
    </font>
    <font>
      <sz val="9"/>
      <color indexed="9"/>
      <name val="Times New Roman"/>
      <family val="1"/>
    </font>
    <font>
      <b/>
      <i/>
      <sz val="9"/>
      <name val="Times New Roman"/>
      <family val="1"/>
    </font>
    <font>
      <b/>
      <sz val="9"/>
      <color indexed="9"/>
      <name val="Times New Roman"/>
      <family val="1"/>
    </font>
    <font>
      <i/>
      <sz val="9"/>
      <name val="Times New Roman"/>
      <family val="1"/>
    </font>
    <font>
      <u/>
      <sz val="9"/>
      <name val="Times New Roman"/>
      <family val="1"/>
    </font>
    <font>
      <b/>
      <u/>
      <sz val="9"/>
      <color indexed="56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9"/>
      <color indexed="18"/>
      <name val="Times New Roman"/>
      <family val="1"/>
    </font>
    <font>
      <b/>
      <sz val="9"/>
      <color indexed="56"/>
      <name val="Times New Roman"/>
      <family val="1"/>
    </font>
    <font>
      <sz val="9"/>
      <color indexed="18"/>
      <name val="Times New Roman"/>
      <family val="1"/>
    </font>
    <font>
      <sz val="9"/>
      <color indexed="56"/>
      <name val="Times New Roman"/>
      <family val="1"/>
    </font>
    <font>
      <b/>
      <u/>
      <sz val="9"/>
      <name val="Times New Roman"/>
      <family val="1"/>
    </font>
    <font>
      <i/>
      <sz val="9"/>
      <color indexed="10"/>
      <name val="Times New Roman"/>
      <family val="1"/>
    </font>
    <font>
      <sz val="8"/>
      <color indexed="18"/>
      <name val="Arial"/>
      <family val="2"/>
    </font>
    <font>
      <sz val="9"/>
      <color indexed="22"/>
      <name val="Times New Roman"/>
      <family val="1"/>
    </font>
    <font>
      <b/>
      <i/>
      <sz val="9"/>
      <color indexed="18"/>
      <name val="Times New Roman"/>
      <family val="1"/>
    </font>
    <font>
      <b/>
      <sz val="9"/>
      <color indexed="22"/>
      <name val="Times New Roman"/>
      <family val="1"/>
    </font>
    <font>
      <b/>
      <sz val="16"/>
      <name val="Times New Roman"/>
      <family val="1"/>
    </font>
    <font>
      <b/>
      <sz val="16"/>
      <name val="Arial"/>
      <family val="2"/>
    </font>
    <font>
      <b/>
      <sz val="10"/>
      <color indexed="8"/>
      <name val="Times New Roman"/>
      <family val="1"/>
    </font>
    <font>
      <sz val="10"/>
      <color indexed="12"/>
      <name val="Arial"/>
      <family val="2"/>
    </font>
    <font>
      <sz val="10"/>
      <color indexed="8"/>
      <name val="Times New Roman"/>
      <family val="1"/>
    </font>
    <font>
      <i/>
      <sz val="8"/>
      <name val="Times New Roman"/>
      <family val="1"/>
    </font>
    <font>
      <sz val="9"/>
      <color indexed="12"/>
      <name val="Arial"/>
      <family val="2"/>
    </font>
    <font>
      <b/>
      <i/>
      <sz val="9"/>
      <name val="Arial"/>
      <family val="2"/>
    </font>
    <font>
      <b/>
      <sz val="9"/>
      <color indexed="9"/>
      <name val="Arial"/>
      <family val="2"/>
    </font>
    <font>
      <sz val="9"/>
      <color indexed="9"/>
      <name val="Arial"/>
      <family val="2"/>
    </font>
    <font>
      <sz val="9"/>
      <name val="Arial"/>
      <family val="2"/>
    </font>
    <font>
      <b/>
      <sz val="9"/>
      <color indexed="12"/>
      <name val="Arial"/>
      <family val="2"/>
    </font>
    <font>
      <i/>
      <sz val="9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b/>
      <u/>
      <sz val="7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9"/>
      <color indexed="62"/>
      <name val="Times New Roman"/>
      <family val="1"/>
    </font>
    <font>
      <i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Times New Roman"/>
      <family val="1"/>
    </font>
    <font>
      <b/>
      <sz val="9"/>
      <color indexed="17"/>
      <name val="Times New Roman"/>
      <family val="1"/>
    </font>
    <font>
      <sz val="8"/>
      <color indexed="8"/>
      <name val="Times New Roman"/>
      <family val="1"/>
    </font>
    <font>
      <sz val="8"/>
      <color indexed="56"/>
      <name val="Times New Roman"/>
      <family val="1"/>
    </font>
    <font>
      <sz val="8"/>
      <color indexed="18"/>
      <name val="Times New Roman"/>
      <family val="1"/>
    </font>
    <font>
      <i/>
      <sz val="10"/>
      <name val="Times New Roman"/>
      <family val="1"/>
    </font>
    <font>
      <b/>
      <sz val="10"/>
      <color indexed="17"/>
      <name val="Times New Roman"/>
      <family val="1"/>
    </font>
    <font>
      <sz val="8"/>
      <color indexed="20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i/>
      <sz val="10"/>
      <color rgb="FFFF0000"/>
      <name val="Arial"/>
      <family val="2"/>
    </font>
    <font>
      <b/>
      <i/>
      <sz val="10"/>
      <color rgb="FFFF0000"/>
      <name val="Arial"/>
      <family val="2"/>
    </font>
    <font>
      <sz val="9"/>
      <color rgb="FF003366"/>
      <name val="Times New Roman"/>
      <family val="1"/>
    </font>
    <font>
      <b/>
      <sz val="9"/>
      <color rgb="FF003366"/>
      <name val="Times New Roman"/>
      <family val="1"/>
    </font>
    <font>
      <sz val="9"/>
      <color theme="0"/>
      <name val="Times New Roman"/>
      <family val="1"/>
    </font>
    <font>
      <b/>
      <sz val="9"/>
      <color indexed="8"/>
      <name val="Arial"/>
      <family val="2"/>
    </font>
    <font>
      <b/>
      <sz val="9"/>
      <color indexed="18"/>
      <name val="Arial"/>
      <family val="2"/>
    </font>
    <font>
      <sz val="9"/>
      <color rgb="FF003366"/>
      <name val="Arial"/>
      <family val="2"/>
    </font>
    <font>
      <sz val="9"/>
      <color indexed="56"/>
      <name val="Arial"/>
      <family val="2"/>
    </font>
    <font>
      <i/>
      <sz val="9"/>
      <color rgb="FF137CB1"/>
      <name val="Arial"/>
      <family val="2"/>
    </font>
    <font>
      <b/>
      <sz val="9"/>
      <color theme="0" tint="-0.249977111117893"/>
      <name val="Arial"/>
      <family val="2"/>
    </font>
    <font>
      <i/>
      <sz val="9"/>
      <color theme="0" tint="-0.249977111117893"/>
      <name val="Arial"/>
      <family val="2"/>
    </font>
    <font>
      <sz val="10"/>
      <color theme="4"/>
      <name val="Arial"/>
      <family val="2"/>
    </font>
    <font>
      <sz val="9"/>
      <color theme="3"/>
      <name val="Times New Roman"/>
      <family val="1"/>
    </font>
    <font>
      <sz val="10"/>
      <color theme="3"/>
      <name val="Arial"/>
      <family val="2"/>
    </font>
    <font>
      <b/>
      <sz val="9"/>
      <color theme="3"/>
      <name val="Times New Roman"/>
      <family val="1"/>
    </font>
    <font>
      <b/>
      <sz val="9"/>
      <color theme="4"/>
      <name val="Times New Roman"/>
      <family val="1"/>
    </font>
    <font>
      <sz val="9"/>
      <color theme="4"/>
      <name val="Times New Roman"/>
      <family val="1"/>
    </font>
    <font>
      <b/>
      <sz val="10"/>
      <color rgb="FF137CB1"/>
      <name val="Arial"/>
      <family val="2"/>
    </font>
    <font>
      <sz val="12"/>
      <name val="바탕체"/>
      <family val="1"/>
      <charset val="129"/>
    </font>
    <font>
      <sz val="9"/>
      <color rgb="FF0070C0"/>
      <name val="Arial"/>
      <family val="2"/>
    </font>
    <font>
      <b/>
      <i/>
      <sz val="10"/>
      <color rgb="FF137CB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name val="Courier"/>
      <family val="3"/>
    </font>
    <font>
      <sz val="10"/>
      <name val="Arial"/>
    </font>
    <font>
      <sz val="10"/>
      <color rgb="FF000000"/>
      <name val="Arial"/>
      <family val="2"/>
    </font>
    <font>
      <b/>
      <sz val="12"/>
      <color rgb="FF00008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mediumGray"/>
    </fill>
    <fill>
      <patternFill patternType="solid">
        <fgColor indexed="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8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8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77">
    <xf numFmtId="0" fontId="0" fillId="0" borderId="0" applyNumberFormat="0" applyFont="0" applyFill="0" applyBorder="0" applyAlignment="0" applyProtection="0"/>
    <xf numFmtId="0" fontId="1" fillId="0" borderId="0"/>
    <xf numFmtId="0" fontId="80" fillId="0" borderId="0" applyNumberFormat="0" applyFont="0" applyFill="0" applyBorder="0" applyAlignment="0" applyProtection="0"/>
    <xf numFmtId="3" fontId="36" fillId="0" borderId="0"/>
    <xf numFmtId="0" fontId="1" fillId="0" borderId="0"/>
    <xf numFmtId="0" fontId="34" fillId="0" borderId="0"/>
    <xf numFmtId="0" fontId="34" fillId="0" borderId="0"/>
    <xf numFmtId="0" fontId="84" fillId="2" borderId="0" applyNumberFormat="0" applyBorder="0" applyAlignment="0" applyProtection="0"/>
    <xf numFmtId="0" fontId="84" fillId="3" borderId="0" applyNumberFormat="0" applyBorder="0" applyAlignment="0" applyProtection="0"/>
    <xf numFmtId="0" fontId="84" fillId="4" borderId="0" applyNumberFormat="0" applyBorder="0" applyAlignment="0" applyProtection="0"/>
    <xf numFmtId="0" fontId="84" fillId="2" borderId="0" applyNumberFormat="0" applyBorder="0" applyAlignment="0" applyProtection="0"/>
    <xf numFmtId="0" fontId="84" fillId="5" borderId="0" applyNumberFormat="0" applyBorder="0" applyAlignment="0" applyProtection="0"/>
    <xf numFmtId="0" fontId="84" fillId="4" borderId="0" applyNumberFormat="0" applyBorder="0" applyAlignment="0" applyProtection="0"/>
    <xf numFmtId="0" fontId="84" fillId="6" borderId="0" applyNumberFormat="0" applyBorder="0" applyAlignment="0" applyProtection="0"/>
    <xf numFmtId="0" fontId="84" fillId="3" borderId="0" applyNumberFormat="0" applyBorder="0" applyAlignment="0" applyProtection="0"/>
    <xf numFmtId="0" fontId="84" fillId="4" borderId="0" applyNumberFormat="0" applyBorder="0" applyAlignment="0" applyProtection="0"/>
    <xf numFmtId="0" fontId="84" fillId="6" borderId="0" applyNumberFormat="0" applyBorder="0" applyAlignment="0" applyProtection="0"/>
    <xf numFmtId="0" fontId="84" fillId="7" borderId="0" applyNumberFormat="0" applyBorder="0" applyAlignment="0" applyProtection="0"/>
    <xf numFmtId="0" fontId="84" fillId="4" borderId="0" applyNumberFormat="0" applyBorder="0" applyAlignment="0" applyProtection="0"/>
    <xf numFmtId="0" fontId="85" fillId="8" borderId="0" applyNumberFormat="0" applyBorder="0" applyAlignment="0" applyProtection="0"/>
    <xf numFmtId="0" fontId="85" fillId="3" borderId="0" applyNumberFormat="0" applyBorder="0" applyAlignment="0" applyProtection="0"/>
    <xf numFmtId="0" fontId="85" fillId="9" borderId="0" applyNumberFormat="0" applyBorder="0" applyAlignment="0" applyProtection="0"/>
    <xf numFmtId="0" fontId="85" fillId="6" borderId="0" applyNumberFormat="0" applyBorder="0" applyAlignment="0" applyProtection="0"/>
    <xf numFmtId="0" fontId="85" fillId="8" borderId="0" applyNumberFormat="0" applyBorder="0" applyAlignment="0" applyProtection="0"/>
    <xf numFmtId="0" fontId="85" fillId="4" borderId="0" applyNumberFormat="0" applyBorder="0" applyAlignment="0" applyProtection="0"/>
    <xf numFmtId="0" fontId="85" fillId="8" borderId="0" applyNumberFormat="0" applyBorder="0" applyAlignment="0" applyProtection="0"/>
    <xf numFmtId="0" fontId="85" fillId="3" borderId="0" applyNumberFormat="0" applyBorder="0" applyAlignment="0" applyProtection="0"/>
    <xf numFmtId="0" fontId="85" fillId="9" borderId="0" applyNumberFormat="0" applyBorder="0" applyAlignment="0" applyProtection="0"/>
    <xf numFmtId="0" fontId="85" fillId="10" borderId="0" applyNumberFormat="0" applyBorder="0" applyAlignment="0" applyProtection="0"/>
    <xf numFmtId="0" fontId="85" fillId="8" borderId="0" applyNumberFormat="0" applyBorder="0" applyAlignment="0" applyProtection="0"/>
    <xf numFmtId="0" fontId="85" fillId="3" borderId="0" applyNumberFormat="0" applyBorder="0" applyAlignment="0" applyProtection="0"/>
    <xf numFmtId="0" fontId="86" fillId="11" borderId="0" applyNumberFormat="0" applyBorder="0" applyAlignment="0" applyProtection="0"/>
    <xf numFmtId="0" fontId="66" fillId="0" borderId="0"/>
    <xf numFmtId="0" fontId="87" fillId="12" borderId="1" applyNumberFormat="0" applyAlignment="0" applyProtection="0"/>
    <xf numFmtId="0" fontId="88" fillId="13" borderId="2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90" fillId="14" borderId="0" applyNumberFormat="0" applyBorder="0" applyAlignment="0" applyProtection="0"/>
    <xf numFmtId="0" fontId="91" fillId="0" borderId="3" applyNumberFormat="0" applyFill="0" applyAlignment="0" applyProtection="0"/>
    <xf numFmtId="0" fontId="92" fillId="0" borderId="4" applyNumberFormat="0" applyFill="0" applyAlignment="0" applyProtection="0"/>
    <xf numFmtId="0" fontId="93" fillId="0" borderId="5" applyNumberFormat="0" applyFill="0" applyAlignment="0" applyProtection="0"/>
    <xf numFmtId="0" fontId="93" fillId="0" borderId="0" applyNumberFormat="0" applyFill="0" applyBorder="0" applyAlignment="0" applyProtection="0"/>
    <xf numFmtId="0" fontId="94" fillId="4" borderId="1" applyNumberFormat="0" applyAlignment="0" applyProtection="0"/>
    <xf numFmtId="0" fontId="25" fillId="0" borderId="0" applyNumberFormat="0" applyFill="0" applyBorder="0" applyProtection="0">
      <alignment horizontal="left" vertical="center"/>
    </xf>
    <xf numFmtId="0" fontId="95" fillId="0" borderId="6" applyNumberFormat="0" applyFill="0" applyAlignment="0" applyProtection="0"/>
    <xf numFmtId="0" fontId="96" fillId="4" borderId="0" applyNumberFormat="0" applyBorder="0" applyAlignment="0" applyProtection="0"/>
    <xf numFmtId="0" fontId="1" fillId="0" borderId="0"/>
    <xf numFmtId="38" fontId="24" fillId="0" borderId="0"/>
    <xf numFmtId="0" fontId="1" fillId="0" borderId="0"/>
    <xf numFmtId="0" fontId="3" fillId="0" borderId="0" applyFill="0" applyBorder="0" applyAlignment="0" applyProtection="0"/>
    <xf numFmtId="38" fontId="24" fillId="0" borderId="0"/>
    <xf numFmtId="0" fontId="1" fillId="4" borderId="7" applyNumberFormat="0" applyFont="0" applyAlignment="0" applyProtection="0"/>
    <xf numFmtId="0" fontId="97" fillId="12" borderId="8" applyNumberFormat="0" applyAlignment="0" applyProtection="0"/>
    <xf numFmtId="0" fontId="39" fillId="0" borderId="0">
      <alignment vertical="center"/>
    </xf>
    <xf numFmtId="9" fontId="1" fillId="0" borderId="0" applyFont="0" applyFill="0" applyBorder="0" applyAlignment="0" applyProtection="0"/>
    <xf numFmtId="188" fontId="24" fillId="0" borderId="0" applyFont="0" applyFill="0" applyBorder="0" applyAlignment="0" applyProtection="0"/>
    <xf numFmtId="0" fontId="25" fillId="0" borderId="0" applyNumberFormat="0" applyFill="0" applyBorder="0" applyProtection="0">
      <alignment horizontal="right" vertical="center"/>
    </xf>
    <xf numFmtId="0" fontId="68" fillId="0" borderId="0"/>
    <xf numFmtId="0" fontId="68" fillId="0" borderId="9">
      <alignment horizontal="centerContinuous"/>
    </xf>
    <xf numFmtId="0" fontId="69" fillId="0" borderId="9"/>
    <xf numFmtId="0" fontId="1" fillId="0" borderId="0">
      <alignment vertical="top"/>
    </xf>
    <xf numFmtId="0" fontId="98" fillId="0" borderId="0" applyNumberFormat="0" applyFill="0" applyBorder="0" applyAlignment="0" applyProtection="0"/>
    <xf numFmtId="0" fontId="26" fillId="16" borderId="0" applyNumberFormat="0" applyBorder="0" applyProtection="0">
      <alignment horizontal="left" vertical="center"/>
    </xf>
    <xf numFmtId="0" fontId="27" fillId="1" borderId="0" applyNumberFormat="0" applyBorder="0" applyProtection="0">
      <alignment horizontal="left" vertical="center"/>
    </xf>
    <xf numFmtId="0" fontId="99" fillId="0" borderId="10" applyNumberFormat="0" applyFill="0" applyAlignment="0" applyProtection="0"/>
    <xf numFmtId="0" fontId="100" fillId="0" borderId="0" applyNumberFormat="0" applyFill="0" applyBorder="0" applyAlignment="0" applyProtection="0"/>
    <xf numFmtId="0" fontId="1" fillId="0" borderId="0"/>
    <xf numFmtId="0" fontId="1" fillId="0" borderId="0" applyNumberFormat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1" fillId="15" borderId="0" applyNumberFormat="0" applyFont="0" applyBorder="0" applyAlignment="0" applyProtection="0"/>
    <xf numFmtId="230" fontId="137" fillId="0" borderId="0" applyFont="0" applyFill="0" applyBorder="0" applyAlignment="0" applyProtection="0"/>
    <xf numFmtId="0" fontId="137" fillId="0" borderId="0" applyFont="0" applyFill="0" applyBorder="0" applyAlignment="0" applyProtection="0"/>
    <xf numFmtId="0" fontId="142" fillId="0" borderId="0"/>
    <xf numFmtId="0" fontId="143" fillId="0" borderId="0"/>
  </cellStyleXfs>
  <cellXfs count="3129">
    <xf numFmtId="0" fontId="0" fillId="0" borderId="0" xfId="0"/>
    <xf numFmtId="164" fontId="39" fillId="17" borderId="0" xfId="71" applyNumberFormat="1" applyFont="1" applyFill="1"/>
    <xf numFmtId="171" fontId="83" fillId="0" borderId="19" xfId="2" applyNumberFormat="1" applyFont="1" applyFill="1" applyBorder="1"/>
    <xf numFmtId="171" fontId="83" fillId="0" borderId="0" xfId="2" applyNumberFormat="1" applyFont="1" applyFill="1" applyBorder="1"/>
    <xf numFmtId="171" fontId="83" fillId="32" borderId="19" xfId="2" applyNumberFormat="1" applyFont="1" applyFill="1" applyBorder="1"/>
    <xf numFmtId="0" fontId="83" fillId="0" borderId="0" xfId="0" applyFont="1" applyFill="1" applyBorder="1" applyAlignment="1">
      <alignment horizontal="left" indent="2"/>
    </xf>
    <xf numFmtId="0" fontId="30" fillId="0" borderId="0" xfId="2" applyFont="1"/>
    <xf numFmtId="38" fontId="3" fillId="17" borderId="0" xfId="50" applyFont="1" applyFill="1"/>
    <xf numFmtId="38" fontId="3" fillId="17" borderId="0" xfId="50" applyFont="1" applyFill="1" applyBorder="1"/>
    <xf numFmtId="38" fontId="51" fillId="17" borderId="12" xfId="50" applyFont="1" applyFill="1" applyBorder="1"/>
    <xf numFmtId="194" fontId="40" fillId="17" borderId="12" xfId="50" applyNumberFormat="1" applyFont="1" applyFill="1" applyBorder="1" applyAlignment="1">
      <alignment horizontal="right"/>
    </xf>
    <xf numFmtId="193" fontId="40" fillId="17" borderId="12" xfId="50" applyNumberFormat="1" applyFont="1" applyFill="1" applyBorder="1"/>
    <xf numFmtId="193" fontId="52" fillId="17" borderId="12" xfId="50" applyNumberFormat="1" applyFont="1" applyFill="1" applyBorder="1"/>
    <xf numFmtId="194" fontId="52" fillId="17" borderId="12" xfId="50" applyNumberFormat="1" applyFont="1" applyFill="1" applyBorder="1" applyAlignment="1">
      <alignment horizontal="right"/>
    </xf>
    <xf numFmtId="38" fontId="53" fillId="17" borderId="12" xfId="50" applyFont="1" applyFill="1" applyBorder="1"/>
    <xf numFmtId="38" fontId="39" fillId="17" borderId="12" xfId="50" applyFont="1" applyFill="1" applyBorder="1"/>
    <xf numFmtId="38" fontId="40" fillId="17" borderId="12" xfId="50" applyFont="1" applyFill="1" applyBorder="1" applyAlignment="1">
      <alignment horizontal="right"/>
    </xf>
    <xf numFmtId="193" fontId="54" fillId="17" borderId="12" xfId="50" applyNumberFormat="1" applyFont="1" applyFill="1" applyBorder="1"/>
    <xf numFmtId="194" fontId="54" fillId="17" borderId="12" xfId="50" applyNumberFormat="1" applyFont="1" applyFill="1" applyBorder="1" applyAlignment="1">
      <alignment horizontal="right"/>
    </xf>
    <xf numFmtId="38" fontId="39" fillId="17" borderId="13" xfId="50" applyFont="1" applyFill="1" applyBorder="1"/>
    <xf numFmtId="1" fontId="40" fillId="17" borderId="13" xfId="37" applyNumberFormat="1" applyFont="1" applyFill="1" applyBorder="1" applyAlignment="1">
      <alignment horizontal="right"/>
    </xf>
    <xf numFmtId="17" fontId="40" fillId="17" borderId="13" xfId="50" quotePrefix="1" applyNumberFormat="1" applyFont="1" applyFill="1" applyBorder="1" applyAlignment="1">
      <alignment horizontal="right"/>
    </xf>
    <xf numFmtId="195" fontId="52" fillId="17" borderId="13" xfId="50" quotePrefix="1" applyNumberFormat="1" applyFont="1" applyFill="1" applyBorder="1" applyAlignment="1">
      <alignment horizontal="right"/>
    </xf>
    <xf numFmtId="0" fontId="52" fillId="0" borderId="13" xfId="37" applyNumberFormat="1" applyFont="1" applyFill="1" applyBorder="1" applyAlignment="1">
      <alignment horizontal="right"/>
    </xf>
    <xf numFmtId="17" fontId="52" fillId="17" borderId="13" xfId="50" quotePrefix="1" applyNumberFormat="1" applyFont="1" applyFill="1" applyBorder="1" applyAlignment="1">
      <alignment horizontal="right"/>
    </xf>
    <xf numFmtId="38" fontId="40" fillId="17" borderId="13" xfId="50" applyFont="1" applyFill="1" applyBorder="1" applyAlignment="1">
      <alignment horizontal="right"/>
    </xf>
    <xf numFmtId="193" fontId="54" fillId="17" borderId="13" xfId="50" quotePrefix="1" applyNumberFormat="1" applyFont="1" applyFill="1" applyBorder="1" applyAlignment="1">
      <alignment horizontal="right"/>
    </xf>
    <xf numFmtId="194" fontId="54" fillId="17" borderId="13" xfId="37" applyNumberFormat="1" applyFont="1" applyFill="1" applyBorder="1" applyAlignment="1">
      <alignment horizontal="right"/>
    </xf>
    <xf numFmtId="5" fontId="39" fillId="17" borderId="0" xfId="50" applyNumberFormat="1" applyFont="1" applyFill="1" applyBorder="1"/>
    <xf numFmtId="5" fontId="39" fillId="17" borderId="0" xfId="50" applyNumberFormat="1" applyFont="1" applyFill="1"/>
    <xf numFmtId="5" fontId="56" fillId="17" borderId="0" xfId="50" applyNumberFormat="1" applyFont="1" applyFill="1"/>
    <xf numFmtId="38" fontId="39" fillId="17" borderId="0" xfId="50" applyFont="1" applyFill="1"/>
    <xf numFmtId="9" fontId="39" fillId="17" borderId="0" xfId="50" applyNumberFormat="1" applyFont="1" applyFill="1"/>
    <xf numFmtId="9" fontId="39" fillId="17" borderId="0" xfId="50" applyNumberFormat="1" applyFont="1" applyFill="1" applyBorder="1"/>
    <xf numFmtId="9" fontId="56" fillId="17" borderId="0" xfId="50" applyNumberFormat="1" applyFont="1" applyFill="1" applyBorder="1"/>
    <xf numFmtId="9" fontId="56" fillId="17" borderId="0" xfId="50" applyNumberFormat="1" applyFont="1" applyFill="1"/>
    <xf numFmtId="5" fontId="39" fillId="17" borderId="14" xfId="50" applyNumberFormat="1" applyFont="1" applyFill="1" applyBorder="1"/>
    <xf numFmtId="9" fontId="40" fillId="17" borderId="0" xfId="50" applyNumberFormat="1" applyFont="1" applyFill="1" applyBorder="1"/>
    <xf numFmtId="38" fontId="56" fillId="17" borderId="0" xfId="50" applyFont="1" applyFill="1"/>
    <xf numFmtId="38" fontId="40" fillId="17" borderId="0" xfId="50" applyFont="1" applyFill="1"/>
    <xf numFmtId="0" fontId="58" fillId="18" borderId="17" xfId="2" applyFont="1" applyFill="1" applyBorder="1" applyAlignment="1">
      <alignment horizontal="left"/>
    </xf>
    <xf numFmtId="0" fontId="40" fillId="18" borderId="17" xfId="2" applyFont="1" applyFill="1" applyBorder="1" applyAlignment="1">
      <alignment horizontal="center"/>
    </xf>
    <xf numFmtId="0" fontId="42" fillId="18" borderId="17" xfId="2" applyFont="1" applyFill="1" applyBorder="1" applyAlignment="1">
      <alignment horizontal="center"/>
    </xf>
    <xf numFmtId="49" fontId="40" fillId="18" borderId="18" xfId="2" applyNumberFormat="1" applyFont="1" applyFill="1" applyBorder="1" applyAlignment="1">
      <alignment horizontal="center"/>
    </xf>
    <xf numFmtId="0" fontId="40" fillId="18" borderId="18" xfId="2" applyFont="1" applyFill="1" applyBorder="1" applyAlignment="1">
      <alignment horizontal="center"/>
    </xf>
    <xf numFmtId="38" fontId="40" fillId="17" borderId="13" xfId="50" applyFont="1" applyFill="1" applyBorder="1"/>
    <xf numFmtId="195" fontId="40" fillId="17" borderId="13" xfId="50" applyNumberFormat="1" applyFont="1" applyFill="1" applyBorder="1" applyAlignment="1">
      <alignment horizontal="right"/>
    </xf>
    <xf numFmtId="176" fontId="42" fillId="18" borderId="13" xfId="2" applyNumberFormat="1" applyFont="1" applyFill="1" applyBorder="1" applyAlignment="1">
      <alignment horizontal="center"/>
    </xf>
    <xf numFmtId="5" fontId="40" fillId="17" borderId="0" xfId="50" applyNumberFormat="1" applyFont="1" applyFill="1"/>
    <xf numFmtId="5" fontId="40" fillId="17" borderId="19" xfId="50" applyNumberFormat="1" applyFont="1" applyFill="1" applyBorder="1"/>
    <xf numFmtId="5" fontId="54" fillId="17" borderId="19" xfId="50" applyNumberFormat="1" applyFont="1" applyFill="1" applyBorder="1"/>
    <xf numFmtId="9" fontId="39" fillId="17" borderId="19" xfId="50" applyNumberFormat="1" applyFont="1" applyFill="1" applyBorder="1"/>
    <xf numFmtId="9" fontId="56" fillId="17" borderId="19" xfId="50" applyNumberFormat="1" applyFont="1" applyFill="1" applyBorder="1"/>
    <xf numFmtId="38" fontId="40" fillId="17" borderId="19" xfId="50" applyFont="1" applyFill="1" applyBorder="1"/>
    <xf numFmtId="38" fontId="39" fillId="17" borderId="19" xfId="50" applyFont="1" applyFill="1" applyBorder="1"/>
    <xf numFmtId="38" fontId="56" fillId="17" borderId="19" xfId="50" applyFont="1" applyFill="1" applyBorder="1"/>
    <xf numFmtId="38" fontId="40" fillId="17" borderId="20" xfId="50" applyFont="1" applyFill="1" applyBorder="1"/>
    <xf numFmtId="38" fontId="39" fillId="17" borderId="20" xfId="50" applyFont="1" applyFill="1" applyBorder="1"/>
    <xf numFmtId="38" fontId="56" fillId="17" borderId="20" xfId="50" applyFont="1" applyFill="1" applyBorder="1"/>
    <xf numFmtId="5" fontId="58" fillId="17" borderId="12" xfId="50" applyNumberFormat="1" applyFont="1" applyFill="1" applyBorder="1"/>
    <xf numFmtId="5" fontId="39" fillId="17" borderId="12" xfId="50" applyNumberFormat="1" applyFont="1" applyFill="1" applyBorder="1"/>
    <xf numFmtId="5" fontId="40" fillId="17" borderId="12" xfId="50" applyNumberFormat="1" applyFont="1" applyFill="1" applyBorder="1"/>
    <xf numFmtId="5" fontId="56" fillId="17" borderId="12" xfId="50" applyNumberFormat="1" applyFont="1" applyFill="1" applyBorder="1"/>
    <xf numFmtId="9" fontId="40" fillId="17" borderId="13" xfId="50" applyNumberFormat="1" applyFont="1" applyFill="1" applyBorder="1"/>
    <xf numFmtId="9" fontId="39" fillId="17" borderId="13" xfId="50" applyNumberFormat="1" applyFont="1" applyFill="1" applyBorder="1"/>
    <xf numFmtId="9" fontId="56" fillId="17" borderId="13" xfId="50" applyNumberFormat="1" applyFont="1" applyFill="1" applyBorder="1"/>
    <xf numFmtId="176" fontId="40" fillId="18" borderId="13" xfId="2" applyNumberFormat="1" applyFont="1" applyFill="1" applyBorder="1" applyAlignment="1">
      <alignment horizontal="center"/>
    </xf>
    <xf numFmtId="176" fontId="40" fillId="18" borderId="20" xfId="2" applyNumberFormat="1" applyFont="1" applyFill="1" applyBorder="1" applyAlignment="1">
      <alignment horizontal="center"/>
    </xf>
    <xf numFmtId="9" fontId="39" fillId="17" borderId="20" xfId="50" applyNumberFormat="1" applyFont="1" applyFill="1" applyBorder="1"/>
    <xf numFmtId="9" fontId="56" fillId="17" borderId="20" xfId="50" applyNumberFormat="1" applyFont="1" applyFill="1" applyBorder="1"/>
    <xf numFmtId="0" fontId="40" fillId="18" borderId="12" xfId="2" applyFont="1" applyFill="1" applyBorder="1" applyAlignment="1">
      <alignment horizontal="center"/>
    </xf>
    <xf numFmtId="0" fontId="42" fillId="18" borderId="12" xfId="2" applyFont="1" applyFill="1" applyBorder="1" applyAlignment="1">
      <alignment horizontal="center"/>
    </xf>
    <xf numFmtId="49" fontId="40" fillId="18" borderId="21" xfId="2" applyNumberFormat="1" applyFont="1" applyFill="1" applyBorder="1" applyAlignment="1">
      <alignment horizontal="center"/>
    </xf>
    <xf numFmtId="0" fontId="40" fillId="18" borderId="21" xfId="2" applyFont="1" applyFill="1" applyBorder="1" applyAlignment="1">
      <alignment horizontal="center"/>
    </xf>
    <xf numFmtId="5" fontId="40" fillId="17" borderId="13" xfId="50" applyNumberFormat="1" applyFont="1" applyFill="1" applyBorder="1"/>
    <xf numFmtId="5" fontId="40" fillId="17" borderId="20" xfId="50" applyNumberFormat="1" applyFont="1" applyFill="1" applyBorder="1"/>
    <xf numFmtId="5" fontId="39" fillId="17" borderId="19" xfId="50" applyNumberFormat="1" applyFont="1" applyFill="1" applyBorder="1"/>
    <xf numFmtId="5" fontId="39" fillId="17" borderId="21" xfId="50" applyNumberFormat="1" applyFont="1" applyFill="1" applyBorder="1"/>
    <xf numFmtId="5" fontId="56" fillId="17" borderId="19" xfId="50" applyNumberFormat="1" applyFont="1" applyFill="1" applyBorder="1"/>
    <xf numFmtId="188" fontId="39" fillId="17" borderId="0" xfId="58" applyFont="1" applyFill="1"/>
    <xf numFmtId="38" fontId="51" fillId="17" borderId="22" xfId="50" applyFont="1" applyFill="1" applyBorder="1"/>
    <xf numFmtId="38" fontId="40" fillId="17" borderId="23" xfId="50" applyFont="1" applyFill="1" applyBorder="1" applyAlignment="1">
      <alignment horizontal="right"/>
    </xf>
    <xf numFmtId="38" fontId="39" fillId="17" borderId="24" xfId="50" applyFont="1" applyFill="1" applyBorder="1"/>
    <xf numFmtId="191" fontId="40" fillId="17" borderId="23" xfId="50" applyNumberFormat="1" applyFont="1" applyFill="1" applyBorder="1" applyAlignment="1">
      <alignment horizontal="right"/>
    </xf>
    <xf numFmtId="6" fontId="40" fillId="17" borderId="23" xfId="50" applyNumberFormat="1" applyFont="1" applyFill="1" applyBorder="1"/>
    <xf numFmtId="6" fontId="39" fillId="17" borderId="0" xfId="50" applyNumberFormat="1" applyFont="1" applyFill="1"/>
    <xf numFmtId="6" fontId="39" fillId="17" borderId="23" xfId="50" applyNumberFormat="1" applyFont="1" applyFill="1" applyBorder="1"/>
    <xf numFmtId="6" fontId="39" fillId="17" borderId="21" xfId="50" applyNumberFormat="1" applyFont="1" applyFill="1" applyBorder="1"/>
    <xf numFmtId="9" fontId="39" fillId="17" borderId="24" xfId="50" applyNumberFormat="1" applyFont="1" applyFill="1" applyBorder="1"/>
    <xf numFmtId="9" fontId="39" fillId="17" borderId="23" xfId="50" applyNumberFormat="1" applyFont="1" applyFill="1" applyBorder="1"/>
    <xf numFmtId="38" fontId="64" fillId="17" borderId="0" xfId="50" applyFont="1" applyFill="1" applyAlignment="1">
      <alignment horizontal="left"/>
    </xf>
    <xf numFmtId="38" fontId="64" fillId="17" borderId="0" xfId="50" applyFont="1" applyFill="1" applyBorder="1"/>
    <xf numFmtId="38" fontId="39" fillId="17" borderId="0" xfId="50" applyFont="1" applyFill="1" applyBorder="1"/>
    <xf numFmtId="0" fontId="5" fillId="17" borderId="0" xfId="2" applyFont="1" applyFill="1"/>
    <xf numFmtId="0" fontId="3" fillId="17" borderId="0" xfId="2" applyFont="1" applyFill="1"/>
    <xf numFmtId="0" fontId="3" fillId="17" borderId="0" xfId="2" applyFont="1" applyFill="1" applyBorder="1"/>
    <xf numFmtId="0" fontId="5" fillId="17" borderId="0" xfId="2" applyFont="1" applyFill="1" applyBorder="1"/>
    <xf numFmtId="49" fontId="0" fillId="0" borderId="0" xfId="2" applyNumberFormat="1" applyFont="1"/>
    <xf numFmtId="0" fontId="6" fillId="19" borderId="25" xfId="66" applyFont="1" applyFill="1" applyBorder="1">
      <alignment horizontal="left" vertical="center"/>
    </xf>
    <xf numFmtId="0" fontId="5" fillId="19" borderId="11" xfId="66" applyFont="1" applyFill="1" applyBorder="1">
      <alignment horizontal="left" vertical="center"/>
    </xf>
    <xf numFmtId="2" fontId="6" fillId="19" borderId="11" xfId="66" applyNumberFormat="1" applyFont="1" applyFill="1" applyBorder="1" applyAlignment="1">
      <alignment horizontal="center" vertical="center"/>
    </xf>
    <xf numFmtId="0" fontId="3" fillId="19" borderId="26" xfId="66" applyFont="1" applyFill="1" applyBorder="1">
      <alignment horizontal="left" vertical="center"/>
    </xf>
    <xf numFmtId="0" fontId="36" fillId="19" borderId="27" xfId="66" applyFont="1" applyFill="1" applyBorder="1">
      <alignment horizontal="left" vertical="center"/>
    </xf>
    <xf numFmtId="0" fontId="36" fillId="19" borderId="28" xfId="66" applyFont="1" applyFill="1" applyBorder="1">
      <alignment horizontal="left" vertical="center"/>
    </xf>
    <xf numFmtId="171" fontId="36" fillId="19" borderId="28" xfId="57" applyNumberFormat="1" applyFont="1" applyFill="1" applyBorder="1" applyAlignment="1">
      <alignment horizontal="center" vertical="center"/>
    </xf>
    <xf numFmtId="0" fontId="3" fillId="19" borderId="29" xfId="66" applyFont="1" applyFill="1" applyBorder="1">
      <alignment horizontal="left" vertical="center"/>
    </xf>
    <xf numFmtId="0" fontId="1" fillId="0" borderId="0" xfId="2" applyFont="1"/>
    <xf numFmtId="0" fontId="0" fillId="0" borderId="0" xfId="2" applyFont="1" applyAlignment="1">
      <alignment horizontal="right"/>
    </xf>
    <xf numFmtId="0" fontId="30" fillId="0" borderId="0" xfId="2" applyFont="1" applyAlignment="1">
      <alignment horizontal="right"/>
    </xf>
    <xf numFmtId="5" fontId="0" fillId="0" borderId="0" xfId="2" applyNumberFormat="1" applyFont="1" applyAlignment="1">
      <alignment horizontal="right"/>
    </xf>
    <xf numFmtId="175" fontId="30" fillId="0" borderId="0" xfId="2" applyNumberFormat="1" applyFont="1" applyAlignment="1">
      <alignment horizontal="right"/>
    </xf>
    <xf numFmtId="49" fontId="30" fillId="0" borderId="0" xfId="2" applyNumberFormat="1" applyFont="1" applyAlignment="1">
      <alignment horizontal="right"/>
    </xf>
    <xf numFmtId="175" fontId="30" fillId="0" borderId="31" xfId="2" applyNumberFormat="1" applyFont="1" applyBorder="1" applyAlignment="1">
      <alignment horizontal="right"/>
    </xf>
    <xf numFmtId="175" fontId="30" fillId="0" borderId="0" xfId="2" applyNumberFormat="1" applyFont="1" applyBorder="1" applyAlignment="1">
      <alignment horizontal="right"/>
    </xf>
    <xf numFmtId="175" fontId="30" fillId="0" borderId="23" xfId="2" applyNumberFormat="1" applyFont="1" applyBorder="1" applyAlignment="1">
      <alignment horizontal="right"/>
    </xf>
    <xf numFmtId="0" fontId="0" fillId="0" borderId="0" xfId="2" applyFont="1" applyBorder="1" applyAlignment="1">
      <alignment horizontal="right"/>
    </xf>
    <xf numFmtId="171" fontId="0" fillId="0" borderId="31" xfId="2" applyNumberFormat="1" applyFont="1" applyBorder="1" applyAlignment="1">
      <alignment horizontal="right"/>
    </xf>
    <xf numFmtId="171" fontId="0" fillId="0" borderId="0" xfId="2" applyNumberFormat="1" applyFont="1" applyBorder="1" applyAlignment="1">
      <alignment horizontal="right"/>
    </xf>
    <xf numFmtId="171" fontId="0" fillId="0" borderId="23" xfId="2" applyNumberFormat="1" applyFont="1" applyBorder="1" applyAlignment="1">
      <alignment horizontal="right"/>
    </xf>
    <xf numFmtId="175" fontId="0" fillId="0" borderId="31" xfId="2" applyNumberFormat="1" applyFont="1" applyBorder="1" applyAlignment="1">
      <alignment horizontal="right"/>
    </xf>
    <xf numFmtId="175" fontId="0" fillId="0" borderId="0" xfId="2" applyNumberFormat="1" applyFont="1" applyBorder="1" applyAlignment="1">
      <alignment horizontal="right"/>
    </xf>
    <xf numFmtId="175" fontId="0" fillId="0" borderId="23" xfId="2" applyNumberFormat="1" applyFont="1" applyBorder="1" applyAlignment="1">
      <alignment horizontal="right"/>
    </xf>
    <xf numFmtId="0" fontId="0" fillId="0" borderId="12" xfId="2" applyFont="1" applyBorder="1" applyAlignment="1">
      <alignment horizontal="right"/>
    </xf>
    <xf numFmtId="0" fontId="30" fillId="0" borderId="31" xfId="2" applyFont="1" applyBorder="1"/>
    <xf numFmtId="175" fontId="30" fillId="0" borderId="0" xfId="2" applyNumberFormat="1" applyFont="1" applyBorder="1"/>
    <xf numFmtId="0" fontId="0" fillId="0" borderId="31" xfId="2" applyFont="1" applyBorder="1" applyAlignment="1">
      <alignment horizontal="left" indent="1"/>
    </xf>
    <xf numFmtId="175" fontId="0" fillId="0" borderId="12" xfId="2" applyNumberFormat="1" applyFont="1" applyBorder="1" applyAlignment="1">
      <alignment horizontal="right"/>
    </xf>
    <xf numFmtId="175" fontId="0" fillId="0" borderId="22" xfId="2" applyNumberFormat="1" applyFont="1" applyBorder="1" applyAlignment="1">
      <alignment horizontal="right"/>
    </xf>
    <xf numFmtId="0" fontId="0" fillId="0" borderId="13" xfId="2" applyFont="1" applyBorder="1" applyAlignment="1">
      <alignment horizontal="right"/>
    </xf>
    <xf numFmtId="175" fontId="0" fillId="0" borderId="32" xfId="2" applyNumberFormat="1" applyFont="1" applyBorder="1" applyAlignment="1">
      <alignment horizontal="right"/>
    </xf>
    <xf numFmtId="0" fontId="64" fillId="0" borderId="0" xfId="2" applyFont="1"/>
    <xf numFmtId="5" fontId="0" fillId="0" borderId="0" xfId="2" applyNumberFormat="1" applyFont="1" applyBorder="1" applyAlignment="1">
      <alignment horizontal="right"/>
    </xf>
    <xf numFmtId="5" fontId="0" fillId="0" borderId="31" xfId="2" applyNumberFormat="1" applyFont="1" applyBorder="1" applyAlignment="1">
      <alignment horizontal="right"/>
    </xf>
    <xf numFmtId="5" fontId="0" fillId="0" borderId="23" xfId="2" applyNumberFormat="1" applyFont="1" applyBorder="1" applyAlignment="1">
      <alignment horizontal="right"/>
    </xf>
    <xf numFmtId="5" fontId="30" fillId="0" borderId="0" xfId="2" applyNumberFormat="1" applyFont="1" applyBorder="1" applyAlignment="1">
      <alignment horizontal="right"/>
    </xf>
    <xf numFmtId="5" fontId="30" fillId="0" borderId="31" xfId="2" applyNumberFormat="1" applyFont="1" applyBorder="1" applyAlignment="1">
      <alignment horizontal="right"/>
    </xf>
    <xf numFmtId="5" fontId="30" fillId="0" borderId="23" xfId="2" applyNumberFormat="1" applyFont="1" applyBorder="1" applyAlignment="1">
      <alignment horizontal="right"/>
    </xf>
    <xf numFmtId="5" fontId="30" fillId="0" borderId="17" xfId="2" applyNumberFormat="1" applyFont="1" applyBorder="1" applyAlignment="1">
      <alignment horizontal="right"/>
    </xf>
    <xf numFmtId="5" fontId="30" fillId="0" borderId="34" xfId="2" applyNumberFormat="1" applyFont="1" applyBorder="1" applyAlignment="1">
      <alignment horizontal="right"/>
    </xf>
    <xf numFmtId="5" fontId="30" fillId="0" borderId="35" xfId="2" applyNumberFormat="1" applyFont="1" applyBorder="1" applyAlignment="1">
      <alignment horizontal="right"/>
    </xf>
    <xf numFmtId="175" fontId="30" fillId="0" borderId="19" xfId="2" applyNumberFormat="1" applyFont="1" applyBorder="1" applyAlignment="1">
      <alignment horizontal="right"/>
    </xf>
    <xf numFmtId="5" fontId="30" fillId="0" borderId="18" xfId="2" applyNumberFormat="1" applyFont="1" applyBorder="1" applyAlignment="1">
      <alignment horizontal="right"/>
    </xf>
    <xf numFmtId="49" fontId="30" fillId="0" borderId="13" xfId="2" applyNumberFormat="1" applyFont="1" applyBorder="1" applyAlignment="1">
      <alignment horizontal="right"/>
    </xf>
    <xf numFmtId="49" fontId="30" fillId="0" borderId="33" xfId="2" applyNumberFormat="1" applyFont="1" applyBorder="1"/>
    <xf numFmtId="49" fontId="77" fillId="20" borderId="34" xfId="2" applyNumberFormat="1" applyFont="1" applyFill="1" applyBorder="1" applyAlignment="1">
      <alignment horizontal="right"/>
    </xf>
    <xf numFmtId="49" fontId="77" fillId="20" borderId="17" xfId="2" applyNumberFormat="1" applyFont="1" applyFill="1" applyBorder="1" applyAlignment="1">
      <alignment horizontal="right"/>
    </xf>
    <xf numFmtId="49" fontId="77" fillId="20" borderId="35" xfId="2" applyNumberFormat="1" applyFont="1" applyFill="1" applyBorder="1" applyAlignment="1">
      <alignment horizontal="right"/>
    </xf>
    <xf numFmtId="0" fontId="32" fillId="20" borderId="21" xfId="2" applyFont="1" applyFill="1" applyBorder="1" applyAlignment="1">
      <alignment horizontal="right"/>
    </xf>
    <xf numFmtId="0" fontId="32" fillId="20" borderId="22" xfId="2" applyFont="1" applyFill="1" applyBorder="1" applyAlignment="1">
      <alignment horizontal="right"/>
    </xf>
    <xf numFmtId="49" fontId="78" fillId="20" borderId="20" xfId="2" applyNumberFormat="1" applyFont="1" applyFill="1" applyBorder="1" applyAlignment="1">
      <alignment horizontal="right"/>
    </xf>
    <xf numFmtId="49" fontId="78" fillId="20" borderId="24" xfId="2" applyNumberFormat="1" applyFont="1" applyFill="1" applyBorder="1" applyAlignment="1">
      <alignment horizontal="right"/>
    </xf>
    <xf numFmtId="0" fontId="0" fillId="17" borderId="0" xfId="2" applyFont="1" applyFill="1" applyAlignment="1">
      <alignment horizontal="right"/>
    </xf>
    <xf numFmtId="5" fontId="40" fillId="17" borderId="0" xfId="50" applyNumberFormat="1" applyFont="1" applyFill="1" applyBorder="1"/>
    <xf numFmtId="5" fontId="54" fillId="17" borderId="0" xfId="50" applyNumberFormat="1" applyFont="1" applyFill="1" applyBorder="1"/>
    <xf numFmtId="9" fontId="39" fillId="17" borderId="0" xfId="57" applyFont="1" applyFill="1"/>
    <xf numFmtId="0" fontId="1" fillId="0" borderId="0" xfId="2" applyFont="1" applyAlignment="1">
      <alignment horizontal="right"/>
    </xf>
    <xf numFmtId="0" fontId="1" fillId="0" borderId="32" xfId="2" applyFont="1" applyBorder="1"/>
    <xf numFmtId="0" fontId="1" fillId="0" borderId="31" xfId="2" applyFont="1" applyBorder="1" applyAlignment="1">
      <alignment horizontal="left" indent="1"/>
    </xf>
    <xf numFmtId="9" fontId="1" fillId="0" borderId="31" xfId="57" applyNumberFormat="1" applyFont="1" applyBorder="1" applyAlignment="1">
      <alignment horizontal="right"/>
    </xf>
    <xf numFmtId="9" fontId="1" fillId="0" borderId="0" xfId="57" applyNumberFormat="1" applyFont="1" applyBorder="1" applyAlignment="1">
      <alignment horizontal="right"/>
    </xf>
    <xf numFmtId="9" fontId="1" fillId="0" borderId="23" xfId="57" applyNumberFormat="1" applyFont="1" applyBorder="1" applyAlignment="1">
      <alignment horizontal="right"/>
    </xf>
    <xf numFmtId="9" fontId="1" fillId="0" borderId="19" xfId="57" applyNumberFormat="1" applyFont="1" applyBorder="1" applyAlignment="1">
      <alignment horizontal="right"/>
    </xf>
    <xf numFmtId="0" fontId="1" fillId="0" borderId="31" xfId="2" applyFont="1" applyBorder="1"/>
    <xf numFmtId="0" fontId="1" fillId="0" borderId="0" xfId="2" applyFont="1" applyBorder="1" applyAlignment="1">
      <alignment horizontal="right"/>
    </xf>
    <xf numFmtId="175" fontId="1" fillId="0" borderId="31" xfId="2" applyNumberFormat="1" applyFont="1" applyBorder="1" applyAlignment="1">
      <alignment horizontal="right"/>
    </xf>
    <xf numFmtId="175" fontId="1" fillId="0" borderId="0" xfId="2" applyNumberFormat="1" applyFont="1" applyBorder="1" applyAlignment="1">
      <alignment horizontal="right"/>
    </xf>
    <xf numFmtId="175" fontId="1" fillId="0" borderId="23" xfId="2" applyNumberFormat="1" applyFont="1" applyBorder="1" applyAlignment="1">
      <alignment horizontal="right"/>
    </xf>
    <xf numFmtId="175" fontId="1" fillId="0" borderId="19" xfId="2" applyNumberFormat="1" applyFont="1" applyBorder="1" applyAlignment="1">
      <alignment horizontal="right"/>
    </xf>
    <xf numFmtId="5" fontId="1" fillId="0" borderId="0" xfId="2" applyNumberFormat="1" applyFont="1" applyAlignment="1">
      <alignment horizontal="right"/>
    </xf>
    <xf numFmtId="9" fontId="1" fillId="0" borderId="20" xfId="57" applyNumberFormat="1" applyFont="1" applyBorder="1" applyAlignment="1">
      <alignment horizontal="right"/>
    </xf>
    <xf numFmtId="9" fontId="1" fillId="0" borderId="24" xfId="57" applyNumberFormat="1" applyFont="1" applyBorder="1" applyAlignment="1">
      <alignment horizontal="right"/>
    </xf>
    <xf numFmtId="175" fontId="1" fillId="0" borderId="32" xfId="2" applyNumberFormat="1" applyFont="1" applyBorder="1" applyAlignment="1">
      <alignment horizontal="right"/>
    </xf>
    <xf numFmtId="175" fontId="1" fillId="0" borderId="12" xfId="2" applyNumberFormat="1" applyFont="1" applyBorder="1" applyAlignment="1">
      <alignment horizontal="right"/>
    </xf>
    <xf numFmtId="175" fontId="1" fillId="0" borderId="22" xfId="2" applyNumberFormat="1" applyFont="1" applyBorder="1" applyAlignment="1">
      <alignment horizontal="right"/>
    </xf>
    <xf numFmtId="0" fontId="1" fillId="0" borderId="33" xfId="2" applyFont="1" applyBorder="1" applyAlignment="1">
      <alignment horizontal="left" indent="1"/>
    </xf>
    <xf numFmtId="9" fontId="1" fillId="0" borderId="33" xfId="57" applyNumberFormat="1" applyFont="1" applyBorder="1" applyAlignment="1">
      <alignment horizontal="right"/>
    </xf>
    <xf numFmtId="9" fontId="1" fillId="0" borderId="13" xfId="57" applyNumberFormat="1" applyFont="1" applyBorder="1" applyAlignment="1">
      <alignment horizontal="right"/>
    </xf>
    <xf numFmtId="195" fontId="40" fillId="18" borderId="13" xfId="2" applyNumberFormat="1" applyFont="1" applyFill="1" applyBorder="1" applyAlignment="1">
      <alignment horizontal="center"/>
    </xf>
    <xf numFmtId="10" fontId="56" fillId="17" borderId="0" xfId="57" applyNumberFormat="1" applyFont="1" applyFill="1" applyAlignment="1">
      <alignment horizontal="right"/>
    </xf>
    <xf numFmtId="9" fontId="1" fillId="0" borderId="0" xfId="57" applyNumberFormat="1" applyFont="1" applyAlignment="1">
      <alignment horizontal="right"/>
    </xf>
    <xf numFmtId="212" fontId="40" fillId="17" borderId="13" xfId="50" applyNumberFormat="1" applyFont="1" applyFill="1" applyBorder="1" applyAlignment="1">
      <alignment horizontal="right"/>
    </xf>
    <xf numFmtId="9" fontId="1" fillId="0" borderId="0" xfId="57" applyNumberFormat="1" applyFont="1" applyFill="1" applyBorder="1" applyAlignment="1">
      <alignment horizontal="right"/>
    </xf>
    <xf numFmtId="9" fontId="1" fillId="0" borderId="23" xfId="57" applyNumberFormat="1" applyFont="1" applyFill="1" applyBorder="1" applyAlignment="1">
      <alignment horizontal="right"/>
    </xf>
    <xf numFmtId="9" fontId="1" fillId="0" borderId="31" xfId="57" applyNumberFormat="1" applyFont="1" applyFill="1" applyBorder="1" applyAlignment="1">
      <alignment horizontal="right"/>
    </xf>
    <xf numFmtId="9" fontId="1" fillId="0" borderId="23" xfId="57" applyFont="1" applyFill="1" applyBorder="1" applyAlignment="1">
      <alignment horizontal="right"/>
    </xf>
    <xf numFmtId="171" fontId="1" fillId="0" borderId="31" xfId="2" applyNumberFormat="1" applyFont="1" applyFill="1" applyBorder="1" applyAlignment="1">
      <alignment horizontal="right"/>
    </xf>
    <xf numFmtId="171" fontId="1" fillId="0" borderId="0" xfId="2" applyNumberFormat="1" applyFont="1" applyFill="1" applyBorder="1" applyAlignment="1">
      <alignment horizontal="right"/>
    </xf>
    <xf numFmtId="171" fontId="1" fillId="0" borderId="23" xfId="2" applyNumberFormat="1" applyFont="1" applyFill="1" applyBorder="1" applyAlignment="1">
      <alignment horizontal="right"/>
    </xf>
    <xf numFmtId="171" fontId="0" fillId="0" borderId="0" xfId="2" applyNumberFormat="1" applyFont="1" applyFill="1" applyBorder="1" applyAlignment="1">
      <alignment horizontal="right"/>
    </xf>
    <xf numFmtId="175" fontId="30" fillId="0" borderId="0" xfId="2" applyNumberFormat="1" applyFont="1" applyFill="1" applyBorder="1" applyAlignment="1">
      <alignment horizontal="right"/>
    </xf>
    <xf numFmtId="175" fontId="30" fillId="0" borderId="23" xfId="2" applyNumberFormat="1" applyFont="1" applyFill="1" applyBorder="1" applyAlignment="1">
      <alignment horizontal="right"/>
    </xf>
    <xf numFmtId="175" fontId="30" fillId="0" borderId="31" xfId="2" applyNumberFormat="1" applyFont="1" applyFill="1" applyBorder="1" applyAlignment="1">
      <alignment horizontal="right"/>
    </xf>
    <xf numFmtId="176" fontId="40" fillId="18" borderId="13" xfId="2" quotePrefix="1" applyNumberFormat="1" applyFont="1" applyFill="1" applyBorder="1" applyAlignment="1">
      <alignment horizontal="center"/>
    </xf>
    <xf numFmtId="176" fontId="40" fillId="18" borderId="20" xfId="2" quotePrefix="1" applyNumberFormat="1" applyFont="1" applyFill="1" applyBorder="1" applyAlignment="1">
      <alignment horizontal="center"/>
    </xf>
    <xf numFmtId="9" fontId="1" fillId="0" borderId="0" xfId="57" applyFont="1" applyAlignment="1">
      <alignment horizontal="right"/>
    </xf>
    <xf numFmtId="175" fontId="0" fillId="0" borderId="0" xfId="2" applyNumberFormat="1" applyFont="1" applyAlignment="1">
      <alignment horizontal="right"/>
    </xf>
    <xf numFmtId="9" fontId="1" fillId="0" borderId="0" xfId="2" applyNumberFormat="1" applyFont="1" applyAlignment="1">
      <alignment horizontal="right"/>
    </xf>
    <xf numFmtId="175" fontId="1" fillId="0" borderId="21" xfId="2" applyNumberFormat="1" applyFont="1" applyBorder="1" applyAlignment="1">
      <alignment horizontal="right"/>
    </xf>
    <xf numFmtId="5" fontId="30" fillId="0" borderId="18" xfId="2" applyNumberFormat="1" applyFont="1" applyBorder="1"/>
    <xf numFmtId="193" fontId="40" fillId="17" borderId="13" xfId="50" quotePrefix="1" applyNumberFormat="1" applyFont="1" applyFill="1" applyBorder="1" applyAlignment="1">
      <alignment horizontal="right"/>
    </xf>
    <xf numFmtId="49" fontId="77" fillId="20" borderId="17" xfId="2" quotePrefix="1" applyNumberFormat="1" applyFont="1" applyFill="1" applyBorder="1" applyAlignment="1">
      <alignment horizontal="right"/>
    </xf>
    <xf numFmtId="175" fontId="30" fillId="0" borderId="32" xfId="2" applyNumberFormat="1" applyFont="1" applyBorder="1" applyAlignment="1">
      <alignment horizontal="right"/>
    </xf>
    <xf numFmtId="175" fontId="30" fillId="0" borderId="12" xfId="2" applyNumberFormat="1" applyFont="1" applyBorder="1" applyAlignment="1">
      <alignment horizontal="right"/>
    </xf>
    <xf numFmtId="175" fontId="30" fillId="0" borderId="22" xfId="2" applyNumberFormat="1" applyFont="1" applyBorder="1" applyAlignment="1">
      <alignment horizontal="right"/>
    </xf>
    <xf numFmtId="49" fontId="77" fillId="20" borderId="35" xfId="2" quotePrefix="1" applyNumberFormat="1" applyFont="1" applyFill="1" applyBorder="1" applyAlignment="1">
      <alignment horizontal="right"/>
    </xf>
    <xf numFmtId="9" fontId="31" fillId="0" borderId="0" xfId="57" applyFont="1" applyFill="1"/>
    <xf numFmtId="9" fontId="31" fillId="0" borderId="23" xfId="57" applyFont="1" applyFill="1" applyBorder="1"/>
    <xf numFmtId="49" fontId="77" fillId="20" borderId="34" xfId="2" quotePrefix="1" applyNumberFormat="1" applyFont="1" applyFill="1" applyBorder="1" applyAlignment="1">
      <alignment horizontal="right"/>
    </xf>
    <xf numFmtId="9" fontId="56" fillId="17" borderId="0" xfId="57" applyFont="1" applyFill="1"/>
    <xf numFmtId="9" fontId="3" fillId="17" borderId="0" xfId="57" applyFont="1" applyFill="1"/>
    <xf numFmtId="5" fontId="40" fillId="17" borderId="32" xfId="50" applyNumberFormat="1" applyFont="1" applyFill="1" applyBorder="1"/>
    <xf numFmtId="5" fontId="40" fillId="17" borderId="21" xfId="50" applyNumberFormat="1" applyFont="1" applyFill="1" applyBorder="1"/>
    <xf numFmtId="5" fontId="40" fillId="23" borderId="32" xfId="50" applyNumberFormat="1" applyFont="1" applyFill="1" applyBorder="1"/>
    <xf numFmtId="5" fontId="39" fillId="23" borderId="12" xfId="50" applyNumberFormat="1" applyFont="1" applyFill="1" applyBorder="1"/>
    <xf numFmtId="5" fontId="39" fillId="23" borderId="21" xfId="50" applyNumberFormat="1" applyFont="1" applyFill="1" applyBorder="1"/>
    <xf numFmtId="5" fontId="40" fillId="23" borderId="21" xfId="50" applyNumberFormat="1" applyFont="1" applyFill="1" applyBorder="1"/>
    <xf numFmtId="5" fontId="56" fillId="23" borderId="12" xfId="50" applyNumberFormat="1" applyFont="1" applyFill="1" applyBorder="1"/>
    <xf numFmtId="5" fontId="54" fillId="23" borderId="21" xfId="50" applyNumberFormat="1" applyFont="1" applyFill="1" applyBorder="1"/>
    <xf numFmtId="5" fontId="39" fillId="23" borderId="0" xfId="50" applyNumberFormat="1" applyFont="1" applyFill="1"/>
    <xf numFmtId="5" fontId="40" fillId="23" borderId="0" xfId="50" applyNumberFormat="1" applyFont="1" applyFill="1" applyBorder="1"/>
    <xf numFmtId="5" fontId="39" fillId="23" borderId="0" xfId="50" applyNumberFormat="1" applyFont="1" applyFill="1" applyBorder="1"/>
    <xf numFmtId="5" fontId="39" fillId="23" borderId="19" xfId="50" applyNumberFormat="1" applyFont="1" applyFill="1" applyBorder="1"/>
    <xf numFmtId="5" fontId="40" fillId="23" borderId="19" xfId="50" applyNumberFormat="1" applyFont="1" applyFill="1" applyBorder="1"/>
    <xf numFmtId="5" fontId="56" fillId="23" borderId="0" xfId="50" applyNumberFormat="1" applyFont="1" applyFill="1" applyBorder="1"/>
    <xf numFmtId="5" fontId="54" fillId="23" borderId="19" xfId="50" applyNumberFormat="1" applyFont="1" applyFill="1" applyBorder="1"/>
    <xf numFmtId="9" fontId="39" fillId="23" borderId="0" xfId="50" applyNumberFormat="1" applyFont="1" applyFill="1"/>
    <xf numFmtId="9" fontId="39" fillId="23" borderId="19" xfId="50" applyNumberFormat="1" applyFont="1" applyFill="1" applyBorder="1"/>
    <xf numFmtId="9" fontId="56" fillId="23" borderId="0" xfId="50" applyNumberFormat="1" applyFont="1" applyFill="1"/>
    <xf numFmtId="9" fontId="56" fillId="23" borderId="19" xfId="50" applyNumberFormat="1" applyFont="1" applyFill="1" applyBorder="1"/>
    <xf numFmtId="9" fontId="39" fillId="23" borderId="13" xfId="50" applyNumberFormat="1" applyFont="1" applyFill="1" applyBorder="1"/>
    <xf numFmtId="9" fontId="39" fillId="23" borderId="20" xfId="50" applyNumberFormat="1" applyFont="1" applyFill="1" applyBorder="1"/>
    <xf numFmtId="9" fontId="56" fillId="23" borderId="13" xfId="50" applyNumberFormat="1" applyFont="1" applyFill="1" applyBorder="1"/>
    <xf numFmtId="9" fontId="56" fillId="23" borderId="20" xfId="50" applyNumberFormat="1" applyFont="1" applyFill="1" applyBorder="1"/>
    <xf numFmtId="49" fontId="78" fillId="20" borderId="20" xfId="2" quotePrefix="1" applyNumberFormat="1" applyFont="1" applyFill="1" applyBorder="1" applyAlignment="1">
      <alignment horizontal="right"/>
    </xf>
    <xf numFmtId="216" fontId="0" fillId="0" borderId="0" xfId="2" applyNumberFormat="1" applyFont="1" applyAlignment="1">
      <alignment horizontal="right"/>
    </xf>
    <xf numFmtId="5" fontId="56" fillId="17" borderId="0" xfId="57" applyNumberFormat="1" applyFont="1" applyFill="1"/>
    <xf numFmtId="0" fontId="80" fillId="0" borderId="0" xfId="2" applyFont="1"/>
    <xf numFmtId="14" fontId="0" fillId="0" borderId="0" xfId="2" applyNumberFormat="1" applyFont="1" applyAlignment="1">
      <alignment horizontal="right"/>
    </xf>
    <xf numFmtId="49" fontId="78" fillId="20" borderId="24" xfId="2" quotePrefix="1" applyNumberFormat="1" applyFont="1" applyFill="1" applyBorder="1" applyAlignment="1">
      <alignment horizontal="right"/>
    </xf>
    <xf numFmtId="0" fontId="0" fillId="0" borderId="0" xfId="2" applyFont="1" applyFill="1" applyAlignment="1">
      <alignment horizontal="right"/>
    </xf>
    <xf numFmtId="171" fontId="56" fillId="17" borderId="0" xfId="57" applyNumberFormat="1" applyFont="1" applyFill="1"/>
    <xf numFmtId="171" fontId="39" fillId="17" borderId="0" xfId="57" applyNumberFormat="1" applyFont="1" applyFill="1"/>
    <xf numFmtId="166" fontId="39" fillId="17" borderId="0" xfId="2" applyNumberFormat="1" applyFont="1" applyFill="1"/>
    <xf numFmtId="0" fontId="4" fillId="17" borderId="0" xfId="2" applyFont="1" applyFill="1"/>
    <xf numFmtId="164" fontId="5" fillId="17" borderId="0" xfId="2" applyNumberFormat="1" applyFont="1" applyFill="1"/>
    <xf numFmtId="166" fontId="8" fillId="17" borderId="0" xfId="2" applyNumberFormat="1" applyFont="1" applyFill="1"/>
    <xf numFmtId="164" fontId="4" fillId="17" borderId="0" xfId="2" applyNumberFormat="1" applyFont="1" applyFill="1"/>
    <xf numFmtId="167" fontId="10" fillId="17" borderId="0" xfId="2" applyNumberFormat="1" applyFont="1" applyFill="1"/>
    <xf numFmtId="166" fontId="4" fillId="17" borderId="0" xfId="2" applyNumberFormat="1" applyFont="1" applyFill="1" applyBorder="1"/>
    <xf numFmtId="171" fontId="5" fillId="17" borderId="0" xfId="57" applyNumberFormat="1" applyFont="1" applyFill="1"/>
    <xf numFmtId="218" fontId="10" fillId="17" borderId="0" xfId="2" applyNumberFormat="1" applyFont="1" applyFill="1"/>
    <xf numFmtId="0" fontId="101" fillId="0" borderId="0" xfId="2" applyFont="1"/>
    <xf numFmtId="0" fontId="53" fillId="17" borderId="0" xfId="2" applyFont="1" applyFill="1" applyBorder="1"/>
    <xf numFmtId="0" fontId="39" fillId="17" borderId="0" xfId="2" applyFont="1" applyFill="1" applyBorder="1"/>
    <xf numFmtId="4" fontId="39" fillId="17" borderId="0" xfId="2" applyNumberFormat="1" applyFont="1" applyFill="1" applyBorder="1"/>
    <xf numFmtId="0" fontId="61" fillId="17" borderId="0" xfId="2" applyFont="1" applyFill="1" applyBorder="1" applyAlignment="1">
      <alignment horizontal="right"/>
    </xf>
    <xf numFmtId="164" fontId="63" fillId="17" borderId="0" xfId="2" applyNumberFormat="1" applyFont="1" applyFill="1" applyBorder="1" applyAlignment="1">
      <alignment horizontal="right"/>
    </xf>
    <xf numFmtId="0" fontId="56" fillId="17" borderId="0" xfId="2" applyFont="1" applyFill="1" applyBorder="1" applyAlignment="1">
      <alignment horizontal="right"/>
    </xf>
    <xf numFmtId="0" fontId="39" fillId="17" borderId="0" xfId="2" applyFont="1" applyFill="1" applyBorder="1" applyAlignment="1">
      <alignment horizontal="right"/>
    </xf>
    <xf numFmtId="0" fontId="56" fillId="17" borderId="0" xfId="2" applyFont="1" applyFill="1" applyBorder="1"/>
    <xf numFmtId="0" fontId="40" fillId="17" borderId="0" xfId="2" applyFont="1" applyFill="1" applyBorder="1"/>
    <xf numFmtId="0" fontId="0" fillId="17" borderId="0" xfId="2" applyFont="1" applyFill="1"/>
    <xf numFmtId="0" fontId="64" fillId="17" borderId="0" xfId="2" applyFont="1" applyFill="1" applyBorder="1"/>
    <xf numFmtId="164" fontId="39" fillId="17" borderId="0" xfId="2" applyNumberFormat="1" applyFont="1" applyFill="1"/>
    <xf numFmtId="0" fontId="39" fillId="17" borderId="0" xfId="2" applyFont="1" applyFill="1"/>
    <xf numFmtId="172" fontId="39" fillId="17" borderId="0" xfId="2" applyNumberFormat="1" applyFont="1" applyFill="1"/>
    <xf numFmtId="172" fontId="39" fillId="17" borderId="0" xfId="2" applyNumberFormat="1" applyFont="1" applyFill="1" applyAlignment="1">
      <alignment horizontal="right"/>
    </xf>
    <xf numFmtId="164" fontId="40" fillId="17" borderId="0" xfId="2" applyNumberFormat="1" applyFont="1" applyFill="1" applyBorder="1" applyAlignment="1">
      <alignment horizontal="right"/>
    </xf>
    <xf numFmtId="9" fontId="56" fillId="17" borderId="0" xfId="57" applyFont="1" applyFill="1" applyAlignment="1">
      <alignment horizontal="right"/>
    </xf>
    <xf numFmtId="9" fontId="39" fillId="17" borderId="0" xfId="57" applyFont="1" applyFill="1" applyAlignment="1">
      <alignment horizontal="right"/>
    </xf>
    <xf numFmtId="217" fontId="56" fillId="17" borderId="0" xfId="57" applyNumberFormat="1" applyFont="1" applyFill="1" applyAlignment="1">
      <alignment horizontal="right"/>
    </xf>
    <xf numFmtId="43" fontId="56" fillId="17" borderId="0" xfId="35" applyFont="1" applyFill="1" applyAlignment="1">
      <alignment horizontal="right"/>
    </xf>
    <xf numFmtId="43" fontId="39" fillId="17" borderId="0" xfId="35" applyFont="1" applyFill="1" applyAlignment="1">
      <alignment horizontal="right"/>
    </xf>
    <xf numFmtId="5" fontId="56" fillId="17" borderId="0" xfId="2" applyNumberFormat="1" applyFont="1" applyFill="1" applyBorder="1" applyAlignment="1">
      <alignment horizontal="right"/>
    </xf>
    <xf numFmtId="4" fontId="39" fillId="17" borderId="0" xfId="2" applyNumberFormat="1" applyFont="1" applyFill="1"/>
    <xf numFmtId="169" fontId="39" fillId="17" borderId="0" xfId="2" applyNumberFormat="1" applyFont="1" applyFill="1"/>
    <xf numFmtId="4" fontId="39" fillId="17" borderId="0" xfId="2" applyNumberFormat="1" applyFont="1" applyFill="1" applyAlignment="1">
      <alignment horizontal="right"/>
    </xf>
    <xf numFmtId="164" fontId="39" fillId="17" borderId="0" xfId="2" applyNumberFormat="1" applyFont="1" applyFill="1" applyAlignment="1">
      <alignment horizontal="right"/>
    </xf>
    <xf numFmtId="5" fontId="56" fillId="17" borderId="0" xfId="57" applyNumberFormat="1" applyFont="1" applyFill="1" applyAlignment="1">
      <alignment horizontal="right"/>
    </xf>
    <xf numFmtId="7" fontId="56" fillId="17" borderId="0" xfId="2" applyNumberFormat="1" applyFont="1" applyFill="1" applyBorder="1" applyAlignment="1">
      <alignment horizontal="right"/>
    </xf>
    <xf numFmtId="0" fontId="40" fillId="17" borderId="0" xfId="2" applyFont="1" applyFill="1" applyBorder="1" applyAlignment="1">
      <alignment horizontal="center"/>
    </xf>
    <xf numFmtId="0" fontId="40" fillId="17" borderId="0" xfId="2" applyFont="1" applyFill="1" applyBorder="1" applyAlignment="1">
      <alignment horizontal="right"/>
    </xf>
    <xf numFmtId="164" fontId="39" fillId="17" borderId="0" xfId="57" applyNumberFormat="1" applyFont="1" applyFill="1" applyBorder="1" applyAlignment="1">
      <alignment horizontal="right"/>
    </xf>
    <xf numFmtId="0" fontId="54" fillId="17" borderId="0" xfId="2" applyFont="1" applyFill="1" applyBorder="1" applyAlignment="1">
      <alignment horizontal="right"/>
    </xf>
    <xf numFmtId="0" fontId="54" fillId="17" borderId="0" xfId="2" applyFont="1" applyFill="1" applyBorder="1" applyAlignment="1">
      <alignment horizontal="center"/>
    </xf>
    <xf numFmtId="0" fontId="56" fillId="17" borderId="9" xfId="2" applyFont="1" applyFill="1" applyBorder="1"/>
    <xf numFmtId="0" fontId="56" fillId="17" borderId="13" xfId="2" applyFont="1" applyFill="1" applyBorder="1"/>
    <xf numFmtId="0" fontId="39" fillId="17" borderId="13" xfId="2" applyFont="1" applyFill="1" applyBorder="1"/>
    <xf numFmtId="0" fontId="40" fillId="17" borderId="39" xfId="2" applyFont="1" applyFill="1" applyBorder="1" applyAlignment="1">
      <alignment horizontal="center"/>
    </xf>
    <xf numFmtId="0" fontId="40" fillId="17" borderId="40" xfId="2" applyFont="1" applyFill="1" applyBorder="1" applyAlignment="1">
      <alignment horizontal="right"/>
    </xf>
    <xf numFmtId="0" fontId="40" fillId="17" borderId="39" xfId="2" applyFont="1" applyFill="1" applyBorder="1" applyAlignment="1">
      <alignment horizontal="right"/>
    </xf>
    <xf numFmtId="0" fontId="54" fillId="17" borderId="39" xfId="2" applyFont="1" applyFill="1" applyBorder="1" applyAlignment="1">
      <alignment horizontal="right"/>
    </xf>
    <xf numFmtId="0" fontId="40" fillId="17" borderId="40" xfId="2" applyFont="1" applyFill="1" applyBorder="1" applyAlignment="1">
      <alignment horizontal="center"/>
    </xf>
    <xf numFmtId="0" fontId="54" fillId="17" borderId="37" xfId="2" applyFont="1" applyFill="1" applyBorder="1" applyAlignment="1">
      <alignment horizontal="center"/>
    </xf>
    <xf numFmtId="0" fontId="54" fillId="17" borderId="22" xfId="2" applyFont="1" applyFill="1" applyBorder="1" applyAlignment="1">
      <alignment horizontal="center"/>
    </xf>
    <xf numFmtId="165" fontId="40" fillId="17" borderId="13" xfId="2" applyNumberFormat="1" applyFont="1" applyFill="1" applyBorder="1" applyAlignment="1">
      <alignment horizontal="right"/>
    </xf>
    <xf numFmtId="195" fontId="40" fillId="17" borderId="13" xfId="2" applyNumberFormat="1" applyFont="1" applyFill="1" applyBorder="1" applyAlignment="1">
      <alignment horizontal="right"/>
    </xf>
    <xf numFmtId="49" fontId="40" fillId="17" borderId="20" xfId="2" applyNumberFormat="1" applyFont="1" applyFill="1" applyBorder="1" applyAlignment="1">
      <alignment horizontal="right"/>
    </xf>
    <xf numFmtId="195" fontId="40" fillId="17" borderId="13" xfId="2" applyNumberFormat="1" applyFont="1" applyFill="1" applyBorder="1" applyAlignment="1"/>
    <xf numFmtId="176" fontId="40" fillId="17" borderId="13" xfId="2" quotePrefix="1" applyNumberFormat="1" applyFont="1" applyFill="1" applyBorder="1" applyAlignment="1">
      <alignment horizontal="right"/>
    </xf>
    <xf numFmtId="49" fontId="40" fillId="17" borderId="20" xfId="2" quotePrefix="1" applyNumberFormat="1" applyFont="1" applyFill="1" applyBorder="1" applyAlignment="1">
      <alignment horizontal="right"/>
    </xf>
    <xf numFmtId="1" fontId="40" fillId="17" borderId="20" xfId="2" applyNumberFormat="1" applyFont="1" applyFill="1" applyBorder="1" applyAlignment="1">
      <alignment horizontal="right"/>
    </xf>
    <xf numFmtId="5" fontId="40" fillId="17" borderId="0" xfId="2" applyNumberFormat="1" applyFont="1" applyFill="1" applyBorder="1"/>
    <xf numFmtId="5" fontId="39" fillId="17" borderId="0" xfId="2" applyNumberFormat="1" applyFont="1" applyFill="1" applyBorder="1"/>
    <xf numFmtId="5" fontId="40" fillId="17" borderId="0" xfId="2" applyNumberFormat="1" applyFont="1" applyFill="1" applyAlignment="1">
      <alignment horizontal="right"/>
    </xf>
    <xf numFmtId="5" fontId="40" fillId="17" borderId="19" xfId="2" applyNumberFormat="1" applyFont="1" applyFill="1" applyBorder="1" applyAlignment="1">
      <alignment horizontal="right"/>
    </xf>
    <xf numFmtId="5" fontId="54" fillId="17" borderId="0" xfId="2" applyNumberFormat="1" applyFont="1" applyFill="1" applyAlignment="1">
      <alignment horizontal="right"/>
    </xf>
    <xf numFmtId="5" fontId="39" fillId="17" borderId="0" xfId="2" applyNumberFormat="1" applyFont="1" applyFill="1"/>
    <xf numFmtId="5" fontId="40" fillId="17" borderId="19" xfId="2" applyNumberFormat="1" applyFont="1" applyFill="1" applyBorder="1"/>
    <xf numFmtId="9" fontId="39" fillId="17" borderId="0" xfId="57" applyFont="1" applyFill="1" applyBorder="1" applyAlignment="1">
      <alignment horizontal="left" indent="1"/>
    </xf>
    <xf numFmtId="9" fontId="39" fillId="17" borderId="0" xfId="57" applyFont="1" applyFill="1" applyBorder="1"/>
    <xf numFmtId="9" fontId="39" fillId="17" borderId="19" xfId="57" applyFont="1" applyFill="1" applyBorder="1" applyAlignment="1">
      <alignment horizontal="right"/>
    </xf>
    <xf numFmtId="171" fontId="39" fillId="17" borderId="0" xfId="57" applyNumberFormat="1" applyFont="1" applyFill="1" applyAlignment="1">
      <alignment horizontal="right"/>
    </xf>
    <xf numFmtId="171" fontId="39" fillId="17" borderId="19" xfId="57" applyNumberFormat="1" applyFont="1" applyFill="1" applyBorder="1" applyAlignment="1">
      <alignment horizontal="right"/>
    </xf>
    <xf numFmtId="171" fontId="56" fillId="17" borderId="0" xfId="57" applyNumberFormat="1" applyFont="1" applyFill="1" applyAlignment="1">
      <alignment horizontal="right"/>
    </xf>
    <xf numFmtId="9" fontId="39" fillId="17" borderId="19" xfId="57" applyFont="1" applyFill="1" applyBorder="1"/>
    <xf numFmtId="171" fontId="39" fillId="17" borderId="19" xfId="57" applyNumberFormat="1" applyFont="1" applyFill="1" applyBorder="1"/>
    <xf numFmtId="37" fontId="39" fillId="17" borderId="0" xfId="2" applyNumberFormat="1" applyFont="1" applyFill="1" applyBorder="1" applyAlignment="1">
      <alignment horizontal="left" indent="1"/>
    </xf>
    <xf numFmtId="37" fontId="39" fillId="17" borderId="0" xfId="2" applyNumberFormat="1" applyFont="1" applyFill="1" applyBorder="1"/>
    <xf numFmtId="37" fontId="39" fillId="17" borderId="0" xfId="2" applyNumberFormat="1" applyFont="1" applyFill="1" applyAlignment="1">
      <alignment horizontal="right"/>
    </xf>
    <xf numFmtId="37" fontId="39" fillId="17" borderId="19" xfId="2" applyNumberFormat="1" applyFont="1" applyFill="1" applyBorder="1" applyAlignment="1">
      <alignment horizontal="right"/>
    </xf>
    <xf numFmtId="37" fontId="39" fillId="17" borderId="0" xfId="2" applyNumberFormat="1" applyFont="1" applyFill="1"/>
    <xf numFmtId="37" fontId="39" fillId="17" borderId="19" xfId="2" applyNumberFormat="1" applyFont="1" applyFill="1" applyBorder="1"/>
    <xf numFmtId="0" fontId="39" fillId="17" borderId="0" xfId="2" applyFont="1" applyFill="1" applyBorder="1" applyAlignment="1">
      <alignment horizontal="left" indent="1"/>
    </xf>
    <xf numFmtId="166" fontId="39" fillId="17" borderId="19" xfId="2" applyNumberFormat="1" applyFont="1" applyFill="1" applyBorder="1" applyAlignment="1">
      <alignment horizontal="right"/>
    </xf>
    <xf numFmtId="166" fontId="39" fillId="17" borderId="0" xfId="2" applyNumberFormat="1" applyFont="1" applyFill="1" applyAlignment="1">
      <alignment horizontal="right"/>
    </xf>
    <xf numFmtId="166" fontId="56" fillId="17" borderId="0" xfId="2" applyNumberFormat="1" applyFont="1" applyFill="1" applyAlignment="1">
      <alignment horizontal="right"/>
    </xf>
    <xf numFmtId="166" fontId="39" fillId="17" borderId="19" xfId="2" applyNumberFormat="1" applyFont="1" applyFill="1" applyBorder="1"/>
    <xf numFmtId="5" fontId="39" fillId="17" borderId="0" xfId="2" applyNumberFormat="1" applyFont="1" applyFill="1" applyBorder="1" applyAlignment="1">
      <alignment horizontal="left"/>
    </xf>
    <xf numFmtId="5" fontId="39" fillId="17" borderId="0" xfId="2" applyNumberFormat="1" applyFont="1" applyFill="1" applyAlignment="1">
      <alignment horizontal="right"/>
    </xf>
    <xf numFmtId="5" fontId="39" fillId="17" borderId="19" xfId="2" applyNumberFormat="1" applyFont="1" applyFill="1" applyBorder="1"/>
    <xf numFmtId="5" fontId="39" fillId="17" borderId="19" xfId="2" applyNumberFormat="1" applyFont="1" applyFill="1" applyBorder="1" applyAlignment="1">
      <alignment horizontal="right"/>
    </xf>
    <xf numFmtId="5" fontId="56" fillId="17" borderId="0" xfId="2" applyNumberFormat="1" applyFont="1" applyFill="1" applyAlignment="1">
      <alignment horizontal="right"/>
    </xf>
    <xf numFmtId="5" fontId="56" fillId="17" borderId="19" xfId="2" applyNumberFormat="1" applyFont="1" applyFill="1" applyBorder="1" applyAlignment="1">
      <alignment horizontal="right"/>
    </xf>
    <xf numFmtId="171" fontId="39" fillId="17" borderId="0" xfId="2" applyNumberFormat="1" applyFont="1" applyFill="1" applyBorder="1"/>
    <xf numFmtId="4" fontId="39" fillId="17" borderId="19" xfId="2" applyNumberFormat="1" applyFont="1" applyFill="1" applyBorder="1" applyAlignment="1">
      <alignment horizontal="right"/>
    </xf>
    <xf numFmtId="0" fontId="39" fillId="17" borderId="0" xfId="2" applyFont="1" applyFill="1" applyAlignment="1">
      <alignment horizontal="right"/>
    </xf>
    <xf numFmtId="219" fontId="39" fillId="17" borderId="0" xfId="35" applyNumberFormat="1" applyFont="1" applyFill="1" applyAlignment="1">
      <alignment horizontal="right"/>
    </xf>
    <xf numFmtId="4" fontId="56" fillId="17" borderId="0" xfId="2" applyNumberFormat="1" applyFont="1" applyFill="1" applyAlignment="1">
      <alignment horizontal="right"/>
    </xf>
    <xf numFmtId="0" fontId="39" fillId="17" borderId="19" xfId="2" applyFont="1" applyFill="1" applyBorder="1"/>
    <xf numFmtId="171" fontId="43" fillId="17" borderId="0" xfId="57" applyNumberFormat="1" applyFont="1" applyFill="1"/>
    <xf numFmtId="166" fontId="40" fillId="17" borderId="0" xfId="2" applyNumberFormat="1" applyFont="1" applyFill="1" applyAlignment="1">
      <alignment horizontal="right"/>
    </xf>
    <xf numFmtId="166" fontId="40" fillId="17" borderId="19" xfId="2" applyNumberFormat="1" applyFont="1" applyFill="1" applyBorder="1" applyAlignment="1">
      <alignment horizontal="right"/>
    </xf>
    <xf numFmtId="171" fontId="40" fillId="17" borderId="19" xfId="57" applyNumberFormat="1" applyFont="1" applyFill="1" applyBorder="1" applyAlignment="1">
      <alignment horizontal="right"/>
    </xf>
    <xf numFmtId="9" fontId="40" fillId="17" borderId="19" xfId="57" applyFont="1" applyFill="1" applyBorder="1" applyAlignment="1">
      <alignment horizontal="right"/>
    </xf>
    <xf numFmtId="166" fontId="54" fillId="17" borderId="0" xfId="2" applyNumberFormat="1" applyFont="1" applyFill="1" applyAlignment="1">
      <alignment horizontal="right"/>
    </xf>
    <xf numFmtId="5" fontId="40" fillId="17" borderId="19" xfId="57" applyNumberFormat="1" applyFont="1" applyFill="1" applyBorder="1" applyAlignment="1">
      <alignment horizontal="right"/>
    </xf>
    <xf numFmtId="166" fontId="54" fillId="17" borderId="0" xfId="2" applyNumberFormat="1" applyFont="1" applyFill="1" applyBorder="1" applyAlignment="1">
      <alignment horizontal="right"/>
    </xf>
    <xf numFmtId="171" fontId="54" fillId="17" borderId="0" xfId="57" applyNumberFormat="1" applyFont="1" applyFill="1" applyAlignment="1">
      <alignment horizontal="right"/>
    </xf>
    <xf numFmtId="0" fontId="39" fillId="17" borderId="19" xfId="2" applyFont="1" applyFill="1" applyBorder="1" applyAlignment="1">
      <alignment horizontal="right"/>
    </xf>
    <xf numFmtId="210" fontId="40" fillId="17" borderId="19" xfId="2" applyNumberFormat="1" applyFont="1" applyFill="1" applyBorder="1" applyAlignment="1">
      <alignment horizontal="right"/>
    </xf>
    <xf numFmtId="5" fontId="39" fillId="17" borderId="0" xfId="2" applyNumberFormat="1" applyFont="1" applyFill="1" applyBorder="1" applyAlignment="1">
      <alignment horizontal="left" indent="1"/>
    </xf>
    <xf numFmtId="210" fontId="39" fillId="17" borderId="19" xfId="2" applyNumberFormat="1" applyFont="1" applyFill="1" applyBorder="1" applyAlignment="1">
      <alignment horizontal="right"/>
    </xf>
    <xf numFmtId="7" fontId="39" fillId="17" borderId="0" xfId="2" applyNumberFormat="1" applyFont="1" applyFill="1"/>
    <xf numFmtId="164" fontId="40" fillId="17" borderId="19" xfId="2" applyNumberFormat="1" applyFont="1" applyFill="1" applyBorder="1" applyAlignment="1">
      <alignment horizontal="right"/>
    </xf>
    <xf numFmtId="171" fontId="39" fillId="17" borderId="0" xfId="57" applyNumberFormat="1" applyFont="1" applyFill="1" applyBorder="1" applyAlignment="1">
      <alignment horizontal="right"/>
    </xf>
    <xf numFmtId="7" fontId="40" fillId="17" borderId="17" xfId="2" applyNumberFormat="1" applyFont="1" applyFill="1" applyBorder="1"/>
    <xf numFmtId="7" fontId="39" fillId="17" borderId="17" xfId="2" applyNumberFormat="1" applyFont="1" applyFill="1" applyBorder="1"/>
    <xf numFmtId="7" fontId="40" fillId="17" borderId="17" xfId="2" applyNumberFormat="1" applyFont="1" applyFill="1" applyBorder="1" applyAlignment="1">
      <alignment horizontal="right"/>
    </xf>
    <xf numFmtId="7" fontId="40" fillId="17" borderId="18" xfId="2" applyNumberFormat="1" applyFont="1" applyFill="1" applyBorder="1" applyAlignment="1">
      <alignment horizontal="right"/>
    </xf>
    <xf numFmtId="168" fontId="40" fillId="17" borderId="0" xfId="2" applyNumberFormat="1" applyFont="1" applyFill="1" applyBorder="1" applyAlignment="1">
      <alignment horizontal="right"/>
    </xf>
    <xf numFmtId="168" fontId="40" fillId="17" borderId="19" xfId="2" applyNumberFormat="1" applyFont="1" applyFill="1" applyBorder="1" applyAlignment="1">
      <alignment horizontal="right"/>
    </xf>
    <xf numFmtId="168" fontId="54" fillId="17" borderId="0" xfId="2" applyNumberFormat="1" applyFont="1" applyFill="1" applyBorder="1" applyAlignment="1">
      <alignment horizontal="right"/>
    </xf>
    <xf numFmtId="171" fontId="39" fillId="17" borderId="0" xfId="57" applyNumberFormat="1" applyFont="1" applyFill="1" applyBorder="1"/>
    <xf numFmtId="7" fontId="39" fillId="17" borderId="17" xfId="2" applyNumberFormat="1" applyFont="1" applyFill="1" applyBorder="1" applyAlignment="1">
      <alignment horizontal="right"/>
    </xf>
    <xf numFmtId="7" fontId="39" fillId="17" borderId="18" xfId="2" applyNumberFormat="1" applyFont="1" applyFill="1" applyBorder="1" applyAlignment="1">
      <alignment horizontal="right"/>
    </xf>
    <xf numFmtId="171" fontId="39" fillId="17" borderId="0" xfId="2" applyNumberFormat="1" applyFont="1" applyFill="1" applyBorder="1" applyAlignment="1">
      <alignment horizontal="left" indent="1"/>
    </xf>
    <xf numFmtId="7" fontId="39" fillId="17" borderId="0" xfId="2" applyNumberFormat="1" applyFont="1" applyFill="1" applyBorder="1"/>
    <xf numFmtId="7" fontId="39" fillId="17" borderId="0" xfId="2" applyNumberFormat="1" applyFont="1" applyFill="1" applyAlignment="1">
      <alignment horizontal="right"/>
    </xf>
    <xf numFmtId="7" fontId="39" fillId="17" borderId="19" xfId="2" applyNumberFormat="1" applyFont="1" applyFill="1" applyBorder="1" applyAlignment="1">
      <alignment horizontal="right"/>
    </xf>
    <xf numFmtId="7" fontId="39" fillId="17" borderId="19" xfId="2" applyNumberFormat="1" applyFont="1" applyFill="1" applyBorder="1"/>
    <xf numFmtId="164" fontId="39" fillId="17" borderId="0" xfId="2" applyNumberFormat="1" applyFont="1" applyFill="1" applyBorder="1" applyAlignment="1">
      <alignment horizontal="right"/>
    </xf>
    <xf numFmtId="164" fontId="39" fillId="17" borderId="19" xfId="2" applyNumberFormat="1" applyFont="1" applyFill="1" applyBorder="1" applyAlignment="1">
      <alignment horizontal="right"/>
    </xf>
    <xf numFmtId="184" fontId="39" fillId="17" borderId="0" xfId="2" applyNumberFormat="1" applyFont="1" applyFill="1" applyBorder="1" applyAlignment="1">
      <alignment horizontal="right"/>
    </xf>
    <xf numFmtId="168" fontId="39" fillId="17" borderId="0" xfId="2" applyNumberFormat="1" applyFont="1" applyFill="1" applyBorder="1" applyAlignment="1">
      <alignment horizontal="right"/>
    </xf>
    <xf numFmtId="0" fontId="46" fillId="17" borderId="0" xfId="2" applyFont="1" applyFill="1" applyBorder="1"/>
    <xf numFmtId="0" fontId="46" fillId="17" borderId="0" xfId="2" applyFont="1" applyFill="1"/>
    <xf numFmtId="166" fontId="39" fillId="17" borderId="0" xfId="2" applyNumberFormat="1" applyFont="1" applyFill="1" applyBorder="1" applyAlignment="1">
      <alignment horizontal="right"/>
    </xf>
    <xf numFmtId="166" fontId="45" fillId="17" borderId="0" xfId="2" applyNumberFormat="1" applyFont="1" applyFill="1" applyBorder="1" applyAlignment="1">
      <alignment horizontal="right"/>
    </xf>
    <xf numFmtId="0" fontId="39" fillId="17" borderId="9" xfId="2" applyFont="1" applyFill="1" applyBorder="1"/>
    <xf numFmtId="166" fontId="39" fillId="17" borderId="9" xfId="2" applyNumberFormat="1" applyFont="1" applyFill="1" applyBorder="1" applyAlignment="1">
      <alignment horizontal="right"/>
    </xf>
    <xf numFmtId="166" fontId="39" fillId="17" borderId="41" xfId="2" applyNumberFormat="1" applyFont="1" applyFill="1" applyBorder="1" applyAlignment="1">
      <alignment horizontal="right"/>
    </xf>
    <xf numFmtId="166" fontId="45" fillId="17" borderId="9" xfId="2" applyNumberFormat="1" applyFont="1" applyFill="1" applyBorder="1" applyAlignment="1">
      <alignment horizontal="right"/>
    </xf>
    <xf numFmtId="166" fontId="39" fillId="17" borderId="41" xfId="2" applyNumberFormat="1" applyFont="1" applyFill="1" applyBorder="1"/>
    <xf numFmtId="1" fontId="39" fillId="17" borderId="0" xfId="2" applyNumberFormat="1" applyFont="1" applyFill="1" applyBorder="1" applyAlignment="1">
      <alignment horizontal="right"/>
    </xf>
    <xf numFmtId="1" fontId="56" fillId="17" borderId="0" xfId="2" applyNumberFormat="1" applyFont="1" applyFill="1" applyBorder="1" applyAlignment="1">
      <alignment horizontal="right"/>
    </xf>
    <xf numFmtId="0" fontId="56" fillId="17" borderId="19" xfId="2" applyFont="1" applyFill="1" applyBorder="1"/>
    <xf numFmtId="0" fontId="39" fillId="17" borderId="12" xfId="2" applyFont="1" applyFill="1" applyBorder="1"/>
    <xf numFmtId="0" fontId="40" fillId="17" borderId="0" xfId="2" applyFont="1" applyFill="1" applyBorder="1" applyAlignment="1">
      <alignment horizontal="left"/>
    </xf>
    <xf numFmtId="0" fontId="47" fillId="17" borderId="0" xfId="2" applyFont="1" applyFill="1" applyBorder="1"/>
    <xf numFmtId="168" fontId="40" fillId="17" borderId="0" xfId="2" applyNumberFormat="1" applyFont="1" applyFill="1" applyAlignment="1">
      <alignment horizontal="right"/>
    </xf>
    <xf numFmtId="168" fontId="54" fillId="17" borderId="0" xfId="2" applyNumberFormat="1" applyFont="1" applyFill="1" applyAlignment="1">
      <alignment horizontal="right"/>
    </xf>
    <xf numFmtId="0" fontId="47" fillId="17" borderId="0" xfId="2" applyFont="1" applyFill="1"/>
    <xf numFmtId="10" fontId="54" fillId="17" borderId="0" xfId="57" applyNumberFormat="1" applyFont="1" applyFill="1" applyAlignment="1">
      <alignment horizontal="right"/>
    </xf>
    <xf numFmtId="168" fontId="40" fillId="17" borderId="13" xfId="2" applyNumberFormat="1" applyFont="1" applyFill="1" applyBorder="1" applyAlignment="1">
      <alignment horizontal="right"/>
    </xf>
    <xf numFmtId="0" fontId="47" fillId="17" borderId="13" xfId="2" applyFont="1" applyFill="1" applyBorder="1" applyAlignment="1">
      <alignment horizontal="right"/>
    </xf>
    <xf numFmtId="9" fontId="47" fillId="17" borderId="0" xfId="57" applyFont="1" applyFill="1" applyAlignment="1">
      <alignment horizontal="right"/>
    </xf>
    <xf numFmtId="0" fontId="62" fillId="17" borderId="0" xfId="2" applyFont="1" applyFill="1" applyAlignment="1">
      <alignment horizontal="right"/>
    </xf>
    <xf numFmtId="0" fontId="47" fillId="17" borderId="0" xfId="2" applyFont="1" applyFill="1" applyAlignment="1">
      <alignment horizontal="right"/>
    </xf>
    <xf numFmtId="0" fontId="47" fillId="17" borderId="12" xfId="2" applyFont="1" applyFill="1" applyBorder="1"/>
    <xf numFmtId="168" fontId="40" fillId="17" borderId="12" xfId="2" applyNumberFormat="1" applyFont="1" applyFill="1" applyBorder="1" applyAlignment="1">
      <alignment horizontal="right"/>
    </xf>
    <xf numFmtId="44" fontId="61" fillId="17" borderId="0" xfId="38" applyFont="1" applyFill="1" applyBorder="1" applyAlignment="1">
      <alignment horizontal="right"/>
    </xf>
    <xf numFmtId="0" fontId="62" fillId="17" borderId="12" xfId="2" applyFont="1" applyFill="1" applyBorder="1" applyAlignment="1">
      <alignment horizontal="right"/>
    </xf>
    <xf numFmtId="0" fontId="39" fillId="17" borderId="12" xfId="2" applyFont="1" applyFill="1" applyBorder="1" applyAlignment="1">
      <alignment horizontal="left"/>
    </xf>
    <xf numFmtId="0" fontId="39" fillId="17" borderId="12" xfId="2" applyFont="1" applyFill="1" applyBorder="1" applyAlignment="1">
      <alignment horizontal="right"/>
    </xf>
    <xf numFmtId="0" fontId="56" fillId="17" borderId="12" xfId="2" applyFont="1" applyFill="1" applyBorder="1" applyAlignment="1">
      <alignment horizontal="right"/>
    </xf>
    <xf numFmtId="0" fontId="62" fillId="17" borderId="0" xfId="2" applyFont="1" applyFill="1" applyBorder="1" applyAlignment="1">
      <alignment horizontal="right"/>
    </xf>
    <xf numFmtId="0" fontId="39" fillId="17" borderId="0" xfId="2" applyFont="1" applyFill="1" applyBorder="1" applyAlignment="1">
      <alignment horizontal="left"/>
    </xf>
    <xf numFmtId="7" fontId="61" fillId="17" borderId="0" xfId="2" applyNumberFormat="1" applyFont="1" applyFill="1" applyBorder="1" applyAlignment="1">
      <alignment horizontal="right"/>
    </xf>
    <xf numFmtId="0" fontId="47" fillId="17" borderId="13" xfId="2" applyFont="1" applyFill="1" applyBorder="1"/>
    <xf numFmtId="0" fontId="61" fillId="17" borderId="13" xfId="2" applyFont="1" applyFill="1" applyBorder="1" applyAlignment="1">
      <alignment horizontal="right"/>
    </xf>
    <xf numFmtId="7" fontId="61" fillId="17" borderId="13" xfId="2" applyNumberFormat="1" applyFont="1" applyFill="1" applyBorder="1" applyAlignment="1">
      <alignment horizontal="right"/>
    </xf>
    <xf numFmtId="0" fontId="62" fillId="17" borderId="13" xfId="2" applyFont="1" applyFill="1" applyBorder="1" applyAlignment="1">
      <alignment horizontal="right"/>
    </xf>
    <xf numFmtId="0" fontId="39" fillId="17" borderId="13" xfId="2" applyFont="1" applyFill="1" applyBorder="1" applyAlignment="1">
      <alignment horizontal="right"/>
    </xf>
    <xf numFmtId="0" fontId="56" fillId="17" borderId="13" xfId="2" applyFont="1" applyFill="1" applyBorder="1" applyAlignment="1">
      <alignment horizontal="right"/>
    </xf>
    <xf numFmtId="0" fontId="40" fillId="17" borderId="0" xfId="2" applyFont="1" applyFill="1"/>
    <xf numFmtId="0" fontId="56" fillId="17" borderId="0" xfId="2" applyFont="1" applyFill="1" applyAlignment="1">
      <alignment horizontal="right"/>
    </xf>
    <xf numFmtId="0" fontId="47" fillId="17" borderId="12" xfId="2" applyFont="1" applyFill="1" applyBorder="1" applyAlignment="1">
      <alignment horizontal="right"/>
    </xf>
    <xf numFmtId="171" fontId="40" fillId="17" borderId="0" xfId="2" applyNumberFormat="1" applyFont="1" applyFill="1" applyBorder="1" applyAlignment="1">
      <alignment horizontal="right"/>
    </xf>
    <xf numFmtId="0" fontId="39" fillId="17" borderId="13" xfId="2" applyFont="1" applyFill="1" applyBorder="1" applyAlignment="1">
      <alignment horizontal="left" indent="1"/>
    </xf>
    <xf numFmtId="168" fontId="54" fillId="17" borderId="13" xfId="2" applyNumberFormat="1" applyFont="1" applyFill="1" applyBorder="1" applyAlignment="1">
      <alignment horizontal="right"/>
    </xf>
    <xf numFmtId="14" fontId="40" fillId="17" borderId="0" xfId="2" applyNumberFormat="1" applyFont="1" applyFill="1" applyBorder="1" applyAlignment="1">
      <alignment horizontal="left"/>
    </xf>
    <xf numFmtId="0" fontId="61" fillId="17" borderId="0" xfId="2" applyFont="1" applyFill="1" applyAlignment="1">
      <alignment horizontal="right"/>
    </xf>
    <xf numFmtId="164" fontId="39" fillId="17" borderId="12" xfId="2" applyNumberFormat="1" applyFont="1" applyFill="1" applyBorder="1" applyAlignment="1">
      <alignment horizontal="right"/>
    </xf>
    <xf numFmtId="164" fontId="39" fillId="17" borderId="21" xfId="2" applyNumberFormat="1" applyFont="1" applyFill="1" applyBorder="1" applyAlignment="1">
      <alignment horizontal="right"/>
    </xf>
    <xf numFmtId="168" fontId="39" fillId="17" borderId="13" xfId="2" applyNumberFormat="1" applyFont="1" applyFill="1" applyBorder="1" applyAlignment="1">
      <alignment horizontal="right"/>
    </xf>
    <xf numFmtId="168" fontId="39" fillId="17" borderId="20" xfId="2" applyNumberFormat="1" applyFont="1" applyFill="1" applyBorder="1" applyAlignment="1">
      <alignment horizontal="right"/>
    </xf>
    <xf numFmtId="0" fontId="49" fillId="17" borderId="0" xfId="2" applyFont="1" applyFill="1" applyBorder="1"/>
    <xf numFmtId="168" fontId="39" fillId="17" borderId="0" xfId="2" applyNumberFormat="1" applyFont="1" applyFill="1" applyAlignment="1">
      <alignment horizontal="right"/>
    </xf>
    <xf numFmtId="0" fontId="49" fillId="17" borderId="0" xfId="2" applyFont="1" applyFill="1"/>
    <xf numFmtId="179" fontId="39" fillId="17" borderId="0" xfId="2" applyNumberFormat="1" applyFont="1" applyFill="1" applyAlignment="1">
      <alignment horizontal="right"/>
    </xf>
    <xf numFmtId="180" fontId="39" fillId="17" borderId="0" xfId="2" applyNumberFormat="1" applyFont="1" applyFill="1" applyAlignment="1">
      <alignment horizontal="right"/>
    </xf>
    <xf numFmtId="0" fontId="40" fillId="17" borderId="13" xfId="2" applyFont="1" applyFill="1" applyBorder="1"/>
    <xf numFmtId="0" fontId="48" fillId="17" borderId="13" xfId="2" applyFont="1" applyFill="1" applyBorder="1"/>
    <xf numFmtId="5" fontId="56" fillId="17" borderId="19" xfId="2" applyNumberFormat="1" applyFont="1" applyFill="1" applyBorder="1"/>
    <xf numFmtId="165" fontId="39" fillId="17" borderId="0" xfId="2" applyNumberFormat="1" applyFont="1" applyFill="1" applyAlignment="1">
      <alignment horizontal="right"/>
    </xf>
    <xf numFmtId="165" fontId="39" fillId="17" borderId="0" xfId="2" applyNumberFormat="1" applyFont="1" applyFill="1" applyBorder="1"/>
    <xf numFmtId="165" fontId="39" fillId="17" borderId="0" xfId="2" applyNumberFormat="1" applyFont="1" applyFill="1"/>
    <xf numFmtId="168" fontId="39" fillId="17" borderId="0" xfId="2" applyNumberFormat="1" applyFont="1" applyFill="1"/>
    <xf numFmtId="168" fontId="56" fillId="17" borderId="0" xfId="2" applyNumberFormat="1" applyFont="1" applyFill="1" applyAlignment="1">
      <alignment horizontal="right"/>
    </xf>
    <xf numFmtId="169" fontId="39" fillId="17" borderId="0" xfId="2" applyNumberFormat="1" applyFont="1" applyFill="1" applyAlignment="1">
      <alignment horizontal="right"/>
    </xf>
    <xf numFmtId="169" fontId="56" fillId="17" borderId="0" xfId="2" applyNumberFormat="1" applyFont="1" applyFill="1" applyAlignment="1">
      <alignment horizontal="right"/>
    </xf>
    <xf numFmtId="172" fontId="39" fillId="17" borderId="13" xfId="2" applyNumberFormat="1" applyFont="1" applyFill="1" applyBorder="1"/>
    <xf numFmtId="172" fontId="39" fillId="17" borderId="13" xfId="2" applyNumberFormat="1" applyFont="1" applyFill="1" applyBorder="1" applyAlignment="1">
      <alignment horizontal="right"/>
    </xf>
    <xf numFmtId="172" fontId="56" fillId="17" borderId="13" xfId="2" applyNumberFormat="1" applyFont="1" applyFill="1" applyBorder="1" applyAlignment="1">
      <alignment horizontal="right"/>
    </xf>
    <xf numFmtId="165" fontId="50" fillId="17" borderId="0" xfId="2" applyNumberFormat="1" applyFont="1" applyFill="1" applyBorder="1"/>
    <xf numFmtId="165" fontId="39" fillId="17" borderId="0" xfId="2" applyNumberFormat="1" applyFont="1" applyFill="1" applyBorder="1" applyAlignment="1">
      <alignment horizontal="right"/>
    </xf>
    <xf numFmtId="165" fontId="56" fillId="17" borderId="0" xfId="2" applyNumberFormat="1" applyFont="1" applyFill="1" applyBorder="1" applyAlignment="1">
      <alignment horizontal="right"/>
    </xf>
    <xf numFmtId="165" fontId="39" fillId="17" borderId="0" xfId="2" quotePrefix="1" applyNumberFormat="1" applyFont="1" applyFill="1" applyBorder="1" applyAlignment="1">
      <alignment horizontal="right"/>
    </xf>
    <xf numFmtId="178" fontId="39" fillId="17" borderId="0" xfId="2" applyNumberFormat="1" applyFont="1" applyFill="1" applyAlignment="1">
      <alignment horizontal="right"/>
    </xf>
    <xf numFmtId="178" fontId="56" fillId="17" borderId="0" xfId="2" applyNumberFormat="1" applyFont="1" applyFill="1" applyAlignment="1">
      <alignment horizontal="right"/>
    </xf>
    <xf numFmtId="178" fontId="56" fillId="17" borderId="19" xfId="2" applyNumberFormat="1" applyFont="1" applyFill="1" applyBorder="1" applyAlignment="1">
      <alignment horizontal="right"/>
    </xf>
    <xf numFmtId="178" fontId="39" fillId="17" borderId="0" xfId="2" applyNumberFormat="1" applyFont="1" applyFill="1"/>
    <xf numFmtId="167" fontId="39" fillId="17" borderId="0" xfId="2" applyNumberFormat="1" applyFont="1" applyFill="1" applyAlignment="1">
      <alignment horizontal="right"/>
    </xf>
    <xf numFmtId="167" fontId="56" fillId="17" borderId="19" xfId="2" applyNumberFormat="1" applyFont="1" applyFill="1" applyBorder="1" applyAlignment="1">
      <alignment horizontal="right"/>
    </xf>
    <xf numFmtId="166" fontId="39" fillId="17" borderId="0" xfId="2" applyNumberFormat="1" applyFont="1" applyFill="1" applyBorder="1"/>
    <xf numFmtId="181" fontId="39" fillId="17" borderId="0" xfId="2" applyNumberFormat="1" applyFont="1" applyFill="1"/>
    <xf numFmtId="181" fontId="39" fillId="17" borderId="0" xfId="2" applyNumberFormat="1" applyFont="1" applyFill="1" applyAlignment="1">
      <alignment horizontal="right"/>
    </xf>
    <xf numFmtId="181" fontId="56" fillId="17" borderId="0" xfId="2" applyNumberFormat="1" applyFont="1" applyFill="1" applyAlignment="1">
      <alignment horizontal="right"/>
    </xf>
    <xf numFmtId="0" fontId="80" fillId="17" borderId="0" xfId="2" applyFont="1" applyFill="1"/>
    <xf numFmtId="0" fontId="7" fillId="17" borderId="0" xfId="2" applyFont="1" applyFill="1" applyBorder="1"/>
    <xf numFmtId="0" fontId="4" fillId="17" borderId="0" xfId="2" applyFont="1" applyFill="1" applyBorder="1"/>
    <xf numFmtId="4" fontId="4" fillId="17" borderId="0" xfId="2" applyNumberFormat="1" applyFont="1" applyFill="1" applyBorder="1"/>
    <xf numFmtId="169" fontId="4" fillId="17" borderId="0" xfId="2" applyNumberFormat="1" applyFont="1" applyFill="1" applyBorder="1"/>
    <xf numFmtId="169" fontId="60" fillId="17" borderId="0" xfId="2" applyNumberFormat="1" applyFont="1" applyFill="1" applyBorder="1"/>
    <xf numFmtId="166" fontId="4" fillId="17" borderId="0" xfId="2" applyNumberFormat="1" applyFont="1" applyFill="1"/>
    <xf numFmtId="4" fontId="4" fillId="17" borderId="0" xfId="2" applyNumberFormat="1" applyFont="1" applyFill="1"/>
    <xf numFmtId="169" fontId="4" fillId="17" borderId="0" xfId="2" applyNumberFormat="1" applyFont="1" applyFill="1"/>
    <xf numFmtId="9" fontId="4" fillId="17" borderId="0" xfId="2" applyNumberFormat="1" applyFont="1" applyFill="1"/>
    <xf numFmtId="166" fontId="60" fillId="17" borderId="0" xfId="2" applyNumberFormat="1" applyFont="1" applyFill="1" applyAlignment="1">
      <alignment horizontal="right"/>
    </xf>
    <xf numFmtId="169" fontId="60" fillId="17" borderId="0" xfId="2" applyNumberFormat="1" applyFont="1" applyFill="1"/>
    <xf numFmtId="9" fontId="60" fillId="17" borderId="0" xfId="2" applyNumberFormat="1" applyFont="1" applyFill="1"/>
    <xf numFmtId="0" fontId="65" fillId="17" borderId="0" xfId="2" applyFont="1" applyFill="1" applyBorder="1"/>
    <xf numFmtId="0" fontId="40" fillId="17" borderId="12" xfId="2" applyFont="1" applyFill="1" applyBorder="1" applyAlignment="1">
      <alignment horizontal="center"/>
    </xf>
    <xf numFmtId="0" fontId="40" fillId="17" borderId="21" xfId="2" applyFont="1" applyFill="1" applyBorder="1" applyAlignment="1">
      <alignment horizontal="center"/>
    </xf>
    <xf numFmtId="49" fontId="40" fillId="17" borderId="21" xfId="2" applyNumberFormat="1" applyFont="1" applyFill="1" applyBorder="1" applyAlignment="1">
      <alignment horizontal="center"/>
    </xf>
    <xf numFmtId="0" fontId="54" fillId="17" borderId="12" xfId="2" applyFont="1" applyFill="1" applyBorder="1" applyAlignment="1">
      <alignment horizontal="center"/>
    </xf>
    <xf numFmtId="176" fontId="40" fillId="17" borderId="13" xfId="2" applyNumberFormat="1" applyFont="1" applyFill="1" applyBorder="1" applyAlignment="1">
      <alignment horizontal="center"/>
    </xf>
    <xf numFmtId="49" fontId="40" fillId="17" borderId="20" xfId="2" applyNumberFormat="1" applyFont="1" applyFill="1" applyBorder="1" applyAlignment="1">
      <alignment horizontal="center"/>
    </xf>
    <xf numFmtId="176" fontId="40" fillId="17" borderId="20" xfId="2" applyNumberFormat="1" applyFont="1" applyFill="1" applyBorder="1" applyAlignment="1">
      <alignment horizontal="center"/>
    </xf>
    <xf numFmtId="195" fontId="40" fillId="17" borderId="13" xfId="2" applyNumberFormat="1" applyFont="1" applyFill="1" applyBorder="1" applyAlignment="1">
      <alignment horizontal="center"/>
    </xf>
    <xf numFmtId="43" fontId="41" fillId="17" borderId="0" xfId="35" applyFont="1" applyFill="1" applyAlignment="1">
      <alignment horizontal="center"/>
    </xf>
    <xf numFmtId="164" fontId="39" fillId="17" borderId="19" xfId="2" applyNumberFormat="1" applyFont="1" applyFill="1" applyBorder="1"/>
    <xf numFmtId="164" fontId="56" fillId="17" borderId="0" xfId="2" applyNumberFormat="1" applyFont="1" applyFill="1"/>
    <xf numFmtId="166" fontId="56" fillId="17" borderId="0" xfId="2" applyNumberFormat="1" applyFont="1" applyFill="1"/>
    <xf numFmtId="166" fontId="56" fillId="17" borderId="0" xfId="2" applyNumberFormat="1" applyFont="1" applyFill="1" applyBorder="1"/>
    <xf numFmtId="164" fontId="40" fillId="17" borderId="0" xfId="2" applyNumberFormat="1" applyFont="1" applyFill="1"/>
    <xf numFmtId="164" fontId="40" fillId="17" borderId="19" xfId="2" applyNumberFormat="1" applyFont="1" applyFill="1" applyBorder="1"/>
    <xf numFmtId="164" fontId="54" fillId="17" borderId="0" xfId="2" applyNumberFormat="1" applyFont="1" applyFill="1"/>
    <xf numFmtId="0" fontId="40" fillId="17" borderId="9" xfId="2" applyFont="1" applyFill="1" applyBorder="1"/>
    <xf numFmtId="164" fontId="40" fillId="17" borderId="9" xfId="2" applyNumberFormat="1" applyFont="1" applyFill="1" applyBorder="1"/>
    <xf numFmtId="164" fontId="40" fillId="17" borderId="41" xfId="2" applyNumberFormat="1" applyFont="1" applyFill="1" applyBorder="1"/>
    <xf numFmtId="164" fontId="54" fillId="17" borderId="9" xfId="2" applyNumberFormat="1" applyFont="1" applyFill="1" applyBorder="1"/>
    <xf numFmtId="164" fontId="39" fillId="17" borderId="13" xfId="2" applyNumberFormat="1" applyFont="1" applyFill="1" applyBorder="1"/>
    <xf numFmtId="0" fontId="56" fillId="17" borderId="0" xfId="2" applyFont="1" applyFill="1"/>
    <xf numFmtId="165" fontId="56" fillId="17" borderId="0" xfId="2" applyNumberFormat="1" applyFont="1" applyFill="1" applyBorder="1"/>
    <xf numFmtId="173" fontId="39" fillId="17" borderId="0" xfId="2" applyNumberFormat="1" applyFont="1" applyFill="1" applyBorder="1"/>
    <xf numFmtId="173" fontId="56" fillId="17" borderId="0" xfId="2" applyNumberFormat="1" applyFont="1" applyFill="1" applyBorder="1"/>
    <xf numFmtId="165" fontId="39" fillId="17" borderId="13" xfId="2" applyNumberFormat="1" applyFont="1" applyFill="1" applyBorder="1"/>
    <xf numFmtId="165" fontId="56" fillId="17" borderId="13" xfId="2" applyNumberFormat="1" applyFont="1" applyFill="1" applyBorder="1"/>
    <xf numFmtId="167" fontId="39" fillId="17" borderId="0" xfId="2" applyNumberFormat="1" applyFont="1" applyFill="1" applyBorder="1"/>
    <xf numFmtId="167" fontId="56" fillId="17" borderId="0" xfId="2" applyNumberFormat="1" applyFont="1" applyFill="1" applyBorder="1"/>
    <xf numFmtId="167" fontId="39" fillId="17" borderId="13" xfId="2" applyNumberFormat="1" applyFont="1" applyFill="1" applyBorder="1"/>
    <xf numFmtId="167" fontId="56" fillId="17" borderId="13" xfId="2" applyNumberFormat="1" applyFont="1" applyFill="1" applyBorder="1"/>
    <xf numFmtId="0" fontId="40" fillId="17" borderId="25" xfId="2" applyFont="1" applyFill="1" applyBorder="1"/>
    <xf numFmtId="0" fontId="39" fillId="17" borderId="11" xfId="2" applyFont="1" applyFill="1" applyBorder="1"/>
    <xf numFmtId="166" fontId="39" fillId="17" borderId="11" xfId="2" applyNumberFormat="1" applyFont="1" applyFill="1" applyBorder="1"/>
    <xf numFmtId="166" fontId="56" fillId="17" borderId="11" xfId="2" applyNumberFormat="1" applyFont="1" applyFill="1" applyBorder="1"/>
    <xf numFmtId="0" fontId="40" fillId="17" borderId="42" xfId="2" applyFont="1" applyFill="1" applyBorder="1"/>
    <xf numFmtId="0" fontId="39" fillId="17" borderId="42" xfId="2" applyFont="1" applyFill="1" applyBorder="1"/>
    <xf numFmtId="0" fontId="59" fillId="17" borderId="27" xfId="2" applyFont="1" applyFill="1" applyBorder="1"/>
    <xf numFmtId="0" fontId="59" fillId="17" borderId="28" xfId="2" applyFont="1" applyFill="1" applyBorder="1"/>
    <xf numFmtId="0" fontId="49" fillId="17" borderId="28" xfId="2" applyFont="1" applyFill="1" applyBorder="1"/>
    <xf numFmtId="166" fontId="49" fillId="17" borderId="28" xfId="2" applyNumberFormat="1" applyFont="1" applyFill="1" applyBorder="1"/>
    <xf numFmtId="0" fontId="59" fillId="17" borderId="0" xfId="2" applyFont="1" applyFill="1"/>
    <xf numFmtId="0" fontId="39" fillId="17" borderId="43" xfId="2" applyFont="1" applyFill="1" applyBorder="1"/>
    <xf numFmtId="166" fontId="39" fillId="17" borderId="43" xfId="2" applyNumberFormat="1" applyFont="1" applyFill="1" applyBorder="1"/>
    <xf numFmtId="166" fontId="56" fillId="17" borderId="43" xfId="2" applyNumberFormat="1" applyFont="1" applyFill="1" applyBorder="1"/>
    <xf numFmtId="0" fontId="40" fillId="17" borderId="42" xfId="63" applyFont="1" applyFill="1" applyBorder="1" applyAlignment="1"/>
    <xf numFmtId="0" fontId="39" fillId="17" borderId="42" xfId="63" applyFont="1" applyFill="1" applyBorder="1" applyAlignment="1"/>
    <xf numFmtId="0" fontId="39" fillId="17" borderId="27" xfId="63" applyFont="1" applyFill="1" applyBorder="1" applyAlignment="1"/>
    <xf numFmtId="0" fontId="39" fillId="17" borderId="28" xfId="2" applyFont="1" applyFill="1" applyBorder="1"/>
    <xf numFmtId="171" fontId="39" fillId="17" borderId="28" xfId="57" applyNumberFormat="1" applyFont="1" applyFill="1" applyBorder="1"/>
    <xf numFmtId="171" fontId="56" fillId="17" borderId="28" xfId="57" applyNumberFormat="1" applyFont="1" applyFill="1" applyBorder="1"/>
    <xf numFmtId="0" fontId="50" fillId="17" borderId="0" xfId="2" applyFont="1" applyFill="1"/>
    <xf numFmtId="164" fontId="39" fillId="17" borderId="0" xfId="2" applyNumberFormat="1" applyFont="1" applyFill="1" applyBorder="1"/>
    <xf numFmtId="164" fontId="56" fillId="17" borderId="0" xfId="2" applyNumberFormat="1" applyFont="1" applyFill="1" applyBorder="1"/>
    <xf numFmtId="164" fontId="42" fillId="17" borderId="0" xfId="2" applyNumberFormat="1" applyFont="1" applyFill="1"/>
    <xf numFmtId="0" fontId="39" fillId="17" borderId="0" xfId="2" applyFont="1" applyFill="1" applyAlignment="1">
      <alignment horizontal="left" indent="1"/>
    </xf>
    <xf numFmtId="165" fontId="56" fillId="17" borderId="0" xfId="2" applyNumberFormat="1" applyFont="1" applyFill="1"/>
    <xf numFmtId="0" fontId="60" fillId="17" borderId="0" xfId="2" applyFont="1" applyFill="1" applyBorder="1"/>
    <xf numFmtId="177" fontId="4" fillId="17" borderId="0" xfId="2" applyNumberFormat="1" applyFont="1" applyFill="1"/>
    <xf numFmtId="0" fontId="60" fillId="17" borderId="0" xfId="2" applyFont="1" applyFill="1"/>
    <xf numFmtId="164" fontId="4" fillId="17" borderId="0" xfId="2" applyNumberFormat="1" applyFont="1" applyFill="1" applyBorder="1"/>
    <xf numFmtId="176" fontId="42" fillId="17" borderId="13" xfId="2" applyNumberFormat="1" applyFont="1" applyFill="1" applyBorder="1" applyAlignment="1">
      <alignment horizontal="center"/>
    </xf>
    <xf numFmtId="165" fontId="40" fillId="17" borderId="20" xfId="2" applyNumberFormat="1" applyFont="1" applyFill="1" applyBorder="1" applyAlignment="1">
      <alignment horizontal="right"/>
    </xf>
    <xf numFmtId="164" fontId="56" fillId="17" borderId="0" xfId="2" applyNumberFormat="1" applyFont="1" applyFill="1" applyAlignment="1">
      <alignment horizontal="right"/>
    </xf>
    <xf numFmtId="166" fontId="45" fillId="17" borderId="0" xfId="2" applyNumberFormat="1" applyFont="1" applyFill="1"/>
    <xf numFmtId="166" fontId="45" fillId="17" borderId="0" xfId="2" applyNumberFormat="1" applyFont="1" applyFill="1" applyBorder="1"/>
    <xf numFmtId="0" fontId="49" fillId="17" borderId="0" xfId="2" applyFont="1" applyFill="1" applyAlignment="1">
      <alignment horizontal="left" indent="1"/>
    </xf>
    <xf numFmtId="166" fontId="49" fillId="17" borderId="0" xfId="2" applyNumberFormat="1" applyFont="1" applyFill="1" applyBorder="1" applyAlignment="1">
      <alignment horizontal="right"/>
    </xf>
    <xf numFmtId="171" fontId="49" fillId="17" borderId="0" xfId="57" applyNumberFormat="1" applyFont="1" applyFill="1"/>
    <xf numFmtId="171" fontId="49" fillId="17" borderId="19" xfId="57" applyNumberFormat="1" applyFont="1" applyFill="1" applyBorder="1"/>
    <xf numFmtId="0" fontId="39" fillId="17" borderId="41" xfId="2" applyFont="1" applyFill="1" applyBorder="1"/>
    <xf numFmtId="0" fontId="41" fillId="17" borderId="0" xfId="2" applyFont="1" applyFill="1" applyBorder="1" applyAlignment="1">
      <alignment horizontal="center"/>
    </xf>
    <xf numFmtId="9" fontId="39" fillId="17" borderId="13" xfId="57" applyFont="1" applyFill="1" applyBorder="1"/>
    <xf numFmtId="171" fontId="56" fillId="17" borderId="13" xfId="57" applyNumberFormat="1" applyFont="1" applyFill="1" applyBorder="1"/>
    <xf numFmtId="171" fontId="39" fillId="17" borderId="13" xfId="57" applyNumberFormat="1" applyFont="1" applyFill="1" applyBorder="1"/>
    <xf numFmtId="10" fontId="39" fillId="17" borderId="0" xfId="57" applyNumberFormat="1" applyFont="1" applyFill="1"/>
    <xf numFmtId="0" fontId="39" fillId="17" borderId="13" xfId="2" applyFont="1" applyFill="1" applyBorder="1" applyAlignment="1"/>
    <xf numFmtId="0" fontId="40" fillId="17" borderId="13" xfId="2" applyFont="1" applyFill="1" applyBorder="1" applyAlignment="1">
      <alignment horizontal="center"/>
    </xf>
    <xf numFmtId="0" fontId="39" fillId="17" borderId="17" xfId="2" applyFont="1" applyFill="1" applyBorder="1" applyAlignment="1">
      <alignment horizontal="left" indent="1"/>
    </xf>
    <xf numFmtId="0" fontId="39" fillId="17" borderId="17" xfId="2" applyFont="1" applyFill="1" applyBorder="1"/>
    <xf numFmtId="166" fontId="39" fillId="17" borderId="17" xfId="2" applyNumberFormat="1" applyFont="1" applyFill="1" applyBorder="1"/>
    <xf numFmtId="166" fontId="39" fillId="17" borderId="18" xfId="2" applyNumberFormat="1" applyFont="1" applyFill="1" applyBorder="1"/>
    <xf numFmtId="166" fontId="39" fillId="17" borderId="18" xfId="2" applyNumberFormat="1" applyFont="1" applyFill="1" applyBorder="1" applyAlignment="1">
      <alignment horizontal="right"/>
    </xf>
    <xf numFmtId="166" fontId="45" fillId="17" borderId="17" xfId="2" applyNumberFormat="1" applyFont="1" applyFill="1" applyBorder="1"/>
    <xf numFmtId="164" fontId="40" fillId="17" borderId="18" xfId="2" applyNumberFormat="1" applyFont="1" applyFill="1" applyBorder="1"/>
    <xf numFmtId="9" fontId="39" fillId="17" borderId="17" xfId="2" applyNumberFormat="1" applyFont="1" applyFill="1" applyBorder="1" applyAlignment="1">
      <alignment horizontal="left" indent="1"/>
    </xf>
    <xf numFmtId="9" fontId="39" fillId="17" borderId="17" xfId="2" applyNumberFormat="1" applyFont="1" applyFill="1" applyBorder="1"/>
    <xf numFmtId="9" fontId="39" fillId="17" borderId="18" xfId="2" applyNumberFormat="1" applyFont="1" applyFill="1" applyBorder="1"/>
    <xf numFmtId="9" fontId="45" fillId="17" borderId="17" xfId="2" applyNumberFormat="1" applyFont="1" applyFill="1" applyBorder="1"/>
    <xf numFmtId="171" fontId="80" fillId="17" borderId="0" xfId="57" applyNumberFormat="1" applyFont="1" applyFill="1"/>
    <xf numFmtId="171" fontId="0" fillId="17" borderId="0" xfId="57" applyNumberFormat="1" applyFont="1" applyFill="1"/>
    <xf numFmtId="0" fontId="79" fillId="17" borderId="0" xfId="2" applyFont="1" applyFill="1" applyBorder="1"/>
    <xf numFmtId="0" fontId="7" fillId="17" borderId="0" xfId="2" applyFont="1" applyFill="1"/>
    <xf numFmtId="0" fontId="13" fillId="17" borderId="0" xfId="2" applyFont="1" applyFill="1" applyBorder="1" applyAlignment="1">
      <alignment horizontal="center"/>
    </xf>
    <xf numFmtId="0" fontId="33" fillId="17" borderId="12" xfId="2" applyFont="1" applyFill="1" applyBorder="1" applyAlignment="1">
      <alignment horizontal="center"/>
    </xf>
    <xf numFmtId="0" fontId="13" fillId="17" borderId="12" xfId="2" applyFont="1" applyFill="1" applyBorder="1" applyAlignment="1">
      <alignment horizontal="center"/>
    </xf>
    <xf numFmtId="49" fontId="13" fillId="17" borderId="21" xfId="2" applyNumberFormat="1" applyFont="1" applyFill="1" applyBorder="1" applyAlignment="1">
      <alignment horizontal="center"/>
    </xf>
    <xf numFmtId="0" fontId="13" fillId="17" borderId="21" xfId="2" applyFont="1" applyFill="1" applyBorder="1" applyAlignment="1">
      <alignment horizontal="center"/>
    </xf>
    <xf numFmtId="165" fontId="5" fillId="17" borderId="13" xfId="2" applyNumberFormat="1" applyFont="1" applyFill="1" applyBorder="1" applyAlignment="1">
      <alignment horizontal="right"/>
    </xf>
    <xf numFmtId="176" fontId="12" fillId="17" borderId="13" xfId="2" applyNumberFormat="1" applyFont="1" applyFill="1" applyBorder="1" applyAlignment="1">
      <alignment horizontal="center"/>
    </xf>
    <xf numFmtId="176" fontId="12" fillId="17" borderId="20" xfId="2" applyNumberFormat="1" applyFont="1" applyFill="1" applyBorder="1" applyAlignment="1">
      <alignment horizontal="center"/>
    </xf>
    <xf numFmtId="0" fontId="4" fillId="17" borderId="19" xfId="2" applyFont="1" applyFill="1" applyBorder="1"/>
    <xf numFmtId="164" fontId="12" fillId="17" borderId="0" xfId="2" applyNumberFormat="1" applyFont="1" applyFill="1"/>
    <xf numFmtId="164" fontId="5" fillId="17" borderId="19" xfId="2" applyNumberFormat="1" applyFont="1" applyFill="1" applyBorder="1"/>
    <xf numFmtId="0" fontId="19" fillId="17" borderId="0" xfId="2" applyFont="1" applyFill="1"/>
    <xf numFmtId="166" fontId="4" fillId="17" borderId="19" xfId="2" applyNumberFormat="1" applyFont="1" applyFill="1" applyBorder="1"/>
    <xf numFmtId="166" fontId="10" fillId="17" borderId="0" xfId="2" applyNumberFormat="1" applyFont="1" applyFill="1"/>
    <xf numFmtId="166" fontId="11" fillId="17" borderId="0" xfId="2" applyNumberFormat="1" applyFont="1" applyFill="1"/>
    <xf numFmtId="166" fontId="11" fillId="17" borderId="19" xfId="2" applyNumberFormat="1" applyFont="1" applyFill="1" applyBorder="1"/>
    <xf numFmtId="164" fontId="5" fillId="17" borderId="0" xfId="49" applyNumberFormat="1" applyFont="1" applyFill="1"/>
    <xf numFmtId="164" fontId="12" fillId="17" borderId="0" xfId="49" applyNumberFormat="1" applyFont="1" applyFill="1"/>
    <xf numFmtId="164" fontId="18" fillId="17" borderId="0" xfId="2" applyNumberFormat="1" applyFont="1" applyFill="1"/>
    <xf numFmtId="164" fontId="18" fillId="17" borderId="19" xfId="2" applyNumberFormat="1" applyFont="1" applyFill="1" applyBorder="1"/>
    <xf numFmtId="0" fontId="17" fillId="17" borderId="0" xfId="2" applyFont="1" applyFill="1"/>
    <xf numFmtId="0" fontId="15" fillId="17" borderId="0" xfId="2" applyFont="1" applyFill="1"/>
    <xf numFmtId="0" fontId="17" fillId="17" borderId="0" xfId="2" applyFont="1" applyFill="1" applyAlignment="1">
      <alignment horizontal="center"/>
    </xf>
    <xf numFmtId="0" fontId="9" fillId="17" borderId="0" xfId="2" applyFont="1" applyFill="1" applyAlignment="1">
      <alignment horizontal="center"/>
    </xf>
    <xf numFmtId="0" fontId="9" fillId="17" borderId="19" xfId="2" applyFont="1" applyFill="1" applyBorder="1" applyAlignment="1">
      <alignment horizontal="center"/>
    </xf>
    <xf numFmtId="0" fontId="5" fillId="17" borderId="13" xfId="2" applyFont="1" applyFill="1" applyBorder="1"/>
    <xf numFmtId="0" fontId="4" fillId="17" borderId="13" xfId="2" applyFont="1" applyFill="1" applyBorder="1"/>
    <xf numFmtId="0" fontId="4" fillId="17" borderId="20" xfId="2" applyFont="1" applyFill="1" applyBorder="1"/>
    <xf numFmtId="165" fontId="10" fillId="17" borderId="0" xfId="2" applyNumberFormat="1" applyFont="1" applyFill="1"/>
    <xf numFmtId="165" fontId="10" fillId="17" borderId="19" xfId="2" applyNumberFormat="1" applyFont="1" applyFill="1" applyBorder="1"/>
    <xf numFmtId="165" fontId="4" fillId="17" borderId="0" xfId="2" applyNumberFormat="1" applyFont="1" applyFill="1"/>
    <xf numFmtId="165" fontId="4" fillId="17" borderId="19" xfId="2" applyNumberFormat="1" applyFont="1" applyFill="1" applyBorder="1"/>
    <xf numFmtId="0" fontId="5" fillId="17" borderId="19" xfId="2" applyFont="1" applyFill="1" applyBorder="1"/>
    <xf numFmtId="164" fontId="9" fillId="17" borderId="0" xfId="2" applyNumberFormat="1" applyFont="1" applyFill="1"/>
    <xf numFmtId="164" fontId="21" fillId="17" borderId="0" xfId="2" applyNumberFormat="1" applyFont="1" applyFill="1"/>
    <xf numFmtId="164" fontId="21" fillId="17" borderId="19" xfId="2" applyNumberFormat="1" applyFont="1" applyFill="1" applyBorder="1"/>
    <xf numFmtId="0" fontId="5" fillId="17" borderId="20" xfId="2" applyFont="1" applyFill="1" applyBorder="1"/>
    <xf numFmtId="164" fontId="21" fillId="17" borderId="13" xfId="2" applyNumberFormat="1" applyFont="1" applyFill="1" applyBorder="1"/>
    <xf numFmtId="164" fontId="21" fillId="17" borderId="20" xfId="2" applyNumberFormat="1" applyFont="1" applyFill="1" applyBorder="1"/>
    <xf numFmtId="164" fontId="9" fillId="17" borderId="13" xfId="2" applyNumberFormat="1" applyFont="1" applyFill="1" applyBorder="1"/>
    <xf numFmtId="37" fontId="20" fillId="17" borderId="0" xfId="2" applyNumberFormat="1" applyFont="1" applyFill="1" applyAlignment="1">
      <alignment horizontal="center"/>
    </xf>
    <xf numFmtId="37" fontId="14" fillId="17" borderId="0" xfId="2" applyNumberFormat="1" applyFont="1" applyFill="1" applyAlignment="1">
      <alignment horizontal="center"/>
    </xf>
    <xf numFmtId="0" fontId="17" fillId="17" borderId="0" xfId="2" applyFont="1" applyFill="1" applyAlignment="1">
      <alignment horizontal="left"/>
    </xf>
    <xf numFmtId="164" fontId="21" fillId="17" borderId="0" xfId="2" applyNumberFormat="1" applyFont="1" applyFill="1" applyBorder="1"/>
    <xf numFmtId="164" fontId="9" fillId="17" borderId="0" xfId="2" applyNumberFormat="1" applyFont="1" applyFill="1" applyBorder="1"/>
    <xf numFmtId="191" fontId="3" fillId="17" borderId="0" xfId="2" applyNumberFormat="1" applyFont="1" applyFill="1" applyAlignment="1">
      <alignment horizontal="center"/>
    </xf>
    <xf numFmtId="191" fontId="3" fillId="17" borderId="19" xfId="2" applyNumberFormat="1" applyFont="1" applyFill="1" applyBorder="1" applyAlignment="1">
      <alignment horizontal="center"/>
    </xf>
    <xf numFmtId="191" fontId="8" fillId="17" borderId="0" xfId="2" applyNumberFormat="1" applyFont="1" applyFill="1" applyAlignment="1">
      <alignment horizontal="center"/>
    </xf>
    <xf numFmtId="164" fontId="5" fillId="17" borderId="0" xfId="2" applyNumberFormat="1" applyFont="1" applyFill="1" applyAlignment="1">
      <alignment horizontal="center"/>
    </xf>
    <xf numFmtId="164" fontId="5" fillId="17" borderId="19" xfId="2" applyNumberFormat="1" applyFont="1" applyFill="1" applyBorder="1" applyAlignment="1">
      <alignment horizontal="center"/>
    </xf>
    <xf numFmtId="0" fontId="5" fillId="17" borderId="32" xfId="2" applyFont="1" applyFill="1" applyBorder="1"/>
    <xf numFmtId="0" fontId="5" fillId="17" borderId="12" xfId="2" applyFont="1" applyFill="1" applyBorder="1"/>
    <xf numFmtId="0" fontId="5" fillId="17" borderId="21" xfId="2" applyFont="1" applyFill="1" applyBorder="1"/>
    <xf numFmtId="164" fontId="21" fillId="17" borderId="12" xfId="2" applyNumberFormat="1" applyFont="1" applyFill="1" applyBorder="1"/>
    <xf numFmtId="164" fontId="21" fillId="17" borderId="21" xfId="2" applyNumberFormat="1" applyFont="1" applyFill="1" applyBorder="1"/>
    <xf numFmtId="164" fontId="9" fillId="17" borderId="12" xfId="2" applyNumberFormat="1" applyFont="1" applyFill="1" applyBorder="1"/>
    <xf numFmtId="164" fontId="9" fillId="17" borderId="21" xfId="2" applyNumberFormat="1" applyFont="1" applyFill="1" applyBorder="1"/>
    <xf numFmtId="0" fontId="5" fillId="17" borderId="33" xfId="2" applyFont="1" applyFill="1" applyBorder="1"/>
    <xf numFmtId="166" fontId="8" fillId="17" borderId="19" xfId="2" applyNumberFormat="1" applyFont="1" applyFill="1" applyBorder="1"/>
    <xf numFmtId="164" fontId="4" fillId="17" borderId="19" xfId="2" applyNumberFormat="1" applyFont="1" applyFill="1" applyBorder="1"/>
    <xf numFmtId="167" fontId="10" fillId="17" borderId="19" xfId="2" applyNumberFormat="1" applyFont="1" applyFill="1" applyBorder="1"/>
    <xf numFmtId="166" fontId="5" fillId="17" borderId="0" xfId="2" applyNumberFormat="1" applyFont="1" applyFill="1"/>
    <xf numFmtId="166" fontId="5" fillId="17" borderId="19" xfId="2" applyNumberFormat="1" applyFont="1" applyFill="1" applyBorder="1"/>
    <xf numFmtId="167" fontId="4" fillId="17" borderId="0" xfId="2" applyNumberFormat="1" applyFont="1" applyFill="1"/>
    <xf numFmtId="167" fontId="4" fillId="17" borderId="19" xfId="2" applyNumberFormat="1" applyFont="1" applyFill="1" applyBorder="1"/>
    <xf numFmtId="164" fontId="10" fillId="17" borderId="0" xfId="2" applyNumberFormat="1" applyFont="1" applyFill="1"/>
    <xf numFmtId="164" fontId="10" fillId="17" borderId="19" xfId="2" applyNumberFormat="1" applyFont="1" applyFill="1" applyBorder="1"/>
    <xf numFmtId="166" fontId="10" fillId="17" borderId="0" xfId="2" applyNumberFormat="1" applyFont="1" applyFill="1" applyBorder="1"/>
    <xf numFmtId="166" fontId="10" fillId="17" borderId="19" xfId="2" applyNumberFormat="1" applyFont="1" applyFill="1" applyBorder="1"/>
    <xf numFmtId="0" fontId="29" fillId="17" borderId="0" xfId="49" applyFont="1" applyFill="1" applyBorder="1"/>
    <xf numFmtId="0" fontId="3" fillId="17" borderId="0" xfId="49" applyFont="1" applyFill="1" applyBorder="1"/>
    <xf numFmtId="0" fontId="3" fillId="17" borderId="0" xfId="49" applyFont="1" applyFill="1"/>
    <xf numFmtId="0" fontId="5" fillId="17" borderId="0" xfId="52" applyNumberFormat="1" applyFont="1" applyFill="1"/>
    <xf numFmtId="0" fontId="5" fillId="17" borderId="0" xfId="49" applyFont="1" applyFill="1" applyBorder="1"/>
    <xf numFmtId="0" fontId="42" fillId="17" borderId="12" xfId="2" applyFont="1" applyFill="1" applyBorder="1" applyAlignment="1">
      <alignment horizontal="center"/>
    </xf>
    <xf numFmtId="49" fontId="42" fillId="17" borderId="20" xfId="2" applyNumberFormat="1" applyFont="1" applyFill="1" applyBorder="1" applyAlignment="1">
      <alignment horizontal="center"/>
    </xf>
    <xf numFmtId="176" fontId="40" fillId="17" borderId="13" xfId="2" quotePrefix="1" applyNumberFormat="1" applyFont="1" applyFill="1" applyBorder="1" applyAlignment="1">
      <alignment horizontal="center"/>
    </xf>
    <xf numFmtId="38" fontId="39" fillId="17" borderId="0" xfId="53" applyFont="1" applyFill="1" applyBorder="1" applyAlignment="1"/>
    <xf numFmtId="0" fontId="39" fillId="17" borderId="0" xfId="49" applyFont="1" applyFill="1" applyBorder="1"/>
    <xf numFmtId="0" fontId="45" fillId="17" borderId="0" xfId="49" applyFont="1" applyFill="1" applyBorder="1"/>
    <xf numFmtId="0" fontId="45" fillId="17" borderId="19" xfId="49" applyFont="1" applyFill="1" applyBorder="1"/>
    <xf numFmtId="168" fontId="39" fillId="17" borderId="0" xfId="51" applyNumberFormat="1" applyFont="1" applyFill="1" applyBorder="1" applyAlignment="1">
      <alignment horizontal="right"/>
    </xf>
    <xf numFmtId="168" fontId="39" fillId="17" borderId="19" xfId="51" applyNumberFormat="1" applyFont="1" applyFill="1" applyBorder="1" applyAlignment="1">
      <alignment horizontal="right"/>
    </xf>
    <xf numFmtId="168" fontId="39" fillId="17" borderId="19" xfId="49" applyNumberFormat="1" applyFont="1" applyFill="1" applyBorder="1"/>
    <xf numFmtId="168" fontId="43" fillId="17" borderId="19" xfId="49" applyNumberFormat="1" applyFont="1" applyFill="1" applyBorder="1"/>
    <xf numFmtId="0" fontId="39" fillId="17" borderId="0" xfId="49" applyFont="1" applyFill="1"/>
    <xf numFmtId="38" fontId="39" fillId="17" borderId="0" xfId="53" applyFont="1" applyFill="1" applyBorder="1" applyAlignment="1">
      <alignment horizontal="left"/>
    </xf>
    <xf numFmtId="0" fontId="39" fillId="17" borderId="0" xfId="49" applyFont="1" applyFill="1" applyBorder="1" applyAlignment="1">
      <alignment horizontal="center"/>
    </xf>
    <xf numFmtId="0" fontId="45" fillId="17" borderId="0" xfId="49" applyFont="1" applyFill="1" applyBorder="1" applyAlignment="1">
      <alignment horizontal="center"/>
    </xf>
    <xf numFmtId="0" fontId="45" fillId="17" borderId="19" xfId="49" applyFont="1" applyFill="1" applyBorder="1" applyAlignment="1">
      <alignment horizontal="center"/>
    </xf>
    <xf numFmtId="171" fontId="39" fillId="17" borderId="0" xfId="57" applyNumberFormat="1" applyFont="1" applyFill="1" applyBorder="1" applyAlignment="1">
      <alignment horizontal="center"/>
    </xf>
    <xf numFmtId="166" fontId="45" fillId="17" borderId="19" xfId="49" applyNumberFormat="1" applyFont="1" applyFill="1" applyBorder="1" applyAlignment="1">
      <alignment horizontal="right"/>
    </xf>
    <xf numFmtId="178" fontId="45" fillId="17" borderId="0" xfId="2" applyNumberFormat="1" applyFont="1" applyFill="1" applyAlignment="1">
      <alignment horizontal="right"/>
    </xf>
    <xf numFmtId="178" fontId="45" fillId="17" borderId="19" xfId="2" applyNumberFormat="1" applyFont="1" applyFill="1" applyBorder="1" applyAlignment="1">
      <alignment horizontal="right"/>
    </xf>
    <xf numFmtId="38" fontId="40" fillId="17" borderId="0" xfId="53" applyFont="1" applyFill="1" applyBorder="1" applyAlignment="1"/>
    <xf numFmtId="0" fontId="39" fillId="17" borderId="19" xfId="49" applyFont="1" applyFill="1" applyBorder="1"/>
    <xf numFmtId="166" fontId="39" fillId="17" borderId="0" xfId="49" applyNumberFormat="1" applyFont="1" applyFill="1"/>
    <xf numFmtId="166" fontId="45" fillId="17" borderId="19" xfId="49" applyNumberFormat="1" applyFont="1" applyFill="1" applyBorder="1"/>
    <xf numFmtId="166" fontId="39" fillId="17" borderId="19" xfId="49" applyNumberFormat="1" applyFont="1" applyFill="1" applyBorder="1"/>
    <xf numFmtId="38" fontId="39" fillId="17" borderId="0" xfId="53" quotePrefix="1" applyFont="1" applyFill="1" applyBorder="1" applyAlignment="1">
      <alignment horizontal="left"/>
    </xf>
    <xf numFmtId="166" fontId="45" fillId="17" borderId="0" xfId="49" applyNumberFormat="1" applyFont="1" applyFill="1"/>
    <xf numFmtId="166" fontId="43" fillId="17" borderId="19" xfId="49" applyNumberFormat="1" applyFont="1" applyFill="1" applyBorder="1"/>
    <xf numFmtId="166" fontId="39" fillId="17" borderId="13" xfId="49" applyNumberFormat="1" applyFont="1" applyFill="1" applyBorder="1"/>
    <xf numFmtId="166" fontId="45" fillId="17" borderId="20" xfId="49" applyNumberFormat="1" applyFont="1" applyFill="1" applyBorder="1"/>
    <xf numFmtId="166" fontId="45" fillId="17" borderId="13" xfId="49" applyNumberFormat="1" applyFont="1" applyFill="1" applyBorder="1"/>
    <xf numFmtId="166" fontId="43" fillId="17" borderId="20" xfId="49" applyNumberFormat="1" applyFont="1" applyFill="1" applyBorder="1"/>
    <xf numFmtId="0" fontId="39" fillId="17" borderId="0" xfId="53" applyNumberFormat="1" applyFont="1" applyFill="1" applyBorder="1" applyAlignment="1">
      <alignment horizontal="left"/>
    </xf>
    <xf numFmtId="168" fontId="39" fillId="17" borderId="0" xfId="51" applyNumberFormat="1" applyFont="1" applyFill="1" applyAlignment="1">
      <alignment horizontal="right"/>
    </xf>
    <xf numFmtId="168" fontId="45" fillId="17" borderId="19" xfId="51" applyNumberFormat="1" applyFont="1" applyFill="1" applyBorder="1" applyAlignment="1">
      <alignment horizontal="right"/>
    </xf>
    <xf numFmtId="168" fontId="45" fillId="17" borderId="0" xfId="51" applyNumberFormat="1" applyFont="1" applyFill="1" applyAlignment="1">
      <alignment horizontal="right"/>
    </xf>
    <xf numFmtId="168" fontId="45" fillId="17" borderId="19" xfId="49" applyNumberFormat="1" applyFont="1" applyFill="1" applyBorder="1"/>
    <xf numFmtId="166" fontId="45" fillId="17" borderId="0" xfId="49" applyNumberFormat="1" applyFont="1" applyFill="1" applyBorder="1" applyAlignment="1">
      <alignment horizontal="right"/>
    </xf>
    <xf numFmtId="171" fontId="53" fillId="17" borderId="19" xfId="57" applyNumberFormat="1" applyFont="1" applyFill="1" applyBorder="1" applyAlignment="1">
      <alignment horizontal="center"/>
    </xf>
    <xf numFmtId="171" fontId="45" fillId="17" borderId="0" xfId="49" applyNumberFormat="1" applyFont="1" applyFill="1" applyBorder="1" applyAlignment="1">
      <alignment horizontal="right"/>
    </xf>
    <xf numFmtId="166" fontId="53" fillId="17" borderId="0" xfId="49" applyNumberFormat="1" applyFont="1" applyFill="1"/>
    <xf numFmtId="169" fontId="53" fillId="17" borderId="0" xfId="49" applyNumberFormat="1" applyFont="1" applyFill="1"/>
    <xf numFmtId="166" fontId="53" fillId="17" borderId="19" xfId="49" applyNumberFormat="1" applyFont="1" applyFill="1" applyBorder="1"/>
    <xf numFmtId="0" fontId="40" fillId="17" borderId="0" xfId="53" applyNumberFormat="1" applyFont="1" applyFill="1" applyBorder="1" applyAlignment="1">
      <alignment horizontal="left"/>
    </xf>
    <xf numFmtId="0" fontId="39" fillId="17" borderId="0" xfId="49" applyFont="1" applyFill="1" applyAlignment="1">
      <alignment horizontal="center"/>
    </xf>
    <xf numFmtId="171" fontId="45" fillId="17" borderId="0" xfId="57" applyNumberFormat="1" applyFont="1" applyFill="1" applyBorder="1" applyAlignment="1">
      <alignment horizontal="right"/>
    </xf>
    <xf numFmtId="190" fontId="39" fillId="17" borderId="0" xfId="3" applyNumberFormat="1" applyFont="1" applyFill="1" applyBorder="1"/>
    <xf numFmtId="166" fontId="39" fillId="17" borderId="0" xfId="49" applyNumberFormat="1" applyFont="1" applyFill="1" applyBorder="1" applyAlignment="1">
      <alignment horizontal="right"/>
    </xf>
    <xf numFmtId="166" fontId="39" fillId="17" borderId="19" xfId="49" applyNumberFormat="1" applyFont="1" applyFill="1" applyBorder="1" applyAlignment="1">
      <alignment horizontal="right"/>
    </xf>
    <xf numFmtId="38" fontId="39" fillId="17" borderId="0" xfId="53" quotePrefix="1" applyFont="1" applyFill="1" applyBorder="1" applyAlignment="1"/>
    <xf numFmtId="166" fontId="45" fillId="17" borderId="13" xfId="49" applyNumberFormat="1" applyFont="1" applyFill="1" applyBorder="1" applyAlignment="1">
      <alignment horizontal="right"/>
    </xf>
    <xf numFmtId="166" fontId="45" fillId="17" borderId="20" xfId="49" applyNumberFormat="1" applyFont="1" applyFill="1" applyBorder="1" applyAlignment="1">
      <alignment horizontal="right"/>
    </xf>
    <xf numFmtId="166" fontId="39" fillId="17" borderId="13" xfId="49" applyNumberFormat="1" applyFont="1" applyFill="1" applyBorder="1" applyAlignment="1">
      <alignment horizontal="right"/>
    </xf>
    <xf numFmtId="166" fontId="39" fillId="17" borderId="0" xfId="49" applyNumberFormat="1" applyFont="1" applyFill="1" applyAlignment="1">
      <alignment horizontal="right"/>
    </xf>
    <xf numFmtId="0" fontId="39" fillId="17" borderId="0" xfId="53" applyNumberFormat="1" applyFont="1" applyFill="1" applyBorder="1" applyAlignment="1"/>
    <xf numFmtId="165" fontId="39" fillId="17" borderId="19" xfId="49" applyNumberFormat="1" applyFont="1" applyFill="1" applyBorder="1"/>
    <xf numFmtId="0" fontId="40" fillId="17" borderId="0" xfId="53" applyNumberFormat="1" applyFont="1" applyFill="1" applyBorder="1" applyAlignment="1"/>
    <xf numFmtId="171" fontId="39" fillId="17" borderId="0" xfId="53" applyNumberFormat="1" applyFont="1" applyFill="1" applyBorder="1" applyAlignment="1">
      <alignment horizontal="left"/>
    </xf>
    <xf numFmtId="171" fontId="39" fillId="17" borderId="0" xfId="49" applyNumberFormat="1" applyFont="1" applyFill="1" applyBorder="1" applyAlignment="1">
      <alignment horizontal="center"/>
    </xf>
    <xf numFmtId="171" fontId="45" fillId="17" borderId="0" xfId="49" applyNumberFormat="1" applyFont="1" applyFill="1" applyBorder="1" applyAlignment="1">
      <alignment horizontal="center"/>
    </xf>
    <xf numFmtId="171" fontId="45" fillId="17" borderId="19" xfId="49" applyNumberFormat="1" applyFont="1" applyFill="1" applyBorder="1" applyAlignment="1">
      <alignment horizontal="center"/>
    </xf>
    <xf numFmtId="171" fontId="39" fillId="17" borderId="0" xfId="49" applyNumberFormat="1" applyFont="1" applyFill="1" applyAlignment="1">
      <alignment horizontal="center"/>
    </xf>
    <xf numFmtId="171" fontId="39" fillId="17" borderId="19" xfId="49" applyNumberFormat="1" applyFont="1" applyFill="1" applyBorder="1" applyAlignment="1">
      <alignment horizontal="center"/>
    </xf>
    <xf numFmtId="166" fontId="45" fillId="17" borderId="0" xfId="49" applyNumberFormat="1" applyFont="1" applyFill="1" applyAlignment="1">
      <alignment horizontal="right"/>
    </xf>
    <xf numFmtId="165" fontId="39" fillId="17" borderId="0" xfId="49" applyNumberFormat="1" applyFont="1" applyFill="1" applyAlignment="1">
      <alignment horizontal="right"/>
    </xf>
    <xf numFmtId="171" fontId="45" fillId="17" borderId="13" xfId="49" applyNumberFormat="1" applyFont="1" applyFill="1" applyBorder="1" applyAlignment="1">
      <alignment horizontal="center"/>
    </xf>
    <xf numFmtId="171" fontId="45" fillId="17" borderId="20" xfId="49" applyNumberFormat="1" applyFont="1" applyFill="1" applyBorder="1" applyAlignment="1">
      <alignment horizontal="center"/>
    </xf>
    <xf numFmtId="37" fontId="45" fillId="17" borderId="0" xfId="57" applyNumberFormat="1" applyFont="1" applyFill="1" applyBorder="1" applyAlignment="1">
      <alignment horizontal="center"/>
    </xf>
    <xf numFmtId="37" fontId="45" fillId="17" borderId="19" xfId="57" applyNumberFormat="1" applyFont="1" applyFill="1" applyBorder="1" applyAlignment="1">
      <alignment horizontal="center"/>
    </xf>
    <xf numFmtId="171" fontId="39" fillId="17" borderId="19" xfId="57" applyNumberFormat="1" applyFont="1" applyFill="1" applyBorder="1" applyAlignment="1">
      <alignment horizontal="center"/>
    </xf>
    <xf numFmtId="41" fontId="43" fillId="17" borderId="19" xfId="49" applyNumberFormat="1" applyFont="1" applyFill="1" applyBorder="1"/>
    <xf numFmtId="168" fontId="43" fillId="17" borderId="19" xfId="51" applyNumberFormat="1" applyFont="1" applyFill="1" applyBorder="1" applyAlignment="1">
      <alignment horizontal="right"/>
    </xf>
    <xf numFmtId="7" fontId="43" fillId="17" borderId="19" xfId="49" applyNumberFormat="1" applyFont="1" applyFill="1" applyBorder="1"/>
    <xf numFmtId="168" fontId="53" fillId="17" borderId="0" xfId="51" applyNumberFormat="1" applyFont="1" applyFill="1" applyBorder="1" applyAlignment="1">
      <alignment horizontal="right"/>
    </xf>
    <xf numFmtId="168" fontId="44" fillId="17" borderId="19" xfId="51" applyNumberFormat="1" applyFont="1" applyFill="1" applyBorder="1" applyAlignment="1">
      <alignment horizontal="right"/>
    </xf>
    <xf numFmtId="166" fontId="39" fillId="17" borderId="0" xfId="49" applyNumberFormat="1" applyFont="1" applyFill="1" applyBorder="1"/>
    <xf numFmtId="0" fontId="45" fillId="17" borderId="13" xfId="49" applyFont="1" applyFill="1" applyBorder="1"/>
    <xf numFmtId="0" fontId="45" fillId="17" borderId="20" xfId="49" applyFont="1" applyFill="1" applyBorder="1"/>
    <xf numFmtId="166" fontId="39" fillId="17" borderId="20" xfId="49" applyNumberFormat="1" applyFont="1" applyFill="1" applyBorder="1" applyAlignment="1">
      <alignment horizontal="right"/>
    </xf>
    <xf numFmtId="166" fontId="44" fillId="17" borderId="0" xfId="2" applyNumberFormat="1" applyFont="1" applyFill="1" applyAlignment="1">
      <alignment horizontal="right"/>
    </xf>
    <xf numFmtId="166" fontId="44" fillId="17" borderId="19" xfId="2" applyNumberFormat="1" applyFont="1" applyFill="1" applyBorder="1" applyAlignment="1">
      <alignment horizontal="right"/>
    </xf>
    <xf numFmtId="171" fontId="45" fillId="17" borderId="0" xfId="57" applyNumberFormat="1" applyFont="1" applyFill="1" applyAlignment="1">
      <alignment horizontal="right"/>
    </xf>
    <xf numFmtId="166" fontId="45" fillId="17" borderId="0" xfId="49" applyNumberFormat="1" applyFont="1" applyFill="1" applyBorder="1"/>
    <xf numFmtId="9" fontId="45" fillId="17" borderId="0" xfId="57" applyFont="1" applyFill="1" applyBorder="1"/>
    <xf numFmtId="166" fontId="44" fillId="17" borderId="0" xfId="49" applyNumberFormat="1" applyFont="1" applyFill="1"/>
    <xf numFmtId="166" fontId="44" fillId="17" borderId="19" xfId="49" applyNumberFormat="1" applyFont="1" applyFill="1" applyBorder="1"/>
    <xf numFmtId="166" fontId="44" fillId="17" borderId="13" xfId="49" applyNumberFormat="1" applyFont="1" applyFill="1" applyBorder="1"/>
    <xf numFmtId="166" fontId="44" fillId="17" borderId="20" xfId="49" applyNumberFormat="1" applyFont="1" applyFill="1" applyBorder="1"/>
    <xf numFmtId="38" fontId="40" fillId="17" borderId="13" xfId="53" applyFont="1" applyFill="1" applyBorder="1" applyAlignment="1"/>
    <xf numFmtId="169" fontId="39" fillId="17" borderId="13" xfId="49" applyNumberFormat="1" applyFont="1" applyFill="1" applyBorder="1"/>
    <xf numFmtId="169" fontId="39" fillId="17" borderId="20" xfId="49" applyNumberFormat="1" applyFont="1" applyFill="1" applyBorder="1"/>
    <xf numFmtId="169" fontId="45" fillId="17" borderId="13" xfId="49" applyNumberFormat="1" applyFont="1" applyFill="1" applyBorder="1"/>
    <xf numFmtId="0" fontId="39" fillId="17" borderId="13" xfId="49" applyFont="1" applyFill="1" applyBorder="1"/>
    <xf numFmtId="0" fontId="48" fillId="17" borderId="0" xfId="2" applyFont="1" applyFill="1"/>
    <xf numFmtId="43" fontId="41" fillId="17" borderId="0" xfId="35" applyFont="1" applyFill="1" applyBorder="1" applyAlignment="1">
      <alignment horizontal="center"/>
    </xf>
    <xf numFmtId="166" fontId="0" fillId="17" borderId="0" xfId="2" applyNumberFormat="1" applyFont="1" applyFill="1"/>
    <xf numFmtId="2" fontId="65" fillId="17" borderId="39" xfId="65" applyNumberFormat="1" applyFont="1" applyFill="1" applyBorder="1">
      <alignment horizontal="left" vertical="center"/>
    </xf>
    <xf numFmtId="0" fontId="28" fillId="17" borderId="39" xfId="65" applyFont="1" applyFill="1" applyBorder="1">
      <alignment horizontal="left" vertical="center"/>
    </xf>
    <xf numFmtId="2" fontId="65" fillId="17" borderId="13" xfId="65" applyNumberFormat="1" applyFont="1" applyFill="1" applyBorder="1">
      <alignment horizontal="left" vertical="center"/>
    </xf>
    <xf numFmtId="0" fontId="14" fillId="17" borderId="13" xfId="65" applyFont="1" applyFill="1" applyBorder="1">
      <alignment horizontal="left" vertical="center"/>
    </xf>
    <xf numFmtId="2" fontId="3" fillId="17" borderId="0" xfId="65" applyNumberFormat="1" applyFont="1" applyFill="1" applyBorder="1">
      <alignment horizontal="left" vertical="center"/>
    </xf>
    <xf numFmtId="0" fontId="28" fillId="17" borderId="0" xfId="65" applyFont="1" applyFill="1" applyBorder="1">
      <alignment horizontal="left" vertical="center"/>
    </xf>
    <xf numFmtId="0" fontId="14" fillId="17" borderId="0" xfId="65" applyFont="1" applyFill="1" applyBorder="1">
      <alignment horizontal="left" vertical="center"/>
    </xf>
    <xf numFmtId="0" fontId="16" fillId="17" borderId="0" xfId="66" quotePrefix="1" applyFont="1" applyFill="1">
      <alignment horizontal="left" vertical="center"/>
    </xf>
    <xf numFmtId="0" fontId="3" fillId="17" borderId="0" xfId="66" applyFont="1" applyFill="1">
      <alignment horizontal="left" vertical="center"/>
    </xf>
    <xf numFmtId="0" fontId="28" fillId="17" borderId="0" xfId="52" applyFont="1" applyFill="1"/>
    <xf numFmtId="166" fontId="28" fillId="17" borderId="0" xfId="36" applyNumberFormat="1" applyFont="1" applyFill="1"/>
    <xf numFmtId="0" fontId="6" fillId="17" borderId="0" xfId="66" applyFont="1" applyFill="1" applyBorder="1">
      <alignment horizontal="left" vertical="center"/>
    </xf>
    <xf numFmtId="0" fontId="5" fillId="17" borderId="0" xfId="66" applyFont="1" applyFill="1" applyBorder="1">
      <alignment horizontal="left" vertical="center"/>
    </xf>
    <xf numFmtId="2" fontId="6" fillId="17" borderId="0" xfId="66" applyNumberFormat="1" applyFont="1" applyFill="1" applyBorder="1" applyAlignment="1">
      <alignment horizontal="center" vertical="center"/>
    </xf>
    <xf numFmtId="0" fontId="3" fillId="17" borderId="0" xfId="66" applyFont="1" applyFill="1" applyBorder="1">
      <alignment horizontal="left" vertical="center"/>
    </xf>
    <xf numFmtId="0" fontId="3" fillId="17" borderId="0" xfId="52" applyFont="1" applyFill="1"/>
    <xf numFmtId="166" fontId="3" fillId="17" borderId="0" xfId="36" applyNumberFormat="1" applyFont="1" applyFill="1"/>
    <xf numFmtId="0" fontId="36" fillId="17" borderId="27" xfId="66" applyFont="1" applyFill="1" applyBorder="1">
      <alignment horizontal="left" vertical="center"/>
    </xf>
    <xf numFmtId="0" fontId="36" fillId="17" borderId="28" xfId="66" applyFont="1" applyFill="1" applyBorder="1">
      <alignment horizontal="left" vertical="center"/>
    </xf>
    <xf numFmtId="175" fontId="72" fillId="17" borderId="0" xfId="59" applyNumberFormat="1" applyFont="1" applyFill="1" applyBorder="1">
      <alignment horizontal="right" vertical="center"/>
    </xf>
    <xf numFmtId="0" fontId="73" fillId="17" borderId="0" xfId="59" applyFont="1" applyFill="1" applyBorder="1">
      <alignment horizontal="right" vertical="center"/>
    </xf>
    <xf numFmtId="0" fontId="1" fillId="17" borderId="0" xfId="2" applyFont="1" applyFill="1"/>
    <xf numFmtId="175" fontId="36" fillId="17" borderId="25" xfId="46" applyNumberFormat="1" applyFont="1" applyFill="1" applyBorder="1">
      <alignment horizontal="left" vertical="center"/>
    </xf>
    <xf numFmtId="2" fontId="70" fillId="17" borderId="26" xfId="59" applyNumberFormat="1" applyFont="1" applyFill="1" applyBorder="1" applyAlignment="1">
      <alignment horizontal="center" vertical="center"/>
    </xf>
    <xf numFmtId="175" fontId="36" fillId="17" borderId="0" xfId="59" applyNumberFormat="1" applyFont="1" applyFill="1" applyAlignment="1">
      <alignment horizontal="center" vertical="center"/>
    </xf>
    <xf numFmtId="0" fontId="6" fillId="17" borderId="42" xfId="66" applyFont="1" applyFill="1" applyBorder="1">
      <alignment horizontal="left" vertical="center"/>
    </xf>
    <xf numFmtId="1" fontId="36" fillId="17" borderId="44" xfId="66" applyNumberFormat="1" applyFont="1" applyFill="1" applyBorder="1" applyAlignment="1">
      <alignment horizontal="center" vertical="center"/>
    </xf>
    <xf numFmtId="0" fontId="74" fillId="17" borderId="0" xfId="2" applyFont="1" applyFill="1" applyAlignment="1">
      <alignment horizontal="center" vertical="center"/>
    </xf>
    <xf numFmtId="2" fontId="1" fillId="17" borderId="0" xfId="2" applyNumberFormat="1" applyFont="1" applyFill="1"/>
    <xf numFmtId="175" fontId="6" fillId="17" borderId="42" xfId="46" applyNumberFormat="1" applyFont="1" applyFill="1" applyBorder="1">
      <alignment horizontal="left" vertical="center"/>
    </xf>
    <xf numFmtId="2" fontId="6" fillId="17" borderId="44" xfId="59" applyNumberFormat="1" applyFont="1" applyFill="1" applyBorder="1" applyAlignment="1">
      <alignment horizontal="center" vertical="center"/>
    </xf>
    <xf numFmtId="0" fontId="36" fillId="17" borderId="42" xfId="66" applyFont="1" applyFill="1" applyBorder="1">
      <alignment horizontal="left" vertical="center"/>
    </xf>
    <xf numFmtId="0" fontId="36" fillId="17" borderId="0" xfId="66" applyFont="1" applyFill="1" applyBorder="1">
      <alignment horizontal="left" vertical="center"/>
    </xf>
    <xf numFmtId="2" fontId="36" fillId="17" borderId="0" xfId="66" applyNumberFormat="1" applyFont="1" applyFill="1" applyBorder="1" applyAlignment="1">
      <alignment horizontal="center" vertical="center"/>
    </xf>
    <xf numFmtId="175" fontId="36" fillId="17" borderId="42" xfId="46" applyNumberFormat="1" applyFont="1" applyFill="1" applyBorder="1">
      <alignment horizontal="left" vertical="center"/>
    </xf>
    <xf numFmtId="171" fontId="70" fillId="17" borderId="44" xfId="57" applyNumberFormat="1" applyFont="1" applyFill="1" applyBorder="1" applyAlignment="1">
      <alignment horizontal="center" vertical="center"/>
    </xf>
    <xf numFmtId="171" fontId="36" fillId="17" borderId="0" xfId="57" applyNumberFormat="1" applyFont="1" applyFill="1" applyBorder="1" applyAlignment="1">
      <alignment horizontal="center" vertical="center"/>
    </xf>
    <xf numFmtId="171" fontId="36" fillId="17" borderId="44" xfId="57" applyNumberFormat="1" applyFont="1" applyFill="1" applyBorder="1" applyAlignment="1">
      <alignment horizontal="center" vertical="center"/>
    </xf>
    <xf numFmtId="1" fontId="75" fillId="17" borderId="0" xfId="59" quotePrefix="1" applyNumberFormat="1" applyFont="1" applyFill="1" applyBorder="1" applyAlignment="1">
      <alignment horizontal="center" vertical="center"/>
    </xf>
    <xf numFmtId="171" fontId="75" fillId="17" borderId="44" xfId="57" applyNumberFormat="1" applyFont="1" applyFill="1" applyBorder="1" applyAlignment="1">
      <alignment horizontal="center" vertical="center"/>
    </xf>
    <xf numFmtId="3" fontId="36" fillId="17" borderId="0" xfId="66" applyNumberFormat="1" applyFont="1" applyFill="1" applyBorder="1" applyAlignment="1">
      <alignment horizontal="center" vertical="center"/>
    </xf>
    <xf numFmtId="9" fontId="70" fillId="17" borderId="44" xfId="57" applyNumberFormat="1" applyFont="1" applyFill="1" applyBorder="1" applyAlignment="1">
      <alignment horizontal="center" vertical="center"/>
    </xf>
    <xf numFmtId="3" fontId="70" fillId="17" borderId="0" xfId="66" applyNumberFormat="1" applyFont="1" applyFill="1" applyBorder="1" applyAlignment="1">
      <alignment horizontal="center" vertical="center"/>
    </xf>
    <xf numFmtId="171" fontId="6" fillId="17" borderId="44" xfId="57" applyNumberFormat="1" applyFont="1" applyFill="1" applyBorder="1" applyAlignment="1">
      <alignment horizontal="center" vertical="center"/>
    </xf>
    <xf numFmtId="3" fontId="70" fillId="17" borderId="28" xfId="66" applyNumberFormat="1" applyFont="1" applyFill="1" applyBorder="1" applyAlignment="1">
      <alignment horizontal="center" vertical="center"/>
    </xf>
    <xf numFmtId="1" fontId="36" fillId="17" borderId="29" xfId="66" applyNumberFormat="1" applyFont="1" applyFill="1" applyBorder="1" applyAlignment="1">
      <alignment horizontal="center" vertical="center"/>
    </xf>
    <xf numFmtId="0" fontId="74" fillId="17" borderId="27" xfId="2" applyFont="1" applyFill="1" applyBorder="1" applyAlignment="1">
      <alignment horizontal="left" vertical="center"/>
    </xf>
    <xf numFmtId="205" fontId="74" fillId="17" borderId="29" xfId="2" applyNumberFormat="1" applyFont="1" applyFill="1" applyBorder="1" applyAlignment="1">
      <alignment horizontal="center" vertical="center"/>
    </xf>
    <xf numFmtId="175" fontId="73" fillId="17" borderId="0" xfId="59" applyNumberFormat="1" applyFont="1" applyFill="1" applyAlignment="1">
      <alignment horizontal="center" vertical="center"/>
    </xf>
    <xf numFmtId="9" fontId="36" fillId="17" borderId="0" xfId="57" applyFont="1" applyFill="1" applyAlignment="1">
      <alignment horizontal="center" vertical="center"/>
    </xf>
    <xf numFmtId="175" fontId="36" fillId="17" borderId="0" xfId="46" applyNumberFormat="1" applyFont="1" applyFill="1" applyBorder="1">
      <alignment horizontal="left" vertical="center"/>
    </xf>
    <xf numFmtId="1" fontId="6" fillId="17" borderId="0" xfId="59" quotePrefix="1" applyNumberFormat="1" applyFont="1" applyFill="1" applyBorder="1" applyAlignment="1">
      <alignment horizontal="right" vertical="center"/>
    </xf>
    <xf numFmtId="0" fontId="74" fillId="17" borderId="0" xfId="2" applyFont="1" applyFill="1" applyBorder="1"/>
    <xf numFmtId="186" fontId="6" fillId="17" borderId="0" xfId="59" quotePrefix="1" applyNumberFormat="1" applyFont="1" applyFill="1" applyBorder="1" applyAlignment="1">
      <alignment horizontal="right" vertical="center"/>
    </xf>
    <xf numFmtId="1" fontId="6" fillId="17" borderId="0" xfId="46" applyNumberFormat="1" applyFont="1" applyFill="1">
      <alignment horizontal="left" vertical="center"/>
    </xf>
    <xf numFmtId="1" fontId="36" fillId="17" borderId="0" xfId="46" applyNumberFormat="1" applyFont="1" applyFill="1">
      <alignment horizontal="left" vertical="center"/>
    </xf>
    <xf numFmtId="1" fontId="76" fillId="17" borderId="0" xfId="46" applyNumberFormat="1" applyFont="1" applyFill="1">
      <alignment horizontal="left" vertical="center"/>
    </xf>
    <xf numFmtId="1" fontId="36" fillId="17" borderId="0" xfId="46" quotePrefix="1" applyNumberFormat="1" applyFont="1" applyFill="1">
      <alignment horizontal="left" vertical="center"/>
    </xf>
    <xf numFmtId="175" fontId="36" fillId="17" borderId="0" xfId="46" applyNumberFormat="1" applyFont="1" applyFill="1">
      <alignment horizontal="left" vertical="center"/>
    </xf>
    <xf numFmtId="175" fontId="76" fillId="17" borderId="0" xfId="46" applyNumberFormat="1" applyFont="1" applyFill="1">
      <alignment horizontal="left" vertical="center"/>
    </xf>
    <xf numFmtId="175" fontId="6" fillId="17" borderId="0" xfId="46" applyNumberFormat="1" applyFont="1" applyFill="1">
      <alignment horizontal="left" vertical="center"/>
    </xf>
    <xf numFmtId="9" fontId="6" fillId="17" borderId="0" xfId="57" applyFont="1" applyFill="1" applyAlignment="1">
      <alignment horizontal="right" vertical="center"/>
    </xf>
    <xf numFmtId="9" fontId="6" fillId="17" borderId="0" xfId="57" applyNumberFormat="1" applyFont="1" applyFill="1" applyAlignment="1">
      <alignment horizontal="right" vertical="center"/>
    </xf>
    <xf numFmtId="9" fontId="36" fillId="17" borderId="0" xfId="57" applyFont="1" applyFill="1" applyAlignment="1">
      <alignment horizontal="right" vertical="center"/>
    </xf>
    <xf numFmtId="9" fontId="70" fillId="17" borderId="0" xfId="57" applyFont="1" applyFill="1" applyAlignment="1">
      <alignment horizontal="right" vertical="center"/>
    </xf>
    <xf numFmtId="171" fontId="6" fillId="17" borderId="0" xfId="57" applyNumberFormat="1" applyFont="1" applyFill="1" applyAlignment="1">
      <alignment horizontal="right" vertical="center"/>
    </xf>
    <xf numFmtId="175" fontId="76" fillId="17" borderId="0" xfId="46" applyNumberFormat="1" applyFont="1" applyFill="1" applyBorder="1">
      <alignment horizontal="left" vertical="center"/>
    </xf>
    <xf numFmtId="9" fontId="71" fillId="23" borderId="45" xfId="46" applyNumberFormat="1" applyFont="1" applyFill="1" applyBorder="1" applyAlignment="1">
      <alignment horizontal="left" vertical="center"/>
    </xf>
    <xf numFmtId="175" fontId="36" fillId="23" borderId="43" xfId="59" applyNumberFormat="1" applyFont="1" applyFill="1" applyBorder="1">
      <alignment horizontal="right" vertical="center"/>
    </xf>
    <xf numFmtId="175" fontId="6" fillId="23" borderId="43" xfId="59" applyNumberFormat="1" applyFont="1" applyFill="1" applyBorder="1" applyAlignment="1">
      <alignment horizontal="center" vertical="center"/>
    </xf>
    <xf numFmtId="175" fontId="6" fillId="23" borderId="46" xfId="59" applyNumberFormat="1" applyFont="1" applyFill="1" applyBorder="1" applyAlignment="1">
      <alignment horizontal="center" vertical="center"/>
    </xf>
    <xf numFmtId="175" fontId="72" fillId="23" borderId="46" xfId="59" applyNumberFormat="1" applyFont="1" applyFill="1" applyBorder="1" applyAlignment="1">
      <alignment horizontal="center" vertical="center"/>
    </xf>
    <xf numFmtId="0" fontId="28" fillId="19" borderId="0" xfId="52" applyFont="1" applyFill="1"/>
    <xf numFmtId="170" fontId="28" fillId="19" borderId="0" xfId="52" applyNumberFormat="1" applyFont="1" applyFill="1" applyAlignment="1">
      <alignment horizontal="center"/>
    </xf>
    <xf numFmtId="166" fontId="28" fillId="19" borderId="0" xfId="36" applyNumberFormat="1" applyFont="1" applyFill="1"/>
    <xf numFmtId="9" fontId="71" fillId="19" borderId="0" xfId="46" applyNumberFormat="1" applyFont="1" applyFill="1" applyBorder="1" applyAlignment="1">
      <alignment horizontal="left" vertical="center"/>
    </xf>
    <xf numFmtId="175" fontId="36" fillId="19" borderId="0" xfId="59" applyNumberFormat="1" applyFont="1" applyFill="1" applyBorder="1">
      <alignment horizontal="right" vertical="center"/>
    </xf>
    <xf numFmtId="9" fontId="71" fillId="19" borderId="0" xfId="46" quotePrefix="1" applyNumberFormat="1" applyFont="1" applyFill="1" applyBorder="1" applyAlignment="1">
      <alignment horizontal="left" vertical="center"/>
    </xf>
    <xf numFmtId="164" fontId="60" fillId="17" borderId="0" xfId="2" applyNumberFormat="1" applyFont="1" applyFill="1"/>
    <xf numFmtId="7" fontId="56" fillId="17" borderId="0" xfId="57" applyNumberFormat="1" applyFont="1" applyFill="1" applyAlignment="1">
      <alignment horizontal="right"/>
    </xf>
    <xf numFmtId="9" fontId="3" fillId="17" borderId="0" xfId="57" applyFont="1" applyFill="1" applyAlignment="1">
      <alignment horizontal="left" vertical="center"/>
    </xf>
    <xf numFmtId="184" fontId="54" fillId="17" borderId="0" xfId="2" applyNumberFormat="1" applyFont="1" applyFill="1" applyAlignment="1">
      <alignment horizontal="right"/>
    </xf>
    <xf numFmtId="217" fontId="56" fillId="17" borderId="0" xfId="35" applyNumberFormat="1" applyFont="1" applyFill="1" applyAlignment="1">
      <alignment horizontal="right"/>
    </xf>
    <xf numFmtId="219" fontId="39" fillId="17" borderId="19" xfId="35" applyNumberFormat="1" applyFont="1" applyFill="1" applyBorder="1" applyAlignment="1">
      <alignment horizontal="right"/>
    </xf>
    <xf numFmtId="171" fontId="39" fillId="17" borderId="0" xfId="35" applyNumberFormat="1" applyFont="1" applyFill="1" applyAlignment="1">
      <alignment horizontal="right"/>
    </xf>
    <xf numFmtId="10" fontId="40" fillId="17" borderId="19" xfId="57" applyNumberFormat="1" applyFont="1" applyFill="1" applyBorder="1" applyAlignment="1">
      <alignment horizontal="right"/>
    </xf>
    <xf numFmtId="9" fontId="54" fillId="17" borderId="0" xfId="57" applyFont="1" applyFill="1" applyAlignment="1">
      <alignment horizontal="right"/>
    </xf>
    <xf numFmtId="171" fontId="1" fillId="0" borderId="0" xfId="57" applyNumberFormat="1" applyBorder="1" applyAlignment="1">
      <alignment horizontal="right"/>
    </xf>
    <xf numFmtId="9" fontId="1" fillId="0" borderId="31" xfId="57" applyNumberFormat="1" applyBorder="1" applyAlignment="1">
      <alignment horizontal="right"/>
    </xf>
    <xf numFmtId="9" fontId="1" fillId="0" borderId="0" xfId="57" applyNumberFormat="1" applyBorder="1" applyAlignment="1">
      <alignment horizontal="right"/>
    </xf>
    <xf numFmtId="9" fontId="1" fillId="0" borderId="23" xfId="57" applyNumberFormat="1" applyBorder="1" applyAlignment="1">
      <alignment horizontal="right"/>
    </xf>
    <xf numFmtId="171" fontId="1" fillId="0" borderId="19" xfId="57" applyNumberFormat="1" applyBorder="1" applyAlignment="1">
      <alignment horizontal="right"/>
    </xf>
    <xf numFmtId="9" fontId="1" fillId="0" borderId="19" xfId="57" applyNumberFormat="1" applyBorder="1" applyAlignment="1">
      <alignment horizontal="right"/>
    </xf>
    <xf numFmtId="9" fontId="1" fillId="0" borderId="19" xfId="57" applyNumberFormat="1" applyFont="1" applyFill="1" applyBorder="1" applyAlignment="1">
      <alignment horizontal="right"/>
    </xf>
    <xf numFmtId="171" fontId="1" fillId="0" borderId="23" xfId="57" applyNumberFormat="1" applyBorder="1" applyAlignment="1">
      <alignment horizontal="right"/>
    </xf>
    <xf numFmtId="171" fontId="1" fillId="0" borderId="0" xfId="57" applyNumberFormat="1" applyAlignment="1">
      <alignment horizontal="right"/>
    </xf>
    <xf numFmtId="9" fontId="1" fillId="0" borderId="0" xfId="57" applyNumberFormat="1" applyAlignment="1">
      <alignment horizontal="right"/>
    </xf>
    <xf numFmtId="9" fontId="1" fillId="0" borderId="33" xfId="57" applyNumberFormat="1" applyBorder="1" applyAlignment="1">
      <alignment horizontal="right"/>
    </xf>
    <xf numFmtId="9" fontId="1" fillId="0" borderId="13" xfId="57" applyNumberFormat="1" applyBorder="1" applyAlignment="1">
      <alignment horizontal="right"/>
    </xf>
    <xf numFmtId="9" fontId="1" fillId="0" borderId="24" xfId="57" applyNumberFormat="1" applyBorder="1" applyAlignment="1">
      <alignment horizontal="right"/>
    </xf>
    <xf numFmtId="38" fontId="40" fillId="17" borderId="0" xfId="50" applyFont="1" applyFill="1" applyBorder="1"/>
    <xf numFmtId="5" fontId="39" fillId="17" borderId="0" xfId="57" applyNumberFormat="1" applyFont="1" applyFill="1" applyAlignment="1">
      <alignment horizontal="right"/>
    </xf>
    <xf numFmtId="4" fontId="56" fillId="17" borderId="0" xfId="2" applyNumberFormat="1" applyFont="1" applyFill="1"/>
    <xf numFmtId="221" fontId="40" fillId="17" borderId="13" xfId="37" applyNumberFormat="1" applyFont="1" applyFill="1" applyBorder="1" applyAlignment="1">
      <alignment horizontal="right"/>
    </xf>
    <xf numFmtId="9" fontId="39" fillId="17" borderId="14" xfId="57" applyFont="1" applyFill="1" applyBorder="1"/>
    <xf numFmtId="9" fontId="60" fillId="17" borderId="0" xfId="57" applyFont="1" applyFill="1"/>
    <xf numFmtId="197" fontId="60" fillId="17" borderId="0" xfId="35" applyNumberFormat="1" applyFont="1" applyFill="1"/>
    <xf numFmtId="1" fontId="40" fillId="17" borderId="47" xfId="2" applyNumberFormat="1" applyFont="1" applyFill="1" applyBorder="1" applyAlignment="1">
      <alignment horizontal="right"/>
    </xf>
    <xf numFmtId="1" fontId="40" fillId="17" borderId="24" xfId="2" applyNumberFormat="1" applyFont="1" applyFill="1" applyBorder="1" applyAlignment="1">
      <alignment horizontal="right"/>
    </xf>
    <xf numFmtId="5" fontId="40" fillId="17" borderId="36" xfId="2" applyNumberFormat="1" applyFont="1" applyFill="1" applyBorder="1"/>
    <xf numFmtId="5" fontId="40" fillId="17" borderId="23" xfId="2" applyNumberFormat="1" applyFont="1" applyFill="1" applyBorder="1"/>
    <xf numFmtId="171" fontId="39" fillId="17" borderId="36" xfId="57" applyNumberFormat="1" applyFont="1" applyFill="1" applyBorder="1"/>
    <xf numFmtId="9" fontId="39" fillId="17" borderId="36" xfId="57" applyFont="1" applyFill="1" applyBorder="1"/>
    <xf numFmtId="9" fontId="39" fillId="17" borderId="23" xfId="57" applyFont="1" applyFill="1" applyBorder="1"/>
    <xf numFmtId="37" fontId="39" fillId="17" borderId="36" xfId="2" applyNumberFormat="1" applyFont="1" applyFill="1" applyBorder="1"/>
    <xf numFmtId="37" fontId="39" fillId="17" borderId="23" xfId="2" applyNumberFormat="1" applyFont="1" applyFill="1" applyBorder="1"/>
    <xf numFmtId="166" fontId="39" fillId="17" borderId="36" xfId="2" applyNumberFormat="1" applyFont="1" applyFill="1" applyBorder="1"/>
    <xf numFmtId="166" fontId="39" fillId="17" borderId="23" xfId="2" applyNumberFormat="1" applyFont="1" applyFill="1" applyBorder="1"/>
    <xf numFmtId="171" fontId="39" fillId="17" borderId="23" xfId="57" applyNumberFormat="1" applyFont="1" applyFill="1" applyBorder="1"/>
    <xf numFmtId="5" fontId="39" fillId="17" borderId="36" xfId="2" applyNumberFormat="1" applyFont="1" applyFill="1" applyBorder="1"/>
    <xf numFmtId="5" fontId="39" fillId="17" borderId="23" xfId="2" applyNumberFormat="1" applyFont="1" applyFill="1" applyBorder="1"/>
    <xf numFmtId="0" fontId="39" fillId="17" borderId="36" xfId="2" applyFont="1" applyFill="1" applyBorder="1"/>
    <xf numFmtId="0" fontId="39" fillId="17" borderId="23" xfId="2" applyFont="1" applyFill="1" applyBorder="1"/>
    <xf numFmtId="171" fontId="39" fillId="17" borderId="36" xfId="57" applyNumberFormat="1" applyFont="1" applyFill="1" applyBorder="1" applyAlignment="1">
      <alignment horizontal="right"/>
    </xf>
    <xf numFmtId="171" fontId="39" fillId="17" borderId="23" xfId="57" applyNumberFormat="1" applyFont="1" applyFill="1" applyBorder="1" applyAlignment="1">
      <alignment horizontal="right"/>
    </xf>
    <xf numFmtId="171" fontId="40" fillId="17" borderId="36" xfId="57" applyNumberFormat="1" applyFont="1" applyFill="1" applyBorder="1" applyAlignment="1">
      <alignment horizontal="right"/>
    </xf>
    <xf numFmtId="171" fontId="40" fillId="17" borderId="23" xfId="57" applyNumberFormat="1" applyFont="1" applyFill="1" applyBorder="1" applyAlignment="1">
      <alignment horizontal="right"/>
    </xf>
    <xf numFmtId="166" fontId="40" fillId="17" borderId="36" xfId="2" applyNumberFormat="1" applyFont="1" applyFill="1" applyBorder="1" applyAlignment="1">
      <alignment horizontal="right"/>
    </xf>
    <xf numFmtId="166" fontId="40" fillId="17" borderId="23" xfId="2" applyNumberFormat="1" applyFont="1" applyFill="1" applyBorder="1" applyAlignment="1">
      <alignment horizontal="right"/>
    </xf>
    <xf numFmtId="7" fontId="40" fillId="17" borderId="48" xfId="2" applyNumberFormat="1" applyFont="1" applyFill="1" applyBorder="1" applyAlignment="1">
      <alignment horizontal="right"/>
    </xf>
    <xf numFmtId="7" fontId="40" fillId="17" borderId="35" xfId="2" applyNumberFormat="1" applyFont="1" applyFill="1" applyBorder="1" applyAlignment="1">
      <alignment horizontal="right"/>
    </xf>
    <xf numFmtId="164" fontId="40" fillId="17" borderId="36" xfId="2" applyNumberFormat="1" applyFont="1" applyFill="1" applyBorder="1" applyAlignment="1">
      <alignment horizontal="right"/>
    </xf>
    <xf numFmtId="164" fontId="40" fillId="17" borderId="23" xfId="2" applyNumberFormat="1" applyFont="1" applyFill="1" applyBorder="1" applyAlignment="1">
      <alignment horizontal="right"/>
    </xf>
    <xf numFmtId="7" fontId="39" fillId="17" borderId="48" xfId="2" applyNumberFormat="1" applyFont="1" applyFill="1" applyBorder="1" applyAlignment="1">
      <alignment horizontal="right"/>
    </xf>
    <xf numFmtId="7" fontId="39" fillId="17" borderId="35" xfId="2" applyNumberFormat="1" applyFont="1" applyFill="1" applyBorder="1" applyAlignment="1">
      <alignment horizontal="right"/>
    </xf>
    <xf numFmtId="7" fontId="39" fillId="17" borderId="36" xfId="2" applyNumberFormat="1" applyFont="1" applyFill="1" applyBorder="1"/>
    <xf numFmtId="7" fontId="39" fillId="17" borderId="23" xfId="2" applyNumberFormat="1" applyFont="1" applyFill="1" applyBorder="1"/>
    <xf numFmtId="164" fontId="39" fillId="17" borderId="36" xfId="2" applyNumberFormat="1" applyFont="1" applyFill="1" applyBorder="1" applyAlignment="1">
      <alignment horizontal="right"/>
    </xf>
    <xf numFmtId="164" fontId="39" fillId="17" borderId="23" xfId="2" applyNumberFormat="1" applyFont="1" applyFill="1" applyBorder="1" applyAlignment="1">
      <alignment horizontal="right"/>
    </xf>
    <xf numFmtId="166" fontId="39" fillId="17" borderId="38" xfId="2" applyNumberFormat="1" applyFont="1" applyFill="1" applyBorder="1"/>
    <xf numFmtId="166" fontId="39" fillId="17" borderId="49" xfId="2" applyNumberFormat="1" applyFont="1" applyFill="1" applyBorder="1"/>
    <xf numFmtId="0" fontId="47" fillId="17" borderId="19" xfId="2" applyFont="1" applyFill="1" applyBorder="1"/>
    <xf numFmtId="7" fontId="47" fillId="17" borderId="19" xfId="2" applyNumberFormat="1" applyFont="1" applyFill="1" applyBorder="1"/>
    <xf numFmtId="0" fontId="47" fillId="17" borderId="21" xfId="2" applyFont="1" applyFill="1" applyBorder="1"/>
    <xf numFmtId="0" fontId="47" fillId="17" borderId="20" xfId="2" applyFont="1" applyFill="1" applyBorder="1"/>
    <xf numFmtId="0" fontId="49" fillId="17" borderId="19" xfId="2" applyFont="1" applyFill="1" applyBorder="1"/>
    <xf numFmtId="0" fontId="39" fillId="17" borderId="20" xfId="2" applyFont="1" applyFill="1" applyBorder="1"/>
    <xf numFmtId="0" fontId="39" fillId="17" borderId="21" xfId="2" applyFont="1" applyFill="1" applyBorder="1"/>
    <xf numFmtId="165" fontId="39" fillId="17" borderId="19" xfId="2" applyNumberFormat="1" applyFont="1" applyFill="1" applyBorder="1" applyAlignment="1">
      <alignment horizontal="right"/>
    </xf>
    <xf numFmtId="165" fontId="39" fillId="17" borderId="19" xfId="2" quotePrefix="1" applyNumberFormat="1" applyFont="1" applyFill="1" applyBorder="1" applyAlignment="1">
      <alignment horizontal="right"/>
    </xf>
    <xf numFmtId="178" fontId="39" fillId="17" borderId="19" xfId="2" applyNumberFormat="1" applyFont="1" applyFill="1" applyBorder="1" applyAlignment="1">
      <alignment horizontal="right"/>
    </xf>
    <xf numFmtId="175" fontId="36" fillId="19" borderId="0" xfId="59" applyNumberFormat="1" applyFont="1" applyFill="1" applyBorder="1" applyAlignment="1">
      <alignment horizontal="centerContinuous" vertical="center"/>
    </xf>
    <xf numFmtId="0" fontId="0" fillId="19" borderId="23" xfId="2" applyFont="1" applyFill="1" applyBorder="1" applyAlignment="1">
      <alignment horizontal="centerContinuous"/>
    </xf>
    <xf numFmtId="175" fontId="6" fillId="19" borderId="31" xfId="59" applyNumberFormat="1" applyFont="1" applyFill="1" applyBorder="1" applyAlignment="1">
      <alignment horizontal="centerContinuous" vertical="center"/>
    </xf>
    <xf numFmtId="175" fontId="6" fillId="19" borderId="0" xfId="59" applyNumberFormat="1" applyFont="1" applyFill="1" applyBorder="1" applyAlignment="1">
      <alignment horizontal="centerContinuous" vertical="center"/>
    </xf>
    <xf numFmtId="175" fontId="6" fillId="19" borderId="23" xfId="59" applyNumberFormat="1" applyFont="1" applyFill="1" applyBorder="1" applyAlignment="1">
      <alignment horizontal="centerContinuous" vertical="center"/>
    </xf>
    <xf numFmtId="175" fontId="6" fillId="22" borderId="0" xfId="59" applyNumberFormat="1" applyFont="1" applyFill="1" applyBorder="1" applyAlignment="1">
      <alignment horizontal="centerContinuous" vertical="center"/>
    </xf>
    <xf numFmtId="220" fontId="0" fillId="0" borderId="0" xfId="35" applyNumberFormat="1" applyFont="1"/>
    <xf numFmtId="9" fontId="36" fillId="17" borderId="44" xfId="57" applyFont="1" applyFill="1" applyBorder="1" applyAlignment="1">
      <alignment horizontal="center" vertical="center"/>
    </xf>
    <xf numFmtId="9" fontId="39" fillId="17" borderId="0" xfId="57" applyFont="1" applyFill="1" applyBorder="1" applyAlignment="1">
      <alignment horizontal="right"/>
    </xf>
    <xf numFmtId="184" fontId="54" fillId="17" borderId="0" xfId="2" applyNumberFormat="1" applyFont="1" applyFill="1" applyBorder="1" applyAlignment="1">
      <alignment horizontal="right"/>
    </xf>
    <xf numFmtId="10" fontId="56" fillId="17" borderId="0" xfId="57" applyNumberFormat="1" applyFont="1" applyFill="1" applyBorder="1" applyAlignment="1">
      <alignment horizontal="right"/>
    </xf>
    <xf numFmtId="164" fontId="40" fillId="17" borderId="0" xfId="2" applyNumberFormat="1" applyFont="1" applyFill="1" applyBorder="1"/>
    <xf numFmtId="220" fontId="11" fillId="17" borderId="19" xfId="35" applyNumberFormat="1" applyFont="1" applyFill="1" applyBorder="1"/>
    <xf numFmtId="166" fontId="4" fillId="21" borderId="0" xfId="2" applyNumberFormat="1" applyFont="1" applyFill="1"/>
    <xf numFmtId="166" fontId="39" fillId="17" borderId="20" xfId="49" applyNumberFormat="1" applyFont="1" applyFill="1" applyBorder="1"/>
    <xf numFmtId="37" fontId="39" fillId="17" borderId="19" xfId="57" applyNumberFormat="1" applyFont="1" applyFill="1" applyBorder="1" applyAlignment="1">
      <alignment horizontal="center"/>
    </xf>
    <xf numFmtId="41" fontId="39" fillId="17" borderId="19" xfId="49" applyNumberFormat="1" applyFont="1" applyFill="1" applyBorder="1"/>
    <xf numFmtId="7" fontId="39" fillId="17" borderId="19" xfId="49" applyNumberFormat="1" applyFont="1" applyFill="1" applyBorder="1"/>
    <xf numFmtId="210" fontId="39" fillId="17" borderId="0" xfId="50" applyNumberFormat="1" applyFont="1" applyFill="1"/>
    <xf numFmtId="9" fontId="40" fillId="17" borderId="14" xfId="57" applyFont="1" applyFill="1" applyBorder="1"/>
    <xf numFmtId="5" fontId="40" fillId="17" borderId="51" xfId="50" applyNumberFormat="1" applyFont="1" applyFill="1" applyBorder="1"/>
    <xf numFmtId="5" fontId="39" fillId="17" borderId="51" xfId="50" applyNumberFormat="1" applyFont="1" applyFill="1" applyBorder="1"/>
    <xf numFmtId="9" fontId="39" fillId="24" borderId="14" xfId="50" applyNumberFormat="1" applyFont="1" applyFill="1" applyBorder="1"/>
    <xf numFmtId="9" fontId="39" fillId="24" borderId="0" xfId="50" applyNumberFormat="1" applyFont="1" applyFill="1" applyBorder="1"/>
    <xf numFmtId="38" fontId="2" fillId="17" borderId="0" xfId="50" applyFont="1" applyFill="1"/>
    <xf numFmtId="38" fontId="103" fillId="17" borderId="0" xfId="50" applyFont="1" applyFill="1"/>
    <xf numFmtId="38" fontId="104" fillId="17" borderId="0" xfId="50" applyFont="1" applyFill="1"/>
    <xf numFmtId="9" fontId="2" fillId="17" borderId="0" xfId="57" applyFont="1" applyFill="1"/>
    <xf numFmtId="38" fontId="105" fillId="17" borderId="0" xfId="50" applyFont="1" applyFill="1"/>
    <xf numFmtId="38" fontId="105" fillId="17" borderId="0" xfId="50" applyFont="1" applyFill="1" applyBorder="1"/>
    <xf numFmtId="217" fontId="105" fillId="17" borderId="0" xfId="35" applyNumberFormat="1" applyFont="1" applyFill="1"/>
    <xf numFmtId="0" fontId="101" fillId="17" borderId="0" xfId="2" applyFont="1" applyFill="1"/>
    <xf numFmtId="38" fontId="2" fillId="17" borderId="0" xfId="50" applyFont="1" applyFill="1" applyBorder="1"/>
    <xf numFmtId="38" fontId="103" fillId="17" borderId="0" xfId="50" applyFont="1" applyFill="1" applyBorder="1"/>
    <xf numFmtId="38" fontId="104" fillId="17" borderId="0" xfId="50" applyFont="1" applyFill="1" applyBorder="1"/>
    <xf numFmtId="9" fontId="2" fillId="17" borderId="0" xfId="57" applyFont="1" applyFill="1" applyBorder="1"/>
    <xf numFmtId="38" fontId="103" fillId="0" borderId="0" xfId="50" applyFont="1" applyFill="1" applyBorder="1"/>
    <xf numFmtId="9" fontId="105" fillId="17" borderId="0" xfId="57" applyFont="1" applyFill="1" applyBorder="1"/>
    <xf numFmtId="40" fontId="105" fillId="17" borderId="0" xfId="50" applyNumberFormat="1" applyFont="1" applyFill="1" applyBorder="1"/>
    <xf numFmtId="38" fontId="2" fillId="0" borderId="0" xfId="50" applyFont="1" applyFill="1" applyBorder="1"/>
    <xf numFmtId="38" fontId="104" fillId="0" borderId="0" xfId="50" applyFont="1" applyFill="1" applyBorder="1"/>
    <xf numFmtId="5" fontId="101" fillId="0" borderId="0" xfId="2" applyNumberFormat="1" applyFont="1"/>
    <xf numFmtId="171" fontId="105" fillId="17" borderId="0" xfId="57" applyNumberFormat="1" applyFont="1" applyFill="1" applyBorder="1"/>
    <xf numFmtId="0" fontId="106" fillId="0" borderId="0" xfId="2" applyFont="1"/>
    <xf numFmtId="0" fontId="106" fillId="17" borderId="0" xfId="2" applyFont="1" applyFill="1"/>
    <xf numFmtId="0" fontId="107" fillId="17" borderId="0" xfId="2" applyFont="1" applyFill="1"/>
    <xf numFmtId="0" fontId="107" fillId="0" borderId="0" xfId="2" applyFont="1"/>
    <xf numFmtId="0" fontId="39" fillId="0" borderId="0" xfId="2" applyFont="1"/>
    <xf numFmtId="0" fontId="40" fillId="0" borderId="0" xfId="2" applyFont="1"/>
    <xf numFmtId="0" fontId="40" fillId="17" borderId="12" xfId="2" applyFont="1" applyFill="1" applyBorder="1"/>
    <xf numFmtId="0" fontId="49" fillId="0" borderId="0" xfId="2" applyFont="1"/>
    <xf numFmtId="0" fontId="40" fillId="0" borderId="12" xfId="2" applyFont="1" applyBorder="1"/>
    <xf numFmtId="0" fontId="39" fillId="0" borderId="0" xfId="2" applyFont="1" applyBorder="1"/>
    <xf numFmtId="0" fontId="39" fillId="0" borderId="13" xfId="2" applyFont="1" applyBorder="1"/>
    <xf numFmtId="0" fontId="40" fillId="17" borderId="11" xfId="2" applyFont="1" applyFill="1" applyBorder="1"/>
    <xf numFmtId="0" fontId="40" fillId="0" borderId="11" xfId="2" applyFont="1" applyBorder="1"/>
    <xf numFmtId="0" fontId="39" fillId="0" borderId="28" xfId="2" applyFont="1" applyBorder="1"/>
    <xf numFmtId="0" fontId="40" fillId="0" borderId="0" xfId="2" applyFont="1" applyBorder="1"/>
    <xf numFmtId="0" fontId="40" fillId="0" borderId="13" xfId="2" applyFont="1" applyBorder="1"/>
    <xf numFmtId="10" fontId="105" fillId="17" borderId="0" xfId="57" applyNumberFormat="1" applyFont="1" applyFill="1" applyBorder="1"/>
    <xf numFmtId="5" fontId="105" fillId="17" borderId="0" xfId="35" applyNumberFormat="1" applyFont="1" applyFill="1"/>
    <xf numFmtId="9" fontId="105" fillId="17" borderId="0" xfId="57" applyFont="1" applyFill="1"/>
    <xf numFmtId="220" fontId="105" fillId="17" borderId="0" xfId="35" applyNumberFormat="1" applyFont="1" applyFill="1"/>
    <xf numFmtId="5" fontId="105" fillId="17" borderId="0" xfId="57" applyNumberFormat="1" applyFont="1" applyFill="1" applyBorder="1"/>
    <xf numFmtId="0" fontId="40" fillId="0" borderId="17" xfId="2" applyFont="1" applyBorder="1"/>
    <xf numFmtId="9" fontId="40" fillId="17" borderId="17" xfId="57" applyFont="1" applyFill="1" applyBorder="1"/>
    <xf numFmtId="0" fontId="40" fillId="17" borderId="17" xfId="2" applyFont="1" applyFill="1" applyBorder="1"/>
    <xf numFmtId="9" fontId="40" fillId="17" borderId="57" xfId="57" applyFont="1" applyFill="1" applyBorder="1"/>
    <xf numFmtId="9" fontId="39" fillId="17" borderId="17" xfId="57" applyFont="1" applyFill="1" applyBorder="1"/>
    <xf numFmtId="9" fontId="39" fillId="17" borderId="57" xfId="50" applyNumberFormat="1" applyFont="1" applyFill="1" applyBorder="1"/>
    <xf numFmtId="9" fontId="39" fillId="17" borderId="25" xfId="50" applyNumberFormat="1" applyFont="1" applyFill="1" applyBorder="1"/>
    <xf numFmtId="0" fontId="39" fillId="0" borderId="11" xfId="2" applyFont="1" applyBorder="1"/>
    <xf numFmtId="9" fontId="39" fillId="17" borderId="54" xfId="50" applyNumberFormat="1" applyFont="1" applyFill="1" applyBorder="1"/>
    <xf numFmtId="3" fontId="39" fillId="17" borderId="11" xfId="2" applyNumberFormat="1" applyFont="1" applyFill="1" applyBorder="1"/>
    <xf numFmtId="5" fontId="39" fillId="17" borderId="54" xfId="50" applyNumberFormat="1" applyFont="1" applyFill="1" applyBorder="1"/>
    <xf numFmtId="199" fontId="39" fillId="17" borderId="11" xfId="2" applyNumberFormat="1" applyFont="1" applyFill="1" applyBorder="1"/>
    <xf numFmtId="199" fontId="39" fillId="17" borderId="54" xfId="50" applyNumberFormat="1" applyFont="1" applyFill="1" applyBorder="1"/>
    <xf numFmtId="197" fontId="39" fillId="17" borderId="54" xfId="35" applyNumberFormat="1" applyFont="1" applyFill="1" applyBorder="1"/>
    <xf numFmtId="197" fontId="39" fillId="17" borderId="58" xfId="35" applyNumberFormat="1" applyFont="1" applyFill="1" applyBorder="1"/>
    <xf numFmtId="9" fontId="40" fillId="17" borderId="59" xfId="50" applyNumberFormat="1" applyFont="1" applyFill="1" applyBorder="1"/>
    <xf numFmtId="9" fontId="39" fillId="17" borderId="60" xfId="50" applyNumberFormat="1" applyFont="1" applyFill="1" applyBorder="1"/>
    <xf numFmtId="9" fontId="40" fillId="17" borderId="42" xfId="50" applyNumberFormat="1" applyFont="1" applyFill="1" applyBorder="1"/>
    <xf numFmtId="9" fontId="40" fillId="17" borderId="61" xfId="57" applyFont="1" applyFill="1" applyBorder="1"/>
    <xf numFmtId="9" fontId="39" fillId="17" borderId="42" xfId="50" applyNumberFormat="1" applyFont="1" applyFill="1" applyBorder="1"/>
    <xf numFmtId="5" fontId="39" fillId="17" borderId="61" xfId="50" applyNumberFormat="1" applyFont="1" applyFill="1" applyBorder="1"/>
    <xf numFmtId="9" fontId="40" fillId="17" borderId="62" xfId="50" applyNumberFormat="1" applyFont="1" applyFill="1" applyBorder="1"/>
    <xf numFmtId="0" fontId="40" fillId="0" borderId="63" xfId="2" applyFont="1" applyBorder="1"/>
    <xf numFmtId="9" fontId="40" fillId="17" borderId="63" xfId="57" applyFont="1" applyFill="1" applyBorder="1"/>
    <xf numFmtId="0" fontId="40" fillId="17" borderId="63" xfId="2" applyFont="1" applyFill="1" applyBorder="1"/>
    <xf numFmtId="9" fontId="40" fillId="17" borderId="64" xfId="57" applyFont="1" applyFill="1" applyBorder="1"/>
    <xf numFmtId="9" fontId="40" fillId="17" borderId="63" xfId="2" applyNumberFormat="1" applyFont="1" applyFill="1" applyBorder="1"/>
    <xf numFmtId="5" fontId="40" fillId="17" borderId="63" xfId="50" applyNumberFormat="1" applyFont="1" applyFill="1" applyBorder="1"/>
    <xf numFmtId="0" fontId="39" fillId="17" borderId="63" xfId="2" applyFont="1" applyFill="1" applyBorder="1"/>
    <xf numFmtId="9" fontId="40" fillId="17" borderId="65" xfId="57" applyFont="1" applyFill="1" applyBorder="1"/>
    <xf numFmtId="38" fontId="40" fillId="0" borderId="0" xfId="50" applyFont="1" applyFill="1" applyBorder="1"/>
    <xf numFmtId="0" fontId="30" fillId="21" borderId="45" xfId="2" applyFont="1" applyFill="1" applyBorder="1"/>
    <xf numFmtId="5" fontId="0" fillId="21" borderId="43" xfId="2" applyNumberFormat="1" applyFont="1" applyFill="1" applyBorder="1"/>
    <xf numFmtId="0" fontId="0" fillId="21" borderId="43" xfId="2" applyFont="1" applyFill="1" applyBorder="1"/>
    <xf numFmtId="0" fontId="0" fillId="21" borderId="66" xfId="2" applyFont="1" applyFill="1" applyBorder="1"/>
    <xf numFmtId="0" fontId="0" fillId="25" borderId="0" xfId="0" applyFill="1"/>
    <xf numFmtId="7" fontId="0" fillId="0" borderId="0" xfId="0" applyNumberFormat="1"/>
    <xf numFmtId="43" fontId="105" fillId="17" borderId="0" xfId="35" applyFont="1" applyFill="1"/>
    <xf numFmtId="0" fontId="101" fillId="25" borderId="0" xfId="2" applyFont="1" applyFill="1"/>
    <xf numFmtId="199" fontId="36" fillId="17" borderId="0" xfId="2" applyNumberFormat="1" applyFont="1" applyFill="1"/>
    <xf numFmtId="0" fontId="36" fillId="26" borderId="12" xfId="2" applyFont="1" applyFill="1" applyBorder="1"/>
    <xf numFmtId="0" fontId="36" fillId="25" borderId="0" xfId="2" applyFont="1" applyFill="1"/>
    <xf numFmtId="0" fontId="39" fillId="25" borderId="0" xfId="2" applyFont="1" applyFill="1"/>
    <xf numFmtId="0" fontId="36" fillId="25" borderId="17" xfId="2" applyFont="1" applyFill="1" applyBorder="1"/>
    <xf numFmtId="9" fontId="36" fillId="17" borderId="17" xfId="57" applyFont="1" applyFill="1" applyBorder="1"/>
    <xf numFmtId="0" fontId="36" fillId="26" borderId="0" xfId="2" applyFont="1" applyFill="1" applyBorder="1"/>
    <xf numFmtId="0" fontId="36" fillId="25" borderId="0" xfId="2" applyFont="1" applyFill="1" applyBorder="1"/>
    <xf numFmtId="0" fontId="6" fillId="26" borderId="0" xfId="2" applyFont="1" applyFill="1" applyBorder="1"/>
    <xf numFmtId="0" fontId="6" fillId="26" borderId="12" xfId="2" applyFont="1" applyFill="1" applyBorder="1"/>
    <xf numFmtId="5" fontId="111" fillId="25" borderId="19" xfId="2" applyNumberFormat="1" applyFont="1" applyFill="1" applyBorder="1"/>
    <xf numFmtId="5" fontId="111" fillId="25" borderId="0" xfId="2" applyNumberFormat="1" applyFont="1" applyFill="1"/>
    <xf numFmtId="5" fontId="0" fillId="25" borderId="0" xfId="0" applyNumberFormat="1" applyFill="1"/>
    <xf numFmtId="7" fontId="0" fillId="25" borderId="0" xfId="0" applyNumberFormat="1" applyFill="1"/>
    <xf numFmtId="0" fontId="0" fillId="25" borderId="0" xfId="0" applyFill="1" applyBorder="1"/>
    <xf numFmtId="0" fontId="31" fillId="25" borderId="0" xfId="0" applyFont="1" applyFill="1"/>
    <xf numFmtId="0" fontId="83" fillId="27" borderId="0" xfId="2" applyFont="1" applyFill="1"/>
    <xf numFmtId="9" fontId="30" fillId="25" borderId="0" xfId="57" applyFont="1" applyFill="1" applyAlignment="1">
      <alignment horizontal="center"/>
    </xf>
    <xf numFmtId="5" fontId="0" fillId="21" borderId="66" xfId="2" applyNumberFormat="1" applyFont="1" applyFill="1" applyBorder="1"/>
    <xf numFmtId="0" fontId="0" fillId="25" borderId="19" xfId="0" applyFill="1" applyBorder="1"/>
    <xf numFmtId="5" fontId="0" fillId="25" borderId="19" xfId="0" applyNumberFormat="1" applyFill="1" applyBorder="1"/>
    <xf numFmtId="0" fontId="30" fillId="25" borderId="0" xfId="0" applyFont="1" applyFill="1"/>
    <xf numFmtId="5" fontId="31" fillId="25" borderId="19" xfId="2" applyNumberFormat="1" applyFont="1" applyFill="1" applyBorder="1"/>
    <xf numFmtId="0" fontId="30" fillId="25" borderId="34" xfId="0" applyFont="1" applyFill="1" applyBorder="1"/>
    <xf numFmtId="5" fontId="30" fillId="25" borderId="18" xfId="2" applyNumberFormat="1" applyFont="1" applyFill="1" applyBorder="1"/>
    <xf numFmtId="5" fontId="30" fillId="25" borderId="17" xfId="2" applyNumberFormat="1" applyFont="1" applyFill="1" applyBorder="1"/>
    <xf numFmtId="0" fontId="31" fillId="25" borderId="0" xfId="2" applyFont="1" applyFill="1" applyBorder="1" applyAlignment="1">
      <alignment horizontal="left" indent="1"/>
    </xf>
    <xf numFmtId="5" fontId="83" fillId="27" borderId="0" xfId="2" applyNumberFormat="1" applyFont="1" applyFill="1" applyBorder="1"/>
    <xf numFmtId="49" fontId="30" fillId="25" borderId="13" xfId="2" applyNumberFormat="1" applyFont="1" applyFill="1" applyBorder="1" applyAlignment="1">
      <alignment horizontal="center"/>
    </xf>
    <xf numFmtId="5" fontId="30" fillId="25" borderId="0" xfId="0" applyNumberFormat="1" applyFont="1" applyFill="1" applyAlignment="1">
      <alignment horizontal="center"/>
    </xf>
    <xf numFmtId="3" fontId="31" fillId="25" borderId="0" xfId="2" applyNumberFormat="1" applyFont="1" applyFill="1" applyBorder="1" applyAlignment="1">
      <alignment horizontal="left" indent="1"/>
    </xf>
    <xf numFmtId="3" fontId="31" fillId="25" borderId="0" xfId="0" applyNumberFormat="1" applyFont="1" applyFill="1"/>
    <xf numFmtId="0" fontId="83" fillId="25" borderId="0" xfId="0" applyFont="1" applyFill="1"/>
    <xf numFmtId="49" fontId="77" fillId="20" borderId="24" xfId="2" applyNumberFormat="1" applyFont="1" applyFill="1" applyBorder="1" applyAlignment="1">
      <alignment horizontal="right"/>
    </xf>
    <xf numFmtId="182" fontId="31" fillId="25" borderId="19" xfId="2" applyNumberFormat="1" applyFont="1" applyFill="1" applyBorder="1"/>
    <xf numFmtId="182" fontId="31" fillId="25" borderId="0" xfId="2" applyNumberFormat="1" applyFont="1" applyFill="1" applyBorder="1"/>
    <xf numFmtId="182" fontId="31" fillId="25" borderId="0" xfId="57" applyNumberFormat="1" applyFont="1" applyFill="1" applyBorder="1"/>
    <xf numFmtId="3" fontId="30" fillId="25" borderId="0" xfId="0" applyNumberFormat="1" applyFont="1" applyFill="1"/>
    <xf numFmtId="3" fontId="30" fillId="25" borderId="0" xfId="2" applyNumberFormat="1" applyFont="1" applyFill="1" applyBorder="1" applyAlignment="1">
      <alignment horizontal="left" indent="1"/>
    </xf>
    <xf numFmtId="182" fontId="30" fillId="25" borderId="19" xfId="2" applyNumberFormat="1" applyFont="1" applyFill="1" applyBorder="1"/>
    <xf numFmtId="182" fontId="30" fillId="25" borderId="0" xfId="2" applyNumberFormat="1" applyFont="1" applyFill="1" applyBorder="1"/>
    <xf numFmtId="182" fontId="30" fillId="25" borderId="0" xfId="57" applyNumberFormat="1" applyFont="1" applyFill="1" applyBorder="1"/>
    <xf numFmtId="0" fontId="83" fillId="27" borderId="0" xfId="2" applyFont="1" applyFill="1" applyBorder="1" applyAlignment="1">
      <alignment horizontal="left" indent="2"/>
    </xf>
    <xf numFmtId="0" fontId="83" fillId="27" borderId="19" xfId="2" applyFont="1" applyFill="1" applyBorder="1"/>
    <xf numFmtId="0" fontId="83" fillId="27" borderId="0" xfId="2" applyFont="1" applyFill="1" applyBorder="1"/>
    <xf numFmtId="171" fontId="83" fillId="27" borderId="19" xfId="57" applyNumberFormat="1" applyFont="1" applyFill="1" applyBorder="1"/>
    <xf numFmtId="171" fontId="83" fillId="27" borderId="0" xfId="57" applyNumberFormat="1" applyFont="1" applyFill="1" applyBorder="1"/>
    <xf numFmtId="49" fontId="30" fillId="25" borderId="0" xfId="2" applyNumberFormat="1" applyFont="1" applyFill="1" applyBorder="1" applyAlignment="1">
      <alignment horizontal="center"/>
    </xf>
    <xf numFmtId="5" fontId="30" fillId="25" borderId="0" xfId="0" applyNumberFormat="1" applyFont="1" applyFill="1" applyBorder="1" applyAlignment="1">
      <alignment horizontal="center"/>
    </xf>
    <xf numFmtId="43" fontId="83" fillId="25" borderId="0" xfId="35" applyFont="1" applyFill="1"/>
    <xf numFmtId="9" fontId="83" fillId="27" borderId="0" xfId="57" applyFont="1" applyFill="1" applyBorder="1"/>
    <xf numFmtId="9" fontId="83" fillId="27" borderId="19" xfId="57" applyFont="1" applyFill="1" applyBorder="1"/>
    <xf numFmtId="9" fontId="83" fillId="25" borderId="0" xfId="57" applyFont="1" applyFill="1"/>
    <xf numFmtId="182" fontId="31" fillId="25" borderId="0" xfId="2" applyNumberFormat="1" applyFont="1" applyFill="1" applyBorder="1" applyAlignment="1">
      <alignment horizontal="left" indent="1"/>
    </xf>
    <xf numFmtId="182" fontId="111" fillId="25" borderId="0" xfId="2" applyNumberFormat="1" applyFont="1" applyFill="1" applyBorder="1"/>
    <xf numFmtId="182" fontId="111" fillId="25" borderId="19" xfId="2" applyNumberFormat="1" applyFont="1" applyFill="1" applyBorder="1"/>
    <xf numFmtId="182" fontId="0" fillId="25" borderId="0" xfId="0" applyNumberFormat="1" applyFill="1"/>
    <xf numFmtId="5" fontId="115" fillId="25" borderId="0" xfId="2" applyNumberFormat="1" applyFont="1" applyFill="1" applyBorder="1"/>
    <xf numFmtId="5" fontId="115" fillId="25" borderId="19" xfId="2" applyNumberFormat="1" applyFont="1" applyFill="1" applyBorder="1"/>
    <xf numFmtId="0" fontId="115" fillId="25" borderId="0" xfId="0" applyFont="1" applyFill="1"/>
    <xf numFmtId="0" fontId="116" fillId="28" borderId="13" xfId="2" applyFont="1" applyFill="1" applyBorder="1"/>
    <xf numFmtId="0" fontId="117" fillId="28" borderId="13" xfId="2" applyFont="1" applyFill="1" applyBorder="1"/>
    <xf numFmtId="0" fontId="117" fillId="28" borderId="20" xfId="2" applyFont="1" applyFill="1" applyBorder="1"/>
    <xf numFmtId="5" fontId="117" fillId="28" borderId="13" xfId="2" applyNumberFormat="1" applyFont="1" applyFill="1" applyBorder="1"/>
    <xf numFmtId="5" fontId="117" fillId="28" borderId="13" xfId="57" applyNumberFormat="1" applyFont="1" applyFill="1" applyBorder="1"/>
    <xf numFmtId="199" fontId="31" fillId="25" borderId="0" xfId="2" applyNumberFormat="1" applyFont="1" applyFill="1" applyBorder="1" applyAlignment="1">
      <alignment horizontal="left" indent="1"/>
    </xf>
    <xf numFmtId="199" fontId="115" fillId="25" borderId="0" xfId="2" applyNumberFormat="1" applyFont="1" applyFill="1" applyBorder="1"/>
    <xf numFmtId="199" fontId="115" fillId="25" borderId="19" xfId="2" applyNumberFormat="1" applyFont="1" applyFill="1" applyBorder="1"/>
    <xf numFmtId="199" fontId="31" fillId="25" borderId="19" xfId="2" applyNumberFormat="1" applyFont="1" applyFill="1" applyBorder="1"/>
    <xf numFmtId="199" fontId="31" fillId="25" borderId="0" xfId="0" applyNumberFormat="1" applyFont="1" applyFill="1"/>
    <xf numFmtId="199" fontId="31" fillId="25" borderId="0" xfId="2" applyNumberFormat="1" applyFont="1" applyFill="1" applyBorder="1"/>
    <xf numFmtId="171" fontId="118" fillId="27" borderId="0" xfId="57" applyNumberFormat="1" applyFont="1" applyFill="1" applyBorder="1"/>
    <xf numFmtId="0" fontId="31" fillId="25" borderId="34" xfId="0" applyFont="1" applyFill="1" applyBorder="1"/>
    <xf numFmtId="5" fontId="31" fillId="25" borderId="17" xfId="2" applyNumberFormat="1" applyFont="1" applyFill="1" applyBorder="1"/>
    <xf numFmtId="5" fontId="31" fillId="25" borderId="18" xfId="2" applyNumberFormat="1" applyFont="1" applyFill="1" applyBorder="1"/>
    <xf numFmtId="0" fontId="83" fillId="25" borderId="0" xfId="2" applyFont="1" applyFill="1" applyBorder="1" applyAlignment="1">
      <alignment horizontal="left" indent="2"/>
    </xf>
    <xf numFmtId="0" fontId="83" fillId="25" borderId="0" xfId="2" applyFont="1" applyFill="1" applyBorder="1"/>
    <xf numFmtId="0" fontId="83" fillId="25" borderId="19" xfId="2" applyFont="1" applyFill="1" applyBorder="1"/>
    <xf numFmtId="5" fontId="83" fillId="25" borderId="0" xfId="2" applyNumberFormat="1" applyFont="1" applyFill="1" applyBorder="1"/>
    <xf numFmtId="171" fontId="83" fillId="25" borderId="19" xfId="57" applyNumberFormat="1" applyFont="1" applyFill="1" applyBorder="1"/>
    <xf numFmtId="171" fontId="83" fillId="25" borderId="0" xfId="57" applyNumberFormat="1" applyFont="1" applyFill="1" applyBorder="1"/>
    <xf numFmtId="9" fontId="83" fillId="25" borderId="0" xfId="57" applyFont="1" applyFill="1" applyBorder="1"/>
    <xf numFmtId="9" fontId="30" fillId="25" borderId="0" xfId="57" applyFont="1" applyFill="1"/>
    <xf numFmtId="43" fontId="83" fillId="25" borderId="0" xfId="35" applyFont="1" applyFill="1" applyBorder="1"/>
    <xf numFmtId="43" fontId="83" fillId="25" borderId="19" xfId="35" applyFont="1" applyFill="1" applyBorder="1"/>
    <xf numFmtId="197" fontId="83" fillId="25" borderId="19" xfId="35" applyNumberFormat="1" applyFont="1" applyFill="1" applyBorder="1"/>
    <xf numFmtId="197" fontId="83" fillId="25" borderId="0" xfId="35" applyNumberFormat="1" applyFont="1" applyFill="1" applyBorder="1"/>
    <xf numFmtId="9" fontId="83" fillId="25" borderId="0" xfId="57" applyFont="1" applyFill="1" applyBorder="1" applyAlignment="1">
      <alignment horizontal="left" indent="2"/>
    </xf>
    <xf numFmtId="9" fontId="83" fillId="25" borderId="19" xfId="57" applyFont="1" applyFill="1" applyBorder="1"/>
    <xf numFmtId="197" fontId="118" fillId="25" borderId="0" xfId="35" applyNumberFormat="1" applyFont="1" applyFill="1" applyBorder="1"/>
    <xf numFmtId="9" fontId="118" fillId="25" borderId="19" xfId="57" applyFont="1" applyFill="1" applyBorder="1"/>
    <xf numFmtId="9" fontId="118" fillId="25" borderId="0" xfId="57" applyFont="1" applyFill="1" applyBorder="1"/>
    <xf numFmtId="197" fontId="83" fillId="25" borderId="23" xfId="35" applyNumberFormat="1" applyFont="1" applyFill="1" applyBorder="1"/>
    <xf numFmtId="43" fontId="112" fillId="25" borderId="0" xfId="35" applyFont="1" applyFill="1" applyBorder="1"/>
    <xf numFmtId="43" fontId="112" fillId="25" borderId="19" xfId="35" applyFont="1" applyFill="1" applyBorder="1"/>
    <xf numFmtId="197" fontId="119" fillId="25" borderId="19" xfId="35" applyNumberFormat="1" applyFont="1" applyFill="1" applyBorder="1"/>
    <xf numFmtId="197" fontId="119" fillId="25" borderId="0" xfId="35" applyNumberFormat="1" applyFont="1" applyFill="1" applyBorder="1"/>
    <xf numFmtId="197" fontId="112" fillId="25" borderId="0" xfId="35" applyNumberFormat="1" applyFont="1" applyFill="1" applyBorder="1"/>
    <xf numFmtId="197" fontId="112" fillId="25" borderId="19" xfId="35" applyNumberFormat="1" applyFont="1" applyFill="1" applyBorder="1"/>
    <xf numFmtId="43" fontId="112" fillId="25" borderId="0" xfId="35" applyFont="1" applyFill="1"/>
    <xf numFmtId="182" fontId="30" fillId="25" borderId="34" xfId="0" applyNumberFormat="1" applyFont="1" applyFill="1" applyBorder="1"/>
    <xf numFmtId="182" fontId="30" fillId="25" borderId="17" xfId="2" applyNumberFormat="1" applyFont="1" applyFill="1" applyBorder="1"/>
    <xf numFmtId="182" fontId="30" fillId="25" borderId="18" xfId="2" applyNumberFormat="1" applyFont="1" applyFill="1" applyBorder="1"/>
    <xf numFmtId="182" fontId="30" fillId="25" borderId="0" xfId="0" applyNumberFormat="1" applyFont="1" applyFill="1"/>
    <xf numFmtId="0" fontId="30" fillId="25" borderId="0" xfId="0" applyFont="1" applyFill="1" applyBorder="1"/>
    <xf numFmtId="0" fontId="30" fillId="25" borderId="19" xfId="0" applyFont="1" applyFill="1" applyBorder="1"/>
    <xf numFmtId="7" fontId="30" fillId="25" borderId="0" xfId="0" applyNumberFormat="1" applyFont="1" applyFill="1"/>
    <xf numFmtId="210" fontId="30" fillId="25" borderId="19" xfId="0" applyNumberFormat="1" applyFont="1" applyFill="1" applyBorder="1"/>
    <xf numFmtId="3" fontId="30" fillId="25" borderId="17" xfId="2" applyNumberFormat="1" applyFont="1" applyFill="1" applyBorder="1" applyAlignment="1">
      <alignment horizontal="left" indent="1"/>
    </xf>
    <xf numFmtId="182" fontId="30" fillId="25" borderId="17" xfId="57" applyNumberFormat="1" applyFont="1" applyFill="1" applyBorder="1"/>
    <xf numFmtId="43" fontId="83" fillId="25" borderId="23" xfId="35" applyFont="1" applyFill="1" applyBorder="1"/>
    <xf numFmtId="210" fontId="30" fillId="25" borderId="0" xfId="0" applyNumberFormat="1" applyFont="1" applyFill="1"/>
    <xf numFmtId="49" fontId="30" fillId="25" borderId="20" xfId="2" applyNumberFormat="1" applyFont="1" applyFill="1" applyBorder="1" applyAlignment="1">
      <alignment horizontal="center"/>
    </xf>
    <xf numFmtId="49" fontId="77" fillId="20" borderId="20" xfId="2" quotePrefix="1" applyNumberFormat="1" applyFont="1" applyFill="1" applyBorder="1" applyAlignment="1">
      <alignment horizontal="right"/>
    </xf>
    <xf numFmtId="7" fontId="0" fillId="25" borderId="0" xfId="0" applyNumberFormat="1" applyFill="1" applyBorder="1"/>
    <xf numFmtId="43" fontId="83" fillId="27" borderId="0" xfId="35" applyFont="1" applyFill="1" applyBorder="1"/>
    <xf numFmtId="199" fontId="36" fillId="25" borderId="0" xfId="2" applyNumberFormat="1" applyFont="1" applyFill="1"/>
    <xf numFmtId="38" fontId="39" fillId="17" borderId="23" xfId="50" applyFont="1" applyFill="1" applyBorder="1"/>
    <xf numFmtId="171" fontId="40" fillId="17" borderId="0" xfId="57" applyNumberFormat="1" applyFont="1" applyFill="1" applyAlignment="1">
      <alignment horizontal="right"/>
    </xf>
    <xf numFmtId="9" fontId="40" fillId="17" borderId="0" xfId="57" applyFont="1" applyFill="1" applyAlignment="1">
      <alignment horizontal="right"/>
    </xf>
    <xf numFmtId="0" fontId="47" fillId="17" borderId="0" xfId="2" applyFont="1" applyFill="1" applyBorder="1" applyAlignment="1">
      <alignment horizontal="right"/>
    </xf>
    <xf numFmtId="0" fontId="31" fillId="17" borderId="0" xfId="2" applyFont="1" applyFill="1"/>
    <xf numFmtId="167" fontId="39" fillId="17" borderId="19" xfId="2" applyNumberFormat="1" applyFont="1" applyFill="1" applyBorder="1" applyAlignment="1">
      <alignment horizontal="right"/>
    </xf>
    <xf numFmtId="5" fontId="121" fillId="17" borderId="0" xfId="2" applyNumberFormat="1" applyFont="1" applyFill="1" applyAlignment="1">
      <alignment horizontal="right"/>
    </xf>
    <xf numFmtId="5" fontId="120" fillId="17" borderId="0" xfId="2" applyNumberFormat="1" applyFont="1" applyFill="1" applyAlignment="1">
      <alignment horizontal="right"/>
    </xf>
    <xf numFmtId="5" fontId="120" fillId="17" borderId="19" xfId="2" applyNumberFormat="1" applyFont="1" applyFill="1" applyBorder="1" applyAlignment="1">
      <alignment horizontal="right"/>
    </xf>
    <xf numFmtId="166" fontId="120" fillId="17" borderId="0" xfId="2" applyNumberFormat="1" applyFont="1" applyFill="1" applyAlignment="1">
      <alignment horizontal="right"/>
    </xf>
    <xf numFmtId="166" fontId="120" fillId="17" borderId="0" xfId="2" applyNumberFormat="1" applyFont="1" applyFill="1" applyBorder="1" applyAlignment="1">
      <alignment horizontal="right"/>
    </xf>
    <xf numFmtId="166" fontId="120" fillId="17" borderId="19" xfId="2" applyNumberFormat="1" applyFont="1" applyFill="1" applyBorder="1" applyAlignment="1">
      <alignment horizontal="right"/>
    </xf>
    <xf numFmtId="166" fontId="120" fillId="17" borderId="9" xfId="2" applyNumberFormat="1" applyFont="1" applyFill="1" applyBorder="1" applyAlignment="1">
      <alignment horizontal="right"/>
    </xf>
    <xf numFmtId="168" fontId="121" fillId="17" borderId="0" xfId="2" applyNumberFormat="1" applyFont="1" applyFill="1" applyAlignment="1">
      <alignment horizontal="right"/>
    </xf>
    <xf numFmtId="169" fontId="3" fillId="17" borderId="0" xfId="2" applyNumberFormat="1" applyFont="1" applyFill="1" applyBorder="1"/>
    <xf numFmtId="9" fontId="3" fillId="17" borderId="0" xfId="2" applyNumberFormat="1" applyFont="1" applyFill="1"/>
    <xf numFmtId="166" fontId="3" fillId="17" borderId="0" xfId="2" applyNumberFormat="1" applyFont="1" applyFill="1" applyAlignment="1">
      <alignment horizontal="right"/>
    </xf>
    <xf numFmtId="169" fontId="3" fillId="17" borderId="0" xfId="2" applyNumberFormat="1" applyFont="1" applyFill="1"/>
    <xf numFmtId="49" fontId="121" fillId="17" borderId="20" xfId="2" applyNumberFormat="1" applyFont="1" applyFill="1" applyBorder="1" applyAlignment="1">
      <alignment horizontal="center"/>
    </xf>
    <xf numFmtId="164" fontId="120" fillId="17" borderId="0" xfId="2" applyNumberFormat="1" applyFont="1" applyFill="1"/>
    <xf numFmtId="166" fontId="120" fillId="17" borderId="0" xfId="2" applyNumberFormat="1" applyFont="1" applyFill="1"/>
    <xf numFmtId="166" fontId="120" fillId="17" borderId="0" xfId="2" applyNumberFormat="1" applyFont="1" applyFill="1" applyBorder="1"/>
    <xf numFmtId="171" fontId="120" fillId="17" borderId="0" xfId="57" applyNumberFormat="1" applyFont="1" applyFill="1" applyBorder="1"/>
    <xf numFmtId="164" fontId="120" fillId="17" borderId="0" xfId="2" applyNumberFormat="1" applyFont="1" applyFill="1" applyBorder="1"/>
    <xf numFmtId="165" fontId="120" fillId="17" borderId="0" xfId="2" applyNumberFormat="1" applyFont="1" applyFill="1"/>
    <xf numFmtId="171" fontId="31" fillId="17" borderId="0" xfId="57" applyNumberFormat="1" applyFont="1" applyFill="1"/>
    <xf numFmtId="220" fontId="31" fillId="17" borderId="0" xfId="35" applyNumberFormat="1" applyFont="1" applyFill="1"/>
    <xf numFmtId="164" fontId="120" fillId="17" borderId="0" xfId="2" applyNumberFormat="1" applyFont="1" applyFill="1" applyAlignment="1">
      <alignment horizontal="right"/>
    </xf>
    <xf numFmtId="166" fontId="120" fillId="17" borderId="19" xfId="2" applyNumberFormat="1" applyFont="1" applyFill="1" applyBorder="1"/>
    <xf numFmtId="4" fontId="31" fillId="17" borderId="0" xfId="2" applyNumberFormat="1" applyFont="1" applyFill="1"/>
    <xf numFmtId="5" fontId="121" fillId="17" borderId="0" xfId="50" applyNumberFormat="1" applyFont="1" applyFill="1"/>
    <xf numFmtId="9" fontId="120" fillId="17" borderId="0" xfId="50" applyNumberFormat="1" applyFont="1" applyFill="1"/>
    <xf numFmtId="176" fontId="121" fillId="18" borderId="13" xfId="2" applyNumberFormat="1" applyFont="1" applyFill="1" applyBorder="1" applyAlignment="1">
      <alignment horizontal="center"/>
    </xf>
    <xf numFmtId="5" fontId="121" fillId="17" borderId="13" xfId="50" applyNumberFormat="1" applyFont="1" applyFill="1" applyBorder="1"/>
    <xf numFmtId="38" fontId="120" fillId="17" borderId="0" xfId="50" applyFont="1" applyFill="1"/>
    <xf numFmtId="5" fontId="120" fillId="23" borderId="12" xfId="50" applyNumberFormat="1" applyFont="1" applyFill="1" applyBorder="1"/>
    <xf numFmtId="9" fontId="120" fillId="23" borderId="0" xfId="50" applyNumberFormat="1" applyFont="1" applyFill="1"/>
    <xf numFmtId="6" fontId="120" fillId="17" borderId="0" xfId="50" applyNumberFormat="1" applyFont="1" applyFill="1" applyBorder="1"/>
    <xf numFmtId="6" fontId="120" fillId="17" borderId="0" xfId="50" applyNumberFormat="1" applyFont="1" applyFill="1"/>
    <xf numFmtId="5" fontId="120" fillId="17" borderId="0" xfId="50" applyNumberFormat="1" applyFont="1" applyFill="1"/>
    <xf numFmtId="5" fontId="120" fillId="17" borderId="12" xfId="50" applyNumberFormat="1" applyFont="1" applyFill="1" applyBorder="1"/>
    <xf numFmtId="9" fontId="120" fillId="17" borderId="13" xfId="50" applyNumberFormat="1" applyFont="1" applyFill="1" applyBorder="1"/>
    <xf numFmtId="0" fontId="121" fillId="18" borderId="17" xfId="2" applyFont="1" applyFill="1" applyBorder="1" applyAlignment="1">
      <alignment horizontal="center"/>
    </xf>
    <xf numFmtId="0" fontId="121" fillId="18" borderId="18" xfId="2" applyFont="1" applyFill="1" applyBorder="1" applyAlignment="1">
      <alignment horizontal="center"/>
    </xf>
    <xf numFmtId="176" fontId="121" fillId="18" borderId="20" xfId="2" applyNumberFormat="1" applyFont="1" applyFill="1" applyBorder="1" applyAlignment="1">
      <alignment horizontal="center"/>
    </xf>
    <xf numFmtId="0" fontId="121" fillId="17" borderId="39" xfId="2" applyFont="1" applyFill="1" applyBorder="1" applyAlignment="1">
      <alignment horizontal="right"/>
    </xf>
    <xf numFmtId="0" fontId="121" fillId="17" borderId="40" xfId="2" applyFont="1" applyFill="1" applyBorder="1" applyAlignment="1">
      <alignment horizontal="right"/>
    </xf>
    <xf numFmtId="176" fontId="121" fillId="17" borderId="13" xfId="2" applyNumberFormat="1" applyFont="1" applyFill="1" applyBorder="1" applyAlignment="1">
      <alignment horizontal="right"/>
    </xf>
    <xf numFmtId="49" fontId="121" fillId="17" borderId="20" xfId="2" applyNumberFormat="1" applyFont="1" applyFill="1" applyBorder="1" applyAlignment="1">
      <alignment horizontal="right"/>
    </xf>
    <xf numFmtId="0" fontId="121" fillId="17" borderId="22" xfId="2" applyFont="1" applyFill="1" applyBorder="1" applyAlignment="1">
      <alignment horizontal="center"/>
    </xf>
    <xf numFmtId="1" fontId="121" fillId="17" borderId="24" xfId="2" applyNumberFormat="1" applyFont="1" applyFill="1" applyBorder="1" applyAlignment="1">
      <alignment horizontal="right"/>
    </xf>
    <xf numFmtId="0" fontId="121" fillId="17" borderId="12" xfId="2" applyFont="1" applyFill="1" applyBorder="1" applyAlignment="1">
      <alignment horizontal="center"/>
    </xf>
    <xf numFmtId="0" fontId="121" fillId="17" borderId="21" xfId="2" applyFont="1" applyFill="1" applyBorder="1" applyAlignment="1">
      <alignment horizontal="center"/>
    </xf>
    <xf numFmtId="176" fontId="121" fillId="17" borderId="13" xfId="2" applyNumberFormat="1" applyFont="1" applyFill="1" applyBorder="1" applyAlignment="1">
      <alignment horizontal="center"/>
    </xf>
    <xf numFmtId="176" fontId="121" fillId="17" borderId="20" xfId="2" applyNumberFormat="1" applyFont="1" applyFill="1" applyBorder="1" applyAlignment="1">
      <alignment horizontal="center"/>
    </xf>
    <xf numFmtId="49" fontId="121" fillId="17" borderId="21" xfId="2" applyNumberFormat="1" applyFont="1" applyFill="1" applyBorder="1" applyAlignment="1">
      <alignment horizontal="center"/>
    </xf>
    <xf numFmtId="165" fontId="121" fillId="17" borderId="20" xfId="2" applyNumberFormat="1" applyFont="1" applyFill="1" applyBorder="1" applyAlignment="1">
      <alignment horizontal="right"/>
    </xf>
    <xf numFmtId="164" fontId="0" fillId="17" borderId="0" xfId="2" applyNumberFormat="1" applyFont="1" applyFill="1"/>
    <xf numFmtId="7" fontId="39" fillId="17" borderId="0" xfId="57" applyNumberFormat="1" applyFont="1" applyFill="1" applyAlignment="1">
      <alignment horizontal="right"/>
    </xf>
    <xf numFmtId="171" fontId="36" fillId="25" borderId="0" xfId="57" applyNumberFormat="1" applyFont="1" applyFill="1" applyBorder="1"/>
    <xf numFmtId="5" fontId="117" fillId="28" borderId="0" xfId="57" applyNumberFormat="1" applyFont="1" applyFill="1" applyBorder="1"/>
    <xf numFmtId="5" fontId="39" fillId="17" borderId="0" xfId="2" applyNumberFormat="1" applyFont="1" applyFill="1" applyBorder="1" applyAlignment="1">
      <alignment horizontal="right"/>
    </xf>
    <xf numFmtId="171" fontId="36" fillId="17" borderId="17" xfId="57" applyNumberFormat="1" applyFont="1" applyFill="1" applyBorder="1"/>
    <xf numFmtId="49" fontId="40" fillId="17" borderId="20" xfId="2" quotePrefix="1" applyNumberFormat="1" applyFont="1" applyFill="1" applyBorder="1" applyAlignment="1">
      <alignment horizontal="center"/>
    </xf>
    <xf numFmtId="171" fontId="0" fillId="25" borderId="0" xfId="57" applyNumberFormat="1" applyFont="1" applyFill="1"/>
    <xf numFmtId="220" fontId="0" fillId="25" borderId="0" xfId="0" applyNumberFormat="1" applyFill="1"/>
    <xf numFmtId="220" fontId="113" fillId="25" borderId="0" xfId="35" applyNumberFormat="1" applyFont="1" applyFill="1" applyBorder="1"/>
    <xf numFmtId="5" fontId="113" fillId="25" borderId="0" xfId="57" applyNumberFormat="1" applyFont="1" applyFill="1" applyBorder="1"/>
    <xf numFmtId="0" fontId="1" fillId="25" borderId="0" xfId="0" applyFont="1" applyFill="1"/>
    <xf numFmtId="0" fontId="1" fillId="25" borderId="0" xfId="2" applyFont="1" applyFill="1"/>
    <xf numFmtId="5" fontId="30" fillId="25" borderId="0" xfId="0" applyNumberFormat="1" applyFont="1" applyFill="1" applyBorder="1"/>
    <xf numFmtId="5" fontId="0" fillId="25" borderId="0" xfId="0" applyNumberFormat="1" applyFill="1" applyBorder="1"/>
    <xf numFmtId="0" fontId="1" fillId="25" borderId="0" xfId="0" applyFont="1" applyFill="1" applyBorder="1"/>
    <xf numFmtId="43" fontId="39" fillId="17" borderId="0" xfId="35" applyNumberFormat="1" applyFont="1" applyFill="1" applyAlignment="1">
      <alignment horizontal="right"/>
    </xf>
    <xf numFmtId="5" fontId="1" fillId="0" borderId="0" xfId="0" applyNumberFormat="1" applyFont="1"/>
    <xf numFmtId="5" fontId="0" fillId="0" borderId="0" xfId="0" applyNumberFormat="1"/>
    <xf numFmtId="0" fontId="39" fillId="25" borderId="0" xfId="0" applyFont="1" applyFill="1"/>
    <xf numFmtId="187" fontId="39" fillId="17" borderId="0" xfId="57" applyNumberFormat="1" applyFont="1" applyFill="1" applyAlignment="1">
      <alignment horizontal="right"/>
    </xf>
    <xf numFmtId="7" fontId="39" fillId="17" borderId="0" xfId="2" applyNumberFormat="1" applyFont="1" applyFill="1" applyBorder="1" applyAlignment="1">
      <alignment horizontal="right"/>
    </xf>
    <xf numFmtId="5" fontId="122" fillId="17" borderId="23" xfId="2" applyNumberFormat="1" applyFont="1" applyFill="1" applyBorder="1"/>
    <xf numFmtId="5" fontId="39" fillId="0" borderId="23" xfId="2" applyNumberFormat="1" applyFont="1" applyFill="1" applyBorder="1"/>
    <xf numFmtId="0" fontId="32" fillId="20" borderId="0" xfId="2" applyFont="1" applyFill="1" applyBorder="1" applyAlignment="1">
      <alignment horizontal="right"/>
    </xf>
    <xf numFmtId="171" fontId="1" fillId="17" borderId="0" xfId="57" applyNumberFormat="1" applyFont="1" applyFill="1"/>
    <xf numFmtId="5" fontId="1" fillId="25" borderId="0" xfId="2" applyNumberFormat="1" applyFont="1" applyFill="1"/>
    <xf numFmtId="5" fontId="1" fillId="25" borderId="19" xfId="2" applyNumberFormat="1" applyFont="1" applyFill="1" applyBorder="1"/>
    <xf numFmtId="182" fontId="1" fillId="25" borderId="0" xfId="2" applyNumberFormat="1" applyFont="1" applyFill="1" applyBorder="1"/>
    <xf numFmtId="182" fontId="1" fillId="25" borderId="19" xfId="2" applyNumberFormat="1" applyFont="1" applyFill="1" applyBorder="1"/>
    <xf numFmtId="199" fontId="1" fillId="25" borderId="19" xfId="2" applyNumberFormat="1" applyFont="1" applyFill="1" applyBorder="1"/>
    <xf numFmtId="5" fontId="1" fillId="25" borderId="17" xfId="2" applyNumberFormat="1" applyFont="1" applyFill="1" applyBorder="1"/>
    <xf numFmtId="5" fontId="1" fillId="25" borderId="18" xfId="2" applyNumberFormat="1" applyFont="1" applyFill="1" applyBorder="1"/>
    <xf numFmtId="199" fontId="1" fillId="25" borderId="0" xfId="2" applyNumberFormat="1" applyFont="1" applyFill="1" applyBorder="1"/>
    <xf numFmtId="182" fontId="1" fillId="25" borderId="0" xfId="57" applyNumberFormat="1" applyFont="1" applyFill="1" applyBorder="1"/>
    <xf numFmtId="0" fontId="5" fillId="17" borderId="12" xfId="2" applyFont="1" applyFill="1" applyBorder="1" applyAlignment="1">
      <alignment horizontal="center"/>
    </xf>
    <xf numFmtId="0" fontId="5" fillId="17" borderId="21" xfId="2" applyFont="1" applyFill="1" applyBorder="1" applyAlignment="1">
      <alignment horizontal="center"/>
    </xf>
    <xf numFmtId="0" fontId="3" fillId="17" borderId="19" xfId="2" applyFont="1" applyFill="1" applyBorder="1"/>
    <xf numFmtId="166" fontId="3" fillId="17" borderId="0" xfId="2" applyNumberFormat="1" applyFont="1" applyFill="1"/>
    <xf numFmtId="166" fontId="3" fillId="17" borderId="19" xfId="2" applyNumberFormat="1" applyFont="1" applyFill="1" applyBorder="1"/>
    <xf numFmtId="0" fontId="3" fillId="17" borderId="13" xfId="2" applyFont="1" applyFill="1" applyBorder="1"/>
    <xf numFmtId="0" fontId="3" fillId="17" borderId="20" xfId="2" applyFont="1" applyFill="1" applyBorder="1"/>
    <xf numFmtId="165" fontId="3" fillId="17" borderId="0" xfId="2" applyNumberFormat="1" applyFont="1" applyFill="1"/>
    <xf numFmtId="165" fontId="3" fillId="17" borderId="19" xfId="2" applyNumberFormat="1" applyFont="1" applyFill="1" applyBorder="1"/>
    <xf numFmtId="165" fontId="8" fillId="17" borderId="0" xfId="2" applyNumberFormat="1" applyFont="1" applyFill="1"/>
    <xf numFmtId="165" fontId="8" fillId="17" borderId="19" xfId="2" applyNumberFormat="1" applyFont="1" applyFill="1" applyBorder="1"/>
    <xf numFmtId="164" fontId="18" fillId="17" borderId="20" xfId="2" applyNumberFormat="1" applyFont="1" applyFill="1" applyBorder="1"/>
    <xf numFmtId="37" fontId="11" fillId="17" borderId="0" xfId="2" applyNumberFormat="1" applyFont="1" applyFill="1" applyAlignment="1">
      <alignment horizontal="center"/>
    </xf>
    <xf numFmtId="164" fontId="3" fillId="17" borderId="0" xfId="2" applyNumberFormat="1" applyFont="1" applyFill="1"/>
    <xf numFmtId="164" fontId="3" fillId="17" borderId="19" xfId="2" applyNumberFormat="1" applyFont="1" applyFill="1" applyBorder="1"/>
    <xf numFmtId="167" fontId="8" fillId="17" borderId="0" xfId="2" applyNumberFormat="1" applyFont="1" applyFill="1"/>
    <xf numFmtId="167" fontId="8" fillId="17" borderId="19" xfId="2" applyNumberFormat="1" applyFont="1" applyFill="1" applyBorder="1"/>
    <xf numFmtId="166" fontId="3" fillId="17" borderId="0" xfId="2" applyNumberFormat="1" applyFont="1" applyFill="1" applyBorder="1"/>
    <xf numFmtId="167" fontId="3" fillId="17" borderId="0" xfId="2" applyNumberFormat="1" applyFont="1" applyFill="1"/>
    <xf numFmtId="167" fontId="3" fillId="17" borderId="19" xfId="2" applyNumberFormat="1" applyFont="1" applyFill="1" applyBorder="1"/>
    <xf numFmtId="164" fontId="8" fillId="17" borderId="0" xfId="2" applyNumberFormat="1" applyFont="1" applyFill="1"/>
    <xf numFmtId="164" fontId="8" fillId="17" borderId="19" xfId="2" applyNumberFormat="1" applyFont="1" applyFill="1" applyBorder="1"/>
    <xf numFmtId="166" fontId="8" fillId="17" borderId="0" xfId="2" applyNumberFormat="1" applyFont="1" applyFill="1" applyBorder="1"/>
    <xf numFmtId="49" fontId="77" fillId="20" borderId="20" xfId="2" applyNumberFormat="1" applyFont="1" applyFill="1" applyBorder="1" applyAlignment="1">
      <alignment horizontal="right"/>
    </xf>
    <xf numFmtId="171" fontId="40" fillId="17" borderId="0" xfId="57" applyNumberFormat="1" applyFont="1" applyFill="1" applyBorder="1" applyAlignment="1">
      <alignment horizontal="right"/>
    </xf>
    <xf numFmtId="5" fontId="0" fillId="0" borderId="31" xfId="2" applyNumberFormat="1" applyFont="1" applyFill="1" applyBorder="1" applyAlignment="1">
      <alignment horizontal="right"/>
    </xf>
    <xf numFmtId="171" fontId="1" fillId="25" borderId="0" xfId="2" applyNumberFormat="1" applyFont="1" applyFill="1" applyBorder="1" applyAlignment="1">
      <alignment horizontal="right"/>
    </xf>
    <xf numFmtId="164" fontId="39" fillId="17" borderId="12" xfId="2" applyNumberFormat="1" applyFont="1" applyFill="1" applyBorder="1" applyAlignment="1"/>
    <xf numFmtId="164" fontId="39" fillId="17" borderId="21" xfId="2" applyNumberFormat="1" applyFont="1" applyFill="1" applyBorder="1" applyAlignment="1"/>
    <xf numFmtId="164" fontId="39" fillId="17" borderId="0" xfId="2" applyNumberFormat="1" applyFont="1" applyFill="1" applyBorder="1" applyAlignment="1"/>
    <xf numFmtId="164" fontId="39" fillId="17" borderId="19" xfId="2" applyNumberFormat="1" applyFont="1" applyFill="1" applyBorder="1" applyAlignment="1"/>
    <xf numFmtId="168" fontId="39" fillId="17" borderId="13" xfId="2" applyNumberFormat="1" applyFont="1" applyFill="1" applyBorder="1" applyAlignment="1"/>
    <xf numFmtId="168" fontId="39" fillId="17" borderId="20" xfId="2" applyNumberFormat="1" applyFont="1" applyFill="1" applyBorder="1" applyAlignment="1"/>
    <xf numFmtId="0" fontId="1" fillId="0" borderId="0" xfId="69"/>
    <xf numFmtId="171" fontId="30" fillId="25" borderId="0" xfId="57" applyNumberFormat="1" applyFont="1" applyFill="1"/>
    <xf numFmtId="16" fontId="3" fillId="17" borderId="0" xfId="66" applyNumberFormat="1" applyFont="1" applyFill="1">
      <alignment horizontal="left" vertical="center"/>
    </xf>
    <xf numFmtId="0" fontId="0" fillId="0" borderId="0" xfId="0" applyFill="1" applyBorder="1"/>
    <xf numFmtId="7" fontId="0" fillId="0" borderId="0" xfId="2" applyNumberFormat="1" applyFont="1" applyFill="1" applyBorder="1"/>
    <xf numFmtId="9" fontId="1" fillId="25" borderId="0" xfId="57" applyFont="1" applyFill="1"/>
    <xf numFmtId="5" fontId="105" fillId="17" borderId="0" xfId="35" applyNumberFormat="1" applyFont="1" applyFill="1" applyBorder="1"/>
    <xf numFmtId="199" fontId="39" fillId="17" borderId="0" xfId="2" applyNumberFormat="1" applyFont="1" applyFill="1" applyBorder="1"/>
    <xf numFmtId="199" fontId="39" fillId="17" borderId="0" xfId="50" applyNumberFormat="1" applyFont="1" applyFill="1" applyBorder="1"/>
    <xf numFmtId="199" fontId="120" fillId="17" borderId="0" xfId="2" applyNumberFormat="1" applyFont="1" applyFill="1" applyBorder="1"/>
    <xf numFmtId="0" fontId="1" fillId="0" borderId="0" xfId="0" applyFont="1"/>
    <xf numFmtId="166" fontId="4" fillId="0" borderId="0" xfId="2" applyNumberFormat="1" applyFont="1" applyFill="1"/>
    <xf numFmtId="178" fontId="45" fillId="0" borderId="0" xfId="2" applyNumberFormat="1" applyFont="1" applyFill="1" applyAlignment="1">
      <alignment horizontal="right"/>
    </xf>
    <xf numFmtId="171" fontId="1" fillId="0" borderId="19" xfId="57" applyNumberFormat="1" applyFont="1" applyFill="1" applyBorder="1" applyAlignment="1">
      <alignment horizontal="right"/>
    </xf>
    <xf numFmtId="1" fontId="40" fillId="17" borderId="0" xfId="37" applyNumberFormat="1" applyFont="1" applyFill="1" applyBorder="1" applyAlignment="1">
      <alignment horizontal="right"/>
    </xf>
    <xf numFmtId="17" fontId="40" fillId="17" borderId="0" xfId="50" quotePrefix="1" applyNumberFormat="1" applyFont="1" applyFill="1" applyBorder="1" applyAlignment="1">
      <alignment horizontal="right"/>
    </xf>
    <xf numFmtId="195" fontId="52" fillId="17" borderId="0" xfId="50" quotePrefix="1" applyNumberFormat="1" applyFont="1" applyFill="1" applyBorder="1" applyAlignment="1">
      <alignment horizontal="right"/>
    </xf>
    <xf numFmtId="0" fontId="52" fillId="0" borderId="0" xfId="37" applyNumberFormat="1" applyFont="1" applyFill="1" applyBorder="1" applyAlignment="1">
      <alignment horizontal="right"/>
    </xf>
    <xf numFmtId="17" fontId="52" fillId="17" borderId="0" xfId="50" quotePrefix="1" applyNumberFormat="1" applyFont="1" applyFill="1" applyBorder="1" applyAlignment="1">
      <alignment horizontal="right"/>
    </xf>
    <xf numFmtId="38" fontId="40" fillId="17" borderId="0" xfId="50" applyFont="1" applyFill="1" applyBorder="1" applyAlignment="1">
      <alignment horizontal="right"/>
    </xf>
    <xf numFmtId="212" fontId="40" fillId="17" borderId="0" xfId="50" applyNumberFormat="1" applyFont="1" applyFill="1" applyBorder="1" applyAlignment="1">
      <alignment horizontal="right"/>
    </xf>
    <xf numFmtId="193" fontId="40" fillId="17" borderId="0" xfId="50" quotePrefix="1" applyNumberFormat="1" applyFont="1" applyFill="1" applyBorder="1" applyAlignment="1">
      <alignment horizontal="right"/>
    </xf>
    <xf numFmtId="193" fontId="54" fillId="17" borderId="0" xfId="50" quotePrefix="1" applyNumberFormat="1" applyFont="1" applyFill="1" applyBorder="1" applyAlignment="1">
      <alignment horizontal="right"/>
    </xf>
    <xf numFmtId="38" fontId="6" fillId="29" borderId="23" xfId="50" applyFont="1" applyFill="1" applyBorder="1"/>
    <xf numFmtId="1" fontId="6" fillId="29" borderId="0" xfId="37" applyNumberFormat="1" applyFont="1" applyFill="1" applyBorder="1" applyAlignment="1">
      <alignment horizontal="right"/>
    </xf>
    <xf numFmtId="17" fontId="6" fillId="29" borderId="0" xfId="50" quotePrefix="1" applyNumberFormat="1" applyFont="1" applyFill="1" applyBorder="1" applyAlignment="1">
      <alignment horizontal="right"/>
    </xf>
    <xf numFmtId="195" fontId="123" fillId="29" borderId="0" xfId="50" quotePrefix="1" applyNumberFormat="1" applyFont="1" applyFill="1" applyBorder="1" applyAlignment="1">
      <alignment horizontal="right"/>
    </xf>
    <xf numFmtId="0" fontId="123" fillId="29" borderId="0" xfId="37" applyNumberFormat="1" applyFont="1" applyFill="1" applyBorder="1" applyAlignment="1">
      <alignment horizontal="right"/>
    </xf>
    <xf numFmtId="17" fontId="123" fillId="29" borderId="0" xfId="50" quotePrefix="1" applyNumberFormat="1" applyFont="1" applyFill="1" applyBorder="1" applyAlignment="1">
      <alignment horizontal="right"/>
    </xf>
    <xf numFmtId="38" fontId="6" fillId="29" borderId="0" xfId="50" applyFont="1" applyFill="1" applyBorder="1" applyAlignment="1">
      <alignment horizontal="right"/>
    </xf>
    <xf numFmtId="212" fontId="6" fillId="29" borderId="0" xfId="50" applyNumberFormat="1" applyFont="1" applyFill="1" applyBorder="1" applyAlignment="1">
      <alignment horizontal="right"/>
    </xf>
    <xf numFmtId="193" fontId="6" fillId="29" borderId="0" xfId="50" quotePrefix="1" applyNumberFormat="1" applyFont="1" applyFill="1" applyBorder="1" applyAlignment="1">
      <alignment horizontal="right"/>
    </xf>
    <xf numFmtId="193" fontId="124" fillId="29" borderId="0" xfId="50" quotePrefix="1" applyNumberFormat="1" applyFont="1" applyFill="1" applyBorder="1" applyAlignment="1">
      <alignment horizontal="right"/>
    </xf>
    <xf numFmtId="38" fontId="36" fillId="29" borderId="0" xfId="50" applyFont="1" applyFill="1" applyBorder="1"/>
    <xf numFmtId="221" fontId="6" fillId="29" borderId="0" xfId="37" applyNumberFormat="1" applyFont="1" applyFill="1" applyBorder="1" applyAlignment="1">
      <alignment horizontal="right"/>
    </xf>
    <xf numFmtId="194" fontId="124" fillId="29" borderId="0" xfId="37" applyNumberFormat="1" applyFont="1" applyFill="1" applyBorder="1" applyAlignment="1">
      <alignment horizontal="right"/>
    </xf>
    <xf numFmtId="1" fontId="6" fillId="28" borderId="0" xfId="37" applyNumberFormat="1" applyFont="1" applyFill="1" applyBorder="1" applyAlignment="1">
      <alignment horizontal="right"/>
    </xf>
    <xf numFmtId="17" fontId="6" fillId="28" borderId="0" xfId="50" quotePrefix="1" applyNumberFormat="1" applyFont="1" applyFill="1" applyBorder="1" applyAlignment="1">
      <alignment horizontal="right"/>
    </xf>
    <xf numFmtId="195" fontId="123" fillId="28" borderId="0" xfId="50" quotePrefix="1" applyNumberFormat="1" applyFont="1" applyFill="1" applyBorder="1" applyAlignment="1">
      <alignment horizontal="right"/>
    </xf>
    <xf numFmtId="0" fontId="123" fillId="28" borderId="0" xfId="37" applyNumberFormat="1" applyFont="1" applyFill="1" applyBorder="1" applyAlignment="1">
      <alignment horizontal="right"/>
    </xf>
    <xf numFmtId="17" fontId="123" fillId="28" borderId="0" xfId="50" quotePrefix="1" applyNumberFormat="1" applyFont="1" applyFill="1" applyBorder="1" applyAlignment="1">
      <alignment horizontal="right"/>
    </xf>
    <xf numFmtId="38" fontId="6" fillId="28" borderId="0" xfId="50" applyFont="1" applyFill="1" applyBorder="1" applyAlignment="1">
      <alignment horizontal="right"/>
    </xf>
    <xf numFmtId="212" fontId="6" fillId="28" borderId="0" xfId="50" applyNumberFormat="1" applyFont="1" applyFill="1" applyBorder="1" applyAlignment="1">
      <alignment horizontal="right"/>
    </xf>
    <xf numFmtId="193" fontId="6" fillId="28" borderId="0" xfId="50" quotePrefix="1" applyNumberFormat="1" applyFont="1" applyFill="1" applyBorder="1" applyAlignment="1">
      <alignment horizontal="right"/>
    </xf>
    <xf numFmtId="193" fontId="124" fillId="28" borderId="0" xfId="50" quotePrefix="1" applyNumberFormat="1" applyFont="1" applyFill="1" applyBorder="1" applyAlignment="1">
      <alignment horizontal="right"/>
    </xf>
    <xf numFmtId="38" fontId="36" fillId="28" borderId="0" xfId="50" applyFont="1" applyFill="1" applyBorder="1"/>
    <xf numFmtId="9" fontId="36" fillId="17" borderId="23" xfId="50" applyNumberFormat="1" applyFont="1" applyFill="1" applyBorder="1"/>
    <xf numFmtId="0" fontId="36" fillId="0" borderId="0" xfId="2" applyFont="1"/>
    <xf numFmtId="5" fontId="6" fillId="17" borderId="14" xfId="50" applyNumberFormat="1" applyFont="1" applyFill="1" applyBorder="1"/>
    <xf numFmtId="0" fontId="36" fillId="17" borderId="0" xfId="2" applyFont="1" applyFill="1"/>
    <xf numFmtId="5" fontId="125" fillId="17" borderId="0" xfId="2" applyNumberFormat="1" applyFont="1" applyFill="1"/>
    <xf numFmtId="199" fontId="125" fillId="17" borderId="0" xfId="2" applyNumberFormat="1" applyFont="1" applyFill="1"/>
    <xf numFmtId="9" fontId="76" fillId="17" borderId="23" xfId="50" applyNumberFormat="1" applyFont="1" applyFill="1" applyBorder="1"/>
    <xf numFmtId="1" fontId="6" fillId="17" borderId="0" xfId="37" applyNumberFormat="1" applyFont="1" applyFill="1" applyBorder="1" applyAlignment="1">
      <alignment horizontal="right"/>
    </xf>
    <xf numFmtId="17" fontId="6" fillId="17" borderId="0" xfId="50" quotePrefix="1" applyNumberFormat="1" applyFont="1" applyFill="1" applyBorder="1" applyAlignment="1">
      <alignment horizontal="right"/>
    </xf>
    <xf numFmtId="195" fontId="123" fillId="17" borderId="0" xfId="50" quotePrefix="1" applyNumberFormat="1" applyFont="1" applyFill="1" applyBorder="1" applyAlignment="1">
      <alignment horizontal="right"/>
    </xf>
    <xf numFmtId="0" fontId="123" fillId="0" borderId="0" xfId="37" applyNumberFormat="1" applyFont="1" applyFill="1" applyBorder="1" applyAlignment="1">
      <alignment horizontal="right"/>
    </xf>
    <xf numFmtId="17" fontId="123" fillId="17" borderId="0" xfId="50" quotePrefix="1" applyNumberFormat="1" applyFont="1" applyFill="1" applyBorder="1" applyAlignment="1">
      <alignment horizontal="right"/>
    </xf>
    <xf numFmtId="38" fontId="6" fillId="17" borderId="0" xfId="50" applyFont="1" applyFill="1" applyBorder="1" applyAlignment="1">
      <alignment horizontal="right"/>
    </xf>
    <xf numFmtId="212" fontId="6" fillId="17" borderId="0" xfId="50" applyNumberFormat="1" applyFont="1" applyFill="1" applyBorder="1" applyAlignment="1">
      <alignment horizontal="right"/>
    </xf>
    <xf numFmtId="193" fontId="6" fillId="17" borderId="0" xfId="50" quotePrefix="1" applyNumberFormat="1" applyFont="1" applyFill="1" applyBorder="1" applyAlignment="1">
      <alignment horizontal="right"/>
    </xf>
    <xf numFmtId="9" fontId="76" fillId="17" borderId="0" xfId="57" applyFont="1" applyFill="1"/>
    <xf numFmtId="9" fontId="76" fillId="17" borderId="14" xfId="50" applyNumberFormat="1" applyFont="1" applyFill="1" applyBorder="1"/>
    <xf numFmtId="193" fontId="124" fillId="17" borderId="0" xfId="50" quotePrefix="1" applyNumberFormat="1" applyFont="1" applyFill="1" applyBorder="1" applyAlignment="1">
      <alignment horizontal="right"/>
    </xf>
    <xf numFmtId="38" fontId="36" fillId="17" borderId="0" xfId="50" applyFont="1" applyFill="1" applyBorder="1"/>
    <xf numFmtId="38" fontId="36" fillId="17" borderId="23" xfId="50" applyFont="1" applyFill="1" applyBorder="1"/>
    <xf numFmtId="9" fontId="126" fillId="17" borderId="23" xfId="50" applyNumberFormat="1" applyFont="1" applyFill="1" applyBorder="1"/>
    <xf numFmtId="5" fontId="36" fillId="17" borderId="14" xfId="50" applyNumberFormat="1" applyFont="1" applyFill="1" applyBorder="1"/>
    <xf numFmtId="5" fontId="36" fillId="17" borderId="0" xfId="2" applyNumberFormat="1" applyFont="1" applyFill="1"/>
    <xf numFmtId="5" fontId="125" fillId="17" borderId="0" xfId="50" applyNumberFormat="1" applyFont="1" applyFill="1" applyBorder="1"/>
    <xf numFmtId="5" fontId="36" fillId="17" borderId="51" xfId="50" applyNumberFormat="1" applyFont="1" applyFill="1" applyBorder="1"/>
    <xf numFmtId="5" fontId="36" fillId="17" borderId="0" xfId="50" applyNumberFormat="1" applyFont="1" applyFill="1" applyBorder="1"/>
    <xf numFmtId="0" fontId="36" fillId="17" borderId="0" xfId="2" applyFont="1" applyFill="1" applyBorder="1"/>
    <xf numFmtId="0" fontId="36" fillId="17" borderId="14" xfId="2" applyFont="1" applyFill="1" applyBorder="1"/>
    <xf numFmtId="9" fontId="6" fillId="24" borderId="67" xfId="50" applyNumberFormat="1" applyFont="1" applyFill="1" applyBorder="1"/>
    <xf numFmtId="0" fontId="6" fillId="24" borderId="11" xfId="2" applyFont="1" applyFill="1" applyBorder="1"/>
    <xf numFmtId="5" fontId="6" fillId="24" borderId="54" xfId="50" applyNumberFormat="1" applyFont="1" applyFill="1" applyBorder="1"/>
    <xf numFmtId="5" fontId="6" fillId="24" borderId="11" xfId="50" applyNumberFormat="1" applyFont="1" applyFill="1" applyBorder="1"/>
    <xf numFmtId="9" fontId="36" fillId="24" borderId="68" xfId="50" applyNumberFormat="1" applyFont="1" applyFill="1" applyBorder="1"/>
    <xf numFmtId="0" fontId="36" fillId="24" borderId="0" xfId="2" applyFont="1" applyFill="1" applyBorder="1"/>
    <xf numFmtId="9" fontId="36" fillId="24" borderId="14" xfId="50" applyNumberFormat="1" applyFont="1" applyFill="1" applyBorder="1"/>
    <xf numFmtId="9" fontId="36" fillId="24" borderId="51" xfId="50" applyNumberFormat="1" applyFont="1" applyFill="1" applyBorder="1"/>
    <xf numFmtId="9" fontId="36" fillId="24" borderId="0" xfId="50" applyNumberFormat="1" applyFont="1" applyFill="1" applyBorder="1"/>
    <xf numFmtId="9" fontId="36" fillId="24" borderId="69" xfId="50" applyNumberFormat="1" applyFont="1" applyFill="1" applyBorder="1"/>
    <xf numFmtId="0" fontId="36" fillId="24" borderId="28" xfId="2" applyFont="1" applyFill="1" applyBorder="1"/>
    <xf numFmtId="9" fontId="36" fillId="24" borderId="55" xfId="50" applyNumberFormat="1" applyFont="1" applyFill="1" applyBorder="1"/>
    <xf numFmtId="9" fontId="36" fillId="24" borderId="56" xfId="50" applyNumberFormat="1" applyFont="1" applyFill="1" applyBorder="1"/>
    <xf numFmtId="9" fontId="36" fillId="24" borderId="28" xfId="50" applyNumberFormat="1" applyFont="1" applyFill="1" applyBorder="1"/>
    <xf numFmtId="5" fontId="36" fillId="24" borderId="55" xfId="50" applyNumberFormat="1" applyFont="1" applyFill="1" applyBorder="1"/>
    <xf numFmtId="9" fontId="36" fillId="17" borderId="14" xfId="50" applyNumberFormat="1" applyFont="1" applyFill="1" applyBorder="1"/>
    <xf numFmtId="9" fontId="36" fillId="17" borderId="51" xfId="50" applyNumberFormat="1" applyFont="1" applyFill="1" applyBorder="1"/>
    <xf numFmtId="9" fontId="36" fillId="17" borderId="0" xfId="50" applyNumberFormat="1" applyFont="1" applyFill="1" applyBorder="1"/>
    <xf numFmtId="9" fontId="36" fillId="17" borderId="14" xfId="57" applyFont="1" applyFill="1" applyBorder="1"/>
    <xf numFmtId="197" fontId="36" fillId="17" borderId="0" xfId="35" applyNumberFormat="1" applyFont="1" applyFill="1"/>
    <xf numFmtId="9" fontId="6" fillId="24" borderId="22" xfId="50" applyNumberFormat="1" applyFont="1" applyFill="1" applyBorder="1"/>
    <xf numFmtId="0" fontId="6" fillId="24" borderId="12" xfId="2" applyFont="1" applyFill="1" applyBorder="1"/>
    <xf numFmtId="5" fontId="6" fillId="24" borderId="50" xfId="50" applyNumberFormat="1" applyFont="1" applyFill="1" applyBorder="1"/>
    <xf numFmtId="3" fontId="6" fillId="24" borderId="12" xfId="2" applyNumberFormat="1" applyFont="1" applyFill="1" applyBorder="1"/>
    <xf numFmtId="199" fontId="6" fillId="24" borderId="12" xfId="2" applyNumberFormat="1" applyFont="1" applyFill="1" applyBorder="1"/>
    <xf numFmtId="9" fontId="6" fillId="24" borderId="23" xfId="50" applyNumberFormat="1" applyFont="1" applyFill="1" applyBorder="1"/>
    <xf numFmtId="0" fontId="6" fillId="24" borderId="0" xfId="2" applyFont="1" applyFill="1" applyBorder="1"/>
    <xf numFmtId="5" fontId="6" fillId="24" borderId="14" xfId="50" applyNumberFormat="1" applyFont="1" applyFill="1" applyBorder="1"/>
    <xf numFmtId="3" fontId="6" fillId="24" borderId="0" xfId="2" applyNumberFormat="1" applyFont="1" applyFill="1" applyBorder="1"/>
    <xf numFmtId="199" fontId="6" fillId="24" borderId="0" xfId="2" applyNumberFormat="1" applyFont="1" applyFill="1" applyBorder="1"/>
    <xf numFmtId="9" fontId="6" fillId="24" borderId="24" xfId="50" applyNumberFormat="1" applyFont="1" applyFill="1" applyBorder="1"/>
    <xf numFmtId="0" fontId="6" fillId="24" borderId="13" xfId="2" applyFont="1" applyFill="1" applyBorder="1"/>
    <xf numFmtId="9" fontId="6" fillId="24" borderId="16" xfId="50" applyNumberFormat="1" applyFont="1" applyFill="1" applyBorder="1"/>
    <xf numFmtId="9" fontId="6" fillId="24" borderId="13" xfId="57" applyFont="1" applyFill="1" applyBorder="1"/>
    <xf numFmtId="0" fontId="83" fillId="25" borderId="0" xfId="0" applyFont="1" applyFill="1" applyAlignment="1">
      <alignment horizontal="left" indent="2"/>
    </xf>
    <xf numFmtId="0" fontId="30" fillId="0" borderId="0" xfId="2" applyFont="1" applyFill="1" applyBorder="1"/>
    <xf numFmtId="0" fontId="0" fillId="25" borderId="31" xfId="0" applyFill="1" applyBorder="1"/>
    <xf numFmtId="0" fontId="0" fillId="0" borderId="0" xfId="0" applyFill="1"/>
    <xf numFmtId="0" fontId="0" fillId="0" borderId="19" xfId="2" applyFont="1" applyFill="1" applyBorder="1"/>
    <xf numFmtId="5" fontId="0" fillId="0" borderId="0" xfId="2" applyNumberFormat="1" applyFont="1" applyFill="1" applyBorder="1"/>
    <xf numFmtId="5" fontId="0" fillId="0" borderId="19" xfId="2" applyNumberFormat="1" applyFont="1" applyFill="1" applyBorder="1"/>
    <xf numFmtId="0" fontId="0" fillId="0" borderId="0" xfId="2" applyFont="1" applyFill="1" applyBorder="1"/>
    <xf numFmtId="5" fontId="30" fillId="25" borderId="19" xfId="0" applyNumberFormat="1" applyFont="1" applyFill="1" applyBorder="1"/>
    <xf numFmtId="0" fontId="0" fillId="0" borderId="13" xfId="0" applyFill="1" applyBorder="1"/>
    <xf numFmtId="171" fontId="0" fillId="0" borderId="0" xfId="2" applyNumberFormat="1" applyFont="1" applyFill="1" applyBorder="1"/>
    <xf numFmtId="171" fontId="0" fillId="0" borderId="19" xfId="2" applyNumberFormat="1" applyFont="1" applyFill="1" applyBorder="1"/>
    <xf numFmtId="212" fontId="6" fillId="17" borderId="14" xfId="50" applyNumberFormat="1" applyFont="1" applyFill="1" applyBorder="1" applyAlignment="1">
      <alignment horizontal="right"/>
    </xf>
    <xf numFmtId="212" fontId="6" fillId="28" borderId="14" xfId="50" applyNumberFormat="1" applyFont="1" applyFill="1" applyBorder="1" applyAlignment="1">
      <alignment horizontal="right"/>
    </xf>
    <xf numFmtId="0" fontId="36" fillId="0" borderId="14" xfId="2" applyFont="1" applyBorder="1"/>
    <xf numFmtId="212" fontId="6" fillId="29" borderId="14" xfId="50" applyNumberFormat="1" applyFont="1" applyFill="1" applyBorder="1" applyAlignment="1">
      <alignment horizontal="right"/>
    </xf>
    <xf numFmtId="212" fontId="40" fillId="17" borderId="14" xfId="50" applyNumberFormat="1" applyFont="1" applyFill="1" applyBorder="1" applyAlignment="1">
      <alignment horizontal="right"/>
    </xf>
    <xf numFmtId="194" fontId="54" fillId="17" borderId="50" xfId="50" applyNumberFormat="1" applyFont="1" applyFill="1" applyBorder="1" applyAlignment="1">
      <alignment horizontal="right"/>
    </xf>
    <xf numFmtId="194" fontId="54" fillId="17" borderId="16" xfId="37" applyNumberFormat="1" applyFont="1" applyFill="1" applyBorder="1" applyAlignment="1">
      <alignment horizontal="right"/>
    </xf>
    <xf numFmtId="193" fontId="54" fillId="17" borderId="16" xfId="50" quotePrefix="1" applyNumberFormat="1" applyFont="1" applyFill="1" applyBorder="1" applyAlignment="1">
      <alignment horizontal="right"/>
    </xf>
    <xf numFmtId="0" fontId="101" fillId="17" borderId="14" xfId="2" applyFont="1" applyFill="1" applyBorder="1"/>
    <xf numFmtId="38" fontId="40" fillId="17" borderId="50" xfId="50" applyFont="1" applyFill="1" applyBorder="1" applyAlignment="1">
      <alignment horizontal="right"/>
    </xf>
    <xf numFmtId="212" fontId="40" fillId="17" borderId="16" xfId="50" applyNumberFormat="1" applyFont="1" applyFill="1" applyBorder="1" applyAlignment="1">
      <alignment horizontal="right"/>
    </xf>
    <xf numFmtId="0" fontId="36" fillId="26" borderId="50" xfId="2" applyFont="1" applyFill="1" applyBorder="1"/>
    <xf numFmtId="0" fontId="36" fillId="25" borderId="14" xfId="2" applyFont="1" applyFill="1" applyBorder="1"/>
    <xf numFmtId="0" fontId="36" fillId="25" borderId="57" xfId="2" applyFont="1" applyFill="1" applyBorder="1"/>
    <xf numFmtId="0" fontId="36" fillId="26" borderId="14" xfId="2" applyFont="1" applyFill="1" applyBorder="1"/>
    <xf numFmtId="0" fontId="101" fillId="0" borderId="14" xfId="2" applyFont="1" applyBorder="1"/>
    <xf numFmtId="194" fontId="40" fillId="17" borderId="50" xfId="50" applyNumberFormat="1" applyFont="1" applyFill="1" applyBorder="1" applyAlignment="1">
      <alignment horizontal="right"/>
    </xf>
    <xf numFmtId="193" fontId="6" fillId="28" borderId="14" xfId="50" quotePrefix="1" applyNumberFormat="1" applyFont="1" applyFill="1" applyBorder="1" applyAlignment="1">
      <alignment horizontal="right"/>
    </xf>
    <xf numFmtId="193" fontId="6" fillId="17" borderId="14" xfId="50" quotePrefix="1" applyNumberFormat="1" applyFont="1" applyFill="1" applyBorder="1" applyAlignment="1">
      <alignment horizontal="right"/>
    </xf>
    <xf numFmtId="193" fontId="6" fillId="29" borderId="14" xfId="50" quotePrefix="1" applyNumberFormat="1" applyFont="1" applyFill="1" applyBorder="1" applyAlignment="1">
      <alignment horizontal="right"/>
    </xf>
    <xf numFmtId="193" fontId="40" fillId="17" borderId="14" xfId="50" quotePrefix="1" applyNumberFormat="1" applyFont="1" applyFill="1" applyBorder="1" applyAlignment="1">
      <alignment horizontal="right"/>
    </xf>
    <xf numFmtId="199" fontId="36" fillId="17" borderId="14" xfId="2" applyNumberFormat="1" applyFont="1" applyFill="1" applyBorder="1"/>
    <xf numFmtId="9" fontId="36" fillId="17" borderId="57" xfId="57" applyFont="1" applyFill="1" applyBorder="1"/>
    <xf numFmtId="9" fontId="36" fillId="25" borderId="14" xfId="57" applyFont="1" applyFill="1" applyBorder="1"/>
    <xf numFmtId="193" fontId="124" fillId="28" borderId="14" xfId="50" quotePrefix="1" applyNumberFormat="1" applyFont="1" applyFill="1" applyBorder="1" applyAlignment="1">
      <alignment horizontal="right"/>
    </xf>
    <xf numFmtId="193" fontId="124" fillId="17" borderId="14" xfId="50" quotePrefix="1" applyNumberFormat="1" applyFont="1" applyFill="1" applyBorder="1" applyAlignment="1">
      <alignment horizontal="right"/>
    </xf>
    <xf numFmtId="193" fontId="124" fillId="29" borderId="14" xfId="50" quotePrefix="1" applyNumberFormat="1" applyFont="1" applyFill="1" applyBorder="1" applyAlignment="1">
      <alignment horizontal="right"/>
    </xf>
    <xf numFmtId="193" fontId="54" fillId="17" borderId="14" xfId="50" quotePrefix="1" applyNumberFormat="1" applyFont="1" applyFill="1" applyBorder="1" applyAlignment="1">
      <alignment horizontal="right"/>
    </xf>
    <xf numFmtId="5" fontId="6" fillId="17" borderId="51" xfId="50" applyNumberFormat="1" applyFont="1" applyFill="1" applyBorder="1"/>
    <xf numFmtId="0" fontId="36" fillId="17" borderId="51" xfId="2" applyFont="1" applyFill="1" applyBorder="1"/>
    <xf numFmtId="5" fontId="6" fillId="24" borderId="74" xfId="50" applyNumberFormat="1" applyFont="1" applyFill="1" applyBorder="1"/>
    <xf numFmtId="5" fontId="6" fillId="24" borderId="52" xfId="50" applyNumberFormat="1" applyFont="1" applyFill="1" applyBorder="1"/>
    <xf numFmtId="5" fontId="6" fillId="24" borderId="51" xfId="50" applyNumberFormat="1" applyFont="1" applyFill="1" applyBorder="1"/>
    <xf numFmtId="9" fontId="6" fillId="24" borderId="53" xfId="50" applyNumberFormat="1" applyFont="1" applyFill="1" applyBorder="1"/>
    <xf numFmtId="221" fontId="6" fillId="28" borderId="14" xfId="37" applyNumberFormat="1" applyFont="1" applyFill="1" applyBorder="1" applyAlignment="1">
      <alignment horizontal="right"/>
    </xf>
    <xf numFmtId="221" fontId="6" fillId="17" borderId="14" xfId="37" applyNumberFormat="1" applyFont="1" applyFill="1" applyBorder="1" applyAlignment="1">
      <alignment horizontal="right"/>
    </xf>
    <xf numFmtId="221" fontId="6" fillId="29" borderId="14" xfId="37" applyNumberFormat="1" applyFont="1" applyFill="1" applyBorder="1" applyAlignment="1">
      <alignment horizontal="right"/>
    </xf>
    <xf numFmtId="221" fontId="40" fillId="17" borderId="14" xfId="37" applyNumberFormat="1" applyFont="1" applyFill="1" applyBorder="1" applyAlignment="1">
      <alignment horizontal="right"/>
    </xf>
    <xf numFmtId="221" fontId="40" fillId="17" borderId="16" xfId="37" applyNumberFormat="1" applyFont="1" applyFill="1" applyBorder="1" applyAlignment="1">
      <alignment horizontal="right"/>
    </xf>
    <xf numFmtId="221" fontId="6" fillId="28" borderId="51" xfId="37" applyNumberFormat="1" applyFont="1" applyFill="1" applyBorder="1" applyAlignment="1">
      <alignment horizontal="right"/>
    </xf>
    <xf numFmtId="221" fontId="6" fillId="17" borderId="51" xfId="37" applyNumberFormat="1" applyFont="1" applyFill="1" applyBorder="1" applyAlignment="1">
      <alignment horizontal="right"/>
    </xf>
    <xf numFmtId="221" fontId="6" fillId="29" borderId="51" xfId="37" applyNumberFormat="1" applyFont="1" applyFill="1" applyBorder="1" applyAlignment="1">
      <alignment horizontal="right"/>
    </xf>
    <xf numFmtId="221" fontId="40" fillId="17" borderId="51" xfId="37" applyNumberFormat="1" applyFont="1" applyFill="1" applyBorder="1" applyAlignment="1">
      <alignment horizontal="right"/>
    </xf>
    <xf numFmtId="194" fontId="40" fillId="17" borderId="52" xfId="50" applyNumberFormat="1" applyFont="1" applyFill="1" applyBorder="1" applyAlignment="1">
      <alignment horizontal="right"/>
    </xf>
    <xf numFmtId="0" fontId="101" fillId="17" borderId="51" xfId="2" applyFont="1" applyFill="1" applyBorder="1"/>
    <xf numFmtId="221" fontId="40" fillId="17" borderId="53" xfId="37" applyNumberFormat="1" applyFont="1" applyFill="1" applyBorder="1" applyAlignment="1">
      <alignment horizontal="right"/>
    </xf>
    <xf numFmtId="0" fontId="36" fillId="25" borderId="51" xfId="2" applyFont="1" applyFill="1" applyBorder="1"/>
    <xf numFmtId="0" fontId="101" fillId="17" borderId="0" xfId="2" applyFont="1" applyFill="1" applyBorder="1"/>
    <xf numFmtId="0" fontId="39" fillId="25" borderId="0" xfId="2" applyFont="1" applyFill="1" applyBorder="1"/>
    <xf numFmtId="0" fontId="101" fillId="25" borderId="0" xfId="2" applyFont="1" applyFill="1" applyBorder="1"/>
    <xf numFmtId="194" fontId="124" fillId="28" borderId="14" xfId="37" applyNumberFormat="1" applyFont="1" applyFill="1" applyBorder="1" applyAlignment="1">
      <alignment horizontal="right"/>
    </xf>
    <xf numFmtId="194" fontId="124" fillId="17" borderId="14" xfId="37" applyNumberFormat="1" applyFont="1" applyFill="1" applyBorder="1" applyAlignment="1">
      <alignment horizontal="right"/>
    </xf>
    <xf numFmtId="194" fontId="124" fillId="29" borderId="14" xfId="37" applyNumberFormat="1" applyFont="1" applyFill="1" applyBorder="1" applyAlignment="1">
      <alignment horizontal="right"/>
    </xf>
    <xf numFmtId="194" fontId="54" fillId="17" borderId="14" xfId="37" applyNumberFormat="1" applyFont="1" applyFill="1" applyBorder="1" applyAlignment="1">
      <alignment horizontal="right"/>
    </xf>
    <xf numFmtId="194" fontId="124" fillId="28" borderId="51" xfId="37" applyNumberFormat="1" applyFont="1" applyFill="1" applyBorder="1" applyAlignment="1">
      <alignment horizontal="right"/>
    </xf>
    <xf numFmtId="194" fontId="124" fillId="17" borderId="51" xfId="37" applyNumberFormat="1" applyFont="1" applyFill="1" applyBorder="1" applyAlignment="1">
      <alignment horizontal="right"/>
    </xf>
    <xf numFmtId="194" fontId="124" fillId="29" borderId="51" xfId="37" applyNumberFormat="1" applyFont="1" applyFill="1" applyBorder="1" applyAlignment="1">
      <alignment horizontal="right"/>
    </xf>
    <xf numFmtId="194" fontId="54" fillId="17" borderId="51" xfId="37" applyNumberFormat="1" applyFont="1" applyFill="1" applyBorder="1" applyAlignment="1">
      <alignment horizontal="right"/>
    </xf>
    <xf numFmtId="194" fontId="54" fillId="17" borderId="52" xfId="50" applyNumberFormat="1" applyFont="1" applyFill="1" applyBorder="1" applyAlignment="1">
      <alignment horizontal="right"/>
    </xf>
    <xf numFmtId="194" fontId="54" fillId="17" borderId="53" xfId="37" applyNumberFormat="1" applyFont="1" applyFill="1" applyBorder="1" applyAlignment="1">
      <alignment horizontal="right"/>
    </xf>
    <xf numFmtId="9" fontId="76" fillId="17" borderId="14" xfId="57" applyFont="1" applyFill="1" applyBorder="1"/>
    <xf numFmtId="9" fontId="76" fillId="17" borderId="51" xfId="57" applyFont="1" applyFill="1" applyBorder="1"/>
    <xf numFmtId="0" fontId="101" fillId="0" borderId="0" xfId="2" applyFont="1" applyBorder="1"/>
    <xf numFmtId="0" fontId="0" fillId="0" borderId="0" xfId="0" applyBorder="1"/>
    <xf numFmtId="5" fontId="1" fillId="25" borderId="19" xfId="71" applyNumberFormat="1" applyFont="1" applyFill="1" applyBorder="1"/>
    <xf numFmtId="182" fontId="1" fillId="25" borderId="0" xfId="71" applyNumberFormat="1" applyFont="1" applyFill="1" applyBorder="1"/>
    <xf numFmtId="182" fontId="1" fillId="25" borderId="19" xfId="71" applyNumberFormat="1" applyFont="1" applyFill="1" applyBorder="1"/>
    <xf numFmtId="5" fontId="30" fillId="25" borderId="17" xfId="71" applyNumberFormat="1" applyFont="1" applyFill="1" applyBorder="1"/>
    <xf numFmtId="5" fontId="30" fillId="25" borderId="18" xfId="71" applyNumberFormat="1" applyFont="1" applyFill="1" applyBorder="1"/>
    <xf numFmtId="199" fontId="1" fillId="25" borderId="19" xfId="71" applyNumberFormat="1" applyFont="1" applyFill="1" applyBorder="1"/>
    <xf numFmtId="199" fontId="115" fillId="25" borderId="0" xfId="71" applyNumberFormat="1" applyFont="1" applyFill="1" applyBorder="1"/>
    <xf numFmtId="5" fontId="1" fillId="25" borderId="17" xfId="71" applyNumberFormat="1" applyFont="1" applyFill="1" applyBorder="1"/>
    <xf numFmtId="5" fontId="1" fillId="25" borderId="18" xfId="71" applyNumberFormat="1" applyFont="1" applyFill="1" applyBorder="1"/>
    <xf numFmtId="0" fontId="30" fillId="25" borderId="31" xfId="0" applyFont="1" applyFill="1" applyBorder="1"/>
    <xf numFmtId="5" fontId="111" fillId="0" borderId="0" xfId="2" applyNumberFormat="1" applyFont="1" applyFill="1"/>
    <xf numFmtId="5" fontId="111" fillId="0" borderId="19" xfId="2" applyNumberFormat="1" applyFont="1" applyFill="1" applyBorder="1"/>
    <xf numFmtId="5" fontId="83" fillId="0" borderId="0" xfId="2" applyNumberFormat="1" applyFont="1" applyFill="1"/>
    <xf numFmtId="5" fontId="83" fillId="0" borderId="19" xfId="2" applyNumberFormat="1" applyFont="1" applyFill="1" applyBorder="1"/>
    <xf numFmtId="171" fontId="83" fillId="0" borderId="0" xfId="57" applyNumberFormat="1" applyFont="1" applyFill="1" applyBorder="1"/>
    <xf numFmtId="0" fontId="83" fillId="0" borderId="0" xfId="2" applyFont="1" applyFill="1" applyAlignment="1">
      <alignment horizontal="left" indent="1"/>
    </xf>
    <xf numFmtId="5" fontId="83" fillId="0" borderId="0" xfId="2" applyNumberFormat="1" applyFont="1" applyFill="1" applyBorder="1"/>
    <xf numFmtId="171" fontId="83" fillId="0" borderId="19" xfId="57" applyNumberFormat="1" applyFont="1" applyFill="1" applyBorder="1"/>
    <xf numFmtId="0" fontId="83" fillId="0" borderId="0" xfId="2" applyFont="1" applyFill="1" applyBorder="1" applyAlignment="1">
      <alignment horizontal="left" indent="1"/>
    </xf>
    <xf numFmtId="0" fontId="83" fillId="0" borderId="0" xfId="2" applyFont="1" applyFill="1" applyBorder="1" applyAlignment="1">
      <alignment horizontal="left" indent="2"/>
    </xf>
    <xf numFmtId="0" fontId="83" fillId="0" borderId="0" xfId="2" applyFont="1" applyFill="1" applyBorder="1"/>
    <xf numFmtId="0" fontId="83" fillId="0" borderId="19" xfId="2" applyFont="1" applyFill="1" applyBorder="1"/>
    <xf numFmtId="0" fontId="83" fillId="0" borderId="0" xfId="0" applyFont="1" applyFill="1"/>
    <xf numFmtId="5" fontId="0" fillId="30" borderId="0" xfId="2" applyNumberFormat="1" applyFont="1" applyFill="1" applyBorder="1"/>
    <xf numFmtId="5" fontId="0" fillId="30" borderId="19" xfId="2" applyNumberFormat="1" applyFont="1" applyFill="1" applyBorder="1"/>
    <xf numFmtId="0" fontId="0" fillId="30" borderId="0" xfId="2" applyFont="1" applyFill="1" applyBorder="1"/>
    <xf numFmtId="171" fontId="83" fillId="30" borderId="0" xfId="57" applyNumberFormat="1" applyFont="1" applyFill="1" applyBorder="1"/>
    <xf numFmtId="171" fontId="83" fillId="30" borderId="19" xfId="57" applyNumberFormat="1" applyFont="1" applyFill="1" applyBorder="1"/>
    <xf numFmtId="220" fontId="83" fillId="30" borderId="19" xfId="35" applyNumberFormat="1" applyFont="1" applyFill="1" applyBorder="1"/>
    <xf numFmtId="0" fontId="83" fillId="30" borderId="0" xfId="2" applyFont="1" applyFill="1" applyAlignment="1">
      <alignment horizontal="left" indent="1"/>
    </xf>
    <xf numFmtId="5" fontId="83" fillId="30" borderId="0" xfId="2" applyNumberFormat="1" applyFont="1" applyFill="1" applyBorder="1"/>
    <xf numFmtId="5" fontId="83" fillId="30" borderId="19" xfId="2" applyNumberFormat="1" applyFont="1" applyFill="1" applyBorder="1"/>
    <xf numFmtId="5" fontId="83" fillId="30" borderId="0" xfId="2" applyNumberFormat="1" applyFont="1" applyFill="1"/>
    <xf numFmtId="0" fontId="83" fillId="30" borderId="13" xfId="2" applyFont="1" applyFill="1" applyBorder="1" applyAlignment="1">
      <alignment horizontal="left" indent="1"/>
    </xf>
    <xf numFmtId="5" fontId="83" fillId="30" borderId="13" xfId="2" applyNumberFormat="1" applyFont="1" applyFill="1" applyBorder="1"/>
    <xf numFmtId="5" fontId="83" fillId="30" borderId="20" xfId="2" applyNumberFormat="1" applyFont="1" applyFill="1" applyBorder="1"/>
    <xf numFmtId="0" fontId="83" fillId="30" borderId="0" xfId="2" applyFont="1" applyFill="1" applyBorder="1" applyAlignment="1">
      <alignment horizontal="left" indent="2"/>
    </xf>
    <xf numFmtId="0" fontId="83" fillId="30" borderId="0" xfId="2" applyFont="1" applyFill="1" applyBorder="1"/>
    <xf numFmtId="0" fontId="83" fillId="30" borderId="19" xfId="2" applyFont="1" applyFill="1" applyBorder="1"/>
    <xf numFmtId="171" fontId="118" fillId="30" borderId="0" xfId="57" applyNumberFormat="1" applyFont="1" applyFill="1" applyBorder="1"/>
    <xf numFmtId="0" fontId="83" fillId="30" borderId="31" xfId="2" applyFont="1" applyFill="1" applyBorder="1" applyAlignment="1">
      <alignment horizontal="left" indent="2"/>
    </xf>
    <xf numFmtId="0" fontId="83" fillId="30" borderId="33" xfId="2" applyFont="1" applyFill="1" applyBorder="1" applyAlignment="1">
      <alignment horizontal="left" indent="2"/>
    </xf>
    <xf numFmtId="0" fontId="83" fillId="30" borderId="13" xfId="2" applyFont="1" applyFill="1" applyBorder="1"/>
    <xf numFmtId="0" fontId="83" fillId="30" borderId="20" xfId="2" applyFont="1" applyFill="1" applyBorder="1"/>
    <xf numFmtId="171" fontId="83" fillId="30" borderId="13" xfId="57" applyNumberFormat="1" applyFont="1" applyFill="1" applyBorder="1"/>
    <xf numFmtId="171" fontId="83" fillId="30" borderId="20" xfId="57" applyNumberFormat="1" applyFont="1" applyFill="1" applyBorder="1"/>
    <xf numFmtId="0" fontId="83" fillId="0" borderId="31" xfId="2" applyFont="1" applyFill="1" applyBorder="1" applyAlignment="1">
      <alignment horizontal="left" indent="1"/>
    </xf>
    <xf numFmtId="220" fontId="83" fillId="30" borderId="20" xfId="35" applyNumberFormat="1" applyFont="1" applyFill="1" applyBorder="1"/>
    <xf numFmtId="0" fontId="0" fillId="25" borderId="34" xfId="0" applyFill="1" applyBorder="1"/>
    <xf numFmtId="5" fontId="0" fillId="0" borderId="17" xfId="2" applyNumberFormat="1" applyFont="1" applyFill="1" applyBorder="1"/>
    <xf numFmtId="5" fontId="0" fillId="0" borderId="18" xfId="2" applyNumberFormat="1" applyFont="1" applyFill="1" applyBorder="1"/>
    <xf numFmtId="0" fontId="0" fillId="0" borderId="17" xfId="2" applyFont="1" applyFill="1" applyBorder="1"/>
    <xf numFmtId="5" fontId="111" fillId="25" borderId="17" xfId="2" applyNumberFormat="1" applyFont="1" applyFill="1" applyBorder="1"/>
    <xf numFmtId="5" fontId="111" fillId="25" borderId="18" xfId="2" applyNumberFormat="1" applyFont="1" applyFill="1" applyBorder="1"/>
    <xf numFmtId="0" fontId="0" fillId="0" borderId="34" xfId="0" applyFill="1" applyBorder="1"/>
    <xf numFmtId="5" fontId="111" fillId="0" borderId="17" xfId="2" applyNumberFormat="1" applyFont="1" applyFill="1" applyBorder="1"/>
    <xf numFmtId="5" fontId="111" fillId="0" borderId="18" xfId="2" applyNumberFormat="1" applyFont="1" applyFill="1" applyBorder="1"/>
    <xf numFmtId="5" fontId="1" fillId="0" borderId="17" xfId="2" applyNumberFormat="1" applyFont="1" applyFill="1" applyBorder="1"/>
    <xf numFmtId="5" fontId="1" fillId="0" borderId="18" xfId="2" applyNumberFormat="1" applyFont="1" applyFill="1" applyBorder="1"/>
    <xf numFmtId="5" fontId="30" fillId="29" borderId="43" xfId="2" applyNumberFormat="1" applyFont="1" applyFill="1" applyBorder="1"/>
    <xf numFmtId="5" fontId="30" fillId="29" borderId="66" xfId="2" applyNumberFormat="1" applyFont="1" applyFill="1" applyBorder="1"/>
    <xf numFmtId="0" fontId="30" fillId="32" borderId="25" xfId="0" applyFont="1" applyFill="1" applyBorder="1"/>
    <xf numFmtId="5" fontId="30" fillId="32" borderId="11" xfId="2" applyNumberFormat="1" applyFont="1" applyFill="1" applyBorder="1"/>
    <xf numFmtId="5" fontId="30" fillId="32" borderId="78" xfId="2" applyNumberFormat="1" applyFont="1" applyFill="1" applyBorder="1"/>
    <xf numFmtId="0" fontId="83" fillId="32" borderId="27" xfId="0" applyFont="1" applyFill="1" applyBorder="1" applyAlignment="1">
      <alignment horizontal="left" indent="2"/>
    </xf>
    <xf numFmtId="5" fontId="83" fillId="32" borderId="28" xfId="2" applyNumberFormat="1" applyFont="1" applyFill="1" applyBorder="1"/>
    <xf numFmtId="5" fontId="83" fillId="32" borderId="79" xfId="2" applyNumberFormat="1" applyFont="1" applyFill="1" applyBorder="1"/>
    <xf numFmtId="0" fontId="83" fillId="32" borderId="28" xfId="2" applyFont="1" applyFill="1" applyBorder="1"/>
    <xf numFmtId="0" fontId="83" fillId="32" borderId="79" xfId="2" applyFont="1" applyFill="1" applyBorder="1"/>
    <xf numFmtId="171" fontId="83" fillId="32" borderId="28" xfId="2" applyNumberFormat="1" applyFont="1" applyFill="1" applyBorder="1"/>
    <xf numFmtId="171" fontId="83" fillId="32" borderId="79" xfId="2" applyNumberFormat="1" applyFont="1" applyFill="1" applyBorder="1"/>
    <xf numFmtId="0" fontId="30" fillId="29" borderId="25" xfId="0" applyFont="1" applyFill="1" applyBorder="1"/>
    <xf numFmtId="5" fontId="30" fillId="29" borderId="11" xfId="2" applyNumberFormat="1" applyFont="1" applyFill="1" applyBorder="1"/>
    <xf numFmtId="5" fontId="30" fillId="29" borderId="78" xfId="2" applyNumberFormat="1" applyFont="1" applyFill="1" applyBorder="1"/>
    <xf numFmtId="0" fontId="83" fillId="29" borderId="27" xfId="0" applyFont="1" applyFill="1" applyBorder="1" applyAlignment="1">
      <alignment horizontal="left" indent="2"/>
    </xf>
    <xf numFmtId="5" fontId="83" fillId="29" borderId="28" xfId="2" applyNumberFormat="1" applyFont="1" applyFill="1" applyBorder="1"/>
    <xf numFmtId="5" fontId="83" fillId="29" borderId="79" xfId="2" applyNumberFormat="1" applyFont="1" applyFill="1" applyBorder="1"/>
    <xf numFmtId="0" fontId="83" fillId="29" borderId="28" xfId="2" applyFont="1" applyFill="1" applyBorder="1"/>
    <xf numFmtId="0" fontId="83" fillId="29" borderId="79" xfId="2" applyFont="1" applyFill="1" applyBorder="1"/>
    <xf numFmtId="171" fontId="83" fillId="29" borderId="28" xfId="2" applyNumberFormat="1" applyFont="1" applyFill="1" applyBorder="1"/>
    <xf numFmtId="171" fontId="83" fillId="29" borderId="79" xfId="2" applyNumberFormat="1" applyFont="1" applyFill="1" applyBorder="1"/>
    <xf numFmtId="5" fontId="30" fillId="32" borderId="43" xfId="2" applyNumberFormat="1" applyFont="1" applyFill="1" applyBorder="1"/>
    <xf numFmtId="5" fontId="30" fillId="32" borderId="66" xfId="2" applyNumberFormat="1" applyFont="1" applyFill="1" applyBorder="1"/>
    <xf numFmtId="0" fontId="83" fillId="32" borderId="42" xfId="2" applyFont="1" applyFill="1" applyBorder="1" applyAlignment="1">
      <alignment horizontal="left" indent="2"/>
    </xf>
    <xf numFmtId="0" fontId="83" fillId="32" borderId="0" xfId="2" applyFont="1" applyFill="1" applyBorder="1"/>
    <xf numFmtId="0" fontId="83" fillId="32" borderId="19" xfId="2" applyFont="1" applyFill="1" applyBorder="1"/>
    <xf numFmtId="171" fontId="83" fillId="32" borderId="0" xfId="57" applyNumberFormat="1" applyFont="1" applyFill="1" applyBorder="1"/>
    <xf numFmtId="171" fontId="83" fillId="32" borderId="19" xfId="57" applyNumberFormat="1" applyFont="1" applyFill="1" applyBorder="1"/>
    <xf numFmtId="171" fontId="83" fillId="32" borderId="0" xfId="57" quotePrefix="1" applyNumberFormat="1" applyFont="1" applyFill="1" applyBorder="1"/>
    <xf numFmtId="220" fontId="83" fillId="32" borderId="19" xfId="35" applyNumberFormat="1" applyFont="1" applyFill="1" applyBorder="1"/>
    <xf numFmtId="0" fontId="83" fillId="32" borderId="27" xfId="2" applyFont="1" applyFill="1" applyBorder="1" applyAlignment="1">
      <alignment horizontal="left" indent="2"/>
    </xf>
    <xf numFmtId="171" fontId="83" fillId="32" borderId="28" xfId="57" applyNumberFormat="1" applyFont="1" applyFill="1" applyBorder="1"/>
    <xf numFmtId="171" fontId="83" fillId="32" borderId="79" xfId="57" applyNumberFormat="1" applyFont="1" applyFill="1" applyBorder="1"/>
    <xf numFmtId="0" fontId="83" fillId="29" borderId="42" xfId="2" applyFont="1" applyFill="1" applyBorder="1" applyAlignment="1">
      <alignment horizontal="left" indent="2"/>
    </xf>
    <xf numFmtId="0" fontId="83" fillId="29" borderId="0" xfId="2" applyFont="1" applyFill="1" applyBorder="1"/>
    <xf numFmtId="0" fontId="83" fillId="29" borderId="19" xfId="2" applyFont="1" applyFill="1" applyBorder="1"/>
    <xf numFmtId="171" fontId="83" fillId="29" borderId="0" xfId="57" applyNumberFormat="1" applyFont="1" applyFill="1" applyBorder="1"/>
    <xf numFmtId="171" fontId="83" fillId="29" borderId="19" xfId="57" applyNumberFormat="1" applyFont="1" applyFill="1" applyBorder="1"/>
    <xf numFmtId="171" fontId="83" fillId="29" borderId="0" xfId="57" quotePrefix="1" applyNumberFormat="1" applyFont="1" applyFill="1" applyBorder="1"/>
    <xf numFmtId="220" fontId="83" fillId="29" borderId="19" xfId="35" applyNumberFormat="1" applyFont="1" applyFill="1" applyBorder="1"/>
    <xf numFmtId="0" fontId="83" fillId="29" borderId="27" xfId="2" applyFont="1" applyFill="1" applyBorder="1" applyAlignment="1">
      <alignment horizontal="left" indent="2"/>
    </xf>
    <xf numFmtId="171" fontId="83" fillId="29" borderId="28" xfId="57" applyNumberFormat="1" applyFont="1" applyFill="1" applyBorder="1"/>
    <xf numFmtId="171" fontId="83" fillId="29" borderId="79" xfId="57" applyNumberFormat="1" applyFont="1" applyFill="1" applyBorder="1"/>
    <xf numFmtId="5" fontId="0" fillId="0" borderId="0" xfId="0" applyNumberFormat="1" applyFill="1"/>
    <xf numFmtId="0" fontId="83" fillId="0" borderId="0" xfId="0" applyFont="1" applyFill="1" applyBorder="1"/>
    <xf numFmtId="3" fontId="31" fillId="0" borderId="0" xfId="0" applyNumberFormat="1" applyFont="1" applyFill="1"/>
    <xf numFmtId="0" fontId="31" fillId="0" borderId="0" xfId="0" applyFont="1" applyFill="1"/>
    <xf numFmtId="0" fontId="30" fillId="0" borderId="0" xfId="0" applyFont="1" applyFill="1"/>
    <xf numFmtId="0" fontId="115" fillId="0" borderId="0" xfId="0" applyFont="1" applyFill="1"/>
    <xf numFmtId="182" fontId="0" fillId="0" borderId="0" xfId="0" applyNumberFormat="1" applyFill="1"/>
    <xf numFmtId="199" fontId="31" fillId="0" borderId="0" xfId="0" applyNumberFormat="1" applyFont="1" applyFill="1"/>
    <xf numFmtId="43" fontId="83" fillId="0" borderId="0" xfId="35" applyFont="1" applyFill="1"/>
    <xf numFmtId="43" fontId="112" fillId="0" borderId="0" xfId="35" applyFont="1" applyFill="1"/>
    <xf numFmtId="9" fontId="83" fillId="0" borderId="0" xfId="57" applyFont="1" applyFill="1"/>
    <xf numFmtId="3" fontId="30" fillId="0" borderId="0" xfId="0" applyNumberFormat="1" applyFont="1" applyFill="1"/>
    <xf numFmtId="182" fontId="30" fillId="0" borderId="0" xfId="0" applyNumberFormat="1" applyFont="1" applyFill="1"/>
    <xf numFmtId="49" fontId="30" fillId="25" borderId="19" xfId="2" applyNumberFormat="1" applyFont="1" applyFill="1" applyBorder="1" applyAlignment="1">
      <alignment horizontal="center"/>
    </xf>
    <xf numFmtId="0" fontId="0" fillId="25" borderId="20" xfId="0" applyFill="1" applyBorder="1"/>
    <xf numFmtId="49" fontId="30" fillId="25" borderId="20" xfId="2" quotePrefix="1" applyNumberFormat="1" applyFont="1" applyFill="1" applyBorder="1" applyAlignment="1">
      <alignment horizontal="center"/>
    </xf>
    <xf numFmtId="0" fontId="0" fillId="25" borderId="23" xfId="0" applyFill="1" applyBorder="1"/>
    <xf numFmtId="0" fontId="1" fillId="25" borderId="34" xfId="0" applyFont="1" applyFill="1" applyBorder="1"/>
    <xf numFmtId="0" fontId="30" fillId="21" borderId="34" xfId="2" applyFont="1" applyFill="1" applyBorder="1"/>
    <xf numFmtId="5" fontId="0" fillId="21" borderId="17" xfId="2" applyNumberFormat="1" applyFont="1" applyFill="1" applyBorder="1"/>
    <xf numFmtId="5" fontId="0" fillId="21" borderId="18" xfId="2" applyNumberFormat="1" applyFont="1" applyFill="1" applyBorder="1"/>
    <xf numFmtId="0" fontId="0" fillId="21" borderId="17" xfId="2" applyFont="1" applyFill="1" applyBorder="1"/>
    <xf numFmtId="0" fontId="0" fillId="21" borderId="18" xfId="2" applyFont="1" applyFill="1" applyBorder="1"/>
    <xf numFmtId="9" fontId="127" fillId="17" borderId="0" xfId="57" applyFont="1" applyFill="1"/>
    <xf numFmtId="171" fontId="6" fillId="24" borderId="13" xfId="57" applyNumberFormat="1" applyFont="1" applyFill="1" applyBorder="1"/>
    <xf numFmtId="171" fontId="6" fillId="24" borderId="16" xfId="50" applyNumberFormat="1" applyFont="1" applyFill="1" applyBorder="1"/>
    <xf numFmtId="5" fontId="128" fillId="17" borderId="14" xfId="50" applyNumberFormat="1" applyFont="1" applyFill="1" applyBorder="1"/>
    <xf numFmtId="220" fontId="0" fillId="0" borderId="0" xfId="35" applyNumberFormat="1" applyFont="1" applyBorder="1"/>
    <xf numFmtId="1" fontId="0" fillId="0" borderId="0" xfId="2" applyNumberFormat="1" applyFont="1" applyFill="1" applyBorder="1"/>
    <xf numFmtId="1" fontId="0" fillId="0" borderId="19" xfId="2" applyNumberFormat="1" applyFont="1" applyFill="1" applyBorder="1"/>
    <xf numFmtId="5" fontId="129" fillId="17" borderId="0" xfId="50" quotePrefix="1" applyNumberFormat="1" applyFont="1" applyFill="1" applyBorder="1" applyAlignment="1">
      <alignment horizontal="right"/>
    </xf>
    <xf numFmtId="5" fontId="129" fillId="17" borderId="14" xfId="50" applyNumberFormat="1" applyFont="1" applyFill="1" applyBorder="1"/>
    <xf numFmtId="9" fontId="76" fillId="17" borderId="0" xfId="50" applyNumberFormat="1" applyFont="1" applyFill="1" applyBorder="1"/>
    <xf numFmtId="195" fontId="40" fillId="17" borderId="0" xfId="50" applyNumberFormat="1" applyFont="1" applyFill="1" applyBorder="1" applyAlignment="1">
      <alignment horizontal="right"/>
    </xf>
    <xf numFmtId="176" fontId="42" fillId="18" borderId="0" xfId="2" applyNumberFormat="1" applyFont="1" applyFill="1" applyBorder="1" applyAlignment="1">
      <alignment horizontal="center"/>
    </xf>
    <xf numFmtId="176" fontId="40" fillId="18" borderId="19" xfId="2" applyNumberFormat="1" applyFont="1" applyFill="1" applyBorder="1" applyAlignment="1">
      <alignment horizontal="center"/>
    </xf>
    <xf numFmtId="176" fontId="40" fillId="18" borderId="0" xfId="2" applyNumberFormat="1" applyFont="1" applyFill="1" applyBorder="1" applyAlignment="1">
      <alignment horizontal="center"/>
    </xf>
    <xf numFmtId="195" fontId="40" fillId="18" borderId="0" xfId="2" applyNumberFormat="1" applyFont="1" applyFill="1" applyBorder="1" applyAlignment="1">
      <alignment horizontal="center"/>
    </xf>
    <xf numFmtId="176" fontId="121" fillId="18" borderId="0" xfId="2" applyNumberFormat="1" applyFont="1" applyFill="1" applyBorder="1" applyAlignment="1">
      <alignment horizontal="center"/>
    </xf>
    <xf numFmtId="176" fontId="121" fillId="18" borderId="19" xfId="2" applyNumberFormat="1" applyFont="1" applyFill="1" applyBorder="1" applyAlignment="1">
      <alignment horizontal="center"/>
    </xf>
    <xf numFmtId="5" fontId="40" fillId="33" borderId="0" xfId="50" applyNumberFormat="1" applyFont="1" applyFill="1"/>
    <xf numFmtId="5" fontId="40" fillId="33" borderId="19" xfId="50" applyNumberFormat="1" applyFont="1" applyFill="1" applyBorder="1"/>
    <xf numFmtId="5" fontId="121" fillId="33" borderId="0" xfId="50" applyNumberFormat="1" applyFont="1" applyFill="1"/>
    <xf numFmtId="9" fontId="39" fillId="33" borderId="0" xfId="50" applyNumberFormat="1" applyFont="1" applyFill="1"/>
    <xf numFmtId="9" fontId="39" fillId="33" borderId="19" xfId="50" applyNumberFormat="1" applyFont="1" applyFill="1" applyBorder="1"/>
    <xf numFmtId="9" fontId="56" fillId="33" borderId="19" xfId="50" applyNumberFormat="1" applyFont="1" applyFill="1" applyBorder="1"/>
    <xf numFmtId="9" fontId="56" fillId="33" borderId="0" xfId="50" applyNumberFormat="1" applyFont="1" applyFill="1"/>
    <xf numFmtId="38" fontId="39" fillId="33" borderId="0" xfId="50" applyFont="1" applyFill="1"/>
    <xf numFmtId="38" fontId="40" fillId="33" borderId="19" xfId="50" applyFont="1" applyFill="1" applyBorder="1"/>
    <xf numFmtId="38" fontId="39" fillId="33" borderId="19" xfId="50" applyFont="1" applyFill="1" applyBorder="1"/>
    <xf numFmtId="9" fontId="39" fillId="33" borderId="0" xfId="57" applyFont="1" applyFill="1"/>
    <xf numFmtId="9" fontId="56" fillId="33" borderId="0" xfId="57" applyFont="1" applyFill="1"/>
    <xf numFmtId="38" fontId="56" fillId="33" borderId="0" xfId="50" applyFont="1" applyFill="1"/>
    <xf numFmtId="38" fontId="56" fillId="33" borderId="19" xfId="50" applyFont="1" applyFill="1" applyBorder="1"/>
    <xf numFmtId="0" fontId="39" fillId="33" borderId="0" xfId="0" applyFont="1" applyFill="1"/>
    <xf numFmtId="0" fontId="39" fillId="33" borderId="0" xfId="2" applyFont="1" applyFill="1"/>
    <xf numFmtId="5" fontId="39" fillId="33" borderId="0" xfId="0" applyNumberFormat="1" applyFont="1" applyFill="1"/>
    <xf numFmtId="171" fontId="39" fillId="33" borderId="0" xfId="57" applyNumberFormat="1" applyFont="1" applyFill="1"/>
    <xf numFmtId="199" fontId="76" fillId="17" borderId="0" xfId="57" applyNumberFormat="1" applyFont="1" applyFill="1"/>
    <xf numFmtId="9" fontId="76" fillId="0" borderId="0" xfId="57" applyFont="1" applyFill="1"/>
    <xf numFmtId="5" fontId="39" fillId="0" borderId="0" xfId="2" applyNumberFormat="1" applyFont="1" applyFill="1" applyAlignment="1">
      <alignment horizontal="right"/>
    </xf>
    <xf numFmtId="5" fontId="120" fillId="0" borderId="0" xfId="2" applyNumberFormat="1" applyFont="1" applyFill="1" applyAlignment="1">
      <alignment horizontal="right"/>
    </xf>
    <xf numFmtId="5" fontId="39" fillId="0" borderId="19" xfId="2" applyNumberFormat="1" applyFont="1" applyFill="1" applyBorder="1" applyAlignment="1">
      <alignment horizontal="right"/>
    </xf>
    <xf numFmtId="5" fontId="40" fillId="17" borderId="0" xfId="2" applyNumberFormat="1" applyFont="1" applyFill="1" applyBorder="1" applyAlignment="1">
      <alignment horizontal="right"/>
    </xf>
    <xf numFmtId="171" fontId="39" fillId="17" borderId="0" xfId="50" applyNumberFormat="1" applyFont="1" applyFill="1"/>
    <xf numFmtId="38" fontId="131" fillId="17" borderId="0" xfId="50" applyFont="1" applyFill="1"/>
    <xf numFmtId="171" fontId="131" fillId="17" borderId="0" xfId="50" applyNumberFormat="1" applyFont="1" applyFill="1"/>
    <xf numFmtId="0" fontId="39" fillId="25" borderId="12" xfId="0" applyFont="1" applyFill="1" applyBorder="1"/>
    <xf numFmtId="0" fontId="39" fillId="25" borderId="12" xfId="2" applyFont="1" applyFill="1" applyBorder="1"/>
    <xf numFmtId="5" fontId="39" fillId="25" borderId="12" xfId="0" applyNumberFormat="1" applyFont="1" applyFill="1" applyBorder="1"/>
    <xf numFmtId="9" fontId="39" fillId="25" borderId="31" xfId="50" applyNumberFormat="1" applyFont="1" applyFill="1" applyBorder="1"/>
    <xf numFmtId="0" fontId="39" fillId="25" borderId="0" xfId="0" applyFont="1" applyFill="1" applyBorder="1"/>
    <xf numFmtId="171" fontId="39" fillId="25" borderId="0" xfId="57" applyNumberFormat="1" applyFont="1" applyFill="1" applyBorder="1"/>
    <xf numFmtId="9" fontId="39" fillId="25" borderId="0" xfId="57" applyFont="1" applyFill="1" applyBorder="1"/>
    <xf numFmtId="5" fontId="39" fillId="25" borderId="0" xfId="0" applyNumberFormat="1" applyFont="1" applyFill="1" applyBorder="1"/>
    <xf numFmtId="9" fontId="39" fillId="25" borderId="33" xfId="50" applyNumberFormat="1" applyFont="1" applyFill="1" applyBorder="1"/>
    <xf numFmtId="0" fontId="39" fillId="25" borderId="13" xfId="0" applyFont="1" applyFill="1" applyBorder="1"/>
    <xf numFmtId="0" fontId="39" fillId="25" borderId="13" xfId="2" applyFont="1" applyFill="1" applyBorder="1"/>
    <xf numFmtId="171" fontId="39" fillId="25" borderId="13" xfId="57" applyNumberFormat="1" applyFont="1" applyFill="1" applyBorder="1"/>
    <xf numFmtId="5" fontId="39" fillId="25" borderId="13" xfId="57" applyNumberFormat="1" applyFont="1" applyFill="1" applyBorder="1"/>
    <xf numFmtId="38" fontId="120" fillId="17" borderId="12" xfId="50" applyFont="1" applyFill="1" applyBorder="1"/>
    <xf numFmtId="171" fontId="39" fillId="17" borderId="12" xfId="50" applyNumberFormat="1" applyFont="1" applyFill="1" applyBorder="1"/>
    <xf numFmtId="38" fontId="120" fillId="17" borderId="0" xfId="50" applyFont="1" applyFill="1" applyBorder="1"/>
    <xf numFmtId="171" fontId="39" fillId="17" borderId="0" xfId="50" applyNumberFormat="1" applyFont="1" applyFill="1" applyBorder="1"/>
    <xf numFmtId="38" fontId="120" fillId="17" borderId="13" xfId="50" applyFont="1" applyFill="1" applyBorder="1"/>
    <xf numFmtId="171" fontId="39" fillId="17" borderId="13" xfId="50" applyNumberFormat="1" applyFont="1" applyFill="1" applyBorder="1"/>
    <xf numFmtId="0" fontId="40" fillId="25" borderId="32" xfId="0" applyFont="1" applyFill="1" applyBorder="1"/>
    <xf numFmtId="0" fontId="40" fillId="25" borderId="31" xfId="0" applyFont="1" applyFill="1" applyBorder="1"/>
    <xf numFmtId="9" fontId="40" fillId="25" borderId="31" xfId="50" applyNumberFormat="1" applyFont="1" applyFill="1" applyBorder="1"/>
    <xf numFmtId="38" fontId="39" fillId="17" borderId="21" xfId="50" applyFont="1" applyFill="1" applyBorder="1"/>
    <xf numFmtId="6" fontId="39" fillId="17" borderId="19" xfId="50" applyNumberFormat="1" applyFont="1" applyFill="1" applyBorder="1"/>
    <xf numFmtId="5" fontId="39" fillId="33" borderId="19" xfId="2" applyNumberFormat="1" applyFont="1" applyFill="1" applyBorder="1"/>
    <xf numFmtId="0" fontId="39" fillId="33" borderId="19" xfId="0" applyFont="1" applyFill="1" applyBorder="1"/>
    <xf numFmtId="0" fontId="39" fillId="33" borderId="19" xfId="2" applyFont="1" applyFill="1" applyBorder="1"/>
    <xf numFmtId="5" fontId="39" fillId="25" borderId="21" xfId="0" applyNumberFormat="1" applyFont="1" applyFill="1" applyBorder="1"/>
    <xf numFmtId="0" fontId="39" fillId="25" borderId="19" xfId="0" applyFont="1" applyFill="1" applyBorder="1"/>
    <xf numFmtId="0" fontId="39" fillId="25" borderId="19" xfId="2" applyFont="1" applyFill="1" applyBorder="1"/>
    <xf numFmtId="5" fontId="39" fillId="25" borderId="19" xfId="0" applyNumberFormat="1" applyFont="1" applyFill="1" applyBorder="1"/>
    <xf numFmtId="0" fontId="39" fillId="25" borderId="20" xfId="0" applyFont="1" applyFill="1" applyBorder="1"/>
    <xf numFmtId="0" fontId="1" fillId="25" borderId="19" xfId="0" applyFont="1" applyFill="1" applyBorder="1"/>
    <xf numFmtId="9" fontId="40" fillId="17" borderId="19" xfId="50" applyNumberFormat="1" applyFont="1" applyFill="1" applyBorder="1"/>
    <xf numFmtId="9" fontId="40" fillId="17" borderId="20" xfId="50" applyNumberFormat="1" applyFont="1" applyFill="1" applyBorder="1"/>
    <xf numFmtId="0" fontId="0" fillId="0" borderId="19" xfId="0" applyBorder="1"/>
    <xf numFmtId="171" fontId="39" fillId="17" borderId="19" xfId="50" applyNumberFormat="1" applyFont="1" applyFill="1" applyBorder="1"/>
    <xf numFmtId="171" fontId="39" fillId="17" borderId="21" xfId="50" applyNumberFormat="1" applyFont="1" applyFill="1" applyBorder="1"/>
    <xf numFmtId="171" fontId="39" fillId="33" borderId="19" xfId="57" applyNumberFormat="1" applyFont="1" applyFill="1" applyBorder="1"/>
    <xf numFmtId="171" fontId="39" fillId="25" borderId="19" xfId="57" applyNumberFormat="1" applyFont="1" applyFill="1" applyBorder="1"/>
    <xf numFmtId="171" fontId="39" fillId="25" borderId="20" xfId="57" applyNumberFormat="1" applyFont="1" applyFill="1" applyBorder="1"/>
    <xf numFmtId="9" fontId="39" fillId="33" borderId="19" xfId="57" applyFont="1" applyFill="1" applyBorder="1"/>
    <xf numFmtId="9" fontId="39" fillId="25" borderId="19" xfId="57" applyFont="1" applyFill="1" applyBorder="1"/>
    <xf numFmtId="5" fontId="39" fillId="25" borderId="20" xfId="57" applyNumberFormat="1" applyFont="1" applyFill="1" applyBorder="1"/>
    <xf numFmtId="5" fontId="54" fillId="17" borderId="21" xfId="50" applyNumberFormat="1" applyFont="1" applyFill="1" applyBorder="1"/>
    <xf numFmtId="9" fontId="54" fillId="17" borderId="19" xfId="50" applyNumberFormat="1" applyFont="1" applyFill="1" applyBorder="1"/>
    <xf numFmtId="9" fontId="54" fillId="17" borderId="20" xfId="50" applyNumberFormat="1" applyFont="1" applyFill="1" applyBorder="1"/>
    <xf numFmtId="38" fontId="131" fillId="17" borderId="19" xfId="50" applyFont="1" applyFill="1" applyBorder="1"/>
    <xf numFmtId="171" fontId="131" fillId="17" borderId="19" xfId="50" applyNumberFormat="1" applyFont="1" applyFill="1" applyBorder="1"/>
    <xf numFmtId="38" fontId="131" fillId="17" borderId="12" xfId="50" applyFont="1" applyFill="1" applyBorder="1"/>
    <xf numFmtId="38" fontId="131" fillId="17" borderId="21" xfId="50" applyFont="1" applyFill="1" applyBorder="1"/>
    <xf numFmtId="171" fontId="131" fillId="17" borderId="0" xfId="50" applyNumberFormat="1" applyFont="1" applyFill="1" applyBorder="1"/>
    <xf numFmtId="38" fontId="131" fillId="17" borderId="0" xfId="50" applyFont="1" applyFill="1" applyBorder="1"/>
    <xf numFmtId="171" fontId="131" fillId="17" borderId="13" xfId="50" applyNumberFormat="1" applyFont="1" applyFill="1" applyBorder="1"/>
    <xf numFmtId="38" fontId="131" fillId="17" borderId="20" xfId="50" applyFont="1" applyFill="1" applyBorder="1"/>
    <xf numFmtId="38" fontId="131" fillId="17" borderId="13" xfId="50" applyFont="1" applyFill="1" applyBorder="1"/>
    <xf numFmtId="5" fontId="131" fillId="33" borderId="0" xfId="0" applyNumberFormat="1" applyFont="1" applyFill="1"/>
    <xf numFmtId="5" fontId="131" fillId="33" borderId="19" xfId="2" applyNumberFormat="1" applyFont="1" applyFill="1" applyBorder="1"/>
    <xf numFmtId="171" fontId="131" fillId="33" borderId="0" xfId="57" applyNumberFormat="1" applyFont="1" applyFill="1"/>
    <xf numFmtId="171" fontId="131" fillId="33" borderId="19" xfId="57" applyNumberFormat="1" applyFont="1" applyFill="1" applyBorder="1"/>
    <xf numFmtId="9" fontId="131" fillId="33" borderId="0" xfId="57" applyFont="1" applyFill="1"/>
    <xf numFmtId="0" fontId="131" fillId="33" borderId="19" xfId="0" applyFont="1" applyFill="1" applyBorder="1"/>
    <xf numFmtId="0" fontId="131" fillId="33" borderId="0" xfId="0" applyFont="1" applyFill="1"/>
    <xf numFmtId="5" fontId="131" fillId="25" borderId="12" xfId="0" applyNumberFormat="1" applyFont="1" applyFill="1" applyBorder="1"/>
    <xf numFmtId="5" fontId="131" fillId="25" borderId="21" xfId="0" applyNumberFormat="1" applyFont="1" applyFill="1" applyBorder="1"/>
    <xf numFmtId="171" fontId="131" fillId="25" borderId="0" xfId="57" applyNumberFormat="1" applyFont="1" applyFill="1" applyBorder="1"/>
    <xf numFmtId="171" fontId="131" fillId="25" borderId="19" xfId="57" applyNumberFormat="1" applyFont="1" applyFill="1" applyBorder="1"/>
    <xf numFmtId="9" fontId="131" fillId="25" borderId="0" xfId="57" applyFont="1" applyFill="1" applyBorder="1"/>
    <xf numFmtId="0" fontId="131" fillId="25" borderId="19" xfId="0" applyFont="1" applyFill="1" applyBorder="1"/>
    <xf numFmtId="5" fontId="131" fillId="25" borderId="0" xfId="57" applyNumberFormat="1" applyFont="1" applyFill="1" applyBorder="1"/>
    <xf numFmtId="5" fontId="131" fillId="25" borderId="19" xfId="57" applyNumberFormat="1" applyFont="1" applyFill="1" applyBorder="1"/>
    <xf numFmtId="5" fontId="131" fillId="25" borderId="0" xfId="0" applyNumberFormat="1" applyFont="1" applyFill="1" applyBorder="1"/>
    <xf numFmtId="5" fontId="131" fillId="25" borderId="19" xfId="0" applyNumberFormat="1" applyFont="1" applyFill="1" applyBorder="1"/>
    <xf numFmtId="0" fontId="131" fillId="25" borderId="20" xfId="0" applyFont="1" applyFill="1" applyBorder="1"/>
    <xf numFmtId="171" fontId="131" fillId="25" borderId="13" xfId="57" applyNumberFormat="1" applyFont="1" applyFill="1" applyBorder="1"/>
    <xf numFmtId="171" fontId="131" fillId="25" borderId="20" xfId="57" applyNumberFormat="1" applyFont="1" applyFill="1" applyBorder="1"/>
    <xf numFmtId="0" fontId="132" fillId="25" borderId="0" xfId="0" applyFont="1" applyFill="1"/>
    <xf numFmtId="0" fontId="132" fillId="25" borderId="19" xfId="0" applyFont="1" applyFill="1" applyBorder="1"/>
    <xf numFmtId="0" fontId="132" fillId="25" borderId="21" xfId="0" applyFont="1" applyFill="1" applyBorder="1"/>
    <xf numFmtId="5" fontId="131" fillId="17" borderId="0" xfId="50" applyNumberFormat="1" applyFont="1" applyFill="1"/>
    <xf numFmtId="5" fontId="133" fillId="17" borderId="19" xfId="50" applyNumberFormat="1" applyFont="1" applyFill="1" applyBorder="1"/>
    <xf numFmtId="9" fontId="131" fillId="17" borderId="0" xfId="50" applyNumberFormat="1" applyFont="1" applyFill="1"/>
    <xf numFmtId="9" fontId="131" fillId="17" borderId="19" xfId="50" applyNumberFormat="1" applyFont="1" applyFill="1" applyBorder="1"/>
    <xf numFmtId="5" fontId="131" fillId="17" borderId="12" xfId="50" applyNumberFormat="1" applyFont="1" applyFill="1" applyBorder="1"/>
    <xf numFmtId="5" fontId="133" fillId="17" borderId="21" xfId="50" applyNumberFormat="1" applyFont="1" applyFill="1" applyBorder="1"/>
    <xf numFmtId="9" fontId="131" fillId="17" borderId="0" xfId="50" applyNumberFormat="1" applyFont="1" applyFill="1" applyBorder="1"/>
    <xf numFmtId="9" fontId="133" fillId="17" borderId="19" xfId="50" applyNumberFormat="1" applyFont="1" applyFill="1" applyBorder="1"/>
    <xf numFmtId="9" fontId="131" fillId="17" borderId="13" xfId="50" applyNumberFormat="1" applyFont="1" applyFill="1" applyBorder="1"/>
    <xf numFmtId="9" fontId="133" fillId="17" borderId="20" xfId="50" applyNumberFormat="1" applyFont="1" applyFill="1" applyBorder="1"/>
    <xf numFmtId="0" fontId="133" fillId="18" borderId="12" xfId="2" applyFont="1" applyFill="1" applyBorder="1" applyAlignment="1">
      <alignment horizontal="center"/>
    </xf>
    <xf numFmtId="0" fontId="133" fillId="18" borderId="21" xfId="2" applyFont="1" applyFill="1" applyBorder="1" applyAlignment="1">
      <alignment horizontal="center"/>
    </xf>
    <xf numFmtId="176" fontId="133" fillId="18" borderId="13" xfId="2" applyNumberFormat="1" applyFont="1" applyFill="1" applyBorder="1" applyAlignment="1">
      <alignment horizontal="center"/>
    </xf>
    <xf numFmtId="176" fontId="133" fillId="18" borderId="20" xfId="2" applyNumberFormat="1" applyFont="1" applyFill="1" applyBorder="1" applyAlignment="1">
      <alignment horizontal="center"/>
    </xf>
    <xf numFmtId="5" fontId="131" fillId="17" borderId="19" xfId="50" applyNumberFormat="1" applyFont="1" applyFill="1" applyBorder="1"/>
    <xf numFmtId="9" fontId="131" fillId="17" borderId="20" xfId="50" applyNumberFormat="1" applyFont="1" applyFill="1" applyBorder="1"/>
    <xf numFmtId="0" fontId="132" fillId="0" borderId="0" xfId="0" applyFont="1"/>
    <xf numFmtId="0" fontId="132" fillId="0" borderId="19" xfId="0" applyFont="1" applyBorder="1"/>
    <xf numFmtId="38" fontId="40" fillId="32" borderId="0" xfId="50" applyFont="1" applyFill="1"/>
    <xf numFmtId="38" fontId="39" fillId="32" borderId="0" xfId="50" applyFont="1" applyFill="1"/>
    <xf numFmtId="38" fontId="120" fillId="32" borderId="0" xfId="50" applyFont="1" applyFill="1"/>
    <xf numFmtId="38" fontId="39" fillId="32" borderId="19" xfId="50" applyFont="1" applyFill="1" applyBorder="1"/>
    <xf numFmtId="38" fontId="131" fillId="32" borderId="0" xfId="50" applyFont="1" applyFill="1"/>
    <xf numFmtId="38" fontId="131" fillId="32" borderId="19" xfId="50" applyFont="1" applyFill="1" applyBorder="1"/>
    <xf numFmtId="0" fontId="30" fillId="0" borderId="31" xfId="2" applyFont="1" applyBorder="1" applyAlignment="1">
      <alignment horizontal="left"/>
    </xf>
    <xf numFmtId="5" fontId="30" fillId="0" borderId="31" xfId="2" applyNumberFormat="1" applyFont="1" applyBorder="1"/>
    <xf numFmtId="0" fontId="1" fillId="0" borderId="32" xfId="0" applyFont="1" applyBorder="1"/>
    <xf numFmtId="0" fontId="0" fillId="0" borderId="12" xfId="0" applyBorder="1"/>
    <xf numFmtId="5" fontId="0" fillId="0" borderId="12" xfId="0" applyNumberFormat="1" applyBorder="1"/>
    <xf numFmtId="5" fontId="0" fillId="0" borderId="22" xfId="0" applyNumberFormat="1" applyBorder="1"/>
    <xf numFmtId="0" fontId="1" fillId="0" borderId="31" xfId="0" applyFont="1" applyBorder="1"/>
    <xf numFmtId="5" fontId="0" fillId="0" borderId="0" xfId="0" applyNumberFormat="1" applyBorder="1"/>
    <xf numFmtId="5" fontId="0" fillId="0" borderId="23" xfId="0" applyNumberFormat="1" applyBorder="1"/>
    <xf numFmtId="0" fontId="0" fillId="0" borderId="31" xfId="0" applyBorder="1"/>
    <xf numFmtId="0" fontId="0" fillId="0" borderId="23" xfId="0" applyBorder="1"/>
    <xf numFmtId="0" fontId="1" fillId="0" borderId="33" xfId="0" applyFont="1" applyBorder="1"/>
    <xf numFmtId="0" fontId="0" fillId="0" borderId="13" xfId="0" applyBorder="1"/>
    <xf numFmtId="5" fontId="0" fillId="0" borderId="13" xfId="0" applyNumberFormat="1" applyBorder="1"/>
    <xf numFmtId="5" fontId="0" fillId="0" borderId="24" xfId="0" applyNumberFormat="1" applyBorder="1"/>
    <xf numFmtId="0" fontId="0" fillId="0" borderId="33" xfId="0" applyBorder="1"/>
    <xf numFmtId="0" fontId="0" fillId="0" borderId="24" xfId="0" applyBorder="1"/>
    <xf numFmtId="5" fontId="0" fillId="0" borderId="32" xfId="0" applyNumberFormat="1" applyBorder="1"/>
    <xf numFmtId="9" fontId="1" fillId="0" borderId="12" xfId="57" applyNumberFormat="1" applyBorder="1" applyAlignment="1">
      <alignment horizontal="right"/>
    </xf>
    <xf numFmtId="5" fontId="0" fillId="0" borderId="31" xfId="0" applyNumberFormat="1" applyBorder="1"/>
    <xf numFmtId="5" fontId="0" fillId="0" borderId="33" xfId="0" applyNumberFormat="1" applyBorder="1"/>
    <xf numFmtId="5" fontId="0" fillId="0" borderId="0" xfId="2" applyNumberFormat="1" applyFont="1" applyFill="1" applyBorder="1" applyAlignment="1">
      <alignment horizontal="right"/>
    </xf>
    <xf numFmtId="5" fontId="0" fillId="0" borderId="23" xfId="2" applyNumberFormat="1" applyFont="1" applyFill="1" applyBorder="1" applyAlignment="1">
      <alignment horizontal="right"/>
    </xf>
    <xf numFmtId="9" fontId="130" fillId="0" borderId="0" xfId="57" applyNumberFormat="1" applyFont="1" applyFill="1" applyBorder="1" applyAlignment="1">
      <alignment horizontal="right"/>
    </xf>
    <xf numFmtId="9" fontId="130" fillId="0" borderId="23" xfId="57" applyFont="1" applyFill="1" applyBorder="1" applyAlignment="1">
      <alignment horizontal="right"/>
    </xf>
    <xf numFmtId="9" fontId="130" fillId="0" borderId="31" xfId="57" applyNumberFormat="1" applyFont="1" applyFill="1" applyBorder="1" applyAlignment="1">
      <alignment horizontal="right"/>
    </xf>
    <xf numFmtId="0" fontId="0" fillId="27" borderId="0" xfId="0" applyFill="1"/>
    <xf numFmtId="9" fontId="0" fillId="27" borderId="0" xfId="2" applyNumberFormat="1" applyFont="1" applyFill="1"/>
    <xf numFmtId="9" fontId="0" fillId="27" borderId="0" xfId="57" applyFont="1" applyFill="1"/>
    <xf numFmtId="0" fontId="0" fillId="27" borderId="0" xfId="2" applyFont="1" applyFill="1" applyBorder="1"/>
    <xf numFmtId="49" fontId="78" fillId="27" borderId="20" xfId="2" applyNumberFormat="1" applyFont="1" applyFill="1" applyBorder="1" applyAlignment="1">
      <alignment horizontal="right"/>
    </xf>
    <xf numFmtId="197" fontId="0" fillId="27" borderId="0" xfId="35" applyNumberFormat="1" applyFont="1" applyFill="1"/>
    <xf numFmtId="43" fontId="83" fillId="0" borderId="0" xfId="35" applyFont="1" applyFill="1" applyBorder="1"/>
    <xf numFmtId="197" fontId="30" fillId="0" borderId="19" xfId="35" applyNumberFormat="1" applyFont="1" applyBorder="1" applyAlignment="1">
      <alignment horizontal="right"/>
    </xf>
    <xf numFmtId="199" fontId="1" fillId="0" borderId="19" xfId="38" applyNumberFormat="1" applyFont="1" applyBorder="1" applyAlignment="1">
      <alignment horizontal="right"/>
    </xf>
    <xf numFmtId="197" fontId="1" fillId="0" borderId="21" xfId="35" applyNumberFormat="1" applyFont="1" applyBorder="1" applyAlignment="1">
      <alignment horizontal="right"/>
    </xf>
    <xf numFmtId="197" fontId="1" fillId="0" borderId="19" xfId="35" applyNumberFormat="1" applyFont="1" applyBorder="1" applyAlignment="1">
      <alignment horizontal="right"/>
    </xf>
    <xf numFmtId="197" fontId="30" fillId="0" borderId="23" xfId="35" applyNumberFormat="1" applyFont="1" applyBorder="1" applyAlignment="1">
      <alignment horizontal="right"/>
    </xf>
    <xf numFmtId="197" fontId="30" fillId="0" borderId="23" xfId="2" applyNumberFormat="1" applyFont="1" applyBorder="1" applyAlignment="1">
      <alignment horizontal="right"/>
    </xf>
    <xf numFmtId="220" fontId="0" fillId="0" borderId="21" xfId="35" applyNumberFormat="1" applyFont="1" applyBorder="1"/>
    <xf numFmtId="220" fontId="0" fillId="0" borderId="19" xfId="35" applyNumberFormat="1" applyFont="1" applyBorder="1"/>
    <xf numFmtId="220" fontId="0" fillId="0" borderId="20" xfId="35" applyNumberFormat="1" applyFont="1" applyBorder="1"/>
    <xf numFmtId="0" fontId="0" fillId="0" borderId="21" xfId="0" applyBorder="1"/>
    <xf numFmtId="0" fontId="0" fillId="0" borderId="20" xfId="0" applyBorder="1"/>
    <xf numFmtId="175" fontId="30" fillId="0" borderId="21" xfId="2" applyNumberFormat="1" applyFont="1" applyBorder="1" applyAlignment="1">
      <alignment horizontal="right"/>
    </xf>
    <xf numFmtId="197" fontId="30" fillId="0" borderId="19" xfId="2" applyNumberFormat="1" applyFont="1" applyBorder="1" applyAlignment="1">
      <alignment horizontal="right"/>
    </xf>
    <xf numFmtId="10" fontId="36" fillId="25" borderId="0" xfId="57" applyNumberFormat="1" applyFont="1" applyFill="1" applyBorder="1"/>
    <xf numFmtId="9" fontId="6" fillId="34" borderId="23" xfId="50" applyNumberFormat="1" applyFont="1" applyFill="1" applyBorder="1"/>
    <xf numFmtId="1" fontId="40" fillId="34" borderId="0" xfId="37" applyNumberFormat="1" applyFont="1" applyFill="1" applyBorder="1" applyAlignment="1">
      <alignment horizontal="right"/>
    </xf>
    <xf numFmtId="17" fontId="40" fillId="34" borderId="0" xfId="50" quotePrefix="1" applyNumberFormat="1" applyFont="1" applyFill="1" applyBorder="1" applyAlignment="1">
      <alignment horizontal="right"/>
    </xf>
    <xf numFmtId="195" fontId="52" fillId="34" borderId="0" xfId="50" quotePrefix="1" applyNumberFormat="1" applyFont="1" applyFill="1" applyBorder="1" applyAlignment="1">
      <alignment horizontal="right"/>
    </xf>
    <xf numFmtId="0" fontId="52" fillId="34" borderId="0" xfId="37" applyNumberFormat="1" applyFont="1" applyFill="1" applyBorder="1" applyAlignment="1">
      <alignment horizontal="right"/>
    </xf>
    <xf numFmtId="17" fontId="52" fillId="34" borderId="0" xfId="50" quotePrefix="1" applyNumberFormat="1" applyFont="1" applyFill="1" applyBorder="1" applyAlignment="1">
      <alignment horizontal="right"/>
    </xf>
    <xf numFmtId="38" fontId="40" fillId="34" borderId="0" xfId="50" applyFont="1" applyFill="1" applyBorder="1" applyAlignment="1">
      <alignment horizontal="right"/>
    </xf>
    <xf numFmtId="212" fontId="40" fillId="34" borderId="0" xfId="50" applyNumberFormat="1" applyFont="1" applyFill="1" applyBorder="1" applyAlignment="1">
      <alignment horizontal="right"/>
    </xf>
    <xf numFmtId="193" fontId="40" fillId="34" borderId="0" xfId="50" quotePrefix="1" applyNumberFormat="1" applyFont="1" applyFill="1" applyBorder="1" applyAlignment="1">
      <alignment horizontal="right"/>
    </xf>
    <xf numFmtId="212" fontId="40" fillId="34" borderId="14" xfId="50" applyNumberFormat="1" applyFont="1" applyFill="1" applyBorder="1" applyAlignment="1">
      <alignment horizontal="right"/>
    </xf>
    <xf numFmtId="193" fontId="40" fillId="34" borderId="14" xfId="50" quotePrefix="1" applyNumberFormat="1" applyFont="1" applyFill="1" applyBorder="1" applyAlignment="1">
      <alignment horizontal="right"/>
    </xf>
    <xf numFmtId="193" fontId="54" fillId="34" borderId="0" xfId="50" quotePrefix="1" applyNumberFormat="1" applyFont="1" applyFill="1" applyBorder="1" applyAlignment="1">
      <alignment horizontal="right"/>
    </xf>
    <xf numFmtId="193" fontId="54" fillId="34" borderId="14" xfId="50" quotePrefix="1" applyNumberFormat="1" applyFont="1" applyFill="1" applyBorder="1" applyAlignment="1">
      <alignment horizontal="right"/>
    </xf>
    <xf numFmtId="38" fontId="39" fillId="34" borderId="0" xfId="50" applyFont="1" applyFill="1" applyBorder="1"/>
    <xf numFmtId="221" fontId="40" fillId="34" borderId="51" xfId="37" applyNumberFormat="1" applyFont="1" applyFill="1" applyBorder="1" applyAlignment="1">
      <alignment horizontal="right"/>
    </xf>
    <xf numFmtId="221" fontId="40" fillId="34" borderId="14" xfId="37" applyNumberFormat="1" applyFont="1" applyFill="1" applyBorder="1" applyAlignment="1">
      <alignment horizontal="right"/>
    </xf>
    <xf numFmtId="194" fontId="54" fillId="34" borderId="51" xfId="37" applyNumberFormat="1" applyFont="1" applyFill="1" applyBorder="1" applyAlignment="1">
      <alignment horizontal="right"/>
    </xf>
    <xf numFmtId="194" fontId="54" fillId="34" borderId="14" xfId="37" applyNumberFormat="1" applyFont="1" applyFill="1" applyBorder="1" applyAlignment="1">
      <alignment horizontal="right"/>
    </xf>
    <xf numFmtId="9" fontId="55" fillId="34" borderId="23" xfId="50" applyNumberFormat="1" applyFont="1" applyFill="1" applyBorder="1"/>
    <xf numFmtId="0" fontId="40" fillId="34" borderId="0" xfId="2" applyFont="1" applyFill="1"/>
    <xf numFmtId="0" fontId="40" fillId="34" borderId="14" xfId="2" applyFont="1" applyFill="1" applyBorder="1"/>
    <xf numFmtId="0" fontId="40" fillId="34" borderId="50" xfId="2" applyFont="1" applyFill="1" applyBorder="1"/>
    <xf numFmtId="0" fontId="40" fillId="34" borderId="12" xfId="2" applyFont="1" applyFill="1" applyBorder="1"/>
    <xf numFmtId="0" fontId="40" fillId="34" borderId="52" xfId="2" applyFont="1" applyFill="1" applyBorder="1"/>
    <xf numFmtId="9" fontId="39" fillId="34" borderId="23" xfId="50" applyNumberFormat="1" applyFont="1" applyFill="1" applyBorder="1"/>
    <xf numFmtId="0" fontId="39" fillId="34" borderId="0" xfId="2" applyFont="1" applyFill="1"/>
    <xf numFmtId="5" fontId="40" fillId="34" borderId="14" xfId="50" applyNumberFormat="1" applyFont="1" applyFill="1" applyBorder="1"/>
    <xf numFmtId="5" fontId="120" fillId="34" borderId="0" xfId="2" applyNumberFormat="1" applyFont="1" applyFill="1"/>
    <xf numFmtId="199" fontId="120" fillId="34" borderId="0" xfId="2" applyNumberFormat="1" applyFont="1" applyFill="1"/>
    <xf numFmtId="199" fontId="39" fillId="34" borderId="0" xfId="2" applyNumberFormat="1" applyFont="1" applyFill="1"/>
    <xf numFmtId="5" fontId="40" fillId="34" borderId="51" xfId="50" applyNumberFormat="1" applyFont="1" applyFill="1" applyBorder="1"/>
    <xf numFmtId="9" fontId="49" fillId="34" borderId="23" xfId="50" applyNumberFormat="1" applyFont="1" applyFill="1" applyBorder="1"/>
    <xf numFmtId="0" fontId="49" fillId="34" borderId="0" xfId="2" applyFont="1" applyFill="1"/>
    <xf numFmtId="9" fontId="49" fillId="34" borderId="14" xfId="50" applyNumberFormat="1" applyFont="1" applyFill="1" applyBorder="1"/>
    <xf numFmtId="0" fontId="49" fillId="34" borderId="0" xfId="2" applyFont="1" applyFill="1" applyBorder="1"/>
    <xf numFmtId="9" fontId="49" fillId="34" borderId="0" xfId="57" applyFont="1" applyFill="1"/>
    <xf numFmtId="9" fontId="49" fillId="34" borderId="51" xfId="50" applyNumberFormat="1" applyFont="1" applyFill="1" applyBorder="1"/>
    <xf numFmtId="9" fontId="39" fillId="34" borderId="51" xfId="50" applyNumberFormat="1" applyFont="1" applyFill="1" applyBorder="1"/>
    <xf numFmtId="9" fontId="39" fillId="34" borderId="14" xfId="50" applyNumberFormat="1" applyFont="1" applyFill="1" applyBorder="1"/>
    <xf numFmtId="9" fontId="49" fillId="34" borderId="0" xfId="50" applyNumberFormat="1" applyFont="1" applyFill="1" applyBorder="1"/>
    <xf numFmtId="9" fontId="49" fillId="34" borderId="14" xfId="57" applyFont="1" applyFill="1" applyBorder="1"/>
    <xf numFmtId="5" fontId="49" fillId="34" borderId="51" xfId="50" applyNumberFormat="1" applyFont="1" applyFill="1" applyBorder="1"/>
    <xf numFmtId="0" fontId="39" fillId="34" borderId="0" xfId="2" applyFont="1" applyFill="1" applyBorder="1"/>
    <xf numFmtId="5" fontId="49" fillId="34" borderId="0" xfId="57" applyNumberFormat="1" applyFont="1" applyFill="1"/>
    <xf numFmtId="0" fontId="49" fillId="34" borderId="13" xfId="2" applyFont="1" applyFill="1" applyBorder="1"/>
    <xf numFmtId="9" fontId="55" fillId="34" borderId="22" xfId="50" applyNumberFormat="1" applyFont="1" applyFill="1" applyBorder="1"/>
    <xf numFmtId="5" fontId="40" fillId="34" borderId="50" xfId="50" applyNumberFormat="1" applyFont="1" applyFill="1" applyBorder="1"/>
    <xf numFmtId="5" fontId="40" fillId="34" borderId="12" xfId="50" applyNumberFormat="1" applyFont="1" applyFill="1" applyBorder="1"/>
    <xf numFmtId="5" fontId="40" fillId="34" borderId="52" xfId="50" applyNumberFormat="1" applyFont="1" applyFill="1" applyBorder="1"/>
    <xf numFmtId="9" fontId="39" fillId="34" borderId="0" xfId="50" applyNumberFormat="1" applyFont="1" applyFill="1" applyBorder="1"/>
    <xf numFmtId="9" fontId="39" fillId="34" borderId="0" xfId="57" applyFont="1" applyFill="1"/>
    <xf numFmtId="9" fontId="39" fillId="34" borderId="24" xfId="50" applyNumberFormat="1" applyFont="1" applyFill="1" applyBorder="1"/>
    <xf numFmtId="0" fontId="39" fillId="34" borderId="13" xfId="2" applyFont="1" applyFill="1" applyBorder="1"/>
    <xf numFmtId="9" fontId="39" fillId="34" borderId="16" xfId="50" applyNumberFormat="1" applyFont="1" applyFill="1" applyBorder="1"/>
    <xf numFmtId="9" fontId="39" fillId="34" borderId="13" xfId="57" applyFont="1" applyFill="1" applyBorder="1"/>
    <xf numFmtId="9" fontId="39" fillId="34" borderId="16" xfId="57" applyFont="1" applyFill="1" applyBorder="1"/>
    <xf numFmtId="9" fontId="39" fillId="34" borderId="53" xfId="50" applyNumberFormat="1" applyFont="1" applyFill="1" applyBorder="1"/>
    <xf numFmtId="0" fontId="39" fillId="34" borderId="14" xfId="2" applyFont="1" applyFill="1" applyBorder="1"/>
    <xf numFmtId="0" fontId="39" fillId="34" borderId="51" xfId="2" applyFont="1" applyFill="1" applyBorder="1"/>
    <xf numFmtId="5" fontId="40" fillId="34" borderId="0" xfId="50" applyNumberFormat="1" applyFont="1" applyFill="1" applyBorder="1"/>
    <xf numFmtId="5" fontId="39" fillId="34" borderId="0" xfId="2" applyNumberFormat="1" applyFont="1" applyFill="1"/>
    <xf numFmtId="9" fontId="49" fillId="34" borderId="0" xfId="57" applyFont="1" applyFill="1" applyBorder="1"/>
    <xf numFmtId="9" fontId="39" fillId="34" borderId="0" xfId="57" applyFont="1" applyFill="1" applyBorder="1"/>
    <xf numFmtId="9" fontId="39" fillId="34" borderId="13" xfId="50" applyNumberFormat="1" applyFont="1" applyFill="1" applyBorder="1"/>
    <xf numFmtId="9" fontId="57" fillId="34" borderId="23" xfId="50" applyNumberFormat="1" applyFont="1" applyFill="1" applyBorder="1"/>
    <xf numFmtId="5" fontId="39" fillId="34" borderId="14" xfId="50" applyNumberFormat="1" applyFont="1" applyFill="1" applyBorder="1"/>
    <xf numFmtId="5" fontId="120" fillId="34" borderId="0" xfId="50" applyNumberFormat="1" applyFont="1" applyFill="1" applyBorder="1"/>
    <xf numFmtId="5" fontId="39" fillId="34" borderId="0" xfId="50" applyNumberFormat="1" applyFont="1" applyFill="1" applyBorder="1"/>
    <xf numFmtId="5" fontId="39" fillId="34" borderId="51" xfId="50" applyNumberFormat="1" applyFont="1" applyFill="1" applyBorder="1"/>
    <xf numFmtId="9" fontId="40" fillId="34" borderId="67" xfId="50" applyNumberFormat="1" applyFont="1" applyFill="1" applyBorder="1"/>
    <xf numFmtId="0" fontId="40" fillId="34" borderId="11" xfId="2" applyFont="1" applyFill="1" applyBorder="1"/>
    <xf numFmtId="5" fontId="40" fillId="34" borderId="54" xfId="50" applyNumberFormat="1" applyFont="1" applyFill="1" applyBorder="1"/>
    <xf numFmtId="5" fontId="40" fillId="34" borderId="11" xfId="50" applyNumberFormat="1" applyFont="1" applyFill="1" applyBorder="1"/>
    <xf numFmtId="5" fontId="40" fillId="34" borderId="74" xfId="50" applyNumberFormat="1" applyFont="1" applyFill="1" applyBorder="1"/>
    <xf numFmtId="9" fontId="39" fillId="34" borderId="68" xfId="50" applyNumberFormat="1" applyFont="1" applyFill="1" applyBorder="1"/>
    <xf numFmtId="9" fontId="39" fillId="34" borderId="69" xfId="50" applyNumberFormat="1" applyFont="1" applyFill="1" applyBorder="1"/>
    <xf numFmtId="0" fontId="39" fillId="34" borderId="28" xfId="2" applyFont="1" applyFill="1" applyBorder="1"/>
    <xf numFmtId="9" fontId="39" fillId="34" borderId="55" xfId="50" applyNumberFormat="1" applyFont="1" applyFill="1" applyBorder="1"/>
    <xf numFmtId="9" fontId="39" fillId="34" borderId="28" xfId="50" applyNumberFormat="1" applyFont="1" applyFill="1" applyBorder="1"/>
    <xf numFmtId="5" fontId="39" fillId="34" borderId="55" xfId="50" applyNumberFormat="1" applyFont="1" applyFill="1" applyBorder="1"/>
    <xf numFmtId="9" fontId="39" fillId="34" borderId="56" xfId="50" applyNumberFormat="1" applyFont="1" applyFill="1" applyBorder="1"/>
    <xf numFmtId="9" fontId="39" fillId="34" borderId="14" xfId="57" applyFont="1" applyFill="1" applyBorder="1"/>
    <xf numFmtId="197" fontId="39" fillId="34" borderId="0" xfId="35" applyNumberFormat="1" applyFont="1" applyFill="1"/>
    <xf numFmtId="9" fontId="48" fillId="34" borderId="23" xfId="50" applyNumberFormat="1" applyFont="1" applyFill="1" applyBorder="1"/>
    <xf numFmtId="0" fontId="46" fillId="34" borderId="0" xfId="2" applyFont="1" applyFill="1"/>
    <xf numFmtId="9" fontId="46" fillId="34" borderId="14" xfId="50" applyNumberFormat="1" applyFont="1" applyFill="1" applyBorder="1"/>
    <xf numFmtId="9" fontId="46" fillId="34" borderId="0" xfId="50" applyNumberFormat="1" applyFont="1" applyFill="1" applyBorder="1"/>
    <xf numFmtId="9" fontId="46" fillId="34" borderId="51" xfId="50" applyNumberFormat="1" applyFont="1" applyFill="1" applyBorder="1"/>
    <xf numFmtId="9" fontId="40" fillId="34" borderId="23" xfId="50" applyNumberFormat="1" applyFont="1" applyFill="1" applyBorder="1"/>
    <xf numFmtId="0" fontId="40" fillId="34" borderId="0" xfId="2" applyFont="1" applyFill="1" applyBorder="1"/>
    <xf numFmtId="9" fontId="40" fillId="34" borderId="14" xfId="57" applyFont="1" applyFill="1" applyBorder="1"/>
    <xf numFmtId="0" fontId="40" fillId="34" borderId="51" xfId="2" applyFont="1" applyFill="1" applyBorder="1"/>
    <xf numFmtId="3" fontId="39" fillId="34" borderId="0" xfId="2" applyNumberFormat="1" applyFont="1" applyFill="1"/>
    <xf numFmtId="199" fontId="39" fillId="34" borderId="14" xfId="50" applyNumberFormat="1" applyFont="1" applyFill="1" applyBorder="1"/>
    <xf numFmtId="3" fontId="120" fillId="34" borderId="0" xfId="2" applyNumberFormat="1" applyFont="1" applyFill="1"/>
    <xf numFmtId="9" fontId="57" fillId="34" borderId="0" xfId="57" applyFont="1" applyFill="1"/>
    <xf numFmtId="171" fontId="57" fillId="34" borderId="0" xfId="57" applyNumberFormat="1" applyFont="1" applyFill="1"/>
    <xf numFmtId="9" fontId="39" fillId="34" borderId="0" xfId="57" applyNumberFormat="1" applyFont="1" applyFill="1"/>
    <xf numFmtId="9" fontId="39" fillId="34" borderId="67" xfId="50" applyNumberFormat="1" applyFont="1" applyFill="1" applyBorder="1"/>
    <xf numFmtId="0" fontId="39" fillId="34" borderId="11" xfId="2" applyFont="1" applyFill="1" applyBorder="1"/>
    <xf numFmtId="9" fontId="39" fillId="34" borderId="54" xfId="50" applyNumberFormat="1" applyFont="1" applyFill="1" applyBorder="1"/>
    <xf numFmtId="3" fontId="39" fillId="34" borderId="11" xfId="2" applyNumberFormat="1" applyFont="1" applyFill="1" applyBorder="1"/>
    <xf numFmtId="5" fontId="39" fillId="34" borderId="54" xfId="50" applyNumberFormat="1" applyFont="1" applyFill="1" applyBorder="1"/>
    <xf numFmtId="199" fontId="39" fillId="34" borderId="11" xfId="2" applyNumberFormat="1" applyFont="1" applyFill="1" applyBorder="1"/>
    <xf numFmtId="199" fontId="39" fillId="34" borderId="54" xfId="50" applyNumberFormat="1" applyFont="1" applyFill="1" applyBorder="1"/>
    <xf numFmtId="9" fontId="39" fillId="34" borderId="74" xfId="50" applyNumberFormat="1" applyFont="1" applyFill="1" applyBorder="1"/>
    <xf numFmtId="197" fontId="39" fillId="34" borderId="54" xfId="35" applyNumberFormat="1" applyFont="1" applyFill="1" applyBorder="1"/>
    <xf numFmtId="197" fontId="39" fillId="34" borderId="74" xfId="35" applyNumberFormat="1" applyFont="1" applyFill="1" applyBorder="1"/>
    <xf numFmtId="9" fontId="40" fillId="34" borderId="70" xfId="50" applyNumberFormat="1" applyFont="1" applyFill="1" applyBorder="1"/>
    <xf numFmtId="0" fontId="40" fillId="34" borderId="17" xfId="2" applyFont="1" applyFill="1" applyBorder="1"/>
    <xf numFmtId="9" fontId="40" fillId="34" borderId="57" xfId="57" applyFont="1" applyFill="1" applyBorder="1"/>
    <xf numFmtId="9" fontId="40" fillId="34" borderId="17" xfId="57" applyFont="1" applyFill="1" applyBorder="1"/>
    <xf numFmtId="9" fontId="39" fillId="34" borderId="17" xfId="57" applyFont="1" applyFill="1" applyBorder="1"/>
    <xf numFmtId="0" fontId="39" fillId="34" borderId="17" xfId="2" applyFont="1" applyFill="1" applyBorder="1"/>
    <xf numFmtId="9" fontId="40" fillId="34" borderId="75" xfId="57" applyFont="1" applyFill="1" applyBorder="1"/>
    <xf numFmtId="9" fontId="39" fillId="34" borderId="57" xfId="50" applyNumberFormat="1" applyFont="1" applyFill="1" applyBorder="1"/>
    <xf numFmtId="9" fontId="39" fillId="34" borderId="75" xfId="50" applyNumberFormat="1" applyFont="1" applyFill="1" applyBorder="1"/>
    <xf numFmtId="9" fontId="40" fillId="34" borderId="68" xfId="50" applyNumberFormat="1" applyFont="1" applyFill="1" applyBorder="1"/>
    <xf numFmtId="9" fontId="40" fillId="34" borderId="51" xfId="57" applyFont="1" applyFill="1" applyBorder="1"/>
    <xf numFmtId="5" fontId="39" fillId="34" borderId="0" xfId="57" applyNumberFormat="1" applyFont="1" applyFill="1" applyBorder="1"/>
    <xf numFmtId="5" fontId="39" fillId="34" borderId="14" xfId="57" applyNumberFormat="1" applyFont="1" applyFill="1" applyBorder="1"/>
    <xf numFmtId="5" fontId="120" fillId="34" borderId="0" xfId="2" applyNumberFormat="1" applyFont="1" applyFill="1" applyBorder="1"/>
    <xf numFmtId="5" fontId="120" fillId="34" borderId="14" xfId="50" applyNumberFormat="1" applyFont="1" applyFill="1" applyBorder="1"/>
    <xf numFmtId="5" fontId="39" fillId="34" borderId="0" xfId="2" applyNumberFormat="1" applyFont="1" applyFill="1" applyBorder="1"/>
    <xf numFmtId="9" fontId="40" fillId="34" borderId="71" xfId="50" applyNumberFormat="1" applyFont="1" applyFill="1" applyBorder="1"/>
    <xf numFmtId="0" fontId="40" fillId="34" borderId="63" xfId="2" applyFont="1" applyFill="1" applyBorder="1"/>
    <xf numFmtId="9" fontId="40" fillId="34" borderId="63" xfId="57" applyFont="1" applyFill="1" applyBorder="1"/>
    <xf numFmtId="9" fontId="40" fillId="34" borderId="64" xfId="57" applyFont="1" applyFill="1" applyBorder="1"/>
    <xf numFmtId="9" fontId="40" fillId="34" borderId="63" xfId="2" applyNumberFormat="1" applyFont="1" applyFill="1" applyBorder="1"/>
    <xf numFmtId="5" fontId="40" fillId="34" borderId="63" xfId="50" applyNumberFormat="1" applyFont="1" applyFill="1" applyBorder="1"/>
    <xf numFmtId="9" fontId="55" fillId="34" borderId="63" xfId="2" applyNumberFormat="1" applyFont="1" applyFill="1" applyBorder="1"/>
    <xf numFmtId="0" fontId="39" fillId="34" borderId="63" xfId="2" applyFont="1" applyFill="1" applyBorder="1"/>
    <xf numFmtId="9" fontId="40" fillId="34" borderId="76" xfId="57" applyFont="1" applyFill="1" applyBorder="1"/>
    <xf numFmtId="171" fontId="40" fillId="34" borderId="14" xfId="57" applyNumberFormat="1" applyFont="1" applyFill="1" applyBorder="1"/>
    <xf numFmtId="171" fontId="39" fillId="34" borderId="0" xfId="57" applyNumberFormat="1" applyFont="1" applyFill="1"/>
    <xf numFmtId="171" fontId="39" fillId="34" borderId="14" xfId="50" applyNumberFormat="1" applyFont="1" applyFill="1" applyBorder="1"/>
    <xf numFmtId="9" fontId="40" fillId="34" borderId="22" xfId="50" applyNumberFormat="1" applyFont="1" applyFill="1" applyBorder="1"/>
    <xf numFmtId="3" fontId="40" fillId="34" borderId="12" xfId="2" applyNumberFormat="1" applyFont="1" applyFill="1" applyBorder="1"/>
    <xf numFmtId="199" fontId="40" fillId="34" borderId="12" xfId="2" applyNumberFormat="1" applyFont="1" applyFill="1" applyBorder="1"/>
    <xf numFmtId="3" fontId="40" fillId="34" borderId="0" xfId="2" applyNumberFormat="1" applyFont="1" applyFill="1" applyBorder="1"/>
    <xf numFmtId="199" fontId="40" fillId="34" borderId="0" xfId="2" applyNumberFormat="1" applyFont="1" applyFill="1" applyBorder="1"/>
    <xf numFmtId="9" fontId="40" fillId="34" borderId="24" xfId="50" applyNumberFormat="1" applyFont="1" applyFill="1" applyBorder="1"/>
    <xf numFmtId="0" fontId="40" fillId="34" borderId="13" xfId="2" applyFont="1" applyFill="1" applyBorder="1"/>
    <xf numFmtId="9" fontId="40" fillId="34" borderId="16" xfId="50" applyNumberFormat="1" applyFont="1" applyFill="1" applyBorder="1"/>
    <xf numFmtId="9" fontId="40" fillId="34" borderId="13" xfId="57" applyFont="1" applyFill="1" applyBorder="1"/>
    <xf numFmtId="171" fontId="40" fillId="34" borderId="16" xfId="50" applyNumberFormat="1" applyFont="1" applyFill="1" applyBorder="1"/>
    <xf numFmtId="171" fontId="40" fillId="34" borderId="13" xfId="57" applyNumberFormat="1" applyFont="1" applyFill="1" applyBorder="1"/>
    <xf numFmtId="9" fontId="40" fillId="34" borderId="53" xfId="50" applyNumberFormat="1" applyFont="1" applyFill="1" applyBorder="1"/>
    <xf numFmtId="0" fontId="101" fillId="34" borderId="0" xfId="2" applyFont="1" applyFill="1"/>
    <xf numFmtId="38" fontId="55" fillId="34" borderId="23" xfId="50" applyFont="1" applyFill="1" applyBorder="1"/>
    <xf numFmtId="5" fontId="40" fillId="34" borderId="15" xfId="50" applyNumberFormat="1" applyFont="1" applyFill="1" applyBorder="1"/>
    <xf numFmtId="5" fontId="53" fillId="34" borderId="0" xfId="50" applyNumberFormat="1" applyFont="1" applyFill="1" applyBorder="1"/>
    <xf numFmtId="5" fontId="52" fillId="34" borderId="14" xfId="50" applyNumberFormat="1" applyFont="1" applyFill="1" applyBorder="1"/>
    <xf numFmtId="5" fontId="53" fillId="34" borderId="0" xfId="50" applyNumberFormat="1" applyFont="1" applyFill="1"/>
    <xf numFmtId="5" fontId="39" fillId="34" borderId="0" xfId="50" applyNumberFormat="1" applyFont="1" applyFill="1"/>
    <xf numFmtId="5" fontId="56" fillId="34" borderId="0" xfId="50" applyNumberFormat="1" applyFont="1" applyFill="1"/>
    <xf numFmtId="5" fontId="54" fillId="34" borderId="14" xfId="50" applyNumberFormat="1" applyFont="1" applyFill="1" applyBorder="1"/>
    <xf numFmtId="38" fontId="39" fillId="34" borderId="0" xfId="50" applyFont="1" applyFill="1"/>
    <xf numFmtId="5" fontId="54" fillId="34" borderId="51" xfId="50" applyNumberFormat="1" applyFont="1" applyFill="1" applyBorder="1"/>
    <xf numFmtId="9" fontId="39" fillId="34" borderId="15" xfId="50" applyNumberFormat="1" applyFont="1" applyFill="1" applyBorder="1"/>
    <xf numFmtId="9" fontId="53" fillId="34" borderId="0" xfId="50" applyNumberFormat="1" applyFont="1" applyFill="1" applyBorder="1"/>
    <xf numFmtId="9" fontId="53" fillId="34" borderId="14" xfId="50" applyNumberFormat="1" applyFont="1" applyFill="1" applyBorder="1"/>
    <xf numFmtId="9" fontId="56" fillId="34" borderId="0" xfId="50" applyNumberFormat="1" applyFont="1" applyFill="1" applyBorder="1"/>
    <xf numFmtId="9" fontId="56" fillId="34" borderId="14" xfId="50" applyNumberFormat="1" applyFont="1" applyFill="1" applyBorder="1"/>
    <xf numFmtId="9" fontId="39" fillId="34" borderId="0" xfId="50" applyNumberFormat="1" applyFont="1" applyFill="1"/>
    <xf numFmtId="9" fontId="56" fillId="34" borderId="51" xfId="50" applyNumberFormat="1" applyFont="1" applyFill="1" applyBorder="1"/>
    <xf numFmtId="9" fontId="53" fillId="34" borderId="0" xfId="50" applyNumberFormat="1" applyFont="1" applyFill="1"/>
    <xf numFmtId="9" fontId="56" fillId="34" borderId="0" xfId="50" applyNumberFormat="1" applyFont="1" applyFill="1"/>
    <xf numFmtId="5" fontId="82" fillId="34" borderId="0" xfId="50" applyNumberFormat="1" applyFont="1" applyFill="1"/>
    <xf numFmtId="5" fontId="82" fillId="34" borderId="14" xfId="50" applyNumberFormat="1" applyFont="1" applyFill="1" applyBorder="1"/>
    <xf numFmtId="5" fontId="82" fillId="34" borderId="51" xfId="50" applyNumberFormat="1" applyFont="1" applyFill="1" applyBorder="1"/>
    <xf numFmtId="5" fontId="56" fillId="34" borderId="51" xfId="50" applyNumberFormat="1" applyFont="1" applyFill="1" applyBorder="1"/>
    <xf numFmtId="5" fontId="56" fillId="34" borderId="14" xfId="50" applyNumberFormat="1" applyFont="1" applyFill="1" applyBorder="1"/>
    <xf numFmtId="9" fontId="82" fillId="34" borderId="0" xfId="50" applyNumberFormat="1" applyFont="1" applyFill="1"/>
    <xf numFmtId="9" fontId="82" fillId="34" borderId="14" xfId="50" applyNumberFormat="1" applyFont="1" applyFill="1" applyBorder="1"/>
    <xf numFmtId="9" fontId="82" fillId="34" borderId="51" xfId="50" applyNumberFormat="1" applyFont="1" applyFill="1" applyBorder="1"/>
    <xf numFmtId="5" fontId="39" fillId="34" borderId="23" xfId="50" applyNumberFormat="1" applyFont="1" applyFill="1" applyBorder="1"/>
    <xf numFmtId="5" fontId="39" fillId="34" borderId="15" xfId="50" applyNumberFormat="1" applyFont="1" applyFill="1" applyBorder="1"/>
    <xf numFmtId="5" fontId="53" fillId="34" borderId="14" xfId="50" applyNumberFormat="1" applyFont="1" applyFill="1" applyBorder="1"/>
    <xf numFmtId="5" fontId="56" fillId="34" borderId="0" xfId="50" applyNumberFormat="1" applyFont="1" applyFill="1" applyBorder="1"/>
    <xf numFmtId="9" fontId="40" fillId="34" borderId="15" xfId="50" applyNumberFormat="1" applyFont="1" applyFill="1" applyBorder="1"/>
    <xf numFmtId="9" fontId="40" fillId="34" borderId="0" xfId="50" applyNumberFormat="1" applyFont="1" applyFill="1" applyBorder="1"/>
    <xf numFmtId="9" fontId="40" fillId="34" borderId="14" xfId="50" applyNumberFormat="1" applyFont="1" applyFill="1" applyBorder="1"/>
    <xf numFmtId="9" fontId="52" fillId="34" borderId="0" xfId="50" applyNumberFormat="1" applyFont="1" applyFill="1" applyBorder="1"/>
    <xf numFmtId="9" fontId="52" fillId="34" borderId="14" xfId="50" applyNumberFormat="1" applyFont="1" applyFill="1" applyBorder="1"/>
    <xf numFmtId="9" fontId="54" fillId="34" borderId="0" xfId="50" applyNumberFormat="1" applyFont="1" applyFill="1" applyBorder="1"/>
    <xf numFmtId="9" fontId="54" fillId="34" borderId="14" xfId="50" applyNumberFormat="1" applyFont="1" applyFill="1" applyBorder="1"/>
    <xf numFmtId="9" fontId="40" fillId="34" borderId="0" xfId="50" applyNumberFormat="1" applyFont="1" applyFill="1"/>
    <xf numFmtId="9" fontId="40" fillId="34" borderId="51" xfId="50" applyNumberFormat="1" applyFont="1" applyFill="1" applyBorder="1"/>
    <xf numFmtId="9" fontId="54" fillId="34" borderId="51" xfId="50" applyNumberFormat="1" applyFont="1" applyFill="1" applyBorder="1"/>
    <xf numFmtId="38" fontId="39" fillId="34" borderId="23" xfId="50" applyFont="1" applyFill="1" applyBorder="1"/>
    <xf numFmtId="5" fontId="53" fillId="34" borderId="15" xfId="50" applyNumberFormat="1" applyFont="1" applyFill="1" applyBorder="1"/>
    <xf numFmtId="38" fontId="53" fillId="34" borderId="0" xfId="50" applyFont="1" applyFill="1"/>
    <xf numFmtId="38" fontId="40" fillId="34" borderId="14" xfId="50" applyFont="1" applyFill="1" applyBorder="1"/>
    <xf numFmtId="38" fontId="39" fillId="34" borderId="14" xfId="50" applyFont="1" applyFill="1" applyBorder="1"/>
    <xf numFmtId="171" fontId="56" fillId="34" borderId="0" xfId="57" applyNumberFormat="1" applyFont="1" applyFill="1"/>
    <xf numFmtId="9" fontId="56" fillId="34" borderId="0" xfId="57" applyFont="1" applyFill="1"/>
    <xf numFmtId="38" fontId="56" fillId="34" borderId="14" xfId="50" applyFont="1" applyFill="1" applyBorder="1"/>
    <xf numFmtId="38" fontId="39" fillId="34" borderId="51" xfId="50" applyFont="1" applyFill="1" applyBorder="1"/>
    <xf numFmtId="38" fontId="56" fillId="34" borderId="51" xfId="50" applyFont="1" applyFill="1" applyBorder="1"/>
    <xf numFmtId="38" fontId="41" fillId="34" borderId="0" xfId="50" applyFont="1" applyFill="1"/>
    <xf numFmtId="38" fontId="40" fillId="34" borderId="0" xfId="50" applyFont="1" applyFill="1"/>
    <xf numFmtId="171" fontId="41" fillId="34" borderId="0" xfId="57" applyNumberFormat="1" applyFont="1" applyFill="1"/>
    <xf numFmtId="38" fontId="41" fillId="34" borderId="14" xfId="50" applyFont="1" applyFill="1" applyBorder="1"/>
    <xf numFmtId="43" fontId="40" fillId="34" borderId="51" xfId="50" applyNumberFormat="1" applyFont="1" applyFill="1" applyBorder="1"/>
    <xf numFmtId="43" fontId="40" fillId="34" borderId="14" xfId="50" applyNumberFormat="1" applyFont="1" applyFill="1" applyBorder="1"/>
    <xf numFmtId="43" fontId="54" fillId="34" borderId="51" xfId="50" applyNumberFormat="1" applyFont="1" applyFill="1" applyBorder="1"/>
    <xf numFmtId="43" fontId="54" fillId="34" borderId="14" xfId="50" applyNumberFormat="1" applyFont="1" applyFill="1" applyBorder="1"/>
    <xf numFmtId="38" fontId="55" fillId="34" borderId="23" xfId="50" applyFont="1" applyFill="1" applyBorder="1" applyAlignment="1">
      <alignment horizontal="left" indent="2"/>
    </xf>
    <xf numFmtId="9" fontId="39" fillId="34" borderId="23" xfId="50" applyNumberFormat="1" applyFont="1" applyFill="1" applyBorder="1" applyAlignment="1">
      <alignment horizontal="left" indent="2"/>
    </xf>
    <xf numFmtId="5" fontId="39" fillId="34" borderId="23" xfId="50" applyNumberFormat="1" applyFont="1" applyFill="1" applyBorder="1" applyAlignment="1">
      <alignment horizontal="left" indent="2"/>
    </xf>
    <xf numFmtId="9" fontId="40" fillId="34" borderId="23" xfId="50" applyNumberFormat="1" applyFont="1" applyFill="1" applyBorder="1" applyAlignment="1">
      <alignment horizontal="left" indent="2"/>
    </xf>
    <xf numFmtId="9" fontId="52" fillId="34" borderId="0" xfId="50" applyNumberFormat="1" applyFont="1" applyFill="1"/>
    <xf numFmtId="9" fontId="54" fillId="34" borderId="0" xfId="50" applyNumberFormat="1" applyFont="1" applyFill="1"/>
    <xf numFmtId="9" fontId="53" fillId="34" borderId="0" xfId="50" applyNumberFormat="1" applyFont="1" applyFill="1" applyBorder="1" applyAlignment="1">
      <alignment horizontal="right"/>
    </xf>
    <xf numFmtId="5" fontId="52" fillId="34" borderId="0" xfId="50" applyNumberFormat="1" applyFont="1" applyFill="1"/>
    <xf numFmtId="5" fontId="40" fillId="34" borderId="0" xfId="50" applyNumberFormat="1" applyFont="1" applyFill="1"/>
    <xf numFmtId="217" fontId="40" fillId="34" borderId="14" xfId="35" applyNumberFormat="1" applyFont="1" applyFill="1" applyBorder="1"/>
    <xf numFmtId="220" fontId="40" fillId="34" borderId="0" xfId="35" applyNumberFormat="1" applyFont="1" applyFill="1"/>
    <xf numFmtId="220" fontId="39" fillId="34" borderId="51" xfId="35" applyNumberFormat="1" applyFont="1" applyFill="1" applyBorder="1"/>
    <xf numFmtId="220" fontId="39" fillId="34" borderId="14" xfId="35" applyNumberFormat="1" applyFont="1" applyFill="1" applyBorder="1"/>
    <xf numFmtId="220" fontId="56" fillId="34" borderId="51" xfId="35" applyNumberFormat="1" applyFont="1" applyFill="1" applyBorder="1"/>
    <xf numFmtId="220" fontId="56" fillId="34" borderId="14" xfId="35" applyNumberFormat="1" applyFont="1" applyFill="1" applyBorder="1"/>
    <xf numFmtId="10" fontId="39" fillId="34" borderId="0" xfId="50" applyNumberFormat="1" applyFont="1" applyFill="1" applyBorder="1"/>
    <xf numFmtId="38" fontId="55" fillId="34" borderId="23" xfId="50" applyFont="1" applyFill="1" applyBorder="1" applyAlignment="1">
      <alignment horizontal="left" indent="1"/>
    </xf>
    <xf numFmtId="9" fontId="102" fillId="34" borderId="23" xfId="50" applyNumberFormat="1" applyFont="1" applyFill="1" applyBorder="1" applyAlignment="1">
      <alignment horizontal="left" indent="1"/>
    </xf>
    <xf numFmtId="9" fontId="102" fillId="34" borderId="15" xfId="50" applyNumberFormat="1" applyFont="1" applyFill="1" applyBorder="1"/>
    <xf numFmtId="9" fontId="102" fillId="34" borderId="0" xfId="50" applyNumberFormat="1" applyFont="1" applyFill="1" applyBorder="1"/>
    <xf numFmtId="9" fontId="102" fillId="34" borderId="14" xfId="50" applyNumberFormat="1" applyFont="1" applyFill="1" applyBorder="1"/>
    <xf numFmtId="9" fontId="102" fillId="34" borderId="0" xfId="50" applyNumberFormat="1" applyFont="1" applyFill="1"/>
    <xf numFmtId="9" fontId="102" fillId="34" borderId="51" xfId="50" applyNumberFormat="1" applyFont="1" applyFill="1" applyBorder="1"/>
    <xf numFmtId="9" fontId="39" fillId="34" borderId="23" xfId="50" applyNumberFormat="1" applyFont="1" applyFill="1" applyBorder="1" applyAlignment="1">
      <alignment horizontal="left" indent="1"/>
    </xf>
    <xf numFmtId="10" fontId="40" fillId="34" borderId="51" xfId="57" applyNumberFormat="1" applyFont="1" applyFill="1" applyBorder="1"/>
    <xf numFmtId="10" fontId="40" fillId="34" borderId="14" xfId="57" applyNumberFormat="1" applyFont="1" applyFill="1" applyBorder="1"/>
    <xf numFmtId="10" fontId="54" fillId="34" borderId="51" xfId="57" applyNumberFormat="1" applyFont="1" applyFill="1" applyBorder="1"/>
    <xf numFmtId="10" fontId="54" fillId="34" borderId="14" xfId="57" applyNumberFormat="1" applyFont="1" applyFill="1" applyBorder="1"/>
    <xf numFmtId="10" fontId="39" fillId="34" borderId="23" xfId="50" applyNumberFormat="1" applyFont="1" applyFill="1" applyBorder="1"/>
    <xf numFmtId="10" fontId="39" fillId="34" borderId="0" xfId="50" applyNumberFormat="1" applyFont="1" applyFill="1"/>
    <xf numFmtId="43" fontId="39" fillId="34" borderId="14" xfId="35" applyFont="1" applyFill="1" applyBorder="1"/>
    <xf numFmtId="38" fontId="48" fillId="34" borderId="0" xfId="50" applyFont="1" applyFill="1"/>
    <xf numFmtId="38" fontId="40" fillId="34" borderId="51" xfId="50" applyFont="1" applyFill="1" applyBorder="1"/>
    <xf numFmtId="38" fontId="41" fillId="34" borderId="51" xfId="50" applyFont="1" applyFill="1" applyBorder="1"/>
    <xf numFmtId="5" fontId="57" fillId="34" borderId="0" xfId="50" applyNumberFormat="1" applyFont="1" applyFill="1" applyBorder="1"/>
    <xf numFmtId="38" fontId="39" fillId="34" borderId="16" xfId="50" applyFont="1" applyFill="1" applyBorder="1"/>
    <xf numFmtId="38" fontId="56" fillId="34" borderId="0" xfId="50" applyFont="1" applyFill="1"/>
    <xf numFmtId="38" fontId="56" fillId="34" borderId="16" xfId="50" applyFont="1" applyFill="1" applyBorder="1"/>
    <xf numFmtId="38" fontId="39" fillId="34" borderId="53" xfId="50" applyFont="1" applyFill="1" applyBorder="1"/>
    <xf numFmtId="38" fontId="56" fillId="34" borderId="53" xfId="50" applyFont="1" applyFill="1" applyBorder="1"/>
    <xf numFmtId="38" fontId="58" fillId="34" borderId="72" xfId="50" applyFont="1" applyFill="1" applyBorder="1"/>
    <xf numFmtId="5" fontId="40" fillId="34" borderId="30" xfId="50" applyNumberFormat="1" applyFont="1" applyFill="1" applyBorder="1"/>
    <xf numFmtId="5" fontId="40" fillId="34" borderId="73" xfId="50" applyNumberFormat="1" applyFont="1" applyFill="1" applyBorder="1"/>
    <xf numFmtId="5" fontId="54" fillId="34" borderId="30" xfId="50" applyNumberFormat="1" applyFont="1" applyFill="1" applyBorder="1"/>
    <xf numFmtId="5" fontId="54" fillId="34" borderId="73" xfId="50" applyNumberFormat="1" applyFont="1" applyFill="1" applyBorder="1"/>
    <xf numFmtId="38" fontId="40" fillId="34" borderId="17" xfId="50" applyFont="1" applyFill="1" applyBorder="1"/>
    <xf numFmtId="5" fontId="40" fillId="34" borderId="77" xfId="50" applyNumberFormat="1" applyFont="1" applyFill="1" applyBorder="1"/>
    <xf numFmtId="5" fontId="54" fillId="34" borderId="77" xfId="50" applyNumberFormat="1" applyFont="1" applyFill="1" applyBorder="1"/>
    <xf numFmtId="38" fontId="58" fillId="34" borderId="23" xfId="50" applyFont="1" applyFill="1" applyBorder="1"/>
    <xf numFmtId="5" fontId="54" fillId="34" borderId="0" xfId="50" applyNumberFormat="1" applyFont="1" applyFill="1" applyBorder="1"/>
    <xf numFmtId="5" fontId="40" fillId="34" borderId="14" xfId="57" applyNumberFormat="1" applyFont="1" applyFill="1" applyBorder="1"/>
    <xf numFmtId="9" fontId="54" fillId="34" borderId="14" xfId="57" applyFont="1" applyFill="1" applyBorder="1"/>
    <xf numFmtId="38" fontId="40" fillId="34" borderId="0" xfId="50" applyFont="1" applyFill="1" applyBorder="1"/>
    <xf numFmtId="10" fontId="39" fillId="34" borderId="0" xfId="57" applyNumberFormat="1" applyFont="1" applyFill="1" applyBorder="1"/>
    <xf numFmtId="10" fontId="39" fillId="34" borderId="14" xfId="57" applyNumberFormat="1" applyFont="1" applyFill="1" applyBorder="1"/>
    <xf numFmtId="171" fontId="39" fillId="34" borderId="0" xfId="57" applyNumberFormat="1" applyFont="1" applyFill="1" applyBorder="1"/>
    <xf numFmtId="10" fontId="39" fillId="34" borderId="51" xfId="57" applyNumberFormat="1" applyFont="1" applyFill="1" applyBorder="1"/>
    <xf numFmtId="38" fontId="49" fillId="34" borderId="23" xfId="50" applyFont="1" applyFill="1" applyBorder="1"/>
    <xf numFmtId="5" fontId="49" fillId="34" borderId="0" xfId="50" applyNumberFormat="1" applyFont="1" applyFill="1" applyBorder="1"/>
    <xf numFmtId="5" fontId="49" fillId="34" borderId="14" xfId="50" applyNumberFormat="1" applyFont="1" applyFill="1" applyBorder="1"/>
    <xf numFmtId="10" fontId="49" fillId="34" borderId="0" xfId="57" applyNumberFormat="1" applyFont="1" applyFill="1" applyAlignment="1">
      <alignment horizontal="right"/>
    </xf>
    <xf numFmtId="10" fontId="49" fillId="34" borderId="0" xfId="57" applyNumberFormat="1" applyFont="1" applyFill="1" applyBorder="1"/>
    <xf numFmtId="10" fontId="49" fillId="34" borderId="14" xfId="57" applyNumberFormat="1" applyFont="1" applyFill="1" applyBorder="1"/>
    <xf numFmtId="38" fontId="49" fillId="34" borderId="0" xfId="50" applyFont="1" applyFill="1" applyBorder="1"/>
    <xf numFmtId="10" fontId="49" fillId="34" borderId="51" xfId="57" applyNumberFormat="1" applyFont="1" applyFill="1" applyBorder="1"/>
    <xf numFmtId="38" fontId="39" fillId="34" borderId="0" xfId="50" applyFont="1" applyFill="1" applyAlignment="1">
      <alignment horizontal="right"/>
    </xf>
    <xf numFmtId="38" fontId="39" fillId="34" borderId="14" xfId="50" applyFont="1" applyFill="1" applyBorder="1" applyAlignment="1">
      <alignment horizontal="right"/>
    </xf>
    <xf numFmtId="10" fontId="39" fillId="34" borderId="0" xfId="57" applyNumberFormat="1" applyFont="1" applyFill="1" applyAlignment="1">
      <alignment horizontal="right"/>
    </xf>
    <xf numFmtId="9" fontId="39" fillId="34" borderId="0" xfId="57" applyFont="1" applyFill="1" applyAlignment="1">
      <alignment horizontal="right"/>
    </xf>
    <xf numFmtId="9" fontId="39" fillId="34" borderId="14" xfId="57" applyFont="1" applyFill="1" applyBorder="1" applyAlignment="1">
      <alignment horizontal="right"/>
    </xf>
    <xf numFmtId="10" fontId="39" fillId="34" borderId="14" xfId="57" applyNumberFormat="1" applyFont="1" applyFill="1" applyBorder="1" applyAlignment="1">
      <alignment horizontal="right"/>
    </xf>
    <xf numFmtId="10" fontId="39" fillId="34" borderId="51" xfId="57" applyNumberFormat="1" applyFont="1" applyFill="1" applyBorder="1" applyAlignment="1">
      <alignment horizontal="right"/>
    </xf>
    <xf numFmtId="5" fontId="39" fillId="34" borderId="0" xfId="57" applyNumberFormat="1" applyFont="1" applyFill="1" applyAlignment="1">
      <alignment horizontal="right"/>
    </xf>
    <xf numFmtId="40" fontId="39" fillId="34" borderId="51" xfId="50" applyNumberFormat="1" applyFont="1" applyFill="1" applyBorder="1" applyAlignment="1">
      <alignment horizontal="right"/>
    </xf>
    <xf numFmtId="40" fontId="39" fillId="34" borderId="14" xfId="50" applyNumberFormat="1" applyFont="1" applyFill="1" applyBorder="1" applyAlignment="1">
      <alignment horizontal="right"/>
    </xf>
    <xf numFmtId="38" fontId="56" fillId="34" borderId="0" xfId="50" applyFont="1" applyFill="1" applyAlignment="1">
      <alignment horizontal="right"/>
    </xf>
    <xf numFmtId="209" fontId="39" fillId="34" borderId="0" xfId="50" applyNumberFormat="1" applyFont="1" applyFill="1" applyAlignment="1">
      <alignment horizontal="right"/>
    </xf>
    <xf numFmtId="209" fontId="39" fillId="34" borderId="14" xfId="50" applyNumberFormat="1" applyFont="1" applyFill="1" applyBorder="1" applyAlignment="1">
      <alignment horizontal="right"/>
    </xf>
    <xf numFmtId="171" fontId="39" fillId="34" borderId="51" xfId="57" applyNumberFormat="1" applyFont="1" applyFill="1" applyBorder="1" applyAlignment="1">
      <alignment horizontal="right"/>
    </xf>
    <xf numFmtId="171" fontId="39" fillId="34" borderId="14" xfId="57" applyNumberFormat="1" applyFont="1" applyFill="1" applyBorder="1" applyAlignment="1">
      <alignment horizontal="right"/>
    </xf>
    <xf numFmtId="10" fontId="56" fillId="34" borderId="0" xfId="57" applyNumberFormat="1" applyFont="1" applyFill="1" applyAlignment="1">
      <alignment horizontal="right"/>
    </xf>
    <xf numFmtId="187" fontId="56" fillId="34" borderId="0" xfId="57" applyNumberFormat="1" applyFont="1" applyFill="1" applyAlignment="1">
      <alignment horizontal="right"/>
    </xf>
    <xf numFmtId="38" fontId="56" fillId="34" borderId="14" xfId="50" applyFont="1" applyFill="1" applyBorder="1" applyAlignment="1">
      <alignment horizontal="right"/>
    </xf>
    <xf numFmtId="38" fontId="39" fillId="34" borderId="51" xfId="50" applyFont="1" applyFill="1" applyBorder="1" applyAlignment="1">
      <alignment horizontal="right"/>
    </xf>
    <xf numFmtId="38" fontId="56" fillId="34" borderId="51" xfId="50" applyFont="1" applyFill="1" applyBorder="1" applyAlignment="1">
      <alignment horizontal="right"/>
    </xf>
    <xf numFmtId="38" fontId="51" fillId="34" borderId="12" xfId="50" applyFont="1" applyFill="1" applyBorder="1"/>
    <xf numFmtId="194" fontId="40" fillId="34" borderId="12" xfId="50" applyNumberFormat="1" applyFont="1" applyFill="1" applyBorder="1" applyAlignment="1">
      <alignment horizontal="right"/>
    </xf>
    <xf numFmtId="193" fontId="40" fillId="34" borderId="12" xfId="50" applyNumberFormat="1" applyFont="1" applyFill="1" applyBorder="1"/>
    <xf numFmtId="193" fontId="52" fillId="34" borderId="12" xfId="50" applyNumberFormat="1" applyFont="1" applyFill="1" applyBorder="1"/>
    <xf numFmtId="194" fontId="52" fillId="34" borderId="12" xfId="50" applyNumberFormat="1" applyFont="1" applyFill="1" applyBorder="1" applyAlignment="1">
      <alignment horizontal="right"/>
    </xf>
    <xf numFmtId="38" fontId="53" fillId="34" borderId="12" xfId="50" applyFont="1" applyFill="1" applyBorder="1"/>
    <xf numFmtId="38" fontId="39" fillId="34" borderId="12" xfId="50" applyFont="1" applyFill="1" applyBorder="1"/>
    <xf numFmtId="38" fontId="40" fillId="34" borderId="12" xfId="50" applyFont="1" applyFill="1" applyBorder="1" applyAlignment="1">
      <alignment horizontal="right"/>
    </xf>
    <xf numFmtId="193" fontId="54" fillId="34" borderId="12" xfId="50" applyNumberFormat="1" applyFont="1" applyFill="1" applyBorder="1"/>
    <xf numFmtId="194" fontId="54" fillId="34" borderId="12" xfId="50" applyNumberFormat="1" applyFont="1" applyFill="1" applyBorder="1" applyAlignment="1">
      <alignment horizontal="right"/>
    </xf>
    <xf numFmtId="194" fontId="54" fillId="34" borderId="50" xfId="50" applyNumberFormat="1" applyFont="1" applyFill="1" applyBorder="1" applyAlignment="1">
      <alignment horizontal="right"/>
    </xf>
    <xf numFmtId="194" fontId="40" fillId="34" borderId="52" xfId="50" applyNumberFormat="1" applyFont="1" applyFill="1" applyBorder="1" applyAlignment="1">
      <alignment horizontal="right"/>
    </xf>
    <xf numFmtId="194" fontId="40" fillId="34" borderId="50" xfId="50" applyNumberFormat="1" applyFont="1" applyFill="1" applyBorder="1" applyAlignment="1">
      <alignment horizontal="right"/>
    </xf>
    <xf numFmtId="194" fontId="54" fillId="34" borderId="52" xfId="50" applyNumberFormat="1" applyFont="1" applyFill="1" applyBorder="1" applyAlignment="1">
      <alignment horizontal="right"/>
    </xf>
    <xf numFmtId="38" fontId="39" fillId="34" borderId="13" xfId="50" applyFont="1" applyFill="1" applyBorder="1"/>
    <xf numFmtId="1" fontId="40" fillId="34" borderId="13" xfId="37" applyNumberFormat="1" applyFont="1" applyFill="1" applyBorder="1" applyAlignment="1">
      <alignment horizontal="right"/>
    </xf>
    <xf numFmtId="17" fontId="40" fillId="34" borderId="13" xfId="50" quotePrefix="1" applyNumberFormat="1" applyFont="1" applyFill="1" applyBorder="1" applyAlignment="1">
      <alignment horizontal="right"/>
    </xf>
    <xf numFmtId="195" fontId="52" fillId="34" borderId="13" xfId="50" quotePrefix="1" applyNumberFormat="1" applyFont="1" applyFill="1" applyBorder="1" applyAlignment="1">
      <alignment horizontal="right"/>
    </xf>
    <xf numFmtId="0" fontId="52" fillId="34" borderId="13" xfId="37" applyNumberFormat="1" applyFont="1" applyFill="1" applyBorder="1" applyAlignment="1">
      <alignment horizontal="right"/>
    </xf>
    <xf numFmtId="17" fontId="52" fillId="34" borderId="13" xfId="50" quotePrefix="1" applyNumberFormat="1" applyFont="1" applyFill="1" applyBorder="1" applyAlignment="1">
      <alignment horizontal="right"/>
    </xf>
    <xf numFmtId="38" fontId="40" fillId="34" borderId="13" xfId="50" applyFont="1" applyFill="1" applyBorder="1" applyAlignment="1">
      <alignment horizontal="right"/>
    </xf>
    <xf numFmtId="193" fontId="54" fillId="34" borderId="13" xfId="50" quotePrefix="1" applyNumberFormat="1" applyFont="1" applyFill="1" applyBorder="1" applyAlignment="1">
      <alignment horizontal="right"/>
    </xf>
    <xf numFmtId="194" fontId="54" fillId="34" borderId="13" xfId="37" applyNumberFormat="1" applyFont="1" applyFill="1" applyBorder="1" applyAlignment="1">
      <alignment horizontal="right"/>
    </xf>
    <xf numFmtId="194" fontId="54" fillId="34" borderId="16" xfId="37" applyNumberFormat="1" applyFont="1" applyFill="1" applyBorder="1" applyAlignment="1">
      <alignment horizontal="right"/>
    </xf>
    <xf numFmtId="194" fontId="40" fillId="34" borderId="53" xfId="37" applyNumberFormat="1" applyFont="1" applyFill="1" applyBorder="1" applyAlignment="1">
      <alignment horizontal="right"/>
    </xf>
    <xf numFmtId="194" fontId="40" fillId="34" borderId="16" xfId="37" applyNumberFormat="1" applyFont="1" applyFill="1" applyBorder="1" applyAlignment="1">
      <alignment horizontal="right"/>
    </xf>
    <xf numFmtId="194" fontId="54" fillId="34" borderId="53" xfId="37" applyNumberFormat="1" applyFont="1" applyFill="1" applyBorder="1" applyAlignment="1">
      <alignment horizontal="right"/>
    </xf>
    <xf numFmtId="38" fontId="55" fillId="34" borderId="0" xfId="50" applyFont="1" applyFill="1"/>
    <xf numFmtId="10" fontId="39" fillId="34" borderId="14" xfId="50" applyNumberFormat="1" applyFont="1" applyFill="1" applyBorder="1"/>
    <xf numFmtId="10" fontId="53" fillId="34" borderId="0" xfId="50" applyNumberFormat="1" applyFont="1" applyFill="1" applyBorder="1"/>
    <xf numFmtId="10" fontId="53" fillId="34" borderId="14" xfId="50" applyNumberFormat="1" applyFont="1" applyFill="1" applyBorder="1"/>
    <xf numFmtId="10" fontId="53" fillId="34" borderId="0" xfId="50" applyNumberFormat="1" applyFont="1" applyFill="1"/>
    <xf numFmtId="10" fontId="56" fillId="34" borderId="0" xfId="50" applyNumberFormat="1" applyFont="1" applyFill="1"/>
    <xf numFmtId="10" fontId="56" fillId="34" borderId="14" xfId="50" applyNumberFormat="1" applyFont="1" applyFill="1" applyBorder="1"/>
    <xf numFmtId="10" fontId="39" fillId="34" borderId="51" xfId="50" applyNumberFormat="1" applyFont="1" applyFill="1" applyBorder="1"/>
    <xf numFmtId="10" fontId="56" fillId="34" borderId="51" xfId="50" applyNumberFormat="1" applyFont="1" applyFill="1" applyBorder="1"/>
    <xf numFmtId="38" fontId="54" fillId="34" borderId="14" xfId="50" applyFont="1" applyFill="1" applyBorder="1"/>
    <xf numFmtId="38" fontId="54" fillId="34" borderId="51" xfId="50" applyFont="1" applyFill="1" applyBorder="1"/>
    <xf numFmtId="38" fontId="58" fillId="34" borderId="17" xfId="50" applyFont="1" applyFill="1" applyBorder="1"/>
    <xf numFmtId="5" fontId="40" fillId="34" borderId="17" xfId="50" applyNumberFormat="1" applyFont="1" applyFill="1" applyBorder="1"/>
    <xf numFmtId="5" fontId="54" fillId="34" borderId="17" xfId="50" applyNumberFormat="1" applyFont="1" applyFill="1" applyBorder="1"/>
    <xf numFmtId="5" fontId="54" fillId="34" borderId="57" xfId="50" applyNumberFormat="1" applyFont="1" applyFill="1" applyBorder="1"/>
    <xf numFmtId="5" fontId="40" fillId="34" borderId="75" xfId="50" applyNumberFormat="1" applyFont="1" applyFill="1" applyBorder="1"/>
    <xf numFmtId="5" fontId="40" fillId="34" borderId="57" xfId="50" applyNumberFormat="1" applyFont="1" applyFill="1" applyBorder="1"/>
    <xf numFmtId="5" fontId="54" fillId="34" borderId="75" xfId="50" applyNumberFormat="1" applyFont="1" applyFill="1" applyBorder="1"/>
    <xf numFmtId="193" fontId="55" fillId="34" borderId="12" xfId="50" applyNumberFormat="1" applyFont="1" applyFill="1" applyBorder="1"/>
    <xf numFmtId="194" fontId="55" fillId="34" borderId="12" xfId="50" applyNumberFormat="1" applyFont="1" applyFill="1" applyBorder="1" applyAlignment="1">
      <alignment horizontal="right"/>
    </xf>
    <xf numFmtId="38" fontId="57" fillId="34" borderId="12" xfId="50" applyFont="1" applyFill="1" applyBorder="1"/>
    <xf numFmtId="38" fontId="55" fillId="34" borderId="12" xfId="50" applyFont="1" applyFill="1" applyBorder="1" applyAlignment="1">
      <alignment horizontal="right"/>
    </xf>
    <xf numFmtId="193" fontId="54" fillId="34" borderId="50" xfId="50" applyNumberFormat="1" applyFont="1" applyFill="1" applyBorder="1"/>
    <xf numFmtId="193" fontId="40" fillId="34" borderId="52" xfId="50" applyNumberFormat="1" applyFont="1" applyFill="1" applyBorder="1"/>
    <xf numFmtId="193" fontId="40" fillId="34" borderId="50" xfId="50" applyNumberFormat="1" applyFont="1" applyFill="1" applyBorder="1"/>
    <xf numFmtId="193" fontId="54" fillId="34" borderId="52" xfId="50" applyNumberFormat="1" applyFont="1" applyFill="1" applyBorder="1"/>
    <xf numFmtId="193" fontId="55" fillId="34" borderId="13" xfId="50" quotePrefix="1" applyNumberFormat="1" applyFont="1" applyFill="1" applyBorder="1" applyAlignment="1">
      <alignment horizontal="right"/>
    </xf>
    <xf numFmtId="194" fontId="55" fillId="34" borderId="13" xfId="37" applyNumberFormat="1" applyFont="1" applyFill="1" applyBorder="1" applyAlignment="1">
      <alignment horizontal="right"/>
    </xf>
    <xf numFmtId="38" fontId="55" fillId="34" borderId="13" xfId="50" applyFont="1" applyFill="1" applyBorder="1" applyAlignment="1">
      <alignment horizontal="right"/>
    </xf>
    <xf numFmtId="193" fontId="54" fillId="34" borderId="16" xfId="50" quotePrefix="1" applyNumberFormat="1" applyFont="1" applyFill="1" applyBorder="1" applyAlignment="1">
      <alignment horizontal="right"/>
    </xf>
    <xf numFmtId="193" fontId="40" fillId="34" borderId="53" xfId="50" quotePrefix="1" applyNumberFormat="1" applyFont="1" applyFill="1" applyBorder="1" applyAlignment="1">
      <alignment horizontal="right"/>
    </xf>
    <xf numFmtId="193" fontId="40" fillId="34" borderId="16" xfId="50" quotePrefix="1" applyNumberFormat="1" applyFont="1" applyFill="1" applyBorder="1" applyAlignment="1">
      <alignment horizontal="right"/>
    </xf>
    <xf numFmtId="193" fontId="54" fillId="34" borderId="53" xfId="50" quotePrefix="1" applyNumberFormat="1" applyFont="1" applyFill="1" applyBorder="1" applyAlignment="1">
      <alignment horizontal="right"/>
    </xf>
    <xf numFmtId="5" fontId="55" fillId="34" borderId="0" xfId="50" applyNumberFormat="1" applyFont="1" applyFill="1"/>
    <xf numFmtId="5" fontId="57" fillId="34" borderId="0" xfId="50" applyNumberFormat="1" applyFont="1" applyFill="1"/>
    <xf numFmtId="5" fontId="55" fillId="34" borderId="14" xfId="50" applyNumberFormat="1" applyFont="1" applyFill="1" applyBorder="1"/>
    <xf numFmtId="5" fontId="57" fillId="34" borderId="14" xfId="50" applyNumberFormat="1" applyFont="1" applyFill="1" applyBorder="1"/>
    <xf numFmtId="9" fontId="57" fillId="34" borderId="0" xfId="50" applyNumberFormat="1" applyFont="1" applyFill="1"/>
    <xf numFmtId="9" fontId="57" fillId="34" borderId="14" xfId="50" applyNumberFormat="1" applyFont="1" applyFill="1" applyBorder="1"/>
    <xf numFmtId="38" fontId="57" fillId="34" borderId="0" xfId="50" applyFont="1" applyFill="1"/>
    <xf numFmtId="38" fontId="55" fillId="34" borderId="14" xfId="50" applyFont="1" applyFill="1" applyBorder="1"/>
    <xf numFmtId="38" fontId="57" fillId="34" borderId="14" xfId="50" applyFont="1" applyFill="1" applyBorder="1"/>
    <xf numFmtId="5" fontId="58" fillId="34" borderId="17" xfId="50" applyNumberFormat="1" applyFont="1" applyFill="1" applyBorder="1"/>
    <xf numFmtId="5" fontId="55" fillId="34" borderId="17" xfId="50" applyNumberFormat="1" applyFont="1" applyFill="1" applyBorder="1"/>
    <xf numFmtId="38" fontId="2" fillId="34" borderId="0" xfId="50" applyFont="1" applyFill="1"/>
    <xf numFmtId="38" fontId="103" fillId="34" borderId="0" xfId="50" applyFont="1" applyFill="1"/>
    <xf numFmtId="38" fontId="104" fillId="34" borderId="0" xfId="50" applyFont="1" applyFill="1"/>
    <xf numFmtId="38" fontId="105" fillId="34" borderId="0" xfId="50" applyFont="1" applyFill="1"/>
    <xf numFmtId="38" fontId="105" fillId="34" borderId="14" xfId="50" applyFont="1" applyFill="1" applyBorder="1"/>
    <xf numFmtId="38" fontId="2" fillId="34" borderId="51" xfId="50" applyFont="1" applyFill="1" applyBorder="1"/>
    <xf numFmtId="38" fontId="2" fillId="34" borderId="14" xfId="50" applyFont="1" applyFill="1" applyBorder="1"/>
    <xf numFmtId="38" fontId="105" fillId="34" borderId="51" xfId="50" applyFont="1" applyFill="1" applyBorder="1"/>
    <xf numFmtId="38" fontId="38" fillId="34" borderId="0" xfId="50" applyFont="1" applyFill="1"/>
    <xf numFmtId="171" fontId="104" fillId="34" borderId="0" xfId="57" applyNumberFormat="1" applyFont="1" applyFill="1"/>
    <xf numFmtId="38" fontId="108" fillId="34" borderId="0" xfId="50" applyFont="1" applyFill="1"/>
    <xf numFmtId="38" fontId="104" fillId="34" borderId="14" xfId="50" applyFont="1" applyFill="1" applyBorder="1"/>
    <xf numFmtId="38" fontId="104" fillId="34" borderId="51" xfId="50" applyFont="1" applyFill="1" applyBorder="1"/>
    <xf numFmtId="0" fontId="101" fillId="34" borderId="14" xfId="2" applyFont="1" applyFill="1" applyBorder="1"/>
    <xf numFmtId="0" fontId="101" fillId="34" borderId="51" xfId="2" applyFont="1" applyFill="1" applyBorder="1"/>
    <xf numFmtId="0" fontId="30" fillId="34" borderId="45" xfId="2" applyFont="1" applyFill="1" applyBorder="1"/>
    <xf numFmtId="5" fontId="0" fillId="34" borderId="43" xfId="2" applyNumberFormat="1" applyFont="1" applyFill="1" applyBorder="1"/>
    <xf numFmtId="5" fontId="0" fillId="34" borderId="66" xfId="2" applyNumberFormat="1" applyFont="1" applyFill="1" applyBorder="1"/>
    <xf numFmtId="0" fontId="0" fillId="34" borderId="43" xfId="2" applyFont="1" applyFill="1" applyBorder="1"/>
    <xf numFmtId="0" fontId="0" fillId="34" borderId="66" xfId="2" applyFont="1" applyFill="1" applyBorder="1"/>
    <xf numFmtId="0" fontId="0" fillId="34" borderId="0" xfId="0" applyFill="1"/>
    <xf numFmtId="0" fontId="116" fillId="34" borderId="13" xfId="2" applyFont="1" applyFill="1" applyBorder="1"/>
    <xf numFmtId="0" fontId="117" fillId="34" borderId="13" xfId="2" applyFont="1" applyFill="1" applyBorder="1"/>
    <xf numFmtId="0" fontId="117" fillId="34" borderId="20" xfId="2" applyFont="1" applyFill="1" applyBorder="1"/>
    <xf numFmtId="5" fontId="117" fillId="34" borderId="13" xfId="2" applyNumberFormat="1" applyFont="1" applyFill="1" applyBorder="1"/>
    <xf numFmtId="5" fontId="117" fillId="34" borderId="13" xfId="57" applyNumberFormat="1" applyFont="1" applyFill="1" applyBorder="1"/>
    <xf numFmtId="0" fontId="31" fillId="34" borderId="0" xfId="0" applyFont="1" applyFill="1"/>
    <xf numFmtId="5" fontId="111" fillId="34" borderId="0" xfId="2" applyNumberFormat="1" applyFont="1" applyFill="1" applyBorder="1"/>
    <xf numFmtId="5" fontId="111" fillId="34" borderId="19" xfId="2" applyNumberFormat="1" applyFont="1" applyFill="1" applyBorder="1"/>
    <xf numFmtId="5" fontId="111" fillId="34" borderId="0" xfId="2" applyNumberFormat="1" applyFont="1" applyFill="1"/>
    <xf numFmtId="5" fontId="1" fillId="34" borderId="0" xfId="2" applyNumberFormat="1" applyFont="1" applyFill="1"/>
    <xf numFmtId="5" fontId="1" fillId="34" borderId="19" xfId="2" applyNumberFormat="1" applyFont="1" applyFill="1" applyBorder="1"/>
    <xf numFmtId="0" fontId="31" fillId="34" borderId="13" xfId="2" applyFont="1" applyFill="1" applyBorder="1"/>
    <xf numFmtId="5" fontId="111" fillId="34" borderId="13" xfId="2" applyNumberFormat="1" applyFont="1" applyFill="1" applyBorder="1"/>
    <xf numFmtId="5" fontId="111" fillId="34" borderId="20" xfId="2" applyNumberFormat="1" applyFont="1" applyFill="1" applyBorder="1"/>
    <xf numFmtId="5" fontId="1" fillId="34" borderId="13" xfId="2" applyNumberFormat="1" applyFont="1" applyFill="1" applyBorder="1"/>
    <xf numFmtId="5" fontId="1" fillId="34" borderId="20" xfId="2" applyNumberFormat="1" applyFont="1" applyFill="1" applyBorder="1"/>
    <xf numFmtId="0" fontId="30" fillId="34" borderId="0" xfId="2" applyFont="1" applyFill="1"/>
    <xf numFmtId="5" fontId="30" fillId="34" borderId="0" xfId="2" applyNumberFormat="1" applyFont="1" applyFill="1" applyBorder="1"/>
    <xf numFmtId="5" fontId="30" fillId="34" borderId="19" xfId="2" applyNumberFormat="1" applyFont="1" applyFill="1" applyBorder="1"/>
    <xf numFmtId="5" fontId="30" fillId="34" borderId="0" xfId="2" applyNumberFormat="1" applyFont="1" applyFill="1"/>
    <xf numFmtId="0" fontId="111" fillId="34" borderId="0" xfId="2" applyFont="1" applyFill="1" applyBorder="1"/>
    <xf numFmtId="0" fontId="111" fillId="34" borderId="19" xfId="2" applyFont="1" applyFill="1" applyBorder="1"/>
    <xf numFmtId="7" fontId="0" fillId="34" borderId="0" xfId="0" applyNumberFormat="1" applyFill="1"/>
    <xf numFmtId="5" fontId="0" fillId="34" borderId="0" xfId="0" applyNumberFormat="1" applyFill="1"/>
    <xf numFmtId="0" fontId="1" fillId="34" borderId="19" xfId="2" applyFont="1" applyFill="1" applyBorder="1"/>
    <xf numFmtId="9" fontId="111" fillId="34" borderId="0" xfId="57" applyFont="1" applyFill="1" applyBorder="1"/>
    <xf numFmtId="0" fontId="83" fillId="34" borderId="0" xfId="2" applyFont="1" applyFill="1"/>
    <xf numFmtId="5" fontId="83" fillId="34" borderId="0" xfId="2" applyNumberFormat="1" applyFont="1" applyFill="1" applyBorder="1"/>
    <xf numFmtId="5" fontId="83" fillId="34" borderId="19" xfId="2" applyNumberFormat="1" applyFont="1" applyFill="1" applyBorder="1"/>
    <xf numFmtId="5" fontId="83" fillId="34" borderId="0" xfId="2" applyNumberFormat="1" applyFont="1" applyFill="1"/>
    <xf numFmtId="0" fontId="83" fillId="34" borderId="13" xfId="2" applyFont="1" applyFill="1" applyBorder="1"/>
    <xf numFmtId="5" fontId="83" fillId="34" borderId="13" xfId="2" applyNumberFormat="1" applyFont="1" applyFill="1" applyBorder="1"/>
    <xf numFmtId="5" fontId="83" fillId="34" borderId="20" xfId="2" applyNumberFormat="1" applyFont="1" applyFill="1" applyBorder="1"/>
    <xf numFmtId="5" fontId="30" fillId="34" borderId="21" xfId="2" applyNumberFormat="1" applyFont="1" applyFill="1" applyBorder="1"/>
    <xf numFmtId="43" fontId="111" fillId="34" borderId="0" xfId="35" applyFont="1" applyFill="1"/>
    <xf numFmtId="220" fontId="111" fillId="34" borderId="0" xfId="35" applyNumberFormat="1" applyFont="1" applyFill="1"/>
    <xf numFmtId="9" fontId="111" fillId="34" borderId="0" xfId="57" applyFont="1" applyFill="1"/>
    <xf numFmtId="220" fontId="111" fillId="34" borderId="19" xfId="35" applyNumberFormat="1" applyFont="1" applyFill="1" applyBorder="1"/>
    <xf numFmtId="220" fontId="1" fillId="34" borderId="0" xfId="35" applyNumberFormat="1" applyFont="1" applyFill="1"/>
    <xf numFmtId="220" fontId="1" fillId="34" borderId="19" xfId="35" applyNumberFormat="1" applyFont="1" applyFill="1" applyBorder="1"/>
    <xf numFmtId="0" fontId="116" fillId="34" borderId="0" xfId="2" applyFont="1" applyFill="1" applyBorder="1"/>
    <xf numFmtId="0" fontId="117" fillId="34" borderId="0" xfId="2" applyFont="1" applyFill="1" applyBorder="1"/>
    <xf numFmtId="0" fontId="117" fillId="34" borderId="19" xfId="2" applyFont="1" applyFill="1" applyBorder="1"/>
    <xf numFmtId="5" fontId="117" fillId="34" borderId="0" xfId="2" applyNumberFormat="1" applyFont="1" applyFill="1" applyBorder="1"/>
    <xf numFmtId="5" fontId="117" fillId="34" borderId="0" xfId="57" applyNumberFormat="1" applyFont="1" applyFill="1" applyBorder="1"/>
    <xf numFmtId="5" fontId="31" fillId="34" borderId="0" xfId="2" applyNumberFormat="1" applyFont="1" applyFill="1"/>
    <xf numFmtId="5" fontId="1" fillId="34" borderId="0" xfId="2" applyNumberFormat="1" applyFont="1" applyFill="1" applyBorder="1"/>
    <xf numFmtId="0" fontId="0" fillId="34" borderId="0" xfId="0" applyFill="1" applyBorder="1"/>
    <xf numFmtId="0" fontId="1" fillId="34" borderId="13" xfId="2" applyFont="1" applyFill="1" applyBorder="1"/>
    <xf numFmtId="9" fontId="111" fillId="34" borderId="19" xfId="57" applyFont="1" applyFill="1" applyBorder="1"/>
    <xf numFmtId="5" fontId="111" fillId="34" borderId="0" xfId="57" applyNumberFormat="1" applyFont="1" applyFill="1"/>
    <xf numFmtId="5" fontId="31" fillId="34" borderId="19" xfId="57" applyNumberFormat="1" applyFont="1" applyFill="1" applyBorder="1"/>
    <xf numFmtId="5" fontId="111" fillId="34" borderId="0" xfId="35" applyNumberFormat="1" applyFont="1" applyFill="1"/>
    <xf numFmtId="9" fontId="114" fillId="34" borderId="0" xfId="57" applyFont="1" applyFill="1"/>
    <xf numFmtId="220" fontId="114" fillId="34" borderId="0" xfId="35" applyNumberFormat="1" applyFont="1" applyFill="1"/>
    <xf numFmtId="9" fontId="0" fillId="34" borderId="0" xfId="57" applyFont="1" applyFill="1"/>
    <xf numFmtId="3" fontId="31" fillId="34" borderId="0" xfId="2" applyNumberFormat="1" applyFont="1" applyFill="1" applyBorder="1" applyAlignment="1">
      <alignment horizontal="left" indent="1"/>
    </xf>
    <xf numFmtId="182" fontId="31" fillId="34" borderId="0" xfId="2" applyNumberFormat="1" applyFont="1" applyFill="1" applyBorder="1"/>
    <xf numFmtId="182" fontId="31" fillId="34" borderId="19" xfId="2" applyNumberFormat="1" applyFont="1" applyFill="1" applyBorder="1"/>
    <xf numFmtId="182" fontId="31" fillId="34" borderId="0" xfId="57" applyNumberFormat="1" applyFont="1" applyFill="1" applyBorder="1"/>
    <xf numFmtId="182" fontId="1" fillId="34" borderId="0" xfId="2" applyNumberFormat="1" applyFont="1" applyFill="1" applyBorder="1"/>
    <xf numFmtId="182" fontId="1" fillId="34" borderId="19" xfId="2" applyNumberFormat="1" applyFont="1" applyFill="1" applyBorder="1"/>
    <xf numFmtId="3" fontId="31" fillId="34" borderId="0" xfId="0" applyNumberFormat="1" applyFont="1" applyFill="1"/>
    <xf numFmtId="0" fontId="83" fillId="34" borderId="0" xfId="2" applyFont="1" applyFill="1" applyBorder="1" applyAlignment="1">
      <alignment horizontal="left" indent="2"/>
    </xf>
    <xf numFmtId="0" fontId="83" fillId="34" borderId="0" xfId="2" applyFont="1" applyFill="1" applyBorder="1"/>
    <xf numFmtId="0" fontId="83" fillId="34" borderId="19" xfId="2" applyFont="1" applyFill="1" applyBorder="1"/>
    <xf numFmtId="171" fontId="83" fillId="34" borderId="19" xfId="57" applyNumberFormat="1" applyFont="1" applyFill="1" applyBorder="1"/>
    <xf numFmtId="171" fontId="83" fillId="34" borderId="0" xfId="57" applyNumberFormat="1" applyFont="1" applyFill="1" applyBorder="1"/>
    <xf numFmtId="0" fontId="83" fillId="34" borderId="0" xfId="0" applyFont="1" applyFill="1"/>
    <xf numFmtId="9" fontId="83" fillId="34" borderId="0" xfId="2" applyNumberFormat="1" applyFont="1" applyFill="1" applyBorder="1"/>
    <xf numFmtId="9" fontId="83" fillId="34" borderId="19" xfId="2" applyNumberFormat="1" applyFont="1" applyFill="1" applyBorder="1"/>
    <xf numFmtId="0" fontId="31" fillId="34" borderId="0" xfId="2" applyFont="1" applyFill="1" applyBorder="1" applyAlignment="1">
      <alignment horizontal="left" indent="1"/>
    </xf>
    <xf numFmtId="5" fontId="31" fillId="34" borderId="0" xfId="2" applyNumberFormat="1" applyFont="1" applyFill="1" applyBorder="1"/>
    <xf numFmtId="5" fontId="31" fillId="34" borderId="19" xfId="2" applyNumberFormat="1" applyFont="1" applyFill="1" applyBorder="1"/>
    <xf numFmtId="5" fontId="31" fillId="34" borderId="0" xfId="57" applyNumberFormat="1" applyFont="1" applyFill="1" applyBorder="1"/>
    <xf numFmtId="5" fontId="1" fillId="34" borderId="0" xfId="57" applyNumberFormat="1" applyFont="1" applyFill="1" applyBorder="1"/>
    <xf numFmtId="0" fontId="30" fillId="34" borderId="34" xfId="0" applyFont="1" applyFill="1" applyBorder="1"/>
    <xf numFmtId="5" fontId="30" fillId="34" borderId="17" xfId="2" applyNumberFormat="1" applyFont="1" applyFill="1" applyBorder="1"/>
    <xf numFmtId="5" fontId="30" fillId="34" borderId="18" xfId="2" applyNumberFormat="1" applyFont="1" applyFill="1" applyBorder="1"/>
    <xf numFmtId="0" fontId="30" fillId="34" borderId="0" xfId="0" applyFont="1" applyFill="1"/>
    <xf numFmtId="0" fontId="31" fillId="34" borderId="0" xfId="2" applyFont="1" applyFill="1" applyBorder="1"/>
    <xf numFmtId="171" fontId="118" fillId="34" borderId="0" xfId="57" applyNumberFormat="1" applyFont="1" applyFill="1" applyBorder="1"/>
    <xf numFmtId="0" fontId="30" fillId="34" borderId="0" xfId="2" applyFont="1" applyFill="1" applyBorder="1"/>
    <xf numFmtId="5" fontId="111" fillId="34" borderId="0" xfId="57" applyNumberFormat="1" applyFont="1" applyFill="1" applyBorder="1"/>
    <xf numFmtId="0" fontId="1" fillId="34" borderId="0" xfId="2" applyFont="1" applyFill="1" applyBorder="1"/>
    <xf numFmtId="0" fontId="30" fillId="34" borderId="45" xfId="0" applyFont="1" applyFill="1" applyBorder="1"/>
    <xf numFmtId="5" fontId="30" fillId="34" borderId="43" xfId="2" applyNumberFormat="1" applyFont="1" applyFill="1" applyBorder="1"/>
    <xf numFmtId="5" fontId="30" fillId="34" borderId="66" xfId="2" applyNumberFormat="1" applyFont="1" applyFill="1" applyBorder="1"/>
    <xf numFmtId="171" fontId="83" fillId="34" borderId="0" xfId="57" quotePrefix="1" applyNumberFormat="1" applyFont="1" applyFill="1" applyBorder="1"/>
    <xf numFmtId="220" fontId="83" fillId="34" borderId="19" xfId="35" applyNumberFormat="1" applyFont="1" applyFill="1" applyBorder="1"/>
    <xf numFmtId="5" fontId="115" fillId="34" borderId="0" xfId="2" applyNumberFormat="1" applyFont="1" applyFill="1" applyBorder="1"/>
    <xf numFmtId="5" fontId="115" fillId="34" borderId="19" xfId="2" applyNumberFormat="1" applyFont="1" applyFill="1" applyBorder="1"/>
    <xf numFmtId="0" fontId="115" fillId="34" borderId="0" xfId="0" applyFont="1" applyFill="1"/>
    <xf numFmtId="9" fontId="83" fillId="34" borderId="0" xfId="57" applyNumberFormat="1" applyFont="1" applyFill="1" applyBorder="1"/>
    <xf numFmtId="0" fontId="0" fillId="34" borderId="19" xfId="0" applyFill="1" applyBorder="1"/>
    <xf numFmtId="5" fontId="30" fillId="34" borderId="0" xfId="0" applyNumberFormat="1" applyFont="1" applyFill="1" applyAlignment="1">
      <alignment horizontal="center"/>
    </xf>
    <xf numFmtId="5" fontId="30" fillId="34" borderId="0" xfId="0" applyNumberFormat="1" applyFont="1" applyFill="1" applyBorder="1" applyAlignment="1">
      <alignment horizontal="center"/>
    </xf>
    <xf numFmtId="5" fontId="30" fillId="34" borderId="19" xfId="0" applyNumberFormat="1" applyFont="1" applyFill="1" applyBorder="1" applyAlignment="1">
      <alignment horizontal="center"/>
    </xf>
    <xf numFmtId="49" fontId="30" fillId="34" borderId="0" xfId="2" applyNumberFormat="1" applyFont="1" applyFill="1" applyBorder="1" applyAlignment="1">
      <alignment horizontal="center"/>
    </xf>
    <xf numFmtId="49" fontId="30" fillId="34" borderId="13" xfId="2" applyNumberFormat="1" applyFont="1" applyFill="1" applyBorder="1" applyAlignment="1">
      <alignment horizontal="center"/>
    </xf>
    <xf numFmtId="49" fontId="30" fillId="34" borderId="20" xfId="2" applyNumberFormat="1" applyFont="1" applyFill="1" applyBorder="1" applyAlignment="1">
      <alignment horizontal="center"/>
    </xf>
    <xf numFmtId="49" fontId="30" fillId="34" borderId="13" xfId="2" quotePrefix="1" applyNumberFormat="1" applyFont="1" applyFill="1" applyBorder="1" applyAlignment="1">
      <alignment horizontal="center"/>
    </xf>
    <xf numFmtId="5" fontId="0" fillId="34" borderId="19" xfId="0" applyNumberFormat="1" applyFill="1" applyBorder="1"/>
    <xf numFmtId="220" fontId="83" fillId="34" borderId="0" xfId="35" applyNumberFormat="1" applyFont="1" applyFill="1" applyBorder="1"/>
    <xf numFmtId="5" fontId="83" fillId="34" borderId="0" xfId="0" applyNumberFormat="1" applyFont="1" applyFill="1"/>
    <xf numFmtId="5" fontId="83" fillId="34" borderId="0" xfId="35" applyNumberFormat="1" applyFont="1" applyFill="1" applyBorder="1"/>
    <xf numFmtId="5" fontId="83" fillId="0" borderId="0" xfId="35" applyNumberFormat="1" applyFont="1" applyFill="1" applyBorder="1"/>
    <xf numFmtId="171" fontId="6" fillId="24" borderId="53" xfId="50" applyNumberFormat="1" applyFont="1" applyFill="1" applyBorder="1"/>
    <xf numFmtId="0" fontId="39" fillId="17" borderId="0" xfId="2" quotePrefix="1" applyFont="1" applyFill="1"/>
    <xf numFmtId="166" fontId="134" fillId="17" borderId="0" xfId="2" applyNumberFormat="1" applyFont="1" applyFill="1" applyBorder="1"/>
    <xf numFmtId="9" fontId="39" fillId="25" borderId="13" xfId="57" applyNumberFormat="1" applyFont="1" applyFill="1" applyBorder="1"/>
    <xf numFmtId="9" fontId="135" fillId="25" borderId="13" xfId="57" applyNumberFormat="1" applyFont="1" applyFill="1" applyBorder="1"/>
    <xf numFmtId="9" fontId="135" fillId="25" borderId="0" xfId="50" applyNumberFormat="1" applyFont="1" applyFill="1"/>
    <xf numFmtId="9" fontId="135" fillId="17" borderId="19" xfId="50" applyNumberFormat="1" applyFont="1" applyFill="1" applyBorder="1"/>
    <xf numFmtId="9" fontId="39" fillId="0" borderId="0" xfId="57" applyFont="1" applyFill="1" applyBorder="1"/>
    <xf numFmtId="171" fontId="39" fillId="0" borderId="19" xfId="57" applyNumberFormat="1" applyFont="1" applyFill="1" applyBorder="1"/>
    <xf numFmtId="13" fontId="39" fillId="17" borderId="0" xfId="57" applyNumberFormat="1" applyFont="1" applyFill="1" applyAlignment="1">
      <alignment horizontal="right"/>
    </xf>
    <xf numFmtId="0" fontId="1" fillId="33" borderId="31" xfId="2" applyFont="1" applyFill="1" applyBorder="1" applyAlignment="1">
      <alignment horizontal="left" indent="1"/>
    </xf>
    <xf numFmtId="0" fontId="0" fillId="33" borderId="0" xfId="2" applyFont="1" applyFill="1" applyBorder="1" applyAlignment="1">
      <alignment horizontal="right"/>
    </xf>
    <xf numFmtId="9" fontId="1" fillId="33" borderId="0" xfId="57" applyNumberFormat="1" applyFont="1" applyFill="1" applyBorder="1" applyAlignment="1">
      <alignment horizontal="right"/>
    </xf>
    <xf numFmtId="9" fontId="1" fillId="33" borderId="31" xfId="57" applyNumberFormat="1" applyFont="1" applyFill="1" applyBorder="1" applyAlignment="1">
      <alignment horizontal="right"/>
    </xf>
    <xf numFmtId="9" fontId="1" fillId="33" borderId="23" xfId="57" applyNumberFormat="1" applyFont="1" applyFill="1" applyBorder="1" applyAlignment="1">
      <alignment horizontal="right"/>
    </xf>
    <xf numFmtId="9" fontId="1" fillId="33" borderId="23" xfId="57" applyFont="1" applyFill="1" applyBorder="1" applyAlignment="1">
      <alignment horizontal="right"/>
    </xf>
    <xf numFmtId="0" fontId="1" fillId="33" borderId="0" xfId="2" applyFont="1" applyFill="1" applyAlignment="1">
      <alignment horizontal="right"/>
    </xf>
    <xf numFmtId="171" fontId="1" fillId="33" borderId="19" xfId="57" applyNumberFormat="1" applyFill="1" applyBorder="1" applyAlignment="1">
      <alignment horizontal="right"/>
    </xf>
    <xf numFmtId="9" fontId="1" fillId="33" borderId="19" xfId="57" applyNumberFormat="1" applyFill="1" applyBorder="1" applyAlignment="1">
      <alignment horizontal="right"/>
    </xf>
    <xf numFmtId="9" fontId="1" fillId="33" borderId="19" xfId="57" applyNumberFormat="1" applyFont="1" applyFill="1" applyBorder="1" applyAlignment="1">
      <alignment horizontal="right"/>
    </xf>
    <xf numFmtId="9" fontId="1" fillId="33" borderId="0" xfId="57" applyNumberFormat="1" applyFont="1" applyFill="1" applyAlignment="1">
      <alignment horizontal="right"/>
    </xf>
    <xf numFmtId="0" fontId="0" fillId="33" borderId="0" xfId="0" applyFill="1"/>
    <xf numFmtId="171" fontId="1" fillId="33" borderId="0" xfId="57" applyNumberFormat="1" applyFill="1" applyBorder="1" applyAlignment="1">
      <alignment horizontal="right"/>
    </xf>
    <xf numFmtId="9" fontId="1" fillId="33" borderId="31" xfId="57" applyNumberFormat="1" applyFill="1" applyBorder="1" applyAlignment="1">
      <alignment horizontal="right"/>
    </xf>
    <xf numFmtId="9" fontId="1" fillId="33" borderId="0" xfId="57" applyNumberFormat="1" applyFill="1" applyBorder="1" applyAlignment="1">
      <alignment horizontal="right"/>
    </xf>
    <xf numFmtId="9" fontId="1" fillId="33" borderId="23" xfId="57" applyNumberFormat="1" applyFill="1" applyBorder="1" applyAlignment="1">
      <alignment horizontal="right"/>
    </xf>
    <xf numFmtId="43" fontId="1" fillId="33" borderId="19" xfId="35" applyFont="1" applyFill="1" applyBorder="1" applyAlignment="1">
      <alignment horizontal="right"/>
    </xf>
    <xf numFmtId="0" fontId="0" fillId="33" borderId="31" xfId="2" applyFont="1" applyFill="1" applyBorder="1"/>
    <xf numFmtId="171" fontId="1" fillId="33" borderId="31" xfId="57" applyNumberFormat="1" applyFill="1" applyBorder="1" applyAlignment="1">
      <alignment horizontal="right"/>
    </xf>
    <xf numFmtId="171" fontId="1" fillId="33" borderId="23" xfId="57" applyNumberFormat="1" applyFill="1" applyBorder="1" applyAlignment="1">
      <alignment horizontal="right"/>
    </xf>
    <xf numFmtId="0" fontId="0" fillId="33" borderId="0" xfId="2" applyFont="1" applyFill="1" applyAlignment="1">
      <alignment horizontal="right"/>
    </xf>
    <xf numFmtId="0" fontId="0" fillId="33" borderId="19" xfId="2" applyFont="1" applyFill="1" applyBorder="1" applyAlignment="1">
      <alignment horizontal="right"/>
    </xf>
    <xf numFmtId="0" fontId="0" fillId="33" borderId="23" xfId="2" applyFont="1" applyFill="1" applyBorder="1" applyAlignment="1">
      <alignment horizontal="right"/>
    </xf>
    <xf numFmtId="175" fontId="0" fillId="33" borderId="19" xfId="2" applyNumberFormat="1" applyFont="1" applyFill="1" applyBorder="1" applyAlignment="1">
      <alignment horizontal="right"/>
    </xf>
    <xf numFmtId="9" fontId="0" fillId="33" borderId="19" xfId="57" applyFont="1" applyFill="1" applyBorder="1" applyAlignment="1">
      <alignment horizontal="right"/>
    </xf>
    <xf numFmtId="43" fontId="0" fillId="33" borderId="19" xfId="2" applyNumberFormat="1" applyFont="1" applyFill="1" applyBorder="1" applyAlignment="1">
      <alignment horizontal="right"/>
    </xf>
    <xf numFmtId="0" fontId="0" fillId="33" borderId="31" xfId="2" applyFont="1" applyFill="1" applyBorder="1" applyAlignment="1">
      <alignment horizontal="right"/>
    </xf>
    <xf numFmtId="171" fontId="1" fillId="33" borderId="31" xfId="2" applyNumberFormat="1" applyFont="1" applyFill="1" applyBorder="1" applyAlignment="1">
      <alignment horizontal="right"/>
    </xf>
    <xf numFmtId="171" fontId="1" fillId="33" borderId="0" xfId="2" applyNumberFormat="1" applyFont="1" applyFill="1" applyBorder="1" applyAlignment="1">
      <alignment horizontal="right"/>
    </xf>
    <xf numFmtId="171" fontId="1" fillId="33" borderId="23" xfId="2" applyNumberFormat="1" applyFont="1" applyFill="1" applyBorder="1" applyAlignment="1">
      <alignment horizontal="right"/>
    </xf>
    <xf numFmtId="197" fontId="1" fillId="33" borderId="31" xfId="35" applyNumberFormat="1" applyFont="1" applyFill="1" applyBorder="1" applyAlignment="1">
      <alignment horizontal="right"/>
    </xf>
    <xf numFmtId="0" fontId="0" fillId="33" borderId="31" xfId="2" applyFont="1" applyFill="1" applyBorder="1" applyAlignment="1">
      <alignment horizontal="left" indent="1"/>
    </xf>
    <xf numFmtId="9" fontId="1" fillId="33" borderId="0" xfId="57" applyFont="1" applyFill="1" applyBorder="1" applyAlignment="1">
      <alignment horizontal="right"/>
    </xf>
    <xf numFmtId="171" fontId="1" fillId="33" borderId="0" xfId="57" applyNumberFormat="1" applyFont="1" applyFill="1" applyBorder="1" applyAlignment="1">
      <alignment horizontal="right"/>
    </xf>
    <xf numFmtId="9" fontId="1" fillId="33" borderId="0" xfId="57" applyNumberFormat="1" applyFill="1" applyAlignment="1">
      <alignment horizontal="right"/>
    </xf>
    <xf numFmtId="171" fontId="0" fillId="33" borderId="0" xfId="2" applyNumberFormat="1" applyFont="1" applyFill="1" applyBorder="1" applyAlignment="1">
      <alignment horizontal="right"/>
    </xf>
    <xf numFmtId="171" fontId="1" fillId="33" borderId="0" xfId="57" applyNumberFormat="1" applyFill="1" applyAlignment="1">
      <alignment horizontal="right"/>
    </xf>
    <xf numFmtId="0" fontId="30" fillId="33" borderId="31" xfId="2" applyFont="1" applyFill="1" applyBorder="1"/>
    <xf numFmtId="175" fontId="30" fillId="33" borderId="0" xfId="2" applyNumberFormat="1" applyFont="1" applyFill="1" applyBorder="1" applyAlignment="1">
      <alignment horizontal="right"/>
    </xf>
    <xf numFmtId="175" fontId="30" fillId="33" borderId="23" xfId="2" applyNumberFormat="1" applyFont="1" applyFill="1" applyBorder="1" applyAlignment="1">
      <alignment horizontal="right"/>
    </xf>
    <xf numFmtId="175" fontId="30" fillId="33" borderId="31" xfId="2" applyNumberFormat="1" applyFont="1" applyFill="1" applyBorder="1" applyAlignment="1">
      <alignment horizontal="right"/>
    </xf>
    <xf numFmtId="0" fontId="30" fillId="33" borderId="0" xfId="2" applyFont="1" applyFill="1" applyAlignment="1">
      <alignment horizontal="right"/>
    </xf>
    <xf numFmtId="175" fontId="30" fillId="33" borderId="19" xfId="2" applyNumberFormat="1" applyFont="1" applyFill="1" applyBorder="1" applyAlignment="1">
      <alignment horizontal="right"/>
    </xf>
    <xf numFmtId="175" fontId="30" fillId="33" borderId="0" xfId="2" applyNumberFormat="1" applyFont="1" applyFill="1" applyAlignment="1">
      <alignment horizontal="right"/>
    </xf>
    <xf numFmtId="0" fontId="1" fillId="33" borderId="31" xfId="2" applyFont="1" applyFill="1" applyBorder="1" applyAlignment="1">
      <alignment horizontal="left"/>
    </xf>
    <xf numFmtId="9" fontId="0" fillId="33" borderId="0" xfId="2" applyNumberFormat="1" applyFont="1" applyFill="1" applyBorder="1" applyAlignment="1">
      <alignment horizontal="right"/>
    </xf>
    <xf numFmtId="0" fontId="1" fillId="33" borderId="31" xfId="2" applyFont="1" applyFill="1" applyBorder="1"/>
    <xf numFmtId="206" fontId="0" fillId="33" borderId="0" xfId="2" applyNumberFormat="1" applyFont="1" applyFill="1" applyBorder="1" applyAlignment="1">
      <alignment horizontal="right"/>
    </xf>
    <xf numFmtId="206" fontId="0" fillId="33" borderId="31" xfId="2" applyNumberFormat="1" applyFont="1" applyFill="1" applyBorder="1" applyAlignment="1">
      <alignment horizontal="right"/>
    </xf>
    <xf numFmtId="0" fontId="1" fillId="33" borderId="31" xfId="2" applyFont="1" applyFill="1" applyBorder="1" applyAlignment="1">
      <alignment horizontal="right"/>
    </xf>
    <xf numFmtId="0" fontId="1" fillId="33" borderId="0" xfId="2" applyFont="1" applyFill="1" applyBorder="1" applyAlignment="1">
      <alignment horizontal="right"/>
    </xf>
    <xf numFmtId="0" fontId="1" fillId="33" borderId="23" xfId="2" applyFont="1" applyFill="1" applyBorder="1" applyAlignment="1">
      <alignment horizontal="right"/>
    </xf>
    <xf numFmtId="5" fontId="1" fillId="33" borderId="31" xfId="2" applyNumberFormat="1" applyFont="1" applyFill="1" applyBorder="1" applyAlignment="1">
      <alignment horizontal="right"/>
    </xf>
    <xf numFmtId="0" fontId="1" fillId="33" borderId="19" xfId="2" applyFont="1" applyFill="1" applyBorder="1" applyAlignment="1">
      <alignment horizontal="right"/>
    </xf>
    <xf numFmtId="43" fontId="1" fillId="33" borderId="23" xfId="35" applyFont="1" applyFill="1" applyBorder="1" applyAlignment="1">
      <alignment horizontal="right"/>
    </xf>
    <xf numFmtId="3" fontId="1" fillId="33" borderId="31" xfId="2" applyNumberFormat="1" applyFont="1" applyFill="1" applyBorder="1"/>
    <xf numFmtId="175" fontId="0" fillId="33" borderId="0" xfId="2" applyNumberFormat="1" applyFont="1" applyFill="1" applyBorder="1" applyAlignment="1">
      <alignment horizontal="right"/>
    </xf>
    <xf numFmtId="175" fontId="0" fillId="33" borderId="31" xfId="2" applyNumberFormat="1" applyFont="1" applyFill="1" applyBorder="1" applyAlignment="1">
      <alignment horizontal="right"/>
    </xf>
    <xf numFmtId="175" fontId="0" fillId="33" borderId="23" xfId="2" applyNumberFormat="1" applyFont="1" applyFill="1" applyBorder="1" applyAlignment="1">
      <alignment horizontal="right"/>
    </xf>
    <xf numFmtId="175" fontId="1" fillId="33" borderId="31" xfId="2" applyNumberFormat="1" applyFont="1" applyFill="1" applyBorder="1" applyAlignment="1">
      <alignment horizontal="right"/>
    </xf>
    <xf numFmtId="175" fontId="1" fillId="33" borderId="0" xfId="2" applyNumberFormat="1" applyFont="1" applyFill="1" applyBorder="1" applyAlignment="1">
      <alignment horizontal="right"/>
    </xf>
    <xf numFmtId="175" fontId="1" fillId="33" borderId="23" xfId="2" applyNumberFormat="1" applyFont="1" applyFill="1" applyBorder="1" applyAlignment="1">
      <alignment horizontal="right"/>
    </xf>
    <xf numFmtId="175" fontId="1" fillId="33" borderId="19" xfId="2" applyNumberFormat="1" applyFont="1" applyFill="1" applyBorder="1" applyAlignment="1">
      <alignment horizontal="right"/>
    </xf>
    <xf numFmtId="175" fontId="1" fillId="33" borderId="0" xfId="2" applyNumberFormat="1" applyFont="1" applyFill="1" applyAlignment="1">
      <alignment horizontal="right"/>
    </xf>
    <xf numFmtId="175" fontId="31" fillId="33" borderId="19" xfId="2" applyNumberFormat="1" applyFont="1" applyFill="1" applyBorder="1" applyAlignment="1">
      <alignment horizontal="right"/>
    </xf>
    <xf numFmtId="3" fontId="1" fillId="33" borderId="31" xfId="2" applyNumberFormat="1" applyFont="1" applyFill="1" applyBorder="1" applyAlignment="1">
      <alignment horizontal="left" indent="1"/>
    </xf>
    <xf numFmtId="171" fontId="0" fillId="33" borderId="31" xfId="2" applyNumberFormat="1" applyFont="1" applyFill="1" applyBorder="1" applyAlignment="1">
      <alignment horizontal="right"/>
    </xf>
    <xf numFmtId="171" fontId="0" fillId="33" borderId="23" xfId="2" applyNumberFormat="1" applyFont="1" applyFill="1" applyBorder="1" applyAlignment="1">
      <alignment horizontal="right"/>
    </xf>
    <xf numFmtId="171" fontId="1" fillId="33" borderId="0" xfId="2" applyNumberFormat="1" applyFont="1" applyFill="1" applyAlignment="1">
      <alignment horizontal="right"/>
    </xf>
    <xf numFmtId="171" fontId="0" fillId="33" borderId="19" xfId="2" applyNumberFormat="1" applyFont="1" applyFill="1" applyBorder="1" applyAlignment="1">
      <alignment horizontal="right"/>
    </xf>
    <xf numFmtId="171" fontId="1" fillId="33" borderId="19" xfId="2" applyNumberFormat="1" applyFont="1" applyFill="1" applyBorder="1" applyAlignment="1">
      <alignment horizontal="right"/>
    </xf>
    <xf numFmtId="171" fontId="1" fillId="33" borderId="23" xfId="57" applyNumberFormat="1" applyFont="1" applyFill="1" applyBorder="1" applyAlignment="1">
      <alignment horizontal="right"/>
    </xf>
    <xf numFmtId="171" fontId="1" fillId="33" borderId="31" xfId="57" applyNumberFormat="1" applyFont="1" applyFill="1" applyBorder="1" applyAlignment="1">
      <alignment horizontal="right"/>
    </xf>
    <xf numFmtId="5" fontId="1" fillId="33" borderId="31" xfId="2" applyNumberFormat="1" applyFont="1" applyFill="1" applyBorder="1"/>
    <xf numFmtId="5" fontId="0" fillId="33" borderId="0" xfId="2" applyNumberFormat="1" applyFont="1" applyFill="1" applyBorder="1" applyAlignment="1">
      <alignment horizontal="right"/>
    </xf>
    <xf numFmtId="5" fontId="0" fillId="33" borderId="31" xfId="2" applyNumberFormat="1" applyFont="1" applyFill="1" applyBorder="1" applyAlignment="1">
      <alignment horizontal="right"/>
    </xf>
    <xf numFmtId="5" fontId="0" fillId="33" borderId="23" xfId="2" applyNumberFormat="1" applyFont="1" applyFill="1" applyBorder="1" applyAlignment="1">
      <alignment horizontal="right"/>
    </xf>
    <xf numFmtId="5" fontId="1" fillId="33" borderId="0" xfId="2" applyNumberFormat="1" applyFont="1" applyFill="1" applyBorder="1" applyAlignment="1">
      <alignment horizontal="right"/>
    </xf>
    <xf numFmtId="5" fontId="1" fillId="33" borderId="23" xfId="2" applyNumberFormat="1" applyFont="1" applyFill="1" applyBorder="1" applyAlignment="1">
      <alignment horizontal="right"/>
    </xf>
    <xf numFmtId="5" fontId="1" fillId="33" borderId="0" xfId="2" applyNumberFormat="1" applyFont="1" applyFill="1" applyAlignment="1">
      <alignment horizontal="right"/>
    </xf>
    <xf numFmtId="5" fontId="0" fillId="33" borderId="19" xfId="2" applyNumberFormat="1" applyFont="1" applyFill="1" applyBorder="1" applyAlignment="1">
      <alignment horizontal="right"/>
    </xf>
    <xf numFmtId="5" fontId="1" fillId="33" borderId="19" xfId="2" applyNumberFormat="1" applyFont="1" applyFill="1" applyBorder="1" applyAlignment="1">
      <alignment horizontal="right"/>
    </xf>
    <xf numFmtId="43" fontId="1" fillId="33" borderId="31" xfId="35" applyNumberFormat="1" applyFont="1" applyFill="1" applyBorder="1" applyAlignment="1">
      <alignment horizontal="right"/>
    </xf>
    <xf numFmtId="43" fontId="1" fillId="33" borderId="0" xfId="35" applyNumberFormat="1" applyFont="1" applyFill="1" applyBorder="1" applyAlignment="1">
      <alignment horizontal="right"/>
    </xf>
    <xf numFmtId="43" fontId="1" fillId="33" borderId="23" xfId="35" applyNumberFormat="1" applyFont="1" applyFill="1" applyBorder="1" applyAlignment="1">
      <alignment horizontal="right"/>
    </xf>
    <xf numFmtId="43" fontId="1" fillId="33" borderId="31" xfId="35" applyNumberFormat="1" applyFill="1" applyBorder="1" applyAlignment="1">
      <alignment horizontal="right"/>
    </xf>
    <xf numFmtId="43" fontId="1" fillId="33" borderId="0" xfId="35" applyNumberFormat="1" applyFill="1" applyBorder="1" applyAlignment="1">
      <alignment horizontal="right"/>
    </xf>
    <xf numFmtId="43" fontId="1" fillId="33" borderId="23" xfId="35" applyNumberFormat="1" applyFill="1" applyBorder="1" applyAlignment="1">
      <alignment horizontal="right"/>
    </xf>
    <xf numFmtId="43" fontId="1" fillId="33" borderId="31" xfId="2" applyNumberFormat="1" applyFont="1" applyFill="1" applyBorder="1" applyAlignment="1">
      <alignment horizontal="right"/>
    </xf>
    <xf numFmtId="43" fontId="1" fillId="33" borderId="0" xfId="2" applyNumberFormat="1" applyFont="1" applyFill="1" applyBorder="1" applyAlignment="1">
      <alignment horizontal="right"/>
    </xf>
    <xf numFmtId="43" fontId="1" fillId="33" borderId="23" xfId="2" applyNumberFormat="1" applyFont="1" applyFill="1" applyBorder="1" applyAlignment="1">
      <alignment horizontal="right"/>
    </xf>
    <xf numFmtId="43" fontId="0" fillId="33" borderId="31" xfId="2" applyNumberFormat="1" applyFont="1" applyFill="1" applyBorder="1" applyAlignment="1">
      <alignment horizontal="right"/>
    </xf>
    <xf numFmtId="43" fontId="0" fillId="33" borderId="0" xfId="2" applyNumberFormat="1" applyFont="1" applyFill="1" applyBorder="1" applyAlignment="1">
      <alignment horizontal="right"/>
    </xf>
    <xf numFmtId="43" fontId="0" fillId="33" borderId="23" xfId="2" applyNumberFormat="1" applyFont="1" applyFill="1" applyBorder="1" applyAlignment="1">
      <alignment horizontal="right"/>
    </xf>
    <xf numFmtId="1" fontId="1" fillId="33" borderId="0" xfId="2" applyNumberFormat="1" applyFont="1" applyFill="1" applyAlignment="1">
      <alignment horizontal="right"/>
    </xf>
    <xf numFmtId="1" fontId="0" fillId="33" borderId="19" xfId="2" applyNumberFormat="1" applyFont="1" applyFill="1" applyBorder="1" applyAlignment="1">
      <alignment horizontal="right"/>
    </xf>
    <xf numFmtId="1" fontId="1" fillId="33" borderId="19" xfId="2" applyNumberFormat="1" applyFont="1" applyFill="1" applyBorder="1" applyAlignment="1">
      <alignment horizontal="right"/>
    </xf>
    <xf numFmtId="197" fontId="1" fillId="33" borderId="0" xfId="35" applyNumberFormat="1" applyFont="1" applyFill="1" applyBorder="1" applyAlignment="1">
      <alignment horizontal="right"/>
    </xf>
    <xf numFmtId="197" fontId="1" fillId="33" borderId="23" xfId="35" applyNumberFormat="1" applyFont="1" applyFill="1" applyBorder="1" applyAlignment="1">
      <alignment horizontal="right"/>
    </xf>
    <xf numFmtId="197" fontId="1" fillId="33" borderId="31" xfId="35" applyNumberFormat="1" applyFill="1" applyBorder="1" applyAlignment="1">
      <alignment horizontal="right"/>
    </xf>
    <xf numFmtId="197" fontId="1" fillId="33" borderId="0" xfId="35" applyNumberFormat="1" applyFill="1" applyBorder="1" applyAlignment="1">
      <alignment horizontal="right"/>
    </xf>
    <xf numFmtId="197" fontId="1" fillId="33" borderId="23" xfId="35" applyNumberFormat="1" applyFill="1" applyBorder="1" applyAlignment="1">
      <alignment horizontal="right"/>
    </xf>
    <xf numFmtId="3" fontId="1" fillId="33" borderId="19" xfId="2" applyNumberFormat="1" applyFont="1" applyFill="1" applyBorder="1"/>
    <xf numFmtId="3" fontId="1" fillId="33" borderId="19" xfId="2" applyNumberFormat="1" applyFont="1" applyFill="1" applyBorder="1" applyAlignment="1">
      <alignment horizontal="left" indent="1"/>
    </xf>
    <xf numFmtId="0" fontId="1" fillId="33" borderId="19" xfId="2" applyFont="1" applyFill="1" applyBorder="1" applyAlignment="1">
      <alignment horizontal="left" indent="1"/>
    </xf>
    <xf numFmtId="5" fontId="1" fillId="33" borderId="19" xfId="2" applyNumberFormat="1" applyFont="1" applyFill="1" applyBorder="1"/>
    <xf numFmtId="0" fontId="1" fillId="33" borderId="19" xfId="2" applyFont="1" applyFill="1" applyBorder="1"/>
    <xf numFmtId="0" fontId="30" fillId="33" borderId="19" xfId="2" applyFont="1" applyFill="1" applyBorder="1"/>
    <xf numFmtId="1" fontId="0" fillId="33" borderId="31" xfId="2" applyNumberFormat="1" applyFont="1" applyFill="1" applyBorder="1" applyAlignment="1">
      <alignment horizontal="right"/>
    </xf>
    <xf numFmtId="1" fontId="0" fillId="33" borderId="0" xfId="2" applyNumberFormat="1" applyFont="1" applyFill="1" applyBorder="1" applyAlignment="1">
      <alignment horizontal="right"/>
    </xf>
    <xf numFmtId="1" fontId="0" fillId="33" borderId="23" xfId="2" applyNumberFormat="1" applyFont="1" applyFill="1" applyBorder="1" applyAlignment="1">
      <alignment horizontal="right"/>
    </xf>
    <xf numFmtId="1" fontId="1" fillId="33" borderId="31" xfId="2" applyNumberFormat="1" applyFont="1" applyFill="1" applyBorder="1" applyAlignment="1">
      <alignment horizontal="right"/>
    </xf>
    <xf numFmtId="1" fontId="1" fillId="33" borderId="0" xfId="2" applyNumberFormat="1" applyFont="1" applyFill="1" applyBorder="1" applyAlignment="1">
      <alignment horizontal="right"/>
    </xf>
    <xf numFmtId="1" fontId="1" fillId="33" borderId="23" xfId="2" applyNumberFormat="1" applyFont="1" applyFill="1" applyBorder="1" applyAlignment="1">
      <alignment horizontal="right"/>
    </xf>
    <xf numFmtId="9" fontId="1" fillId="33" borderId="0" xfId="2" applyNumberFormat="1" applyFont="1" applyFill="1" applyBorder="1" applyAlignment="1">
      <alignment horizontal="right"/>
    </xf>
    <xf numFmtId="9" fontId="1" fillId="33" borderId="23" xfId="2" applyNumberFormat="1" applyFont="1" applyFill="1" applyBorder="1" applyAlignment="1">
      <alignment horizontal="right"/>
    </xf>
    <xf numFmtId="171" fontId="0" fillId="33" borderId="0" xfId="57" applyNumberFormat="1" applyFont="1" applyFill="1" applyBorder="1" applyAlignment="1">
      <alignment horizontal="right"/>
    </xf>
    <xf numFmtId="228" fontId="0" fillId="33" borderId="0" xfId="57" applyNumberFormat="1" applyFont="1" applyFill="1" applyBorder="1" applyAlignment="1">
      <alignment horizontal="right"/>
    </xf>
    <xf numFmtId="10" fontId="0" fillId="33" borderId="31" xfId="2" applyNumberFormat="1" applyFont="1" applyFill="1" applyBorder="1" applyAlignment="1">
      <alignment horizontal="right"/>
    </xf>
    <xf numFmtId="10" fontId="0" fillId="33" borderId="0" xfId="2" applyNumberFormat="1" applyFont="1" applyFill="1" applyBorder="1" applyAlignment="1">
      <alignment horizontal="right"/>
    </xf>
    <xf numFmtId="10" fontId="0" fillId="33" borderId="23" xfId="2" applyNumberFormat="1" applyFont="1" applyFill="1" applyBorder="1" applyAlignment="1">
      <alignment horizontal="right"/>
    </xf>
    <xf numFmtId="9" fontId="0" fillId="33" borderId="0" xfId="57" applyFont="1" applyFill="1" applyBorder="1" applyAlignment="1">
      <alignment horizontal="right"/>
    </xf>
    <xf numFmtId="43" fontId="0" fillId="33" borderId="0" xfId="35" applyFont="1" applyFill="1" applyBorder="1" applyAlignment="1">
      <alignment horizontal="right"/>
    </xf>
    <xf numFmtId="9" fontId="0" fillId="33" borderId="23" xfId="57" applyFont="1" applyFill="1" applyBorder="1" applyAlignment="1">
      <alignment horizontal="right"/>
    </xf>
    <xf numFmtId="9" fontId="0" fillId="33" borderId="31" xfId="57" applyFont="1" applyFill="1" applyBorder="1" applyAlignment="1">
      <alignment horizontal="right"/>
    </xf>
    <xf numFmtId="3" fontId="30" fillId="33" borderId="19" xfId="2" applyNumberFormat="1" applyFont="1" applyFill="1" applyBorder="1"/>
    <xf numFmtId="0" fontId="30" fillId="33" borderId="19" xfId="2" applyFont="1" applyFill="1" applyBorder="1" applyAlignment="1">
      <alignment horizontal="right"/>
    </xf>
    <xf numFmtId="0" fontId="31" fillId="33" borderId="19" xfId="2" applyFont="1" applyFill="1" applyBorder="1" applyAlignment="1">
      <alignment horizontal="left" indent="1"/>
    </xf>
    <xf numFmtId="0" fontId="31" fillId="33" borderId="19" xfId="2" applyFont="1" applyFill="1" applyBorder="1" applyAlignment="1">
      <alignment horizontal="right"/>
    </xf>
    <xf numFmtId="171" fontId="31" fillId="33" borderId="19" xfId="57" applyNumberFormat="1" applyFont="1" applyFill="1" applyBorder="1" applyAlignment="1">
      <alignment horizontal="right"/>
    </xf>
    <xf numFmtId="9" fontId="31" fillId="33" borderId="31" xfId="57" applyNumberFormat="1" applyFont="1" applyFill="1" applyBorder="1" applyAlignment="1">
      <alignment horizontal="right"/>
    </xf>
    <xf numFmtId="9" fontId="31" fillId="33" borderId="0" xfId="57" applyNumberFormat="1" applyFont="1" applyFill="1" applyBorder="1" applyAlignment="1">
      <alignment horizontal="right"/>
    </xf>
    <xf numFmtId="9" fontId="31" fillId="33" borderId="23" xfId="57" applyNumberFormat="1" applyFont="1" applyFill="1" applyBorder="1" applyAlignment="1">
      <alignment horizontal="right"/>
    </xf>
    <xf numFmtId="171" fontId="31" fillId="33" borderId="31" xfId="57" applyNumberFormat="1" applyFont="1" applyFill="1" applyBorder="1" applyAlignment="1">
      <alignment horizontal="right"/>
    </xf>
    <xf numFmtId="0" fontId="31" fillId="33" borderId="0" xfId="2" applyFont="1" applyFill="1" applyAlignment="1">
      <alignment horizontal="right"/>
    </xf>
    <xf numFmtId="9" fontId="31" fillId="33" borderId="19" xfId="57" applyNumberFormat="1" applyFont="1" applyFill="1" applyBorder="1" applyAlignment="1">
      <alignment horizontal="right"/>
    </xf>
    <xf numFmtId="9" fontId="31" fillId="33" borderId="0" xfId="57" applyNumberFormat="1" applyFont="1" applyFill="1" applyAlignment="1">
      <alignment horizontal="right"/>
    </xf>
    <xf numFmtId="5" fontId="30" fillId="33" borderId="19" xfId="2" applyNumberFormat="1" applyFont="1" applyFill="1" applyBorder="1"/>
    <xf numFmtId="5" fontId="30" fillId="33" borderId="19" xfId="2" applyNumberFormat="1" applyFont="1" applyFill="1" applyBorder="1" applyAlignment="1">
      <alignment horizontal="right"/>
    </xf>
    <xf numFmtId="5" fontId="30" fillId="33" borderId="31" xfId="2" applyNumberFormat="1" applyFont="1" applyFill="1" applyBorder="1" applyAlignment="1">
      <alignment horizontal="right"/>
    </xf>
    <xf numFmtId="5" fontId="30" fillId="33" borderId="0" xfId="2" applyNumberFormat="1" applyFont="1" applyFill="1" applyBorder="1" applyAlignment="1">
      <alignment horizontal="right"/>
    </xf>
    <xf numFmtId="5" fontId="30" fillId="33" borderId="23" xfId="2" applyNumberFormat="1" applyFont="1" applyFill="1" applyBorder="1" applyAlignment="1">
      <alignment horizontal="right"/>
    </xf>
    <xf numFmtId="5" fontId="30" fillId="33" borderId="0" xfId="2" applyNumberFormat="1" applyFont="1" applyFill="1" applyAlignment="1">
      <alignment horizontal="right"/>
    </xf>
    <xf numFmtId="5" fontId="31" fillId="33" borderId="19" xfId="2" applyNumberFormat="1" applyFont="1" applyFill="1" applyBorder="1"/>
    <xf numFmtId="9" fontId="30" fillId="33" borderId="23" xfId="57" applyFont="1" applyFill="1" applyBorder="1" applyAlignment="1">
      <alignment horizontal="right"/>
    </xf>
    <xf numFmtId="9" fontId="30" fillId="33" borderId="19" xfId="57" applyFont="1" applyFill="1" applyBorder="1" applyAlignment="1">
      <alignment horizontal="right"/>
    </xf>
    <xf numFmtId="0" fontId="31" fillId="33" borderId="19" xfId="2" applyFont="1" applyFill="1" applyBorder="1"/>
    <xf numFmtId="210" fontId="1" fillId="33" borderId="0" xfId="2" applyNumberFormat="1" applyFont="1" applyFill="1" applyBorder="1" applyAlignment="1">
      <alignment horizontal="right"/>
    </xf>
    <xf numFmtId="210" fontId="0" fillId="33" borderId="0" xfId="2" applyNumberFormat="1" applyFont="1" applyFill="1" applyBorder="1" applyAlignment="1">
      <alignment horizontal="right"/>
    </xf>
    <xf numFmtId="171" fontId="1" fillId="33" borderId="19" xfId="57" applyNumberFormat="1" applyFont="1" applyFill="1" applyBorder="1" applyAlignment="1">
      <alignment horizontal="right"/>
    </xf>
    <xf numFmtId="0" fontId="0" fillId="33" borderId="19" xfId="2" applyFont="1" applyFill="1" applyBorder="1"/>
    <xf numFmtId="9" fontId="1" fillId="33" borderId="19" xfId="57" applyFill="1" applyBorder="1" applyAlignment="1">
      <alignment horizontal="right"/>
    </xf>
    <xf numFmtId="9" fontId="1" fillId="33" borderId="31" xfId="57" applyFill="1" applyBorder="1" applyAlignment="1">
      <alignment horizontal="right"/>
    </xf>
    <xf numFmtId="9" fontId="1" fillId="33" borderId="0" xfId="57" applyFill="1" applyBorder="1" applyAlignment="1">
      <alignment horizontal="right"/>
    </xf>
    <xf numFmtId="1" fontId="0" fillId="33" borderId="0" xfId="2" applyNumberFormat="1" applyFont="1" applyFill="1" applyAlignment="1">
      <alignment horizontal="right"/>
    </xf>
    <xf numFmtId="9" fontId="1" fillId="33" borderId="23" xfId="57" applyFill="1" applyBorder="1" applyAlignment="1">
      <alignment horizontal="right"/>
    </xf>
    <xf numFmtId="9" fontId="1" fillId="33" borderId="31" xfId="57" applyFont="1" applyFill="1" applyBorder="1" applyAlignment="1">
      <alignment horizontal="right"/>
    </xf>
    <xf numFmtId="9" fontId="1" fillId="33" borderId="31" xfId="2" applyNumberFormat="1" applyFont="1" applyFill="1" applyBorder="1" applyAlignment="1">
      <alignment horizontal="right"/>
    </xf>
    <xf numFmtId="9" fontId="0" fillId="33" borderId="31" xfId="2" applyNumberFormat="1" applyFont="1" applyFill="1" applyBorder="1" applyAlignment="1">
      <alignment horizontal="right"/>
    </xf>
    <xf numFmtId="9" fontId="0" fillId="33" borderId="23" xfId="2" applyNumberFormat="1" applyFont="1" applyFill="1" applyBorder="1" applyAlignment="1">
      <alignment horizontal="right"/>
    </xf>
    <xf numFmtId="9" fontId="35" fillId="33" borderId="31" xfId="2" applyNumberFormat="1" applyFont="1" applyFill="1" applyBorder="1" applyAlignment="1">
      <alignment horizontal="right"/>
    </xf>
    <xf numFmtId="43" fontId="35" fillId="33" borderId="0" xfId="35" applyFont="1" applyFill="1" applyBorder="1" applyAlignment="1">
      <alignment horizontal="right"/>
    </xf>
    <xf numFmtId="9" fontId="35" fillId="33" borderId="0" xfId="2" applyNumberFormat="1" applyFont="1" applyFill="1" applyBorder="1" applyAlignment="1">
      <alignment horizontal="right"/>
    </xf>
    <xf numFmtId="9" fontId="35" fillId="33" borderId="23" xfId="2" applyNumberFormat="1" applyFont="1" applyFill="1" applyBorder="1" applyAlignment="1">
      <alignment horizontal="right"/>
    </xf>
    <xf numFmtId="5" fontId="30" fillId="33" borderId="18" xfId="2" applyNumberFormat="1" applyFont="1" applyFill="1" applyBorder="1"/>
    <xf numFmtId="5" fontId="30" fillId="33" borderId="18" xfId="2" applyNumberFormat="1" applyFont="1" applyFill="1" applyBorder="1" applyAlignment="1">
      <alignment horizontal="right"/>
    </xf>
    <xf numFmtId="5" fontId="30" fillId="33" borderId="34" xfId="2" applyNumberFormat="1" applyFont="1" applyFill="1" applyBorder="1" applyAlignment="1">
      <alignment horizontal="right"/>
    </xf>
    <xf numFmtId="5" fontId="30" fillId="33" borderId="17" xfId="2" applyNumberFormat="1" applyFont="1" applyFill="1" applyBorder="1" applyAlignment="1">
      <alignment horizontal="right"/>
    </xf>
    <xf numFmtId="5" fontId="30" fillId="33" borderId="35" xfId="2" applyNumberFormat="1" applyFont="1" applyFill="1" applyBorder="1" applyAlignment="1">
      <alignment horizontal="right"/>
    </xf>
    <xf numFmtId="0" fontId="31" fillId="33" borderId="20" xfId="2" applyFont="1" applyFill="1" applyBorder="1"/>
    <xf numFmtId="0" fontId="30" fillId="33" borderId="20" xfId="2" applyFont="1" applyFill="1" applyBorder="1" applyAlignment="1">
      <alignment horizontal="right"/>
    </xf>
    <xf numFmtId="9" fontId="1" fillId="33" borderId="33" xfId="57" applyFill="1" applyBorder="1" applyAlignment="1">
      <alignment horizontal="right"/>
    </xf>
    <xf numFmtId="9" fontId="1" fillId="33" borderId="13" xfId="57" applyFill="1" applyBorder="1" applyAlignment="1">
      <alignment horizontal="right"/>
    </xf>
    <xf numFmtId="9" fontId="1" fillId="33" borderId="24" xfId="57" applyFill="1" applyBorder="1" applyAlignment="1">
      <alignment horizontal="right"/>
    </xf>
    <xf numFmtId="9" fontId="1" fillId="33" borderId="33" xfId="57" applyFont="1" applyFill="1" applyBorder="1" applyAlignment="1">
      <alignment horizontal="right"/>
    </xf>
    <xf numFmtId="9" fontId="1" fillId="33" borderId="13" xfId="57" applyFont="1" applyFill="1" applyBorder="1" applyAlignment="1">
      <alignment horizontal="right"/>
    </xf>
    <xf numFmtId="9" fontId="1" fillId="33" borderId="24" xfId="2" applyNumberFormat="1" applyFont="1" applyFill="1" applyBorder="1" applyAlignment="1">
      <alignment horizontal="right"/>
    </xf>
    <xf numFmtId="9" fontId="1" fillId="33" borderId="33" xfId="2" applyNumberFormat="1" applyFont="1" applyFill="1" applyBorder="1" applyAlignment="1">
      <alignment horizontal="right"/>
    </xf>
    <xf numFmtId="9" fontId="1" fillId="33" borderId="13" xfId="2" applyNumberFormat="1" applyFont="1" applyFill="1" applyBorder="1" applyAlignment="1">
      <alignment horizontal="right"/>
    </xf>
    <xf numFmtId="9" fontId="1" fillId="33" borderId="20" xfId="57" applyNumberFormat="1" applyFill="1" applyBorder="1" applyAlignment="1">
      <alignment horizontal="right"/>
    </xf>
    <xf numFmtId="9" fontId="1" fillId="33" borderId="20" xfId="57" applyNumberFormat="1" applyFont="1" applyFill="1" applyBorder="1" applyAlignment="1">
      <alignment horizontal="right"/>
    </xf>
    <xf numFmtId="9" fontId="1" fillId="33" borderId="24" xfId="57" applyNumberFormat="1" applyFont="1" applyFill="1" applyBorder="1" applyAlignment="1">
      <alignment horizontal="right"/>
    </xf>
    <xf numFmtId="5" fontId="31" fillId="33" borderId="23" xfId="2" applyNumberFormat="1" applyFont="1" applyFill="1" applyBorder="1" applyAlignment="1">
      <alignment horizontal="right"/>
    </xf>
    <xf numFmtId="5" fontId="31" fillId="33" borderId="31" xfId="2" applyNumberFormat="1" applyFont="1" applyFill="1" applyBorder="1" applyAlignment="1">
      <alignment horizontal="right"/>
    </xf>
    <xf numFmtId="5" fontId="31" fillId="33" borderId="0" xfId="2" applyNumberFormat="1" applyFont="1" applyFill="1" applyBorder="1" applyAlignment="1">
      <alignment horizontal="right"/>
    </xf>
    <xf numFmtId="7" fontId="31" fillId="33" borderId="0" xfId="2" applyNumberFormat="1" applyFont="1" applyFill="1" applyBorder="1" applyAlignment="1">
      <alignment horizontal="right"/>
    </xf>
    <xf numFmtId="9" fontId="30" fillId="33" borderId="19" xfId="2" applyNumberFormat="1" applyFont="1" applyFill="1" applyBorder="1" applyAlignment="1">
      <alignment horizontal="right"/>
    </xf>
    <xf numFmtId="0" fontId="30" fillId="33" borderId="33" xfId="2" applyFont="1" applyFill="1" applyBorder="1"/>
    <xf numFmtId="0" fontId="30" fillId="33" borderId="13" xfId="2" applyFont="1" applyFill="1" applyBorder="1" applyAlignment="1">
      <alignment horizontal="right"/>
    </xf>
    <xf numFmtId="5" fontId="1" fillId="33" borderId="13" xfId="2" applyNumberFormat="1" applyFont="1" applyFill="1" applyBorder="1" applyAlignment="1">
      <alignment horizontal="right"/>
    </xf>
    <xf numFmtId="9" fontId="1" fillId="33" borderId="34" xfId="57" applyNumberFormat="1" applyFont="1" applyFill="1" applyBorder="1" applyAlignment="1">
      <alignment horizontal="right"/>
    </xf>
    <xf numFmtId="9" fontId="1" fillId="33" borderId="18" xfId="57" applyNumberFormat="1" applyFont="1" applyFill="1" applyBorder="1" applyAlignment="1">
      <alignment horizontal="right"/>
    </xf>
    <xf numFmtId="9" fontId="1" fillId="33" borderId="35" xfId="57" applyNumberFormat="1" applyFont="1" applyFill="1" applyBorder="1" applyAlignment="1">
      <alignment horizontal="right"/>
    </xf>
    <xf numFmtId="0" fontId="30" fillId="33" borderId="0" xfId="2" applyFont="1" applyFill="1"/>
    <xf numFmtId="5" fontId="30" fillId="33" borderId="22" xfId="2" applyNumberFormat="1" applyFont="1" applyFill="1" applyBorder="1" applyAlignment="1">
      <alignment horizontal="right"/>
    </xf>
    <xf numFmtId="7" fontId="30" fillId="33" borderId="0" xfId="2" applyNumberFormat="1" applyFont="1" applyFill="1" applyAlignment="1">
      <alignment horizontal="right"/>
    </xf>
    <xf numFmtId="206" fontId="0" fillId="33" borderId="0" xfId="2" applyNumberFormat="1" applyFont="1" applyFill="1" applyAlignment="1">
      <alignment horizontal="right"/>
    </xf>
    <xf numFmtId="210" fontId="0" fillId="33" borderId="0" xfId="2" applyNumberFormat="1" applyFont="1" applyFill="1" applyAlignment="1">
      <alignment horizontal="right"/>
    </xf>
    <xf numFmtId="5" fontId="0" fillId="33" borderId="24" xfId="2" applyNumberFormat="1" applyFont="1" applyFill="1" applyBorder="1" applyAlignment="1">
      <alignment horizontal="right"/>
    </xf>
    <xf numFmtId="5" fontId="0" fillId="33" borderId="0" xfId="2" applyNumberFormat="1" applyFont="1" applyFill="1" applyAlignment="1">
      <alignment horizontal="right"/>
    </xf>
    <xf numFmtId="210" fontId="0" fillId="33" borderId="24" xfId="2" applyNumberFormat="1" applyFont="1" applyFill="1" applyBorder="1" applyAlignment="1">
      <alignment horizontal="right"/>
    </xf>
    <xf numFmtId="7" fontId="0" fillId="33" borderId="24" xfId="2" applyNumberFormat="1" applyFont="1" applyFill="1" applyBorder="1" applyAlignment="1">
      <alignment horizontal="right"/>
    </xf>
    <xf numFmtId="7" fontId="0" fillId="33" borderId="0" xfId="2" applyNumberFormat="1" applyFont="1" applyFill="1" applyAlignment="1">
      <alignment horizontal="right"/>
    </xf>
    <xf numFmtId="206" fontId="0" fillId="33" borderId="24" xfId="2" applyNumberFormat="1" applyFont="1" applyFill="1" applyBorder="1" applyAlignment="1">
      <alignment horizontal="right"/>
    </xf>
    <xf numFmtId="5" fontId="1" fillId="33" borderId="0" xfId="35" applyNumberFormat="1" applyFill="1" applyAlignment="1">
      <alignment horizontal="right"/>
    </xf>
    <xf numFmtId="7" fontId="1" fillId="33" borderId="0" xfId="35" applyNumberFormat="1" applyFill="1" applyAlignment="1">
      <alignment horizontal="right"/>
    </xf>
    <xf numFmtId="0" fontId="1" fillId="33" borderId="32" xfId="2" applyFont="1" applyFill="1" applyBorder="1"/>
    <xf numFmtId="0" fontId="0" fillId="33" borderId="12" xfId="2" applyFont="1" applyFill="1" applyBorder="1" applyAlignment="1">
      <alignment horizontal="right"/>
    </xf>
    <xf numFmtId="175" fontId="0" fillId="33" borderId="12" xfId="2" applyNumberFormat="1" applyFont="1" applyFill="1" applyBorder="1" applyAlignment="1">
      <alignment horizontal="right"/>
    </xf>
    <xf numFmtId="175" fontId="0" fillId="33" borderId="32" xfId="2" applyNumberFormat="1" applyFont="1" applyFill="1" applyBorder="1" applyAlignment="1">
      <alignment horizontal="right"/>
    </xf>
    <xf numFmtId="175" fontId="0" fillId="33" borderId="22" xfId="2" applyNumberFormat="1" applyFont="1" applyFill="1" applyBorder="1" applyAlignment="1">
      <alignment horizontal="right"/>
    </xf>
    <xf numFmtId="175" fontId="1" fillId="33" borderId="32" xfId="2" applyNumberFormat="1" applyFont="1" applyFill="1" applyBorder="1" applyAlignment="1">
      <alignment horizontal="right"/>
    </xf>
    <xf numFmtId="175" fontId="1" fillId="33" borderId="12" xfId="2" applyNumberFormat="1" applyFont="1" applyFill="1" applyBorder="1" applyAlignment="1">
      <alignment horizontal="right"/>
    </xf>
    <xf numFmtId="175" fontId="1" fillId="33" borderId="22" xfId="2" applyNumberFormat="1" applyFont="1" applyFill="1" applyBorder="1" applyAlignment="1">
      <alignment horizontal="right"/>
    </xf>
    <xf numFmtId="175" fontId="1" fillId="33" borderId="21" xfId="2" applyNumberFormat="1" applyFont="1" applyFill="1" applyBorder="1" applyAlignment="1">
      <alignment horizontal="right"/>
    </xf>
    <xf numFmtId="175" fontId="0" fillId="33" borderId="0" xfId="2" applyNumberFormat="1" applyFont="1" applyFill="1" applyAlignment="1">
      <alignment horizontal="right"/>
    </xf>
    <xf numFmtId="0" fontId="1" fillId="33" borderId="33" xfId="2" applyFont="1" applyFill="1" applyBorder="1" applyAlignment="1">
      <alignment horizontal="left" indent="1"/>
    </xf>
    <xf numFmtId="0" fontId="0" fillId="33" borderId="13" xfId="2" applyFont="1" applyFill="1" applyBorder="1" applyAlignment="1">
      <alignment horizontal="right"/>
    </xf>
    <xf numFmtId="9" fontId="1" fillId="33" borderId="33" xfId="57" applyNumberFormat="1" applyFill="1" applyBorder="1" applyAlignment="1">
      <alignment horizontal="right"/>
    </xf>
    <xf numFmtId="9" fontId="1" fillId="33" borderId="13" xfId="57" applyNumberFormat="1" applyFill="1" applyBorder="1" applyAlignment="1">
      <alignment horizontal="right"/>
    </xf>
    <xf numFmtId="9" fontId="1" fillId="33" borderId="24" xfId="57" applyNumberFormat="1" applyFill="1" applyBorder="1" applyAlignment="1">
      <alignment horizontal="right"/>
    </xf>
    <xf numFmtId="9" fontId="1" fillId="33" borderId="33" xfId="57" applyNumberFormat="1" applyFont="1" applyFill="1" applyBorder="1" applyAlignment="1">
      <alignment horizontal="right"/>
    </xf>
    <xf numFmtId="9" fontId="1" fillId="33" borderId="13" xfId="57" applyNumberFormat="1" applyFont="1" applyFill="1" applyBorder="1" applyAlignment="1">
      <alignment horizontal="right"/>
    </xf>
    <xf numFmtId="9" fontId="1" fillId="33" borderId="0" xfId="57" applyFont="1" applyFill="1" applyAlignment="1">
      <alignment horizontal="right"/>
    </xf>
    <xf numFmtId="171" fontId="1" fillId="33" borderId="24" xfId="57" applyNumberFormat="1" applyFont="1" applyFill="1" applyBorder="1" applyAlignment="1">
      <alignment horizontal="right"/>
    </xf>
    <xf numFmtId="0" fontId="1" fillId="33" borderId="0" xfId="2" applyFont="1" applyFill="1"/>
    <xf numFmtId="171" fontId="0" fillId="33" borderId="0" xfId="2" applyNumberFormat="1" applyFont="1" applyFill="1" applyAlignment="1">
      <alignment horizontal="right"/>
    </xf>
    <xf numFmtId="197" fontId="0" fillId="33" borderId="0" xfId="35" applyNumberFormat="1" applyFont="1" applyFill="1" applyAlignment="1">
      <alignment horizontal="right"/>
    </xf>
    <xf numFmtId="171" fontId="0" fillId="33" borderId="0" xfId="57" applyNumberFormat="1" applyFont="1" applyFill="1" applyAlignment="1">
      <alignment horizontal="right"/>
    </xf>
    <xf numFmtId="43" fontId="0" fillId="33" borderId="0" xfId="35" applyNumberFormat="1" applyFont="1" applyFill="1" applyAlignment="1">
      <alignment horizontal="right"/>
    </xf>
    <xf numFmtId="2" fontId="0" fillId="33" borderId="0" xfId="2" applyNumberFormat="1" applyFont="1" applyFill="1" applyAlignment="1">
      <alignment horizontal="right"/>
    </xf>
    <xf numFmtId="1" fontId="35" fillId="33" borderId="0" xfId="2" applyNumberFormat="1" applyFont="1" applyFill="1" applyAlignment="1">
      <alignment horizontal="right"/>
    </xf>
    <xf numFmtId="9" fontId="1" fillId="33" borderId="0" xfId="57" applyFill="1" applyAlignment="1">
      <alignment horizontal="right"/>
    </xf>
    <xf numFmtId="1" fontId="81" fillId="33" borderId="0" xfId="2" applyNumberFormat="1" applyFont="1" applyFill="1" applyAlignment="1">
      <alignment horizontal="right"/>
    </xf>
    <xf numFmtId="1" fontId="67" fillId="33" borderId="0" xfId="2" applyNumberFormat="1" applyFont="1" applyFill="1" applyAlignment="1">
      <alignment horizontal="right"/>
    </xf>
    <xf numFmtId="10" fontId="1" fillId="33" borderId="0" xfId="57" applyNumberFormat="1" applyFill="1" applyAlignment="1">
      <alignment horizontal="right"/>
    </xf>
    <xf numFmtId="0" fontId="0" fillId="33" borderId="32" xfId="2" applyFont="1" applyFill="1" applyBorder="1"/>
    <xf numFmtId="38" fontId="31" fillId="33" borderId="32" xfId="50" applyFont="1" applyFill="1" applyBorder="1" applyAlignment="1">
      <alignment horizontal="right"/>
    </xf>
    <xf numFmtId="38" fontId="31" fillId="33" borderId="12" xfId="50" applyFont="1" applyFill="1" applyBorder="1" applyAlignment="1">
      <alignment horizontal="right"/>
    </xf>
    <xf numFmtId="0" fontId="31" fillId="33" borderId="32" xfId="2" applyFont="1" applyFill="1" applyBorder="1" applyAlignment="1">
      <alignment horizontal="right"/>
    </xf>
    <xf numFmtId="0" fontId="31" fillId="33" borderId="12" xfId="2" applyFont="1" applyFill="1" applyBorder="1" applyAlignment="1">
      <alignment horizontal="right"/>
    </xf>
    <xf numFmtId="0" fontId="31" fillId="33" borderId="22" xfId="2" applyFont="1" applyFill="1" applyBorder="1" applyAlignment="1">
      <alignment horizontal="right"/>
    </xf>
    <xf numFmtId="0" fontId="0" fillId="33" borderId="22" xfId="2" applyFont="1" applyFill="1" applyBorder="1" applyAlignment="1">
      <alignment horizontal="right"/>
    </xf>
    <xf numFmtId="38" fontId="31" fillId="33" borderId="21" xfId="50" applyFont="1" applyFill="1" applyBorder="1" applyAlignment="1">
      <alignment horizontal="right"/>
    </xf>
    <xf numFmtId="0" fontId="0" fillId="33" borderId="21" xfId="2" applyFont="1" applyFill="1" applyBorder="1" applyAlignment="1">
      <alignment horizontal="right"/>
    </xf>
    <xf numFmtId="204" fontId="2" fillId="33" borderId="0" xfId="58" applyNumberFormat="1" applyFont="1" applyFill="1" applyBorder="1"/>
    <xf numFmtId="204" fontId="31" fillId="33" borderId="31" xfId="58" applyNumberFormat="1" applyFont="1" applyFill="1" applyBorder="1"/>
    <xf numFmtId="204" fontId="31" fillId="33" borderId="0" xfId="58" applyNumberFormat="1" applyFont="1" applyFill="1" applyBorder="1"/>
    <xf numFmtId="9" fontId="31" fillId="33" borderId="0" xfId="57" applyFont="1" applyFill="1" applyBorder="1"/>
    <xf numFmtId="9" fontId="31" fillId="33" borderId="23" xfId="2" applyNumberFormat="1" applyFont="1" applyFill="1" applyBorder="1" applyAlignment="1">
      <alignment horizontal="right"/>
    </xf>
    <xf numFmtId="204" fontId="31" fillId="33" borderId="19" xfId="58" applyNumberFormat="1" applyFont="1" applyFill="1" applyBorder="1"/>
    <xf numFmtId="204" fontId="31" fillId="33" borderId="0" xfId="58" applyNumberFormat="1" applyFont="1" applyFill="1" applyBorder="1" applyAlignment="1">
      <alignment horizontal="right"/>
    </xf>
    <xf numFmtId="9" fontId="0" fillId="33" borderId="19" xfId="2" applyNumberFormat="1" applyFont="1" applyFill="1" applyBorder="1" applyAlignment="1">
      <alignment horizontal="right"/>
    </xf>
    <xf numFmtId="0" fontId="31" fillId="33" borderId="31" xfId="2" applyFont="1" applyFill="1" applyBorder="1" applyAlignment="1">
      <alignment horizontal="right"/>
    </xf>
    <xf numFmtId="0" fontId="31" fillId="33" borderId="0" xfId="2" applyFont="1" applyFill="1" applyBorder="1" applyAlignment="1">
      <alignment horizontal="right"/>
    </xf>
    <xf numFmtId="0" fontId="31" fillId="33" borderId="23" xfId="2" applyFont="1" applyFill="1" applyBorder="1" applyAlignment="1">
      <alignment horizontal="right"/>
    </xf>
    <xf numFmtId="0" fontId="0" fillId="33" borderId="33" xfId="2" applyFont="1" applyFill="1" applyBorder="1"/>
    <xf numFmtId="0" fontId="0" fillId="33" borderId="33" xfId="2" applyFont="1" applyFill="1" applyBorder="1" applyAlignment="1">
      <alignment horizontal="right"/>
    </xf>
    <xf numFmtId="0" fontId="0" fillId="33" borderId="24" xfId="2" applyFont="1" applyFill="1" applyBorder="1" applyAlignment="1">
      <alignment horizontal="right"/>
    </xf>
    <xf numFmtId="0" fontId="0" fillId="33" borderId="20" xfId="2" applyFont="1" applyFill="1" applyBorder="1" applyAlignment="1">
      <alignment horizontal="right"/>
    </xf>
    <xf numFmtId="216" fontId="0" fillId="33" borderId="0" xfId="2" applyNumberFormat="1" applyFont="1" applyFill="1" applyAlignment="1">
      <alignment horizontal="right"/>
    </xf>
    <xf numFmtId="0" fontId="0" fillId="33" borderId="0" xfId="2" applyFont="1" applyFill="1" applyAlignment="1">
      <alignment horizontal="left" indent="1"/>
    </xf>
    <xf numFmtId="0" fontId="31" fillId="33" borderId="0" xfId="2" applyFont="1" applyFill="1" applyAlignment="1">
      <alignment horizontal="left" indent="1"/>
    </xf>
    <xf numFmtId="5" fontId="31" fillId="33" borderId="0" xfId="2" applyNumberFormat="1" applyFont="1" applyFill="1" applyAlignment="1">
      <alignment horizontal="right"/>
    </xf>
    <xf numFmtId="197" fontId="1" fillId="33" borderId="0" xfId="35" applyNumberFormat="1" applyFill="1" applyAlignment="1">
      <alignment horizontal="right"/>
    </xf>
    <xf numFmtId="43" fontId="1" fillId="33" borderId="0" xfId="35" applyFill="1"/>
    <xf numFmtId="43" fontId="1" fillId="33" borderId="0" xfId="35" applyNumberFormat="1" applyFill="1"/>
    <xf numFmtId="175" fontId="0" fillId="33" borderId="0" xfId="2" applyNumberFormat="1" applyFont="1" applyFill="1"/>
    <xf numFmtId="182" fontId="0" fillId="33" borderId="0" xfId="2" applyNumberFormat="1" applyFont="1" applyFill="1"/>
    <xf numFmtId="9" fontId="1" fillId="33" borderId="0" xfId="57" applyFill="1"/>
    <xf numFmtId="43" fontId="0" fillId="33" borderId="0" xfId="35" applyNumberFormat="1" applyFont="1" applyFill="1"/>
    <xf numFmtId="43" fontId="0" fillId="33" borderId="0" xfId="2" applyNumberFormat="1" applyFont="1" applyFill="1"/>
    <xf numFmtId="171" fontId="0" fillId="33" borderId="0" xfId="57" applyNumberFormat="1" applyFont="1" applyFill="1"/>
    <xf numFmtId="9" fontId="0" fillId="33" borderId="0" xfId="57" applyFont="1" applyFill="1"/>
    <xf numFmtId="216" fontId="0" fillId="33" borderId="0" xfId="2" applyNumberFormat="1" applyFont="1" applyFill="1"/>
    <xf numFmtId="220" fontId="0" fillId="33" borderId="0" xfId="35" applyNumberFormat="1" applyFont="1" applyFill="1"/>
    <xf numFmtId="0" fontId="39" fillId="17" borderId="0" xfId="71" applyFont="1" applyFill="1" applyBorder="1"/>
    <xf numFmtId="166" fontId="39" fillId="17" borderId="0" xfId="71" applyNumberFormat="1" applyFont="1" applyFill="1" applyBorder="1"/>
    <xf numFmtId="166" fontId="120" fillId="17" borderId="0" xfId="71" applyNumberFormat="1" applyFont="1" applyFill="1" applyBorder="1"/>
    <xf numFmtId="0" fontId="39" fillId="17" borderId="28" xfId="71" applyFont="1" applyFill="1" applyBorder="1"/>
    <xf numFmtId="166" fontId="39" fillId="17" borderId="28" xfId="71" applyNumberFormat="1" applyFont="1" applyFill="1" applyBorder="1"/>
    <xf numFmtId="7" fontId="30" fillId="25" borderId="17" xfId="2" applyNumberFormat="1" applyFont="1" applyFill="1" applyBorder="1"/>
    <xf numFmtId="0" fontId="31" fillId="25" borderId="0" xfId="0" applyFont="1" applyFill="1" applyBorder="1"/>
    <xf numFmtId="5" fontId="31" fillId="25" borderId="0" xfId="2" applyNumberFormat="1" applyFont="1" applyFill="1" applyBorder="1"/>
    <xf numFmtId="5" fontId="1" fillId="25" borderId="0" xfId="2" applyNumberFormat="1" applyFont="1" applyFill="1" applyBorder="1"/>
    <xf numFmtId="197" fontId="31" fillId="25" borderId="0" xfId="35" applyNumberFormat="1" applyFont="1" applyFill="1" applyBorder="1"/>
    <xf numFmtId="197" fontId="31" fillId="25" borderId="19" xfId="35" applyNumberFormat="1" applyFont="1" applyFill="1" applyBorder="1"/>
    <xf numFmtId="197" fontId="1" fillId="25" borderId="0" xfId="35" applyNumberFormat="1" applyFont="1" applyFill="1" applyBorder="1"/>
    <xf numFmtId="5" fontId="30" fillId="25" borderId="0" xfId="2" applyNumberFormat="1" applyFont="1" applyFill="1" applyBorder="1"/>
    <xf numFmtId="5" fontId="30" fillId="25" borderId="19" xfId="2" applyNumberFormat="1" applyFont="1" applyFill="1" applyBorder="1"/>
    <xf numFmtId="5" fontId="130" fillId="0" borderId="0" xfId="0" applyNumberFormat="1" applyFont="1" applyBorder="1"/>
    <xf numFmtId="43" fontId="0" fillId="25" borderId="0" xfId="0" applyNumberFormat="1" applyFill="1"/>
    <xf numFmtId="0" fontId="121" fillId="17" borderId="0" xfId="2" applyFont="1" applyFill="1" applyBorder="1" applyAlignment="1">
      <alignment horizontal="center"/>
    </xf>
    <xf numFmtId="165" fontId="121" fillId="17" borderId="13" xfId="2" applyNumberFormat="1" applyFont="1" applyFill="1" applyBorder="1" applyAlignment="1">
      <alignment horizontal="right"/>
    </xf>
    <xf numFmtId="164" fontId="40" fillId="17" borderId="17" xfId="2" applyNumberFormat="1" applyFont="1" applyFill="1" applyBorder="1"/>
    <xf numFmtId="5" fontId="1" fillId="0" borderId="0" xfId="2" applyNumberFormat="1" applyFont="1" applyFill="1" applyBorder="1"/>
    <xf numFmtId="5" fontId="111" fillId="25" borderId="0" xfId="2" applyNumberFormat="1" applyFont="1" applyFill="1" applyBorder="1"/>
    <xf numFmtId="220" fontId="6" fillId="17" borderId="0" xfId="35" applyNumberFormat="1" applyFont="1" applyFill="1" applyAlignment="1">
      <alignment horizontal="right" vertical="center"/>
    </xf>
    <xf numFmtId="220" fontId="36" fillId="17" borderId="0" xfId="35" applyNumberFormat="1" applyFont="1" applyFill="1" applyAlignment="1">
      <alignment horizontal="right" vertical="center"/>
    </xf>
    <xf numFmtId="9" fontId="0" fillId="0" borderId="0" xfId="57" applyFont="1" applyAlignment="1">
      <alignment horizontal="right"/>
    </xf>
    <xf numFmtId="0" fontId="1" fillId="0" borderId="0" xfId="2" applyFont="1" applyBorder="1" applyAlignment="1">
      <alignment horizontal="left" indent="1"/>
    </xf>
    <xf numFmtId="5" fontId="1" fillId="0" borderId="0" xfId="57" applyNumberFormat="1" applyFont="1" applyFill="1" applyBorder="1" applyAlignment="1">
      <alignment horizontal="right"/>
    </xf>
    <xf numFmtId="197" fontId="30" fillId="0" borderId="21" xfId="2" applyNumberFormat="1" applyFont="1" applyBorder="1" applyAlignment="1">
      <alignment horizontal="right"/>
    </xf>
    <xf numFmtId="197" fontId="30" fillId="0" borderId="22" xfId="2" applyNumberFormat="1" applyFont="1" applyBorder="1" applyAlignment="1">
      <alignment horizontal="right"/>
    </xf>
    <xf numFmtId="171" fontId="1" fillId="0" borderId="31" xfId="57" applyNumberFormat="1" applyFont="1" applyFill="1" applyBorder="1" applyAlignment="1">
      <alignment horizontal="right"/>
    </xf>
    <xf numFmtId="171" fontId="1" fillId="0" borderId="0" xfId="57" applyNumberFormat="1" applyFont="1" applyFill="1" applyBorder="1" applyAlignment="1">
      <alignment horizontal="right"/>
    </xf>
    <xf numFmtId="171" fontId="1" fillId="0" borderId="23" xfId="57" applyNumberFormat="1" applyFont="1" applyFill="1" applyBorder="1" applyAlignment="1">
      <alignment horizontal="right"/>
    </xf>
    <xf numFmtId="0" fontId="1" fillId="0" borderId="0" xfId="2" applyFont="1" applyFill="1" applyBorder="1"/>
    <xf numFmtId="0" fontId="1" fillId="0" borderId="19" xfId="2" applyFont="1" applyFill="1" applyBorder="1"/>
    <xf numFmtId="5" fontId="1" fillId="0" borderId="0" xfId="57" applyNumberFormat="1" applyFont="1" applyFill="1" applyBorder="1"/>
    <xf numFmtId="0" fontId="1" fillId="0" borderId="0" xfId="0" applyFont="1" applyFill="1"/>
    <xf numFmtId="5" fontId="1" fillId="0" borderId="19" xfId="2" applyNumberFormat="1" applyFont="1" applyFill="1" applyBorder="1"/>
    <xf numFmtId="49" fontId="0" fillId="0" borderId="0" xfId="0" applyNumberFormat="1"/>
    <xf numFmtId="199" fontId="36" fillId="25" borderId="0" xfId="2" applyNumberFormat="1" applyFont="1" applyFill="1" applyBorder="1"/>
    <xf numFmtId="0" fontId="36" fillId="0" borderId="0" xfId="2" applyFont="1" applyBorder="1"/>
    <xf numFmtId="44" fontId="36" fillId="17" borderId="0" xfId="38" applyFont="1" applyFill="1" applyBorder="1"/>
    <xf numFmtId="9" fontId="36" fillId="25" borderId="0" xfId="2" applyNumberFormat="1" applyFont="1" applyFill="1"/>
    <xf numFmtId="0" fontId="39" fillId="0" borderId="0" xfId="2" applyFont="1" applyFill="1"/>
    <xf numFmtId="5" fontId="120" fillId="0" borderId="0" xfId="71" applyNumberFormat="1" applyFont="1" applyFill="1" applyAlignment="1">
      <alignment horizontal="right"/>
    </xf>
    <xf numFmtId="5" fontId="39" fillId="0" borderId="0" xfId="71" applyNumberFormat="1" applyFont="1" applyFill="1" applyAlignment="1">
      <alignment horizontal="right"/>
    </xf>
    <xf numFmtId="5" fontId="120" fillId="17" borderId="0" xfId="71" applyNumberFormat="1" applyFont="1" applyFill="1" applyAlignment="1">
      <alignment horizontal="right"/>
    </xf>
    <xf numFmtId="166" fontId="120" fillId="0" borderId="0" xfId="71" applyNumberFormat="1" applyFont="1" applyFill="1"/>
    <xf numFmtId="0" fontId="39" fillId="17" borderId="0" xfId="71" applyFont="1" applyFill="1"/>
    <xf numFmtId="166" fontId="39" fillId="0" borderId="0" xfId="71" applyNumberFormat="1" applyFont="1" applyFill="1"/>
    <xf numFmtId="166" fontId="39" fillId="17" borderId="0" xfId="71" applyNumberFormat="1" applyFont="1" applyFill="1"/>
    <xf numFmtId="166" fontId="39" fillId="0" borderId="0" xfId="71" applyNumberFormat="1" applyFont="1" applyFill="1" applyBorder="1"/>
    <xf numFmtId="166" fontId="134" fillId="0" borderId="0" xfId="71" applyNumberFormat="1" applyFont="1" applyFill="1" applyBorder="1"/>
    <xf numFmtId="0" fontId="134" fillId="17" borderId="0" xfId="71" applyFont="1" applyFill="1"/>
    <xf numFmtId="166" fontId="134" fillId="17" borderId="0" xfId="71" applyNumberFormat="1" applyFont="1" applyFill="1" applyBorder="1"/>
    <xf numFmtId="220" fontId="1" fillId="25" borderId="0" xfId="0" applyNumberFormat="1" applyFont="1" applyFill="1"/>
    <xf numFmtId="164" fontId="56" fillId="17" borderId="0" xfId="57" applyNumberFormat="1" applyFont="1" applyFill="1"/>
    <xf numFmtId="199" fontId="125" fillId="17" borderId="0" xfId="71" applyNumberFormat="1" applyFont="1" applyFill="1"/>
    <xf numFmtId="5" fontId="125" fillId="17" borderId="0" xfId="71" applyNumberFormat="1" applyFont="1" applyFill="1"/>
    <xf numFmtId="7" fontId="40" fillId="17" borderId="0" xfId="2" applyNumberFormat="1" applyFont="1" applyFill="1" applyBorder="1" applyAlignment="1">
      <alignment horizontal="center"/>
    </xf>
    <xf numFmtId="176" fontId="121" fillId="18" borderId="0" xfId="71" applyNumberFormat="1" applyFont="1" applyFill="1" applyBorder="1" applyAlignment="1">
      <alignment horizontal="center"/>
    </xf>
    <xf numFmtId="176" fontId="121" fillId="18" borderId="19" xfId="71" applyNumberFormat="1" applyFont="1" applyFill="1" applyBorder="1" applyAlignment="1">
      <alignment horizontal="center"/>
    </xf>
    <xf numFmtId="210" fontId="115" fillId="25" borderId="0" xfId="2" applyNumberFormat="1" applyFont="1" applyFill="1" applyBorder="1"/>
    <xf numFmtId="0" fontId="49" fillId="0" borderId="0" xfId="2" applyFont="1" applyFill="1" applyBorder="1"/>
    <xf numFmtId="166" fontId="47" fillId="0" borderId="0" xfId="2" applyNumberFormat="1" applyFont="1" applyFill="1" applyAlignment="1">
      <alignment horizontal="right"/>
    </xf>
    <xf numFmtId="166" fontId="47" fillId="0" borderId="19" xfId="2" applyNumberFormat="1" applyFont="1" applyFill="1" applyBorder="1" applyAlignment="1">
      <alignment horizontal="right"/>
    </xf>
    <xf numFmtId="171" fontId="49" fillId="0" borderId="0" xfId="57" applyNumberFormat="1" applyFont="1" applyFill="1" applyAlignment="1">
      <alignment horizontal="right"/>
    </xf>
    <xf numFmtId="171" fontId="49" fillId="0" borderId="19" xfId="57" applyNumberFormat="1" applyFont="1" applyFill="1" applyBorder="1" applyAlignment="1">
      <alignment horizontal="right"/>
    </xf>
    <xf numFmtId="5" fontId="49" fillId="0" borderId="0" xfId="2" applyNumberFormat="1" applyFont="1" applyFill="1" applyAlignment="1">
      <alignment horizontal="right"/>
    </xf>
    <xf numFmtId="5" fontId="49" fillId="0" borderId="19" xfId="2" applyNumberFormat="1" applyFont="1" applyFill="1" applyBorder="1" applyAlignment="1">
      <alignment horizontal="right"/>
    </xf>
    <xf numFmtId="5" fontId="49" fillId="0" borderId="0" xfId="2" applyNumberFormat="1" applyFont="1" applyFill="1" applyBorder="1"/>
    <xf numFmtId="7" fontId="49" fillId="0" borderId="17" xfId="2" applyNumberFormat="1" applyFont="1" applyFill="1" applyBorder="1"/>
    <xf numFmtId="7" fontId="49" fillId="0" borderId="17" xfId="2" applyNumberFormat="1" applyFont="1" applyFill="1" applyBorder="1" applyAlignment="1">
      <alignment horizontal="right"/>
    </xf>
    <xf numFmtId="7" fontId="49" fillId="0" borderId="18" xfId="2" applyNumberFormat="1" applyFont="1" applyFill="1" applyBorder="1" applyAlignment="1">
      <alignment horizontal="right"/>
    </xf>
    <xf numFmtId="171" fontId="49" fillId="0" borderId="0" xfId="2" applyNumberFormat="1" applyFont="1" applyFill="1" applyBorder="1" applyAlignment="1">
      <alignment horizontal="left" indent="1"/>
    </xf>
    <xf numFmtId="164" fontId="47" fillId="0" borderId="0" xfId="2" applyNumberFormat="1" applyFont="1" applyFill="1" applyBorder="1" applyAlignment="1">
      <alignment horizontal="right"/>
    </xf>
    <xf numFmtId="164" fontId="47" fillId="0" borderId="19" xfId="2" applyNumberFormat="1" applyFont="1" applyFill="1" applyBorder="1" applyAlignment="1">
      <alignment horizontal="right"/>
    </xf>
    <xf numFmtId="171" fontId="49" fillId="0" borderId="0" xfId="57" applyNumberFormat="1" applyFont="1" applyFill="1" applyBorder="1" applyAlignment="1">
      <alignment horizontal="right"/>
    </xf>
    <xf numFmtId="226" fontId="0" fillId="0" borderId="0" xfId="2" applyNumberFormat="1" applyFont="1" applyFill="1" applyBorder="1"/>
    <xf numFmtId="0" fontId="77" fillId="20" borderId="17" xfId="2" applyFont="1" applyFill="1" applyBorder="1" applyAlignment="1">
      <alignment horizontal="center"/>
    </xf>
    <xf numFmtId="9" fontId="1" fillId="0" borderId="0" xfId="57" applyFont="1" applyFill="1" applyBorder="1" applyAlignment="1">
      <alignment horizontal="right"/>
    </xf>
    <xf numFmtId="9" fontId="130" fillId="0" borderId="0" xfId="57" applyFont="1" applyFill="1" applyBorder="1" applyAlignment="1">
      <alignment horizontal="right"/>
    </xf>
    <xf numFmtId="9" fontId="1" fillId="0" borderId="0" xfId="57" applyNumberFormat="1" applyFill="1" applyBorder="1" applyAlignment="1">
      <alignment horizontal="right"/>
    </xf>
    <xf numFmtId="5" fontId="30" fillId="0" borderId="17" xfId="2" applyNumberFormat="1" applyFont="1" applyFill="1" applyBorder="1" applyAlignment="1">
      <alignment horizontal="right"/>
    </xf>
    <xf numFmtId="5" fontId="30" fillId="0" borderId="0" xfId="2" applyNumberFormat="1" applyFont="1" applyFill="1" applyBorder="1" applyAlignment="1">
      <alignment horizontal="right"/>
    </xf>
    <xf numFmtId="175" fontId="0" fillId="0" borderId="12" xfId="2" applyNumberFormat="1" applyFont="1" applyFill="1" applyBorder="1" applyAlignment="1">
      <alignment horizontal="right"/>
    </xf>
    <xf numFmtId="175" fontId="0" fillId="0" borderId="0" xfId="2" applyNumberFormat="1" applyFont="1" applyFill="1" applyBorder="1" applyAlignment="1">
      <alignment horizontal="right"/>
    </xf>
    <xf numFmtId="9" fontId="1" fillId="0" borderId="13" xfId="57" applyNumberFormat="1" applyFill="1" applyBorder="1" applyAlignment="1">
      <alignment horizontal="right"/>
    </xf>
    <xf numFmtId="5" fontId="0" fillId="0" borderId="12" xfId="0" applyNumberFormat="1" applyFill="1" applyBorder="1"/>
    <xf numFmtId="5" fontId="0" fillId="0" borderId="0" xfId="0" applyNumberFormat="1" applyFill="1" applyBorder="1"/>
    <xf numFmtId="5" fontId="0" fillId="0" borderId="13" xfId="0" applyNumberFormat="1" applyFill="1" applyBorder="1"/>
    <xf numFmtId="171" fontId="1" fillId="0" borderId="0" xfId="57" applyNumberFormat="1" applyFill="1" applyBorder="1" applyAlignment="1">
      <alignment horizontal="right"/>
    </xf>
    <xf numFmtId="0" fontId="0" fillId="0" borderId="0" xfId="2" applyFont="1" applyFill="1" applyBorder="1" applyAlignment="1">
      <alignment horizontal="right"/>
    </xf>
    <xf numFmtId="43" fontId="1" fillId="0" borderId="0" xfId="35" applyNumberFormat="1" applyFill="1" applyBorder="1" applyAlignment="1">
      <alignment horizontal="right"/>
    </xf>
    <xf numFmtId="43" fontId="0" fillId="0" borderId="0" xfId="2" applyNumberFormat="1" applyFont="1" applyFill="1" applyBorder="1" applyAlignment="1">
      <alignment horizontal="right"/>
    </xf>
    <xf numFmtId="5" fontId="1" fillId="0" borderId="0" xfId="2" applyNumberFormat="1" applyFont="1" applyFill="1" applyBorder="1" applyAlignment="1">
      <alignment horizontal="right"/>
    </xf>
    <xf numFmtId="197" fontId="1" fillId="0" borderId="0" xfId="35" applyNumberFormat="1" applyFill="1" applyBorder="1" applyAlignment="1">
      <alignment horizontal="right"/>
    </xf>
    <xf numFmtId="1" fontId="0" fillId="0" borderId="0" xfId="2" applyNumberFormat="1" applyFont="1" applyFill="1" applyBorder="1" applyAlignment="1">
      <alignment horizontal="right"/>
    </xf>
    <xf numFmtId="9" fontId="0" fillId="0" borderId="0" xfId="57" applyFont="1" applyFill="1" applyBorder="1" applyAlignment="1">
      <alignment horizontal="right"/>
    </xf>
    <xf numFmtId="9" fontId="31" fillId="0" borderId="0" xfId="57" applyNumberFormat="1" applyFont="1" applyFill="1" applyBorder="1" applyAlignment="1">
      <alignment horizontal="right"/>
    </xf>
    <xf numFmtId="9" fontId="0" fillId="0" borderId="0" xfId="2" applyNumberFormat="1" applyFont="1" applyFill="1" applyBorder="1" applyAlignment="1">
      <alignment horizontal="right"/>
    </xf>
    <xf numFmtId="9" fontId="35" fillId="0" borderId="0" xfId="2" applyNumberFormat="1" applyFont="1" applyFill="1" applyBorder="1" applyAlignment="1">
      <alignment horizontal="right"/>
    </xf>
    <xf numFmtId="9" fontId="1" fillId="0" borderId="0" xfId="2" applyNumberFormat="1" applyFont="1" applyFill="1" applyBorder="1" applyAlignment="1">
      <alignment horizontal="right"/>
    </xf>
    <xf numFmtId="9" fontId="1" fillId="0" borderId="13" xfId="2" applyNumberFormat="1" applyFont="1" applyFill="1" applyBorder="1" applyAlignment="1">
      <alignment horizontal="right"/>
    </xf>
    <xf numFmtId="5" fontId="30" fillId="0" borderId="0" xfId="2" applyNumberFormat="1" applyFont="1" applyFill="1" applyAlignment="1">
      <alignment horizontal="right"/>
    </xf>
    <xf numFmtId="206" fontId="0" fillId="0" borderId="0" xfId="2" applyNumberFormat="1" applyFont="1" applyFill="1" applyAlignment="1">
      <alignment horizontal="right"/>
    </xf>
    <xf numFmtId="175" fontId="0" fillId="0" borderId="0" xfId="2" applyNumberFormat="1" applyFont="1" applyFill="1" applyAlignment="1">
      <alignment horizontal="right"/>
    </xf>
    <xf numFmtId="2" fontId="0" fillId="0" borderId="0" xfId="2" applyNumberFormat="1" applyFont="1" applyFill="1" applyAlignment="1">
      <alignment horizontal="right"/>
    </xf>
    <xf numFmtId="1" fontId="0" fillId="0" borderId="0" xfId="2" applyNumberFormat="1" applyFont="1" applyFill="1" applyAlignment="1">
      <alignment horizontal="right"/>
    </xf>
    <xf numFmtId="1" fontId="81" fillId="0" borderId="0" xfId="2" applyNumberFormat="1" applyFont="1" applyFill="1" applyAlignment="1">
      <alignment horizontal="right"/>
    </xf>
    <xf numFmtId="1" fontId="1" fillId="0" borderId="0" xfId="2" applyNumberFormat="1" applyFont="1" applyFill="1" applyAlignment="1">
      <alignment horizontal="right"/>
    </xf>
    <xf numFmtId="1" fontId="35" fillId="0" borderId="0" xfId="2" applyNumberFormat="1" applyFont="1" applyFill="1" applyAlignment="1">
      <alignment horizontal="right"/>
    </xf>
    <xf numFmtId="0" fontId="0" fillId="0" borderId="12" xfId="2" applyFont="1" applyFill="1" applyBorder="1" applyAlignment="1">
      <alignment horizontal="right"/>
    </xf>
    <xf numFmtId="0" fontId="0" fillId="0" borderId="13" xfId="2" applyFont="1" applyFill="1" applyBorder="1" applyAlignment="1">
      <alignment horizontal="right"/>
    </xf>
    <xf numFmtId="0" fontId="30" fillId="0" borderId="0" xfId="2" applyFont="1" applyFill="1" applyAlignment="1">
      <alignment horizontal="right"/>
    </xf>
    <xf numFmtId="5" fontId="0" fillId="0" borderId="0" xfId="2" applyNumberFormat="1" applyFont="1" applyFill="1" applyAlignment="1">
      <alignment horizontal="right"/>
    </xf>
    <xf numFmtId="171" fontId="1" fillId="0" borderId="0" xfId="57" applyNumberFormat="1" applyFill="1" applyAlignment="1">
      <alignment horizontal="right"/>
    </xf>
    <xf numFmtId="175" fontId="0" fillId="0" borderId="0" xfId="2" applyNumberFormat="1" applyFont="1" applyFill="1"/>
    <xf numFmtId="43" fontId="0" fillId="0" borderId="0" xfId="35" applyNumberFormat="1" applyFont="1" applyFill="1"/>
    <xf numFmtId="9" fontId="0" fillId="0" borderId="0" xfId="57" applyFont="1" applyFill="1"/>
    <xf numFmtId="7" fontId="115" fillId="25" borderId="0" xfId="2" applyNumberFormat="1" applyFont="1" applyFill="1" applyBorder="1"/>
    <xf numFmtId="171" fontId="124" fillId="17" borderId="0" xfId="57" quotePrefix="1" applyNumberFormat="1" applyFont="1" applyFill="1" applyBorder="1" applyAlignment="1">
      <alignment horizontal="right"/>
    </xf>
    <xf numFmtId="171" fontId="124" fillId="17" borderId="14" xfId="50" quotePrefix="1" applyNumberFormat="1" applyFont="1" applyFill="1" applyBorder="1" applyAlignment="1">
      <alignment horizontal="right"/>
    </xf>
    <xf numFmtId="49" fontId="121" fillId="17" borderId="12" xfId="2" applyNumberFormat="1" applyFont="1" applyFill="1" applyBorder="1" applyAlignment="1">
      <alignment horizontal="center"/>
    </xf>
    <xf numFmtId="0" fontId="0" fillId="34" borderId="0" xfId="2" applyFont="1" applyFill="1" applyBorder="1"/>
    <xf numFmtId="220" fontId="1" fillId="34" borderId="0" xfId="35" applyNumberFormat="1" applyFont="1" applyFill="1" applyBorder="1"/>
    <xf numFmtId="5" fontId="0" fillId="34" borderId="0" xfId="0" applyNumberFormat="1" applyFill="1" applyBorder="1"/>
    <xf numFmtId="49" fontId="77" fillId="20" borderId="0" xfId="2" applyNumberFormat="1" applyFont="1" applyFill="1" applyBorder="1" applyAlignment="1">
      <alignment horizontal="right"/>
    </xf>
    <xf numFmtId="5" fontId="40" fillId="33" borderId="0" xfId="50" applyNumberFormat="1" applyFont="1" applyFill="1" applyBorder="1"/>
    <xf numFmtId="9" fontId="39" fillId="33" borderId="0" xfId="50" applyNumberFormat="1" applyFont="1" applyFill="1" applyBorder="1"/>
    <xf numFmtId="9" fontId="56" fillId="33" borderId="0" xfId="50" applyNumberFormat="1" applyFont="1" applyFill="1" applyBorder="1"/>
    <xf numFmtId="38" fontId="56" fillId="33" borderId="0" xfId="50" applyFont="1" applyFill="1" applyBorder="1"/>
    <xf numFmtId="38" fontId="56" fillId="17" borderId="0" xfId="50" applyFont="1" applyFill="1" applyBorder="1"/>
    <xf numFmtId="5" fontId="54" fillId="23" borderId="0" xfId="50" applyNumberFormat="1" applyFont="1" applyFill="1" applyBorder="1"/>
    <xf numFmtId="9" fontId="56" fillId="23" borderId="0" xfId="50" applyNumberFormat="1" applyFont="1" applyFill="1" applyBorder="1"/>
    <xf numFmtId="6" fontId="39" fillId="17" borderId="0" xfId="50" applyNumberFormat="1" applyFont="1" applyFill="1" applyBorder="1"/>
    <xf numFmtId="38" fontId="131" fillId="32" borderId="0" xfId="50" applyFont="1" applyFill="1" applyBorder="1"/>
    <xf numFmtId="5" fontId="131" fillId="33" borderId="0" xfId="2" applyNumberFormat="1" applyFont="1" applyFill="1" applyBorder="1"/>
    <xf numFmtId="171" fontId="131" fillId="33" borderId="0" xfId="57" applyNumberFormat="1" applyFont="1" applyFill="1" applyBorder="1"/>
    <xf numFmtId="0" fontId="131" fillId="33" borderId="0" xfId="0" applyFont="1" applyFill="1" applyBorder="1"/>
    <xf numFmtId="0" fontId="131" fillId="25" borderId="0" xfId="0" applyFont="1" applyFill="1" applyBorder="1"/>
    <xf numFmtId="0" fontId="132" fillId="25" borderId="0" xfId="0" applyFont="1" applyFill="1" applyBorder="1"/>
    <xf numFmtId="5" fontId="133" fillId="17" borderId="0" xfId="50" applyNumberFormat="1" applyFont="1" applyFill="1" applyBorder="1"/>
    <xf numFmtId="5" fontId="133" fillId="17" borderId="12" xfId="50" applyNumberFormat="1" applyFont="1" applyFill="1" applyBorder="1"/>
    <xf numFmtId="9" fontId="133" fillId="17" borderId="0" xfId="50" applyNumberFormat="1" applyFont="1" applyFill="1" applyBorder="1"/>
    <xf numFmtId="9" fontId="133" fillId="17" borderId="13" xfId="50" applyNumberFormat="1" applyFont="1" applyFill="1" applyBorder="1"/>
    <xf numFmtId="5" fontId="131" fillId="17" borderId="0" xfId="50" applyNumberFormat="1" applyFont="1" applyFill="1" applyBorder="1"/>
    <xf numFmtId="0" fontId="132" fillId="0" borderId="0" xfId="0" applyFont="1" applyBorder="1"/>
    <xf numFmtId="199" fontId="1" fillId="0" borderId="0" xfId="38" applyNumberFormat="1" applyFont="1" applyBorder="1" applyAlignment="1">
      <alignment horizontal="right"/>
    </xf>
    <xf numFmtId="197" fontId="30" fillId="0" borderId="0" xfId="35" applyNumberFormat="1" applyFont="1" applyBorder="1" applyAlignment="1">
      <alignment horizontal="right"/>
    </xf>
    <xf numFmtId="197" fontId="30" fillId="0" borderId="0" xfId="2" applyNumberFormat="1" applyFont="1" applyBorder="1" applyAlignment="1">
      <alignment horizontal="right"/>
    </xf>
    <xf numFmtId="9" fontId="30" fillId="33" borderId="0" xfId="57" applyFont="1" applyFill="1" applyBorder="1" applyAlignment="1">
      <alignment horizontal="right"/>
    </xf>
    <xf numFmtId="1" fontId="121" fillId="17" borderId="13" xfId="2" applyNumberFormat="1" applyFont="1" applyFill="1" applyBorder="1" applyAlignment="1">
      <alignment horizontal="right"/>
    </xf>
    <xf numFmtId="5" fontId="39" fillId="0" borderId="0" xfId="2" applyNumberFormat="1" applyFont="1" applyFill="1" applyBorder="1"/>
    <xf numFmtId="5" fontId="122" fillId="17" borderId="0" xfId="2" applyNumberFormat="1" applyFont="1" applyFill="1" applyBorder="1"/>
    <xf numFmtId="7" fontId="47" fillId="17" borderId="0" xfId="2" applyNumberFormat="1" applyFont="1" applyFill="1" applyBorder="1"/>
    <xf numFmtId="178" fontId="39" fillId="17" borderId="0" xfId="2" applyNumberFormat="1" applyFont="1" applyFill="1" applyBorder="1" applyAlignment="1">
      <alignment horizontal="right"/>
    </xf>
    <xf numFmtId="167" fontId="39" fillId="17" borderId="0" xfId="2" applyNumberFormat="1" applyFont="1" applyFill="1" applyBorder="1" applyAlignment="1">
      <alignment horizontal="right"/>
    </xf>
    <xf numFmtId="5" fontId="76" fillId="17" borderId="0" xfId="57" applyNumberFormat="1" applyFont="1" applyFill="1"/>
    <xf numFmtId="199" fontId="138" fillId="17" borderId="0" xfId="2" applyNumberFormat="1" applyFont="1" applyFill="1"/>
    <xf numFmtId="9" fontId="138" fillId="17" borderId="17" xfId="57" applyFont="1" applyFill="1" applyBorder="1"/>
    <xf numFmtId="0" fontId="138" fillId="25" borderId="0" xfId="2" applyFont="1" applyFill="1"/>
    <xf numFmtId="0" fontId="138" fillId="26" borderId="0" xfId="2" applyFont="1" applyFill="1" applyBorder="1"/>
    <xf numFmtId="199" fontId="138" fillId="25" borderId="0" xfId="2" applyNumberFormat="1" applyFont="1" applyFill="1"/>
    <xf numFmtId="7" fontId="31" fillId="17" borderId="0" xfId="2" applyNumberFormat="1" applyFont="1" applyFill="1"/>
    <xf numFmtId="0" fontId="39" fillId="0" borderId="0" xfId="71" applyFont="1" applyFill="1"/>
    <xf numFmtId="0" fontId="134" fillId="0" borderId="0" xfId="71" applyFont="1" applyFill="1"/>
    <xf numFmtId="171" fontId="111" fillId="0" borderId="0" xfId="57" applyNumberFormat="1" applyFont="1" applyFill="1"/>
    <xf numFmtId="0" fontId="116" fillId="28" borderId="0" xfId="2" applyFont="1" applyFill="1" applyBorder="1"/>
    <xf numFmtId="0" fontId="117" fillId="28" borderId="0" xfId="2" applyFont="1" applyFill="1" applyBorder="1"/>
    <xf numFmtId="0" fontId="117" fillId="28" borderId="19" xfId="2" applyFont="1" applyFill="1" applyBorder="1"/>
    <xf numFmtId="5" fontId="117" fillId="28" borderId="0" xfId="2" applyNumberFormat="1" applyFont="1" applyFill="1" applyBorder="1"/>
    <xf numFmtId="5" fontId="0" fillId="25" borderId="17" xfId="0" applyNumberFormat="1" applyFill="1" applyBorder="1"/>
    <xf numFmtId="5" fontId="0" fillId="25" borderId="18" xfId="0" applyNumberFormat="1" applyFill="1" applyBorder="1"/>
    <xf numFmtId="0" fontId="0" fillId="0" borderId="17" xfId="0" applyFill="1" applyBorder="1"/>
    <xf numFmtId="0" fontId="117" fillId="28" borderId="18" xfId="2" applyFont="1" applyFill="1" applyBorder="1"/>
    <xf numFmtId="220" fontId="0" fillId="0" borderId="19" xfId="35" applyNumberFormat="1" applyFont="1" applyFill="1" applyBorder="1"/>
    <xf numFmtId="220" fontId="0" fillId="0" borderId="0" xfId="35" applyNumberFormat="1" applyFont="1" applyFill="1" applyBorder="1"/>
    <xf numFmtId="220" fontId="0" fillId="0" borderId="0" xfId="0" applyNumberFormat="1"/>
    <xf numFmtId="0" fontId="77" fillId="20" borderId="17" xfId="2" applyFont="1" applyFill="1" applyBorder="1" applyAlignment="1">
      <alignment horizontal="center"/>
    </xf>
    <xf numFmtId="5" fontId="40" fillId="17" borderId="0" xfId="71" applyNumberFormat="1" applyFont="1" applyFill="1" applyAlignment="1">
      <alignment horizontal="right"/>
    </xf>
    <xf numFmtId="5" fontId="40" fillId="17" borderId="19" xfId="71" applyNumberFormat="1" applyFont="1" applyFill="1" applyBorder="1" applyAlignment="1">
      <alignment horizontal="right"/>
    </xf>
    <xf numFmtId="37" fontId="39" fillId="17" borderId="0" xfId="71" applyNumberFormat="1" applyFont="1" applyFill="1" applyAlignment="1">
      <alignment horizontal="right"/>
    </xf>
    <xf numFmtId="37" fontId="39" fillId="17" borderId="19" xfId="71" applyNumberFormat="1" applyFont="1" applyFill="1" applyBorder="1" applyAlignment="1">
      <alignment horizontal="right"/>
    </xf>
    <xf numFmtId="5" fontId="39" fillId="17" borderId="19" xfId="71" applyNumberFormat="1" applyFont="1" applyFill="1" applyBorder="1" applyAlignment="1">
      <alignment horizontal="right"/>
    </xf>
    <xf numFmtId="166" fontId="39" fillId="17" borderId="0" xfId="71" applyNumberFormat="1" applyFont="1" applyFill="1" applyAlignment="1">
      <alignment horizontal="right"/>
    </xf>
    <xf numFmtId="166" fontId="39" fillId="17" borderId="19" xfId="71" applyNumberFormat="1" applyFont="1" applyFill="1" applyBorder="1" applyAlignment="1">
      <alignment horizontal="right"/>
    </xf>
    <xf numFmtId="5" fontId="49" fillId="0" borderId="0" xfId="71" applyNumberFormat="1" applyFont="1" applyFill="1" applyAlignment="1">
      <alignment horizontal="right"/>
    </xf>
    <xf numFmtId="5" fontId="49" fillId="0" borderId="19" xfId="71" applyNumberFormat="1" applyFont="1" applyFill="1" applyBorder="1" applyAlignment="1">
      <alignment horizontal="right"/>
    </xf>
    <xf numFmtId="4" fontId="39" fillId="17" borderId="0" xfId="71" applyNumberFormat="1" applyFont="1" applyFill="1" applyAlignment="1">
      <alignment horizontal="right"/>
    </xf>
    <xf numFmtId="5" fontId="39" fillId="17" borderId="0" xfId="71" applyNumberFormat="1" applyFont="1" applyFill="1" applyAlignment="1">
      <alignment horizontal="right"/>
    </xf>
    <xf numFmtId="5" fontId="54" fillId="17" borderId="0" xfId="71" applyNumberFormat="1" applyFont="1" applyFill="1" applyAlignment="1">
      <alignment horizontal="right"/>
    </xf>
    <xf numFmtId="7" fontId="40" fillId="17" borderId="17" xfId="71" applyNumberFormat="1" applyFont="1" applyFill="1" applyBorder="1" applyAlignment="1">
      <alignment horizontal="right"/>
    </xf>
    <xf numFmtId="7" fontId="40" fillId="17" borderId="18" xfId="71" applyNumberFormat="1" applyFont="1" applyFill="1" applyBorder="1" applyAlignment="1">
      <alignment horizontal="right"/>
    </xf>
    <xf numFmtId="168" fontId="40" fillId="17" borderId="0" xfId="71" applyNumberFormat="1" applyFont="1" applyFill="1" applyBorder="1" applyAlignment="1">
      <alignment horizontal="right"/>
    </xf>
    <xf numFmtId="184" fontId="54" fillId="17" borderId="0" xfId="71" applyNumberFormat="1" applyFont="1" applyFill="1" applyBorder="1" applyAlignment="1">
      <alignment horizontal="right"/>
    </xf>
    <xf numFmtId="168" fontId="40" fillId="17" borderId="19" xfId="71" applyNumberFormat="1" applyFont="1" applyFill="1" applyBorder="1" applyAlignment="1">
      <alignment horizontal="right"/>
    </xf>
    <xf numFmtId="7" fontId="49" fillId="0" borderId="17" xfId="71" applyNumberFormat="1" applyFont="1" applyFill="1" applyBorder="1" applyAlignment="1">
      <alignment horizontal="right"/>
    </xf>
    <xf numFmtId="7" fontId="49" fillId="0" borderId="18" xfId="71" applyNumberFormat="1" applyFont="1" applyFill="1" applyBorder="1" applyAlignment="1">
      <alignment horizontal="right"/>
    </xf>
    <xf numFmtId="7" fontId="39" fillId="17" borderId="17" xfId="71" applyNumberFormat="1" applyFont="1" applyFill="1" applyBorder="1" applyAlignment="1">
      <alignment horizontal="right"/>
    </xf>
    <xf numFmtId="7" fontId="39" fillId="17" borderId="18" xfId="71" applyNumberFormat="1" applyFont="1" applyFill="1" applyBorder="1" applyAlignment="1">
      <alignment horizontal="right"/>
    </xf>
    <xf numFmtId="164" fontId="40" fillId="17" borderId="0" xfId="71" applyNumberFormat="1" applyFont="1" applyFill="1" applyBorder="1" applyAlignment="1">
      <alignment horizontal="right"/>
    </xf>
    <xf numFmtId="164" fontId="40" fillId="17" borderId="19" xfId="71" applyNumberFormat="1" applyFont="1" applyFill="1" applyBorder="1" applyAlignment="1">
      <alignment horizontal="right"/>
    </xf>
    <xf numFmtId="7" fontId="39" fillId="17" borderId="0" xfId="71" applyNumberFormat="1" applyFont="1" applyFill="1" applyAlignment="1">
      <alignment horizontal="right"/>
    </xf>
    <xf numFmtId="7" fontId="39" fillId="17" borderId="19" xfId="71" applyNumberFormat="1" applyFont="1" applyFill="1" applyBorder="1" applyAlignment="1">
      <alignment horizontal="right"/>
    </xf>
    <xf numFmtId="164" fontId="39" fillId="17" borderId="0" xfId="71" applyNumberFormat="1" applyFont="1" applyFill="1" applyBorder="1" applyAlignment="1">
      <alignment horizontal="right"/>
    </xf>
    <xf numFmtId="164" fontId="39" fillId="17" borderId="19" xfId="71" applyNumberFormat="1" applyFont="1" applyFill="1" applyBorder="1" applyAlignment="1">
      <alignment horizontal="right"/>
    </xf>
    <xf numFmtId="166" fontId="39" fillId="17" borderId="0" xfId="71" applyNumberFormat="1" applyFont="1" applyFill="1" applyBorder="1" applyAlignment="1">
      <alignment horizontal="right"/>
    </xf>
    <xf numFmtId="166" fontId="120" fillId="17" borderId="0" xfId="71" applyNumberFormat="1" applyFont="1" applyFill="1" applyAlignment="1">
      <alignment horizontal="right"/>
    </xf>
    <xf numFmtId="166" fontId="120" fillId="0" borderId="0" xfId="71" applyNumberFormat="1" applyFont="1" applyFill="1" applyAlignment="1">
      <alignment horizontal="right"/>
    </xf>
    <xf numFmtId="166" fontId="120" fillId="17" borderId="9" xfId="71" applyNumberFormat="1" applyFont="1" applyFill="1" applyBorder="1" applyAlignment="1">
      <alignment horizontal="right"/>
    </xf>
    <xf numFmtId="166" fontId="39" fillId="17" borderId="41" xfId="71" applyNumberFormat="1" applyFont="1" applyFill="1" applyBorder="1" applyAlignment="1">
      <alignment horizontal="right"/>
    </xf>
    <xf numFmtId="1" fontId="39" fillId="17" borderId="0" xfId="71" applyNumberFormat="1" applyFont="1" applyFill="1" applyBorder="1" applyAlignment="1">
      <alignment horizontal="right"/>
    </xf>
    <xf numFmtId="1" fontId="56" fillId="17" borderId="0" xfId="71" applyNumberFormat="1" applyFont="1" applyFill="1" applyBorder="1" applyAlignment="1">
      <alignment horizontal="right"/>
    </xf>
    <xf numFmtId="168" fontId="121" fillId="17" borderId="0" xfId="71" applyNumberFormat="1" applyFont="1" applyFill="1" applyAlignment="1">
      <alignment horizontal="right"/>
    </xf>
    <xf numFmtId="168" fontId="54" fillId="17" borderId="0" xfId="71" applyNumberFormat="1" applyFont="1" applyFill="1" applyAlignment="1">
      <alignment horizontal="right"/>
    </xf>
    <xf numFmtId="168" fontId="40" fillId="17" borderId="0" xfId="71" applyNumberFormat="1" applyFont="1" applyFill="1" applyAlignment="1">
      <alignment horizontal="right"/>
    </xf>
    <xf numFmtId="0" fontId="39" fillId="17" borderId="12" xfId="71" applyFont="1" applyFill="1" applyBorder="1" applyAlignment="1">
      <alignment horizontal="right"/>
    </xf>
    <xf numFmtId="0" fontId="56" fillId="17" borderId="12" xfId="71" applyFont="1" applyFill="1" applyBorder="1" applyAlignment="1">
      <alignment horizontal="right"/>
    </xf>
    <xf numFmtId="0" fontId="47" fillId="17" borderId="12" xfId="71" applyFont="1" applyFill="1" applyBorder="1" applyAlignment="1">
      <alignment horizontal="right"/>
    </xf>
    <xf numFmtId="0" fontId="39" fillId="17" borderId="0" xfId="71" applyFont="1" applyFill="1" applyBorder="1" applyAlignment="1">
      <alignment horizontal="right"/>
    </xf>
    <xf numFmtId="0" fontId="56" fillId="17" borderId="0" xfId="71" applyFont="1" applyFill="1" applyBorder="1" applyAlignment="1">
      <alignment horizontal="right"/>
    </xf>
    <xf numFmtId="0" fontId="47" fillId="17" borderId="0" xfId="71" applyFont="1" applyFill="1" applyBorder="1" applyAlignment="1">
      <alignment horizontal="right"/>
    </xf>
    <xf numFmtId="0" fontId="39" fillId="17" borderId="13" xfId="71" applyFont="1" applyFill="1" applyBorder="1" applyAlignment="1">
      <alignment horizontal="right"/>
    </xf>
    <xf numFmtId="0" fontId="56" fillId="17" borderId="13" xfId="71" applyFont="1" applyFill="1" applyBorder="1" applyAlignment="1">
      <alignment horizontal="right"/>
    </xf>
    <xf numFmtId="0" fontId="47" fillId="17" borderId="13" xfId="71" applyFont="1" applyFill="1" applyBorder="1" applyAlignment="1">
      <alignment horizontal="right"/>
    </xf>
    <xf numFmtId="0" fontId="39" fillId="17" borderId="0" xfId="71" applyFont="1" applyFill="1" applyAlignment="1">
      <alignment horizontal="right"/>
    </xf>
    <xf numFmtId="0" fontId="56" fillId="17" borderId="0" xfId="71" applyFont="1" applyFill="1" applyAlignment="1">
      <alignment horizontal="right"/>
    </xf>
    <xf numFmtId="0" fontId="47" fillId="17" borderId="0" xfId="71" applyFont="1" applyFill="1" applyAlignment="1">
      <alignment horizontal="right"/>
    </xf>
    <xf numFmtId="168" fontId="40" fillId="17" borderId="13" xfId="71" applyNumberFormat="1" applyFont="1" applyFill="1" applyBorder="1" applyAlignment="1">
      <alignment horizontal="right"/>
    </xf>
    <xf numFmtId="168" fontId="54" fillId="17" borderId="13" xfId="71" applyNumberFormat="1" applyFont="1" applyFill="1" applyBorder="1" applyAlignment="1">
      <alignment horizontal="right"/>
    </xf>
    <xf numFmtId="164" fontId="39" fillId="17" borderId="12" xfId="71" applyNumberFormat="1" applyFont="1" applyFill="1" applyBorder="1" applyAlignment="1">
      <alignment horizontal="right"/>
    </xf>
    <xf numFmtId="164" fontId="39" fillId="17" borderId="12" xfId="71" applyNumberFormat="1" applyFont="1" applyFill="1" applyBorder="1" applyAlignment="1"/>
    <xf numFmtId="164" fontId="39" fillId="17" borderId="21" xfId="71" applyNumberFormat="1" applyFont="1" applyFill="1" applyBorder="1" applyAlignment="1"/>
    <xf numFmtId="164" fontId="39" fillId="17" borderId="0" xfId="71" applyNumberFormat="1" applyFont="1" applyFill="1" applyBorder="1" applyAlignment="1"/>
    <xf numFmtId="164" fontId="39" fillId="17" borderId="19" xfId="71" applyNumberFormat="1" applyFont="1" applyFill="1" applyBorder="1" applyAlignment="1"/>
    <xf numFmtId="168" fontId="39" fillId="17" borderId="13" xfId="71" applyNumberFormat="1" applyFont="1" applyFill="1" applyBorder="1" applyAlignment="1">
      <alignment horizontal="right"/>
    </xf>
    <xf numFmtId="168" fontId="39" fillId="17" borderId="13" xfId="71" applyNumberFormat="1" applyFont="1" applyFill="1" applyBorder="1" applyAlignment="1"/>
    <xf numFmtId="168" fontId="39" fillId="17" borderId="20" xfId="71" applyNumberFormat="1" applyFont="1" applyFill="1" applyBorder="1" applyAlignment="1"/>
    <xf numFmtId="164" fontId="39" fillId="17" borderId="0" xfId="71" applyNumberFormat="1" applyFont="1" applyFill="1" applyAlignment="1">
      <alignment horizontal="right"/>
    </xf>
    <xf numFmtId="5" fontId="56" fillId="17" borderId="0" xfId="71" applyNumberFormat="1" applyFont="1" applyFill="1" applyAlignment="1">
      <alignment horizontal="right"/>
    </xf>
    <xf numFmtId="168" fontId="56" fillId="17" borderId="0" xfId="71" applyNumberFormat="1" applyFont="1" applyFill="1" applyAlignment="1">
      <alignment horizontal="right"/>
    </xf>
    <xf numFmtId="168" fontId="39" fillId="17" borderId="0" xfId="71" applyNumberFormat="1" applyFont="1" applyFill="1" applyAlignment="1">
      <alignment horizontal="right"/>
    </xf>
    <xf numFmtId="169" fontId="56" fillId="17" borderId="0" xfId="71" applyNumberFormat="1" applyFont="1" applyFill="1" applyAlignment="1">
      <alignment horizontal="right"/>
    </xf>
    <xf numFmtId="169" fontId="39" fillId="17" borderId="0" xfId="71" applyNumberFormat="1" applyFont="1" applyFill="1" applyAlignment="1">
      <alignment horizontal="right"/>
    </xf>
    <xf numFmtId="172" fontId="56" fillId="17" borderId="13" xfId="71" applyNumberFormat="1" applyFont="1" applyFill="1" applyBorder="1" applyAlignment="1">
      <alignment horizontal="right"/>
    </xf>
    <xf numFmtId="172" fontId="39" fillId="17" borderId="13" xfId="71" applyNumberFormat="1" applyFont="1" applyFill="1" applyBorder="1" applyAlignment="1">
      <alignment horizontal="right"/>
    </xf>
    <xf numFmtId="165" fontId="56" fillId="17" borderId="0" xfId="71" applyNumberFormat="1" applyFont="1" applyFill="1" applyBorder="1" applyAlignment="1">
      <alignment horizontal="right"/>
    </xf>
    <xf numFmtId="165" fontId="39" fillId="17" borderId="0" xfId="71" applyNumberFormat="1" applyFont="1" applyFill="1" applyBorder="1" applyAlignment="1">
      <alignment horizontal="right"/>
    </xf>
    <xf numFmtId="178" fontId="56" fillId="17" borderId="0" xfId="71" applyNumberFormat="1" applyFont="1" applyFill="1" applyAlignment="1">
      <alignment horizontal="right"/>
    </xf>
    <xf numFmtId="178" fontId="39" fillId="17" borderId="0" xfId="71" applyNumberFormat="1" applyFont="1" applyFill="1" applyAlignment="1">
      <alignment horizontal="right"/>
    </xf>
    <xf numFmtId="181" fontId="56" fillId="17" borderId="0" xfId="71" applyNumberFormat="1" applyFont="1" applyFill="1" applyAlignment="1">
      <alignment horizontal="right"/>
    </xf>
    <xf numFmtId="181" fontId="39" fillId="17" borderId="0" xfId="71" applyNumberFormat="1" applyFont="1" applyFill="1" applyAlignment="1">
      <alignment horizontal="right"/>
    </xf>
    <xf numFmtId="0" fontId="1" fillId="17" borderId="0" xfId="71" applyFont="1" applyFill="1"/>
    <xf numFmtId="0" fontId="0" fillId="17" borderId="0" xfId="71" applyFont="1" applyFill="1"/>
    <xf numFmtId="164" fontId="120" fillId="17" borderId="0" xfId="71" applyNumberFormat="1" applyFont="1" applyFill="1"/>
    <xf numFmtId="164" fontId="39" fillId="17" borderId="19" xfId="71" applyNumberFormat="1" applyFont="1" applyFill="1" applyBorder="1"/>
    <xf numFmtId="166" fontId="120" fillId="17" borderId="0" xfId="71" applyNumberFormat="1" applyFont="1" applyFill="1"/>
    <xf numFmtId="166" fontId="39" fillId="17" borderId="19" xfId="71" applyNumberFormat="1" applyFont="1" applyFill="1" applyBorder="1"/>
    <xf numFmtId="164" fontId="40" fillId="17" borderId="0" xfId="71" applyNumberFormat="1" applyFont="1" applyFill="1"/>
    <xf numFmtId="164" fontId="40" fillId="17" borderId="19" xfId="71" applyNumberFormat="1" applyFont="1" applyFill="1" applyBorder="1"/>
    <xf numFmtId="164" fontId="40" fillId="17" borderId="9" xfId="71" applyNumberFormat="1" applyFont="1" applyFill="1" applyBorder="1"/>
    <xf numFmtId="164" fontId="40" fillId="17" borderId="41" xfId="71" applyNumberFormat="1" applyFont="1" applyFill="1" applyBorder="1"/>
    <xf numFmtId="0" fontId="39" fillId="17" borderId="13" xfId="71" applyFont="1" applyFill="1" applyBorder="1"/>
    <xf numFmtId="165" fontId="39" fillId="17" borderId="13" xfId="71" applyNumberFormat="1" applyFont="1" applyFill="1" applyBorder="1"/>
    <xf numFmtId="165" fontId="56" fillId="17" borderId="13" xfId="71" applyNumberFormat="1" applyFont="1" applyFill="1" applyBorder="1"/>
    <xf numFmtId="167" fontId="39" fillId="17" borderId="0" xfId="71" applyNumberFormat="1" applyFont="1" applyFill="1" applyBorder="1"/>
    <xf numFmtId="167" fontId="39" fillId="17" borderId="13" xfId="71" applyNumberFormat="1" applyFont="1" applyFill="1" applyBorder="1"/>
    <xf numFmtId="166" fontId="39" fillId="17" borderId="11" xfId="71" applyNumberFormat="1" applyFont="1" applyFill="1" applyBorder="1"/>
    <xf numFmtId="166" fontId="39" fillId="17" borderId="43" xfId="71" applyNumberFormat="1" applyFont="1" applyFill="1" applyBorder="1"/>
    <xf numFmtId="164" fontId="39" fillId="17" borderId="0" xfId="71" applyNumberFormat="1" applyFont="1" applyFill="1" applyBorder="1"/>
    <xf numFmtId="165" fontId="39" fillId="17" borderId="0" xfId="71" applyNumberFormat="1" applyFont="1" applyFill="1"/>
    <xf numFmtId="164" fontId="120" fillId="17" borderId="0" xfId="71" applyNumberFormat="1" applyFont="1" applyFill="1" applyAlignment="1">
      <alignment horizontal="right"/>
    </xf>
    <xf numFmtId="0" fontId="40" fillId="17" borderId="0" xfId="71" applyFont="1" applyFill="1" applyBorder="1" applyAlignment="1">
      <alignment horizontal="center"/>
    </xf>
    <xf numFmtId="0" fontId="54" fillId="17" borderId="0" xfId="71" applyFont="1" applyFill="1" applyBorder="1" applyAlignment="1">
      <alignment horizontal="center"/>
    </xf>
    <xf numFmtId="166" fontId="39" fillId="17" borderId="17" xfId="71" applyNumberFormat="1" applyFont="1" applyFill="1" applyBorder="1"/>
    <xf numFmtId="166" fontId="39" fillId="17" borderId="18" xfId="71" applyNumberFormat="1" applyFont="1" applyFill="1" applyBorder="1"/>
    <xf numFmtId="9" fontId="39" fillId="17" borderId="17" xfId="71" applyNumberFormat="1" applyFont="1" applyFill="1" applyBorder="1"/>
    <xf numFmtId="9" fontId="39" fillId="17" borderId="18" xfId="71" applyNumberFormat="1" applyFont="1" applyFill="1" applyBorder="1"/>
    <xf numFmtId="199" fontId="36" fillId="17" borderId="0" xfId="71" applyNumberFormat="1" applyFont="1" applyFill="1"/>
    <xf numFmtId="199" fontId="36" fillId="0" borderId="0" xfId="71" applyNumberFormat="1" applyFont="1" applyFill="1"/>
    <xf numFmtId="0" fontId="36" fillId="17" borderId="0" xfId="71" applyFont="1" applyFill="1"/>
    <xf numFmtId="5" fontId="36" fillId="17" borderId="0" xfId="71" applyNumberFormat="1" applyFont="1" applyFill="1"/>
    <xf numFmtId="0" fontId="36" fillId="17" borderId="14" xfId="71" applyFont="1" applyFill="1" applyBorder="1"/>
    <xf numFmtId="199" fontId="6" fillId="24" borderId="12" xfId="71" applyNumberFormat="1" applyFont="1" applyFill="1" applyBorder="1"/>
    <xf numFmtId="199" fontId="6" fillId="24" borderId="0" xfId="71" applyNumberFormat="1" applyFont="1" applyFill="1" applyBorder="1"/>
    <xf numFmtId="3" fontId="6" fillId="24" borderId="12" xfId="71" applyNumberFormat="1" applyFont="1" applyFill="1" applyBorder="1"/>
    <xf numFmtId="3" fontId="6" fillId="24" borderId="0" xfId="71" applyNumberFormat="1" applyFont="1" applyFill="1" applyBorder="1"/>
    <xf numFmtId="0" fontId="40" fillId="34" borderId="0" xfId="71" applyFont="1" applyFill="1"/>
    <xf numFmtId="0" fontId="40" fillId="34" borderId="50" xfId="71" applyFont="1" applyFill="1" applyBorder="1"/>
    <xf numFmtId="199" fontId="120" fillId="34" borderId="0" xfId="71" applyNumberFormat="1" applyFont="1" applyFill="1"/>
    <xf numFmtId="199" fontId="39" fillId="34" borderId="0" xfId="71" applyNumberFormat="1" applyFont="1" applyFill="1"/>
    <xf numFmtId="0" fontId="39" fillId="34" borderId="0" xfId="71" applyFont="1" applyFill="1"/>
    <xf numFmtId="0" fontId="39" fillId="34" borderId="14" xfId="71" applyFont="1" applyFill="1" applyBorder="1"/>
    <xf numFmtId="5" fontId="39" fillId="34" borderId="0" xfId="71" applyNumberFormat="1" applyFont="1" applyFill="1"/>
    <xf numFmtId="0" fontId="46" fillId="34" borderId="0" xfId="71" applyFont="1" applyFill="1"/>
    <xf numFmtId="199" fontId="40" fillId="34" borderId="0" xfId="71" applyNumberFormat="1" applyFont="1" applyFill="1"/>
    <xf numFmtId="0" fontId="40" fillId="34" borderId="14" xfId="71" applyFont="1" applyFill="1" applyBorder="1"/>
    <xf numFmtId="199" fontId="39" fillId="34" borderId="11" xfId="71" applyNumberFormat="1" applyFont="1" applyFill="1" applyBorder="1"/>
    <xf numFmtId="0" fontId="39" fillId="34" borderId="0" xfId="71" applyFont="1" applyFill="1" applyBorder="1"/>
    <xf numFmtId="5" fontId="120" fillId="34" borderId="0" xfId="71" applyNumberFormat="1" applyFont="1" applyFill="1" applyBorder="1"/>
    <xf numFmtId="5" fontId="39" fillId="34" borderId="0" xfId="71" applyNumberFormat="1" applyFont="1" applyFill="1" applyBorder="1"/>
    <xf numFmtId="9" fontId="40" fillId="34" borderId="63" xfId="71" applyNumberFormat="1" applyFont="1" applyFill="1" applyBorder="1"/>
    <xf numFmtId="9" fontId="55" fillId="34" borderId="63" xfId="71" applyNumberFormat="1" applyFont="1" applyFill="1" applyBorder="1"/>
    <xf numFmtId="199" fontId="40" fillId="34" borderId="12" xfId="71" applyNumberFormat="1" applyFont="1" applyFill="1" applyBorder="1"/>
    <xf numFmtId="199" fontId="40" fillId="34" borderId="0" xfId="71" applyNumberFormat="1" applyFont="1" applyFill="1" applyBorder="1"/>
    <xf numFmtId="0" fontId="101" fillId="34" borderId="0" xfId="71" applyFont="1" applyFill="1"/>
    <xf numFmtId="0" fontId="101" fillId="34" borderId="14" xfId="71" applyFont="1" applyFill="1" applyBorder="1"/>
    <xf numFmtId="0" fontId="101" fillId="17" borderId="0" xfId="71" applyFont="1" applyFill="1"/>
    <xf numFmtId="0" fontId="101" fillId="17" borderId="14" xfId="71" applyFont="1" applyFill="1" applyBorder="1"/>
    <xf numFmtId="0" fontId="36" fillId="26" borderId="12" xfId="71" applyFont="1" applyFill="1" applyBorder="1"/>
    <xf numFmtId="0" fontId="36" fillId="26" borderId="50" xfId="71" applyFont="1" applyFill="1" applyBorder="1"/>
    <xf numFmtId="199" fontId="36" fillId="17" borderId="14" xfId="71" applyNumberFormat="1" applyFont="1" applyFill="1" applyBorder="1"/>
    <xf numFmtId="0" fontId="36" fillId="25" borderId="0" xfId="71" applyFont="1" applyFill="1"/>
    <xf numFmtId="0" fontId="36" fillId="25" borderId="14" xfId="71" applyFont="1" applyFill="1" applyBorder="1"/>
    <xf numFmtId="0" fontId="36" fillId="26" borderId="0" xfId="71" applyFont="1" applyFill="1" applyBorder="1"/>
    <xf numFmtId="0" fontId="36" fillId="26" borderId="14" xfId="71" applyFont="1" applyFill="1" applyBorder="1"/>
    <xf numFmtId="0" fontId="36" fillId="25" borderId="0" xfId="71" quotePrefix="1" applyFont="1" applyFill="1" applyAlignment="1">
      <alignment horizontal="center"/>
    </xf>
    <xf numFmtId="9" fontId="36" fillId="25" borderId="0" xfId="71" applyNumberFormat="1" applyFont="1" applyFill="1"/>
    <xf numFmtId="199" fontId="36" fillId="25" borderId="0" xfId="71" applyNumberFormat="1" applyFont="1" applyFill="1"/>
    <xf numFmtId="0" fontId="36" fillId="25" borderId="0" xfId="71" applyFont="1" applyFill="1" applyBorder="1"/>
    <xf numFmtId="199" fontId="36" fillId="25" borderId="0" xfId="71" applyNumberFormat="1" applyFont="1" applyFill="1" applyBorder="1"/>
    <xf numFmtId="198" fontId="36" fillId="25" borderId="0" xfId="71" applyNumberFormat="1" applyFont="1" applyFill="1" applyBorder="1"/>
    <xf numFmtId="0" fontId="39" fillId="25" borderId="0" xfId="71" applyFont="1" applyFill="1" applyBorder="1"/>
    <xf numFmtId="0" fontId="101" fillId="25" borderId="0" xfId="71" applyFont="1" applyFill="1" applyBorder="1"/>
    <xf numFmtId="0" fontId="36" fillId="17" borderId="0" xfId="71" applyFont="1" applyFill="1" applyBorder="1"/>
    <xf numFmtId="0" fontId="101" fillId="17" borderId="0" xfId="71" applyFont="1" applyFill="1" applyBorder="1"/>
    <xf numFmtId="199" fontId="36" fillId="17" borderId="0" xfId="71" applyNumberFormat="1" applyFont="1" applyFill="1" applyBorder="1"/>
    <xf numFmtId="5" fontId="83" fillId="0" borderId="0" xfId="71" applyNumberFormat="1" applyFont="1" applyFill="1" applyBorder="1"/>
    <xf numFmtId="5" fontId="83" fillId="0" borderId="19" xfId="71" applyNumberFormat="1" applyFont="1" applyFill="1" applyBorder="1"/>
    <xf numFmtId="5" fontId="1" fillId="0" borderId="17" xfId="71" applyNumberFormat="1" applyFont="1" applyFill="1" applyBorder="1"/>
    <xf numFmtId="5" fontId="1" fillId="0" borderId="18" xfId="71" applyNumberFormat="1" applyFont="1" applyFill="1" applyBorder="1"/>
    <xf numFmtId="5" fontId="83" fillId="0" borderId="0" xfId="71" applyNumberFormat="1" applyFont="1" applyFill="1"/>
    <xf numFmtId="7" fontId="83" fillId="0" borderId="0" xfId="71" applyNumberFormat="1" applyFont="1" applyFill="1" applyBorder="1"/>
    <xf numFmtId="5" fontId="0" fillId="0" borderId="0" xfId="71" applyNumberFormat="1" applyFont="1" applyFill="1" applyBorder="1"/>
    <xf numFmtId="220" fontId="0" fillId="33" borderId="0" xfId="0" applyNumberFormat="1" applyFill="1"/>
    <xf numFmtId="5" fontId="30" fillId="33" borderId="0" xfId="0" applyNumberFormat="1" applyFont="1" applyFill="1" applyAlignment="1">
      <alignment horizontal="center"/>
    </xf>
    <xf numFmtId="49" fontId="30" fillId="33" borderId="0" xfId="2" applyNumberFormat="1" applyFont="1" applyFill="1" applyBorder="1" applyAlignment="1">
      <alignment horizontal="center"/>
    </xf>
    <xf numFmtId="0" fontId="0" fillId="33" borderId="17" xfId="2" applyFont="1" applyFill="1" applyBorder="1"/>
    <xf numFmtId="5" fontId="117" fillId="33" borderId="13" xfId="57" applyNumberFormat="1" applyFont="1" applyFill="1" applyBorder="1"/>
    <xf numFmtId="0" fontId="117" fillId="33" borderId="13" xfId="2" applyFont="1" applyFill="1" applyBorder="1"/>
    <xf numFmtId="5" fontId="111" fillId="33" borderId="0" xfId="2" applyNumberFormat="1" applyFont="1" applyFill="1"/>
    <xf numFmtId="5" fontId="83" fillId="33" borderId="0" xfId="2" applyNumberFormat="1" applyFont="1" applyFill="1"/>
    <xf numFmtId="5" fontId="83" fillId="33" borderId="13" xfId="2" applyNumberFormat="1" applyFont="1" applyFill="1" applyBorder="1"/>
    <xf numFmtId="5" fontId="1" fillId="33" borderId="0" xfId="2" applyNumberFormat="1" applyFont="1" applyFill="1"/>
    <xf numFmtId="5" fontId="30" fillId="33" borderId="11" xfId="2" applyNumberFormat="1" applyFont="1" applyFill="1" applyBorder="1"/>
    <xf numFmtId="171" fontId="83" fillId="33" borderId="28" xfId="2" applyNumberFormat="1" applyFont="1" applyFill="1" applyBorder="1"/>
    <xf numFmtId="171" fontId="83" fillId="33" borderId="0" xfId="2" applyNumberFormat="1" applyFont="1" applyFill="1" applyBorder="1"/>
    <xf numFmtId="0" fontId="0" fillId="33" borderId="0" xfId="2" applyFont="1" applyFill="1" applyBorder="1"/>
    <xf numFmtId="5" fontId="1" fillId="33" borderId="17" xfId="2" applyNumberFormat="1" applyFont="1" applyFill="1" applyBorder="1"/>
    <xf numFmtId="1" fontId="0" fillId="33" borderId="0" xfId="2" applyNumberFormat="1" applyFont="1" applyFill="1" applyBorder="1"/>
    <xf numFmtId="171" fontId="0" fillId="33" borderId="0" xfId="2" applyNumberFormat="1" applyFont="1" applyFill="1" applyBorder="1"/>
    <xf numFmtId="0" fontId="0" fillId="33" borderId="43" xfId="2" applyFont="1" applyFill="1" applyBorder="1"/>
    <xf numFmtId="5" fontId="1" fillId="33" borderId="17" xfId="71" applyNumberFormat="1" applyFont="1" applyFill="1" applyBorder="1"/>
    <xf numFmtId="171" fontId="83" fillId="33" borderId="0" xfId="57" applyNumberFormat="1" applyFont="1" applyFill="1" applyBorder="1"/>
    <xf numFmtId="5" fontId="83" fillId="33" borderId="0" xfId="71" applyNumberFormat="1" applyFont="1" applyFill="1" applyBorder="1"/>
    <xf numFmtId="171" fontId="83" fillId="33" borderId="13" xfId="57" applyNumberFormat="1" applyFont="1" applyFill="1" applyBorder="1"/>
    <xf numFmtId="5" fontId="83" fillId="33" borderId="0" xfId="71" applyNumberFormat="1" applyFont="1" applyFill="1"/>
    <xf numFmtId="171" fontId="118" fillId="33" borderId="0" xfId="57" applyNumberFormat="1" applyFont="1" applyFill="1" applyBorder="1"/>
    <xf numFmtId="5" fontId="0" fillId="33" borderId="0" xfId="71" applyNumberFormat="1" applyFont="1" applyFill="1" applyBorder="1"/>
    <xf numFmtId="5" fontId="0" fillId="33" borderId="0" xfId="2" applyNumberFormat="1" applyFont="1" applyFill="1" applyBorder="1"/>
    <xf numFmtId="171" fontId="83" fillId="33" borderId="28" xfId="57" applyNumberFormat="1" applyFont="1" applyFill="1" applyBorder="1"/>
    <xf numFmtId="171" fontId="111" fillId="33" borderId="0" xfId="57" applyNumberFormat="1" applyFont="1" applyFill="1"/>
    <xf numFmtId="5" fontId="117" fillId="33" borderId="0" xfId="57" applyNumberFormat="1" applyFont="1" applyFill="1" applyBorder="1"/>
    <xf numFmtId="0" fontId="117" fillId="33" borderId="0" xfId="2" applyFont="1" applyFill="1" applyBorder="1"/>
    <xf numFmtId="5" fontId="0" fillId="33" borderId="17" xfId="0" applyNumberFormat="1" applyFill="1" applyBorder="1"/>
    <xf numFmtId="5" fontId="0" fillId="33" borderId="0" xfId="0" applyNumberFormat="1" applyFill="1"/>
    <xf numFmtId="5" fontId="0" fillId="33" borderId="0" xfId="0" applyNumberFormat="1" applyFill="1" applyBorder="1"/>
    <xf numFmtId="5" fontId="30" fillId="33" borderId="0" xfId="0" applyNumberFormat="1" applyFont="1" applyFill="1" applyBorder="1"/>
    <xf numFmtId="182" fontId="1" fillId="33" borderId="0" xfId="2" applyNumberFormat="1" applyFont="1" applyFill="1" applyBorder="1"/>
    <xf numFmtId="199" fontId="115" fillId="33" borderId="0" xfId="2" applyNumberFormat="1" applyFont="1" applyFill="1" applyBorder="1"/>
    <xf numFmtId="5" fontId="30" fillId="33" borderId="17" xfId="2" applyNumberFormat="1" applyFont="1" applyFill="1" applyBorder="1"/>
    <xf numFmtId="5" fontId="115" fillId="33" borderId="0" xfId="2" applyNumberFormat="1" applyFont="1" applyFill="1" applyBorder="1"/>
    <xf numFmtId="5" fontId="1" fillId="33" borderId="0" xfId="2" applyNumberFormat="1" applyFont="1" applyFill="1" applyBorder="1"/>
    <xf numFmtId="197" fontId="1" fillId="33" borderId="0" xfId="35" applyNumberFormat="1" applyFont="1" applyFill="1" applyBorder="1"/>
    <xf numFmtId="182" fontId="31" fillId="33" borderId="0" xfId="2" applyNumberFormat="1" applyFont="1" applyFill="1" applyBorder="1"/>
    <xf numFmtId="5" fontId="1" fillId="33" borderId="0" xfId="57" applyNumberFormat="1" applyFont="1" applyFill="1" applyBorder="1"/>
    <xf numFmtId="0" fontId="1" fillId="33" borderId="0" xfId="2" applyFont="1" applyFill="1" applyBorder="1"/>
    <xf numFmtId="49" fontId="30" fillId="33" borderId="13" xfId="2" applyNumberFormat="1" applyFont="1" applyFill="1" applyBorder="1" applyAlignment="1">
      <alignment horizontal="center"/>
    </xf>
    <xf numFmtId="197" fontId="112" fillId="33" borderId="0" xfId="35" applyNumberFormat="1" applyFont="1" applyFill="1" applyBorder="1"/>
    <xf numFmtId="9" fontId="83" fillId="33" borderId="0" xfId="57" applyFont="1" applyFill="1" applyBorder="1"/>
    <xf numFmtId="197" fontId="118" fillId="33" borderId="0" xfId="35" applyNumberFormat="1" applyFont="1" applyFill="1" applyBorder="1"/>
    <xf numFmtId="182" fontId="30" fillId="33" borderId="17" xfId="2" applyNumberFormat="1" applyFont="1" applyFill="1" applyBorder="1"/>
    <xf numFmtId="182" fontId="1" fillId="33" borderId="0" xfId="57" applyNumberFormat="1" applyFont="1" applyFill="1" applyBorder="1"/>
    <xf numFmtId="9" fontId="118" fillId="33" borderId="0" xfId="57" applyFont="1" applyFill="1" applyBorder="1"/>
    <xf numFmtId="182" fontId="30" fillId="33" borderId="0" xfId="57" applyNumberFormat="1" applyFont="1" applyFill="1" applyBorder="1"/>
    <xf numFmtId="182" fontId="30" fillId="33" borderId="0" xfId="2" applyNumberFormat="1" applyFont="1" applyFill="1" applyBorder="1"/>
    <xf numFmtId="199" fontId="1" fillId="33" borderId="0" xfId="2" applyNumberFormat="1" applyFont="1" applyFill="1" applyBorder="1"/>
    <xf numFmtId="210" fontId="30" fillId="33" borderId="0" xfId="0" applyNumberFormat="1" applyFont="1" applyFill="1"/>
    <xf numFmtId="9" fontId="136" fillId="0" borderId="33" xfId="57" applyNumberFormat="1" applyFont="1" applyBorder="1" applyAlignment="1">
      <alignment horizontal="right"/>
    </xf>
    <xf numFmtId="9" fontId="136" fillId="0" borderId="13" xfId="57" applyNumberFormat="1" applyFont="1" applyBorder="1" applyAlignment="1">
      <alignment horizontal="right"/>
    </xf>
    <xf numFmtId="9" fontId="136" fillId="0" borderId="24" xfId="57" applyNumberFormat="1" applyFont="1" applyBorder="1" applyAlignment="1">
      <alignment horizontal="right"/>
    </xf>
    <xf numFmtId="9" fontId="136" fillId="0" borderId="31" xfId="57" applyNumberFormat="1" applyFont="1" applyBorder="1" applyAlignment="1">
      <alignment horizontal="right"/>
    </xf>
    <xf numFmtId="9" fontId="136" fillId="0" borderId="0" xfId="57" applyNumberFormat="1" applyFont="1" applyBorder="1" applyAlignment="1">
      <alignment horizontal="right"/>
    </xf>
    <xf numFmtId="9" fontId="136" fillId="0" borderId="23" xfId="57" applyNumberFormat="1" applyFont="1" applyBorder="1" applyAlignment="1">
      <alignment horizontal="right"/>
    </xf>
    <xf numFmtId="171" fontId="139" fillId="30" borderId="0" xfId="57" applyNumberFormat="1" applyFont="1" applyFill="1" applyBorder="1"/>
    <xf numFmtId="171" fontId="139" fillId="30" borderId="19" xfId="57" applyNumberFormat="1" applyFont="1" applyFill="1" applyBorder="1"/>
    <xf numFmtId="0" fontId="112" fillId="25" borderId="0" xfId="0" applyFont="1" applyFill="1"/>
    <xf numFmtId="171" fontId="0" fillId="35" borderId="0" xfId="57" applyNumberFormat="1" applyFont="1" applyFill="1"/>
    <xf numFmtId="5" fontId="30" fillId="35" borderId="0" xfId="0" applyNumberFormat="1" applyFont="1" applyFill="1" applyAlignment="1">
      <alignment horizontal="center"/>
    </xf>
    <xf numFmtId="49" fontId="30" fillId="35" borderId="0" xfId="2" applyNumberFormat="1" applyFont="1" applyFill="1" applyBorder="1" applyAlignment="1">
      <alignment horizontal="center"/>
    </xf>
    <xf numFmtId="0" fontId="0" fillId="35" borderId="18" xfId="2" applyFont="1" applyFill="1" applyBorder="1"/>
    <xf numFmtId="0" fontId="0" fillId="35" borderId="17" xfId="2" applyFont="1" applyFill="1" applyBorder="1"/>
    <xf numFmtId="0" fontId="117" fillId="35" borderId="20" xfId="2" applyFont="1" applyFill="1" applyBorder="1"/>
    <xf numFmtId="5" fontId="117" fillId="35" borderId="13" xfId="57" applyNumberFormat="1" applyFont="1" applyFill="1" applyBorder="1"/>
    <xf numFmtId="0" fontId="117" fillId="35" borderId="13" xfId="2" applyFont="1" applyFill="1" applyBorder="1"/>
    <xf numFmtId="5" fontId="1" fillId="35" borderId="19" xfId="2" applyNumberFormat="1" applyFont="1" applyFill="1" applyBorder="1"/>
    <xf numFmtId="5" fontId="111" fillId="35" borderId="0" xfId="2" applyNumberFormat="1" applyFont="1" applyFill="1"/>
    <xf numFmtId="5" fontId="83" fillId="35" borderId="19" xfId="2" applyNumberFormat="1" applyFont="1" applyFill="1" applyBorder="1"/>
    <xf numFmtId="5" fontId="83" fillId="35" borderId="0" xfId="2" applyNumberFormat="1" applyFont="1" applyFill="1"/>
    <xf numFmtId="5" fontId="83" fillId="35" borderId="20" xfId="2" applyNumberFormat="1" applyFont="1" applyFill="1" applyBorder="1"/>
    <xf numFmtId="5" fontId="83" fillId="35" borderId="13" xfId="2" applyNumberFormat="1" applyFont="1" applyFill="1" applyBorder="1"/>
    <xf numFmtId="5" fontId="111" fillId="35" borderId="19" xfId="2" applyNumberFormat="1" applyFont="1" applyFill="1" applyBorder="1"/>
    <xf numFmtId="5" fontId="1" fillId="35" borderId="0" xfId="2" applyNumberFormat="1" applyFont="1" applyFill="1"/>
    <xf numFmtId="5" fontId="30" fillId="35" borderId="78" xfId="2" applyNumberFormat="1" applyFont="1" applyFill="1" applyBorder="1"/>
    <xf numFmtId="5" fontId="30" fillId="35" borderId="11" xfId="2" applyNumberFormat="1" applyFont="1" applyFill="1" applyBorder="1"/>
    <xf numFmtId="171" fontId="83" fillId="35" borderId="79" xfId="2" applyNumberFormat="1" applyFont="1" applyFill="1" applyBorder="1"/>
    <xf numFmtId="171" fontId="83" fillId="35" borderId="28" xfId="2" applyNumberFormat="1" applyFont="1" applyFill="1" applyBorder="1"/>
    <xf numFmtId="171" fontId="83" fillId="35" borderId="19" xfId="2" applyNumberFormat="1" applyFont="1" applyFill="1" applyBorder="1"/>
    <xf numFmtId="171" fontId="83" fillId="35" borderId="0" xfId="2" applyNumberFormat="1" applyFont="1" applyFill="1" applyBorder="1"/>
    <xf numFmtId="0" fontId="0" fillId="35" borderId="19" xfId="2" applyFont="1" applyFill="1" applyBorder="1"/>
    <xf numFmtId="0" fontId="0" fillId="35" borderId="0" xfId="2" applyFont="1" applyFill="1" applyBorder="1"/>
    <xf numFmtId="5" fontId="1" fillId="35" borderId="18" xfId="2" applyNumberFormat="1" applyFont="1" applyFill="1" applyBorder="1"/>
    <xf numFmtId="5" fontId="1" fillId="35" borderId="17" xfId="2" applyNumberFormat="1" applyFont="1" applyFill="1" applyBorder="1"/>
    <xf numFmtId="1" fontId="0" fillId="35" borderId="19" xfId="2" applyNumberFormat="1" applyFont="1" applyFill="1" applyBorder="1"/>
    <xf numFmtId="1" fontId="0" fillId="35" borderId="0" xfId="2" applyNumberFormat="1" applyFont="1" applyFill="1" applyBorder="1"/>
    <xf numFmtId="171" fontId="0" fillId="35" borderId="19" xfId="2" applyNumberFormat="1" applyFont="1" applyFill="1" applyBorder="1"/>
    <xf numFmtId="171" fontId="0" fillId="35" borderId="0" xfId="2" applyNumberFormat="1" applyFont="1" applyFill="1" applyBorder="1"/>
    <xf numFmtId="0" fontId="0" fillId="35" borderId="66" xfId="2" applyFont="1" applyFill="1" applyBorder="1"/>
    <xf numFmtId="0" fontId="0" fillId="35" borderId="43" xfId="2" applyFont="1" applyFill="1" applyBorder="1"/>
    <xf numFmtId="171" fontId="83" fillId="35" borderId="19" xfId="57" applyNumberFormat="1" applyFont="1" applyFill="1" applyBorder="1"/>
    <xf numFmtId="171" fontId="83" fillId="35" borderId="0" xfId="57" applyNumberFormat="1" applyFont="1" applyFill="1" applyBorder="1"/>
    <xf numFmtId="5" fontId="83" fillId="35" borderId="0" xfId="2" applyNumberFormat="1" applyFont="1" applyFill="1" applyBorder="1"/>
    <xf numFmtId="171" fontId="83" fillId="35" borderId="20" xfId="57" applyNumberFormat="1" applyFont="1" applyFill="1" applyBorder="1"/>
    <xf numFmtId="171" fontId="83" fillId="35" borderId="13" xfId="57" applyNumberFormat="1" applyFont="1" applyFill="1" applyBorder="1"/>
    <xf numFmtId="171" fontId="118" fillId="35" borderId="0" xfId="57" applyNumberFormat="1" applyFont="1" applyFill="1" applyBorder="1"/>
    <xf numFmtId="5" fontId="83" fillId="35" borderId="19" xfId="71" applyNumberFormat="1" applyFont="1" applyFill="1" applyBorder="1"/>
    <xf numFmtId="5" fontId="83" fillId="35" borderId="0" xfId="71" applyNumberFormat="1" applyFont="1" applyFill="1" applyBorder="1"/>
    <xf numFmtId="5" fontId="0" fillId="35" borderId="0" xfId="2" applyNumberFormat="1" applyFont="1" applyFill="1" applyBorder="1"/>
    <xf numFmtId="171" fontId="83" fillId="35" borderId="79" xfId="57" applyNumberFormat="1" applyFont="1" applyFill="1" applyBorder="1"/>
    <xf numFmtId="171" fontId="83" fillId="35" borderId="28" xfId="57" applyNumberFormat="1" applyFont="1" applyFill="1" applyBorder="1"/>
    <xf numFmtId="0" fontId="117" fillId="35" borderId="19" xfId="2" applyFont="1" applyFill="1" applyBorder="1"/>
    <xf numFmtId="5" fontId="117" fillId="35" borderId="0" xfId="57" applyNumberFormat="1" applyFont="1" applyFill="1" applyBorder="1"/>
    <xf numFmtId="0" fontId="117" fillId="35" borderId="0" xfId="2" applyFont="1" applyFill="1" applyBorder="1"/>
    <xf numFmtId="5" fontId="0" fillId="35" borderId="18" xfId="0" applyNumberFormat="1" applyFill="1" applyBorder="1"/>
    <xf numFmtId="5" fontId="0" fillId="35" borderId="17" xfId="0" applyNumberFormat="1" applyFill="1" applyBorder="1"/>
    <xf numFmtId="5" fontId="0" fillId="35" borderId="19" xfId="0" applyNumberFormat="1" applyFill="1" applyBorder="1"/>
    <xf numFmtId="5" fontId="0" fillId="35" borderId="0" xfId="0" applyNumberFormat="1" applyFill="1"/>
    <xf numFmtId="5" fontId="0" fillId="35" borderId="0" xfId="0" applyNumberFormat="1" applyFill="1" applyBorder="1"/>
    <xf numFmtId="5" fontId="30" fillId="35" borderId="19" xfId="0" applyNumberFormat="1" applyFont="1" applyFill="1" applyBorder="1"/>
    <xf numFmtId="5" fontId="30" fillId="35" borderId="0" xfId="0" applyNumberFormat="1" applyFont="1" applyFill="1" applyBorder="1"/>
    <xf numFmtId="182" fontId="1" fillId="35" borderId="19" xfId="2" applyNumberFormat="1" applyFont="1" applyFill="1" applyBorder="1"/>
    <xf numFmtId="182" fontId="1" fillId="35" borderId="0" xfId="2" applyNumberFormat="1" applyFont="1" applyFill="1" applyBorder="1"/>
    <xf numFmtId="199" fontId="1" fillId="35" borderId="19" xfId="2" applyNumberFormat="1" applyFont="1" applyFill="1" applyBorder="1"/>
    <xf numFmtId="199" fontId="115" fillId="35" borderId="0" xfId="2" applyNumberFormat="1" applyFont="1" applyFill="1" applyBorder="1"/>
    <xf numFmtId="5" fontId="30" fillId="35" borderId="18" xfId="2" applyNumberFormat="1" applyFont="1" applyFill="1" applyBorder="1"/>
    <xf numFmtId="5" fontId="30" fillId="35" borderId="17" xfId="2" applyNumberFormat="1" applyFont="1" applyFill="1" applyBorder="1"/>
    <xf numFmtId="182" fontId="31" fillId="35" borderId="19" xfId="2" applyNumberFormat="1" applyFont="1" applyFill="1" applyBorder="1"/>
    <xf numFmtId="199" fontId="31" fillId="35" borderId="19" xfId="2" applyNumberFormat="1" applyFont="1" applyFill="1" applyBorder="1"/>
    <xf numFmtId="5" fontId="31" fillId="35" borderId="18" xfId="2" applyNumberFormat="1" applyFont="1" applyFill="1" applyBorder="1"/>
    <xf numFmtId="5" fontId="31" fillId="35" borderId="19" xfId="2" applyNumberFormat="1" applyFont="1" applyFill="1" applyBorder="1"/>
    <xf numFmtId="5" fontId="115" fillId="35" borderId="0" xfId="2" applyNumberFormat="1" applyFont="1" applyFill="1" applyBorder="1"/>
    <xf numFmtId="5" fontId="1" fillId="35" borderId="0" xfId="2" applyNumberFormat="1" applyFont="1" applyFill="1" applyBorder="1"/>
    <xf numFmtId="197" fontId="31" fillId="35" borderId="19" xfId="35" applyNumberFormat="1" applyFont="1" applyFill="1" applyBorder="1"/>
    <xf numFmtId="197" fontId="1" fillId="35" borderId="0" xfId="35" applyNumberFormat="1" applyFont="1" applyFill="1" applyBorder="1"/>
    <xf numFmtId="0" fontId="1" fillId="35" borderId="19" xfId="2" applyFont="1" applyFill="1" applyBorder="1"/>
    <xf numFmtId="182" fontId="31" fillId="35" borderId="0" xfId="2" applyNumberFormat="1" applyFont="1" applyFill="1" applyBorder="1"/>
    <xf numFmtId="5" fontId="1" fillId="35" borderId="0" xfId="57" applyNumberFormat="1" applyFont="1" applyFill="1" applyBorder="1"/>
    <xf numFmtId="0" fontId="1" fillId="35" borderId="0" xfId="2" applyFont="1" applyFill="1" applyBorder="1"/>
    <xf numFmtId="49" fontId="30" fillId="35" borderId="19" xfId="2" applyNumberFormat="1" applyFont="1" applyFill="1" applyBorder="1" applyAlignment="1">
      <alignment horizontal="center"/>
    </xf>
    <xf numFmtId="49" fontId="30" fillId="35" borderId="20" xfId="2" applyNumberFormat="1" applyFont="1" applyFill="1" applyBorder="1" applyAlignment="1">
      <alignment horizontal="center"/>
    </xf>
    <xf numFmtId="49" fontId="30" fillId="35" borderId="13" xfId="2" applyNumberFormat="1" applyFont="1" applyFill="1" applyBorder="1" applyAlignment="1">
      <alignment horizontal="center"/>
    </xf>
    <xf numFmtId="197" fontId="112" fillId="35" borderId="19" xfId="35" applyNumberFormat="1" applyFont="1" applyFill="1" applyBorder="1"/>
    <xf numFmtId="197" fontId="112" fillId="35" borderId="0" xfId="35" applyNumberFormat="1" applyFont="1" applyFill="1" applyBorder="1"/>
    <xf numFmtId="9" fontId="83" fillId="35" borderId="19" xfId="57" applyFont="1" applyFill="1" applyBorder="1"/>
    <xf numFmtId="9" fontId="83" fillId="35" borderId="0" xfId="57" applyFont="1" applyFill="1" applyBorder="1"/>
    <xf numFmtId="197" fontId="83" fillId="35" borderId="19" xfId="35" applyNumberFormat="1" applyFont="1" applyFill="1" applyBorder="1"/>
    <xf numFmtId="197" fontId="118" fillId="35" borderId="0" xfId="35" applyNumberFormat="1" applyFont="1" applyFill="1" applyBorder="1"/>
    <xf numFmtId="182" fontId="30" fillId="35" borderId="18" xfId="2" applyNumberFormat="1" applyFont="1" applyFill="1" applyBorder="1"/>
    <xf numFmtId="182" fontId="30" fillId="35" borderId="17" xfId="2" applyNumberFormat="1" applyFont="1" applyFill="1" applyBorder="1"/>
    <xf numFmtId="182" fontId="30" fillId="35" borderId="19" xfId="2" applyNumberFormat="1" applyFont="1" applyFill="1" applyBorder="1"/>
    <xf numFmtId="182" fontId="1" fillId="35" borderId="0" xfId="57" applyNumberFormat="1" applyFont="1" applyFill="1" applyBorder="1"/>
    <xf numFmtId="9" fontId="118" fillId="35" borderId="0" xfId="57" applyFont="1" applyFill="1" applyBorder="1"/>
    <xf numFmtId="182" fontId="30" fillId="35" borderId="0" xfId="57" applyNumberFormat="1" applyFont="1" applyFill="1" applyBorder="1"/>
    <xf numFmtId="182" fontId="30" fillId="35" borderId="0" xfId="2" applyNumberFormat="1" applyFont="1" applyFill="1" applyBorder="1"/>
    <xf numFmtId="0" fontId="0" fillId="35" borderId="19" xfId="0" applyFill="1" applyBorder="1"/>
    <xf numFmtId="0" fontId="0" fillId="35" borderId="0" xfId="0" applyFill="1"/>
    <xf numFmtId="199" fontId="1" fillId="35" borderId="0" xfId="2" applyNumberFormat="1" applyFont="1" applyFill="1" applyBorder="1"/>
    <xf numFmtId="210" fontId="30" fillId="35" borderId="19" xfId="0" applyNumberFormat="1" applyFont="1" applyFill="1" applyBorder="1"/>
    <xf numFmtId="210" fontId="30" fillId="35" borderId="0" xfId="0" applyNumberFormat="1" applyFont="1" applyFill="1"/>
    <xf numFmtId="0" fontId="0" fillId="35" borderId="0" xfId="0" applyFill="1" applyBorder="1"/>
    <xf numFmtId="5" fontId="1" fillId="35" borderId="20" xfId="2" applyNumberFormat="1" applyFont="1" applyFill="1" applyBorder="1"/>
    <xf numFmtId="5" fontId="1" fillId="35" borderId="13" xfId="2" applyNumberFormat="1" applyFont="1" applyFill="1" applyBorder="1"/>
    <xf numFmtId="5" fontId="30" fillId="35" borderId="19" xfId="2" applyNumberFormat="1" applyFont="1" applyFill="1" applyBorder="1"/>
    <xf numFmtId="5" fontId="30" fillId="35" borderId="0" xfId="2" applyNumberFormat="1" applyFont="1" applyFill="1"/>
    <xf numFmtId="5" fontId="30" fillId="35" borderId="0" xfId="2" applyNumberFormat="1" applyFont="1" applyFill="1" applyBorder="1"/>
    <xf numFmtId="5" fontId="30" fillId="35" borderId="21" xfId="2" applyNumberFormat="1" applyFont="1" applyFill="1" applyBorder="1"/>
    <xf numFmtId="220" fontId="1" fillId="35" borderId="19" xfId="35" applyNumberFormat="1" applyFont="1" applyFill="1" applyBorder="1"/>
    <xf numFmtId="220" fontId="1" fillId="35" borderId="0" xfId="35" applyNumberFormat="1" applyFont="1" applyFill="1"/>
    <xf numFmtId="220" fontId="1" fillId="35" borderId="0" xfId="35" applyNumberFormat="1" applyFont="1" applyFill="1" applyBorder="1"/>
    <xf numFmtId="9" fontId="83" fillId="35" borderId="19" xfId="2" applyNumberFormat="1" applyFont="1" applyFill="1" applyBorder="1"/>
    <xf numFmtId="9" fontId="83" fillId="35" borderId="0" xfId="2" applyNumberFormat="1" applyFont="1" applyFill="1" applyBorder="1"/>
    <xf numFmtId="5" fontId="30" fillId="35" borderId="66" xfId="2" applyNumberFormat="1" applyFont="1" applyFill="1" applyBorder="1"/>
    <xf numFmtId="5" fontId="30" fillId="35" borderId="43" xfId="2" applyNumberFormat="1" applyFont="1" applyFill="1" applyBorder="1"/>
    <xf numFmtId="5" fontId="30" fillId="35" borderId="19" xfId="0" applyNumberFormat="1" applyFont="1" applyFill="1" applyBorder="1" applyAlignment="1">
      <alignment horizontal="center"/>
    </xf>
    <xf numFmtId="5" fontId="30" fillId="35" borderId="0" xfId="0" applyNumberFormat="1" applyFont="1" applyFill="1" applyBorder="1" applyAlignment="1">
      <alignment horizontal="center"/>
    </xf>
    <xf numFmtId="5" fontId="83" fillId="35" borderId="0" xfId="35" applyNumberFormat="1" applyFont="1" applyFill="1" applyBorder="1"/>
    <xf numFmtId="0" fontId="0" fillId="35" borderId="20" xfId="0" applyFill="1" applyBorder="1"/>
    <xf numFmtId="0" fontId="47" fillId="17" borderId="0" xfId="2" applyFont="1" applyFill="1" applyBorder="1" applyAlignment="1">
      <alignment wrapText="1"/>
    </xf>
    <xf numFmtId="10" fontId="6" fillId="17" borderId="0" xfId="57" quotePrefix="1" applyNumberFormat="1" applyFont="1" applyFill="1" applyBorder="1" applyAlignment="1">
      <alignment horizontal="right"/>
    </xf>
    <xf numFmtId="10" fontId="6" fillId="17" borderId="14" xfId="57" applyNumberFormat="1" applyFont="1" applyFill="1" applyBorder="1" applyAlignment="1">
      <alignment horizontal="right"/>
    </xf>
    <xf numFmtId="10" fontId="6" fillId="17" borderId="14" xfId="57" quotePrefix="1" applyNumberFormat="1" applyFont="1" applyFill="1" applyBorder="1" applyAlignment="1">
      <alignment horizontal="right"/>
    </xf>
    <xf numFmtId="10" fontId="124" fillId="17" borderId="0" xfId="57" quotePrefix="1" applyNumberFormat="1" applyFont="1" applyFill="1" applyBorder="1" applyAlignment="1">
      <alignment horizontal="right"/>
    </xf>
    <xf numFmtId="10" fontId="124" fillId="17" borderId="14" xfId="57" quotePrefix="1" applyNumberFormat="1" applyFont="1" applyFill="1" applyBorder="1" applyAlignment="1">
      <alignment horizontal="right"/>
    </xf>
    <xf numFmtId="10" fontId="76" fillId="17" borderId="14" xfId="57" applyNumberFormat="1" applyFont="1" applyFill="1" applyBorder="1"/>
    <xf numFmtId="10" fontId="6" fillId="17" borderId="0" xfId="50" quotePrefix="1" applyNumberFormat="1" applyFont="1" applyFill="1" applyBorder="1" applyAlignment="1">
      <alignment horizontal="right"/>
    </xf>
    <xf numFmtId="171" fontId="76" fillId="17" borderId="0" xfId="57" applyNumberFormat="1" applyFont="1" applyFill="1"/>
    <xf numFmtId="171" fontId="76" fillId="17" borderId="14" xfId="50" applyNumberFormat="1" applyFont="1" applyFill="1" applyBorder="1"/>
    <xf numFmtId="5" fontId="58" fillId="33" borderId="12" xfId="50" applyNumberFormat="1" applyFont="1" applyFill="1" applyBorder="1"/>
    <xf numFmtId="5" fontId="40" fillId="33" borderId="12" xfId="50" applyNumberFormat="1" applyFont="1" applyFill="1" applyBorder="1"/>
    <xf numFmtId="5" fontId="40" fillId="33" borderId="21" xfId="50" applyNumberFormat="1" applyFont="1" applyFill="1" applyBorder="1"/>
    <xf numFmtId="9" fontId="40" fillId="33" borderId="0" xfId="50" applyNumberFormat="1" applyFont="1" applyFill="1" applyBorder="1"/>
    <xf numFmtId="9" fontId="40" fillId="33" borderId="19" xfId="50" applyNumberFormat="1" applyFont="1" applyFill="1" applyBorder="1"/>
    <xf numFmtId="9" fontId="135" fillId="33" borderId="0" xfId="50" applyNumberFormat="1" applyFont="1" applyFill="1" applyBorder="1"/>
    <xf numFmtId="9" fontId="40" fillId="33" borderId="13" xfId="50" applyNumberFormat="1" applyFont="1" applyFill="1" applyBorder="1"/>
    <xf numFmtId="9" fontId="39" fillId="33" borderId="13" xfId="50" applyNumberFormat="1" applyFont="1" applyFill="1" applyBorder="1"/>
    <xf numFmtId="9" fontId="40" fillId="33" borderId="20" xfId="50" applyNumberFormat="1" applyFont="1" applyFill="1" applyBorder="1"/>
    <xf numFmtId="0" fontId="30" fillId="31" borderId="0" xfId="0" applyFont="1" applyFill="1"/>
    <xf numFmtId="1" fontId="36" fillId="25" borderId="0" xfId="35" applyNumberFormat="1" applyFont="1" applyFill="1" applyBorder="1"/>
    <xf numFmtId="9" fontId="117" fillId="28" borderId="13" xfId="57" applyFont="1" applyFill="1" applyBorder="1"/>
    <xf numFmtId="175" fontId="30" fillId="0" borderId="0" xfId="71" applyNumberFormat="1" applyFont="1" applyBorder="1" applyAlignment="1">
      <alignment horizontal="right"/>
    </xf>
    <xf numFmtId="9" fontId="40" fillId="17" borderId="0" xfId="57" applyFont="1" applyFill="1" applyBorder="1" applyAlignment="1">
      <alignment horizontal="right"/>
    </xf>
    <xf numFmtId="231" fontId="40" fillId="17" borderId="23" xfId="2" applyNumberFormat="1" applyFont="1" applyFill="1" applyBorder="1" applyAlignment="1">
      <alignment horizontal="right"/>
    </xf>
    <xf numFmtId="5" fontId="1" fillId="0" borderId="0" xfId="57" applyNumberFormat="1" applyBorder="1" applyAlignment="1">
      <alignment horizontal="right"/>
    </xf>
    <xf numFmtId="15" fontId="39" fillId="17" borderId="0" xfId="2" applyNumberFormat="1" applyFont="1" applyFill="1"/>
    <xf numFmtId="15" fontId="39" fillId="17" borderId="0" xfId="2" applyNumberFormat="1" applyFont="1" applyFill="1" applyAlignment="1">
      <alignment wrapText="1"/>
    </xf>
    <xf numFmtId="0" fontId="39" fillId="17" borderId="34" xfId="2" applyFont="1" applyFill="1" applyBorder="1"/>
    <xf numFmtId="0" fontId="56" fillId="17" borderId="17" xfId="2" applyFont="1" applyFill="1" applyBorder="1"/>
    <xf numFmtId="0" fontId="39" fillId="17" borderId="17" xfId="71" applyFont="1" applyFill="1" applyBorder="1"/>
    <xf numFmtId="0" fontId="39" fillId="17" borderId="35" xfId="2" applyFont="1" applyFill="1" applyBorder="1"/>
    <xf numFmtId="166" fontId="120" fillId="0" borderId="9" xfId="71" applyNumberFormat="1" applyFont="1" applyFill="1" applyBorder="1" applyAlignment="1">
      <alignment horizontal="right"/>
    </xf>
    <xf numFmtId="9" fontId="1" fillId="17" borderId="0" xfId="57" applyNumberFormat="1" applyFont="1" applyFill="1"/>
    <xf numFmtId="9" fontId="40" fillId="17" borderId="0" xfId="57" applyFont="1" applyFill="1"/>
    <xf numFmtId="0" fontId="77" fillId="20" borderId="17" xfId="2" applyFont="1" applyFill="1" applyBorder="1" applyAlignment="1">
      <alignment horizontal="center"/>
    </xf>
    <xf numFmtId="5" fontId="6" fillId="17" borderId="0" xfId="50" applyNumberFormat="1" applyFont="1" applyFill="1" applyBorder="1"/>
    <xf numFmtId="5" fontId="6" fillId="24" borderId="0" xfId="50" applyNumberFormat="1" applyFont="1" applyFill="1" applyBorder="1"/>
    <xf numFmtId="9" fontId="40" fillId="34" borderId="0" xfId="57" applyFont="1" applyFill="1" applyBorder="1"/>
    <xf numFmtId="9" fontId="40" fillId="34" borderId="13" xfId="50" applyNumberFormat="1" applyFont="1" applyFill="1" applyBorder="1"/>
    <xf numFmtId="9" fontId="82" fillId="34" borderId="0" xfId="50" applyNumberFormat="1" applyFont="1" applyFill="1" applyBorder="1"/>
    <xf numFmtId="38" fontId="56" fillId="34" borderId="0" xfId="50" applyFont="1" applyFill="1" applyBorder="1"/>
    <xf numFmtId="38" fontId="41" fillId="34" borderId="0" xfId="50" applyFont="1" applyFill="1" applyBorder="1"/>
    <xf numFmtId="10" fontId="39" fillId="34" borderId="0" xfId="57" applyNumberFormat="1" applyFont="1" applyFill="1" applyBorder="1" applyAlignment="1">
      <alignment horizontal="right"/>
    </xf>
    <xf numFmtId="38" fontId="56" fillId="34" borderId="0" xfId="50" applyFont="1" applyFill="1" applyBorder="1" applyAlignment="1">
      <alignment horizontal="right"/>
    </xf>
    <xf numFmtId="10" fontId="56" fillId="34" borderId="0" xfId="50" applyNumberFormat="1" applyFont="1" applyFill="1" applyBorder="1"/>
    <xf numFmtId="38" fontId="54" fillId="34" borderId="0" xfId="50" applyFont="1" applyFill="1" applyBorder="1"/>
    <xf numFmtId="38" fontId="105" fillId="34" borderId="0" xfId="50" applyFont="1" applyFill="1" applyBorder="1"/>
    <xf numFmtId="38" fontId="104" fillId="34" borderId="0" xfId="50" applyFont="1" applyFill="1" applyBorder="1"/>
    <xf numFmtId="0" fontId="101" fillId="34" borderId="0" xfId="2" applyFont="1" applyFill="1" applyBorder="1"/>
    <xf numFmtId="197" fontId="1" fillId="0" borderId="0" xfId="35" applyNumberFormat="1" applyFont="1" applyBorder="1" applyAlignment="1">
      <alignment horizontal="right"/>
    </xf>
    <xf numFmtId="194" fontId="54" fillId="17" borderId="0" xfId="50" applyNumberFormat="1" applyFont="1" applyFill="1" applyBorder="1" applyAlignment="1">
      <alignment horizontal="right"/>
    </xf>
    <xf numFmtId="194" fontId="54" fillId="17" borderId="0" xfId="37" applyNumberFormat="1" applyFont="1" applyFill="1" applyBorder="1" applyAlignment="1">
      <alignment horizontal="right"/>
    </xf>
    <xf numFmtId="194" fontId="124" fillId="28" borderId="0" xfId="37" applyNumberFormat="1" applyFont="1" applyFill="1" applyBorder="1" applyAlignment="1">
      <alignment horizontal="right"/>
    </xf>
    <xf numFmtId="9" fontId="76" fillId="17" borderId="0" xfId="57" applyFont="1" applyFill="1" applyBorder="1"/>
    <xf numFmtId="194" fontId="124" fillId="17" borderId="0" xfId="37" applyNumberFormat="1" applyFont="1" applyFill="1" applyBorder="1" applyAlignment="1">
      <alignment horizontal="right"/>
    </xf>
    <xf numFmtId="9" fontId="6" fillId="24" borderId="0" xfId="50" applyNumberFormat="1" applyFont="1" applyFill="1" applyBorder="1"/>
    <xf numFmtId="171" fontId="6" fillId="24" borderId="0" xfId="50" applyNumberFormat="1" applyFont="1" applyFill="1" applyBorder="1"/>
    <xf numFmtId="194" fontId="54" fillId="34" borderId="0" xfId="37" applyNumberFormat="1" applyFont="1" applyFill="1" applyBorder="1" applyAlignment="1">
      <alignment horizontal="right"/>
    </xf>
    <xf numFmtId="197" fontId="39" fillId="34" borderId="0" xfId="35" applyNumberFormat="1" applyFont="1" applyFill="1" applyBorder="1"/>
    <xf numFmtId="197" fontId="39" fillId="34" borderId="11" xfId="35" applyNumberFormat="1" applyFont="1" applyFill="1" applyBorder="1"/>
    <xf numFmtId="9" fontId="39" fillId="34" borderId="17" xfId="50" applyNumberFormat="1" applyFont="1" applyFill="1" applyBorder="1"/>
    <xf numFmtId="43" fontId="54" fillId="34" borderId="0" xfId="50" applyNumberFormat="1" applyFont="1" applyFill="1" applyBorder="1"/>
    <xf numFmtId="220" fontId="56" fillId="34" borderId="0" xfId="35" applyNumberFormat="1" applyFont="1" applyFill="1" applyBorder="1"/>
    <xf numFmtId="10" fontId="54" fillId="34" borderId="0" xfId="57" applyNumberFormat="1" applyFont="1" applyFill="1" applyBorder="1"/>
    <xf numFmtId="40" fontId="39" fillId="34" borderId="0" xfId="50" applyNumberFormat="1" applyFont="1" applyFill="1" applyBorder="1" applyAlignment="1">
      <alignment horizontal="right"/>
    </xf>
    <xf numFmtId="171" fontId="39" fillId="34" borderId="0" xfId="57" applyNumberFormat="1" applyFont="1" applyFill="1" applyBorder="1" applyAlignment="1">
      <alignment horizontal="right"/>
    </xf>
    <xf numFmtId="194" fontId="54" fillId="34" borderId="0" xfId="50" applyNumberFormat="1" applyFont="1" applyFill="1" applyBorder="1" applyAlignment="1">
      <alignment horizontal="right"/>
    </xf>
    <xf numFmtId="193" fontId="54" fillId="34" borderId="0" xfId="50" applyNumberFormat="1" applyFont="1" applyFill="1" applyBorder="1"/>
    <xf numFmtId="171" fontId="76" fillId="17" borderId="51" xfId="57" applyNumberFormat="1" applyFont="1" applyFill="1" applyBorder="1"/>
    <xf numFmtId="171" fontId="76" fillId="17" borderId="14" xfId="57" applyNumberFormat="1" applyFont="1" applyFill="1" applyBorder="1"/>
    <xf numFmtId="171" fontId="36" fillId="24" borderId="51" xfId="50" applyNumberFormat="1" applyFont="1" applyFill="1" applyBorder="1"/>
    <xf numFmtId="171" fontId="36" fillId="24" borderId="14" xfId="50" applyNumberFormat="1" applyFont="1" applyFill="1" applyBorder="1"/>
    <xf numFmtId="169" fontId="45" fillId="17" borderId="19" xfId="49" applyNumberFormat="1" applyFont="1" applyFill="1" applyBorder="1"/>
    <xf numFmtId="169" fontId="45" fillId="17" borderId="0" xfId="49" applyNumberFormat="1" applyFont="1" applyFill="1" applyBorder="1"/>
    <xf numFmtId="0" fontId="77" fillId="20" borderId="34" xfId="2" applyFont="1" applyFill="1" applyBorder="1" applyAlignment="1">
      <alignment horizontal="center"/>
    </xf>
    <xf numFmtId="0" fontId="77" fillId="20" borderId="17" xfId="2" applyFont="1" applyFill="1" applyBorder="1" applyAlignment="1">
      <alignment horizontal="center"/>
    </xf>
    <xf numFmtId="0" fontId="77" fillId="20" borderId="35" xfId="2" applyFont="1" applyFill="1" applyBorder="1" applyAlignment="1">
      <alignment horizontal="center"/>
    </xf>
    <xf numFmtId="210" fontId="83" fillId="0" borderId="0" xfId="35" applyNumberFormat="1" applyFont="1" applyFill="1" applyBorder="1"/>
    <xf numFmtId="210" fontId="83" fillId="0" borderId="19" xfId="57" applyNumberFormat="1" applyFont="1" applyFill="1" applyBorder="1"/>
    <xf numFmtId="9" fontId="117" fillId="28" borderId="13" xfId="2" applyNumberFormat="1" applyFont="1" applyFill="1" applyBorder="1"/>
    <xf numFmtId="5" fontId="130" fillId="25" borderId="0" xfId="0" applyNumberFormat="1" applyFont="1" applyFill="1"/>
    <xf numFmtId="7" fontId="40" fillId="17" borderId="23" xfId="2" applyNumberFormat="1" applyFont="1" applyFill="1" applyBorder="1" applyAlignment="1">
      <alignment horizontal="right"/>
    </xf>
    <xf numFmtId="0" fontId="1" fillId="18" borderId="0" xfId="75" applyFont="1" applyFill="1" applyAlignment="1">
      <alignment vertical="top"/>
    </xf>
    <xf numFmtId="0" fontId="143" fillId="18" borderId="0" xfId="76" applyFill="1" applyAlignment="1">
      <alignment vertical="top"/>
    </xf>
    <xf numFmtId="0" fontId="143" fillId="18" borderId="0" xfId="76" applyFill="1"/>
    <xf numFmtId="0" fontId="37" fillId="18" borderId="0" xfId="75" applyFont="1" applyFill="1" applyAlignment="1">
      <alignment horizontal="left" vertical="top"/>
    </xf>
    <xf numFmtId="0" fontId="1" fillId="18" borderId="0" xfId="76" applyFont="1" applyFill="1" applyAlignment="1">
      <alignment vertical="top"/>
    </xf>
    <xf numFmtId="0" fontId="83" fillId="18" borderId="0" xfId="75" applyFont="1" applyFill="1" applyAlignment="1">
      <alignment vertical="top"/>
    </xf>
    <xf numFmtId="0" fontId="0" fillId="18" borderId="0" xfId="0" applyFill="1" applyAlignment="1">
      <alignment vertical="top"/>
    </xf>
    <xf numFmtId="0" fontId="144" fillId="18" borderId="0" xfId="0" applyFont="1" applyFill="1" applyAlignment="1">
      <alignment vertical="top"/>
    </xf>
    <xf numFmtId="0" fontId="145" fillId="18" borderId="0" xfId="0" applyFont="1" applyFill="1" applyAlignment="1">
      <alignment vertical="top"/>
    </xf>
    <xf numFmtId="0" fontId="145" fillId="18" borderId="0" xfId="0" applyFont="1" applyFill="1" applyAlignment="1">
      <alignment vertical="top"/>
    </xf>
    <xf numFmtId="0" fontId="144" fillId="18" borderId="0" xfId="0" applyFont="1" applyFill="1" applyAlignment="1">
      <alignment vertical="top"/>
    </xf>
    <xf numFmtId="0" fontId="0" fillId="18" borderId="0" xfId="0" applyFill="1" applyAlignment="1">
      <alignment vertical="top"/>
    </xf>
    <xf numFmtId="0" fontId="0" fillId="18" borderId="84" xfId="0" applyFill="1" applyBorder="1" applyAlignment="1">
      <alignment vertical="top"/>
    </xf>
    <xf numFmtId="0" fontId="144" fillId="18" borderId="80" xfId="0" applyFont="1" applyFill="1" applyBorder="1" applyAlignment="1">
      <alignment vertical="top"/>
    </xf>
    <xf numFmtId="0" fontId="144" fillId="18" borderId="81" xfId="0" applyFont="1" applyFill="1" applyBorder="1" applyAlignment="1">
      <alignment vertical="top"/>
    </xf>
    <xf numFmtId="0" fontId="144" fillId="18" borderId="82" xfId="0" applyFont="1" applyFill="1" applyBorder="1" applyAlignment="1">
      <alignment vertical="top"/>
    </xf>
    <xf numFmtId="0" fontId="144" fillId="18" borderId="83" xfId="0" applyFont="1" applyFill="1" applyBorder="1" applyAlignment="1">
      <alignment vertical="top"/>
    </xf>
    <xf numFmtId="9" fontId="144" fillId="18" borderId="80" xfId="0" applyNumberFormat="1" applyFont="1" applyFill="1" applyBorder="1" applyAlignment="1">
      <alignment vertical="top"/>
    </xf>
    <xf numFmtId="3" fontId="144" fillId="18" borderId="80" xfId="0" applyNumberFormat="1" applyFont="1" applyFill="1" applyBorder="1" applyAlignment="1">
      <alignment vertical="top"/>
    </xf>
    <xf numFmtId="0" fontId="0" fillId="18" borderId="85" xfId="0" applyFill="1" applyBorder="1" applyAlignment="1">
      <alignment vertical="top"/>
    </xf>
    <xf numFmtId="2" fontId="1" fillId="0" borderId="0" xfId="69" applyNumberFormat="1" applyAlignment="1">
      <alignment horizontal="left"/>
    </xf>
    <xf numFmtId="0" fontId="1" fillId="0" borderId="0" xfId="69" applyNumberFormat="1" applyAlignment="1">
      <alignment horizontal="left"/>
    </xf>
    <xf numFmtId="1" fontId="1" fillId="0" borderId="0" xfId="69" applyNumberFormat="1" applyAlignment="1">
      <alignment horizontal="left"/>
    </xf>
    <xf numFmtId="0" fontId="1" fillId="0" borderId="0" xfId="69" applyFont="1"/>
    <xf numFmtId="239" fontId="1" fillId="0" borderId="0" xfId="69" applyNumberFormat="1" applyAlignment="1">
      <alignment horizontal="left"/>
    </xf>
    <xf numFmtId="49" fontId="1" fillId="0" borderId="0" xfId="69" applyNumberFormat="1"/>
  </cellXfs>
  <cellStyles count="77">
    <cellStyle name="%" xfId="1"/>
    <cellStyle name="******************************************" xfId="2"/>
    <cellStyle name="****************************************** 2" xfId="71"/>
    <cellStyle name="_Google Inc_Draft_112907_OPT for MSFT" xfId="3"/>
    <cellStyle name="_SUMMARY " xfId="4"/>
    <cellStyle name="0_Capex &amp; Depreciation " xfId="5"/>
    <cellStyle name="0_Valuing BP " xfId="6"/>
    <cellStyle name="20% - Accent1" xfId="7" builtinId="30" customBuiltin="1"/>
    <cellStyle name="20% - Accent2" xfId="8" builtinId="34" customBuiltin="1"/>
    <cellStyle name="20% - Accent3" xfId="9" builtinId="38" customBuiltin="1"/>
    <cellStyle name="20% - Accent4" xfId="10" builtinId="42" customBuiltin="1"/>
    <cellStyle name="20% - Accent5" xfId="11" builtinId="46" customBuiltin="1"/>
    <cellStyle name="20% - Accent6" xfId="12" builtinId="50" customBuiltin="1"/>
    <cellStyle name="40% - Accent1" xfId="13" builtinId="31" customBuiltin="1"/>
    <cellStyle name="40% - Accent2" xfId="14" builtinId="35" customBuiltin="1"/>
    <cellStyle name="40% - Accent3" xfId="15" builtinId="39" customBuiltin="1"/>
    <cellStyle name="40% - Accent4" xfId="16" builtinId="43" customBuiltin="1"/>
    <cellStyle name="40% - Accent5" xfId="17" builtinId="47" customBuiltin="1"/>
    <cellStyle name="40% - Accent6" xfId="18" builtinId="51" customBuiltin="1"/>
    <cellStyle name="60% - Accent1" xfId="19" builtinId="32" customBuiltin="1"/>
    <cellStyle name="60% - Accent2" xfId="20" builtinId="36" customBuiltin="1"/>
    <cellStyle name="60% - Accent3" xfId="21" builtinId="40" customBuiltin="1"/>
    <cellStyle name="60% - Accent4" xfId="22" builtinId="44" customBuiltin="1"/>
    <cellStyle name="60% - Accent5" xfId="23" builtinId="48" customBuiltin="1"/>
    <cellStyle name="60% - Accent6" xfId="24" builtinId="52" customBuiltin="1"/>
    <cellStyle name="Accent1" xfId="25" builtinId="29" customBuiltin="1"/>
    <cellStyle name="Accent2" xfId="26" builtinId="33" customBuiltin="1"/>
    <cellStyle name="Accent3" xfId="27" builtinId="37" customBuiltin="1"/>
    <cellStyle name="Accent4" xfId="28" builtinId="41" customBuiltin="1"/>
    <cellStyle name="Accent5" xfId="29" builtinId="45" customBuiltin="1"/>
    <cellStyle name="Accent6" xfId="30" builtinId="49" customBuiltin="1"/>
    <cellStyle name="Bad" xfId="31" builtinId="27" customBuiltin="1"/>
    <cellStyle name="c_HardInc " xfId="32"/>
    <cellStyle name="Calculation" xfId="33" builtinId="22" customBuiltin="1"/>
    <cellStyle name="Check Cell" xfId="34" builtinId="23" customBuiltin="1"/>
    <cellStyle name="Comma" xfId="35" builtinId="3"/>
    <cellStyle name="Comma_ERTS Dorr Version 22" xfId="36"/>
    <cellStyle name="Comma_MSFT_042408" xfId="37"/>
    <cellStyle name="Currency" xfId="38" builtinId="4"/>
    <cellStyle name="Explanatory Text" xfId="39" builtinId="53" customBuiltin="1"/>
    <cellStyle name="Good" xfId="40" builtinId="26" customBuiltin="1"/>
    <cellStyle name="Heading 1" xfId="41" builtinId="16" customBuiltin="1"/>
    <cellStyle name="Heading 2" xfId="42" builtinId="17" customBuiltin="1"/>
    <cellStyle name="Heading 3" xfId="43" builtinId="18" customBuiltin="1"/>
    <cellStyle name="Heading 4" xfId="44" builtinId="19" customBuiltin="1"/>
    <cellStyle name="Input" xfId="45" builtinId="20" customBuiltin="1"/>
    <cellStyle name="KP_Normal" xfId="46"/>
    <cellStyle name="Linked Cell" xfId="47" builtinId="24" customBuiltin="1"/>
    <cellStyle name="Neutral" xfId="48" builtinId="28" customBuiltin="1"/>
    <cellStyle name="Normal" xfId="0" builtinId="0" customBuiltin="1"/>
    <cellStyle name="Normal 2" xfId="76"/>
    <cellStyle name="Normal 3" xfId="69"/>
    <cellStyle name="Normal 4" xfId="70"/>
    <cellStyle name="Normal_DisclaimerSheet Samples" xfId="75"/>
    <cellStyle name="Normal_ERTS Dorr Version 19" xfId="49"/>
    <cellStyle name="Normal_MSFT_042408" xfId="50"/>
    <cellStyle name="Normal_Options_Analyis_03Apr25" xfId="51"/>
    <cellStyle name="Normal_UPL Valuation v7" xfId="52"/>
    <cellStyle name="Normal_YHOO" xfId="53"/>
    <cellStyle name="Note" xfId="54" builtinId="10" customBuiltin="1"/>
    <cellStyle name="Output" xfId="55" builtinId="21" customBuiltin="1"/>
    <cellStyle name="p " xfId="56"/>
    <cellStyle name="Percent" xfId="57" builtinId="5"/>
    <cellStyle name="Percent_MSFT_042408" xfId="58"/>
    <cellStyle name="Right" xfId="59"/>
    <cellStyle name="RRSInstruction" xfId="72"/>
    <cellStyle name="s_HardInc " xfId="60"/>
    <cellStyle name="s_Valuation " xfId="61"/>
    <cellStyle name="ssp " xfId="62"/>
    <cellStyle name="Style 1" xfId="63"/>
    <cellStyle name="Title" xfId="64" builtinId="15" customBuiltin="1"/>
    <cellStyle name="title1" xfId="65"/>
    <cellStyle name="title2" xfId="66"/>
    <cellStyle name="Total" xfId="67" builtinId="25" customBuiltin="1"/>
    <cellStyle name="Warning Text" xfId="68" builtinId="11" customBuiltin="1"/>
    <cellStyle name="콤마 [0]_#3이설 견적_준공내역총괄표 " xfId="73"/>
    <cellStyle name="콤마_#3이설 견적_준공내역총괄표 " xfId="7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74BE74"/>
      <rgbColor rgb="002270AB"/>
      <rgbColor rgb="00F8CD14"/>
      <rgbColor rgb="00F26163"/>
      <rgbColor rgb="00A8D7E2"/>
      <rgbColor rgb="00B2122B"/>
      <rgbColor rgb="00238B45"/>
      <rgbColor rgb="001B4694"/>
      <rgbColor rgb="0041A95C"/>
      <rgbColor rgb="00800080"/>
      <rgbColor rgb="00238B45"/>
      <rgbColor rgb="00C0C0C0"/>
      <rgbColor rgb="00808080"/>
      <rgbColor rgb="00137CB1"/>
      <rgbColor rgb="00EACC80"/>
      <rgbColor rgb="004AAC6B"/>
      <rgbColor rgb="00A8D7E2"/>
      <rgbColor rgb="00E58061"/>
      <rgbColor rgb="00BCE3A1"/>
      <rgbColor rgb="008E466A"/>
      <rgbColor rgb="00F3A7A9"/>
      <rgbColor rgb="001275A6"/>
      <rgbColor rgb="00E5BF61"/>
      <rgbColor rgb="004AAC6B"/>
      <rgbColor rgb="0097D0DD"/>
      <rgbColor rgb="00763A58"/>
      <rgbColor rgb="00EF8D8F"/>
      <rgbColor rgb="00E2704C"/>
      <rgbColor rgb="00A5D981"/>
      <rgbColor rgb="0069ADCA"/>
      <rgbColor rgb="00C6D9E2"/>
      <rgbColor rgb="00E3EEDE"/>
      <rgbColor rgb="00F3EEA1"/>
      <rgbColor rgb="009DC9DC"/>
      <rgbColor rgb="00EFC1D2"/>
      <rgbColor rgb="009DC9DC"/>
      <rgbColor rgb="00EFC49F"/>
      <rgbColor rgb="004091BF"/>
      <rgbColor rgb="0097D0DD"/>
      <rgbColor rgb="00A5D981"/>
      <rgbColor rgb="00F8CD14"/>
      <rgbColor rgb="00EACC80"/>
      <rgbColor rgb="00FC7114"/>
      <rgbColor rgb="004091BF"/>
      <rgbColor rgb="00969696"/>
      <rgbColor rgb="00003366"/>
      <rgbColor rgb="0041A95C"/>
      <rgbColor rgb="00125A31"/>
      <rgbColor rgb="00125A31"/>
      <rgbColor rgb="00DDDDDD"/>
      <rgbColor rgb="008E466A"/>
      <rgbColor rgb="001B4694"/>
      <rgbColor rgb="00333333"/>
    </indexedColors>
    <mruColors>
      <color rgb="FF4AAC6B"/>
      <color rgb="FF137CB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thomsononeaddinshim.rtdformula">
      <tp t="s">
        <v xml:space="preserve">$96,239                                          </v>
        <stp/>
        <stp>b892d5cf-5809-43b1-8ed9-ec3d6bcdedae</stp>
        <tr r="ER114" s="7"/>
      </tp>
      <tp t="s">
        <v xml:space="preserve">Manual Calculation                                        </v>
        <stp/>
        <stp>67a4b3f2-7b49-446e-adbb-6809265c3282</stp>
        <tr r="EF115" s="7"/>
      </tp>
      <tp t="s">
        <v xml:space="preserve">Manual Calculation                                        </v>
        <stp/>
        <stp>40eb6bec-877f-4536-a0d0-6f9d7b20e5ba</stp>
        <tr r="EE116" s="7"/>
      </tp>
      <tp t="s">
        <v xml:space="preserve">Manual Calculation                                        </v>
        <stp/>
        <stp>7f7ef134-2b71-4cc8-a1c6-de8eac12349f</stp>
        <tr r="EE115" s="7"/>
      </tp>
      <tp t="s">
        <v xml:space="preserve">$2.42                                          </v>
        <stp/>
        <stp>3cea1d7c-acbe-4050-bff8-a732e02439cc</stp>
        <tr r="EH116" s="7"/>
      </tp>
      <tp t="s">
        <v xml:space="preserve">$3.03                                          </v>
        <stp/>
        <stp>45f5fa36-0ba5-413d-aee8-019b78248c11</stp>
        <tr r="ER116" s="7"/>
      </tp>
      <tp t="s">
        <v xml:space="preserve">$91,525                                          </v>
        <stp/>
        <stp>9e679cf5-7ae6-466b-bca1-ab4fefa62737</stp>
        <tr r="EM114" s="7"/>
      </tp>
      <tp t="s">
        <v xml:space="preserve">Manual Calculation                                        </v>
        <stp/>
        <stp>4529592c-8b24-4b21-9ab3-021895262acb</stp>
        <tr r="EL116" s="7"/>
      </tp>
      <tp t="s">
        <v xml:space="preserve">Manual Calculation                                        </v>
        <stp/>
        <stp>1f4a22ef-dfd7-415a-b382-77e1f9a79e83</stp>
        <tr r="EJ115" s="7"/>
      </tp>
      <tp t="s">
        <v xml:space="preserve">Manual Calculation                                        </v>
        <stp/>
        <stp>83dd9b49-50b3-461b-971e-21265fc19cf7</stp>
        <tr r="EK115" s="7"/>
      </tp>
      <tp t="s">
        <v xml:space="preserve">Manual Calculation                                        </v>
        <stp/>
        <stp>c89ec0ed-57c0-4e61-9d94-45e862cee709</stp>
        <tr r="EG115" s="7"/>
      </tp>
      <tp t="s">
        <v xml:space="preserve">Manual Calculation                                        </v>
        <stp/>
        <stp>ff931343-35cd-451e-a963-a4ff21ed555e</stp>
        <tr r="EG116" s="7"/>
      </tp>
      <tp t="s">
        <v xml:space="preserve">Manual Calculation                                        </v>
        <stp/>
        <stp>d464ac59-ac39-4065-a0c0-97e9c5676d8a</stp>
        <tr r="EE114" s="7"/>
      </tp>
      <tp t="s">
        <v xml:space="preserve">$27,946                                          </v>
        <stp/>
        <stp>ed9a32cc-b4b5-46df-89f0-10f18a5e6b95</stp>
        <tr r="EM115" s="7"/>
      </tp>
      <tp t="s">
        <v xml:space="preserve">$93,478                                          </v>
        <stp/>
        <stp>5a9519a6-1ec0-4759-b8a3-a86f9d5f04df</stp>
        <tr r="EH114" s="7"/>
      </tp>
      <tp t="s">
        <v xml:space="preserve">Manual Calculation                                        </v>
        <stp/>
        <stp>94f2f518-aa19-4f02-8341-a85ccf076c1a</stp>
        <tr r="EG114" s="7"/>
      </tp>
      <tp t="s">
        <v xml:space="preserve">Manual Calculation                                        </v>
        <stp/>
        <stp>2285934d-e5f8-4dc2-82b4-994245aeed48</stp>
        <tr r="EI116" s="7"/>
      </tp>
      <tp t="s">
        <v xml:space="preserve">$26,362                                          </v>
        <stp/>
        <stp>49082078-d5b2-4041-ab53-428d92274531</stp>
        <tr r="EH115" s="7"/>
      </tp>
      <tp t="s">
        <v xml:space="preserve">Manual Calculation                                        </v>
        <stp/>
        <stp>80c3055d-8369-4b7a-9abb-baca179426bc</stp>
        <tr r="EL114" s="7"/>
      </tp>
      <tp t="s">
        <v xml:space="preserve">$2.67                                          </v>
        <stp/>
        <stp>4df2a96f-2498-477e-8e48-9d06f6885330</stp>
        <tr r="EM116" s="7"/>
      </tp>
      <tp t="s">
        <v xml:space="preserve">Manual Calculation                                        </v>
        <stp/>
        <stp>2e2d43a6-d33b-46d8-81f5-51cbf65b541f</stp>
        <tr r="EI115" s="7"/>
      </tp>
      <tp t="s">
        <v xml:space="preserve">Manual Calculation                                        </v>
        <stp/>
        <stp>d4114532-9080-4cc3-a3ec-e287efbfee18</stp>
        <tr r="EK114" s="7"/>
      </tp>
      <tp t="s">
        <v xml:space="preserve">Manual Calculation                                        </v>
        <stp/>
        <stp>17235066-0912-433a-9a32-b0061563f265</stp>
        <tr r="EL115" s="7"/>
      </tp>
      <tp t="s">
        <v xml:space="preserve">Manual Calculation                                        </v>
        <stp/>
        <stp>2815cba3-d8fc-490b-994d-0d2bd9ce5f27</stp>
        <tr r="EI114" s="7"/>
      </tp>
      <tp t="s">
        <v xml:space="preserve">Manual Calculation                                        </v>
        <stp/>
        <stp>6c3a1b47-13c0-47d3-af92-492a54255d31</stp>
        <tr r="EK116" s="7"/>
      </tp>
      <tp t="s">
        <v xml:space="preserve">Manual Calculation                                        </v>
        <stp/>
        <stp>794354fa-3698-45cf-86a5-ccf3c81fe127</stp>
        <tr r="EJ114" s="7"/>
      </tp>
      <tp t="s">
        <v xml:space="preserve">Manual Calculation                                        </v>
        <stp/>
        <stp>8190abad-22e2-412f-a317-3b3b3f534f92</stp>
        <tr r="EF114" s="7"/>
      </tp>
      <tp t="s">
        <v xml:space="preserve">Manual Calculation                                        </v>
        <stp/>
        <stp>8148ae6f-3f25-442e-bc9e-85f29b00e9d5</stp>
        <tr r="EF116" s="7"/>
      </tp>
      <tp t="s">
        <v xml:space="preserve">Manual Calculation                                        </v>
        <stp/>
        <stp>231efa5e-4683-4326-9480-b4b273c959e1</stp>
        <tr r="EJ116" s="7"/>
      </tp>
      <tp t="s">
        <v xml:space="preserve">$29,180                                          </v>
        <stp/>
        <stp>b3d95836-083f-48af-aac2-a215e87a5c17</stp>
        <tr r="ER115" s="7"/>
      </tp>
    </main>
  </volType>
</volTypes>
</file>

<file path=xl/_rels/workbook.xml.rels><?xml version="1.0" encoding="UTF-8" standalone="yes"?>
<Relationships xmlns="http://schemas.openxmlformats.org/package/2006/relationships">
<Relationship Id="rId1" Target="worksheets/sheet1.xml" Type="http://schemas.openxmlformats.org/officeDocument/2006/relationships/worksheet"/>
<Relationship Id="rId10" Target="worksheets/sheet10.xml" Type="http://schemas.openxmlformats.org/officeDocument/2006/relationships/worksheet"/>
<Relationship Id="rId11" Target="worksheets/sheet11.xml" Type="http://schemas.openxmlformats.org/officeDocument/2006/relationships/worksheet"/>
<Relationship Id="rId12" Target="worksheets/sheet12.xml" Type="http://schemas.openxmlformats.org/officeDocument/2006/relationships/worksheet"/>
<Relationship Id="rId13" Target="worksheets/sheet13.xml" Type="http://schemas.openxmlformats.org/officeDocument/2006/relationships/worksheet"/>
<Relationship Id="rId14" Target="worksheets/sheet14.xml" Type="http://schemas.openxmlformats.org/officeDocument/2006/relationships/worksheet"/>
<Relationship Id="rId15" Target="worksheets/sheet15.xml" Type="http://schemas.openxmlformats.org/officeDocument/2006/relationships/worksheet"/>
<Relationship Id="rId16" Target="worksheets/sheet16.xml" Type="http://schemas.openxmlformats.org/officeDocument/2006/relationships/worksheet"/>
<Relationship Id="rId17" Target="externalLinks/externalLink1.xml" Type="http://schemas.openxmlformats.org/officeDocument/2006/relationships/externalLink"/>
<Relationship Id="rId18" Target="theme/theme1.xml" Type="http://schemas.openxmlformats.org/officeDocument/2006/relationships/theme"/>
<Relationship Id="rId19" Target="styles.xml" Type="http://schemas.openxmlformats.org/officeDocument/2006/relationships/styles"/>
<Relationship Id="rId2" Target="worksheets/sheet2.xml" Type="http://schemas.openxmlformats.org/officeDocument/2006/relationships/worksheet"/>
<Relationship Id="rId20" Target="sharedStrings.xml" Type="http://schemas.openxmlformats.org/officeDocument/2006/relationships/sharedStrings"/>
<Relationship Id="rId21" Target="calcChain.xml" Type="http://schemas.openxmlformats.org/officeDocument/2006/relationships/calcChain"/>
<Relationship Id="rId22" Target="../customXml/item1.xml" Type="http://schemas.openxmlformats.org/officeDocument/2006/relationships/customXml"/>
<Relationship Id="rId23" Target="../customXml/item2.xml" Type="http://schemas.openxmlformats.org/officeDocument/2006/relationships/customXml"/>
<Relationship Id="rId24" Target="volatileDependencies.xml" Type="http://schemas.openxmlformats.org/officeDocument/2006/relationships/volatileDependencies"/>
<Relationship Id="rId3" Target="worksheets/sheet3.xml" Type="http://schemas.openxmlformats.org/officeDocument/2006/relationships/worksheet"/>
<Relationship Id="rId4" Target="worksheets/sheet4.xml" Type="http://schemas.openxmlformats.org/officeDocument/2006/relationships/worksheet"/>
<Relationship Id="rId5" Target="worksheets/sheet5.xml" Type="http://schemas.openxmlformats.org/officeDocument/2006/relationships/worksheet"/>
<Relationship Id="rId6" Target="worksheets/sheet6.xml" Type="http://schemas.openxmlformats.org/officeDocument/2006/relationships/worksheet"/>
<Relationship Id="rId7" Target="worksheets/sheet7.xml" Type="http://schemas.openxmlformats.org/officeDocument/2006/relationships/worksheet"/>
<Relationship Id="rId8" Target="worksheets/sheet8.xml" Type="http://schemas.openxmlformats.org/officeDocument/2006/relationships/worksheet"/>
<Relationship Id="rId9" Target="worksheets/sheet9.xml" Type="http://schemas.openxmlformats.org/officeDocument/2006/relationships/worksheet"/>
</Relationships>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100"/>
              <a:t>PC Unit Growth YoY Assumed in MSFT Model</a:t>
            </a:r>
          </a:p>
        </c:rich>
      </c:tx>
      <c:layout>
        <c:manualLayout>
          <c:xMode val="edge"/>
          <c:yMode val="edge"/>
          <c:x val="0.20575780748661243"/>
          <c:y val="1.2244441681667508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08410590965584"/>
          <c:y val="0.13951053473612302"/>
          <c:w val="0.87479477289272689"/>
          <c:h val="0.64889748818939164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1275A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1275A6"/>
              </a:solidFill>
              <a:ln>
                <a:solidFill>
                  <a:srgbClr val="1275A6"/>
                </a:solidFill>
                <a:prstDash val="solid"/>
              </a:ln>
            </c:spPr>
          </c:marker>
          <c:cat>
            <c:strRef>
              <c:f>'Client Unit Model'!$AF$5:$BI$5</c:f>
              <c:strCache>
                <c:ptCount val="12"/>
                <c:pt idx="0">
                  <c:v>Sep-15</c:v>
                </c:pt>
                <c:pt idx="1">
                  <c:v>Dec-15</c:v>
                </c:pt>
                <c:pt idx="2">
                  <c:v>Mar-16</c:v>
                </c:pt>
                <c:pt idx="3">
                  <c:v>Jun-16</c:v>
                </c:pt>
                <c:pt idx="4">
                  <c:v>Sep-16</c:v>
                </c:pt>
                <c:pt idx="5">
                  <c:v>Dec-16</c:v>
                </c:pt>
                <c:pt idx="6">
                  <c:v>Mar-17</c:v>
                </c:pt>
                <c:pt idx="7">
                  <c:v>Jun-17</c:v>
                </c:pt>
                <c:pt idx="8">
                  <c:v>Sep-17</c:v>
                </c:pt>
                <c:pt idx="9">
                  <c:v>Dec-17</c:v>
                </c:pt>
                <c:pt idx="10">
                  <c:v>Mar-18E</c:v>
                </c:pt>
                <c:pt idx="11">
                  <c:v>Jun-18E</c:v>
                </c:pt>
              </c:strCache>
            </c:strRef>
          </c:cat>
          <c:val>
            <c:numRef>
              <c:f>'Client Unit Model'!$AF$7:$BI$7</c:f>
              <c:numCache>
                <c:formatCode>0.0%</c:formatCode>
                <c:ptCount val="12"/>
                <c:pt idx="0">
                  <c:v>-0.11096975965441502</c:v>
                </c:pt>
                <c:pt idx="1">
                  <c:v>-0.11357077643237379</c:v>
                </c:pt>
                <c:pt idx="2">
                  <c:v>-0.12504416919620909</c:v>
                </c:pt>
                <c:pt idx="3">
                  <c:v>-4.1000000000000002E-2</c:v>
                </c:pt>
                <c:pt idx="4">
                  <c:v>-3.9E-2</c:v>
                </c:pt>
                <c:pt idx="5">
                  <c:v>-0.04</c:v>
                </c:pt>
                <c:pt idx="6">
                  <c:v>-0.03</c:v>
                </c:pt>
                <c:pt idx="7">
                  <c:v>-0.03</c:v>
                </c:pt>
                <c:pt idx="8">
                  <c:v>-1.4999999999999999E-2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084032"/>
        <c:axId val="125088512"/>
      </c:lineChart>
      <c:catAx>
        <c:axId val="125084032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088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5088512"/>
        <c:scaling>
          <c:orientation val="minMax"/>
          <c:max val="2.0000000000000004E-2"/>
        </c:scaling>
        <c:delete val="0"/>
        <c:axPos val="l"/>
        <c:majorGridlines>
          <c:spPr>
            <a:ln w="3175">
              <a:solidFill>
                <a:schemeClr val="bg1">
                  <a:lumMod val="95000"/>
                </a:schemeClr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0840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Surface Units (M)</a:t>
            </a:r>
          </a:p>
        </c:rich>
      </c:tx>
      <c:layout>
        <c:manualLayout>
          <c:xMode val="edge"/>
          <c:yMode val="edge"/>
          <c:x val="0.40180586907449212"/>
          <c:y val="2.94117647058823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5214446952596E-2"/>
          <c:y val="0.17647143301658727"/>
          <c:w val="0.89616252821670428"/>
          <c:h val="0.55392422030206567"/>
        </c:manualLayout>
      </c:layout>
      <c:barChart>
        <c:barDir val="col"/>
        <c:grouping val="clustered"/>
        <c:varyColors val="0"/>
        <c:ser>
          <c:idx val="2"/>
          <c:order val="0"/>
          <c:tx>
            <c:v>Surface Pro Units (M)</c:v>
          </c:tx>
          <c:spPr>
            <a:solidFill>
              <a:srgbClr val="4AAC6B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'Client Unit Model'!$DJ$281:$DL$281</c:f>
            </c:multiLvlStrRef>
          </c:cat>
          <c:val>
            <c:numRef>
              <c:f>'Client Unit Model'!$DJ$283:$DL$283</c:f>
            </c:numRef>
          </c:val>
        </c:ser>
        <c:ser>
          <c:idx val="1"/>
          <c:order val="1"/>
          <c:tx>
            <c:v>Surface RT Units (M)</c:v>
          </c:tx>
          <c:spPr>
            <a:solidFill>
              <a:srgbClr val="1275A6"/>
            </a:solidFill>
            <a:ln w="25400">
              <a:noFill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multiLvlStrRef>
              <c:f>'Client Unit Model'!$DJ$281:$DL$281</c:f>
            </c:multiLvlStrRef>
          </c:cat>
          <c:val>
            <c:numRef>
              <c:f>'Client Unit Model'!$DJ$284:$DL$284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106816"/>
        <c:axId val="125195008"/>
      </c:barChart>
      <c:catAx>
        <c:axId val="125106816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195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519500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1068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6117381489841983E-2"/>
          <c:y val="0.82843548968143688"/>
          <c:w val="0.95033860045146723"/>
          <c:h val="0.1568632597395913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WW Tablet Units (M)</a:t>
            </a:r>
          </a:p>
        </c:rich>
      </c:tx>
      <c:layout>
        <c:manualLayout>
          <c:xMode val="edge"/>
          <c:yMode val="edge"/>
          <c:x val="0.35448623626641856"/>
          <c:y val="2.62172284644194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35023799729683"/>
          <c:y val="0.14981328203008701"/>
          <c:w val="0.85995715514432092"/>
          <c:h val="0.62921578452636551"/>
        </c:manualLayout>
      </c:layout>
      <c:barChart>
        <c:barDir val="col"/>
        <c:grouping val="clustered"/>
        <c:varyColors val="0"/>
        <c:ser>
          <c:idx val="0"/>
          <c:order val="0"/>
          <c:tx>
            <c:v>WW Tablet Units (M)</c:v>
          </c:tx>
          <c:spPr>
            <a:solidFill>
              <a:srgbClr val="E5BF61"/>
            </a:solidFill>
            <a:ln w="25400">
              <a:noFill/>
            </a:ln>
          </c:spPr>
          <c:invertIfNegative val="0"/>
          <c:dLbls>
            <c:numFmt formatCode="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'Client Unit Model'!$CY$5:$DA$5</c:f>
              <c:strCache>
                <c:ptCount val="1"/>
                <c:pt idx="0">
                  <c:v>CY14</c:v>
                </c:pt>
              </c:strCache>
            </c:strRef>
          </c:cat>
          <c:val>
            <c:numRef>
              <c:f>'Client Unit Model'!$CY$14:$DA$14</c:f>
              <c:numCache>
                <c:formatCode>0.0</c:formatCode>
                <c:ptCount val="1"/>
                <c:pt idx="0">
                  <c:v>229.83954832999999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29696"/>
        <c:axId val="125231488"/>
      </c:barChart>
      <c:catAx>
        <c:axId val="125229696"/>
        <c:scaling>
          <c:orientation val="minMax"/>
        </c:scaling>
        <c:delete val="0"/>
        <c:axPos val="b"/>
        <c:numFmt formatCode="@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231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25231488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52296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7.0021881838074396E-2"/>
          <c:y val="0.86517168500004915"/>
          <c:w val="0.92122630185450016"/>
          <c:h val="0.11985058047519337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5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3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Windows Unit Growth YoY 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'Client Unit Model'!$A$194</c:f>
              <c:strCache>
                <c:ptCount val="1"/>
                <c:pt idx="0">
                  <c:v>Consumer SKUs</c:v>
                </c:pt>
              </c:strCache>
            </c:strRef>
          </c:tx>
          <c:spPr>
            <a:ln w="12700">
              <a:solidFill>
                <a:srgbClr val="1275A6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1275A6"/>
              </a:solidFill>
              <a:ln>
                <a:solidFill>
                  <a:srgbClr val="1275A6"/>
                </a:solidFill>
                <a:prstDash val="solid"/>
              </a:ln>
            </c:spPr>
          </c:marker>
          <c:cat>
            <c:strRef>
              <c:f>'Client Unit Model'!$CG$5:$CJ$5</c:f>
              <c:strCache>
                <c:ptCount val="4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</c:strCache>
            </c:strRef>
          </c:cat>
          <c:val>
            <c:numRef>
              <c:f>'Client Unit Model'!$CG$195:$CJ$195</c:f>
            </c:numRef>
          </c:val>
          <c:smooth val="0"/>
        </c:ser>
        <c:ser>
          <c:idx val="1"/>
          <c:order val="1"/>
          <c:tx>
            <c:strRef>
              <c:f>'Client Unit Model'!$A$196</c:f>
              <c:strCache>
                <c:ptCount val="1"/>
                <c:pt idx="0">
                  <c:v>Business SKUs</c:v>
                </c:pt>
              </c:strCache>
            </c:strRef>
          </c:tx>
          <c:cat>
            <c:strRef>
              <c:f>'Client Unit Model'!$CG$5:$CJ$5</c:f>
              <c:strCache>
                <c:ptCount val="4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</c:strCache>
            </c:strRef>
          </c:cat>
          <c:val>
            <c:numRef>
              <c:f>'Client Unit Model'!$CG$197:$CJ$197</c:f>
            </c:numRef>
          </c:val>
          <c:smooth val="0"/>
        </c:ser>
        <c:ser>
          <c:idx val="2"/>
          <c:order val="2"/>
          <c:tx>
            <c:strRef>
              <c:f>'Client Unit Model'!$A$198</c:f>
              <c:strCache>
                <c:ptCount val="1"/>
                <c:pt idx="0">
                  <c:v>Consumer SKUs-- Ex Tablets</c:v>
                </c:pt>
              </c:strCache>
            </c:strRef>
          </c:tx>
          <c:cat>
            <c:strRef>
              <c:f>'Client Unit Model'!$CG$5:$CJ$5</c:f>
              <c:strCache>
                <c:ptCount val="4"/>
                <c:pt idx="0">
                  <c:v>FY13</c:v>
                </c:pt>
                <c:pt idx="1">
                  <c:v>FY14</c:v>
                </c:pt>
                <c:pt idx="2">
                  <c:v>FY15</c:v>
                </c:pt>
                <c:pt idx="3">
                  <c:v>FY16</c:v>
                </c:pt>
              </c:strCache>
            </c:strRef>
          </c:cat>
          <c:val>
            <c:numRef>
              <c:f>'Client Unit Model'!$CG$199:$CJ$199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99904"/>
        <c:axId val="131526656"/>
      </c:lineChart>
      <c:catAx>
        <c:axId val="131499904"/>
        <c:scaling>
          <c:orientation val="minMax"/>
        </c:scaling>
        <c:delete val="0"/>
        <c:axPos val="b"/>
        <c:numFmt formatCode="@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526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1526656"/>
        <c:scaling>
          <c:orientation val="minMax"/>
        </c:scaling>
        <c:delete val="0"/>
        <c:axPos val="l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numFmt formatCode="0%" sourceLinked="1"/>
        <c:majorTickMark val="none"/>
        <c:minorTickMark val="none"/>
        <c:tickLblPos val="nextTo"/>
        <c:spPr>
          <a:ln w="25400">
            <a:noFill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49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txPr>
        <a:bodyPr/>
        <a:lstStyle/>
        <a:p>
          <a:pPr>
            <a:defRPr sz="9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
<Relationships xmlns="http://schemas.openxmlformats.org/package/2006/relationships">
<Relationship Id="rId1" Target="../media/image1.png" Type="http://schemas.openxmlformats.org/officeDocument/2006/relationships/image"/>
<Relationship Id="rId2" Target="../media/image2.jpeg" Type="http://schemas.openxmlformats.org/officeDocument/2006/relationships/image"/>
<Relationship Id="rId3" Target="../media/image3.gif" Type="http://schemas.openxmlformats.org/officeDocument/2006/relationships/image"/>
</Relationships>

</file>

<file path=xl/drawings/_rels/drawing2.xml.rels><?xml version="1.0" encoding="UTF-8" standalone="yes"?>
<Relationships xmlns="http://schemas.openxmlformats.org/package/2006/relationships">
<Relationship Id="rId1" Target="../charts/chart1.xml" Type="http://schemas.openxmlformats.org/officeDocument/2006/relationships/chart"/>
<Relationship Id="rId2" Target="../charts/chart2.xml" Type="http://schemas.openxmlformats.org/officeDocument/2006/relationships/chart"/>
<Relationship Id="rId3" Target="../charts/chart3.xml" Type="http://schemas.openxmlformats.org/officeDocument/2006/relationships/chart"/>
<Relationship Id="rId4" Target="../charts/chart4.xml" Type="http://schemas.openxmlformats.org/officeDocument/2006/relationships/chart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0</xdr:col>
      <xdr:colOff>1581150</xdr:colOff>
      <xdr:row>0</xdr:row>
      <xdr:rowOff>323850</xdr:rowOff>
    </xdr:to>
    <xdr:pic>
      <xdr:nvPicPr>
        <xdr:cNvPr id="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5621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95250</xdr:rowOff>
    </xdr:from>
    <xdr:to>
      <xdr:col>1</xdr:col>
      <xdr:colOff>523875</xdr:colOff>
      <xdr:row>0</xdr:row>
      <xdr:rowOff>314325</xdr:rowOff>
    </xdr:to>
    <xdr:pic>
      <xdr:nvPicPr>
        <xdr:cNvPr id="3" name="Picture 6" descr="MSMS_logo_3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95250"/>
          <a:ext cx="2219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7</xdr:col>
      <xdr:colOff>390525</xdr:colOff>
      <xdr:row>200</xdr:row>
      <xdr:rowOff>104775</xdr:rowOff>
    </xdr:to>
    <xdr:pic>
      <xdr:nvPicPr>
        <xdr:cNvPr id="66530305" name="Picture 1" descr="C:\Users\baerjos\AppData\Local\Temp\MercuryPriceRatingHistoryChart\MSFT.O_2018_04_26_18_40_33.gif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89125"/>
          <a:ext cx="6400800" cy="3829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114</xdr:col>
      <xdr:colOff>221129</xdr:colOff>
      <xdr:row>24</xdr:row>
      <xdr:rowOff>40822</xdr:rowOff>
    </xdr:from>
    <xdr:to>
      <xdr:col>122</xdr:col>
      <xdr:colOff>503464</xdr:colOff>
      <xdr:row>48</xdr:row>
      <xdr:rowOff>93</xdr:rowOff>
    </xdr:to>
    <xdr:graphicFrame macro="">
      <xdr:nvGraphicFramePr>
        <xdr:cNvPr id="6644819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110</xdr:col>
      <xdr:colOff>414618</xdr:colOff>
      <xdr:row>249</xdr:row>
      <xdr:rowOff>105334</xdr:rowOff>
    </xdr:from>
    <xdr:to>
      <xdr:col>117</xdr:col>
      <xdr:colOff>373717</xdr:colOff>
      <xdr:row>258</xdr:row>
      <xdr:rowOff>105335</xdr:rowOff>
    </xdr:to>
    <xdr:graphicFrame macro="">
      <xdr:nvGraphicFramePr>
        <xdr:cNvPr id="6644819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110</xdr:col>
      <xdr:colOff>199623</xdr:colOff>
      <xdr:row>290</xdr:row>
      <xdr:rowOff>11206</xdr:rowOff>
    </xdr:from>
    <xdr:to>
      <xdr:col>117</xdr:col>
      <xdr:colOff>287589</xdr:colOff>
      <xdr:row>290</xdr:row>
      <xdr:rowOff>11206</xdr:rowOff>
    </xdr:to>
    <xdr:graphicFrame macro="">
      <xdr:nvGraphicFramePr>
        <xdr:cNvPr id="6644819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114</xdr:col>
      <xdr:colOff>0</xdr:colOff>
      <xdr:row>195</xdr:row>
      <xdr:rowOff>200025</xdr:rowOff>
    </xdr:from>
    <xdr:to>
      <xdr:col>123</xdr:col>
      <xdr:colOff>390525</xdr:colOff>
      <xdr:row>217</xdr:row>
      <xdr:rowOff>76200</xdr:rowOff>
    </xdr:to>
    <xdr:graphicFrame macro="">
      <xdr:nvGraphicFramePr>
        <xdr:cNvPr id="6644819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
<Relationships xmlns="http://schemas.openxmlformats.org/package/2006/relationships">
<Relationship Id="rId1" Target="ER43/US%20Enterprise%20Software/zClientModels/ORCL_12232015_Client.xls" TargetMode="External" Type="http://schemas.microsoft.com/office/2006/relationships/xlExternalLinkPath/xlAlternateStartup"/>
</Relationships>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antDisclosures"/>
      <sheetName val="Model"/>
      <sheetName val="Balance Sheet"/>
      <sheetName val="Cash Flow"/>
      <sheetName val="Metrics"/>
      <sheetName val="Geographic Detail"/>
      <sheetName val="ARR"/>
      <sheetName val="Revenue Transition"/>
      <sheetName val="IndexInformation"/>
      <sheetName val="ModPubIndex"/>
      <sheetName val="__FDSCACHE__"/>
      <sheetName val="__APW_ACTIVE_FIELD_RESTORE__"/>
    </sheetNames>
    <sheetDataSet>
      <sheetData sheetId="0"/>
      <sheetData sheetId="1">
        <row r="5">
          <cell r="CF5" t="str">
            <v>2c06</v>
          </cell>
          <cell r="CI5" t="str">
            <v>3c06</v>
          </cell>
          <cell r="CJ5" t="str">
            <v>4c06</v>
          </cell>
          <cell r="CK5" t="str">
            <v>1c07</v>
          </cell>
          <cell r="CL5" t="str">
            <v>2c07</v>
          </cell>
          <cell r="CM5" t="str">
            <v>_fy07</v>
          </cell>
          <cell r="CO5" t="str">
            <v>3c07</v>
          </cell>
          <cell r="CP5" t="str">
            <v>4c07</v>
          </cell>
          <cell r="CQ5" t="str">
            <v>1c08</v>
          </cell>
          <cell r="CR5" t="str">
            <v>2c08</v>
          </cell>
          <cell r="CS5" t="str">
            <v>_fy08</v>
          </cell>
          <cell r="CU5" t="str">
            <v>3c08</v>
          </cell>
          <cell r="CV5" t="str">
            <v>4c08</v>
          </cell>
          <cell r="CW5" t="str">
            <v>1c09</v>
          </cell>
          <cell r="CX5" t="str">
            <v>2c09</v>
          </cell>
          <cell r="CY5" t="str">
            <v>_fy09</v>
          </cell>
          <cell r="DA5" t="str">
            <v>3c09</v>
          </cell>
          <cell r="DB5" t="str">
            <v>4c09</v>
          </cell>
          <cell r="DC5" t="str">
            <v>1c10</v>
          </cell>
          <cell r="DE5" t="str">
            <v>_fy10</v>
          </cell>
          <cell r="DG5" t="str">
            <v>3c10</v>
          </cell>
          <cell r="DH5" t="str">
            <v>4c10</v>
          </cell>
          <cell r="DI5" t="str">
            <v>1c11</v>
          </cell>
          <cell r="DJ5" t="str">
            <v>2c11</v>
          </cell>
          <cell r="DK5" t="str">
            <v>_fy11</v>
          </cell>
          <cell r="DM5" t="str">
            <v>3c11</v>
          </cell>
          <cell r="DN5" t="str">
            <v>4c11</v>
          </cell>
          <cell r="DO5" t="str">
            <v>1c12</v>
          </cell>
          <cell r="DP5" t="str">
            <v>2c12</v>
          </cell>
          <cell r="DQ5" t="str">
            <v>_fy12</v>
          </cell>
          <cell r="DS5" t="str">
            <v>3c12</v>
          </cell>
          <cell r="DT5" t="str">
            <v>4c12</v>
          </cell>
          <cell r="DU5" t="str">
            <v>1c13</v>
          </cell>
          <cell r="DV5" t="str">
            <v>2c13</v>
          </cell>
          <cell r="DW5" t="str">
            <v>_fy13</v>
          </cell>
          <cell r="EC5" t="str">
            <v>_fy14</v>
          </cell>
          <cell r="EI5" t="str">
            <v>_fy15</v>
          </cell>
          <cell r="EO5" t="str">
            <v>_fy16</v>
          </cell>
          <cell r="EU5" t="str">
            <v>_fy17</v>
          </cell>
          <cell r="FA5" t="str">
            <v>_fy18</v>
          </cell>
        </row>
        <row r="6">
          <cell r="C6" t="str">
            <v>Full Year History Only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O6" t="str">
            <v>F1995</v>
          </cell>
          <cell r="P6">
            <v>0</v>
          </cell>
          <cell r="Q6">
            <v>0</v>
          </cell>
          <cell r="R6">
            <v>0</v>
          </cell>
          <cell r="S6">
            <v>0</v>
          </cell>
          <cell r="U6" t="str">
            <v>F1996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AA6" t="str">
            <v>F1997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G6" t="str">
            <v>F1998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M6" t="str">
            <v>F1999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S6" t="str">
            <v>F2000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Y6" t="str">
            <v>F2001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E6" t="str">
            <v>F2002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K6" t="str">
            <v>F2003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Q6" t="str">
            <v>F2004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W6" t="str">
            <v>F2005</v>
          </cell>
          <cell r="BX6">
            <v>0</v>
          </cell>
          <cell r="BY6">
            <v>0</v>
          </cell>
          <cell r="BZ6">
            <v>0</v>
          </cell>
          <cell r="CA6">
            <v>0</v>
          </cell>
          <cell r="CC6" t="str">
            <v>F2006</v>
          </cell>
          <cell r="CD6">
            <v>0</v>
          </cell>
          <cell r="CE6">
            <v>0</v>
          </cell>
          <cell r="CF6">
            <v>0</v>
          </cell>
          <cell r="CG6">
            <v>0</v>
          </cell>
          <cell r="CI6" t="str">
            <v>F2007</v>
          </cell>
          <cell r="CJ6">
            <v>0</v>
          </cell>
          <cell r="CK6">
            <v>0</v>
          </cell>
          <cell r="CL6">
            <v>0</v>
          </cell>
          <cell r="CM6">
            <v>0</v>
          </cell>
          <cell r="CO6" t="str">
            <v>F2008</v>
          </cell>
          <cell r="CP6">
            <v>0</v>
          </cell>
          <cell r="CQ6">
            <v>0</v>
          </cell>
          <cell r="CR6">
            <v>0</v>
          </cell>
          <cell r="CS6">
            <v>0</v>
          </cell>
          <cell r="CU6" t="str">
            <v>F2009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DA6" t="str">
            <v>F2010</v>
          </cell>
          <cell r="DB6">
            <v>0</v>
          </cell>
          <cell r="DC6">
            <v>0</v>
          </cell>
          <cell r="DE6">
            <v>0</v>
          </cell>
          <cell r="DG6" t="str">
            <v>F2011</v>
          </cell>
          <cell r="DH6">
            <v>0</v>
          </cell>
          <cell r="DI6">
            <v>0</v>
          </cell>
          <cell r="DJ6">
            <v>0</v>
          </cell>
          <cell r="DK6">
            <v>0</v>
          </cell>
          <cell r="DM6" t="str">
            <v>F2012</v>
          </cell>
          <cell r="DN6">
            <v>0</v>
          </cell>
          <cell r="DO6">
            <v>0</v>
          </cell>
          <cell r="DP6">
            <v>0</v>
          </cell>
          <cell r="DQ6">
            <v>0</v>
          </cell>
          <cell r="DS6" t="str">
            <v>F2013</v>
          </cell>
          <cell r="DT6">
            <v>0</v>
          </cell>
          <cell r="DU6">
            <v>0</v>
          </cell>
          <cell r="DV6">
            <v>0</v>
          </cell>
          <cell r="DW6">
            <v>0</v>
          </cell>
          <cell r="DY6" t="str">
            <v>F2014</v>
          </cell>
          <cell r="DZ6">
            <v>0</v>
          </cell>
          <cell r="EA6">
            <v>0</v>
          </cell>
          <cell r="EB6">
            <v>0</v>
          </cell>
          <cell r="EC6">
            <v>0</v>
          </cell>
          <cell r="EE6" t="str">
            <v>F2015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K6" t="str">
            <v>F2016E</v>
          </cell>
          <cell r="EL6">
            <v>0</v>
          </cell>
          <cell r="EM6">
            <v>0</v>
          </cell>
          <cell r="EN6">
            <v>0</v>
          </cell>
          <cell r="EO6">
            <v>0</v>
          </cell>
          <cell r="EQ6" t="str">
            <v>F2017E</v>
          </cell>
          <cell r="ER6">
            <v>0</v>
          </cell>
          <cell r="ES6">
            <v>0</v>
          </cell>
          <cell r="ET6">
            <v>0</v>
          </cell>
          <cell r="EU6">
            <v>0</v>
          </cell>
          <cell r="EW6" t="str">
            <v>F2018E</v>
          </cell>
          <cell r="EX6">
            <v>0</v>
          </cell>
          <cell r="EY6">
            <v>0</v>
          </cell>
          <cell r="EZ6">
            <v>0</v>
          </cell>
          <cell r="FA6">
            <v>0</v>
          </cell>
        </row>
        <row r="7">
          <cell r="C7" t="str">
            <v>FY84</v>
          </cell>
          <cell r="D7" t="str">
            <v>FY85</v>
          </cell>
          <cell r="E7" t="str">
            <v>FY86</v>
          </cell>
          <cell r="F7" t="str">
            <v>FY87</v>
          </cell>
          <cell r="G7" t="str">
            <v>FY88</v>
          </cell>
          <cell r="H7" t="str">
            <v>FY89</v>
          </cell>
          <cell r="I7" t="str">
            <v>FY90</v>
          </cell>
          <cell r="J7" t="str">
            <v>FY91</v>
          </cell>
          <cell r="K7" t="str">
            <v>FY92</v>
          </cell>
          <cell r="L7" t="str">
            <v>FY93</v>
          </cell>
          <cell r="M7" t="str">
            <v>FY94</v>
          </cell>
          <cell r="O7" t="str">
            <v xml:space="preserve"> 8/94</v>
          </cell>
          <cell r="P7" t="str">
            <v xml:space="preserve"> 11/94</v>
          </cell>
          <cell r="Q7" t="str">
            <v xml:space="preserve"> 2/95</v>
          </cell>
          <cell r="R7" t="str">
            <v>5/95</v>
          </cell>
          <cell r="S7" t="str">
            <v>FY95</v>
          </cell>
          <cell r="U7" t="str">
            <v xml:space="preserve"> 8/95</v>
          </cell>
          <cell r="V7" t="str">
            <v xml:space="preserve"> 11/95</v>
          </cell>
          <cell r="W7" t="str">
            <v xml:space="preserve"> 2/96</v>
          </cell>
          <cell r="X7" t="str">
            <v>5/96</v>
          </cell>
          <cell r="Y7" t="str">
            <v>FY96</v>
          </cell>
          <cell r="AA7" t="str">
            <v xml:space="preserve"> 8/96</v>
          </cell>
          <cell r="AB7" t="str">
            <v xml:space="preserve"> 11/96</v>
          </cell>
          <cell r="AC7" t="str">
            <v xml:space="preserve"> 2/97</v>
          </cell>
          <cell r="AD7" t="str">
            <v>5/97</v>
          </cell>
          <cell r="AE7" t="str">
            <v>FY97</v>
          </cell>
          <cell r="AG7" t="str">
            <v xml:space="preserve"> 8/97</v>
          </cell>
          <cell r="AH7" t="str">
            <v xml:space="preserve"> 11/97</v>
          </cell>
          <cell r="AI7" t="str">
            <v xml:space="preserve"> 2/98</v>
          </cell>
          <cell r="AJ7" t="str">
            <v>5/98</v>
          </cell>
          <cell r="AK7" t="str">
            <v>FY98</v>
          </cell>
          <cell r="AM7" t="str">
            <v xml:space="preserve"> 8/98</v>
          </cell>
          <cell r="AN7" t="str">
            <v xml:space="preserve"> 11/98</v>
          </cell>
          <cell r="AO7" t="str">
            <v xml:space="preserve"> 2/99</v>
          </cell>
          <cell r="AP7" t="str">
            <v>5/99</v>
          </cell>
          <cell r="AQ7" t="str">
            <v>FY99</v>
          </cell>
          <cell r="AS7" t="str">
            <v xml:space="preserve"> 8/99</v>
          </cell>
          <cell r="AT7" t="str">
            <v xml:space="preserve"> 11/99</v>
          </cell>
          <cell r="AU7" t="str">
            <v xml:space="preserve"> 2/00</v>
          </cell>
          <cell r="AV7" t="str">
            <v>5/00</v>
          </cell>
          <cell r="AW7" t="str">
            <v>FY00</v>
          </cell>
          <cell r="AY7" t="str">
            <v xml:space="preserve"> 8/00</v>
          </cell>
          <cell r="AZ7" t="str">
            <v xml:space="preserve"> 11/00</v>
          </cell>
          <cell r="BA7" t="str">
            <v xml:space="preserve"> 2/01</v>
          </cell>
          <cell r="BB7" t="str">
            <v>5/01</v>
          </cell>
          <cell r="BC7" t="str">
            <v>FY01</v>
          </cell>
          <cell r="BE7" t="str">
            <v xml:space="preserve"> 8/01</v>
          </cell>
          <cell r="BF7" t="str">
            <v xml:space="preserve"> 11/01</v>
          </cell>
          <cell r="BG7" t="str">
            <v xml:space="preserve"> 2/02</v>
          </cell>
          <cell r="BH7" t="str">
            <v>5/02</v>
          </cell>
          <cell r="BI7" t="str">
            <v>FY02</v>
          </cell>
          <cell r="BK7" t="str">
            <v xml:space="preserve"> 8/02</v>
          </cell>
          <cell r="BL7" t="str">
            <v xml:space="preserve"> 11/02</v>
          </cell>
          <cell r="BM7" t="str">
            <v xml:space="preserve"> 2/03</v>
          </cell>
          <cell r="BN7" t="str">
            <v>5/03</v>
          </cell>
          <cell r="BO7" t="str">
            <v>FY03</v>
          </cell>
          <cell r="BQ7" t="str">
            <v xml:space="preserve"> 8/03</v>
          </cell>
          <cell r="BR7" t="str">
            <v xml:space="preserve"> 11/03</v>
          </cell>
          <cell r="BS7" t="str">
            <v xml:space="preserve"> 2/04</v>
          </cell>
          <cell r="BT7" t="str">
            <v>5/04</v>
          </cell>
          <cell r="BU7" t="str">
            <v>FY04</v>
          </cell>
          <cell r="BW7" t="str">
            <v xml:space="preserve"> 8/04</v>
          </cell>
          <cell r="BX7" t="str">
            <v xml:space="preserve"> 11/04</v>
          </cell>
          <cell r="BY7" t="str">
            <v xml:space="preserve"> 2/05</v>
          </cell>
          <cell r="BZ7" t="str">
            <v>5/05</v>
          </cell>
          <cell r="CA7" t="str">
            <v>FY05</v>
          </cell>
          <cell r="CC7" t="str">
            <v xml:space="preserve"> 8/05</v>
          </cell>
          <cell r="CD7" t="str">
            <v xml:space="preserve"> 11/05</v>
          </cell>
          <cell r="CE7" t="str">
            <v xml:space="preserve"> 2/06</v>
          </cell>
          <cell r="CF7" t="str">
            <v>5/06</v>
          </cell>
          <cell r="CG7" t="str">
            <v>FY06</v>
          </cell>
          <cell r="CI7" t="str">
            <v xml:space="preserve"> 8/06</v>
          </cell>
          <cell r="CJ7" t="str">
            <v xml:space="preserve"> 11/06</v>
          </cell>
          <cell r="CK7" t="str">
            <v xml:space="preserve"> 2/07</v>
          </cell>
          <cell r="CL7" t="str">
            <v>5/07</v>
          </cell>
          <cell r="CM7" t="str">
            <v>FY07</v>
          </cell>
          <cell r="CO7" t="str">
            <v xml:space="preserve"> 8/07</v>
          </cell>
          <cell r="CP7" t="str">
            <v xml:space="preserve"> 11/07</v>
          </cell>
          <cell r="CQ7" t="str">
            <v xml:space="preserve"> 2/08</v>
          </cell>
          <cell r="CR7" t="str">
            <v>5/08</v>
          </cell>
          <cell r="CS7" t="str">
            <v>FY08</v>
          </cell>
          <cell r="CU7" t="str">
            <v xml:space="preserve"> 8/08</v>
          </cell>
          <cell r="CV7" t="str">
            <v xml:space="preserve"> 11/08</v>
          </cell>
          <cell r="CW7" t="str">
            <v xml:space="preserve"> 2/09</v>
          </cell>
          <cell r="CX7" t="str">
            <v>5/09</v>
          </cell>
          <cell r="CY7" t="str">
            <v>FY09</v>
          </cell>
          <cell r="DA7" t="str">
            <v>8/09</v>
          </cell>
          <cell r="DB7" t="str">
            <v>11/09</v>
          </cell>
          <cell r="DC7" t="str">
            <v>2/10</v>
          </cell>
          <cell r="DE7" t="str">
            <v>FY10</v>
          </cell>
          <cell r="DG7" t="str">
            <v>8/10</v>
          </cell>
          <cell r="DH7" t="str">
            <v>11/10</v>
          </cell>
          <cell r="DI7" t="str">
            <v>2/11</v>
          </cell>
          <cell r="DJ7" t="str">
            <v>5/11</v>
          </cell>
          <cell r="DK7" t="str">
            <v>FY11</v>
          </cell>
          <cell r="DM7" t="str">
            <v>8/11</v>
          </cell>
          <cell r="DN7" t="str">
            <v>11/11</v>
          </cell>
          <cell r="DO7" t="str">
            <v xml:space="preserve"> 2/12</v>
          </cell>
          <cell r="DP7" t="str">
            <v>5/12</v>
          </cell>
          <cell r="DQ7" t="str">
            <v>FY12</v>
          </cell>
          <cell r="DS7" t="str">
            <v>8/12</v>
          </cell>
          <cell r="DT7" t="str">
            <v>11/12</v>
          </cell>
          <cell r="DU7" t="str">
            <v xml:space="preserve"> 2/13</v>
          </cell>
          <cell r="DV7" t="str">
            <v>5/13</v>
          </cell>
          <cell r="DW7" t="str">
            <v>FY13</v>
          </cell>
          <cell r="DY7" t="str">
            <v>8/13</v>
          </cell>
          <cell r="DZ7" t="str">
            <v>11/13</v>
          </cell>
          <cell r="EA7" t="str">
            <v>2/14</v>
          </cell>
          <cell r="EB7" t="str">
            <v>5/14</v>
          </cell>
          <cell r="EC7" t="str">
            <v>FY14</v>
          </cell>
          <cell r="EE7" t="str">
            <v>8/14</v>
          </cell>
          <cell r="EF7" t="str">
            <v>11/14</v>
          </cell>
          <cell r="EG7" t="str">
            <v>2/15</v>
          </cell>
          <cell r="EH7" t="str">
            <v>5/15</v>
          </cell>
          <cell r="EI7" t="str">
            <v>FY15</v>
          </cell>
          <cell r="EK7" t="str">
            <v xml:space="preserve"> 8/15</v>
          </cell>
          <cell r="EL7" t="str">
            <v xml:space="preserve"> 11/15</v>
          </cell>
          <cell r="EM7" t="str">
            <v xml:space="preserve"> 2/16E</v>
          </cell>
          <cell r="EN7" t="str">
            <v>5/16E</v>
          </cell>
          <cell r="EO7" t="str">
            <v>FY16E</v>
          </cell>
          <cell r="EQ7" t="str">
            <v xml:space="preserve"> 8/16E</v>
          </cell>
          <cell r="ER7" t="str">
            <v xml:space="preserve"> 11/16E</v>
          </cell>
          <cell r="ES7" t="str">
            <v xml:space="preserve"> 2/17E</v>
          </cell>
          <cell r="ET7" t="str">
            <v>5/17E</v>
          </cell>
          <cell r="EU7" t="str">
            <v>FY17E</v>
          </cell>
          <cell r="EW7" t="str">
            <v xml:space="preserve"> 8/17E</v>
          </cell>
          <cell r="EX7" t="str">
            <v xml:space="preserve"> 11/17E</v>
          </cell>
          <cell r="EY7" t="str">
            <v xml:space="preserve"> 2/18E</v>
          </cell>
          <cell r="EZ7" t="str">
            <v>5/18E</v>
          </cell>
          <cell r="FA7" t="str">
            <v>FY18E</v>
          </cell>
        </row>
        <row r="8">
          <cell r="O8">
            <v>0</v>
          </cell>
          <cell r="U8">
            <v>0</v>
          </cell>
          <cell r="AA8">
            <v>0</v>
          </cell>
          <cell r="AG8">
            <v>0</v>
          </cell>
          <cell r="AM8">
            <v>0</v>
          </cell>
          <cell r="CG8">
            <v>0</v>
          </cell>
          <cell r="CM8">
            <v>0</v>
          </cell>
          <cell r="CS8">
            <v>0</v>
          </cell>
          <cell r="CY8">
            <v>0</v>
          </cell>
          <cell r="DE8">
            <v>0</v>
          </cell>
          <cell r="DK8">
            <v>0</v>
          </cell>
          <cell r="DQ8">
            <v>0</v>
          </cell>
          <cell r="DW8">
            <v>0</v>
          </cell>
          <cell r="EC8">
            <v>0</v>
          </cell>
          <cell r="EI8">
            <v>0</v>
          </cell>
          <cell r="EO8">
            <v>0</v>
          </cell>
          <cell r="EU8">
            <v>0</v>
          </cell>
          <cell r="FA8">
            <v>0</v>
          </cell>
        </row>
        <row r="9"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I9">
            <v>0</v>
          </cell>
          <cell r="BO9">
            <v>0</v>
          </cell>
          <cell r="BU9">
            <v>0</v>
          </cell>
          <cell r="CA9">
            <v>0</v>
          </cell>
          <cell r="CG9">
            <v>0</v>
          </cell>
          <cell r="CM9">
            <v>0</v>
          </cell>
          <cell r="CS9">
            <v>0</v>
          </cell>
          <cell r="CY9">
            <v>0</v>
          </cell>
          <cell r="DE9">
            <v>0</v>
          </cell>
          <cell r="DK9">
            <v>0</v>
          </cell>
          <cell r="DQ9">
            <v>0</v>
          </cell>
          <cell r="DW9">
            <v>0</v>
          </cell>
          <cell r="EC9">
            <v>0</v>
          </cell>
          <cell r="EI9">
            <v>0</v>
          </cell>
          <cell r="EO9">
            <v>0</v>
          </cell>
          <cell r="EU9">
            <v>0</v>
          </cell>
          <cell r="FA9">
            <v>0</v>
          </cell>
        </row>
        <row r="10">
          <cell r="C10" t="str">
            <v>-</v>
          </cell>
          <cell r="D10" t="str">
            <v>-</v>
          </cell>
          <cell r="E10" t="str">
            <v>-</v>
          </cell>
          <cell r="F10" t="str">
            <v>-</v>
          </cell>
          <cell r="G10" t="str">
            <v>-</v>
          </cell>
          <cell r="H10">
            <v>301.66700000000003</v>
          </cell>
          <cell r="I10">
            <v>445.92099999999999</v>
          </cell>
          <cell r="J10">
            <v>394.27499999999998</v>
          </cell>
          <cell r="K10">
            <v>429.01200000000006</v>
          </cell>
          <cell r="L10">
            <v>553.48</v>
          </cell>
          <cell r="M10">
            <v>942.6690000000001</v>
          </cell>
          <cell r="O10">
            <v>260.029</v>
          </cell>
          <cell r="P10">
            <v>311.875</v>
          </cell>
          <cell r="Q10">
            <v>339.08499999999998</v>
          </cell>
          <cell r="R10">
            <v>505.17500000000001</v>
          </cell>
          <cell r="S10">
            <v>1416.164</v>
          </cell>
          <cell r="U10">
            <v>375.495</v>
          </cell>
          <cell r="V10">
            <v>445.98124999999999</v>
          </cell>
          <cell r="W10">
            <v>496.49900000000002</v>
          </cell>
          <cell r="X10">
            <v>757.45299999999997</v>
          </cell>
          <cell r="Y10">
            <v>2075.4282499999999</v>
          </cell>
          <cell r="AA10">
            <v>537.95299999999997</v>
          </cell>
          <cell r="AB10">
            <v>666.70600000000002</v>
          </cell>
          <cell r="AC10">
            <v>696.36400000000003</v>
          </cell>
          <cell r="AD10">
            <v>1092.5519999999999</v>
          </cell>
          <cell r="AE10">
            <v>2993.5749999999998</v>
          </cell>
          <cell r="AG10">
            <v>733.14700000000005</v>
          </cell>
          <cell r="AH10">
            <v>861.66600000000005</v>
          </cell>
          <cell r="AI10">
            <v>995.21900000000005</v>
          </cell>
          <cell r="AJ10">
            <v>1458.499</v>
          </cell>
          <cell r="AK10">
            <v>4048.5309999999999</v>
          </cell>
          <cell r="AM10">
            <v>1003.126</v>
          </cell>
          <cell r="AN10">
            <v>1121.56</v>
          </cell>
          <cell r="AO10">
            <v>1165.155</v>
          </cell>
          <cell r="AP10">
            <v>1763.328</v>
          </cell>
          <cell r="AQ10">
            <v>5053.1689999999999</v>
          </cell>
          <cell r="AS10">
            <v>1124.25</v>
          </cell>
          <cell r="AT10">
            <v>1261.876</v>
          </cell>
          <cell r="AU10">
            <v>1450.0920000000001</v>
          </cell>
          <cell r="AV10">
            <v>2077.212</v>
          </cell>
          <cell r="AW10">
            <v>5913.43</v>
          </cell>
          <cell r="AY10">
            <v>1315.5329999999999</v>
          </cell>
          <cell r="AZ10">
            <v>1534.47</v>
          </cell>
          <cell r="BA10">
            <v>1559.626</v>
          </cell>
          <cell r="BB10">
            <v>1940.299</v>
          </cell>
          <cell r="BC10">
            <v>6349.9279999999999</v>
          </cell>
          <cell r="BE10">
            <v>1245.9760000000001</v>
          </cell>
          <cell r="BF10">
            <v>1281.692</v>
          </cell>
          <cell r="BG10">
            <v>1259.1769999999999</v>
          </cell>
          <cell r="BH10">
            <v>1506.001</v>
          </cell>
          <cell r="BI10">
            <v>5292.8460000000005</v>
          </cell>
          <cell r="BK10">
            <v>1106</v>
          </cell>
          <cell r="BL10">
            <v>1157</v>
          </cell>
          <cell r="BM10">
            <v>1190</v>
          </cell>
          <cell r="BN10">
            <v>1391</v>
          </cell>
          <cell r="BO10">
            <v>4844</v>
          </cell>
          <cell r="BQ10">
            <v>1042</v>
          </cell>
          <cell r="BR10">
            <v>1250</v>
          </cell>
          <cell r="BS10">
            <v>1216</v>
          </cell>
          <cell r="BT10">
            <v>1475</v>
          </cell>
          <cell r="BU10">
            <v>4983</v>
          </cell>
          <cell r="BW10">
            <v>1091</v>
          </cell>
          <cell r="BX10">
            <v>1292</v>
          </cell>
          <cell r="BY10">
            <v>1522.8</v>
          </cell>
          <cell r="BZ10">
            <v>2083.2048</v>
          </cell>
          <cell r="CA10">
            <v>5989.0048000000006</v>
          </cell>
          <cell r="CC10">
            <v>1559.4</v>
          </cell>
          <cell r="CD10">
            <v>1794.2</v>
          </cell>
          <cell r="CE10">
            <v>1880.5</v>
          </cell>
          <cell r="CF10">
            <v>2638</v>
          </cell>
          <cell r="CG10">
            <v>7872.1</v>
          </cell>
          <cell r="CI10">
            <v>1991</v>
          </cell>
          <cell r="CJ10">
            <v>2196.5</v>
          </cell>
          <cell r="CK10">
            <v>2332.5</v>
          </cell>
          <cell r="CL10">
            <v>3045.5</v>
          </cell>
          <cell r="CM10">
            <v>9565.5</v>
          </cell>
          <cell r="CO10">
            <v>2407</v>
          </cell>
          <cell r="CP10">
            <v>2699.5</v>
          </cell>
          <cell r="CQ10">
            <v>2718</v>
          </cell>
          <cell r="CR10">
            <v>3595</v>
          </cell>
          <cell r="CS10">
            <v>11419.5</v>
          </cell>
          <cell r="CU10">
            <v>2732.5</v>
          </cell>
          <cell r="CV10">
            <v>2944</v>
          </cell>
          <cell r="CW10">
            <v>2846</v>
          </cell>
          <cell r="CX10">
            <v>3463</v>
          </cell>
          <cell r="CY10">
            <v>11985.5</v>
          </cell>
          <cell r="DA10">
            <v>2671</v>
          </cell>
          <cell r="DB10">
            <v>2979</v>
          </cell>
          <cell r="DC10">
            <v>3284</v>
          </cell>
          <cell r="DE10">
            <v>13820</v>
          </cell>
          <cell r="DG10">
            <v>3948.7539322847242</v>
          </cell>
          <cell r="DH10">
            <v>4452</v>
          </cell>
          <cell r="DI10">
            <v>4509</v>
          </cell>
          <cell r="DJ10">
            <v>5487</v>
          </cell>
          <cell r="DK10">
            <v>18396.753932284722</v>
          </cell>
          <cell r="DM10">
            <v>4226</v>
          </cell>
          <cell r="DN10">
            <v>4532</v>
          </cell>
          <cell r="DO10">
            <v>4707</v>
          </cell>
          <cell r="DP10">
            <v>5771</v>
          </cell>
          <cell r="DQ10">
            <v>19236</v>
          </cell>
          <cell r="DS10">
            <v>4324</v>
          </cell>
          <cell r="DT10">
            <v>4787</v>
          </cell>
          <cell r="DU10">
            <v>4698</v>
          </cell>
          <cell r="DV10">
            <v>5911</v>
          </cell>
          <cell r="DW10">
            <v>19720</v>
          </cell>
          <cell r="DY10">
            <v>4517</v>
          </cell>
          <cell r="DZ10">
            <v>4995</v>
          </cell>
          <cell r="EA10">
            <v>4953</v>
          </cell>
          <cell r="EB10">
            <v>5857</v>
          </cell>
          <cell r="EC10">
            <v>20322</v>
          </cell>
          <cell r="EE10">
            <v>4620</v>
          </cell>
          <cell r="EF10">
            <v>5221</v>
          </cell>
          <cell r="EG10">
            <v>5134</v>
          </cell>
          <cell r="EH10">
            <v>6133</v>
          </cell>
          <cell r="EI10">
            <v>21108</v>
          </cell>
          <cell r="EK10">
            <v>4716</v>
          </cell>
          <cell r="EL10">
            <v>4960</v>
          </cell>
          <cell r="EM10">
            <v>0</v>
          </cell>
          <cell r="EN10">
            <v>0</v>
          </cell>
          <cell r="EO10">
            <v>0</v>
          </cell>
          <cell r="EQ10">
            <v>0</v>
          </cell>
          <cell r="ER10">
            <v>0</v>
          </cell>
          <cell r="ES10">
            <v>0</v>
          </cell>
          <cell r="ET10">
            <v>0</v>
          </cell>
          <cell r="EU10">
            <v>0</v>
          </cell>
          <cell r="EW10">
            <v>0</v>
          </cell>
          <cell r="EX10">
            <v>0</v>
          </cell>
          <cell r="EY10">
            <v>0</v>
          </cell>
          <cell r="EZ10">
            <v>0</v>
          </cell>
          <cell r="FA10">
            <v>0</v>
          </cell>
        </row>
        <row r="11">
          <cell r="C11" t="str">
            <v>-</v>
          </cell>
          <cell r="D11" t="str">
            <v>-</v>
          </cell>
          <cell r="E11" t="str">
            <v>-</v>
          </cell>
          <cell r="F11" t="str">
            <v>-</v>
          </cell>
          <cell r="G11" t="str">
            <v>-</v>
          </cell>
          <cell r="H11">
            <v>192.928</v>
          </cell>
          <cell r="I11">
            <v>350.90899999999999</v>
          </cell>
          <cell r="J11">
            <v>506.21</v>
          </cell>
          <cell r="K11">
            <v>568.68100000000004</v>
          </cell>
          <cell r="L11">
            <v>686.56899999999996</v>
          </cell>
          <cell r="M11">
            <v>833.13599999999997</v>
          </cell>
          <cell r="O11">
            <v>227.708</v>
          </cell>
          <cell r="P11">
            <v>271.87200000000001</v>
          </cell>
          <cell r="Q11">
            <v>285.06400000000002</v>
          </cell>
          <cell r="R11">
            <v>380.75900000000001</v>
          </cell>
          <cell r="S11">
            <v>1165.403</v>
          </cell>
          <cell r="U11">
            <v>280.47500000000002</v>
          </cell>
          <cell r="V11">
            <v>375.18335999999999</v>
          </cell>
          <cell r="W11">
            <v>372.27100000000002</v>
          </cell>
          <cell r="X11">
            <v>512.87</v>
          </cell>
          <cell r="Y11">
            <v>1540.79936</v>
          </cell>
          <cell r="AA11">
            <v>354.23500000000001</v>
          </cell>
          <cell r="AB11">
            <v>436.68900000000002</v>
          </cell>
          <cell r="AC11">
            <v>476.01499999999999</v>
          </cell>
          <cell r="AD11">
            <v>614.21799999999996</v>
          </cell>
          <cell r="AE11">
            <v>1881.1569999999997</v>
          </cell>
          <cell r="AG11">
            <v>424.35199999999998</v>
          </cell>
          <cell r="AH11">
            <v>541.19500000000005</v>
          </cell>
          <cell r="AI11">
            <v>577.03899999999999</v>
          </cell>
          <cell r="AJ11">
            <v>754.75400000000002</v>
          </cell>
          <cell r="AK11">
            <v>2297.34</v>
          </cell>
          <cell r="AM11">
            <v>564.77300000000002</v>
          </cell>
          <cell r="AN11">
            <v>709.51900000000001</v>
          </cell>
          <cell r="AO11">
            <v>693.67499999999995</v>
          </cell>
          <cell r="AP11">
            <v>887.26800000000003</v>
          </cell>
          <cell r="AQ11">
            <v>2855.2349999999997</v>
          </cell>
          <cell r="AS11">
            <v>617.73500000000001</v>
          </cell>
          <cell r="AT11">
            <v>755.71400000000006</v>
          </cell>
          <cell r="AU11">
            <v>707.36099999999999</v>
          </cell>
          <cell r="AV11">
            <v>902.33799999999997</v>
          </cell>
          <cell r="AW11">
            <v>2983.1480000000001</v>
          </cell>
          <cell r="AY11">
            <v>644.35</v>
          </cell>
          <cell r="AZ11">
            <v>763.30100000000004</v>
          </cell>
          <cell r="BA11">
            <v>785.94299999999998</v>
          </cell>
          <cell r="BB11">
            <v>926.17499999999995</v>
          </cell>
          <cell r="BC11">
            <v>3119.7690000000002</v>
          </cell>
          <cell r="BE11">
            <v>678.59799999999996</v>
          </cell>
          <cell r="BF11">
            <v>752.56100000000004</v>
          </cell>
          <cell r="BG11">
            <v>720.18299999999999</v>
          </cell>
          <cell r="BH11">
            <v>898.97400000000005</v>
          </cell>
          <cell r="BI11">
            <v>3050.3160000000003</v>
          </cell>
          <cell r="BK11">
            <v>627</v>
          </cell>
          <cell r="BL11">
            <v>818</v>
          </cell>
          <cell r="BM11">
            <v>786</v>
          </cell>
          <cell r="BN11">
            <v>1024</v>
          </cell>
          <cell r="BO11">
            <v>3255</v>
          </cell>
          <cell r="BQ11">
            <v>717</v>
          </cell>
          <cell r="BR11">
            <v>881</v>
          </cell>
          <cell r="BS11">
            <v>918</v>
          </cell>
          <cell r="BT11">
            <v>1161</v>
          </cell>
          <cell r="BU11">
            <v>3677</v>
          </cell>
          <cell r="BW11">
            <v>778</v>
          </cell>
          <cell r="BX11">
            <v>1062</v>
          </cell>
          <cell r="BY11">
            <v>1139.48</v>
          </cell>
          <cell r="BZ11">
            <v>1424.72288</v>
          </cell>
          <cell r="CA11">
            <v>4404.2028799999998</v>
          </cell>
          <cell r="CC11">
            <v>917.75</v>
          </cell>
          <cell r="CD11">
            <v>1115.5</v>
          </cell>
          <cell r="CE11">
            <v>1186.75</v>
          </cell>
          <cell r="CF11">
            <v>1602.1</v>
          </cell>
          <cell r="CG11">
            <v>4822.1000000000004</v>
          </cell>
          <cell r="CI11">
            <v>1164.5</v>
          </cell>
          <cell r="CJ11">
            <v>1440.55</v>
          </cell>
          <cell r="CK11">
            <v>1496.25</v>
          </cell>
          <cell r="CL11">
            <v>2011.25</v>
          </cell>
          <cell r="CM11">
            <v>6112.55</v>
          </cell>
          <cell r="CO11">
            <v>1552.4</v>
          </cell>
          <cell r="CP11">
            <v>1882.85</v>
          </cell>
          <cell r="CQ11">
            <v>1878.7</v>
          </cell>
          <cell r="CR11">
            <v>2693.7</v>
          </cell>
          <cell r="CS11">
            <v>8007.65</v>
          </cell>
          <cell r="CU11">
            <v>1861.85</v>
          </cell>
          <cell r="CV11">
            <v>1909</v>
          </cell>
          <cell r="CW11">
            <v>1824</v>
          </cell>
          <cell r="CX11">
            <v>2413</v>
          </cell>
          <cell r="CY11">
            <v>8007.85</v>
          </cell>
          <cell r="DA11">
            <v>1642</v>
          </cell>
          <cell r="DB11">
            <v>1976</v>
          </cell>
          <cell r="DC11">
            <v>2167</v>
          </cell>
          <cell r="DE11">
            <v>8938</v>
          </cell>
          <cell r="DG11">
            <v>2408.294854705412</v>
          </cell>
          <cell r="DH11">
            <v>2738</v>
          </cell>
          <cell r="DI11">
            <v>2815</v>
          </cell>
          <cell r="DJ11">
            <v>3564</v>
          </cell>
          <cell r="DK11">
            <v>11525.294854705411</v>
          </cell>
          <cell r="DM11">
            <v>2704</v>
          </cell>
          <cell r="DN11">
            <v>2756</v>
          </cell>
          <cell r="DO11">
            <v>2787</v>
          </cell>
          <cell r="DP11">
            <v>3314</v>
          </cell>
          <cell r="DQ11">
            <v>11561</v>
          </cell>
          <cell r="DS11">
            <v>2383</v>
          </cell>
          <cell r="DT11">
            <v>2701</v>
          </cell>
          <cell r="DU11">
            <v>2745</v>
          </cell>
          <cell r="DV11">
            <v>3328</v>
          </cell>
          <cell r="DW11">
            <v>11157</v>
          </cell>
          <cell r="DY11">
            <v>2439</v>
          </cell>
          <cell r="DZ11">
            <v>2817</v>
          </cell>
          <cell r="EA11">
            <v>2923</v>
          </cell>
          <cell r="EB11">
            <v>3768</v>
          </cell>
          <cell r="EC11">
            <v>11947</v>
          </cell>
          <cell r="EE11">
            <v>2589</v>
          </cell>
          <cell r="EF11">
            <v>2911</v>
          </cell>
          <cell r="EG11">
            <v>2813</v>
          </cell>
          <cell r="EH11">
            <v>3067</v>
          </cell>
          <cell r="EI11">
            <v>11380</v>
          </cell>
          <cell r="EK11">
            <v>2456</v>
          </cell>
          <cell r="EL11">
            <v>2645</v>
          </cell>
          <cell r="EM11">
            <v>0</v>
          </cell>
          <cell r="EN11">
            <v>0</v>
          </cell>
          <cell r="EO11">
            <v>0</v>
          </cell>
          <cell r="EQ11">
            <v>0</v>
          </cell>
          <cell r="ER11">
            <v>0</v>
          </cell>
          <cell r="ES11">
            <v>0</v>
          </cell>
          <cell r="ET11">
            <v>0</v>
          </cell>
          <cell r="EU11">
            <v>0</v>
          </cell>
          <cell r="EW11">
            <v>0</v>
          </cell>
          <cell r="EX11">
            <v>0</v>
          </cell>
          <cell r="EY11">
            <v>0</v>
          </cell>
          <cell r="EZ11">
            <v>0</v>
          </cell>
          <cell r="FA11">
            <v>0</v>
          </cell>
        </row>
        <row r="12">
          <cell r="C12" t="str">
            <v>-</v>
          </cell>
          <cell r="D12" t="str">
            <v>-</v>
          </cell>
          <cell r="E12" t="str">
            <v>-</v>
          </cell>
          <cell r="F12" t="str">
            <v>-</v>
          </cell>
          <cell r="G12" t="str">
            <v>-</v>
          </cell>
          <cell r="H12">
            <v>89.204999999999927</v>
          </cell>
          <cell r="I12">
            <v>119.56</v>
          </cell>
          <cell r="J12">
            <v>127.46400000000011</v>
          </cell>
          <cell r="K12">
            <v>181.3069999999999</v>
          </cell>
          <cell r="L12">
            <v>262.95100000000002</v>
          </cell>
          <cell r="M12">
            <v>225.34199999999987</v>
          </cell>
          <cell r="O12">
            <v>68.737000000000052</v>
          </cell>
          <cell r="P12">
            <v>86.532999999999959</v>
          </cell>
          <cell r="Q12">
            <v>98.096000000000004</v>
          </cell>
          <cell r="R12">
            <v>131.94499999999994</v>
          </cell>
          <cell r="S12">
            <v>385.31099999999992</v>
          </cell>
          <cell r="U12">
            <v>115.83299999999997</v>
          </cell>
          <cell r="V12">
            <v>145.83538999999996</v>
          </cell>
          <cell r="W12">
            <v>151.46899999999999</v>
          </cell>
          <cell r="X12">
            <v>193.75099999999986</v>
          </cell>
          <cell r="Y12">
            <v>606.88838999999984</v>
          </cell>
          <cell r="AA12">
            <v>160.13099999999997</v>
          </cell>
          <cell r="AB12">
            <v>207.97800000000001</v>
          </cell>
          <cell r="AC12">
            <v>200.23399999999981</v>
          </cell>
          <cell r="AD12">
            <v>241.26100000000008</v>
          </cell>
          <cell r="AE12">
            <v>809.60399999999993</v>
          </cell>
          <cell r="AG12">
            <v>211.32899999999995</v>
          </cell>
          <cell r="AH12">
            <v>210.86599999999976</v>
          </cell>
          <cell r="AI12">
            <v>176.49900000000002</v>
          </cell>
          <cell r="AJ12">
            <v>199.29999999999984</v>
          </cell>
          <cell r="AK12">
            <v>797.99399999999957</v>
          </cell>
          <cell r="AM12">
            <v>181.2109999999999</v>
          </cell>
          <cell r="AN12">
            <v>224.86500000000046</v>
          </cell>
          <cell r="AO12">
            <v>220.09000000000015</v>
          </cell>
          <cell r="AP12">
            <v>292.68199999999979</v>
          </cell>
          <cell r="AQ12">
            <v>918.8480000000003</v>
          </cell>
          <cell r="AS12">
            <v>242.53200000000004</v>
          </cell>
          <cell r="AT12">
            <v>304.29299999999978</v>
          </cell>
          <cell r="AU12">
            <v>291.96499999999958</v>
          </cell>
          <cell r="AV12">
            <v>394.76000000000045</v>
          </cell>
          <cell r="AW12">
            <v>1233.5499999999997</v>
          </cell>
          <cell r="AY12">
            <v>328.10900000000026</v>
          </cell>
          <cell r="AZ12">
            <v>388.63699999999983</v>
          </cell>
          <cell r="BA12">
            <v>350.49299999999994</v>
          </cell>
          <cell r="BB12">
            <v>423.75600000000009</v>
          </cell>
          <cell r="BC12">
            <v>1490.9950000000001</v>
          </cell>
          <cell r="BE12">
            <v>340.48099999999977</v>
          </cell>
          <cell r="BF12">
            <v>346.18399999999986</v>
          </cell>
          <cell r="BG12">
            <v>273.95999999999981</v>
          </cell>
          <cell r="BH12">
            <v>369.0060000000002</v>
          </cell>
          <cell r="BI12">
            <v>1329.6309999999996</v>
          </cell>
          <cell r="BK12">
            <v>295</v>
          </cell>
          <cell r="BL12">
            <v>334</v>
          </cell>
          <cell r="BM12">
            <v>331</v>
          </cell>
          <cell r="BN12">
            <v>416.40000000000009</v>
          </cell>
          <cell r="BO12">
            <v>1376.4</v>
          </cell>
          <cell r="BQ12">
            <v>313</v>
          </cell>
          <cell r="BR12">
            <v>367</v>
          </cell>
          <cell r="BS12">
            <v>375</v>
          </cell>
          <cell r="BT12">
            <v>441</v>
          </cell>
          <cell r="BU12">
            <v>1496</v>
          </cell>
          <cell r="BW12">
            <v>346</v>
          </cell>
          <cell r="BX12">
            <v>402</v>
          </cell>
          <cell r="BY12">
            <v>430.72</v>
          </cell>
          <cell r="BZ12">
            <v>547.07231999999999</v>
          </cell>
          <cell r="CA12">
            <v>1725.79232</v>
          </cell>
          <cell r="CC12">
            <v>429.84999999999991</v>
          </cell>
          <cell r="CD12">
            <v>484.29999999999995</v>
          </cell>
          <cell r="CE12">
            <v>467.15000000000009</v>
          </cell>
          <cell r="CF12">
            <v>696.90000000000009</v>
          </cell>
          <cell r="CG12">
            <v>2078.1999999999998</v>
          </cell>
          <cell r="CI12">
            <v>505.5</v>
          </cell>
          <cell r="CJ12">
            <v>578.95000000000005</v>
          </cell>
          <cell r="CK12">
            <v>620.25</v>
          </cell>
          <cell r="CL12">
            <v>826.25</v>
          </cell>
          <cell r="CM12">
            <v>2530.9499999999998</v>
          </cell>
          <cell r="CO12">
            <v>633.59999999999991</v>
          </cell>
          <cell r="CP12">
            <v>781.65000000000009</v>
          </cell>
          <cell r="CQ12">
            <v>774.3</v>
          </cell>
          <cell r="CR12">
            <v>992.30000000000018</v>
          </cell>
          <cell r="CS12">
            <v>3181.8500000000004</v>
          </cell>
          <cell r="CU12">
            <v>827.65000000000009</v>
          </cell>
          <cell r="CV12">
            <v>834</v>
          </cell>
          <cell r="CW12">
            <v>783</v>
          </cell>
          <cell r="CX12">
            <v>985</v>
          </cell>
          <cell r="CY12">
            <v>3429.65</v>
          </cell>
          <cell r="DA12">
            <v>750</v>
          </cell>
          <cell r="DB12">
            <v>903</v>
          </cell>
          <cell r="DC12">
            <v>953</v>
          </cell>
          <cell r="DE12">
            <v>4072</v>
          </cell>
          <cell r="DG12">
            <v>1230.951213009864</v>
          </cell>
          <cell r="DH12">
            <v>1392</v>
          </cell>
          <cell r="DI12">
            <v>1440</v>
          </cell>
          <cell r="DJ12">
            <v>1724</v>
          </cell>
          <cell r="DK12">
            <v>5786.9512130098637</v>
          </cell>
          <cell r="DM12">
            <v>1444</v>
          </cell>
          <cell r="DN12">
            <v>1504</v>
          </cell>
          <cell r="DO12">
            <v>1545</v>
          </cell>
          <cell r="DP12">
            <v>1831</v>
          </cell>
          <cell r="DQ12">
            <v>6324</v>
          </cell>
          <cell r="DS12">
            <v>1474</v>
          </cell>
          <cell r="DT12">
            <v>1606</v>
          </cell>
          <cell r="DU12">
            <v>1515</v>
          </cell>
          <cell r="DV12">
            <v>1708</v>
          </cell>
          <cell r="DW12">
            <v>6303</v>
          </cell>
          <cell r="DY12">
            <v>1416</v>
          </cell>
          <cell r="DZ12">
            <v>1463</v>
          </cell>
          <cell r="EA12">
            <v>1431</v>
          </cell>
          <cell r="EB12">
            <v>1695</v>
          </cell>
          <cell r="EC12">
            <v>6005</v>
          </cell>
          <cell r="EE12">
            <v>1387</v>
          </cell>
          <cell r="EF12">
            <v>1466</v>
          </cell>
          <cell r="EG12">
            <v>1380</v>
          </cell>
          <cell r="EH12">
            <v>1506</v>
          </cell>
          <cell r="EI12">
            <v>5739</v>
          </cell>
          <cell r="EK12">
            <v>1276</v>
          </cell>
          <cell r="EL12">
            <v>1388</v>
          </cell>
          <cell r="EM12">
            <v>0</v>
          </cell>
          <cell r="EN12">
            <v>0</v>
          </cell>
          <cell r="EO12">
            <v>0</v>
          </cell>
          <cell r="EQ12">
            <v>0</v>
          </cell>
          <cell r="ER12">
            <v>0</v>
          </cell>
          <cell r="ES12">
            <v>0</v>
          </cell>
          <cell r="ET12">
            <v>0</v>
          </cell>
          <cell r="EU12">
            <v>0</v>
          </cell>
          <cell r="EW12">
            <v>0</v>
          </cell>
          <cell r="EX12">
            <v>0</v>
          </cell>
          <cell r="EY12">
            <v>0</v>
          </cell>
          <cell r="EZ12">
            <v>0</v>
          </cell>
          <cell r="FA12">
            <v>0</v>
          </cell>
        </row>
        <row r="13"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U13">
            <v>0</v>
          </cell>
          <cell r="CA13">
            <v>0</v>
          </cell>
          <cell r="CG13">
            <v>0</v>
          </cell>
          <cell r="CM13">
            <v>0</v>
          </cell>
          <cell r="CS13">
            <v>0</v>
          </cell>
          <cell r="CY13">
            <v>0</v>
          </cell>
          <cell r="DE13">
            <v>0</v>
          </cell>
          <cell r="DK13">
            <v>0</v>
          </cell>
          <cell r="DQ13">
            <v>0</v>
          </cell>
          <cell r="DW13">
            <v>0</v>
          </cell>
          <cell r="EC13">
            <v>0</v>
          </cell>
          <cell r="EI13">
            <v>0</v>
          </cell>
          <cell r="EO13">
            <v>0</v>
          </cell>
          <cell r="EU13">
            <v>0</v>
          </cell>
          <cell r="FA13">
            <v>0</v>
          </cell>
        </row>
        <row r="14">
          <cell r="C14">
            <v>12.715</v>
          </cell>
          <cell r="D14">
            <v>23.150999999999996</v>
          </cell>
          <cell r="E14">
            <v>55.344999999999999</v>
          </cell>
          <cell r="F14">
            <v>131.249</v>
          </cell>
          <cell r="G14">
            <v>205.435</v>
          </cell>
          <cell r="H14">
            <v>417.93</v>
          </cell>
          <cell r="I14">
            <v>664.56399999999996</v>
          </cell>
          <cell r="J14">
            <v>645.48500000000001</v>
          </cell>
          <cell r="K14">
            <v>657</v>
          </cell>
          <cell r="L14">
            <v>806</v>
          </cell>
          <cell r="M14">
            <v>1099</v>
          </cell>
          <cell r="N14">
            <v>0</v>
          </cell>
          <cell r="O14">
            <v>280</v>
          </cell>
          <cell r="P14">
            <v>343</v>
          </cell>
          <cell r="Q14">
            <v>375</v>
          </cell>
          <cell r="R14">
            <v>608</v>
          </cell>
          <cell r="S14">
            <v>1606</v>
          </cell>
          <cell r="T14">
            <v>0</v>
          </cell>
          <cell r="U14">
            <v>350</v>
          </cell>
          <cell r="V14">
            <v>485.09</v>
          </cell>
          <cell r="W14">
            <v>515</v>
          </cell>
          <cell r="X14">
            <v>883</v>
          </cell>
          <cell r="Y14">
            <v>2233.09</v>
          </cell>
          <cell r="Z14">
            <v>0</v>
          </cell>
          <cell r="AA14">
            <v>444.31700000000001</v>
          </cell>
          <cell r="AB14">
            <v>606.447</v>
          </cell>
          <cell r="AC14">
            <v>664.25699999999995</v>
          </cell>
          <cell r="AD14">
            <v>1107.4290000000001</v>
          </cell>
          <cell r="AE14">
            <v>2822.4500000000003</v>
          </cell>
          <cell r="AF14">
            <v>0</v>
          </cell>
          <cell r="AG14">
            <v>505.37599999999998</v>
          </cell>
          <cell r="AH14">
            <v>621.16800000000001</v>
          </cell>
          <cell r="AI14">
            <v>753.19299999999998</v>
          </cell>
          <cell r="AJ14">
            <v>1209.3229999999999</v>
          </cell>
          <cell r="AK14">
            <v>3089.0599999999995</v>
          </cell>
          <cell r="AL14">
            <v>0</v>
          </cell>
          <cell r="AM14">
            <v>557.61300000000006</v>
          </cell>
          <cell r="AN14">
            <v>745.24700000000007</v>
          </cell>
          <cell r="AO14">
            <v>804.60699999999997</v>
          </cell>
          <cell r="AP14">
            <v>1483.4009999999998</v>
          </cell>
          <cell r="AQ14">
            <v>3590.8679999999999</v>
          </cell>
          <cell r="AR14">
            <v>0</v>
          </cell>
          <cell r="AS14">
            <v>602.64599999999996</v>
          </cell>
          <cell r="AT14">
            <v>877.17099999999994</v>
          </cell>
          <cell r="AU14">
            <v>1043.2059999999999</v>
          </cell>
          <cell r="AV14">
            <v>1792.0060000000001</v>
          </cell>
          <cell r="AW14">
            <v>4315.0290000000005</v>
          </cell>
          <cell r="AX14">
            <v>0</v>
          </cell>
          <cell r="AY14">
            <v>771.24500000000012</v>
          </cell>
          <cell r="AZ14">
            <v>1093.193</v>
          </cell>
          <cell r="BA14">
            <v>1100.9650000000001</v>
          </cell>
          <cell r="BB14">
            <v>1618.48</v>
          </cell>
          <cell r="BC14">
            <v>4583.8829999999998</v>
          </cell>
          <cell r="BD14">
            <v>0</v>
          </cell>
          <cell r="BE14">
            <v>711.10800000000006</v>
          </cell>
          <cell r="BF14">
            <v>803.39100000000008</v>
          </cell>
          <cell r="BG14">
            <v>776.95299999999997</v>
          </cell>
          <cell r="BH14">
            <v>1149.9780000000001</v>
          </cell>
          <cell r="BI14">
            <v>3441.4300000000003</v>
          </cell>
          <cell r="BJ14">
            <v>0</v>
          </cell>
          <cell r="BK14">
            <v>563</v>
          </cell>
          <cell r="BL14">
            <v>765</v>
          </cell>
          <cell r="BM14">
            <v>755</v>
          </cell>
          <cell r="BN14">
            <v>1187</v>
          </cell>
          <cell r="BO14">
            <v>3270</v>
          </cell>
          <cell r="BP14">
            <v>0</v>
          </cell>
          <cell r="BQ14">
            <v>525</v>
          </cell>
          <cell r="BR14">
            <v>855</v>
          </cell>
          <cell r="BS14">
            <v>847</v>
          </cell>
          <cell r="BT14">
            <v>1314</v>
          </cell>
          <cell r="BU14">
            <v>3541</v>
          </cell>
          <cell r="BV14">
            <v>0</v>
          </cell>
          <cell r="BW14">
            <v>563</v>
          </cell>
          <cell r="BX14">
            <v>971</v>
          </cell>
          <cell r="BY14">
            <v>947</v>
          </cell>
          <cell r="BZ14">
            <v>1609</v>
          </cell>
          <cell r="CA14">
            <v>4090</v>
          </cell>
          <cell r="CB14">
            <v>0</v>
          </cell>
          <cell r="CC14">
            <v>629</v>
          </cell>
          <cell r="CD14">
            <v>1058</v>
          </cell>
          <cell r="CE14">
            <v>1096.4000000000001</v>
          </cell>
          <cell r="CF14">
            <v>2121</v>
          </cell>
          <cell r="CG14">
            <v>4904.3999999999996</v>
          </cell>
          <cell r="CH14">
            <v>0</v>
          </cell>
          <cell r="CI14">
            <v>804</v>
          </cell>
          <cell r="CJ14">
            <v>1207</v>
          </cell>
          <cell r="CK14">
            <v>1390</v>
          </cell>
          <cell r="CL14">
            <v>2481</v>
          </cell>
          <cell r="CM14">
            <v>5882</v>
          </cell>
          <cell r="CN14">
            <v>0</v>
          </cell>
          <cell r="CO14">
            <v>1087</v>
          </cell>
          <cell r="CP14">
            <v>1668</v>
          </cell>
          <cell r="CQ14">
            <v>1616</v>
          </cell>
          <cell r="CR14">
            <v>3144</v>
          </cell>
          <cell r="CS14">
            <v>7515</v>
          </cell>
          <cell r="CT14">
            <v>0</v>
          </cell>
          <cell r="CU14">
            <v>1235</v>
          </cell>
          <cell r="CV14">
            <v>1626</v>
          </cell>
          <cell r="CW14">
            <v>1516</v>
          </cell>
          <cell r="CX14">
            <v>2744</v>
          </cell>
          <cell r="CY14">
            <v>7121</v>
          </cell>
          <cell r="CZ14">
            <v>0</v>
          </cell>
          <cell r="DA14">
            <v>1028</v>
          </cell>
          <cell r="DB14">
            <v>1653</v>
          </cell>
          <cell r="DC14">
            <v>1718.4</v>
          </cell>
          <cell r="DD14">
            <v>3135</v>
          </cell>
          <cell r="DE14">
            <v>7534.4</v>
          </cell>
          <cell r="DF14">
            <v>0</v>
          </cell>
          <cell r="DG14">
            <v>1286</v>
          </cell>
          <cell r="DH14">
            <v>1999</v>
          </cell>
          <cell r="DI14">
            <v>2214</v>
          </cell>
          <cell r="DJ14">
            <v>3736</v>
          </cell>
          <cell r="DK14">
            <v>9235</v>
          </cell>
          <cell r="DL14">
            <v>0</v>
          </cell>
          <cell r="DM14">
            <v>1498</v>
          </cell>
          <cell r="DN14">
            <v>2048</v>
          </cell>
          <cell r="DO14">
            <v>2374</v>
          </cell>
          <cell r="DP14">
            <v>4007</v>
          </cell>
          <cell r="DQ14">
            <v>9927</v>
          </cell>
          <cell r="DR14">
            <v>0</v>
          </cell>
          <cell r="DS14">
            <v>1712</v>
          </cell>
          <cell r="DT14">
            <v>2515</v>
          </cell>
          <cell r="DU14">
            <v>2448</v>
          </cell>
          <cell r="DV14">
            <v>4147</v>
          </cell>
          <cell r="DW14">
            <v>10822</v>
          </cell>
          <cell r="DX14">
            <v>0</v>
          </cell>
          <cell r="DY14">
            <v>1765</v>
          </cell>
          <cell r="DZ14">
            <v>2480</v>
          </cell>
          <cell r="EA14">
            <v>2541</v>
          </cell>
          <cell r="EB14">
            <v>4224</v>
          </cell>
          <cell r="EC14">
            <v>11010</v>
          </cell>
          <cell r="ED14">
            <v>0</v>
          </cell>
          <cell r="EE14">
            <v>1847</v>
          </cell>
          <cell r="EF14">
            <v>2564</v>
          </cell>
          <cell r="EG14">
            <v>2512</v>
          </cell>
          <cell r="EH14">
            <v>3717</v>
          </cell>
          <cell r="EI14">
            <v>10640</v>
          </cell>
          <cell r="EJ14">
            <v>0</v>
          </cell>
          <cell r="EK14">
            <v>1763</v>
          </cell>
          <cell r="EL14">
            <v>2329</v>
          </cell>
          <cell r="EM14">
            <v>2387.89</v>
          </cell>
          <cell r="EN14">
            <v>3478.35</v>
          </cell>
          <cell r="EO14">
            <v>9958.24</v>
          </cell>
          <cell r="EP14">
            <v>0</v>
          </cell>
          <cell r="EQ14">
            <v>1867.4150000000002</v>
          </cell>
          <cell r="ER14">
            <v>2383.6549999999997</v>
          </cell>
          <cell r="ES14">
            <v>2464.2353499999999</v>
          </cell>
          <cell r="ET14">
            <v>3436.4492499999997</v>
          </cell>
          <cell r="EU14">
            <v>10151.7546</v>
          </cell>
          <cell r="EV14">
            <v>0</v>
          </cell>
          <cell r="EW14">
            <v>2051.0818625000002</v>
          </cell>
          <cell r="EX14">
            <v>2527.3182875000002</v>
          </cell>
          <cell r="EY14">
            <v>2627.6559426250001</v>
          </cell>
          <cell r="EZ14">
            <v>3477.1759750000001</v>
          </cell>
          <cell r="FA14">
            <v>10683.232067625</v>
          </cell>
          <cell r="FB14">
            <v>0</v>
          </cell>
          <cell r="FC14">
            <v>5228.3999999999996</v>
          </cell>
          <cell r="FD14">
            <v>6626</v>
          </cell>
          <cell r="FE14">
            <v>7621</v>
          </cell>
          <cell r="FF14">
            <v>6941</v>
          </cell>
          <cell r="FG14">
            <v>8138.4</v>
          </cell>
          <cell r="FH14">
            <v>9496</v>
          </cell>
          <cell r="FI14">
            <v>10608</v>
          </cell>
          <cell r="FJ14">
            <v>10840</v>
          </cell>
          <cell r="FK14">
            <v>11176</v>
          </cell>
          <cell r="FL14">
            <v>10321</v>
          </cell>
          <cell r="FM14">
            <v>10117.31</v>
          </cell>
          <cell r="FN14">
            <v>10479.08475</v>
          </cell>
          <cell r="FQ14">
            <v>0</v>
          </cell>
          <cell r="FR14">
            <v>0</v>
          </cell>
          <cell r="FS14">
            <v>0</v>
          </cell>
          <cell r="FT14">
            <v>0</v>
          </cell>
          <cell r="FU14">
            <v>0</v>
          </cell>
          <cell r="FV14">
            <v>0</v>
          </cell>
          <cell r="FX14">
            <v>0</v>
          </cell>
          <cell r="FY14">
            <v>0</v>
          </cell>
          <cell r="FZ14">
            <v>0</v>
          </cell>
          <cell r="GA14">
            <v>0</v>
          </cell>
          <cell r="GB14">
            <v>0</v>
          </cell>
          <cell r="GC14">
            <v>0</v>
          </cell>
          <cell r="GD14">
            <v>0</v>
          </cell>
          <cell r="GE14">
            <v>0</v>
          </cell>
          <cell r="GF14">
            <v>0</v>
          </cell>
          <cell r="GG14">
            <v>0</v>
          </cell>
          <cell r="GH14">
            <v>0</v>
          </cell>
          <cell r="GI14">
            <v>0</v>
          </cell>
          <cell r="GJ14">
            <v>0</v>
          </cell>
          <cell r="GK14">
            <v>0</v>
          </cell>
          <cell r="GL14">
            <v>0</v>
          </cell>
          <cell r="GM14">
            <v>0</v>
          </cell>
          <cell r="GN14">
            <v>0</v>
          </cell>
          <cell r="GO14">
            <v>0</v>
          </cell>
          <cell r="GP14">
            <v>0</v>
          </cell>
          <cell r="GQ14">
            <v>0</v>
          </cell>
          <cell r="GR14">
            <v>0</v>
          </cell>
          <cell r="GS14">
            <v>0</v>
          </cell>
          <cell r="GT14">
            <v>0</v>
          </cell>
          <cell r="GU14">
            <v>0</v>
          </cell>
          <cell r="GV14">
            <v>0</v>
          </cell>
          <cell r="GW14">
            <v>0</v>
          </cell>
          <cell r="GX14">
            <v>0</v>
          </cell>
          <cell r="GY14">
            <v>0</v>
          </cell>
          <cell r="GZ14">
            <v>0</v>
          </cell>
          <cell r="HA14">
            <v>0</v>
          </cell>
        </row>
        <row r="15">
          <cell r="C15" t="str">
            <v>-</v>
          </cell>
          <cell r="D15">
            <v>0.82076287848997209</v>
          </cell>
          <cell r="E15">
            <v>1.3906094769124446</v>
          </cell>
          <cell r="F15">
            <v>1.3714698708103712</v>
          </cell>
          <cell r="G15">
            <v>0.56523097318836713</v>
          </cell>
          <cell r="H15">
            <v>1.0343661011998928</v>
          </cell>
          <cell r="I15">
            <v>0.59013231880936989</v>
          </cell>
          <cell r="J15">
            <v>-2.8709048338459442E-2</v>
          </cell>
          <cell r="K15">
            <v>1.7839299131660713E-2</v>
          </cell>
          <cell r="L15">
            <v>0.22678843226788437</v>
          </cell>
          <cell r="M15">
            <v>0.36352357320099249</v>
          </cell>
          <cell r="O15" t="str">
            <v>-</v>
          </cell>
          <cell r="P15" t="str">
            <v>-</v>
          </cell>
          <cell r="Q15" t="str">
            <v>-</v>
          </cell>
          <cell r="R15" t="str">
            <v>-</v>
          </cell>
          <cell r="S15">
            <v>0.46132848043676078</v>
          </cell>
          <cell r="U15">
            <v>0.25</v>
          </cell>
          <cell r="V15">
            <v>0.41425655976676379</v>
          </cell>
          <cell r="W15">
            <v>0.37333333333333329</v>
          </cell>
          <cell r="X15">
            <v>0.45230263157894735</v>
          </cell>
          <cell r="Y15">
            <v>0.39046699875467006</v>
          </cell>
          <cell r="AA15">
            <v>0.26947714285714297</v>
          </cell>
          <cell r="AB15">
            <v>0.25017419447937495</v>
          </cell>
          <cell r="AC15">
            <v>0.28981941747572804</v>
          </cell>
          <cell r="AD15">
            <v>0.25416647791619496</v>
          </cell>
          <cell r="AE15">
            <v>0.2639212929169894</v>
          </cell>
          <cell r="AG15">
            <v>0.13742215580317652</v>
          </cell>
          <cell r="AH15">
            <v>2.4274174000366022E-2</v>
          </cell>
          <cell r="AI15">
            <v>0.1338879379517266</v>
          </cell>
          <cell r="AJ15">
            <v>9.2009510316236831E-2</v>
          </cell>
          <cell r="AK15">
            <v>9.4460486456801496E-2</v>
          </cell>
          <cell r="AM15">
            <v>0.1033626448426519</v>
          </cell>
          <cell r="AN15">
            <v>0.19975111403034296</v>
          </cell>
          <cell r="AO15">
            <v>6.8261388515294286E-2</v>
          </cell>
          <cell r="AP15">
            <v>0.2266375484465275</v>
          </cell>
          <cell r="AQ15">
            <v>0.16244682848504088</v>
          </cell>
          <cell r="AS15">
            <v>8.0760312259577693E-2</v>
          </cell>
          <cell r="AT15">
            <v>0.17702050461122276</v>
          </cell>
          <cell r="AU15">
            <v>0.29654104426135985</v>
          </cell>
          <cell r="AV15">
            <v>0.20803882429633003</v>
          </cell>
          <cell r="AW15">
            <v>0.20166739629526909</v>
          </cell>
          <cell r="AY15">
            <v>0.27976457157269796</v>
          </cell>
          <cell r="AZ15">
            <v>0.24627125155756402</v>
          </cell>
          <cell r="BA15">
            <v>5.5366821126412447E-2</v>
          </cell>
          <cell r="BB15">
            <v>-9.683338113823281E-2</v>
          </cell>
          <cell r="BC15">
            <v>6.2306417871119679E-2</v>
          </cell>
          <cell r="BE15">
            <v>-7.7973925276663136E-2</v>
          </cell>
          <cell r="BF15">
            <v>-0.26509683102617732</v>
          </cell>
          <cell r="BG15">
            <v>-0.29429818386597228</v>
          </cell>
          <cell r="BH15">
            <v>-0.2894703672581681</v>
          </cell>
          <cell r="BI15">
            <v>-0.24923258294332551</v>
          </cell>
          <cell r="BK15">
            <v>-0.20827778621531479</v>
          </cell>
          <cell r="BL15">
            <v>-4.7786196260600433E-2</v>
          </cell>
          <cell r="BM15">
            <v>-2.8255248386968024E-2</v>
          </cell>
          <cell r="BN15">
            <v>3.2193659356961613E-2</v>
          </cell>
          <cell r="BO15">
            <v>-4.9813594930014693E-2</v>
          </cell>
          <cell r="BQ15">
            <v>-6.7495559502664282E-2</v>
          </cell>
          <cell r="BR15">
            <v>0.11764705882352944</v>
          </cell>
          <cell r="BS15">
            <v>0.12185430463576163</v>
          </cell>
          <cell r="BT15">
            <v>0.10699241786015157</v>
          </cell>
          <cell r="BU15">
            <v>8.2874617737002998E-2</v>
          </cell>
          <cell r="BW15">
            <v>7.2380952380952435E-2</v>
          </cell>
          <cell r="BX15">
            <v>0.13567251461988294</v>
          </cell>
          <cell r="BY15">
            <v>0.11806375442739081</v>
          </cell>
          <cell r="BZ15">
            <v>0.22450532724505323</v>
          </cell>
          <cell r="CA15">
            <v>0.15504094888449593</v>
          </cell>
          <cell r="CC15">
            <v>0.1172291296625223</v>
          </cell>
          <cell r="CD15">
            <v>8.9598352214212085E-2</v>
          </cell>
          <cell r="CE15">
            <v>0.15776135163674776</v>
          </cell>
          <cell r="CF15">
            <v>0.3182100683654443</v>
          </cell>
          <cell r="CG15">
            <v>0.19911980440097787</v>
          </cell>
          <cell r="CI15">
            <v>0.27821939586645472</v>
          </cell>
          <cell r="CJ15">
            <v>0.14083175803402637</v>
          </cell>
          <cell r="CK15">
            <v>0.26778547975191525</v>
          </cell>
          <cell r="CL15">
            <v>0.16973125884016982</v>
          </cell>
          <cell r="CM15">
            <v>0.19933121278851651</v>
          </cell>
          <cell r="CO15">
            <v>0.35199004975124382</v>
          </cell>
          <cell r="CP15">
            <v>0.38193869096934541</v>
          </cell>
          <cell r="CQ15">
            <v>0.16258992805755401</v>
          </cell>
          <cell r="CR15">
            <v>0.26723095525997587</v>
          </cell>
          <cell r="CS15">
            <v>0.27762665759945593</v>
          </cell>
          <cell r="CU15">
            <v>0.13615455381784725</v>
          </cell>
          <cell r="CV15">
            <v>-2.5179856115107868E-2</v>
          </cell>
          <cell r="CW15">
            <v>-6.1881188118811936E-2</v>
          </cell>
          <cell r="CX15">
            <v>-0.12722646310432573</v>
          </cell>
          <cell r="CY15">
            <v>-5.2428476380572242E-2</v>
          </cell>
          <cell r="DA15">
            <v>-0.16761133603238865</v>
          </cell>
          <cell r="DB15">
            <v>1.6605166051660625E-2</v>
          </cell>
          <cell r="DC15">
            <v>0.13350923482849608</v>
          </cell>
          <cell r="DE15">
            <v>5.8053644151102368E-2</v>
          </cell>
          <cell r="DG15">
            <v>0.25097276264591439</v>
          </cell>
          <cell r="DH15">
            <v>0.20931639443436167</v>
          </cell>
          <cell r="DI15">
            <v>0.28840782122905018</v>
          </cell>
          <cell r="DJ15">
            <v>0.19170653907496016</v>
          </cell>
          <cell r="DK15">
            <v>0.22571140369505205</v>
          </cell>
          <cell r="DM15">
            <v>0.16485225505443224</v>
          </cell>
          <cell r="DN15">
            <v>2.4512256128063958E-2</v>
          </cell>
          <cell r="DO15">
            <v>7.2267389340560095E-2</v>
          </cell>
          <cell r="DP15">
            <v>7.2537473233404759E-2</v>
          </cell>
          <cell r="DQ15">
            <v>7.4932322685435926E-2</v>
          </cell>
          <cell r="DS15">
            <v>0.14285714285714279</v>
          </cell>
          <cell r="DT15">
            <v>0.22802734375</v>
          </cell>
          <cell r="DU15">
            <v>3.1171019376579512E-2</v>
          </cell>
          <cell r="DV15">
            <v>3.4938857000249568E-2</v>
          </cell>
          <cell r="DW15">
            <v>9.0158154528054757E-2</v>
          </cell>
          <cell r="DY15">
            <v>3.0957943925233655E-2</v>
          </cell>
          <cell r="DZ15">
            <v>-1.3916500994035741E-2</v>
          </cell>
          <cell r="EA15">
            <v>3.799019607843146E-2</v>
          </cell>
          <cell r="EB15">
            <v>1.8567639257294433E-2</v>
          </cell>
          <cell r="EC15">
            <v>1.7372019959342122E-2</v>
          </cell>
          <cell r="EE15">
            <v>4.6458923512747941E-2</v>
          </cell>
          <cell r="EF15">
            <v>3.3870967741935543E-2</v>
          </cell>
          <cell r="EG15">
            <v>-1.1412829594647733E-2</v>
          </cell>
          <cell r="EH15">
            <v>-0.12002840909090906</v>
          </cell>
          <cell r="EI15">
            <v>-3.3605812897366083E-2</v>
          </cell>
          <cell r="EK15">
            <v>-4.5479155387114223E-2</v>
          </cell>
          <cell r="EL15">
            <v>-9.1653666146645829E-2</v>
          </cell>
          <cell r="EM15">
            <v>-4.9406847133757981E-2</v>
          </cell>
          <cell r="EN15">
            <v>-6.4205004035512547E-2</v>
          </cell>
          <cell r="EO15">
            <v>-6.4075187969924841E-2</v>
          </cell>
          <cell r="EQ15">
            <v>5.9225751559841333E-2</v>
          </cell>
          <cell r="ER15">
            <v>2.3467153284671527E-2</v>
          </cell>
          <cell r="ES15">
            <v>3.197188731474232E-2</v>
          </cell>
          <cell r="ET15">
            <v>-1.2046156942228436E-2</v>
          </cell>
          <cell r="EU15">
            <v>1.9432610581789689E-2</v>
          </cell>
          <cell r="EW15">
            <v>9.8353532824787093E-2</v>
          </cell>
          <cell r="EX15">
            <v>6.0270168082210196E-2</v>
          </cell>
          <cell r="EY15">
            <v>6.6316958169194473E-2</v>
          </cell>
          <cell r="EZ15">
            <v>1.1851397194357016E-2</v>
          </cell>
          <cell r="FA15">
            <v>5.2353261930208506E-2</v>
          </cell>
        </row>
        <row r="16">
          <cell r="C16" t="str">
            <v>-</v>
          </cell>
          <cell r="D16" t="str">
            <v>-</v>
          </cell>
          <cell r="E16" t="str">
            <v>-</v>
          </cell>
          <cell r="F16" t="str">
            <v>-</v>
          </cell>
          <cell r="G16" t="str">
            <v>-</v>
          </cell>
          <cell r="H16" t="str">
            <v>-</v>
          </cell>
          <cell r="I16" t="str">
            <v>-</v>
          </cell>
          <cell r="J16" t="str">
            <v>-</v>
          </cell>
          <cell r="K16" t="str">
            <v>-</v>
          </cell>
          <cell r="L16" t="str">
            <v>-</v>
          </cell>
          <cell r="M16" t="str">
            <v>-</v>
          </cell>
          <cell r="O16" t="str">
            <v>-</v>
          </cell>
          <cell r="P16">
            <v>0.22500000000000009</v>
          </cell>
          <cell r="Q16">
            <v>9.3294460641399457E-2</v>
          </cell>
          <cell r="R16">
            <v>0.62133333333333329</v>
          </cell>
          <cell r="S16" t="str">
            <v>-</v>
          </cell>
          <cell r="U16">
            <v>-0.42434210526315785</v>
          </cell>
          <cell r="V16">
            <v>0.38597142857142841</v>
          </cell>
          <cell r="W16">
            <v>6.165866127935038E-2</v>
          </cell>
          <cell r="X16">
            <v>0.71456310679611645</v>
          </cell>
          <cell r="Y16" t="str">
            <v>-</v>
          </cell>
          <cell r="AA16">
            <v>-0.49680973952434881</v>
          </cell>
          <cell r="AB16">
            <v>0.36489713425324721</v>
          </cell>
          <cell r="AC16">
            <v>9.5325725083972523E-2</v>
          </cell>
          <cell r="AD16">
            <v>0.66716948410028065</v>
          </cell>
          <cell r="AE16" t="str">
            <v>-</v>
          </cell>
          <cell r="AG16">
            <v>-0.54364929941332596</v>
          </cell>
          <cell r="AH16">
            <v>0.22912049642246579</v>
          </cell>
          <cell r="AI16">
            <v>0.21254314452772838</v>
          </cell>
          <cell r="AJ16">
            <v>0.60559511307194813</v>
          </cell>
          <cell r="AK16" t="str">
            <v>-</v>
          </cell>
          <cell r="AM16">
            <v>-0.53890482526173722</v>
          </cell>
          <cell r="AN16">
            <v>0.33649502432690781</v>
          </cell>
          <cell r="AO16">
            <v>7.9651444420440365E-2</v>
          </cell>
          <cell r="AP16">
            <v>0.84363422142735511</v>
          </cell>
          <cell r="AQ16" t="str">
            <v>-</v>
          </cell>
          <cell r="AS16">
            <v>-0.59374033049728292</v>
          </cell>
          <cell r="AT16">
            <v>0.45553276716347568</v>
          </cell>
          <cell r="AU16">
            <v>0.18928464347316543</v>
          </cell>
          <cell r="AV16">
            <v>0.717787282665169</v>
          </cell>
          <cell r="AW16" t="str">
            <v>-</v>
          </cell>
          <cell r="AY16">
            <v>-0.56961918654290211</v>
          </cell>
          <cell r="AZ16">
            <v>0.4174393351010377</v>
          </cell>
          <cell r="BA16">
            <v>7.1094491091694412E-3</v>
          </cell>
          <cell r="BB16">
            <v>0.47005581467167423</v>
          </cell>
          <cell r="BC16" t="str">
            <v>-</v>
          </cell>
          <cell r="BE16">
            <v>-0.56063219811180853</v>
          </cell>
          <cell r="BF16">
            <v>0.1297735365092223</v>
          </cell>
          <cell r="BG16">
            <v>-3.2908011167663176E-2</v>
          </cell>
          <cell r="BH16">
            <v>0.48011269664960432</v>
          </cell>
          <cell r="BI16" t="str">
            <v>-</v>
          </cell>
          <cell r="BK16">
            <v>-0.51042541683406117</v>
          </cell>
          <cell r="BL16">
            <v>0.3587921847246891</v>
          </cell>
          <cell r="BM16">
            <v>-1.3071895424836555E-2</v>
          </cell>
          <cell r="BN16">
            <v>0.57218543046357606</v>
          </cell>
          <cell r="BO16" t="str">
            <v>-</v>
          </cell>
          <cell r="BQ16">
            <v>-0.55770850884582979</v>
          </cell>
          <cell r="BR16">
            <v>0.62857142857142856</v>
          </cell>
          <cell r="BS16">
            <v>-9.3567251461987855E-3</v>
          </cell>
          <cell r="BT16">
            <v>0.55135773317591497</v>
          </cell>
          <cell r="BU16" t="str">
            <v>-</v>
          </cell>
          <cell r="BW16">
            <v>-0.57153729071537285</v>
          </cell>
          <cell r="BX16">
            <v>0.72468916518650084</v>
          </cell>
          <cell r="BY16">
            <v>-2.4716786817713721E-2</v>
          </cell>
          <cell r="BZ16">
            <v>0.69904963041182677</v>
          </cell>
          <cell r="CA16" t="str">
            <v>-</v>
          </cell>
          <cell r="CC16">
            <v>-0.60907395898073335</v>
          </cell>
          <cell r="CD16">
            <v>0.68203497615262321</v>
          </cell>
          <cell r="CE16">
            <v>3.6294896030245827E-2</v>
          </cell>
          <cell r="CF16">
            <v>0.93451295147756275</v>
          </cell>
          <cell r="CG16" t="str">
            <v>-</v>
          </cell>
          <cell r="CI16">
            <v>-0.62093352192362095</v>
          </cell>
          <cell r="CJ16">
            <v>0.50124378109452739</v>
          </cell>
          <cell r="CK16">
            <v>0.15161557580778795</v>
          </cell>
          <cell r="CL16">
            <v>0.78489208633093521</v>
          </cell>
          <cell r="CM16" t="str">
            <v>-</v>
          </cell>
          <cell r="CO16">
            <v>-0.56187021362353895</v>
          </cell>
          <cell r="CP16">
            <v>0.53449862005519777</v>
          </cell>
          <cell r="CQ16">
            <v>-3.1175059952038398E-2</v>
          </cell>
          <cell r="CR16">
            <v>0.9455445544554455</v>
          </cell>
          <cell r="CS16" t="str">
            <v>-</v>
          </cell>
          <cell r="CU16">
            <v>-0.60718829516539441</v>
          </cell>
          <cell r="CV16">
            <v>0.31659919028340089</v>
          </cell>
          <cell r="CW16">
            <v>-6.765067650676504E-2</v>
          </cell>
          <cell r="CX16">
            <v>0.81002638522427439</v>
          </cell>
          <cell r="CY16" t="str">
            <v>-</v>
          </cell>
          <cell r="DA16">
            <v>-0.62536443148688048</v>
          </cell>
          <cell r="DB16">
            <v>0.60797665369649811</v>
          </cell>
          <cell r="DC16">
            <v>3.9564428312159672E-2</v>
          </cell>
          <cell r="DE16" t="str">
            <v>-</v>
          </cell>
          <cell r="DG16">
            <v>-0.58979266347687398</v>
          </cell>
          <cell r="DH16">
            <v>0.55443234836702948</v>
          </cell>
          <cell r="DI16">
            <v>0.10755377688844425</v>
          </cell>
          <cell r="DJ16">
            <v>0.68744354110207762</v>
          </cell>
          <cell r="DK16" t="str">
            <v>-</v>
          </cell>
          <cell r="DM16">
            <v>-0.59903640256959312</v>
          </cell>
          <cell r="DN16">
            <v>0.36715620827770357</v>
          </cell>
          <cell r="DO16">
            <v>0.1591796875</v>
          </cell>
          <cell r="DP16">
            <v>0.68786857624262843</v>
          </cell>
          <cell r="DQ16" t="str">
            <v>-</v>
          </cell>
          <cell r="DS16">
            <v>-0.57274769153980531</v>
          </cell>
          <cell r="DT16">
            <v>0.46904205607476634</v>
          </cell>
          <cell r="DU16">
            <v>-2.6640159045725698E-2</v>
          </cell>
          <cell r="DV16">
            <v>0.69403594771241828</v>
          </cell>
          <cell r="DW16" t="str">
            <v>-</v>
          </cell>
          <cell r="DY16">
            <v>-0.57439112611526411</v>
          </cell>
          <cell r="DZ16">
            <v>0.40509915014164299</v>
          </cell>
          <cell r="EA16">
            <v>2.4596774193548443E-2</v>
          </cell>
          <cell r="EB16">
            <v>0.66233766233766245</v>
          </cell>
          <cell r="EC16" t="str">
            <v>-</v>
          </cell>
          <cell r="EE16">
            <v>-0.56273674242424243</v>
          </cell>
          <cell r="EF16">
            <v>0.38819707634001088</v>
          </cell>
          <cell r="EG16">
            <v>-2.0280811232449292E-2</v>
          </cell>
          <cell r="EH16">
            <v>0.47969745222929938</v>
          </cell>
          <cell r="EI16" t="str">
            <v>-</v>
          </cell>
          <cell r="EK16">
            <v>-0.52569276298089851</v>
          </cell>
          <cell r="EL16">
            <v>0.32104367555303459</v>
          </cell>
          <cell r="EM16">
            <v>2.5285530270502399E-2</v>
          </cell>
          <cell r="EN16">
            <v>0.45666257658434861</v>
          </cell>
          <cell r="EO16" t="str">
            <v>-</v>
          </cell>
          <cell r="EQ16">
            <v>-0.46313194474391584</v>
          </cell>
          <cell r="ER16">
            <v>0.27644631750307225</v>
          </cell>
          <cell r="ES16">
            <v>3.3805374519383147E-2</v>
          </cell>
          <cell r="ET16">
            <v>0.39452964587980599</v>
          </cell>
          <cell r="EU16" t="str">
            <v>-</v>
          </cell>
          <cell r="EW16">
            <v>-0.40313919593021774</v>
          </cell>
          <cell r="EX16">
            <v>0.23218791687793994</v>
          </cell>
          <cell r="EY16">
            <v>3.9701234158461718E-2</v>
          </cell>
          <cell r="EZ16">
            <v>0.32329956848396924</v>
          </cell>
          <cell r="FA16" t="str">
            <v>-</v>
          </cell>
        </row>
        <row r="17">
          <cell r="K17">
            <v>0</v>
          </cell>
          <cell r="L17">
            <v>0</v>
          </cell>
          <cell r="M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CC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I17">
            <v>0</v>
          </cell>
          <cell r="CJ17">
            <v>0</v>
          </cell>
          <cell r="CK17">
            <v>0</v>
          </cell>
          <cell r="CL17">
            <v>0</v>
          </cell>
          <cell r="CM17">
            <v>0</v>
          </cell>
          <cell r="CO17">
            <v>0</v>
          </cell>
          <cell r="CP17">
            <v>0</v>
          </cell>
          <cell r="CQ17">
            <v>0</v>
          </cell>
          <cell r="CR17">
            <v>0</v>
          </cell>
          <cell r="CS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DA17">
            <v>0</v>
          </cell>
          <cell r="DB17">
            <v>0</v>
          </cell>
          <cell r="DC17">
            <v>0</v>
          </cell>
          <cell r="DE17">
            <v>0</v>
          </cell>
          <cell r="DG17">
            <v>0</v>
          </cell>
          <cell r="DH17">
            <v>0</v>
          </cell>
          <cell r="DI17">
            <v>0</v>
          </cell>
          <cell r="DJ17">
            <v>0</v>
          </cell>
          <cell r="DK17">
            <v>0</v>
          </cell>
          <cell r="DM17">
            <v>0</v>
          </cell>
          <cell r="DN17">
            <v>0</v>
          </cell>
          <cell r="DO17">
            <v>0</v>
          </cell>
          <cell r="DP17">
            <v>0</v>
          </cell>
          <cell r="DQ17">
            <v>0</v>
          </cell>
          <cell r="DS17">
            <v>1371</v>
          </cell>
          <cell r="DT17">
            <v>2171</v>
          </cell>
          <cell r="DU17">
            <v>2101</v>
          </cell>
          <cell r="DV17">
            <v>3769</v>
          </cell>
          <cell r="DW17">
            <v>9412</v>
          </cell>
          <cell r="DY17">
            <v>1399</v>
          </cell>
          <cell r="DZ17">
            <v>2121</v>
          </cell>
          <cell r="EA17">
            <v>2128</v>
          </cell>
          <cell r="EB17">
            <v>3769</v>
          </cell>
          <cell r="EC17">
            <v>9417</v>
          </cell>
          <cell r="EE17">
            <v>1370</v>
          </cell>
          <cell r="EF17">
            <v>2045</v>
          </cell>
          <cell r="EG17">
            <v>1982</v>
          </cell>
          <cell r="EH17">
            <v>3138</v>
          </cell>
          <cell r="EI17">
            <v>8535</v>
          </cell>
          <cell r="EK17">
            <v>1151</v>
          </cell>
          <cell r="EL17">
            <v>1677</v>
          </cell>
          <cell r="EM17">
            <v>1674.79</v>
          </cell>
          <cell r="EN17">
            <v>2667.2999999999997</v>
          </cell>
          <cell r="EO17">
            <v>7170.09</v>
          </cell>
          <cell r="EQ17">
            <v>995.61500000000001</v>
          </cell>
          <cell r="ER17">
            <v>1450.605</v>
          </cell>
          <cell r="ES17">
            <v>1448.69335</v>
          </cell>
          <cell r="ET17">
            <v>2307.2144999999996</v>
          </cell>
          <cell r="EU17">
            <v>6202.1278499999999</v>
          </cell>
          <cell r="EW17">
            <v>853.73986250000007</v>
          </cell>
          <cell r="EX17">
            <v>1243.8937875000001</v>
          </cell>
          <cell r="EY17">
            <v>1242.254547625</v>
          </cell>
          <cell r="EZ17">
            <v>1978.4364337499997</v>
          </cell>
          <cell r="FA17">
            <v>5318.3246313750005</v>
          </cell>
        </row>
        <row r="18"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W18">
            <v>0</v>
          </cell>
          <cell r="BX18">
            <v>0</v>
          </cell>
          <cell r="BY18">
            <v>0</v>
          </cell>
          <cell r="BZ18">
            <v>0</v>
          </cell>
          <cell r="CA18">
            <v>0</v>
          </cell>
          <cell r="CC18">
            <v>0</v>
          </cell>
          <cell r="CD18">
            <v>0</v>
          </cell>
          <cell r="CE18">
            <v>0</v>
          </cell>
          <cell r="CF18">
            <v>0</v>
          </cell>
          <cell r="CG18">
            <v>0</v>
          </cell>
          <cell r="CI18">
            <v>0</v>
          </cell>
          <cell r="CJ18">
            <v>0</v>
          </cell>
          <cell r="CK18">
            <v>0</v>
          </cell>
          <cell r="CL18">
            <v>0</v>
          </cell>
          <cell r="CM18">
            <v>0</v>
          </cell>
          <cell r="CO18">
            <v>0</v>
          </cell>
          <cell r="CP18">
            <v>0</v>
          </cell>
          <cell r="CQ18">
            <v>0</v>
          </cell>
          <cell r="CR18">
            <v>0</v>
          </cell>
          <cell r="CS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DA18">
            <v>0</v>
          </cell>
          <cell r="DB18">
            <v>0</v>
          </cell>
          <cell r="DC18">
            <v>0</v>
          </cell>
          <cell r="DE18">
            <v>0</v>
          </cell>
          <cell r="DG18">
            <v>0</v>
          </cell>
          <cell r="DH18">
            <v>0</v>
          </cell>
          <cell r="DI18">
            <v>0</v>
          </cell>
          <cell r="DJ18">
            <v>0</v>
          </cell>
          <cell r="DK18">
            <v>0</v>
          </cell>
          <cell r="DM18">
            <v>0</v>
          </cell>
          <cell r="DN18">
            <v>0</v>
          </cell>
          <cell r="DO18">
            <v>0</v>
          </cell>
          <cell r="DP18">
            <v>0</v>
          </cell>
          <cell r="DQ18">
            <v>0</v>
          </cell>
          <cell r="DS18">
            <v>0</v>
          </cell>
          <cell r="DT18">
            <v>0</v>
          </cell>
          <cell r="DU18">
            <v>0</v>
          </cell>
          <cell r="DV18">
            <v>0</v>
          </cell>
          <cell r="DW18">
            <v>0</v>
          </cell>
          <cell r="DY18">
            <v>2.0423048869438354E-2</v>
          </cell>
          <cell r="DZ18">
            <v>-2.3030861354214616E-2</v>
          </cell>
          <cell r="EA18">
            <v>1.2851023322227428E-2</v>
          </cell>
          <cell r="EB18">
            <v>0</v>
          </cell>
          <cell r="EC18">
            <v>5.3123671908195114E-4</v>
          </cell>
          <cell r="EE18">
            <v>-2.0729092208720545E-2</v>
          </cell>
          <cell r="EF18">
            <v>-3.5832154644035885E-2</v>
          </cell>
          <cell r="EG18">
            <v>-6.8609022556391008E-2</v>
          </cell>
          <cell r="EH18">
            <v>-0.16741841337224728</v>
          </cell>
          <cell r="EI18">
            <v>-9.3660401401720272E-2</v>
          </cell>
          <cell r="EK18">
            <v>-0.1598540145985401</v>
          </cell>
          <cell r="EL18">
            <v>-0.17995110024449879</v>
          </cell>
          <cell r="EM18">
            <v>-0.155</v>
          </cell>
          <cell r="EN18">
            <v>-0.15</v>
          </cell>
          <cell r="EO18">
            <v>-0.15991915641476273</v>
          </cell>
          <cell r="EQ18">
            <v>-0.13500000000000001</v>
          </cell>
          <cell r="ER18">
            <v>-0.13500000000000001</v>
          </cell>
          <cell r="ES18">
            <v>-0.13500000000000001</v>
          </cell>
          <cell r="ET18">
            <v>-0.13500000000000001</v>
          </cell>
          <cell r="EU18">
            <v>-0.13500000000000001</v>
          </cell>
          <cell r="EW18">
            <v>-0.14249999999999999</v>
          </cell>
          <cell r="EX18">
            <v>-0.14249999999999999</v>
          </cell>
          <cell r="EY18">
            <v>-0.14249999999999999</v>
          </cell>
          <cell r="EZ18">
            <v>-0.14249999999999999</v>
          </cell>
          <cell r="FA18">
            <v>-0.14249999999999985</v>
          </cell>
        </row>
        <row r="19"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O19">
            <v>0</v>
          </cell>
          <cell r="P19">
            <v>0</v>
          </cell>
          <cell r="Q19">
            <v>0</v>
          </cell>
          <cell r="R19">
            <v>0</v>
          </cell>
          <cell r="S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W19">
            <v>0</v>
          </cell>
          <cell r="BX19">
            <v>0</v>
          </cell>
          <cell r="BY19">
            <v>0</v>
          </cell>
          <cell r="BZ19">
            <v>0</v>
          </cell>
          <cell r="CA19">
            <v>0</v>
          </cell>
          <cell r="CC19">
            <v>0</v>
          </cell>
          <cell r="CD19">
            <v>0</v>
          </cell>
          <cell r="CE19">
            <v>0</v>
          </cell>
          <cell r="CF19">
            <v>0</v>
          </cell>
          <cell r="CG19">
            <v>0</v>
          </cell>
          <cell r="CI19">
            <v>0</v>
          </cell>
          <cell r="CJ19">
            <v>0</v>
          </cell>
          <cell r="CK19">
            <v>0</v>
          </cell>
          <cell r="CL19">
            <v>0</v>
          </cell>
          <cell r="CM19">
            <v>0</v>
          </cell>
          <cell r="CO19">
            <v>0</v>
          </cell>
          <cell r="CP19">
            <v>0</v>
          </cell>
          <cell r="CQ19">
            <v>0</v>
          </cell>
          <cell r="CR19">
            <v>0</v>
          </cell>
          <cell r="CS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DA19">
            <v>0</v>
          </cell>
          <cell r="DB19">
            <v>0</v>
          </cell>
          <cell r="DC19">
            <v>0</v>
          </cell>
          <cell r="DE19">
            <v>0</v>
          </cell>
          <cell r="DG19">
            <v>0</v>
          </cell>
          <cell r="DH19">
            <v>0</v>
          </cell>
          <cell r="DI19">
            <v>0</v>
          </cell>
          <cell r="DJ19">
            <v>0</v>
          </cell>
          <cell r="DK19">
            <v>0</v>
          </cell>
          <cell r="DM19">
            <v>0</v>
          </cell>
          <cell r="DN19">
            <v>0</v>
          </cell>
          <cell r="DO19">
            <v>0</v>
          </cell>
          <cell r="DP19">
            <v>0</v>
          </cell>
          <cell r="DQ19">
            <v>0</v>
          </cell>
          <cell r="DS19">
            <v>0</v>
          </cell>
          <cell r="DT19">
            <v>0.58351568198395332</v>
          </cell>
          <cell r="DU19">
            <v>-3.2243205895900462E-2</v>
          </cell>
          <cell r="DV19">
            <v>0.79390766301761073</v>
          </cell>
          <cell r="DW19" t="str">
            <v>-</v>
          </cell>
          <cell r="DY19">
            <v>-0.62881400902096041</v>
          </cell>
          <cell r="DZ19">
            <v>0.51608291636883497</v>
          </cell>
          <cell r="EA19">
            <v>3.3003300330032292E-3</v>
          </cell>
          <cell r="EB19">
            <v>0.77114661654135341</v>
          </cell>
          <cell r="EC19" t="str">
            <v>-</v>
          </cell>
          <cell r="EE19">
            <v>-0.63650835765455027</v>
          </cell>
          <cell r="EF19">
            <v>0.4927007299270072</v>
          </cell>
          <cell r="EG19">
            <v>-3.0806845965770213E-2</v>
          </cell>
          <cell r="EH19">
            <v>0.5832492431886982</v>
          </cell>
          <cell r="EI19" t="str">
            <v>-</v>
          </cell>
          <cell r="EK19">
            <v>-0.63320586360739317</v>
          </cell>
          <cell r="EL19">
            <v>0.45699391833188541</v>
          </cell>
          <cell r="EM19">
            <v>-1.3178294573643612E-3</v>
          </cell>
          <cell r="EN19">
            <v>0.59261758190579106</v>
          </cell>
          <cell r="EO19" t="str">
            <v>-</v>
          </cell>
          <cell r="EQ19">
            <v>-0.62673302590634727</v>
          </cell>
          <cell r="ER19">
            <v>0.45699391833188541</v>
          </cell>
          <cell r="ES19">
            <v>-1.3178294573643612E-3</v>
          </cell>
          <cell r="ET19">
            <v>0.59261758190579084</v>
          </cell>
          <cell r="EU19" t="str">
            <v>-</v>
          </cell>
          <cell r="EW19">
            <v>-0.62996944475687022</v>
          </cell>
          <cell r="EX19">
            <v>0.45699391833188541</v>
          </cell>
          <cell r="EY19">
            <v>-1.3178294573644722E-3</v>
          </cell>
          <cell r="EZ19">
            <v>0.59261758190579084</v>
          </cell>
          <cell r="FA19" t="str">
            <v>-</v>
          </cell>
        </row>
        <row r="20">
          <cell r="K20">
            <v>0</v>
          </cell>
          <cell r="L20">
            <v>0</v>
          </cell>
          <cell r="M20">
            <v>0</v>
          </cell>
          <cell r="O20">
            <v>0</v>
          </cell>
          <cell r="P20">
            <v>0</v>
          </cell>
          <cell r="Q20">
            <v>0</v>
          </cell>
          <cell r="R20">
            <v>0</v>
          </cell>
          <cell r="S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O20">
            <v>0</v>
          </cell>
          <cell r="CP20">
            <v>0</v>
          </cell>
          <cell r="CQ20">
            <v>0</v>
          </cell>
          <cell r="CR20">
            <v>0</v>
          </cell>
          <cell r="CS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DA20">
            <v>0</v>
          </cell>
          <cell r="DB20">
            <v>0</v>
          </cell>
          <cell r="DC20">
            <v>0</v>
          </cell>
          <cell r="DE20">
            <v>0</v>
          </cell>
          <cell r="DG20">
            <v>0</v>
          </cell>
          <cell r="DH20">
            <v>0</v>
          </cell>
          <cell r="DI20">
            <v>0</v>
          </cell>
          <cell r="DJ20">
            <v>0</v>
          </cell>
          <cell r="DK20">
            <v>0</v>
          </cell>
          <cell r="DM20">
            <v>0</v>
          </cell>
          <cell r="DN20">
            <v>0</v>
          </cell>
          <cell r="DO20">
            <v>0</v>
          </cell>
          <cell r="DP20">
            <v>0</v>
          </cell>
          <cell r="DQ20">
            <v>0</v>
          </cell>
          <cell r="DS20">
            <v>222</v>
          </cell>
          <cell r="DT20">
            <v>230</v>
          </cell>
          <cell r="DU20">
            <v>237</v>
          </cell>
          <cell r="DV20">
            <v>265</v>
          </cell>
          <cell r="DW20">
            <v>954</v>
          </cell>
          <cell r="DY20">
            <v>257</v>
          </cell>
          <cell r="DZ20">
            <v>262</v>
          </cell>
          <cell r="EA20">
            <v>292</v>
          </cell>
          <cell r="EB20">
            <v>327</v>
          </cell>
          <cell r="EC20">
            <v>1138</v>
          </cell>
          <cell r="EE20">
            <v>339</v>
          </cell>
          <cell r="EF20">
            <v>364</v>
          </cell>
          <cell r="EG20">
            <v>375</v>
          </cell>
          <cell r="EH20">
            <v>419</v>
          </cell>
          <cell r="EI20">
            <v>1497</v>
          </cell>
          <cell r="EK20">
            <v>452</v>
          </cell>
          <cell r="EL20">
            <v>487</v>
          </cell>
          <cell r="EM20">
            <v>555</v>
          </cell>
          <cell r="EN20">
            <v>649.45000000000005</v>
          </cell>
          <cell r="EO20">
            <v>2143.4499999999998</v>
          </cell>
          <cell r="EQ20">
            <v>700.6</v>
          </cell>
          <cell r="ER20">
            <v>754.85</v>
          </cell>
          <cell r="ES20">
            <v>846.375</v>
          </cell>
          <cell r="ET20">
            <v>957.93875000000014</v>
          </cell>
          <cell r="EU20">
            <v>3259.7637500000001</v>
          </cell>
          <cell r="EW20">
            <v>1015.8700000000001</v>
          </cell>
          <cell r="EX20">
            <v>1094.5325000000003</v>
          </cell>
          <cell r="EY20">
            <v>1206.0843750000001</v>
          </cell>
          <cell r="EZ20">
            <v>1317.1657812500002</v>
          </cell>
          <cell r="FA20">
            <v>4633.6526562500003</v>
          </cell>
        </row>
        <row r="21"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W21">
            <v>0</v>
          </cell>
          <cell r="BX21">
            <v>0</v>
          </cell>
          <cell r="BY21">
            <v>0</v>
          </cell>
          <cell r="BZ21">
            <v>0</v>
          </cell>
          <cell r="CA21">
            <v>0</v>
          </cell>
          <cell r="CC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M21">
            <v>0</v>
          </cell>
          <cell r="CO21">
            <v>0</v>
          </cell>
          <cell r="CP21">
            <v>0</v>
          </cell>
          <cell r="CQ21">
            <v>0</v>
          </cell>
          <cell r="CR21">
            <v>0</v>
          </cell>
          <cell r="CS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DA21">
            <v>0</v>
          </cell>
          <cell r="DB21">
            <v>0</v>
          </cell>
          <cell r="DC21">
            <v>0</v>
          </cell>
          <cell r="DE21">
            <v>0</v>
          </cell>
          <cell r="DG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Q21">
            <v>0</v>
          </cell>
          <cell r="DS21">
            <v>0</v>
          </cell>
          <cell r="DT21">
            <v>0</v>
          </cell>
          <cell r="DU21">
            <v>0</v>
          </cell>
          <cell r="DV21">
            <v>0</v>
          </cell>
          <cell r="DW21">
            <v>0</v>
          </cell>
          <cell r="DY21">
            <v>0.1576576576576576</v>
          </cell>
          <cell r="DZ21">
            <v>0.13913043478260878</v>
          </cell>
          <cell r="EA21">
            <v>0.23206751054852326</v>
          </cell>
          <cell r="EB21">
            <v>0.23396226415094334</v>
          </cell>
          <cell r="EC21">
            <v>0.19287211740041932</v>
          </cell>
          <cell r="EE21">
            <v>0.31906614785992216</v>
          </cell>
          <cell r="EF21">
            <v>0.38931297709923673</v>
          </cell>
          <cell r="EG21">
            <v>0.28424657534246567</v>
          </cell>
          <cell r="EH21">
            <v>0.28134556574923542</v>
          </cell>
          <cell r="EI21">
            <v>0.31546572934973649</v>
          </cell>
          <cell r="EK21">
            <v>0.33333333333333326</v>
          </cell>
          <cell r="EL21">
            <v>0.33791208791208782</v>
          </cell>
          <cell r="EM21">
            <v>0.48</v>
          </cell>
          <cell r="EN21">
            <v>0.55000000000000004</v>
          </cell>
          <cell r="EO21">
            <v>0.4318303273213091</v>
          </cell>
          <cell r="EQ21">
            <v>0.55000000000000004</v>
          </cell>
          <cell r="ER21">
            <v>0.55000000000000004</v>
          </cell>
          <cell r="ES21">
            <v>0.52500000000000002</v>
          </cell>
          <cell r="ET21">
            <v>0.47499999999999998</v>
          </cell>
          <cell r="EU21">
            <v>0.52080232802258064</v>
          </cell>
          <cell r="EW21">
            <v>0.45000000000000007</v>
          </cell>
          <cell r="EX21">
            <v>0.45000000000000007</v>
          </cell>
          <cell r="EY21">
            <v>0.42500000000000004</v>
          </cell>
          <cell r="EZ21">
            <v>0.375</v>
          </cell>
          <cell r="FA21">
            <v>0.42146885836435244</v>
          </cell>
        </row>
        <row r="22"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W22">
            <v>0</v>
          </cell>
          <cell r="BX22">
            <v>0</v>
          </cell>
          <cell r="BY22">
            <v>0</v>
          </cell>
          <cell r="BZ22">
            <v>0</v>
          </cell>
          <cell r="CA22">
            <v>0</v>
          </cell>
          <cell r="CC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M22">
            <v>0</v>
          </cell>
          <cell r="CO22">
            <v>0</v>
          </cell>
          <cell r="CP22">
            <v>0</v>
          </cell>
          <cell r="CQ22">
            <v>0</v>
          </cell>
          <cell r="CR22">
            <v>0</v>
          </cell>
          <cell r="CS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DA22">
            <v>0</v>
          </cell>
          <cell r="DB22">
            <v>0</v>
          </cell>
          <cell r="DC22">
            <v>0</v>
          </cell>
          <cell r="DE22">
            <v>0</v>
          </cell>
          <cell r="DG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Q22">
            <v>0</v>
          </cell>
          <cell r="DS22">
            <v>0</v>
          </cell>
          <cell r="DT22">
            <v>3.6036036036036112E-2</v>
          </cell>
          <cell r="DU22">
            <v>3.0434782608695699E-2</v>
          </cell>
          <cell r="DV22">
            <v>0.1181434599156117</v>
          </cell>
          <cell r="DW22" t="str">
            <v>-</v>
          </cell>
          <cell r="DY22">
            <v>-3.0188679245283012E-2</v>
          </cell>
          <cell r="DZ22">
            <v>1.9455252918287869E-2</v>
          </cell>
          <cell r="EA22">
            <v>0.11450381679389321</v>
          </cell>
          <cell r="EB22">
            <v>0.11986301369863006</v>
          </cell>
          <cell r="EC22" t="str">
            <v>-</v>
          </cell>
          <cell r="EE22">
            <v>3.669724770642202E-2</v>
          </cell>
          <cell r="EF22">
            <v>7.3746312684365822E-2</v>
          </cell>
          <cell r="EG22">
            <v>3.0219780219780112E-2</v>
          </cell>
          <cell r="EH22">
            <v>0.11733333333333329</v>
          </cell>
          <cell r="EI22" t="str">
            <v>-</v>
          </cell>
          <cell r="EK22">
            <v>7.8758949880668228E-2</v>
          </cell>
          <cell r="EL22">
            <v>7.7433628318584136E-2</v>
          </cell>
          <cell r="EM22">
            <v>0.13963039014373724</v>
          </cell>
          <cell r="EN22">
            <v>0.17018018018018033</v>
          </cell>
          <cell r="EO22" t="str">
            <v>-</v>
          </cell>
          <cell r="EQ22">
            <v>7.8758949880668228E-2</v>
          </cell>
          <cell r="ER22">
            <v>7.7433628318584136E-2</v>
          </cell>
          <cell r="ES22">
            <v>0.12124925481883819</v>
          </cell>
          <cell r="ET22">
            <v>0.13181361689558435</v>
          </cell>
          <cell r="EU22" t="str">
            <v>-</v>
          </cell>
          <cell r="EW22">
            <v>6.0474899882690725E-2</v>
          </cell>
          <cell r="EX22">
            <v>7.7433628318584136E-2</v>
          </cell>
          <cell r="EY22">
            <v>0.10191737111506494</v>
          </cell>
          <cell r="EZ22">
            <v>9.2100858408019848E-2</v>
          </cell>
          <cell r="FA22" t="str">
            <v>-</v>
          </cell>
        </row>
        <row r="23">
          <cell r="K23">
            <v>0</v>
          </cell>
          <cell r="L23">
            <v>0</v>
          </cell>
          <cell r="M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CC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M23">
            <v>0</v>
          </cell>
          <cell r="CO23">
            <v>0</v>
          </cell>
          <cell r="CP23">
            <v>0</v>
          </cell>
          <cell r="CQ23">
            <v>0</v>
          </cell>
          <cell r="CR23">
            <v>0</v>
          </cell>
          <cell r="CS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DA23">
            <v>0</v>
          </cell>
          <cell r="DB23">
            <v>0</v>
          </cell>
          <cell r="DC23">
            <v>0</v>
          </cell>
          <cell r="DE23">
            <v>0</v>
          </cell>
          <cell r="DG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Q23">
            <v>0</v>
          </cell>
          <cell r="DS23">
            <v>119</v>
          </cell>
          <cell r="DT23">
            <v>114</v>
          </cell>
          <cell r="DU23">
            <v>110</v>
          </cell>
          <cell r="DV23">
            <v>113</v>
          </cell>
          <cell r="DW23">
            <v>456</v>
          </cell>
          <cell r="DY23">
            <v>109</v>
          </cell>
          <cell r="DZ23">
            <v>97</v>
          </cell>
          <cell r="EA23">
            <v>121</v>
          </cell>
          <cell r="EB23">
            <v>128</v>
          </cell>
          <cell r="EC23">
            <v>455</v>
          </cell>
          <cell r="EE23">
            <v>138</v>
          </cell>
          <cell r="EF23">
            <v>155</v>
          </cell>
          <cell r="EG23">
            <v>155</v>
          </cell>
          <cell r="EH23">
            <v>160</v>
          </cell>
          <cell r="EI23">
            <v>608</v>
          </cell>
          <cell r="EK23">
            <v>160</v>
          </cell>
          <cell r="EL23">
            <v>165</v>
          </cell>
          <cell r="EM23">
            <v>158.1</v>
          </cell>
          <cell r="EN23">
            <v>161.6</v>
          </cell>
          <cell r="EO23">
            <v>644.70000000000005</v>
          </cell>
          <cell r="EQ23">
            <v>171.20000000000002</v>
          </cell>
          <cell r="ER23">
            <v>178.20000000000002</v>
          </cell>
          <cell r="ES23">
            <v>169.167</v>
          </cell>
          <cell r="ET23">
            <v>171.29599999999999</v>
          </cell>
          <cell r="EU23">
            <v>689.86300000000006</v>
          </cell>
          <cell r="EW23">
            <v>181.47200000000004</v>
          </cell>
          <cell r="EX23">
            <v>188.89200000000002</v>
          </cell>
          <cell r="EY23">
            <v>179.31702000000001</v>
          </cell>
          <cell r="EZ23">
            <v>181.57375999999999</v>
          </cell>
          <cell r="FA23">
            <v>731.25477999999998</v>
          </cell>
        </row>
        <row r="24"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W24">
            <v>0</v>
          </cell>
          <cell r="BX24">
            <v>0</v>
          </cell>
          <cell r="BY24">
            <v>0</v>
          </cell>
          <cell r="BZ24">
            <v>0</v>
          </cell>
          <cell r="CA24">
            <v>0</v>
          </cell>
          <cell r="CC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M24">
            <v>0</v>
          </cell>
          <cell r="CO24">
            <v>0</v>
          </cell>
          <cell r="CP24">
            <v>0</v>
          </cell>
          <cell r="CQ24">
            <v>0</v>
          </cell>
          <cell r="CR24">
            <v>0</v>
          </cell>
          <cell r="CS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DA24">
            <v>0</v>
          </cell>
          <cell r="DB24">
            <v>0</v>
          </cell>
          <cell r="DC24">
            <v>0</v>
          </cell>
          <cell r="DE24">
            <v>0</v>
          </cell>
          <cell r="DG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Q24">
            <v>0</v>
          </cell>
          <cell r="DS24">
            <v>0</v>
          </cell>
          <cell r="DT24">
            <v>0</v>
          </cell>
          <cell r="DU24">
            <v>0</v>
          </cell>
          <cell r="DV24">
            <v>0</v>
          </cell>
          <cell r="DW24">
            <v>0</v>
          </cell>
          <cell r="DY24">
            <v>-8.4033613445378186E-2</v>
          </cell>
          <cell r="DZ24">
            <v>-0.14912280701754388</v>
          </cell>
          <cell r="EA24">
            <v>0.10000000000000009</v>
          </cell>
          <cell r="EB24">
            <v>0.13274336283185839</v>
          </cell>
          <cell r="EC24">
            <v>-2.1929824561403022E-3</v>
          </cell>
          <cell r="EE24">
            <v>0.26605504587155959</v>
          </cell>
          <cell r="EF24">
            <v>0.597938144329897</v>
          </cell>
          <cell r="EG24">
            <v>0.28099173553719003</v>
          </cell>
          <cell r="EH24">
            <v>0.25</v>
          </cell>
          <cell r="EI24">
            <v>0.33626373626373618</v>
          </cell>
          <cell r="EK24">
            <v>0.15942028985507251</v>
          </cell>
          <cell r="EL24">
            <v>6.4516129032258007E-2</v>
          </cell>
          <cell r="EM24">
            <v>0.02</v>
          </cell>
          <cell r="EN24">
            <v>0.01</v>
          </cell>
          <cell r="EO24">
            <v>6.0361842105263186E-2</v>
          </cell>
          <cell r="EQ24">
            <v>7.0000000000000007E-2</v>
          </cell>
          <cell r="ER24">
            <v>0.08</v>
          </cell>
          <cell r="ES24">
            <v>7.0000000000000007E-2</v>
          </cell>
          <cell r="ET24">
            <v>0.06</v>
          </cell>
          <cell r="EU24">
            <v>7.0052737707460899E-2</v>
          </cell>
          <cell r="EW24">
            <v>0.06</v>
          </cell>
          <cell r="EX24">
            <v>0.06</v>
          </cell>
          <cell r="EY24">
            <v>0.06</v>
          </cell>
          <cell r="EZ24">
            <v>0.06</v>
          </cell>
          <cell r="FA24">
            <v>5.9999999999999831E-2</v>
          </cell>
        </row>
        <row r="25"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W25">
            <v>0</v>
          </cell>
          <cell r="BX25">
            <v>0</v>
          </cell>
          <cell r="BY25">
            <v>0</v>
          </cell>
          <cell r="BZ25">
            <v>0</v>
          </cell>
          <cell r="CA25">
            <v>0</v>
          </cell>
          <cell r="CC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M25">
            <v>0</v>
          </cell>
          <cell r="CO25">
            <v>0</v>
          </cell>
          <cell r="CP25">
            <v>0</v>
          </cell>
          <cell r="CQ25">
            <v>0</v>
          </cell>
          <cell r="CR25">
            <v>0</v>
          </cell>
          <cell r="CS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DA25">
            <v>0</v>
          </cell>
          <cell r="DB25">
            <v>0</v>
          </cell>
          <cell r="DC25">
            <v>0</v>
          </cell>
          <cell r="DE25">
            <v>0</v>
          </cell>
          <cell r="DG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Q25">
            <v>0</v>
          </cell>
          <cell r="DS25">
            <v>0</v>
          </cell>
          <cell r="DT25">
            <v>-4.2016806722689037E-2</v>
          </cell>
          <cell r="DU25">
            <v>-3.5087719298245612E-2</v>
          </cell>
          <cell r="DV25">
            <v>2.7272727272727337E-2</v>
          </cell>
          <cell r="DW25" t="str">
            <v>-</v>
          </cell>
          <cell r="DY25">
            <v>-3.539823008849563E-2</v>
          </cell>
          <cell r="DZ25">
            <v>-0.11009174311926606</v>
          </cell>
          <cell r="EA25">
            <v>0.24742268041237114</v>
          </cell>
          <cell r="EB25">
            <v>5.7851239669421517E-2</v>
          </cell>
          <cell r="EC25" t="str">
            <v>-</v>
          </cell>
          <cell r="EE25">
            <v>7.8125E-2</v>
          </cell>
          <cell r="EF25">
            <v>0.12318840579710155</v>
          </cell>
          <cell r="EG25">
            <v>0</v>
          </cell>
          <cell r="EH25">
            <v>3.2258064516129004E-2</v>
          </cell>
          <cell r="EI25" t="str">
            <v>-</v>
          </cell>
          <cell r="EK25">
            <v>0</v>
          </cell>
          <cell r="EL25">
            <v>3.125E-2</v>
          </cell>
          <cell r="EM25">
            <v>-4.1818181818181865E-2</v>
          </cell>
          <cell r="EN25">
            <v>2.21378874130298E-2</v>
          </cell>
          <cell r="EO25" t="str">
            <v>-</v>
          </cell>
          <cell r="EQ25">
            <v>5.9405940594059459E-2</v>
          </cell>
          <cell r="ER25">
            <v>4.0887850467289821E-2</v>
          </cell>
          <cell r="ES25">
            <v>-5.0690235690235785E-2</v>
          </cell>
          <cell r="ET25">
            <v>1.2585196876459204E-2</v>
          </cell>
          <cell r="EU25" t="str">
            <v>-</v>
          </cell>
          <cell r="EW25">
            <v>5.9405940594059681E-2</v>
          </cell>
          <cell r="EX25">
            <v>4.0887850467289599E-2</v>
          </cell>
          <cell r="EY25">
            <v>-5.0690235690235785E-2</v>
          </cell>
          <cell r="EZ25">
            <v>1.2585196876459204E-2</v>
          </cell>
          <cell r="FA25" t="str">
            <v>-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U26">
            <v>0</v>
          </cell>
          <cell r="CA26">
            <v>0</v>
          </cell>
          <cell r="CG26">
            <v>0</v>
          </cell>
          <cell r="CM26">
            <v>0</v>
          </cell>
          <cell r="CS26">
            <v>0</v>
          </cell>
          <cell r="CY26">
            <v>0</v>
          </cell>
          <cell r="DE26">
            <v>0</v>
          </cell>
          <cell r="DK26">
            <v>0</v>
          </cell>
          <cell r="DQ26">
            <v>0</v>
          </cell>
          <cell r="DW26">
            <v>0</v>
          </cell>
          <cell r="EC26">
            <v>0</v>
          </cell>
          <cell r="EI26">
            <v>0</v>
          </cell>
          <cell r="EO26">
            <v>0</v>
          </cell>
          <cell r="EU26">
            <v>0</v>
          </cell>
          <cell r="FA26">
            <v>0</v>
          </cell>
        </row>
        <row r="27">
          <cell r="C27" t="str">
            <v>-</v>
          </cell>
          <cell r="D27" t="str">
            <v>-</v>
          </cell>
          <cell r="E27" t="str">
            <v>-</v>
          </cell>
          <cell r="F27" t="str">
            <v>-</v>
          </cell>
          <cell r="G27" t="str">
            <v>-</v>
          </cell>
          <cell r="H27" t="str">
            <v>-</v>
          </cell>
          <cell r="I27" t="str">
            <v>-</v>
          </cell>
          <cell r="J27" t="str">
            <v>-</v>
          </cell>
          <cell r="K27">
            <v>612</v>
          </cell>
          <cell r="L27">
            <v>735</v>
          </cell>
          <cell r="M27">
            <v>1005</v>
          </cell>
          <cell r="N27">
            <v>0</v>
          </cell>
          <cell r="O27">
            <v>257</v>
          </cell>
          <cell r="P27">
            <v>316</v>
          </cell>
          <cell r="Q27">
            <v>342</v>
          </cell>
          <cell r="R27">
            <v>537</v>
          </cell>
          <cell r="S27">
            <v>1452</v>
          </cell>
          <cell r="T27">
            <v>0</v>
          </cell>
          <cell r="U27">
            <v>302</v>
          </cell>
          <cell r="V27">
            <v>428.09</v>
          </cell>
          <cell r="W27">
            <v>448</v>
          </cell>
          <cell r="X27">
            <v>760</v>
          </cell>
          <cell r="Y27">
            <v>1938.09</v>
          </cell>
          <cell r="Z27">
            <v>0</v>
          </cell>
          <cell r="AA27">
            <v>393.90100000000001</v>
          </cell>
          <cell r="AB27">
            <v>505.029</v>
          </cell>
          <cell r="AC27">
            <v>556.43599999999992</v>
          </cell>
          <cell r="AD27">
            <v>888.82300000000009</v>
          </cell>
          <cell r="AE27">
            <v>2344.1890000000003</v>
          </cell>
          <cell r="AF27">
            <v>0</v>
          </cell>
          <cell r="AG27">
            <v>406.947</v>
          </cell>
          <cell r="AH27">
            <v>512.82799999999997</v>
          </cell>
          <cell r="AI27">
            <v>613.49300000000005</v>
          </cell>
          <cell r="AJ27">
            <v>993.51199999999994</v>
          </cell>
          <cell r="AK27">
            <v>2526.7799999999997</v>
          </cell>
          <cell r="AL27">
            <v>0</v>
          </cell>
          <cell r="AM27">
            <v>459.52300000000002</v>
          </cell>
          <cell r="AN27">
            <v>616.79600000000005</v>
          </cell>
          <cell r="AO27">
            <v>657.25599999999997</v>
          </cell>
          <cell r="AP27">
            <v>1206.251</v>
          </cell>
          <cell r="AQ27">
            <v>2939.826</v>
          </cell>
          <cell r="AR27">
            <v>0</v>
          </cell>
          <cell r="AS27">
            <v>493.50299999999999</v>
          </cell>
          <cell r="AT27">
            <v>709.35299999999995</v>
          </cell>
          <cell r="AU27">
            <v>844.37599999999998</v>
          </cell>
          <cell r="AV27">
            <v>1344.5930000000001</v>
          </cell>
          <cell r="AW27">
            <v>3391.8249999999998</v>
          </cell>
          <cell r="AX27">
            <v>0</v>
          </cell>
          <cell r="AY27">
            <v>615.71900000000005</v>
          </cell>
          <cell r="AZ27">
            <v>813.92200000000003</v>
          </cell>
          <cell r="BA27">
            <v>851.54100000000005</v>
          </cell>
          <cell r="BB27">
            <v>1280.481</v>
          </cell>
          <cell r="BC27">
            <v>3561.6630000000005</v>
          </cell>
          <cell r="BD27">
            <v>0</v>
          </cell>
          <cell r="BE27">
            <v>565.17700000000002</v>
          </cell>
          <cell r="BF27">
            <v>640.25800000000004</v>
          </cell>
          <cell r="BG27">
            <v>629.08000000000004</v>
          </cell>
          <cell r="BH27">
            <v>904.27</v>
          </cell>
          <cell r="BI27">
            <v>2738.7849999999999</v>
          </cell>
          <cell r="BJ27">
            <v>0</v>
          </cell>
          <cell r="BK27">
            <v>452</v>
          </cell>
          <cell r="BL27">
            <v>657</v>
          </cell>
          <cell r="BM27">
            <v>615</v>
          </cell>
          <cell r="BN27">
            <v>941</v>
          </cell>
          <cell r="BO27">
            <v>2665</v>
          </cell>
          <cell r="BP27">
            <v>0</v>
          </cell>
          <cell r="BQ27">
            <v>418</v>
          </cell>
          <cell r="BR27">
            <v>718</v>
          </cell>
          <cell r="BS27">
            <v>707</v>
          </cell>
          <cell r="BT27">
            <v>1083</v>
          </cell>
          <cell r="BU27">
            <v>2926</v>
          </cell>
          <cell r="BV27">
            <v>0</v>
          </cell>
          <cell r="BW27">
            <v>494</v>
          </cell>
          <cell r="BX27">
            <v>756</v>
          </cell>
          <cell r="BY27">
            <v>795</v>
          </cell>
          <cell r="BZ27">
            <v>1259</v>
          </cell>
          <cell r="CA27">
            <v>3304</v>
          </cell>
          <cell r="CB27">
            <v>0</v>
          </cell>
          <cell r="CC27">
            <v>502</v>
          </cell>
          <cell r="CD27">
            <v>792</v>
          </cell>
          <cell r="CE27">
            <v>827.4</v>
          </cell>
          <cell r="CF27">
            <v>1480</v>
          </cell>
          <cell r="CG27">
            <v>3601.4</v>
          </cell>
          <cell r="CH27">
            <v>0</v>
          </cell>
          <cell r="CI27">
            <v>576</v>
          </cell>
          <cell r="CJ27">
            <v>867</v>
          </cell>
          <cell r="CK27">
            <v>967</v>
          </cell>
          <cell r="CL27">
            <v>1755</v>
          </cell>
          <cell r="CM27">
            <v>4165</v>
          </cell>
          <cell r="CN27">
            <v>0</v>
          </cell>
          <cell r="CO27">
            <v>711</v>
          </cell>
          <cell r="CP27">
            <v>1115</v>
          </cell>
          <cell r="CQ27">
            <v>1165</v>
          </cell>
          <cell r="CR27">
            <v>2155</v>
          </cell>
          <cell r="CS27">
            <v>5146</v>
          </cell>
          <cell r="CT27">
            <v>0</v>
          </cell>
          <cell r="CU27">
            <v>904</v>
          </cell>
          <cell r="CV27">
            <v>1157</v>
          </cell>
          <cell r="CW27">
            <v>1120</v>
          </cell>
          <cell r="CX27">
            <v>1939</v>
          </cell>
          <cell r="CY27">
            <v>5120</v>
          </cell>
          <cell r="CZ27">
            <v>0</v>
          </cell>
          <cell r="DA27">
            <v>711</v>
          </cell>
          <cell r="DB27">
            <v>1175</v>
          </cell>
          <cell r="DC27">
            <v>1241</v>
          </cell>
          <cell r="DD27">
            <v>2280</v>
          </cell>
          <cell r="DE27">
            <v>5407</v>
          </cell>
          <cell r="DF27">
            <v>0</v>
          </cell>
          <cell r="DG27">
            <v>937</v>
          </cell>
          <cell r="DH27">
            <v>1420</v>
          </cell>
          <cell r="DI27">
            <v>1575</v>
          </cell>
          <cell r="DJ27">
            <v>2694</v>
          </cell>
          <cell r="DK27">
            <v>6626</v>
          </cell>
          <cell r="DL27">
            <v>0</v>
          </cell>
          <cell r="DM27">
            <v>1070</v>
          </cell>
          <cell r="DN27">
            <v>1479</v>
          </cell>
          <cell r="DO27">
            <v>1716</v>
          </cell>
          <cell r="DP27">
            <v>2721</v>
          </cell>
          <cell r="DQ27">
            <v>6986</v>
          </cell>
          <cell r="DR27">
            <v>0</v>
          </cell>
          <cell r="DS27">
            <v>1045.3899999999999</v>
          </cell>
          <cell r="DT27">
            <v>1643.1689999999999</v>
          </cell>
          <cell r="DU27">
            <v>1664.52</v>
          </cell>
          <cell r="DV27">
            <v>3020.3100000000004</v>
          </cell>
          <cell r="DW27">
            <v>7373.3890000000001</v>
          </cell>
          <cell r="DX27">
            <v>0</v>
          </cell>
          <cell r="DY27">
            <v>1160.3829000000001</v>
          </cell>
          <cell r="DZ27">
            <v>1667.8165349999997</v>
          </cell>
          <cell r="EA27">
            <v>1781.0364000000002</v>
          </cell>
          <cell r="EB27">
            <v>3026.3506200000006</v>
          </cell>
          <cell r="EC27">
            <v>7635.5864550000006</v>
          </cell>
          <cell r="ED27">
            <v>0</v>
          </cell>
          <cell r="EE27">
            <v>1148.7790710000002</v>
          </cell>
          <cell r="EF27">
            <v>1684.4947003499997</v>
          </cell>
          <cell r="EG27">
            <v>1763.2260360000002</v>
          </cell>
          <cell r="EH27">
            <v>2965.8236076000007</v>
          </cell>
          <cell r="EI27">
            <v>7562.3234149500004</v>
          </cell>
          <cell r="EJ27">
            <v>0</v>
          </cell>
          <cell r="EK27">
            <v>1234.5484301350957</v>
          </cell>
          <cell r="EL27">
            <v>1735.0295413604997</v>
          </cell>
          <cell r="EM27">
            <v>1851.3873378000003</v>
          </cell>
          <cell r="EN27">
            <v>3114.114787980001</v>
          </cell>
          <cell r="EO27">
            <v>7935.0800972755969</v>
          </cell>
          <cell r="EP27">
            <v>0</v>
          </cell>
          <cell r="EQ27">
            <v>1275.4167997720253</v>
          </cell>
          <cell r="ER27">
            <v>1780.0384448535265</v>
          </cell>
          <cell r="ES27">
            <v>1899.1906543207649</v>
          </cell>
          <cell r="ET27">
            <v>3176.4189570907438</v>
          </cell>
          <cell r="EU27">
            <v>8131.064856037061</v>
          </cell>
          <cell r="EV27">
            <v>0</v>
          </cell>
          <cell r="EW27">
            <v>1317.6380718921714</v>
          </cell>
          <cell r="EX27">
            <v>1826.214937338759</v>
          </cell>
          <cell r="EY27">
            <v>1948.2282652669737</v>
          </cell>
          <cell r="EZ27">
            <v>3239.9696472043611</v>
          </cell>
          <cell r="FA27">
            <v>8332.0509217022645</v>
          </cell>
          <cell r="FB27">
            <v>0</v>
          </cell>
          <cell r="FC27">
            <v>3750.4</v>
          </cell>
          <cell r="FD27">
            <v>4548</v>
          </cell>
          <cell r="FE27">
            <v>5381</v>
          </cell>
          <cell r="FF27">
            <v>4945</v>
          </cell>
          <cell r="FG27">
            <v>5878</v>
          </cell>
          <cell r="FH27">
            <v>6818</v>
          </cell>
          <cell r="FI27">
            <v>7125.5589999999993</v>
          </cell>
          <cell r="FJ27">
            <v>7513.0294350000004</v>
          </cell>
          <cell r="FK27">
            <v>7640.6607913500011</v>
          </cell>
          <cell r="FL27">
            <v>7698.6276150955964</v>
          </cell>
          <cell r="FM27">
            <v>8020.9573704055529</v>
          </cell>
          <cell r="FN27">
            <v>8219.4626206424382</v>
          </cell>
          <cell r="FQ27">
            <v>0</v>
          </cell>
          <cell r="FR27">
            <v>0</v>
          </cell>
          <cell r="FS27">
            <v>0</v>
          </cell>
          <cell r="FT27">
            <v>0</v>
          </cell>
          <cell r="FU27">
            <v>0</v>
          </cell>
          <cell r="FV27">
            <v>0</v>
          </cell>
          <cell r="FX27">
            <v>0</v>
          </cell>
          <cell r="FY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D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I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N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S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X27">
            <v>0</v>
          </cell>
          <cell r="GY27">
            <v>0</v>
          </cell>
          <cell r="GZ27">
            <v>0</v>
          </cell>
          <cell r="HA27">
            <v>0</v>
          </cell>
        </row>
        <row r="28">
          <cell r="C28" t="str">
            <v>-</v>
          </cell>
          <cell r="D28" t="str">
            <v>-</v>
          </cell>
          <cell r="E28" t="str">
            <v>-</v>
          </cell>
          <cell r="F28" t="str">
            <v>-</v>
          </cell>
          <cell r="G28" t="str">
            <v>-</v>
          </cell>
          <cell r="H28" t="str">
            <v>-</v>
          </cell>
          <cell r="I28" t="str">
            <v>-</v>
          </cell>
          <cell r="J28" t="str">
            <v>-</v>
          </cell>
          <cell r="K28" t="str">
            <v>-</v>
          </cell>
          <cell r="L28">
            <v>0.2009803921568627</v>
          </cell>
          <cell r="M28">
            <v>0.36734693877551017</v>
          </cell>
          <cell r="O28" t="str">
            <v>-</v>
          </cell>
          <cell r="P28" t="str">
            <v>-</v>
          </cell>
          <cell r="Q28" t="str">
            <v>-</v>
          </cell>
          <cell r="R28" t="str">
            <v>-</v>
          </cell>
          <cell r="S28">
            <v>0.44477611940298512</v>
          </cell>
          <cell r="U28">
            <v>0.17509727626459148</v>
          </cell>
          <cell r="V28">
            <v>0.35471518987341755</v>
          </cell>
          <cell r="W28">
            <v>0.30994152046783618</v>
          </cell>
          <cell r="X28">
            <v>0.41527001862197399</v>
          </cell>
          <cell r="Y28">
            <v>0.33477272727272722</v>
          </cell>
          <cell r="AA28">
            <v>0.30430794701986752</v>
          </cell>
          <cell r="AB28">
            <v>0.17972622579364161</v>
          </cell>
          <cell r="AC28">
            <v>0.24204464285714278</v>
          </cell>
          <cell r="AD28">
            <v>0.16950394736842123</v>
          </cell>
          <cell r="AE28">
            <v>0.20953567687775099</v>
          </cell>
          <cell r="AG28">
            <v>3.3119997156646042E-2</v>
          </cell>
          <cell r="AH28">
            <v>1.5442677549210027E-2</v>
          </cell>
          <cell r="AI28">
            <v>0.10254009445830281</v>
          </cell>
          <cell r="AJ28">
            <v>0.11778385572830574</v>
          </cell>
          <cell r="AK28">
            <v>7.7890903847769755E-2</v>
          </cell>
          <cell r="AM28">
            <v>0.12919618525262511</v>
          </cell>
          <cell r="AN28">
            <v>0.20273464007425512</v>
          </cell>
          <cell r="AO28">
            <v>7.1334147251883806E-2</v>
          </cell>
          <cell r="AP28">
            <v>0.21412826417798692</v>
          </cell>
          <cell r="AQ28">
            <v>0.16346733787666534</v>
          </cell>
          <cell r="AS28">
            <v>7.3946244257632188E-2</v>
          </cell>
          <cell r="AT28">
            <v>0.15006096018780912</v>
          </cell>
          <cell r="AU28">
            <v>0.28469880837907913</v>
          </cell>
          <cell r="AV28">
            <v>0.11468757331600155</v>
          </cell>
          <cell r="AW28">
            <v>0.15375025596752989</v>
          </cell>
          <cell r="AY28">
            <v>0.24764996362737435</v>
          </cell>
          <cell r="AZ28">
            <v>0.14741461585416582</v>
          </cell>
          <cell r="BA28">
            <v>8.4855561977128513E-3</v>
          </cell>
          <cell r="BB28">
            <v>-4.768134297887916E-2</v>
          </cell>
          <cell r="BC28">
            <v>5.0072748446633009E-2</v>
          </cell>
          <cell r="BE28">
            <v>-8.2086146440178087E-2</v>
          </cell>
          <cell r="BF28">
            <v>-0.21336688282169547</v>
          </cell>
          <cell r="BG28">
            <v>-0.2612452013467349</v>
          </cell>
          <cell r="BH28">
            <v>-0.29380443755120145</v>
          </cell>
          <cell r="BI28">
            <v>-0.23103757991702201</v>
          </cell>
          <cell r="BK28">
            <v>-0.20025054098096706</v>
          </cell>
          <cell r="BL28">
            <v>2.6148833751393985E-2</v>
          </cell>
          <cell r="BM28">
            <v>-2.2381891015451183E-2</v>
          </cell>
          <cell r="BN28">
            <v>4.0618399371868952E-2</v>
          </cell>
          <cell r="BO28">
            <v>-2.6940778483889649E-2</v>
          </cell>
          <cell r="BQ28">
            <v>-7.5221238938053103E-2</v>
          </cell>
          <cell r="BR28">
            <v>9.284627092846276E-2</v>
          </cell>
          <cell r="BS28">
            <v>0.14959349593495941</v>
          </cell>
          <cell r="BT28">
            <v>0.15090329436769401</v>
          </cell>
          <cell r="BU28">
            <v>9.7936210131332135E-2</v>
          </cell>
          <cell r="BW28">
            <v>0.18181818181818188</v>
          </cell>
          <cell r="BX28">
            <v>5.2924791086351064E-2</v>
          </cell>
          <cell r="BY28">
            <v>0.12446958981612455</v>
          </cell>
          <cell r="BZ28">
            <v>0.16251154201292706</v>
          </cell>
          <cell r="CA28">
            <v>0.12918660287081329</v>
          </cell>
          <cell r="CC28">
            <v>1.6194331983805599E-2</v>
          </cell>
          <cell r="CD28">
            <v>4.7619047619047672E-2</v>
          </cell>
          <cell r="CE28">
            <v>4.0754716981131978E-2</v>
          </cell>
          <cell r="CF28">
            <v>0.17553613979348692</v>
          </cell>
          <cell r="CG28">
            <v>9.0012106537530334E-2</v>
          </cell>
          <cell r="CI28">
            <v>0.14741035856573714</v>
          </cell>
          <cell r="CJ28">
            <v>9.4696969696969724E-2</v>
          </cell>
          <cell r="CK28">
            <v>0.16872129562484894</v>
          </cell>
          <cell r="CL28">
            <v>0.18581081081081074</v>
          </cell>
          <cell r="CM28">
            <v>0.15649469650691405</v>
          </cell>
          <cell r="CO28">
            <v>0.234375</v>
          </cell>
          <cell r="CP28">
            <v>0.28604382929642447</v>
          </cell>
          <cell r="CQ28">
            <v>0.20475698035160295</v>
          </cell>
          <cell r="CR28">
            <v>0.22792022792022792</v>
          </cell>
          <cell r="CS28">
            <v>0.23553421368547411</v>
          </cell>
          <cell r="CU28">
            <v>0.27144866385372723</v>
          </cell>
          <cell r="CV28">
            <v>3.7668161434977643E-2</v>
          </cell>
          <cell r="CW28">
            <v>-3.8626609442060089E-2</v>
          </cell>
          <cell r="CX28">
            <v>-0.10023201856148489</v>
          </cell>
          <cell r="CY28">
            <v>-5.0524679362611291E-3</v>
          </cell>
          <cell r="DA28">
            <v>-0.21349557522123896</v>
          </cell>
          <cell r="DB28">
            <v>1.5557476231633505E-2</v>
          </cell>
          <cell r="DC28">
            <v>0.10803571428571423</v>
          </cell>
          <cell r="DE28">
            <v>5.6054687500000089E-2</v>
          </cell>
          <cell r="DG28">
            <v>0.31786216596343175</v>
          </cell>
          <cell r="DH28">
            <v>0.20851063829787231</v>
          </cell>
          <cell r="DI28">
            <v>0.26913779210314259</v>
          </cell>
          <cell r="DJ28">
            <v>0.18157894736842106</v>
          </cell>
          <cell r="DK28">
            <v>0.22544849269465517</v>
          </cell>
          <cell r="DM28">
            <v>0.14194236926360726</v>
          </cell>
          <cell r="DN28">
            <v>4.1549295774647943E-2</v>
          </cell>
          <cell r="DO28">
            <v>8.9523809523809561E-2</v>
          </cell>
          <cell r="DP28">
            <v>1.0022271714922093E-2</v>
          </cell>
          <cell r="DQ28">
            <v>5.4331421672200397E-2</v>
          </cell>
          <cell r="DS28">
            <v>-2.3E-2</v>
          </cell>
          <cell r="DT28">
            <v>0.111</v>
          </cell>
          <cell r="DU28">
            <v>-0.03</v>
          </cell>
          <cell r="DV28">
            <v>0.11</v>
          </cell>
          <cell r="DW28">
            <v>5.5452190094474663E-2</v>
          </cell>
          <cell r="DY28">
            <v>0.11</v>
          </cell>
          <cell r="DZ28">
            <v>1.4999999999999999E-2</v>
          </cell>
          <cell r="EA28">
            <v>7.0000000000000007E-2</v>
          </cell>
          <cell r="EB28">
            <v>2E-3</v>
          </cell>
          <cell r="EC28">
            <v>3.5559965031005447E-2</v>
          </cell>
          <cell r="EE28">
            <v>-0.01</v>
          </cell>
          <cell r="EF28">
            <v>0.01</v>
          </cell>
          <cell r="EG28">
            <v>-0.01</v>
          </cell>
          <cell r="EH28">
            <v>-0.02</v>
          </cell>
          <cell r="EI28">
            <v>-9.5949460439971324E-3</v>
          </cell>
          <cell r="EK28">
            <v>7.4661317654781331E-2</v>
          </cell>
          <cell r="EL28">
            <v>0.03</v>
          </cell>
          <cell r="EM28">
            <v>0.05</v>
          </cell>
          <cell r="EN28">
            <v>0.05</v>
          </cell>
          <cell r="EO28">
            <v>4.9291290767688123E-2</v>
          </cell>
          <cell r="EQ28">
            <v>3.3103901507094038E-2</v>
          </cell>
          <cell r="ER28">
            <v>2.5941289424809187E-2</v>
          </cell>
          <cell r="ES28">
            <v>2.5820267614862849E-2</v>
          </cell>
          <cell r="ET28">
            <v>2.0007023938625256E-2</v>
          </cell>
          <cell r="EU28">
            <v>2.4698523059490274E-2</v>
          </cell>
          <cell r="EW28">
            <v>3.3103901507094038E-2</v>
          </cell>
          <cell r="EX28">
            <v>2.5941289424809187E-2</v>
          </cell>
          <cell r="EY28">
            <v>2.5820267614862849E-2</v>
          </cell>
          <cell r="EZ28">
            <v>2.0007023938625256E-2</v>
          </cell>
          <cell r="FA28">
            <v>2.47182957243266E-2</v>
          </cell>
        </row>
        <row r="29">
          <cell r="C29" t="str">
            <v>-</v>
          </cell>
          <cell r="D29" t="str">
            <v>-</v>
          </cell>
          <cell r="E29" t="str">
            <v>-</v>
          </cell>
          <cell r="F29" t="str">
            <v>-</v>
          </cell>
          <cell r="G29" t="str">
            <v>-</v>
          </cell>
          <cell r="H29" t="str">
            <v>-</v>
          </cell>
          <cell r="I29" t="str">
            <v>-</v>
          </cell>
          <cell r="J29" t="str">
            <v>-</v>
          </cell>
          <cell r="K29" t="str">
            <v>-</v>
          </cell>
          <cell r="L29" t="str">
            <v>-</v>
          </cell>
          <cell r="M29" t="str">
            <v>-</v>
          </cell>
          <cell r="O29" t="str">
            <v>-</v>
          </cell>
          <cell r="P29">
            <v>0.22957198443579774</v>
          </cell>
          <cell r="Q29">
            <v>8.2278481012658222E-2</v>
          </cell>
          <cell r="R29">
            <v>0.57017543859649122</v>
          </cell>
          <cell r="S29" t="str">
            <v>-</v>
          </cell>
          <cell r="U29">
            <v>-0.43761638733705777</v>
          </cell>
          <cell r="V29">
            <v>0.41751655629139073</v>
          </cell>
          <cell r="W29">
            <v>4.6508911677451081E-2</v>
          </cell>
          <cell r="X29">
            <v>0.6964285714285714</v>
          </cell>
          <cell r="Y29" t="str">
            <v>-</v>
          </cell>
          <cell r="AA29">
            <v>-0.48170921052631577</v>
          </cell>
          <cell r="AB29">
            <v>0.28212164985618204</v>
          </cell>
          <cell r="AC29">
            <v>0.10179019422647007</v>
          </cell>
          <cell r="AD29">
            <v>0.5973499198470269</v>
          </cell>
          <cell r="AE29" t="str">
            <v>-</v>
          </cell>
          <cell r="AG29">
            <v>-0.54215068691966795</v>
          </cell>
          <cell r="AH29">
            <v>0.26018375857298359</v>
          </cell>
          <cell r="AI29">
            <v>0.19629388410929227</v>
          </cell>
          <cell r="AJ29">
            <v>0.61943494057796888</v>
          </cell>
          <cell r="AK29" t="str">
            <v>-</v>
          </cell>
          <cell r="AM29">
            <v>-0.53747614523025389</v>
          </cell>
          <cell r="AN29">
            <v>0.34225272728459721</v>
          </cell>
          <cell r="AO29">
            <v>6.5597053158580554E-2</v>
          </cell>
          <cell r="AP29">
            <v>0.83528335990846792</v>
          </cell>
          <cell r="AQ29" t="str">
            <v>-</v>
          </cell>
          <cell r="AS29">
            <v>-0.59087868113684472</v>
          </cell>
          <cell r="AT29">
            <v>0.43738335937167561</v>
          </cell>
          <cell r="AU29">
            <v>0.19034669621471956</v>
          </cell>
          <cell r="AV29">
            <v>0.59241025325210583</v>
          </cell>
          <cell r="AW29" t="str">
            <v>-</v>
          </cell>
          <cell r="AY29">
            <v>-0.5420777885947643</v>
          </cell>
          <cell r="AZ29">
            <v>0.32190495989241841</v>
          </cell>
          <cell r="BA29">
            <v>4.6219416602573782E-2</v>
          </cell>
          <cell r="BB29">
            <v>0.50372207562524873</v>
          </cell>
          <cell r="BC29" t="str">
            <v>-</v>
          </cell>
          <cell r="BE29">
            <v>-0.55862133057811869</v>
          </cell>
          <cell r="BF29">
            <v>0.13284510870046029</v>
          </cell>
          <cell r="BG29">
            <v>-1.745858700711278E-2</v>
          </cell>
          <cell r="BH29">
            <v>0.43744833725440313</v>
          </cell>
          <cell r="BI29" t="str">
            <v>-</v>
          </cell>
          <cell r="BK29">
            <v>-0.50014929169385247</v>
          </cell>
          <cell r="BL29">
            <v>0.45353982300884965</v>
          </cell>
          <cell r="BM29">
            <v>-6.3926940639269403E-2</v>
          </cell>
          <cell r="BN29">
            <v>0.53008130081300808</v>
          </cell>
          <cell r="BO29" t="str">
            <v>-</v>
          </cell>
          <cell r="BQ29">
            <v>-0.55579171094580238</v>
          </cell>
          <cell r="BR29">
            <v>0.71770334928229662</v>
          </cell>
          <cell r="BS29">
            <v>-1.5320334261838431E-2</v>
          </cell>
          <cell r="BT29">
            <v>0.53182461103253176</v>
          </cell>
          <cell r="BU29" t="str">
            <v>-</v>
          </cell>
          <cell r="BW29">
            <v>-0.54385964912280704</v>
          </cell>
          <cell r="BX29">
            <v>0.53036437246963564</v>
          </cell>
          <cell r="BY29">
            <v>5.1587301587301626E-2</v>
          </cell>
          <cell r="BZ29">
            <v>0.58364779874213846</v>
          </cell>
          <cell r="CA29" t="str">
            <v>-</v>
          </cell>
          <cell r="CC29">
            <v>-0.60127084988085788</v>
          </cell>
          <cell r="CD29">
            <v>0.57768924302788838</v>
          </cell>
          <cell r="CE29">
            <v>4.4696969696969679E-2</v>
          </cell>
          <cell r="CF29">
            <v>0.78873579888808321</v>
          </cell>
          <cell r="CG29" t="str">
            <v>-</v>
          </cell>
          <cell r="CI29">
            <v>-0.61081081081081079</v>
          </cell>
          <cell r="CJ29">
            <v>0.50520833333333326</v>
          </cell>
          <cell r="CK29">
            <v>0.11534025374855816</v>
          </cell>
          <cell r="CL29">
            <v>0.81489141675284382</v>
          </cell>
          <cell r="CM29" t="str">
            <v>-</v>
          </cell>
          <cell r="CO29">
            <v>-0.59487179487179487</v>
          </cell>
          <cell r="CP29">
            <v>0.56821378340365691</v>
          </cell>
          <cell r="CQ29">
            <v>4.4843049327354167E-2</v>
          </cell>
          <cell r="CR29">
            <v>0.84978540772532196</v>
          </cell>
          <cell r="CS29" t="str">
            <v>-</v>
          </cell>
          <cell r="CU29">
            <v>-0.58051044083526682</v>
          </cell>
          <cell r="CV29">
            <v>0.27986725663716805</v>
          </cell>
          <cell r="CW29">
            <v>-3.1979256698357772E-2</v>
          </cell>
          <cell r="CX29">
            <v>0.73124999999999996</v>
          </cell>
          <cell r="CY29" t="str">
            <v>-</v>
          </cell>
          <cell r="DA29">
            <v>-0.63331614234141309</v>
          </cell>
          <cell r="DB29">
            <v>0.65260196905766521</v>
          </cell>
          <cell r="DC29">
            <v>5.617021276595735E-2</v>
          </cell>
          <cell r="DE29" t="str">
            <v>-</v>
          </cell>
          <cell r="DG29">
            <v>-0.58903508771929824</v>
          </cell>
          <cell r="DH29">
            <v>0.51547491995731054</v>
          </cell>
          <cell r="DI29">
            <v>0.10915492957746475</v>
          </cell>
          <cell r="DJ29">
            <v>0.71047619047619048</v>
          </cell>
          <cell r="DK29" t="str">
            <v>-</v>
          </cell>
          <cell r="DM29">
            <v>-0.60282108389012623</v>
          </cell>
          <cell r="DN29">
            <v>0.38224299065420553</v>
          </cell>
          <cell r="DO29">
            <v>0.16024340770791068</v>
          </cell>
          <cell r="DP29">
            <v>0.58566433566433562</v>
          </cell>
          <cell r="DQ29" t="str">
            <v>-</v>
          </cell>
          <cell r="DS29">
            <v>-0.61580668871738342</v>
          </cell>
          <cell r="DT29">
            <v>0.57182391260677834</v>
          </cell>
          <cell r="DU29">
            <v>1.2993794308437057E-2</v>
          </cell>
          <cell r="DV29">
            <v>0.81452310576021936</v>
          </cell>
          <cell r="DW29" t="str">
            <v>-</v>
          </cell>
          <cell r="DY29">
            <v>-0.61580668871738342</v>
          </cell>
          <cell r="DZ29">
            <v>0.43729844260890061</v>
          </cell>
          <cell r="EA29">
            <v>6.7885083655199852E-2</v>
          </cell>
          <cell r="EB29">
            <v>0.69920761866517744</v>
          </cell>
          <cell r="EC29" t="str">
            <v>-</v>
          </cell>
          <cell r="EE29">
            <v>-0.62040780621777403</v>
          </cell>
          <cell r="EF29">
            <v>0.46633477478281771</v>
          </cell>
          <cell r="EG29">
            <v>4.6738844374898836E-2</v>
          </cell>
          <cell r="EH29">
            <v>0.68204390534532711</v>
          </cell>
          <cell r="EI29" t="str">
            <v>-</v>
          </cell>
          <cell r="EK29">
            <v>-0.5837417886311469</v>
          </cell>
          <cell r="EL29">
            <v>0.40539609383378883</v>
          </cell>
          <cell r="EM29">
            <v>6.7063870479265875E-2</v>
          </cell>
          <cell r="EN29">
            <v>0.68204390534532711</v>
          </cell>
          <cell r="EO29" t="str">
            <v>-</v>
          </cell>
          <cell r="EQ29">
            <v>-0.59044001695283166</v>
          </cell>
          <cell r="ER29">
            <v>0.3956523429609049</v>
          </cell>
          <cell r="ES29">
            <v>6.693799777849363E-2</v>
          </cell>
          <cell r="ET29">
            <v>0.67251189335005046</v>
          </cell>
          <cell r="EU29" t="str">
            <v>-</v>
          </cell>
          <cell r="EW29">
            <v>-0.58518127183733171</v>
          </cell>
          <cell r="EX29">
            <v>0.38597614648175327</v>
          </cell>
          <cell r="EY29">
            <v>6.6812139925882974E-2</v>
          </cell>
          <cell r="EZ29">
            <v>0.66303389852542494</v>
          </cell>
          <cell r="FA29" t="str">
            <v>-</v>
          </cell>
        </row>
        <row r="30">
          <cell r="C30" t="str">
            <v>-</v>
          </cell>
          <cell r="D30" t="str">
            <v>-</v>
          </cell>
          <cell r="E30" t="str">
            <v>-</v>
          </cell>
          <cell r="F30" t="str">
            <v>-</v>
          </cell>
          <cell r="G30" t="str">
            <v>-</v>
          </cell>
          <cell r="H30" t="str">
            <v>-</v>
          </cell>
          <cell r="I30" t="str">
            <v>-</v>
          </cell>
          <cell r="J30" t="str">
            <v>-</v>
          </cell>
          <cell r="K30">
            <v>45</v>
          </cell>
          <cell r="L30">
            <v>71</v>
          </cell>
          <cell r="M30">
            <v>94</v>
          </cell>
          <cell r="N30">
            <v>0</v>
          </cell>
          <cell r="O30">
            <v>23</v>
          </cell>
          <cell r="P30">
            <v>27</v>
          </cell>
          <cell r="Q30">
            <v>33</v>
          </cell>
          <cell r="R30">
            <v>71</v>
          </cell>
          <cell r="S30">
            <v>154</v>
          </cell>
          <cell r="T30">
            <v>0</v>
          </cell>
          <cell r="U30">
            <v>48</v>
          </cell>
          <cell r="V30">
            <v>57</v>
          </cell>
          <cell r="W30">
            <v>67</v>
          </cell>
          <cell r="X30">
            <v>123</v>
          </cell>
          <cell r="Y30">
            <v>295</v>
          </cell>
          <cell r="Z30">
            <v>0</v>
          </cell>
          <cell r="AA30">
            <v>50.415999999999997</v>
          </cell>
          <cell r="AB30">
            <v>101.41800000000001</v>
          </cell>
          <cell r="AC30">
            <v>107.821</v>
          </cell>
          <cell r="AD30">
            <v>218.60599999999999</v>
          </cell>
          <cell r="AE30">
            <v>478.26099999999997</v>
          </cell>
          <cell r="AF30">
            <v>0</v>
          </cell>
          <cell r="AG30">
            <v>98.429000000000002</v>
          </cell>
          <cell r="AH30">
            <v>108.34</v>
          </cell>
          <cell r="AI30">
            <v>139.69999999999999</v>
          </cell>
          <cell r="AJ30">
            <v>215.81100000000001</v>
          </cell>
          <cell r="AK30">
            <v>562.28</v>
          </cell>
          <cell r="AL30">
            <v>0</v>
          </cell>
          <cell r="AM30">
            <v>98.09</v>
          </cell>
          <cell r="AN30">
            <v>128.45099999999999</v>
          </cell>
          <cell r="AO30">
            <v>147.351</v>
          </cell>
          <cell r="AP30">
            <v>277.14999999999998</v>
          </cell>
          <cell r="AQ30">
            <v>651.04199999999992</v>
          </cell>
          <cell r="AR30">
            <v>0</v>
          </cell>
          <cell r="AS30">
            <v>109.143</v>
          </cell>
          <cell r="AT30">
            <v>167.81800000000001</v>
          </cell>
          <cell r="AU30">
            <v>198.83</v>
          </cell>
          <cell r="AV30">
            <v>447.41300000000001</v>
          </cell>
          <cell r="AW30">
            <v>923.20400000000006</v>
          </cell>
          <cell r="AX30">
            <v>0</v>
          </cell>
          <cell r="AY30">
            <v>155.52600000000001</v>
          </cell>
          <cell r="AZ30">
            <v>279.27100000000002</v>
          </cell>
          <cell r="BA30">
            <v>249.42400000000001</v>
          </cell>
          <cell r="BB30">
            <v>337.99900000000002</v>
          </cell>
          <cell r="BC30">
            <v>1022.22</v>
          </cell>
          <cell r="BD30">
            <v>0</v>
          </cell>
          <cell r="BE30">
            <v>145.93100000000001</v>
          </cell>
          <cell r="BF30">
            <v>163.13300000000001</v>
          </cell>
          <cell r="BG30">
            <v>147.87299999999999</v>
          </cell>
          <cell r="BH30">
            <v>245.708</v>
          </cell>
          <cell r="BI30">
            <v>702.64499999999998</v>
          </cell>
          <cell r="BJ30">
            <v>0</v>
          </cell>
          <cell r="BK30">
            <v>111</v>
          </cell>
          <cell r="BL30">
            <v>108</v>
          </cell>
          <cell r="BM30">
            <v>140</v>
          </cell>
          <cell r="BN30">
            <v>246</v>
          </cell>
          <cell r="BO30">
            <v>605</v>
          </cell>
          <cell r="BP30">
            <v>0</v>
          </cell>
          <cell r="BQ30">
            <v>107</v>
          </cell>
          <cell r="BR30">
            <v>137</v>
          </cell>
          <cell r="BS30">
            <v>140</v>
          </cell>
          <cell r="BT30">
            <v>231</v>
          </cell>
          <cell r="BU30">
            <v>615</v>
          </cell>
          <cell r="BV30">
            <v>0</v>
          </cell>
          <cell r="BW30">
            <v>69</v>
          </cell>
          <cell r="BX30">
            <v>215</v>
          </cell>
          <cell r="BY30">
            <v>152</v>
          </cell>
          <cell r="BZ30">
            <v>350</v>
          </cell>
          <cell r="CA30">
            <v>786</v>
          </cell>
          <cell r="CB30">
            <v>0</v>
          </cell>
          <cell r="CC30">
            <v>127</v>
          </cell>
          <cell r="CD30">
            <v>266</v>
          </cell>
          <cell r="CE30">
            <v>269</v>
          </cell>
          <cell r="CF30">
            <v>641</v>
          </cell>
          <cell r="CG30">
            <v>1303</v>
          </cell>
          <cell r="CH30">
            <v>0</v>
          </cell>
          <cell r="CI30">
            <v>228</v>
          </cell>
          <cell r="CJ30">
            <v>340</v>
          </cell>
          <cell r="CK30">
            <v>423</v>
          </cell>
          <cell r="CL30">
            <v>726</v>
          </cell>
          <cell r="CM30">
            <v>1717</v>
          </cell>
          <cell r="CN30">
            <v>0</v>
          </cell>
          <cell r="CO30">
            <v>376</v>
          </cell>
          <cell r="CP30">
            <v>553</v>
          </cell>
          <cell r="CQ30">
            <v>451</v>
          </cell>
          <cell r="CR30">
            <v>989</v>
          </cell>
          <cell r="CS30">
            <v>2369</v>
          </cell>
          <cell r="CT30">
            <v>0</v>
          </cell>
          <cell r="CU30">
            <v>331</v>
          </cell>
          <cell r="CV30">
            <v>469</v>
          </cell>
          <cell r="CW30">
            <v>396</v>
          </cell>
          <cell r="CX30">
            <v>805</v>
          </cell>
          <cell r="CY30">
            <v>2001</v>
          </cell>
          <cell r="CZ30">
            <v>0</v>
          </cell>
          <cell r="DA30">
            <v>317</v>
          </cell>
          <cell r="DB30">
            <v>478</v>
          </cell>
          <cell r="DC30">
            <v>477.4</v>
          </cell>
          <cell r="DD30">
            <v>855</v>
          </cell>
          <cell r="DE30">
            <v>2127.4</v>
          </cell>
          <cell r="DF30">
            <v>0</v>
          </cell>
          <cell r="DG30">
            <v>349</v>
          </cell>
          <cell r="DH30">
            <v>579</v>
          </cell>
          <cell r="DI30">
            <v>639</v>
          </cell>
          <cell r="DJ30">
            <v>1042</v>
          </cell>
          <cell r="DK30">
            <v>2609</v>
          </cell>
          <cell r="DL30">
            <v>0</v>
          </cell>
          <cell r="DM30">
            <v>428</v>
          </cell>
          <cell r="DN30">
            <v>569</v>
          </cell>
          <cell r="DO30">
            <v>658</v>
          </cell>
          <cell r="DP30">
            <v>1286</v>
          </cell>
          <cell r="DQ30">
            <v>2941</v>
          </cell>
          <cell r="DR30">
            <v>0</v>
          </cell>
          <cell r="DS30">
            <v>666.61000000000013</v>
          </cell>
          <cell r="DT30">
            <v>871.83100000000013</v>
          </cell>
          <cell r="DU30">
            <v>783.48</v>
          </cell>
          <cell r="DV30">
            <v>1126.6899999999996</v>
          </cell>
          <cell r="DW30">
            <v>3448.6109999999999</v>
          </cell>
          <cell r="DX30">
            <v>0</v>
          </cell>
          <cell r="DY30">
            <v>604.61709999999994</v>
          </cell>
          <cell r="DZ30">
            <v>812.1834650000003</v>
          </cell>
          <cell r="EA30">
            <v>759.96359999999981</v>
          </cell>
          <cell r="EB30">
            <v>1197.6493799999994</v>
          </cell>
          <cell r="EC30">
            <v>3374.4135449999994</v>
          </cell>
          <cell r="ED30">
            <v>0</v>
          </cell>
          <cell r="EE30">
            <v>698.22092899999984</v>
          </cell>
          <cell r="EF30">
            <v>879.50529965000032</v>
          </cell>
          <cell r="EG30">
            <v>748.77396399999975</v>
          </cell>
          <cell r="EH30">
            <v>751.17639239999926</v>
          </cell>
          <cell r="EI30">
            <v>3077.6765850499992</v>
          </cell>
          <cell r="EJ30">
            <v>0</v>
          </cell>
          <cell r="EK30">
            <v>528.45156986490429</v>
          </cell>
          <cell r="EL30">
            <v>593.97045863950029</v>
          </cell>
          <cell r="EM30">
            <v>536.50266219999958</v>
          </cell>
          <cell r="EN30">
            <v>364.23521201999893</v>
          </cell>
          <cell r="EO30">
            <v>2023.1599027244031</v>
          </cell>
          <cell r="EP30">
            <v>0</v>
          </cell>
          <cell r="EQ30">
            <v>591.99820022797485</v>
          </cell>
          <cell r="ER30">
            <v>603.61655514647327</v>
          </cell>
          <cell r="ES30">
            <v>565.04469567923502</v>
          </cell>
          <cell r="ET30">
            <v>260.03029290925588</v>
          </cell>
          <cell r="EU30">
            <v>2020.689743962939</v>
          </cell>
          <cell r="EV30">
            <v>0</v>
          </cell>
          <cell r="EW30">
            <v>733.44379060782876</v>
          </cell>
          <cell r="EX30">
            <v>701.10335016124122</v>
          </cell>
          <cell r="EY30">
            <v>679.42767735802636</v>
          </cell>
          <cell r="EZ30">
            <v>237.20632779563903</v>
          </cell>
          <cell r="FA30">
            <v>2351.1811459227351</v>
          </cell>
          <cell r="FB30">
            <v>0</v>
          </cell>
          <cell r="FC30">
            <v>1478</v>
          </cell>
          <cell r="FD30">
            <v>2078</v>
          </cell>
          <cell r="FE30">
            <v>2240</v>
          </cell>
          <cell r="FF30">
            <v>1996</v>
          </cell>
          <cell r="FG30">
            <v>2260.4</v>
          </cell>
          <cell r="FH30">
            <v>2678</v>
          </cell>
          <cell r="FI30">
            <v>3482.4410000000003</v>
          </cell>
          <cell r="FJ30">
            <v>3326.9705650000001</v>
          </cell>
          <cell r="FK30">
            <v>3535.3392086499994</v>
          </cell>
          <cell r="FL30">
            <v>2622.3723849044036</v>
          </cell>
          <cell r="FM30">
            <v>2096.3526295944466</v>
          </cell>
          <cell r="FN30">
            <v>2259.6221293575609</v>
          </cell>
          <cell r="FQ30">
            <v>0</v>
          </cell>
          <cell r="FR30">
            <v>0</v>
          </cell>
          <cell r="FS30">
            <v>0</v>
          </cell>
          <cell r="FT30">
            <v>0</v>
          </cell>
          <cell r="FU30">
            <v>0</v>
          </cell>
          <cell r="FV30">
            <v>0</v>
          </cell>
          <cell r="FX30">
            <v>0</v>
          </cell>
          <cell r="FY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D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I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N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S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X30">
            <v>0</v>
          </cell>
          <cell r="GY30">
            <v>0</v>
          </cell>
          <cell r="GZ30">
            <v>0</v>
          </cell>
          <cell r="HA30">
            <v>0</v>
          </cell>
        </row>
        <row r="31">
          <cell r="C31" t="str">
            <v>-</v>
          </cell>
          <cell r="D31" t="str">
            <v>-</v>
          </cell>
          <cell r="E31" t="str">
            <v>-</v>
          </cell>
          <cell r="F31" t="str">
            <v>-</v>
          </cell>
          <cell r="G31" t="str">
            <v>-</v>
          </cell>
          <cell r="H31" t="str">
            <v>-</v>
          </cell>
          <cell r="I31" t="str">
            <v>-</v>
          </cell>
          <cell r="J31" t="str">
            <v>-</v>
          </cell>
          <cell r="K31" t="str">
            <v>-</v>
          </cell>
          <cell r="L31">
            <v>0.57777777777777772</v>
          </cell>
          <cell r="M31">
            <v>0.323943661971831</v>
          </cell>
          <cell r="O31" t="str">
            <v>-</v>
          </cell>
          <cell r="P31" t="str">
            <v>-</v>
          </cell>
          <cell r="Q31" t="str">
            <v>-</v>
          </cell>
          <cell r="R31" t="str">
            <v>-</v>
          </cell>
          <cell r="S31">
            <v>0.63829787234042556</v>
          </cell>
          <cell r="U31">
            <v>1.0869565217391304</v>
          </cell>
          <cell r="V31">
            <v>1.1111111111111112</v>
          </cell>
          <cell r="W31">
            <v>1.0303030303030303</v>
          </cell>
          <cell r="X31">
            <v>0.73239436619718301</v>
          </cell>
          <cell r="Y31">
            <v>0.9155844155844155</v>
          </cell>
          <cell r="AA31">
            <v>5.0333333333333341E-2</v>
          </cell>
          <cell r="AB31">
            <v>0.77926315789473688</v>
          </cell>
          <cell r="AC31">
            <v>0.60926865671641783</v>
          </cell>
          <cell r="AD31">
            <v>0.77728455284552833</v>
          </cell>
          <cell r="AE31">
            <v>0.62122372881355914</v>
          </cell>
          <cell r="AG31">
            <v>0.95233655982227883</v>
          </cell>
          <cell r="AH31">
            <v>6.8252184030448193E-2</v>
          </cell>
          <cell r="AI31">
            <v>0.29566596488624652</v>
          </cell>
          <cell r="AJ31">
            <v>-1.2785559408250435E-2</v>
          </cell>
          <cell r="AK31">
            <v>0.17567604299744288</v>
          </cell>
          <cell r="AM31">
            <v>-3.4441069197086449E-3</v>
          </cell>
          <cell r="AN31">
            <v>0.18562857670297195</v>
          </cell>
          <cell r="AO31">
            <v>5.4767358625626317E-2</v>
          </cell>
          <cell r="AP31">
            <v>0.28422554920740817</v>
          </cell>
          <cell r="AQ31">
            <v>0.15786085224443336</v>
          </cell>
          <cell r="AS31">
            <v>0.11268223060454674</v>
          </cell>
          <cell r="AT31">
            <v>0.30647484254696367</v>
          </cell>
          <cell r="AU31">
            <v>0.34936308542188388</v>
          </cell>
          <cell r="AV31">
            <v>0.61433519754645527</v>
          </cell>
          <cell r="AW31">
            <v>0.41804061796320391</v>
          </cell>
          <cell r="AY31">
            <v>0.42497457464060928</v>
          </cell>
          <cell r="AZ31">
            <v>0.66413018865675899</v>
          </cell>
          <cell r="BA31">
            <v>0.2544585827088468</v>
          </cell>
          <cell r="BB31">
            <v>-0.24454810208912126</v>
          </cell>
          <cell r="BC31">
            <v>0.10725256822977358</v>
          </cell>
          <cell r="BE31">
            <v>-6.169386469143423E-2</v>
          </cell>
          <cell r="BF31">
            <v>-0.41586129601713029</v>
          </cell>
          <cell r="BG31">
            <v>-0.40714205529540071</v>
          </cell>
          <cell r="BH31">
            <v>-0.27305110370149033</v>
          </cell>
          <cell r="BI31">
            <v>-0.3126283970182544</v>
          </cell>
          <cell r="BK31">
            <v>-0.23936654994483697</v>
          </cell>
          <cell r="BL31">
            <v>-0.33796350217307358</v>
          </cell>
          <cell r="BM31">
            <v>-5.3241633022931834E-2</v>
          </cell>
          <cell r="BN31">
            <v>1.1884024940171933E-3</v>
          </cell>
          <cell r="BO31">
            <v>-0.13896775754470603</v>
          </cell>
          <cell r="BQ31">
            <v>-3.6036036036036001E-2</v>
          </cell>
          <cell r="BR31">
            <v>0.2685185185185186</v>
          </cell>
          <cell r="BS31">
            <v>0</v>
          </cell>
          <cell r="BT31">
            <v>-6.0975609756097615E-2</v>
          </cell>
          <cell r="BU31">
            <v>1.6528925619834656E-2</v>
          </cell>
          <cell r="BW31">
            <v>-0.35514018691588789</v>
          </cell>
          <cell r="BX31">
            <v>0.56934306569343063</v>
          </cell>
          <cell r="BY31">
            <v>8.5714285714285632E-2</v>
          </cell>
          <cell r="BZ31">
            <v>0.51515151515151514</v>
          </cell>
          <cell r="CA31">
            <v>0.2780487804878049</v>
          </cell>
          <cell r="CC31">
            <v>0.84057971014492749</v>
          </cell>
          <cell r="CD31">
            <v>0.23720930232558146</v>
          </cell>
          <cell r="CE31">
            <v>0.76973684210526305</v>
          </cell>
          <cell r="CF31">
            <v>0.83142857142857141</v>
          </cell>
          <cell r="CG31">
            <v>0.65776081424936383</v>
          </cell>
          <cell r="CI31">
            <v>0.79527559055118102</v>
          </cell>
          <cell r="CJ31">
            <v>0.27819548872180455</v>
          </cell>
          <cell r="CK31">
            <v>0.57249070631970267</v>
          </cell>
          <cell r="CL31">
            <v>0.13260530421216843</v>
          </cell>
          <cell r="CM31">
            <v>0.31772831926323875</v>
          </cell>
          <cell r="CO31">
            <v>0.64912280701754388</v>
          </cell>
          <cell r="CP31">
            <v>0.62647058823529411</v>
          </cell>
          <cell r="CQ31">
            <v>6.6193853427896077E-2</v>
          </cell>
          <cell r="CR31">
            <v>0.36225895316804402</v>
          </cell>
          <cell r="CS31">
            <v>0.37973209085614434</v>
          </cell>
          <cell r="CU31">
            <v>-0.11968085106382975</v>
          </cell>
          <cell r="CV31">
            <v>-0.15189873417721522</v>
          </cell>
          <cell r="CW31">
            <v>-0.12195121951219512</v>
          </cell>
          <cell r="CX31">
            <v>-0.18604651162790697</v>
          </cell>
          <cell r="CY31">
            <v>-0.15533980582524276</v>
          </cell>
          <cell r="DA31">
            <v>-4.2296072507552851E-2</v>
          </cell>
          <cell r="DB31">
            <v>1.9189765458422103E-2</v>
          </cell>
          <cell r="DC31">
            <v>0.20555555555555549</v>
          </cell>
          <cell r="DE31">
            <v>6.3168415792103971E-2</v>
          </cell>
          <cell r="DG31">
            <v>0.10094637223974767</v>
          </cell>
          <cell r="DH31">
            <v>0.21129707112970708</v>
          </cell>
          <cell r="DI31">
            <v>0.33850020946795145</v>
          </cell>
          <cell r="DJ31">
            <v>0.21871345029239775</v>
          </cell>
          <cell r="DK31">
            <v>0.22637961831343412</v>
          </cell>
          <cell r="DM31">
            <v>0.22636103151862463</v>
          </cell>
          <cell r="DN31">
            <v>-1.7271157167530249E-2</v>
          </cell>
          <cell r="DO31">
            <v>2.9733959311424085E-2</v>
          </cell>
          <cell r="DP31">
            <v>0.23416506717850294</v>
          </cell>
          <cell r="DQ31">
            <v>0.12725182062092766</v>
          </cell>
          <cell r="DS31">
            <v>0.55750000000000033</v>
          </cell>
          <cell r="DT31">
            <v>0.53221616871704769</v>
          </cell>
          <cell r="DU31">
            <v>0.19069908814589676</v>
          </cell>
          <cell r="DV31">
            <v>-0.12388024883359283</v>
          </cell>
          <cell r="DW31">
            <v>0.17259809588575314</v>
          </cell>
          <cell r="DY31">
            <v>-9.2997254766655435E-2</v>
          </cell>
          <cell r="DZ31">
            <v>-6.8416396067586316E-2</v>
          </cell>
          <cell r="EA31">
            <v>-3.0015316281207127E-2</v>
          </cell>
          <cell r="EB31">
            <v>6.2980393897167586E-2</v>
          </cell>
          <cell r="EC31">
            <v>-2.1515170890541224E-2</v>
          </cell>
          <cell r="EE31">
            <v>0.1548150540234472</v>
          </cell>
          <cell r="EF31">
            <v>8.2889935034567541E-2</v>
          </cell>
          <cell r="EG31">
            <v>-1.4723910460974765E-2</v>
          </cell>
          <cell r="EH31">
            <v>-0.37279106477723922</v>
          </cell>
          <cell r="EI31">
            <v>-8.7937342590888701E-2</v>
          </cell>
          <cell r="EK31">
            <v>-0.24314561778925936</v>
          </cell>
          <cell r="EL31">
            <v>-0.32465391751946104</v>
          </cell>
          <cell r="EM31">
            <v>-0.28349183065344974</v>
          </cell>
          <cell r="EN31">
            <v>-0.51511360619804369</v>
          </cell>
          <cell r="EO31">
            <v>-0.34263401406371774</v>
          </cell>
          <cell r="EQ31">
            <v>0.12025062273789056</v>
          </cell>
          <cell r="ER31">
            <v>1.6240027372855348E-2</v>
          </cell>
          <cell r="ES31">
            <v>5.3200171201751578E-2</v>
          </cell>
          <cell r="ET31">
            <v>-0.2860923811644589</v>
          </cell>
          <cell r="EU31">
            <v>-1.2209409439846164E-3</v>
          </cell>
          <cell r="EW31">
            <v>0.23892908850970174</v>
          </cell>
          <cell r="EX31">
            <v>0.1615045084227551</v>
          </cell>
          <cell r="EY31">
            <v>0.20243174133559938</v>
          </cell>
          <cell r="EZ31">
            <v>-8.7774254523421469E-2</v>
          </cell>
          <cell r="FA31">
            <v>0.16355375828831731</v>
          </cell>
        </row>
        <row r="32">
          <cell r="C32" t="str">
            <v>-</v>
          </cell>
          <cell r="D32" t="str">
            <v>-</v>
          </cell>
          <cell r="E32" t="str">
            <v>-</v>
          </cell>
          <cell r="F32" t="str">
            <v>-</v>
          </cell>
          <cell r="G32" t="str">
            <v>-</v>
          </cell>
          <cell r="H32" t="str">
            <v>-</v>
          </cell>
          <cell r="I32" t="str">
            <v>-</v>
          </cell>
          <cell r="J32" t="str">
            <v>-</v>
          </cell>
          <cell r="K32" t="str">
            <v>-</v>
          </cell>
          <cell r="L32" t="str">
            <v>-</v>
          </cell>
          <cell r="M32" t="str">
            <v>-</v>
          </cell>
          <cell r="O32" t="str">
            <v>-</v>
          </cell>
          <cell r="P32">
            <v>0.17391304347826098</v>
          </cell>
          <cell r="Q32">
            <v>0.22222222222222232</v>
          </cell>
          <cell r="R32">
            <v>1.1515151515151514</v>
          </cell>
          <cell r="S32" t="str">
            <v>-</v>
          </cell>
          <cell r="U32">
            <v>-0.323943661971831</v>
          </cell>
          <cell r="V32">
            <v>0.1875</v>
          </cell>
          <cell r="W32">
            <v>0.17543859649122817</v>
          </cell>
          <cell r="X32">
            <v>0.83582089552238803</v>
          </cell>
          <cell r="Y32" t="str">
            <v>-</v>
          </cell>
          <cell r="AA32">
            <v>-0.59011382113821143</v>
          </cell>
          <cell r="AB32">
            <v>1.01162329419232</v>
          </cell>
          <cell r="AC32">
            <v>6.3134749255556066E-2</v>
          </cell>
          <cell r="AD32">
            <v>1.0274900065849879</v>
          </cell>
          <cell r="AE32" t="str">
            <v>-</v>
          </cell>
          <cell r="AG32">
            <v>-0.54974245903589103</v>
          </cell>
          <cell r="AH32">
            <v>0.10069186926617157</v>
          </cell>
          <cell r="AI32">
            <v>0.28945911020860238</v>
          </cell>
          <cell r="AJ32">
            <v>0.54481746599856851</v>
          </cell>
          <cell r="AK32" t="str">
            <v>-</v>
          </cell>
          <cell r="AM32">
            <v>-0.54548192631515535</v>
          </cell>
          <cell r="AN32">
            <v>0.30952186767254553</v>
          </cell>
          <cell r="AO32">
            <v>0.14713781909054813</v>
          </cell>
          <cell r="AP32">
            <v>0.88088306153334539</v>
          </cell>
          <cell r="AQ32" t="str">
            <v>-</v>
          </cell>
          <cell r="AS32">
            <v>-0.60619520115460945</v>
          </cell>
          <cell r="AT32">
            <v>0.53759746387766527</v>
          </cell>
          <cell r="AU32">
            <v>0.18479543314781499</v>
          </cell>
          <cell r="AV32">
            <v>1.2502288387064326</v>
          </cell>
          <cell r="AW32" t="str">
            <v>-</v>
          </cell>
          <cell r="AY32">
            <v>-0.6523882855437817</v>
          </cell>
          <cell r="AZ32">
            <v>0.79565474583027918</v>
          </cell>
          <cell r="BA32">
            <v>-0.10687468444629056</v>
          </cell>
          <cell r="BB32">
            <v>0.35511819231509412</v>
          </cell>
          <cell r="BC32" t="str">
            <v>-</v>
          </cell>
          <cell r="BE32">
            <v>-0.56825020192367437</v>
          </cell>
          <cell r="BF32">
            <v>0.11787762709773797</v>
          </cell>
          <cell r="BG32">
            <v>-9.3543305155915801E-2</v>
          </cell>
          <cell r="BH32">
            <v>0.66161503452286774</v>
          </cell>
          <cell r="BI32" t="str">
            <v>-</v>
          </cell>
          <cell r="BK32">
            <v>-0.54824425741123606</v>
          </cell>
          <cell r="BL32">
            <v>-2.7027027027026973E-2</v>
          </cell>
          <cell r="BM32">
            <v>0.29629629629629628</v>
          </cell>
          <cell r="BN32">
            <v>0.75714285714285712</v>
          </cell>
          <cell r="BO32" t="str">
            <v>-</v>
          </cell>
          <cell r="BQ32">
            <v>-0.56504065040650409</v>
          </cell>
          <cell r="BR32">
            <v>0.28037383177570097</v>
          </cell>
          <cell r="BS32">
            <v>2.1897810218978186E-2</v>
          </cell>
          <cell r="BT32">
            <v>0.64999999999999991</v>
          </cell>
          <cell r="BU32" t="str">
            <v>-</v>
          </cell>
          <cell r="BW32">
            <v>-0.70129870129870131</v>
          </cell>
          <cell r="BX32">
            <v>2.1159420289855073</v>
          </cell>
          <cell r="BY32">
            <v>-0.2930232558139535</v>
          </cell>
          <cell r="BZ32">
            <v>1.3026315789473686</v>
          </cell>
          <cell r="CA32" t="str">
            <v>-</v>
          </cell>
          <cell r="CC32">
            <v>-0.63714285714285712</v>
          </cell>
          <cell r="CD32">
            <v>1.0944881889763778</v>
          </cell>
          <cell r="CE32">
            <v>1.1278195488721776E-2</v>
          </cell>
          <cell r="CF32">
            <v>1.3828996282527881</v>
          </cell>
          <cell r="CG32" t="str">
            <v>-</v>
          </cell>
          <cell r="CI32">
            <v>-0.64430577223088925</v>
          </cell>
          <cell r="CJ32">
            <v>0.49122807017543857</v>
          </cell>
          <cell r="CK32">
            <v>0.24411764705882355</v>
          </cell>
          <cell r="CL32">
            <v>0.71631205673758869</v>
          </cell>
          <cell r="CM32" t="str">
            <v>-</v>
          </cell>
          <cell r="CO32">
            <v>-0.48209366391184572</v>
          </cell>
          <cell r="CP32">
            <v>0.4707446808510638</v>
          </cell>
          <cell r="CQ32">
            <v>-0.18444846292947559</v>
          </cell>
          <cell r="CR32">
            <v>1.1929046563192904</v>
          </cell>
          <cell r="CS32" t="str">
            <v>-</v>
          </cell>
          <cell r="CU32">
            <v>-0.66531850353892819</v>
          </cell>
          <cell r="CV32">
            <v>0.41691842900302123</v>
          </cell>
          <cell r="CW32">
            <v>-0.15565031982942434</v>
          </cell>
          <cell r="CX32">
            <v>1.0328282828282829</v>
          </cell>
          <cell r="CY32" t="str">
            <v>-</v>
          </cell>
          <cell r="DA32">
            <v>-0.60621118012422359</v>
          </cell>
          <cell r="DB32">
            <v>0.50788643533123023</v>
          </cell>
          <cell r="DC32">
            <v>-1.255230125523088E-3</v>
          </cell>
          <cell r="DE32" t="str">
            <v>-</v>
          </cell>
          <cell r="DG32">
            <v>-0.59181286549707601</v>
          </cell>
          <cell r="DH32">
            <v>0.65902578796561606</v>
          </cell>
          <cell r="DI32">
            <v>0.10362694300518127</v>
          </cell>
          <cell r="DJ32">
            <v>0.63067292644757433</v>
          </cell>
          <cell r="DK32" t="str">
            <v>-</v>
          </cell>
          <cell r="DM32">
            <v>-0.58925143953934733</v>
          </cell>
          <cell r="DN32">
            <v>0.32943925233644866</v>
          </cell>
          <cell r="DO32">
            <v>0.15641476274165211</v>
          </cell>
          <cell r="DP32">
            <v>0.95440729483282682</v>
          </cell>
          <cell r="DQ32" t="str">
            <v>-</v>
          </cell>
          <cell r="DS32">
            <v>-0.48164074650077748</v>
          </cell>
          <cell r="DT32">
            <v>0.30785766790177149</v>
          </cell>
          <cell r="DU32">
            <v>-0.10133959448562868</v>
          </cell>
          <cell r="DV32">
            <v>0.43805840608566848</v>
          </cell>
          <cell r="DW32" t="str">
            <v>-</v>
          </cell>
          <cell r="DY32">
            <v>-0.46336871721591555</v>
          </cell>
          <cell r="DZ32">
            <v>0.34330217421902298</v>
          </cell>
          <cell r="EA32">
            <v>-6.42956514757419E-2</v>
          </cell>
          <cell r="EB32">
            <v>0.5759299261175137</v>
          </cell>
          <cell r="EC32" t="str">
            <v>-</v>
          </cell>
          <cell r="EE32">
            <v>-0.41700723044669363</v>
          </cell>
          <cell r="EF32">
            <v>0.25963754897699509</v>
          </cell>
          <cell r="EG32">
            <v>-0.14864189641839021</v>
          </cell>
          <cell r="EH32">
            <v>3.2084828205904969E-3</v>
          </cell>
          <cell r="EI32" t="str">
            <v>-</v>
          </cell>
          <cell r="EK32">
            <v>-0.29650136078357303</v>
          </cell>
          <cell r="EL32">
            <v>0.12398276873573399</v>
          </cell>
          <cell r="EM32">
            <v>-9.6751943810693408E-2</v>
          </cell>
          <cell r="EN32">
            <v>-0.32109337439929075</v>
          </cell>
          <cell r="EO32" t="str">
            <v>-</v>
          </cell>
          <cell r="EQ32">
            <v>0.62531842252382286</v>
          </cell>
          <cell r="ER32">
            <v>1.9625659189545397E-2</v>
          </cell>
          <cell r="ES32">
            <v>-6.3901261717181357E-2</v>
          </cell>
          <cell r="ET32">
            <v>-0.53980579784635285</v>
          </cell>
          <cell r="EU32" t="str">
            <v>-</v>
          </cell>
          <cell r="EW32">
            <v>1.8206090236716475</v>
          </cell>
          <cell r="EX32">
            <v>-4.4093959020071516E-2</v>
          </cell>
          <cell r="EY32">
            <v>-3.0916515800744393E-2</v>
          </cell>
          <cell r="EZ32">
            <v>-0.65087332220844685</v>
          </cell>
          <cell r="FA32" t="str">
            <v>-</v>
          </cell>
        </row>
        <row r="33"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K33">
            <v>0</v>
          </cell>
          <cell r="BL33">
            <v>0</v>
          </cell>
          <cell r="BM33">
            <v>0</v>
          </cell>
          <cell r="BN33">
            <v>0</v>
          </cell>
          <cell r="BO33">
            <v>0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W33">
            <v>0</v>
          </cell>
          <cell r="BX33">
            <v>0</v>
          </cell>
          <cell r="BY33">
            <v>0</v>
          </cell>
          <cell r="BZ33">
            <v>0</v>
          </cell>
          <cell r="CA33">
            <v>0</v>
          </cell>
          <cell r="CC33">
            <v>0</v>
          </cell>
          <cell r="CD33">
            <v>0</v>
          </cell>
          <cell r="CE33">
            <v>0</v>
          </cell>
          <cell r="CF33">
            <v>0</v>
          </cell>
          <cell r="CG33">
            <v>0</v>
          </cell>
          <cell r="CI33">
            <v>0</v>
          </cell>
          <cell r="CJ33">
            <v>0</v>
          </cell>
          <cell r="CK33">
            <v>0</v>
          </cell>
          <cell r="CL33">
            <v>0</v>
          </cell>
          <cell r="CM33">
            <v>0</v>
          </cell>
          <cell r="CO33">
            <v>0</v>
          </cell>
          <cell r="CP33">
            <v>0</v>
          </cell>
          <cell r="CQ33">
            <v>0</v>
          </cell>
          <cell r="CR33">
            <v>0</v>
          </cell>
          <cell r="CS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DA33">
            <v>0</v>
          </cell>
          <cell r="DB33">
            <v>0</v>
          </cell>
          <cell r="DC33">
            <v>0</v>
          </cell>
          <cell r="DE33">
            <v>0</v>
          </cell>
          <cell r="DG33">
            <v>0</v>
          </cell>
          <cell r="DH33">
            <v>0</v>
          </cell>
          <cell r="DI33">
            <v>0</v>
          </cell>
          <cell r="DJ33">
            <v>0</v>
          </cell>
          <cell r="DK33">
            <v>0</v>
          </cell>
          <cell r="DM33">
            <v>0</v>
          </cell>
          <cell r="DN33">
            <v>0</v>
          </cell>
          <cell r="DO33">
            <v>0</v>
          </cell>
          <cell r="DP33">
            <v>0</v>
          </cell>
          <cell r="DQ33">
            <v>0</v>
          </cell>
          <cell r="DS33">
            <v>0</v>
          </cell>
          <cell r="DT33">
            <v>0</v>
          </cell>
          <cell r="DU33">
            <v>0</v>
          </cell>
          <cell r="DV33">
            <v>0</v>
          </cell>
          <cell r="DW33">
            <v>0</v>
          </cell>
          <cell r="DY33">
            <v>0</v>
          </cell>
          <cell r="DZ33">
            <v>0</v>
          </cell>
          <cell r="EA33">
            <v>0</v>
          </cell>
          <cell r="EB33">
            <v>0</v>
          </cell>
          <cell r="EC33">
            <v>0</v>
          </cell>
          <cell r="EE33">
            <v>0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K33">
            <v>0</v>
          </cell>
          <cell r="EL33">
            <v>0</v>
          </cell>
          <cell r="EM33">
            <v>0</v>
          </cell>
          <cell r="EN33">
            <v>0</v>
          </cell>
          <cell r="EO33">
            <v>0</v>
          </cell>
          <cell r="EQ33">
            <v>0</v>
          </cell>
          <cell r="ER33">
            <v>0</v>
          </cell>
          <cell r="ES33">
            <v>0</v>
          </cell>
          <cell r="ET33">
            <v>0</v>
          </cell>
          <cell r="EU33">
            <v>0</v>
          </cell>
          <cell r="EW33">
            <v>0</v>
          </cell>
          <cell r="EX33">
            <v>0</v>
          </cell>
          <cell r="EY33">
            <v>0</v>
          </cell>
          <cell r="EZ33">
            <v>0</v>
          </cell>
          <cell r="FA33">
            <v>0</v>
          </cell>
        </row>
        <row r="34">
          <cell r="C34" t="str">
            <v>-</v>
          </cell>
          <cell r="D34" t="str">
            <v>-</v>
          </cell>
          <cell r="E34" t="str">
            <v>-</v>
          </cell>
          <cell r="F34" t="str">
            <v>-</v>
          </cell>
          <cell r="G34" t="str">
            <v>-</v>
          </cell>
          <cell r="H34" t="str">
            <v>-</v>
          </cell>
          <cell r="I34" t="str">
            <v>-</v>
          </cell>
          <cell r="J34" t="str">
            <v>-</v>
          </cell>
          <cell r="K34" t="str">
            <v>-</v>
          </cell>
          <cell r="L34" t="str">
            <v>-</v>
          </cell>
          <cell r="M34" t="str">
            <v>-</v>
          </cell>
          <cell r="O34" t="str">
            <v>-</v>
          </cell>
          <cell r="P34" t="str">
            <v>-</v>
          </cell>
          <cell r="Q34" t="str">
            <v>-</v>
          </cell>
          <cell r="R34" t="str">
            <v>-</v>
          </cell>
          <cell r="S34" t="str">
            <v>-</v>
          </cell>
          <cell r="U34" t="str">
            <v>-</v>
          </cell>
          <cell r="V34" t="str">
            <v>-</v>
          </cell>
          <cell r="W34" t="str">
            <v>-</v>
          </cell>
          <cell r="X34" t="str">
            <v>-</v>
          </cell>
          <cell r="Y34" t="str">
            <v>-</v>
          </cell>
          <cell r="AA34">
            <v>287.28500000000003</v>
          </cell>
          <cell r="AB34">
            <v>317.42</v>
          </cell>
          <cell r="AC34">
            <v>332.738</v>
          </cell>
          <cell r="AD34">
            <v>382.50700000000001</v>
          </cell>
          <cell r="AE34">
            <v>1319.95</v>
          </cell>
          <cell r="AG34">
            <v>405.12900000000002</v>
          </cell>
          <cell r="AH34">
            <v>427.75599999999997</v>
          </cell>
          <cell r="AI34">
            <v>447.995</v>
          </cell>
          <cell r="AJ34">
            <v>513.23699999999997</v>
          </cell>
          <cell r="AK34">
            <v>1794.1170000000002</v>
          </cell>
          <cell r="AM34">
            <v>524.85599999999999</v>
          </cell>
          <cell r="AN34">
            <v>566.44000000000005</v>
          </cell>
          <cell r="AO34">
            <v>583.596</v>
          </cell>
          <cell r="AP34">
            <v>670.63199999999995</v>
          </cell>
          <cell r="AQ34">
            <v>2345.5239999999999</v>
          </cell>
          <cell r="AS34">
            <v>667.41499999999996</v>
          </cell>
          <cell r="AT34">
            <v>720.34199999999998</v>
          </cell>
          <cell r="AU34">
            <v>754.41300000000001</v>
          </cell>
          <cell r="AV34">
            <v>836.70299999999997</v>
          </cell>
          <cell r="AW34">
            <v>2978.873</v>
          </cell>
          <cell r="AY34">
            <v>839.31799999999998</v>
          </cell>
          <cell r="AZ34">
            <v>872.798</v>
          </cell>
          <cell r="BA34">
            <v>906.51900000000001</v>
          </cell>
          <cell r="BB34">
            <v>951.54399999999987</v>
          </cell>
          <cell r="BC34">
            <v>3570.1790000000001</v>
          </cell>
          <cell r="BE34">
            <v>843.16499999999996</v>
          </cell>
          <cell r="BF34">
            <v>881.13499999999999</v>
          </cell>
          <cell r="BG34">
            <v>866.39700000000005</v>
          </cell>
          <cell r="BH34">
            <v>949.53899999999999</v>
          </cell>
          <cell r="BI34">
            <v>3540.2359999999999</v>
          </cell>
          <cell r="BK34">
            <v>905</v>
          </cell>
          <cell r="BL34">
            <v>954</v>
          </cell>
          <cell r="BM34">
            <v>1005</v>
          </cell>
          <cell r="BN34">
            <v>1065.4000000000001</v>
          </cell>
          <cell r="BO34">
            <v>3929.4</v>
          </cell>
          <cell r="BQ34">
            <v>1034</v>
          </cell>
          <cell r="BR34">
            <v>1114</v>
          </cell>
          <cell r="BS34">
            <v>1176</v>
          </cell>
          <cell r="BT34">
            <v>1205</v>
          </cell>
          <cell r="BU34">
            <v>4529</v>
          </cell>
          <cell r="BW34">
            <v>1176</v>
          </cell>
          <cell r="BX34">
            <v>1252</v>
          </cell>
          <cell r="BY34">
            <v>1532</v>
          </cell>
          <cell r="BZ34">
            <v>1691</v>
          </cell>
          <cell r="CA34">
            <v>5651</v>
          </cell>
          <cell r="CC34">
            <v>1641</v>
          </cell>
          <cell r="CD34">
            <v>1661</v>
          </cell>
          <cell r="CE34">
            <v>1767</v>
          </cell>
          <cell r="CF34">
            <v>1959</v>
          </cell>
          <cell r="CG34">
            <v>7028</v>
          </cell>
          <cell r="CI34">
            <v>2011</v>
          </cell>
          <cell r="CJ34">
            <v>2060</v>
          </cell>
          <cell r="CK34">
            <v>2143</v>
          </cell>
          <cell r="CL34">
            <v>2327</v>
          </cell>
          <cell r="CM34">
            <v>8541</v>
          </cell>
          <cell r="CO34">
            <v>2447</v>
          </cell>
          <cell r="CP34">
            <v>2542</v>
          </cell>
          <cell r="CQ34">
            <v>2646</v>
          </cell>
          <cell r="CR34">
            <v>2872</v>
          </cell>
          <cell r="CS34">
            <v>10507</v>
          </cell>
          <cell r="CU34">
            <v>3027</v>
          </cell>
          <cell r="CV34">
            <v>2930</v>
          </cell>
          <cell r="CW34">
            <v>2968</v>
          </cell>
          <cell r="CX34">
            <v>3072</v>
          </cell>
          <cell r="CY34">
            <v>11997</v>
          </cell>
          <cell r="DA34">
            <v>3126</v>
          </cell>
          <cell r="DB34">
            <v>3261</v>
          </cell>
          <cell r="DC34">
            <v>3323</v>
          </cell>
          <cell r="DE34">
            <v>13177</v>
          </cell>
          <cell r="DG34">
            <v>3475</v>
          </cell>
          <cell r="DH34">
            <v>3712</v>
          </cell>
          <cell r="DI34">
            <v>3756</v>
          </cell>
          <cell r="DJ34">
            <v>3978</v>
          </cell>
          <cell r="DK34">
            <v>14921</v>
          </cell>
          <cell r="DM34">
            <v>4035</v>
          </cell>
          <cell r="DN34">
            <v>3996</v>
          </cell>
          <cell r="DO34">
            <v>4068</v>
          </cell>
          <cell r="DP34">
            <v>4160</v>
          </cell>
          <cell r="DQ34">
            <v>16259</v>
          </cell>
          <cell r="DS34">
            <v>4145</v>
          </cell>
          <cell r="DT34">
            <v>4264</v>
          </cell>
          <cell r="DU34">
            <v>4344</v>
          </cell>
          <cell r="DV34">
            <v>4404</v>
          </cell>
          <cell r="DW34">
            <v>17157</v>
          </cell>
          <cell r="DY34">
            <v>4432</v>
          </cell>
          <cell r="DZ34">
            <v>4517</v>
          </cell>
          <cell r="EA34">
            <v>4565</v>
          </cell>
          <cell r="EB34">
            <v>4695</v>
          </cell>
          <cell r="EC34">
            <v>18209</v>
          </cell>
          <cell r="EE34">
            <v>4731</v>
          </cell>
          <cell r="EF34">
            <v>4773</v>
          </cell>
          <cell r="EG34">
            <v>4664</v>
          </cell>
          <cell r="EH34">
            <v>4688</v>
          </cell>
          <cell r="EI34">
            <v>18856</v>
          </cell>
          <cell r="EK34">
            <v>4697</v>
          </cell>
          <cell r="EL34">
            <v>4683</v>
          </cell>
          <cell r="EM34">
            <v>4720.0200000000004</v>
          </cell>
          <cell r="EN34">
            <v>4780.1594000000005</v>
          </cell>
          <cell r="EO34">
            <v>18880.179400000001</v>
          </cell>
          <cell r="EQ34">
            <v>4826.0012120000001</v>
          </cell>
          <cell r="ER34">
            <v>4787.8219377600008</v>
          </cell>
          <cell r="ES34">
            <v>4773.5057490048002</v>
          </cell>
          <cell r="ET34">
            <v>4758.928651524704</v>
          </cell>
          <cell r="EU34">
            <v>19146.257550289505</v>
          </cell>
          <cell r="EW34">
            <v>4763.8809602365864</v>
          </cell>
          <cell r="EX34">
            <v>4720.3639341568542</v>
          </cell>
          <cell r="EY34">
            <v>4697.5959448487165</v>
          </cell>
          <cell r="EZ34">
            <v>4674.722604332992</v>
          </cell>
          <cell r="FA34">
            <v>18856.563443575149</v>
          </cell>
        </row>
        <row r="35"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G35">
            <v>0.41019893137476715</v>
          </cell>
          <cell r="AH35">
            <v>0.3476025455232814</v>
          </cell>
          <cell r="AI35">
            <v>0.34638965191832605</v>
          </cell>
          <cell r="AJ35">
            <v>0.34177152313552428</v>
          </cell>
          <cell r="AK35">
            <v>0.35923103147846525</v>
          </cell>
          <cell r="AM35">
            <v>0.29552809105247957</v>
          </cell>
          <cell r="AN35">
            <v>0.32421286901878665</v>
          </cell>
          <cell r="AO35">
            <v>0.30268418174309986</v>
          </cell>
          <cell r="AP35">
            <v>0.30667118699548168</v>
          </cell>
          <cell r="AQ35">
            <v>0.30734171740193061</v>
          </cell>
          <cell r="AS35">
            <v>0.27161545261938502</v>
          </cell>
          <cell r="AT35">
            <v>0.27170044488383582</v>
          </cell>
          <cell r="AU35">
            <v>0.29269734542388903</v>
          </cell>
          <cell r="AV35">
            <v>0.24763357549296794</v>
          </cell>
          <cell r="AW35">
            <v>0.27002452330481375</v>
          </cell>
          <cell r="AY35">
            <v>0.25756538285774222</v>
          </cell>
          <cell r="AZ35">
            <v>0.21164391358549128</v>
          </cell>
          <cell r="BA35">
            <v>0.20162165816336675</v>
          </cell>
          <cell r="BB35">
            <v>0.13725419892124191</v>
          </cell>
          <cell r="BC35">
            <v>0.19849990247989768</v>
          </cell>
          <cell r="BE35">
            <v>4.5834832566440387E-3</v>
          </cell>
          <cell r="BF35">
            <v>9.5520383868890057E-3</v>
          </cell>
          <cell r="BG35">
            <v>-4.4259414309021583E-2</v>
          </cell>
          <cell r="BH35">
            <v>-2.107101720992266E-3</v>
          </cell>
          <cell r="BI35">
            <v>-8.3869744346152242E-3</v>
          </cell>
          <cell r="BK35">
            <v>7.3336772755036028E-2</v>
          </cell>
          <cell r="BL35">
            <v>8.2694479279565636E-2</v>
          </cell>
          <cell r="BM35">
            <v>0.15997631570746429</v>
          </cell>
          <cell r="BN35">
            <v>0.1220181582852311</v>
          </cell>
          <cell r="BO35">
            <v>0.10992600493300464</v>
          </cell>
          <cell r="BQ35">
            <v>0.14254143646408846</v>
          </cell>
          <cell r="BR35">
            <v>0.16771488469601681</v>
          </cell>
          <cell r="BS35">
            <v>0.17014925373134338</v>
          </cell>
          <cell r="BT35">
            <v>0.13103059883611778</v>
          </cell>
          <cell r="BU35">
            <v>0.15259327123733901</v>
          </cell>
          <cell r="BW35">
            <v>0.13733075435203101</v>
          </cell>
          <cell r="BX35">
            <v>0.12387791741472176</v>
          </cell>
          <cell r="BY35">
            <v>0.30272108843537415</v>
          </cell>
          <cell r="BZ35">
            <v>0.4033195020746887</v>
          </cell>
          <cell r="CA35">
            <v>0.24773680724221681</v>
          </cell>
          <cell r="CC35">
            <v>0.39540816326530615</v>
          </cell>
          <cell r="CD35">
            <v>0.32667731629392982</v>
          </cell>
          <cell r="CE35">
            <v>0.1533942558746737</v>
          </cell>
          <cell r="CF35">
            <v>0.1584861028976936</v>
          </cell>
          <cell r="CG35">
            <v>0.24367368607326134</v>
          </cell>
          <cell r="CI35">
            <v>0.22547227300426576</v>
          </cell>
          <cell r="CJ35">
            <v>0.24021673690547862</v>
          </cell>
          <cell r="CK35">
            <v>0.21279003961516696</v>
          </cell>
          <cell r="CL35">
            <v>0.187850944359367</v>
          </cell>
          <cell r="CM35">
            <v>0.21528173022196917</v>
          </cell>
          <cell r="CO35">
            <v>0.21680755842864241</v>
          </cell>
          <cell r="CP35">
            <v>0.23398058252427179</v>
          </cell>
          <cell r="CQ35">
            <v>0.23471768548763405</v>
          </cell>
          <cell r="CR35">
            <v>0.23420713364847434</v>
          </cell>
          <cell r="CS35">
            <v>0.23018381922491504</v>
          </cell>
          <cell r="CU35">
            <v>0.2370249284838577</v>
          </cell>
          <cell r="CV35">
            <v>0.15263571990558611</v>
          </cell>
          <cell r="CW35">
            <v>0.12169312169312163</v>
          </cell>
          <cell r="CX35">
            <v>6.9637883008356605E-2</v>
          </cell>
          <cell r="CY35">
            <v>0.14181022175692393</v>
          </cell>
          <cell r="DA35">
            <v>3.2705649157581673E-2</v>
          </cell>
          <cell r="DB35">
            <v>0.11296928327645062</v>
          </cell>
          <cell r="DC35">
            <v>0.11960916442048508</v>
          </cell>
          <cell r="DE35">
            <v>9.8357922814036769E-2</v>
          </cell>
          <cell r="DG35">
            <v>0.11164427383237374</v>
          </cell>
          <cell r="DH35">
            <v>0.13830113462128191</v>
          </cell>
          <cell r="DI35">
            <v>0.13030394222088471</v>
          </cell>
          <cell r="DJ35">
            <v>0.14738967406980108</v>
          </cell>
          <cell r="DK35">
            <v>0.13235182514988231</v>
          </cell>
          <cell r="DM35">
            <v>0.16115107913669058</v>
          </cell>
          <cell r="DN35">
            <v>7.6508620689655249E-2</v>
          </cell>
          <cell r="DO35">
            <v>8.3067092651757157E-2</v>
          </cell>
          <cell r="DP35">
            <v>4.5751633986928164E-2</v>
          </cell>
          <cell r="DQ35">
            <v>8.9672273976274974E-2</v>
          </cell>
          <cell r="DS35">
            <v>2.7261462205700138E-2</v>
          </cell>
          <cell r="DT35">
            <v>6.7067067067066999E-2</v>
          </cell>
          <cell r="DU35">
            <v>6.7846607669616477E-2</v>
          </cell>
          <cell r="DV35">
            <v>5.8653846153846168E-2</v>
          </cell>
          <cell r="DW35">
            <v>5.5230949012854413E-2</v>
          </cell>
          <cell r="DY35">
            <v>6.9240048250904795E-2</v>
          </cell>
          <cell r="DZ35">
            <v>5.9333958724202551E-2</v>
          </cell>
          <cell r="EA35">
            <v>5.0874769797421671E-2</v>
          </cell>
          <cell r="EB35">
            <v>6.607629427792916E-2</v>
          </cell>
          <cell r="EC35">
            <v>6.1316080899924241E-2</v>
          </cell>
          <cell r="EE35">
            <v>6.746389891696758E-2</v>
          </cell>
          <cell r="EF35">
            <v>5.6674784148771362E-2</v>
          </cell>
          <cell r="EG35">
            <v>2.168674698795181E-2</v>
          </cell>
          <cell r="EH35">
            <v>-1.49094781682646E-3</v>
          </cell>
          <cell r="EI35">
            <v>3.5531879839639791E-2</v>
          </cell>
          <cell r="EK35">
            <v>-7.1866413020502673E-3</v>
          </cell>
          <cell r="EL35">
            <v>-1.8856065367693242E-2</v>
          </cell>
          <cell r="EM35">
            <v>1.2011149228130513E-2</v>
          </cell>
          <cell r="EN35">
            <v>1.9658575085324426E-2</v>
          </cell>
          <cell r="EO35">
            <v>1.2823186253712038E-3</v>
          </cell>
          <cell r="EQ35">
            <v>2.7464596976793709E-2</v>
          </cell>
          <cell r="ER35">
            <v>2.2383501550288454E-2</v>
          </cell>
          <cell r="ES35">
            <v>1.1331678468480932E-2</v>
          </cell>
          <cell r="ET35">
            <v>-4.4414310692852954E-3</v>
          </cell>
          <cell r="EU35">
            <v>1.4092988453780597E-2</v>
          </cell>
          <cell r="EW35">
            <v>-1.2871992574090108E-2</v>
          </cell>
          <cell r="EX35">
            <v>-1.4089497161773545E-2</v>
          </cell>
          <cell r="EY35">
            <v>-1.5902317530865018E-2</v>
          </cell>
          <cell r="EZ35">
            <v>-1.7694328567992579E-2</v>
          </cell>
          <cell r="FA35">
            <v>-1.5130586536478252E-2</v>
          </cell>
        </row>
        <row r="36"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O36">
            <v>0</v>
          </cell>
          <cell r="P36">
            <v>0</v>
          </cell>
          <cell r="Q36">
            <v>0</v>
          </cell>
          <cell r="R36">
            <v>0</v>
          </cell>
          <cell r="S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G36">
            <v>5.9141401333831833E-2</v>
          </cell>
          <cell r="AH36">
            <v>5.585134611444742E-2</v>
          </cell>
          <cell r="AI36">
            <v>4.7314356782838907E-2</v>
          </cell>
          <cell r="AJ36">
            <v>0.14563108963269666</v>
          </cell>
          <cell r="AK36">
            <v>0</v>
          </cell>
          <cell r="AM36">
            <v>2.2638664009025034E-2</v>
          </cell>
          <cell r="AN36">
            <v>7.9229350526620834E-2</v>
          </cell>
          <cell r="AO36">
            <v>3.0287409081279471E-2</v>
          </cell>
          <cell r="AP36">
            <v>0.14913741698023975</v>
          </cell>
          <cell r="AQ36">
            <v>0</v>
          </cell>
          <cell r="AS36">
            <v>-4.7969676364980618E-3</v>
          </cell>
          <cell r="AT36">
            <v>7.9301484084115526E-2</v>
          </cell>
          <cell r="AU36">
            <v>4.7298366609193954E-2</v>
          </cell>
          <cell r="AV36">
            <v>0.10907818396554658</v>
          </cell>
          <cell r="AW36">
            <v>0</v>
          </cell>
          <cell r="AY36">
            <v>3.1253622850642149E-3</v>
          </cell>
          <cell r="AZ36">
            <v>3.9889529355977116E-2</v>
          </cell>
          <cell r="BA36">
            <v>3.8635514746825805E-2</v>
          </cell>
          <cell r="BB36">
            <v>4.9668015783452812E-2</v>
          </cell>
          <cell r="BC36">
            <v>0</v>
          </cell>
          <cell r="BE36">
            <v>-0.1138980436007162</v>
          </cell>
          <cell r="BF36">
            <v>4.5032704156363179E-2</v>
          </cell>
          <cell r="BG36">
            <v>-1.6726154335033772E-2</v>
          </cell>
          <cell r="BH36">
            <v>9.5962936159751155E-2</v>
          </cell>
          <cell r="BI36">
            <v>0</v>
          </cell>
          <cell r="BK36">
            <v>-4.6905919609410485E-2</v>
          </cell>
          <cell r="BL36">
            <v>5.4143646408839841E-2</v>
          </cell>
          <cell r="BM36">
            <v>5.3459119496855445E-2</v>
          </cell>
          <cell r="BN36">
            <v>6.0099502487562351E-2</v>
          </cell>
          <cell r="BO36">
            <v>0</v>
          </cell>
          <cell r="BQ36">
            <v>-2.9472498592078122E-2</v>
          </cell>
          <cell r="BR36">
            <v>7.7369439071566681E-2</v>
          </cell>
          <cell r="BS36">
            <v>5.5655296229802476E-2</v>
          </cell>
          <cell r="BT36">
            <v>2.4659863945578175E-2</v>
          </cell>
          <cell r="BU36">
            <v>0</v>
          </cell>
          <cell r="BW36">
            <v>-2.4066390041493801E-2</v>
          </cell>
          <cell r="BX36">
            <v>6.4625850340136015E-2</v>
          </cell>
          <cell r="BY36">
            <v>0.22364217252396168</v>
          </cell>
          <cell r="BZ36">
            <v>0.10378590078328975</v>
          </cell>
          <cell r="CA36">
            <v>0</v>
          </cell>
          <cell r="CC36">
            <v>-2.9568302779420463E-2</v>
          </cell>
          <cell r="CD36">
            <v>1.218769043266299E-2</v>
          </cell>
          <cell r="CE36">
            <v>6.3816977724262536E-2</v>
          </cell>
          <cell r="CF36">
            <v>0.10865874363327666</v>
          </cell>
          <cell r="CG36">
            <v>0</v>
          </cell>
          <cell r="CI36">
            <v>2.654415518121489E-2</v>
          </cell>
          <cell r="CJ36">
            <v>2.4365987071108819E-2</v>
          </cell>
          <cell r="CK36">
            <v>4.0291262135922379E-2</v>
          </cell>
          <cell r="CL36">
            <v>8.5860942603826373E-2</v>
          </cell>
          <cell r="CM36">
            <v>0</v>
          </cell>
          <cell r="CO36">
            <v>5.1568543188655003E-2</v>
          </cell>
          <cell r="CP36">
            <v>3.8823048630976631E-2</v>
          </cell>
          <cell r="CQ36">
            <v>4.0912667191188135E-2</v>
          </cell>
          <cell r="CR36">
            <v>8.5411942554799669E-2</v>
          </cell>
          <cell r="CS36">
            <v>0</v>
          </cell>
          <cell r="CU36">
            <v>5.3969359331476285E-2</v>
          </cell>
          <cell r="CV36">
            <v>-3.2044928972580156E-2</v>
          </cell>
          <cell r="CW36">
            <v>1.2969283276450527E-2</v>
          </cell>
          <cell r="CX36">
            <v>3.5040431266846417E-2</v>
          </cell>
          <cell r="CY36">
            <v>0</v>
          </cell>
          <cell r="DA36">
            <v>1.7578125E-2</v>
          </cell>
          <cell r="DB36">
            <v>4.3186180422264853E-2</v>
          </cell>
          <cell r="DC36">
            <v>1.9012572830420016E-2</v>
          </cell>
          <cell r="DE36">
            <v>0</v>
          </cell>
          <cell r="DG36">
            <v>2.3074704355350306E-3</v>
          </cell>
          <cell r="DH36">
            <v>6.8201438848920937E-2</v>
          </cell>
          <cell r="DI36">
            <v>1.18534482758621E-2</v>
          </cell>
          <cell r="DJ36">
            <v>5.9105431309904199E-2</v>
          </cell>
          <cell r="DK36">
            <v>0</v>
          </cell>
          <cell r="DM36">
            <v>1.4328808446455454E-2</v>
          </cell>
          <cell r="DN36">
            <v>-9.665427509293667E-3</v>
          </cell>
          <cell r="DO36">
            <v>1.8018018018018056E-2</v>
          </cell>
          <cell r="DP36">
            <v>2.2615535889872085E-2</v>
          </cell>
          <cell r="DQ36">
            <v>0</v>
          </cell>
          <cell r="DS36">
            <v>-3.6057692307692735E-3</v>
          </cell>
          <cell r="DT36">
            <v>2.8709288299155533E-2</v>
          </cell>
          <cell r="DU36">
            <v>1.8761726078799335E-2</v>
          </cell>
          <cell r="DV36">
            <v>1.3812154696132506E-2</v>
          </cell>
          <cell r="DW36">
            <v>0</v>
          </cell>
          <cell r="DY36">
            <v>6.357856494096259E-3</v>
          </cell>
          <cell r="DZ36">
            <v>1.9178700361010881E-2</v>
          </cell>
          <cell r="EA36">
            <v>1.0626522027894714E-2</v>
          </cell>
          <cell r="EB36">
            <v>2.8477546549835697E-2</v>
          </cell>
          <cell r="EC36">
            <v>0</v>
          </cell>
          <cell r="EE36">
            <v>7.6677316293929376E-3</v>
          </cell>
          <cell r="EF36">
            <v>8.8776157260621602E-3</v>
          </cell>
          <cell r="EG36">
            <v>-2.2836790278650709E-2</v>
          </cell>
          <cell r="EH36">
            <v>5.145797598627766E-3</v>
          </cell>
          <cell r="EI36">
            <v>0</v>
          </cell>
          <cell r="EK36">
            <v>1.9197952218430459E-3</v>
          </cell>
          <cell r="EL36">
            <v>-2.9806259314456574E-3</v>
          </cell>
          <cell r="EM36">
            <v>7.9051889814223397E-3</v>
          </cell>
          <cell r="EN36">
            <v>1.2741344316337555E-2</v>
          </cell>
          <cell r="EO36">
            <v>0</v>
          </cell>
          <cell r="EQ36">
            <v>9.5900174374936586E-3</v>
          </cell>
          <cell r="ER36">
            <v>-7.9111613451454676E-3</v>
          </cell>
          <cell r="ES36">
            <v>-2.9901255604961596E-3</v>
          </cell>
          <cell r="ET36">
            <v>-3.0537509006112185E-3</v>
          </cell>
          <cell r="EU36">
            <v>0</v>
          </cell>
          <cell r="EW36">
            <v>1.0406352089973314E-3</v>
          </cell>
          <cell r="EX36">
            <v>-9.1347845260959515E-3</v>
          </cell>
          <cell r="EY36">
            <v>-4.8233546450491271E-3</v>
          </cell>
          <cell r="EZ36">
            <v>-4.8691587748850296E-3</v>
          </cell>
          <cell r="FA36">
            <v>0</v>
          </cell>
        </row>
        <row r="37"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G37">
            <v>0.2</v>
          </cell>
          <cell r="AH37">
            <v>0.2</v>
          </cell>
          <cell r="AI37">
            <v>0.2</v>
          </cell>
          <cell r="AJ37">
            <v>0.2</v>
          </cell>
          <cell r="AK37">
            <v>0.2</v>
          </cell>
          <cell r="AM37">
            <v>0.2</v>
          </cell>
          <cell r="AN37">
            <v>0.2</v>
          </cell>
          <cell r="AO37">
            <v>0.2</v>
          </cell>
          <cell r="AP37">
            <v>0.2</v>
          </cell>
          <cell r="AQ37">
            <v>0.2</v>
          </cell>
          <cell r="AS37">
            <v>0.2</v>
          </cell>
          <cell r="AT37">
            <v>0.2</v>
          </cell>
          <cell r="AU37">
            <v>0.2</v>
          </cell>
          <cell r="AV37">
            <v>0.2</v>
          </cell>
          <cell r="AW37">
            <v>0.2</v>
          </cell>
          <cell r="AY37">
            <v>0.2</v>
          </cell>
          <cell r="AZ37">
            <v>0.2</v>
          </cell>
          <cell r="BA37">
            <v>0.2</v>
          </cell>
          <cell r="BB37">
            <v>0.2</v>
          </cell>
          <cell r="BC37">
            <v>0.2</v>
          </cell>
          <cell r="BE37">
            <v>0.2</v>
          </cell>
          <cell r="BF37">
            <v>0.2</v>
          </cell>
          <cell r="BG37">
            <v>0.2</v>
          </cell>
          <cell r="BH37">
            <v>0.2</v>
          </cell>
          <cell r="BI37">
            <v>0.2</v>
          </cell>
          <cell r="BK37">
            <v>0.2</v>
          </cell>
          <cell r="BL37">
            <v>0.2</v>
          </cell>
          <cell r="BM37">
            <v>0.2</v>
          </cell>
          <cell r="BN37">
            <v>0.2</v>
          </cell>
          <cell r="BO37">
            <v>0.2</v>
          </cell>
          <cell r="BQ37">
            <v>0.2</v>
          </cell>
          <cell r="BR37">
            <v>0.2</v>
          </cell>
          <cell r="BS37">
            <v>0.2</v>
          </cell>
          <cell r="BT37">
            <v>0.2</v>
          </cell>
          <cell r="BU37">
            <v>0.2</v>
          </cell>
          <cell r="BW37">
            <v>0.2</v>
          </cell>
          <cell r="BX37">
            <v>0.2</v>
          </cell>
          <cell r="BY37">
            <v>0.2</v>
          </cell>
          <cell r="BZ37">
            <v>0.2</v>
          </cell>
          <cell r="CA37">
            <v>0.2</v>
          </cell>
          <cell r="CC37">
            <v>0.2</v>
          </cell>
          <cell r="CD37">
            <v>0.2</v>
          </cell>
          <cell r="CE37">
            <v>0.2</v>
          </cell>
          <cell r="CF37">
            <v>0.2</v>
          </cell>
          <cell r="CG37">
            <v>0.2</v>
          </cell>
          <cell r="CI37">
            <v>0.2</v>
          </cell>
          <cell r="CJ37">
            <v>0.2</v>
          </cell>
          <cell r="CK37">
            <v>0.2</v>
          </cell>
          <cell r="CL37">
            <v>0.2</v>
          </cell>
          <cell r="CM37">
            <v>0.2</v>
          </cell>
          <cell r="CO37">
            <v>0.2</v>
          </cell>
          <cell r="CP37">
            <v>0.2</v>
          </cell>
          <cell r="CQ37">
            <v>0.2</v>
          </cell>
          <cell r="CR37">
            <v>0.2</v>
          </cell>
          <cell r="CS37">
            <v>0.2</v>
          </cell>
          <cell r="CU37">
            <v>0.2</v>
          </cell>
          <cell r="CV37">
            <v>0.2</v>
          </cell>
          <cell r="CW37">
            <v>0.2</v>
          </cell>
          <cell r="CX37">
            <v>0.2</v>
          </cell>
          <cell r="CY37">
            <v>0.2</v>
          </cell>
          <cell r="DA37">
            <v>0.2</v>
          </cell>
          <cell r="DB37">
            <v>0.2</v>
          </cell>
          <cell r="DC37">
            <v>0.2</v>
          </cell>
          <cell r="DE37">
            <v>0.2</v>
          </cell>
          <cell r="DG37">
            <v>0.2</v>
          </cell>
          <cell r="DH37">
            <v>0.2</v>
          </cell>
          <cell r="DI37">
            <v>0.2</v>
          </cell>
          <cell r="DJ37">
            <v>0.2</v>
          </cell>
          <cell r="DK37">
            <v>0.2</v>
          </cell>
          <cell r="DM37">
            <v>0.2</v>
          </cell>
          <cell r="DN37">
            <v>0.2</v>
          </cell>
          <cell r="DO37">
            <v>0.2</v>
          </cell>
          <cell r="DP37">
            <v>0.2</v>
          </cell>
          <cell r="DQ37">
            <v>0.2</v>
          </cell>
          <cell r="DS37">
            <v>0.2</v>
          </cell>
          <cell r="DT37">
            <v>0.2</v>
          </cell>
          <cell r="DU37">
            <v>0.2</v>
          </cell>
          <cell r="DV37">
            <v>0.2</v>
          </cell>
          <cell r="DW37">
            <v>0.2</v>
          </cell>
          <cell r="DY37">
            <v>0.2</v>
          </cell>
          <cell r="DZ37">
            <v>0.2</v>
          </cell>
          <cell r="EA37">
            <v>0.2</v>
          </cell>
          <cell r="EB37">
            <v>0.2</v>
          </cell>
          <cell r="EC37">
            <v>0.2</v>
          </cell>
          <cell r="EE37">
            <v>0.2</v>
          </cell>
          <cell r="EF37">
            <v>0.2</v>
          </cell>
          <cell r="EG37">
            <v>0.2</v>
          </cell>
          <cell r="EH37">
            <v>0.2</v>
          </cell>
          <cell r="EI37">
            <v>0.2</v>
          </cell>
          <cell r="EK37">
            <v>0.2</v>
          </cell>
          <cell r="EL37">
            <v>0.2</v>
          </cell>
          <cell r="EM37">
            <v>0.2</v>
          </cell>
          <cell r="EN37">
            <v>0.2</v>
          </cell>
          <cell r="EO37">
            <v>0.2</v>
          </cell>
          <cell r="EQ37">
            <v>0.2</v>
          </cell>
          <cell r="ER37">
            <v>0.2</v>
          </cell>
          <cell r="ES37">
            <v>0.2</v>
          </cell>
          <cell r="ET37">
            <v>0.2</v>
          </cell>
          <cell r="EU37">
            <v>0.2</v>
          </cell>
          <cell r="EW37">
            <v>0.2</v>
          </cell>
          <cell r="EX37">
            <v>0.2</v>
          </cell>
          <cell r="EY37">
            <v>0.2</v>
          </cell>
          <cell r="EZ37">
            <v>0.2</v>
          </cell>
          <cell r="FA37">
            <v>0.2</v>
          </cell>
        </row>
        <row r="38"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0</v>
          </cell>
          <cell r="AG38">
            <v>0.92520881080126227</v>
          </cell>
          <cell r="AH38">
            <v>0.99386195747283079</v>
          </cell>
          <cell r="AI38">
            <v>0.97641878720458652</v>
          </cell>
          <cell r="AJ38">
            <v>1.0567941643305587</v>
          </cell>
          <cell r="AK38">
            <v>0.93571123393591848</v>
          </cell>
          <cell r="AM38">
            <v>0.91485640265353263</v>
          </cell>
          <cell r="AN38">
            <v>1.0247918244610703</v>
          </cell>
          <cell r="AO38">
            <v>0.96669492838648052</v>
          </cell>
          <cell r="AP38">
            <v>1.0750299342116598</v>
          </cell>
          <cell r="AQ38">
            <v>0.95444470442222185</v>
          </cell>
          <cell r="AS38">
            <v>0.89609715762731867</v>
          </cell>
          <cell r="AT38">
            <v>1.0326783574389866</v>
          </cell>
          <cell r="AU38">
            <v>0.98719243266705314</v>
          </cell>
          <cell r="AV38">
            <v>1.0373551914004591</v>
          </cell>
          <cell r="AW38">
            <v>0.94663298259493878</v>
          </cell>
          <cell r="AY38">
            <v>0.90609414864440185</v>
          </cell>
          <cell r="AZ38">
            <v>0.99421077077426001</v>
          </cell>
          <cell r="BA38">
            <v>0.97742360527189565</v>
          </cell>
          <cell r="BB38">
            <v>0.98957613209060502</v>
          </cell>
          <cell r="BC38">
            <v>0.90836048694636928</v>
          </cell>
          <cell r="BE38">
            <v>0.81665000755471362</v>
          </cell>
          <cell r="BF38">
            <v>1.0027478592735528</v>
          </cell>
          <cell r="BG38">
            <v>0.94040238919909824</v>
          </cell>
          <cell r="BH38">
            <v>1.0489308056114994</v>
          </cell>
          <cell r="BI38">
            <v>0.81344243028998853</v>
          </cell>
          <cell r="BK38">
            <v>0.89867521371340642</v>
          </cell>
          <cell r="BL38">
            <v>1.0223436746503778</v>
          </cell>
          <cell r="BM38">
            <v>1.0128495842781557</v>
          </cell>
          <cell r="BN38">
            <v>1.0217214097338769</v>
          </cell>
          <cell r="BO38">
            <v>0.9385139827453296</v>
          </cell>
          <cell r="BQ38">
            <v>0.9193154034229829</v>
          </cell>
          <cell r="BR38">
            <v>1.0506955906625797</v>
          </cell>
          <cell r="BS38">
            <v>1.0166414523449319</v>
          </cell>
          <cell r="BT38">
            <v>0.98904255755735226</v>
          </cell>
          <cell r="BU38">
            <v>0.98196088634491141</v>
          </cell>
          <cell r="BW38">
            <v>0.92547414810734241</v>
          </cell>
          <cell r="BX38">
            <v>1.0397375742224806</v>
          </cell>
          <cell r="BY38">
            <v>1.1779631694283188</v>
          </cell>
          <cell r="BZ38">
            <v>1.0706936397885207</v>
          </cell>
          <cell r="CA38">
            <v>1.0686459909228441</v>
          </cell>
          <cell r="CC38">
            <v>0.92635976177707524</v>
          </cell>
          <cell r="CD38">
            <v>0.99315375646506621</v>
          </cell>
          <cell r="CE38">
            <v>1.0309819709434622</v>
          </cell>
          <cell r="CF38">
            <v>1.0752983280455808</v>
          </cell>
          <cell r="CG38">
            <v>1.0763491120272979</v>
          </cell>
          <cell r="CI38">
            <v>0.93</v>
          </cell>
          <cell r="CJ38">
            <v>0.99</v>
          </cell>
          <cell r="CK38">
            <v>0.995</v>
          </cell>
          <cell r="CL38">
            <v>1</v>
          </cell>
          <cell r="CM38">
            <v>1.0502434705621957</v>
          </cell>
          <cell r="CO38">
            <v>0.95</v>
          </cell>
          <cell r="CP38">
            <v>0.995</v>
          </cell>
          <cell r="CQ38">
            <v>0.995</v>
          </cell>
          <cell r="CR38">
            <v>1.01</v>
          </cell>
          <cell r="CS38">
            <v>1.0600924188308414</v>
          </cell>
          <cell r="CU38">
            <v>0.98</v>
          </cell>
          <cell r="CV38">
            <v>0.98299999999999998</v>
          </cell>
          <cell r="CW38">
            <v>0.95</v>
          </cell>
          <cell r="CX38">
            <v>0.98</v>
          </cell>
          <cell r="CY38">
            <v>0.99881777008125738</v>
          </cell>
          <cell r="DA38">
            <v>0.98</v>
          </cell>
          <cell r="DB38">
            <v>0.99</v>
          </cell>
          <cell r="DC38">
            <v>0.95</v>
          </cell>
          <cell r="DE38">
            <v>0.98147728830122571</v>
          </cell>
          <cell r="DG38">
            <v>0.95709547158927022</v>
          </cell>
          <cell r="DH38">
            <v>1.0496978417266187</v>
          </cell>
          <cell r="DI38">
            <v>0.9849272629310345</v>
          </cell>
          <cell r="DJ38">
            <v>1.029632587859425</v>
          </cell>
          <cell r="DK38">
            <v>1.0011540680900173</v>
          </cell>
          <cell r="DM38">
            <v>0.96737053795877326</v>
          </cell>
          <cell r="DN38">
            <v>0.97282527881040892</v>
          </cell>
          <cell r="DO38">
            <v>0.99350600600600603</v>
          </cell>
          <cell r="DP38">
            <v>0.99478859390363816</v>
          </cell>
          <cell r="DQ38">
            <v>0.9680626838300963</v>
          </cell>
          <cell r="DS38">
            <v>0.95056490384615377</v>
          </cell>
          <cell r="DT38">
            <v>1.0121712907117009</v>
          </cell>
          <cell r="DU38">
            <v>0.99330440900562844</v>
          </cell>
          <cell r="DV38">
            <v>0.98962937384898708</v>
          </cell>
          <cell r="DW38">
            <v>0.94527883990259054</v>
          </cell>
          <cell r="DY38">
            <v>0.96356721162579473</v>
          </cell>
          <cell r="DZ38">
            <v>1.0033957581227437</v>
          </cell>
          <cell r="EA38">
            <v>0.98714854992251488</v>
          </cell>
          <cell r="EB38">
            <v>1.0051697699890472</v>
          </cell>
          <cell r="EC38">
            <v>0.95633495094640864</v>
          </cell>
          <cell r="EE38">
            <v>0.96752928647497338</v>
          </cell>
          <cell r="EF38">
            <v>0.99439864722046079</v>
          </cell>
          <cell r="EG38">
            <v>0.95574062434527551</v>
          </cell>
          <cell r="EH38">
            <v>0.98389794168096045</v>
          </cell>
          <cell r="EI38">
            <v>0.94081488060192986</v>
          </cell>
          <cell r="EK38">
            <v>0.96845136518771335</v>
          </cell>
          <cell r="EL38">
            <v>0.98476687247179051</v>
          </cell>
          <cell r="EM38">
            <v>0.99</v>
          </cell>
          <cell r="EN38">
            <v>0.995</v>
          </cell>
          <cell r="EO38">
            <v>0.9262182622407068</v>
          </cell>
          <cell r="EQ38">
            <v>0.98</v>
          </cell>
          <cell r="ER38">
            <v>0.98</v>
          </cell>
          <cell r="ES38">
            <v>0.98</v>
          </cell>
          <cell r="ET38">
            <v>0.98</v>
          </cell>
          <cell r="EU38">
            <v>0.94818084961511406</v>
          </cell>
          <cell r="EW38">
            <v>0.97499999999999998</v>
          </cell>
          <cell r="EX38">
            <v>0.98</v>
          </cell>
          <cell r="EY38">
            <v>0.98</v>
          </cell>
          <cell r="EZ38">
            <v>0.98</v>
          </cell>
          <cell r="FA38">
            <v>0.93000901671681957</v>
          </cell>
        </row>
        <row r="39"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A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0</v>
          </cell>
          <cell r="BK39">
            <v>0</v>
          </cell>
          <cell r="BL39">
            <v>0</v>
          </cell>
          <cell r="BM39">
            <v>0</v>
          </cell>
          <cell r="BN39">
            <v>0</v>
          </cell>
          <cell r="BO39">
            <v>0</v>
          </cell>
          <cell r="BQ39">
            <v>0</v>
          </cell>
          <cell r="BR39">
            <v>0</v>
          </cell>
          <cell r="BS39">
            <v>0</v>
          </cell>
          <cell r="BT39">
            <v>0</v>
          </cell>
          <cell r="BU39">
            <v>0</v>
          </cell>
          <cell r="BW39">
            <v>0</v>
          </cell>
          <cell r="BX39">
            <v>0</v>
          </cell>
          <cell r="BY39">
            <v>0</v>
          </cell>
          <cell r="BZ39">
            <v>0</v>
          </cell>
          <cell r="CA39">
            <v>0</v>
          </cell>
          <cell r="CC39">
            <v>0</v>
          </cell>
          <cell r="CD39">
            <v>0</v>
          </cell>
          <cell r="CE39">
            <v>0</v>
          </cell>
          <cell r="CF39">
            <v>0</v>
          </cell>
          <cell r="CG39">
            <v>0</v>
          </cell>
          <cell r="CI39">
            <v>0</v>
          </cell>
          <cell r="CJ39">
            <v>0</v>
          </cell>
          <cell r="CK39">
            <v>0</v>
          </cell>
          <cell r="CL39">
            <v>0</v>
          </cell>
          <cell r="CM39">
            <v>0</v>
          </cell>
          <cell r="CO39">
            <v>0</v>
          </cell>
          <cell r="CP39">
            <v>0</v>
          </cell>
          <cell r="CQ39">
            <v>0</v>
          </cell>
          <cell r="CR39">
            <v>0</v>
          </cell>
          <cell r="CS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DA39">
            <v>0</v>
          </cell>
          <cell r="DB39">
            <v>0</v>
          </cell>
          <cell r="DC39">
            <v>0</v>
          </cell>
          <cell r="DE39">
            <v>0</v>
          </cell>
          <cell r="DG39">
            <v>0</v>
          </cell>
          <cell r="DH39">
            <v>0</v>
          </cell>
          <cell r="DI39">
            <v>0</v>
          </cell>
          <cell r="DJ39">
            <v>0</v>
          </cell>
          <cell r="DK39">
            <v>0</v>
          </cell>
          <cell r="DM39">
            <v>0</v>
          </cell>
          <cell r="DN39">
            <v>0</v>
          </cell>
          <cell r="DO39">
            <v>0</v>
          </cell>
          <cell r="DP39">
            <v>0</v>
          </cell>
          <cell r="DQ39">
            <v>0</v>
          </cell>
          <cell r="DS39">
            <v>0</v>
          </cell>
          <cell r="DT39">
            <v>0</v>
          </cell>
          <cell r="DU39">
            <v>0</v>
          </cell>
          <cell r="DV39">
            <v>0</v>
          </cell>
          <cell r="DW39">
            <v>0</v>
          </cell>
          <cell r="DY39">
            <v>0</v>
          </cell>
          <cell r="DZ39">
            <v>0</v>
          </cell>
          <cell r="EA39">
            <v>0</v>
          </cell>
          <cell r="EB39">
            <v>0</v>
          </cell>
          <cell r="EC39">
            <v>0</v>
          </cell>
          <cell r="EE39">
            <v>0</v>
          </cell>
          <cell r="EF39">
            <v>0</v>
          </cell>
          <cell r="EG39">
            <v>0</v>
          </cell>
          <cell r="EH39">
            <v>0</v>
          </cell>
          <cell r="EI39">
            <v>0</v>
          </cell>
          <cell r="EK39">
            <v>0</v>
          </cell>
          <cell r="EL39">
            <v>0</v>
          </cell>
          <cell r="EM39">
            <v>0</v>
          </cell>
          <cell r="EN39">
            <v>0</v>
          </cell>
          <cell r="EO39">
            <v>0</v>
          </cell>
          <cell r="EQ39">
            <v>0</v>
          </cell>
          <cell r="ER39">
            <v>0</v>
          </cell>
          <cell r="ES39">
            <v>0</v>
          </cell>
          <cell r="ET39">
            <v>0</v>
          </cell>
          <cell r="EU39">
            <v>0</v>
          </cell>
          <cell r="EW39">
            <v>0</v>
          </cell>
          <cell r="EX39">
            <v>0</v>
          </cell>
          <cell r="EY39">
            <v>0</v>
          </cell>
          <cell r="EZ39">
            <v>0</v>
          </cell>
          <cell r="FA39">
            <v>0</v>
          </cell>
        </row>
        <row r="40"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AA40">
            <v>731.60200000000009</v>
          </cell>
          <cell r="AB40">
            <v>923.86699999999996</v>
          </cell>
          <cell r="AC40">
            <v>996.99499999999989</v>
          </cell>
          <cell r="AD40">
            <v>1489.9360000000001</v>
          </cell>
          <cell r="AE40">
            <v>4142.3999999999996</v>
          </cell>
          <cell r="AG40">
            <v>910.505</v>
          </cell>
          <cell r="AH40">
            <v>1048.924</v>
          </cell>
          <cell r="AI40">
            <v>1201.1880000000001</v>
          </cell>
          <cell r="AJ40">
            <v>1722.56</v>
          </cell>
          <cell r="AK40">
            <v>4883.1769999999997</v>
          </cell>
          <cell r="AM40">
            <v>1082.4690000000001</v>
          </cell>
          <cell r="AN40">
            <v>1311.6870000000001</v>
          </cell>
          <cell r="AO40">
            <v>1388.203</v>
          </cell>
          <cell r="AP40">
            <v>2154.0329999999999</v>
          </cell>
          <cell r="AQ40">
            <v>5936.3919999999998</v>
          </cell>
          <cell r="AS40">
            <v>1270.0609999999999</v>
          </cell>
          <cell r="AT40">
            <v>1597.5129999999999</v>
          </cell>
          <cell r="AU40">
            <v>1797.6189999999999</v>
          </cell>
          <cell r="AV40">
            <v>2628.7089999999998</v>
          </cell>
          <cell r="AW40">
            <v>7293.9019999999991</v>
          </cell>
          <cell r="AY40">
            <v>1610.5630000000001</v>
          </cell>
          <cell r="AZ40">
            <v>1965.991</v>
          </cell>
          <cell r="BA40">
            <v>2007.4840000000002</v>
          </cell>
          <cell r="BB40">
            <v>2570.0239999999999</v>
          </cell>
          <cell r="BC40">
            <v>8154.0619999999999</v>
          </cell>
          <cell r="BE40">
            <v>1554.2730000000001</v>
          </cell>
          <cell r="BF40">
            <v>1684.5260000000001</v>
          </cell>
          <cell r="BG40">
            <v>1643.35</v>
          </cell>
          <cell r="BH40">
            <v>2099.5169999999998</v>
          </cell>
          <cell r="BI40">
            <v>6981.6659999999993</v>
          </cell>
          <cell r="BK40">
            <v>1468</v>
          </cell>
          <cell r="BL40">
            <v>1719</v>
          </cell>
          <cell r="BM40">
            <v>1760</v>
          </cell>
          <cell r="BN40">
            <v>2252.4</v>
          </cell>
          <cell r="BO40">
            <v>7199.4</v>
          </cell>
          <cell r="BQ40">
            <v>1559</v>
          </cell>
          <cell r="BR40">
            <v>1969</v>
          </cell>
          <cell r="BS40">
            <v>2023</v>
          </cell>
          <cell r="BT40">
            <v>2519</v>
          </cell>
          <cell r="BU40">
            <v>8070</v>
          </cell>
          <cell r="BW40">
            <v>1739</v>
          </cell>
          <cell r="BX40">
            <v>2223</v>
          </cell>
          <cell r="BY40">
            <v>2479</v>
          </cell>
          <cell r="BZ40">
            <v>3300</v>
          </cell>
          <cell r="CA40">
            <v>9741</v>
          </cell>
          <cell r="CC40">
            <v>2270</v>
          </cell>
          <cell r="CD40">
            <v>2719</v>
          </cell>
          <cell r="CE40">
            <v>2863.4</v>
          </cell>
          <cell r="CF40">
            <v>4080</v>
          </cell>
          <cell r="CG40">
            <v>11932.4</v>
          </cell>
          <cell r="CI40">
            <v>2815</v>
          </cell>
          <cell r="CJ40">
            <v>3267</v>
          </cell>
          <cell r="CK40">
            <v>3533</v>
          </cell>
          <cell r="CL40">
            <v>4808</v>
          </cell>
          <cell r="CM40">
            <v>14423</v>
          </cell>
          <cell r="CO40">
            <v>3534</v>
          </cell>
          <cell r="CP40">
            <v>4210</v>
          </cell>
          <cell r="CQ40">
            <v>4262</v>
          </cell>
          <cell r="CR40">
            <v>6016</v>
          </cell>
          <cell r="CS40">
            <v>18022</v>
          </cell>
          <cell r="CU40">
            <v>4262</v>
          </cell>
          <cell r="CV40">
            <v>4556</v>
          </cell>
          <cell r="CW40">
            <v>4484</v>
          </cell>
          <cell r="CX40">
            <v>5816</v>
          </cell>
          <cell r="CY40">
            <v>19118</v>
          </cell>
          <cell r="DA40">
            <v>4154</v>
          </cell>
          <cell r="DB40">
            <v>4914</v>
          </cell>
          <cell r="DC40">
            <v>5041.3999999999996</v>
          </cell>
          <cell r="DE40">
            <v>20711.400000000001</v>
          </cell>
          <cell r="DG40">
            <v>4761</v>
          </cell>
          <cell r="DH40">
            <v>5711</v>
          </cell>
          <cell r="DI40">
            <v>5970</v>
          </cell>
          <cell r="DJ40">
            <v>7714</v>
          </cell>
          <cell r="DK40">
            <v>24156</v>
          </cell>
          <cell r="DM40">
            <v>5533</v>
          </cell>
          <cell r="DN40">
            <v>6044</v>
          </cell>
          <cell r="DO40">
            <v>6442</v>
          </cell>
          <cell r="DP40">
            <v>8167</v>
          </cell>
          <cell r="DQ40">
            <v>26186</v>
          </cell>
          <cell r="DS40">
            <v>5857</v>
          </cell>
          <cell r="DT40">
            <v>6779</v>
          </cell>
          <cell r="DU40">
            <v>6792</v>
          </cell>
          <cell r="DV40">
            <v>8551</v>
          </cell>
          <cell r="DW40">
            <v>27979</v>
          </cell>
          <cell r="DY40">
            <v>6197</v>
          </cell>
          <cell r="DZ40">
            <v>6997</v>
          </cell>
          <cell r="EA40">
            <v>7106</v>
          </cell>
          <cell r="EB40">
            <v>8919</v>
          </cell>
          <cell r="EC40">
            <v>29219</v>
          </cell>
          <cell r="EE40">
            <v>6578</v>
          </cell>
          <cell r="EF40">
            <v>7337</v>
          </cell>
          <cell r="EG40">
            <v>7176</v>
          </cell>
          <cell r="EH40">
            <v>8405</v>
          </cell>
          <cell r="EI40">
            <v>29496</v>
          </cell>
          <cell r="EK40">
            <v>6460</v>
          </cell>
          <cell r="EL40">
            <v>7012</v>
          </cell>
          <cell r="EM40">
            <v>7107.91</v>
          </cell>
          <cell r="EN40">
            <v>8258.5094000000008</v>
          </cell>
          <cell r="EO40">
            <v>28838.419399999999</v>
          </cell>
          <cell r="EQ40">
            <v>6693.4162120000001</v>
          </cell>
          <cell r="ER40">
            <v>7171.4769377600005</v>
          </cell>
          <cell r="ES40">
            <v>7237.7410990048002</v>
          </cell>
          <cell r="ET40">
            <v>8195.3779015247037</v>
          </cell>
          <cell r="EU40">
            <v>29298.012150289505</v>
          </cell>
          <cell r="EW40">
            <v>6814.9628227365865</v>
          </cell>
          <cell r="EX40">
            <v>7247.6822216568544</v>
          </cell>
          <cell r="EY40">
            <v>7325.2518874737161</v>
          </cell>
          <cell r="EZ40">
            <v>8151.8985793329921</v>
          </cell>
          <cell r="FA40">
            <v>29539.795511200151</v>
          </cell>
        </row>
        <row r="41"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A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G41">
            <v>0.2445359635430191</v>
          </cell>
          <cell r="AH41">
            <v>0.13536255759757632</v>
          </cell>
          <cell r="AI41">
            <v>0.20480844939041853</v>
          </cell>
          <cell r="AJ41">
            <v>0.1561301961963466</v>
          </cell>
          <cell r="AK41">
            <v>0.17882797412128237</v>
          </cell>
          <cell r="AM41">
            <v>0.18886661797573878</v>
          </cell>
          <cell r="AN41">
            <v>0.25050718641198033</v>
          </cell>
          <cell r="AO41">
            <v>0.1556916985517669</v>
          </cell>
          <cell r="AP41">
            <v>0.25048358257477243</v>
          </cell>
          <cell r="AQ41">
            <v>0.21568233140023385</v>
          </cell>
          <cell r="AS41">
            <v>0.17330011298245007</v>
          </cell>
          <cell r="AT41">
            <v>0.2179071684022178</v>
          </cell>
          <cell r="AU41">
            <v>0.29492516584390027</v>
          </cell>
          <cell r="AV41">
            <v>0.22036616894912942</v>
          </cell>
          <cell r="AW41">
            <v>0.2286759364947597</v>
          </cell>
          <cell r="AY41">
            <v>0.26809893383073735</v>
          </cell>
          <cell r="AZ41">
            <v>0.23065727790634583</v>
          </cell>
          <cell r="BA41">
            <v>0.11674609580784368</v>
          </cell>
          <cell r="BB41">
            <v>-2.2324646813321691E-2</v>
          </cell>
          <cell r="BC41">
            <v>0.11792864779373247</v>
          </cell>
          <cell r="BE41">
            <v>-3.4950511094567482E-2</v>
          </cell>
          <cell r="BF41">
            <v>-0.14316698296177344</v>
          </cell>
          <cell r="BG41">
            <v>-0.1813882451865122</v>
          </cell>
          <cell r="BH41">
            <v>-0.18307494404721514</v>
          </cell>
          <cell r="BI41">
            <v>-0.14378060897746436</v>
          </cell>
          <cell r="BK41">
            <v>-5.5506979790551636E-2</v>
          </cell>
          <cell r="BL41">
            <v>2.0465104130182654E-2</v>
          </cell>
          <cell r="BM41">
            <v>7.0983052910214006E-2</v>
          </cell>
          <cell r="BN41">
            <v>7.2818176752081687E-2</v>
          </cell>
          <cell r="BO41">
            <v>3.1186539144095526E-2</v>
          </cell>
          <cell r="BQ41">
            <v>6.1989100817438691E-2</v>
          </cell>
          <cell r="BR41">
            <v>0.14543339150668988</v>
          </cell>
          <cell r="BS41">
            <v>0.14943181818181817</v>
          </cell>
          <cell r="BT41">
            <v>0.11836263541111691</v>
          </cell>
          <cell r="BU41">
            <v>0.12092674389532476</v>
          </cell>
          <cell r="BW41">
            <v>0.11545862732520851</v>
          </cell>
          <cell r="BX41">
            <v>0.12899949212798378</v>
          </cell>
          <cell r="BY41">
            <v>0.22540781018289668</v>
          </cell>
          <cell r="BZ41">
            <v>0.31004366812227069</v>
          </cell>
          <cell r="CA41">
            <v>0.20706319702602238</v>
          </cell>
          <cell r="CC41">
            <v>0.30534790109258192</v>
          </cell>
          <cell r="CD41">
            <v>0.22312190733243376</v>
          </cell>
          <cell r="CE41">
            <v>0.15506252521177899</v>
          </cell>
          <cell r="CF41">
            <v>0.23636363636363633</v>
          </cell>
          <cell r="CG41">
            <v>0.22496663586900723</v>
          </cell>
          <cell r="CI41">
            <v>0.24008810572687223</v>
          </cell>
          <cell r="CJ41">
            <v>0.20154468554615668</v>
          </cell>
          <cell r="CK41">
            <v>0.23384787315778444</v>
          </cell>
          <cell r="CL41">
            <v>0.17843137254901964</v>
          </cell>
          <cell r="CM41">
            <v>0.20872582213133994</v>
          </cell>
          <cell r="CO41">
            <v>0.25541740674955604</v>
          </cell>
          <cell r="CP41">
            <v>0.28864401591674316</v>
          </cell>
          <cell r="CQ41">
            <v>0.20634022077554492</v>
          </cell>
          <cell r="CR41">
            <v>0.25124792013311148</v>
          </cell>
          <cell r="CS41">
            <v>0.24953199750398669</v>
          </cell>
          <cell r="CU41">
            <v>0.2059988681380871</v>
          </cell>
          <cell r="CV41">
            <v>8.2185273159144812E-2</v>
          </cell>
          <cell r="CW41">
            <v>5.2088221492257114E-2</v>
          </cell>
          <cell r="CX41">
            <v>-3.3244680851063801E-2</v>
          </cell>
          <cell r="CY41">
            <v>6.0814559982243832E-2</v>
          </cell>
          <cell r="DA41">
            <v>-2.5340215861098025E-2</v>
          </cell>
          <cell r="DB41">
            <v>7.8577699736610995E-2</v>
          </cell>
          <cell r="DC41">
            <v>0.12430865298840321</v>
          </cell>
          <cell r="DE41">
            <v>8.3345538236217154E-2</v>
          </cell>
          <cell r="DG41">
            <v>0.14612421762156957</v>
          </cell>
          <cell r="DH41">
            <v>0.16218966218966213</v>
          </cell>
          <cell r="DI41">
            <v>0.1841948665053359</v>
          </cell>
          <cell r="DJ41">
            <v>0.1684338079369887</v>
          </cell>
          <cell r="DK41">
            <v>0.1663142037718357</v>
          </cell>
          <cell r="DM41">
            <v>0.16215080865364428</v>
          </cell>
          <cell r="DN41">
            <v>5.8308527403256871E-2</v>
          </cell>
          <cell r="DO41">
            <v>7.9061976549413826E-2</v>
          </cell>
          <cell r="DP41">
            <v>5.8724397199896305E-2</v>
          </cell>
          <cell r="DQ41">
            <v>8.4037092233813615E-2</v>
          </cell>
          <cell r="DS41">
            <v>5.8557744442436332E-2</v>
          </cell>
          <cell r="DT41">
            <v>0.12160820648577109</v>
          </cell>
          <cell r="DU41">
            <v>5.4330953120149017E-2</v>
          </cell>
          <cell r="DV41">
            <v>4.7018489041263711E-2</v>
          </cell>
          <cell r="DW41">
            <v>6.8471702436416315E-2</v>
          </cell>
          <cell r="DY41">
            <v>5.8050196346252303E-2</v>
          </cell>
          <cell r="DZ41">
            <v>3.2158135418203226E-2</v>
          </cell>
          <cell r="EA41">
            <v>4.6230859835100224E-2</v>
          </cell>
          <cell r="EB41">
            <v>4.3035902233656831E-2</v>
          </cell>
          <cell r="EC41">
            <v>4.4318953500839919E-2</v>
          </cell>
          <cell r="EE41">
            <v>6.1481361949330404E-2</v>
          </cell>
          <cell r="EF41">
            <v>4.8592253823066978E-2</v>
          </cell>
          <cell r="EG41">
            <v>9.8508302842668094E-3</v>
          </cell>
          <cell r="EH41">
            <v>-5.7629779123220093E-2</v>
          </cell>
          <cell r="EI41">
            <v>9.4801327903075716E-3</v>
          </cell>
          <cell r="EK41">
            <v>-1.7938583155974408E-2</v>
          </cell>
          <cell r="EL41">
            <v>-4.429603380128122E-2</v>
          </cell>
          <cell r="EM41">
            <v>-9.4885730211817787E-3</v>
          </cell>
          <cell r="EN41">
            <v>-1.7428982748364019E-2</v>
          </cell>
          <cell r="EO41">
            <v>-2.2293890697043683E-2</v>
          </cell>
          <cell r="EQ41">
            <v>3.6132540557275661E-2</v>
          </cell>
          <cell r="ER41">
            <v>2.2743430941243759E-2</v>
          </cell>
          <cell r="ES41">
            <v>1.8265720725895607E-2</v>
          </cell>
          <cell r="ET41">
            <v>-7.6444180683862273E-3</v>
          </cell>
          <cell r="EU41">
            <v>1.5936821776352472E-2</v>
          </cell>
          <cell r="EW41">
            <v>1.8159129342453895E-2</v>
          </cell>
          <cell r="EX41">
            <v>1.0626163140204703E-2</v>
          </cell>
          <cell r="EY41">
            <v>1.2090897874331041E-2</v>
          </cell>
          <cell r="EZ41">
            <v>-5.305346832587543E-3</v>
          </cell>
          <cell r="FA41">
            <v>8.252551731850355E-3</v>
          </cell>
        </row>
        <row r="42"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G42">
            <v>-0.38889657005401579</v>
          </cell>
          <cell r="AH42">
            <v>0.15202442600534871</v>
          </cell>
          <cell r="AI42">
            <v>0.1451620899130921</v>
          </cell>
          <cell r="AJ42">
            <v>0.43404696017609212</v>
          </cell>
          <cell r="AK42">
            <v>1.8348371029165893</v>
          </cell>
          <cell r="AM42">
            <v>-0.37159286178710749</v>
          </cell>
          <cell r="AN42">
            <v>0.21175479390171925</v>
          </cell>
          <cell r="AO42">
            <v>5.8334038532058319E-2</v>
          </cell>
          <cell r="AP42">
            <v>0.55167003673093906</v>
          </cell>
          <cell r="AQ42">
            <v>1.7559429219515206</v>
          </cell>
          <cell r="AS42">
            <v>-0.41037997096609014</v>
          </cell>
          <cell r="AT42">
            <v>0.25782383680783827</v>
          </cell>
          <cell r="AU42">
            <v>0.12526095249303126</v>
          </cell>
          <cell r="AV42">
            <v>0.46232822416763497</v>
          </cell>
          <cell r="AW42">
            <v>1.7747088019252035</v>
          </cell>
          <cell r="AY42">
            <v>-0.38731788113480792</v>
          </cell>
          <cell r="AZ42">
            <v>0.22068556150861518</v>
          </cell>
          <cell r="BA42">
            <v>2.1105386545513305E-2</v>
          </cell>
          <cell r="BB42">
            <v>0.28022141147824819</v>
          </cell>
          <cell r="BC42">
            <v>2.1727571415675495</v>
          </cell>
          <cell r="BE42">
            <v>-0.39523016127475841</v>
          </cell>
          <cell r="BF42">
            <v>8.3803167139878232E-2</v>
          </cell>
          <cell r="BG42">
            <v>-2.4443671394801969E-2</v>
          </cell>
          <cell r="BH42">
            <v>0.2775835944868712</v>
          </cell>
          <cell r="BI42">
            <v>2.3253676917119508</v>
          </cell>
          <cell r="BK42">
            <v>-0.3007915630118736</v>
          </cell>
          <cell r="BL42">
            <v>0.17098092643051777</v>
          </cell>
          <cell r="BM42">
            <v>2.3851076207097144E-2</v>
          </cell>
          <cell r="BN42">
            <v>0.27977272727272728</v>
          </cell>
          <cell r="BO42">
            <v>2.1963239211507721</v>
          </cell>
          <cell r="BQ42">
            <v>-0.30784940507902681</v>
          </cell>
          <cell r="BR42">
            <v>0.2629890955740859</v>
          </cell>
          <cell r="BS42">
            <v>2.7425088877602866E-2</v>
          </cell>
          <cell r="BT42">
            <v>0.24518042511122107</v>
          </cell>
          <cell r="BU42">
            <v>2.2036522429535528</v>
          </cell>
          <cell r="BW42">
            <v>-0.30964668519253669</v>
          </cell>
          <cell r="BX42">
            <v>0.27832087406555495</v>
          </cell>
          <cell r="BY42">
            <v>0.1151596941070625</v>
          </cell>
          <cell r="BZ42">
            <v>0.33118192819685355</v>
          </cell>
          <cell r="CA42">
            <v>1.9518181818181817</v>
          </cell>
          <cell r="CC42">
            <v>-0.31212121212121213</v>
          </cell>
          <cell r="CD42">
            <v>0.19779735682819388</v>
          </cell>
          <cell r="CE42">
            <v>5.3107760205958199E-2</v>
          </cell>
          <cell r="CF42">
            <v>0.4248795138646364</v>
          </cell>
          <cell r="CG42">
            <v>1.9246078431372546</v>
          </cell>
          <cell r="CI42">
            <v>-0.31004901960784315</v>
          </cell>
          <cell r="CJ42">
            <v>0.16056838365896975</v>
          </cell>
          <cell r="CK42">
            <v>8.142026323844509E-2</v>
          </cell>
          <cell r="CL42">
            <v>0.36088310217945097</v>
          </cell>
          <cell r="CM42">
            <v>1.999792013311148</v>
          </cell>
          <cell r="CO42">
            <v>-0.26497504159733776</v>
          </cell>
          <cell r="CP42">
            <v>0.19128466327108096</v>
          </cell>
          <cell r="CQ42">
            <v>1.2351543942992871E-2</v>
          </cell>
          <cell r="CR42">
            <v>0.41154387611450027</v>
          </cell>
          <cell r="CS42">
            <v>1.9956781914893615</v>
          </cell>
          <cell r="CU42">
            <v>-0.29155585106382975</v>
          </cell>
          <cell r="CV42">
            <v>6.8981698732989205E-2</v>
          </cell>
          <cell r="CW42">
            <v>-1.5803336259877065E-2</v>
          </cell>
          <cell r="CX42">
            <v>0.29705619982158793</v>
          </cell>
          <cell r="CY42">
            <v>0</v>
          </cell>
          <cell r="DA42">
            <v>-0.28576341127922966</v>
          </cell>
          <cell r="DB42">
            <v>0.18295618680789594</v>
          </cell>
          <cell r="DC42">
            <v>2.5925925925925908E-2</v>
          </cell>
          <cell r="DE42">
            <v>0</v>
          </cell>
          <cell r="DG42">
            <v>-0.27885489245683126</v>
          </cell>
          <cell r="DH42">
            <v>0.19953791220331873</v>
          </cell>
          <cell r="DI42">
            <v>4.5351076869199813E-2</v>
          </cell>
          <cell r="DJ42">
            <v>0.29212730318257951</v>
          </cell>
          <cell r="DK42">
            <v>0</v>
          </cell>
          <cell r="DM42">
            <v>-0.28273269380347421</v>
          </cell>
          <cell r="DN42">
            <v>9.2354961142237402E-2</v>
          </cell>
          <cell r="DO42">
            <v>6.5850430178689523E-2</v>
          </cell>
          <cell r="DP42">
            <v>0.26777398323502011</v>
          </cell>
          <cell r="DQ42">
            <v>0</v>
          </cell>
          <cell r="DS42">
            <v>-0.28284559813885146</v>
          </cell>
          <cell r="DT42">
            <v>0.15741847362130779</v>
          </cell>
          <cell r="DU42">
            <v>1.9176869744799152E-3</v>
          </cell>
          <cell r="DV42">
            <v>0.25898115429917556</v>
          </cell>
          <cell r="DW42">
            <v>0</v>
          </cell>
          <cell r="DY42">
            <v>-0.27528943983159859</v>
          </cell>
          <cell r="DZ42">
            <v>0.12909472325318694</v>
          </cell>
          <cell r="EA42">
            <v>1.5578104902100876E-2</v>
          </cell>
          <cell r="EB42">
            <v>0.25513650436251045</v>
          </cell>
          <cell r="EC42">
            <v>0</v>
          </cell>
          <cell r="EE42">
            <v>-0.26247337145419891</v>
          </cell>
          <cell r="EF42">
            <v>0.11538461538461542</v>
          </cell>
          <cell r="EG42">
            <v>-2.1943573667711602E-2</v>
          </cell>
          <cell r="EH42">
            <v>0.17126532887402446</v>
          </cell>
          <cell r="EI42">
            <v>0</v>
          </cell>
          <cell r="EK42">
            <v>-0.2314098750743605</v>
          </cell>
          <cell r="EL42">
            <v>8.5448916408668696E-2</v>
          </cell>
          <cell r="EM42">
            <v>1.367798060467762E-2</v>
          </cell>
          <cell r="EN42">
            <v>0.16187591007764612</v>
          </cell>
          <cell r="EO42">
            <v>0</v>
          </cell>
          <cell r="EQ42">
            <v>-0.18951279367678631</v>
          </cell>
          <cell r="ER42">
            <v>7.1422530830061115E-2</v>
          </cell>
          <cell r="ES42">
            <v>9.2399601671866449E-3</v>
          </cell>
          <cell r="ET42">
            <v>0.13231155818098816</v>
          </cell>
          <cell r="EU42">
            <v>0</v>
          </cell>
          <cell r="EW42">
            <v>-0.16843824596926749</v>
          </cell>
          <cell r="EX42">
            <v>6.3495489289625562E-2</v>
          </cell>
          <cell r="EY42">
            <v>1.0702685830385139E-2</v>
          </cell>
          <cell r="EZ42">
            <v>0.11284891012046327</v>
          </cell>
          <cell r="FA42">
            <v>0</v>
          </cell>
        </row>
        <row r="43"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A43">
            <v>0</v>
          </cell>
          <cell r="AB43">
            <v>0</v>
          </cell>
          <cell r="AC43">
            <v>0</v>
          </cell>
          <cell r="AD43">
            <v>0</v>
          </cell>
          <cell r="AE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0</v>
          </cell>
          <cell r="BK43">
            <v>0</v>
          </cell>
          <cell r="BL43">
            <v>0</v>
          </cell>
          <cell r="BM43">
            <v>0</v>
          </cell>
          <cell r="BN43">
            <v>0</v>
          </cell>
          <cell r="BO43">
            <v>0</v>
          </cell>
          <cell r="BQ43">
            <v>0</v>
          </cell>
          <cell r="BR43">
            <v>0</v>
          </cell>
          <cell r="BS43">
            <v>0</v>
          </cell>
          <cell r="BT43">
            <v>0</v>
          </cell>
          <cell r="BU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  <cell r="CI43">
            <v>0</v>
          </cell>
          <cell r="CJ43">
            <v>0</v>
          </cell>
          <cell r="CK43">
            <v>0</v>
          </cell>
          <cell r="CL43">
            <v>0</v>
          </cell>
          <cell r="CM43">
            <v>0</v>
          </cell>
          <cell r="CO43">
            <v>0</v>
          </cell>
          <cell r="CP43">
            <v>0</v>
          </cell>
          <cell r="CQ43">
            <v>0</v>
          </cell>
          <cell r="CR43">
            <v>0</v>
          </cell>
          <cell r="CS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DA43">
            <v>0</v>
          </cell>
          <cell r="DB43">
            <v>0</v>
          </cell>
          <cell r="DC43">
            <v>0</v>
          </cell>
          <cell r="DE43">
            <v>0</v>
          </cell>
          <cell r="DG43">
            <v>0</v>
          </cell>
          <cell r="DH43">
            <v>0</v>
          </cell>
          <cell r="DI43">
            <v>0</v>
          </cell>
          <cell r="DJ43">
            <v>0</v>
          </cell>
          <cell r="DK43">
            <v>0</v>
          </cell>
          <cell r="DM43">
            <v>0</v>
          </cell>
          <cell r="DN43">
            <v>0</v>
          </cell>
          <cell r="DO43">
            <v>0</v>
          </cell>
          <cell r="DP43">
            <v>0</v>
          </cell>
          <cell r="DQ43">
            <v>0</v>
          </cell>
          <cell r="DS43">
            <v>0</v>
          </cell>
          <cell r="DT43">
            <v>0</v>
          </cell>
          <cell r="DU43">
            <v>0</v>
          </cell>
          <cell r="DV43">
            <v>0</v>
          </cell>
          <cell r="DW43">
            <v>0</v>
          </cell>
          <cell r="DY43">
            <v>0</v>
          </cell>
          <cell r="DZ43">
            <v>0</v>
          </cell>
          <cell r="EA43">
            <v>0</v>
          </cell>
          <cell r="EB43">
            <v>0</v>
          </cell>
          <cell r="EC43">
            <v>0</v>
          </cell>
          <cell r="EE43">
            <v>0</v>
          </cell>
          <cell r="EF43">
            <v>0</v>
          </cell>
          <cell r="EG43">
            <v>0</v>
          </cell>
          <cell r="EH43">
            <v>0</v>
          </cell>
          <cell r="EI43">
            <v>0</v>
          </cell>
          <cell r="EK43">
            <v>0</v>
          </cell>
          <cell r="EL43">
            <v>0</v>
          </cell>
          <cell r="EM43">
            <v>0</v>
          </cell>
          <cell r="EN43">
            <v>0</v>
          </cell>
          <cell r="EO43">
            <v>0</v>
          </cell>
          <cell r="EQ43">
            <v>0</v>
          </cell>
          <cell r="ER43">
            <v>0</v>
          </cell>
          <cell r="ES43">
            <v>0</v>
          </cell>
          <cell r="ET43">
            <v>0</v>
          </cell>
          <cell r="EU43">
            <v>0</v>
          </cell>
          <cell r="EW43">
            <v>0</v>
          </cell>
          <cell r="EX43">
            <v>0</v>
          </cell>
          <cell r="EY43">
            <v>0</v>
          </cell>
          <cell r="EZ43">
            <v>0</v>
          </cell>
          <cell r="FA43">
            <v>0</v>
          </cell>
        </row>
        <row r="44"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0</v>
          </cell>
          <cell r="BK44">
            <v>0</v>
          </cell>
          <cell r="BL44">
            <v>0</v>
          </cell>
          <cell r="BM44">
            <v>0</v>
          </cell>
          <cell r="BN44">
            <v>0</v>
          </cell>
          <cell r="BO44">
            <v>0</v>
          </cell>
          <cell r="BQ44">
            <v>0</v>
          </cell>
          <cell r="BR44">
            <v>0</v>
          </cell>
          <cell r="BS44">
            <v>0</v>
          </cell>
          <cell r="BT44">
            <v>0</v>
          </cell>
          <cell r="BU44">
            <v>0</v>
          </cell>
          <cell r="BW44">
            <v>0</v>
          </cell>
          <cell r="BX44">
            <v>0</v>
          </cell>
          <cell r="BY44">
            <v>0</v>
          </cell>
          <cell r="BZ44">
            <v>0</v>
          </cell>
          <cell r="CA44">
            <v>0</v>
          </cell>
          <cell r="CC44">
            <v>0</v>
          </cell>
          <cell r="CD44">
            <v>0</v>
          </cell>
          <cell r="CE44">
            <v>0</v>
          </cell>
          <cell r="CF44">
            <v>0</v>
          </cell>
          <cell r="CG44">
            <v>0</v>
          </cell>
          <cell r="CI44">
            <v>1959.4790945059335</v>
          </cell>
          <cell r="CJ44">
            <v>2260.0028128841691</v>
          </cell>
          <cell r="CK44">
            <v>2059.7374969895491</v>
          </cell>
          <cell r="CL44">
            <v>2492.2946203874772</v>
          </cell>
          <cell r="CM44">
            <v>0</v>
          </cell>
          <cell r="CO44">
            <v>1980.1494455159589</v>
          </cell>
          <cell r="CP44">
            <v>2249.124097046581</v>
          </cell>
          <cell r="CQ44">
            <v>2003.3927164671668</v>
          </cell>
          <cell r="CR44">
            <v>2385.7029060167797</v>
          </cell>
          <cell r="CS44">
            <v>0</v>
          </cell>
          <cell r="CU44">
            <v>1763.6694399238518</v>
          </cell>
          <cell r="CV44">
            <v>1939.3743479011277</v>
          </cell>
          <cell r="CW44">
            <v>1519.4883922874196</v>
          </cell>
          <cell r="CX44">
            <v>1482.1293021673114</v>
          </cell>
          <cell r="CY44">
            <v>0</v>
          </cell>
          <cell r="DA44">
            <v>1187</v>
          </cell>
          <cell r="DB44">
            <v>1467.5</v>
          </cell>
          <cell r="DC44">
            <v>273</v>
          </cell>
          <cell r="DE44">
            <v>1506</v>
          </cell>
          <cell r="DG44">
            <v>1079</v>
          </cell>
          <cell r="DH44">
            <v>1112</v>
          </cell>
          <cell r="DI44">
            <v>1035</v>
          </cell>
          <cell r="DJ44">
            <v>1157</v>
          </cell>
          <cell r="DK44">
            <v>4383</v>
          </cell>
          <cell r="DM44">
            <v>1029</v>
          </cell>
          <cell r="DN44">
            <v>953</v>
          </cell>
          <cell r="DO44">
            <v>869</v>
          </cell>
          <cell r="DP44">
            <v>977</v>
          </cell>
          <cell r="DQ44">
            <v>3828</v>
          </cell>
          <cell r="DS44">
            <v>779</v>
          </cell>
          <cell r="DT44">
            <v>734</v>
          </cell>
          <cell r="DU44">
            <v>671</v>
          </cell>
          <cell r="DV44">
            <v>849</v>
          </cell>
          <cell r="DW44">
            <v>3033</v>
          </cell>
          <cell r="DY44">
            <v>669</v>
          </cell>
          <cell r="DZ44">
            <v>714</v>
          </cell>
          <cell r="EA44">
            <v>725</v>
          </cell>
          <cell r="EB44">
            <v>870</v>
          </cell>
          <cell r="EC44">
            <v>2978</v>
          </cell>
          <cell r="EE44">
            <v>578</v>
          </cell>
          <cell r="EF44">
            <v>717</v>
          </cell>
          <cell r="EG44">
            <v>712</v>
          </cell>
          <cell r="EH44">
            <v>818</v>
          </cell>
          <cell r="EI44">
            <v>2825</v>
          </cell>
          <cell r="EK44">
            <v>570</v>
          </cell>
          <cell r="EL44">
            <v>573</v>
          </cell>
          <cell r="EM44">
            <v>610.89599999999996</v>
          </cell>
          <cell r="EN44">
            <v>736.2</v>
          </cell>
          <cell r="EO44">
            <v>2490.096</v>
          </cell>
          <cell r="EQ44">
            <v>513</v>
          </cell>
          <cell r="ER44">
            <v>515.70000000000005</v>
          </cell>
          <cell r="ES44">
            <v>549.80639999999994</v>
          </cell>
          <cell r="ET44">
            <v>662.58</v>
          </cell>
          <cell r="EU44">
            <v>2241.0864000000001</v>
          </cell>
          <cell r="EW44">
            <v>461.7</v>
          </cell>
          <cell r="EX44">
            <v>464.13000000000005</v>
          </cell>
          <cell r="EY44">
            <v>494.82575999999995</v>
          </cell>
          <cell r="EZ44">
            <v>596.322</v>
          </cell>
          <cell r="FA44">
            <v>2016.9777600000002</v>
          </cell>
        </row>
        <row r="45"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A45">
            <v>0</v>
          </cell>
          <cell r="AB45">
            <v>0</v>
          </cell>
          <cell r="AC45">
            <v>0</v>
          </cell>
          <cell r="AD45">
            <v>0</v>
          </cell>
          <cell r="AE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0</v>
          </cell>
          <cell r="BK45">
            <v>0</v>
          </cell>
          <cell r="BL45">
            <v>0</v>
          </cell>
          <cell r="BM45">
            <v>0</v>
          </cell>
          <cell r="BN45">
            <v>0</v>
          </cell>
          <cell r="BO45">
            <v>0</v>
          </cell>
          <cell r="BQ45">
            <v>0</v>
          </cell>
          <cell r="BR45">
            <v>0</v>
          </cell>
          <cell r="BS45">
            <v>0</v>
          </cell>
          <cell r="BT45">
            <v>0</v>
          </cell>
          <cell r="BU45">
            <v>0</v>
          </cell>
          <cell r="BW45">
            <v>0</v>
          </cell>
          <cell r="BX45">
            <v>0</v>
          </cell>
          <cell r="BY45">
            <v>0</v>
          </cell>
          <cell r="BZ45">
            <v>0</v>
          </cell>
          <cell r="CA45">
            <v>0</v>
          </cell>
          <cell r="CC45">
            <v>0</v>
          </cell>
          <cell r="CD45">
            <v>0</v>
          </cell>
          <cell r="CE45">
            <v>0</v>
          </cell>
          <cell r="CF45">
            <v>0</v>
          </cell>
          <cell r="CG45">
            <v>0</v>
          </cell>
          <cell r="CI45">
            <v>0</v>
          </cell>
          <cell r="CJ45">
            <v>0</v>
          </cell>
          <cell r="CK45">
            <v>0</v>
          </cell>
          <cell r="CL45">
            <v>0</v>
          </cell>
          <cell r="CM45">
            <v>0</v>
          </cell>
          <cell r="CO45">
            <v>0</v>
          </cell>
          <cell r="CP45">
            <v>0</v>
          </cell>
          <cell r="CQ45">
            <v>0</v>
          </cell>
          <cell r="CR45">
            <v>0</v>
          </cell>
          <cell r="CS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DA45">
            <v>0</v>
          </cell>
          <cell r="DB45">
            <v>0</v>
          </cell>
          <cell r="DC45">
            <v>0</v>
          </cell>
          <cell r="DE45">
            <v>0</v>
          </cell>
          <cell r="DG45">
            <v>0</v>
          </cell>
          <cell r="DH45">
            <v>0</v>
          </cell>
          <cell r="DI45">
            <v>0</v>
          </cell>
          <cell r="DJ45">
            <v>-6.1638280616382768E-2</v>
          </cell>
          <cell r="DK45">
            <v>1.9103585657370519</v>
          </cell>
          <cell r="DM45">
            <v>-4.6339202965709037E-2</v>
          </cell>
          <cell r="DN45">
            <v>-0.14298561151079137</v>
          </cell>
          <cell r="DO45">
            <v>-0.16038647342995171</v>
          </cell>
          <cell r="DP45">
            <v>-0.15557476231633538</v>
          </cell>
          <cell r="DQ45">
            <v>-0.12662559890485969</v>
          </cell>
          <cell r="DS45">
            <v>-0.24295432458697763</v>
          </cell>
          <cell r="DT45">
            <v>-0.22980062959076597</v>
          </cell>
          <cell r="DU45">
            <v>-0.22784810126582278</v>
          </cell>
          <cell r="DV45">
            <v>-0.13101330603889461</v>
          </cell>
          <cell r="DW45">
            <v>-0.20768025078369901</v>
          </cell>
          <cell r="DY45">
            <v>-0.14120667522464703</v>
          </cell>
          <cell r="DZ45">
            <v>-2.7247956403269713E-2</v>
          </cell>
          <cell r="EA45">
            <v>8.0476900149031305E-2</v>
          </cell>
          <cell r="EB45">
            <v>2.4734982332155431E-2</v>
          </cell>
          <cell r="EC45">
            <v>-1.8133860863831175E-2</v>
          </cell>
          <cell r="EE45">
            <v>-0.13602391629297461</v>
          </cell>
          <cell r="EF45">
            <v>4.2016806722688926E-3</v>
          </cell>
          <cell r="EG45">
            <v>-1.7931034482758568E-2</v>
          </cell>
          <cell r="EH45">
            <v>-5.9770114942528707E-2</v>
          </cell>
          <cell r="EI45">
            <v>-5.1376762928139641E-2</v>
          </cell>
          <cell r="EK45">
            <v>-1.384083044982698E-2</v>
          </cell>
          <cell r="EL45">
            <v>-0.20083682008368198</v>
          </cell>
          <cell r="EM45">
            <v>-0.14199999999999999</v>
          </cell>
          <cell r="EN45">
            <v>-0.1</v>
          </cell>
          <cell r="EO45">
            <v>-0.11855008849557525</v>
          </cell>
          <cell r="EQ45">
            <v>-0.1</v>
          </cell>
          <cell r="ER45">
            <v>-0.1</v>
          </cell>
          <cell r="ES45">
            <v>-0.1</v>
          </cell>
          <cell r="ET45">
            <v>-0.1</v>
          </cell>
          <cell r="EU45">
            <v>-9.9999999999999978E-2</v>
          </cell>
          <cell r="EW45">
            <v>-0.1</v>
          </cell>
          <cell r="EX45">
            <v>-0.1</v>
          </cell>
          <cell r="EY45">
            <v>-0.1</v>
          </cell>
          <cell r="EZ45">
            <v>-0.1</v>
          </cell>
          <cell r="FA45">
            <v>-9.9999999999999978E-2</v>
          </cell>
        </row>
        <row r="46"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U46">
            <v>0</v>
          </cell>
          <cell r="V46">
            <v>0</v>
          </cell>
          <cell r="W46">
            <v>0</v>
          </cell>
          <cell r="X46">
            <v>0</v>
          </cell>
          <cell r="Y46">
            <v>0</v>
          </cell>
          <cell r="AA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0</v>
          </cell>
          <cell r="BK46">
            <v>0</v>
          </cell>
          <cell r="BL46">
            <v>0</v>
          </cell>
          <cell r="BM46">
            <v>0</v>
          </cell>
          <cell r="BN46">
            <v>0</v>
          </cell>
          <cell r="BO46">
            <v>0</v>
          </cell>
          <cell r="BQ46">
            <v>0</v>
          </cell>
          <cell r="BR46">
            <v>0</v>
          </cell>
          <cell r="BS46">
            <v>0</v>
          </cell>
          <cell r="BT46">
            <v>0</v>
          </cell>
          <cell r="BU46">
            <v>0</v>
          </cell>
          <cell r="BW46">
            <v>0</v>
          </cell>
          <cell r="BX46">
            <v>0</v>
          </cell>
          <cell r="BY46">
            <v>0</v>
          </cell>
          <cell r="BZ46">
            <v>0</v>
          </cell>
          <cell r="CA46">
            <v>0</v>
          </cell>
          <cell r="CC46">
            <v>0</v>
          </cell>
          <cell r="CD46">
            <v>0</v>
          </cell>
          <cell r="CE46">
            <v>0</v>
          </cell>
          <cell r="CF46">
            <v>0</v>
          </cell>
          <cell r="CG46">
            <v>0</v>
          </cell>
          <cell r="CI46">
            <v>0</v>
          </cell>
          <cell r="CJ46">
            <v>0</v>
          </cell>
          <cell r="CK46">
            <v>0</v>
          </cell>
          <cell r="CL46">
            <v>0</v>
          </cell>
          <cell r="CM46">
            <v>0</v>
          </cell>
          <cell r="CO46">
            <v>0</v>
          </cell>
          <cell r="CP46">
            <v>0</v>
          </cell>
          <cell r="CQ46">
            <v>0</v>
          </cell>
          <cell r="CR46">
            <v>0</v>
          </cell>
          <cell r="CS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DA46">
            <v>0</v>
          </cell>
          <cell r="DB46">
            <v>0</v>
          </cell>
          <cell r="DC46">
            <v>0</v>
          </cell>
          <cell r="DE46">
            <v>0</v>
          </cell>
          <cell r="DG46">
            <v>-0.12489862124898621</v>
          </cell>
          <cell r="DH46">
            <v>3.0583873957367835E-2</v>
          </cell>
          <cell r="DI46">
            <v>-6.9244604316546776E-2</v>
          </cell>
          <cell r="DJ46">
            <v>0.11787439613526574</v>
          </cell>
          <cell r="DK46" t="str">
            <v>-</v>
          </cell>
          <cell r="DM46">
            <v>-0.11063094209161628</v>
          </cell>
          <cell r="DN46">
            <v>-7.3858114674441255E-2</v>
          </cell>
          <cell r="DO46">
            <v>-8.8142707240293827E-2</v>
          </cell>
          <cell r="DP46">
            <v>0.12428078250863051</v>
          </cell>
          <cell r="DQ46" t="str">
            <v>-</v>
          </cell>
          <cell r="DS46">
            <v>-0.20266120777891505</v>
          </cell>
          <cell r="DT46">
            <v>-5.7766367137355612E-2</v>
          </cell>
          <cell r="DU46">
            <v>-8.5831062670299718E-2</v>
          </cell>
          <cell r="DV46">
            <v>0.26527570789865873</v>
          </cell>
          <cell r="DW46" t="str">
            <v>-</v>
          </cell>
          <cell r="DY46">
            <v>-0.21201413427561833</v>
          </cell>
          <cell r="DZ46">
            <v>6.7264573991031362E-2</v>
          </cell>
          <cell r="EA46">
            <v>1.540616246498594E-2</v>
          </cell>
          <cell r="EB46">
            <v>0.19999999999999996</v>
          </cell>
          <cell r="EC46" t="str">
            <v>-</v>
          </cell>
          <cell r="EE46">
            <v>-0.33563218390804594</v>
          </cell>
          <cell r="EF46">
            <v>0.24048442906574397</v>
          </cell>
          <cell r="EG46">
            <v>-6.9735006973500324E-3</v>
          </cell>
          <cell r="EH46">
            <v>0.148876404494382</v>
          </cell>
          <cell r="EI46" t="str">
            <v>-</v>
          </cell>
          <cell r="EK46">
            <v>-0.30317848410757942</v>
          </cell>
          <cell r="EL46">
            <v>5.2631578947368585E-3</v>
          </cell>
          <cell r="EM46">
            <v>6.6136125654450151E-2</v>
          </cell>
          <cell r="EN46">
            <v>0.20511510960949186</v>
          </cell>
          <cell r="EO46" t="str">
            <v>-</v>
          </cell>
          <cell r="EQ46">
            <v>-0.30317848410757953</v>
          </cell>
          <cell r="ER46">
            <v>5.2631578947368585E-3</v>
          </cell>
          <cell r="ES46">
            <v>6.6136125654450151E-2</v>
          </cell>
          <cell r="ET46">
            <v>0.20511510960949186</v>
          </cell>
          <cell r="EU46" t="str">
            <v>-</v>
          </cell>
          <cell r="EW46">
            <v>-0.30317848410757953</v>
          </cell>
          <cell r="EX46">
            <v>5.2631578947370805E-3</v>
          </cell>
          <cell r="EY46">
            <v>6.6136125654449929E-2</v>
          </cell>
          <cell r="EZ46">
            <v>0.20511510960949186</v>
          </cell>
          <cell r="FA46" t="str">
            <v>-</v>
          </cell>
        </row>
        <row r="47"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A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0</v>
          </cell>
          <cell r="BK47">
            <v>0</v>
          </cell>
          <cell r="BL47">
            <v>0</v>
          </cell>
          <cell r="BM47">
            <v>0</v>
          </cell>
          <cell r="BN47">
            <v>0</v>
          </cell>
          <cell r="BO47">
            <v>0</v>
          </cell>
          <cell r="BQ47">
            <v>0</v>
          </cell>
          <cell r="BR47">
            <v>0</v>
          </cell>
          <cell r="BS47">
            <v>0</v>
          </cell>
          <cell r="BT47">
            <v>0</v>
          </cell>
          <cell r="BU47">
            <v>0</v>
          </cell>
          <cell r="BW47">
            <v>0</v>
          </cell>
          <cell r="BX47">
            <v>0</v>
          </cell>
          <cell r="BY47">
            <v>0</v>
          </cell>
          <cell r="BZ47">
            <v>0</v>
          </cell>
          <cell r="CA47">
            <v>0</v>
          </cell>
          <cell r="CC47">
            <v>0</v>
          </cell>
          <cell r="CD47">
            <v>0</v>
          </cell>
          <cell r="CE47">
            <v>0</v>
          </cell>
          <cell r="CF47">
            <v>0</v>
          </cell>
          <cell r="CG47">
            <v>0</v>
          </cell>
          <cell r="CI47">
            <v>0</v>
          </cell>
          <cell r="CJ47">
            <v>0</v>
          </cell>
          <cell r="CK47">
            <v>0</v>
          </cell>
          <cell r="CL47">
            <v>0</v>
          </cell>
          <cell r="CM47">
            <v>0</v>
          </cell>
          <cell r="CO47">
            <v>0</v>
          </cell>
          <cell r="CP47">
            <v>0</v>
          </cell>
          <cell r="CQ47">
            <v>0</v>
          </cell>
          <cell r="CR47">
            <v>0</v>
          </cell>
          <cell r="CS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DA47">
            <v>0</v>
          </cell>
          <cell r="DB47">
            <v>0</v>
          </cell>
          <cell r="DC47">
            <v>0</v>
          </cell>
          <cell r="DE47">
            <v>0</v>
          </cell>
          <cell r="DG47">
            <v>0</v>
          </cell>
          <cell r="DH47">
            <v>0</v>
          </cell>
          <cell r="DI47">
            <v>0</v>
          </cell>
          <cell r="DJ47">
            <v>0</v>
          </cell>
          <cell r="DK47">
            <v>0</v>
          </cell>
          <cell r="DM47">
            <v>0</v>
          </cell>
          <cell r="DN47">
            <v>0</v>
          </cell>
          <cell r="DO47">
            <v>0</v>
          </cell>
          <cell r="DP47">
            <v>0</v>
          </cell>
          <cell r="DQ47">
            <v>0</v>
          </cell>
          <cell r="DS47">
            <v>0</v>
          </cell>
          <cell r="DT47">
            <v>0</v>
          </cell>
          <cell r="DU47">
            <v>0</v>
          </cell>
          <cell r="DV47">
            <v>0</v>
          </cell>
          <cell r="DW47">
            <v>0</v>
          </cell>
          <cell r="DY47">
            <v>0</v>
          </cell>
          <cell r="DZ47">
            <v>0</v>
          </cell>
          <cell r="EA47">
            <v>0</v>
          </cell>
          <cell r="EB47">
            <v>0</v>
          </cell>
          <cell r="EC47">
            <v>0</v>
          </cell>
          <cell r="EE47">
            <v>0</v>
          </cell>
          <cell r="EF47">
            <v>0</v>
          </cell>
          <cell r="EG47">
            <v>0</v>
          </cell>
          <cell r="EH47">
            <v>0</v>
          </cell>
          <cell r="EI47">
            <v>0</v>
          </cell>
          <cell r="EK47">
            <v>0</v>
          </cell>
          <cell r="EL47">
            <v>0</v>
          </cell>
          <cell r="EM47">
            <v>0</v>
          </cell>
          <cell r="EN47">
            <v>0</v>
          </cell>
          <cell r="EO47">
            <v>0</v>
          </cell>
          <cell r="EQ47">
            <v>0</v>
          </cell>
          <cell r="ER47">
            <v>0</v>
          </cell>
          <cell r="ES47">
            <v>0</v>
          </cell>
          <cell r="ET47">
            <v>0</v>
          </cell>
          <cell r="EU47">
            <v>0</v>
          </cell>
          <cell r="EW47">
            <v>0</v>
          </cell>
          <cell r="EX47">
            <v>0</v>
          </cell>
          <cell r="EY47">
            <v>0</v>
          </cell>
          <cell r="EZ47">
            <v>0</v>
          </cell>
          <cell r="FA47">
            <v>0</v>
          </cell>
        </row>
        <row r="48"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0</v>
          </cell>
          <cell r="BK48">
            <v>0</v>
          </cell>
          <cell r="BL48">
            <v>0</v>
          </cell>
          <cell r="BM48">
            <v>0</v>
          </cell>
          <cell r="BN48">
            <v>0</v>
          </cell>
          <cell r="BO48">
            <v>0</v>
          </cell>
          <cell r="BQ48">
            <v>0</v>
          </cell>
          <cell r="BR48">
            <v>0</v>
          </cell>
          <cell r="BS48">
            <v>0</v>
          </cell>
          <cell r="BT48">
            <v>0</v>
          </cell>
          <cell r="BU48">
            <v>0</v>
          </cell>
          <cell r="BW48">
            <v>0</v>
          </cell>
          <cell r="BX48">
            <v>0</v>
          </cell>
          <cell r="BY48">
            <v>0</v>
          </cell>
          <cell r="BZ48">
            <v>0</v>
          </cell>
          <cell r="CA48">
            <v>0</v>
          </cell>
          <cell r="CC48">
            <v>0</v>
          </cell>
          <cell r="CD48">
            <v>0</v>
          </cell>
          <cell r="CE48">
            <v>0</v>
          </cell>
          <cell r="CF48">
            <v>0</v>
          </cell>
          <cell r="CG48">
            <v>0</v>
          </cell>
          <cell r="CI48">
            <v>0</v>
          </cell>
          <cell r="CJ48">
            <v>0</v>
          </cell>
          <cell r="CK48">
            <v>0</v>
          </cell>
          <cell r="CL48">
            <v>0</v>
          </cell>
          <cell r="CM48">
            <v>0</v>
          </cell>
          <cell r="CO48">
            <v>0</v>
          </cell>
          <cell r="CP48">
            <v>0</v>
          </cell>
          <cell r="CQ48">
            <v>0</v>
          </cell>
          <cell r="CR48">
            <v>0</v>
          </cell>
          <cell r="CS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DA48">
            <v>0</v>
          </cell>
          <cell r="DB48">
            <v>0</v>
          </cell>
          <cell r="DC48">
            <v>174</v>
          </cell>
          <cell r="DE48">
            <v>975</v>
          </cell>
          <cell r="DG48">
            <v>704</v>
          </cell>
          <cell r="DH48">
            <v>703</v>
          </cell>
          <cell r="DI48">
            <v>632</v>
          </cell>
          <cell r="DJ48">
            <v>751.62773722627742</v>
          </cell>
          <cell r="DK48">
            <v>2790.6277372262775</v>
          </cell>
          <cell r="DM48">
            <v>671.37720111214082</v>
          </cell>
          <cell r="DN48">
            <v>602.48111510791364</v>
          </cell>
          <cell r="DO48">
            <v>530.63574879227053</v>
          </cell>
          <cell r="DP48">
            <v>634.69343065693431</v>
          </cell>
          <cell r="DQ48">
            <v>2439.1874956692591</v>
          </cell>
          <cell r="DS48">
            <v>508.26320667284523</v>
          </cell>
          <cell r="DT48">
            <v>464.03057553956836</v>
          </cell>
          <cell r="DU48">
            <v>409.73140096618357</v>
          </cell>
          <cell r="DV48">
            <v>551.54014598540141</v>
          </cell>
          <cell r="DW48">
            <v>1933.5653291639987</v>
          </cell>
          <cell r="DY48">
            <v>436.49304911955511</v>
          </cell>
          <cell r="DZ48">
            <v>451.38669064748206</v>
          </cell>
          <cell r="EA48">
            <v>442.70531400966183</v>
          </cell>
          <cell r="EB48">
            <v>565.18248175182475</v>
          </cell>
          <cell r="EC48">
            <v>1895.7675355285237</v>
          </cell>
          <cell r="EE48">
            <v>377.1195551436515</v>
          </cell>
          <cell r="EF48">
            <v>453.28327338129498</v>
          </cell>
          <cell r="EG48">
            <v>434.76714975845414</v>
          </cell>
          <cell r="EH48">
            <v>531.40145985401455</v>
          </cell>
          <cell r="EI48">
            <v>1796.5714381374153</v>
          </cell>
          <cell r="EK48">
            <v>371.89990732159401</v>
          </cell>
          <cell r="EL48">
            <v>362.24730215827338</v>
          </cell>
          <cell r="EM48">
            <v>373.03021449275366</v>
          </cell>
          <cell r="EN48">
            <v>478.26131386861312</v>
          </cell>
          <cell r="EO48">
            <v>1585.4387378412341</v>
          </cell>
          <cell r="EQ48">
            <v>334.70991658943461</v>
          </cell>
          <cell r="ER48">
            <v>326.02257194244606</v>
          </cell>
          <cell r="ES48">
            <v>335.72719304347828</v>
          </cell>
          <cell r="ET48">
            <v>430.43518248175184</v>
          </cell>
          <cell r="EU48">
            <v>1426.8948640571107</v>
          </cell>
          <cell r="EW48">
            <v>301.23892493049118</v>
          </cell>
          <cell r="EX48">
            <v>293.42031474820146</v>
          </cell>
          <cell r="EY48">
            <v>302.15447373913048</v>
          </cell>
          <cell r="EZ48">
            <v>387.39166423357665</v>
          </cell>
          <cell r="FA48">
            <v>1284.2053776513999</v>
          </cell>
        </row>
        <row r="49">
          <cell r="O49">
            <v>0</v>
          </cell>
          <cell r="P49">
            <v>0</v>
          </cell>
          <cell r="Q49">
            <v>0</v>
          </cell>
          <cell r="R49">
            <v>0</v>
          </cell>
          <cell r="S49">
            <v>0</v>
          </cell>
          <cell r="U49">
            <v>0</v>
          </cell>
          <cell r="V49">
            <v>0</v>
          </cell>
          <cell r="W49">
            <v>0</v>
          </cell>
          <cell r="X49">
            <v>0</v>
          </cell>
          <cell r="Y49">
            <v>0</v>
          </cell>
          <cell r="AA49">
            <v>0</v>
          </cell>
          <cell r="AB49">
            <v>0</v>
          </cell>
          <cell r="AC49">
            <v>0</v>
          </cell>
          <cell r="AD49">
            <v>0</v>
          </cell>
          <cell r="AE49">
            <v>0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0</v>
          </cell>
          <cell r="BI49">
            <v>0</v>
          </cell>
          <cell r="BK49">
            <v>0</v>
          </cell>
          <cell r="BL49">
            <v>0</v>
          </cell>
          <cell r="BM49">
            <v>0</v>
          </cell>
          <cell r="BN49">
            <v>0</v>
          </cell>
          <cell r="BO49">
            <v>0</v>
          </cell>
          <cell r="BQ49">
            <v>0</v>
          </cell>
          <cell r="BR49">
            <v>0</v>
          </cell>
          <cell r="BS49">
            <v>0</v>
          </cell>
          <cell r="BT49">
            <v>0</v>
          </cell>
          <cell r="BU49">
            <v>0</v>
          </cell>
          <cell r="BW49">
            <v>0</v>
          </cell>
          <cell r="BX49">
            <v>0</v>
          </cell>
          <cell r="BY49">
            <v>0</v>
          </cell>
          <cell r="BZ49">
            <v>0</v>
          </cell>
          <cell r="CA49">
            <v>0</v>
          </cell>
          <cell r="CC49">
            <v>0</v>
          </cell>
          <cell r="CD49">
            <v>0</v>
          </cell>
          <cell r="CE49">
            <v>0</v>
          </cell>
          <cell r="CF49">
            <v>0</v>
          </cell>
          <cell r="CG49">
            <v>0</v>
          </cell>
          <cell r="CI49">
            <v>0</v>
          </cell>
          <cell r="CJ49">
            <v>0</v>
          </cell>
          <cell r="CK49">
            <v>0</v>
          </cell>
          <cell r="CL49">
            <v>0</v>
          </cell>
          <cell r="CM49">
            <v>0</v>
          </cell>
          <cell r="CO49">
            <v>0</v>
          </cell>
          <cell r="CP49">
            <v>0</v>
          </cell>
          <cell r="CQ49">
            <v>0</v>
          </cell>
          <cell r="CR49">
            <v>0</v>
          </cell>
          <cell r="CS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DA49">
            <v>0</v>
          </cell>
          <cell r="DB49">
            <v>0</v>
          </cell>
          <cell r="DC49">
            <v>99</v>
          </cell>
          <cell r="DE49">
            <v>531</v>
          </cell>
          <cell r="DG49">
            <v>375</v>
          </cell>
          <cell r="DH49">
            <v>409</v>
          </cell>
          <cell r="DI49">
            <v>403</v>
          </cell>
          <cell r="DJ49">
            <v>405.37226277372264</v>
          </cell>
          <cell r="DK49">
            <v>1592.3722627737227</v>
          </cell>
          <cell r="DM49">
            <v>357.62279888785912</v>
          </cell>
          <cell r="DN49">
            <v>350.51888489208631</v>
          </cell>
          <cell r="DO49">
            <v>338.36425120772947</v>
          </cell>
          <cell r="DP49">
            <v>342.30656934306569</v>
          </cell>
          <cell r="DQ49">
            <v>1388.8125043307405</v>
          </cell>
          <cell r="DS49">
            <v>270.73679332715477</v>
          </cell>
          <cell r="DT49">
            <v>269.96942446043164</v>
          </cell>
          <cell r="DU49">
            <v>261.26859903381643</v>
          </cell>
          <cell r="DV49">
            <v>297.45985401459853</v>
          </cell>
          <cell r="DW49">
            <v>1099.4346708360013</v>
          </cell>
          <cell r="DY49">
            <v>232.50695088044483</v>
          </cell>
          <cell r="DZ49">
            <v>262.613309352518</v>
          </cell>
          <cell r="EA49">
            <v>282.29468599033817</v>
          </cell>
          <cell r="EB49">
            <v>304.81751824817519</v>
          </cell>
          <cell r="EC49">
            <v>1082.2324644714763</v>
          </cell>
          <cell r="EE49">
            <v>200.88044485634845</v>
          </cell>
          <cell r="EF49">
            <v>263.71672661870502</v>
          </cell>
          <cell r="EG49">
            <v>277.23285024154592</v>
          </cell>
          <cell r="EH49">
            <v>286.5985401459854</v>
          </cell>
          <cell r="EI49">
            <v>1028.4285618625847</v>
          </cell>
          <cell r="EK49">
            <v>198.1000926784059</v>
          </cell>
          <cell r="EL49">
            <v>210.75269784172662</v>
          </cell>
          <cell r="EM49">
            <v>237.86578550724639</v>
          </cell>
          <cell r="EN49">
            <v>257.93868613138687</v>
          </cell>
          <cell r="EO49">
            <v>904.65726215876589</v>
          </cell>
          <cell r="EQ49">
            <v>178.2900834105653</v>
          </cell>
          <cell r="ER49">
            <v>189.67742805755395</v>
          </cell>
          <cell r="ES49">
            <v>214.07920695652174</v>
          </cell>
          <cell r="ET49">
            <v>232.1448175182482</v>
          </cell>
          <cell r="EU49">
            <v>814.19153594288923</v>
          </cell>
          <cell r="EW49">
            <v>160.46107506950878</v>
          </cell>
          <cell r="EX49">
            <v>170.70968525179856</v>
          </cell>
          <cell r="EY49">
            <v>192.67128626086958</v>
          </cell>
          <cell r="EZ49">
            <v>208.93033576642338</v>
          </cell>
          <cell r="FA49">
            <v>732.77238234860022</v>
          </cell>
        </row>
        <row r="50"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A50">
            <v>0</v>
          </cell>
          <cell r="AB50">
            <v>0</v>
          </cell>
          <cell r="AC50">
            <v>0</v>
          </cell>
          <cell r="AD50">
            <v>0</v>
          </cell>
          <cell r="AE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0</v>
          </cell>
          <cell r="BK50">
            <v>0</v>
          </cell>
          <cell r="BL50">
            <v>0</v>
          </cell>
          <cell r="BM50">
            <v>0</v>
          </cell>
          <cell r="BN50">
            <v>0</v>
          </cell>
          <cell r="BO50">
            <v>0</v>
          </cell>
          <cell r="BU50">
            <v>0</v>
          </cell>
          <cell r="CA50">
            <v>0</v>
          </cell>
          <cell r="CG50">
            <v>0</v>
          </cell>
          <cell r="CM50">
            <v>0</v>
          </cell>
          <cell r="CS50">
            <v>0</v>
          </cell>
          <cell r="CY50">
            <v>0</v>
          </cell>
          <cell r="DE50">
            <v>0</v>
          </cell>
          <cell r="DK50">
            <v>0</v>
          </cell>
          <cell r="DQ50">
            <v>0</v>
          </cell>
          <cell r="DW50">
            <v>0</v>
          </cell>
          <cell r="EC50">
            <v>0</v>
          </cell>
          <cell r="EI50">
            <v>0</v>
          </cell>
          <cell r="EO50">
            <v>0</v>
          </cell>
          <cell r="EU50">
            <v>0</v>
          </cell>
          <cell r="FA50">
            <v>0</v>
          </cell>
        </row>
        <row r="51"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A51">
            <v>0</v>
          </cell>
          <cell r="AB51">
            <v>0</v>
          </cell>
          <cell r="AC51">
            <v>0</v>
          </cell>
          <cell r="AD51">
            <v>0</v>
          </cell>
          <cell r="AE51">
            <v>0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0</v>
          </cell>
          <cell r="BK51">
            <v>0</v>
          </cell>
          <cell r="BL51">
            <v>0</v>
          </cell>
          <cell r="BM51">
            <v>0</v>
          </cell>
          <cell r="BN51">
            <v>0</v>
          </cell>
          <cell r="BO51">
            <v>0</v>
          </cell>
          <cell r="BQ51">
            <v>0</v>
          </cell>
          <cell r="BR51">
            <v>0</v>
          </cell>
          <cell r="BS51">
            <v>0</v>
          </cell>
          <cell r="BT51">
            <v>0</v>
          </cell>
          <cell r="BU51">
            <v>0</v>
          </cell>
          <cell r="BW51">
            <v>0</v>
          </cell>
          <cell r="BX51">
            <v>0</v>
          </cell>
          <cell r="BY51">
            <v>0</v>
          </cell>
          <cell r="BZ51">
            <v>0</v>
          </cell>
          <cell r="CA51">
            <v>0</v>
          </cell>
          <cell r="CC51">
            <v>0</v>
          </cell>
          <cell r="CD51">
            <v>0</v>
          </cell>
          <cell r="CE51">
            <v>0</v>
          </cell>
          <cell r="CF51">
            <v>0</v>
          </cell>
          <cell r="CG51">
            <v>0</v>
          </cell>
          <cell r="CI51">
            <v>0</v>
          </cell>
          <cell r="CJ51">
            <v>0</v>
          </cell>
          <cell r="CK51">
            <v>0</v>
          </cell>
          <cell r="CL51">
            <v>0</v>
          </cell>
          <cell r="CM51">
            <v>0</v>
          </cell>
          <cell r="CO51">
            <v>0</v>
          </cell>
          <cell r="CP51">
            <v>0</v>
          </cell>
          <cell r="CQ51">
            <v>0</v>
          </cell>
          <cell r="CR51">
            <v>0</v>
          </cell>
          <cell r="CS51">
            <v>0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DA51">
            <v>0</v>
          </cell>
          <cell r="DB51">
            <v>0</v>
          </cell>
          <cell r="DC51">
            <v>224</v>
          </cell>
          <cell r="DE51">
            <v>912</v>
          </cell>
          <cell r="DG51">
            <v>680</v>
          </cell>
          <cell r="DH51">
            <v>686</v>
          </cell>
          <cell r="DI51">
            <v>656</v>
          </cell>
          <cell r="DJ51">
            <v>687</v>
          </cell>
          <cell r="DK51">
            <v>2709</v>
          </cell>
          <cell r="DM51">
            <v>656</v>
          </cell>
          <cell r="DN51">
            <v>634</v>
          </cell>
          <cell r="DO51">
            <v>610</v>
          </cell>
          <cell r="DP51">
            <v>604</v>
          </cell>
          <cell r="DQ51">
            <v>2504</v>
          </cell>
          <cell r="DS51">
            <v>578</v>
          </cell>
          <cell r="DT51">
            <v>590</v>
          </cell>
          <cell r="DU51">
            <v>572</v>
          </cell>
          <cell r="DV51">
            <v>586</v>
          </cell>
          <cell r="DW51">
            <v>2326</v>
          </cell>
          <cell r="DY51">
            <v>597</v>
          </cell>
          <cell r="DZ51">
            <v>613</v>
          </cell>
          <cell r="EA51">
            <v>600</v>
          </cell>
          <cell r="EB51">
            <v>597</v>
          </cell>
          <cell r="EC51">
            <v>2407</v>
          </cell>
          <cell r="EE51">
            <v>588</v>
          </cell>
          <cell r="EF51">
            <v>619</v>
          </cell>
          <cell r="EG51">
            <v>588</v>
          </cell>
          <cell r="EH51">
            <v>590</v>
          </cell>
          <cell r="EI51">
            <v>2385</v>
          </cell>
          <cell r="EK51">
            <v>559</v>
          </cell>
          <cell r="EL51">
            <v>550</v>
          </cell>
          <cell r="EM51">
            <v>576.27115200000003</v>
          </cell>
          <cell r="EN51">
            <v>507.66221600000006</v>
          </cell>
          <cell r="EO51">
            <v>2192.933368</v>
          </cell>
          <cell r="EQ51">
            <v>570.88574400000005</v>
          </cell>
          <cell r="ER51">
            <v>568.0318400000001</v>
          </cell>
          <cell r="ES51">
            <v>569.14569840000013</v>
          </cell>
          <cell r="ET51">
            <v>569.82166080000013</v>
          </cell>
          <cell r="EU51">
            <v>2277.8849432000006</v>
          </cell>
          <cell r="EW51">
            <v>569.74494320000008</v>
          </cell>
          <cell r="EX51">
            <v>571.12054560000001</v>
          </cell>
          <cell r="EY51">
            <v>563.36887904000002</v>
          </cell>
          <cell r="EZ51">
            <v>552.25104703999989</v>
          </cell>
          <cell r="FA51">
            <v>2256.48541488</v>
          </cell>
        </row>
        <row r="52"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O52">
            <v>0</v>
          </cell>
          <cell r="P52">
            <v>0</v>
          </cell>
          <cell r="Q52">
            <v>0</v>
          </cell>
          <cell r="R52">
            <v>0</v>
          </cell>
          <cell r="S52">
            <v>0</v>
          </cell>
          <cell r="U52">
            <v>0</v>
          </cell>
          <cell r="V52">
            <v>0</v>
          </cell>
          <cell r="W52">
            <v>0</v>
          </cell>
          <cell r="X52">
            <v>0</v>
          </cell>
          <cell r="Y52">
            <v>0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0</v>
          </cell>
          <cell r="BK52">
            <v>0</v>
          </cell>
          <cell r="BL52">
            <v>0</v>
          </cell>
          <cell r="BM52">
            <v>0</v>
          </cell>
          <cell r="BN52">
            <v>0</v>
          </cell>
          <cell r="BO52">
            <v>0</v>
          </cell>
          <cell r="BQ52">
            <v>0</v>
          </cell>
          <cell r="BR52">
            <v>0</v>
          </cell>
          <cell r="BS52">
            <v>0</v>
          </cell>
          <cell r="BT52">
            <v>0</v>
          </cell>
          <cell r="BU52">
            <v>0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C52">
            <v>0</v>
          </cell>
          <cell r="CD52">
            <v>0</v>
          </cell>
          <cell r="CE52">
            <v>0</v>
          </cell>
          <cell r="CF52">
            <v>0</v>
          </cell>
          <cell r="CG52">
            <v>0</v>
          </cell>
          <cell r="CI52">
            <v>0</v>
          </cell>
          <cell r="CJ52">
            <v>0</v>
          </cell>
          <cell r="CK52">
            <v>0</v>
          </cell>
          <cell r="CL52">
            <v>0</v>
          </cell>
          <cell r="CM52">
            <v>0</v>
          </cell>
          <cell r="CO52">
            <v>0</v>
          </cell>
          <cell r="CP52">
            <v>0</v>
          </cell>
          <cell r="CQ52">
            <v>0</v>
          </cell>
          <cell r="CR52">
            <v>0</v>
          </cell>
          <cell r="CS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DA52">
            <v>0</v>
          </cell>
          <cell r="DB52">
            <v>0</v>
          </cell>
          <cell r="DC52">
            <v>0</v>
          </cell>
          <cell r="DE52">
            <v>0</v>
          </cell>
          <cell r="DG52">
            <v>0</v>
          </cell>
          <cell r="DH52">
            <v>0</v>
          </cell>
          <cell r="DI52">
            <v>0</v>
          </cell>
          <cell r="DJ52">
            <v>-1.4534883720930258E-3</v>
          </cell>
          <cell r="DK52">
            <v>0</v>
          </cell>
          <cell r="DM52">
            <v>-3.5294117647058809E-2</v>
          </cell>
          <cell r="DN52">
            <v>-7.5801749271137031E-2</v>
          </cell>
          <cell r="DO52">
            <v>-7.0121951219512146E-2</v>
          </cell>
          <cell r="DP52">
            <v>-0.12081513828238721</v>
          </cell>
          <cell r="DQ52">
            <v>-7.5673680324843118E-2</v>
          </cell>
          <cell r="DS52">
            <v>-0.11890243902439024</v>
          </cell>
          <cell r="DT52">
            <v>-6.9400630914826511E-2</v>
          </cell>
          <cell r="DU52">
            <v>-6.2295081967213117E-2</v>
          </cell>
          <cell r="DV52">
            <v>-2.9801324503311299E-2</v>
          </cell>
          <cell r="DW52">
            <v>-7.1086261980830678E-2</v>
          </cell>
          <cell r="DY52">
            <v>3.2871972318339049E-2</v>
          </cell>
          <cell r="DZ52">
            <v>3.8983050847457568E-2</v>
          </cell>
          <cell r="EA52">
            <v>4.8951048951048959E-2</v>
          </cell>
          <cell r="EB52">
            <v>1.8771331058020424E-2</v>
          </cell>
          <cell r="EC52">
            <v>3.4823731728288898E-2</v>
          </cell>
          <cell r="EE52">
            <v>-1.5075376884422065E-2</v>
          </cell>
          <cell r="EF52">
            <v>9.7879282218598096E-3</v>
          </cell>
          <cell r="EG52">
            <v>-2.0000000000000018E-2</v>
          </cell>
          <cell r="EH52">
            <v>-1.1725293132328285E-2</v>
          </cell>
          <cell r="EI52">
            <v>-9.1400083090984463E-3</v>
          </cell>
          <cell r="EK52">
            <v>-4.9319727891156462E-2</v>
          </cell>
          <cell r="EL52">
            <v>-0.11147011308562194</v>
          </cell>
          <cell r="EM52">
            <v>-1.9947020408163207E-2</v>
          </cell>
          <cell r="EN52">
            <v>-0.13955556610169484</v>
          </cell>
          <cell r="EO52">
            <v>-8.053108259958075E-2</v>
          </cell>
          <cell r="EQ52">
            <v>2.1262511627907044E-2</v>
          </cell>
          <cell r="ER52">
            <v>3.2785163636363857E-2</v>
          </cell>
          <cell r="ES52">
            <v>-1.2364758456622993E-2</v>
          </cell>
          <cell r="ET52">
            <v>0.12244252741472494</v>
          </cell>
          <cell r="EU52">
            <v>3.8738785427611111E-2</v>
          </cell>
          <cell r="EW52">
            <v>-1.9982996807851316E-3</v>
          </cell>
          <cell r="EX52">
            <v>5.4375571622884422E-3</v>
          </cell>
          <cell r="EY52">
            <v>-1.0149983345635549E-2</v>
          </cell>
          <cell r="EZ52">
            <v>-3.0835285789824196E-2</v>
          </cell>
          <cell r="FA52">
            <v>-9.394472878835658E-3</v>
          </cell>
        </row>
        <row r="53"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O53">
            <v>0</v>
          </cell>
          <cell r="P53">
            <v>0</v>
          </cell>
          <cell r="Q53">
            <v>0</v>
          </cell>
          <cell r="R53">
            <v>0</v>
          </cell>
          <cell r="S53">
            <v>0</v>
          </cell>
          <cell r="U53">
            <v>0</v>
          </cell>
          <cell r="V53">
            <v>0</v>
          </cell>
          <cell r="W53">
            <v>0</v>
          </cell>
          <cell r="X53">
            <v>0</v>
          </cell>
          <cell r="Y53">
            <v>0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0</v>
          </cell>
          <cell r="BK53">
            <v>0</v>
          </cell>
          <cell r="BL53">
            <v>0</v>
          </cell>
          <cell r="BM53">
            <v>0</v>
          </cell>
          <cell r="BN53">
            <v>0</v>
          </cell>
          <cell r="BO53">
            <v>0</v>
          </cell>
          <cell r="BQ53">
            <v>0</v>
          </cell>
          <cell r="BR53">
            <v>0</v>
          </cell>
          <cell r="BS53">
            <v>0</v>
          </cell>
          <cell r="BT53">
            <v>0</v>
          </cell>
          <cell r="BU53">
            <v>0</v>
          </cell>
          <cell r="BW53">
            <v>0</v>
          </cell>
          <cell r="BX53">
            <v>0</v>
          </cell>
          <cell r="BY53">
            <v>0</v>
          </cell>
          <cell r="BZ53">
            <v>0</v>
          </cell>
          <cell r="CA53">
            <v>0</v>
          </cell>
          <cell r="CC53">
            <v>0</v>
          </cell>
          <cell r="CD53">
            <v>0</v>
          </cell>
          <cell r="CE53">
            <v>0</v>
          </cell>
          <cell r="CF53">
            <v>0</v>
          </cell>
          <cell r="CG53">
            <v>0</v>
          </cell>
          <cell r="CI53">
            <v>0</v>
          </cell>
          <cell r="CJ53">
            <v>0</v>
          </cell>
          <cell r="CK53">
            <v>0</v>
          </cell>
          <cell r="CL53">
            <v>0</v>
          </cell>
          <cell r="CM53">
            <v>0</v>
          </cell>
          <cell r="CO53">
            <v>0</v>
          </cell>
          <cell r="CP53">
            <v>0</v>
          </cell>
          <cell r="CQ53">
            <v>0</v>
          </cell>
          <cell r="CR53">
            <v>0</v>
          </cell>
          <cell r="CS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DA53">
            <v>0</v>
          </cell>
          <cell r="DB53">
            <v>0</v>
          </cell>
          <cell r="DC53">
            <v>0</v>
          </cell>
          <cell r="DE53">
            <v>0</v>
          </cell>
          <cell r="DG53">
            <v>-1.1627906976744207E-2</v>
          </cell>
          <cell r="DH53">
            <v>8.8235294117646745E-3</v>
          </cell>
          <cell r="DI53">
            <v>-4.3731778425656009E-2</v>
          </cell>
          <cell r="DJ53">
            <v>4.7256097560975707E-2</v>
          </cell>
          <cell r="DK53">
            <v>0</v>
          </cell>
          <cell r="DM53">
            <v>-4.5123726346433801E-2</v>
          </cell>
          <cell r="DN53">
            <v>-3.3536585365853688E-2</v>
          </cell>
          <cell r="DO53">
            <v>-3.7854889589905349E-2</v>
          </cell>
          <cell r="DP53">
            <v>-9.8360655737704805E-3</v>
          </cell>
          <cell r="DQ53">
            <v>0</v>
          </cell>
          <cell r="DS53">
            <v>-4.3046357615894038E-2</v>
          </cell>
          <cell r="DT53">
            <v>2.076124567474058E-2</v>
          </cell>
          <cell r="DU53">
            <v>-3.050847457627115E-2</v>
          </cell>
          <cell r="DV53">
            <v>2.4475524475524368E-2</v>
          </cell>
          <cell r="DW53">
            <v>0</v>
          </cell>
          <cell r="DY53">
            <v>1.8771331058020424E-2</v>
          </cell>
          <cell r="DZ53">
            <v>2.6800670016750461E-2</v>
          </cell>
          <cell r="EA53">
            <v>-2.1207177814029365E-2</v>
          </cell>
          <cell r="EB53">
            <v>-5.0000000000000044E-3</v>
          </cell>
          <cell r="EC53">
            <v>0</v>
          </cell>
          <cell r="EE53">
            <v>-1.5075376884422065E-2</v>
          </cell>
          <cell r="EF53">
            <v>5.2721088435374153E-2</v>
          </cell>
          <cell r="EG53">
            <v>-5.0080775444264924E-2</v>
          </cell>
          <cell r="EH53">
            <v>3.4013605442175798E-3</v>
          </cell>
          <cell r="EI53">
            <v>0</v>
          </cell>
          <cell r="EK53">
            <v>-5.2542372881355881E-2</v>
          </cell>
          <cell r="EL53">
            <v>-1.610017889087656E-2</v>
          </cell>
          <cell r="EM53">
            <v>4.7765730909090864E-2</v>
          </cell>
          <cell r="EN53">
            <v>-0.1190566901742115</v>
          </cell>
          <cell r="EO53">
            <v>0</v>
          </cell>
          <cell r="EQ53">
            <v>0.12453857310507432</v>
          </cell>
          <cell r="ER53">
            <v>-4.999080866871175E-3</v>
          </cell>
          <cell r="ES53">
            <v>1.960908388515703E-3</v>
          </cell>
          <cell r="ET53">
            <v>1.187679010665077E-3</v>
          </cell>
          <cell r="EU53">
            <v>0</v>
          </cell>
          <cell r="EW53">
            <v>-1.3463440454741793E-4</v>
          </cell>
          <cell r="EX53">
            <v>2.4144179187861603E-3</v>
          </cell>
          <cell r="EY53">
            <v>-1.3572732796464759E-2</v>
          </cell>
          <cell r="EZ53">
            <v>-1.9734551221475494E-2</v>
          </cell>
          <cell r="FA53">
            <v>0</v>
          </cell>
        </row>
        <row r="54"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O54">
            <v>0</v>
          </cell>
          <cell r="P54">
            <v>0</v>
          </cell>
          <cell r="Q54">
            <v>0</v>
          </cell>
          <cell r="R54">
            <v>0</v>
          </cell>
          <cell r="S54">
            <v>0</v>
          </cell>
          <cell r="U54">
            <v>0</v>
          </cell>
          <cell r="V54">
            <v>0</v>
          </cell>
          <cell r="W54">
            <v>0</v>
          </cell>
          <cell r="X54">
            <v>0</v>
          </cell>
          <cell r="Y54">
            <v>0</v>
          </cell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0</v>
          </cell>
          <cell r="BK54">
            <v>0</v>
          </cell>
          <cell r="BL54">
            <v>0</v>
          </cell>
          <cell r="BM54">
            <v>0</v>
          </cell>
          <cell r="BN54">
            <v>0</v>
          </cell>
          <cell r="BO54">
            <v>0</v>
          </cell>
          <cell r="BQ54">
            <v>0</v>
          </cell>
          <cell r="BR54">
            <v>0</v>
          </cell>
          <cell r="BS54">
            <v>0</v>
          </cell>
          <cell r="BT54">
            <v>0</v>
          </cell>
          <cell r="BU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  <cell r="CI54">
            <v>0</v>
          </cell>
          <cell r="CJ54">
            <v>0</v>
          </cell>
          <cell r="CK54">
            <v>0</v>
          </cell>
          <cell r="CL54">
            <v>0</v>
          </cell>
          <cell r="CM54">
            <v>0</v>
          </cell>
          <cell r="CO54">
            <v>0</v>
          </cell>
          <cell r="CP54">
            <v>0</v>
          </cell>
          <cell r="CQ54">
            <v>0</v>
          </cell>
          <cell r="CR54">
            <v>0</v>
          </cell>
          <cell r="CS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DA54">
            <v>0</v>
          </cell>
          <cell r="DB54">
            <v>0</v>
          </cell>
          <cell r="DC54">
            <v>0</v>
          </cell>
          <cell r="DE54">
            <v>0</v>
          </cell>
          <cell r="DG54">
            <v>0</v>
          </cell>
          <cell r="DH54">
            <v>0</v>
          </cell>
          <cell r="DI54">
            <v>0</v>
          </cell>
          <cell r="DJ54">
            <v>2.0302591555078176E-2</v>
          </cell>
          <cell r="DK54">
            <v>0</v>
          </cell>
          <cell r="DM54">
            <v>1.9934625624412249E-2</v>
          </cell>
          <cell r="DN54">
            <v>2.0854877092476392E-2</v>
          </cell>
          <cell r="DO54">
            <v>2.0883384080843774E-2</v>
          </cell>
          <cell r="DP54">
            <v>2.0903610007449353E-2</v>
          </cell>
          <cell r="DQ54">
            <v>0</v>
          </cell>
          <cell r="DS54">
            <v>2.0871413128932689E-2</v>
          </cell>
          <cell r="DT54">
            <v>2.3620543159813972E-2</v>
          </cell>
          <cell r="DU54">
            <v>2.4190276600043054E-2</v>
          </cell>
          <cell r="DV54">
            <v>2.5140329498574792E-2</v>
          </cell>
          <cell r="DW54">
            <v>0</v>
          </cell>
          <cell r="DY54">
            <v>2.6874348459632293E-2</v>
          </cell>
          <cell r="DZ54">
            <v>3.0976621063392513E-2</v>
          </cell>
          <cell r="EA54">
            <v>3.1587876259924652E-2</v>
          </cell>
          <cell r="EB54">
            <v>3.0486403676752202E-2</v>
          </cell>
          <cell r="EC54">
            <v>0</v>
          </cell>
          <cell r="EE54">
            <v>3.099059214167128E-2</v>
          </cell>
          <cell r="EF54">
            <v>3.6362568289960644E-2</v>
          </cell>
          <cell r="EG54">
            <v>3.3673118772191042E-2</v>
          </cell>
          <cell r="EH54">
            <v>3.4610195342288964E-2</v>
          </cell>
          <cell r="EI54">
            <v>0</v>
          </cell>
          <cell r="EK54">
            <v>3.1514263163829069E-2</v>
          </cell>
          <cell r="EL54">
            <v>3.437714857178574E-2</v>
          </cell>
          <cell r="EM54">
            <v>3.6999999999999998E-2</v>
          </cell>
          <cell r="EN54">
            <v>3.3500000000000002E-2</v>
          </cell>
          <cell r="EO54">
            <v>0</v>
          </cell>
          <cell r="EQ54">
            <v>3.9E-2</v>
          </cell>
          <cell r="ER54">
            <v>0.04</v>
          </cell>
          <cell r="ES54">
            <v>4.1000000000000002E-2</v>
          </cell>
          <cell r="ET54">
            <v>4.2000000000000003E-2</v>
          </cell>
          <cell r="EU54">
            <v>0</v>
          </cell>
          <cell r="EW54">
            <v>4.2999999999999997E-2</v>
          </cell>
          <cell r="EX54">
            <v>4.3999999999999997E-2</v>
          </cell>
          <cell r="EY54">
            <v>4.3999999999999997E-2</v>
          </cell>
          <cell r="EZ54">
            <v>4.3999999999999997E-2</v>
          </cell>
          <cell r="FA54">
            <v>0</v>
          </cell>
        </row>
        <row r="55"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O55">
            <v>0</v>
          </cell>
          <cell r="P55">
            <v>0</v>
          </cell>
          <cell r="Q55">
            <v>0</v>
          </cell>
          <cell r="R55">
            <v>0</v>
          </cell>
          <cell r="S55">
            <v>0</v>
          </cell>
          <cell r="U55">
            <v>0</v>
          </cell>
          <cell r="V55">
            <v>0</v>
          </cell>
          <cell r="W55">
            <v>0</v>
          </cell>
          <cell r="X55">
            <v>0</v>
          </cell>
          <cell r="Y55">
            <v>0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0</v>
          </cell>
          <cell r="BK55">
            <v>0</v>
          </cell>
          <cell r="BL55">
            <v>0</v>
          </cell>
          <cell r="BM55">
            <v>0</v>
          </cell>
          <cell r="BN55">
            <v>0</v>
          </cell>
          <cell r="BO55">
            <v>0</v>
          </cell>
          <cell r="BQ55">
            <v>0</v>
          </cell>
          <cell r="BR55">
            <v>0</v>
          </cell>
          <cell r="BS55">
            <v>0</v>
          </cell>
          <cell r="BT55">
            <v>0</v>
          </cell>
          <cell r="BU55">
            <v>0</v>
          </cell>
          <cell r="BW55">
            <v>0</v>
          </cell>
          <cell r="BX55">
            <v>0</v>
          </cell>
          <cell r="BY55">
            <v>0</v>
          </cell>
          <cell r="BZ55">
            <v>0</v>
          </cell>
          <cell r="CA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  <cell r="CI55">
            <v>0</v>
          </cell>
          <cell r="CJ55">
            <v>0</v>
          </cell>
          <cell r="CK55">
            <v>0</v>
          </cell>
          <cell r="CL55">
            <v>0</v>
          </cell>
          <cell r="CM55">
            <v>0</v>
          </cell>
          <cell r="CO55">
            <v>0</v>
          </cell>
          <cell r="CP55">
            <v>0</v>
          </cell>
          <cell r="CQ55">
            <v>0</v>
          </cell>
          <cell r="CR55">
            <v>0</v>
          </cell>
          <cell r="CS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DA55">
            <v>0</v>
          </cell>
          <cell r="DB55">
            <v>0</v>
          </cell>
          <cell r="DC55">
            <v>0</v>
          </cell>
          <cell r="DE55">
            <v>0</v>
          </cell>
          <cell r="DG55">
            <v>0</v>
          </cell>
          <cell r="DH55">
            <v>0</v>
          </cell>
          <cell r="DI55">
            <v>0</v>
          </cell>
          <cell r="DJ55">
            <v>0</v>
          </cell>
          <cell r="DK55">
            <v>0</v>
          </cell>
          <cell r="DM55">
            <v>0</v>
          </cell>
          <cell r="DN55">
            <v>0</v>
          </cell>
          <cell r="DO55">
            <v>0</v>
          </cell>
          <cell r="DP55">
            <v>0</v>
          </cell>
          <cell r="DQ55">
            <v>0</v>
          </cell>
          <cell r="DS55">
            <v>0</v>
          </cell>
          <cell r="DT55">
            <v>0</v>
          </cell>
          <cell r="DU55">
            <v>0</v>
          </cell>
          <cell r="DV55">
            <v>0</v>
          </cell>
          <cell r="DW55">
            <v>0</v>
          </cell>
          <cell r="DY55">
            <v>0</v>
          </cell>
          <cell r="DZ55">
            <v>0</v>
          </cell>
          <cell r="EA55">
            <v>0</v>
          </cell>
          <cell r="EB55">
            <v>0</v>
          </cell>
          <cell r="EC55">
            <v>0</v>
          </cell>
          <cell r="EE55">
            <v>0</v>
          </cell>
          <cell r="EF55">
            <v>0</v>
          </cell>
          <cell r="EG55">
            <v>0</v>
          </cell>
          <cell r="EH55">
            <v>0</v>
          </cell>
          <cell r="EI55">
            <v>0</v>
          </cell>
          <cell r="EK55">
            <v>0</v>
          </cell>
          <cell r="EL55">
            <v>0</v>
          </cell>
          <cell r="EM55">
            <v>0</v>
          </cell>
          <cell r="EN55">
            <v>0</v>
          </cell>
          <cell r="EO55">
            <v>0</v>
          </cell>
          <cell r="EQ55">
            <v>0</v>
          </cell>
          <cell r="ER55">
            <v>0</v>
          </cell>
          <cell r="ES55">
            <v>0</v>
          </cell>
          <cell r="ET55">
            <v>0</v>
          </cell>
          <cell r="EU55">
            <v>0</v>
          </cell>
          <cell r="EW55">
            <v>0</v>
          </cell>
          <cell r="EX55">
            <v>0</v>
          </cell>
          <cell r="EY55">
            <v>0</v>
          </cell>
          <cell r="EZ55">
            <v>0</v>
          </cell>
          <cell r="FA55">
            <v>0</v>
          </cell>
        </row>
        <row r="56">
          <cell r="C56" t="str">
            <v>-</v>
          </cell>
          <cell r="D56" t="str">
            <v>-</v>
          </cell>
          <cell r="E56" t="str">
            <v>-</v>
          </cell>
          <cell r="F56" t="str">
            <v>-</v>
          </cell>
          <cell r="G56" t="str">
            <v>-</v>
          </cell>
          <cell r="H56" t="str">
            <v>-</v>
          </cell>
          <cell r="I56" t="str">
            <v>-</v>
          </cell>
          <cell r="J56" t="str">
            <v>-</v>
          </cell>
          <cell r="K56" t="str">
            <v>-</v>
          </cell>
          <cell r="L56" t="str">
            <v>-</v>
          </cell>
          <cell r="M56" t="str">
            <v>-</v>
          </cell>
          <cell r="O56" t="str">
            <v>-</v>
          </cell>
          <cell r="P56" t="str">
            <v>-</v>
          </cell>
          <cell r="Q56" t="str">
            <v>-</v>
          </cell>
          <cell r="R56" t="str">
            <v>-</v>
          </cell>
          <cell r="S56" t="str">
            <v>-</v>
          </cell>
          <cell r="U56" t="str">
            <v>-</v>
          </cell>
          <cell r="V56" t="str">
            <v>-</v>
          </cell>
          <cell r="W56" t="str">
            <v>-</v>
          </cell>
          <cell r="X56" t="str">
            <v>-</v>
          </cell>
          <cell r="Y56" t="str">
            <v>-</v>
          </cell>
          <cell r="AA56">
            <v>303.18700000000001</v>
          </cell>
          <cell r="AB56">
            <v>369.81599999999997</v>
          </cell>
          <cell r="AC56">
            <v>358.767</v>
          </cell>
          <cell r="AD56">
            <v>435.92099999999999</v>
          </cell>
          <cell r="AE56">
            <v>1467.691</v>
          </cell>
          <cell r="AG56">
            <v>433.05700000000002</v>
          </cell>
          <cell r="AH56">
            <v>540.60500000000002</v>
          </cell>
          <cell r="AI56">
            <v>526.24099999999999</v>
          </cell>
          <cell r="AJ56">
            <v>656.35599999999999</v>
          </cell>
          <cell r="AK56">
            <v>2156.259</v>
          </cell>
          <cell r="AM56">
            <v>641.79</v>
          </cell>
          <cell r="AN56">
            <v>722.07600000000002</v>
          </cell>
          <cell r="AO56">
            <v>669.58500000000004</v>
          </cell>
          <cell r="AP56">
            <v>759.91099999999994</v>
          </cell>
          <cell r="AQ56">
            <v>2793.3620000000001</v>
          </cell>
          <cell r="AS56">
            <v>576.73412000000008</v>
          </cell>
          <cell r="AT56">
            <v>585.36892</v>
          </cell>
          <cell r="AU56">
            <v>513.38839999999993</v>
          </cell>
          <cell r="AV56">
            <v>574.30192000000011</v>
          </cell>
          <cell r="AW56">
            <v>2249.7933599999997</v>
          </cell>
          <cell r="AY56">
            <v>549.44399999999996</v>
          </cell>
          <cell r="AZ56">
            <v>580.52099999999996</v>
          </cell>
          <cell r="BA56">
            <v>562.64599999999996</v>
          </cell>
          <cell r="BB56">
            <v>564.61900000000003</v>
          </cell>
          <cell r="BC56">
            <v>2257.23</v>
          </cell>
          <cell r="BE56">
            <v>524.67499999999995</v>
          </cell>
          <cell r="BF56">
            <v>510.93700000000001</v>
          </cell>
          <cell r="BG56">
            <v>458.81299999999999</v>
          </cell>
          <cell r="BH56">
            <v>487.37200000000001</v>
          </cell>
          <cell r="BI56">
            <v>1981.7970000000003</v>
          </cell>
          <cell r="BK56">
            <v>432</v>
          </cell>
          <cell r="BL56">
            <v>455</v>
          </cell>
          <cell r="BM56">
            <v>430</v>
          </cell>
          <cell r="BN56">
            <v>444</v>
          </cell>
          <cell r="BO56">
            <v>1761</v>
          </cell>
          <cell r="BQ56">
            <v>397</v>
          </cell>
          <cell r="BR56">
            <v>396</v>
          </cell>
          <cell r="BS56">
            <v>374</v>
          </cell>
          <cell r="BT56">
            <v>422</v>
          </cell>
          <cell r="BU56">
            <v>1589</v>
          </cell>
          <cell r="BW56">
            <v>355</v>
          </cell>
          <cell r="BX56">
            <v>395</v>
          </cell>
          <cell r="BY56">
            <v>470</v>
          </cell>
          <cell r="BZ56">
            <v>589</v>
          </cell>
          <cell r="CA56">
            <v>1809</v>
          </cell>
          <cell r="CC56">
            <v>481</v>
          </cell>
          <cell r="CD56">
            <v>506</v>
          </cell>
          <cell r="CE56">
            <v>501</v>
          </cell>
          <cell r="CF56">
            <v>632</v>
          </cell>
          <cell r="CG56">
            <v>2120</v>
          </cell>
          <cell r="CI56">
            <v>640</v>
          </cell>
          <cell r="CJ56">
            <v>716</v>
          </cell>
          <cell r="CK56">
            <v>694</v>
          </cell>
          <cell r="CL56">
            <v>819</v>
          </cell>
          <cell r="CM56">
            <v>2869</v>
          </cell>
          <cell r="CO56">
            <v>801</v>
          </cell>
          <cell r="CP56">
            <v>877</v>
          </cell>
          <cell r="CQ56">
            <v>843</v>
          </cell>
          <cell r="CR56">
            <v>957</v>
          </cell>
          <cell r="CS56">
            <v>3478</v>
          </cell>
          <cell r="CU56">
            <v>865</v>
          </cell>
          <cell r="CV56">
            <v>842</v>
          </cell>
          <cell r="CW56">
            <v>758</v>
          </cell>
          <cell r="CX56">
            <v>782</v>
          </cell>
          <cell r="CY56">
            <v>3247</v>
          </cell>
          <cell r="DA56">
            <v>663</v>
          </cell>
          <cell r="DB56">
            <v>692</v>
          </cell>
          <cell r="DC56">
            <v>651</v>
          </cell>
          <cell r="DE56">
            <v>2719</v>
          </cell>
          <cell r="DG56">
            <v>666</v>
          </cell>
          <cell r="DH56">
            <v>738</v>
          </cell>
          <cell r="DI56">
            <v>722</v>
          </cell>
          <cell r="DJ56">
            <v>787</v>
          </cell>
          <cell r="DK56">
            <v>2913</v>
          </cell>
          <cell r="DM56">
            <v>727.41899999999998</v>
          </cell>
          <cell r="DN56">
            <v>740.68799999999999</v>
          </cell>
          <cell r="DO56">
            <v>706.81920000000002</v>
          </cell>
          <cell r="DP56">
            <v>735.59069999999997</v>
          </cell>
          <cell r="DQ56">
            <v>2910.5168999999996</v>
          </cell>
          <cell r="DS56">
            <v>711.89819999999997</v>
          </cell>
          <cell r="DT56">
            <v>723.46559999999999</v>
          </cell>
          <cell r="DU56">
            <v>694.33</v>
          </cell>
          <cell r="DV56">
            <v>714.25200000000007</v>
          </cell>
          <cell r="DW56">
            <v>2843.9458</v>
          </cell>
          <cell r="DY56">
            <v>679.6875</v>
          </cell>
          <cell r="DZ56">
            <v>688.34</v>
          </cell>
          <cell r="EA56">
            <v>677.846</v>
          </cell>
          <cell r="EB56">
            <v>682.62</v>
          </cell>
          <cell r="EC56">
            <v>2728.4935</v>
          </cell>
          <cell r="EE56">
            <v>671.06600000000003</v>
          </cell>
          <cell r="EF56">
            <v>687.32399999999996</v>
          </cell>
          <cell r="EG56">
            <v>668.81999999999994</v>
          </cell>
          <cell r="EH56">
            <v>638.4</v>
          </cell>
          <cell r="EI56">
            <v>2665.6099999999997</v>
          </cell>
          <cell r="EK56">
            <v>617.52599999999995</v>
          </cell>
          <cell r="EL56">
            <v>614.09949999999992</v>
          </cell>
          <cell r="EM56">
            <v>591.4196199999999</v>
          </cell>
          <cell r="EN56">
            <v>577.57791999999995</v>
          </cell>
          <cell r="EO56">
            <v>2400.6230399999995</v>
          </cell>
          <cell r="EQ56">
            <v>568.5400075</v>
          </cell>
          <cell r="ER56">
            <v>581.74532499999998</v>
          </cell>
          <cell r="ES56">
            <v>570.84469960000001</v>
          </cell>
          <cell r="ET56">
            <v>568.49825759999999</v>
          </cell>
          <cell r="EU56">
            <v>2289.6282897000001</v>
          </cell>
          <cell r="EW56">
            <v>563.28046970624985</v>
          </cell>
          <cell r="EX56">
            <v>581.58920362499998</v>
          </cell>
          <cell r="EY56">
            <v>574.69528850174993</v>
          </cell>
          <cell r="EZ56">
            <v>576.89453165174996</v>
          </cell>
          <cell r="FA56">
            <v>2296.4594934847501</v>
          </cell>
        </row>
        <row r="57">
          <cell r="C57" t="str">
            <v>-</v>
          </cell>
          <cell r="D57" t="str">
            <v>-</v>
          </cell>
          <cell r="E57" t="str">
            <v>-</v>
          </cell>
          <cell r="F57" t="str">
            <v>-</v>
          </cell>
          <cell r="G57" t="str">
            <v>-</v>
          </cell>
          <cell r="H57" t="str">
            <v>-</v>
          </cell>
          <cell r="I57" t="str">
            <v>-</v>
          </cell>
          <cell r="J57" t="str">
            <v>-</v>
          </cell>
          <cell r="K57" t="str">
            <v>-</v>
          </cell>
          <cell r="L57" t="str">
            <v>-</v>
          </cell>
          <cell r="M57" t="str">
            <v>-</v>
          </cell>
          <cell r="O57" t="str">
            <v>-</v>
          </cell>
          <cell r="P57" t="str">
            <v>-</v>
          </cell>
          <cell r="Q57" t="str">
            <v>-</v>
          </cell>
          <cell r="R57" t="str">
            <v>-</v>
          </cell>
          <cell r="S57" t="str">
            <v>-</v>
          </cell>
          <cell r="U57" t="str">
            <v>-</v>
          </cell>
          <cell r="V57" t="str">
            <v>-</v>
          </cell>
          <cell r="W57" t="str">
            <v>-</v>
          </cell>
          <cell r="X57" t="str">
            <v>-</v>
          </cell>
          <cell r="Y57" t="str">
            <v>-</v>
          </cell>
          <cell r="AA57" t="str">
            <v>-</v>
          </cell>
          <cell r="AB57" t="str">
            <v>-</v>
          </cell>
          <cell r="AC57" t="str">
            <v>-</v>
          </cell>
          <cell r="AD57" t="str">
            <v>-</v>
          </cell>
          <cell r="AE57" t="str">
            <v>-</v>
          </cell>
          <cell r="AG57" t="str">
            <v>-</v>
          </cell>
          <cell r="AH57" t="str">
            <v>-</v>
          </cell>
          <cell r="AI57" t="str">
            <v>-</v>
          </cell>
          <cell r="AJ57" t="str">
            <v>-</v>
          </cell>
          <cell r="AK57" t="str">
            <v>-</v>
          </cell>
          <cell r="AM57" t="str">
            <v>-</v>
          </cell>
          <cell r="AN57" t="str">
            <v>-</v>
          </cell>
          <cell r="AO57" t="str">
            <v>-</v>
          </cell>
          <cell r="AP57" t="str">
            <v>-</v>
          </cell>
          <cell r="AQ57" t="str">
            <v>-</v>
          </cell>
          <cell r="AS57" t="str">
            <v>-</v>
          </cell>
          <cell r="AT57" t="str">
            <v>-</v>
          </cell>
          <cell r="AU57" t="str">
            <v>-</v>
          </cell>
          <cell r="AV57" t="str">
            <v>-</v>
          </cell>
          <cell r="AW57" t="str">
            <v>-</v>
          </cell>
          <cell r="AY57" t="str">
            <v>-</v>
          </cell>
          <cell r="AZ57" t="str">
            <v>-</v>
          </cell>
          <cell r="BA57" t="str">
            <v>-</v>
          </cell>
          <cell r="BB57" t="str">
            <v>-</v>
          </cell>
          <cell r="BC57">
            <v>284</v>
          </cell>
          <cell r="BE57">
            <v>77.664000000000001</v>
          </cell>
          <cell r="BF57">
            <v>83.200999999999993</v>
          </cell>
          <cell r="BG57">
            <v>74.867000000000004</v>
          </cell>
          <cell r="BH57">
            <v>84.872</v>
          </cell>
          <cell r="BI57">
            <v>320.60400000000004</v>
          </cell>
          <cell r="BK57">
            <v>64</v>
          </cell>
          <cell r="BL57">
            <v>64</v>
          </cell>
          <cell r="BM57">
            <v>63</v>
          </cell>
          <cell r="BN57">
            <v>66</v>
          </cell>
          <cell r="BO57">
            <v>257</v>
          </cell>
          <cell r="BQ57">
            <v>60</v>
          </cell>
          <cell r="BR57">
            <v>65</v>
          </cell>
          <cell r="BS57">
            <v>62</v>
          </cell>
          <cell r="BT57">
            <v>71</v>
          </cell>
          <cell r="BU57">
            <v>258</v>
          </cell>
          <cell r="BW57">
            <v>71</v>
          </cell>
          <cell r="BX57">
            <v>72</v>
          </cell>
          <cell r="BY57">
            <v>76</v>
          </cell>
          <cell r="BZ57">
            <v>80</v>
          </cell>
          <cell r="CA57">
            <v>299</v>
          </cell>
          <cell r="CC57">
            <v>84</v>
          </cell>
          <cell r="CD57">
            <v>87</v>
          </cell>
          <cell r="CE57">
            <v>96</v>
          </cell>
          <cell r="CF57">
            <v>130</v>
          </cell>
          <cell r="CG57">
            <v>397</v>
          </cell>
          <cell r="CI57">
            <v>125</v>
          </cell>
          <cell r="CJ57">
            <v>140</v>
          </cell>
          <cell r="CK57">
            <v>142</v>
          </cell>
          <cell r="CL57">
            <v>151</v>
          </cell>
          <cell r="CM57">
            <v>558</v>
          </cell>
          <cell r="CO57">
            <v>158</v>
          </cell>
          <cell r="CP57">
            <v>167</v>
          </cell>
          <cell r="CQ57">
            <v>174</v>
          </cell>
          <cell r="CR57">
            <v>194</v>
          </cell>
          <cell r="CS57">
            <v>693</v>
          </cell>
          <cell r="CU57">
            <v>195</v>
          </cell>
          <cell r="CV57">
            <v>189</v>
          </cell>
          <cell r="CW57">
            <v>191</v>
          </cell>
          <cell r="CX57">
            <v>204</v>
          </cell>
          <cell r="CY57">
            <v>779</v>
          </cell>
          <cell r="DA57">
            <v>180</v>
          </cell>
          <cell r="DB57">
            <v>188</v>
          </cell>
          <cell r="DC57">
            <v>211</v>
          </cell>
          <cell r="DE57">
            <v>874</v>
          </cell>
          <cell r="DG57">
            <v>321</v>
          </cell>
          <cell r="DH57">
            <v>350</v>
          </cell>
          <cell r="DI57">
            <v>341</v>
          </cell>
          <cell r="DJ57">
            <v>367</v>
          </cell>
          <cell r="DK57">
            <v>1379</v>
          </cell>
          <cell r="DM57">
            <v>387.327</v>
          </cell>
          <cell r="DN57">
            <v>375.09199999999998</v>
          </cell>
          <cell r="DO57">
            <v>347.61599999999999</v>
          </cell>
          <cell r="DP57">
            <v>377.226</v>
          </cell>
          <cell r="DQ57">
            <v>1487.261</v>
          </cell>
          <cell r="DS57">
            <v>222.25580000000005</v>
          </cell>
          <cell r="DT57">
            <v>222.88639999999995</v>
          </cell>
          <cell r="DU57">
            <v>176.578</v>
          </cell>
          <cell r="DV57">
            <v>184.99399999999986</v>
          </cell>
          <cell r="DW57">
            <v>806.71419999999989</v>
          </cell>
          <cell r="DY57">
            <v>183.93749999999994</v>
          </cell>
          <cell r="DZ57">
            <v>216.46</v>
          </cell>
          <cell r="EA57">
            <v>151.48900000000006</v>
          </cell>
          <cell r="EB57">
            <v>202.32999999999998</v>
          </cell>
          <cell r="EC57">
            <v>754.2165</v>
          </cell>
          <cell r="EE57">
            <v>176.5157931034482</v>
          </cell>
          <cell r="EF57">
            <v>211.99346125461253</v>
          </cell>
          <cell r="EG57">
            <v>143.3072104637337</v>
          </cell>
          <cell r="EH57">
            <v>184.89053587647589</v>
          </cell>
          <cell r="EI57">
            <v>716.70700069827035</v>
          </cell>
          <cell r="EK57">
            <v>157.42999999999992</v>
          </cell>
          <cell r="EL57">
            <v>154.815</v>
          </cell>
          <cell r="EM57">
            <v>120.8955888109394</v>
          </cell>
          <cell r="EN57">
            <v>163.08540003633055</v>
          </cell>
          <cell r="EO57">
            <v>596.22598884726983</v>
          </cell>
          <cell r="EQ57">
            <v>140.00969974137925</v>
          </cell>
          <cell r="ER57">
            <v>141.64233999999999</v>
          </cell>
          <cell r="ES57">
            <v>110.66358305053512</v>
          </cell>
          <cell r="ET57">
            <v>156.10282050681192</v>
          </cell>
          <cell r="EU57">
            <v>548.41844329872629</v>
          </cell>
          <cell r="EW57">
            <v>133.46949440366367</v>
          </cell>
          <cell r="EX57">
            <v>136.22810174999998</v>
          </cell>
          <cell r="EY57">
            <v>104.89384873367258</v>
          </cell>
          <cell r="EZ57">
            <v>153.59208028922438</v>
          </cell>
          <cell r="FA57">
            <v>528.18352517656058</v>
          </cell>
        </row>
        <row r="58">
          <cell r="C58" t="str">
            <v>-</v>
          </cell>
          <cell r="D58" t="str">
            <v>-</v>
          </cell>
          <cell r="E58" t="str">
            <v>-</v>
          </cell>
          <cell r="F58" t="str">
            <v>-</v>
          </cell>
          <cell r="G58" t="str">
            <v>-</v>
          </cell>
          <cell r="H58" t="str">
            <v>-</v>
          </cell>
          <cell r="I58" t="str">
            <v>-</v>
          </cell>
          <cell r="J58" t="str">
            <v>-</v>
          </cell>
          <cell r="K58" t="str">
            <v>-</v>
          </cell>
          <cell r="L58" t="str">
            <v>-</v>
          </cell>
          <cell r="M58" t="str">
            <v>-</v>
          </cell>
          <cell r="O58" t="str">
            <v>-</v>
          </cell>
          <cell r="P58" t="str">
            <v>-</v>
          </cell>
          <cell r="Q58" t="str">
            <v>-</v>
          </cell>
          <cell r="R58" t="str">
            <v>-</v>
          </cell>
          <cell r="S58" t="str">
            <v>-</v>
          </cell>
          <cell r="U58" t="str">
            <v>-</v>
          </cell>
          <cell r="V58" t="str">
            <v>-</v>
          </cell>
          <cell r="W58" t="str">
            <v>-</v>
          </cell>
          <cell r="X58" t="str">
            <v>-</v>
          </cell>
          <cell r="Y58" t="str">
            <v>-</v>
          </cell>
          <cell r="AA58" t="str">
            <v>-</v>
          </cell>
          <cell r="AB58" t="str">
            <v>-</v>
          </cell>
          <cell r="AC58" t="str">
            <v>-</v>
          </cell>
          <cell r="AD58" t="str">
            <v>-</v>
          </cell>
          <cell r="AE58" t="str">
            <v>-</v>
          </cell>
          <cell r="AG58" t="str">
            <v>-</v>
          </cell>
          <cell r="AH58" t="str">
            <v>-</v>
          </cell>
          <cell r="AI58" t="str">
            <v>-</v>
          </cell>
          <cell r="AJ58" t="str">
            <v>-</v>
          </cell>
          <cell r="AK58" t="str">
            <v>-</v>
          </cell>
          <cell r="AM58" t="str">
            <v>-</v>
          </cell>
          <cell r="AN58" t="str">
            <v>-</v>
          </cell>
          <cell r="AO58" t="str">
            <v>-</v>
          </cell>
          <cell r="AP58" t="str">
            <v>-</v>
          </cell>
          <cell r="AQ58" t="str">
            <v>-</v>
          </cell>
          <cell r="AS58">
            <v>108.18688</v>
          </cell>
          <cell r="AT58">
            <v>113.54008</v>
          </cell>
          <cell r="AU58">
            <v>110.24360000000001</v>
          </cell>
          <cell r="AV58">
            <v>122.69607999999997</v>
          </cell>
          <cell r="AW58">
            <v>454.66663999999997</v>
          </cell>
          <cell r="AY58">
            <v>88.903999999999996</v>
          </cell>
          <cell r="AZ58">
            <v>112.11499999999999</v>
          </cell>
          <cell r="BA58">
            <v>95.613</v>
          </cell>
          <cell r="BB58">
            <v>115.083</v>
          </cell>
          <cell r="BC58">
            <v>411.71500000000003</v>
          </cell>
          <cell r="BE58">
            <v>88.119</v>
          </cell>
          <cell r="BF58">
            <v>85.84</v>
          </cell>
          <cell r="BG58">
            <v>63.664999999999999</v>
          </cell>
          <cell r="BH58">
            <v>79.578000000000003</v>
          </cell>
          <cell r="BI58">
            <v>317.202</v>
          </cell>
          <cell r="BK58">
            <v>64</v>
          </cell>
          <cell r="BL58">
            <v>71</v>
          </cell>
          <cell r="BM58">
            <v>54</v>
          </cell>
          <cell r="BN58">
            <v>69</v>
          </cell>
          <cell r="BO58">
            <v>258</v>
          </cell>
          <cell r="BQ58">
            <v>56</v>
          </cell>
          <cell r="BR58">
            <v>68</v>
          </cell>
          <cell r="BS58">
            <v>50</v>
          </cell>
          <cell r="BT58">
            <v>65</v>
          </cell>
          <cell r="BU58">
            <v>239</v>
          </cell>
          <cell r="BW58">
            <v>50</v>
          </cell>
          <cell r="BX58">
            <v>66</v>
          </cell>
          <cell r="BY58">
            <v>68</v>
          </cell>
          <cell r="BZ58">
            <v>86</v>
          </cell>
          <cell r="CA58">
            <v>270</v>
          </cell>
          <cell r="CC58">
            <v>72</v>
          </cell>
          <cell r="CD58">
            <v>82</v>
          </cell>
          <cell r="CE58">
            <v>74</v>
          </cell>
          <cell r="CF58">
            <v>95</v>
          </cell>
          <cell r="CG58">
            <v>323</v>
          </cell>
          <cell r="CI58">
            <v>81</v>
          </cell>
          <cell r="CJ58">
            <v>93</v>
          </cell>
          <cell r="CK58">
            <v>80</v>
          </cell>
          <cell r="CL58">
            <v>105</v>
          </cell>
          <cell r="CM58">
            <v>359</v>
          </cell>
          <cell r="CO58">
            <v>100</v>
          </cell>
          <cell r="CP58">
            <v>110</v>
          </cell>
          <cell r="CQ58">
            <v>92</v>
          </cell>
          <cell r="CR58">
            <v>114</v>
          </cell>
          <cell r="CS58">
            <v>416</v>
          </cell>
          <cell r="CU58">
            <v>99</v>
          </cell>
          <cell r="CV58">
            <v>100</v>
          </cell>
          <cell r="CW58">
            <v>71</v>
          </cell>
          <cell r="CX58">
            <v>79</v>
          </cell>
          <cell r="CY58">
            <v>349</v>
          </cell>
          <cell r="DA58">
            <v>66</v>
          </cell>
          <cell r="DB58">
            <v>78</v>
          </cell>
          <cell r="DC58">
            <v>69</v>
          </cell>
          <cell r="DE58">
            <v>313</v>
          </cell>
          <cell r="DG58">
            <v>81</v>
          </cell>
          <cell r="DH58">
            <v>97</v>
          </cell>
          <cell r="DI58">
            <v>83</v>
          </cell>
          <cell r="DJ58">
            <v>94</v>
          </cell>
          <cell r="DK58">
            <v>355</v>
          </cell>
          <cell r="DM58">
            <v>65.254000000000019</v>
          </cell>
          <cell r="DN58">
            <v>64.220000000000027</v>
          </cell>
          <cell r="DO58">
            <v>86.903999999999996</v>
          </cell>
          <cell r="DP58">
            <v>89.342999999999989</v>
          </cell>
          <cell r="DQ58">
            <v>305.721</v>
          </cell>
          <cell r="DS58">
            <v>60.846000000000004</v>
          </cell>
          <cell r="DT58">
            <v>63.648000000000003</v>
          </cell>
          <cell r="DU58">
            <v>64.091999999999999</v>
          </cell>
          <cell r="DV58">
            <v>75.754000000000005</v>
          </cell>
          <cell r="DW58">
            <v>264.34000000000003</v>
          </cell>
          <cell r="DY58">
            <v>54.375</v>
          </cell>
          <cell r="DZ58">
            <v>54.2</v>
          </cell>
          <cell r="EA58">
            <v>54.664999999999999</v>
          </cell>
          <cell r="EB58">
            <v>55.050000000000004</v>
          </cell>
          <cell r="EC58">
            <v>218.29000000000002</v>
          </cell>
          <cell r="EE58">
            <v>53.241600000000005</v>
          </cell>
          <cell r="EF58">
            <v>53.644800000000004</v>
          </cell>
          <cell r="EG58">
            <v>53.505600000000008</v>
          </cell>
          <cell r="EH58">
            <v>51.072000000000003</v>
          </cell>
          <cell r="EI58">
            <v>211.46400000000003</v>
          </cell>
          <cell r="EK58">
            <v>48.557600000000008</v>
          </cell>
          <cell r="EL58">
            <v>47.476600000000005</v>
          </cell>
          <cell r="EM58">
            <v>46.905694000000004</v>
          </cell>
          <cell r="EN58">
            <v>45.807904000000008</v>
          </cell>
          <cell r="EO58">
            <v>188.74779800000002</v>
          </cell>
          <cell r="EQ58">
            <v>44.275682000000018</v>
          </cell>
          <cell r="ER58">
            <v>44.516164000000011</v>
          </cell>
          <cell r="ES58">
            <v>44.852083540000017</v>
          </cell>
          <cell r="ET58">
            <v>44.667720240000016</v>
          </cell>
          <cell r="EU58">
            <v>178.31164978000007</v>
          </cell>
          <cell r="EW58">
            <v>43.408770142500011</v>
          </cell>
          <cell r="EX58">
            <v>44.012155950000015</v>
          </cell>
          <cell r="EY58">
            <v>44.698522439025012</v>
          </cell>
          <cell r="EZ58">
            <v>44.869574684025018</v>
          </cell>
          <cell r="FA58">
            <v>176.98902321555008</v>
          </cell>
        </row>
        <row r="59">
          <cell r="C59" t="str">
            <v>-</v>
          </cell>
          <cell r="D59" t="str">
            <v>-</v>
          </cell>
          <cell r="E59" t="str">
            <v>-</v>
          </cell>
          <cell r="F59" t="str">
            <v>-</v>
          </cell>
          <cell r="G59" t="str">
            <v>-</v>
          </cell>
          <cell r="H59" t="str">
            <v>-</v>
          </cell>
          <cell r="I59" t="str">
            <v>-</v>
          </cell>
          <cell r="J59" t="str">
            <v>-</v>
          </cell>
          <cell r="K59">
            <v>52</v>
          </cell>
          <cell r="L59">
            <v>90</v>
          </cell>
          <cell r="M59">
            <v>65</v>
          </cell>
          <cell r="O59">
            <v>15</v>
          </cell>
          <cell r="P59">
            <v>19</v>
          </cell>
          <cell r="Q59">
            <v>15</v>
          </cell>
          <cell r="R59">
            <v>17</v>
          </cell>
          <cell r="S59">
            <v>66</v>
          </cell>
          <cell r="U59">
            <v>16</v>
          </cell>
          <cell r="V59">
            <v>18</v>
          </cell>
          <cell r="W59">
            <v>14</v>
          </cell>
          <cell r="X59">
            <v>17</v>
          </cell>
          <cell r="Y59">
            <v>65</v>
          </cell>
          <cell r="AA59">
            <v>17.53</v>
          </cell>
          <cell r="AB59">
            <v>17.690000000000001</v>
          </cell>
          <cell r="AC59">
            <v>16.850999999999999</v>
          </cell>
          <cell r="AD59">
            <v>22.173999999999999</v>
          </cell>
          <cell r="AE59">
            <v>74.245000000000005</v>
          </cell>
          <cell r="AG59">
            <v>25.265999999999998</v>
          </cell>
          <cell r="AH59">
            <v>24.198</v>
          </cell>
          <cell r="AI59">
            <v>21.327999999999999</v>
          </cell>
          <cell r="AJ59">
            <v>33.637</v>
          </cell>
          <cell r="AK59">
            <v>104.429</v>
          </cell>
          <cell r="AM59">
            <v>24.850999999999999</v>
          </cell>
          <cell r="AN59">
            <v>22.181000000000001</v>
          </cell>
          <cell r="AO59">
            <v>21.132000000000001</v>
          </cell>
          <cell r="AP59">
            <v>29.334</v>
          </cell>
          <cell r="AQ59">
            <v>97.498000000000005</v>
          </cell>
          <cell r="AS59">
            <v>29.535</v>
          </cell>
          <cell r="AT59">
            <v>25.460999999999999</v>
          </cell>
          <cell r="AU59">
            <v>28.167000000000002</v>
          </cell>
          <cell r="AV59">
            <v>48.603000000000002</v>
          </cell>
          <cell r="AW59">
            <v>131.76599999999999</v>
          </cell>
          <cell r="AY59">
            <v>39.081000000000003</v>
          </cell>
          <cell r="AZ59">
            <v>27.780999999999999</v>
          </cell>
          <cell r="BA59">
            <v>30.318999999999999</v>
          </cell>
          <cell r="BB59">
            <v>40.503999999999998</v>
          </cell>
          <cell r="BC59">
            <v>137.685</v>
          </cell>
          <cell r="BE59">
            <v>20.324000000000002</v>
          </cell>
          <cell r="BF59">
            <v>15.933</v>
          </cell>
          <cell r="BG59">
            <v>12.625</v>
          </cell>
          <cell r="BH59">
            <v>22.641999999999999</v>
          </cell>
          <cell r="BI59">
            <v>71.524000000000001</v>
          </cell>
          <cell r="BK59">
            <v>0</v>
          </cell>
          <cell r="BL59">
            <v>0</v>
          </cell>
          <cell r="BM59">
            <v>0</v>
          </cell>
          <cell r="BN59">
            <v>0</v>
          </cell>
          <cell r="BO59">
            <v>0</v>
          </cell>
          <cell r="BU59">
            <v>0</v>
          </cell>
          <cell r="CA59">
            <v>0</v>
          </cell>
          <cell r="CC59">
            <v>637</v>
          </cell>
          <cell r="CD59">
            <v>675</v>
          </cell>
          <cell r="CE59">
            <v>671</v>
          </cell>
          <cell r="CF59">
            <v>857</v>
          </cell>
          <cell r="CG59">
            <v>2840</v>
          </cell>
          <cell r="CI59">
            <v>846</v>
          </cell>
          <cell r="CJ59">
            <v>949</v>
          </cell>
          <cell r="CK59">
            <v>916</v>
          </cell>
          <cell r="CL59">
            <v>1075</v>
          </cell>
          <cell r="CM59">
            <v>3786</v>
          </cell>
          <cell r="CO59">
            <v>1059</v>
          </cell>
          <cell r="CP59">
            <v>1154</v>
          </cell>
          <cell r="CQ59">
            <v>1109</v>
          </cell>
          <cell r="CR59">
            <v>1265</v>
          </cell>
          <cell r="CS59">
            <v>4587</v>
          </cell>
          <cell r="CU59">
            <v>1159</v>
          </cell>
          <cell r="CV59">
            <v>1131</v>
          </cell>
          <cell r="CW59">
            <v>1020</v>
          </cell>
          <cell r="CX59">
            <v>1065</v>
          </cell>
          <cell r="CY59">
            <v>4375</v>
          </cell>
          <cell r="DA59">
            <v>909</v>
          </cell>
          <cell r="DB59">
            <v>958</v>
          </cell>
          <cell r="DC59">
            <v>931</v>
          </cell>
          <cell r="DE59">
            <v>3906</v>
          </cell>
          <cell r="DG59">
            <v>1068</v>
          </cell>
          <cell r="DH59">
            <v>1185</v>
          </cell>
          <cell r="DI59">
            <v>1146</v>
          </cell>
          <cell r="DJ59">
            <v>1248</v>
          </cell>
          <cell r="DK59">
            <v>4647</v>
          </cell>
          <cell r="DM59">
            <v>1180</v>
          </cell>
          <cell r="DN59">
            <v>1180</v>
          </cell>
          <cell r="DO59">
            <v>1141.3391999999999</v>
          </cell>
          <cell r="DP59">
            <v>1202.1596999999999</v>
          </cell>
          <cell r="DQ59">
            <v>4703.4988999999996</v>
          </cell>
          <cell r="DS59">
            <v>995</v>
          </cell>
          <cell r="DT59">
            <v>1010</v>
          </cell>
          <cell r="DU59">
            <v>935</v>
          </cell>
          <cell r="DV59">
            <v>975</v>
          </cell>
          <cell r="DW59">
            <v>3915</v>
          </cell>
          <cell r="DY59">
            <v>918</v>
          </cell>
          <cell r="DZ59">
            <v>959</v>
          </cell>
          <cell r="EA59">
            <v>884</v>
          </cell>
          <cell r="EB59">
            <v>940</v>
          </cell>
          <cell r="EC59">
            <v>3701</v>
          </cell>
          <cell r="EE59">
            <v>855</v>
          </cell>
          <cell r="EF59">
            <v>935</v>
          </cell>
          <cell r="EG59">
            <v>858</v>
          </cell>
          <cell r="EH59">
            <v>899</v>
          </cell>
          <cell r="EI59">
            <v>3547</v>
          </cell>
          <cell r="EK59">
            <v>862</v>
          </cell>
          <cell r="EL59">
            <v>861</v>
          </cell>
          <cell r="EM59">
            <v>835.17</v>
          </cell>
          <cell r="EN59">
            <v>890.29121999999995</v>
          </cell>
          <cell r="EO59">
            <v>3448.4612200000001</v>
          </cell>
          <cell r="EQ59">
            <v>854.67957119999994</v>
          </cell>
          <cell r="ER59">
            <v>853.68806357679807</v>
          </cell>
          <cell r="ES59">
            <v>828.07742166949413</v>
          </cell>
          <cell r="ET59">
            <v>882.73053149968075</v>
          </cell>
          <cell r="EU59">
            <v>3419.1755879459729</v>
          </cell>
          <cell r="EW59">
            <v>847.42131023969353</v>
          </cell>
          <cell r="EX59">
            <v>846.43822287282615</v>
          </cell>
          <cell r="EY59">
            <v>821.04507618664138</v>
          </cell>
          <cell r="EZ59">
            <v>875.23405121495978</v>
          </cell>
          <cell r="FA59">
            <v>3390.1386605141211</v>
          </cell>
        </row>
        <row r="60"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0</v>
          </cell>
          <cell r="BK60">
            <v>0</v>
          </cell>
          <cell r="BL60">
            <v>0</v>
          </cell>
          <cell r="BM60">
            <v>0</v>
          </cell>
          <cell r="BN60">
            <v>0</v>
          </cell>
          <cell r="BO60">
            <v>0</v>
          </cell>
          <cell r="BQ60">
            <v>0</v>
          </cell>
          <cell r="BR60">
            <v>0</v>
          </cell>
          <cell r="BS60">
            <v>0</v>
          </cell>
          <cell r="BT60">
            <v>0</v>
          </cell>
          <cell r="BU60">
            <v>0</v>
          </cell>
          <cell r="BW60">
            <v>0</v>
          </cell>
          <cell r="BX60">
            <v>0</v>
          </cell>
          <cell r="BY60">
            <v>0</v>
          </cell>
          <cell r="BZ60">
            <v>0</v>
          </cell>
          <cell r="CA60">
            <v>0</v>
          </cell>
          <cell r="CC60">
            <v>0</v>
          </cell>
          <cell r="CD60">
            <v>0</v>
          </cell>
          <cell r="CE60">
            <v>0</v>
          </cell>
          <cell r="CF60">
            <v>0</v>
          </cell>
          <cell r="CG60">
            <v>0</v>
          </cell>
          <cell r="CI60">
            <v>0</v>
          </cell>
          <cell r="CJ60">
            <v>0</v>
          </cell>
          <cell r="CK60">
            <v>0</v>
          </cell>
          <cell r="CL60">
            <v>0</v>
          </cell>
          <cell r="CM60">
            <v>0</v>
          </cell>
          <cell r="CO60">
            <v>0</v>
          </cell>
          <cell r="CP60">
            <v>0</v>
          </cell>
          <cell r="CQ60">
            <v>0</v>
          </cell>
          <cell r="CR60">
            <v>0</v>
          </cell>
          <cell r="CS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DA60">
            <v>0</v>
          </cell>
          <cell r="DB60">
            <v>0</v>
          </cell>
          <cell r="DC60">
            <v>0</v>
          </cell>
          <cell r="DE60">
            <v>0</v>
          </cell>
          <cell r="DG60">
            <v>0</v>
          </cell>
          <cell r="DH60">
            <v>0</v>
          </cell>
          <cell r="DI60">
            <v>0</v>
          </cell>
          <cell r="DJ60">
            <v>0.12635379061371843</v>
          </cell>
          <cell r="DK60">
            <v>0</v>
          </cell>
          <cell r="DM60">
            <v>0.10486891385767794</v>
          </cell>
          <cell r="DN60">
            <v>-4.2194092827003704E-3</v>
          </cell>
          <cell r="DO60">
            <v>-4.0670157068063428E-3</v>
          </cell>
          <cell r="DP60">
            <v>-3.6731009615384669E-2</v>
          </cell>
          <cell r="DQ60">
            <v>1.2158145039810497E-2</v>
          </cell>
          <cell r="DS60">
            <v>-0.15677966101694918</v>
          </cell>
          <cell r="DT60">
            <v>-0.14406779661016944</v>
          </cell>
          <cell r="DU60">
            <v>-0.18078692118872275</v>
          </cell>
          <cell r="DV60">
            <v>-0.18895966983421586</v>
          </cell>
          <cell r="DW60">
            <v>-0.16764092365366545</v>
          </cell>
          <cell r="DY60">
            <v>-7.7386934673366881E-2</v>
          </cell>
          <cell r="DZ60">
            <v>-5.049504950495054E-2</v>
          </cell>
          <cell r="EA60">
            <v>-5.4545454545454564E-2</v>
          </cell>
          <cell r="EB60">
            <v>-3.5897435897435881E-2</v>
          </cell>
          <cell r="EC60">
            <v>-5.4661558109833974E-2</v>
          </cell>
          <cell r="EE60">
            <v>-6.8627450980392135E-2</v>
          </cell>
          <cell r="EF60">
            <v>-2.5026068821689229E-2</v>
          </cell>
          <cell r="EG60">
            <v>-2.9411764705882359E-2</v>
          </cell>
          <cell r="EH60">
            <v>-4.3617021276595724E-2</v>
          </cell>
          <cell r="EI60">
            <v>-4.1610375574169134E-2</v>
          </cell>
          <cell r="EK60">
            <v>8.1871345029240761E-3</v>
          </cell>
          <cell r="EL60">
            <v>-7.9144385026737929E-2</v>
          </cell>
          <cell r="EM60">
            <v>-2.6608391608391679E-2</v>
          </cell>
          <cell r="EN60">
            <v>-9.6871857619578172E-3</v>
          </cell>
          <cell r="EO60">
            <v>-2.7780879616577381E-2</v>
          </cell>
          <cell r="EQ60">
            <v>-8.4923767981439635E-3</v>
          </cell>
          <cell r="ER60">
            <v>-8.4923767981439635E-3</v>
          </cell>
          <cell r="ES60">
            <v>-8.4923767981438525E-3</v>
          </cell>
          <cell r="ET60">
            <v>-8.4923767981438525E-3</v>
          </cell>
          <cell r="EU60">
            <v>-8.4923767981439635E-3</v>
          </cell>
          <cell r="EW60">
            <v>-8.4923767981438525E-3</v>
          </cell>
          <cell r="EX60">
            <v>-8.4923767981438525E-3</v>
          </cell>
          <cell r="EY60">
            <v>-8.4923767981437415E-3</v>
          </cell>
          <cell r="EZ60">
            <v>-8.4923767981437415E-3</v>
          </cell>
          <cell r="FA60">
            <v>-8.4923767981437415E-3</v>
          </cell>
        </row>
        <row r="61"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O61">
            <v>0</v>
          </cell>
          <cell r="P61">
            <v>0</v>
          </cell>
          <cell r="Q61">
            <v>0</v>
          </cell>
          <cell r="R61">
            <v>0</v>
          </cell>
          <cell r="S61">
            <v>0</v>
          </cell>
          <cell r="U61">
            <v>0</v>
          </cell>
          <cell r="V61">
            <v>0</v>
          </cell>
          <cell r="W61">
            <v>0</v>
          </cell>
          <cell r="X61">
            <v>0</v>
          </cell>
          <cell r="Y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0</v>
          </cell>
          <cell r="BK61">
            <v>0</v>
          </cell>
          <cell r="BL61">
            <v>0</v>
          </cell>
          <cell r="BM61">
            <v>0</v>
          </cell>
          <cell r="BN61">
            <v>0</v>
          </cell>
          <cell r="BO61">
            <v>0</v>
          </cell>
          <cell r="BQ61">
            <v>0</v>
          </cell>
          <cell r="BR61">
            <v>0</v>
          </cell>
          <cell r="BS61">
            <v>0</v>
          </cell>
          <cell r="BT61">
            <v>0</v>
          </cell>
          <cell r="BU61">
            <v>0</v>
          </cell>
          <cell r="BW61">
            <v>0</v>
          </cell>
          <cell r="BX61">
            <v>0</v>
          </cell>
          <cell r="BY61">
            <v>0</v>
          </cell>
          <cell r="BZ61">
            <v>0</v>
          </cell>
          <cell r="CA61">
            <v>0</v>
          </cell>
          <cell r="CC61">
            <v>0</v>
          </cell>
          <cell r="CD61">
            <v>0</v>
          </cell>
          <cell r="CE61">
            <v>0</v>
          </cell>
          <cell r="CF61">
            <v>0</v>
          </cell>
          <cell r="CG61">
            <v>0</v>
          </cell>
          <cell r="CI61">
            <v>0</v>
          </cell>
          <cell r="CJ61">
            <v>0</v>
          </cell>
          <cell r="CK61">
            <v>0</v>
          </cell>
          <cell r="CL61">
            <v>0</v>
          </cell>
          <cell r="CM61">
            <v>0</v>
          </cell>
          <cell r="CO61">
            <v>0</v>
          </cell>
          <cell r="CP61">
            <v>0</v>
          </cell>
          <cell r="CQ61">
            <v>0</v>
          </cell>
          <cell r="CR61">
            <v>0</v>
          </cell>
          <cell r="CS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DA61">
            <v>0</v>
          </cell>
          <cell r="DB61">
            <v>0</v>
          </cell>
          <cell r="DC61">
            <v>0</v>
          </cell>
          <cell r="DE61">
            <v>0</v>
          </cell>
          <cell r="DG61">
            <v>-3.6101083032490933E-2</v>
          </cell>
          <cell r="DH61">
            <v>0.1095505617977528</v>
          </cell>
          <cell r="DI61">
            <v>-3.2911392405063244E-2</v>
          </cell>
          <cell r="DJ61">
            <v>8.9005235602094279E-2</v>
          </cell>
          <cell r="DK61">
            <v>0</v>
          </cell>
          <cell r="DM61">
            <v>-5.4487179487179516E-2</v>
          </cell>
          <cell r="DN61">
            <v>0</v>
          </cell>
          <cell r="DO61">
            <v>-3.2763389830508527E-2</v>
          </cell>
          <cell r="DP61">
            <v>5.3288715572022749E-2</v>
          </cell>
          <cell r="DQ61">
            <v>0</v>
          </cell>
          <cell r="DS61">
            <v>-0.17232294511286639</v>
          </cell>
          <cell r="DT61">
            <v>1.5075376884422065E-2</v>
          </cell>
          <cell r="DU61">
            <v>-7.4257425742574212E-2</v>
          </cell>
          <cell r="DV61">
            <v>4.2780748663101553E-2</v>
          </cell>
          <cell r="DW61">
            <v>0</v>
          </cell>
          <cell r="DY61">
            <v>-5.8461538461538454E-2</v>
          </cell>
          <cell r="DZ61">
            <v>4.466230936819171E-2</v>
          </cell>
          <cell r="EA61">
            <v>-7.8206465067778952E-2</v>
          </cell>
          <cell r="EB61">
            <v>6.3348416289592757E-2</v>
          </cell>
          <cell r="EC61">
            <v>0</v>
          </cell>
          <cell r="EE61">
            <v>-9.0425531914893664E-2</v>
          </cell>
          <cell r="EF61">
            <v>9.3567251461988299E-2</v>
          </cell>
          <cell r="EG61">
            <v>-8.2352941176470629E-2</v>
          </cell>
          <cell r="EH61">
            <v>4.7785547785547777E-2</v>
          </cell>
          <cell r="EI61">
            <v>0</v>
          </cell>
          <cell r="EK61">
            <v>-4.1156840934371552E-2</v>
          </cell>
          <cell r="EL61">
            <v>-1.1600928074245731E-3</v>
          </cell>
          <cell r="EM61">
            <v>-3.0000000000000027E-2</v>
          </cell>
          <cell r="EN61">
            <v>6.6000000000000059E-2</v>
          </cell>
          <cell r="EO61">
            <v>0</v>
          </cell>
          <cell r="EQ61">
            <v>-4.0000000000000036E-2</v>
          </cell>
          <cell r="ER61">
            <v>-1.1600928074245731E-3</v>
          </cell>
          <cell r="ES61">
            <v>-3.0000000000000027E-2</v>
          </cell>
          <cell r="ET61">
            <v>6.6000000000000059E-2</v>
          </cell>
          <cell r="EU61">
            <v>0</v>
          </cell>
          <cell r="EW61">
            <v>-4.0000000000000036E-2</v>
          </cell>
          <cell r="EX61">
            <v>-1.1600928074245731E-3</v>
          </cell>
          <cell r="EY61">
            <v>-3.0000000000000027E-2</v>
          </cell>
          <cell r="EZ61">
            <v>6.6000000000000059E-2</v>
          </cell>
          <cell r="FA61">
            <v>0</v>
          </cell>
        </row>
        <row r="62"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O62">
            <v>0</v>
          </cell>
          <cell r="P62">
            <v>0</v>
          </cell>
          <cell r="Q62">
            <v>0</v>
          </cell>
          <cell r="R62">
            <v>0</v>
          </cell>
          <cell r="S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 t="str">
            <v>05/01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 t="str">
            <v>05/02</v>
          </cell>
          <cell r="BK62">
            <v>0</v>
          </cell>
          <cell r="BL62">
            <v>0</v>
          </cell>
          <cell r="BM62">
            <v>0</v>
          </cell>
          <cell r="BN62">
            <v>0</v>
          </cell>
          <cell r="BO62" t="str">
            <v>05/03</v>
          </cell>
          <cell r="BU62" t="str">
            <v>05/04</v>
          </cell>
          <cell r="CA62">
            <v>0</v>
          </cell>
          <cell r="CC62">
            <v>0</v>
          </cell>
          <cell r="CD62">
            <v>0</v>
          </cell>
          <cell r="CE62">
            <v>0</v>
          </cell>
          <cell r="CF62">
            <v>0</v>
          </cell>
          <cell r="CG62">
            <v>0</v>
          </cell>
          <cell r="CI62">
            <v>0</v>
          </cell>
          <cell r="CJ62">
            <v>0</v>
          </cell>
          <cell r="CK62">
            <v>0</v>
          </cell>
          <cell r="CL62">
            <v>0</v>
          </cell>
          <cell r="CM62">
            <v>0</v>
          </cell>
          <cell r="CO62">
            <v>0</v>
          </cell>
          <cell r="CP62">
            <v>0</v>
          </cell>
          <cell r="CQ62">
            <v>0</v>
          </cell>
          <cell r="CR62">
            <v>0</v>
          </cell>
          <cell r="CS62">
            <v>0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DA62">
            <v>0</v>
          </cell>
          <cell r="DB62">
            <v>0</v>
          </cell>
          <cell r="DC62">
            <v>0</v>
          </cell>
          <cell r="DE62">
            <v>0</v>
          </cell>
          <cell r="DG62">
            <v>0</v>
          </cell>
          <cell r="DH62">
            <v>0</v>
          </cell>
          <cell r="DI62">
            <v>0</v>
          </cell>
          <cell r="DJ62">
            <v>0</v>
          </cell>
          <cell r="DK62">
            <v>0</v>
          </cell>
          <cell r="DM62">
            <v>0</v>
          </cell>
          <cell r="DN62">
            <v>0</v>
          </cell>
          <cell r="DO62">
            <v>0</v>
          </cell>
          <cell r="DP62">
            <v>0</v>
          </cell>
          <cell r="DQ62">
            <v>0</v>
          </cell>
          <cell r="DS62">
            <v>0</v>
          </cell>
          <cell r="DT62">
            <v>0</v>
          </cell>
          <cell r="DU62">
            <v>0</v>
          </cell>
          <cell r="DV62">
            <v>0</v>
          </cell>
          <cell r="DW62">
            <v>0</v>
          </cell>
          <cell r="DY62">
            <v>0</v>
          </cell>
          <cell r="DZ62">
            <v>0</v>
          </cell>
          <cell r="EA62">
            <v>0</v>
          </cell>
          <cell r="EB62">
            <v>0</v>
          </cell>
          <cell r="EC62">
            <v>0</v>
          </cell>
          <cell r="EE62">
            <v>0</v>
          </cell>
          <cell r="EF62">
            <v>0</v>
          </cell>
          <cell r="EG62">
            <v>0</v>
          </cell>
          <cell r="EH62">
            <v>0</v>
          </cell>
          <cell r="EI62">
            <v>0</v>
          </cell>
          <cell r="EK62">
            <v>0</v>
          </cell>
          <cell r="EL62">
            <v>0</v>
          </cell>
          <cell r="EM62">
            <v>0</v>
          </cell>
          <cell r="EN62">
            <v>0</v>
          </cell>
          <cell r="EO62">
            <v>0</v>
          </cell>
          <cell r="EQ62">
            <v>0</v>
          </cell>
          <cell r="ER62">
            <v>0</v>
          </cell>
          <cell r="ES62">
            <v>0</v>
          </cell>
          <cell r="ET62">
            <v>0</v>
          </cell>
          <cell r="EU62">
            <v>0</v>
          </cell>
          <cell r="EW62">
            <v>0</v>
          </cell>
          <cell r="EX62">
            <v>0</v>
          </cell>
          <cell r="EY62">
            <v>0</v>
          </cell>
          <cell r="EZ62">
            <v>0</v>
          </cell>
          <cell r="FA62">
            <v>0</v>
          </cell>
        </row>
        <row r="63"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O63">
            <v>0</v>
          </cell>
          <cell r="P63">
            <v>0</v>
          </cell>
          <cell r="Q63">
            <v>0</v>
          </cell>
          <cell r="R63">
            <v>0</v>
          </cell>
          <cell r="S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G63">
            <v>0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0</v>
          </cell>
          <cell r="BK63">
            <v>0</v>
          </cell>
          <cell r="BL63">
            <v>0</v>
          </cell>
          <cell r="BM63">
            <v>0</v>
          </cell>
          <cell r="BN63">
            <v>0</v>
          </cell>
          <cell r="BO63">
            <v>0</v>
          </cell>
          <cell r="BU63">
            <v>0</v>
          </cell>
          <cell r="CA63">
            <v>0</v>
          </cell>
          <cell r="CC63">
            <v>0</v>
          </cell>
          <cell r="CD63">
            <v>0</v>
          </cell>
          <cell r="CE63">
            <v>0</v>
          </cell>
          <cell r="CF63">
            <v>0</v>
          </cell>
          <cell r="CG63">
            <v>0</v>
          </cell>
          <cell r="CI63">
            <v>0</v>
          </cell>
          <cell r="CJ63">
            <v>0</v>
          </cell>
          <cell r="CK63">
            <v>0</v>
          </cell>
          <cell r="CL63">
            <v>0</v>
          </cell>
          <cell r="CM63">
            <v>0</v>
          </cell>
          <cell r="CO63">
            <v>0</v>
          </cell>
          <cell r="CP63">
            <v>0</v>
          </cell>
          <cell r="CQ63">
            <v>0</v>
          </cell>
          <cell r="CR63">
            <v>0</v>
          </cell>
          <cell r="CS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DA63">
            <v>0</v>
          </cell>
          <cell r="DB63">
            <v>0</v>
          </cell>
          <cell r="DC63">
            <v>0</v>
          </cell>
          <cell r="DE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M63">
            <v>0</v>
          </cell>
          <cell r="DN63">
            <v>0</v>
          </cell>
          <cell r="DO63">
            <v>0</v>
          </cell>
          <cell r="DP63">
            <v>0</v>
          </cell>
          <cell r="DQ63">
            <v>0</v>
          </cell>
          <cell r="DS63">
            <v>0</v>
          </cell>
          <cell r="DT63">
            <v>0</v>
          </cell>
          <cell r="DU63">
            <v>0</v>
          </cell>
          <cell r="DV63">
            <v>0</v>
          </cell>
          <cell r="DW63">
            <v>0</v>
          </cell>
          <cell r="DY63">
            <v>0</v>
          </cell>
          <cell r="DZ63">
            <v>0</v>
          </cell>
          <cell r="EA63">
            <v>0</v>
          </cell>
          <cell r="EB63">
            <v>0</v>
          </cell>
          <cell r="EC63">
            <v>0</v>
          </cell>
          <cell r="EE63">
            <v>0</v>
          </cell>
          <cell r="EF63">
            <v>0</v>
          </cell>
          <cell r="EG63">
            <v>0</v>
          </cell>
          <cell r="EH63">
            <v>0</v>
          </cell>
          <cell r="EI63">
            <v>0</v>
          </cell>
          <cell r="EK63">
            <v>0</v>
          </cell>
          <cell r="EL63">
            <v>0</v>
          </cell>
          <cell r="EM63">
            <v>0</v>
          </cell>
          <cell r="EN63">
            <v>0</v>
          </cell>
          <cell r="EO63">
            <v>0</v>
          </cell>
          <cell r="EQ63">
            <v>0</v>
          </cell>
          <cell r="ER63">
            <v>0</v>
          </cell>
          <cell r="ES63">
            <v>0</v>
          </cell>
          <cell r="ET63">
            <v>0</v>
          </cell>
          <cell r="EU63">
            <v>0</v>
          </cell>
          <cell r="EW63">
            <v>0</v>
          </cell>
          <cell r="EX63">
            <v>0</v>
          </cell>
          <cell r="EY63">
            <v>0</v>
          </cell>
          <cell r="EZ63">
            <v>0</v>
          </cell>
          <cell r="FA63">
            <v>0</v>
          </cell>
        </row>
        <row r="64"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O64">
            <v>0</v>
          </cell>
          <cell r="P64">
            <v>0</v>
          </cell>
          <cell r="Q64">
            <v>0</v>
          </cell>
          <cell r="R64">
            <v>0</v>
          </cell>
          <cell r="S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G64">
            <v>0</v>
          </cell>
          <cell r="AH64">
            <v>0</v>
          </cell>
          <cell r="AI64">
            <v>0</v>
          </cell>
          <cell r="AJ64">
            <v>0</v>
          </cell>
          <cell r="AK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0</v>
          </cell>
          <cell r="BK64">
            <v>0</v>
          </cell>
          <cell r="BL64">
            <v>0</v>
          </cell>
          <cell r="BM64">
            <v>0</v>
          </cell>
          <cell r="BN64">
            <v>0</v>
          </cell>
          <cell r="BO64">
            <v>0</v>
          </cell>
          <cell r="BQ64">
            <v>0</v>
          </cell>
          <cell r="BR64">
            <v>0</v>
          </cell>
          <cell r="BS64">
            <v>0</v>
          </cell>
          <cell r="BT64">
            <v>0</v>
          </cell>
          <cell r="BU64">
            <v>0</v>
          </cell>
          <cell r="BW64">
            <v>0</v>
          </cell>
          <cell r="BX64">
            <v>0</v>
          </cell>
          <cell r="BY64">
            <v>0</v>
          </cell>
          <cell r="BZ64">
            <v>0</v>
          </cell>
          <cell r="CA64">
            <v>0</v>
          </cell>
          <cell r="CC64">
            <v>0</v>
          </cell>
          <cell r="CD64">
            <v>0</v>
          </cell>
          <cell r="CE64">
            <v>0</v>
          </cell>
          <cell r="CF64">
            <v>0</v>
          </cell>
          <cell r="CG64">
            <v>0</v>
          </cell>
          <cell r="CI64">
            <v>0</v>
          </cell>
          <cell r="CJ64">
            <v>0</v>
          </cell>
          <cell r="CK64">
            <v>0</v>
          </cell>
          <cell r="CL64">
            <v>0</v>
          </cell>
          <cell r="CM64">
            <v>0</v>
          </cell>
          <cell r="CO64">
            <v>0</v>
          </cell>
          <cell r="CP64">
            <v>0</v>
          </cell>
          <cell r="CQ64">
            <v>0</v>
          </cell>
          <cell r="CR64">
            <v>0</v>
          </cell>
          <cell r="CS64">
            <v>0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DA64">
            <v>0</v>
          </cell>
          <cell r="DB64">
            <v>0</v>
          </cell>
          <cell r="DC64">
            <v>0</v>
          </cell>
          <cell r="DE64">
            <v>0</v>
          </cell>
          <cell r="DG64">
            <v>0</v>
          </cell>
          <cell r="DH64">
            <v>0</v>
          </cell>
          <cell r="DI64">
            <v>0</v>
          </cell>
          <cell r="DJ64">
            <v>0</v>
          </cell>
          <cell r="DK64">
            <v>0</v>
          </cell>
          <cell r="DM64">
            <v>0</v>
          </cell>
          <cell r="DN64">
            <v>0</v>
          </cell>
          <cell r="DO64">
            <v>0</v>
          </cell>
          <cell r="DP64">
            <v>0</v>
          </cell>
          <cell r="DQ64">
            <v>0</v>
          </cell>
          <cell r="DS64">
            <v>341</v>
          </cell>
          <cell r="DT64">
            <v>344</v>
          </cell>
          <cell r="DU64">
            <v>347</v>
          </cell>
          <cell r="DV64">
            <v>378</v>
          </cell>
          <cell r="DW64">
            <v>1410</v>
          </cell>
          <cell r="DY64">
            <v>366</v>
          </cell>
          <cell r="DZ64">
            <v>359</v>
          </cell>
          <cell r="EA64">
            <v>413</v>
          </cell>
          <cell r="EB64">
            <v>455</v>
          </cell>
          <cell r="EC64">
            <v>1593</v>
          </cell>
          <cell r="EE64">
            <v>477</v>
          </cell>
          <cell r="EF64">
            <v>519</v>
          </cell>
          <cell r="EG64">
            <v>530</v>
          </cell>
          <cell r="EH64">
            <v>579</v>
          </cell>
          <cell r="EI64">
            <v>2105</v>
          </cell>
          <cell r="EK64">
            <v>612</v>
          </cell>
          <cell r="EL64">
            <v>652</v>
          </cell>
          <cell r="EM64">
            <v>713.1</v>
          </cell>
          <cell r="EN64">
            <v>811.05000000000007</v>
          </cell>
          <cell r="EO64">
            <v>2788.15</v>
          </cell>
          <cell r="EQ64">
            <v>871.80000000000007</v>
          </cell>
          <cell r="ER64">
            <v>933.05000000000007</v>
          </cell>
          <cell r="ES64">
            <v>1015.542</v>
          </cell>
          <cell r="ET64">
            <v>1129.2347500000001</v>
          </cell>
          <cell r="EU64">
            <v>3949.6267500000004</v>
          </cell>
          <cell r="EW64">
            <v>1197.3420000000001</v>
          </cell>
          <cell r="EX64">
            <v>1283.4245000000003</v>
          </cell>
          <cell r="EY64">
            <v>1385.4013950000001</v>
          </cell>
          <cell r="EZ64">
            <v>1498.7395412500002</v>
          </cell>
          <cell r="FA64">
            <v>5364.9074362500005</v>
          </cell>
        </row>
        <row r="65"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O65">
            <v>0</v>
          </cell>
          <cell r="P65">
            <v>0</v>
          </cell>
          <cell r="Q65">
            <v>0</v>
          </cell>
          <cell r="R65">
            <v>0</v>
          </cell>
          <cell r="S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Y65">
            <v>0</v>
          </cell>
          <cell r="AZ65">
            <v>0</v>
          </cell>
          <cell r="BA65">
            <v>0</v>
          </cell>
          <cell r="BB65">
            <v>0</v>
          </cell>
          <cell r="BC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0</v>
          </cell>
          <cell r="BK65">
            <v>0</v>
          </cell>
          <cell r="BL65">
            <v>0</v>
          </cell>
          <cell r="BM65">
            <v>0</v>
          </cell>
          <cell r="BN65">
            <v>0</v>
          </cell>
          <cell r="BO65">
            <v>0</v>
          </cell>
          <cell r="BQ65">
            <v>0</v>
          </cell>
          <cell r="BR65">
            <v>0</v>
          </cell>
          <cell r="BS65">
            <v>0</v>
          </cell>
          <cell r="BT65">
            <v>0</v>
          </cell>
          <cell r="BU65">
            <v>0</v>
          </cell>
          <cell r="BW65">
            <v>0</v>
          </cell>
          <cell r="BX65">
            <v>0</v>
          </cell>
          <cell r="BY65">
            <v>0</v>
          </cell>
          <cell r="BZ65">
            <v>0</v>
          </cell>
          <cell r="CA65">
            <v>0</v>
          </cell>
          <cell r="CC65">
            <v>0</v>
          </cell>
          <cell r="CD65">
            <v>0</v>
          </cell>
          <cell r="CE65">
            <v>0</v>
          </cell>
          <cell r="CF65">
            <v>0</v>
          </cell>
          <cell r="CG65">
            <v>0</v>
          </cell>
          <cell r="CI65">
            <v>0</v>
          </cell>
          <cell r="CJ65">
            <v>0</v>
          </cell>
          <cell r="CK65">
            <v>0</v>
          </cell>
          <cell r="CL65">
            <v>0</v>
          </cell>
          <cell r="CM65">
            <v>0</v>
          </cell>
          <cell r="CO65">
            <v>0</v>
          </cell>
          <cell r="CP65">
            <v>0</v>
          </cell>
          <cell r="CQ65">
            <v>0</v>
          </cell>
          <cell r="CR65">
            <v>0</v>
          </cell>
          <cell r="CS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DA65">
            <v>0</v>
          </cell>
          <cell r="DB65">
            <v>0</v>
          </cell>
          <cell r="DC65">
            <v>0</v>
          </cell>
          <cell r="DE65">
            <v>0</v>
          </cell>
          <cell r="DG65">
            <v>0</v>
          </cell>
          <cell r="DH65">
            <v>0</v>
          </cell>
          <cell r="DI65">
            <v>0</v>
          </cell>
          <cell r="DJ65">
            <v>0</v>
          </cell>
          <cell r="DK65">
            <v>0</v>
          </cell>
          <cell r="DM65">
            <v>0</v>
          </cell>
          <cell r="DN65">
            <v>0</v>
          </cell>
          <cell r="DO65">
            <v>0</v>
          </cell>
          <cell r="DP65">
            <v>0</v>
          </cell>
          <cell r="DQ65">
            <v>0</v>
          </cell>
          <cell r="DS65">
            <v>0</v>
          </cell>
          <cell r="DT65">
            <v>0</v>
          </cell>
          <cell r="DU65">
            <v>0</v>
          </cell>
          <cell r="DV65">
            <v>0</v>
          </cell>
          <cell r="DW65">
            <v>0</v>
          </cell>
          <cell r="DY65">
            <v>7.3313782991202281E-2</v>
          </cell>
          <cell r="DZ65">
            <v>4.3604651162790775E-2</v>
          </cell>
          <cell r="EA65">
            <v>0.19020172910662825</v>
          </cell>
          <cell r="EB65">
            <v>0.20370370370370372</v>
          </cell>
          <cell r="EC65">
            <v>0.12978723404255321</v>
          </cell>
          <cell r="EE65">
            <v>0.30327868852459017</v>
          </cell>
          <cell r="EF65">
            <v>0.44568245125348183</v>
          </cell>
          <cell r="EG65">
            <v>0.28329297820823252</v>
          </cell>
          <cell r="EH65">
            <v>0.27252747252747245</v>
          </cell>
          <cell r="EI65">
            <v>0.32140615191462651</v>
          </cell>
          <cell r="EK65">
            <v>0.28301886792452824</v>
          </cell>
          <cell r="EL65">
            <v>0.25626204238920991</v>
          </cell>
          <cell r="EM65">
            <v>0.34547169811320755</v>
          </cell>
          <cell r="EN65">
            <v>0.40077720207253908</v>
          </cell>
          <cell r="EO65">
            <v>0.32453681710213789</v>
          </cell>
          <cell r="EQ65">
            <v>0.42450980392156867</v>
          </cell>
          <cell r="ER65">
            <v>0.43105828220858911</v>
          </cell>
          <cell r="ES65">
            <v>0.4241228439209086</v>
          </cell>
          <cell r="ET65">
            <v>0.3923121262560878</v>
          </cell>
          <cell r="EU65">
            <v>0.41657613471298172</v>
          </cell>
          <cell r="EW65">
            <v>0.37341362697866476</v>
          </cell>
          <cell r="EX65">
            <v>0.37551524569958761</v>
          </cell>
          <cell r="EY65">
            <v>0.36419901392556886</v>
          </cell>
          <cell r="EZ65">
            <v>0.32721698588358183</v>
          </cell>
          <cell r="FA65">
            <v>0.3583327680900481</v>
          </cell>
        </row>
        <row r="66"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0</v>
          </cell>
          <cell r="BK66">
            <v>0</v>
          </cell>
          <cell r="BL66">
            <v>0</v>
          </cell>
          <cell r="BM66">
            <v>0</v>
          </cell>
          <cell r="BN66">
            <v>0</v>
          </cell>
          <cell r="BO66">
            <v>0</v>
          </cell>
          <cell r="BQ66">
            <v>0</v>
          </cell>
          <cell r="BR66">
            <v>0</v>
          </cell>
          <cell r="BS66">
            <v>0</v>
          </cell>
          <cell r="BT66">
            <v>0</v>
          </cell>
          <cell r="BU66">
            <v>0</v>
          </cell>
          <cell r="BW66">
            <v>0</v>
          </cell>
          <cell r="BX66">
            <v>0</v>
          </cell>
          <cell r="BY66">
            <v>0</v>
          </cell>
          <cell r="BZ66">
            <v>0</v>
          </cell>
          <cell r="CA66">
            <v>0</v>
          </cell>
          <cell r="CC66">
            <v>0</v>
          </cell>
          <cell r="CD66">
            <v>0</v>
          </cell>
          <cell r="CE66">
            <v>0</v>
          </cell>
          <cell r="CF66">
            <v>0</v>
          </cell>
          <cell r="CG66">
            <v>0</v>
          </cell>
          <cell r="CI66">
            <v>0</v>
          </cell>
          <cell r="CJ66">
            <v>0</v>
          </cell>
          <cell r="CK66">
            <v>0</v>
          </cell>
          <cell r="CL66">
            <v>0</v>
          </cell>
          <cell r="CM66">
            <v>0</v>
          </cell>
          <cell r="CO66">
            <v>0</v>
          </cell>
          <cell r="CP66">
            <v>0</v>
          </cell>
          <cell r="CQ66">
            <v>0</v>
          </cell>
          <cell r="CR66">
            <v>0</v>
          </cell>
          <cell r="CS66">
            <v>0</v>
          </cell>
          <cell r="CU66">
            <v>0</v>
          </cell>
          <cell r="CV66">
            <v>0</v>
          </cell>
          <cell r="CW66">
            <v>0</v>
          </cell>
          <cell r="CX66">
            <v>0</v>
          </cell>
          <cell r="CY66">
            <v>0</v>
          </cell>
          <cell r="DA66">
            <v>0</v>
          </cell>
          <cell r="DB66">
            <v>0</v>
          </cell>
          <cell r="DC66">
            <v>0</v>
          </cell>
          <cell r="DE66">
            <v>0</v>
          </cell>
          <cell r="DG66">
            <v>0</v>
          </cell>
          <cell r="DH66">
            <v>0</v>
          </cell>
          <cell r="DI66">
            <v>0</v>
          </cell>
          <cell r="DJ66">
            <v>0</v>
          </cell>
          <cell r="DK66">
            <v>0</v>
          </cell>
          <cell r="DM66">
            <v>0</v>
          </cell>
          <cell r="DN66">
            <v>0</v>
          </cell>
          <cell r="DO66">
            <v>0</v>
          </cell>
          <cell r="DP66">
            <v>0</v>
          </cell>
          <cell r="DQ66">
            <v>0</v>
          </cell>
          <cell r="DS66">
            <v>0</v>
          </cell>
          <cell r="DT66">
            <v>8.7976539589442737E-3</v>
          </cell>
          <cell r="DU66">
            <v>8.720930232558155E-3</v>
          </cell>
          <cell r="DV66">
            <v>8.9337175792507217E-2</v>
          </cell>
          <cell r="DW66">
            <v>0</v>
          </cell>
          <cell r="DY66">
            <v>-3.1746031746031744E-2</v>
          </cell>
          <cell r="DZ66">
            <v>-1.9125683060109311E-2</v>
          </cell>
          <cell r="EA66">
            <v>0.15041782729805009</v>
          </cell>
          <cell r="EB66">
            <v>0.10169491525423724</v>
          </cell>
          <cell r="EC66">
            <v>0</v>
          </cell>
          <cell r="EE66">
            <v>4.8351648351648402E-2</v>
          </cell>
          <cell r="EF66">
            <v>8.8050314465408785E-2</v>
          </cell>
          <cell r="EG66">
            <v>2.1194605009633882E-2</v>
          </cell>
          <cell r="EH66">
            <v>9.2452830188679336E-2</v>
          </cell>
          <cell r="EI66">
            <v>0</v>
          </cell>
          <cell r="EK66">
            <v>5.6994818652849721E-2</v>
          </cell>
          <cell r="EL66">
            <v>6.5359477124182996E-2</v>
          </cell>
          <cell r="EM66">
            <v>9.371165644171775E-2</v>
          </cell>
          <cell r="EN66">
            <v>0.13735801430374428</v>
          </cell>
          <cell r="EO66">
            <v>0</v>
          </cell>
          <cell r="EQ66">
            <v>7.4902903643425223E-2</v>
          </cell>
          <cell r="ER66">
            <v>7.0256939665060747E-2</v>
          </cell>
          <cell r="ES66">
            <v>8.8411124805744645E-2</v>
          </cell>
          <cell r="ET66">
            <v>0.11195277989487384</v>
          </cell>
          <cell r="EU66">
            <v>0</v>
          </cell>
          <cell r="EW66">
            <v>6.0312747194504857E-2</v>
          </cell>
          <cell r="EX66">
            <v>7.1894663345978271E-2</v>
          </cell>
          <cell r="EY66">
            <v>7.9456871050848532E-2</v>
          </cell>
          <cell r="EZ66">
            <v>8.1808887055437207E-2</v>
          </cell>
          <cell r="FA66">
            <v>0</v>
          </cell>
        </row>
        <row r="67"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O67">
            <v>0</v>
          </cell>
          <cell r="P67">
            <v>0</v>
          </cell>
          <cell r="Q67">
            <v>0</v>
          </cell>
          <cell r="R67">
            <v>0</v>
          </cell>
          <cell r="S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0</v>
          </cell>
          <cell r="BK67">
            <v>0</v>
          </cell>
          <cell r="BL67">
            <v>0</v>
          </cell>
          <cell r="BM67">
            <v>0</v>
          </cell>
          <cell r="BN67">
            <v>0</v>
          </cell>
          <cell r="BO67">
            <v>0</v>
          </cell>
          <cell r="BU67">
            <v>0</v>
          </cell>
          <cell r="CA67">
            <v>0</v>
          </cell>
          <cell r="CC67">
            <v>0</v>
          </cell>
          <cell r="CD67">
            <v>0</v>
          </cell>
          <cell r="CE67">
            <v>0</v>
          </cell>
          <cell r="CF67">
            <v>0</v>
          </cell>
          <cell r="CG67">
            <v>0</v>
          </cell>
          <cell r="CI67">
            <v>0</v>
          </cell>
          <cell r="CJ67">
            <v>0</v>
          </cell>
          <cell r="CK67">
            <v>0</v>
          </cell>
          <cell r="CL67">
            <v>0</v>
          </cell>
          <cell r="CM67">
            <v>0</v>
          </cell>
          <cell r="CO67">
            <v>0</v>
          </cell>
          <cell r="CP67">
            <v>0</v>
          </cell>
          <cell r="CQ67">
            <v>0</v>
          </cell>
          <cell r="CR67">
            <v>0</v>
          </cell>
          <cell r="CS67">
            <v>0</v>
          </cell>
          <cell r="CU67">
            <v>0</v>
          </cell>
          <cell r="CV67">
            <v>0</v>
          </cell>
          <cell r="CW67">
            <v>0</v>
          </cell>
          <cell r="CX67">
            <v>0</v>
          </cell>
          <cell r="CY67">
            <v>0</v>
          </cell>
          <cell r="DA67">
            <v>0</v>
          </cell>
          <cell r="DB67">
            <v>0</v>
          </cell>
          <cell r="DC67">
            <v>0</v>
          </cell>
          <cell r="DE67">
            <v>0</v>
          </cell>
          <cell r="DG67">
            <v>0</v>
          </cell>
          <cell r="DH67">
            <v>0</v>
          </cell>
          <cell r="DI67">
            <v>0</v>
          </cell>
          <cell r="DJ67">
            <v>0</v>
          </cell>
          <cell r="DK67">
            <v>0</v>
          </cell>
          <cell r="DM67">
            <v>0</v>
          </cell>
          <cell r="DN67">
            <v>0</v>
          </cell>
          <cell r="DO67">
            <v>0</v>
          </cell>
          <cell r="DP67">
            <v>0</v>
          </cell>
          <cell r="DQ67">
            <v>0</v>
          </cell>
          <cell r="DS67">
            <v>0</v>
          </cell>
          <cell r="DT67">
            <v>0</v>
          </cell>
          <cell r="DU67">
            <v>0</v>
          </cell>
          <cell r="DV67">
            <v>0</v>
          </cell>
          <cell r="DW67">
            <v>0</v>
          </cell>
          <cell r="DY67">
            <v>0</v>
          </cell>
          <cell r="DZ67">
            <v>0</v>
          </cell>
          <cell r="EA67">
            <v>0</v>
          </cell>
          <cell r="EB67">
            <v>0</v>
          </cell>
          <cell r="EC67">
            <v>0</v>
          </cell>
          <cell r="EE67">
            <v>0</v>
          </cell>
          <cell r="EF67">
            <v>0</v>
          </cell>
          <cell r="EG67">
            <v>0</v>
          </cell>
          <cell r="EH67">
            <v>0</v>
          </cell>
          <cell r="EI67">
            <v>0</v>
          </cell>
          <cell r="EK67">
            <v>0</v>
          </cell>
          <cell r="EL67">
            <v>0</v>
          </cell>
          <cell r="EM67">
            <v>0</v>
          </cell>
          <cell r="EN67">
            <v>0</v>
          </cell>
          <cell r="EO67">
            <v>0</v>
          </cell>
          <cell r="EQ67">
            <v>0</v>
          </cell>
          <cell r="ER67">
            <v>0</v>
          </cell>
          <cell r="ES67">
            <v>0</v>
          </cell>
          <cell r="ET67">
            <v>0</v>
          </cell>
          <cell r="EU67">
            <v>0</v>
          </cell>
          <cell r="EW67">
            <v>0</v>
          </cell>
          <cell r="EX67">
            <v>0</v>
          </cell>
          <cell r="EY67">
            <v>0</v>
          </cell>
          <cell r="EZ67">
            <v>0</v>
          </cell>
          <cell r="FA67">
            <v>0</v>
          </cell>
        </row>
        <row r="68"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O68">
            <v>0</v>
          </cell>
          <cell r="P68">
            <v>0</v>
          </cell>
          <cell r="Q68">
            <v>0</v>
          </cell>
          <cell r="R68">
            <v>0</v>
          </cell>
          <cell r="S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G68">
            <v>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0</v>
          </cell>
          <cell r="BK68">
            <v>0</v>
          </cell>
          <cell r="BL68">
            <v>0</v>
          </cell>
          <cell r="BM68">
            <v>0</v>
          </cell>
          <cell r="BN68">
            <v>0</v>
          </cell>
          <cell r="BO68">
            <v>0</v>
          </cell>
          <cell r="BQ68">
            <v>0</v>
          </cell>
          <cell r="BR68">
            <v>0</v>
          </cell>
          <cell r="BS68">
            <v>0</v>
          </cell>
          <cell r="BT68">
            <v>0</v>
          </cell>
          <cell r="BU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  <cell r="CI68">
            <v>0</v>
          </cell>
          <cell r="CJ68">
            <v>0</v>
          </cell>
          <cell r="CK68">
            <v>0</v>
          </cell>
          <cell r="CL68">
            <v>0</v>
          </cell>
          <cell r="CM68">
            <v>0</v>
          </cell>
          <cell r="CO68">
            <v>0</v>
          </cell>
          <cell r="CP68">
            <v>0</v>
          </cell>
          <cell r="CQ68">
            <v>0</v>
          </cell>
          <cell r="CR68">
            <v>0</v>
          </cell>
          <cell r="CS68">
            <v>0</v>
          </cell>
          <cell r="CU68">
            <v>0</v>
          </cell>
          <cell r="CV68">
            <v>0</v>
          </cell>
          <cell r="CW68">
            <v>0</v>
          </cell>
          <cell r="CX68">
            <v>0</v>
          </cell>
          <cell r="CY68">
            <v>0</v>
          </cell>
          <cell r="DA68">
            <v>0</v>
          </cell>
          <cell r="DB68">
            <v>0</v>
          </cell>
          <cell r="DC68">
            <v>0</v>
          </cell>
          <cell r="DE68">
            <v>0</v>
          </cell>
          <cell r="DG68">
            <v>0</v>
          </cell>
          <cell r="DH68">
            <v>0</v>
          </cell>
          <cell r="DI68">
            <v>0</v>
          </cell>
          <cell r="DJ68">
            <v>0</v>
          </cell>
          <cell r="DK68">
            <v>0</v>
          </cell>
          <cell r="DM68">
            <v>0</v>
          </cell>
          <cell r="DN68">
            <v>0</v>
          </cell>
          <cell r="DO68">
            <v>0</v>
          </cell>
          <cell r="DP68">
            <v>0</v>
          </cell>
          <cell r="DQ68">
            <v>0</v>
          </cell>
          <cell r="DS68">
            <v>6873</v>
          </cell>
          <cell r="DT68">
            <v>7759</v>
          </cell>
          <cell r="DU68">
            <v>7688</v>
          </cell>
          <cell r="DV68">
            <v>9608</v>
          </cell>
          <cell r="DW68">
            <v>31928</v>
          </cell>
          <cell r="DY68">
            <v>7097</v>
          </cell>
          <cell r="DZ68">
            <v>7965</v>
          </cell>
          <cell r="EA68">
            <v>8018</v>
          </cell>
          <cell r="EB68">
            <v>9931</v>
          </cell>
          <cell r="EC68">
            <v>33011</v>
          </cell>
          <cell r="EE68">
            <v>7267</v>
          </cell>
          <cell r="EF68">
            <v>8154</v>
          </cell>
          <cell r="EG68">
            <v>7946</v>
          </cell>
          <cell r="EH68">
            <v>9234</v>
          </cell>
          <cell r="EI68">
            <v>32601</v>
          </cell>
          <cell r="EK68">
            <v>6977</v>
          </cell>
          <cell r="EL68">
            <v>7483</v>
          </cell>
          <cell r="EM68">
            <v>7581.9771520000004</v>
          </cell>
          <cell r="EN68">
            <v>8691.3216159999993</v>
          </cell>
          <cell r="EO68">
            <v>30733.298768000001</v>
          </cell>
          <cell r="EQ68">
            <v>6905.5019560000001</v>
          </cell>
          <cell r="ER68">
            <v>7322.1587777600016</v>
          </cell>
          <cell r="ES68">
            <v>7341.1511974047989</v>
          </cell>
          <cell r="ET68">
            <v>8298.5448123247043</v>
          </cell>
          <cell r="EU68">
            <v>29867.356743489505</v>
          </cell>
          <cell r="EW68">
            <v>6649.0657659365861</v>
          </cell>
          <cell r="EX68">
            <v>6999.5082672568542</v>
          </cell>
          <cell r="EY68">
            <v>6998.0451315137161</v>
          </cell>
          <cell r="EZ68">
            <v>7801.7320851229915</v>
          </cell>
          <cell r="FA68">
            <v>28448.351249830146</v>
          </cell>
        </row>
        <row r="69"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O69">
            <v>0</v>
          </cell>
          <cell r="P69">
            <v>0</v>
          </cell>
          <cell r="Q69">
            <v>0</v>
          </cell>
          <cell r="R69">
            <v>0</v>
          </cell>
          <cell r="S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G69">
            <v>0</v>
          </cell>
          <cell r="AH69">
            <v>0</v>
          </cell>
          <cell r="AI69">
            <v>0</v>
          </cell>
          <cell r="AJ69">
            <v>0</v>
          </cell>
          <cell r="AK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0</v>
          </cell>
          <cell r="BK69">
            <v>0</v>
          </cell>
          <cell r="BL69">
            <v>0</v>
          </cell>
          <cell r="BM69">
            <v>0</v>
          </cell>
          <cell r="BN69">
            <v>0</v>
          </cell>
          <cell r="BO69">
            <v>0</v>
          </cell>
          <cell r="BQ69">
            <v>0</v>
          </cell>
          <cell r="BR69">
            <v>0</v>
          </cell>
          <cell r="BS69">
            <v>0</v>
          </cell>
          <cell r="BT69">
            <v>0</v>
          </cell>
          <cell r="BU69">
            <v>0</v>
          </cell>
          <cell r="BW69">
            <v>0</v>
          </cell>
          <cell r="BX69">
            <v>0</v>
          </cell>
          <cell r="BY69">
            <v>0</v>
          </cell>
          <cell r="BZ69">
            <v>0</v>
          </cell>
          <cell r="CA69">
            <v>0</v>
          </cell>
          <cell r="CC69">
            <v>0</v>
          </cell>
          <cell r="CD69">
            <v>0</v>
          </cell>
          <cell r="CE69">
            <v>0</v>
          </cell>
          <cell r="CF69">
            <v>0</v>
          </cell>
          <cell r="CG69">
            <v>0</v>
          </cell>
          <cell r="CI69">
            <v>0</v>
          </cell>
          <cell r="CJ69">
            <v>0</v>
          </cell>
          <cell r="CK69">
            <v>0</v>
          </cell>
          <cell r="CL69">
            <v>0</v>
          </cell>
          <cell r="CM69">
            <v>0</v>
          </cell>
          <cell r="CO69">
            <v>0</v>
          </cell>
          <cell r="CP69">
            <v>0</v>
          </cell>
          <cell r="CQ69">
            <v>0</v>
          </cell>
          <cell r="CR69">
            <v>0</v>
          </cell>
          <cell r="CS69">
            <v>0</v>
          </cell>
          <cell r="CU69">
            <v>0</v>
          </cell>
          <cell r="CV69">
            <v>0</v>
          </cell>
          <cell r="CW69">
            <v>0</v>
          </cell>
          <cell r="CX69">
            <v>0</v>
          </cell>
          <cell r="CY69">
            <v>0</v>
          </cell>
          <cell r="DA69">
            <v>0</v>
          </cell>
          <cell r="DB69">
            <v>0</v>
          </cell>
          <cell r="DC69">
            <v>0</v>
          </cell>
          <cell r="DE69">
            <v>0</v>
          </cell>
          <cell r="DG69">
            <v>0</v>
          </cell>
          <cell r="DH69">
            <v>0</v>
          </cell>
          <cell r="DI69">
            <v>0</v>
          </cell>
          <cell r="DJ69">
            <v>0</v>
          </cell>
          <cell r="DK69">
            <v>0</v>
          </cell>
          <cell r="DM69">
            <v>0</v>
          </cell>
          <cell r="DN69">
            <v>0</v>
          </cell>
          <cell r="DO69">
            <v>0</v>
          </cell>
          <cell r="DP69">
            <v>0</v>
          </cell>
          <cell r="DQ69">
            <v>0</v>
          </cell>
          <cell r="DS69">
            <v>0</v>
          </cell>
          <cell r="DT69">
            <v>0</v>
          </cell>
          <cell r="DU69">
            <v>0</v>
          </cell>
          <cell r="DV69">
            <v>0</v>
          </cell>
          <cell r="DW69">
            <v>0</v>
          </cell>
          <cell r="DY69">
            <v>3.2591299287065389E-2</v>
          </cell>
          <cell r="DZ69">
            <v>2.6549813120247512E-2</v>
          </cell>
          <cell r="EA69">
            <v>4.2924037460978059E-2</v>
          </cell>
          <cell r="EB69">
            <v>3.3617818484596107E-2</v>
          </cell>
          <cell r="EC69">
            <v>3.3920070157855253E-2</v>
          </cell>
          <cell r="EE69">
            <v>2.3953783288713559E-2</v>
          </cell>
          <cell r="EF69">
            <v>2.3728813559322104E-2</v>
          </cell>
          <cell r="EG69">
            <v>-8.9797954602145458E-3</v>
          </cell>
          <cell r="EH69">
            <v>-7.0184271473164861E-2</v>
          </cell>
          <cell r="EI69">
            <v>-1.2420102390112375E-2</v>
          </cell>
          <cell r="EK69">
            <v>-3.9906426310719723E-2</v>
          </cell>
          <cell r="EL69">
            <v>-8.2290900171694825E-2</v>
          </cell>
          <cell r="EM69">
            <v>-4.581208759124078E-2</v>
          </cell>
          <cell r="EN69">
            <v>-5.8769588910548065E-2</v>
          </cell>
          <cell r="EO69">
            <v>-5.7289691481856364E-2</v>
          </cell>
          <cell r="EQ69">
            <v>-1.0247677225168395E-2</v>
          </cell>
          <cell r="ER69">
            <v>-2.1494216522784715E-2</v>
          </cell>
          <cell r="ES69">
            <v>-3.1762949131504015E-2</v>
          </cell>
          <cell r="ET69">
            <v>-4.5191838598197309E-2</v>
          </cell>
          <cell r="EU69">
            <v>-2.8176019471496727E-2</v>
          </cell>
          <cell r="EW69">
            <v>-3.7135054294004433E-2</v>
          </cell>
          <cell r="EX69">
            <v>-4.4064943180848748E-2</v>
          </cell>
          <cell r="EY69">
            <v>-4.6737365389283303E-2</v>
          </cell>
          <cell r="EZ69">
            <v>-5.986745127457338E-2</v>
          </cell>
          <cell r="FA69">
            <v>-4.7510246917604304E-2</v>
          </cell>
        </row>
        <row r="70"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O70">
            <v>0</v>
          </cell>
          <cell r="P70">
            <v>0</v>
          </cell>
          <cell r="Q70">
            <v>0</v>
          </cell>
          <cell r="R70">
            <v>0</v>
          </cell>
          <cell r="S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G70">
            <v>0</v>
          </cell>
          <cell r="AH70">
            <v>0</v>
          </cell>
          <cell r="AI70">
            <v>0</v>
          </cell>
          <cell r="AJ70">
            <v>0</v>
          </cell>
          <cell r="AK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0</v>
          </cell>
          <cell r="BK70">
            <v>0</v>
          </cell>
          <cell r="BL70">
            <v>0</v>
          </cell>
          <cell r="BM70">
            <v>0</v>
          </cell>
          <cell r="BN70">
            <v>0</v>
          </cell>
          <cell r="BO70">
            <v>0</v>
          </cell>
          <cell r="BQ70">
            <v>0</v>
          </cell>
          <cell r="BR70">
            <v>0</v>
          </cell>
          <cell r="BS70">
            <v>0</v>
          </cell>
          <cell r="BT70">
            <v>0</v>
          </cell>
          <cell r="BU70">
            <v>0</v>
          </cell>
          <cell r="BW70">
            <v>0</v>
          </cell>
          <cell r="BX70">
            <v>0</v>
          </cell>
          <cell r="BY70">
            <v>0</v>
          </cell>
          <cell r="BZ70">
            <v>0</v>
          </cell>
          <cell r="CA70">
            <v>0</v>
          </cell>
          <cell r="CC70">
            <v>0</v>
          </cell>
          <cell r="CD70">
            <v>0</v>
          </cell>
          <cell r="CE70">
            <v>0</v>
          </cell>
          <cell r="CF70">
            <v>0</v>
          </cell>
          <cell r="CG70">
            <v>0</v>
          </cell>
          <cell r="CI70">
            <v>0</v>
          </cell>
          <cell r="CJ70">
            <v>0</v>
          </cell>
          <cell r="CK70">
            <v>0</v>
          </cell>
          <cell r="CL70">
            <v>0</v>
          </cell>
          <cell r="CM70">
            <v>0</v>
          </cell>
          <cell r="CO70">
            <v>0</v>
          </cell>
          <cell r="CP70">
            <v>0</v>
          </cell>
          <cell r="CQ70">
            <v>0</v>
          </cell>
          <cell r="CR70">
            <v>0</v>
          </cell>
          <cell r="CS70">
            <v>0</v>
          </cell>
          <cell r="CU70">
            <v>0</v>
          </cell>
          <cell r="CV70">
            <v>0</v>
          </cell>
          <cell r="CW70">
            <v>0</v>
          </cell>
          <cell r="CX70">
            <v>0</v>
          </cell>
          <cell r="CY70">
            <v>0</v>
          </cell>
          <cell r="DA70">
            <v>0</v>
          </cell>
          <cell r="DB70">
            <v>0</v>
          </cell>
          <cell r="DC70">
            <v>0</v>
          </cell>
          <cell r="DE70">
            <v>0</v>
          </cell>
          <cell r="DG70">
            <v>0</v>
          </cell>
          <cell r="DH70">
            <v>0</v>
          </cell>
          <cell r="DI70">
            <v>0</v>
          </cell>
          <cell r="DJ70">
            <v>0</v>
          </cell>
          <cell r="DK70">
            <v>0</v>
          </cell>
          <cell r="DM70">
            <v>0</v>
          </cell>
          <cell r="DN70">
            <v>0</v>
          </cell>
          <cell r="DO70">
            <v>0</v>
          </cell>
          <cell r="DP70">
            <v>0</v>
          </cell>
          <cell r="DQ70">
            <v>0</v>
          </cell>
          <cell r="DS70">
            <v>0</v>
          </cell>
          <cell r="DT70">
            <v>0.1289102284300887</v>
          </cell>
          <cell r="DU70">
            <v>-9.1506637453280248E-3</v>
          </cell>
          <cell r="DV70">
            <v>0.24973985431841839</v>
          </cell>
          <cell r="DW70">
            <v>0</v>
          </cell>
          <cell r="DY70">
            <v>-0.26134471273938387</v>
          </cell>
          <cell r="DZ70">
            <v>0.12230519938001971</v>
          </cell>
          <cell r="EA70">
            <v>6.6541117388574378E-3</v>
          </cell>
          <cell r="EB70">
            <v>0.23858817660264409</v>
          </cell>
          <cell r="EC70">
            <v>0</v>
          </cell>
          <cell r="EE70">
            <v>-0.2682509314268452</v>
          </cell>
          <cell r="EF70">
            <v>0.12205862116416677</v>
          </cell>
          <cell r="EG70">
            <v>-2.5508952661270512E-2</v>
          </cell>
          <cell r="EH70">
            <v>0.16209413541404483</v>
          </cell>
          <cell r="EI70">
            <v>0</v>
          </cell>
          <cell r="EK70">
            <v>-0.24442278535845785</v>
          </cell>
          <cell r="EL70">
            <v>7.252400745305998E-2</v>
          </cell>
          <cell r="EM70">
            <v>1.3226934651877631E-2</v>
          </cell>
          <cell r="EN70">
            <v>0.14631334832067799</v>
          </cell>
          <cell r="EO70">
            <v>0</v>
          </cell>
          <cell r="EQ70">
            <v>-0.20547158866063064</v>
          </cell>
          <cell r="ER70">
            <v>6.033693486944558E-2</v>
          </cell>
          <cell r="ES70">
            <v>2.5938278889121591E-3</v>
          </cell>
          <cell r="ET70">
            <v>0.13041464331348429</v>
          </cell>
          <cell r="EU70">
            <v>0</v>
          </cell>
          <cell r="EW70">
            <v>-0.19876726386274013</v>
          </cell>
          <cell r="EX70">
            <v>5.2705524904806733E-2</v>
          </cell>
          <cell r="EY70">
            <v>-2.090340760053655E-4</v>
          </cell>
          <cell r="EZ70">
            <v>0.11484449421311949</v>
          </cell>
          <cell r="FA70">
            <v>0</v>
          </cell>
        </row>
        <row r="71"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O71">
            <v>0</v>
          </cell>
          <cell r="P71">
            <v>0</v>
          </cell>
          <cell r="Q71">
            <v>0</v>
          </cell>
          <cell r="R71">
            <v>0</v>
          </cell>
          <cell r="S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0</v>
          </cell>
          <cell r="BK71">
            <v>0</v>
          </cell>
          <cell r="BL71">
            <v>0</v>
          </cell>
          <cell r="BM71">
            <v>0</v>
          </cell>
          <cell r="BN71">
            <v>0</v>
          </cell>
          <cell r="BO71">
            <v>0</v>
          </cell>
          <cell r="BU71">
            <v>0</v>
          </cell>
          <cell r="CA71">
            <v>0</v>
          </cell>
          <cell r="CC71">
            <v>0</v>
          </cell>
          <cell r="CD71">
            <v>0</v>
          </cell>
          <cell r="CE71">
            <v>0</v>
          </cell>
          <cell r="CF71">
            <v>0</v>
          </cell>
          <cell r="CG71">
            <v>0</v>
          </cell>
          <cell r="CI71">
            <v>0</v>
          </cell>
          <cell r="CJ71">
            <v>0</v>
          </cell>
          <cell r="CK71">
            <v>0</v>
          </cell>
          <cell r="CL71">
            <v>0</v>
          </cell>
          <cell r="CM71">
            <v>0</v>
          </cell>
          <cell r="CO71">
            <v>0</v>
          </cell>
          <cell r="CP71">
            <v>0</v>
          </cell>
          <cell r="CQ71">
            <v>0</v>
          </cell>
          <cell r="CR71">
            <v>0</v>
          </cell>
          <cell r="CS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DA71">
            <v>0</v>
          </cell>
          <cell r="DB71">
            <v>0</v>
          </cell>
          <cell r="DC71">
            <v>0</v>
          </cell>
          <cell r="DE71">
            <v>0</v>
          </cell>
          <cell r="DG71">
            <v>0</v>
          </cell>
          <cell r="DH71">
            <v>0</v>
          </cell>
          <cell r="DI71">
            <v>0</v>
          </cell>
          <cell r="DJ71">
            <v>0</v>
          </cell>
          <cell r="DK71">
            <v>0</v>
          </cell>
          <cell r="DM71">
            <v>0</v>
          </cell>
          <cell r="DN71">
            <v>0</v>
          </cell>
          <cell r="DO71">
            <v>0</v>
          </cell>
          <cell r="DP71">
            <v>0</v>
          </cell>
          <cell r="DQ71">
            <v>0</v>
          </cell>
          <cell r="DS71">
            <v>0</v>
          </cell>
          <cell r="DT71">
            <v>0</v>
          </cell>
          <cell r="DU71">
            <v>0</v>
          </cell>
          <cell r="DV71">
            <v>0</v>
          </cell>
          <cell r="DW71">
            <v>0</v>
          </cell>
          <cell r="DY71">
            <v>0</v>
          </cell>
          <cell r="DZ71">
            <v>0</v>
          </cell>
          <cell r="EA71">
            <v>0</v>
          </cell>
          <cell r="EB71">
            <v>0</v>
          </cell>
          <cell r="EC71">
            <v>0</v>
          </cell>
          <cell r="EE71">
            <v>0</v>
          </cell>
          <cell r="EF71">
            <v>0</v>
          </cell>
          <cell r="EG71">
            <v>0</v>
          </cell>
          <cell r="EH71">
            <v>0</v>
          </cell>
          <cell r="EI71">
            <v>0</v>
          </cell>
          <cell r="EK71">
            <v>0</v>
          </cell>
          <cell r="EL71">
            <v>0</v>
          </cell>
          <cell r="EM71">
            <v>0</v>
          </cell>
          <cell r="EN71">
            <v>0</v>
          </cell>
          <cell r="EO71">
            <v>0</v>
          </cell>
          <cell r="EQ71">
            <v>0</v>
          </cell>
          <cell r="ER71">
            <v>0</v>
          </cell>
          <cell r="ES71">
            <v>0</v>
          </cell>
          <cell r="ET71">
            <v>0</v>
          </cell>
          <cell r="EU71">
            <v>0</v>
          </cell>
          <cell r="EW71">
            <v>0</v>
          </cell>
          <cell r="EX71">
            <v>0</v>
          </cell>
          <cell r="EY71">
            <v>0</v>
          </cell>
          <cell r="EZ71">
            <v>0</v>
          </cell>
          <cell r="FA71">
            <v>0</v>
          </cell>
        </row>
        <row r="72">
          <cell r="C72" t="str">
            <v>-</v>
          </cell>
          <cell r="D72" t="str">
            <v>-</v>
          </cell>
          <cell r="E72" t="str">
            <v>-</v>
          </cell>
          <cell r="F72" t="str">
            <v>-</v>
          </cell>
          <cell r="G72">
            <v>76.677999999999997</v>
          </cell>
          <cell r="H72">
            <v>165.87</v>
          </cell>
          <cell r="I72">
            <v>251.82599999999999</v>
          </cell>
          <cell r="J72">
            <v>382.464</v>
          </cell>
          <cell r="K72">
            <v>522</v>
          </cell>
          <cell r="L72">
            <v>697</v>
          </cell>
          <cell r="M72">
            <v>902.14700000000005</v>
          </cell>
          <cell r="O72">
            <v>276.47400000000005</v>
          </cell>
          <cell r="P72">
            <v>327.27999999999997</v>
          </cell>
          <cell r="Q72">
            <v>347.245</v>
          </cell>
          <cell r="R72">
            <v>409.87900000000002</v>
          </cell>
          <cell r="S72">
            <v>1360.8780000000002</v>
          </cell>
          <cell r="U72">
            <v>421.803</v>
          </cell>
          <cell r="V72">
            <v>481.91</v>
          </cell>
          <cell r="W72">
            <v>505.23900000000003</v>
          </cell>
          <cell r="X72">
            <v>581.07399999999984</v>
          </cell>
          <cell r="Y72">
            <v>1990.0259999999998</v>
          </cell>
          <cell r="AA72">
            <v>608.00199999999995</v>
          </cell>
          <cell r="AB72">
            <v>704.92600000000004</v>
          </cell>
          <cell r="AC72">
            <v>708.35599999999999</v>
          </cell>
          <cell r="AD72">
            <v>840.60199999999998</v>
          </cell>
          <cell r="AE72">
            <v>2861.886</v>
          </cell>
          <cell r="AG72">
            <v>863.452</v>
          </cell>
          <cell r="AH72">
            <v>992.55899999999997</v>
          </cell>
          <cell r="AI72">
            <v>995.56399999999996</v>
          </cell>
          <cell r="AJ72">
            <v>1203.2299999999998</v>
          </cell>
          <cell r="AK72">
            <v>4054.8049999999994</v>
          </cell>
          <cell r="AM72">
            <v>1191.4969999999998</v>
          </cell>
          <cell r="AN72">
            <v>1310.6970000000001</v>
          </cell>
          <cell r="AO72">
            <v>1274.3130000000001</v>
          </cell>
          <cell r="AP72">
            <v>1459.877</v>
          </cell>
          <cell r="AQ72">
            <v>5236.384</v>
          </cell>
          <cell r="AS72">
            <v>1381.8710000000001</v>
          </cell>
          <cell r="AT72">
            <v>1444.712</v>
          </cell>
          <cell r="AU72">
            <v>1406.2119999999998</v>
          </cell>
          <cell r="AV72">
            <v>1582.3040000000001</v>
          </cell>
          <cell r="AW72">
            <v>5815.0990000000002</v>
          </cell>
          <cell r="AY72">
            <v>1516.7469999999998</v>
          </cell>
          <cell r="AZ72">
            <v>1593.2149999999999</v>
          </cell>
          <cell r="BA72">
            <v>1595.097</v>
          </cell>
          <cell r="BB72">
            <v>1671.75</v>
          </cell>
          <cell r="BC72">
            <v>6376.8089999999993</v>
          </cell>
          <cell r="BE72">
            <v>1553.9469999999999</v>
          </cell>
          <cell r="BF72">
            <v>1577.046</v>
          </cell>
          <cell r="BG72">
            <v>1476.367</v>
          </cell>
          <cell r="BH72">
            <v>1624.0030000000002</v>
          </cell>
          <cell r="BI72">
            <v>6231.3629999999994</v>
          </cell>
          <cell r="BK72">
            <v>1465</v>
          </cell>
          <cell r="BL72">
            <v>1544</v>
          </cell>
          <cell r="BM72">
            <v>1552</v>
          </cell>
          <cell r="BN72">
            <v>1644.4</v>
          </cell>
          <cell r="BO72">
            <v>6205.4</v>
          </cell>
          <cell r="BQ72">
            <v>1547</v>
          </cell>
          <cell r="BR72">
            <v>1643</v>
          </cell>
          <cell r="BS72">
            <v>1662</v>
          </cell>
          <cell r="BT72">
            <v>1763</v>
          </cell>
          <cell r="BU72">
            <v>6615</v>
          </cell>
          <cell r="BW72">
            <v>1652</v>
          </cell>
          <cell r="BX72">
            <v>1785</v>
          </cell>
          <cell r="BY72">
            <v>2146</v>
          </cell>
          <cell r="BZ72">
            <v>2446</v>
          </cell>
          <cell r="CA72">
            <v>8029</v>
          </cell>
          <cell r="CC72">
            <v>2278</v>
          </cell>
          <cell r="CD72">
            <v>2336</v>
          </cell>
          <cell r="CE72">
            <v>2438</v>
          </cell>
          <cell r="CF72">
            <v>2816</v>
          </cell>
          <cell r="CG72">
            <v>9868</v>
          </cell>
          <cell r="CI72">
            <v>2857</v>
          </cell>
          <cell r="CJ72">
            <v>3009</v>
          </cell>
          <cell r="CK72">
            <v>3059</v>
          </cell>
          <cell r="CL72">
            <v>3402</v>
          </cell>
          <cell r="CM72">
            <v>12327</v>
          </cell>
          <cell r="CO72">
            <v>3506</v>
          </cell>
          <cell r="CP72">
            <v>3696</v>
          </cell>
          <cell r="CQ72">
            <v>3755</v>
          </cell>
          <cell r="CR72">
            <v>4137</v>
          </cell>
          <cell r="CS72">
            <v>15094</v>
          </cell>
          <cell r="CU72">
            <v>4186</v>
          </cell>
          <cell r="CV72">
            <v>4061</v>
          </cell>
          <cell r="CW72">
            <v>3988</v>
          </cell>
          <cell r="CX72">
            <v>4137</v>
          </cell>
          <cell r="CY72">
            <v>16372</v>
          </cell>
          <cell r="DA72">
            <v>4035</v>
          </cell>
          <cell r="DB72">
            <v>4219</v>
          </cell>
          <cell r="DC72">
            <v>4478</v>
          </cell>
          <cell r="DE72">
            <v>17995</v>
          </cell>
          <cell r="DG72">
            <v>5223</v>
          </cell>
          <cell r="DH72">
            <v>5583</v>
          </cell>
          <cell r="DI72">
            <v>5558</v>
          </cell>
          <cell r="DJ72">
            <v>5913</v>
          </cell>
          <cell r="DK72">
            <v>22277</v>
          </cell>
          <cell r="DM72">
            <v>5871</v>
          </cell>
          <cell r="DN72">
            <v>5810</v>
          </cell>
          <cell r="DO72">
            <v>5819.3392000000003</v>
          </cell>
          <cell r="DP72">
            <v>5966.1597000000002</v>
          </cell>
          <cell r="DQ72">
            <v>23466.498899999999</v>
          </cell>
          <cell r="DS72">
            <v>5718</v>
          </cell>
          <cell r="DT72">
            <v>5864</v>
          </cell>
          <cell r="DU72">
            <v>5851</v>
          </cell>
          <cell r="DV72">
            <v>5965</v>
          </cell>
          <cell r="DW72">
            <v>23398</v>
          </cell>
          <cell r="DY72">
            <v>5947</v>
          </cell>
          <cell r="DZ72">
            <v>6089</v>
          </cell>
          <cell r="EA72">
            <v>6049</v>
          </cell>
          <cell r="EB72">
            <v>6232</v>
          </cell>
          <cell r="EC72">
            <v>24317</v>
          </cell>
          <cell r="EE72">
            <v>6174</v>
          </cell>
          <cell r="EF72">
            <v>6327</v>
          </cell>
          <cell r="EG72">
            <v>6110</v>
          </cell>
          <cell r="EH72">
            <v>6177</v>
          </cell>
          <cell r="EI72">
            <v>24788</v>
          </cell>
          <cell r="EK72">
            <v>6118</v>
          </cell>
          <cell r="EL72">
            <v>6094</v>
          </cell>
          <cell r="EM72">
            <v>6131.4611520000008</v>
          </cell>
          <cell r="EN72">
            <v>6178.1128360000002</v>
          </cell>
          <cell r="EO72">
            <v>24521.573988000004</v>
          </cell>
          <cell r="EQ72">
            <v>6251.5665272000006</v>
          </cell>
          <cell r="ER72">
            <v>6209.5418413367988</v>
          </cell>
          <cell r="ES72">
            <v>6170.7288690742953</v>
          </cell>
          <cell r="ET72">
            <v>6211.4808438243854</v>
          </cell>
          <cell r="EU72">
            <v>24843.318081435478</v>
          </cell>
          <cell r="EW72">
            <v>6181.0472136762801</v>
          </cell>
          <cell r="EX72">
            <v>6137.9227026296803</v>
          </cell>
          <cell r="EY72">
            <v>6082.009900075358</v>
          </cell>
          <cell r="EZ72">
            <v>6102.2077025879516</v>
          </cell>
          <cell r="FA72">
            <v>24503.187518969269</v>
          </cell>
        </row>
        <row r="73">
          <cell r="C73" t="str">
            <v>-</v>
          </cell>
          <cell r="D73" t="str">
            <v>-</v>
          </cell>
          <cell r="E73" t="str">
            <v>-</v>
          </cell>
          <cell r="F73" t="str">
            <v>-</v>
          </cell>
          <cell r="G73" t="str">
            <v>-</v>
          </cell>
          <cell r="H73">
            <v>1.1632019614491771</v>
          </cell>
          <cell r="I73">
            <v>0.51821305841924392</v>
          </cell>
          <cell r="J73">
            <v>0.51876295537394879</v>
          </cell>
          <cell r="K73">
            <v>0.36483433734939763</v>
          </cell>
          <cell r="L73">
            <v>0.33524904214559381</v>
          </cell>
          <cell r="M73">
            <v>0.29432855093256816</v>
          </cell>
          <cell r="O73" t="str">
            <v>-</v>
          </cell>
          <cell r="P73" t="str">
            <v>-</v>
          </cell>
          <cell r="Q73" t="str">
            <v>-</v>
          </cell>
          <cell r="R73" t="str">
            <v>-</v>
          </cell>
          <cell r="S73">
            <v>0.50848808453611238</v>
          </cell>
          <cell r="U73">
            <v>0.52565159834197761</v>
          </cell>
          <cell r="V73">
            <v>0.47247005622097316</v>
          </cell>
          <cell r="W73">
            <v>0.45499287246756626</v>
          </cell>
          <cell r="X73">
            <v>0.41767204467659913</v>
          </cell>
          <cell r="Y73">
            <v>0.46231036139903758</v>
          </cell>
          <cell r="AA73">
            <v>0.44143593099148171</v>
          </cell>
          <cell r="AB73">
            <v>0.46277520698885688</v>
          </cell>
          <cell r="AC73">
            <v>0.40202161749191956</v>
          </cell>
          <cell r="AD73">
            <v>0.4466350241105268</v>
          </cell>
          <cell r="AE73">
            <v>0.43811487890107981</v>
          </cell>
          <cell r="AG73">
            <v>0.42014664425445969</v>
          </cell>
          <cell r="AH73">
            <v>0.40803289990722424</v>
          </cell>
          <cell r="AI73">
            <v>0.40545714301848212</v>
          </cell>
          <cell r="AJ73">
            <v>0.43139083656712662</v>
          </cell>
          <cell r="AK73">
            <v>0.4168296710630679</v>
          </cell>
          <cell r="AM73">
            <v>0.37992268244210425</v>
          </cell>
          <cell r="AN73">
            <v>0.3205230117302853</v>
          </cell>
          <cell r="AO73">
            <v>0.27999104025456933</v>
          </cell>
          <cell r="AP73">
            <v>0.21329837188235024</v>
          </cell>
          <cell r="AQ73">
            <v>0.29140217593694406</v>
          </cell>
          <cell r="AS73">
            <v>0.15977715428574335</v>
          </cell>
          <cell r="AT73">
            <v>0.10224712500295641</v>
          </cell>
          <cell r="AU73">
            <v>0.1035059675291703</v>
          </cell>
          <cell r="AV73">
            <v>8.3861174605805999E-2</v>
          </cell>
          <cell r="AW73">
            <v>0.11051805979087859</v>
          </cell>
          <cell r="AY73">
            <v>9.7603900798265419E-2</v>
          </cell>
          <cell r="AZ73">
            <v>0.10279072922492505</v>
          </cell>
          <cell r="BA73">
            <v>0.13432185189715362</v>
          </cell>
          <cell r="BB73">
            <v>5.6528960300928244E-2</v>
          </cell>
          <cell r="BC73">
            <v>9.6595088062988888E-2</v>
          </cell>
          <cell r="BE73">
            <v>2.4526173448834898E-2</v>
          </cell>
          <cell r="BF73">
            <v>-1.014866166838746E-2</v>
          </cell>
          <cell r="BG73">
            <v>-7.4434344745178516E-2</v>
          </cell>
          <cell r="BH73">
            <v>-2.8561088679527336E-2</v>
          </cell>
          <cell r="BI73">
            <v>-2.2808586551674948E-2</v>
          </cell>
          <cell r="BK73">
            <v>-5.7239403917894172E-2</v>
          </cell>
          <cell r="BL73">
            <v>-2.0954366581570905E-2</v>
          </cell>
          <cell r="BM73">
            <v>5.1229132051854309E-2</v>
          </cell>
          <cell r="BN73">
            <v>1.2559705862612347E-2</v>
          </cell>
          <cell r="BO73">
            <v>-4.1665041821508098E-3</v>
          </cell>
          <cell r="BQ73">
            <v>5.5972696245733866E-2</v>
          </cell>
          <cell r="BR73">
            <v>6.4119170984455964E-2</v>
          </cell>
          <cell r="BS73">
            <v>7.0876288659793785E-2</v>
          </cell>
          <cell r="BT73">
            <v>7.2123570907321799E-2</v>
          </cell>
          <cell r="BU73">
            <v>6.6007026138524605E-2</v>
          </cell>
          <cell r="BW73">
            <v>6.7873303167420795E-2</v>
          </cell>
          <cell r="BX73">
            <v>8.6427267194157054E-2</v>
          </cell>
          <cell r="BY73">
            <v>0.2912154031287606</v>
          </cell>
          <cell r="BZ73">
            <v>0.38740782756664771</v>
          </cell>
          <cell r="CA73">
            <v>0.21375661375661381</v>
          </cell>
          <cell r="CC73">
            <v>0.37893462469733663</v>
          </cell>
          <cell r="CD73">
            <v>0.30868347338935576</v>
          </cell>
          <cell r="CE73">
            <v>0.13606710158434288</v>
          </cell>
          <cell r="CF73">
            <v>0.15126737530662315</v>
          </cell>
          <cell r="CG73">
            <v>0.22904471291568074</v>
          </cell>
          <cell r="CI73">
            <v>0.25417032484635649</v>
          </cell>
          <cell r="CJ73">
            <v>0.28809931506849318</v>
          </cell>
          <cell r="CK73">
            <v>0.25471698113207553</v>
          </cell>
          <cell r="CL73">
            <v>0.20809659090909083</v>
          </cell>
          <cell r="CM73">
            <v>0.249189298743413</v>
          </cell>
          <cell r="CO73">
            <v>0.2271613580679035</v>
          </cell>
          <cell r="CP73">
            <v>0.22831505483549352</v>
          </cell>
          <cell r="CQ73">
            <v>0.22752533507682249</v>
          </cell>
          <cell r="CR73">
            <v>0.21604938271604945</v>
          </cell>
          <cell r="CS73">
            <v>0.22446661799302348</v>
          </cell>
          <cell r="CU73">
            <v>0.19395322304620644</v>
          </cell>
          <cell r="CV73">
            <v>9.8755411255411207E-2</v>
          </cell>
          <cell r="CW73">
            <v>6.2050599201065149E-2</v>
          </cell>
          <cell r="CX73">
            <v>0</v>
          </cell>
          <cell r="CY73">
            <v>8.4669405061613912E-2</v>
          </cell>
          <cell r="DA73">
            <v>-3.6072623029144824E-2</v>
          </cell>
          <cell r="DB73">
            <v>3.8906673233193745E-2</v>
          </cell>
          <cell r="DC73">
            <v>0.1228686058174524</v>
          </cell>
          <cell r="DE73">
            <v>9.9132665526508568E-2</v>
          </cell>
          <cell r="DG73">
            <v>0.29442379182156131</v>
          </cell>
          <cell r="DH73">
            <v>0.3232993600379237</v>
          </cell>
          <cell r="DI73">
            <v>0.24117909781152291</v>
          </cell>
          <cell r="DJ73">
            <v>0.12350370511115338</v>
          </cell>
          <cell r="DK73">
            <v>0.23795498749652677</v>
          </cell>
          <cell r="DM73">
            <v>0.12406662837449733</v>
          </cell>
          <cell r="DN73">
            <v>4.0659143829482325E-2</v>
          </cell>
          <cell r="DO73">
            <v>4.7020367038503208E-2</v>
          </cell>
          <cell r="DP73">
            <v>8.9903094875698475E-3</v>
          </cell>
          <cell r="DQ73">
            <v>5.339582977959334E-2</v>
          </cell>
          <cell r="DS73">
            <v>-2.6060296371997915E-2</v>
          </cell>
          <cell r="DT73">
            <v>9.2943201376936013E-3</v>
          </cell>
          <cell r="DU73">
            <v>5.4406177251189458E-3</v>
          </cell>
          <cell r="DV73">
            <v>-1.9437964424584564E-4</v>
          </cell>
          <cell r="DW73">
            <v>-2.9190080843291E-3</v>
          </cell>
          <cell r="DY73">
            <v>4.0048968170689037E-2</v>
          </cell>
          <cell r="DZ73">
            <v>3.8369713506139158E-2</v>
          </cell>
          <cell r="EA73">
            <v>3.3840369167663642E-2</v>
          </cell>
          <cell r="EB73">
            <v>4.4761106454316746E-2</v>
          </cell>
          <cell r="EC73">
            <v>3.9276861270194141E-2</v>
          </cell>
          <cell r="EE73">
            <v>3.8170506137548355E-2</v>
          </cell>
          <cell r="EF73">
            <v>3.9086877976679313E-2</v>
          </cell>
          <cell r="EG73">
            <v>1.0084311456439066E-2</v>
          </cell>
          <cell r="EH73">
            <v>-8.8254172015403975E-3</v>
          </cell>
          <cell r="EI73">
            <v>1.936916560430979E-2</v>
          </cell>
          <cell r="EK73">
            <v>-9.0702947845805459E-3</v>
          </cell>
          <cell r="EL73">
            <v>-3.6826299984194732E-2</v>
          </cell>
          <cell r="EM73">
            <v>3.5124635024550432E-3</v>
          </cell>
          <cell r="EN73">
            <v>1.8015800550430505E-4</v>
          </cell>
          <cell r="EO73">
            <v>-1.0748185089559326E-2</v>
          </cell>
          <cell r="EQ73">
            <v>2.1831730500163626E-2</v>
          </cell>
          <cell r="ER73">
            <v>1.8959934581030291E-2</v>
          </cell>
          <cell r="ES73">
            <v>6.4043000682612039E-3</v>
          </cell>
          <cell r="ET73">
            <v>5.401003301517715E-3</v>
          </cell>
          <cell r="EU73">
            <v>1.3120858130596602E-2</v>
          </cell>
          <cell r="EW73">
            <v>-1.1280262829627907E-2</v>
          </cell>
          <cell r="EX73">
            <v>-1.1533723507642923E-2</v>
          </cell>
          <cell r="EY73">
            <v>-1.4377388940805425E-2</v>
          </cell>
          <cell r="EZ73">
            <v>-1.7592124001328258E-2</v>
          </cell>
          <cell r="FA73">
            <v>-1.3691027959762625E-2</v>
          </cell>
        </row>
        <row r="74">
          <cell r="C74" t="str">
            <v>-</v>
          </cell>
          <cell r="D74" t="str">
            <v>-</v>
          </cell>
          <cell r="E74" t="str">
            <v>-</v>
          </cell>
          <cell r="F74" t="str">
            <v>-</v>
          </cell>
          <cell r="G74" t="str">
            <v>-</v>
          </cell>
          <cell r="H74" t="str">
            <v>-</v>
          </cell>
          <cell r="I74" t="str">
            <v>-</v>
          </cell>
          <cell r="J74" t="str">
            <v>-</v>
          </cell>
          <cell r="K74" t="str">
            <v>-</v>
          </cell>
          <cell r="L74" t="str">
            <v>-</v>
          </cell>
          <cell r="M74" t="str">
            <v>-</v>
          </cell>
          <cell r="O74" t="str">
            <v>-</v>
          </cell>
          <cell r="P74">
            <v>0.1837641152513434</v>
          </cell>
          <cell r="Q74">
            <v>6.1002811048643357E-2</v>
          </cell>
          <cell r="R74">
            <v>0.18037408745986272</v>
          </cell>
          <cell r="S74" t="str">
            <v>-</v>
          </cell>
          <cell r="U74">
            <v>2.9091512373163653E-2</v>
          </cell>
          <cell r="V74">
            <v>0.14250017188118624</v>
          </cell>
          <cell r="W74">
            <v>4.840945404743624E-2</v>
          </cell>
          <cell r="X74">
            <v>0.15009728069289952</v>
          </cell>
          <cell r="Y74" t="str">
            <v>-</v>
          </cell>
          <cell r="AA74">
            <v>4.6341774025339566E-2</v>
          </cell>
          <cell r="AB74">
            <v>0.15941394929621966</v>
          </cell>
          <cell r="AC74">
            <v>4.8657589590963557E-3</v>
          </cell>
          <cell r="AD74">
            <v>0.1866942610777631</v>
          </cell>
          <cell r="AE74" t="str">
            <v>-</v>
          </cell>
          <cell r="AG74">
            <v>2.7182899874137911E-2</v>
          </cell>
          <cell r="AH74">
            <v>0.1495242352788575</v>
          </cell>
          <cell r="AI74">
            <v>3.0275278346174606E-3</v>
          </cell>
          <cell r="AJ74">
            <v>0.2085913110558435</v>
          </cell>
          <cell r="AK74" t="str">
            <v>-</v>
          </cell>
          <cell r="AM74">
            <v>-9.7512528776708685E-3</v>
          </cell>
          <cell r="AN74">
            <v>0.10004221580079542</v>
          </cell>
          <cell r="AO74">
            <v>-2.7759276171380631E-2</v>
          </cell>
          <cell r="AP74">
            <v>0.14561885502227456</v>
          </cell>
          <cell r="AQ74" t="str">
            <v>-</v>
          </cell>
          <cell r="AS74">
            <v>-5.3433268693184321E-2</v>
          </cell>
          <cell r="AT74">
            <v>4.5475301240130106E-2</v>
          </cell>
          <cell r="AU74">
            <v>-2.6648909955756084E-2</v>
          </cell>
          <cell r="AV74">
            <v>0.1252243616183053</v>
          </cell>
          <cell r="AW74" t="str">
            <v>-</v>
          </cell>
          <cell r="AY74">
            <v>-4.1431355795093938E-2</v>
          </cell>
          <cell r="AZ74">
            <v>5.0415791163588963E-2</v>
          </cell>
          <cell r="BA74">
            <v>1.181259277624136E-3</v>
          </cell>
          <cell r="BB74">
            <v>4.8055384719549954E-2</v>
          </cell>
          <cell r="BC74" t="str">
            <v>-</v>
          </cell>
          <cell r="BE74">
            <v>-7.04668760281143E-2</v>
          </cell>
          <cell r="BF74">
            <v>1.4864728333720656E-2</v>
          </cell>
          <cell r="BG74">
            <v>-6.3840243087392556E-2</v>
          </cell>
          <cell r="BH74">
            <v>9.9999525863149419E-2</v>
          </cell>
          <cell r="BI74" t="str">
            <v>-</v>
          </cell>
          <cell r="BK74">
            <v>-9.7908070366865219E-2</v>
          </cell>
          <cell r="BL74">
            <v>5.3924914675767877E-2</v>
          </cell>
          <cell r="BM74">
            <v>5.1813471502590858E-3</v>
          </cell>
          <cell r="BN74">
            <v>5.9536082474226815E-2</v>
          </cell>
          <cell r="BO74" t="str">
            <v>-</v>
          </cell>
          <cell r="BQ74">
            <v>-5.9231330576502095E-2</v>
          </cell>
          <cell r="BR74">
            <v>6.2055591467356175E-2</v>
          </cell>
          <cell r="BS74">
            <v>1.1564211807668867E-2</v>
          </cell>
          <cell r="BT74">
            <v>6.0770156438026524E-2</v>
          </cell>
          <cell r="BU74" t="str">
            <v>-</v>
          </cell>
          <cell r="BW74">
            <v>-6.2960862166761222E-2</v>
          </cell>
          <cell r="BX74">
            <v>8.0508474576271194E-2</v>
          </cell>
          <cell r="BY74">
            <v>0.20224089635854336</v>
          </cell>
          <cell r="BZ74">
            <v>0.13979496738117425</v>
          </cell>
          <cell r="CA74" t="str">
            <v>-</v>
          </cell>
          <cell r="CC74">
            <v>-6.8683565004088343E-2</v>
          </cell>
          <cell r="CD74">
            <v>2.5460930640913038E-2</v>
          </cell>
          <cell r="CE74">
            <v>4.3664383561643927E-2</v>
          </cell>
          <cell r="CF74">
            <v>0.15504511894995909</v>
          </cell>
          <cell r="CG74" t="str">
            <v>-</v>
          </cell>
          <cell r="CI74">
            <v>1.4559659090909172E-2</v>
          </cell>
          <cell r="CJ74">
            <v>5.3202660133006674E-2</v>
          </cell>
          <cell r="CK74">
            <v>1.6616816218012698E-2</v>
          </cell>
          <cell r="CL74">
            <v>0.11212814645308922</v>
          </cell>
          <cell r="CM74" t="str">
            <v>-</v>
          </cell>
          <cell r="CO74">
            <v>3.0570252792474939E-2</v>
          </cell>
          <cell r="CP74">
            <v>5.4192812321734118E-2</v>
          </cell>
          <cell r="CQ74">
            <v>1.5963203463203568E-2</v>
          </cell>
          <cell r="CR74">
            <v>0.10173102529960043</v>
          </cell>
          <cell r="CS74" t="str">
            <v>-</v>
          </cell>
          <cell r="CU74">
            <v>1.1844331641285955E-2</v>
          </cell>
          <cell r="CV74">
            <v>-2.9861442904921209E-2</v>
          </cell>
          <cell r="CW74">
            <v>-1.7975868012804708E-2</v>
          </cell>
          <cell r="CX74">
            <v>3.7362086258776239E-2</v>
          </cell>
          <cell r="CY74" t="str">
            <v>-</v>
          </cell>
          <cell r="DA74">
            <v>-2.4655547498187103E-2</v>
          </cell>
          <cell r="DB74">
            <v>4.5600991325898343E-2</v>
          </cell>
          <cell r="DC74">
            <v>6.1388954728608613E-2</v>
          </cell>
          <cell r="DE74" t="str">
            <v>-</v>
          </cell>
          <cell r="DG74">
            <v>-7.6002280068402372E-3</v>
          </cell>
          <cell r="DH74">
            <v>6.8925904652498593E-2</v>
          </cell>
          <cell r="DI74">
            <v>-4.4778792763746633E-3</v>
          </cell>
          <cell r="DJ74">
            <v>6.387189636559909E-2</v>
          </cell>
          <cell r="DK74" t="str">
            <v>-</v>
          </cell>
          <cell r="DM74">
            <v>-7.102993404363267E-3</v>
          </cell>
          <cell r="DN74">
            <v>-1.0390052801907634E-2</v>
          </cell>
          <cell r="DO74">
            <v>1.6074354561101956E-3</v>
          </cell>
          <cell r="DP74">
            <v>2.522975460856447E-2</v>
          </cell>
          <cell r="DQ74" t="str">
            <v>-</v>
          </cell>
          <cell r="DS74">
            <v>-4.1594545315305598E-2</v>
          </cell>
          <cell r="DT74">
            <v>2.553340328786291E-2</v>
          </cell>
          <cell r="DU74">
            <v>-2.2169167803547385E-3</v>
          </cell>
          <cell r="DV74">
            <v>1.9483848914715329E-2</v>
          </cell>
          <cell r="DW74" t="str">
            <v>-</v>
          </cell>
          <cell r="DY74">
            <v>-3.0176026823135471E-3</v>
          </cell>
          <cell r="DZ74">
            <v>2.387758533714468E-2</v>
          </cell>
          <cell r="EA74">
            <v>-6.5692231893578201E-3</v>
          </cell>
          <cell r="EB74">
            <v>3.0252934369317197E-2</v>
          </cell>
          <cell r="EC74" t="str">
            <v>-</v>
          </cell>
          <cell r="EE74">
            <v>-9.3068035943517646E-3</v>
          </cell>
          <cell r="EF74">
            <v>2.4781341107871668E-2</v>
          </cell>
          <cell r="EG74">
            <v>-3.4297455350086881E-2</v>
          </cell>
          <cell r="EH74">
            <v>1.0965630114566194E-2</v>
          </cell>
          <cell r="EI74" t="str">
            <v>-</v>
          </cell>
          <cell r="EK74">
            <v>-9.5515622470454531E-3</v>
          </cell>
          <cell r="EL74">
            <v>-3.9228506047728207E-3</v>
          </cell>
          <cell r="EM74">
            <v>6.1472189038400682E-3</v>
          </cell>
          <cell r="EN74">
            <v>7.6085753205470397E-3</v>
          </cell>
          <cell r="EO74" t="str">
            <v>-</v>
          </cell>
          <cell r="EQ74">
            <v>1.1889341154791566E-2</v>
          </cell>
          <cell r="ER74">
            <v>-6.7222648403973961E-3</v>
          </cell>
          <cell r="ES74">
            <v>-6.2505371981111946E-3</v>
          </cell>
          <cell r="ET74">
            <v>6.6040779970621966E-3</v>
          </cell>
          <cell r="EU74" t="str">
            <v>-</v>
          </cell>
          <cell r="EW74">
            <v>-4.8995772366203783E-3</v>
          </cell>
          <cell r="EX74">
            <v>-6.9768939721381873E-3</v>
          </cell>
          <cell r="EY74">
            <v>-9.1094015456348876E-3</v>
          </cell>
          <cell r="EZ74">
            <v>3.3209091804247137E-3</v>
          </cell>
          <cell r="FA74" t="str">
            <v>-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0</v>
          </cell>
          <cell r="BK75">
            <v>0</v>
          </cell>
          <cell r="BL75">
            <v>0</v>
          </cell>
          <cell r="BM75">
            <v>0</v>
          </cell>
          <cell r="BN75">
            <v>0</v>
          </cell>
          <cell r="BO75">
            <v>0</v>
          </cell>
          <cell r="BQ75">
            <v>0</v>
          </cell>
          <cell r="BR75">
            <v>0</v>
          </cell>
          <cell r="BS75">
            <v>0</v>
          </cell>
          <cell r="BT75">
            <v>0</v>
          </cell>
          <cell r="BU75">
            <v>0</v>
          </cell>
          <cell r="BW75">
            <v>0</v>
          </cell>
          <cell r="BX75">
            <v>0</v>
          </cell>
          <cell r="BY75">
            <v>0</v>
          </cell>
          <cell r="BZ75">
            <v>0</v>
          </cell>
          <cell r="CA75">
            <v>0</v>
          </cell>
          <cell r="CC75">
            <v>0</v>
          </cell>
          <cell r="CD75">
            <v>0</v>
          </cell>
          <cell r="CE75">
            <v>0</v>
          </cell>
          <cell r="CF75">
            <v>0</v>
          </cell>
          <cell r="CG75">
            <v>0</v>
          </cell>
          <cell r="CI75">
            <v>0</v>
          </cell>
          <cell r="CJ75">
            <v>0</v>
          </cell>
          <cell r="CK75">
            <v>0</v>
          </cell>
          <cell r="CL75">
            <v>0</v>
          </cell>
          <cell r="CM75">
            <v>0</v>
          </cell>
          <cell r="CO75">
            <v>0</v>
          </cell>
          <cell r="CP75">
            <v>0</v>
          </cell>
          <cell r="CQ75">
            <v>0</v>
          </cell>
          <cell r="CR75">
            <v>0</v>
          </cell>
          <cell r="CS75">
            <v>0</v>
          </cell>
          <cell r="CU75">
            <v>0</v>
          </cell>
          <cell r="CV75">
            <v>0</v>
          </cell>
          <cell r="CW75">
            <v>0</v>
          </cell>
          <cell r="CX75">
            <v>0</v>
          </cell>
          <cell r="CY75">
            <v>0</v>
          </cell>
          <cell r="DA75">
            <v>0</v>
          </cell>
          <cell r="DB75">
            <v>0</v>
          </cell>
          <cell r="DC75">
            <v>0</v>
          </cell>
          <cell r="DE75">
            <v>0</v>
          </cell>
          <cell r="DG75">
            <v>0</v>
          </cell>
          <cell r="DH75">
            <v>0</v>
          </cell>
          <cell r="DI75">
            <v>0</v>
          </cell>
          <cell r="DJ75">
            <v>0</v>
          </cell>
          <cell r="DK75">
            <v>0</v>
          </cell>
          <cell r="DM75">
            <v>0</v>
          </cell>
          <cell r="DN75">
            <v>0</v>
          </cell>
          <cell r="DO75">
            <v>0</v>
          </cell>
          <cell r="DP75">
            <v>0</v>
          </cell>
          <cell r="DQ75">
            <v>0</v>
          </cell>
          <cell r="DS75">
            <v>0</v>
          </cell>
          <cell r="DT75">
            <v>0</v>
          </cell>
          <cell r="DU75">
            <v>0</v>
          </cell>
          <cell r="DV75">
            <v>0</v>
          </cell>
          <cell r="DW75">
            <v>0</v>
          </cell>
          <cell r="DY75">
            <v>0</v>
          </cell>
          <cell r="DZ75">
            <v>0</v>
          </cell>
          <cell r="EA75">
            <v>0</v>
          </cell>
          <cell r="EB75">
            <v>0</v>
          </cell>
          <cell r="EC75">
            <v>0</v>
          </cell>
          <cell r="EE75">
            <v>0</v>
          </cell>
          <cell r="EF75">
            <v>0</v>
          </cell>
          <cell r="EG75">
            <v>0</v>
          </cell>
          <cell r="EH75">
            <v>0</v>
          </cell>
          <cell r="EI75">
            <v>0</v>
          </cell>
          <cell r="EK75">
            <v>0</v>
          </cell>
          <cell r="EL75">
            <v>0</v>
          </cell>
          <cell r="EM75">
            <v>0</v>
          </cell>
          <cell r="EN75">
            <v>0</v>
          </cell>
          <cell r="EO75">
            <v>0</v>
          </cell>
          <cell r="EQ75">
            <v>0</v>
          </cell>
          <cell r="ER75">
            <v>0</v>
          </cell>
          <cell r="ES75">
            <v>0</v>
          </cell>
          <cell r="ET75">
            <v>0</v>
          </cell>
          <cell r="EU75">
            <v>0</v>
          </cell>
          <cell r="EW75">
            <v>0</v>
          </cell>
          <cell r="EX75">
            <v>0</v>
          </cell>
          <cell r="EY75">
            <v>0</v>
          </cell>
          <cell r="EZ75">
            <v>0</v>
          </cell>
          <cell r="FA75">
            <v>0</v>
          </cell>
        </row>
        <row r="76">
          <cell r="C76">
            <v>12.715</v>
          </cell>
          <cell r="D76">
            <v>23.150999999999996</v>
          </cell>
          <cell r="E76">
            <v>55.344999999999999</v>
          </cell>
          <cell r="F76">
            <v>131.249</v>
          </cell>
          <cell r="G76">
            <v>282.113</v>
          </cell>
          <cell r="H76">
            <v>583.79999999999995</v>
          </cell>
          <cell r="I76">
            <v>916.39</v>
          </cell>
          <cell r="J76">
            <v>1027.9490000000001</v>
          </cell>
          <cell r="K76">
            <v>1179</v>
          </cell>
          <cell r="L76">
            <v>1503</v>
          </cell>
          <cell r="M76">
            <v>2001.1469999999999</v>
          </cell>
          <cell r="N76">
            <v>0</v>
          </cell>
          <cell r="O76">
            <v>556.47400000000005</v>
          </cell>
          <cell r="P76">
            <v>670.28</v>
          </cell>
          <cell r="Q76">
            <v>722.245</v>
          </cell>
          <cell r="R76">
            <v>1017.879</v>
          </cell>
          <cell r="S76">
            <v>2966.8779999999997</v>
          </cell>
          <cell r="T76">
            <v>0</v>
          </cell>
          <cell r="U76">
            <v>771.803</v>
          </cell>
          <cell r="V76">
            <v>967</v>
          </cell>
          <cell r="W76">
            <v>1020.239</v>
          </cell>
          <cell r="X76">
            <v>1464.0739999999998</v>
          </cell>
          <cell r="Y76">
            <v>4223.116</v>
          </cell>
          <cell r="Z76">
            <v>0</v>
          </cell>
          <cell r="AA76">
            <v>1052.319</v>
          </cell>
          <cell r="AB76">
            <v>1311.373</v>
          </cell>
          <cell r="AC76">
            <v>1372.6129999999998</v>
          </cell>
          <cell r="AD76">
            <v>1948.0309999999999</v>
          </cell>
          <cell r="AE76">
            <v>5684.3359999999993</v>
          </cell>
          <cell r="AF76">
            <v>0</v>
          </cell>
          <cell r="AG76">
            <v>1368.828</v>
          </cell>
          <cell r="AH76">
            <v>1613.7269999999999</v>
          </cell>
          <cell r="AI76">
            <v>1748.7570000000001</v>
          </cell>
          <cell r="AJ76">
            <v>2412.5529999999999</v>
          </cell>
          <cell r="AK76">
            <v>7143.8649999999998</v>
          </cell>
          <cell r="AL76">
            <v>0</v>
          </cell>
          <cell r="AM76">
            <v>1749.11</v>
          </cell>
          <cell r="AN76">
            <v>2055.9440000000004</v>
          </cell>
          <cell r="AO76">
            <v>2078.92</v>
          </cell>
          <cell r="AP76">
            <v>2943.2779999999998</v>
          </cell>
          <cell r="AQ76">
            <v>8827.2520000000004</v>
          </cell>
          <cell r="AR76">
            <v>0</v>
          </cell>
          <cell r="AS76">
            <v>1984.5170000000001</v>
          </cell>
          <cell r="AT76">
            <v>2321.8829999999998</v>
          </cell>
          <cell r="AU76">
            <v>2449.4179999999997</v>
          </cell>
          <cell r="AV76">
            <v>3374.3100000000004</v>
          </cell>
          <cell r="AW76">
            <v>10130.128000000001</v>
          </cell>
          <cell r="AX76">
            <v>0</v>
          </cell>
          <cell r="AY76">
            <v>2287.9920000000002</v>
          </cell>
          <cell r="AZ76">
            <v>2686.4079999999999</v>
          </cell>
          <cell r="BA76">
            <v>2696.0619999999999</v>
          </cell>
          <cell r="BB76">
            <v>3290.23</v>
          </cell>
          <cell r="BC76">
            <v>10960.691999999999</v>
          </cell>
          <cell r="BD76">
            <v>0</v>
          </cell>
          <cell r="BE76">
            <v>2265.0549999999998</v>
          </cell>
          <cell r="BF76">
            <v>2380.4369999999999</v>
          </cell>
          <cell r="BG76">
            <v>2253.3199999999997</v>
          </cell>
          <cell r="BH76">
            <v>2773.9810000000002</v>
          </cell>
          <cell r="BI76">
            <v>9672.7929999999997</v>
          </cell>
          <cell r="BJ76">
            <v>0</v>
          </cell>
          <cell r="BK76">
            <v>2028</v>
          </cell>
          <cell r="BL76">
            <v>2309</v>
          </cell>
          <cell r="BM76">
            <v>2307</v>
          </cell>
          <cell r="BN76">
            <v>2831.4</v>
          </cell>
          <cell r="BO76">
            <v>9475.4</v>
          </cell>
          <cell r="BP76">
            <v>0</v>
          </cell>
          <cell r="BQ76">
            <v>2072</v>
          </cell>
          <cell r="BR76">
            <v>2498</v>
          </cell>
          <cell r="BS76">
            <v>2509</v>
          </cell>
          <cell r="BT76">
            <v>3077</v>
          </cell>
          <cell r="BU76">
            <v>10156</v>
          </cell>
          <cell r="BV76">
            <v>0</v>
          </cell>
          <cell r="BW76">
            <v>2215</v>
          </cell>
          <cell r="BX76">
            <v>2756</v>
          </cell>
          <cell r="BY76">
            <v>3093</v>
          </cell>
          <cell r="BZ76">
            <v>4055</v>
          </cell>
          <cell r="CA76">
            <v>12119</v>
          </cell>
          <cell r="CB76">
            <v>0</v>
          </cell>
          <cell r="CC76">
            <v>2907</v>
          </cell>
          <cell r="CD76">
            <v>3394</v>
          </cell>
          <cell r="CE76">
            <v>3534.4</v>
          </cell>
          <cell r="CF76">
            <v>4937</v>
          </cell>
          <cell r="CG76">
            <v>14772.4</v>
          </cell>
          <cell r="CH76">
            <v>0</v>
          </cell>
          <cell r="CI76">
            <v>3661</v>
          </cell>
          <cell r="CJ76">
            <v>4216</v>
          </cell>
          <cell r="CK76">
            <v>4449</v>
          </cell>
          <cell r="CL76">
            <v>5883</v>
          </cell>
          <cell r="CM76">
            <v>18209</v>
          </cell>
          <cell r="CN76">
            <v>0</v>
          </cell>
          <cell r="CO76">
            <v>4593</v>
          </cell>
          <cell r="CP76">
            <v>5364</v>
          </cell>
          <cell r="CQ76">
            <v>5371</v>
          </cell>
          <cell r="CR76">
            <v>7281</v>
          </cell>
          <cell r="CS76">
            <v>22609</v>
          </cell>
          <cell r="CT76">
            <v>0</v>
          </cell>
          <cell r="CU76">
            <v>5422</v>
          </cell>
          <cell r="CV76">
            <v>5687</v>
          </cell>
          <cell r="CW76">
            <v>5504</v>
          </cell>
          <cell r="CX76">
            <v>6881</v>
          </cell>
          <cell r="CY76">
            <v>23494</v>
          </cell>
          <cell r="CZ76">
            <v>0</v>
          </cell>
          <cell r="DA76">
            <v>5063</v>
          </cell>
          <cell r="DB76">
            <v>5872</v>
          </cell>
          <cell r="DC76">
            <v>6469.4</v>
          </cell>
          <cell r="DD76">
            <v>9631</v>
          </cell>
          <cell r="DE76">
            <v>27035.4</v>
          </cell>
          <cell r="DF76">
            <v>0</v>
          </cell>
          <cell r="DG76">
            <v>7588</v>
          </cell>
          <cell r="DH76">
            <v>8694</v>
          </cell>
          <cell r="DI76">
            <v>8807</v>
          </cell>
          <cell r="DJ76">
            <v>10806</v>
          </cell>
          <cell r="DK76">
            <v>35895</v>
          </cell>
          <cell r="DL76">
            <v>0</v>
          </cell>
          <cell r="DM76">
            <v>8398</v>
          </cell>
          <cell r="DN76">
            <v>8811</v>
          </cell>
          <cell r="DO76">
            <v>9062.3392000000003</v>
          </cell>
          <cell r="DP76">
            <v>10950.1597</v>
          </cell>
          <cell r="DQ76">
            <v>37221.498900000006</v>
          </cell>
          <cell r="DR76">
            <v>0</v>
          </cell>
          <cell r="DS76">
            <v>8209</v>
          </cell>
          <cell r="DT76">
            <v>9113</v>
          </cell>
          <cell r="DU76">
            <v>8970</v>
          </cell>
          <cell r="DV76">
            <v>10961</v>
          </cell>
          <cell r="DW76">
            <v>37253</v>
          </cell>
          <cell r="DX76">
            <v>0</v>
          </cell>
          <cell r="DY76">
            <v>8381</v>
          </cell>
          <cell r="DZ76">
            <v>9283</v>
          </cell>
          <cell r="EA76">
            <v>9315</v>
          </cell>
          <cell r="EB76">
            <v>11326</v>
          </cell>
          <cell r="EC76">
            <v>38305</v>
          </cell>
          <cell r="ED76">
            <v>0</v>
          </cell>
          <cell r="EE76">
            <v>8599</v>
          </cell>
          <cell r="EF76">
            <v>9608</v>
          </cell>
          <cell r="EG76">
            <v>9334</v>
          </cell>
          <cell r="EH76">
            <v>10712</v>
          </cell>
          <cell r="EI76">
            <v>38253</v>
          </cell>
          <cell r="EJ76">
            <v>0</v>
          </cell>
          <cell r="EK76">
            <v>8451</v>
          </cell>
          <cell r="EL76">
            <v>8996</v>
          </cell>
          <cell r="EM76">
            <v>9130.2471519999999</v>
          </cell>
          <cell r="EN76">
            <v>10392.662836</v>
          </cell>
          <cell r="EO76">
            <v>36969.909987999999</v>
          </cell>
          <cell r="EP76">
            <v>0</v>
          </cell>
          <cell r="EQ76">
            <v>8631.9815272000014</v>
          </cell>
          <cell r="ER76">
            <v>9108.8968413367984</v>
          </cell>
          <cell r="ES76">
            <v>9184.7706190742956</v>
          </cell>
          <cell r="ET76">
            <v>10310.510093824385</v>
          </cell>
          <cell r="EU76">
            <v>37236.159081435479</v>
          </cell>
          <cell r="EV76">
            <v>0</v>
          </cell>
          <cell r="EW76">
            <v>8693.8290761762801</v>
          </cell>
          <cell r="EX76">
            <v>9129.3709901296806</v>
          </cell>
          <cell r="EY76">
            <v>9204.4916027003583</v>
          </cell>
          <cell r="EZ76">
            <v>10175.705677587952</v>
          </cell>
          <cell r="FA76">
            <v>37203.397346594269</v>
          </cell>
          <cell r="FB76">
            <v>0</v>
          </cell>
          <cell r="FC76">
            <v>16348.4</v>
          </cell>
          <cell r="FD76">
            <v>20289</v>
          </cell>
          <cell r="FE76">
            <v>23761</v>
          </cell>
          <cell r="FF76">
            <v>23320</v>
          </cell>
          <cell r="FG76">
            <v>32382.400000000001</v>
          </cell>
          <cell r="FH76">
            <v>36822</v>
          </cell>
          <cell r="FI76">
            <v>37334.498899999999</v>
          </cell>
          <cell r="FJ76">
            <v>37595</v>
          </cell>
          <cell r="FK76">
            <v>38848</v>
          </cell>
          <cell r="FL76">
            <v>37493</v>
          </cell>
          <cell r="FM76">
            <v>37263.788356536796</v>
          </cell>
          <cell r="FN76">
            <v>37318.480779204634</v>
          </cell>
          <cell r="FQ76">
            <v>0</v>
          </cell>
          <cell r="FR76">
            <v>0</v>
          </cell>
          <cell r="FS76">
            <v>0</v>
          </cell>
          <cell r="FT76">
            <v>0</v>
          </cell>
          <cell r="FU76">
            <v>0</v>
          </cell>
          <cell r="FV76">
            <v>0</v>
          </cell>
          <cell r="FX76">
            <v>0</v>
          </cell>
          <cell r="FY76">
            <v>0</v>
          </cell>
          <cell r="FZ76">
            <v>0</v>
          </cell>
          <cell r="GA76">
            <v>0</v>
          </cell>
          <cell r="GB76">
            <v>0</v>
          </cell>
          <cell r="GC76">
            <v>0</v>
          </cell>
          <cell r="GD76">
            <v>0</v>
          </cell>
          <cell r="GE76">
            <v>0</v>
          </cell>
          <cell r="GF76">
            <v>0</v>
          </cell>
          <cell r="GG76">
            <v>0</v>
          </cell>
          <cell r="GH76">
            <v>0</v>
          </cell>
          <cell r="GI76">
            <v>0</v>
          </cell>
          <cell r="GJ76">
            <v>0</v>
          </cell>
          <cell r="GK76">
            <v>0</v>
          </cell>
          <cell r="GL76">
            <v>0</v>
          </cell>
          <cell r="GM76">
            <v>0</v>
          </cell>
          <cell r="GN76">
            <v>0</v>
          </cell>
          <cell r="GO76">
            <v>0</v>
          </cell>
          <cell r="GP76">
            <v>0</v>
          </cell>
          <cell r="GQ76">
            <v>0</v>
          </cell>
          <cell r="GR76">
            <v>0</v>
          </cell>
          <cell r="GS76">
            <v>0</v>
          </cell>
          <cell r="GT76">
            <v>0</v>
          </cell>
          <cell r="GU76">
            <v>0</v>
          </cell>
          <cell r="GV76">
            <v>0</v>
          </cell>
          <cell r="GW76">
            <v>0</v>
          </cell>
          <cell r="GX76">
            <v>0</v>
          </cell>
          <cell r="GY76">
            <v>0</v>
          </cell>
          <cell r="GZ76">
            <v>0</v>
          </cell>
          <cell r="HA76">
            <v>0</v>
          </cell>
        </row>
        <row r="77">
          <cell r="C77" t="str">
            <v>-</v>
          </cell>
          <cell r="D77">
            <v>0.82076287848997209</v>
          </cell>
          <cell r="E77">
            <v>1.3906094769124446</v>
          </cell>
          <cell r="F77">
            <v>1.3714698708103712</v>
          </cell>
          <cell r="G77">
            <v>1.1494487577048207</v>
          </cell>
          <cell r="H77">
            <v>1.0693835448915858</v>
          </cell>
          <cell r="I77">
            <v>0.56969852689277167</v>
          </cell>
          <cell r="J77">
            <v>0.12173746985453793</v>
          </cell>
          <cell r="K77">
            <v>0.14694406045436104</v>
          </cell>
          <cell r="L77">
            <v>0.27480916030534353</v>
          </cell>
          <cell r="M77">
            <v>0.33143512974051892</v>
          </cell>
          <cell r="O77" t="str">
            <v>-</v>
          </cell>
          <cell r="P77" t="str">
            <v>-</v>
          </cell>
          <cell r="Q77" t="str">
            <v>-</v>
          </cell>
          <cell r="R77" t="str">
            <v>-</v>
          </cell>
          <cell r="S77">
            <v>0.48258873536027069</v>
          </cell>
          <cell r="U77">
            <v>0.38695249014329502</v>
          </cell>
          <cell r="V77">
            <v>0.44268067076445661</v>
          </cell>
          <cell r="W77">
            <v>0.41259406434104773</v>
          </cell>
          <cell r="X77">
            <v>0.4383576043910915</v>
          </cell>
          <cell r="Y77">
            <v>0.42342084844742534</v>
          </cell>
          <cell r="AA77">
            <v>0.36345544134967089</v>
          </cell>
          <cell r="AB77">
            <v>0.35612512926577056</v>
          </cell>
          <cell r="AC77">
            <v>0.3453837777226707</v>
          </cell>
          <cell r="AD77">
            <v>0.33055501292967437</v>
          </cell>
          <cell r="AE77">
            <v>0.34600517721985358</v>
          </cell>
          <cell r="AG77">
            <v>0.30077286450211393</v>
          </cell>
          <cell r="AH77">
            <v>0.23056292908272469</v>
          </cell>
          <cell r="AI77">
            <v>0.27403499748290328</v>
          </cell>
          <cell r="AJ77">
            <v>0.23845719087632578</v>
          </cell>
          <cell r="AK77">
            <v>0.25676332292813098</v>
          </cell>
          <cell r="AM77">
            <v>0.27781576648052186</v>
          </cell>
          <cell r="AN77">
            <v>0.27403457957882638</v>
          </cell>
          <cell r="AO77">
            <v>0.18879867242847359</v>
          </cell>
          <cell r="AP77">
            <v>0.21998480447890678</v>
          </cell>
          <cell r="AQ77">
            <v>0.2356409310646268</v>
          </cell>
          <cell r="AS77">
            <v>0.13458673268119226</v>
          </cell>
          <cell r="AT77">
            <v>0.12935128583268773</v>
          </cell>
          <cell r="AU77">
            <v>0.17821657399034097</v>
          </cell>
          <cell r="AV77">
            <v>0.14644624123171535</v>
          </cell>
          <cell r="AW77">
            <v>0.14759700980554302</v>
          </cell>
          <cell r="AY77">
            <v>0.15292134055792928</v>
          </cell>
          <cell r="AZ77">
            <v>0.15699542138858846</v>
          </cell>
          <cell r="BA77">
            <v>0.10069494059405137</v>
          </cell>
          <cell r="BB77">
            <v>-2.4917686875242762E-2</v>
          </cell>
          <cell r="BC77">
            <v>8.1989487200951228E-2</v>
          </cell>
          <cell r="BE77">
            <v>-1.0024947639677206E-2</v>
          </cell>
          <cell r="BF77">
            <v>-0.11389595325803081</v>
          </cell>
          <cell r="BG77">
            <v>-0.16421803356154285</v>
          </cell>
          <cell r="BH77">
            <v>-0.15690362071952413</v>
          </cell>
          <cell r="BI77">
            <v>-0.11750161394919223</v>
          </cell>
          <cell r="BK77">
            <v>-0.10465750279794528</v>
          </cell>
          <cell r="BL77">
            <v>-3.0010035972386495E-2</v>
          </cell>
          <cell r="BM77">
            <v>2.3822626169385686E-2</v>
          </cell>
          <cell r="BN77">
            <v>2.0699132402132392E-2</v>
          </cell>
          <cell r="BO77">
            <v>-2.0407032384544999E-2</v>
          </cell>
          <cell r="BQ77">
            <v>2.1696252465483346E-2</v>
          </cell>
          <cell r="BR77">
            <v>8.1853616284105701E-2</v>
          </cell>
          <cell r="BS77">
            <v>8.7559601213697436E-2</v>
          </cell>
          <cell r="BT77">
            <v>8.6741541286995849E-2</v>
          </cell>
          <cell r="BU77">
            <v>7.1828102243704839E-2</v>
          </cell>
          <cell r="BW77">
            <v>6.9015444015444016E-2</v>
          </cell>
          <cell r="BX77">
            <v>0.10328262610088079</v>
          </cell>
          <cell r="BY77">
            <v>0.2327620565962536</v>
          </cell>
          <cell r="BZ77">
            <v>0.31784205394865128</v>
          </cell>
          <cell r="CA77">
            <v>0.19328475777865295</v>
          </cell>
          <cell r="CC77">
            <v>0.31241534988713315</v>
          </cell>
          <cell r="CD77">
            <v>0.2314949201741654</v>
          </cell>
          <cell r="CE77">
            <v>0.1427093436792759</v>
          </cell>
          <cell r="CF77">
            <v>0.21750924784217007</v>
          </cell>
          <cell r="CG77">
            <v>0.21894545754600214</v>
          </cell>
          <cell r="CI77">
            <v>0.25937392500860001</v>
          </cell>
          <cell r="CJ77">
            <v>0.24219210371243372</v>
          </cell>
          <cell r="CK77">
            <v>0.25877093707559973</v>
          </cell>
          <cell r="CL77">
            <v>0.19161434069272842</v>
          </cell>
          <cell r="CM77">
            <v>0.23263653840946641</v>
          </cell>
          <cell r="CO77">
            <v>0.2545752526632068</v>
          </cell>
          <cell r="CP77">
            <v>0.27229601518026558</v>
          </cell>
          <cell r="CQ77">
            <v>0.20723758147898397</v>
          </cell>
          <cell r="CR77">
            <v>0.23763386027536981</v>
          </cell>
          <cell r="CS77">
            <v>0.24163875006864743</v>
          </cell>
          <cell r="CU77">
            <v>0.18049205312431971</v>
          </cell>
          <cell r="CV77">
            <v>6.0216256524981304E-2</v>
          </cell>
          <cell r="CW77">
            <v>2.4762614038354114E-2</v>
          </cell>
          <cell r="CX77">
            <v>-5.4937508583985717E-2</v>
          </cell>
          <cell r="CY77">
            <v>3.9143703834755961E-2</v>
          </cell>
          <cell r="DA77">
            <v>-6.6211729988933987E-2</v>
          </cell>
          <cell r="DB77">
            <v>3.2530332336908829E-2</v>
          </cell>
          <cell r="DC77">
            <v>0.17539970930232562</v>
          </cell>
          <cell r="DE77">
            <v>0.1507363582191199</v>
          </cell>
          <cell r="DG77">
            <v>0.49871617618013042</v>
          </cell>
          <cell r="DH77">
            <v>0.48058583106267028</v>
          </cell>
          <cell r="DI77">
            <v>0.36133180820477939</v>
          </cell>
          <cell r="DJ77">
            <v>0.12200186896480125</v>
          </cell>
          <cell r="DK77">
            <v>0.32770367740074113</v>
          </cell>
          <cell r="DM77">
            <v>0.106747496046389</v>
          </cell>
          <cell r="DN77">
            <v>1.3457556935817738E-2</v>
          </cell>
          <cell r="DO77">
            <v>2.8992755762461631E-2</v>
          </cell>
          <cell r="DP77">
            <v>1.3340708865445139E-2</v>
          </cell>
          <cell r="DQ77">
            <v>3.6954977016297796E-2</v>
          </cell>
          <cell r="DS77">
            <v>-2.2505358418671073E-2</v>
          </cell>
          <cell r="DT77">
            <v>3.4275337646124227E-2</v>
          </cell>
          <cell r="DU77">
            <v>-1.0189333897367314E-2</v>
          </cell>
          <cell r="DV77">
            <v>9.89967297006622E-4</v>
          </cell>
          <cell r="DW77">
            <v>8.4631465499618308E-4</v>
          </cell>
          <cell r="DY77">
            <v>2.0952612985747354E-2</v>
          </cell>
          <cell r="DZ77">
            <v>1.8654669153955972E-2</v>
          </cell>
          <cell r="EA77">
            <v>3.8461538461538547E-2</v>
          </cell>
          <cell r="EB77">
            <v>3.3299881397682585E-2</v>
          </cell>
          <cell r="EC77">
            <v>2.8239336429280781E-2</v>
          </cell>
          <cell r="EE77">
            <v>2.6011215845364477E-2</v>
          </cell>
          <cell r="EF77">
            <v>3.5010233760637721E-2</v>
          </cell>
          <cell r="EG77">
            <v>2.0397208803006883E-3</v>
          </cell>
          <cell r="EH77">
            <v>-5.4211548649125918E-2</v>
          </cell>
          <cell r="EI77">
            <v>-1.3575251272679445E-3</v>
          </cell>
          <cell r="EK77">
            <v>-1.7211303639958153E-2</v>
          </cell>
          <cell r="EL77">
            <v>-6.3696919233971694E-2</v>
          </cell>
          <cell r="EM77">
            <v>-2.1829103064066824E-2</v>
          </cell>
          <cell r="EN77">
            <v>-2.9811161687826826E-2</v>
          </cell>
          <cell r="EO77">
            <v>-3.3542206153765686E-2</v>
          </cell>
          <cell r="EQ77">
            <v>2.141539784640889E-2</v>
          </cell>
          <cell r="ER77">
            <v>1.2549671113472494E-2</v>
          </cell>
          <cell r="ES77">
            <v>5.9717405418047154E-3</v>
          </cell>
          <cell r="ET77">
            <v>-7.9048789970399547E-3</v>
          </cell>
          <cell r="EU77">
            <v>7.2017782440341183E-3</v>
          </cell>
          <cell r="EW77">
            <v>7.1649306455756623E-3</v>
          </cell>
          <cell r="EX77">
            <v>2.247708932213266E-3</v>
          </cell>
          <cell r="EY77">
            <v>2.1471394816445777E-3</v>
          </cell>
          <cell r="EZ77">
            <v>-1.3074466249460959E-2</v>
          </cell>
          <cell r="FA77">
            <v>-8.7983657953438765E-4</v>
          </cell>
        </row>
        <row r="78">
          <cell r="C78" t="str">
            <v>-</v>
          </cell>
          <cell r="D78" t="str">
            <v>-</v>
          </cell>
          <cell r="E78" t="str">
            <v>-</v>
          </cell>
          <cell r="F78" t="str">
            <v>-</v>
          </cell>
          <cell r="G78" t="str">
            <v>-</v>
          </cell>
          <cell r="H78" t="str">
            <v>-</v>
          </cell>
          <cell r="I78" t="str">
            <v>-</v>
          </cell>
          <cell r="J78" t="str">
            <v>-</v>
          </cell>
          <cell r="K78" t="str">
            <v>-</v>
          </cell>
          <cell r="L78" t="str">
            <v>-</v>
          </cell>
          <cell r="M78" t="str">
            <v>-</v>
          </cell>
          <cell r="O78" t="str">
            <v>-</v>
          </cell>
          <cell r="P78" t="str">
            <v>-</v>
          </cell>
          <cell r="Q78" t="str">
            <v>-</v>
          </cell>
          <cell r="R78" t="str">
            <v>-</v>
          </cell>
          <cell r="S78" t="str">
            <v>-</v>
          </cell>
          <cell r="U78">
            <v>-0.2417536858506758</v>
          </cell>
          <cell r="V78">
            <v>0.25291039293705775</v>
          </cell>
          <cell r="W78">
            <v>5.5055842812823164E-2</v>
          </cell>
          <cell r="X78">
            <v>0.43503041934291842</v>
          </cell>
          <cell r="Y78" t="str">
            <v>-</v>
          </cell>
          <cell r="AA78">
            <v>-0.28123919965794075</v>
          </cell>
          <cell r="AB78">
            <v>0.2461744014885221</v>
          </cell>
          <cell r="AC78">
            <v>4.6699146619611387E-2</v>
          </cell>
          <cell r="AD78">
            <v>0.41921357294444994</v>
          </cell>
          <cell r="AE78" t="str">
            <v>-</v>
          </cell>
          <cell r="AG78">
            <v>-0.29732740392735024</v>
          </cell>
          <cell r="AH78">
            <v>0.17891144833390316</v>
          </cell>
          <cell r="AI78">
            <v>8.3675863389532479E-2</v>
          </cell>
          <cell r="AJ78">
            <v>0.37958161139598001</v>
          </cell>
          <cell r="AK78" t="str">
            <v>-</v>
          </cell>
          <cell r="AM78">
            <v>-0.27499623842460663</v>
          </cell>
          <cell r="AN78">
            <v>0.17542292937551118</v>
          </cell>
          <cell r="AO78">
            <v>1.1175401664636597E-2</v>
          </cell>
          <cell r="AP78">
            <v>0.41577261270274946</v>
          </cell>
          <cell r="AQ78" t="str">
            <v>-</v>
          </cell>
          <cell r="AS78">
            <v>-0.32574598797667087</v>
          </cell>
          <cell r="AT78">
            <v>0.16999904762720597</v>
          </cell>
          <cell r="AU78">
            <v>5.4927401596032155E-2</v>
          </cell>
          <cell r="AV78">
            <v>0.37759663724199011</v>
          </cell>
          <cell r="AW78" t="str">
            <v>-</v>
          </cell>
          <cell r="AY78">
            <v>-0.32193781839842817</v>
          </cell>
          <cell r="AZ78">
            <v>0.17413347599117457</v>
          </cell>
          <cell r="BA78">
            <v>3.5936462369081656E-3</v>
          </cell>
          <cell r="BB78">
            <v>0.22038365586548081</v>
          </cell>
          <cell r="BC78" t="str">
            <v>-</v>
          </cell>
          <cell r="BE78">
            <v>-0.31158156116745639</v>
          </cell>
          <cell r="BF78">
            <v>5.0940043398504775E-2</v>
          </cell>
          <cell r="BG78">
            <v>-5.340069911533063E-2</v>
          </cell>
          <cell r="BH78">
            <v>0.231063941206753</v>
          </cell>
          <cell r="BI78" t="str">
            <v>-</v>
          </cell>
          <cell r="BK78">
            <v>-0.26892073161279773</v>
          </cell>
          <cell r="BL78">
            <v>0.13856015779092701</v>
          </cell>
          <cell r="BM78">
            <v>-8.6617583369419382E-4</v>
          </cell>
          <cell r="BN78">
            <v>0.22730819245773737</v>
          </cell>
          <cell r="BO78" t="str">
            <v>-</v>
          </cell>
          <cell r="BQ78">
            <v>-0.26820654093381369</v>
          </cell>
          <cell r="BR78">
            <v>0.20559845559845558</v>
          </cell>
          <cell r="BS78">
            <v>4.4035228182546238E-3</v>
          </cell>
          <cell r="BT78">
            <v>0.22638501394978072</v>
          </cell>
          <cell r="BU78" t="str">
            <v>-</v>
          </cell>
          <cell r="BW78">
            <v>-0.28014299642508933</v>
          </cell>
          <cell r="BX78">
            <v>0.24424379232505644</v>
          </cell>
          <cell r="BY78">
            <v>0.12227866473149485</v>
          </cell>
          <cell r="BZ78">
            <v>0.31102489492402197</v>
          </cell>
          <cell r="CA78" t="str">
            <v>-</v>
          </cell>
          <cell r="CC78">
            <v>-0.28310727496917387</v>
          </cell>
          <cell r="CD78">
            <v>0.16752665978672177</v>
          </cell>
          <cell r="CE78">
            <v>4.1367118444313622E-2</v>
          </cell>
          <cell r="CF78">
            <v>0.396842462652784</v>
          </cell>
          <cell r="CG78" t="str">
            <v>-</v>
          </cell>
          <cell r="CI78">
            <v>-0.25845655256228484</v>
          </cell>
          <cell r="CJ78">
            <v>0.15159792406446315</v>
          </cell>
          <cell r="CK78">
            <v>5.5265654648956275E-2</v>
          </cell>
          <cell r="CL78">
            <v>0.32231962238705325</v>
          </cell>
          <cell r="CM78" t="str">
            <v>-</v>
          </cell>
          <cell r="CO78">
            <v>-0.21927587965323814</v>
          </cell>
          <cell r="CP78">
            <v>0.16786414108425873</v>
          </cell>
          <cell r="CQ78">
            <v>1.3049962714393182E-3</v>
          </cell>
          <cell r="CR78">
            <v>0.35561347979892011</v>
          </cell>
          <cell r="CS78" t="str">
            <v>-</v>
          </cell>
          <cell r="CU78">
            <v>-0.25532207114407357</v>
          </cell>
          <cell r="CV78">
            <v>4.8874953891552941E-2</v>
          </cell>
          <cell r="CW78">
            <v>-3.2178653068401619E-2</v>
          </cell>
          <cell r="CX78">
            <v>0.25018168604651159</v>
          </cell>
          <cell r="CY78" t="str">
            <v>-</v>
          </cell>
          <cell r="DA78">
            <v>-0.26420578404301698</v>
          </cell>
          <cell r="DB78">
            <v>0.15978668773454463</v>
          </cell>
          <cell r="DC78">
            <v>0.10173705722070836</v>
          </cell>
          <cell r="DE78" t="str">
            <v>-</v>
          </cell>
          <cell r="DG78">
            <v>-0.2121275049319904</v>
          </cell>
          <cell r="DH78">
            <v>0.14575645756457556</v>
          </cell>
          <cell r="DI78">
            <v>1.2997469519208549E-2</v>
          </cell>
          <cell r="DJ78">
            <v>0.22697853979788807</v>
          </cell>
          <cell r="DK78" t="str">
            <v>-</v>
          </cell>
          <cell r="DM78">
            <v>-0.22283916342772536</v>
          </cell>
          <cell r="DN78">
            <v>4.9178375803762719E-2</v>
          </cell>
          <cell r="DO78">
            <v>2.8525615707638119E-2</v>
          </cell>
          <cell r="DP78">
            <v>0.20831492381128269</v>
          </cell>
          <cell r="DQ78" t="str">
            <v>-</v>
          </cell>
          <cell r="DS78">
            <v>-0.25033056823819655</v>
          </cell>
          <cell r="DT78">
            <v>0.11012303569253268</v>
          </cell>
          <cell r="DU78">
            <v>-1.5691868758915817E-2</v>
          </cell>
          <cell r="DV78">
            <v>0.22196209587513938</v>
          </cell>
          <cell r="DW78" t="str">
            <v>-</v>
          </cell>
          <cell r="DY78">
            <v>-0.23537998357814072</v>
          </cell>
          <cell r="DZ78">
            <v>0.10762438849779254</v>
          </cell>
          <cell r="EA78">
            <v>3.4471614779705284E-3</v>
          </cell>
          <cell r="EB78">
            <v>0.21588835212023616</v>
          </cell>
          <cell r="EC78" t="str">
            <v>-</v>
          </cell>
          <cell r="EE78">
            <v>-0.2407734416387074</v>
          </cell>
          <cell r="EF78">
            <v>0.11733922549133613</v>
          </cell>
          <cell r="EG78">
            <v>-2.8517901748542851E-2</v>
          </cell>
          <cell r="EH78">
            <v>0.14763231197771587</v>
          </cell>
          <cell r="EI78" t="str">
            <v>-</v>
          </cell>
          <cell r="EK78">
            <v>-0.21107169529499625</v>
          </cell>
          <cell r="EL78">
            <v>6.4489409537332953E-2</v>
          </cell>
          <cell r="EM78">
            <v>1.4922982658959638E-2</v>
          </cell>
          <cell r="EN78">
            <v>0.13826741631232453</v>
          </cell>
          <cell r="EO78" t="str">
            <v>-</v>
          </cell>
          <cell r="EQ78">
            <v>-0.16941580195414685</v>
          </cell>
          <cell r="ER78">
            <v>5.5249807084735147E-2</v>
          </cell>
          <cell r="ES78">
            <v>8.329634099397909E-3</v>
          </cell>
          <cell r="ET78">
            <v>0.12256587795586649</v>
          </cell>
          <cell r="EU78" t="str">
            <v>-</v>
          </cell>
          <cell r="EW78">
            <v>-0.15679932446954659</v>
          </cell>
          <cell r="EX78">
            <v>5.0097823425919064E-2</v>
          </cell>
          <cell r="EY78">
            <v>8.2284543646977681E-3</v>
          </cell>
          <cell r="EZ78">
            <v>0.10551523286768649</v>
          </cell>
          <cell r="FA78" t="str">
            <v>-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0</v>
          </cell>
          <cell r="BK79">
            <v>0</v>
          </cell>
          <cell r="BL79">
            <v>0</v>
          </cell>
          <cell r="BM79">
            <v>0</v>
          </cell>
          <cell r="BN79">
            <v>0</v>
          </cell>
          <cell r="BO79">
            <v>0</v>
          </cell>
          <cell r="BU79">
            <v>0</v>
          </cell>
          <cell r="CA79">
            <v>0</v>
          </cell>
          <cell r="CG79">
            <v>0</v>
          </cell>
          <cell r="CM79">
            <v>0</v>
          </cell>
          <cell r="CS79">
            <v>0</v>
          </cell>
          <cell r="CY79">
            <v>0</v>
          </cell>
          <cell r="DE79">
            <v>0</v>
          </cell>
          <cell r="DK79">
            <v>0</v>
          </cell>
          <cell r="DQ79">
            <v>0</v>
          </cell>
          <cell r="DW79">
            <v>0</v>
          </cell>
          <cell r="EC79">
            <v>0</v>
          </cell>
          <cell r="EI79">
            <v>0</v>
          </cell>
          <cell r="EO79">
            <v>0</v>
          </cell>
          <cell r="EU79">
            <v>0</v>
          </cell>
          <cell r="FA79">
            <v>0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0</v>
          </cell>
          <cell r="BK80">
            <v>0</v>
          </cell>
          <cell r="BL80">
            <v>0</v>
          </cell>
          <cell r="BM80">
            <v>0</v>
          </cell>
          <cell r="BN80">
            <v>0</v>
          </cell>
          <cell r="BO80">
            <v>0</v>
          </cell>
          <cell r="BU80">
            <v>0</v>
          </cell>
          <cell r="CA80">
            <v>0</v>
          </cell>
          <cell r="CC80">
            <v>0</v>
          </cell>
          <cell r="CG80">
            <v>0</v>
          </cell>
          <cell r="CJ80">
            <v>0</v>
          </cell>
          <cell r="CK80">
            <v>0</v>
          </cell>
          <cell r="CL80">
            <v>0</v>
          </cell>
          <cell r="CM80">
            <v>0</v>
          </cell>
          <cell r="CO80">
            <v>0</v>
          </cell>
          <cell r="CP80">
            <v>0</v>
          </cell>
          <cell r="CQ80">
            <v>0</v>
          </cell>
          <cell r="CR80">
            <v>0</v>
          </cell>
          <cell r="CS80">
            <v>0</v>
          </cell>
          <cell r="CU80">
            <v>0</v>
          </cell>
          <cell r="CV80">
            <v>0</v>
          </cell>
          <cell r="CW80">
            <v>0</v>
          </cell>
          <cell r="CX80">
            <v>0</v>
          </cell>
          <cell r="CY80">
            <v>0</v>
          </cell>
          <cell r="DE80">
            <v>0</v>
          </cell>
          <cell r="DK80">
            <v>0</v>
          </cell>
          <cell r="DQ80">
            <v>0</v>
          </cell>
          <cell r="DW80">
            <v>0</v>
          </cell>
          <cell r="EC80">
            <v>0</v>
          </cell>
          <cell r="EI80">
            <v>0</v>
          </cell>
          <cell r="EO80">
            <v>0</v>
          </cell>
          <cell r="EU80">
            <v>0</v>
          </cell>
          <cell r="FA80">
            <v>0</v>
          </cell>
        </row>
        <row r="81">
          <cell r="C81" t="str">
            <v>-</v>
          </cell>
          <cell r="D81" t="str">
            <v>-</v>
          </cell>
          <cell r="E81" t="str">
            <v>-</v>
          </cell>
          <cell r="F81" t="str">
            <v>-</v>
          </cell>
          <cell r="G81">
            <v>76.677999999999997</v>
          </cell>
          <cell r="H81">
            <v>165.87</v>
          </cell>
          <cell r="I81">
            <v>251.82599999999999</v>
          </cell>
          <cell r="J81">
            <v>382.464</v>
          </cell>
          <cell r="K81">
            <v>522</v>
          </cell>
          <cell r="L81">
            <v>697</v>
          </cell>
          <cell r="M81">
            <v>902.14700000000005</v>
          </cell>
          <cell r="O81">
            <v>276.47400000000005</v>
          </cell>
          <cell r="P81">
            <v>327.27999999999997</v>
          </cell>
          <cell r="Q81">
            <v>347.245</v>
          </cell>
          <cell r="R81">
            <v>409.87900000000002</v>
          </cell>
          <cell r="S81">
            <v>1360.8780000000002</v>
          </cell>
          <cell r="U81">
            <v>421.803</v>
          </cell>
          <cell r="V81">
            <v>481.91</v>
          </cell>
          <cell r="W81">
            <v>505.23900000000003</v>
          </cell>
          <cell r="X81">
            <v>581.07399999999984</v>
          </cell>
          <cell r="Y81">
            <v>1990.0259999999998</v>
          </cell>
          <cell r="AA81">
            <v>608.00199999999995</v>
          </cell>
          <cell r="AB81">
            <v>704.92600000000004</v>
          </cell>
          <cell r="AC81">
            <v>708.35599999999999</v>
          </cell>
          <cell r="AD81">
            <v>840.60199999999998</v>
          </cell>
          <cell r="AE81">
            <v>2861.886</v>
          </cell>
          <cell r="AG81">
            <v>863.452</v>
          </cell>
          <cell r="AH81">
            <v>992.55899999999997</v>
          </cell>
          <cell r="AI81">
            <v>995.56399999999996</v>
          </cell>
          <cell r="AJ81">
            <v>1203.2299999999998</v>
          </cell>
          <cell r="AK81">
            <v>4054.8049999999994</v>
          </cell>
          <cell r="AM81">
            <v>1191.4969999999998</v>
          </cell>
          <cell r="AN81">
            <v>1310.6970000000001</v>
          </cell>
          <cell r="AO81">
            <v>1274.3130000000001</v>
          </cell>
          <cell r="AP81">
            <v>1459.877</v>
          </cell>
          <cell r="AQ81">
            <v>5236.384</v>
          </cell>
          <cell r="AS81">
            <v>1381.8710000000001</v>
          </cell>
          <cell r="AT81">
            <v>1444.712</v>
          </cell>
          <cell r="AU81">
            <v>1406.2119999999998</v>
          </cell>
          <cell r="AV81">
            <v>1582.3040000000001</v>
          </cell>
          <cell r="AW81">
            <v>5815.0990000000002</v>
          </cell>
          <cell r="AY81">
            <v>1516.7469999999998</v>
          </cell>
          <cell r="AZ81">
            <v>1593.2149999999999</v>
          </cell>
          <cell r="BA81">
            <v>1595.097</v>
          </cell>
          <cell r="BB81">
            <v>1671.75</v>
          </cell>
          <cell r="BC81">
            <v>6376.8089999999993</v>
          </cell>
          <cell r="BE81">
            <v>1553.9469999999999</v>
          </cell>
          <cell r="BF81">
            <v>1577.046</v>
          </cell>
          <cell r="BG81">
            <v>1476.367</v>
          </cell>
          <cell r="BH81">
            <v>1624.0030000000002</v>
          </cell>
          <cell r="BI81">
            <v>6231.3629999999994</v>
          </cell>
          <cell r="BK81">
            <v>1465</v>
          </cell>
          <cell r="BL81">
            <v>1544</v>
          </cell>
          <cell r="BM81">
            <v>1552</v>
          </cell>
          <cell r="BN81">
            <v>1644.4</v>
          </cell>
          <cell r="BO81">
            <v>6205.4</v>
          </cell>
          <cell r="BQ81">
            <v>1547</v>
          </cell>
          <cell r="BR81">
            <v>1643</v>
          </cell>
          <cell r="BS81">
            <v>1662</v>
          </cell>
          <cell r="BT81">
            <v>1763</v>
          </cell>
          <cell r="BU81">
            <v>6615</v>
          </cell>
          <cell r="BW81">
            <v>1652</v>
          </cell>
          <cell r="BX81">
            <v>1785</v>
          </cell>
          <cell r="BY81">
            <v>2003</v>
          </cell>
          <cell r="BZ81">
            <v>2268.9920000000002</v>
          </cell>
          <cell r="CA81">
            <v>7708.9920000000002</v>
          </cell>
          <cell r="CC81">
            <v>2139</v>
          </cell>
          <cell r="CD81">
            <v>2234</v>
          </cell>
          <cell r="CE81">
            <v>2373.5</v>
          </cell>
          <cell r="CF81">
            <v>2730</v>
          </cell>
          <cell r="CG81">
            <v>9476.5</v>
          </cell>
          <cell r="CI81">
            <v>2787</v>
          </cell>
          <cell r="CJ81">
            <v>2956</v>
          </cell>
          <cell r="CK81">
            <v>3024</v>
          </cell>
          <cell r="CL81">
            <v>3347</v>
          </cell>
          <cell r="CM81">
            <v>12114</v>
          </cell>
          <cell r="CO81">
            <v>3442</v>
          </cell>
          <cell r="CP81">
            <v>3645</v>
          </cell>
          <cell r="CQ81">
            <v>3733</v>
          </cell>
          <cell r="CR81">
            <v>4095</v>
          </cell>
          <cell r="CS81">
            <v>14915</v>
          </cell>
          <cell r="CU81">
            <v>4095</v>
          </cell>
          <cell r="CV81">
            <v>3981</v>
          </cell>
          <cell r="CW81">
            <v>3937</v>
          </cell>
          <cell r="CX81">
            <v>4117</v>
          </cell>
          <cell r="CY81">
            <v>16130</v>
          </cell>
          <cell r="DA81">
            <v>4026</v>
          </cell>
          <cell r="DB81">
            <v>4205</v>
          </cell>
          <cell r="DC81">
            <v>4413</v>
          </cell>
          <cell r="DE81">
            <v>17781</v>
          </cell>
          <cell r="DG81">
            <v>5137</v>
          </cell>
          <cell r="DH81">
            <v>5516</v>
          </cell>
          <cell r="DI81">
            <v>5515</v>
          </cell>
          <cell r="DJ81">
            <v>5882</v>
          </cell>
          <cell r="DK81">
            <v>22050</v>
          </cell>
          <cell r="DM81">
            <v>5847</v>
          </cell>
          <cell r="DN81">
            <v>5791</v>
          </cell>
          <cell r="DO81">
            <v>5796.3392000000003</v>
          </cell>
          <cell r="DP81">
            <v>5932.1597000000002</v>
          </cell>
          <cell r="DQ81">
            <v>23366.498900000002</v>
          </cell>
          <cell r="DS81">
            <v>5690</v>
          </cell>
          <cell r="DT81">
            <v>5845</v>
          </cell>
          <cell r="DU81">
            <v>5839</v>
          </cell>
          <cell r="DV81">
            <v>5951</v>
          </cell>
          <cell r="DW81">
            <v>23325</v>
          </cell>
          <cell r="DY81">
            <v>5938</v>
          </cell>
          <cell r="DZ81">
            <v>6082</v>
          </cell>
          <cell r="EA81">
            <v>6041</v>
          </cell>
          <cell r="EB81">
            <v>6226</v>
          </cell>
          <cell r="EC81">
            <v>24287</v>
          </cell>
          <cell r="EE81">
            <v>6171</v>
          </cell>
          <cell r="EF81">
            <v>6317</v>
          </cell>
          <cell r="EG81">
            <v>6103</v>
          </cell>
          <cell r="EH81">
            <v>6170</v>
          </cell>
          <cell r="EI81">
            <v>24761</v>
          </cell>
          <cell r="EK81">
            <v>6115</v>
          </cell>
          <cell r="EL81">
            <v>6091</v>
          </cell>
          <cell r="EM81">
            <v>6124.4611520000008</v>
          </cell>
          <cell r="EN81">
            <v>6171.1128360000002</v>
          </cell>
          <cell r="EO81">
            <v>24501.573988</v>
          </cell>
          <cell r="EQ81">
            <v>6248.5665272000006</v>
          </cell>
          <cell r="ER81">
            <v>6206.5418413367988</v>
          </cell>
          <cell r="ES81">
            <v>6163.7288690742953</v>
          </cell>
          <cell r="ET81">
            <v>6204.4808438243854</v>
          </cell>
          <cell r="EU81">
            <v>24823.318081435478</v>
          </cell>
          <cell r="EW81">
            <v>6178.0472136762801</v>
          </cell>
          <cell r="EX81">
            <v>6134.9227026296803</v>
          </cell>
          <cell r="EY81">
            <v>6075.009900075358</v>
          </cell>
          <cell r="EZ81">
            <v>6095.2077025879516</v>
          </cell>
          <cell r="FA81">
            <v>24483.187518969269</v>
          </cell>
        </row>
        <row r="82">
          <cell r="C82" t="str">
            <v>-</v>
          </cell>
          <cell r="D82" t="str">
            <v>-</v>
          </cell>
          <cell r="E82" t="str">
            <v>-</v>
          </cell>
          <cell r="F82" t="str">
            <v>-</v>
          </cell>
          <cell r="G82" t="str">
            <v>-</v>
          </cell>
          <cell r="H82" t="str">
            <v>-</v>
          </cell>
          <cell r="I82" t="str">
            <v>-</v>
          </cell>
          <cell r="J82" t="str">
            <v>-</v>
          </cell>
          <cell r="K82" t="str">
            <v>-</v>
          </cell>
          <cell r="L82" t="str">
            <v>-</v>
          </cell>
          <cell r="M82" t="str">
            <v>-</v>
          </cell>
          <cell r="O82" t="str">
            <v>-</v>
          </cell>
          <cell r="P82" t="str">
            <v>-</v>
          </cell>
          <cell r="Q82" t="str">
            <v>-</v>
          </cell>
          <cell r="R82" t="str">
            <v>-</v>
          </cell>
          <cell r="S82" t="str">
            <v>-</v>
          </cell>
          <cell r="U82" t="str">
            <v>-</v>
          </cell>
          <cell r="V82" t="str">
            <v>-</v>
          </cell>
          <cell r="W82" t="str">
            <v>-</v>
          </cell>
          <cell r="X82" t="str">
            <v>-</v>
          </cell>
          <cell r="Y82" t="str">
            <v>-</v>
          </cell>
          <cell r="AA82" t="str">
            <v>-</v>
          </cell>
          <cell r="AB82" t="str">
            <v>-</v>
          </cell>
          <cell r="AC82" t="str">
            <v>-</v>
          </cell>
          <cell r="AD82" t="str">
            <v>-</v>
          </cell>
          <cell r="AE82" t="str">
            <v>-</v>
          </cell>
          <cell r="AG82" t="str">
            <v>-</v>
          </cell>
          <cell r="AH82" t="str">
            <v>-</v>
          </cell>
          <cell r="AI82" t="str">
            <v>-</v>
          </cell>
          <cell r="AJ82" t="str">
            <v>-</v>
          </cell>
          <cell r="AK82" t="str">
            <v>-</v>
          </cell>
          <cell r="AM82" t="str">
            <v>-</v>
          </cell>
          <cell r="AN82" t="str">
            <v>-</v>
          </cell>
          <cell r="AO82" t="str">
            <v>-</v>
          </cell>
          <cell r="AP82" t="str">
            <v>-</v>
          </cell>
          <cell r="AQ82" t="str">
            <v>-</v>
          </cell>
          <cell r="AS82" t="str">
            <v>-</v>
          </cell>
          <cell r="AT82" t="str">
            <v>-</v>
          </cell>
          <cell r="AU82" t="str">
            <v>-</v>
          </cell>
          <cell r="AV82" t="str">
            <v>-</v>
          </cell>
          <cell r="AW82" t="str">
            <v>-</v>
          </cell>
          <cell r="AY82" t="str">
            <v>-</v>
          </cell>
          <cell r="AZ82" t="str">
            <v>-</v>
          </cell>
          <cell r="BA82" t="str">
            <v>-</v>
          </cell>
          <cell r="BB82" t="str">
            <v>-</v>
          </cell>
          <cell r="BC82" t="str">
            <v>-</v>
          </cell>
          <cell r="BE82" t="str">
            <v>-</v>
          </cell>
          <cell r="BF82" t="str">
            <v>-</v>
          </cell>
          <cell r="BG82" t="str">
            <v>-</v>
          </cell>
          <cell r="BH82" t="str">
            <v>-</v>
          </cell>
          <cell r="BI82" t="str">
            <v>-</v>
          </cell>
          <cell r="BK82" t="str">
            <v>-</v>
          </cell>
          <cell r="BL82" t="str">
            <v>-</v>
          </cell>
          <cell r="BM82" t="str">
            <v>-</v>
          </cell>
          <cell r="BN82" t="str">
            <v>-</v>
          </cell>
          <cell r="BO82" t="str">
            <v>-</v>
          </cell>
          <cell r="BQ82" t="str">
            <v>-</v>
          </cell>
          <cell r="BR82" t="str">
            <v>-</v>
          </cell>
          <cell r="BS82" t="str">
            <v>-</v>
          </cell>
          <cell r="BT82" t="str">
            <v>-</v>
          </cell>
          <cell r="BU82" t="str">
            <v>-</v>
          </cell>
          <cell r="BW82">
            <v>0</v>
          </cell>
          <cell r="BX82">
            <v>0</v>
          </cell>
          <cell r="BY82">
            <v>143</v>
          </cell>
          <cell r="BZ82">
            <v>177.00800000000001</v>
          </cell>
          <cell r="CA82">
            <v>320.00800000000004</v>
          </cell>
          <cell r="CC82">
            <v>139</v>
          </cell>
          <cell r="CD82">
            <v>102</v>
          </cell>
          <cell r="CE82">
            <v>64.5</v>
          </cell>
          <cell r="CF82">
            <v>86</v>
          </cell>
          <cell r="CG82">
            <v>391.5</v>
          </cell>
          <cell r="CI82">
            <v>70</v>
          </cell>
          <cell r="CJ82">
            <v>53</v>
          </cell>
          <cell r="CK82">
            <v>35</v>
          </cell>
          <cell r="CL82">
            <v>55</v>
          </cell>
          <cell r="CM82">
            <v>213</v>
          </cell>
          <cell r="CO82">
            <v>64</v>
          </cell>
          <cell r="CP82">
            <v>51</v>
          </cell>
          <cell r="CQ82">
            <v>22</v>
          </cell>
          <cell r="CR82">
            <v>42</v>
          </cell>
          <cell r="CS82">
            <v>179</v>
          </cell>
          <cell r="CU82">
            <v>91</v>
          </cell>
          <cell r="CV82">
            <v>80</v>
          </cell>
          <cell r="CW82">
            <v>51</v>
          </cell>
          <cell r="CX82">
            <v>20</v>
          </cell>
          <cell r="CY82">
            <v>242</v>
          </cell>
          <cell r="DA82">
            <v>9</v>
          </cell>
          <cell r="DB82">
            <v>14</v>
          </cell>
          <cell r="DC82">
            <v>65</v>
          </cell>
          <cell r="DE82">
            <v>214</v>
          </cell>
          <cell r="DG82">
            <v>86</v>
          </cell>
          <cell r="DH82">
            <v>67</v>
          </cell>
          <cell r="DI82">
            <v>43</v>
          </cell>
          <cell r="DJ82">
            <v>31</v>
          </cell>
          <cell r="DK82">
            <v>227</v>
          </cell>
          <cell r="DM82">
            <v>24</v>
          </cell>
          <cell r="DN82">
            <v>19</v>
          </cell>
          <cell r="DO82">
            <v>23</v>
          </cell>
          <cell r="DP82">
            <v>34</v>
          </cell>
          <cell r="DQ82">
            <v>100</v>
          </cell>
          <cell r="DS82">
            <v>28</v>
          </cell>
          <cell r="DT82">
            <v>19</v>
          </cell>
          <cell r="DU82">
            <v>12</v>
          </cell>
          <cell r="DV82">
            <v>14</v>
          </cell>
          <cell r="DW82">
            <v>73</v>
          </cell>
          <cell r="DY82">
            <v>9</v>
          </cell>
          <cell r="DZ82">
            <v>7</v>
          </cell>
          <cell r="EA82">
            <v>8</v>
          </cell>
          <cell r="EB82">
            <v>6</v>
          </cell>
          <cell r="EC82">
            <v>30</v>
          </cell>
          <cell r="EE82">
            <v>3</v>
          </cell>
          <cell r="EF82">
            <v>10</v>
          </cell>
          <cell r="EG82">
            <v>7</v>
          </cell>
          <cell r="EH82">
            <v>7</v>
          </cell>
          <cell r="EI82">
            <v>27</v>
          </cell>
          <cell r="EK82">
            <v>3</v>
          </cell>
          <cell r="EL82">
            <v>3</v>
          </cell>
          <cell r="EM82">
            <v>7</v>
          </cell>
          <cell r="EN82">
            <v>7</v>
          </cell>
          <cell r="EO82">
            <v>20</v>
          </cell>
          <cell r="EQ82">
            <v>3</v>
          </cell>
          <cell r="ER82">
            <v>3</v>
          </cell>
          <cell r="ES82">
            <v>7</v>
          </cell>
          <cell r="ET82">
            <v>7</v>
          </cell>
          <cell r="EU82">
            <v>20</v>
          </cell>
          <cell r="EW82">
            <v>3</v>
          </cell>
          <cell r="EX82">
            <v>3</v>
          </cell>
          <cell r="EY82">
            <v>7</v>
          </cell>
          <cell r="EZ82">
            <v>7</v>
          </cell>
          <cell r="FA82">
            <v>20</v>
          </cell>
        </row>
        <row r="83">
          <cell r="C83" t="str">
            <v>-</v>
          </cell>
          <cell r="D83" t="str">
            <v>-</v>
          </cell>
          <cell r="E83" t="str">
            <v>-</v>
          </cell>
          <cell r="F83" t="str">
            <v>-</v>
          </cell>
          <cell r="G83" t="str">
            <v>-</v>
          </cell>
          <cell r="H83" t="str">
            <v>-</v>
          </cell>
          <cell r="I83" t="str">
            <v>-</v>
          </cell>
          <cell r="J83" t="str">
            <v>-</v>
          </cell>
          <cell r="K83" t="str">
            <v>-</v>
          </cell>
          <cell r="L83" t="str">
            <v>-</v>
          </cell>
          <cell r="M83" t="str">
            <v>-</v>
          </cell>
          <cell r="O83" t="str">
            <v>-</v>
          </cell>
          <cell r="P83" t="str">
            <v>-</v>
          </cell>
          <cell r="Q83" t="str">
            <v>-</v>
          </cell>
          <cell r="R83" t="str">
            <v>-</v>
          </cell>
          <cell r="S83" t="str">
            <v>-</v>
          </cell>
          <cell r="U83" t="str">
            <v>-</v>
          </cell>
          <cell r="V83" t="str">
            <v>-</v>
          </cell>
          <cell r="W83" t="str">
            <v>-</v>
          </cell>
          <cell r="X83" t="str">
            <v>-</v>
          </cell>
          <cell r="Y83" t="str">
            <v>-</v>
          </cell>
          <cell r="AA83">
            <v>287.28500000000003</v>
          </cell>
          <cell r="AB83">
            <v>317.42</v>
          </cell>
          <cell r="AC83">
            <v>332.738</v>
          </cell>
          <cell r="AD83">
            <v>382.50700000000001</v>
          </cell>
          <cell r="AE83">
            <v>1319.95</v>
          </cell>
          <cell r="AG83">
            <v>405.12900000000002</v>
          </cell>
          <cell r="AH83">
            <v>427.75599999999997</v>
          </cell>
          <cell r="AI83">
            <v>447.995</v>
          </cell>
          <cell r="AJ83">
            <v>513.23699999999997</v>
          </cell>
          <cell r="AK83">
            <v>1794.1170000000002</v>
          </cell>
          <cell r="AM83">
            <v>524.85599999999999</v>
          </cell>
          <cell r="AN83">
            <v>566.44000000000005</v>
          </cell>
          <cell r="AO83">
            <v>583.596</v>
          </cell>
          <cell r="AP83">
            <v>670.63199999999995</v>
          </cell>
          <cell r="AQ83">
            <v>2345.5239999999999</v>
          </cell>
          <cell r="AS83">
            <v>667.41499999999996</v>
          </cell>
          <cell r="AT83">
            <v>720.34199999999998</v>
          </cell>
          <cell r="AU83">
            <v>754.41300000000001</v>
          </cell>
          <cell r="AV83">
            <v>836.70299999999997</v>
          </cell>
          <cell r="AW83">
            <v>2978.873</v>
          </cell>
          <cell r="AY83">
            <v>839.31799999999998</v>
          </cell>
          <cell r="AZ83">
            <v>872.798</v>
          </cell>
          <cell r="BA83">
            <v>906.51900000000001</v>
          </cell>
          <cell r="BB83">
            <v>951.54399999999987</v>
          </cell>
          <cell r="BC83">
            <v>3570.1790000000001</v>
          </cell>
          <cell r="BE83">
            <v>843.16499999999996</v>
          </cell>
          <cell r="BF83">
            <v>881.13499999999999</v>
          </cell>
          <cell r="BG83">
            <v>866.39700000000005</v>
          </cell>
          <cell r="BH83">
            <v>949.53899999999999</v>
          </cell>
          <cell r="BI83">
            <v>3540.2359999999999</v>
          </cell>
          <cell r="BK83">
            <v>905</v>
          </cell>
          <cell r="BL83">
            <v>954</v>
          </cell>
          <cell r="BM83">
            <v>1005</v>
          </cell>
          <cell r="BN83">
            <v>1065.4000000000001</v>
          </cell>
          <cell r="BO83">
            <v>3929.4</v>
          </cell>
          <cell r="BQ83">
            <v>1034</v>
          </cell>
          <cell r="BR83">
            <v>1114</v>
          </cell>
          <cell r="BS83">
            <v>1176</v>
          </cell>
          <cell r="BT83">
            <v>1205</v>
          </cell>
          <cell r="BU83">
            <v>4529</v>
          </cell>
          <cell r="BW83">
            <v>1176</v>
          </cell>
          <cell r="BX83">
            <v>1252</v>
          </cell>
          <cell r="BY83">
            <v>1389</v>
          </cell>
          <cell r="BZ83">
            <v>1513.992</v>
          </cell>
          <cell r="CA83">
            <v>5330.9920000000002</v>
          </cell>
          <cell r="CC83">
            <v>1502</v>
          </cell>
          <cell r="CD83">
            <v>1559</v>
          </cell>
          <cell r="CE83">
            <v>1702.5</v>
          </cell>
          <cell r="CF83">
            <v>1873</v>
          </cell>
          <cell r="CG83">
            <v>6636.5</v>
          </cell>
          <cell r="CI83">
            <v>1941</v>
          </cell>
          <cell r="CJ83">
            <v>2007</v>
          </cell>
          <cell r="CK83">
            <v>2108</v>
          </cell>
          <cell r="CL83">
            <v>2272</v>
          </cell>
          <cell r="CM83">
            <v>8328</v>
          </cell>
          <cell r="CO83">
            <v>2383</v>
          </cell>
          <cell r="CP83">
            <v>2491</v>
          </cell>
          <cell r="CQ83">
            <v>2624</v>
          </cell>
          <cell r="CR83">
            <v>2830</v>
          </cell>
          <cell r="CS83">
            <v>10328</v>
          </cell>
          <cell r="CU83">
            <v>2936</v>
          </cell>
          <cell r="CV83">
            <v>2850</v>
          </cell>
          <cell r="CW83">
            <v>2917</v>
          </cell>
          <cell r="CX83">
            <v>3052</v>
          </cell>
          <cell r="CY83">
            <v>11755</v>
          </cell>
          <cell r="DA83">
            <v>3117</v>
          </cell>
          <cell r="DB83">
            <v>3247</v>
          </cell>
          <cell r="DC83">
            <v>3258</v>
          </cell>
          <cell r="DE83">
            <v>12963</v>
          </cell>
          <cell r="DG83">
            <v>3389</v>
          </cell>
          <cell r="DH83">
            <v>3645</v>
          </cell>
          <cell r="DI83">
            <v>3713</v>
          </cell>
          <cell r="DJ83">
            <v>3947</v>
          </cell>
          <cell r="DK83">
            <v>14694</v>
          </cell>
          <cell r="DM83">
            <v>4011</v>
          </cell>
          <cell r="DN83">
            <v>3977</v>
          </cell>
          <cell r="DO83">
            <v>4045</v>
          </cell>
          <cell r="DP83">
            <v>4126</v>
          </cell>
          <cell r="DQ83">
            <v>16159</v>
          </cell>
          <cell r="DS83">
            <v>4117</v>
          </cell>
          <cell r="DT83">
            <v>4245</v>
          </cell>
          <cell r="DU83">
            <v>4332</v>
          </cell>
          <cell r="DV83">
            <v>4390</v>
          </cell>
          <cell r="DW83">
            <v>17084</v>
          </cell>
          <cell r="DY83">
            <v>4423</v>
          </cell>
          <cell r="DZ83">
            <v>4510</v>
          </cell>
          <cell r="EA83">
            <v>4557</v>
          </cell>
          <cell r="EB83">
            <v>4689</v>
          </cell>
          <cell r="EC83">
            <v>18179</v>
          </cell>
          <cell r="EE83">
            <v>4728</v>
          </cell>
          <cell r="EF83">
            <v>4763</v>
          </cell>
          <cell r="EG83">
            <v>4657</v>
          </cell>
          <cell r="EH83">
            <v>4681</v>
          </cell>
          <cell r="EI83">
            <v>18829</v>
          </cell>
          <cell r="EK83">
            <v>4694</v>
          </cell>
          <cell r="EL83">
            <v>4680</v>
          </cell>
          <cell r="EM83">
            <v>4713.0200000000004</v>
          </cell>
          <cell r="EN83">
            <v>4773.1594000000005</v>
          </cell>
          <cell r="EO83">
            <v>18860.179400000001</v>
          </cell>
          <cell r="EQ83">
            <v>4823.0012120000001</v>
          </cell>
          <cell r="ER83">
            <v>4784.8219377600008</v>
          </cell>
          <cell r="ES83">
            <v>4766.5057490048002</v>
          </cell>
          <cell r="ET83">
            <v>4751.928651524704</v>
          </cell>
          <cell r="EU83">
            <v>19126.257550289505</v>
          </cell>
          <cell r="EW83">
            <v>4760.8809602365864</v>
          </cell>
          <cell r="EX83">
            <v>4717.3639341568542</v>
          </cell>
          <cell r="EY83">
            <v>4690.5959448487165</v>
          </cell>
          <cell r="EZ83">
            <v>4667.722604332992</v>
          </cell>
          <cell r="FA83">
            <v>18836.563443575149</v>
          </cell>
        </row>
        <row r="84">
          <cell r="C84" t="str">
            <v>-</v>
          </cell>
          <cell r="D84">
            <v>23.150999999999996</v>
          </cell>
          <cell r="E84">
            <v>55.344999999999999</v>
          </cell>
          <cell r="F84">
            <v>131.249</v>
          </cell>
          <cell r="G84">
            <v>282.113</v>
          </cell>
          <cell r="H84">
            <v>583.79999999999995</v>
          </cell>
          <cell r="I84">
            <v>916.39</v>
          </cell>
          <cell r="J84">
            <v>1027.9490000000001</v>
          </cell>
          <cell r="K84">
            <v>1179</v>
          </cell>
          <cell r="L84">
            <v>1503</v>
          </cell>
          <cell r="M84">
            <v>2001.1469999999999</v>
          </cell>
          <cell r="O84">
            <v>556.47400000000005</v>
          </cell>
          <cell r="P84">
            <v>670.28</v>
          </cell>
          <cell r="Q84">
            <v>722.245</v>
          </cell>
          <cell r="R84">
            <v>1017.879</v>
          </cell>
          <cell r="S84">
            <v>2966.8779999999997</v>
          </cell>
          <cell r="U84">
            <v>771.803</v>
          </cell>
          <cell r="V84">
            <v>967</v>
          </cell>
          <cell r="W84">
            <v>1020.239</v>
          </cell>
          <cell r="X84">
            <v>1464.0739999999998</v>
          </cell>
          <cell r="Y84">
            <v>4223.116</v>
          </cell>
          <cell r="AA84">
            <v>1052.319</v>
          </cell>
          <cell r="AB84">
            <v>1311.373</v>
          </cell>
          <cell r="AC84">
            <v>1372.6129999999998</v>
          </cell>
          <cell r="AD84">
            <v>1948.0309999999999</v>
          </cell>
          <cell r="AE84">
            <v>5684.3359999999993</v>
          </cell>
          <cell r="AG84">
            <v>1368.828</v>
          </cell>
          <cell r="AH84">
            <v>1613.7269999999999</v>
          </cell>
          <cell r="AI84">
            <v>1748.7570000000001</v>
          </cell>
          <cell r="AJ84">
            <v>2412.5529999999999</v>
          </cell>
          <cell r="AK84">
            <v>7143.8649999999998</v>
          </cell>
          <cell r="AM84">
            <v>1749.11</v>
          </cell>
          <cell r="AN84">
            <v>2055.9440000000004</v>
          </cell>
          <cell r="AO84">
            <v>2078.92</v>
          </cell>
          <cell r="AP84">
            <v>2943.2779999999998</v>
          </cell>
          <cell r="AQ84">
            <v>8827.2520000000004</v>
          </cell>
          <cell r="AS84">
            <v>1984.5170000000001</v>
          </cell>
          <cell r="AT84">
            <v>2321.8829999999998</v>
          </cell>
          <cell r="AU84">
            <v>2449.4179999999997</v>
          </cell>
          <cell r="AV84">
            <v>3374.3100000000004</v>
          </cell>
          <cell r="AW84">
            <v>10130.128000000001</v>
          </cell>
          <cell r="AY84">
            <v>2287.9920000000002</v>
          </cell>
          <cell r="AZ84">
            <v>2686.4079999999999</v>
          </cell>
          <cell r="BA84">
            <v>2696.0619999999999</v>
          </cell>
          <cell r="BB84">
            <v>3290.23</v>
          </cell>
          <cell r="BC84">
            <v>10960.691999999999</v>
          </cell>
          <cell r="BE84">
            <v>2265.0549999999998</v>
          </cell>
          <cell r="BF84">
            <v>2380.4369999999999</v>
          </cell>
          <cell r="BG84">
            <v>2253.3199999999997</v>
          </cell>
          <cell r="BH84">
            <v>2773.9810000000002</v>
          </cell>
          <cell r="BI84">
            <v>9672.7929999999997</v>
          </cell>
          <cell r="BK84">
            <v>2028</v>
          </cell>
          <cell r="BL84">
            <v>2309</v>
          </cell>
          <cell r="BM84">
            <v>2307</v>
          </cell>
          <cell r="BN84">
            <v>2831.4</v>
          </cell>
          <cell r="BO84">
            <v>9475.4</v>
          </cell>
          <cell r="BQ84">
            <v>2072</v>
          </cell>
          <cell r="BR84">
            <v>2498</v>
          </cell>
          <cell r="BS84">
            <v>2509</v>
          </cell>
          <cell r="BT84">
            <v>3077</v>
          </cell>
          <cell r="BU84">
            <v>10156</v>
          </cell>
          <cell r="BW84">
            <v>2215</v>
          </cell>
          <cell r="BX84">
            <v>2756</v>
          </cell>
          <cell r="BY84">
            <v>2950</v>
          </cell>
          <cell r="BZ84">
            <v>3877.9920000000002</v>
          </cell>
          <cell r="CA84">
            <v>11798.992</v>
          </cell>
          <cell r="CC84">
            <v>2768</v>
          </cell>
          <cell r="CD84">
            <v>3292</v>
          </cell>
          <cell r="CE84">
            <v>3469.9</v>
          </cell>
          <cell r="CF84">
            <v>4851</v>
          </cell>
          <cell r="CG84">
            <v>14380.9</v>
          </cell>
          <cell r="CI84">
            <v>3591</v>
          </cell>
          <cell r="CJ84">
            <v>4163</v>
          </cell>
          <cell r="CK84">
            <v>4414</v>
          </cell>
          <cell r="CL84">
            <v>5828</v>
          </cell>
          <cell r="CM84">
            <v>17996</v>
          </cell>
          <cell r="CO84">
            <v>4529</v>
          </cell>
          <cell r="CP84">
            <v>5313</v>
          </cell>
          <cell r="CQ84">
            <v>5349</v>
          </cell>
          <cell r="CR84">
            <v>7239</v>
          </cell>
          <cell r="CS84">
            <v>22430</v>
          </cell>
          <cell r="CU84">
            <v>5331</v>
          </cell>
          <cell r="CV84">
            <v>5607</v>
          </cell>
          <cell r="CW84">
            <v>5453</v>
          </cell>
          <cell r="CX84">
            <v>6861</v>
          </cell>
          <cell r="CY84">
            <v>23252</v>
          </cell>
          <cell r="DA84">
            <v>5054</v>
          </cell>
          <cell r="DB84">
            <v>5858</v>
          </cell>
          <cell r="DC84">
            <v>6404.4</v>
          </cell>
          <cell r="DE84">
            <v>26821.4</v>
          </cell>
          <cell r="DG84">
            <v>7502</v>
          </cell>
          <cell r="DH84">
            <v>8627</v>
          </cell>
          <cell r="DI84">
            <v>8764</v>
          </cell>
          <cell r="DJ84">
            <v>10775</v>
          </cell>
          <cell r="DK84">
            <v>35668</v>
          </cell>
          <cell r="DM84">
            <v>8374</v>
          </cell>
          <cell r="DN84">
            <v>8792</v>
          </cell>
          <cell r="DO84">
            <v>9039.3392000000003</v>
          </cell>
          <cell r="DP84">
            <v>10916.1597</v>
          </cell>
          <cell r="DQ84">
            <v>37121.498900000006</v>
          </cell>
          <cell r="DS84">
            <v>8181</v>
          </cell>
          <cell r="DT84">
            <v>9094</v>
          </cell>
          <cell r="DU84">
            <v>8958</v>
          </cell>
          <cell r="DV84">
            <v>10947</v>
          </cell>
          <cell r="DW84">
            <v>37180</v>
          </cell>
          <cell r="DY84">
            <v>8372</v>
          </cell>
          <cell r="DZ84">
            <v>9276</v>
          </cell>
          <cell r="EA84">
            <v>9307</v>
          </cell>
          <cell r="EB84">
            <v>11320</v>
          </cell>
          <cell r="EC84">
            <v>38275</v>
          </cell>
          <cell r="EE84">
            <v>8596</v>
          </cell>
          <cell r="EF84">
            <v>9598</v>
          </cell>
          <cell r="EG84">
            <v>9327</v>
          </cell>
          <cell r="EH84">
            <v>10705</v>
          </cell>
          <cell r="EI84">
            <v>38226</v>
          </cell>
          <cell r="EK84">
            <v>8448</v>
          </cell>
          <cell r="EL84">
            <v>8993</v>
          </cell>
          <cell r="EM84">
            <v>9123.2471519999999</v>
          </cell>
          <cell r="EN84">
            <v>10385.662836</v>
          </cell>
          <cell r="EO84">
            <v>36949.909987999999</v>
          </cell>
          <cell r="EQ84">
            <v>8628.9815272000014</v>
          </cell>
          <cell r="ER84">
            <v>9105.8968413367984</v>
          </cell>
          <cell r="ES84">
            <v>9177.7706190742956</v>
          </cell>
          <cell r="ET84">
            <v>10303.510093824385</v>
          </cell>
          <cell r="EU84">
            <v>37216.159081435479</v>
          </cell>
          <cell r="EW84">
            <v>8690.8290761762801</v>
          </cell>
          <cell r="EX84">
            <v>9126.3709901296806</v>
          </cell>
          <cell r="EY84">
            <v>9197.4916027003583</v>
          </cell>
          <cell r="EZ84">
            <v>10168.705677587952</v>
          </cell>
          <cell r="FA84">
            <v>37183.397346594269</v>
          </cell>
        </row>
        <row r="85">
          <cell r="C85" t="str">
            <v>-</v>
          </cell>
          <cell r="D85">
            <v>0.82076287848997209</v>
          </cell>
          <cell r="E85">
            <v>1.3906094769124446</v>
          </cell>
          <cell r="F85">
            <v>1.3714698708103712</v>
          </cell>
          <cell r="G85">
            <v>1.1494487577048207</v>
          </cell>
          <cell r="H85">
            <v>1.0693835448915858</v>
          </cell>
          <cell r="I85">
            <v>0.56969852689277167</v>
          </cell>
          <cell r="J85">
            <v>0.12173746985453793</v>
          </cell>
          <cell r="K85">
            <v>0.14694406045436104</v>
          </cell>
          <cell r="L85">
            <v>0.27480916030534353</v>
          </cell>
          <cell r="M85">
            <v>0.33143512974051892</v>
          </cell>
          <cell r="O85" t="str">
            <v>-</v>
          </cell>
          <cell r="P85" t="str">
            <v>-</v>
          </cell>
          <cell r="Q85" t="str">
            <v>-</v>
          </cell>
          <cell r="R85" t="str">
            <v>-</v>
          </cell>
          <cell r="S85">
            <v>0.48258873536027069</v>
          </cell>
          <cell r="U85">
            <v>0.38695249014329502</v>
          </cell>
          <cell r="V85">
            <v>0.44268067076445661</v>
          </cell>
          <cell r="W85">
            <v>0.41259406434104773</v>
          </cell>
          <cell r="X85">
            <v>0.4383576043910915</v>
          </cell>
          <cell r="Y85">
            <v>0.42342084844742534</v>
          </cell>
          <cell r="AA85">
            <v>0.36345544134967089</v>
          </cell>
          <cell r="AB85">
            <v>0.35612512926577056</v>
          </cell>
          <cell r="AC85">
            <v>0.3453837777226707</v>
          </cell>
          <cell r="AD85">
            <v>0.33055501292967437</v>
          </cell>
          <cell r="AE85">
            <v>0.34600517721985358</v>
          </cell>
          <cell r="AG85">
            <v>0.30077286450211393</v>
          </cell>
          <cell r="AH85">
            <v>0.23056292908272469</v>
          </cell>
          <cell r="AI85">
            <v>0.27403499748290328</v>
          </cell>
          <cell r="AJ85">
            <v>0.23845719087632578</v>
          </cell>
          <cell r="AK85">
            <v>0.25676332292813098</v>
          </cell>
          <cell r="AM85">
            <v>0.27781576648052186</v>
          </cell>
          <cell r="AN85">
            <v>0.27403457957882638</v>
          </cell>
          <cell r="AO85">
            <v>0.18879867242847359</v>
          </cell>
          <cell r="AP85">
            <v>0.21998480447890678</v>
          </cell>
          <cell r="AQ85">
            <v>0.2356409310646268</v>
          </cell>
          <cell r="AS85">
            <v>0.13458673268119226</v>
          </cell>
          <cell r="AT85">
            <v>0.12935128583268773</v>
          </cell>
          <cell r="AU85">
            <v>0.17821657399034097</v>
          </cell>
          <cell r="AV85">
            <v>0.14644624123171535</v>
          </cell>
          <cell r="AW85">
            <v>0.14759700980554302</v>
          </cell>
          <cell r="AY85">
            <v>0.15292134055792928</v>
          </cell>
          <cell r="AZ85">
            <v>0.15699542138858846</v>
          </cell>
          <cell r="BA85">
            <v>0.10069494059405137</v>
          </cell>
          <cell r="BB85">
            <v>-2.4917686875242762E-2</v>
          </cell>
          <cell r="BC85">
            <v>8.1989487200951228E-2</v>
          </cell>
          <cell r="BE85">
            <v>-1.0024947639677206E-2</v>
          </cell>
          <cell r="BF85">
            <v>-0.11389595325803081</v>
          </cell>
          <cell r="BG85">
            <v>-0.16421803356154285</v>
          </cell>
          <cell r="BH85">
            <v>-0.15690362071952413</v>
          </cell>
          <cell r="BI85">
            <v>-0.11750161394919223</v>
          </cell>
          <cell r="BK85">
            <v>-0.10465750279794528</v>
          </cell>
          <cell r="BL85">
            <v>-3.0010035972386495E-2</v>
          </cell>
          <cell r="BM85">
            <v>2.3822626169385686E-2</v>
          </cell>
          <cell r="BN85">
            <v>2.0699132402132392E-2</v>
          </cell>
          <cell r="BO85">
            <v>-2.0407032384544999E-2</v>
          </cell>
          <cell r="BQ85">
            <v>2.1696252465483346E-2</v>
          </cell>
          <cell r="BR85">
            <v>8.1853616284105701E-2</v>
          </cell>
          <cell r="BS85">
            <v>8.7559601213697436E-2</v>
          </cell>
          <cell r="BT85">
            <v>8.6741541286995849E-2</v>
          </cell>
          <cell r="BU85">
            <v>7.1828102243704839E-2</v>
          </cell>
          <cell r="BW85">
            <v>6.9015444015444016E-2</v>
          </cell>
          <cell r="BX85">
            <v>0.10328262610088079</v>
          </cell>
          <cell r="BY85">
            <v>0.17576723794340365</v>
          </cell>
          <cell r="BZ85">
            <v>0.26031589210269757</v>
          </cell>
          <cell r="CA85">
            <v>0.16177550216620729</v>
          </cell>
          <cell r="CC85">
            <v>0.24966139954853284</v>
          </cell>
          <cell r="CD85">
            <v>0.19448476052249641</v>
          </cell>
          <cell r="CE85">
            <v>0.17623728813559336</v>
          </cell>
          <cell r="CF85">
            <v>0.25090510759176388</v>
          </cell>
          <cell r="CG85">
            <v>0.21882445551280982</v>
          </cell>
          <cell r="CI85">
            <v>0.29732658959537561</v>
          </cell>
          <cell r="CJ85">
            <v>0.26458080194410694</v>
          </cell>
          <cell r="CK85">
            <v>0.27208276895587757</v>
          </cell>
          <cell r="CL85">
            <v>0.20140177283034433</v>
          </cell>
          <cell r="CM85">
            <v>0.25138204145776699</v>
          </cell>
          <cell r="CO85">
            <v>0.26120857699805078</v>
          </cell>
          <cell r="CP85">
            <v>0.27624309392265189</v>
          </cell>
          <cell r="CQ85">
            <v>0.21182600815586761</v>
          </cell>
          <cell r="CR85">
            <v>0.24210706932052162</v>
          </cell>
          <cell r="CS85">
            <v>0.24638808624138697</v>
          </cell>
          <cell r="CU85">
            <v>0.17708103334069336</v>
          </cell>
          <cell r="CV85">
            <v>5.5335968379446543E-2</v>
          </cell>
          <cell r="CW85">
            <v>1.9442886520844915E-2</v>
          </cell>
          <cell r="CX85">
            <v>-5.2217157065893027E-2</v>
          </cell>
          <cell r="CY85">
            <v>3.6647347302719568E-2</v>
          </cell>
          <cell r="DA85">
            <v>-5.1960232601763301E-2</v>
          </cell>
          <cell r="DB85">
            <v>4.4765471731763817E-2</v>
          </cell>
          <cell r="DC85">
            <v>0.1744727672840638</v>
          </cell>
          <cell r="DE85">
            <v>0.15350937553758826</v>
          </cell>
          <cell r="DG85">
            <v>0.48436881677878918</v>
          </cell>
          <cell r="DH85">
            <v>0.47268692386480038</v>
          </cell>
          <cell r="DI85">
            <v>0.3684342014864781</v>
          </cell>
          <cell r="DJ85">
            <v>0.13361388742766955</v>
          </cell>
          <cell r="DK85">
            <v>0.32983364030214668</v>
          </cell>
          <cell r="DM85">
            <v>0.11623567048786998</v>
          </cell>
          <cell r="DN85">
            <v>1.9125999768169644E-2</v>
          </cell>
          <cell r="DO85">
            <v>3.1417069831127353E-2</v>
          </cell>
          <cell r="DP85">
            <v>1.3100668213457123E-2</v>
          </cell>
          <cell r="DQ85">
            <v>4.075078221374917E-2</v>
          </cell>
          <cell r="DS85">
            <v>-2.3047528063052325E-2</v>
          </cell>
          <cell r="DT85">
            <v>3.4349408553230099E-2</v>
          </cell>
          <cell r="DU85">
            <v>-8.9983568710421125E-3</v>
          </cell>
          <cell r="DV85">
            <v>2.8251968501340485E-3</v>
          </cell>
          <cell r="DW85">
            <v>1.5759358251559163E-3</v>
          </cell>
          <cell r="DY85">
            <v>2.334677912235672E-2</v>
          </cell>
          <cell r="DZ85">
            <v>2.0013195513525428E-2</v>
          </cell>
          <cell r="EA85">
            <v>3.8959589194016431E-2</v>
          </cell>
          <cell r="EB85">
            <v>3.4073262080935418E-2</v>
          </cell>
          <cell r="EC85">
            <v>2.9451317912856378E-2</v>
          </cell>
          <cell r="EE85">
            <v>2.6755852842809347E-2</v>
          </cell>
          <cell r="EF85">
            <v>3.4713238464855634E-2</v>
          </cell>
          <cell r="EG85">
            <v>2.1489201676156977E-3</v>
          </cell>
          <cell r="EH85">
            <v>-5.4328621908127261E-2</v>
          </cell>
          <cell r="EI85">
            <v>-1.2802090137165045E-3</v>
          </cell>
          <cell r="EK85">
            <v>-1.7217310376919537E-2</v>
          </cell>
          <cell r="EL85">
            <v>-6.3033965409460269E-2</v>
          </cell>
          <cell r="EM85">
            <v>-2.184548600836278E-2</v>
          </cell>
          <cell r="EN85">
            <v>-2.983065520784689E-2</v>
          </cell>
          <cell r="EO85">
            <v>-3.3382776434887296E-2</v>
          </cell>
          <cell r="EQ85">
            <v>2.1423002746212338E-2</v>
          </cell>
          <cell r="ER85">
            <v>1.2553857593327944E-2</v>
          </cell>
          <cell r="ES85">
            <v>5.9763224832007911E-3</v>
          </cell>
          <cell r="ET85">
            <v>-7.9102069336246528E-3</v>
          </cell>
          <cell r="EU85">
            <v>7.2056763743659769E-3</v>
          </cell>
          <cell r="EW85">
            <v>7.1674216454542528E-3</v>
          </cell>
          <cell r="EX85">
            <v>2.2484494552956757E-3</v>
          </cell>
          <cell r="EY85">
            <v>2.1487771316790472E-3</v>
          </cell>
          <cell r="EZ85">
            <v>-1.3083348782006898E-2</v>
          </cell>
          <cell r="FA85">
            <v>-8.8030940456595985E-4</v>
          </cell>
        </row>
        <row r="86">
          <cell r="C86" t="str">
            <v>-</v>
          </cell>
          <cell r="D86" t="str">
            <v>-</v>
          </cell>
          <cell r="E86" t="str">
            <v>-</v>
          </cell>
          <cell r="F86" t="str">
            <v>-</v>
          </cell>
          <cell r="G86" t="str">
            <v>-</v>
          </cell>
          <cell r="H86" t="str">
            <v>-</v>
          </cell>
          <cell r="I86" t="str">
            <v>-</v>
          </cell>
          <cell r="J86" t="str">
            <v>-</v>
          </cell>
          <cell r="K86" t="str">
            <v>-</v>
          </cell>
          <cell r="L86" t="str">
            <v>-</v>
          </cell>
          <cell r="M86" t="str">
            <v>-</v>
          </cell>
          <cell r="O86" t="str">
            <v>-</v>
          </cell>
          <cell r="P86" t="str">
            <v>-</v>
          </cell>
          <cell r="Q86" t="str">
            <v>-</v>
          </cell>
          <cell r="R86" t="str">
            <v>-</v>
          </cell>
          <cell r="S86" t="str">
            <v>-</v>
          </cell>
          <cell r="U86">
            <v>-0.2417536858506758</v>
          </cell>
          <cell r="V86">
            <v>0.25291039293705775</v>
          </cell>
          <cell r="W86">
            <v>5.5055842812823164E-2</v>
          </cell>
          <cell r="X86">
            <v>0.43503041934291842</v>
          </cell>
          <cell r="Y86" t="str">
            <v>-</v>
          </cell>
          <cell r="AA86">
            <v>-0.28123919965794075</v>
          </cell>
          <cell r="AB86">
            <v>0.2461744014885221</v>
          </cell>
          <cell r="AC86">
            <v>4.6699146619611387E-2</v>
          </cell>
          <cell r="AD86">
            <v>0.41921357294444994</v>
          </cell>
          <cell r="AE86" t="str">
            <v>-</v>
          </cell>
          <cell r="AG86">
            <v>-0.29732740392735024</v>
          </cell>
          <cell r="AH86">
            <v>0.17891144833390316</v>
          </cell>
          <cell r="AI86">
            <v>8.3675863389532479E-2</v>
          </cell>
          <cell r="AJ86">
            <v>0.37958161139598001</v>
          </cell>
          <cell r="AK86" t="str">
            <v>-</v>
          </cell>
          <cell r="AM86">
            <v>-0.27499623842460663</v>
          </cell>
          <cell r="AN86">
            <v>0.17542292937551118</v>
          </cell>
          <cell r="AO86">
            <v>1.1175401664636597E-2</v>
          </cell>
          <cell r="AP86">
            <v>0.41577261270274946</v>
          </cell>
          <cell r="AQ86" t="str">
            <v>-</v>
          </cell>
          <cell r="AS86">
            <v>-0.32574598797667087</v>
          </cell>
          <cell r="AT86">
            <v>0.16999904762720597</v>
          </cell>
          <cell r="AU86">
            <v>5.4927401596032155E-2</v>
          </cell>
          <cell r="AV86">
            <v>0.37759663724199011</v>
          </cell>
          <cell r="AW86" t="str">
            <v>-</v>
          </cell>
          <cell r="AY86">
            <v>-0.32193781839842817</v>
          </cell>
          <cell r="AZ86">
            <v>0.17413347599117457</v>
          </cell>
          <cell r="BA86">
            <v>3.5936462369081656E-3</v>
          </cell>
          <cell r="BB86">
            <v>0.22038365586548081</v>
          </cell>
          <cell r="BC86" t="str">
            <v>-</v>
          </cell>
          <cell r="BE86">
            <v>-0.31158156116745639</v>
          </cell>
          <cell r="BF86">
            <v>5.0940043398504775E-2</v>
          </cell>
          <cell r="BG86">
            <v>-5.340069911533063E-2</v>
          </cell>
          <cell r="BH86">
            <v>0.231063941206753</v>
          </cell>
          <cell r="BI86" t="str">
            <v>-</v>
          </cell>
          <cell r="BK86">
            <v>-0.26892073161279773</v>
          </cell>
          <cell r="BL86">
            <v>0.13856015779092701</v>
          </cell>
          <cell r="BM86">
            <v>-8.6617583369419382E-4</v>
          </cell>
          <cell r="BN86">
            <v>0.22730819245773737</v>
          </cell>
          <cell r="BO86" t="str">
            <v>-</v>
          </cell>
          <cell r="BQ86">
            <v>-0.26820654093381369</v>
          </cell>
          <cell r="BR86">
            <v>0.20559845559845558</v>
          </cell>
          <cell r="BS86">
            <v>4.4035228182546238E-3</v>
          </cell>
          <cell r="BT86">
            <v>0.22638501394978072</v>
          </cell>
          <cell r="BU86" t="str">
            <v>-</v>
          </cell>
          <cell r="BW86">
            <v>-0.28014299642508933</v>
          </cell>
          <cell r="BX86">
            <v>0.24424379232505644</v>
          </cell>
          <cell r="BY86">
            <v>7.0391872278664724E-2</v>
          </cell>
          <cell r="BZ86">
            <v>0.31457355932203401</v>
          </cell>
          <cell r="CA86" t="str">
            <v>-</v>
          </cell>
          <cell r="CC86">
            <v>-0.28622854301917078</v>
          </cell>
          <cell r="CD86">
            <v>0.18930635838150289</v>
          </cell>
          <cell r="CE86">
            <v>5.4040097205346305E-2</v>
          </cell>
          <cell r="CF86">
            <v>0.39802299778091577</v>
          </cell>
          <cell r="CG86" t="str">
            <v>-</v>
          </cell>
          <cell r="CI86">
            <v>-0.25974025974025972</v>
          </cell>
          <cell r="CJ86">
            <v>0.1592871066555277</v>
          </cell>
          <cell r="CK86">
            <v>6.0293057890943969E-2</v>
          </cell>
          <cell r="CL86">
            <v>0.32034435885817847</v>
          </cell>
          <cell r="CM86" t="str">
            <v>-</v>
          </cell>
          <cell r="CO86">
            <v>-0.22288949897048727</v>
          </cell>
          <cell r="CP86">
            <v>0.17310664605873272</v>
          </cell>
          <cell r="CQ86">
            <v>6.7758328627893771E-3</v>
          </cell>
          <cell r="CR86">
            <v>0.35333707234997203</v>
          </cell>
          <cell r="CS86" t="str">
            <v>-</v>
          </cell>
          <cell r="CU86">
            <v>-0.26357231661831748</v>
          </cell>
          <cell r="CV86">
            <v>5.1772650534608999E-2</v>
          </cell>
          <cell r="CW86">
            <v>-2.7465667915106073E-2</v>
          </cell>
          <cell r="CX86">
            <v>0.25820649183935451</v>
          </cell>
          <cell r="CY86" t="str">
            <v>-</v>
          </cell>
          <cell r="DA86">
            <v>-0.26337268619734733</v>
          </cell>
          <cell r="DB86">
            <v>0.15908191531460236</v>
          </cell>
          <cell r="DC86">
            <v>9.3274155001707104E-2</v>
          </cell>
          <cell r="DE86" t="str">
            <v>-</v>
          </cell>
          <cell r="DG86">
            <v>-0.21073119410836405</v>
          </cell>
          <cell r="DH86">
            <v>0.14996001066382303</v>
          </cell>
          <cell r="DI86">
            <v>1.5880375565086258E-2</v>
          </cell>
          <cell r="DJ86">
            <v>0.22946143313555445</v>
          </cell>
          <cell r="DK86" t="str">
            <v>-</v>
          </cell>
          <cell r="DM86">
            <v>-0.22283062645011598</v>
          </cell>
          <cell r="DN86">
            <v>4.9916407929305073E-2</v>
          </cell>
          <cell r="DO86">
            <v>2.8132302092811701E-2</v>
          </cell>
          <cell r="DP86">
            <v>0.20762806422841162</v>
          </cell>
          <cell r="DQ86" t="str">
            <v>-</v>
          </cell>
          <cell r="DS86">
            <v>-0.25056061611117686</v>
          </cell>
          <cell r="DT86">
            <v>0.11160004889377828</v>
          </cell>
          <cell r="DU86">
            <v>-1.4954915328788232E-2</v>
          </cell>
          <cell r="DV86">
            <v>0.22203616878767574</v>
          </cell>
          <cell r="DW86" t="str">
            <v>-</v>
          </cell>
          <cell r="DY86">
            <v>-0.23522426235498306</v>
          </cell>
          <cell r="DZ86">
            <v>0.10797897754419483</v>
          </cell>
          <cell r="EA86">
            <v>3.3419577404052436E-3</v>
          </cell>
          <cell r="EB86">
            <v>0.21628881487052753</v>
          </cell>
          <cell r="EC86" t="str">
            <v>-</v>
          </cell>
          <cell r="EE86">
            <v>-0.24063604240282688</v>
          </cell>
          <cell r="EF86">
            <v>0.11656584457887398</v>
          </cell>
          <cell r="EG86">
            <v>-2.8235048968535126E-2</v>
          </cell>
          <cell r="EH86">
            <v>0.14774311139701934</v>
          </cell>
          <cell r="EI86" t="str">
            <v>-</v>
          </cell>
          <cell r="EK86">
            <v>-0.21083605791686133</v>
          </cell>
          <cell r="EL86">
            <v>6.4512310606060552E-2</v>
          </cell>
          <cell r="EM86">
            <v>1.448317046591785E-2</v>
          </cell>
          <cell r="EN86">
            <v>0.1383735048461614</v>
          </cell>
          <cell r="EO86" t="str">
            <v>-</v>
          </cell>
          <cell r="EQ86">
            <v>-0.16914484289926912</v>
          </cell>
          <cell r="ER86">
            <v>5.5269015541808741E-2</v>
          </cell>
          <cell r="ES86">
            <v>7.8931025674726651E-3</v>
          </cell>
          <cell r="ET86">
            <v>0.12265936047807169</v>
          </cell>
          <cell r="EU86" t="str">
            <v>-</v>
          </cell>
          <cell r="EW86">
            <v>-0.15651763359893223</v>
          </cell>
          <cell r="EX86">
            <v>5.0115116766860535E-2</v>
          </cell>
          <cell r="EY86">
            <v>7.7928688903394772E-3</v>
          </cell>
          <cell r="EZ86">
            <v>0.10559553809241295</v>
          </cell>
          <cell r="FA86" t="str">
            <v>-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0</v>
          </cell>
          <cell r="BK87">
            <v>0</v>
          </cell>
          <cell r="BL87">
            <v>0</v>
          </cell>
          <cell r="BM87">
            <v>0</v>
          </cell>
          <cell r="BN87">
            <v>0</v>
          </cell>
          <cell r="BO87">
            <v>0</v>
          </cell>
          <cell r="BU87">
            <v>0</v>
          </cell>
          <cell r="CA87">
            <v>0</v>
          </cell>
          <cell r="CG87">
            <v>0</v>
          </cell>
          <cell r="CM87">
            <v>0</v>
          </cell>
          <cell r="CS87">
            <v>0</v>
          </cell>
          <cell r="CY87">
            <v>0</v>
          </cell>
          <cell r="DE87">
            <v>0</v>
          </cell>
          <cell r="DK87">
            <v>0</v>
          </cell>
          <cell r="DQ87">
            <v>0</v>
          </cell>
          <cell r="DV87">
            <v>0</v>
          </cell>
          <cell r="DW87">
            <v>0</v>
          </cell>
          <cell r="DY87">
            <v>0</v>
          </cell>
          <cell r="DZ87">
            <v>0</v>
          </cell>
          <cell r="EA87">
            <v>0</v>
          </cell>
          <cell r="EB87">
            <v>0</v>
          </cell>
          <cell r="EC87">
            <v>0</v>
          </cell>
          <cell r="EE87">
            <v>0</v>
          </cell>
          <cell r="EF87">
            <v>0</v>
          </cell>
          <cell r="EG87">
            <v>0</v>
          </cell>
          <cell r="EH87">
            <v>0</v>
          </cell>
          <cell r="EI87">
            <v>0</v>
          </cell>
          <cell r="EK87">
            <v>0</v>
          </cell>
          <cell r="EO87">
            <v>0</v>
          </cell>
          <cell r="EU87">
            <v>0</v>
          </cell>
          <cell r="FA87">
            <v>0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0</v>
          </cell>
          <cell r="BK88">
            <v>0</v>
          </cell>
          <cell r="BL88">
            <v>0</v>
          </cell>
          <cell r="BM88">
            <v>0</v>
          </cell>
          <cell r="BN88">
            <v>0</v>
          </cell>
          <cell r="BO88">
            <v>0</v>
          </cell>
          <cell r="BQ88">
            <v>0</v>
          </cell>
          <cell r="BR88">
            <v>0</v>
          </cell>
          <cell r="BS88">
            <v>0</v>
          </cell>
          <cell r="BU88">
            <v>0</v>
          </cell>
          <cell r="BY88">
            <v>0</v>
          </cell>
          <cell r="BZ88">
            <v>0</v>
          </cell>
          <cell r="CA88">
            <v>0</v>
          </cell>
          <cell r="CC88">
            <v>0</v>
          </cell>
          <cell r="CD88">
            <v>0</v>
          </cell>
          <cell r="CE88">
            <v>0</v>
          </cell>
          <cell r="CF88">
            <v>0</v>
          </cell>
          <cell r="CG88">
            <v>0</v>
          </cell>
          <cell r="CI88">
            <v>0</v>
          </cell>
          <cell r="CJ88">
            <v>0</v>
          </cell>
          <cell r="CK88">
            <v>0</v>
          </cell>
          <cell r="CL88">
            <v>0</v>
          </cell>
          <cell r="CM88">
            <v>0</v>
          </cell>
          <cell r="CO88">
            <v>0</v>
          </cell>
          <cell r="CP88">
            <v>0</v>
          </cell>
          <cell r="CQ88">
            <v>0</v>
          </cell>
          <cell r="CR88">
            <v>0</v>
          </cell>
          <cell r="CS88">
            <v>0</v>
          </cell>
          <cell r="CU88">
            <v>0</v>
          </cell>
          <cell r="CV88">
            <v>0</v>
          </cell>
          <cell r="CW88">
            <v>0</v>
          </cell>
          <cell r="CX88">
            <v>0</v>
          </cell>
          <cell r="CY88">
            <v>0</v>
          </cell>
          <cell r="DA88">
            <v>0</v>
          </cell>
          <cell r="DB88">
            <v>0</v>
          </cell>
          <cell r="DC88">
            <v>0</v>
          </cell>
          <cell r="DE88">
            <v>0</v>
          </cell>
          <cell r="DG88">
            <v>0</v>
          </cell>
          <cell r="DH88">
            <v>0</v>
          </cell>
          <cell r="DI88">
            <v>0</v>
          </cell>
          <cell r="DJ88">
            <v>0</v>
          </cell>
          <cell r="DK88">
            <v>0</v>
          </cell>
          <cell r="DM88">
            <v>0</v>
          </cell>
          <cell r="DN88">
            <v>0</v>
          </cell>
          <cell r="DO88">
            <v>0</v>
          </cell>
          <cell r="DP88">
            <v>0</v>
          </cell>
          <cell r="DQ88">
            <v>0</v>
          </cell>
          <cell r="DS88">
            <v>0</v>
          </cell>
          <cell r="DT88">
            <v>0</v>
          </cell>
          <cell r="DU88">
            <v>0</v>
          </cell>
          <cell r="DV88">
            <v>0</v>
          </cell>
          <cell r="DW88">
            <v>0</v>
          </cell>
          <cell r="DY88">
            <v>0</v>
          </cell>
          <cell r="DZ88">
            <v>0</v>
          </cell>
          <cell r="EA88">
            <v>0</v>
          </cell>
          <cell r="EB88">
            <v>0</v>
          </cell>
          <cell r="EC88">
            <v>0</v>
          </cell>
          <cell r="EE88">
            <v>0</v>
          </cell>
          <cell r="EF88">
            <v>0</v>
          </cell>
          <cell r="EG88">
            <v>0</v>
          </cell>
          <cell r="EH88">
            <v>0</v>
          </cell>
          <cell r="EI88">
            <v>0</v>
          </cell>
          <cell r="EK88">
            <v>0</v>
          </cell>
          <cell r="EL88">
            <v>0</v>
          </cell>
          <cell r="EM88">
            <v>0</v>
          </cell>
          <cell r="EN88">
            <v>0</v>
          </cell>
          <cell r="EO88">
            <v>0</v>
          </cell>
          <cell r="EQ88">
            <v>0</v>
          </cell>
          <cell r="ER88">
            <v>0</v>
          </cell>
          <cell r="ES88">
            <v>0</v>
          </cell>
          <cell r="ET88">
            <v>0</v>
          </cell>
          <cell r="EU88">
            <v>0</v>
          </cell>
          <cell r="EW88">
            <v>0</v>
          </cell>
          <cell r="EX88">
            <v>0</v>
          </cell>
          <cell r="EY88">
            <v>0</v>
          </cell>
          <cell r="EZ88">
            <v>0</v>
          </cell>
          <cell r="FA88">
            <v>0</v>
          </cell>
        </row>
        <row r="89">
          <cell r="C89" t="str">
            <v>-</v>
          </cell>
          <cell r="D89" t="str">
            <v>-</v>
          </cell>
          <cell r="E89" t="str">
            <v>-</v>
          </cell>
          <cell r="F89" t="str">
            <v>-</v>
          </cell>
          <cell r="G89" t="str">
            <v>-</v>
          </cell>
          <cell r="H89" t="str">
            <v>-</v>
          </cell>
          <cell r="I89" t="str">
            <v>-</v>
          </cell>
          <cell r="J89" t="str">
            <v>-</v>
          </cell>
          <cell r="K89" t="str">
            <v>-</v>
          </cell>
          <cell r="L89" t="str">
            <v>-</v>
          </cell>
          <cell r="M89" t="str">
            <v>-</v>
          </cell>
          <cell r="O89" t="str">
            <v>-</v>
          </cell>
          <cell r="P89" t="str">
            <v>-</v>
          </cell>
          <cell r="Q89" t="str">
            <v>-</v>
          </cell>
          <cell r="R89" t="str">
            <v>-</v>
          </cell>
          <cell r="S89" t="str">
            <v>-</v>
          </cell>
          <cell r="U89" t="str">
            <v>-</v>
          </cell>
          <cell r="V89" t="str">
            <v>-</v>
          </cell>
          <cell r="W89" t="str">
            <v>-</v>
          </cell>
          <cell r="X89" t="str">
            <v>-</v>
          </cell>
          <cell r="Y89" t="str">
            <v>-</v>
          </cell>
          <cell r="AA89" t="str">
            <v>-</v>
          </cell>
          <cell r="AB89" t="str">
            <v>-</v>
          </cell>
          <cell r="AC89" t="str">
            <v>-</v>
          </cell>
          <cell r="AD89" t="str">
            <v>-</v>
          </cell>
          <cell r="AE89" t="str">
            <v>-</v>
          </cell>
          <cell r="AG89" t="str">
            <v>-</v>
          </cell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M89" t="str">
            <v>-</v>
          </cell>
          <cell r="AN89" t="str">
            <v>-</v>
          </cell>
          <cell r="AO89" t="str">
            <v>-</v>
          </cell>
          <cell r="AP89" t="str">
            <v>-</v>
          </cell>
          <cell r="AQ89" t="str">
            <v>-</v>
          </cell>
          <cell r="AS89" t="str">
            <v>-</v>
          </cell>
          <cell r="AT89" t="str">
            <v>-</v>
          </cell>
          <cell r="AU89" t="str">
            <v>-</v>
          </cell>
          <cell r="AV89" t="str">
            <v>-</v>
          </cell>
          <cell r="AW89" t="str">
            <v>-</v>
          </cell>
          <cell r="AY89" t="str">
            <v>-</v>
          </cell>
          <cell r="AZ89" t="str">
            <v>-</v>
          </cell>
          <cell r="BA89" t="str">
            <v>-</v>
          </cell>
          <cell r="BB89" t="str">
            <v>-</v>
          </cell>
          <cell r="BC89" t="str">
            <v>-</v>
          </cell>
          <cell r="BE89">
            <v>116.56</v>
          </cell>
          <cell r="BF89">
            <v>116.675</v>
          </cell>
          <cell r="BG89">
            <v>112.696</v>
          </cell>
          <cell r="BH89">
            <v>115.64400000000001</v>
          </cell>
          <cell r="BI89">
            <v>461.57500000000005</v>
          </cell>
          <cell r="BK89">
            <v>117</v>
          </cell>
          <cell r="BL89">
            <v>117</v>
          </cell>
          <cell r="BM89">
            <v>120</v>
          </cell>
          <cell r="BN89">
            <v>120</v>
          </cell>
          <cell r="BO89">
            <v>474</v>
          </cell>
          <cell r="BQ89">
            <v>121</v>
          </cell>
          <cell r="BR89">
            <v>143</v>
          </cell>
          <cell r="BS89">
            <v>143</v>
          </cell>
          <cell r="BT89">
            <v>140</v>
          </cell>
          <cell r="BU89">
            <v>547</v>
          </cell>
          <cell r="BW89">
            <v>136</v>
          </cell>
          <cell r="BX89">
            <v>141</v>
          </cell>
          <cell r="BY89">
            <v>160</v>
          </cell>
          <cell r="BZ89">
            <v>179</v>
          </cell>
          <cell r="CA89">
            <v>616</v>
          </cell>
          <cell r="CC89">
            <v>160</v>
          </cell>
          <cell r="CD89">
            <v>175</v>
          </cell>
          <cell r="CE89">
            <v>177</v>
          </cell>
          <cell r="CF89">
            <v>205</v>
          </cell>
          <cell r="CG89">
            <v>717</v>
          </cell>
          <cell r="CI89">
            <v>197</v>
          </cell>
          <cell r="CJ89">
            <v>202</v>
          </cell>
          <cell r="CK89">
            <v>207</v>
          </cell>
          <cell r="CL89">
            <v>226</v>
          </cell>
          <cell r="CM89">
            <v>832</v>
          </cell>
          <cell r="CO89">
            <v>224</v>
          </cell>
          <cell r="CP89">
            <v>243</v>
          </cell>
          <cell r="CQ89">
            <v>253</v>
          </cell>
          <cell r="CR89">
            <v>267</v>
          </cell>
          <cell r="CS89">
            <v>987</v>
          </cell>
          <cell r="CU89">
            <v>279</v>
          </cell>
          <cell r="CV89">
            <v>254</v>
          </cell>
          <cell r="CW89">
            <v>253</v>
          </cell>
          <cell r="CX89">
            <v>289</v>
          </cell>
          <cell r="CY89">
            <v>1075</v>
          </cell>
          <cell r="DA89">
            <v>222</v>
          </cell>
          <cell r="DB89">
            <v>260</v>
          </cell>
          <cell r="DC89">
            <v>277</v>
          </cell>
          <cell r="DE89">
            <v>1046</v>
          </cell>
          <cell r="DG89">
            <v>303</v>
          </cell>
          <cell r="DH89">
            <v>304</v>
          </cell>
          <cell r="DI89">
            <v>295</v>
          </cell>
          <cell r="DJ89">
            <v>347</v>
          </cell>
          <cell r="DK89">
            <v>1249</v>
          </cell>
          <cell r="DM89">
            <v>293</v>
          </cell>
          <cell r="DN89">
            <v>293</v>
          </cell>
          <cell r="DO89">
            <v>300</v>
          </cell>
          <cell r="DP89">
            <v>322</v>
          </cell>
          <cell r="DQ89">
            <v>1208</v>
          </cell>
          <cell r="DS89">
            <v>278</v>
          </cell>
          <cell r="DT89">
            <v>265</v>
          </cell>
          <cell r="DU89">
            <v>301</v>
          </cell>
          <cell r="DV89">
            <v>484</v>
          </cell>
          <cell r="DW89">
            <v>1328</v>
          </cell>
          <cell r="DY89">
            <v>453</v>
          </cell>
          <cell r="DZ89">
            <v>457</v>
          </cell>
          <cell r="EA89">
            <v>465</v>
          </cell>
          <cell r="EB89">
            <v>514</v>
          </cell>
          <cell r="EC89">
            <v>1889</v>
          </cell>
          <cell r="EE89">
            <v>492</v>
          </cell>
          <cell r="EF89">
            <v>540</v>
          </cell>
          <cell r="EG89">
            <v>581</v>
          </cell>
          <cell r="EH89">
            <v>667</v>
          </cell>
          <cell r="EI89">
            <v>2280</v>
          </cell>
          <cell r="EK89">
            <v>645</v>
          </cell>
          <cell r="EL89">
            <v>653</v>
          </cell>
          <cell r="EM89">
            <v>664.10515287403177</v>
          </cell>
          <cell r="EN89">
            <v>653.86891702676996</v>
          </cell>
          <cell r="EO89">
            <v>2615.9740699008021</v>
          </cell>
          <cell r="EQ89">
            <v>676.39171906672095</v>
          </cell>
          <cell r="ER89">
            <v>685.01556494493275</v>
          </cell>
          <cell r="ES89">
            <v>689.51459923918526</v>
          </cell>
          <cell r="ET89">
            <v>701.20729474794689</v>
          </cell>
          <cell r="EU89">
            <v>2752.129177998786</v>
          </cell>
          <cell r="EW89">
            <v>685.54385742175577</v>
          </cell>
          <cell r="EX89">
            <v>687.84564241469525</v>
          </cell>
          <cell r="EY89">
            <v>675.16405342529845</v>
          </cell>
          <cell r="EZ89">
            <v>648.9661046389358</v>
          </cell>
          <cell r="FA89">
            <v>2697.5196579006852</v>
          </cell>
        </row>
        <row r="90">
          <cell r="C90" t="str">
            <v>-</v>
          </cell>
          <cell r="D90" t="str">
            <v>-</v>
          </cell>
          <cell r="E90" t="str">
            <v>-</v>
          </cell>
          <cell r="F90" t="str">
            <v>-</v>
          </cell>
          <cell r="G90" t="str">
            <v>-</v>
          </cell>
          <cell r="H90" t="str">
            <v>-</v>
          </cell>
          <cell r="I90" t="str">
            <v>-</v>
          </cell>
          <cell r="J90" t="str">
            <v>-</v>
          </cell>
          <cell r="K90" t="str">
            <v>-</v>
          </cell>
          <cell r="L90" t="str">
            <v>-</v>
          </cell>
          <cell r="M90" t="str">
            <v>-</v>
          </cell>
          <cell r="O90" t="str">
            <v>-</v>
          </cell>
          <cell r="P90" t="str">
            <v>-</v>
          </cell>
          <cell r="Q90" t="str">
            <v>-</v>
          </cell>
          <cell r="R90" t="str">
            <v>-</v>
          </cell>
          <cell r="S90" t="str">
            <v>-</v>
          </cell>
          <cell r="U90" t="str">
            <v>-</v>
          </cell>
          <cell r="V90" t="str">
            <v>-</v>
          </cell>
          <cell r="W90" t="str">
            <v>-</v>
          </cell>
          <cell r="X90" t="str">
            <v>-</v>
          </cell>
          <cell r="Y90" t="str">
            <v>-</v>
          </cell>
          <cell r="AA90" t="str">
            <v>-</v>
          </cell>
          <cell r="AB90" t="str">
            <v>-</v>
          </cell>
          <cell r="AC90" t="str">
            <v>-</v>
          </cell>
          <cell r="AD90" t="str">
            <v>-</v>
          </cell>
          <cell r="AE90" t="str">
            <v>-</v>
          </cell>
          <cell r="AG90" t="str">
            <v>-</v>
          </cell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M90" t="str">
            <v>-</v>
          </cell>
          <cell r="AN90" t="str">
            <v>-</v>
          </cell>
          <cell r="AO90" t="str">
            <v>-</v>
          </cell>
          <cell r="AP90" t="str">
            <v>-</v>
          </cell>
          <cell r="AQ90" t="str">
            <v>-</v>
          </cell>
          <cell r="AS90" t="str">
            <v>-</v>
          </cell>
          <cell r="AT90" t="str">
            <v>-</v>
          </cell>
          <cell r="AU90" t="str">
            <v>-</v>
          </cell>
          <cell r="AV90" t="str">
            <v>-</v>
          </cell>
          <cell r="AW90" t="str">
            <v>-</v>
          </cell>
          <cell r="AY90" t="str">
            <v>-</v>
          </cell>
          <cell r="AZ90" t="str">
            <v>-</v>
          </cell>
          <cell r="BA90" t="str">
            <v>-</v>
          </cell>
          <cell r="BB90" t="str">
            <v>-</v>
          </cell>
          <cell r="BC90" t="str">
            <v>-</v>
          </cell>
          <cell r="BE90">
            <v>0.92500673948527701</v>
          </cell>
          <cell r="BF90">
            <v>0.93073719253962239</v>
          </cell>
          <cell r="BG90">
            <v>0.93142300788024457</v>
          </cell>
          <cell r="BH90">
            <v>0.94491875988620244</v>
          </cell>
          <cell r="BI90">
            <v>0.93388755635116316</v>
          </cell>
          <cell r="BK90">
            <v>0.92029972752043598</v>
          </cell>
          <cell r="BL90">
            <v>0.93193717277486909</v>
          </cell>
          <cell r="BM90">
            <v>0.93181818181818188</v>
          </cell>
          <cell r="BN90">
            <v>0.94672349493873198</v>
          </cell>
          <cell r="BO90">
            <v>0.93416118009834148</v>
          </cell>
          <cell r="BQ90">
            <v>0.92238614496472093</v>
          </cell>
          <cell r="BR90">
            <v>0.92737430167597767</v>
          </cell>
          <cell r="BS90">
            <v>0.9293129016312407</v>
          </cell>
          <cell r="BT90">
            <v>0.94442238983723703</v>
          </cell>
          <cell r="BU90">
            <v>0.93221809169764558</v>
          </cell>
          <cell r="BW90">
            <v>0.92179413456009196</v>
          </cell>
          <cell r="BX90">
            <v>0.93657219973009442</v>
          </cell>
          <cell r="BY90">
            <v>0.9354578459056071</v>
          </cell>
          <cell r="BZ90">
            <v>0.9457575757575758</v>
          </cell>
          <cell r="CA90">
            <v>0.93676213941073816</v>
          </cell>
          <cell r="CC90">
            <v>0.92951541850220265</v>
          </cell>
          <cell r="CD90">
            <v>0.93563810224347188</v>
          </cell>
          <cell r="CE90">
            <v>0.93818537403087243</v>
          </cell>
          <cell r="CF90">
            <v>0.94975490196078427</v>
          </cell>
          <cell r="CG90">
            <v>0.93991150145821456</v>
          </cell>
          <cell r="CI90">
            <v>0.93001776198934283</v>
          </cell>
          <cell r="CJ90">
            <v>0.93816957453321093</v>
          </cell>
          <cell r="CK90">
            <v>0.94140956694027733</v>
          </cell>
          <cell r="CL90">
            <v>0.9529950083194676</v>
          </cell>
          <cell r="CM90">
            <v>0.94231435900991467</v>
          </cell>
          <cell r="CO90">
            <v>0.93661573288058853</v>
          </cell>
          <cell r="CP90">
            <v>0.94228028503562944</v>
          </cell>
          <cell r="CQ90">
            <v>0.94063819802909432</v>
          </cell>
          <cell r="CR90">
            <v>0.95561835106382975</v>
          </cell>
          <cell r="CS90">
            <v>0.94523360337365447</v>
          </cell>
          <cell r="CU90">
            <v>0.93453777569216334</v>
          </cell>
          <cell r="CV90">
            <v>0.94424934152765583</v>
          </cell>
          <cell r="CW90">
            <v>0.94357716324710084</v>
          </cell>
          <cell r="CX90">
            <v>0.95030949105914719</v>
          </cell>
          <cell r="CY90">
            <v>0.943770268856575</v>
          </cell>
          <cell r="DA90">
            <v>0.94655753490611461</v>
          </cell>
          <cell r="DB90">
            <v>0.94708994708994709</v>
          </cell>
          <cell r="DC90">
            <v>0.94505494505494503</v>
          </cell>
          <cell r="DE90">
            <v>0.94949641260368689</v>
          </cell>
          <cell r="DG90">
            <v>0.9363579080025205</v>
          </cell>
          <cell r="DH90">
            <v>0.94676939240063041</v>
          </cell>
          <cell r="DI90">
            <v>0.95058626465661644</v>
          </cell>
          <cell r="DJ90">
            <v>0.95501685247601764</v>
          </cell>
          <cell r="DK90">
            <v>0.948294419605895</v>
          </cell>
          <cell r="DM90">
            <v>0.94704500271100667</v>
          </cell>
          <cell r="DN90">
            <v>0.95152217074784906</v>
          </cell>
          <cell r="DO90">
            <v>0.95343061161130083</v>
          </cell>
          <cell r="DP90">
            <v>0.96057303783519044</v>
          </cell>
          <cell r="DQ90">
            <v>0.95386847934010544</v>
          </cell>
          <cell r="DS90">
            <v>0.95253542769335842</v>
          </cell>
          <cell r="DT90">
            <v>0.96090868859713818</v>
          </cell>
          <cell r="DU90">
            <v>0.95568315665488812</v>
          </cell>
          <cell r="DV90">
            <v>0.9433984329318208</v>
          </cell>
          <cell r="DW90">
            <v>0.95253583044426171</v>
          </cell>
          <cell r="DY90">
            <v>0.92690011295788288</v>
          </cell>
          <cell r="DZ90">
            <v>0.93468629412605408</v>
          </cell>
          <cell r="EA90">
            <v>0.93456234168308472</v>
          </cell>
          <cell r="EB90">
            <v>0.94237022087677991</v>
          </cell>
          <cell r="EC90">
            <v>0.93535028577295598</v>
          </cell>
          <cell r="EE90">
            <v>0.92520522955305562</v>
          </cell>
          <cell r="EF90">
            <v>0.92640043614556356</v>
          </cell>
          <cell r="EG90">
            <v>0.91903567447045709</v>
          </cell>
          <cell r="EH90">
            <v>0.9206424747174301</v>
          </cell>
          <cell r="EI90">
            <v>0.92270138323840523</v>
          </cell>
          <cell r="EK90">
            <v>0.90015479876160986</v>
          </cell>
          <cell r="EL90">
            <v>0.90687393040501996</v>
          </cell>
          <cell r="EM90">
            <v>0.90656815394763979</v>
          </cell>
          <cell r="EN90">
            <v>0.92082482620571093</v>
          </cell>
          <cell r="EO90">
            <v>0.90928857668597463</v>
          </cell>
          <cell r="EQ90">
            <v>0.898946711567991</v>
          </cell>
          <cell r="ER90">
            <v>0.9044805455152316</v>
          </cell>
          <cell r="ES90">
            <v>0.90473345346188272</v>
          </cell>
          <cell r="ET90">
            <v>0.91443868688257912</v>
          </cell>
          <cell r="EU90">
            <v>0.90606430347966149</v>
          </cell>
          <cell r="EW90">
            <v>0.89940607524158556</v>
          </cell>
          <cell r="EX90">
            <v>0.90509439826716764</v>
          </cell>
          <cell r="EY90">
            <v>0.90783060244251279</v>
          </cell>
          <cell r="EZ90">
            <v>0.92039080242187754</v>
          </cell>
          <cell r="FA90">
            <v>0.90868184389164419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0</v>
          </cell>
          <cell r="BK91">
            <v>0</v>
          </cell>
          <cell r="BL91">
            <v>0</v>
          </cell>
          <cell r="BM91">
            <v>0</v>
          </cell>
          <cell r="BN91">
            <v>0</v>
          </cell>
          <cell r="BO91">
            <v>0</v>
          </cell>
          <cell r="BQ91">
            <v>0</v>
          </cell>
          <cell r="BR91">
            <v>0</v>
          </cell>
          <cell r="BS91">
            <v>0</v>
          </cell>
          <cell r="BT91">
            <v>0</v>
          </cell>
          <cell r="BU91">
            <v>0</v>
          </cell>
          <cell r="BW91">
            <v>0</v>
          </cell>
          <cell r="BX91">
            <v>0</v>
          </cell>
          <cell r="BY91">
            <v>0</v>
          </cell>
          <cell r="BZ91">
            <v>0</v>
          </cell>
          <cell r="CA91">
            <v>0</v>
          </cell>
          <cell r="CC91">
            <v>0</v>
          </cell>
          <cell r="CD91">
            <v>0</v>
          </cell>
          <cell r="CE91">
            <v>0</v>
          </cell>
          <cell r="CF91">
            <v>0</v>
          </cell>
          <cell r="CG91">
            <v>0</v>
          </cell>
          <cell r="CI91">
            <v>0</v>
          </cell>
          <cell r="CJ91">
            <v>0</v>
          </cell>
          <cell r="CK91">
            <v>0</v>
          </cell>
          <cell r="CL91">
            <v>0</v>
          </cell>
          <cell r="CM91">
            <v>0</v>
          </cell>
          <cell r="CO91">
            <v>0</v>
          </cell>
          <cell r="CP91">
            <v>0</v>
          </cell>
          <cell r="CQ91">
            <v>0</v>
          </cell>
          <cell r="CR91">
            <v>0</v>
          </cell>
          <cell r="CS91">
            <v>0</v>
          </cell>
          <cell r="CU91">
            <v>0</v>
          </cell>
          <cell r="CV91">
            <v>0</v>
          </cell>
          <cell r="CW91">
            <v>0</v>
          </cell>
          <cell r="CX91">
            <v>0</v>
          </cell>
          <cell r="CY91">
            <v>0</v>
          </cell>
          <cell r="DA91">
            <v>0</v>
          </cell>
          <cell r="DB91">
            <v>0</v>
          </cell>
          <cell r="DC91">
            <v>0</v>
          </cell>
          <cell r="DE91">
            <v>0</v>
          </cell>
          <cell r="DG91">
            <v>0</v>
          </cell>
          <cell r="DH91">
            <v>0</v>
          </cell>
          <cell r="DI91">
            <v>0</v>
          </cell>
          <cell r="DJ91">
            <v>0</v>
          </cell>
          <cell r="DK91">
            <v>0</v>
          </cell>
          <cell r="DM91">
            <v>0</v>
          </cell>
          <cell r="DN91">
            <v>0</v>
          </cell>
          <cell r="DO91">
            <v>0</v>
          </cell>
          <cell r="DP91">
            <v>0</v>
          </cell>
          <cell r="DQ91">
            <v>0</v>
          </cell>
          <cell r="DS91">
            <v>0</v>
          </cell>
          <cell r="DT91">
            <v>0</v>
          </cell>
          <cell r="DU91">
            <v>0</v>
          </cell>
          <cell r="DV91">
            <v>0</v>
          </cell>
          <cell r="DW91">
            <v>0</v>
          </cell>
          <cell r="DY91">
            <v>0</v>
          </cell>
          <cell r="DZ91">
            <v>0</v>
          </cell>
          <cell r="EA91">
            <v>0</v>
          </cell>
          <cell r="EB91">
            <v>0</v>
          </cell>
          <cell r="EC91">
            <v>0</v>
          </cell>
          <cell r="EE91">
            <v>0</v>
          </cell>
          <cell r="EF91">
            <v>0</v>
          </cell>
          <cell r="EG91">
            <v>0</v>
          </cell>
          <cell r="EH91">
            <v>0</v>
          </cell>
          <cell r="EI91">
            <v>0</v>
          </cell>
          <cell r="EK91">
            <v>0</v>
          </cell>
          <cell r="EL91">
            <v>0</v>
          </cell>
          <cell r="EM91">
            <v>0</v>
          </cell>
          <cell r="EN91">
            <v>0</v>
          </cell>
          <cell r="EO91">
            <v>0</v>
          </cell>
          <cell r="EQ91">
            <v>0</v>
          </cell>
          <cell r="ER91">
            <v>0</v>
          </cell>
          <cell r="ES91">
            <v>0</v>
          </cell>
          <cell r="ET91">
            <v>0</v>
          </cell>
          <cell r="EU91">
            <v>0</v>
          </cell>
          <cell r="EW91">
            <v>0</v>
          </cell>
          <cell r="EX91">
            <v>0</v>
          </cell>
          <cell r="EY91">
            <v>0</v>
          </cell>
          <cell r="EZ91">
            <v>0</v>
          </cell>
          <cell r="FA91">
            <v>0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0</v>
          </cell>
          <cell r="BK92">
            <v>0</v>
          </cell>
          <cell r="BL92">
            <v>0</v>
          </cell>
          <cell r="BM92">
            <v>0</v>
          </cell>
          <cell r="BN92">
            <v>0</v>
          </cell>
          <cell r="BO92">
            <v>0</v>
          </cell>
          <cell r="BQ92">
            <v>0</v>
          </cell>
          <cell r="BR92">
            <v>0</v>
          </cell>
          <cell r="BS92">
            <v>0</v>
          </cell>
          <cell r="BT92">
            <v>0</v>
          </cell>
          <cell r="BU92">
            <v>0</v>
          </cell>
          <cell r="BW92">
            <v>0</v>
          </cell>
          <cell r="BX92">
            <v>0</v>
          </cell>
          <cell r="BY92">
            <v>0</v>
          </cell>
          <cell r="BZ92">
            <v>0</v>
          </cell>
          <cell r="CA92">
            <v>0</v>
          </cell>
          <cell r="CC92">
            <v>0</v>
          </cell>
          <cell r="CD92">
            <v>0</v>
          </cell>
          <cell r="CE92">
            <v>0</v>
          </cell>
          <cell r="CF92">
            <v>0</v>
          </cell>
          <cell r="CG92">
            <v>0</v>
          </cell>
          <cell r="CI92">
            <v>0</v>
          </cell>
          <cell r="CJ92">
            <v>0</v>
          </cell>
          <cell r="CK92">
            <v>0</v>
          </cell>
          <cell r="CL92">
            <v>0</v>
          </cell>
          <cell r="CM92">
            <v>0</v>
          </cell>
          <cell r="CO92">
            <v>0</v>
          </cell>
          <cell r="CP92">
            <v>0</v>
          </cell>
          <cell r="CQ92">
            <v>0</v>
          </cell>
          <cell r="CR92">
            <v>0</v>
          </cell>
          <cell r="CS92">
            <v>0</v>
          </cell>
          <cell r="CU92">
            <v>0</v>
          </cell>
          <cell r="CV92">
            <v>0</v>
          </cell>
          <cell r="CW92">
            <v>0</v>
          </cell>
          <cell r="CX92">
            <v>0</v>
          </cell>
          <cell r="CY92">
            <v>0</v>
          </cell>
          <cell r="DA92">
            <v>0</v>
          </cell>
          <cell r="DB92">
            <v>0</v>
          </cell>
          <cell r="DC92">
            <v>0</v>
          </cell>
          <cell r="DE92">
            <v>0</v>
          </cell>
          <cell r="DG92">
            <v>0</v>
          </cell>
          <cell r="DH92">
            <v>0</v>
          </cell>
          <cell r="DI92">
            <v>0</v>
          </cell>
          <cell r="DJ92">
            <v>0</v>
          </cell>
          <cell r="DK92">
            <v>0</v>
          </cell>
          <cell r="DM92">
            <v>0</v>
          </cell>
          <cell r="DN92">
            <v>0</v>
          </cell>
          <cell r="DO92">
            <v>0</v>
          </cell>
          <cell r="DP92">
            <v>0</v>
          </cell>
          <cell r="DQ92">
            <v>0</v>
          </cell>
          <cell r="DS92">
            <v>0</v>
          </cell>
          <cell r="DT92">
            <v>0</v>
          </cell>
          <cell r="DU92">
            <v>0</v>
          </cell>
          <cell r="DV92">
            <v>99</v>
          </cell>
          <cell r="DW92">
            <v>0</v>
          </cell>
          <cell r="DY92">
            <v>100</v>
          </cell>
          <cell r="DZ92">
            <v>102</v>
          </cell>
          <cell r="EA92">
            <v>110</v>
          </cell>
          <cell r="EB92">
            <v>134</v>
          </cell>
          <cell r="EC92">
            <v>446</v>
          </cell>
          <cell r="EE92">
            <v>147</v>
          </cell>
          <cell r="EF92">
            <v>162</v>
          </cell>
          <cell r="EG92">
            <v>200</v>
          </cell>
          <cell r="EH92">
            <v>253</v>
          </cell>
          <cell r="EI92">
            <v>762</v>
          </cell>
          <cell r="EK92">
            <v>272</v>
          </cell>
          <cell r="EL92">
            <v>276</v>
          </cell>
          <cell r="EM92">
            <v>288.60000000000002</v>
          </cell>
          <cell r="EN92">
            <v>272.76900000000006</v>
          </cell>
          <cell r="EO92">
            <v>1109.3690000000001</v>
          </cell>
          <cell r="EQ92">
            <v>287.24600000000004</v>
          </cell>
          <cell r="ER92">
            <v>294.39150000000001</v>
          </cell>
          <cell r="ES92">
            <v>304.69499999999999</v>
          </cell>
          <cell r="ET92">
            <v>316.11978750000003</v>
          </cell>
          <cell r="EU92">
            <v>1202.4522875</v>
          </cell>
          <cell r="EW92">
            <v>294.60230000000007</v>
          </cell>
          <cell r="EX92">
            <v>295.52377500000011</v>
          </cell>
          <cell r="EY92">
            <v>289.46025000000003</v>
          </cell>
          <cell r="EZ92">
            <v>263.43315624999997</v>
          </cell>
          <cell r="FA92">
            <v>1143.0194812500001</v>
          </cell>
        </row>
        <row r="93"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0</v>
          </cell>
          <cell r="BK93">
            <v>0</v>
          </cell>
          <cell r="BL93">
            <v>0</v>
          </cell>
          <cell r="BM93">
            <v>0</v>
          </cell>
          <cell r="BN93">
            <v>0</v>
          </cell>
          <cell r="BO93">
            <v>0</v>
          </cell>
          <cell r="BQ93">
            <v>0</v>
          </cell>
          <cell r="BR93">
            <v>0</v>
          </cell>
          <cell r="BS93">
            <v>0</v>
          </cell>
          <cell r="BT93">
            <v>0</v>
          </cell>
          <cell r="BU93">
            <v>0</v>
          </cell>
          <cell r="BW93">
            <v>0</v>
          </cell>
          <cell r="BX93">
            <v>0</v>
          </cell>
          <cell r="BY93">
            <v>0</v>
          </cell>
          <cell r="BZ93">
            <v>0</v>
          </cell>
          <cell r="CA93">
            <v>0</v>
          </cell>
          <cell r="CC93">
            <v>0</v>
          </cell>
          <cell r="CD93">
            <v>0</v>
          </cell>
          <cell r="CE93">
            <v>0</v>
          </cell>
          <cell r="CF93">
            <v>0</v>
          </cell>
          <cell r="CG93">
            <v>0</v>
          </cell>
          <cell r="CI93">
            <v>0</v>
          </cell>
          <cell r="CJ93">
            <v>0</v>
          </cell>
          <cell r="CK93">
            <v>0</v>
          </cell>
          <cell r="CL93">
            <v>0</v>
          </cell>
          <cell r="CM93">
            <v>0</v>
          </cell>
          <cell r="CO93">
            <v>0</v>
          </cell>
          <cell r="CP93">
            <v>0</v>
          </cell>
          <cell r="CQ93">
            <v>0</v>
          </cell>
          <cell r="CR93">
            <v>0</v>
          </cell>
          <cell r="CS93">
            <v>0</v>
          </cell>
          <cell r="CU93">
            <v>0</v>
          </cell>
          <cell r="CV93">
            <v>0</v>
          </cell>
          <cell r="CW93">
            <v>0</v>
          </cell>
          <cell r="CX93">
            <v>0</v>
          </cell>
          <cell r="CY93">
            <v>0</v>
          </cell>
          <cell r="DA93">
            <v>0</v>
          </cell>
          <cell r="DB93">
            <v>0</v>
          </cell>
          <cell r="DC93">
            <v>0</v>
          </cell>
          <cell r="DE93">
            <v>0</v>
          </cell>
          <cell r="DG93">
            <v>0</v>
          </cell>
          <cell r="DH93">
            <v>0</v>
          </cell>
          <cell r="DI93">
            <v>0</v>
          </cell>
          <cell r="DJ93">
            <v>0</v>
          </cell>
          <cell r="DK93">
            <v>0</v>
          </cell>
          <cell r="DM93">
            <v>0</v>
          </cell>
          <cell r="DN93">
            <v>0</v>
          </cell>
          <cell r="DO93">
            <v>0</v>
          </cell>
          <cell r="DP93">
            <v>0</v>
          </cell>
          <cell r="DQ93">
            <v>0</v>
          </cell>
          <cell r="DS93">
            <v>0</v>
          </cell>
          <cell r="DT93">
            <v>0</v>
          </cell>
          <cell r="DU93">
            <v>0</v>
          </cell>
          <cell r="DV93">
            <v>0.62641509433962272</v>
          </cell>
          <cell r="DW93">
            <v>0</v>
          </cell>
          <cell r="DY93">
            <v>0.6108949416342413</v>
          </cell>
          <cell r="DZ93">
            <v>0.61068702290076338</v>
          </cell>
          <cell r="EA93">
            <v>0.62328767123287676</v>
          </cell>
          <cell r="EB93">
            <v>0.5902140672782874</v>
          </cell>
          <cell r="EC93">
            <v>0.60808435852372589</v>
          </cell>
          <cell r="EE93">
            <v>0.5663716814159292</v>
          </cell>
          <cell r="EF93">
            <v>0.55494505494505497</v>
          </cell>
          <cell r="EG93">
            <v>0.46666666666666667</v>
          </cell>
          <cell r="EH93">
            <v>0.39618138424821003</v>
          </cell>
          <cell r="EI93">
            <v>0.49098196392785576</v>
          </cell>
          <cell r="EK93">
            <v>0.39823008849557517</v>
          </cell>
          <cell r="EL93">
            <v>0.43326488706365507</v>
          </cell>
          <cell r="EM93">
            <v>0.48</v>
          </cell>
          <cell r="EN93">
            <v>0.57999999999999996</v>
          </cell>
          <cell r="EO93">
            <v>0.48243765891436696</v>
          </cell>
          <cell r="EQ93">
            <v>0.59</v>
          </cell>
          <cell r="ER93">
            <v>0.61</v>
          </cell>
          <cell r="ES93">
            <v>0.64</v>
          </cell>
          <cell r="ET93">
            <v>0.67</v>
          </cell>
          <cell r="EU93">
            <v>0.63112287278487589</v>
          </cell>
          <cell r="EW93">
            <v>0.71</v>
          </cell>
          <cell r="EX93">
            <v>0.73</v>
          </cell>
          <cell r="EY93">
            <v>0.76</v>
          </cell>
          <cell r="EZ93">
            <v>0.8</v>
          </cell>
          <cell r="FA93">
            <v>0.75332214862754898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0</v>
          </cell>
          <cell r="BK94">
            <v>0</v>
          </cell>
          <cell r="BL94">
            <v>0</v>
          </cell>
          <cell r="BM94">
            <v>0</v>
          </cell>
          <cell r="BN94">
            <v>0</v>
          </cell>
          <cell r="BO94">
            <v>0</v>
          </cell>
          <cell r="BQ94">
            <v>0</v>
          </cell>
          <cell r="BR94">
            <v>0</v>
          </cell>
          <cell r="BS94">
            <v>0</v>
          </cell>
          <cell r="BT94">
            <v>0</v>
          </cell>
          <cell r="BU94">
            <v>0</v>
          </cell>
          <cell r="BW94">
            <v>0</v>
          </cell>
          <cell r="BX94">
            <v>0</v>
          </cell>
          <cell r="BY94">
            <v>0</v>
          </cell>
          <cell r="BZ94">
            <v>0</v>
          </cell>
          <cell r="CA94">
            <v>0</v>
          </cell>
          <cell r="CC94">
            <v>0</v>
          </cell>
          <cell r="CD94">
            <v>0</v>
          </cell>
          <cell r="CE94">
            <v>0</v>
          </cell>
          <cell r="CF94">
            <v>0</v>
          </cell>
          <cell r="CG94">
            <v>0</v>
          </cell>
          <cell r="CI94">
            <v>0</v>
          </cell>
          <cell r="CJ94">
            <v>0</v>
          </cell>
          <cell r="CK94">
            <v>0</v>
          </cell>
          <cell r="CL94">
            <v>0</v>
          </cell>
          <cell r="CM94">
            <v>0</v>
          </cell>
          <cell r="CO94">
            <v>0</v>
          </cell>
          <cell r="CP94">
            <v>0</v>
          </cell>
          <cell r="CQ94">
            <v>0</v>
          </cell>
          <cell r="CR94">
            <v>0</v>
          </cell>
          <cell r="CS94">
            <v>0</v>
          </cell>
          <cell r="CU94">
            <v>0</v>
          </cell>
          <cell r="CV94">
            <v>0</v>
          </cell>
          <cell r="CW94">
            <v>0</v>
          </cell>
          <cell r="CX94">
            <v>0</v>
          </cell>
          <cell r="CY94">
            <v>0</v>
          </cell>
          <cell r="DA94">
            <v>0</v>
          </cell>
          <cell r="DB94">
            <v>0</v>
          </cell>
          <cell r="DC94">
            <v>0</v>
          </cell>
          <cell r="DE94">
            <v>0</v>
          </cell>
          <cell r="DG94">
            <v>0</v>
          </cell>
          <cell r="DH94">
            <v>0</v>
          </cell>
          <cell r="DI94">
            <v>0</v>
          </cell>
          <cell r="DJ94">
            <v>0</v>
          </cell>
          <cell r="DK94">
            <v>0</v>
          </cell>
          <cell r="DM94">
            <v>0</v>
          </cell>
          <cell r="DN94">
            <v>0</v>
          </cell>
          <cell r="DO94">
            <v>0</v>
          </cell>
          <cell r="DP94">
            <v>0</v>
          </cell>
          <cell r="DQ94">
            <v>0</v>
          </cell>
          <cell r="DS94">
            <v>0</v>
          </cell>
          <cell r="DT94">
            <v>0</v>
          </cell>
          <cell r="DU94">
            <v>0</v>
          </cell>
          <cell r="DV94">
            <v>0</v>
          </cell>
          <cell r="DW94">
            <v>0</v>
          </cell>
          <cell r="DY94">
            <v>0</v>
          </cell>
          <cell r="DZ94">
            <v>0</v>
          </cell>
          <cell r="EA94">
            <v>0</v>
          </cell>
          <cell r="EB94">
            <v>0</v>
          </cell>
          <cell r="EC94">
            <v>0</v>
          </cell>
          <cell r="EE94">
            <v>0</v>
          </cell>
          <cell r="EF94">
            <v>0</v>
          </cell>
          <cell r="EG94">
            <v>0</v>
          </cell>
          <cell r="EH94">
            <v>0</v>
          </cell>
          <cell r="EI94">
            <v>0</v>
          </cell>
          <cell r="EK94">
            <v>0</v>
          </cell>
          <cell r="EL94">
            <v>0</v>
          </cell>
          <cell r="EM94">
            <v>0</v>
          </cell>
          <cell r="EN94">
            <v>0</v>
          </cell>
          <cell r="EO94">
            <v>0</v>
          </cell>
          <cell r="EQ94">
            <v>0</v>
          </cell>
          <cell r="ER94">
            <v>0</v>
          </cell>
          <cell r="ES94">
            <v>0</v>
          </cell>
          <cell r="ET94">
            <v>0</v>
          </cell>
          <cell r="EU94">
            <v>0</v>
          </cell>
          <cell r="EW94">
            <v>0</v>
          </cell>
          <cell r="EX94">
            <v>0</v>
          </cell>
          <cell r="EY94">
            <v>0</v>
          </cell>
          <cell r="EZ94">
            <v>0</v>
          </cell>
          <cell r="FA94">
            <v>0</v>
          </cell>
        </row>
        <row r="95"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0</v>
          </cell>
          <cell r="BK95">
            <v>0</v>
          </cell>
          <cell r="BL95">
            <v>0</v>
          </cell>
          <cell r="BM95">
            <v>0</v>
          </cell>
          <cell r="BN95">
            <v>0</v>
          </cell>
          <cell r="BO95">
            <v>0</v>
          </cell>
          <cell r="BQ95">
            <v>0</v>
          </cell>
          <cell r="BR95">
            <v>0</v>
          </cell>
          <cell r="BS95">
            <v>0</v>
          </cell>
          <cell r="BT95">
            <v>0</v>
          </cell>
          <cell r="BU95">
            <v>0</v>
          </cell>
          <cell r="BW95">
            <v>0</v>
          </cell>
          <cell r="BX95">
            <v>0</v>
          </cell>
          <cell r="BY95">
            <v>0</v>
          </cell>
          <cell r="BZ95">
            <v>0</v>
          </cell>
          <cell r="CA95">
            <v>0</v>
          </cell>
          <cell r="CC95">
            <v>0</v>
          </cell>
          <cell r="CD95">
            <v>0</v>
          </cell>
          <cell r="CE95">
            <v>0</v>
          </cell>
          <cell r="CF95">
            <v>0</v>
          </cell>
          <cell r="CG95">
            <v>0</v>
          </cell>
          <cell r="CI95">
            <v>0</v>
          </cell>
          <cell r="CJ95">
            <v>0</v>
          </cell>
          <cell r="CK95">
            <v>0</v>
          </cell>
          <cell r="CL95">
            <v>0</v>
          </cell>
          <cell r="CM95">
            <v>0</v>
          </cell>
          <cell r="CO95">
            <v>0</v>
          </cell>
          <cell r="CP95">
            <v>0</v>
          </cell>
          <cell r="CQ95">
            <v>0</v>
          </cell>
          <cell r="CR95">
            <v>0</v>
          </cell>
          <cell r="CS95">
            <v>0</v>
          </cell>
          <cell r="CU95">
            <v>0</v>
          </cell>
          <cell r="CV95">
            <v>0</v>
          </cell>
          <cell r="CW95">
            <v>0</v>
          </cell>
          <cell r="CX95">
            <v>0</v>
          </cell>
          <cell r="CY95">
            <v>0</v>
          </cell>
          <cell r="DA95">
            <v>0</v>
          </cell>
          <cell r="DB95">
            <v>0</v>
          </cell>
          <cell r="DC95">
            <v>0</v>
          </cell>
          <cell r="DE95">
            <v>0</v>
          </cell>
          <cell r="DG95">
            <v>0</v>
          </cell>
          <cell r="DH95">
            <v>0</v>
          </cell>
          <cell r="DI95">
            <v>0</v>
          </cell>
          <cell r="DJ95">
            <v>0</v>
          </cell>
          <cell r="DK95">
            <v>0</v>
          </cell>
          <cell r="DM95">
            <v>0</v>
          </cell>
          <cell r="DN95">
            <v>0</v>
          </cell>
          <cell r="DO95">
            <v>0</v>
          </cell>
          <cell r="DP95">
            <v>0</v>
          </cell>
          <cell r="DQ95">
            <v>0</v>
          </cell>
          <cell r="DS95">
            <v>0</v>
          </cell>
          <cell r="DT95">
            <v>0</v>
          </cell>
          <cell r="DU95">
            <v>0</v>
          </cell>
          <cell r="DV95">
            <v>74</v>
          </cell>
          <cell r="DW95">
            <v>0</v>
          </cell>
          <cell r="DY95">
            <v>71</v>
          </cell>
          <cell r="DZ95">
            <v>75</v>
          </cell>
          <cell r="EA95">
            <v>75</v>
          </cell>
          <cell r="EB95">
            <v>83</v>
          </cell>
          <cell r="EC95">
            <v>304</v>
          </cell>
          <cell r="EE95">
            <v>78</v>
          </cell>
          <cell r="EF95">
            <v>86</v>
          </cell>
          <cell r="EG95">
            <v>87</v>
          </cell>
          <cell r="EH95">
            <v>89</v>
          </cell>
          <cell r="EI95">
            <v>340</v>
          </cell>
          <cell r="EK95">
            <v>88</v>
          </cell>
          <cell r="EL95">
            <v>90</v>
          </cell>
          <cell r="EM95">
            <v>86.23636363636362</v>
          </cell>
          <cell r="EN95">
            <v>88.145454545454541</v>
          </cell>
          <cell r="EO95">
            <v>352.38181818181818</v>
          </cell>
          <cell r="EQ95">
            <v>93.38181818181819</v>
          </cell>
          <cell r="ER95">
            <v>97.2</v>
          </cell>
          <cell r="ES95">
            <v>92.272909090909081</v>
          </cell>
          <cell r="ET95">
            <v>93.434181818181813</v>
          </cell>
          <cell r="EU95">
            <v>376.28890909090904</v>
          </cell>
          <cell r="EW95">
            <v>98.984727272727284</v>
          </cell>
          <cell r="EX95">
            <v>103.03200000000001</v>
          </cell>
          <cell r="EY95">
            <v>97.809283636363631</v>
          </cell>
          <cell r="EZ95">
            <v>99.040232727272709</v>
          </cell>
          <cell r="FA95">
            <v>398.86624363636361</v>
          </cell>
        </row>
        <row r="96"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0</v>
          </cell>
          <cell r="BK96">
            <v>0</v>
          </cell>
          <cell r="BL96">
            <v>0</v>
          </cell>
          <cell r="BM96">
            <v>0</v>
          </cell>
          <cell r="BN96">
            <v>0</v>
          </cell>
          <cell r="BO96">
            <v>0</v>
          </cell>
          <cell r="BQ96">
            <v>0</v>
          </cell>
          <cell r="BR96">
            <v>0</v>
          </cell>
          <cell r="BS96">
            <v>0</v>
          </cell>
          <cell r="BT96">
            <v>0</v>
          </cell>
          <cell r="BU96">
            <v>0</v>
          </cell>
          <cell r="BW96">
            <v>0</v>
          </cell>
          <cell r="BX96">
            <v>0</v>
          </cell>
          <cell r="BY96">
            <v>0</v>
          </cell>
          <cell r="BZ96">
            <v>0</v>
          </cell>
          <cell r="CA96">
            <v>0</v>
          </cell>
          <cell r="CC96">
            <v>0</v>
          </cell>
          <cell r="CD96">
            <v>0</v>
          </cell>
          <cell r="CE96">
            <v>0</v>
          </cell>
          <cell r="CF96">
            <v>0</v>
          </cell>
          <cell r="CG96">
            <v>0</v>
          </cell>
          <cell r="CI96">
            <v>0</v>
          </cell>
          <cell r="CJ96">
            <v>0</v>
          </cell>
          <cell r="CK96">
            <v>0</v>
          </cell>
          <cell r="CL96">
            <v>0</v>
          </cell>
          <cell r="CM96">
            <v>0</v>
          </cell>
          <cell r="CO96">
            <v>0</v>
          </cell>
          <cell r="CP96">
            <v>0</v>
          </cell>
          <cell r="CQ96">
            <v>0</v>
          </cell>
          <cell r="CR96">
            <v>0</v>
          </cell>
          <cell r="CS96">
            <v>0</v>
          </cell>
          <cell r="CU96">
            <v>0</v>
          </cell>
          <cell r="CV96">
            <v>0</v>
          </cell>
          <cell r="CW96">
            <v>0</v>
          </cell>
          <cell r="CX96">
            <v>0</v>
          </cell>
          <cell r="CY96">
            <v>0</v>
          </cell>
          <cell r="DA96">
            <v>0</v>
          </cell>
          <cell r="DB96">
            <v>0</v>
          </cell>
          <cell r="DC96">
            <v>0</v>
          </cell>
          <cell r="DE96">
            <v>0</v>
          </cell>
          <cell r="DG96">
            <v>0</v>
          </cell>
          <cell r="DH96">
            <v>0</v>
          </cell>
          <cell r="DI96">
            <v>0</v>
          </cell>
          <cell r="DJ96">
            <v>0</v>
          </cell>
          <cell r="DK96">
            <v>0</v>
          </cell>
          <cell r="DM96">
            <v>0</v>
          </cell>
          <cell r="DN96">
            <v>0</v>
          </cell>
          <cell r="DO96">
            <v>0</v>
          </cell>
          <cell r="DP96">
            <v>0</v>
          </cell>
          <cell r="DQ96">
            <v>0</v>
          </cell>
          <cell r="DS96">
            <v>0</v>
          </cell>
          <cell r="DT96">
            <v>0</v>
          </cell>
          <cell r="DU96">
            <v>0</v>
          </cell>
          <cell r="DV96">
            <v>0.34513274336283184</v>
          </cell>
          <cell r="DW96">
            <v>0</v>
          </cell>
          <cell r="DY96">
            <v>0.34862385321100919</v>
          </cell>
          <cell r="DZ96">
            <v>0.22680412371134018</v>
          </cell>
          <cell r="EA96">
            <v>0.3801652892561983</v>
          </cell>
          <cell r="EB96">
            <v>0.3515625</v>
          </cell>
          <cell r="EC96">
            <v>0.33186813186813191</v>
          </cell>
          <cell r="EE96">
            <v>0.43478260869565222</v>
          </cell>
          <cell r="EF96">
            <v>0.44516129032258067</v>
          </cell>
          <cell r="EG96">
            <v>0.43870967741935485</v>
          </cell>
          <cell r="EH96">
            <v>0.44374999999999998</v>
          </cell>
          <cell r="EI96">
            <v>0.44078947368421051</v>
          </cell>
          <cell r="EK96">
            <v>0.44999999999999996</v>
          </cell>
          <cell r="EL96">
            <v>0.45454545454545459</v>
          </cell>
          <cell r="EM96">
            <v>0.45454545454545459</v>
          </cell>
          <cell r="EN96">
            <v>0.45454545454545459</v>
          </cell>
          <cell r="EO96">
            <v>0.45341737524147951</v>
          </cell>
          <cell r="EQ96">
            <v>0.45454545454545459</v>
          </cell>
          <cell r="ER96">
            <v>0.45454545454545459</v>
          </cell>
          <cell r="ES96">
            <v>0.45454545454545459</v>
          </cell>
          <cell r="ET96">
            <v>0.45454545454545459</v>
          </cell>
          <cell r="EU96">
            <v>0.4545454545454547</v>
          </cell>
          <cell r="EW96">
            <v>0.45454545454545459</v>
          </cell>
          <cell r="EX96">
            <v>0.45454545454545459</v>
          </cell>
          <cell r="EY96">
            <v>0.45454545454545459</v>
          </cell>
          <cell r="EZ96">
            <v>0.45454545454545459</v>
          </cell>
          <cell r="FA96">
            <v>0.45454545454545459</v>
          </cell>
        </row>
        <row r="97"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O97">
            <v>0</v>
          </cell>
          <cell r="P97">
            <v>0</v>
          </cell>
          <cell r="Q97">
            <v>0</v>
          </cell>
          <cell r="R97">
            <v>0</v>
          </cell>
          <cell r="S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0</v>
          </cell>
          <cell r="BK97">
            <v>0</v>
          </cell>
          <cell r="BL97">
            <v>0</v>
          </cell>
          <cell r="BM97">
            <v>0</v>
          </cell>
          <cell r="BN97">
            <v>0</v>
          </cell>
          <cell r="BO97">
            <v>0</v>
          </cell>
          <cell r="BQ97">
            <v>0</v>
          </cell>
          <cell r="BR97">
            <v>0</v>
          </cell>
          <cell r="BS97">
            <v>0</v>
          </cell>
          <cell r="BT97">
            <v>0</v>
          </cell>
          <cell r="BU97">
            <v>0</v>
          </cell>
          <cell r="BW97">
            <v>0</v>
          </cell>
          <cell r="BX97">
            <v>0</v>
          </cell>
          <cell r="BY97">
            <v>0</v>
          </cell>
          <cell r="BZ97">
            <v>0</v>
          </cell>
          <cell r="CA97">
            <v>0</v>
          </cell>
          <cell r="CC97">
            <v>0</v>
          </cell>
          <cell r="CD97">
            <v>0</v>
          </cell>
          <cell r="CE97">
            <v>0</v>
          </cell>
          <cell r="CF97">
            <v>0</v>
          </cell>
          <cell r="CG97">
            <v>0</v>
          </cell>
          <cell r="CI97">
            <v>0</v>
          </cell>
          <cell r="CJ97">
            <v>0</v>
          </cell>
          <cell r="CK97">
            <v>0</v>
          </cell>
          <cell r="CL97">
            <v>0</v>
          </cell>
          <cell r="CM97">
            <v>0</v>
          </cell>
          <cell r="CO97">
            <v>0</v>
          </cell>
          <cell r="CP97">
            <v>0</v>
          </cell>
          <cell r="CQ97">
            <v>0</v>
          </cell>
          <cell r="CR97">
            <v>0</v>
          </cell>
          <cell r="CS97">
            <v>0</v>
          </cell>
          <cell r="CU97">
            <v>0</v>
          </cell>
          <cell r="CV97">
            <v>0</v>
          </cell>
          <cell r="CW97">
            <v>0</v>
          </cell>
          <cell r="CX97">
            <v>0</v>
          </cell>
          <cell r="CY97">
            <v>0</v>
          </cell>
          <cell r="DA97">
            <v>0</v>
          </cell>
          <cell r="DB97">
            <v>0</v>
          </cell>
          <cell r="DC97">
            <v>0</v>
          </cell>
          <cell r="DE97">
            <v>0</v>
          </cell>
          <cell r="DG97">
            <v>0</v>
          </cell>
          <cell r="DH97">
            <v>0</v>
          </cell>
          <cell r="DI97">
            <v>0</v>
          </cell>
          <cell r="DJ97">
            <v>0</v>
          </cell>
          <cell r="DK97">
            <v>0</v>
          </cell>
          <cell r="DM97">
            <v>0</v>
          </cell>
          <cell r="DN97">
            <v>0</v>
          </cell>
          <cell r="DO97">
            <v>0</v>
          </cell>
          <cell r="DP97">
            <v>0</v>
          </cell>
          <cell r="DQ97">
            <v>0</v>
          </cell>
          <cell r="DS97">
            <v>0</v>
          </cell>
          <cell r="DT97">
            <v>0</v>
          </cell>
          <cell r="DU97">
            <v>0</v>
          </cell>
          <cell r="DV97">
            <v>0</v>
          </cell>
          <cell r="DW97">
            <v>0</v>
          </cell>
          <cell r="DY97">
            <v>0</v>
          </cell>
          <cell r="DZ97">
            <v>0</v>
          </cell>
          <cell r="EA97">
            <v>0</v>
          </cell>
          <cell r="EB97">
            <v>0</v>
          </cell>
          <cell r="EC97">
            <v>0</v>
          </cell>
          <cell r="EE97">
            <v>0</v>
          </cell>
          <cell r="EF97">
            <v>0</v>
          </cell>
          <cell r="EG97">
            <v>0</v>
          </cell>
          <cell r="EH97">
            <v>0</v>
          </cell>
          <cell r="EI97">
            <v>0</v>
          </cell>
          <cell r="EK97">
            <v>0</v>
          </cell>
          <cell r="EL97">
            <v>0</v>
          </cell>
          <cell r="EM97">
            <v>0</v>
          </cell>
          <cell r="EN97">
            <v>0</v>
          </cell>
          <cell r="EO97">
            <v>0</v>
          </cell>
          <cell r="EQ97">
            <v>0</v>
          </cell>
          <cell r="ER97">
            <v>0</v>
          </cell>
          <cell r="ES97">
            <v>0</v>
          </cell>
          <cell r="ET97">
            <v>0</v>
          </cell>
          <cell r="EU97">
            <v>0</v>
          </cell>
          <cell r="EW97">
            <v>0</v>
          </cell>
          <cell r="EX97">
            <v>0</v>
          </cell>
          <cell r="EY97">
            <v>0</v>
          </cell>
          <cell r="EZ97">
            <v>0</v>
          </cell>
          <cell r="FA97">
            <v>0</v>
          </cell>
        </row>
        <row r="98"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0</v>
          </cell>
          <cell r="BK98">
            <v>0</v>
          </cell>
          <cell r="BL98">
            <v>0</v>
          </cell>
          <cell r="BM98">
            <v>0</v>
          </cell>
          <cell r="BN98">
            <v>0</v>
          </cell>
          <cell r="BO98">
            <v>0</v>
          </cell>
          <cell r="BQ98">
            <v>0</v>
          </cell>
          <cell r="BR98">
            <v>0</v>
          </cell>
          <cell r="BS98">
            <v>0</v>
          </cell>
          <cell r="BT98">
            <v>0</v>
          </cell>
          <cell r="BU98">
            <v>0</v>
          </cell>
          <cell r="BW98">
            <v>0</v>
          </cell>
          <cell r="BX98">
            <v>0</v>
          </cell>
          <cell r="BY98">
            <v>0</v>
          </cell>
          <cell r="BZ98">
            <v>0</v>
          </cell>
          <cell r="CA98">
            <v>0</v>
          </cell>
          <cell r="CC98">
            <v>0</v>
          </cell>
          <cell r="CD98">
            <v>0</v>
          </cell>
          <cell r="CE98">
            <v>0</v>
          </cell>
          <cell r="CF98">
            <v>0</v>
          </cell>
          <cell r="CG98">
            <v>0</v>
          </cell>
          <cell r="CI98">
            <v>0</v>
          </cell>
          <cell r="CJ98">
            <v>0</v>
          </cell>
          <cell r="CK98">
            <v>0</v>
          </cell>
          <cell r="CL98">
            <v>0</v>
          </cell>
          <cell r="CM98">
            <v>0</v>
          </cell>
          <cell r="CO98">
            <v>0</v>
          </cell>
          <cell r="CP98">
            <v>0</v>
          </cell>
          <cell r="CQ98">
            <v>0</v>
          </cell>
          <cell r="CR98">
            <v>0</v>
          </cell>
          <cell r="CS98">
            <v>0</v>
          </cell>
          <cell r="CU98">
            <v>0</v>
          </cell>
          <cell r="CV98">
            <v>0</v>
          </cell>
          <cell r="CW98">
            <v>0</v>
          </cell>
          <cell r="CX98">
            <v>0</v>
          </cell>
          <cell r="CY98">
            <v>0</v>
          </cell>
          <cell r="DA98">
            <v>0</v>
          </cell>
          <cell r="DB98">
            <v>0</v>
          </cell>
          <cell r="DC98">
            <v>0</v>
          </cell>
          <cell r="DE98">
            <v>0</v>
          </cell>
          <cell r="DG98">
            <v>0</v>
          </cell>
          <cell r="DH98">
            <v>0</v>
          </cell>
          <cell r="DI98">
            <v>0</v>
          </cell>
          <cell r="DJ98">
            <v>0</v>
          </cell>
          <cell r="DK98">
            <v>0</v>
          </cell>
          <cell r="DM98">
            <v>0</v>
          </cell>
          <cell r="DN98">
            <v>0</v>
          </cell>
          <cell r="DO98">
            <v>0</v>
          </cell>
          <cell r="DP98">
            <v>0</v>
          </cell>
          <cell r="DQ98">
            <v>0</v>
          </cell>
          <cell r="DS98">
            <v>0</v>
          </cell>
          <cell r="DT98">
            <v>0</v>
          </cell>
          <cell r="DU98">
            <v>0</v>
          </cell>
          <cell r="DV98">
            <v>311</v>
          </cell>
          <cell r="DW98">
            <v>0</v>
          </cell>
          <cell r="DY98">
            <v>282</v>
          </cell>
          <cell r="DZ98">
            <v>280</v>
          </cell>
          <cell r="EA98">
            <v>280</v>
          </cell>
          <cell r="EB98">
            <v>297</v>
          </cell>
          <cell r="EC98">
            <v>1139</v>
          </cell>
          <cell r="EE98">
            <v>267</v>
          </cell>
          <cell r="EF98">
            <v>292</v>
          </cell>
          <cell r="EG98">
            <v>294</v>
          </cell>
          <cell r="EH98">
            <v>325</v>
          </cell>
          <cell r="EI98">
            <v>1178</v>
          </cell>
          <cell r="EK98">
            <v>285</v>
          </cell>
          <cell r="EL98">
            <v>287</v>
          </cell>
          <cell r="EM98">
            <v>289.26878923766816</v>
          </cell>
          <cell r="EN98">
            <v>292.95446248131537</v>
          </cell>
          <cell r="EO98">
            <v>1154.2232517189836</v>
          </cell>
          <cell r="EQ98">
            <v>295.7639008849028</v>
          </cell>
          <cell r="ER98">
            <v>293.42406494493275</v>
          </cell>
          <cell r="ES98">
            <v>292.54669014827618</v>
          </cell>
          <cell r="ET98">
            <v>291.65332542976506</v>
          </cell>
          <cell r="EU98">
            <v>1173.3879814078769</v>
          </cell>
          <cell r="EW98">
            <v>291.95683014902841</v>
          </cell>
          <cell r="EX98">
            <v>289.28986741469504</v>
          </cell>
          <cell r="EY98">
            <v>287.89451978893476</v>
          </cell>
          <cell r="EZ98">
            <v>286.49271566166317</v>
          </cell>
          <cell r="FA98">
            <v>1155.6339330143214</v>
          </cell>
        </row>
        <row r="99"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O99">
            <v>0</v>
          </cell>
          <cell r="P99">
            <v>0</v>
          </cell>
          <cell r="Q99">
            <v>0</v>
          </cell>
          <cell r="R99">
            <v>0</v>
          </cell>
          <cell r="S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0</v>
          </cell>
          <cell r="BK99">
            <v>0</v>
          </cell>
          <cell r="BL99">
            <v>0</v>
          </cell>
          <cell r="BM99">
            <v>0</v>
          </cell>
          <cell r="BN99">
            <v>0</v>
          </cell>
          <cell r="BO99">
            <v>0</v>
          </cell>
          <cell r="BQ99">
            <v>0</v>
          </cell>
          <cell r="BR99">
            <v>0</v>
          </cell>
          <cell r="BS99">
            <v>0</v>
          </cell>
          <cell r="BT99">
            <v>0</v>
          </cell>
          <cell r="BU99">
            <v>0</v>
          </cell>
          <cell r="BW99">
            <v>0</v>
          </cell>
          <cell r="BX99">
            <v>0</v>
          </cell>
          <cell r="BY99">
            <v>0</v>
          </cell>
          <cell r="BZ99">
            <v>0</v>
          </cell>
          <cell r="CA99">
            <v>0</v>
          </cell>
          <cell r="CC99">
            <v>0</v>
          </cell>
          <cell r="CD99">
            <v>0</v>
          </cell>
          <cell r="CE99">
            <v>0</v>
          </cell>
          <cell r="CF99">
            <v>0</v>
          </cell>
          <cell r="CG99">
            <v>0</v>
          </cell>
          <cell r="CI99">
            <v>0</v>
          </cell>
          <cell r="CJ99">
            <v>0</v>
          </cell>
          <cell r="CK99">
            <v>0</v>
          </cell>
          <cell r="CL99">
            <v>0</v>
          </cell>
          <cell r="CM99">
            <v>0</v>
          </cell>
          <cell r="CO99">
            <v>0</v>
          </cell>
          <cell r="CP99">
            <v>0</v>
          </cell>
          <cell r="CQ99">
            <v>0</v>
          </cell>
          <cell r="CR99">
            <v>0</v>
          </cell>
          <cell r="CS99">
            <v>0</v>
          </cell>
          <cell r="CU99">
            <v>0</v>
          </cell>
          <cell r="CV99">
            <v>0</v>
          </cell>
          <cell r="CW99">
            <v>0</v>
          </cell>
          <cell r="CX99">
            <v>0</v>
          </cell>
          <cell r="CY99">
            <v>0</v>
          </cell>
          <cell r="DA99">
            <v>0</v>
          </cell>
          <cell r="DB99">
            <v>0</v>
          </cell>
          <cell r="DC99">
            <v>0</v>
          </cell>
          <cell r="DE99">
            <v>0</v>
          </cell>
          <cell r="DG99">
            <v>0</v>
          </cell>
          <cell r="DH99">
            <v>0</v>
          </cell>
          <cell r="DI99">
            <v>0</v>
          </cell>
          <cell r="DJ99">
            <v>0</v>
          </cell>
          <cell r="DK99">
            <v>0</v>
          </cell>
          <cell r="DM99">
            <v>0</v>
          </cell>
          <cell r="DN99">
            <v>0</v>
          </cell>
          <cell r="DO99">
            <v>0</v>
          </cell>
          <cell r="DP99">
            <v>0</v>
          </cell>
          <cell r="DQ99">
            <v>0</v>
          </cell>
          <cell r="DS99">
            <v>0</v>
          </cell>
          <cell r="DT99">
            <v>0</v>
          </cell>
          <cell r="DU99">
            <v>0</v>
          </cell>
          <cell r="DV99">
            <v>0.92938237965485926</v>
          </cell>
          <cell r="DW99">
            <v>0</v>
          </cell>
          <cell r="DY99">
            <v>0.93637184115523464</v>
          </cell>
          <cell r="DZ99">
            <v>0.93801195483728139</v>
          </cell>
          <cell r="EA99">
            <v>0.93866374589266155</v>
          </cell>
          <cell r="EB99">
            <v>0.93674121405750799</v>
          </cell>
          <cell r="EC99">
            <v>0.93744851447086608</v>
          </cell>
          <cell r="EE99">
            <v>0.94356372859860493</v>
          </cell>
          <cell r="EF99">
            <v>0.93882254347370631</v>
          </cell>
          <cell r="EG99">
            <v>0.93696397941680964</v>
          </cell>
          <cell r="EH99">
            <v>0.93067406143344711</v>
          </cell>
          <cell r="EI99">
            <v>0.93752651675859144</v>
          </cell>
          <cell r="EK99">
            <v>0.93932297210985738</v>
          </cell>
          <cell r="EL99">
            <v>0.93871449925261585</v>
          </cell>
          <cell r="EM99">
            <v>0.93871449925261585</v>
          </cell>
          <cell r="EN99">
            <v>0.93871449925261585</v>
          </cell>
          <cell r="EO99">
            <v>0.93886587477452765</v>
          </cell>
          <cell r="EQ99">
            <v>0.93871449925261585</v>
          </cell>
          <cell r="ER99">
            <v>0.93871449925261585</v>
          </cell>
          <cell r="ES99">
            <v>0.93871449925261585</v>
          </cell>
          <cell r="ET99">
            <v>0.93871449925261585</v>
          </cell>
          <cell r="EU99">
            <v>0.93871449925261585</v>
          </cell>
          <cell r="EW99">
            <v>0.93871449925261585</v>
          </cell>
          <cell r="EX99">
            <v>0.93871449925261585</v>
          </cell>
          <cell r="EY99">
            <v>0.93871449925261585</v>
          </cell>
          <cell r="EZ99">
            <v>0.93871449925261585</v>
          </cell>
          <cell r="FA99">
            <v>0.93871449925261585</v>
          </cell>
        </row>
        <row r="100"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O100">
            <v>0</v>
          </cell>
          <cell r="P100">
            <v>0</v>
          </cell>
          <cell r="Q100">
            <v>0</v>
          </cell>
          <cell r="R100">
            <v>0</v>
          </cell>
          <cell r="S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0</v>
          </cell>
          <cell r="BK100">
            <v>0</v>
          </cell>
          <cell r="BL100">
            <v>0</v>
          </cell>
          <cell r="BM100">
            <v>0</v>
          </cell>
          <cell r="BN100">
            <v>0</v>
          </cell>
          <cell r="BO100">
            <v>0</v>
          </cell>
          <cell r="BQ100">
            <v>0</v>
          </cell>
          <cell r="BR100">
            <v>0</v>
          </cell>
          <cell r="BS100">
            <v>0</v>
          </cell>
          <cell r="BT100">
            <v>0</v>
          </cell>
          <cell r="BU100">
            <v>0</v>
          </cell>
          <cell r="BW100">
            <v>0</v>
          </cell>
          <cell r="BX100">
            <v>0</v>
          </cell>
          <cell r="BY100">
            <v>0</v>
          </cell>
          <cell r="BZ100">
            <v>0</v>
          </cell>
          <cell r="CA100">
            <v>0</v>
          </cell>
          <cell r="CC100">
            <v>0</v>
          </cell>
          <cell r="CD100">
            <v>0</v>
          </cell>
          <cell r="CE100">
            <v>0</v>
          </cell>
          <cell r="CF100">
            <v>0</v>
          </cell>
          <cell r="CG100">
            <v>0</v>
          </cell>
          <cell r="CI100">
            <v>0</v>
          </cell>
          <cell r="CJ100">
            <v>0</v>
          </cell>
          <cell r="CK100">
            <v>0</v>
          </cell>
          <cell r="CL100">
            <v>0</v>
          </cell>
          <cell r="CM100">
            <v>0</v>
          </cell>
          <cell r="CO100">
            <v>0</v>
          </cell>
          <cell r="CP100">
            <v>0</v>
          </cell>
          <cell r="CQ100">
            <v>0</v>
          </cell>
          <cell r="CR100">
            <v>0</v>
          </cell>
          <cell r="CS100">
            <v>0</v>
          </cell>
          <cell r="CU100">
            <v>0</v>
          </cell>
          <cell r="CV100">
            <v>0</v>
          </cell>
          <cell r="CW100">
            <v>0</v>
          </cell>
          <cell r="CX100">
            <v>0</v>
          </cell>
          <cell r="CY100">
            <v>0</v>
          </cell>
          <cell r="DA100">
            <v>0</v>
          </cell>
          <cell r="DB100">
            <v>0</v>
          </cell>
          <cell r="DC100">
            <v>0</v>
          </cell>
          <cell r="DE100">
            <v>0</v>
          </cell>
          <cell r="DG100">
            <v>0</v>
          </cell>
          <cell r="DH100">
            <v>0</v>
          </cell>
          <cell r="DI100">
            <v>0</v>
          </cell>
          <cell r="DJ100">
            <v>0</v>
          </cell>
          <cell r="DK100">
            <v>0</v>
          </cell>
          <cell r="DM100">
            <v>0</v>
          </cell>
          <cell r="DN100">
            <v>0</v>
          </cell>
          <cell r="DO100">
            <v>0</v>
          </cell>
          <cell r="DP100">
            <v>0</v>
          </cell>
          <cell r="DQ100">
            <v>0</v>
          </cell>
          <cell r="DS100">
            <v>0</v>
          </cell>
          <cell r="DT100">
            <v>0</v>
          </cell>
          <cell r="DU100">
            <v>0</v>
          </cell>
          <cell r="DV100">
            <v>0</v>
          </cell>
          <cell r="DW100">
            <v>0</v>
          </cell>
          <cell r="DY100">
            <v>0</v>
          </cell>
          <cell r="DZ100">
            <v>0</v>
          </cell>
          <cell r="EA100">
            <v>0</v>
          </cell>
          <cell r="EB100">
            <v>0</v>
          </cell>
          <cell r="EC100">
            <v>0</v>
          </cell>
          <cell r="EE100">
            <v>0</v>
          </cell>
          <cell r="EF100">
            <v>0</v>
          </cell>
          <cell r="EG100">
            <v>0</v>
          </cell>
          <cell r="EH100">
            <v>0</v>
          </cell>
          <cell r="EI100">
            <v>0</v>
          </cell>
          <cell r="EK100">
            <v>0</v>
          </cell>
          <cell r="EL100">
            <v>0</v>
          </cell>
          <cell r="EM100">
            <v>0</v>
          </cell>
          <cell r="EN100">
            <v>0</v>
          </cell>
          <cell r="EO100">
            <v>0</v>
          </cell>
          <cell r="EQ100">
            <v>0</v>
          </cell>
          <cell r="ER100">
            <v>0</v>
          </cell>
          <cell r="ES100">
            <v>0</v>
          </cell>
          <cell r="ET100">
            <v>0</v>
          </cell>
          <cell r="EU100">
            <v>0</v>
          </cell>
          <cell r="EW100">
            <v>0</v>
          </cell>
          <cell r="EX100">
            <v>0</v>
          </cell>
          <cell r="EY100">
            <v>0</v>
          </cell>
          <cell r="EZ100">
            <v>0</v>
          </cell>
          <cell r="FA100">
            <v>0</v>
          </cell>
        </row>
        <row r="101"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O101">
            <v>0</v>
          </cell>
          <cell r="P101">
            <v>0</v>
          </cell>
          <cell r="Q101">
            <v>0</v>
          </cell>
          <cell r="R101">
            <v>0</v>
          </cell>
          <cell r="S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0</v>
          </cell>
          <cell r="BE101">
            <v>0</v>
          </cell>
          <cell r="BF101">
            <v>0</v>
          </cell>
          <cell r="BG101">
            <v>0</v>
          </cell>
          <cell r="BH101">
            <v>0</v>
          </cell>
          <cell r="BI101">
            <v>0</v>
          </cell>
          <cell r="BK101">
            <v>0</v>
          </cell>
          <cell r="BL101">
            <v>0</v>
          </cell>
          <cell r="BM101">
            <v>0</v>
          </cell>
          <cell r="BN101">
            <v>0</v>
          </cell>
          <cell r="BO101">
            <v>0</v>
          </cell>
          <cell r="BQ101">
            <v>0</v>
          </cell>
          <cell r="BR101">
            <v>0</v>
          </cell>
          <cell r="BS101">
            <v>0</v>
          </cell>
          <cell r="BT101">
            <v>0</v>
          </cell>
          <cell r="BU101">
            <v>0</v>
          </cell>
          <cell r="BW101">
            <v>0</v>
          </cell>
          <cell r="BX101">
            <v>0</v>
          </cell>
          <cell r="BY101">
            <v>0</v>
          </cell>
          <cell r="BZ101">
            <v>0</v>
          </cell>
          <cell r="CA101">
            <v>0</v>
          </cell>
          <cell r="CC101">
            <v>0</v>
          </cell>
          <cell r="CD101">
            <v>0</v>
          </cell>
          <cell r="CE101">
            <v>0</v>
          </cell>
          <cell r="CF101">
            <v>0</v>
          </cell>
          <cell r="CG101">
            <v>0</v>
          </cell>
          <cell r="CI101">
            <v>0</v>
          </cell>
          <cell r="CJ101">
            <v>0</v>
          </cell>
          <cell r="CK101">
            <v>0</v>
          </cell>
          <cell r="CL101">
            <v>0</v>
          </cell>
          <cell r="CM101">
            <v>0</v>
          </cell>
          <cell r="CO101">
            <v>0</v>
          </cell>
          <cell r="CP101">
            <v>0</v>
          </cell>
          <cell r="CQ101">
            <v>0</v>
          </cell>
          <cell r="CR101">
            <v>0</v>
          </cell>
          <cell r="CS101">
            <v>0</v>
          </cell>
          <cell r="CU101">
            <v>0</v>
          </cell>
          <cell r="CV101">
            <v>0</v>
          </cell>
          <cell r="CW101">
            <v>0</v>
          </cell>
          <cell r="CX101">
            <v>0</v>
          </cell>
          <cell r="CY101">
            <v>0</v>
          </cell>
          <cell r="DA101">
            <v>0</v>
          </cell>
          <cell r="DB101">
            <v>0</v>
          </cell>
          <cell r="DC101">
            <v>180</v>
          </cell>
          <cell r="DE101">
            <v>848.3</v>
          </cell>
          <cell r="DG101">
            <v>556</v>
          </cell>
          <cell r="DH101">
            <v>524</v>
          </cell>
          <cell r="DI101">
            <v>464</v>
          </cell>
          <cell r="DJ101">
            <v>511</v>
          </cell>
          <cell r="DK101">
            <v>2055</v>
          </cell>
          <cell r="DM101">
            <v>471</v>
          </cell>
          <cell r="DN101">
            <v>471</v>
          </cell>
          <cell r="DO101">
            <v>424</v>
          </cell>
          <cell r="DP101">
            <v>476</v>
          </cell>
          <cell r="DQ101">
            <v>1842</v>
          </cell>
          <cell r="DS101">
            <v>384</v>
          </cell>
          <cell r="DT101">
            <v>366</v>
          </cell>
          <cell r="DU101">
            <v>336</v>
          </cell>
          <cell r="DV101">
            <v>412</v>
          </cell>
          <cell r="DW101">
            <v>1498</v>
          </cell>
          <cell r="DY101">
            <v>328</v>
          </cell>
          <cell r="DZ101">
            <v>368</v>
          </cell>
          <cell r="EA101">
            <v>378</v>
          </cell>
          <cell r="EB101">
            <v>442</v>
          </cell>
          <cell r="EC101">
            <v>1516</v>
          </cell>
          <cell r="EE101">
            <v>297</v>
          </cell>
          <cell r="EF101">
            <v>368</v>
          </cell>
          <cell r="EG101">
            <v>366</v>
          </cell>
          <cell r="EH101">
            <v>436</v>
          </cell>
          <cell r="EI101">
            <v>1467</v>
          </cell>
          <cell r="EK101">
            <v>301</v>
          </cell>
          <cell r="EL101">
            <v>323</v>
          </cell>
          <cell r="EM101">
            <v>344.36196858638738</v>
          </cell>
          <cell r="EN101">
            <v>393.87240000000003</v>
          </cell>
          <cell r="EO101">
            <v>1362.2343685863873</v>
          </cell>
          <cell r="EQ101">
            <v>271.41300000000001</v>
          </cell>
          <cell r="ER101">
            <v>291.21570000000003</v>
          </cell>
          <cell r="ES101">
            <v>309.92577172774861</v>
          </cell>
          <cell r="ET101">
            <v>354.48516000000001</v>
          </cell>
          <cell r="EU101">
            <v>1227.0396317277487</v>
          </cell>
          <cell r="EW101">
            <v>244.73339999999999</v>
          </cell>
          <cell r="EX101">
            <v>262.55826000000002</v>
          </cell>
          <cell r="EY101">
            <v>278.93319455497374</v>
          </cell>
          <cell r="EZ101">
            <v>319.03664400000002</v>
          </cell>
          <cell r="FA101">
            <v>1105.2614985549737</v>
          </cell>
        </row>
        <row r="102"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0</v>
          </cell>
          <cell r="BK102">
            <v>0</v>
          </cell>
          <cell r="BL102">
            <v>0</v>
          </cell>
          <cell r="BM102">
            <v>0</v>
          </cell>
          <cell r="BN102">
            <v>0</v>
          </cell>
          <cell r="BO102">
            <v>0</v>
          </cell>
          <cell r="BQ102">
            <v>0</v>
          </cell>
          <cell r="BR102">
            <v>0</v>
          </cell>
          <cell r="BS102">
            <v>0</v>
          </cell>
          <cell r="BT102">
            <v>0</v>
          </cell>
          <cell r="BU102">
            <v>0</v>
          </cell>
          <cell r="BW102">
            <v>0</v>
          </cell>
          <cell r="BX102">
            <v>0</v>
          </cell>
          <cell r="BY102">
            <v>0</v>
          </cell>
          <cell r="BZ102">
            <v>0</v>
          </cell>
          <cell r="CA102">
            <v>0</v>
          </cell>
          <cell r="CC102">
            <v>0</v>
          </cell>
          <cell r="CD102">
            <v>0</v>
          </cell>
          <cell r="CE102">
            <v>0</v>
          </cell>
          <cell r="CF102">
            <v>0</v>
          </cell>
          <cell r="CG102">
            <v>0</v>
          </cell>
          <cell r="CI102">
            <v>0</v>
          </cell>
          <cell r="CJ102">
            <v>0</v>
          </cell>
          <cell r="CK102">
            <v>0</v>
          </cell>
          <cell r="CL102">
            <v>0</v>
          </cell>
          <cell r="CM102">
            <v>0</v>
          </cell>
          <cell r="CO102">
            <v>0</v>
          </cell>
          <cell r="CP102">
            <v>0</v>
          </cell>
          <cell r="CQ102">
            <v>0</v>
          </cell>
          <cell r="CR102">
            <v>0</v>
          </cell>
          <cell r="CS102">
            <v>0</v>
          </cell>
          <cell r="CU102">
            <v>0</v>
          </cell>
          <cell r="CV102">
            <v>0</v>
          </cell>
          <cell r="CW102">
            <v>0</v>
          </cell>
          <cell r="CX102">
            <v>0</v>
          </cell>
          <cell r="CY102">
            <v>0</v>
          </cell>
          <cell r="DA102">
            <v>0</v>
          </cell>
          <cell r="DB102">
            <v>0</v>
          </cell>
          <cell r="DC102">
            <v>0.34065934065934067</v>
          </cell>
          <cell r="DE102">
            <v>0.43671978751660034</v>
          </cell>
          <cell r="DG102">
            <v>0.48470806302131608</v>
          </cell>
          <cell r="DH102">
            <v>0.52877697841726623</v>
          </cell>
          <cell r="DI102">
            <v>0.55169082125603863</v>
          </cell>
          <cell r="DJ102">
            <v>0.55834053586862575</v>
          </cell>
          <cell r="DK102">
            <v>0.53114305270362761</v>
          </cell>
          <cell r="DM102">
            <v>0.54227405247813409</v>
          </cell>
          <cell r="DN102">
            <v>0.50577124868835255</v>
          </cell>
          <cell r="DO102">
            <v>0.51208285385500574</v>
          </cell>
          <cell r="DP102">
            <v>0.51279426816786078</v>
          </cell>
          <cell r="DQ102">
            <v>0.51880877742946707</v>
          </cell>
          <cell r="DS102">
            <v>0.50706033376123227</v>
          </cell>
          <cell r="DT102">
            <v>0.50136239782016356</v>
          </cell>
          <cell r="DU102">
            <v>0.49925484351713856</v>
          </cell>
          <cell r="DV102">
            <v>0.51472320376914016</v>
          </cell>
          <cell r="DW102">
            <v>0.50609957138147044</v>
          </cell>
          <cell r="DY102">
            <v>0.50971599402092682</v>
          </cell>
          <cell r="DZ102">
            <v>0.48459383753501406</v>
          </cell>
          <cell r="EA102">
            <v>0.47862068965517246</v>
          </cell>
          <cell r="EB102">
            <v>0.49195402298850577</v>
          </cell>
          <cell r="EC102">
            <v>0.49093351242444594</v>
          </cell>
          <cell r="EE102">
            <v>0.48615916955017302</v>
          </cell>
          <cell r="EF102">
            <v>0.48675034867503486</v>
          </cell>
          <cell r="EG102">
            <v>0.4859550561797753</v>
          </cell>
          <cell r="EH102">
            <v>0.4669926650366748</v>
          </cell>
          <cell r="EI102">
            <v>0.4807079646017699</v>
          </cell>
          <cell r="EK102">
            <v>0.47192982456140353</v>
          </cell>
          <cell r="EL102">
            <v>0.43630017452006986</v>
          </cell>
          <cell r="EM102">
            <v>0.43630017452006986</v>
          </cell>
          <cell r="EN102">
            <v>0.4649926650366748</v>
          </cell>
          <cell r="EO102">
            <v>0.45293901577032081</v>
          </cell>
          <cell r="EQ102">
            <v>0.47092982456140353</v>
          </cell>
          <cell r="ER102">
            <v>0.43530017452006986</v>
          </cell>
          <cell r="ES102">
            <v>0.43630017452006986</v>
          </cell>
          <cell r="ET102">
            <v>0.4649926650366748</v>
          </cell>
          <cell r="EU102">
            <v>0.45247999732283928</v>
          </cell>
          <cell r="EW102">
            <v>0.46992982456140353</v>
          </cell>
          <cell r="EX102">
            <v>0.43430017452006986</v>
          </cell>
          <cell r="EY102">
            <v>0.43630017452006986</v>
          </cell>
          <cell r="EZ102">
            <v>0.4649926650366748</v>
          </cell>
          <cell r="FA102">
            <v>0.45202097887535775</v>
          </cell>
        </row>
        <row r="103"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Y103">
            <v>0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E103">
            <v>0</v>
          </cell>
          <cell r="BF103">
            <v>0</v>
          </cell>
          <cell r="BG103">
            <v>0</v>
          </cell>
          <cell r="BH103">
            <v>0</v>
          </cell>
          <cell r="BI103">
            <v>0</v>
          </cell>
          <cell r="BK103">
            <v>0</v>
          </cell>
          <cell r="BL103">
            <v>0</v>
          </cell>
          <cell r="BM103">
            <v>0</v>
          </cell>
          <cell r="BN103">
            <v>0</v>
          </cell>
          <cell r="BO103">
            <v>0</v>
          </cell>
          <cell r="BQ103">
            <v>0</v>
          </cell>
          <cell r="BR103">
            <v>0</v>
          </cell>
          <cell r="BS103">
            <v>0</v>
          </cell>
          <cell r="BT103">
            <v>0</v>
          </cell>
          <cell r="BU103">
            <v>0</v>
          </cell>
          <cell r="BW103">
            <v>0</v>
          </cell>
          <cell r="BX103">
            <v>0</v>
          </cell>
          <cell r="BY103">
            <v>0</v>
          </cell>
          <cell r="BZ103">
            <v>0</v>
          </cell>
          <cell r="CA103">
            <v>0</v>
          </cell>
          <cell r="CC103">
            <v>0</v>
          </cell>
          <cell r="CD103">
            <v>0</v>
          </cell>
          <cell r="CE103">
            <v>0</v>
          </cell>
          <cell r="CF103">
            <v>0</v>
          </cell>
          <cell r="CG103">
            <v>0</v>
          </cell>
          <cell r="CI103">
            <v>0</v>
          </cell>
          <cell r="CJ103">
            <v>0</v>
          </cell>
          <cell r="CK103">
            <v>0</v>
          </cell>
          <cell r="CL103">
            <v>0</v>
          </cell>
          <cell r="CM103">
            <v>0</v>
          </cell>
          <cell r="CO103">
            <v>0</v>
          </cell>
          <cell r="CP103">
            <v>0</v>
          </cell>
          <cell r="CQ103">
            <v>0</v>
          </cell>
          <cell r="CR103">
            <v>0</v>
          </cell>
          <cell r="CS103">
            <v>0</v>
          </cell>
          <cell r="CU103">
            <v>0</v>
          </cell>
          <cell r="CV103">
            <v>0</v>
          </cell>
          <cell r="CW103">
            <v>0</v>
          </cell>
          <cell r="CX103">
            <v>0</v>
          </cell>
          <cell r="CY103">
            <v>0</v>
          </cell>
          <cell r="DA103">
            <v>0</v>
          </cell>
          <cell r="DB103">
            <v>0</v>
          </cell>
          <cell r="DC103">
            <v>0</v>
          </cell>
          <cell r="DE103">
            <v>0</v>
          </cell>
          <cell r="DG103">
            <v>0</v>
          </cell>
          <cell r="DH103">
            <v>0</v>
          </cell>
          <cell r="DI103">
            <v>0</v>
          </cell>
          <cell r="DJ103">
            <v>0</v>
          </cell>
          <cell r="DK103">
            <v>0</v>
          </cell>
          <cell r="DM103">
            <v>0</v>
          </cell>
          <cell r="DN103">
            <v>0</v>
          </cell>
          <cell r="DO103">
            <v>0</v>
          </cell>
          <cell r="DP103">
            <v>0</v>
          </cell>
          <cell r="DQ103">
            <v>0</v>
          </cell>
          <cell r="DS103">
            <v>0</v>
          </cell>
          <cell r="DT103">
            <v>0</v>
          </cell>
          <cell r="DU103">
            <v>0</v>
          </cell>
          <cell r="DV103">
            <v>0</v>
          </cell>
          <cell r="DW103">
            <v>0</v>
          </cell>
          <cell r="DY103">
            <v>0</v>
          </cell>
          <cell r="DZ103">
            <v>0</v>
          </cell>
          <cell r="EA103">
            <v>0</v>
          </cell>
          <cell r="EB103">
            <v>0</v>
          </cell>
          <cell r="EC103">
            <v>0</v>
          </cell>
          <cell r="EE103">
            <v>0</v>
          </cell>
          <cell r="EF103">
            <v>0</v>
          </cell>
          <cell r="EG103">
            <v>0</v>
          </cell>
          <cell r="EH103">
            <v>0</v>
          </cell>
          <cell r="EI103">
            <v>0</v>
          </cell>
          <cell r="EK103">
            <v>0</v>
          </cell>
          <cell r="EL103">
            <v>0</v>
          </cell>
          <cell r="EM103">
            <v>0</v>
          </cell>
          <cell r="EN103">
            <v>0</v>
          </cell>
          <cell r="EO103">
            <v>0</v>
          </cell>
          <cell r="EQ103">
            <v>0</v>
          </cell>
          <cell r="ER103">
            <v>0</v>
          </cell>
          <cell r="ES103">
            <v>0</v>
          </cell>
          <cell r="ET103">
            <v>0</v>
          </cell>
          <cell r="EU103">
            <v>0</v>
          </cell>
          <cell r="EW103">
            <v>0</v>
          </cell>
          <cell r="EX103">
            <v>0</v>
          </cell>
          <cell r="EY103">
            <v>0</v>
          </cell>
          <cell r="EZ103">
            <v>0</v>
          </cell>
          <cell r="FA103">
            <v>0</v>
          </cell>
        </row>
        <row r="104"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0</v>
          </cell>
          <cell r="BK104">
            <v>0</v>
          </cell>
          <cell r="BL104">
            <v>0</v>
          </cell>
          <cell r="BM104">
            <v>0</v>
          </cell>
          <cell r="BN104">
            <v>0</v>
          </cell>
          <cell r="BO104">
            <v>0</v>
          </cell>
          <cell r="BQ104">
            <v>0</v>
          </cell>
          <cell r="BR104">
            <v>0</v>
          </cell>
          <cell r="BS104">
            <v>0</v>
          </cell>
          <cell r="BT104">
            <v>0</v>
          </cell>
          <cell r="BU104">
            <v>0</v>
          </cell>
          <cell r="BW104">
            <v>0</v>
          </cell>
          <cell r="BX104">
            <v>0</v>
          </cell>
          <cell r="BY104">
            <v>0</v>
          </cell>
          <cell r="BZ104">
            <v>0</v>
          </cell>
          <cell r="CA104">
            <v>0</v>
          </cell>
          <cell r="CC104">
            <v>0</v>
          </cell>
          <cell r="CD104">
            <v>0</v>
          </cell>
          <cell r="CE104">
            <v>0</v>
          </cell>
          <cell r="CF104">
            <v>0</v>
          </cell>
          <cell r="CG104">
            <v>0</v>
          </cell>
          <cell r="CI104">
            <v>0</v>
          </cell>
          <cell r="CJ104">
            <v>0</v>
          </cell>
          <cell r="CK104">
            <v>0</v>
          </cell>
          <cell r="CL104">
            <v>0</v>
          </cell>
          <cell r="CM104">
            <v>0</v>
          </cell>
          <cell r="CO104">
            <v>0</v>
          </cell>
          <cell r="CP104">
            <v>0</v>
          </cell>
          <cell r="CQ104">
            <v>0</v>
          </cell>
          <cell r="CR104">
            <v>0</v>
          </cell>
          <cell r="CS104">
            <v>0</v>
          </cell>
          <cell r="CU104">
            <v>0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DA104">
            <v>0</v>
          </cell>
          <cell r="DB104">
            <v>0</v>
          </cell>
          <cell r="DC104">
            <v>115</v>
          </cell>
          <cell r="DE104">
            <v>420</v>
          </cell>
          <cell r="DG104">
            <v>300</v>
          </cell>
          <cell r="DH104">
            <v>355</v>
          </cell>
          <cell r="DI104">
            <v>293</v>
          </cell>
          <cell r="DJ104">
            <v>308</v>
          </cell>
          <cell r="DK104">
            <v>1256</v>
          </cell>
          <cell r="DM104">
            <v>282</v>
          </cell>
          <cell r="DN104">
            <v>256</v>
          </cell>
          <cell r="DO104">
            <v>256</v>
          </cell>
          <cell r="DP104">
            <v>247</v>
          </cell>
          <cell r="DQ104">
            <v>1041</v>
          </cell>
          <cell r="DS104">
            <v>223</v>
          </cell>
          <cell r="DT104">
            <v>226</v>
          </cell>
          <cell r="DU104">
            <v>218</v>
          </cell>
          <cell r="DV104">
            <v>219</v>
          </cell>
          <cell r="DW104">
            <v>886</v>
          </cell>
          <cell r="DY104">
            <v>206</v>
          </cell>
          <cell r="DZ104">
            <v>213</v>
          </cell>
          <cell r="EA104">
            <v>206</v>
          </cell>
          <cell r="EB104">
            <v>204</v>
          </cell>
          <cell r="EC104">
            <v>829</v>
          </cell>
          <cell r="EE104">
            <v>191</v>
          </cell>
          <cell r="EF104">
            <v>216</v>
          </cell>
          <cell r="EG104">
            <v>216</v>
          </cell>
          <cell r="EH104">
            <v>186</v>
          </cell>
          <cell r="EI104">
            <v>809</v>
          </cell>
          <cell r="EK104">
            <v>179</v>
          </cell>
          <cell r="EL104">
            <v>173</v>
          </cell>
          <cell r="EM104">
            <v>211.69144359183673</v>
          </cell>
          <cell r="EN104">
            <v>160.04266470508477</v>
          </cell>
          <cell r="EO104">
            <v>723.73410829692159</v>
          </cell>
          <cell r="EQ104">
            <v>182.80598958139535</v>
          </cell>
          <cell r="ER104">
            <v>178.67183330909094</v>
          </cell>
          <cell r="ES104">
            <v>209.07393002448981</v>
          </cell>
          <cell r="ET104">
            <v>179.63869306576277</v>
          </cell>
          <cell r="EU104">
            <v>750.19044598073879</v>
          </cell>
          <cell r="EW104">
            <v>182.44068843076926</v>
          </cell>
          <cell r="EX104">
            <v>179.64337161600002</v>
          </cell>
          <cell r="EY104">
            <v>206.95183311673469</v>
          </cell>
          <cell r="EZ104">
            <v>174.09948262616948</v>
          </cell>
          <cell r="FA104">
            <v>743.13537578967339</v>
          </cell>
        </row>
        <row r="105"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0</v>
          </cell>
          <cell r="BK105">
            <v>0</v>
          </cell>
          <cell r="BL105">
            <v>0</v>
          </cell>
          <cell r="BM105">
            <v>0</v>
          </cell>
          <cell r="BN105">
            <v>0</v>
          </cell>
          <cell r="BO105">
            <v>0</v>
          </cell>
          <cell r="BQ105">
            <v>0</v>
          </cell>
          <cell r="BR105">
            <v>0</v>
          </cell>
          <cell r="BS105">
            <v>0</v>
          </cell>
          <cell r="BT105">
            <v>0</v>
          </cell>
          <cell r="BU105">
            <v>0</v>
          </cell>
          <cell r="BW105">
            <v>0</v>
          </cell>
          <cell r="BX105">
            <v>0</v>
          </cell>
          <cell r="BY105">
            <v>0</v>
          </cell>
          <cell r="BZ105">
            <v>0</v>
          </cell>
          <cell r="CA105">
            <v>0</v>
          </cell>
          <cell r="CC105">
            <v>0</v>
          </cell>
          <cell r="CD105">
            <v>0</v>
          </cell>
          <cell r="CE105">
            <v>0</v>
          </cell>
          <cell r="CF105">
            <v>0</v>
          </cell>
          <cell r="CG105">
            <v>0</v>
          </cell>
          <cell r="CI105">
            <v>0</v>
          </cell>
          <cell r="CJ105">
            <v>0</v>
          </cell>
          <cell r="CK105">
            <v>0</v>
          </cell>
          <cell r="CL105">
            <v>0</v>
          </cell>
          <cell r="CM105">
            <v>0</v>
          </cell>
          <cell r="CO105">
            <v>0</v>
          </cell>
          <cell r="CP105">
            <v>0</v>
          </cell>
          <cell r="CQ105">
            <v>0</v>
          </cell>
          <cell r="CR105">
            <v>0</v>
          </cell>
          <cell r="CS105">
            <v>0</v>
          </cell>
          <cell r="CU105">
            <v>0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DA105">
            <v>0</v>
          </cell>
          <cell r="DB105">
            <v>0</v>
          </cell>
          <cell r="DC105">
            <v>0.4866071428571429</v>
          </cell>
          <cell r="DE105">
            <v>0.53947368421052633</v>
          </cell>
          <cell r="DG105">
            <v>0.55882352941176472</v>
          </cell>
          <cell r="DH105">
            <v>0.48250728862973757</v>
          </cell>
          <cell r="DI105">
            <v>0.55335365853658536</v>
          </cell>
          <cell r="DJ105">
            <v>0.55167394468704511</v>
          </cell>
          <cell r="DK105">
            <v>0.53636028054632701</v>
          </cell>
          <cell r="DM105">
            <v>0.57012195121951215</v>
          </cell>
          <cell r="DN105">
            <v>0.59621451104100953</v>
          </cell>
          <cell r="DO105">
            <v>0.58032786885245902</v>
          </cell>
          <cell r="DP105">
            <v>0.5910596026490067</v>
          </cell>
          <cell r="DQ105">
            <v>0.58426517571884984</v>
          </cell>
          <cell r="DS105">
            <v>0.61418685121107264</v>
          </cell>
          <cell r="DT105">
            <v>0.61694915254237293</v>
          </cell>
          <cell r="DU105">
            <v>0.61888111888111896</v>
          </cell>
          <cell r="DV105">
            <v>0.62627986348122866</v>
          </cell>
          <cell r="DW105">
            <v>0.61908856405846946</v>
          </cell>
          <cell r="DY105">
            <v>0.65494137353433834</v>
          </cell>
          <cell r="DZ105">
            <v>0.65252854812398042</v>
          </cell>
          <cell r="EA105">
            <v>0.65666666666666673</v>
          </cell>
          <cell r="EB105">
            <v>0.65829145728643224</v>
          </cell>
          <cell r="EC105">
            <v>0.6555878687162443</v>
          </cell>
          <cell r="EE105">
            <v>0.6751700680272108</v>
          </cell>
          <cell r="EF105">
            <v>0.65105008077544424</v>
          </cell>
          <cell r="EG105">
            <v>0.63265306122448983</v>
          </cell>
          <cell r="EH105">
            <v>0.68474576271186438</v>
          </cell>
          <cell r="EI105">
            <v>0.66079664570230601</v>
          </cell>
          <cell r="EK105">
            <v>0.67978533094812166</v>
          </cell>
          <cell r="EL105">
            <v>0.68545454545454543</v>
          </cell>
          <cell r="EM105">
            <v>0.63265306122448983</v>
          </cell>
          <cell r="EN105">
            <v>0.68474576271186438</v>
          </cell>
          <cell r="EO105">
            <v>0.66996985915856544</v>
          </cell>
          <cell r="EQ105">
            <v>0.67978533094812166</v>
          </cell>
          <cell r="ER105">
            <v>0.68545454545454543</v>
          </cell>
          <cell r="ES105">
            <v>0.63265306122448983</v>
          </cell>
          <cell r="ET105">
            <v>0.68474576271186438</v>
          </cell>
          <cell r="EU105">
            <v>0.67066359158296107</v>
          </cell>
          <cell r="EW105">
            <v>0.67978533094812166</v>
          </cell>
          <cell r="EX105">
            <v>0.68545454545454543</v>
          </cell>
          <cell r="EY105">
            <v>0.63265306122448983</v>
          </cell>
          <cell r="EZ105">
            <v>0.68474576271186438</v>
          </cell>
          <cell r="FA105">
            <v>0.67066688271539598</v>
          </cell>
        </row>
        <row r="106"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0</v>
          </cell>
          <cell r="BK106">
            <v>0</v>
          </cell>
          <cell r="BL106">
            <v>0</v>
          </cell>
          <cell r="BM106">
            <v>0</v>
          </cell>
          <cell r="BN106">
            <v>0</v>
          </cell>
          <cell r="BO106">
            <v>0</v>
          </cell>
          <cell r="BQ106">
            <v>0</v>
          </cell>
          <cell r="BR106">
            <v>0</v>
          </cell>
          <cell r="BS106">
            <v>0</v>
          </cell>
          <cell r="BT106">
            <v>0</v>
          </cell>
          <cell r="BU106">
            <v>0</v>
          </cell>
          <cell r="BW106">
            <v>0</v>
          </cell>
          <cell r="BX106">
            <v>0</v>
          </cell>
          <cell r="BY106">
            <v>0</v>
          </cell>
          <cell r="BZ106">
            <v>0</v>
          </cell>
          <cell r="CA106">
            <v>0</v>
          </cell>
          <cell r="CC106">
            <v>0</v>
          </cell>
          <cell r="CD106">
            <v>0</v>
          </cell>
          <cell r="CE106">
            <v>0</v>
          </cell>
          <cell r="CF106">
            <v>0</v>
          </cell>
          <cell r="CG106">
            <v>0</v>
          </cell>
          <cell r="CI106">
            <v>0</v>
          </cell>
          <cell r="CJ106">
            <v>0</v>
          </cell>
          <cell r="CK106">
            <v>0</v>
          </cell>
          <cell r="CL106">
            <v>0</v>
          </cell>
          <cell r="CM106">
            <v>0</v>
          </cell>
          <cell r="CO106">
            <v>0</v>
          </cell>
          <cell r="CP106">
            <v>0</v>
          </cell>
          <cell r="CQ106">
            <v>0</v>
          </cell>
          <cell r="CR106">
            <v>0</v>
          </cell>
          <cell r="CS106">
            <v>0</v>
          </cell>
          <cell r="CU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DA106">
            <v>0</v>
          </cell>
          <cell r="DB106">
            <v>0</v>
          </cell>
          <cell r="DC106">
            <v>0</v>
          </cell>
          <cell r="DE106">
            <v>0</v>
          </cell>
          <cell r="DG106">
            <v>0</v>
          </cell>
          <cell r="DH106">
            <v>0</v>
          </cell>
          <cell r="DI106">
            <v>0</v>
          </cell>
          <cell r="DJ106">
            <v>0</v>
          </cell>
          <cell r="DK106">
            <v>0</v>
          </cell>
          <cell r="DM106">
            <v>0</v>
          </cell>
          <cell r="DN106">
            <v>0</v>
          </cell>
          <cell r="DO106">
            <v>0</v>
          </cell>
          <cell r="DP106">
            <v>0</v>
          </cell>
          <cell r="DQ106">
            <v>0</v>
          </cell>
          <cell r="DS106">
            <v>0</v>
          </cell>
          <cell r="DT106">
            <v>0</v>
          </cell>
          <cell r="DU106">
            <v>0</v>
          </cell>
          <cell r="DV106">
            <v>0</v>
          </cell>
          <cell r="DW106">
            <v>0</v>
          </cell>
          <cell r="DY106">
            <v>0</v>
          </cell>
          <cell r="DZ106">
            <v>0</v>
          </cell>
          <cell r="EA106">
            <v>0</v>
          </cell>
          <cell r="EB106">
            <v>0</v>
          </cell>
          <cell r="EC106">
            <v>0</v>
          </cell>
          <cell r="EE106">
            <v>0</v>
          </cell>
          <cell r="EF106">
            <v>0</v>
          </cell>
          <cell r="EG106">
            <v>0</v>
          </cell>
          <cell r="EH106">
            <v>0</v>
          </cell>
          <cell r="EI106">
            <v>0</v>
          </cell>
          <cell r="EK106">
            <v>0</v>
          </cell>
          <cell r="EL106">
            <v>0</v>
          </cell>
          <cell r="EM106">
            <v>0</v>
          </cell>
          <cell r="EN106">
            <v>0</v>
          </cell>
          <cell r="EO106">
            <v>0</v>
          </cell>
          <cell r="EQ106">
            <v>0</v>
          </cell>
          <cell r="ER106">
            <v>0</v>
          </cell>
          <cell r="ES106">
            <v>0</v>
          </cell>
          <cell r="ET106">
            <v>0</v>
          </cell>
          <cell r="EU106">
            <v>0</v>
          </cell>
          <cell r="EW106">
            <v>0</v>
          </cell>
          <cell r="EX106">
            <v>0</v>
          </cell>
          <cell r="EY106">
            <v>0</v>
          </cell>
          <cell r="EZ106">
            <v>0</v>
          </cell>
          <cell r="FA106">
            <v>0</v>
          </cell>
        </row>
        <row r="107"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51.241</v>
          </cell>
          <cell r="H107">
            <v>100.98699999999999</v>
          </cell>
          <cell r="I107">
            <v>160.428</v>
          </cell>
          <cell r="J107">
            <v>266.43</v>
          </cell>
          <cell r="K107">
            <v>281.56200000000001</v>
          </cell>
          <cell r="L107">
            <v>346.63299999999998</v>
          </cell>
          <cell r="M107">
            <v>499.21299999999997</v>
          </cell>
          <cell r="O107">
            <v>156.523</v>
          </cell>
          <cell r="P107">
            <v>187.578</v>
          </cell>
          <cell r="Q107">
            <v>196.68299999999999</v>
          </cell>
          <cell r="R107">
            <v>238.22800000000001</v>
          </cell>
          <cell r="S107">
            <v>779.01199999999994</v>
          </cell>
          <cell r="U107">
            <v>231.50899999999999</v>
          </cell>
          <cell r="V107">
            <v>255.422</v>
          </cell>
          <cell r="W107">
            <v>286.84300000000002</v>
          </cell>
          <cell r="X107">
            <v>322.23899999999998</v>
          </cell>
          <cell r="Y107">
            <v>1096.0129999999999</v>
          </cell>
          <cell r="AA107">
            <v>336.10700000000003</v>
          </cell>
          <cell r="AB107">
            <v>377.483</v>
          </cell>
          <cell r="AC107">
            <v>401.44099999999997</v>
          </cell>
          <cell r="AD107">
            <v>435.435</v>
          </cell>
          <cell r="AE107">
            <v>1550.4659999999999</v>
          </cell>
          <cell r="AG107">
            <v>468.16699999999997</v>
          </cell>
          <cell r="AH107">
            <v>548.63099999999997</v>
          </cell>
          <cell r="AI107">
            <v>586.39800000000002</v>
          </cell>
          <cell r="AJ107">
            <v>670.41200000000003</v>
          </cell>
          <cell r="AK107">
            <v>2273.6080000000002</v>
          </cell>
          <cell r="AM107">
            <v>679.29</v>
          </cell>
          <cell r="AN107">
            <v>779.84699999999998</v>
          </cell>
          <cell r="AO107">
            <v>792.02300000000002</v>
          </cell>
          <cell r="AP107">
            <v>812.98800000000006</v>
          </cell>
          <cell r="AQ107">
            <v>3064.1480000000001</v>
          </cell>
          <cell r="AS107">
            <v>756.75</v>
          </cell>
          <cell r="AT107">
            <v>753.17</v>
          </cell>
          <cell r="AU107">
            <v>707.26099999999997</v>
          </cell>
          <cell r="AV107">
            <v>725.49800000000005</v>
          </cell>
          <cell r="AW107">
            <v>2942.6790000000001</v>
          </cell>
          <cell r="AY107">
            <v>699.995</v>
          </cell>
          <cell r="AZ107">
            <v>721.86</v>
          </cell>
          <cell r="BA107">
            <v>730.30899999999997</v>
          </cell>
          <cell r="BB107">
            <v>744.89599999999996</v>
          </cell>
          <cell r="BC107">
            <v>2897.0599999999995</v>
          </cell>
          <cell r="BE107">
            <v>516.322</v>
          </cell>
          <cell r="BF107">
            <v>516.26599999999996</v>
          </cell>
          <cell r="BG107">
            <v>458.74799999999999</v>
          </cell>
          <cell r="BH107">
            <v>452.6</v>
          </cell>
          <cell r="BI107">
            <v>1943.9360000000001</v>
          </cell>
          <cell r="BK107">
            <v>472</v>
          </cell>
          <cell r="BL107">
            <v>482</v>
          </cell>
          <cell r="BM107">
            <v>454</v>
          </cell>
          <cell r="BN107">
            <v>460</v>
          </cell>
          <cell r="BO107">
            <v>1868</v>
          </cell>
          <cell r="BQ107">
            <v>442</v>
          </cell>
          <cell r="BR107">
            <v>455</v>
          </cell>
          <cell r="BS107">
            <v>439</v>
          </cell>
          <cell r="BT107">
            <v>434</v>
          </cell>
          <cell r="BU107">
            <v>1770</v>
          </cell>
          <cell r="BW107">
            <v>419</v>
          </cell>
          <cell r="BX107">
            <v>449</v>
          </cell>
          <cell r="BY107">
            <v>551</v>
          </cell>
          <cell r="BZ107">
            <v>607</v>
          </cell>
          <cell r="CA107">
            <v>2026</v>
          </cell>
          <cell r="CC107">
            <v>560</v>
          </cell>
          <cell r="CD107">
            <v>580</v>
          </cell>
          <cell r="CE107">
            <v>610</v>
          </cell>
          <cell r="CF107">
            <v>756</v>
          </cell>
          <cell r="CG107">
            <v>2506</v>
          </cell>
          <cell r="CI107">
            <v>777</v>
          </cell>
          <cell r="CJ107">
            <v>817</v>
          </cell>
          <cell r="CK107">
            <v>817</v>
          </cell>
          <cell r="CL107">
            <v>924</v>
          </cell>
          <cell r="CM107">
            <v>3335</v>
          </cell>
          <cell r="CO107">
            <v>927</v>
          </cell>
          <cell r="CP107">
            <v>989</v>
          </cell>
          <cell r="CQ107">
            <v>987</v>
          </cell>
          <cell r="CR107">
            <v>1068</v>
          </cell>
          <cell r="CS107">
            <v>3971</v>
          </cell>
          <cell r="CU107">
            <v>1023</v>
          </cell>
          <cell r="CV107">
            <v>936</v>
          </cell>
          <cell r="CW107">
            <v>852</v>
          </cell>
          <cell r="CX107">
            <v>883</v>
          </cell>
          <cell r="CY107">
            <v>3694</v>
          </cell>
          <cell r="DA107">
            <v>779</v>
          </cell>
          <cell r="DB107">
            <v>829</v>
          </cell>
          <cell r="DC107">
            <v>812</v>
          </cell>
          <cell r="DE107">
            <v>3385</v>
          </cell>
          <cell r="DG107">
            <v>892</v>
          </cell>
          <cell r="DH107">
            <v>965</v>
          </cell>
          <cell r="DI107">
            <v>949</v>
          </cell>
          <cell r="DJ107">
            <v>997</v>
          </cell>
          <cell r="DK107">
            <v>3803</v>
          </cell>
          <cell r="DM107">
            <v>932</v>
          </cell>
          <cell r="DN107">
            <v>923</v>
          </cell>
          <cell r="DO107">
            <v>916</v>
          </cell>
          <cell r="DP107">
            <v>948</v>
          </cell>
          <cell r="DQ107">
            <v>3719</v>
          </cell>
          <cell r="DS107">
            <v>875</v>
          </cell>
          <cell r="DT107">
            <v>922</v>
          </cell>
          <cell r="DU107">
            <v>847</v>
          </cell>
          <cell r="DV107">
            <v>779</v>
          </cell>
          <cell r="DW107">
            <v>3423</v>
          </cell>
          <cell r="DY107">
            <v>714</v>
          </cell>
          <cell r="DZ107">
            <v>753</v>
          </cell>
          <cell r="EA107">
            <v>709</v>
          </cell>
          <cell r="EB107">
            <v>747</v>
          </cell>
          <cell r="EC107">
            <v>2923</v>
          </cell>
          <cell r="EE107">
            <v>685</v>
          </cell>
          <cell r="EF107">
            <v>755</v>
          </cell>
          <cell r="EG107">
            <v>716</v>
          </cell>
          <cell r="EH107">
            <v>742</v>
          </cell>
          <cell r="EI107">
            <v>2898</v>
          </cell>
          <cell r="EK107">
            <v>703</v>
          </cell>
          <cell r="EL107">
            <v>683</v>
          </cell>
          <cell r="EM107">
            <v>696.9483916083916</v>
          </cell>
          <cell r="EN107">
            <v>734.81210816462738</v>
          </cell>
          <cell r="EO107">
            <v>2817.7604997730191</v>
          </cell>
          <cell r="EQ107">
            <v>697.02985911090479</v>
          </cell>
          <cell r="ER107">
            <v>677.19970664686775</v>
          </cell>
          <cell r="ES107">
            <v>691.0296432579928</v>
          </cell>
          <cell r="ET107">
            <v>728.57180686625486</v>
          </cell>
          <cell r="EU107">
            <v>2793.83101588202</v>
          </cell>
          <cell r="EW107">
            <v>691.1104189077779</v>
          </cell>
          <cell r="EX107">
            <v>671.44867157043007</v>
          </cell>
          <cell r="EY107">
            <v>685.161159148759</v>
          </cell>
          <cell r="EZ107">
            <v>722.38450055784222</v>
          </cell>
          <cell r="FA107">
            <v>2770.1047501848093</v>
          </cell>
        </row>
        <row r="108">
          <cell r="C108" t="str">
            <v>-</v>
          </cell>
          <cell r="D108" t="str">
            <v>-</v>
          </cell>
          <cell r="E108" t="str">
            <v>-</v>
          </cell>
          <cell r="F108" t="str">
            <v>-</v>
          </cell>
          <cell r="G108" t="str">
            <v>-</v>
          </cell>
          <cell r="H108" t="str">
            <v>-</v>
          </cell>
          <cell r="I108" t="str">
            <v>-</v>
          </cell>
          <cell r="J108" t="str">
            <v>-</v>
          </cell>
          <cell r="K108" t="str">
            <v>-</v>
          </cell>
          <cell r="L108" t="str">
            <v>-</v>
          </cell>
          <cell r="M108" t="str">
            <v>-</v>
          </cell>
          <cell r="O108" t="str">
            <v>-</v>
          </cell>
          <cell r="P108" t="str">
            <v>-</v>
          </cell>
          <cell r="Q108" t="str">
            <v>-</v>
          </cell>
          <cell r="R108" t="str">
            <v>-</v>
          </cell>
          <cell r="S108" t="str">
            <v>-</v>
          </cell>
          <cell r="U108" t="str">
            <v>-</v>
          </cell>
          <cell r="V108" t="str">
            <v>-</v>
          </cell>
          <cell r="W108" t="str">
            <v>-</v>
          </cell>
          <cell r="X108" t="str">
            <v>-</v>
          </cell>
          <cell r="Y108" t="str">
            <v>-</v>
          </cell>
          <cell r="AA108" t="str">
            <v>-</v>
          </cell>
          <cell r="AB108" t="str">
            <v>-</v>
          </cell>
          <cell r="AC108" t="str">
            <v>-</v>
          </cell>
          <cell r="AD108" t="str">
            <v>-</v>
          </cell>
          <cell r="AE108" t="str">
            <v>-</v>
          </cell>
          <cell r="AG108" t="str">
            <v>-</v>
          </cell>
          <cell r="AH108" t="str">
            <v>-</v>
          </cell>
          <cell r="AI108" t="str">
            <v>-</v>
          </cell>
          <cell r="AJ108" t="str">
            <v>-</v>
          </cell>
          <cell r="AK108" t="str">
            <v>-</v>
          </cell>
          <cell r="AM108" t="str">
            <v>-</v>
          </cell>
          <cell r="AN108" t="str">
            <v>-</v>
          </cell>
          <cell r="AO108" t="str">
            <v>-</v>
          </cell>
          <cell r="AP108" t="str">
            <v>-</v>
          </cell>
          <cell r="AQ108" t="str">
            <v>-</v>
          </cell>
          <cell r="AS108" t="str">
            <v>-</v>
          </cell>
          <cell r="AT108" t="str">
            <v>-</v>
          </cell>
          <cell r="AU108" t="str">
            <v>-</v>
          </cell>
          <cell r="AV108" t="str">
            <v>-</v>
          </cell>
          <cell r="AW108" t="str">
            <v>-</v>
          </cell>
          <cell r="AY108" t="str">
            <v>-</v>
          </cell>
          <cell r="AZ108" t="str">
            <v>-</v>
          </cell>
          <cell r="BA108" t="str">
            <v>-</v>
          </cell>
          <cell r="BB108" t="str">
            <v>-</v>
          </cell>
          <cell r="BC108" t="str">
            <v>-</v>
          </cell>
          <cell r="BE108">
            <v>0.27358599401785633</v>
          </cell>
          <cell r="BF108">
            <v>0.25814364193122408</v>
          </cell>
          <cell r="BG108">
            <v>0.24791711067757427</v>
          </cell>
          <cell r="BH108">
            <v>0.32894861697585043</v>
          </cell>
          <cell r="BI108">
            <v>0.27764984707150564</v>
          </cell>
          <cell r="BK108">
            <v>0.15714285714285714</v>
          </cell>
          <cell r="BL108">
            <v>0.18305084745762712</v>
          </cell>
          <cell r="BM108">
            <v>0.17001828153564902</v>
          </cell>
          <cell r="BN108">
            <v>0.20552677029360966</v>
          </cell>
          <cell r="BO108">
            <v>0.17926186291739898</v>
          </cell>
          <cell r="BQ108">
            <v>0.13840155945419108</v>
          </cell>
          <cell r="BR108">
            <v>0.13988657844990549</v>
          </cell>
          <cell r="BS108">
            <v>9.6707818930041101E-2</v>
          </cell>
          <cell r="BT108">
            <v>0.22222222222222221</v>
          </cell>
          <cell r="BU108">
            <v>0.15148609779482258</v>
          </cell>
          <cell r="BW108">
            <v>0.11974789915966388</v>
          </cell>
          <cell r="BX108">
            <v>0.1575984990619137</v>
          </cell>
          <cell r="BY108">
            <v>0.10260586319218246</v>
          </cell>
          <cell r="BZ108">
            <v>0.19602649006622519</v>
          </cell>
          <cell r="CA108">
            <v>0.14802354920100924</v>
          </cell>
          <cell r="CC108">
            <v>0.12087912087912089</v>
          </cell>
          <cell r="CD108">
            <v>0.14074074074074072</v>
          </cell>
          <cell r="CE108">
            <v>9.0909090909090939E-2</v>
          </cell>
          <cell r="CF108">
            <v>0.117852975495916</v>
          </cell>
          <cell r="CG108">
            <v>0.11760563380281686</v>
          </cell>
          <cell r="CI108">
            <v>8.1560283687943214E-2</v>
          </cell>
          <cell r="CJ108">
            <v>0.13909378292939933</v>
          </cell>
          <cell r="CK108">
            <v>0.10807860262008728</v>
          </cell>
          <cell r="CL108">
            <v>0.14046511627906977</v>
          </cell>
          <cell r="CM108">
            <v>0.11912308505018487</v>
          </cell>
          <cell r="CO108">
            <v>0.12464589235127477</v>
          </cell>
          <cell r="CP108">
            <v>0.14298093587521665</v>
          </cell>
          <cell r="CQ108">
            <v>0.11000901713255185</v>
          </cell>
          <cell r="CR108">
            <v>0.15573122529644268</v>
          </cell>
          <cell r="CS108">
            <v>0.13429256594724226</v>
          </cell>
          <cell r="CU108">
            <v>0.11734253666954275</v>
          </cell>
          <cell r="CV108">
            <v>0.17241379310344829</v>
          </cell>
          <cell r="CW108">
            <v>0.16470588235294115</v>
          </cell>
          <cell r="CX108">
            <v>0.17089201877934268</v>
          </cell>
          <cell r="CY108">
            <v>0.15565714285714283</v>
          </cell>
          <cell r="DA108">
            <v>0.14301430143014304</v>
          </cell>
          <cell r="DB108">
            <v>0.13465553235908145</v>
          </cell>
          <cell r="DC108">
            <v>0.1278195488721805</v>
          </cell>
          <cell r="DE108">
            <v>0.13338453661034311</v>
          </cell>
          <cell r="DG108">
            <v>0.16479400749063666</v>
          </cell>
          <cell r="DH108">
            <v>0.18565400843881852</v>
          </cell>
          <cell r="DI108">
            <v>0.17190226876090753</v>
          </cell>
          <cell r="DJ108">
            <v>0.20112179487179482</v>
          </cell>
          <cell r="DK108">
            <v>0.18162255218420487</v>
          </cell>
          <cell r="DM108">
            <v>0.21016949152542375</v>
          </cell>
          <cell r="DN108">
            <v>0.21779661016949148</v>
          </cell>
          <cell r="DO108">
            <v>0.1974340318811445</v>
          </cell>
          <cell r="DP108">
            <v>0.21141924820803759</v>
          </cell>
          <cell r="DQ108">
            <v>0.20931202939156623</v>
          </cell>
          <cell r="DS108">
            <v>0.12060301507537685</v>
          </cell>
          <cell r="DT108">
            <v>8.7128712871287095E-2</v>
          </cell>
          <cell r="DU108">
            <v>9.4117647058823528E-2</v>
          </cell>
          <cell r="DV108">
            <v>0.20102564102564102</v>
          </cell>
          <cell r="DW108">
            <v>0.1256704980842912</v>
          </cell>
          <cell r="DY108">
            <v>0.22222222222222221</v>
          </cell>
          <cell r="DZ108">
            <v>0.21480709071949944</v>
          </cell>
          <cell r="EA108">
            <v>0.19796380090497734</v>
          </cell>
          <cell r="EB108">
            <v>0.2053191489361702</v>
          </cell>
          <cell r="EC108">
            <v>0.21021345582275064</v>
          </cell>
          <cell r="EE108">
            <v>0.19883040935672514</v>
          </cell>
          <cell r="EF108">
            <v>0.19251336898395721</v>
          </cell>
          <cell r="EG108">
            <v>0.16550116550116545</v>
          </cell>
          <cell r="EH108">
            <v>0.1746384872080089</v>
          </cell>
          <cell r="EI108">
            <v>0.18297152523259097</v>
          </cell>
          <cell r="EK108">
            <v>0.18445475638051045</v>
          </cell>
          <cell r="EL108">
            <v>0.20673635307781646</v>
          </cell>
          <cell r="EM108">
            <v>0.16550116550116545</v>
          </cell>
          <cell r="EN108">
            <v>0.1746384872080089</v>
          </cell>
          <cell r="EO108">
            <v>0.18289337765178093</v>
          </cell>
          <cell r="EQ108">
            <v>0.18445475638051045</v>
          </cell>
          <cell r="ER108">
            <v>0.20673635307781646</v>
          </cell>
          <cell r="ES108">
            <v>0.16550116550116545</v>
          </cell>
          <cell r="ET108">
            <v>0.1746384872080089</v>
          </cell>
          <cell r="EU108">
            <v>0.18289337765178093</v>
          </cell>
          <cell r="EW108">
            <v>0.18445475638051045</v>
          </cell>
          <cell r="EX108">
            <v>0.20673635307781646</v>
          </cell>
          <cell r="EY108">
            <v>0.16550116550116545</v>
          </cell>
          <cell r="EZ108">
            <v>0.1746384872080089</v>
          </cell>
          <cell r="FA108">
            <v>0.18289337765178093</v>
          </cell>
        </row>
        <row r="109"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0</v>
          </cell>
          <cell r="BK109">
            <v>0</v>
          </cell>
          <cell r="BL109">
            <v>0</v>
          </cell>
          <cell r="BM109">
            <v>0</v>
          </cell>
          <cell r="BN109">
            <v>0</v>
          </cell>
          <cell r="BO109">
            <v>0</v>
          </cell>
          <cell r="BU109">
            <v>0</v>
          </cell>
          <cell r="CA109">
            <v>0</v>
          </cell>
          <cell r="CG109">
            <v>0</v>
          </cell>
          <cell r="CM109">
            <v>0</v>
          </cell>
          <cell r="CS109">
            <v>0</v>
          </cell>
          <cell r="CY109">
            <v>0</v>
          </cell>
          <cell r="DE109">
            <v>0</v>
          </cell>
          <cell r="DK109">
            <v>0</v>
          </cell>
          <cell r="DQ109">
            <v>0</v>
          </cell>
          <cell r="DW109">
            <v>0</v>
          </cell>
          <cell r="EC109">
            <v>0</v>
          </cell>
          <cell r="EI109">
            <v>0</v>
          </cell>
          <cell r="EO109">
            <v>0</v>
          </cell>
          <cell r="EU109">
            <v>0</v>
          </cell>
          <cell r="FA109">
            <v>0</v>
          </cell>
        </row>
        <row r="110"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51.241</v>
          </cell>
          <cell r="H110">
            <v>100.98699999999999</v>
          </cell>
          <cell r="I110">
            <v>160.428</v>
          </cell>
          <cell r="J110">
            <v>266.43</v>
          </cell>
          <cell r="K110">
            <v>281.56200000000001</v>
          </cell>
          <cell r="L110">
            <v>346.63299999999998</v>
          </cell>
          <cell r="M110">
            <v>499.21299999999997</v>
          </cell>
          <cell r="O110">
            <v>156.523</v>
          </cell>
          <cell r="P110">
            <v>187.578</v>
          </cell>
          <cell r="Q110">
            <v>196.68299999999999</v>
          </cell>
          <cell r="R110">
            <v>238.22800000000001</v>
          </cell>
          <cell r="S110">
            <v>779.01199999999994</v>
          </cell>
          <cell r="U110">
            <v>231.50899999999999</v>
          </cell>
          <cell r="V110">
            <v>255.422</v>
          </cell>
          <cell r="W110">
            <v>286.84300000000002</v>
          </cell>
          <cell r="X110">
            <v>322.23899999999998</v>
          </cell>
          <cell r="Y110">
            <v>1096.0129999999999</v>
          </cell>
          <cell r="AA110">
            <v>336.10700000000003</v>
          </cell>
          <cell r="AB110">
            <v>377.483</v>
          </cell>
          <cell r="AC110">
            <v>401.44099999999997</v>
          </cell>
          <cell r="AD110">
            <v>435.435</v>
          </cell>
          <cell r="AE110">
            <v>1550.4659999999999</v>
          </cell>
          <cell r="AG110">
            <v>468.16699999999997</v>
          </cell>
          <cell r="AH110">
            <v>548.63099999999997</v>
          </cell>
          <cell r="AI110">
            <v>586.39800000000002</v>
          </cell>
          <cell r="AJ110">
            <v>670.41200000000003</v>
          </cell>
          <cell r="AK110">
            <v>2273.6080000000002</v>
          </cell>
          <cell r="AM110">
            <v>679.29</v>
          </cell>
          <cell r="AN110">
            <v>779.84699999999998</v>
          </cell>
          <cell r="AO110">
            <v>792.02300000000002</v>
          </cell>
          <cell r="AP110">
            <v>812.98800000000006</v>
          </cell>
          <cell r="AQ110">
            <v>3064.1480000000001</v>
          </cell>
          <cell r="AS110">
            <v>756.75</v>
          </cell>
          <cell r="AT110">
            <v>753.17</v>
          </cell>
          <cell r="AU110">
            <v>707.26099999999997</v>
          </cell>
          <cell r="AV110">
            <v>725.49800000000005</v>
          </cell>
          <cell r="AW110">
            <v>2942.6790000000001</v>
          </cell>
          <cell r="AY110">
            <v>699.995</v>
          </cell>
          <cell r="AZ110">
            <v>721.86</v>
          </cell>
          <cell r="BA110">
            <v>730.30899999999997</v>
          </cell>
          <cell r="BB110">
            <v>744.89599999999996</v>
          </cell>
          <cell r="BC110">
            <v>2897.0599999999995</v>
          </cell>
          <cell r="BE110">
            <v>632.88200000000006</v>
          </cell>
          <cell r="BF110">
            <v>632.94099999999992</v>
          </cell>
          <cell r="BG110">
            <v>571.44399999999996</v>
          </cell>
          <cell r="BH110">
            <v>568.24400000000003</v>
          </cell>
          <cell r="BI110">
            <v>2405.511</v>
          </cell>
          <cell r="BK110">
            <v>589</v>
          </cell>
          <cell r="BL110">
            <v>599</v>
          </cell>
          <cell r="BM110">
            <v>574</v>
          </cell>
          <cell r="BN110">
            <v>580</v>
          </cell>
          <cell r="BO110">
            <v>2342</v>
          </cell>
          <cell r="BQ110">
            <v>563</v>
          </cell>
          <cell r="BR110">
            <v>598</v>
          </cell>
          <cell r="BS110">
            <v>582</v>
          </cell>
          <cell r="BT110">
            <v>574</v>
          </cell>
          <cell r="BU110">
            <v>2317</v>
          </cell>
          <cell r="BW110">
            <v>555</v>
          </cell>
          <cell r="BX110">
            <v>590</v>
          </cell>
          <cell r="BY110">
            <v>711</v>
          </cell>
          <cell r="BZ110">
            <v>786</v>
          </cell>
          <cell r="CA110">
            <v>2642</v>
          </cell>
          <cell r="CC110">
            <v>720</v>
          </cell>
          <cell r="CD110">
            <v>755</v>
          </cell>
          <cell r="CE110">
            <v>787</v>
          </cell>
          <cell r="CF110">
            <v>961</v>
          </cell>
          <cell r="CG110">
            <v>3223</v>
          </cell>
          <cell r="CI110">
            <v>974</v>
          </cell>
          <cell r="CJ110">
            <v>1019</v>
          </cell>
          <cell r="CK110">
            <v>1024</v>
          </cell>
          <cell r="CL110">
            <v>1150</v>
          </cell>
          <cell r="CM110">
            <v>4167</v>
          </cell>
          <cell r="CO110">
            <v>1151</v>
          </cell>
          <cell r="CP110">
            <v>1232</v>
          </cell>
          <cell r="CQ110">
            <v>1240</v>
          </cell>
          <cell r="CR110">
            <v>1335</v>
          </cell>
          <cell r="CS110">
            <v>4958</v>
          </cell>
          <cell r="CU110">
            <v>1302</v>
          </cell>
          <cell r="CV110">
            <v>1190</v>
          </cell>
          <cell r="CW110">
            <v>1105</v>
          </cell>
          <cell r="CX110">
            <v>1172</v>
          </cell>
          <cell r="CY110">
            <v>4769</v>
          </cell>
          <cell r="DA110">
            <v>1001</v>
          </cell>
          <cell r="DB110">
            <v>1089</v>
          </cell>
          <cell r="DC110">
            <v>1384</v>
          </cell>
          <cell r="DE110">
            <v>5699.3</v>
          </cell>
          <cell r="DG110">
            <v>2051</v>
          </cell>
          <cell r="DH110">
            <v>2148</v>
          </cell>
          <cell r="DI110">
            <v>2001</v>
          </cell>
          <cell r="DJ110">
            <v>2163</v>
          </cell>
          <cell r="DK110">
            <v>8363</v>
          </cell>
          <cell r="DM110">
            <v>1978</v>
          </cell>
          <cell r="DN110">
            <v>1943</v>
          </cell>
          <cell r="DO110">
            <v>1896</v>
          </cell>
          <cell r="DP110">
            <v>1993</v>
          </cell>
          <cell r="DQ110">
            <v>7810</v>
          </cell>
          <cell r="DS110">
            <v>1760</v>
          </cell>
          <cell r="DT110">
            <v>1779</v>
          </cell>
          <cell r="DU110">
            <v>1702</v>
          </cell>
          <cell r="DV110">
            <v>1894</v>
          </cell>
          <cell r="DW110">
            <v>7135</v>
          </cell>
          <cell r="DY110">
            <v>1701</v>
          </cell>
          <cell r="DZ110">
            <v>1791</v>
          </cell>
          <cell r="EA110">
            <v>1758</v>
          </cell>
          <cell r="EB110">
            <v>1907</v>
          </cell>
          <cell r="EC110">
            <v>7157</v>
          </cell>
          <cell r="EE110">
            <v>1665</v>
          </cell>
          <cell r="EF110">
            <v>1879</v>
          </cell>
          <cell r="EG110">
            <v>1879</v>
          </cell>
          <cell r="EH110">
            <v>2031</v>
          </cell>
          <cell r="EI110">
            <v>7454</v>
          </cell>
          <cell r="EK110">
            <v>1828</v>
          </cell>
          <cell r="EL110">
            <v>1832</v>
          </cell>
          <cell r="EM110">
            <v>1917.1069566606475</v>
          </cell>
          <cell r="EN110">
            <v>1942.596089896482</v>
          </cell>
          <cell r="EO110">
            <v>7519.7030465571297</v>
          </cell>
          <cell r="EQ110">
            <v>1827.640567759021</v>
          </cell>
          <cell r="ER110">
            <v>1832.1028049008914</v>
          </cell>
          <cell r="ES110">
            <v>1899.5439442494164</v>
          </cell>
          <cell r="ET110">
            <v>1963.9029546799645</v>
          </cell>
          <cell r="EU110">
            <v>7523.1902715892938</v>
          </cell>
          <cell r="EW110">
            <v>1803.8283647603032</v>
          </cell>
          <cell r="EX110">
            <v>1801.4959456011254</v>
          </cell>
          <cell r="EY110">
            <v>1846.2102402457658</v>
          </cell>
          <cell r="EZ110">
            <v>1864.4867318229474</v>
          </cell>
          <cell r="FA110">
            <v>7316.0212824301416</v>
          </cell>
        </row>
        <row r="111"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0</v>
          </cell>
          <cell r="BK111">
            <v>0</v>
          </cell>
          <cell r="BL111">
            <v>0</v>
          </cell>
          <cell r="BM111">
            <v>0</v>
          </cell>
          <cell r="BN111">
            <v>0</v>
          </cell>
          <cell r="BO111">
            <v>0</v>
          </cell>
          <cell r="BQ111">
            <v>0</v>
          </cell>
          <cell r="BR111">
            <v>0</v>
          </cell>
          <cell r="BS111">
            <v>0</v>
          </cell>
          <cell r="BT111">
            <v>0</v>
          </cell>
          <cell r="BU111">
            <v>0</v>
          </cell>
          <cell r="BW111">
            <v>0</v>
          </cell>
          <cell r="BX111">
            <v>0</v>
          </cell>
          <cell r="BY111">
            <v>0</v>
          </cell>
          <cell r="BZ111">
            <v>0</v>
          </cell>
          <cell r="CA111">
            <v>0</v>
          </cell>
          <cell r="CC111">
            <v>0</v>
          </cell>
          <cell r="CD111">
            <v>0</v>
          </cell>
          <cell r="CE111">
            <v>0</v>
          </cell>
          <cell r="CF111">
            <v>0</v>
          </cell>
          <cell r="CG111">
            <v>0</v>
          </cell>
          <cell r="CI111">
            <v>0</v>
          </cell>
          <cell r="CJ111">
            <v>0</v>
          </cell>
          <cell r="CK111">
            <v>0</v>
          </cell>
          <cell r="CL111">
            <v>0</v>
          </cell>
          <cell r="CM111">
            <v>0</v>
          </cell>
          <cell r="CO111">
            <v>0</v>
          </cell>
          <cell r="CP111">
            <v>0</v>
          </cell>
          <cell r="CQ111">
            <v>0</v>
          </cell>
          <cell r="CR111">
            <v>0</v>
          </cell>
          <cell r="CS111">
            <v>0</v>
          </cell>
          <cell r="CU111">
            <v>0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DA111">
            <v>0</v>
          </cell>
          <cell r="DB111">
            <v>0</v>
          </cell>
          <cell r="DC111">
            <v>0</v>
          </cell>
          <cell r="DE111">
            <v>0</v>
          </cell>
          <cell r="DG111">
            <v>0</v>
          </cell>
          <cell r="DH111">
            <v>0</v>
          </cell>
          <cell r="DI111">
            <v>0</v>
          </cell>
          <cell r="DJ111">
            <v>0</v>
          </cell>
          <cell r="DK111">
            <v>0</v>
          </cell>
          <cell r="DM111">
            <v>0</v>
          </cell>
          <cell r="DN111">
            <v>0</v>
          </cell>
          <cell r="DO111">
            <v>0</v>
          </cell>
          <cell r="DP111">
            <v>0</v>
          </cell>
          <cell r="DQ111">
            <v>0</v>
          </cell>
          <cell r="DS111">
            <v>0</v>
          </cell>
          <cell r="DT111">
            <v>0</v>
          </cell>
          <cell r="DU111">
            <v>0</v>
          </cell>
          <cell r="DV111">
            <v>0</v>
          </cell>
          <cell r="DW111">
            <v>0</v>
          </cell>
          <cell r="DY111">
            <v>0</v>
          </cell>
          <cell r="DZ111">
            <v>0</v>
          </cell>
          <cell r="EA111">
            <v>0</v>
          </cell>
          <cell r="EB111">
            <v>0</v>
          </cell>
          <cell r="EC111">
            <v>0</v>
          </cell>
          <cell r="EE111">
            <v>0</v>
          </cell>
          <cell r="EF111">
            <v>0</v>
          </cell>
          <cell r="EG111">
            <v>0</v>
          </cell>
          <cell r="EH111">
            <v>0</v>
          </cell>
          <cell r="EI111">
            <v>0</v>
          </cell>
          <cell r="EK111">
            <v>0</v>
          </cell>
          <cell r="EL111">
            <v>0</v>
          </cell>
          <cell r="EM111">
            <v>0</v>
          </cell>
          <cell r="EN111">
            <v>0</v>
          </cell>
          <cell r="EO111">
            <v>0</v>
          </cell>
          <cell r="EQ111">
            <v>0</v>
          </cell>
          <cell r="ER111">
            <v>0</v>
          </cell>
          <cell r="ES111">
            <v>0</v>
          </cell>
          <cell r="ET111">
            <v>0</v>
          </cell>
          <cell r="EU111">
            <v>0</v>
          </cell>
          <cell r="EW111">
            <v>0</v>
          </cell>
          <cell r="EX111">
            <v>0</v>
          </cell>
          <cell r="EY111">
            <v>0</v>
          </cell>
          <cell r="EZ111">
            <v>0</v>
          </cell>
          <cell r="FA111">
            <v>0</v>
          </cell>
        </row>
        <row r="112">
          <cell r="C112">
            <v>12.715</v>
          </cell>
          <cell r="D112">
            <v>23.150999999999996</v>
          </cell>
          <cell r="E112">
            <v>55.344999999999999</v>
          </cell>
          <cell r="F112">
            <v>131.249</v>
          </cell>
          <cell r="G112">
            <v>230.87200000000001</v>
          </cell>
          <cell r="H112">
            <v>482.81299999999999</v>
          </cell>
          <cell r="I112">
            <v>755.96199999999999</v>
          </cell>
          <cell r="J112">
            <v>761.51900000000001</v>
          </cell>
          <cell r="K112">
            <v>897.43799999999999</v>
          </cell>
          <cell r="L112">
            <v>1156.367</v>
          </cell>
          <cell r="M112">
            <v>1501.934</v>
          </cell>
          <cell r="O112">
            <v>399.95100000000002</v>
          </cell>
          <cell r="P112">
            <v>482.702</v>
          </cell>
          <cell r="Q112">
            <v>525.56200000000001</v>
          </cell>
          <cell r="R112">
            <v>779.65100000000007</v>
          </cell>
          <cell r="S112">
            <v>2187.866</v>
          </cell>
          <cell r="U112">
            <v>540.29399999999998</v>
          </cell>
          <cell r="V112">
            <v>711.57799999999997</v>
          </cell>
          <cell r="W112">
            <v>733.39599999999996</v>
          </cell>
          <cell r="X112">
            <v>1141.8349999999998</v>
          </cell>
          <cell r="Y112">
            <v>3127.1029999999996</v>
          </cell>
          <cell r="AA112">
            <v>716.21199999999999</v>
          </cell>
          <cell r="AB112">
            <v>933.8900000000001</v>
          </cell>
          <cell r="AC112">
            <v>971.1719999999998</v>
          </cell>
          <cell r="AD112">
            <v>1512.596</v>
          </cell>
          <cell r="AE112">
            <v>4133.87</v>
          </cell>
          <cell r="AG112">
            <v>900.66100000000006</v>
          </cell>
          <cell r="AH112">
            <v>1065.096</v>
          </cell>
          <cell r="AI112">
            <v>1162.3589999999999</v>
          </cell>
          <cell r="AJ112">
            <v>1742.1409999999998</v>
          </cell>
          <cell r="AK112">
            <v>4870.2569999999996</v>
          </cell>
          <cell r="AM112">
            <v>1069.82</v>
          </cell>
          <cell r="AN112">
            <v>1276.0970000000004</v>
          </cell>
          <cell r="AO112">
            <v>1286.8969999999999</v>
          </cell>
          <cell r="AP112">
            <v>2130.29</v>
          </cell>
          <cell r="AQ112">
            <v>5763.1040000000003</v>
          </cell>
          <cell r="AS112">
            <v>1227.7670000000001</v>
          </cell>
          <cell r="AT112">
            <v>1568.7129999999997</v>
          </cell>
          <cell r="AU112">
            <v>1742.1569999999997</v>
          </cell>
          <cell r="AV112">
            <v>2648.8120000000004</v>
          </cell>
          <cell r="AW112">
            <v>7187.4489999999987</v>
          </cell>
          <cell r="AY112">
            <v>1587.9970000000003</v>
          </cell>
          <cell r="AZ112">
            <v>1964.5479999999998</v>
          </cell>
          <cell r="BA112">
            <v>1965.7529999999999</v>
          </cell>
          <cell r="BB112">
            <v>2545.3339999999998</v>
          </cell>
          <cell r="BC112">
            <v>8063.6319999999996</v>
          </cell>
          <cell r="BE112">
            <v>1632.1729999999998</v>
          </cell>
          <cell r="BF112">
            <v>1747.4960000000001</v>
          </cell>
          <cell r="BG112">
            <v>1681.8759999999997</v>
          </cell>
          <cell r="BH112">
            <v>2205.7370000000001</v>
          </cell>
          <cell r="BI112">
            <v>7267.2820000000002</v>
          </cell>
          <cell r="BK112">
            <v>1439</v>
          </cell>
          <cell r="BL112">
            <v>1710</v>
          </cell>
          <cell r="BM112">
            <v>1733</v>
          </cell>
          <cell r="BN112">
            <v>2251.4</v>
          </cell>
          <cell r="BO112">
            <v>7133.4</v>
          </cell>
          <cell r="BQ112">
            <v>1509</v>
          </cell>
          <cell r="BR112">
            <v>1900</v>
          </cell>
          <cell r="BS112">
            <v>1927</v>
          </cell>
          <cell r="BT112">
            <v>2503</v>
          </cell>
          <cell r="BU112">
            <v>7839</v>
          </cell>
          <cell r="BW112">
            <v>1660</v>
          </cell>
          <cell r="BX112">
            <v>2166</v>
          </cell>
          <cell r="BY112">
            <v>2382</v>
          </cell>
          <cell r="BZ112">
            <v>3269</v>
          </cell>
          <cell r="CA112">
            <v>9477</v>
          </cell>
          <cell r="CC112">
            <v>2187</v>
          </cell>
          <cell r="CD112">
            <v>2639</v>
          </cell>
          <cell r="CE112">
            <v>2747.4</v>
          </cell>
          <cell r="CF112">
            <v>3976</v>
          </cell>
          <cell r="CG112">
            <v>11549.4</v>
          </cell>
          <cell r="CI112">
            <v>2687</v>
          </cell>
          <cell r="CJ112">
            <v>3197</v>
          </cell>
          <cell r="CK112">
            <v>3425</v>
          </cell>
          <cell r="CL112">
            <v>4733</v>
          </cell>
          <cell r="CM112">
            <v>14042</v>
          </cell>
          <cell r="CO112">
            <v>3442</v>
          </cell>
          <cell r="CP112">
            <v>4132</v>
          </cell>
          <cell r="CQ112">
            <v>4131</v>
          </cell>
          <cell r="CR112">
            <v>5946</v>
          </cell>
          <cell r="CS112">
            <v>17651</v>
          </cell>
          <cell r="CU112">
            <v>4120</v>
          </cell>
          <cell r="CV112">
            <v>4497</v>
          </cell>
          <cell r="CW112">
            <v>4399</v>
          </cell>
          <cell r="CX112">
            <v>5709</v>
          </cell>
          <cell r="CY112">
            <v>18725</v>
          </cell>
          <cell r="DA112">
            <v>4062</v>
          </cell>
          <cell r="DB112">
            <v>4783</v>
          </cell>
          <cell r="DC112">
            <v>5085.3999999999996</v>
          </cell>
          <cell r="DE112">
            <v>21336.100000000002</v>
          </cell>
          <cell r="DG112">
            <v>5537</v>
          </cell>
          <cell r="DH112">
            <v>6546</v>
          </cell>
          <cell r="DI112">
            <v>6806</v>
          </cell>
          <cell r="DJ112">
            <v>8643</v>
          </cell>
          <cell r="DK112">
            <v>27532</v>
          </cell>
          <cell r="DM112">
            <v>6420</v>
          </cell>
          <cell r="DN112">
            <v>6868</v>
          </cell>
          <cell r="DO112">
            <v>7166.3392000000003</v>
          </cell>
          <cell r="DP112">
            <v>8957.1597000000002</v>
          </cell>
          <cell r="DQ112">
            <v>29411.498900000006</v>
          </cell>
          <cell r="DS112">
            <v>6449</v>
          </cell>
          <cell r="DT112">
            <v>7334</v>
          </cell>
          <cell r="DU112">
            <v>7268</v>
          </cell>
          <cell r="DV112">
            <v>9067</v>
          </cell>
          <cell r="DW112">
            <v>30118</v>
          </cell>
          <cell r="DY112">
            <v>6680</v>
          </cell>
          <cell r="DZ112">
            <v>7492</v>
          </cell>
          <cell r="EA112">
            <v>7557</v>
          </cell>
          <cell r="EB112">
            <v>9419</v>
          </cell>
          <cell r="EC112">
            <v>31148</v>
          </cell>
          <cell r="EE112">
            <v>6934</v>
          </cell>
          <cell r="EF112">
            <v>7729</v>
          </cell>
          <cell r="EG112">
            <v>7455</v>
          </cell>
          <cell r="EH112">
            <v>8681</v>
          </cell>
          <cell r="EI112">
            <v>30799</v>
          </cell>
          <cell r="EK112">
            <v>6623</v>
          </cell>
          <cell r="EL112">
            <v>7164</v>
          </cell>
          <cell r="EM112">
            <v>7213.1401953393524</v>
          </cell>
          <cell r="EN112">
            <v>8450.0667461035173</v>
          </cell>
          <cell r="EO112">
            <v>29450.20694144287</v>
          </cell>
          <cell r="EQ112">
            <v>6804.3409594409804</v>
          </cell>
          <cell r="ER112">
            <v>7276.7940364359074</v>
          </cell>
          <cell r="ES112">
            <v>7285.2266748248794</v>
          </cell>
          <cell r="ET112">
            <v>8346.6071391444202</v>
          </cell>
          <cell r="EU112">
            <v>29712.968809846185</v>
          </cell>
          <cell r="EW112">
            <v>6890.0007114159771</v>
          </cell>
          <cell r="EX112">
            <v>7327.875044528555</v>
          </cell>
          <cell r="EY112">
            <v>7358.2813624545925</v>
          </cell>
          <cell r="EZ112">
            <v>8311.2189457650038</v>
          </cell>
          <cell r="FA112">
            <v>29887.376064164127</v>
          </cell>
        </row>
        <row r="113">
          <cell r="C113" t="str">
            <v>-</v>
          </cell>
          <cell r="D113" t="str">
            <v>-</v>
          </cell>
          <cell r="E113" t="str">
            <v>-</v>
          </cell>
          <cell r="F113" t="str">
            <v>-</v>
          </cell>
          <cell r="G113">
            <v>0.8183671082155024</v>
          </cell>
          <cell r="H113">
            <v>0.82701781431997268</v>
          </cell>
          <cell r="I113">
            <v>0.82493479850282081</v>
          </cell>
          <cell r="J113">
            <v>0.74081398979910473</v>
          </cell>
          <cell r="K113">
            <v>0.76118575063613225</v>
          </cell>
          <cell r="L113">
            <v>0.76937258815701925</v>
          </cell>
          <cell r="M113">
            <v>0.75053656727866569</v>
          </cell>
          <cell r="N113">
            <v>0</v>
          </cell>
          <cell r="O113">
            <v>0.71872360613433872</v>
          </cell>
          <cell r="P113">
            <v>0.7201497881482366</v>
          </cell>
          <cell r="Q113">
            <v>0.7276782809157557</v>
          </cell>
          <cell r="R113">
            <v>0.76595646437346687</v>
          </cell>
          <cell r="S113">
            <v>0.73743038979021047</v>
          </cell>
          <cell r="T113">
            <v>0</v>
          </cell>
          <cell r="U113">
            <v>0.70004133179062533</v>
          </cell>
          <cell r="V113">
            <v>0.7358614270941054</v>
          </cell>
          <cell r="W113">
            <v>0.71884725049718734</v>
          </cell>
          <cell r="X113">
            <v>0.7799025185885412</v>
          </cell>
          <cell r="Y113">
            <v>0.74047291147105587</v>
          </cell>
          <cell r="Z113">
            <v>0</v>
          </cell>
          <cell r="AA113">
            <v>0.68060350521087243</v>
          </cell>
          <cell r="AB113">
            <v>0.71214673475815049</v>
          </cell>
          <cell r="AC113">
            <v>0.70753519018106337</v>
          </cell>
          <cell r="AD113">
            <v>0.7764742963536001</v>
          </cell>
          <cell r="AE113">
            <v>0.72723885428306845</v>
          </cell>
          <cell r="AF113">
            <v>0</v>
          </cell>
          <cell r="AG113">
            <v>0.65797967312182393</v>
          </cell>
          <cell r="AH113">
            <v>0.66002242014913304</v>
          </cell>
          <cell r="AI113">
            <v>0.66467725361499619</v>
          </cell>
          <cell r="AJ113">
            <v>0.72211512037248504</v>
          </cell>
          <cell r="AK113">
            <v>0.68173978651612255</v>
          </cell>
          <cell r="AL113">
            <v>0</v>
          </cell>
          <cell r="AM113">
            <v>0.6116367752742824</v>
          </cell>
          <cell r="AN113">
            <v>0.62068665294385461</v>
          </cell>
          <cell r="AO113">
            <v>0.61902189598445345</v>
          </cell>
          <cell r="AP113">
            <v>0.72378144368285979</v>
          </cell>
          <cell r="AQ113">
            <v>0.65287634249027893</v>
          </cell>
          <cell r="AR113">
            <v>0</v>
          </cell>
          <cell r="AS113">
            <v>0.61867295669424849</v>
          </cell>
          <cell r="AT113">
            <v>0.67562103689117836</v>
          </cell>
          <cell r="AU113">
            <v>0.71125344877844454</v>
          </cell>
          <cell r="AV113">
            <v>0.78499367278050924</v>
          </cell>
          <cell r="AW113">
            <v>0.70951216016224061</v>
          </cell>
          <cell r="AX113">
            <v>0</v>
          </cell>
          <cell r="AY113">
            <v>0.6940570596400687</v>
          </cell>
          <cell r="AZ113">
            <v>0.7312917471955116</v>
          </cell>
          <cell r="BA113">
            <v>0.72912010183742071</v>
          </cell>
          <cell r="BB113">
            <v>0.77360366904441324</v>
          </cell>
          <cell r="BC113">
            <v>0.73568639644285239</v>
          </cell>
          <cell r="BD113">
            <v>0</v>
          </cell>
          <cell r="BE113">
            <v>0.72058868327700643</v>
          </cell>
          <cell r="BF113">
            <v>0.7341072248498911</v>
          </cell>
          <cell r="BG113">
            <v>0.74639909111888236</v>
          </cell>
          <cell r="BH113">
            <v>0.79515216578628334</v>
          </cell>
          <cell r="BI113">
            <v>0.75131164287295304</v>
          </cell>
          <cell r="BJ113">
            <v>0</v>
          </cell>
          <cell r="BK113">
            <v>0.70956607495069035</v>
          </cell>
          <cell r="BL113">
            <v>0.74058033780857513</v>
          </cell>
          <cell r="BM113">
            <v>0.75119202427394882</v>
          </cell>
          <cell r="BN113">
            <v>0.79515434060888612</v>
          </cell>
          <cell r="BO113">
            <v>0.75283365346053988</v>
          </cell>
          <cell r="BP113">
            <v>0</v>
          </cell>
          <cell r="BQ113">
            <v>0.72828185328185324</v>
          </cell>
          <cell r="BR113">
            <v>0.76060848678943149</v>
          </cell>
          <cell r="BS113">
            <v>0.7680350737345556</v>
          </cell>
          <cell r="BT113">
            <v>0.81345466363340913</v>
          </cell>
          <cell r="BU113">
            <v>0.77185899960614412</v>
          </cell>
          <cell r="BV113">
            <v>0</v>
          </cell>
          <cell r="BW113">
            <v>0.74943566591422117</v>
          </cell>
          <cell r="BX113">
            <v>0.78592162554426703</v>
          </cell>
          <cell r="BY113">
            <v>0.77012609117361785</v>
          </cell>
          <cell r="BZ113">
            <v>0.80616522811344016</v>
          </cell>
          <cell r="CA113">
            <v>0.78199521412657813</v>
          </cell>
          <cell r="CB113">
            <v>0</v>
          </cell>
          <cell r="CC113">
            <v>0.75232198142414863</v>
          </cell>
          <cell r="CD113">
            <v>0.77754861520329999</v>
          </cell>
          <cell r="CE113">
            <v>0.77733137166138522</v>
          </cell>
          <cell r="CF113">
            <v>0.80534737694956449</v>
          </cell>
          <cell r="CG113">
            <v>0.7818228588448729</v>
          </cell>
          <cell r="CH113">
            <v>0</v>
          </cell>
          <cell r="CI113">
            <v>0.73395247200218516</v>
          </cell>
          <cell r="CJ113">
            <v>0.75830170777988615</v>
          </cell>
          <cell r="CK113">
            <v>0.76983591818386155</v>
          </cell>
          <cell r="CL113">
            <v>0.80452150263471023</v>
          </cell>
          <cell r="CM113">
            <v>0.77115712010544235</v>
          </cell>
          <cell r="CN113">
            <v>0</v>
          </cell>
          <cell r="CO113">
            <v>0.749401262791204</v>
          </cell>
          <cell r="CP113">
            <v>0.77032065622669654</v>
          </cell>
          <cell r="CQ113">
            <v>0.76913051573263824</v>
          </cell>
          <cell r="CR113">
            <v>0.81664606510094773</v>
          </cell>
          <cell r="CS113">
            <v>0.78070679817771682</v>
          </cell>
          <cell r="CT113">
            <v>0</v>
          </cell>
          <cell r="CU113">
            <v>0.75986720767244564</v>
          </cell>
          <cell r="CV113">
            <v>0.79075083523826273</v>
          </cell>
          <cell r="CW113">
            <v>0.79923691860465118</v>
          </cell>
          <cell r="CX113">
            <v>0.82967591919779105</v>
          </cell>
          <cell r="CY113">
            <v>0.79701200306461228</v>
          </cell>
          <cell r="CZ113">
            <v>0</v>
          </cell>
          <cell r="DA113">
            <v>0.80229113174007505</v>
          </cell>
          <cell r="DB113">
            <v>0.81454359673024523</v>
          </cell>
          <cell r="DC113">
            <v>0.78606980554610939</v>
          </cell>
          <cell r="DD113">
            <v>0.76894403488734298</v>
          </cell>
          <cell r="DE113">
            <v>0.78919120856358704</v>
          </cell>
          <cell r="DF113">
            <v>0</v>
          </cell>
          <cell r="DG113">
            <v>0.72970479704797053</v>
          </cell>
          <cell r="DH113">
            <v>0.75293305728088333</v>
          </cell>
          <cell r="DI113">
            <v>0.77279436811627111</v>
          </cell>
          <cell r="DJ113">
            <v>0.79983342587451411</v>
          </cell>
          <cell r="DK113">
            <v>0.76701490458281096</v>
          </cell>
          <cell r="DL113">
            <v>0</v>
          </cell>
          <cell r="DM113">
            <v>0.76446773041200289</v>
          </cell>
          <cell r="DN113">
            <v>0.77948019521053225</v>
          </cell>
          <cell r="DO113">
            <v>0.79078249465656725</v>
          </cell>
          <cell r="DP113">
            <v>0.81799352204881537</v>
          </cell>
          <cell r="DQ113">
            <v>0.79017502704599574</v>
          </cell>
          <cell r="DR113">
            <v>0</v>
          </cell>
          <cell r="DS113">
            <v>0.7856011694481666</v>
          </cell>
          <cell r="DT113">
            <v>0.80478437397124991</v>
          </cell>
          <cell r="DU113">
            <v>0.81025641025641026</v>
          </cell>
          <cell r="DV113">
            <v>0.82720554693914794</v>
          </cell>
          <cell r="DW113">
            <v>0.80847180092878423</v>
          </cell>
          <cell r="DX113">
            <v>0</v>
          </cell>
          <cell r="DY113">
            <v>0.79704092590383013</v>
          </cell>
          <cell r="DZ113">
            <v>0.80706668102983947</v>
          </cell>
          <cell r="EA113">
            <v>0.8112721417069243</v>
          </cell>
          <cell r="EB113">
            <v>0.83162634645947375</v>
          </cell>
          <cell r="EC113">
            <v>0.8131575512335204</v>
          </cell>
          <cell r="ED113">
            <v>0</v>
          </cell>
          <cell r="EE113">
            <v>0.806372834050471</v>
          </cell>
          <cell r="EF113">
            <v>0.80443380516236473</v>
          </cell>
          <cell r="EG113">
            <v>0.7986929505035355</v>
          </cell>
          <cell r="EH113">
            <v>0.81039955190440627</v>
          </cell>
          <cell r="EI113">
            <v>0.80513946618565868</v>
          </cell>
          <cell r="EJ113">
            <v>0</v>
          </cell>
          <cell r="EK113">
            <v>0.78369423736835875</v>
          </cell>
          <cell r="EL113">
            <v>0.79635393508225882</v>
          </cell>
          <cell r="EM113">
            <v>0.79002682788924272</v>
          </cell>
          <cell r="EN113">
            <v>0.81308004305043324</v>
          </cell>
          <cell r="EO113">
            <v>0.79659936827008948</v>
          </cell>
          <cell r="EP113">
            <v>0</v>
          </cell>
          <cell r="EQ113">
            <v>0.78827102884778044</v>
          </cell>
          <cell r="ER113">
            <v>0.79886666444758903</v>
          </cell>
          <cell r="ES113">
            <v>0.79318547811040863</v>
          </cell>
          <cell r="ET113">
            <v>0.80952417127681486</v>
          </cell>
          <cell r="EU113">
            <v>0.79796008887124803</v>
          </cell>
          <cell r="EV113">
            <v>0</v>
          </cell>
          <cell r="EW113">
            <v>0.79251623778717506</v>
          </cell>
          <cell r="EX113">
            <v>0.80267031019455415</v>
          </cell>
          <cell r="EY113">
            <v>0.79942289917412324</v>
          </cell>
          <cell r="EZ113">
            <v>0.81677076844611474</v>
          </cell>
          <cell r="FA113">
            <v>0.80335072051961742</v>
          </cell>
          <cell r="FB113">
            <v>0</v>
          </cell>
          <cell r="FC113">
            <v>0.77117026742678185</v>
          </cell>
          <cell r="FD113">
            <v>0.77539553452609788</v>
          </cell>
          <cell r="FE113">
            <v>0.7867513993518791</v>
          </cell>
          <cell r="FF113">
            <v>0.81273584905660379</v>
          </cell>
          <cell r="FG113">
            <v>0.75887210336479072</v>
          </cell>
          <cell r="FH113">
            <v>0.7804301776112107</v>
          </cell>
          <cell r="FI113">
            <v>0.80104192586337353</v>
          </cell>
          <cell r="FJ113">
            <v>0.81146429046415747</v>
          </cell>
          <cell r="FK113">
            <v>0.81443060131795719</v>
          </cell>
          <cell r="FL113">
            <v>0.79809564452031045</v>
          </cell>
          <cell r="FM113">
            <v>0.79821036049068328</v>
          </cell>
          <cell r="FN113">
            <v>0.7998640069653451</v>
          </cell>
          <cell r="FQ113">
            <v>0</v>
          </cell>
          <cell r="FR113">
            <v>0</v>
          </cell>
          <cell r="FS113">
            <v>0</v>
          </cell>
          <cell r="FT113">
            <v>0</v>
          </cell>
          <cell r="FU113">
            <v>0</v>
          </cell>
          <cell r="FV113">
            <v>0</v>
          </cell>
          <cell r="FX113">
            <v>0</v>
          </cell>
          <cell r="FY113">
            <v>0</v>
          </cell>
          <cell r="FZ113">
            <v>0</v>
          </cell>
          <cell r="GA113">
            <v>0</v>
          </cell>
          <cell r="GB113">
            <v>0</v>
          </cell>
          <cell r="GC113">
            <v>0</v>
          </cell>
          <cell r="GD113">
            <v>0</v>
          </cell>
          <cell r="GE113">
            <v>0</v>
          </cell>
          <cell r="GF113">
            <v>0</v>
          </cell>
          <cell r="GG113">
            <v>0</v>
          </cell>
          <cell r="GH113">
            <v>0</v>
          </cell>
          <cell r="GI113">
            <v>0</v>
          </cell>
          <cell r="GJ113">
            <v>0</v>
          </cell>
          <cell r="GK113">
            <v>0</v>
          </cell>
          <cell r="GL113">
            <v>0</v>
          </cell>
          <cell r="GM113">
            <v>0</v>
          </cell>
          <cell r="GN113">
            <v>0</v>
          </cell>
          <cell r="GO113">
            <v>0</v>
          </cell>
          <cell r="GP113">
            <v>0</v>
          </cell>
          <cell r="GQ113">
            <v>0</v>
          </cell>
          <cell r="GR113">
            <v>0</v>
          </cell>
          <cell r="GS113">
            <v>0</v>
          </cell>
          <cell r="GT113">
            <v>0</v>
          </cell>
          <cell r="GU113">
            <v>0</v>
          </cell>
          <cell r="GV113">
            <v>0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</row>
        <row r="114"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O114">
            <v>0</v>
          </cell>
          <cell r="P114">
            <v>0</v>
          </cell>
          <cell r="Q114">
            <v>0</v>
          </cell>
          <cell r="R114">
            <v>0</v>
          </cell>
          <cell r="S114">
            <v>0</v>
          </cell>
          <cell r="U114">
            <v>0</v>
          </cell>
          <cell r="V114">
            <v>0</v>
          </cell>
          <cell r="W114">
            <v>0</v>
          </cell>
          <cell r="X114">
            <v>0</v>
          </cell>
          <cell r="Y114">
            <v>0</v>
          </cell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M114">
            <v>0</v>
          </cell>
          <cell r="AN114">
            <v>0</v>
          </cell>
          <cell r="AO114">
            <v>0</v>
          </cell>
          <cell r="AP114">
            <v>0</v>
          </cell>
          <cell r="AQ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0</v>
          </cell>
          <cell r="BK114">
            <v>0</v>
          </cell>
          <cell r="BL114">
            <v>0</v>
          </cell>
          <cell r="BM114">
            <v>0</v>
          </cell>
          <cell r="BN114">
            <v>0</v>
          </cell>
          <cell r="BO114">
            <v>0</v>
          </cell>
          <cell r="BU114">
            <v>0</v>
          </cell>
          <cell r="CA114">
            <v>0</v>
          </cell>
          <cell r="CG114">
            <v>0</v>
          </cell>
          <cell r="CM114">
            <v>0</v>
          </cell>
          <cell r="CS114">
            <v>0</v>
          </cell>
          <cell r="CY114">
            <v>0</v>
          </cell>
          <cell r="DE114">
            <v>0</v>
          </cell>
          <cell r="DK114">
            <v>0</v>
          </cell>
          <cell r="DQ114">
            <v>0</v>
          </cell>
          <cell r="DW114">
            <v>0</v>
          </cell>
          <cell r="EC114">
            <v>0</v>
          </cell>
          <cell r="EI114">
            <v>0</v>
          </cell>
          <cell r="EO114">
            <v>0</v>
          </cell>
          <cell r="EU114">
            <v>0</v>
          </cell>
          <cell r="FA114">
            <v>0</v>
          </cell>
        </row>
        <row r="115"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O115">
            <v>0</v>
          </cell>
          <cell r="P115">
            <v>0</v>
          </cell>
          <cell r="Q115">
            <v>0</v>
          </cell>
          <cell r="R115">
            <v>0</v>
          </cell>
          <cell r="S115">
            <v>0</v>
          </cell>
          <cell r="U115">
            <v>0</v>
          </cell>
          <cell r="V115">
            <v>0</v>
          </cell>
          <cell r="W115">
            <v>0</v>
          </cell>
          <cell r="X115">
            <v>0</v>
          </cell>
          <cell r="Y115">
            <v>0</v>
          </cell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G115">
            <v>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0</v>
          </cell>
          <cell r="AQ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0</v>
          </cell>
          <cell r="BK115">
            <v>0</v>
          </cell>
          <cell r="BL115">
            <v>0</v>
          </cell>
          <cell r="BM115">
            <v>0</v>
          </cell>
          <cell r="BN115">
            <v>0</v>
          </cell>
          <cell r="BO115">
            <v>0</v>
          </cell>
          <cell r="BQ115">
            <v>0</v>
          </cell>
          <cell r="BT115">
            <v>0</v>
          </cell>
          <cell r="BU115">
            <v>0</v>
          </cell>
          <cell r="BW115">
            <v>0</v>
          </cell>
          <cell r="BX115">
            <v>0</v>
          </cell>
          <cell r="CF115">
            <v>0</v>
          </cell>
          <cell r="CG115">
            <v>0</v>
          </cell>
          <cell r="CI115">
            <v>0</v>
          </cell>
          <cell r="CJ115">
            <v>0</v>
          </cell>
          <cell r="CM115">
            <v>0</v>
          </cell>
          <cell r="CS115">
            <v>0</v>
          </cell>
          <cell r="CU115">
            <v>-0.27759418374091205</v>
          </cell>
          <cell r="CY115">
            <v>0</v>
          </cell>
          <cell r="DA115">
            <v>-0.27938931297709924</v>
          </cell>
          <cell r="DB115">
            <v>0</v>
          </cell>
          <cell r="DC115">
            <v>0</v>
          </cell>
          <cell r="DE115">
            <v>0</v>
          </cell>
          <cell r="DG115">
            <v>0</v>
          </cell>
          <cell r="DH115">
            <v>0</v>
          </cell>
          <cell r="DK115">
            <v>0</v>
          </cell>
          <cell r="DM115">
            <v>0</v>
          </cell>
          <cell r="DQ115">
            <v>0</v>
          </cell>
          <cell r="DT115">
            <v>0</v>
          </cell>
          <cell r="DU115">
            <v>0</v>
          </cell>
          <cell r="DV115">
            <v>0</v>
          </cell>
          <cell r="DW115">
            <v>0</v>
          </cell>
          <cell r="DY115">
            <v>0</v>
          </cell>
          <cell r="DZ115">
            <v>0</v>
          </cell>
          <cell r="EC115">
            <v>0</v>
          </cell>
          <cell r="EI115">
            <v>0</v>
          </cell>
          <cell r="EL115">
            <v>0</v>
          </cell>
          <cell r="EO115">
            <v>0</v>
          </cell>
          <cell r="EU115">
            <v>0</v>
          </cell>
          <cell r="FA115">
            <v>0</v>
          </cell>
        </row>
        <row r="116">
          <cell r="C116">
            <v>6.4337900000000001</v>
          </cell>
          <cell r="D116">
            <v>14.538827999999997</v>
          </cell>
          <cell r="E116">
            <v>33.262344999999996</v>
          </cell>
          <cell r="F116">
            <v>84.656999999999996</v>
          </cell>
          <cell r="G116">
            <v>124.15</v>
          </cell>
          <cell r="H116">
            <v>272.81200000000001</v>
          </cell>
          <cell r="I116">
            <v>465.07400000000001</v>
          </cell>
          <cell r="J116">
            <v>551.50699999999995</v>
          </cell>
          <cell r="K116">
            <v>566.43100000000004</v>
          </cell>
          <cell r="L116">
            <v>646.02699999999993</v>
          </cell>
          <cell r="M116">
            <v>749.79600000000005</v>
          </cell>
          <cell r="O116">
            <v>217.922</v>
          </cell>
          <cell r="P116">
            <v>244.06700000000001</v>
          </cell>
          <cell r="Q116">
            <v>261.31400000000002</v>
          </cell>
          <cell r="R116">
            <v>380.04199999999997</v>
          </cell>
          <cell r="S116">
            <v>1103.345</v>
          </cell>
          <cell r="U116">
            <v>279.02300000000002</v>
          </cell>
          <cell r="V116">
            <v>356.65</v>
          </cell>
          <cell r="W116">
            <v>365.28199999999998</v>
          </cell>
          <cell r="X116">
            <v>548.27599999999995</v>
          </cell>
          <cell r="Y116">
            <v>1549.2309999999998</v>
          </cell>
          <cell r="AA116">
            <v>359.85</v>
          </cell>
          <cell r="AB116">
            <v>454.68799999999999</v>
          </cell>
          <cell r="AC116">
            <v>460.36099999999999</v>
          </cell>
          <cell r="AD116">
            <v>695.495</v>
          </cell>
          <cell r="AE116">
            <v>1970.3939999999998</v>
          </cell>
          <cell r="AG116">
            <v>449.45100000000002</v>
          </cell>
          <cell r="AH116">
            <v>528.49</v>
          </cell>
          <cell r="AI116">
            <v>567.61900000000003</v>
          </cell>
          <cell r="AJ116">
            <v>825.74599999999998</v>
          </cell>
          <cell r="AK116">
            <v>2371.306</v>
          </cell>
          <cell r="AM116">
            <v>510.07600000000002</v>
          </cell>
          <cell r="AN116">
            <v>591.755</v>
          </cell>
          <cell r="AO116">
            <v>566.75599999999997</v>
          </cell>
          <cell r="AP116">
            <v>953.79200000000003</v>
          </cell>
          <cell r="AQ116">
            <v>2622.3789999999999</v>
          </cell>
          <cell r="AS116">
            <v>538.42600000000004</v>
          </cell>
          <cell r="AT116">
            <v>631.43299999999999</v>
          </cell>
          <cell r="AU116">
            <v>594.69600000000003</v>
          </cell>
          <cell r="AV116">
            <v>852.19399999999996</v>
          </cell>
          <cell r="AW116">
            <v>2616.7489999999998</v>
          </cell>
          <cell r="AY116">
            <v>572.96400000000006</v>
          </cell>
          <cell r="AZ116">
            <v>640.86500000000001</v>
          </cell>
          <cell r="BA116">
            <v>665.60500000000002</v>
          </cell>
          <cell r="BB116">
            <v>811.88800000000003</v>
          </cell>
          <cell r="BC116">
            <v>2691.3220000000001</v>
          </cell>
          <cell r="BE116">
            <v>535.48099999999999</v>
          </cell>
          <cell r="BF116">
            <v>571.15200000000004</v>
          </cell>
          <cell r="BG116">
            <v>514.81600000000003</v>
          </cell>
          <cell r="BH116">
            <v>587.53200000000004</v>
          </cell>
          <cell r="BI116">
            <v>2208.9810000000002</v>
          </cell>
          <cell r="BK116">
            <v>471</v>
          </cell>
          <cell r="BL116">
            <v>512</v>
          </cell>
          <cell r="BM116">
            <v>521</v>
          </cell>
          <cell r="BN116">
            <v>568</v>
          </cell>
          <cell r="BO116">
            <v>2072</v>
          </cell>
          <cell r="BQ116">
            <v>464</v>
          </cell>
          <cell r="BR116">
            <v>525</v>
          </cell>
          <cell r="BS116">
            <v>527</v>
          </cell>
          <cell r="BT116">
            <v>620</v>
          </cell>
          <cell r="BU116">
            <v>2136</v>
          </cell>
          <cell r="BW116">
            <v>480</v>
          </cell>
          <cell r="BX116">
            <v>555</v>
          </cell>
          <cell r="BY116">
            <v>667</v>
          </cell>
          <cell r="BZ116">
            <v>803</v>
          </cell>
          <cell r="CA116">
            <v>2505</v>
          </cell>
          <cell r="CC116">
            <v>613</v>
          </cell>
          <cell r="CD116">
            <v>705</v>
          </cell>
          <cell r="CE116">
            <v>754</v>
          </cell>
          <cell r="CF116">
            <v>1098</v>
          </cell>
          <cell r="CG116">
            <v>3170</v>
          </cell>
          <cell r="CI116">
            <v>740</v>
          </cell>
          <cell r="CJ116">
            <v>907</v>
          </cell>
          <cell r="CK116">
            <v>958</v>
          </cell>
          <cell r="CL116">
            <v>1264</v>
          </cell>
          <cell r="CM116">
            <v>3869</v>
          </cell>
          <cell r="CO116">
            <v>961</v>
          </cell>
          <cell r="CP116">
            <v>1082</v>
          </cell>
          <cell r="CQ116">
            <v>1071</v>
          </cell>
          <cell r="CR116">
            <v>1513</v>
          </cell>
          <cell r="CS116">
            <v>4627</v>
          </cell>
          <cell r="CU116">
            <v>1093</v>
          </cell>
          <cell r="CV116">
            <v>1130</v>
          </cell>
          <cell r="CW116">
            <v>1038</v>
          </cell>
          <cell r="CX116">
            <v>1310</v>
          </cell>
          <cell r="CY116">
            <v>4571</v>
          </cell>
          <cell r="DA116">
            <v>944</v>
          </cell>
          <cell r="DB116">
            <v>1113</v>
          </cell>
          <cell r="DC116">
            <v>1220</v>
          </cell>
          <cell r="DE116">
            <v>4998</v>
          </cell>
          <cell r="DG116">
            <v>1310</v>
          </cell>
          <cell r="DH116">
            <v>1511</v>
          </cell>
          <cell r="DI116">
            <v>1596</v>
          </cell>
          <cell r="DJ116">
            <v>2075</v>
          </cell>
          <cell r="DK116">
            <v>6492</v>
          </cell>
          <cell r="DM116">
            <v>1604</v>
          </cell>
          <cell r="DN116">
            <v>1668</v>
          </cell>
          <cell r="DO116">
            <v>1670</v>
          </cell>
          <cell r="DP116">
            <v>2065</v>
          </cell>
          <cell r="DQ116">
            <v>7007</v>
          </cell>
          <cell r="DS116">
            <v>1508</v>
          </cell>
          <cell r="DT116">
            <v>1730</v>
          </cell>
          <cell r="DU116">
            <v>1770</v>
          </cell>
          <cell r="DV116">
            <v>2092</v>
          </cell>
          <cell r="DW116">
            <v>7100</v>
          </cell>
          <cell r="DY116">
            <v>1581</v>
          </cell>
          <cell r="DZ116">
            <v>1840</v>
          </cell>
          <cell r="EA116">
            <v>1789</v>
          </cell>
          <cell r="EB116">
            <v>2195</v>
          </cell>
          <cell r="EC116">
            <v>7405</v>
          </cell>
          <cell r="EE116">
            <v>1663</v>
          </cell>
          <cell r="EF116">
            <v>1854</v>
          </cell>
          <cell r="EG116">
            <v>1794</v>
          </cell>
          <cell r="EH116">
            <v>2163</v>
          </cell>
          <cell r="EI116">
            <v>7474</v>
          </cell>
          <cell r="EK116">
            <v>1680</v>
          </cell>
          <cell r="EL116">
            <v>1890</v>
          </cell>
          <cell r="EM116">
            <v>1853.440171856</v>
          </cell>
          <cell r="EN116">
            <v>2036.9619158559999</v>
          </cell>
          <cell r="EO116">
            <v>7460.4020877120001</v>
          </cell>
          <cell r="EQ116">
            <v>1690.1419830257603</v>
          </cell>
          <cell r="ER116">
            <v>1886.4525358408509</v>
          </cell>
          <cell r="ES116">
            <v>1864.5084356720822</v>
          </cell>
          <cell r="ET116">
            <v>2000.2389582019307</v>
          </cell>
          <cell r="EU116">
            <v>7441.3419127406241</v>
          </cell>
          <cell r="EW116">
            <v>1702.2517331153156</v>
          </cell>
          <cell r="EX116">
            <v>1881.5633610657271</v>
          </cell>
          <cell r="EY116">
            <v>1840.8983205400718</v>
          </cell>
          <cell r="EZ116">
            <v>2086.0196639055298</v>
          </cell>
          <cell r="FA116">
            <v>7510.7330786266448</v>
          </cell>
        </row>
        <row r="117">
          <cell r="C117">
            <v>0.50600000000000001</v>
          </cell>
          <cell r="D117">
            <v>0.628</v>
          </cell>
          <cell r="E117">
            <v>0.60099999999999998</v>
          </cell>
          <cell r="F117">
            <v>0.64500000000000002</v>
          </cell>
          <cell r="G117">
            <v>0.44009999999999999</v>
          </cell>
          <cell r="H117">
            <v>0.46729999999999999</v>
          </cell>
          <cell r="I117">
            <v>0.50749999999999995</v>
          </cell>
          <cell r="J117">
            <v>0.53649999999999998</v>
          </cell>
          <cell r="K117">
            <v>0.48039999999999999</v>
          </cell>
          <cell r="L117">
            <v>0.42980000000000002</v>
          </cell>
          <cell r="M117">
            <v>0.37469999999999998</v>
          </cell>
          <cell r="O117">
            <v>0.3916</v>
          </cell>
          <cell r="P117">
            <v>0.36409999999999998</v>
          </cell>
          <cell r="Q117">
            <v>0.36180000000000001</v>
          </cell>
          <cell r="R117">
            <v>0.37340000000000001</v>
          </cell>
          <cell r="S117">
            <v>0.37190000000000001</v>
          </cell>
          <cell r="U117">
            <v>0.36149999999999999</v>
          </cell>
          <cell r="V117">
            <v>0.36880000000000002</v>
          </cell>
          <cell r="W117">
            <v>0.35799999999999998</v>
          </cell>
          <cell r="X117">
            <v>0.3745</v>
          </cell>
          <cell r="Y117">
            <v>0.36680000000000001</v>
          </cell>
          <cell r="AA117">
            <v>0.34200000000000003</v>
          </cell>
          <cell r="AB117">
            <v>0.34670000000000001</v>
          </cell>
          <cell r="AC117">
            <v>0.33539999999999998</v>
          </cell>
          <cell r="AD117">
            <v>0.35699999999999998</v>
          </cell>
          <cell r="AE117">
            <v>0.34660000000000002</v>
          </cell>
          <cell r="AG117">
            <v>0.32829999999999998</v>
          </cell>
          <cell r="AH117">
            <v>0.32750000000000001</v>
          </cell>
          <cell r="AI117">
            <v>0.3246</v>
          </cell>
          <cell r="AJ117">
            <v>0.34229999999999999</v>
          </cell>
          <cell r="AK117">
            <v>0.33189999999999997</v>
          </cell>
          <cell r="AM117">
            <v>0.29160000000000003</v>
          </cell>
          <cell r="AN117">
            <v>0.2878</v>
          </cell>
          <cell r="AO117">
            <v>0.27260000000000001</v>
          </cell>
          <cell r="AP117">
            <v>0.3241</v>
          </cell>
          <cell r="AQ117">
            <v>0.29709999999999998</v>
          </cell>
          <cell r="AS117">
            <v>0.27129999999999999</v>
          </cell>
          <cell r="AT117">
            <v>0.27189999999999998</v>
          </cell>
          <cell r="AU117">
            <v>0.24279999999999999</v>
          </cell>
          <cell r="AV117">
            <v>0.25259999999999999</v>
          </cell>
          <cell r="AW117">
            <v>0.25829999999999997</v>
          </cell>
          <cell r="AY117">
            <v>0.25040000000000001</v>
          </cell>
          <cell r="AZ117">
            <v>0.23860000000000001</v>
          </cell>
          <cell r="BA117">
            <v>0.24690000000000001</v>
          </cell>
          <cell r="BB117">
            <v>0.24679999999999999</v>
          </cell>
          <cell r="BC117">
            <v>0.2455</v>
          </cell>
          <cell r="BE117">
            <v>0.2364</v>
          </cell>
          <cell r="BF117">
            <v>0.2399</v>
          </cell>
          <cell r="BG117">
            <v>0.22850000000000001</v>
          </cell>
          <cell r="BH117">
            <v>0.21179999999999999</v>
          </cell>
          <cell r="BI117">
            <v>0.22839999999999999</v>
          </cell>
          <cell r="BK117">
            <v>0.23219999999999999</v>
          </cell>
          <cell r="BL117">
            <v>0.22170000000000001</v>
          </cell>
          <cell r="BM117">
            <v>0.2258</v>
          </cell>
          <cell r="BN117">
            <v>0.2006</v>
          </cell>
          <cell r="BO117">
            <v>0.21870000000000001</v>
          </cell>
          <cell r="BQ117">
            <v>0.22389999999999999</v>
          </cell>
          <cell r="BR117">
            <v>0.2102</v>
          </cell>
          <cell r="BS117">
            <v>0.21</v>
          </cell>
          <cell r="BT117">
            <v>0.20150000000000001</v>
          </cell>
          <cell r="BU117">
            <v>0.21029999999999999</v>
          </cell>
          <cell r="BW117">
            <v>0.2167</v>
          </cell>
          <cell r="BX117">
            <v>0.2014</v>
          </cell>
          <cell r="BY117">
            <v>0.21560000000000001</v>
          </cell>
          <cell r="BZ117">
            <v>0.19800000000000001</v>
          </cell>
          <cell r="CA117">
            <v>0.20669999999999999</v>
          </cell>
          <cell r="CC117">
            <v>0.2109</v>
          </cell>
          <cell r="CD117">
            <v>0.2077</v>
          </cell>
          <cell r="CE117">
            <v>0.21329999999999999</v>
          </cell>
          <cell r="CF117">
            <v>0.22239999999999999</v>
          </cell>
          <cell r="CG117">
            <v>0.21460000000000001</v>
          </cell>
          <cell r="CI117">
            <v>0.2021</v>
          </cell>
          <cell r="CJ117">
            <v>0.21510000000000001</v>
          </cell>
          <cell r="CK117">
            <v>0.21529999999999999</v>
          </cell>
          <cell r="CL117">
            <v>0.21490000000000001</v>
          </cell>
          <cell r="CM117">
            <v>0.21249999999999999</v>
          </cell>
          <cell r="CO117">
            <v>0.2092</v>
          </cell>
          <cell r="CP117">
            <v>0.20169999999999999</v>
          </cell>
          <cell r="CQ117">
            <v>0.19939999999999999</v>
          </cell>
          <cell r="CR117">
            <v>0.20780000000000001</v>
          </cell>
          <cell r="CS117">
            <v>0.20469999999999999</v>
          </cell>
          <cell r="CU117">
            <v>0.2016</v>
          </cell>
          <cell r="CV117">
            <v>0.19869999999999999</v>
          </cell>
          <cell r="CW117">
            <v>0.18859999999999999</v>
          </cell>
          <cell r="CX117">
            <v>0.19040000000000001</v>
          </cell>
          <cell r="CY117">
            <v>0.1946</v>
          </cell>
          <cell r="DA117">
            <v>0.1865</v>
          </cell>
          <cell r="DB117">
            <v>0.1895</v>
          </cell>
          <cell r="DC117">
            <v>0.18859999999999999</v>
          </cell>
          <cell r="DE117">
            <v>0.18490000000000001</v>
          </cell>
          <cell r="DG117">
            <v>0.1726</v>
          </cell>
          <cell r="DH117">
            <v>0.17380000000000001</v>
          </cell>
          <cell r="DI117">
            <v>0.1812</v>
          </cell>
          <cell r="DJ117">
            <v>0.192</v>
          </cell>
          <cell r="DK117">
            <v>0.18090000000000001</v>
          </cell>
          <cell r="DM117">
            <v>0.191</v>
          </cell>
          <cell r="DN117">
            <v>0.1893</v>
          </cell>
          <cell r="DO117">
            <v>0.18429999999999999</v>
          </cell>
          <cell r="DP117">
            <v>0.18859999999999999</v>
          </cell>
          <cell r="DQ117">
            <v>0.1883</v>
          </cell>
          <cell r="DS117">
            <v>0.1837</v>
          </cell>
          <cell r="DT117">
            <v>0.1898</v>
          </cell>
          <cell r="DU117">
            <v>0.1973</v>
          </cell>
          <cell r="DV117">
            <v>0.19089999999999999</v>
          </cell>
          <cell r="DW117">
            <v>0.19059999999999999</v>
          </cell>
          <cell r="DY117">
            <v>0.18859999999999999</v>
          </cell>
          <cell r="DZ117">
            <v>0.19819999999999999</v>
          </cell>
          <cell r="EA117">
            <v>0.19209999999999999</v>
          </cell>
          <cell r="EB117">
            <v>0.1938</v>
          </cell>
          <cell r="EC117">
            <v>0.1933</v>
          </cell>
          <cell r="EE117">
            <v>0.19339999999999999</v>
          </cell>
          <cell r="EF117">
            <v>0.193</v>
          </cell>
          <cell r="EG117">
            <v>0.19220000000000001</v>
          </cell>
          <cell r="EH117">
            <v>0.2019</v>
          </cell>
          <cell r="EI117">
            <v>0.19539999999999999</v>
          </cell>
          <cell r="EK117">
            <v>0.1988</v>
          </cell>
          <cell r="EL117">
            <v>0.21010000000000001</v>
          </cell>
          <cell r="EM117">
            <v>0.20300000000000001</v>
          </cell>
          <cell r="EN117">
            <v>0.19600000000000001</v>
          </cell>
          <cell r="EO117">
            <v>0.20180000000000001</v>
          </cell>
          <cell r="EQ117">
            <v>0.1958</v>
          </cell>
          <cell r="ER117">
            <v>0.20710000000000001</v>
          </cell>
          <cell r="ES117">
            <v>0.20300000000000001</v>
          </cell>
          <cell r="ET117">
            <v>0.19400000000000001</v>
          </cell>
          <cell r="EU117">
            <v>0.19980000000000001</v>
          </cell>
          <cell r="EW117">
            <v>0.1958</v>
          </cell>
          <cell r="EX117">
            <v>0.20610000000000001</v>
          </cell>
          <cell r="EY117">
            <v>0.2</v>
          </cell>
          <cell r="EZ117">
            <v>0.20499999999999999</v>
          </cell>
          <cell r="FA117">
            <v>0.2019</v>
          </cell>
        </row>
        <row r="118">
          <cell r="C118">
            <v>0</v>
          </cell>
          <cell r="D118">
            <v>1.2597610428689774</v>
          </cell>
          <cell r="E118">
            <v>1.2878284962171644</v>
          </cell>
          <cell r="F118">
            <v>1.5451302366083932</v>
          </cell>
          <cell r="G118">
            <v>0.46650601840367623</v>
          </cell>
          <cell r="H118">
            <v>1.1974385823600482</v>
          </cell>
          <cell r="I118">
            <v>0.70474172690350856</v>
          </cell>
          <cell r="J118">
            <v>0.18584784356898032</v>
          </cell>
          <cell r="K118">
            <v>2.7060399958658943E-2</v>
          </cell>
          <cell r="L118">
            <v>0.14052197001929612</v>
          </cell>
          <cell r="M118">
            <v>0.16062641344711626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0.47152692198944779</v>
          </cell>
          <cell r="U118">
            <v>0.28038013601196776</v>
          </cell>
          <cell r="V118">
            <v>0.46127907500809195</v>
          </cell>
          <cell r="W118">
            <v>0.39786616867064128</v>
          </cell>
          <cell r="X118">
            <v>0.44267212571242132</v>
          </cell>
          <cell r="Y118">
            <v>0.40412201079444765</v>
          </cell>
          <cell r="AA118">
            <v>0.2896786286435169</v>
          </cell>
          <cell r="AB118">
            <v>0.27488574232440777</v>
          </cell>
          <cell r="AC118">
            <v>0.26028931072431716</v>
          </cell>
          <cell r="AD118">
            <v>0.268512573959101</v>
          </cell>
          <cell r="AE118">
            <v>0.27185293865149873</v>
          </cell>
          <cell r="AG118">
            <v>0.24899541475614839</v>
          </cell>
          <cell r="AH118">
            <v>0.1623134984868746</v>
          </cell>
          <cell r="AI118">
            <v>0.23298672129046571</v>
          </cell>
          <cell r="AJ118">
            <v>0.18727812565151436</v>
          </cell>
          <cell r="AK118">
            <v>0.20346793585445355</v>
          </cell>
          <cell r="AM118">
            <v>0.13488678409882282</v>
          </cell>
          <cell r="AN118">
            <v>0.11970898219455428</v>
          </cell>
          <cell r="AO118">
            <v>-1.5203860335895047E-3</v>
          </cell>
          <cell r="AP118">
            <v>0.15506705451797531</v>
          </cell>
          <cell r="AQ118">
            <v>0.10587962920011162</v>
          </cell>
          <cell r="AS118">
            <v>5.5579952791348752E-2</v>
          </cell>
          <cell r="AT118">
            <v>6.705139796030446E-2</v>
          </cell>
          <cell r="AU118">
            <v>4.9298110650791704E-2</v>
          </cell>
          <cell r="AV118">
            <v>-0.1065200798496948</v>
          </cell>
          <cell r="AW118">
            <v>-2.146905538825683E-3</v>
          </cell>
          <cell r="AY118">
            <v>6.4146233651420914E-2</v>
          </cell>
          <cell r="AZ118">
            <v>1.493745179615269E-2</v>
          </cell>
          <cell r="BA118">
            <v>0.11923571034612634</v>
          </cell>
          <cell r="BB118">
            <v>-4.7296742291074501E-2</v>
          </cell>
          <cell r="BC118">
            <v>2.8498338969461745E-2</v>
          </cell>
          <cell r="BE118">
            <v>-6.5419467889780258E-2</v>
          </cell>
          <cell r="BF118">
            <v>-0.10877954015276226</v>
          </cell>
          <cell r="BG118">
            <v>-0.22654427175276626</v>
          </cell>
          <cell r="BH118">
            <v>-0.27633860828094514</v>
          </cell>
          <cell r="BI118">
            <v>-0.17922084388267179</v>
          </cell>
          <cell r="BK118">
            <v>-0.12041697091026571</v>
          </cell>
          <cell r="BL118">
            <v>-0.10356612600498649</v>
          </cell>
          <cell r="BM118">
            <v>1.201205867727495E-2</v>
          </cell>
          <cell r="BN118">
            <v>-3.3244146701796762E-2</v>
          </cell>
          <cell r="BO118">
            <v>-6.2010945318226041E-2</v>
          </cell>
          <cell r="BQ118">
            <v>-1.4861995753715496E-2</v>
          </cell>
          <cell r="BR118">
            <v>2.5390625E-2</v>
          </cell>
          <cell r="BS118">
            <v>1.1516314779270731E-2</v>
          </cell>
          <cell r="BT118">
            <v>9.1549295774647987E-2</v>
          </cell>
          <cell r="BU118">
            <v>3.0888030888030826E-2</v>
          </cell>
          <cell r="BW118">
            <v>3.4482758620689724E-2</v>
          </cell>
          <cell r="BX118">
            <v>5.7142857142857162E-2</v>
          </cell>
          <cell r="BY118">
            <v>0.26565464895635671</v>
          </cell>
          <cell r="BZ118">
            <v>0.29516129032258065</v>
          </cell>
          <cell r="CA118">
            <v>0.172752808988764</v>
          </cell>
          <cell r="CC118">
            <v>0.27708333333333335</v>
          </cell>
          <cell r="CD118">
            <v>0.27027027027027017</v>
          </cell>
          <cell r="CE118">
            <v>0.13043478260869557</v>
          </cell>
          <cell r="CF118">
            <v>0.36737235367372345</v>
          </cell>
          <cell r="CG118">
            <v>0.26546906187624741</v>
          </cell>
          <cell r="CI118">
            <v>0.20717781402936386</v>
          </cell>
          <cell r="CJ118">
            <v>0.28652482269503543</v>
          </cell>
          <cell r="CK118">
            <v>0.27055702917771884</v>
          </cell>
          <cell r="CL118">
            <v>0.15118397085610202</v>
          </cell>
          <cell r="CM118">
            <v>0.22050473186119879</v>
          </cell>
          <cell r="CO118">
            <v>0.2986486486486486</v>
          </cell>
          <cell r="CP118">
            <v>0.19294377067254675</v>
          </cell>
          <cell r="CQ118">
            <v>0.1179540709812108</v>
          </cell>
          <cell r="CR118">
            <v>0.196993670886076</v>
          </cell>
          <cell r="CS118">
            <v>0.19591625743086061</v>
          </cell>
          <cell r="CU118">
            <v>0.1373569198751301</v>
          </cell>
          <cell r="CV118">
            <v>4.4362292051755903E-2</v>
          </cell>
          <cell r="CW118">
            <v>-3.081232492997199E-2</v>
          </cell>
          <cell r="CX118">
            <v>-0.13417052214144087</v>
          </cell>
          <cell r="CY118">
            <v>-1.2102874432677768E-2</v>
          </cell>
          <cell r="DA118">
            <v>-0.13632204940530646</v>
          </cell>
          <cell r="DB118">
            <v>-1.5044247787610598E-2</v>
          </cell>
          <cell r="DC118">
            <v>0.17533718689788058</v>
          </cell>
          <cell r="DE118">
            <v>9.3415007656967752E-2</v>
          </cell>
          <cell r="DG118">
            <v>0.38771186440677963</v>
          </cell>
          <cell r="DH118">
            <v>0.35759209344115006</v>
          </cell>
          <cell r="DI118">
            <v>0.30819672131147535</v>
          </cell>
          <cell r="DJ118">
            <v>0.20569436374201056</v>
          </cell>
          <cell r="DK118">
            <v>0.29891956782713081</v>
          </cell>
          <cell r="DM118">
            <v>0.22442748091603049</v>
          </cell>
          <cell r="DN118">
            <v>0.10390469887491727</v>
          </cell>
          <cell r="DO118">
            <v>4.6365914786967499E-2</v>
          </cell>
          <cell r="DP118">
            <v>-4.8192771084337727E-3</v>
          </cell>
          <cell r="DQ118">
            <v>7.9328404189771939E-2</v>
          </cell>
          <cell r="DS118">
            <v>-5.9850374064837952E-2</v>
          </cell>
          <cell r="DT118">
            <v>3.7170263788968816E-2</v>
          </cell>
          <cell r="DU118">
            <v>5.9880239520958112E-2</v>
          </cell>
          <cell r="DV118">
            <v>1.3075060532687699E-2</v>
          </cell>
          <cell r="DW118">
            <v>1.3272441843870331E-2</v>
          </cell>
          <cell r="DY118">
            <v>4.8408488063660382E-2</v>
          </cell>
          <cell r="DZ118">
            <v>6.3583815028901647E-2</v>
          </cell>
          <cell r="EA118">
            <v>1.0734463276836248E-2</v>
          </cell>
          <cell r="EB118">
            <v>4.9235181644359471E-2</v>
          </cell>
          <cell r="EC118">
            <v>4.2957746478873293E-2</v>
          </cell>
          <cell r="EE118">
            <v>5.1865907653383836E-2</v>
          </cell>
          <cell r="EF118">
            <v>7.6086956521739246E-3</v>
          </cell>
          <cell r="EG118">
            <v>2.7948574622693734E-3</v>
          </cell>
          <cell r="EH118">
            <v>-1.4578587699316636E-2</v>
          </cell>
          <cell r="EI118">
            <v>9.3180283592166901E-3</v>
          </cell>
          <cell r="EK118">
            <v>1.0222489476849006E-2</v>
          </cell>
          <cell r="EL118">
            <v>1.9417475728155331E-2</v>
          </cell>
          <cell r="EM118">
            <v>3.3132760231884051E-2</v>
          </cell>
          <cell r="EN118">
            <v>-5.8270034278317229E-2</v>
          </cell>
          <cell r="EO118">
            <v>-1.8193620936579613E-3</v>
          </cell>
          <cell r="EQ118">
            <v>6.0368946581905725E-3</v>
          </cell>
          <cell r="ER118">
            <v>-1.8769651635709428E-3</v>
          </cell>
          <cell r="ES118">
            <v>5.9717405418049374E-3</v>
          </cell>
          <cell r="ET118">
            <v>-1.8028298599111037E-2</v>
          </cell>
          <cell r="EU118">
            <v>-2.554845536109851E-3</v>
          </cell>
          <cell r="EW118">
            <v>7.1649306455756623E-3</v>
          </cell>
          <cell r="EX118">
            <v>-2.5917295464550349E-3</v>
          </cell>
          <cell r="EY118">
            <v>-1.2662916766852716E-2</v>
          </cell>
          <cell r="EZ118">
            <v>4.2885228963198241E-2</v>
          </cell>
          <cell r="FA118">
            <v>9.3250876924784176E-3</v>
          </cell>
        </row>
        <row r="119">
          <cell r="C119">
            <v>2.0089700000000001</v>
          </cell>
          <cell r="D119">
            <v>3.8893679999999997</v>
          </cell>
          <cell r="E119">
            <v>6.9734699999999998</v>
          </cell>
          <cell r="F119">
            <v>9.6039999999999992</v>
          </cell>
          <cell r="G119">
            <v>25.707999999999998</v>
          </cell>
          <cell r="H119">
            <v>52.57</v>
          </cell>
          <cell r="I119">
            <v>88.290999999999997</v>
          </cell>
          <cell r="J119">
            <v>82.73</v>
          </cell>
          <cell r="K119">
            <v>110.64100000000001</v>
          </cell>
          <cell r="L119">
            <v>146.41999999999999</v>
          </cell>
          <cell r="M119">
            <v>197.08600000000001</v>
          </cell>
          <cell r="O119">
            <v>55.156999999999996</v>
          </cell>
          <cell r="P119">
            <v>57.225999999999999</v>
          </cell>
          <cell r="Q119">
            <v>67.863</v>
          </cell>
          <cell r="R119">
            <v>80.850999999999999</v>
          </cell>
          <cell r="S119">
            <v>261.09699999999998</v>
          </cell>
          <cell r="U119">
            <v>84.441000000000003</v>
          </cell>
          <cell r="V119">
            <v>93.272000000000006</v>
          </cell>
          <cell r="W119">
            <v>92.805000000000007</v>
          </cell>
          <cell r="X119">
            <v>118.575</v>
          </cell>
          <cell r="Y119">
            <v>389.09300000000002</v>
          </cell>
          <cell r="AA119">
            <v>117.209</v>
          </cell>
          <cell r="AB119">
            <v>135.30000000000001</v>
          </cell>
          <cell r="AC119">
            <v>138.52699999999999</v>
          </cell>
          <cell r="AD119">
            <v>164.44</v>
          </cell>
          <cell r="AE119">
            <v>555.476</v>
          </cell>
          <cell r="AG119">
            <v>159.667</v>
          </cell>
          <cell r="AH119">
            <v>183.21700000000001</v>
          </cell>
          <cell r="AI119">
            <v>184.10599999999999</v>
          </cell>
          <cell r="AJ119">
            <v>192.15299999999999</v>
          </cell>
          <cell r="AK119">
            <v>719.14300000000003</v>
          </cell>
          <cell r="AM119">
            <v>187.62299999999999</v>
          </cell>
          <cell r="AN119">
            <v>200.678</v>
          </cell>
          <cell r="AO119">
            <v>209.798</v>
          </cell>
          <cell r="AP119">
            <v>243.30699999999999</v>
          </cell>
          <cell r="AQ119">
            <v>841.40599999999995</v>
          </cell>
          <cell r="AS119">
            <v>235.941</v>
          </cell>
          <cell r="AT119">
            <v>248.16</v>
          </cell>
          <cell r="AU119">
            <v>255.55199999999999</v>
          </cell>
          <cell r="AV119">
            <v>270.22899999999998</v>
          </cell>
          <cell r="AW119">
            <v>1009.8820000000001</v>
          </cell>
          <cell r="AY119">
            <v>251.02699999999999</v>
          </cell>
          <cell r="AZ119">
            <v>266.27999999999997</v>
          </cell>
          <cell r="BA119">
            <v>301.45499999999998</v>
          </cell>
          <cell r="BB119">
            <v>319.82900000000001</v>
          </cell>
          <cell r="BC119">
            <v>1138.5909999999999</v>
          </cell>
          <cell r="BE119">
            <v>253.3</v>
          </cell>
          <cell r="BF119">
            <v>257.483</v>
          </cell>
          <cell r="BG119">
            <v>283.23099999999999</v>
          </cell>
          <cell r="BH119">
            <v>282.142</v>
          </cell>
          <cell r="BI119">
            <v>1076.1559999999999</v>
          </cell>
          <cell r="BK119">
            <v>286</v>
          </cell>
          <cell r="BL119">
            <v>295</v>
          </cell>
          <cell r="BM119">
            <v>301</v>
          </cell>
          <cell r="BN119">
            <v>298</v>
          </cell>
          <cell r="BO119">
            <v>1180</v>
          </cell>
          <cell r="BQ119">
            <v>298</v>
          </cell>
          <cell r="BR119">
            <v>323</v>
          </cell>
          <cell r="BS119">
            <v>328</v>
          </cell>
          <cell r="BT119">
            <v>329</v>
          </cell>
          <cell r="BU119">
            <v>1278</v>
          </cell>
          <cell r="BW119">
            <v>312</v>
          </cell>
          <cell r="BX119">
            <v>327</v>
          </cell>
          <cell r="BY119">
            <v>391</v>
          </cell>
          <cell r="BZ119">
            <v>451</v>
          </cell>
          <cell r="CA119">
            <v>1481</v>
          </cell>
          <cell r="CC119">
            <v>396</v>
          </cell>
          <cell r="CD119">
            <v>464</v>
          </cell>
          <cell r="CE119">
            <v>464</v>
          </cell>
          <cell r="CF119">
            <v>532.6</v>
          </cell>
          <cell r="CG119">
            <v>1856.6</v>
          </cell>
          <cell r="CI119">
            <v>484</v>
          </cell>
          <cell r="CJ119">
            <v>498</v>
          </cell>
          <cell r="CK119">
            <v>549</v>
          </cell>
          <cell r="CL119">
            <v>579</v>
          </cell>
          <cell r="CM119">
            <v>2110</v>
          </cell>
          <cell r="CO119">
            <v>624</v>
          </cell>
          <cell r="CP119">
            <v>649</v>
          </cell>
          <cell r="CQ119">
            <v>651</v>
          </cell>
          <cell r="CR119">
            <v>703</v>
          </cell>
          <cell r="CS119">
            <v>2627</v>
          </cell>
          <cell r="CU119">
            <v>671</v>
          </cell>
          <cell r="CV119">
            <v>606</v>
          </cell>
          <cell r="CW119">
            <v>638</v>
          </cell>
          <cell r="CX119">
            <v>697</v>
          </cell>
          <cell r="CY119">
            <v>2612</v>
          </cell>
          <cell r="DA119">
            <v>628</v>
          </cell>
          <cell r="DB119">
            <v>664</v>
          </cell>
          <cell r="DC119">
            <v>777</v>
          </cell>
          <cell r="DE119">
            <v>3082</v>
          </cell>
          <cell r="DG119">
            <v>1044</v>
          </cell>
          <cell r="DH119">
            <v>1064</v>
          </cell>
          <cell r="DI119">
            <v>1069</v>
          </cell>
          <cell r="DJ119">
            <v>1110</v>
          </cell>
          <cell r="DK119">
            <v>4287</v>
          </cell>
          <cell r="DM119">
            <v>979</v>
          </cell>
          <cell r="DN119">
            <v>1034</v>
          </cell>
          <cell r="DO119">
            <v>1071</v>
          </cell>
          <cell r="DP119">
            <v>1144</v>
          </cell>
          <cell r="DQ119">
            <v>4228</v>
          </cell>
          <cell r="DS119">
            <v>1118</v>
          </cell>
          <cell r="DT119">
            <v>1110</v>
          </cell>
          <cell r="DU119">
            <v>1100</v>
          </cell>
          <cell r="DV119">
            <v>1171</v>
          </cell>
          <cell r="DW119">
            <v>4499</v>
          </cell>
          <cell r="DY119">
            <v>1140</v>
          </cell>
          <cell r="DZ119">
            <v>1186</v>
          </cell>
          <cell r="EA119">
            <v>1193</v>
          </cell>
          <cell r="EB119">
            <v>1248</v>
          </cell>
          <cell r="EC119">
            <v>4767</v>
          </cell>
          <cell r="EE119">
            <v>1221</v>
          </cell>
          <cell r="EF119">
            <v>1255</v>
          </cell>
          <cell r="EG119">
            <v>1232</v>
          </cell>
          <cell r="EH119">
            <v>1293</v>
          </cell>
          <cell r="EI119">
            <v>5001</v>
          </cell>
          <cell r="EK119">
            <v>1242</v>
          </cell>
          <cell r="EL119">
            <v>1293</v>
          </cell>
          <cell r="EM119">
            <v>1305.625342736</v>
          </cell>
          <cell r="EN119">
            <v>1309.4755173359999</v>
          </cell>
          <cell r="EO119">
            <v>5150.1008600719997</v>
          </cell>
          <cell r="EQ119">
            <v>1294.7972290800001</v>
          </cell>
          <cell r="ER119">
            <v>1302.572248311162</v>
          </cell>
          <cell r="ES119">
            <v>1340.9765103848472</v>
          </cell>
          <cell r="ET119">
            <v>1350.6768222909946</v>
          </cell>
          <cell r="EU119">
            <v>5289.0228100670038</v>
          </cell>
          <cell r="EW119">
            <v>1347.5435068073234</v>
          </cell>
          <cell r="EX119">
            <v>1351.1469065391927</v>
          </cell>
          <cell r="EY119">
            <v>1353.0602655969526</v>
          </cell>
          <cell r="EZ119">
            <v>1353.3688551191976</v>
          </cell>
          <cell r="FA119">
            <v>5405.1195340626655</v>
          </cell>
        </row>
        <row r="120">
          <cell r="C120">
            <v>0.158</v>
          </cell>
          <cell r="D120">
            <v>0.16800000000000001</v>
          </cell>
          <cell r="E120">
            <v>0.126</v>
          </cell>
          <cell r="F120">
            <v>7.3200000000000001E-2</v>
          </cell>
          <cell r="G120">
            <v>9.11E-2</v>
          </cell>
          <cell r="H120">
            <v>0.09</v>
          </cell>
          <cell r="I120">
            <v>9.6299999999999997E-2</v>
          </cell>
          <cell r="J120">
            <v>8.0500000000000002E-2</v>
          </cell>
          <cell r="K120">
            <v>9.3799999999999994E-2</v>
          </cell>
          <cell r="L120">
            <v>9.74E-2</v>
          </cell>
          <cell r="M120">
            <v>9.8500000000000004E-2</v>
          </cell>
          <cell r="O120">
            <v>9.9099999999999994E-2</v>
          </cell>
          <cell r="P120">
            <v>8.5400000000000004E-2</v>
          </cell>
          <cell r="Q120">
            <v>9.4E-2</v>
          </cell>
          <cell r="R120">
            <v>7.9399999999999998E-2</v>
          </cell>
          <cell r="S120">
            <v>8.7999999999999995E-2</v>
          </cell>
          <cell r="U120">
            <v>0.1094</v>
          </cell>
          <cell r="V120">
            <v>9.6500000000000002E-2</v>
          </cell>
          <cell r="W120">
            <v>9.0999999999999998E-2</v>
          </cell>
          <cell r="X120">
            <v>8.1000000000000003E-2</v>
          </cell>
          <cell r="Y120">
            <v>9.2100000000000001E-2</v>
          </cell>
          <cell r="AA120">
            <v>0.1114</v>
          </cell>
          <cell r="AB120">
            <v>0.1032</v>
          </cell>
          <cell r="AC120">
            <v>0.1009</v>
          </cell>
          <cell r="AD120">
            <v>8.4400000000000003E-2</v>
          </cell>
          <cell r="AE120">
            <v>9.7699999999999995E-2</v>
          </cell>
          <cell r="AG120">
            <v>0.1166</v>
          </cell>
          <cell r="AH120">
            <v>0.1135</v>
          </cell>
          <cell r="AI120">
            <v>0.1053</v>
          </cell>
          <cell r="AJ120">
            <v>7.9600000000000004E-2</v>
          </cell>
          <cell r="AK120">
            <v>0.1007</v>
          </cell>
          <cell r="AM120">
            <v>0.10730000000000001</v>
          </cell>
          <cell r="AN120">
            <v>9.7600000000000006E-2</v>
          </cell>
          <cell r="AO120">
            <v>0.1009</v>
          </cell>
          <cell r="AP120">
            <v>8.2699999999999996E-2</v>
          </cell>
          <cell r="AQ120">
            <v>9.5299999999999996E-2</v>
          </cell>
          <cell r="AS120">
            <v>0.11890000000000001</v>
          </cell>
          <cell r="AT120">
            <v>0.1069</v>
          </cell>
          <cell r="AU120">
            <v>0.1043</v>
          </cell>
          <cell r="AV120">
            <v>8.0100000000000005E-2</v>
          </cell>
          <cell r="AW120">
            <v>9.9699999999999997E-2</v>
          </cell>
          <cell r="AY120">
            <v>0.10970000000000001</v>
          </cell>
          <cell r="AZ120">
            <v>9.9099999999999994E-2</v>
          </cell>
          <cell r="BA120">
            <v>0.1118</v>
          </cell>
          <cell r="BB120">
            <v>9.7199999999999995E-2</v>
          </cell>
          <cell r="BC120">
            <v>0.10390000000000001</v>
          </cell>
          <cell r="BE120">
            <v>0.1118</v>
          </cell>
          <cell r="BF120">
            <v>0.1082</v>
          </cell>
          <cell r="BG120">
            <v>0.12570000000000001</v>
          </cell>
          <cell r="BH120">
            <v>0.1017</v>
          </cell>
          <cell r="BI120">
            <v>0.1113</v>
          </cell>
          <cell r="BK120">
            <v>0.14099999999999999</v>
          </cell>
          <cell r="BL120">
            <v>0.1278</v>
          </cell>
          <cell r="BM120">
            <v>0.1305</v>
          </cell>
          <cell r="BN120">
            <v>0.1052</v>
          </cell>
          <cell r="BO120">
            <v>0.1245</v>
          </cell>
          <cell r="BQ120">
            <v>0.14380000000000001</v>
          </cell>
          <cell r="BR120">
            <v>0.1293</v>
          </cell>
          <cell r="BS120">
            <v>0.13070000000000001</v>
          </cell>
          <cell r="BT120">
            <v>0.1069</v>
          </cell>
          <cell r="BU120">
            <v>0.1258</v>
          </cell>
          <cell r="BW120">
            <v>0.1409</v>
          </cell>
          <cell r="BX120">
            <v>0.1187</v>
          </cell>
          <cell r="BY120">
            <v>0.12640000000000001</v>
          </cell>
          <cell r="BZ120">
            <v>0.11119999999999999</v>
          </cell>
          <cell r="CA120">
            <v>0.1222</v>
          </cell>
          <cell r="CC120">
            <v>0.13619999999999999</v>
          </cell>
          <cell r="CD120">
            <v>0.13669999999999999</v>
          </cell>
          <cell r="CE120">
            <v>0.1313</v>
          </cell>
          <cell r="CF120">
            <v>0.1079</v>
          </cell>
          <cell r="CG120">
            <v>0.12570000000000001</v>
          </cell>
          <cell r="CI120">
            <v>0.13220000000000001</v>
          </cell>
          <cell r="CJ120">
            <v>0.1181</v>
          </cell>
          <cell r="CK120">
            <v>0.1234</v>
          </cell>
          <cell r="CL120">
            <v>9.8400000000000001E-2</v>
          </cell>
          <cell r="CM120">
            <v>0.1159</v>
          </cell>
          <cell r="CO120">
            <v>0.13589999999999999</v>
          </cell>
          <cell r="CP120">
            <v>0.121</v>
          </cell>
          <cell r="CQ120">
            <v>0.1212</v>
          </cell>
          <cell r="CR120">
            <v>9.6600000000000005E-2</v>
          </cell>
          <cell r="CS120">
            <v>0.1162</v>
          </cell>
          <cell r="CU120">
            <v>0.12379999999999999</v>
          </cell>
          <cell r="CV120">
            <v>0.1066</v>
          </cell>
          <cell r="CW120">
            <v>0.1159</v>
          </cell>
          <cell r="CX120">
            <v>0.1013</v>
          </cell>
          <cell r="CY120">
            <v>0.11119999999999999</v>
          </cell>
          <cell r="DA120">
            <v>0.124</v>
          </cell>
          <cell r="DB120">
            <v>0.11310000000000001</v>
          </cell>
          <cell r="DC120">
            <v>0.1201</v>
          </cell>
          <cell r="DE120">
            <v>0.114</v>
          </cell>
          <cell r="DG120">
            <v>0.1376</v>
          </cell>
          <cell r="DH120">
            <v>0.12239999999999999</v>
          </cell>
          <cell r="DI120">
            <v>0.12139999999999999</v>
          </cell>
          <cell r="DJ120">
            <v>0.1027</v>
          </cell>
          <cell r="DK120">
            <v>0.11940000000000001</v>
          </cell>
          <cell r="DM120">
            <v>0.1166</v>
          </cell>
          <cell r="DN120">
            <v>0.1174</v>
          </cell>
          <cell r="DO120">
            <v>0.1182</v>
          </cell>
          <cell r="DP120">
            <v>0.1045</v>
          </cell>
          <cell r="DQ120">
            <v>0.11360000000000001</v>
          </cell>
          <cell r="DS120">
            <v>0.13619999999999999</v>
          </cell>
          <cell r="DT120">
            <v>0.12180000000000001</v>
          </cell>
          <cell r="DU120">
            <v>0.1226</v>
          </cell>
          <cell r="DV120">
            <v>0.10680000000000001</v>
          </cell>
          <cell r="DW120">
            <v>0.1208</v>
          </cell>
          <cell r="DY120">
            <v>0.13600000000000001</v>
          </cell>
          <cell r="DZ120">
            <v>0.1278</v>
          </cell>
          <cell r="EA120">
            <v>0.12809999999999999</v>
          </cell>
          <cell r="EB120">
            <v>0.11020000000000001</v>
          </cell>
          <cell r="EC120">
            <v>0.1244</v>
          </cell>
          <cell r="EE120">
            <v>0.14199999999999999</v>
          </cell>
          <cell r="EF120">
            <v>0.13059999999999999</v>
          </cell>
          <cell r="EG120">
            <v>0.13200000000000001</v>
          </cell>
          <cell r="EH120">
            <v>0.1207</v>
          </cell>
          <cell r="EI120">
            <v>0.13070000000000001</v>
          </cell>
          <cell r="EK120">
            <v>0.14699999999999999</v>
          </cell>
          <cell r="EL120">
            <v>0.14369999999999999</v>
          </cell>
          <cell r="EM120">
            <v>0.14299999999999999</v>
          </cell>
          <cell r="EN120">
            <v>0.126</v>
          </cell>
          <cell r="EO120">
            <v>0.13930000000000001</v>
          </cell>
          <cell r="EQ120">
            <v>0.15</v>
          </cell>
          <cell r="ER120">
            <v>0.14299999999999999</v>
          </cell>
          <cell r="ES120">
            <v>0.14599999999999999</v>
          </cell>
          <cell r="ET120">
            <v>0.13100000000000001</v>
          </cell>
          <cell r="EU120">
            <v>0.14199999999999999</v>
          </cell>
          <cell r="EW120">
            <v>0.155</v>
          </cell>
          <cell r="EX120">
            <v>0.14799999999999999</v>
          </cell>
          <cell r="EY120">
            <v>0.14699999999999999</v>
          </cell>
          <cell r="EZ120">
            <v>0.13300000000000001</v>
          </cell>
          <cell r="FA120">
            <v>0.14530000000000001</v>
          </cell>
        </row>
        <row r="121">
          <cell r="C121">
            <v>0</v>
          </cell>
          <cell r="D121">
            <v>0.93600103535642609</v>
          </cell>
          <cell r="E121">
            <v>0.79295710768433336</v>
          </cell>
          <cell r="F121">
            <v>0.37721966252095429</v>
          </cell>
          <cell r="G121">
            <v>1.6768013327780094</v>
          </cell>
          <cell r="H121">
            <v>1.0448887505834761</v>
          </cell>
          <cell r="I121">
            <v>0.67949400798934745</v>
          </cell>
          <cell r="J121">
            <v>-6.2984902198412018E-2</v>
          </cell>
          <cell r="K121">
            <v>0.33737459204641596</v>
          </cell>
          <cell r="L121">
            <v>0.32337921746911169</v>
          </cell>
          <cell r="M121">
            <v>0.34603196284660576</v>
          </cell>
          <cell r="O121">
            <v>0</v>
          </cell>
          <cell r="P121">
            <v>0</v>
          </cell>
          <cell r="Q121">
            <v>0</v>
          </cell>
          <cell r="R121">
            <v>0</v>
          </cell>
          <cell r="S121">
            <v>0.32478714875739501</v>
          </cell>
          <cell r="U121">
            <v>0.5309208260057654</v>
          </cell>
          <cell r="V121">
            <v>0.62988851221472775</v>
          </cell>
          <cell r="W121">
            <v>0.36753459175102798</v>
          </cell>
          <cell r="X121">
            <v>0.46658668414738225</v>
          </cell>
          <cell r="Y121">
            <v>0.49022393976185108</v>
          </cell>
          <cell r="AA121">
            <v>0.38805793394204247</v>
          </cell>
          <cell r="AB121">
            <v>0.45059610601252253</v>
          </cell>
          <cell r="AC121">
            <v>0.49266742093637172</v>
          </cell>
          <cell r="AD121">
            <v>0.38680160236137451</v>
          </cell>
          <cell r="AE121">
            <v>0.42761756186824229</v>
          </cell>
          <cell r="AG121">
            <v>0.3622418073697411</v>
          </cell>
          <cell r="AH121">
            <v>0.35415373244641546</v>
          </cell>
          <cell r="AI121">
            <v>0.32902611043334518</v>
          </cell>
          <cell r="AJ121">
            <v>0.16852955485283383</v>
          </cell>
          <cell r="AK121">
            <v>0.29464279284793582</v>
          </cell>
          <cell r="AM121">
            <v>0.17508940482378943</v>
          </cell>
          <cell r="AN121">
            <v>9.5302291817898954E-2</v>
          </cell>
          <cell r="AO121">
            <v>0.1395500418237321</v>
          </cell>
          <cell r="AP121">
            <v>0.26621494330039086</v>
          </cell>
          <cell r="AQ121">
            <v>0.17001208382755584</v>
          </cell>
          <cell r="AS121">
            <v>0.25752706224716593</v>
          </cell>
          <cell r="AT121">
            <v>0.23660789922163872</v>
          </cell>
          <cell r="AU121">
            <v>0.21808596840770633</v>
          </cell>
          <cell r="AV121">
            <v>0.1106503306522213</v>
          </cell>
          <cell r="AW121">
            <v>0.20023151724613331</v>
          </cell>
          <cell r="AY121">
            <v>6.3939713741994808E-2</v>
          </cell>
          <cell r="AZ121">
            <v>7.3017408123791094E-2</v>
          </cell>
          <cell r="BA121">
            <v>0.1796229338842974</v>
          </cell>
          <cell r="BB121">
            <v>0.1835480277838426</v>
          </cell>
          <cell r="BC121">
            <v>0.12744954361004535</v>
          </cell>
          <cell r="BE121">
            <v>9.0548028698109739E-3</v>
          </cell>
          <cell r="BF121">
            <v>-3.3036653147063166E-2</v>
          </cell>
          <cell r="BG121">
            <v>-6.0453467350018997E-2</v>
          </cell>
          <cell r="BH121">
            <v>-0.11783484299422509</v>
          </cell>
          <cell r="BI121">
            <v>-5.4835318389131804E-2</v>
          </cell>
          <cell r="BK121">
            <v>0.12909593367548355</v>
          </cell>
          <cell r="BL121">
            <v>0.14570670685054932</v>
          </cell>
          <cell r="BM121">
            <v>6.2736776694641394E-2</v>
          </cell>
          <cell r="BN121">
            <v>5.6205740371869428E-2</v>
          </cell>
          <cell r="BO121">
            <v>9.6495303654860587E-2</v>
          </cell>
          <cell r="BQ121">
            <v>4.195804195804187E-2</v>
          </cell>
          <cell r="BR121">
            <v>9.4915254237288194E-2</v>
          </cell>
          <cell r="BS121">
            <v>8.9700996677740896E-2</v>
          </cell>
          <cell r="BT121">
            <v>0.10402684563758391</v>
          </cell>
          <cell r="BU121">
            <v>8.3050847457627031E-2</v>
          </cell>
          <cell r="BW121">
            <v>4.6979865771812124E-2</v>
          </cell>
          <cell r="BX121">
            <v>1.2383900928792491E-2</v>
          </cell>
          <cell r="BY121">
            <v>0.19207317073170738</v>
          </cell>
          <cell r="BZ121">
            <v>0.37082066869300911</v>
          </cell>
          <cell r="CA121">
            <v>0.15884194053208134</v>
          </cell>
          <cell r="CC121">
            <v>0.26923076923076916</v>
          </cell>
          <cell r="CD121">
            <v>0.41896024464831805</v>
          </cell>
          <cell r="CE121">
            <v>0.1867007672634271</v>
          </cell>
          <cell r="CF121">
            <v>0.18093126385809311</v>
          </cell>
          <cell r="CG121">
            <v>0.25361242403781215</v>
          </cell>
          <cell r="CI121">
            <v>0.22222222222222232</v>
          </cell>
          <cell r="CJ121">
            <v>7.3275862068965525E-2</v>
          </cell>
          <cell r="CK121">
            <v>0.1831896551724137</v>
          </cell>
          <cell r="CL121">
            <v>8.7119789710852436E-2</v>
          </cell>
          <cell r="CM121">
            <v>0.13648604976839396</v>
          </cell>
          <cell r="CO121">
            <v>0.28925619834710736</v>
          </cell>
          <cell r="CP121">
            <v>0.30321285140562249</v>
          </cell>
          <cell r="CQ121">
            <v>0.18579234972677594</v>
          </cell>
          <cell r="CR121">
            <v>0.21416234887737473</v>
          </cell>
          <cell r="CS121">
            <v>0.24502369668246438</v>
          </cell>
          <cell r="CU121">
            <v>7.5320512820512775E-2</v>
          </cell>
          <cell r="CV121">
            <v>-6.6255778120184905E-2</v>
          </cell>
          <cell r="CW121">
            <v>-1.9969278033794113E-2</v>
          </cell>
          <cell r="CX121">
            <v>-8.5348506401138335E-3</v>
          </cell>
          <cell r="CY121">
            <v>-5.7099352874000475E-3</v>
          </cell>
          <cell r="DA121">
            <v>-6.4083457526080467E-2</v>
          </cell>
          <cell r="DB121">
            <v>9.5709570957095647E-2</v>
          </cell>
          <cell r="DC121">
            <v>0.21786833855799381</v>
          </cell>
          <cell r="DE121">
            <v>0.17993874425727419</v>
          </cell>
          <cell r="DG121">
            <v>0.66242038216560517</v>
          </cell>
          <cell r="DH121">
            <v>0.60240963855421681</v>
          </cell>
          <cell r="DI121">
            <v>0.37580437580437587</v>
          </cell>
          <cell r="DJ121">
            <v>9.5755182625863799E-2</v>
          </cell>
          <cell r="DK121">
            <v>0.39097988319273203</v>
          </cell>
          <cell r="DM121">
            <v>-6.2260536398467403E-2</v>
          </cell>
          <cell r="DN121">
            <v>-2.8195488721804551E-2</v>
          </cell>
          <cell r="DO121">
            <v>1.8709073900842199E-3</v>
          </cell>
          <cell r="DP121">
            <v>3.063063063063054E-2</v>
          </cell>
          <cell r="DQ121">
            <v>-1.3762537905295025E-2</v>
          </cell>
          <cell r="DS121">
            <v>0.14198161389172625</v>
          </cell>
          <cell r="DT121">
            <v>7.350096711798848E-2</v>
          </cell>
          <cell r="DU121">
            <v>2.7077497665732864E-2</v>
          </cell>
          <cell r="DV121">
            <v>2.3601398601398538E-2</v>
          </cell>
          <cell r="DW121">
            <v>6.4096499526963058E-2</v>
          </cell>
          <cell r="DY121">
            <v>1.9677996422182487E-2</v>
          </cell>
          <cell r="DZ121">
            <v>6.8468468468468435E-2</v>
          </cell>
          <cell r="EA121">
            <v>8.4545454545454479E-2</v>
          </cell>
          <cell r="EB121">
            <v>6.5755764304013642E-2</v>
          </cell>
          <cell r="EC121">
            <v>5.9568793065125636E-2</v>
          </cell>
          <cell r="EE121">
            <v>7.1052631578947478E-2</v>
          </cell>
          <cell r="EF121">
            <v>5.817875210792578E-2</v>
          </cell>
          <cell r="EG121">
            <v>3.2690695725062779E-2</v>
          </cell>
          <cell r="EH121">
            <v>3.6057692307692291E-2</v>
          </cell>
          <cell r="EI121">
            <v>4.9087476400251795E-2</v>
          </cell>
          <cell r="EK121">
            <v>1.7199017199017286E-2</v>
          </cell>
          <cell r="EL121">
            <v>3.0278884462151323E-2</v>
          </cell>
          <cell r="EM121">
            <v>5.9760830142857158E-2</v>
          </cell>
          <cell r="EN121">
            <v>1.2742086106728445E-2</v>
          </cell>
          <cell r="EO121">
            <v>2.9814209172565498E-2</v>
          </cell>
          <cell r="EQ121">
            <v>4.2509846280193386E-2</v>
          </cell>
          <cell r="ER121">
            <v>7.4031309444408944E-3</v>
          </cell>
          <cell r="ES121">
            <v>2.7076042790933563E-2</v>
          </cell>
          <cell r="ET121">
            <v>3.1463975011014167E-2</v>
          </cell>
          <cell r="EU121">
            <v>2.6974607637696213E-2</v>
          </cell>
          <cell r="EW121">
            <v>4.0737095000428436E-2</v>
          </cell>
          <cell r="EX121">
            <v>3.7291335118654567E-2</v>
          </cell>
          <cell r="EY121">
            <v>9.0111609849432561E-3</v>
          </cell>
          <cell r="EZ121">
            <v>1.9930991513106289E-3</v>
          </cell>
          <cell r="FA121">
            <v>2.1950505445861523E-2</v>
          </cell>
        </row>
        <row r="122">
          <cell r="C122">
            <v>1.665665</v>
          </cell>
          <cell r="D122">
            <v>1.9909859999999995</v>
          </cell>
          <cell r="E122">
            <v>4.261565</v>
          </cell>
          <cell r="F122">
            <v>8.6029999999999998</v>
          </cell>
          <cell r="G122">
            <v>17.120999999999999</v>
          </cell>
          <cell r="H122">
            <v>34.344000000000001</v>
          </cell>
          <cell r="I122">
            <v>67.257999999999996</v>
          </cell>
          <cell r="J122">
            <v>100.503</v>
          </cell>
          <cell r="K122">
            <v>106.19900000000001</v>
          </cell>
          <cell r="L122">
            <v>122.779</v>
          </cell>
          <cell r="M122">
            <v>135.09899999999999</v>
          </cell>
          <cell r="O122">
            <v>39.329000000000001</v>
          </cell>
          <cell r="P122">
            <v>43.476999999999997</v>
          </cell>
          <cell r="Q122">
            <v>42.033999999999999</v>
          </cell>
          <cell r="R122">
            <v>49.363</v>
          </cell>
          <cell r="S122">
            <v>174.203</v>
          </cell>
          <cell r="U122">
            <v>51.707999999999998</v>
          </cell>
          <cell r="V122">
            <v>57.228000000000002</v>
          </cell>
          <cell r="W122">
            <v>55.366999999999997</v>
          </cell>
          <cell r="X122">
            <v>68.837999999999994</v>
          </cell>
          <cell r="Y122">
            <v>233.14099999999999</v>
          </cell>
          <cell r="AA122">
            <v>70.278999999999996</v>
          </cell>
          <cell r="AB122">
            <v>69.713999999999999</v>
          </cell>
          <cell r="AC122">
            <v>75.355999999999995</v>
          </cell>
          <cell r="AD122">
            <v>92.866</v>
          </cell>
          <cell r="AE122">
            <v>308.21499999999997</v>
          </cell>
          <cell r="AG122">
            <v>75.513999999999996</v>
          </cell>
          <cell r="AH122">
            <v>81.382999999999996</v>
          </cell>
          <cell r="AI122">
            <v>92.361000000000004</v>
          </cell>
          <cell r="AJ122">
            <v>119.298</v>
          </cell>
          <cell r="AK122">
            <v>368.55599999999998</v>
          </cell>
          <cell r="AM122">
            <v>94.284999999999997</v>
          </cell>
          <cell r="AN122">
            <v>101.598</v>
          </cell>
          <cell r="AO122">
            <v>103.663</v>
          </cell>
          <cell r="AP122">
            <v>126.892</v>
          </cell>
          <cell r="AQ122">
            <v>426.43799999999999</v>
          </cell>
          <cell r="AS122">
            <v>107.53700000000001</v>
          </cell>
          <cell r="AT122">
            <v>113.05500000000001</v>
          </cell>
          <cell r="AU122">
            <v>122.188</v>
          </cell>
          <cell r="AV122">
            <v>137.87799999999999</v>
          </cell>
          <cell r="AW122">
            <v>480.65800000000002</v>
          </cell>
          <cell r="AY122">
            <v>105.965</v>
          </cell>
          <cell r="AZ122">
            <v>111.402</v>
          </cell>
          <cell r="BA122">
            <v>120.57</v>
          </cell>
          <cell r="BB122">
            <v>118.691</v>
          </cell>
          <cell r="BC122">
            <v>456.62800000000004</v>
          </cell>
          <cell r="BE122">
            <v>97.614000000000004</v>
          </cell>
          <cell r="BF122">
            <v>98.917000000000002</v>
          </cell>
          <cell r="BG122">
            <v>105.09</v>
          </cell>
          <cell r="BH122">
            <v>109.592</v>
          </cell>
          <cell r="BI122">
            <v>411.21299999999997</v>
          </cell>
          <cell r="BK122">
            <v>102</v>
          </cell>
          <cell r="BL122">
            <v>109</v>
          </cell>
          <cell r="BM122">
            <v>115</v>
          </cell>
          <cell r="BN122">
            <v>115</v>
          </cell>
          <cell r="BO122">
            <v>441</v>
          </cell>
          <cell r="BQ122">
            <v>131</v>
          </cell>
          <cell r="BR122">
            <v>137</v>
          </cell>
          <cell r="BS122">
            <v>145</v>
          </cell>
          <cell r="BT122">
            <v>148</v>
          </cell>
          <cell r="BU122">
            <v>561</v>
          </cell>
          <cell r="BW122">
            <v>124.5</v>
          </cell>
          <cell r="BX122">
            <v>129.69999999999999</v>
          </cell>
          <cell r="BY122">
            <v>146</v>
          </cell>
          <cell r="BZ122">
            <v>150</v>
          </cell>
          <cell r="CA122">
            <v>550.20000000000005</v>
          </cell>
          <cell r="CC122">
            <v>156</v>
          </cell>
          <cell r="CD122">
            <v>109</v>
          </cell>
          <cell r="CE122">
            <v>146</v>
          </cell>
          <cell r="CF122">
            <v>144.55000000000001</v>
          </cell>
          <cell r="CG122">
            <v>555.54999999999995</v>
          </cell>
          <cell r="CI122">
            <v>145</v>
          </cell>
          <cell r="CJ122">
            <v>158</v>
          </cell>
          <cell r="CK122">
            <v>163</v>
          </cell>
          <cell r="CL122">
            <v>176</v>
          </cell>
          <cell r="CM122">
            <v>642</v>
          </cell>
          <cell r="CO122">
            <v>175</v>
          </cell>
          <cell r="CP122">
            <v>187</v>
          </cell>
          <cell r="CQ122">
            <v>190</v>
          </cell>
          <cell r="CR122">
            <v>186</v>
          </cell>
          <cell r="CS122">
            <v>738</v>
          </cell>
          <cell r="CU122">
            <v>182</v>
          </cell>
          <cell r="CV122">
            <v>152</v>
          </cell>
          <cell r="CW122">
            <v>168</v>
          </cell>
          <cell r="CX122">
            <v>189</v>
          </cell>
          <cell r="CY122">
            <v>691</v>
          </cell>
          <cell r="DA122">
            <v>172</v>
          </cell>
          <cell r="DB122">
            <v>150</v>
          </cell>
          <cell r="DC122">
            <v>202</v>
          </cell>
          <cell r="DE122">
            <v>781</v>
          </cell>
          <cell r="DG122">
            <v>236</v>
          </cell>
          <cell r="DH122">
            <v>120</v>
          </cell>
          <cell r="DI122">
            <v>249</v>
          </cell>
          <cell r="DJ122">
            <v>220</v>
          </cell>
          <cell r="DK122">
            <v>825</v>
          </cell>
          <cell r="DM122">
            <v>271</v>
          </cell>
          <cell r="DN122">
            <v>237</v>
          </cell>
          <cell r="DO122">
            <v>220</v>
          </cell>
          <cell r="DP122">
            <v>236</v>
          </cell>
          <cell r="DQ122">
            <v>964</v>
          </cell>
          <cell r="DS122">
            <v>234</v>
          </cell>
          <cell r="DT122">
            <v>222</v>
          </cell>
          <cell r="DU122">
            <v>220</v>
          </cell>
          <cell r="DV122">
            <v>231</v>
          </cell>
          <cell r="DW122">
            <v>907</v>
          </cell>
          <cell r="DY122">
            <v>218</v>
          </cell>
          <cell r="DZ122">
            <v>220</v>
          </cell>
          <cell r="EA122">
            <v>209</v>
          </cell>
          <cell r="EB122">
            <v>220</v>
          </cell>
          <cell r="EC122">
            <v>867</v>
          </cell>
          <cell r="EE122">
            <v>231</v>
          </cell>
          <cell r="EF122">
            <v>229</v>
          </cell>
          <cell r="EG122">
            <v>223</v>
          </cell>
          <cell r="EH122">
            <v>247</v>
          </cell>
          <cell r="EI122">
            <v>930</v>
          </cell>
          <cell r="EK122">
            <v>228</v>
          </cell>
          <cell r="EL122">
            <v>258</v>
          </cell>
          <cell r="EM122">
            <v>228.25617880000001</v>
          </cell>
          <cell r="EN122">
            <v>239.03124522799999</v>
          </cell>
          <cell r="EO122">
            <v>953.28742402800003</v>
          </cell>
          <cell r="EQ122">
            <v>224.43151970720004</v>
          </cell>
          <cell r="ER122">
            <v>252.3164425050293</v>
          </cell>
          <cell r="ES122">
            <v>220.43449485778311</v>
          </cell>
          <cell r="ET122">
            <v>226.83122206413645</v>
          </cell>
          <cell r="EU122">
            <v>924.0136791341489</v>
          </cell>
          <cell r="EW122">
            <v>217.34572690440697</v>
          </cell>
          <cell r="EX122">
            <v>243.75420543646246</v>
          </cell>
          <cell r="EY122">
            <v>211.70330686210824</v>
          </cell>
          <cell r="EZ122">
            <v>213.68981922934697</v>
          </cell>
          <cell r="FA122">
            <v>886.49305843232469</v>
          </cell>
        </row>
        <row r="123">
          <cell r="C123">
            <v>0.13100000000000001</v>
          </cell>
          <cell r="D123">
            <v>8.5999999999999993E-2</v>
          </cell>
          <cell r="E123">
            <v>7.6999999999999999E-2</v>
          </cell>
          <cell r="F123">
            <v>6.5500000000000003E-2</v>
          </cell>
          <cell r="G123">
            <v>6.0699999999999997E-2</v>
          </cell>
          <cell r="H123">
            <v>5.8799999999999998E-2</v>
          </cell>
          <cell r="I123">
            <v>7.3400000000000007E-2</v>
          </cell>
          <cell r="J123">
            <v>9.7799999999999998E-2</v>
          </cell>
          <cell r="K123">
            <v>9.01E-2</v>
          </cell>
          <cell r="L123">
            <v>8.1699999999999995E-2</v>
          </cell>
          <cell r="M123">
            <v>6.7500000000000004E-2</v>
          </cell>
          <cell r="O123">
            <v>7.0699999999999999E-2</v>
          </cell>
          <cell r="P123">
            <v>6.4899999999999999E-2</v>
          </cell>
          <cell r="Q123">
            <v>5.8200000000000002E-2</v>
          </cell>
          <cell r="R123">
            <v>4.8500000000000001E-2</v>
          </cell>
          <cell r="S123">
            <v>5.8700000000000002E-2</v>
          </cell>
          <cell r="U123">
            <v>6.7000000000000004E-2</v>
          </cell>
          <cell r="V123">
            <v>5.9200000000000003E-2</v>
          </cell>
          <cell r="W123">
            <v>5.4300000000000001E-2</v>
          </cell>
          <cell r="X123">
            <v>4.7E-2</v>
          </cell>
          <cell r="Y123">
            <v>5.5199999999999999E-2</v>
          </cell>
          <cell r="AA123">
            <v>6.6799999999999998E-2</v>
          </cell>
          <cell r="AB123">
            <v>5.3199999999999997E-2</v>
          </cell>
          <cell r="AC123">
            <v>5.4899999999999997E-2</v>
          </cell>
          <cell r="AD123">
            <v>4.7699999999999999E-2</v>
          </cell>
          <cell r="AE123">
            <v>5.4199999999999998E-2</v>
          </cell>
          <cell r="AG123">
            <v>5.5199999999999999E-2</v>
          </cell>
          <cell r="AH123">
            <v>5.04E-2</v>
          </cell>
          <cell r="AI123">
            <v>5.28E-2</v>
          </cell>
          <cell r="AJ123">
            <v>4.9399999999999999E-2</v>
          </cell>
          <cell r="AK123">
            <v>5.16E-2</v>
          </cell>
          <cell r="AM123">
            <v>5.3900000000000003E-2</v>
          </cell>
          <cell r="AN123">
            <v>4.9399999999999999E-2</v>
          </cell>
          <cell r="AO123">
            <v>4.99E-2</v>
          </cell>
          <cell r="AP123">
            <v>4.3099999999999999E-2</v>
          </cell>
          <cell r="AQ123">
            <v>4.8300000000000003E-2</v>
          </cell>
          <cell r="AS123">
            <v>5.4199999999999998E-2</v>
          </cell>
          <cell r="AT123">
            <v>4.87E-2</v>
          </cell>
          <cell r="AU123">
            <v>4.99E-2</v>
          </cell>
          <cell r="AV123">
            <v>4.0899999999999999E-2</v>
          </cell>
          <cell r="AW123">
            <v>4.7399999999999998E-2</v>
          </cell>
          <cell r="AY123">
            <v>4.6300000000000001E-2</v>
          </cell>
          <cell r="AZ123">
            <v>4.1500000000000002E-2</v>
          </cell>
          <cell r="BA123">
            <v>4.4699999999999997E-2</v>
          </cell>
          <cell r="BB123">
            <v>3.61E-2</v>
          </cell>
          <cell r="BC123">
            <v>4.1700000000000001E-2</v>
          </cell>
          <cell r="BE123">
            <v>4.3099999999999999E-2</v>
          </cell>
          <cell r="BF123">
            <v>4.1599999999999998E-2</v>
          </cell>
          <cell r="BG123">
            <v>4.6600000000000003E-2</v>
          </cell>
          <cell r="BH123">
            <v>3.95E-2</v>
          </cell>
          <cell r="BI123">
            <v>4.2500000000000003E-2</v>
          </cell>
          <cell r="BK123">
            <v>5.0299999999999997E-2</v>
          </cell>
          <cell r="BL123">
            <v>4.7199999999999999E-2</v>
          </cell>
          <cell r="BM123">
            <v>4.9799999999999997E-2</v>
          </cell>
          <cell r="BN123">
            <v>4.0599999999999997E-2</v>
          </cell>
          <cell r="BO123">
            <v>4.65E-2</v>
          </cell>
          <cell r="BQ123">
            <v>6.3200000000000006E-2</v>
          </cell>
          <cell r="BR123">
            <v>5.4800000000000001E-2</v>
          </cell>
          <cell r="BS123">
            <v>5.7799999999999997E-2</v>
          </cell>
          <cell r="BT123">
            <v>4.8099999999999997E-2</v>
          </cell>
          <cell r="BU123">
            <v>5.5199999999999999E-2</v>
          </cell>
          <cell r="BW123">
            <v>5.62E-2</v>
          </cell>
          <cell r="BX123">
            <v>4.7100000000000003E-2</v>
          </cell>
          <cell r="BY123">
            <v>4.7199999999999999E-2</v>
          </cell>
          <cell r="BZ123">
            <v>3.6999999999999998E-2</v>
          </cell>
          <cell r="CA123">
            <v>4.5400000000000003E-2</v>
          </cell>
          <cell r="CC123">
            <v>5.3699999999999998E-2</v>
          </cell>
          <cell r="CD123">
            <v>3.2099999999999997E-2</v>
          </cell>
          <cell r="CE123">
            <v>4.1300000000000003E-2</v>
          </cell>
          <cell r="CF123">
            <v>2.93E-2</v>
          </cell>
          <cell r="CG123">
            <v>3.7600000000000001E-2</v>
          </cell>
          <cell r="CI123">
            <v>3.9600000000000003E-2</v>
          </cell>
          <cell r="CJ123">
            <v>3.7499999999999999E-2</v>
          </cell>
          <cell r="CK123">
            <v>3.6600000000000001E-2</v>
          </cell>
          <cell r="CL123">
            <v>2.9899999999999999E-2</v>
          </cell>
          <cell r="CM123">
            <v>3.5299999999999998E-2</v>
          </cell>
          <cell r="CO123">
            <v>3.8100000000000002E-2</v>
          </cell>
          <cell r="CP123">
            <v>3.49E-2</v>
          </cell>
          <cell r="CQ123">
            <v>3.5400000000000001E-2</v>
          </cell>
          <cell r="CR123">
            <v>2.5499999999999998E-2</v>
          </cell>
          <cell r="CS123">
            <v>3.2599999999999997E-2</v>
          </cell>
          <cell r="CU123">
            <v>3.3599999999999998E-2</v>
          </cell>
          <cell r="CV123">
            <v>2.6700000000000002E-2</v>
          </cell>
          <cell r="CW123">
            <v>3.0499999999999999E-2</v>
          </cell>
          <cell r="CX123">
            <v>2.75E-2</v>
          </cell>
          <cell r="CY123">
            <v>2.9399999999999999E-2</v>
          </cell>
          <cell r="DA123">
            <v>3.4000000000000002E-2</v>
          </cell>
          <cell r="DB123">
            <v>2.5499999999999998E-2</v>
          </cell>
          <cell r="DC123">
            <v>3.1199999999999999E-2</v>
          </cell>
          <cell r="DE123">
            <v>2.8899999999999999E-2</v>
          </cell>
          <cell r="DG123">
            <v>3.1099999999999999E-2</v>
          </cell>
          <cell r="DH123">
            <v>1.38E-2</v>
          </cell>
          <cell r="DI123">
            <v>2.8299999999999999E-2</v>
          </cell>
          <cell r="DJ123">
            <v>2.0400000000000001E-2</v>
          </cell>
          <cell r="DK123">
            <v>2.3E-2</v>
          </cell>
          <cell r="DM123">
            <v>3.2300000000000002E-2</v>
          </cell>
          <cell r="DN123">
            <v>2.69E-2</v>
          </cell>
          <cell r="DO123">
            <v>2.4299999999999999E-2</v>
          </cell>
          <cell r="DP123">
            <v>2.1600000000000001E-2</v>
          </cell>
          <cell r="DQ123">
            <v>2.5899999999999999E-2</v>
          </cell>
          <cell r="DS123">
            <v>2.8500000000000001E-2</v>
          </cell>
          <cell r="DT123">
            <v>2.4400000000000002E-2</v>
          </cell>
          <cell r="DU123">
            <v>2.4500000000000001E-2</v>
          </cell>
          <cell r="DV123">
            <v>2.1100000000000001E-2</v>
          </cell>
          <cell r="DW123">
            <v>2.4299999999999999E-2</v>
          </cell>
          <cell r="DY123">
            <v>2.5999999999999999E-2</v>
          </cell>
          <cell r="DZ123">
            <v>2.3699999999999999E-2</v>
          </cell>
          <cell r="EA123">
            <v>2.24E-2</v>
          </cell>
          <cell r="EB123">
            <v>1.9400000000000001E-2</v>
          </cell>
          <cell r="EC123">
            <v>2.2599999999999999E-2</v>
          </cell>
          <cell r="EE123">
            <v>2.69E-2</v>
          </cell>
          <cell r="EF123">
            <v>2.3800000000000002E-2</v>
          </cell>
          <cell r="EG123">
            <v>2.3900000000000001E-2</v>
          </cell>
          <cell r="EH123">
            <v>2.3099999999999999E-2</v>
          </cell>
          <cell r="EI123">
            <v>2.4299999999999999E-2</v>
          </cell>
          <cell r="EK123">
            <v>2.7E-2</v>
          </cell>
          <cell r="EL123">
            <v>2.87E-2</v>
          </cell>
          <cell r="EM123">
            <v>2.5000000000000001E-2</v>
          </cell>
          <cell r="EN123">
            <v>2.3E-2</v>
          </cell>
          <cell r="EO123">
            <v>2.58E-2</v>
          </cell>
          <cell r="EQ123">
            <v>2.5999999999999999E-2</v>
          </cell>
          <cell r="ER123">
            <v>2.7699999999999999E-2</v>
          </cell>
          <cell r="ES123">
            <v>2.4E-2</v>
          </cell>
          <cell r="ET123">
            <v>2.1999999999999999E-2</v>
          </cell>
          <cell r="EU123">
            <v>2.4799999999999999E-2</v>
          </cell>
          <cell r="EW123">
            <v>2.4999999999999998E-2</v>
          </cell>
          <cell r="EX123">
            <v>2.6699999999999998E-2</v>
          </cell>
          <cell r="EY123">
            <v>2.3E-2</v>
          </cell>
          <cell r="EZ123">
            <v>2.0999999999999998E-2</v>
          </cell>
          <cell r="FA123">
            <v>2.3800000000000002E-2</v>
          </cell>
        </row>
        <row r="124">
          <cell r="C124">
            <v>0</v>
          </cell>
          <cell r="D124">
            <v>0.1953099812987602</v>
          </cell>
          <cell r="E124">
            <v>1.1404294153750962</v>
          </cell>
          <cell r="F124">
            <v>1.0187419410474789</v>
          </cell>
          <cell r="G124">
            <v>0.99011972567708928</v>
          </cell>
          <cell r="H124">
            <v>1.005957595934817</v>
          </cell>
          <cell r="I124">
            <v>0.95836245050081503</v>
          </cell>
          <cell r="J124">
            <v>0.49429064200541206</v>
          </cell>
          <cell r="K124">
            <v>5.6674925126613207E-2</v>
          </cell>
          <cell r="L124">
            <v>0.15612199738227273</v>
          </cell>
          <cell r="M124">
            <v>0.10034289251419204</v>
          </cell>
          <cell r="O124">
            <v>0</v>
          </cell>
          <cell r="P124">
            <v>0</v>
          </cell>
          <cell r="Q124">
            <v>0</v>
          </cell>
          <cell r="R124">
            <v>0</v>
          </cell>
          <cell r="S124">
            <v>0.28944699812729935</v>
          </cell>
          <cell r="U124">
            <v>0.31475501538305051</v>
          </cell>
          <cell r="V124">
            <v>0.31628217218299337</v>
          </cell>
          <cell r="W124">
            <v>0.31719560355902354</v>
          </cell>
          <cell r="X124">
            <v>0.39452626461114582</v>
          </cell>
          <cell r="Y124">
            <v>0.33832942027404811</v>
          </cell>
          <cell r="AA124">
            <v>0.35915138856656603</v>
          </cell>
          <cell r="AB124">
            <v>0.21817991193122244</v>
          </cell>
          <cell r="AC124">
            <v>0.36102732674697924</v>
          </cell>
          <cell r="AD124">
            <v>0.34905139603126201</v>
          </cell>
          <cell r="AE124">
            <v>0.32201114347111837</v>
          </cell>
          <cell r="AG124">
            <v>7.4488823119281733E-2</v>
          </cell>
          <cell r="AH124">
            <v>0.16738388272083071</v>
          </cell>
          <cell r="AI124">
            <v>0.2256621901374809</v>
          </cell>
          <cell r="AJ124">
            <v>0.28462515883100381</v>
          </cell>
          <cell r="AK124">
            <v>0.19577567607027557</v>
          </cell>
          <cell r="AM124">
            <v>0.2485764229149563</v>
          </cell>
          <cell r="AN124">
            <v>0.24839339911283687</v>
          </cell>
          <cell r="AO124">
            <v>0.12236766600621474</v>
          </cell>
          <cell r="AP124">
            <v>6.365571929118663E-2</v>
          </cell>
          <cell r="AQ124">
            <v>0.15705076026438314</v>
          </cell>
          <cell r="AS124">
            <v>0.14055257994378767</v>
          </cell>
          <cell r="AT124">
            <v>0.1127679678733835</v>
          </cell>
          <cell r="AU124">
            <v>0.17870406991887178</v>
          </cell>
          <cell r="AV124">
            <v>8.6577562021246335E-2</v>
          </cell>
          <cell r="AW124">
            <v>0.12714626745271307</v>
          </cell>
          <cell r="AY124">
            <v>-1.461822442508165E-2</v>
          </cell>
          <cell r="AZ124">
            <v>-1.4621202069789119E-2</v>
          </cell>
          <cell r="BA124">
            <v>-1.3241889547255137E-2</v>
          </cell>
          <cell r="BB124">
            <v>-0.13915925673421425</v>
          </cell>
          <cell r="BC124">
            <v>-4.9993966604113482E-2</v>
          </cell>
          <cell r="BE124">
            <v>-7.8809040720992818E-2</v>
          </cell>
          <cell r="BF124">
            <v>-0.11207159656020538</v>
          </cell>
          <cell r="BG124">
            <v>-0.12839014680268712</v>
          </cell>
          <cell r="BH124">
            <v>-7.6661246429805208E-2</v>
          </cell>
          <cell r="BI124">
            <v>-9.945732631376103E-2</v>
          </cell>
          <cell r="BK124">
            <v>4.4932079414838011E-2</v>
          </cell>
          <cell r="BL124">
            <v>0.10193394462023719</v>
          </cell>
          <cell r="BM124">
            <v>9.4300123703492167E-2</v>
          </cell>
          <cell r="BN124">
            <v>4.934666763997364E-2</v>
          </cell>
          <cell r="BO124">
            <v>7.2436912257151542E-2</v>
          </cell>
          <cell r="BQ124">
            <v>0.28431372549019618</v>
          </cell>
          <cell r="BR124">
            <v>0.25688073394495414</v>
          </cell>
          <cell r="BS124">
            <v>0.26086956521739135</v>
          </cell>
          <cell r="BT124">
            <v>0.28695652173913033</v>
          </cell>
          <cell r="BU124">
            <v>0.27210884353741505</v>
          </cell>
          <cell r="BW124">
            <v>-4.961832061068705E-2</v>
          </cell>
          <cell r="BX124">
            <v>-5.3284671532846772E-2</v>
          </cell>
          <cell r="BY124">
            <v>6.8965517241379448E-3</v>
          </cell>
          <cell r="BZ124">
            <v>1.3513513513513598E-2</v>
          </cell>
          <cell r="CA124">
            <v>-1.9251336898395643E-2</v>
          </cell>
          <cell r="CC124">
            <v>0.25301204819277112</v>
          </cell>
          <cell r="CD124">
            <v>-0.15959907478797219</v>
          </cell>
          <cell r="CE124">
            <v>0</v>
          </cell>
          <cell r="CF124">
            <v>-3.6333333333333218E-2</v>
          </cell>
          <cell r="CG124">
            <v>9.7237368229732279E-3</v>
          </cell>
          <cell r="CI124">
            <v>-7.0512820512820484E-2</v>
          </cell>
          <cell r="CJ124">
            <v>0.44954128440366969</v>
          </cell>
          <cell r="CK124">
            <v>0.11643835616438358</v>
          </cell>
          <cell r="CL124">
            <v>0.21757177447250076</v>
          </cell>
          <cell r="CM124">
            <v>0.15561155611556132</v>
          </cell>
          <cell r="CO124">
            <v>0.2068965517241379</v>
          </cell>
          <cell r="CP124">
            <v>0.18354430379746844</v>
          </cell>
          <cell r="CQ124">
            <v>0.16564417177914104</v>
          </cell>
          <cell r="CR124">
            <v>5.6818181818181879E-2</v>
          </cell>
          <cell r="CS124">
            <v>0.14953271028037385</v>
          </cell>
          <cell r="CU124">
            <v>4.0000000000000036E-2</v>
          </cell>
          <cell r="CV124">
            <v>-0.18716577540106949</v>
          </cell>
          <cell r="CW124">
            <v>-0.11578947368421055</v>
          </cell>
          <cell r="CX124">
            <v>1.6129032258064502E-2</v>
          </cell>
          <cell r="CY124">
            <v>-6.3685636856368522E-2</v>
          </cell>
          <cell r="DA124">
            <v>-5.4945054945054972E-2</v>
          </cell>
          <cell r="DB124">
            <v>-1.3157894736842146E-2</v>
          </cell>
          <cell r="DC124">
            <v>0.20238095238095233</v>
          </cell>
          <cell r="DE124">
            <v>0.13024602026049203</v>
          </cell>
          <cell r="DG124">
            <v>0.37209302325581395</v>
          </cell>
          <cell r="DH124">
            <v>-0.19999999999999996</v>
          </cell>
          <cell r="DI124">
            <v>0.23267326732673266</v>
          </cell>
          <cell r="DJ124">
            <v>-0.14396887159533078</v>
          </cell>
          <cell r="DK124">
            <v>5.6338028169014009E-2</v>
          </cell>
          <cell r="DM124">
            <v>0.14830508474576276</v>
          </cell>
          <cell r="DN124">
            <v>0.97500000000000009</v>
          </cell>
          <cell r="DO124">
            <v>-0.11646586345381527</v>
          </cell>
          <cell r="DP124">
            <v>7.2727272727272751E-2</v>
          </cell>
          <cell r="DQ124">
            <v>0.16848484848484846</v>
          </cell>
          <cell r="DS124">
            <v>-0.13653136531365317</v>
          </cell>
          <cell r="DT124">
            <v>-6.3291139240506333E-2</v>
          </cell>
          <cell r="DU124">
            <v>0</v>
          </cell>
          <cell r="DV124">
            <v>-2.1186440677966156E-2</v>
          </cell>
          <cell r="DW124">
            <v>-5.9128630705394203E-2</v>
          </cell>
          <cell r="DY124">
            <v>-6.8376068376068355E-2</v>
          </cell>
          <cell r="DZ124">
            <v>-9.009009009009028E-3</v>
          </cell>
          <cell r="EA124">
            <v>-5.0000000000000044E-2</v>
          </cell>
          <cell r="EB124">
            <v>-4.7619047619047672E-2</v>
          </cell>
          <cell r="EC124">
            <v>-4.4101433296582115E-2</v>
          </cell>
          <cell r="EE124">
            <v>5.9633027522935755E-2</v>
          </cell>
          <cell r="EF124">
            <v>4.0909090909091006E-2</v>
          </cell>
          <cell r="EG124">
            <v>6.698564593301426E-2</v>
          </cell>
          <cell r="EH124">
            <v>0.1227272727272728</v>
          </cell>
          <cell r="EI124">
            <v>7.2664359861591699E-2</v>
          </cell>
          <cell r="EK124">
            <v>-1.2987012987012991E-2</v>
          </cell>
          <cell r="EL124">
            <v>0.1266375545851528</v>
          </cell>
          <cell r="EM124">
            <v>2.3570308520179495E-2</v>
          </cell>
          <cell r="EN124">
            <v>-3.2262165068825954E-2</v>
          </cell>
          <cell r="EO124">
            <v>2.5040240890322529E-2</v>
          </cell>
          <cell r="EQ124">
            <v>-1.5651229354385787E-2</v>
          </cell>
          <cell r="ER124">
            <v>-2.2029292616165486E-2</v>
          </cell>
          <cell r="ES124">
            <v>-3.4267129079867509E-2</v>
          </cell>
          <cell r="ET124">
            <v>-5.1039449475429599E-2</v>
          </cell>
          <cell r="EU124">
            <v>-3.0708204216267188E-2</v>
          </cell>
          <cell r="EW124">
            <v>-3.1572182071561983E-2</v>
          </cell>
          <cell r="EX124">
            <v>-3.3934518827072435E-2</v>
          </cell>
          <cell r="EY124">
            <v>-3.960899133009077E-2</v>
          </cell>
          <cell r="EZ124">
            <v>-5.7934717783576395E-2</v>
          </cell>
          <cell r="FA124">
            <v>-4.0606131217649333E-2</v>
          </cell>
        </row>
        <row r="125"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O125">
            <v>0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U125">
            <v>0</v>
          </cell>
          <cell r="V125">
            <v>0</v>
          </cell>
          <cell r="W125">
            <v>0</v>
          </cell>
          <cell r="X125">
            <v>0</v>
          </cell>
          <cell r="Y125">
            <v>0</v>
          </cell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G125">
            <v>0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M125">
            <v>0</v>
          </cell>
          <cell r="AN125">
            <v>0</v>
          </cell>
          <cell r="AO125">
            <v>0</v>
          </cell>
          <cell r="AP125">
            <v>0</v>
          </cell>
          <cell r="AQ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0</v>
          </cell>
          <cell r="BK125">
            <v>152.18658892128281</v>
          </cell>
          <cell r="BL125">
            <v>151.02803738317758</v>
          </cell>
          <cell r="BM125">
            <v>120.50262697022765</v>
          </cell>
          <cell r="BN125">
            <v>102.43895619757689</v>
          </cell>
          <cell r="BO125">
            <v>526.15620947226489</v>
          </cell>
          <cell r="BQ125">
            <v>98.090909090909093</v>
          </cell>
          <cell r="BR125">
            <v>96.499189627228532</v>
          </cell>
          <cell r="BS125">
            <v>86.542586750788644</v>
          </cell>
          <cell r="BT125">
            <v>21.5</v>
          </cell>
          <cell r="BU125">
            <v>302.6326854689263</v>
          </cell>
          <cell r="BW125">
            <v>53.646365422396862</v>
          </cell>
          <cell r="BX125">
            <v>58.053987730061344</v>
          </cell>
          <cell r="BY125">
            <v>60.021818181818183</v>
          </cell>
          <cell r="BZ125">
            <v>115.77802359882004</v>
          </cell>
          <cell r="CA125">
            <v>287.50019493309645</v>
          </cell>
          <cell r="CC125">
            <v>48.051490514905147</v>
          </cell>
          <cell r="CD125">
            <v>54.856922285126096</v>
          </cell>
          <cell r="CE125">
            <v>57.777356517191784</v>
          </cell>
          <cell r="CF125">
            <v>63.55630743204275</v>
          </cell>
          <cell r="CG125">
            <v>224.24207674926578</v>
          </cell>
          <cell r="CI125">
            <v>50</v>
          </cell>
          <cell r="CJ125">
            <v>47</v>
          </cell>
          <cell r="CK125">
            <v>48</v>
          </cell>
          <cell r="CL125">
            <v>53</v>
          </cell>
          <cell r="CM125">
            <v>198</v>
          </cell>
          <cell r="CO125">
            <v>69</v>
          </cell>
          <cell r="CP125">
            <v>63</v>
          </cell>
          <cell r="CQ125">
            <v>62</v>
          </cell>
          <cell r="CR125">
            <v>64</v>
          </cell>
          <cell r="CS125">
            <v>258</v>
          </cell>
          <cell r="CU125">
            <v>86</v>
          </cell>
          <cell r="CV125">
            <v>89</v>
          </cell>
          <cell r="CW125">
            <v>85</v>
          </cell>
          <cell r="CX125">
            <v>82</v>
          </cell>
          <cell r="CY125">
            <v>342</v>
          </cell>
          <cell r="DA125">
            <v>84</v>
          </cell>
          <cell r="DB125">
            <v>104</v>
          </cell>
          <cell r="DC125">
            <v>112</v>
          </cell>
          <cell r="DE125">
            <v>426</v>
          </cell>
          <cell r="DG125">
            <v>129</v>
          </cell>
          <cell r="DH125">
            <v>119</v>
          </cell>
          <cell r="DI125">
            <v>128</v>
          </cell>
          <cell r="DJ125">
            <v>127</v>
          </cell>
          <cell r="DK125">
            <v>503</v>
          </cell>
          <cell r="DM125">
            <v>147</v>
          </cell>
          <cell r="DN125">
            <v>150</v>
          </cell>
          <cell r="DO125">
            <v>157</v>
          </cell>
          <cell r="DP125">
            <v>184</v>
          </cell>
          <cell r="DQ125">
            <v>638</v>
          </cell>
          <cell r="DS125">
            <v>176</v>
          </cell>
          <cell r="DT125">
            <v>188</v>
          </cell>
          <cell r="DU125">
            <v>172</v>
          </cell>
          <cell r="DV125">
            <v>190</v>
          </cell>
          <cell r="DW125">
            <v>726</v>
          </cell>
          <cell r="DY125">
            <v>198</v>
          </cell>
          <cell r="DZ125">
            <v>183</v>
          </cell>
          <cell r="EA125">
            <v>198</v>
          </cell>
          <cell r="EB125">
            <v>223</v>
          </cell>
          <cell r="EC125">
            <v>802</v>
          </cell>
          <cell r="EE125">
            <v>212</v>
          </cell>
          <cell r="EF125">
            <v>241</v>
          </cell>
          <cell r="EG125">
            <v>234</v>
          </cell>
          <cell r="EH125">
            <v>244</v>
          </cell>
          <cell r="EI125">
            <v>931</v>
          </cell>
          <cell r="EK125">
            <v>250</v>
          </cell>
          <cell r="EL125">
            <v>254</v>
          </cell>
          <cell r="EM125">
            <v>199.65261781147044</v>
          </cell>
          <cell r="EN125">
            <v>199.65261781147044</v>
          </cell>
          <cell r="EO125">
            <v>903.30523562294093</v>
          </cell>
          <cell r="EQ125">
            <v>180.19750498305248</v>
          </cell>
          <cell r="ER125">
            <v>180.19750498305248</v>
          </cell>
          <cell r="ES125">
            <v>180.19750498305248</v>
          </cell>
          <cell r="ET125">
            <v>180.19750498305248</v>
          </cell>
          <cell r="EU125">
            <v>720.79001993220993</v>
          </cell>
          <cell r="EW125">
            <v>160.87327360310655</v>
          </cell>
          <cell r="EX125">
            <v>160.87327360310655</v>
          </cell>
          <cell r="EY125">
            <v>160.87327360310655</v>
          </cell>
          <cell r="EZ125">
            <v>160.87327360310655</v>
          </cell>
          <cell r="FA125">
            <v>643.49309441242622</v>
          </cell>
        </row>
        <row r="126"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O126">
            <v>0</v>
          </cell>
          <cell r="P126">
            <v>0</v>
          </cell>
          <cell r="Q126">
            <v>0</v>
          </cell>
          <cell r="R126">
            <v>0</v>
          </cell>
          <cell r="S126">
            <v>0</v>
          </cell>
          <cell r="U126">
            <v>0</v>
          </cell>
          <cell r="V126">
            <v>0</v>
          </cell>
          <cell r="W126">
            <v>0</v>
          </cell>
          <cell r="X126">
            <v>0</v>
          </cell>
          <cell r="Y126">
            <v>0</v>
          </cell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G126">
            <v>0</v>
          </cell>
          <cell r="AH126">
            <v>0</v>
          </cell>
          <cell r="AI126">
            <v>0</v>
          </cell>
          <cell r="AJ126">
            <v>0</v>
          </cell>
          <cell r="AK126">
            <v>0</v>
          </cell>
          <cell r="AM126">
            <v>0</v>
          </cell>
          <cell r="AN126">
            <v>0</v>
          </cell>
          <cell r="AO126">
            <v>0</v>
          </cell>
          <cell r="AP126">
            <v>0</v>
          </cell>
          <cell r="AQ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0</v>
          </cell>
          <cell r="BK126">
            <v>7.4999999999999997E-2</v>
          </cell>
          <cell r="BL126">
            <v>6.54E-2</v>
          </cell>
          <cell r="BM126">
            <v>5.2200000000000003E-2</v>
          </cell>
          <cell r="BN126">
            <v>3.6200000000000003E-2</v>
          </cell>
          <cell r="BO126">
            <v>5.5500000000000001E-2</v>
          </cell>
          <cell r="BQ126">
            <v>4.7300000000000002E-2</v>
          </cell>
          <cell r="BR126">
            <v>3.8600000000000002E-2</v>
          </cell>
          <cell r="BS126">
            <v>3.4500000000000003E-2</v>
          </cell>
          <cell r="BT126">
            <v>7.0000000000000001E-3</v>
          </cell>
          <cell r="BU126">
            <v>2.98E-2</v>
          </cell>
          <cell r="BW126">
            <v>2.4199999999999999E-2</v>
          </cell>
          <cell r="BX126">
            <v>2.1100000000000001E-2</v>
          </cell>
          <cell r="BY126">
            <v>1.9400000000000001E-2</v>
          </cell>
          <cell r="BZ126">
            <v>2.86E-2</v>
          </cell>
          <cell r="CA126">
            <v>2.3699999999999999E-2</v>
          </cell>
          <cell r="CC126">
            <v>1.6500000000000001E-2</v>
          </cell>
          <cell r="CD126">
            <v>1.6199999999999999E-2</v>
          </cell>
          <cell r="CE126">
            <v>1.6299999999999999E-2</v>
          </cell>
          <cell r="CF126">
            <v>1.29E-2</v>
          </cell>
          <cell r="CG126">
            <v>1.52E-2</v>
          </cell>
          <cell r="CI126">
            <v>1.37E-2</v>
          </cell>
          <cell r="CJ126">
            <v>1.11E-2</v>
          </cell>
          <cell r="CK126">
            <v>1.0800000000000001E-2</v>
          </cell>
          <cell r="CL126">
            <v>8.9999999999999993E-3</v>
          </cell>
          <cell r="CM126">
            <v>1.09E-2</v>
          </cell>
          <cell r="CO126">
            <v>1.4999999999999999E-2</v>
          </cell>
          <cell r="CP126">
            <v>1.17E-2</v>
          </cell>
          <cell r="CQ126">
            <v>1.15E-2</v>
          </cell>
          <cell r="CR126">
            <v>8.8000000000000005E-3</v>
          </cell>
          <cell r="CS126">
            <v>1.14E-2</v>
          </cell>
          <cell r="CU126">
            <v>1.5900000000000001E-2</v>
          </cell>
          <cell r="CV126">
            <v>1.5599999999999999E-2</v>
          </cell>
          <cell r="CW126">
            <v>1.54E-2</v>
          </cell>
          <cell r="CX126">
            <v>1.1900000000000001E-2</v>
          </cell>
          <cell r="CY126">
            <v>1.46E-2</v>
          </cell>
          <cell r="DA126">
            <v>1.66E-2</v>
          </cell>
          <cell r="DB126">
            <v>1.77E-2</v>
          </cell>
          <cell r="DC126">
            <v>1.7299999999999999E-2</v>
          </cell>
          <cell r="DE126">
            <v>1.5800000000000002E-2</v>
          </cell>
          <cell r="DG126">
            <v>1.7000000000000001E-2</v>
          </cell>
          <cell r="DH126">
            <v>1.37E-2</v>
          </cell>
          <cell r="DI126">
            <v>1.4500000000000001E-2</v>
          </cell>
          <cell r="DJ126">
            <v>1.18E-2</v>
          </cell>
          <cell r="DK126">
            <v>1.4E-2</v>
          </cell>
          <cell r="DM126">
            <v>1.7500000000000002E-2</v>
          </cell>
          <cell r="DN126">
            <v>1.7000000000000001E-2</v>
          </cell>
          <cell r="DO126">
            <v>1.7299999999999999E-2</v>
          </cell>
          <cell r="DP126">
            <v>1.6799999999999999E-2</v>
          </cell>
          <cell r="DQ126">
            <v>1.7100000000000001E-2</v>
          </cell>
          <cell r="DS126">
            <v>2.1399999999999999E-2</v>
          </cell>
          <cell r="DT126">
            <v>2.06E-2</v>
          </cell>
          <cell r="DU126">
            <v>1.9199999999999998E-2</v>
          </cell>
          <cell r="DV126">
            <v>1.7299999999999999E-2</v>
          </cell>
          <cell r="DW126">
            <v>1.95E-2</v>
          </cell>
          <cell r="DY126">
            <v>2.3599999999999999E-2</v>
          </cell>
          <cell r="DZ126">
            <v>1.9699999999999999E-2</v>
          </cell>
          <cell r="EA126">
            <v>2.1299999999999999E-2</v>
          </cell>
          <cell r="EB126">
            <v>1.9699999999999999E-2</v>
          </cell>
          <cell r="EC126">
            <v>2.0899999999999998E-2</v>
          </cell>
          <cell r="EE126">
            <v>2.47E-2</v>
          </cell>
          <cell r="EF126">
            <v>2.5100000000000001E-2</v>
          </cell>
          <cell r="EG126">
            <v>2.5100000000000001E-2</v>
          </cell>
          <cell r="EH126">
            <v>2.2800000000000001E-2</v>
          </cell>
          <cell r="EI126">
            <v>2.4299999999999999E-2</v>
          </cell>
          <cell r="EK126">
            <v>2.9600000000000001E-2</v>
          </cell>
          <cell r="EL126">
            <v>2.8199999999999999E-2</v>
          </cell>
          <cell r="EM126">
            <v>2.1899999999999999E-2</v>
          </cell>
          <cell r="EN126">
            <v>1.9199999999999998E-2</v>
          </cell>
          <cell r="EO126">
            <v>2.4400000000000002E-2</v>
          </cell>
          <cell r="EQ126">
            <v>2.0899999999999998E-2</v>
          </cell>
          <cell r="ER126">
            <v>1.9800000000000002E-2</v>
          </cell>
          <cell r="ES126">
            <v>1.9599999999999999E-2</v>
          </cell>
          <cell r="ET126">
            <v>1.7500000000000002E-2</v>
          </cell>
          <cell r="EU126">
            <v>1.9400000000000001E-2</v>
          </cell>
          <cell r="EW126">
            <v>1.8499999999999999E-2</v>
          </cell>
          <cell r="EX126">
            <v>1.7600000000000001E-2</v>
          </cell>
          <cell r="EY126">
            <v>1.7500000000000002E-2</v>
          </cell>
          <cell r="EZ126">
            <v>1.5800000000000002E-2</v>
          </cell>
          <cell r="FA126">
            <v>1.7299999999999999E-2</v>
          </cell>
        </row>
        <row r="127"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O127">
            <v>0</v>
          </cell>
          <cell r="P127">
            <v>0</v>
          </cell>
          <cell r="Q127">
            <v>0</v>
          </cell>
          <cell r="R127">
            <v>0</v>
          </cell>
          <cell r="S127">
            <v>0</v>
          </cell>
          <cell r="U127">
            <v>0</v>
          </cell>
          <cell r="V127">
            <v>0</v>
          </cell>
          <cell r="W127">
            <v>0</v>
          </cell>
          <cell r="X127">
            <v>0</v>
          </cell>
          <cell r="Y127">
            <v>0</v>
          </cell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0</v>
          </cell>
          <cell r="AM127">
            <v>0</v>
          </cell>
          <cell r="AN127">
            <v>0</v>
          </cell>
          <cell r="AO127">
            <v>0</v>
          </cell>
          <cell r="AP127">
            <v>0</v>
          </cell>
          <cell r="AQ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0</v>
          </cell>
          <cell r="BK127">
            <v>0</v>
          </cell>
          <cell r="BL127">
            <v>0</v>
          </cell>
          <cell r="BM127">
            <v>0</v>
          </cell>
          <cell r="BN127">
            <v>0</v>
          </cell>
          <cell r="BO127">
            <v>0</v>
          </cell>
          <cell r="BQ127">
            <v>-0.35545628700801113</v>
          </cell>
          <cell r="BR127">
            <v>-0.36105115779000918</v>
          </cell>
          <cell r="BS127">
            <v>-0.2818199160739413</v>
          </cell>
          <cell r="BT127">
            <v>-0.79011890790323602</v>
          </cell>
          <cell r="BU127">
            <v>-0.42482350294322835</v>
          </cell>
          <cell r="BW127">
            <v>-0.45309544055017104</v>
          </cell>
          <cell r="BX127">
            <v>-0.3983992201973825</v>
          </cell>
          <cell r="BY127">
            <v>-0.30644760648697367</v>
          </cell>
          <cell r="BZ127">
            <v>4.3850243534334901</v>
          </cell>
          <cell r="CA127">
            <v>-5.0002829378400393E-2</v>
          </cell>
          <cell r="CC127">
            <v>-0.10429177938596945</v>
          </cell>
          <cell r="CD127">
            <v>-5.5070557078713001E-2</v>
          </cell>
          <cell r="CE127">
            <v>-3.7394096557146428E-2</v>
          </cell>
          <cell r="CF127">
            <v>-0.45105033359119728</v>
          </cell>
          <cell r="CG127">
            <v>-0.22002808797591022</v>
          </cell>
          <cell r="CI127">
            <v>4.0550448367266512E-2</v>
          </cell>
          <cell r="CJ127">
            <v>-0.14322572171090286</v>
          </cell>
          <cell r="CK127">
            <v>-0.16922471200776568</v>
          </cell>
          <cell r="CL127">
            <v>-0.16609378138165165</v>
          </cell>
          <cell r="CM127">
            <v>-0.11702565874203941</v>
          </cell>
          <cell r="CO127">
            <v>0.37999999999999989</v>
          </cell>
          <cell r="CP127">
            <v>0.34042553191489366</v>
          </cell>
          <cell r="CQ127">
            <v>0.29166666666666674</v>
          </cell>
          <cell r="CR127">
            <v>0.20754716981132071</v>
          </cell>
          <cell r="CS127">
            <v>0.30303030303030298</v>
          </cell>
          <cell r="CU127">
            <v>0.24637681159420288</v>
          </cell>
          <cell r="CV127">
            <v>0.41269841269841279</v>
          </cell>
          <cell r="CW127">
            <v>0.37096774193548376</v>
          </cell>
          <cell r="CX127">
            <v>0.28125</v>
          </cell>
          <cell r="CY127">
            <v>0.32558139534883712</v>
          </cell>
          <cell r="DA127">
            <v>-2.3255813953488413E-2</v>
          </cell>
          <cell r="DB127">
            <v>0.1685393258426966</v>
          </cell>
          <cell r="DC127">
            <v>0.31764705882352939</v>
          </cell>
          <cell r="DE127">
            <v>0.2456140350877194</v>
          </cell>
          <cell r="DG127">
            <v>0.53571428571428581</v>
          </cell>
          <cell r="DH127">
            <v>0.14423076923076916</v>
          </cell>
          <cell r="DI127">
            <v>0.14285714285714279</v>
          </cell>
          <cell r="DJ127">
            <v>7.9365079365079083E-3</v>
          </cell>
          <cell r="DK127">
            <v>0.18075117370892024</v>
          </cell>
          <cell r="DM127">
            <v>0.13953488372093026</v>
          </cell>
          <cell r="DN127">
            <v>0.26050420168067223</v>
          </cell>
          <cell r="DO127">
            <v>0.2265625</v>
          </cell>
          <cell r="DP127">
            <v>0.44881889763779537</v>
          </cell>
          <cell r="DQ127">
            <v>0.26838966202783299</v>
          </cell>
          <cell r="DS127">
            <v>0.19727891156462585</v>
          </cell>
          <cell r="DT127">
            <v>0.25333333333333341</v>
          </cell>
          <cell r="DU127">
            <v>9.5541401273885329E-2</v>
          </cell>
          <cell r="DV127">
            <v>3.2608695652173836E-2</v>
          </cell>
          <cell r="DW127">
            <v>0.13793103448275867</v>
          </cell>
          <cell r="DY127">
            <v>0.125</v>
          </cell>
          <cell r="DZ127">
            <v>-2.6595744680851019E-2</v>
          </cell>
          <cell r="EA127">
            <v>0.15116279069767447</v>
          </cell>
          <cell r="EB127">
            <v>0.17368421052631589</v>
          </cell>
          <cell r="EC127">
            <v>0.10468319559228645</v>
          </cell>
          <cell r="EE127">
            <v>7.0707070707070718E-2</v>
          </cell>
          <cell r="EF127">
            <v>0.31693989071038242</v>
          </cell>
          <cell r="EG127">
            <v>0.18181818181818188</v>
          </cell>
          <cell r="EH127">
            <v>9.4170403587443996E-2</v>
          </cell>
          <cell r="EI127">
            <v>0.1608478802992519</v>
          </cell>
          <cell r="EK127">
            <v>0.179245283018868</v>
          </cell>
          <cell r="EL127">
            <v>5.3941908713692976E-2</v>
          </cell>
          <cell r="EM127">
            <v>-0.1467836845663657</v>
          </cell>
          <cell r="EN127">
            <v>-0.18175156634643264</v>
          </cell>
          <cell r="EO127">
            <v>-2.9747330157958163E-2</v>
          </cell>
          <cell r="EQ127">
            <v>-0.27920998006779008</v>
          </cell>
          <cell r="ER127">
            <v>-0.29056100400373042</v>
          </cell>
          <cell r="ES127">
            <v>-9.7444817111234538E-2</v>
          </cell>
          <cell r="ET127">
            <v>-9.7444817111234538E-2</v>
          </cell>
          <cell r="EU127">
            <v>-0.20205264897514308</v>
          </cell>
          <cell r="EW127">
            <v>-0.10723917282741158</v>
          </cell>
          <cell r="EX127">
            <v>-0.10723917282741158</v>
          </cell>
          <cell r="EY127">
            <v>-0.10723917282741158</v>
          </cell>
          <cell r="EZ127">
            <v>-0.10723917282741158</v>
          </cell>
          <cell r="FA127">
            <v>-0.10723917282741158</v>
          </cell>
        </row>
        <row r="128"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O128">
            <v>0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U128">
            <v>0</v>
          </cell>
          <cell r="V128">
            <v>0</v>
          </cell>
          <cell r="W128">
            <v>0</v>
          </cell>
          <cell r="X128">
            <v>0</v>
          </cell>
          <cell r="Y128">
            <v>0</v>
          </cell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G128">
            <v>0</v>
          </cell>
          <cell r="AH128">
            <v>0</v>
          </cell>
          <cell r="AI128">
            <v>0</v>
          </cell>
          <cell r="AJ128">
            <v>0</v>
          </cell>
          <cell r="AK128">
            <v>0</v>
          </cell>
          <cell r="AM128">
            <v>0</v>
          </cell>
          <cell r="AN128">
            <v>0</v>
          </cell>
          <cell r="AO128">
            <v>0</v>
          </cell>
          <cell r="AP128">
            <v>0</v>
          </cell>
          <cell r="AQ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0</v>
          </cell>
          <cell r="BK128">
            <v>0</v>
          </cell>
          <cell r="BL128">
            <v>0</v>
          </cell>
          <cell r="BM128">
            <v>0</v>
          </cell>
          <cell r="BN128">
            <v>0</v>
          </cell>
          <cell r="BO128">
            <v>0</v>
          </cell>
          <cell r="BQ128">
            <v>-4.2445250010958668E-2</v>
          </cell>
          <cell r="BR128">
            <v>-1.6226982484231822E-2</v>
          </cell>
          <cell r="BS128">
            <v>-0.10317809833327862</v>
          </cell>
          <cell r="BT128">
            <v>-0.75156739811912221</v>
          </cell>
          <cell r="BU128">
            <v>0</v>
          </cell>
          <cell r="BW128">
            <v>1.495179787088226</v>
          </cell>
          <cell r="BX128">
            <v>8.2160688295657369E-2</v>
          </cell>
          <cell r="BY128">
            <v>3.3896559542246019E-2</v>
          </cell>
          <cell r="BZ128">
            <v>0.92893229672092037</v>
          </cell>
          <cell r="CA128">
            <v>0</v>
          </cell>
          <cell r="CC128">
            <v>-0.58496881341309348</v>
          </cell>
          <cell r="CD128">
            <v>0.141627901596725</v>
          </cell>
          <cell r="CE128">
            <v>5.3237296414230917E-2</v>
          </cell>
          <cell r="CF128">
            <v>0.10002103355371461</v>
          </cell>
          <cell r="CG128">
            <v>0</v>
          </cell>
          <cell r="CI128">
            <v>-0.2132960201713695</v>
          </cell>
          <cell r="CJ128">
            <v>-6.0000000000000053E-2</v>
          </cell>
          <cell r="CK128">
            <v>2.1276595744680771E-2</v>
          </cell>
          <cell r="CL128">
            <v>0.10416666666666674</v>
          </cell>
          <cell r="CM128">
            <v>0</v>
          </cell>
          <cell r="CO128">
            <v>0.30188679245283012</v>
          </cell>
          <cell r="CP128">
            <v>-8.6956521739130488E-2</v>
          </cell>
          <cell r="CQ128">
            <v>-1.5873015873015928E-2</v>
          </cell>
          <cell r="CR128">
            <v>3.2258064516129004E-2</v>
          </cell>
          <cell r="CS128">
            <v>0</v>
          </cell>
          <cell r="CU128">
            <v>0.34375</v>
          </cell>
          <cell r="CV128">
            <v>3.488372093023262E-2</v>
          </cell>
          <cell r="CW128">
            <v>-4.49438202247191E-2</v>
          </cell>
          <cell r="CX128">
            <v>-3.5294117647058809E-2</v>
          </cell>
          <cell r="CY128">
            <v>0</v>
          </cell>
          <cell r="DA128">
            <v>2.4390243902439046E-2</v>
          </cell>
          <cell r="DB128">
            <v>0.23809523809523814</v>
          </cell>
          <cell r="DC128">
            <v>7.6923076923076872E-2</v>
          </cell>
          <cell r="DE128">
            <v>0</v>
          </cell>
          <cell r="DG128">
            <v>2.3809523809523725E-2</v>
          </cell>
          <cell r="DH128">
            <v>-7.7519379844961267E-2</v>
          </cell>
          <cell r="DI128">
            <v>7.5630252100840289E-2</v>
          </cell>
          <cell r="DJ128">
            <v>-7.8125E-3</v>
          </cell>
          <cell r="DK128">
            <v>0</v>
          </cell>
          <cell r="DM128">
            <v>0.15748031496062986</v>
          </cell>
          <cell r="DN128">
            <v>2.0408163265306145E-2</v>
          </cell>
          <cell r="DO128">
            <v>4.6666666666666634E-2</v>
          </cell>
          <cell r="DP128">
            <v>0.17197452229299359</v>
          </cell>
          <cell r="DQ128">
            <v>0</v>
          </cell>
          <cell r="DS128">
            <v>-4.3478260869565188E-2</v>
          </cell>
          <cell r="DT128">
            <v>6.8181818181818121E-2</v>
          </cell>
          <cell r="DU128">
            <v>-8.5106382978723416E-2</v>
          </cell>
          <cell r="DV128">
            <v>0.10465116279069764</v>
          </cell>
          <cell r="DW128">
            <v>0</v>
          </cell>
          <cell r="DY128">
            <v>4.2105263157894646E-2</v>
          </cell>
          <cell r="DZ128">
            <v>-7.5757575757575801E-2</v>
          </cell>
          <cell r="EA128">
            <v>8.1967213114754189E-2</v>
          </cell>
          <cell r="EB128">
            <v>0.1262626262626263</v>
          </cell>
          <cell r="EC128">
            <v>0</v>
          </cell>
          <cell r="EE128">
            <v>-4.9327354260089717E-2</v>
          </cell>
          <cell r="EF128">
            <v>0.1367924528301887</v>
          </cell>
          <cell r="EG128">
            <v>-2.9045643153526979E-2</v>
          </cell>
          <cell r="EH128">
            <v>4.2735042735042805E-2</v>
          </cell>
          <cell r="EI128">
            <v>0</v>
          </cell>
          <cell r="EK128">
            <v>2.4590163934426146E-2</v>
          </cell>
          <cell r="EL128">
            <v>1.6000000000000014E-2</v>
          </cell>
          <cell r="EM128">
            <v>-0.2139660716083841</v>
          </cell>
          <cell r="EN128">
            <v>0</v>
          </cell>
          <cell r="EO128">
            <v>0</v>
          </cell>
          <cell r="EQ128">
            <v>-9.7444817111234538E-2</v>
          </cell>
          <cell r="ER128">
            <v>0</v>
          </cell>
          <cell r="ES128">
            <v>0</v>
          </cell>
          <cell r="ET128">
            <v>0</v>
          </cell>
          <cell r="EU128">
            <v>0</v>
          </cell>
          <cell r="EW128">
            <v>-0.10723917282741158</v>
          </cell>
          <cell r="EX128">
            <v>0</v>
          </cell>
          <cell r="EY128">
            <v>0</v>
          </cell>
          <cell r="EZ128">
            <v>0</v>
          </cell>
          <cell r="FA128">
            <v>0</v>
          </cell>
        </row>
        <row r="129"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O129">
            <v>0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U129">
            <v>50.930999999999997</v>
          </cell>
          <cell r="V129">
            <v>0</v>
          </cell>
          <cell r="W129">
            <v>0</v>
          </cell>
          <cell r="X129">
            <v>0</v>
          </cell>
          <cell r="Y129">
            <v>50.930999999999997</v>
          </cell>
          <cell r="AA129">
            <v>0</v>
          </cell>
          <cell r="AB129">
            <v>0</v>
          </cell>
          <cell r="AC129">
            <v>36.799999999999997</v>
          </cell>
          <cell r="AD129">
            <v>0</v>
          </cell>
          <cell r="AE129">
            <v>36.799999999999997</v>
          </cell>
          <cell r="AG129">
            <v>167.054</v>
          </cell>
          <cell r="AH129">
            <v>0</v>
          </cell>
          <cell r="AI129">
            <v>0</v>
          </cell>
          <cell r="AJ129">
            <v>0</v>
          </cell>
          <cell r="AK129">
            <v>167.054</v>
          </cell>
          <cell r="AM129">
            <v>0</v>
          </cell>
          <cell r="AN129">
            <v>0</v>
          </cell>
          <cell r="AO129">
            <v>0</v>
          </cell>
          <cell r="AP129">
            <v>0</v>
          </cell>
          <cell r="AQ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0</v>
          </cell>
          <cell r="BK129">
            <v>0</v>
          </cell>
          <cell r="BL129">
            <v>0</v>
          </cell>
          <cell r="BM129">
            <v>0</v>
          </cell>
          <cell r="BN129">
            <v>0</v>
          </cell>
          <cell r="BO129">
            <v>0</v>
          </cell>
          <cell r="BQ129">
            <v>0</v>
          </cell>
          <cell r="BR129">
            <v>0</v>
          </cell>
          <cell r="BS129">
            <v>0</v>
          </cell>
          <cell r="BT129">
            <v>0</v>
          </cell>
          <cell r="BU129">
            <v>0</v>
          </cell>
          <cell r="BW129">
            <v>28.5</v>
          </cell>
          <cell r="BX129">
            <v>23.3</v>
          </cell>
          <cell r="BY129">
            <v>266</v>
          </cell>
          <cell r="BZ129">
            <v>281</v>
          </cell>
          <cell r="CA129">
            <v>598.79999999999995</v>
          </cell>
          <cell r="CC129">
            <v>171</v>
          </cell>
          <cell r="CD129">
            <v>143</v>
          </cell>
          <cell r="CE129">
            <v>267</v>
          </cell>
          <cell r="CF129">
            <v>257</v>
          </cell>
          <cell r="CG129">
            <v>838</v>
          </cell>
          <cell r="CI129">
            <v>303</v>
          </cell>
          <cell r="CJ129">
            <v>222</v>
          </cell>
          <cell r="CK129">
            <v>326</v>
          </cell>
          <cell r="CL129">
            <v>382</v>
          </cell>
          <cell r="CM129">
            <v>1233</v>
          </cell>
          <cell r="CO129">
            <v>401</v>
          </cell>
          <cell r="CP129">
            <v>381</v>
          </cell>
          <cell r="CQ129">
            <v>322</v>
          </cell>
          <cell r="CR129">
            <v>531</v>
          </cell>
          <cell r="CS129">
            <v>1635</v>
          </cell>
          <cell r="CU129">
            <v>562</v>
          </cell>
          <cell r="CV129">
            <v>554</v>
          </cell>
          <cell r="CW129">
            <v>564</v>
          </cell>
          <cell r="CX129">
            <v>609</v>
          </cell>
          <cell r="CY129">
            <v>2289</v>
          </cell>
          <cell r="DA129">
            <v>569</v>
          </cell>
          <cell r="DB129">
            <v>664</v>
          </cell>
          <cell r="DC129">
            <v>978</v>
          </cell>
          <cell r="DE129">
            <v>3199</v>
          </cell>
          <cell r="DG129">
            <v>944</v>
          </cell>
          <cell r="DH129">
            <v>969</v>
          </cell>
          <cell r="DI129">
            <v>862</v>
          </cell>
          <cell r="DJ129">
            <v>848</v>
          </cell>
          <cell r="DK129">
            <v>3623</v>
          </cell>
          <cell r="DM129">
            <v>858</v>
          </cell>
          <cell r="DN129">
            <v>797</v>
          </cell>
          <cell r="DO129">
            <v>865</v>
          </cell>
          <cell r="DP129">
            <v>882</v>
          </cell>
          <cell r="DQ129">
            <v>3402</v>
          </cell>
          <cell r="DS129">
            <v>682</v>
          </cell>
          <cell r="DT129">
            <v>782</v>
          </cell>
          <cell r="DU129">
            <v>832</v>
          </cell>
          <cell r="DV129">
            <v>562.28829667646062</v>
          </cell>
          <cell r="DW129">
            <v>2858.2882966764605</v>
          </cell>
          <cell r="DY129">
            <v>859</v>
          </cell>
          <cell r="DZ129">
            <v>829</v>
          </cell>
          <cell r="EA129">
            <v>791</v>
          </cell>
          <cell r="EB129">
            <v>822</v>
          </cell>
          <cell r="EC129">
            <v>3301</v>
          </cell>
          <cell r="EE129">
            <v>853</v>
          </cell>
          <cell r="EF129">
            <v>839</v>
          </cell>
          <cell r="EG129">
            <v>816</v>
          </cell>
          <cell r="EH129">
            <v>990</v>
          </cell>
          <cell r="EI129">
            <v>3498</v>
          </cell>
          <cell r="EK129">
            <v>816</v>
          </cell>
          <cell r="EL129">
            <v>765</v>
          </cell>
          <cell r="EM129">
            <v>619.29714984100553</v>
          </cell>
          <cell r="EN129">
            <v>614.86915051331414</v>
          </cell>
          <cell r="EO129">
            <v>2815.1663003543199</v>
          </cell>
          <cell r="EQ129">
            <v>394.34076912702989</v>
          </cell>
          <cell r="ER129">
            <v>393.16298117423804</v>
          </cell>
          <cell r="ES129">
            <v>391.99167105518654</v>
          </cell>
          <cell r="ET129">
            <v>390.82680314178981</v>
          </cell>
          <cell r="EU129">
            <v>1570.3222244982444</v>
          </cell>
          <cell r="EW129">
            <v>370.3441106219708</v>
          </cell>
          <cell r="EX129">
            <v>369.19202101836697</v>
          </cell>
          <cell r="EY129">
            <v>368.04626790758311</v>
          </cell>
          <cell r="EZ129">
            <v>366.90681643890844</v>
          </cell>
          <cell r="FA129">
            <v>1474.4892159868293</v>
          </cell>
        </row>
        <row r="130"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O130">
            <v>0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U130">
            <v>50.930999999999997</v>
          </cell>
          <cell r="V130">
            <v>0</v>
          </cell>
          <cell r="W130">
            <v>0</v>
          </cell>
          <cell r="X130">
            <v>0</v>
          </cell>
          <cell r="Y130">
            <v>50.930999999999997</v>
          </cell>
          <cell r="AA130">
            <v>0</v>
          </cell>
          <cell r="AB130">
            <v>0</v>
          </cell>
          <cell r="AC130">
            <v>36.799999999999997</v>
          </cell>
          <cell r="AD130">
            <v>0</v>
          </cell>
          <cell r="AE130">
            <v>36.799999999999997</v>
          </cell>
          <cell r="AG130">
            <v>167.054</v>
          </cell>
          <cell r="AH130">
            <v>0</v>
          </cell>
          <cell r="AI130">
            <v>0</v>
          </cell>
          <cell r="AJ130">
            <v>0</v>
          </cell>
          <cell r="AK130">
            <v>167.054</v>
          </cell>
          <cell r="AM130">
            <v>0</v>
          </cell>
          <cell r="AN130">
            <v>0</v>
          </cell>
          <cell r="AO130">
            <v>0</v>
          </cell>
          <cell r="AP130">
            <v>0</v>
          </cell>
          <cell r="AQ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0</v>
          </cell>
          <cell r="BK130">
            <v>0</v>
          </cell>
          <cell r="BL130">
            <v>0</v>
          </cell>
          <cell r="BM130">
            <v>0</v>
          </cell>
          <cell r="BN130">
            <v>0</v>
          </cell>
          <cell r="BO130">
            <v>0</v>
          </cell>
          <cell r="BQ130">
            <v>0</v>
          </cell>
          <cell r="BR130">
            <v>0</v>
          </cell>
          <cell r="BS130">
            <v>0</v>
          </cell>
          <cell r="BT130">
            <v>0</v>
          </cell>
          <cell r="BU130">
            <v>0</v>
          </cell>
          <cell r="BW130">
            <v>28.5</v>
          </cell>
          <cell r="BX130">
            <v>23.3</v>
          </cell>
          <cell r="BY130">
            <v>51</v>
          </cell>
          <cell r="BZ130">
            <v>105</v>
          </cell>
          <cell r="CA130">
            <v>207.8</v>
          </cell>
          <cell r="CC130">
            <v>28</v>
          </cell>
          <cell r="CD130">
            <v>0</v>
          </cell>
          <cell r="CE130">
            <v>84</v>
          </cell>
          <cell r="CF130">
            <v>16</v>
          </cell>
          <cell r="CG130">
            <v>128</v>
          </cell>
          <cell r="CI130">
            <v>48</v>
          </cell>
          <cell r="CJ130">
            <v>0</v>
          </cell>
          <cell r="CK130">
            <v>53</v>
          </cell>
          <cell r="CL130">
            <v>74</v>
          </cell>
          <cell r="CM130">
            <v>175</v>
          </cell>
          <cell r="CO130">
            <v>47</v>
          </cell>
          <cell r="CP130">
            <v>22</v>
          </cell>
          <cell r="CQ130">
            <v>-40</v>
          </cell>
          <cell r="CR130">
            <v>96</v>
          </cell>
          <cell r="CS130">
            <v>125</v>
          </cell>
          <cell r="CU130">
            <v>63</v>
          </cell>
          <cell r="CV130">
            <v>21</v>
          </cell>
          <cell r="CW130">
            <v>27</v>
          </cell>
          <cell r="CX130">
            <v>19</v>
          </cell>
          <cell r="CY130">
            <v>130</v>
          </cell>
          <cell r="DA130">
            <v>6</v>
          </cell>
          <cell r="DB130">
            <v>10</v>
          </cell>
          <cell r="DC130">
            <v>34</v>
          </cell>
          <cell r="DE130">
            <v>153</v>
          </cell>
          <cell r="DG130">
            <v>83</v>
          </cell>
          <cell r="DH130">
            <v>47</v>
          </cell>
          <cell r="DI130">
            <v>30</v>
          </cell>
          <cell r="DJ130">
            <v>46</v>
          </cell>
          <cell r="DK130">
            <v>206</v>
          </cell>
          <cell r="DM130">
            <v>18</v>
          </cell>
          <cell r="DN130">
            <v>3</v>
          </cell>
          <cell r="DO130">
            <v>38</v>
          </cell>
          <cell r="DP130">
            <v>-19</v>
          </cell>
          <cell r="DQ130">
            <v>40</v>
          </cell>
          <cell r="DS130">
            <v>-258</v>
          </cell>
          <cell r="DT130">
            <v>-121</v>
          </cell>
          <cell r="DU130">
            <v>32</v>
          </cell>
          <cell r="DV130">
            <v>-253</v>
          </cell>
          <cell r="DW130">
            <v>-600</v>
          </cell>
          <cell r="DY130">
            <v>10</v>
          </cell>
          <cell r="DZ130">
            <v>17</v>
          </cell>
          <cell r="EA130">
            <v>-5</v>
          </cell>
          <cell r="EB130">
            <v>27</v>
          </cell>
          <cell r="EC130">
            <v>49</v>
          </cell>
          <cell r="EE130">
            <v>25</v>
          </cell>
          <cell r="EF130">
            <v>-20</v>
          </cell>
          <cell r="EG130">
            <v>8</v>
          </cell>
          <cell r="EH130">
            <v>200</v>
          </cell>
          <cell r="EI130">
            <v>213</v>
          </cell>
          <cell r="EK130">
            <v>31</v>
          </cell>
          <cell r="EL130">
            <v>-7</v>
          </cell>
          <cell r="EM130">
            <v>0</v>
          </cell>
          <cell r="EN130">
            <v>0</v>
          </cell>
          <cell r="EO130">
            <v>24</v>
          </cell>
          <cell r="EQ130">
            <v>0</v>
          </cell>
          <cell r="ER130">
            <v>0</v>
          </cell>
          <cell r="ES130">
            <v>0</v>
          </cell>
          <cell r="ET130">
            <v>0</v>
          </cell>
          <cell r="EU130">
            <v>0</v>
          </cell>
          <cell r="EW130">
            <v>0</v>
          </cell>
          <cell r="EX130">
            <v>0</v>
          </cell>
          <cell r="EY130">
            <v>0</v>
          </cell>
          <cell r="EZ130">
            <v>0</v>
          </cell>
          <cell r="FA130">
            <v>0</v>
          </cell>
        </row>
        <row r="131"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O131">
            <v>0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U131">
            <v>0</v>
          </cell>
          <cell r="V131">
            <v>0</v>
          </cell>
          <cell r="W131">
            <v>0</v>
          </cell>
          <cell r="X131">
            <v>0</v>
          </cell>
          <cell r="Y131">
            <v>0</v>
          </cell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G131">
            <v>0</v>
          </cell>
          <cell r="AH131">
            <v>0</v>
          </cell>
          <cell r="AI131">
            <v>0</v>
          </cell>
          <cell r="AJ131">
            <v>0</v>
          </cell>
          <cell r="AK131">
            <v>0</v>
          </cell>
          <cell r="AM131">
            <v>0</v>
          </cell>
          <cell r="AN131">
            <v>0</v>
          </cell>
          <cell r="AO131">
            <v>0</v>
          </cell>
          <cell r="AP131">
            <v>0</v>
          </cell>
          <cell r="AQ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0</v>
          </cell>
          <cell r="BK131">
            <v>0</v>
          </cell>
          <cell r="BL131">
            <v>0</v>
          </cell>
          <cell r="BM131">
            <v>0</v>
          </cell>
          <cell r="BN131">
            <v>0</v>
          </cell>
          <cell r="BO131">
            <v>0</v>
          </cell>
          <cell r="BQ131">
            <v>0</v>
          </cell>
          <cell r="BR131">
            <v>0</v>
          </cell>
          <cell r="BS131">
            <v>0</v>
          </cell>
          <cell r="BT131">
            <v>0</v>
          </cell>
          <cell r="BU131">
            <v>0</v>
          </cell>
          <cell r="BW131">
            <v>0</v>
          </cell>
          <cell r="BX131">
            <v>0</v>
          </cell>
          <cell r="BY131">
            <v>0</v>
          </cell>
          <cell r="BZ131">
            <v>0</v>
          </cell>
          <cell r="CA131">
            <v>0</v>
          </cell>
          <cell r="CC131">
            <v>0</v>
          </cell>
          <cell r="CD131">
            <v>0</v>
          </cell>
          <cell r="CE131">
            <v>0</v>
          </cell>
          <cell r="CF131">
            <v>0</v>
          </cell>
          <cell r="CG131">
            <v>0</v>
          </cell>
          <cell r="CI131">
            <v>0</v>
          </cell>
          <cell r="CJ131">
            <v>-36</v>
          </cell>
          <cell r="CK131">
            <v>0</v>
          </cell>
          <cell r="CL131">
            <v>0</v>
          </cell>
          <cell r="CM131">
            <v>0</v>
          </cell>
          <cell r="CO131">
            <v>0</v>
          </cell>
          <cell r="CP131">
            <v>0</v>
          </cell>
          <cell r="CQ131">
            <v>0</v>
          </cell>
          <cell r="CR131">
            <v>0</v>
          </cell>
          <cell r="CS131">
            <v>0</v>
          </cell>
          <cell r="CU131">
            <v>0</v>
          </cell>
          <cell r="CV131">
            <v>0</v>
          </cell>
          <cell r="CW131">
            <v>0</v>
          </cell>
          <cell r="CX131">
            <v>0</v>
          </cell>
          <cell r="CY131">
            <v>0</v>
          </cell>
          <cell r="DA131">
            <v>0</v>
          </cell>
          <cell r="DB131">
            <v>0</v>
          </cell>
          <cell r="DC131">
            <v>24</v>
          </cell>
          <cell r="DE131">
            <v>0</v>
          </cell>
          <cell r="DG131">
            <v>0</v>
          </cell>
          <cell r="DH131">
            <v>0</v>
          </cell>
          <cell r="DI131">
            <v>0</v>
          </cell>
          <cell r="DJ131">
            <v>0</v>
          </cell>
          <cell r="DK131">
            <v>0</v>
          </cell>
          <cell r="DM131">
            <v>0</v>
          </cell>
          <cell r="DN131">
            <v>0</v>
          </cell>
          <cell r="DO131">
            <v>0</v>
          </cell>
          <cell r="DP131">
            <v>0</v>
          </cell>
          <cell r="DQ131">
            <v>0</v>
          </cell>
          <cell r="DS131">
            <v>0</v>
          </cell>
          <cell r="DT131">
            <v>0</v>
          </cell>
          <cell r="DU131">
            <v>0</v>
          </cell>
          <cell r="DV131">
            <v>0</v>
          </cell>
          <cell r="DW131">
            <v>0</v>
          </cell>
          <cell r="DY131">
            <v>0</v>
          </cell>
          <cell r="DZ131">
            <v>0</v>
          </cell>
          <cell r="EA131">
            <v>0</v>
          </cell>
          <cell r="EB131">
            <v>0</v>
          </cell>
          <cell r="EC131">
            <v>0</v>
          </cell>
          <cell r="EE131">
            <v>0</v>
          </cell>
          <cell r="EF131">
            <v>0</v>
          </cell>
          <cell r="EG131">
            <v>-1</v>
          </cell>
          <cell r="EH131">
            <v>0</v>
          </cell>
          <cell r="EI131">
            <v>-1</v>
          </cell>
          <cell r="EK131">
            <v>0</v>
          </cell>
          <cell r="EL131">
            <v>0</v>
          </cell>
          <cell r="EM131">
            <v>0</v>
          </cell>
          <cell r="EN131">
            <v>0</v>
          </cell>
          <cell r="EO131">
            <v>0</v>
          </cell>
          <cell r="EQ131">
            <v>0</v>
          </cell>
          <cell r="ER131">
            <v>0</v>
          </cell>
          <cell r="ES131">
            <v>0</v>
          </cell>
          <cell r="ET131">
            <v>0</v>
          </cell>
          <cell r="EU131">
            <v>0</v>
          </cell>
          <cell r="EW131">
            <v>0</v>
          </cell>
          <cell r="EX131">
            <v>0</v>
          </cell>
          <cell r="EY131">
            <v>0</v>
          </cell>
          <cell r="EZ131">
            <v>0</v>
          </cell>
          <cell r="FA131">
            <v>0</v>
          </cell>
        </row>
        <row r="132"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U132">
            <v>0</v>
          </cell>
          <cell r="V132">
            <v>0</v>
          </cell>
          <cell r="W132">
            <v>0</v>
          </cell>
          <cell r="X132">
            <v>0</v>
          </cell>
          <cell r="Y132">
            <v>0</v>
          </cell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G132">
            <v>0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M132">
            <v>0</v>
          </cell>
          <cell r="AN132">
            <v>0</v>
          </cell>
          <cell r="AO132">
            <v>0</v>
          </cell>
          <cell r="AP132">
            <v>0</v>
          </cell>
          <cell r="AQ132">
            <v>0</v>
          </cell>
          <cell r="AS132">
            <v>0</v>
          </cell>
          <cell r="AT132">
            <v>0</v>
          </cell>
          <cell r="AU132">
            <v>0</v>
          </cell>
          <cell r="AV132">
            <v>0</v>
          </cell>
          <cell r="AW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E132">
            <v>0</v>
          </cell>
          <cell r="BF132">
            <v>0</v>
          </cell>
          <cell r="BG132">
            <v>0</v>
          </cell>
          <cell r="BH132">
            <v>0</v>
          </cell>
          <cell r="BI132">
            <v>0</v>
          </cell>
          <cell r="BK132">
            <v>0</v>
          </cell>
          <cell r="BL132">
            <v>0</v>
          </cell>
          <cell r="BM132">
            <v>0</v>
          </cell>
          <cell r="BN132">
            <v>0</v>
          </cell>
          <cell r="BO132">
            <v>0</v>
          </cell>
          <cell r="BQ132">
            <v>0</v>
          </cell>
          <cell r="BR132">
            <v>0</v>
          </cell>
          <cell r="BS132">
            <v>0</v>
          </cell>
          <cell r="BT132">
            <v>0</v>
          </cell>
          <cell r="BU132">
            <v>0</v>
          </cell>
          <cell r="BW132">
            <v>0</v>
          </cell>
          <cell r="BX132">
            <v>0</v>
          </cell>
          <cell r="BY132">
            <v>98</v>
          </cell>
          <cell r="BZ132">
            <v>121</v>
          </cell>
          <cell r="CA132">
            <v>219</v>
          </cell>
          <cell r="CC132">
            <v>123</v>
          </cell>
          <cell r="CD132">
            <v>126</v>
          </cell>
          <cell r="CE132">
            <v>148</v>
          </cell>
          <cell r="CF132">
            <v>185</v>
          </cell>
          <cell r="CG132">
            <v>582</v>
          </cell>
          <cell r="CI132">
            <v>198</v>
          </cell>
          <cell r="CJ132">
            <v>202</v>
          </cell>
          <cell r="CK132">
            <v>222</v>
          </cell>
          <cell r="CL132">
            <v>255</v>
          </cell>
          <cell r="CM132">
            <v>877</v>
          </cell>
          <cell r="CO132">
            <v>285</v>
          </cell>
          <cell r="CP132">
            <v>290</v>
          </cell>
          <cell r="CQ132">
            <v>292</v>
          </cell>
          <cell r="CR132">
            <v>344</v>
          </cell>
          <cell r="CS132">
            <v>1211</v>
          </cell>
          <cell r="CU132">
            <v>413</v>
          </cell>
          <cell r="CV132">
            <v>427</v>
          </cell>
          <cell r="CW132">
            <v>437</v>
          </cell>
          <cell r="CX132">
            <v>437</v>
          </cell>
          <cell r="CY132">
            <v>1714</v>
          </cell>
          <cell r="DA132">
            <v>431</v>
          </cell>
          <cell r="DB132">
            <v>436</v>
          </cell>
          <cell r="DC132">
            <v>502</v>
          </cell>
          <cell r="DE132">
            <v>1974</v>
          </cell>
          <cell r="DG132">
            <v>603</v>
          </cell>
          <cell r="DH132">
            <v>614</v>
          </cell>
          <cell r="DI132">
            <v>612</v>
          </cell>
          <cell r="DJ132">
            <v>598</v>
          </cell>
          <cell r="DK132">
            <v>2427</v>
          </cell>
          <cell r="DM132">
            <v>592</v>
          </cell>
          <cell r="DN132">
            <v>592</v>
          </cell>
          <cell r="DO132">
            <v>606</v>
          </cell>
          <cell r="DP132">
            <v>640</v>
          </cell>
          <cell r="DQ132">
            <v>2430</v>
          </cell>
          <cell r="DS132">
            <v>619</v>
          </cell>
          <cell r="DT132">
            <v>584</v>
          </cell>
          <cell r="DU132">
            <v>586</v>
          </cell>
          <cell r="DV132">
            <v>596</v>
          </cell>
          <cell r="DW132">
            <v>2385</v>
          </cell>
          <cell r="DY132">
            <v>595</v>
          </cell>
          <cell r="DZ132">
            <v>577</v>
          </cell>
          <cell r="EA132">
            <v>560</v>
          </cell>
          <cell r="EB132">
            <v>568</v>
          </cell>
          <cell r="EC132">
            <v>2300</v>
          </cell>
          <cell r="EE132">
            <v>547</v>
          </cell>
          <cell r="EF132">
            <v>568</v>
          </cell>
          <cell r="EG132">
            <v>527</v>
          </cell>
          <cell r="EH132">
            <v>507</v>
          </cell>
          <cell r="EI132">
            <v>2149</v>
          </cell>
          <cell r="EK132">
            <v>452</v>
          </cell>
          <cell r="EL132">
            <v>423</v>
          </cell>
          <cell r="EM132">
            <v>419.64453202953507</v>
          </cell>
          <cell r="EN132">
            <v>415.21653270184368</v>
          </cell>
          <cell r="EO132">
            <v>1709.861064731379</v>
          </cell>
          <cell r="EQ132">
            <v>214.1432641439774</v>
          </cell>
          <cell r="ER132">
            <v>212.96547619118556</v>
          </cell>
          <cell r="ES132">
            <v>211.79416607213403</v>
          </cell>
          <cell r="ET132">
            <v>210.6292981587373</v>
          </cell>
          <cell r="EU132">
            <v>849.53220456603435</v>
          </cell>
          <cell r="EW132">
            <v>209.47083701886422</v>
          </cell>
          <cell r="EX132">
            <v>208.31874741526045</v>
          </cell>
          <cell r="EY132">
            <v>207.17299430447653</v>
          </cell>
          <cell r="EZ132">
            <v>206.03354283580191</v>
          </cell>
          <cell r="FA132">
            <v>830.99612157440311</v>
          </cell>
        </row>
        <row r="133"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O133">
            <v>0</v>
          </cell>
          <cell r="P133">
            <v>0</v>
          </cell>
          <cell r="Q133">
            <v>0</v>
          </cell>
          <cell r="R133">
            <v>0</v>
          </cell>
          <cell r="S133">
            <v>0</v>
          </cell>
          <cell r="U133">
            <v>0</v>
          </cell>
          <cell r="V133">
            <v>0</v>
          </cell>
          <cell r="W133">
            <v>0</v>
          </cell>
          <cell r="X133">
            <v>0</v>
          </cell>
          <cell r="Y133">
            <v>0</v>
          </cell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0</v>
          </cell>
          <cell r="AM133">
            <v>0</v>
          </cell>
          <cell r="AN133">
            <v>0</v>
          </cell>
          <cell r="AO133">
            <v>0</v>
          </cell>
          <cell r="AP133">
            <v>0</v>
          </cell>
          <cell r="AQ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0</v>
          </cell>
          <cell r="BK133">
            <v>0</v>
          </cell>
          <cell r="BL133">
            <v>0</v>
          </cell>
          <cell r="BM133">
            <v>0</v>
          </cell>
          <cell r="BN133">
            <v>0</v>
          </cell>
          <cell r="BO133">
            <v>0</v>
          </cell>
          <cell r="BQ133">
            <v>0</v>
          </cell>
          <cell r="BR133">
            <v>0</v>
          </cell>
          <cell r="BS133">
            <v>0</v>
          </cell>
          <cell r="BT133">
            <v>0</v>
          </cell>
          <cell r="BU133">
            <v>0</v>
          </cell>
          <cell r="BW133">
            <v>0</v>
          </cell>
          <cell r="BX133">
            <v>0</v>
          </cell>
          <cell r="BY133">
            <v>107</v>
          </cell>
          <cell r="BZ133">
            <v>40</v>
          </cell>
          <cell r="CA133">
            <v>147</v>
          </cell>
          <cell r="CC133">
            <v>11</v>
          </cell>
          <cell r="CD133">
            <v>10</v>
          </cell>
          <cell r="CE133">
            <v>27</v>
          </cell>
          <cell r="CF133">
            <v>48</v>
          </cell>
          <cell r="CG133">
            <v>96</v>
          </cell>
          <cell r="CI133">
            <v>7</v>
          </cell>
          <cell r="CJ133">
            <v>9</v>
          </cell>
          <cell r="CK133">
            <v>3</v>
          </cell>
          <cell r="CL133">
            <v>0</v>
          </cell>
          <cell r="CM133">
            <v>19</v>
          </cell>
          <cell r="CO133">
            <v>0</v>
          </cell>
          <cell r="CP133">
            <v>6</v>
          </cell>
          <cell r="CQ133">
            <v>8</v>
          </cell>
          <cell r="CR133">
            <v>27</v>
          </cell>
          <cell r="CS133">
            <v>41</v>
          </cell>
          <cell r="CU133">
            <v>0</v>
          </cell>
          <cell r="CV133">
            <v>17</v>
          </cell>
          <cell r="CW133">
            <v>15</v>
          </cell>
          <cell r="CX133">
            <v>71</v>
          </cell>
          <cell r="CY133">
            <v>103</v>
          </cell>
          <cell r="DA133">
            <v>48</v>
          </cell>
          <cell r="DB133">
            <v>114</v>
          </cell>
          <cell r="DC133">
            <v>306</v>
          </cell>
          <cell r="DE133">
            <v>622</v>
          </cell>
          <cell r="DG133">
            <v>129</v>
          </cell>
          <cell r="DH133">
            <v>189</v>
          </cell>
          <cell r="DI133">
            <v>92</v>
          </cell>
          <cell r="DJ133">
            <v>77</v>
          </cell>
          <cell r="DK133">
            <v>487</v>
          </cell>
          <cell r="DM133">
            <v>101</v>
          </cell>
          <cell r="DN133">
            <v>52</v>
          </cell>
          <cell r="DO133">
            <v>64</v>
          </cell>
          <cell r="DP133">
            <v>77</v>
          </cell>
          <cell r="DQ133">
            <v>294</v>
          </cell>
          <cell r="DS133">
            <v>145</v>
          </cell>
          <cell r="DT133">
            <v>131</v>
          </cell>
          <cell r="DU133">
            <v>42</v>
          </cell>
          <cell r="DV133">
            <v>34</v>
          </cell>
          <cell r="DW133">
            <v>352</v>
          </cell>
          <cell r="DY133">
            <v>56</v>
          </cell>
          <cell r="DZ133">
            <v>52</v>
          </cell>
          <cell r="EA133">
            <v>38</v>
          </cell>
          <cell r="EB133">
            <v>37</v>
          </cell>
          <cell r="EC133">
            <v>183</v>
          </cell>
          <cell r="EE133">
            <v>69</v>
          </cell>
          <cell r="EF133">
            <v>51</v>
          </cell>
          <cell r="EG133">
            <v>48</v>
          </cell>
          <cell r="EH133">
            <v>39</v>
          </cell>
          <cell r="EI133">
            <v>207</v>
          </cell>
          <cell r="EK133">
            <v>83</v>
          </cell>
          <cell r="EL133">
            <v>95</v>
          </cell>
          <cell r="EM133">
            <v>0</v>
          </cell>
          <cell r="EN133">
            <v>0</v>
          </cell>
          <cell r="EO133">
            <v>178</v>
          </cell>
          <cell r="EQ133">
            <v>0</v>
          </cell>
          <cell r="ER133">
            <v>0</v>
          </cell>
          <cell r="ES133">
            <v>0</v>
          </cell>
          <cell r="ET133">
            <v>0</v>
          </cell>
          <cell r="EU133">
            <v>0</v>
          </cell>
          <cell r="EW133">
            <v>0</v>
          </cell>
          <cell r="EX133">
            <v>0</v>
          </cell>
          <cell r="EY133">
            <v>0</v>
          </cell>
          <cell r="EZ133">
            <v>0</v>
          </cell>
          <cell r="FA133">
            <v>0</v>
          </cell>
        </row>
        <row r="134"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O134">
            <v>0</v>
          </cell>
          <cell r="P134">
            <v>0</v>
          </cell>
          <cell r="Q134">
            <v>0</v>
          </cell>
          <cell r="R134">
            <v>0</v>
          </cell>
          <cell r="S134">
            <v>0</v>
          </cell>
          <cell r="U134">
            <v>0</v>
          </cell>
          <cell r="V134">
            <v>0</v>
          </cell>
          <cell r="W134">
            <v>0</v>
          </cell>
          <cell r="X134">
            <v>0</v>
          </cell>
          <cell r="Y134">
            <v>0</v>
          </cell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0</v>
          </cell>
          <cell r="AQ134">
            <v>0</v>
          </cell>
          <cell r="AS134">
            <v>0</v>
          </cell>
          <cell r="AT134">
            <v>0</v>
          </cell>
          <cell r="AU134">
            <v>0</v>
          </cell>
          <cell r="AV134">
            <v>0</v>
          </cell>
          <cell r="AW134">
            <v>0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0</v>
          </cell>
          <cell r="BK134">
            <v>0</v>
          </cell>
          <cell r="BL134">
            <v>0</v>
          </cell>
          <cell r="BM134">
            <v>0</v>
          </cell>
          <cell r="BN134">
            <v>0</v>
          </cell>
          <cell r="BO134">
            <v>0</v>
          </cell>
          <cell r="BQ134">
            <v>0</v>
          </cell>
          <cell r="BR134">
            <v>0</v>
          </cell>
          <cell r="BS134">
            <v>0</v>
          </cell>
          <cell r="BT134">
            <v>0</v>
          </cell>
          <cell r="BU134">
            <v>0</v>
          </cell>
          <cell r="BW134">
            <v>0</v>
          </cell>
          <cell r="BX134">
            <v>0</v>
          </cell>
          <cell r="BY134">
            <v>10</v>
          </cell>
          <cell r="BZ134">
            <v>15</v>
          </cell>
          <cell r="CA134">
            <v>25</v>
          </cell>
          <cell r="CC134">
            <v>9</v>
          </cell>
          <cell r="CD134">
            <v>7</v>
          </cell>
          <cell r="CE134">
            <v>8</v>
          </cell>
          <cell r="CF134">
            <v>8</v>
          </cell>
          <cell r="CG134">
            <v>32</v>
          </cell>
          <cell r="CI134">
            <v>50</v>
          </cell>
          <cell r="CJ134">
            <v>47</v>
          </cell>
          <cell r="CK134">
            <v>48</v>
          </cell>
          <cell r="CL134">
            <v>53</v>
          </cell>
          <cell r="CM134">
            <v>198</v>
          </cell>
          <cell r="CO134">
            <v>69</v>
          </cell>
          <cell r="CP134">
            <v>63</v>
          </cell>
          <cell r="CQ134">
            <v>62</v>
          </cell>
          <cell r="CR134">
            <v>64</v>
          </cell>
          <cell r="CS134">
            <v>258</v>
          </cell>
          <cell r="CU134">
            <v>86</v>
          </cell>
          <cell r="CV134">
            <v>89</v>
          </cell>
          <cell r="CW134">
            <v>85</v>
          </cell>
          <cell r="CX134">
            <v>82</v>
          </cell>
          <cell r="CY134">
            <v>342</v>
          </cell>
          <cell r="DA134">
            <v>84</v>
          </cell>
          <cell r="DB134">
            <v>104</v>
          </cell>
          <cell r="DC134">
            <v>112</v>
          </cell>
          <cell r="DE134">
            <v>426</v>
          </cell>
          <cell r="DG134">
            <v>129</v>
          </cell>
          <cell r="DH134">
            <v>119</v>
          </cell>
          <cell r="DI134">
            <v>128</v>
          </cell>
          <cell r="DJ134">
            <v>127</v>
          </cell>
          <cell r="DK134">
            <v>503</v>
          </cell>
          <cell r="DM134">
            <v>147</v>
          </cell>
          <cell r="DN134">
            <v>150</v>
          </cell>
          <cell r="DO134">
            <v>157</v>
          </cell>
          <cell r="DP134">
            <v>184</v>
          </cell>
          <cell r="DQ134">
            <v>638</v>
          </cell>
          <cell r="DS134">
            <v>176</v>
          </cell>
          <cell r="DT134">
            <v>188</v>
          </cell>
          <cell r="DU134">
            <v>172</v>
          </cell>
          <cell r="DV134">
            <v>185.28829667646059</v>
          </cell>
          <cell r="DW134">
            <v>721.28829667646062</v>
          </cell>
          <cell r="DY134">
            <v>198</v>
          </cell>
          <cell r="DZ134">
            <v>183</v>
          </cell>
          <cell r="EA134">
            <v>198</v>
          </cell>
          <cell r="EB134">
            <v>190</v>
          </cell>
          <cell r="EC134">
            <v>769</v>
          </cell>
          <cell r="EE134">
            <v>212</v>
          </cell>
          <cell r="EF134">
            <v>240</v>
          </cell>
          <cell r="EG134">
            <v>234</v>
          </cell>
          <cell r="EH134">
            <v>244</v>
          </cell>
          <cell r="EI134">
            <v>930</v>
          </cell>
          <cell r="EK134">
            <v>250</v>
          </cell>
          <cell r="EL134">
            <v>254</v>
          </cell>
          <cell r="EM134">
            <v>199.65261781147044</v>
          </cell>
          <cell r="EN134">
            <v>199.65261781147044</v>
          </cell>
          <cell r="EO134">
            <v>903.30523562294093</v>
          </cell>
          <cell r="EQ134">
            <v>180.19750498305248</v>
          </cell>
          <cell r="ER134">
            <v>180.19750498305248</v>
          </cell>
          <cell r="ES134">
            <v>180.19750498305248</v>
          </cell>
          <cell r="ET134">
            <v>180.19750498305248</v>
          </cell>
          <cell r="EU134">
            <v>720.79001993220993</v>
          </cell>
          <cell r="EW134">
            <v>160.87327360310655</v>
          </cell>
          <cell r="EX134">
            <v>160.87327360310655</v>
          </cell>
          <cell r="EY134">
            <v>160.87327360310655</v>
          </cell>
          <cell r="EZ134">
            <v>160.87327360310655</v>
          </cell>
          <cell r="FA134">
            <v>643.49309441242622</v>
          </cell>
        </row>
        <row r="135">
          <cell r="CG135">
            <v>0</v>
          </cell>
          <cell r="CM135">
            <v>0</v>
          </cell>
          <cell r="CS135">
            <v>0</v>
          </cell>
          <cell r="CY135">
            <v>0</v>
          </cell>
          <cell r="DE135">
            <v>0</v>
          </cell>
          <cell r="DK135">
            <v>0</v>
          </cell>
          <cell r="DQ135">
            <v>0</v>
          </cell>
          <cell r="DW135">
            <v>0</v>
          </cell>
          <cell r="EC135">
            <v>0</v>
          </cell>
          <cell r="EI135">
            <v>0</v>
          </cell>
          <cell r="EO135">
            <v>0</v>
          </cell>
          <cell r="EU135">
            <v>0</v>
          </cell>
          <cell r="FA135">
            <v>0</v>
          </cell>
        </row>
        <row r="136">
          <cell r="C136">
            <v>10.108425</v>
          </cell>
          <cell r="D136">
            <v>20.419181999999996</v>
          </cell>
          <cell r="E136">
            <v>44.497379999999993</v>
          </cell>
          <cell r="F136">
            <v>102.86399999999999</v>
          </cell>
          <cell r="G136">
            <v>166.97900000000001</v>
          </cell>
          <cell r="H136">
            <v>359.726</v>
          </cell>
          <cell r="I136">
            <v>620.62300000000005</v>
          </cell>
          <cell r="J136">
            <v>734.74</v>
          </cell>
          <cell r="K136">
            <v>783.27099999999996</v>
          </cell>
          <cell r="L136">
            <v>915.22599999999989</v>
          </cell>
          <cell r="M136">
            <v>1081.981</v>
          </cell>
          <cell r="O136">
            <v>312.40800000000002</v>
          </cell>
          <cell r="P136">
            <v>344.77</v>
          </cell>
          <cell r="Q136">
            <v>371.21100000000001</v>
          </cell>
          <cell r="R136">
            <v>510.25599999999997</v>
          </cell>
          <cell r="S136">
            <v>1538.645</v>
          </cell>
          <cell r="U136">
            <v>415.17200000000003</v>
          </cell>
          <cell r="V136">
            <v>507.15</v>
          </cell>
          <cell r="W136">
            <v>513.45399999999995</v>
          </cell>
          <cell r="X136">
            <v>735.68899999999996</v>
          </cell>
          <cell r="Y136">
            <v>2171.4649999999997</v>
          </cell>
          <cell r="AA136">
            <v>547.33799999999997</v>
          </cell>
          <cell r="AB136">
            <v>659.702</v>
          </cell>
          <cell r="AC136">
            <v>674.24399999999991</v>
          </cell>
          <cell r="AD136">
            <v>952.80099999999993</v>
          </cell>
          <cell r="AE136">
            <v>2834.085</v>
          </cell>
          <cell r="AG136">
            <v>684.63200000000006</v>
          </cell>
          <cell r="AH136">
            <v>793.09</v>
          </cell>
          <cell r="AI136">
            <v>844.08600000000001</v>
          </cell>
          <cell r="AJ136">
            <v>1137.1970000000001</v>
          </cell>
          <cell r="AK136">
            <v>3459.0050000000001</v>
          </cell>
          <cell r="AM136">
            <v>791.98400000000004</v>
          </cell>
          <cell r="AN136">
            <v>894.03099999999995</v>
          </cell>
          <cell r="AO136">
            <v>880.21699999999998</v>
          </cell>
          <cell r="AP136">
            <v>1323.991</v>
          </cell>
          <cell r="AQ136">
            <v>3890.223</v>
          </cell>
          <cell r="AS136">
            <v>881.90400000000011</v>
          </cell>
          <cell r="AT136">
            <v>992.64799999999991</v>
          </cell>
          <cell r="AU136">
            <v>972.43600000000004</v>
          </cell>
          <cell r="AV136">
            <v>1260.3009999999999</v>
          </cell>
          <cell r="AW136">
            <v>4107.2889999999998</v>
          </cell>
          <cell r="AY136">
            <v>929.95600000000002</v>
          </cell>
          <cell r="AZ136">
            <v>1018.547</v>
          </cell>
          <cell r="BA136">
            <v>1087.6299999999999</v>
          </cell>
          <cell r="BB136">
            <v>1250.4080000000001</v>
          </cell>
          <cell r="BC136">
            <v>4286.5410000000002</v>
          </cell>
          <cell r="BE136">
            <v>886.39499999999998</v>
          </cell>
          <cell r="BF136">
            <v>927.55200000000002</v>
          </cell>
          <cell r="BG136">
            <v>903.13700000000006</v>
          </cell>
          <cell r="BH136">
            <v>979.26599999999996</v>
          </cell>
          <cell r="BI136">
            <v>3696.3500000000004</v>
          </cell>
          <cell r="BK136">
            <v>859</v>
          </cell>
          <cell r="BL136">
            <v>916</v>
          </cell>
          <cell r="BM136">
            <v>937</v>
          </cell>
          <cell r="BN136">
            <v>981</v>
          </cell>
          <cell r="BO136">
            <v>3693</v>
          </cell>
          <cell r="BQ136">
            <v>893</v>
          </cell>
          <cell r="BR136">
            <v>985</v>
          </cell>
          <cell r="BS136">
            <v>1000</v>
          </cell>
          <cell r="BT136">
            <v>1097</v>
          </cell>
          <cell r="BU136">
            <v>3975</v>
          </cell>
          <cell r="BW136">
            <v>916.5</v>
          </cell>
          <cell r="BX136">
            <v>1011.7</v>
          </cell>
          <cell r="BY136">
            <v>1204</v>
          </cell>
          <cell r="BZ136">
            <v>1404</v>
          </cell>
          <cell r="CA136">
            <v>4536.2</v>
          </cell>
          <cell r="CC136">
            <v>1165</v>
          </cell>
          <cell r="CD136">
            <v>1278</v>
          </cell>
          <cell r="CE136">
            <v>1364</v>
          </cell>
          <cell r="CF136">
            <v>1775.1499999999999</v>
          </cell>
          <cell r="CG136">
            <v>5582.1500000000005</v>
          </cell>
          <cell r="CI136">
            <v>1369</v>
          </cell>
          <cell r="CJ136">
            <v>1563</v>
          </cell>
          <cell r="CK136">
            <v>1670</v>
          </cell>
          <cell r="CL136">
            <v>2019</v>
          </cell>
          <cell r="CM136">
            <v>6621</v>
          </cell>
          <cell r="CO136">
            <v>1760</v>
          </cell>
          <cell r="CP136">
            <v>1918</v>
          </cell>
          <cell r="CQ136">
            <v>1912</v>
          </cell>
          <cell r="CR136">
            <v>2402</v>
          </cell>
          <cell r="CS136">
            <v>7992</v>
          </cell>
          <cell r="CU136">
            <v>1946</v>
          </cell>
          <cell r="CV136">
            <v>1888</v>
          </cell>
          <cell r="CW136">
            <v>1844</v>
          </cell>
          <cell r="CX136">
            <v>2196</v>
          </cell>
          <cell r="CY136">
            <v>7874</v>
          </cell>
          <cell r="DA136">
            <v>1744</v>
          </cell>
          <cell r="DB136">
            <v>1927</v>
          </cell>
          <cell r="DC136">
            <v>2199</v>
          </cell>
          <cell r="DE136">
            <v>8861</v>
          </cell>
          <cell r="DG136">
            <v>2590</v>
          </cell>
          <cell r="DH136">
            <v>2695</v>
          </cell>
          <cell r="DI136">
            <v>2914</v>
          </cell>
          <cell r="DJ136">
            <v>3405</v>
          </cell>
          <cell r="DK136">
            <v>11604</v>
          </cell>
          <cell r="DM136">
            <v>2854</v>
          </cell>
          <cell r="DN136">
            <v>2939</v>
          </cell>
          <cell r="DO136">
            <v>2961</v>
          </cell>
          <cell r="DP136">
            <v>3445</v>
          </cell>
          <cell r="DQ136">
            <v>12199</v>
          </cell>
          <cell r="DS136">
            <v>2860</v>
          </cell>
          <cell r="DT136">
            <v>3062</v>
          </cell>
          <cell r="DU136">
            <v>3090</v>
          </cell>
          <cell r="DV136">
            <v>3494</v>
          </cell>
          <cell r="DW136">
            <v>12506</v>
          </cell>
          <cell r="DY136">
            <v>2939</v>
          </cell>
          <cell r="DZ136">
            <v>3246</v>
          </cell>
          <cell r="EA136">
            <v>3191</v>
          </cell>
          <cell r="EB136">
            <v>3663</v>
          </cell>
          <cell r="EC136">
            <v>13039</v>
          </cell>
          <cell r="EE136">
            <v>3115</v>
          </cell>
          <cell r="EF136">
            <v>3338</v>
          </cell>
          <cell r="EG136">
            <v>3249</v>
          </cell>
          <cell r="EH136">
            <v>3703</v>
          </cell>
          <cell r="EI136">
            <v>13405</v>
          </cell>
          <cell r="EK136">
            <v>3150</v>
          </cell>
          <cell r="EL136">
            <v>3441</v>
          </cell>
          <cell r="EM136">
            <v>3387.3216933919998</v>
          </cell>
          <cell r="EN136">
            <v>3585.4686784199998</v>
          </cell>
          <cell r="EO136">
            <v>13563.790371812</v>
          </cell>
          <cell r="EQ136">
            <v>3209.3707318129605</v>
          </cell>
          <cell r="ER136">
            <v>3441.3412266570426</v>
          </cell>
          <cell r="ES136">
            <v>3425.9194409147126</v>
          </cell>
          <cell r="ET136">
            <v>3577.7470025570619</v>
          </cell>
          <cell r="EU136">
            <v>13654.378401941776</v>
          </cell>
          <cell r="EW136">
            <v>3267.1409668270458</v>
          </cell>
          <cell r="EX136">
            <v>3476.4644730413825</v>
          </cell>
          <cell r="EY136">
            <v>3405.6618929991323</v>
          </cell>
          <cell r="EZ136">
            <v>3653.0783382540744</v>
          </cell>
          <cell r="FA136">
            <v>13802.345671121635</v>
          </cell>
        </row>
        <row r="137"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0</v>
          </cell>
          <cell r="S137">
            <v>0</v>
          </cell>
          <cell r="U137">
            <v>0</v>
          </cell>
          <cell r="V137">
            <v>0</v>
          </cell>
          <cell r="W137">
            <v>0</v>
          </cell>
          <cell r="X137">
            <v>0</v>
          </cell>
          <cell r="Y137">
            <v>0</v>
          </cell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M137">
            <v>0</v>
          </cell>
          <cell r="AN137">
            <v>0</v>
          </cell>
          <cell r="AO137">
            <v>0</v>
          </cell>
          <cell r="AP137">
            <v>0</v>
          </cell>
          <cell r="AQ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0</v>
          </cell>
          <cell r="BK137">
            <v>0</v>
          </cell>
          <cell r="BL137">
            <v>0</v>
          </cell>
          <cell r="BM137">
            <v>0</v>
          </cell>
          <cell r="BN137">
            <v>0</v>
          </cell>
          <cell r="BO137">
            <v>0</v>
          </cell>
          <cell r="BQ137">
            <v>88.582481896637248</v>
          </cell>
          <cell r="BR137">
            <v>97.008494398621195</v>
          </cell>
          <cell r="BS137">
            <v>97.101519638782349</v>
          </cell>
          <cell r="BT137">
            <v>105.33390945316626</v>
          </cell>
          <cell r="BU137">
            <v>0</v>
          </cell>
          <cell r="BW137">
            <v>0</v>
          </cell>
          <cell r="BX137">
            <v>0</v>
          </cell>
          <cell r="BY137">
            <v>0</v>
          </cell>
          <cell r="BZ137">
            <v>0</v>
          </cell>
          <cell r="CA137">
            <v>0</v>
          </cell>
          <cell r="CC137">
            <v>0</v>
          </cell>
          <cell r="CD137">
            <v>0</v>
          </cell>
          <cell r="CE137">
            <v>0</v>
          </cell>
          <cell r="CF137">
            <v>0</v>
          </cell>
          <cell r="CG137">
            <v>0</v>
          </cell>
          <cell r="CI137">
            <v>0</v>
          </cell>
          <cell r="CJ137">
            <v>0</v>
          </cell>
          <cell r="CK137">
            <v>0</v>
          </cell>
          <cell r="CL137">
            <v>0</v>
          </cell>
          <cell r="CM137">
            <v>0</v>
          </cell>
          <cell r="CO137">
            <v>0</v>
          </cell>
          <cell r="CP137">
            <v>0</v>
          </cell>
          <cell r="CQ137">
            <v>0</v>
          </cell>
          <cell r="CR137">
            <v>0</v>
          </cell>
          <cell r="CS137">
            <v>0</v>
          </cell>
          <cell r="CU137">
            <v>0.10568181818181821</v>
          </cell>
          <cell r="CV137">
            <v>-1.5641293013555768E-2</v>
          </cell>
          <cell r="CW137">
            <v>-3.556485355648531E-2</v>
          </cell>
          <cell r="CX137">
            <v>-8.5761865112406355E-2</v>
          </cell>
          <cell r="CY137">
            <v>-1.4764764764764737E-2</v>
          </cell>
          <cell r="DA137">
            <v>-0.10380267214799588</v>
          </cell>
          <cell r="DB137">
            <v>2.0656779661016866E-2</v>
          </cell>
          <cell r="DC137">
            <v>0.19251626898047713</v>
          </cell>
          <cell r="DE137">
            <v>0.12534925069850145</v>
          </cell>
          <cell r="DG137">
            <v>0.48509174311926606</v>
          </cell>
          <cell r="DH137">
            <v>0.39854696419304614</v>
          </cell>
          <cell r="DI137">
            <v>0.32514779445202358</v>
          </cell>
          <cell r="DJ137">
            <v>0.13841524573721165</v>
          </cell>
          <cell r="DK137">
            <v>0.30955874054847077</v>
          </cell>
          <cell r="DM137">
            <v>0.1019305019305019</v>
          </cell>
          <cell r="DN137">
            <v>9.0538033395176187E-2</v>
          </cell>
          <cell r="DO137">
            <v>1.6129032258064502E-2</v>
          </cell>
          <cell r="DP137">
            <v>1.1747430249632984E-2</v>
          </cell>
          <cell r="DQ137">
            <v>5.127542226818349E-2</v>
          </cell>
          <cell r="DS137">
            <v>2.1023125437982237E-3</v>
          </cell>
          <cell r="DT137">
            <v>4.1850969717591058E-2</v>
          </cell>
          <cell r="DU137">
            <v>4.3566362715298901E-2</v>
          </cell>
          <cell r="DV137">
            <v>1.4223512336719812E-2</v>
          </cell>
          <cell r="DW137">
            <v>2.5165997212886371E-2</v>
          </cell>
          <cell r="DY137">
            <v>2.7622377622377625E-2</v>
          </cell>
          <cell r="DZ137">
            <v>6.0091443500979835E-2</v>
          </cell>
          <cell r="EA137">
            <v>3.2686084142394822E-2</v>
          </cell>
          <cell r="EB137">
            <v>4.8368631940469475E-2</v>
          </cell>
          <cell r="EC137">
            <v>4.2619542619542594E-2</v>
          </cell>
          <cell r="EE137">
            <v>5.9884314392650628E-2</v>
          </cell>
          <cell r="EF137">
            <v>2.8342575477510845E-2</v>
          </cell>
          <cell r="EG137">
            <v>1.817612033845184E-2</v>
          </cell>
          <cell r="EH137">
            <v>1.0920010920010936E-2</v>
          </cell>
          <cell r="EI137">
            <v>2.806963724211986E-2</v>
          </cell>
          <cell r="EK137">
            <v>1.1235955056179803E-2</v>
          </cell>
          <cell r="EL137">
            <v>3.0856800479329038E-2</v>
          </cell>
          <cell r="EM137">
            <v>4.2573620619267505E-2</v>
          </cell>
          <cell r="EN137">
            <v>-3.1739487329192628E-2</v>
          </cell>
          <cell r="EO137">
            <v>1.1845607744274567E-2</v>
          </cell>
          <cell r="EQ137">
            <v>1.8847851369193869E-2</v>
          </cell>
          <cell r="ER137">
            <v>9.9164968626164196E-5</v>
          </cell>
          <cell r="ES137">
            <v>1.1394768792704069E-2</v>
          </cell>
          <cell r="ET137">
            <v>-2.1536029332546169E-3</v>
          </cell>
          <cell r="EU137">
            <v>6.6786663348936681E-3</v>
          </cell>
          <cell r="EW137">
            <v>1.8000486650369352E-2</v>
          </cell>
          <cell r="EX137">
            <v>1.0206266705629519E-2</v>
          </cell>
          <cell r="EY137">
            <v>-5.9130251790660004E-3</v>
          </cell>
          <cell r="EZ137">
            <v>2.1055523390326902E-2</v>
          </cell>
          <cell r="FA137">
            <v>1.0836617004756244E-2</v>
          </cell>
        </row>
        <row r="138">
          <cell r="C138">
            <v>2.6065749999999994</v>
          </cell>
          <cell r="D138">
            <v>2.7318180000000005</v>
          </cell>
          <cell r="E138">
            <v>10.847620000000006</v>
          </cell>
          <cell r="F138">
            <v>28.385000000000005</v>
          </cell>
          <cell r="G138">
            <v>63.893000000000001</v>
          </cell>
          <cell r="H138">
            <v>123.08699999999999</v>
          </cell>
          <cell r="I138">
            <v>135.33899999999994</v>
          </cell>
          <cell r="J138">
            <v>26.778999999999996</v>
          </cell>
          <cell r="K138">
            <v>114.16700000000003</v>
          </cell>
          <cell r="L138">
            <v>241.14100000000008</v>
          </cell>
          <cell r="M138">
            <v>419.95299999999997</v>
          </cell>
          <cell r="O138">
            <v>87.543000000000006</v>
          </cell>
          <cell r="P138">
            <v>137.93200000000002</v>
          </cell>
          <cell r="Q138">
            <v>154.351</v>
          </cell>
          <cell r="R138">
            <v>269.3950000000001</v>
          </cell>
          <cell r="S138">
            <v>649.22100000000012</v>
          </cell>
          <cell r="U138">
            <v>125.12199999999996</v>
          </cell>
          <cell r="V138">
            <v>204.428</v>
          </cell>
          <cell r="W138">
            <v>219.94200000000001</v>
          </cell>
          <cell r="X138">
            <v>406.14599999999984</v>
          </cell>
          <cell r="Y138">
            <v>955.63799999999981</v>
          </cell>
          <cell r="AA138">
            <v>168.87400000000002</v>
          </cell>
          <cell r="AB138">
            <v>274.1880000000001</v>
          </cell>
          <cell r="AC138">
            <v>296.92799999999988</v>
          </cell>
          <cell r="AD138">
            <v>559.79500000000007</v>
          </cell>
          <cell r="AE138">
            <v>1299.7850000000001</v>
          </cell>
          <cell r="AG138">
            <v>216.029</v>
          </cell>
          <cell r="AH138">
            <v>272.00599999999997</v>
          </cell>
          <cell r="AI138">
            <v>318.27299999999991</v>
          </cell>
          <cell r="AJ138">
            <v>604.94399999999973</v>
          </cell>
          <cell r="AK138">
            <v>1411.2519999999995</v>
          </cell>
          <cell r="AM138">
            <v>277.8359999999999</v>
          </cell>
          <cell r="AN138">
            <v>382.06600000000049</v>
          </cell>
          <cell r="AO138">
            <v>406.67999999999995</v>
          </cell>
          <cell r="AP138">
            <v>806.29899999999998</v>
          </cell>
          <cell r="AQ138">
            <v>1872.8810000000003</v>
          </cell>
          <cell r="AS138">
            <v>345.86299999999994</v>
          </cell>
          <cell r="AT138">
            <v>576.06499999999983</v>
          </cell>
          <cell r="AU138">
            <v>769.72099999999966</v>
          </cell>
          <cell r="AV138">
            <v>1388.5110000000004</v>
          </cell>
          <cell r="AW138">
            <v>3080.16</v>
          </cell>
          <cell r="AY138">
            <v>658.04100000000028</v>
          </cell>
          <cell r="AZ138">
            <v>946.00099999999975</v>
          </cell>
          <cell r="BA138">
            <v>878.12300000000005</v>
          </cell>
          <cell r="BB138">
            <v>1294.9259999999997</v>
          </cell>
          <cell r="BC138">
            <v>3777.0909999999994</v>
          </cell>
          <cell r="BE138">
            <v>745.77799999999979</v>
          </cell>
          <cell r="BF138">
            <v>819.94400000000007</v>
          </cell>
          <cell r="BG138">
            <v>778.73899999999969</v>
          </cell>
          <cell r="BH138">
            <v>1226.471</v>
          </cell>
          <cell r="BI138">
            <v>3570.9319999999993</v>
          </cell>
          <cell r="BK138">
            <v>580</v>
          </cell>
          <cell r="BL138">
            <v>794</v>
          </cell>
          <cell r="BM138">
            <v>796</v>
          </cell>
          <cell r="BN138">
            <v>1270.4000000000001</v>
          </cell>
          <cell r="BO138">
            <v>3440.4</v>
          </cell>
          <cell r="BQ138">
            <v>616</v>
          </cell>
          <cell r="BR138">
            <v>915</v>
          </cell>
          <cell r="BS138">
            <v>927</v>
          </cell>
          <cell r="BT138">
            <v>1406</v>
          </cell>
          <cell r="BU138">
            <v>3864</v>
          </cell>
          <cell r="BW138">
            <v>743.5</v>
          </cell>
          <cell r="BX138">
            <v>1154.3</v>
          </cell>
          <cell r="BY138">
            <v>1178</v>
          </cell>
          <cell r="BZ138">
            <v>1865</v>
          </cell>
          <cell r="CA138">
            <v>4940.8</v>
          </cell>
          <cell r="CC138">
            <v>1022</v>
          </cell>
          <cell r="CD138">
            <v>1361</v>
          </cell>
          <cell r="CE138">
            <v>1383.4</v>
          </cell>
          <cell r="CF138">
            <v>2200.8500000000004</v>
          </cell>
          <cell r="CG138">
            <v>5967.25</v>
          </cell>
          <cell r="CI138">
            <v>1318</v>
          </cell>
          <cell r="CJ138">
            <v>1634</v>
          </cell>
          <cell r="CK138">
            <v>1755</v>
          </cell>
          <cell r="CL138">
            <v>2714</v>
          </cell>
          <cell r="CM138">
            <v>7421</v>
          </cell>
          <cell r="CO138">
            <v>1682</v>
          </cell>
          <cell r="CP138">
            <v>2214</v>
          </cell>
          <cell r="CQ138">
            <v>2219</v>
          </cell>
          <cell r="CR138">
            <v>3544</v>
          </cell>
          <cell r="CS138">
            <v>9659</v>
          </cell>
          <cell r="CU138">
            <v>2174</v>
          </cell>
          <cell r="CV138">
            <v>2609</v>
          </cell>
          <cell r="CW138">
            <v>2555</v>
          </cell>
          <cell r="CX138">
            <v>3513</v>
          </cell>
          <cell r="CY138">
            <v>10851</v>
          </cell>
          <cell r="DA138">
            <v>2318</v>
          </cell>
          <cell r="DB138">
            <v>2856</v>
          </cell>
          <cell r="DC138">
            <v>2886.3999999999996</v>
          </cell>
          <cell r="DE138">
            <v>12475.099999999999</v>
          </cell>
          <cell r="DG138">
            <v>2947</v>
          </cell>
          <cell r="DH138">
            <v>3851</v>
          </cell>
          <cell r="DI138">
            <v>3892</v>
          </cell>
          <cell r="DJ138">
            <v>5238</v>
          </cell>
          <cell r="DK138">
            <v>15928</v>
          </cell>
          <cell r="DM138">
            <v>3566</v>
          </cell>
          <cell r="DN138">
            <v>3929</v>
          </cell>
          <cell r="DO138">
            <v>4205.3392000000003</v>
          </cell>
          <cell r="DP138">
            <v>5512.1597000000002</v>
          </cell>
          <cell r="DQ138">
            <v>17212.498899999999</v>
          </cell>
          <cell r="DS138">
            <v>3589</v>
          </cell>
          <cell r="DT138">
            <v>4272</v>
          </cell>
          <cell r="DU138">
            <v>4178</v>
          </cell>
          <cell r="DV138">
            <v>5573</v>
          </cell>
          <cell r="DW138">
            <v>17612</v>
          </cell>
          <cell r="DY138">
            <v>3741</v>
          </cell>
          <cell r="DZ138">
            <v>4246</v>
          </cell>
          <cell r="EA138">
            <v>4366</v>
          </cell>
          <cell r="EB138">
            <v>5756</v>
          </cell>
          <cell r="EC138">
            <v>18109</v>
          </cell>
          <cell r="EE138">
            <v>3819</v>
          </cell>
          <cell r="EF138">
            <v>4391</v>
          </cell>
          <cell r="EG138">
            <v>4206</v>
          </cell>
          <cell r="EH138">
            <v>4978</v>
          </cell>
          <cell r="EI138">
            <v>17394</v>
          </cell>
          <cell r="EK138">
            <v>3473</v>
          </cell>
          <cell r="EL138">
            <v>3723</v>
          </cell>
          <cell r="EM138">
            <v>3825.8185019473526</v>
          </cell>
          <cell r="EN138">
            <v>4864.598067683517</v>
          </cell>
          <cell r="EO138">
            <v>15886.41656963087</v>
          </cell>
          <cell r="EQ138">
            <v>3594.97022762802</v>
          </cell>
          <cell r="ER138">
            <v>3835.4528097788648</v>
          </cell>
          <cell r="ES138">
            <v>3859.3072339101668</v>
          </cell>
          <cell r="ET138">
            <v>4768.8601365873583</v>
          </cell>
          <cell r="EU138">
            <v>16058.59040790441</v>
          </cell>
          <cell r="EW138">
            <v>3622.8597445889313</v>
          </cell>
          <cell r="EX138">
            <v>3851.4105714871725</v>
          </cell>
          <cell r="EY138">
            <v>3952.6194694554601</v>
          </cell>
          <cell r="EZ138">
            <v>4658.1406075109298</v>
          </cell>
          <cell r="FA138">
            <v>16085.030393042494</v>
          </cell>
        </row>
        <row r="139">
          <cell r="C139">
            <v>0.20499999999999996</v>
          </cell>
          <cell r="D139">
            <v>0.11800000000000004</v>
          </cell>
          <cell r="E139">
            <v>0.19600000000000012</v>
          </cell>
          <cell r="F139">
            <v>0.21626831442525282</v>
          </cell>
          <cell r="G139">
            <v>0.22648016929386453</v>
          </cell>
          <cell r="H139">
            <v>0.21083761562178829</v>
          </cell>
          <cell r="I139">
            <v>0.14768712011261576</v>
          </cell>
          <cell r="J139">
            <v>2.6050903303568556E-2</v>
          </cell>
          <cell r="K139">
            <v>9.6833757421543709E-2</v>
          </cell>
          <cell r="L139">
            <v>0.16043978709248174</v>
          </cell>
          <cell r="M139">
            <v>0.20985614749940909</v>
          </cell>
          <cell r="N139">
            <v>0</v>
          </cell>
          <cell r="O139">
            <v>0.15731732300161372</v>
          </cell>
          <cell r="P139">
            <v>0.20578265799367432</v>
          </cell>
          <cell r="Q139">
            <v>0.21371002914523465</v>
          </cell>
          <cell r="R139">
            <v>0.26466308863823707</v>
          </cell>
          <cell r="S139">
            <v>0.21882295126392126</v>
          </cell>
          <cell r="T139">
            <v>0</v>
          </cell>
          <cell r="U139">
            <v>0.16211649864019698</v>
          </cell>
          <cell r="V139">
            <v>0.21140434332988625</v>
          </cell>
          <cell r="W139">
            <v>0.21557889866982149</v>
          </cell>
          <cell r="X139">
            <v>0.27740810915295255</v>
          </cell>
          <cell r="Y139">
            <v>0.22628741431682195</v>
          </cell>
          <cell r="Z139">
            <v>0</v>
          </cell>
          <cell r="AA139">
            <v>0.16047795392841907</v>
          </cell>
          <cell r="AB139">
            <v>0.20908467689970747</v>
          </cell>
          <cell r="AC139">
            <v>0.21632317339264595</v>
          </cell>
          <cell r="AD139">
            <v>0.28736452345984231</v>
          </cell>
          <cell r="AE139">
            <v>0.22866083215348287</v>
          </cell>
          <cell r="AF139">
            <v>0</v>
          </cell>
          <cell r="AG139">
            <v>0.15782041279108844</v>
          </cell>
          <cell r="AH139">
            <v>0.1685576308756066</v>
          </cell>
          <cell r="AI139">
            <v>0.18199955739991314</v>
          </cell>
          <cell r="AJ139">
            <v>0.25074848096601393</v>
          </cell>
          <cell r="AK139">
            <v>0.19754740606100474</v>
          </cell>
          <cell r="AL139">
            <v>0</v>
          </cell>
          <cell r="AM139">
            <v>0.15884421219934705</v>
          </cell>
          <cell r="AN139">
            <v>0.18583482818598193</v>
          </cell>
          <cell r="AO139">
            <v>0.19562080310930671</v>
          </cell>
          <cell r="AP139">
            <v>0.27394592016112651</v>
          </cell>
          <cell r="AQ139">
            <v>0.21217033341746674</v>
          </cell>
          <cell r="AR139">
            <v>0</v>
          </cell>
          <cell r="AS139">
            <v>0.17428069399254323</v>
          </cell>
          <cell r="AT139">
            <v>0.24810250990252303</v>
          </cell>
          <cell r="AU139">
            <v>0.31424648630817598</v>
          </cell>
          <cell r="AV139">
            <v>0.41149479449131832</v>
          </cell>
          <cell r="AW139">
            <v>0.30405933666386048</v>
          </cell>
          <cell r="AX139">
            <v>0</v>
          </cell>
          <cell r="AY139">
            <v>0.28760633778439793</v>
          </cell>
          <cell r="AZ139">
            <v>0.35214345698791838</v>
          </cell>
          <cell r="BA139">
            <v>0.32570578866509747</v>
          </cell>
          <cell r="BB139">
            <v>0.39356701507189457</v>
          </cell>
          <cell r="BC139">
            <v>0.34460333343916605</v>
          </cell>
          <cell r="BD139">
            <v>0</v>
          </cell>
          <cell r="BE139">
            <v>0.32925381502877404</v>
          </cell>
          <cell r="BF139">
            <v>0.34445103987209075</v>
          </cell>
          <cell r="BG139">
            <v>0.3455962757176077</v>
          </cell>
          <cell r="BH139">
            <v>0.44213388628112443</v>
          </cell>
          <cell r="BI139">
            <v>0.36917279218112076</v>
          </cell>
          <cell r="BJ139">
            <v>0</v>
          </cell>
          <cell r="BK139">
            <v>0.28599605522682447</v>
          </cell>
          <cell r="BL139">
            <v>0.34387180597661327</v>
          </cell>
          <cell r="BM139">
            <v>0.34503684438664933</v>
          </cell>
          <cell r="BN139">
            <v>0.44868263050081236</v>
          </cell>
          <cell r="BO139">
            <v>0.36308757413935033</v>
          </cell>
          <cell r="BP139">
            <v>0</v>
          </cell>
          <cell r="BQ139">
            <v>0.29729729729729731</v>
          </cell>
          <cell r="BR139">
            <v>0.36629303442754202</v>
          </cell>
          <cell r="BS139">
            <v>0.36946990833001198</v>
          </cell>
          <cell r="BT139">
            <v>0.45693857653558662</v>
          </cell>
          <cell r="BU139">
            <v>0.38046474990153606</v>
          </cell>
          <cell r="BV139">
            <v>0</v>
          </cell>
          <cell r="BW139">
            <v>0.33566591422121894</v>
          </cell>
          <cell r="BX139">
            <v>0.41883164005805512</v>
          </cell>
          <cell r="BY139">
            <v>0.38086000646621404</v>
          </cell>
          <cell r="BZ139">
            <v>0.45992601726263871</v>
          </cell>
          <cell r="CA139">
            <v>0.4076904034986385</v>
          </cell>
          <cell r="CB139">
            <v>0</v>
          </cell>
          <cell r="CC139">
            <v>0.35156518747850019</v>
          </cell>
          <cell r="CD139">
            <v>0.40100176782557456</v>
          </cell>
          <cell r="CE139">
            <v>0.39141014033499322</v>
          </cell>
          <cell r="CF139">
            <v>0.44578691513064622</v>
          </cell>
          <cell r="CG139">
            <v>0.40394587203162657</v>
          </cell>
          <cell r="CH139">
            <v>0</v>
          </cell>
          <cell r="CI139">
            <v>0.36001092597650913</v>
          </cell>
          <cell r="CJ139">
            <v>0.38757115749525617</v>
          </cell>
          <cell r="CK139">
            <v>0.39447066756574511</v>
          </cell>
          <cell r="CL139">
            <v>0.46132925378208395</v>
          </cell>
          <cell r="CM139">
            <v>0.40754571914987092</v>
          </cell>
          <cell r="CN139">
            <v>0</v>
          </cell>
          <cell r="CO139">
            <v>0.3662094491617679</v>
          </cell>
          <cell r="CP139">
            <v>0.41275167785234901</v>
          </cell>
          <cell r="CQ139">
            <v>0.41314466579780301</v>
          </cell>
          <cell r="CR139">
            <v>0.48674632605411344</v>
          </cell>
          <cell r="CS139">
            <v>0.42721924897164848</v>
          </cell>
          <cell r="CT139">
            <v>0</v>
          </cell>
          <cell r="CU139">
            <v>0.40095905569900403</v>
          </cell>
          <cell r="CV139">
            <v>0.45876560576754</v>
          </cell>
          <cell r="CW139">
            <v>0.46420784883720928</v>
          </cell>
          <cell r="CX139">
            <v>0.51053625926464175</v>
          </cell>
          <cell r="CY139">
            <v>0.46186260321784284</v>
          </cell>
          <cell r="CZ139">
            <v>0</v>
          </cell>
          <cell r="DA139">
            <v>0.45783132530120479</v>
          </cell>
          <cell r="DB139">
            <v>0.48637602179836514</v>
          </cell>
          <cell r="DC139">
            <v>0.44616193155470363</v>
          </cell>
          <cell r="DD139">
            <v>0.45838438376077251</v>
          </cell>
          <cell r="DE139">
            <v>0.46143574720551567</v>
          </cell>
          <cell r="DF139">
            <v>0</v>
          </cell>
          <cell r="DG139">
            <v>0.38837638376383765</v>
          </cell>
          <cell r="DH139">
            <v>0.44294916034046466</v>
          </cell>
          <cell r="DI139">
            <v>0.44192119904621324</v>
          </cell>
          <cell r="DJ139">
            <v>0.4847307051637979</v>
          </cell>
          <cell r="DK139">
            <v>0.44373868226772534</v>
          </cell>
          <cell r="DL139">
            <v>0</v>
          </cell>
          <cell r="DM139">
            <v>0.42462491069302216</v>
          </cell>
          <cell r="DN139">
            <v>0.44591987288616503</v>
          </cell>
          <cell r="DO139">
            <v>0.46404566273573167</v>
          </cell>
          <cell r="DP139">
            <v>0.50338623828472562</v>
          </cell>
          <cell r="DQ139">
            <v>0.46243432985445937</v>
          </cell>
          <cell r="DR139">
            <v>0</v>
          </cell>
          <cell r="DS139">
            <v>0.43720306980143747</v>
          </cell>
          <cell r="DT139">
            <v>0.46878086250411499</v>
          </cell>
          <cell r="DU139">
            <v>0.4657748049052397</v>
          </cell>
          <cell r="DV139">
            <v>0.5084390110391388</v>
          </cell>
          <cell r="DW139">
            <v>0.47276729390921535</v>
          </cell>
          <cell r="DX139">
            <v>0</v>
          </cell>
          <cell r="DY139">
            <v>0.44636678200692043</v>
          </cell>
          <cell r="DZ139">
            <v>0.45739523860820858</v>
          </cell>
          <cell r="EA139">
            <v>0.46870638754696725</v>
          </cell>
          <cell r="EB139">
            <v>0.50821119547942784</v>
          </cell>
          <cell r="EC139">
            <v>0.47275812557107427</v>
          </cell>
          <cell r="ED139">
            <v>0</v>
          </cell>
          <cell r="EE139">
            <v>0.44412140946621698</v>
          </cell>
          <cell r="EF139">
            <v>0.45701498751040798</v>
          </cell>
          <cell r="EG139">
            <v>0.450610670666381</v>
          </cell>
          <cell r="EH139">
            <v>0.46471247199402538</v>
          </cell>
          <cell r="EI139">
            <v>0.45470943455415264</v>
          </cell>
          <cell r="EJ139">
            <v>0</v>
          </cell>
          <cell r="EK139">
            <v>0.410957283161756</v>
          </cell>
          <cell r="EL139">
            <v>0.41385060026678522</v>
          </cell>
          <cell r="EM139">
            <v>0.41902682788924273</v>
          </cell>
          <cell r="EN139">
            <v>0.46808004305043321</v>
          </cell>
          <cell r="EO139">
            <v>0.42971207056731853</v>
          </cell>
          <cell r="EP139">
            <v>0</v>
          </cell>
          <cell r="EQ139">
            <v>0.41647102884778048</v>
          </cell>
          <cell r="ER139">
            <v>0.42106666444758895</v>
          </cell>
          <cell r="ES139">
            <v>0.42018547811040863</v>
          </cell>
          <cell r="ET139">
            <v>0.46252417127681483</v>
          </cell>
          <cell r="EU139">
            <v>0.43126334197853955</v>
          </cell>
          <cell r="EV139">
            <v>0</v>
          </cell>
          <cell r="EW139">
            <v>0.41671623778717509</v>
          </cell>
          <cell r="EX139">
            <v>0.42187031019455418</v>
          </cell>
          <cell r="EY139">
            <v>0.42942289917412324</v>
          </cell>
          <cell r="EZ139">
            <v>0.45777076844611481</v>
          </cell>
          <cell r="FA139">
            <v>0.43235380476656859</v>
          </cell>
          <cell r="FB139">
            <v>0</v>
          </cell>
          <cell r="FC139">
            <v>0.39980976731667933</v>
          </cell>
          <cell r="FD139">
            <v>0.41229237517866824</v>
          </cell>
          <cell r="FE139">
            <v>0.44383653886620933</v>
          </cell>
          <cell r="FF139">
            <v>0.48207547169811321</v>
          </cell>
          <cell r="FG139">
            <v>0.43539391768367997</v>
          </cell>
          <cell r="FH139">
            <v>0.45149638802889575</v>
          </cell>
          <cell r="FI139">
            <v>0.47083794929413125</v>
          </cell>
          <cell r="FJ139">
            <v>0.47181806091235534</v>
          </cell>
          <cell r="FK139">
            <v>0.47189044481054365</v>
          </cell>
          <cell r="FL139">
            <v>0.43688155122289496</v>
          </cell>
          <cell r="FM139">
            <v>0.43261408241145305</v>
          </cell>
          <cell r="FN139">
            <v>0.43148695633790535</v>
          </cell>
          <cell r="FP139">
            <v>0</v>
          </cell>
          <cell r="FQ139">
            <v>0</v>
          </cell>
          <cell r="FR139">
            <v>0</v>
          </cell>
          <cell r="FS139">
            <v>0</v>
          </cell>
          <cell r="FT139">
            <v>0</v>
          </cell>
          <cell r="FU139">
            <v>0</v>
          </cell>
          <cell r="FV139">
            <v>0</v>
          </cell>
          <cell r="FX139">
            <v>0</v>
          </cell>
          <cell r="FY139">
            <v>0</v>
          </cell>
          <cell r="FZ139">
            <v>0</v>
          </cell>
          <cell r="GA139">
            <v>0</v>
          </cell>
          <cell r="GB139">
            <v>0</v>
          </cell>
          <cell r="GC139">
            <v>0</v>
          </cell>
          <cell r="GD139">
            <v>0</v>
          </cell>
          <cell r="GE139">
            <v>0</v>
          </cell>
          <cell r="GF139">
            <v>0</v>
          </cell>
          <cell r="GG139">
            <v>0</v>
          </cell>
          <cell r="GH139">
            <v>0</v>
          </cell>
          <cell r="GI139">
            <v>0</v>
          </cell>
          <cell r="GJ139">
            <v>0</v>
          </cell>
          <cell r="GK139">
            <v>0</v>
          </cell>
          <cell r="GL139">
            <v>0</v>
          </cell>
          <cell r="GM139">
            <v>0</v>
          </cell>
          <cell r="GN139">
            <v>0</v>
          </cell>
          <cell r="GO139">
            <v>0</v>
          </cell>
          <cell r="GP139">
            <v>0</v>
          </cell>
          <cell r="GQ139">
            <v>0</v>
          </cell>
          <cell r="GR139">
            <v>0</v>
          </cell>
          <cell r="GS139">
            <v>0</v>
          </cell>
          <cell r="GT139">
            <v>0</v>
          </cell>
          <cell r="GU139">
            <v>0</v>
          </cell>
          <cell r="GV139">
            <v>0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</row>
        <row r="140">
          <cell r="CG140">
            <v>0</v>
          </cell>
          <cell r="CM140">
            <v>0</v>
          </cell>
          <cell r="CS140">
            <v>0</v>
          </cell>
          <cell r="CY140">
            <v>0</v>
          </cell>
          <cell r="DE140">
            <v>0</v>
          </cell>
          <cell r="DK140">
            <v>0</v>
          </cell>
          <cell r="DQ140">
            <v>0</v>
          </cell>
          <cell r="DW140">
            <v>0</v>
          </cell>
          <cell r="EC140">
            <v>0</v>
          </cell>
          <cell r="EI140">
            <v>0</v>
          </cell>
          <cell r="EO140">
            <v>0</v>
          </cell>
          <cell r="EU140">
            <v>0</v>
          </cell>
          <cell r="FA140">
            <v>0</v>
          </cell>
        </row>
        <row r="141"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O141">
            <v>0</v>
          </cell>
          <cell r="P141">
            <v>0</v>
          </cell>
          <cell r="Q141">
            <v>0</v>
          </cell>
          <cell r="R141">
            <v>0</v>
          </cell>
          <cell r="S141">
            <v>0</v>
          </cell>
          <cell r="U141">
            <v>0</v>
          </cell>
          <cell r="V141">
            <v>0</v>
          </cell>
          <cell r="W141">
            <v>0</v>
          </cell>
          <cell r="X141">
            <v>0</v>
          </cell>
          <cell r="Y141">
            <v>0</v>
          </cell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0</v>
          </cell>
          <cell r="AM141">
            <v>0</v>
          </cell>
          <cell r="AN141">
            <v>0</v>
          </cell>
          <cell r="AO141">
            <v>0</v>
          </cell>
          <cell r="AP141">
            <v>0</v>
          </cell>
          <cell r="AQ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0</v>
          </cell>
          <cell r="BK141">
            <v>642</v>
          </cell>
          <cell r="BL141">
            <v>854</v>
          </cell>
          <cell r="BM141">
            <v>867</v>
          </cell>
          <cell r="BN141">
            <v>1320.4</v>
          </cell>
          <cell r="BO141">
            <v>3683.4</v>
          </cell>
          <cell r="BQ141">
            <v>666</v>
          </cell>
          <cell r="BR141">
            <v>965</v>
          </cell>
          <cell r="BS141">
            <v>977</v>
          </cell>
          <cell r="BT141">
            <v>1454</v>
          </cell>
          <cell r="BU141">
            <v>4062</v>
          </cell>
          <cell r="BW141">
            <v>787.5</v>
          </cell>
          <cell r="BX141">
            <v>1199.3</v>
          </cell>
          <cell r="BY141">
            <v>1231</v>
          </cell>
          <cell r="BZ141">
            <v>1929</v>
          </cell>
          <cell r="CA141">
            <v>5146.8</v>
          </cell>
          <cell r="CC141">
            <v>1079</v>
          </cell>
          <cell r="CD141">
            <v>1414</v>
          </cell>
          <cell r="CE141">
            <v>1433.4</v>
          </cell>
          <cell r="CF141">
            <v>2263.8500000000004</v>
          </cell>
          <cell r="CG141">
            <v>6190.25</v>
          </cell>
          <cell r="CI141">
            <v>1377</v>
          </cell>
          <cell r="CJ141">
            <v>1699</v>
          </cell>
          <cell r="CK141">
            <v>1815</v>
          </cell>
          <cell r="CL141">
            <v>2779</v>
          </cell>
          <cell r="CM141">
            <v>7670</v>
          </cell>
          <cell r="CO141">
            <v>1749</v>
          </cell>
          <cell r="CP141">
            <v>2284</v>
          </cell>
          <cell r="CQ141">
            <v>2284</v>
          </cell>
          <cell r="CR141">
            <v>3610</v>
          </cell>
          <cell r="CS141">
            <v>9927</v>
          </cell>
          <cell r="CU141">
            <v>2238</v>
          </cell>
          <cell r="CV141">
            <v>2679</v>
          </cell>
          <cell r="CW141">
            <v>2619</v>
          </cell>
          <cell r="CX141">
            <v>3578</v>
          </cell>
          <cell r="CY141">
            <v>11114</v>
          </cell>
          <cell r="DA141">
            <v>2379</v>
          </cell>
          <cell r="DB141">
            <v>2918</v>
          </cell>
          <cell r="DC141">
            <v>2959.3999999999996</v>
          </cell>
          <cell r="DE141">
            <v>12773.099999999999</v>
          </cell>
          <cell r="DG141">
            <v>3046</v>
          </cell>
          <cell r="DH141">
            <v>3946</v>
          </cell>
          <cell r="DI141">
            <v>3981</v>
          </cell>
          <cell r="DJ141">
            <v>5323</v>
          </cell>
          <cell r="DK141">
            <v>16296</v>
          </cell>
          <cell r="DM141">
            <v>3683</v>
          </cell>
          <cell r="DN141">
            <v>4038</v>
          </cell>
          <cell r="DO141">
            <v>4329.3392000000003</v>
          </cell>
          <cell r="DP141">
            <v>5648.1597000000002</v>
          </cell>
          <cell r="DQ141">
            <v>17698.498899999999</v>
          </cell>
          <cell r="DS141">
            <v>3716</v>
          </cell>
          <cell r="DT141">
            <v>4406</v>
          </cell>
          <cell r="DU141">
            <v>4317</v>
          </cell>
          <cell r="DV141">
            <v>5719</v>
          </cell>
          <cell r="DW141">
            <v>18158</v>
          </cell>
          <cell r="DY141">
            <v>3891</v>
          </cell>
          <cell r="DZ141">
            <v>4398</v>
          </cell>
          <cell r="EA141">
            <v>4516</v>
          </cell>
          <cell r="EB141">
            <v>5912</v>
          </cell>
          <cell r="EC141">
            <v>18717</v>
          </cell>
          <cell r="EE141">
            <v>3979</v>
          </cell>
          <cell r="EF141">
            <v>4555</v>
          </cell>
          <cell r="EG141">
            <v>4384</v>
          </cell>
          <cell r="EH141">
            <v>5188</v>
          </cell>
          <cell r="EI141">
            <v>18106</v>
          </cell>
          <cell r="EK141">
            <v>3692</v>
          </cell>
          <cell r="EL141">
            <v>3933</v>
          </cell>
          <cell r="EM141">
            <v>4026.0528879122649</v>
          </cell>
          <cell r="EN141">
            <v>5259.570011858561</v>
          </cell>
          <cell r="EO141">
            <v>16910.622899770828</v>
          </cell>
          <cell r="EQ141">
            <v>3816.3923932132179</v>
          </cell>
          <cell r="ER141">
            <v>4043.9338766649598</v>
          </cell>
          <cell r="ES141">
            <v>4059.1928210439219</v>
          </cell>
          <cell r="ET141">
            <v>5166.563114386885</v>
          </cell>
          <cell r="EU141">
            <v>17086.082205308983</v>
          </cell>
          <cell r="EW141">
            <v>3847.7271014662401</v>
          </cell>
          <cell r="EX141">
            <v>4063.0094600889438</v>
          </cell>
          <cell r="EY141">
            <v>4155.3783153797294</v>
          </cell>
          <cell r="EZ141">
            <v>5061.3390285194255</v>
          </cell>
          <cell r="FA141">
            <v>17127.453905454338</v>
          </cell>
        </row>
        <row r="142"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O142">
            <v>0</v>
          </cell>
          <cell r="P142">
            <v>0</v>
          </cell>
          <cell r="Q142">
            <v>0</v>
          </cell>
          <cell r="R142">
            <v>0</v>
          </cell>
          <cell r="S142">
            <v>0</v>
          </cell>
          <cell r="U142">
            <v>0</v>
          </cell>
          <cell r="V142">
            <v>0</v>
          </cell>
          <cell r="W142">
            <v>0</v>
          </cell>
          <cell r="X142">
            <v>0</v>
          </cell>
          <cell r="Y142">
            <v>0</v>
          </cell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G142">
            <v>0</v>
          </cell>
          <cell r="AH142">
            <v>0</v>
          </cell>
          <cell r="AI142">
            <v>0</v>
          </cell>
          <cell r="AJ142">
            <v>0</v>
          </cell>
          <cell r="AK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0</v>
          </cell>
          <cell r="AQ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0</v>
          </cell>
          <cell r="BK142">
            <v>0.31656804733727811</v>
          </cell>
          <cell r="BL142">
            <v>0.36985708098744047</v>
          </cell>
          <cell r="BM142">
            <v>0.37581274382314694</v>
          </cell>
          <cell r="BN142">
            <v>0.46634173906901183</v>
          </cell>
          <cell r="BO142">
            <v>0.38873292948054966</v>
          </cell>
          <cell r="BQ142">
            <v>0.32142857142857145</v>
          </cell>
          <cell r="BR142">
            <v>0.38630904723779025</v>
          </cell>
          <cell r="BS142">
            <v>0.38939816660023913</v>
          </cell>
          <cell r="BT142">
            <v>0.47253818654533636</v>
          </cell>
          <cell r="BU142">
            <v>0.39996061441512404</v>
          </cell>
          <cell r="BW142">
            <v>0.35553047404063204</v>
          </cell>
          <cell r="BX142">
            <v>0.4351596516690856</v>
          </cell>
          <cell r="BY142">
            <v>0.39799547365017784</v>
          </cell>
          <cell r="BZ142">
            <v>0.4757090012330456</v>
          </cell>
          <cell r="CA142">
            <v>0.42468850565228156</v>
          </cell>
          <cell r="CC142">
            <v>0.37117303061575507</v>
          </cell>
          <cell r="CD142">
            <v>0.41661756040070713</v>
          </cell>
          <cell r="CE142">
            <v>0.40555681303757357</v>
          </cell>
          <cell r="CF142">
            <v>0.45854770103301606</v>
          </cell>
          <cell r="CG142">
            <v>0.41904159107524847</v>
          </cell>
          <cell r="CI142">
            <v>0.37612674132750612</v>
          </cell>
          <cell r="CJ142">
            <v>0.40298861480075904</v>
          </cell>
          <cell r="CK142">
            <v>0.4079568442346595</v>
          </cell>
          <cell r="CL142">
            <v>0.47237803841577425</v>
          </cell>
          <cell r="CM142">
            <v>0.42122027568784665</v>
          </cell>
          <cell r="CO142">
            <v>0.38079686479425212</v>
          </cell>
          <cell r="CP142">
            <v>0.42580164056674125</v>
          </cell>
          <cell r="CQ142">
            <v>0.42524669521504377</v>
          </cell>
          <cell r="CR142">
            <v>0.49581101497047109</v>
          </cell>
          <cell r="CS142">
            <v>0.43907293555663673</v>
          </cell>
          <cell r="CU142">
            <v>0.41276281814828475</v>
          </cell>
          <cell r="CV142">
            <v>0.47107438016528924</v>
          </cell>
          <cell r="CW142">
            <v>0.47583575581395349</v>
          </cell>
          <cell r="CX142">
            <v>0.51998256067432058</v>
          </cell>
          <cell r="CY142">
            <v>0.47305695071081977</v>
          </cell>
          <cell r="DA142">
            <v>0.46987951807228917</v>
          </cell>
          <cell r="DB142">
            <v>0.49693460490463215</v>
          </cell>
          <cell r="DC142">
            <v>0.45744582186910682</v>
          </cell>
          <cell r="DE142">
            <v>0.47245833240861973</v>
          </cell>
          <cell r="DG142">
            <v>0.40142329994728521</v>
          </cell>
          <cell r="DH142">
            <v>0.45387623648493214</v>
          </cell>
          <cell r="DI142">
            <v>0.45202679686612923</v>
          </cell>
          <cell r="DJ142">
            <v>0.49259670553396262</v>
          </cell>
          <cell r="DK142">
            <v>0.4539908065190138</v>
          </cell>
          <cell r="DM142">
            <v>0.4385567992379138</v>
          </cell>
          <cell r="DN142">
            <v>0.45829077289751446</v>
          </cell>
          <cell r="DO142">
            <v>0.477728664140049</v>
          </cell>
          <cell r="DP142">
            <v>0.51580614847105832</v>
          </cell>
          <cell r="DQ142">
            <v>0.4754913000024294</v>
          </cell>
          <cell r="DS142">
            <v>0.45267389450602996</v>
          </cell>
          <cell r="DT142">
            <v>0.48348513113135083</v>
          </cell>
          <cell r="DU142">
            <v>0.48127090301003345</v>
          </cell>
          <cell r="DV142">
            <v>0.52175896359821183</v>
          </cell>
          <cell r="DW142">
            <v>0.48742383163772046</v>
          </cell>
          <cell r="DY142">
            <v>0.46426440758859322</v>
          </cell>
          <cell r="DZ142">
            <v>0.47376925562856836</v>
          </cell>
          <cell r="EA142">
            <v>0.48480944712828772</v>
          </cell>
          <cell r="EB142">
            <v>0.52198481370298433</v>
          </cell>
          <cell r="EC142">
            <v>0.48863072705913069</v>
          </cell>
          <cell r="EE142">
            <v>0.46272822421211768</v>
          </cell>
          <cell r="EF142">
            <v>0.47408409658617817</v>
          </cell>
          <cell r="EG142">
            <v>0.46968073709020786</v>
          </cell>
          <cell r="EH142">
            <v>0.48431665421956682</v>
          </cell>
          <cell r="EI142">
            <v>0.47332235380231613</v>
          </cell>
          <cell r="EK142">
            <v>0.43687137616850075</v>
          </cell>
          <cell r="EL142">
            <v>0.43719430858159181</v>
          </cell>
          <cell r="EM142">
            <v>0.44095771131785294</v>
          </cell>
          <cell r="EN142">
            <v>0.50608492691974027</v>
          </cell>
          <cell r="EO142">
            <v>0.45741585265584411</v>
          </cell>
          <cell r="EQ142">
            <v>0.44212240042306483</v>
          </cell>
          <cell r="ER142">
            <v>0.4439542951363013</v>
          </cell>
          <cell r="ES142">
            <v>0.44194819766256016</v>
          </cell>
          <cell r="ET142">
            <v>0.50109675150616129</v>
          </cell>
          <cell r="EU142">
            <v>0.45885726741959937</v>
          </cell>
          <cell r="EW142">
            <v>0.44258140662210343</v>
          </cell>
          <cell r="EX142">
            <v>0.44504812702668245</v>
          </cell>
          <cell r="EY142">
            <v>0.45145114958447563</v>
          </cell>
          <cell r="EZ142">
            <v>0.49739440082932557</v>
          </cell>
          <cell r="FA142">
            <v>0.4603733832663604</v>
          </cell>
        </row>
        <row r="143">
          <cell r="CG143">
            <v>0</v>
          </cell>
          <cell r="CM143">
            <v>0</v>
          </cell>
          <cell r="CS143">
            <v>0</v>
          </cell>
          <cell r="CY143">
            <v>0</v>
          </cell>
          <cell r="DE143">
            <v>0</v>
          </cell>
          <cell r="DK143">
            <v>0</v>
          </cell>
          <cell r="DQ143">
            <v>0</v>
          </cell>
          <cell r="DW143">
            <v>0</v>
          </cell>
          <cell r="EC143">
            <v>0</v>
          </cell>
          <cell r="EI143">
            <v>0</v>
          </cell>
          <cell r="EO143">
            <v>0</v>
          </cell>
          <cell r="EU143">
            <v>0</v>
          </cell>
          <cell r="FA143">
            <v>0</v>
          </cell>
        </row>
        <row r="144">
          <cell r="C144">
            <v>-0.30515999999999999</v>
          </cell>
          <cell r="D144">
            <v>-0.16205699999999998</v>
          </cell>
          <cell r="E144">
            <v>-0.38741500000000001</v>
          </cell>
          <cell r="F144">
            <v>-0.11899999999999994</v>
          </cell>
          <cell r="G144">
            <v>1.0840000000000001</v>
          </cell>
          <cell r="H144">
            <v>-2.7149999999999999</v>
          </cell>
          <cell r="I144">
            <v>-17.135000000000002</v>
          </cell>
          <cell r="J144">
            <v>-40.021000000000001</v>
          </cell>
          <cell r="K144">
            <v>-17.533000000000001</v>
          </cell>
          <cell r="L144">
            <v>68.462000000000003</v>
          </cell>
          <cell r="M144">
            <v>3.2389999999999999</v>
          </cell>
          <cell r="O144">
            <v>3.8</v>
          </cell>
          <cell r="P144">
            <v>2.1659999999999999</v>
          </cell>
          <cell r="Q144">
            <v>1.5329999999999999</v>
          </cell>
          <cell r="R144">
            <v>1.762</v>
          </cell>
          <cell r="S144">
            <v>9.2609999999999992</v>
          </cell>
          <cell r="U144">
            <v>7.2679999999999998</v>
          </cell>
          <cell r="V144">
            <v>2.8140000000000001</v>
          </cell>
          <cell r="W144">
            <v>1.7090000000000001</v>
          </cell>
          <cell r="X144">
            <v>2.8279999999999998</v>
          </cell>
          <cell r="Y144">
            <v>14.619</v>
          </cell>
          <cell r="AA144">
            <v>7.33</v>
          </cell>
          <cell r="AB144">
            <v>6.2750000000000004</v>
          </cell>
          <cell r="AC144">
            <v>4.33</v>
          </cell>
          <cell r="AD144">
            <v>2.6070000000000002</v>
          </cell>
          <cell r="AE144">
            <v>20.542000000000002</v>
          </cell>
          <cell r="AG144">
            <v>39.973999999999997</v>
          </cell>
          <cell r="AH144">
            <v>16.248000000000001</v>
          </cell>
          <cell r="AI144">
            <v>12.615</v>
          </cell>
          <cell r="AJ144">
            <v>14.782</v>
          </cell>
          <cell r="AK144">
            <v>83.618999999999986</v>
          </cell>
          <cell r="AM144">
            <v>22.166</v>
          </cell>
          <cell r="AN144">
            <v>28.654</v>
          </cell>
          <cell r="AO144">
            <v>37.655999999999999</v>
          </cell>
          <cell r="AP144">
            <v>20.721</v>
          </cell>
          <cell r="AQ144">
            <v>109.197</v>
          </cell>
          <cell r="AS144">
            <v>18.347000000000001</v>
          </cell>
          <cell r="AT144">
            <v>15.450000000000001</v>
          </cell>
          <cell r="AU144">
            <v>439.60899999999998</v>
          </cell>
          <cell r="AV144">
            <v>6569.8680000000004</v>
          </cell>
          <cell r="AW144">
            <v>7043.2740000000003</v>
          </cell>
          <cell r="AY144">
            <v>118.202</v>
          </cell>
          <cell r="AZ144">
            <v>19.88</v>
          </cell>
          <cell r="BA144">
            <v>25.307999999999996</v>
          </cell>
          <cell r="BB144">
            <v>30.749000000000002</v>
          </cell>
          <cell r="BC144">
            <v>194.13899999999998</v>
          </cell>
          <cell r="BE144">
            <v>39.832999999999998</v>
          </cell>
          <cell r="BF144">
            <v>25.381999999999998</v>
          </cell>
          <cell r="BG144">
            <v>2.761000000000001</v>
          </cell>
          <cell r="BH144">
            <v>-230.50399999999999</v>
          </cell>
          <cell r="BI144">
            <v>-162.52799999999999</v>
          </cell>
          <cell r="BK144">
            <v>-58</v>
          </cell>
          <cell r="BL144">
            <v>6</v>
          </cell>
          <cell r="BM144">
            <v>33</v>
          </cell>
          <cell r="BN144">
            <v>4</v>
          </cell>
          <cell r="BO144">
            <v>-15</v>
          </cell>
          <cell r="BQ144">
            <v>48</v>
          </cell>
          <cell r="BR144">
            <v>1</v>
          </cell>
          <cell r="BS144">
            <v>19</v>
          </cell>
          <cell r="BT144">
            <v>13</v>
          </cell>
          <cell r="BU144">
            <v>81</v>
          </cell>
          <cell r="BW144">
            <v>23</v>
          </cell>
          <cell r="BX144">
            <v>23</v>
          </cell>
          <cell r="BY144">
            <v>1</v>
          </cell>
          <cell r="BZ144">
            <v>-18</v>
          </cell>
          <cell r="CA144">
            <v>29</v>
          </cell>
          <cell r="CC144">
            <v>21</v>
          </cell>
          <cell r="CD144">
            <v>5.5</v>
          </cell>
          <cell r="CE144">
            <v>26</v>
          </cell>
          <cell r="CF144">
            <v>20.599999999999994</v>
          </cell>
          <cell r="CG144">
            <v>73.099999999999994</v>
          </cell>
          <cell r="CI144">
            <v>19</v>
          </cell>
          <cell r="CJ144">
            <v>-3</v>
          </cell>
          <cell r="CK144">
            <v>12</v>
          </cell>
          <cell r="CL144">
            <v>-17.5</v>
          </cell>
          <cell r="CM144">
            <v>10.5</v>
          </cell>
          <cell r="CO144">
            <v>-17</v>
          </cell>
          <cell r="CP144">
            <v>33</v>
          </cell>
          <cell r="CQ144">
            <v>2</v>
          </cell>
          <cell r="CR144">
            <v>-29</v>
          </cell>
          <cell r="CS144">
            <v>-11</v>
          </cell>
          <cell r="CU144">
            <v>-77</v>
          </cell>
          <cell r="CV144">
            <v>-149</v>
          </cell>
          <cell r="CW144">
            <v>-130</v>
          </cell>
          <cell r="CX144">
            <v>-130</v>
          </cell>
          <cell r="CY144">
            <v>-486</v>
          </cell>
          <cell r="DA144">
            <v>-178</v>
          </cell>
          <cell r="DB144">
            <v>-155</v>
          </cell>
          <cell r="DC144">
            <v>-261</v>
          </cell>
          <cell r="DE144">
            <v>-819</v>
          </cell>
          <cell r="DG144">
            <v>-122</v>
          </cell>
          <cell r="DH144">
            <v>-124</v>
          </cell>
          <cell r="DI144">
            <v>-188</v>
          </cell>
          <cell r="DJ144">
            <v>-189</v>
          </cell>
          <cell r="DK144">
            <v>-623</v>
          </cell>
          <cell r="DM144">
            <v>-212</v>
          </cell>
          <cell r="DN144">
            <v>-151</v>
          </cell>
          <cell r="DO144">
            <v>-169</v>
          </cell>
          <cell r="DP144">
            <v>-214</v>
          </cell>
          <cell r="DQ144">
            <v>-746</v>
          </cell>
          <cell r="DS144">
            <v>-177</v>
          </cell>
          <cell r="DT144">
            <v>-191</v>
          </cell>
          <cell r="DU144">
            <v>-244</v>
          </cell>
          <cell r="DV144">
            <v>-175</v>
          </cell>
          <cell r="DW144">
            <v>-787</v>
          </cell>
          <cell r="DY144">
            <v>-210</v>
          </cell>
          <cell r="DZ144">
            <v>-207</v>
          </cell>
          <cell r="EA144">
            <v>-318</v>
          </cell>
          <cell r="EB144">
            <v>-320</v>
          </cell>
          <cell r="EC144">
            <v>-1055</v>
          </cell>
          <cell r="EE144">
            <v>-245</v>
          </cell>
          <cell r="EF144">
            <v>-273</v>
          </cell>
          <cell r="EG144">
            <v>-233</v>
          </cell>
          <cell r="EH144">
            <v>-285</v>
          </cell>
          <cell r="EI144">
            <v>-1036</v>
          </cell>
          <cell r="EK144">
            <v>-344</v>
          </cell>
          <cell r="EL144">
            <v>-287</v>
          </cell>
          <cell r="EM144">
            <v>-295.57787500000006</v>
          </cell>
          <cell r="EN144">
            <v>-274.05624522036914</v>
          </cell>
          <cell r="EO144">
            <v>-1200.6341202203691</v>
          </cell>
          <cell r="EQ144">
            <v>-261.18869554614577</v>
          </cell>
          <cell r="ER144">
            <v>-258.19531447784846</v>
          </cell>
          <cell r="ES144">
            <v>-258.60550332404245</v>
          </cell>
          <cell r="ET144">
            <v>-257.72791381427623</v>
          </cell>
          <cell r="EU144">
            <v>-1035.717427162313</v>
          </cell>
          <cell r="EW144">
            <v>-242.08587531226431</v>
          </cell>
          <cell r="EX144">
            <v>-239.61811978606119</v>
          </cell>
          <cell r="EY144">
            <v>-240.69276308250932</v>
          </cell>
          <cell r="EZ144">
            <v>-238.99042509484804</v>
          </cell>
          <cell r="FA144">
            <v>-961.3871832756829</v>
          </cell>
        </row>
        <row r="145"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O145">
            <v>0</v>
          </cell>
          <cell r="P145">
            <v>0</v>
          </cell>
          <cell r="Q145">
            <v>0</v>
          </cell>
          <cell r="R145">
            <v>0</v>
          </cell>
          <cell r="S145">
            <v>0</v>
          </cell>
          <cell r="U145">
            <v>0</v>
          </cell>
          <cell r="V145">
            <v>0</v>
          </cell>
          <cell r="W145">
            <v>0</v>
          </cell>
          <cell r="X145">
            <v>0</v>
          </cell>
          <cell r="Y145">
            <v>0</v>
          </cell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0</v>
          </cell>
          <cell r="AQ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289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166</v>
          </cell>
          <cell r="BK145">
            <v>33</v>
          </cell>
          <cell r="BL145">
            <v>35</v>
          </cell>
          <cell r="BM145">
            <v>32</v>
          </cell>
          <cell r="BN145">
            <v>29</v>
          </cell>
          <cell r="BO145">
            <v>129</v>
          </cell>
          <cell r="BQ145">
            <v>27</v>
          </cell>
          <cell r="BR145">
            <v>29</v>
          </cell>
          <cell r="BS145">
            <v>29</v>
          </cell>
          <cell r="BT145">
            <v>33</v>
          </cell>
          <cell r="BU145">
            <v>118</v>
          </cell>
          <cell r="BW145">
            <v>37</v>
          </cell>
          <cell r="BX145">
            <v>43</v>
          </cell>
          <cell r="BY145">
            <v>57</v>
          </cell>
          <cell r="BZ145">
            <v>48</v>
          </cell>
          <cell r="CA145">
            <v>185</v>
          </cell>
          <cell r="CC145">
            <v>25</v>
          </cell>
          <cell r="CD145">
            <v>21.5</v>
          </cell>
          <cell r="CE145">
            <v>75</v>
          </cell>
          <cell r="CF145">
            <v>104</v>
          </cell>
          <cell r="CG145">
            <v>225.5</v>
          </cell>
          <cell r="CI145">
            <v>77</v>
          </cell>
          <cell r="CJ145">
            <v>81</v>
          </cell>
          <cell r="CK145">
            <v>67</v>
          </cell>
          <cell r="CL145">
            <v>79</v>
          </cell>
          <cell r="CM145">
            <v>304</v>
          </cell>
          <cell r="CO145">
            <v>77</v>
          </cell>
          <cell r="CP145">
            <v>122</v>
          </cell>
          <cell r="CQ145">
            <v>84</v>
          </cell>
          <cell r="CR145">
            <v>101</v>
          </cell>
          <cell r="CS145">
            <v>384</v>
          </cell>
          <cell r="CU145">
            <v>82</v>
          </cell>
          <cell r="CV145">
            <v>8</v>
          </cell>
          <cell r="CW145">
            <v>24</v>
          </cell>
          <cell r="CX145">
            <v>29</v>
          </cell>
          <cell r="CY145">
            <v>143</v>
          </cell>
          <cell r="DA145">
            <v>1</v>
          </cell>
          <cell r="DB145">
            <v>33</v>
          </cell>
          <cell r="DC145">
            <v>-75</v>
          </cell>
          <cell r="DE145">
            <v>-65</v>
          </cell>
          <cell r="DG145">
            <v>74</v>
          </cell>
          <cell r="DH145">
            <v>90</v>
          </cell>
          <cell r="DI145">
            <v>16</v>
          </cell>
          <cell r="DJ145">
            <v>6</v>
          </cell>
          <cell r="DK145">
            <v>186</v>
          </cell>
          <cell r="DM145">
            <v>-20</v>
          </cell>
          <cell r="DN145">
            <v>41</v>
          </cell>
          <cell r="DO145">
            <v>21</v>
          </cell>
          <cell r="DP145">
            <v>-20</v>
          </cell>
          <cell r="DQ145">
            <v>22</v>
          </cell>
          <cell r="DS145">
            <v>11</v>
          </cell>
          <cell r="DT145">
            <v>4</v>
          </cell>
          <cell r="DU145">
            <v>-39</v>
          </cell>
          <cell r="DV145">
            <v>35</v>
          </cell>
          <cell r="DW145">
            <v>11</v>
          </cell>
          <cell r="DY145">
            <v>7</v>
          </cell>
          <cell r="DZ145">
            <v>23</v>
          </cell>
          <cell r="EA145">
            <v>-90</v>
          </cell>
          <cell r="EB145">
            <v>-81</v>
          </cell>
          <cell r="EC145">
            <v>-141</v>
          </cell>
          <cell r="EE145">
            <v>16</v>
          </cell>
          <cell r="EF145">
            <v>9</v>
          </cell>
          <cell r="EG145">
            <v>40</v>
          </cell>
          <cell r="EH145">
            <v>40</v>
          </cell>
          <cell r="EI145">
            <v>105</v>
          </cell>
          <cell r="EK145">
            <v>30</v>
          </cell>
          <cell r="EL145">
            <v>84</v>
          </cell>
          <cell r="EM145">
            <v>39.251249999999999</v>
          </cell>
          <cell r="EN145">
            <v>34.562254779630869</v>
          </cell>
          <cell r="EO145">
            <v>187.81350477963088</v>
          </cell>
          <cell r="EQ145">
            <v>47.429804453854203</v>
          </cell>
          <cell r="ER145">
            <v>50.423185522151527</v>
          </cell>
          <cell r="ES145">
            <v>50.012996675957559</v>
          </cell>
          <cell r="ET145">
            <v>50.890586185723762</v>
          </cell>
          <cell r="EU145">
            <v>198.75657283768703</v>
          </cell>
          <cell r="EW145">
            <v>66.532624687735677</v>
          </cell>
          <cell r="EX145">
            <v>69.000380213938811</v>
          </cell>
          <cell r="EY145">
            <v>67.925736917490681</v>
          </cell>
          <cell r="EZ145">
            <v>69.628074905151934</v>
          </cell>
          <cell r="FA145">
            <v>273.08681672431709</v>
          </cell>
        </row>
        <row r="146"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O146">
            <v>0</v>
          </cell>
          <cell r="P146">
            <v>0</v>
          </cell>
          <cell r="Q146">
            <v>0</v>
          </cell>
          <cell r="R146">
            <v>0</v>
          </cell>
          <cell r="S146">
            <v>0</v>
          </cell>
          <cell r="U146">
            <v>0</v>
          </cell>
          <cell r="V146">
            <v>0</v>
          </cell>
          <cell r="W146">
            <v>0</v>
          </cell>
          <cell r="X146">
            <v>0</v>
          </cell>
          <cell r="Y146">
            <v>0</v>
          </cell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G146">
            <v>0</v>
          </cell>
          <cell r="AH146">
            <v>0</v>
          </cell>
          <cell r="AI146">
            <v>0</v>
          </cell>
          <cell r="AJ146">
            <v>0</v>
          </cell>
          <cell r="AK146">
            <v>0</v>
          </cell>
          <cell r="AM146">
            <v>0</v>
          </cell>
          <cell r="AN146">
            <v>0</v>
          </cell>
          <cell r="AO146">
            <v>0</v>
          </cell>
          <cell r="AP146">
            <v>0</v>
          </cell>
          <cell r="AQ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-24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-20</v>
          </cell>
          <cell r="BK146">
            <v>-4</v>
          </cell>
          <cell r="BL146">
            <v>-4</v>
          </cell>
          <cell r="BM146">
            <v>-4</v>
          </cell>
          <cell r="BN146">
            <v>-4</v>
          </cell>
          <cell r="BO146">
            <v>-16</v>
          </cell>
          <cell r="BQ146">
            <v>-11</v>
          </cell>
          <cell r="BR146">
            <v>-3</v>
          </cell>
          <cell r="BS146">
            <v>-4</v>
          </cell>
          <cell r="BT146">
            <v>-3</v>
          </cell>
          <cell r="BU146">
            <v>-21</v>
          </cell>
          <cell r="BW146">
            <v>-5</v>
          </cell>
          <cell r="BX146">
            <v>-6</v>
          </cell>
          <cell r="BY146">
            <v>-58</v>
          </cell>
          <cell r="BZ146">
            <v>-66</v>
          </cell>
          <cell r="CA146">
            <v>-135</v>
          </cell>
          <cell r="CC146">
            <v>-21</v>
          </cell>
          <cell r="CD146">
            <v>-16</v>
          </cell>
          <cell r="CE146">
            <v>-49</v>
          </cell>
          <cell r="CF146">
            <v>-83.4</v>
          </cell>
          <cell r="CG146">
            <v>-169.4</v>
          </cell>
          <cell r="CI146">
            <v>-83</v>
          </cell>
          <cell r="CJ146">
            <v>-82</v>
          </cell>
          <cell r="CK146">
            <v>-82</v>
          </cell>
          <cell r="CL146">
            <v>-96.5</v>
          </cell>
          <cell r="CM146">
            <v>-343.5</v>
          </cell>
          <cell r="CO146">
            <v>-94</v>
          </cell>
          <cell r="CP146">
            <v>-89</v>
          </cell>
          <cell r="CQ146">
            <v>-82</v>
          </cell>
          <cell r="CR146">
            <v>-130</v>
          </cell>
          <cell r="CS146">
            <v>-395</v>
          </cell>
          <cell r="CU146">
            <v>-159</v>
          </cell>
          <cell r="CV146">
            <v>-157</v>
          </cell>
          <cell r="CW146">
            <v>-154</v>
          </cell>
          <cell r="CX146">
            <v>-159</v>
          </cell>
          <cell r="CY146">
            <v>-629</v>
          </cell>
          <cell r="DA146">
            <v>-179</v>
          </cell>
          <cell r="DB146">
            <v>-188</v>
          </cell>
          <cell r="DC146">
            <v>-186</v>
          </cell>
          <cell r="DE146">
            <v>-754</v>
          </cell>
          <cell r="DG146">
            <v>-196</v>
          </cell>
          <cell r="DH146">
            <v>-214</v>
          </cell>
          <cell r="DI146">
            <v>-204</v>
          </cell>
          <cell r="DJ146">
            <v>-195</v>
          </cell>
          <cell r="DK146">
            <v>-809</v>
          </cell>
          <cell r="DM146">
            <v>-192</v>
          </cell>
          <cell r="DN146">
            <v>-192</v>
          </cell>
          <cell r="DO146">
            <v>-190</v>
          </cell>
          <cell r="DP146">
            <v>-194</v>
          </cell>
          <cell r="DQ146">
            <v>-768</v>
          </cell>
          <cell r="DS146">
            <v>-188</v>
          </cell>
          <cell r="DT146">
            <v>-195</v>
          </cell>
          <cell r="DU146">
            <v>-205</v>
          </cell>
          <cell r="DV146">
            <v>-210</v>
          </cell>
          <cell r="DW146">
            <v>-798</v>
          </cell>
          <cell r="DY146">
            <v>-217</v>
          </cell>
          <cell r="DZ146">
            <v>-230</v>
          </cell>
          <cell r="EA146">
            <v>-228</v>
          </cell>
          <cell r="EB146">
            <v>-239</v>
          </cell>
          <cell r="EC146">
            <v>-914</v>
          </cell>
          <cell r="EE146">
            <v>-261</v>
          </cell>
          <cell r="EF146">
            <v>-282</v>
          </cell>
          <cell r="EG146">
            <v>-273</v>
          </cell>
          <cell r="EH146">
            <v>-325</v>
          </cell>
          <cell r="EI146">
            <v>-1141</v>
          </cell>
          <cell r="EK146">
            <v>-374</v>
          </cell>
          <cell r="EL146">
            <v>-371</v>
          </cell>
          <cell r="EM146">
            <v>-334.82912500000003</v>
          </cell>
          <cell r="EN146">
            <v>-308.61849999999998</v>
          </cell>
          <cell r="EO146">
            <v>-1388.447625</v>
          </cell>
          <cell r="EQ146">
            <v>-308.61849999999998</v>
          </cell>
          <cell r="ER146">
            <v>-308.61849999999998</v>
          </cell>
          <cell r="ES146">
            <v>-308.61849999999998</v>
          </cell>
          <cell r="ET146">
            <v>-308.61849999999998</v>
          </cell>
          <cell r="EU146">
            <v>-1234.4739999999999</v>
          </cell>
          <cell r="EW146">
            <v>-308.61849999999998</v>
          </cell>
          <cell r="EX146">
            <v>-308.61849999999998</v>
          </cell>
          <cell r="EY146">
            <v>-308.61849999999998</v>
          </cell>
          <cell r="EZ146">
            <v>-308.61849999999998</v>
          </cell>
          <cell r="FA146">
            <v>-1234.4739999999999</v>
          </cell>
        </row>
        <row r="147"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O147">
            <v>0</v>
          </cell>
          <cell r="P147">
            <v>0</v>
          </cell>
          <cell r="Q147">
            <v>0</v>
          </cell>
          <cell r="R147">
            <v>0</v>
          </cell>
          <cell r="S147">
            <v>0</v>
          </cell>
          <cell r="U147">
            <v>0</v>
          </cell>
          <cell r="V147">
            <v>0</v>
          </cell>
          <cell r="W147">
            <v>0</v>
          </cell>
          <cell r="X147">
            <v>0</v>
          </cell>
          <cell r="Y147">
            <v>0</v>
          </cell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G147">
            <v>0</v>
          </cell>
          <cell r="AH147">
            <v>0</v>
          </cell>
          <cell r="AI147">
            <v>0</v>
          </cell>
          <cell r="AJ147">
            <v>0</v>
          </cell>
          <cell r="AK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0</v>
          </cell>
          <cell r="AQ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-39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-36</v>
          </cell>
          <cell r="BK147">
            <v>-3</v>
          </cell>
          <cell r="BL147">
            <v>-9</v>
          </cell>
          <cell r="BM147">
            <v>-6</v>
          </cell>
          <cell r="BN147">
            <v>-14.5</v>
          </cell>
          <cell r="BO147">
            <v>-32.5</v>
          </cell>
          <cell r="BQ147">
            <v>-5</v>
          </cell>
          <cell r="BR147">
            <v>-18</v>
          </cell>
          <cell r="BS147">
            <v>-3</v>
          </cell>
          <cell r="BT147">
            <v>-11</v>
          </cell>
          <cell r="BU147">
            <v>-37</v>
          </cell>
          <cell r="BW147">
            <v>-9</v>
          </cell>
          <cell r="BX147">
            <v>-10</v>
          </cell>
          <cell r="BY147">
            <v>-8</v>
          </cell>
          <cell r="BZ147">
            <v>-15</v>
          </cell>
          <cell r="CA147">
            <v>-42</v>
          </cell>
          <cell r="CC147">
            <v>-8</v>
          </cell>
          <cell r="CD147">
            <v>0</v>
          </cell>
          <cell r="CE147">
            <v>0</v>
          </cell>
          <cell r="CF147">
            <v>0</v>
          </cell>
          <cell r="CG147">
            <v>-8</v>
          </cell>
          <cell r="CI147">
            <v>-12</v>
          </cell>
          <cell r="CJ147">
            <v>-20</v>
          </cell>
          <cell r="CK147">
            <v>-20</v>
          </cell>
          <cell r="CL147">
            <v>0</v>
          </cell>
          <cell r="CM147">
            <v>-52</v>
          </cell>
          <cell r="CO147">
            <v>0</v>
          </cell>
          <cell r="CP147">
            <v>0</v>
          </cell>
          <cell r="CQ147">
            <v>0</v>
          </cell>
          <cell r="CR147">
            <v>0</v>
          </cell>
          <cell r="CS147">
            <v>0</v>
          </cell>
          <cell r="CU147">
            <v>0</v>
          </cell>
          <cell r="CV147">
            <v>0</v>
          </cell>
          <cell r="CW147">
            <v>0</v>
          </cell>
          <cell r="CX147">
            <v>0</v>
          </cell>
          <cell r="CY147">
            <v>0</v>
          </cell>
          <cell r="DA147">
            <v>0</v>
          </cell>
          <cell r="DB147">
            <v>0</v>
          </cell>
          <cell r="DC147">
            <v>0</v>
          </cell>
          <cell r="DE147">
            <v>0</v>
          </cell>
          <cell r="DG147">
            <v>0</v>
          </cell>
          <cell r="DH147">
            <v>0</v>
          </cell>
          <cell r="DI147">
            <v>0</v>
          </cell>
          <cell r="DJ147">
            <v>0</v>
          </cell>
          <cell r="DK147">
            <v>0</v>
          </cell>
          <cell r="DM147">
            <v>0</v>
          </cell>
          <cell r="DN147">
            <v>0</v>
          </cell>
          <cell r="DO147">
            <v>0</v>
          </cell>
          <cell r="DP147">
            <v>0</v>
          </cell>
          <cell r="DQ147">
            <v>0</v>
          </cell>
          <cell r="DS147">
            <v>0</v>
          </cell>
          <cell r="DT147">
            <v>0</v>
          </cell>
          <cell r="DU147">
            <v>0</v>
          </cell>
          <cell r="DV147">
            <v>0</v>
          </cell>
          <cell r="DW147">
            <v>0</v>
          </cell>
          <cell r="DY147">
            <v>0</v>
          </cell>
          <cell r="DZ147">
            <v>0</v>
          </cell>
          <cell r="EA147">
            <v>0</v>
          </cell>
          <cell r="EB147">
            <v>0</v>
          </cell>
          <cell r="EC147">
            <v>0</v>
          </cell>
          <cell r="EE147">
            <v>0</v>
          </cell>
          <cell r="EF147">
            <v>0</v>
          </cell>
          <cell r="EG147">
            <v>0</v>
          </cell>
          <cell r="EH147">
            <v>0</v>
          </cell>
          <cell r="EI147">
            <v>0</v>
          </cell>
          <cell r="EK147">
            <v>0</v>
          </cell>
          <cell r="EL147">
            <v>0</v>
          </cell>
          <cell r="EM147">
            <v>0</v>
          </cell>
          <cell r="EN147">
            <v>0</v>
          </cell>
          <cell r="EO147">
            <v>0</v>
          </cell>
          <cell r="EQ147">
            <v>0</v>
          </cell>
          <cell r="ER147">
            <v>0</v>
          </cell>
          <cell r="ES147">
            <v>0</v>
          </cell>
          <cell r="ET147">
            <v>0</v>
          </cell>
          <cell r="EU147">
            <v>0</v>
          </cell>
          <cell r="EW147">
            <v>0</v>
          </cell>
          <cell r="EX147">
            <v>0</v>
          </cell>
          <cell r="EY147">
            <v>0</v>
          </cell>
          <cell r="EZ147">
            <v>0</v>
          </cell>
          <cell r="FA147">
            <v>0</v>
          </cell>
        </row>
        <row r="148"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O148">
            <v>0</v>
          </cell>
          <cell r="P148">
            <v>0</v>
          </cell>
          <cell r="Q148">
            <v>0</v>
          </cell>
          <cell r="R148">
            <v>0</v>
          </cell>
          <cell r="S148">
            <v>0</v>
          </cell>
          <cell r="U148">
            <v>0</v>
          </cell>
          <cell r="V148">
            <v>0</v>
          </cell>
          <cell r="W148">
            <v>0</v>
          </cell>
          <cell r="X148">
            <v>0</v>
          </cell>
          <cell r="Y148">
            <v>0</v>
          </cell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G148">
            <v>0</v>
          </cell>
          <cell r="AH148">
            <v>0</v>
          </cell>
          <cell r="AI148">
            <v>0</v>
          </cell>
          <cell r="AJ148">
            <v>0</v>
          </cell>
          <cell r="AK148">
            <v>0</v>
          </cell>
          <cell r="AM148">
            <v>0</v>
          </cell>
          <cell r="AN148">
            <v>0</v>
          </cell>
          <cell r="AO148">
            <v>0</v>
          </cell>
          <cell r="AP148">
            <v>0</v>
          </cell>
          <cell r="AQ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-15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-272.52800000000002</v>
          </cell>
          <cell r="BK148">
            <v>-84</v>
          </cell>
          <cell r="BL148">
            <v>-16</v>
          </cell>
          <cell r="BM148">
            <v>11</v>
          </cell>
          <cell r="BN148">
            <v>-6</v>
          </cell>
          <cell r="BO148">
            <v>-95</v>
          </cell>
          <cell r="BQ148">
            <v>37</v>
          </cell>
          <cell r="BR148">
            <v>-7</v>
          </cell>
          <cell r="BS148">
            <v>-3</v>
          </cell>
          <cell r="BT148">
            <v>-6</v>
          </cell>
          <cell r="BU148">
            <v>21</v>
          </cell>
          <cell r="BW148">
            <v>0</v>
          </cell>
          <cell r="BX148">
            <v>-4</v>
          </cell>
          <cell r="BY148">
            <v>10</v>
          </cell>
          <cell r="BZ148">
            <v>15</v>
          </cell>
          <cell r="CA148">
            <v>21</v>
          </cell>
          <cell r="CC148">
            <v>25</v>
          </cell>
          <cell r="CD148">
            <v>0</v>
          </cell>
          <cell r="CE148">
            <v>0</v>
          </cell>
          <cell r="CF148">
            <v>0</v>
          </cell>
          <cell r="CG148">
            <v>25</v>
          </cell>
          <cell r="CI148">
            <v>37</v>
          </cell>
          <cell r="CJ148">
            <v>18</v>
          </cell>
          <cell r="CK148">
            <v>47</v>
          </cell>
          <cell r="CL148">
            <v>0</v>
          </cell>
          <cell r="CM148">
            <v>102</v>
          </cell>
          <cell r="CO148">
            <v>0</v>
          </cell>
          <cell r="CP148">
            <v>0</v>
          </cell>
          <cell r="CQ148">
            <v>0</v>
          </cell>
          <cell r="CR148">
            <v>0</v>
          </cell>
          <cell r="CS148">
            <v>0</v>
          </cell>
          <cell r="CU148">
            <v>0</v>
          </cell>
          <cell r="CV148">
            <v>0</v>
          </cell>
          <cell r="CW148">
            <v>0</v>
          </cell>
          <cell r="CX148">
            <v>0</v>
          </cell>
          <cell r="CY148">
            <v>0</v>
          </cell>
          <cell r="DA148">
            <v>0</v>
          </cell>
          <cell r="DB148">
            <v>0</v>
          </cell>
          <cell r="DC148">
            <v>0</v>
          </cell>
          <cell r="DE148">
            <v>0</v>
          </cell>
          <cell r="DG148">
            <v>0</v>
          </cell>
          <cell r="DH148">
            <v>0</v>
          </cell>
          <cell r="DI148">
            <v>0</v>
          </cell>
          <cell r="DJ148">
            <v>0</v>
          </cell>
          <cell r="DK148">
            <v>0</v>
          </cell>
          <cell r="DM148">
            <v>0</v>
          </cell>
          <cell r="DN148">
            <v>0</v>
          </cell>
          <cell r="DO148">
            <v>0</v>
          </cell>
          <cell r="DP148">
            <v>0</v>
          </cell>
          <cell r="DQ148">
            <v>0</v>
          </cell>
          <cell r="DS148">
            <v>0</v>
          </cell>
          <cell r="DT148">
            <v>0</v>
          </cell>
          <cell r="DU148">
            <v>0</v>
          </cell>
          <cell r="DV148">
            <v>0</v>
          </cell>
          <cell r="DW148">
            <v>0</v>
          </cell>
          <cell r="DY148">
            <v>0</v>
          </cell>
          <cell r="DZ148">
            <v>0</v>
          </cell>
          <cell r="EA148">
            <v>0</v>
          </cell>
          <cell r="EB148">
            <v>0</v>
          </cell>
          <cell r="EC148">
            <v>0</v>
          </cell>
          <cell r="EE148">
            <v>0</v>
          </cell>
          <cell r="EF148">
            <v>0</v>
          </cell>
          <cell r="EG148">
            <v>0</v>
          </cell>
          <cell r="EH148">
            <v>0</v>
          </cell>
          <cell r="EI148">
            <v>0</v>
          </cell>
          <cell r="EK148">
            <v>0</v>
          </cell>
          <cell r="EL148">
            <v>0</v>
          </cell>
          <cell r="EM148">
            <v>0</v>
          </cell>
          <cell r="EN148">
            <v>0</v>
          </cell>
          <cell r="EO148">
            <v>0</v>
          </cell>
          <cell r="EQ148">
            <v>0</v>
          </cell>
          <cell r="ER148">
            <v>0</v>
          </cell>
          <cell r="ES148">
            <v>0</v>
          </cell>
          <cell r="ET148">
            <v>0</v>
          </cell>
          <cell r="EU148">
            <v>0</v>
          </cell>
          <cell r="EW148">
            <v>0</v>
          </cell>
          <cell r="EX148">
            <v>0</v>
          </cell>
          <cell r="EY148">
            <v>0</v>
          </cell>
          <cell r="EZ148">
            <v>0</v>
          </cell>
          <cell r="FA148">
            <v>0</v>
          </cell>
        </row>
        <row r="149">
          <cell r="CC149">
            <v>0</v>
          </cell>
          <cell r="CD149">
            <v>0</v>
          </cell>
          <cell r="CE149">
            <v>0</v>
          </cell>
          <cell r="CF149">
            <v>0</v>
          </cell>
          <cell r="CG149">
            <v>0</v>
          </cell>
          <cell r="CI149">
            <v>0</v>
          </cell>
          <cell r="CJ149">
            <v>0</v>
          </cell>
          <cell r="CK149">
            <v>0</v>
          </cell>
          <cell r="CL149">
            <v>0</v>
          </cell>
          <cell r="CM149">
            <v>0</v>
          </cell>
          <cell r="CO149">
            <v>0</v>
          </cell>
          <cell r="CP149">
            <v>0</v>
          </cell>
          <cell r="CQ149">
            <v>0</v>
          </cell>
          <cell r="CR149">
            <v>0</v>
          </cell>
          <cell r="CS149">
            <v>0</v>
          </cell>
          <cell r="CU149">
            <v>0</v>
          </cell>
          <cell r="CV149">
            <v>0</v>
          </cell>
          <cell r="CW149">
            <v>0</v>
          </cell>
          <cell r="CX149">
            <v>0</v>
          </cell>
          <cell r="CY149">
            <v>0</v>
          </cell>
          <cell r="DA149">
            <v>0</v>
          </cell>
          <cell r="DB149">
            <v>0</v>
          </cell>
          <cell r="DC149">
            <v>0</v>
          </cell>
          <cell r="DE149">
            <v>0</v>
          </cell>
          <cell r="DG149">
            <v>0</v>
          </cell>
          <cell r="DH149">
            <v>0</v>
          </cell>
          <cell r="DI149">
            <v>0</v>
          </cell>
          <cell r="DJ149">
            <v>0</v>
          </cell>
          <cell r="DK149">
            <v>0</v>
          </cell>
          <cell r="DM149">
            <v>0</v>
          </cell>
          <cell r="DN149">
            <v>0</v>
          </cell>
          <cell r="DO149">
            <v>0</v>
          </cell>
          <cell r="DP149">
            <v>0</v>
          </cell>
          <cell r="DQ149">
            <v>0</v>
          </cell>
          <cell r="DS149">
            <v>0</v>
          </cell>
          <cell r="DT149">
            <v>0</v>
          </cell>
          <cell r="DU149">
            <v>0</v>
          </cell>
          <cell r="DV149">
            <v>0</v>
          </cell>
          <cell r="DW149">
            <v>0</v>
          </cell>
          <cell r="DY149">
            <v>0</v>
          </cell>
          <cell r="DZ149">
            <v>0</v>
          </cell>
          <cell r="EA149">
            <v>0</v>
          </cell>
          <cell r="EB149">
            <v>0</v>
          </cell>
          <cell r="EC149">
            <v>0</v>
          </cell>
          <cell r="EE149">
            <v>0</v>
          </cell>
          <cell r="EF149">
            <v>0</v>
          </cell>
          <cell r="EG149">
            <v>0</v>
          </cell>
          <cell r="EH149">
            <v>0</v>
          </cell>
          <cell r="EI149">
            <v>0</v>
          </cell>
          <cell r="EK149">
            <v>0</v>
          </cell>
          <cell r="EL149">
            <v>0</v>
          </cell>
          <cell r="EM149">
            <v>0</v>
          </cell>
          <cell r="EN149">
            <v>0</v>
          </cell>
          <cell r="EO149">
            <v>0</v>
          </cell>
          <cell r="EQ149">
            <v>0</v>
          </cell>
          <cell r="ER149">
            <v>0</v>
          </cell>
          <cell r="ES149">
            <v>0</v>
          </cell>
          <cell r="ET149">
            <v>0</v>
          </cell>
          <cell r="EU149">
            <v>0</v>
          </cell>
          <cell r="EW149">
            <v>0</v>
          </cell>
          <cell r="EX149">
            <v>0</v>
          </cell>
          <cell r="EY149">
            <v>0</v>
          </cell>
          <cell r="EZ149">
            <v>0</v>
          </cell>
          <cell r="FA149">
            <v>0</v>
          </cell>
        </row>
        <row r="150">
          <cell r="C150">
            <v>2.3014149999999995</v>
          </cell>
          <cell r="D150">
            <v>2.5697610000000006</v>
          </cell>
          <cell r="E150">
            <v>10.460205000000006</v>
          </cell>
          <cell r="F150">
            <v>28.266000000000005</v>
          </cell>
          <cell r="G150">
            <v>64.977000000000004</v>
          </cell>
          <cell r="H150">
            <v>120.37199999999999</v>
          </cell>
          <cell r="I150">
            <v>118.20399999999994</v>
          </cell>
          <cell r="J150">
            <v>-13.242000000000004</v>
          </cell>
          <cell r="K150">
            <v>96.634000000000029</v>
          </cell>
          <cell r="L150">
            <v>309.60300000000007</v>
          </cell>
          <cell r="M150">
            <v>423.19199999999995</v>
          </cell>
          <cell r="O150">
            <v>91.343000000000004</v>
          </cell>
          <cell r="P150">
            <v>140.09800000000001</v>
          </cell>
          <cell r="Q150">
            <v>155.88399999999999</v>
          </cell>
          <cell r="R150">
            <v>271.1570000000001</v>
          </cell>
          <cell r="S150">
            <v>658.4820000000002</v>
          </cell>
          <cell r="U150">
            <v>132.38999999999996</v>
          </cell>
          <cell r="V150">
            <v>207.24199999999999</v>
          </cell>
          <cell r="W150">
            <v>221.65100000000001</v>
          </cell>
          <cell r="X150">
            <v>408.97399999999982</v>
          </cell>
          <cell r="Y150">
            <v>970.25699999999972</v>
          </cell>
          <cell r="AA150">
            <v>176.20400000000004</v>
          </cell>
          <cell r="AB150">
            <v>280.46300000000008</v>
          </cell>
          <cell r="AC150">
            <v>301.25799999999987</v>
          </cell>
          <cell r="AD150">
            <v>562.40200000000004</v>
          </cell>
          <cell r="AE150">
            <v>1320.327</v>
          </cell>
          <cell r="AG150">
            <v>256.00299999999999</v>
          </cell>
          <cell r="AH150">
            <v>288.25399999999996</v>
          </cell>
          <cell r="AI150">
            <v>330.88799999999992</v>
          </cell>
          <cell r="AJ150">
            <v>619.72599999999977</v>
          </cell>
          <cell r="AK150">
            <v>1494.8709999999996</v>
          </cell>
          <cell r="AM150">
            <v>300.0019999999999</v>
          </cell>
          <cell r="AN150">
            <v>410.72000000000048</v>
          </cell>
          <cell r="AO150">
            <v>444.33599999999996</v>
          </cell>
          <cell r="AP150">
            <v>827.02</v>
          </cell>
          <cell r="AQ150">
            <v>1982.0780000000004</v>
          </cell>
          <cell r="AS150">
            <v>364.20999999999992</v>
          </cell>
          <cell r="AT150">
            <v>591.51499999999987</v>
          </cell>
          <cell r="AU150">
            <v>1209.3299999999997</v>
          </cell>
          <cell r="AV150">
            <v>7958.3790000000008</v>
          </cell>
          <cell r="AW150">
            <v>10123.434000000001</v>
          </cell>
          <cell r="AY150">
            <v>776.24300000000028</v>
          </cell>
          <cell r="AZ150">
            <v>965.88099999999974</v>
          </cell>
          <cell r="BA150">
            <v>903.43100000000004</v>
          </cell>
          <cell r="BB150">
            <v>1325.6749999999997</v>
          </cell>
          <cell r="BC150">
            <v>3971.23</v>
          </cell>
          <cell r="BE150">
            <v>785.61099999999976</v>
          </cell>
          <cell r="BF150">
            <v>845.32600000000002</v>
          </cell>
          <cell r="BG150">
            <v>781.49999999999966</v>
          </cell>
          <cell r="BH150">
            <v>995.96699999999998</v>
          </cell>
          <cell r="BI150">
            <v>3408.4039999999995</v>
          </cell>
          <cell r="BK150">
            <v>522</v>
          </cell>
          <cell r="BL150">
            <v>800</v>
          </cell>
          <cell r="BM150">
            <v>829</v>
          </cell>
          <cell r="BN150">
            <v>1274.4000000000001</v>
          </cell>
          <cell r="BO150">
            <v>3425.4</v>
          </cell>
          <cell r="BQ150">
            <v>664</v>
          </cell>
          <cell r="BR150">
            <v>916</v>
          </cell>
          <cell r="BS150">
            <v>946</v>
          </cell>
          <cell r="BT150">
            <v>1419</v>
          </cell>
          <cell r="BU150">
            <v>3945</v>
          </cell>
          <cell r="BW150">
            <v>766.5</v>
          </cell>
          <cell r="BX150">
            <v>1177.3</v>
          </cell>
          <cell r="BY150">
            <v>1179</v>
          </cell>
          <cell r="BZ150">
            <v>1847</v>
          </cell>
          <cell r="CA150">
            <v>4969.8</v>
          </cell>
          <cell r="CC150">
            <v>1043</v>
          </cell>
          <cell r="CD150">
            <v>1366.5</v>
          </cell>
          <cell r="CE150">
            <v>1409.4</v>
          </cell>
          <cell r="CF150">
            <v>2221.4500000000003</v>
          </cell>
          <cell r="CG150">
            <v>6040.35</v>
          </cell>
          <cell r="CI150">
            <v>1337</v>
          </cell>
          <cell r="CJ150">
            <v>1631</v>
          </cell>
          <cell r="CK150">
            <v>1767</v>
          </cell>
          <cell r="CL150">
            <v>2696.5</v>
          </cell>
          <cell r="CM150">
            <v>7431.5</v>
          </cell>
          <cell r="CO150">
            <v>1665</v>
          </cell>
          <cell r="CP150">
            <v>2247</v>
          </cell>
          <cell r="CQ150">
            <v>2221</v>
          </cell>
          <cell r="CR150">
            <v>3515</v>
          </cell>
          <cell r="CS150">
            <v>9648</v>
          </cell>
          <cell r="CU150">
            <v>2097</v>
          </cell>
          <cell r="CV150">
            <v>2460</v>
          </cell>
          <cell r="CW150">
            <v>2425</v>
          </cell>
          <cell r="CX150">
            <v>3383</v>
          </cell>
          <cell r="CY150">
            <v>10365</v>
          </cell>
          <cell r="DA150">
            <v>2140</v>
          </cell>
          <cell r="DB150">
            <v>2701</v>
          </cell>
          <cell r="DC150">
            <v>2625.3999999999996</v>
          </cell>
          <cell r="DE150">
            <v>11656.099999999999</v>
          </cell>
          <cell r="DG150">
            <v>2825</v>
          </cell>
          <cell r="DH150">
            <v>3727</v>
          </cell>
          <cell r="DI150">
            <v>3704</v>
          </cell>
          <cell r="DJ150">
            <v>5049</v>
          </cell>
          <cell r="DK150">
            <v>15305</v>
          </cell>
          <cell r="DM150">
            <v>3354</v>
          </cell>
          <cell r="DN150">
            <v>3778</v>
          </cell>
          <cell r="DO150">
            <v>4036.3392000000003</v>
          </cell>
          <cell r="DP150">
            <v>5298.1597000000002</v>
          </cell>
          <cell r="DQ150">
            <v>16466.498899999999</v>
          </cell>
          <cell r="DS150">
            <v>3412</v>
          </cell>
          <cell r="DT150">
            <v>4081</v>
          </cell>
          <cell r="DU150">
            <v>3934</v>
          </cell>
          <cell r="DV150">
            <v>5398</v>
          </cell>
          <cell r="DW150">
            <v>16825</v>
          </cell>
          <cell r="DY150">
            <v>3531</v>
          </cell>
          <cell r="DZ150">
            <v>4039</v>
          </cell>
          <cell r="EA150">
            <v>4048</v>
          </cell>
          <cell r="EB150">
            <v>5436</v>
          </cell>
          <cell r="EC150">
            <v>17054</v>
          </cell>
          <cell r="EE150">
            <v>3574</v>
          </cell>
          <cell r="EF150">
            <v>4118</v>
          </cell>
          <cell r="EG150">
            <v>3973</v>
          </cell>
          <cell r="EH150">
            <v>4693</v>
          </cell>
          <cell r="EI150">
            <v>16358</v>
          </cell>
          <cell r="EK150">
            <v>3129</v>
          </cell>
          <cell r="EL150">
            <v>3436</v>
          </cell>
          <cell r="EM150">
            <v>3530.2406269473527</v>
          </cell>
          <cell r="EN150">
            <v>4590.5418224631476</v>
          </cell>
          <cell r="EO150">
            <v>14685.782449410501</v>
          </cell>
          <cell r="EQ150">
            <v>3333.781532081874</v>
          </cell>
          <cell r="ER150">
            <v>3577.2574953010162</v>
          </cell>
          <cell r="ES150">
            <v>3600.7017305861245</v>
          </cell>
          <cell r="ET150">
            <v>4511.1322227730816</v>
          </cell>
          <cell r="EU150">
            <v>15022.872980742097</v>
          </cell>
          <cell r="EW150">
            <v>3380.773869276667</v>
          </cell>
          <cell r="EX150">
            <v>3611.7924517011115</v>
          </cell>
          <cell r="EY150">
            <v>3711.9267063729508</v>
          </cell>
          <cell r="EZ150">
            <v>4419.1501824160814</v>
          </cell>
          <cell r="FA150">
            <v>15123.643209766811</v>
          </cell>
        </row>
        <row r="151">
          <cell r="CG151">
            <v>0</v>
          </cell>
          <cell r="CM151">
            <v>0</v>
          </cell>
          <cell r="CS151">
            <v>0</v>
          </cell>
          <cell r="CY151">
            <v>0</v>
          </cell>
          <cell r="DE151">
            <v>0</v>
          </cell>
          <cell r="DK151">
            <v>0</v>
          </cell>
          <cell r="DQ151">
            <v>0</v>
          </cell>
          <cell r="DW151">
            <v>0</v>
          </cell>
          <cell r="EC151">
            <v>0</v>
          </cell>
          <cell r="EI151">
            <v>0</v>
          </cell>
          <cell r="EO151">
            <v>0</v>
          </cell>
          <cell r="EU151">
            <v>0</v>
          </cell>
          <cell r="FA151">
            <v>0</v>
          </cell>
        </row>
        <row r="152">
          <cell r="C152">
            <v>0.91547999999999996</v>
          </cell>
          <cell r="D152">
            <v>1.0186439999999999</v>
          </cell>
          <cell r="E152">
            <v>4.5936349999999999</v>
          </cell>
          <cell r="F152">
            <v>13.15587128</v>
          </cell>
          <cell r="G152">
            <v>22.093</v>
          </cell>
          <cell r="H152">
            <v>38.478999999999999</v>
          </cell>
          <cell r="I152">
            <v>37.329000000000001</v>
          </cell>
          <cell r="J152">
            <v>-0.84099999999999997</v>
          </cell>
          <cell r="K152">
            <v>34.619999999999997</v>
          </cell>
          <cell r="L152">
            <v>76.314999999999998</v>
          </cell>
          <cell r="M152">
            <v>139.74299999999999</v>
          </cell>
          <cell r="O152">
            <v>30.143000000000001</v>
          </cell>
          <cell r="P152">
            <v>46.231999999999999</v>
          </cell>
          <cell r="Q152">
            <v>51.606999999999999</v>
          </cell>
          <cell r="R152">
            <v>89.481999999999999</v>
          </cell>
          <cell r="S152">
            <v>217.464</v>
          </cell>
          <cell r="U152">
            <v>45.012502485913167</v>
          </cell>
          <cell r="V152">
            <v>70.525000000000006</v>
          </cell>
          <cell r="W152">
            <v>75.361000000000004</v>
          </cell>
          <cell r="X152">
            <v>142.649</v>
          </cell>
          <cell r="Y152">
            <v>316.23099999999999</v>
          </cell>
          <cell r="AA152">
            <v>63.433999999999997</v>
          </cell>
          <cell r="AB152">
            <v>100.967</v>
          </cell>
          <cell r="AC152">
            <v>108.45187754577286</v>
          </cell>
          <cell r="AD152">
            <v>202.465</v>
          </cell>
          <cell r="AE152">
            <v>475.31800802787944</v>
          </cell>
          <cell r="AG152">
            <v>92.161079999999998</v>
          </cell>
          <cell r="AH152">
            <v>100.93</v>
          </cell>
          <cell r="AI152">
            <v>115.81100000000001</v>
          </cell>
          <cell r="AJ152">
            <v>216.904</v>
          </cell>
          <cell r="AK152">
            <v>525.80608000000007</v>
          </cell>
          <cell r="AM152">
            <v>105.001</v>
          </cell>
          <cell r="AN152">
            <v>136.64500000000001</v>
          </cell>
          <cell r="AO152">
            <v>151.07400000000001</v>
          </cell>
          <cell r="AP152">
            <v>299.60000000000002</v>
          </cell>
          <cell r="AQ152">
            <v>692.32</v>
          </cell>
          <cell r="AS152">
            <v>127.47349999999996</v>
          </cell>
          <cell r="AT152">
            <v>207.03024999999994</v>
          </cell>
          <cell r="AU152">
            <v>446.154</v>
          </cell>
          <cell r="AV152">
            <v>3045.9720000000002</v>
          </cell>
          <cell r="AW152">
            <v>3826.6297500000001</v>
          </cell>
          <cell r="AY152">
            <v>275.5662650000001</v>
          </cell>
          <cell r="AZ152">
            <v>342.88775499999991</v>
          </cell>
          <cell r="BA152">
            <v>320.71800500000001</v>
          </cell>
          <cell r="BB152">
            <v>470.61462499999988</v>
          </cell>
          <cell r="BC152">
            <v>1409.78665</v>
          </cell>
          <cell r="BE152">
            <v>274.96384999999992</v>
          </cell>
          <cell r="BF152">
            <v>295.86410000000001</v>
          </cell>
          <cell r="BG152">
            <v>273.52499999999986</v>
          </cell>
          <cell r="BH152">
            <v>339.846</v>
          </cell>
          <cell r="BI152">
            <v>1184.1989499999997</v>
          </cell>
          <cell r="BK152">
            <v>179</v>
          </cell>
          <cell r="BL152">
            <v>265</v>
          </cell>
          <cell r="BM152">
            <v>258</v>
          </cell>
          <cell r="BN152">
            <v>416</v>
          </cell>
          <cell r="BO152">
            <v>1118</v>
          </cell>
          <cell r="BQ152">
            <v>223.99999999999997</v>
          </cell>
          <cell r="BR152">
            <v>299</v>
          </cell>
          <cell r="BS152">
            <v>312</v>
          </cell>
          <cell r="BT152">
            <v>429</v>
          </cell>
          <cell r="BU152">
            <v>1264</v>
          </cell>
          <cell r="BW152">
            <v>237.84349593495938</v>
          </cell>
          <cell r="BX152">
            <v>345.84462738301562</v>
          </cell>
          <cell r="BY152">
            <v>354</v>
          </cell>
          <cell r="BZ152">
            <v>491</v>
          </cell>
          <cell r="CA152">
            <v>1428.6881233179749</v>
          </cell>
          <cell r="CC152">
            <v>305</v>
          </cell>
          <cell r="CD152">
            <v>395</v>
          </cell>
          <cell r="CE152">
            <v>409.2607848594489</v>
          </cell>
          <cell r="CF152">
            <v>684</v>
          </cell>
          <cell r="CG152">
            <v>1793.2607848594489</v>
          </cell>
          <cell r="CI152">
            <v>406</v>
          </cell>
          <cell r="CJ152">
            <v>465.5</v>
          </cell>
          <cell r="CK152">
            <v>466</v>
          </cell>
          <cell r="CL152">
            <v>787</v>
          </cell>
          <cell r="CM152">
            <v>2124.5</v>
          </cell>
          <cell r="CO152">
            <v>500</v>
          </cell>
          <cell r="CP152">
            <v>634</v>
          </cell>
          <cell r="CQ152">
            <v>635</v>
          </cell>
          <cell r="CR152">
            <v>1081</v>
          </cell>
          <cell r="CS152">
            <v>2850</v>
          </cell>
          <cell r="CU152">
            <v>553</v>
          </cell>
          <cell r="CV152">
            <v>714</v>
          </cell>
          <cell r="CW152">
            <v>645</v>
          </cell>
          <cell r="CX152">
            <v>1060</v>
          </cell>
          <cell r="CY152">
            <v>2972</v>
          </cell>
          <cell r="DA152">
            <v>600</v>
          </cell>
          <cell r="DB152">
            <v>740</v>
          </cell>
          <cell r="DC152">
            <v>680</v>
          </cell>
          <cell r="DE152">
            <v>3162</v>
          </cell>
          <cell r="DG152">
            <v>696</v>
          </cell>
          <cell r="DH152">
            <v>1050</v>
          </cell>
          <cell r="DI152">
            <v>941</v>
          </cell>
          <cell r="DJ152">
            <v>1177</v>
          </cell>
          <cell r="DK152">
            <v>3864</v>
          </cell>
          <cell r="DM152">
            <v>889</v>
          </cell>
          <cell r="DN152">
            <v>994</v>
          </cell>
          <cell r="DO152">
            <v>908</v>
          </cell>
          <cell r="DP152">
            <v>1155</v>
          </cell>
          <cell r="DQ152">
            <v>3946</v>
          </cell>
          <cell r="DS152">
            <v>798</v>
          </cell>
          <cell r="DT152">
            <v>959</v>
          </cell>
          <cell r="DU152">
            <v>826</v>
          </cell>
          <cell r="DV152">
            <v>1284</v>
          </cell>
          <cell r="DW152">
            <v>3867</v>
          </cell>
          <cell r="DY152">
            <v>770</v>
          </cell>
          <cell r="DZ152">
            <v>884</v>
          </cell>
          <cell r="EA152">
            <v>935</v>
          </cell>
          <cell r="EB152">
            <v>1251</v>
          </cell>
          <cell r="EC152">
            <v>3840</v>
          </cell>
          <cell r="EE152">
            <v>768</v>
          </cell>
          <cell r="EF152">
            <v>1001</v>
          </cell>
          <cell r="EG152">
            <v>902</v>
          </cell>
          <cell r="EH152">
            <v>1197</v>
          </cell>
          <cell r="EI152">
            <v>3868</v>
          </cell>
          <cell r="EK152">
            <v>782</v>
          </cell>
          <cell r="EL152">
            <v>701</v>
          </cell>
          <cell r="EM152">
            <v>900.21135987157493</v>
          </cell>
          <cell r="EN152">
            <v>1170.5881647281026</v>
          </cell>
          <cell r="EO152">
            <v>3553.7995245996776</v>
          </cell>
          <cell r="EQ152">
            <v>850.11429068087784</v>
          </cell>
          <cell r="ER152">
            <v>912.20066130175917</v>
          </cell>
          <cell r="ES152">
            <v>918.17894129946183</v>
          </cell>
          <cell r="ET152">
            <v>1150.3387168071358</v>
          </cell>
          <cell r="EU152">
            <v>3830.8326100892345</v>
          </cell>
          <cell r="EW152">
            <v>862.09733666555007</v>
          </cell>
          <cell r="EX152">
            <v>921.00707518378351</v>
          </cell>
          <cell r="EY152">
            <v>946.54131012510243</v>
          </cell>
          <cell r="EZ152">
            <v>1126.8832965161007</v>
          </cell>
          <cell r="FA152">
            <v>3856.5290184905371</v>
          </cell>
        </row>
        <row r="153">
          <cell r="C153">
            <v>0.39779005524861882</v>
          </cell>
          <cell r="D153">
            <v>0.39639639639639623</v>
          </cell>
          <cell r="E153">
            <v>0.43915343915343891</v>
          </cell>
          <cell r="F153">
            <v>0.46543095167338844</v>
          </cell>
          <cell r="G153">
            <v>0.34001261985010078</v>
          </cell>
          <cell r="H153">
            <v>0.31966736450337291</v>
          </cell>
          <cell r="I153">
            <v>0.31580149571926519</v>
          </cell>
          <cell r="J153">
            <v>6.3510043800030183E-2</v>
          </cell>
          <cell r="K153">
            <v>0.358258997868245</v>
          </cell>
          <cell r="L153">
            <v>0.24649308953724602</v>
          </cell>
          <cell r="M153">
            <v>0.33021181874893668</v>
          </cell>
          <cell r="O153">
            <v>0.32999791992818278</v>
          </cell>
          <cell r="P153">
            <v>0.3299975731273822</v>
          </cell>
          <cell r="Q153">
            <v>0.33106027558954099</v>
          </cell>
          <cell r="R153">
            <v>0.33000070070106974</v>
          </cell>
          <cell r="S153">
            <v>0.33025048520688483</v>
          </cell>
          <cell r="U153">
            <v>0.3399992634331383</v>
          </cell>
          <cell r="V153">
            <v>0.34030264135648186</v>
          </cell>
          <cell r="W153">
            <v>0.33999846605699952</v>
          </cell>
          <cell r="X153">
            <v>0.34879723405399871</v>
          </cell>
          <cell r="Y153">
            <v>0.32592498688491822</v>
          </cell>
          <cell r="AA153">
            <v>0.360003178134435</v>
          </cell>
          <cell r="AB153">
            <v>0.36000114097046659</v>
          </cell>
          <cell r="AC153">
            <v>0.35999667243948014</v>
          </cell>
          <cell r="AD153">
            <v>0.36000049786451682</v>
          </cell>
          <cell r="AE153">
            <v>0.36000021814889754</v>
          </cell>
          <cell r="AG153">
            <v>0.36</v>
          </cell>
          <cell r="AH153">
            <v>0.35014258258341607</v>
          </cell>
          <cell r="AI153">
            <v>0.35000060443412889</v>
          </cell>
          <cell r="AJ153">
            <v>0.34999983863836609</v>
          </cell>
          <cell r="AK153">
            <v>0.35174010332664168</v>
          </cell>
          <cell r="AM153">
            <v>0.35000099999333351</v>
          </cell>
          <cell r="AN153">
            <v>0.33269624074795445</v>
          </cell>
          <cell r="AO153">
            <v>0.3399994598682079</v>
          </cell>
          <cell r="AP153">
            <v>0.36226451597301157</v>
          </cell>
          <cell r="AQ153">
            <v>0.34928998757869262</v>
          </cell>
          <cell r="AS153">
            <v>0.35</v>
          </cell>
          <cell r="AT153">
            <v>0.35</v>
          </cell>
          <cell r="AU153">
            <v>0.3689265957182904</v>
          </cell>
          <cell r="AV153">
            <v>0.38273774093945512</v>
          </cell>
          <cell r="AW153">
            <v>0.37799720430834038</v>
          </cell>
          <cell r="AY153">
            <v>0.35499999999999998</v>
          </cell>
          <cell r="AZ153">
            <v>0.35499999999999998</v>
          </cell>
          <cell r="BA153">
            <v>0.35499999999999998</v>
          </cell>
          <cell r="BB153">
            <v>0.35499999999999998</v>
          </cell>
          <cell r="BC153">
            <v>0.35499999999999998</v>
          </cell>
          <cell r="BE153">
            <v>0.35</v>
          </cell>
          <cell r="BF153">
            <v>0.35</v>
          </cell>
          <cell r="BG153">
            <v>0.35</v>
          </cell>
          <cell r="BH153">
            <v>0.34122214892662106</v>
          </cell>
          <cell r="BI153">
            <v>0.3474350311758817</v>
          </cell>
          <cell r="BK153">
            <v>0.34291187739463602</v>
          </cell>
          <cell r="BL153">
            <v>0.33124999999999999</v>
          </cell>
          <cell r="BM153">
            <v>0.31121833534378768</v>
          </cell>
          <cell r="BN153">
            <v>0.32642812303829249</v>
          </cell>
          <cell r="BO153">
            <v>0.32638523968003735</v>
          </cell>
          <cell r="BQ153">
            <v>0.33734939759036142</v>
          </cell>
          <cell r="BR153">
            <v>0.32641921397379914</v>
          </cell>
          <cell r="BS153">
            <v>0.32980972515856238</v>
          </cell>
          <cell r="BT153">
            <v>0.30232558139534882</v>
          </cell>
          <cell r="BU153">
            <v>0.32040557667934094</v>
          </cell>
          <cell r="BW153">
            <v>0.31029810298102983</v>
          </cell>
          <cell r="BX153">
            <v>0.29376083188908148</v>
          </cell>
          <cell r="BY153">
            <v>0.30025445292620867</v>
          </cell>
          <cell r="BZ153">
            <v>0.26583649160801298</v>
          </cell>
          <cell r="CA153">
            <v>0.28747396742685316</v>
          </cell>
          <cell r="CC153">
            <v>0.29242569511025884</v>
          </cell>
          <cell r="CD153">
            <v>0.28905964141968532</v>
          </cell>
          <cell r="CE153">
            <v>0.29037944150663325</v>
          </cell>
          <cell r="CF153">
            <v>0.30770049775080516</v>
          </cell>
          <cell r="CG153">
            <v>0.29688027760964991</v>
          </cell>
          <cell r="CI153">
            <v>0.30366492146596857</v>
          </cell>
          <cell r="CJ153">
            <v>0.28540772532188841</v>
          </cell>
          <cell r="CK153">
            <v>0.26372382569326541</v>
          </cell>
          <cell r="CL153">
            <v>0.29185981828295937</v>
          </cell>
          <cell r="CM153">
            <v>0.28587768283657405</v>
          </cell>
          <cell r="CO153">
            <v>0.3003003003003003</v>
          </cell>
          <cell r="CP153">
            <v>0.28215398308856254</v>
          </cell>
          <cell r="CQ153">
            <v>0.28590724898694281</v>
          </cell>
          <cell r="CR153">
            <v>0.30753911806543388</v>
          </cell>
          <cell r="CS153">
            <v>0.29539800995024873</v>
          </cell>
          <cell r="CU153">
            <v>0.26371006199332381</v>
          </cell>
          <cell r="CV153">
            <v>0.29024390243902437</v>
          </cell>
          <cell r="CW153">
            <v>0.26597938144329897</v>
          </cell>
          <cell r="CX153">
            <v>0.31333136269583212</v>
          </cell>
          <cell r="CY153">
            <v>0.28673420164013508</v>
          </cell>
          <cell r="DA153">
            <v>0.28037383177570091</v>
          </cell>
          <cell r="DB153">
            <v>0.27397260273972601</v>
          </cell>
          <cell r="DC153">
            <v>0.2590081511388741</v>
          </cell>
          <cell r="DE153">
            <v>0.27127426840881602</v>
          </cell>
          <cell r="DG153">
            <v>0.24637168141592922</v>
          </cell>
          <cell r="DH153">
            <v>0.28172793131204721</v>
          </cell>
          <cell r="DI153">
            <v>0.25404967602591794</v>
          </cell>
          <cell r="DJ153">
            <v>0.23311546840958605</v>
          </cell>
          <cell r="DK153">
            <v>0.25246651421104216</v>
          </cell>
          <cell r="DM153">
            <v>0.26505664877757901</v>
          </cell>
          <cell r="DN153">
            <v>0.26310217046056117</v>
          </cell>
          <cell r="DO153">
            <v>0.22495631685265696</v>
          </cell>
          <cell r="DP153">
            <v>0.21800022373806513</v>
          </cell>
          <cell r="DQ153">
            <v>0.23963806902510407</v>
          </cell>
          <cell r="DS153">
            <v>0.23388042203985931</v>
          </cell>
          <cell r="DT153">
            <v>0.23499142367066894</v>
          </cell>
          <cell r="DU153">
            <v>0.20996441281138789</v>
          </cell>
          <cell r="DV153">
            <v>0.23786587625046313</v>
          </cell>
          <cell r="DW153">
            <v>0.22983655274888559</v>
          </cell>
          <cell r="DY153">
            <v>0.21806853582554517</v>
          </cell>
          <cell r="DZ153">
            <v>0.21886605595444417</v>
          </cell>
          <cell r="EA153">
            <v>0.23097826086956522</v>
          </cell>
          <cell r="EB153">
            <v>0.23013245033112584</v>
          </cell>
          <cell r="EC153">
            <v>0.22516711621906885</v>
          </cell>
          <cell r="EE153">
            <v>0.2148852825965305</v>
          </cell>
          <cell r="EF153">
            <v>0.24307916464303059</v>
          </cell>
          <cell r="EG153">
            <v>0.22703246916687642</v>
          </cell>
          <cell r="EH153">
            <v>0.25506072874493929</v>
          </cell>
          <cell r="EI153">
            <v>0.23645922484411297</v>
          </cell>
          <cell r="EK153">
            <v>0.24992010226909556</v>
          </cell>
          <cell r="EL153">
            <v>0.20401629802095461</v>
          </cell>
          <cell r="EM153">
            <v>0.255</v>
          </cell>
          <cell r="EN153">
            <v>0.255</v>
          </cell>
          <cell r="EO153">
            <v>0.24198911681020646</v>
          </cell>
          <cell r="EQ153">
            <v>0.255</v>
          </cell>
          <cell r="ER153">
            <v>0.255</v>
          </cell>
          <cell r="ES153">
            <v>0.255</v>
          </cell>
          <cell r="ET153">
            <v>0.255</v>
          </cell>
          <cell r="EU153">
            <v>0.255</v>
          </cell>
          <cell r="EW153">
            <v>0.255</v>
          </cell>
          <cell r="EX153">
            <v>0.255</v>
          </cell>
          <cell r="EY153">
            <v>0.255</v>
          </cell>
          <cell r="EZ153">
            <v>0.255</v>
          </cell>
          <cell r="FA153">
            <v>0.255</v>
          </cell>
        </row>
        <row r="154">
          <cell r="CG154">
            <v>0</v>
          </cell>
          <cell r="CM154">
            <v>0</v>
          </cell>
          <cell r="CS154">
            <v>0</v>
          </cell>
          <cell r="CY154">
            <v>0</v>
          </cell>
          <cell r="DE154">
            <v>0</v>
          </cell>
          <cell r="DK154">
            <v>0</v>
          </cell>
          <cell r="DQ154">
            <v>0</v>
          </cell>
          <cell r="DW154">
            <v>0</v>
          </cell>
          <cell r="EC154">
            <v>0</v>
          </cell>
          <cell r="EI154">
            <v>0</v>
          </cell>
          <cell r="EO154">
            <v>0</v>
          </cell>
          <cell r="EU154">
            <v>0</v>
          </cell>
          <cell r="FA154">
            <v>0</v>
          </cell>
        </row>
        <row r="155">
          <cell r="C155">
            <v>1.3859349999999995</v>
          </cell>
          <cell r="D155">
            <v>1.5511170000000007</v>
          </cell>
          <cell r="E155">
            <v>5.8665700000000056</v>
          </cell>
          <cell r="F155">
            <v>15.110128720000006</v>
          </cell>
          <cell r="G155">
            <v>42.884</v>
          </cell>
          <cell r="H155">
            <v>81.892999999999986</v>
          </cell>
          <cell r="I155">
            <v>80.874999999999943</v>
          </cell>
          <cell r="J155">
            <v>-12.401000000000005</v>
          </cell>
          <cell r="K155">
            <v>62.014000000000031</v>
          </cell>
          <cell r="L155">
            <v>233.28800000000007</v>
          </cell>
          <cell r="M155">
            <v>283.44899999999996</v>
          </cell>
          <cell r="N155">
            <v>0</v>
          </cell>
          <cell r="O155">
            <v>61.2</v>
          </cell>
          <cell r="P155">
            <v>93.866000000000014</v>
          </cell>
          <cell r="Q155">
            <v>104.27699999999999</v>
          </cell>
          <cell r="R155">
            <v>181.6750000000001</v>
          </cell>
          <cell r="S155">
            <v>441.01800000000014</v>
          </cell>
          <cell r="T155">
            <v>0</v>
          </cell>
          <cell r="U155">
            <v>87.377497514086798</v>
          </cell>
          <cell r="V155">
            <v>136.71699999999998</v>
          </cell>
          <cell r="W155">
            <v>146.29000000000002</v>
          </cell>
          <cell r="X155">
            <v>266.32499999999982</v>
          </cell>
          <cell r="Y155">
            <v>636.70949751408659</v>
          </cell>
          <cell r="Z155">
            <v>0</v>
          </cell>
          <cell r="AA155">
            <v>112.77000000000004</v>
          </cell>
          <cell r="AB155">
            <v>179.49600000000009</v>
          </cell>
          <cell r="AC155">
            <v>192.80612245422702</v>
          </cell>
          <cell r="AD155">
            <v>359.93700000000001</v>
          </cell>
          <cell r="AE155">
            <v>845.00912245422717</v>
          </cell>
          <cell r="AF155">
            <v>0</v>
          </cell>
          <cell r="AG155">
            <v>163.84191999999999</v>
          </cell>
          <cell r="AH155">
            <v>187.32399999999996</v>
          </cell>
          <cell r="AI155">
            <v>215.07699999999991</v>
          </cell>
          <cell r="AJ155">
            <v>402.82199999999978</v>
          </cell>
          <cell r="AK155">
            <v>969.06491999999957</v>
          </cell>
          <cell r="AL155">
            <v>0</v>
          </cell>
          <cell r="AM155">
            <v>195.00099999999989</v>
          </cell>
          <cell r="AN155">
            <v>274.0750000000005</v>
          </cell>
          <cell r="AO155">
            <v>293.26199999999994</v>
          </cell>
          <cell r="AP155">
            <v>527.41999999999996</v>
          </cell>
          <cell r="AQ155">
            <v>1289.7580000000003</v>
          </cell>
          <cell r="AR155">
            <v>0</v>
          </cell>
          <cell r="AS155">
            <v>236.73649999999998</v>
          </cell>
          <cell r="AT155">
            <v>384.48474999999996</v>
          </cell>
          <cell r="AU155">
            <v>763.1759999999997</v>
          </cell>
          <cell r="AV155">
            <v>4912.4070000000011</v>
          </cell>
          <cell r="AW155">
            <v>6296.804250000001</v>
          </cell>
          <cell r="AX155">
            <v>0</v>
          </cell>
          <cell r="AY155">
            <v>500.67673500000018</v>
          </cell>
          <cell r="AZ155">
            <v>622.99324499999989</v>
          </cell>
          <cell r="BA155">
            <v>582.71299500000009</v>
          </cell>
          <cell r="BB155">
            <v>855.06037499999979</v>
          </cell>
          <cell r="BC155">
            <v>2561.44335</v>
          </cell>
          <cell r="BD155">
            <v>0</v>
          </cell>
          <cell r="BE155">
            <v>510.64714999999984</v>
          </cell>
          <cell r="BF155">
            <v>549.46190000000001</v>
          </cell>
          <cell r="BG155">
            <v>507.9749999999998</v>
          </cell>
          <cell r="BH155">
            <v>656.12099999999998</v>
          </cell>
          <cell r="BI155">
            <v>2224.2050499999996</v>
          </cell>
          <cell r="BJ155">
            <v>0</v>
          </cell>
          <cell r="BK155">
            <v>343</v>
          </cell>
          <cell r="BL155">
            <v>535</v>
          </cell>
          <cell r="BM155">
            <v>571</v>
          </cell>
          <cell r="BN155">
            <v>858.40000000000009</v>
          </cell>
          <cell r="BO155">
            <v>2307.4</v>
          </cell>
          <cell r="BQ155">
            <v>440</v>
          </cell>
          <cell r="BR155">
            <v>617</v>
          </cell>
          <cell r="BS155">
            <v>634</v>
          </cell>
          <cell r="BT155">
            <v>990</v>
          </cell>
          <cell r="BU155">
            <v>2681</v>
          </cell>
          <cell r="BW155">
            <v>528.65650406504062</v>
          </cell>
          <cell r="BX155">
            <v>831.45537261698428</v>
          </cell>
          <cell r="BY155">
            <v>825</v>
          </cell>
          <cell r="BZ155">
            <v>1356</v>
          </cell>
          <cell r="CA155">
            <v>3541.111876682025</v>
          </cell>
          <cell r="CC155">
            <v>738</v>
          </cell>
          <cell r="CD155">
            <v>971.5</v>
          </cell>
          <cell r="CE155">
            <v>1000.1392151405512</v>
          </cell>
          <cell r="CF155">
            <v>1537.4500000000003</v>
          </cell>
          <cell r="CG155">
            <v>4247.0892151405515</v>
          </cell>
          <cell r="CH155">
            <v>0</v>
          </cell>
          <cell r="CI155">
            <v>931</v>
          </cell>
          <cell r="CJ155">
            <v>1165.5</v>
          </cell>
          <cell r="CK155">
            <v>1301</v>
          </cell>
          <cell r="CL155">
            <v>1909.5</v>
          </cell>
          <cell r="CM155">
            <v>5307</v>
          </cell>
          <cell r="CN155">
            <v>0</v>
          </cell>
          <cell r="CO155">
            <v>1165</v>
          </cell>
          <cell r="CP155">
            <v>1613</v>
          </cell>
          <cell r="CQ155">
            <v>1586</v>
          </cell>
          <cell r="CR155">
            <v>2434</v>
          </cell>
          <cell r="CS155">
            <v>6798</v>
          </cell>
          <cell r="CT155">
            <v>0</v>
          </cell>
          <cell r="CU155">
            <v>1544</v>
          </cell>
          <cell r="CV155">
            <v>1746</v>
          </cell>
          <cell r="CW155">
            <v>1780</v>
          </cell>
          <cell r="CX155">
            <v>2323</v>
          </cell>
          <cell r="CY155">
            <v>7393</v>
          </cell>
          <cell r="CZ155">
            <v>0</v>
          </cell>
          <cell r="DA155">
            <v>1540</v>
          </cell>
          <cell r="DB155">
            <v>1961</v>
          </cell>
          <cell r="DC155">
            <v>1945.3999999999996</v>
          </cell>
          <cell r="DD155">
            <v>3047.7</v>
          </cell>
          <cell r="DE155">
            <v>8494.0999999999985</v>
          </cell>
          <cell r="DF155">
            <v>0</v>
          </cell>
          <cell r="DG155">
            <v>2129</v>
          </cell>
          <cell r="DH155">
            <v>2677</v>
          </cell>
          <cell r="DI155">
            <v>2763</v>
          </cell>
          <cell r="DJ155">
            <v>3872</v>
          </cell>
          <cell r="DK155">
            <v>11441</v>
          </cell>
          <cell r="DL155">
            <v>0</v>
          </cell>
          <cell r="DM155">
            <v>2465</v>
          </cell>
          <cell r="DN155">
            <v>2784</v>
          </cell>
          <cell r="DO155">
            <v>3128.3392000000003</v>
          </cell>
          <cell r="DP155">
            <v>4143.1597000000002</v>
          </cell>
          <cell r="DQ155">
            <v>12520.498900000001</v>
          </cell>
          <cell r="DR155">
            <v>0</v>
          </cell>
          <cell r="DS155">
            <v>2614</v>
          </cell>
          <cell r="DT155">
            <v>3122</v>
          </cell>
          <cell r="DU155">
            <v>3108</v>
          </cell>
          <cell r="DV155">
            <v>4114</v>
          </cell>
          <cell r="DW155">
            <v>12958</v>
          </cell>
          <cell r="DX155">
            <v>0</v>
          </cell>
          <cell r="DY155">
            <v>2761</v>
          </cell>
          <cell r="DZ155">
            <v>3155</v>
          </cell>
          <cell r="EA155">
            <v>3113</v>
          </cell>
          <cell r="EB155">
            <v>4185</v>
          </cell>
          <cell r="EC155">
            <v>13214</v>
          </cell>
          <cell r="ED155">
            <v>0</v>
          </cell>
          <cell r="EE155">
            <v>2806</v>
          </cell>
          <cell r="EF155">
            <v>3117</v>
          </cell>
          <cell r="EG155">
            <v>3071</v>
          </cell>
          <cell r="EH155">
            <v>3496</v>
          </cell>
          <cell r="EI155">
            <v>12490</v>
          </cell>
          <cell r="EJ155">
            <v>0</v>
          </cell>
          <cell r="EK155">
            <v>2347</v>
          </cell>
          <cell r="EL155">
            <v>2735</v>
          </cell>
          <cell r="EM155">
            <v>2630.0292670757776</v>
          </cell>
          <cell r="EN155">
            <v>3419.953657735045</v>
          </cell>
          <cell r="EO155">
            <v>11131.982924810822</v>
          </cell>
          <cell r="EP155">
            <v>0</v>
          </cell>
          <cell r="EQ155">
            <v>2483.6672414009963</v>
          </cell>
          <cell r="ER155">
            <v>2665.0568339992569</v>
          </cell>
          <cell r="ES155">
            <v>2682.5227892866628</v>
          </cell>
          <cell r="ET155">
            <v>3360.7935059659458</v>
          </cell>
          <cell r="EU155">
            <v>11192.040370652863</v>
          </cell>
          <cell r="EV155">
            <v>0</v>
          </cell>
          <cell r="EW155">
            <v>2518.6765326111172</v>
          </cell>
          <cell r="EX155">
            <v>2690.7853765173281</v>
          </cell>
          <cell r="EY155">
            <v>2765.3853962478483</v>
          </cell>
          <cell r="EZ155">
            <v>3292.2668858999805</v>
          </cell>
          <cell r="FA155">
            <v>11267.114191276274</v>
          </cell>
          <cell r="FB155">
            <v>0</v>
          </cell>
          <cell r="FC155">
            <v>4634.0892151405515</v>
          </cell>
          <cell r="FD155">
            <v>5988.5</v>
          </cell>
          <cell r="FE155">
            <v>7310</v>
          </cell>
          <cell r="FF155">
            <v>7604</v>
          </cell>
          <cell r="FG155">
            <v>9799.0999999999985</v>
          </cell>
          <cell r="FH155">
            <v>11884</v>
          </cell>
          <cell r="FI155">
            <v>13007.498900000001</v>
          </cell>
          <cell r="FJ155">
            <v>13138</v>
          </cell>
          <cell r="FK155">
            <v>13221</v>
          </cell>
          <cell r="FL155">
            <v>11649</v>
          </cell>
          <cell r="FM155">
            <v>11198.707000211076</v>
          </cell>
          <cell r="FN155">
            <v>11252.778204381055</v>
          </cell>
          <cell r="FQ155">
            <v>0</v>
          </cell>
          <cell r="FR155">
            <v>0</v>
          </cell>
          <cell r="FS155">
            <v>0</v>
          </cell>
          <cell r="FT155">
            <v>0</v>
          </cell>
          <cell r="FU155">
            <v>0</v>
          </cell>
          <cell r="FV155">
            <v>0</v>
          </cell>
          <cell r="FX155">
            <v>0</v>
          </cell>
          <cell r="FY155">
            <v>0</v>
          </cell>
          <cell r="FZ155">
            <v>0</v>
          </cell>
          <cell r="GA155">
            <v>0</v>
          </cell>
          <cell r="GB155">
            <v>0</v>
          </cell>
          <cell r="GC155">
            <v>0</v>
          </cell>
          <cell r="GD155">
            <v>0</v>
          </cell>
          <cell r="GE155">
            <v>0</v>
          </cell>
          <cell r="GF155">
            <v>0</v>
          </cell>
          <cell r="GG155">
            <v>0</v>
          </cell>
          <cell r="GH155">
            <v>0</v>
          </cell>
          <cell r="GI155">
            <v>0</v>
          </cell>
          <cell r="GJ155">
            <v>0</v>
          </cell>
          <cell r="GK155">
            <v>0</v>
          </cell>
          <cell r="GL155">
            <v>0</v>
          </cell>
          <cell r="GM155">
            <v>0</v>
          </cell>
          <cell r="GN155">
            <v>0</v>
          </cell>
          <cell r="GO155">
            <v>0</v>
          </cell>
          <cell r="GP155">
            <v>0</v>
          </cell>
          <cell r="GQ155">
            <v>0</v>
          </cell>
          <cell r="GR155">
            <v>0</v>
          </cell>
          <cell r="GS155">
            <v>0</v>
          </cell>
          <cell r="GT155">
            <v>0</v>
          </cell>
          <cell r="GU155">
            <v>0</v>
          </cell>
          <cell r="GV155">
            <v>0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</row>
        <row r="156">
          <cell r="CG156">
            <v>0</v>
          </cell>
          <cell r="CM156">
            <v>0</v>
          </cell>
          <cell r="CS156">
            <v>0</v>
          </cell>
          <cell r="CY156">
            <v>0</v>
          </cell>
          <cell r="DE156">
            <v>0</v>
          </cell>
          <cell r="DK156">
            <v>0</v>
          </cell>
          <cell r="DQ156">
            <v>0</v>
          </cell>
          <cell r="DW156">
            <v>0</v>
          </cell>
          <cell r="EC156">
            <v>0</v>
          </cell>
          <cell r="EI156">
            <v>0</v>
          </cell>
          <cell r="EO156">
            <v>0</v>
          </cell>
          <cell r="EU156">
            <v>0</v>
          </cell>
          <cell r="FA156">
            <v>0</v>
          </cell>
        </row>
        <row r="157"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0.01</v>
          </cell>
          <cell r="H157">
            <v>0.02</v>
          </cell>
          <cell r="I157">
            <v>0.02</v>
          </cell>
          <cell r="J157">
            <v>0</v>
          </cell>
          <cell r="K157">
            <v>0.01</v>
          </cell>
          <cell r="L157">
            <v>0.04</v>
          </cell>
          <cell r="M157">
            <v>0.05</v>
          </cell>
          <cell r="O157">
            <v>0.01</v>
          </cell>
          <cell r="P157">
            <v>0.02</v>
          </cell>
          <cell r="Q157">
            <v>0.02</v>
          </cell>
          <cell r="R157">
            <v>0.03</v>
          </cell>
          <cell r="S157">
            <v>0.08</v>
          </cell>
          <cell r="U157">
            <v>0.01</v>
          </cell>
          <cell r="V157">
            <v>0.02</v>
          </cell>
          <cell r="W157">
            <v>0.02</v>
          </cell>
          <cell r="X157">
            <v>0.04</v>
          </cell>
          <cell r="Y157">
            <v>0.09</v>
          </cell>
          <cell r="AA157">
            <v>0.02</v>
          </cell>
          <cell r="AB157">
            <v>0.03</v>
          </cell>
          <cell r="AC157">
            <v>0.03</v>
          </cell>
          <cell r="AD157">
            <v>0.06</v>
          </cell>
          <cell r="AE157">
            <v>0.14000000000000001</v>
          </cell>
          <cell r="AG157">
            <v>0.03</v>
          </cell>
          <cell r="AH157">
            <v>0.03</v>
          </cell>
          <cell r="AI157">
            <v>0.04</v>
          </cell>
          <cell r="AJ157">
            <v>7.0000000000000007E-2</v>
          </cell>
          <cell r="AK157">
            <v>0.17</v>
          </cell>
          <cell r="AM157">
            <v>0.03</v>
          </cell>
          <cell r="AN157">
            <v>0.05</v>
          </cell>
          <cell r="AO157">
            <v>0.05</v>
          </cell>
          <cell r="AP157">
            <v>0.09</v>
          </cell>
          <cell r="AQ157">
            <v>0.22</v>
          </cell>
          <cell r="AS157">
            <v>0.04</v>
          </cell>
          <cell r="AT157">
            <v>0.06</v>
          </cell>
          <cell r="AU157">
            <v>0.13</v>
          </cell>
          <cell r="AV157">
            <v>0.82</v>
          </cell>
          <cell r="AW157">
            <v>1.05</v>
          </cell>
          <cell r="AY157">
            <v>0.08</v>
          </cell>
          <cell r="AZ157">
            <v>0.11</v>
          </cell>
          <cell r="BA157">
            <v>0.1</v>
          </cell>
          <cell r="BB157">
            <v>0.15</v>
          </cell>
          <cell r="BC157">
            <v>0.44000000000000006</v>
          </cell>
          <cell r="BE157">
            <v>0.09</v>
          </cell>
          <cell r="BF157">
            <v>0.1</v>
          </cell>
          <cell r="BG157">
            <v>0.09</v>
          </cell>
          <cell r="BH157">
            <v>0.12</v>
          </cell>
          <cell r="BI157">
            <v>0.4</v>
          </cell>
          <cell r="BK157">
            <v>0.06</v>
          </cell>
          <cell r="BL157">
            <v>0.1</v>
          </cell>
          <cell r="BM157">
            <v>0.11</v>
          </cell>
          <cell r="BN157">
            <v>0.16</v>
          </cell>
          <cell r="BO157">
            <v>0.43000000000000005</v>
          </cell>
          <cell r="BQ157">
            <v>8.2290000000000002E-2</v>
          </cell>
          <cell r="BR157">
            <v>0.11561</v>
          </cell>
          <cell r="BS157">
            <v>0.11879000000000001</v>
          </cell>
          <cell r="BT157">
            <v>0.18739</v>
          </cell>
          <cell r="BU157">
            <v>0.50338000000000005</v>
          </cell>
          <cell r="BW157">
            <v>0.10087</v>
          </cell>
          <cell r="BX157">
            <v>0.15934000000000001</v>
          </cell>
          <cell r="BY157">
            <v>0.15773999999999999</v>
          </cell>
          <cell r="BZ157">
            <v>0.25907999999999998</v>
          </cell>
          <cell r="CA157">
            <v>0.67698000000000003</v>
          </cell>
          <cell r="CC157">
            <v>0.14072999999999999</v>
          </cell>
          <cell r="CD157">
            <v>0.18547</v>
          </cell>
          <cell r="CE157">
            <v>0.18856000000000001</v>
          </cell>
          <cell r="CF157">
            <v>0.28614000000000001</v>
          </cell>
          <cell r="CG157">
            <v>0.80288999999999999</v>
          </cell>
          <cell r="CI157">
            <v>0.17543</v>
          </cell>
          <cell r="CJ157">
            <v>0.21978</v>
          </cell>
          <cell r="CK157">
            <v>0.24723999999999999</v>
          </cell>
          <cell r="CL157">
            <v>0.36552000000000001</v>
          </cell>
          <cell r="CM157">
            <v>1.0062599999999999</v>
          </cell>
          <cell r="CO157">
            <v>0.22317999999999999</v>
          </cell>
          <cell r="CP157">
            <v>0.30824000000000001</v>
          </cell>
          <cell r="CQ157">
            <v>0.30575999999999998</v>
          </cell>
          <cell r="CR157">
            <v>0.46512999999999999</v>
          </cell>
          <cell r="CS157">
            <v>1.30274</v>
          </cell>
          <cell r="CU157">
            <v>0.29493999999999998</v>
          </cell>
          <cell r="CV157">
            <v>0.33661000000000002</v>
          </cell>
          <cell r="CW157">
            <v>0.35205999999999998</v>
          </cell>
          <cell r="CX157">
            <v>0.46063999999999999</v>
          </cell>
          <cell r="CY157">
            <v>1.44106</v>
          </cell>
          <cell r="DA157">
            <v>0.30417</v>
          </cell>
          <cell r="DB157">
            <v>0.38723999999999997</v>
          </cell>
          <cell r="DC157">
            <v>0.38324999999999998</v>
          </cell>
          <cell r="DE157">
            <v>1.6742900000000001</v>
          </cell>
          <cell r="DG157">
            <v>0.41885</v>
          </cell>
          <cell r="DH157">
            <v>0.52315999999999996</v>
          </cell>
          <cell r="DI157">
            <v>0.53661000000000003</v>
          </cell>
          <cell r="DJ157">
            <v>0.74980999999999998</v>
          </cell>
          <cell r="DK157">
            <v>2.2309800000000002</v>
          </cell>
          <cell r="DM157">
            <v>0.47864000000000001</v>
          </cell>
          <cell r="DN157">
            <v>0.54342999999999997</v>
          </cell>
          <cell r="DO157">
            <v>0.61580999999999997</v>
          </cell>
          <cell r="DP157">
            <v>0.82418000000000002</v>
          </cell>
          <cell r="DQ157">
            <v>2.4574099999999999</v>
          </cell>
          <cell r="DS157">
            <v>0.52925999999999995</v>
          </cell>
          <cell r="DT157">
            <v>0.64132999999999996</v>
          </cell>
          <cell r="DU157">
            <v>0.64588999999999996</v>
          </cell>
          <cell r="DV157">
            <v>0.86500999999999995</v>
          </cell>
          <cell r="DW157">
            <v>2.6751999999999998</v>
          </cell>
          <cell r="DY157">
            <v>0.59070999999999996</v>
          </cell>
          <cell r="DZ157">
            <v>0.68586999999999998</v>
          </cell>
          <cell r="EA157">
            <v>0.68044000000000004</v>
          </cell>
          <cell r="EB157">
            <v>0.91596</v>
          </cell>
          <cell r="EC157">
            <v>2.8698000000000001</v>
          </cell>
          <cell r="EE157">
            <v>0.61697000000000002</v>
          </cell>
          <cell r="EF157">
            <v>0.69189999999999996</v>
          </cell>
          <cell r="EG157">
            <v>0.68335999999999997</v>
          </cell>
          <cell r="EH157">
            <v>0.78332999999999997</v>
          </cell>
          <cell r="EI157">
            <v>2.7740100000000001</v>
          </cell>
          <cell r="EK157">
            <v>0.53195999999999999</v>
          </cell>
          <cell r="EL157">
            <v>0.63368999999999998</v>
          </cell>
          <cell r="EM157">
            <v>0.61307</v>
          </cell>
          <cell r="EN157">
            <v>0.80530999999999997</v>
          </cell>
          <cell r="EO157">
            <v>2.5791400000000002</v>
          </cell>
          <cell r="EQ157">
            <v>0.59038000000000002</v>
          </cell>
          <cell r="ER157">
            <v>0.63729999999999998</v>
          </cell>
          <cell r="ES157">
            <v>0.64573000000000003</v>
          </cell>
          <cell r="ET157">
            <v>0.81708000000000003</v>
          </cell>
          <cell r="EU157">
            <v>2.6878000000000002</v>
          </cell>
          <cell r="EW157">
            <v>0.61792000000000002</v>
          </cell>
          <cell r="EX157">
            <v>0.66363000000000005</v>
          </cell>
          <cell r="EY157">
            <v>0.68606999999999996</v>
          </cell>
          <cell r="EZ157">
            <v>0.8246</v>
          </cell>
          <cell r="FA157">
            <v>2.7899099999999999</v>
          </cell>
        </row>
        <row r="158">
          <cell r="C158" t="str">
            <v>-</v>
          </cell>
          <cell r="D158" t="str">
            <v>-</v>
          </cell>
          <cell r="E158" t="str">
            <v>-</v>
          </cell>
          <cell r="F158" t="str">
            <v>-</v>
          </cell>
          <cell r="G158" t="str">
            <v>-</v>
          </cell>
          <cell r="H158">
            <v>1</v>
          </cell>
          <cell r="I158">
            <v>0</v>
          </cell>
          <cell r="J158" t="str">
            <v>-</v>
          </cell>
          <cell r="K158" t="str">
            <v>-</v>
          </cell>
          <cell r="L158">
            <v>3</v>
          </cell>
          <cell r="M158">
            <v>0.25</v>
          </cell>
          <cell r="O158" t="str">
            <v>-</v>
          </cell>
          <cell r="P158" t="str">
            <v>-</v>
          </cell>
          <cell r="Q158" t="str">
            <v>-</v>
          </cell>
          <cell r="R158" t="str">
            <v>-</v>
          </cell>
          <cell r="S158">
            <v>0.59999999999999987</v>
          </cell>
          <cell r="U158">
            <v>0</v>
          </cell>
          <cell r="V158">
            <v>0</v>
          </cell>
          <cell r="W158">
            <v>0</v>
          </cell>
          <cell r="X158">
            <v>0.33333333333333348</v>
          </cell>
          <cell r="Y158">
            <v>0.125</v>
          </cell>
          <cell r="AA158">
            <v>1</v>
          </cell>
          <cell r="AB158">
            <v>0.5</v>
          </cell>
          <cell r="AC158">
            <v>0.5</v>
          </cell>
          <cell r="AD158">
            <v>0.5</v>
          </cell>
          <cell r="AE158">
            <v>0.5555555555555558</v>
          </cell>
          <cell r="AG158">
            <v>0.5</v>
          </cell>
          <cell r="AH158">
            <v>0</v>
          </cell>
          <cell r="AI158">
            <v>0.33333333333333348</v>
          </cell>
          <cell r="AJ158">
            <v>0.16666666666666674</v>
          </cell>
          <cell r="AK158">
            <v>0.21428571428571419</v>
          </cell>
          <cell r="AM158">
            <v>0</v>
          </cell>
          <cell r="AN158">
            <v>0.66666666666666674</v>
          </cell>
          <cell r="AO158">
            <v>0.25</v>
          </cell>
          <cell r="AP158">
            <v>0.28571428571428559</v>
          </cell>
          <cell r="AQ158">
            <v>0.29411764705882337</v>
          </cell>
          <cell r="AS158">
            <v>0.33333333333333348</v>
          </cell>
          <cell r="AT158">
            <v>0.19999999999999996</v>
          </cell>
          <cell r="AU158">
            <v>1.6</v>
          </cell>
          <cell r="AV158">
            <v>8.1111111111111107</v>
          </cell>
          <cell r="AW158">
            <v>3.7727272727272725</v>
          </cell>
          <cell r="AY158">
            <v>1</v>
          </cell>
          <cell r="AZ158">
            <v>0.83333333333333348</v>
          </cell>
          <cell r="BA158">
            <v>-0.23076923076923073</v>
          </cell>
          <cell r="BB158">
            <v>-0.81707317073170738</v>
          </cell>
          <cell r="BC158">
            <v>-0.58095238095238089</v>
          </cell>
          <cell r="BE158">
            <v>0.125</v>
          </cell>
          <cell r="BF158">
            <v>-9.0909090909090828E-2</v>
          </cell>
          <cell r="BG158">
            <v>-0.10000000000000009</v>
          </cell>
          <cell r="BH158">
            <v>-0.19999999999999996</v>
          </cell>
          <cell r="BI158">
            <v>-9.0909090909090939E-2</v>
          </cell>
          <cell r="BK158">
            <v>-0.33333333333333337</v>
          </cell>
          <cell r="BL158">
            <v>0</v>
          </cell>
          <cell r="BM158">
            <v>0.22222222222222232</v>
          </cell>
          <cell r="BN158">
            <v>0.33333333333333348</v>
          </cell>
          <cell r="BO158">
            <v>7.4999999999999956E-2</v>
          </cell>
          <cell r="BQ158">
            <v>0.37150000000000016</v>
          </cell>
          <cell r="BR158">
            <v>0.15609999999999991</v>
          </cell>
          <cell r="BS158">
            <v>7.990909090909093E-2</v>
          </cell>
          <cell r="BT158">
            <v>0.17118750000000005</v>
          </cell>
          <cell r="BU158">
            <v>0.1706511627906977</v>
          </cell>
          <cell r="BW158">
            <v>0.22578685137926846</v>
          </cell>
          <cell r="BX158">
            <v>0.37825447625637931</v>
          </cell>
          <cell r="BY158">
            <v>0.32788955299267597</v>
          </cell>
          <cell r="BZ158">
            <v>0.38257110838358499</v>
          </cell>
          <cell r="CA158">
            <v>0.3448686876713416</v>
          </cell>
          <cell r="CC158">
            <v>0.39516208981857837</v>
          </cell>
          <cell r="CD158">
            <v>0.16398895443705275</v>
          </cell>
          <cell r="CE158">
            <v>0.19538481044757194</v>
          </cell>
          <cell r="CF158">
            <v>0.10444650301065317</v>
          </cell>
          <cell r="CG158">
            <v>0.18598776921031646</v>
          </cell>
          <cell r="CI158">
            <v>0.24657144887372984</v>
          </cell>
          <cell r="CJ158">
            <v>0.18498948617027011</v>
          </cell>
          <cell r="CK158">
            <v>0.31120067882901981</v>
          </cell>
          <cell r="CL158">
            <v>0.27741664919270281</v>
          </cell>
          <cell r="CM158">
            <v>0.25329746291521871</v>
          </cell>
          <cell r="CO158">
            <v>0.27218833722852409</v>
          </cell>
          <cell r="CP158">
            <v>0.4024934024934026</v>
          </cell>
          <cell r="CQ158">
            <v>0.23669309173272923</v>
          </cell>
          <cell r="CR158">
            <v>0.27251586780477122</v>
          </cell>
          <cell r="CS158">
            <v>0.2946355812613044</v>
          </cell>
          <cell r="CU158">
            <v>0.32153418765122321</v>
          </cell>
          <cell r="CV158">
            <v>9.2038671165325825E-2</v>
          </cell>
          <cell r="CW158">
            <v>0.15142595499738354</v>
          </cell>
          <cell r="CX158">
            <v>-9.6532152301507246E-3</v>
          </cell>
          <cell r="CY158">
            <v>0.10617621321215287</v>
          </cell>
          <cell r="DA158">
            <v>3.1294500576388495E-2</v>
          </cell>
          <cell r="DB158">
            <v>0.15041145539348189</v>
          </cell>
          <cell r="DC158">
            <v>8.8592853490882195E-2</v>
          </cell>
          <cell r="DE158">
            <v>0.16184614103507133</v>
          </cell>
          <cell r="DG158">
            <v>0.37702600519446361</v>
          </cell>
          <cell r="DH158">
            <v>0.35099679785146165</v>
          </cell>
          <cell r="DI158">
            <v>0.40015655577299425</v>
          </cell>
          <cell r="DJ158">
            <v>0.25227136081234547</v>
          </cell>
          <cell r="DK158">
            <v>0.33249317621200625</v>
          </cell>
          <cell r="DM158">
            <v>0.14274800047749792</v>
          </cell>
          <cell r="DN158">
            <v>3.8745316920253847E-2</v>
          </cell>
          <cell r="DO158">
            <v>0.14759322412925568</v>
          </cell>
          <cell r="DP158">
            <v>9.9185126898814424E-2</v>
          </cell>
          <cell r="DQ158">
            <v>0.10149351406108509</v>
          </cell>
          <cell r="DS158">
            <v>0.10575798094601363</v>
          </cell>
          <cell r="DT158">
            <v>0.18015199749737776</v>
          </cell>
          <cell r="DU158">
            <v>4.8846235040028496E-2</v>
          </cell>
          <cell r="DV158">
            <v>4.9540148996578326E-2</v>
          </cell>
          <cell r="DW158">
            <v>8.8625829633638631E-2</v>
          </cell>
          <cell r="DY158">
            <v>0.11610550580055179</v>
          </cell>
          <cell r="DZ158">
            <v>6.9449425412813959E-2</v>
          </cell>
          <cell r="EA158">
            <v>5.3492080694855337E-2</v>
          </cell>
          <cell r="EB158">
            <v>5.8901053167015549E-2</v>
          </cell>
          <cell r="EC158">
            <v>7.2742224880382844E-2</v>
          </cell>
          <cell r="EE158">
            <v>4.4454977907941506E-2</v>
          </cell>
          <cell r="EF158">
            <v>8.7917535393005064E-3</v>
          </cell>
          <cell r="EG158">
            <v>4.291340897066398E-3</v>
          </cell>
          <cell r="EH158">
            <v>-0.1447988995152627</v>
          </cell>
          <cell r="EI158">
            <v>-3.33786326573281E-2</v>
          </cell>
          <cell r="EK158">
            <v>-0.13778627810104227</v>
          </cell>
          <cell r="EL158">
            <v>-8.413065471889003E-2</v>
          </cell>
          <cell r="EM158">
            <v>-0.10285940060875665</v>
          </cell>
          <cell r="EN158">
            <v>2.8059693871037794E-2</v>
          </cell>
          <cell r="EO158">
            <v>-7.0248485045115161E-2</v>
          </cell>
          <cell r="EQ158">
            <v>0.1098202872396421</v>
          </cell>
          <cell r="ER158">
            <v>5.6967918067194478E-3</v>
          </cell>
          <cell r="ES158">
            <v>5.3272872592036835E-2</v>
          </cell>
          <cell r="ET158">
            <v>1.4615489687201277E-2</v>
          </cell>
          <cell r="EU158">
            <v>4.2130322510604223E-2</v>
          </cell>
          <cell r="EW158">
            <v>4.6647921677563708E-2</v>
          </cell>
          <cell r="EX158">
            <v>4.1314922328573811E-2</v>
          </cell>
          <cell r="EY158">
            <v>6.2471930992829661E-2</v>
          </cell>
          <cell r="EZ158">
            <v>9.2035051647330057E-3</v>
          </cell>
          <cell r="FA158">
            <v>3.7990177840613093E-2</v>
          </cell>
        </row>
        <row r="159">
          <cell r="C159">
            <v>3312</v>
          </cell>
          <cell r="D159">
            <v>3479.76</v>
          </cell>
          <cell r="E159">
            <v>3933.36</v>
          </cell>
          <cell r="F159">
            <v>4500</v>
          </cell>
          <cell r="G159">
            <v>4795.2</v>
          </cell>
          <cell r="H159">
            <v>4860</v>
          </cell>
          <cell r="I159">
            <v>4928.625</v>
          </cell>
          <cell r="J159">
            <v>4915.1790000000001</v>
          </cell>
          <cell r="K159">
            <v>5137.1099999999997</v>
          </cell>
          <cell r="L159">
            <v>5273.0460000000003</v>
          </cell>
          <cell r="M159">
            <v>5990.625</v>
          </cell>
          <cell r="O159">
            <v>5980.5</v>
          </cell>
          <cell r="P159">
            <v>5980.5</v>
          </cell>
          <cell r="Q159">
            <v>5980.8374999999996</v>
          </cell>
          <cell r="R159">
            <v>6003.3284999999996</v>
          </cell>
          <cell r="S159">
            <v>5986.2915000000003</v>
          </cell>
          <cell r="U159">
            <v>6027.9795000000004</v>
          </cell>
          <cell r="V159">
            <v>6036.39</v>
          </cell>
          <cell r="W159">
            <v>6034.3109999999997</v>
          </cell>
          <cell r="X159">
            <v>6034.5</v>
          </cell>
          <cell r="Y159">
            <v>6033.2951250000006</v>
          </cell>
          <cell r="AA159">
            <v>6064.29</v>
          </cell>
          <cell r="AB159">
            <v>6083.5439999999999</v>
          </cell>
          <cell r="AC159">
            <v>6058.674</v>
          </cell>
          <cell r="AD159">
            <v>6016.5720000000001</v>
          </cell>
          <cell r="AE159">
            <v>6055.7699999999995</v>
          </cell>
          <cell r="AG159">
            <v>6037.5959999999995</v>
          </cell>
          <cell r="AH159">
            <v>6051.348</v>
          </cell>
          <cell r="AI159">
            <v>5949.848</v>
          </cell>
          <cell r="AJ159">
            <v>5954.616</v>
          </cell>
          <cell r="AK159">
            <v>5998.3520000000008</v>
          </cell>
          <cell r="AM159">
            <v>5934.8940000000002</v>
          </cell>
          <cell r="AN159">
            <v>5899.62</v>
          </cell>
          <cell r="AO159">
            <v>5981.8440000000001</v>
          </cell>
          <cell r="AP159">
            <v>5931.2359999999999</v>
          </cell>
          <cell r="AQ159">
            <v>5936.8985000000002</v>
          </cell>
          <cell r="AS159">
            <v>5964.8040000000001</v>
          </cell>
          <cell r="AT159">
            <v>6012.6</v>
          </cell>
          <cell r="AU159">
            <v>5996.3779999999997</v>
          </cell>
          <cell r="AV159">
            <v>6009.5860000000002</v>
          </cell>
          <cell r="AW159">
            <v>5995.8419999999996</v>
          </cell>
          <cell r="AY159">
            <v>5932.87</v>
          </cell>
          <cell r="AZ159">
            <v>5874.9870000000001</v>
          </cell>
          <cell r="BA159">
            <v>5851.3329999999996</v>
          </cell>
          <cell r="BB159">
            <v>5800.0320000000002</v>
          </cell>
          <cell r="BC159">
            <v>5864.8054999999995</v>
          </cell>
          <cell r="BE159">
            <v>5780.02</v>
          </cell>
          <cell r="BF159">
            <v>5695.86</v>
          </cell>
          <cell r="BG159">
            <v>5669.3339999999998</v>
          </cell>
          <cell r="BH159">
            <v>5610.6260000000002</v>
          </cell>
          <cell r="BI159">
            <v>5688.96</v>
          </cell>
          <cell r="BK159">
            <v>5515</v>
          </cell>
          <cell r="BL159">
            <v>5420</v>
          </cell>
          <cell r="BM159">
            <v>5383</v>
          </cell>
          <cell r="BN159">
            <v>5356</v>
          </cell>
          <cell r="BO159">
            <v>5418</v>
          </cell>
          <cell r="BQ159">
            <v>5347</v>
          </cell>
          <cell r="BR159">
            <v>5337</v>
          </cell>
          <cell r="BS159">
            <v>5337</v>
          </cell>
          <cell r="BT159">
            <v>5283</v>
          </cell>
          <cell r="BU159">
            <v>5326</v>
          </cell>
          <cell r="BW159">
            <v>5241</v>
          </cell>
          <cell r="BX159">
            <v>5218</v>
          </cell>
          <cell r="BY159">
            <v>5230</v>
          </cell>
          <cell r="BZ159">
            <v>5234</v>
          </cell>
          <cell r="CA159">
            <v>5230.75</v>
          </cell>
          <cell r="CC159">
            <v>5244</v>
          </cell>
          <cell r="CD159">
            <v>5238</v>
          </cell>
          <cell r="CE159">
            <v>5304</v>
          </cell>
          <cell r="CF159">
            <v>5373</v>
          </cell>
          <cell r="CG159">
            <v>5289.75</v>
          </cell>
          <cell r="CI159">
            <v>5307</v>
          </cell>
          <cell r="CJ159">
            <v>5303</v>
          </cell>
          <cell r="CK159">
            <v>5262</v>
          </cell>
          <cell r="CL159">
            <v>5224</v>
          </cell>
          <cell r="CM159">
            <v>5274</v>
          </cell>
          <cell r="CO159">
            <v>5220</v>
          </cell>
          <cell r="CP159">
            <v>5233</v>
          </cell>
          <cell r="CQ159">
            <v>5187</v>
          </cell>
          <cell r="CR159">
            <v>5233</v>
          </cell>
          <cell r="CS159">
            <v>5218.25</v>
          </cell>
          <cell r="CU159">
            <v>5235</v>
          </cell>
          <cell r="CV159">
            <v>5187</v>
          </cell>
          <cell r="CW159">
            <v>5056</v>
          </cell>
          <cell r="CX159">
            <v>5043</v>
          </cell>
          <cell r="CY159">
            <v>5130.25</v>
          </cell>
          <cell r="DA159">
            <v>5063</v>
          </cell>
          <cell r="DB159">
            <v>5064</v>
          </cell>
          <cell r="DC159">
            <v>5076</v>
          </cell>
          <cell r="DE159">
            <v>5073.25</v>
          </cell>
          <cell r="DG159">
            <v>5083</v>
          </cell>
          <cell r="DH159">
            <v>5117</v>
          </cell>
          <cell r="DI159">
            <v>5149</v>
          </cell>
          <cell r="DJ159">
            <v>5164</v>
          </cell>
          <cell r="DK159">
            <v>5128.25</v>
          </cell>
          <cell r="DM159">
            <v>5150</v>
          </cell>
          <cell r="DN159">
            <v>5123</v>
          </cell>
          <cell r="DO159">
            <v>5080</v>
          </cell>
          <cell r="DP159">
            <v>5027</v>
          </cell>
          <cell r="DQ159">
            <v>5095</v>
          </cell>
          <cell r="DS159">
            <v>4939</v>
          </cell>
          <cell r="DT159">
            <v>4868</v>
          </cell>
          <cell r="DU159">
            <v>4812</v>
          </cell>
          <cell r="DV159">
            <v>4756</v>
          </cell>
          <cell r="DW159">
            <v>4843.75</v>
          </cell>
          <cell r="DY159">
            <v>4674</v>
          </cell>
          <cell r="DZ159">
            <v>4600</v>
          </cell>
          <cell r="EA159">
            <v>4575</v>
          </cell>
          <cell r="EB159">
            <v>4569</v>
          </cell>
          <cell r="EC159">
            <v>4604.5</v>
          </cell>
          <cell r="EE159">
            <v>4548</v>
          </cell>
          <cell r="EF159">
            <v>4505</v>
          </cell>
          <cell r="EG159">
            <v>4494</v>
          </cell>
          <cell r="EH159">
            <v>4463</v>
          </cell>
          <cell r="EI159">
            <v>4502.5</v>
          </cell>
          <cell r="EK159">
            <v>4412</v>
          </cell>
          <cell r="EL159">
            <v>4316</v>
          </cell>
          <cell r="EM159">
            <v>4289.9074352730695</v>
          </cell>
          <cell r="EN159">
            <v>4246.7362645682188</v>
          </cell>
          <cell r="EO159">
            <v>4316.1609249603225</v>
          </cell>
          <cell r="EQ159">
            <v>4206.8953398718859</v>
          </cell>
          <cell r="ER159">
            <v>4181.7610768108389</v>
          </cell>
          <cell r="ES159">
            <v>4154.2774951924484</v>
          </cell>
          <cell r="ET159">
            <v>4113.1568879751503</v>
          </cell>
          <cell r="EU159">
            <v>4164.0226999625811</v>
          </cell>
          <cell r="EW159">
            <v>4076.045711907509</v>
          </cell>
          <cell r="EX159">
            <v>4054.6728220572177</v>
          </cell>
          <cell r="EY159">
            <v>4030.775889420338</v>
          </cell>
          <cell r="EZ159">
            <v>3992.5739995489967</v>
          </cell>
          <cell r="FA159">
            <v>4038.5171057335156</v>
          </cell>
        </row>
        <row r="160"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O160">
            <v>0</v>
          </cell>
          <cell r="P160">
            <v>0</v>
          </cell>
          <cell r="Q160">
            <v>0</v>
          </cell>
          <cell r="R160">
            <v>0</v>
          </cell>
          <cell r="S160">
            <v>0</v>
          </cell>
          <cell r="U160">
            <v>0</v>
          </cell>
          <cell r="V160">
            <v>0</v>
          </cell>
          <cell r="W160">
            <v>0</v>
          </cell>
          <cell r="X160">
            <v>0</v>
          </cell>
          <cell r="Y160">
            <v>0</v>
          </cell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G160">
            <v>0</v>
          </cell>
          <cell r="AH160">
            <v>0</v>
          </cell>
          <cell r="AI160">
            <v>0</v>
          </cell>
          <cell r="AJ160">
            <v>0</v>
          </cell>
          <cell r="AK160">
            <v>0</v>
          </cell>
          <cell r="AM160">
            <v>0</v>
          </cell>
          <cell r="AN160">
            <v>0</v>
          </cell>
          <cell r="AO160">
            <v>0</v>
          </cell>
          <cell r="AP160">
            <v>0</v>
          </cell>
          <cell r="AQ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0</v>
          </cell>
          <cell r="BK160">
            <v>0</v>
          </cell>
          <cell r="BL160">
            <v>0</v>
          </cell>
          <cell r="BM160">
            <v>0</v>
          </cell>
          <cell r="BN160">
            <v>0</v>
          </cell>
          <cell r="BO160">
            <v>0</v>
          </cell>
          <cell r="BQ160">
            <v>0</v>
          </cell>
          <cell r="BR160">
            <v>0</v>
          </cell>
          <cell r="BS160">
            <v>0</v>
          </cell>
          <cell r="BT160">
            <v>0</v>
          </cell>
          <cell r="BU160">
            <v>0</v>
          </cell>
          <cell r="BW160">
            <v>0</v>
          </cell>
          <cell r="BX160">
            <v>0</v>
          </cell>
          <cell r="BY160">
            <v>0</v>
          </cell>
          <cell r="BZ160">
            <v>0</v>
          </cell>
          <cell r="CA160">
            <v>0</v>
          </cell>
          <cell r="CC160">
            <v>0</v>
          </cell>
          <cell r="CD160">
            <v>0</v>
          </cell>
          <cell r="CE160">
            <v>0</v>
          </cell>
          <cell r="CF160">
            <v>0</v>
          </cell>
          <cell r="CG160">
            <v>0</v>
          </cell>
          <cell r="CI160">
            <v>0</v>
          </cell>
          <cell r="CJ160">
            <v>0</v>
          </cell>
          <cell r="CK160">
            <v>0</v>
          </cell>
          <cell r="CL160">
            <v>0</v>
          </cell>
          <cell r="CM160">
            <v>0</v>
          </cell>
          <cell r="CO160">
            <v>0</v>
          </cell>
          <cell r="CP160">
            <v>0</v>
          </cell>
          <cell r="CQ160">
            <v>0</v>
          </cell>
          <cell r="CR160">
            <v>0</v>
          </cell>
          <cell r="CS160">
            <v>0</v>
          </cell>
          <cell r="CU160">
            <v>0</v>
          </cell>
          <cell r="CV160">
            <v>0</v>
          </cell>
          <cell r="CW160">
            <v>0</v>
          </cell>
          <cell r="CX160">
            <v>0</v>
          </cell>
          <cell r="CY160">
            <v>0</v>
          </cell>
          <cell r="DA160">
            <v>0</v>
          </cell>
          <cell r="DB160">
            <v>0</v>
          </cell>
          <cell r="DC160">
            <v>0</v>
          </cell>
          <cell r="DE160">
            <v>0</v>
          </cell>
          <cell r="DG160">
            <v>0</v>
          </cell>
          <cell r="DH160">
            <v>0</v>
          </cell>
          <cell r="DI160">
            <v>0</v>
          </cell>
          <cell r="DJ160">
            <v>0</v>
          </cell>
          <cell r="DK160">
            <v>0</v>
          </cell>
          <cell r="DM160">
            <v>0</v>
          </cell>
          <cell r="DN160">
            <v>0</v>
          </cell>
          <cell r="DO160">
            <v>0</v>
          </cell>
          <cell r="DP160">
            <v>0</v>
          </cell>
          <cell r="DQ160">
            <v>0</v>
          </cell>
          <cell r="DS160">
            <v>0</v>
          </cell>
          <cell r="DT160">
            <v>0</v>
          </cell>
          <cell r="DU160">
            <v>0</v>
          </cell>
          <cell r="DV160">
            <v>0</v>
          </cell>
          <cell r="DW160">
            <v>0</v>
          </cell>
          <cell r="DY160">
            <v>0</v>
          </cell>
          <cell r="DZ160">
            <v>0</v>
          </cell>
          <cell r="EA160">
            <v>0</v>
          </cell>
          <cell r="EB160">
            <v>0</v>
          </cell>
          <cell r="EC160">
            <v>0</v>
          </cell>
          <cell r="EE160">
            <v>0</v>
          </cell>
          <cell r="EF160">
            <v>0</v>
          </cell>
          <cell r="EG160">
            <v>0</v>
          </cell>
          <cell r="EH160">
            <v>0</v>
          </cell>
          <cell r="EI160">
            <v>0</v>
          </cell>
          <cell r="EK160">
            <v>0</v>
          </cell>
          <cell r="EL160">
            <v>0</v>
          </cell>
          <cell r="EM160">
            <v>0</v>
          </cell>
          <cell r="EN160">
            <v>0</v>
          </cell>
          <cell r="EO160">
            <v>0</v>
          </cell>
          <cell r="EQ160">
            <v>0</v>
          </cell>
          <cell r="ER160">
            <v>0</v>
          </cell>
          <cell r="ES160">
            <v>0</v>
          </cell>
          <cell r="ET160">
            <v>0</v>
          </cell>
          <cell r="EU160">
            <v>0</v>
          </cell>
          <cell r="EW160">
            <v>0</v>
          </cell>
          <cell r="EX160">
            <v>0</v>
          </cell>
          <cell r="EY160">
            <v>0</v>
          </cell>
          <cell r="EZ160">
            <v>0</v>
          </cell>
          <cell r="FA160">
            <v>0</v>
          </cell>
        </row>
        <row r="161"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0</v>
          </cell>
          <cell r="U161">
            <v>0</v>
          </cell>
          <cell r="V161">
            <v>0</v>
          </cell>
          <cell r="W161">
            <v>0</v>
          </cell>
          <cell r="X161">
            <v>0</v>
          </cell>
          <cell r="Y161">
            <v>0</v>
          </cell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M161">
            <v>0</v>
          </cell>
          <cell r="AN161">
            <v>0</v>
          </cell>
          <cell r="AO161">
            <v>0</v>
          </cell>
          <cell r="AP161">
            <v>0</v>
          </cell>
          <cell r="AQ161">
            <v>0</v>
          </cell>
          <cell r="AS161">
            <v>0</v>
          </cell>
          <cell r="AT161">
            <v>0</v>
          </cell>
          <cell r="AU161">
            <v>0</v>
          </cell>
          <cell r="AV161">
            <v>0</v>
          </cell>
          <cell r="AW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0</v>
          </cell>
          <cell r="BK161">
            <v>0</v>
          </cell>
          <cell r="BL161">
            <v>0</v>
          </cell>
          <cell r="BM161">
            <v>0</v>
          </cell>
          <cell r="BN161">
            <v>0</v>
          </cell>
          <cell r="BO161">
            <v>0</v>
          </cell>
          <cell r="BQ161">
            <v>0</v>
          </cell>
          <cell r="BR161">
            <v>0</v>
          </cell>
          <cell r="BS161">
            <v>0</v>
          </cell>
          <cell r="BT161">
            <v>0</v>
          </cell>
          <cell r="BU161">
            <v>0</v>
          </cell>
          <cell r="BW161">
            <v>0</v>
          </cell>
          <cell r="BX161">
            <v>0</v>
          </cell>
          <cell r="BY161">
            <v>0</v>
          </cell>
          <cell r="BZ161">
            <v>0</v>
          </cell>
          <cell r="CA161">
            <v>0.17567763326627728</v>
          </cell>
          <cell r="CC161">
            <v>0</v>
          </cell>
          <cell r="CD161">
            <v>0</v>
          </cell>
          <cell r="CE161">
            <v>0</v>
          </cell>
          <cell r="CF161">
            <v>0</v>
          </cell>
          <cell r="CG161">
            <v>0</v>
          </cell>
          <cell r="CI161">
            <v>0</v>
          </cell>
          <cell r="CJ161">
            <v>0</v>
          </cell>
          <cell r="CK161">
            <v>0</v>
          </cell>
          <cell r="CL161">
            <v>0</v>
          </cell>
          <cell r="CM161">
            <v>0</v>
          </cell>
          <cell r="CO161">
            <v>0</v>
          </cell>
          <cell r="CP161">
            <v>0</v>
          </cell>
          <cell r="CQ161">
            <v>0</v>
          </cell>
          <cell r="CR161">
            <v>0</v>
          </cell>
          <cell r="CS161">
            <v>0</v>
          </cell>
          <cell r="CU161">
            <v>0</v>
          </cell>
          <cell r="CV161">
            <v>0</v>
          </cell>
          <cell r="CW161">
            <v>0</v>
          </cell>
          <cell r="CX161">
            <v>0</v>
          </cell>
          <cell r="CY161">
            <v>0</v>
          </cell>
          <cell r="DA161">
            <v>0</v>
          </cell>
          <cell r="DB161">
            <v>0</v>
          </cell>
          <cell r="DC161">
            <v>0</v>
          </cell>
          <cell r="DE161">
            <v>0</v>
          </cell>
          <cell r="DG161">
            <v>0</v>
          </cell>
          <cell r="DH161">
            <v>0</v>
          </cell>
          <cell r="DI161">
            <v>0</v>
          </cell>
          <cell r="DJ161">
            <v>0</v>
          </cell>
          <cell r="DK161">
            <v>0</v>
          </cell>
          <cell r="DM161">
            <v>0</v>
          </cell>
          <cell r="DN161">
            <v>0</v>
          </cell>
          <cell r="DO161">
            <v>0</v>
          </cell>
          <cell r="DP161">
            <v>0</v>
          </cell>
          <cell r="DQ161">
            <v>0</v>
          </cell>
          <cell r="DS161">
            <v>0</v>
          </cell>
          <cell r="DT161">
            <v>0</v>
          </cell>
          <cell r="DU161">
            <v>0</v>
          </cell>
          <cell r="DV161">
            <v>0</v>
          </cell>
          <cell r="DW161">
            <v>0</v>
          </cell>
          <cell r="DY161">
            <v>0</v>
          </cell>
          <cell r="DZ161">
            <v>0</v>
          </cell>
          <cell r="EA161">
            <v>0</v>
          </cell>
          <cell r="EB161">
            <v>0</v>
          </cell>
          <cell r="EC161">
            <v>0</v>
          </cell>
          <cell r="EE161">
            <v>0</v>
          </cell>
          <cell r="EF161">
            <v>0</v>
          </cell>
          <cell r="EG161">
            <v>0</v>
          </cell>
          <cell r="EH161">
            <v>0</v>
          </cell>
          <cell r="EI161">
            <v>0</v>
          </cell>
          <cell r="EK161">
            <v>0</v>
          </cell>
          <cell r="EL161">
            <v>0</v>
          </cell>
          <cell r="EM161">
            <v>0</v>
          </cell>
          <cell r="EN161">
            <v>0</v>
          </cell>
          <cell r="EO161">
            <v>0</v>
          </cell>
          <cell r="EQ161">
            <v>0</v>
          </cell>
          <cell r="ER161">
            <v>0</v>
          </cell>
          <cell r="ES161">
            <v>0</v>
          </cell>
          <cell r="ET161">
            <v>0</v>
          </cell>
          <cell r="EU161">
            <v>0</v>
          </cell>
          <cell r="EW161">
            <v>0</v>
          </cell>
          <cell r="EX161">
            <v>0</v>
          </cell>
          <cell r="EY161">
            <v>0</v>
          </cell>
          <cell r="EZ161">
            <v>0</v>
          </cell>
          <cell r="FA161">
            <v>0</v>
          </cell>
        </row>
        <row r="162"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O162">
            <v>0</v>
          </cell>
          <cell r="P162">
            <v>0</v>
          </cell>
          <cell r="Q162">
            <v>0</v>
          </cell>
          <cell r="R162">
            <v>0</v>
          </cell>
          <cell r="S162">
            <v>0</v>
          </cell>
          <cell r="U162">
            <v>0</v>
          </cell>
          <cell r="V162">
            <v>0</v>
          </cell>
          <cell r="W162">
            <v>0</v>
          </cell>
          <cell r="X162">
            <v>0</v>
          </cell>
          <cell r="Y162">
            <v>0</v>
          </cell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G162">
            <v>0</v>
          </cell>
          <cell r="AH162">
            <v>0</v>
          </cell>
          <cell r="AI162">
            <v>0</v>
          </cell>
          <cell r="AJ162">
            <v>0</v>
          </cell>
          <cell r="AK162">
            <v>0</v>
          </cell>
          <cell r="AM162">
            <v>0</v>
          </cell>
          <cell r="AN162">
            <v>0</v>
          </cell>
          <cell r="AO162">
            <v>0</v>
          </cell>
          <cell r="AP162">
            <v>0</v>
          </cell>
          <cell r="AQ162">
            <v>0</v>
          </cell>
          <cell r="AS162">
            <v>0</v>
          </cell>
          <cell r="AT162">
            <v>0</v>
          </cell>
          <cell r="AU162">
            <v>0</v>
          </cell>
          <cell r="AV162">
            <v>0</v>
          </cell>
          <cell r="AW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0</v>
          </cell>
          <cell r="BK162">
            <v>0</v>
          </cell>
          <cell r="BL162">
            <v>0</v>
          </cell>
          <cell r="BM162">
            <v>0</v>
          </cell>
          <cell r="BN162">
            <v>0</v>
          </cell>
          <cell r="BO162">
            <v>0</v>
          </cell>
          <cell r="BQ162">
            <v>0</v>
          </cell>
          <cell r="BR162">
            <v>0</v>
          </cell>
          <cell r="BS162">
            <v>0</v>
          </cell>
          <cell r="BT162">
            <v>0</v>
          </cell>
          <cell r="BU162">
            <v>0</v>
          </cell>
          <cell r="BW162">
            <v>0</v>
          </cell>
          <cell r="BX162">
            <v>0</v>
          </cell>
          <cell r="BY162">
            <v>0</v>
          </cell>
          <cell r="BZ162">
            <v>0</v>
          </cell>
          <cell r="CA162">
            <v>0</v>
          </cell>
          <cell r="CC162">
            <v>0</v>
          </cell>
          <cell r="CD162">
            <v>0</v>
          </cell>
          <cell r="CE162">
            <v>0</v>
          </cell>
          <cell r="CF162">
            <v>0</v>
          </cell>
          <cell r="CG162">
            <v>0</v>
          </cell>
          <cell r="CI162">
            <v>0</v>
          </cell>
          <cell r="CJ162">
            <v>0</v>
          </cell>
          <cell r="CK162">
            <v>0</v>
          </cell>
          <cell r="CL162">
            <v>0</v>
          </cell>
          <cell r="CM162">
            <v>0</v>
          </cell>
          <cell r="CO162">
            <v>0</v>
          </cell>
          <cell r="CP162">
            <v>0</v>
          </cell>
          <cell r="CQ162">
            <v>0</v>
          </cell>
          <cell r="CR162">
            <v>0</v>
          </cell>
          <cell r="CS162">
            <v>0</v>
          </cell>
          <cell r="CU162">
            <v>0</v>
          </cell>
          <cell r="CV162">
            <v>0</v>
          </cell>
          <cell r="CW162">
            <v>0</v>
          </cell>
          <cell r="CX162">
            <v>0</v>
          </cell>
          <cell r="CY162">
            <v>0</v>
          </cell>
          <cell r="DA162">
            <v>0</v>
          </cell>
          <cell r="DB162">
            <v>0</v>
          </cell>
          <cell r="DC162">
            <v>0</v>
          </cell>
          <cell r="DE162">
            <v>0</v>
          </cell>
          <cell r="DG162">
            <v>7588</v>
          </cell>
          <cell r="DH162">
            <v>8694</v>
          </cell>
          <cell r="DI162">
            <v>8807</v>
          </cell>
          <cell r="DJ162">
            <v>10806</v>
          </cell>
          <cell r="DK162">
            <v>0</v>
          </cell>
          <cell r="DM162">
            <v>8398</v>
          </cell>
          <cell r="DN162">
            <v>8811</v>
          </cell>
          <cell r="DO162">
            <v>9062.3392000000003</v>
          </cell>
          <cell r="DP162">
            <v>10895.7</v>
          </cell>
          <cell r="DQ162">
            <v>37181</v>
          </cell>
          <cell r="DS162">
            <v>8689</v>
          </cell>
          <cell r="DT162">
            <v>9370</v>
          </cell>
          <cell r="DU162">
            <v>9711</v>
          </cell>
          <cell r="DV162">
            <v>11746</v>
          </cell>
          <cell r="DW162">
            <v>39556</v>
          </cell>
          <cell r="DY162">
            <v>9319</v>
          </cell>
          <cell r="DZ162">
            <v>9195</v>
          </cell>
          <cell r="EA162">
            <v>9361</v>
          </cell>
          <cell r="EB162">
            <v>11506</v>
          </cell>
          <cell r="EC162">
            <v>38495</v>
          </cell>
          <cell r="EE162">
            <v>8779.77</v>
          </cell>
          <cell r="EF162">
            <v>9500</v>
          </cell>
          <cell r="EG162">
            <v>9688.94</v>
          </cell>
          <cell r="EH162">
            <v>10923.45</v>
          </cell>
          <cell r="EI162">
            <v>0</v>
          </cell>
          <cell r="EK162">
            <v>8528.83</v>
          </cell>
          <cell r="EL162">
            <v>9060</v>
          </cell>
          <cell r="EM162">
            <v>0</v>
          </cell>
          <cell r="EN162">
            <v>0</v>
          </cell>
          <cell r="EO162">
            <v>0</v>
          </cell>
          <cell r="EQ162">
            <v>0</v>
          </cell>
          <cell r="ER162">
            <v>0</v>
          </cell>
          <cell r="ES162">
            <v>0</v>
          </cell>
          <cell r="ET162">
            <v>0</v>
          </cell>
          <cell r="EU162">
            <v>0</v>
          </cell>
          <cell r="EW162">
            <v>0</v>
          </cell>
          <cell r="EX162">
            <v>0</v>
          </cell>
          <cell r="EY162">
            <v>0</v>
          </cell>
          <cell r="EZ162">
            <v>0</v>
          </cell>
          <cell r="FA162">
            <v>0</v>
          </cell>
        </row>
        <row r="163">
          <cell r="CG163">
            <v>0</v>
          </cell>
          <cell r="CM163">
            <v>0</v>
          </cell>
          <cell r="CR163">
            <v>0</v>
          </cell>
          <cell r="CS163">
            <v>0</v>
          </cell>
          <cell r="CU163">
            <v>0</v>
          </cell>
          <cell r="CV163">
            <v>0</v>
          </cell>
          <cell r="CW163">
            <v>0</v>
          </cell>
          <cell r="CX163">
            <v>0</v>
          </cell>
          <cell r="CY163">
            <v>0</v>
          </cell>
          <cell r="DA163">
            <v>0</v>
          </cell>
          <cell r="DB163">
            <v>0</v>
          </cell>
          <cell r="DC163">
            <v>0</v>
          </cell>
          <cell r="DE163">
            <v>0</v>
          </cell>
          <cell r="DG163">
            <v>2947</v>
          </cell>
          <cell r="DH163">
            <v>3851</v>
          </cell>
          <cell r="DI163">
            <v>3892</v>
          </cell>
          <cell r="DJ163">
            <v>5238</v>
          </cell>
          <cell r="DK163">
            <v>0</v>
          </cell>
          <cell r="DM163">
            <v>3566</v>
          </cell>
          <cell r="DN163">
            <v>3929</v>
          </cell>
          <cell r="DO163">
            <v>4205.3392000000003</v>
          </cell>
          <cell r="DP163">
            <v>5410</v>
          </cell>
          <cell r="DQ163">
            <v>16999.66</v>
          </cell>
          <cell r="DS163">
            <v>3700</v>
          </cell>
          <cell r="DT163">
            <v>4252.7</v>
          </cell>
          <cell r="DU163">
            <v>4491</v>
          </cell>
          <cell r="DV163">
            <v>5903</v>
          </cell>
          <cell r="DW163">
            <v>18554.41</v>
          </cell>
          <cell r="DY163">
            <v>4046</v>
          </cell>
          <cell r="DZ163">
            <v>4315</v>
          </cell>
          <cell r="EA163">
            <v>4424</v>
          </cell>
          <cell r="EB163">
            <v>5902</v>
          </cell>
          <cell r="EC163">
            <v>18270</v>
          </cell>
          <cell r="EE163">
            <v>3984.87</v>
          </cell>
          <cell r="EF163">
            <v>4265.5</v>
          </cell>
          <cell r="EG163">
            <v>4506.92</v>
          </cell>
          <cell r="EH163">
            <v>5330.37</v>
          </cell>
          <cell r="EI163">
            <v>0</v>
          </cell>
          <cell r="EK163">
            <v>3419.3</v>
          </cell>
          <cell r="EL163">
            <v>3851</v>
          </cell>
          <cell r="EM163">
            <v>0</v>
          </cell>
          <cell r="EN163">
            <v>0</v>
          </cell>
          <cell r="EO163">
            <v>0</v>
          </cell>
          <cell r="EQ163">
            <v>0</v>
          </cell>
          <cell r="ER163">
            <v>0</v>
          </cell>
          <cell r="ES163">
            <v>0</v>
          </cell>
          <cell r="ET163">
            <v>0</v>
          </cell>
          <cell r="EU163">
            <v>0</v>
          </cell>
          <cell r="EW163">
            <v>0</v>
          </cell>
          <cell r="EX163">
            <v>0</v>
          </cell>
          <cell r="EY163">
            <v>0</v>
          </cell>
          <cell r="EZ163">
            <v>0</v>
          </cell>
          <cell r="FA163">
            <v>0</v>
          </cell>
        </row>
        <row r="164"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O164">
            <v>0</v>
          </cell>
          <cell r="P164">
            <v>0</v>
          </cell>
          <cell r="Q164">
            <v>0</v>
          </cell>
          <cell r="R164">
            <v>0</v>
          </cell>
          <cell r="S164">
            <v>0</v>
          </cell>
          <cell r="U164">
            <v>0</v>
          </cell>
          <cell r="V164">
            <v>0</v>
          </cell>
          <cell r="W164">
            <v>0</v>
          </cell>
          <cell r="X164">
            <v>0</v>
          </cell>
          <cell r="Y164">
            <v>0</v>
          </cell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G164">
            <v>0</v>
          </cell>
          <cell r="AH164">
            <v>0</v>
          </cell>
          <cell r="AI164">
            <v>0</v>
          </cell>
          <cell r="AJ164">
            <v>0</v>
          </cell>
          <cell r="AK164">
            <v>0</v>
          </cell>
          <cell r="AM164">
            <v>0</v>
          </cell>
          <cell r="AN164">
            <v>0</v>
          </cell>
          <cell r="AO164">
            <v>0</v>
          </cell>
          <cell r="AP164">
            <v>0</v>
          </cell>
          <cell r="AQ164">
            <v>0</v>
          </cell>
          <cell r="AS164">
            <v>0</v>
          </cell>
          <cell r="AT164">
            <v>0</v>
          </cell>
          <cell r="AU164">
            <v>0</v>
          </cell>
          <cell r="AV164">
            <v>0</v>
          </cell>
          <cell r="AW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0</v>
          </cell>
          <cell r="BK164">
            <v>0</v>
          </cell>
          <cell r="BL164">
            <v>0</v>
          </cell>
          <cell r="BM164">
            <v>0</v>
          </cell>
          <cell r="BN164">
            <v>0</v>
          </cell>
          <cell r="BO164">
            <v>0</v>
          </cell>
          <cell r="BQ164">
            <v>0</v>
          </cell>
          <cell r="BR164">
            <v>0</v>
          </cell>
          <cell r="BS164">
            <v>0</v>
          </cell>
          <cell r="BT164">
            <v>0</v>
          </cell>
          <cell r="BU164">
            <v>0</v>
          </cell>
          <cell r="BW164">
            <v>0</v>
          </cell>
          <cell r="BX164">
            <v>0</v>
          </cell>
          <cell r="BY164">
            <v>0</v>
          </cell>
          <cell r="BZ164">
            <v>0</v>
          </cell>
          <cell r="CA164">
            <v>0</v>
          </cell>
          <cell r="CC164">
            <v>0</v>
          </cell>
          <cell r="CD164">
            <v>0</v>
          </cell>
          <cell r="CE164">
            <v>0</v>
          </cell>
          <cell r="CF164">
            <v>0</v>
          </cell>
          <cell r="CG164">
            <v>0</v>
          </cell>
          <cell r="CI164">
            <v>0</v>
          </cell>
          <cell r="CJ164">
            <v>0</v>
          </cell>
          <cell r="CK164">
            <v>0</v>
          </cell>
          <cell r="CL164">
            <v>0</v>
          </cell>
          <cell r="CM164">
            <v>0</v>
          </cell>
          <cell r="CO164">
            <v>0</v>
          </cell>
          <cell r="CP164">
            <v>0</v>
          </cell>
          <cell r="CQ164">
            <v>0</v>
          </cell>
          <cell r="CR164">
            <v>0</v>
          </cell>
          <cell r="CS164">
            <v>0</v>
          </cell>
          <cell r="CU164">
            <v>0</v>
          </cell>
          <cell r="CV164">
            <v>0</v>
          </cell>
          <cell r="CW164">
            <v>0</v>
          </cell>
          <cell r="CX164">
            <v>0</v>
          </cell>
          <cell r="CY164">
            <v>0</v>
          </cell>
          <cell r="DA164">
            <v>0</v>
          </cell>
          <cell r="DB164">
            <v>0</v>
          </cell>
          <cell r="DC164">
            <v>0</v>
          </cell>
          <cell r="DE164">
            <v>0</v>
          </cell>
          <cell r="DG164">
            <v>0.41885</v>
          </cell>
          <cell r="DH164">
            <v>0.52315999999999996</v>
          </cell>
          <cell r="DI164">
            <v>0.53661000000000003</v>
          </cell>
          <cell r="DJ164">
            <v>0.74980999999999998</v>
          </cell>
          <cell r="DK164">
            <v>0</v>
          </cell>
          <cell r="DM164">
            <v>0.47864000000000001</v>
          </cell>
          <cell r="DN164">
            <v>0.54342999999999997</v>
          </cell>
          <cell r="DO164">
            <v>0.61580999999999997</v>
          </cell>
          <cell r="DP164">
            <v>0.78</v>
          </cell>
          <cell r="DQ164">
            <v>2.42</v>
          </cell>
          <cell r="DS164">
            <v>0.53</v>
          </cell>
          <cell r="DT164">
            <v>0.6</v>
          </cell>
          <cell r="DU164">
            <v>0.65</v>
          </cell>
          <cell r="DV164">
            <v>0.84</v>
          </cell>
          <cell r="DW164">
            <v>2.63</v>
          </cell>
          <cell r="DY164">
            <v>0.57999999999999996</v>
          </cell>
          <cell r="DZ164">
            <v>0.67</v>
          </cell>
          <cell r="EA164">
            <v>0.7</v>
          </cell>
          <cell r="EB164">
            <v>0.96</v>
          </cell>
          <cell r="EC164">
            <v>2.92</v>
          </cell>
          <cell r="EE164">
            <v>0.64</v>
          </cell>
          <cell r="EF164">
            <v>0.68</v>
          </cell>
          <cell r="EG164">
            <v>0.77</v>
          </cell>
          <cell r="EH164">
            <v>0.86</v>
          </cell>
          <cell r="EI164">
            <v>0</v>
          </cell>
          <cell r="EK164">
            <v>0.52</v>
          </cell>
          <cell r="EL164">
            <v>0.6</v>
          </cell>
          <cell r="EM164">
            <v>0</v>
          </cell>
          <cell r="EN164">
            <v>0</v>
          </cell>
          <cell r="EO164">
            <v>0</v>
          </cell>
          <cell r="EQ164">
            <v>0</v>
          </cell>
          <cell r="ER164">
            <v>0</v>
          </cell>
          <cell r="ES164">
            <v>0</v>
          </cell>
          <cell r="ET164">
            <v>0</v>
          </cell>
          <cell r="EU164">
            <v>0</v>
          </cell>
          <cell r="EW164">
            <v>0</v>
          </cell>
          <cell r="EX164">
            <v>0</v>
          </cell>
          <cell r="EY164">
            <v>0</v>
          </cell>
          <cell r="EZ164">
            <v>0</v>
          </cell>
          <cell r="FA164">
            <v>0</v>
          </cell>
        </row>
        <row r="165"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U165">
            <v>0</v>
          </cell>
          <cell r="V165">
            <v>0</v>
          </cell>
          <cell r="W165">
            <v>0</v>
          </cell>
          <cell r="X165">
            <v>0</v>
          </cell>
          <cell r="Y165">
            <v>0</v>
          </cell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G165">
            <v>0</v>
          </cell>
          <cell r="AH165">
            <v>0</v>
          </cell>
          <cell r="AI165">
            <v>0</v>
          </cell>
          <cell r="AJ165">
            <v>0</v>
          </cell>
          <cell r="AK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0</v>
          </cell>
          <cell r="AQ165">
            <v>0</v>
          </cell>
          <cell r="AS165">
            <v>0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Y165">
            <v>0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0</v>
          </cell>
          <cell r="BK165">
            <v>0</v>
          </cell>
          <cell r="BL165">
            <v>0</v>
          </cell>
          <cell r="BM165">
            <v>0</v>
          </cell>
          <cell r="BN165">
            <v>0</v>
          </cell>
          <cell r="BO165">
            <v>0</v>
          </cell>
          <cell r="BQ165">
            <v>0</v>
          </cell>
          <cell r="BR165">
            <v>0</v>
          </cell>
          <cell r="BS165">
            <v>0</v>
          </cell>
          <cell r="BT165">
            <v>0</v>
          </cell>
          <cell r="BU165">
            <v>0</v>
          </cell>
          <cell r="BW165">
            <v>0</v>
          </cell>
          <cell r="BX165">
            <v>0</v>
          </cell>
          <cell r="BY165">
            <v>0</v>
          </cell>
          <cell r="BZ165">
            <v>0</v>
          </cell>
          <cell r="CA165">
            <v>0</v>
          </cell>
          <cell r="CC165">
            <v>0</v>
          </cell>
          <cell r="CD165">
            <v>0</v>
          </cell>
          <cell r="CE165">
            <v>0</v>
          </cell>
          <cell r="CF165">
            <v>0</v>
          </cell>
          <cell r="CG165">
            <v>0</v>
          </cell>
          <cell r="CI165">
            <v>0</v>
          </cell>
          <cell r="CJ165">
            <v>0</v>
          </cell>
          <cell r="CK165">
            <v>0</v>
          </cell>
          <cell r="CL165">
            <v>0</v>
          </cell>
          <cell r="CM165">
            <v>0</v>
          </cell>
          <cell r="CO165">
            <v>0</v>
          </cell>
          <cell r="CP165">
            <v>0</v>
          </cell>
          <cell r="CQ165">
            <v>0</v>
          </cell>
          <cell r="CR165">
            <v>0</v>
          </cell>
          <cell r="CS165">
            <v>0</v>
          </cell>
          <cell r="CU165">
            <v>0</v>
          </cell>
          <cell r="CV165">
            <v>0</v>
          </cell>
          <cell r="CW165">
            <v>0</v>
          </cell>
          <cell r="CX165">
            <v>0</v>
          </cell>
          <cell r="CY165">
            <v>0</v>
          </cell>
          <cell r="DA165">
            <v>0</v>
          </cell>
          <cell r="DB165">
            <v>0</v>
          </cell>
          <cell r="DC165">
            <v>0</v>
          </cell>
          <cell r="DE165">
            <v>0</v>
          </cell>
          <cell r="DG165">
            <v>0</v>
          </cell>
          <cell r="DH165">
            <v>0</v>
          </cell>
          <cell r="DI165">
            <v>0</v>
          </cell>
          <cell r="DJ165">
            <v>0</v>
          </cell>
          <cell r="DK165">
            <v>0</v>
          </cell>
          <cell r="DM165">
            <v>0</v>
          </cell>
          <cell r="DN165">
            <v>0</v>
          </cell>
          <cell r="DO165">
            <v>0</v>
          </cell>
          <cell r="DP165">
            <v>0</v>
          </cell>
          <cell r="DQ165">
            <v>0</v>
          </cell>
          <cell r="DS165">
            <v>0</v>
          </cell>
          <cell r="DT165">
            <v>0</v>
          </cell>
          <cell r="DU165">
            <v>0</v>
          </cell>
          <cell r="DV165">
            <v>0</v>
          </cell>
          <cell r="DW165">
            <v>0</v>
          </cell>
          <cell r="DY165">
            <v>0</v>
          </cell>
          <cell r="DZ165">
            <v>0</v>
          </cell>
          <cell r="EA165">
            <v>0</v>
          </cell>
          <cell r="EB165">
            <v>0</v>
          </cell>
          <cell r="EC165">
            <v>0</v>
          </cell>
          <cell r="EE165">
            <v>0</v>
          </cell>
          <cell r="EF165">
            <v>0</v>
          </cell>
          <cell r="EG165">
            <v>0</v>
          </cell>
          <cell r="EH165">
            <v>0</v>
          </cell>
          <cell r="EI165">
            <v>0</v>
          </cell>
          <cell r="EK165">
            <v>0</v>
          </cell>
          <cell r="EL165">
            <v>0</v>
          </cell>
          <cell r="EM165">
            <v>0</v>
          </cell>
          <cell r="EN165">
            <v>0</v>
          </cell>
          <cell r="EO165">
            <v>0</v>
          </cell>
          <cell r="EQ165">
            <v>0</v>
          </cell>
          <cell r="ER165">
            <v>0</v>
          </cell>
          <cell r="ES165">
            <v>0</v>
          </cell>
          <cell r="ET165">
            <v>0</v>
          </cell>
          <cell r="EU165">
            <v>0</v>
          </cell>
          <cell r="EW165">
            <v>0</v>
          </cell>
          <cell r="EX165">
            <v>0</v>
          </cell>
          <cell r="EY165">
            <v>0</v>
          </cell>
          <cell r="EZ165">
            <v>0</v>
          </cell>
          <cell r="FA165">
            <v>0</v>
          </cell>
        </row>
        <row r="166"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U166">
            <v>0</v>
          </cell>
          <cell r="V166">
            <v>0</v>
          </cell>
          <cell r="W166">
            <v>0</v>
          </cell>
          <cell r="X166">
            <v>0</v>
          </cell>
          <cell r="Y166">
            <v>0</v>
          </cell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G166">
            <v>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M166">
            <v>0</v>
          </cell>
          <cell r="AN166">
            <v>0</v>
          </cell>
          <cell r="AO166">
            <v>0</v>
          </cell>
          <cell r="AP166">
            <v>0</v>
          </cell>
          <cell r="AQ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0</v>
          </cell>
          <cell r="BK166">
            <v>0</v>
          </cell>
          <cell r="BL166">
            <v>0</v>
          </cell>
          <cell r="BM166">
            <v>0</v>
          </cell>
          <cell r="BN166">
            <v>0</v>
          </cell>
          <cell r="BO166">
            <v>0</v>
          </cell>
          <cell r="BQ166">
            <v>0</v>
          </cell>
          <cell r="BR166">
            <v>0</v>
          </cell>
          <cell r="BS166">
            <v>0</v>
          </cell>
          <cell r="BT166">
            <v>0</v>
          </cell>
          <cell r="BU166">
            <v>0</v>
          </cell>
          <cell r="BW166">
            <v>0</v>
          </cell>
          <cell r="BX166">
            <v>0</v>
          </cell>
          <cell r="BY166">
            <v>0</v>
          </cell>
          <cell r="BZ166">
            <v>0</v>
          </cell>
          <cell r="CA166">
            <v>0</v>
          </cell>
          <cell r="CC166">
            <v>0</v>
          </cell>
          <cell r="CD166">
            <v>0</v>
          </cell>
          <cell r="CE166">
            <v>0</v>
          </cell>
          <cell r="CF166">
            <v>0</v>
          </cell>
          <cell r="CG166">
            <v>0</v>
          </cell>
          <cell r="CI166">
            <v>0</v>
          </cell>
          <cell r="CJ166">
            <v>0</v>
          </cell>
          <cell r="CK166">
            <v>0</v>
          </cell>
          <cell r="CL166">
            <v>0</v>
          </cell>
          <cell r="CM166">
            <v>0</v>
          </cell>
          <cell r="CO166">
            <v>0</v>
          </cell>
          <cell r="CP166">
            <v>0</v>
          </cell>
          <cell r="CQ166">
            <v>0</v>
          </cell>
          <cell r="CR166">
            <v>0</v>
          </cell>
          <cell r="CS166">
            <v>3.4749606537236133E-2</v>
          </cell>
          <cell r="CU166">
            <v>0.32532188841201726</v>
          </cell>
          <cell r="CV166">
            <v>0</v>
          </cell>
          <cell r="CW166">
            <v>0</v>
          </cell>
          <cell r="CX166">
            <v>0</v>
          </cell>
          <cell r="CY166">
            <v>0</v>
          </cell>
          <cell r="DA166">
            <v>0</v>
          </cell>
          <cell r="DB166">
            <v>0</v>
          </cell>
          <cell r="DC166">
            <v>0</v>
          </cell>
          <cell r="DE166">
            <v>0</v>
          </cell>
          <cell r="DG166">
            <v>0</v>
          </cell>
          <cell r="DH166">
            <v>0</v>
          </cell>
          <cell r="DI166">
            <v>0</v>
          </cell>
          <cell r="DJ166">
            <v>0</v>
          </cell>
          <cell r="DK166">
            <v>0</v>
          </cell>
          <cell r="DM166">
            <v>0</v>
          </cell>
          <cell r="DN166">
            <v>0</v>
          </cell>
          <cell r="DO166">
            <v>0</v>
          </cell>
          <cell r="DP166">
            <v>0</v>
          </cell>
          <cell r="DQ166">
            <v>0</v>
          </cell>
          <cell r="DS166">
            <v>0</v>
          </cell>
          <cell r="DT166">
            <v>0</v>
          </cell>
          <cell r="DU166">
            <v>0</v>
          </cell>
          <cell r="DV166">
            <v>0</v>
          </cell>
          <cell r="DW166">
            <v>0</v>
          </cell>
          <cell r="DY166">
            <v>0</v>
          </cell>
          <cell r="DZ166">
            <v>0</v>
          </cell>
          <cell r="EA166">
            <v>0</v>
          </cell>
          <cell r="EB166">
            <v>0</v>
          </cell>
          <cell r="EC166">
            <v>0</v>
          </cell>
          <cell r="EE166">
            <v>0</v>
          </cell>
          <cell r="EF166">
            <v>0</v>
          </cell>
          <cell r="EG166">
            <v>0</v>
          </cell>
          <cell r="EH166">
            <v>0</v>
          </cell>
          <cell r="EI166">
            <v>0</v>
          </cell>
          <cell r="EK166">
            <v>0</v>
          </cell>
          <cell r="EL166">
            <v>0</v>
          </cell>
          <cell r="EM166">
            <v>0</v>
          </cell>
          <cell r="EN166">
            <v>0</v>
          </cell>
          <cell r="EO166">
            <v>0</v>
          </cell>
          <cell r="EQ166">
            <v>0</v>
          </cell>
          <cell r="ER166">
            <v>0</v>
          </cell>
          <cell r="ES166">
            <v>0</v>
          </cell>
          <cell r="ET166">
            <v>0</v>
          </cell>
          <cell r="EU166">
            <v>0</v>
          </cell>
          <cell r="EW166">
            <v>0</v>
          </cell>
          <cell r="EX166">
            <v>0</v>
          </cell>
          <cell r="EY166">
            <v>0</v>
          </cell>
          <cell r="EZ166">
            <v>0</v>
          </cell>
          <cell r="FA166">
            <v>0</v>
          </cell>
        </row>
        <row r="167"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O167">
            <v>0</v>
          </cell>
          <cell r="P167">
            <v>0</v>
          </cell>
          <cell r="Q167">
            <v>0</v>
          </cell>
          <cell r="R167">
            <v>0</v>
          </cell>
          <cell r="S167">
            <v>0</v>
          </cell>
          <cell r="U167">
            <v>0</v>
          </cell>
          <cell r="V167">
            <v>0</v>
          </cell>
          <cell r="W167">
            <v>0</v>
          </cell>
          <cell r="X167">
            <v>0</v>
          </cell>
          <cell r="Y167">
            <v>0</v>
          </cell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G167">
            <v>0</v>
          </cell>
          <cell r="AH167">
            <v>0</v>
          </cell>
          <cell r="AI167">
            <v>0</v>
          </cell>
          <cell r="AJ167">
            <v>0</v>
          </cell>
          <cell r="AK167">
            <v>0</v>
          </cell>
          <cell r="AM167">
            <v>0</v>
          </cell>
          <cell r="AN167">
            <v>0</v>
          </cell>
          <cell r="AO167">
            <v>0</v>
          </cell>
          <cell r="AP167">
            <v>0</v>
          </cell>
          <cell r="AQ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0</v>
          </cell>
          <cell r="AW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E167">
            <v>0</v>
          </cell>
          <cell r="BF167">
            <v>0</v>
          </cell>
          <cell r="BG167">
            <v>0</v>
          </cell>
          <cell r="BH167">
            <v>0</v>
          </cell>
          <cell r="BI167">
            <v>0</v>
          </cell>
          <cell r="BK167">
            <v>443.47049920132258</v>
          </cell>
          <cell r="BL167">
            <v>649.6407126168225</v>
          </cell>
          <cell r="BM167">
            <v>675.18615469442852</v>
          </cell>
          <cell r="BN167">
            <v>1167.634615679385</v>
          </cell>
          <cell r="BO167">
            <v>2935.9319821919585</v>
          </cell>
          <cell r="BQ167">
            <v>556.57174151150048</v>
          </cell>
          <cell r="BR167">
            <v>826.17439115879756</v>
          </cell>
          <cell r="BS167">
            <v>840.1276035240528</v>
          </cell>
          <cell r="BT167">
            <v>1384.1976744186047</v>
          </cell>
          <cell r="BU167">
            <v>3607.0714106129553</v>
          </cell>
          <cell r="BW167">
            <v>689.54333647462204</v>
          </cell>
          <cell r="BX167">
            <v>1095.9522514380494</v>
          </cell>
          <cell r="BY167">
            <v>1147.6779273652555</v>
          </cell>
          <cell r="BZ167">
            <v>1788.9561399095719</v>
          </cell>
          <cell r="CA167">
            <v>4722.1296551874984</v>
          </cell>
          <cell r="CC167">
            <v>981.65608378998456</v>
          </cell>
          <cell r="CD167">
            <v>1310.8540180734542</v>
          </cell>
          <cell r="CE167">
            <v>1335.3322640413016</v>
          </cell>
          <cell r="CF167">
            <v>2152.985992070207</v>
          </cell>
          <cell r="CG167">
            <v>5780.8283579749477</v>
          </cell>
          <cell r="CI167">
            <v>1267.696335078534</v>
          </cell>
          <cell r="CJ167">
            <v>1586.7145922746781</v>
          </cell>
          <cell r="CK167">
            <v>1706.7362761743068</v>
          </cell>
          <cell r="CL167">
            <v>2660.7081401817172</v>
          </cell>
          <cell r="CM167">
            <v>7221.855343709236</v>
          </cell>
          <cell r="CO167">
            <v>1613</v>
          </cell>
          <cell r="CP167">
            <v>2151</v>
          </cell>
          <cell r="CQ167">
            <v>2157</v>
          </cell>
          <cell r="CR167">
            <v>3480</v>
          </cell>
          <cell r="CS167">
            <v>9401</v>
          </cell>
          <cell r="CU167">
            <v>2087.7362899380068</v>
          </cell>
          <cell r="CV167">
            <v>2519.7097560975608</v>
          </cell>
          <cell r="CW167">
            <v>2469.7340206185568</v>
          </cell>
          <cell r="CX167">
            <v>3430.6866686373041</v>
          </cell>
          <cell r="CY167">
            <v>10507.866735291427</v>
          </cell>
          <cell r="DA167">
            <v>2233.7196261682243</v>
          </cell>
          <cell r="DB167">
            <v>2751.7260273972602</v>
          </cell>
          <cell r="DC167">
            <v>2774.1409918488607</v>
          </cell>
          <cell r="DE167">
            <v>12048.014072199079</v>
          </cell>
          <cell r="DG167">
            <v>2817.7536283185841</v>
          </cell>
          <cell r="DH167">
            <v>3731.7182720686878</v>
          </cell>
          <cell r="DI167">
            <v>3763.7459503239743</v>
          </cell>
          <cell r="DJ167">
            <v>5110.7668845315902</v>
          </cell>
          <cell r="DK167">
            <v>15423.984735242837</v>
          </cell>
          <cell r="DM167">
            <v>3418.7349433512222</v>
          </cell>
          <cell r="DN167">
            <v>3778.7368978295394</v>
          </cell>
          <cell r="DO167">
            <v>4048.1142436831478</v>
          </cell>
          <cell r="DP167">
            <v>5327.9416997762619</v>
          </cell>
          <cell r="DQ167">
            <v>16573.527784640173</v>
          </cell>
          <cell r="DS167">
            <v>3412.7661195779601</v>
          </cell>
          <cell r="DT167">
            <v>4083.7650085763294</v>
          </cell>
          <cell r="DU167">
            <v>4005.7900355871884</v>
          </cell>
          <cell r="DV167">
            <v>5382.7621341237491</v>
          </cell>
          <cell r="DW167">
            <v>16885.083297865225</v>
          </cell>
          <cell r="DY167">
            <v>3542.7819314641742</v>
          </cell>
          <cell r="DZ167">
            <v>4062.7811339440455</v>
          </cell>
          <cell r="EA167">
            <v>4167.76902173913</v>
          </cell>
          <cell r="EB167">
            <v>5532.7698675496686</v>
          </cell>
          <cell r="EC167">
            <v>17306.10195469702</v>
          </cell>
          <cell r="EE167">
            <v>3606.7851147174033</v>
          </cell>
          <cell r="EF167">
            <v>4149.7569208353571</v>
          </cell>
          <cell r="EG167">
            <v>3971.7729675308333</v>
          </cell>
          <cell r="EH167">
            <v>4733.7449392712551</v>
          </cell>
          <cell r="EI167">
            <v>16462.059942354848</v>
          </cell>
          <cell r="EK167">
            <v>3222.7500798977308</v>
          </cell>
          <cell r="EL167">
            <v>3468.7959837019789</v>
          </cell>
          <cell r="EM167">
            <v>3625.910884135882</v>
          </cell>
          <cell r="EN167">
            <v>4664.6904498720469</v>
          </cell>
          <cell r="EO167">
            <v>14982.147397607638</v>
          </cell>
          <cell r="EQ167">
            <v>3414.5177226449673</v>
          </cell>
          <cell r="ER167">
            <v>3655.0003047958121</v>
          </cell>
          <cell r="ES167">
            <v>3678.8547289271141</v>
          </cell>
          <cell r="ET167">
            <v>4588.4076316043056</v>
          </cell>
          <cell r="EU167">
            <v>15336.780387972198</v>
          </cell>
          <cell r="EW167">
            <v>3461.7314709858247</v>
          </cell>
          <cell r="EX167">
            <v>3690.2822978840659</v>
          </cell>
          <cell r="EY167">
            <v>3791.4911958523535</v>
          </cell>
          <cell r="EZ167">
            <v>4497.0123339078227</v>
          </cell>
          <cell r="FA167">
            <v>15440.517298630068</v>
          </cell>
        </row>
        <row r="168"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O168">
            <v>0</v>
          </cell>
          <cell r="P168">
            <v>0</v>
          </cell>
          <cell r="Q168">
            <v>0</v>
          </cell>
          <cell r="R168">
            <v>0</v>
          </cell>
          <cell r="S168">
            <v>0</v>
          </cell>
          <cell r="U168">
            <v>0</v>
          </cell>
          <cell r="V168">
            <v>0</v>
          </cell>
          <cell r="W168">
            <v>0</v>
          </cell>
          <cell r="X168">
            <v>0</v>
          </cell>
          <cell r="Y168">
            <v>0</v>
          </cell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M168">
            <v>0</v>
          </cell>
          <cell r="AN168">
            <v>0</v>
          </cell>
          <cell r="AO168">
            <v>0</v>
          </cell>
          <cell r="AP168">
            <v>0</v>
          </cell>
          <cell r="AQ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0</v>
          </cell>
          <cell r="BK168">
            <v>0.21867381617422219</v>
          </cell>
          <cell r="BL168">
            <v>0.28135154292629816</v>
          </cell>
          <cell r="BM168">
            <v>0.29266846757452469</v>
          </cell>
          <cell r="BN168">
            <v>0.4123877289254026</v>
          </cell>
          <cell r="BO168">
            <v>0.30984781457162319</v>
          </cell>
          <cell r="BQ168">
            <v>0.2686157053626933</v>
          </cell>
          <cell r="BR168">
            <v>0.33073434393866996</v>
          </cell>
          <cell r="BS168">
            <v>0.33484559725948698</v>
          </cell>
          <cell r="BT168">
            <v>0.4498529978611</v>
          </cell>
          <cell r="BU168">
            <v>0.35516654299064154</v>
          </cell>
          <cell r="BW168">
            <v>0.31130624671540497</v>
          </cell>
          <cell r="BX168">
            <v>0.39766046859145482</v>
          </cell>
          <cell r="BY168">
            <v>0.37105655588918707</v>
          </cell>
          <cell r="BZ168">
            <v>0.4411729074992779</v>
          </cell>
          <cell r="CA168">
            <v>0.3896468070952635</v>
          </cell>
          <cell r="CC168">
            <v>0.33768699132782409</v>
          </cell>
          <cell r="CD168">
            <v>0.38622687627385216</v>
          </cell>
          <cell r="CE168">
            <v>0.37781016977175802</v>
          </cell>
          <cell r="CF168">
            <v>0.43609195707316323</v>
          </cell>
          <cell r="CG168">
            <v>0.39132628130669006</v>
          </cell>
          <cell r="CI168">
            <v>0.34627050944510629</v>
          </cell>
          <cell r="CJ168">
            <v>0.37635545357558781</v>
          </cell>
          <cell r="CK168">
            <v>0.38362244912886195</v>
          </cell>
          <cell r="CL168">
            <v>0.4522706340611452</v>
          </cell>
          <cell r="CM168">
            <v>0.39660911327965487</v>
          </cell>
          <cell r="CO168">
            <v>0.35118658828652299</v>
          </cell>
          <cell r="CP168">
            <v>0.40100671140939598</v>
          </cell>
          <cell r="CQ168">
            <v>0.40160119158443491</v>
          </cell>
          <cell r="CR168">
            <v>0.47795632468067573</v>
          </cell>
          <cell r="CS168">
            <v>0.415807864124906</v>
          </cell>
          <cell r="CU168">
            <v>0.3850491128620448</v>
          </cell>
          <cell r="CV168">
            <v>0.44306484193732387</v>
          </cell>
          <cell r="CW168">
            <v>0.44871621014145291</v>
          </cell>
          <cell r="CX168">
            <v>0.4985738509863834</v>
          </cell>
          <cell r="CY168">
            <v>0.44725745872526718</v>
          </cell>
          <cell r="DA168">
            <v>0.44118499430539687</v>
          </cell>
          <cell r="DB168">
            <v>0.46861819267664512</v>
          </cell>
          <cell r="DC168">
            <v>0.42880962559879754</v>
          </cell>
          <cell r="DE168">
            <v>0.44563846187587675</v>
          </cell>
          <cell r="DG168">
            <v>0.37134338802300793</v>
          </cell>
          <cell r="DH168">
            <v>0.42922915482731627</v>
          </cell>
          <cell r="DI168">
            <v>0.42735845921698357</v>
          </cell>
          <cell r="DJ168">
            <v>0.47295640241824821</v>
          </cell>
          <cell r="DK168">
            <v>0.42969730422740876</v>
          </cell>
          <cell r="DM168">
            <v>0.40708918115637321</v>
          </cell>
          <cell r="DN168">
            <v>0.42886583791051408</v>
          </cell>
          <cell r="DO168">
            <v>0.44669639420285079</v>
          </cell>
          <cell r="DP168">
            <v>0.48656292197969148</v>
          </cell>
          <cell r="DQ168">
            <v>0.44526760808765203</v>
          </cell>
          <cell r="DS168">
            <v>0.41573469601388235</v>
          </cell>
          <cell r="DT168">
            <v>0.44812520669113676</v>
          </cell>
          <cell r="DU168">
            <v>0.44657636963067876</v>
          </cell>
          <cell r="DV168">
            <v>0.49108312509111846</v>
          </cell>
          <cell r="DW168">
            <v>0.45325432308445562</v>
          </cell>
          <cell r="DY168">
            <v>0.42271589684574323</v>
          </cell>
          <cell r="DZ168">
            <v>0.43765820682366102</v>
          </cell>
          <cell r="EA168">
            <v>0.44742555252164573</v>
          </cell>
          <cell r="EB168">
            <v>0.48850166586170479</v>
          </cell>
          <cell r="EC168">
            <v>0.45179746651082159</v>
          </cell>
          <cell r="EE168">
            <v>0.41944239036136799</v>
          </cell>
          <cell r="EF168">
            <v>0.43190642390043266</v>
          </cell>
          <cell r="EG168">
            <v>0.42551670961333121</v>
          </cell>
          <cell r="EH168">
            <v>0.44191046856527771</v>
          </cell>
          <cell r="EI168">
            <v>0.4303468993897171</v>
          </cell>
          <cell r="EK168">
            <v>0.38134541236513203</v>
          </cell>
          <cell r="EL168">
            <v>0.38559315070053124</v>
          </cell>
          <cell r="EM168">
            <v>0.39713173408910607</v>
          </cell>
          <cell r="EN168">
            <v>0.44884458617416528</v>
          </cell>
          <cell r="EO168">
            <v>0.40525247160381694</v>
          </cell>
          <cell r="EQ168">
            <v>0.39556592097487392</v>
          </cell>
          <cell r="ER168">
            <v>0.40125608714868416</v>
          </cell>
          <cell r="ES168">
            <v>0.4005385525129091</v>
          </cell>
          <cell r="ET168">
            <v>0.4450223693930131</v>
          </cell>
          <cell r="EU168">
            <v>0.41187868905680253</v>
          </cell>
          <cell r="EW168">
            <v>0.39818260063014299</v>
          </cell>
          <cell r="EX168">
            <v>0.40422087150076985</v>
          </cell>
          <cell r="EY168">
            <v>0.41191750283524931</v>
          </cell>
          <cell r="EZ168">
            <v>0.44193616407484321</v>
          </cell>
          <cell r="FA168">
            <v>0.41502976609321801</v>
          </cell>
        </row>
        <row r="169"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O169">
            <v>0</v>
          </cell>
          <cell r="P169">
            <v>0</v>
          </cell>
          <cell r="Q169">
            <v>0</v>
          </cell>
          <cell r="R169">
            <v>0</v>
          </cell>
          <cell r="S169">
            <v>0</v>
          </cell>
          <cell r="U169">
            <v>0</v>
          </cell>
          <cell r="V169">
            <v>0</v>
          </cell>
          <cell r="W169">
            <v>0</v>
          </cell>
          <cell r="X169">
            <v>0</v>
          </cell>
          <cell r="Y169">
            <v>0</v>
          </cell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G169">
            <v>0</v>
          </cell>
          <cell r="AH169">
            <v>0</v>
          </cell>
          <cell r="AI169">
            <v>0</v>
          </cell>
          <cell r="AJ169">
            <v>0</v>
          </cell>
          <cell r="AK169">
            <v>0</v>
          </cell>
          <cell r="AM169">
            <v>0</v>
          </cell>
          <cell r="AN169">
            <v>0</v>
          </cell>
          <cell r="AO169">
            <v>0</v>
          </cell>
          <cell r="AP169">
            <v>0</v>
          </cell>
          <cell r="AQ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0</v>
          </cell>
          <cell r="BK169">
            <v>253.28808663994951</v>
          </cell>
          <cell r="BL169">
            <v>438.45972656250001</v>
          </cell>
          <cell r="BM169">
            <v>487.78563851691041</v>
          </cell>
          <cell r="BN169">
            <v>789.1801271964722</v>
          </cell>
          <cell r="BO169">
            <v>1968.7135789158319</v>
          </cell>
          <cell r="BQ169">
            <v>400.6198287124401</v>
          </cell>
          <cell r="BR169">
            <v>557.16877657748694</v>
          </cell>
          <cell r="BS169">
            <v>575.77896472965062</v>
          </cell>
          <cell r="BT169">
            <v>974.78907517577079</v>
          </cell>
          <cell r="BU169">
            <v>2508.3566451953484</v>
          </cell>
          <cell r="BW169">
            <v>491.44249087477311</v>
          </cell>
          <cell r="BX169">
            <v>790.24790721144745</v>
          </cell>
          <cell r="BY169">
            <v>803.78226469578942</v>
          </cell>
          <cell r="BZ169">
            <v>1300.171372884342</v>
          </cell>
          <cell r="CA169">
            <v>3385.644035666352</v>
          </cell>
          <cell r="CC169">
            <v>709.4536815311684</v>
          </cell>
          <cell r="CD169">
            <v>935.84919762777952</v>
          </cell>
          <cell r="CE169">
            <v>966.02936150402797</v>
          </cell>
          <cell r="CF169">
            <v>1504.7725004060267</v>
          </cell>
          <cell r="CG169">
            <v>4116.1047410690026</v>
          </cell>
          <cell r="CI169">
            <v>895.97179353636147</v>
          </cell>
          <cell r="CJ169">
            <v>1131.7102129344803</v>
          </cell>
          <cell r="CK169">
            <v>1265.4645700638218</v>
          </cell>
          <cell r="CL169">
            <v>1871.7618927042422</v>
          </cell>
          <cell r="CM169">
            <v>5164.908469238906</v>
          </cell>
          <cell r="CO169">
            <v>1116.7207207207207</v>
          </cell>
          <cell r="CP169">
            <v>1567.7757009345794</v>
          </cell>
          <cell r="CQ169">
            <v>1541.7262494371905</v>
          </cell>
          <cell r="CR169">
            <v>2389.6825035561878</v>
          </cell>
          <cell r="CS169">
            <v>6615.9051746486784</v>
          </cell>
          <cell r="CU169">
            <v>1480.484898266229</v>
          </cell>
          <cell r="CV169">
            <v>1682.625704937537</v>
          </cell>
          <cell r="CW169">
            <v>1717.4130130725903</v>
          </cell>
          <cell r="CX169">
            <v>2266.4780169212113</v>
          </cell>
          <cell r="CY169">
            <v>7147.0016331975676</v>
          </cell>
          <cell r="DA169">
            <v>1479.3496375229277</v>
          </cell>
          <cell r="DB169">
            <v>1885.2942390692438</v>
          </cell>
          <cell r="DC169">
            <v>1862.2169899987709</v>
          </cell>
          <cell r="DE169">
            <v>8182.7068146568745</v>
          </cell>
          <cell r="DG169">
            <v>2031.5962742266427</v>
          </cell>
          <cell r="DH169">
            <v>2591.323266522103</v>
          </cell>
          <cell r="DI169">
            <v>2667.3288500931808</v>
          </cell>
          <cell r="DJ169">
            <v>3774.4268918412195</v>
          </cell>
          <cell r="DK169">
            <v>11064.675282683147</v>
          </cell>
          <cell r="DM169">
            <v>2356.7685257485878</v>
          </cell>
          <cell r="DN169">
            <v>2673.2714461507244</v>
          </cell>
          <cell r="DO169">
            <v>3006.482990773507</v>
          </cell>
          <cell r="DP169">
            <v>3999.1012650416155</v>
          </cell>
          <cell r="DQ169">
            <v>12035.624227714436</v>
          </cell>
          <cell r="DS169">
            <v>2478.9837739087889</v>
          </cell>
          <cell r="DT169">
            <v>2977.9986171956139</v>
          </cell>
          <cell r="DU169">
            <v>2971.9479996453942</v>
          </cell>
          <cell r="DV169">
            <v>3969.0132307864219</v>
          </cell>
          <cell r="DW169">
            <v>12397.943621536218</v>
          </cell>
          <cell r="DY169">
            <v>2606.0070554439494</v>
          </cell>
          <cell r="DZ169">
            <v>3011.8815245341575</v>
          </cell>
          <cell r="EA169">
            <v>2960.5560683482986</v>
          </cell>
          <cell r="EB169">
            <v>4013.1423649182052</v>
          </cell>
          <cell r="EC169">
            <v>12591.587013244611</v>
          </cell>
          <cell r="EE169">
            <v>2639.3869703125442</v>
          </cell>
          <cell r="EF169">
            <v>2934.3980869946108</v>
          </cell>
          <cell r="EG169">
            <v>2889.9501090579383</v>
          </cell>
          <cell r="EH169">
            <v>3314.0448130603677</v>
          </cell>
          <cell r="EI169">
            <v>11777.779979425461</v>
          </cell>
          <cell r="EK169">
            <v>2159.2925655225231</v>
          </cell>
          <cell r="EL169">
            <v>2532.6577460491599</v>
          </cell>
          <cell r="EM169">
            <v>2481.0980918062323</v>
          </cell>
          <cell r="EN169">
            <v>3271.0224824654997</v>
          </cell>
          <cell r="EO169">
            <v>10444.070885843415</v>
          </cell>
          <cell r="EQ169">
            <v>2349.230125188622</v>
          </cell>
          <cell r="ER169">
            <v>2530.619717786883</v>
          </cell>
          <cell r="ES169">
            <v>2548.0856730742885</v>
          </cell>
          <cell r="ET169">
            <v>3226.3563897535723</v>
          </cell>
          <cell r="EU169">
            <v>10654.291905803366</v>
          </cell>
          <cell r="EW169">
            <v>2398.6359687768027</v>
          </cell>
          <cell r="EX169">
            <v>2570.7448126830136</v>
          </cell>
          <cell r="EY169">
            <v>2645.3448324135338</v>
          </cell>
          <cell r="EZ169">
            <v>3172.226322065666</v>
          </cell>
          <cell r="FA169">
            <v>10786.951935939016</v>
          </cell>
        </row>
        <row r="170"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O170">
            <v>0</v>
          </cell>
          <cell r="P170">
            <v>0</v>
          </cell>
          <cell r="Q170">
            <v>0</v>
          </cell>
          <cell r="R170">
            <v>0</v>
          </cell>
          <cell r="S170">
            <v>0</v>
          </cell>
          <cell r="U170">
            <v>0</v>
          </cell>
          <cell r="V170">
            <v>0</v>
          </cell>
          <cell r="W170">
            <v>0</v>
          </cell>
          <cell r="X170">
            <v>0</v>
          </cell>
          <cell r="Y170">
            <v>0</v>
          </cell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0</v>
          </cell>
          <cell r="AQ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0</v>
          </cell>
          <cell r="BK170">
            <v>4.5927123597452317E-2</v>
          </cell>
          <cell r="BL170">
            <v>8.0896628517066416E-2</v>
          </cell>
          <cell r="BM170">
            <v>9.0615946222721608E-2</v>
          </cell>
          <cell r="BN170">
            <v>0.14734505735557735</v>
          </cell>
          <cell r="BO170">
            <v>0.36336537078549869</v>
          </cell>
          <cell r="BQ170">
            <v>7.4924224558152258E-2</v>
          </cell>
          <cell r="BR170">
            <v>0.10439737241474366</v>
          </cell>
          <cell r="BS170">
            <v>0.10788438537186633</v>
          </cell>
          <cell r="BT170">
            <v>0.18451430535221858</v>
          </cell>
          <cell r="BU170">
            <v>0.47096444708887503</v>
          </cell>
          <cell r="BW170">
            <v>9.3768840082956134E-2</v>
          </cell>
          <cell r="BX170">
            <v>0.15144651345562427</v>
          </cell>
          <cell r="BY170">
            <v>0.1536868574944148</v>
          </cell>
          <cell r="BZ170">
            <v>0.24840874529697018</v>
          </cell>
          <cell r="CA170">
            <v>0.64725785703127692</v>
          </cell>
          <cell r="CC170">
            <v>0.13528865017756833</v>
          </cell>
          <cell r="CD170">
            <v>0.17866536800835806</v>
          </cell>
          <cell r="CE170">
            <v>0.18213223256109123</v>
          </cell>
          <cell r="CF170">
            <v>0.28006188356709971</v>
          </cell>
          <cell r="CG170">
            <v>0.77812840702660857</v>
          </cell>
          <cell r="CI170">
            <v>0.16882830102437563</v>
          </cell>
          <cell r="CJ170">
            <v>0.21340943106439381</v>
          </cell>
          <cell r="CK170">
            <v>0.24049117637092776</v>
          </cell>
          <cell r="CL170">
            <v>0.35830051544874469</v>
          </cell>
          <cell r="CM170">
            <v>0.97931521980259884</v>
          </cell>
          <cell r="CO170">
            <v>0.2139311725518622</v>
          </cell>
          <cell r="CP170">
            <v>0.29959405712489573</v>
          </cell>
          <cell r="CQ170">
            <v>0.29722888942301728</v>
          </cell>
          <cell r="CR170">
            <v>0.45665631636846699</v>
          </cell>
          <cell r="CS170">
            <v>1.2678398265028847</v>
          </cell>
          <cell r="CU170">
            <v>0.28280513815973812</v>
          </cell>
          <cell r="CV170">
            <v>0.32439284845527994</v>
          </cell>
          <cell r="CW170">
            <v>0.33967820669948384</v>
          </cell>
          <cell r="CX170">
            <v>0.44943050107499727</v>
          </cell>
          <cell r="CY170">
            <v>1.3931098159344217</v>
          </cell>
          <cell r="DA170">
            <v>0.29218835424114709</v>
          </cell>
          <cell r="DB170">
            <v>0.37229349112741783</v>
          </cell>
          <cell r="DC170">
            <v>0.36686701930629845</v>
          </cell>
          <cell r="DE170">
            <v>1.6129121992129059</v>
          </cell>
          <cell r="DG170">
            <v>0.39968449227358699</v>
          </cell>
          <cell r="DH170">
            <v>0.50641455276961167</v>
          </cell>
          <cell r="DI170">
            <v>0.5180285201190874</v>
          </cell>
          <cell r="DJ170">
            <v>0.73091148176630893</v>
          </cell>
          <cell r="DK170">
            <v>2.1575928011862033</v>
          </cell>
          <cell r="DM170">
            <v>0.45762495645603646</v>
          </cell>
          <cell r="DN170">
            <v>0.52181757683988372</v>
          </cell>
          <cell r="DO170">
            <v>0.5918273603884856</v>
          </cell>
          <cell r="DP170">
            <v>0.79552442113419841</v>
          </cell>
          <cell r="DQ170">
            <v>2.3622422429272691</v>
          </cell>
          <cell r="DS170">
            <v>0.50192018098983371</v>
          </cell>
          <cell r="DT170">
            <v>0.6117499213631088</v>
          </cell>
          <cell r="DU170">
            <v>0.61761180375008196</v>
          </cell>
          <cell r="DV170">
            <v>0.83452759268007193</v>
          </cell>
          <cell r="DW170">
            <v>2.5595754573494127</v>
          </cell>
          <cell r="DY170">
            <v>0.55755392713820051</v>
          </cell>
          <cell r="DZ170">
            <v>0.65475685315959942</v>
          </cell>
          <cell r="EA170">
            <v>0.64711608051328928</v>
          </cell>
          <cell r="EB170">
            <v>0.87834151125371096</v>
          </cell>
          <cell r="EC170">
            <v>2.7346263466705638</v>
          </cell>
          <cell r="EE170">
            <v>0.58034014298868608</v>
          </cell>
          <cell r="EF170">
            <v>0.65136472519303235</v>
          </cell>
          <cell r="EG170">
            <v>0.64306856009299918</v>
          </cell>
          <cell r="EH170">
            <v>0.74255989537539047</v>
          </cell>
          <cell r="EI170">
            <v>2.6158312003165931</v>
          </cell>
          <cell r="EK170">
            <v>0.48941354612931165</v>
          </cell>
          <cell r="EL170">
            <v>0.5868067066842354</v>
          </cell>
          <cell r="EM170">
            <v>0.57835702267275158</v>
          </cell>
          <cell r="EN170">
            <v>0.77024384814206881</v>
          </cell>
          <cell r="EO170">
            <v>2.4197593804821875</v>
          </cell>
          <cell r="EQ170">
            <v>0.55842371520945988</v>
          </cell>
          <cell r="ER170">
            <v>0.60515645712519384</v>
          </cell>
          <cell r="ES170">
            <v>0.61336433977341887</v>
          </cell>
          <cell r="ET170">
            <v>0.78439905834514922</v>
          </cell>
          <cell r="EU170">
            <v>2.5586536562106414</v>
          </cell>
          <cell r="EW170">
            <v>0.58847131222536964</v>
          </cell>
          <cell r="EX170">
            <v>0.63402028363380891</v>
          </cell>
          <cell r="EY170">
            <v>0.65628675594612584</v>
          </cell>
          <cell r="EZ170">
            <v>0.79453162857444903</v>
          </cell>
          <cell r="FA170">
            <v>2.6710180131773349</v>
          </cell>
        </row>
        <row r="171"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0</v>
          </cell>
          <cell r="S171">
            <v>0</v>
          </cell>
          <cell r="U171">
            <v>0</v>
          </cell>
          <cell r="V171">
            <v>0</v>
          </cell>
          <cell r="W171">
            <v>0</v>
          </cell>
          <cell r="X171">
            <v>0</v>
          </cell>
          <cell r="Y171">
            <v>0</v>
          </cell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G171">
            <v>0</v>
          </cell>
          <cell r="AH171">
            <v>0</v>
          </cell>
          <cell r="AI171">
            <v>0</v>
          </cell>
          <cell r="AJ171">
            <v>0</v>
          </cell>
          <cell r="AK171">
            <v>0</v>
          </cell>
          <cell r="AM171">
            <v>0</v>
          </cell>
          <cell r="AN171">
            <v>0</v>
          </cell>
          <cell r="AO171">
            <v>0</v>
          </cell>
          <cell r="AP171">
            <v>0</v>
          </cell>
          <cell r="AQ171">
            <v>0</v>
          </cell>
          <cell r="AS171">
            <v>0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E171">
            <v>0</v>
          </cell>
          <cell r="BF171">
            <v>0</v>
          </cell>
          <cell r="BG171">
            <v>0</v>
          </cell>
          <cell r="BH171">
            <v>0</v>
          </cell>
          <cell r="BI171">
            <v>0</v>
          </cell>
          <cell r="BK171">
            <v>0</v>
          </cell>
          <cell r="BL171">
            <v>0</v>
          </cell>
          <cell r="BM171">
            <v>0</v>
          </cell>
          <cell r="BN171">
            <v>0</v>
          </cell>
          <cell r="BO171">
            <v>0</v>
          </cell>
          <cell r="BQ171">
            <v>0.63137202353139488</v>
          </cell>
          <cell r="BR171">
            <v>0.29050337855204167</v>
          </cell>
          <cell r="BS171">
            <v>0.19056733245052992</v>
          </cell>
          <cell r="BT171">
            <v>0.25225989024486473</v>
          </cell>
          <cell r="BU171">
            <v>0.29611813605346038</v>
          </cell>
          <cell r="BW171">
            <v>0.25151565646405416</v>
          </cell>
          <cell r="BX171">
            <v>0.45067361325883359</v>
          </cell>
          <cell r="BY171">
            <v>0.42455144889292429</v>
          </cell>
          <cell r="BZ171">
            <v>0.34628447817519503</v>
          </cell>
          <cell r="CA171">
            <v>0.37432424258796293</v>
          </cell>
          <cell r="CC171">
            <v>0.44278899107507508</v>
          </cell>
          <cell r="CD171">
            <v>0.17972585787330964</v>
          </cell>
          <cell r="CE171">
            <v>0.18508658144506707</v>
          </cell>
          <cell r="CF171">
            <v>0.12742360673449116</v>
          </cell>
          <cell r="CG171">
            <v>0.20219229256726923</v>
          </cell>
          <cell r="CI171">
            <v>0.24791178567297423</v>
          </cell>
          <cell r="CJ171">
            <v>0.19446445297899251</v>
          </cell>
          <cell r="CK171">
            <v>0.32042073491995238</v>
          </cell>
          <cell r="CL171">
            <v>0.27936194274327186</v>
          </cell>
          <cell r="CM171">
            <v>0.25855220161511272</v>
          </cell>
          <cell r="CO171">
            <v>0.2671523154223685</v>
          </cell>
          <cell r="CP171">
            <v>0.40384637937812928</v>
          </cell>
          <cell r="CQ171">
            <v>0.23592430253897811</v>
          </cell>
          <cell r="CR171">
            <v>0.27450644550856707</v>
          </cell>
          <cell r="CS171">
            <v>0.29461873038023856</v>
          </cell>
          <cell r="CU171">
            <v>0.3219445057319974</v>
          </cell>
          <cell r="CV171">
            <v>8.2774643690765926E-2</v>
          </cell>
          <cell r="CW171">
            <v>0.14281692926575706</v>
          </cell>
          <cell r="CX171">
            <v>-1.5823311830946762E-2</v>
          </cell>
          <cell r="CY171">
            <v>9.8805848193830981E-2</v>
          </cell>
          <cell r="DA171">
            <v>3.3179086287000281E-2</v>
          </cell>
          <cell r="DB171">
            <v>0.14766244971254783</v>
          </cell>
          <cell r="DC171">
            <v>8.004285253092136E-2</v>
          </cell>
          <cell r="DE171">
            <v>0.15777821731236075</v>
          </cell>
          <cell r="DG171">
            <v>0.36790014547849448</v>
          </cell>
          <cell r="DH171">
            <v>0.36025626243433506</v>
          </cell>
          <cell r="DI171">
            <v>0.41203349676571421</v>
          </cell>
          <cell r="DJ171">
            <v>0.25863780033083383</v>
          </cell>
          <cell r="DK171">
            <v>0.33770009442491622</v>
          </cell>
          <cell r="DM171">
            <v>0.1449655047981917</v>
          </cell>
          <cell r="DN171">
            <v>3.0415840117611115E-2</v>
          </cell>
          <cell r="DO171">
            <v>0.14246095997269204</v>
          </cell>
          <cell r="DP171">
            <v>8.8400498527875015E-2</v>
          </cell>
          <cell r="DQ171">
            <v>9.4850817832055068E-2</v>
          </cell>
          <cell r="DS171">
            <v>9.6793725754886095E-2</v>
          </cell>
          <cell r="DT171">
            <v>0.17234441405338141</v>
          </cell>
          <cell r="DU171">
            <v>4.356750817446331E-2</v>
          </cell>
          <cell r="DV171">
            <v>4.9028251691212388E-2</v>
          </cell>
          <cell r="DW171">
            <v>8.3536400643487774E-2</v>
          </cell>
          <cell r="DY171">
            <v>0.11084181958703443</v>
          </cell>
          <cell r="DZ171">
            <v>7.0301491335972743E-2</v>
          </cell>
          <cell r="EA171">
            <v>4.7771555828531875E-2</v>
          </cell>
          <cell r="EB171">
            <v>5.2501461854522091E-2</v>
          </cell>
          <cell r="EC171">
            <v>6.8390595330378057E-2</v>
          </cell>
          <cell r="EE171">
            <v>4.0868182863390556E-2</v>
          </cell>
          <cell r="EF171">
            <v>-5.1807445011045061E-3</v>
          </cell>
          <cell r="EG171">
            <v>-6.2547053645763961E-3</v>
          </cell>
          <cell r="EH171">
            <v>-0.15458863567146108</v>
          </cell>
          <cell r="EI171">
            <v>-4.3441088943871664E-2</v>
          </cell>
          <cell r="EK171">
            <v>-0.15667811017020594</v>
          </cell>
          <cell r="EL171">
            <v>-9.9111935313453081E-2</v>
          </cell>
          <cell r="EM171">
            <v>-0.10062929745918403</v>
          </cell>
          <cell r="EN171">
            <v>3.7281777455383747E-2</v>
          </cell>
          <cell r="EO171">
            <v>-7.4955838056628088E-2</v>
          </cell>
          <cell r="EQ171">
            <v>0.14100584184058218</v>
          </cell>
          <cell r="ER171">
            <v>3.1270519290149457E-2</v>
          </cell>
          <cell r="ES171">
            <v>6.0528904687434437E-2</v>
          </cell>
          <cell r="ET171">
            <v>1.837756995687112E-2</v>
          </cell>
          <cell r="EU171">
            <v>5.7400036073329108E-2</v>
          </cell>
          <cell r="EW171">
            <v>5.3807881358762133E-2</v>
          </cell>
          <cell r="EX171">
            <v>4.7696469514236339E-2</v>
          </cell>
          <cell r="EY171">
            <v>6.9978662581790863E-2</v>
          </cell>
          <cell r="EZ171">
            <v>1.2917621613004693E-2</v>
          </cell>
          <cell r="FA171">
            <v>4.3915422743500576E-2</v>
          </cell>
        </row>
        <row r="172"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0</v>
          </cell>
          <cell r="S172">
            <v>0</v>
          </cell>
          <cell r="U172">
            <v>0</v>
          </cell>
          <cell r="V172">
            <v>0</v>
          </cell>
          <cell r="W172">
            <v>0</v>
          </cell>
          <cell r="X172">
            <v>0</v>
          </cell>
          <cell r="Y172">
            <v>0</v>
          </cell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0</v>
          </cell>
          <cell r="AQ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0</v>
          </cell>
          <cell r="BK172">
            <v>0</v>
          </cell>
          <cell r="BL172">
            <v>0</v>
          </cell>
          <cell r="BM172">
            <v>0</v>
          </cell>
          <cell r="BN172">
            <v>0</v>
          </cell>
          <cell r="BO172">
            <v>0</v>
          </cell>
          <cell r="BQ172">
            <v>0</v>
          </cell>
          <cell r="BR172">
            <v>0</v>
          </cell>
          <cell r="BS172">
            <v>0</v>
          </cell>
          <cell r="BT172">
            <v>0</v>
          </cell>
          <cell r="BU172">
            <v>0</v>
          </cell>
          <cell r="BW172">
            <v>0</v>
          </cell>
          <cell r="BX172">
            <v>0</v>
          </cell>
          <cell r="BY172">
            <v>0</v>
          </cell>
          <cell r="BZ172">
            <v>0</v>
          </cell>
          <cell r="CA172">
            <v>0</v>
          </cell>
          <cell r="CC172">
            <v>0</v>
          </cell>
          <cell r="CD172">
            <v>0</v>
          </cell>
          <cell r="CE172">
            <v>0</v>
          </cell>
          <cell r="CF172">
            <v>0</v>
          </cell>
          <cell r="CG172">
            <v>0</v>
          </cell>
          <cell r="CI172">
            <v>0</v>
          </cell>
          <cell r="CJ172">
            <v>0</v>
          </cell>
          <cell r="CK172">
            <v>0</v>
          </cell>
          <cell r="CL172">
            <v>0</v>
          </cell>
          <cell r="CM172">
            <v>0</v>
          </cell>
          <cell r="CO172">
            <v>0</v>
          </cell>
          <cell r="CP172">
            <v>0</v>
          </cell>
          <cell r="CQ172">
            <v>0</v>
          </cell>
          <cell r="CR172">
            <v>0</v>
          </cell>
          <cell r="CS172">
            <v>0</v>
          </cell>
          <cell r="CU172">
            <v>0</v>
          </cell>
          <cell r="CV172">
            <v>0</v>
          </cell>
          <cell r="CW172">
            <v>0</v>
          </cell>
          <cell r="CX172">
            <v>0</v>
          </cell>
          <cell r="CY172">
            <v>0</v>
          </cell>
          <cell r="DA172">
            <v>0</v>
          </cell>
          <cell r="DB172">
            <v>0</v>
          </cell>
          <cell r="DC172">
            <v>0</v>
          </cell>
          <cell r="DE172">
            <v>0</v>
          </cell>
          <cell r="DG172">
            <v>0</v>
          </cell>
          <cell r="DH172">
            <v>0</v>
          </cell>
          <cell r="DI172">
            <v>0</v>
          </cell>
          <cell r="DJ172">
            <v>0</v>
          </cell>
          <cell r="DK172">
            <v>0</v>
          </cell>
          <cell r="DM172">
            <v>0</v>
          </cell>
          <cell r="DN172">
            <v>0</v>
          </cell>
          <cell r="DO172">
            <v>0</v>
          </cell>
          <cell r="DP172">
            <v>0</v>
          </cell>
          <cell r="DQ172">
            <v>0</v>
          </cell>
          <cell r="DS172">
            <v>0</v>
          </cell>
          <cell r="DT172">
            <v>0</v>
          </cell>
          <cell r="DU172">
            <v>0</v>
          </cell>
          <cell r="DV172">
            <v>0</v>
          </cell>
          <cell r="DW172">
            <v>0</v>
          </cell>
          <cell r="DY172">
            <v>0</v>
          </cell>
          <cell r="DZ172">
            <v>0</v>
          </cell>
          <cell r="EA172">
            <v>0</v>
          </cell>
          <cell r="EB172">
            <v>0</v>
          </cell>
          <cell r="EC172">
            <v>0</v>
          </cell>
          <cell r="EE172">
            <v>0</v>
          </cell>
          <cell r="EF172">
            <v>0</v>
          </cell>
          <cell r="EG172">
            <v>0</v>
          </cell>
          <cell r="EH172">
            <v>0</v>
          </cell>
          <cell r="EI172">
            <v>0</v>
          </cell>
          <cell r="EK172">
            <v>0</v>
          </cell>
          <cell r="EL172">
            <v>0</v>
          </cell>
          <cell r="EM172">
            <v>0</v>
          </cell>
          <cell r="EN172">
            <v>0</v>
          </cell>
          <cell r="EO172">
            <v>0</v>
          </cell>
          <cell r="EQ172">
            <v>0</v>
          </cell>
          <cell r="ER172">
            <v>0</v>
          </cell>
          <cell r="ES172">
            <v>0</v>
          </cell>
          <cell r="ET172">
            <v>0</v>
          </cell>
          <cell r="EU172">
            <v>0</v>
          </cell>
          <cell r="EW172">
            <v>0</v>
          </cell>
          <cell r="EX172">
            <v>0</v>
          </cell>
          <cell r="EY172">
            <v>0</v>
          </cell>
          <cell r="EZ172">
            <v>0</v>
          </cell>
          <cell r="FA172">
            <v>0</v>
          </cell>
        </row>
        <row r="173"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O173">
            <v>0</v>
          </cell>
          <cell r="P173">
            <v>0</v>
          </cell>
          <cell r="Q173">
            <v>0</v>
          </cell>
          <cell r="R173">
            <v>0</v>
          </cell>
          <cell r="S173">
            <v>0</v>
          </cell>
          <cell r="U173">
            <v>0</v>
          </cell>
          <cell r="V173">
            <v>0</v>
          </cell>
          <cell r="W173">
            <v>0</v>
          </cell>
          <cell r="X173">
            <v>0</v>
          </cell>
          <cell r="Y173">
            <v>0</v>
          </cell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G173">
            <v>0</v>
          </cell>
          <cell r="AH173">
            <v>0</v>
          </cell>
          <cell r="AI173">
            <v>0</v>
          </cell>
          <cell r="AJ173">
            <v>0</v>
          </cell>
          <cell r="AK173">
            <v>0</v>
          </cell>
          <cell r="AM173">
            <v>0</v>
          </cell>
          <cell r="AN173">
            <v>0</v>
          </cell>
          <cell r="AO173">
            <v>0</v>
          </cell>
          <cell r="AP173">
            <v>0</v>
          </cell>
          <cell r="AQ173">
            <v>0</v>
          </cell>
          <cell r="AS173">
            <v>0</v>
          </cell>
          <cell r="AT173">
            <v>0</v>
          </cell>
          <cell r="AU173">
            <v>0</v>
          </cell>
          <cell r="AV173">
            <v>0</v>
          </cell>
          <cell r="AW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0</v>
          </cell>
          <cell r="BK173">
            <v>0</v>
          </cell>
          <cell r="BL173">
            <v>0</v>
          </cell>
          <cell r="BM173">
            <v>0</v>
          </cell>
          <cell r="BN173">
            <v>0</v>
          </cell>
          <cell r="BO173">
            <v>0</v>
          </cell>
          <cell r="BQ173">
            <v>0</v>
          </cell>
          <cell r="BR173">
            <v>0</v>
          </cell>
          <cell r="BS173">
            <v>0</v>
          </cell>
          <cell r="BT173">
            <v>0</v>
          </cell>
          <cell r="BU173">
            <v>0</v>
          </cell>
          <cell r="BW173">
            <v>0</v>
          </cell>
          <cell r="BX173">
            <v>0</v>
          </cell>
          <cell r="BY173">
            <v>0</v>
          </cell>
          <cell r="BZ173">
            <v>0</v>
          </cell>
          <cell r="CA173">
            <v>0</v>
          </cell>
          <cell r="CC173">
            <v>0</v>
          </cell>
          <cell r="CD173">
            <v>0</v>
          </cell>
          <cell r="CE173">
            <v>0</v>
          </cell>
          <cell r="CF173">
            <v>0</v>
          </cell>
          <cell r="CG173">
            <v>0</v>
          </cell>
          <cell r="CI173">
            <v>0</v>
          </cell>
          <cell r="CJ173">
            <v>0</v>
          </cell>
          <cell r="CK173">
            <v>0</v>
          </cell>
          <cell r="CL173">
            <v>0</v>
          </cell>
          <cell r="CM173">
            <v>0</v>
          </cell>
          <cell r="CO173">
            <v>0</v>
          </cell>
          <cell r="CP173">
            <v>0</v>
          </cell>
          <cell r="CQ173">
            <v>0</v>
          </cell>
          <cell r="CR173">
            <v>0</v>
          </cell>
          <cell r="CS173">
            <v>0</v>
          </cell>
          <cell r="CU173">
            <v>0</v>
          </cell>
          <cell r="CV173">
            <v>0</v>
          </cell>
          <cell r="CW173">
            <v>0</v>
          </cell>
          <cell r="CX173">
            <v>0</v>
          </cell>
          <cell r="CY173">
            <v>0</v>
          </cell>
          <cell r="DA173">
            <v>0</v>
          </cell>
          <cell r="DB173">
            <v>0</v>
          </cell>
          <cell r="DC173">
            <v>0</v>
          </cell>
          <cell r="DE173">
            <v>0</v>
          </cell>
          <cell r="DG173">
            <v>0</v>
          </cell>
          <cell r="DH173">
            <v>0</v>
          </cell>
          <cell r="DI173">
            <v>0</v>
          </cell>
          <cell r="DJ173">
            <v>0</v>
          </cell>
          <cell r="DK173">
            <v>0</v>
          </cell>
          <cell r="DM173">
            <v>0</v>
          </cell>
          <cell r="DN173">
            <v>0</v>
          </cell>
          <cell r="DO173">
            <v>0</v>
          </cell>
          <cell r="DP173">
            <v>0</v>
          </cell>
          <cell r="DQ173">
            <v>0</v>
          </cell>
          <cell r="DS173">
            <v>0</v>
          </cell>
          <cell r="DT173">
            <v>0</v>
          </cell>
          <cell r="DU173">
            <v>0</v>
          </cell>
          <cell r="DV173">
            <v>0</v>
          </cell>
          <cell r="DW173">
            <v>0</v>
          </cell>
          <cell r="DY173">
            <v>0</v>
          </cell>
          <cell r="DZ173">
            <v>0</v>
          </cell>
          <cell r="EA173">
            <v>0</v>
          </cell>
          <cell r="EB173">
            <v>0</v>
          </cell>
          <cell r="EC173">
            <v>0</v>
          </cell>
          <cell r="EE173">
            <v>0</v>
          </cell>
          <cell r="EF173">
            <v>0</v>
          </cell>
          <cell r="EG173">
            <v>0</v>
          </cell>
          <cell r="EH173">
            <v>0</v>
          </cell>
          <cell r="EI173">
            <v>0</v>
          </cell>
          <cell r="EK173">
            <v>0</v>
          </cell>
          <cell r="EL173">
            <v>0</v>
          </cell>
          <cell r="EM173">
            <v>0</v>
          </cell>
          <cell r="EN173">
            <v>0</v>
          </cell>
          <cell r="EO173">
            <v>0</v>
          </cell>
          <cell r="EQ173">
            <v>0</v>
          </cell>
          <cell r="ER173">
            <v>0</v>
          </cell>
          <cell r="ES173">
            <v>0</v>
          </cell>
          <cell r="ET173">
            <v>0</v>
          </cell>
          <cell r="EU173">
            <v>0</v>
          </cell>
          <cell r="EW173">
            <v>0</v>
          </cell>
          <cell r="EX173">
            <v>0</v>
          </cell>
          <cell r="EY173">
            <v>0</v>
          </cell>
          <cell r="EZ173">
            <v>0</v>
          </cell>
          <cell r="FA173">
            <v>0</v>
          </cell>
        </row>
        <row r="174"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O174">
            <v>0</v>
          </cell>
          <cell r="P174">
            <v>0</v>
          </cell>
          <cell r="Q174">
            <v>0</v>
          </cell>
          <cell r="R174">
            <v>0</v>
          </cell>
          <cell r="S174">
            <v>0</v>
          </cell>
          <cell r="U174">
            <v>0</v>
          </cell>
          <cell r="V174">
            <v>0</v>
          </cell>
          <cell r="W174">
            <v>0</v>
          </cell>
          <cell r="X174">
            <v>0</v>
          </cell>
          <cell r="Y174">
            <v>0</v>
          </cell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M174">
            <v>0</v>
          </cell>
          <cell r="AN174">
            <v>0</v>
          </cell>
          <cell r="AO174">
            <v>0</v>
          </cell>
          <cell r="AP174">
            <v>0</v>
          </cell>
          <cell r="AQ174">
            <v>0</v>
          </cell>
          <cell r="AS174">
            <v>345.86299999999994</v>
          </cell>
          <cell r="AT174">
            <v>576.06499999999983</v>
          </cell>
          <cell r="AU174">
            <v>769.72099999999966</v>
          </cell>
          <cell r="AV174">
            <v>1388.5110000000004</v>
          </cell>
          <cell r="AW174">
            <v>3080.16</v>
          </cell>
          <cell r="AY174">
            <v>658.04100000000028</v>
          </cell>
          <cell r="AZ174">
            <v>946.00099999999975</v>
          </cell>
          <cell r="BA174">
            <v>878.12300000000005</v>
          </cell>
          <cell r="BB174">
            <v>1294.9259999999997</v>
          </cell>
          <cell r="BC174">
            <v>3777.0909999999994</v>
          </cell>
          <cell r="BE174">
            <v>745.77799999999979</v>
          </cell>
          <cell r="BF174">
            <v>819.94400000000007</v>
          </cell>
          <cell r="BG174">
            <v>778.73899999999969</v>
          </cell>
          <cell r="BH174">
            <v>1226.471</v>
          </cell>
          <cell r="BI174">
            <v>3570.9319999999993</v>
          </cell>
          <cell r="BK174">
            <v>580</v>
          </cell>
          <cell r="BL174">
            <v>794</v>
          </cell>
          <cell r="BM174">
            <v>796</v>
          </cell>
          <cell r="BN174">
            <v>1270.4000000000001</v>
          </cell>
          <cell r="BO174">
            <v>3440.4</v>
          </cell>
          <cell r="BQ174">
            <v>616</v>
          </cell>
          <cell r="BR174">
            <v>915</v>
          </cell>
          <cell r="BS174">
            <v>927</v>
          </cell>
          <cell r="BT174">
            <v>1406</v>
          </cell>
          <cell r="BU174">
            <v>3864</v>
          </cell>
          <cell r="BW174">
            <v>743.5</v>
          </cell>
          <cell r="BX174">
            <v>1154.3</v>
          </cell>
          <cell r="BY174">
            <v>1025</v>
          </cell>
          <cell r="BZ174">
            <v>1672.9920000000002</v>
          </cell>
          <cell r="CA174">
            <v>4595.7920000000004</v>
          </cell>
          <cell r="CC174">
            <v>874</v>
          </cell>
          <cell r="CD174">
            <v>1252</v>
          </cell>
          <cell r="CE174">
            <v>1310.9</v>
          </cell>
          <cell r="CF174">
            <v>2106.8500000000004</v>
          </cell>
          <cell r="CG174">
            <v>5543.75</v>
          </cell>
          <cell r="CI174">
            <v>1198</v>
          </cell>
          <cell r="CJ174">
            <v>1534</v>
          </cell>
          <cell r="CK174">
            <v>1672</v>
          </cell>
          <cell r="CL174">
            <v>2606</v>
          </cell>
          <cell r="CM174">
            <v>7010</v>
          </cell>
          <cell r="CO174">
            <v>1549</v>
          </cell>
          <cell r="CP174">
            <v>2100</v>
          </cell>
          <cell r="CQ174">
            <v>2135</v>
          </cell>
          <cell r="CR174">
            <v>3438</v>
          </cell>
          <cell r="CS174">
            <v>9222</v>
          </cell>
          <cell r="CU174">
            <v>1997</v>
          </cell>
          <cell r="CV174">
            <v>2440</v>
          </cell>
          <cell r="CW174">
            <v>2419</v>
          </cell>
          <cell r="CX174">
            <v>3411</v>
          </cell>
          <cell r="CY174">
            <v>10267</v>
          </cell>
          <cell r="DA174">
            <v>2225</v>
          </cell>
          <cell r="DB174">
            <v>2738</v>
          </cell>
          <cell r="DC174">
            <v>2709.3999999999996</v>
          </cell>
          <cell r="DE174">
            <v>11835.099999999999</v>
          </cell>
          <cell r="DG174">
            <v>2732</v>
          </cell>
          <cell r="DH174">
            <v>3665</v>
          </cell>
          <cell r="DI174">
            <v>3721</v>
          </cell>
          <cell r="DJ174">
            <v>5080</v>
          </cell>
          <cell r="DK174">
            <v>15198</v>
          </cell>
          <cell r="DM174">
            <v>3395</v>
          </cell>
          <cell r="DN174">
            <v>3760</v>
          </cell>
          <cell r="DO174">
            <v>4025.3392000000003</v>
          </cell>
          <cell r="DP174">
            <v>5294.1597000000002</v>
          </cell>
          <cell r="DQ174">
            <v>16474.498899999999</v>
          </cell>
          <cell r="DS174">
            <v>3385</v>
          </cell>
          <cell r="DT174">
            <v>4065</v>
          </cell>
          <cell r="DU174">
            <v>3994</v>
          </cell>
          <cell r="DV174">
            <v>5373.711703323539</v>
          </cell>
          <cell r="DW174">
            <v>16817.711703323541</v>
          </cell>
          <cell r="DY174">
            <v>3534</v>
          </cell>
          <cell r="DZ174">
            <v>4056</v>
          </cell>
          <cell r="EA174">
            <v>4160</v>
          </cell>
          <cell r="EB174">
            <v>5560</v>
          </cell>
          <cell r="EC174">
            <v>17310</v>
          </cell>
          <cell r="EE174">
            <v>3604</v>
          </cell>
          <cell r="EF174">
            <v>4141</v>
          </cell>
          <cell r="EG174">
            <v>3965</v>
          </cell>
          <cell r="EH174">
            <v>4727</v>
          </cell>
          <cell r="EI174">
            <v>16437</v>
          </cell>
          <cell r="EK174">
            <v>3220</v>
          </cell>
          <cell r="EL174">
            <v>3466</v>
          </cell>
          <cell r="EM174">
            <v>3619.1658841358822</v>
          </cell>
          <cell r="EN174">
            <v>4657.945449872047</v>
          </cell>
          <cell r="EO174">
            <v>14963.111334007928</v>
          </cell>
          <cell r="EQ174">
            <v>3411.7727226449674</v>
          </cell>
          <cell r="ER174">
            <v>3652.2553047958122</v>
          </cell>
          <cell r="ES174">
            <v>3672.1097289271142</v>
          </cell>
          <cell r="ET174">
            <v>4581.6626316043057</v>
          </cell>
          <cell r="EU174">
            <v>15317.8003879722</v>
          </cell>
          <cell r="EW174">
            <v>3458.9864709858248</v>
          </cell>
          <cell r="EX174">
            <v>3687.537297884066</v>
          </cell>
          <cell r="EY174">
            <v>3784.7461958523536</v>
          </cell>
          <cell r="EZ174">
            <v>4490.2673339078228</v>
          </cell>
          <cell r="FA174">
            <v>15421.537298630066</v>
          </cell>
        </row>
        <row r="175"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U175">
            <v>0</v>
          </cell>
          <cell r="V175">
            <v>0</v>
          </cell>
          <cell r="W175">
            <v>0</v>
          </cell>
          <cell r="X175">
            <v>0</v>
          </cell>
          <cell r="Y175">
            <v>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M175">
            <v>0</v>
          </cell>
          <cell r="AN175">
            <v>0</v>
          </cell>
          <cell r="AO175">
            <v>0</v>
          </cell>
          <cell r="AP175">
            <v>0</v>
          </cell>
          <cell r="AQ175">
            <v>0</v>
          </cell>
          <cell r="AS175">
            <v>0.17428069399254323</v>
          </cell>
          <cell r="AT175">
            <v>0.24810250990252303</v>
          </cell>
          <cell r="AU175">
            <v>0.31424648630817598</v>
          </cell>
          <cell r="AV175">
            <v>0.41149479449131832</v>
          </cell>
          <cell r="AW175">
            <v>0.30405933666386048</v>
          </cell>
          <cell r="AY175">
            <v>0.28760633778439793</v>
          </cell>
          <cell r="AZ175">
            <v>0.35214345698791838</v>
          </cell>
          <cell r="BA175">
            <v>0.32570578866509747</v>
          </cell>
          <cell r="BB175">
            <v>0.39356701507189457</v>
          </cell>
          <cell r="BC175">
            <v>0.34460333343916605</v>
          </cell>
          <cell r="BE175">
            <v>0.32925381502877404</v>
          </cell>
          <cell r="BF175">
            <v>0.34445103987209075</v>
          </cell>
          <cell r="BG175">
            <v>0.3455962757176077</v>
          </cell>
          <cell r="BH175">
            <v>0.44213388628112443</v>
          </cell>
          <cell r="BI175">
            <v>0.36917279218112076</v>
          </cell>
          <cell r="BK175">
            <v>0.28599605522682447</v>
          </cell>
          <cell r="BL175">
            <v>0.34387180597661327</v>
          </cell>
          <cell r="BM175">
            <v>0.34503684438664933</v>
          </cell>
          <cell r="BN175">
            <v>0.44868263050081236</v>
          </cell>
          <cell r="BO175">
            <v>0.36308757413935033</v>
          </cell>
          <cell r="BQ175">
            <v>0.29729729729729731</v>
          </cell>
          <cell r="BR175">
            <v>0.36629303442754202</v>
          </cell>
          <cell r="BS175">
            <v>0.36946990833001198</v>
          </cell>
          <cell r="BT175">
            <v>0.45693857653558662</v>
          </cell>
          <cell r="BU175">
            <v>0.38046474990153606</v>
          </cell>
          <cell r="BW175">
            <v>0.33566591422121894</v>
          </cell>
          <cell r="BX175">
            <v>0.41883164005805512</v>
          </cell>
          <cell r="BY175">
            <v>0.331393469123828</v>
          </cell>
          <cell r="BZ175">
            <v>0.41257509247842172</v>
          </cell>
          <cell r="CA175">
            <v>0.37922204802376436</v>
          </cell>
          <cell r="CC175">
            <v>0.30065359477124182</v>
          </cell>
          <cell r="CD175">
            <v>0.36888626988803769</v>
          </cell>
          <cell r="CE175">
            <v>0.3708974649162517</v>
          </cell>
          <cell r="CF175">
            <v>0.42674701235568169</v>
          </cell>
          <cell r="CG175">
            <v>0.37527754461021906</v>
          </cell>
          <cell r="CI175">
            <v>0.32723299644905762</v>
          </cell>
          <cell r="CJ175">
            <v>0.36385199240986715</v>
          </cell>
          <cell r="CK175">
            <v>0.37581478984041355</v>
          </cell>
          <cell r="CL175">
            <v>0.44297127315995238</v>
          </cell>
          <cell r="CM175">
            <v>0.38497446317754958</v>
          </cell>
          <cell r="CO175">
            <v>0.33725234051817982</v>
          </cell>
          <cell r="CP175">
            <v>0.39149888143176736</v>
          </cell>
          <cell r="CQ175">
            <v>0.39750512008936884</v>
          </cell>
          <cell r="CR175">
            <v>0.47218788627935721</v>
          </cell>
          <cell r="CS175">
            <v>0.40789066301030563</v>
          </cell>
          <cell r="CU175">
            <v>0.36831427517521209</v>
          </cell>
          <cell r="CV175">
            <v>0.42904870757868824</v>
          </cell>
          <cell r="CW175">
            <v>0.4394985465116279</v>
          </cell>
          <cell r="CX175">
            <v>0.49571283243714576</v>
          </cell>
          <cell r="CY175">
            <v>0.43700519281518685</v>
          </cell>
          <cell r="DA175">
            <v>0.43946276910922377</v>
          </cell>
          <cell r="DB175">
            <v>0.46628065395095369</v>
          </cell>
          <cell r="DC175">
            <v>0.41880236188827402</v>
          </cell>
          <cell r="DE175">
            <v>0.43776308099750688</v>
          </cell>
          <cell r="DG175">
            <v>0.36004217185028992</v>
          </cell>
          <cell r="DH175">
            <v>0.42155509546813896</v>
          </cell>
          <cell r="DI175">
            <v>0.42250482570682413</v>
          </cell>
          <cell r="DJ175">
            <v>0.47010919859337408</v>
          </cell>
          <cell r="DK175">
            <v>0.42340158796489763</v>
          </cell>
          <cell r="DM175">
            <v>0.40426291974279588</v>
          </cell>
          <cell r="DN175">
            <v>0.42673930314379754</v>
          </cell>
          <cell r="DO175">
            <v>0.44418324134236781</v>
          </cell>
          <cell r="DP175">
            <v>0.48347785283898648</v>
          </cell>
          <cell r="DQ175">
            <v>0.44260707888902334</v>
          </cell>
          <cell r="DS175">
            <v>0.4123522962602022</v>
          </cell>
          <cell r="DT175">
            <v>0.44606605947547462</v>
          </cell>
          <cell r="DU175">
            <v>0.44526198439241915</v>
          </cell>
          <cell r="DV175">
            <v>0.490257431194557</v>
          </cell>
          <cell r="DW175">
            <v>0.4514458353239616</v>
          </cell>
          <cell r="DY175">
            <v>0.42166805870421192</v>
          </cell>
          <cell r="DZ175">
            <v>0.43692771733275881</v>
          </cell>
          <cell r="EA175">
            <v>0.44659151905528716</v>
          </cell>
          <cell r="EB175">
            <v>0.49090588027547238</v>
          </cell>
          <cell r="EC175">
            <v>0.45189922986555281</v>
          </cell>
          <cell r="EE175">
            <v>0.41911850215141294</v>
          </cell>
          <cell r="EF175">
            <v>0.43099500416319736</v>
          </cell>
          <cell r="EG175">
            <v>0.42479108635097496</v>
          </cell>
          <cell r="EH175">
            <v>0.4412808065720687</v>
          </cell>
          <cell r="EI175">
            <v>0.42969178887930359</v>
          </cell>
          <cell r="EK175">
            <v>0.38101999763341615</v>
          </cell>
          <cell r="EL175">
            <v>0.3852823477100934</v>
          </cell>
          <cell r="EM175">
            <v>0.39639298081247409</v>
          </cell>
          <cell r="EN175">
            <v>0.4481955706036192</v>
          </cell>
          <cell r="EO175">
            <v>0.40473756465365424</v>
          </cell>
          <cell r="EQ175">
            <v>0.39524791751398258</v>
          </cell>
          <cell r="ER175">
            <v>0.40095473342300103</v>
          </cell>
          <cell r="ES175">
            <v>0.39980418469037549</v>
          </cell>
          <cell r="ET175">
            <v>0.44436818255466842</v>
          </cell>
          <cell r="EU175">
            <v>0.41136896945982454</v>
          </cell>
          <cell r="EW175">
            <v>0.39786685943303091</v>
          </cell>
          <cell r="EX175">
            <v>0.40392019361146431</v>
          </cell>
          <cell r="EY175">
            <v>0.41118470842452698</v>
          </cell>
          <cell r="EZ175">
            <v>0.44127331078351267</v>
          </cell>
          <cell r="FA175">
            <v>0.41451959763136548</v>
          </cell>
        </row>
        <row r="176"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U176">
            <v>0</v>
          </cell>
          <cell r="V176">
            <v>0</v>
          </cell>
          <cell r="W176">
            <v>0</v>
          </cell>
          <cell r="X176">
            <v>0</v>
          </cell>
          <cell r="Y176">
            <v>0</v>
          </cell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M176">
            <v>0</v>
          </cell>
          <cell r="AN176">
            <v>0</v>
          </cell>
          <cell r="AO176">
            <v>0</v>
          </cell>
          <cell r="AP176">
            <v>0</v>
          </cell>
          <cell r="AQ176">
            <v>0</v>
          </cell>
          <cell r="AS176">
            <v>236.73649999999995</v>
          </cell>
          <cell r="AT176">
            <v>384.48474999999991</v>
          </cell>
          <cell r="AU176">
            <v>763.1759999999997</v>
          </cell>
          <cell r="AV176">
            <v>4912.4070000000011</v>
          </cell>
          <cell r="AW176">
            <v>6296.804250000001</v>
          </cell>
          <cell r="AY176">
            <v>500.67673500000018</v>
          </cell>
          <cell r="AZ176">
            <v>622.99324499999989</v>
          </cell>
          <cell r="BA176">
            <v>582.71299500000009</v>
          </cell>
          <cell r="BB176">
            <v>855.06037499999979</v>
          </cell>
          <cell r="BC176">
            <v>2561.44335</v>
          </cell>
          <cell r="BE176">
            <v>510.64714999999984</v>
          </cell>
          <cell r="BF176">
            <v>549.46190000000001</v>
          </cell>
          <cell r="BG176">
            <v>507.9749999999998</v>
          </cell>
          <cell r="BH176">
            <v>656.12099999999998</v>
          </cell>
          <cell r="BI176">
            <v>2224.2050499999996</v>
          </cell>
          <cell r="BK176">
            <v>343</v>
          </cell>
          <cell r="BL176">
            <v>535</v>
          </cell>
          <cell r="BM176">
            <v>571.00000000000011</v>
          </cell>
          <cell r="BN176">
            <v>858.40000000000009</v>
          </cell>
          <cell r="BO176">
            <v>2307.4</v>
          </cell>
          <cell r="BQ176">
            <v>440</v>
          </cell>
          <cell r="BR176">
            <v>617</v>
          </cell>
          <cell r="BS176">
            <v>634</v>
          </cell>
          <cell r="BT176">
            <v>990</v>
          </cell>
          <cell r="BU176">
            <v>2681</v>
          </cell>
          <cell r="BW176">
            <v>528.65650406504062</v>
          </cell>
          <cell r="BX176">
            <v>831.45537261698428</v>
          </cell>
          <cell r="BY176">
            <v>714.13231552162847</v>
          </cell>
          <cell r="BZ176">
            <v>1215.2919458581487</v>
          </cell>
          <cell r="CA176">
            <v>3289.5361380618019</v>
          </cell>
          <cell r="CC176">
            <v>630.99520613614573</v>
          </cell>
          <cell r="CD176">
            <v>892.16447127698507</v>
          </cell>
          <cell r="CE176">
            <v>946.36868911772899</v>
          </cell>
          <cell r="CF176">
            <v>1470.3709720780435</v>
          </cell>
          <cell r="CG176">
            <v>3939.8993386089032</v>
          </cell>
          <cell r="CI176">
            <v>832.98952879581157</v>
          </cell>
          <cell r="CJ176">
            <v>1070.8648068669527</v>
          </cell>
          <cell r="CK176">
            <v>1225.0260328239956</v>
          </cell>
          <cell r="CL176">
            <v>1817.0095494159095</v>
          </cell>
          <cell r="CM176">
            <v>4945.8899179026694</v>
          </cell>
          <cell r="CO176">
            <v>1051.5795795795796</v>
          </cell>
          <cell r="CP176">
            <v>1513.4993324432576</v>
          </cell>
          <cell r="CQ176">
            <v>1507.9378658262044</v>
          </cell>
          <cell r="CR176">
            <v>2340.6967283072545</v>
          </cell>
          <cell r="CS176">
            <v>6413.7135061562967</v>
          </cell>
          <cell r="CU176">
            <v>1404.7949451597519</v>
          </cell>
          <cell r="CV176">
            <v>1600.2048780487805</v>
          </cell>
          <cell r="CW176">
            <v>1657.9876288659793</v>
          </cell>
          <cell r="CX176">
            <v>2227.1812001182379</v>
          </cell>
          <cell r="CY176">
            <v>6890.1686521927504</v>
          </cell>
          <cell r="DA176">
            <v>1449.4672897196263</v>
          </cell>
          <cell r="DB176">
            <v>1836.0821917808219</v>
          </cell>
          <cell r="DC176">
            <v>1808.3062238135137</v>
          </cell>
          <cell r="DE176">
            <v>8051.2533686311444</v>
          </cell>
          <cell r="DG176">
            <v>1934.4251327433628</v>
          </cell>
          <cell r="DH176">
            <v>2492.0056345586263</v>
          </cell>
          <cell r="DI176">
            <v>2631.0091792656585</v>
          </cell>
          <cell r="DJ176">
            <v>3732.3180827886708</v>
          </cell>
          <cell r="DK176">
            <v>10789.758029356319</v>
          </cell>
          <cell r="DM176">
            <v>2324.5813953488373</v>
          </cell>
          <cell r="DN176">
            <v>2631.3075701429325</v>
          </cell>
          <cell r="DO176">
            <v>3011.7519859224521</v>
          </cell>
          <cell r="DP176">
            <v>3956.8835026630268</v>
          </cell>
          <cell r="DQ176">
            <v>11924.524454077247</v>
          </cell>
          <cell r="DS176">
            <v>2380.4935521688158</v>
          </cell>
          <cell r="DT176">
            <v>2991.2367066895367</v>
          </cell>
          <cell r="DU176">
            <v>2989.3096085409252</v>
          </cell>
          <cell r="DV176">
            <v>4046.9625049292126</v>
          </cell>
          <cell r="DW176">
            <v>12408.00237232849</v>
          </cell>
          <cell r="DY176">
            <v>2664.6791277258567</v>
          </cell>
          <cell r="DZ176">
            <v>3017.5600396137656</v>
          </cell>
          <cell r="EA176">
            <v>2975.296195652174</v>
          </cell>
          <cell r="EB176">
            <v>4107.8311258278145</v>
          </cell>
          <cell r="EC176">
            <v>12765.366488819611</v>
          </cell>
          <cell r="EE176">
            <v>2641.7028539451594</v>
          </cell>
          <cell r="EF176">
            <v>2897.0565808644974</v>
          </cell>
          <cell r="EG176">
            <v>2891.5144726906619</v>
          </cell>
          <cell r="EH176">
            <v>3250.4898785425103</v>
          </cell>
          <cell r="EI176">
            <v>11680.763786042829</v>
          </cell>
          <cell r="EK176">
            <v>2109.065196548418</v>
          </cell>
          <cell r="EL176">
            <v>2551.9275320139695</v>
          </cell>
          <cell r="EM176">
            <v>2653.0145456276668</v>
          </cell>
          <cell r="EN176">
            <v>3526.4810688388588</v>
          </cell>
          <cell r="EO176">
            <v>10840.488343028912</v>
          </cell>
          <cell r="EQ176">
            <v>2531.637476041994</v>
          </cell>
          <cell r="ER176">
            <v>2732.2234015751624</v>
          </cell>
          <cell r="ES176">
            <v>2748.3269199341225</v>
          </cell>
          <cell r="ET176">
            <v>3498.124387993993</v>
          </cell>
          <cell r="EU176">
            <v>11510.312185545274</v>
          </cell>
          <cell r="EW176">
            <v>2591.5410272526783</v>
          </cell>
          <cell r="EX176">
            <v>2781.8667409048985</v>
          </cell>
          <cell r="EY176">
            <v>2861.1196679926952</v>
          </cell>
          <cell r="EZ176">
            <v>3443.5816281265816</v>
          </cell>
          <cell r="FA176">
            <v>11678.109064276852</v>
          </cell>
        </row>
        <row r="177">
          <cell r="AS177">
            <v>3.968889841141468E-2</v>
          </cell>
          <cell r="AT177">
            <v>6.3946504008249319E-2</v>
          </cell>
          <cell r="AU177">
            <v>0.12727283036526379</v>
          </cell>
          <cell r="AV177">
            <v>0.81742852169849989</v>
          </cell>
          <cell r="AW177">
            <v>1.0501951602460506</v>
          </cell>
          <cell r="AY177">
            <v>8.4390309411802408E-2</v>
          </cell>
          <cell r="AZ177">
            <v>0.10604163804958204</v>
          </cell>
          <cell r="BA177">
            <v>9.9586366901353959E-2</v>
          </cell>
          <cell r="BB177">
            <v>0.1474233892157836</v>
          </cell>
          <cell r="BC177">
            <v>0.43674821782239842</v>
          </cell>
          <cell r="BE177">
            <v>8.8346952086670941E-2</v>
          </cell>
          <cell r="BF177">
            <v>9.6466889986762325E-2</v>
          </cell>
          <cell r="BG177">
            <v>8.9600471589784583E-2</v>
          </cell>
          <cell r="BH177">
            <v>0.11694256576717107</v>
          </cell>
          <cell r="BI177">
            <v>0.39096865683710197</v>
          </cell>
          <cell r="BK177">
            <v>6.2194016319129644E-2</v>
          </cell>
          <cell r="BL177">
            <v>9.8708487084870844E-2</v>
          </cell>
          <cell r="BM177">
            <v>0.10607467954672117</v>
          </cell>
          <cell r="BN177">
            <v>0.16026885735623603</v>
          </cell>
          <cell r="BO177">
            <v>0.42587670727205612</v>
          </cell>
          <cell r="BQ177">
            <v>8.2289134093884428E-2</v>
          </cell>
          <cell r="BR177">
            <v>0.11560801948660296</v>
          </cell>
          <cell r="BS177">
            <v>0.11879332958590968</v>
          </cell>
          <cell r="BT177">
            <v>0.18739352640545145</v>
          </cell>
          <cell r="BU177">
            <v>0.5033796470146451</v>
          </cell>
          <cell r="BW177">
            <v>0.10086939592921973</v>
          </cell>
          <cell r="BX177">
            <v>0.1593436896544623</v>
          </cell>
          <cell r="BY177">
            <v>0.13654537581675497</v>
          </cell>
          <cell r="BZ177">
            <v>0.23219181235348657</v>
          </cell>
          <cell r="CA177">
            <v>0.62888422082145046</v>
          </cell>
          <cell r="CC177">
            <v>0.12032707973610712</v>
          </cell>
          <cell r="CD177">
            <v>0.17032540497842402</v>
          </cell>
          <cell r="CE177">
            <v>0.17842546929067288</v>
          </cell>
          <cell r="CF177">
            <v>0.27365921683939021</v>
          </cell>
          <cell r="CG177">
            <v>0.74481768299237261</v>
          </cell>
          <cell r="CI177">
            <v>0.156960529262448</v>
          </cell>
          <cell r="CJ177">
            <v>0.20193566035582738</v>
          </cell>
          <cell r="CK177">
            <v>0.23280616359254952</v>
          </cell>
          <cell r="CL177">
            <v>0.34781959215465341</v>
          </cell>
          <cell r="CM177">
            <v>0.93778724268158309</v>
          </cell>
          <cell r="CO177">
            <v>0.20145202673938306</v>
          </cell>
          <cell r="CP177">
            <v>0.28922211588825864</v>
          </cell>
          <cell r="CQ177">
            <v>0.29071483821596383</v>
          </cell>
          <cell r="CR177">
            <v>0.44729538091099835</v>
          </cell>
          <cell r="CS177">
            <v>1.2290928004898762</v>
          </cell>
          <cell r="CU177">
            <v>0.26834669439536807</v>
          </cell>
          <cell r="CV177">
            <v>0.30850296472889543</v>
          </cell>
          <cell r="CW177">
            <v>0.32792476836748008</v>
          </cell>
          <cell r="CX177">
            <v>0.44163815191715999</v>
          </cell>
          <cell r="CY177">
            <v>1.3430473470479509</v>
          </cell>
          <cell r="DA177">
            <v>0.28628625117906897</v>
          </cell>
          <cell r="DB177">
            <v>0.36257547231058884</v>
          </cell>
          <cell r="DC177">
            <v>0.35624630098768983</v>
          </cell>
          <cell r="DE177">
            <v>1.5870011075013344</v>
          </cell>
          <cell r="DG177">
            <v>0.3805676043170102</v>
          </cell>
          <cell r="DH177">
            <v>0.48700520511210205</v>
          </cell>
          <cell r="DI177">
            <v>0.51097478719472877</v>
          </cell>
          <cell r="DJ177">
            <v>0.72275718102026931</v>
          </cell>
          <cell r="DK177">
            <v>2.1039844058609307</v>
          </cell>
          <cell r="DM177">
            <v>0.45137502822307518</v>
          </cell>
          <cell r="DN177">
            <v>0.5136263068793544</v>
          </cell>
          <cell r="DO177">
            <v>0.59286456415796307</v>
          </cell>
          <cell r="DP177">
            <v>0.7871262189502739</v>
          </cell>
          <cell r="DQ177">
            <v>2.3404365955009316</v>
          </cell>
          <cell r="DS177">
            <v>0.48197885243345123</v>
          </cell>
          <cell r="DT177">
            <v>0.61446933169464601</v>
          </cell>
          <cell r="DU177">
            <v>0.62121978564857128</v>
          </cell>
          <cell r="DV177">
            <v>0.85091726344180252</v>
          </cell>
          <cell r="DW177">
            <v>2.5616521026742691</v>
          </cell>
          <cell r="DY177">
            <v>0.57010678813133431</v>
          </cell>
          <cell r="DZ177">
            <v>0.65599131295951429</v>
          </cell>
          <cell r="EA177">
            <v>0.6503379662627703</v>
          </cell>
          <cell r="EB177">
            <v>0.89906568742127702</v>
          </cell>
          <cell r="EC177">
            <v>2.7723675727700319</v>
          </cell>
          <cell r="EE177">
            <v>0.5808493522306859</v>
          </cell>
          <cell r="EF177">
            <v>0.64307582261143115</v>
          </cell>
          <cell r="EG177">
            <v>0.64341666058982239</v>
          </cell>
          <cell r="EH177">
            <v>0.72831948880629849</v>
          </cell>
          <cell r="EI177">
            <v>2.5942840168890235</v>
          </cell>
          <cell r="EK177">
            <v>0.47802928298921532</v>
          </cell>
          <cell r="EL177">
            <v>0.59127143929888082</v>
          </cell>
          <cell r="EM177">
            <v>0.61843165281695456</v>
          </cell>
          <cell r="EN177">
            <v>0.83039794542018941</v>
          </cell>
          <cell r="EO177">
            <v>2.511604301020951</v>
          </cell>
          <cell r="EQ177">
            <v>0.6017828520828119</v>
          </cell>
          <cell r="ER177">
            <v>0.65336669202030406</v>
          </cell>
          <cell r="ES177">
            <v>0.66156556058535643</v>
          </cell>
          <cell r="ET177">
            <v>0.85047190838277764</v>
          </cell>
          <cell r="EU177">
            <v>2.7642289715780626</v>
          </cell>
          <cell r="EW177">
            <v>0.6357978321199661</v>
          </cell>
          <cell r="EX177">
            <v>0.68608907869746782</v>
          </cell>
          <cell r="EY177">
            <v>0.7098185923713437</v>
          </cell>
          <cell r="EZ177">
            <v>0.86249663212643535</v>
          </cell>
          <cell r="FA177">
            <v>2.8916824563395673</v>
          </cell>
        </row>
        <row r="178">
          <cell r="CG178">
            <v>0</v>
          </cell>
          <cell r="CM178">
            <v>0</v>
          </cell>
          <cell r="CS178">
            <v>0</v>
          </cell>
          <cell r="CY178">
            <v>0</v>
          </cell>
          <cell r="DE178">
            <v>0</v>
          </cell>
          <cell r="DK178">
            <v>0</v>
          </cell>
          <cell r="DQ178">
            <v>0</v>
          </cell>
          <cell r="DW178">
            <v>0</v>
          </cell>
          <cell r="EC178">
            <v>0</v>
          </cell>
          <cell r="EI178">
            <v>0</v>
          </cell>
          <cell r="EO178">
            <v>0</v>
          </cell>
          <cell r="EU178">
            <v>0</v>
          </cell>
          <cell r="FA178">
            <v>0</v>
          </cell>
        </row>
        <row r="179"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U179">
            <v>0</v>
          </cell>
          <cell r="V179">
            <v>0</v>
          </cell>
          <cell r="W179">
            <v>0</v>
          </cell>
          <cell r="X179">
            <v>0</v>
          </cell>
          <cell r="Y179">
            <v>0</v>
          </cell>
          <cell r="AA179">
            <v>0</v>
          </cell>
          <cell r="AB179">
            <v>0</v>
          </cell>
          <cell r="AC179">
            <v>0</v>
          </cell>
          <cell r="AD179">
            <v>0</v>
          </cell>
          <cell r="AE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M179">
            <v>0</v>
          </cell>
          <cell r="AN179">
            <v>0</v>
          </cell>
          <cell r="AO179">
            <v>0</v>
          </cell>
          <cell r="AP179">
            <v>0</v>
          </cell>
          <cell r="AQ179">
            <v>0</v>
          </cell>
          <cell r="AS179">
            <v>0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0</v>
          </cell>
          <cell r="BK179">
            <v>0</v>
          </cell>
          <cell r="BL179">
            <v>0</v>
          </cell>
          <cell r="BM179">
            <v>0</v>
          </cell>
          <cell r="BN179">
            <v>0</v>
          </cell>
          <cell r="BO179">
            <v>0</v>
          </cell>
          <cell r="BQ179">
            <v>0</v>
          </cell>
          <cell r="BR179">
            <v>0</v>
          </cell>
          <cell r="BS179">
            <v>0</v>
          </cell>
          <cell r="BT179">
            <v>0</v>
          </cell>
          <cell r="BU179">
            <v>0</v>
          </cell>
          <cell r="BW179">
            <v>0</v>
          </cell>
          <cell r="BX179">
            <v>0</v>
          </cell>
          <cell r="BY179">
            <v>0</v>
          </cell>
          <cell r="BZ179">
            <v>0</v>
          </cell>
          <cell r="CA179">
            <v>0</v>
          </cell>
          <cell r="CC179">
            <v>0</v>
          </cell>
          <cell r="CD179">
            <v>0</v>
          </cell>
          <cell r="CE179">
            <v>0</v>
          </cell>
          <cell r="CF179">
            <v>0</v>
          </cell>
          <cell r="CG179">
            <v>0</v>
          </cell>
          <cell r="CI179">
            <v>0</v>
          </cell>
          <cell r="CJ179">
            <v>0</v>
          </cell>
          <cell r="CK179">
            <v>0</v>
          </cell>
          <cell r="CL179">
            <v>0</v>
          </cell>
          <cell r="CM179">
            <v>0</v>
          </cell>
          <cell r="CO179">
            <v>0</v>
          </cell>
          <cell r="CP179">
            <v>0</v>
          </cell>
          <cell r="CQ179">
            <v>0</v>
          </cell>
          <cell r="CR179">
            <v>0</v>
          </cell>
          <cell r="CS179">
            <v>0</v>
          </cell>
          <cell r="CU179">
            <v>0</v>
          </cell>
          <cell r="CV179">
            <v>0</v>
          </cell>
          <cell r="CW179">
            <v>0</v>
          </cell>
          <cell r="CX179">
            <v>0</v>
          </cell>
          <cell r="CY179">
            <v>0</v>
          </cell>
          <cell r="DA179">
            <v>0</v>
          </cell>
          <cell r="DB179">
            <v>0</v>
          </cell>
          <cell r="DC179">
            <v>0</v>
          </cell>
          <cell r="DE179">
            <v>0</v>
          </cell>
          <cell r="DG179">
            <v>0</v>
          </cell>
          <cell r="DH179">
            <v>0</v>
          </cell>
          <cell r="DI179">
            <v>0</v>
          </cell>
          <cell r="DJ179">
            <v>0</v>
          </cell>
          <cell r="DK179">
            <v>0</v>
          </cell>
          <cell r="DM179">
            <v>0</v>
          </cell>
          <cell r="DN179">
            <v>0</v>
          </cell>
          <cell r="DO179">
            <v>0</v>
          </cell>
          <cell r="DP179">
            <v>0</v>
          </cell>
          <cell r="DQ179">
            <v>0</v>
          </cell>
          <cell r="DS179">
            <v>0</v>
          </cell>
          <cell r="DT179">
            <v>0</v>
          </cell>
          <cell r="DU179">
            <v>0</v>
          </cell>
          <cell r="DV179">
            <v>0</v>
          </cell>
          <cell r="DW179">
            <v>0</v>
          </cell>
          <cell r="DY179">
            <v>0</v>
          </cell>
          <cell r="DZ179">
            <v>0</v>
          </cell>
          <cell r="EA179">
            <v>0</v>
          </cell>
          <cell r="EB179">
            <v>0</v>
          </cell>
          <cell r="EC179">
            <v>0</v>
          </cell>
          <cell r="EE179">
            <v>0</v>
          </cell>
          <cell r="EF179">
            <v>0</v>
          </cell>
          <cell r="EG179">
            <v>0</v>
          </cell>
          <cell r="EH179">
            <v>0</v>
          </cell>
          <cell r="EI179">
            <v>0</v>
          </cell>
          <cell r="EK179">
            <v>0</v>
          </cell>
          <cell r="EL179">
            <v>0</v>
          </cell>
          <cell r="EM179">
            <v>0</v>
          </cell>
          <cell r="EN179">
            <v>0</v>
          </cell>
          <cell r="EO179">
            <v>0</v>
          </cell>
          <cell r="EQ179">
            <v>0</v>
          </cell>
          <cell r="ER179">
            <v>0</v>
          </cell>
          <cell r="ES179">
            <v>0</v>
          </cell>
          <cell r="ET179">
            <v>0</v>
          </cell>
          <cell r="EU179">
            <v>0</v>
          </cell>
          <cell r="EW179">
            <v>0</v>
          </cell>
          <cell r="EX179">
            <v>0</v>
          </cell>
          <cell r="EY179">
            <v>0</v>
          </cell>
          <cell r="EZ179">
            <v>0</v>
          </cell>
          <cell r="FA179">
            <v>0</v>
          </cell>
        </row>
        <row r="180">
          <cell r="C180">
            <v>2.6065749999999994</v>
          </cell>
          <cell r="D180">
            <v>2.7318180000000005</v>
          </cell>
          <cell r="E180">
            <v>10.847620000000006</v>
          </cell>
          <cell r="F180">
            <v>28.385000000000005</v>
          </cell>
          <cell r="G180">
            <v>63.893000000000001</v>
          </cell>
          <cell r="H180">
            <v>123.08699999999999</v>
          </cell>
          <cell r="I180">
            <v>135.33899999999994</v>
          </cell>
          <cell r="J180">
            <v>26.778999999999996</v>
          </cell>
          <cell r="K180">
            <v>114.16700000000003</v>
          </cell>
          <cell r="L180">
            <v>241.14100000000008</v>
          </cell>
          <cell r="M180">
            <v>419.95299999999997</v>
          </cell>
          <cell r="O180">
            <v>87.543000000000006</v>
          </cell>
          <cell r="P180">
            <v>137.93200000000002</v>
          </cell>
          <cell r="Q180">
            <v>154.351</v>
          </cell>
          <cell r="R180">
            <v>269.3950000000001</v>
          </cell>
          <cell r="S180">
            <v>649.22100000000012</v>
          </cell>
          <cell r="U180">
            <v>74.19099999999996</v>
          </cell>
          <cell r="V180">
            <v>204.428</v>
          </cell>
          <cell r="W180">
            <v>219.94200000000001</v>
          </cell>
          <cell r="X180">
            <v>406.14599999999984</v>
          </cell>
          <cell r="Y180">
            <v>904.70699999999988</v>
          </cell>
          <cell r="AA180">
            <v>168.87400000000002</v>
          </cell>
          <cell r="AB180">
            <v>274.1880000000001</v>
          </cell>
          <cell r="AC180">
            <v>260.12799999999987</v>
          </cell>
          <cell r="AD180">
            <v>559.79500000000007</v>
          </cell>
          <cell r="AE180">
            <v>1262.9850000000001</v>
          </cell>
          <cell r="AG180">
            <v>48.974999999999994</v>
          </cell>
          <cell r="AH180">
            <v>272.00599999999997</v>
          </cell>
          <cell r="AI180">
            <v>318.27299999999991</v>
          </cell>
          <cell r="AJ180">
            <v>604.94399999999973</v>
          </cell>
          <cell r="AK180">
            <v>1244.1979999999996</v>
          </cell>
          <cell r="AM180">
            <v>277.8359999999999</v>
          </cell>
          <cell r="AN180">
            <v>382.06600000000049</v>
          </cell>
          <cell r="AO180">
            <v>406.67999999999995</v>
          </cell>
          <cell r="AP180">
            <v>806.29899999999998</v>
          </cell>
          <cell r="AQ180">
            <v>1872.8810000000003</v>
          </cell>
          <cell r="AS180">
            <v>345.86299999999994</v>
          </cell>
          <cell r="AT180">
            <v>576.06499999999983</v>
          </cell>
          <cell r="AU180">
            <v>769.72099999999966</v>
          </cell>
          <cell r="AV180">
            <v>1388.5110000000004</v>
          </cell>
          <cell r="AW180">
            <v>3080.16</v>
          </cell>
          <cell r="AY180">
            <v>658.04100000000028</v>
          </cell>
          <cell r="AZ180">
            <v>946.00099999999975</v>
          </cell>
          <cell r="BA180">
            <v>878.12300000000005</v>
          </cell>
          <cell r="BB180">
            <v>1294.9259999999997</v>
          </cell>
          <cell r="BC180">
            <v>3777.0909999999994</v>
          </cell>
          <cell r="BE180">
            <v>745.77799999999979</v>
          </cell>
          <cell r="BF180">
            <v>819.94400000000007</v>
          </cell>
          <cell r="BG180">
            <v>778.73899999999969</v>
          </cell>
          <cell r="BH180">
            <v>1226.471</v>
          </cell>
          <cell r="BI180">
            <v>3570.9319999999993</v>
          </cell>
          <cell r="BK180">
            <v>580</v>
          </cell>
          <cell r="BL180">
            <v>794</v>
          </cell>
          <cell r="BM180">
            <v>796</v>
          </cell>
          <cell r="BN180">
            <v>1270.4000000000001</v>
          </cell>
          <cell r="BO180">
            <v>3440.4</v>
          </cell>
          <cell r="BQ180">
            <v>616</v>
          </cell>
          <cell r="BR180">
            <v>915</v>
          </cell>
          <cell r="BS180">
            <v>927</v>
          </cell>
          <cell r="BT180">
            <v>1406</v>
          </cell>
          <cell r="BU180">
            <v>3864</v>
          </cell>
          <cell r="BW180">
            <v>715</v>
          </cell>
          <cell r="BX180">
            <v>1131</v>
          </cell>
          <cell r="BY180">
            <v>769</v>
          </cell>
          <cell r="BZ180">
            <v>1406.992</v>
          </cell>
          <cell r="CA180">
            <v>4021.9920000000002</v>
          </cell>
          <cell r="CC180">
            <v>712</v>
          </cell>
          <cell r="CD180">
            <v>1116</v>
          </cell>
          <cell r="CE180">
            <v>1051.9000000000001</v>
          </cell>
          <cell r="CF180">
            <v>1857.8500000000004</v>
          </cell>
          <cell r="CG180">
            <v>4737.75</v>
          </cell>
          <cell r="CI180">
            <v>945</v>
          </cell>
          <cell r="CJ180">
            <v>1359</v>
          </cell>
          <cell r="CK180">
            <v>1394</v>
          </cell>
          <cell r="CL180">
            <v>2277</v>
          </cell>
          <cell r="CM180">
            <v>5975</v>
          </cell>
          <cell r="CO180">
            <v>1217</v>
          </cell>
          <cell r="CP180">
            <v>1782</v>
          </cell>
          <cell r="CQ180">
            <v>1875</v>
          </cell>
          <cell r="CR180">
            <v>2971</v>
          </cell>
          <cell r="CS180">
            <v>7845</v>
          </cell>
          <cell r="CU180">
            <v>1521</v>
          </cell>
          <cell r="CV180">
            <v>1975</v>
          </cell>
          <cell r="CW180">
            <v>1940</v>
          </cell>
          <cell r="CX180">
            <v>2884</v>
          </cell>
          <cell r="CY180">
            <v>8320</v>
          </cell>
          <cell r="DA180">
            <v>1740</v>
          </cell>
          <cell r="DB180">
            <v>2178</v>
          </cell>
          <cell r="DC180">
            <v>1843.3999999999996</v>
          </cell>
          <cell r="DE180">
            <v>9062.0999999999985</v>
          </cell>
          <cell r="DG180">
            <v>1917</v>
          </cell>
          <cell r="DH180">
            <v>2815</v>
          </cell>
          <cell r="DI180">
            <v>2987</v>
          </cell>
          <cell r="DJ180">
            <v>4359</v>
          </cell>
          <cell r="DK180">
            <v>12078</v>
          </cell>
          <cell r="DM180">
            <v>2684</v>
          </cell>
          <cell r="DN180">
            <v>3113</v>
          </cell>
          <cell r="DO180">
            <v>3317.3392000000003</v>
          </cell>
          <cell r="DP180">
            <v>4596.1597000000002</v>
          </cell>
          <cell r="DQ180">
            <v>13710.498900000001</v>
          </cell>
          <cell r="DS180">
            <v>2879</v>
          </cell>
          <cell r="DT180">
            <v>3471</v>
          </cell>
          <cell r="DU180">
            <v>3334</v>
          </cell>
          <cell r="DV180">
            <v>4996.711703323539</v>
          </cell>
          <cell r="DW180">
            <v>14680.711703323539</v>
          </cell>
          <cell r="DY180">
            <v>2873</v>
          </cell>
          <cell r="DZ180">
            <v>3410</v>
          </cell>
          <cell r="EA180">
            <v>3567</v>
          </cell>
          <cell r="EB180">
            <v>4928</v>
          </cell>
          <cell r="EC180">
            <v>14778</v>
          </cell>
          <cell r="EE180">
            <v>2963</v>
          </cell>
          <cell r="EF180">
            <v>3542</v>
          </cell>
          <cell r="EG180">
            <v>3383</v>
          </cell>
          <cell r="EH180">
            <v>3981</v>
          </cell>
          <cell r="EI180">
            <v>13869</v>
          </cell>
          <cell r="EK180">
            <v>2654</v>
          </cell>
          <cell r="EL180">
            <v>2955</v>
          </cell>
          <cell r="EM180">
            <v>3199.521352106347</v>
          </cell>
          <cell r="EN180">
            <v>4242.7289171702032</v>
          </cell>
          <cell r="EO180">
            <v>13051.25026927655</v>
          </cell>
          <cell r="EQ180">
            <v>3197.62945850099</v>
          </cell>
          <cell r="ER180">
            <v>3439.2898286046266</v>
          </cell>
          <cell r="ES180">
            <v>3460.3155628549803</v>
          </cell>
          <cell r="ET180">
            <v>4371.0333334455681</v>
          </cell>
          <cell r="EU180">
            <v>14468.268183406166</v>
          </cell>
          <cell r="EW180">
            <v>3249.5156339669606</v>
          </cell>
          <cell r="EX180">
            <v>3479.2185504688055</v>
          </cell>
          <cell r="EY180">
            <v>3577.573201547877</v>
          </cell>
          <cell r="EZ180">
            <v>4284.2337910720216</v>
          </cell>
          <cell r="FA180">
            <v>14590.541177055666</v>
          </cell>
        </row>
        <row r="181">
          <cell r="C181">
            <v>0.20499999999999996</v>
          </cell>
          <cell r="D181">
            <v>0.11800000000000004</v>
          </cell>
          <cell r="E181">
            <v>0.19600000000000012</v>
          </cell>
          <cell r="F181">
            <v>0.21626831442525282</v>
          </cell>
          <cell r="G181">
            <v>0.22648016929386453</v>
          </cell>
          <cell r="H181">
            <v>0.21083761562178829</v>
          </cell>
          <cell r="I181">
            <v>0.14768712011261576</v>
          </cell>
          <cell r="J181">
            <v>2.6050903303568556E-2</v>
          </cell>
          <cell r="K181">
            <v>9.6833757421543709E-2</v>
          </cell>
          <cell r="L181">
            <v>0.16043978709248174</v>
          </cell>
          <cell r="M181">
            <v>0.20985614749940909</v>
          </cell>
          <cell r="O181">
            <v>0.15731732300161372</v>
          </cell>
          <cell r="P181">
            <v>0.20578265799367432</v>
          </cell>
          <cell r="Q181">
            <v>0.21371002914523465</v>
          </cell>
          <cell r="R181">
            <v>0.26466308863823707</v>
          </cell>
          <cell r="S181">
            <v>0.21882295126392126</v>
          </cell>
          <cell r="U181">
            <v>9.6126861388203935E-2</v>
          </cell>
          <cell r="V181">
            <v>0.21140434332988625</v>
          </cell>
          <cell r="W181">
            <v>0.21557889866982149</v>
          </cell>
          <cell r="X181">
            <v>0.27740810915295255</v>
          </cell>
          <cell r="Y181">
            <v>0.21422736197632267</v>
          </cell>
          <cell r="AA181">
            <v>0.16047795392841907</v>
          </cell>
          <cell r="AB181">
            <v>0.20908467689970747</v>
          </cell>
          <cell r="AC181">
            <v>0.18951299455855358</v>
          </cell>
          <cell r="AD181">
            <v>0.28736452345984231</v>
          </cell>
          <cell r="AE181">
            <v>0.22218690098544497</v>
          </cell>
          <cell r="AG181">
            <v>3.5778783017296548E-2</v>
          </cell>
          <cell r="AH181">
            <v>0.1685576308756066</v>
          </cell>
          <cell r="AI181">
            <v>0.18199955739991314</v>
          </cell>
          <cell r="AJ181">
            <v>0.25074848096601393</v>
          </cell>
          <cell r="AK181">
            <v>0.17416314558015861</v>
          </cell>
          <cell r="AM181">
            <v>0.15884421219934705</v>
          </cell>
          <cell r="AN181">
            <v>0.18583482818598193</v>
          </cell>
          <cell r="AO181">
            <v>0.19562080310930671</v>
          </cell>
          <cell r="AP181">
            <v>0.27394592016112651</v>
          </cell>
          <cell r="AQ181">
            <v>0.21217033341746674</v>
          </cell>
          <cell r="AS181">
            <v>0.17428069399254323</v>
          </cell>
          <cell r="AT181">
            <v>0.24810250990252303</v>
          </cell>
          <cell r="AU181">
            <v>0.31424648630817598</v>
          </cell>
          <cell r="AV181">
            <v>0.41149479449131832</v>
          </cell>
          <cell r="AW181">
            <v>0.30405933666386048</v>
          </cell>
          <cell r="AY181">
            <v>0.28760633778439793</v>
          </cell>
          <cell r="AZ181">
            <v>0.35214345698791838</v>
          </cell>
          <cell r="BA181">
            <v>0.32570578866509747</v>
          </cell>
          <cell r="BB181">
            <v>0.39356701507189457</v>
          </cell>
          <cell r="BC181">
            <v>0.34460333343916605</v>
          </cell>
          <cell r="BE181">
            <v>0.32925381502877404</v>
          </cell>
          <cell r="BF181">
            <v>0.34445103987209075</v>
          </cell>
          <cell r="BG181">
            <v>0.3455962757176077</v>
          </cell>
          <cell r="BH181">
            <v>0.44213388628112443</v>
          </cell>
          <cell r="BI181">
            <v>0.36917279218112076</v>
          </cell>
          <cell r="BK181">
            <v>0.28599605522682447</v>
          </cell>
          <cell r="BL181">
            <v>0.34387180597661327</v>
          </cell>
          <cell r="BM181">
            <v>0.34503684438664933</v>
          </cell>
          <cell r="BN181">
            <v>0.44868263050081236</v>
          </cell>
          <cell r="BO181">
            <v>0.36308757413935033</v>
          </cell>
          <cell r="BQ181">
            <v>0.29729729729729731</v>
          </cell>
          <cell r="BR181">
            <v>0.36629303442754202</v>
          </cell>
          <cell r="BS181">
            <v>0.36946990833001198</v>
          </cell>
          <cell r="BT181">
            <v>0.45693857653558662</v>
          </cell>
          <cell r="BU181">
            <v>0.38046474990153606</v>
          </cell>
          <cell r="BW181">
            <v>0.32279909706546278</v>
          </cell>
          <cell r="BX181">
            <v>0.41037735849056606</v>
          </cell>
          <cell r="BY181">
            <v>0.24862592951826706</v>
          </cell>
          <cell r="BZ181">
            <v>0.34697706535141798</v>
          </cell>
          <cell r="CA181">
            <v>0.33187490717055862</v>
          </cell>
          <cell r="CC181">
            <v>0.24492604059167528</v>
          </cell>
          <cell r="CD181">
            <v>0.32881555686505598</v>
          </cell>
          <cell r="CE181">
            <v>0.2976177003168855</v>
          </cell>
          <cell r="CF181">
            <v>0.37631152521774364</v>
          </cell>
          <cell r="CG181">
            <v>0.32071633586959464</v>
          </cell>
          <cell r="CI181">
            <v>0.25812619502868067</v>
          </cell>
          <cell r="CJ181">
            <v>0.32234345351043642</v>
          </cell>
          <cell r="CK181">
            <v>0.31332883794111038</v>
          </cell>
          <cell r="CL181">
            <v>0.38704742478327386</v>
          </cell>
          <cell r="CM181">
            <v>0.32813443901367456</v>
          </cell>
          <cell r="CO181">
            <v>0.26496843021989985</v>
          </cell>
          <cell r="CP181">
            <v>0.33221476510067116</v>
          </cell>
          <cell r="CQ181">
            <v>0.34909700242040587</v>
          </cell>
          <cell r="CR181">
            <v>0.40804834500755388</v>
          </cell>
          <cell r="CS181">
            <v>0.34698571365385467</v>
          </cell>
          <cell r="CU181">
            <v>0.28052379195868682</v>
          </cell>
          <cell r="CV181">
            <v>0.34728327765078248</v>
          </cell>
          <cell r="CW181">
            <v>0.35247093023255816</v>
          </cell>
          <cell r="CX181">
            <v>0.41912512716174977</v>
          </cell>
          <cell r="CY181">
            <v>0.35413297012003064</v>
          </cell>
          <cell r="DA181">
            <v>0.34366976101125812</v>
          </cell>
          <cell r="DB181">
            <v>0.37091280653950953</v>
          </cell>
          <cell r="DC181">
            <v>0.28494141651466903</v>
          </cell>
          <cell r="DE181">
            <v>0.33519385694311893</v>
          </cell>
          <cell r="DG181">
            <v>0.25263574064312072</v>
          </cell>
          <cell r="DH181">
            <v>0.32378651943869335</v>
          </cell>
          <cell r="DI181">
            <v>0.33916203020324742</v>
          </cell>
          <cell r="DJ181">
            <v>0.40338700721821208</v>
          </cell>
          <cell r="DK181">
            <v>0.33648140409527788</v>
          </cell>
          <cell r="DM181">
            <v>0.31959990473922362</v>
          </cell>
          <cell r="DN181">
            <v>0.35330836454431958</v>
          </cell>
          <cell r="DO181">
            <v>0.36605771719513658</v>
          </cell>
          <cell r="DP181">
            <v>0.41973449026501414</v>
          </cell>
          <cell r="DQ181">
            <v>0.36834891944665876</v>
          </cell>
          <cell r="DS181">
            <v>0.3507126324765501</v>
          </cell>
          <cell r="DT181">
            <v>0.38088445078459343</v>
          </cell>
          <cell r="DU181">
            <v>0.37168338907469345</v>
          </cell>
          <cell r="DV181">
            <v>0.45586275917558061</v>
          </cell>
          <cell r="DW181">
            <v>0.39408132776752314</v>
          </cell>
          <cell r="DY181">
            <v>0.34279918864097364</v>
          </cell>
          <cell r="DZ181">
            <v>0.36733814499622969</v>
          </cell>
          <cell r="EA181">
            <v>0.38293075684380035</v>
          </cell>
          <cell r="EB181">
            <v>0.43510506798516685</v>
          </cell>
          <cell r="EC181">
            <v>0.38579819866858112</v>
          </cell>
          <cell r="EE181">
            <v>0.34457495057564835</v>
          </cell>
          <cell r="EF181">
            <v>0.3686511240632806</v>
          </cell>
          <cell r="EG181">
            <v>0.36243839725733878</v>
          </cell>
          <cell r="EH181">
            <v>0.37163928304705002</v>
          </cell>
          <cell r="EI181">
            <v>0.36255979923143283</v>
          </cell>
          <cell r="EK181">
            <v>0.31404567506803927</v>
          </cell>
          <cell r="EL181">
            <v>0.32847932414406406</v>
          </cell>
          <cell r="EM181">
            <v>0.35043096849853456</v>
          </cell>
          <cell r="EN181">
            <v>0.40824271739803447</v>
          </cell>
          <cell r="EO181">
            <v>0.35302358792631178</v>
          </cell>
          <cell r="EQ181">
            <v>0.37043979397141052</v>
          </cell>
          <cell r="ER181">
            <v>0.37757479182296738</v>
          </cell>
          <cell r="ES181">
            <v>0.37674490810568928</v>
          </cell>
          <cell r="ET181">
            <v>0.42393958142416793</v>
          </cell>
          <cell r="EU181">
            <v>0.3885542585572283</v>
          </cell>
          <cell r="EW181">
            <v>0.37377266167696072</v>
          </cell>
          <cell r="EX181">
            <v>0.38110167219958535</v>
          </cell>
          <cell r="EY181">
            <v>0.38867689340911671</v>
          </cell>
          <cell r="EZ181">
            <v>0.42102571819741902</v>
          </cell>
          <cell r="FA181">
            <v>0.39218303213352462</v>
          </cell>
        </row>
        <row r="182">
          <cell r="C182">
            <v>-0.30515999999999999</v>
          </cell>
          <cell r="D182">
            <v>-0.16205699999999998</v>
          </cell>
          <cell r="E182">
            <v>-0.38741500000000001</v>
          </cell>
          <cell r="F182">
            <v>-0.11899999999999994</v>
          </cell>
          <cell r="G182">
            <v>1.0840000000000001</v>
          </cell>
          <cell r="H182">
            <v>-2.7149999999999999</v>
          </cell>
          <cell r="I182">
            <v>-17.135000000000002</v>
          </cell>
          <cell r="J182">
            <v>-40.021000000000001</v>
          </cell>
          <cell r="K182">
            <v>-17.533000000000001</v>
          </cell>
          <cell r="L182">
            <v>68.462000000000003</v>
          </cell>
          <cell r="M182">
            <v>3.2389999999999999</v>
          </cell>
          <cell r="O182">
            <v>3.8</v>
          </cell>
          <cell r="P182">
            <v>2.1659999999999999</v>
          </cell>
          <cell r="Q182">
            <v>1.5329999999999999</v>
          </cell>
          <cell r="R182">
            <v>1.762</v>
          </cell>
          <cell r="S182">
            <v>9.2609999999999992</v>
          </cell>
          <cell r="U182">
            <v>7.2679999999999998</v>
          </cell>
          <cell r="V182">
            <v>2.8140000000000001</v>
          </cell>
          <cell r="W182">
            <v>1.7090000000000001</v>
          </cell>
          <cell r="X182">
            <v>2.8279999999999998</v>
          </cell>
          <cell r="Y182">
            <v>14.619</v>
          </cell>
          <cell r="AA182">
            <v>7.33</v>
          </cell>
          <cell r="AB182">
            <v>6.2750000000000004</v>
          </cell>
          <cell r="AC182">
            <v>4.33</v>
          </cell>
          <cell r="AD182">
            <v>2.6070000000000002</v>
          </cell>
          <cell r="AE182">
            <v>20.542000000000002</v>
          </cell>
          <cell r="AG182">
            <v>39.973999999999997</v>
          </cell>
          <cell r="AH182">
            <v>16.248000000000001</v>
          </cell>
          <cell r="AI182">
            <v>12.615</v>
          </cell>
          <cell r="AJ182">
            <v>14.782</v>
          </cell>
          <cell r="AK182">
            <v>83.618999999999986</v>
          </cell>
          <cell r="AM182">
            <v>22.166</v>
          </cell>
          <cell r="AN182">
            <v>28.654</v>
          </cell>
          <cell r="AO182">
            <v>37.655999999999999</v>
          </cell>
          <cell r="AP182">
            <v>20.721</v>
          </cell>
          <cell r="AQ182">
            <v>109.197</v>
          </cell>
          <cell r="AS182">
            <v>18.347000000000001</v>
          </cell>
          <cell r="AT182">
            <v>15.450000000000001</v>
          </cell>
          <cell r="AU182">
            <v>439.60899999999998</v>
          </cell>
          <cell r="AV182">
            <v>6569.8680000000004</v>
          </cell>
          <cell r="AW182">
            <v>7043.2740000000003</v>
          </cell>
          <cell r="AY182">
            <v>118.202</v>
          </cell>
          <cell r="AZ182">
            <v>19.88</v>
          </cell>
          <cell r="BA182">
            <v>25.307999999999996</v>
          </cell>
          <cell r="BB182">
            <v>30.749000000000002</v>
          </cell>
          <cell r="BC182">
            <v>194.13899999999998</v>
          </cell>
          <cell r="BE182">
            <v>39.832999999999998</v>
          </cell>
          <cell r="BF182">
            <v>25.381999999999998</v>
          </cell>
          <cell r="BG182">
            <v>2.761000000000001</v>
          </cell>
          <cell r="BH182">
            <v>-230.50399999999999</v>
          </cell>
          <cell r="BI182">
            <v>-162.52799999999999</v>
          </cell>
          <cell r="BK182">
            <v>-58</v>
          </cell>
          <cell r="BL182">
            <v>6</v>
          </cell>
          <cell r="BM182">
            <v>33</v>
          </cell>
          <cell r="BN182">
            <v>4</v>
          </cell>
          <cell r="BO182">
            <v>-15</v>
          </cell>
          <cell r="BQ182">
            <v>48</v>
          </cell>
          <cell r="BR182">
            <v>1</v>
          </cell>
          <cell r="BS182">
            <v>19</v>
          </cell>
          <cell r="BT182">
            <v>13</v>
          </cell>
          <cell r="BU182">
            <v>81</v>
          </cell>
          <cell r="BW182">
            <v>23</v>
          </cell>
          <cell r="BX182">
            <v>23</v>
          </cell>
          <cell r="BY182">
            <v>1</v>
          </cell>
          <cell r="BZ182">
            <v>-18</v>
          </cell>
          <cell r="CA182">
            <v>29</v>
          </cell>
          <cell r="CC182">
            <v>21</v>
          </cell>
          <cell r="CD182">
            <v>5.5</v>
          </cell>
          <cell r="CE182">
            <v>26</v>
          </cell>
          <cell r="CF182">
            <v>20.599999999999994</v>
          </cell>
          <cell r="CG182">
            <v>73.099999999999994</v>
          </cell>
          <cell r="CI182">
            <v>19</v>
          </cell>
          <cell r="CJ182">
            <v>-3</v>
          </cell>
          <cell r="CK182">
            <v>12</v>
          </cell>
          <cell r="CL182">
            <v>-17.5</v>
          </cell>
          <cell r="CM182">
            <v>10.5</v>
          </cell>
          <cell r="CO182">
            <v>-17</v>
          </cell>
          <cell r="CP182">
            <v>33</v>
          </cell>
          <cell r="CQ182">
            <v>2</v>
          </cell>
          <cell r="CR182">
            <v>-29</v>
          </cell>
          <cell r="CS182">
            <v>-11</v>
          </cell>
          <cell r="CU182">
            <v>-77</v>
          </cell>
          <cell r="CV182">
            <v>-149</v>
          </cell>
          <cell r="CW182">
            <v>-130</v>
          </cell>
          <cell r="CX182">
            <v>-130</v>
          </cell>
          <cell r="CY182">
            <v>-486</v>
          </cell>
          <cell r="DA182">
            <v>-178</v>
          </cell>
          <cell r="DB182">
            <v>-155</v>
          </cell>
          <cell r="DC182">
            <v>-261</v>
          </cell>
          <cell r="DE182">
            <v>-819</v>
          </cell>
          <cell r="DG182">
            <v>-122</v>
          </cell>
          <cell r="DH182">
            <v>-124</v>
          </cell>
          <cell r="DI182">
            <v>-188</v>
          </cell>
          <cell r="DJ182">
            <v>-189</v>
          </cell>
          <cell r="DK182">
            <v>-623</v>
          </cell>
          <cell r="DM182">
            <v>-212</v>
          </cell>
          <cell r="DN182">
            <v>-151</v>
          </cell>
          <cell r="DO182">
            <v>-169</v>
          </cell>
          <cell r="DP182">
            <v>-214</v>
          </cell>
          <cell r="DQ182">
            <v>-746</v>
          </cell>
          <cell r="DS182">
            <v>-177</v>
          </cell>
          <cell r="DT182">
            <v>-191</v>
          </cell>
          <cell r="DU182">
            <v>-244</v>
          </cell>
          <cell r="DV182">
            <v>-175</v>
          </cell>
          <cell r="DW182">
            <v>-787</v>
          </cell>
          <cell r="DY182">
            <v>-210</v>
          </cell>
          <cell r="DZ182">
            <v>-207</v>
          </cell>
          <cell r="EA182">
            <v>-318</v>
          </cell>
          <cell r="EB182">
            <v>-320</v>
          </cell>
          <cell r="EC182">
            <v>-1055</v>
          </cell>
          <cell r="EE182">
            <v>-245</v>
          </cell>
          <cell r="EF182">
            <v>-273</v>
          </cell>
          <cell r="EG182">
            <v>-233</v>
          </cell>
          <cell r="EH182">
            <v>-285</v>
          </cell>
          <cell r="EI182">
            <v>-1036</v>
          </cell>
          <cell r="EK182">
            <v>-344</v>
          </cell>
          <cell r="EL182">
            <v>-287</v>
          </cell>
          <cell r="EM182">
            <v>-295.57787500000006</v>
          </cell>
          <cell r="EN182">
            <v>-274.05624522036914</v>
          </cell>
          <cell r="EO182">
            <v>-1200.6341202203691</v>
          </cell>
          <cell r="EQ182">
            <v>-261.18869554614577</v>
          </cell>
          <cell r="ER182">
            <v>-258.19531447784846</v>
          </cell>
          <cell r="ES182">
            <v>-258.60550332404245</v>
          </cell>
          <cell r="ET182">
            <v>-257.72791381427623</v>
          </cell>
          <cell r="EU182">
            <v>-1035.717427162313</v>
          </cell>
          <cell r="EW182">
            <v>-242.08587531226431</v>
          </cell>
          <cell r="EX182">
            <v>-239.61811978606119</v>
          </cell>
          <cell r="EY182">
            <v>-240.69276308250932</v>
          </cell>
          <cell r="EZ182">
            <v>-238.99042509484804</v>
          </cell>
          <cell r="FA182">
            <v>-961.3871832756829</v>
          </cell>
        </row>
        <row r="183">
          <cell r="C183">
            <v>2.3014149999999995</v>
          </cell>
          <cell r="D183">
            <v>2.5697610000000006</v>
          </cell>
          <cell r="E183">
            <v>10.460205000000006</v>
          </cell>
          <cell r="F183">
            <v>28.266000000000005</v>
          </cell>
          <cell r="G183">
            <v>64.977000000000004</v>
          </cell>
          <cell r="H183">
            <v>120.37199999999999</v>
          </cell>
          <cell r="I183">
            <v>118.20399999999994</v>
          </cell>
          <cell r="J183">
            <v>-13.242000000000004</v>
          </cell>
          <cell r="K183">
            <v>96.634000000000029</v>
          </cell>
          <cell r="L183">
            <v>309.60300000000007</v>
          </cell>
          <cell r="M183">
            <v>423.19199999999995</v>
          </cell>
          <cell r="O183">
            <v>91.343000000000004</v>
          </cell>
          <cell r="P183">
            <v>140.09800000000001</v>
          </cell>
          <cell r="Q183">
            <v>155.88399999999999</v>
          </cell>
          <cell r="R183">
            <v>271.1570000000001</v>
          </cell>
          <cell r="S183">
            <v>658.4820000000002</v>
          </cell>
          <cell r="U183">
            <v>81.458999999999961</v>
          </cell>
          <cell r="V183">
            <v>207.24199999999999</v>
          </cell>
          <cell r="W183">
            <v>221.65100000000001</v>
          </cell>
          <cell r="X183">
            <v>408.97399999999982</v>
          </cell>
          <cell r="Y183">
            <v>919.32599999999979</v>
          </cell>
          <cell r="AA183">
            <v>176.20400000000004</v>
          </cell>
          <cell r="AB183">
            <v>280.46300000000008</v>
          </cell>
          <cell r="AC183">
            <v>264.45799999999986</v>
          </cell>
          <cell r="AD183">
            <v>562.40200000000004</v>
          </cell>
          <cell r="AE183">
            <v>1283.527</v>
          </cell>
          <cell r="AG183">
            <v>88.948999999999984</v>
          </cell>
          <cell r="AH183">
            <v>288.25399999999996</v>
          </cell>
          <cell r="AI183">
            <v>330.88799999999992</v>
          </cell>
          <cell r="AJ183">
            <v>619.72599999999977</v>
          </cell>
          <cell r="AK183">
            <v>1327.8169999999996</v>
          </cell>
          <cell r="AM183">
            <v>300.0019999999999</v>
          </cell>
          <cell r="AN183">
            <v>410.72000000000048</v>
          </cell>
          <cell r="AO183">
            <v>444.33599999999996</v>
          </cell>
          <cell r="AP183">
            <v>827.02</v>
          </cell>
          <cell r="AQ183">
            <v>1982.0780000000004</v>
          </cell>
          <cell r="AS183">
            <v>364.20999999999992</v>
          </cell>
          <cell r="AT183">
            <v>591.51499999999987</v>
          </cell>
          <cell r="AU183">
            <v>1209.3299999999997</v>
          </cell>
          <cell r="AV183">
            <v>7958.3790000000008</v>
          </cell>
          <cell r="AW183">
            <v>10123.434000000001</v>
          </cell>
          <cell r="AY183">
            <v>776.24300000000028</v>
          </cell>
          <cell r="AZ183">
            <v>965.88099999999974</v>
          </cell>
          <cell r="BA183">
            <v>903.43100000000004</v>
          </cell>
          <cell r="BB183">
            <v>1325.6749999999997</v>
          </cell>
          <cell r="BC183">
            <v>3971.23</v>
          </cell>
          <cell r="BE183">
            <v>785.61099999999976</v>
          </cell>
          <cell r="BF183">
            <v>845.32600000000002</v>
          </cell>
          <cell r="BG183">
            <v>781.49999999999966</v>
          </cell>
          <cell r="BH183">
            <v>995.96699999999998</v>
          </cell>
          <cell r="BI183">
            <v>3408.4039999999995</v>
          </cell>
          <cell r="BK183">
            <v>522</v>
          </cell>
          <cell r="BL183">
            <v>800</v>
          </cell>
          <cell r="BM183">
            <v>829</v>
          </cell>
          <cell r="BN183">
            <v>1274.4000000000001</v>
          </cell>
          <cell r="BO183">
            <v>3425.4</v>
          </cell>
          <cell r="BQ183">
            <v>664</v>
          </cell>
          <cell r="BR183">
            <v>916</v>
          </cell>
          <cell r="BS183">
            <v>946</v>
          </cell>
          <cell r="BT183">
            <v>1419</v>
          </cell>
          <cell r="BU183">
            <v>3945</v>
          </cell>
          <cell r="BW183">
            <v>738</v>
          </cell>
          <cell r="BX183">
            <v>1154</v>
          </cell>
          <cell r="BY183">
            <v>770</v>
          </cell>
          <cell r="BZ183">
            <v>1388.992</v>
          </cell>
          <cell r="CA183">
            <v>4050.9920000000002</v>
          </cell>
          <cell r="CC183">
            <v>733</v>
          </cell>
          <cell r="CD183">
            <v>1121.5</v>
          </cell>
          <cell r="CE183">
            <v>1077.9000000000001</v>
          </cell>
          <cell r="CF183">
            <v>1878.4500000000003</v>
          </cell>
          <cell r="CG183">
            <v>4810.8500000000004</v>
          </cell>
          <cell r="CI183">
            <v>964</v>
          </cell>
          <cell r="CJ183">
            <v>1356</v>
          </cell>
          <cell r="CK183">
            <v>1406</v>
          </cell>
          <cell r="CL183">
            <v>2259.5</v>
          </cell>
          <cell r="CM183">
            <v>5985.5</v>
          </cell>
          <cell r="CO183">
            <v>1200</v>
          </cell>
          <cell r="CP183">
            <v>1815</v>
          </cell>
          <cell r="CQ183">
            <v>1877</v>
          </cell>
          <cell r="CR183">
            <v>2942</v>
          </cell>
          <cell r="CS183">
            <v>7834</v>
          </cell>
          <cell r="CU183">
            <v>1444</v>
          </cell>
          <cell r="CV183">
            <v>1826</v>
          </cell>
          <cell r="CW183">
            <v>1810</v>
          </cell>
          <cell r="CX183">
            <v>2754</v>
          </cell>
          <cell r="CY183">
            <v>7834</v>
          </cell>
          <cell r="DA183">
            <v>1562</v>
          </cell>
          <cell r="DB183">
            <v>2023</v>
          </cell>
          <cell r="DC183">
            <v>1582.3999999999996</v>
          </cell>
          <cell r="DE183">
            <v>8243.0999999999985</v>
          </cell>
          <cell r="DG183">
            <v>1795</v>
          </cell>
          <cell r="DH183">
            <v>2691</v>
          </cell>
          <cell r="DI183">
            <v>2799</v>
          </cell>
          <cell r="DJ183">
            <v>4170</v>
          </cell>
          <cell r="DK183">
            <v>11455</v>
          </cell>
          <cell r="DM183">
            <v>2472</v>
          </cell>
          <cell r="DN183">
            <v>2962</v>
          </cell>
          <cell r="DO183">
            <v>3148.3392000000003</v>
          </cell>
          <cell r="DP183">
            <v>4382.1597000000002</v>
          </cell>
          <cell r="DQ183">
            <v>12964.498900000001</v>
          </cell>
          <cell r="DS183">
            <v>2702</v>
          </cell>
          <cell r="DT183">
            <v>3280</v>
          </cell>
          <cell r="DU183">
            <v>3090</v>
          </cell>
          <cell r="DV183">
            <v>4821.711703323539</v>
          </cell>
          <cell r="DW183">
            <v>13893.711703323539</v>
          </cell>
          <cell r="DY183">
            <v>2663</v>
          </cell>
          <cell r="DZ183">
            <v>3203</v>
          </cell>
          <cell r="EA183">
            <v>3249</v>
          </cell>
          <cell r="EB183">
            <v>4608</v>
          </cell>
          <cell r="EC183">
            <v>13723</v>
          </cell>
          <cell r="EE183">
            <v>2718</v>
          </cell>
          <cell r="EF183">
            <v>3269</v>
          </cell>
          <cell r="EG183">
            <v>3150</v>
          </cell>
          <cell r="EH183">
            <v>3696</v>
          </cell>
          <cell r="EI183">
            <v>12833</v>
          </cell>
          <cell r="EK183">
            <v>2310</v>
          </cell>
          <cell r="EL183">
            <v>2668</v>
          </cell>
          <cell r="EM183">
            <v>2903.943477106347</v>
          </cell>
          <cell r="EN183">
            <v>3968.6726719498342</v>
          </cell>
          <cell r="EO183">
            <v>11850.616149056181</v>
          </cell>
          <cell r="EQ183">
            <v>2936.4407629548441</v>
          </cell>
          <cell r="ER183">
            <v>3181.094514126778</v>
          </cell>
          <cell r="ES183">
            <v>3201.710059530938</v>
          </cell>
          <cell r="ET183">
            <v>4113.3054196312914</v>
          </cell>
          <cell r="EU183">
            <v>13432.550756243852</v>
          </cell>
          <cell r="EW183">
            <v>3007.4297586546963</v>
          </cell>
          <cell r="EX183">
            <v>3239.6004306827444</v>
          </cell>
          <cell r="EY183">
            <v>3336.8804384653677</v>
          </cell>
          <cell r="EZ183">
            <v>4045.2433659771737</v>
          </cell>
          <cell r="FA183">
            <v>13629.153993779983</v>
          </cell>
        </row>
        <row r="184">
          <cell r="C184">
            <v>0.91547999999999996</v>
          </cell>
          <cell r="D184">
            <v>1.0186439999999999</v>
          </cell>
          <cell r="E184">
            <v>4.5936349999999999</v>
          </cell>
          <cell r="F184">
            <v>13.15587128</v>
          </cell>
          <cell r="G184">
            <v>22.093</v>
          </cell>
          <cell r="H184">
            <v>38.478999999999999</v>
          </cell>
          <cell r="I184">
            <v>37.329000000000001</v>
          </cell>
          <cell r="J184">
            <v>-0.84099999999999997</v>
          </cell>
          <cell r="K184">
            <v>34.619999999999997</v>
          </cell>
          <cell r="L184">
            <v>76.314999999999998</v>
          </cell>
          <cell r="M184">
            <v>139.74299999999999</v>
          </cell>
          <cell r="O184">
            <v>30.143000000000001</v>
          </cell>
          <cell r="P184">
            <v>46.231999999999999</v>
          </cell>
          <cell r="Q184">
            <v>51.606999999999999</v>
          </cell>
          <cell r="R184">
            <v>89.481999999999999</v>
          </cell>
          <cell r="S184">
            <v>217.464</v>
          </cell>
          <cell r="U184">
            <v>27.696000000000002</v>
          </cell>
          <cell r="V184">
            <v>70.525000000000006</v>
          </cell>
          <cell r="W184">
            <v>75.361000000000004</v>
          </cell>
          <cell r="X184">
            <v>142.649</v>
          </cell>
          <cell r="Y184">
            <v>316.23099999999999</v>
          </cell>
          <cell r="AA184">
            <v>63.433999999999997</v>
          </cell>
          <cell r="AB184">
            <v>100.967</v>
          </cell>
          <cell r="AC184">
            <v>95.203999999999994</v>
          </cell>
          <cell r="AD184">
            <v>202.465</v>
          </cell>
          <cell r="AE184">
            <v>462.07000000000005</v>
          </cell>
          <cell r="AG184">
            <v>80.478999999999999</v>
          </cell>
          <cell r="AH184">
            <v>100.93</v>
          </cell>
          <cell r="AI184">
            <v>115.81100000000001</v>
          </cell>
          <cell r="AJ184">
            <v>216.904</v>
          </cell>
          <cell r="AK184">
            <v>514.12400000000002</v>
          </cell>
          <cell r="AM184">
            <v>105.001</v>
          </cell>
          <cell r="AN184">
            <v>136.64500000000001</v>
          </cell>
          <cell r="AO184">
            <v>151.07400000000001</v>
          </cell>
          <cell r="AP184">
            <v>299.60000000000002</v>
          </cell>
          <cell r="AQ184">
            <v>692.32</v>
          </cell>
          <cell r="AS184">
            <v>127.474</v>
          </cell>
          <cell r="AT184">
            <v>207.03100000000001</v>
          </cell>
          <cell r="AU184">
            <v>446.154</v>
          </cell>
          <cell r="AV184">
            <v>3045.9720000000002</v>
          </cell>
          <cell r="AW184">
            <v>3826.6310000000003</v>
          </cell>
          <cell r="AY184">
            <v>275.56599999999997</v>
          </cell>
          <cell r="AZ184">
            <v>343.06900000000002</v>
          </cell>
          <cell r="BA184">
            <v>320.71800000000002</v>
          </cell>
          <cell r="BB184">
            <v>470.78100000000001</v>
          </cell>
          <cell r="BC184">
            <v>1410.134</v>
          </cell>
          <cell r="BE184">
            <v>274.964</v>
          </cell>
          <cell r="BF184">
            <v>295.86399999999998</v>
          </cell>
          <cell r="BG184">
            <v>273.52499999999998</v>
          </cell>
          <cell r="BH184">
            <v>339.846</v>
          </cell>
          <cell r="BI184">
            <v>1184.1990000000001</v>
          </cell>
          <cell r="BK184">
            <v>179</v>
          </cell>
          <cell r="BL184">
            <v>265</v>
          </cell>
          <cell r="BM184">
            <v>258</v>
          </cell>
          <cell r="BN184">
            <v>416</v>
          </cell>
          <cell r="BO184">
            <v>1118</v>
          </cell>
          <cell r="BQ184">
            <v>224</v>
          </cell>
          <cell r="BR184">
            <v>299</v>
          </cell>
          <cell r="BS184">
            <v>312</v>
          </cell>
          <cell r="BT184">
            <v>429</v>
          </cell>
          <cell r="BU184">
            <v>1264</v>
          </cell>
          <cell r="BW184">
            <v>229</v>
          </cell>
          <cell r="BX184">
            <v>339</v>
          </cell>
          <cell r="BY184">
            <v>232</v>
          </cell>
          <cell r="BZ184">
            <v>365</v>
          </cell>
          <cell r="CA184">
            <v>1165</v>
          </cell>
          <cell r="CC184">
            <v>214</v>
          </cell>
          <cell r="CD184">
            <v>324</v>
          </cell>
          <cell r="CE184">
            <v>313</v>
          </cell>
          <cell r="CF184">
            <v>578</v>
          </cell>
          <cell r="CG184">
            <v>1429</v>
          </cell>
          <cell r="CI184">
            <v>292</v>
          </cell>
          <cell r="CJ184">
            <v>386.5</v>
          </cell>
          <cell r="CK184">
            <v>373</v>
          </cell>
          <cell r="CL184">
            <v>660</v>
          </cell>
          <cell r="CM184">
            <v>1711.5</v>
          </cell>
          <cell r="CO184">
            <v>360</v>
          </cell>
          <cell r="CP184">
            <v>512</v>
          </cell>
          <cell r="CQ184">
            <v>537</v>
          </cell>
          <cell r="CR184">
            <v>905</v>
          </cell>
          <cell r="CS184">
            <v>2314</v>
          </cell>
          <cell r="CU184">
            <v>367</v>
          </cell>
          <cell r="CV184">
            <v>530</v>
          </cell>
          <cell r="CW184">
            <v>481</v>
          </cell>
          <cell r="CX184">
            <v>863</v>
          </cell>
          <cell r="CY184">
            <v>2241</v>
          </cell>
          <cell r="DA184">
            <v>438</v>
          </cell>
          <cell r="DB184">
            <v>565</v>
          </cell>
          <cell r="DC184">
            <v>393</v>
          </cell>
          <cell r="DE184">
            <v>2107</v>
          </cell>
          <cell r="DG184">
            <v>443</v>
          </cell>
          <cell r="DH184">
            <v>776</v>
          </cell>
          <cell r="DI184">
            <v>683</v>
          </cell>
          <cell r="DJ184">
            <v>961</v>
          </cell>
          <cell r="DK184">
            <v>2863</v>
          </cell>
          <cell r="DM184">
            <v>631</v>
          </cell>
          <cell r="DN184">
            <v>768</v>
          </cell>
          <cell r="DO184">
            <v>650</v>
          </cell>
          <cell r="DP184">
            <v>931</v>
          </cell>
          <cell r="DQ184">
            <v>2980</v>
          </cell>
          <cell r="DS184">
            <v>668</v>
          </cell>
          <cell r="DT184">
            <v>699</v>
          </cell>
          <cell r="DU184">
            <v>586</v>
          </cell>
          <cell r="DV184">
            <v>1018</v>
          </cell>
          <cell r="DW184">
            <v>2971</v>
          </cell>
          <cell r="DY184">
            <v>472</v>
          </cell>
          <cell r="DZ184">
            <v>650</v>
          </cell>
          <cell r="EA184">
            <v>684</v>
          </cell>
          <cell r="EB184">
            <v>943</v>
          </cell>
          <cell r="EC184">
            <v>2749</v>
          </cell>
          <cell r="EE184">
            <v>534</v>
          </cell>
          <cell r="EF184">
            <v>767</v>
          </cell>
          <cell r="EG184">
            <v>655</v>
          </cell>
          <cell r="EH184">
            <v>939</v>
          </cell>
          <cell r="EI184">
            <v>2895</v>
          </cell>
          <cell r="EK184">
            <v>563</v>
          </cell>
          <cell r="EL184">
            <v>471</v>
          </cell>
          <cell r="EM184">
            <v>512.65269029875913</v>
          </cell>
          <cell r="EN184">
            <v>700.61650243192344</v>
          </cell>
          <cell r="EO184">
            <v>2247.2691927306823</v>
          </cell>
          <cell r="EQ184">
            <v>518.38965492943464</v>
          </cell>
          <cell r="ER184">
            <v>561.58002854337042</v>
          </cell>
          <cell r="ES184">
            <v>565.21942954987696</v>
          </cell>
          <cell r="ET184">
            <v>726.14949499487943</v>
          </cell>
          <cell r="EU184">
            <v>2371.3386080175615</v>
          </cell>
          <cell r="EW184">
            <v>530.92182021227961</v>
          </cell>
          <cell r="EX184">
            <v>571.90847183342305</v>
          </cell>
          <cell r="EY184">
            <v>589.08196646071519</v>
          </cell>
          <cell r="EZ184">
            <v>714.13404249447103</v>
          </cell>
          <cell r="FA184">
            <v>2406.0463010008889</v>
          </cell>
        </row>
        <row r="185">
          <cell r="C185">
            <v>0.39779005524861882</v>
          </cell>
          <cell r="D185">
            <v>0.39639639639639623</v>
          </cell>
          <cell r="E185">
            <v>0.43915343915343891</v>
          </cell>
          <cell r="F185">
            <v>0.46543095167338844</v>
          </cell>
          <cell r="G185">
            <v>0.34001261985010078</v>
          </cell>
          <cell r="H185">
            <v>0.31966736450337291</v>
          </cell>
          <cell r="I185">
            <v>0.31580149571926519</v>
          </cell>
          <cell r="J185">
            <v>6.3510043800030183E-2</v>
          </cell>
          <cell r="K185">
            <v>0.358258997868245</v>
          </cell>
          <cell r="L185">
            <v>0.24649308953724602</v>
          </cell>
          <cell r="M185">
            <v>0.33021181874893668</v>
          </cell>
          <cell r="O185">
            <v>0.32999791992818278</v>
          </cell>
          <cell r="P185">
            <v>0.3299975731273822</v>
          </cell>
          <cell r="Q185">
            <v>0.33106027558954099</v>
          </cell>
          <cell r="R185">
            <v>0.33000070070106974</v>
          </cell>
          <cell r="S185">
            <v>0.33025048520688483</v>
          </cell>
          <cell r="U185">
            <v>0.3399992634331383</v>
          </cell>
          <cell r="V185">
            <v>0.34030264135648186</v>
          </cell>
          <cell r="W185">
            <v>0.33999846605699952</v>
          </cell>
          <cell r="X185">
            <v>0.34879723405399871</v>
          </cell>
          <cell r="Y185">
            <v>0.34398135155537868</v>
          </cell>
          <cell r="AA185">
            <v>0.360003178134435</v>
          </cell>
          <cell r="AB185">
            <v>0.36000114097046659</v>
          </cell>
          <cell r="AC185">
            <v>0.35999667243948014</v>
          </cell>
          <cell r="AD185">
            <v>0.36000049786451682</v>
          </cell>
          <cell r="AE185">
            <v>0.36000021814889754</v>
          </cell>
          <cell r="AG185">
            <v>0.90477689462500999</v>
          </cell>
          <cell r="AH185">
            <v>0.35014258258341607</v>
          </cell>
          <cell r="AI185">
            <v>0.35000060443412889</v>
          </cell>
          <cell r="AJ185">
            <v>0.34999983863836609</v>
          </cell>
          <cell r="AK185">
            <v>0.38719492219183832</v>
          </cell>
          <cell r="AM185">
            <v>0.35000099999333351</v>
          </cell>
          <cell r="AN185">
            <v>0.33269624074795445</v>
          </cell>
          <cell r="AO185">
            <v>0.3399994598682079</v>
          </cell>
          <cell r="AP185">
            <v>0.36226451597301157</v>
          </cell>
          <cell r="AQ185">
            <v>0.34928998757869262</v>
          </cell>
          <cell r="AS185">
            <v>0.3500013728343539</v>
          </cell>
          <cell r="AT185">
            <v>0.35000126793065273</v>
          </cell>
          <cell r="AU185">
            <v>0.3689265957182904</v>
          </cell>
          <cell r="AV185">
            <v>0.38273774093945512</v>
          </cell>
          <cell r="AW185">
            <v>0.37799732778422812</v>
          </cell>
          <cell r="AY185">
            <v>0.35499965861205818</v>
          </cell>
          <cell r="AZ185">
            <v>0.35518764733957919</v>
          </cell>
          <cell r="BA185">
            <v>0.35499999446554303</v>
          </cell>
          <cell r="BB185">
            <v>0.35512550210270249</v>
          </cell>
          <cell r="BC185">
            <v>0.35508746660354601</v>
          </cell>
          <cell r="BE185">
            <v>0.35000019093419016</v>
          </cell>
          <cell r="BF185">
            <v>0.34999988170244373</v>
          </cell>
          <cell r="BG185">
            <v>0.35000000000000014</v>
          </cell>
          <cell r="BH185">
            <v>0.34122214892662106</v>
          </cell>
          <cell r="BI185">
            <v>0.34743504584550428</v>
          </cell>
          <cell r="BK185">
            <v>0.34291187739463602</v>
          </cell>
          <cell r="BL185">
            <v>0.33124999999999999</v>
          </cell>
          <cell r="BM185">
            <v>0.31121833534378768</v>
          </cell>
          <cell r="BN185">
            <v>0.32642812303829249</v>
          </cell>
          <cell r="BO185">
            <v>0.32638523968003735</v>
          </cell>
          <cell r="BQ185">
            <v>0.33734939759036142</v>
          </cell>
          <cell r="BR185">
            <v>0.32641921397379914</v>
          </cell>
          <cell r="BS185">
            <v>0.32980972515856238</v>
          </cell>
          <cell r="BT185">
            <v>0.30232558139534882</v>
          </cell>
          <cell r="BU185">
            <v>0.32040557667934094</v>
          </cell>
          <cell r="BW185">
            <v>0.31029810298102983</v>
          </cell>
          <cell r="BX185">
            <v>0.29376083188908148</v>
          </cell>
          <cell r="BY185">
            <v>0.30129870129870129</v>
          </cell>
          <cell r="BZ185">
            <v>0.26278049117633506</v>
          </cell>
          <cell r="CA185">
            <v>0.28758388068897689</v>
          </cell>
          <cell r="CC185">
            <v>0.29195088676671216</v>
          </cell>
          <cell r="CD185">
            <v>0.28889879625501558</v>
          </cell>
          <cell r="CE185">
            <v>0.29037944150663325</v>
          </cell>
          <cell r="CF185">
            <v>0.30770049775080516</v>
          </cell>
          <cell r="CG185">
            <v>0.29703690616003409</v>
          </cell>
          <cell r="CI185">
            <v>0.30290456431535268</v>
          </cell>
          <cell r="CJ185">
            <v>0.28502949852507375</v>
          </cell>
          <cell r="CK185">
            <v>0.26529160739687058</v>
          </cell>
          <cell r="CL185">
            <v>0.29210002212878955</v>
          </cell>
          <cell r="CM185">
            <v>0.28594102414167571</v>
          </cell>
          <cell r="CO185">
            <v>0.3</v>
          </cell>
          <cell r="CP185">
            <v>0.2820936639118457</v>
          </cell>
          <cell r="CQ185">
            <v>0.28609483217900905</v>
          </cell>
          <cell r="CR185">
            <v>0.30761386811692726</v>
          </cell>
          <cell r="CS185">
            <v>0.29537911667092165</v>
          </cell>
          <cell r="CU185">
            <v>0.25415512465373963</v>
          </cell>
          <cell r="CV185">
            <v>0.29025191675794088</v>
          </cell>
          <cell r="CW185">
            <v>0.26574585635359116</v>
          </cell>
          <cell r="CX185">
            <v>0.31336238198983296</v>
          </cell>
          <cell r="CY185">
            <v>0.28606076078631604</v>
          </cell>
          <cell r="DA185">
            <v>0.28040973111395645</v>
          </cell>
          <cell r="DB185">
            <v>0.27928818586258031</v>
          </cell>
          <cell r="DC185">
            <v>0.24835692618806882</v>
          </cell>
          <cell r="DE185">
            <v>0.25560772039645285</v>
          </cell>
          <cell r="DG185">
            <v>0.2467966573816156</v>
          </cell>
          <cell r="DH185">
            <v>0.28836863619472314</v>
          </cell>
          <cell r="DI185">
            <v>0.24401571989996426</v>
          </cell>
          <cell r="DJ185">
            <v>0.23045563549160672</v>
          </cell>
          <cell r="DK185">
            <v>0.24993452640768224</v>
          </cell>
          <cell r="DM185">
            <v>0.25525889967637538</v>
          </cell>
          <cell r="DN185">
            <v>0.25928426738690075</v>
          </cell>
          <cell r="DO185">
            <v>0.20645805890292887</v>
          </cell>
          <cell r="DP185">
            <v>0.21245232116939963</v>
          </cell>
          <cell r="DQ185">
            <v>0.22985847914260688</v>
          </cell>
          <cell r="DS185">
            <v>0.24722427831236121</v>
          </cell>
          <cell r="DT185">
            <v>0.21310975609756097</v>
          </cell>
          <cell r="DU185">
            <v>0.18964401294498381</v>
          </cell>
          <cell r="DV185">
            <v>0.21112834251336651</v>
          </cell>
          <cell r="DW185">
            <v>0.21383774641655345</v>
          </cell>
          <cell r="DY185">
            <v>0.17724371010138942</v>
          </cell>
          <cell r="DZ185">
            <v>0.20293474867311895</v>
          </cell>
          <cell r="EA185">
            <v>0.21052631578947367</v>
          </cell>
          <cell r="EB185">
            <v>0.20464409722222221</v>
          </cell>
          <cell r="EC185">
            <v>0.20032062959994171</v>
          </cell>
          <cell r="EE185">
            <v>0.19646799116997793</v>
          </cell>
          <cell r="EF185">
            <v>0.2346283267054145</v>
          </cell>
          <cell r="EG185">
            <v>0.20793650793650795</v>
          </cell>
          <cell r="EH185">
            <v>0.25405844155844154</v>
          </cell>
          <cell r="EI185">
            <v>0.22559027507207979</v>
          </cell>
          <cell r="EK185">
            <v>0.24372294372294373</v>
          </cell>
          <cell r="EL185">
            <v>0.1765367316341829</v>
          </cell>
          <cell r="EM185">
            <v>0.1765367316341829</v>
          </cell>
          <cell r="EN185">
            <v>0.1765367316341829</v>
          </cell>
          <cell r="EO185">
            <v>0.18963310974422723</v>
          </cell>
          <cell r="EQ185">
            <v>0.1765367316341829</v>
          </cell>
          <cell r="ER185">
            <v>0.1765367316341829</v>
          </cell>
          <cell r="ES185">
            <v>0.1765367316341829</v>
          </cell>
          <cell r="ET185">
            <v>0.1765367316341829</v>
          </cell>
          <cell r="EU185">
            <v>0.1765367316341829</v>
          </cell>
          <cell r="EW185">
            <v>0.1765367316341829</v>
          </cell>
          <cell r="EX185">
            <v>0.1765367316341829</v>
          </cell>
          <cell r="EY185">
            <v>0.1765367316341829</v>
          </cell>
          <cell r="EZ185">
            <v>0.1765367316341829</v>
          </cell>
          <cell r="FA185">
            <v>0.1765367316341829</v>
          </cell>
        </row>
        <row r="186">
          <cell r="C186">
            <v>1.3859349999999995</v>
          </cell>
          <cell r="D186">
            <v>1.5511170000000007</v>
          </cell>
          <cell r="E186">
            <v>5.8665700000000056</v>
          </cell>
          <cell r="F186">
            <v>15.110128720000006</v>
          </cell>
          <cell r="G186">
            <v>42.884</v>
          </cell>
          <cell r="H186">
            <v>81.892999999999986</v>
          </cell>
          <cell r="I186">
            <v>80.874999999999943</v>
          </cell>
          <cell r="J186">
            <v>-12.401000000000005</v>
          </cell>
          <cell r="K186">
            <v>62.014000000000031</v>
          </cell>
          <cell r="L186">
            <v>233.28800000000007</v>
          </cell>
          <cell r="M186">
            <v>283.44899999999996</v>
          </cell>
          <cell r="O186">
            <v>61.2</v>
          </cell>
          <cell r="P186">
            <v>93.866000000000014</v>
          </cell>
          <cell r="Q186">
            <v>104.27699999999999</v>
          </cell>
          <cell r="R186">
            <v>181.6750000000001</v>
          </cell>
          <cell r="S186">
            <v>441.01800000000014</v>
          </cell>
          <cell r="U186">
            <v>53.762999999999963</v>
          </cell>
          <cell r="V186">
            <v>136.71699999999998</v>
          </cell>
          <cell r="W186">
            <v>146.29000000000002</v>
          </cell>
          <cell r="X186">
            <v>266.32499999999982</v>
          </cell>
          <cell r="Y186">
            <v>603.0949999999998</v>
          </cell>
          <cell r="AA186">
            <v>112.77000000000004</v>
          </cell>
          <cell r="AB186">
            <v>179.49600000000009</v>
          </cell>
          <cell r="AC186">
            <v>169.25399999999985</v>
          </cell>
          <cell r="AD186">
            <v>359.93700000000001</v>
          </cell>
          <cell r="AE186">
            <v>821.45699999999999</v>
          </cell>
          <cell r="AG186">
            <v>8.4699999999999847</v>
          </cell>
          <cell r="AH186">
            <v>187.32399999999996</v>
          </cell>
          <cell r="AI186">
            <v>215.07699999999991</v>
          </cell>
          <cell r="AJ186">
            <v>402.82199999999978</v>
          </cell>
          <cell r="AK186">
            <v>813.69299999999964</v>
          </cell>
          <cell r="AM186">
            <v>195.00099999999989</v>
          </cell>
          <cell r="AN186">
            <v>274.0750000000005</v>
          </cell>
          <cell r="AO186">
            <v>293.26199999999994</v>
          </cell>
          <cell r="AP186">
            <v>527.41999999999996</v>
          </cell>
          <cell r="AQ186">
            <v>1289.7580000000003</v>
          </cell>
          <cell r="AS186">
            <v>236.73599999999993</v>
          </cell>
          <cell r="AT186">
            <v>384.48399999999987</v>
          </cell>
          <cell r="AU186">
            <v>763.1759999999997</v>
          </cell>
          <cell r="AV186">
            <v>4912.4070000000011</v>
          </cell>
          <cell r="AW186">
            <v>6296.8030000000008</v>
          </cell>
          <cell r="AY186">
            <v>500.67700000000031</v>
          </cell>
          <cell r="AZ186">
            <v>622.81199999999967</v>
          </cell>
          <cell r="BA186">
            <v>582.71299999999997</v>
          </cell>
          <cell r="BB186">
            <v>854.89399999999978</v>
          </cell>
          <cell r="BC186">
            <v>2561.096</v>
          </cell>
          <cell r="BE186">
            <v>510.64699999999976</v>
          </cell>
          <cell r="BF186">
            <v>549.46199999999999</v>
          </cell>
          <cell r="BG186">
            <v>507.97499999999968</v>
          </cell>
          <cell r="BH186">
            <v>656.12099999999998</v>
          </cell>
          <cell r="BI186">
            <v>2224.2049999999995</v>
          </cell>
          <cell r="BK186">
            <v>343</v>
          </cell>
          <cell r="BL186">
            <v>535</v>
          </cell>
          <cell r="BM186">
            <v>571</v>
          </cell>
          <cell r="BN186">
            <v>858.40000000000009</v>
          </cell>
          <cell r="BO186">
            <v>2307.4</v>
          </cell>
          <cell r="BQ186">
            <v>440</v>
          </cell>
          <cell r="BR186">
            <v>617</v>
          </cell>
          <cell r="BS186">
            <v>634</v>
          </cell>
          <cell r="BT186">
            <v>990</v>
          </cell>
          <cell r="BU186">
            <v>2681</v>
          </cell>
          <cell r="BW186">
            <v>509</v>
          </cell>
          <cell r="BX186">
            <v>815</v>
          </cell>
          <cell r="BY186">
            <v>538</v>
          </cell>
          <cell r="BZ186">
            <v>1023.992</v>
          </cell>
          <cell r="CA186">
            <v>2885.9920000000002</v>
          </cell>
          <cell r="CC186">
            <v>519</v>
          </cell>
          <cell r="CD186">
            <v>797.5</v>
          </cell>
          <cell r="CE186">
            <v>764.90000000000009</v>
          </cell>
          <cell r="CF186">
            <v>1300.4500000000003</v>
          </cell>
          <cell r="CG186">
            <v>3381.8500000000004</v>
          </cell>
          <cell r="CI186">
            <v>672</v>
          </cell>
          <cell r="CJ186">
            <v>969.5</v>
          </cell>
          <cell r="CK186">
            <v>1033</v>
          </cell>
          <cell r="CL186">
            <v>1599.5</v>
          </cell>
          <cell r="CM186">
            <v>4274</v>
          </cell>
          <cell r="CO186">
            <v>840</v>
          </cell>
          <cell r="CP186">
            <v>1303</v>
          </cell>
          <cell r="CQ186">
            <v>1340</v>
          </cell>
          <cell r="CR186">
            <v>2037</v>
          </cell>
          <cell r="CS186">
            <v>5520</v>
          </cell>
          <cell r="CU186">
            <v>1077</v>
          </cell>
          <cell r="CV186">
            <v>1296</v>
          </cell>
          <cell r="CW186">
            <v>1329</v>
          </cell>
          <cell r="CX186">
            <v>1891</v>
          </cell>
          <cell r="CY186">
            <v>5593</v>
          </cell>
          <cell r="DA186">
            <v>1124</v>
          </cell>
          <cell r="DB186">
            <v>1458</v>
          </cell>
          <cell r="DC186">
            <v>1189.3999999999996</v>
          </cell>
          <cell r="DE186">
            <v>6136.0999999999995</v>
          </cell>
          <cell r="DG186">
            <v>1352</v>
          </cell>
          <cell r="DH186">
            <v>1915</v>
          </cell>
          <cell r="DI186">
            <v>2116</v>
          </cell>
          <cell r="DJ186">
            <v>3209</v>
          </cell>
          <cell r="DK186">
            <v>8592</v>
          </cell>
          <cell r="DM186">
            <v>1841</v>
          </cell>
          <cell r="DN186">
            <v>2194</v>
          </cell>
          <cell r="DO186">
            <v>2498.3392000000003</v>
          </cell>
          <cell r="DP186">
            <v>3451.1597000000002</v>
          </cell>
          <cell r="DQ186">
            <v>9984.4989000000005</v>
          </cell>
          <cell r="DS186">
            <v>2034</v>
          </cell>
          <cell r="DT186">
            <v>2581</v>
          </cell>
          <cell r="DU186">
            <v>2504</v>
          </cell>
          <cell r="DV186">
            <v>3803.711703323539</v>
          </cell>
          <cell r="DW186">
            <v>10922.711703323539</v>
          </cell>
          <cell r="DY186">
            <v>2191</v>
          </cell>
          <cell r="DZ186">
            <v>2553</v>
          </cell>
          <cell r="EA186">
            <v>2565</v>
          </cell>
          <cell r="EB186">
            <v>3665</v>
          </cell>
          <cell r="EC186">
            <v>10974</v>
          </cell>
          <cell r="EE186">
            <v>2184</v>
          </cell>
          <cell r="EF186">
            <v>2502</v>
          </cell>
          <cell r="EG186">
            <v>2495</v>
          </cell>
          <cell r="EH186">
            <v>2757</v>
          </cell>
          <cell r="EI186">
            <v>9938</v>
          </cell>
          <cell r="EK186">
            <v>1747</v>
          </cell>
          <cell r="EL186">
            <v>2197</v>
          </cell>
          <cell r="EM186">
            <v>2391.2907868075881</v>
          </cell>
          <cell r="EN186">
            <v>3268.0561695179108</v>
          </cell>
          <cell r="EO186">
            <v>9603.3469563254985</v>
          </cell>
          <cell r="EQ186">
            <v>2418.0511080254096</v>
          </cell>
          <cell r="ER186">
            <v>2619.5144855834078</v>
          </cell>
          <cell r="ES186">
            <v>2636.4906299810609</v>
          </cell>
          <cell r="ET186">
            <v>3387.1559246364122</v>
          </cell>
          <cell r="EU186">
            <v>11061.21214822629</v>
          </cell>
          <cell r="EW186">
            <v>2476.5079384424166</v>
          </cell>
          <cell r="EX186">
            <v>2667.6919588493215</v>
          </cell>
          <cell r="EY186">
            <v>2747.7984720046525</v>
          </cell>
          <cell r="EZ186">
            <v>3331.1093234827026</v>
          </cell>
          <cell r="FA186">
            <v>11223.107692779093</v>
          </cell>
        </row>
        <row r="187">
          <cell r="C187">
            <v>4.0000000000000002E-4</v>
          </cell>
          <cell r="D187">
            <v>4.0000000000000002E-4</v>
          </cell>
          <cell r="E187">
            <v>1.5E-3</v>
          </cell>
          <cell r="F187">
            <v>3.3999999999999998E-3</v>
          </cell>
          <cell r="G187">
            <v>8.8999999999999999E-3</v>
          </cell>
          <cell r="H187">
            <v>1.6899999999999998E-2</v>
          </cell>
          <cell r="I187">
            <v>1.6400000000000001E-2</v>
          </cell>
          <cell r="J187">
            <v>-2.5000000000000001E-3</v>
          </cell>
          <cell r="K187">
            <v>1.21E-2</v>
          </cell>
          <cell r="L187">
            <v>4.4200000000000003E-2</v>
          </cell>
          <cell r="M187">
            <v>4.7300000000000002E-2</v>
          </cell>
          <cell r="O187">
            <v>1.0200000000000001E-2</v>
          </cell>
          <cell r="P187">
            <v>1.5699999999999999E-2</v>
          </cell>
          <cell r="Q187">
            <v>1.7399999999999999E-2</v>
          </cell>
          <cell r="R187">
            <v>3.0300000000000001E-2</v>
          </cell>
          <cell r="S187">
            <v>7.3700000000000002E-2</v>
          </cell>
          <cell r="U187">
            <v>8.8999999999999999E-3</v>
          </cell>
          <cell r="V187">
            <v>2.2599999999999999E-2</v>
          </cell>
          <cell r="W187">
            <v>2.4199999999999999E-2</v>
          </cell>
          <cell r="X187">
            <v>4.41E-2</v>
          </cell>
          <cell r="Y187">
            <v>0.1</v>
          </cell>
          <cell r="AA187">
            <v>1.9099999999999999E-2</v>
          </cell>
          <cell r="AB187">
            <v>3.0300000000000001E-2</v>
          </cell>
          <cell r="AC187">
            <v>2.86E-2</v>
          </cell>
          <cell r="AD187">
            <v>6.1199999999999997E-2</v>
          </cell>
          <cell r="AE187">
            <v>0.1391</v>
          </cell>
          <cell r="AG187">
            <v>1.4E-3</v>
          </cell>
          <cell r="AH187">
            <v>3.1800000000000002E-2</v>
          </cell>
          <cell r="AI187">
            <v>3.6799999999999999E-2</v>
          </cell>
          <cell r="AJ187">
            <v>6.9000000000000006E-2</v>
          </cell>
          <cell r="AK187">
            <v>0.13869999999999999</v>
          </cell>
          <cell r="AM187">
            <v>3.3399999999999999E-2</v>
          </cell>
          <cell r="AN187">
            <v>4.7399999999999998E-2</v>
          </cell>
          <cell r="AO187">
            <v>5.0900000000000001E-2</v>
          </cell>
          <cell r="AP187">
            <v>9.1800000000000007E-2</v>
          </cell>
          <cell r="AQ187">
            <v>0.22309999999999999</v>
          </cell>
          <cell r="AS187">
            <v>4.1399999999999999E-2</v>
          </cell>
          <cell r="AT187">
            <v>6.7199999999999996E-2</v>
          </cell>
          <cell r="AU187">
            <v>0.13539999999999999</v>
          </cell>
          <cell r="AV187">
            <v>0.87129999999999996</v>
          </cell>
          <cell r="AW187">
            <v>1.1088</v>
          </cell>
          <cell r="AY187">
            <v>8.9300000000000004E-2</v>
          </cell>
          <cell r="AZ187">
            <v>0.1115</v>
          </cell>
          <cell r="BA187">
            <v>0.1041</v>
          </cell>
          <cell r="BB187">
            <v>0.15260000000000001</v>
          </cell>
          <cell r="BC187">
            <v>0.45760000000000001</v>
          </cell>
          <cell r="BE187">
            <v>9.1499999999999998E-2</v>
          </cell>
          <cell r="BF187">
            <v>9.9400000000000002E-2</v>
          </cell>
          <cell r="BG187">
            <v>9.2499999999999999E-2</v>
          </cell>
          <cell r="BH187">
            <v>0.11990000000000001</v>
          </cell>
          <cell r="BI187">
            <v>0.40310000000000001</v>
          </cell>
          <cell r="BK187">
            <v>6.3500000000000001E-2</v>
          </cell>
          <cell r="BL187">
            <v>0.1008</v>
          </cell>
          <cell r="BM187">
            <v>0.1086</v>
          </cell>
          <cell r="BN187">
            <v>0.1638</v>
          </cell>
          <cell r="BO187">
            <v>0.43519999999999998</v>
          </cell>
          <cell r="BQ187">
            <v>8.4099999999999994E-2</v>
          </cell>
          <cell r="BR187">
            <v>0.1181</v>
          </cell>
          <cell r="BS187">
            <v>0.1215</v>
          </cell>
          <cell r="BT187">
            <v>0.19089999999999999</v>
          </cell>
          <cell r="BU187">
            <v>0.5141</v>
          </cell>
          <cell r="BW187">
            <v>9.8799999999999999E-2</v>
          </cell>
          <cell r="BX187">
            <v>0.15909999999999999</v>
          </cell>
          <cell r="BY187">
            <v>0.105</v>
          </cell>
          <cell r="BZ187">
            <v>0.19900000000000001</v>
          </cell>
          <cell r="CA187">
            <v>0.56189999999999996</v>
          </cell>
          <cell r="CC187">
            <v>0.1008</v>
          </cell>
          <cell r="CD187">
            <v>0.15479999999999999</v>
          </cell>
          <cell r="CE187">
            <v>0.1469</v>
          </cell>
          <cell r="CF187">
            <v>0.24640000000000001</v>
          </cell>
          <cell r="CG187">
            <v>0.65080000000000005</v>
          </cell>
          <cell r="CI187">
            <v>0.1288</v>
          </cell>
          <cell r="CJ187">
            <v>0.187</v>
          </cell>
          <cell r="CK187">
            <v>0.20019999999999999</v>
          </cell>
          <cell r="CL187">
            <v>0.31230000000000002</v>
          </cell>
          <cell r="CM187">
            <v>0.8266</v>
          </cell>
          <cell r="CO187">
            <v>0.16439999999999999</v>
          </cell>
          <cell r="CP187">
            <v>0.25419999999999998</v>
          </cell>
          <cell r="CQ187">
            <v>0.26029999999999998</v>
          </cell>
          <cell r="CR187">
            <v>0.39550000000000002</v>
          </cell>
          <cell r="CS187">
            <v>1.0752999999999999</v>
          </cell>
          <cell r="CU187">
            <v>0.20899999999999999</v>
          </cell>
          <cell r="CV187">
            <v>0.25280000000000002</v>
          </cell>
          <cell r="CW187">
            <v>0.26500000000000001</v>
          </cell>
          <cell r="CX187">
            <v>0.37859999999999999</v>
          </cell>
          <cell r="CY187">
            <v>1.1027</v>
          </cell>
          <cell r="DA187">
            <v>0.22439999999999999</v>
          </cell>
          <cell r="DB187">
            <v>0.29099999999999998</v>
          </cell>
          <cell r="DC187">
            <v>0.23719999999999999</v>
          </cell>
          <cell r="DE187">
            <v>1.2238</v>
          </cell>
          <cell r="DG187">
            <v>0.26900000000000002</v>
          </cell>
          <cell r="DH187">
            <v>0.37969999999999998</v>
          </cell>
          <cell r="DI187">
            <v>0.41839999999999999</v>
          </cell>
          <cell r="DJ187">
            <v>0.63360000000000005</v>
          </cell>
          <cell r="DK187">
            <v>1.7020999999999999</v>
          </cell>
          <cell r="DM187">
            <v>0.36370000000000002</v>
          </cell>
          <cell r="DN187">
            <v>0.43519999999999998</v>
          </cell>
          <cell r="DO187">
            <v>0.499</v>
          </cell>
          <cell r="DP187">
            <v>0.7036</v>
          </cell>
          <cell r="DQ187">
            <v>1.9954000000000001</v>
          </cell>
          <cell r="DS187">
            <v>0.41789999999999999</v>
          </cell>
          <cell r="DT187">
            <v>0.53859999999999997</v>
          </cell>
          <cell r="DU187">
            <v>0.52880000000000005</v>
          </cell>
          <cell r="DV187">
            <v>0.81210000000000004</v>
          </cell>
          <cell r="DW187">
            <v>2.2900999999999998</v>
          </cell>
          <cell r="DY187">
            <v>0.47549999999999998</v>
          </cell>
          <cell r="DZ187">
            <v>0.56240000000000001</v>
          </cell>
          <cell r="EA187">
            <v>0.57050000000000001</v>
          </cell>
          <cell r="EB187">
            <v>0.81899999999999995</v>
          </cell>
          <cell r="EC187">
            <v>2.4226999999999999</v>
          </cell>
          <cell r="EE187">
            <v>0.49070000000000003</v>
          </cell>
          <cell r="EF187">
            <v>0.56640000000000001</v>
          </cell>
          <cell r="EG187">
            <v>0.56850000000000001</v>
          </cell>
          <cell r="EH187">
            <v>0.63249999999999995</v>
          </cell>
          <cell r="EI187">
            <v>2.2566000000000002</v>
          </cell>
          <cell r="EK187">
            <v>0.4047</v>
          </cell>
          <cell r="EL187">
            <v>0.51829999999999998</v>
          </cell>
          <cell r="EM187">
            <v>0.56759999999999999</v>
          </cell>
          <cell r="EN187">
            <v>0.78380000000000005</v>
          </cell>
          <cell r="EO187">
            <v>2.2677999999999998</v>
          </cell>
          <cell r="EQ187">
            <v>0.58550000000000002</v>
          </cell>
          <cell r="ER187">
            <v>0.63819999999999999</v>
          </cell>
          <cell r="ES187">
            <v>0.64659999999999995</v>
          </cell>
          <cell r="ET187">
            <v>0.83919999999999995</v>
          </cell>
          <cell r="EU187">
            <v>2.7063999999999999</v>
          </cell>
          <cell r="EW187">
            <v>0.61929999999999996</v>
          </cell>
          <cell r="EX187">
            <v>0.67069999999999996</v>
          </cell>
          <cell r="EY187">
            <v>0.69499999999999995</v>
          </cell>
          <cell r="EZ187">
            <v>0.85070000000000001</v>
          </cell>
          <cell r="FA187">
            <v>2.8330000000000002</v>
          </cell>
        </row>
        <row r="188">
          <cell r="C188">
            <v>4.0000000000000002E-4</v>
          </cell>
          <cell r="D188">
            <v>4.0000000000000002E-4</v>
          </cell>
          <cell r="E188">
            <v>1.5E-3</v>
          </cell>
          <cell r="F188">
            <v>3.3999999999999998E-3</v>
          </cell>
          <cell r="G188">
            <v>8.8999999999999999E-3</v>
          </cell>
          <cell r="H188">
            <v>1.6899999999999998E-2</v>
          </cell>
          <cell r="I188">
            <v>1.6400000000000001E-2</v>
          </cell>
          <cell r="J188">
            <v>-2.5000000000000001E-3</v>
          </cell>
          <cell r="K188">
            <v>1.21E-2</v>
          </cell>
          <cell r="L188">
            <v>4.4200000000000003E-2</v>
          </cell>
          <cell r="M188">
            <v>4.7300000000000002E-2</v>
          </cell>
          <cell r="O188">
            <v>1.0200000000000001E-2</v>
          </cell>
          <cell r="P188">
            <v>1.5699999999999999E-2</v>
          </cell>
          <cell r="Q188">
            <v>1.7399999999999999E-2</v>
          </cell>
          <cell r="R188">
            <v>3.0300000000000001E-2</v>
          </cell>
          <cell r="S188">
            <v>7.3700000000000002E-2</v>
          </cell>
          <cell r="U188">
            <v>8.8999999999999999E-3</v>
          </cell>
          <cell r="V188">
            <v>2.2599999999999999E-2</v>
          </cell>
          <cell r="W188">
            <v>2.4199999999999999E-2</v>
          </cell>
          <cell r="X188">
            <v>4.41E-2</v>
          </cell>
          <cell r="Y188">
            <v>0.1</v>
          </cell>
          <cell r="AA188">
            <v>1.8599999999999998E-2</v>
          </cell>
          <cell r="AB188">
            <v>2.9499999999999998E-2</v>
          </cell>
          <cell r="AC188">
            <v>2.7900000000000001E-2</v>
          </cell>
          <cell r="AD188">
            <v>5.9799999999999999E-2</v>
          </cell>
          <cell r="AE188">
            <v>0.1356</v>
          </cell>
          <cell r="AG188">
            <v>1.4E-3</v>
          </cell>
          <cell r="AH188">
            <v>3.1800000000000002E-2</v>
          </cell>
          <cell r="AI188">
            <v>3.6799999999999999E-2</v>
          </cell>
          <cell r="AJ188">
            <v>6.9000000000000006E-2</v>
          </cell>
          <cell r="AK188">
            <v>0.13569999999999999</v>
          </cell>
          <cell r="AM188">
            <v>3.2899999999999999E-2</v>
          </cell>
          <cell r="AN188">
            <v>4.65E-2</v>
          </cell>
          <cell r="AO188">
            <v>4.9000000000000002E-2</v>
          </cell>
          <cell r="AP188">
            <v>8.8900000000000007E-2</v>
          </cell>
          <cell r="AQ188">
            <v>0.2172</v>
          </cell>
          <cell r="AS188">
            <v>3.9699999999999999E-2</v>
          </cell>
          <cell r="AT188">
            <v>6.3899999999999998E-2</v>
          </cell>
          <cell r="AU188">
            <v>0.1273</v>
          </cell>
          <cell r="AV188">
            <v>0.81740000000000002</v>
          </cell>
          <cell r="AW188">
            <v>1.0502</v>
          </cell>
          <cell r="AY188">
            <v>8.4400000000000003E-2</v>
          </cell>
          <cell r="AZ188">
            <v>0.106</v>
          </cell>
          <cell r="BA188">
            <v>9.9599999999999994E-2</v>
          </cell>
          <cell r="BB188">
            <v>0.1474</v>
          </cell>
          <cell r="BC188">
            <v>0.43669999999999998</v>
          </cell>
          <cell r="BE188">
            <v>8.8300000000000003E-2</v>
          </cell>
          <cell r="BF188">
            <v>9.6500000000000002E-2</v>
          </cell>
          <cell r="BG188">
            <v>9.2499999999999999E-2</v>
          </cell>
          <cell r="BH188">
            <v>0.1169</v>
          </cell>
          <cell r="BI188">
            <v>0.39100000000000001</v>
          </cell>
          <cell r="BK188">
            <v>6.2199999999999998E-2</v>
          </cell>
          <cell r="BL188">
            <v>9.8699999999999996E-2</v>
          </cell>
          <cell r="BM188">
            <v>0.1061</v>
          </cell>
          <cell r="BN188">
            <v>0.1603</v>
          </cell>
          <cell r="BO188">
            <v>0.4259</v>
          </cell>
          <cell r="BQ188">
            <v>8.2299999999999998E-2</v>
          </cell>
          <cell r="BR188">
            <v>0.11559999999999999</v>
          </cell>
          <cell r="BS188">
            <v>0.1188</v>
          </cell>
          <cell r="BT188">
            <v>0.18740000000000001</v>
          </cell>
          <cell r="BU188">
            <v>0.50339999999999996</v>
          </cell>
          <cell r="BW188">
            <v>9.7100000000000006E-2</v>
          </cell>
          <cell r="BX188">
            <v>0.15620000000000001</v>
          </cell>
          <cell r="BY188">
            <v>0.10290000000000001</v>
          </cell>
          <cell r="BZ188">
            <v>0.1956</v>
          </cell>
          <cell r="CA188">
            <v>0.55169999999999997</v>
          </cell>
          <cell r="CC188">
            <v>9.9000000000000005E-2</v>
          </cell>
          <cell r="CD188">
            <v>0.15229999999999999</v>
          </cell>
          <cell r="CE188">
            <v>0.14419999999999999</v>
          </cell>
          <cell r="CF188">
            <v>0.24199999999999999</v>
          </cell>
          <cell r="CG188">
            <v>0.63929999999999998</v>
          </cell>
          <cell r="CI188">
            <v>0.12659999999999999</v>
          </cell>
          <cell r="CJ188">
            <v>0.18279999999999999</v>
          </cell>
          <cell r="CK188">
            <v>0.1963</v>
          </cell>
          <cell r="CL188">
            <v>0.30620000000000003</v>
          </cell>
          <cell r="CM188">
            <v>0.81040000000000001</v>
          </cell>
          <cell r="CO188">
            <v>0.16089999999999999</v>
          </cell>
          <cell r="CP188">
            <v>0.249</v>
          </cell>
          <cell r="CQ188">
            <v>0.25829999999999997</v>
          </cell>
          <cell r="CR188">
            <v>0.38929999999999998</v>
          </cell>
          <cell r="CS188">
            <v>1.0578000000000001</v>
          </cell>
          <cell r="CU188">
            <v>0.20569999999999999</v>
          </cell>
          <cell r="CV188">
            <v>0.24990000000000001</v>
          </cell>
          <cell r="CW188">
            <v>0.26290000000000002</v>
          </cell>
          <cell r="CX188">
            <v>0.375</v>
          </cell>
          <cell r="CY188">
            <v>1.0902000000000001</v>
          </cell>
          <cell r="DA188">
            <v>0.222</v>
          </cell>
          <cell r="DB188">
            <v>0.28789999999999999</v>
          </cell>
          <cell r="DC188">
            <v>0.23430000000000001</v>
          </cell>
          <cell r="DE188">
            <v>1.2095</v>
          </cell>
          <cell r="DG188">
            <v>0.26600000000000001</v>
          </cell>
          <cell r="DH188">
            <v>0.37419999999999998</v>
          </cell>
          <cell r="DI188">
            <v>0.41099999999999998</v>
          </cell>
          <cell r="DJ188">
            <v>0.62139999999999995</v>
          </cell>
          <cell r="DK188">
            <v>1.6754</v>
          </cell>
          <cell r="DM188">
            <v>0.35749999999999998</v>
          </cell>
          <cell r="DN188">
            <v>0.42830000000000001</v>
          </cell>
          <cell r="DO188">
            <v>0.49180000000000001</v>
          </cell>
          <cell r="DP188">
            <v>0.6865</v>
          </cell>
          <cell r="DQ188">
            <v>1.9597</v>
          </cell>
          <cell r="DS188">
            <v>0.4118</v>
          </cell>
          <cell r="DT188">
            <v>0.5302</v>
          </cell>
          <cell r="DU188">
            <v>0.52039999999999997</v>
          </cell>
          <cell r="DV188">
            <v>0.79979999999999996</v>
          </cell>
          <cell r="DW188">
            <v>2.2549999999999999</v>
          </cell>
          <cell r="DY188">
            <v>0.46879999999999999</v>
          </cell>
          <cell r="DZ188">
            <v>0.55500000000000005</v>
          </cell>
          <cell r="EA188">
            <v>0.56069999999999998</v>
          </cell>
          <cell r="EB188">
            <v>0.80210000000000004</v>
          </cell>
          <cell r="EC188">
            <v>2.3833000000000002</v>
          </cell>
          <cell r="EE188">
            <v>0.48020000000000002</v>
          </cell>
          <cell r="EF188">
            <v>0.5554</v>
          </cell>
          <cell r="EG188">
            <v>0.55520000000000003</v>
          </cell>
          <cell r="EH188">
            <v>0.61770000000000003</v>
          </cell>
          <cell r="EI188">
            <v>2.2071999999999998</v>
          </cell>
          <cell r="EK188">
            <v>0.39600000000000002</v>
          </cell>
          <cell r="EL188">
            <v>0.50900000000000001</v>
          </cell>
          <cell r="EM188">
            <v>0.55740000000000001</v>
          </cell>
          <cell r="EN188">
            <v>0.76949999999999996</v>
          </cell>
          <cell r="EO188">
            <v>2.2250000000000001</v>
          </cell>
          <cell r="EQ188">
            <v>0.57479999999999998</v>
          </cell>
          <cell r="ER188">
            <v>0.62639999999999996</v>
          </cell>
          <cell r="ES188">
            <v>0.63460000000000005</v>
          </cell>
          <cell r="ET188">
            <v>0.82350000000000001</v>
          </cell>
          <cell r="EU188">
            <v>2.6564000000000001</v>
          </cell>
          <cell r="EW188">
            <v>0.60760000000000003</v>
          </cell>
          <cell r="EX188">
            <v>0.65790000000000004</v>
          </cell>
          <cell r="EY188">
            <v>0.68169999999999997</v>
          </cell>
          <cell r="EZ188">
            <v>0.83430000000000004</v>
          </cell>
          <cell r="FA188">
            <v>2.7789999999999999</v>
          </cell>
        </row>
        <row r="189">
          <cell r="C189" t="str">
            <v>-</v>
          </cell>
          <cell r="D189" t="str">
            <v>-</v>
          </cell>
          <cell r="E189" t="str">
            <v>-</v>
          </cell>
          <cell r="F189" t="str">
            <v>-</v>
          </cell>
          <cell r="G189" t="str">
            <v>-</v>
          </cell>
          <cell r="H189">
            <v>0.89887640449438178</v>
          </cell>
          <cell r="I189">
            <v>-2.9585798816567865E-2</v>
          </cell>
          <cell r="J189" t="str">
            <v>-</v>
          </cell>
          <cell r="K189" t="str">
            <v>-</v>
          </cell>
          <cell r="L189">
            <v>2.6528925619834713</v>
          </cell>
          <cell r="M189">
            <v>7.0135746606334815E-2</v>
          </cell>
          <cell r="O189" t="str">
            <v>-</v>
          </cell>
          <cell r="P189" t="str">
            <v>-</v>
          </cell>
          <cell r="Q189" t="str">
            <v>-</v>
          </cell>
          <cell r="R189" t="str">
            <v>-</v>
          </cell>
          <cell r="S189">
            <v>0.55813953488372081</v>
          </cell>
          <cell r="U189">
            <v>-0.12745098039215697</v>
          </cell>
          <cell r="V189">
            <v>0.43949044585987274</v>
          </cell>
          <cell r="W189">
            <v>0.39080459770114939</v>
          </cell>
          <cell r="X189">
            <v>0.45544554455445541</v>
          </cell>
          <cell r="Y189">
            <v>0.35685210312075988</v>
          </cell>
          <cell r="AA189">
            <v>1.089887640449438</v>
          </cell>
          <cell r="AB189">
            <v>0.30530973451327426</v>
          </cell>
          <cell r="AC189">
            <v>0.15289256198347112</v>
          </cell>
          <cell r="AD189">
            <v>0.35600907029478446</v>
          </cell>
          <cell r="AE189">
            <v>0.35599999999999987</v>
          </cell>
          <cell r="AG189" t="str">
            <v>-</v>
          </cell>
          <cell r="AH189">
            <v>7.7966101694915357E-2</v>
          </cell>
          <cell r="AI189">
            <v>0.31899641577060933</v>
          </cell>
          <cell r="AJ189">
            <v>0.15384615384615397</v>
          </cell>
          <cell r="AK189">
            <v>7.3746312684352944E-4</v>
          </cell>
          <cell r="AM189" t="str">
            <v>-</v>
          </cell>
          <cell r="AN189">
            <v>0.46226415094339623</v>
          </cell>
          <cell r="AO189">
            <v>0.33152173913043481</v>
          </cell>
          <cell r="AP189">
            <v>0.28840579710144931</v>
          </cell>
          <cell r="AQ189">
            <v>0.60058953574060436</v>
          </cell>
          <cell r="AS189">
            <v>0.20668693009118533</v>
          </cell>
          <cell r="AT189">
            <v>0.37419354838709684</v>
          </cell>
          <cell r="AU189">
            <v>1.5979591836734692</v>
          </cell>
          <cell r="AV189">
            <v>8.1946006749156357</v>
          </cell>
          <cell r="AW189">
            <v>3.8351749539594842</v>
          </cell>
          <cell r="AY189">
            <v>1.1259445843828715</v>
          </cell>
          <cell r="AZ189">
            <v>0.65884194053208134</v>
          </cell>
          <cell r="BA189">
            <v>-0.21759622937941869</v>
          </cell>
          <cell r="BB189">
            <v>-0.81967213114754101</v>
          </cell>
          <cell r="BC189">
            <v>-0.58417444296324517</v>
          </cell>
          <cell r="BE189">
            <v>4.6208530805687209E-2</v>
          </cell>
          <cell r="BF189">
            <v>-8.9622641509433887E-2</v>
          </cell>
          <cell r="BG189">
            <v>-7.1285140562248994E-2</v>
          </cell>
          <cell r="BH189">
            <v>-0.20691994572591588</v>
          </cell>
          <cell r="BI189">
            <v>-0.104648500114495</v>
          </cell>
          <cell r="BK189">
            <v>-0.29558323895809746</v>
          </cell>
          <cell r="BL189">
            <v>2.2797927461139844E-2</v>
          </cell>
          <cell r="BM189">
            <v>0.14702702702702708</v>
          </cell>
          <cell r="BN189">
            <v>0.37125748502994016</v>
          </cell>
          <cell r="BO189">
            <v>8.9258312020460417E-2</v>
          </cell>
          <cell r="BQ189">
            <v>0.32315112540192925</v>
          </cell>
          <cell r="BR189">
            <v>0.17122593718338397</v>
          </cell>
          <cell r="BS189">
            <v>0.11969839773798308</v>
          </cell>
          <cell r="BT189">
            <v>0.16905801621958827</v>
          </cell>
          <cell r="BU189">
            <v>0.18196759802770601</v>
          </cell>
          <cell r="BW189">
            <v>0.17982989064398547</v>
          </cell>
          <cell r="BX189">
            <v>0.35121107266436002</v>
          </cell>
          <cell r="BY189">
            <v>-0.13383838383838387</v>
          </cell>
          <cell r="BZ189">
            <v>4.3756670224119443E-2</v>
          </cell>
          <cell r="CA189">
            <v>9.5947556615017859E-2</v>
          </cell>
          <cell r="CC189">
            <v>1.9567456230690006E-2</v>
          </cell>
          <cell r="CD189">
            <v>-2.4967989756722209E-2</v>
          </cell>
          <cell r="CE189">
            <v>0.40136054421768685</v>
          </cell>
          <cell r="CF189">
            <v>0.23721881390593036</v>
          </cell>
          <cell r="CG189">
            <v>0.15878194671016854</v>
          </cell>
          <cell r="CI189">
            <v>0.27878787878787858</v>
          </cell>
          <cell r="CJ189">
            <v>0.20026263952724888</v>
          </cell>
          <cell r="CK189">
            <v>0.36130374479889049</v>
          </cell>
          <cell r="CL189">
            <v>0.26528925619834731</v>
          </cell>
          <cell r="CM189">
            <v>0.26763647739715313</v>
          </cell>
          <cell r="CO189">
            <v>0.2709320695102686</v>
          </cell>
          <cell r="CP189">
            <v>0.36214442013129111</v>
          </cell>
          <cell r="CQ189">
            <v>0.31584309730005078</v>
          </cell>
          <cell r="CR189">
            <v>0.27139124755062038</v>
          </cell>
          <cell r="CS189">
            <v>0.30528134254689054</v>
          </cell>
          <cell r="CU189">
            <v>0.27843380981976384</v>
          </cell>
          <cell r="CV189">
            <v>3.6144578313253017E-3</v>
          </cell>
          <cell r="CW189">
            <v>1.7808749516066813E-2</v>
          </cell>
          <cell r="CX189">
            <v>-3.6732596968918507E-2</v>
          </cell>
          <cell r="CY189">
            <v>3.0629608621667526E-2</v>
          </cell>
          <cell r="DA189">
            <v>7.9241614000972405E-2</v>
          </cell>
          <cell r="DB189">
            <v>0.15206082432973189</v>
          </cell>
          <cell r="DC189">
            <v>-0.10878661087866115</v>
          </cell>
          <cell r="DE189">
            <v>0.1094294624839478</v>
          </cell>
          <cell r="DG189">
            <v>0.19819819819819817</v>
          </cell>
          <cell r="DH189">
            <v>0.29975686002084045</v>
          </cell>
          <cell r="DI189">
            <v>0.7541613316261202</v>
          </cell>
          <cell r="DJ189">
            <v>0.33749461902711997</v>
          </cell>
          <cell r="DK189">
            <v>0.3852004960727573</v>
          </cell>
          <cell r="DM189">
            <v>0.34398496240601495</v>
          </cell>
          <cell r="DN189">
            <v>0.14457509353287024</v>
          </cell>
          <cell r="DO189">
            <v>0.19659367396593685</v>
          </cell>
          <cell r="DP189">
            <v>0.10476343739942084</v>
          </cell>
          <cell r="DQ189">
            <v>0.16969082010266212</v>
          </cell>
          <cell r="DS189">
            <v>0.15188811188811191</v>
          </cell>
          <cell r="DT189">
            <v>0.23791734765351391</v>
          </cell>
          <cell r="DU189">
            <v>5.8153721024806648E-2</v>
          </cell>
          <cell r="DV189">
            <v>0.16504005826656942</v>
          </cell>
          <cell r="DW189">
            <v>0.15068632954023564</v>
          </cell>
          <cell r="DY189">
            <v>0.13841670713938803</v>
          </cell>
          <cell r="DZ189">
            <v>4.6774801961523949E-2</v>
          </cell>
          <cell r="EA189">
            <v>7.744043043812443E-2</v>
          </cell>
          <cell r="EB189">
            <v>2.8757189297325958E-3</v>
          </cell>
          <cell r="EC189">
            <v>5.6895787139689791E-2</v>
          </cell>
          <cell r="EE189">
            <v>2.4317406143344655E-2</v>
          </cell>
          <cell r="EF189">
            <v>7.2072072072071336E-4</v>
          </cell>
          <cell r="EG189">
            <v>-9.8091671125377644E-3</v>
          </cell>
          <cell r="EH189">
            <v>-0.22989652163071939</v>
          </cell>
          <cell r="EI189">
            <v>-7.3889145302731607E-2</v>
          </cell>
          <cell r="EK189">
            <v>-0.17534360683048733</v>
          </cell>
          <cell r="EL189">
            <v>-8.3543392149801887E-2</v>
          </cell>
          <cell r="EM189">
            <v>3.9625360230546303E-3</v>
          </cell>
          <cell r="EN189">
            <v>0.24575036425449226</v>
          </cell>
          <cell r="EO189">
            <v>8.0645161290324729E-3</v>
          </cell>
          <cell r="EQ189">
            <v>0.45151515151515142</v>
          </cell>
          <cell r="ER189">
            <v>0.23064833005893903</v>
          </cell>
          <cell r="ES189">
            <v>0.13850017940437764</v>
          </cell>
          <cell r="ET189">
            <v>7.0175438596491224E-2</v>
          </cell>
          <cell r="EU189">
            <v>0.19388764044943829</v>
          </cell>
          <cell r="EW189">
            <v>5.7063326374391155E-2</v>
          </cell>
          <cell r="EX189">
            <v>5.0287356321839116E-2</v>
          </cell>
          <cell r="EY189">
            <v>7.4219981090450471E-2</v>
          </cell>
          <cell r="EZ189">
            <v>1.3114754098360715E-2</v>
          </cell>
          <cell r="FA189">
            <v>4.6152687848215468E-2</v>
          </cell>
        </row>
        <row r="190">
          <cell r="CG190">
            <v>0</v>
          </cell>
          <cell r="CM190">
            <v>0</v>
          </cell>
          <cell r="CS190">
            <v>0</v>
          </cell>
          <cell r="CY190">
            <v>0</v>
          </cell>
          <cell r="DE190">
            <v>0</v>
          </cell>
          <cell r="DK190">
            <v>0</v>
          </cell>
          <cell r="DQ190">
            <v>0</v>
          </cell>
          <cell r="DW190">
            <v>0</v>
          </cell>
          <cell r="EC190">
            <v>0</v>
          </cell>
          <cell r="EI190">
            <v>0</v>
          </cell>
          <cell r="EO190">
            <v>0</v>
          </cell>
          <cell r="EU190">
            <v>0</v>
          </cell>
          <cell r="FA190">
            <v>0</v>
          </cell>
        </row>
        <row r="191">
          <cell r="C191">
            <v>3312</v>
          </cell>
          <cell r="D191">
            <v>3479.76</v>
          </cell>
          <cell r="E191">
            <v>3933.36</v>
          </cell>
          <cell r="F191">
            <v>4500</v>
          </cell>
          <cell r="G191">
            <v>4795.2</v>
          </cell>
          <cell r="H191">
            <v>4860</v>
          </cell>
          <cell r="I191">
            <v>4928.625</v>
          </cell>
          <cell r="J191">
            <v>4915.1790000000001</v>
          </cell>
          <cell r="K191">
            <v>5137.1099999999997</v>
          </cell>
          <cell r="L191">
            <v>5273.0460000000003</v>
          </cell>
          <cell r="M191">
            <v>5990.625</v>
          </cell>
          <cell r="N191">
            <v>0</v>
          </cell>
          <cell r="O191">
            <v>5980.5</v>
          </cell>
          <cell r="P191">
            <v>5980.5</v>
          </cell>
          <cell r="Q191">
            <v>5980.8374999999996</v>
          </cell>
          <cell r="R191">
            <v>6003.3284999999996</v>
          </cell>
          <cell r="S191">
            <v>5986.2915000000003</v>
          </cell>
          <cell r="T191">
            <v>0</v>
          </cell>
          <cell r="U191">
            <v>6027.9795000000004</v>
          </cell>
          <cell r="V191">
            <v>6036.39</v>
          </cell>
          <cell r="W191">
            <v>6034.3109999999997</v>
          </cell>
          <cell r="X191">
            <v>6034.5</v>
          </cell>
          <cell r="Y191">
            <v>6033.2951250000006</v>
          </cell>
          <cell r="Z191">
            <v>0</v>
          </cell>
          <cell r="AA191">
            <v>6064.29</v>
          </cell>
          <cell r="AB191">
            <v>6083.5439999999999</v>
          </cell>
          <cell r="AC191">
            <v>6058.674</v>
          </cell>
          <cell r="AD191">
            <v>6016.5720000000001</v>
          </cell>
          <cell r="AE191">
            <v>6055.7699999999995</v>
          </cell>
          <cell r="AF191">
            <v>0</v>
          </cell>
          <cell r="AG191">
            <v>6037.5959999999995</v>
          </cell>
          <cell r="AH191">
            <v>6051.348</v>
          </cell>
          <cell r="AI191">
            <v>5949.848</v>
          </cell>
          <cell r="AJ191">
            <v>5954.616</v>
          </cell>
          <cell r="AK191">
            <v>5998.3520000000008</v>
          </cell>
          <cell r="AL191">
            <v>0</v>
          </cell>
          <cell r="AM191">
            <v>5934.8940000000002</v>
          </cell>
          <cell r="AN191">
            <v>5899.62</v>
          </cell>
          <cell r="AO191">
            <v>5981.8440000000001</v>
          </cell>
          <cell r="AP191">
            <v>5931.2359999999999</v>
          </cell>
          <cell r="AQ191">
            <v>5936.8985000000002</v>
          </cell>
          <cell r="AR191">
            <v>0</v>
          </cell>
          <cell r="AS191">
            <v>5964.8040000000001</v>
          </cell>
          <cell r="AT191">
            <v>6012.6</v>
          </cell>
          <cell r="AU191">
            <v>5996.3779999999997</v>
          </cell>
          <cell r="AV191">
            <v>6009.5860000000002</v>
          </cell>
          <cell r="AW191">
            <v>5995.8419999999996</v>
          </cell>
          <cell r="AX191">
            <v>0</v>
          </cell>
          <cell r="AY191">
            <v>5932.87</v>
          </cell>
          <cell r="AZ191">
            <v>5874.9870000000001</v>
          </cell>
          <cell r="BA191">
            <v>5851.3329999999996</v>
          </cell>
          <cell r="BB191">
            <v>5800.0320000000002</v>
          </cell>
          <cell r="BC191">
            <v>5864.8054999999995</v>
          </cell>
          <cell r="BD191">
            <v>0</v>
          </cell>
          <cell r="BE191">
            <v>5780.02</v>
          </cell>
          <cell r="BF191">
            <v>5695.86</v>
          </cell>
          <cell r="BG191">
            <v>5669.3339999999998</v>
          </cell>
          <cell r="BH191">
            <v>5610.6260000000002</v>
          </cell>
          <cell r="BI191">
            <v>5688.96</v>
          </cell>
          <cell r="BJ191">
            <v>0</v>
          </cell>
          <cell r="BK191">
            <v>5515</v>
          </cell>
          <cell r="BL191">
            <v>5420</v>
          </cell>
          <cell r="BM191">
            <v>5383</v>
          </cell>
          <cell r="BN191">
            <v>5356</v>
          </cell>
          <cell r="BO191">
            <v>5418</v>
          </cell>
          <cell r="BP191">
            <v>0</v>
          </cell>
          <cell r="BQ191">
            <v>5347</v>
          </cell>
          <cell r="BR191">
            <v>5337</v>
          </cell>
          <cell r="BS191">
            <v>5337</v>
          </cell>
          <cell r="BT191">
            <v>5283</v>
          </cell>
          <cell r="BU191">
            <v>5326</v>
          </cell>
          <cell r="BV191">
            <v>0</v>
          </cell>
          <cell r="BW191">
            <v>5241</v>
          </cell>
          <cell r="BX191">
            <v>5218</v>
          </cell>
          <cell r="BY191">
            <v>5230</v>
          </cell>
          <cell r="BZ191">
            <v>5234</v>
          </cell>
          <cell r="CA191">
            <v>5230.75</v>
          </cell>
          <cell r="CB191">
            <v>0</v>
          </cell>
          <cell r="CC191">
            <v>5244</v>
          </cell>
          <cell r="CD191">
            <v>5238</v>
          </cell>
          <cell r="CE191">
            <v>5304</v>
          </cell>
          <cell r="CF191">
            <v>5373</v>
          </cell>
          <cell r="CG191">
            <v>5289.75</v>
          </cell>
          <cell r="CH191">
            <v>0</v>
          </cell>
          <cell r="CI191">
            <v>5307</v>
          </cell>
          <cell r="CJ191">
            <v>5303</v>
          </cell>
          <cell r="CK191">
            <v>5262</v>
          </cell>
          <cell r="CL191">
            <v>5224</v>
          </cell>
          <cell r="CM191">
            <v>5274</v>
          </cell>
          <cell r="CN191">
            <v>0</v>
          </cell>
          <cell r="CO191">
            <v>5220</v>
          </cell>
          <cell r="CP191">
            <v>5233</v>
          </cell>
          <cell r="CQ191">
            <v>5187</v>
          </cell>
          <cell r="CR191">
            <v>5233</v>
          </cell>
          <cell r="CS191">
            <v>5218.25</v>
          </cell>
          <cell r="CT191">
            <v>0</v>
          </cell>
          <cell r="CU191">
            <v>5235</v>
          </cell>
          <cell r="CV191">
            <v>5187</v>
          </cell>
          <cell r="CW191">
            <v>5056</v>
          </cell>
          <cell r="CX191">
            <v>5043</v>
          </cell>
          <cell r="CY191">
            <v>5130.25</v>
          </cell>
          <cell r="CZ191">
            <v>0</v>
          </cell>
          <cell r="DA191">
            <v>5063</v>
          </cell>
          <cell r="DB191">
            <v>5064</v>
          </cell>
          <cell r="DC191">
            <v>5076</v>
          </cell>
          <cell r="DD191">
            <v>5090</v>
          </cell>
          <cell r="DE191">
            <v>5073.25</v>
          </cell>
          <cell r="DF191">
            <v>0</v>
          </cell>
          <cell r="DG191">
            <v>5083</v>
          </cell>
          <cell r="DH191">
            <v>5117</v>
          </cell>
          <cell r="DI191">
            <v>5149</v>
          </cell>
          <cell r="DJ191">
            <v>5164</v>
          </cell>
          <cell r="DK191">
            <v>5128.25</v>
          </cell>
          <cell r="DL191">
            <v>0</v>
          </cell>
          <cell r="DM191">
            <v>5150</v>
          </cell>
          <cell r="DN191">
            <v>5123</v>
          </cell>
          <cell r="DO191">
            <v>5080</v>
          </cell>
          <cell r="DP191">
            <v>5027</v>
          </cell>
          <cell r="DQ191">
            <v>5095</v>
          </cell>
          <cell r="DR191">
            <v>0</v>
          </cell>
          <cell r="DS191">
            <v>4939</v>
          </cell>
          <cell r="DT191">
            <v>4868</v>
          </cell>
          <cell r="DU191">
            <v>4812</v>
          </cell>
          <cell r="DV191">
            <v>4756</v>
          </cell>
          <cell r="DW191">
            <v>4843.75</v>
          </cell>
          <cell r="DX191">
            <v>0</v>
          </cell>
          <cell r="DY191">
            <v>4674</v>
          </cell>
          <cell r="DZ191">
            <v>4600</v>
          </cell>
          <cell r="EA191">
            <v>4575</v>
          </cell>
          <cell r="EB191">
            <v>4569</v>
          </cell>
          <cell r="EC191">
            <v>4604.5</v>
          </cell>
          <cell r="ED191">
            <v>0</v>
          </cell>
          <cell r="EE191">
            <v>4548</v>
          </cell>
          <cell r="EF191">
            <v>4505</v>
          </cell>
          <cell r="EG191">
            <v>4494</v>
          </cell>
          <cell r="EH191">
            <v>4463</v>
          </cell>
          <cell r="EI191">
            <v>4502.5</v>
          </cell>
          <cell r="EJ191">
            <v>0</v>
          </cell>
          <cell r="EK191">
            <v>4412</v>
          </cell>
          <cell r="EL191">
            <v>4316</v>
          </cell>
          <cell r="EM191">
            <v>4289.9074352730695</v>
          </cell>
          <cell r="EN191">
            <v>4246.7362645682188</v>
          </cell>
          <cell r="EO191">
            <v>4316.1609249603225</v>
          </cell>
          <cell r="EP191">
            <v>0</v>
          </cell>
          <cell r="EQ191">
            <v>4206.8953398718859</v>
          </cell>
          <cell r="ER191">
            <v>4181.7610768108389</v>
          </cell>
          <cell r="ES191">
            <v>4154.2774951924484</v>
          </cell>
          <cell r="ET191">
            <v>4113.1568879751503</v>
          </cell>
          <cell r="EU191">
            <v>4164.0226999625811</v>
          </cell>
          <cell r="EV191">
            <v>0</v>
          </cell>
          <cell r="EW191">
            <v>4076.045711907509</v>
          </cell>
          <cell r="EX191">
            <v>4054.6728220572177</v>
          </cell>
          <cell r="EY191">
            <v>4030.775889420338</v>
          </cell>
          <cell r="EZ191">
            <v>3992.5739995489967</v>
          </cell>
          <cell r="FA191">
            <v>4038.5171057335156</v>
          </cell>
          <cell r="FB191">
            <v>0</v>
          </cell>
          <cell r="FC191">
            <v>5321.75</v>
          </cell>
          <cell r="FD191">
            <v>5234.75</v>
          </cell>
          <cell r="FE191">
            <v>5210.5</v>
          </cell>
          <cell r="FF191">
            <v>5056.5</v>
          </cell>
          <cell r="FG191">
            <v>5091.5</v>
          </cell>
          <cell r="FH191">
            <v>5146.5</v>
          </cell>
          <cell r="FI191">
            <v>4978.5</v>
          </cell>
          <cell r="FJ191">
            <v>4710.5</v>
          </cell>
          <cell r="FK191">
            <v>4549.25</v>
          </cell>
          <cell r="FL191">
            <v>4421.25</v>
          </cell>
          <cell r="FM191">
            <v>4231.3250291310032</v>
          </cell>
          <cell r="FN191">
            <v>4099.5382292830809</v>
          </cell>
          <cell r="FQ191">
            <v>0</v>
          </cell>
          <cell r="FR191">
            <v>0</v>
          </cell>
          <cell r="FS191">
            <v>0</v>
          </cell>
          <cell r="FT191">
            <v>0</v>
          </cell>
          <cell r="FU191">
            <v>0</v>
          </cell>
          <cell r="FV191">
            <v>0</v>
          </cell>
          <cell r="FX191">
            <v>0</v>
          </cell>
          <cell r="FY191">
            <v>0</v>
          </cell>
          <cell r="FZ191">
            <v>0</v>
          </cell>
          <cell r="GA191">
            <v>0</v>
          </cell>
          <cell r="GB191">
            <v>0</v>
          </cell>
          <cell r="GC191">
            <v>0</v>
          </cell>
          <cell r="GD191">
            <v>0</v>
          </cell>
          <cell r="GE191">
            <v>0</v>
          </cell>
          <cell r="GF191">
            <v>0</v>
          </cell>
          <cell r="GG191">
            <v>0</v>
          </cell>
          <cell r="GH191">
            <v>0</v>
          </cell>
          <cell r="GI191">
            <v>0</v>
          </cell>
          <cell r="GJ191">
            <v>0</v>
          </cell>
          <cell r="GK191">
            <v>0</v>
          </cell>
          <cell r="GL191">
            <v>0</v>
          </cell>
          <cell r="GM191">
            <v>0</v>
          </cell>
          <cell r="GN191">
            <v>0</v>
          </cell>
          <cell r="GO191">
            <v>0</v>
          </cell>
          <cell r="GP191">
            <v>0</v>
          </cell>
          <cell r="GQ191">
            <v>0</v>
          </cell>
          <cell r="GR191">
            <v>0</v>
          </cell>
          <cell r="GS191">
            <v>0</v>
          </cell>
          <cell r="GT191">
            <v>0</v>
          </cell>
          <cell r="GU191">
            <v>0</v>
          </cell>
          <cell r="GV191">
            <v>0</v>
          </cell>
          <cell r="GW191">
            <v>0</v>
          </cell>
          <cell r="GX191">
            <v>0</v>
          </cell>
          <cell r="GY191">
            <v>0</v>
          </cell>
          <cell r="GZ191">
            <v>0</v>
          </cell>
          <cell r="HA191">
            <v>0</v>
          </cell>
        </row>
        <row r="192">
          <cell r="C192">
            <v>3312</v>
          </cell>
          <cell r="D192">
            <v>3479.76</v>
          </cell>
          <cell r="E192">
            <v>3933.36</v>
          </cell>
          <cell r="F192">
            <v>4500</v>
          </cell>
          <cell r="G192">
            <v>4795.2</v>
          </cell>
          <cell r="H192">
            <v>4860</v>
          </cell>
          <cell r="I192">
            <v>4928.625</v>
          </cell>
          <cell r="J192">
            <v>4915.1790000000001</v>
          </cell>
          <cell r="K192">
            <v>5137.1099999999997</v>
          </cell>
          <cell r="L192">
            <v>5273.0460000000003</v>
          </cell>
          <cell r="M192">
            <v>5990.625</v>
          </cell>
          <cell r="O192">
            <v>5980.5</v>
          </cell>
          <cell r="P192">
            <v>5980.5</v>
          </cell>
          <cell r="Q192">
            <v>5980.8374999999996</v>
          </cell>
          <cell r="R192">
            <v>6003.3284999999996</v>
          </cell>
          <cell r="S192">
            <v>5986.2915000000003</v>
          </cell>
          <cell r="U192">
            <v>6027.9795000000004</v>
          </cell>
          <cell r="V192">
            <v>6036.39</v>
          </cell>
          <cell r="W192">
            <v>6034.3109999999997</v>
          </cell>
          <cell r="X192">
            <v>6034.5</v>
          </cell>
          <cell r="Y192">
            <v>6033.2951250000006</v>
          </cell>
          <cell r="AA192">
            <v>5908.9319999999998</v>
          </cell>
          <cell r="AB192">
            <v>5920.17</v>
          </cell>
          <cell r="AC192">
            <v>5910.93</v>
          </cell>
          <cell r="AD192">
            <v>5880.6959999999999</v>
          </cell>
          <cell r="AE192">
            <v>5905.1819999999998</v>
          </cell>
          <cell r="AG192">
            <v>5875.7120000000004</v>
          </cell>
          <cell r="AH192">
            <v>5894.9480000000003</v>
          </cell>
          <cell r="AI192">
            <v>5849.6840000000002</v>
          </cell>
          <cell r="AJ192">
            <v>5842.0439999999999</v>
          </cell>
          <cell r="AK192">
            <v>5865.5969999999998</v>
          </cell>
          <cell r="AM192">
            <v>5837.3639999999996</v>
          </cell>
          <cell r="AN192">
            <v>5783.04</v>
          </cell>
          <cell r="AO192">
            <v>5761.4080000000004</v>
          </cell>
          <cell r="AP192">
            <v>5747.5919999999996</v>
          </cell>
          <cell r="AQ192">
            <v>5782.3509999999997</v>
          </cell>
          <cell r="AS192">
            <v>5721.84</v>
          </cell>
          <cell r="AT192">
            <v>5717.78</v>
          </cell>
          <cell r="AU192">
            <v>5637.8779999999997</v>
          </cell>
          <cell r="AV192">
            <v>5637.8559999999998</v>
          </cell>
          <cell r="AW192">
            <v>5678.8384999999998</v>
          </cell>
          <cell r="AY192">
            <v>5604.058</v>
          </cell>
          <cell r="AZ192">
            <v>5584.4279999999999</v>
          </cell>
          <cell r="BA192">
            <v>5595.808</v>
          </cell>
          <cell r="BB192">
            <v>5602.59</v>
          </cell>
          <cell r="BC192">
            <v>5596.7210000000005</v>
          </cell>
          <cell r="BE192">
            <v>5579.8109999999997</v>
          </cell>
          <cell r="BF192">
            <v>5528.3720000000003</v>
          </cell>
          <cell r="BG192">
            <v>5492.2969999999996</v>
          </cell>
          <cell r="BH192">
            <v>5471.6170000000002</v>
          </cell>
          <cell r="BI192">
            <v>5518.0242500000004</v>
          </cell>
          <cell r="BK192">
            <v>5399</v>
          </cell>
          <cell r="BL192">
            <v>5309</v>
          </cell>
          <cell r="BM192">
            <v>5259</v>
          </cell>
          <cell r="BN192">
            <v>5240</v>
          </cell>
          <cell r="BO192">
            <v>5302</v>
          </cell>
          <cell r="BQ192">
            <v>5230</v>
          </cell>
          <cell r="BR192">
            <v>5226</v>
          </cell>
          <cell r="BS192">
            <v>5218</v>
          </cell>
          <cell r="BT192">
            <v>5185</v>
          </cell>
          <cell r="BU192">
            <v>5214.75</v>
          </cell>
          <cell r="BW192">
            <v>5154</v>
          </cell>
          <cell r="BX192">
            <v>5123</v>
          </cell>
          <cell r="BY192">
            <v>5122</v>
          </cell>
          <cell r="BZ192">
            <v>5145</v>
          </cell>
          <cell r="CA192">
            <v>5136</v>
          </cell>
          <cell r="CC192">
            <v>5148</v>
          </cell>
          <cell r="CD192">
            <v>5152</v>
          </cell>
          <cell r="CE192">
            <v>5207</v>
          </cell>
          <cell r="CF192">
            <v>5278</v>
          </cell>
          <cell r="CG192">
            <v>5196.25</v>
          </cell>
          <cell r="CI192">
            <v>5217</v>
          </cell>
          <cell r="CJ192">
            <v>5184</v>
          </cell>
          <cell r="CK192">
            <v>5159</v>
          </cell>
          <cell r="CL192">
            <v>5122</v>
          </cell>
          <cell r="CM192">
            <v>5170.5</v>
          </cell>
          <cell r="CO192">
            <v>5110</v>
          </cell>
          <cell r="CP192">
            <v>5125</v>
          </cell>
          <cell r="CQ192">
            <v>5148</v>
          </cell>
          <cell r="CR192">
            <v>5150</v>
          </cell>
          <cell r="CS192">
            <v>5133.25</v>
          </cell>
          <cell r="CU192">
            <v>5152</v>
          </cell>
          <cell r="CV192">
            <v>5127</v>
          </cell>
          <cell r="CW192">
            <v>5014.5</v>
          </cell>
          <cell r="CX192">
            <v>4995</v>
          </cell>
          <cell r="CY192">
            <v>5072.125</v>
          </cell>
          <cell r="DA192">
            <v>5009</v>
          </cell>
          <cell r="DB192">
            <v>5010</v>
          </cell>
          <cell r="DC192">
            <v>5015</v>
          </cell>
          <cell r="DE192">
            <v>5014</v>
          </cell>
          <cell r="DG192">
            <v>5026</v>
          </cell>
          <cell r="DH192">
            <v>5044</v>
          </cell>
          <cell r="DI192">
            <v>5057</v>
          </cell>
          <cell r="DJ192">
            <v>5065</v>
          </cell>
          <cell r="DK192">
            <v>5048</v>
          </cell>
          <cell r="DM192">
            <v>5062</v>
          </cell>
          <cell r="DN192">
            <v>5041</v>
          </cell>
          <cell r="DO192">
            <v>5007</v>
          </cell>
          <cell r="DP192">
            <v>4905</v>
          </cell>
          <cell r="DQ192">
            <v>5003.75</v>
          </cell>
          <cell r="DS192">
            <v>4867</v>
          </cell>
          <cell r="DT192">
            <v>4792</v>
          </cell>
          <cell r="DU192">
            <v>4735</v>
          </cell>
          <cell r="DV192">
            <v>4684</v>
          </cell>
          <cell r="DW192">
            <v>4769.5</v>
          </cell>
          <cell r="DY192">
            <v>4608</v>
          </cell>
          <cell r="DZ192">
            <v>4539.3099123750089</v>
          </cell>
          <cell r="EA192">
            <v>4496</v>
          </cell>
          <cell r="EB192">
            <v>4475</v>
          </cell>
          <cell r="EC192">
            <v>4529.5774780937518</v>
          </cell>
          <cell r="EE192">
            <v>4451</v>
          </cell>
          <cell r="EF192">
            <v>4417</v>
          </cell>
          <cell r="EG192">
            <v>4389</v>
          </cell>
          <cell r="EH192">
            <v>4359</v>
          </cell>
          <cell r="EI192">
            <v>4404</v>
          </cell>
          <cell r="EK192">
            <v>4317</v>
          </cell>
          <cell r="EL192">
            <v>4239</v>
          </cell>
          <cell r="EM192">
            <v>4212.9074352730695</v>
          </cell>
          <cell r="EN192">
            <v>4169.7362645682188</v>
          </cell>
          <cell r="EO192">
            <v>4234.6609249603225</v>
          </cell>
          <cell r="EQ192">
            <v>4129.8953398718859</v>
          </cell>
          <cell r="ER192">
            <v>4104.7610768108389</v>
          </cell>
          <cell r="ES192">
            <v>4077.2774951924484</v>
          </cell>
          <cell r="ET192">
            <v>4036.1568879751503</v>
          </cell>
          <cell r="EU192">
            <v>4087.0226999625811</v>
          </cell>
          <cell r="EW192">
            <v>3999.045711907509</v>
          </cell>
          <cell r="EX192">
            <v>3977.6728220572177</v>
          </cell>
          <cell r="EY192">
            <v>3953.775889420338</v>
          </cell>
          <cell r="EZ192">
            <v>3915.5739995489967</v>
          </cell>
          <cell r="FA192">
            <v>3961.5171057335156</v>
          </cell>
        </row>
        <row r="193">
          <cell r="C193">
            <v>1</v>
          </cell>
          <cell r="D193">
            <v>1</v>
          </cell>
          <cell r="E193">
            <v>1</v>
          </cell>
          <cell r="F193">
            <v>1</v>
          </cell>
          <cell r="G193">
            <v>1</v>
          </cell>
          <cell r="H193">
            <v>1</v>
          </cell>
          <cell r="I193">
            <v>1</v>
          </cell>
          <cell r="J193">
            <v>1</v>
          </cell>
          <cell r="K193">
            <v>1</v>
          </cell>
          <cell r="L193">
            <v>1</v>
          </cell>
          <cell r="M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1</v>
          </cell>
          <cell r="S193">
            <v>1</v>
          </cell>
          <cell r="U193">
            <v>1</v>
          </cell>
          <cell r="V193">
            <v>1</v>
          </cell>
          <cell r="W193">
            <v>1</v>
          </cell>
          <cell r="X193">
            <v>1</v>
          </cell>
          <cell r="Y193">
            <v>1</v>
          </cell>
          <cell r="AA193">
            <v>1.0262920609003454</v>
          </cell>
          <cell r="AB193">
            <v>1.0275961670019611</v>
          </cell>
          <cell r="AC193">
            <v>1.0249950515401129</v>
          </cell>
          <cell r="AD193">
            <v>1.023105428337054</v>
          </cell>
          <cell r="AE193">
            <v>1.0255009921794112</v>
          </cell>
          <cell r="AG193">
            <v>1.0275513844109445</v>
          </cell>
          <cell r="AH193">
            <v>1.0265311924719267</v>
          </cell>
          <cell r="AI193">
            <v>1.0171229762154674</v>
          </cell>
          <cell r="AJ193">
            <v>1.0192692831481585</v>
          </cell>
          <cell r="AK193">
            <v>1.0226328198135672</v>
          </cell>
          <cell r="AM193">
            <v>1.0167078839010213</v>
          </cell>
          <cell r="AN193">
            <v>1.0201589475431607</v>
          </cell>
          <cell r="AO193">
            <v>1.0382607862522495</v>
          </cell>
          <cell r="AP193">
            <v>1.0319514676755066</v>
          </cell>
          <cell r="AQ193">
            <v>1.026727450478188</v>
          </cell>
          <cell r="AS193">
            <v>1.0424625644897445</v>
          </cell>
          <cell r="AT193">
            <v>1.0515619698554335</v>
          </cell>
          <cell r="AU193">
            <v>1.063587754115999</v>
          </cell>
          <cell r="AV193">
            <v>1.06593463898333</v>
          </cell>
          <cell r="AW193">
            <v>1.0558218903390191</v>
          </cell>
          <cell r="AY193">
            <v>1.0586739109409646</v>
          </cell>
          <cell r="AZ193">
            <v>1.0520302168816573</v>
          </cell>
          <cell r="BA193">
            <v>1.0456636467870233</v>
          </cell>
          <cell r="BB193">
            <v>1.0352412009445631</v>
          </cell>
          <cell r="BC193">
            <v>1.0479002794672092</v>
          </cell>
          <cell r="BE193">
            <v>1.0358809644269313</v>
          </cell>
          <cell r="BF193">
            <v>1.0302960799309453</v>
          </cell>
          <cell r="BG193">
            <v>1.0322336902028424</v>
          </cell>
          <cell r="BH193">
            <v>1.0254054697176356</v>
          </cell>
          <cell r="BI193">
            <v>1.0309777090957872</v>
          </cell>
          <cell r="BK193">
            <v>1.0214854602704204</v>
          </cell>
          <cell r="BL193">
            <v>1.0209078922584292</v>
          </cell>
          <cell r="BM193">
            <v>1.0235786271154212</v>
          </cell>
          <cell r="BN193">
            <v>1.0221374045801526</v>
          </cell>
          <cell r="BO193">
            <v>1.0218785364013581</v>
          </cell>
          <cell r="BQ193">
            <v>1.0223709369024856</v>
          </cell>
          <cell r="BR193">
            <v>1.0212399540757751</v>
          </cell>
          <cell r="BS193">
            <v>1.0228056726715216</v>
          </cell>
          <cell r="BT193">
            <v>1.0189006750241081</v>
          </cell>
          <cell r="BU193">
            <v>1.0213337168608274</v>
          </cell>
          <cell r="BW193">
            <v>1.0168800931315483</v>
          </cell>
          <cell r="BX193">
            <v>1.018543821979309</v>
          </cell>
          <cell r="BY193">
            <v>1.0210855134713002</v>
          </cell>
          <cell r="BZ193">
            <v>1.0172983479105928</v>
          </cell>
          <cell r="CA193">
            <v>1.0184482087227413</v>
          </cell>
          <cell r="CC193">
            <v>1.0186480186480187</v>
          </cell>
          <cell r="CD193">
            <v>1.016692546583851</v>
          </cell>
          <cell r="CE193">
            <v>1.018628768964855</v>
          </cell>
          <cell r="CF193">
            <v>1.0179992421371731</v>
          </cell>
          <cell r="CG193">
            <v>1.0179937454895358</v>
          </cell>
          <cell r="CI193">
            <v>1.0172512938470386</v>
          </cell>
          <cell r="CJ193">
            <v>1.0229552469135803</v>
          </cell>
          <cell r="CK193">
            <v>1.0199651095173483</v>
          </cell>
          <cell r="CL193">
            <v>1.0199140960562281</v>
          </cell>
          <cell r="CM193">
            <v>1.0200174064403829</v>
          </cell>
          <cell r="CO193">
            <v>1.0215264187866928</v>
          </cell>
          <cell r="CP193">
            <v>1.0210731707317073</v>
          </cell>
          <cell r="CQ193">
            <v>1.0075757575757576</v>
          </cell>
          <cell r="CR193">
            <v>1.016116504854369</v>
          </cell>
          <cell r="CS193">
            <v>1.0165587103686748</v>
          </cell>
          <cell r="CU193">
            <v>1.0161102484472049</v>
          </cell>
          <cell r="CV193">
            <v>1.0117027501462843</v>
          </cell>
          <cell r="CW193">
            <v>1.0082759996011565</v>
          </cell>
          <cell r="CX193">
            <v>1.0096096096096097</v>
          </cell>
          <cell r="CY193">
            <v>1.0114596939152722</v>
          </cell>
          <cell r="DA193">
            <v>1.0107805949291275</v>
          </cell>
          <cell r="DB193">
            <v>1.0107784431137725</v>
          </cell>
          <cell r="DC193">
            <v>1.0121635094715853</v>
          </cell>
          <cell r="DE193">
            <v>1.0118169126445951</v>
          </cell>
          <cell r="DG193">
            <v>1.0113410266613609</v>
          </cell>
          <cell r="DH193">
            <v>1.0144726407613005</v>
          </cell>
          <cell r="DI193">
            <v>1.0181926043108562</v>
          </cell>
          <cell r="DJ193">
            <v>1.0195459032576506</v>
          </cell>
          <cell r="DK193">
            <v>1.0158973851030111</v>
          </cell>
          <cell r="DM193">
            <v>1.0173844330304227</v>
          </cell>
          <cell r="DN193">
            <v>1.0162666137671097</v>
          </cell>
          <cell r="DO193">
            <v>1.0145795885759936</v>
          </cell>
          <cell r="DP193">
            <v>1.0248725790010194</v>
          </cell>
          <cell r="DQ193">
            <v>1.0182363227579316</v>
          </cell>
          <cell r="DS193">
            <v>1.0147935072940208</v>
          </cell>
          <cell r="DT193">
            <v>1.0158597662771285</v>
          </cell>
          <cell r="DU193">
            <v>1.0162618796198521</v>
          </cell>
          <cell r="DV193">
            <v>1.0153714773697695</v>
          </cell>
          <cell r="DW193">
            <v>1.0155676695670406</v>
          </cell>
          <cell r="DY193">
            <v>1.0143229166666667</v>
          </cell>
          <cell r="DZ193">
            <v>1.0133698929565347</v>
          </cell>
          <cell r="EA193">
            <v>1.0175711743772242</v>
          </cell>
          <cell r="EB193">
            <v>1.0210055865921788</v>
          </cell>
          <cell r="EC193">
            <v>1.0165407308448953</v>
          </cell>
          <cell r="EE193">
            <v>1.0217928555380813</v>
          </cell>
          <cell r="EF193">
            <v>1.0199230246773829</v>
          </cell>
          <cell r="EG193">
            <v>1.0239234449760766</v>
          </cell>
          <cell r="EH193">
            <v>1.0238586831842165</v>
          </cell>
          <cell r="EI193">
            <v>1.0223660308810172</v>
          </cell>
          <cell r="EK193">
            <v>1.0220060227009498</v>
          </cell>
          <cell r="EL193">
            <v>1.0181646614767634</v>
          </cell>
          <cell r="EM193">
            <v>1.0182771639735799</v>
          </cell>
          <cell r="EN193">
            <v>1.0184663957416917</v>
          </cell>
          <cell r="EO193">
            <v>1.0192459328962127</v>
          </cell>
          <cell r="EQ193">
            <v>1.0186445402760227</v>
          </cell>
          <cell r="ER193">
            <v>1.0187587044797806</v>
          </cell>
          <cell r="ES193">
            <v>1.0188851507141203</v>
          </cell>
          <cell r="ET193">
            <v>1.0190775537564967</v>
          </cell>
          <cell r="EU193">
            <v>1.0188401204624347</v>
          </cell>
          <cell r="EW193">
            <v>1.0192545936073514</v>
          </cell>
          <cell r="EX193">
            <v>1.0193580526716564</v>
          </cell>
          <cell r="EY193">
            <v>1.019475054265478</v>
          </cell>
          <cell r="EZ193">
            <v>1.0196650606038524</v>
          </cell>
          <cell r="FA193">
            <v>1.0194369979845745</v>
          </cell>
        </row>
        <row r="194"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O194">
            <v>0</v>
          </cell>
          <cell r="P194">
            <v>0</v>
          </cell>
          <cell r="Q194">
            <v>0</v>
          </cell>
          <cell r="R194">
            <v>0</v>
          </cell>
          <cell r="S194">
            <v>0</v>
          </cell>
          <cell r="U194">
            <v>0</v>
          </cell>
          <cell r="V194">
            <v>0</v>
          </cell>
          <cell r="W194">
            <v>0</v>
          </cell>
          <cell r="X194">
            <v>0</v>
          </cell>
          <cell r="Y194">
            <v>0</v>
          </cell>
          <cell r="AA194">
            <v>0</v>
          </cell>
          <cell r="AB194">
            <v>0</v>
          </cell>
          <cell r="AC194">
            <v>0</v>
          </cell>
          <cell r="AD194">
            <v>0</v>
          </cell>
          <cell r="AE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M194">
            <v>0</v>
          </cell>
          <cell r="AN194">
            <v>0</v>
          </cell>
          <cell r="AO194">
            <v>0</v>
          </cell>
          <cell r="AP194">
            <v>0</v>
          </cell>
          <cell r="AQ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5614.6718979999996</v>
          </cell>
          <cell r="AY194">
            <v>0</v>
          </cell>
          <cell r="AZ194">
            <v>0</v>
          </cell>
          <cell r="BA194">
            <v>5609.9703170000003</v>
          </cell>
          <cell r="BB194">
            <v>5592.360823</v>
          </cell>
          <cell r="BC194">
            <v>5592.360823</v>
          </cell>
          <cell r="BE194">
            <v>5558.9174400000002</v>
          </cell>
          <cell r="BF194">
            <v>5496.0547319999996</v>
          </cell>
          <cell r="BG194">
            <v>5490.3405579999999</v>
          </cell>
          <cell r="BH194">
            <v>5431</v>
          </cell>
          <cell r="BI194">
            <v>5431</v>
          </cell>
          <cell r="BK194">
            <v>5356</v>
          </cell>
          <cell r="BL194">
            <v>5269</v>
          </cell>
          <cell r="BM194">
            <v>5242</v>
          </cell>
          <cell r="BN194">
            <v>5233</v>
          </cell>
          <cell r="BO194">
            <v>5233</v>
          </cell>
          <cell r="BQ194">
            <v>5224</v>
          </cell>
          <cell r="BR194">
            <v>5226</v>
          </cell>
          <cell r="BS194">
            <v>5195</v>
          </cell>
          <cell r="BT194">
            <v>5171</v>
          </cell>
          <cell r="BU194">
            <v>5171</v>
          </cell>
          <cell r="BW194">
            <v>5128</v>
          </cell>
          <cell r="BX194">
            <v>5104</v>
          </cell>
          <cell r="BY194">
            <v>5136</v>
          </cell>
          <cell r="BZ194">
            <v>5145</v>
          </cell>
          <cell r="CA194">
            <v>5145</v>
          </cell>
          <cell r="CC194">
            <v>5149</v>
          </cell>
          <cell r="CD194">
            <v>5154</v>
          </cell>
          <cell r="CE194">
            <v>5312</v>
          </cell>
          <cell r="CF194">
            <v>5232</v>
          </cell>
          <cell r="CG194">
            <v>5232</v>
          </cell>
          <cell r="CI194">
            <v>5185</v>
          </cell>
          <cell r="CJ194">
            <v>5178</v>
          </cell>
          <cell r="CK194">
            <v>5136</v>
          </cell>
          <cell r="CL194">
            <v>5107</v>
          </cell>
          <cell r="CM194">
            <v>5107</v>
          </cell>
          <cell r="CO194">
            <v>5117</v>
          </cell>
          <cell r="CP194">
            <v>5128</v>
          </cell>
          <cell r="CQ194">
            <v>5149</v>
          </cell>
          <cell r="CR194">
            <v>5150</v>
          </cell>
          <cell r="CS194">
            <v>5150</v>
          </cell>
          <cell r="CU194">
            <v>5100</v>
          </cell>
          <cell r="CV194">
            <v>5046</v>
          </cell>
          <cell r="CW194">
            <v>4983</v>
          </cell>
          <cell r="CX194">
            <v>5005</v>
          </cell>
          <cell r="CY194">
            <v>5005</v>
          </cell>
          <cell r="DA194">
            <v>5012</v>
          </cell>
          <cell r="DB194">
            <v>5009</v>
          </cell>
          <cell r="DC194">
            <v>5015</v>
          </cell>
          <cell r="DE194">
            <v>5026</v>
          </cell>
          <cell r="DG194">
            <v>5025</v>
          </cell>
          <cell r="DH194">
            <v>5051</v>
          </cell>
          <cell r="DI194">
            <v>5061</v>
          </cell>
          <cell r="DJ194">
            <v>5068</v>
          </cell>
          <cell r="DK194">
            <v>5068</v>
          </cell>
          <cell r="DM194">
            <v>5051</v>
          </cell>
          <cell r="DN194">
            <v>5032</v>
          </cell>
          <cell r="DO194">
            <v>4979</v>
          </cell>
          <cell r="DP194">
            <v>4905</v>
          </cell>
          <cell r="DQ194">
            <v>4905</v>
          </cell>
          <cell r="DS194">
            <v>4831</v>
          </cell>
          <cell r="DT194">
            <v>4748</v>
          </cell>
          <cell r="DU194">
            <v>4719</v>
          </cell>
          <cell r="DV194">
            <v>4635</v>
          </cell>
          <cell r="DW194">
            <v>4635</v>
          </cell>
          <cell r="DY194">
            <v>4569</v>
          </cell>
          <cell r="DZ194">
            <v>4535</v>
          </cell>
          <cell r="EA194">
            <v>4483</v>
          </cell>
          <cell r="EB194">
            <v>4464</v>
          </cell>
          <cell r="EC194">
            <v>4464</v>
          </cell>
          <cell r="EE194">
            <v>4438</v>
          </cell>
          <cell r="EF194">
            <v>4398</v>
          </cell>
          <cell r="EG194">
            <v>4373</v>
          </cell>
          <cell r="EH194">
            <v>4343</v>
          </cell>
          <cell r="EI194">
            <v>4343</v>
          </cell>
          <cell r="EK194">
            <v>4282</v>
          </cell>
          <cell r="EL194">
            <v>4234.2553728070307</v>
          </cell>
          <cell r="EM194">
            <v>4191.5594977391092</v>
          </cell>
          <cell r="EN194">
            <v>4147.9130313973292</v>
          </cell>
          <cell r="EO194">
            <v>4147.9130313973292</v>
          </cell>
          <cell r="EQ194">
            <v>4111.8776483464426</v>
          </cell>
          <cell r="ER194">
            <v>4097.6445052752351</v>
          </cell>
          <cell r="ES194">
            <v>4056.9104851096613</v>
          </cell>
          <cell r="ET194">
            <v>4015.4032908406393</v>
          </cell>
          <cell r="EU194">
            <v>4015.4032908406393</v>
          </cell>
          <cell r="EW194">
            <v>3982.6881329743792</v>
          </cell>
          <cell r="EX194">
            <v>3972.6575111400562</v>
          </cell>
          <cell r="EY194">
            <v>3934.8942677006203</v>
          </cell>
          <cell r="EZ194">
            <v>3896.2537313973735</v>
          </cell>
          <cell r="FA194">
            <v>3896.2537313973735</v>
          </cell>
        </row>
        <row r="195"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O195">
            <v>0</v>
          </cell>
          <cell r="P195">
            <v>0</v>
          </cell>
          <cell r="Q195">
            <v>0</v>
          </cell>
          <cell r="R195">
            <v>0</v>
          </cell>
          <cell r="S195">
            <v>0</v>
          </cell>
          <cell r="U195">
            <v>0</v>
          </cell>
          <cell r="V195">
            <v>0</v>
          </cell>
          <cell r="W195">
            <v>0</v>
          </cell>
          <cell r="X195">
            <v>0</v>
          </cell>
          <cell r="Y195">
            <v>0</v>
          </cell>
          <cell r="AA195">
            <v>0</v>
          </cell>
          <cell r="AB195">
            <v>0</v>
          </cell>
          <cell r="AC195">
            <v>0</v>
          </cell>
          <cell r="AD195">
            <v>0</v>
          </cell>
          <cell r="AE195">
            <v>0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M195">
            <v>0</v>
          </cell>
          <cell r="AN195">
            <v>0</v>
          </cell>
          <cell r="AO195">
            <v>0</v>
          </cell>
          <cell r="AP195">
            <v>0</v>
          </cell>
          <cell r="AQ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0</v>
          </cell>
          <cell r="BK195">
            <v>0</v>
          </cell>
          <cell r="BL195">
            <v>0</v>
          </cell>
          <cell r="BM195">
            <v>0</v>
          </cell>
          <cell r="BN195">
            <v>0</v>
          </cell>
          <cell r="BO195">
            <v>0</v>
          </cell>
          <cell r="BQ195">
            <v>0</v>
          </cell>
          <cell r="BR195">
            <v>0</v>
          </cell>
          <cell r="BS195">
            <v>0</v>
          </cell>
          <cell r="BT195">
            <v>0</v>
          </cell>
          <cell r="BU195">
            <v>0</v>
          </cell>
          <cell r="BW195">
            <v>0</v>
          </cell>
          <cell r="BX195">
            <v>0</v>
          </cell>
          <cell r="BY195">
            <v>0</v>
          </cell>
          <cell r="BZ195">
            <v>0</v>
          </cell>
          <cell r="CA195">
            <v>0</v>
          </cell>
          <cell r="CC195">
            <v>0</v>
          </cell>
          <cell r="CD195">
            <v>0</v>
          </cell>
          <cell r="CE195">
            <v>0</v>
          </cell>
          <cell r="CF195">
            <v>0</v>
          </cell>
          <cell r="CG195">
            <v>0</v>
          </cell>
          <cell r="CI195">
            <v>0</v>
          </cell>
          <cell r="CJ195">
            <v>0</v>
          </cell>
          <cell r="CK195">
            <v>0</v>
          </cell>
          <cell r="CL195">
            <v>0</v>
          </cell>
          <cell r="CM195">
            <v>0</v>
          </cell>
          <cell r="CO195">
            <v>0</v>
          </cell>
          <cell r="CP195">
            <v>0</v>
          </cell>
          <cell r="CQ195">
            <v>0</v>
          </cell>
          <cell r="CR195">
            <v>0</v>
          </cell>
          <cell r="CS195">
            <v>0</v>
          </cell>
          <cell r="CU195">
            <v>0</v>
          </cell>
          <cell r="CV195">
            <v>0</v>
          </cell>
          <cell r="CW195">
            <v>0</v>
          </cell>
          <cell r="CX195">
            <v>0</v>
          </cell>
          <cell r="CY195">
            <v>0</v>
          </cell>
          <cell r="DA195">
            <v>0</v>
          </cell>
          <cell r="DB195">
            <v>0</v>
          </cell>
          <cell r="DC195">
            <v>0</v>
          </cell>
          <cell r="DE195">
            <v>0</v>
          </cell>
          <cell r="DG195">
            <v>0</v>
          </cell>
          <cell r="DH195">
            <v>0</v>
          </cell>
          <cell r="DI195">
            <v>0</v>
          </cell>
          <cell r="DJ195">
            <v>0</v>
          </cell>
          <cell r="DK195">
            <v>0</v>
          </cell>
          <cell r="DM195">
            <v>0</v>
          </cell>
          <cell r="DN195">
            <v>0</v>
          </cell>
          <cell r="DO195">
            <v>0</v>
          </cell>
          <cell r="DP195">
            <v>0</v>
          </cell>
          <cell r="DQ195">
            <v>0</v>
          </cell>
          <cell r="DS195">
            <v>0</v>
          </cell>
          <cell r="DT195">
            <v>0</v>
          </cell>
          <cell r="DU195">
            <v>0</v>
          </cell>
          <cell r="DV195">
            <v>0</v>
          </cell>
          <cell r="DW195">
            <v>0</v>
          </cell>
          <cell r="DY195">
            <v>0</v>
          </cell>
          <cell r="DZ195">
            <v>0</v>
          </cell>
          <cell r="EA195">
            <v>0</v>
          </cell>
          <cell r="EB195">
            <v>0</v>
          </cell>
          <cell r="EC195">
            <v>0</v>
          </cell>
          <cell r="EE195">
            <v>0</v>
          </cell>
          <cell r="EF195">
            <v>0</v>
          </cell>
          <cell r="EG195">
            <v>0</v>
          </cell>
          <cell r="EH195">
            <v>0</v>
          </cell>
          <cell r="EI195">
            <v>0</v>
          </cell>
          <cell r="EK195">
            <v>0</v>
          </cell>
          <cell r="EL195">
            <v>0</v>
          </cell>
          <cell r="EM195">
            <v>0</v>
          </cell>
          <cell r="EN195">
            <v>0</v>
          </cell>
          <cell r="EO195">
            <v>0</v>
          </cell>
          <cell r="EQ195">
            <v>0</v>
          </cell>
          <cell r="ER195">
            <v>0</v>
          </cell>
          <cell r="ES195">
            <v>0</v>
          </cell>
          <cell r="ET195">
            <v>0</v>
          </cell>
          <cell r="EU195">
            <v>0</v>
          </cell>
          <cell r="EW195">
            <v>0</v>
          </cell>
          <cell r="EX195">
            <v>0</v>
          </cell>
          <cell r="EY195">
            <v>0</v>
          </cell>
          <cell r="EZ195">
            <v>0</v>
          </cell>
          <cell r="FA195">
            <v>0</v>
          </cell>
        </row>
        <row r="196"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O196">
            <v>0</v>
          </cell>
          <cell r="P196">
            <v>0</v>
          </cell>
          <cell r="Q196">
            <v>0</v>
          </cell>
          <cell r="R196">
            <v>0</v>
          </cell>
          <cell r="S196">
            <v>0</v>
          </cell>
          <cell r="U196">
            <v>0</v>
          </cell>
          <cell r="V196">
            <v>0</v>
          </cell>
          <cell r="W196">
            <v>0</v>
          </cell>
          <cell r="X196">
            <v>0</v>
          </cell>
          <cell r="Y196">
            <v>0</v>
          </cell>
          <cell r="AA196">
            <v>0</v>
          </cell>
          <cell r="AB196">
            <v>0</v>
          </cell>
          <cell r="AC196">
            <v>0</v>
          </cell>
          <cell r="AD196">
            <v>0</v>
          </cell>
          <cell r="AE196">
            <v>0</v>
          </cell>
          <cell r="AG196">
            <v>0</v>
          </cell>
          <cell r="AH196">
            <v>0</v>
          </cell>
          <cell r="AI196">
            <v>0</v>
          </cell>
          <cell r="AJ196">
            <v>0</v>
          </cell>
          <cell r="AK196">
            <v>0</v>
          </cell>
          <cell r="AM196">
            <v>0</v>
          </cell>
          <cell r="AN196">
            <v>0</v>
          </cell>
          <cell r="AO196">
            <v>0</v>
          </cell>
          <cell r="AP196">
            <v>0</v>
          </cell>
          <cell r="AQ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0</v>
          </cell>
          <cell r="BK196">
            <v>0</v>
          </cell>
          <cell r="BL196">
            <v>0</v>
          </cell>
          <cell r="BM196">
            <v>0</v>
          </cell>
          <cell r="BN196">
            <v>0</v>
          </cell>
          <cell r="BO196">
            <v>0</v>
          </cell>
          <cell r="BQ196">
            <v>0</v>
          </cell>
          <cell r="BR196">
            <v>0</v>
          </cell>
          <cell r="BS196">
            <v>0</v>
          </cell>
          <cell r="BT196">
            <v>0</v>
          </cell>
          <cell r="BU196">
            <v>0</v>
          </cell>
          <cell r="BW196">
            <v>0</v>
          </cell>
          <cell r="BX196">
            <v>0</v>
          </cell>
          <cell r="BY196">
            <v>0</v>
          </cell>
          <cell r="BZ196">
            <v>0</v>
          </cell>
          <cell r="CA196">
            <v>0</v>
          </cell>
          <cell r="CC196">
            <v>0</v>
          </cell>
          <cell r="CD196">
            <v>0</v>
          </cell>
          <cell r="CE196">
            <v>0</v>
          </cell>
          <cell r="CF196">
            <v>0</v>
          </cell>
          <cell r="CG196">
            <v>0</v>
          </cell>
          <cell r="CI196">
            <v>0</v>
          </cell>
          <cell r="CJ196">
            <v>0</v>
          </cell>
          <cell r="CK196">
            <v>0</v>
          </cell>
          <cell r="CL196">
            <v>0</v>
          </cell>
          <cell r="CM196">
            <v>0</v>
          </cell>
          <cell r="CO196">
            <v>0</v>
          </cell>
          <cell r="CP196">
            <v>0</v>
          </cell>
          <cell r="CQ196">
            <v>0</v>
          </cell>
          <cell r="CR196">
            <v>0</v>
          </cell>
          <cell r="CS196">
            <v>0</v>
          </cell>
          <cell r="CU196">
            <v>0</v>
          </cell>
          <cell r="CV196">
            <v>0</v>
          </cell>
          <cell r="CW196">
            <v>0</v>
          </cell>
          <cell r="CX196">
            <v>0.05</v>
          </cell>
          <cell r="CY196">
            <v>0.05</v>
          </cell>
          <cell r="DA196">
            <v>0.05</v>
          </cell>
          <cell r="DB196">
            <v>0.05</v>
          </cell>
          <cell r="DC196">
            <v>0.05</v>
          </cell>
          <cell r="DE196">
            <v>0.2</v>
          </cell>
          <cell r="DG196">
            <v>0.05</v>
          </cell>
          <cell r="DH196">
            <v>0.05</v>
          </cell>
          <cell r="DI196">
            <v>0.05</v>
          </cell>
          <cell r="DJ196">
            <v>0.06</v>
          </cell>
          <cell r="DK196">
            <v>0.21000000000000002</v>
          </cell>
          <cell r="DM196">
            <v>0.06</v>
          </cell>
          <cell r="DN196">
            <v>0.06</v>
          </cell>
          <cell r="DO196">
            <v>0.06</v>
          </cell>
          <cell r="DP196">
            <v>0.06</v>
          </cell>
          <cell r="DQ196">
            <v>0.24</v>
          </cell>
          <cell r="DS196">
            <v>0.06</v>
          </cell>
          <cell r="DT196">
            <v>0.06</v>
          </cell>
          <cell r="DU196">
            <v>0.18</v>
          </cell>
          <cell r="DV196">
            <v>0</v>
          </cell>
          <cell r="DW196">
            <v>0.3</v>
          </cell>
          <cell r="DY196">
            <v>0.12</v>
          </cell>
          <cell r="DZ196">
            <v>0.12</v>
          </cell>
          <cell r="EA196">
            <v>0.12</v>
          </cell>
          <cell r="EB196">
            <v>0.12</v>
          </cell>
          <cell r="EC196">
            <v>0.48</v>
          </cell>
          <cell r="EE196">
            <v>0.12</v>
          </cell>
          <cell r="EF196">
            <v>0.12</v>
          </cell>
          <cell r="EG196">
            <v>0.12</v>
          </cell>
          <cell r="EH196">
            <v>0.15</v>
          </cell>
          <cell r="EI196">
            <v>0.51</v>
          </cell>
          <cell r="EK196">
            <v>0.15</v>
          </cell>
          <cell r="EL196">
            <v>0.15</v>
          </cell>
          <cell r="EM196">
            <v>0.15</v>
          </cell>
          <cell r="EN196">
            <v>0.15</v>
          </cell>
          <cell r="EO196">
            <v>0.6</v>
          </cell>
          <cell r="EQ196">
            <v>0.15</v>
          </cell>
          <cell r="ER196">
            <v>0.15</v>
          </cell>
          <cell r="ES196">
            <v>0.15</v>
          </cell>
          <cell r="ET196">
            <v>0.15</v>
          </cell>
          <cell r="EU196">
            <v>0.6</v>
          </cell>
          <cell r="EW196">
            <v>0.15</v>
          </cell>
          <cell r="EX196">
            <v>0.15</v>
          </cell>
          <cell r="EY196">
            <v>0.15</v>
          </cell>
          <cell r="EZ196">
            <v>0.15</v>
          </cell>
          <cell r="FA196">
            <v>0.6</v>
          </cell>
        </row>
        <row r="197"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U197">
            <v>0</v>
          </cell>
          <cell r="V197">
            <v>0</v>
          </cell>
          <cell r="W197">
            <v>0</v>
          </cell>
          <cell r="X197">
            <v>0</v>
          </cell>
          <cell r="Y197">
            <v>0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0</v>
          </cell>
          <cell r="AM197">
            <v>0</v>
          </cell>
          <cell r="AN197">
            <v>0</v>
          </cell>
          <cell r="AO197">
            <v>0</v>
          </cell>
          <cell r="AP197">
            <v>0</v>
          </cell>
          <cell r="AQ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0</v>
          </cell>
          <cell r="BK197">
            <v>0</v>
          </cell>
          <cell r="BL197">
            <v>0</v>
          </cell>
          <cell r="BM197">
            <v>0</v>
          </cell>
          <cell r="BN197">
            <v>0</v>
          </cell>
          <cell r="BO197">
            <v>0</v>
          </cell>
          <cell r="BQ197">
            <v>0</v>
          </cell>
          <cell r="BR197">
            <v>0</v>
          </cell>
          <cell r="BS197">
            <v>0</v>
          </cell>
          <cell r="BT197">
            <v>0</v>
          </cell>
          <cell r="BU197">
            <v>0</v>
          </cell>
          <cell r="BW197">
            <v>0</v>
          </cell>
          <cell r="BX197">
            <v>0</v>
          </cell>
          <cell r="BY197">
            <v>0</v>
          </cell>
          <cell r="BZ197">
            <v>0</v>
          </cell>
          <cell r="CA197">
            <v>0</v>
          </cell>
          <cell r="CC197">
            <v>0</v>
          </cell>
          <cell r="CD197">
            <v>0</v>
          </cell>
          <cell r="CE197">
            <v>0</v>
          </cell>
          <cell r="CF197">
            <v>0</v>
          </cell>
          <cell r="CG197">
            <v>0</v>
          </cell>
          <cell r="CI197">
            <v>0</v>
          </cell>
          <cell r="CJ197">
            <v>0</v>
          </cell>
          <cell r="CK197">
            <v>0</v>
          </cell>
          <cell r="CL197">
            <v>0</v>
          </cell>
          <cell r="CM197">
            <v>0</v>
          </cell>
          <cell r="CO197">
            <v>0</v>
          </cell>
          <cell r="CP197">
            <v>0</v>
          </cell>
          <cell r="CQ197">
            <v>0</v>
          </cell>
          <cell r="CR197">
            <v>0</v>
          </cell>
          <cell r="CS197">
            <v>0</v>
          </cell>
          <cell r="CU197">
            <v>0</v>
          </cell>
          <cell r="CV197">
            <v>0</v>
          </cell>
          <cell r="CW197">
            <v>0</v>
          </cell>
          <cell r="CX197">
            <v>249.75</v>
          </cell>
          <cell r="CY197">
            <v>249.75</v>
          </cell>
          <cell r="DA197">
            <v>250.45000000000002</v>
          </cell>
          <cell r="DB197">
            <v>250.5</v>
          </cell>
          <cell r="DC197">
            <v>250.75</v>
          </cell>
          <cell r="DE197">
            <v>1002.8000000000001</v>
          </cell>
          <cell r="DG197">
            <v>251.3</v>
          </cell>
          <cell r="DH197">
            <v>252.20000000000002</v>
          </cell>
          <cell r="DI197">
            <v>252.85000000000002</v>
          </cell>
          <cell r="DJ197">
            <v>303.89999999999998</v>
          </cell>
          <cell r="DK197">
            <v>1060.25</v>
          </cell>
          <cell r="DM197">
            <v>303.71999999999997</v>
          </cell>
          <cell r="DN197">
            <v>302.45999999999998</v>
          </cell>
          <cell r="DO197">
            <v>300.42</v>
          </cell>
          <cell r="DP197">
            <v>294.3</v>
          </cell>
          <cell r="DQ197">
            <v>1200.8999999999999</v>
          </cell>
          <cell r="DS197">
            <v>292.02</v>
          </cell>
          <cell r="DT197">
            <v>287.52</v>
          </cell>
          <cell r="DU197">
            <v>852.3</v>
          </cell>
          <cell r="DV197">
            <v>0</v>
          </cell>
          <cell r="DW197">
            <v>1431.84</v>
          </cell>
          <cell r="DY197">
            <v>552.96</v>
          </cell>
          <cell r="DZ197">
            <v>544.71718948500109</v>
          </cell>
          <cell r="EA197">
            <v>539.52</v>
          </cell>
          <cell r="EB197">
            <v>537</v>
          </cell>
          <cell r="EC197">
            <v>2174.1971894850012</v>
          </cell>
          <cell r="EE197">
            <v>534.12</v>
          </cell>
          <cell r="EF197">
            <v>530.04</v>
          </cell>
          <cell r="EG197">
            <v>526.67999999999995</v>
          </cell>
          <cell r="EH197">
            <v>653.85</v>
          </cell>
          <cell r="EI197">
            <v>2244.6899999999996</v>
          </cell>
          <cell r="EK197">
            <v>647.54999999999995</v>
          </cell>
          <cell r="EL197">
            <v>635.85</v>
          </cell>
          <cell r="EM197">
            <v>631.9361152909604</v>
          </cell>
          <cell r="EN197">
            <v>625.46043968523281</v>
          </cell>
          <cell r="EO197">
            <v>2540.7965549761934</v>
          </cell>
          <cell r="EQ197">
            <v>619.4843009807829</v>
          </cell>
          <cell r="ER197">
            <v>615.71416152162578</v>
          </cell>
          <cell r="ES197">
            <v>611.59162427886724</v>
          </cell>
          <cell r="ET197">
            <v>605.4235331962725</v>
          </cell>
          <cell r="EU197">
            <v>2452.2136199775487</v>
          </cell>
          <cell r="EW197">
            <v>599.85685678612629</v>
          </cell>
          <cell r="EX197">
            <v>596.65092330858261</v>
          </cell>
          <cell r="EY197">
            <v>593.06638341305063</v>
          </cell>
          <cell r="EZ197">
            <v>587.3360999323495</v>
          </cell>
          <cell r="FA197">
            <v>2376.9102634401088</v>
          </cell>
        </row>
        <row r="198">
          <cell r="CG198">
            <v>0</v>
          </cell>
          <cell r="CM198">
            <v>0</v>
          </cell>
          <cell r="CS198">
            <v>0</v>
          </cell>
          <cell r="CY198">
            <v>0</v>
          </cell>
          <cell r="DE198">
            <v>0</v>
          </cell>
          <cell r="DK198">
            <v>0</v>
          </cell>
          <cell r="DQ198">
            <v>0</v>
          </cell>
          <cell r="DW198">
            <v>0</v>
          </cell>
          <cell r="EC198">
            <v>0</v>
          </cell>
          <cell r="EI198">
            <v>0</v>
          </cell>
          <cell r="EO198">
            <v>0</v>
          </cell>
          <cell r="EU198">
            <v>0</v>
          </cell>
          <cell r="FA198">
            <v>0</v>
          </cell>
        </row>
        <row r="199">
          <cell r="BB199">
            <v>0</v>
          </cell>
          <cell r="BH199">
            <v>0</v>
          </cell>
          <cell r="BN199">
            <v>0</v>
          </cell>
          <cell r="BT199">
            <v>0</v>
          </cell>
          <cell r="BZ199">
            <v>0</v>
          </cell>
          <cell r="CA199">
            <v>0</v>
          </cell>
          <cell r="CE199">
            <v>0</v>
          </cell>
          <cell r="CG199">
            <v>0</v>
          </cell>
          <cell r="CM199">
            <v>0</v>
          </cell>
          <cell r="CS199">
            <v>0</v>
          </cell>
          <cell r="CU199">
            <v>0</v>
          </cell>
          <cell r="CY199">
            <v>0</v>
          </cell>
          <cell r="DE199">
            <v>0</v>
          </cell>
          <cell r="DK199">
            <v>0</v>
          </cell>
          <cell r="DQ199">
            <v>0</v>
          </cell>
          <cell r="DW199">
            <v>0</v>
          </cell>
          <cell r="EC199">
            <v>0</v>
          </cell>
          <cell r="EI199">
            <v>0</v>
          </cell>
          <cell r="EO199">
            <v>0</v>
          </cell>
          <cell r="EU199">
            <v>0</v>
          </cell>
          <cell r="FA199">
            <v>0</v>
          </cell>
        </row>
        <row r="200"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O200">
            <v>0</v>
          </cell>
          <cell r="P200">
            <v>0</v>
          </cell>
          <cell r="Q200">
            <v>0</v>
          </cell>
          <cell r="R200">
            <v>0</v>
          </cell>
          <cell r="S200">
            <v>0</v>
          </cell>
          <cell r="U200">
            <v>0</v>
          </cell>
          <cell r="V200">
            <v>0</v>
          </cell>
          <cell r="W200">
            <v>0</v>
          </cell>
          <cell r="X200">
            <v>0</v>
          </cell>
          <cell r="Y200">
            <v>0</v>
          </cell>
          <cell r="AA200">
            <v>0</v>
          </cell>
          <cell r="AB200">
            <v>0</v>
          </cell>
          <cell r="AC200">
            <v>0</v>
          </cell>
          <cell r="AD200">
            <v>0</v>
          </cell>
          <cell r="AE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0</v>
          </cell>
          <cell r="AQ200">
            <v>0</v>
          </cell>
          <cell r="AS200">
            <v>0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0</v>
          </cell>
          <cell r="BK200">
            <v>16</v>
          </cell>
          <cell r="BL200">
            <v>7</v>
          </cell>
          <cell r="BM200">
            <v>0</v>
          </cell>
          <cell r="BN200">
            <v>0</v>
          </cell>
          <cell r="BO200">
            <v>23</v>
          </cell>
          <cell r="BQ200">
            <v>39</v>
          </cell>
          <cell r="BR200">
            <v>8</v>
          </cell>
          <cell r="BS200">
            <v>0</v>
          </cell>
          <cell r="BT200">
            <v>0</v>
          </cell>
          <cell r="BU200">
            <v>0</v>
          </cell>
          <cell r="BW200">
            <v>0</v>
          </cell>
          <cell r="BX200">
            <v>0</v>
          </cell>
          <cell r="BY200">
            <v>30</v>
          </cell>
          <cell r="BZ200">
            <v>40</v>
          </cell>
          <cell r="CA200">
            <v>70</v>
          </cell>
          <cell r="CC200">
            <v>8</v>
          </cell>
          <cell r="CD200">
            <v>5</v>
          </cell>
          <cell r="CE200">
            <v>10</v>
          </cell>
          <cell r="CF200">
            <v>16</v>
          </cell>
          <cell r="CG200">
            <v>39</v>
          </cell>
          <cell r="CI200">
            <v>0</v>
          </cell>
          <cell r="CJ200">
            <v>0</v>
          </cell>
          <cell r="CK200">
            <v>0</v>
          </cell>
          <cell r="CL200">
            <v>0</v>
          </cell>
          <cell r="CM200">
            <v>0</v>
          </cell>
          <cell r="CO200">
            <v>0</v>
          </cell>
          <cell r="CP200">
            <v>0</v>
          </cell>
          <cell r="CQ200">
            <v>0</v>
          </cell>
          <cell r="CR200">
            <v>0</v>
          </cell>
          <cell r="CS200">
            <v>0</v>
          </cell>
          <cell r="CU200">
            <v>0</v>
          </cell>
          <cell r="CV200">
            <v>0</v>
          </cell>
          <cell r="CW200">
            <v>0</v>
          </cell>
          <cell r="CX200">
            <v>0</v>
          </cell>
          <cell r="CY200">
            <v>0</v>
          </cell>
          <cell r="DA200">
            <v>0</v>
          </cell>
          <cell r="DB200">
            <v>0</v>
          </cell>
          <cell r="DC200">
            <v>0</v>
          </cell>
          <cell r="DE200">
            <v>0</v>
          </cell>
          <cell r="DG200">
            <v>0</v>
          </cell>
          <cell r="DH200">
            <v>0</v>
          </cell>
          <cell r="DI200">
            <v>0</v>
          </cell>
          <cell r="DJ200">
            <v>0</v>
          </cell>
          <cell r="DK200">
            <v>0</v>
          </cell>
          <cell r="DM200">
            <v>0</v>
          </cell>
          <cell r="DN200">
            <v>0</v>
          </cell>
          <cell r="DO200">
            <v>0</v>
          </cell>
          <cell r="DP200">
            <v>0</v>
          </cell>
          <cell r="DQ200">
            <v>0</v>
          </cell>
          <cell r="DS200">
            <v>0</v>
          </cell>
          <cell r="DT200">
            <v>0</v>
          </cell>
          <cell r="DU200">
            <v>0</v>
          </cell>
          <cell r="DV200">
            <v>0</v>
          </cell>
          <cell r="DW200">
            <v>0</v>
          </cell>
          <cell r="DY200">
            <v>0</v>
          </cell>
          <cell r="DZ200">
            <v>0</v>
          </cell>
          <cell r="EA200">
            <v>0</v>
          </cell>
          <cell r="EB200">
            <v>0</v>
          </cell>
          <cell r="EC200">
            <v>0</v>
          </cell>
          <cell r="EE200">
            <v>0</v>
          </cell>
          <cell r="EF200">
            <v>0</v>
          </cell>
          <cell r="EG200">
            <v>0</v>
          </cell>
          <cell r="EH200">
            <v>0</v>
          </cell>
          <cell r="EI200">
            <v>0</v>
          </cell>
          <cell r="EK200">
            <v>0</v>
          </cell>
          <cell r="EL200">
            <v>0</v>
          </cell>
          <cell r="EM200">
            <v>0</v>
          </cell>
          <cell r="EN200">
            <v>0</v>
          </cell>
          <cell r="EO200">
            <v>0</v>
          </cell>
          <cell r="EQ200">
            <v>0</v>
          </cell>
          <cell r="ER200">
            <v>0</v>
          </cell>
          <cell r="ES200">
            <v>0</v>
          </cell>
          <cell r="ET200">
            <v>0</v>
          </cell>
          <cell r="EU200">
            <v>0</v>
          </cell>
          <cell r="EW200">
            <v>0</v>
          </cell>
          <cell r="EX200">
            <v>0</v>
          </cell>
          <cell r="EY200">
            <v>0</v>
          </cell>
          <cell r="EZ200">
            <v>0</v>
          </cell>
          <cell r="FA200">
            <v>0</v>
          </cell>
        </row>
        <row r="201"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0</v>
          </cell>
          <cell r="S201">
            <v>0</v>
          </cell>
          <cell r="U201">
            <v>0</v>
          </cell>
          <cell r="V201">
            <v>0</v>
          </cell>
          <cell r="W201">
            <v>0</v>
          </cell>
          <cell r="X201">
            <v>0</v>
          </cell>
          <cell r="Y201">
            <v>0</v>
          </cell>
          <cell r="AA201">
            <v>0</v>
          </cell>
          <cell r="AB201">
            <v>0</v>
          </cell>
          <cell r="AC201">
            <v>0</v>
          </cell>
          <cell r="AD201">
            <v>0</v>
          </cell>
          <cell r="AE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M201">
            <v>0</v>
          </cell>
          <cell r="AN201">
            <v>0</v>
          </cell>
          <cell r="AO201">
            <v>0</v>
          </cell>
          <cell r="AP201">
            <v>0</v>
          </cell>
          <cell r="AQ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-582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-460</v>
          </cell>
          <cell r="BK201">
            <v>-100</v>
          </cell>
          <cell r="BL201">
            <v>-101</v>
          </cell>
          <cell r="BM201">
            <v>-83</v>
          </cell>
          <cell r="BN201">
            <v>-69</v>
          </cell>
          <cell r="BO201">
            <v>-353</v>
          </cell>
          <cell r="BQ201">
            <v>-65</v>
          </cell>
          <cell r="BR201">
            <v>-65</v>
          </cell>
          <cell r="BS201">
            <v>-58</v>
          </cell>
          <cell r="BT201">
            <v>-15</v>
          </cell>
          <cell r="BU201">
            <v>-203</v>
          </cell>
          <cell r="BW201">
            <v>-37</v>
          </cell>
          <cell r="BX201">
            <v>-41</v>
          </cell>
          <cell r="BY201">
            <v>-42</v>
          </cell>
          <cell r="BZ201">
            <v>-85</v>
          </cell>
          <cell r="CA201">
            <v>-205</v>
          </cell>
          <cell r="CC201">
            <v>-34</v>
          </cell>
          <cell r="CD201">
            <v>-39</v>
          </cell>
          <cell r="CE201">
            <v>-41</v>
          </cell>
          <cell r="CF201">
            <v>-44</v>
          </cell>
          <cell r="CG201">
            <v>-158</v>
          </cell>
          <cell r="CI201">
            <v>0</v>
          </cell>
          <cell r="CJ201">
            <v>0</v>
          </cell>
          <cell r="CK201">
            <v>0</v>
          </cell>
          <cell r="CL201">
            <v>0</v>
          </cell>
          <cell r="CM201">
            <v>0</v>
          </cell>
          <cell r="CO201">
            <v>0</v>
          </cell>
          <cell r="CP201">
            <v>0</v>
          </cell>
          <cell r="CQ201">
            <v>0</v>
          </cell>
          <cell r="CR201">
            <v>0</v>
          </cell>
          <cell r="CS201">
            <v>0</v>
          </cell>
          <cell r="CU201">
            <v>0</v>
          </cell>
          <cell r="CV201">
            <v>0</v>
          </cell>
          <cell r="CW201">
            <v>0</v>
          </cell>
          <cell r="CX201">
            <v>0</v>
          </cell>
          <cell r="CY201">
            <v>0</v>
          </cell>
          <cell r="DA201">
            <v>0</v>
          </cell>
          <cell r="DB201">
            <v>0</v>
          </cell>
          <cell r="DC201">
            <v>0</v>
          </cell>
          <cell r="DE201">
            <v>0</v>
          </cell>
          <cell r="DG201">
            <v>0</v>
          </cell>
          <cell r="DH201">
            <v>0</v>
          </cell>
          <cell r="DI201">
            <v>0</v>
          </cell>
          <cell r="DJ201">
            <v>0</v>
          </cell>
          <cell r="DK201">
            <v>0</v>
          </cell>
          <cell r="DM201">
            <v>0</v>
          </cell>
          <cell r="DN201">
            <v>0</v>
          </cell>
          <cell r="DO201">
            <v>4025.0000000000005</v>
          </cell>
          <cell r="DP201">
            <v>0</v>
          </cell>
          <cell r="DQ201">
            <v>0</v>
          </cell>
          <cell r="DS201">
            <v>0.52815000000000001</v>
          </cell>
          <cell r="DT201">
            <v>0.61609999999999998</v>
          </cell>
          <cell r="DU201">
            <v>0.68872999999999995</v>
          </cell>
          <cell r="DV201">
            <v>0.90386999999999995</v>
          </cell>
          <cell r="DW201">
            <v>0</v>
          </cell>
          <cell r="DY201">
            <v>0</v>
          </cell>
          <cell r="DZ201">
            <v>0</v>
          </cell>
          <cell r="EA201">
            <v>0</v>
          </cell>
          <cell r="EB201">
            <v>0</v>
          </cell>
          <cell r="EC201">
            <v>3.0868600000000002</v>
          </cell>
          <cell r="EE201">
            <v>0</v>
          </cell>
          <cell r="EF201">
            <v>0</v>
          </cell>
          <cell r="EG201">
            <v>0</v>
          </cell>
          <cell r="EH201">
            <v>0</v>
          </cell>
          <cell r="EI201">
            <v>0</v>
          </cell>
          <cell r="EK201">
            <v>0</v>
          </cell>
          <cell r="EL201">
            <v>0</v>
          </cell>
          <cell r="EM201">
            <v>0</v>
          </cell>
          <cell r="EN201">
            <v>0</v>
          </cell>
          <cell r="EO201">
            <v>0</v>
          </cell>
          <cell r="EQ201">
            <v>0</v>
          </cell>
          <cell r="ER201">
            <v>0</v>
          </cell>
          <cell r="ES201">
            <v>0</v>
          </cell>
          <cell r="ET201">
            <v>0</v>
          </cell>
          <cell r="EU201">
            <v>0</v>
          </cell>
          <cell r="EW201">
            <v>0</v>
          </cell>
          <cell r="EX201">
            <v>0</v>
          </cell>
          <cell r="EY201">
            <v>0</v>
          </cell>
          <cell r="EZ201">
            <v>0</v>
          </cell>
          <cell r="FA201">
            <v>0</v>
          </cell>
        </row>
        <row r="202"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0</v>
          </cell>
          <cell r="S202">
            <v>0</v>
          </cell>
          <cell r="U202">
            <v>0</v>
          </cell>
          <cell r="V202">
            <v>0</v>
          </cell>
          <cell r="W202">
            <v>0</v>
          </cell>
          <cell r="X202">
            <v>0</v>
          </cell>
          <cell r="Y202">
            <v>0</v>
          </cell>
          <cell r="AA202">
            <v>0</v>
          </cell>
          <cell r="AB202">
            <v>0</v>
          </cell>
          <cell r="AC202">
            <v>0</v>
          </cell>
          <cell r="AD202">
            <v>0</v>
          </cell>
          <cell r="AE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0</v>
          </cell>
          <cell r="AQ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1979.096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1764.2049999999995</v>
          </cell>
          <cell r="BK202">
            <v>259</v>
          </cell>
          <cell r="BL202">
            <v>441</v>
          </cell>
          <cell r="BM202">
            <v>488</v>
          </cell>
          <cell r="BN202">
            <v>789.40000000000009</v>
          </cell>
          <cell r="BO202">
            <v>1977.4</v>
          </cell>
          <cell r="BQ202">
            <v>414</v>
          </cell>
          <cell r="BR202">
            <v>560</v>
          </cell>
          <cell r="BS202">
            <v>576</v>
          </cell>
          <cell r="BT202">
            <v>975</v>
          </cell>
          <cell r="BU202">
            <v>2478</v>
          </cell>
          <cell r="BW202">
            <v>472</v>
          </cell>
          <cell r="BX202">
            <v>774</v>
          </cell>
          <cell r="BY202">
            <v>526</v>
          </cell>
          <cell r="BZ202">
            <v>978.99199999999996</v>
          </cell>
          <cell r="CA202">
            <v>2750.9920000000002</v>
          </cell>
          <cell r="CC202">
            <v>493</v>
          </cell>
          <cell r="CD202">
            <v>763.5</v>
          </cell>
          <cell r="CE202">
            <v>733.90000000000009</v>
          </cell>
          <cell r="CF202">
            <v>1272.4500000000003</v>
          </cell>
          <cell r="CG202">
            <v>3262.8500000000004</v>
          </cell>
          <cell r="CI202">
            <v>0</v>
          </cell>
          <cell r="CJ202">
            <v>0</v>
          </cell>
          <cell r="CK202">
            <v>0</v>
          </cell>
          <cell r="CL202">
            <v>0</v>
          </cell>
          <cell r="CM202">
            <v>0</v>
          </cell>
          <cell r="CO202">
            <v>0</v>
          </cell>
          <cell r="CP202">
            <v>0</v>
          </cell>
          <cell r="CQ202">
            <v>0</v>
          </cell>
          <cell r="CR202">
            <v>0</v>
          </cell>
          <cell r="CS202">
            <v>0</v>
          </cell>
          <cell r="CU202">
            <v>0</v>
          </cell>
          <cell r="CV202">
            <v>0</v>
          </cell>
          <cell r="CW202">
            <v>0</v>
          </cell>
          <cell r="CX202">
            <v>0</v>
          </cell>
          <cell r="CY202">
            <v>0</v>
          </cell>
          <cell r="DA202">
            <v>0</v>
          </cell>
          <cell r="DB202">
            <v>0</v>
          </cell>
          <cell r="DC202">
            <v>0</v>
          </cell>
          <cell r="DE202">
            <v>0</v>
          </cell>
          <cell r="DG202">
            <v>0</v>
          </cell>
          <cell r="DH202">
            <v>0</v>
          </cell>
          <cell r="DI202">
            <v>0</v>
          </cell>
          <cell r="DJ202">
            <v>0</v>
          </cell>
          <cell r="DK202">
            <v>0</v>
          </cell>
          <cell r="DM202">
            <v>0</v>
          </cell>
          <cell r="DN202">
            <v>0</v>
          </cell>
          <cell r="DO202">
            <v>5331.1258278145697</v>
          </cell>
          <cell r="DP202">
            <v>0</v>
          </cell>
          <cell r="DQ202">
            <v>0</v>
          </cell>
          <cell r="DS202">
            <v>1.1099999999999444E-3</v>
          </cell>
          <cell r="DT202">
            <v>2.5229999999999975E-2</v>
          </cell>
          <cell r="DU202">
            <v>-4.2839999999999989E-2</v>
          </cell>
          <cell r="DV202">
            <v>-3.8860000000000006E-2</v>
          </cell>
          <cell r="DW202">
            <v>0</v>
          </cell>
          <cell r="DY202">
            <v>0</v>
          </cell>
          <cell r="DZ202">
            <v>0</v>
          </cell>
          <cell r="EA202">
            <v>0</v>
          </cell>
          <cell r="EB202">
            <v>0</v>
          </cell>
          <cell r="EC202">
            <v>-0.21706000000000003</v>
          </cell>
          <cell r="EE202">
            <v>0</v>
          </cell>
          <cell r="EF202">
            <v>0</v>
          </cell>
          <cell r="EG202">
            <v>0</v>
          </cell>
          <cell r="EH202">
            <v>0</v>
          </cell>
          <cell r="EI202">
            <v>0</v>
          </cell>
          <cell r="EK202">
            <v>0</v>
          </cell>
          <cell r="EL202">
            <v>0</v>
          </cell>
          <cell r="EM202">
            <v>0</v>
          </cell>
          <cell r="EN202">
            <v>0</v>
          </cell>
          <cell r="EO202">
            <v>0</v>
          </cell>
          <cell r="EQ202">
            <v>0</v>
          </cell>
          <cell r="ER202">
            <v>0</v>
          </cell>
          <cell r="ES202">
            <v>0</v>
          </cell>
          <cell r="ET202">
            <v>0</v>
          </cell>
          <cell r="EU202">
            <v>0</v>
          </cell>
          <cell r="EW202">
            <v>0</v>
          </cell>
          <cell r="EX202">
            <v>0</v>
          </cell>
          <cell r="EY202">
            <v>0</v>
          </cell>
          <cell r="EZ202">
            <v>0</v>
          </cell>
          <cell r="FA202">
            <v>0</v>
          </cell>
        </row>
        <row r="203"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O203">
            <v>0</v>
          </cell>
          <cell r="P203">
            <v>0</v>
          </cell>
          <cell r="Q203">
            <v>0</v>
          </cell>
          <cell r="R203">
            <v>0</v>
          </cell>
          <cell r="S203">
            <v>0</v>
          </cell>
          <cell r="U203">
            <v>0</v>
          </cell>
          <cell r="V203">
            <v>0</v>
          </cell>
          <cell r="W203">
            <v>0</v>
          </cell>
          <cell r="X203">
            <v>0</v>
          </cell>
          <cell r="Y203">
            <v>0</v>
          </cell>
          <cell r="AA203">
            <v>0</v>
          </cell>
          <cell r="AB203">
            <v>0</v>
          </cell>
          <cell r="AC203">
            <v>0</v>
          </cell>
          <cell r="AD203">
            <v>0</v>
          </cell>
          <cell r="AE203">
            <v>0</v>
          </cell>
          <cell r="AG203">
            <v>0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M203">
            <v>0</v>
          </cell>
          <cell r="AN203">
            <v>0</v>
          </cell>
          <cell r="AO203">
            <v>0</v>
          </cell>
          <cell r="AP203">
            <v>0</v>
          </cell>
          <cell r="AQ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0.35361705541512606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0.31971678993618041</v>
          </cell>
          <cell r="BK203">
            <v>4.7971846638266348E-2</v>
          </cell>
          <cell r="BL203">
            <v>8.3066490864569603E-2</v>
          </cell>
          <cell r="BM203">
            <v>9.2793306712302723E-2</v>
          </cell>
          <cell r="BN203">
            <v>0.15064885496183208</v>
          </cell>
          <cell r="BO203">
            <v>0.37295360241418335</v>
          </cell>
          <cell r="BQ203">
            <v>7.9158699808795405E-2</v>
          </cell>
          <cell r="BR203">
            <v>0.10715652506697283</v>
          </cell>
          <cell r="BS203">
            <v>0.11038712150249137</v>
          </cell>
          <cell r="BT203">
            <v>0.18804243008678881</v>
          </cell>
          <cell r="BU203">
            <v>0.47519056522364445</v>
          </cell>
          <cell r="BW203">
            <v>9.157935584012418E-2</v>
          </cell>
          <cell r="BX203">
            <v>0.15108334959984385</v>
          </cell>
          <cell r="BY203">
            <v>0.10269426005466614</v>
          </cell>
          <cell r="BZ203">
            <v>0.19028027210884352</v>
          </cell>
          <cell r="CA203">
            <v>0.53562928348909666</v>
          </cell>
          <cell r="CC203">
            <v>9.5765345765345761E-2</v>
          </cell>
          <cell r="CD203">
            <v>0.14819487577639751</v>
          </cell>
          <cell r="CE203">
            <v>0.14094488188976378</v>
          </cell>
          <cell r="CF203">
            <v>0.24108563849943165</v>
          </cell>
          <cell r="CG203">
            <v>0.6279239836420496</v>
          </cell>
          <cell r="CI203">
            <v>0</v>
          </cell>
          <cell r="CJ203">
            <v>0</v>
          </cell>
          <cell r="CK203">
            <v>0</v>
          </cell>
          <cell r="CL203">
            <v>0</v>
          </cell>
          <cell r="CM203">
            <v>0</v>
          </cell>
          <cell r="CO203">
            <v>0</v>
          </cell>
          <cell r="CP203">
            <v>0</v>
          </cell>
          <cell r="CQ203">
            <v>0</v>
          </cell>
          <cell r="CR203">
            <v>0</v>
          </cell>
          <cell r="CS203">
            <v>0</v>
          </cell>
          <cell r="CU203">
            <v>0</v>
          </cell>
          <cell r="CV203">
            <v>0</v>
          </cell>
          <cell r="CW203">
            <v>0</v>
          </cell>
          <cell r="CX203">
            <v>0</v>
          </cell>
          <cell r="CY203">
            <v>0</v>
          </cell>
          <cell r="DA203">
            <v>0</v>
          </cell>
          <cell r="DB203">
            <v>0</v>
          </cell>
          <cell r="DC203">
            <v>0</v>
          </cell>
          <cell r="DE203">
            <v>0</v>
          </cell>
          <cell r="DG203">
            <v>0</v>
          </cell>
          <cell r="DH203">
            <v>0</v>
          </cell>
          <cell r="DI203">
            <v>0</v>
          </cell>
          <cell r="DJ203">
            <v>0</v>
          </cell>
          <cell r="DK203">
            <v>0</v>
          </cell>
          <cell r="DM203">
            <v>0</v>
          </cell>
          <cell r="DN203">
            <v>0</v>
          </cell>
          <cell r="DO203">
            <v>5501.1258278145697</v>
          </cell>
          <cell r="DP203">
            <v>0</v>
          </cell>
          <cell r="DQ203">
            <v>0</v>
          </cell>
          <cell r="DS203">
            <v>0</v>
          </cell>
          <cell r="DT203">
            <v>0</v>
          </cell>
          <cell r="DU203">
            <v>0</v>
          </cell>
          <cell r="DV203">
            <v>0</v>
          </cell>
          <cell r="DW203">
            <v>0</v>
          </cell>
          <cell r="DY203">
            <v>0</v>
          </cell>
          <cell r="DZ203">
            <v>0</v>
          </cell>
          <cell r="EA203">
            <v>0</v>
          </cell>
          <cell r="EB203">
            <v>0</v>
          </cell>
          <cell r="EC203">
            <v>0</v>
          </cell>
          <cell r="EE203">
            <v>0</v>
          </cell>
          <cell r="EF203">
            <v>0</v>
          </cell>
          <cell r="EG203">
            <v>0</v>
          </cell>
          <cell r="EH203">
            <v>0</v>
          </cell>
          <cell r="EI203">
            <v>0</v>
          </cell>
          <cell r="EK203">
            <v>0</v>
          </cell>
          <cell r="EL203">
            <v>0</v>
          </cell>
          <cell r="EM203">
            <v>0</v>
          </cell>
          <cell r="EN203">
            <v>0</v>
          </cell>
          <cell r="EO203">
            <v>0</v>
          </cell>
          <cell r="EQ203">
            <v>0</v>
          </cell>
          <cell r="ER203">
            <v>0</v>
          </cell>
          <cell r="ES203">
            <v>0</v>
          </cell>
          <cell r="ET203">
            <v>0</v>
          </cell>
          <cell r="EU203">
            <v>0</v>
          </cell>
          <cell r="EW203">
            <v>0</v>
          </cell>
          <cell r="EX203">
            <v>0</v>
          </cell>
          <cell r="EY203">
            <v>0</v>
          </cell>
          <cell r="EZ203">
            <v>0</v>
          </cell>
          <cell r="FA203">
            <v>0</v>
          </cell>
        </row>
        <row r="204"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0</v>
          </cell>
          <cell r="S204">
            <v>0</v>
          </cell>
          <cell r="U204">
            <v>0</v>
          </cell>
          <cell r="V204">
            <v>0</v>
          </cell>
          <cell r="W204">
            <v>0</v>
          </cell>
          <cell r="X204">
            <v>0</v>
          </cell>
          <cell r="Y204">
            <v>0</v>
          </cell>
          <cell r="AA204">
            <v>0</v>
          </cell>
          <cell r="AB204">
            <v>0</v>
          </cell>
          <cell r="AC204">
            <v>0</v>
          </cell>
          <cell r="AD204">
            <v>0</v>
          </cell>
          <cell r="AE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M204">
            <v>0</v>
          </cell>
          <cell r="AN204">
            <v>0</v>
          </cell>
          <cell r="AO204">
            <v>0</v>
          </cell>
          <cell r="AP204">
            <v>0</v>
          </cell>
          <cell r="AQ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0.33745296412643183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0.31011028377770267</v>
          </cell>
          <cell r="BK204">
            <v>4.6962828649138713E-2</v>
          </cell>
          <cell r="BL204">
            <v>8.1365313653136526E-2</v>
          </cell>
          <cell r="BM204">
            <v>9.0655768159019129E-2</v>
          </cell>
          <cell r="BN204">
            <v>0.14738610903659449</v>
          </cell>
          <cell r="BO204">
            <v>0.36496862310815803</v>
          </cell>
          <cell r="BQ204">
            <v>7.7426594351973063E-2</v>
          </cell>
          <cell r="BR204">
            <v>0.10492786209480982</v>
          </cell>
          <cell r="BS204">
            <v>0.10792580101180438</v>
          </cell>
          <cell r="BT204">
            <v>0.1845542305508234</v>
          </cell>
          <cell r="BU204">
            <v>0.46526473901614718</v>
          </cell>
          <cell r="BW204">
            <v>9.0059149017363102E-2</v>
          </cell>
          <cell r="BX204">
            <v>0.1483326945189728</v>
          </cell>
          <cell r="BY204">
            <v>0.10057361376673041</v>
          </cell>
          <cell r="BZ204">
            <v>0.18704470768055023</v>
          </cell>
          <cell r="CA204">
            <v>0.52592687473115718</v>
          </cell>
          <cell r="CC204">
            <v>9.401220442410374E-2</v>
          </cell>
          <cell r="CD204">
            <v>0.14576174112256587</v>
          </cell>
          <cell r="CE204">
            <v>0.13836726998491705</v>
          </cell>
          <cell r="CF204">
            <v>0.23682300390843108</v>
          </cell>
          <cell r="CG204">
            <v>0.61682499172928784</v>
          </cell>
          <cell r="CI204">
            <v>0</v>
          </cell>
          <cell r="CJ204">
            <v>0</v>
          </cell>
          <cell r="CK204">
            <v>0</v>
          </cell>
          <cell r="CL204">
            <v>0</v>
          </cell>
          <cell r="CM204">
            <v>0</v>
          </cell>
          <cell r="CO204">
            <v>0</v>
          </cell>
          <cell r="CP204">
            <v>0</v>
          </cell>
          <cell r="CQ204">
            <v>0</v>
          </cell>
          <cell r="CR204">
            <v>0</v>
          </cell>
          <cell r="CS204">
            <v>0</v>
          </cell>
          <cell r="CU204">
            <v>0</v>
          </cell>
          <cell r="CV204">
            <v>0</v>
          </cell>
          <cell r="CW204">
            <v>0</v>
          </cell>
          <cell r="CX204">
            <v>0</v>
          </cell>
          <cell r="CY204">
            <v>0</v>
          </cell>
          <cell r="DA204">
            <v>0</v>
          </cell>
          <cell r="DB204">
            <v>0</v>
          </cell>
          <cell r="DC204">
            <v>0</v>
          </cell>
          <cell r="DE204">
            <v>0</v>
          </cell>
          <cell r="DG204">
            <v>0</v>
          </cell>
          <cell r="DH204">
            <v>0</v>
          </cell>
          <cell r="DI204">
            <v>0</v>
          </cell>
          <cell r="DJ204">
            <v>0</v>
          </cell>
          <cell r="DK204">
            <v>0</v>
          </cell>
          <cell r="DM204">
            <v>0</v>
          </cell>
          <cell r="DN204">
            <v>0</v>
          </cell>
          <cell r="DO204">
            <v>10806</v>
          </cell>
          <cell r="DP204">
            <v>0</v>
          </cell>
          <cell r="DQ204">
            <v>0</v>
          </cell>
          <cell r="DS204">
            <v>0</v>
          </cell>
          <cell r="DT204">
            <v>0</v>
          </cell>
          <cell r="DU204">
            <v>0</v>
          </cell>
          <cell r="DV204">
            <v>0</v>
          </cell>
          <cell r="DW204">
            <v>0</v>
          </cell>
          <cell r="DY204">
            <v>0</v>
          </cell>
          <cell r="DZ204">
            <v>0</v>
          </cell>
          <cell r="EA204">
            <v>0</v>
          </cell>
          <cell r="EB204">
            <v>0</v>
          </cell>
          <cell r="EC204">
            <v>0</v>
          </cell>
          <cell r="EE204">
            <v>0</v>
          </cell>
          <cell r="EF204">
            <v>0</v>
          </cell>
          <cell r="EG204">
            <v>0</v>
          </cell>
          <cell r="EH204">
            <v>0</v>
          </cell>
          <cell r="EI204">
            <v>0</v>
          </cell>
          <cell r="EK204">
            <v>0</v>
          </cell>
          <cell r="EL204">
            <v>0</v>
          </cell>
          <cell r="EM204">
            <v>0</v>
          </cell>
          <cell r="EN204">
            <v>0</v>
          </cell>
          <cell r="EO204">
            <v>0</v>
          </cell>
          <cell r="EQ204">
            <v>0</v>
          </cell>
          <cell r="ER204">
            <v>0</v>
          </cell>
          <cell r="ES204">
            <v>0</v>
          </cell>
          <cell r="ET204">
            <v>0</v>
          </cell>
          <cell r="EU204">
            <v>0</v>
          </cell>
          <cell r="EW204">
            <v>0</v>
          </cell>
          <cell r="EX204">
            <v>0</v>
          </cell>
          <cell r="EY204">
            <v>0</v>
          </cell>
          <cell r="EZ204">
            <v>0</v>
          </cell>
          <cell r="FA204">
            <v>0</v>
          </cell>
        </row>
        <row r="205"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0</v>
          </cell>
          <cell r="S205">
            <v>0</v>
          </cell>
          <cell r="U205">
            <v>0</v>
          </cell>
          <cell r="V205">
            <v>0</v>
          </cell>
          <cell r="W205">
            <v>0</v>
          </cell>
          <cell r="X205">
            <v>0</v>
          </cell>
          <cell r="Y205">
            <v>0</v>
          </cell>
          <cell r="AA205">
            <v>0</v>
          </cell>
          <cell r="AB205">
            <v>0</v>
          </cell>
          <cell r="AC205">
            <v>0</v>
          </cell>
          <cell r="AD205">
            <v>0</v>
          </cell>
          <cell r="AE205">
            <v>0</v>
          </cell>
          <cell r="AG205">
            <v>0</v>
          </cell>
          <cell r="AH205">
            <v>0</v>
          </cell>
          <cell r="AI205">
            <v>0</v>
          </cell>
          <cell r="AJ205">
            <v>0</v>
          </cell>
          <cell r="AK205">
            <v>0</v>
          </cell>
          <cell r="AM205">
            <v>0</v>
          </cell>
          <cell r="AN205">
            <v>0</v>
          </cell>
          <cell r="AO205">
            <v>0</v>
          </cell>
          <cell r="AP205">
            <v>0</v>
          </cell>
          <cell r="AQ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0</v>
          </cell>
          <cell r="BK205">
            <v>0</v>
          </cell>
          <cell r="BL205">
            <v>0</v>
          </cell>
          <cell r="BM205">
            <v>0</v>
          </cell>
          <cell r="BN205">
            <v>0</v>
          </cell>
          <cell r="BO205">
            <v>0</v>
          </cell>
          <cell r="BQ205">
            <v>0</v>
          </cell>
          <cell r="BR205">
            <v>0</v>
          </cell>
          <cell r="BS205">
            <v>0</v>
          </cell>
          <cell r="BT205">
            <v>0</v>
          </cell>
          <cell r="BU205">
            <v>0</v>
          </cell>
          <cell r="BW205">
            <v>0</v>
          </cell>
          <cell r="BX205">
            <v>0</v>
          </cell>
          <cell r="BY205">
            <v>0</v>
          </cell>
          <cell r="BZ205">
            <v>0</v>
          </cell>
          <cell r="CA205">
            <v>0</v>
          </cell>
          <cell r="CC205">
            <v>0</v>
          </cell>
          <cell r="CD205">
            <v>0</v>
          </cell>
          <cell r="CE205">
            <v>0</v>
          </cell>
          <cell r="CF205">
            <v>0</v>
          </cell>
          <cell r="CG205">
            <v>0</v>
          </cell>
          <cell r="CI205">
            <v>0</v>
          </cell>
          <cell r="CJ205">
            <v>0</v>
          </cell>
          <cell r="CK205">
            <v>0</v>
          </cell>
          <cell r="CL205">
            <v>0</v>
          </cell>
          <cell r="CM205">
            <v>0</v>
          </cell>
          <cell r="CO205">
            <v>0</v>
          </cell>
          <cell r="CP205">
            <v>0</v>
          </cell>
          <cell r="CQ205">
            <v>0</v>
          </cell>
          <cell r="CR205">
            <v>0</v>
          </cell>
          <cell r="CS205">
            <v>0</v>
          </cell>
          <cell r="CU205">
            <v>0</v>
          </cell>
          <cell r="CV205">
            <v>0</v>
          </cell>
          <cell r="CW205">
            <v>0</v>
          </cell>
          <cell r="CX205">
            <v>0</v>
          </cell>
          <cell r="CY205">
            <v>0</v>
          </cell>
          <cell r="DA205">
            <v>0</v>
          </cell>
          <cell r="DB205">
            <v>0</v>
          </cell>
          <cell r="DC205">
            <v>0</v>
          </cell>
          <cell r="DE205">
            <v>0</v>
          </cell>
          <cell r="DG205">
            <v>0</v>
          </cell>
          <cell r="DH205">
            <v>0</v>
          </cell>
          <cell r="DI205">
            <v>0</v>
          </cell>
          <cell r="DJ205">
            <v>0</v>
          </cell>
          <cell r="DK205">
            <v>0</v>
          </cell>
          <cell r="DM205">
            <v>0</v>
          </cell>
          <cell r="DN205">
            <v>0</v>
          </cell>
          <cell r="DO205">
            <v>0.50908067997543671</v>
          </cell>
          <cell r="DP205">
            <v>0</v>
          </cell>
          <cell r="DQ205">
            <v>0</v>
          </cell>
          <cell r="DS205">
            <v>0</v>
          </cell>
          <cell r="DT205">
            <v>0</v>
          </cell>
          <cell r="DU205">
            <v>0</v>
          </cell>
          <cell r="DV205">
            <v>0</v>
          </cell>
          <cell r="DW205">
            <v>0</v>
          </cell>
          <cell r="DY205">
            <v>0</v>
          </cell>
          <cell r="DZ205">
            <v>0</v>
          </cell>
          <cell r="EA205">
            <v>0</v>
          </cell>
          <cell r="EB205">
            <v>0</v>
          </cell>
          <cell r="EC205">
            <v>0</v>
          </cell>
          <cell r="EE205">
            <v>0</v>
          </cell>
          <cell r="EF205">
            <v>0</v>
          </cell>
          <cell r="EG205">
            <v>0</v>
          </cell>
          <cell r="EH205">
            <v>0</v>
          </cell>
          <cell r="EI205">
            <v>0</v>
          </cell>
          <cell r="EK205">
            <v>0</v>
          </cell>
          <cell r="EL205">
            <v>0</v>
          </cell>
          <cell r="EM205">
            <v>0</v>
          </cell>
          <cell r="EN205">
            <v>0</v>
          </cell>
          <cell r="EO205">
            <v>0</v>
          </cell>
          <cell r="EQ205">
            <v>0</v>
          </cell>
          <cell r="ER205">
            <v>0</v>
          </cell>
          <cell r="ES205">
            <v>0</v>
          </cell>
          <cell r="ET205">
            <v>0</v>
          </cell>
          <cell r="EU205">
            <v>0</v>
          </cell>
          <cell r="EW205">
            <v>0</v>
          </cell>
          <cell r="EX205">
            <v>0</v>
          </cell>
          <cell r="EY205">
            <v>0</v>
          </cell>
          <cell r="EZ205">
            <v>0</v>
          </cell>
          <cell r="FA205">
            <v>0</v>
          </cell>
        </row>
        <row r="206"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O206">
            <v>0</v>
          </cell>
          <cell r="P206">
            <v>0</v>
          </cell>
          <cell r="Q206">
            <v>0</v>
          </cell>
          <cell r="R206">
            <v>0</v>
          </cell>
          <cell r="S206">
            <v>0</v>
          </cell>
          <cell r="U206">
            <v>0</v>
          </cell>
          <cell r="V206">
            <v>0</v>
          </cell>
          <cell r="W206">
            <v>0</v>
          </cell>
          <cell r="X206">
            <v>0</v>
          </cell>
          <cell r="Y206">
            <v>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M206">
            <v>0</v>
          </cell>
          <cell r="AN206">
            <v>0</v>
          </cell>
          <cell r="AO206">
            <v>0</v>
          </cell>
          <cell r="AP206">
            <v>0</v>
          </cell>
          <cell r="AQ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0</v>
          </cell>
          <cell r="BK206">
            <v>0</v>
          </cell>
          <cell r="BL206">
            <v>0</v>
          </cell>
          <cell r="BM206">
            <v>0</v>
          </cell>
          <cell r="BN206">
            <v>0</v>
          </cell>
          <cell r="BO206">
            <v>0</v>
          </cell>
          <cell r="BQ206">
            <v>0</v>
          </cell>
          <cell r="BR206">
            <v>0</v>
          </cell>
          <cell r="BS206">
            <v>0</v>
          </cell>
          <cell r="BT206">
            <v>0</v>
          </cell>
          <cell r="BU206">
            <v>0</v>
          </cell>
          <cell r="BW206">
            <v>0</v>
          </cell>
          <cell r="BX206">
            <v>0</v>
          </cell>
          <cell r="BY206">
            <v>0</v>
          </cell>
          <cell r="BZ206">
            <v>0</v>
          </cell>
          <cell r="CA206">
            <v>0</v>
          </cell>
          <cell r="CC206">
            <v>0</v>
          </cell>
          <cell r="CD206">
            <v>0</v>
          </cell>
          <cell r="CE206">
            <v>0</v>
          </cell>
          <cell r="CF206">
            <v>0</v>
          </cell>
          <cell r="CG206">
            <v>0</v>
          </cell>
          <cell r="CI206">
            <v>0</v>
          </cell>
          <cell r="CJ206">
            <v>0</v>
          </cell>
          <cell r="CK206">
            <v>0</v>
          </cell>
          <cell r="CL206">
            <v>0</v>
          </cell>
          <cell r="CM206">
            <v>0</v>
          </cell>
          <cell r="CO206">
            <v>0</v>
          </cell>
          <cell r="CP206">
            <v>0</v>
          </cell>
          <cell r="CQ206">
            <v>0</v>
          </cell>
          <cell r="CR206">
            <v>0</v>
          </cell>
          <cell r="CS206">
            <v>0</v>
          </cell>
          <cell r="CU206">
            <v>0</v>
          </cell>
          <cell r="CV206">
            <v>0</v>
          </cell>
          <cell r="CW206">
            <v>0</v>
          </cell>
          <cell r="CX206">
            <v>0</v>
          </cell>
          <cell r="CY206">
            <v>0</v>
          </cell>
          <cell r="DA206">
            <v>0</v>
          </cell>
          <cell r="DB206">
            <v>0</v>
          </cell>
          <cell r="DC206">
            <v>0</v>
          </cell>
          <cell r="DE206">
            <v>0</v>
          </cell>
          <cell r="DG206">
            <v>0</v>
          </cell>
          <cell r="DH206">
            <v>0</v>
          </cell>
          <cell r="DI206">
            <v>0</v>
          </cell>
          <cell r="DJ206">
            <v>0</v>
          </cell>
          <cell r="DK206">
            <v>0</v>
          </cell>
          <cell r="DM206">
            <v>0</v>
          </cell>
          <cell r="DN206">
            <v>0</v>
          </cell>
          <cell r="DO206">
            <v>0</v>
          </cell>
          <cell r="DP206">
            <v>0</v>
          </cell>
          <cell r="DQ206">
            <v>0</v>
          </cell>
          <cell r="DS206">
            <v>0</v>
          </cell>
          <cell r="DT206">
            <v>0</v>
          </cell>
          <cell r="DU206">
            <v>0</v>
          </cell>
          <cell r="DV206">
            <v>0</v>
          </cell>
          <cell r="DW206">
            <v>0</v>
          </cell>
          <cell r="DY206">
            <v>0</v>
          </cell>
          <cell r="DZ206">
            <v>0</v>
          </cell>
          <cell r="EA206">
            <v>0</v>
          </cell>
          <cell r="EB206">
            <v>0</v>
          </cell>
          <cell r="EC206">
            <v>0</v>
          </cell>
          <cell r="EE206">
            <v>0</v>
          </cell>
          <cell r="EF206">
            <v>0</v>
          </cell>
          <cell r="EG206">
            <v>0</v>
          </cell>
          <cell r="EH206">
            <v>0</v>
          </cell>
          <cell r="EI206">
            <v>0</v>
          </cell>
          <cell r="EK206">
            <v>0</v>
          </cell>
          <cell r="EL206">
            <v>0</v>
          </cell>
          <cell r="EM206">
            <v>0</v>
          </cell>
          <cell r="EN206">
            <v>0</v>
          </cell>
          <cell r="EO206">
            <v>0</v>
          </cell>
          <cell r="EQ206">
            <v>0</v>
          </cell>
          <cell r="ER206">
            <v>0</v>
          </cell>
          <cell r="ES206">
            <v>0</v>
          </cell>
          <cell r="ET206">
            <v>0</v>
          </cell>
          <cell r="EU206">
            <v>0</v>
          </cell>
          <cell r="EW206">
            <v>0</v>
          </cell>
          <cell r="EX206">
            <v>0</v>
          </cell>
          <cell r="EY206">
            <v>0</v>
          </cell>
          <cell r="EZ206">
            <v>0</v>
          </cell>
          <cell r="FA206">
            <v>0</v>
          </cell>
        </row>
        <row r="207"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0</v>
          </cell>
          <cell r="S207">
            <v>0</v>
          </cell>
          <cell r="U207">
            <v>0</v>
          </cell>
          <cell r="V207">
            <v>0</v>
          </cell>
          <cell r="W207">
            <v>0</v>
          </cell>
          <cell r="X207">
            <v>0</v>
          </cell>
          <cell r="Y207">
            <v>0</v>
          </cell>
          <cell r="AA207">
            <v>0</v>
          </cell>
          <cell r="AB207">
            <v>0</v>
          </cell>
          <cell r="AC207">
            <v>0</v>
          </cell>
          <cell r="AD207">
            <v>0</v>
          </cell>
          <cell r="AE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0</v>
          </cell>
          <cell r="AM207">
            <v>0</v>
          </cell>
          <cell r="AN207">
            <v>0</v>
          </cell>
          <cell r="AO207">
            <v>0</v>
          </cell>
          <cell r="AP207">
            <v>0</v>
          </cell>
          <cell r="AQ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0</v>
          </cell>
          <cell r="BK207">
            <v>152.18658892128281</v>
          </cell>
          <cell r="BL207">
            <v>151.02803738317758</v>
          </cell>
          <cell r="BM207">
            <v>120.50262697022765</v>
          </cell>
          <cell r="BN207">
            <v>102.43895619757689</v>
          </cell>
          <cell r="BO207">
            <v>526.15620947226489</v>
          </cell>
          <cell r="BQ207">
            <v>98.090909090909093</v>
          </cell>
          <cell r="BR207">
            <v>96.499189627228532</v>
          </cell>
          <cell r="BS207">
            <v>86.542586750788644</v>
          </cell>
          <cell r="BT207">
            <v>21.5</v>
          </cell>
          <cell r="BU207">
            <v>302.6326854689263</v>
          </cell>
          <cell r="BW207">
            <v>53.646365422396862</v>
          </cell>
          <cell r="BX207">
            <v>58.053987730061344</v>
          </cell>
          <cell r="BY207">
            <v>60.021818181818183</v>
          </cell>
          <cell r="BZ207">
            <v>115.77802359882004</v>
          </cell>
          <cell r="CA207">
            <v>287.50019493309645</v>
          </cell>
          <cell r="CC207">
            <v>48.051490514905147</v>
          </cell>
          <cell r="CD207">
            <v>54.856922285126096</v>
          </cell>
          <cell r="CE207">
            <v>57.777356517191784</v>
          </cell>
          <cell r="CF207">
            <v>63.55630743204275</v>
          </cell>
          <cell r="CG207">
            <v>224.24207674926578</v>
          </cell>
          <cell r="CI207">
            <v>50</v>
          </cell>
          <cell r="CJ207">
            <v>47</v>
          </cell>
          <cell r="CK207">
            <v>48</v>
          </cell>
          <cell r="CL207">
            <v>53</v>
          </cell>
          <cell r="CM207">
            <v>198</v>
          </cell>
          <cell r="CO207">
            <v>69</v>
          </cell>
          <cell r="CP207">
            <v>63</v>
          </cell>
          <cell r="CQ207">
            <v>62</v>
          </cell>
          <cell r="CR207">
            <v>70</v>
          </cell>
          <cell r="CS207">
            <v>264</v>
          </cell>
          <cell r="CU207">
            <v>86</v>
          </cell>
          <cell r="CV207">
            <v>89</v>
          </cell>
          <cell r="CW207">
            <v>85</v>
          </cell>
          <cell r="CX207">
            <v>82</v>
          </cell>
          <cell r="CY207">
            <v>342</v>
          </cell>
          <cell r="DA207">
            <v>84</v>
          </cell>
          <cell r="DB207">
            <v>104</v>
          </cell>
          <cell r="DC207">
            <v>112</v>
          </cell>
          <cell r="DE207">
            <v>426</v>
          </cell>
          <cell r="DG207">
            <v>129</v>
          </cell>
          <cell r="DH207">
            <v>119</v>
          </cell>
          <cell r="DI207">
            <v>128</v>
          </cell>
          <cell r="DJ207">
            <v>127</v>
          </cell>
          <cell r="DK207">
            <v>503</v>
          </cell>
          <cell r="DM207">
            <v>147</v>
          </cell>
          <cell r="DN207">
            <v>150</v>
          </cell>
          <cell r="DO207">
            <v>157</v>
          </cell>
          <cell r="DP207">
            <v>184</v>
          </cell>
          <cell r="DQ207">
            <v>638</v>
          </cell>
          <cell r="DS207">
            <v>176</v>
          </cell>
          <cell r="DT207">
            <v>188</v>
          </cell>
          <cell r="DU207">
            <v>172</v>
          </cell>
          <cell r="DV207">
            <v>185.28829667646059</v>
          </cell>
          <cell r="DW207">
            <v>741.15318670584236</v>
          </cell>
          <cell r="DY207">
            <v>198</v>
          </cell>
          <cell r="DZ207">
            <v>183</v>
          </cell>
          <cell r="EA207">
            <v>198</v>
          </cell>
          <cell r="EB207">
            <v>190</v>
          </cell>
          <cell r="EC207">
            <v>780.94051044404398</v>
          </cell>
          <cell r="EE207">
            <v>212</v>
          </cell>
          <cell r="EF207">
            <v>240</v>
          </cell>
          <cell r="EG207">
            <v>234</v>
          </cell>
          <cell r="EH207">
            <v>244</v>
          </cell>
          <cell r="EI207">
            <v>818.83060612535883</v>
          </cell>
          <cell r="EK207">
            <v>250</v>
          </cell>
          <cell r="EL207">
            <v>199.65261781147044</v>
          </cell>
          <cell r="EM207">
            <v>199.65261781147044</v>
          </cell>
          <cell r="EN207">
            <v>199.65261781147044</v>
          </cell>
          <cell r="EO207">
            <v>798.61047124588174</v>
          </cell>
          <cell r="EQ207">
            <v>180.19750498305248</v>
          </cell>
          <cell r="ER207">
            <v>180.19750498305248</v>
          </cell>
          <cell r="ES207">
            <v>180.19750498305248</v>
          </cell>
          <cell r="ET207">
            <v>180.19750498305248</v>
          </cell>
          <cell r="EU207">
            <v>720.79001993220993</v>
          </cell>
          <cell r="EW207">
            <v>160.87327360310655</v>
          </cell>
          <cell r="EX207">
            <v>160.87327360310655</v>
          </cell>
          <cell r="EY207">
            <v>160.87327360310655</v>
          </cell>
          <cell r="EZ207">
            <v>160.87327360310655</v>
          </cell>
          <cell r="FA207">
            <v>643.49309441242622</v>
          </cell>
        </row>
        <row r="208"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0</v>
          </cell>
          <cell r="S208">
            <v>0</v>
          </cell>
          <cell r="U208">
            <v>0</v>
          </cell>
          <cell r="V208">
            <v>0</v>
          </cell>
          <cell r="W208">
            <v>0</v>
          </cell>
          <cell r="X208">
            <v>0</v>
          </cell>
          <cell r="Y208">
            <v>0</v>
          </cell>
          <cell r="AA208">
            <v>0</v>
          </cell>
          <cell r="AB208">
            <v>0</v>
          </cell>
          <cell r="AC208">
            <v>0</v>
          </cell>
          <cell r="AD208">
            <v>0</v>
          </cell>
          <cell r="AE208">
            <v>0</v>
          </cell>
          <cell r="AG208">
            <v>0</v>
          </cell>
          <cell r="AH208">
            <v>0</v>
          </cell>
          <cell r="AI208">
            <v>0</v>
          </cell>
          <cell r="AJ208">
            <v>0</v>
          </cell>
          <cell r="AK208">
            <v>0</v>
          </cell>
          <cell r="AM208">
            <v>0</v>
          </cell>
          <cell r="AN208">
            <v>0</v>
          </cell>
          <cell r="AO208">
            <v>0</v>
          </cell>
          <cell r="AP208">
            <v>0</v>
          </cell>
          <cell r="AQ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3095.6699999999996</v>
          </cell>
          <cell r="BK208">
            <v>0</v>
          </cell>
          <cell r="BL208">
            <v>0</v>
          </cell>
          <cell r="BM208">
            <v>0</v>
          </cell>
          <cell r="BN208">
            <v>0</v>
          </cell>
          <cell r="BO208">
            <v>2721.1600000000003</v>
          </cell>
          <cell r="BQ208">
            <v>0</v>
          </cell>
          <cell r="BR208">
            <v>0</v>
          </cell>
          <cell r="BS208">
            <v>0</v>
          </cell>
          <cell r="BT208">
            <v>0</v>
          </cell>
          <cell r="BU208">
            <v>2042.5450000000001</v>
          </cell>
          <cell r="BW208">
            <v>0</v>
          </cell>
          <cell r="BX208">
            <v>0</v>
          </cell>
          <cell r="BY208">
            <v>0</v>
          </cell>
          <cell r="BZ208">
            <v>0</v>
          </cell>
          <cell r="CA208">
            <v>1620.675</v>
          </cell>
          <cell r="CC208">
            <v>0</v>
          </cell>
          <cell r="CD208">
            <v>0</v>
          </cell>
          <cell r="CE208">
            <v>0</v>
          </cell>
          <cell r="CF208">
            <v>0</v>
          </cell>
          <cell r="CG208">
            <v>1360.32</v>
          </cell>
          <cell r="CI208">
            <v>0</v>
          </cell>
          <cell r="CJ208">
            <v>0</v>
          </cell>
          <cell r="CK208">
            <v>0</v>
          </cell>
          <cell r="CL208">
            <v>0</v>
          </cell>
          <cell r="CM208">
            <v>313.78433605175132</v>
          </cell>
          <cell r="CO208">
            <v>0</v>
          </cell>
          <cell r="CP208">
            <v>0</v>
          </cell>
          <cell r="CQ208">
            <v>0</v>
          </cell>
          <cell r="CR208">
            <v>0</v>
          </cell>
          <cell r="CS208">
            <v>396.25104279801525</v>
          </cell>
          <cell r="CU208">
            <v>0</v>
          </cell>
          <cell r="CV208">
            <v>0</v>
          </cell>
          <cell r="CW208">
            <v>0</v>
          </cell>
          <cell r="CX208">
            <v>0</v>
          </cell>
          <cell r="CY208">
            <v>545.51712233817454</v>
          </cell>
          <cell r="DA208">
            <v>0</v>
          </cell>
          <cell r="DB208">
            <v>0</v>
          </cell>
          <cell r="DC208">
            <v>0</v>
          </cell>
          <cell r="DE208">
            <v>421.81178546817733</v>
          </cell>
          <cell r="DG208">
            <v>0</v>
          </cell>
          <cell r="DH208">
            <v>0</v>
          </cell>
          <cell r="DI208">
            <v>0</v>
          </cell>
          <cell r="DJ208">
            <v>0</v>
          </cell>
          <cell r="DK208">
            <v>607.39522911928066</v>
          </cell>
          <cell r="DM208">
            <v>0</v>
          </cell>
          <cell r="DN208">
            <v>0</v>
          </cell>
          <cell r="DO208">
            <v>0</v>
          </cell>
          <cell r="DP208">
            <v>0</v>
          </cell>
          <cell r="DQ208">
            <v>808.86378962138485</v>
          </cell>
          <cell r="DS208">
            <v>0</v>
          </cell>
          <cell r="DT208">
            <v>0</v>
          </cell>
          <cell r="DU208">
            <v>0</v>
          </cell>
          <cell r="DV208">
            <v>0</v>
          </cell>
          <cell r="DW208">
            <v>864.66641729098114</v>
          </cell>
          <cell r="DY208">
            <v>0</v>
          </cell>
          <cell r="DZ208">
            <v>0</v>
          </cell>
          <cell r="EA208">
            <v>0</v>
          </cell>
          <cell r="EB208">
            <v>0</v>
          </cell>
          <cell r="EC208">
            <v>733.37216819343666</v>
          </cell>
          <cell r="EE208">
            <v>0</v>
          </cell>
          <cell r="EF208">
            <v>0</v>
          </cell>
          <cell r="EG208">
            <v>0</v>
          </cell>
          <cell r="EH208">
            <v>0</v>
          </cell>
          <cell r="EI208">
            <v>686.51468960137231</v>
          </cell>
          <cell r="EK208">
            <v>0</v>
          </cell>
          <cell r="EL208">
            <v>0</v>
          </cell>
          <cell r="EM208">
            <v>0</v>
          </cell>
          <cell r="EN208">
            <v>0</v>
          </cell>
          <cell r="EO208">
            <v>657.58198436669761</v>
          </cell>
          <cell r="EQ208">
            <v>0</v>
          </cell>
          <cell r="ER208">
            <v>0</v>
          </cell>
          <cell r="ES208">
            <v>0</v>
          </cell>
          <cell r="ET208">
            <v>0</v>
          </cell>
          <cell r="EU208">
            <v>715.47871521184618</v>
          </cell>
          <cell r="EW208">
            <v>0</v>
          </cell>
          <cell r="EX208">
            <v>0</v>
          </cell>
          <cell r="EY208">
            <v>0</v>
          </cell>
          <cell r="EZ208">
            <v>0</v>
          </cell>
          <cell r="FA208">
            <v>750.67793937534987</v>
          </cell>
        </row>
        <row r="209"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U209">
            <v>0</v>
          </cell>
          <cell r="V209">
            <v>0</v>
          </cell>
          <cell r="W209">
            <v>0</v>
          </cell>
          <cell r="X209">
            <v>0</v>
          </cell>
          <cell r="Y209">
            <v>0</v>
          </cell>
          <cell r="AA209">
            <v>0</v>
          </cell>
          <cell r="AB209">
            <v>0</v>
          </cell>
          <cell r="AC209">
            <v>0</v>
          </cell>
          <cell r="AD209">
            <v>0</v>
          </cell>
          <cell r="AE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M209">
            <v>0</v>
          </cell>
          <cell r="AN209">
            <v>0</v>
          </cell>
          <cell r="AO209">
            <v>0</v>
          </cell>
          <cell r="AP209">
            <v>0</v>
          </cell>
          <cell r="AQ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0.50733210736855516</v>
          </cell>
          <cell r="BK209">
            <v>0</v>
          </cell>
          <cell r="BL209">
            <v>0</v>
          </cell>
          <cell r="BM209">
            <v>0</v>
          </cell>
          <cell r="BN209">
            <v>0</v>
          </cell>
          <cell r="BO209">
            <v>0.45089643744821878</v>
          </cell>
          <cell r="BQ209">
            <v>0</v>
          </cell>
          <cell r="BR209">
            <v>0</v>
          </cell>
          <cell r="BS209">
            <v>0</v>
          </cell>
          <cell r="BT209">
            <v>0</v>
          </cell>
          <cell r="BU209">
            <v>0.32462571519389705</v>
          </cell>
          <cell r="BW209">
            <v>0</v>
          </cell>
          <cell r="BX209">
            <v>0</v>
          </cell>
          <cell r="BY209">
            <v>0</v>
          </cell>
          <cell r="BZ209">
            <v>0</v>
          </cell>
          <cell r="CA209">
            <v>0.22577735365411941</v>
          </cell>
          <cell r="CC209">
            <v>0</v>
          </cell>
          <cell r="CD209">
            <v>0</v>
          </cell>
          <cell r="CE209">
            <v>0</v>
          </cell>
          <cell r="CF209">
            <v>0</v>
          </cell>
          <cell r="CG209">
            <v>0.15449140559786032</v>
          </cell>
          <cell r="CI209">
            <v>0</v>
          </cell>
          <cell r="CJ209">
            <v>0</v>
          </cell>
          <cell r="CK209">
            <v>0</v>
          </cell>
          <cell r="CL209">
            <v>0</v>
          </cell>
          <cell r="CM209">
            <v>2.5455044702827233E-2</v>
          </cell>
          <cell r="CO209">
            <v>0</v>
          </cell>
          <cell r="CP209">
            <v>0</v>
          </cell>
          <cell r="CQ209">
            <v>0</v>
          </cell>
          <cell r="CR209">
            <v>0</v>
          </cell>
          <cell r="CS209">
            <v>2.6252222260369367E-2</v>
          </cell>
          <cell r="CU209">
            <v>0</v>
          </cell>
          <cell r="CV209">
            <v>0</v>
          </cell>
          <cell r="CW209">
            <v>0</v>
          </cell>
          <cell r="CX209">
            <v>0</v>
          </cell>
          <cell r="CY209">
            <v>3.3320127188991848E-2</v>
          </cell>
          <cell r="DA209">
            <v>0</v>
          </cell>
          <cell r="DB209">
            <v>0</v>
          </cell>
          <cell r="DC209">
            <v>0</v>
          </cell>
          <cell r="DE209">
            <v>2.3440499331379681E-2</v>
          </cell>
          <cell r="DG209">
            <v>0</v>
          </cell>
          <cell r="DH209">
            <v>0</v>
          </cell>
          <cell r="DI209">
            <v>0</v>
          </cell>
          <cell r="DJ209">
            <v>0</v>
          </cell>
          <cell r="DK209">
            <v>2.7265575666350076E-2</v>
          </cell>
          <cell r="DM209">
            <v>0</v>
          </cell>
          <cell r="DN209">
            <v>0</v>
          </cell>
          <cell r="DO209">
            <v>0</v>
          </cell>
          <cell r="DP209">
            <v>0</v>
          </cell>
          <cell r="DQ209">
            <v>3.4468873821709503E-2</v>
          </cell>
          <cell r="DS209">
            <v>0</v>
          </cell>
          <cell r="DT209">
            <v>0</v>
          </cell>
          <cell r="DU209">
            <v>0</v>
          </cell>
          <cell r="DV209">
            <v>0</v>
          </cell>
          <cell r="DW209">
            <v>3.6954714817120315E-2</v>
          </cell>
          <cell r="DY209">
            <v>0</v>
          </cell>
          <cell r="DZ209">
            <v>0</v>
          </cell>
          <cell r="EA209">
            <v>0</v>
          </cell>
          <cell r="EB209">
            <v>0</v>
          </cell>
          <cell r="EC209">
            <v>3.015882584995833E-2</v>
          </cell>
          <cell r="EE209">
            <v>0</v>
          </cell>
          <cell r="EF209">
            <v>0</v>
          </cell>
          <cell r="EG209">
            <v>0</v>
          </cell>
          <cell r="EH209">
            <v>0</v>
          </cell>
          <cell r="EI209">
            <v>2.7695444957292734E-2</v>
          </cell>
          <cell r="EK209">
            <v>0</v>
          </cell>
          <cell r="EL209">
            <v>0</v>
          </cell>
          <cell r="EM209">
            <v>0</v>
          </cell>
          <cell r="EN209">
            <v>0</v>
          </cell>
          <cell r="EO209">
            <v>2.6816467192868416E-2</v>
          </cell>
          <cell r="EQ209">
            <v>0</v>
          </cell>
          <cell r="ER209">
            <v>0</v>
          </cell>
          <cell r="ES209">
            <v>0</v>
          </cell>
          <cell r="ET209">
            <v>0</v>
          </cell>
          <cell r="EU209">
            <v>2.879964394717861E-2</v>
          </cell>
          <cell r="EW209">
            <v>0</v>
          </cell>
          <cell r="EX209">
            <v>0</v>
          </cell>
          <cell r="EY209">
            <v>0</v>
          </cell>
          <cell r="EZ209">
            <v>0</v>
          </cell>
          <cell r="FA209">
            <v>3.0635930072126685E-2</v>
          </cell>
        </row>
        <row r="210"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0</v>
          </cell>
          <cell r="S210">
            <v>0</v>
          </cell>
          <cell r="U210">
            <v>0</v>
          </cell>
          <cell r="V210">
            <v>0</v>
          </cell>
          <cell r="W210">
            <v>0</v>
          </cell>
          <cell r="X210">
            <v>0</v>
          </cell>
          <cell r="Y210">
            <v>0</v>
          </cell>
          <cell r="AA210">
            <v>0</v>
          </cell>
          <cell r="AB210">
            <v>0</v>
          </cell>
          <cell r="AC210">
            <v>0</v>
          </cell>
          <cell r="AD210">
            <v>0</v>
          </cell>
          <cell r="AE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0</v>
          </cell>
          <cell r="AQ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0</v>
          </cell>
          <cell r="BK210">
            <v>0</v>
          </cell>
          <cell r="BL210">
            <v>0</v>
          </cell>
          <cell r="BM210">
            <v>0</v>
          </cell>
          <cell r="BN210">
            <v>0</v>
          </cell>
          <cell r="BO210">
            <v>0</v>
          </cell>
          <cell r="BQ210">
            <v>0</v>
          </cell>
          <cell r="BR210">
            <v>0</v>
          </cell>
          <cell r="BS210">
            <v>0</v>
          </cell>
          <cell r="BT210">
            <v>0</v>
          </cell>
          <cell r="BU210">
            <v>0</v>
          </cell>
          <cell r="BW210">
            <v>0</v>
          </cell>
          <cell r="BX210">
            <v>0</v>
          </cell>
          <cell r="BY210">
            <v>0</v>
          </cell>
          <cell r="BZ210">
            <v>0</v>
          </cell>
          <cell r="CA210">
            <v>0</v>
          </cell>
          <cell r="CC210">
            <v>0</v>
          </cell>
          <cell r="CD210">
            <v>0</v>
          </cell>
          <cell r="CE210">
            <v>0</v>
          </cell>
          <cell r="CF210">
            <v>0</v>
          </cell>
          <cell r="CG210">
            <v>0</v>
          </cell>
          <cell r="CI210">
            <v>0</v>
          </cell>
          <cell r="CJ210">
            <v>0</v>
          </cell>
          <cell r="CK210">
            <v>0</v>
          </cell>
          <cell r="CL210">
            <v>0</v>
          </cell>
          <cell r="CM210">
            <v>0</v>
          </cell>
          <cell r="CO210">
            <v>0</v>
          </cell>
          <cell r="CP210">
            <v>0</v>
          </cell>
          <cell r="CQ210">
            <v>0</v>
          </cell>
          <cell r="CR210">
            <v>0</v>
          </cell>
          <cell r="CS210">
            <v>0</v>
          </cell>
          <cell r="CU210">
            <v>0</v>
          </cell>
          <cell r="CV210">
            <v>0</v>
          </cell>
          <cell r="CW210">
            <v>0</v>
          </cell>
          <cell r="CX210">
            <v>0</v>
          </cell>
          <cell r="CY210">
            <v>0</v>
          </cell>
          <cell r="DA210">
            <v>0</v>
          </cell>
          <cell r="DB210">
            <v>0</v>
          </cell>
          <cell r="DC210">
            <v>0</v>
          </cell>
          <cell r="DE210">
            <v>0</v>
          </cell>
          <cell r="DG210">
            <v>0</v>
          </cell>
          <cell r="DH210">
            <v>0</v>
          </cell>
          <cell r="DI210">
            <v>0</v>
          </cell>
          <cell r="DJ210">
            <v>0</v>
          </cell>
          <cell r="DK210">
            <v>0</v>
          </cell>
          <cell r="DM210">
            <v>0</v>
          </cell>
          <cell r="DN210">
            <v>0</v>
          </cell>
          <cell r="DO210">
            <v>0</v>
          </cell>
          <cell r="DP210">
            <v>0</v>
          </cell>
          <cell r="DQ210">
            <v>0</v>
          </cell>
          <cell r="DS210">
            <v>0</v>
          </cell>
          <cell r="DT210">
            <v>0</v>
          </cell>
          <cell r="DU210">
            <v>0</v>
          </cell>
          <cell r="DV210">
            <v>0</v>
          </cell>
          <cell r="DW210">
            <v>0</v>
          </cell>
          <cell r="DY210">
            <v>0</v>
          </cell>
          <cell r="DZ210">
            <v>0</v>
          </cell>
          <cell r="EA210">
            <v>0</v>
          </cell>
          <cell r="EB210">
            <v>0</v>
          </cell>
          <cell r="EC210">
            <v>0</v>
          </cell>
          <cell r="EE210">
            <v>0</v>
          </cell>
          <cell r="EF210">
            <v>0</v>
          </cell>
          <cell r="EG210">
            <v>0</v>
          </cell>
          <cell r="EH210">
            <v>0</v>
          </cell>
          <cell r="EI210">
            <v>0</v>
          </cell>
          <cell r="EK210">
            <v>0</v>
          </cell>
          <cell r="EL210">
            <v>0</v>
          </cell>
          <cell r="EM210">
            <v>0</v>
          </cell>
          <cell r="EN210">
            <v>0</v>
          </cell>
          <cell r="EO210">
            <v>0</v>
          </cell>
          <cell r="EQ210">
            <v>0</v>
          </cell>
          <cell r="ER210">
            <v>0</v>
          </cell>
          <cell r="ES210">
            <v>0</v>
          </cell>
          <cell r="ET210">
            <v>0</v>
          </cell>
          <cell r="EU210">
            <v>0</v>
          </cell>
          <cell r="EW210">
            <v>0</v>
          </cell>
          <cell r="EX210">
            <v>0</v>
          </cell>
          <cell r="EY210">
            <v>0</v>
          </cell>
          <cell r="EZ210">
            <v>0</v>
          </cell>
          <cell r="FA210">
            <v>0</v>
          </cell>
        </row>
        <row r="211"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0</v>
          </cell>
          <cell r="S211">
            <v>0</v>
          </cell>
          <cell r="U211">
            <v>0</v>
          </cell>
          <cell r="V211">
            <v>0</v>
          </cell>
          <cell r="W211">
            <v>0</v>
          </cell>
          <cell r="X211">
            <v>0</v>
          </cell>
          <cell r="Y211">
            <v>0</v>
          </cell>
          <cell r="AA211">
            <v>0</v>
          </cell>
          <cell r="AB211">
            <v>0</v>
          </cell>
          <cell r="AC211">
            <v>0</v>
          </cell>
          <cell r="AD211">
            <v>0</v>
          </cell>
          <cell r="AE211">
            <v>0</v>
          </cell>
          <cell r="AG211">
            <v>0</v>
          </cell>
          <cell r="AH211">
            <v>0</v>
          </cell>
          <cell r="AI211">
            <v>0</v>
          </cell>
          <cell r="AJ211">
            <v>0</v>
          </cell>
          <cell r="AK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0</v>
          </cell>
          <cell r="AQ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0</v>
          </cell>
          <cell r="BK211">
            <v>0</v>
          </cell>
          <cell r="BL211">
            <v>0</v>
          </cell>
          <cell r="BM211">
            <v>0</v>
          </cell>
          <cell r="BN211">
            <v>0</v>
          </cell>
          <cell r="BO211">
            <v>0</v>
          </cell>
          <cell r="BQ211">
            <v>0</v>
          </cell>
          <cell r="BR211">
            <v>0</v>
          </cell>
          <cell r="BS211">
            <v>0</v>
          </cell>
          <cell r="BT211">
            <v>0</v>
          </cell>
          <cell r="BU211">
            <v>0</v>
          </cell>
          <cell r="BW211">
            <v>0</v>
          </cell>
          <cell r="BX211">
            <v>0</v>
          </cell>
          <cell r="BY211">
            <v>0</v>
          </cell>
          <cell r="BZ211">
            <v>0</v>
          </cell>
          <cell r="CA211">
            <v>0</v>
          </cell>
          <cell r="CC211">
            <v>0</v>
          </cell>
          <cell r="CD211">
            <v>0</v>
          </cell>
          <cell r="CE211">
            <v>0</v>
          </cell>
          <cell r="CF211">
            <v>0</v>
          </cell>
          <cell r="CG211">
            <v>0</v>
          </cell>
          <cell r="CI211">
            <v>0</v>
          </cell>
          <cell r="CJ211">
            <v>0</v>
          </cell>
          <cell r="CK211">
            <v>0</v>
          </cell>
          <cell r="CL211">
            <v>0</v>
          </cell>
          <cell r="CM211">
            <v>63.472900000000003</v>
          </cell>
          <cell r="CO211">
            <v>0</v>
          </cell>
          <cell r="CP211">
            <v>0</v>
          </cell>
          <cell r="CQ211">
            <v>0</v>
          </cell>
          <cell r="CR211">
            <v>0</v>
          </cell>
          <cell r="CS211">
            <v>71.598050000000001</v>
          </cell>
          <cell r="CU211">
            <v>0</v>
          </cell>
          <cell r="CV211">
            <v>0</v>
          </cell>
          <cell r="CW211">
            <v>0</v>
          </cell>
          <cell r="CX211">
            <v>0</v>
          </cell>
          <cell r="CY211">
            <v>86.417619999999999</v>
          </cell>
          <cell r="DA211">
            <v>0</v>
          </cell>
          <cell r="DB211">
            <v>0</v>
          </cell>
          <cell r="DC211">
            <v>0</v>
          </cell>
          <cell r="DE211">
            <v>95.157790000000006</v>
          </cell>
          <cell r="DG211">
            <v>0</v>
          </cell>
          <cell r="DH211">
            <v>0</v>
          </cell>
          <cell r="DI211">
            <v>0</v>
          </cell>
          <cell r="DJ211">
            <v>0</v>
          </cell>
          <cell r="DK211">
            <v>115.56</v>
          </cell>
          <cell r="DM211">
            <v>0</v>
          </cell>
          <cell r="DN211">
            <v>0</v>
          </cell>
          <cell r="DO211">
            <v>0</v>
          </cell>
          <cell r="DP211">
            <v>0</v>
          </cell>
          <cell r="DQ211">
            <v>128.84850289129292</v>
          </cell>
          <cell r="DS211">
            <v>0</v>
          </cell>
          <cell r="DT211">
            <v>0</v>
          </cell>
          <cell r="DU211">
            <v>0</v>
          </cell>
          <cell r="DV211">
            <v>0</v>
          </cell>
          <cell r="DW211">
            <v>126</v>
          </cell>
          <cell r="DY211">
            <v>0</v>
          </cell>
          <cell r="DZ211">
            <v>0</v>
          </cell>
          <cell r="EA211">
            <v>0</v>
          </cell>
          <cell r="EB211">
            <v>0</v>
          </cell>
          <cell r="EC211">
            <v>118.95</v>
          </cell>
          <cell r="EE211">
            <v>0</v>
          </cell>
          <cell r="EF211">
            <v>0</v>
          </cell>
          <cell r="EG211">
            <v>0</v>
          </cell>
          <cell r="EH211">
            <v>0</v>
          </cell>
          <cell r="EI211">
            <v>128.69999999999999</v>
          </cell>
          <cell r="EK211">
            <v>0</v>
          </cell>
          <cell r="EL211">
            <v>0</v>
          </cell>
          <cell r="EM211">
            <v>0</v>
          </cell>
          <cell r="EN211">
            <v>0</v>
          </cell>
          <cell r="EO211">
            <v>123.56495228379544</v>
          </cell>
          <cell r="EQ211">
            <v>0</v>
          </cell>
          <cell r="ER211">
            <v>0</v>
          </cell>
          <cell r="ES211">
            <v>0</v>
          </cell>
          <cell r="ET211">
            <v>0</v>
          </cell>
          <cell r="EU211">
            <v>128.92618108859929</v>
          </cell>
          <cell r="EW211">
            <v>0</v>
          </cell>
          <cell r="EX211">
            <v>0</v>
          </cell>
          <cell r="EY211">
            <v>0</v>
          </cell>
          <cell r="EZ211">
            <v>0</v>
          </cell>
          <cell r="FA211">
            <v>134.57163653530026</v>
          </cell>
        </row>
        <row r="212"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0</v>
          </cell>
          <cell r="S212">
            <v>0</v>
          </cell>
          <cell r="U212">
            <v>0</v>
          </cell>
          <cell r="V212">
            <v>0</v>
          </cell>
          <cell r="W212">
            <v>0</v>
          </cell>
          <cell r="X212">
            <v>0</v>
          </cell>
          <cell r="Y212">
            <v>0</v>
          </cell>
          <cell r="AA212">
            <v>0</v>
          </cell>
          <cell r="AB212">
            <v>0</v>
          </cell>
          <cell r="AC212">
            <v>0</v>
          </cell>
          <cell r="AD212">
            <v>0</v>
          </cell>
          <cell r="AE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M212">
            <v>0</v>
          </cell>
          <cell r="AN212">
            <v>0</v>
          </cell>
          <cell r="AO212">
            <v>0</v>
          </cell>
          <cell r="AP212">
            <v>0</v>
          </cell>
          <cell r="AQ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0</v>
          </cell>
          <cell r="BK212">
            <v>0</v>
          </cell>
          <cell r="BL212">
            <v>0</v>
          </cell>
          <cell r="BM212">
            <v>0</v>
          </cell>
          <cell r="BN212">
            <v>0</v>
          </cell>
          <cell r="BO212">
            <v>0</v>
          </cell>
          <cell r="BQ212">
            <v>0</v>
          </cell>
          <cell r="BR212">
            <v>0</v>
          </cell>
          <cell r="BS212">
            <v>0</v>
          </cell>
          <cell r="BT212">
            <v>0</v>
          </cell>
          <cell r="BU212">
            <v>0</v>
          </cell>
          <cell r="BW212">
            <v>0</v>
          </cell>
          <cell r="BX212">
            <v>0</v>
          </cell>
          <cell r="BY212">
            <v>0</v>
          </cell>
          <cell r="BZ212">
            <v>0</v>
          </cell>
          <cell r="CA212">
            <v>0</v>
          </cell>
          <cell r="CC212">
            <v>0</v>
          </cell>
          <cell r="CD212">
            <v>0</v>
          </cell>
          <cell r="CE212">
            <v>0</v>
          </cell>
          <cell r="CF212">
            <v>0</v>
          </cell>
          <cell r="CG212">
            <v>0</v>
          </cell>
          <cell r="CI212">
            <v>0</v>
          </cell>
          <cell r="CJ212">
            <v>0</v>
          </cell>
          <cell r="CK212">
            <v>0</v>
          </cell>
          <cell r="CL212">
            <v>0</v>
          </cell>
          <cell r="CM212">
            <v>850</v>
          </cell>
          <cell r="CO212">
            <v>0</v>
          </cell>
          <cell r="CP212">
            <v>0</v>
          </cell>
          <cell r="CQ212">
            <v>0</v>
          </cell>
          <cell r="CR212">
            <v>0</v>
          </cell>
          <cell r="CS212">
            <v>850</v>
          </cell>
          <cell r="CU212">
            <v>0</v>
          </cell>
          <cell r="CV212">
            <v>0</v>
          </cell>
          <cell r="CW212">
            <v>0</v>
          </cell>
          <cell r="CX212">
            <v>0</v>
          </cell>
          <cell r="CY212">
            <v>1010</v>
          </cell>
          <cell r="DA212">
            <v>0</v>
          </cell>
          <cell r="DB212">
            <v>0</v>
          </cell>
          <cell r="DC212">
            <v>0</v>
          </cell>
          <cell r="DE212">
            <v>910</v>
          </cell>
          <cell r="DG212">
            <v>0</v>
          </cell>
          <cell r="DH212">
            <v>0</v>
          </cell>
          <cell r="DI212">
            <v>0</v>
          </cell>
          <cell r="DJ212">
            <v>0</v>
          </cell>
          <cell r="DK212">
            <v>1070</v>
          </cell>
          <cell r="DM212">
            <v>0</v>
          </cell>
          <cell r="DN212">
            <v>0</v>
          </cell>
          <cell r="DO212">
            <v>0</v>
          </cell>
          <cell r="DP212">
            <v>0</v>
          </cell>
          <cell r="DQ212">
            <v>1115</v>
          </cell>
          <cell r="DS212">
            <v>0</v>
          </cell>
          <cell r="DT212">
            <v>0</v>
          </cell>
          <cell r="DU212">
            <v>0</v>
          </cell>
          <cell r="DV212">
            <v>0</v>
          </cell>
          <cell r="DW212">
            <v>1050</v>
          </cell>
          <cell r="DY212">
            <v>0</v>
          </cell>
          <cell r="DZ212">
            <v>0</v>
          </cell>
          <cell r="EA212">
            <v>0</v>
          </cell>
          <cell r="EB212">
            <v>0</v>
          </cell>
          <cell r="EC212">
            <v>975</v>
          </cell>
          <cell r="EE212">
            <v>0</v>
          </cell>
          <cell r="EF212">
            <v>0</v>
          </cell>
          <cell r="EG212">
            <v>0</v>
          </cell>
          <cell r="EH212">
            <v>0</v>
          </cell>
          <cell r="EI212">
            <v>975</v>
          </cell>
          <cell r="EK212">
            <v>0</v>
          </cell>
          <cell r="EL212">
            <v>0</v>
          </cell>
          <cell r="EM212">
            <v>0</v>
          </cell>
          <cell r="EN212">
            <v>0</v>
          </cell>
          <cell r="EO212">
            <v>975</v>
          </cell>
          <cell r="EQ212">
            <v>0</v>
          </cell>
          <cell r="ER212">
            <v>0</v>
          </cell>
          <cell r="ES212">
            <v>0</v>
          </cell>
          <cell r="ET212">
            <v>0</v>
          </cell>
          <cell r="EU212">
            <v>975</v>
          </cell>
          <cell r="EW212">
            <v>0</v>
          </cell>
          <cell r="EX212">
            <v>0</v>
          </cell>
          <cell r="EY212">
            <v>0</v>
          </cell>
          <cell r="EZ212">
            <v>0</v>
          </cell>
          <cell r="FA212">
            <v>975</v>
          </cell>
        </row>
        <row r="213"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0</v>
          </cell>
          <cell r="S213">
            <v>0</v>
          </cell>
          <cell r="U213">
            <v>0</v>
          </cell>
          <cell r="V213">
            <v>0</v>
          </cell>
          <cell r="W213">
            <v>0</v>
          </cell>
          <cell r="X213">
            <v>0</v>
          </cell>
          <cell r="Y213">
            <v>0</v>
          </cell>
          <cell r="AA213">
            <v>0</v>
          </cell>
          <cell r="AB213">
            <v>0</v>
          </cell>
          <cell r="AC213">
            <v>0</v>
          </cell>
          <cell r="AD213">
            <v>0</v>
          </cell>
          <cell r="AE213">
            <v>0</v>
          </cell>
          <cell r="AG213">
            <v>0</v>
          </cell>
          <cell r="AH213">
            <v>0</v>
          </cell>
          <cell r="AI213">
            <v>0</v>
          </cell>
          <cell r="AJ213">
            <v>0</v>
          </cell>
          <cell r="AK213">
            <v>0</v>
          </cell>
          <cell r="AM213">
            <v>0</v>
          </cell>
          <cell r="AN213">
            <v>0</v>
          </cell>
          <cell r="AO213">
            <v>0</v>
          </cell>
          <cell r="AP213">
            <v>0</v>
          </cell>
          <cell r="AQ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0</v>
          </cell>
          <cell r="BK213">
            <v>0</v>
          </cell>
          <cell r="BL213">
            <v>0</v>
          </cell>
          <cell r="BM213">
            <v>0</v>
          </cell>
          <cell r="BN213">
            <v>0</v>
          </cell>
          <cell r="BO213">
            <v>0</v>
          </cell>
          <cell r="BQ213">
            <v>0</v>
          </cell>
          <cell r="BR213">
            <v>0</v>
          </cell>
          <cell r="BS213">
            <v>0</v>
          </cell>
          <cell r="BT213">
            <v>0</v>
          </cell>
          <cell r="BU213">
            <v>0</v>
          </cell>
          <cell r="BW213">
            <v>0</v>
          </cell>
          <cell r="BX213">
            <v>0</v>
          </cell>
          <cell r="BY213">
            <v>0</v>
          </cell>
          <cell r="BZ213">
            <v>0</v>
          </cell>
          <cell r="CA213">
            <v>0</v>
          </cell>
          <cell r="CC213">
            <v>0</v>
          </cell>
          <cell r="CD213">
            <v>0</v>
          </cell>
          <cell r="CE213">
            <v>0</v>
          </cell>
          <cell r="CF213">
            <v>0</v>
          </cell>
          <cell r="CG213">
            <v>0</v>
          </cell>
          <cell r="CI213">
            <v>0</v>
          </cell>
          <cell r="CJ213">
            <v>0</v>
          </cell>
          <cell r="CK213">
            <v>0</v>
          </cell>
          <cell r="CL213">
            <v>0</v>
          </cell>
          <cell r="CM213">
            <v>1.2131670489296637E-2</v>
          </cell>
          <cell r="CO213">
            <v>0</v>
          </cell>
          <cell r="CP213">
            <v>0</v>
          </cell>
          <cell r="CQ213">
            <v>0</v>
          </cell>
          <cell r="CR213">
            <v>0</v>
          </cell>
          <cell r="CS213">
            <v>1.4019590757783435E-2</v>
          </cell>
          <cell r="CU213">
            <v>0</v>
          </cell>
          <cell r="CV213">
            <v>0</v>
          </cell>
          <cell r="CW213">
            <v>0</v>
          </cell>
          <cell r="CX213">
            <v>0</v>
          </cell>
          <cell r="CY213">
            <v>1.6780120388349515E-2</v>
          </cell>
          <cell r="DA213">
            <v>0</v>
          </cell>
          <cell r="DB213">
            <v>0</v>
          </cell>
          <cell r="DC213">
            <v>0</v>
          </cell>
          <cell r="DE213">
            <v>1.9012545454545456E-2</v>
          </cell>
          <cell r="DG213">
            <v>0</v>
          </cell>
          <cell r="DH213">
            <v>0</v>
          </cell>
          <cell r="DI213">
            <v>0</v>
          </cell>
          <cell r="DJ213">
            <v>0</v>
          </cell>
          <cell r="DK213">
            <v>2.2992439315559093E-2</v>
          </cell>
          <cell r="DM213">
            <v>0</v>
          </cell>
          <cell r="DN213">
            <v>0</v>
          </cell>
          <cell r="DO213">
            <v>0</v>
          </cell>
          <cell r="DP213">
            <v>0</v>
          </cell>
          <cell r="DQ213">
            <v>2.5423935061423229E-2</v>
          </cell>
          <cell r="DS213">
            <v>0</v>
          </cell>
          <cell r="DT213">
            <v>0</v>
          </cell>
          <cell r="DU213">
            <v>0</v>
          </cell>
          <cell r="DV213">
            <v>0</v>
          </cell>
          <cell r="DW213">
            <v>2.5688073394495414E-2</v>
          </cell>
          <cell r="DY213">
            <v>0</v>
          </cell>
          <cell r="DZ213">
            <v>0</v>
          </cell>
          <cell r="EA213">
            <v>0</v>
          </cell>
          <cell r="EB213">
            <v>0</v>
          </cell>
          <cell r="EC213">
            <v>2.5663430420711973E-2</v>
          </cell>
          <cell r="EE213">
            <v>0</v>
          </cell>
          <cell r="EF213">
            <v>0</v>
          </cell>
          <cell r="EG213">
            <v>0</v>
          </cell>
          <cell r="EH213">
            <v>0</v>
          </cell>
          <cell r="EI213">
            <v>2.883064516129032E-2</v>
          </cell>
          <cell r="EK213">
            <v>0</v>
          </cell>
          <cell r="EL213">
            <v>0</v>
          </cell>
          <cell r="EM213">
            <v>0</v>
          </cell>
          <cell r="EN213">
            <v>0</v>
          </cell>
          <cell r="EO213">
            <v>2.8451520212709056E-2</v>
          </cell>
          <cell r="EQ213">
            <v>0</v>
          </cell>
          <cell r="ER213">
            <v>0</v>
          </cell>
          <cell r="ES213">
            <v>0</v>
          </cell>
          <cell r="ET213">
            <v>0</v>
          </cell>
          <cell r="EU213">
            <v>3.108218039112726E-2</v>
          </cell>
          <cell r="EW213">
            <v>0</v>
          </cell>
          <cell r="EX213">
            <v>0</v>
          </cell>
          <cell r="EY213">
            <v>0</v>
          </cell>
          <cell r="EZ213">
            <v>0</v>
          </cell>
          <cell r="FA213">
            <v>3.3513853226714671E-2</v>
          </cell>
        </row>
        <row r="214"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0</v>
          </cell>
          <cell r="S214">
            <v>0</v>
          </cell>
          <cell r="U214">
            <v>0</v>
          </cell>
          <cell r="V214">
            <v>0</v>
          </cell>
          <cell r="W214">
            <v>0</v>
          </cell>
          <cell r="X214">
            <v>0</v>
          </cell>
          <cell r="Y214">
            <v>0</v>
          </cell>
          <cell r="AA214">
            <v>0</v>
          </cell>
          <cell r="AB214">
            <v>0</v>
          </cell>
          <cell r="AC214">
            <v>0</v>
          </cell>
          <cell r="AD214">
            <v>0</v>
          </cell>
          <cell r="AE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M214">
            <v>0</v>
          </cell>
          <cell r="AN214">
            <v>0</v>
          </cell>
          <cell r="AO214">
            <v>0</v>
          </cell>
          <cell r="AP214">
            <v>0</v>
          </cell>
          <cell r="AQ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0</v>
          </cell>
          <cell r="BK214">
            <v>0</v>
          </cell>
          <cell r="BL214">
            <v>0</v>
          </cell>
          <cell r="BM214">
            <v>0</v>
          </cell>
          <cell r="BN214">
            <v>0</v>
          </cell>
          <cell r="BO214">
            <v>0</v>
          </cell>
          <cell r="BQ214">
            <v>0</v>
          </cell>
          <cell r="BR214">
            <v>0</v>
          </cell>
          <cell r="BS214">
            <v>0</v>
          </cell>
          <cell r="BT214">
            <v>0</v>
          </cell>
          <cell r="BU214">
            <v>0</v>
          </cell>
          <cell r="BW214">
            <v>0</v>
          </cell>
          <cell r="BX214">
            <v>0</v>
          </cell>
          <cell r="BY214">
            <v>0</v>
          </cell>
          <cell r="BZ214">
            <v>0</v>
          </cell>
          <cell r="CA214">
            <v>0</v>
          </cell>
          <cell r="CC214">
            <v>0</v>
          </cell>
          <cell r="CD214">
            <v>0</v>
          </cell>
          <cell r="CE214">
            <v>0</v>
          </cell>
          <cell r="CF214">
            <v>0</v>
          </cell>
          <cell r="CG214">
            <v>0</v>
          </cell>
          <cell r="CI214">
            <v>0</v>
          </cell>
          <cell r="CJ214">
            <v>0</v>
          </cell>
          <cell r="CK214">
            <v>0</v>
          </cell>
          <cell r="CL214">
            <v>0</v>
          </cell>
          <cell r="CM214">
            <v>0</v>
          </cell>
          <cell r="CO214">
            <v>0</v>
          </cell>
          <cell r="CP214">
            <v>0</v>
          </cell>
          <cell r="CQ214">
            <v>0</v>
          </cell>
          <cell r="CR214">
            <v>0</v>
          </cell>
          <cell r="CS214">
            <v>0</v>
          </cell>
          <cell r="CU214">
            <v>0</v>
          </cell>
          <cell r="CV214">
            <v>0</v>
          </cell>
          <cell r="CW214">
            <v>0</v>
          </cell>
          <cell r="CX214">
            <v>0</v>
          </cell>
          <cell r="CY214">
            <v>0</v>
          </cell>
          <cell r="DA214">
            <v>0</v>
          </cell>
          <cell r="DB214">
            <v>0</v>
          </cell>
          <cell r="DC214">
            <v>0</v>
          </cell>
          <cell r="DE214">
            <v>0</v>
          </cell>
          <cell r="DG214">
            <v>0</v>
          </cell>
          <cell r="DH214">
            <v>0</v>
          </cell>
          <cell r="DI214">
            <v>0</v>
          </cell>
          <cell r="DJ214">
            <v>0</v>
          </cell>
          <cell r="DK214">
            <v>0</v>
          </cell>
          <cell r="DM214">
            <v>0</v>
          </cell>
          <cell r="DN214">
            <v>0</v>
          </cell>
          <cell r="DO214">
            <v>0</v>
          </cell>
          <cell r="DP214">
            <v>0</v>
          </cell>
          <cell r="DQ214">
            <v>0</v>
          </cell>
          <cell r="DS214">
            <v>0</v>
          </cell>
          <cell r="DT214">
            <v>0</v>
          </cell>
          <cell r="DU214">
            <v>0</v>
          </cell>
          <cell r="DV214">
            <v>0</v>
          </cell>
          <cell r="DW214">
            <v>0</v>
          </cell>
          <cell r="DY214">
            <v>0</v>
          </cell>
          <cell r="DZ214">
            <v>0</v>
          </cell>
          <cell r="EA214">
            <v>0</v>
          </cell>
          <cell r="EB214">
            <v>0</v>
          </cell>
          <cell r="EC214">
            <v>0</v>
          </cell>
          <cell r="EE214">
            <v>0</v>
          </cell>
          <cell r="EF214">
            <v>0</v>
          </cell>
          <cell r="EG214">
            <v>0</v>
          </cell>
          <cell r="EH214">
            <v>0</v>
          </cell>
          <cell r="EI214">
            <v>0</v>
          </cell>
          <cell r="EK214">
            <v>0</v>
          </cell>
          <cell r="EL214">
            <v>0</v>
          </cell>
          <cell r="EM214">
            <v>0</v>
          </cell>
          <cell r="EN214">
            <v>0</v>
          </cell>
          <cell r="EO214">
            <v>0</v>
          </cell>
          <cell r="EQ214">
            <v>0</v>
          </cell>
          <cell r="ER214">
            <v>0</v>
          </cell>
          <cell r="ES214">
            <v>0</v>
          </cell>
          <cell r="ET214">
            <v>0</v>
          </cell>
          <cell r="EU214">
            <v>0</v>
          </cell>
          <cell r="EW214">
            <v>0</v>
          </cell>
          <cell r="EX214">
            <v>0</v>
          </cell>
          <cell r="EY214">
            <v>0</v>
          </cell>
          <cell r="EZ214">
            <v>0</v>
          </cell>
          <cell r="FA214">
            <v>0</v>
          </cell>
        </row>
        <row r="215"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0</v>
          </cell>
          <cell r="S215">
            <v>0</v>
          </cell>
          <cell r="U215">
            <v>0</v>
          </cell>
          <cell r="V215">
            <v>0</v>
          </cell>
          <cell r="W215">
            <v>0</v>
          </cell>
          <cell r="X215">
            <v>0</v>
          </cell>
          <cell r="Y215">
            <v>0</v>
          </cell>
          <cell r="AA215">
            <v>0</v>
          </cell>
          <cell r="AB215">
            <v>0</v>
          </cell>
          <cell r="AC215">
            <v>0</v>
          </cell>
          <cell r="AD215">
            <v>0</v>
          </cell>
          <cell r="AE215">
            <v>0</v>
          </cell>
          <cell r="AG215">
            <v>0</v>
          </cell>
          <cell r="AH215">
            <v>0</v>
          </cell>
          <cell r="AI215">
            <v>0</v>
          </cell>
          <cell r="AJ215">
            <v>0</v>
          </cell>
          <cell r="AK215">
            <v>0</v>
          </cell>
          <cell r="AM215">
            <v>0</v>
          </cell>
          <cell r="AN215">
            <v>0</v>
          </cell>
          <cell r="AO215">
            <v>0</v>
          </cell>
          <cell r="AP215">
            <v>0</v>
          </cell>
          <cell r="AQ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41</v>
          </cell>
          <cell r="BK215">
            <v>0</v>
          </cell>
          <cell r="BL215">
            <v>0</v>
          </cell>
          <cell r="BM215">
            <v>0</v>
          </cell>
          <cell r="BN215">
            <v>0</v>
          </cell>
          <cell r="BO215">
            <v>49</v>
          </cell>
          <cell r="BQ215">
            <v>0</v>
          </cell>
          <cell r="BR215">
            <v>0</v>
          </cell>
          <cell r="BS215">
            <v>0</v>
          </cell>
          <cell r="BT215">
            <v>0</v>
          </cell>
          <cell r="BU215">
            <v>23</v>
          </cell>
          <cell r="BW215">
            <v>0</v>
          </cell>
          <cell r="BX215">
            <v>0</v>
          </cell>
          <cell r="BY215">
            <v>0</v>
          </cell>
          <cell r="BZ215">
            <v>0</v>
          </cell>
          <cell r="CA215">
            <v>3</v>
          </cell>
          <cell r="CC215">
            <v>0</v>
          </cell>
          <cell r="CD215">
            <v>0</v>
          </cell>
          <cell r="CE215">
            <v>0</v>
          </cell>
          <cell r="CF215">
            <v>0</v>
          </cell>
          <cell r="CG215">
            <v>9</v>
          </cell>
          <cell r="CI215">
            <v>0</v>
          </cell>
          <cell r="CJ215">
            <v>0</v>
          </cell>
          <cell r="CK215">
            <v>0</v>
          </cell>
          <cell r="CL215">
            <v>0</v>
          </cell>
          <cell r="CM215">
            <v>69.952900000000014</v>
          </cell>
          <cell r="CO215">
            <v>0</v>
          </cell>
          <cell r="CP215">
            <v>0</v>
          </cell>
          <cell r="CQ215">
            <v>0</v>
          </cell>
          <cell r="CR215">
            <v>0</v>
          </cell>
          <cell r="CS215">
            <v>124.76225399999998</v>
          </cell>
          <cell r="CU215">
            <v>0</v>
          </cell>
          <cell r="CV215">
            <v>0</v>
          </cell>
          <cell r="CW215">
            <v>0</v>
          </cell>
          <cell r="CX215">
            <v>0</v>
          </cell>
          <cell r="CY215">
            <v>176.24644287999999</v>
          </cell>
          <cell r="DA215">
            <v>0</v>
          </cell>
          <cell r="DB215">
            <v>0</v>
          </cell>
          <cell r="DC215">
            <v>0</v>
          </cell>
          <cell r="DE215">
            <v>221.35024310208001</v>
          </cell>
          <cell r="DG215">
            <v>0</v>
          </cell>
          <cell r="DH215">
            <v>0</v>
          </cell>
          <cell r="DI215">
            <v>0</v>
          </cell>
          <cell r="DJ215">
            <v>0</v>
          </cell>
          <cell r="DK215">
            <v>268.73436822663939</v>
          </cell>
          <cell r="DM215">
            <v>0</v>
          </cell>
          <cell r="DN215">
            <v>0</v>
          </cell>
          <cell r="DO215">
            <v>0</v>
          </cell>
          <cell r="DP215">
            <v>0</v>
          </cell>
          <cell r="DQ215">
            <v>358.07891898861629</v>
          </cell>
          <cell r="DS215">
            <v>0</v>
          </cell>
          <cell r="DT215">
            <v>0</v>
          </cell>
          <cell r="DU215">
            <v>0</v>
          </cell>
          <cell r="DV215">
            <v>0</v>
          </cell>
          <cell r="DW215">
            <v>416.04392438077923</v>
          </cell>
          <cell r="DY215">
            <v>0</v>
          </cell>
          <cell r="DZ215">
            <v>0</v>
          </cell>
          <cell r="EA215">
            <v>0</v>
          </cell>
          <cell r="EB215">
            <v>0</v>
          </cell>
          <cell r="EC215">
            <v>455.94557874843122</v>
          </cell>
          <cell r="EE215">
            <v>0</v>
          </cell>
          <cell r="EF215">
            <v>0</v>
          </cell>
          <cell r="EG215">
            <v>0</v>
          </cell>
          <cell r="EH215">
            <v>0</v>
          </cell>
          <cell r="EI215">
            <v>479.77809563629211</v>
          </cell>
          <cell r="EK215">
            <v>0</v>
          </cell>
          <cell r="EL215">
            <v>0</v>
          </cell>
          <cell r="EM215">
            <v>0</v>
          </cell>
          <cell r="EN215">
            <v>0</v>
          </cell>
          <cell r="EO215">
            <v>492.99408592374027</v>
          </cell>
          <cell r="EQ215">
            <v>0</v>
          </cell>
          <cell r="ER215">
            <v>0</v>
          </cell>
          <cell r="ES215">
            <v>0</v>
          </cell>
          <cell r="ET215">
            <v>0</v>
          </cell>
          <cell r="EU215">
            <v>508.53162724987925</v>
          </cell>
          <cell r="EW215">
            <v>0</v>
          </cell>
          <cell r="EX215">
            <v>0</v>
          </cell>
          <cell r="EY215">
            <v>0</v>
          </cell>
          <cell r="EZ215">
            <v>0</v>
          </cell>
          <cell r="FA215">
            <v>526.14098951770734</v>
          </cell>
        </row>
        <row r="216"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0</v>
          </cell>
          <cell r="S216">
            <v>0</v>
          </cell>
          <cell r="U216">
            <v>0</v>
          </cell>
          <cell r="V216">
            <v>0</v>
          </cell>
          <cell r="W216">
            <v>0</v>
          </cell>
          <cell r="X216">
            <v>0</v>
          </cell>
          <cell r="Y216">
            <v>0</v>
          </cell>
          <cell r="AA216">
            <v>0</v>
          </cell>
          <cell r="AB216">
            <v>0</v>
          </cell>
          <cell r="AC216">
            <v>0</v>
          </cell>
          <cell r="AD216">
            <v>0</v>
          </cell>
          <cell r="AE216">
            <v>0</v>
          </cell>
          <cell r="AG216">
            <v>0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M216">
            <v>0</v>
          </cell>
          <cell r="AN216">
            <v>0</v>
          </cell>
          <cell r="AO216">
            <v>0</v>
          </cell>
          <cell r="AP216">
            <v>0</v>
          </cell>
          <cell r="AQ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-5431</v>
          </cell>
          <cell r="BK216">
            <v>0</v>
          </cell>
          <cell r="BL216">
            <v>0</v>
          </cell>
          <cell r="BM216">
            <v>0</v>
          </cell>
          <cell r="BN216">
            <v>0</v>
          </cell>
          <cell r="BO216">
            <v>-5233</v>
          </cell>
          <cell r="BQ216">
            <v>0</v>
          </cell>
          <cell r="BR216">
            <v>0</v>
          </cell>
          <cell r="BS216">
            <v>0</v>
          </cell>
          <cell r="BT216">
            <v>0</v>
          </cell>
          <cell r="BU216">
            <v>-5171</v>
          </cell>
          <cell r="BW216">
            <v>0</v>
          </cell>
          <cell r="BX216">
            <v>0</v>
          </cell>
          <cell r="BY216">
            <v>0</v>
          </cell>
          <cell r="BZ216">
            <v>0</v>
          </cell>
          <cell r="CA216">
            <v>-5145</v>
          </cell>
          <cell r="CC216">
            <v>0</v>
          </cell>
          <cell r="CD216">
            <v>0</v>
          </cell>
          <cell r="CE216">
            <v>0</v>
          </cell>
          <cell r="CF216">
            <v>0</v>
          </cell>
          <cell r="CG216">
            <v>-5232</v>
          </cell>
          <cell r="CI216">
            <v>0</v>
          </cell>
          <cell r="CJ216">
            <v>0</v>
          </cell>
          <cell r="CK216">
            <v>0</v>
          </cell>
          <cell r="CL216">
            <v>0</v>
          </cell>
          <cell r="CM216">
            <v>1.17</v>
          </cell>
          <cell r="CO216">
            <v>0</v>
          </cell>
          <cell r="CP216">
            <v>0</v>
          </cell>
          <cell r="CQ216">
            <v>0</v>
          </cell>
          <cell r="CR216">
            <v>0</v>
          </cell>
          <cell r="CS216">
            <v>6.9952900000000016</v>
          </cell>
          <cell r="CU216">
            <v>0</v>
          </cell>
          <cell r="CV216">
            <v>0</v>
          </cell>
          <cell r="CW216">
            <v>0</v>
          </cell>
          <cell r="CX216">
            <v>0</v>
          </cell>
          <cell r="CY216">
            <v>9.9809803199999987</v>
          </cell>
          <cell r="DA216">
            <v>0</v>
          </cell>
          <cell r="DB216">
            <v>0</v>
          </cell>
          <cell r="DC216">
            <v>0</v>
          </cell>
          <cell r="DE216">
            <v>20.620833816960001</v>
          </cell>
          <cell r="DG216">
            <v>0</v>
          </cell>
          <cell r="DH216">
            <v>0</v>
          </cell>
          <cell r="DI216">
            <v>0</v>
          </cell>
          <cell r="DJ216">
            <v>0</v>
          </cell>
          <cell r="DK216">
            <v>19.47882139298304</v>
          </cell>
          <cell r="DM216">
            <v>0</v>
          </cell>
          <cell r="DN216">
            <v>0</v>
          </cell>
          <cell r="DO216">
            <v>0</v>
          </cell>
          <cell r="DP216">
            <v>0</v>
          </cell>
          <cell r="DQ216">
            <v>9.9431716243856574</v>
          </cell>
          <cell r="DS216">
            <v>0</v>
          </cell>
          <cell r="DT216">
            <v>0</v>
          </cell>
          <cell r="DU216">
            <v>0</v>
          </cell>
          <cell r="DV216">
            <v>0</v>
          </cell>
          <cell r="DW216">
            <v>14.323156759544652</v>
          </cell>
          <cell r="DY216">
            <v>0</v>
          </cell>
          <cell r="DZ216">
            <v>0</v>
          </cell>
          <cell r="EA216">
            <v>0</v>
          </cell>
          <cell r="EB216">
            <v>0</v>
          </cell>
          <cell r="EC216">
            <v>16.641756975231168</v>
          </cell>
          <cell r="EE216">
            <v>0</v>
          </cell>
          <cell r="EF216">
            <v>0</v>
          </cell>
          <cell r="EG216">
            <v>0</v>
          </cell>
          <cell r="EH216">
            <v>0</v>
          </cell>
          <cell r="EI216">
            <v>36.475646299874498</v>
          </cell>
          <cell r="EK216">
            <v>0</v>
          </cell>
          <cell r="EL216">
            <v>0</v>
          </cell>
          <cell r="EM216">
            <v>0</v>
          </cell>
          <cell r="EN216">
            <v>0</v>
          </cell>
          <cell r="EO216">
            <v>38.382247650903366</v>
          </cell>
          <cell r="EQ216">
            <v>0</v>
          </cell>
          <cell r="ER216">
            <v>0</v>
          </cell>
          <cell r="ES216">
            <v>0</v>
          </cell>
          <cell r="ET216">
            <v>0</v>
          </cell>
          <cell r="EU216">
            <v>39.439526873899226</v>
          </cell>
          <cell r="EW216">
            <v>0</v>
          </cell>
          <cell r="EX216">
            <v>0</v>
          </cell>
          <cell r="EY216">
            <v>0</v>
          </cell>
          <cell r="EZ216">
            <v>0</v>
          </cell>
          <cell r="FA216">
            <v>40.682530179990344</v>
          </cell>
        </row>
        <row r="217"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0</v>
          </cell>
          <cell r="S217">
            <v>0</v>
          </cell>
          <cell r="U217">
            <v>0</v>
          </cell>
          <cell r="V217">
            <v>0</v>
          </cell>
          <cell r="W217">
            <v>0</v>
          </cell>
          <cell r="X217">
            <v>0</v>
          </cell>
          <cell r="Y217">
            <v>0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M217">
            <v>0</v>
          </cell>
          <cell r="AN217">
            <v>0</v>
          </cell>
          <cell r="AO217">
            <v>0</v>
          </cell>
          <cell r="AP217">
            <v>0</v>
          </cell>
          <cell r="AQ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 t="e">
            <v>#DIV/0!</v>
          </cell>
          <cell r="BK217">
            <v>0</v>
          </cell>
          <cell r="BL217">
            <v>0</v>
          </cell>
          <cell r="BM217">
            <v>0</v>
          </cell>
          <cell r="BN217">
            <v>0</v>
          </cell>
          <cell r="BO217">
            <v>-127.63414634146342</v>
          </cell>
          <cell r="BQ217">
            <v>0</v>
          </cell>
          <cell r="BR217">
            <v>0</v>
          </cell>
          <cell r="BS217">
            <v>0</v>
          </cell>
          <cell r="BT217">
            <v>0</v>
          </cell>
          <cell r="BU217">
            <v>-105.53061224489795</v>
          </cell>
          <cell r="BW217">
            <v>0</v>
          </cell>
          <cell r="BX217">
            <v>0</v>
          </cell>
          <cell r="BY217">
            <v>0</v>
          </cell>
          <cell r="BZ217">
            <v>0</v>
          </cell>
          <cell r="CA217">
            <v>-223.69565217391303</v>
          </cell>
          <cell r="CC217">
            <v>0</v>
          </cell>
          <cell r="CD217">
            <v>0</v>
          </cell>
          <cell r="CE217">
            <v>0</v>
          </cell>
          <cell r="CF217">
            <v>0</v>
          </cell>
          <cell r="CG217">
            <v>-1744</v>
          </cell>
          <cell r="CI217">
            <v>0</v>
          </cell>
          <cell r="CJ217">
            <v>0</v>
          </cell>
          <cell r="CK217">
            <v>0</v>
          </cell>
          <cell r="CL217">
            <v>0</v>
          </cell>
          <cell r="CM217">
            <v>0.13</v>
          </cell>
          <cell r="CO217">
            <v>0</v>
          </cell>
          <cell r="CP217">
            <v>0</v>
          </cell>
          <cell r="CQ217">
            <v>0</v>
          </cell>
          <cell r="CR217">
            <v>0</v>
          </cell>
          <cell r="CS217">
            <v>0.1</v>
          </cell>
          <cell r="CU217">
            <v>0</v>
          </cell>
          <cell r="CV217">
            <v>0</v>
          </cell>
          <cell r="CW217">
            <v>0</v>
          </cell>
          <cell r="CX217">
            <v>0</v>
          </cell>
          <cell r="CY217">
            <v>0.08</v>
          </cell>
          <cell r="DA217">
            <v>0</v>
          </cell>
          <cell r="DB217">
            <v>0</v>
          </cell>
          <cell r="DC217">
            <v>0</v>
          </cell>
          <cell r="DE217">
            <v>0.11700000000000001</v>
          </cell>
          <cell r="DG217">
            <v>0</v>
          </cell>
          <cell r="DH217">
            <v>0</v>
          </cell>
          <cell r="DI217">
            <v>0</v>
          </cell>
          <cell r="DJ217">
            <v>0</v>
          </cell>
          <cell r="DK217">
            <v>8.7999999999999995E-2</v>
          </cell>
          <cell r="DM217">
            <v>0</v>
          </cell>
          <cell r="DN217">
            <v>0</v>
          </cell>
          <cell r="DO217">
            <v>0</v>
          </cell>
          <cell r="DP217">
            <v>0</v>
          </cell>
          <cell r="DQ217">
            <v>3.6999999999999998E-2</v>
          </cell>
          <cell r="DS217">
            <v>0</v>
          </cell>
          <cell r="DT217">
            <v>0</v>
          </cell>
          <cell r="DU217">
            <v>0</v>
          </cell>
          <cell r="DV217">
            <v>0</v>
          </cell>
          <cell r="DW217">
            <v>0.04</v>
          </cell>
          <cell r="DY217">
            <v>0</v>
          </cell>
          <cell r="DZ217">
            <v>0</v>
          </cell>
          <cell r="EA217">
            <v>0</v>
          </cell>
          <cell r="EB217">
            <v>0</v>
          </cell>
          <cell r="EC217">
            <v>0.04</v>
          </cell>
          <cell r="EE217">
            <v>0</v>
          </cell>
          <cell r="EF217">
            <v>0</v>
          </cell>
          <cell r="EG217">
            <v>0</v>
          </cell>
          <cell r="EH217">
            <v>0</v>
          </cell>
          <cell r="EI217">
            <v>0.08</v>
          </cell>
          <cell r="EK217">
            <v>0</v>
          </cell>
          <cell r="EL217">
            <v>0</v>
          </cell>
          <cell r="EM217">
            <v>0</v>
          </cell>
          <cell r="EN217">
            <v>0</v>
          </cell>
          <cell r="EO217">
            <v>0.08</v>
          </cell>
          <cell r="EQ217">
            <v>0</v>
          </cell>
          <cell r="ER217">
            <v>0</v>
          </cell>
          <cell r="ES217">
            <v>0</v>
          </cell>
          <cell r="ET217">
            <v>0</v>
          </cell>
          <cell r="EU217">
            <v>0.08</v>
          </cell>
          <cell r="EW217">
            <v>0</v>
          </cell>
          <cell r="EX217">
            <v>0</v>
          </cell>
          <cell r="EY217">
            <v>0</v>
          </cell>
          <cell r="EZ217">
            <v>0</v>
          </cell>
          <cell r="FA217">
            <v>0.08</v>
          </cell>
        </row>
        <row r="218"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0</v>
          </cell>
          <cell r="S218">
            <v>0</v>
          </cell>
          <cell r="U218">
            <v>0</v>
          </cell>
          <cell r="V218">
            <v>0</v>
          </cell>
          <cell r="W218">
            <v>0</v>
          </cell>
          <cell r="X218">
            <v>0</v>
          </cell>
          <cell r="Y218">
            <v>0</v>
          </cell>
          <cell r="AA218">
            <v>0</v>
          </cell>
          <cell r="AB218">
            <v>0</v>
          </cell>
          <cell r="AC218">
            <v>0</v>
          </cell>
          <cell r="AD218">
            <v>0</v>
          </cell>
          <cell r="AE218">
            <v>0</v>
          </cell>
          <cell r="AG218">
            <v>0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M218">
            <v>0</v>
          </cell>
          <cell r="AN218">
            <v>0</v>
          </cell>
          <cell r="AO218">
            <v>0</v>
          </cell>
          <cell r="AP218">
            <v>0</v>
          </cell>
          <cell r="AQ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0</v>
          </cell>
          <cell r="BK218">
            <v>0</v>
          </cell>
          <cell r="BL218">
            <v>0</v>
          </cell>
          <cell r="BM218">
            <v>0</v>
          </cell>
          <cell r="BN218">
            <v>0</v>
          </cell>
          <cell r="BO218">
            <v>0</v>
          </cell>
          <cell r="BQ218">
            <v>0</v>
          </cell>
          <cell r="BR218">
            <v>0</v>
          </cell>
          <cell r="BS218">
            <v>0</v>
          </cell>
          <cell r="BT218">
            <v>0</v>
          </cell>
          <cell r="BU218">
            <v>0</v>
          </cell>
          <cell r="BW218">
            <v>0</v>
          </cell>
          <cell r="BX218">
            <v>0</v>
          </cell>
          <cell r="BY218">
            <v>0</v>
          </cell>
          <cell r="BZ218">
            <v>0</v>
          </cell>
          <cell r="CA218">
            <v>0</v>
          </cell>
          <cell r="CC218">
            <v>0</v>
          </cell>
          <cell r="CD218">
            <v>0</v>
          </cell>
          <cell r="CE218">
            <v>0</v>
          </cell>
          <cell r="CF218">
            <v>0</v>
          </cell>
          <cell r="CG218">
            <v>0</v>
          </cell>
          <cell r="CI218">
            <v>0</v>
          </cell>
          <cell r="CJ218">
            <v>0</v>
          </cell>
          <cell r="CK218">
            <v>0</v>
          </cell>
          <cell r="CL218">
            <v>0</v>
          </cell>
          <cell r="CM218">
            <v>0</v>
          </cell>
          <cell r="CO218">
            <v>0</v>
          </cell>
          <cell r="CP218">
            <v>0</v>
          </cell>
          <cell r="CQ218">
            <v>0</v>
          </cell>
          <cell r="CR218">
            <v>0</v>
          </cell>
          <cell r="CS218">
            <v>0</v>
          </cell>
          <cell r="CU218">
            <v>0</v>
          </cell>
          <cell r="CV218">
            <v>0</v>
          </cell>
          <cell r="CW218">
            <v>0</v>
          </cell>
          <cell r="CX218">
            <v>0</v>
          </cell>
          <cell r="CY218">
            <v>0</v>
          </cell>
          <cell r="DA218">
            <v>0</v>
          </cell>
          <cell r="DB218">
            <v>0</v>
          </cell>
          <cell r="DC218">
            <v>0</v>
          </cell>
          <cell r="DE218">
            <v>0</v>
          </cell>
          <cell r="DG218">
            <v>0</v>
          </cell>
          <cell r="DH218">
            <v>0</v>
          </cell>
          <cell r="DI218">
            <v>0</v>
          </cell>
          <cell r="DJ218">
            <v>0</v>
          </cell>
          <cell r="DK218">
            <v>0</v>
          </cell>
          <cell r="DM218">
            <v>0</v>
          </cell>
          <cell r="DN218">
            <v>0</v>
          </cell>
          <cell r="DO218">
            <v>0</v>
          </cell>
          <cell r="DP218">
            <v>0</v>
          </cell>
          <cell r="DQ218">
            <v>0</v>
          </cell>
          <cell r="DS218">
            <v>0</v>
          </cell>
          <cell r="DT218">
            <v>0</v>
          </cell>
          <cell r="DU218">
            <v>0</v>
          </cell>
          <cell r="DV218">
            <v>0</v>
          </cell>
          <cell r="DW218">
            <v>0</v>
          </cell>
          <cell r="DY218">
            <v>0</v>
          </cell>
          <cell r="DZ218">
            <v>0</v>
          </cell>
          <cell r="EA218">
            <v>0</v>
          </cell>
          <cell r="EB218">
            <v>0</v>
          </cell>
          <cell r="EC218">
            <v>0</v>
          </cell>
          <cell r="EE218">
            <v>0</v>
          </cell>
          <cell r="EF218">
            <v>0</v>
          </cell>
          <cell r="EG218">
            <v>0</v>
          </cell>
          <cell r="EH218">
            <v>0</v>
          </cell>
          <cell r="EI218">
            <v>0</v>
          </cell>
          <cell r="EK218">
            <v>0</v>
          </cell>
          <cell r="EL218">
            <v>0</v>
          </cell>
          <cell r="EM218">
            <v>0</v>
          </cell>
          <cell r="EN218">
            <v>0</v>
          </cell>
          <cell r="EO218">
            <v>0</v>
          </cell>
          <cell r="EQ218">
            <v>0</v>
          </cell>
          <cell r="ER218">
            <v>0</v>
          </cell>
          <cell r="ES218">
            <v>0</v>
          </cell>
          <cell r="ET218">
            <v>0</v>
          </cell>
          <cell r="EU218">
            <v>0</v>
          </cell>
          <cell r="EW218">
            <v>0</v>
          </cell>
          <cell r="EX218">
            <v>0</v>
          </cell>
          <cell r="EY218">
            <v>0</v>
          </cell>
          <cell r="EZ218">
            <v>0</v>
          </cell>
          <cell r="FA218">
            <v>0</v>
          </cell>
        </row>
        <row r="219"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0</v>
          </cell>
          <cell r="S219">
            <v>0</v>
          </cell>
          <cell r="U219">
            <v>0</v>
          </cell>
          <cell r="V219">
            <v>0</v>
          </cell>
          <cell r="W219">
            <v>0</v>
          </cell>
          <cell r="X219">
            <v>0</v>
          </cell>
          <cell r="Y219">
            <v>0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0</v>
          </cell>
          <cell r="AQ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65</v>
          </cell>
          <cell r="BK219">
            <v>0</v>
          </cell>
          <cell r="BL219">
            <v>0</v>
          </cell>
          <cell r="BM219">
            <v>0</v>
          </cell>
          <cell r="BN219">
            <v>0</v>
          </cell>
          <cell r="BO219">
            <v>66</v>
          </cell>
          <cell r="BQ219">
            <v>0</v>
          </cell>
          <cell r="BR219">
            <v>0</v>
          </cell>
          <cell r="BS219">
            <v>0</v>
          </cell>
          <cell r="BT219">
            <v>0</v>
          </cell>
          <cell r="BU219">
            <v>44</v>
          </cell>
          <cell r="BW219">
            <v>0</v>
          </cell>
          <cell r="BX219">
            <v>0</v>
          </cell>
          <cell r="BY219">
            <v>0</v>
          </cell>
          <cell r="BZ219">
            <v>0</v>
          </cell>
          <cell r="CA219">
            <v>42</v>
          </cell>
          <cell r="CC219">
            <v>0</v>
          </cell>
          <cell r="CD219">
            <v>0</v>
          </cell>
          <cell r="CE219">
            <v>0</v>
          </cell>
          <cell r="CF219">
            <v>0</v>
          </cell>
          <cell r="CG219">
            <v>68</v>
          </cell>
          <cell r="CI219">
            <v>0</v>
          </cell>
          <cell r="CJ219">
            <v>0</v>
          </cell>
          <cell r="CK219">
            <v>0</v>
          </cell>
          <cell r="CL219">
            <v>0</v>
          </cell>
          <cell r="CM219">
            <v>1.3499999999999999</v>
          </cell>
          <cell r="CO219">
            <v>0</v>
          </cell>
          <cell r="CP219">
            <v>0</v>
          </cell>
          <cell r="CQ219">
            <v>0</v>
          </cell>
          <cell r="CR219">
            <v>0</v>
          </cell>
          <cell r="CS219">
            <v>9.7934060000000027</v>
          </cell>
          <cell r="CU219">
            <v>0</v>
          </cell>
          <cell r="CV219">
            <v>0</v>
          </cell>
          <cell r="CW219">
            <v>0</v>
          </cell>
          <cell r="CX219">
            <v>0</v>
          </cell>
          <cell r="CY219">
            <v>24.952450799999998</v>
          </cell>
          <cell r="DA219">
            <v>0</v>
          </cell>
          <cell r="DB219">
            <v>0</v>
          </cell>
          <cell r="DC219">
            <v>0</v>
          </cell>
          <cell r="DE219">
            <v>29.433155960960001</v>
          </cell>
          <cell r="DG219">
            <v>0</v>
          </cell>
          <cell r="DH219">
            <v>0</v>
          </cell>
          <cell r="DI219">
            <v>0</v>
          </cell>
          <cell r="DJ219">
            <v>0</v>
          </cell>
          <cell r="DK219">
            <v>48.697053482457605</v>
          </cell>
          <cell r="DM219">
            <v>0</v>
          </cell>
          <cell r="DN219">
            <v>0</v>
          </cell>
          <cell r="DO219">
            <v>0</v>
          </cell>
          <cell r="DP219">
            <v>0</v>
          </cell>
          <cell r="DQ219">
            <v>29.560780504930332</v>
          </cell>
          <cell r="DS219">
            <v>0</v>
          </cell>
          <cell r="DT219">
            <v>0</v>
          </cell>
          <cell r="DU219">
            <v>0</v>
          </cell>
          <cell r="DV219">
            <v>0</v>
          </cell>
          <cell r="DW219">
            <v>53.71183784829244</v>
          </cell>
          <cell r="DY219">
            <v>0</v>
          </cell>
          <cell r="DZ219">
            <v>0</v>
          </cell>
          <cell r="EA219">
            <v>0</v>
          </cell>
          <cell r="EB219">
            <v>0</v>
          </cell>
          <cell r="EC219">
            <v>62.406588657116885</v>
          </cell>
          <cell r="EE219">
            <v>0</v>
          </cell>
          <cell r="EF219">
            <v>0</v>
          </cell>
          <cell r="EG219">
            <v>0</v>
          </cell>
          <cell r="EH219">
            <v>0</v>
          </cell>
          <cell r="EI219">
            <v>68.391836812264685</v>
          </cell>
          <cell r="EK219">
            <v>0</v>
          </cell>
          <cell r="EL219">
            <v>0</v>
          </cell>
          <cell r="EM219">
            <v>0</v>
          </cell>
          <cell r="EN219">
            <v>0</v>
          </cell>
          <cell r="EO219">
            <v>71.966714345443819</v>
          </cell>
          <cell r="EQ219">
            <v>0</v>
          </cell>
          <cell r="ER219">
            <v>0</v>
          </cell>
          <cell r="ES219">
            <v>0</v>
          </cell>
          <cell r="ET219">
            <v>0</v>
          </cell>
          <cell r="EU219">
            <v>73.949112888561032</v>
          </cell>
          <cell r="EW219">
            <v>0</v>
          </cell>
          <cell r="EX219">
            <v>0</v>
          </cell>
          <cell r="EY219">
            <v>0</v>
          </cell>
          <cell r="EZ219">
            <v>0</v>
          </cell>
          <cell r="FA219">
            <v>76.279744087481888</v>
          </cell>
        </row>
        <row r="220"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0</v>
          </cell>
          <cell r="S220">
            <v>0</v>
          </cell>
          <cell r="U220">
            <v>0</v>
          </cell>
          <cell r="V220">
            <v>0</v>
          </cell>
          <cell r="W220">
            <v>0</v>
          </cell>
          <cell r="X220">
            <v>0</v>
          </cell>
          <cell r="Y220">
            <v>0</v>
          </cell>
          <cell r="AA220">
            <v>0</v>
          </cell>
          <cell r="AB220">
            <v>0</v>
          </cell>
          <cell r="AC220">
            <v>0</v>
          </cell>
          <cell r="AD220">
            <v>0</v>
          </cell>
          <cell r="AE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0</v>
          </cell>
          <cell r="AM220">
            <v>0</v>
          </cell>
          <cell r="AN220">
            <v>0</v>
          </cell>
          <cell r="AO220">
            <v>0</v>
          </cell>
          <cell r="AP220">
            <v>0</v>
          </cell>
          <cell r="AQ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 t="e">
            <v>#DIV/0!</v>
          </cell>
          <cell r="BK220">
            <v>0</v>
          </cell>
          <cell r="BL220">
            <v>0</v>
          </cell>
          <cell r="BM220">
            <v>0</v>
          </cell>
          <cell r="BN220">
            <v>0</v>
          </cell>
          <cell r="BO220">
            <v>1.6097560975609757</v>
          </cell>
          <cell r="BQ220">
            <v>0</v>
          </cell>
          <cell r="BR220">
            <v>0</v>
          </cell>
          <cell r="BS220">
            <v>0</v>
          </cell>
          <cell r="BT220">
            <v>0</v>
          </cell>
          <cell r="BU220">
            <v>0.89795918367346939</v>
          </cell>
          <cell r="BW220">
            <v>0</v>
          </cell>
          <cell r="BX220">
            <v>0</v>
          </cell>
          <cell r="BY220">
            <v>0</v>
          </cell>
          <cell r="BZ220">
            <v>0</v>
          </cell>
          <cell r="CA220">
            <v>1.826086956521739</v>
          </cell>
          <cell r="CC220">
            <v>0</v>
          </cell>
          <cell r="CD220">
            <v>0</v>
          </cell>
          <cell r="CE220">
            <v>0</v>
          </cell>
          <cell r="CF220">
            <v>0</v>
          </cell>
          <cell r="CG220">
            <v>22.666666666666668</v>
          </cell>
          <cell r="CI220">
            <v>0</v>
          </cell>
          <cell r="CJ220">
            <v>0</v>
          </cell>
          <cell r="CK220">
            <v>0</v>
          </cell>
          <cell r="CL220">
            <v>0</v>
          </cell>
          <cell r="CM220">
            <v>0.15</v>
          </cell>
          <cell r="CO220">
            <v>0</v>
          </cell>
          <cell r="CP220">
            <v>0</v>
          </cell>
          <cell r="CQ220">
            <v>0</v>
          </cell>
          <cell r="CR220">
            <v>0</v>
          </cell>
          <cell r="CS220">
            <v>0.14000000000000001</v>
          </cell>
          <cell r="CU220">
            <v>0</v>
          </cell>
          <cell r="CV220">
            <v>0</v>
          </cell>
          <cell r="CW220">
            <v>0</v>
          </cell>
          <cell r="CX220">
            <v>0</v>
          </cell>
          <cell r="CY220">
            <v>0.2</v>
          </cell>
          <cell r="DA220">
            <v>0</v>
          </cell>
          <cell r="DB220">
            <v>0</v>
          </cell>
          <cell r="DC220">
            <v>0</v>
          </cell>
          <cell r="DE220">
            <v>0.16700000000000001</v>
          </cell>
          <cell r="DG220">
            <v>0</v>
          </cell>
          <cell r="DH220">
            <v>0</v>
          </cell>
          <cell r="DI220">
            <v>0</v>
          </cell>
          <cell r="DJ220">
            <v>0</v>
          </cell>
          <cell r="DK220">
            <v>0.22</v>
          </cell>
          <cell r="DM220">
            <v>0</v>
          </cell>
          <cell r="DN220">
            <v>0</v>
          </cell>
          <cell r="DO220">
            <v>0</v>
          </cell>
          <cell r="DP220">
            <v>0</v>
          </cell>
          <cell r="DQ220">
            <v>0.11</v>
          </cell>
          <cell r="DS220">
            <v>0</v>
          </cell>
          <cell r="DT220">
            <v>0</v>
          </cell>
          <cell r="DU220">
            <v>0</v>
          </cell>
          <cell r="DV220">
            <v>0</v>
          </cell>
          <cell r="DW220">
            <v>0.15</v>
          </cell>
          <cell r="DY220">
            <v>0</v>
          </cell>
          <cell r="DZ220">
            <v>0</v>
          </cell>
          <cell r="EA220">
            <v>0</v>
          </cell>
          <cell r="EB220">
            <v>0</v>
          </cell>
          <cell r="EC220">
            <v>0.15</v>
          </cell>
          <cell r="EE220">
            <v>0</v>
          </cell>
          <cell r="EF220">
            <v>0</v>
          </cell>
          <cell r="EG220">
            <v>0</v>
          </cell>
          <cell r="EH220">
            <v>0</v>
          </cell>
          <cell r="EI220">
            <v>0.15</v>
          </cell>
          <cell r="EK220">
            <v>0</v>
          </cell>
          <cell r="EL220">
            <v>0</v>
          </cell>
          <cell r="EM220">
            <v>0</v>
          </cell>
          <cell r="EN220">
            <v>0</v>
          </cell>
          <cell r="EO220">
            <v>0.15</v>
          </cell>
          <cell r="EQ220">
            <v>0</v>
          </cell>
          <cell r="ER220">
            <v>0</v>
          </cell>
          <cell r="ES220">
            <v>0</v>
          </cell>
          <cell r="ET220">
            <v>0</v>
          </cell>
          <cell r="EU220">
            <v>0.15</v>
          </cell>
          <cell r="EW220">
            <v>0</v>
          </cell>
          <cell r="EX220">
            <v>0</v>
          </cell>
          <cell r="EY220">
            <v>0</v>
          </cell>
          <cell r="EZ220">
            <v>0</v>
          </cell>
          <cell r="FA220">
            <v>0.15</v>
          </cell>
        </row>
        <row r="221"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0</v>
          </cell>
          <cell r="S221">
            <v>0</v>
          </cell>
          <cell r="U221">
            <v>0</v>
          </cell>
          <cell r="V221">
            <v>0</v>
          </cell>
          <cell r="W221">
            <v>0</v>
          </cell>
          <cell r="X221">
            <v>0</v>
          </cell>
          <cell r="Y221">
            <v>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M221">
            <v>0</v>
          </cell>
          <cell r="AN221">
            <v>0</v>
          </cell>
          <cell r="AO221">
            <v>0</v>
          </cell>
          <cell r="AP221">
            <v>0</v>
          </cell>
          <cell r="AQ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0</v>
          </cell>
          <cell r="BK221">
            <v>0</v>
          </cell>
          <cell r="BL221">
            <v>0</v>
          </cell>
          <cell r="BM221">
            <v>0</v>
          </cell>
          <cell r="BN221">
            <v>0</v>
          </cell>
          <cell r="BO221">
            <v>0</v>
          </cell>
          <cell r="BQ221">
            <v>0</v>
          </cell>
          <cell r="BR221">
            <v>0</v>
          </cell>
          <cell r="BS221">
            <v>0</v>
          </cell>
          <cell r="BT221">
            <v>0</v>
          </cell>
          <cell r="BU221">
            <v>0</v>
          </cell>
          <cell r="BW221">
            <v>0</v>
          </cell>
          <cell r="BX221">
            <v>0</v>
          </cell>
          <cell r="BY221">
            <v>0</v>
          </cell>
          <cell r="BZ221">
            <v>0</v>
          </cell>
          <cell r="CA221">
            <v>0</v>
          </cell>
          <cell r="CC221">
            <v>0</v>
          </cell>
          <cell r="CD221">
            <v>0</v>
          </cell>
          <cell r="CE221">
            <v>0</v>
          </cell>
          <cell r="CF221">
            <v>0</v>
          </cell>
          <cell r="CG221">
            <v>0</v>
          </cell>
          <cell r="CI221">
            <v>0</v>
          </cell>
          <cell r="CJ221">
            <v>0</v>
          </cell>
          <cell r="CK221">
            <v>0</v>
          </cell>
          <cell r="CL221">
            <v>0</v>
          </cell>
          <cell r="CM221">
            <v>0</v>
          </cell>
          <cell r="CO221">
            <v>0</v>
          </cell>
          <cell r="CP221">
            <v>0</v>
          </cell>
          <cell r="CQ221">
            <v>0</v>
          </cell>
          <cell r="CR221">
            <v>0</v>
          </cell>
          <cell r="CS221">
            <v>0</v>
          </cell>
          <cell r="CU221">
            <v>0</v>
          </cell>
          <cell r="CV221">
            <v>0</v>
          </cell>
          <cell r="CW221">
            <v>0</v>
          </cell>
          <cell r="CX221">
            <v>0</v>
          </cell>
          <cell r="CY221">
            <v>0</v>
          </cell>
          <cell r="DA221">
            <v>0</v>
          </cell>
          <cell r="DB221">
            <v>0</v>
          </cell>
          <cell r="DC221">
            <v>0</v>
          </cell>
          <cell r="DE221">
            <v>0</v>
          </cell>
          <cell r="DG221">
            <v>0</v>
          </cell>
          <cell r="DH221">
            <v>0</v>
          </cell>
          <cell r="DI221">
            <v>0</v>
          </cell>
          <cell r="DJ221">
            <v>0</v>
          </cell>
          <cell r="DK221">
            <v>0</v>
          </cell>
          <cell r="DM221">
            <v>0</v>
          </cell>
          <cell r="DN221">
            <v>0</v>
          </cell>
          <cell r="DO221">
            <v>0</v>
          </cell>
          <cell r="DP221">
            <v>0</v>
          </cell>
          <cell r="DQ221">
            <v>0</v>
          </cell>
          <cell r="DS221">
            <v>0</v>
          </cell>
          <cell r="DT221">
            <v>0</v>
          </cell>
          <cell r="DU221">
            <v>0</v>
          </cell>
          <cell r="DV221">
            <v>0</v>
          </cell>
          <cell r="DW221">
            <v>0</v>
          </cell>
          <cell r="DY221">
            <v>0</v>
          </cell>
          <cell r="DZ221">
            <v>0</v>
          </cell>
          <cell r="EA221">
            <v>0</v>
          </cell>
          <cell r="EB221">
            <v>0</v>
          </cell>
          <cell r="EC221">
            <v>0</v>
          </cell>
          <cell r="EE221">
            <v>0</v>
          </cell>
          <cell r="EF221">
            <v>0</v>
          </cell>
          <cell r="EG221">
            <v>0</v>
          </cell>
          <cell r="EH221">
            <v>0</v>
          </cell>
          <cell r="EI221">
            <v>0</v>
          </cell>
          <cell r="EK221">
            <v>0</v>
          </cell>
          <cell r="EL221">
            <v>0</v>
          </cell>
          <cell r="EM221">
            <v>0</v>
          </cell>
          <cell r="EN221">
            <v>0</v>
          </cell>
          <cell r="EO221">
            <v>0</v>
          </cell>
          <cell r="EQ221">
            <v>0</v>
          </cell>
          <cell r="ER221">
            <v>0</v>
          </cell>
          <cell r="ES221">
            <v>0</v>
          </cell>
          <cell r="ET221">
            <v>0</v>
          </cell>
          <cell r="EU221">
            <v>0</v>
          </cell>
          <cell r="EW221">
            <v>0</v>
          </cell>
          <cell r="EX221">
            <v>0</v>
          </cell>
          <cell r="EY221">
            <v>0</v>
          </cell>
          <cell r="EZ221">
            <v>0</v>
          </cell>
          <cell r="FA221">
            <v>0</v>
          </cell>
        </row>
        <row r="222"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0</v>
          </cell>
          <cell r="S222">
            <v>0</v>
          </cell>
          <cell r="U222">
            <v>0</v>
          </cell>
          <cell r="V222">
            <v>0</v>
          </cell>
          <cell r="W222">
            <v>0</v>
          </cell>
          <cell r="X222">
            <v>0</v>
          </cell>
          <cell r="Y222">
            <v>0</v>
          </cell>
          <cell r="AA222">
            <v>0</v>
          </cell>
          <cell r="AB222">
            <v>0</v>
          </cell>
          <cell r="AC222">
            <v>0</v>
          </cell>
          <cell r="AD222">
            <v>0</v>
          </cell>
          <cell r="AE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M222">
            <v>0</v>
          </cell>
          <cell r="AN222">
            <v>0</v>
          </cell>
          <cell r="AO222">
            <v>0</v>
          </cell>
          <cell r="AP222">
            <v>0</v>
          </cell>
          <cell r="AQ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0</v>
          </cell>
          <cell r="BK222">
            <v>0</v>
          </cell>
          <cell r="BL222">
            <v>0</v>
          </cell>
          <cell r="BM222">
            <v>0</v>
          </cell>
          <cell r="BN222">
            <v>0</v>
          </cell>
          <cell r="BO222">
            <v>0</v>
          </cell>
          <cell r="BQ222">
            <v>0</v>
          </cell>
          <cell r="BR222">
            <v>0</v>
          </cell>
          <cell r="BS222">
            <v>0</v>
          </cell>
          <cell r="BT222">
            <v>0</v>
          </cell>
          <cell r="BU222">
            <v>0</v>
          </cell>
          <cell r="BW222">
            <v>0</v>
          </cell>
          <cell r="BX222">
            <v>0</v>
          </cell>
          <cell r="BY222">
            <v>0</v>
          </cell>
          <cell r="BZ222">
            <v>0</v>
          </cell>
          <cell r="CA222">
            <v>0</v>
          </cell>
          <cell r="CC222">
            <v>0</v>
          </cell>
          <cell r="CD222">
            <v>0</v>
          </cell>
          <cell r="CE222">
            <v>0</v>
          </cell>
          <cell r="CF222">
            <v>0</v>
          </cell>
          <cell r="CG222">
            <v>0</v>
          </cell>
          <cell r="CI222">
            <v>0</v>
          </cell>
          <cell r="CJ222">
            <v>0</v>
          </cell>
          <cell r="CK222">
            <v>0</v>
          </cell>
          <cell r="CL222">
            <v>0</v>
          </cell>
          <cell r="CM222">
            <v>0</v>
          </cell>
          <cell r="CO222">
            <v>0</v>
          </cell>
          <cell r="CP222">
            <v>0</v>
          </cell>
          <cell r="CQ222">
            <v>0</v>
          </cell>
          <cell r="CR222">
            <v>0</v>
          </cell>
          <cell r="CS222">
            <v>0</v>
          </cell>
          <cell r="CU222">
            <v>0</v>
          </cell>
          <cell r="CV222">
            <v>0</v>
          </cell>
          <cell r="CW222">
            <v>0</v>
          </cell>
          <cell r="CX222">
            <v>0</v>
          </cell>
          <cell r="CY222">
            <v>0</v>
          </cell>
          <cell r="DA222">
            <v>0</v>
          </cell>
          <cell r="DB222">
            <v>0</v>
          </cell>
          <cell r="DC222">
            <v>0</v>
          </cell>
          <cell r="DE222">
            <v>0</v>
          </cell>
          <cell r="DG222">
            <v>0</v>
          </cell>
          <cell r="DH222">
            <v>0</v>
          </cell>
          <cell r="DI222">
            <v>0</v>
          </cell>
          <cell r="DJ222">
            <v>0</v>
          </cell>
          <cell r="DK222">
            <v>0</v>
          </cell>
          <cell r="DM222">
            <v>0</v>
          </cell>
          <cell r="DN222">
            <v>0</v>
          </cell>
          <cell r="DO222">
            <v>0</v>
          </cell>
          <cell r="DP222">
            <v>0</v>
          </cell>
          <cell r="DQ222">
            <v>0</v>
          </cell>
          <cell r="DS222">
            <v>0</v>
          </cell>
          <cell r="DT222">
            <v>0</v>
          </cell>
          <cell r="DU222">
            <v>0</v>
          </cell>
          <cell r="DV222">
            <v>0</v>
          </cell>
          <cell r="DW222">
            <v>0</v>
          </cell>
          <cell r="DY222">
            <v>0</v>
          </cell>
          <cell r="DZ222">
            <v>0</v>
          </cell>
          <cell r="EA222">
            <v>0</v>
          </cell>
          <cell r="EB222">
            <v>0</v>
          </cell>
          <cell r="EC222">
            <v>0</v>
          </cell>
          <cell r="EE222">
            <v>0</v>
          </cell>
          <cell r="EF222">
            <v>0</v>
          </cell>
          <cell r="EG222">
            <v>0</v>
          </cell>
          <cell r="EH222">
            <v>0</v>
          </cell>
          <cell r="EI222">
            <v>0</v>
          </cell>
          <cell r="EK222">
            <v>0</v>
          </cell>
          <cell r="EL222">
            <v>0</v>
          </cell>
          <cell r="EM222">
            <v>0</v>
          </cell>
          <cell r="EN222">
            <v>0</v>
          </cell>
          <cell r="EO222">
            <v>0</v>
          </cell>
          <cell r="EQ222">
            <v>0</v>
          </cell>
          <cell r="ER222">
            <v>0</v>
          </cell>
          <cell r="ES222">
            <v>0</v>
          </cell>
          <cell r="ET222">
            <v>0</v>
          </cell>
          <cell r="EU222">
            <v>0</v>
          </cell>
          <cell r="EW222">
            <v>0</v>
          </cell>
          <cell r="EX222">
            <v>0</v>
          </cell>
          <cell r="EY222">
            <v>0</v>
          </cell>
          <cell r="EZ222">
            <v>0</v>
          </cell>
          <cell r="FA222">
            <v>0</v>
          </cell>
        </row>
        <row r="223"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0</v>
          </cell>
          <cell r="S223">
            <v>0</v>
          </cell>
          <cell r="U223">
            <v>0</v>
          </cell>
          <cell r="V223">
            <v>0</v>
          </cell>
          <cell r="W223">
            <v>0</v>
          </cell>
          <cell r="X223">
            <v>0</v>
          </cell>
          <cell r="Y223">
            <v>0</v>
          </cell>
          <cell r="AA223">
            <v>0</v>
          </cell>
          <cell r="AB223">
            <v>0</v>
          </cell>
          <cell r="AC223">
            <v>0</v>
          </cell>
          <cell r="AD223">
            <v>0</v>
          </cell>
          <cell r="AE223">
            <v>0</v>
          </cell>
          <cell r="AG223">
            <v>0</v>
          </cell>
          <cell r="AH223">
            <v>0</v>
          </cell>
          <cell r="AI223">
            <v>0</v>
          </cell>
          <cell r="AJ223">
            <v>0</v>
          </cell>
          <cell r="AK223">
            <v>0</v>
          </cell>
          <cell r="AM223">
            <v>0</v>
          </cell>
          <cell r="AN223">
            <v>0</v>
          </cell>
          <cell r="AO223">
            <v>0</v>
          </cell>
          <cell r="AP223">
            <v>0</v>
          </cell>
          <cell r="AQ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4.2</v>
          </cell>
          <cell r="BK223">
            <v>0</v>
          </cell>
          <cell r="BL223">
            <v>0</v>
          </cell>
          <cell r="BM223">
            <v>0</v>
          </cell>
          <cell r="BN223">
            <v>0</v>
          </cell>
          <cell r="BO223">
            <v>3.96</v>
          </cell>
          <cell r="BQ223">
            <v>0</v>
          </cell>
          <cell r="BR223">
            <v>0</v>
          </cell>
          <cell r="BS223">
            <v>0</v>
          </cell>
          <cell r="BT223">
            <v>0</v>
          </cell>
          <cell r="BU223">
            <v>4.8899999999999997</v>
          </cell>
          <cell r="BW223">
            <v>0</v>
          </cell>
          <cell r="BX223">
            <v>0</v>
          </cell>
          <cell r="BY223">
            <v>0</v>
          </cell>
          <cell r="BZ223">
            <v>0</v>
          </cell>
          <cell r="CA223">
            <v>6.16</v>
          </cell>
          <cell r="CC223">
            <v>0</v>
          </cell>
          <cell r="CD223">
            <v>0</v>
          </cell>
          <cell r="CE223">
            <v>0</v>
          </cell>
          <cell r="CF223">
            <v>0</v>
          </cell>
          <cell r="CG223">
            <v>6.56</v>
          </cell>
          <cell r="CI223">
            <v>0</v>
          </cell>
          <cell r="CJ223">
            <v>0</v>
          </cell>
          <cell r="CK223">
            <v>0</v>
          </cell>
          <cell r="CL223">
            <v>0</v>
          </cell>
          <cell r="CM223">
            <v>16.8</v>
          </cell>
          <cell r="CO223">
            <v>0</v>
          </cell>
          <cell r="CP223">
            <v>0</v>
          </cell>
          <cell r="CQ223">
            <v>0</v>
          </cell>
          <cell r="CR223">
            <v>0</v>
          </cell>
          <cell r="CS223">
            <v>20.46</v>
          </cell>
          <cell r="CU223">
            <v>0</v>
          </cell>
          <cell r="CV223">
            <v>0</v>
          </cell>
          <cell r="CW223">
            <v>0</v>
          </cell>
          <cell r="CX223">
            <v>0</v>
          </cell>
          <cell r="CY223">
            <v>18.32</v>
          </cell>
          <cell r="DA223">
            <v>0</v>
          </cell>
          <cell r="DB223">
            <v>0</v>
          </cell>
          <cell r="DC223">
            <v>0</v>
          </cell>
          <cell r="DE223">
            <v>18.84</v>
          </cell>
          <cell r="DG223">
            <v>0</v>
          </cell>
          <cell r="DH223">
            <v>0</v>
          </cell>
          <cell r="DI223">
            <v>0</v>
          </cell>
          <cell r="DJ223">
            <v>0</v>
          </cell>
          <cell r="DK223">
            <v>19.53</v>
          </cell>
          <cell r="DM223">
            <v>0</v>
          </cell>
          <cell r="DN223">
            <v>0</v>
          </cell>
          <cell r="DO223">
            <v>0</v>
          </cell>
          <cell r="DP223">
            <v>0</v>
          </cell>
          <cell r="DQ223">
            <v>23</v>
          </cell>
          <cell r="DS223">
            <v>0</v>
          </cell>
          <cell r="DT223">
            <v>0</v>
          </cell>
          <cell r="DU223">
            <v>0</v>
          </cell>
          <cell r="DV223">
            <v>0</v>
          </cell>
          <cell r="DW223">
            <v>27</v>
          </cell>
          <cell r="DY223">
            <v>0</v>
          </cell>
          <cell r="DZ223">
            <v>0</v>
          </cell>
          <cell r="EA223">
            <v>0</v>
          </cell>
          <cell r="EB223">
            <v>0</v>
          </cell>
          <cell r="EC223">
            <v>26</v>
          </cell>
          <cell r="EE223">
            <v>0</v>
          </cell>
          <cell r="EF223">
            <v>0</v>
          </cell>
          <cell r="EG223">
            <v>0</v>
          </cell>
          <cell r="EH223">
            <v>0</v>
          </cell>
          <cell r="EI223">
            <v>41.962989832359369</v>
          </cell>
          <cell r="EK223">
            <v>0</v>
          </cell>
          <cell r="EL223">
            <v>0</v>
          </cell>
          <cell r="EM223">
            <v>0</v>
          </cell>
          <cell r="EN223">
            <v>0</v>
          </cell>
          <cell r="EO223">
            <v>46.369103764757106</v>
          </cell>
          <cell r="EQ223">
            <v>0</v>
          </cell>
          <cell r="ER223">
            <v>0</v>
          </cell>
          <cell r="ES223">
            <v>0</v>
          </cell>
          <cell r="ET223">
            <v>0</v>
          </cell>
          <cell r="EU223">
            <v>46.369103764757106</v>
          </cell>
          <cell r="EW223">
            <v>0</v>
          </cell>
          <cell r="EX223">
            <v>0</v>
          </cell>
          <cell r="EY223">
            <v>0</v>
          </cell>
          <cell r="EZ223">
            <v>0</v>
          </cell>
          <cell r="FA223">
            <v>46.369103764757106</v>
          </cell>
        </row>
        <row r="224"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U224">
            <v>0</v>
          </cell>
          <cell r="V224">
            <v>0</v>
          </cell>
          <cell r="W224">
            <v>0</v>
          </cell>
          <cell r="X224">
            <v>0</v>
          </cell>
          <cell r="Y224">
            <v>0</v>
          </cell>
          <cell r="AA224">
            <v>0</v>
          </cell>
          <cell r="AB224">
            <v>0</v>
          </cell>
          <cell r="AC224">
            <v>0</v>
          </cell>
          <cell r="AD224">
            <v>0</v>
          </cell>
          <cell r="AE224">
            <v>0</v>
          </cell>
          <cell r="AG224">
            <v>0</v>
          </cell>
          <cell r="AH224">
            <v>0</v>
          </cell>
          <cell r="AI224">
            <v>0</v>
          </cell>
          <cell r="AJ224">
            <v>0</v>
          </cell>
          <cell r="AK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0</v>
          </cell>
          <cell r="AQ224">
            <v>0</v>
          </cell>
          <cell r="AS224">
            <v>0</v>
          </cell>
          <cell r="AT224">
            <v>0</v>
          </cell>
          <cell r="AU224">
            <v>0</v>
          </cell>
          <cell r="AV224">
            <v>0</v>
          </cell>
          <cell r="AW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7.92</v>
          </cell>
          <cell r="BK224">
            <v>0</v>
          </cell>
          <cell r="BL224">
            <v>0</v>
          </cell>
          <cell r="BM224">
            <v>0</v>
          </cell>
          <cell r="BN224">
            <v>0</v>
          </cell>
          <cell r="BO224">
            <v>13.01</v>
          </cell>
          <cell r="BQ224">
            <v>0</v>
          </cell>
          <cell r="BR224">
            <v>0</v>
          </cell>
          <cell r="BS224">
            <v>0</v>
          </cell>
          <cell r="BT224">
            <v>0</v>
          </cell>
          <cell r="BU224">
            <v>11.4</v>
          </cell>
          <cell r="BW224">
            <v>0</v>
          </cell>
          <cell r="BX224">
            <v>0</v>
          </cell>
          <cell r="BY224">
            <v>0</v>
          </cell>
          <cell r="BZ224">
            <v>0</v>
          </cell>
          <cell r="CA224">
            <v>12.8</v>
          </cell>
          <cell r="CC224">
            <v>0</v>
          </cell>
          <cell r="CD224">
            <v>0</v>
          </cell>
          <cell r="CE224">
            <v>0</v>
          </cell>
          <cell r="CF224">
            <v>0</v>
          </cell>
          <cell r="CG224">
            <v>14.22</v>
          </cell>
          <cell r="CI224">
            <v>0</v>
          </cell>
          <cell r="CJ224">
            <v>0</v>
          </cell>
          <cell r="CK224">
            <v>0</v>
          </cell>
          <cell r="CL224">
            <v>0</v>
          </cell>
          <cell r="CM224">
            <v>19.38</v>
          </cell>
          <cell r="CO224">
            <v>0</v>
          </cell>
          <cell r="CP224">
            <v>0</v>
          </cell>
          <cell r="CQ224">
            <v>0</v>
          </cell>
          <cell r="CR224">
            <v>0</v>
          </cell>
          <cell r="CS224">
            <v>21.54</v>
          </cell>
          <cell r="CU224">
            <v>0</v>
          </cell>
          <cell r="CV224">
            <v>0</v>
          </cell>
          <cell r="CW224">
            <v>0</v>
          </cell>
          <cell r="CX224">
            <v>0</v>
          </cell>
          <cell r="CY224">
            <v>23.93</v>
          </cell>
          <cell r="DA224">
            <v>0</v>
          </cell>
          <cell r="DB224">
            <v>0</v>
          </cell>
          <cell r="DC224">
            <v>0</v>
          </cell>
          <cell r="DE224">
            <v>26.59</v>
          </cell>
          <cell r="DG224">
            <v>0</v>
          </cell>
          <cell r="DH224">
            <v>0</v>
          </cell>
          <cell r="DI224">
            <v>0</v>
          </cell>
          <cell r="DJ224">
            <v>0</v>
          </cell>
          <cell r="DK224">
            <v>29.55</v>
          </cell>
          <cell r="DM224">
            <v>0</v>
          </cell>
          <cell r="DN224">
            <v>0</v>
          </cell>
          <cell r="DO224">
            <v>0</v>
          </cell>
          <cell r="DP224">
            <v>0</v>
          </cell>
          <cell r="DQ224">
            <v>32.652749999999997</v>
          </cell>
          <cell r="DS224">
            <v>0</v>
          </cell>
          <cell r="DT224">
            <v>0</v>
          </cell>
          <cell r="DU224">
            <v>0</v>
          </cell>
          <cell r="DV224">
            <v>0</v>
          </cell>
          <cell r="DW224">
            <v>36.081288749999999</v>
          </cell>
          <cell r="DY224">
            <v>0</v>
          </cell>
          <cell r="DZ224">
            <v>0</v>
          </cell>
          <cell r="EA224">
            <v>0</v>
          </cell>
          <cell r="EB224">
            <v>0</v>
          </cell>
          <cell r="EC224">
            <v>39.869824068749999</v>
          </cell>
          <cell r="EE224">
            <v>0</v>
          </cell>
          <cell r="EF224">
            <v>0</v>
          </cell>
          <cell r="EG224">
            <v>0</v>
          </cell>
          <cell r="EH224">
            <v>0</v>
          </cell>
          <cell r="EI224">
            <v>44.056155595968747</v>
          </cell>
          <cell r="EK224">
            <v>0</v>
          </cell>
          <cell r="EL224">
            <v>0</v>
          </cell>
          <cell r="EM224">
            <v>0</v>
          </cell>
          <cell r="EN224">
            <v>0</v>
          </cell>
          <cell r="EO224">
            <v>48.682051933545466</v>
          </cell>
          <cell r="EQ224">
            <v>0</v>
          </cell>
          <cell r="ER224">
            <v>0</v>
          </cell>
          <cell r="ES224">
            <v>0</v>
          </cell>
          <cell r="ET224">
            <v>0</v>
          </cell>
          <cell r="EU224">
            <v>48.682051933545466</v>
          </cell>
          <cell r="EW224">
            <v>0</v>
          </cell>
          <cell r="EX224">
            <v>0</v>
          </cell>
          <cell r="EY224">
            <v>0</v>
          </cell>
          <cell r="EZ224">
            <v>0</v>
          </cell>
          <cell r="FA224">
            <v>48.682051933545466</v>
          </cell>
        </row>
        <row r="225"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U225">
            <v>0</v>
          </cell>
          <cell r="V225">
            <v>0</v>
          </cell>
          <cell r="W225">
            <v>0</v>
          </cell>
          <cell r="X225">
            <v>0</v>
          </cell>
          <cell r="Y225">
            <v>0</v>
          </cell>
          <cell r="AA225">
            <v>0</v>
          </cell>
          <cell r="AB225">
            <v>0</v>
          </cell>
          <cell r="AC225">
            <v>0</v>
          </cell>
          <cell r="AD225">
            <v>0</v>
          </cell>
          <cell r="AE225">
            <v>0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M225">
            <v>0</v>
          </cell>
          <cell r="AN225">
            <v>0</v>
          </cell>
          <cell r="AO225">
            <v>0</v>
          </cell>
          <cell r="AP225">
            <v>0</v>
          </cell>
          <cell r="AQ225">
            <v>0</v>
          </cell>
          <cell r="AS225">
            <v>0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1.885</v>
          </cell>
          <cell r="BK225">
            <v>0</v>
          </cell>
          <cell r="BL225">
            <v>0</v>
          </cell>
          <cell r="BM225">
            <v>0</v>
          </cell>
          <cell r="BN225">
            <v>0</v>
          </cell>
          <cell r="BO225">
            <v>2.0449999999999999</v>
          </cell>
          <cell r="BQ225">
            <v>0</v>
          </cell>
          <cell r="BR225">
            <v>0</v>
          </cell>
          <cell r="BS225">
            <v>0</v>
          </cell>
          <cell r="BT225">
            <v>0</v>
          </cell>
          <cell r="BU225">
            <v>2.13</v>
          </cell>
          <cell r="BW225">
            <v>0</v>
          </cell>
          <cell r="BX225">
            <v>0</v>
          </cell>
          <cell r="BY225">
            <v>0</v>
          </cell>
          <cell r="BZ225">
            <v>0</v>
          </cell>
          <cell r="CA225">
            <v>3.92</v>
          </cell>
          <cell r="CC225">
            <v>0</v>
          </cell>
          <cell r="CD225">
            <v>0</v>
          </cell>
          <cell r="CE225">
            <v>0</v>
          </cell>
          <cell r="CF225">
            <v>0</v>
          </cell>
          <cell r="CG225">
            <v>3.875</v>
          </cell>
          <cell r="CI225">
            <v>0</v>
          </cell>
          <cell r="CJ225">
            <v>0</v>
          </cell>
          <cell r="CK225">
            <v>0</v>
          </cell>
          <cell r="CL225">
            <v>0</v>
          </cell>
          <cell r="CM225">
            <v>4</v>
          </cell>
          <cell r="CO225">
            <v>0</v>
          </cell>
          <cell r="CP225">
            <v>0</v>
          </cell>
          <cell r="CQ225">
            <v>0</v>
          </cell>
          <cell r="CR225">
            <v>0</v>
          </cell>
          <cell r="CS225">
            <v>4</v>
          </cell>
          <cell r="CU225">
            <v>0</v>
          </cell>
          <cell r="CV225">
            <v>0</v>
          </cell>
          <cell r="CW225">
            <v>0</v>
          </cell>
          <cell r="CX225">
            <v>0</v>
          </cell>
          <cell r="CY225">
            <v>5.3</v>
          </cell>
          <cell r="DA225">
            <v>0</v>
          </cell>
          <cell r="DB225">
            <v>0</v>
          </cell>
          <cell r="DC225">
            <v>0</v>
          </cell>
          <cell r="DE225">
            <v>4.7</v>
          </cell>
          <cell r="DG225">
            <v>0</v>
          </cell>
          <cell r="DH225">
            <v>0</v>
          </cell>
          <cell r="DI225">
            <v>0</v>
          </cell>
          <cell r="DJ225">
            <v>0</v>
          </cell>
          <cell r="DK225">
            <v>5.0999999999999996</v>
          </cell>
          <cell r="DM225">
            <v>0</v>
          </cell>
          <cell r="DN225">
            <v>0</v>
          </cell>
          <cell r="DO225">
            <v>0</v>
          </cell>
          <cell r="DP225">
            <v>0</v>
          </cell>
          <cell r="DQ225">
            <v>5.0999999999999996</v>
          </cell>
          <cell r="DS225">
            <v>0</v>
          </cell>
          <cell r="DT225">
            <v>0</v>
          </cell>
          <cell r="DU225">
            <v>0</v>
          </cell>
          <cell r="DV225">
            <v>0</v>
          </cell>
          <cell r="DW225">
            <v>5.0999999999999996</v>
          </cell>
          <cell r="DY225">
            <v>0</v>
          </cell>
          <cell r="DZ225">
            <v>0</v>
          </cell>
          <cell r="EA225">
            <v>0</v>
          </cell>
          <cell r="EB225">
            <v>0</v>
          </cell>
          <cell r="EC225">
            <v>5</v>
          </cell>
          <cell r="EE225">
            <v>0</v>
          </cell>
          <cell r="EF225">
            <v>0</v>
          </cell>
          <cell r="EG225">
            <v>0</v>
          </cell>
          <cell r="EH225">
            <v>0</v>
          </cell>
          <cell r="EI225">
            <v>5</v>
          </cell>
          <cell r="EK225">
            <v>0</v>
          </cell>
          <cell r="EL225">
            <v>0</v>
          </cell>
          <cell r="EM225">
            <v>0</v>
          </cell>
          <cell r="EN225">
            <v>0</v>
          </cell>
          <cell r="EO225">
            <v>5</v>
          </cell>
          <cell r="EQ225">
            <v>0</v>
          </cell>
          <cell r="ER225">
            <v>0</v>
          </cell>
          <cell r="ES225">
            <v>0</v>
          </cell>
          <cell r="ET225">
            <v>0</v>
          </cell>
          <cell r="EU225">
            <v>5</v>
          </cell>
          <cell r="EW225">
            <v>0</v>
          </cell>
          <cell r="EX225">
            <v>0</v>
          </cell>
          <cell r="EY225">
            <v>0</v>
          </cell>
          <cell r="EZ225">
            <v>0</v>
          </cell>
          <cell r="FA225">
            <v>5</v>
          </cell>
        </row>
        <row r="226"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U226">
            <v>0</v>
          </cell>
          <cell r="V226">
            <v>0</v>
          </cell>
          <cell r="W226">
            <v>0</v>
          </cell>
          <cell r="X226">
            <v>0</v>
          </cell>
          <cell r="Y226">
            <v>0</v>
          </cell>
          <cell r="AA226">
            <v>0</v>
          </cell>
          <cell r="AB226">
            <v>0</v>
          </cell>
          <cell r="AC226">
            <v>0</v>
          </cell>
          <cell r="AD226">
            <v>0</v>
          </cell>
          <cell r="AE226">
            <v>0</v>
          </cell>
          <cell r="AG226">
            <v>0</v>
          </cell>
          <cell r="AH226">
            <v>0</v>
          </cell>
          <cell r="AI226">
            <v>0</v>
          </cell>
          <cell r="AJ226">
            <v>0</v>
          </cell>
          <cell r="AK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0</v>
          </cell>
          <cell r="AQ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3.9650000000000005E-2</v>
          </cell>
          <cell r="BK226">
            <v>0</v>
          </cell>
          <cell r="BL226">
            <v>0</v>
          </cell>
          <cell r="BM226">
            <v>0</v>
          </cell>
          <cell r="BN226">
            <v>0</v>
          </cell>
          <cell r="BO226">
            <v>2.2199999999999998E-2</v>
          </cell>
          <cell r="BQ226">
            <v>0</v>
          </cell>
          <cell r="BR226">
            <v>0</v>
          </cell>
          <cell r="BS226">
            <v>0</v>
          </cell>
          <cell r="BT226">
            <v>0</v>
          </cell>
          <cell r="BU226">
            <v>2.87E-2</v>
          </cell>
          <cell r="BW226">
            <v>0</v>
          </cell>
          <cell r="BX226">
            <v>0</v>
          </cell>
          <cell r="BY226">
            <v>0</v>
          </cell>
          <cell r="BZ226">
            <v>0</v>
          </cell>
          <cell r="CA226">
            <v>3.2249999999999994E-2</v>
          </cell>
          <cell r="CC226">
            <v>0</v>
          </cell>
          <cell r="CD226">
            <v>0</v>
          </cell>
          <cell r="CE226">
            <v>0</v>
          </cell>
          <cell r="CF226">
            <v>0</v>
          </cell>
          <cell r="CG226">
            <v>4.2450000000000002E-2</v>
          </cell>
          <cell r="CI226">
            <v>0</v>
          </cell>
          <cell r="CJ226">
            <v>0</v>
          </cell>
          <cell r="CK226">
            <v>0</v>
          </cell>
          <cell r="CL226">
            <v>0</v>
          </cell>
          <cell r="CM226">
            <v>0.04</v>
          </cell>
          <cell r="CO226">
            <v>0</v>
          </cell>
          <cell r="CP226">
            <v>0</v>
          </cell>
          <cell r="CQ226">
            <v>0</v>
          </cell>
          <cell r="CR226">
            <v>0</v>
          </cell>
          <cell r="CS226">
            <v>0.04</v>
          </cell>
          <cell r="CU226">
            <v>0</v>
          </cell>
          <cell r="CV226">
            <v>0</v>
          </cell>
          <cell r="CW226">
            <v>0</v>
          </cell>
          <cell r="CX226">
            <v>0</v>
          </cell>
          <cell r="CY226">
            <v>3.3000000000000002E-2</v>
          </cell>
          <cell r="DA226">
            <v>0</v>
          </cell>
          <cell r="DB226">
            <v>0</v>
          </cell>
          <cell r="DC226">
            <v>0</v>
          </cell>
          <cell r="DE226">
            <v>2.1000000000000001E-2</v>
          </cell>
          <cell r="DG226">
            <v>0</v>
          </cell>
          <cell r="DH226">
            <v>0</v>
          </cell>
          <cell r="DI226">
            <v>0</v>
          </cell>
          <cell r="DJ226">
            <v>0</v>
          </cell>
          <cell r="DK226">
            <v>1.7999999999999999E-2</v>
          </cell>
          <cell r="DM226">
            <v>0</v>
          </cell>
          <cell r="DN226">
            <v>0</v>
          </cell>
          <cell r="DO226">
            <v>0</v>
          </cell>
          <cell r="DP226">
            <v>0</v>
          </cell>
          <cell r="DQ226">
            <v>1.6E-2</v>
          </cell>
          <cell r="DS226">
            <v>0</v>
          </cell>
          <cell r="DT226">
            <v>0</v>
          </cell>
          <cell r="DU226">
            <v>0</v>
          </cell>
          <cell r="DV226">
            <v>0</v>
          </cell>
          <cell r="DW226">
            <v>7.0000000000000001E-3</v>
          </cell>
          <cell r="DY226">
            <v>0</v>
          </cell>
          <cell r="DZ226">
            <v>0</v>
          </cell>
          <cell r="EA226">
            <v>0</v>
          </cell>
          <cell r="EB226">
            <v>0</v>
          </cell>
          <cell r="EC226">
            <v>7.0000000000000001E-3</v>
          </cell>
          <cell r="EE226">
            <v>0</v>
          </cell>
          <cell r="EF226">
            <v>0</v>
          </cell>
          <cell r="EG226">
            <v>0</v>
          </cell>
          <cell r="EH226">
            <v>0</v>
          </cell>
          <cell r="EI226">
            <v>7.0000000000000001E-3</v>
          </cell>
          <cell r="EK226">
            <v>0</v>
          </cell>
          <cell r="EL226">
            <v>0</v>
          </cell>
          <cell r="EM226">
            <v>0</v>
          </cell>
          <cell r="EN226">
            <v>0</v>
          </cell>
          <cell r="EO226">
            <v>7.0000000000000001E-3</v>
          </cell>
          <cell r="EQ226">
            <v>0</v>
          </cell>
          <cell r="ER226">
            <v>0</v>
          </cell>
          <cell r="ES226">
            <v>0</v>
          </cell>
          <cell r="ET226">
            <v>0</v>
          </cell>
          <cell r="EU226">
            <v>7.0000000000000001E-3</v>
          </cell>
          <cell r="EW226">
            <v>0</v>
          </cell>
          <cell r="EX226">
            <v>0</v>
          </cell>
          <cell r="EY226">
            <v>0</v>
          </cell>
          <cell r="EZ226">
            <v>0</v>
          </cell>
          <cell r="FA226">
            <v>7.0000000000000001E-3</v>
          </cell>
        </row>
        <row r="227"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0</v>
          </cell>
          <cell r="S227">
            <v>0</v>
          </cell>
          <cell r="U227">
            <v>0</v>
          </cell>
          <cell r="V227">
            <v>0</v>
          </cell>
          <cell r="W227">
            <v>0</v>
          </cell>
          <cell r="X227">
            <v>0</v>
          </cell>
          <cell r="Y227">
            <v>0</v>
          </cell>
          <cell r="AA227">
            <v>0</v>
          </cell>
          <cell r="AB227">
            <v>0</v>
          </cell>
          <cell r="AC227">
            <v>0</v>
          </cell>
          <cell r="AD227">
            <v>0</v>
          </cell>
          <cell r="AE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0</v>
          </cell>
          <cell r="AQ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0.56999999999999995</v>
          </cell>
          <cell r="BK227">
            <v>0</v>
          </cell>
          <cell r="BL227">
            <v>0</v>
          </cell>
          <cell r="BM227">
            <v>0</v>
          </cell>
          <cell r="BN227">
            <v>0</v>
          </cell>
          <cell r="BO227">
            <v>0.52</v>
          </cell>
          <cell r="BQ227">
            <v>0</v>
          </cell>
          <cell r="BR227">
            <v>0</v>
          </cell>
          <cell r="BS227">
            <v>0</v>
          </cell>
          <cell r="BT227">
            <v>0</v>
          </cell>
          <cell r="BU227">
            <v>0.39500000000000002</v>
          </cell>
          <cell r="BW227">
            <v>0</v>
          </cell>
          <cell r="BX227">
            <v>0</v>
          </cell>
          <cell r="BY227">
            <v>0</v>
          </cell>
          <cell r="BZ227">
            <v>0</v>
          </cell>
          <cell r="CA227">
            <v>0.315</v>
          </cell>
          <cell r="CC227">
            <v>0</v>
          </cell>
          <cell r="CD227">
            <v>0</v>
          </cell>
          <cell r="CE227">
            <v>0</v>
          </cell>
          <cell r="CF227">
            <v>0</v>
          </cell>
          <cell r="CG227">
            <v>0.26</v>
          </cell>
          <cell r="CI227">
            <v>0</v>
          </cell>
          <cell r="CJ227">
            <v>0</v>
          </cell>
          <cell r="CK227">
            <v>0</v>
          </cell>
          <cell r="CL227">
            <v>0</v>
          </cell>
          <cell r="CM227">
            <v>0.3</v>
          </cell>
          <cell r="CO227">
            <v>0</v>
          </cell>
          <cell r="CP227">
            <v>0</v>
          </cell>
          <cell r="CQ227">
            <v>0</v>
          </cell>
          <cell r="CR227">
            <v>0</v>
          </cell>
          <cell r="CS227">
            <v>0.3</v>
          </cell>
          <cell r="CU227">
            <v>0</v>
          </cell>
          <cell r="CV227">
            <v>0</v>
          </cell>
          <cell r="CW227">
            <v>0</v>
          </cell>
          <cell r="CX227">
            <v>0</v>
          </cell>
          <cell r="CY227">
            <v>0.37</v>
          </cell>
          <cell r="DA227">
            <v>0</v>
          </cell>
          <cell r="DB227">
            <v>0</v>
          </cell>
          <cell r="DC227">
            <v>0</v>
          </cell>
          <cell r="DE227">
            <v>0.31</v>
          </cell>
          <cell r="DG227">
            <v>0</v>
          </cell>
          <cell r="DH227">
            <v>0</v>
          </cell>
          <cell r="DI227">
            <v>0</v>
          </cell>
          <cell r="DJ227">
            <v>0</v>
          </cell>
          <cell r="DK227">
            <v>0.33</v>
          </cell>
          <cell r="DM227">
            <v>0</v>
          </cell>
          <cell r="DN227">
            <v>0</v>
          </cell>
          <cell r="DO227">
            <v>0</v>
          </cell>
          <cell r="DP227">
            <v>0</v>
          </cell>
          <cell r="DQ227">
            <v>0.3</v>
          </cell>
          <cell r="DS227">
            <v>0</v>
          </cell>
          <cell r="DT227">
            <v>0</v>
          </cell>
          <cell r="DU227">
            <v>0</v>
          </cell>
          <cell r="DV227">
            <v>0</v>
          </cell>
          <cell r="DW227">
            <v>0.31</v>
          </cell>
          <cell r="DY227">
            <v>0</v>
          </cell>
          <cell r="DZ227">
            <v>0</v>
          </cell>
          <cell r="EA227">
            <v>0</v>
          </cell>
          <cell r="EB227">
            <v>0</v>
          </cell>
          <cell r="EC227">
            <v>0.3</v>
          </cell>
          <cell r="EE227">
            <v>0</v>
          </cell>
          <cell r="EF227">
            <v>0</v>
          </cell>
          <cell r="EG227">
            <v>0</v>
          </cell>
          <cell r="EH227">
            <v>0</v>
          </cell>
          <cell r="EI227">
            <v>0.3</v>
          </cell>
          <cell r="EK227">
            <v>0</v>
          </cell>
          <cell r="EL227">
            <v>0</v>
          </cell>
          <cell r="EM227">
            <v>0</v>
          </cell>
          <cell r="EN227">
            <v>0</v>
          </cell>
          <cell r="EO227">
            <v>0.3</v>
          </cell>
          <cell r="EQ227">
            <v>0</v>
          </cell>
          <cell r="ER227">
            <v>0</v>
          </cell>
          <cell r="ES227">
            <v>0</v>
          </cell>
          <cell r="ET227">
            <v>0</v>
          </cell>
          <cell r="EU227">
            <v>0.3</v>
          </cell>
          <cell r="EW227">
            <v>0</v>
          </cell>
          <cell r="EX227">
            <v>0</v>
          </cell>
          <cell r="EY227">
            <v>0</v>
          </cell>
          <cell r="EZ227">
            <v>0</v>
          </cell>
          <cell r="FA227">
            <v>0.3</v>
          </cell>
        </row>
        <row r="228"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0</v>
          </cell>
          <cell r="S228">
            <v>0</v>
          </cell>
          <cell r="U228">
            <v>0</v>
          </cell>
          <cell r="V228">
            <v>0</v>
          </cell>
          <cell r="W228">
            <v>0</v>
          </cell>
          <cell r="X228">
            <v>0</v>
          </cell>
          <cell r="Y228">
            <v>0</v>
          </cell>
          <cell r="AA228">
            <v>0</v>
          </cell>
          <cell r="AB228">
            <v>0</v>
          </cell>
          <cell r="AC228">
            <v>0</v>
          </cell>
          <cell r="AD228">
            <v>0</v>
          </cell>
          <cell r="AE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0</v>
          </cell>
          <cell r="AQ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 t="str">
            <v>—</v>
          </cell>
          <cell r="BK228">
            <v>0</v>
          </cell>
          <cell r="BL228">
            <v>0</v>
          </cell>
          <cell r="BM228">
            <v>0</v>
          </cell>
          <cell r="BN228">
            <v>0</v>
          </cell>
          <cell r="BO228" t="str">
            <v>—</v>
          </cell>
          <cell r="BQ228">
            <v>0</v>
          </cell>
          <cell r="BR228">
            <v>0</v>
          </cell>
          <cell r="BS228">
            <v>0</v>
          </cell>
          <cell r="BT228">
            <v>0</v>
          </cell>
          <cell r="BU228" t="str">
            <v>—</v>
          </cell>
          <cell r="BW228">
            <v>0</v>
          </cell>
          <cell r="BX228">
            <v>0</v>
          </cell>
          <cell r="BY228">
            <v>0</v>
          </cell>
          <cell r="BZ228">
            <v>0</v>
          </cell>
          <cell r="CA228" t="str">
            <v>—</v>
          </cell>
          <cell r="CC228">
            <v>0</v>
          </cell>
          <cell r="CD228">
            <v>0</v>
          </cell>
          <cell r="CE228">
            <v>0</v>
          </cell>
          <cell r="CF228">
            <v>0</v>
          </cell>
          <cell r="CG228">
            <v>0</v>
          </cell>
          <cell r="CI228">
            <v>0</v>
          </cell>
          <cell r="CJ228">
            <v>0</v>
          </cell>
          <cell r="CK228">
            <v>0</v>
          </cell>
          <cell r="CL228">
            <v>0</v>
          </cell>
          <cell r="CM228">
            <v>0</v>
          </cell>
          <cell r="CO228">
            <v>0</v>
          </cell>
          <cell r="CP228">
            <v>0</v>
          </cell>
          <cell r="CQ228">
            <v>0</v>
          </cell>
          <cell r="CR228">
            <v>0</v>
          </cell>
          <cell r="CS228">
            <v>0</v>
          </cell>
          <cell r="CU228">
            <v>0</v>
          </cell>
          <cell r="CV228">
            <v>0</v>
          </cell>
          <cell r="CW228">
            <v>0</v>
          </cell>
          <cell r="CX228">
            <v>0</v>
          </cell>
          <cell r="CY228">
            <v>0</v>
          </cell>
          <cell r="DA228">
            <v>0</v>
          </cell>
          <cell r="DB228">
            <v>0</v>
          </cell>
          <cell r="DC228">
            <v>0</v>
          </cell>
          <cell r="DE228">
            <v>8.9999999999999993E-3</v>
          </cell>
          <cell r="DG228">
            <v>0</v>
          </cell>
          <cell r="DH228">
            <v>0</v>
          </cell>
          <cell r="DI228">
            <v>0</v>
          </cell>
          <cell r="DJ228">
            <v>0</v>
          </cell>
          <cell r="DK228">
            <v>8.9999999999999993E-3</v>
          </cell>
          <cell r="DM228">
            <v>0</v>
          </cell>
          <cell r="DN228">
            <v>0</v>
          </cell>
          <cell r="DO228">
            <v>0</v>
          </cell>
          <cell r="DP228">
            <v>0</v>
          </cell>
          <cell r="DQ228">
            <v>8.0000000000000002E-3</v>
          </cell>
          <cell r="DS228">
            <v>0</v>
          </cell>
          <cell r="DT228">
            <v>0</v>
          </cell>
          <cell r="DU228">
            <v>0</v>
          </cell>
          <cell r="DV228">
            <v>0</v>
          </cell>
          <cell r="DW228">
            <v>8.0000000000000002E-3</v>
          </cell>
          <cell r="DY228">
            <v>0</v>
          </cell>
          <cell r="DZ228">
            <v>0</v>
          </cell>
          <cell r="EA228">
            <v>0</v>
          </cell>
          <cell r="EB228">
            <v>0</v>
          </cell>
          <cell r="EC228">
            <v>8.0000000000000002E-3</v>
          </cell>
          <cell r="EE228">
            <v>0</v>
          </cell>
          <cell r="EF228">
            <v>0</v>
          </cell>
          <cell r="EG228">
            <v>0</v>
          </cell>
          <cell r="EH228">
            <v>0</v>
          </cell>
          <cell r="EI228">
            <v>8.0000000000000002E-3</v>
          </cell>
          <cell r="EK228">
            <v>0</v>
          </cell>
          <cell r="EL228">
            <v>0</v>
          </cell>
          <cell r="EM228">
            <v>0</v>
          </cell>
          <cell r="EN228">
            <v>0</v>
          </cell>
          <cell r="EO228">
            <v>8.0000000000000002E-3</v>
          </cell>
          <cell r="EQ228">
            <v>0</v>
          </cell>
          <cell r="ER228">
            <v>0</v>
          </cell>
          <cell r="ES228">
            <v>0</v>
          </cell>
          <cell r="ET228">
            <v>0</v>
          </cell>
          <cell r="EU228">
            <v>8.0000000000000002E-3</v>
          </cell>
          <cell r="EW228">
            <v>0</v>
          </cell>
          <cell r="EX228">
            <v>0</v>
          </cell>
          <cell r="EY228">
            <v>0</v>
          </cell>
          <cell r="EZ228">
            <v>0</v>
          </cell>
          <cell r="FA228">
            <v>8.0000000000000002E-3</v>
          </cell>
        </row>
        <row r="229"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0</v>
          </cell>
          <cell r="S229">
            <v>0</v>
          </cell>
          <cell r="U229">
            <v>0</v>
          </cell>
          <cell r="V229">
            <v>0</v>
          </cell>
          <cell r="W229">
            <v>0</v>
          </cell>
          <cell r="X229">
            <v>0</v>
          </cell>
          <cell r="Y229">
            <v>0</v>
          </cell>
          <cell r="AA229">
            <v>0</v>
          </cell>
          <cell r="AB229">
            <v>0</v>
          </cell>
          <cell r="AC229">
            <v>0</v>
          </cell>
          <cell r="AD229">
            <v>0</v>
          </cell>
          <cell r="AE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0</v>
          </cell>
          <cell r="AM229">
            <v>0</v>
          </cell>
          <cell r="AN229">
            <v>0</v>
          </cell>
          <cell r="AO229">
            <v>0</v>
          </cell>
          <cell r="AP229">
            <v>0</v>
          </cell>
          <cell r="AQ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1.3890839949424225</v>
          </cell>
          <cell r="BK229">
            <v>0</v>
          </cell>
          <cell r="BL229">
            <v>0</v>
          </cell>
          <cell r="BM229">
            <v>0</v>
          </cell>
          <cell r="BN229">
            <v>0</v>
          </cell>
          <cell r="BO229">
            <v>1.2126557765593251</v>
          </cell>
          <cell r="BQ229">
            <v>0</v>
          </cell>
          <cell r="BR229">
            <v>0</v>
          </cell>
          <cell r="BS229">
            <v>0</v>
          </cell>
          <cell r="BT229">
            <v>0</v>
          </cell>
          <cell r="BU229">
            <v>1.227216742877784</v>
          </cell>
          <cell r="BW229">
            <v>0</v>
          </cell>
          <cell r="BX229">
            <v>0</v>
          </cell>
          <cell r="BY229">
            <v>0</v>
          </cell>
          <cell r="BZ229">
            <v>0</v>
          </cell>
          <cell r="CA229">
            <v>1.8124580623034325</v>
          </cell>
          <cell r="CC229">
            <v>0</v>
          </cell>
          <cell r="CD229">
            <v>0</v>
          </cell>
          <cell r="CE229">
            <v>0</v>
          </cell>
          <cell r="CF229">
            <v>0</v>
          </cell>
          <cell r="CG229">
            <v>1.783153293470106</v>
          </cell>
          <cell r="CI229">
            <v>0</v>
          </cell>
          <cell r="CJ229">
            <v>0</v>
          </cell>
          <cell r="CK229">
            <v>0</v>
          </cell>
          <cell r="CL229">
            <v>0</v>
          </cell>
          <cell r="CM229">
            <v>5.0364322696335373</v>
          </cell>
          <cell r="CO229">
            <v>0</v>
          </cell>
          <cell r="CP229">
            <v>0</v>
          </cell>
          <cell r="CQ229">
            <v>0</v>
          </cell>
          <cell r="CR229">
            <v>0</v>
          </cell>
          <cell r="CS229">
            <v>6.1336550140894168</v>
          </cell>
          <cell r="CU229">
            <v>0</v>
          </cell>
          <cell r="CV229">
            <v>0</v>
          </cell>
          <cell r="CW229">
            <v>0</v>
          </cell>
          <cell r="CX229">
            <v>0</v>
          </cell>
          <cell r="CY229">
            <v>7.1368537997218056</v>
          </cell>
          <cell r="DA229">
            <v>0</v>
          </cell>
          <cell r="DB229">
            <v>0</v>
          </cell>
          <cell r="DC229">
            <v>0</v>
          </cell>
          <cell r="DE229">
            <v>5.6590959313167604</v>
          </cell>
          <cell r="DG229">
            <v>0</v>
          </cell>
          <cell r="DH229">
            <v>0</v>
          </cell>
          <cell r="DI229">
            <v>0</v>
          </cell>
          <cell r="DJ229">
            <v>0</v>
          </cell>
          <cell r="DK229">
            <v>6.3216879510148054</v>
          </cell>
          <cell r="DM229">
            <v>0</v>
          </cell>
          <cell r="DN229">
            <v>0</v>
          </cell>
          <cell r="DO229">
            <v>0</v>
          </cell>
          <cell r="DP229">
            <v>0</v>
          </cell>
          <cell r="DQ229">
            <v>6.8025864021666536</v>
          </cell>
          <cell r="DS229">
            <v>0</v>
          </cell>
          <cell r="DT229">
            <v>0</v>
          </cell>
          <cell r="DU229">
            <v>0</v>
          </cell>
          <cell r="DV229">
            <v>0</v>
          </cell>
          <cell r="DW229">
            <v>7.7425757408743845</v>
          </cell>
          <cell r="DY229">
            <v>0</v>
          </cell>
          <cell r="DZ229">
            <v>0</v>
          </cell>
          <cell r="EA229">
            <v>0</v>
          </cell>
          <cell r="EB229">
            <v>0</v>
          </cell>
          <cell r="EC229">
            <v>7.1682608019755278</v>
          </cell>
          <cell r="EE229">
            <v>0</v>
          </cell>
          <cell r="EF229">
            <v>0</v>
          </cell>
          <cell r="EG229">
            <v>0</v>
          </cell>
          <cell r="EH229">
            <v>0</v>
          </cell>
          <cell r="EI229">
            <v>7.4439631405130484</v>
          </cell>
          <cell r="EK229">
            <v>0</v>
          </cell>
          <cell r="EL229">
            <v>0</v>
          </cell>
          <cell r="EM229">
            <v>0</v>
          </cell>
          <cell r="EN229">
            <v>0</v>
          </cell>
          <cell r="EO229">
            <v>7.7196654790505654</v>
          </cell>
          <cell r="EQ229">
            <v>0</v>
          </cell>
          <cell r="ER229">
            <v>0</v>
          </cell>
          <cell r="ES229">
            <v>0</v>
          </cell>
          <cell r="ET229">
            <v>0</v>
          </cell>
          <cell r="EU229">
            <v>7.995367817588086</v>
          </cell>
          <cell r="EW229">
            <v>0</v>
          </cell>
          <cell r="EX229">
            <v>0</v>
          </cell>
          <cell r="EY229">
            <v>0</v>
          </cell>
          <cell r="EZ229">
            <v>0</v>
          </cell>
          <cell r="FA229">
            <v>7.995367817588086</v>
          </cell>
        </row>
        <row r="230"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0</v>
          </cell>
          <cell r="S230">
            <v>0</v>
          </cell>
          <cell r="U230">
            <v>0</v>
          </cell>
          <cell r="V230">
            <v>0</v>
          </cell>
          <cell r="W230">
            <v>0</v>
          </cell>
          <cell r="X230">
            <v>0</v>
          </cell>
          <cell r="Y230">
            <v>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M230">
            <v>0</v>
          </cell>
          <cell r="AN230">
            <v>0</v>
          </cell>
          <cell r="AO230">
            <v>0</v>
          </cell>
          <cell r="AP230">
            <v>0</v>
          </cell>
          <cell r="AQ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0</v>
          </cell>
          <cell r="BK230">
            <v>0</v>
          </cell>
          <cell r="BL230">
            <v>0</v>
          </cell>
          <cell r="BM230">
            <v>0</v>
          </cell>
          <cell r="BN230">
            <v>0</v>
          </cell>
          <cell r="BO230">
            <v>0</v>
          </cell>
          <cell r="BQ230">
            <v>0</v>
          </cell>
          <cell r="BR230">
            <v>0</v>
          </cell>
          <cell r="BS230">
            <v>0</v>
          </cell>
          <cell r="BT230">
            <v>0</v>
          </cell>
          <cell r="BU230">
            <v>0</v>
          </cell>
          <cell r="BW230">
            <v>0</v>
          </cell>
          <cell r="BX230">
            <v>0</v>
          </cell>
          <cell r="BY230">
            <v>0</v>
          </cell>
          <cell r="BZ230">
            <v>0</v>
          </cell>
          <cell r="CA230">
            <v>0</v>
          </cell>
          <cell r="CC230">
            <v>0</v>
          </cell>
          <cell r="CD230">
            <v>0</v>
          </cell>
          <cell r="CE230">
            <v>0</v>
          </cell>
          <cell r="CF230">
            <v>0</v>
          </cell>
          <cell r="CG230">
            <v>0</v>
          </cell>
          <cell r="CI230">
            <v>0</v>
          </cell>
          <cell r="CJ230">
            <v>0</v>
          </cell>
          <cell r="CK230">
            <v>0</v>
          </cell>
          <cell r="CL230">
            <v>0</v>
          </cell>
          <cell r="CM230">
            <v>0</v>
          </cell>
          <cell r="CO230">
            <v>0</v>
          </cell>
          <cell r="CP230">
            <v>0</v>
          </cell>
          <cell r="CQ230">
            <v>0</v>
          </cell>
          <cell r="CR230">
            <v>0</v>
          </cell>
          <cell r="CS230">
            <v>0</v>
          </cell>
          <cell r="CU230">
            <v>0</v>
          </cell>
          <cell r="CV230">
            <v>0</v>
          </cell>
          <cell r="CW230">
            <v>0</v>
          </cell>
          <cell r="CX230">
            <v>0</v>
          </cell>
          <cell r="CY230">
            <v>0</v>
          </cell>
          <cell r="DA230">
            <v>0</v>
          </cell>
          <cell r="DB230">
            <v>0</v>
          </cell>
          <cell r="DC230">
            <v>0</v>
          </cell>
          <cell r="DE230">
            <v>0</v>
          </cell>
          <cell r="DG230">
            <v>0</v>
          </cell>
          <cell r="DH230">
            <v>0</v>
          </cell>
          <cell r="DI230">
            <v>0</v>
          </cell>
          <cell r="DJ230">
            <v>0</v>
          </cell>
          <cell r="DK230">
            <v>0</v>
          </cell>
          <cell r="DM230">
            <v>0</v>
          </cell>
          <cell r="DN230">
            <v>0</v>
          </cell>
          <cell r="DO230">
            <v>0</v>
          </cell>
          <cell r="DP230">
            <v>0</v>
          </cell>
          <cell r="DQ230">
            <v>0</v>
          </cell>
          <cell r="DS230">
            <v>0</v>
          </cell>
          <cell r="DT230">
            <v>0</v>
          </cell>
          <cell r="DU230">
            <v>0</v>
          </cell>
          <cell r="DV230">
            <v>0</v>
          </cell>
          <cell r="DW230">
            <v>0</v>
          </cell>
          <cell r="DY230">
            <v>0</v>
          </cell>
          <cell r="DZ230">
            <v>0</v>
          </cell>
          <cell r="EA230">
            <v>0</v>
          </cell>
          <cell r="EB230">
            <v>0</v>
          </cell>
          <cell r="EC230">
            <v>0</v>
          </cell>
          <cell r="EE230">
            <v>0</v>
          </cell>
          <cell r="EF230">
            <v>0</v>
          </cell>
          <cell r="EG230">
            <v>0</v>
          </cell>
          <cell r="EH230">
            <v>0</v>
          </cell>
          <cell r="EI230">
            <v>0</v>
          </cell>
          <cell r="EK230">
            <v>0</v>
          </cell>
          <cell r="EL230">
            <v>0</v>
          </cell>
          <cell r="EM230">
            <v>0</v>
          </cell>
          <cell r="EN230">
            <v>0</v>
          </cell>
          <cell r="EO230">
            <v>0</v>
          </cell>
          <cell r="EQ230">
            <v>0</v>
          </cell>
          <cell r="ER230">
            <v>0</v>
          </cell>
          <cell r="ES230">
            <v>0</v>
          </cell>
          <cell r="ET230">
            <v>0</v>
          </cell>
          <cell r="EU230">
            <v>0</v>
          </cell>
          <cell r="EW230">
            <v>0</v>
          </cell>
          <cell r="EX230">
            <v>0</v>
          </cell>
          <cell r="EY230">
            <v>0</v>
          </cell>
          <cell r="EZ230">
            <v>0</v>
          </cell>
          <cell r="FA230">
            <v>0</v>
          </cell>
        </row>
        <row r="231">
          <cell r="AY231">
            <v>0.35699999999999998</v>
          </cell>
          <cell r="AZ231">
            <v>0.35699999999999998</v>
          </cell>
          <cell r="BA231">
            <v>0.35699999999999998</v>
          </cell>
          <cell r="BB231">
            <v>0.35699999999999998</v>
          </cell>
          <cell r="BC231">
            <v>0.35699999999999998</v>
          </cell>
          <cell r="BE231">
            <v>0.33700000000000002</v>
          </cell>
          <cell r="BF231">
            <v>0.33700000000000002</v>
          </cell>
          <cell r="BG231">
            <v>0.33700000000000002</v>
          </cell>
          <cell r="BH231">
            <v>0.33700000000000002</v>
          </cell>
          <cell r="BI231">
            <v>0.33700000000000002</v>
          </cell>
          <cell r="BK231">
            <v>0.3075</v>
          </cell>
          <cell r="BL231">
            <v>0.3075</v>
          </cell>
          <cell r="BM231">
            <v>0.3075</v>
          </cell>
          <cell r="BN231">
            <v>0.3075</v>
          </cell>
          <cell r="BO231">
            <v>0.3075</v>
          </cell>
          <cell r="BQ231">
            <v>0.30468948035487958</v>
          </cell>
          <cell r="BR231">
            <v>0.30468948035487958</v>
          </cell>
          <cell r="BS231">
            <v>0.30468948035487958</v>
          </cell>
          <cell r="BT231">
            <v>0.30468948035487958</v>
          </cell>
          <cell r="BU231">
            <v>0.30468948035487958</v>
          </cell>
          <cell r="BW231">
            <v>0.27252584058423218</v>
          </cell>
          <cell r="BX231">
            <v>0.27252584058423218</v>
          </cell>
          <cell r="BY231">
            <v>0.27252584058423218</v>
          </cell>
          <cell r="BZ231">
            <v>0.27252584058423218</v>
          </cell>
          <cell r="CA231">
            <v>0.27252584058423218</v>
          </cell>
          <cell r="CC231">
            <v>0.27252584058423218</v>
          </cell>
          <cell r="CD231">
            <v>0.27252584058423218</v>
          </cell>
          <cell r="CE231">
            <v>0.27252584058423218</v>
          </cell>
          <cell r="CF231">
            <v>0.27252584058423218</v>
          </cell>
          <cell r="CG231">
            <v>0.27252584058423218</v>
          </cell>
          <cell r="CI231">
            <v>0.27252584058423218</v>
          </cell>
          <cell r="CJ231">
            <v>0.27252584058423218</v>
          </cell>
          <cell r="CK231">
            <v>0.27252584058423218</v>
          </cell>
          <cell r="CL231">
            <v>0.27252584058423218</v>
          </cell>
          <cell r="CM231">
            <v>0.27252584058423218</v>
          </cell>
          <cell r="CO231">
            <v>0.27252584058423218</v>
          </cell>
          <cell r="CP231">
            <v>0.27252584058423218</v>
          </cell>
          <cell r="CQ231">
            <v>0.27252584058423218</v>
          </cell>
          <cell r="CR231">
            <v>0.27252584058423218</v>
          </cell>
          <cell r="CS231">
            <v>0.27252584058423218</v>
          </cell>
          <cell r="CU231">
            <v>0.27252584058423218</v>
          </cell>
          <cell r="CV231">
            <v>0.27252584058423218</v>
          </cell>
          <cell r="CW231">
            <v>0.27252584058423218</v>
          </cell>
          <cell r="CX231">
            <v>0.27252584058423218</v>
          </cell>
          <cell r="CY231">
            <v>0.27252584058423218</v>
          </cell>
          <cell r="DA231">
            <v>0.27252584058423218</v>
          </cell>
          <cell r="DB231">
            <v>0.27252584058423218</v>
          </cell>
          <cell r="DC231">
            <v>0.27252584058423218</v>
          </cell>
          <cell r="DE231">
            <v>0.27252584058423218</v>
          </cell>
          <cell r="DG231">
            <v>0.27252584058423218</v>
          </cell>
          <cell r="DH231">
            <v>0.27252584058423218</v>
          </cell>
          <cell r="DI231">
            <v>0.27252584058423218</v>
          </cell>
          <cell r="DJ231">
            <v>0.27252584058423218</v>
          </cell>
          <cell r="DK231">
            <v>0.27252584058423218</v>
          </cell>
          <cell r="DM231">
            <v>0.27252584058423218</v>
          </cell>
          <cell r="DN231">
            <v>0.27252584058423218</v>
          </cell>
          <cell r="DO231">
            <v>0.27252584058423218</v>
          </cell>
          <cell r="DP231">
            <v>0.27252584058423218</v>
          </cell>
          <cell r="DQ231">
            <v>0.27252584058423218</v>
          </cell>
          <cell r="DS231">
            <v>0.27252584058423218</v>
          </cell>
          <cell r="DT231">
            <v>0.27252584058423218</v>
          </cell>
          <cell r="DU231">
            <v>0.27252584058423218</v>
          </cell>
          <cell r="DV231">
            <v>0.27252584058423218</v>
          </cell>
          <cell r="DW231">
            <v>0.27252584058423218</v>
          </cell>
          <cell r="DY231">
            <v>0.27252584058423218</v>
          </cell>
          <cell r="DZ231">
            <v>0.27252584058423218</v>
          </cell>
          <cell r="EA231">
            <v>0.27252584058423218</v>
          </cell>
          <cell r="EB231">
            <v>0.27252584058423218</v>
          </cell>
          <cell r="EC231">
            <v>0.27252584058423218</v>
          </cell>
          <cell r="EE231">
            <v>0.27252584058423218</v>
          </cell>
          <cell r="EF231">
            <v>0.27252584058423218</v>
          </cell>
          <cell r="EG231">
            <v>0.27252584058423218</v>
          </cell>
          <cell r="EH231">
            <v>0.27252584058423218</v>
          </cell>
          <cell r="EI231">
            <v>0.27252584058423218</v>
          </cell>
          <cell r="EK231">
            <v>0.27252584058423218</v>
          </cell>
          <cell r="EL231">
            <v>0.27252584058423218</v>
          </cell>
          <cell r="EM231">
            <v>0.27252584058423218</v>
          </cell>
          <cell r="EN231">
            <v>0.27252584058423218</v>
          </cell>
          <cell r="EO231">
            <v>0.27252584058423218</v>
          </cell>
          <cell r="EQ231">
            <v>0.27252584058423218</v>
          </cell>
          <cell r="ER231">
            <v>0.27252584058423218</v>
          </cell>
          <cell r="ES231">
            <v>0.27252584058423218</v>
          </cell>
          <cell r="ET231">
            <v>0.27252584058423218</v>
          </cell>
          <cell r="EU231">
            <v>0.27252584058423218</v>
          </cell>
          <cell r="EW231">
            <v>0.27252584058423218</v>
          </cell>
          <cell r="EX231">
            <v>0.27252584058423218</v>
          </cell>
          <cell r="EY231">
            <v>0.27252584058423218</v>
          </cell>
          <cell r="EZ231">
            <v>0.27252584058423218</v>
          </cell>
          <cell r="FA231">
            <v>0.27252584058423218</v>
          </cell>
        </row>
        <row r="232"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0</v>
          </cell>
          <cell r="S232">
            <v>0</v>
          </cell>
          <cell r="U232">
            <v>0</v>
          </cell>
          <cell r="V232">
            <v>0</v>
          </cell>
          <cell r="W232">
            <v>0</v>
          </cell>
          <cell r="X232">
            <v>0</v>
          </cell>
          <cell r="Y232">
            <v>0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M232">
            <v>0</v>
          </cell>
          <cell r="AN232">
            <v>0</v>
          </cell>
          <cell r="AO232">
            <v>0</v>
          </cell>
          <cell r="AP232">
            <v>0</v>
          </cell>
          <cell r="AQ232">
            <v>0</v>
          </cell>
          <cell r="AS232">
            <v>0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0</v>
          </cell>
          <cell r="BK232">
            <v>0</v>
          </cell>
          <cell r="BL232">
            <v>0</v>
          </cell>
          <cell r="BM232">
            <v>0</v>
          </cell>
          <cell r="BN232">
            <v>0</v>
          </cell>
          <cell r="BO232">
            <v>0</v>
          </cell>
          <cell r="BQ232">
            <v>0</v>
          </cell>
          <cell r="BR232">
            <v>0</v>
          </cell>
          <cell r="BS232">
            <v>0</v>
          </cell>
          <cell r="BT232">
            <v>0</v>
          </cell>
          <cell r="BU232">
            <v>0</v>
          </cell>
          <cell r="BW232">
            <v>0</v>
          </cell>
          <cell r="BX232">
            <v>0</v>
          </cell>
          <cell r="BY232">
            <v>0</v>
          </cell>
          <cell r="BZ232">
            <v>0</v>
          </cell>
          <cell r="CA232">
            <v>0</v>
          </cell>
          <cell r="CC232">
            <v>0</v>
          </cell>
          <cell r="CD232">
            <v>0</v>
          </cell>
          <cell r="CE232">
            <v>0</v>
          </cell>
          <cell r="CF232">
            <v>0</v>
          </cell>
          <cell r="CG232">
            <v>0</v>
          </cell>
          <cell r="CI232">
            <v>0</v>
          </cell>
          <cell r="CJ232">
            <v>0</v>
          </cell>
          <cell r="CK232">
            <v>0</v>
          </cell>
          <cell r="CL232">
            <v>0</v>
          </cell>
          <cell r="CM232">
            <v>0</v>
          </cell>
          <cell r="CO232">
            <v>0</v>
          </cell>
          <cell r="CP232">
            <v>0</v>
          </cell>
          <cell r="CQ232">
            <v>0</v>
          </cell>
          <cell r="CR232">
            <v>0</v>
          </cell>
          <cell r="CS232">
            <v>0</v>
          </cell>
          <cell r="CU232">
            <v>0</v>
          </cell>
          <cell r="CV232">
            <v>0</v>
          </cell>
          <cell r="CW232">
            <v>0</v>
          </cell>
          <cell r="CX232">
            <v>0</v>
          </cell>
          <cell r="CY232">
            <v>0</v>
          </cell>
          <cell r="DA232">
            <v>0</v>
          </cell>
          <cell r="DB232">
            <v>0</v>
          </cell>
          <cell r="DC232">
            <v>0</v>
          </cell>
          <cell r="DE232">
            <v>0</v>
          </cell>
          <cell r="DG232">
            <v>0</v>
          </cell>
          <cell r="DH232">
            <v>0</v>
          </cell>
          <cell r="DI232">
            <v>0</v>
          </cell>
          <cell r="DJ232">
            <v>0</v>
          </cell>
          <cell r="DK232">
            <v>0</v>
          </cell>
          <cell r="DM232">
            <v>0</v>
          </cell>
          <cell r="DN232">
            <v>0</v>
          </cell>
          <cell r="DO232">
            <v>0</v>
          </cell>
          <cell r="DP232">
            <v>0</v>
          </cell>
          <cell r="DQ232">
            <v>0</v>
          </cell>
          <cell r="DS232">
            <v>0</v>
          </cell>
          <cell r="DT232">
            <v>0</v>
          </cell>
          <cell r="DU232">
            <v>0</v>
          </cell>
          <cell r="DV232">
            <v>0</v>
          </cell>
          <cell r="DW232">
            <v>0</v>
          </cell>
          <cell r="DY232">
            <v>0</v>
          </cell>
          <cell r="DZ232">
            <v>0</v>
          </cell>
          <cell r="EA232">
            <v>0</v>
          </cell>
          <cell r="EB232">
            <v>0</v>
          </cell>
          <cell r="EC232">
            <v>0</v>
          </cell>
          <cell r="EE232">
            <v>0</v>
          </cell>
          <cell r="EF232">
            <v>0</v>
          </cell>
          <cell r="EG232">
            <v>0</v>
          </cell>
          <cell r="EH232">
            <v>0</v>
          </cell>
          <cell r="EI232">
            <v>0</v>
          </cell>
          <cell r="EK232">
            <v>0</v>
          </cell>
          <cell r="EL232">
            <v>0</v>
          </cell>
          <cell r="EM232">
            <v>0</v>
          </cell>
          <cell r="EN232">
            <v>0</v>
          </cell>
          <cell r="EO232">
            <v>0</v>
          </cell>
          <cell r="EQ232">
            <v>0</v>
          </cell>
          <cell r="ER232">
            <v>0</v>
          </cell>
          <cell r="ES232">
            <v>0</v>
          </cell>
          <cell r="ET232">
            <v>0</v>
          </cell>
          <cell r="EU232">
            <v>0</v>
          </cell>
          <cell r="EW232">
            <v>0</v>
          </cell>
          <cell r="EX232">
            <v>0</v>
          </cell>
          <cell r="EY232">
            <v>0</v>
          </cell>
          <cell r="EZ232">
            <v>0</v>
          </cell>
          <cell r="FA232">
            <v>0</v>
          </cell>
        </row>
        <row r="233"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U233">
            <v>0</v>
          </cell>
          <cell r="V233">
            <v>0</v>
          </cell>
          <cell r="W233">
            <v>0</v>
          </cell>
          <cell r="X233">
            <v>0</v>
          </cell>
          <cell r="Y233">
            <v>0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0</v>
          </cell>
          <cell r="AQ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0</v>
          </cell>
          <cell r="BK233">
            <v>0</v>
          </cell>
          <cell r="BL233">
            <v>0</v>
          </cell>
          <cell r="BM233">
            <v>0</v>
          </cell>
          <cell r="BN233">
            <v>0</v>
          </cell>
          <cell r="BO233">
            <v>0</v>
          </cell>
          <cell r="BQ233">
            <v>0</v>
          </cell>
          <cell r="BR233">
            <v>0</v>
          </cell>
          <cell r="BS233">
            <v>0</v>
          </cell>
          <cell r="BT233">
            <v>0</v>
          </cell>
          <cell r="BU233">
            <v>0</v>
          </cell>
          <cell r="BW233">
            <v>0</v>
          </cell>
          <cell r="BX233">
            <v>0</v>
          </cell>
          <cell r="BY233">
            <v>0</v>
          </cell>
          <cell r="BZ233">
            <v>0</v>
          </cell>
          <cell r="CA233">
            <v>0</v>
          </cell>
          <cell r="CC233">
            <v>0</v>
          </cell>
          <cell r="CD233">
            <v>0</v>
          </cell>
          <cell r="CE233">
            <v>0</v>
          </cell>
          <cell r="CF233">
            <v>0</v>
          </cell>
          <cell r="CG233">
            <v>0</v>
          </cell>
          <cell r="CI233">
            <v>0</v>
          </cell>
          <cell r="CJ233">
            <v>0</v>
          </cell>
          <cell r="CK233">
            <v>0</v>
          </cell>
          <cell r="CL233">
            <v>0</v>
          </cell>
          <cell r="CM233">
            <v>0</v>
          </cell>
          <cell r="CO233">
            <v>0</v>
          </cell>
          <cell r="CP233">
            <v>0</v>
          </cell>
          <cell r="CQ233">
            <v>0</v>
          </cell>
          <cell r="CR233">
            <v>0</v>
          </cell>
          <cell r="CS233">
            <v>0</v>
          </cell>
          <cell r="CU233">
            <v>0</v>
          </cell>
          <cell r="CV233">
            <v>0</v>
          </cell>
          <cell r="CW233">
            <v>0</v>
          </cell>
          <cell r="CX233">
            <v>0</v>
          </cell>
          <cell r="CY233">
            <v>0</v>
          </cell>
          <cell r="DA233">
            <v>0</v>
          </cell>
          <cell r="DB233">
            <v>0</v>
          </cell>
          <cell r="DC233">
            <v>0</v>
          </cell>
          <cell r="DE233">
            <v>0</v>
          </cell>
          <cell r="DG233">
            <v>0</v>
          </cell>
          <cell r="DH233">
            <v>0</v>
          </cell>
          <cell r="DI233">
            <v>0</v>
          </cell>
          <cell r="DJ233">
            <v>0</v>
          </cell>
          <cell r="DK233">
            <v>0</v>
          </cell>
          <cell r="DM233">
            <v>0</v>
          </cell>
          <cell r="DN233">
            <v>0</v>
          </cell>
          <cell r="DO233">
            <v>0</v>
          </cell>
          <cell r="DP233">
            <v>0</v>
          </cell>
          <cell r="DQ233">
            <v>0</v>
          </cell>
          <cell r="DS233">
            <v>0</v>
          </cell>
          <cell r="DT233">
            <v>0</v>
          </cell>
          <cell r="DU233">
            <v>0</v>
          </cell>
          <cell r="DV233">
            <v>0</v>
          </cell>
          <cell r="DW233">
            <v>0</v>
          </cell>
          <cell r="DY233">
            <v>0</v>
          </cell>
          <cell r="DZ233">
            <v>0</v>
          </cell>
          <cell r="EA233">
            <v>0</v>
          </cell>
          <cell r="EB233">
            <v>0</v>
          </cell>
          <cell r="EC233">
            <v>0</v>
          </cell>
          <cell r="EE233">
            <v>0</v>
          </cell>
          <cell r="EF233">
            <v>0</v>
          </cell>
          <cell r="EG233">
            <v>0</v>
          </cell>
          <cell r="EH233">
            <v>0</v>
          </cell>
          <cell r="EI233">
            <v>0</v>
          </cell>
          <cell r="EK233">
            <v>0</v>
          </cell>
          <cell r="EL233">
            <v>0</v>
          </cell>
          <cell r="EM233">
            <v>0</v>
          </cell>
          <cell r="EN233">
            <v>0</v>
          </cell>
          <cell r="EO233">
            <v>0</v>
          </cell>
          <cell r="EQ233">
            <v>0</v>
          </cell>
          <cell r="ER233">
            <v>0</v>
          </cell>
          <cell r="ES233">
            <v>0</v>
          </cell>
          <cell r="ET233">
            <v>0</v>
          </cell>
          <cell r="EU233">
            <v>0</v>
          </cell>
          <cell r="EW233">
            <v>0</v>
          </cell>
          <cell r="EX233">
            <v>0</v>
          </cell>
          <cell r="EY233">
            <v>0</v>
          </cell>
          <cell r="EZ233">
            <v>0</v>
          </cell>
          <cell r="FA233">
            <v>0</v>
          </cell>
        </row>
        <row r="234"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U234">
            <v>0</v>
          </cell>
          <cell r="V234">
            <v>0</v>
          </cell>
          <cell r="W234">
            <v>0</v>
          </cell>
          <cell r="X234">
            <v>0</v>
          </cell>
          <cell r="Y234">
            <v>0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0</v>
          </cell>
          <cell r="AQ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0</v>
          </cell>
          <cell r="BK234">
            <v>0</v>
          </cell>
          <cell r="BL234">
            <v>0</v>
          </cell>
          <cell r="BM234">
            <v>0</v>
          </cell>
          <cell r="BN234">
            <v>0</v>
          </cell>
          <cell r="BO234">
            <v>0</v>
          </cell>
          <cell r="BQ234">
            <v>0</v>
          </cell>
          <cell r="BR234">
            <v>0</v>
          </cell>
          <cell r="BS234">
            <v>0</v>
          </cell>
          <cell r="BT234">
            <v>0</v>
          </cell>
          <cell r="BU234">
            <v>0</v>
          </cell>
          <cell r="BW234">
            <v>0</v>
          </cell>
          <cell r="BX234">
            <v>0</v>
          </cell>
          <cell r="BY234">
            <v>0</v>
          </cell>
          <cell r="BZ234">
            <v>0</v>
          </cell>
          <cell r="CA234">
            <v>0</v>
          </cell>
          <cell r="CC234">
            <v>0</v>
          </cell>
          <cell r="CD234">
            <v>0</v>
          </cell>
          <cell r="CE234">
            <v>0</v>
          </cell>
          <cell r="CF234">
            <v>0</v>
          </cell>
          <cell r="CG234">
            <v>0</v>
          </cell>
          <cell r="CI234">
            <v>0</v>
          </cell>
          <cell r="CJ234">
            <v>0</v>
          </cell>
          <cell r="CK234">
            <v>0</v>
          </cell>
          <cell r="CL234">
            <v>0</v>
          </cell>
          <cell r="CM234">
            <v>0</v>
          </cell>
          <cell r="CO234">
            <v>0</v>
          </cell>
          <cell r="CP234">
            <v>0</v>
          </cell>
          <cell r="CQ234">
            <v>0</v>
          </cell>
          <cell r="CR234">
            <v>0</v>
          </cell>
          <cell r="CS234">
            <v>0</v>
          </cell>
          <cell r="CU234">
            <v>0</v>
          </cell>
          <cell r="CV234">
            <v>0</v>
          </cell>
          <cell r="CW234">
            <v>0</v>
          </cell>
          <cell r="CX234">
            <v>0</v>
          </cell>
          <cell r="CY234">
            <v>0</v>
          </cell>
          <cell r="DA234">
            <v>0</v>
          </cell>
          <cell r="DB234">
            <v>0</v>
          </cell>
          <cell r="DC234">
            <v>0</v>
          </cell>
          <cell r="DE234">
            <v>0</v>
          </cell>
          <cell r="DG234">
            <v>0</v>
          </cell>
          <cell r="DH234">
            <v>0</v>
          </cell>
          <cell r="DI234">
            <v>0</v>
          </cell>
          <cell r="DJ234">
            <v>0</v>
          </cell>
          <cell r="DK234">
            <v>0</v>
          </cell>
          <cell r="DM234">
            <v>0</v>
          </cell>
          <cell r="DN234">
            <v>0</v>
          </cell>
          <cell r="DO234">
            <v>0</v>
          </cell>
          <cell r="DP234">
            <v>0</v>
          </cell>
          <cell r="DQ234">
            <v>0</v>
          </cell>
          <cell r="DS234">
            <v>0</v>
          </cell>
          <cell r="DT234">
            <v>0</v>
          </cell>
          <cell r="DU234">
            <v>0</v>
          </cell>
          <cell r="DV234">
            <v>0</v>
          </cell>
          <cell r="DW234">
            <v>0</v>
          </cell>
          <cell r="DY234">
            <v>0</v>
          </cell>
          <cell r="DZ234">
            <v>0</v>
          </cell>
          <cell r="EA234">
            <v>0</v>
          </cell>
          <cell r="EB234">
            <v>0</v>
          </cell>
          <cell r="EC234">
            <v>0</v>
          </cell>
          <cell r="EE234">
            <v>0</v>
          </cell>
          <cell r="EF234">
            <v>0</v>
          </cell>
          <cell r="EG234">
            <v>0</v>
          </cell>
          <cell r="EH234">
            <v>0</v>
          </cell>
          <cell r="EI234">
            <v>0</v>
          </cell>
          <cell r="EK234">
            <v>0</v>
          </cell>
          <cell r="EL234">
            <v>0</v>
          </cell>
          <cell r="EM234">
            <v>0</v>
          </cell>
          <cell r="EN234">
            <v>0</v>
          </cell>
          <cell r="EO234">
            <v>0</v>
          </cell>
          <cell r="EQ234">
            <v>0</v>
          </cell>
          <cell r="ER234">
            <v>0</v>
          </cell>
          <cell r="ES234">
            <v>0</v>
          </cell>
          <cell r="ET234">
            <v>0</v>
          </cell>
          <cell r="EU234">
            <v>0</v>
          </cell>
          <cell r="EW234">
            <v>0</v>
          </cell>
          <cell r="EX234">
            <v>0</v>
          </cell>
          <cell r="EY234">
            <v>0</v>
          </cell>
          <cell r="EZ234">
            <v>0</v>
          </cell>
          <cell r="FA234">
            <v>0</v>
          </cell>
        </row>
        <row r="235"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U235">
            <v>0</v>
          </cell>
          <cell r="V235">
            <v>0</v>
          </cell>
          <cell r="W235">
            <v>0</v>
          </cell>
          <cell r="X235">
            <v>0</v>
          </cell>
          <cell r="Y235">
            <v>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M235">
            <v>0</v>
          </cell>
          <cell r="AN235">
            <v>0</v>
          </cell>
          <cell r="AO235">
            <v>0</v>
          </cell>
          <cell r="AP235">
            <v>0</v>
          </cell>
          <cell r="AQ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0</v>
          </cell>
          <cell r="BK235">
            <v>0</v>
          </cell>
          <cell r="BL235">
            <v>0</v>
          </cell>
          <cell r="BM235">
            <v>0</v>
          </cell>
          <cell r="BN235">
            <v>0</v>
          </cell>
          <cell r="BO235">
            <v>0</v>
          </cell>
          <cell r="BQ235">
            <v>0</v>
          </cell>
          <cell r="BR235">
            <v>0</v>
          </cell>
          <cell r="BS235">
            <v>0</v>
          </cell>
          <cell r="BT235">
            <v>0</v>
          </cell>
          <cell r="BU235">
            <v>0</v>
          </cell>
          <cell r="BW235">
            <v>0</v>
          </cell>
          <cell r="BX235">
            <v>0</v>
          </cell>
          <cell r="BY235">
            <v>0</v>
          </cell>
          <cell r="BZ235">
            <v>0</v>
          </cell>
          <cell r="CA235">
            <v>0</v>
          </cell>
          <cell r="CC235">
            <v>0</v>
          </cell>
          <cell r="CD235">
            <v>0</v>
          </cell>
          <cell r="CE235">
            <v>0</v>
          </cell>
          <cell r="CF235">
            <v>0</v>
          </cell>
          <cell r="CG235">
            <v>0</v>
          </cell>
          <cell r="CI235">
            <v>0</v>
          </cell>
          <cell r="CJ235">
            <v>0</v>
          </cell>
          <cell r="CK235">
            <v>0</v>
          </cell>
          <cell r="CL235">
            <v>0</v>
          </cell>
          <cell r="CM235">
            <v>0</v>
          </cell>
          <cell r="CO235">
            <v>0</v>
          </cell>
          <cell r="CP235">
            <v>0</v>
          </cell>
          <cell r="CQ235">
            <v>0</v>
          </cell>
          <cell r="CR235">
            <v>0</v>
          </cell>
          <cell r="CS235">
            <v>0</v>
          </cell>
          <cell r="CU235">
            <v>0</v>
          </cell>
          <cell r="CV235">
            <v>0</v>
          </cell>
          <cell r="CW235">
            <v>0</v>
          </cell>
          <cell r="CX235">
            <v>0</v>
          </cell>
          <cell r="CY235">
            <v>0</v>
          </cell>
          <cell r="DA235">
            <v>0</v>
          </cell>
          <cell r="DB235">
            <v>0</v>
          </cell>
          <cell r="DC235">
            <v>0</v>
          </cell>
          <cell r="DE235">
            <v>0</v>
          </cell>
          <cell r="DG235">
            <v>0</v>
          </cell>
          <cell r="DH235">
            <v>0</v>
          </cell>
          <cell r="DI235">
            <v>0</v>
          </cell>
          <cell r="DJ235">
            <v>0</v>
          </cell>
          <cell r="DK235">
            <v>0</v>
          </cell>
          <cell r="DM235">
            <v>0</v>
          </cell>
          <cell r="DN235">
            <v>0</v>
          </cell>
          <cell r="DO235">
            <v>0</v>
          </cell>
          <cell r="DP235">
            <v>0</v>
          </cell>
          <cell r="DQ235">
            <v>0</v>
          </cell>
          <cell r="DS235">
            <v>0</v>
          </cell>
          <cell r="DT235">
            <v>0</v>
          </cell>
          <cell r="DU235">
            <v>0</v>
          </cell>
          <cell r="DV235">
            <v>0</v>
          </cell>
          <cell r="DW235">
            <v>0</v>
          </cell>
          <cell r="DY235">
            <v>0</v>
          </cell>
          <cell r="DZ235">
            <v>0</v>
          </cell>
          <cell r="EA235">
            <v>0</v>
          </cell>
          <cell r="EB235">
            <v>0</v>
          </cell>
          <cell r="EC235">
            <v>0</v>
          </cell>
          <cell r="EE235">
            <v>0</v>
          </cell>
          <cell r="EF235">
            <v>0</v>
          </cell>
          <cell r="EG235">
            <v>0</v>
          </cell>
          <cell r="EH235">
            <v>0</v>
          </cell>
          <cell r="EI235">
            <v>0</v>
          </cell>
          <cell r="EK235">
            <v>0</v>
          </cell>
          <cell r="EL235">
            <v>0</v>
          </cell>
          <cell r="EM235">
            <v>0</v>
          </cell>
          <cell r="EN235">
            <v>0</v>
          </cell>
          <cell r="EO235">
            <v>0</v>
          </cell>
          <cell r="EQ235">
            <v>0</v>
          </cell>
          <cell r="ER235">
            <v>0</v>
          </cell>
          <cell r="ES235">
            <v>0</v>
          </cell>
          <cell r="ET235">
            <v>0</v>
          </cell>
          <cell r="EU235">
            <v>0</v>
          </cell>
          <cell r="EW235">
            <v>0</v>
          </cell>
          <cell r="EX235">
            <v>0</v>
          </cell>
          <cell r="EY235">
            <v>0</v>
          </cell>
          <cell r="EZ235">
            <v>0</v>
          </cell>
          <cell r="FA235">
            <v>0</v>
          </cell>
        </row>
        <row r="236"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0</v>
          </cell>
          <cell r="S236">
            <v>0</v>
          </cell>
          <cell r="U236">
            <v>0</v>
          </cell>
          <cell r="V236">
            <v>0</v>
          </cell>
          <cell r="W236">
            <v>0</v>
          </cell>
          <cell r="X236">
            <v>0</v>
          </cell>
          <cell r="Y236">
            <v>0</v>
          </cell>
          <cell r="AA236">
            <v>0</v>
          </cell>
          <cell r="AB236">
            <v>0</v>
          </cell>
          <cell r="AC236">
            <v>0</v>
          </cell>
          <cell r="AD236">
            <v>0</v>
          </cell>
          <cell r="AE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0</v>
          </cell>
          <cell r="AQ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0</v>
          </cell>
          <cell r="BK236">
            <v>0</v>
          </cell>
          <cell r="BL236">
            <v>0</v>
          </cell>
          <cell r="BM236">
            <v>0</v>
          </cell>
          <cell r="BN236">
            <v>0</v>
          </cell>
          <cell r="BO236">
            <v>0</v>
          </cell>
          <cell r="BQ236">
            <v>0</v>
          </cell>
          <cell r="BR236">
            <v>0</v>
          </cell>
          <cell r="BS236">
            <v>0</v>
          </cell>
          <cell r="BT236">
            <v>0</v>
          </cell>
          <cell r="BU236">
            <v>0</v>
          </cell>
          <cell r="BW236">
            <v>0</v>
          </cell>
          <cell r="BX236">
            <v>0</v>
          </cell>
          <cell r="BY236">
            <v>0</v>
          </cell>
          <cell r="BZ236">
            <v>0</v>
          </cell>
          <cell r="CA236">
            <v>0</v>
          </cell>
          <cell r="CC236">
            <v>0</v>
          </cell>
          <cell r="CD236">
            <v>0</v>
          </cell>
          <cell r="CE236">
            <v>0</v>
          </cell>
          <cell r="CF236">
            <v>0</v>
          </cell>
          <cell r="CG236">
            <v>0</v>
          </cell>
          <cell r="CI236">
            <v>0</v>
          </cell>
          <cell r="CJ236">
            <v>0</v>
          </cell>
          <cell r="CK236">
            <v>0</v>
          </cell>
          <cell r="CL236">
            <v>0</v>
          </cell>
          <cell r="CM236">
            <v>0</v>
          </cell>
          <cell r="CO236">
            <v>0</v>
          </cell>
          <cell r="CP236">
            <v>0</v>
          </cell>
          <cell r="CQ236">
            <v>0</v>
          </cell>
          <cell r="CR236">
            <v>0</v>
          </cell>
          <cell r="CS236">
            <v>0</v>
          </cell>
          <cell r="CU236">
            <v>0</v>
          </cell>
          <cell r="CV236">
            <v>0</v>
          </cell>
          <cell r="CW236">
            <v>0</v>
          </cell>
          <cell r="CX236">
            <v>0</v>
          </cell>
          <cell r="CY236">
            <v>0</v>
          </cell>
          <cell r="DA236">
            <v>0</v>
          </cell>
          <cell r="DB236">
            <v>0</v>
          </cell>
          <cell r="DC236">
            <v>0</v>
          </cell>
          <cell r="DE236">
            <v>0</v>
          </cell>
          <cell r="DG236">
            <v>0</v>
          </cell>
          <cell r="DH236">
            <v>0</v>
          </cell>
          <cell r="DI236">
            <v>0</v>
          </cell>
          <cell r="DJ236">
            <v>0</v>
          </cell>
          <cell r="DK236">
            <v>0</v>
          </cell>
          <cell r="DM236">
            <v>0</v>
          </cell>
          <cell r="DN236">
            <v>0</v>
          </cell>
          <cell r="DO236">
            <v>0</v>
          </cell>
          <cell r="DP236">
            <v>0</v>
          </cell>
          <cell r="DQ236">
            <v>0</v>
          </cell>
          <cell r="DS236">
            <v>0</v>
          </cell>
          <cell r="DT236">
            <v>0</v>
          </cell>
          <cell r="DU236">
            <v>0</v>
          </cell>
          <cell r="DV236">
            <v>0</v>
          </cell>
          <cell r="DW236">
            <v>0</v>
          </cell>
          <cell r="DY236">
            <v>0</v>
          </cell>
          <cell r="DZ236">
            <v>0</v>
          </cell>
          <cell r="EA236">
            <v>0</v>
          </cell>
          <cell r="EB236">
            <v>0</v>
          </cell>
          <cell r="EC236">
            <v>0</v>
          </cell>
          <cell r="EE236">
            <v>0</v>
          </cell>
          <cell r="EF236">
            <v>0</v>
          </cell>
          <cell r="EG236">
            <v>0</v>
          </cell>
          <cell r="EH236">
            <v>0</v>
          </cell>
          <cell r="EI236">
            <v>0</v>
          </cell>
          <cell r="EK236">
            <v>0</v>
          </cell>
          <cell r="EL236">
            <v>0</v>
          </cell>
          <cell r="EM236">
            <v>0</v>
          </cell>
          <cell r="EN236">
            <v>0</v>
          </cell>
          <cell r="EO236">
            <v>0</v>
          </cell>
          <cell r="EQ236">
            <v>0</v>
          </cell>
          <cell r="ER236">
            <v>0</v>
          </cell>
          <cell r="ES236">
            <v>0</v>
          </cell>
          <cell r="ET236">
            <v>0</v>
          </cell>
          <cell r="EU236">
            <v>0</v>
          </cell>
          <cell r="EW236">
            <v>0</v>
          </cell>
          <cell r="EX236">
            <v>0</v>
          </cell>
          <cell r="EY236">
            <v>0</v>
          </cell>
          <cell r="EZ236">
            <v>0</v>
          </cell>
          <cell r="FA236">
            <v>0</v>
          </cell>
        </row>
        <row r="237">
          <cell r="CY237">
            <v>0</v>
          </cell>
          <cell r="DA237">
            <v>0</v>
          </cell>
          <cell r="DB237">
            <v>0</v>
          </cell>
          <cell r="DC237">
            <v>0</v>
          </cell>
          <cell r="DE237">
            <v>0</v>
          </cell>
          <cell r="DG237">
            <v>0</v>
          </cell>
          <cell r="DH237">
            <v>0</v>
          </cell>
          <cell r="DI237">
            <v>0</v>
          </cell>
          <cell r="DJ237">
            <v>0</v>
          </cell>
          <cell r="DK237">
            <v>1.0841176760459259E-2</v>
          </cell>
          <cell r="DM237">
            <v>0</v>
          </cell>
          <cell r="DN237">
            <v>0</v>
          </cell>
          <cell r="DQ237">
            <v>-6.4836932676839432E-3</v>
          </cell>
          <cell r="DW237">
            <v>-4.9313052011776271E-2</v>
          </cell>
        </row>
        <row r="238">
          <cell r="CF238">
            <v>0.58281049479538027</v>
          </cell>
          <cell r="CI238">
            <v>0.69188871473354263</v>
          </cell>
          <cell r="CL238">
            <v>0.66875871687587174</v>
          </cell>
          <cell r="CO238">
            <v>0.8</v>
          </cell>
          <cell r="CR238">
            <v>0.69371727748691103</v>
          </cell>
          <cell r="CU238">
            <v>0.73695535233996767</v>
          </cell>
          <cell r="CX238">
            <v>0.69571532316630358</v>
          </cell>
          <cell r="CY238">
            <v>0</v>
          </cell>
          <cell r="DA238">
            <v>0.65731573157315737</v>
          </cell>
          <cell r="DB238">
            <v>0</v>
          </cell>
          <cell r="DC238">
            <v>0</v>
          </cell>
          <cell r="DE238">
            <v>0</v>
          </cell>
          <cell r="DG238">
            <v>0.7184043073910914</v>
          </cell>
          <cell r="DH238">
            <v>0</v>
          </cell>
          <cell r="DI238">
            <v>0</v>
          </cell>
          <cell r="DJ238">
            <v>0.67333666833416705</v>
          </cell>
          <cell r="DK238">
            <v>0</v>
          </cell>
          <cell r="DM238">
            <v>0.69435215946843853</v>
          </cell>
          <cell r="DN238">
            <v>0.87893462469733652</v>
          </cell>
          <cell r="DO238">
            <v>1.0994671742410256</v>
          </cell>
          <cell r="DP238">
            <v>0.69223768891163118</v>
          </cell>
          <cell r="DS238">
            <v>0.70158615712904293</v>
          </cell>
          <cell r="DT238">
            <v>0.75553097345132747</v>
          </cell>
          <cell r="DU238">
            <v>0.65734265734265729</v>
          </cell>
          <cell r="DV238">
            <v>0.70065293822199903</v>
          </cell>
          <cell r="DY238">
            <v>0.71007751937984498</v>
          </cell>
          <cell r="DZ238">
            <v>0.55986696230598665</v>
          </cell>
          <cell r="EA238">
            <v>3.75</v>
          </cell>
          <cell r="EB238">
            <v>0.69119840875186478</v>
          </cell>
          <cell r="EL238">
            <v>0</v>
          </cell>
          <cell r="EM238">
            <v>0</v>
          </cell>
          <cell r="EN238">
            <v>0</v>
          </cell>
        </row>
        <row r="239">
          <cell r="CY239">
            <v>0</v>
          </cell>
          <cell r="DA239">
            <v>0</v>
          </cell>
          <cell r="DB239">
            <v>0</v>
          </cell>
          <cell r="DC239">
            <v>0</v>
          </cell>
          <cell r="DE239">
            <v>0</v>
          </cell>
          <cell r="DG239">
            <v>0</v>
          </cell>
          <cell r="DH239">
            <v>0</v>
          </cell>
          <cell r="DI239">
            <v>0</v>
          </cell>
          <cell r="DJ239">
            <v>0</v>
          </cell>
          <cell r="DK239">
            <v>0</v>
          </cell>
          <cell r="DM239">
            <v>0</v>
          </cell>
          <cell r="DN239">
            <v>0</v>
          </cell>
        </row>
        <row r="240">
          <cell r="DC240">
            <v>0</v>
          </cell>
          <cell r="DE240">
            <v>0</v>
          </cell>
          <cell r="DG240">
            <v>0</v>
          </cell>
          <cell r="DI240">
            <v>0</v>
          </cell>
          <cell r="DK240">
            <v>0</v>
          </cell>
          <cell r="DM240">
            <v>0</v>
          </cell>
          <cell r="DN240">
            <v>0</v>
          </cell>
          <cell r="DO240">
            <v>0</v>
          </cell>
          <cell r="DS240">
            <v>0</v>
          </cell>
          <cell r="DU240">
            <v>0</v>
          </cell>
          <cell r="DY240">
            <v>0</v>
          </cell>
          <cell r="EA240">
            <v>0</v>
          </cell>
          <cell r="EE240">
            <v>0</v>
          </cell>
          <cell r="EG240">
            <v>0</v>
          </cell>
          <cell r="EK240">
            <v>0</v>
          </cell>
          <cell r="EM240">
            <v>0</v>
          </cell>
          <cell r="EQ240">
            <v>0</v>
          </cell>
          <cell r="ES240">
            <v>0</v>
          </cell>
          <cell r="EW240">
            <v>0</v>
          </cell>
          <cell r="EY240">
            <v>0</v>
          </cell>
        </row>
        <row r="241">
          <cell r="DK241">
            <v>0</v>
          </cell>
          <cell r="DM241">
            <v>0</v>
          </cell>
          <cell r="DN241">
            <v>0</v>
          </cell>
        </row>
        <row r="242"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  <cell r="O242" t="str">
            <v>F1995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U242" t="str">
            <v>F1996</v>
          </cell>
          <cell r="V242">
            <v>0</v>
          </cell>
          <cell r="W242">
            <v>0</v>
          </cell>
          <cell r="X242">
            <v>0</v>
          </cell>
          <cell r="Y242">
            <v>0</v>
          </cell>
          <cell r="AA242" t="str">
            <v>F1997</v>
          </cell>
          <cell r="AB242">
            <v>0</v>
          </cell>
          <cell r="AC242">
            <v>0</v>
          </cell>
          <cell r="AD242">
            <v>0</v>
          </cell>
          <cell r="AE242">
            <v>0</v>
          </cell>
          <cell r="AG242" t="str">
            <v>F1998</v>
          </cell>
          <cell r="AH242">
            <v>0</v>
          </cell>
          <cell r="AI242">
            <v>0</v>
          </cell>
          <cell r="AJ242">
            <v>0</v>
          </cell>
          <cell r="AK242">
            <v>0</v>
          </cell>
          <cell r="AM242" t="str">
            <v>F1999</v>
          </cell>
          <cell r="AN242">
            <v>0</v>
          </cell>
          <cell r="AO242">
            <v>0</v>
          </cell>
          <cell r="AP242">
            <v>0</v>
          </cell>
          <cell r="AQ242">
            <v>0</v>
          </cell>
          <cell r="AS242" t="str">
            <v>F2000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Y242" t="str">
            <v>F2001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E242" t="str">
            <v>F2002</v>
          </cell>
          <cell r="BF242">
            <v>0</v>
          </cell>
          <cell r="BG242">
            <v>0</v>
          </cell>
          <cell r="BH242">
            <v>0</v>
          </cell>
          <cell r="BI242">
            <v>0</v>
          </cell>
          <cell r="BK242" t="str">
            <v>F2003</v>
          </cell>
          <cell r="BL242">
            <v>0</v>
          </cell>
          <cell r="BM242">
            <v>0</v>
          </cell>
          <cell r="BN242">
            <v>0</v>
          </cell>
          <cell r="BO242">
            <v>0</v>
          </cell>
          <cell r="BQ242" t="str">
            <v>F2004</v>
          </cell>
          <cell r="BR242">
            <v>0</v>
          </cell>
          <cell r="BS242">
            <v>0</v>
          </cell>
          <cell r="BT242">
            <v>0</v>
          </cell>
          <cell r="BU242">
            <v>0</v>
          </cell>
          <cell r="BW242" t="str">
            <v>F2005</v>
          </cell>
          <cell r="BX242">
            <v>0</v>
          </cell>
          <cell r="BY242">
            <v>0</v>
          </cell>
          <cell r="BZ242">
            <v>0</v>
          </cell>
          <cell r="CA242">
            <v>0</v>
          </cell>
          <cell r="CC242" t="str">
            <v>F2006</v>
          </cell>
          <cell r="CD242">
            <v>0</v>
          </cell>
          <cell r="CE242">
            <v>0</v>
          </cell>
          <cell r="CF242">
            <v>0</v>
          </cell>
          <cell r="CG242">
            <v>0</v>
          </cell>
          <cell r="CI242" t="str">
            <v>F2007</v>
          </cell>
          <cell r="CJ242">
            <v>0</v>
          </cell>
          <cell r="CK242">
            <v>0</v>
          </cell>
          <cell r="CL242">
            <v>0</v>
          </cell>
          <cell r="CM242">
            <v>0</v>
          </cell>
          <cell r="CO242" t="str">
            <v>F2008</v>
          </cell>
          <cell r="CP242">
            <v>0</v>
          </cell>
          <cell r="CQ242">
            <v>0</v>
          </cell>
          <cell r="CR242">
            <v>0</v>
          </cell>
          <cell r="CS242">
            <v>0</v>
          </cell>
          <cell r="CU242" t="str">
            <v>F2009</v>
          </cell>
          <cell r="CV242">
            <v>0</v>
          </cell>
          <cell r="CW242">
            <v>0</v>
          </cell>
          <cell r="CX242">
            <v>0</v>
          </cell>
          <cell r="CY242">
            <v>0</v>
          </cell>
          <cell r="DA242" t="str">
            <v>F2010</v>
          </cell>
          <cell r="DB242">
            <v>0</v>
          </cell>
          <cell r="DC242">
            <v>0</v>
          </cell>
          <cell r="DE242">
            <v>0</v>
          </cell>
          <cell r="DG242" t="str">
            <v>F2011</v>
          </cell>
          <cell r="DH242">
            <v>0</v>
          </cell>
          <cell r="DI242">
            <v>0</v>
          </cell>
          <cell r="DJ242">
            <v>0</v>
          </cell>
          <cell r="DK242">
            <v>0</v>
          </cell>
          <cell r="DM242" t="str">
            <v>F2012</v>
          </cell>
          <cell r="DN242">
            <v>0</v>
          </cell>
          <cell r="DO242">
            <v>0</v>
          </cell>
          <cell r="DP242">
            <v>0</v>
          </cell>
          <cell r="DQ242">
            <v>0</v>
          </cell>
          <cell r="DS242" t="str">
            <v>F2013</v>
          </cell>
          <cell r="DT242">
            <v>0</v>
          </cell>
          <cell r="DU242">
            <v>0</v>
          </cell>
          <cell r="DV242">
            <v>0</v>
          </cell>
          <cell r="DW242">
            <v>0</v>
          </cell>
          <cell r="DY242" t="str">
            <v>F2014</v>
          </cell>
          <cell r="DZ242">
            <v>0</v>
          </cell>
          <cell r="EA242">
            <v>0</v>
          </cell>
          <cell r="EB242">
            <v>0</v>
          </cell>
          <cell r="EC242">
            <v>0</v>
          </cell>
          <cell r="EE242" t="str">
            <v>F2015</v>
          </cell>
          <cell r="EF242">
            <v>0</v>
          </cell>
          <cell r="EG242">
            <v>0</v>
          </cell>
          <cell r="EH242">
            <v>0</v>
          </cell>
          <cell r="EI242">
            <v>0</v>
          </cell>
          <cell r="EK242" t="str">
            <v>F2016E</v>
          </cell>
          <cell r="EL242">
            <v>0</v>
          </cell>
          <cell r="EM242">
            <v>0</v>
          </cell>
          <cell r="EN242">
            <v>0</v>
          </cell>
          <cell r="EO242">
            <v>0</v>
          </cell>
          <cell r="EQ242" t="str">
            <v>F2017E</v>
          </cell>
          <cell r="ER242">
            <v>0</v>
          </cell>
          <cell r="ES242">
            <v>0</v>
          </cell>
          <cell r="ET242">
            <v>0</v>
          </cell>
          <cell r="EU242">
            <v>0</v>
          </cell>
          <cell r="EW242" t="str">
            <v>F2018E</v>
          </cell>
          <cell r="EX242">
            <v>0</v>
          </cell>
          <cell r="EY242">
            <v>0</v>
          </cell>
          <cell r="EZ242">
            <v>0</v>
          </cell>
          <cell r="FA242">
            <v>0</v>
          </cell>
        </row>
        <row r="243">
          <cell r="C243" t="str">
            <v>FY84</v>
          </cell>
          <cell r="D243" t="str">
            <v>FY85</v>
          </cell>
          <cell r="E243" t="str">
            <v>FY86</v>
          </cell>
          <cell r="F243" t="str">
            <v>FY87</v>
          </cell>
          <cell r="G243" t="str">
            <v>FY88</v>
          </cell>
          <cell r="H243" t="str">
            <v>FY89</v>
          </cell>
          <cell r="I243" t="str">
            <v>FY90</v>
          </cell>
          <cell r="J243" t="str">
            <v>FY91</v>
          </cell>
          <cell r="K243" t="str">
            <v>FY92</v>
          </cell>
          <cell r="L243" t="str">
            <v>FY93</v>
          </cell>
          <cell r="M243" t="str">
            <v>FY94</v>
          </cell>
          <cell r="O243" t="str">
            <v xml:space="preserve"> 8/94</v>
          </cell>
          <cell r="P243" t="str">
            <v xml:space="preserve"> 11/94</v>
          </cell>
          <cell r="Q243" t="str">
            <v xml:space="preserve"> 2/95</v>
          </cell>
          <cell r="R243" t="str">
            <v>5/95</v>
          </cell>
          <cell r="S243" t="str">
            <v>FY95</v>
          </cell>
          <cell r="U243" t="str">
            <v xml:space="preserve"> 8/95</v>
          </cell>
          <cell r="V243" t="str">
            <v xml:space="preserve"> 11/95</v>
          </cell>
          <cell r="W243" t="str">
            <v xml:space="preserve"> 2/96</v>
          </cell>
          <cell r="X243" t="str">
            <v>5/96</v>
          </cell>
          <cell r="Y243" t="str">
            <v>FY96</v>
          </cell>
          <cell r="AA243" t="str">
            <v xml:space="preserve"> 8/96</v>
          </cell>
          <cell r="AB243" t="str">
            <v xml:space="preserve"> 11/96</v>
          </cell>
          <cell r="AC243" t="str">
            <v xml:space="preserve"> 2/97</v>
          </cell>
          <cell r="AD243" t="str">
            <v>5/97</v>
          </cell>
          <cell r="AE243" t="str">
            <v>FY97</v>
          </cell>
          <cell r="AG243" t="str">
            <v xml:space="preserve"> 8/97</v>
          </cell>
          <cell r="AH243" t="str">
            <v xml:space="preserve"> 11/97</v>
          </cell>
          <cell r="AI243" t="str">
            <v xml:space="preserve"> 2/98</v>
          </cell>
          <cell r="AJ243" t="str">
            <v>5/98</v>
          </cell>
          <cell r="AK243" t="str">
            <v>FY98</v>
          </cell>
          <cell r="AM243" t="str">
            <v xml:space="preserve"> 8/98</v>
          </cell>
          <cell r="AN243" t="str">
            <v xml:space="preserve"> 11/98</v>
          </cell>
          <cell r="AO243" t="str">
            <v xml:space="preserve"> 2/99</v>
          </cell>
          <cell r="AP243" t="str">
            <v>5/99</v>
          </cell>
          <cell r="AQ243" t="str">
            <v>FY99</v>
          </cell>
          <cell r="AS243" t="str">
            <v xml:space="preserve"> 8/99</v>
          </cell>
          <cell r="AT243" t="str">
            <v xml:space="preserve"> 11/99</v>
          </cell>
          <cell r="AU243" t="str">
            <v xml:space="preserve"> 2/00</v>
          </cell>
          <cell r="AV243" t="str">
            <v>5/00</v>
          </cell>
          <cell r="AW243" t="str">
            <v>FY00</v>
          </cell>
          <cell r="AY243" t="str">
            <v xml:space="preserve"> 8/00</v>
          </cell>
          <cell r="AZ243" t="str">
            <v xml:space="preserve"> 11/00</v>
          </cell>
          <cell r="BA243" t="str">
            <v xml:space="preserve"> 2/01</v>
          </cell>
          <cell r="BB243" t="str">
            <v>5/01</v>
          </cell>
          <cell r="BC243" t="str">
            <v>FY01</v>
          </cell>
          <cell r="BE243" t="str">
            <v xml:space="preserve"> 8/01</v>
          </cell>
          <cell r="BF243" t="str">
            <v xml:space="preserve"> 11/01</v>
          </cell>
          <cell r="BG243" t="str">
            <v xml:space="preserve"> 2/02</v>
          </cell>
          <cell r="BH243" t="str">
            <v>5/02</v>
          </cell>
          <cell r="BI243" t="str">
            <v>FY02</v>
          </cell>
          <cell r="BK243" t="str">
            <v xml:space="preserve"> 8/02</v>
          </cell>
          <cell r="BL243" t="str">
            <v xml:space="preserve"> 11/02</v>
          </cell>
          <cell r="BM243" t="str">
            <v xml:space="preserve"> 2/03</v>
          </cell>
          <cell r="BN243" t="str">
            <v>5/03</v>
          </cell>
          <cell r="BO243" t="str">
            <v>FY03</v>
          </cell>
          <cell r="BQ243" t="str">
            <v xml:space="preserve"> 8/03</v>
          </cell>
          <cell r="BR243" t="str">
            <v xml:space="preserve"> 11/03</v>
          </cell>
          <cell r="BS243" t="str">
            <v xml:space="preserve"> 2/04</v>
          </cell>
          <cell r="BT243" t="str">
            <v>5/04</v>
          </cell>
          <cell r="BU243" t="str">
            <v>FY04</v>
          </cell>
          <cell r="BW243" t="str">
            <v xml:space="preserve"> 8/04</v>
          </cell>
          <cell r="BX243" t="str">
            <v xml:space="preserve"> 11/04</v>
          </cell>
          <cell r="BY243" t="str">
            <v xml:space="preserve"> 2/05</v>
          </cell>
          <cell r="BZ243" t="str">
            <v>5/05</v>
          </cell>
          <cell r="CA243" t="str">
            <v>FY05</v>
          </cell>
          <cell r="CC243" t="str">
            <v xml:space="preserve"> 8/05</v>
          </cell>
          <cell r="CD243" t="str">
            <v xml:space="preserve"> 11/05</v>
          </cell>
          <cell r="CE243" t="str">
            <v xml:space="preserve"> 2/06</v>
          </cell>
          <cell r="CF243" t="str">
            <v>5/06</v>
          </cell>
          <cell r="CG243" t="str">
            <v>FY06</v>
          </cell>
          <cell r="CI243" t="str">
            <v xml:space="preserve"> 8/06</v>
          </cell>
          <cell r="CJ243" t="str">
            <v xml:space="preserve"> 11/06</v>
          </cell>
          <cell r="CK243" t="str">
            <v xml:space="preserve"> 2/07</v>
          </cell>
          <cell r="CL243" t="str">
            <v>5/07</v>
          </cell>
          <cell r="CM243" t="str">
            <v>FY07</v>
          </cell>
          <cell r="CO243" t="str">
            <v xml:space="preserve"> 8/07</v>
          </cell>
          <cell r="CP243" t="str">
            <v xml:space="preserve"> 11/07</v>
          </cell>
          <cell r="CQ243" t="str">
            <v xml:space="preserve"> 2/08</v>
          </cell>
          <cell r="CR243" t="str">
            <v>5/08</v>
          </cell>
          <cell r="CS243" t="str">
            <v>FY08</v>
          </cell>
          <cell r="CU243" t="str">
            <v xml:space="preserve"> 8/08</v>
          </cell>
          <cell r="CV243" t="str">
            <v xml:space="preserve"> 11/08</v>
          </cell>
          <cell r="CW243" t="str">
            <v xml:space="preserve"> 2/09</v>
          </cell>
          <cell r="CX243" t="str">
            <v>5/09</v>
          </cell>
          <cell r="CY243" t="str">
            <v>FY09</v>
          </cell>
          <cell r="DA243" t="str">
            <v>8/09</v>
          </cell>
          <cell r="DB243" t="str">
            <v>11/09</v>
          </cell>
          <cell r="DC243" t="str">
            <v>2/10</v>
          </cell>
          <cell r="DE243" t="str">
            <v>FY10</v>
          </cell>
          <cell r="DG243" t="str">
            <v>8/10</v>
          </cell>
          <cell r="DH243" t="str">
            <v>11/10</v>
          </cell>
          <cell r="DI243" t="str">
            <v>2/11</v>
          </cell>
          <cell r="DJ243" t="str">
            <v>5/11</v>
          </cell>
          <cell r="DK243" t="str">
            <v>FY11</v>
          </cell>
          <cell r="DM243" t="str">
            <v>8/11</v>
          </cell>
          <cell r="DN243" t="str">
            <v>11/11</v>
          </cell>
          <cell r="DO243" t="str">
            <v xml:space="preserve"> 2/12</v>
          </cell>
          <cell r="DP243" t="str">
            <v>5/12</v>
          </cell>
          <cell r="DQ243" t="str">
            <v>FY12</v>
          </cell>
          <cell r="DS243" t="str">
            <v>8/12</v>
          </cell>
          <cell r="DT243" t="str">
            <v>11/12</v>
          </cell>
          <cell r="DU243" t="str">
            <v xml:space="preserve"> 2/13</v>
          </cell>
          <cell r="DV243" t="str">
            <v>5/13</v>
          </cell>
          <cell r="DW243" t="str">
            <v>FY13</v>
          </cell>
          <cell r="DY243" t="str">
            <v>8/13</v>
          </cell>
          <cell r="DZ243" t="str">
            <v>11/13</v>
          </cell>
          <cell r="EA243" t="str">
            <v>2/14</v>
          </cell>
          <cell r="EB243" t="str">
            <v>5/14</v>
          </cell>
          <cell r="EC243" t="str">
            <v>FY14</v>
          </cell>
          <cell r="EE243" t="str">
            <v>8/14</v>
          </cell>
          <cell r="EF243" t="str">
            <v>11/14</v>
          </cell>
          <cell r="EG243" t="str">
            <v>2/15</v>
          </cell>
          <cell r="EH243" t="str">
            <v>5/15</v>
          </cell>
          <cell r="EI243" t="str">
            <v>FY15</v>
          </cell>
          <cell r="EK243" t="str">
            <v xml:space="preserve"> 8/15</v>
          </cell>
          <cell r="EL243" t="str">
            <v xml:space="preserve"> 11/15</v>
          </cell>
          <cell r="EM243" t="str">
            <v xml:space="preserve"> 2/16E</v>
          </cell>
          <cell r="EN243" t="str">
            <v>5/16E</v>
          </cell>
          <cell r="EO243" t="str">
            <v>FY16E</v>
          </cell>
          <cell r="EQ243" t="str">
            <v xml:space="preserve"> 8/16E</v>
          </cell>
          <cell r="ER243" t="str">
            <v xml:space="preserve"> 11/16E</v>
          </cell>
          <cell r="ES243" t="str">
            <v xml:space="preserve"> 2/17E</v>
          </cell>
          <cell r="ET243" t="str">
            <v>5/17E</v>
          </cell>
          <cell r="EU243" t="str">
            <v>FY17E</v>
          </cell>
          <cell r="EW243" t="str">
            <v xml:space="preserve"> 8/17E</v>
          </cell>
          <cell r="EX243" t="str">
            <v xml:space="preserve"> 11/17E</v>
          </cell>
          <cell r="EY243" t="str">
            <v xml:space="preserve"> 2/18E</v>
          </cell>
          <cell r="EZ243" t="str">
            <v>5/18E</v>
          </cell>
          <cell r="FA243" t="str">
            <v>FY18E</v>
          </cell>
        </row>
        <row r="244">
          <cell r="CG244">
            <v>0</v>
          </cell>
          <cell r="CM244">
            <v>0</v>
          </cell>
          <cell r="CS244">
            <v>0</v>
          </cell>
          <cell r="CY244">
            <v>0</v>
          </cell>
          <cell r="DE244">
            <v>0</v>
          </cell>
          <cell r="DK244">
            <v>0</v>
          </cell>
          <cell r="DQ244">
            <v>0</v>
          </cell>
          <cell r="DW244">
            <v>0</v>
          </cell>
          <cell r="EC244">
            <v>0</v>
          </cell>
          <cell r="EI244">
            <v>0</v>
          </cell>
          <cell r="EO244">
            <v>0</v>
          </cell>
          <cell r="EU244">
            <v>0</v>
          </cell>
          <cell r="FA244">
            <v>0</v>
          </cell>
        </row>
        <row r="245">
          <cell r="CG245">
            <v>0</v>
          </cell>
          <cell r="CM245">
            <v>0</v>
          </cell>
          <cell r="CS245">
            <v>0</v>
          </cell>
          <cell r="CY245">
            <v>0</v>
          </cell>
          <cell r="DE245">
            <v>0</v>
          </cell>
          <cell r="DK245">
            <v>0</v>
          </cell>
          <cell r="DQ245">
            <v>0</v>
          </cell>
          <cell r="DW245">
            <v>0</v>
          </cell>
          <cell r="EC245">
            <v>0</v>
          </cell>
          <cell r="EI245">
            <v>0</v>
          </cell>
          <cell r="EO245">
            <v>0</v>
          </cell>
          <cell r="EU245">
            <v>0</v>
          </cell>
          <cell r="FA245">
            <v>0</v>
          </cell>
        </row>
        <row r="246">
          <cell r="C246" t="str">
            <v>-</v>
          </cell>
          <cell r="D246">
            <v>0.82076287848997209</v>
          </cell>
          <cell r="E246">
            <v>1.3906094769124446</v>
          </cell>
          <cell r="F246">
            <v>1.3714698708103712</v>
          </cell>
          <cell r="G246">
            <v>0.56523097318836713</v>
          </cell>
          <cell r="H246">
            <v>1.0343661011998928</v>
          </cell>
          <cell r="I246">
            <v>0.59013231880936989</v>
          </cell>
          <cell r="J246">
            <v>-2.8709048338459442E-2</v>
          </cell>
          <cell r="K246">
            <v>1.7839299131660713E-2</v>
          </cell>
          <cell r="L246">
            <v>0.22678843226788437</v>
          </cell>
          <cell r="M246">
            <v>0.36352357320099249</v>
          </cell>
          <cell r="O246" t="str">
            <v>-</v>
          </cell>
          <cell r="P246" t="str">
            <v>-</v>
          </cell>
          <cell r="Q246" t="str">
            <v>-</v>
          </cell>
          <cell r="R246" t="str">
            <v>-</v>
          </cell>
          <cell r="S246">
            <v>0.46132848043676078</v>
          </cell>
          <cell r="U246">
            <v>0.25</v>
          </cell>
          <cell r="V246">
            <v>0.41425655976676379</v>
          </cell>
          <cell r="W246">
            <v>0.37333333333333329</v>
          </cell>
          <cell r="X246">
            <v>0.45230263157894735</v>
          </cell>
          <cell r="Y246">
            <v>0.39046699875467006</v>
          </cell>
          <cell r="AA246">
            <v>0.26947714285714297</v>
          </cell>
          <cell r="AB246">
            <v>0.25017419447937495</v>
          </cell>
          <cell r="AC246">
            <v>0.28981941747572804</v>
          </cell>
          <cell r="AD246">
            <v>0.25416647791619496</v>
          </cell>
          <cell r="AE246">
            <v>0.2639212929169894</v>
          </cell>
          <cell r="AG246">
            <v>0.13742215580317652</v>
          </cell>
          <cell r="AH246">
            <v>2.4274174000366022E-2</v>
          </cell>
          <cell r="AI246">
            <v>0.1338879379517266</v>
          </cell>
          <cell r="AJ246">
            <v>9.2009510316236831E-2</v>
          </cell>
          <cell r="AK246">
            <v>9.4460486456801496E-2</v>
          </cell>
          <cell r="AM246">
            <v>0.1033626448426519</v>
          </cell>
          <cell r="AN246">
            <v>0.19975111403034296</v>
          </cell>
          <cell r="AO246">
            <v>6.8261388515294286E-2</v>
          </cell>
          <cell r="AP246">
            <v>0.2266375484465275</v>
          </cell>
          <cell r="AQ246">
            <v>0.16244682848504088</v>
          </cell>
          <cell r="AS246">
            <v>8.0760312259577693E-2</v>
          </cell>
          <cell r="AT246">
            <v>0.17702050461122276</v>
          </cell>
          <cell r="AU246">
            <v>0.29654104426135985</v>
          </cell>
          <cell r="AV246">
            <v>0.20803882429633003</v>
          </cell>
          <cell r="AW246">
            <v>0.20166739629526909</v>
          </cell>
          <cell r="AY246">
            <v>0.27976457157269796</v>
          </cell>
          <cell r="AZ246">
            <v>0.24627125155756402</v>
          </cell>
          <cell r="BA246">
            <v>5.5366821126412447E-2</v>
          </cell>
          <cell r="BB246">
            <v>-9.683338113823281E-2</v>
          </cell>
          <cell r="BC246">
            <v>6.2306417871119679E-2</v>
          </cell>
          <cell r="BE246">
            <v>-7.7973925276663136E-2</v>
          </cell>
          <cell r="BF246">
            <v>-0.26509683102617732</v>
          </cell>
          <cell r="BG246">
            <v>-0.29429818386597228</v>
          </cell>
          <cell r="BH246">
            <v>-0.2894703672581681</v>
          </cell>
          <cell r="BI246">
            <v>-0.24923258294332551</v>
          </cell>
          <cell r="BK246">
            <v>-0.20827778621531479</v>
          </cell>
          <cell r="BL246">
            <v>-4.7786196260600433E-2</v>
          </cell>
          <cell r="BM246">
            <v>-2.8255248386968024E-2</v>
          </cell>
          <cell r="BN246">
            <v>3.2193659356961613E-2</v>
          </cell>
          <cell r="BO246">
            <v>-4.9813594930014693E-2</v>
          </cell>
          <cell r="BQ246">
            <v>-6.7495559502664282E-2</v>
          </cell>
          <cell r="BR246">
            <v>0.11764705882352944</v>
          </cell>
          <cell r="BS246">
            <v>0.12185430463576163</v>
          </cell>
          <cell r="BT246">
            <v>0.10699241786015157</v>
          </cell>
          <cell r="BU246">
            <v>8.2874617737002998E-2</v>
          </cell>
          <cell r="BW246">
            <v>7.2380952380952435E-2</v>
          </cell>
          <cell r="BX246">
            <v>0.13567251461988294</v>
          </cell>
          <cell r="BY246">
            <v>0.11806375442739081</v>
          </cell>
          <cell r="BZ246">
            <v>0.22450532724505323</v>
          </cell>
          <cell r="CA246">
            <v>0.15504094888449593</v>
          </cell>
          <cell r="CC246">
            <v>0.1172291296625223</v>
          </cell>
          <cell r="CD246">
            <v>8.9598352214212085E-2</v>
          </cell>
          <cell r="CE246">
            <v>0.15776135163674776</v>
          </cell>
          <cell r="CF246">
            <v>0.3182100683654443</v>
          </cell>
          <cell r="CG246">
            <v>0.19911980440097787</v>
          </cell>
          <cell r="CI246">
            <v>0.27821939586645472</v>
          </cell>
          <cell r="CJ246">
            <v>0.14083175803402637</v>
          </cell>
          <cell r="CK246">
            <v>0.26778547975191525</v>
          </cell>
          <cell r="CL246">
            <v>0.16973125884016982</v>
          </cell>
          <cell r="CM246">
            <v>0.19933121278851651</v>
          </cell>
          <cell r="CO246">
            <v>0.35199004975124382</v>
          </cell>
          <cell r="CP246">
            <v>0.38193869096934541</v>
          </cell>
          <cell r="CQ246">
            <v>0.16258992805755401</v>
          </cell>
          <cell r="CR246">
            <v>0.26723095525997587</v>
          </cell>
          <cell r="CS246">
            <v>0.27762665759945593</v>
          </cell>
          <cell r="CU246">
            <v>0.13615455381784725</v>
          </cell>
          <cell r="CV246">
            <v>-2.5179856115107868E-2</v>
          </cell>
          <cell r="CW246">
            <v>-6.1881188118811936E-2</v>
          </cell>
          <cell r="CX246">
            <v>-0.12722646310432573</v>
          </cell>
          <cell r="CY246">
            <v>-5.2428476380572242E-2</v>
          </cell>
          <cell r="DA246">
            <v>-0.16761133603238865</v>
          </cell>
          <cell r="DB246">
            <v>1.6605166051660625E-2</v>
          </cell>
          <cell r="DC246">
            <v>0.13350923482849608</v>
          </cell>
          <cell r="DE246">
            <v>5.8053644151102368E-2</v>
          </cell>
          <cell r="DG246">
            <v>0.25097276264591439</v>
          </cell>
          <cell r="DH246">
            <v>0.20931639443436167</v>
          </cell>
          <cell r="DI246">
            <v>0.28840782122905018</v>
          </cell>
          <cell r="DJ246">
            <v>0.19170653907496016</v>
          </cell>
          <cell r="DK246">
            <v>0.22571140369505205</v>
          </cell>
          <cell r="DM246">
            <v>0.16485225505443224</v>
          </cell>
          <cell r="DN246">
            <v>2.4512256128063958E-2</v>
          </cell>
          <cell r="DO246">
            <v>7.2267389340560095E-2</v>
          </cell>
          <cell r="DP246">
            <v>7.2537473233404759E-2</v>
          </cell>
          <cell r="DQ246">
            <v>7.4932322685435926E-2</v>
          </cell>
          <cell r="DS246">
            <v>0.14285714285714279</v>
          </cell>
          <cell r="DT246">
            <v>0.22802734375</v>
          </cell>
          <cell r="DU246">
            <v>3.1171019376579512E-2</v>
          </cell>
          <cell r="DV246">
            <v>3.4938857000249568E-2</v>
          </cell>
          <cell r="DW246">
            <v>9.0158154528054757E-2</v>
          </cell>
          <cell r="DY246">
            <v>3.0957943925233655E-2</v>
          </cell>
          <cell r="DZ246">
            <v>-1.3916500994035741E-2</v>
          </cell>
          <cell r="EA246">
            <v>3.799019607843146E-2</v>
          </cell>
          <cell r="EB246">
            <v>1.8567639257294433E-2</v>
          </cell>
          <cell r="EC246">
            <v>1.7372019959342122E-2</v>
          </cell>
          <cell r="EE246">
            <v>4.6458923512747941E-2</v>
          </cell>
          <cell r="EF246">
            <v>3.3870967741935543E-2</v>
          </cell>
          <cell r="EG246">
            <v>-1.1412829594647733E-2</v>
          </cell>
          <cell r="EH246">
            <v>-0.12002840909090906</v>
          </cell>
          <cell r="EI246">
            <v>-3.3605812897366083E-2</v>
          </cell>
          <cell r="EK246">
            <v>-4.5479155387114223E-2</v>
          </cell>
          <cell r="EL246">
            <v>-9.1653666146645829E-2</v>
          </cell>
          <cell r="EM246">
            <v>-4.9406847133757981E-2</v>
          </cell>
          <cell r="EN246">
            <v>-6.4205004035512547E-2</v>
          </cell>
          <cell r="EO246">
            <v>-6.4075187969924841E-2</v>
          </cell>
          <cell r="EQ246">
            <v>5.9225751559841333E-2</v>
          </cell>
          <cell r="ER246">
            <v>2.3467153284671527E-2</v>
          </cell>
          <cell r="ES246">
            <v>3.197188731474232E-2</v>
          </cell>
          <cell r="ET246">
            <v>-1.2046156942228436E-2</v>
          </cell>
          <cell r="EU246">
            <v>1.9432610581789689E-2</v>
          </cell>
          <cell r="EW246">
            <v>9.8353532824787093E-2</v>
          </cell>
          <cell r="EX246">
            <v>6.0270168082210196E-2</v>
          </cell>
          <cell r="EY246">
            <v>6.6316958169194473E-2</v>
          </cell>
          <cell r="EZ246">
            <v>1.1851397194357016E-2</v>
          </cell>
          <cell r="FA246">
            <v>5.2353261930208506E-2</v>
          </cell>
        </row>
        <row r="247">
          <cell r="C247" t="str">
            <v>-</v>
          </cell>
          <cell r="D247" t="str">
            <v>-</v>
          </cell>
          <cell r="E247" t="str">
            <v>-</v>
          </cell>
          <cell r="F247" t="str">
            <v>-</v>
          </cell>
          <cell r="G247" t="str">
            <v>-</v>
          </cell>
          <cell r="H247" t="str">
            <v>-</v>
          </cell>
          <cell r="I247" t="str">
            <v>-</v>
          </cell>
          <cell r="J247" t="str">
            <v>-</v>
          </cell>
          <cell r="K247" t="str">
            <v>-</v>
          </cell>
          <cell r="L247">
            <v>0.2009803921568627</v>
          </cell>
          <cell r="M247">
            <v>0.36734693877551017</v>
          </cell>
          <cell r="O247" t="str">
            <v>-</v>
          </cell>
          <cell r="P247" t="str">
            <v>-</v>
          </cell>
          <cell r="Q247" t="str">
            <v>-</v>
          </cell>
          <cell r="R247" t="str">
            <v>-</v>
          </cell>
          <cell r="S247">
            <v>0.44477611940298512</v>
          </cell>
          <cell r="U247">
            <v>0.17509727626459148</v>
          </cell>
          <cell r="V247">
            <v>0.35471518987341755</v>
          </cell>
          <cell r="W247">
            <v>0.30994152046783618</v>
          </cell>
          <cell r="X247">
            <v>0.41527001862197399</v>
          </cell>
          <cell r="Y247">
            <v>0.33477272727272722</v>
          </cell>
          <cell r="AA247">
            <v>0.30430794701986752</v>
          </cell>
          <cell r="AB247">
            <v>0.17972622579364161</v>
          </cell>
          <cell r="AC247">
            <v>0.24204464285714278</v>
          </cell>
          <cell r="AD247">
            <v>0.16950394736842123</v>
          </cell>
          <cell r="AE247">
            <v>0.20953567687775099</v>
          </cell>
          <cell r="AG247">
            <v>3.3119997156646042E-2</v>
          </cell>
          <cell r="AH247">
            <v>1.5442677549210027E-2</v>
          </cell>
          <cell r="AI247">
            <v>0.10254009445830281</v>
          </cell>
          <cell r="AJ247">
            <v>0.11778385572830574</v>
          </cell>
          <cell r="AK247">
            <v>7.7890903847769755E-2</v>
          </cell>
          <cell r="AM247">
            <v>0.12919618525262511</v>
          </cell>
          <cell r="AN247">
            <v>0.20273464007425512</v>
          </cell>
          <cell r="AO247">
            <v>7.1334147251883806E-2</v>
          </cell>
          <cell r="AP247">
            <v>0.21412826417798692</v>
          </cell>
          <cell r="AQ247">
            <v>0.16346733787666534</v>
          </cell>
          <cell r="AS247">
            <v>7.3946244257632188E-2</v>
          </cell>
          <cell r="AT247">
            <v>0.15006096018780912</v>
          </cell>
          <cell r="AU247">
            <v>0.28469880837907913</v>
          </cell>
          <cell r="AV247">
            <v>0.11468757331600155</v>
          </cell>
          <cell r="AW247">
            <v>0.15375025596752989</v>
          </cell>
          <cell r="AY247">
            <v>0.24764996362737435</v>
          </cell>
          <cell r="AZ247">
            <v>0.14741461585416582</v>
          </cell>
          <cell r="BA247">
            <v>8.4855561977128513E-3</v>
          </cell>
          <cell r="BB247">
            <v>-4.768134297887916E-2</v>
          </cell>
          <cell r="BC247">
            <v>5.0072748446633009E-2</v>
          </cell>
          <cell r="BE247">
            <v>-8.2086146440178087E-2</v>
          </cell>
          <cell r="BF247">
            <v>-0.21336688282169547</v>
          </cell>
          <cell r="BG247">
            <v>-0.2612452013467349</v>
          </cell>
          <cell r="BH247">
            <v>-0.29380443755120145</v>
          </cell>
          <cell r="BI247">
            <v>-0.23103757991702201</v>
          </cell>
          <cell r="BK247">
            <v>-0.20025054098096706</v>
          </cell>
          <cell r="BL247">
            <v>2.6148833751393985E-2</v>
          </cell>
          <cell r="BM247">
            <v>-2.2381891015451183E-2</v>
          </cell>
          <cell r="BN247">
            <v>4.0618399371868952E-2</v>
          </cell>
          <cell r="BO247">
            <v>-2.6940778483889649E-2</v>
          </cell>
          <cell r="BQ247">
            <v>-7.5221238938053103E-2</v>
          </cell>
          <cell r="BR247">
            <v>9.284627092846276E-2</v>
          </cell>
          <cell r="BS247">
            <v>0.14959349593495941</v>
          </cell>
          <cell r="BT247">
            <v>0.15090329436769401</v>
          </cell>
          <cell r="BU247">
            <v>9.7936210131332135E-2</v>
          </cell>
          <cell r="BW247">
            <v>0.18181818181818188</v>
          </cell>
          <cell r="BX247">
            <v>5.2924791086351064E-2</v>
          </cell>
          <cell r="BY247">
            <v>0.12446958981612455</v>
          </cell>
          <cell r="BZ247">
            <v>0.16251154201292706</v>
          </cell>
          <cell r="CA247">
            <v>0.12918660287081329</v>
          </cell>
          <cell r="CC247">
            <v>1.6194331983805599E-2</v>
          </cell>
          <cell r="CD247">
            <v>4.7619047619047672E-2</v>
          </cell>
          <cell r="CE247">
            <v>4.0754716981131978E-2</v>
          </cell>
          <cell r="CF247">
            <v>0.17553613979348692</v>
          </cell>
          <cell r="CG247">
            <v>9.0012106537530334E-2</v>
          </cell>
          <cell r="CI247">
            <v>0.14741035856573714</v>
          </cell>
          <cell r="CJ247">
            <v>9.4696969696969724E-2</v>
          </cell>
          <cell r="CK247">
            <v>0.16872129562484894</v>
          </cell>
          <cell r="CL247">
            <v>0.18581081081081074</v>
          </cell>
          <cell r="CM247">
            <v>0.15649469650691405</v>
          </cell>
          <cell r="CO247">
            <v>0.234375</v>
          </cell>
          <cell r="CP247">
            <v>0.28604382929642447</v>
          </cell>
          <cell r="CQ247">
            <v>0.20475698035160295</v>
          </cell>
          <cell r="CR247">
            <v>0.22792022792022792</v>
          </cell>
          <cell r="CS247">
            <v>0.23553421368547411</v>
          </cell>
          <cell r="CU247">
            <v>0.27144866385372723</v>
          </cell>
          <cell r="CV247">
            <v>3.7668161434977643E-2</v>
          </cell>
          <cell r="CW247">
            <v>-3.8626609442060089E-2</v>
          </cell>
          <cell r="CX247">
            <v>-0.10023201856148489</v>
          </cell>
          <cell r="CY247">
            <v>-5.0524679362611291E-3</v>
          </cell>
          <cell r="DA247">
            <v>-0.21349557522123896</v>
          </cell>
          <cell r="DB247">
            <v>1.5557476231633505E-2</v>
          </cell>
          <cell r="DC247">
            <v>0.10803571428571423</v>
          </cell>
          <cell r="DE247">
            <v>5.6054687500000089E-2</v>
          </cell>
          <cell r="DG247">
            <v>0.31786216596343175</v>
          </cell>
          <cell r="DH247">
            <v>0.20851063829787231</v>
          </cell>
          <cell r="DI247">
            <v>0.26913779210314259</v>
          </cell>
          <cell r="DJ247">
            <v>0.18157894736842106</v>
          </cell>
          <cell r="DK247">
            <v>0.22544849269465517</v>
          </cell>
          <cell r="DM247">
            <v>0.14194236926360726</v>
          </cell>
          <cell r="DN247">
            <v>4.1549295774647943E-2</v>
          </cell>
          <cell r="DO247">
            <v>8.9523809523809561E-2</v>
          </cell>
          <cell r="DP247">
            <v>1.0022271714922093E-2</v>
          </cell>
          <cell r="DQ247">
            <v>5.4331421672200397E-2</v>
          </cell>
          <cell r="DS247">
            <v>-2.3000000000000131E-2</v>
          </cell>
          <cell r="DT247">
            <v>0.11099999999999999</v>
          </cell>
          <cell r="DU247">
            <v>-3.0000000000000027E-2</v>
          </cell>
          <cell r="DV247">
            <v>0.1100000000000001</v>
          </cell>
          <cell r="DW247">
            <v>5.5452190094474663E-2</v>
          </cell>
          <cell r="DY247">
            <v>0.1100000000000001</v>
          </cell>
          <cell r="DZ247">
            <v>1.4999999999999902E-2</v>
          </cell>
          <cell r="EA247">
            <v>7.0000000000000062E-2</v>
          </cell>
          <cell r="EB247">
            <v>2.0000000000000018E-3</v>
          </cell>
          <cell r="EC247">
            <v>3.5559965031005447E-2</v>
          </cell>
          <cell r="EE247">
            <v>-9.9999999999998979E-3</v>
          </cell>
          <cell r="EF247">
            <v>1.0000000000000009E-2</v>
          </cell>
          <cell r="EG247">
            <v>-1.0000000000000009E-2</v>
          </cell>
          <cell r="EH247">
            <v>-1.9999999999999907E-2</v>
          </cell>
          <cell r="EI247">
            <v>-9.5949460439971324E-3</v>
          </cell>
          <cell r="EK247">
            <v>7.4661317654781234E-2</v>
          </cell>
          <cell r="EL247">
            <v>3.0000000000000027E-2</v>
          </cell>
          <cell r="EM247">
            <v>5.0000000000000044E-2</v>
          </cell>
          <cell r="EN247">
            <v>5.0000000000000044E-2</v>
          </cell>
          <cell r="EO247">
            <v>4.9291290767688123E-2</v>
          </cell>
          <cell r="EQ247">
            <v>3.3103901507093969E-2</v>
          </cell>
          <cell r="ER247">
            <v>2.5941289424809222E-2</v>
          </cell>
          <cell r="ES247">
            <v>2.5820267614862891E-2</v>
          </cell>
          <cell r="ET247">
            <v>2.000702393862519E-2</v>
          </cell>
          <cell r="EU247">
            <v>2.4698523059490274E-2</v>
          </cell>
          <cell r="EW247">
            <v>3.3103901507093969E-2</v>
          </cell>
          <cell r="EX247">
            <v>2.5941289424809222E-2</v>
          </cell>
          <cell r="EY247">
            <v>2.5820267614862891E-2</v>
          </cell>
          <cell r="EZ247">
            <v>2.000702393862519E-2</v>
          </cell>
          <cell r="FA247">
            <v>2.47182957243266E-2</v>
          </cell>
        </row>
        <row r="248">
          <cell r="C248" t="str">
            <v>-</v>
          </cell>
          <cell r="D248" t="str">
            <v>-</v>
          </cell>
          <cell r="E248" t="str">
            <v>-</v>
          </cell>
          <cell r="F248" t="str">
            <v>-</v>
          </cell>
          <cell r="G248" t="str">
            <v>-</v>
          </cell>
          <cell r="H248" t="str">
            <v>-</v>
          </cell>
          <cell r="I248" t="str">
            <v>-</v>
          </cell>
          <cell r="J248" t="str">
            <v>-</v>
          </cell>
          <cell r="K248" t="str">
            <v>-</v>
          </cell>
          <cell r="L248">
            <v>0.57777777777777772</v>
          </cell>
          <cell r="M248">
            <v>0.323943661971831</v>
          </cell>
          <cell r="O248" t="str">
            <v>-</v>
          </cell>
          <cell r="P248" t="str">
            <v>-</v>
          </cell>
          <cell r="Q248" t="str">
            <v>-</v>
          </cell>
          <cell r="R248" t="str">
            <v>-</v>
          </cell>
          <cell r="S248">
            <v>0.63829787234042556</v>
          </cell>
          <cell r="U248">
            <v>1.0869565217391304</v>
          </cell>
          <cell r="V248">
            <v>1.1111111111111112</v>
          </cell>
          <cell r="W248">
            <v>1.0303030303030303</v>
          </cell>
          <cell r="X248">
            <v>0.73239436619718301</v>
          </cell>
          <cell r="Y248">
            <v>0.9155844155844155</v>
          </cell>
          <cell r="AA248">
            <v>5.0333333333333341E-2</v>
          </cell>
          <cell r="AB248">
            <v>0.77926315789473688</v>
          </cell>
          <cell r="AC248">
            <v>0.60926865671641783</v>
          </cell>
          <cell r="AD248">
            <v>0.77728455284552833</v>
          </cell>
          <cell r="AE248">
            <v>0.62122372881355914</v>
          </cell>
          <cell r="AG248">
            <v>0.95233655982227883</v>
          </cell>
          <cell r="AH248">
            <v>6.8252184030448193E-2</v>
          </cell>
          <cell r="AI248">
            <v>0.29566596488624652</v>
          </cell>
          <cell r="AJ248">
            <v>-1.2785559408250435E-2</v>
          </cell>
          <cell r="AK248">
            <v>0.17567604299744288</v>
          </cell>
          <cell r="AM248">
            <v>-3.4441069197086449E-3</v>
          </cell>
          <cell r="AN248">
            <v>0.18562857670297195</v>
          </cell>
          <cell r="AO248">
            <v>5.4767358625626317E-2</v>
          </cell>
          <cell r="AP248">
            <v>0.28422554920740817</v>
          </cell>
          <cell r="AQ248">
            <v>0.15786085224443336</v>
          </cell>
          <cell r="AS248">
            <v>0.11268223060454674</v>
          </cell>
          <cell r="AT248">
            <v>0.30647484254696367</v>
          </cell>
          <cell r="AU248">
            <v>0.34936308542188388</v>
          </cell>
          <cell r="AV248">
            <v>0.61433519754645527</v>
          </cell>
          <cell r="AW248">
            <v>0.41804061796320391</v>
          </cell>
          <cell r="AY248">
            <v>0.42497457464060928</v>
          </cell>
          <cell r="AZ248">
            <v>0.66413018865675899</v>
          </cell>
          <cell r="BA248">
            <v>0.2544585827088468</v>
          </cell>
          <cell r="BB248">
            <v>-0.24454810208912126</v>
          </cell>
          <cell r="BC248">
            <v>0.10725256822977358</v>
          </cell>
          <cell r="BE248">
            <v>-6.169386469143423E-2</v>
          </cell>
          <cell r="BF248">
            <v>-0.41586129601713029</v>
          </cell>
          <cell r="BG248">
            <v>-0.40714205529540071</v>
          </cell>
          <cell r="BH248">
            <v>-0.27305110370149033</v>
          </cell>
          <cell r="BI248">
            <v>-0.3126283970182544</v>
          </cell>
          <cell r="BK248">
            <v>-0.23936654994483697</v>
          </cell>
          <cell r="BL248">
            <v>-0.33796350217307358</v>
          </cell>
          <cell r="BM248">
            <v>-5.3241633022931834E-2</v>
          </cell>
          <cell r="BN248">
            <v>1.1884024940171933E-3</v>
          </cell>
          <cell r="BO248">
            <v>-0.13896775754470603</v>
          </cell>
          <cell r="BQ248">
            <v>-3.6036036036036001E-2</v>
          </cell>
          <cell r="BR248">
            <v>0.2685185185185186</v>
          </cell>
          <cell r="BS248">
            <v>0</v>
          </cell>
          <cell r="BT248">
            <v>-6.0975609756097615E-2</v>
          </cell>
          <cell r="BU248">
            <v>1.6528925619834656E-2</v>
          </cell>
          <cell r="BW248">
            <v>-0.35514018691588789</v>
          </cell>
          <cell r="BX248">
            <v>0.56934306569343063</v>
          </cell>
          <cell r="BY248">
            <v>8.5714285714285632E-2</v>
          </cell>
          <cell r="BZ248">
            <v>0.51515151515151514</v>
          </cell>
          <cell r="CA248">
            <v>0.2780487804878049</v>
          </cell>
          <cell r="CC248">
            <v>0.84057971014492749</v>
          </cell>
          <cell r="CD248">
            <v>0.23720930232558146</v>
          </cell>
          <cell r="CE248">
            <v>0.76973684210526305</v>
          </cell>
          <cell r="CF248">
            <v>0.83142857142857141</v>
          </cell>
          <cell r="CG248">
            <v>0.65776081424936383</v>
          </cell>
          <cell r="CI248">
            <v>0.79527559055118102</v>
          </cell>
          <cell r="CJ248">
            <v>0.27819548872180455</v>
          </cell>
          <cell r="CK248">
            <v>0.57249070631970267</v>
          </cell>
          <cell r="CL248">
            <v>0.13260530421216843</v>
          </cell>
          <cell r="CM248">
            <v>0.31772831926323875</v>
          </cell>
          <cell r="CO248">
            <v>0.64912280701754388</v>
          </cell>
          <cell r="CP248">
            <v>0.62647058823529411</v>
          </cell>
          <cell r="CQ248">
            <v>6.6193853427896077E-2</v>
          </cell>
          <cell r="CR248">
            <v>0.36225895316804402</v>
          </cell>
          <cell r="CS248">
            <v>0.37973209085614434</v>
          </cell>
          <cell r="CU248">
            <v>-0.11968085106382975</v>
          </cell>
          <cell r="CV248">
            <v>-0.15189873417721522</v>
          </cell>
          <cell r="CW248">
            <v>-0.12195121951219512</v>
          </cell>
          <cell r="CX248">
            <v>-0.18604651162790697</v>
          </cell>
          <cell r="CY248">
            <v>-0.15533980582524276</v>
          </cell>
          <cell r="DA248">
            <v>-4.2296072507552851E-2</v>
          </cell>
          <cell r="DB248">
            <v>1.9189765458422103E-2</v>
          </cell>
          <cell r="DC248">
            <v>0.20555555555555549</v>
          </cell>
          <cell r="DE248">
            <v>6.3168415792103971E-2</v>
          </cell>
          <cell r="DG248">
            <v>0.10094637223974767</v>
          </cell>
          <cell r="DH248">
            <v>0.21129707112970708</v>
          </cell>
          <cell r="DI248">
            <v>0.33850020946795145</v>
          </cell>
          <cell r="DJ248">
            <v>0.21871345029239775</v>
          </cell>
          <cell r="DK248">
            <v>0.22637961831343412</v>
          </cell>
          <cell r="DM248">
            <v>0.22636103151862463</v>
          </cell>
          <cell r="DN248">
            <v>-1.7271157167530249E-2</v>
          </cell>
          <cell r="DO248">
            <v>2.9733959311424085E-2</v>
          </cell>
          <cell r="DP248">
            <v>0.23416506717850294</v>
          </cell>
          <cell r="DQ248">
            <v>0.12725182062092766</v>
          </cell>
          <cell r="DS248">
            <v>0.55750000000000033</v>
          </cell>
          <cell r="DT248">
            <v>0.53221616871704769</v>
          </cell>
          <cell r="DU248">
            <v>0.19069908814589676</v>
          </cell>
          <cell r="DV248">
            <v>-0.12388024883359283</v>
          </cell>
          <cell r="DW248">
            <v>0.17259809588575314</v>
          </cell>
          <cell r="DY248">
            <v>-9.2997254766655435E-2</v>
          </cell>
          <cell r="DZ248">
            <v>-6.8416396067586316E-2</v>
          </cell>
          <cell r="EA248">
            <v>-3.0015316281207127E-2</v>
          </cell>
          <cell r="EB248">
            <v>6.2980393897167586E-2</v>
          </cell>
          <cell r="EC248">
            <v>-2.1515170890541224E-2</v>
          </cell>
          <cell r="EE248">
            <v>0.1548150540234472</v>
          </cell>
          <cell r="EF248">
            <v>8.2889935034567541E-2</v>
          </cell>
          <cell r="EG248">
            <v>-1.4723910460974765E-2</v>
          </cell>
          <cell r="EH248">
            <v>-0.37279106477723922</v>
          </cell>
          <cell r="EI248">
            <v>-8.7937342590888701E-2</v>
          </cell>
          <cell r="EK248">
            <v>-0.24314561778925936</v>
          </cell>
          <cell r="EL248">
            <v>-0.32465391751946104</v>
          </cell>
          <cell r="EM248">
            <v>-0.28349183065344974</v>
          </cell>
          <cell r="EN248">
            <v>-0.51511360619804369</v>
          </cell>
          <cell r="EO248">
            <v>-0.34263401406371774</v>
          </cell>
          <cell r="EQ248">
            <v>0.12025062273789056</v>
          </cell>
          <cell r="ER248">
            <v>1.6240027372855348E-2</v>
          </cell>
          <cell r="ES248">
            <v>5.3200171201751578E-2</v>
          </cell>
          <cell r="ET248">
            <v>-0.2860923811644589</v>
          </cell>
          <cell r="EU248">
            <v>-1.2209409439846164E-3</v>
          </cell>
          <cell r="EW248">
            <v>0.23892908850970174</v>
          </cell>
          <cell r="EX248">
            <v>0.1615045084227551</v>
          </cell>
          <cell r="EY248">
            <v>0.20243174133559938</v>
          </cell>
          <cell r="EZ248">
            <v>-8.7774254523421469E-2</v>
          </cell>
          <cell r="FA248">
            <v>0.16355375828831731</v>
          </cell>
        </row>
        <row r="249">
          <cell r="C249" t="str">
            <v>-</v>
          </cell>
          <cell r="D249" t="str">
            <v>-</v>
          </cell>
          <cell r="E249" t="str">
            <v>-</v>
          </cell>
          <cell r="F249" t="str">
            <v>-</v>
          </cell>
          <cell r="G249" t="str">
            <v>-</v>
          </cell>
          <cell r="H249" t="str">
            <v>-</v>
          </cell>
          <cell r="I249" t="str">
            <v>-</v>
          </cell>
          <cell r="J249" t="str">
            <v>-</v>
          </cell>
          <cell r="K249" t="str">
            <v>-</v>
          </cell>
          <cell r="L249" t="str">
            <v>-</v>
          </cell>
          <cell r="M249" t="str">
            <v>-</v>
          </cell>
          <cell r="O249" t="str">
            <v>-</v>
          </cell>
          <cell r="P249" t="str">
            <v>-</v>
          </cell>
          <cell r="Q249" t="str">
            <v>-</v>
          </cell>
          <cell r="R249" t="str">
            <v>-</v>
          </cell>
          <cell r="S249" t="str">
            <v>-</v>
          </cell>
          <cell r="U249" t="str">
            <v>-</v>
          </cell>
          <cell r="V249" t="str">
            <v>-</v>
          </cell>
          <cell r="W249" t="str">
            <v>-</v>
          </cell>
          <cell r="X249" t="str">
            <v>-</v>
          </cell>
          <cell r="Y249" t="str">
            <v>-</v>
          </cell>
          <cell r="AA249" t="str">
            <v>-</v>
          </cell>
          <cell r="AB249" t="str">
            <v>-</v>
          </cell>
          <cell r="AC249" t="str">
            <v>-</v>
          </cell>
          <cell r="AD249" t="str">
            <v>-</v>
          </cell>
          <cell r="AE249" t="str">
            <v>-</v>
          </cell>
          <cell r="AG249">
            <v>0.41019893137476715</v>
          </cell>
          <cell r="AH249">
            <v>0.3476025455232814</v>
          </cell>
          <cell r="AI249">
            <v>0.34638965191832605</v>
          </cell>
          <cell r="AJ249">
            <v>0.34177152313552428</v>
          </cell>
          <cell r="AK249">
            <v>0.35923103147846525</v>
          </cell>
          <cell r="AM249">
            <v>0.29552809105247957</v>
          </cell>
          <cell r="AN249">
            <v>0.32421286901878665</v>
          </cell>
          <cell r="AO249">
            <v>0.30268418174309986</v>
          </cell>
          <cell r="AP249">
            <v>0.30667118699548168</v>
          </cell>
          <cell r="AQ249">
            <v>0.30734171740193061</v>
          </cell>
          <cell r="AS249">
            <v>0.27161545261938502</v>
          </cell>
          <cell r="AT249">
            <v>0.27170044488383582</v>
          </cell>
          <cell r="AU249">
            <v>0.29269734542388903</v>
          </cell>
          <cell r="AV249">
            <v>0.24763357549296794</v>
          </cell>
          <cell r="AW249">
            <v>0.27002452330481375</v>
          </cell>
          <cell r="AY249">
            <v>0.25756538285774222</v>
          </cell>
          <cell r="AZ249">
            <v>0.21164391358549128</v>
          </cell>
          <cell r="BA249">
            <v>0.20162165816336675</v>
          </cell>
          <cell r="BB249">
            <v>0.13725419892124191</v>
          </cell>
          <cell r="BC249">
            <v>0.19849990247989768</v>
          </cell>
          <cell r="BE249">
            <v>4.5834832566440387E-3</v>
          </cell>
          <cell r="BF249">
            <v>9.5520383868890057E-3</v>
          </cell>
          <cell r="BG249">
            <v>-4.4259414309021583E-2</v>
          </cell>
          <cell r="BH249">
            <v>-2.107101720992266E-3</v>
          </cell>
          <cell r="BI249">
            <v>-8.3869744346152242E-3</v>
          </cell>
          <cell r="BK249">
            <v>7.3336772755036028E-2</v>
          </cell>
          <cell r="BL249">
            <v>8.2694479279565636E-2</v>
          </cell>
          <cell r="BM249">
            <v>0.15997631570746429</v>
          </cell>
          <cell r="BN249">
            <v>0.1220181582852311</v>
          </cell>
          <cell r="BO249">
            <v>0.10992600493300464</v>
          </cell>
          <cell r="BQ249">
            <v>0.14254143646408846</v>
          </cell>
          <cell r="BR249">
            <v>0.16771488469601681</v>
          </cell>
          <cell r="BS249">
            <v>0.17014925373134338</v>
          </cell>
          <cell r="BT249">
            <v>0.13103059883611778</v>
          </cell>
          <cell r="BU249">
            <v>0.15259327123733901</v>
          </cell>
          <cell r="BW249">
            <v>0.13733075435203101</v>
          </cell>
          <cell r="BX249">
            <v>0.12387791741472176</v>
          </cell>
          <cell r="BY249">
            <v>0.30272108843537415</v>
          </cell>
          <cell r="BZ249">
            <v>0.4033195020746887</v>
          </cell>
          <cell r="CA249">
            <v>0.24773680724221681</v>
          </cell>
          <cell r="CC249">
            <v>0.39540816326530615</v>
          </cell>
          <cell r="CD249">
            <v>0.32667731629392982</v>
          </cell>
          <cell r="CE249">
            <v>0.1533942558746737</v>
          </cell>
          <cell r="CF249">
            <v>0.1584861028976936</v>
          </cell>
          <cell r="CG249">
            <v>0.24367368607326134</v>
          </cell>
          <cell r="CI249">
            <v>0.22547227300426576</v>
          </cell>
          <cell r="CJ249">
            <v>0.24021673690547862</v>
          </cell>
          <cell r="CK249">
            <v>0.21279003961516696</v>
          </cell>
          <cell r="CL249">
            <v>0.187850944359367</v>
          </cell>
          <cell r="CM249">
            <v>0.21528173022196917</v>
          </cell>
          <cell r="CO249">
            <v>0.21680755842864241</v>
          </cell>
          <cell r="CP249">
            <v>0.23398058252427179</v>
          </cell>
          <cell r="CQ249">
            <v>0.23471768548763405</v>
          </cell>
          <cell r="CR249">
            <v>0.23420713364847434</v>
          </cell>
          <cell r="CS249">
            <v>0.23018381922491504</v>
          </cell>
          <cell r="CU249">
            <v>0.2370249284838577</v>
          </cell>
          <cell r="CV249">
            <v>0.15263571990558611</v>
          </cell>
          <cell r="CW249">
            <v>0.12169312169312163</v>
          </cell>
          <cell r="CX249">
            <v>6.9637883008356605E-2</v>
          </cell>
          <cell r="CY249">
            <v>0.14181022175692393</v>
          </cell>
          <cell r="DA249">
            <v>3.2705649157581673E-2</v>
          </cell>
          <cell r="DB249">
            <v>0.11296928327645062</v>
          </cell>
          <cell r="DC249">
            <v>0.11960916442048508</v>
          </cell>
          <cell r="DE249">
            <v>9.8357922814036769E-2</v>
          </cell>
          <cell r="DG249">
            <v>0.11164427383237374</v>
          </cell>
          <cell r="DH249">
            <v>0.13830113462128191</v>
          </cell>
          <cell r="DI249">
            <v>0.13030394222088471</v>
          </cell>
          <cell r="DJ249">
            <v>0.14738967406980108</v>
          </cell>
          <cell r="DK249">
            <v>0.13235182514988231</v>
          </cell>
          <cell r="DM249">
            <v>0.16115107913669058</v>
          </cell>
          <cell r="DN249">
            <v>7.6508620689655249E-2</v>
          </cell>
          <cell r="DO249">
            <v>8.3067092651757157E-2</v>
          </cell>
          <cell r="DP249">
            <v>4.5751633986928164E-2</v>
          </cell>
          <cell r="DQ249">
            <v>8.9672273976274974E-2</v>
          </cell>
          <cell r="DS249">
            <v>2.7261462205700138E-2</v>
          </cell>
          <cell r="DT249">
            <v>6.7067067067066999E-2</v>
          </cell>
          <cell r="DU249">
            <v>6.7846607669616477E-2</v>
          </cell>
          <cell r="DV249">
            <v>5.8653846153846168E-2</v>
          </cell>
          <cell r="DW249">
            <v>5.5230949012854413E-2</v>
          </cell>
          <cell r="DY249">
            <v>6.9240048250904795E-2</v>
          </cell>
          <cell r="DZ249">
            <v>5.9333958724202551E-2</v>
          </cell>
          <cell r="EA249">
            <v>5.0874769797421671E-2</v>
          </cell>
          <cell r="EB249">
            <v>6.607629427792916E-2</v>
          </cell>
          <cell r="EC249">
            <v>6.1316080899924241E-2</v>
          </cell>
          <cell r="EE249">
            <v>6.746389891696758E-2</v>
          </cell>
          <cell r="EF249">
            <v>5.6674784148771362E-2</v>
          </cell>
          <cell r="EG249">
            <v>2.168674698795181E-2</v>
          </cell>
          <cell r="EH249">
            <v>-1.49094781682646E-3</v>
          </cell>
          <cell r="EI249">
            <v>3.5531879839639791E-2</v>
          </cell>
          <cell r="EK249">
            <v>-7.1866413020502673E-3</v>
          </cell>
          <cell r="EL249">
            <v>-1.8856065367693242E-2</v>
          </cell>
          <cell r="EM249">
            <v>1.2011149228130513E-2</v>
          </cell>
          <cell r="EN249">
            <v>1.9658575085324426E-2</v>
          </cell>
          <cell r="EO249">
            <v>1.2823186253712038E-3</v>
          </cell>
          <cell r="EQ249">
            <v>2.7464596976793709E-2</v>
          </cell>
          <cell r="ER249">
            <v>2.2383501550288454E-2</v>
          </cell>
          <cell r="ES249">
            <v>1.1331678468480932E-2</v>
          </cell>
          <cell r="ET249">
            <v>-4.4414310692852954E-3</v>
          </cell>
          <cell r="EU249">
            <v>1.4092988453780597E-2</v>
          </cell>
          <cell r="EW249">
            <v>-1.2871992574090108E-2</v>
          </cell>
          <cell r="EX249">
            <v>-1.4089497161773545E-2</v>
          </cell>
          <cell r="EY249">
            <v>-1.5902317530865018E-2</v>
          </cell>
          <cell r="EZ249">
            <v>-1.7694328567992579E-2</v>
          </cell>
          <cell r="FA249">
            <v>-1.5130586536478252E-2</v>
          </cell>
        </row>
        <row r="250"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0</v>
          </cell>
          <cell r="S250">
            <v>0</v>
          </cell>
          <cell r="U250">
            <v>0</v>
          </cell>
          <cell r="V250">
            <v>0</v>
          </cell>
          <cell r="W250">
            <v>0</v>
          </cell>
          <cell r="X250">
            <v>0</v>
          </cell>
          <cell r="Y250">
            <v>0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0</v>
          </cell>
          <cell r="AQ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0</v>
          </cell>
          <cell r="BK250">
            <v>0</v>
          </cell>
          <cell r="BL250">
            <v>0</v>
          </cell>
          <cell r="BM250">
            <v>0</v>
          </cell>
          <cell r="BN250">
            <v>0</v>
          </cell>
          <cell r="BO250">
            <v>0</v>
          </cell>
          <cell r="BQ250">
            <v>0</v>
          </cell>
          <cell r="BR250">
            <v>0</v>
          </cell>
          <cell r="BS250">
            <v>0</v>
          </cell>
          <cell r="BT250">
            <v>0</v>
          </cell>
          <cell r="BU250">
            <v>0</v>
          </cell>
          <cell r="BW250">
            <v>0</v>
          </cell>
          <cell r="BX250">
            <v>0</v>
          </cell>
          <cell r="BY250">
            <v>0</v>
          </cell>
          <cell r="BZ250">
            <v>0</v>
          </cell>
          <cell r="CA250">
            <v>0</v>
          </cell>
          <cell r="CC250">
            <v>0</v>
          </cell>
          <cell r="CD250">
            <v>0</v>
          </cell>
          <cell r="CE250">
            <v>0</v>
          </cell>
          <cell r="CF250">
            <v>0</v>
          </cell>
          <cell r="CG250">
            <v>0</v>
          </cell>
          <cell r="CI250">
            <v>0</v>
          </cell>
          <cell r="CJ250">
            <v>0</v>
          </cell>
          <cell r="CK250">
            <v>0</v>
          </cell>
          <cell r="CL250">
            <v>0</v>
          </cell>
          <cell r="CM250">
            <v>0</v>
          </cell>
          <cell r="CO250">
            <v>0</v>
          </cell>
          <cell r="CP250">
            <v>0</v>
          </cell>
          <cell r="CQ250">
            <v>0</v>
          </cell>
          <cell r="CR250">
            <v>0</v>
          </cell>
          <cell r="CS250">
            <v>0</v>
          </cell>
          <cell r="CU250">
            <v>0</v>
          </cell>
          <cell r="CV250">
            <v>0</v>
          </cell>
          <cell r="CW250">
            <v>0</v>
          </cell>
          <cell r="CX250">
            <v>0</v>
          </cell>
          <cell r="CY250">
            <v>0</v>
          </cell>
          <cell r="DA250">
            <v>0</v>
          </cell>
          <cell r="DB250">
            <v>0</v>
          </cell>
          <cell r="DC250">
            <v>0</v>
          </cell>
          <cell r="DE250">
            <v>0</v>
          </cell>
          <cell r="DG250">
            <v>0</v>
          </cell>
          <cell r="DH250">
            <v>0</v>
          </cell>
          <cell r="DI250">
            <v>0</v>
          </cell>
          <cell r="DJ250">
            <v>0</v>
          </cell>
          <cell r="DK250">
            <v>0</v>
          </cell>
          <cell r="DM250">
            <v>0</v>
          </cell>
          <cell r="DN250">
            <v>0</v>
          </cell>
          <cell r="DO250">
            <v>0</v>
          </cell>
          <cell r="DP250">
            <v>0</v>
          </cell>
          <cell r="DQ250">
            <v>0</v>
          </cell>
          <cell r="DS250">
            <v>0</v>
          </cell>
          <cell r="DT250">
            <v>0</v>
          </cell>
          <cell r="DU250">
            <v>0</v>
          </cell>
          <cell r="DV250">
            <v>0</v>
          </cell>
          <cell r="DW250">
            <v>0</v>
          </cell>
          <cell r="DY250">
            <v>0</v>
          </cell>
          <cell r="DZ250">
            <v>0</v>
          </cell>
          <cell r="EA250">
            <v>0</v>
          </cell>
          <cell r="EB250">
            <v>0</v>
          </cell>
          <cell r="EC250">
            <v>0</v>
          </cell>
          <cell r="EE250">
            <v>0</v>
          </cell>
          <cell r="EF250">
            <v>0</v>
          </cell>
          <cell r="EG250">
            <v>0</v>
          </cell>
          <cell r="EH250">
            <v>0</v>
          </cell>
          <cell r="EI250">
            <v>0</v>
          </cell>
          <cell r="EK250">
            <v>0</v>
          </cell>
          <cell r="EL250">
            <v>0</v>
          </cell>
          <cell r="EM250">
            <v>0</v>
          </cell>
          <cell r="EN250">
            <v>0</v>
          </cell>
          <cell r="EO250">
            <v>0</v>
          </cell>
          <cell r="EQ250">
            <v>0</v>
          </cell>
          <cell r="ER250">
            <v>0</v>
          </cell>
          <cell r="ES250">
            <v>0</v>
          </cell>
          <cell r="ET250">
            <v>0</v>
          </cell>
          <cell r="EU250">
            <v>0</v>
          </cell>
          <cell r="EW250">
            <v>0</v>
          </cell>
          <cell r="EX250">
            <v>0</v>
          </cell>
          <cell r="EY250">
            <v>0</v>
          </cell>
          <cell r="EZ250">
            <v>0</v>
          </cell>
          <cell r="FA250">
            <v>0</v>
          </cell>
        </row>
        <row r="251"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0</v>
          </cell>
          <cell r="S251">
            <v>0</v>
          </cell>
          <cell r="U251">
            <v>0</v>
          </cell>
          <cell r="V251">
            <v>0</v>
          </cell>
          <cell r="W251">
            <v>0</v>
          </cell>
          <cell r="X251">
            <v>0</v>
          </cell>
          <cell r="Y251">
            <v>0</v>
          </cell>
          <cell r="AA251">
            <v>0</v>
          </cell>
          <cell r="AB251">
            <v>0</v>
          </cell>
          <cell r="AC251">
            <v>0</v>
          </cell>
          <cell r="AD251">
            <v>0</v>
          </cell>
          <cell r="AE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0</v>
          </cell>
          <cell r="AQ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0</v>
          </cell>
          <cell r="BK251">
            <v>0</v>
          </cell>
          <cell r="BL251">
            <v>0</v>
          </cell>
          <cell r="BM251">
            <v>0</v>
          </cell>
          <cell r="BN251">
            <v>0</v>
          </cell>
          <cell r="BO251">
            <v>0</v>
          </cell>
          <cell r="BQ251">
            <v>0</v>
          </cell>
          <cell r="BR251">
            <v>0</v>
          </cell>
          <cell r="BS251">
            <v>0</v>
          </cell>
          <cell r="BT251">
            <v>0</v>
          </cell>
          <cell r="BU251">
            <v>0</v>
          </cell>
          <cell r="BW251">
            <v>0</v>
          </cell>
          <cell r="BX251">
            <v>0</v>
          </cell>
          <cell r="BY251">
            <v>0</v>
          </cell>
          <cell r="BZ251">
            <v>0</v>
          </cell>
          <cell r="CA251">
            <v>0</v>
          </cell>
          <cell r="CC251">
            <v>0</v>
          </cell>
          <cell r="CD251">
            <v>0</v>
          </cell>
          <cell r="CE251">
            <v>0</v>
          </cell>
          <cell r="CF251">
            <v>0</v>
          </cell>
          <cell r="CG251">
            <v>0</v>
          </cell>
          <cell r="CI251">
            <v>0</v>
          </cell>
          <cell r="CJ251">
            <v>0</v>
          </cell>
          <cell r="CK251">
            <v>0</v>
          </cell>
          <cell r="CL251">
            <v>0</v>
          </cell>
          <cell r="CM251">
            <v>0</v>
          </cell>
          <cell r="CO251">
            <v>0</v>
          </cell>
          <cell r="CP251">
            <v>0</v>
          </cell>
          <cell r="CQ251">
            <v>0</v>
          </cell>
          <cell r="CR251">
            <v>0</v>
          </cell>
          <cell r="CS251">
            <v>0</v>
          </cell>
          <cell r="CU251">
            <v>0</v>
          </cell>
          <cell r="CV251">
            <v>0</v>
          </cell>
          <cell r="CW251">
            <v>0</v>
          </cell>
          <cell r="CX251">
            <v>0</v>
          </cell>
          <cell r="CY251">
            <v>0</v>
          </cell>
          <cell r="DA251">
            <v>0</v>
          </cell>
          <cell r="DB251">
            <v>0</v>
          </cell>
          <cell r="DC251">
            <v>0</v>
          </cell>
          <cell r="DE251">
            <v>0</v>
          </cell>
          <cell r="DG251">
            <v>0</v>
          </cell>
          <cell r="DH251">
            <v>0</v>
          </cell>
          <cell r="DI251">
            <v>0</v>
          </cell>
          <cell r="DJ251">
            <v>0</v>
          </cell>
          <cell r="DK251">
            <v>0</v>
          </cell>
          <cell r="DM251">
            <v>-4.6339202965709037E-2</v>
          </cell>
          <cell r="DN251">
            <v>-0.14298561151079137</v>
          </cell>
          <cell r="DO251">
            <v>-0.16038647342995171</v>
          </cell>
          <cell r="DP251">
            <v>-0.15557476231633538</v>
          </cell>
          <cell r="DQ251">
            <v>-0.12662559890485969</v>
          </cell>
          <cell r="DS251">
            <v>-0.24295432458697763</v>
          </cell>
          <cell r="DT251">
            <v>-0.22980062959076597</v>
          </cell>
          <cell r="DU251">
            <v>-0.22784810126582278</v>
          </cell>
          <cell r="DV251">
            <v>-0.13101330603889461</v>
          </cell>
          <cell r="DW251">
            <v>-0.20768025078369901</v>
          </cell>
          <cell r="DY251">
            <v>-0.14120667522464703</v>
          </cell>
          <cell r="DZ251">
            <v>-2.7247956403269713E-2</v>
          </cell>
          <cell r="EA251">
            <v>8.0476900149031305E-2</v>
          </cell>
          <cell r="EB251">
            <v>2.4734982332155431E-2</v>
          </cell>
          <cell r="EC251">
            <v>-1.8133860863831175E-2</v>
          </cell>
          <cell r="EE251">
            <v>-0.13602391629297461</v>
          </cell>
          <cell r="EF251">
            <v>4.2016806722688926E-3</v>
          </cell>
          <cell r="EG251">
            <v>-1.7931034482758568E-2</v>
          </cell>
          <cell r="EH251">
            <v>-5.9770114942528707E-2</v>
          </cell>
          <cell r="EI251">
            <v>-5.1376762928139641E-2</v>
          </cell>
          <cell r="EK251">
            <v>-1.384083044982698E-2</v>
          </cell>
          <cell r="EL251">
            <v>-0.20083682008368198</v>
          </cell>
          <cell r="EM251">
            <v>0</v>
          </cell>
          <cell r="EN251">
            <v>0</v>
          </cell>
          <cell r="EO251">
            <v>0</v>
          </cell>
          <cell r="EQ251">
            <v>0</v>
          </cell>
          <cell r="ER251">
            <v>0</v>
          </cell>
          <cell r="ES251">
            <v>0</v>
          </cell>
          <cell r="ET251">
            <v>0</v>
          </cell>
          <cell r="EU251">
            <v>0</v>
          </cell>
          <cell r="EW251">
            <v>0</v>
          </cell>
          <cell r="EX251">
            <v>0</v>
          </cell>
          <cell r="EY251">
            <v>0</v>
          </cell>
          <cell r="EZ251">
            <v>0</v>
          </cell>
          <cell r="FA251">
            <v>0</v>
          </cell>
        </row>
        <row r="252"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0</v>
          </cell>
          <cell r="S252">
            <v>0</v>
          </cell>
          <cell r="U252">
            <v>0</v>
          </cell>
          <cell r="V252">
            <v>0</v>
          </cell>
          <cell r="W252">
            <v>0</v>
          </cell>
          <cell r="X252">
            <v>0</v>
          </cell>
          <cell r="Y252">
            <v>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M252">
            <v>0</v>
          </cell>
          <cell r="AN252">
            <v>0</v>
          </cell>
          <cell r="AO252">
            <v>0</v>
          </cell>
          <cell r="AP252">
            <v>0</v>
          </cell>
          <cell r="AQ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0</v>
          </cell>
          <cell r="BK252">
            <v>0</v>
          </cell>
          <cell r="BL252">
            <v>0</v>
          </cell>
          <cell r="BM252">
            <v>0</v>
          </cell>
          <cell r="BN252">
            <v>0</v>
          </cell>
          <cell r="BO252">
            <v>0</v>
          </cell>
          <cell r="BQ252">
            <v>0</v>
          </cell>
          <cell r="BR252">
            <v>0</v>
          </cell>
          <cell r="BS252">
            <v>0</v>
          </cell>
          <cell r="BT252">
            <v>0</v>
          </cell>
          <cell r="BU252">
            <v>0</v>
          </cell>
          <cell r="BW252">
            <v>0</v>
          </cell>
          <cell r="BX252">
            <v>0</v>
          </cell>
          <cell r="BY252">
            <v>0</v>
          </cell>
          <cell r="BZ252">
            <v>0</v>
          </cell>
          <cell r="CA252">
            <v>0</v>
          </cell>
          <cell r="CC252">
            <v>0</v>
          </cell>
          <cell r="CD252">
            <v>0</v>
          </cell>
          <cell r="CE252">
            <v>0</v>
          </cell>
          <cell r="CF252">
            <v>0</v>
          </cell>
          <cell r="CG252">
            <v>0</v>
          </cell>
          <cell r="CI252">
            <v>0</v>
          </cell>
          <cell r="CJ252">
            <v>0</v>
          </cell>
          <cell r="CK252">
            <v>0</v>
          </cell>
          <cell r="CL252">
            <v>0</v>
          </cell>
          <cell r="CM252">
            <v>0</v>
          </cell>
          <cell r="CO252">
            <v>0</v>
          </cell>
          <cell r="CP252">
            <v>0</v>
          </cell>
          <cell r="CQ252">
            <v>0</v>
          </cell>
          <cell r="CR252">
            <v>0</v>
          </cell>
          <cell r="CS252">
            <v>0</v>
          </cell>
          <cell r="CU252">
            <v>0</v>
          </cell>
          <cell r="CV252">
            <v>0</v>
          </cell>
          <cell r="CW252">
            <v>0</v>
          </cell>
          <cell r="CX252">
            <v>0</v>
          </cell>
          <cell r="CY252">
            <v>0</v>
          </cell>
          <cell r="DA252">
            <v>0</v>
          </cell>
          <cell r="DB252">
            <v>0</v>
          </cell>
          <cell r="DC252">
            <v>0</v>
          </cell>
          <cell r="DE252">
            <v>0</v>
          </cell>
          <cell r="DG252">
            <v>0</v>
          </cell>
          <cell r="DH252">
            <v>0</v>
          </cell>
          <cell r="DI252">
            <v>0</v>
          </cell>
          <cell r="DJ252">
            <v>0</v>
          </cell>
          <cell r="DK252">
            <v>0</v>
          </cell>
          <cell r="DM252">
            <v>-3.5294117647058809E-2</v>
          </cell>
          <cell r="DN252">
            <v>-7.5801749271137031E-2</v>
          </cell>
          <cell r="DO252">
            <v>-7.0121951219512146E-2</v>
          </cell>
          <cell r="DP252">
            <v>-0.12081513828238721</v>
          </cell>
          <cell r="DQ252">
            <v>-7.5673680324843118E-2</v>
          </cell>
          <cell r="DS252">
            <v>-0.11890243902439024</v>
          </cell>
          <cell r="DT252">
            <v>-6.9400630914826511E-2</v>
          </cell>
          <cell r="DU252">
            <v>-6.2295081967213117E-2</v>
          </cell>
          <cell r="DV252">
            <v>-2.9801324503311299E-2</v>
          </cell>
          <cell r="DW252">
            <v>-7.1086261980830678E-2</v>
          </cell>
          <cell r="DY252">
            <v>3.2871972318339049E-2</v>
          </cell>
          <cell r="DZ252">
            <v>3.8983050847457568E-2</v>
          </cell>
          <cell r="EA252">
            <v>4.8951048951048959E-2</v>
          </cell>
          <cell r="EB252">
            <v>1.8771331058020424E-2</v>
          </cell>
          <cell r="EC252">
            <v>3.4823731728288898E-2</v>
          </cell>
          <cell r="EE252">
            <v>-1.5075376884422065E-2</v>
          </cell>
          <cell r="EF252">
            <v>9.7879282218598096E-3</v>
          </cell>
          <cell r="EG252">
            <v>-2.0000000000000018E-2</v>
          </cell>
          <cell r="EH252">
            <v>-1.1725293132328285E-2</v>
          </cell>
          <cell r="EI252">
            <v>-9.1400083090984463E-3</v>
          </cell>
          <cell r="EK252">
            <v>-4.9319727891156462E-2</v>
          </cell>
          <cell r="EL252">
            <v>-0.11147011308562194</v>
          </cell>
          <cell r="EM252">
            <v>0</v>
          </cell>
          <cell r="EN252">
            <v>0</v>
          </cell>
          <cell r="EO252">
            <v>0</v>
          </cell>
          <cell r="EQ252">
            <v>0</v>
          </cell>
          <cell r="ER252">
            <v>0</v>
          </cell>
          <cell r="ES252">
            <v>0</v>
          </cell>
          <cell r="ET252">
            <v>0</v>
          </cell>
          <cell r="EU252">
            <v>0</v>
          </cell>
          <cell r="EW252">
            <v>0</v>
          </cell>
          <cell r="EX252">
            <v>0</v>
          </cell>
          <cell r="EY252">
            <v>0</v>
          </cell>
          <cell r="EZ252">
            <v>0</v>
          </cell>
          <cell r="FA252">
            <v>0</v>
          </cell>
        </row>
        <row r="253"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0</v>
          </cell>
          <cell r="S253">
            <v>0</v>
          </cell>
          <cell r="U253">
            <v>0</v>
          </cell>
          <cell r="V253">
            <v>0</v>
          </cell>
          <cell r="W253">
            <v>0</v>
          </cell>
          <cell r="X253">
            <v>0</v>
          </cell>
          <cell r="Y253">
            <v>0</v>
          </cell>
          <cell r="AA253">
            <v>0</v>
          </cell>
          <cell r="AB253">
            <v>0</v>
          </cell>
          <cell r="AC253">
            <v>0</v>
          </cell>
          <cell r="AD253">
            <v>0</v>
          </cell>
          <cell r="AE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M253">
            <v>0</v>
          </cell>
          <cell r="AN253">
            <v>0</v>
          </cell>
          <cell r="AO253">
            <v>0</v>
          </cell>
          <cell r="AP253">
            <v>0</v>
          </cell>
          <cell r="AQ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0</v>
          </cell>
          <cell r="BC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0</v>
          </cell>
          <cell r="BK253">
            <v>0</v>
          </cell>
          <cell r="BL253">
            <v>0</v>
          </cell>
          <cell r="BM253">
            <v>0</v>
          </cell>
          <cell r="BN253">
            <v>0</v>
          </cell>
          <cell r="BO253">
            <v>0</v>
          </cell>
          <cell r="BQ253">
            <v>0</v>
          </cell>
          <cell r="BR253">
            <v>0</v>
          </cell>
          <cell r="BS253">
            <v>0</v>
          </cell>
          <cell r="BT253">
            <v>0</v>
          </cell>
          <cell r="BU253">
            <v>0</v>
          </cell>
          <cell r="BW253">
            <v>0</v>
          </cell>
          <cell r="BX253">
            <v>0</v>
          </cell>
          <cell r="BY253">
            <v>0</v>
          </cell>
          <cell r="BZ253">
            <v>0</v>
          </cell>
          <cell r="CA253">
            <v>0</v>
          </cell>
          <cell r="CC253">
            <v>0</v>
          </cell>
          <cell r="CD253">
            <v>0</v>
          </cell>
          <cell r="CE253">
            <v>0</v>
          </cell>
          <cell r="CF253">
            <v>0</v>
          </cell>
          <cell r="CG253">
            <v>0</v>
          </cell>
          <cell r="CI253">
            <v>0</v>
          </cell>
          <cell r="CJ253">
            <v>0</v>
          </cell>
          <cell r="CK253">
            <v>0</v>
          </cell>
          <cell r="CL253">
            <v>0</v>
          </cell>
          <cell r="CM253">
            <v>0</v>
          </cell>
          <cell r="CO253">
            <v>0</v>
          </cell>
          <cell r="CP253">
            <v>0</v>
          </cell>
          <cell r="CQ253">
            <v>0</v>
          </cell>
          <cell r="CR253">
            <v>0</v>
          </cell>
          <cell r="CS253">
            <v>0</v>
          </cell>
          <cell r="CU253">
            <v>0</v>
          </cell>
          <cell r="CV253">
            <v>0</v>
          </cell>
          <cell r="CW253">
            <v>0</v>
          </cell>
          <cell r="CX253">
            <v>0</v>
          </cell>
          <cell r="CY253">
            <v>0</v>
          </cell>
          <cell r="DA253">
            <v>0</v>
          </cell>
          <cell r="DB253">
            <v>0</v>
          </cell>
          <cell r="DC253">
            <v>0</v>
          </cell>
          <cell r="DE253">
            <v>0</v>
          </cell>
          <cell r="DG253">
            <v>0</v>
          </cell>
          <cell r="DH253">
            <v>0</v>
          </cell>
          <cell r="DI253">
            <v>0</v>
          </cell>
          <cell r="DJ253">
            <v>0</v>
          </cell>
          <cell r="DK253">
            <v>0</v>
          </cell>
          <cell r="DM253">
            <v>0</v>
          </cell>
          <cell r="DN253">
            <v>0</v>
          </cell>
          <cell r="DO253">
            <v>0</v>
          </cell>
          <cell r="DP253">
            <v>0</v>
          </cell>
          <cell r="DQ253">
            <v>0</v>
          </cell>
          <cell r="DS253">
            <v>0</v>
          </cell>
          <cell r="DT253">
            <v>0</v>
          </cell>
          <cell r="DU253">
            <v>0</v>
          </cell>
          <cell r="DV253">
            <v>0</v>
          </cell>
          <cell r="DW253">
            <v>0</v>
          </cell>
          <cell r="DY253">
            <v>0</v>
          </cell>
          <cell r="DZ253">
            <v>0</v>
          </cell>
          <cell r="EA253">
            <v>0</v>
          </cell>
          <cell r="EB253">
            <v>0</v>
          </cell>
          <cell r="EC253">
            <v>0</v>
          </cell>
          <cell r="EE253">
            <v>0</v>
          </cell>
          <cell r="EF253">
            <v>0</v>
          </cell>
          <cell r="EG253">
            <v>0</v>
          </cell>
          <cell r="EH253">
            <v>0</v>
          </cell>
          <cell r="EI253">
            <v>0</v>
          </cell>
          <cell r="EK253">
            <v>0</v>
          </cell>
          <cell r="EL253">
            <v>0</v>
          </cell>
          <cell r="EM253">
            <v>0</v>
          </cell>
          <cell r="EN253">
            <v>0</v>
          </cell>
          <cell r="EO253">
            <v>0</v>
          </cell>
          <cell r="EQ253">
            <v>0</v>
          </cell>
          <cell r="ER253">
            <v>0</v>
          </cell>
          <cell r="ES253">
            <v>0</v>
          </cell>
          <cell r="ET253">
            <v>0</v>
          </cell>
          <cell r="EU253">
            <v>0</v>
          </cell>
          <cell r="EW253">
            <v>0</v>
          </cell>
          <cell r="EX253">
            <v>0</v>
          </cell>
          <cell r="EY253">
            <v>0</v>
          </cell>
          <cell r="EZ253">
            <v>0</v>
          </cell>
          <cell r="FA253">
            <v>0</v>
          </cell>
        </row>
        <row r="254">
          <cell r="C254" t="str">
            <v>-</v>
          </cell>
          <cell r="D254" t="str">
            <v>-</v>
          </cell>
          <cell r="E254" t="str">
            <v>-</v>
          </cell>
          <cell r="F254" t="str">
            <v>-</v>
          </cell>
          <cell r="G254" t="str">
            <v>-</v>
          </cell>
          <cell r="H254">
            <v>1.1632019614491771</v>
          </cell>
          <cell r="I254">
            <v>0.51821305841924392</v>
          </cell>
          <cell r="J254">
            <v>0.51876295537394879</v>
          </cell>
          <cell r="K254">
            <v>0.36483433734939763</v>
          </cell>
          <cell r="L254">
            <v>0.33524904214559381</v>
          </cell>
          <cell r="M254">
            <v>0.29432855093256816</v>
          </cell>
          <cell r="O254" t="str">
            <v>-</v>
          </cell>
          <cell r="P254" t="str">
            <v>-</v>
          </cell>
          <cell r="Q254" t="str">
            <v>-</v>
          </cell>
          <cell r="R254" t="str">
            <v>-</v>
          </cell>
          <cell r="S254">
            <v>0.50848808453611238</v>
          </cell>
          <cell r="U254">
            <v>0.52565159834197761</v>
          </cell>
          <cell r="V254">
            <v>0.47247005622097316</v>
          </cell>
          <cell r="W254">
            <v>0.45499287246756626</v>
          </cell>
          <cell r="X254">
            <v>0.41767204467659913</v>
          </cell>
          <cell r="Y254">
            <v>0.46231036139903758</v>
          </cell>
          <cell r="AA254">
            <v>0.44143593099148171</v>
          </cell>
          <cell r="AB254">
            <v>0.46277520698885688</v>
          </cell>
          <cell r="AC254">
            <v>0.40202161749191956</v>
          </cell>
          <cell r="AD254">
            <v>0.4466350241105268</v>
          </cell>
          <cell r="AE254">
            <v>0.43811487890107981</v>
          </cell>
          <cell r="AG254">
            <v>0.42014664425445969</v>
          </cell>
          <cell r="AH254">
            <v>0.40803289990722424</v>
          </cell>
          <cell r="AI254">
            <v>0.40545714301848212</v>
          </cell>
          <cell r="AJ254">
            <v>0.43139083656712662</v>
          </cell>
          <cell r="AK254">
            <v>0.4168296710630679</v>
          </cell>
          <cell r="AM254">
            <v>0.37992268244210425</v>
          </cell>
          <cell r="AN254">
            <v>0.3205230117302853</v>
          </cell>
          <cell r="AO254">
            <v>0.27999104025456933</v>
          </cell>
          <cell r="AP254">
            <v>0.21329837188235024</v>
          </cell>
          <cell r="AQ254">
            <v>0.29140217593694406</v>
          </cell>
          <cell r="AS254">
            <v>0.15977715428574335</v>
          </cell>
          <cell r="AT254">
            <v>0.10224712500295641</v>
          </cell>
          <cell r="AU254">
            <v>0.1035059675291703</v>
          </cell>
          <cell r="AV254">
            <v>8.3861174605805999E-2</v>
          </cell>
          <cell r="AW254">
            <v>0.11051805979087859</v>
          </cell>
          <cell r="AY254">
            <v>9.7603900798265419E-2</v>
          </cell>
          <cell r="AZ254">
            <v>0.10279072922492505</v>
          </cell>
          <cell r="BA254">
            <v>0.13432185189715362</v>
          </cell>
          <cell r="BB254">
            <v>5.6528960300928244E-2</v>
          </cell>
          <cell r="BC254">
            <v>9.6595088062988888E-2</v>
          </cell>
          <cell r="BE254">
            <v>2.4526173448834898E-2</v>
          </cell>
          <cell r="BF254">
            <v>-1.014866166838746E-2</v>
          </cell>
          <cell r="BG254">
            <v>-7.4434344745178516E-2</v>
          </cell>
          <cell r="BH254">
            <v>-2.8561088679527336E-2</v>
          </cell>
          <cell r="BI254">
            <v>-2.2808586551674948E-2</v>
          </cell>
          <cell r="BK254">
            <v>-5.7239403917894172E-2</v>
          </cell>
          <cell r="BL254">
            <v>-2.0954366581570905E-2</v>
          </cell>
          <cell r="BM254">
            <v>5.1229132051854309E-2</v>
          </cell>
          <cell r="BN254">
            <v>1.2559705862612347E-2</v>
          </cell>
          <cell r="BO254">
            <v>-4.1665041821508098E-3</v>
          </cell>
          <cell r="BQ254">
            <v>5.5972696245733866E-2</v>
          </cell>
          <cell r="BR254">
            <v>6.4119170984455964E-2</v>
          </cell>
          <cell r="BS254">
            <v>7.0876288659793785E-2</v>
          </cell>
          <cell r="BT254">
            <v>7.2123570907321799E-2</v>
          </cell>
          <cell r="BU254">
            <v>6.6007026138524605E-2</v>
          </cell>
          <cell r="BW254">
            <v>6.7873303167420795E-2</v>
          </cell>
          <cell r="BX254">
            <v>8.6427267194157054E-2</v>
          </cell>
          <cell r="BY254">
            <v>0.2912154031287606</v>
          </cell>
          <cell r="BZ254">
            <v>0.38740782756664771</v>
          </cell>
          <cell r="CA254">
            <v>0.21375661375661381</v>
          </cell>
          <cell r="CC254">
            <v>0.37893462469733663</v>
          </cell>
          <cell r="CD254">
            <v>0.30868347338935576</v>
          </cell>
          <cell r="CE254">
            <v>0.13606710158434288</v>
          </cell>
          <cell r="CF254">
            <v>0.15126737530662315</v>
          </cell>
          <cell r="CG254">
            <v>0.22904471291568074</v>
          </cell>
          <cell r="CI254">
            <v>0.25417032484635649</v>
          </cell>
          <cell r="CJ254">
            <v>0.28809931506849318</v>
          </cell>
          <cell r="CK254">
            <v>0.25471698113207553</v>
          </cell>
          <cell r="CL254">
            <v>0.20809659090909083</v>
          </cell>
          <cell r="CM254">
            <v>0.249189298743413</v>
          </cell>
          <cell r="CO254">
            <v>0.2271613580679035</v>
          </cell>
          <cell r="CP254">
            <v>0.22831505483549352</v>
          </cell>
          <cell r="CQ254">
            <v>0.22752533507682249</v>
          </cell>
          <cell r="CR254">
            <v>0.21604938271604945</v>
          </cell>
          <cell r="CS254">
            <v>0.22446661799302348</v>
          </cell>
          <cell r="CU254">
            <v>0.19395322304620644</v>
          </cell>
          <cell r="CV254">
            <v>9.8755411255411207E-2</v>
          </cell>
          <cell r="CW254">
            <v>6.2050599201065149E-2</v>
          </cell>
          <cell r="CX254">
            <v>0</v>
          </cell>
          <cell r="CY254">
            <v>-4.6217571397427548E-2</v>
          </cell>
          <cell r="DA254">
            <v>-0.21570319240724767</v>
          </cell>
          <cell r="DB254">
            <v>-0.15296198054818744</v>
          </cell>
          <cell r="DC254">
            <v>-8.7254901960784337E-2</v>
          </cell>
          <cell r="DE254">
            <v>-0.10719999999999996</v>
          </cell>
          <cell r="DG254">
            <v>0.17491749174917492</v>
          </cell>
          <cell r="DH254">
            <v>0.23695198329853873</v>
          </cell>
          <cell r="DI254">
            <v>0.23093447905477982</v>
          </cell>
          <cell r="DJ254">
            <v>0.12635379061371843</v>
          </cell>
          <cell r="DK254">
            <v>0.18970814132104463</v>
          </cell>
          <cell r="DM254">
            <v>0.10486891385767794</v>
          </cell>
          <cell r="DN254">
            <v>-4.2194092827003704E-3</v>
          </cell>
          <cell r="DO254">
            <v>-4.0670157068063428E-3</v>
          </cell>
          <cell r="DP254">
            <v>-3.6731009615384669E-2</v>
          </cell>
          <cell r="DQ254">
            <v>1.2158145039810497E-2</v>
          </cell>
          <cell r="DS254">
            <v>-0.15677966101694918</v>
          </cell>
          <cell r="DT254">
            <v>-0.14406779661016944</v>
          </cell>
          <cell r="DU254">
            <v>-0.18078692118872275</v>
          </cell>
          <cell r="DV254">
            <v>-0.18895966983421586</v>
          </cell>
          <cell r="DW254">
            <v>-0.16764092365366545</v>
          </cell>
          <cell r="DY254">
            <v>-7.7386934673366881E-2</v>
          </cell>
          <cell r="DZ254">
            <v>-5.049504950495054E-2</v>
          </cell>
          <cell r="EA254">
            <v>-5.4545454545454564E-2</v>
          </cell>
          <cell r="EB254">
            <v>-3.5897435897435881E-2</v>
          </cell>
          <cell r="EC254">
            <v>-5.4661558109833974E-2</v>
          </cell>
          <cell r="EE254">
            <v>-6.8627450980392135E-2</v>
          </cell>
          <cell r="EF254">
            <v>-2.5026068821689229E-2</v>
          </cell>
          <cell r="EG254">
            <v>-2.9411764705882359E-2</v>
          </cell>
          <cell r="EH254">
            <v>-4.3617021276595724E-2</v>
          </cell>
          <cell r="EI254">
            <v>-4.1610375574169134E-2</v>
          </cell>
          <cell r="EK254">
            <v>8.1871345029240761E-3</v>
          </cell>
          <cell r="EL254">
            <v>-7.9144385026737929E-2</v>
          </cell>
          <cell r="EM254">
            <v>3.5124635024550432E-3</v>
          </cell>
          <cell r="EN254">
            <v>1.8015800550430505E-4</v>
          </cell>
          <cell r="EO254">
            <v>-1.0748185089559326E-2</v>
          </cell>
          <cell r="EQ254">
            <v>2.1831730500163626E-2</v>
          </cell>
          <cell r="ER254">
            <v>1.8959934581030291E-2</v>
          </cell>
          <cell r="ES254">
            <v>6.4043000682612039E-3</v>
          </cell>
          <cell r="ET254">
            <v>5.401003301517715E-3</v>
          </cell>
          <cell r="EU254">
            <v>1.3120858130596602E-2</v>
          </cell>
          <cell r="EW254">
            <v>-1.1280262829627907E-2</v>
          </cell>
          <cell r="EX254">
            <v>-1.1533723507642923E-2</v>
          </cell>
          <cell r="EY254">
            <v>-1.4377388940805425E-2</v>
          </cell>
          <cell r="EZ254">
            <v>-1.7592124001328258E-2</v>
          </cell>
          <cell r="FA254">
            <v>-1.3691027959762625E-2</v>
          </cell>
        </row>
        <row r="255">
          <cell r="C255" t="str">
            <v>-</v>
          </cell>
          <cell r="D255" t="str">
            <v>-</v>
          </cell>
          <cell r="E255" t="str">
            <v>-</v>
          </cell>
          <cell r="F255" t="str">
            <v>-</v>
          </cell>
          <cell r="G255" t="str">
            <v>-</v>
          </cell>
          <cell r="H255" t="str">
            <v>-</v>
          </cell>
          <cell r="I255" t="str">
            <v>-</v>
          </cell>
          <cell r="J255" t="str">
            <v>-</v>
          </cell>
          <cell r="K255" t="str">
            <v>-</v>
          </cell>
          <cell r="L255" t="str">
            <v>-</v>
          </cell>
          <cell r="M255" t="str">
            <v>-</v>
          </cell>
          <cell r="O255" t="str">
            <v>-</v>
          </cell>
          <cell r="P255" t="str">
            <v>-</v>
          </cell>
          <cell r="Q255" t="str">
            <v>-</v>
          </cell>
          <cell r="R255" t="str">
            <v>-</v>
          </cell>
          <cell r="S255" t="str">
            <v>-</v>
          </cell>
          <cell r="U255" t="str">
            <v>-</v>
          </cell>
          <cell r="V255" t="str">
            <v>-</v>
          </cell>
          <cell r="W255" t="str">
            <v>-</v>
          </cell>
          <cell r="X255" t="str">
            <v>-</v>
          </cell>
          <cell r="Y255" t="str">
            <v>-</v>
          </cell>
          <cell r="AA255" t="str">
            <v>-</v>
          </cell>
          <cell r="AB255" t="str">
            <v>-</v>
          </cell>
          <cell r="AC255" t="str">
            <v>-</v>
          </cell>
          <cell r="AD255" t="str">
            <v>-</v>
          </cell>
          <cell r="AE255" t="str">
            <v>-</v>
          </cell>
          <cell r="AG255" t="str">
            <v>-</v>
          </cell>
          <cell r="AH255" t="str">
            <v>-</v>
          </cell>
          <cell r="AI255" t="str">
            <v>-</v>
          </cell>
          <cell r="AJ255" t="str">
            <v>-</v>
          </cell>
          <cell r="AK255" t="str">
            <v>-</v>
          </cell>
          <cell r="AM255" t="str">
            <v>-</v>
          </cell>
          <cell r="AN255" t="str">
            <v>-</v>
          </cell>
          <cell r="AO255" t="str">
            <v>-</v>
          </cell>
          <cell r="AP255" t="str">
            <v>-</v>
          </cell>
          <cell r="AQ255" t="str">
            <v>-</v>
          </cell>
          <cell r="AS255" t="str">
            <v>-</v>
          </cell>
          <cell r="AT255" t="str">
            <v>-</v>
          </cell>
          <cell r="AU255" t="str">
            <v>-</v>
          </cell>
          <cell r="AV255" t="str">
            <v>-</v>
          </cell>
          <cell r="AW255" t="str">
            <v>-</v>
          </cell>
          <cell r="AY255">
            <v>-4.7318372632436101E-2</v>
          </cell>
          <cell r="AZ255">
            <v>-8.2818199503998935E-3</v>
          </cell>
          <cell r="BA255">
            <v>9.5946071239630726E-2</v>
          </cell>
          <cell r="BB255">
            <v>-1.6860330190085482E-2</v>
          </cell>
          <cell r="BC255">
            <v>3.3054769083327162E-3</v>
          </cell>
          <cell r="BE255">
            <v>-4.5080117354998839E-2</v>
          </cell>
          <cell r="BF255">
            <v>-0.11986474218848231</v>
          </cell>
          <cell r="BG255">
            <v>-0.18454410055345627</v>
          </cell>
          <cell r="BH255">
            <v>-0.13681261169036107</v>
          </cell>
          <cell r="BI255">
            <v>-0.12202256748315399</v>
          </cell>
          <cell r="BK255">
            <v>-0.17663315385714962</v>
          </cell>
          <cell r="BL255">
            <v>-0.1094792508665452</v>
          </cell>
          <cell r="BM255">
            <v>-6.2799005259223217E-2</v>
          </cell>
          <cell r="BN255">
            <v>-8.8991571120212054E-2</v>
          </cell>
          <cell r="BO255">
            <v>-0.11141252106043165</v>
          </cell>
          <cell r="BQ255">
            <v>-8.101851851851849E-2</v>
          </cell>
          <cell r="BR255">
            <v>-0.12967032967032965</v>
          </cell>
          <cell r="BS255">
            <v>-0.13023255813953494</v>
          </cell>
          <cell r="BT255">
            <v>-4.9549549549549599E-2</v>
          </cell>
          <cell r="BU255">
            <v>-9.7671777399204962E-2</v>
          </cell>
          <cell r="BW255">
            <v>-0.10579345088161207</v>
          </cell>
          <cell r="BX255">
            <v>-2.525252525252486E-3</v>
          </cell>
          <cell r="BY255">
            <v>0.25668449197860954</v>
          </cell>
          <cell r="BZ255">
            <v>0.39573459715639814</v>
          </cell>
          <cell r="CA255">
            <v>0.13845185651353042</v>
          </cell>
          <cell r="CC255">
            <v>0.3549295774647887</v>
          </cell>
          <cell r="CD255">
            <v>0.28101265822784804</v>
          </cell>
          <cell r="CE255">
            <v>6.5957446808510678E-2</v>
          </cell>
          <cell r="CF255">
            <v>7.3005093378607722E-2</v>
          </cell>
          <cell r="CG255">
            <v>0.17191818684355997</v>
          </cell>
          <cell r="CI255">
            <v>0.33056133056133064</v>
          </cell>
          <cell r="CJ255">
            <v>0.41501976284584985</v>
          </cell>
          <cell r="CK255">
            <v>0.38522954091816364</v>
          </cell>
          <cell r="CL255">
            <v>0.29588607594936711</v>
          </cell>
          <cell r="CM255">
            <v>0.35330188679245289</v>
          </cell>
          <cell r="CO255">
            <v>0.25156249999999991</v>
          </cell>
          <cell r="CP255">
            <v>0.22486033519553073</v>
          </cell>
          <cell r="CQ255">
            <v>0.21469740634005774</v>
          </cell>
          <cell r="CR255">
            <v>0.16849816849816857</v>
          </cell>
          <cell r="CS255">
            <v>0.21226908330428729</v>
          </cell>
          <cell r="CU255">
            <v>7.9900124843945042E-2</v>
          </cell>
          <cell r="CV255">
            <v>-3.9908779931584926E-2</v>
          </cell>
          <cell r="CW255">
            <v>-0.10083036773428233</v>
          </cell>
          <cell r="CX255">
            <v>-0.18286311389759669</v>
          </cell>
          <cell r="CY255">
            <v>-6.641748131109837E-2</v>
          </cell>
          <cell r="DA255">
            <v>-0.23352601156069364</v>
          </cell>
          <cell r="DB255">
            <v>-0.17814726840855111</v>
          </cell>
          <cell r="DC255">
            <v>-0.14116094986807393</v>
          </cell>
          <cell r="DE255">
            <v>-0.16261164151524488</v>
          </cell>
          <cell r="DG255">
            <v>4.5248868778280382E-3</v>
          </cell>
          <cell r="DH255">
            <v>6.6473988439306408E-2</v>
          </cell>
          <cell r="DI255">
            <v>0.1090629800307219</v>
          </cell>
          <cell r="DJ255">
            <v>0.10378681626928477</v>
          </cell>
          <cell r="DK255">
            <v>7.1349760941522566E-2</v>
          </cell>
          <cell r="DM255">
            <v>9.2220720720720628E-2</v>
          </cell>
          <cell r="DN255">
            <v>3.6422764227641569E-3</v>
          </cell>
          <cell r="DO255">
            <v>-2.1026038781163381E-2</v>
          </cell>
          <cell r="DP255">
            <v>-6.5323125794155112E-2</v>
          </cell>
          <cell r="DQ255">
            <v>-8.5242018537601272E-4</v>
          </cell>
          <cell r="DS255">
            <v>-2.133680863436338E-2</v>
          </cell>
          <cell r="DT255">
            <v>-2.3251895534962097E-2</v>
          </cell>
          <cell r="DU255">
            <v>-1.7669582263752814E-2</v>
          </cell>
          <cell r="DV255">
            <v>-2.9008931189586695E-2</v>
          </cell>
          <cell r="DW255">
            <v>-2.287260383198586E-2</v>
          </cell>
          <cell r="DY255">
            <v>-4.5246216383185045E-2</v>
          </cell>
          <cell r="DZ255">
            <v>-4.8551859272921827E-2</v>
          </cell>
          <cell r="EA255">
            <v>-2.374087249578738E-2</v>
          </cell>
          <cell r="EB255">
            <v>-4.4286890341224239E-2</v>
          </cell>
          <cell r="EC255">
            <v>-4.0595815855562378E-2</v>
          </cell>
          <cell r="EE255">
            <v>-1.2684505747126429E-2</v>
          </cell>
          <cell r="EF255">
            <v>-1.4760147601476925E-3</v>
          </cell>
          <cell r="EG255">
            <v>-1.3315708877827848E-2</v>
          </cell>
          <cell r="EH255">
            <v>-6.4779818932934941E-2</v>
          </cell>
          <cell r="EI255">
            <v>-2.3046967126731377E-2</v>
          </cell>
          <cell r="EK255">
            <v>-7.9783508626573352E-2</v>
          </cell>
          <cell r="EL255">
            <v>-0.10653563675937405</v>
          </cell>
          <cell r="EM255">
            <v>-0.11572677252474517</v>
          </cell>
          <cell r="EN255">
            <v>-9.5272681704260731E-2</v>
          </cell>
          <cell r="EO255">
            <v>-9.9409501014777191E-2</v>
          </cell>
          <cell r="EQ255">
            <v>-7.9326202459491513E-2</v>
          </cell>
          <cell r="ER255">
            <v>-5.2685558284935818E-2</v>
          </cell>
          <cell r="ES255">
            <v>-3.4789039294976232E-2</v>
          </cell>
          <cell r="ET255">
            <v>-1.5720238058961722E-2</v>
          </cell>
          <cell r="EU255">
            <v>-4.6235809808773398E-2</v>
          </cell>
          <cell r="EW255">
            <v>-9.2509545931122039E-3</v>
          </cell>
          <cell r="EX255">
            <v>-2.6836721893730431E-4</v>
          </cell>
          <cell r="EY255">
            <v>6.7454228872547706E-3</v>
          </cell>
          <cell r="EZ255">
            <v>1.4769216861272527E-2</v>
          </cell>
          <cell r="FA255">
            <v>2.9835427066831066E-3</v>
          </cell>
        </row>
        <row r="256">
          <cell r="C256" t="str">
            <v>-</v>
          </cell>
          <cell r="D256" t="str">
            <v>-</v>
          </cell>
          <cell r="E256" t="str">
            <v>-</v>
          </cell>
          <cell r="F256" t="str">
            <v>-</v>
          </cell>
          <cell r="G256" t="str">
            <v>-</v>
          </cell>
          <cell r="H256" t="str">
            <v>-</v>
          </cell>
          <cell r="I256" t="str">
            <v>-</v>
          </cell>
          <cell r="J256" t="str">
            <v>-</v>
          </cell>
          <cell r="K256" t="str">
            <v>-</v>
          </cell>
          <cell r="L256" t="str">
            <v>-</v>
          </cell>
          <cell r="M256" t="str">
            <v>-</v>
          </cell>
          <cell r="O256" t="str">
            <v>-</v>
          </cell>
          <cell r="P256" t="str">
            <v>-</v>
          </cell>
          <cell r="Q256" t="str">
            <v>-</v>
          </cell>
          <cell r="R256" t="str">
            <v>-</v>
          </cell>
          <cell r="S256" t="str">
            <v>-</v>
          </cell>
          <cell r="U256" t="str">
            <v>-</v>
          </cell>
          <cell r="V256" t="str">
            <v>-</v>
          </cell>
          <cell r="W256" t="str">
            <v>-</v>
          </cell>
          <cell r="X256" t="str">
            <v>-</v>
          </cell>
          <cell r="Y256" t="str">
            <v>-</v>
          </cell>
          <cell r="AA256" t="str">
            <v>-</v>
          </cell>
          <cell r="AB256" t="str">
            <v>-</v>
          </cell>
          <cell r="AC256" t="str">
            <v>-</v>
          </cell>
          <cell r="AD256" t="str">
            <v>-</v>
          </cell>
          <cell r="AE256" t="str">
            <v>-</v>
          </cell>
          <cell r="AG256" t="str">
            <v>-</v>
          </cell>
          <cell r="AH256" t="str">
            <v>-</v>
          </cell>
          <cell r="AI256" t="str">
            <v>-</v>
          </cell>
          <cell r="AJ256" t="str">
            <v>-</v>
          </cell>
          <cell r="AK256" t="str">
            <v>-</v>
          </cell>
          <cell r="AM256" t="str">
            <v>-</v>
          </cell>
          <cell r="AN256" t="str">
            <v>-</v>
          </cell>
          <cell r="AO256" t="str">
            <v>-</v>
          </cell>
          <cell r="AP256" t="str">
            <v>-</v>
          </cell>
          <cell r="AQ256" t="str">
            <v>-</v>
          </cell>
          <cell r="AS256" t="str">
            <v>-</v>
          </cell>
          <cell r="AT256" t="str">
            <v>-</v>
          </cell>
          <cell r="AU256" t="str">
            <v>-</v>
          </cell>
          <cell r="AV256" t="str">
            <v>-</v>
          </cell>
          <cell r="AW256" t="str">
            <v>-</v>
          </cell>
          <cell r="AY256" t="str">
            <v>-</v>
          </cell>
          <cell r="AZ256" t="str">
            <v>-</v>
          </cell>
          <cell r="BA256" t="str">
            <v>-</v>
          </cell>
          <cell r="BB256" t="str">
            <v>-</v>
          </cell>
          <cell r="BC256" t="str">
            <v>-</v>
          </cell>
          <cell r="BE256" t="str">
            <v>-</v>
          </cell>
          <cell r="BF256" t="str">
            <v>-</v>
          </cell>
          <cell r="BG256" t="str">
            <v>-</v>
          </cell>
          <cell r="BH256" t="str">
            <v>-</v>
          </cell>
          <cell r="BI256">
            <v>0.12888732394366209</v>
          </cell>
          <cell r="BK256">
            <v>-0.17593737124021425</v>
          </cell>
          <cell r="BL256">
            <v>-0.23077847622023773</v>
          </cell>
          <cell r="BM256">
            <v>-0.15850775374998338</v>
          </cell>
          <cell r="BN256">
            <v>-0.22235837496465261</v>
          </cell>
          <cell r="BO256">
            <v>-0.19838804256964993</v>
          </cell>
          <cell r="BQ256">
            <v>-6.25E-2</v>
          </cell>
          <cell r="BR256">
            <v>1.5625E-2</v>
          </cell>
          <cell r="BS256">
            <v>-1.5873015873015928E-2</v>
          </cell>
          <cell r="BT256">
            <v>7.575757575757569E-2</v>
          </cell>
          <cell r="BU256">
            <v>3.8910505836575737E-3</v>
          </cell>
          <cell r="BW256">
            <v>0.18333333333333335</v>
          </cell>
          <cell r="BX256">
            <v>0.10769230769230775</v>
          </cell>
          <cell r="BY256">
            <v>0.22580645161290325</v>
          </cell>
          <cell r="BZ256">
            <v>0.12676056338028174</v>
          </cell>
          <cell r="CA256">
            <v>0.1589147286821706</v>
          </cell>
          <cell r="CC256">
            <v>0.18309859154929575</v>
          </cell>
          <cell r="CD256">
            <v>0.20833333333333326</v>
          </cell>
          <cell r="CE256">
            <v>0.26315789473684204</v>
          </cell>
          <cell r="CF256">
            <v>0.625</v>
          </cell>
          <cell r="CG256">
            <v>0.32775919732441472</v>
          </cell>
          <cell r="CI256">
            <v>0.48809523809523814</v>
          </cell>
          <cell r="CJ256">
            <v>0.60919540229885061</v>
          </cell>
          <cell r="CK256">
            <v>0.47916666666666674</v>
          </cell>
          <cell r="CL256">
            <v>0.16153846153846163</v>
          </cell>
          <cell r="CM256">
            <v>0.40554156171284639</v>
          </cell>
          <cell r="CO256">
            <v>0.26400000000000001</v>
          </cell>
          <cell r="CP256">
            <v>0.19285714285714284</v>
          </cell>
          <cell r="CQ256">
            <v>0.22535211267605626</v>
          </cell>
          <cell r="CR256">
            <v>0.2847682119205297</v>
          </cell>
          <cell r="CS256">
            <v>0.24193548387096775</v>
          </cell>
          <cell r="CU256">
            <v>0.23417721518987333</v>
          </cell>
          <cell r="CV256">
            <v>0.13173652694610771</v>
          </cell>
          <cell r="CW256">
            <v>9.7701149425287293E-2</v>
          </cell>
          <cell r="CX256">
            <v>5.1546391752577359E-2</v>
          </cell>
          <cell r="CY256">
            <v>0.12409812409812404</v>
          </cell>
          <cell r="DA256">
            <v>-7.6923076923076872E-2</v>
          </cell>
          <cell r="DB256">
            <v>-5.2910052910053462E-3</v>
          </cell>
          <cell r="DC256">
            <v>0.10471204188481686</v>
          </cell>
          <cell r="DE256">
            <v>0.12195121951219523</v>
          </cell>
          <cell r="DG256">
            <v>0.78333333333333344</v>
          </cell>
          <cell r="DH256">
            <v>0.86170212765957444</v>
          </cell>
          <cell r="DI256">
            <v>0.61611374407582931</v>
          </cell>
          <cell r="DJ256">
            <v>0.24406779661016942</v>
          </cell>
          <cell r="DK256">
            <v>0.5778032036613272</v>
          </cell>
          <cell r="DM256">
            <v>0.20662616822429913</v>
          </cell>
          <cell r="DN256">
            <v>7.1691428571428517E-2</v>
          </cell>
          <cell r="DO256">
            <v>1.9401759530791818E-2</v>
          </cell>
          <cell r="DP256">
            <v>2.7863760217983646E-2</v>
          </cell>
          <cell r="DQ256">
            <v>7.8506889050036222E-2</v>
          </cell>
          <cell r="DS256">
            <v>-0.42618046250325936</v>
          </cell>
          <cell r="DT256">
            <v>-0.40578204813752372</v>
          </cell>
          <cell r="DU256">
            <v>-0.49203143698794072</v>
          </cell>
          <cell r="DV256">
            <v>-0.50959371835451472</v>
          </cell>
          <cell r="DW256">
            <v>-0.45758397483696545</v>
          </cell>
          <cell r="DY256">
            <v>-0.17240629940815988</v>
          </cell>
          <cell r="DZ256">
            <v>-2.8832625050249527E-2</v>
          </cell>
          <cell r="EA256">
            <v>-0.14208451789011056</v>
          </cell>
          <cell r="EB256">
            <v>9.3711147388564786E-2</v>
          </cell>
          <cell r="EC256">
            <v>-6.5075958747224161E-2</v>
          </cell>
          <cell r="EE256">
            <v>-4.0349069094402945E-2</v>
          </cell>
          <cell r="EF256">
            <v>-2.0634476325360307E-2</v>
          </cell>
          <cell r="EG256">
            <v>-5.4009132915699198E-2</v>
          </cell>
          <cell r="EH256">
            <v>-8.619317018496564E-2</v>
          </cell>
          <cell r="EI256">
            <v>-4.973306643613562E-2</v>
          </cell>
          <cell r="EK256">
            <v>-0.1081251301534415</v>
          </cell>
          <cell r="EL256">
            <v>-0.26971804185006887</v>
          </cell>
          <cell r="EM256">
            <v>-0.156388653301335</v>
          </cell>
          <cell r="EN256">
            <v>-0.11793538126101377</v>
          </cell>
          <cell r="EO256">
            <v>-0.16810357891525929</v>
          </cell>
          <cell r="EQ256">
            <v>-0.11065426067852813</v>
          </cell>
          <cell r="ER256">
            <v>-8.5086458030552592E-2</v>
          </cell>
          <cell r="ES256">
            <v>-8.4635062875664024E-2</v>
          </cell>
          <cell r="ET256">
            <v>-4.2815479055532402E-2</v>
          </cell>
          <cell r="EU256">
            <v>-8.01835989084837E-2</v>
          </cell>
          <cell r="EW256">
            <v>-4.671251598850934E-2</v>
          </cell>
          <cell r="EX256">
            <v>-3.822471621126855E-2</v>
          </cell>
          <cell r="EY256">
            <v>-5.2137606227947275E-2</v>
          </cell>
          <cell r="EZ256">
            <v>-1.6083887590474188E-2</v>
          </cell>
          <cell r="FA256">
            <v>-3.6896859267629756E-2</v>
          </cell>
        </row>
        <row r="257">
          <cell r="C257" t="str">
            <v>-</v>
          </cell>
          <cell r="D257" t="str">
            <v>-</v>
          </cell>
          <cell r="E257" t="str">
            <v>-</v>
          </cell>
          <cell r="F257" t="str">
            <v>-</v>
          </cell>
          <cell r="G257" t="str">
            <v>-</v>
          </cell>
          <cell r="H257" t="str">
            <v>-</v>
          </cell>
          <cell r="I257" t="str">
            <v>-</v>
          </cell>
          <cell r="J257" t="str">
            <v>-</v>
          </cell>
          <cell r="K257" t="str">
            <v>-</v>
          </cell>
          <cell r="L257" t="str">
            <v>-</v>
          </cell>
          <cell r="M257" t="str">
            <v>-</v>
          </cell>
          <cell r="O257" t="str">
            <v>-</v>
          </cell>
          <cell r="P257" t="str">
            <v>-</v>
          </cell>
          <cell r="Q257" t="str">
            <v>-</v>
          </cell>
          <cell r="R257" t="str">
            <v>-</v>
          </cell>
          <cell r="S257" t="str">
            <v>-</v>
          </cell>
          <cell r="U257" t="str">
            <v>-</v>
          </cell>
          <cell r="V257" t="str">
            <v>-</v>
          </cell>
          <cell r="W257" t="str">
            <v>-</v>
          </cell>
          <cell r="X257" t="str">
            <v>-</v>
          </cell>
          <cell r="Y257" t="str">
            <v>-</v>
          </cell>
          <cell r="AA257" t="str">
            <v>-</v>
          </cell>
          <cell r="AB257" t="str">
            <v>-</v>
          </cell>
          <cell r="AC257" t="str">
            <v>-</v>
          </cell>
          <cell r="AD257" t="str">
            <v>-</v>
          </cell>
          <cell r="AE257" t="str">
            <v>-</v>
          </cell>
          <cell r="AG257" t="str">
            <v>-</v>
          </cell>
          <cell r="AH257" t="str">
            <v>-</v>
          </cell>
          <cell r="AI257" t="str">
            <v>-</v>
          </cell>
          <cell r="AJ257" t="str">
            <v>-</v>
          </cell>
          <cell r="AK257" t="str">
            <v>-</v>
          </cell>
          <cell r="AM257" t="str">
            <v>-</v>
          </cell>
          <cell r="AN257" t="str">
            <v>-</v>
          </cell>
          <cell r="AO257" t="str">
            <v>-</v>
          </cell>
          <cell r="AP257" t="str">
            <v>-</v>
          </cell>
          <cell r="AQ257" t="str">
            <v>-</v>
          </cell>
          <cell r="AS257" t="str">
            <v>-</v>
          </cell>
          <cell r="AT257" t="str">
            <v>-</v>
          </cell>
          <cell r="AU257" t="str">
            <v>-</v>
          </cell>
          <cell r="AV257" t="str">
            <v>-</v>
          </cell>
          <cell r="AW257" t="str">
            <v>-</v>
          </cell>
          <cell r="AY257">
            <v>-0.17823676956022771</v>
          </cell>
          <cell r="AZ257">
            <v>-1.2551338699074432E-2</v>
          </cell>
          <cell r="BA257">
            <v>-0.13271155876622331</v>
          </cell>
          <cell r="BB257">
            <v>-6.204827407688962E-2</v>
          </cell>
          <cell r="BC257">
            <v>-9.4468421962957128E-2</v>
          </cell>
          <cell r="BE257">
            <v>-8.8297489426797382E-3</v>
          </cell>
          <cell r="BF257">
            <v>-0.23435757927128387</v>
          </cell>
          <cell r="BG257">
            <v>-0.33413866315250018</v>
          </cell>
          <cell r="BH257">
            <v>-0.30851646203175098</v>
          </cell>
          <cell r="BI257">
            <v>-0.2295592825133892</v>
          </cell>
          <cell r="BK257">
            <v>-0.27370941567652829</v>
          </cell>
          <cell r="BL257">
            <v>-0.17287977632805218</v>
          </cell>
          <cell r="BM257">
            <v>-0.15181025681300553</v>
          </cell>
          <cell r="BN257">
            <v>-0.132926185629194</v>
          </cell>
          <cell r="BO257">
            <v>-0.18663816747687589</v>
          </cell>
          <cell r="BQ257">
            <v>-0.125</v>
          </cell>
          <cell r="BR257">
            <v>-4.2253521126760618E-2</v>
          </cell>
          <cell r="BS257">
            <v>-7.407407407407407E-2</v>
          </cell>
          <cell r="BT257">
            <v>-5.7971014492753659E-2</v>
          </cell>
          <cell r="BU257">
            <v>-7.3643410852713198E-2</v>
          </cell>
          <cell r="BW257">
            <v>-0.1071428571428571</v>
          </cell>
          <cell r="BX257">
            <v>-2.9411764705882359E-2</v>
          </cell>
          <cell r="BY257">
            <v>0.3600000000000001</v>
          </cell>
          <cell r="BZ257">
            <v>0.32307692307692304</v>
          </cell>
          <cell r="CA257">
            <v>0.12970711297071125</v>
          </cell>
          <cell r="CC257">
            <v>0.43999999999999995</v>
          </cell>
          <cell r="CD257">
            <v>0.24242424242424243</v>
          </cell>
          <cell r="CE257">
            <v>8.8235294117646967E-2</v>
          </cell>
          <cell r="CF257">
            <v>0.10465116279069764</v>
          </cell>
          <cell r="CG257">
            <v>0.19629629629629619</v>
          </cell>
          <cell r="CI257">
            <v>0.125</v>
          </cell>
          <cell r="CJ257">
            <v>0.13414634146341453</v>
          </cell>
          <cell r="CK257">
            <v>8.1081081081081141E-2</v>
          </cell>
          <cell r="CL257">
            <v>0.10526315789473695</v>
          </cell>
          <cell r="CM257">
            <v>0.11145510835913308</v>
          </cell>
          <cell r="CO257">
            <v>0.23456790123456783</v>
          </cell>
          <cell r="CP257">
            <v>0.18279569892473124</v>
          </cell>
          <cell r="CQ257">
            <v>0.14999999999999991</v>
          </cell>
          <cell r="CR257">
            <v>8.5714285714285632E-2</v>
          </cell>
          <cell r="CS257">
            <v>0.15877437325905297</v>
          </cell>
          <cell r="CU257">
            <v>-1.0000000000000009E-2</v>
          </cell>
          <cell r="CV257">
            <v>-9.0909090909090939E-2</v>
          </cell>
          <cell r="CW257">
            <v>-0.22826086956521741</v>
          </cell>
          <cell r="CX257">
            <v>-0.30701754385964908</v>
          </cell>
          <cell r="CY257">
            <v>-0.16105769230769229</v>
          </cell>
          <cell r="DA257">
            <v>-0.33333333333333337</v>
          </cell>
          <cell r="DB257">
            <v>-0.21999999999999997</v>
          </cell>
          <cell r="DC257">
            <v>-2.8169014084507005E-2</v>
          </cell>
          <cell r="DE257">
            <v>-0.1031518624641834</v>
          </cell>
          <cell r="DG257">
            <v>0.22727272727272729</v>
          </cell>
          <cell r="DH257">
            <v>0.24358974358974361</v>
          </cell>
          <cell r="DI257">
            <v>0.20289855072463769</v>
          </cell>
          <cell r="DJ257">
            <v>-6.0000000000000053E-2</v>
          </cell>
          <cell r="DK257">
            <v>0.13418530351437696</v>
          </cell>
          <cell r="DM257">
            <v>-0.19439506172839482</v>
          </cell>
          <cell r="DN257">
            <v>-0.33793814432989666</v>
          </cell>
          <cell r="DO257">
            <v>4.7036144578313177E-2</v>
          </cell>
          <cell r="DP257">
            <v>-4.954255319148948E-2</v>
          </cell>
          <cell r="DQ257">
            <v>-0.13881408450704225</v>
          </cell>
          <cell r="DS257">
            <v>-6.7551414472676208E-2</v>
          </cell>
          <cell r="DT257">
            <v>-8.9068825910935123E-3</v>
          </cell>
          <cell r="DU257">
            <v>-0.26249654791494059</v>
          </cell>
          <cell r="DV257">
            <v>-0.15209921314484609</v>
          </cell>
          <cell r="DW257">
            <v>-0.1353554384553235</v>
          </cell>
          <cell r="DY257">
            <v>-0.1063504585346613</v>
          </cell>
          <cell r="DZ257">
            <v>-0.14844142785319259</v>
          </cell>
          <cell r="EA257">
            <v>-0.14708543968045928</v>
          </cell>
          <cell r="EB257">
            <v>-0.27330570002904131</v>
          </cell>
          <cell r="EC257">
            <v>-0.17420746008927901</v>
          </cell>
          <cell r="EE257">
            <v>-2.0844137931034346E-2</v>
          </cell>
          <cell r="EF257">
            <v>-1.0243542435424358E-2</v>
          </cell>
          <cell r="EG257">
            <v>-2.1209183206804871E-2</v>
          </cell>
          <cell r="EH257">
            <v>-7.2261580381471457E-2</v>
          </cell>
          <cell r="EI257">
            <v>-3.1270328462137509E-2</v>
          </cell>
          <cell r="EK257">
            <v>-8.7976319269142844E-2</v>
          </cell>
          <cell r="EL257">
            <v>-0.1149822536387497</v>
          </cell>
          <cell r="EM257">
            <v>-0.12334981758918695</v>
          </cell>
          <cell r="EN257">
            <v>-0.10307205513784445</v>
          </cell>
          <cell r="EO257">
            <v>-0.10742349525214701</v>
          </cell>
          <cell r="EQ257">
            <v>-8.818224129693375E-2</v>
          </cell>
          <cell r="ER257">
            <v>-6.2355686801497834E-2</v>
          </cell>
          <cell r="ES257">
            <v>-4.3781687997196839E-2</v>
          </cell>
          <cell r="ET257">
            <v>-2.4890546400027191E-2</v>
          </cell>
          <cell r="EU257">
            <v>-5.5291496539736862E-2</v>
          </cell>
          <cell r="EW257">
            <v>-1.9579864574418182E-2</v>
          </cell>
          <cell r="EX257">
            <v>-1.1321911070324875E-2</v>
          </cell>
          <cell r="EY257">
            <v>-3.4237227984750263E-3</v>
          </cell>
          <cell r="EZ257">
            <v>4.5190227515627956E-3</v>
          </cell>
          <cell r="FA257">
            <v>-7.4174994515604498E-3</v>
          </cell>
        </row>
        <row r="258">
          <cell r="C258" t="str">
            <v>-</v>
          </cell>
          <cell r="D258">
            <v>0.82076287848997209</v>
          </cell>
          <cell r="E258">
            <v>1.3906094769124446</v>
          </cell>
          <cell r="F258">
            <v>1.3714698708103712</v>
          </cell>
          <cell r="G258">
            <v>1.1494487577048207</v>
          </cell>
          <cell r="H258">
            <v>1.0693835448915858</v>
          </cell>
          <cell r="I258">
            <v>0.56969852689277167</v>
          </cell>
          <cell r="J258">
            <v>0.12173746985453793</v>
          </cell>
          <cell r="K258">
            <v>0.14694406045436104</v>
          </cell>
          <cell r="L258">
            <v>0.27480916030534353</v>
          </cell>
          <cell r="M258">
            <v>0.33143512974051892</v>
          </cell>
          <cell r="O258" t="str">
            <v>-</v>
          </cell>
          <cell r="P258" t="str">
            <v>-</v>
          </cell>
          <cell r="Q258" t="str">
            <v>-</v>
          </cell>
          <cell r="R258" t="str">
            <v>-</v>
          </cell>
          <cell r="S258">
            <v>0.48258873536027069</v>
          </cell>
          <cell r="U258">
            <v>0.38695249014329502</v>
          </cell>
          <cell r="V258">
            <v>0.44268067076445661</v>
          </cell>
          <cell r="W258">
            <v>0.41259406434104773</v>
          </cell>
          <cell r="X258">
            <v>0.4383576043910915</v>
          </cell>
          <cell r="Y258">
            <v>0.42342084844742534</v>
          </cell>
          <cell r="AA258">
            <v>0.36345544134967089</v>
          </cell>
          <cell r="AB258">
            <v>0.35612512926577056</v>
          </cell>
          <cell r="AC258">
            <v>0.3453837777226707</v>
          </cell>
          <cell r="AD258">
            <v>0.33055501292967437</v>
          </cell>
          <cell r="AE258">
            <v>0.34600517721985358</v>
          </cell>
          <cell r="AG258">
            <v>0.30077286450211393</v>
          </cell>
          <cell r="AH258">
            <v>0.23056292908272469</v>
          </cell>
          <cell r="AI258">
            <v>0.27403499748290328</v>
          </cell>
          <cell r="AJ258">
            <v>0.23845719087632578</v>
          </cell>
          <cell r="AK258">
            <v>0.25676332292813098</v>
          </cell>
          <cell r="AM258">
            <v>0.27781576648052186</v>
          </cell>
          <cell r="AN258">
            <v>0.27403457957882638</v>
          </cell>
          <cell r="AO258">
            <v>0.18879867242847359</v>
          </cell>
          <cell r="AP258">
            <v>0.21998480447890678</v>
          </cell>
          <cell r="AQ258">
            <v>0.2356409310646268</v>
          </cell>
          <cell r="AS258">
            <v>0.13458673268119226</v>
          </cell>
          <cell r="AT258">
            <v>0.12935128583268773</v>
          </cell>
          <cell r="AU258">
            <v>0.17821657399034097</v>
          </cell>
          <cell r="AV258">
            <v>0.14644624123171535</v>
          </cell>
          <cell r="AW258">
            <v>0.14759700980554302</v>
          </cell>
          <cell r="AY258">
            <v>0.15292134055792928</v>
          </cell>
          <cell r="AZ258">
            <v>0.15699542138858846</v>
          </cell>
          <cell r="BA258">
            <v>0.10069494059405137</v>
          </cell>
          <cell r="BB258">
            <v>-2.4917686875242762E-2</v>
          </cell>
          <cell r="BC258">
            <v>8.1989487200951228E-2</v>
          </cell>
          <cell r="BE258">
            <v>-1.0024947639677206E-2</v>
          </cell>
          <cell r="BF258">
            <v>-0.11389595325803081</v>
          </cell>
          <cell r="BG258">
            <v>-0.16421803356154285</v>
          </cell>
          <cell r="BH258">
            <v>-0.15690362071952413</v>
          </cell>
          <cell r="BI258">
            <v>-0.11750161394919223</v>
          </cell>
          <cell r="BK258">
            <v>-0.10465750279794528</v>
          </cell>
          <cell r="BL258">
            <v>-3.0010035972386495E-2</v>
          </cell>
          <cell r="BM258">
            <v>2.3822626169385686E-2</v>
          </cell>
          <cell r="BN258">
            <v>2.0699132402132392E-2</v>
          </cell>
          <cell r="BO258">
            <v>-2.0407032384544999E-2</v>
          </cell>
          <cell r="BQ258">
            <v>2.1696252465483346E-2</v>
          </cell>
          <cell r="BR258">
            <v>8.1853616284105701E-2</v>
          </cell>
          <cell r="BS258">
            <v>8.7559601213697436E-2</v>
          </cell>
          <cell r="BT258">
            <v>8.6741541286995849E-2</v>
          </cell>
          <cell r="BU258">
            <v>7.1828102243704839E-2</v>
          </cell>
          <cell r="BW258">
            <v>6.9015444015444016E-2</v>
          </cell>
          <cell r="BX258">
            <v>0.10328262610088079</v>
          </cell>
          <cell r="BY258">
            <v>0.2327620565962536</v>
          </cell>
          <cell r="BZ258">
            <v>0.31784205394865128</v>
          </cell>
          <cell r="CA258">
            <v>0.19328475777865295</v>
          </cell>
          <cell r="CC258">
            <v>0.31241534988713315</v>
          </cell>
          <cell r="CD258">
            <v>0.2314949201741654</v>
          </cell>
          <cell r="CE258">
            <v>0.1427093436792759</v>
          </cell>
          <cell r="CF258">
            <v>0.21750924784217007</v>
          </cell>
          <cell r="CG258">
            <v>0.21894545754600214</v>
          </cell>
          <cell r="CI258">
            <v>0.25937392500860001</v>
          </cell>
          <cell r="CJ258">
            <v>0.24219210371243372</v>
          </cell>
          <cell r="CK258">
            <v>0.25877093707559973</v>
          </cell>
          <cell r="CL258">
            <v>0.19161434069272842</v>
          </cell>
          <cell r="CM258">
            <v>0.23263653840946641</v>
          </cell>
          <cell r="CO258">
            <v>0.2545752526632068</v>
          </cell>
          <cell r="CP258">
            <v>0.27229601518026558</v>
          </cell>
          <cell r="CQ258">
            <v>0.20723758147898397</v>
          </cell>
          <cell r="CR258">
            <v>0.23763386027536981</v>
          </cell>
          <cell r="CS258">
            <v>0.24163875006864743</v>
          </cell>
          <cell r="CU258">
            <v>0.18049205312431971</v>
          </cell>
          <cell r="CV258">
            <v>6.0216256524981304E-2</v>
          </cell>
          <cell r="CW258">
            <v>2.4762614038354114E-2</v>
          </cell>
          <cell r="CX258">
            <v>-5.4937508583985717E-2</v>
          </cell>
          <cell r="CY258">
            <v>3.9143703834755961E-2</v>
          </cell>
          <cell r="DA258">
            <v>-6.6211729988933987E-2</v>
          </cell>
          <cell r="DB258">
            <v>3.2530332336908829E-2</v>
          </cell>
          <cell r="DC258">
            <v>0.17539970930232562</v>
          </cell>
          <cell r="DE258">
            <v>0.1507363582191199</v>
          </cell>
          <cell r="DG258">
            <v>0.49871617618013042</v>
          </cell>
          <cell r="DH258">
            <v>0.48058583106267028</v>
          </cell>
          <cell r="DI258">
            <v>0.36133180820477939</v>
          </cell>
          <cell r="DJ258">
            <v>0.12200186896480125</v>
          </cell>
          <cell r="DK258">
            <v>0.32770367740074113</v>
          </cell>
          <cell r="DM258">
            <v>0.106747496046389</v>
          </cell>
          <cell r="DN258">
            <v>1.3457556935817738E-2</v>
          </cell>
          <cell r="DO258">
            <v>2.8992755762461631E-2</v>
          </cell>
          <cell r="DP258">
            <v>1.3340708865445139E-2</v>
          </cell>
          <cell r="DQ258">
            <v>3.6954977016297796E-2</v>
          </cell>
          <cell r="DS258">
            <v>-2.2505358418671073E-2</v>
          </cell>
          <cell r="DT258">
            <v>3.4275337646124227E-2</v>
          </cell>
          <cell r="DU258">
            <v>-1.0189333897367314E-2</v>
          </cell>
          <cell r="DV258">
            <v>9.89967297006622E-4</v>
          </cell>
          <cell r="DW258">
            <v>8.4631465499618308E-4</v>
          </cell>
          <cell r="DY258">
            <v>2.0952612985747354E-2</v>
          </cell>
          <cell r="DZ258">
            <v>1.8654669153955972E-2</v>
          </cell>
          <cell r="EA258">
            <v>3.8461538461538547E-2</v>
          </cell>
          <cell r="EB258">
            <v>3.3299881397682585E-2</v>
          </cell>
          <cell r="EC258">
            <v>2.8239336429280781E-2</v>
          </cell>
          <cell r="EE258">
            <v>2.6011215845364477E-2</v>
          </cell>
          <cell r="EF258">
            <v>3.5010233760637721E-2</v>
          </cell>
          <cell r="EG258">
            <v>2.0397208803006883E-3</v>
          </cell>
          <cell r="EH258">
            <v>-5.4211548649125918E-2</v>
          </cell>
          <cell r="EI258">
            <v>-1.3575251272679445E-3</v>
          </cell>
          <cell r="EK258">
            <v>-1.7211303639958153E-2</v>
          </cell>
          <cell r="EL258">
            <v>-6.3696919233971694E-2</v>
          </cell>
          <cell r="EM258">
            <v>-2.1829103064066824E-2</v>
          </cell>
          <cell r="EN258">
            <v>-2.9811161687826826E-2</v>
          </cell>
          <cell r="EO258">
            <v>-3.3542206153765686E-2</v>
          </cell>
          <cell r="EQ258">
            <v>2.141539784640889E-2</v>
          </cell>
          <cell r="ER258">
            <v>1.2549671113472494E-2</v>
          </cell>
          <cell r="ES258">
            <v>5.9717405418047154E-3</v>
          </cell>
          <cell r="ET258">
            <v>-7.9048789970399547E-3</v>
          </cell>
          <cell r="EU258">
            <v>7.2017782440341183E-3</v>
          </cell>
          <cell r="EW258">
            <v>7.1649306455756623E-3</v>
          </cell>
          <cell r="EX258">
            <v>2.247708932213266E-3</v>
          </cell>
          <cell r="EY258">
            <v>2.1471394816445777E-3</v>
          </cell>
          <cell r="EZ258">
            <v>-1.3074466249460959E-2</v>
          </cell>
          <cell r="FA258">
            <v>-8.7983657953438765E-4</v>
          </cell>
        </row>
        <row r="259">
          <cell r="CG259">
            <v>0</v>
          </cell>
          <cell r="CM259">
            <v>0</v>
          </cell>
          <cell r="CS259">
            <v>0</v>
          </cell>
          <cell r="CY259">
            <v>0</v>
          </cell>
          <cell r="DE259">
            <v>0</v>
          </cell>
          <cell r="DK259">
            <v>0</v>
          </cell>
          <cell r="DQ259">
            <v>0</v>
          </cell>
          <cell r="DW259">
            <v>0</v>
          </cell>
          <cell r="EC259">
            <v>0</v>
          </cell>
          <cell r="EI259">
            <v>0</v>
          </cell>
          <cell r="EO259">
            <v>0</v>
          </cell>
          <cell r="EU259">
            <v>0</v>
          </cell>
          <cell r="FA259">
            <v>0</v>
          </cell>
        </row>
        <row r="260">
          <cell r="C260" t="str">
            <v>-</v>
          </cell>
          <cell r="D260" t="str">
            <v>-</v>
          </cell>
          <cell r="E260" t="str">
            <v>-</v>
          </cell>
          <cell r="F260" t="str">
            <v>-</v>
          </cell>
          <cell r="G260" t="str">
            <v>-</v>
          </cell>
          <cell r="H260">
            <v>0.9708241447278545</v>
          </cell>
          <cell r="I260">
            <v>0.58860051293730886</v>
          </cell>
          <cell r="J260">
            <v>0.66074500710599149</v>
          </cell>
          <cell r="K260">
            <v>5.6795405922756448E-2</v>
          </cell>
          <cell r="L260">
            <v>0.23110718065648062</v>
          </cell>
          <cell r="M260">
            <v>0.44017736337855884</v>
          </cell>
          <cell r="O260" t="str">
            <v>-</v>
          </cell>
          <cell r="P260" t="str">
            <v>-</v>
          </cell>
          <cell r="Q260" t="str">
            <v>-</v>
          </cell>
          <cell r="R260" t="str">
            <v>-</v>
          </cell>
          <cell r="S260">
            <v>0.56048019582823372</v>
          </cell>
          <cell r="U260">
            <v>0.47907336302013115</v>
          </cell>
          <cell r="V260">
            <v>0.36168420603695517</v>
          </cell>
          <cell r="W260">
            <v>0.45840260724109361</v>
          </cell>
          <cell r="X260">
            <v>0.35264956260389191</v>
          </cell>
          <cell r="Y260">
            <v>0.40692697930198762</v>
          </cell>
          <cell r="AA260">
            <v>0.4518096488689427</v>
          </cell>
          <cell r="AB260">
            <v>0.47787974410974776</v>
          </cell>
          <cell r="AC260">
            <v>0.39951471711005659</v>
          </cell>
          <cell r="AD260">
            <v>0.35127964026700687</v>
          </cell>
          <cell r="AE260">
            <v>0.41464197961155569</v>
          </cell>
          <cell r="AG260">
            <v>0.39291059097251746</v>
          </cell>
          <cell r="AH260">
            <v>0.45339260311060348</v>
          </cell>
          <cell r="AI260">
            <v>0.46073271041074548</v>
          </cell>
          <cell r="AJ260">
            <v>0.5396373741201328</v>
          </cell>
          <cell r="AK260">
            <v>0.46640300400008794</v>
          </cell>
          <cell r="AM260">
            <v>0.45095660309248631</v>
          </cell>
          <cell r="AN260">
            <v>0.42144173406169183</v>
          </cell>
          <cell r="AO260">
            <v>0.35065774439885544</v>
          </cell>
          <cell r="AP260">
            <v>0.21266922429789448</v>
          </cell>
          <cell r="AQ260">
            <v>0.34770285818839475</v>
          </cell>
          <cell r="AS260">
            <v>0.11403082630393513</v>
          </cell>
          <cell r="AT260">
            <v>-3.4207992080497851E-2</v>
          </cell>
          <cell r="AU260">
            <v>-0.10701961937974025</v>
          </cell>
          <cell r="AV260">
            <v>-0.1076153645564264</v>
          </cell>
          <cell r="AW260">
            <v>-3.9642014680753013E-2</v>
          </cell>
          <cell r="AY260">
            <v>-7.4998348199537435E-2</v>
          </cell>
          <cell r="AZ260">
            <v>-4.1570960075414498E-2</v>
          </cell>
          <cell r="BA260">
            <v>3.2587686865245047E-2</v>
          </cell>
          <cell r="BB260">
            <v>2.6737496175041064E-2</v>
          </cell>
          <cell r="BC260">
            <v>-1.5502540372225648E-2</v>
          </cell>
          <cell r="BE260">
            <v>-9.5876399117136524E-2</v>
          </cell>
          <cell r="BF260">
            <v>-0.12318039509046086</v>
          </cell>
          <cell r="BG260">
            <v>-0.21753120939218884</v>
          </cell>
          <cell r="BH260">
            <v>-0.23714988401065373</v>
          </cell>
          <cell r="BI260">
            <v>-0.1696716671384092</v>
          </cell>
          <cell r="BK260">
            <v>-6.9336780000063269E-2</v>
          </cell>
          <cell r="BL260">
            <v>-5.3624271456581107E-2</v>
          </cell>
          <cell r="BM260">
            <v>4.4728792322608069E-3</v>
          </cell>
          <cell r="BN260">
            <v>2.0688295872899554E-2</v>
          </cell>
          <cell r="BO260">
            <v>-2.6402290407318896E-2</v>
          </cell>
          <cell r="BQ260">
            <v>-4.4142614601018648E-2</v>
          </cell>
          <cell r="BR260">
            <v>-1.6694490818029983E-3</v>
          </cell>
          <cell r="BS260">
            <v>1.3937282229965264E-2</v>
          </cell>
          <cell r="BT260">
            <v>-1.0344827586206917E-2</v>
          </cell>
          <cell r="BU260">
            <v>-1.0674637062339842E-2</v>
          </cell>
          <cell r="BW260">
            <v>-1.4209591474245165E-2</v>
          </cell>
          <cell r="BX260">
            <v>-1.3377926421404673E-2</v>
          </cell>
          <cell r="BY260">
            <v>0.22164948453608257</v>
          </cell>
          <cell r="BZ260">
            <v>0.36933797909407673</v>
          </cell>
          <cell r="CA260">
            <v>0.14026758739749678</v>
          </cell>
          <cell r="CC260">
            <v>0.29729729729729737</v>
          </cell>
          <cell r="CD260">
            <v>0.27966101694915246</v>
          </cell>
          <cell r="CE260">
            <v>0.10689170182841079</v>
          </cell>
          <cell r="CF260">
            <v>0.22264631043256999</v>
          </cell>
          <cell r="CG260">
            <v>0.21990915972747915</v>
          </cell>
          <cell r="CI260">
            <v>0.35277777777777786</v>
          </cell>
          <cell r="CJ260">
            <v>0.3496688741721854</v>
          </cell>
          <cell r="CK260">
            <v>0.30114358322744605</v>
          </cell>
          <cell r="CL260">
            <v>0.1966701352757545</v>
          </cell>
          <cell r="CM260">
            <v>0.29289481849208809</v>
          </cell>
          <cell r="CO260">
            <v>0.18172484599589311</v>
          </cell>
          <cell r="CP260">
            <v>0.20902845927379787</v>
          </cell>
          <cell r="CQ260">
            <v>0.2109375</v>
          </cell>
          <cell r="CR260">
            <v>0.16086956521739126</v>
          </cell>
          <cell r="CS260">
            <v>0.18982481401487883</v>
          </cell>
          <cell r="CU260">
            <v>0.13119026933101652</v>
          </cell>
          <cell r="CV260">
            <v>-3.4090909090909061E-2</v>
          </cell>
          <cell r="CW260">
            <v>-0.1088709677419355</v>
          </cell>
          <cell r="CX260">
            <v>-0.12209737827715361</v>
          </cell>
          <cell r="CY260">
            <v>-3.8120209762000812E-2</v>
          </cell>
          <cell r="DA260">
            <v>-0.23118279569892475</v>
          </cell>
          <cell r="DB260">
            <v>-8.4873949579831964E-2</v>
          </cell>
          <cell r="DC260">
            <v>0.25248868778280542</v>
          </cell>
          <cell r="DE260">
            <v>0.19507234221010705</v>
          </cell>
          <cell r="DG260">
            <v>1.0489510489510487</v>
          </cell>
          <cell r="DH260">
            <v>0.97245179063360876</v>
          </cell>
          <cell r="DI260">
            <v>0.44580924855491322</v>
          </cell>
          <cell r="DJ260">
            <v>-2.7996225228059224E-2</v>
          </cell>
          <cell r="DK260">
            <v>0.46737318618075907</v>
          </cell>
          <cell r="DM260">
            <v>-3.5592393954168688E-2</v>
          </cell>
          <cell r="DN260">
            <v>-9.5437616387337054E-2</v>
          </cell>
          <cell r="DO260">
            <v>-5.2473763118440764E-2</v>
          </cell>
          <cell r="DP260">
            <v>-7.8594544613962092E-2</v>
          </cell>
          <cell r="DQ260">
            <v>-6.6124596436685446E-2</v>
          </cell>
          <cell r="DS260">
            <v>-0.11021233569261879</v>
          </cell>
          <cell r="DT260">
            <v>-8.4405558414822446E-2</v>
          </cell>
          <cell r="DU260">
            <v>-0.10232067510548526</v>
          </cell>
          <cell r="DV260">
            <v>-4.9673858504766688E-2</v>
          </cell>
          <cell r="DW260">
            <v>-8.6427656850192047E-2</v>
          </cell>
          <cell r="DY260">
            <v>-3.3522727272727315E-2</v>
          </cell>
          <cell r="DZ260">
            <v>6.7453625632378778E-3</v>
          </cell>
          <cell r="EA260">
            <v>3.2902467685076431E-2</v>
          </cell>
          <cell r="EB260">
            <v>6.8637803590285706E-3</v>
          </cell>
          <cell r="EC260">
            <v>3.0833917309038839E-3</v>
          </cell>
          <cell r="EE260">
            <v>-2.1164021164021163E-2</v>
          </cell>
          <cell r="EF260">
            <v>4.9134561697375734E-2</v>
          </cell>
          <cell r="EG260">
            <v>6.8828213879408517E-2</v>
          </cell>
          <cell r="EH260">
            <v>6.5023597273204059E-2</v>
          </cell>
          <cell r="EI260">
            <v>4.1497834288109603E-2</v>
          </cell>
          <cell r="EK260">
            <v>9.7897897897897934E-2</v>
          </cell>
          <cell r="EL260">
            <v>-2.5013304949441206E-2</v>
          </cell>
          <cell r="EM260">
            <v>2.0280445269104552E-2</v>
          </cell>
          <cell r="EN260">
            <v>-4.3527282177999949E-2</v>
          </cell>
          <cell r="EO260">
            <v>8.8144682797330898E-3</v>
          </cell>
          <cell r="EQ260">
            <v>-1.9662595239555714E-4</v>
          </cell>
          <cell r="ER260">
            <v>5.6116212276968724E-5</v>
          </cell>
          <cell r="ES260">
            <v>-9.1612063428238022E-3</v>
          </cell>
          <cell r="ET260">
            <v>1.0968242391869554E-2</v>
          </cell>
          <cell r="EU260">
            <v>4.6374504559199003E-4</v>
          </cell>
          <cell r="EW260">
            <v>-1.3028931081298656E-2</v>
          </cell>
          <cell r="EX260">
            <v>-1.6705863458039816E-2</v>
          </cell>
          <cell r="EY260">
            <v>-2.8077109858453353E-2</v>
          </cell>
          <cell r="EZ260">
            <v>-5.0621759400131805E-2</v>
          </cell>
          <cell r="FA260">
            <v>-2.7537385295372419E-2</v>
          </cell>
        </row>
        <row r="261">
          <cell r="C261" t="str">
            <v>-</v>
          </cell>
          <cell r="D261">
            <v>1.2597610428689774</v>
          </cell>
          <cell r="E261">
            <v>1.2878284962171644</v>
          </cell>
          <cell r="F261">
            <v>1.5451302366083932</v>
          </cell>
          <cell r="G261">
            <v>0.46650601840367623</v>
          </cell>
          <cell r="H261">
            <v>1.1974385823600482</v>
          </cell>
          <cell r="I261">
            <v>0.70474172690350856</v>
          </cell>
          <cell r="J261">
            <v>0.18584784356898032</v>
          </cell>
          <cell r="K261">
            <v>2.7060399958658943E-2</v>
          </cell>
          <cell r="L261">
            <v>0.14052197001929612</v>
          </cell>
          <cell r="M261">
            <v>0.16062641344711626</v>
          </cell>
          <cell r="O261" t="str">
            <v>-</v>
          </cell>
          <cell r="P261" t="str">
            <v>-</v>
          </cell>
          <cell r="Q261" t="str">
            <v>-</v>
          </cell>
          <cell r="R261" t="str">
            <v>-</v>
          </cell>
          <cell r="S261">
            <v>0.47152692198944779</v>
          </cell>
          <cell r="U261">
            <v>0.28038013601196776</v>
          </cell>
          <cell r="V261">
            <v>0.46127907500809195</v>
          </cell>
          <cell r="W261">
            <v>0.39786616867064128</v>
          </cell>
          <cell r="X261">
            <v>0.44267212571242132</v>
          </cell>
          <cell r="Y261">
            <v>0.40412201079444765</v>
          </cell>
          <cell r="AA261">
            <v>0.2896786286435169</v>
          </cell>
          <cell r="AB261">
            <v>0.27488574232440777</v>
          </cell>
          <cell r="AC261">
            <v>0.26028931072431716</v>
          </cell>
          <cell r="AD261">
            <v>0.268512573959101</v>
          </cell>
          <cell r="AE261">
            <v>0.27185293865149873</v>
          </cell>
          <cell r="AG261">
            <v>0.24899541475614839</v>
          </cell>
          <cell r="AH261">
            <v>0.1623134984868746</v>
          </cell>
          <cell r="AI261">
            <v>0.23298672129046571</v>
          </cell>
          <cell r="AJ261">
            <v>0.18727812565151436</v>
          </cell>
          <cell r="AK261">
            <v>0.20346793585445355</v>
          </cell>
          <cell r="AM261">
            <v>0.13488678409882282</v>
          </cell>
          <cell r="AN261">
            <v>0.11970898219455428</v>
          </cell>
          <cell r="AO261">
            <v>-1.5203860335895047E-3</v>
          </cell>
          <cell r="AP261">
            <v>0.15506705451797531</v>
          </cell>
          <cell r="AQ261">
            <v>0.10587962920011162</v>
          </cell>
          <cell r="AS261">
            <v>5.5579952791348752E-2</v>
          </cell>
          <cell r="AT261">
            <v>6.705139796030446E-2</v>
          </cell>
          <cell r="AU261">
            <v>4.9298110650791704E-2</v>
          </cell>
          <cell r="AV261">
            <v>-0.1065200798496948</v>
          </cell>
          <cell r="AW261">
            <v>-2.146905538825683E-3</v>
          </cell>
          <cell r="AY261">
            <v>6.4146233651420914E-2</v>
          </cell>
          <cell r="AZ261">
            <v>1.493745179615269E-2</v>
          </cell>
          <cell r="BA261">
            <v>0.11923571034612634</v>
          </cell>
          <cell r="BB261">
            <v>-4.7296742291074501E-2</v>
          </cell>
          <cell r="BC261">
            <v>2.8498338969461745E-2</v>
          </cell>
          <cell r="BE261">
            <v>-6.5419467889780258E-2</v>
          </cell>
          <cell r="BF261">
            <v>-0.10877954015276226</v>
          </cell>
          <cell r="BG261">
            <v>-0.22654427175276626</v>
          </cell>
          <cell r="BH261">
            <v>-0.27633860828094514</v>
          </cell>
          <cell r="BI261">
            <v>-0.17922084388267179</v>
          </cell>
          <cell r="BK261">
            <v>-0.12041697091026571</v>
          </cell>
          <cell r="BL261">
            <v>-0.10356612600498649</v>
          </cell>
          <cell r="BM261">
            <v>1.201205867727495E-2</v>
          </cell>
          <cell r="BN261">
            <v>-3.3244146701796762E-2</v>
          </cell>
          <cell r="BO261">
            <v>-6.2010945318226041E-2</v>
          </cell>
          <cell r="BQ261">
            <v>-1.4861995753715496E-2</v>
          </cell>
          <cell r="BR261">
            <v>2.5390625E-2</v>
          </cell>
          <cell r="BS261">
            <v>1.1516314779270731E-2</v>
          </cell>
          <cell r="BT261">
            <v>9.1549295774647987E-2</v>
          </cell>
          <cell r="BU261">
            <v>3.0888030888030826E-2</v>
          </cell>
          <cell r="BW261">
            <v>3.4482758620689724E-2</v>
          </cell>
          <cell r="BX261">
            <v>5.7142857142857162E-2</v>
          </cell>
          <cell r="BY261">
            <v>0.26565464895635671</v>
          </cell>
          <cell r="BZ261">
            <v>0.29516129032258065</v>
          </cell>
          <cell r="CA261">
            <v>0.172752808988764</v>
          </cell>
          <cell r="CC261">
            <v>0.27708333333333335</v>
          </cell>
          <cell r="CD261">
            <v>0.27027027027027017</v>
          </cell>
          <cell r="CE261">
            <v>0.13043478260869557</v>
          </cell>
          <cell r="CF261">
            <v>0.36737235367372345</v>
          </cell>
          <cell r="CG261">
            <v>0.26546906187624741</v>
          </cell>
          <cell r="CI261">
            <v>0.20717781402936386</v>
          </cell>
          <cell r="CJ261">
            <v>0.28652482269503543</v>
          </cell>
          <cell r="CK261">
            <v>0.27055702917771884</v>
          </cell>
          <cell r="CL261">
            <v>0.15118397085610202</v>
          </cell>
          <cell r="CM261">
            <v>0.22050473186119879</v>
          </cell>
          <cell r="CO261">
            <v>0.2986486486486486</v>
          </cell>
          <cell r="CP261">
            <v>0.19294377067254675</v>
          </cell>
          <cell r="CQ261">
            <v>0.1179540709812108</v>
          </cell>
          <cell r="CR261">
            <v>0.196993670886076</v>
          </cell>
          <cell r="CS261">
            <v>0.19591625743086061</v>
          </cell>
          <cell r="CU261">
            <v>0.1373569198751301</v>
          </cell>
          <cell r="CV261">
            <v>4.4362292051755903E-2</v>
          </cell>
          <cell r="CW261">
            <v>-3.081232492997199E-2</v>
          </cell>
          <cell r="CX261">
            <v>-0.13417052214144087</v>
          </cell>
          <cell r="CY261">
            <v>-1.2102874432677768E-2</v>
          </cell>
          <cell r="DA261">
            <v>-0.13632204940530646</v>
          </cell>
          <cell r="DB261">
            <v>-1.5044247787610598E-2</v>
          </cell>
          <cell r="DC261">
            <v>0.17533718689788058</v>
          </cell>
          <cell r="DE261">
            <v>9.3415007656967752E-2</v>
          </cell>
          <cell r="DG261">
            <v>0.38771186440677963</v>
          </cell>
          <cell r="DH261">
            <v>0.35759209344115006</v>
          </cell>
          <cell r="DI261">
            <v>0.30819672131147535</v>
          </cell>
          <cell r="DJ261">
            <v>0.20569436374201056</v>
          </cell>
          <cell r="DK261">
            <v>0.29891956782713081</v>
          </cell>
          <cell r="DM261">
            <v>0.22442748091603049</v>
          </cell>
          <cell r="DN261">
            <v>0.10390469887491727</v>
          </cell>
          <cell r="DO261">
            <v>4.6365914786967499E-2</v>
          </cell>
          <cell r="DP261">
            <v>-4.8192771084337727E-3</v>
          </cell>
          <cell r="DQ261">
            <v>7.9328404189771939E-2</v>
          </cell>
          <cell r="DS261">
            <v>-5.9850374064837952E-2</v>
          </cell>
          <cell r="DT261">
            <v>3.7170263788968816E-2</v>
          </cell>
          <cell r="DU261">
            <v>5.9880239520958112E-2</v>
          </cell>
          <cell r="DV261">
            <v>1.3075060532687699E-2</v>
          </cell>
          <cell r="DW261">
            <v>1.3272441843870331E-2</v>
          </cell>
          <cell r="DY261">
            <v>4.8408488063660382E-2</v>
          </cell>
          <cell r="DZ261">
            <v>6.3583815028901647E-2</v>
          </cell>
          <cell r="EA261">
            <v>1.0734463276836248E-2</v>
          </cell>
          <cell r="EB261">
            <v>4.9235181644359471E-2</v>
          </cell>
          <cell r="EC261">
            <v>4.2957746478873293E-2</v>
          </cell>
          <cell r="EE261">
            <v>5.1865907653383836E-2</v>
          </cell>
          <cell r="EF261">
            <v>7.6086956521739246E-3</v>
          </cell>
          <cell r="EG261">
            <v>2.7948574622693734E-3</v>
          </cell>
          <cell r="EH261">
            <v>-1.4578587699316636E-2</v>
          </cell>
          <cell r="EI261">
            <v>9.3180283592166901E-3</v>
          </cell>
          <cell r="EK261">
            <v>1.0222489476849006E-2</v>
          </cell>
          <cell r="EL261">
            <v>1.9417475728155331E-2</v>
          </cell>
          <cell r="EM261">
            <v>3.3132760231884051E-2</v>
          </cell>
          <cell r="EN261">
            <v>-5.8270034278317229E-2</v>
          </cell>
          <cell r="EO261">
            <v>-1.8193620936579613E-3</v>
          </cell>
          <cell r="EQ261">
            <v>6.0368946581905725E-3</v>
          </cell>
          <cell r="ER261">
            <v>-1.8769651635709428E-3</v>
          </cell>
          <cell r="ES261">
            <v>5.9717405418049374E-3</v>
          </cell>
          <cell r="ET261">
            <v>-1.8028298599111037E-2</v>
          </cell>
          <cell r="EU261">
            <v>-2.554845536109851E-3</v>
          </cell>
          <cell r="EW261">
            <v>7.1649306455756623E-3</v>
          </cell>
          <cell r="EX261">
            <v>-2.5917295464550349E-3</v>
          </cell>
          <cell r="EY261">
            <v>-1.2662916766852716E-2</v>
          </cell>
          <cell r="EZ261">
            <v>4.2885228963198241E-2</v>
          </cell>
          <cell r="FA261">
            <v>9.3250876924784176E-3</v>
          </cell>
        </row>
        <row r="262">
          <cell r="C262" t="str">
            <v>-</v>
          </cell>
          <cell r="D262">
            <v>0.93600103535642609</v>
          </cell>
          <cell r="E262">
            <v>0.79295710768433336</v>
          </cell>
          <cell r="F262">
            <v>0.37721966252095429</v>
          </cell>
          <cell r="G262">
            <v>1.6768013327780094</v>
          </cell>
          <cell r="H262">
            <v>1.0448887505834761</v>
          </cell>
          <cell r="I262">
            <v>0.67949400798934745</v>
          </cell>
          <cell r="J262">
            <v>-6.2984902198412018E-2</v>
          </cell>
          <cell r="K262">
            <v>0.33737459204641596</v>
          </cell>
          <cell r="L262">
            <v>0.32337921746911169</v>
          </cell>
          <cell r="M262">
            <v>0.34603196284660576</v>
          </cell>
          <cell r="O262" t="str">
            <v>-</v>
          </cell>
          <cell r="P262" t="str">
            <v>-</v>
          </cell>
          <cell r="Q262" t="str">
            <v>-</v>
          </cell>
          <cell r="R262" t="str">
            <v>-</v>
          </cell>
          <cell r="S262">
            <v>0.32478714875739501</v>
          </cell>
          <cell r="U262">
            <v>0.5309208260057654</v>
          </cell>
          <cell r="V262">
            <v>0.62988851221472775</v>
          </cell>
          <cell r="W262">
            <v>0.36753459175102798</v>
          </cell>
          <cell r="X262">
            <v>0.46658668414738225</v>
          </cell>
          <cell r="Y262">
            <v>0.49022393976185108</v>
          </cell>
          <cell r="AA262">
            <v>0.38805793394204247</v>
          </cell>
          <cell r="AB262">
            <v>0.45059610601252253</v>
          </cell>
          <cell r="AC262">
            <v>0.49266742093637172</v>
          </cell>
          <cell r="AD262">
            <v>0.38680160236137451</v>
          </cell>
          <cell r="AE262">
            <v>0.42761756186824229</v>
          </cell>
          <cell r="AG262">
            <v>0.3622418073697411</v>
          </cell>
          <cell r="AH262">
            <v>0.35415373244641546</v>
          </cell>
          <cell r="AI262">
            <v>0.32902611043334518</v>
          </cell>
          <cell r="AJ262">
            <v>0.16852955485283383</v>
          </cell>
          <cell r="AK262">
            <v>0.29464279284793582</v>
          </cell>
          <cell r="AM262">
            <v>0.17508940482378943</v>
          </cell>
          <cell r="AN262">
            <v>9.5302291817898954E-2</v>
          </cell>
          <cell r="AO262">
            <v>0.1395500418237321</v>
          </cell>
          <cell r="AP262">
            <v>0.26621494330039086</v>
          </cell>
          <cell r="AQ262">
            <v>0.17001208382755584</v>
          </cell>
          <cell r="AS262">
            <v>0.25752706224716593</v>
          </cell>
          <cell r="AT262">
            <v>0.23660789922163872</v>
          </cell>
          <cell r="AU262">
            <v>0.21808596840770633</v>
          </cell>
          <cell r="AV262">
            <v>0.1106503306522213</v>
          </cell>
          <cell r="AW262">
            <v>0.20023151724613331</v>
          </cell>
          <cell r="AY262">
            <v>6.3939713741994808E-2</v>
          </cell>
          <cell r="AZ262">
            <v>7.3017408123791094E-2</v>
          </cell>
          <cell r="BA262">
            <v>0.1796229338842974</v>
          </cell>
          <cell r="BB262">
            <v>0.1835480277838426</v>
          </cell>
          <cell r="BC262">
            <v>0.12744954361004535</v>
          </cell>
          <cell r="BE262">
            <v>9.0548028698109739E-3</v>
          </cell>
          <cell r="BF262">
            <v>-3.3036653147063166E-2</v>
          </cell>
          <cell r="BG262">
            <v>-6.0453467350018997E-2</v>
          </cell>
          <cell r="BH262">
            <v>-0.11783484299422509</v>
          </cell>
          <cell r="BI262">
            <v>-5.4835318389131804E-2</v>
          </cell>
          <cell r="BK262">
            <v>0.12909593367548355</v>
          </cell>
          <cell r="BL262">
            <v>0.14570670685054932</v>
          </cell>
          <cell r="BM262">
            <v>6.2736776694641394E-2</v>
          </cell>
          <cell r="BN262">
            <v>5.6205740371869428E-2</v>
          </cell>
          <cell r="BO262">
            <v>9.6495303654860587E-2</v>
          </cell>
          <cell r="BQ262">
            <v>4.195804195804187E-2</v>
          </cell>
          <cell r="BR262">
            <v>9.4915254237288194E-2</v>
          </cell>
          <cell r="BS262">
            <v>8.9700996677740896E-2</v>
          </cell>
          <cell r="BT262">
            <v>0.10402684563758391</v>
          </cell>
          <cell r="BU262">
            <v>8.3050847457627031E-2</v>
          </cell>
          <cell r="BW262">
            <v>4.6979865771812124E-2</v>
          </cell>
          <cell r="BX262">
            <v>1.2383900928792491E-2</v>
          </cell>
          <cell r="BY262">
            <v>0.19207317073170738</v>
          </cell>
          <cell r="BZ262">
            <v>0.37082066869300911</v>
          </cell>
          <cell r="CA262">
            <v>0.15884194053208134</v>
          </cell>
          <cell r="CC262">
            <v>0.26923076923076916</v>
          </cell>
          <cell r="CD262">
            <v>0.41896024464831805</v>
          </cell>
          <cell r="CE262">
            <v>0.1867007672634271</v>
          </cell>
          <cell r="CF262">
            <v>0.18093126385809311</v>
          </cell>
          <cell r="CG262">
            <v>0.25361242403781215</v>
          </cell>
          <cell r="CI262">
            <v>0.22222222222222232</v>
          </cell>
          <cell r="CJ262">
            <v>7.3275862068965525E-2</v>
          </cell>
          <cell r="CK262">
            <v>0.1831896551724137</v>
          </cell>
          <cell r="CL262">
            <v>8.7119789710852436E-2</v>
          </cell>
          <cell r="CM262">
            <v>0.13648604976839396</v>
          </cell>
          <cell r="CO262">
            <v>0.28925619834710736</v>
          </cell>
          <cell r="CP262">
            <v>0.30321285140562249</v>
          </cell>
          <cell r="CQ262">
            <v>0.18579234972677594</v>
          </cell>
          <cell r="CR262">
            <v>0.21416234887737473</v>
          </cell>
          <cell r="CS262">
            <v>0.24502369668246438</v>
          </cell>
          <cell r="CU262">
            <v>7.5320512820512775E-2</v>
          </cell>
          <cell r="CV262">
            <v>-6.6255778120184905E-2</v>
          </cell>
          <cell r="CW262">
            <v>-1.9969278033794113E-2</v>
          </cell>
          <cell r="CX262">
            <v>-8.5348506401138335E-3</v>
          </cell>
          <cell r="CY262">
            <v>-5.7099352874000475E-3</v>
          </cell>
          <cell r="DA262">
            <v>-6.4083457526080467E-2</v>
          </cell>
          <cell r="DB262">
            <v>9.5709570957095647E-2</v>
          </cell>
          <cell r="DC262">
            <v>0.21786833855799381</v>
          </cell>
          <cell r="DE262">
            <v>0.17993874425727419</v>
          </cell>
          <cell r="DG262">
            <v>0.66242038216560517</v>
          </cell>
          <cell r="DH262">
            <v>0.60240963855421681</v>
          </cell>
          <cell r="DI262">
            <v>0.37580437580437587</v>
          </cell>
          <cell r="DJ262">
            <v>9.5755182625863799E-2</v>
          </cell>
          <cell r="DK262">
            <v>0.39097988319273203</v>
          </cell>
          <cell r="DM262">
            <v>-6.2260536398467403E-2</v>
          </cell>
          <cell r="DN262">
            <v>-2.8195488721804551E-2</v>
          </cell>
          <cell r="DO262">
            <v>1.8709073900842199E-3</v>
          </cell>
          <cell r="DP262">
            <v>3.063063063063054E-2</v>
          </cell>
          <cell r="DQ262">
            <v>-1.3762537905295025E-2</v>
          </cell>
          <cell r="DS262">
            <v>0.14198161389172625</v>
          </cell>
          <cell r="DT262">
            <v>7.350096711798848E-2</v>
          </cell>
          <cell r="DU262">
            <v>2.7077497665732864E-2</v>
          </cell>
          <cell r="DV262">
            <v>2.3601398601398538E-2</v>
          </cell>
          <cell r="DW262">
            <v>6.4096499526963058E-2</v>
          </cell>
          <cell r="DY262">
            <v>1.9677996422182487E-2</v>
          </cell>
          <cell r="DZ262">
            <v>6.8468468468468435E-2</v>
          </cell>
          <cell r="EA262">
            <v>8.4545454545454479E-2</v>
          </cell>
          <cell r="EB262">
            <v>6.5755764304013642E-2</v>
          </cell>
          <cell r="EC262">
            <v>5.9568793065125636E-2</v>
          </cell>
          <cell r="EE262">
            <v>7.1052631578947478E-2</v>
          </cell>
          <cell r="EF262">
            <v>5.817875210792578E-2</v>
          </cell>
          <cell r="EG262">
            <v>3.2690695725062779E-2</v>
          </cell>
          <cell r="EH262">
            <v>3.6057692307692291E-2</v>
          </cell>
          <cell r="EI262">
            <v>4.9087476400251795E-2</v>
          </cell>
          <cell r="EK262">
            <v>1.7199017199017286E-2</v>
          </cell>
          <cell r="EL262">
            <v>3.0278884462151323E-2</v>
          </cell>
          <cell r="EM262">
            <v>5.9760830142857158E-2</v>
          </cell>
          <cell r="EN262">
            <v>1.2742086106728445E-2</v>
          </cell>
          <cell r="EO262">
            <v>2.9814209172565498E-2</v>
          </cell>
          <cell r="EQ262">
            <v>4.2509846280193386E-2</v>
          </cell>
          <cell r="ER262">
            <v>7.4031309444408944E-3</v>
          </cell>
          <cell r="ES262">
            <v>2.7076042790933563E-2</v>
          </cell>
          <cell r="ET262">
            <v>3.1463975011014167E-2</v>
          </cell>
          <cell r="EU262">
            <v>2.6974607637696213E-2</v>
          </cell>
          <cell r="EW262">
            <v>4.0737095000428436E-2</v>
          </cell>
          <cell r="EX262">
            <v>3.7291335118654567E-2</v>
          </cell>
          <cell r="EY262">
            <v>9.0111609849432561E-3</v>
          </cell>
          <cell r="EZ262">
            <v>1.9930991513106289E-3</v>
          </cell>
          <cell r="FA262">
            <v>2.1950505445861523E-2</v>
          </cell>
        </row>
        <row r="263">
          <cell r="C263" t="str">
            <v>-</v>
          </cell>
          <cell r="D263">
            <v>0.1953099812987602</v>
          </cell>
          <cell r="E263">
            <v>1.1404294153750962</v>
          </cell>
          <cell r="F263">
            <v>1.0187419410474789</v>
          </cell>
          <cell r="G263">
            <v>0.99011972567708928</v>
          </cell>
          <cell r="H263">
            <v>1.005957595934817</v>
          </cell>
          <cell r="I263">
            <v>0.95836245050081503</v>
          </cell>
          <cell r="J263">
            <v>0.49429064200541206</v>
          </cell>
          <cell r="K263">
            <v>5.6674925126613207E-2</v>
          </cell>
          <cell r="L263">
            <v>0.15612199738227273</v>
          </cell>
          <cell r="M263">
            <v>0.10034289251419204</v>
          </cell>
          <cell r="O263" t="str">
            <v>-</v>
          </cell>
          <cell r="P263" t="str">
            <v>-</v>
          </cell>
          <cell r="Q263" t="str">
            <v>-</v>
          </cell>
          <cell r="R263" t="str">
            <v>-</v>
          </cell>
          <cell r="S263">
            <v>0.28944699812729935</v>
          </cell>
          <cell r="U263">
            <v>0.31475501538305051</v>
          </cell>
          <cell r="V263">
            <v>0.31628217218299337</v>
          </cell>
          <cell r="W263">
            <v>0.31719560355902354</v>
          </cell>
          <cell r="X263">
            <v>0.39452626461114582</v>
          </cell>
          <cell r="Y263">
            <v>0.33832942027404811</v>
          </cell>
          <cell r="AA263">
            <v>0.35915138856656603</v>
          </cell>
          <cell r="AB263">
            <v>0.21817991193122244</v>
          </cell>
          <cell r="AC263">
            <v>0.36102732674697924</v>
          </cell>
          <cell r="AD263">
            <v>0.34905139603126201</v>
          </cell>
          <cell r="AE263">
            <v>0.32201114347111837</v>
          </cell>
          <cell r="AG263">
            <v>7.4488823119281733E-2</v>
          </cell>
          <cell r="AH263">
            <v>0.16738388272083071</v>
          </cell>
          <cell r="AI263">
            <v>0.2256621901374809</v>
          </cell>
          <cell r="AJ263">
            <v>0.28462515883100381</v>
          </cell>
          <cell r="AK263">
            <v>0.19577567607027557</v>
          </cell>
          <cell r="AM263">
            <v>0.2485764229149563</v>
          </cell>
          <cell r="AN263">
            <v>0.24839339911283687</v>
          </cell>
          <cell r="AO263">
            <v>0.12236766600621474</v>
          </cell>
          <cell r="AP263">
            <v>6.365571929118663E-2</v>
          </cell>
          <cell r="AQ263">
            <v>0.15705076026438314</v>
          </cell>
          <cell r="AS263">
            <v>0.14055257994378767</v>
          </cell>
          <cell r="AT263">
            <v>0.1127679678733835</v>
          </cell>
          <cell r="AU263">
            <v>0.17870406991887178</v>
          </cell>
          <cell r="AV263">
            <v>8.6577562021246335E-2</v>
          </cell>
          <cell r="AW263">
            <v>0.12714626745271307</v>
          </cell>
          <cell r="AY263">
            <v>-1.461822442508165E-2</v>
          </cell>
          <cell r="AZ263">
            <v>-1.4621202069789119E-2</v>
          </cell>
          <cell r="BA263">
            <v>-1.3241889547255137E-2</v>
          </cell>
          <cell r="BB263">
            <v>-0.13915925673421425</v>
          </cell>
          <cell r="BC263">
            <v>-4.9993966604113482E-2</v>
          </cell>
          <cell r="BE263">
            <v>-7.8809040720992818E-2</v>
          </cell>
          <cell r="BF263">
            <v>-0.11207159656020538</v>
          </cell>
          <cell r="BG263">
            <v>-0.12839014680268712</v>
          </cell>
          <cell r="BH263">
            <v>-7.6661246429805208E-2</v>
          </cell>
          <cell r="BI263">
            <v>-9.945732631376103E-2</v>
          </cell>
          <cell r="BK263">
            <v>4.4932079414838011E-2</v>
          </cell>
          <cell r="BL263">
            <v>0.10193394462023719</v>
          </cell>
          <cell r="BM263">
            <v>9.4300123703492167E-2</v>
          </cell>
          <cell r="BN263">
            <v>4.934666763997364E-2</v>
          </cell>
          <cell r="BO263">
            <v>7.2436912257151542E-2</v>
          </cell>
          <cell r="BQ263">
            <v>0.28431372549019618</v>
          </cell>
          <cell r="BR263">
            <v>0.25688073394495414</v>
          </cell>
          <cell r="BS263">
            <v>0.26086956521739135</v>
          </cell>
          <cell r="BT263">
            <v>0.28695652173913033</v>
          </cell>
          <cell r="BU263">
            <v>0.27210884353741505</v>
          </cell>
          <cell r="BW263">
            <v>-4.961832061068705E-2</v>
          </cell>
          <cell r="BX263">
            <v>-5.3284671532846772E-2</v>
          </cell>
          <cell r="BY263">
            <v>6.8965517241379448E-3</v>
          </cell>
          <cell r="BZ263">
            <v>1.3513513513513598E-2</v>
          </cell>
          <cell r="CA263">
            <v>-1.9251336898395643E-2</v>
          </cell>
          <cell r="CC263">
            <v>0.25301204819277112</v>
          </cell>
          <cell r="CD263">
            <v>-0.15959907478797219</v>
          </cell>
          <cell r="CE263">
            <v>0</v>
          </cell>
          <cell r="CF263">
            <v>-3.6333333333333218E-2</v>
          </cell>
          <cell r="CG263">
            <v>9.7237368229732279E-3</v>
          </cell>
          <cell r="CI263">
            <v>-7.0512820512820484E-2</v>
          </cell>
          <cell r="CJ263">
            <v>0.44954128440366969</v>
          </cell>
          <cell r="CK263">
            <v>0.11643835616438358</v>
          </cell>
          <cell r="CL263">
            <v>0.21757177447250076</v>
          </cell>
          <cell r="CM263">
            <v>0.15561155611556132</v>
          </cell>
          <cell r="CO263">
            <v>0.2068965517241379</v>
          </cell>
          <cell r="CP263">
            <v>0.18354430379746844</v>
          </cell>
          <cell r="CQ263">
            <v>0.16564417177914104</v>
          </cell>
          <cell r="CR263">
            <v>5.6818181818181879E-2</v>
          </cell>
          <cell r="CS263">
            <v>0.14953271028037385</v>
          </cell>
          <cell r="CU263">
            <v>4.0000000000000036E-2</v>
          </cell>
          <cell r="CV263">
            <v>-0.18716577540106949</v>
          </cell>
          <cell r="CW263">
            <v>-0.11578947368421055</v>
          </cell>
          <cell r="CX263">
            <v>1.6129032258064502E-2</v>
          </cell>
          <cell r="CY263">
            <v>-6.3685636856368522E-2</v>
          </cell>
          <cell r="DA263">
            <v>-5.4945054945054972E-2</v>
          </cell>
          <cell r="DB263">
            <v>-1.3157894736842146E-2</v>
          </cell>
          <cell r="DC263">
            <v>0.20238095238095233</v>
          </cell>
          <cell r="DE263">
            <v>0.13024602026049203</v>
          </cell>
          <cell r="DG263">
            <v>0.37209302325581395</v>
          </cell>
          <cell r="DH263">
            <v>-0.19999999999999996</v>
          </cell>
          <cell r="DI263">
            <v>0.23267326732673266</v>
          </cell>
          <cell r="DJ263">
            <v>-0.14396887159533078</v>
          </cell>
          <cell r="DK263">
            <v>5.6338028169014009E-2</v>
          </cell>
          <cell r="DM263">
            <v>0.14830508474576276</v>
          </cell>
          <cell r="DN263">
            <v>0.97500000000000009</v>
          </cell>
          <cell r="DO263">
            <v>-0.11646586345381527</v>
          </cell>
          <cell r="DP263">
            <v>7.2727272727272751E-2</v>
          </cell>
          <cell r="DQ263">
            <v>0.16848484848484846</v>
          </cell>
          <cell r="DS263">
            <v>-0.13653136531365317</v>
          </cell>
          <cell r="DT263">
            <v>-6.3291139240506333E-2</v>
          </cell>
          <cell r="DU263">
            <v>0</v>
          </cell>
          <cell r="DV263">
            <v>-2.1186440677966156E-2</v>
          </cell>
          <cell r="DW263">
            <v>-5.9128630705394203E-2</v>
          </cell>
          <cell r="DY263">
            <v>-6.8376068376068355E-2</v>
          </cell>
          <cell r="DZ263">
            <v>-9.009009009009028E-3</v>
          </cell>
          <cell r="EA263">
            <v>-5.0000000000000044E-2</v>
          </cell>
          <cell r="EB263">
            <v>-4.7619047619047672E-2</v>
          </cell>
          <cell r="EC263">
            <v>-4.4101433296582115E-2</v>
          </cell>
          <cell r="EE263">
            <v>5.9633027522935755E-2</v>
          </cell>
          <cell r="EF263">
            <v>4.0909090909091006E-2</v>
          </cell>
          <cell r="EG263">
            <v>6.698564593301426E-2</v>
          </cell>
          <cell r="EH263">
            <v>0.1227272727272728</v>
          </cell>
          <cell r="EI263">
            <v>7.2664359861591699E-2</v>
          </cell>
          <cell r="EK263">
            <v>-1.2987012987012991E-2</v>
          </cell>
          <cell r="EL263">
            <v>0.1266375545851528</v>
          </cell>
          <cell r="EM263">
            <v>2.3570308520179495E-2</v>
          </cell>
          <cell r="EN263">
            <v>-3.2262165068825954E-2</v>
          </cell>
          <cell r="EO263">
            <v>2.5040240890322529E-2</v>
          </cell>
          <cell r="EQ263">
            <v>-1.5651229354385787E-2</v>
          </cell>
          <cell r="ER263">
            <v>-2.2029292616165486E-2</v>
          </cell>
          <cell r="ES263">
            <v>-3.4267129079867509E-2</v>
          </cell>
          <cell r="ET263">
            <v>-5.1039449475429599E-2</v>
          </cell>
          <cell r="EU263">
            <v>-3.0708204216267188E-2</v>
          </cell>
          <cell r="EW263">
            <v>-3.1572182071561983E-2</v>
          </cell>
          <cell r="EX263">
            <v>-3.3934518827072435E-2</v>
          </cell>
          <cell r="EY263">
            <v>-3.960899133009077E-2</v>
          </cell>
          <cell r="EZ263">
            <v>-5.7934717783576395E-2</v>
          </cell>
          <cell r="FA263">
            <v>-4.0606131217649333E-2</v>
          </cell>
        </row>
        <row r="264">
          <cell r="C264" t="str">
            <v>-</v>
          </cell>
          <cell r="D264">
            <v>1.0200161746266105</v>
          </cell>
          <cell r="E264">
            <v>1.17919503337597</v>
          </cell>
          <cell r="F264">
            <v>1.311686665596941</v>
          </cell>
          <cell r="G264">
            <v>0.6232987245294761</v>
          </cell>
          <cell r="H264">
            <v>1.1543188065565131</v>
          </cell>
          <cell r="I264">
            <v>0.7252658968214698</v>
          </cell>
          <cell r="J264">
            <v>0.18387491278924561</v>
          </cell>
          <cell r="K264">
            <v>6.6051936739526917E-2</v>
          </cell>
          <cell r="L264">
            <v>0.1684665971292183</v>
          </cell>
          <cell r="M264">
            <v>0.18220089901292158</v>
          </cell>
          <cell r="O264" t="str">
            <v>-</v>
          </cell>
          <cell r="P264" t="str">
            <v>-</v>
          </cell>
          <cell r="Q264" t="str">
            <v>-</v>
          </cell>
          <cell r="R264" t="str">
            <v>-</v>
          </cell>
          <cell r="S264">
            <v>0.42206286432016826</v>
          </cell>
          <cell r="U264">
            <v>0.32894164041893936</v>
          </cell>
          <cell r="V264">
            <v>0.47098065376917941</v>
          </cell>
          <cell r="W264">
            <v>0.3831863818690715</v>
          </cell>
          <cell r="X264">
            <v>0.44180372205324381</v>
          </cell>
          <cell r="Y264">
            <v>0.41128395438843901</v>
          </cell>
          <cell r="AA264">
            <v>0.3183403505053326</v>
          </cell>
          <cell r="AB264">
            <v>0.30080252390811402</v>
          </cell>
          <cell r="AC264">
            <v>0.31315366128221811</v>
          </cell>
          <cell r="AD264">
            <v>0.29511383206762631</v>
          </cell>
          <cell r="AE264">
            <v>0.30514882809531829</v>
          </cell>
          <cell r="AG264">
            <v>0.25083951781166314</v>
          </cell>
          <cell r="AH264">
            <v>0.20219432410391369</v>
          </cell>
          <cell r="AI264">
            <v>0.25189990567213072</v>
          </cell>
          <cell r="AJ264">
            <v>0.19353044339793946</v>
          </cell>
          <cell r="AK264">
            <v>0.22050150224852105</v>
          </cell>
          <cell r="AM264">
            <v>0.15680248659133667</v>
          </cell>
          <cell r="AN264">
            <v>0.12727559293396706</v>
          </cell>
          <cell r="AO264">
            <v>4.2804880071461771E-2</v>
          </cell>
          <cell r="AP264">
            <v>0.16425825956276685</v>
          </cell>
          <cell r="AQ264">
            <v>0.12466533005878855</v>
          </cell>
          <cell r="AS264">
            <v>0.11353764722519655</v>
          </cell>
          <cell r="AT264">
            <v>0.11030601847139532</v>
          </cell>
          <cell r="AU264">
            <v>0.10476848322629539</v>
          </cell>
          <cell r="AV264">
            <v>-4.8104556601970883E-2</v>
          </cell>
          <cell r="AW264">
            <v>5.5797829584576464E-2</v>
          </cell>
          <cell r="AY264">
            <v>5.4486656143979184E-2</v>
          </cell>
          <cell r="AZ264">
            <v>2.6090819706482193E-2</v>
          </cell>
          <cell r="BA264">
            <v>0.11845920965492818</v>
          </cell>
          <cell r="BB264">
            <v>-7.8497120925872244E-3</v>
          </cell>
          <cell r="BC264">
            <v>4.364241230651178E-2</v>
          </cell>
          <cell r="BE264">
            <v>-4.684200112693504E-2</v>
          </cell>
          <cell r="BF264">
            <v>-8.9338047237879081E-2</v>
          </cell>
          <cell r="BG264">
            <v>-0.16962845820729466</v>
          </cell>
          <cell r="BH264">
            <v>-0.21684282250273523</v>
          </cell>
          <cell r="BI264">
            <v>-0.1376846739597265</v>
          </cell>
          <cell r="BK264">
            <v>-3.0906085887217327E-2</v>
          </cell>
          <cell r="BL264">
            <v>-1.2454288277099268E-2</v>
          </cell>
          <cell r="BM264">
            <v>3.7494865120131227E-2</v>
          </cell>
          <cell r="BN264">
            <v>1.7707139837388475E-3</v>
          </cell>
          <cell r="BO264">
            <v>-9.0629945757314534E-4</v>
          </cell>
          <cell r="BQ264">
            <v>3.9580908032595952E-2</v>
          </cell>
          <cell r="BR264">
            <v>7.5327510917030605E-2</v>
          </cell>
          <cell r="BS264">
            <v>6.7235859124866515E-2</v>
          </cell>
          <cell r="BT264">
            <v>0.11824668705402641</v>
          </cell>
          <cell r="BU264">
            <v>7.6360682372055289E-2</v>
          </cell>
          <cell r="BW264">
            <v>2.6315789473684292E-2</v>
          </cell>
          <cell r="BX264">
            <v>2.7106598984771635E-2</v>
          </cell>
          <cell r="BY264">
            <v>0.20399999999999996</v>
          </cell>
          <cell r="BZ264">
            <v>0.27985414767547856</v>
          </cell>
          <cell r="CA264">
            <v>0.14118238993710697</v>
          </cell>
          <cell r="CC264">
            <v>0.2711402073104201</v>
          </cell>
          <cell r="CD264">
            <v>0.2632203222299101</v>
          </cell>
          <cell r="CE264">
            <v>0.13289036544850497</v>
          </cell>
          <cell r="CF264">
            <v>0.26435185185185173</v>
          </cell>
          <cell r="CG264">
            <v>0.23057845773995878</v>
          </cell>
          <cell r="CI264">
            <v>0.175107296137339</v>
          </cell>
          <cell r="CJ264">
            <v>0.22300469483568075</v>
          </cell>
          <cell r="CK264">
            <v>0.2243401759530792</v>
          </cell>
          <cell r="CL264">
            <v>0.13736867306988154</v>
          </cell>
          <cell r="CM264">
            <v>0.18610212910796009</v>
          </cell>
          <cell r="CO264">
            <v>0.28560993425858294</v>
          </cell>
          <cell r="CP264">
            <v>0.22712731925783758</v>
          </cell>
          <cell r="CQ264">
            <v>0.14491017964071862</v>
          </cell>
          <cell r="CR264">
            <v>0.1896978702327885</v>
          </cell>
          <cell r="CS264">
            <v>0.20706841866787484</v>
          </cell>
          <cell r="CU264">
            <v>0.10568181818181821</v>
          </cell>
          <cell r="CV264">
            <v>-1.5641293013555768E-2</v>
          </cell>
          <cell r="CW264">
            <v>-3.556485355648531E-2</v>
          </cell>
          <cell r="CX264">
            <v>-8.5761865112406355E-2</v>
          </cell>
          <cell r="CY264">
            <v>-1.4764764764764737E-2</v>
          </cell>
          <cell r="DA264">
            <v>-0.10380267214799588</v>
          </cell>
          <cell r="DB264">
            <v>2.0656779661016866E-2</v>
          </cell>
          <cell r="DC264">
            <v>0.19251626898047713</v>
          </cell>
          <cell r="DE264">
            <v>0.12534925069850145</v>
          </cell>
          <cell r="DG264">
            <v>0.48509174311926606</v>
          </cell>
          <cell r="DH264">
            <v>0.39854696419304614</v>
          </cell>
          <cell r="DI264">
            <v>0.32514779445202358</v>
          </cell>
          <cell r="DJ264">
            <v>0.13841524573721165</v>
          </cell>
          <cell r="DK264">
            <v>0.30955874054847077</v>
          </cell>
          <cell r="DM264">
            <v>0.1019305019305019</v>
          </cell>
          <cell r="DN264">
            <v>9.0538033395176187E-2</v>
          </cell>
          <cell r="DO264">
            <v>1.6129032258064502E-2</v>
          </cell>
          <cell r="DP264">
            <v>1.1747430249632984E-2</v>
          </cell>
          <cell r="DQ264">
            <v>5.127542226818349E-2</v>
          </cell>
          <cell r="DS264">
            <v>2.1023125437982237E-3</v>
          </cell>
          <cell r="DT264">
            <v>4.1850969717591058E-2</v>
          </cell>
          <cell r="DU264">
            <v>4.3566362715298901E-2</v>
          </cell>
          <cell r="DV264">
            <v>1.4223512336719812E-2</v>
          </cell>
          <cell r="DW264">
            <v>2.5165997212886371E-2</v>
          </cell>
          <cell r="DY264">
            <v>2.7622377622377625E-2</v>
          </cell>
          <cell r="DZ264">
            <v>6.0091443500979835E-2</v>
          </cell>
          <cell r="EA264">
            <v>3.2686084142394822E-2</v>
          </cell>
          <cell r="EB264">
            <v>4.8368631940469475E-2</v>
          </cell>
          <cell r="EC264">
            <v>4.2619542619542594E-2</v>
          </cell>
          <cell r="EE264">
            <v>5.9884314392650628E-2</v>
          </cell>
          <cell r="EF264">
            <v>2.8342575477510845E-2</v>
          </cell>
          <cell r="EG264">
            <v>1.817612033845184E-2</v>
          </cell>
          <cell r="EH264">
            <v>1.0920010920010936E-2</v>
          </cell>
          <cell r="EI264">
            <v>2.806963724211986E-2</v>
          </cell>
          <cell r="EK264">
            <v>1.1235955056179803E-2</v>
          </cell>
          <cell r="EL264">
            <v>3.0856800479329038E-2</v>
          </cell>
          <cell r="EM264">
            <v>4.2573620619267505E-2</v>
          </cell>
          <cell r="EN264">
            <v>-3.1739487329192628E-2</v>
          </cell>
          <cell r="EO264">
            <v>1.1845607744274567E-2</v>
          </cell>
          <cell r="EQ264">
            <v>1.8847851369193869E-2</v>
          </cell>
          <cell r="ER264">
            <v>9.9164968626164196E-5</v>
          </cell>
          <cell r="ES264">
            <v>1.1394768792704069E-2</v>
          </cell>
          <cell r="ET264">
            <v>-2.1536029332546169E-3</v>
          </cell>
          <cell r="EU264">
            <v>6.6786663348936681E-3</v>
          </cell>
          <cell r="EW264">
            <v>1.8000486650369352E-2</v>
          </cell>
          <cell r="EX264">
            <v>1.0206266705629519E-2</v>
          </cell>
          <cell r="EY264">
            <v>-5.9130251790660004E-3</v>
          </cell>
          <cell r="EZ264">
            <v>2.1055523390326902E-2</v>
          </cell>
          <cell r="FA264">
            <v>1.0836617004756244E-2</v>
          </cell>
        </row>
        <row r="265">
          <cell r="CG265">
            <v>0</v>
          </cell>
          <cell r="CM265">
            <v>0</v>
          </cell>
          <cell r="CS265">
            <v>0</v>
          </cell>
          <cell r="CY265">
            <v>0</v>
          </cell>
          <cell r="DE265">
            <v>0</v>
          </cell>
          <cell r="DK265">
            <v>0</v>
          </cell>
          <cell r="DQ265">
            <v>0</v>
          </cell>
          <cell r="DW265">
            <v>0</v>
          </cell>
          <cell r="EC265">
            <v>0</v>
          </cell>
          <cell r="EI265">
            <v>0</v>
          </cell>
          <cell r="EO265">
            <v>0</v>
          </cell>
          <cell r="EU265">
            <v>0</v>
          </cell>
          <cell r="FA265">
            <v>0</v>
          </cell>
        </row>
        <row r="266">
          <cell r="C266" t="str">
            <v>-</v>
          </cell>
          <cell r="D266">
            <v>4.8048876399106488E-2</v>
          </cell>
          <cell r="E266">
            <v>2.9708428599562651</v>
          </cell>
          <cell r="F266">
            <v>1.6167030187266875</v>
          </cell>
          <cell r="G266">
            <v>1.2509423991544826</v>
          </cell>
          <cell r="H266">
            <v>0.92645516723271704</v>
          </cell>
          <cell r="I266">
            <v>9.9539350215700706E-2</v>
          </cell>
          <cell r="J266">
            <v>-0.80213390079725722</v>
          </cell>
          <cell r="K266">
            <v>3.2633033347025675</v>
          </cell>
          <cell r="L266">
            <v>1.1121777746634316</v>
          </cell>
          <cell r="M266">
            <v>0.74152466814021611</v>
          </cell>
          <cell r="O266" t="str">
            <v>-</v>
          </cell>
          <cell r="P266" t="str">
            <v>-</v>
          </cell>
          <cell r="Q266" t="str">
            <v>-</v>
          </cell>
          <cell r="R266" t="str">
            <v>-</v>
          </cell>
          <cell r="S266">
            <v>0.54593728345791104</v>
          </cell>
          <cell r="U266">
            <v>0.4292633334475624</v>
          </cell>
          <cell r="V266">
            <v>0.48209262535162245</v>
          </cell>
          <cell r="W266">
            <v>0.42494703630038044</v>
          </cell>
          <cell r="X266">
            <v>0.50762263590638179</v>
          </cell>
          <cell r="Y266">
            <v>0.47197641481098063</v>
          </cell>
          <cell r="AA266">
            <v>0.34967471747574441</v>
          </cell>
          <cell r="AB266">
            <v>0.34124483925881055</v>
          </cell>
          <cell r="AC266">
            <v>0.35002864391521338</v>
          </cell>
          <cell r="AD266">
            <v>0.37830977037814062</v>
          </cell>
          <cell r="AE266">
            <v>0.36012276615203698</v>
          </cell>
          <cell r="AG266">
            <v>0.27923185333443845</v>
          </cell>
          <cell r="AH266">
            <v>-7.9580433862901367E-3</v>
          </cell>
          <cell r="AI266">
            <v>7.1886113805367025E-2</v>
          </cell>
          <cell r="AJ266">
            <v>8.0652738949078984E-2</v>
          </cell>
          <cell r="AK266">
            <v>8.5758029212523068E-2</v>
          </cell>
          <cell r="AM266">
            <v>0.28610510625888153</v>
          </cell>
          <cell r="AN266">
            <v>0.40462342742439694</v>
          </cell>
          <cell r="AO266">
            <v>0.27777097020482433</v>
          </cell>
          <cell r="AP266">
            <v>0.33284899098098397</v>
          </cell>
          <cell r="AQ266">
            <v>0.32710600232984688</v>
          </cell>
          <cell r="AS266">
            <v>0.24484588030348853</v>
          </cell>
          <cell r="AT266">
            <v>0.50776305664466115</v>
          </cell>
          <cell r="AU266">
            <v>0.89269450181961196</v>
          </cell>
          <cell r="AV266">
            <v>0.72207952632956318</v>
          </cell>
          <cell r="AW266">
            <v>0.64461062929251733</v>
          </cell>
          <cell r="AY266">
            <v>0.90260594512856351</v>
          </cell>
          <cell r="AZ266">
            <v>0.64217753204933481</v>
          </cell>
          <cell r="BA266">
            <v>0.14083284722646305</v>
          </cell>
          <cell r="BB266">
            <v>-6.7399538066317599E-2</v>
          </cell>
          <cell r="BC266">
            <v>0.22626454469897661</v>
          </cell>
          <cell r="BE266">
            <v>0.13333059794146496</v>
          </cell>
          <cell r="BF266">
            <v>-0.13325250184724935</v>
          </cell>
          <cell r="BG266">
            <v>-0.11317776666822343</v>
          </cell>
          <cell r="BH266">
            <v>-5.2864024662412912E-2</v>
          </cell>
          <cell r="BI266">
            <v>-5.4581422581558181E-2</v>
          </cell>
          <cell r="BK266">
            <v>-0.22228867035498479</v>
          </cell>
          <cell r="BL266">
            <v>-3.1641185251675807E-2</v>
          </cell>
          <cell r="BM266">
            <v>2.216532111529057E-2</v>
          </cell>
          <cell r="BN266">
            <v>3.5817398046916749E-2</v>
          </cell>
          <cell r="BO266">
            <v>-3.6554042474065351E-2</v>
          </cell>
          <cell r="BQ266">
            <v>6.2068965517241281E-2</v>
          </cell>
          <cell r="BR266">
            <v>0.15239294710327456</v>
          </cell>
          <cell r="BS266">
            <v>0.164572864321608</v>
          </cell>
          <cell r="BT266">
            <v>0.10673803526448356</v>
          </cell>
          <cell r="BU266">
            <v>0.12312521799790721</v>
          </cell>
          <cell r="BW266">
            <v>0.20698051948051943</v>
          </cell>
          <cell r="BX266">
            <v>0.26153005464480872</v>
          </cell>
          <cell r="BY266">
            <v>0.27076591154261065</v>
          </cell>
          <cell r="BZ266">
            <v>0.32645803698435283</v>
          </cell>
          <cell r="CA266">
            <v>0.27867494824016559</v>
          </cell>
          <cell r="CC266">
            <v>0.37457969065232022</v>
          </cell>
          <cell r="CD266">
            <v>0.17906956597071821</v>
          </cell>
          <cell r="CE266">
            <v>0.17436332767402374</v>
          </cell>
          <cell r="CF266">
            <v>0.18008042895442378</v>
          </cell>
          <cell r="CG266">
            <v>0.20774975712435229</v>
          </cell>
          <cell r="CI266">
            <v>0.28962818003913893</v>
          </cell>
          <cell r="CJ266">
            <v>0.20058780308596624</v>
          </cell>
          <cell r="CK266">
            <v>0.26861356079225085</v>
          </cell>
          <cell r="CL266">
            <v>0.23315991548719794</v>
          </cell>
          <cell r="CM266">
            <v>0.24362143365872058</v>
          </cell>
          <cell r="CO266">
            <v>0.27617602427921084</v>
          </cell>
          <cell r="CP266">
            <v>0.35495716034271729</v>
          </cell>
          <cell r="CQ266">
            <v>0.26438746438746441</v>
          </cell>
          <cell r="CR266">
            <v>0.30582166543846712</v>
          </cell>
          <cell r="CS266">
            <v>0.30157660692629018</v>
          </cell>
          <cell r="CU266">
            <v>0.29250891795481571</v>
          </cell>
          <cell r="CV266">
            <v>0.17841011743450763</v>
          </cell>
          <cell r="CW266">
            <v>0.1514195583596214</v>
          </cell>
          <cell r="CX266">
            <v>-8.7471783295710592E-3</v>
          </cell>
          <cell r="CY266">
            <v>0.12340822031266185</v>
          </cell>
          <cell r="DA266">
            <v>6.6237350505979675E-2</v>
          </cell>
          <cell r="DB266">
            <v>9.4672288233039525E-2</v>
          </cell>
          <cell r="DC266">
            <v>0.12970645792563595</v>
          </cell>
          <cell r="DE266">
            <v>0.14967284121279123</v>
          </cell>
          <cell r="DG266">
            <v>0.27135461604831757</v>
          </cell>
          <cell r="DH266">
            <v>0.34838935574229701</v>
          </cell>
          <cell r="DI266">
            <v>0.34839246119733946</v>
          </cell>
          <cell r="DJ266">
            <v>0.1864905882619432</v>
          </cell>
          <cell r="DK266">
            <v>0.27678335243805674</v>
          </cell>
          <cell r="DM266">
            <v>0.21004411265693923</v>
          </cell>
          <cell r="DN266">
            <v>2.0254479356011323E-2</v>
          </cell>
          <cell r="DO266">
            <v>8.0508530318602389E-2</v>
          </cell>
          <cell r="DP266">
            <v>5.2340530736922464E-2</v>
          </cell>
          <cell r="DQ266">
            <v>8.0644079608237051E-2</v>
          </cell>
          <cell r="DS266">
            <v>6.4498037016265108E-3</v>
          </cell>
          <cell r="DT266">
            <v>8.7299567319928828E-2</v>
          </cell>
          <cell r="DU266">
            <v>-6.5010689268538702E-3</v>
          </cell>
          <cell r="DV266">
            <v>1.103747048547965E-2</v>
          </cell>
          <cell r="DW266">
            <v>2.3209941933532985E-2</v>
          </cell>
          <cell r="DY266">
            <v>4.2351629980496019E-2</v>
          </cell>
          <cell r="DZ266">
            <v>-6.0861423220973654E-3</v>
          </cell>
          <cell r="EA266">
            <v>4.4997606510291943E-2</v>
          </cell>
          <cell r="EB266">
            <v>3.2836892158621955E-2</v>
          </cell>
          <cell r="EC266">
            <v>2.8219395866454722E-2</v>
          </cell>
          <cell r="EE266">
            <v>2.0850040096231037E-2</v>
          </cell>
          <cell r="EF266">
            <v>3.4149788035798379E-2</v>
          </cell>
          <cell r="EG266">
            <v>-3.6646816307833285E-2</v>
          </cell>
          <cell r="EH266">
            <v>-0.1351633078526755</v>
          </cell>
          <cell r="EI266">
            <v>-3.948312993539127E-2</v>
          </cell>
          <cell r="EK266">
            <v>-9.0599633411887925E-2</v>
          </cell>
          <cell r="EL266">
            <v>-0.15212935549988615</v>
          </cell>
          <cell r="EM266">
            <v>-9.0390275333487202E-2</v>
          </cell>
          <cell r="EN266">
            <v>-2.2780621196561435E-2</v>
          </cell>
          <cell r="EO266">
            <v>-8.6672612991211317E-2</v>
          </cell>
          <cell r="EQ266">
            <v>3.5119558775704052E-2</v>
          </cell>
          <cell r="ER266">
            <v>3.0204891157363578E-2</v>
          </cell>
          <cell r="ES266">
            <v>8.7533509354320582E-3</v>
          </cell>
          <cell r="ET266">
            <v>-1.968054292751642E-2</v>
          </cell>
          <cell r="EU266">
            <v>1.0837802063095481E-2</v>
          </cell>
          <cell r="EW266">
            <v>7.757927102309603E-3</v>
          </cell>
          <cell r="EX266">
            <v>4.1605939375977119E-3</v>
          </cell>
          <cell r="EY266">
            <v>2.4178493675081514E-2</v>
          </cell>
          <cell r="EZ266">
            <v>-2.3217189413246353E-2</v>
          </cell>
          <cell r="FA266">
            <v>1.6464698623279705E-3</v>
          </cell>
        </row>
        <row r="267">
          <cell r="C267" t="str">
            <v>-</v>
          </cell>
          <cell r="D267">
            <v>0.11918452164062621</v>
          </cell>
          <cell r="E267">
            <v>2.7821582769062569</v>
          </cell>
          <cell r="F267">
            <v>1.5756325621274425</v>
          </cell>
          <cell r="G267">
            <v>1.8380962726835053</v>
          </cell>
          <cell r="H267">
            <v>0.90963995895905203</v>
          </cell>
          <cell r="I267">
            <v>-1.2430854896023358E-2</v>
          </cell>
          <cell r="J267">
            <v>-1.153335394126739</v>
          </cell>
          <cell r="K267">
            <v>-6.0007257479235552</v>
          </cell>
          <cell r="L267">
            <v>2.7618602251104583</v>
          </cell>
          <cell r="M267">
            <v>0.21501748911216989</v>
          </cell>
          <cell r="O267" t="str">
            <v>-</v>
          </cell>
          <cell r="P267" t="str">
            <v>-</v>
          </cell>
          <cell r="Q267" t="str">
            <v>-</v>
          </cell>
          <cell r="R267" t="str">
            <v>-</v>
          </cell>
          <cell r="S267">
            <v>0.55589894478371837</v>
          </cell>
          <cell r="U267">
            <v>0.42773688748507843</v>
          </cell>
          <cell r="V267">
            <v>0.45651247523064753</v>
          </cell>
          <cell r="W267">
            <v>0.40289805038503257</v>
          </cell>
          <cell r="X267">
            <v>0.46594192926929789</v>
          </cell>
          <cell r="Y267">
            <v>0.44372678102500673</v>
          </cell>
          <cell r="AA267">
            <v>0.29060688630753617</v>
          </cell>
          <cell r="AB267">
            <v>0.31290183371490099</v>
          </cell>
          <cell r="AC267">
            <v>0.3179719902537903</v>
          </cell>
          <cell r="AD267">
            <v>0.35149535342157234</v>
          </cell>
          <cell r="AE267">
            <v>0.32715017720547213</v>
          </cell>
          <cell r="AG267">
            <v>0.45288569655050037</v>
          </cell>
          <cell r="AH267">
            <v>4.3610999688014518E-2</v>
          </cell>
          <cell r="AI267">
            <v>0.11550918229300566</v>
          </cell>
          <cell r="AJ267">
            <v>0.11914585052384097</v>
          </cell>
          <cell r="AK267">
            <v>0.14681000979666026</v>
          </cell>
          <cell r="AM267">
            <v>0.1901777029956675</v>
          </cell>
          <cell r="AN267">
            <v>0.46310670282505484</v>
          </cell>
          <cell r="AO267">
            <v>0.3635209715590233</v>
          </cell>
          <cell r="AP267">
            <v>0.30931279820863877</v>
          </cell>
          <cell r="AQ267">
            <v>0.33093043962421098</v>
          </cell>
          <cell r="AS267">
            <v>0.21402710755329513</v>
          </cell>
          <cell r="AT267">
            <v>0.40284502417221302</v>
          </cell>
          <cell r="AU267">
            <v>1.6023692125130427</v>
          </cell>
          <cell r="AV267">
            <v>8.3140324598991349</v>
          </cell>
          <cell r="AW267">
            <v>3.882159482631625</v>
          </cell>
          <cell r="AY267">
            <v>1.1149114521841805</v>
          </cell>
          <cell r="AZ267">
            <v>0.62033278302975603</v>
          </cell>
          <cell r="BA267">
            <v>-0.23646315528790174</v>
          </cell>
          <cell r="BB267">
            <v>-0.82593861318901318</v>
          </cell>
          <cell r="BC267">
            <v>-0.59321534411681931</v>
          </cell>
          <cell r="BE267">
            <v>1.9913877164673188E-2</v>
          </cell>
          <cell r="BF267">
            <v>-0.11802912084544337</v>
          </cell>
          <cell r="BG267">
            <v>-0.12825867217874609</v>
          </cell>
          <cell r="BH267">
            <v>-0.23266120243263511</v>
          </cell>
          <cell r="BI267">
            <v>-0.13165948019111973</v>
          </cell>
          <cell r="BK267">
            <v>-0.32830331080864716</v>
          </cell>
          <cell r="BL267">
            <v>-2.632011427907921E-2</v>
          </cell>
          <cell r="BM267">
            <v>0.12407106648949306</v>
          </cell>
          <cell r="BN267">
            <v>0.30829526870805868</v>
          </cell>
          <cell r="BO267">
            <v>3.740435262477293E-2</v>
          </cell>
          <cell r="BQ267">
            <v>0.28279883381924198</v>
          </cell>
          <cell r="BR267">
            <v>0.15327102803738324</v>
          </cell>
          <cell r="BS267">
            <v>0.11033274956217154</v>
          </cell>
          <cell r="BT267">
            <v>0.15330848089468763</v>
          </cell>
          <cell r="BU267">
            <v>0.16191384242003992</v>
          </cell>
          <cell r="BW267">
            <v>0.20149205469327414</v>
          </cell>
          <cell r="BX267">
            <v>0.34757758933060656</v>
          </cell>
          <cell r="BY267">
            <v>0.30126182965299675</v>
          </cell>
          <cell r="BZ267">
            <v>0.36969696969696964</v>
          </cell>
          <cell r="CA267">
            <v>0.32081755937412337</v>
          </cell>
          <cell r="CC267">
            <v>0.39599152630344614</v>
          </cell>
          <cell r="CD267">
            <v>0.16843312581194692</v>
          </cell>
          <cell r="CE267">
            <v>0.21228995774612258</v>
          </cell>
          <cell r="CF267">
            <v>0.13381268436578186</v>
          </cell>
          <cell r="CG267">
            <v>0.19936600792178805</v>
          </cell>
          <cell r="CI267">
            <v>0.2615176151761518</v>
          </cell>
          <cell r="CJ267">
            <v>0.19969119917653111</v>
          </cell>
          <cell r="CK267">
            <v>0.30081890631312591</v>
          </cell>
          <cell r="CL267">
            <v>0.24199160948323506</v>
          </cell>
          <cell r="CM267">
            <v>0.24956169535618589</v>
          </cell>
          <cell r="CO267">
            <v>0.25134264232008596</v>
          </cell>
          <cell r="CP267">
            <v>0.38395538395538398</v>
          </cell>
          <cell r="CQ267">
            <v>0.2190622598001537</v>
          </cell>
          <cell r="CR267">
            <v>0.27467923540193762</v>
          </cell>
          <cell r="CS267">
            <v>0.28094968908988127</v>
          </cell>
          <cell r="CU267">
            <v>0.32532188841201726</v>
          </cell>
          <cell r="CV267">
            <v>8.2455052696838171E-2</v>
          </cell>
          <cell r="CW267">
            <v>0.1223203026481714</v>
          </cell>
          <cell r="CX267">
            <v>-4.5603944124897322E-2</v>
          </cell>
          <cell r="CY267">
            <v>8.7525742865548706E-2</v>
          </cell>
          <cell r="DA267">
            <v>-2.5906735751295429E-3</v>
          </cell>
          <cell r="DB267">
            <v>0.12313860252004583</v>
          </cell>
          <cell r="DC267">
            <v>9.2921348314606522E-2</v>
          </cell>
          <cell r="DE267">
            <v>0.14893818476937626</v>
          </cell>
          <cell r="DG267">
            <v>0.3824675324675324</v>
          </cell>
          <cell r="DH267">
            <v>0.36511983681795002</v>
          </cell>
          <cell r="DI267">
            <v>0.42027346561118573</v>
          </cell>
          <cell r="DJ267">
            <v>0.27046625324014828</v>
          </cell>
          <cell r="DK267">
            <v>0.34693493130525921</v>
          </cell>
          <cell r="DM267">
            <v>0.15782057303898545</v>
          </cell>
          <cell r="DN267">
            <v>3.9970115801269968E-2</v>
          </cell>
          <cell r="DO267">
            <v>0.13222555193630114</v>
          </cell>
          <cell r="DP267">
            <v>7.003091425619834E-2</v>
          </cell>
          <cell r="DQ267">
            <v>9.4353544270605827E-2</v>
          </cell>
          <cell r="DS267">
            <v>6.0446247464503111E-2</v>
          </cell>
          <cell r="DT267">
            <v>0.12140804597701149</v>
          </cell>
          <cell r="DU267">
            <v>-6.5015967577941591E-3</v>
          </cell>
          <cell r="DV267">
            <v>-7.0380342809378549E-3</v>
          </cell>
          <cell r="DW267">
            <v>3.4942784907716407E-2</v>
          </cell>
          <cell r="DY267">
            <v>5.6235654169854543E-2</v>
          </cell>
          <cell r="DZ267">
            <v>1.05701473414479E-2</v>
          </cell>
          <cell r="EA267">
            <v>1.608751608751513E-3</v>
          </cell>
          <cell r="EB267">
            <v>1.7258142926592113E-2</v>
          </cell>
          <cell r="EC267">
            <v>1.975613520605024E-2</v>
          </cell>
          <cell r="EE267">
            <v>1.6298442593263296E-2</v>
          </cell>
          <cell r="EF267">
            <v>-1.2044374009508751E-2</v>
          </cell>
          <cell r="EG267">
            <v>-1.3491808544812134E-2</v>
          </cell>
          <cell r="EH267">
            <v>-0.16463560334528071</v>
          </cell>
          <cell r="EI267">
            <v>-5.4790373845921003E-2</v>
          </cell>
          <cell r="EK267">
            <v>-0.1635780470420527</v>
          </cell>
          <cell r="EL267">
            <v>-0.12255373756817456</v>
          </cell>
          <cell r="EM267">
            <v>-0.14359190261290211</v>
          </cell>
          <cell r="EN267">
            <v>-2.1752386231394416E-2</v>
          </cell>
          <cell r="EO267">
            <v>-0.10872834869408954</v>
          </cell>
          <cell r="EQ267">
            <v>5.8230609885383977E-2</v>
          </cell>
          <cell r="ER267">
            <v>-2.5573369652922562E-2</v>
          </cell>
          <cell r="ES267">
            <v>1.9959292038316701E-2</v>
          </cell>
          <cell r="ET267">
            <v>-1.7298524392368453E-2</v>
          </cell>
          <cell r="EU267">
            <v>5.3950357494876311E-3</v>
          </cell>
          <cell r="EW267">
            <v>1.4095805841676468E-2</v>
          </cell>
          <cell r="EX267">
            <v>9.6540314599828925E-3</v>
          </cell>
          <cell r="EY267">
            <v>3.0889805407103399E-2</v>
          </cell>
          <cell r="EZ267">
            <v>-2.0390012044572137E-2</v>
          </cell>
          <cell r="FA267">
            <v>6.707786796433135E-3</v>
          </cell>
        </row>
        <row r="268">
          <cell r="C268" t="str">
            <v>-</v>
          </cell>
          <cell r="D268" t="str">
            <v>-</v>
          </cell>
          <cell r="E268" t="str">
            <v>-</v>
          </cell>
          <cell r="F268" t="str">
            <v>-</v>
          </cell>
          <cell r="G268" t="str">
            <v>-</v>
          </cell>
          <cell r="H268">
            <v>1</v>
          </cell>
          <cell r="I268">
            <v>0</v>
          </cell>
          <cell r="J268" t="str">
            <v>-</v>
          </cell>
          <cell r="K268" t="str">
            <v>-</v>
          </cell>
          <cell r="L268">
            <v>3</v>
          </cell>
          <cell r="M268">
            <v>0.25</v>
          </cell>
          <cell r="O268" t="str">
            <v>-</v>
          </cell>
          <cell r="P268" t="str">
            <v>-</v>
          </cell>
          <cell r="Q268" t="str">
            <v>-</v>
          </cell>
          <cell r="R268" t="str">
            <v>-</v>
          </cell>
          <cell r="S268">
            <v>0.59999999999999987</v>
          </cell>
          <cell r="U268">
            <v>0</v>
          </cell>
          <cell r="V268">
            <v>0</v>
          </cell>
          <cell r="W268">
            <v>0</v>
          </cell>
          <cell r="X268">
            <v>0.33333333333333348</v>
          </cell>
          <cell r="Y268">
            <v>0.125</v>
          </cell>
          <cell r="AA268">
            <v>1</v>
          </cell>
          <cell r="AB268">
            <v>0.5</v>
          </cell>
          <cell r="AC268">
            <v>0.5</v>
          </cell>
          <cell r="AD268">
            <v>0.5</v>
          </cell>
          <cell r="AE268">
            <v>0.5555555555555558</v>
          </cell>
          <cell r="AG268">
            <v>0.5</v>
          </cell>
          <cell r="AH268">
            <v>0</v>
          </cell>
          <cell r="AI268">
            <v>0.33333333333333348</v>
          </cell>
          <cell r="AJ268">
            <v>0.16666666666666674</v>
          </cell>
          <cell r="AK268">
            <v>0.21428571428571419</v>
          </cell>
          <cell r="AM268">
            <v>0</v>
          </cell>
          <cell r="AN268">
            <v>0.66666666666666674</v>
          </cell>
          <cell r="AO268">
            <v>0.25</v>
          </cell>
          <cell r="AP268">
            <v>0.28571428571428559</v>
          </cell>
          <cell r="AQ268">
            <v>0.29411764705882337</v>
          </cell>
          <cell r="AS268">
            <v>0.33333333333333348</v>
          </cell>
          <cell r="AT268">
            <v>0.19999999999999996</v>
          </cell>
          <cell r="AU268">
            <v>1.6</v>
          </cell>
          <cell r="AV268">
            <v>8.1111111111111107</v>
          </cell>
          <cell r="AW268">
            <v>3.7727272727272725</v>
          </cell>
          <cell r="AY268">
            <v>1</v>
          </cell>
          <cell r="AZ268">
            <v>0.83333333333333348</v>
          </cell>
          <cell r="BA268">
            <v>-0.23076923076923073</v>
          </cell>
          <cell r="BB268">
            <v>-0.81707317073170738</v>
          </cell>
          <cell r="BC268">
            <v>-0.58095238095238089</v>
          </cell>
          <cell r="BE268">
            <v>0.125</v>
          </cell>
          <cell r="BF268">
            <v>-9.0909090909090828E-2</v>
          </cell>
          <cell r="BG268">
            <v>-0.10000000000000009</v>
          </cell>
          <cell r="BH268">
            <v>-0.19999999999999996</v>
          </cell>
          <cell r="BI268">
            <v>-9.0909090909090939E-2</v>
          </cell>
          <cell r="BK268">
            <v>-0.33333333333333337</v>
          </cell>
          <cell r="BL268">
            <v>0</v>
          </cell>
          <cell r="BM268">
            <v>0.22222222222222232</v>
          </cell>
          <cell r="BN268">
            <v>0.33333333333333348</v>
          </cell>
          <cell r="BO268">
            <v>7.4999999999999956E-2</v>
          </cell>
          <cell r="BQ268">
            <v>0.37150000000000016</v>
          </cell>
          <cell r="BR268">
            <v>0.15609999999999991</v>
          </cell>
          <cell r="BS268">
            <v>7.990909090909093E-2</v>
          </cell>
          <cell r="BT268">
            <v>0.17118750000000005</v>
          </cell>
          <cell r="BU268">
            <v>0.1706511627906977</v>
          </cell>
          <cell r="BW268">
            <v>0.22578685137926846</v>
          </cell>
          <cell r="BX268">
            <v>0.37825447625637931</v>
          </cell>
          <cell r="BY268">
            <v>0.32788955299267597</v>
          </cell>
          <cell r="BZ268">
            <v>0.38257110838358499</v>
          </cell>
          <cell r="CA268">
            <v>0.3448686876713416</v>
          </cell>
          <cell r="CC268">
            <v>0.39516208981857837</v>
          </cell>
          <cell r="CD268">
            <v>0.16398895443705275</v>
          </cell>
          <cell r="CE268">
            <v>0.19538481044757194</v>
          </cell>
          <cell r="CF268">
            <v>0.10444650301065317</v>
          </cell>
          <cell r="CG268">
            <v>0.18598776921031646</v>
          </cell>
          <cell r="CI268">
            <v>0.24657144887372984</v>
          </cell>
          <cell r="CJ268">
            <v>0.18498948617027011</v>
          </cell>
          <cell r="CK268">
            <v>0.31120067882901981</v>
          </cell>
          <cell r="CL268">
            <v>0.27741664919270281</v>
          </cell>
          <cell r="CM268">
            <v>0.25329746291521871</v>
          </cell>
          <cell r="CO268">
            <v>0.27218833722852409</v>
          </cell>
          <cell r="CP268">
            <v>0.4024934024934026</v>
          </cell>
          <cell r="CQ268">
            <v>0.23669309173272923</v>
          </cell>
          <cell r="CR268">
            <v>0.27251586780477122</v>
          </cell>
          <cell r="CS268">
            <v>0.2946355812613044</v>
          </cell>
          <cell r="CU268">
            <v>0.32153418765122321</v>
          </cell>
          <cell r="CV268">
            <v>9.2038671165325825E-2</v>
          </cell>
          <cell r="CW268">
            <v>0.15142595499738354</v>
          </cell>
          <cell r="CX268">
            <v>-9.6532152301507246E-3</v>
          </cell>
          <cell r="CY268">
            <v>0.10617621321215287</v>
          </cell>
          <cell r="DA268">
            <v>3.1294500576388495E-2</v>
          </cell>
          <cell r="DB268">
            <v>0.15041145539348189</v>
          </cell>
          <cell r="DC268">
            <v>8.8592853490882195E-2</v>
          </cell>
          <cell r="DE268">
            <v>0.16184614103507133</v>
          </cell>
          <cell r="DG268">
            <v>0.37702600519446361</v>
          </cell>
          <cell r="DH268">
            <v>0.35099679785146165</v>
          </cell>
          <cell r="DI268">
            <v>0.40015655577299425</v>
          </cell>
          <cell r="DJ268">
            <v>0.25227136081234547</v>
          </cell>
          <cell r="DK268">
            <v>0.33249317621200625</v>
          </cell>
          <cell r="DM268">
            <v>0.14274800047749792</v>
          </cell>
          <cell r="DN268">
            <v>3.8745316920253847E-2</v>
          </cell>
          <cell r="DO268">
            <v>0.14759322412925568</v>
          </cell>
          <cell r="DP268">
            <v>9.9185126898814424E-2</v>
          </cell>
          <cell r="DQ268">
            <v>0.10149351406108509</v>
          </cell>
          <cell r="DS268">
            <v>0.10575798094601363</v>
          </cell>
          <cell r="DT268">
            <v>0.18015199749737776</v>
          </cell>
          <cell r="DU268">
            <v>4.8846235040028496E-2</v>
          </cell>
          <cell r="DV268">
            <v>4.9540148996578326E-2</v>
          </cell>
          <cell r="DW268">
            <v>8.8625829633638631E-2</v>
          </cell>
          <cell r="DY268">
            <v>0.11610550580055179</v>
          </cell>
          <cell r="DZ268">
            <v>6.9449425412813959E-2</v>
          </cell>
          <cell r="EA268">
            <v>5.3492080694855337E-2</v>
          </cell>
          <cell r="EB268">
            <v>5.8901053167015549E-2</v>
          </cell>
          <cell r="EC268">
            <v>7.2742224880382844E-2</v>
          </cell>
          <cell r="EE268">
            <v>4.4454977907941506E-2</v>
          </cell>
          <cell r="EF268">
            <v>8.7917535393005064E-3</v>
          </cell>
          <cell r="EG268">
            <v>4.291340897066398E-3</v>
          </cell>
          <cell r="EH268">
            <v>-0.1447988995152627</v>
          </cell>
          <cell r="EI268">
            <v>-3.33786326573281E-2</v>
          </cell>
          <cell r="EK268">
            <v>-0.13778627810104227</v>
          </cell>
          <cell r="EL268">
            <v>-8.413065471889003E-2</v>
          </cell>
          <cell r="EM268">
            <v>-0.10285940060875665</v>
          </cell>
          <cell r="EN268">
            <v>2.8059693871037794E-2</v>
          </cell>
          <cell r="EO268">
            <v>-7.0248485045115161E-2</v>
          </cell>
          <cell r="EQ268">
            <v>0.1098202872396421</v>
          </cell>
          <cell r="ER268">
            <v>5.6967918067194478E-3</v>
          </cell>
          <cell r="ES268">
            <v>5.3272872592036835E-2</v>
          </cell>
          <cell r="ET268">
            <v>1.4615489687201277E-2</v>
          </cell>
          <cell r="EU268">
            <v>4.2130322510604223E-2</v>
          </cell>
          <cell r="EW268">
            <v>4.6647921677563708E-2</v>
          </cell>
          <cell r="EX268">
            <v>4.1314922328573811E-2</v>
          </cell>
          <cell r="EY268">
            <v>6.2471930992829661E-2</v>
          </cell>
          <cell r="EZ268">
            <v>9.2035051647330057E-3</v>
          </cell>
          <cell r="FA268">
            <v>3.7990177840613093E-2</v>
          </cell>
        </row>
        <row r="269">
          <cell r="CG269">
            <v>0</v>
          </cell>
          <cell r="CM269">
            <v>0</v>
          </cell>
          <cell r="CS269">
            <v>0</v>
          </cell>
          <cell r="CY269">
            <v>0</v>
          </cell>
          <cell r="DE269">
            <v>0</v>
          </cell>
          <cell r="DK269">
            <v>0</v>
          </cell>
          <cell r="DQ269">
            <v>0</v>
          </cell>
          <cell r="DW269">
            <v>0</v>
          </cell>
          <cell r="EC269">
            <v>0</v>
          </cell>
          <cell r="EI269">
            <v>0</v>
          </cell>
          <cell r="EO269">
            <v>0</v>
          </cell>
          <cell r="EU269">
            <v>0</v>
          </cell>
          <cell r="FA269">
            <v>0</v>
          </cell>
        </row>
        <row r="270">
          <cell r="CG270">
            <v>0</v>
          </cell>
          <cell r="CM270">
            <v>0</v>
          </cell>
          <cell r="CS270">
            <v>0</v>
          </cell>
          <cell r="CY270">
            <v>0</v>
          </cell>
          <cell r="DE270">
            <v>0</v>
          </cell>
          <cell r="DK270">
            <v>0</v>
          </cell>
          <cell r="DQ270">
            <v>0</v>
          </cell>
          <cell r="DW270">
            <v>0</v>
          </cell>
          <cell r="EC270">
            <v>0</v>
          </cell>
          <cell r="EI270">
            <v>0</v>
          </cell>
          <cell r="EO270">
            <v>0</v>
          </cell>
          <cell r="EU270">
            <v>0</v>
          </cell>
          <cell r="FA270">
            <v>0</v>
          </cell>
        </row>
        <row r="271">
          <cell r="C271" t="str">
            <v>-</v>
          </cell>
          <cell r="D271" t="str">
            <v>-</v>
          </cell>
          <cell r="E271" t="str">
            <v>-</v>
          </cell>
          <cell r="F271" t="str">
            <v>-</v>
          </cell>
          <cell r="G271" t="str">
            <v>-</v>
          </cell>
          <cell r="H271" t="str">
            <v>-</v>
          </cell>
          <cell r="I271" t="str">
            <v>-</v>
          </cell>
          <cell r="J271" t="str">
            <v>-</v>
          </cell>
          <cell r="K271" t="str">
            <v>-</v>
          </cell>
          <cell r="L271" t="str">
            <v>-</v>
          </cell>
          <cell r="M271" t="str">
            <v>-</v>
          </cell>
          <cell r="O271" t="str">
            <v>-</v>
          </cell>
          <cell r="P271">
            <v>0.22500000000000009</v>
          </cell>
          <cell r="Q271">
            <v>9.3294460641399457E-2</v>
          </cell>
          <cell r="R271">
            <v>0.62133333333333329</v>
          </cell>
          <cell r="S271" t="str">
            <v>-</v>
          </cell>
          <cell r="U271">
            <v>-0.42434210526315785</v>
          </cell>
          <cell r="V271">
            <v>0.38597142857142841</v>
          </cell>
          <cell r="W271">
            <v>6.165866127935038E-2</v>
          </cell>
          <cell r="X271">
            <v>0.71456310679611645</v>
          </cell>
          <cell r="Y271" t="str">
            <v>-</v>
          </cell>
          <cell r="AA271">
            <v>-0.49680973952434881</v>
          </cell>
          <cell r="AB271">
            <v>0.36489713425324721</v>
          </cell>
          <cell r="AC271">
            <v>9.5325725083972523E-2</v>
          </cell>
          <cell r="AD271">
            <v>0.66716948410028065</v>
          </cell>
          <cell r="AE271" t="str">
            <v>-</v>
          </cell>
          <cell r="AG271">
            <v>-0.54364929941332596</v>
          </cell>
          <cell r="AH271">
            <v>0.22912049642246579</v>
          </cell>
          <cell r="AI271">
            <v>0.21254314452772838</v>
          </cell>
          <cell r="AJ271">
            <v>0.60559511307194813</v>
          </cell>
          <cell r="AK271" t="str">
            <v>-</v>
          </cell>
          <cell r="AM271">
            <v>-0.53890482526173722</v>
          </cell>
          <cell r="AN271">
            <v>0.33649502432690781</v>
          </cell>
          <cell r="AO271">
            <v>7.9651444420440365E-2</v>
          </cell>
          <cell r="AP271">
            <v>0.84363422142735511</v>
          </cell>
          <cell r="AQ271" t="str">
            <v>-</v>
          </cell>
          <cell r="AS271">
            <v>-0.59374033049728292</v>
          </cell>
          <cell r="AT271">
            <v>0.45553276716347568</v>
          </cell>
          <cell r="AU271">
            <v>0.18928464347316543</v>
          </cell>
          <cell r="AV271">
            <v>0.717787282665169</v>
          </cell>
          <cell r="AW271" t="str">
            <v>-</v>
          </cell>
          <cell r="AY271">
            <v>-0.56961918654290211</v>
          </cell>
          <cell r="AZ271">
            <v>0.4174393351010377</v>
          </cell>
          <cell r="BA271">
            <v>7.1094491091694412E-3</v>
          </cell>
          <cell r="BB271">
            <v>0.47005581467167423</v>
          </cell>
          <cell r="BC271" t="str">
            <v>-</v>
          </cell>
          <cell r="BE271">
            <v>-0.56063219811180853</v>
          </cell>
          <cell r="BF271">
            <v>0.1297735365092223</v>
          </cell>
          <cell r="BG271">
            <v>-3.2908011167663176E-2</v>
          </cell>
          <cell r="BH271">
            <v>0.48011269664960432</v>
          </cell>
          <cell r="BI271" t="str">
            <v>-</v>
          </cell>
          <cell r="BK271">
            <v>-0.51042541683406117</v>
          </cell>
          <cell r="BL271">
            <v>0.3587921847246891</v>
          </cell>
          <cell r="BM271">
            <v>-1.3071895424836555E-2</v>
          </cell>
          <cell r="BN271">
            <v>0.57218543046357606</v>
          </cell>
          <cell r="BO271" t="str">
            <v>-</v>
          </cell>
          <cell r="BQ271">
            <v>-0.55770850884582979</v>
          </cell>
          <cell r="BR271">
            <v>0.62857142857142856</v>
          </cell>
          <cell r="BS271">
            <v>-9.3567251461987855E-3</v>
          </cell>
          <cell r="BT271">
            <v>0.55135773317591497</v>
          </cell>
          <cell r="BU271" t="str">
            <v>-</v>
          </cell>
          <cell r="BW271">
            <v>-0.57153729071537285</v>
          </cell>
          <cell r="BX271">
            <v>0.72468916518650084</v>
          </cell>
          <cell r="BY271">
            <v>-2.4716786817713721E-2</v>
          </cell>
          <cell r="BZ271">
            <v>0.69904963041182677</v>
          </cell>
          <cell r="CA271" t="str">
            <v>-</v>
          </cell>
          <cell r="CC271">
            <v>-0.60907395898073335</v>
          </cell>
          <cell r="CD271">
            <v>0.68203497615262321</v>
          </cell>
          <cell r="CE271">
            <v>3.6294896030245827E-2</v>
          </cell>
          <cell r="CF271">
            <v>0.93451295147756275</v>
          </cell>
          <cell r="CG271" t="str">
            <v>-</v>
          </cell>
          <cell r="CI271">
            <v>-0.62093352192362095</v>
          </cell>
          <cell r="CJ271">
            <v>0.50124378109452739</v>
          </cell>
          <cell r="CK271">
            <v>0.15161557580778795</v>
          </cell>
          <cell r="CL271">
            <v>0.78489208633093521</v>
          </cell>
          <cell r="CM271" t="str">
            <v>-</v>
          </cell>
          <cell r="CO271">
            <v>-0.56187021362353895</v>
          </cell>
          <cell r="CP271">
            <v>0.53449862005519777</v>
          </cell>
          <cell r="CQ271">
            <v>-3.1175059952038398E-2</v>
          </cell>
          <cell r="CR271">
            <v>0.9455445544554455</v>
          </cell>
          <cell r="CS271" t="str">
            <v>-</v>
          </cell>
          <cell r="CU271">
            <v>-0.60718829516539441</v>
          </cell>
          <cell r="CV271">
            <v>0.31659919028340089</v>
          </cell>
          <cell r="CW271">
            <v>-6.765067650676504E-2</v>
          </cell>
          <cell r="CX271">
            <v>0.81002638522427439</v>
          </cell>
          <cell r="CY271" t="str">
            <v>-</v>
          </cell>
          <cell r="DA271">
            <v>-0.62536443148688048</v>
          </cell>
          <cell r="DB271">
            <v>0.60797665369649811</v>
          </cell>
          <cell r="DC271">
            <v>3.9564428312159672E-2</v>
          </cell>
          <cell r="DE271" t="str">
            <v>-</v>
          </cell>
          <cell r="DG271">
            <v>-0.58979266347687398</v>
          </cell>
          <cell r="DH271">
            <v>0.55443234836702948</v>
          </cell>
          <cell r="DI271">
            <v>0.10755377688844425</v>
          </cell>
          <cell r="DJ271">
            <v>0.68744354110207762</v>
          </cell>
          <cell r="DK271" t="str">
            <v>-</v>
          </cell>
          <cell r="DM271">
            <v>-0.59903640256959312</v>
          </cell>
          <cell r="DN271">
            <v>0.36715620827770357</v>
          </cell>
          <cell r="DO271">
            <v>0.1591796875</v>
          </cell>
          <cell r="DP271">
            <v>0.68786857624262843</v>
          </cell>
          <cell r="DQ271" t="str">
            <v>-</v>
          </cell>
          <cell r="DS271">
            <v>-0.57274769153980531</v>
          </cell>
          <cell r="DT271">
            <v>0.46904205607476634</v>
          </cell>
          <cell r="DU271">
            <v>-2.6640159045725698E-2</v>
          </cell>
          <cell r="DV271">
            <v>0.69403594771241828</v>
          </cell>
          <cell r="DW271" t="str">
            <v>-</v>
          </cell>
          <cell r="DY271">
            <v>-0.57439112611526411</v>
          </cell>
          <cell r="DZ271">
            <v>0.40509915014164299</v>
          </cell>
          <cell r="EA271">
            <v>2.4596774193548443E-2</v>
          </cell>
          <cell r="EB271">
            <v>0.66233766233766245</v>
          </cell>
          <cell r="EC271" t="str">
            <v>-</v>
          </cell>
          <cell r="EE271">
            <v>-0.56273674242424243</v>
          </cell>
          <cell r="EF271">
            <v>0.38819707634001088</v>
          </cell>
          <cell r="EG271">
            <v>-2.0280811232449292E-2</v>
          </cell>
          <cell r="EH271">
            <v>0.47969745222929938</v>
          </cell>
          <cell r="EI271" t="str">
            <v>-</v>
          </cell>
          <cell r="EK271">
            <v>-0.52569276298089851</v>
          </cell>
          <cell r="EL271">
            <v>0.32104367555303459</v>
          </cell>
          <cell r="EM271">
            <v>2.5285530270502399E-2</v>
          </cell>
          <cell r="EN271">
            <v>0.45666257658434861</v>
          </cell>
          <cell r="EO271" t="str">
            <v>-</v>
          </cell>
          <cell r="EQ271">
            <v>-0.46313194474391584</v>
          </cell>
          <cell r="ER271">
            <v>0.27644631750307225</v>
          </cell>
          <cell r="ES271">
            <v>3.3805374519383147E-2</v>
          </cell>
          <cell r="ET271">
            <v>0.39452964587980599</v>
          </cell>
          <cell r="EU271" t="str">
            <v>-</v>
          </cell>
          <cell r="EW271">
            <v>-0.40313919593021774</v>
          </cell>
          <cell r="EX271">
            <v>0.23218791687793994</v>
          </cell>
          <cell r="EY271">
            <v>3.9701234158461718E-2</v>
          </cell>
          <cell r="EZ271">
            <v>0.32329956848396924</v>
          </cell>
          <cell r="FA271" t="str">
            <v>-</v>
          </cell>
        </row>
        <row r="272">
          <cell r="C272" t="str">
            <v>-</v>
          </cell>
          <cell r="D272" t="str">
            <v>-</v>
          </cell>
          <cell r="E272" t="str">
            <v>-</v>
          </cell>
          <cell r="F272" t="str">
            <v>-</v>
          </cell>
          <cell r="G272" t="str">
            <v>-</v>
          </cell>
          <cell r="H272" t="str">
            <v>-</v>
          </cell>
          <cell r="I272" t="str">
            <v>-</v>
          </cell>
          <cell r="J272" t="str">
            <v>-</v>
          </cell>
          <cell r="K272" t="str">
            <v>-</v>
          </cell>
          <cell r="L272" t="str">
            <v>-</v>
          </cell>
          <cell r="M272" t="str">
            <v>-</v>
          </cell>
          <cell r="O272" t="str">
            <v>-</v>
          </cell>
          <cell r="P272">
            <v>0.22957198443579774</v>
          </cell>
          <cell r="Q272">
            <v>8.2278481012658222E-2</v>
          </cell>
          <cell r="R272">
            <v>0.57017543859649122</v>
          </cell>
          <cell r="S272" t="str">
            <v>-</v>
          </cell>
          <cell r="U272">
            <v>-0.43761638733705777</v>
          </cell>
          <cell r="V272">
            <v>0.41751655629139073</v>
          </cell>
          <cell r="W272">
            <v>4.6508911677451081E-2</v>
          </cell>
          <cell r="X272">
            <v>0.6964285714285714</v>
          </cell>
          <cell r="Y272" t="str">
            <v>-</v>
          </cell>
          <cell r="AA272">
            <v>-0.48170921052631577</v>
          </cell>
          <cell r="AB272">
            <v>0.28212164985618204</v>
          </cell>
          <cell r="AC272">
            <v>0.10179019422647007</v>
          </cell>
          <cell r="AD272">
            <v>0.5973499198470269</v>
          </cell>
          <cell r="AE272" t="str">
            <v>-</v>
          </cell>
          <cell r="AG272">
            <v>-0.54215068691966795</v>
          </cell>
          <cell r="AH272">
            <v>0.26018375857298359</v>
          </cell>
          <cell r="AI272">
            <v>0.19629388410929227</v>
          </cell>
          <cell r="AJ272">
            <v>0.61943494057796888</v>
          </cell>
          <cell r="AK272" t="str">
            <v>-</v>
          </cell>
          <cell r="AM272">
            <v>-0.53747614523025389</v>
          </cell>
          <cell r="AN272">
            <v>0.34225272728459721</v>
          </cell>
          <cell r="AO272">
            <v>6.5597053158580554E-2</v>
          </cell>
          <cell r="AP272">
            <v>0.83528335990846792</v>
          </cell>
          <cell r="AQ272" t="str">
            <v>-</v>
          </cell>
          <cell r="AS272">
            <v>-0.59087868113684472</v>
          </cell>
          <cell r="AT272">
            <v>0.43738335937167561</v>
          </cell>
          <cell r="AU272">
            <v>0.19034669621471956</v>
          </cell>
          <cell r="AV272">
            <v>0.59241025325210583</v>
          </cell>
          <cell r="AW272" t="str">
            <v>-</v>
          </cell>
          <cell r="AY272">
            <v>-0.5420777885947643</v>
          </cell>
          <cell r="AZ272">
            <v>0.32190495989241841</v>
          </cell>
          <cell r="BA272">
            <v>4.6219416602573782E-2</v>
          </cell>
          <cell r="BB272">
            <v>0.50372207562524873</v>
          </cell>
          <cell r="BC272" t="str">
            <v>-</v>
          </cell>
          <cell r="BE272">
            <v>-0.55862133057811869</v>
          </cell>
          <cell r="BF272">
            <v>0.13284510870046029</v>
          </cell>
          <cell r="BG272">
            <v>-1.745858700711278E-2</v>
          </cell>
          <cell r="BH272">
            <v>0.43744833725440313</v>
          </cell>
          <cell r="BI272" t="str">
            <v>-</v>
          </cell>
          <cell r="BK272">
            <v>-0.50014929169385247</v>
          </cell>
          <cell r="BL272">
            <v>0.45353982300884965</v>
          </cell>
          <cell r="BM272">
            <v>-6.3926940639269403E-2</v>
          </cell>
          <cell r="BN272">
            <v>0.53008130081300808</v>
          </cell>
          <cell r="BO272" t="str">
            <v>-</v>
          </cell>
          <cell r="BQ272">
            <v>-0.55579171094580238</v>
          </cell>
          <cell r="BR272">
            <v>0.71770334928229662</v>
          </cell>
          <cell r="BS272">
            <v>-1.5320334261838431E-2</v>
          </cell>
          <cell r="BT272">
            <v>0.53182461103253176</v>
          </cell>
          <cell r="BU272" t="str">
            <v>-</v>
          </cell>
          <cell r="BW272">
            <v>-0.54385964912280704</v>
          </cell>
          <cell r="BX272">
            <v>0.53036437246963564</v>
          </cell>
          <cell r="BY272">
            <v>5.1587301587301626E-2</v>
          </cell>
          <cell r="BZ272">
            <v>0.58364779874213846</v>
          </cell>
          <cell r="CA272" t="str">
            <v>-</v>
          </cell>
          <cell r="CC272">
            <v>-0.60127084988085788</v>
          </cell>
          <cell r="CD272">
            <v>0.57768924302788838</v>
          </cell>
          <cell r="CE272">
            <v>4.4696969696969679E-2</v>
          </cell>
          <cell r="CF272">
            <v>0.78873579888808321</v>
          </cell>
          <cell r="CG272" t="str">
            <v>-</v>
          </cell>
          <cell r="CI272">
            <v>-0.61081081081081079</v>
          </cell>
          <cell r="CJ272">
            <v>0.50520833333333326</v>
          </cell>
          <cell r="CK272">
            <v>0.11534025374855816</v>
          </cell>
          <cell r="CL272">
            <v>0.81489141675284382</v>
          </cell>
          <cell r="CM272" t="str">
            <v>-</v>
          </cell>
          <cell r="CO272">
            <v>-0.59487179487179487</v>
          </cell>
          <cell r="CP272">
            <v>0.56821378340365691</v>
          </cell>
          <cell r="CQ272">
            <v>4.4843049327354167E-2</v>
          </cell>
          <cell r="CR272">
            <v>0.84978540772532196</v>
          </cell>
          <cell r="CS272" t="str">
            <v>-</v>
          </cell>
          <cell r="CU272">
            <v>-0.58051044083526682</v>
          </cell>
          <cell r="CV272">
            <v>0.27986725663716805</v>
          </cell>
          <cell r="CW272">
            <v>-3.1979256698357772E-2</v>
          </cell>
          <cell r="CX272">
            <v>0.73124999999999996</v>
          </cell>
          <cell r="CY272" t="str">
            <v>-</v>
          </cell>
          <cell r="DA272">
            <v>-0.63331614234141309</v>
          </cell>
          <cell r="DB272">
            <v>0.65260196905766521</v>
          </cell>
          <cell r="DC272">
            <v>5.617021276595735E-2</v>
          </cell>
          <cell r="DE272" t="str">
            <v>-</v>
          </cell>
          <cell r="DG272">
            <v>-0.58903508771929824</v>
          </cell>
          <cell r="DH272">
            <v>0.51547491995731054</v>
          </cell>
          <cell r="DI272">
            <v>0.10915492957746475</v>
          </cell>
          <cell r="DJ272">
            <v>0.71047619047619048</v>
          </cell>
          <cell r="DK272" t="str">
            <v>-</v>
          </cell>
          <cell r="DM272">
            <v>-0.60282108389012623</v>
          </cell>
          <cell r="DN272">
            <v>0.38224299065420553</v>
          </cell>
          <cell r="DO272">
            <v>0.16024340770791068</v>
          </cell>
          <cell r="DP272">
            <v>0.58566433566433562</v>
          </cell>
          <cell r="DQ272" t="str">
            <v>-</v>
          </cell>
          <cell r="DS272">
            <v>-0.61580668871738342</v>
          </cell>
          <cell r="DT272">
            <v>0.57182391260677834</v>
          </cell>
          <cell r="DU272">
            <v>1.2993794308437057E-2</v>
          </cell>
          <cell r="DV272">
            <v>0.81452310576021936</v>
          </cell>
          <cell r="DW272" t="str">
            <v>-</v>
          </cell>
          <cell r="DY272">
            <v>-0.61580668871738342</v>
          </cell>
          <cell r="DZ272">
            <v>0.43729844260890061</v>
          </cell>
          <cell r="EA272">
            <v>6.7885083655199852E-2</v>
          </cell>
          <cell r="EB272">
            <v>0.69920761866517744</v>
          </cell>
          <cell r="EC272" t="str">
            <v>-</v>
          </cell>
          <cell r="EE272">
            <v>-0.62040780621777403</v>
          </cell>
          <cell r="EF272">
            <v>0.46633477478281771</v>
          </cell>
          <cell r="EG272">
            <v>4.6738844374898836E-2</v>
          </cell>
          <cell r="EH272">
            <v>0.68204390534532711</v>
          </cell>
          <cell r="EI272" t="str">
            <v>-</v>
          </cell>
          <cell r="EK272">
            <v>-0.5837417886311469</v>
          </cell>
          <cell r="EL272">
            <v>0.40539609383378883</v>
          </cell>
          <cell r="EM272">
            <v>6.7063870479265875E-2</v>
          </cell>
          <cell r="EN272">
            <v>0.68204390534532711</v>
          </cell>
          <cell r="EO272" t="str">
            <v>-</v>
          </cell>
          <cell r="EQ272">
            <v>-0.59044001695283166</v>
          </cell>
          <cell r="ER272">
            <v>0.3956523429609049</v>
          </cell>
          <cell r="ES272">
            <v>6.693799777849363E-2</v>
          </cell>
          <cell r="ET272">
            <v>0.67251189335005046</v>
          </cell>
          <cell r="EU272" t="str">
            <v>-</v>
          </cell>
          <cell r="EW272">
            <v>-0.58518127183733171</v>
          </cell>
          <cell r="EX272">
            <v>0.38597614648175327</v>
          </cell>
          <cell r="EY272">
            <v>6.6812139925882974E-2</v>
          </cell>
          <cell r="EZ272">
            <v>0.66303389852542494</v>
          </cell>
          <cell r="FA272" t="str">
            <v>-</v>
          </cell>
        </row>
        <row r="273">
          <cell r="C273" t="str">
            <v>-</v>
          </cell>
          <cell r="D273" t="str">
            <v>-</v>
          </cell>
          <cell r="E273" t="str">
            <v>-</v>
          </cell>
          <cell r="F273" t="str">
            <v>-</v>
          </cell>
          <cell r="G273" t="str">
            <v>-</v>
          </cell>
          <cell r="H273" t="str">
            <v>-</v>
          </cell>
          <cell r="I273" t="str">
            <v>-</v>
          </cell>
          <cell r="J273" t="str">
            <v>-</v>
          </cell>
          <cell r="K273" t="str">
            <v>-</v>
          </cell>
          <cell r="L273" t="str">
            <v>-</v>
          </cell>
          <cell r="M273" t="str">
            <v>-</v>
          </cell>
          <cell r="O273" t="str">
            <v>-</v>
          </cell>
          <cell r="P273">
            <v>0.17391304347826098</v>
          </cell>
          <cell r="Q273">
            <v>0.22222222222222232</v>
          </cell>
          <cell r="R273">
            <v>1.1515151515151514</v>
          </cell>
          <cell r="S273" t="str">
            <v>-</v>
          </cell>
          <cell r="U273">
            <v>-0.323943661971831</v>
          </cell>
          <cell r="V273">
            <v>0.1875</v>
          </cell>
          <cell r="W273">
            <v>0.17543859649122817</v>
          </cell>
          <cell r="X273">
            <v>0.83582089552238803</v>
          </cell>
          <cell r="Y273" t="str">
            <v>-</v>
          </cell>
          <cell r="AA273">
            <v>-0.59011382113821143</v>
          </cell>
          <cell r="AB273">
            <v>1.01162329419232</v>
          </cell>
          <cell r="AC273">
            <v>6.3134749255556066E-2</v>
          </cell>
          <cell r="AD273">
            <v>1.0274900065849879</v>
          </cell>
          <cell r="AE273" t="str">
            <v>-</v>
          </cell>
          <cell r="AG273">
            <v>-0.54974245903589103</v>
          </cell>
          <cell r="AH273">
            <v>0.10069186926617157</v>
          </cell>
          <cell r="AI273">
            <v>0.28945911020860238</v>
          </cell>
          <cell r="AJ273">
            <v>0.54481746599856851</v>
          </cell>
          <cell r="AK273" t="str">
            <v>-</v>
          </cell>
          <cell r="AM273">
            <v>-0.54548192631515535</v>
          </cell>
          <cell r="AN273">
            <v>0.30952186767254553</v>
          </cell>
          <cell r="AO273">
            <v>0.14713781909054813</v>
          </cell>
          <cell r="AP273">
            <v>0.88088306153334539</v>
          </cell>
          <cell r="AQ273" t="str">
            <v>-</v>
          </cell>
          <cell r="AS273">
            <v>-0.60619520115460945</v>
          </cell>
          <cell r="AT273">
            <v>0.53759746387766527</v>
          </cell>
          <cell r="AU273">
            <v>0.18479543314781499</v>
          </cell>
          <cell r="AV273">
            <v>1.2502288387064326</v>
          </cell>
          <cell r="AW273" t="str">
            <v>-</v>
          </cell>
          <cell r="AY273">
            <v>-0.6523882855437817</v>
          </cell>
          <cell r="AZ273">
            <v>0.79565474583027918</v>
          </cell>
          <cell r="BA273">
            <v>-0.10687468444629056</v>
          </cell>
          <cell r="BB273">
            <v>0.35511819231509412</v>
          </cell>
          <cell r="BC273" t="str">
            <v>-</v>
          </cell>
          <cell r="BE273">
            <v>-0.56825020192367437</v>
          </cell>
          <cell r="BF273">
            <v>0.11787762709773797</v>
          </cell>
          <cell r="BG273">
            <v>-9.3543305155915801E-2</v>
          </cell>
          <cell r="BH273">
            <v>0.66161503452286774</v>
          </cell>
          <cell r="BI273" t="str">
            <v>-</v>
          </cell>
          <cell r="BK273">
            <v>-0.54824425741123606</v>
          </cell>
          <cell r="BL273">
            <v>-2.7027027027026973E-2</v>
          </cell>
          <cell r="BM273">
            <v>0.29629629629629628</v>
          </cell>
          <cell r="BN273">
            <v>0.75714285714285712</v>
          </cell>
          <cell r="BO273" t="str">
            <v>-</v>
          </cell>
          <cell r="BQ273">
            <v>-0.56504065040650409</v>
          </cell>
          <cell r="BR273">
            <v>0.28037383177570097</v>
          </cell>
          <cell r="BS273">
            <v>2.1897810218978186E-2</v>
          </cell>
          <cell r="BT273">
            <v>0.64999999999999991</v>
          </cell>
          <cell r="BU273" t="str">
            <v>-</v>
          </cell>
          <cell r="BW273">
            <v>-0.70129870129870131</v>
          </cell>
          <cell r="BX273">
            <v>2.1159420289855073</v>
          </cell>
          <cell r="BY273">
            <v>-0.2930232558139535</v>
          </cell>
          <cell r="BZ273">
            <v>1.3026315789473686</v>
          </cell>
          <cell r="CA273" t="str">
            <v>-</v>
          </cell>
          <cell r="CC273">
            <v>-0.63714285714285712</v>
          </cell>
          <cell r="CD273">
            <v>1.0944881889763778</v>
          </cell>
          <cell r="CE273">
            <v>1.1278195488721776E-2</v>
          </cell>
          <cell r="CF273">
            <v>1.3828996282527881</v>
          </cell>
          <cell r="CG273" t="str">
            <v>-</v>
          </cell>
          <cell r="CI273">
            <v>-0.64430577223088925</v>
          </cell>
          <cell r="CJ273">
            <v>0.49122807017543857</v>
          </cell>
          <cell r="CK273">
            <v>0.24411764705882355</v>
          </cell>
          <cell r="CL273">
            <v>0.71631205673758869</v>
          </cell>
          <cell r="CM273" t="str">
            <v>-</v>
          </cell>
          <cell r="CO273">
            <v>-0.48209366391184572</v>
          </cell>
          <cell r="CP273">
            <v>0.4707446808510638</v>
          </cell>
          <cell r="CQ273">
            <v>-0.18444846292947559</v>
          </cell>
          <cell r="CR273">
            <v>1.1929046563192904</v>
          </cell>
          <cell r="CS273" t="str">
            <v>-</v>
          </cell>
          <cell r="CU273">
            <v>-0.66531850353892819</v>
          </cell>
          <cell r="CV273">
            <v>0.41691842900302123</v>
          </cell>
          <cell r="CW273">
            <v>-0.15565031982942434</v>
          </cell>
          <cell r="CX273">
            <v>1.0328282828282829</v>
          </cell>
          <cell r="CY273" t="str">
            <v>-</v>
          </cell>
          <cell r="DA273">
            <v>-0.60621118012422359</v>
          </cell>
          <cell r="DB273">
            <v>0.50788643533123023</v>
          </cell>
          <cell r="DC273">
            <v>-1.255230125523088E-3</v>
          </cell>
          <cell r="DE273" t="str">
            <v>-</v>
          </cell>
          <cell r="DG273">
            <v>-0.59181286549707601</v>
          </cell>
          <cell r="DH273">
            <v>0.65902578796561606</v>
          </cell>
          <cell r="DI273">
            <v>0.10362694300518127</v>
          </cell>
          <cell r="DJ273">
            <v>0.63067292644757433</v>
          </cell>
          <cell r="DK273" t="str">
            <v>-</v>
          </cell>
          <cell r="DM273">
            <v>-0.58925143953934733</v>
          </cell>
          <cell r="DN273">
            <v>0.32943925233644866</v>
          </cell>
          <cell r="DO273">
            <v>0.15641476274165211</v>
          </cell>
          <cell r="DP273">
            <v>0.95440729483282682</v>
          </cell>
          <cell r="DQ273" t="str">
            <v>-</v>
          </cell>
          <cell r="DS273">
            <v>-0.48164074650077748</v>
          </cell>
          <cell r="DT273">
            <v>0.30785766790177149</v>
          </cell>
          <cell r="DU273">
            <v>-0.10133959448562868</v>
          </cell>
          <cell r="DV273">
            <v>0.43805840608566848</v>
          </cell>
          <cell r="DW273" t="str">
            <v>-</v>
          </cell>
          <cell r="DY273">
            <v>-0.46336871721591555</v>
          </cell>
          <cell r="DZ273">
            <v>0.34330217421902298</v>
          </cell>
          <cell r="EA273">
            <v>-6.42956514757419E-2</v>
          </cell>
          <cell r="EB273">
            <v>0.5759299261175137</v>
          </cell>
          <cell r="EC273" t="str">
            <v>-</v>
          </cell>
          <cell r="EE273">
            <v>-0.41700723044669363</v>
          </cell>
          <cell r="EF273">
            <v>0.25963754897699509</v>
          </cell>
          <cell r="EG273">
            <v>-0.14864189641839021</v>
          </cell>
          <cell r="EH273">
            <v>3.2084828205904969E-3</v>
          </cell>
          <cell r="EI273" t="str">
            <v>-</v>
          </cell>
          <cell r="EK273">
            <v>-0.29650136078357303</v>
          </cell>
          <cell r="EL273">
            <v>0.12398276873573399</v>
          </cell>
          <cell r="EM273">
            <v>-9.6751943810693408E-2</v>
          </cell>
          <cell r="EN273">
            <v>-0.32109337439929075</v>
          </cell>
          <cell r="EO273" t="str">
            <v>-</v>
          </cell>
          <cell r="EQ273">
            <v>0.62531842252382286</v>
          </cell>
          <cell r="ER273">
            <v>1.9625659189545397E-2</v>
          </cell>
          <cell r="ES273">
            <v>-6.3901261717181357E-2</v>
          </cell>
          <cell r="ET273">
            <v>-0.53980579784635285</v>
          </cell>
          <cell r="EU273" t="str">
            <v>-</v>
          </cell>
          <cell r="EW273">
            <v>1.8206090236716475</v>
          </cell>
          <cell r="EX273">
            <v>-4.4093959020071516E-2</v>
          </cell>
          <cell r="EY273">
            <v>-3.0916515800744393E-2</v>
          </cell>
          <cell r="EZ273">
            <v>-0.65087332220844685</v>
          </cell>
          <cell r="FA273" t="str">
            <v>-</v>
          </cell>
        </row>
        <row r="274">
          <cell r="C274" t="str">
            <v>-</v>
          </cell>
          <cell r="D274" t="str">
            <v>-</v>
          </cell>
          <cell r="E274" t="str">
            <v>-</v>
          </cell>
          <cell r="F274" t="str">
            <v>-</v>
          </cell>
          <cell r="G274" t="str">
            <v>-</v>
          </cell>
          <cell r="H274" t="str">
            <v>-</v>
          </cell>
          <cell r="I274" t="str">
            <v>-</v>
          </cell>
          <cell r="J274" t="str">
            <v>-</v>
          </cell>
          <cell r="K274" t="str">
            <v>-</v>
          </cell>
          <cell r="L274" t="str">
            <v>-</v>
          </cell>
          <cell r="M274" t="str">
            <v>-</v>
          </cell>
          <cell r="O274" t="str">
            <v>-</v>
          </cell>
          <cell r="P274" t="str">
            <v>-</v>
          </cell>
          <cell r="Q274" t="str">
            <v>-</v>
          </cell>
          <cell r="R274" t="str">
            <v>-</v>
          </cell>
          <cell r="S274" t="str">
            <v>-</v>
          </cell>
          <cell r="U274" t="str">
            <v>-</v>
          </cell>
          <cell r="V274" t="str">
            <v>-</v>
          </cell>
          <cell r="W274" t="str">
            <v>-</v>
          </cell>
          <cell r="X274" t="str">
            <v>-</v>
          </cell>
          <cell r="Y274" t="str">
            <v>-</v>
          </cell>
          <cell r="AA274" t="str">
            <v>-</v>
          </cell>
          <cell r="AB274">
            <v>0.1048958351462832</v>
          </cell>
          <cell r="AC274">
            <v>4.8257828744250553E-2</v>
          </cell>
          <cell r="AD274">
            <v>0.14957413941299169</v>
          </cell>
          <cell r="AE274" t="str">
            <v>-</v>
          </cell>
          <cell r="AG274">
            <v>5.9141401333831833E-2</v>
          </cell>
          <cell r="AH274">
            <v>5.585134611444742E-2</v>
          </cell>
          <cell r="AI274">
            <v>4.7314356782838907E-2</v>
          </cell>
          <cell r="AJ274">
            <v>0.14563108963269666</v>
          </cell>
          <cell r="AK274" t="str">
            <v>-</v>
          </cell>
          <cell r="AM274">
            <v>2.2638664009025034E-2</v>
          </cell>
          <cell r="AN274">
            <v>7.9229350526620834E-2</v>
          </cell>
          <cell r="AO274">
            <v>3.0287409081279471E-2</v>
          </cell>
          <cell r="AP274">
            <v>0.14913741698023975</v>
          </cell>
          <cell r="AQ274" t="str">
            <v>-</v>
          </cell>
          <cell r="AS274">
            <v>-4.7969676364980618E-3</v>
          </cell>
          <cell r="AT274">
            <v>7.9301484084115526E-2</v>
          </cell>
          <cell r="AU274">
            <v>4.7298366609193954E-2</v>
          </cell>
          <cell r="AV274">
            <v>0.10907818396554658</v>
          </cell>
          <cell r="AW274" t="str">
            <v>-</v>
          </cell>
          <cell r="AY274">
            <v>3.1253622850642149E-3</v>
          </cell>
          <cell r="AZ274">
            <v>3.9889529355977116E-2</v>
          </cell>
          <cell r="BA274">
            <v>3.8635514746825805E-2</v>
          </cell>
          <cell r="BB274">
            <v>4.9668015783452812E-2</v>
          </cell>
          <cell r="BC274" t="str">
            <v>-</v>
          </cell>
          <cell r="BE274">
            <v>-0.1138980436007162</v>
          </cell>
          <cell r="BF274">
            <v>4.5032704156363179E-2</v>
          </cell>
          <cell r="BG274">
            <v>-1.6726154335033772E-2</v>
          </cell>
          <cell r="BH274">
            <v>9.5962936159751155E-2</v>
          </cell>
          <cell r="BI274" t="str">
            <v>-</v>
          </cell>
          <cell r="BK274">
            <v>-4.6905919609410485E-2</v>
          </cell>
          <cell r="BL274">
            <v>5.4143646408839841E-2</v>
          </cell>
          <cell r="BM274">
            <v>5.3459119496855445E-2</v>
          </cell>
          <cell r="BN274">
            <v>6.0099502487562351E-2</v>
          </cell>
          <cell r="BO274" t="str">
            <v>-</v>
          </cell>
          <cell r="BQ274">
            <v>-2.9472498592078122E-2</v>
          </cell>
          <cell r="BR274">
            <v>7.7369439071566681E-2</v>
          </cell>
          <cell r="BS274">
            <v>5.5655296229802476E-2</v>
          </cell>
          <cell r="BT274">
            <v>2.4659863945578175E-2</v>
          </cell>
          <cell r="BU274" t="str">
            <v>-</v>
          </cell>
          <cell r="BW274">
            <v>-2.4066390041493801E-2</v>
          </cell>
          <cell r="BX274">
            <v>6.4625850340136015E-2</v>
          </cell>
          <cell r="BY274">
            <v>0.22364217252396168</v>
          </cell>
          <cell r="BZ274">
            <v>0.10378590078328975</v>
          </cell>
          <cell r="CA274" t="str">
            <v>-</v>
          </cell>
          <cell r="CC274">
            <v>-2.9568302779420463E-2</v>
          </cell>
          <cell r="CD274">
            <v>1.218769043266299E-2</v>
          </cell>
          <cell r="CE274">
            <v>6.3816977724262536E-2</v>
          </cell>
          <cell r="CF274">
            <v>0.10865874363327666</v>
          </cell>
          <cell r="CG274" t="str">
            <v>-</v>
          </cell>
          <cell r="CI274">
            <v>2.654415518121489E-2</v>
          </cell>
          <cell r="CJ274">
            <v>2.4365987071108819E-2</v>
          </cell>
          <cell r="CK274">
            <v>4.0291262135922379E-2</v>
          </cell>
          <cell r="CL274">
            <v>8.5860942603826373E-2</v>
          </cell>
          <cell r="CM274" t="str">
            <v>-</v>
          </cell>
          <cell r="CO274">
            <v>5.1568543188655003E-2</v>
          </cell>
          <cell r="CP274">
            <v>3.8823048630976631E-2</v>
          </cell>
          <cell r="CQ274">
            <v>4.0912667191188135E-2</v>
          </cell>
          <cell r="CR274">
            <v>8.5411942554799669E-2</v>
          </cell>
          <cell r="CS274" t="str">
            <v>-</v>
          </cell>
          <cell r="CU274">
            <v>5.3969359331476285E-2</v>
          </cell>
          <cell r="CV274">
            <v>-3.2044928972580156E-2</v>
          </cell>
          <cell r="CW274">
            <v>1.2969283276450527E-2</v>
          </cell>
          <cell r="CX274">
            <v>3.5040431266846417E-2</v>
          </cell>
          <cell r="CY274" t="str">
            <v>-</v>
          </cell>
          <cell r="DA274">
            <v>1.7578125E-2</v>
          </cell>
          <cell r="DB274">
            <v>4.3186180422264853E-2</v>
          </cell>
          <cell r="DC274">
            <v>1.9012572830420016E-2</v>
          </cell>
          <cell r="DE274" t="str">
            <v>-</v>
          </cell>
          <cell r="DG274">
            <v>2.3074704355350306E-3</v>
          </cell>
          <cell r="DH274">
            <v>6.8201438848920937E-2</v>
          </cell>
          <cell r="DI274">
            <v>1.18534482758621E-2</v>
          </cell>
          <cell r="DJ274">
            <v>5.9105431309904199E-2</v>
          </cell>
          <cell r="DK274" t="str">
            <v>-</v>
          </cell>
          <cell r="DM274">
            <v>1.4328808446455454E-2</v>
          </cell>
          <cell r="DN274">
            <v>-9.665427509293667E-3</v>
          </cell>
          <cell r="DO274">
            <v>1.8018018018018056E-2</v>
          </cell>
          <cell r="DP274">
            <v>2.2615535889872085E-2</v>
          </cell>
          <cell r="DQ274" t="str">
            <v>-</v>
          </cell>
          <cell r="DS274">
            <v>-3.6057692307692735E-3</v>
          </cell>
          <cell r="DT274">
            <v>2.8709288299155533E-2</v>
          </cell>
          <cell r="DU274">
            <v>1.8761726078799335E-2</v>
          </cell>
          <cell r="DV274">
            <v>1.3812154696132506E-2</v>
          </cell>
          <cell r="DW274" t="str">
            <v>-</v>
          </cell>
          <cell r="DY274">
            <v>6.357856494096259E-3</v>
          </cell>
          <cell r="DZ274">
            <v>1.9178700361010881E-2</v>
          </cell>
          <cell r="EA274">
            <v>1.0626522027894714E-2</v>
          </cell>
          <cell r="EB274">
            <v>2.8477546549835697E-2</v>
          </cell>
          <cell r="EC274" t="str">
            <v>-</v>
          </cell>
          <cell r="EE274">
            <v>7.6677316293929376E-3</v>
          </cell>
          <cell r="EF274">
            <v>8.8776157260621602E-3</v>
          </cell>
          <cell r="EG274">
            <v>-2.2836790278650709E-2</v>
          </cell>
          <cell r="EH274">
            <v>5.145797598627766E-3</v>
          </cell>
          <cell r="EI274" t="str">
            <v>-</v>
          </cell>
          <cell r="EK274">
            <v>1.9197952218430459E-3</v>
          </cell>
          <cell r="EL274">
            <v>-2.9806259314456574E-3</v>
          </cell>
          <cell r="EM274">
            <v>7.9051889814223397E-3</v>
          </cell>
          <cell r="EN274">
            <v>1.2741344316337555E-2</v>
          </cell>
          <cell r="EO274" t="str">
            <v>-</v>
          </cell>
          <cell r="EQ274">
            <v>9.5900174374936586E-3</v>
          </cell>
          <cell r="ER274">
            <v>-7.9111613451454676E-3</v>
          </cell>
          <cell r="ES274">
            <v>-2.9901255604961596E-3</v>
          </cell>
          <cell r="ET274">
            <v>-3.0537509006112185E-3</v>
          </cell>
          <cell r="EU274" t="str">
            <v>-</v>
          </cell>
          <cell r="EW274">
            <v>1.0406352089973314E-3</v>
          </cell>
          <cell r="EX274">
            <v>-9.1347845260959515E-3</v>
          </cell>
          <cell r="EY274">
            <v>-4.8233546450491271E-3</v>
          </cell>
          <cell r="EZ274">
            <v>-4.8691587748850296E-3</v>
          </cell>
          <cell r="FA274" t="str">
            <v>-</v>
          </cell>
        </row>
        <row r="275"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0</v>
          </cell>
          <cell r="S275">
            <v>0</v>
          </cell>
          <cell r="U275">
            <v>0</v>
          </cell>
          <cell r="V275">
            <v>0</v>
          </cell>
          <cell r="W275">
            <v>0</v>
          </cell>
          <cell r="X275">
            <v>0</v>
          </cell>
          <cell r="Y275">
            <v>0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M275">
            <v>0</v>
          </cell>
          <cell r="AN275">
            <v>0</v>
          </cell>
          <cell r="AO275">
            <v>0</v>
          </cell>
          <cell r="AP275">
            <v>0</v>
          </cell>
          <cell r="AQ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0</v>
          </cell>
          <cell r="BK275">
            <v>0</v>
          </cell>
          <cell r="BL275">
            <v>0</v>
          </cell>
          <cell r="BM275">
            <v>0</v>
          </cell>
          <cell r="BN275">
            <v>0</v>
          </cell>
          <cell r="BO275">
            <v>0</v>
          </cell>
          <cell r="BQ275">
            <v>0</v>
          </cell>
          <cell r="BR275">
            <v>0</v>
          </cell>
          <cell r="BS275">
            <v>0</v>
          </cell>
          <cell r="BT275">
            <v>0</v>
          </cell>
          <cell r="BU275">
            <v>0</v>
          </cell>
          <cell r="BW275">
            <v>0</v>
          </cell>
          <cell r="BX275">
            <v>0</v>
          </cell>
          <cell r="BY275">
            <v>0</v>
          </cell>
          <cell r="BZ275">
            <v>0</v>
          </cell>
          <cell r="CA275">
            <v>0</v>
          </cell>
          <cell r="CC275">
            <v>0</v>
          </cell>
          <cell r="CD275">
            <v>0</v>
          </cell>
          <cell r="CE275">
            <v>0</v>
          </cell>
          <cell r="CF275">
            <v>0</v>
          </cell>
          <cell r="CG275">
            <v>0</v>
          </cell>
          <cell r="CI275">
            <v>0</v>
          </cell>
          <cell r="CJ275">
            <v>0</v>
          </cell>
          <cell r="CK275">
            <v>0</v>
          </cell>
          <cell r="CL275">
            <v>0</v>
          </cell>
          <cell r="CM275">
            <v>0</v>
          </cell>
          <cell r="CO275">
            <v>0</v>
          </cell>
          <cell r="CP275">
            <v>0</v>
          </cell>
          <cell r="CQ275">
            <v>0</v>
          </cell>
          <cell r="CR275">
            <v>0</v>
          </cell>
          <cell r="CS275">
            <v>0</v>
          </cell>
          <cell r="CU275">
            <v>0</v>
          </cell>
          <cell r="CV275">
            <v>0</v>
          </cell>
          <cell r="CW275">
            <v>0</v>
          </cell>
          <cell r="CX275">
            <v>0</v>
          </cell>
          <cell r="CY275">
            <v>0</v>
          </cell>
          <cell r="DA275">
            <v>0</v>
          </cell>
          <cell r="DB275">
            <v>0</v>
          </cell>
          <cell r="DC275">
            <v>0</v>
          </cell>
          <cell r="DE275">
            <v>0</v>
          </cell>
          <cell r="DG275">
            <v>0</v>
          </cell>
          <cell r="DH275">
            <v>0</v>
          </cell>
          <cell r="DI275">
            <v>0</v>
          </cell>
          <cell r="DJ275">
            <v>0</v>
          </cell>
          <cell r="DK275">
            <v>0</v>
          </cell>
          <cell r="DM275">
            <v>0</v>
          </cell>
          <cell r="DN275">
            <v>0</v>
          </cell>
          <cell r="DO275">
            <v>0</v>
          </cell>
          <cell r="DP275">
            <v>0</v>
          </cell>
          <cell r="DQ275">
            <v>0</v>
          </cell>
          <cell r="DS275">
            <v>0</v>
          </cell>
          <cell r="DT275">
            <v>0</v>
          </cell>
          <cell r="DU275">
            <v>0</v>
          </cell>
          <cell r="DV275">
            <v>0</v>
          </cell>
          <cell r="DW275">
            <v>0</v>
          </cell>
          <cell r="DY275">
            <v>0</v>
          </cell>
          <cell r="DZ275">
            <v>0</v>
          </cell>
          <cell r="EA275">
            <v>0</v>
          </cell>
          <cell r="EB275">
            <v>0</v>
          </cell>
          <cell r="EC275">
            <v>0</v>
          </cell>
          <cell r="EE275">
            <v>0</v>
          </cell>
          <cell r="EF275">
            <v>0</v>
          </cell>
          <cell r="EG275">
            <v>0</v>
          </cell>
          <cell r="EH275">
            <v>0</v>
          </cell>
          <cell r="EI275">
            <v>0</v>
          </cell>
          <cell r="EK275">
            <v>0</v>
          </cell>
          <cell r="EL275">
            <v>0</v>
          </cell>
          <cell r="EM275">
            <v>0</v>
          </cell>
          <cell r="EN275">
            <v>0</v>
          </cell>
          <cell r="EO275">
            <v>0</v>
          </cell>
          <cell r="EQ275">
            <v>0</v>
          </cell>
          <cell r="ER275">
            <v>0</v>
          </cell>
          <cell r="ES275">
            <v>0</v>
          </cell>
          <cell r="ET275">
            <v>0</v>
          </cell>
          <cell r="EU275">
            <v>0</v>
          </cell>
          <cell r="EW275">
            <v>0</v>
          </cell>
          <cell r="EX275">
            <v>0</v>
          </cell>
          <cell r="EY275">
            <v>0</v>
          </cell>
          <cell r="EZ275">
            <v>0</v>
          </cell>
          <cell r="FA275">
            <v>0</v>
          </cell>
        </row>
        <row r="276">
          <cell r="C276" t="str">
            <v>-</v>
          </cell>
          <cell r="D276" t="str">
            <v>-</v>
          </cell>
          <cell r="E276" t="str">
            <v>-</v>
          </cell>
          <cell r="F276" t="str">
            <v>-</v>
          </cell>
          <cell r="G276" t="str">
            <v>-</v>
          </cell>
          <cell r="H276" t="str">
            <v>-</v>
          </cell>
          <cell r="I276" t="str">
            <v>-</v>
          </cell>
          <cell r="J276" t="str">
            <v>-</v>
          </cell>
          <cell r="K276" t="str">
            <v>-</v>
          </cell>
          <cell r="L276" t="str">
            <v>-</v>
          </cell>
          <cell r="M276" t="str">
            <v>-</v>
          </cell>
          <cell r="O276" t="str">
            <v>-</v>
          </cell>
          <cell r="P276" t="e">
            <v>#DIV/0!</v>
          </cell>
          <cell r="Q276" t="e">
            <v>#DIV/0!</v>
          </cell>
          <cell r="R276" t="e">
            <v>#DIV/0!</v>
          </cell>
          <cell r="S276" t="str">
            <v>-</v>
          </cell>
          <cell r="U276" t="e">
            <v>#DIV/0!</v>
          </cell>
          <cell r="V276" t="e">
            <v>#DIV/0!</v>
          </cell>
          <cell r="W276" t="e">
            <v>#DIV/0!</v>
          </cell>
          <cell r="X276" t="e">
            <v>#DIV/0!</v>
          </cell>
          <cell r="Y276" t="str">
            <v>-</v>
          </cell>
          <cell r="AA276" t="e">
            <v>#DIV/0!</v>
          </cell>
          <cell r="AB276" t="e">
            <v>#DIV/0!</v>
          </cell>
          <cell r="AC276" t="e">
            <v>#DIV/0!</v>
          </cell>
          <cell r="AD276" t="e">
            <v>#DIV/0!</v>
          </cell>
          <cell r="AE276" t="str">
            <v>-</v>
          </cell>
          <cell r="AG276" t="e">
            <v>#DIV/0!</v>
          </cell>
          <cell r="AH276" t="e">
            <v>#DIV/0!</v>
          </cell>
          <cell r="AI276" t="e">
            <v>#DIV/0!</v>
          </cell>
          <cell r="AJ276" t="e">
            <v>#DIV/0!</v>
          </cell>
          <cell r="AK276" t="str">
            <v>-</v>
          </cell>
          <cell r="AM276" t="e">
            <v>#DIV/0!</v>
          </cell>
          <cell r="AN276" t="e">
            <v>#DIV/0!</v>
          </cell>
          <cell r="AO276" t="e">
            <v>#DIV/0!</v>
          </cell>
          <cell r="AP276" t="e">
            <v>#DIV/0!</v>
          </cell>
          <cell r="AQ276" t="str">
            <v>-</v>
          </cell>
          <cell r="AS276" t="e">
            <v>#DIV/0!</v>
          </cell>
          <cell r="AT276" t="e">
            <v>#DIV/0!</v>
          </cell>
          <cell r="AU276" t="e">
            <v>#DIV/0!</v>
          </cell>
          <cell r="AV276" t="e">
            <v>#DIV/0!</v>
          </cell>
          <cell r="AW276" t="str">
            <v>-</v>
          </cell>
          <cell r="AY276" t="e">
            <v>#DIV/0!</v>
          </cell>
          <cell r="AZ276" t="e">
            <v>#DIV/0!</v>
          </cell>
          <cell r="BA276" t="e">
            <v>#DIV/0!</v>
          </cell>
          <cell r="BB276" t="e">
            <v>#DIV/0!</v>
          </cell>
          <cell r="BC276" t="str">
            <v>-</v>
          </cell>
          <cell r="BE276" t="e">
            <v>#DIV/0!</v>
          </cell>
          <cell r="BF276" t="e">
            <v>#DIV/0!</v>
          </cell>
          <cell r="BG276" t="e">
            <v>#DIV/0!</v>
          </cell>
          <cell r="BH276" t="e">
            <v>#DIV/0!</v>
          </cell>
          <cell r="BI276" t="str">
            <v>-</v>
          </cell>
          <cell r="BK276" t="e">
            <v>#DIV/0!</v>
          </cell>
          <cell r="BL276" t="e">
            <v>#DIV/0!</v>
          </cell>
          <cell r="BM276" t="e">
            <v>#DIV/0!</v>
          </cell>
          <cell r="BN276" t="e">
            <v>#DIV/0!</v>
          </cell>
          <cell r="BO276" t="str">
            <v>-</v>
          </cell>
          <cell r="BQ276" t="e">
            <v>#DIV/0!</v>
          </cell>
          <cell r="BR276" t="e">
            <v>#DIV/0!</v>
          </cell>
          <cell r="BS276" t="e">
            <v>#DIV/0!</v>
          </cell>
          <cell r="BT276" t="e">
            <v>#DIV/0!</v>
          </cell>
          <cell r="BU276" t="str">
            <v>-</v>
          </cell>
          <cell r="BW276" t="e">
            <v>#DIV/0!</v>
          </cell>
          <cell r="BX276" t="e">
            <v>#DIV/0!</v>
          </cell>
          <cell r="BY276" t="e">
            <v>#DIV/0!</v>
          </cell>
          <cell r="BZ276" t="e">
            <v>#DIV/0!</v>
          </cell>
          <cell r="CA276" t="str">
            <v>-</v>
          </cell>
          <cell r="CC276" t="e">
            <v>#DIV/0!</v>
          </cell>
          <cell r="CD276" t="e">
            <v>#DIV/0!</v>
          </cell>
          <cell r="CE276" t="e">
            <v>#DIV/0!</v>
          </cell>
          <cell r="CF276" t="e">
            <v>#DIV/0!</v>
          </cell>
          <cell r="CG276" t="str">
            <v>-</v>
          </cell>
          <cell r="CI276" t="e">
            <v>#DIV/0!</v>
          </cell>
          <cell r="CJ276">
            <v>0.15336918838320668</v>
          </cell>
          <cell r="CK276">
            <v>-8.8612861343763338E-2</v>
          </cell>
          <cell r="CL276">
            <v>0.21000594688893148</v>
          </cell>
          <cell r="CM276" t="str">
            <v>-</v>
          </cell>
          <cell r="CO276">
            <v>-0.2054914257255408</v>
          </cell>
          <cell r="CP276">
            <v>0.13583553107050284</v>
          </cell>
          <cell r="CQ276">
            <v>-0.10925647940106742</v>
          </cell>
          <cell r="CR276">
            <v>0.19083137639822723</v>
          </cell>
          <cell r="CS276" t="str">
            <v>-</v>
          </cell>
          <cell r="CU276">
            <v>-0.26073383426081675</v>
          </cell>
          <cell r="CV276">
            <v>9.9624625794311195E-2</v>
          </cell>
          <cell r="CW276">
            <v>-0.21650588297619089</v>
          </cell>
          <cell r="CX276">
            <v>-2.458662422808533E-2</v>
          </cell>
          <cell r="CY276" t="str">
            <v>-</v>
          </cell>
          <cell r="DA276">
            <v>-0.19912520569949266</v>
          </cell>
          <cell r="DB276">
            <v>0.23631002527379952</v>
          </cell>
          <cell r="DC276">
            <v>-0.81396933560477003</v>
          </cell>
          <cell r="DE276" t="str">
            <v>-</v>
          </cell>
          <cell r="DG276">
            <v>-0.12489862124898621</v>
          </cell>
          <cell r="DH276">
            <v>3.0583873957367835E-2</v>
          </cell>
          <cell r="DI276">
            <v>-6.9244604316546776E-2</v>
          </cell>
          <cell r="DJ276">
            <v>0.11787439613526574</v>
          </cell>
          <cell r="DK276" t="str">
            <v>-</v>
          </cell>
          <cell r="DM276">
            <v>-0.11063094209161628</v>
          </cell>
          <cell r="DN276">
            <v>-7.3858114674441255E-2</v>
          </cell>
          <cell r="DO276">
            <v>-8.8142707240293827E-2</v>
          </cell>
          <cell r="DP276">
            <v>0.12428078250863051</v>
          </cell>
          <cell r="DQ276" t="str">
            <v>-</v>
          </cell>
          <cell r="DS276">
            <v>-0.20266120777891505</v>
          </cell>
          <cell r="DT276">
            <v>-5.7766367137355612E-2</v>
          </cell>
          <cell r="DU276">
            <v>-8.5831062670299718E-2</v>
          </cell>
          <cell r="DV276">
            <v>0.26527570789865873</v>
          </cell>
          <cell r="DW276" t="str">
            <v>-</v>
          </cell>
          <cell r="DY276">
            <v>-0.21201413427561833</v>
          </cell>
          <cell r="DZ276">
            <v>6.7264573991031362E-2</v>
          </cell>
          <cell r="EA276">
            <v>1.540616246498594E-2</v>
          </cell>
          <cell r="EB276">
            <v>0.19999999999999996</v>
          </cell>
          <cell r="EC276" t="str">
            <v>-</v>
          </cell>
          <cell r="EE276">
            <v>-0.33563218390804594</v>
          </cell>
          <cell r="EF276">
            <v>0.24048442906574397</v>
          </cell>
          <cell r="EG276">
            <v>-6.9735006973500324E-3</v>
          </cell>
          <cell r="EH276">
            <v>0.148876404494382</v>
          </cell>
          <cell r="EI276" t="str">
            <v>-</v>
          </cell>
          <cell r="EK276">
            <v>-0.30317848410757942</v>
          </cell>
          <cell r="EL276">
            <v>5.2631578947368585E-3</v>
          </cell>
          <cell r="EM276">
            <v>0</v>
          </cell>
          <cell r="EN276">
            <v>0</v>
          </cell>
          <cell r="EO276">
            <v>0</v>
          </cell>
          <cell r="EQ276">
            <v>0</v>
          </cell>
          <cell r="ER276">
            <v>0</v>
          </cell>
          <cell r="ES276">
            <v>0</v>
          </cell>
          <cell r="ET276">
            <v>0</v>
          </cell>
          <cell r="EU276">
            <v>0</v>
          </cell>
          <cell r="EW276">
            <v>0</v>
          </cell>
          <cell r="EX276">
            <v>0</v>
          </cell>
          <cell r="EY276">
            <v>0</v>
          </cell>
          <cell r="EZ276">
            <v>0</v>
          </cell>
          <cell r="FA276">
            <v>0</v>
          </cell>
        </row>
        <row r="277">
          <cell r="C277" t="str">
            <v>-</v>
          </cell>
          <cell r="D277" t="str">
            <v>-</v>
          </cell>
          <cell r="E277" t="str">
            <v>-</v>
          </cell>
          <cell r="F277" t="str">
            <v>-</v>
          </cell>
          <cell r="G277" t="str">
            <v>-</v>
          </cell>
          <cell r="H277" t="str">
            <v>-</v>
          </cell>
          <cell r="I277" t="str">
            <v>-</v>
          </cell>
          <cell r="J277" t="str">
            <v>-</v>
          </cell>
          <cell r="K277" t="str">
            <v>-</v>
          </cell>
          <cell r="L277" t="str">
            <v>-</v>
          </cell>
          <cell r="M277" t="str">
            <v>-</v>
          </cell>
          <cell r="O277" t="str">
            <v>-</v>
          </cell>
          <cell r="P277" t="e">
            <v>#DIV/0!</v>
          </cell>
          <cell r="Q277" t="e">
            <v>#DIV/0!</v>
          </cell>
          <cell r="R277" t="e">
            <v>#DIV/0!</v>
          </cell>
          <cell r="S277" t="str">
            <v>-</v>
          </cell>
          <cell r="U277" t="e">
            <v>#DIV/0!</v>
          </cell>
          <cell r="V277" t="e">
            <v>#DIV/0!</v>
          </cell>
          <cell r="W277" t="e">
            <v>#DIV/0!</v>
          </cell>
          <cell r="X277" t="e">
            <v>#DIV/0!</v>
          </cell>
          <cell r="Y277" t="str">
            <v>-</v>
          </cell>
          <cell r="AA277" t="e">
            <v>#DIV/0!</v>
          </cell>
          <cell r="AB277" t="e">
            <v>#DIV/0!</v>
          </cell>
          <cell r="AC277" t="e">
            <v>#DIV/0!</v>
          </cell>
          <cell r="AD277" t="e">
            <v>#DIV/0!</v>
          </cell>
          <cell r="AE277" t="str">
            <v>-</v>
          </cell>
          <cell r="AG277" t="e">
            <v>#DIV/0!</v>
          </cell>
          <cell r="AH277" t="e">
            <v>#DIV/0!</v>
          </cell>
          <cell r="AI277" t="e">
            <v>#DIV/0!</v>
          </cell>
          <cell r="AJ277" t="e">
            <v>#DIV/0!</v>
          </cell>
          <cell r="AK277" t="str">
            <v>-</v>
          </cell>
          <cell r="AM277" t="e">
            <v>#DIV/0!</v>
          </cell>
          <cell r="AN277" t="e">
            <v>#DIV/0!</v>
          </cell>
          <cell r="AO277" t="e">
            <v>#DIV/0!</v>
          </cell>
          <cell r="AP277" t="e">
            <v>#DIV/0!</v>
          </cell>
          <cell r="AQ277" t="str">
            <v>-</v>
          </cell>
          <cell r="AS277" t="e">
            <v>#DIV/0!</v>
          </cell>
          <cell r="AT277" t="e">
            <v>#DIV/0!</v>
          </cell>
          <cell r="AU277" t="e">
            <v>#DIV/0!</v>
          </cell>
          <cell r="AV277" t="e">
            <v>#DIV/0!</v>
          </cell>
          <cell r="AW277" t="str">
            <v>-</v>
          </cell>
          <cell r="AY277" t="e">
            <v>#DIV/0!</v>
          </cell>
          <cell r="AZ277" t="e">
            <v>#DIV/0!</v>
          </cell>
          <cell r="BA277" t="e">
            <v>#DIV/0!</v>
          </cell>
          <cell r="BB277" t="e">
            <v>#DIV/0!</v>
          </cell>
          <cell r="BC277" t="str">
            <v>-</v>
          </cell>
          <cell r="BE277" t="e">
            <v>#DIV/0!</v>
          </cell>
          <cell r="BF277" t="e">
            <v>#DIV/0!</v>
          </cell>
          <cell r="BG277" t="e">
            <v>#DIV/0!</v>
          </cell>
          <cell r="BH277" t="e">
            <v>#DIV/0!</v>
          </cell>
          <cell r="BI277" t="str">
            <v>-</v>
          </cell>
          <cell r="BK277" t="e">
            <v>#DIV/0!</v>
          </cell>
          <cell r="BL277" t="e">
            <v>#DIV/0!</v>
          </cell>
          <cell r="BM277" t="e">
            <v>#DIV/0!</v>
          </cell>
          <cell r="BN277" t="e">
            <v>#DIV/0!</v>
          </cell>
          <cell r="BO277" t="str">
            <v>-</v>
          </cell>
          <cell r="BQ277" t="e">
            <v>#DIV/0!</v>
          </cell>
          <cell r="BR277" t="e">
            <v>#DIV/0!</v>
          </cell>
          <cell r="BS277" t="e">
            <v>#DIV/0!</v>
          </cell>
          <cell r="BT277" t="e">
            <v>#DIV/0!</v>
          </cell>
          <cell r="BU277" t="str">
            <v>-</v>
          </cell>
          <cell r="BW277" t="e">
            <v>#DIV/0!</v>
          </cell>
          <cell r="BX277" t="e">
            <v>#DIV/0!</v>
          </cell>
          <cell r="BY277" t="e">
            <v>#DIV/0!</v>
          </cell>
          <cell r="BZ277" t="e">
            <v>#DIV/0!</v>
          </cell>
          <cell r="CA277" t="str">
            <v>-</v>
          </cell>
          <cell r="CC277" t="e">
            <v>#DIV/0!</v>
          </cell>
          <cell r="CD277" t="e">
            <v>#DIV/0!</v>
          </cell>
          <cell r="CE277" t="e">
            <v>#DIV/0!</v>
          </cell>
          <cell r="CF277" t="e">
            <v>#DIV/0!</v>
          </cell>
          <cell r="CG277" t="str">
            <v>-</v>
          </cell>
          <cell r="CI277" t="e">
            <v>#DIV/0!</v>
          </cell>
          <cell r="CJ277" t="e">
            <v>#DIV/0!</v>
          </cell>
          <cell r="CK277" t="e">
            <v>#DIV/0!</v>
          </cell>
          <cell r="CL277" t="e">
            <v>#DIV/0!</v>
          </cell>
          <cell r="CM277" t="str">
            <v>-</v>
          </cell>
          <cell r="CO277" t="e">
            <v>#DIV/0!</v>
          </cell>
          <cell r="CP277" t="e">
            <v>#DIV/0!</v>
          </cell>
          <cell r="CQ277" t="e">
            <v>#DIV/0!</v>
          </cell>
          <cell r="CR277" t="e">
            <v>#DIV/0!</v>
          </cell>
          <cell r="CS277" t="str">
            <v>-</v>
          </cell>
          <cell r="CU277" t="e">
            <v>#DIV/0!</v>
          </cell>
          <cell r="CV277" t="e">
            <v>#DIV/0!</v>
          </cell>
          <cell r="CW277" t="e">
            <v>#DIV/0!</v>
          </cell>
          <cell r="CX277" t="e">
            <v>#DIV/0!</v>
          </cell>
          <cell r="CY277" t="str">
            <v>-</v>
          </cell>
          <cell r="DA277" t="e">
            <v>#DIV/0!</v>
          </cell>
          <cell r="DB277" t="e">
            <v>#DIV/0!</v>
          </cell>
          <cell r="DC277" t="e">
            <v>#DIV/0!</v>
          </cell>
          <cell r="DE277" t="str">
            <v>-</v>
          </cell>
          <cell r="DG277">
            <v>-1.1627906976744207E-2</v>
          </cell>
          <cell r="DH277">
            <v>8.8235294117646745E-3</v>
          </cell>
          <cell r="DI277">
            <v>-4.3731778425656009E-2</v>
          </cell>
          <cell r="DJ277">
            <v>4.7256097560975707E-2</v>
          </cell>
          <cell r="DK277" t="str">
            <v>-</v>
          </cell>
          <cell r="DM277">
            <v>-4.5123726346433801E-2</v>
          </cell>
          <cell r="DN277">
            <v>-3.3536585365853688E-2</v>
          </cell>
          <cell r="DO277">
            <v>-3.7854889589905349E-2</v>
          </cell>
          <cell r="DP277">
            <v>-9.8360655737704805E-3</v>
          </cell>
          <cell r="DQ277" t="str">
            <v>-</v>
          </cell>
          <cell r="DS277">
            <v>-4.3046357615894038E-2</v>
          </cell>
          <cell r="DT277">
            <v>2.076124567474058E-2</v>
          </cell>
          <cell r="DU277">
            <v>-3.050847457627115E-2</v>
          </cell>
          <cell r="DV277">
            <v>2.4475524475524368E-2</v>
          </cell>
          <cell r="DW277" t="str">
            <v>-</v>
          </cell>
          <cell r="DY277">
            <v>1.8771331058020424E-2</v>
          </cell>
          <cell r="DZ277">
            <v>2.6800670016750461E-2</v>
          </cell>
          <cell r="EA277">
            <v>-2.1207177814029365E-2</v>
          </cell>
          <cell r="EB277">
            <v>-5.0000000000000044E-3</v>
          </cell>
          <cell r="EC277" t="str">
            <v>-</v>
          </cell>
          <cell r="EE277">
            <v>-1.5075376884422065E-2</v>
          </cell>
          <cell r="EF277">
            <v>5.2721088435374153E-2</v>
          </cell>
          <cell r="EG277">
            <v>-5.0080775444264924E-2</v>
          </cell>
          <cell r="EH277">
            <v>3.4013605442175798E-3</v>
          </cell>
          <cell r="EI277" t="str">
            <v>-</v>
          </cell>
          <cell r="EK277">
            <v>-5.2542372881355881E-2</v>
          </cell>
          <cell r="EL277">
            <v>-1.610017889087656E-2</v>
          </cell>
          <cell r="EM277">
            <v>0</v>
          </cell>
          <cell r="EN277">
            <v>0</v>
          </cell>
          <cell r="EO277">
            <v>0</v>
          </cell>
          <cell r="EQ277">
            <v>0</v>
          </cell>
          <cell r="ER277">
            <v>0</v>
          </cell>
          <cell r="ES277">
            <v>0</v>
          </cell>
          <cell r="ET277">
            <v>0</v>
          </cell>
          <cell r="EU277">
            <v>0</v>
          </cell>
          <cell r="EW277">
            <v>0</v>
          </cell>
          <cell r="EX277">
            <v>0</v>
          </cell>
          <cell r="EY277">
            <v>0</v>
          </cell>
          <cell r="EZ277">
            <v>0</v>
          </cell>
          <cell r="FA277">
            <v>0</v>
          </cell>
        </row>
        <row r="278"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0</v>
          </cell>
          <cell r="S278">
            <v>0</v>
          </cell>
          <cell r="U278">
            <v>0</v>
          </cell>
          <cell r="V278">
            <v>0</v>
          </cell>
          <cell r="W278">
            <v>0</v>
          </cell>
          <cell r="X278">
            <v>0</v>
          </cell>
          <cell r="Y278">
            <v>0</v>
          </cell>
          <cell r="AA278">
            <v>0</v>
          </cell>
          <cell r="AB278">
            <v>0</v>
          </cell>
          <cell r="AC278">
            <v>0</v>
          </cell>
          <cell r="AD278">
            <v>0</v>
          </cell>
          <cell r="AE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M278">
            <v>0</v>
          </cell>
          <cell r="AN278">
            <v>0</v>
          </cell>
          <cell r="AO278">
            <v>0</v>
          </cell>
          <cell r="AP278">
            <v>0</v>
          </cell>
          <cell r="AQ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0</v>
          </cell>
          <cell r="BK278">
            <v>0</v>
          </cell>
          <cell r="BL278">
            <v>0</v>
          </cell>
          <cell r="BM278">
            <v>0</v>
          </cell>
          <cell r="BN278">
            <v>0</v>
          </cell>
          <cell r="BO278">
            <v>0</v>
          </cell>
          <cell r="BQ278">
            <v>0</v>
          </cell>
          <cell r="BR278">
            <v>0</v>
          </cell>
          <cell r="BS278">
            <v>0</v>
          </cell>
          <cell r="BT278">
            <v>0</v>
          </cell>
          <cell r="BU278">
            <v>0</v>
          </cell>
          <cell r="BW278">
            <v>0</v>
          </cell>
          <cell r="BX278">
            <v>0</v>
          </cell>
          <cell r="BY278">
            <v>0</v>
          </cell>
          <cell r="BZ278">
            <v>0</v>
          </cell>
          <cell r="CA278">
            <v>0</v>
          </cell>
          <cell r="CC278">
            <v>0</v>
          </cell>
          <cell r="CD278">
            <v>0</v>
          </cell>
          <cell r="CE278">
            <v>0</v>
          </cell>
          <cell r="CF278">
            <v>0</v>
          </cell>
          <cell r="CG278">
            <v>0</v>
          </cell>
          <cell r="CI278">
            <v>0</v>
          </cell>
          <cell r="CJ278">
            <v>0</v>
          </cell>
          <cell r="CK278">
            <v>0</v>
          </cell>
          <cell r="CL278">
            <v>0</v>
          </cell>
          <cell r="CM278">
            <v>0</v>
          </cell>
          <cell r="CO278">
            <v>0</v>
          </cell>
          <cell r="CP278">
            <v>0</v>
          </cell>
          <cell r="CQ278">
            <v>0</v>
          </cell>
          <cell r="CR278">
            <v>0</v>
          </cell>
          <cell r="CS278">
            <v>0</v>
          </cell>
          <cell r="CU278">
            <v>0</v>
          </cell>
          <cell r="CV278">
            <v>0</v>
          </cell>
          <cell r="CW278">
            <v>0</v>
          </cell>
          <cell r="CX278">
            <v>0</v>
          </cell>
          <cell r="CY278">
            <v>0</v>
          </cell>
          <cell r="DA278">
            <v>0</v>
          </cell>
          <cell r="DB278">
            <v>0</v>
          </cell>
          <cell r="DC278">
            <v>0</v>
          </cell>
          <cell r="DE278">
            <v>0</v>
          </cell>
          <cell r="DG278">
            <v>0</v>
          </cell>
          <cell r="DH278">
            <v>0</v>
          </cell>
          <cell r="DI278">
            <v>0</v>
          </cell>
          <cell r="DJ278">
            <v>0</v>
          </cell>
          <cell r="DK278">
            <v>0</v>
          </cell>
          <cell r="DM278">
            <v>0</v>
          </cell>
          <cell r="DN278">
            <v>0</v>
          </cell>
          <cell r="DO278">
            <v>0</v>
          </cell>
          <cell r="DP278">
            <v>0</v>
          </cell>
          <cell r="DQ278">
            <v>0</v>
          </cell>
          <cell r="DS278">
            <v>0</v>
          </cell>
          <cell r="DT278">
            <v>0</v>
          </cell>
          <cell r="DU278">
            <v>0</v>
          </cell>
          <cell r="DV278">
            <v>0</v>
          </cell>
          <cell r="DW278">
            <v>0</v>
          </cell>
          <cell r="DY278">
            <v>0</v>
          </cell>
          <cell r="DZ278">
            <v>0</v>
          </cell>
          <cell r="EA278">
            <v>0</v>
          </cell>
          <cell r="EB278">
            <v>0</v>
          </cell>
          <cell r="EC278">
            <v>0</v>
          </cell>
          <cell r="EE278">
            <v>0</v>
          </cell>
          <cell r="EF278">
            <v>0</v>
          </cell>
          <cell r="EG278">
            <v>0</v>
          </cell>
          <cell r="EH278">
            <v>0</v>
          </cell>
          <cell r="EI278">
            <v>0</v>
          </cell>
          <cell r="EK278">
            <v>0</v>
          </cell>
          <cell r="EL278">
            <v>0</v>
          </cell>
          <cell r="EM278">
            <v>0</v>
          </cell>
          <cell r="EN278">
            <v>0</v>
          </cell>
          <cell r="EO278">
            <v>0</v>
          </cell>
          <cell r="EQ278">
            <v>0</v>
          </cell>
          <cell r="ER278">
            <v>0</v>
          </cell>
          <cell r="ES278">
            <v>0</v>
          </cell>
          <cell r="ET278">
            <v>0</v>
          </cell>
          <cell r="EU278">
            <v>0</v>
          </cell>
          <cell r="EW278">
            <v>0</v>
          </cell>
          <cell r="EX278">
            <v>0</v>
          </cell>
          <cell r="EY278">
            <v>0</v>
          </cell>
          <cell r="EZ278">
            <v>0</v>
          </cell>
          <cell r="FA278">
            <v>0</v>
          </cell>
        </row>
        <row r="279">
          <cell r="C279" t="str">
            <v>-</v>
          </cell>
          <cell r="D279" t="str">
            <v>-</v>
          </cell>
          <cell r="E279" t="str">
            <v>-</v>
          </cell>
          <cell r="F279" t="str">
            <v>-</v>
          </cell>
          <cell r="G279" t="str">
            <v>-</v>
          </cell>
          <cell r="H279" t="str">
            <v>-</v>
          </cell>
          <cell r="I279" t="str">
            <v>-</v>
          </cell>
          <cell r="J279" t="str">
            <v>-</v>
          </cell>
          <cell r="K279" t="str">
            <v>-</v>
          </cell>
          <cell r="L279" t="str">
            <v>-</v>
          </cell>
          <cell r="M279" t="str">
            <v>-</v>
          </cell>
          <cell r="O279" t="str">
            <v>-</v>
          </cell>
          <cell r="P279">
            <v>0.1837641152513434</v>
          </cell>
          <cell r="Q279">
            <v>6.1002811048643357E-2</v>
          </cell>
          <cell r="R279">
            <v>0.18037408745986272</v>
          </cell>
          <cell r="S279" t="str">
            <v>-</v>
          </cell>
          <cell r="U279">
            <v>2.9091512373163653E-2</v>
          </cell>
          <cell r="V279">
            <v>0.14250017188118624</v>
          </cell>
          <cell r="W279">
            <v>4.840945404743624E-2</v>
          </cell>
          <cell r="X279">
            <v>0.15009728069289952</v>
          </cell>
          <cell r="Y279" t="str">
            <v>-</v>
          </cell>
          <cell r="AA279">
            <v>4.6341774025339566E-2</v>
          </cell>
          <cell r="AB279">
            <v>0.15941394929621966</v>
          </cell>
          <cell r="AC279">
            <v>4.8657589590963557E-3</v>
          </cell>
          <cell r="AD279">
            <v>0.1866942610777631</v>
          </cell>
          <cell r="AE279" t="str">
            <v>-</v>
          </cell>
          <cell r="AG279">
            <v>2.7182899874137911E-2</v>
          </cell>
          <cell r="AH279">
            <v>0.1495242352788575</v>
          </cell>
          <cell r="AI279">
            <v>3.0275278346174606E-3</v>
          </cell>
          <cell r="AJ279">
            <v>0.2085913110558435</v>
          </cell>
          <cell r="AK279" t="str">
            <v>-</v>
          </cell>
          <cell r="AM279">
            <v>-9.7512528776708685E-3</v>
          </cell>
          <cell r="AN279">
            <v>0.10004221580079542</v>
          </cell>
          <cell r="AO279">
            <v>-2.7759276171380631E-2</v>
          </cell>
          <cell r="AP279">
            <v>0.14561885502227456</v>
          </cell>
          <cell r="AQ279" t="str">
            <v>-</v>
          </cell>
          <cell r="AS279">
            <v>-5.3433268693184321E-2</v>
          </cell>
          <cell r="AT279">
            <v>4.5475301240130106E-2</v>
          </cell>
          <cell r="AU279">
            <v>-2.6648909955756084E-2</v>
          </cell>
          <cell r="AV279">
            <v>0.1252243616183053</v>
          </cell>
          <cell r="AW279" t="str">
            <v>-</v>
          </cell>
          <cell r="AY279">
            <v>-4.1431355795093938E-2</v>
          </cell>
          <cell r="AZ279">
            <v>5.0415791163588963E-2</v>
          </cell>
          <cell r="BA279">
            <v>1.181259277624136E-3</v>
          </cell>
          <cell r="BB279">
            <v>4.8055384719549954E-2</v>
          </cell>
          <cell r="BC279" t="str">
            <v>-</v>
          </cell>
          <cell r="BE279">
            <v>-7.04668760281143E-2</v>
          </cell>
          <cell r="BF279">
            <v>1.4864728333720656E-2</v>
          </cell>
          <cell r="BG279">
            <v>-6.3840243087392556E-2</v>
          </cell>
          <cell r="BH279">
            <v>9.9999525863149419E-2</v>
          </cell>
          <cell r="BI279" t="str">
            <v>-</v>
          </cell>
          <cell r="BK279">
            <v>-9.7908070366865219E-2</v>
          </cell>
          <cell r="BL279">
            <v>5.3924914675767877E-2</v>
          </cell>
          <cell r="BM279">
            <v>5.1813471502590858E-3</v>
          </cell>
          <cell r="BN279">
            <v>5.9536082474226815E-2</v>
          </cell>
          <cell r="BO279" t="str">
            <v>-</v>
          </cell>
          <cell r="BQ279">
            <v>-5.9231330576502095E-2</v>
          </cell>
          <cell r="BR279">
            <v>6.2055591467356175E-2</v>
          </cell>
          <cell r="BS279">
            <v>1.1564211807668867E-2</v>
          </cell>
          <cell r="BT279">
            <v>6.0770156438026524E-2</v>
          </cell>
          <cell r="BU279" t="str">
            <v>-</v>
          </cell>
          <cell r="BW279">
            <v>-6.2960862166761222E-2</v>
          </cell>
          <cell r="BX279">
            <v>8.0508474576271194E-2</v>
          </cell>
          <cell r="BY279">
            <v>0.20224089635854336</v>
          </cell>
          <cell r="BZ279">
            <v>0.13979496738117425</v>
          </cell>
          <cell r="CA279" t="str">
            <v>-</v>
          </cell>
          <cell r="CC279">
            <v>-6.8683565004088343E-2</v>
          </cell>
          <cell r="CD279">
            <v>2.5460930640913038E-2</v>
          </cell>
          <cell r="CE279">
            <v>4.3664383561643927E-2</v>
          </cell>
          <cell r="CF279">
            <v>0.15504511894995909</v>
          </cell>
          <cell r="CG279" t="str">
            <v>-</v>
          </cell>
          <cell r="CI279">
            <v>1.4559659090909172E-2</v>
          </cell>
          <cell r="CJ279">
            <v>5.3202660133006674E-2</v>
          </cell>
          <cell r="CK279">
            <v>1.6616816218012698E-2</v>
          </cell>
          <cell r="CL279">
            <v>0.11212814645308922</v>
          </cell>
          <cell r="CM279" t="str">
            <v>-</v>
          </cell>
          <cell r="CO279">
            <v>3.0570252792474939E-2</v>
          </cell>
          <cell r="CP279">
            <v>5.4192812321734118E-2</v>
          </cell>
          <cell r="CQ279">
            <v>1.5963203463203568E-2</v>
          </cell>
          <cell r="CR279">
            <v>0.10173102529960043</v>
          </cell>
          <cell r="CS279" t="str">
            <v>-</v>
          </cell>
          <cell r="CU279">
            <v>-8.3794466403162016E-2</v>
          </cell>
          <cell r="CV279">
            <v>-2.415875754961172E-2</v>
          </cell>
          <cell r="CW279">
            <v>-9.8143236074270557E-2</v>
          </cell>
          <cell r="CX279">
            <v>4.4117647058823595E-2</v>
          </cell>
          <cell r="CY279" t="str">
            <v>-</v>
          </cell>
          <cell r="DA279">
            <v>-0.14647887323943665</v>
          </cell>
          <cell r="DB279">
            <v>5.3905390539053855E-2</v>
          </cell>
          <cell r="DC279">
            <v>-2.8183716075156573E-2</v>
          </cell>
          <cell r="DE279" t="str">
            <v>-</v>
          </cell>
          <cell r="DG279">
            <v>-3.6101083032490933E-2</v>
          </cell>
          <cell r="DH279">
            <v>0.1095505617977528</v>
          </cell>
          <cell r="DI279">
            <v>-3.2911392405063244E-2</v>
          </cell>
          <cell r="DJ279">
            <v>8.9005235602094279E-2</v>
          </cell>
          <cell r="DK279" t="str">
            <v>-</v>
          </cell>
          <cell r="DM279">
            <v>-5.4487179487179516E-2</v>
          </cell>
          <cell r="DN279">
            <v>0</v>
          </cell>
          <cell r="DO279">
            <v>-3.2763389830508527E-2</v>
          </cell>
          <cell r="DP279">
            <v>5.3288715572022749E-2</v>
          </cell>
          <cell r="DQ279" t="str">
            <v>-</v>
          </cell>
          <cell r="DS279">
            <v>-0.17232294511286639</v>
          </cell>
          <cell r="DT279">
            <v>1.5075376884422065E-2</v>
          </cell>
          <cell r="DU279">
            <v>-7.4257425742574212E-2</v>
          </cell>
          <cell r="DV279">
            <v>4.2780748663101553E-2</v>
          </cell>
          <cell r="DW279" t="str">
            <v>-</v>
          </cell>
          <cell r="DY279">
            <v>-5.8461538461538454E-2</v>
          </cell>
          <cell r="DZ279">
            <v>4.466230936819171E-2</v>
          </cell>
          <cell r="EA279">
            <v>-7.8206465067778952E-2</v>
          </cell>
          <cell r="EB279">
            <v>6.3348416289592757E-2</v>
          </cell>
          <cell r="EC279" t="str">
            <v>-</v>
          </cell>
          <cell r="EE279">
            <v>-9.0425531914893664E-2</v>
          </cell>
          <cell r="EF279">
            <v>9.3567251461988299E-2</v>
          </cell>
          <cell r="EG279">
            <v>-8.2352941176470629E-2</v>
          </cell>
          <cell r="EH279">
            <v>4.7785547785547777E-2</v>
          </cell>
          <cell r="EI279" t="str">
            <v>-</v>
          </cell>
          <cell r="EK279">
            <v>-4.1156840934371552E-2</v>
          </cell>
          <cell r="EL279">
            <v>-1.1600928074245731E-3</v>
          </cell>
          <cell r="EM279">
            <v>6.1472189038400682E-3</v>
          </cell>
          <cell r="EN279">
            <v>7.6085753205470397E-3</v>
          </cell>
          <cell r="EO279" t="str">
            <v>-</v>
          </cell>
          <cell r="EQ279">
            <v>1.1889341154791566E-2</v>
          </cell>
          <cell r="ER279">
            <v>-6.7222648403973961E-3</v>
          </cell>
          <cell r="ES279">
            <v>-6.2505371981111946E-3</v>
          </cell>
          <cell r="ET279">
            <v>6.6040779970621966E-3</v>
          </cell>
          <cell r="EU279" t="str">
            <v>-</v>
          </cell>
          <cell r="EW279">
            <v>-4.8995772366203783E-3</v>
          </cell>
          <cell r="EX279">
            <v>-6.9768939721381873E-3</v>
          </cell>
          <cell r="EY279">
            <v>-9.1094015456348876E-3</v>
          </cell>
          <cell r="EZ279">
            <v>3.3209091804247137E-3</v>
          </cell>
          <cell r="FA279" t="str">
            <v>-</v>
          </cell>
        </row>
        <row r="280">
          <cell r="C280" t="str">
            <v>-</v>
          </cell>
          <cell r="D280" t="str">
            <v>-</v>
          </cell>
          <cell r="E280" t="str">
            <v>-</v>
          </cell>
          <cell r="F280" t="str">
            <v>-</v>
          </cell>
          <cell r="G280" t="str">
            <v>-</v>
          </cell>
          <cell r="H280" t="str">
            <v>-</v>
          </cell>
          <cell r="I280" t="str">
            <v>-</v>
          </cell>
          <cell r="J280" t="str">
            <v>-</v>
          </cell>
          <cell r="K280" t="str">
            <v>-</v>
          </cell>
          <cell r="L280" t="str">
            <v>-</v>
          </cell>
          <cell r="M280" t="str">
            <v>-</v>
          </cell>
          <cell r="O280" t="str">
            <v>-</v>
          </cell>
          <cell r="P280" t="str">
            <v>-</v>
          </cell>
          <cell r="Q280" t="str">
            <v>-</v>
          </cell>
          <cell r="R280" t="str">
            <v>-</v>
          </cell>
          <cell r="S280" t="str">
            <v>-</v>
          </cell>
          <cell r="U280" t="str">
            <v>-</v>
          </cell>
          <cell r="V280" t="str">
            <v>-</v>
          </cell>
          <cell r="W280" t="str">
            <v>-</v>
          </cell>
          <cell r="X280" t="str">
            <v>-</v>
          </cell>
          <cell r="Y280" t="str">
            <v>-</v>
          </cell>
          <cell r="AA280" t="str">
            <v>-</v>
          </cell>
          <cell r="AB280" t="str">
            <v>-</v>
          </cell>
          <cell r="AC280" t="str">
            <v>-</v>
          </cell>
          <cell r="AD280" t="str">
            <v>-</v>
          </cell>
          <cell r="AE280" t="str">
            <v>-</v>
          </cell>
          <cell r="AG280" t="str">
            <v>-</v>
          </cell>
          <cell r="AH280" t="str">
            <v>-</v>
          </cell>
          <cell r="AI280" t="str">
            <v>-</v>
          </cell>
          <cell r="AJ280" t="str">
            <v>-</v>
          </cell>
          <cell r="AK280" t="str">
            <v>-</v>
          </cell>
          <cell r="AM280" t="str">
            <v>-</v>
          </cell>
          <cell r="AN280" t="str">
            <v>-</v>
          </cell>
          <cell r="AO280" t="str">
            <v>-</v>
          </cell>
          <cell r="AP280" t="str">
            <v>-</v>
          </cell>
          <cell r="AQ280" t="str">
            <v>-</v>
          </cell>
          <cell r="AS280" t="str">
            <v>-</v>
          </cell>
          <cell r="AT280">
            <v>1.4971890340040872E-2</v>
          </cell>
          <cell r="AU280">
            <v>-0.12296607752936395</v>
          </cell>
          <cell r="AV280">
            <v>0.11864997339246508</v>
          </cell>
          <cell r="AW280" t="str">
            <v>-</v>
          </cell>
          <cell r="AY280">
            <v>-4.328371390435215E-2</v>
          </cell>
          <cell r="AZ280">
            <v>5.6560814204905219E-2</v>
          </cell>
          <cell r="BA280">
            <v>-3.079130642991379E-2</v>
          </cell>
          <cell r="BB280">
            <v>3.5066453862642177E-3</v>
          </cell>
          <cell r="BC280" t="str">
            <v>-</v>
          </cell>
          <cell r="BE280">
            <v>-7.0745051087547695E-2</v>
          </cell>
          <cell r="BF280">
            <v>-2.6183828084051952E-2</v>
          </cell>
          <cell r="BG280">
            <v>-0.10201649126996093</v>
          </cell>
          <cell r="BH280">
            <v>6.2245402811167194E-2</v>
          </cell>
          <cell r="BI280" t="str">
            <v>-</v>
          </cell>
          <cell r="BK280">
            <v>-0.11361342054939561</v>
          </cell>
          <cell r="BL280">
            <v>5.32407407407407E-2</v>
          </cell>
          <cell r="BM280">
            <v>-5.4945054945054972E-2</v>
          </cell>
          <cell r="BN280">
            <v>3.2558139534883734E-2</v>
          </cell>
          <cell r="BO280" t="str">
            <v>-</v>
          </cell>
          <cell r="BQ280">
            <v>-0.10585585585585588</v>
          </cell>
          <cell r="BR280">
            <v>-2.5188916876573986E-3</v>
          </cell>
          <cell r="BS280">
            <v>-5.555555555555558E-2</v>
          </cell>
          <cell r="BT280">
            <v>0.12834224598930488</v>
          </cell>
          <cell r="BU280" t="str">
            <v>-</v>
          </cell>
          <cell r="BW280">
            <v>-0.15876777251184837</v>
          </cell>
          <cell r="BX280">
            <v>0.11267605633802824</v>
          </cell>
          <cell r="BY280">
            <v>0.18987341772151889</v>
          </cell>
          <cell r="BZ280">
            <v>0.25319148936170222</v>
          </cell>
          <cell r="CA280" t="str">
            <v>-</v>
          </cell>
          <cell r="CC280">
            <v>-0.18336162988115445</v>
          </cell>
          <cell r="CD280">
            <v>5.1975051975051922E-2</v>
          </cell>
          <cell r="CE280">
            <v>-9.8814229249012397E-3</v>
          </cell>
          <cell r="CF280">
            <v>0.26147704590818366</v>
          </cell>
          <cell r="CG280" t="str">
            <v>-</v>
          </cell>
          <cell r="CI280">
            <v>1.2658227848101333E-2</v>
          </cell>
          <cell r="CJ280">
            <v>0.11874999999999991</v>
          </cell>
          <cell r="CK280">
            <v>-3.0726256983240274E-2</v>
          </cell>
          <cell r="CL280">
            <v>0.18011527377521608</v>
          </cell>
          <cell r="CM280" t="str">
            <v>-</v>
          </cell>
          <cell r="CO280">
            <v>-2.1978021978022011E-2</v>
          </cell>
          <cell r="CP280">
            <v>9.4881398252184779E-2</v>
          </cell>
          <cell r="CQ280">
            <v>-3.8768529076396829E-2</v>
          </cell>
          <cell r="CR280">
            <v>0.13523131672597866</v>
          </cell>
          <cell r="CS280" t="str">
            <v>-</v>
          </cell>
          <cell r="CU280">
            <v>-9.6133751306165083E-2</v>
          </cell>
          <cell r="CV280">
            <v>-2.6589595375722586E-2</v>
          </cell>
          <cell r="CW280">
            <v>-9.9762470308788598E-2</v>
          </cell>
          <cell r="CX280">
            <v>3.1662269129287601E-2</v>
          </cell>
          <cell r="CY280" t="str">
            <v>-</v>
          </cell>
          <cell r="DA280">
            <v>-0.15217391304347827</v>
          </cell>
          <cell r="DB280">
            <v>4.3740573152337925E-2</v>
          </cell>
          <cell r="DC280">
            <v>-5.9248554913294837E-2</v>
          </cell>
          <cell r="DE280" t="str">
            <v>-</v>
          </cell>
          <cell r="DG280">
            <v>-6.5918653576437558E-2</v>
          </cell>
          <cell r="DH280">
            <v>0.10810810810810811</v>
          </cell>
          <cell r="DI280">
            <v>-2.1680216802168029E-2</v>
          </cell>
          <cell r="DJ280">
            <v>9.0027700831024848E-2</v>
          </cell>
          <cell r="DK280" t="str">
            <v>-</v>
          </cell>
          <cell r="DM280">
            <v>-7.5706480304955526E-2</v>
          </cell>
          <cell r="DN280">
            <v>1.8241206237395557E-2</v>
          </cell>
          <cell r="DO280">
            <v>-4.5726135700861814E-2</v>
          </cell>
          <cell r="DP280">
            <v>4.0705600526980579E-2</v>
          </cell>
          <cell r="DQ280" t="str">
            <v>-</v>
          </cell>
          <cell r="DS280">
            <v>-3.2208808512668829E-2</v>
          </cell>
          <cell r="DT280">
            <v>1.624867150949405E-2</v>
          </cell>
          <cell r="DU280">
            <v>-4.0272267264677031E-2</v>
          </cell>
          <cell r="DV280">
            <v>2.8692408508922407E-2</v>
          </cell>
          <cell r="DW280" t="str">
            <v>-</v>
          </cell>
          <cell r="DY280">
            <v>-4.839258412997105E-2</v>
          </cell>
          <cell r="DZ280">
            <v>1.2730114942528736E-2</v>
          </cell>
          <cell r="EA280">
            <v>-1.5245372926170231E-2</v>
          </cell>
          <cell r="EB280">
            <v>7.0428976493186468E-3</v>
          </cell>
          <cell r="EC280" t="str">
            <v>-</v>
          </cell>
          <cell r="EE280">
            <v>-1.6925961735665518E-2</v>
          </cell>
          <cell r="EF280">
            <v>2.4227125200799726E-2</v>
          </cell>
          <cell r="EG280">
            <v>-2.6921801071983498E-2</v>
          </cell>
          <cell r="EH280">
            <v>-4.5483089620525607E-2</v>
          </cell>
          <cell r="EI280" t="str">
            <v>-</v>
          </cell>
          <cell r="EK280">
            <v>-3.2697368421052642E-2</v>
          </cell>
          <cell r="EL280">
            <v>-5.5487542224943454E-3</v>
          </cell>
          <cell r="EM280">
            <v>-3.6931930411928438E-2</v>
          </cell>
          <cell r="EN280">
            <v>-2.3404194808416934E-2</v>
          </cell>
          <cell r="EO280" t="str">
            <v>-</v>
          </cell>
          <cell r="EQ280">
            <v>-1.564795361290805E-2</v>
          </cell>
          <cell r="ER280">
            <v>2.322671637140683E-2</v>
          </cell>
          <cell r="ES280">
            <v>-1.8737796302875309E-2</v>
          </cell>
          <cell r="ET280">
            <v>-4.1104734819193967E-3</v>
          </cell>
          <cell r="EU280" t="str">
            <v>-</v>
          </cell>
          <cell r="EW280">
            <v>-9.1781950498455167E-3</v>
          </cell>
          <cell r="EX280">
            <v>3.2503761275973542E-2</v>
          </cell>
          <cell r="EY280">
            <v>-1.1853581669468483E-2</v>
          </cell>
          <cell r="EZ280">
            <v>3.8267986426920864E-3</v>
          </cell>
          <cell r="FA280" t="str">
            <v>-</v>
          </cell>
        </row>
        <row r="281">
          <cell r="C281" t="str">
            <v>-</v>
          </cell>
          <cell r="D281" t="str">
            <v>-</v>
          </cell>
          <cell r="E281" t="str">
            <v>-</v>
          </cell>
          <cell r="F281" t="str">
            <v>-</v>
          </cell>
          <cell r="G281" t="str">
            <v>-</v>
          </cell>
          <cell r="H281" t="str">
            <v>-</v>
          </cell>
          <cell r="I281" t="str">
            <v>-</v>
          </cell>
          <cell r="J281" t="str">
            <v>-</v>
          </cell>
          <cell r="K281" t="str">
            <v>-</v>
          </cell>
          <cell r="L281" t="str">
            <v>-</v>
          </cell>
          <cell r="M281" t="str">
            <v>-</v>
          </cell>
          <cell r="O281" t="str">
            <v>-</v>
          </cell>
          <cell r="P281" t="str">
            <v>-</v>
          </cell>
          <cell r="Q281" t="str">
            <v>-</v>
          </cell>
          <cell r="R281" t="str">
            <v>-</v>
          </cell>
          <cell r="S281" t="str">
            <v>-</v>
          </cell>
          <cell r="U281" t="str">
            <v>-</v>
          </cell>
          <cell r="V281" t="str">
            <v>-</v>
          </cell>
          <cell r="W281" t="str">
            <v>-</v>
          </cell>
          <cell r="X281" t="str">
            <v>-</v>
          </cell>
          <cell r="Y281" t="str">
            <v>-</v>
          </cell>
          <cell r="AA281" t="str">
            <v>-</v>
          </cell>
          <cell r="AB281" t="str">
            <v>-</v>
          </cell>
          <cell r="AC281" t="str">
            <v>-</v>
          </cell>
          <cell r="AD281" t="str">
            <v>-</v>
          </cell>
          <cell r="AE281" t="str">
            <v>-</v>
          </cell>
          <cell r="AG281" t="str">
            <v>-</v>
          </cell>
          <cell r="AH281" t="str">
            <v>-</v>
          </cell>
          <cell r="AI281" t="str">
            <v>-</v>
          </cell>
          <cell r="AJ281" t="str">
            <v>-</v>
          </cell>
          <cell r="AK281" t="str">
            <v>-</v>
          </cell>
          <cell r="AM281" t="str">
            <v>-</v>
          </cell>
          <cell r="AN281" t="str">
            <v>-</v>
          </cell>
          <cell r="AO281" t="str">
            <v>-</v>
          </cell>
          <cell r="AP281" t="str">
            <v>-</v>
          </cell>
          <cell r="AQ281" t="str">
            <v>-</v>
          </cell>
          <cell r="AS281" t="str">
            <v>-</v>
          </cell>
          <cell r="AT281" t="str">
            <v>-</v>
          </cell>
          <cell r="AU281" t="str">
            <v>-</v>
          </cell>
          <cell r="AV281" t="str">
            <v>-</v>
          </cell>
          <cell r="AW281" t="str">
            <v>-</v>
          </cell>
          <cell r="AY281" t="str">
            <v>-</v>
          </cell>
          <cell r="AZ281" t="str">
            <v>-</v>
          </cell>
          <cell r="BA281" t="str">
            <v>-</v>
          </cell>
          <cell r="BB281" t="str">
            <v>-</v>
          </cell>
          <cell r="BC281" t="str">
            <v>-</v>
          </cell>
          <cell r="BE281" t="str">
            <v>-</v>
          </cell>
          <cell r="BF281">
            <v>7.1294293366295669E-2</v>
          </cell>
          <cell r="BG281">
            <v>-0.10016706529969577</v>
          </cell>
          <cell r="BH281">
            <v>0.13363698291637172</v>
          </cell>
          <cell r="BI281" t="str">
            <v>-</v>
          </cell>
          <cell r="BK281">
            <v>-0.24592327269299652</v>
          </cell>
          <cell r="BL281">
            <v>0</v>
          </cell>
          <cell r="BM281">
            <v>-1.5625E-2</v>
          </cell>
          <cell r="BN281">
            <v>4.7619047619047672E-2</v>
          </cell>
          <cell r="BO281" t="str">
            <v>-</v>
          </cell>
          <cell r="BQ281">
            <v>-9.0909090909090939E-2</v>
          </cell>
          <cell r="BR281">
            <v>8.3333333333333259E-2</v>
          </cell>
          <cell r="BS281">
            <v>-4.6153846153846101E-2</v>
          </cell>
          <cell r="BT281">
            <v>0.14516129032258074</v>
          </cell>
          <cell r="BU281" t="str">
            <v>-</v>
          </cell>
          <cell r="BW281">
            <v>0</v>
          </cell>
          <cell r="BX281">
            <v>1.4084507042253502E-2</v>
          </cell>
          <cell r="BY281">
            <v>5.555555555555558E-2</v>
          </cell>
          <cell r="BZ281">
            <v>5.2631578947368363E-2</v>
          </cell>
          <cell r="CA281" t="str">
            <v>-</v>
          </cell>
          <cell r="CC281">
            <v>5.0000000000000044E-2</v>
          </cell>
          <cell r="CD281">
            <v>3.5714285714285809E-2</v>
          </cell>
          <cell r="CE281">
            <v>0.10344827586206895</v>
          </cell>
          <cell r="CF281">
            <v>0.35416666666666674</v>
          </cell>
          <cell r="CG281" t="str">
            <v>-</v>
          </cell>
          <cell r="CI281">
            <v>-3.8461538461538436E-2</v>
          </cell>
          <cell r="CJ281">
            <v>0.12000000000000011</v>
          </cell>
          <cell r="CK281">
            <v>1.4285714285714235E-2</v>
          </cell>
          <cell r="CL281">
            <v>6.3380281690140761E-2</v>
          </cell>
          <cell r="CM281" t="str">
            <v>-</v>
          </cell>
          <cell r="CO281">
            <v>4.635761589403975E-2</v>
          </cell>
          <cell r="CP281">
            <v>5.6962025316455778E-2</v>
          </cell>
          <cell r="CQ281">
            <v>4.1916167664670656E-2</v>
          </cell>
          <cell r="CR281">
            <v>0.11494252873563227</v>
          </cell>
          <cell r="CS281" t="str">
            <v>-</v>
          </cell>
          <cell r="CU281">
            <v>5.1546391752577136E-3</v>
          </cell>
          <cell r="CV281">
            <v>-3.0769230769230771E-2</v>
          </cell>
          <cell r="CW281">
            <v>1.0582010582010692E-2</v>
          </cell>
          <cell r="CX281">
            <v>6.8062827225130906E-2</v>
          </cell>
          <cell r="CY281" t="str">
            <v>-</v>
          </cell>
          <cell r="DA281">
            <v>-0.11764705882352944</v>
          </cell>
          <cell r="DB281">
            <v>4.4444444444444509E-2</v>
          </cell>
          <cell r="DC281">
            <v>0.12234042553191493</v>
          </cell>
          <cell r="DE281" t="str">
            <v>-</v>
          </cell>
          <cell r="DG281">
            <v>8.8135593220338926E-2</v>
          </cell>
          <cell r="DH281">
            <v>9.0342679127725756E-2</v>
          </cell>
          <cell r="DI281">
            <v>-2.571428571428569E-2</v>
          </cell>
          <cell r="DJ281">
            <v>7.6246334310850372E-2</v>
          </cell>
          <cell r="DK281" t="str">
            <v>-</v>
          </cell>
          <cell r="DM281">
            <v>5.5386920980926346E-2</v>
          </cell>
          <cell r="DN281">
            <v>-3.1588296194171916E-2</v>
          </cell>
          <cell r="DO281">
            <v>-7.3251362332441117E-2</v>
          </cell>
          <cell r="DP281">
            <v>8.518019884009953E-2</v>
          </cell>
          <cell r="DQ281" t="str">
            <v>-</v>
          </cell>
          <cell r="DS281">
            <v>-0.41081526724032791</v>
          </cell>
          <cell r="DT281">
            <v>2.8372712883077966E-3</v>
          </cell>
          <cell r="DU281">
            <v>-0.20776682650892997</v>
          </cell>
          <cell r="DV281">
            <v>4.7661656605012315E-2</v>
          </cell>
          <cell r="DW281" t="str">
            <v>-</v>
          </cell>
          <cell r="DY281">
            <v>-5.7109960323032949E-3</v>
          </cell>
          <cell r="DZ281">
            <v>0.17681277607883161</v>
          </cell>
          <cell r="EA281">
            <v>-0.3001524531091192</v>
          </cell>
          <cell r="EB281">
            <v>0.33560852603159241</v>
          </cell>
          <cell r="EC281" t="str">
            <v>-</v>
          </cell>
          <cell r="EE281">
            <v>-0.12758467304182164</v>
          </cell>
          <cell r="EF281">
            <v>0.20098863408993894</v>
          </cell>
          <cell r="EG281">
            <v>-0.32400174224422862</v>
          </cell>
          <cell r="EH281">
            <v>0.29016910787797068</v>
          </cell>
          <cell r="EI281" t="str">
            <v>-</v>
          </cell>
          <cell r="EK281">
            <v>-0.14852320994311019</v>
          </cell>
          <cell r="EL281">
            <v>-1.6610557072984311E-2</v>
          </cell>
          <cell r="EM281">
            <v>-0.21909641306760064</v>
          </cell>
          <cell r="EN281">
            <v>0.34897725914027355</v>
          </cell>
          <cell r="EO281" t="str">
            <v>-</v>
          </cell>
          <cell r="EQ281">
            <v>-0.14149458069091858</v>
          </cell>
          <cell r="ER281">
            <v>1.1660908220191057E-2</v>
          </cell>
          <cell r="ES281">
            <v>-0.21871113502830342</v>
          </cell>
          <cell r="ET281">
            <v>0.41060696033605493</v>
          </cell>
          <cell r="EU281" t="str">
            <v>-</v>
          </cell>
          <cell r="EW281">
            <v>-0.14498986007854098</v>
          </cell>
          <cell r="EX281">
            <v>2.0668448312190391E-2</v>
          </cell>
          <cell r="EY281">
            <v>-0.23001313689176028</v>
          </cell>
          <cell r="EZ281">
            <v>0.46426203388911302</v>
          </cell>
          <cell r="FA281" t="str">
            <v>-</v>
          </cell>
        </row>
        <row r="282">
          <cell r="C282" t="str">
            <v>-</v>
          </cell>
          <cell r="D282" t="str">
            <v>-</v>
          </cell>
          <cell r="E282" t="str">
            <v>-</v>
          </cell>
          <cell r="F282" t="str">
            <v>-</v>
          </cell>
          <cell r="G282" t="str">
            <v>-</v>
          </cell>
          <cell r="H282" t="str">
            <v>-</v>
          </cell>
          <cell r="I282" t="str">
            <v>-</v>
          </cell>
          <cell r="J282" t="str">
            <v>-</v>
          </cell>
          <cell r="K282" t="str">
            <v>-</v>
          </cell>
          <cell r="L282" t="str">
            <v>-</v>
          </cell>
          <cell r="M282" t="str">
            <v>-</v>
          </cell>
          <cell r="O282" t="str">
            <v>-</v>
          </cell>
          <cell r="P282" t="str">
            <v>-</v>
          </cell>
          <cell r="Q282" t="str">
            <v>-</v>
          </cell>
          <cell r="R282" t="str">
            <v>-</v>
          </cell>
          <cell r="S282" t="str">
            <v>-</v>
          </cell>
          <cell r="U282" t="str">
            <v>-</v>
          </cell>
          <cell r="V282" t="str">
            <v>-</v>
          </cell>
          <cell r="W282" t="str">
            <v>-</v>
          </cell>
          <cell r="X282" t="str">
            <v>-</v>
          </cell>
          <cell r="Y282" t="str">
            <v>-</v>
          </cell>
          <cell r="AA282" t="str">
            <v>-</v>
          </cell>
          <cell r="AB282" t="str">
            <v>-</v>
          </cell>
          <cell r="AC282" t="str">
            <v>-</v>
          </cell>
          <cell r="AD282" t="str">
            <v>-</v>
          </cell>
          <cell r="AE282" t="str">
            <v>-</v>
          </cell>
          <cell r="AG282" t="str">
            <v>-</v>
          </cell>
          <cell r="AH282" t="str">
            <v>-</v>
          </cell>
          <cell r="AI282" t="str">
            <v>-</v>
          </cell>
          <cell r="AJ282" t="str">
            <v>-</v>
          </cell>
          <cell r="AK282" t="str">
            <v>-</v>
          </cell>
          <cell r="AM282" t="str">
            <v>-</v>
          </cell>
          <cell r="AN282" t="str">
            <v>-</v>
          </cell>
          <cell r="AO282" t="str">
            <v>-</v>
          </cell>
          <cell r="AP282" t="str">
            <v>-</v>
          </cell>
          <cell r="AQ282" t="str">
            <v>-</v>
          </cell>
          <cell r="AS282" t="str">
            <v>-</v>
          </cell>
          <cell r="AT282">
            <v>4.948104613054749E-2</v>
          </cell>
          <cell r="AU282">
            <v>-2.903362407354293E-2</v>
          </cell>
          <cell r="AV282">
            <v>0.11295422137883704</v>
          </cell>
          <cell r="AW282" t="str">
            <v>-</v>
          </cell>
          <cell r="AY282">
            <v>-0.27541287382612367</v>
          </cell>
          <cell r="AZ282">
            <v>0.26107936650769359</v>
          </cell>
          <cell r="BA282">
            <v>-0.14718815501939964</v>
          </cell>
          <cell r="BB282">
            <v>0.20363339713218909</v>
          </cell>
          <cell r="BC282" t="str">
            <v>-</v>
          </cell>
          <cell r="BE282">
            <v>-0.2343004614061156</v>
          </cell>
          <cell r="BF282">
            <v>-2.5862753776143554E-2</v>
          </cell>
          <cell r="BG282">
            <v>-0.25832945013979502</v>
          </cell>
          <cell r="BH282">
            <v>0.24994895154323427</v>
          </cell>
          <cell r="BI282" t="str">
            <v>-</v>
          </cell>
          <cell r="BK282">
            <v>-0.19575762145316544</v>
          </cell>
          <cell r="BL282">
            <v>0.109375</v>
          </cell>
          <cell r="BM282">
            <v>-0.23943661971830987</v>
          </cell>
          <cell r="BN282">
            <v>0.27777777777777768</v>
          </cell>
          <cell r="BO282" t="str">
            <v>-</v>
          </cell>
          <cell r="BQ282">
            <v>-0.18840579710144922</v>
          </cell>
          <cell r="BR282">
            <v>0.21428571428571419</v>
          </cell>
          <cell r="BS282">
            <v>-0.26470588235294112</v>
          </cell>
          <cell r="BT282">
            <v>0.30000000000000004</v>
          </cell>
          <cell r="BU282" t="str">
            <v>-</v>
          </cell>
          <cell r="BW282">
            <v>-0.23076923076923073</v>
          </cell>
          <cell r="BX282">
            <v>0.32000000000000006</v>
          </cell>
          <cell r="BY282">
            <v>3.0303030303030276E-2</v>
          </cell>
          <cell r="BZ282">
            <v>0.26470588235294112</v>
          </cell>
          <cell r="CA282" t="str">
            <v>-</v>
          </cell>
          <cell r="CC282">
            <v>-0.16279069767441856</v>
          </cell>
          <cell r="CD282">
            <v>0.13888888888888884</v>
          </cell>
          <cell r="CE282">
            <v>-9.7560975609756073E-2</v>
          </cell>
          <cell r="CF282">
            <v>0.28378378378378377</v>
          </cell>
          <cell r="CG282" t="str">
            <v>-</v>
          </cell>
          <cell r="CI282">
            <v>-0.14736842105263159</v>
          </cell>
          <cell r="CJ282">
            <v>0.14814814814814814</v>
          </cell>
          <cell r="CK282">
            <v>-0.13978494623655913</v>
          </cell>
          <cell r="CL282">
            <v>0.3125</v>
          </cell>
          <cell r="CM282" t="str">
            <v>-</v>
          </cell>
          <cell r="CO282">
            <v>-4.7619047619047672E-2</v>
          </cell>
          <cell r="CP282">
            <v>0.10000000000000009</v>
          </cell>
          <cell r="CQ282">
            <v>-0.16363636363636369</v>
          </cell>
          <cell r="CR282">
            <v>0.23913043478260865</v>
          </cell>
          <cell r="CS282" t="str">
            <v>-</v>
          </cell>
          <cell r="CU282">
            <v>-0.13157894736842102</v>
          </cell>
          <cell r="CV282">
            <v>1.0101010101010166E-2</v>
          </cell>
          <cell r="CW282">
            <v>-0.29000000000000004</v>
          </cell>
          <cell r="CX282">
            <v>0.11267605633802824</v>
          </cell>
          <cell r="CY282" t="str">
            <v>-</v>
          </cell>
          <cell r="DA282">
            <v>-0.16455696202531644</v>
          </cell>
          <cell r="DB282">
            <v>0.18181818181818188</v>
          </cell>
          <cell r="DC282">
            <v>-0.11538461538461542</v>
          </cell>
          <cell r="DE282" t="str">
            <v>-</v>
          </cell>
          <cell r="DG282">
            <v>-0.18999999999999995</v>
          </cell>
          <cell r="DH282">
            <v>0.19753086419753085</v>
          </cell>
          <cell r="DI282">
            <v>-0.14432989690721654</v>
          </cell>
          <cell r="DJ282">
            <v>0.1325301204819278</v>
          </cell>
          <cell r="DK282" t="str">
            <v>-</v>
          </cell>
          <cell r="DM282">
            <v>-0.30580851063829761</v>
          </cell>
          <cell r="DN282">
            <v>-1.5845771906702888E-2</v>
          </cell>
          <cell r="DO282">
            <v>0.35322329492369908</v>
          </cell>
          <cell r="DP282">
            <v>2.806545153272566E-2</v>
          </cell>
          <cell r="DQ282" t="str">
            <v>-</v>
          </cell>
          <cell r="DS282">
            <v>-0.31896175413854455</v>
          </cell>
          <cell r="DT282">
            <v>4.6050685336751718E-2</v>
          </cell>
          <cell r="DU282">
            <v>6.9758672699848923E-3</v>
          </cell>
          <cell r="DV282">
            <v>0.18195718654434256</v>
          </cell>
          <cell r="DW282" t="str">
            <v>-</v>
          </cell>
          <cell r="DY282">
            <v>-0.28221612060089241</v>
          </cell>
          <cell r="DZ282">
            <v>-3.2183908045976262E-3</v>
          </cell>
          <cell r="EA282">
            <v>8.5793357933579006E-3</v>
          </cell>
          <cell r="EB282">
            <v>7.0428976493186468E-3</v>
          </cell>
          <cell r="EC282" t="str">
            <v>-</v>
          </cell>
          <cell r="EE282">
            <v>-3.2850136239781946E-2</v>
          </cell>
          <cell r="EF282">
            <v>7.573025604038941E-3</v>
          </cell>
          <cell r="EG282">
            <v>-2.5948460987830213E-3</v>
          </cell>
          <cell r="EH282">
            <v>-4.5483089620525829E-2</v>
          </cell>
          <cell r="EI282" t="str">
            <v>-</v>
          </cell>
          <cell r="EK282">
            <v>-4.9232456140350767E-2</v>
          </cell>
          <cell r="EL282">
            <v>-2.2262220538082689E-2</v>
          </cell>
          <cell r="EM282">
            <v>-1.2024997577754104E-2</v>
          </cell>
          <cell r="EN282">
            <v>-2.3404194808417045E-2</v>
          </cell>
          <cell r="EO282" t="str">
            <v>-</v>
          </cell>
          <cell r="EQ282">
            <v>-3.3448856337107036E-2</v>
          </cell>
          <cell r="ER282">
            <v>5.431469130164901E-3</v>
          </cell>
          <cell r="ES282">
            <v>7.5460127247264364E-3</v>
          </cell>
          <cell r="ET282">
            <v>-4.1104734819193967E-3</v>
          </cell>
          <cell r="EU282" t="str">
            <v>-</v>
          </cell>
          <cell r="EW282">
            <v>-2.8184785136462165E-2</v>
          </cell>
          <cell r="EX282">
            <v>1.3900089901631496E-2</v>
          </cell>
          <cell r="EY282">
            <v>1.5594929950824232E-2</v>
          </cell>
          <cell r="EZ282">
            <v>3.8267986426920864E-3</v>
          </cell>
          <cell r="FA282" t="str">
            <v>-</v>
          </cell>
        </row>
        <row r="283">
          <cell r="C283" t="str">
            <v>-</v>
          </cell>
          <cell r="D283" t="str">
            <v>-</v>
          </cell>
          <cell r="E283" t="str">
            <v>-</v>
          </cell>
          <cell r="F283" t="str">
            <v>-</v>
          </cell>
          <cell r="G283" t="str">
            <v>-</v>
          </cell>
          <cell r="H283" t="str">
            <v>-</v>
          </cell>
          <cell r="I283" t="str">
            <v>-</v>
          </cell>
          <cell r="J283" t="str">
            <v>-</v>
          </cell>
          <cell r="K283" t="str">
            <v>-</v>
          </cell>
          <cell r="L283" t="str">
            <v>-</v>
          </cell>
          <cell r="M283" t="str">
            <v>-</v>
          </cell>
          <cell r="O283" t="str">
            <v>-</v>
          </cell>
          <cell r="P283">
            <v>0.20451269960501284</v>
          </cell>
          <cell r="Q283">
            <v>7.752730202303515E-2</v>
          </cell>
          <cell r="R283">
            <v>0.40932647508809339</v>
          </cell>
          <cell r="S283" t="str">
            <v>-</v>
          </cell>
          <cell r="U283">
            <v>-0.2417536858506758</v>
          </cell>
          <cell r="V283">
            <v>0.25291039293705775</v>
          </cell>
          <cell r="W283">
            <v>5.5055842812823164E-2</v>
          </cell>
          <cell r="X283">
            <v>0.43503041934291842</v>
          </cell>
          <cell r="Y283" t="str">
            <v>-</v>
          </cell>
          <cell r="AA283">
            <v>-0.28123919965794075</v>
          </cell>
          <cell r="AB283">
            <v>0.2461744014885221</v>
          </cell>
          <cell r="AC283">
            <v>4.6699146619611387E-2</v>
          </cell>
          <cell r="AD283">
            <v>0.41921357294444994</v>
          </cell>
          <cell r="AE283" t="str">
            <v>-</v>
          </cell>
          <cell r="AG283">
            <v>-0.29732740392735024</v>
          </cell>
          <cell r="AH283">
            <v>0.17891144833390316</v>
          </cell>
          <cell r="AI283">
            <v>8.3675863389532479E-2</v>
          </cell>
          <cell r="AJ283">
            <v>0.37958161139598001</v>
          </cell>
          <cell r="AK283" t="str">
            <v>-</v>
          </cell>
          <cell r="AM283">
            <v>-0.27499623842460663</v>
          </cell>
          <cell r="AN283">
            <v>0.17542292937551118</v>
          </cell>
          <cell r="AO283">
            <v>1.1175401664636597E-2</v>
          </cell>
          <cell r="AP283">
            <v>0.41577261270274946</v>
          </cell>
          <cell r="AQ283" t="str">
            <v>-</v>
          </cell>
          <cell r="AS283">
            <v>-0.32574598797667087</v>
          </cell>
          <cell r="AT283">
            <v>0.16999904762720597</v>
          </cell>
          <cell r="AU283">
            <v>5.4927401596032155E-2</v>
          </cell>
          <cell r="AV283">
            <v>0.37759663724199011</v>
          </cell>
          <cell r="AW283" t="str">
            <v>-</v>
          </cell>
          <cell r="AY283">
            <v>-0.32193781839842817</v>
          </cell>
          <cell r="AZ283">
            <v>0.17413347599117457</v>
          </cell>
          <cell r="BA283">
            <v>3.5936462369081656E-3</v>
          </cell>
          <cell r="BB283">
            <v>0.22038365586548081</v>
          </cell>
          <cell r="BC283" t="str">
            <v>-</v>
          </cell>
          <cell r="BE283">
            <v>-0.31158156116745639</v>
          </cell>
          <cell r="BF283">
            <v>5.0940043398504775E-2</v>
          </cell>
          <cell r="BG283">
            <v>-5.340069911533063E-2</v>
          </cell>
          <cell r="BH283">
            <v>0.231063941206753</v>
          </cell>
          <cell r="BI283" t="str">
            <v>-</v>
          </cell>
          <cell r="BK283">
            <v>-0.26892073161279773</v>
          </cell>
          <cell r="BL283">
            <v>0.13856015779092701</v>
          </cell>
          <cell r="BM283">
            <v>-8.6617583369419382E-4</v>
          </cell>
          <cell r="BN283">
            <v>0.22730819245773737</v>
          </cell>
          <cell r="BO283" t="str">
            <v>-</v>
          </cell>
          <cell r="BQ283">
            <v>-0.26820654093381369</v>
          </cell>
          <cell r="BR283">
            <v>0.20559845559845558</v>
          </cell>
          <cell r="BS283">
            <v>4.4035228182546238E-3</v>
          </cell>
          <cell r="BT283">
            <v>0.22638501394978072</v>
          </cell>
          <cell r="BU283" t="str">
            <v>-</v>
          </cell>
          <cell r="BW283">
            <v>-0.28014299642508933</v>
          </cell>
          <cell r="BX283">
            <v>0.24424379232505644</v>
          </cell>
          <cell r="BY283">
            <v>0.12227866473149485</v>
          </cell>
          <cell r="BZ283">
            <v>0.31102489492402197</v>
          </cell>
          <cell r="CA283" t="str">
            <v>-</v>
          </cell>
          <cell r="CC283">
            <v>-0.28310727496917387</v>
          </cell>
          <cell r="CD283">
            <v>0.16752665978672177</v>
          </cell>
          <cell r="CE283">
            <v>4.1367118444313622E-2</v>
          </cell>
          <cell r="CF283">
            <v>0.396842462652784</v>
          </cell>
          <cell r="CG283" t="str">
            <v>-</v>
          </cell>
          <cell r="CI283">
            <v>-0.25845655256228484</v>
          </cell>
          <cell r="CJ283">
            <v>0.15159792406446315</v>
          </cell>
          <cell r="CK283">
            <v>5.5265654648956275E-2</v>
          </cell>
          <cell r="CL283">
            <v>0.32231962238705325</v>
          </cell>
          <cell r="CM283" t="str">
            <v>-</v>
          </cell>
          <cell r="CO283">
            <v>-0.21927587965323814</v>
          </cell>
          <cell r="CP283">
            <v>0.16786414108425873</v>
          </cell>
          <cell r="CQ283">
            <v>1.3049962714393182E-3</v>
          </cell>
          <cell r="CR283">
            <v>0.35561347979892011</v>
          </cell>
          <cell r="CS283" t="str">
            <v>-</v>
          </cell>
          <cell r="CU283">
            <v>-0.25532207114407357</v>
          </cell>
          <cell r="CV283">
            <v>4.8874953891552941E-2</v>
          </cell>
          <cell r="CW283">
            <v>-3.2178653068401619E-2</v>
          </cell>
          <cell r="CX283">
            <v>0.25018168604651159</v>
          </cell>
          <cell r="CY283" t="str">
            <v>-</v>
          </cell>
          <cell r="DA283">
            <v>-0.26420578404301698</v>
          </cell>
          <cell r="DB283">
            <v>0.15978668773454463</v>
          </cell>
          <cell r="DC283">
            <v>0.10173705722070836</v>
          </cell>
          <cell r="DE283" t="str">
            <v>-</v>
          </cell>
          <cell r="DG283">
            <v>-0.2121275049319904</v>
          </cell>
          <cell r="DH283">
            <v>0.14575645756457556</v>
          </cell>
          <cell r="DI283">
            <v>1.2997469519208549E-2</v>
          </cell>
          <cell r="DJ283">
            <v>0.22697853979788807</v>
          </cell>
          <cell r="DK283" t="str">
            <v>-</v>
          </cell>
          <cell r="DM283">
            <v>-0.22283916342772536</v>
          </cell>
          <cell r="DN283">
            <v>4.9178375803762719E-2</v>
          </cell>
          <cell r="DO283">
            <v>2.8525615707638119E-2</v>
          </cell>
          <cell r="DP283">
            <v>0.20831492381128269</v>
          </cell>
          <cell r="DQ283" t="str">
            <v>-</v>
          </cell>
          <cell r="DS283">
            <v>-0.25033056823819655</v>
          </cell>
          <cell r="DT283">
            <v>0.11012303569253268</v>
          </cell>
          <cell r="DU283">
            <v>-1.5691868758915817E-2</v>
          </cell>
          <cell r="DV283">
            <v>0.22196209587513938</v>
          </cell>
          <cell r="DW283" t="str">
            <v>-</v>
          </cell>
          <cell r="DY283">
            <v>-0.23537998357814072</v>
          </cell>
          <cell r="DZ283">
            <v>0.10762438849779254</v>
          </cell>
          <cell r="EA283">
            <v>3.4471614779705284E-3</v>
          </cell>
          <cell r="EB283">
            <v>0.21588835212023616</v>
          </cell>
          <cell r="EC283" t="str">
            <v>-</v>
          </cell>
          <cell r="EE283">
            <v>-0.2407734416387074</v>
          </cell>
          <cell r="EF283">
            <v>0.11733922549133613</v>
          </cell>
          <cell r="EG283">
            <v>-2.8517901748542851E-2</v>
          </cell>
          <cell r="EH283">
            <v>0.14763231197771587</v>
          </cell>
          <cell r="EI283" t="str">
            <v>-</v>
          </cell>
          <cell r="EK283">
            <v>-0.21107169529499625</v>
          </cell>
          <cell r="EL283">
            <v>6.4489409537332953E-2</v>
          </cell>
          <cell r="EM283">
            <v>1.4922982658959638E-2</v>
          </cell>
          <cell r="EN283">
            <v>0.13826741631232453</v>
          </cell>
          <cell r="EO283" t="str">
            <v>-</v>
          </cell>
          <cell r="EQ283">
            <v>-0.16941580195414685</v>
          </cell>
          <cell r="ER283">
            <v>5.5249807084735147E-2</v>
          </cell>
          <cell r="ES283">
            <v>8.329634099397909E-3</v>
          </cell>
          <cell r="ET283">
            <v>0.12256587795586649</v>
          </cell>
          <cell r="EU283" t="str">
            <v>-</v>
          </cell>
          <cell r="EW283">
            <v>-0.15679932446954659</v>
          </cell>
          <cell r="EX283">
            <v>5.0097823425919064E-2</v>
          </cell>
          <cell r="EY283">
            <v>8.2284543646977681E-3</v>
          </cell>
          <cell r="EZ283">
            <v>0.10551523286768649</v>
          </cell>
          <cell r="FA283" t="str">
            <v>-</v>
          </cell>
        </row>
        <row r="284">
          <cell r="CG284">
            <v>0</v>
          </cell>
          <cell r="CM284">
            <v>0</v>
          </cell>
          <cell r="CS284">
            <v>0</v>
          </cell>
          <cell r="CY284">
            <v>0</v>
          </cell>
          <cell r="DE284">
            <v>0</v>
          </cell>
          <cell r="DK284">
            <v>0</v>
          </cell>
          <cell r="DQ284">
            <v>0</v>
          </cell>
          <cell r="DW284">
            <v>0</v>
          </cell>
          <cell r="EC284">
            <v>0</v>
          </cell>
          <cell r="EI284">
            <v>0</v>
          </cell>
          <cell r="EO284">
            <v>0</v>
          </cell>
          <cell r="EU284">
            <v>0</v>
          </cell>
          <cell r="FA284">
            <v>0</v>
          </cell>
        </row>
        <row r="285">
          <cell r="C285" t="str">
            <v>-</v>
          </cell>
          <cell r="D285" t="str">
            <v>-</v>
          </cell>
          <cell r="E285" t="str">
            <v>-</v>
          </cell>
          <cell r="F285" t="str">
            <v>-</v>
          </cell>
          <cell r="G285" t="str">
            <v>-</v>
          </cell>
          <cell r="H285" t="str">
            <v>-</v>
          </cell>
          <cell r="I285" t="str">
            <v>-</v>
          </cell>
          <cell r="J285" t="str">
            <v>-</v>
          </cell>
          <cell r="K285" t="str">
            <v>-</v>
          </cell>
          <cell r="L285" t="str">
            <v>-</v>
          </cell>
          <cell r="M285" t="str">
            <v>-</v>
          </cell>
          <cell r="O285" t="str">
            <v>-</v>
          </cell>
          <cell r="P285">
            <v>0.19840534617915573</v>
          </cell>
          <cell r="Q285">
            <v>4.8539807440104887E-2</v>
          </cell>
          <cell r="R285">
            <v>0.21122822002918418</v>
          </cell>
          <cell r="S285" t="str">
            <v>-</v>
          </cell>
          <cell r="U285">
            <v>-2.8204073408667374E-2</v>
          </cell>
          <cell r="V285">
            <v>0.10329188066122708</v>
          </cell>
          <cell r="W285">
            <v>0.12301602837656911</v>
          </cell>
          <cell r="X285">
            <v>0.12339851416977221</v>
          </cell>
          <cell r="Y285" t="str">
            <v>-</v>
          </cell>
          <cell r="AA285">
            <v>4.3036379829878069E-2</v>
          </cell>
          <cell r="AB285">
            <v>0.12310365449098049</v>
          </cell>
          <cell r="AC285">
            <v>6.3467758812979502E-2</v>
          </cell>
          <cell r="AD285">
            <v>8.4679940514297281E-2</v>
          </cell>
          <cell r="AE285" t="str">
            <v>-</v>
          </cell>
          <cell r="AG285">
            <v>7.5170806205288931E-2</v>
          </cell>
          <cell r="AH285">
            <v>0.17187029414717392</v>
          </cell>
          <cell r="AI285">
            <v>6.8838618306293453E-2</v>
          </cell>
          <cell r="AJ285">
            <v>0.14327129355830004</v>
          </cell>
          <cell r="AK285" t="str">
            <v>-</v>
          </cell>
          <cell r="AM285">
            <v>1.3242603056031088E-2</v>
          </cell>
          <cell r="AN285">
            <v>0.1480325045267854</v>
          </cell>
          <cell r="AO285">
            <v>1.5613319022834027E-2</v>
          </cell>
          <cell r="AP285">
            <v>2.6470190890921064E-2</v>
          </cell>
          <cell r="AQ285" t="str">
            <v>-</v>
          </cell>
          <cell r="AS285">
            <v>-6.9174452759450333E-2</v>
          </cell>
          <cell r="AT285">
            <v>-4.7307565246118566E-3</v>
          </cell>
          <cell r="AU285">
            <v>-6.095436621214334E-2</v>
          </cell>
          <cell r="AV285">
            <v>2.5785388986526936E-2</v>
          </cell>
          <cell r="AW285" t="str">
            <v>-</v>
          </cell>
          <cell r="AY285">
            <v>-3.5152405657906782E-2</v>
          </cell>
          <cell r="AZ285">
            <v>3.1235937399552771E-2</v>
          </cell>
          <cell r="BA285">
            <v>1.1704485634333572E-2</v>
          </cell>
          <cell r="BB285">
            <v>1.9973737144140413E-2</v>
          </cell>
          <cell r="BC285" t="str">
            <v>-</v>
          </cell>
          <cell r="BE285">
            <v>-0.15037535441189087</v>
          </cell>
          <cell r="BF285">
            <v>9.3224329337671108E-5</v>
          </cell>
          <cell r="BG285">
            <v>-9.7160714821760585E-2</v>
          </cell>
          <cell r="BH285">
            <v>-5.5998488040821526E-3</v>
          </cell>
          <cell r="BI285" t="str">
            <v>-</v>
          </cell>
          <cell r="BK285">
            <v>3.6526562532996243E-2</v>
          </cell>
          <cell r="BL285">
            <v>1.6977928692699429E-2</v>
          </cell>
          <cell r="BM285">
            <v>-4.173622704507518E-2</v>
          </cell>
          <cell r="BN285">
            <v>1.0452961672473782E-2</v>
          </cell>
          <cell r="BO285" t="str">
            <v>-</v>
          </cell>
          <cell r="BQ285">
            <v>-2.931034482758621E-2</v>
          </cell>
          <cell r="BR285">
            <v>6.216696269982247E-2</v>
          </cell>
          <cell r="BS285">
            <v>-2.6755852842809347E-2</v>
          </cell>
          <cell r="BT285">
            <v>-1.3745704467353903E-2</v>
          </cell>
          <cell r="BU285" t="str">
            <v>-</v>
          </cell>
          <cell r="BW285">
            <v>-3.3101045296167197E-2</v>
          </cell>
          <cell r="BX285">
            <v>6.3063063063063085E-2</v>
          </cell>
          <cell r="BY285">
            <v>0.20508474576271185</v>
          </cell>
          <cell r="BZ285">
            <v>0.10548523206751059</v>
          </cell>
          <cell r="CA285" t="str">
            <v>-</v>
          </cell>
          <cell r="CC285">
            <v>-8.3969465648854991E-2</v>
          </cell>
          <cell r="CD285">
            <v>4.861111111111116E-2</v>
          </cell>
          <cell r="CE285">
            <v>4.2384105960264984E-2</v>
          </cell>
          <cell r="CF285">
            <v>0.22109275730622624</v>
          </cell>
          <cell r="CG285" t="str">
            <v>-</v>
          </cell>
          <cell r="CI285">
            <v>1.3527575442247697E-2</v>
          </cell>
          <cell r="CJ285">
            <v>4.62012320328542E-2</v>
          </cell>
          <cell r="CK285">
            <v>4.9067713444552741E-3</v>
          </cell>
          <cell r="CL285">
            <v>0.123046875</v>
          </cell>
          <cell r="CM285" t="str">
            <v>-</v>
          </cell>
          <cell r="CO285">
            <v>8.6956521739134374E-4</v>
          </cell>
          <cell r="CP285">
            <v>7.0373588184187597E-2</v>
          </cell>
          <cell r="CQ285">
            <v>6.4935064935065512E-3</v>
          </cell>
          <cell r="CR285">
            <v>7.6612903225806495E-2</v>
          </cell>
          <cell r="CS285" t="str">
            <v>-</v>
          </cell>
          <cell r="CU285">
            <v>-2.4719101123595544E-2</v>
          </cell>
          <cell r="CV285">
            <v>-8.6021505376344121E-2</v>
          </cell>
          <cell r="CW285">
            <v>-7.1428571428571397E-2</v>
          </cell>
          <cell r="CX285">
            <v>6.0633484162895934E-2</v>
          </cell>
          <cell r="CY285" t="str">
            <v>-</v>
          </cell>
          <cell r="DA285">
            <v>-0.14590443686006827</v>
          </cell>
          <cell r="DB285">
            <v>8.7912087912087822E-2</v>
          </cell>
          <cell r="DC285">
            <v>0.27089072543618009</v>
          </cell>
          <cell r="DE285" t="str">
            <v>-</v>
          </cell>
          <cell r="DG285">
            <v>-7.8326517772884685E-2</v>
          </cell>
          <cell r="DH285">
            <v>4.7294002925402312E-2</v>
          </cell>
          <cell r="DI285">
            <v>-6.8435754189944187E-2</v>
          </cell>
          <cell r="DJ285">
            <v>8.0959520239880067E-2</v>
          </cell>
          <cell r="DK285" t="str">
            <v>-</v>
          </cell>
          <cell r="DM285">
            <v>-8.5529357374017567E-2</v>
          </cell>
          <cell r="DN285">
            <v>-1.7694641051567261E-2</v>
          </cell>
          <cell r="DO285">
            <v>-2.4189397838394244E-2</v>
          </cell>
          <cell r="DP285">
            <v>5.1160337552742519E-2</v>
          </cell>
          <cell r="DQ285" t="str">
            <v>-</v>
          </cell>
          <cell r="DS285">
            <v>-0.11690918213748114</v>
          </cell>
          <cell r="DT285">
            <v>1.0795454545454497E-2</v>
          </cell>
          <cell r="DU285">
            <v>-4.3282743114109068E-2</v>
          </cell>
          <cell r="DV285">
            <v>0.11280846063454764</v>
          </cell>
          <cell r="DW285" t="str">
            <v>-</v>
          </cell>
          <cell r="DY285">
            <v>-0.10190073917634634</v>
          </cell>
          <cell r="DZ285">
            <v>5.2910052910053018E-2</v>
          </cell>
          <cell r="EA285">
            <v>-1.8425460636515956E-2</v>
          </cell>
          <cell r="EB285">
            <v>8.475540386803182E-2</v>
          </cell>
          <cell r="EC285" t="str">
            <v>-</v>
          </cell>
          <cell r="EE285">
            <v>-0.12690089145254324</v>
          </cell>
          <cell r="EF285">
            <v>0.12852852852852847</v>
          </cell>
          <cell r="EG285">
            <v>0</v>
          </cell>
          <cell r="EH285">
            <v>8.0894092602448175E-2</v>
          </cell>
          <cell r="EI285" t="str">
            <v>-</v>
          </cell>
          <cell r="EK285">
            <v>-9.9950763170851831E-2</v>
          </cell>
          <cell r="EL285">
            <v>2.1881838074397919E-3</v>
          </cell>
          <cell r="EM285">
            <v>4.6455762369349118E-2</v>
          </cell>
          <cell r="EN285">
            <v>1.3295623985545957E-2</v>
          </cell>
          <cell r="EO285" t="str">
            <v>-</v>
          </cell>
          <cell r="EQ285">
            <v>-5.9176234697140173E-2</v>
          </cell>
          <cell r="ER285">
            <v>2.4415288326313789E-3</v>
          </cell>
          <cell r="ES285">
            <v>3.6810783307639428E-2</v>
          </cell>
          <cell r="ET285">
            <v>3.3881295889671481E-2</v>
          </cell>
          <cell r="EU285" t="str">
            <v>-</v>
          </cell>
          <cell r="EW285">
            <v>-8.1508401185610979E-2</v>
          </cell>
          <cell r="EX285">
            <v>-1.2930382982905275E-3</v>
          </cell>
          <cell r="EY285">
            <v>2.482064683732621E-2</v>
          </cell>
          <cell r="EZ285">
            <v>9.8994638740323992E-3</v>
          </cell>
          <cell r="FA285" t="str">
            <v>-</v>
          </cell>
        </row>
        <row r="286">
          <cell r="C286" t="str">
            <v>-</v>
          </cell>
          <cell r="D286" t="str">
            <v>-</v>
          </cell>
          <cell r="E286" t="str">
            <v>-</v>
          </cell>
          <cell r="F286" t="str">
            <v>-</v>
          </cell>
          <cell r="G286" t="str">
            <v>-</v>
          </cell>
          <cell r="H286" t="str">
            <v>-</v>
          </cell>
          <cell r="I286" t="str">
            <v>-</v>
          </cell>
          <cell r="J286" t="str">
            <v>-</v>
          </cell>
          <cell r="K286" t="str">
            <v>-</v>
          </cell>
          <cell r="L286" t="str">
            <v>-</v>
          </cell>
          <cell r="M286" t="str">
            <v>-</v>
          </cell>
          <cell r="O286" t="str">
            <v>-</v>
          </cell>
          <cell r="P286">
            <v>0.11997411918025724</v>
          </cell>
          <cell r="Q286">
            <v>7.0665022309447822E-2</v>
          </cell>
          <cell r="R286">
            <v>0.45434993915366162</v>
          </cell>
          <cell r="S286" t="str">
            <v>-</v>
          </cell>
          <cell r="U286">
            <v>-0.2658100946737465</v>
          </cell>
          <cell r="V286">
            <v>0.27821004003254202</v>
          </cell>
          <cell r="W286">
            <v>2.4203000140193387E-2</v>
          </cell>
          <cell r="X286">
            <v>0.50096637666241417</v>
          </cell>
          <cell r="Y286" t="str">
            <v>-</v>
          </cell>
          <cell r="AA286">
            <v>-0.34366997643522601</v>
          </cell>
          <cell r="AB286">
            <v>0.2635487008475752</v>
          </cell>
          <cell r="AC286">
            <v>1.2476687310859269E-2</v>
          </cell>
          <cell r="AD286">
            <v>0.51076003397333847</v>
          </cell>
          <cell r="AE286" t="str">
            <v>-</v>
          </cell>
          <cell r="AG286">
            <v>-0.35376817949805528</v>
          </cell>
          <cell r="AH286">
            <v>0.17585676747854606</v>
          </cell>
          <cell r="AI286">
            <v>7.4039243883517125E-2</v>
          </cell>
          <cell r="AJ286">
            <v>0.45475398110352172</v>
          </cell>
          <cell r="AK286" t="str">
            <v>-</v>
          </cell>
          <cell r="AM286">
            <v>-0.38228462505419336</v>
          </cell>
          <cell r="AN286">
            <v>0.16013103929610484</v>
          </cell>
          <cell r="AO286">
            <v>-4.2245523907698312E-2</v>
          </cell>
          <cell r="AP286">
            <v>0.68289704917107197</v>
          </cell>
          <cell r="AQ286" t="str">
            <v>-</v>
          </cell>
          <cell r="AS286">
            <v>-0.4354890793799906</v>
          </cell>
          <cell r="AT286">
            <v>0.17273868646759238</v>
          </cell>
          <cell r="AU286">
            <v>-5.8180361178462259E-2</v>
          </cell>
          <cell r="AV286">
            <v>0.43299097353942173</v>
          </cell>
          <cell r="AW286" t="str">
            <v>-</v>
          </cell>
          <cell r="AY286">
            <v>-0.32766013372541924</v>
          </cell>
          <cell r="AZ286">
            <v>0.1185083181491331</v>
          </cell>
          <cell r="BA286">
            <v>3.8604074180989878E-2</v>
          </cell>
          <cell r="BB286">
            <v>0.21977449087672118</v>
          </cell>
          <cell r="BC286" t="str">
            <v>-</v>
          </cell>
          <cell r="BE286">
            <v>-0.34044966793449349</v>
          </cell>
          <cell r="BF286">
            <v>6.6614875224331183E-2</v>
          </cell>
          <cell r="BG286">
            <v>-9.8635739698013869E-2</v>
          </cell>
          <cell r="BH286">
            <v>0.14124658130283452</v>
          </cell>
          <cell r="BI286" t="str">
            <v>-</v>
          </cell>
          <cell r="BK286">
            <v>-0.1983415371418068</v>
          </cell>
          <cell r="BL286">
            <v>8.7048832271762189E-2</v>
          </cell>
          <cell r="BM286">
            <v>1.7578125E-2</v>
          </cell>
          <cell r="BN286">
            <v>9.0211132437620023E-2</v>
          </cell>
          <cell r="BO286" t="str">
            <v>-</v>
          </cell>
          <cell r="BQ286">
            <v>-0.18309859154929575</v>
          </cell>
          <cell r="BR286">
            <v>0.13146551724137923</v>
          </cell>
          <cell r="BS286">
            <v>3.8095238095237072E-3</v>
          </cell>
          <cell r="BT286">
            <v>0.17647058823529416</v>
          </cell>
          <cell r="BU286" t="str">
            <v>-</v>
          </cell>
          <cell r="BW286">
            <v>-0.22580645161290325</v>
          </cell>
          <cell r="BX286">
            <v>0.15625</v>
          </cell>
          <cell r="BY286">
            <v>0.20180180180180174</v>
          </cell>
          <cell r="BZ286">
            <v>0.20389805097451275</v>
          </cell>
          <cell r="CA286" t="str">
            <v>-</v>
          </cell>
          <cell r="CC286">
            <v>-0.23661270236612697</v>
          </cell>
          <cell r="CD286">
            <v>0.15008156606851553</v>
          </cell>
          <cell r="CE286">
            <v>6.9503546099290769E-2</v>
          </cell>
          <cell r="CF286">
            <v>0.45623342175066317</v>
          </cell>
          <cell r="CG286" t="str">
            <v>-</v>
          </cell>
          <cell r="CI286">
            <v>-0.32604735883424407</v>
          </cell>
          <cell r="CJ286">
            <v>0.2256756756756757</v>
          </cell>
          <cell r="CK286">
            <v>5.6229327453142242E-2</v>
          </cell>
          <cell r="CL286">
            <v>0.31941544885177442</v>
          </cell>
          <cell r="CM286" t="str">
            <v>-</v>
          </cell>
          <cell r="CO286">
            <v>-0.23971518987341767</v>
          </cell>
          <cell r="CP286">
            <v>0.12591050988553598</v>
          </cell>
          <cell r="CQ286">
            <v>-1.0166358595194103E-2</v>
          </cell>
          <cell r="CR286">
            <v>0.41269841269841279</v>
          </cell>
          <cell r="CS286" t="str">
            <v>-</v>
          </cell>
          <cell r="CU286">
            <v>-0.27759418374091205</v>
          </cell>
          <cell r="CV286">
            <v>3.385178408051237E-2</v>
          </cell>
          <cell r="CW286">
            <v>-8.1415929203539794E-2</v>
          </cell>
          <cell r="CX286">
            <v>0.26204238921001921</v>
          </cell>
          <cell r="CY286" t="str">
            <v>-</v>
          </cell>
          <cell r="DA286">
            <v>-0.27938931297709924</v>
          </cell>
          <cell r="DB286">
            <v>0.17902542372881358</v>
          </cell>
          <cell r="DC286">
            <v>9.6136567834681053E-2</v>
          </cell>
          <cell r="DE286" t="str">
            <v>-</v>
          </cell>
          <cell r="DG286">
            <v>-0.23881464264962227</v>
          </cell>
          <cell r="DH286">
            <v>0.15343511450381686</v>
          </cell>
          <cell r="DI286">
            <v>5.6254136333554028E-2</v>
          </cell>
          <cell r="DJ286">
            <v>0.30012531328320802</v>
          </cell>
          <cell r="DK286" t="str">
            <v>-</v>
          </cell>
          <cell r="DM286">
            <v>-0.22698795180722886</v>
          </cell>
          <cell r="DN286">
            <v>3.9900249376558561E-2</v>
          </cell>
          <cell r="DO286">
            <v>1.1990407673860837E-3</v>
          </cell>
          <cell r="DP286">
            <v>0.23652694610778435</v>
          </cell>
          <cell r="DQ286" t="str">
            <v>-</v>
          </cell>
          <cell r="DS286">
            <v>-0.26973365617433409</v>
          </cell>
          <cell r="DT286">
            <v>0.14721485411140578</v>
          </cell>
          <cell r="DU286">
            <v>2.3121387283236983E-2</v>
          </cell>
          <cell r="DV286">
            <v>0.1819209039548022</v>
          </cell>
          <cell r="DW286" t="str">
            <v>-</v>
          </cell>
          <cell r="DY286">
            <v>-0.24426386233269604</v>
          </cell>
          <cell r="DZ286">
            <v>0.16382036685641999</v>
          </cell>
          <cell r="EA286">
            <v>-2.7717391304347805E-2</v>
          </cell>
          <cell r="EB286">
            <v>0.22694242593627734</v>
          </cell>
          <cell r="EC286" t="str">
            <v>-</v>
          </cell>
          <cell r="EE286">
            <v>-0.24236902050113895</v>
          </cell>
          <cell r="EF286">
            <v>0.11485267588695125</v>
          </cell>
          <cell r="EG286">
            <v>-3.2362459546925515E-2</v>
          </cell>
          <cell r="EH286">
            <v>0.20568561872909696</v>
          </cell>
          <cell r="EI286" t="str">
            <v>-</v>
          </cell>
          <cell r="EK286">
            <v>-0.22330097087378642</v>
          </cell>
          <cell r="EL286">
            <v>0.125</v>
          </cell>
          <cell r="EM286">
            <v>-1.9343824414814859E-2</v>
          </cell>
          <cell r="EN286">
            <v>9.9016815749830567E-2</v>
          </cell>
          <cell r="EO286" t="str">
            <v>-</v>
          </cell>
          <cell r="EQ286">
            <v>-0.17026333685011197</v>
          </cell>
          <cell r="ER286">
            <v>0.11615033221270998</v>
          </cell>
          <cell r="ES286">
            <v>-1.163246874853785E-2</v>
          </cell>
          <cell r="ET286">
            <v>7.2796947406098989E-2</v>
          </cell>
          <cell r="EU286" t="str">
            <v>-</v>
          </cell>
          <cell r="EW286">
            <v>-0.14897581304709906</v>
          </cell>
          <cell r="EX286">
            <v>0.10533790300348267</v>
          </cell>
          <cell r="EY286">
            <v>-2.1612368399128723E-2</v>
          </cell>
          <cell r="EZ286">
            <v>0.13315311368937843</v>
          </cell>
          <cell r="FA286" t="str">
            <v>-</v>
          </cell>
        </row>
        <row r="287">
          <cell r="C287" t="str">
            <v>-</v>
          </cell>
          <cell r="D287" t="str">
            <v>-</v>
          </cell>
          <cell r="E287" t="str">
            <v>-</v>
          </cell>
          <cell r="F287" t="str">
            <v>-</v>
          </cell>
          <cell r="G287" t="str">
            <v>-</v>
          </cell>
          <cell r="H287" t="str">
            <v>-</v>
          </cell>
          <cell r="I287" t="str">
            <v>-</v>
          </cell>
          <cell r="J287" t="str">
            <v>-</v>
          </cell>
          <cell r="K287" t="str">
            <v>-</v>
          </cell>
          <cell r="L287" t="str">
            <v>-</v>
          </cell>
          <cell r="M287" t="str">
            <v>-</v>
          </cell>
          <cell r="O287" t="str">
            <v>-</v>
          </cell>
          <cell r="P287">
            <v>3.7511104664865735E-2</v>
          </cell>
          <cell r="Q287">
            <v>0.18587704889385948</v>
          </cell>
          <cell r="R287">
            <v>0.19138558566523733</v>
          </cell>
          <cell r="S287" t="str">
            <v>-</v>
          </cell>
          <cell r="U287">
            <v>4.4402666633684307E-2</v>
          </cell>
          <cell r="V287">
            <v>0.10458189741950008</v>
          </cell>
          <cell r="W287">
            <v>-5.0068616519426401E-3</v>
          </cell>
          <cell r="X287">
            <v>0.27767900436398896</v>
          </cell>
          <cell r="Y287" t="str">
            <v>-</v>
          </cell>
          <cell r="AA287">
            <v>-1.1520134935694704E-2</v>
          </cell>
          <cell r="AB287">
            <v>0.15434821558071476</v>
          </cell>
          <cell r="AC287">
            <v>2.3850702143384916E-2</v>
          </cell>
          <cell r="AD287">
            <v>0.18706100615764454</v>
          </cell>
          <cell r="AE287" t="str">
            <v>-</v>
          </cell>
          <cell r="AG287">
            <v>-2.9025784480661621E-2</v>
          </cell>
          <cell r="AH287">
            <v>0.14749447287166428</v>
          </cell>
          <cell r="AI287">
            <v>4.8521698314019091E-3</v>
          </cell>
          <cell r="AJ287">
            <v>4.3708515746363474E-2</v>
          </cell>
          <cell r="AK287" t="str">
            <v>-</v>
          </cell>
          <cell r="AM287">
            <v>-2.3574963700800922E-2</v>
          </cell>
          <cell r="AN287">
            <v>6.9581021516551766E-2</v>
          </cell>
          <cell r="AO287">
            <v>4.5445938269267128E-2</v>
          </cell>
          <cell r="AP287">
            <v>0.15972030238610468</v>
          </cell>
          <cell r="AQ287" t="str">
            <v>-</v>
          </cell>
          <cell r="AS287">
            <v>-3.0274509159210372E-2</v>
          </cell>
          <cell r="AT287">
            <v>5.1788370821518992E-2</v>
          </cell>
          <cell r="AU287">
            <v>2.9787234042553123E-2</v>
          </cell>
          <cell r="AV287">
            <v>5.7432538191835691E-2</v>
          </cell>
          <cell r="AW287" t="str">
            <v>-</v>
          </cell>
          <cell r="AY287">
            <v>-7.1058250594865813E-2</v>
          </cell>
          <cell r="AZ287">
            <v>6.0762388109645515E-2</v>
          </cell>
          <cell r="BA287">
            <v>0.13209779179810721</v>
          </cell>
          <cell r="BB287">
            <v>6.0951054054502407E-2</v>
          </cell>
          <cell r="BC287" t="str">
            <v>-</v>
          </cell>
          <cell r="BE287">
            <v>-0.20801428263228161</v>
          </cell>
          <cell r="BF287">
            <v>1.6514015001974025E-2</v>
          </cell>
          <cell r="BG287">
            <v>9.9998834874535314E-2</v>
          </cell>
          <cell r="BH287">
            <v>-3.8449181057158555E-3</v>
          </cell>
          <cell r="BI287" t="str">
            <v>-</v>
          </cell>
          <cell r="BK287">
            <v>1.3673965591794124E-2</v>
          </cell>
          <cell r="BL287">
            <v>3.1468531468531458E-2</v>
          </cell>
          <cell r="BM287">
            <v>2.0338983050847359E-2</v>
          </cell>
          <cell r="BN287">
            <v>-9.966777408637828E-3</v>
          </cell>
          <cell r="BO287" t="str">
            <v>-</v>
          </cell>
          <cell r="BQ287">
            <v>0</v>
          </cell>
          <cell r="BR287">
            <v>8.3892617449664364E-2</v>
          </cell>
          <cell r="BS287">
            <v>1.5479876160990669E-2</v>
          </cell>
          <cell r="BT287">
            <v>3.0487804878047697E-3</v>
          </cell>
          <cell r="BU287" t="str">
            <v>-</v>
          </cell>
          <cell r="BW287">
            <v>-5.1671732522796332E-2</v>
          </cell>
          <cell r="BX287">
            <v>4.8076923076923128E-2</v>
          </cell>
          <cell r="BY287">
            <v>0.19571865443425085</v>
          </cell>
          <cell r="BZ287">
            <v>0.15345268542199486</v>
          </cell>
          <cell r="CA287" t="str">
            <v>-</v>
          </cell>
          <cell r="CC287">
            <v>-0.12195121951219512</v>
          </cell>
          <cell r="CD287">
            <v>0.17171717171717171</v>
          </cell>
          <cell r="CE287">
            <v>0</v>
          </cell>
          <cell r="CF287">
            <v>0.14784482758620698</v>
          </cell>
          <cell r="CG287" t="str">
            <v>-</v>
          </cell>
          <cell r="CI287">
            <v>-9.1250469395418699E-2</v>
          </cell>
          <cell r="CJ287">
            <v>2.8925619834710758E-2</v>
          </cell>
          <cell r="CK287">
            <v>0.10240963855421681</v>
          </cell>
          <cell r="CL287">
            <v>5.464480874316946E-2</v>
          </cell>
          <cell r="CM287" t="str">
            <v>-</v>
          </cell>
          <cell r="CO287">
            <v>7.7720207253886064E-2</v>
          </cell>
          <cell r="CP287">
            <v>4.0064102564102644E-2</v>
          </cell>
          <cell r="CQ287">
            <v>3.0816640986133237E-3</v>
          </cell>
          <cell r="CR287">
            <v>7.9877112135176676E-2</v>
          </cell>
          <cell r="CS287" t="str">
            <v>-</v>
          </cell>
          <cell r="CU287">
            <v>-4.5519203413940224E-2</v>
          </cell>
          <cell r="CV287">
            <v>-9.6870342771982143E-2</v>
          </cell>
          <cell r="CW287">
            <v>5.2805280528052778E-2</v>
          </cell>
          <cell r="CX287">
            <v>9.247648902821326E-2</v>
          </cell>
          <cell r="CY287" t="str">
            <v>-</v>
          </cell>
          <cell r="DA287">
            <v>-9.8995695839311337E-2</v>
          </cell>
          <cell r="DB287">
            <v>5.7324840764331197E-2</v>
          </cell>
          <cell r="DC287">
            <v>0.17018072289156616</v>
          </cell>
          <cell r="DE287" t="str">
            <v>-</v>
          </cell>
          <cell r="DG287">
            <v>3.0602171767028619E-2</v>
          </cell>
          <cell r="DH287">
            <v>1.9157088122605304E-2</v>
          </cell>
          <cell r="DI287">
            <v>4.6992481203007586E-3</v>
          </cell>
          <cell r="DJ287">
            <v>3.8353601496725842E-2</v>
          </cell>
          <cell r="DK287" t="str">
            <v>-</v>
          </cell>
          <cell r="DM287">
            <v>-0.11801801801801803</v>
          </cell>
          <cell r="DN287">
            <v>5.6179775280898792E-2</v>
          </cell>
          <cell r="DO287">
            <v>3.578336557059969E-2</v>
          </cell>
          <cell r="DP287">
            <v>6.8160597572362258E-2</v>
          </cell>
          <cell r="DQ287" t="str">
            <v>-</v>
          </cell>
          <cell r="DS287">
            <v>-2.2727272727272707E-2</v>
          </cell>
          <cell r="DT287">
            <v>-7.1556350626118537E-3</v>
          </cell>
          <cell r="DU287">
            <v>-9.009009009009028E-3</v>
          </cell>
          <cell r="DV287">
            <v>6.4545454545454461E-2</v>
          </cell>
          <cell r="DW287" t="str">
            <v>-</v>
          </cell>
          <cell r="DY287">
            <v>-2.6473099914602893E-2</v>
          </cell>
          <cell r="DZ287">
            <v>4.035087719298236E-2</v>
          </cell>
          <cell r="EA287">
            <v>5.9021922428330598E-3</v>
          </cell>
          <cell r="EB287">
            <v>4.6102263202011828E-2</v>
          </cell>
          <cell r="EC287" t="str">
            <v>-</v>
          </cell>
          <cell r="EE287">
            <v>-2.1634615384615419E-2</v>
          </cell>
          <cell r="EF287">
            <v>2.7846027846027743E-2</v>
          </cell>
          <cell r="EG287">
            <v>-1.8326693227091684E-2</v>
          </cell>
          <cell r="EH287">
            <v>4.951298701298712E-2</v>
          </cell>
          <cell r="EI287" t="str">
            <v>-</v>
          </cell>
          <cell r="EK287">
            <v>-3.9443155452436152E-2</v>
          </cell>
          <cell r="EL287">
            <v>4.106280193236711E-2</v>
          </cell>
          <cell r="EM287">
            <v>9.7643795328692384E-3</v>
          </cell>
          <cell r="EN287">
            <v>2.9489122751951147E-3</v>
          </cell>
          <cell r="EO287" t="str">
            <v>-</v>
          </cell>
          <cell r="EQ287">
            <v>-1.1209288040651133E-2</v>
          </cell>
          <cell r="ER287">
            <v>6.0048160874472956E-3</v>
          </cell>
          <cell r="ES287">
            <v>2.948340264693794E-2</v>
          </cell>
          <cell r="ET287">
            <v>7.233767206976216E-3</v>
          </cell>
          <cell r="EU287" t="str">
            <v>-</v>
          </cell>
          <cell r="EW287">
            <v>-2.3198113952651589E-3</v>
          </cell>
          <cell r="EX287">
            <v>2.6740507550711001E-3</v>
          </cell>
          <cell r="EY287">
            <v>1.4160999433145971E-3</v>
          </cell>
          <cell r="EZ287">
            <v>2.2806783266893227E-4</v>
          </cell>
          <cell r="FA287" t="str">
            <v>-</v>
          </cell>
        </row>
        <row r="288">
          <cell r="C288" t="str">
            <v>-</v>
          </cell>
          <cell r="D288" t="str">
            <v>-</v>
          </cell>
          <cell r="E288" t="str">
            <v>-</v>
          </cell>
          <cell r="F288" t="str">
            <v>-</v>
          </cell>
          <cell r="G288" t="str">
            <v>-</v>
          </cell>
          <cell r="H288" t="str">
            <v>-</v>
          </cell>
          <cell r="I288" t="str">
            <v>-</v>
          </cell>
          <cell r="J288" t="str">
            <v>-</v>
          </cell>
          <cell r="K288" t="str">
            <v>-</v>
          </cell>
          <cell r="L288" t="str">
            <v>-</v>
          </cell>
          <cell r="M288" t="str">
            <v>-</v>
          </cell>
          <cell r="O288" t="str">
            <v>-</v>
          </cell>
          <cell r="P288">
            <v>0.1054692466119147</v>
          </cell>
          <cell r="Q288">
            <v>-3.3189962508912707E-2</v>
          </cell>
          <cell r="R288">
            <v>0.17435885235761539</v>
          </cell>
          <cell r="S288" t="str">
            <v>-</v>
          </cell>
          <cell r="U288">
            <v>4.7505216457670807E-2</v>
          </cell>
          <cell r="V288">
            <v>0.10675330703179409</v>
          </cell>
          <cell r="W288">
            <v>-3.2519046620535508E-2</v>
          </cell>
          <cell r="X288">
            <v>0.24330377300558093</v>
          </cell>
          <cell r="Y288" t="str">
            <v>-</v>
          </cell>
          <cell r="AA288">
            <v>2.093320549696398E-2</v>
          </cell>
          <cell r="AB288">
            <v>-8.0393858762930481E-3</v>
          </cell>
          <cell r="AC288">
            <v>8.0930659551883277E-2</v>
          </cell>
          <cell r="AD288">
            <v>0.2323637135729073</v>
          </cell>
          <cell r="AE288" t="str">
            <v>-</v>
          </cell>
          <cell r="AG288">
            <v>-0.18684986970473594</v>
          </cell>
          <cell r="AH288">
            <v>7.7720687554625689E-2</v>
          </cell>
          <cell r="AI288">
            <v>0.13489303662927155</v>
          </cell>
          <cell r="AJ288">
            <v>0.29164907266053852</v>
          </cell>
          <cell r="AK288" t="str">
            <v>-</v>
          </cell>
          <cell r="AM288">
            <v>-0.20966822578752375</v>
          </cell>
          <cell r="AN288">
            <v>7.7562708808400105E-2</v>
          </cell>
          <cell r="AO288">
            <v>2.0325203252032464E-2</v>
          </cell>
          <cell r="AP288">
            <v>0.224081880709607</v>
          </cell>
          <cell r="AQ288" t="str">
            <v>-</v>
          </cell>
          <cell r="AS288">
            <v>-0.15253128644831815</v>
          </cell>
          <cell r="AT288">
            <v>5.1312571487023062E-2</v>
          </cell>
          <cell r="AU288">
            <v>8.0783689354738897E-2</v>
          </cell>
          <cell r="AV288">
            <v>0.12840868170360409</v>
          </cell>
          <cell r="AW288" t="str">
            <v>-</v>
          </cell>
          <cell r="AY288">
            <v>-0.2314582456954698</v>
          </cell>
          <cell r="AZ288">
            <v>5.130939461142825E-2</v>
          </cell>
          <cell r="BA288">
            <v>8.2296547638282869E-2</v>
          </cell>
          <cell r="BB288">
            <v>-1.5584307870946223E-2</v>
          </cell>
          <cell r="BC288" t="str">
            <v>-</v>
          </cell>
          <cell r="BE288">
            <v>-0.17757875491823305</v>
          </cell>
          <cell r="BF288">
            <v>1.3348495092917023E-2</v>
          </cell>
          <cell r="BG288">
            <v>6.2405855414135125E-2</v>
          </cell>
          <cell r="BH288">
            <v>4.2839470929679324E-2</v>
          </cell>
          <cell r="BI288" t="str">
            <v>-</v>
          </cell>
          <cell r="BK288">
            <v>-6.9275129571501504E-2</v>
          </cell>
          <cell r="BL288">
            <v>6.8627450980392135E-2</v>
          </cell>
          <cell r="BM288">
            <v>5.504587155963292E-2</v>
          </cell>
          <cell r="BN288">
            <v>0</v>
          </cell>
          <cell r="BO288" t="str">
            <v>-</v>
          </cell>
          <cell r="BQ288">
            <v>0.13913043478260878</v>
          </cell>
          <cell r="BR288">
            <v>4.5801526717557328E-2</v>
          </cell>
          <cell r="BS288">
            <v>5.8394160583941535E-2</v>
          </cell>
          <cell r="BT288">
            <v>2.0689655172413834E-2</v>
          </cell>
          <cell r="BU288" t="str">
            <v>-</v>
          </cell>
          <cell r="BW288">
            <v>-0.15878378378378377</v>
          </cell>
          <cell r="BX288">
            <v>4.1767068273092178E-2</v>
          </cell>
          <cell r="BY288">
            <v>0.12567463377023902</v>
          </cell>
          <cell r="BZ288">
            <v>2.7397260273972712E-2</v>
          </cell>
          <cell r="CA288" t="str">
            <v>-</v>
          </cell>
          <cell r="CC288">
            <v>4.0000000000000036E-2</v>
          </cell>
          <cell r="CD288">
            <v>-0.30128205128205132</v>
          </cell>
          <cell r="CE288">
            <v>0.33944954128440363</v>
          </cell>
          <cell r="CF288">
            <v>-9.9315068493149861E-3</v>
          </cell>
          <cell r="CG288" t="str">
            <v>-</v>
          </cell>
          <cell r="CI288">
            <v>3.1131096506398226E-3</v>
          </cell>
          <cell r="CJ288">
            <v>8.9655172413793061E-2</v>
          </cell>
          <cell r="CK288">
            <v>3.1645569620253111E-2</v>
          </cell>
          <cell r="CL288">
            <v>7.9754601226993849E-2</v>
          </cell>
          <cell r="CM288" t="str">
            <v>-</v>
          </cell>
          <cell r="CO288">
            <v>-5.6818181818182323E-3</v>
          </cell>
          <cell r="CP288">
            <v>6.8571428571428505E-2</v>
          </cell>
          <cell r="CQ288">
            <v>1.6042780748663166E-2</v>
          </cell>
          <cell r="CR288">
            <v>-2.1052631578947323E-2</v>
          </cell>
          <cell r="CS288" t="str">
            <v>-</v>
          </cell>
          <cell r="CU288">
            <v>-2.1505376344086002E-2</v>
          </cell>
          <cell r="CV288">
            <v>-0.1648351648351648</v>
          </cell>
          <cell r="CW288">
            <v>0.10526315789473695</v>
          </cell>
          <cell r="CX288">
            <v>0.125</v>
          </cell>
          <cell r="CY288" t="str">
            <v>-</v>
          </cell>
          <cell r="DA288">
            <v>-8.9947089947089998E-2</v>
          </cell>
          <cell r="DB288">
            <v>-0.12790697674418605</v>
          </cell>
          <cell r="DC288">
            <v>0.34666666666666668</v>
          </cell>
          <cell r="DE288" t="str">
            <v>-</v>
          </cell>
          <cell r="DG288">
            <v>-8.1712062256809381E-2</v>
          </cell>
          <cell r="DH288">
            <v>-0.49152542372881358</v>
          </cell>
          <cell r="DI288">
            <v>1.0750000000000002</v>
          </cell>
          <cell r="DJ288">
            <v>-0.11646586345381527</v>
          </cell>
          <cell r="DK288" t="str">
            <v>-</v>
          </cell>
          <cell r="DM288">
            <v>0.23181818181818192</v>
          </cell>
          <cell r="DN288">
            <v>-0.12546125461254609</v>
          </cell>
          <cell r="DO288">
            <v>-7.1729957805907185E-2</v>
          </cell>
          <cell r="DP288">
            <v>7.2727272727272751E-2</v>
          </cell>
          <cell r="DQ288" t="str">
            <v>-</v>
          </cell>
          <cell r="DS288">
            <v>-8.4745762711864181E-3</v>
          </cell>
          <cell r="DT288">
            <v>-5.1282051282051322E-2</v>
          </cell>
          <cell r="DU288">
            <v>-9.009009009009028E-3</v>
          </cell>
          <cell r="DV288">
            <v>5.0000000000000044E-2</v>
          </cell>
          <cell r="DW288" t="str">
            <v>-</v>
          </cell>
          <cell r="DY288">
            <v>-5.6277056277056259E-2</v>
          </cell>
          <cell r="DZ288">
            <v>9.1743119266054496E-3</v>
          </cell>
          <cell r="EA288">
            <v>-5.0000000000000044E-2</v>
          </cell>
          <cell r="EB288">
            <v>5.2631578947368363E-2</v>
          </cell>
          <cell r="EC288" t="str">
            <v>-</v>
          </cell>
          <cell r="EE288">
            <v>5.0000000000000044E-2</v>
          </cell>
          <cell r="EF288">
            <v>-8.6580086580086979E-3</v>
          </cell>
          <cell r="EG288">
            <v>-2.6200873362445365E-2</v>
          </cell>
          <cell r="EH288">
            <v>0.10762331838565031</v>
          </cell>
          <cell r="EI288" t="str">
            <v>-</v>
          </cell>
          <cell r="EK288">
            <v>-7.6923076923076872E-2</v>
          </cell>
          <cell r="EL288">
            <v>0.13157894736842102</v>
          </cell>
          <cell r="EM288">
            <v>-0.11528612868217047</v>
          </cell>
          <cell r="EN288">
            <v>4.720602300733856E-2</v>
          </cell>
          <cell r="EO288" t="str">
            <v>-</v>
          </cell>
          <cell r="EQ288">
            <v>-6.1078732643818134E-2</v>
          </cell>
          <cell r="ER288">
            <v>0.12424690985566</v>
          </cell>
          <cell r="ES288">
            <v>-0.12635699572615333</v>
          </cell>
          <cell r="ET288">
            <v>2.9018721459544317E-2</v>
          </cell>
          <cell r="EU288" t="str">
            <v>-</v>
          </cell>
          <cell r="EW288">
            <v>-4.1817414169939338E-2</v>
          </cell>
          <cell r="EX288">
            <v>0.12150447541888165</v>
          </cell>
          <cell r="EY288">
            <v>-0.13148859736374352</v>
          </cell>
          <cell r="EZ288">
            <v>9.3834734878877057E-3</v>
          </cell>
          <cell r="FA288" t="str">
            <v>-</v>
          </cell>
        </row>
        <row r="289">
          <cell r="C289" t="str">
            <v>-</v>
          </cell>
          <cell r="D289" t="str">
            <v>-</v>
          </cell>
          <cell r="E289" t="str">
            <v>-</v>
          </cell>
          <cell r="F289" t="str">
            <v>-</v>
          </cell>
          <cell r="G289" t="str">
            <v>-</v>
          </cell>
          <cell r="H289" t="str">
            <v>-</v>
          </cell>
          <cell r="I289" t="str">
            <v>-</v>
          </cell>
          <cell r="J289" t="str">
            <v>-</v>
          </cell>
          <cell r="K289" t="str">
            <v>-</v>
          </cell>
          <cell r="L289" t="str">
            <v>-</v>
          </cell>
          <cell r="M289" t="str">
            <v>-</v>
          </cell>
          <cell r="O289" t="str">
            <v>-</v>
          </cell>
          <cell r="P289">
            <v>0.10358889657115045</v>
          </cell>
          <cell r="Q289">
            <v>7.6691707515155194E-2</v>
          </cell>
          <cell r="R289">
            <v>0.3745713354399518</v>
          </cell>
          <cell r="S289" t="str">
            <v>-</v>
          </cell>
          <cell r="U289">
            <v>-0.18634567746386121</v>
          </cell>
          <cell r="V289">
            <v>0.22154191515805488</v>
          </cell>
          <cell r="W289">
            <v>1.243024746130339E-2</v>
          </cell>
          <cell r="X289">
            <v>0.43282358302788571</v>
          </cell>
          <cell r="Y289" t="str">
            <v>-</v>
          </cell>
          <cell r="AA289">
            <v>-0.25601986709057767</v>
          </cell>
          <cell r="AB289">
            <v>0.2052917941016339</v>
          </cell>
          <cell r="AC289">
            <v>2.2043286211046675E-2</v>
          </cell>
          <cell r="AD289">
            <v>0.4131397535610255</v>
          </cell>
          <cell r="AE289" t="str">
            <v>-</v>
          </cell>
          <cell r="AG289">
            <v>-0.28145331501541238</v>
          </cell>
          <cell r="AH289">
            <v>0.15841795300248895</v>
          </cell>
          <cell r="AI289">
            <v>6.4300394658865834E-2</v>
          </cell>
          <cell r="AJ289">
            <v>0.34725253114019194</v>
          </cell>
          <cell r="AK289" t="str">
            <v>-</v>
          </cell>
          <cell r="AM289">
            <v>-0.30356481770528765</v>
          </cell>
          <cell r="AN289">
            <v>0.12884982524899491</v>
          </cell>
          <cell r="AO289">
            <v>-1.5451365780381199E-2</v>
          </cell>
          <cell r="AP289">
            <v>0.50416431402710926</v>
          </cell>
          <cell r="AQ289" t="str">
            <v>-</v>
          </cell>
          <cell r="AS289">
            <v>-0.33390483772170643</v>
          </cell>
          <cell r="AT289">
            <v>0.12557375859503961</v>
          </cell>
          <cell r="AU289">
            <v>-2.0361699212610995E-2</v>
          </cell>
          <cell r="AV289">
            <v>0.29602462270010554</v>
          </cell>
          <cell r="AW289" t="str">
            <v>-</v>
          </cell>
          <cell r="AY289">
            <v>-0.26211595483935979</v>
          </cell>
          <cell r="AZ289">
            <v>9.5263646882218112E-2</v>
          </cell>
          <cell r="BA289">
            <v>6.7825048819543765E-2</v>
          </cell>
          <cell r="BB289">
            <v>0.14966302878736348</v>
          </cell>
          <cell r="BC289" t="str">
            <v>-</v>
          </cell>
          <cell r="BE289">
            <v>-0.29111537993998771</v>
          </cell>
          <cell r="BF289">
            <v>4.6431895486775066E-2</v>
          </cell>
          <cell r="BG289">
            <v>-2.6321974401435133E-2</v>
          </cell>
          <cell r="BH289">
            <v>8.4293966474632276E-2</v>
          </cell>
          <cell r="BI289" t="str">
            <v>-</v>
          </cell>
          <cell r="BK289">
            <v>-0.12281239213860173</v>
          </cell>
          <cell r="BL289">
            <v>6.6356228172293363E-2</v>
          </cell>
          <cell r="BM289">
            <v>2.2925764192139653E-2</v>
          </cell>
          <cell r="BN289">
            <v>4.6958377801494144E-2</v>
          </cell>
          <cell r="BO289" t="str">
            <v>-</v>
          </cell>
          <cell r="BQ289">
            <v>-8.9704383282364963E-2</v>
          </cell>
          <cell r="BR289">
            <v>0.10302351623740202</v>
          </cell>
          <cell r="BS289">
            <v>1.5228426395939021E-2</v>
          </cell>
          <cell r="BT289">
            <v>9.6999999999999975E-2</v>
          </cell>
          <cell r="BU289" t="str">
            <v>-</v>
          </cell>
          <cell r="BW289">
            <v>-0.16453965360072931</v>
          </cell>
          <cell r="BX289">
            <v>0.1038734315330061</v>
          </cell>
          <cell r="BY289">
            <v>0.19007610951863185</v>
          </cell>
          <cell r="BZ289">
            <v>0.16611295681063121</v>
          </cell>
          <cell r="CA289" t="str">
            <v>-</v>
          </cell>
          <cell r="CC289">
            <v>-0.17022792022792022</v>
          </cell>
          <cell r="CD289">
            <v>9.6995708154506532E-2</v>
          </cell>
          <cell r="CE289">
            <v>6.7292644757433573E-2</v>
          </cell>
          <cell r="CF289">
            <v>0.3014296187683283</v>
          </cell>
          <cell r="CG289" t="str">
            <v>-</v>
          </cell>
          <cell r="CI289">
            <v>-0.2287975664028391</v>
          </cell>
          <cell r="CJ289">
            <v>0.14170927684441192</v>
          </cell>
          <cell r="CK289">
            <v>6.8458093410108667E-2</v>
          </cell>
          <cell r="CL289">
            <v>0.20898203592814379</v>
          </cell>
          <cell r="CM289" t="str">
            <v>-</v>
          </cell>
          <cell r="CO289">
            <v>-0.12828132738979692</v>
          </cell>
          <cell r="CP289">
            <v>8.9772727272727337E-2</v>
          </cell>
          <cell r="CQ289">
            <v>-3.1282586027111536E-3</v>
          </cell>
          <cell r="CR289">
            <v>0.256276150627615</v>
          </cell>
          <cell r="CS289" t="str">
            <v>-</v>
          </cell>
          <cell r="CU289">
            <v>-0.18984179850124894</v>
          </cell>
          <cell r="CV289">
            <v>-2.9804727646454254E-2</v>
          </cell>
          <cell r="CW289">
            <v>-2.3305084745762761E-2</v>
          </cell>
          <cell r="CX289">
            <v>0.19088937093275482</v>
          </cell>
          <cell r="CY289" t="str">
            <v>-</v>
          </cell>
          <cell r="DA289">
            <v>-0.20582877959927137</v>
          </cell>
          <cell r="DB289">
            <v>0.10493119266055051</v>
          </cell>
          <cell r="DC289">
            <v>0.14115204981837048</v>
          </cell>
          <cell r="DE289" t="str">
            <v>-</v>
          </cell>
          <cell r="DG289">
            <v>-0.13406887328652628</v>
          </cell>
          <cell r="DH289">
            <v>4.0540540540540571E-2</v>
          </cell>
          <cell r="DI289">
            <v>8.1261595547309939E-2</v>
          </cell>
          <cell r="DJ289">
            <v>0.16849691146190793</v>
          </cell>
          <cell r="DK289" t="str">
            <v>-</v>
          </cell>
          <cell r="DM289">
            <v>-0.16182085168869309</v>
          </cell>
          <cell r="DN289">
            <v>2.9782761037140837E-2</v>
          </cell>
          <cell r="DO289">
            <v>7.4855392990813563E-3</v>
          </cell>
          <cell r="DP289">
            <v>0.16345829111786569</v>
          </cell>
          <cell r="DQ289" t="str">
            <v>-</v>
          </cell>
          <cell r="DS289">
            <v>-0.16981132075471694</v>
          </cell>
          <cell r="DT289">
            <v>7.062937062937058E-2</v>
          </cell>
          <cell r="DU289">
            <v>9.1443500979750958E-3</v>
          </cell>
          <cell r="DV289">
            <v>0.13074433656957929</v>
          </cell>
          <cell r="DW289" t="str">
            <v>-</v>
          </cell>
          <cell r="DY289">
            <v>-0.15884373211219238</v>
          </cell>
          <cell r="DZ289">
            <v>0.10445729840081652</v>
          </cell>
          <cell r="EA289">
            <v>-1.6943930991990097E-2</v>
          </cell>
          <cell r="EB289">
            <v>0.14791601378878094</v>
          </cell>
          <cell r="EC289" t="str">
            <v>-</v>
          </cell>
          <cell r="EE289">
            <v>-0.14960414960414958</v>
          </cell>
          <cell r="EF289">
            <v>7.1589085072231162E-2</v>
          </cell>
          <cell r="EG289">
            <v>-2.6662672258837672E-2</v>
          </cell>
          <cell r="EH289">
            <v>0.13973530317020622</v>
          </cell>
          <cell r="EI289" t="str">
            <v>-</v>
          </cell>
          <cell r="EK289">
            <v>-0.14933837429111529</v>
          </cell>
          <cell r="EL289">
            <v>9.2380952380952452E-2</v>
          </cell>
          <cell r="EM289">
            <v>-1.5599624123220024E-2</v>
          </cell>
          <cell r="EN289">
            <v>5.8496653983159064E-2</v>
          </cell>
          <cell r="EO289" t="str">
            <v>-</v>
          </cell>
          <cell r="EQ289">
            <v>-0.10489505845377334</v>
          </cell>
          <cell r="ER289">
            <v>7.2279120808534048E-2</v>
          </cell>
          <cell r="ES289">
            <v>-4.481330018328622E-3</v>
          </cell>
          <cell r="ET289">
            <v>4.4317318098353153E-2</v>
          </cell>
          <cell r="EU289" t="str">
            <v>-</v>
          </cell>
          <cell r="EW289">
            <v>-8.6816098373647455E-2</v>
          </cell>
          <cell r="EX289">
            <v>6.4069321874906882E-2</v>
          </cell>
          <cell r="EY289">
            <v>-2.0366260202368314E-2</v>
          </cell>
          <cell r="EZ289">
            <v>7.2648563782431008E-2</v>
          </cell>
          <cell r="FA289" t="str">
            <v>-</v>
          </cell>
        </row>
        <row r="290">
          <cell r="CG290">
            <v>0</v>
          </cell>
          <cell r="CM290">
            <v>0</v>
          </cell>
          <cell r="CS290">
            <v>0</v>
          </cell>
          <cell r="CY290">
            <v>0</v>
          </cell>
          <cell r="DE290">
            <v>0</v>
          </cell>
          <cell r="DK290">
            <v>0</v>
          </cell>
          <cell r="DQ290">
            <v>0</v>
          </cell>
          <cell r="DW290">
            <v>0</v>
          </cell>
          <cell r="EC290">
            <v>0</v>
          </cell>
          <cell r="EI290">
            <v>0</v>
          </cell>
          <cell r="EO290">
            <v>0</v>
          </cell>
          <cell r="EU290">
            <v>0</v>
          </cell>
          <cell r="FA290">
            <v>0</v>
          </cell>
        </row>
        <row r="291">
          <cell r="C291" t="str">
            <v>-</v>
          </cell>
          <cell r="D291" t="str">
            <v>-</v>
          </cell>
          <cell r="E291" t="str">
            <v>-</v>
          </cell>
          <cell r="F291" t="str">
            <v>-</v>
          </cell>
          <cell r="G291" t="str">
            <v>-</v>
          </cell>
          <cell r="H291" t="str">
            <v>-</v>
          </cell>
          <cell r="I291" t="str">
            <v>-</v>
          </cell>
          <cell r="J291" t="str">
            <v>-</v>
          </cell>
          <cell r="K291" t="str">
            <v>-</v>
          </cell>
          <cell r="L291" t="str">
            <v>-</v>
          </cell>
          <cell r="M291" t="str">
            <v>-</v>
          </cell>
          <cell r="O291" t="str">
            <v>-</v>
          </cell>
          <cell r="P291">
            <v>0.57559142364323823</v>
          </cell>
          <cell r="Q291">
            <v>0.11903691674158257</v>
          </cell>
          <cell r="R291">
            <v>0.74534016624446942</v>
          </cell>
          <cell r="S291" t="str">
            <v>-</v>
          </cell>
          <cell r="U291">
            <v>-0.53554446073609419</v>
          </cell>
          <cell r="V291">
            <v>0.63382938252265841</v>
          </cell>
          <cell r="W291">
            <v>7.5889799831725613E-2</v>
          </cell>
          <cell r="X291">
            <v>0.84660501404915767</v>
          </cell>
          <cell r="Y291" t="str">
            <v>-</v>
          </cell>
          <cell r="AA291">
            <v>-0.58420370999591253</v>
          </cell>
          <cell r="AB291">
            <v>0.62362471428402277</v>
          </cell>
          <cell r="AC291">
            <v>8.2935795877280505E-2</v>
          </cell>
          <cell r="AD291">
            <v>0.88528868951395734</v>
          </cell>
          <cell r="AE291" t="str">
            <v>-</v>
          </cell>
          <cell r="AG291">
            <v>-0.61409265891978326</v>
          </cell>
          <cell r="AH291">
            <v>0.2591179887885422</v>
          </cell>
          <cell r="AI291">
            <v>0.17009551259898648</v>
          </cell>
          <cell r="AJ291">
            <v>0.90070788285528436</v>
          </cell>
          <cell r="AK291" t="str">
            <v>-</v>
          </cell>
          <cell r="AM291">
            <v>-0.54072443069110521</v>
          </cell>
          <cell r="AN291">
            <v>0.3751493686923244</v>
          </cell>
          <cell r="AO291">
            <v>6.4423424225132475E-2</v>
          </cell>
          <cell r="AP291">
            <v>0.98263745450968831</v>
          </cell>
          <cell r="AQ291" t="str">
            <v>-</v>
          </cell>
          <cell r="AS291">
            <v>-0.57104870525698281</v>
          </cell>
          <cell r="AT291">
            <v>0.66558724119087587</v>
          </cell>
          <cell r="AU291">
            <v>0.33617039743778898</v>
          </cell>
          <cell r="AV291">
            <v>0.80391466518387955</v>
          </cell>
          <cell r="AW291" t="str">
            <v>-</v>
          </cell>
          <cell r="AY291">
            <v>-0.5260815362643867</v>
          </cell>
          <cell r="AZ291">
            <v>0.43760191234284695</v>
          </cell>
          <cell r="BA291">
            <v>-7.1752566857751443E-2</v>
          </cell>
          <cell r="BB291">
            <v>0.47465218426120215</v>
          </cell>
          <cell r="BC291" t="str">
            <v>-</v>
          </cell>
          <cell r="BE291">
            <v>-0.42407674260923023</v>
          </cell>
          <cell r="BF291">
            <v>9.9447824955952502E-2</v>
          </cell>
          <cell r="BG291">
            <v>-5.0253431941694071E-2</v>
          </cell>
          <cell r="BH291">
            <v>0.5749448788361704</v>
          </cell>
          <cell r="BI291" t="str">
            <v>-</v>
          </cell>
          <cell r="BK291">
            <v>-0.52709848011082205</v>
          </cell>
          <cell r="BL291">
            <v>0.36896551724137927</v>
          </cell>
          <cell r="BM291">
            <v>2.5188916876575096E-3</v>
          </cell>
          <cell r="BN291">
            <v>0.59597989949748764</v>
          </cell>
          <cell r="BO291" t="str">
            <v>-</v>
          </cell>
          <cell r="BQ291">
            <v>-0.51511335012594461</v>
          </cell>
          <cell r="BR291">
            <v>0.48538961038961048</v>
          </cell>
          <cell r="BS291">
            <v>1.3114754098360715E-2</v>
          </cell>
          <cell r="BT291">
            <v>0.51672060409924492</v>
          </cell>
          <cell r="BU291" t="str">
            <v>-</v>
          </cell>
          <cell r="BW291">
            <v>-0.47119487908961588</v>
          </cell>
          <cell r="BX291">
            <v>0.5525218560860794</v>
          </cell>
          <cell r="BY291">
            <v>2.0531924109850275E-2</v>
          </cell>
          <cell r="BZ291">
            <v>0.58319185059422751</v>
          </cell>
          <cell r="CA291" t="str">
            <v>-</v>
          </cell>
          <cell r="CC291">
            <v>-0.45201072386058982</v>
          </cell>
          <cell r="CD291">
            <v>0.33170254403131105</v>
          </cell>
          <cell r="CE291">
            <v>1.6458486407053607E-2</v>
          </cell>
          <cell r="CF291">
            <v>0.59089923377186659</v>
          </cell>
          <cell r="CG291" t="str">
            <v>-</v>
          </cell>
          <cell r="CI291">
            <v>-0.40114046845536966</v>
          </cell>
          <cell r="CJ291">
            <v>0.23975720789074351</v>
          </cell>
          <cell r="CK291">
            <v>7.4051407588739293E-2</v>
          </cell>
          <cell r="CL291">
            <v>0.54643874643874635</v>
          </cell>
          <cell r="CM291" t="str">
            <v>-</v>
          </cell>
          <cell r="CO291">
            <v>-0.38025055268975683</v>
          </cell>
          <cell r="CP291">
            <v>0.31629013079667057</v>
          </cell>
          <cell r="CQ291">
            <v>2.258355916892496E-3</v>
          </cell>
          <cell r="CR291">
            <v>0.59711581793600721</v>
          </cell>
          <cell r="CS291" t="str">
            <v>-</v>
          </cell>
          <cell r="CU291">
            <v>-0.38656884875846498</v>
          </cell>
          <cell r="CV291">
            <v>0.20009199632014729</v>
          </cell>
          <cell r="CW291">
            <v>-2.0697585281717168E-2</v>
          </cell>
          <cell r="CX291">
            <v>0.37495107632093938</v>
          </cell>
          <cell r="CY291" t="str">
            <v>-</v>
          </cell>
          <cell r="DA291">
            <v>-0.34016510105323083</v>
          </cell>
          <cell r="DB291">
            <v>0.23209663503019851</v>
          </cell>
          <cell r="DC291">
            <v>1.0644257703081195E-2</v>
          </cell>
          <cell r="DE291" t="str">
            <v>-</v>
          </cell>
          <cell r="DG291">
            <v>-0.33245747162887618</v>
          </cell>
          <cell r="DH291">
            <v>0.30675262979300988</v>
          </cell>
          <cell r="DI291">
            <v>1.064658530251883E-2</v>
          </cell>
          <cell r="DJ291">
            <v>0.34583761562178839</v>
          </cell>
          <cell r="DK291" t="str">
            <v>-</v>
          </cell>
          <cell r="DM291">
            <v>-0.31920580374188623</v>
          </cell>
          <cell r="DN291">
            <v>0.10179472798653943</v>
          </cell>
          <cell r="DO291">
            <v>7.0333214558411905E-2</v>
          </cell>
          <cell r="DP291">
            <v>0.31075269742806944</v>
          </cell>
          <cell r="DQ291" t="str">
            <v>-</v>
          </cell>
          <cell r="DS291">
            <v>-0.3488940460124913</v>
          </cell>
          <cell r="DT291">
            <v>0.19030370576762334</v>
          </cell>
          <cell r="DU291">
            <v>-2.200374531835203E-2</v>
          </cell>
          <cell r="DV291">
            <v>0.33389181426519876</v>
          </cell>
          <cell r="DW291" t="str">
            <v>-</v>
          </cell>
          <cell r="DY291">
            <v>-0.32872779472456481</v>
          </cell>
          <cell r="DZ291">
            <v>0.13499064421277729</v>
          </cell>
          <cell r="EA291">
            <v>2.82618935468677E-2</v>
          </cell>
          <cell r="EB291">
            <v>0.31836921667430151</v>
          </cell>
          <cell r="EC291" t="str">
            <v>-</v>
          </cell>
          <cell r="EE291">
            <v>-0.33651841556636553</v>
          </cell>
          <cell r="EF291">
            <v>0.14977742864624255</v>
          </cell>
          <cell r="EG291">
            <v>-4.2131632885447523E-2</v>
          </cell>
          <cell r="EH291">
            <v>0.18354731336186392</v>
          </cell>
          <cell r="EI291" t="str">
            <v>-</v>
          </cell>
          <cell r="EK291">
            <v>-0.30233025311370032</v>
          </cell>
          <cell r="EL291">
            <v>7.1983875611862924E-2</v>
          </cell>
          <cell r="EM291">
            <v>2.7617110380701693E-2</v>
          </cell>
          <cell r="EN291">
            <v>0.27151825555954168</v>
          </cell>
          <cell r="EO291" t="str">
            <v>-</v>
          </cell>
          <cell r="EQ291">
            <v>-0.26099336931654948</v>
          </cell>
          <cell r="ER291">
            <v>6.6894179067935378E-2</v>
          </cell>
          <cell r="ES291">
            <v>6.219454472359276E-3</v>
          </cell>
          <cell r="ET291">
            <v>0.23567776482922098</v>
          </cell>
          <cell r="EU291" t="str">
            <v>-</v>
          </cell>
          <cell r="EW291">
            <v>-0.24030907998457585</v>
          </cell>
          <cell r="EX291">
            <v>6.3085750763496318E-2</v>
          </cell>
          <cell r="EY291">
            <v>2.6278397509099438E-2</v>
          </cell>
          <cell r="EZ291">
            <v>0.17849457644670941</v>
          </cell>
          <cell r="FA291" t="str">
            <v>-</v>
          </cell>
        </row>
        <row r="292">
          <cell r="C292" t="str">
            <v>-</v>
          </cell>
          <cell r="D292" t="str">
            <v>-</v>
          </cell>
          <cell r="E292" t="str">
            <v>-</v>
          </cell>
          <cell r="F292" t="str">
            <v>-</v>
          </cell>
          <cell r="G292" t="str">
            <v>-</v>
          </cell>
          <cell r="H292" t="str">
            <v>-</v>
          </cell>
          <cell r="I292" t="str">
            <v>-</v>
          </cell>
          <cell r="J292" t="str">
            <v>-</v>
          </cell>
          <cell r="K292" t="str">
            <v>-</v>
          </cell>
          <cell r="L292" t="str">
            <v>-</v>
          </cell>
          <cell r="M292" t="str">
            <v>-</v>
          </cell>
          <cell r="O292" t="str">
            <v>-</v>
          </cell>
          <cell r="P292">
            <v>0.53375816993464076</v>
          </cell>
          <cell r="Q292">
            <v>0.11091342978288177</v>
          </cell>
          <cell r="R292">
            <v>0.74223462508511107</v>
          </cell>
          <cell r="S292" t="str">
            <v>-</v>
          </cell>
          <cell r="U292">
            <v>-0.51904501161917294</v>
          </cell>
          <cell r="V292">
            <v>0.56467058326955155</v>
          </cell>
          <cell r="W292">
            <v>7.0020553405941044E-2</v>
          </cell>
          <cell r="X292">
            <v>0.82052771891448351</v>
          </cell>
          <cell r="Y292" t="str">
            <v>-</v>
          </cell>
          <cell r="AA292">
            <v>-0.5765699802872426</v>
          </cell>
          <cell r="AB292">
            <v>0.5916999201915405</v>
          </cell>
          <cell r="AC292">
            <v>7.4152752452572246E-2</v>
          </cell>
          <cell r="AD292">
            <v>0.8668338713437409</v>
          </cell>
          <cell r="AE292" t="str">
            <v>-</v>
          </cell>
          <cell r="AG292">
            <v>-0.54480389623739711</v>
          </cell>
          <cell r="AH292">
            <v>0.14332156263793761</v>
          </cell>
          <cell r="AI292">
            <v>0.14815506822403934</v>
          </cell>
          <cell r="AJ292">
            <v>0.87291993100145504</v>
          </cell>
          <cell r="AK292" t="str">
            <v>-</v>
          </cell>
          <cell r="AM292">
            <v>-0.5159127356499893</v>
          </cell>
          <cell r="AN292">
            <v>0.40550561279173269</v>
          </cell>
          <cell r="AO292">
            <v>7.000638511356172E-2</v>
          </cell>
          <cell r="AP292">
            <v>0.79846008006492508</v>
          </cell>
          <cell r="AQ292" t="str">
            <v>-</v>
          </cell>
          <cell r="AS292">
            <v>-0.55114235334268713</v>
          </cell>
          <cell r="AT292">
            <v>0.62410422558414091</v>
          </cell>
          <cell r="AU292">
            <v>0.98493178207978271</v>
          </cell>
          <cell r="AV292">
            <v>5.4367943960501943</v>
          </cell>
          <cell r="AW292" t="str">
            <v>-</v>
          </cell>
          <cell r="AY292">
            <v>-0.89807914226162444</v>
          </cell>
          <cell r="AZ292">
            <v>0.24430236407928896</v>
          </cell>
          <cell r="BA292">
            <v>-6.4655997995611947E-2</v>
          </cell>
          <cell r="BB292">
            <v>0.46737825024821977</v>
          </cell>
          <cell r="BC292" t="str">
            <v>-</v>
          </cell>
          <cell r="BE292">
            <v>-0.40279404246746908</v>
          </cell>
          <cell r="BF292">
            <v>7.6010901069359038E-2</v>
          </cell>
          <cell r="BG292">
            <v>-7.5504598226010189E-2</v>
          </cell>
          <cell r="BH292">
            <v>0.29164033663074029</v>
          </cell>
          <cell r="BI292" t="str">
            <v>-</v>
          </cell>
          <cell r="BK292">
            <v>-0.4772305718000186</v>
          </cell>
          <cell r="BL292">
            <v>0.55976676384839652</v>
          </cell>
          <cell r="BM292">
            <v>6.7289719626168143E-2</v>
          </cell>
          <cell r="BN292">
            <v>0.50332749562171641</v>
          </cell>
          <cell r="BO292" t="str">
            <v>-</v>
          </cell>
          <cell r="BQ292">
            <v>-0.48741845293569441</v>
          </cell>
          <cell r="BR292">
            <v>0.40227272727272734</v>
          </cell>
          <cell r="BS292">
            <v>2.7552674230145957E-2</v>
          </cell>
          <cell r="BT292">
            <v>0.56151419558359628</v>
          </cell>
          <cell r="BU292" t="str">
            <v>-</v>
          </cell>
          <cell r="BW292">
            <v>-0.46600353124743377</v>
          </cell>
          <cell r="BX292">
            <v>0.57277053478697071</v>
          </cell>
          <cell r="BY292">
            <v>-7.763943597677625E-3</v>
          </cell>
          <cell r="BZ292">
            <v>0.64363636363636356</v>
          </cell>
          <cell r="CA292" t="str">
            <v>-</v>
          </cell>
          <cell r="CC292">
            <v>-0.45575221238938057</v>
          </cell>
          <cell r="CD292">
            <v>0.31639566395663965</v>
          </cell>
          <cell r="CE292">
            <v>2.9479377396347095E-2</v>
          </cell>
          <cell r="CF292">
            <v>0.53723599347510831</v>
          </cell>
          <cell r="CG292" t="str">
            <v>-</v>
          </cell>
          <cell r="CI292">
            <v>-0.39445185209275113</v>
          </cell>
          <cell r="CJ292">
            <v>0.25187969924812026</v>
          </cell>
          <cell r="CK292">
            <v>0.11625911625911622</v>
          </cell>
          <cell r="CL292">
            <v>0.46771714066102987</v>
          </cell>
          <cell r="CM292" t="str">
            <v>-</v>
          </cell>
          <cell r="CO292">
            <v>-0.38989264205289342</v>
          </cell>
          <cell r="CP292">
            <v>0.38454935622317588</v>
          </cell>
          <cell r="CQ292">
            <v>-1.6738995660260381E-2</v>
          </cell>
          <cell r="CR292">
            <v>0.53467843631778056</v>
          </cell>
          <cell r="CS292" t="str">
            <v>-</v>
          </cell>
          <cell r="CU292">
            <v>-0.36565324568611335</v>
          </cell>
          <cell r="CV292">
            <v>0.13082901554404147</v>
          </cell>
          <cell r="CW292">
            <v>1.9473081328751363E-2</v>
          </cell>
          <cell r="CX292">
            <v>0.30505617977528088</v>
          </cell>
          <cell r="CY292" t="str">
            <v>-</v>
          </cell>
          <cell r="DA292">
            <v>-0.33706414119672834</v>
          </cell>
          <cell r="DB292">
            <v>0.27337662337662327</v>
          </cell>
          <cell r="DC292">
            <v>-7.955124936257163E-3</v>
          </cell>
          <cell r="DE292" t="str">
            <v>-</v>
          </cell>
          <cell r="DG292">
            <v>-0.30144043048856506</v>
          </cell>
          <cell r="DH292">
            <v>0.25739783936120242</v>
          </cell>
          <cell r="DI292">
            <v>3.2125513634665648E-2</v>
          </cell>
          <cell r="DJ292">
            <v>0.4013753166847629</v>
          </cell>
          <cell r="DK292" t="str">
            <v>-</v>
          </cell>
          <cell r="DM292">
            <v>-0.36337809917355368</v>
          </cell>
          <cell r="DN292">
            <v>0.12941176470588234</v>
          </cell>
          <cell r="DO292">
            <v>0.12368505747126446</v>
          </cell>
          <cell r="DP292">
            <v>0.3243959286767879</v>
          </cell>
          <cell r="DQ292" t="str">
            <v>-</v>
          </cell>
          <cell r="DS292">
            <v>-0.36908055945803875</v>
          </cell>
          <cell r="DT292">
            <v>0.19433817903596018</v>
          </cell>
          <cell r="DU292">
            <v>-4.484304932735439E-3</v>
          </cell>
          <cell r="DV292">
            <v>0.32368082368082374</v>
          </cell>
          <cell r="DW292" t="str">
            <v>-</v>
          </cell>
          <cell r="DY292">
            <v>-0.32887700534759357</v>
          </cell>
          <cell r="DZ292">
            <v>0.14270191959434997</v>
          </cell>
          <cell r="EA292">
            <v>-1.3312202852614918E-2</v>
          </cell>
          <cell r="EB292">
            <v>0.34436235142948934</v>
          </cell>
          <cell r="EC292" t="str">
            <v>-</v>
          </cell>
          <cell r="EE292">
            <v>-0.32951015531660688</v>
          </cell>
          <cell r="EF292">
            <v>0.11083392729864583</v>
          </cell>
          <cell r="EG292">
            <v>-1.4757779916586444E-2</v>
          </cell>
          <cell r="EH292">
            <v>0.13839140345164447</v>
          </cell>
          <cell r="EI292" t="str">
            <v>-</v>
          </cell>
          <cell r="EK292">
            <v>-0.32866132723112129</v>
          </cell>
          <cell r="EL292">
            <v>0.16531742650191728</v>
          </cell>
          <cell r="EM292">
            <v>-3.8380523921105025E-2</v>
          </cell>
          <cell r="EN292">
            <v>0.30034813701428953</v>
          </cell>
          <cell r="EO292" t="str">
            <v>-</v>
          </cell>
          <cell r="EQ292">
            <v>-0.27377166769976913</v>
          </cell>
          <cell r="ER292">
            <v>7.3032968980152768E-2</v>
          </cell>
          <cell r="ES292">
            <v>6.5536896116380472E-3</v>
          </cell>
          <cell r="ET292">
            <v>0.25284807248912466</v>
          </cell>
          <cell r="EU292" t="str">
            <v>-</v>
          </cell>
          <cell r="EW292">
            <v>-0.25057087615169937</v>
          </cell>
          <cell r="EX292">
            <v>6.8333047804191471E-2</v>
          </cell>
          <cell r="EY292">
            <v>2.7724254926297709E-2</v>
          </cell>
          <cell r="EZ292">
            <v>0.1905273277160644</v>
          </cell>
          <cell r="FA292" t="str">
            <v>-</v>
          </cell>
        </row>
        <row r="293">
          <cell r="C293" t="str">
            <v>-</v>
          </cell>
          <cell r="D293" t="str">
            <v>-</v>
          </cell>
          <cell r="E293" t="str">
            <v>-</v>
          </cell>
          <cell r="F293" t="str">
            <v>-</v>
          </cell>
          <cell r="G293" t="str">
            <v>-</v>
          </cell>
          <cell r="H293" t="str">
            <v>-</v>
          </cell>
          <cell r="I293" t="str">
            <v>-</v>
          </cell>
          <cell r="J293" t="str">
            <v>-</v>
          </cell>
          <cell r="K293" t="str">
            <v>-</v>
          </cell>
          <cell r="L293" t="str">
            <v>-</v>
          </cell>
          <cell r="M293" t="str">
            <v>-</v>
          </cell>
          <cell r="O293" t="str">
            <v>-</v>
          </cell>
          <cell r="P293">
            <v>1</v>
          </cell>
          <cell r="Q293">
            <v>0</v>
          </cell>
          <cell r="R293">
            <v>0.5</v>
          </cell>
          <cell r="S293" t="str">
            <v>-</v>
          </cell>
          <cell r="U293">
            <v>-0.66666666666666663</v>
          </cell>
          <cell r="V293">
            <v>1</v>
          </cell>
          <cell r="W293">
            <v>0</v>
          </cell>
          <cell r="X293">
            <v>1</v>
          </cell>
          <cell r="Y293" t="str">
            <v>-</v>
          </cell>
          <cell r="AA293">
            <v>-0.5</v>
          </cell>
          <cell r="AB293">
            <v>0.5</v>
          </cell>
          <cell r="AC293">
            <v>0</v>
          </cell>
          <cell r="AD293">
            <v>1</v>
          </cell>
          <cell r="AE293" t="str">
            <v>-</v>
          </cell>
          <cell r="AG293">
            <v>-0.5</v>
          </cell>
          <cell r="AH293">
            <v>0</v>
          </cell>
          <cell r="AI293">
            <v>0.33333333333333348</v>
          </cell>
          <cell r="AJ293">
            <v>0.75000000000000022</v>
          </cell>
          <cell r="AK293" t="str">
            <v>-</v>
          </cell>
          <cell r="AM293">
            <v>-0.57142857142857151</v>
          </cell>
          <cell r="AN293">
            <v>0.66666666666666674</v>
          </cell>
          <cell r="AO293">
            <v>0</v>
          </cell>
          <cell r="AP293">
            <v>0.79999999999999982</v>
          </cell>
          <cell r="AQ293" t="str">
            <v>-</v>
          </cell>
          <cell r="AS293">
            <v>-0.55555555555555558</v>
          </cell>
          <cell r="AT293">
            <v>0.5</v>
          </cell>
          <cell r="AU293">
            <v>1.166666666666667</v>
          </cell>
          <cell r="AV293">
            <v>5.3076923076923075</v>
          </cell>
          <cell r="AW293" t="str">
            <v>-</v>
          </cell>
          <cell r="AY293">
            <v>-0.90243902439024393</v>
          </cell>
          <cell r="AZ293">
            <v>0.375</v>
          </cell>
          <cell r="BA293">
            <v>-9.0909090909090828E-2</v>
          </cell>
          <cell r="BB293">
            <v>0.49999999999999978</v>
          </cell>
          <cell r="BC293" t="str">
            <v>-</v>
          </cell>
          <cell r="BE293">
            <v>-0.4</v>
          </cell>
          <cell r="BF293">
            <v>0.11111111111111116</v>
          </cell>
          <cell r="BG293">
            <v>-0.10000000000000009</v>
          </cell>
          <cell r="BH293">
            <v>0.33333333333333326</v>
          </cell>
          <cell r="BI293" t="str">
            <v>-</v>
          </cell>
          <cell r="BK293">
            <v>-0.5</v>
          </cell>
          <cell r="BL293">
            <v>0.66666666666666674</v>
          </cell>
          <cell r="BM293">
            <v>9.9999999999999867E-2</v>
          </cell>
          <cell r="BN293">
            <v>0.45454545454545459</v>
          </cell>
          <cell r="BO293" t="str">
            <v>-</v>
          </cell>
          <cell r="BQ293">
            <v>-0.48568750000000005</v>
          </cell>
          <cell r="BR293">
            <v>0.40490946652084103</v>
          </cell>
          <cell r="BS293">
            <v>2.7506271083816314E-2</v>
          </cell>
          <cell r="BT293">
            <v>0.57748968768414843</v>
          </cell>
          <cell r="BU293" t="str">
            <v>-</v>
          </cell>
          <cell r="BW293">
            <v>-0.46171087037728797</v>
          </cell>
          <cell r="BX293">
            <v>0.57965698423713707</v>
          </cell>
          <cell r="BY293">
            <v>-1.0041420861051975E-2</v>
          </cell>
          <cell r="BZ293">
            <v>0.64244960060859646</v>
          </cell>
          <cell r="CA293" t="str">
            <v>-</v>
          </cell>
          <cell r="CC293">
            <v>-0.45680870773506255</v>
          </cell>
          <cell r="CD293">
            <v>0.31791373552192148</v>
          </cell>
          <cell r="CE293">
            <v>1.6660376341187222E-2</v>
          </cell>
          <cell r="CF293">
            <v>0.51750106067034363</v>
          </cell>
          <cell r="CG293" t="str">
            <v>-</v>
          </cell>
          <cell r="CI293">
            <v>-0.38690850632557494</v>
          </cell>
          <cell r="CJ293">
            <v>0.2528073875619905</v>
          </cell>
          <cell r="CK293">
            <v>0.12494312494312476</v>
          </cell>
          <cell r="CL293">
            <v>0.47840155314674004</v>
          </cell>
          <cell r="CM293" t="str">
            <v>-</v>
          </cell>
          <cell r="CO293">
            <v>-0.38941781571459844</v>
          </cell>
          <cell r="CP293">
            <v>0.38112734115960234</v>
          </cell>
          <cell r="CQ293">
            <v>-8.045678691928515E-3</v>
          </cell>
          <cell r="CR293">
            <v>0.52122579801151248</v>
          </cell>
          <cell r="CS293" t="str">
            <v>-</v>
          </cell>
          <cell r="CU293">
            <v>-0.36589770601767246</v>
          </cell>
          <cell r="CV293">
            <v>0.14128297280802893</v>
          </cell>
          <cell r="CW293">
            <v>4.5898814651970987E-2</v>
          </cell>
          <cell r="CX293">
            <v>0.30841333863545994</v>
          </cell>
          <cell r="CY293" t="str">
            <v>-</v>
          </cell>
          <cell r="DA293">
            <v>-0.3396795762417506</v>
          </cell>
          <cell r="DB293">
            <v>0.27310385639609414</v>
          </cell>
          <cell r="DC293">
            <v>-1.0303687635574876E-2</v>
          </cell>
          <cell r="DE293" t="str">
            <v>-</v>
          </cell>
          <cell r="DG293">
            <v>-0.3004709733449128</v>
          </cell>
          <cell r="DH293">
            <v>0.24903903545421979</v>
          </cell>
          <cell r="DI293">
            <v>2.5709152075847008E-2</v>
          </cell>
          <cell r="DJ293">
            <v>0.39730903263077466</v>
          </cell>
          <cell r="DK293" t="str">
            <v>-</v>
          </cell>
          <cell r="DM293">
            <v>-0.36165161840999716</v>
          </cell>
          <cell r="DN293">
            <v>0.13536269430051795</v>
          </cell>
          <cell r="DO293">
            <v>0.13319102736322996</v>
          </cell>
          <cell r="DP293">
            <v>0.338367353566847</v>
          </cell>
          <cell r="DQ293" t="str">
            <v>-</v>
          </cell>
          <cell r="DS293">
            <v>-0.35783445363876831</v>
          </cell>
          <cell r="DT293">
            <v>0.21174847900842697</v>
          </cell>
          <cell r="DU293">
            <v>7.1102240656135685E-3</v>
          </cell>
          <cell r="DV293">
            <v>0.3392528139466473</v>
          </cell>
          <cell r="DW293" t="str">
            <v>-</v>
          </cell>
          <cell r="DY293">
            <v>-0.31710616062242059</v>
          </cell>
          <cell r="DZ293">
            <v>0.16109427637927243</v>
          </cell>
          <cell r="EA293">
            <v>-7.916952192106308E-3</v>
          </cell>
          <cell r="EB293">
            <v>0.34612897536887877</v>
          </cell>
          <cell r="EC293" t="str">
            <v>-</v>
          </cell>
          <cell r="EE293">
            <v>-0.32642255120310926</v>
          </cell>
          <cell r="EF293">
            <v>0.12144836864029029</v>
          </cell>
          <cell r="EG293">
            <v>-1.2342824107529959E-2</v>
          </cell>
          <cell r="EH293">
            <v>0.14629185202528694</v>
          </cell>
          <cell r="EI293" t="str">
            <v>-</v>
          </cell>
          <cell r="EK293">
            <v>-0.32089923786909735</v>
          </cell>
          <cell r="EL293">
            <v>0.19123618317166713</v>
          </cell>
          <cell r="EM293">
            <v>-3.2539569821205871E-2</v>
          </cell>
          <cell r="EN293">
            <v>0.31356941295447505</v>
          </cell>
          <cell r="EO293" t="str">
            <v>-</v>
          </cell>
          <cell r="EQ293">
            <v>-0.2668910109150513</v>
          </cell>
          <cell r="ER293">
            <v>7.9474236932145281E-2</v>
          </cell>
          <cell r="ES293">
            <v>1.3227679271928583E-2</v>
          </cell>
          <cell r="ET293">
            <v>0.26535858640608301</v>
          </cell>
          <cell r="EU293" t="str">
            <v>-</v>
          </cell>
          <cell r="EW293">
            <v>-0.24374602242130516</v>
          </cell>
          <cell r="EX293">
            <v>7.3973977213878772E-2</v>
          </cell>
          <cell r="EY293">
            <v>3.3814022874191885E-2</v>
          </cell>
          <cell r="EZ293">
            <v>0.20191817161514147</v>
          </cell>
          <cell r="FA293" t="str">
            <v>-</v>
          </cell>
        </row>
        <row r="294">
          <cell r="CG294">
            <v>0</v>
          </cell>
          <cell r="CM294">
            <v>0</v>
          </cell>
          <cell r="CS294">
            <v>0</v>
          </cell>
          <cell r="CY294">
            <v>0</v>
          </cell>
          <cell r="DE294">
            <v>0</v>
          </cell>
          <cell r="DK294">
            <v>0</v>
          </cell>
          <cell r="DQ294">
            <v>0</v>
          </cell>
          <cell r="DW294">
            <v>0</v>
          </cell>
          <cell r="EC294">
            <v>0</v>
          </cell>
          <cell r="EI294">
            <v>0</v>
          </cell>
          <cell r="EO294">
            <v>0</v>
          </cell>
          <cell r="EU294">
            <v>0</v>
          </cell>
          <cell r="FA294">
            <v>0</v>
          </cell>
        </row>
        <row r="295">
          <cell r="CG295">
            <v>0</v>
          </cell>
          <cell r="CM295">
            <v>0</v>
          </cell>
          <cell r="CS295">
            <v>0</v>
          </cell>
          <cell r="CY295">
            <v>0</v>
          </cell>
          <cell r="DE295">
            <v>0</v>
          </cell>
          <cell r="DK295">
            <v>0</v>
          </cell>
          <cell r="DQ295">
            <v>0</v>
          </cell>
          <cell r="DW295">
            <v>0</v>
          </cell>
          <cell r="EC295">
            <v>0</v>
          </cell>
          <cell r="EI295">
            <v>0</v>
          </cell>
          <cell r="EO295">
            <v>0</v>
          </cell>
          <cell r="EU295">
            <v>0</v>
          </cell>
          <cell r="FA295">
            <v>0</v>
          </cell>
        </row>
        <row r="296">
          <cell r="C296">
            <v>1</v>
          </cell>
          <cell r="D296">
            <v>1</v>
          </cell>
          <cell r="E296">
            <v>1</v>
          </cell>
          <cell r="F296">
            <v>1</v>
          </cell>
          <cell r="G296">
            <v>0.72820111090236894</v>
          </cell>
          <cell r="H296">
            <v>0.71587872559095589</v>
          </cell>
          <cell r="I296">
            <v>0.7251977869684304</v>
          </cell>
          <cell r="J296">
            <v>0.62793484890787377</v>
          </cell>
          <cell r="K296">
            <v>0.5572519083969466</v>
          </cell>
          <cell r="L296">
            <v>0.53626081170991347</v>
          </cell>
          <cell r="M296">
            <v>0.5491850423781961</v>
          </cell>
          <cell r="O296">
            <v>0.50316816239393036</v>
          </cell>
          <cell r="P296">
            <v>0.5117264426806708</v>
          </cell>
          <cell r="Q296">
            <v>0.51921439400757363</v>
          </cell>
          <cell r="R296">
            <v>0.5973205066614008</v>
          </cell>
          <cell r="S296">
            <v>0.54130975388944214</v>
          </cell>
          <cell r="U296">
            <v>0.45348359620265793</v>
          </cell>
          <cell r="V296">
            <v>0.50164426059979317</v>
          </cell>
          <cell r="W296">
            <v>0.50478368303897414</v>
          </cell>
          <cell r="X296">
            <v>0.60311159135398895</v>
          </cell>
          <cell r="Y296">
            <v>0.52877780293034815</v>
          </cell>
          <cell r="AA296">
            <v>0.42222653016813344</v>
          </cell>
          <cell r="AB296">
            <v>0.46245194921658445</v>
          </cell>
          <cell r="AC296">
            <v>0.48393611309232831</v>
          </cell>
          <cell r="AD296">
            <v>0.56848633312303554</v>
          </cell>
          <cell r="AE296">
            <v>0.49653116916382151</v>
          </cell>
          <cell r="AG296">
            <v>0.36920343534761124</v>
          </cell>
          <cell r="AH296">
            <v>0.38492756209693463</v>
          </cell>
          <cell r="AI296">
            <v>0.43070192142190133</v>
          </cell>
          <cell r="AJ296">
            <v>0.50126277018577414</v>
          </cell>
          <cell r="AK296">
            <v>0.43240738731764944</v>
          </cell>
          <cell r="AM296">
            <v>0.31879813162122456</v>
          </cell>
          <cell r="AN296">
            <v>0.36248409489752637</v>
          </cell>
          <cell r="AO296">
            <v>0.38703124699363128</v>
          </cell>
          <cell r="AP296">
            <v>0.5039962246175862</v>
          </cell>
          <cell r="AQ296">
            <v>0.40679341656950541</v>
          </cell>
          <cell r="AS296">
            <v>0.30367389143050927</v>
          </cell>
          <cell r="AT296">
            <v>0.37778432418860036</v>
          </cell>
          <cell r="AU296">
            <v>0.4258995402173088</v>
          </cell>
          <cell r="AV296">
            <v>0.53107331572973437</v>
          </cell>
          <cell r="AW296">
            <v>0.42595996812676012</v>
          </cell>
          <cell r="AY296">
            <v>0.33708378350973256</v>
          </cell>
          <cell r="AZ296">
            <v>0.40693483640608574</v>
          </cell>
          <cell r="BA296">
            <v>0.40836041604384476</v>
          </cell>
          <cell r="BB296">
            <v>0.49190482124349971</v>
          </cell>
          <cell r="BC296">
            <v>0.41821109470095502</v>
          </cell>
          <cell r="BE296">
            <v>0.31394734344199154</v>
          </cell>
          <cell r="BF296">
            <v>0.33749727466007295</v>
          </cell>
          <cell r="BG296">
            <v>0.34480366747732238</v>
          </cell>
          <cell r="BH296">
            <v>0.41455871543460465</v>
          </cell>
          <cell r="BI296">
            <v>0.35578451849429638</v>
          </cell>
          <cell r="BK296">
            <v>0.27761341222879682</v>
          </cell>
          <cell r="BL296">
            <v>0.33131225638804679</v>
          </cell>
          <cell r="BM296">
            <v>0.32726484612050283</v>
          </cell>
          <cell r="BN296">
            <v>0.4192272374090556</v>
          </cell>
          <cell r="BO296">
            <v>0.3451041644679908</v>
          </cell>
          <cell r="BQ296">
            <v>0.2533783783783784</v>
          </cell>
          <cell r="BR296">
            <v>0.34227381905524418</v>
          </cell>
          <cell r="BS296">
            <v>0.33758469509764849</v>
          </cell>
          <cell r="BT296">
            <v>0.42703932401689959</v>
          </cell>
          <cell r="BU296">
            <v>0.34866089011421819</v>
          </cell>
          <cell r="BW296">
            <v>0.25417607223476296</v>
          </cell>
          <cell r="BX296">
            <v>0.35232220609579101</v>
          </cell>
          <cell r="BY296">
            <v>0.30617523440025862</v>
          </cell>
          <cell r="BZ296">
            <v>0.39679408138101108</v>
          </cell>
          <cell r="CA296">
            <v>0.33748659130291281</v>
          </cell>
          <cell r="CC296">
            <v>0.21637426900584794</v>
          </cell>
          <cell r="CD296">
            <v>0.31172657631113732</v>
          </cell>
          <cell r="CE296">
            <v>0.31020823902218198</v>
          </cell>
          <cell r="CF296">
            <v>0.4296131253797853</v>
          </cell>
          <cell r="CG296">
            <v>0.33199750886788876</v>
          </cell>
          <cell r="CI296">
            <v>0.21961212783392517</v>
          </cell>
          <cell r="CJ296">
            <v>0.28629032258064518</v>
          </cell>
          <cell r="CK296">
            <v>0.31242975949651608</v>
          </cell>
          <cell r="CL296">
            <v>0.42172361040285566</v>
          </cell>
          <cell r="CM296">
            <v>0.32302707452358725</v>
          </cell>
          <cell r="CO296">
            <v>0.23666448944045287</v>
          </cell>
          <cell r="CP296">
            <v>0.31096196868008946</v>
          </cell>
          <cell r="CQ296">
            <v>0.30087506981940049</v>
          </cell>
          <cell r="CR296">
            <v>0.43180881747012773</v>
          </cell>
          <cell r="CS296">
            <v>0.33238975629174222</v>
          </cell>
          <cell r="CU296">
            <v>0.22777572851346367</v>
          </cell>
          <cell r="CV296">
            <v>0.28591524529628981</v>
          </cell>
          <cell r="CW296">
            <v>0.2754360465116279</v>
          </cell>
          <cell r="CX296">
            <v>0.39877924720244151</v>
          </cell>
          <cell r="CY296">
            <v>0.30309866348855025</v>
          </cell>
          <cell r="DA296">
            <v>0.20304167489630653</v>
          </cell>
          <cell r="DB296">
            <v>0.28150544959128065</v>
          </cell>
          <cell r="DC296">
            <v>0.26561968652425266</v>
          </cell>
          <cell r="DE296">
            <v>0.27868646293378307</v>
          </cell>
          <cell r="DG296">
            <v>0.1694781233526621</v>
          </cell>
          <cell r="DH296">
            <v>0.22992868645042558</v>
          </cell>
          <cell r="DI296">
            <v>0.25139093902577497</v>
          </cell>
          <cell r="DJ296">
            <v>0.34573385156394598</v>
          </cell>
          <cell r="DK296">
            <v>0.25727817244741608</v>
          </cell>
          <cell r="DM296">
            <v>0.17837580376280066</v>
          </cell>
          <cell r="DN296">
            <v>0.2324367268187493</v>
          </cell>
          <cell r="DO296">
            <v>0.26196326882136567</v>
          </cell>
          <cell r="DP296">
            <v>0.36593073615172939</v>
          </cell>
          <cell r="DQ296">
            <v>0.26670070505946225</v>
          </cell>
          <cell r="DS296">
            <v>0.20855158971860152</v>
          </cell>
          <cell r="DT296">
            <v>0.27597937013058266</v>
          </cell>
          <cell r="DU296">
            <v>0.27290969899665551</v>
          </cell>
          <cell r="DV296">
            <v>0.37834139220874008</v>
          </cell>
          <cell r="DW296">
            <v>0.29050009395216492</v>
          </cell>
          <cell r="DY296">
            <v>0.21059539434435032</v>
          </cell>
          <cell r="DZ296">
            <v>0.26715501454271251</v>
          </cell>
          <cell r="EA296">
            <v>0.27278582930756845</v>
          </cell>
          <cell r="EB296">
            <v>0.37294720113014301</v>
          </cell>
          <cell r="EC296">
            <v>0.28742983944654743</v>
          </cell>
          <cell r="EE296">
            <v>0.21479241772299104</v>
          </cell>
          <cell r="EF296">
            <v>0.2668609492089925</v>
          </cell>
          <cell r="EG296">
            <v>0.26912363402614098</v>
          </cell>
          <cell r="EH296">
            <v>0.34699402539208363</v>
          </cell>
          <cell r="EI296">
            <v>0.27814811910176979</v>
          </cell>
          <cell r="EK296">
            <v>0.20861436516388593</v>
          </cell>
          <cell r="EL296">
            <v>0.25889284126278345</v>
          </cell>
          <cell r="EM296">
            <v>0.26153618409737434</v>
          </cell>
          <cell r="EN296">
            <v>0.33469285542017752</v>
          </cell>
          <cell r="EO296">
            <v>0.26936067745992154</v>
          </cell>
          <cell r="EQ296">
            <v>0.21633676973423074</v>
          </cell>
          <cell r="ER296">
            <v>0.26168426775708009</v>
          </cell>
          <cell r="ES296">
            <v>0.26829579661820258</v>
          </cell>
          <cell r="ET296">
            <v>0.33329575537279243</v>
          </cell>
          <cell r="EU296">
            <v>0.27263162609758201</v>
          </cell>
          <cell r="EW296">
            <v>0.23592387710043489</v>
          </cell>
          <cell r="EX296">
            <v>0.27683378079743259</v>
          </cell>
          <cell r="EY296">
            <v>0.28547540223233125</v>
          </cell>
          <cell r="EZ296">
            <v>0.34171349734087725</v>
          </cell>
          <cell r="FA296">
            <v>0.28715743264245142</v>
          </cell>
        </row>
        <row r="297"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0</v>
          </cell>
          <cell r="S297">
            <v>0</v>
          </cell>
          <cell r="U297">
            <v>0</v>
          </cell>
          <cell r="V297">
            <v>0</v>
          </cell>
          <cell r="W297">
            <v>0</v>
          </cell>
          <cell r="X297">
            <v>0</v>
          </cell>
          <cell r="Y297">
            <v>0</v>
          </cell>
          <cell r="AA297">
            <v>0</v>
          </cell>
          <cell r="AB297">
            <v>0</v>
          </cell>
          <cell r="AC297">
            <v>0</v>
          </cell>
          <cell r="AD297">
            <v>0</v>
          </cell>
          <cell r="AE297">
            <v>0</v>
          </cell>
          <cell r="AG297">
            <v>0</v>
          </cell>
          <cell r="AH297">
            <v>0</v>
          </cell>
          <cell r="AI297">
            <v>0</v>
          </cell>
          <cell r="AJ297">
            <v>0</v>
          </cell>
          <cell r="AK297">
            <v>0</v>
          </cell>
          <cell r="AM297">
            <v>0</v>
          </cell>
          <cell r="AN297">
            <v>0</v>
          </cell>
          <cell r="AO297">
            <v>0</v>
          </cell>
          <cell r="AP297">
            <v>0</v>
          </cell>
          <cell r="AQ297">
            <v>0</v>
          </cell>
          <cell r="AS297">
            <v>0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Y297">
            <v>0.26910889548564854</v>
          </cell>
          <cell r="AZ297">
            <v>0.30297780530731</v>
          </cell>
          <cell r="BA297">
            <v>0.31584622312098165</v>
          </cell>
          <cell r="BB297">
            <v>0.38917674448290851</v>
          </cell>
          <cell r="BC297">
            <v>0.32494873498863036</v>
          </cell>
          <cell r="BE297">
            <v>0.24952021032601859</v>
          </cell>
          <cell r="BF297">
            <v>0.26896658050601635</v>
          </cell>
          <cell r="BG297">
            <v>0.27917916674063165</v>
          </cell>
          <cell r="BH297">
            <v>0.32598276628426798</v>
          </cell>
          <cell r="BI297">
            <v>0.2831431417998917</v>
          </cell>
          <cell r="BK297">
            <v>0.22287968441814596</v>
          </cell>
          <cell r="BL297">
            <v>0.28453876136855782</v>
          </cell>
          <cell r="BM297">
            <v>0.26657997399219768</v>
          </cell>
          <cell r="BN297">
            <v>0.33234442325351415</v>
          </cell>
          <cell r="BO297">
            <v>0.28125461721932582</v>
          </cell>
          <cell r="BQ297">
            <v>0.20173745173745175</v>
          </cell>
          <cell r="BR297">
            <v>0.28742994395516414</v>
          </cell>
          <cell r="BS297">
            <v>0.28178557194101234</v>
          </cell>
          <cell r="BT297">
            <v>0.35196620084497887</v>
          </cell>
          <cell r="BU297">
            <v>0.28810555336746752</v>
          </cell>
          <cell r="BW297">
            <v>0.22302483069977427</v>
          </cell>
          <cell r="BX297">
            <v>0.27431059506531202</v>
          </cell>
          <cell r="BY297">
            <v>0.25703200775945684</v>
          </cell>
          <cell r="BZ297">
            <v>0.31048088779284833</v>
          </cell>
          <cell r="CA297">
            <v>0.27262975493027475</v>
          </cell>
          <cell r="CC297">
            <v>0.17268661850705194</v>
          </cell>
          <cell r="CD297">
            <v>0.23335297583971715</v>
          </cell>
          <cell r="CE297">
            <v>0.23409913988229966</v>
          </cell>
          <cell r="CF297">
            <v>0.29977719262710145</v>
          </cell>
          <cell r="CG297">
            <v>0.243792477864125</v>
          </cell>
          <cell r="CI297">
            <v>0.15733406173176728</v>
          </cell>
          <cell r="CJ297">
            <v>0.20564516129032259</v>
          </cell>
          <cell r="CK297">
            <v>0.21735221398066981</v>
          </cell>
          <cell r="CL297">
            <v>0.29831718510963795</v>
          </cell>
          <cell r="CM297">
            <v>0.22873304409907189</v>
          </cell>
          <cell r="CO297">
            <v>0.15480078380143697</v>
          </cell>
          <cell r="CP297">
            <v>0.20786726323639076</v>
          </cell>
          <cell r="CQ297">
            <v>0.21690560417054552</v>
          </cell>
          <cell r="CR297">
            <v>0.29597582749622303</v>
          </cell>
          <cell r="CS297">
            <v>0.22760847450130478</v>
          </cell>
          <cell r="CU297">
            <v>0.16672814459609001</v>
          </cell>
          <cell r="CV297">
            <v>0.2034464568313698</v>
          </cell>
          <cell r="CW297">
            <v>0.20348837209302326</v>
          </cell>
          <cell r="CX297">
            <v>0.28179043743641913</v>
          </cell>
          <cell r="CY297">
            <v>0.21792798161232654</v>
          </cell>
          <cell r="DA297">
            <v>0.1404305747580486</v>
          </cell>
          <cell r="DB297">
            <v>0.20010217983651227</v>
          </cell>
          <cell r="DC297">
            <v>0.19182613534485424</v>
          </cell>
          <cell r="DE297">
            <v>0.19999704091672399</v>
          </cell>
          <cell r="DG297">
            <v>0.12348444913020559</v>
          </cell>
          <cell r="DH297">
            <v>0.16333103289625028</v>
          </cell>
          <cell r="DI297">
            <v>0.17883501759963666</v>
          </cell>
          <cell r="DJ297">
            <v>0.249305941143809</v>
          </cell>
          <cell r="DK297">
            <v>0.18459395458977573</v>
          </cell>
          <cell r="DM297">
            <v>0.12741128840200047</v>
          </cell>
          <cell r="DN297">
            <v>0.16785835886959483</v>
          </cell>
          <cell r="DO297">
            <v>0.18935508395006886</v>
          </cell>
          <cell r="DP297">
            <v>0.24848952659567147</v>
          </cell>
          <cell r="DQ297">
            <v>0.1876872293286394</v>
          </cell>
          <cell r="DS297">
            <v>0.12734681447192106</v>
          </cell>
          <cell r="DT297">
            <v>0.1803104356413914</v>
          </cell>
          <cell r="DU297">
            <v>0.18556521739130435</v>
          </cell>
          <cell r="DV297">
            <v>0.275550588449959</v>
          </cell>
          <cell r="DW297">
            <v>0.1979273883982498</v>
          </cell>
          <cell r="DY297">
            <v>0.13845399117050472</v>
          </cell>
          <cell r="DZ297">
            <v>0.17966352849294406</v>
          </cell>
          <cell r="EA297">
            <v>0.19120090177133658</v>
          </cell>
          <cell r="EB297">
            <v>0.26720383365707229</v>
          </cell>
          <cell r="EC297">
            <v>0.19933654757864511</v>
          </cell>
          <cell r="EE297">
            <v>0.1335944959879056</v>
          </cell>
          <cell r="EF297">
            <v>0.17532209620628639</v>
          </cell>
          <cell r="EG297">
            <v>0.18890358217270198</v>
          </cell>
          <cell r="EH297">
            <v>0.276869268820015</v>
          </cell>
          <cell r="EI297">
            <v>0.19769229641988864</v>
          </cell>
          <cell r="EK297">
            <v>0.14608311799019</v>
          </cell>
          <cell r="EL297">
            <v>0.1928667787194864</v>
          </cell>
          <cell r="EM297">
            <v>0.20277516117342453</v>
          </cell>
          <cell r="EN297">
            <v>0.2996455131011046</v>
          </cell>
          <cell r="EO297">
            <v>0.21463617573997965</v>
          </cell>
          <cell r="EQ297">
            <v>0.14775481107705041</v>
          </cell>
          <cell r="ER297">
            <v>0.19541756547023234</v>
          </cell>
          <cell r="ES297">
            <v>0.20677605713708921</v>
          </cell>
          <cell r="ET297">
            <v>0.30807583021457896</v>
          </cell>
          <cell r="EU297">
            <v>0.21836475771452213</v>
          </cell>
          <cell r="EW297">
            <v>0.15156015379953788</v>
          </cell>
          <cell r="EX297">
            <v>0.20003732341616867</v>
          </cell>
          <cell r="EY297">
            <v>0.21166060542609591</v>
          </cell>
          <cell r="EZ297">
            <v>0.31840245284810192</v>
          </cell>
          <cell r="FA297">
            <v>0.223959410052776</v>
          </cell>
        </row>
        <row r="298"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0</v>
          </cell>
          <cell r="S298">
            <v>0</v>
          </cell>
          <cell r="U298">
            <v>0</v>
          </cell>
          <cell r="V298">
            <v>0</v>
          </cell>
          <cell r="W298">
            <v>0</v>
          </cell>
          <cell r="X298">
            <v>0</v>
          </cell>
          <cell r="Y298">
            <v>0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0</v>
          </cell>
          <cell r="AQ298">
            <v>0</v>
          </cell>
          <cell r="AS298">
            <v>0</v>
          </cell>
          <cell r="AT298">
            <v>0</v>
          </cell>
          <cell r="AU298">
            <v>0</v>
          </cell>
          <cell r="AV298">
            <v>0</v>
          </cell>
          <cell r="AW298">
            <v>0</v>
          </cell>
          <cell r="AY298">
            <v>6.7974888024083996E-2</v>
          </cell>
          <cell r="AZ298">
            <v>0.10395703109877577</v>
          </cell>
          <cell r="BA298">
            <v>9.2514192922863059E-2</v>
          </cell>
          <cell r="BB298">
            <v>0.10272807676059122</v>
          </cell>
          <cell r="BC298">
            <v>9.3262359712324744E-2</v>
          </cell>
          <cell r="BE298">
            <v>6.4427133115972909E-2</v>
          </cell>
          <cell r="BF298">
            <v>6.853069415405659E-2</v>
          </cell>
          <cell r="BG298">
            <v>6.5624500736690752E-2</v>
          </cell>
          <cell r="BH298">
            <v>8.8575949150336633E-2</v>
          </cell>
          <cell r="BI298">
            <v>7.2641376694404611E-2</v>
          </cell>
          <cell r="BK298">
            <v>5.473372781065089E-2</v>
          </cell>
          <cell r="BL298">
            <v>4.6773495019488957E-2</v>
          </cell>
          <cell r="BM298">
            <v>6.0684872128305159E-2</v>
          </cell>
          <cell r="BN298">
            <v>8.688281415554143E-2</v>
          </cell>
          <cell r="BO298">
            <v>6.384954724866497E-2</v>
          </cell>
          <cell r="BQ298">
            <v>5.1640926640926642E-2</v>
          </cell>
          <cell r="BR298">
            <v>5.4843875100080063E-2</v>
          </cell>
          <cell r="BS298">
            <v>5.5799123156636113E-2</v>
          </cell>
          <cell r="BT298">
            <v>7.5073123171920705E-2</v>
          </cell>
          <cell r="BU298">
            <v>6.055533674675069E-2</v>
          </cell>
          <cell r="BW298">
            <v>3.1151241534988713E-2</v>
          </cell>
          <cell r="BX298">
            <v>7.8011611030478961E-2</v>
          </cell>
          <cell r="BY298">
            <v>4.9143226640801813E-2</v>
          </cell>
          <cell r="BZ298">
            <v>8.6313193588162765E-2</v>
          </cell>
          <cell r="CA298">
            <v>6.4856836372638005E-2</v>
          </cell>
          <cell r="CC298">
            <v>4.3687650498796013E-2</v>
          </cell>
          <cell r="CD298">
            <v>7.8373600471420155E-2</v>
          </cell>
          <cell r="CE298">
            <v>7.61090991398823E-2</v>
          </cell>
          <cell r="CF298">
            <v>0.12983593275268382</v>
          </cell>
          <cell r="CG298">
            <v>8.8205031003763784E-2</v>
          </cell>
          <cell r="CI298">
            <v>6.2278066102157879E-2</v>
          </cell>
          <cell r="CJ298">
            <v>8.0645161290322578E-2</v>
          </cell>
          <cell r="CK298">
            <v>9.5077545515846254E-2</v>
          </cell>
          <cell r="CL298">
            <v>0.12340642529321774</v>
          </cell>
          <cell r="CM298">
            <v>9.4294030424515354E-2</v>
          </cell>
          <cell r="CO298">
            <v>8.1863705639015891E-2</v>
          </cell>
          <cell r="CP298">
            <v>0.10309470544369873</v>
          </cell>
          <cell r="CQ298">
            <v>8.3969465648854963E-2</v>
          </cell>
          <cell r="CR298">
            <v>0.13583298997390469</v>
          </cell>
          <cell r="CS298">
            <v>0.10478128179043744</v>
          </cell>
          <cell r="CU298">
            <v>6.1047583917373666E-2</v>
          </cell>
          <cell r="CV298">
            <v>8.2468788464919993E-2</v>
          </cell>
          <cell r="CW298">
            <v>7.1947674418604654E-2</v>
          </cell>
          <cell r="CX298">
            <v>0.11698880976602238</v>
          </cell>
          <cell r="CY298">
            <v>8.5170681876223717E-2</v>
          </cell>
          <cell r="DA298">
            <v>6.261110013825795E-2</v>
          </cell>
          <cell r="DB298">
            <v>8.1403269754768387E-2</v>
          </cell>
          <cell r="DC298">
            <v>7.3793551179398398E-2</v>
          </cell>
          <cell r="DE298">
            <v>7.8689422017059113E-2</v>
          </cell>
          <cell r="DG298">
            <v>4.599367422245651E-2</v>
          </cell>
          <cell r="DH298">
            <v>6.6597653554175296E-2</v>
          </cell>
          <cell r="DI298">
            <v>7.2555921426138301E-2</v>
          </cell>
          <cell r="DJ298">
            <v>9.6427910420136959E-2</v>
          </cell>
          <cell r="DK298">
            <v>7.2684217857640343E-2</v>
          </cell>
          <cell r="DM298">
            <v>5.096451536080019E-2</v>
          </cell>
          <cell r="DN298">
            <v>6.4578367949154461E-2</v>
          </cell>
          <cell r="DO298">
            <v>7.2608184871296805E-2</v>
          </cell>
          <cell r="DP298">
            <v>0.11744120955605789</v>
          </cell>
          <cell r="DQ298">
            <v>7.9013475730822846E-2</v>
          </cell>
          <cell r="DS298">
            <v>8.1204775246680488E-2</v>
          </cell>
          <cell r="DT298">
            <v>9.5668934489191282E-2</v>
          </cell>
          <cell r="DU298">
            <v>8.7344481605351174E-2</v>
          </cell>
          <cell r="DV298">
            <v>0.10279080375878109</v>
          </cell>
          <cell r="DW298">
            <v>9.2572705553915113E-2</v>
          </cell>
          <cell r="DY298">
            <v>7.2141403173845597E-2</v>
          </cell>
          <cell r="DZ298">
            <v>8.7491486049768433E-2</v>
          </cell>
          <cell r="EA298">
            <v>8.1584927536231866E-2</v>
          </cell>
          <cell r="EB298">
            <v>0.10574336747307075</v>
          </cell>
          <cell r="EC298">
            <v>8.8093291867902351E-2</v>
          </cell>
          <cell r="EE298">
            <v>8.1197921735085457E-2</v>
          </cell>
          <cell r="EF298">
            <v>9.1538853002706116E-2</v>
          </cell>
          <cell r="EG298">
            <v>8.0220051853439014E-2</v>
          </cell>
          <cell r="EH298">
            <v>7.0124756572068639E-2</v>
          </cell>
          <cell r="EI298">
            <v>8.0455822681881131E-2</v>
          </cell>
          <cell r="EK298">
            <v>6.2531247173695931E-2</v>
          </cell>
          <cell r="EL298">
            <v>6.6026062543297057E-2</v>
          </cell>
          <cell r="EM298">
            <v>5.8761022923949822E-2</v>
          </cell>
          <cell r="EN298">
            <v>3.5047342319072895E-2</v>
          </cell>
          <cell r="EO298">
            <v>5.47245017199419E-2</v>
          </cell>
          <cell r="EQ298">
            <v>6.8581958657180336E-2</v>
          </cell>
          <cell r="ER298">
            <v>6.6266702286847723E-2</v>
          </cell>
          <cell r="ES298">
            <v>6.1519739481113368E-2</v>
          </cell>
          <cell r="ET298">
            <v>2.5219925158213502E-2</v>
          </cell>
          <cell r="EU298">
            <v>5.4266868383059878E-2</v>
          </cell>
          <cell r="EW298">
            <v>8.4363723300897003E-2</v>
          </cell>
          <cell r="EX298">
            <v>7.6796457381263922E-2</v>
          </cell>
          <cell r="EY298">
            <v>7.381479680623533E-2</v>
          </cell>
          <cell r="EZ298">
            <v>2.3311044492775306E-2</v>
          </cell>
          <cell r="FA298">
            <v>6.3198022589675412E-2</v>
          </cell>
        </row>
        <row r="299"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0</v>
          </cell>
          <cell r="S299">
            <v>0</v>
          </cell>
          <cell r="U299">
            <v>0</v>
          </cell>
          <cell r="V299">
            <v>0</v>
          </cell>
          <cell r="W299">
            <v>0</v>
          </cell>
          <cell r="X299">
            <v>0</v>
          </cell>
          <cell r="Y299">
            <v>0</v>
          </cell>
          <cell r="AA299">
            <v>0</v>
          </cell>
          <cell r="AB299">
            <v>0</v>
          </cell>
          <cell r="AC299">
            <v>0</v>
          </cell>
          <cell r="AD299">
            <v>0</v>
          </cell>
          <cell r="AE299">
            <v>0</v>
          </cell>
          <cell r="AG299">
            <v>0</v>
          </cell>
          <cell r="AH299">
            <v>0</v>
          </cell>
          <cell r="AI299">
            <v>0</v>
          </cell>
          <cell r="AJ299">
            <v>0</v>
          </cell>
          <cell r="AK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0</v>
          </cell>
          <cell r="AQ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Y299">
            <v>0.36683607285340153</v>
          </cell>
          <cell r="AZ299">
            <v>0.32489405927915643</v>
          </cell>
          <cell r="BA299">
            <v>0.33623818740073486</v>
          </cell>
          <cell r="BB299">
            <v>0.2892028824732617</v>
          </cell>
          <cell r="BC299">
            <v>0.32572569323177775</v>
          </cell>
          <cell r="BE299">
            <v>0.37224923898095191</v>
          </cell>
          <cell r="BF299">
            <v>0.37015682414615469</v>
          </cell>
          <cell r="BG299">
            <v>0.38449798519517875</v>
          </cell>
          <cell r="BH299">
            <v>0.34230191194532333</v>
          </cell>
          <cell r="BI299">
            <v>0.36599935509836712</v>
          </cell>
          <cell r="BK299">
            <v>0.44625246548323472</v>
          </cell>
          <cell r="BL299">
            <v>0.41316587267215243</v>
          </cell>
          <cell r="BM299">
            <v>0.43563068920676201</v>
          </cell>
          <cell r="BN299">
            <v>0.37628028537119446</v>
          </cell>
          <cell r="BO299">
            <v>0.41469489414694899</v>
          </cell>
          <cell r="BQ299">
            <v>0.49903474903474904</v>
          </cell>
          <cell r="BR299">
            <v>0.44595676541232987</v>
          </cell>
          <cell r="BS299">
            <v>0.4687126345157433</v>
          </cell>
          <cell r="BT299">
            <v>0.39161520961975949</v>
          </cell>
          <cell r="BU299">
            <v>0.44594328475777867</v>
          </cell>
          <cell r="BW299">
            <v>0.53092550790067716</v>
          </cell>
          <cell r="BX299">
            <v>0.45428156748911463</v>
          </cell>
          <cell r="BY299">
            <v>0.49531199482702876</v>
          </cell>
          <cell r="BZ299">
            <v>0.41701602959309492</v>
          </cell>
          <cell r="CA299">
            <v>0.46629259839920784</v>
          </cell>
          <cell r="CC299">
            <v>0.56449948400412797</v>
          </cell>
          <cell r="CD299">
            <v>0.48939304655274013</v>
          </cell>
          <cell r="CE299">
            <v>0.49994341330918968</v>
          </cell>
          <cell r="CF299">
            <v>0.39679967591654852</v>
          </cell>
          <cell r="CG299">
            <v>0.4757520781998863</v>
          </cell>
          <cell r="CI299">
            <v>0.54930346899754168</v>
          </cell>
          <cell r="CJ299">
            <v>0.48861480075901326</v>
          </cell>
          <cell r="CK299">
            <v>0.48168127669139132</v>
          </cell>
          <cell r="CL299">
            <v>0.39554648988611252</v>
          </cell>
          <cell r="CM299">
            <v>0.4690537646218903</v>
          </cell>
          <cell r="CO299">
            <v>0.53276725451774443</v>
          </cell>
          <cell r="CP299">
            <v>0.47390007457121552</v>
          </cell>
          <cell r="CQ299">
            <v>0.4926456898156768</v>
          </cell>
          <cell r="CR299">
            <v>0.39445131163301744</v>
          </cell>
          <cell r="CS299">
            <v>0.46472643637489497</v>
          </cell>
          <cell r="CU299">
            <v>0.55828107709332353</v>
          </cell>
          <cell r="CV299">
            <v>0.51521012836293301</v>
          </cell>
          <cell r="CW299">
            <v>0.53924418604651159</v>
          </cell>
          <cell r="CX299">
            <v>0.44644673739282081</v>
          </cell>
          <cell r="CY299">
            <v>0.51064101472716439</v>
          </cell>
          <cell r="DA299">
            <v>0.61742050167884654</v>
          </cell>
          <cell r="DB299">
            <v>0.55534741144414168</v>
          </cell>
          <cell r="DC299">
            <v>0.51364887006523019</v>
          </cell>
          <cell r="DE299">
            <v>0.48739800409833028</v>
          </cell>
          <cell r="DG299">
            <v>0.45795993674222457</v>
          </cell>
          <cell r="DH299">
            <v>0.42696112261329655</v>
          </cell>
          <cell r="DI299">
            <v>0.42647893720903829</v>
          </cell>
          <cell r="DJ299">
            <v>0.36812881732370906</v>
          </cell>
          <cell r="DK299">
            <v>0.41568463574313969</v>
          </cell>
          <cell r="DM299">
            <v>0.48047154084305788</v>
          </cell>
          <cell r="DN299">
            <v>0.45352400408580185</v>
          </cell>
          <cell r="DO299">
            <v>0.4488907234900234</v>
          </cell>
          <cell r="DP299">
            <v>0.37990313511135365</v>
          </cell>
          <cell r="DQ299">
            <v>0.43681744369515429</v>
          </cell>
          <cell r="DS299">
            <v>0.50493360945303933</v>
          </cell>
          <cell r="DT299">
            <v>0.46790299572039945</v>
          </cell>
          <cell r="DU299">
            <v>0.48428093645484949</v>
          </cell>
          <cell r="DV299">
            <v>0.40178815801477968</v>
          </cell>
          <cell r="DW299">
            <v>0.46055351246879445</v>
          </cell>
          <cell r="DY299">
            <v>0.52881517718649329</v>
          </cell>
          <cell r="DZ299">
            <v>0.48658838737477111</v>
          </cell>
          <cell r="EA299">
            <v>0.4900697799248524</v>
          </cell>
          <cell r="EB299">
            <v>0.41453293307434225</v>
          </cell>
          <cell r="EC299">
            <v>0.47536875081582036</v>
          </cell>
          <cell r="EE299">
            <v>0.55018025351785094</v>
          </cell>
          <cell r="EF299">
            <v>0.4967735220649459</v>
          </cell>
          <cell r="EG299">
            <v>0.49967859438611528</v>
          </cell>
          <cell r="EH299">
            <v>0.43764002987303957</v>
          </cell>
          <cell r="EI299">
            <v>0.4929286591901289</v>
          </cell>
          <cell r="EK299">
            <v>0.55579221393917877</v>
          </cell>
          <cell r="EL299">
            <v>0.5205646954201868</v>
          </cell>
          <cell r="EM299">
            <v>0.51696519507317718</v>
          </cell>
          <cell r="EN299">
            <v>0.4599552083457969</v>
          </cell>
          <cell r="EO299">
            <v>0.51069043462990005</v>
          </cell>
          <cell r="EQ299">
            <v>0.55908382064916606</v>
          </cell>
          <cell r="ER299">
            <v>0.52562039302416252</v>
          </cell>
          <cell r="ES299">
            <v>0.51971964755347444</v>
          </cell>
          <cell r="ET299">
            <v>0.46156093231266287</v>
          </cell>
          <cell r="EU299">
            <v>0.51418454595213858</v>
          </cell>
          <cell r="EW299">
            <v>0.54796119391063947</v>
          </cell>
          <cell r="EX299">
            <v>0.51705248250512847</v>
          </cell>
          <cell r="EY299">
            <v>0.51035908854222478</v>
          </cell>
          <cell r="EZ299">
            <v>0.45940033570635741</v>
          </cell>
          <cell r="FA299">
            <v>0.50685057786265175</v>
          </cell>
        </row>
        <row r="300"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0</v>
          </cell>
          <cell r="S300">
            <v>0</v>
          </cell>
          <cell r="U300">
            <v>0</v>
          </cell>
          <cell r="V300">
            <v>0</v>
          </cell>
          <cell r="W300">
            <v>0</v>
          </cell>
          <cell r="X300">
            <v>0</v>
          </cell>
          <cell r="Y300">
            <v>0</v>
          </cell>
          <cell r="AA300">
            <v>0</v>
          </cell>
          <cell r="AB300">
            <v>0</v>
          </cell>
          <cell r="AC300">
            <v>0</v>
          </cell>
          <cell r="AD300">
            <v>0</v>
          </cell>
          <cell r="AE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M300">
            <v>0</v>
          </cell>
          <cell r="AN300">
            <v>0</v>
          </cell>
          <cell r="AO300">
            <v>0</v>
          </cell>
          <cell r="AP300">
            <v>0</v>
          </cell>
          <cell r="AQ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0</v>
          </cell>
          <cell r="BK300">
            <v>0</v>
          </cell>
          <cell r="BL300">
            <v>0</v>
          </cell>
          <cell r="BM300">
            <v>0</v>
          </cell>
          <cell r="BN300">
            <v>0</v>
          </cell>
          <cell r="BO300">
            <v>0</v>
          </cell>
          <cell r="BQ300">
            <v>0</v>
          </cell>
          <cell r="BR300">
            <v>0</v>
          </cell>
          <cell r="BS300">
            <v>0</v>
          </cell>
          <cell r="BT300">
            <v>0</v>
          </cell>
          <cell r="BU300">
            <v>0</v>
          </cell>
          <cell r="BW300">
            <v>0</v>
          </cell>
          <cell r="BX300">
            <v>0</v>
          </cell>
          <cell r="BY300">
            <v>0</v>
          </cell>
          <cell r="BZ300">
            <v>0</v>
          </cell>
          <cell r="CA300">
            <v>0</v>
          </cell>
          <cell r="CC300">
            <v>0</v>
          </cell>
          <cell r="CD300">
            <v>0</v>
          </cell>
          <cell r="CE300">
            <v>0</v>
          </cell>
          <cell r="CF300">
            <v>0</v>
          </cell>
          <cell r="CG300">
            <v>0</v>
          </cell>
          <cell r="CI300">
            <v>0</v>
          </cell>
          <cell r="CJ300">
            <v>0</v>
          </cell>
          <cell r="CK300">
            <v>0</v>
          </cell>
          <cell r="CL300">
            <v>0</v>
          </cell>
          <cell r="CM300">
            <v>0</v>
          </cell>
          <cell r="CO300">
            <v>0</v>
          </cell>
          <cell r="CP300">
            <v>0</v>
          </cell>
          <cell r="CQ300">
            <v>0</v>
          </cell>
          <cell r="CR300">
            <v>0</v>
          </cell>
          <cell r="CS300">
            <v>0</v>
          </cell>
          <cell r="CU300">
            <v>0</v>
          </cell>
          <cell r="CV300">
            <v>0</v>
          </cell>
          <cell r="CW300">
            <v>0</v>
          </cell>
          <cell r="CX300">
            <v>0</v>
          </cell>
          <cell r="CY300">
            <v>0</v>
          </cell>
          <cell r="DA300">
            <v>0</v>
          </cell>
          <cell r="DB300">
            <v>0</v>
          </cell>
          <cell r="DC300">
            <v>0</v>
          </cell>
          <cell r="DE300">
            <v>0</v>
          </cell>
          <cell r="DG300">
            <v>0</v>
          </cell>
          <cell r="DH300">
            <v>0</v>
          </cell>
          <cell r="DI300">
            <v>0</v>
          </cell>
          <cell r="DJ300">
            <v>0</v>
          </cell>
          <cell r="DK300">
            <v>0</v>
          </cell>
          <cell r="DM300">
            <v>0</v>
          </cell>
          <cell r="DN300">
            <v>0</v>
          </cell>
          <cell r="DO300">
            <v>0</v>
          </cell>
          <cell r="DP300">
            <v>0</v>
          </cell>
          <cell r="DQ300">
            <v>0</v>
          </cell>
          <cell r="DS300">
            <v>0</v>
          </cell>
          <cell r="DT300">
            <v>0</v>
          </cell>
          <cell r="DU300">
            <v>0</v>
          </cell>
          <cell r="DV300">
            <v>0</v>
          </cell>
          <cell r="DW300">
            <v>0</v>
          </cell>
          <cell r="DY300">
            <v>0</v>
          </cell>
          <cell r="DZ300">
            <v>0</v>
          </cell>
          <cell r="EA300">
            <v>0</v>
          </cell>
          <cell r="EB300">
            <v>0</v>
          </cell>
          <cell r="EC300">
            <v>0</v>
          </cell>
          <cell r="EE300">
            <v>0</v>
          </cell>
          <cell r="EF300">
            <v>0</v>
          </cell>
          <cell r="EG300">
            <v>0</v>
          </cell>
          <cell r="EH300">
            <v>0</v>
          </cell>
          <cell r="EI300">
            <v>0</v>
          </cell>
          <cell r="EK300">
            <v>0</v>
          </cell>
          <cell r="EL300">
            <v>0</v>
          </cell>
          <cell r="EM300">
            <v>0</v>
          </cell>
          <cell r="EN300">
            <v>0</v>
          </cell>
          <cell r="EO300">
            <v>0</v>
          </cell>
          <cell r="EQ300">
            <v>0</v>
          </cell>
          <cell r="ER300">
            <v>0</v>
          </cell>
          <cell r="ES300">
            <v>0</v>
          </cell>
          <cell r="ET300">
            <v>0</v>
          </cell>
          <cell r="EU300">
            <v>0</v>
          </cell>
          <cell r="EW300">
            <v>0</v>
          </cell>
          <cell r="EX300">
            <v>0</v>
          </cell>
          <cell r="EY300">
            <v>0</v>
          </cell>
          <cell r="EZ300">
            <v>0</v>
          </cell>
          <cell r="FA300">
            <v>0</v>
          </cell>
        </row>
        <row r="301"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0</v>
          </cell>
          <cell r="S301">
            <v>0</v>
          </cell>
          <cell r="U301">
            <v>0</v>
          </cell>
          <cell r="V301">
            <v>0</v>
          </cell>
          <cell r="W301">
            <v>0</v>
          </cell>
          <cell r="X301">
            <v>0</v>
          </cell>
          <cell r="Y301">
            <v>0</v>
          </cell>
          <cell r="AA301">
            <v>0</v>
          </cell>
          <cell r="AB301">
            <v>0</v>
          </cell>
          <cell r="AC301">
            <v>0</v>
          </cell>
          <cell r="AD301">
            <v>0</v>
          </cell>
          <cell r="AE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M301">
            <v>0</v>
          </cell>
          <cell r="AN301">
            <v>0</v>
          </cell>
          <cell r="AO301">
            <v>0</v>
          </cell>
          <cell r="AP301">
            <v>0</v>
          </cell>
          <cell r="AQ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0</v>
          </cell>
          <cell r="BK301">
            <v>0</v>
          </cell>
          <cell r="BL301">
            <v>0</v>
          </cell>
          <cell r="BM301">
            <v>0</v>
          </cell>
          <cell r="BN301">
            <v>0</v>
          </cell>
          <cell r="BO301">
            <v>0</v>
          </cell>
          <cell r="BQ301">
            <v>0</v>
          </cell>
          <cell r="BR301">
            <v>0</v>
          </cell>
          <cell r="BS301">
            <v>0</v>
          </cell>
          <cell r="BT301">
            <v>0</v>
          </cell>
          <cell r="BU301">
            <v>0</v>
          </cell>
          <cell r="BW301">
            <v>0</v>
          </cell>
          <cell r="BX301">
            <v>0</v>
          </cell>
          <cell r="BY301">
            <v>0</v>
          </cell>
          <cell r="BZ301">
            <v>0</v>
          </cell>
          <cell r="CA301">
            <v>0</v>
          </cell>
          <cell r="CC301">
            <v>0</v>
          </cell>
          <cell r="CD301">
            <v>0</v>
          </cell>
          <cell r="CE301">
            <v>0</v>
          </cell>
          <cell r="CF301">
            <v>0</v>
          </cell>
          <cell r="CG301">
            <v>0</v>
          </cell>
          <cell r="CI301">
            <v>0</v>
          </cell>
          <cell r="CJ301">
            <v>0</v>
          </cell>
          <cell r="CK301">
            <v>0</v>
          </cell>
          <cell r="CL301">
            <v>0</v>
          </cell>
          <cell r="CM301">
            <v>0</v>
          </cell>
          <cell r="CO301">
            <v>0</v>
          </cell>
          <cell r="CP301">
            <v>0</v>
          </cell>
          <cell r="CQ301">
            <v>0</v>
          </cell>
          <cell r="CR301">
            <v>0</v>
          </cell>
          <cell r="CS301">
            <v>0</v>
          </cell>
          <cell r="CU301">
            <v>0</v>
          </cell>
          <cell r="CV301">
            <v>0</v>
          </cell>
          <cell r="CW301">
            <v>0</v>
          </cell>
          <cell r="CX301">
            <v>0</v>
          </cell>
          <cell r="CY301">
            <v>0</v>
          </cell>
          <cell r="DA301">
            <v>0.23444598064388703</v>
          </cell>
          <cell r="DB301">
            <v>0.24991485013623979</v>
          </cell>
          <cell r="DC301">
            <v>4.2198658299069471E-2</v>
          </cell>
          <cell r="DE301">
            <v>5.5704742670720606E-2</v>
          </cell>
          <cell r="DG301">
            <v>0.14219820769636268</v>
          </cell>
          <cell r="DH301">
            <v>0.1279043018173453</v>
          </cell>
          <cell r="DI301">
            <v>0.11752015442261837</v>
          </cell>
          <cell r="DJ301">
            <v>0.10707014621506571</v>
          </cell>
          <cell r="DK301">
            <v>0.12210614291684078</v>
          </cell>
          <cell r="DM301">
            <v>0.12252917361276494</v>
          </cell>
          <cell r="DN301">
            <v>0.10816025422766996</v>
          </cell>
          <cell r="DO301">
            <v>9.5891356615739998E-2</v>
          </cell>
          <cell r="DP301">
            <v>8.922244302975782E-2</v>
          </cell>
          <cell r="DQ301">
            <v>0.10284378956055419</v>
          </cell>
          <cell r="DS301">
            <v>9.4895846022658062E-2</v>
          </cell>
          <cell r="DT301">
            <v>8.0544277405903655E-2</v>
          </cell>
          <cell r="DU301">
            <v>7.4804905239687844E-2</v>
          </cell>
          <cell r="DV301">
            <v>7.7456436456527694E-2</v>
          </cell>
          <cell r="DW301">
            <v>8.1416261777574966E-2</v>
          </cell>
          <cell r="DY301">
            <v>7.9823410094260833E-2</v>
          </cell>
          <cell r="DZ301">
            <v>7.6914790477216416E-2</v>
          </cell>
          <cell r="EA301">
            <v>7.7831454643048845E-2</v>
          </cell>
          <cell r="EB301">
            <v>7.6814409323680027E-2</v>
          </cell>
          <cell r="EC301">
            <v>7.7744419788539354E-2</v>
          </cell>
          <cell r="EE301">
            <v>6.7217118269566223E-2</v>
          </cell>
          <cell r="EF301">
            <v>7.4625312239800165E-2</v>
          </cell>
          <cell r="EG301">
            <v>7.6280265695307478E-2</v>
          </cell>
          <cell r="EH301">
            <v>7.6362957430918602E-2</v>
          </cell>
          <cell r="EI301">
            <v>7.385041696076125E-2</v>
          </cell>
          <cell r="EK301">
            <v>6.7447639332623363E-2</v>
          </cell>
          <cell r="EL301">
            <v>6.3694975544686533E-2</v>
          </cell>
          <cell r="EM301">
            <v>0</v>
          </cell>
          <cell r="EN301">
            <v>0</v>
          </cell>
          <cell r="EO301">
            <v>0</v>
          </cell>
          <cell r="EQ301">
            <v>0</v>
          </cell>
          <cell r="ER301">
            <v>0</v>
          </cell>
          <cell r="ES301">
            <v>0</v>
          </cell>
          <cell r="ET301">
            <v>0</v>
          </cell>
          <cell r="EU301">
            <v>0</v>
          </cell>
          <cell r="EW301">
            <v>0</v>
          </cell>
          <cell r="EX301">
            <v>0</v>
          </cell>
          <cell r="EY301">
            <v>0</v>
          </cell>
          <cell r="EZ301">
            <v>0</v>
          </cell>
          <cell r="FA301">
            <v>0</v>
          </cell>
        </row>
        <row r="302"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0</v>
          </cell>
          <cell r="S302">
            <v>0</v>
          </cell>
          <cell r="U302">
            <v>0</v>
          </cell>
          <cell r="V302">
            <v>0</v>
          </cell>
          <cell r="W302">
            <v>0</v>
          </cell>
          <cell r="X302">
            <v>0</v>
          </cell>
          <cell r="Y302">
            <v>0</v>
          </cell>
          <cell r="AA302">
            <v>0</v>
          </cell>
          <cell r="AB302">
            <v>0</v>
          </cell>
          <cell r="AC302">
            <v>0</v>
          </cell>
          <cell r="AD302">
            <v>0</v>
          </cell>
          <cell r="AE302">
            <v>0</v>
          </cell>
          <cell r="AG302">
            <v>0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M302">
            <v>0</v>
          </cell>
          <cell r="AN302">
            <v>0</v>
          </cell>
          <cell r="AO302">
            <v>0</v>
          </cell>
          <cell r="AP302">
            <v>0</v>
          </cell>
          <cell r="AQ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0</v>
          </cell>
          <cell r="BK302">
            <v>0</v>
          </cell>
          <cell r="BL302">
            <v>0</v>
          </cell>
          <cell r="BM302">
            <v>0</v>
          </cell>
          <cell r="BN302">
            <v>0</v>
          </cell>
          <cell r="BO302">
            <v>0</v>
          </cell>
          <cell r="BQ302">
            <v>0</v>
          </cell>
          <cell r="BR302">
            <v>0</v>
          </cell>
          <cell r="BS302">
            <v>0</v>
          </cell>
          <cell r="BT302">
            <v>0</v>
          </cell>
          <cell r="BU302">
            <v>0</v>
          </cell>
          <cell r="BW302">
            <v>0</v>
          </cell>
          <cell r="BX302">
            <v>0</v>
          </cell>
          <cell r="BY302">
            <v>0</v>
          </cell>
          <cell r="BZ302">
            <v>0</v>
          </cell>
          <cell r="CA302">
            <v>0</v>
          </cell>
          <cell r="CC302">
            <v>0</v>
          </cell>
          <cell r="CD302">
            <v>0</v>
          </cell>
          <cell r="CE302">
            <v>0</v>
          </cell>
          <cell r="CF302">
            <v>0</v>
          </cell>
          <cell r="CG302">
            <v>0</v>
          </cell>
          <cell r="CI302">
            <v>0</v>
          </cell>
          <cell r="CJ302">
            <v>0</v>
          </cell>
          <cell r="CK302">
            <v>0</v>
          </cell>
          <cell r="CL302">
            <v>0</v>
          </cell>
          <cell r="CM302">
            <v>0</v>
          </cell>
          <cell r="CO302">
            <v>0</v>
          </cell>
          <cell r="CP302">
            <v>0</v>
          </cell>
          <cell r="CQ302">
            <v>0</v>
          </cell>
          <cell r="CR302">
            <v>0</v>
          </cell>
          <cell r="CS302">
            <v>0</v>
          </cell>
          <cell r="CU302">
            <v>0</v>
          </cell>
          <cell r="CV302">
            <v>0</v>
          </cell>
          <cell r="CW302">
            <v>0</v>
          </cell>
          <cell r="CX302">
            <v>0</v>
          </cell>
          <cell r="CY302">
            <v>0</v>
          </cell>
          <cell r="DA302">
            <v>0</v>
          </cell>
          <cell r="DB302">
            <v>0</v>
          </cell>
          <cell r="DC302">
            <v>3.4624540142826232E-2</v>
          </cell>
          <cell r="DE302">
            <v>3.3733549346412477E-2</v>
          </cell>
          <cell r="DG302">
            <v>8.9615181866104371E-2</v>
          </cell>
          <cell r="DH302">
            <v>7.8904991948470213E-2</v>
          </cell>
          <cell r="DI302">
            <v>7.4486204155785177E-2</v>
          </cell>
          <cell r="DJ302">
            <v>6.3575791227096057E-2</v>
          </cell>
          <cell r="DK302">
            <v>7.5470121186794817E-2</v>
          </cell>
          <cell r="DM302">
            <v>7.811383662776851E-2</v>
          </cell>
          <cell r="DN302">
            <v>7.1955510157757349E-2</v>
          </cell>
          <cell r="DO302">
            <v>6.7311539166399773E-2</v>
          </cell>
          <cell r="DP302">
            <v>5.5159012886360007E-2</v>
          </cell>
          <cell r="DQ302">
            <v>6.7272949075137853E-2</v>
          </cell>
          <cell r="DS302">
            <v>7.0410525033499816E-2</v>
          </cell>
          <cell r="DT302">
            <v>6.4742675299023375E-2</v>
          </cell>
          <cell r="DU302">
            <v>6.3768115942028983E-2</v>
          </cell>
          <cell r="DV302">
            <v>5.3462275339841256E-2</v>
          </cell>
          <cell r="DW302">
            <v>6.2437924462459396E-2</v>
          </cell>
          <cell r="DY302">
            <v>7.1232549815057875E-2</v>
          </cell>
          <cell r="DZ302">
            <v>6.6034687062372074E-2</v>
          </cell>
          <cell r="EA302">
            <v>6.4412238325281798E-2</v>
          </cell>
          <cell r="EB302">
            <v>5.2710577432456295E-2</v>
          </cell>
          <cell r="EC302">
            <v>6.2837749641039026E-2</v>
          </cell>
          <cell r="EE302">
            <v>6.8380044191185027E-2</v>
          </cell>
          <cell r="EF302">
            <v>6.4425478767693584E-2</v>
          </cell>
          <cell r="EG302">
            <v>6.299550032140562E-2</v>
          </cell>
          <cell r="EH302">
            <v>5.5078416728902166E-2</v>
          </cell>
          <cell r="EI302">
            <v>6.2348051133244452E-2</v>
          </cell>
          <cell r="EK302">
            <v>6.6146018222695543E-2</v>
          </cell>
          <cell r="EL302">
            <v>6.1138283681636284E-2</v>
          </cell>
          <cell r="EM302">
            <v>0</v>
          </cell>
          <cell r="EN302">
            <v>0</v>
          </cell>
          <cell r="EO302">
            <v>0</v>
          </cell>
          <cell r="EQ302">
            <v>0</v>
          </cell>
          <cell r="ER302">
            <v>0</v>
          </cell>
          <cell r="ES302">
            <v>0</v>
          </cell>
          <cell r="ET302">
            <v>0</v>
          </cell>
          <cell r="EU302">
            <v>0</v>
          </cell>
          <cell r="EW302">
            <v>0</v>
          </cell>
          <cell r="EX302">
            <v>0</v>
          </cell>
          <cell r="EY302">
            <v>0</v>
          </cell>
          <cell r="EZ302">
            <v>0</v>
          </cell>
          <cell r="FA302">
            <v>0</v>
          </cell>
        </row>
        <row r="303"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0</v>
          </cell>
          <cell r="S303">
            <v>0</v>
          </cell>
          <cell r="U303">
            <v>0</v>
          </cell>
          <cell r="V303">
            <v>0</v>
          </cell>
          <cell r="W303">
            <v>0</v>
          </cell>
          <cell r="X303">
            <v>0</v>
          </cell>
          <cell r="Y303">
            <v>0</v>
          </cell>
          <cell r="AA303">
            <v>0</v>
          </cell>
          <cell r="AB303">
            <v>0</v>
          </cell>
          <cell r="AC303">
            <v>0</v>
          </cell>
          <cell r="AD303">
            <v>0</v>
          </cell>
          <cell r="AE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M303">
            <v>0</v>
          </cell>
          <cell r="AN303">
            <v>0</v>
          </cell>
          <cell r="AO303">
            <v>0</v>
          </cell>
          <cell r="AP303">
            <v>0</v>
          </cell>
          <cell r="AQ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0</v>
          </cell>
          <cell r="BK303">
            <v>0</v>
          </cell>
          <cell r="BL303">
            <v>0</v>
          </cell>
          <cell r="BM303">
            <v>0</v>
          </cell>
          <cell r="BN303">
            <v>0</v>
          </cell>
          <cell r="BO303">
            <v>0</v>
          </cell>
          <cell r="BQ303">
            <v>0</v>
          </cell>
          <cell r="BR303">
            <v>0</v>
          </cell>
          <cell r="BS303">
            <v>0</v>
          </cell>
          <cell r="BT303">
            <v>0</v>
          </cell>
          <cell r="BU303">
            <v>0</v>
          </cell>
          <cell r="BW303">
            <v>0</v>
          </cell>
          <cell r="BX303">
            <v>0</v>
          </cell>
          <cell r="BY303">
            <v>0</v>
          </cell>
          <cell r="BZ303">
            <v>0</v>
          </cell>
          <cell r="CA303">
            <v>0</v>
          </cell>
          <cell r="CC303">
            <v>0</v>
          </cell>
          <cell r="CD303">
            <v>0</v>
          </cell>
          <cell r="CE303">
            <v>0</v>
          </cell>
          <cell r="CF303">
            <v>0</v>
          </cell>
          <cell r="CG303">
            <v>0</v>
          </cell>
          <cell r="CI303">
            <v>0</v>
          </cell>
          <cell r="CJ303">
            <v>0</v>
          </cell>
          <cell r="CK303">
            <v>0</v>
          </cell>
          <cell r="CL303">
            <v>0</v>
          </cell>
          <cell r="CM303">
            <v>0</v>
          </cell>
          <cell r="CO303">
            <v>0</v>
          </cell>
          <cell r="CP303">
            <v>0</v>
          </cell>
          <cell r="CQ303">
            <v>0</v>
          </cell>
          <cell r="CR303">
            <v>0</v>
          </cell>
          <cell r="CS303">
            <v>0</v>
          </cell>
          <cell r="CU303">
            <v>0</v>
          </cell>
          <cell r="CV303">
            <v>0</v>
          </cell>
          <cell r="CW303">
            <v>0</v>
          </cell>
          <cell r="CX303">
            <v>0</v>
          </cell>
          <cell r="CY303">
            <v>0</v>
          </cell>
          <cell r="DA303">
            <v>0</v>
          </cell>
          <cell r="DB303">
            <v>0</v>
          </cell>
          <cell r="DC303">
            <v>0</v>
          </cell>
          <cell r="DE303">
            <v>0</v>
          </cell>
          <cell r="DG303">
            <v>0</v>
          </cell>
          <cell r="DH303">
            <v>0</v>
          </cell>
          <cell r="DI303">
            <v>0</v>
          </cell>
          <cell r="DJ303">
            <v>0</v>
          </cell>
          <cell r="DK303">
            <v>0</v>
          </cell>
          <cell r="DM303">
            <v>0</v>
          </cell>
          <cell r="DN303">
            <v>0</v>
          </cell>
          <cell r="DO303">
            <v>0</v>
          </cell>
          <cell r="DP303">
            <v>0</v>
          </cell>
          <cell r="DQ303">
            <v>0</v>
          </cell>
          <cell r="DS303">
            <v>0</v>
          </cell>
          <cell r="DT303">
            <v>0</v>
          </cell>
          <cell r="DU303">
            <v>0</v>
          </cell>
          <cell r="DV303">
            <v>0</v>
          </cell>
          <cell r="DW303">
            <v>0</v>
          </cell>
          <cell r="DY303">
            <v>0</v>
          </cell>
          <cell r="DZ303">
            <v>0</v>
          </cell>
          <cell r="EA303">
            <v>0</v>
          </cell>
          <cell r="EB303">
            <v>0</v>
          </cell>
          <cell r="EC303">
            <v>0</v>
          </cell>
          <cell r="EE303">
            <v>0</v>
          </cell>
          <cell r="EF303">
            <v>0</v>
          </cell>
          <cell r="EG303">
            <v>0</v>
          </cell>
          <cell r="EH303">
            <v>0</v>
          </cell>
          <cell r="EI303">
            <v>0</v>
          </cell>
          <cell r="EK303">
            <v>0</v>
          </cell>
          <cell r="EL303">
            <v>0</v>
          </cell>
          <cell r="EM303">
            <v>0</v>
          </cell>
          <cell r="EN303">
            <v>0</v>
          </cell>
          <cell r="EO303">
            <v>0</v>
          </cell>
          <cell r="EQ303">
            <v>0</v>
          </cell>
          <cell r="ER303">
            <v>0</v>
          </cell>
          <cell r="ES303">
            <v>0</v>
          </cell>
          <cell r="ET303">
            <v>0</v>
          </cell>
          <cell r="EU303">
            <v>0</v>
          </cell>
          <cell r="EW303">
            <v>0</v>
          </cell>
          <cell r="EX303">
            <v>0</v>
          </cell>
          <cell r="EY303">
            <v>0</v>
          </cell>
          <cell r="EZ303">
            <v>0</v>
          </cell>
          <cell r="FA303">
            <v>0</v>
          </cell>
        </row>
        <row r="304">
          <cell r="C304" t="str">
            <v>-</v>
          </cell>
          <cell r="D304" t="str">
            <v>-</v>
          </cell>
          <cell r="E304" t="str">
            <v>-</v>
          </cell>
          <cell r="F304" t="str">
            <v>-</v>
          </cell>
          <cell r="G304" t="str">
            <v>-</v>
          </cell>
          <cell r="H304" t="str">
            <v>-</v>
          </cell>
          <cell r="I304" t="str">
            <v>-</v>
          </cell>
          <cell r="J304" t="str">
            <v>-</v>
          </cell>
          <cell r="K304">
            <v>4.4105173876166241E-2</v>
          </cell>
          <cell r="L304">
            <v>5.9880239520958084E-2</v>
          </cell>
          <cell r="M304">
            <v>3.2481371933196314E-2</v>
          </cell>
          <cell r="O304">
            <v>2.6955437271103409E-2</v>
          </cell>
          <cell r="P304">
            <v>2.8346362714089635E-2</v>
          </cell>
          <cell r="Q304">
            <v>2.0768575760302943E-2</v>
          </cell>
          <cell r="R304">
            <v>1.67013957454668E-2</v>
          </cell>
          <cell r="S304">
            <v>2.2245606324223649E-2</v>
          </cell>
          <cell r="U304">
            <v>2.0730678683550077E-2</v>
          </cell>
          <cell r="V304">
            <v>1.8614270941054809E-2</v>
          </cell>
          <cell r="W304">
            <v>1.3722274878729396E-2</v>
          </cell>
          <cell r="X304">
            <v>1.1611434941130027E-2</v>
          </cell>
          <cell r="Y304">
            <v>1.5391478709085898E-2</v>
          </cell>
          <cell r="AA304">
            <v>1.6658446725755213E-2</v>
          </cell>
          <cell r="AB304">
            <v>1.3489678375260128E-2</v>
          </cell>
          <cell r="AC304">
            <v>1.2276584878622016E-2</v>
          </cell>
          <cell r="AD304">
            <v>1.1382775736115082E-2</v>
          </cell>
          <cell r="AE304">
            <v>1.3061332053559116E-2</v>
          </cell>
          <cell r="AG304">
            <v>1.8458126221848177E-2</v>
          </cell>
          <cell r="AH304">
            <v>1.499510140190999E-2</v>
          </cell>
          <cell r="AI304">
            <v>1.2196091280835472E-2</v>
          </cell>
          <cell r="AJ304">
            <v>1.3942491626090703E-2</v>
          </cell>
          <cell r="AK304">
            <v>1.461799740056678E-2</v>
          </cell>
          <cell r="AM304">
            <v>1.4207797108243622E-2</v>
          </cell>
          <cell r="AN304">
            <v>1.0788717980645386E-2</v>
          </cell>
          <cell r="AO304">
            <v>1.0164893309987879E-2</v>
          </cell>
          <cell r="AP304">
            <v>9.9664387801627983E-3</v>
          </cell>
          <cell r="AQ304">
            <v>1.1045113473592914E-2</v>
          </cell>
          <cell r="AS304">
            <v>1.4882714534569368E-2</v>
          </cell>
          <cell r="AT304">
            <v>1.0965668812769636E-2</v>
          </cell>
          <cell r="AU304">
            <v>1.1499466403855938E-2</v>
          </cell>
          <cell r="AV304">
            <v>1.4403833672661966E-2</v>
          </cell>
          <cell r="AW304">
            <v>1.3007338110633941E-2</v>
          </cell>
          <cell r="AY304">
            <v>1.7080916366840445E-2</v>
          </cell>
          <cell r="AZ304">
            <v>1.0341318221208394E-2</v>
          </cell>
          <cell r="BA304">
            <v>1.124566126446647E-2</v>
          </cell>
          <cell r="BB304">
            <v>1.2310385596143733E-2</v>
          </cell>
          <cell r="BC304">
            <v>1.2561706870332642E-2</v>
          </cell>
          <cell r="BE304">
            <v>8.972850548882921E-3</v>
          </cell>
          <cell r="BF304">
            <v>6.6933088336301278E-3</v>
          </cell>
          <cell r="BG304">
            <v>5.6028438038094909E-3</v>
          </cell>
          <cell r="BH304">
            <v>8.1622765260468619E-3</v>
          </cell>
          <cell r="BI304">
            <v>7.3943482508102886E-3</v>
          </cell>
          <cell r="BK304">
            <v>0</v>
          </cell>
          <cell r="BL304">
            <v>0</v>
          </cell>
          <cell r="BM304">
            <v>0</v>
          </cell>
          <cell r="BN304">
            <v>0</v>
          </cell>
          <cell r="BO304">
            <v>0</v>
          </cell>
          <cell r="BQ304">
            <v>0</v>
          </cell>
          <cell r="BR304">
            <v>0</v>
          </cell>
          <cell r="BS304">
            <v>0</v>
          </cell>
          <cell r="BT304">
            <v>0</v>
          </cell>
          <cell r="BU304">
            <v>0</v>
          </cell>
          <cell r="BW304">
            <v>0</v>
          </cell>
          <cell r="BX304">
            <v>0</v>
          </cell>
          <cell r="BY304">
            <v>0</v>
          </cell>
          <cell r="BZ304">
            <v>0</v>
          </cell>
          <cell r="CA304">
            <v>0</v>
          </cell>
          <cell r="CC304">
            <v>0.21912624699002409</v>
          </cell>
          <cell r="CD304">
            <v>0.19888037713612258</v>
          </cell>
          <cell r="CE304">
            <v>0.18984834766862832</v>
          </cell>
          <cell r="CF304">
            <v>0.17358719870366621</v>
          </cell>
          <cell r="CG304">
            <v>0.19225041293222497</v>
          </cell>
          <cell r="CI304">
            <v>0.23108440316853318</v>
          </cell>
          <cell r="CJ304">
            <v>0.22509487666034156</v>
          </cell>
          <cell r="CK304">
            <v>0.2058889638120926</v>
          </cell>
          <cell r="CL304">
            <v>0.18272989971103179</v>
          </cell>
          <cell r="CM304">
            <v>0.2079191608545225</v>
          </cell>
          <cell r="CO304">
            <v>0.23056825604180275</v>
          </cell>
          <cell r="CP304">
            <v>0.21513795674869501</v>
          </cell>
          <cell r="CQ304">
            <v>0.20647924036492274</v>
          </cell>
          <cell r="CR304">
            <v>0.17373987089685483</v>
          </cell>
          <cell r="CS304">
            <v>0.20288380733336281</v>
          </cell>
          <cell r="CU304">
            <v>0.21375876060494284</v>
          </cell>
          <cell r="CV304">
            <v>0.19887462634077721</v>
          </cell>
          <cell r="CW304">
            <v>0.18531976744186046</v>
          </cell>
          <cell r="CX304">
            <v>0.15477401540473767</v>
          </cell>
          <cell r="CY304">
            <v>0.18621775772537669</v>
          </cell>
          <cell r="DA304">
            <v>0.17953782342484692</v>
          </cell>
          <cell r="DB304">
            <v>0.16314713896457766</v>
          </cell>
          <cell r="DC304">
            <v>0.14390824496862151</v>
          </cell>
          <cell r="DE304">
            <v>0.14447724095075345</v>
          </cell>
          <cell r="DG304">
            <v>0.14074855034264627</v>
          </cell>
          <cell r="DH304">
            <v>0.1363008971704624</v>
          </cell>
          <cell r="DI304">
            <v>0.13012376518678323</v>
          </cell>
          <cell r="DJ304">
            <v>0.11549139367018323</v>
          </cell>
          <cell r="DK304">
            <v>0.12946092770580861</v>
          </cell>
          <cell r="DM304">
            <v>0.140509645153608</v>
          </cell>
          <cell r="DN304">
            <v>0.13392350471002157</v>
          </cell>
          <cell r="DO304">
            <v>0.12594311190647112</v>
          </cell>
          <cell r="DP304">
            <v>0.10978467282079912</v>
          </cell>
          <cell r="DQ304">
            <v>0.12636511260969124</v>
          </cell>
          <cell r="DS304">
            <v>0.12120842977220124</v>
          </cell>
          <cell r="DT304">
            <v>0.11083068144409086</v>
          </cell>
          <cell r="DU304">
            <v>0.10423634336677814</v>
          </cell>
          <cell r="DV304">
            <v>8.8951737980111301E-2</v>
          </cell>
          <cell r="DW304">
            <v>0.10509220733900626</v>
          </cell>
          <cell r="DY304">
            <v>0.10953346855983773</v>
          </cell>
          <cell r="DZ304">
            <v>0.10330712054292793</v>
          </cell>
          <cell r="EA304">
            <v>9.4900697799248521E-2</v>
          </cell>
          <cell r="EB304">
            <v>8.2994879039378425E-2</v>
          </cell>
          <cell r="EC304">
            <v>9.6619240308053772E-2</v>
          </cell>
          <cell r="EE304">
            <v>9.9430166298406786E-2</v>
          </cell>
          <cell r="EF304">
            <v>9.7314737718567856E-2</v>
          </cell>
          <cell r="EG304">
            <v>9.1922005571030641E-2</v>
          </cell>
          <cell r="EH304">
            <v>8.3924570575056007E-2</v>
          </cell>
          <cell r="EI304">
            <v>9.2724753614095629E-2</v>
          </cell>
          <cell r="EK304">
            <v>0.10199976334161638</v>
          </cell>
          <cell r="EL304">
            <v>9.5709204090706976E-2</v>
          </cell>
          <cell r="EM304">
            <v>9.1472879769421603E-2</v>
          </cell>
          <cell r="EN304">
            <v>8.5665361616086205E-2</v>
          </cell>
          <cell r="EO304">
            <v>9.3277511931171328E-2</v>
          </cell>
          <cell r="EQ304">
            <v>9.9013137192988945E-2</v>
          </cell>
          <cell r="ER304">
            <v>9.3720247187640007E-2</v>
          </cell>
          <cell r="ES304">
            <v>9.015765945747195E-2</v>
          </cell>
          <cell r="ET304">
            <v>8.5614632396160864E-2</v>
          </cell>
          <cell r="EU304">
            <v>9.1824067580875787E-2</v>
          </cell>
          <cell r="EW304">
            <v>9.7473886686119018E-2</v>
          </cell>
          <cell r="EX304">
            <v>9.2715941085969894E-2</v>
          </cell>
          <cell r="EY304">
            <v>8.9200480768081541E-2</v>
          </cell>
          <cell r="EZ304">
            <v>8.6012123281303976E-2</v>
          </cell>
          <cell r="FA304">
            <v>9.112443761334249E-2</v>
          </cell>
        </row>
        <row r="305"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0</v>
          </cell>
          <cell r="S305">
            <v>0</v>
          </cell>
          <cell r="U305">
            <v>0</v>
          </cell>
          <cell r="V305">
            <v>0</v>
          </cell>
          <cell r="W305">
            <v>0</v>
          </cell>
          <cell r="X305">
            <v>0</v>
          </cell>
          <cell r="Y305">
            <v>0</v>
          </cell>
          <cell r="AA305">
            <v>0</v>
          </cell>
          <cell r="AB305">
            <v>0</v>
          </cell>
          <cell r="AC305">
            <v>0</v>
          </cell>
          <cell r="AD305">
            <v>0</v>
          </cell>
          <cell r="AE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0</v>
          </cell>
          <cell r="AM305">
            <v>0</v>
          </cell>
          <cell r="AN305">
            <v>0</v>
          </cell>
          <cell r="AO305">
            <v>0</v>
          </cell>
          <cell r="AP305">
            <v>0</v>
          </cell>
          <cell r="AQ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Y305">
            <v>0.24014244805051763</v>
          </cell>
          <cell r="AZ305">
            <v>0.21609561913156899</v>
          </cell>
          <cell r="BA305">
            <v>0.2086917882452258</v>
          </cell>
          <cell r="BB305">
            <v>0.17160472064262985</v>
          </cell>
          <cell r="BC305">
            <v>0.20593863964063586</v>
          </cell>
          <cell r="BE305">
            <v>0.23163896682420515</v>
          </cell>
          <cell r="BF305">
            <v>0.21464000097461097</v>
          </cell>
          <cell r="BG305">
            <v>0.20361644151740546</v>
          </cell>
          <cell r="BH305">
            <v>0.17569406567672957</v>
          </cell>
          <cell r="BI305">
            <v>0.20488363598807505</v>
          </cell>
          <cell r="BK305">
            <v>0.21301775147928995</v>
          </cell>
          <cell r="BL305">
            <v>0.19705500216543959</v>
          </cell>
          <cell r="BM305">
            <v>0.18638925010836585</v>
          </cell>
          <cell r="BN305">
            <v>0.15681288408561136</v>
          </cell>
          <cell r="BO305">
            <v>0.18584967389239504</v>
          </cell>
          <cell r="BQ305">
            <v>0.19160231660231661</v>
          </cell>
          <cell r="BR305">
            <v>0.15852682145716573</v>
          </cell>
          <cell r="BS305">
            <v>0.14906337186129931</v>
          </cell>
          <cell r="BT305">
            <v>0.13714657133571662</v>
          </cell>
          <cell r="BU305">
            <v>0.15645923591965341</v>
          </cell>
          <cell r="BW305">
            <v>0.16027088036117382</v>
          </cell>
          <cell r="BX305">
            <v>0.14332365747460088</v>
          </cell>
          <cell r="BY305">
            <v>0.15195602974458455</v>
          </cell>
          <cell r="BZ305">
            <v>0.14525277435265105</v>
          </cell>
          <cell r="CA305">
            <v>0.14926974172786533</v>
          </cell>
          <cell r="CC305">
            <v>0.1654626762985896</v>
          </cell>
          <cell r="CD305">
            <v>0.14908662345315263</v>
          </cell>
          <cell r="CE305">
            <v>0.14174966047985513</v>
          </cell>
          <cell r="CF305">
            <v>0.12801296333805956</v>
          </cell>
          <cell r="CG305">
            <v>0.14351087162546369</v>
          </cell>
          <cell r="CI305">
            <v>0.17481562414640808</v>
          </cell>
          <cell r="CJ305">
            <v>0.1698292220113852</v>
          </cell>
          <cell r="CK305">
            <v>0.15599011013710945</v>
          </cell>
          <cell r="CL305">
            <v>0.13921468638449772</v>
          </cell>
          <cell r="CM305">
            <v>0.15755944862430665</v>
          </cell>
          <cell r="CO305">
            <v>0.1743958197256695</v>
          </cell>
          <cell r="CP305">
            <v>0.16349739000745711</v>
          </cell>
          <cell r="CQ305">
            <v>0.15695401228821448</v>
          </cell>
          <cell r="CR305">
            <v>0.13143798928718584</v>
          </cell>
          <cell r="CS305">
            <v>0.15383254456190013</v>
          </cell>
          <cell r="CU305">
            <v>0.15953522685355956</v>
          </cell>
          <cell r="CV305">
            <v>0.14805697204149815</v>
          </cell>
          <cell r="CW305">
            <v>0.13771802325581395</v>
          </cell>
          <cell r="CX305">
            <v>0.11364627234413603</v>
          </cell>
          <cell r="CY305">
            <v>0.13820549927641099</v>
          </cell>
          <cell r="DA305">
            <v>0.13095002962670355</v>
          </cell>
          <cell r="DB305">
            <v>0.11784741144414169</v>
          </cell>
          <cell r="DC305">
            <v>0.10062756979008873</v>
          </cell>
          <cell r="DE305">
            <v>0.10057184284308721</v>
          </cell>
          <cell r="DG305">
            <v>8.777016341591988E-2</v>
          </cell>
          <cell r="DH305">
            <v>8.4886128364389232E-2</v>
          </cell>
          <cell r="DI305">
            <v>8.1980242988531848E-2</v>
          </cell>
          <cell r="DJ305">
            <v>7.2829909309642796E-2</v>
          </cell>
          <cell r="DK305">
            <v>8.1153363978269957E-2</v>
          </cell>
          <cell r="DM305">
            <v>8.6618123362705399E-2</v>
          </cell>
          <cell r="DN305">
            <v>8.4064010895471566E-2</v>
          </cell>
          <cell r="DO305">
            <v>7.7995226662890743E-2</v>
          </cell>
          <cell r="DP305">
            <v>6.7176253146335393E-2</v>
          </cell>
          <cell r="DQ305">
            <v>7.8194510861033573E-2</v>
          </cell>
          <cell r="DS305">
            <v>8.6721671336338166E-2</v>
          </cell>
          <cell r="DT305">
            <v>7.9388302425106985E-2</v>
          </cell>
          <cell r="DU305">
            <v>7.7405797101449278E-2</v>
          </cell>
          <cell r="DV305">
            <v>6.5163032570020984E-2</v>
          </cell>
          <cell r="DW305">
            <v>7.6341389955171396E-2</v>
          </cell>
          <cell r="DY305">
            <v>8.1098615916955011E-2</v>
          </cell>
          <cell r="DZ305">
            <v>7.4150597867068832E-2</v>
          </cell>
          <cell r="EA305">
            <v>7.2769296833064948E-2</v>
          </cell>
          <cell r="EB305">
            <v>6.027017481900053E-2</v>
          </cell>
          <cell r="EC305">
            <v>7.1230740112256885E-2</v>
          </cell>
          <cell r="EE305">
            <v>7.8040004651703687E-2</v>
          </cell>
          <cell r="EF305">
            <v>7.1536636136552867E-2</v>
          </cell>
          <cell r="EG305">
            <v>7.1654167559460039E-2</v>
          </cell>
          <cell r="EH305">
            <v>5.9596713965646003E-2</v>
          </cell>
          <cell r="EI305">
            <v>6.9683684939743279E-2</v>
          </cell>
          <cell r="EK305">
            <v>7.3071352502662404E-2</v>
          </cell>
          <cell r="EL305">
            <v>6.8263617163183632E-2</v>
          </cell>
          <cell r="EM305">
            <v>6.477586095470024E-2</v>
          </cell>
          <cell r="EN305">
            <v>5.5575546817441271E-2</v>
          </cell>
          <cell r="EO305">
            <v>6.4934511357458369E-2</v>
          </cell>
          <cell r="EQ305">
            <v>6.5864367956359623E-2</v>
          </cell>
          <cell r="ER305">
            <v>6.3865617882507997E-2</v>
          </cell>
          <cell r="ES305">
            <v>6.2151220022251756E-2</v>
          </cell>
          <cell r="ET305">
            <v>5.5137743179215687E-2</v>
          </cell>
          <cell r="EU305">
            <v>6.1489378770044005E-2</v>
          </cell>
          <cell r="EW305">
            <v>6.4790837819644814E-2</v>
          </cell>
          <cell r="EX305">
            <v>6.3705287500507052E-2</v>
          </cell>
          <cell r="EY305">
            <v>6.2436396631960565E-2</v>
          </cell>
          <cell r="EZ305">
            <v>5.6693319355960087E-2</v>
          </cell>
          <cell r="FA305">
            <v>6.1727144757519732E-2</v>
          </cell>
        </row>
        <row r="306"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0</v>
          </cell>
          <cell r="S306">
            <v>0</v>
          </cell>
          <cell r="U306">
            <v>0</v>
          </cell>
          <cell r="V306">
            <v>0</v>
          </cell>
          <cell r="W306">
            <v>0</v>
          </cell>
          <cell r="X306">
            <v>0</v>
          </cell>
          <cell r="Y306">
            <v>0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G306">
            <v>0</v>
          </cell>
          <cell r="AH306">
            <v>0</v>
          </cell>
          <cell r="AI306">
            <v>0</v>
          </cell>
          <cell r="AJ306">
            <v>0</v>
          </cell>
          <cell r="AK306">
            <v>0</v>
          </cell>
          <cell r="AM306">
            <v>0</v>
          </cell>
          <cell r="AN306">
            <v>0</v>
          </cell>
          <cell r="AO306">
            <v>0</v>
          </cell>
          <cell r="AP306">
            <v>0</v>
          </cell>
          <cell r="AQ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2.5910772786973672E-2</v>
          </cell>
          <cell r="BE306">
            <v>3.4287909123619516E-2</v>
          </cell>
          <cell r="BF306">
            <v>3.4951985706826096E-2</v>
          </cell>
          <cell r="BG306">
            <v>3.3225196598796448E-2</v>
          </cell>
          <cell r="BH306">
            <v>3.0595739480551595E-2</v>
          </cell>
          <cell r="BI306">
            <v>3.3144925152435292E-2</v>
          </cell>
          <cell r="BK306">
            <v>3.1558185404339252E-2</v>
          </cell>
          <cell r="BL306">
            <v>2.7717626678215677E-2</v>
          </cell>
          <cell r="BM306">
            <v>2.7308192457737322E-2</v>
          </cell>
          <cell r="BN306">
            <v>2.3310023310023308E-2</v>
          </cell>
          <cell r="BO306">
            <v>2.7122865525465945E-2</v>
          </cell>
          <cell r="BQ306">
            <v>2.8957528957528959E-2</v>
          </cell>
          <cell r="BR306">
            <v>2.6020816653322659E-2</v>
          </cell>
          <cell r="BS306">
            <v>2.4711040255081706E-2</v>
          </cell>
          <cell r="BT306">
            <v>2.3074423139421516E-2</v>
          </cell>
          <cell r="BU306">
            <v>2.5403702244978336E-2</v>
          </cell>
          <cell r="BW306">
            <v>3.2054176072234764E-2</v>
          </cell>
          <cell r="BX306">
            <v>2.6124818577648767E-2</v>
          </cell>
          <cell r="BY306">
            <v>2.4571613320400906E-2</v>
          </cell>
          <cell r="BZ306">
            <v>1.9728729963008632E-2</v>
          </cell>
          <cell r="CA306">
            <v>2.4672002640481888E-2</v>
          </cell>
          <cell r="CC306">
            <v>2.8895768833849329E-2</v>
          </cell>
          <cell r="CD306">
            <v>2.5633470830878021E-2</v>
          </cell>
          <cell r="CE306">
            <v>2.7161611588954276E-2</v>
          </cell>
          <cell r="CF306">
            <v>2.6331780433461616E-2</v>
          </cell>
          <cell r="CG306">
            <v>2.6874441526089195E-2</v>
          </cell>
          <cell r="CI306">
            <v>3.414367659109533E-2</v>
          </cell>
          <cell r="CJ306">
            <v>3.3206831119544589E-2</v>
          </cell>
          <cell r="CK306">
            <v>3.1917284783097327E-2</v>
          </cell>
          <cell r="CL306">
            <v>2.5667176610572839E-2</v>
          </cell>
          <cell r="CM306">
            <v>3.0644186940523916E-2</v>
          </cell>
          <cell r="CO306">
            <v>3.4400174178097105E-2</v>
          </cell>
          <cell r="CP306">
            <v>3.1133482475764356E-2</v>
          </cell>
          <cell r="CQ306">
            <v>3.2396201824613668E-2</v>
          </cell>
          <cell r="CR306">
            <v>2.6644691663233071E-2</v>
          </cell>
          <cell r="CS306">
            <v>3.0651510460436109E-2</v>
          </cell>
          <cell r="CU306">
            <v>3.5964588712652158E-2</v>
          </cell>
          <cell r="CV306">
            <v>3.3233690873922979E-2</v>
          </cell>
          <cell r="CW306">
            <v>3.4702034883720929E-2</v>
          </cell>
          <cell r="CX306">
            <v>2.9646853654992006E-2</v>
          </cell>
          <cell r="CY306">
            <v>3.3157401889844215E-2</v>
          </cell>
          <cell r="DA306">
            <v>3.5552044242543948E-2</v>
          </cell>
          <cell r="DB306">
            <v>3.2016348773841963E-2</v>
          </cell>
          <cell r="DC306">
            <v>3.2615080223822923E-2</v>
          </cell>
          <cell r="DE306">
            <v>3.2327984790311959E-2</v>
          </cell>
          <cell r="DG306">
            <v>4.2303637322087508E-2</v>
          </cell>
          <cell r="DH306">
            <v>4.0257648953301126E-2</v>
          </cell>
          <cell r="DI306">
            <v>3.8719200635857841E-2</v>
          </cell>
          <cell r="DJ306">
            <v>3.3962613362946509E-2</v>
          </cell>
          <cell r="DK306">
            <v>3.841760690904026E-2</v>
          </cell>
          <cell r="DM306">
            <v>4.6121338413908072E-2</v>
          </cell>
          <cell r="DN306">
            <v>4.2570877312450343E-2</v>
          </cell>
          <cell r="DO306">
            <v>3.8358308194864299E-2</v>
          </cell>
          <cell r="DP306">
            <v>3.4449360587864304E-2</v>
          </cell>
          <cell r="DQ306">
            <v>3.9957042138354069E-2</v>
          </cell>
          <cell r="DS306">
            <v>2.70746497746376E-2</v>
          </cell>
          <cell r="DT306">
            <v>2.445807088774278E-2</v>
          </cell>
          <cell r="DU306">
            <v>1.9685395763656632E-2</v>
          </cell>
          <cell r="DV306">
            <v>1.6877474682966871E-2</v>
          </cell>
          <cell r="DW306">
            <v>2.1655013019085709E-2</v>
          </cell>
          <cell r="DY306">
            <v>2.1946963369526302E-2</v>
          </cell>
          <cell r="DZ306">
            <v>2.3317892922546591E-2</v>
          </cell>
          <cell r="EA306">
            <v>1.62629092860977E-2</v>
          </cell>
          <cell r="EB306">
            <v>1.7864206251103652E-2</v>
          </cell>
          <cell r="EC306">
            <v>1.9689766349040596E-2</v>
          </cell>
          <cell r="EE306">
            <v>2.0527479137509966E-2</v>
          </cell>
          <cell r="EF306">
            <v>2.2064265326250262E-2</v>
          </cell>
          <cell r="EG306">
            <v>1.5353247317734487E-2</v>
          </cell>
          <cell r="EH306">
            <v>1.7260132176668774E-2</v>
          </cell>
          <cell r="EI306">
            <v>1.8735968439031459E-2</v>
          </cell>
          <cell r="EK306">
            <v>1.8628564666903314E-2</v>
          </cell>
          <cell r="EL306">
            <v>1.7209315251222764E-2</v>
          </cell>
          <cell r="EM306">
            <v>1.3241217548470959E-2</v>
          </cell>
          <cell r="EN306">
            <v>1.569235937024779E-2</v>
          </cell>
          <cell r="EO306">
            <v>1.61273313632843E-2</v>
          </cell>
          <cell r="EQ306">
            <v>1.6219879444852668E-2</v>
          </cell>
          <cell r="ER306">
            <v>1.5549889571393249E-2</v>
          </cell>
          <cell r="ES306">
            <v>1.204859518437147E-2</v>
          </cell>
          <cell r="ET306">
            <v>1.5140164655899202E-2</v>
          </cell>
          <cell r="EU306">
            <v>1.4728115273633222E-2</v>
          </cell>
          <cell r="EW306">
            <v>1.535221054315531E-2</v>
          </cell>
          <cell r="EX306">
            <v>1.4921959234353001E-2</v>
          </cell>
          <cell r="EY306">
            <v>1.1395941596915517E-2</v>
          </cell>
          <cell r="EZ306">
            <v>1.5093997915791904E-2</v>
          </cell>
          <cell r="FA306">
            <v>1.4197185280040355E-2</v>
          </cell>
        </row>
        <row r="307"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0</v>
          </cell>
          <cell r="S307">
            <v>0</v>
          </cell>
          <cell r="U307">
            <v>0</v>
          </cell>
          <cell r="V307">
            <v>0</v>
          </cell>
          <cell r="W307">
            <v>0</v>
          </cell>
          <cell r="X307">
            <v>0</v>
          </cell>
          <cell r="Y307">
            <v>0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M307">
            <v>0</v>
          </cell>
          <cell r="AN307">
            <v>0</v>
          </cell>
          <cell r="AO307">
            <v>0</v>
          </cell>
          <cell r="AP307">
            <v>0</v>
          </cell>
          <cell r="AQ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Y307">
            <v>3.8856779219507753E-2</v>
          </cell>
          <cell r="AZ307">
            <v>4.1734166961980457E-2</v>
          </cell>
          <cell r="BA307">
            <v>3.5463947045728181E-2</v>
          </cell>
          <cell r="BB307">
            <v>3.4977190044464979E-2</v>
          </cell>
          <cell r="BC307">
            <v>3.756286555629882E-2</v>
          </cell>
          <cell r="BE307">
            <v>3.8903691080349044E-2</v>
          </cell>
          <cell r="BF307">
            <v>3.6060605678705213E-2</v>
          </cell>
          <cell r="BG307">
            <v>2.8253865407487623E-2</v>
          </cell>
          <cell r="BH307">
            <v>2.8687290936743978E-2</v>
          </cell>
          <cell r="BI307">
            <v>3.2793217016015952E-2</v>
          </cell>
          <cell r="BK307">
            <v>3.1558185404339252E-2</v>
          </cell>
          <cell r="BL307">
            <v>3.0749242096145518E-2</v>
          </cell>
          <cell r="BM307">
            <v>2.3407022106631991E-2</v>
          </cell>
          <cell r="BN307">
            <v>2.4369569824115277E-2</v>
          </cell>
          <cell r="BO307">
            <v>2.7228401967199275E-2</v>
          </cell>
          <cell r="BQ307">
            <v>2.7027027027027029E-2</v>
          </cell>
          <cell r="BR307">
            <v>2.722177742193755E-2</v>
          </cell>
          <cell r="BS307">
            <v>1.9928258270227182E-2</v>
          </cell>
          <cell r="BT307">
            <v>2.1124471888202795E-2</v>
          </cell>
          <cell r="BU307">
            <v>2.3532886963371406E-2</v>
          </cell>
          <cell r="BW307">
            <v>2.2573363431151242E-2</v>
          </cell>
          <cell r="BX307">
            <v>2.3947750362844702E-2</v>
          </cell>
          <cell r="BY307">
            <v>2.1985127707727127E-2</v>
          </cell>
          <cell r="BZ307">
            <v>2.1208384710234278E-2</v>
          </cell>
          <cell r="CA307">
            <v>2.2279065929532139E-2</v>
          </cell>
          <cell r="CC307">
            <v>2.4767801857585141E-2</v>
          </cell>
          <cell r="CD307">
            <v>2.4160282852091926E-2</v>
          </cell>
          <cell r="CE307">
            <v>2.0937075599818923E-2</v>
          </cell>
          <cell r="CF307">
            <v>1.9242454932145027E-2</v>
          </cell>
          <cell r="CG307">
            <v>2.1865099780672064E-2</v>
          </cell>
          <cell r="CI307">
            <v>2.2125102431029772E-2</v>
          </cell>
          <cell r="CJ307">
            <v>2.2058823529411766E-2</v>
          </cell>
          <cell r="CK307">
            <v>1.7981568891885819E-2</v>
          </cell>
          <cell r="CL307">
            <v>1.7848036715961243E-2</v>
          </cell>
          <cell r="CM307">
            <v>1.971552528969191E-2</v>
          </cell>
          <cell r="CO307">
            <v>2.1772262138036142E-2</v>
          </cell>
          <cell r="CP307">
            <v>2.0507084265473527E-2</v>
          </cell>
          <cell r="CQ307">
            <v>1.7129026252094583E-2</v>
          </cell>
          <cell r="CR307">
            <v>1.5657189946435928E-2</v>
          </cell>
          <cell r="CS307">
            <v>1.8399752311026581E-2</v>
          </cell>
          <cell r="CU307">
            <v>1.8258945038731097E-2</v>
          </cell>
          <cell r="CV307">
            <v>1.7583963425356074E-2</v>
          </cell>
          <cell r="CW307">
            <v>1.2899709302325582E-2</v>
          </cell>
          <cell r="CX307">
            <v>1.1480889405609649E-2</v>
          </cell>
          <cell r="CY307">
            <v>1.4854856559121478E-2</v>
          </cell>
          <cell r="DA307">
            <v>1.3035749555599448E-2</v>
          </cell>
          <cell r="DB307">
            <v>1.3283378746594006E-2</v>
          </cell>
          <cell r="DC307">
            <v>1.0665594954709865E-2</v>
          </cell>
          <cell r="DE307">
            <v>1.1577413317354283E-2</v>
          </cell>
          <cell r="DG307">
            <v>1.0674749604638904E-2</v>
          </cell>
          <cell r="DH307">
            <v>1.1157119852772027E-2</v>
          </cell>
          <cell r="DI307">
            <v>9.4243215623935513E-3</v>
          </cell>
          <cell r="DJ307">
            <v>8.6988709975939285E-3</v>
          </cell>
          <cell r="DK307">
            <v>9.8899568184983976E-3</v>
          </cell>
          <cell r="DM307">
            <v>7.770183376994525E-3</v>
          </cell>
          <cell r="DN307">
            <v>7.2886165020996513E-3</v>
          </cell>
          <cell r="DO307">
            <v>9.5895770487160747E-3</v>
          </cell>
          <cell r="DP307">
            <v>8.1590590865994392E-3</v>
          </cell>
          <cell r="DQ307">
            <v>8.2135596103036015E-3</v>
          </cell>
          <cell r="DS307">
            <v>7.4121086612254847E-3</v>
          </cell>
          <cell r="DT307">
            <v>6.9843081312410847E-3</v>
          </cell>
          <cell r="DU307">
            <v>7.1451505016722405E-3</v>
          </cell>
          <cell r="DV307">
            <v>6.9112307271234378E-3</v>
          </cell>
          <cell r="DW307">
            <v>7.0958043647491482E-3</v>
          </cell>
          <cell r="DY307">
            <v>6.487889273356401E-3</v>
          </cell>
          <cell r="DZ307">
            <v>5.8386297533125067E-3</v>
          </cell>
          <cell r="EA307">
            <v>5.8684916800858826E-3</v>
          </cell>
          <cell r="EB307">
            <v>4.8604979692742365E-3</v>
          </cell>
          <cell r="EC307">
            <v>5.6987338467562989E-3</v>
          </cell>
          <cell r="EE307">
            <v>6.191603674845913E-3</v>
          </cell>
          <cell r="EF307">
            <v>5.5833472106577853E-3</v>
          </cell>
          <cell r="EG307">
            <v>5.7323334047568036E-3</v>
          </cell>
          <cell r="EH307">
            <v>4.7677371172516808E-3</v>
          </cell>
          <cell r="EI307">
            <v>5.528037016704573E-3</v>
          </cell>
          <cell r="EK307">
            <v>5.7457815643119168E-3</v>
          </cell>
          <cell r="EL307">
            <v>5.2775233437083154E-3</v>
          </cell>
          <cell r="EM307">
            <v>5.1373958688210554E-3</v>
          </cell>
          <cell r="EN307">
            <v>4.4077157820729294E-3</v>
          </cell>
          <cell r="EO307">
            <v>5.1054438071736E-3</v>
          </cell>
          <cell r="EQ307">
            <v>5.1292605134156191E-3</v>
          </cell>
          <cell r="ER307">
            <v>4.8871081510093086E-3</v>
          </cell>
          <cell r="ES307">
            <v>4.8833101446054969E-3</v>
          </cell>
          <cell r="ET307">
            <v>4.3322512497955198E-3</v>
          </cell>
          <cell r="EU307">
            <v>4.788669244591863E-3</v>
          </cell>
          <cell r="EW307">
            <v>4.9930553916056582E-3</v>
          </cell>
          <cell r="EX307">
            <v>4.8209406757140482E-3</v>
          </cell>
          <cell r="EY307">
            <v>4.8561641824858238E-3</v>
          </cell>
          <cell r="EZ307">
            <v>4.4094803943524529E-3</v>
          </cell>
          <cell r="FA307">
            <v>4.7573349704244762E-3</v>
          </cell>
        </row>
        <row r="308">
          <cell r="CG308">
            <v>0</v>
          </cell>
          <cell r="CM308">
            <v>0</v>
          </cell>
          <cell r="CS308">
            <v>0</v>
          </cell>
          <cell r="CY308">
            <v>0</v>
          </cell>
          <cell r="DE308">
            <v>0</v>
          </cell>
          <cell r="DK308">
            <v>0</v>
          </cell>
          <cell r="DQ308">
            <v>0</v>
          </cell>
          <cell r="DW308">
            <v>0</v>
          </cell>
          <cell r="EC308">
            <v>0</v>
          </cell>
          <cell r="EI308">
            <v>0</v>
          </cell>
          <cell r="EO308">
            <v>0</v>
          </cell>
          <cell r="EU308">
            <v>0</v>
          </cell>
          <cell r="FA308">
            <v>0</v>
          </cell>
        </row>
        <row r="309">
          <cell r="C309" t="str">
            <v>-</v>
          </cell>
          <cell r="D309" t="str">
            <v>-</v>
          </cell>
          <cell r="E309" t="str">
            <v>-</v>
          </cell>
          <cell r="F309" t="str">
            <v>-</v>
          </cell>
          <cell r="G309" t="str">
            <v>-</v>
          </cell>
          <cell r="H309" t="str">
            <v>-</v>
          </cell>
          <cell r="I309" t="str">
            <v>-</v>
          </cell>
          <cell r="J309" t="str">
            <v>-</v>
          </cell>
          <cell r="K309" t="str">
            <v>-</v>
          </cell>
          <cell r="L309" t="str">
            <v>-</v>
          </cell>
          <cell r="M309" t="str">
            <v>-</v>
          </cell>
          <cell r="O309" t="str">
            <v>-</v>
          </cell>
          <cell r="P309" t="str">
            <v>-</v>
          </cell>
          <cell r="Q309" t="str">
            <v>-</v>
          </cell>
          <cell r="R309" t="str">
            <v>-</v>
          </cell>
          <cell r="S309" t="str">
            <v>-</v>
          </cell>
          <cell r="U309" t="str">
            <v>-</v>
          </cell>
          <cell r="V309" t="str">
            <v>-</v>
          </cell>
          <cell r="W309" t="str">
            <v>-</v>
          </cell>
          <cell r="X309" t="str">
            <v>-</v>
          </cell>
          <cell r="Y309" t="str">
            <v>-</v>
          </cell>
          <cell r="AA309" t="str">
            <v>-</v>
          </cell>
          <cell r="AB309" t="str">
            <v>-</v>
          </cell>
          <cell r="AC309" t="str">
            <v>-</v>
          </cell>
          <cell r="AD309" t="str">
            <v>-</v>
          </cell>
          <cell r="AE309" t="str">
            <v>-</v>
          </cell>
          <cell r="AG309" t="str">
            <v>-</v>
          </cell>
          <cell r="AH309" t="str">
            <v>-</v>
          </cell>
          <cell r="AI309" t="str">
            <v>-</v>
          </cell>
          <cell r="AJ309" t="str">
            <v>-</v>
          </cell>
          <cell r="AK309" t="str">
            <v>-</v>
          </cell>
          <cell r="AM309" t="str">
            <v>-</v>
          </cell>
          <cell r="AN309" t="str">
            <v>-</v>
          </cell>
          <cell r="AO309" t="str">
            <v>-</v>
          </cell>
          <cell r="AP309" t="str">
            <v>-</v>
          </cell>
          <cell r="AQ309" t="str">
            <v>-</v>
          </cell>
          <cell r="AS309" t="str">
            <v>-</v>
          </cell>
          <cell r="AT309" t="str">
            <v>-</v>
          </cell>
          <cell r="AU309" t="str">
            <v>-</v>
          </cell>
          <cell r="AV309" t="str">
            <v>-</v>
          </cell>
          <cell r="AW309" t="str">
            <v>-</v>
          </cell>
          <cell r="AY309" t="str">
            <v>-</v>
          </cell>
          <cell r="AZ309" t="str">
            <v>-</v>
          </cell>
          <cell r="BA309" t="str">
            <v>-</v>
          </cell>
          <cell r="BB309" t="str">
            <v>-</v>
          </cell>
          <cell r="BC309" t="str">
            <v>-</v>
          </cell>
          <cell r="BE309">
            <v>5.1460119069956366E-2</v>
          </cell>
          <cell r="BF309">
            <v>4.9014109594162754E-2</v>
          </cell>
          <cell r="BG309">
            <v>5.0013313688246679E-2</v>
          </cell>
          <cell r="BH309">
            <v>4.1688821949393308E-2</v>
          </cell>
          <cell r="BI309">
            <v>4.7718895669534134E-2</v>
          </cell>
          <cell r="BK309">
            <v>5.7692307692307696E-2</v>
          </cell>
          <cell r="BL309">
            <v>5.0671286271113038E-2</v>
          </cell>
          <cell r="BM309">
            <v>5.2015604681404419E-2</v>
          </cell>
          <cell r="BN309">
            <v>4.2381860563678743E-2</v>
          </cell>
          <cell r="BO309">
            <v>5.002427338159867E-2</v>
          </cell>
          <cell r="BQ309">
            <v>5.8397683397683399E-2</v>
          </cell>
          <cell r="BR309">
            <v>5.7245796637309845E-2</v>
          </cell>
          <cell r="BS309">
            <v>5.6994818652849742E-2</v>
          </cell>
          <cell r="BT309">
            <v>4.5498862528436788E-2</v>
          </cell>
          <cell r="BU309">
            <v>5.3859787317841669E-2</v>
          </cell>
          <cell r="BW309">
            <v>6.1399548532731378E-2</v>
          </cell>
          <cell r="BX309">
            <v>5.11611030478955E-2</v>
          </cell>
          <cell r="BY309">
            <v>5.1729712253475592E-2</v>
          </cell>
          <cell r="BZ309">
            <v>4.4143033292231813E-2</v>
          </cell>
          <cell r="CA309">
            <v>5.0829276342932585E-2</v>
          </cell>
          <cell r="CC309">
            <v>5.5039559683522532E-2</v>
          </cell>
          <cell r="CD309">
            <v>5.1561579257513257E-2</v>
          </cell>
          <cell r="CE309">
            <v>5.0079221367134448E-2</v>
          </cell>
          <cell r="CF309">
            <v>4.1523192221997164E-2</v>
          </cell>
          <cell r="CG309">
            <v>4.8536459884649753E-2</v>
          </cell>
          <cell r="CI309">
            <v>5.3810434307566241E-2</v>
          </cell>
          <cell r="CJ309">
            <v>4.7912713472485768E-2</v>
          </cell>
          <cell r="CK309">
            <v>4.652730950775455E-2</v>
          </cell>
          <cell r="CL309">
            <v>3.8415774264830865E-2</v>
          </cell>
          <cell r="CM309">
            <v>4.5691690922071503E-2</v>
          </cell>
          <cell r="CO309">
            <v>4.8769867189200955E-2</v>
          </cell>
          <cell r="CP309">
            <v>4.5302013422818789E-2</v>
          </cell>
          <cell r="CQ309">
            <v>4.71048221932601E-2</v>
          </cell>
          <cell r="CR309">
            <v>3.6670786979810466E-2</v>
          </cell>
          <cell r="CS309">
            <v>4.3655181564863553E-2</v>
          </cell>
          <cell r="CU309">
            <v>5.1457026927333088E-2</v>
          </cell>
          <cell r="CV309">
            <v>4.4663267100404434E-2</v>
          </cell>
          <cell r="CW309">
            <v>4.5966569767441859E-2</v>
          </cell>
          <cell r="CX309">
            <v>4.1999709344572013E-2</v>
          </cell>
          <cell r="CY309">
            <v>4.5756363326806847E-2</v>
          </cell>
          <cell r="DA309">
            <v>4.3847521232470869E-2</v>
          </cell>
          <cell r="DB309">
            <v>4.4277929155313353E-2</v>
          </cell>
          <cell r="DC309">
            <v>4.2816953658762792E-2</v>
          </cell>
          <cell r="DE309">
            <v>3.8690013833714315E-2</v>
          </cell>
          <cell r="DG309">
            <v>3.9931470743278859E-2</v>
          </cell>
          <cell r="DH309">
            <v>3.4966643662295835E-2</v>
          </cell>
          <cell r="DI309">
            <v>3.3496082661519246E-2</v>
          </cell>
          <cell r="DJ309">
            <v>3.2111789746437164E-2</v>
          </cell>
          <cell r="DK309">
            <v>3.4795932581139437E-2</v>
          </cell>
          <cell r="DM309">
            <v>3.4889259347463682E-2</v>
          </cell>
          <cell r="DN309">
            <v>3.3253887186471459E-2</v>
          </cell>
          <cell r="DO309">
            <v>3.3104035655606448E-2</v>
          </cell>
          <cell r="DP309">
            <v>2.9405963823523049E-2</v>
          </cell>
          <cell r="DQ309">
            <v>3.2454362013884394E-2</v>
          </cell>
          <cell r="DS309">
            <v>3.3865269825800952E-2</v>
          </cell>
          <cell r="DT309">
            <v>2.9079337210578295E-2</v>
          </cell>
          <cell r="DU309">
            <v>3.3556298773690076E-2</v>
          </cell>
          <cell r="DV309">
            <v>4.4156555058844998E-2</v>
          </cell>
          <cell r="DW309">
            <v>3.5648135720613108E-2</v>
          </cell>
          <cell r="DY309">
            <v>5.4050829256651951E-2</v>
          </cell>
          <cell r="DZ309">
            <v>4.922977485726597E-2</v>
          </cell>
          <cell r="EA309">
            <v>4.9919484702093397E-2</v>
          </cell>
          <cell r="EB309">
            <v>4.5382306198128199E-2</v>
          </cell>
          <cell r="EC309">
            <v>4.9314710873254147E-2</v>
          </cell>
          <cell r="EE309">
            <v>5.7215955343644612E-2</v>
          </cell>
          <cell r="EF309">
            <v>5.6203164029975022E-2</v>
          </cell>
          <cell r="EG309">
            <v>6.2245553889007925E-2</v>
          </cell>
          <cell r="EH309">
            <v>6.2266616878267365E-2</v>
          </cell>
          <cell r="EI309">
            <v>5.9603168378950667E-2</v>
          </cell>
          <cell r="EK309">
            <v>7.6322328718494856E-2</v>
          </cell>
          <cell r="EL309">
            <v>7.2587816807469993E-2</v>
          </cell>
          <cell r="EM309">
            <v>7.2736821010213087E-2</v>
          </cell>
          <cell r="EN309">
            <v>6.291639855396633E-2</v>
          </cell>
          <cell r="EO309">
            <v>7.0759546635356066E-2</v>
          </cell>
          <cell r="EQ309">
            <v>7.8358800576132079E-2</v>
          </cell>
          <cell r="ER309">
            <v>7.5202911711139936E-2</v>
          </cell>
          <cell r="ES309">
            <v>7.5071509984936266E-2</v>
          </cell>
          <cell r="ET309">
            <v>6.8008981938531263E-2</v>
          </cell>
          <cell r="EU309">
            <v>7.3910125154957027E-2</v>
          </cell>
          <cell r="EW309">
            <v>7.885407585253236E-2</v>
          </cell>
          <cell r="EX309">
            <v>7.5344253526159366E-2</v>
          </cell>
          <cell r="EY309">
            <v>7.335158557016043E-2</v>
          </cell>
          <cell r="EZ309">
            <v>6.3776029417624294E-2</v>
          </cell>
          <cell r="FA309">
            <v>7.2507347454590074E-2</v>
          </cell>
        </row>
        <row r="310">
          <cell r="C310" t="str">
            <v>-</v>
          </cell>
          <cell r="D310" t="str">
            <v>-</v>
          </cell>
          <cell r="E310" t="str">
            <v>-</v>
          </cell>
          <cell r="F310" t="str">
            <v>-</v>
          </cell>
          <cell r="G310">
            <v>0.18163289178449771</v>
          </cell>
          <cell r="H310">
            <v>0.17298218568002741</v>
          </cell>
          <cell r="I310">
            <v>0.17506520149717913</v>
          </cell>
          <cell r="J310">
            <v>0.25918601020089516</v>
          </cell>
          <cell r="K310">
            <v>0.23881424936386769</v>
          </cell>
          <cell r="L310">
            <v>0.23062741184298069</v>
          </cell>
          <cell r="M310">
            <v>0.24946343272133431</v>
          </cell>
          <cell r="O310">
            <v>0.28127639386566128</v>
          </cell>
          <cell r="P310">
            <v>0.27985021185176345</v>
          </cell>
          <cell r="Q310">
            <v>0.27232171908424424</v>
          </cell>
          <cell r="R310">
            <v>0.23404353562653321</v>
          </cell>
          <cell r="S310">
            <v>0.26256961020978958</v>
          </cell>
          <cell r="U310">
            <v>0.29995866820937467</v>
          </cell>
          <cell r="V310">
            <v>0.26413857290589454</v>
          </cell>
          <cell r="W310">
            <v>0.2811527495028126</v>
          </cell>
          <cell r="X310">
            <v>0.22009748141145871</v>
          </cell>
          <cell r="Y310">
            <v>0.25952708852894402</v>
          </cell>
          <cell r="AA310">
            <v>0.31939649478912768</v>
          </cell>
          <cell r="AB310">
            <v>0.28785326524184957</v>
          </cell>
          <cell r="AC310">
            <v>0.29246480981893658</v>
          </cell>
          <cell r="AD310">
            <v>0.2235257036463999</v>
          </cell>
          <cell r="AE310">
            <v>0.27276114571693161</v>
          </cell>
          <cell r="AG310">
            <v>0.34202032687817607</v>
          </cell>
          <cell r="AH310">
            <v>0.33997757985086696</v>
          </cell>
          <cell r="AI310">
            <v>0.33532274638500376</v>
          </cell>
          <cell r="AJ310">
            <v>0.27788487962751496</v>
          </cell>
          <cell r="AK310">
            <v>0.31826021348387745</v>
          </cell>
          <cell r="AM310">
            <v>0.38836322472571766</v>
          </cell>
          <cell r="AN310">
            <v>0.37931334705614539</v>
          </cell>
          <cell r="AO310">
            <v>0.38097810401554655</v>
          </cell>
          <cell r="AP310">
            <v>0.27621855631714032</v>
          </cell>
          <cell r="AQ310">
            <v>0.34712365750972102</v>
          </cell>
          <cell r="AS310">
            <v>0.38132704330575146</v>
          </cell>
          <cell r="AT310">
            <v>0.32437896310882158</v>
          </cell>
          <cell r="AU310">
            <v>0.28874655122155551</v>
          </cell>
          <cell r="AV310">
            <v>0.21500632721949078</v>
          </cell>
          <cell r="AW310">
            <v>0.29048783983775922</v>
          </cell>
          <cell r="AY310">
            <v>0.3059429403599313</v>
          </cell>
          <cell r="AZ310">
            <v>0.2687082528044884</v>
          </cell>
          <cell r="BA310">
            <v>0.27087989816257935</v>
          </cell>
          <cell r="BB310">
            <v>0.22639633095558667</v>
          </cell>
          <cell r="BC310">
            <v>0.26431360355714767</v>
          </cell>
          <cell r="BE310">
            <v>0.22795119765303715</v>
          </cell>
          <cell r="BF310">
            <v>0.21687866555594623</v>
          </cell>
          <cell r="BG310">
            <v>0.20358759519287098</v>
          </cell>
          <cell r="BH310">
            <v>0.16315901226432336</v>
          </cell>
          <cell r="BI310">
            <v>0.20096946145751285</v>
          </cell>
          <cell r="BK310">
            <v>0.23274161735700197</v>
          </cell>
          <cell r="BL310">
            <v>0.20874837592031181</v>
          </cell>
          <cell r="BM310">
            <v>0.19679237104464672</v>
          </cell>
          <cell r="BN310">
            <v>0.1624637988274352</v>
          </cell>
          <cell r="BO310">
            <v>0.19714207315786142</v>
          </cell>
          <cell r="BQ310">
            <v>0.21332046332046331</v>
          </cell>
          <cell r="BR310">
            <v>0.18214571657325862</v>
          </cell>
          <cell r="BS310">
            <v>0.17497010761259466</v>
          </cell>
          <cell r="BT310">
            <v>0.14104647383815405</v>
          </cell>
          <cell r="BU310">
            <v>0.17428121307601419</v>
          </cell>
          <cell r="BW310">
            <v>0.18916478555304742</v>
          </cell>
          <cell r="BX310">
            <v>0.16291727140783743</v>
          </cell>
          <cell r="BY310">
            <v>0.17814419657290656</v>
          </cell>
          <cell r="BZ310">
            <v>0.14969173859432799</v>
          </cell>
          <cell r="CA310">
            <v>0.16717550953048932</v>
          </cell>
          <cell r="CC310">
            <v>0.19263845889232886</v>
          </cell>
          <cell r="CD310">
            <v>0.17088980553918681</v>
          </cell>
          <cell r="CE310">
            <v>0.17258940697148031</v>
          </cell>
          <cell r="CF310">
            <v>0.15312943082843833</v>
          </cell>
          <cell r="CG310">
            <v>0.16964068127047738</v>
          </cell>
          <cell r="CI310">
            <v>0.21223709369024857</v>
          </cell>
          <cell r="CJ310">
            <v>0.19378557874762808</v>
          </cell>
          <cell r="CK310">
            <v>0.18363677230838391</v>
          </cell>
          <cell r="CL310">
            <v>0.15706272310045896</v>
          </cell>
          <cell r="CM310">
            <v>0.18315118897248614</v>
          </cell>
          <cell r="CO310">
            <v>0.20182887001959504</v>
          </cell>
          <cell r="CP310">
            <v>0.1843773303504847</v>
          </cell>
          <cell r="CQ310">
            <v>0.18376466207410166</v>
          </cell>
          <cell r="CR310">
            <v>0.14668314791924186</v>
          </cell>
          <cell r="CS310">
            <v>0.17563802025741962</v>
          </cell>
          <cell r="CU310">
            <v>0.18867576540022132</v>
          </cell>
          <cell r="CV310">
            <v>0.16458589766133286</v>
          </cell>
          <cell r="CW310">
            <v>0.15479651162790697</v>
          </cell>
          <cell r="CX310">
            <v>0.12832437145763698</v>
          </cell>
          <cell r="CY310">
            <v>0.15723163360858092</v>
          </cell>
          <cell r="DA310">
            <v>0.15386134702745408</v>
          </cell>
          <cell r="DB310">
            <v>0.14117847411444143</v>
          </cell>
          <cell r="DC310">
            <v>0.12551395801774509</v>
          </cell>
          <cell r="DE310">
            <v>0.12520621111579633</v>
          </cell>
          <cell r="DG310">
            <v>0.11755403268318397</v>
          </cell>
          <cell r="DH310">
            <v>0.11099608925695882</v>
          </cell>
          <cell r="DI310">
            <v>0.10775519473146361</v>
          </cell>
          <cell r="DJ310">
            <v>9.2263557282990932E-2</v>
          </cell>
          <cell r="DK310">
            <v>0.10594790360774481</v>
          </cell>
          <cell r="DM310">
            <v>0.11097880447725648</v>
          </cell>
          <cell r="DN310">
            <v>0.10475541936216093</v>
          </cell>
          <cell r="DO310">
            <v>0.10107765553511834</v>
          </cell>
          <cell r="DP310">
            <v>8.6574079828260403E-2</v>
          </cell>
          <cell r="DQ310">
            <v>9.9915374445062974E-2</v>
          </cell>
          <cell r="DS310">
            <v>0.10659032768912169</v>
          </cell>
          <cell r="DT310">
            <v>0.10117414682321958</v>
          </cell>
          <cell r="DU310">
            <v>9.4425863991081382E-2</v>
          </cell>
          <cell r="DV310">
            <v>7.1070157832314573E-2</v>
          </cell>
          <cell r="DW310">
            <v>9.1885217297935737E-2</v>
          </cell>
          <cell r="DY310">
            <v>8.5192697768762676E-2</v>
          </cell>
          <cell r="DZ310">
            <v>8.1116018528492942E-2</v>
          </cell>
          <cell r="EA310">
            <v>7.6113794954374661E-2</v>
          </cell>
          <cell r="EB310">
            <v>6.5954441108952849E-2</v>
          </cell>
          <cell r="EC310">
            <v>7.6308575903928991E-2</v>
          </cell>
          <cell r="EE310">
            <v>7.9660425630887308E-2</v>
          </cell>
          <cell r="EF310">
            <v>7.8580349708576192E-2</v>
          </cell>
          <cell r="EG310">
            <v>7.6708806513820435E-2</v>
          </cell>
          <cell r="EH310">
            <v>6.9268110530246452E-2</v>
          </cell>
          <cell r="EI310">
            <v>7.5758764018508354E-2</v>
          </cell>
          <cell r="EK310">
            <v>8.3185421843568808E-2</v>
          </cell>
          <cell r="EL310">
            <v>7.5922632281013785E-2</v>
          </cell>
          <cell r="EM310">
            <v>7.6334011555834344E-2</v>
          </cell>
          <cell r="EN310">
            <v>7.0704892457325877E-2</v>
          </cell>
          <cell r="EO310">
            <v>7.6217672715125112E-2</v>
          </cell>
          <cell r="EQ310">
            <v>8.0749693093586108E-2</v>
          </cell>
          <cell r="ER310">
            <v>7.4344865074515834E-2</v>
          </cell>
          <cell r="ES310">
            <v>7.5236461738403163E-2</v>
          </cell>
          <cell r="ET310">
            <v>7.0663022511625539E-2</v>
          </cell>
          <cell r="EU310">
            <v>7.5030053711284017E-2</v>
          </cell>
          <cell r="EW310">
            <v>7.9494364663969461E-2</v>
          </cell>
          <cell r="EX310">
            <v>7.3548185553678799E-2</v>
          </cell>
          <cell r="EY310">
            <v>7.4437697237699746E-2</v>
          </cell>
          <cell r="EZ310">
            <v>7.0991096189908287E-2</v>
          </cell>
          <cell r="FA310">
            <v>7.44583814316193E-2</v>
          </cell>
        </row>
        <row r="311">
          <cell r="C311" t="str">
            <v>-</v>
          </cell>
          <cell r="D311" t="str">
            <v>-</v>
          </cell>
          <cell r="E311" t="str">
            <v>-</v>
          </cell>
          <cell r="F311" t="str">
            <v>-</v>
          </cell>
          <cell r="G311">
            <v>0.18163289178449771</v>
          </cell>
          <cell r="H311">
            <v>0.17298218568002741</v>
          </cell>
          <cell r="I311">
            <v>0.17506520149717913</v>
          </cell>
          <cell r="J311">
            <v>0.25918601020089516</v>
          </cell>
          <cell r="K311">
            <v>0.23881424936386769</v>
          </cell>
          <cell r="L311">
            <v>0.23062741184298069</v>
          </cell>
          <cell r="M311">
            <v>0.24946343272133431</v>
          </cell>
          <cell r="O311">
            <v>0.28127639386566128</v>
          </cell>
          <cell r="P311">
            <v>0.27985021185176345</v>
          </cell>
          <cell r="Q311">
            <v>0.27232171908424424</v>
          </cell>
          <cell r="R311">
            <v>0.23404353562653321</v>
          </cell>
          <cell r="S311">
            <v>0.26256961020978958</v>
          </cell>
          <cell r="U311">
            <v>0.29995866820937467</v>
          </cell>
          <cell r="V311">
            <v>0.26413857290589454</v>
          </cell>
          <cell r="W311">
            <v>0.2811527495028126</v>
          </cell>
          <cell r="X311">
            <v>0.22009748141145871</v>
          </cell>
          <cell r="Y311">
            <v>0.25952708852894402</v>
          </cell>
          <cell r="AA311">
            <v>0.31939649478912768</v>
          </cell>
          <cell r="AB311">
            <v>0.28785326524184957</v>
          </cell>
          <cell r="AC311">
            <v>0.29246480981893658</v>
          </cell>
          <cell r="AD311">
            <v>0.2235257036463999</v>
          </cell>
          <cell r="AE311">
            <v>0.27276114571693161</v>
          </cell>
          <cell r="AG311">
            <v>0.34202032687817607</v>
          </cell>
          <cell r="AH311">
            <v>0.33997757985086696</v>
          </cell>
          <cell r="AI311">
            <v>0.33532274638500376</v>
          </cell>
          <cell r="AJ311">
            <v>0.27788487962751496</v>
          </cell>
          <cell r="AK311">
            <v>0.31826021348387745</v>
          </cell>
          <cell r="AM311">
            <v>0.38836322472571766</v>
          </cell>
          <cell r="AN311">
            <v>0.37931334705614539</v>
          </cell>
          <cell r="AO311">
            <v>0.38097810401554655</v>
          </cell>
          <cell r="AP311">
            <v>0.27621855631714032</v>
          </cell>
          <cell r="AQ311">
            <v>0.34712365750972102</v>
          </cell>
          <cell r="AS311">
            <v>0.38132704330575146</v>
          </cell>
          <cell r="AT311">
            <v>0.32437896310882158</v>
          </cell>
          <cell r="AU311">
            <v>0.28874655122155551</v>
          </cell>
          <cell r="AV311">
            <v>0.21500632721949078</v>
          </cell>
          <cell r="AW311">
            <v>0.29048783983775922</v>
          </cell>
          <cell r="AY311">
            <v>0.3059429403599313</v>
          </cell>
          <cell r="AZ311">
            <v>0.2687082528044884</v>
          </cell>
          <cell r="BA311">
            <v>0.27087989816257935</v>
          </cell>
          <cell r="BB311">
            <v>0.22639633095558667</v>
          </cell>
          <cell r="BC311">
            <v>0.26431360355714767</v>
          </cell>
          <cell r="BE311">
            <v>0.27941131672299352</v>
          </cell>
          <cell r="BF311">
            <v>0.26589277515010895</v>
          </cell>
          <cell r="BG311">
            <v>0.25360090888111764</v>
          </cell>
          <cell r="BH311">
            <v>0.20484783421371666</v>
          </cell>
          <cell r="BI311">
            <v>0.24868835712704698</v>
          </cell>
          <cell r="BK311">
            <v>0.29043392504930965</v>
          </cell>
          <cell r="BL311">
            <v>0.25941966219142487</v>
          </cell>
          <cell r="BM311">
            <v>0.24880797572605115</v>
          </cell>
          <cell r="BN311">
            <v>0.20484565939111393</v>
          </cell>
          <cell r="BO311">
            <v>0.2471663465394601</v>
          </cell>
          <cell r="BQ311">
            <v>0.2717181467181467</v>
          </cell>
          <cell r="BR311">
            <v>0.23939151321056845</v>
          </cell>
          <cell r="BS311">
            <v>0.2319649262654444</v>
          </cell>
          <cell r="BT311">
            <v>0.18654533636659085</v>
          </cell>
          <cell r="BU311">
            <v>0.22814100039385585</v>
          </cell>
          <cell r="BW311">
            <v>0.25056433408577877</v>
          </cell>
          <cell r="BX311">
            <v>0.21407837445573294</v>
          </cell>
          <cell r="BY311">
            <v>0.22987390882638215</v>
          </cell>
          <cell r="BZ311">
            <v>0.19383477188655981</v>
          </cell>
          <cell r="CA311">
            <v>0.2180047858734219</v>
          </cell>
          <cell r="CC311">
            <v>0.24767801857585139</v>
          </cell>
          <cell r="CD311">
            <v>0.22245138479670007</v>
          </cell>
          <cell r="CE311">
            <v>0.22266862833861475</v>
          </cell>
          <cell r="CF311">
            <v>0.19465262305043549</v>
          </cell>
          <cell r="CG311">
            <v>0.21817714115512712</v>
          </cell>
          <cell r="CI311">
            <v>0.26604752799781478</v>
          </cell>
          <cell r="CJ311">
            <v>0.24169829222011385</v>
          </cell>
          <cell r="CK311">
            <v>0.23016408181613845</v>
          </cell>
          <cell r="CL311">
            <v>0.19547849736528983</v>
          </cell>
          <cell r="CM311">
            <v>0.22884287989455765</v>
          </cell>
          <cell r="CO311">
            <v>0.250598737208796</v>
          </cell>
          <cell r="CP311">
            <v>0.22967934377330351</v>
          </cell>
          <cell r="CQ311">
            <v>0.23086948426736176</v>
          </cell>
          <cell r="CR311">
            <v>0.18335393489905233</v>
          </cell>
          <cell r="CS311">
            <v>0.21929320182228315</v>
          </cell>
          <cell r="CU311">
            <v>0.24013279232755441</v>
          </cell>
          <cell r="CV311">
            <v>0.2092491647617373</v>
          </cell>
          <cell r="CW311">
            <v>0.20076308139534885</v>
          </cell>
          <cell r="CX311">
            <v>0.17032408080220898</v>
          </cell>
          <cell r="CY311">
            <v>0.20298799693538777</v>
          </cell>
          <cell r="DA311">
            <v>0.19770886825992495</v>
          </cell>
          <cell r="DB311">
            <v>0.18545640326975477</v>
          </cell>
          <cell r="DC311">
            <v>0.21393019445389064</v>
          </cell>
          <cell r="DE311">
            <v>0.21080879143641298</v>
          </cell>
          <cell r="DG311">
            <v>0.27029520295202952</v>
          </cell>
          <cell r="DH311">
            <v>0.24706694271911664</v>
          </cell>
          <cell r="DI311">
            <v>0.22720563188372886</v>
          </cell>
          <cell r="DJ311">
            <v>0.20016657412548583</v>
          </cell>
          <cell r="DK311">
            <v>0.23298509541718904</v>
          </cell>
          <cell r="DM311">
            <v>0.23553226958799714</v>
          </cell>
          <cell r="DN311">
            <v>0.2205198047894677</v>
          </cell>
          <cell r="DO311">
            <v>0.20921750534343272</v>
          </cell>
          <cell r="DP311">
            <v>0.18200647795118458</v>
          </cell>
          <cell r="DQ311">
            <v>0.20982497295400424</v>
          </cell>
          <cell r="DS311">
            <v>0.21439883055183334</v>
          </cell>
          <cell r="DT311">
            <v>0.19521562602875014</v>
          </cell>
          <cell r="DU311">
            <v>0.18974358974358974</v>
          </cell>
          <cell r="DV311">
            <v>0.17279445306085212</v>
          </cell>
          <cell r="DW311">
            <v>0.19152819907121574</v>
          </cell>
          <cell r="DY311">
            <v>0.20295907409616989</v>
          </cell>
          <cell r="DZ311">
            <v>0.1929333189701605</v>
          </cell>
          <cell r="EA311">
            <v>0.18872785829307567</v>
          </cell>
          <cell r="EB311">
            <v>0.16837365354052622</v>
          </cell>
          <cell r="EC311">
            <v>0.18684244876647957</v>
          </cell>
          <cell r="EE311">
            <v>0.19362716594952903</v>
          </cell>
          <cell r="EF311">
            <v>0.19556619483763529</v>
          </cell>
          <cell r="EG311">
            <v>0.20130704949646455</v>
          </cell>
          <cell r="EH311">
            <v>0.18960044809559373</v>
          </cell>
          <cell r="EI311">
            <v>0.19486053381434135</v>
          </cell>
          <cell r="EK311">
            <v>0.21630576263164122</v>
          </cell>
          <cell r="EL311">
            <v>0.20364606491774123</v>
          </cell>
          <cell r="EM311">
            <v>0.20997317211075728</v>
          </cell>
          <cell r="EN311">
            <v>0.18691995694956673</v>
          </cell>
          <cell r="EO311">
            <v>0.20340063172991055</v>
          </cell>
          <cell r="EQ311">
            <v>0.21172897115221953</v>
          </cell>
          <cell r="ER311">
            <v>0.20113333555241106</v>
          </cell>
          <cell r="ES311">
            <v>0.20681452188959135</v>
          </cell>
          <cell r="ET311">
            <v>0.19047582872318508</v>
          </cell>
          <cell r="EU311">
            <v>0.20203991112875194</v>
          </cell>
          <cell r="EW311">
            <v>0.207483762212825</v>
          </cell>
          <cell r="EX311">
            <v>0.1973296898054458</v>
          </cell>
          <cell r="EY311">
            <v>0.20057710082587676</v>
          </cell>
          <cell r="EZ311">
            <v>0.18322923155388524</v>
          </cell>
          <cell r="FA311">
            <v>0.19664927948038263</v>
          </cell>
        </row>
        <row r="312"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0</v>
          </cell>
          <cell r="S312">
            <v>0</v>
          </cell>
          <cell r="U312">
            <v>0</v>
          </cell>
          <cell r="V312">
            <v>0</v>
          </cell>
          <cell r="W312">
            <v>0</v>
          </cell>
          <cell r="X312">
            <v>0</v>
          </cell>
          <cell r="Y312">
            <v>0</v>
          </cell>
          <cell r="AA312">
            <v>0</v>
          </cell>
          <cell r="AB312">
            <v>0</v>
          </cell>
          <cell r="AC312">
            <v>0</v>
          </cell>
          <cell r="AD312">
            <v>0</v>
          </cell>
          <cell r="AE312">
            <v>0</v>
          </cell>
          <cell r="AG312">
            <v>0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M312">
            <v>0</v>
          </cell>
          <cell r="AN312">
            <v>0</v>
          </cell>
          <cell r="AO312">
            <v>0</v>
          </cell>
          <cell r="AP312">
            <v>0</v>
          </cell>
          <cell r="AQ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0</v>
          </cell>
          <cell r="BK312">
            <v>0</v>
          </cell>
          <cell r="BL312">
            <v>0</v>
          </cell>
          <cell r="BM312">
            <v>0</v>
          </cell>
          <cell r="BN312">
            <v>0</v>
          </cell>
          <cell r="BO312">
            <v>0</v>
          </cell>
          <cell r="BQ312">
            <v>0</v>
          </cell>
          <cell r="BR312">
            <v>0</v>
          </cell>
          <cell r="BS312">
            <v>0</v>
          </cell>
          <cell r="BT312">
            <v>0</v>
          </cell>
          <cell r="BU312">
            <v>0</v>
          </cell>
          <cell r="BW312">
            <v>0</v>
          </cell>
          <cell r="BX312">
            <v>0</v>
          </cell>
          <cell r="BY312">
            <v>0</v>
          </cell>
          <cell r="BZ312">
            <v>0</v>
          </cell>
          <cell r="CA312">
            <v>0</v>
          </cell>
          <cell r="CC312">
            <v>0</v>
          </cell>
          <cell r="CD312">
            <v>0</v>
          </cell>
          <cell r="CE312">
            <v>0</v>
          </cell>
          <cell r="CF312">
            <v>0</v>
          </cell>
          <cell r="CG312">
            <v>0</v>
          </cell>
          <cell r="CI312">
            <v>0</v>
          </cell>
          <cell r="CJ312">
            <v>0</v>
          </cell>
          <cell r="CK312">
            <v>0</v>
          </cell>
          <cell r="CL312">
            <v>0</v>
          </cell>
          <cell r="CM312">
            <v>0</v>
          </cell>
          <cell r="CO312">
            <v>0</v>
          </cell>
          <cell r="CP312">
            <v>0</v>
          </cell>
          <cell r="CQ312">
            <v>0</v>
          </cell>
          <cell r="CR312">
            <v>0</v>
          </cell>
          <cell r="CS312">
            <v>0</v>
          </cell>
          <cell r="CU312">
            <v>0</v>
          </cell>
          <cell r="CV312">
            <v>0</v>
          </cell>
          <cell r="CW312">
            <v>0</v>
          </cell>
          <cell r="CX312">
            <v>0</v>
          </cell>
          <cell r="CY312">
            <v>0</v>
          </cell>
          <cell r="DA312">
            <v>0</v>
          </cell>
          <cell r="DB312">
            <v>0</v>
          </cell>
          <cell r="DC312">
            <v>0</v>
          </cell>
          <cell r="DE312">
            <v>0</v>
          </cell>
          <cell r="DG312">
            <v>0</v>
          </cell>
          <cell r="DH312">
            <v>0</v>
          </cell>
          <cell r="DI312">
            <v>0</v>
          </cell>
          <cell r="DJ312">
            <v>0</v>
          </cell>
          <cell r="DK312">
            <v>0</v>
          </cell>
          <cell r="DM312">
            <v>0</v>
          </cell>
          <cell r="DN312">
            <v>0</v>
          </cell>
          <cell r="DO312">
            <v>0</v>
          </cell>
          <cell r="DP312">
            <v>0</v>
          </cell>
          <cell r="DQ312">
            <v>0</v>
          </cell>
          <cell r="DS312">
            <v>0</v>
          </cell>
          <cell r="DT312">
            <v>0</v>
          </cell>
          <cell r="DU312">
            <v>0</v>
          </cell>
          <cell r="DV312">
            <v>0</v>
          </cell>
          <cell r="DW312">
            <v>0</v>
          </cell>
          <cell r="DY312">
            <v>0</v>
          </cell>
          <cell r="DZ312">
            <v>0</v>
          </cell>
          <cell r="EA312">
            <v>0</v>
          </cell>
          <cell r="EB312">
            <v>0</v>
          </cell>
          <cell r="EC312">
            <v>0</v>
          </cell>
          <cell r="EE312">
            <v>0</v>
          </cell>
          <cell r="EF312">
            <v>0</v>
          </cell>
          <cell r="EG312">
            <v>0</v>
          </cell>
          <cell r="EH312">
            <v>0</v>
          </cell>
          <cell r="EI312">
            <v>0</v>
          </cell>
          <cell r="EK312">
            <v>0</v>
          </cell>
          <cell r="EL312">
            <v>0</v>
          </cell>
          <cell r="EM312">
            <v>0</v>
          </cell>
          <cell r="EN312">
            <v>0</v>
          </cell>
          <cell r="EO312">
            <v>0</v>
          </cell>
          <cell r="EQ312">
            <v>0</v>
          </cell>
          <cell r="ER312">
            <v>0</v>
          </cell>
          <cell r="ES312">
            <v>0</v>
          </cell>
          <cell r="ET312">
            <v>0</v>
          </cell>
          <cell r="EU312">
            <v>0</v>
          </cell>
          <cell r="EW312">
            <v>0</v>
          </cell>
          <cell r="EX312">
            <v>0</v>
          </cell>
          <cell r="EY312">
            <v>0</v>
          </cell>
          <cell r="EZ312">
            <v>0</v>
          </cell>
          <cell r="FA312">
            <v>0</v>
          </cell>
        </row>
        <row r="313">
          <cell r="C313">
            <v>0.50600000000000001</v>
          </cell>
          <cell r="D313">
            <v>0.628</v>
          </cell>
          <cell r="E313">
            <v>0.60099999999999998</v>
          </cell>
          <cell r="F313">
            <v>0.64501062865240877</v>
          </cell>
          <cell r="G313">
            <v>0.44007188608819869</v>
          </cell>
          <cell r="H313">
            <v>0.46730387118876332</v>
          </cell>
          <cell r="I313">
            <v>0.5075066292735626</v>
          </cell>
          <cell r="J313">
            <v>0.53651202540203835</v>
          </cell>
          <cell r="K313">
            <v>0.48043341815097546</v>
          </cell>
          <cell r="L313">
            <v>0.42982501663339984</v>
          </cell>
          <cell r="M313">
            <v>0.37468311923112096</v>
          </cell>
          <cell r="O313">
            <v>0.39161218673289316</v>
          </cell>
          <cell r="P313">
            <v>0.36412693202840607</v>
          </cell>
          <cell r="Q313">
            <v>0.36180797374852025</v>
          </cell>
          <cell r="R313">
            <v>0.37336657893521724</v>
          </cell>
          <cell r="S313">
            <v>0.37188755317879607</v>
          </cell>
          <cell r="U313">
            <v>0.36152100989501212</v>
          </cell>
          <cell r="V313">
            <v>0.36882109617373315</v>
          </cell>
          <cell r="W313">
            <v>0.35803571516085936</v>
          </cell>
          <cell r="X313">
            <v>0.3744865355166474</v>
          </cell>
          <cell r="Y313">
            <v>0.36684547618393615</v>
          </cell>
          <cell r="AA313">
            <v>0.34195904473833511</v>
          </cell>
          <cell r="AB313">
            <v>0.34672667501923554</v>
          </cell>
          <cell r="AC313">
            <v>0.33539023745221708</v>
          </cell>
          <cell r="AD313">
            <v>0.35702460587126184</v>
          </cell>
          <cell r="AE313">
            <v>0.34663573722594865</v>
          </cell>
          <cell r="AG313">
            <v>0.32834731609815115</v>
          </cell>
          <cell r="AH313">
            <v>0.32749653442001037</v>
          </cell>
          <cell r="AI313">
            <v>0.32458426184998829</v>
          </cell>
          <cell r="AJ313">
            <v>0.34227061540202436</v>
          </cell>
          <cell r="AK313">
            <v>0.3319360038298596</v>
          </cell>
          <cell r="AM313">
            <v>0.29162030975753384</v>
          </cell>
          <cell r="AN313">
            <v>0.28782641939663722</v>
          </cell>
          <cell r="AO313">
            <v>0.27262039905335461</v>
          </cell>
          <cell r="AP313">
            <v>0.32405773426771106</v>
          </cell>
          <cell r="AQ313">
            <v>0.29707761826670404</v>
          </cell>
          <cell r="AS313">
            <v>0.27131337247299975</v>
          </cell>
          <cell r="AT313">
            <v>0.27194867269367151</v>
          </cell>
          <cell r="AU313">
            <v>0.24279073641167009</v>
          </cell>
          <cell r="AV313">
            <v>0.25255355909800814</v>
          </cell>
          <cell r="AW313">
            <v>0.25831351785485829</v>
          </cell>
          <cell r="AY313">
            <v>0.25042220427344153</v>
          </cell>
          <cell r="AZ313">
            <v>0.23855832770003665</v>
          </cell>
          <cell r="BA313">
            <v>0.24688045007867032</v>
          </cell>
          <cell r="BB313">
            <v>0.2467572175805339</v>
          </cell>
          <cell r="BC313">
            <v>0.24554307337529421</v>
          </cell>
          <cell r="BE313">
            <v>0.23640971190545043</v>
          </cell>
          <cell r="BF313">
            <v>0.23993577649818082</v>
          </cell>
          <cell r="BG313">
            <v>0.22846999094669204</v>
          </cell>
          <cell r="BH313">
            <v>0.2118010181035847</v>
          </cell>
          <cell r="BI313">
            <v>0.22837054406105872</v>
          </cell>
          <cell r="BK313">
            <v>0.23224852071005916</v>
          </cell>
          <cell r="BL313">
            <v>0.22174101342572541</v>
          </cell>
          <cell r="BM313">
            <v>0.22583441699176421</v>
          </cell>
          <cell r="BN313">
            <v>0.20060747333474604</v>
          </cell>
          <cell r="BO313">
            <v>0.21867150727146084</v>
          </cell>
          <cell r="BQ313">
            <v>0.22393822393822393</v>
          </cell>
          <cell r="BR313">
            <v>0.21016813450760607</v>
          </cell>
          <cell r="BS313">
            <v>0.21004384216819449</v>
          </cell>
          <cell r="BT313">
            <v>0.20149496262593436</v>
          </cell>
          <cell r="BU313">
            <v>0.21031902323749507</v>
          </cell>
          <cell r="BW313">
            <v>0.21670428893905191</v>
          </cell>
          <cell r="BX313">
            <v>0.2013788098693759</v>
          </cell>
          <cell r="BY313">
            <v>0.21564823795667637</v>
          </cell>
          <cell r="BZ313">
            <v>0.19802712700369915</v>
          </cell>
          <cell r="CA313">
            <v>0.2067002227906593</v>
          </cell>
          <cell r="CC313">
            <v>0.2108703130374957</v>
          </cell>
          <cell r="CD313">
            <v>0.20771950500883912</v>
          </cell>
          <cell r="CE313">
            <v>0.21333182435491171</v>
          </cell>
          <cell r="CF313">
            <v>0.22240226858416043</v>
          </cell>
          <cell r="CG313">
            <v>0.21458936936449055</v>
          </cell>
          <cell r="CI313">
            <v>0.20213056541928434</v>
          </cell>
          <cell r="CJ313">
            <v>0.21513282732447817</v>
          </cell>
          <cell r="CK313">
            <v>0.21532928748033267</v>
          </cell>
          <cell r="CL313">
            <v>0.21485636579976203</v>
          </cell>
          <cell r="CM313">
            <v>0.21247734636718107</v>
          </cell>
          <cell r="CO313">
            <v>0.20923143914652734</v>
          </cell>
          <cell r="CP313">
            <v>0.2017151379567487</v>
          </cell>
          <cell r="CQ313">
            <v>0.19940420778253584</v>
          </cell>
          <cell r="CR313">
            <v>0.20780112621892596</v>
          </cell>
          <cell r="CS313">
            <v>0.20465301428634614</v>
          </cell>
          <cell r="CU313">
            <v>0.20158613057912209</v>
          </cell>
          <cell r="CV313">
            <v>0.19869878670652366</v>
          </cell>
          <cell r="CW313">
            <v>0.18859011627906977</v>
          </cell>
          <cell r="CX313">
            <v>0.19037930533352709</v>
          </cell>
          <cell r="CY313">
            <v>0.19456031327147358</v>
          </cell>
          <cell r="DA313">
            <v>0.18645072091645271</v>
          </cell>
          <cell r="DB313">
            <v>0.18954359673024523</v>
          </cell>
          <cell r="DC313">
            <v>0.18858008470646428</v>
          </cell>
          <cell r="DE313">
            <v>0.18486872766816839</v>
          </cell>
          <cell r="DG313">
            <v>0.17264101212440697</v>
          </cell>
          <cell r="DH313">
            <v>0.17379802162410857</v>
          </cell>
          <cell r="DI313">
            <v>0.18121948450096514</v>
          </cell>
          <cell r="DJ313">
            <v>0.19202295021284471</v>
          </cell>
          <cell r="DK313">
            <v>0.18086084412870873</v>
          </cell>
          <cell r="DM313">
            <v>0.19099785663253155</v>
          </cell>
          <cell r="DN313">
            <v>0.18930881852230166</v>
          </cell>
          <cell r="DO313">
            <v>0.18427913181620922</v>
          </cell>
          <cell r="DP313">
            <v>0.18858172452041955</v>
          </cell>
          <cell r="DQ313">
            <v>0.18825141939676154</v>
          </cell>
          <cell r="DS313">
            <v>0.18370081617736631</v>
          </cell>
          <cell r="DT313">
            <v>0.18983869197849226</v>
          </cell>
          <cell r="DU313">
            <v>0.19732441471571907</v>
          </cell>
          <cell r="DV313">
            <v>0.19085849831219778</v>
          </cell>
          <cell r="DW313">
            <v>0.1905886774219526</v>
          </cell>
          <cell r="DY313">
            <v>0.18864097363083165</v>
          </cell>
          <cell r="DZ313">
            <v>0.1982117849833028</v>
          </cell>
          <cell r="EA313">
            <v>0.19205582393988191</v>
          </cell>
          <cell r="EB313">
            <v>0.19380187179939962</v>
          </cell>
          <cell r="EC313">
            <v>0.19331679937344995</v>
          </cell>
          <cell r="EE313">
            <v>0.19339458076520524</v>
          </cell>
          <cell r="EF313">
            <v>0.19296419650291424</v>
          </cell>
          <cell r="EG313">
            <v>0.19220055710306408</v>
          </cell>
          <cell r="EH313">
            <v>0.20192307692307693</v>
          </cell>
          <cell r="EI313">
            <v>0.19538336862468303</v>
          </cell>
          <cell r="EK313">
            <v>0.19879304224352148</v>
          </cell>
          <cell r="EL313">
            <v>0.21009337483325924</v>
          </cell>
          <cell r="EM313">
            <v>0.20300000000000001</v>
          </cell>
          <cell r="EN313">
            <v>0.19600000000000001</v>
          </cell>
          <cell r="EO313">
            <v>0.20179659864288443</v>
          </cell>
          <cell r="EQ313">
            <v>0.1958</v>
          </cell>
          <cell r="ER313">
            <v>0.20710000000000001</v>
          </cell>
          <cell r="ES313">
            <v>0.20300000000000001</v>
          </cell>
          <cell r="ET313">
            <v>0.19400000000000001</v>
          </cell>
          <cell r="EU313">
            <v>0.19984182301043482</v>
          </cell>
          <cell r="EW313">
            <v>0.1958</v>
          </cell>
          <cell r="EX313">
            <v>0.20610000000000001</v>
          </cell>
          <cell r="EY313">
            <v>0.2</v>
          </cell>
          <cell r="EZ313">
            <v>0.20499999999999996</v>
          </cell>
          <cell r="FA313">
            <v>0.20188298957364451</v>
          </cell>
        </row>
        <row r="314">
          <cell r="C314">
            <v>0.158</v>
          </cell>
          <cell r="D314">
            <v>0.16800000000000001</v>
          </cell>
          <cell r="E314">
            <v>0.126</v>
          </cell>
          <cell r="F314">
            <v>7.3173890848692177E-2</v>
          </cell>
          <cell r="G314">
            <v>9.1126605296459218E-2</v>
          </cell>
          <cell r="H314">
            <v>9.004796163069545E-2</v>
          </cell>
          <cell r="I314">
            <v>9.6346533681074653E-2</v>
          </cell>
          <cell r="J314">
            <v>8.0480646413392101E-2</v>
          </cell>
          <cell r="K314">
            <v>9.384308736217134E-2</v>
          </cell>
          <cell r="L314">
            <v>9.7418496340652028E-2</v>
          </cell>
          <cell r="M314">
            <v>9.8486517981937374E-2</v>
          </cell>
          <cell r="O314">
            <v>9.9118736904150045E-2</v>
          </cell>
          <cell r="P314">
            <v>8.5376260667183859E-2</v>
          </cell>
          <cell r="Q314">
            <v>9.3961190454762575E-2</v>
          </cell>
          <cell r="R314">
            <v>7.9430855730396238E-2</v>
          </cell>
          <cell r="S314">
            <v>8.8003955673270018E-2</v>
          </cell>
          <cell r="U314">
            <v>0.10940745241985325</v>
          </cell>
          <cell r="V314">
            <v>9.645501551189245E-2</v>
          </cell>
          <cell r="W314">
            <v>9.0963980008605824E-2</v>
          </cell>
          <cell r="X314">
            <v>8.0989758714381938E-2</v>
          </cell>
          <cell r="Y314">
            <v>9.2134101928528611E-2</v>
          </cell>
          <cell r="AA314">
            <v>0.11138162477347649</v>
          </cell>
          <cell r="AB314">
            <v>0.10317430662366849</v>
          </cell>
          <cell r="AC314">
            <v>0.10092210987364975</v>
          </cell>
          <cell r="AD314">
            <v>8.4413441059202857E-2</v>
          </cell>
          <cell r="AE314">
            <v>9.7720472540680225E-2</v>
          </cell>
          <cell r="AG314">
            <v>0.11664504232818149</v>
          </cell>
          <cell r="AH314">
            <v>0.11353655234125724</v>
          </cell>
          <cell r="AI314">
            <v>0.10527820617730192</v>
          </cell>
          <cell r="AJ314">
            <v>7.9647162155608603E-2</v>
          </cell>
          <cell r="AK314">
            <v>0.10066581605335488</v>
          </cell>
          <cell r="AM314">
            <v>0.10726769614260967</v>
          </cell>
          <cell r="AN314">
            <v>9.7608689730848686E-2</v>
          </cell>
          <cell r="AO314">
            <v>0.1009168221961403</v>
          </cell>
          <cell r="AP314">
            <v>8.2665313979855118E-2</v>
          </cell>
          <cell r="AQ314">
            <v>9.5319132160269118E-2</v>
          </cell>
          <cell r="AS314">
            <v>0.11889089385477675</v>
          </cell>
          <cell r="AT314">
            <v>0.10687877037731876</v>
          </cell>
          <cell r="AU314">
            <v>0.10433172288274195</v>
          </cell>
          <cell r="AV314">
            <v>8.0084224626664396E-2</v>
          </cell>
          <cell r="AW314">
            <v>9.969094171366838E-2</v>
          </cell>
          <cell r="AY314">
            <v>0.1097149815209144</v>
          </cell>
          <cell r="AZ314">
            <v>9.912120571409852E-2</v>
          </cell>
          <cell r="BA314">
            <v>0.11181308144990731</v>
          </cell>
          <cell r="BB314">
            <v>9.720566647316449E-2</v>
          </cell>
          <cell r="BC314">
            <v>0.10387948133201809</v>
          </cell>
          <cell r="BE314">
            <v>0.11182951407360971</v>
          </cell>
          <cell r="BF314">
            <v>0.10816627367159896</v>
          </cell>
          <cell r="BG314">
            <v>0.12569497452647649</v>
          </cell>
          <cell r="BH314">
            <v>0.1017101414897939</v>
          </cell>
          <cell r="BI314">
            <v>0.11125597332642186</v>
          </cell>
          <cell r="BK314">
            <v>0.14102564102564102</v>
          </cell>
          <cell r="BL314">
            <v>0.12776093546990039</v>
          </cell>
          <cell r="BM314">
            <v>0.1304724750758561</v>
          </cell>
          <cell r="BN314">
            <v>0.10524828706646888</v>
          </cell>
          <cell r="BO314">
            <v>0.12453300124533001</v>
          </cell>
          <cell r="BQ314">
            <v>0.14382239382239381</v>
          </cell>
          <cell r="BR314">
            <v>0.12930344275420336</v>
          </cell>
          <cell r="BS314">
            <v>0.13072937425269032</v>
          </cell>
          <cell r="BT314">
            <v>0.10692232694182645</v>
          </cell>
          <cell r="BU314">
            <v>0.12583694367861362</v>
          </cell>
          <cell r="BW314">
            <v>0.14085778781038374</v>
          </cell>
          <cell r="BX314">
            <v>0.11865021770682148</v>
          </cell>
          <cell r="BY314">
            <v>0.12641448431943098</v>
          </cell>
          <cell r="BZ314">
            <v>0.11122071516646116</v>
          </cell>
          <cell r="CA314">
            <v>0.1222048023764337</v>
          </cell>
          <cell r="CC314">
            <v>0.13622291021671826</v>
          </cell>
          <cell r="CD314">
            <v>0.13671184443134943</v>
          </cell>
          <cell r="CE314">
            <v>0.13128112267994568</v>
          </cell>
          <cell r="CF314">
            <v>0.10787927891432045</v>
          </cell>
          <cell r="CG314">
            <v>0.12568032276407354</v>
          </cell>
          <cell r="CI314">
            <v>0.13220431576072111</v>
          </cell>
          <cell r="CJ314">
            <v>0.11812144212523719</v>
          </cell>
          <cell r="CK314">
            <v>0.12339851652056642</v>
          </cell>
          <cell r="CL314">
            <v>9.8419173890872E-2</v>
          </cell>
          <cell r="CM314">
            <v>0.11587676423746499</v>
          </cell>
          <cell r="CO314">
            <v>0.13585891574134554</v>
          </cell>
          <cell r="CP314">
            <v>0.12099179716629381</v>
          </cell>
          <cell r="CQ314">
            <v>0.12120647924036493</v>
          </cell>
          <cell r="CR314">
            <v>9.6552671336354895E-2</v>
          </cell>
          <cell r="CS314">
            <v>0.11619266663717988</v>
          </cell>
          <cell r="CU314">
            <v>0.12375507192917742</v>
          </cell>
          <cell r="CV314">
            <v>0.10655881835765782</v>
          </cell>
          <cell r="CW314">
            <v>0.1159156976744186</v>
          </cell>
          <cell r="CX314">
            <v>0.10129341665455602</v>
          </cell>
          <cell r="CY314">
            <v>0.11117732186941347</v>
          </cell>
          <cell r="DA314">
            <v>0.12403713213509777</v>
          </cell>
          <cell r="DB314">
            <v>0.11307901907356949</v>
          </cell>
          <cell r="DC314">
            <v>0.12010387362042849</v>
          </cell>
          <cell r="DE314">
            <v>0.11399868320794217</v>
          </cell>
          <cell r="DG314">
            <v>0.13758566157090144</v>
          </cell>
          <cell r="DH314">
            <v>0.12238325281803543</v>
          </cell>
          <cell r="DI314">
            <v>0.12138071988191211</v>
          </cell>
          <cell r="DJ314">
            <v>0.10272071071626875</v>
          </cell>
          <cell r="DK314">
            <v>0.11943167572085249</v>
          </cell>
          <cell r="DM314">
            <v>0.11657537508930697</v>
          </cell>
          <cell r="DN314">
            <v>0.11735330836454431</v>
          </cell>
          <cell r="DO314">
            <v>0.118181407290515</v>
          </cell>
          <cell r="DP314">
            <v>0.10447336215562227</v>
          </cell>
          <cell r="DQ314">
            <v>0.11359026704859539</v>
          </cell>
          <cell r="DS314">
            <v>0.13619198440735777</v>
          </cell>
          <cell r="DT314">
            <v>0.1218040162405355</v>
          </cell>
          <cell r="DU314">
            <v>0.12263099219620958</v>
          </cell>
          <cell r="DV314">
            <v>0.10683331812790804</v>
          </cell>
          <cell r="DW314">
            <v>0.12076879714385419</v>
          </cell>
          <cell r="DY314">
            <v>0.13602195442071352</v>
          </cell>
          <cell r="DZ314">
            <v>0.12776042227728104</v>
          </cell>
          <cell r="EA314">
            <v>0.12807300053676865</v>
          </cell>
          <cell r="EB314">
            <v>0.11018894578845136</v>
          </cell>
          <cell r="EC314">
            <v>0.12444850541704738</v>
          </cell>
          <cell r="EE314">
            <v>0.14199325502965462</v>
          </cell>
          <cell r="EF314">
            <v>0.13062031640299751</v>
          </cell>
          <cell r="EG314">
            <v>0.13199057210199272</v>
          </cell>
          <cell r="EH314">
            <v>0.12070575056011949</v>
          </cell>
          <cell r="EI314">
            <v>0.13073484432593521</v>
          </cell>
          <cell r="EK314">
            <v>0.14696485623003194</v>
          </cell>
          <cell r="EL314">
            <v>0.14373054690973766</v>
          </cell>
          <cell r="EM314">
            <v>0.14299999999999999</v>
          </cell>
          <cell r="EN314">
            <v>0.126</v>
          </cell>
          <cell r="EO314">
            <v>0.13930520419832404</v>
          </cell>
          <cell r="EQ314">
            <v>0.15</v>
          </cell>
          <cell r="ER314">
            <v>0.14299999999999999</v>
          </cell>
          <cell r="ES314">
            <v>0.14599999999999999</v>
          </cell>
          <cell r="ET314">
            <v>0.13100000000000001</v>
          </cell>
          <cell r="EU314">
            <v>0.14203996707877176</v>
          </cell>
          <cell r="EW314">
            <v>0.155</v>
          </cell>
          <cell r="EX314">
            <v>0.14799999999999999</v>
          </cell>
          <cell r="EY314">
            <v>0.14699999999999999</v>
          </cell>
          <cell r="EZ314">
            <v>0.13300000000000001</v>
          </cell>
          <cell r="FA314">
            <v>0.1452856437735375</v>
          </cell>
        </row>
        <row r="315">
          <cell r="C315">
            <v>0.13100000000000001</v>
          </cell>
          <cell r="D315">
            <v>8.5999999999999993E-2</v>
          </cell>
          <cell r="E315">
            <v>7.6999999999999999E-2</v>
          </cell>
          <cell r="F315">
            <v>6.5547166073646274E-2</v>
          </cell>
          <cell r="G315">
            <v>6.0688447536979856E-2</v>
          </cell>
          <cell r="H315">
            <v>5.88283658787256E-2</v>
          </cell>
          <cell r="I315">
            <v>7.3394515435567825E-2</v>
          </cell>
          <cell r="J315">
            <v>9.7770414680105722E-2</v>
          </cell>
          <cell r="K315">
            <v>9.0075487701441914E-2</v>
          </cell>
          <cell r="L315">
            <v>8.1689288090485687E-2</v>
          </cell>
          <cell r="M315">
            <v>6.7510782566198288E-2</v>
          </cell>
          <cell r="O315">
            <v>7.0675359495681739E-2</v>
          </cell>
          <cell r="P315">
            <v>6.4863937458972371E-2</v>
          </cell>
          <cell r="Q315">
            <v>5.819908756723826E-2</v>
          </cell>
          <cell r="R315">
            <v>4.8495941069616327E-2</v>
          </cell>
          <cell r="S315">
            <v>5.8715929674223212E-2</v>
          </cell>
          <cell r="U315">
            <v>6.6996370835562966E-2</v>
          </cell>
          <cell r="V315">
            <v>5.9180972078593588E-2</v>
          </cell>
          <cell r="W315">
            <v>5.4268656657900739E-2</v>
          </cell>
          <cell r="X315">
            <v>4.7018115204559334E-2</v>
          </cell>
          <cell r="Y315">
            <v>5.5205919041769157E-2</v>
          </cell>
          <cell r="AA315">
            <v>6.6784881770641791E-2</v>
          </cell>
          <cell r="AB315">
            <v>5.3161076215538977E-2</v>
          </cell>
          <cell r="AC315">
            <v>5.4899669462550628E-2</v>
          </cell>
          <cell r="AD315">
            <v>4.7671725963293193E-2</v>
          </cell>
          <cell r="AE315">
            <v>5.4221812362956728E-2</v>
          </cell>
          <cell r="AG315">
            <v>5.516690190440289E-2</v>
          </cell>
          <cell r="AH315">
            <v>5.043170251225889E-2</v>
          </cell>
          <cell r="AI315">
            <v>5.2815228187792815E-2</v>
          </cell>
          <cell r="AJ315">
            <v>4.9448861848838142E-2</v>
          </cell>
          <cell r="AK315">
            <v>5.1590560571903303E-2</v>
          </cell>
          <cell r="AM315">
            <v>5.3904557174791749E-2</v>
          </cell>
          <cell r="AN315">
            <v>4.9416715630386812E-2</v>
          </cell>
          <cell r="AO315">
            <v>4.9863871625651777E-2</v>
          </cell>
          <cell r="AP315">
            <v>4.3112475274167103E-2</v>
          </cell>
          <cell r="AQ315">
            <v>4.8309258645839043E-2</v>
          </cell>
          <cell r="AS315">
            <v>5.4187996373928772E-2</v>
          </cell>
          <cell r="AT315">
            <v>4.8691083917665107E-2</v>
          </cell>
          <cell r="AU315">
            <v>4.9884503175856479E-2</v>
          </cell>
          <cell r="AV315">
            <v>4.0861094564518363E-2</v>
          </cell>
          <cell r="AW315">
            <v>4.7448363929853597E-2</v>
          </cell>
          <cell r="AY315">
            <v>4.63135360613149E-2</v>
          </cell>
          <cell r="AZ315">
            <v>4.1468756793458031E-2</v>
          </cell>
          <cell r="BA315">
            <v>4.4720781643745579E-2</v>
          </cell>
          <cell r="BB315">
            <v>3.6073769918820268E-2</v>
          </cell>
          <cell r="BC315">
            <v>4.1660508296373994E-2</v>
          </cell>
          <cell r="BE315">
            <v>4.3095642269172278E-2</v>
          </cell>
          <cell r="BF315">
            <v>4.1554134808020546E-2</v>
          </cell>
          <cell r="BG315">
            <v>4.6637849928106094E-2</v>
          </cell>
          <cell r="BH315">
            <v>3.9507119911780214E-2</v>
          </cell>
          <cell r="BI315">
            <v>4.2512333304351696E-2</v>
          </cell>
          <cell r="BK315">
            <v>5.0295857988165681E-2</v>
          </cell>
          <cell r="BL315">
            <v>4.7206582936336075E-2</v>
          </cell>
          <cell r="BM315">
            <v>4.9848287819679239E-2</v>
          </cell>
          <cell r="BN315">
            <v>4.0615949706858799E-2</v>
          </cell>
          <cell r="BO315">
            <v>4.654157080439876E-2</v>
          </cell>
          <cell r="BQ315">
            <v>6.3223938223938222E-2</v>
          </cell>
          <cell r="BR315">
            <v>5.4843875100080063E-2</v>
          </cell>
          <cell r="BS315">
            <v>5.7791948983658831E-2</v>
          </cell>
          <cell r="BT315">
            <v>4.809879753006175E-2</v>
          </cell>
          <cell r="BU315">
            <v>5.5238282788499411E-2</v>
          </cell>
          <cell r="BW315">
            <v>5.6207674943566592E-2</v>
          </cell>
          <cell r="BX315">
            <v>4.7060957910014509E-2</v>
          </cell>
          <cell r="BY315">
            <v>4.7203362431296476E-2</v>
          </cell>
          <cell r="BZ315">
            <v>3.6991368680641186E-2</v>
          </cell>
          <cell r="CA315">
            <v>4.5399785460846609E-2</v>
          </cell>
          <cell r="CC315">
            <v>5.3663570691434466E-2</v>
          </cell>
          <cell r="CD315">
            <v>3.2115497937536833E-2</v>
          </cell>
          <cell r="CE315">
            <v>4.130828429153463E-2</v>
          </cell>
          <cell r="CF315">
            <v>2.9278914320437516E-2</v>
          </cell>
          <cell r="CG315">
            <v>3.7607294684682241E-2</v>
          </cell>
          <cell r="CI315">
            <v>3.9606664845670582E-2</v>
          </cell>
          <cell r="CJ315">
            <v>3.747628083491461E-2</v>
          </cell>
          <cell r="CK315">
            <v>3.6637446617217351E-2</v>
          </cell>
          <cell r="CL315">
            <v>2.991670916199218E-2</v>
          </cell>
          <cell r="CM315">
            <v>3.5257290350925369E-2</v>
          </cell>
          <cell r="CO315">
            <v>3.8101458741563246E-2</v>
          </cell>
          <cell r="CP315">
            <v>3.4862043251304993E-2</v>
          </cell>
          <cell r="CQ315">
            <v>3.537516291193446E-2</v>
          </cell>
          <cell r="CR315">
            <v>2.554594149155336E-2</v>
          </cell>
          <cell r="CS315">
            <v>3.2641868282542348E-2</v>
          </cell>
          <cell r="CU315">
            <v>3.3566949465142014E-2</v>
          </cell>
          <cell r="CV315">
            <v>2.6727624406541233E-2</v>
          </cell>
          <cell r="CW315">
            <v>3.0523255813953487E-2</v>
          </cell>
          <cell r="CX315">
            <v>2.7466937945066123E-2</v>
          </cell>
          <cell r="CY315">
            <v>2.9411764705882353E-2</v>
          </cell>
          <cell r="DA315">
            <v>3.3971953387319773E-2</v>
          </cell>
          <cell r="DB315">
            <v>2.5544959128065394E-2</v>
          </cell>
          <cell r="DC315">
            <v>3.1223915664512939E-2</v>
          </cell>
          <cell r="DE315">
            <v>2.8888050481960689E-2</v>
          </cell>
          <cell r="DG315">
            <v>3.1101739588824461E-2</v>
          </cell>
          <cell r="DH315">
            <v>1.3802622498274672E-2</v>
          </cell>
          <cell r="DI315">
            <v>2.827296468718065E-2</v>
          </cell>
          <cell r="DJ315">
            <v>2.0359059781602813E-2</v>
          </cell>
          <cell r="DK315">
            <v>2.2983702465524447E-2</v>
          </cell>
          <cell r="DM315">
            <v>3.2269587997142177E-2</v>
          </cell>
          <cell r="DN315">
            <v>2.6898195437521279E-2</v>
          </cell>
          <cell r="DO315">
            <v>2.4276292814111394E-2</v>
          </cell>
          <cell r="DP315">
            <v>2.155219708804795E-2</v>
          </cell>
          <cell r="DQ315">
            <v>2.5899010746179268E-2</v>
          </cell>
          <cell r="DS315">
            <v>2.8505299062005118E-2</v>
          </cell>
          <cell r="DT315">
            <v>2.4360803248107101E-2</v>
          </cell>
          <cell r="DU315">
            <v>2.4526198439241916E-2</v>
          </cell>
          <cell r="DV315">
            <v>2.1074719459903295E-2</v>
          </cell>
          <cell r="DW315">
            <v>2.4347032453762112E-2</v>
          </cell>
          <cell r="DY315">
            <v>2.6011215845364515E-2</v>
          </cell>
          <cell r="DZ315">
            <v>2.3699235161047074E-2</v>
          </cell>
          <cell r="EA315">
            <v>2.2436929683306496E-2</v>
          </cell>
          <cell r="EB315">
            <v>1.9424333392194949E-2</v>
          </cell>
          <cell r="EC315">
            <v>2.2634120871948833E-2</v>
          </cell>
          <cell r="EE315">
            <v>2.6863588789394117E-2</v>
          </cell>
          <cell r="EF315">
            <v>2.3834304746044963E-2</v>
          </cell>
          <cell r="EG315">
            <v>2.3891150632097707E-2</v>
          </cell>
          <cell r="EH315">
            <v>2.3058252427184466E-2</v>
          </cell>
          <cell r="EI315">
            <v>2.4311818680887772E-2</v>
          </cell>
          <cell r="EK315">
            <v>2.6979055733049342E-2</v>
          </cell>
          <cell r="EL315">
            <v>2.8679413072476657E-2</v>
          </cell>
          <cell r="EM315">
            <v>2.5000000000000001E-2</v>
          </cell>
          <cell r="EN315">
            <v>2.3E-2</v>
          </cell>
          <cell r="EO315">
            <v>2.5785494861562442E-2</v>
          </cell>
          <cell r="EQ315">
            <v>2.5999999999999999E-2</v>
          </cell>
          <cell r="ER315">
            <v>2.7699999999999999E-2</v>
          </cell>
          <cell r="ES315">
            <v>2.4E-2</v>
          </cell>
          <cell r="ET315">
            <v>2.1999999999999999E-2</v>
          </cell>
          <cell r="EU315">
            <v>2.4814956803501969E-2</v>
          </cell>
          <cell r="EW315">
            <v>2.4999999999999998E-2</v>
          </cell>
          <cell r="EX315">
            <v>2.6699999999999998E-2</v>
          </cell>
          <cell r="EY315">
            <v>2.3E-2</v>
          </cell>
          <cell r="EZ315">
            <v>2.0999999999999998E-2</v>
          </cell>
          <cell r="FA315">
            <v>2.3828282405866822E-2</v>
          </cell>
        </row>
        <row r="316">
          <cell r="C316">
            <v>0.79500000000000004</v>
          </cell>
          <cell r="D316">
            <v>0.88200000000000001</v>
          </cell>
          <cell r="E316">
            <v>0.80399999999999994</v>
          </cell>
          <cell r="F316">
            <v>0.78373168557474715</v>
          </cell>
          <cell r="G316">
            <v>0.5918869389216378</v>
          </cell>
          <cell r="H316">
            <v>0.61618019869818441</v>
          </cell>
          <cell r="I316">
            <v>0.67724767839020505</v>
          </cell>
          <cell r="J316">
            <v>0.71476308649553622</v>
          </cell>
          <cell r="K316">
            <v>0.6643519932145886</v>
          </cell>
          <cell r="L316">
            <v>0.60893280106453751</v>
          </cell>
          <cell r="M316">
            <v>0.54068041977925663</v>
          </cell>
          <cell r="O316">
            <v>0.561406283132725</v>
          </cell>
          <cell r="P316">
            <v>0.51436713015456226</v>
          </cell>
          <cell r="Q316">
            <v>0.51396825177052108</v>
          </cell>
          <cell r="R316">
            <v>0.50129337573522981</v>
          </cell>
          <cell r="S316">
            <v>0.51860743852628932</v>
          </cell>
          <cell r="U316">
            <v>0.53792483315042827</v>
          </cell>
          <cell r="V316">
            <v>0.52445708376421918</v>
          </cell>
          <cell r="W316">
            <v>0.50326835182736585</v>
          </cell>
          <cell r="X316">
            <v>0.50249440943558865</v>
          </cell>
          <cell r="Y316">
            <v>0.51418549715423389</v>
          </cell>
          <cell r="AA316">
            <v>0.5201255512824533</v>
          </cell>
          <cell r="AB316">
            <v>0.50306205785844305</v>
          </cell>
          <cell r="AC316">
            <v>0.49121201678841742</v>
          </cell>
          <cell r="AD316">
            <v>0.48910977289375784</v>
          </cell>
          <cell r="AE316">
            <v>0.49857802212958563</v>
          </cell>
          <cell r="AG316">
            <v>0.50015926033073554</v>
          </cell>
          <cell r="AH316">
            <v>0.49146478927352649</v>
          </cell>
          <cell r="AI316">
            <v>0.48267769621508305</v>
          </cell>
          <cell r="AJ316">
            <v>0.47136663940647117</v>
          </cell>
          <cell r="AK316">
            <v>0.48419238045511781</v>
          </cell>
          <cell r="AM316">
            <v>0.45279256307493532</v>
          </cell>
          <cell r="AN316">
            <v>0.43485182475787265</v>
          </cell>
          <cell r="AO316">
            <v>0.42340109287514671</v>
          </cell>
          <cell r="AP316">
            <v>0.44983552352173328</v>
          </cell>
          <cell r="AQ316">
            <v>0.44070600907281221</v>
          </cell>
          <cell r="AS316">
            <v>0.44439226270170529</v>
          </cell>
          <cell r="AT316">
            <v>0.42751852698865533</v>
          </cell>
          <cell r="AU316">
            <v>0.39700696247026851</v>
          </cell>
          <cell r="AV316">
            <v>0.37349887828919093</v>
          </cell>
          <cell r="AW316">
            <v>0.40545282349838024</v>
          </cell>
          <cell r="AY316">
            <v>0.40645072185567077</v>
          </cell>
          <cell r="AZ316">
            <v>0.37914829020759322</v>
          </cell>
          <cell r="BA316">
            <v>0.40341431317232318</v>
          </cell>
          <cell r="BB316">
            <v>0.38003665397251868</v>
          </cell>
          <cell r="BC316">
            <v>0.39108306300368634</v>
          </cell>
          <cell r="BE316">
            <v>0.39133486824823238</v>
          </cell>
          <cell r="BF316">
            <v>0.3896561849778003</v>
          </cell>
          <cell r="BG316">
            <v>0.40080281540127466</v>
          </cell>
          <cell r="BH316">
            <v>0.35301827950515879</v>
          </cell>
          <cell r="BI316">
            <v>0.38213885069183229</v>
          </cell>
          <cell r="BK316">
            <v>0.42357001972386588</v>
          </cell>
          <cell r="BL316">
            <v>0.39670853183196186</v>
          </cell>
          <cell r="BM316">
            <v>0.40615517988729954</v>
          </cell>
          <cell r="BN316">
            <v>0.34647171010807376</v>
          </cell>
          <cell r="BO316">
            <v>0.3897460793211896</v>
          </cell>
          <cell r="BQ316">
            <v>0.43098455598455598</v>
          </cell>
          <cell r="BR316">
            <v>0.39431545236188953</v>
          </cell>
          <cell r="BS316">
            <v>0.39856516540454362</v>
          </cell>
          <cell r="BT316">
            <v>0.35651608709782256</v>
          </cell>
          <cell r="BU316">
            <v>0.39139424970460812</v>
          </cell>
          <cell r="BW316">
            <v>0.41376975169300223</v>
          </cell>
          <cell r="BX316">
            <v>0.36708998548621191</v>
          </cell>
          <cell r="BY316">
            <v>0.38926608470740381</v>
          </cell>
          <cell r="BZ316">
            <v>0.3462392108508015</v>
          </cell>
          <cell r="CA316">
            <v>0.37430481062793958</v>
          </cell>
          <cell r="CC316">
            <v>0.40075679394564845</v>
          </cell>
          <cell r="CD316">
            <v>0.37654684737772542</v>
          </cell>
          <cell r="CE316">
            <v>0.385921231326392</v>
          </cell>
          <cell r="CF316">
            <v>0.35956046181891832</v>
          </cell>
          <cell r="CG316">
            <v>0.37787698681324638</v>
          </cell>
          <cell r="CI316">
            <v>0.37394154602567603</v>
          </cell>
          <cell r="CJ316">
            <v>0.37073055028462998</v>
          </cell>
          <cell r="CK316">
            <v>0.37536525061811643</v>
          </cell>
          <cell r="CL316">
            <v>0.34319224885262622</v>
          </cell>
          <cell r="CM316">
            <v>0.36361140095557143</v>
          </cell>
          <cell r="CO316">
            <v>0.38319181362943611</v>
          </cell>
          <cell r="CP316">
            <v>0.35756897837434748</v>
          </cell>
          <cell r="CQ316">
            <v>0.35598584993483523</v>
          </cell>
          <cell r="CR316">
            <v>0.32989973904683423</v>
          </cell>
          <cell r="CS316">
            <v>0.3534875492060684</v>
          </cell>
          <cell r="CU316">
            <v>0.35890815197344156</v>
          </cell>
          <cell r="CV316">
            <v>0.33198522947072268</v>
          </cell>
          <cell r="CW316">
            <v>0.33502906976744184</v>
          </cell>
          <cell r="CX316">
            <v>0.31913965993314924</v>
          </cell>
          <cell r="CY316">
            <v>0.33514939984676939</v>
          </cell>
          <cell r="DA316">
            <v>0.34445980643887025</v>
          </cell>
          <cell r="DB316">
            <v>0.32816757493188009</v>
          </cell>
          <cell r="DC316">
            <v>0.33990787399140571</v>
          </cell>
          <cell r="DE316">
            <v>0.32775546135807127</v>
          </cell>
          <cell r="DG316">
            <v>0.34132841328413283</v>
          </cell>
          <cell r="DH316">
            <v>0.30998389694041867</v>
          </cell>
          <cell r="DI316">
            <v>0.33087316907005793</v>
          </cell>
          <cell r="DJ316">
            <v>0.31510272071071627</v>
          </cell>
          <cell r="DK316">
            <v>0.32327622231508568</v>
          </cell>
          <cell r="DM316">
            <v>0.33984281971898073</v>
          </cell>
          <cell r="DN316">
            <v>0.33356032232436728</v>
          </cell>
          <cell r="DO316">
            <v>0.32673683192083564</v>
          </cell>
          <cell r="DP316">
            <v>0.31460728376408975</v>
          </cell>
          <cell r="DQ316">
            <v>0.3277406971915362</v>
          </cell>
          <cell r="DS316">
            <v>0.34839809964672919</v>
          </cell>
          <cell r="DT316">
            <v>0.33600351146713486</v>
          </cell>
          <cell r="DU316">
            <v>0.34448160535117056</v>
          </cell>
          <cell r="DV316">
            <v>0.31876653590000914</v>
          </cell>
          <cell r="DW316">
            <v>0.33570450701956889</v>
          </cell>
          <cell r="DY316">
            <v>0.35067414389690965</v>
          </cell>
          <cell r="DZ316">
            <v>0.34967144242163095</v>
          </cell>
          <cell r="EA316">
            <v>0.34256575415995705</v>
          </cell>
          <cell r="EB316">
            <v>0.32341515098004592</v>
          </cell>
          <cell r="EC316">
            <v>0.34039942566244613</v>
          </cell>
          <cell r="EE316">
            <v>0.36225142458425397</v>
          </cell>
          <cell r="EF316">
            <v>0.3474188176519567</v>
          </cell>
          <cell r="EG316">
            <v>0.34808227983715451</v>
          </cell>
          <cell r="EH316">
            <v>0.34568707991038089</v>
          </cell>
          <cell r="EI316">
            <v>0.35043003163150604</v>
          </cell>
          <cell r="EK316">
            <v>0.37273695420660274</v>
          </cell>
          <cell r="EL316">
            <v>0.38250333481547355</v>
          </cell>
          <cell r="EM316">
            <v>0.371</v>
          </cell>
          <cell r="EN316">
            <v>0.34499999999999997</v>
          </cell>
          <cell r="EO316">
            <v>0.3668872977027709</v>
          </cell>
          <cell r="EQ316">
            <v>0.37179999999999996</v>
          </cell>
          <cell r="ER316">
            <v>0.37780000000000002</v>
          </cell>
          <cell r="ES316">
            <v>0.37300000000000005</v>
          </cell>
          <cell r="ET316">
            <v>0.34700000000000003</v>
          </cell>
          <cell r="EU316">
            <v>0.36669674689270854</v>
          </cell>
          <cell r="EW316">
            <v>0.37579999999999997</v>
          </cell>
          <cell r="EX316">
            <v>0.38080000000000003</v>
          </cell>
          <cell r="EY316">
            <v>0.37</v>
          </cell>
          <cell r="EZ316">
            <v>0.35899999999999999</v>
          </cell>
          <cell r="FA316">
            <v>0.37099691575304883</v>
          </cell>
        </row>
        <row r="317">
          <cell r="CG317">
            <v>0</v>
          </cell>
          <cell r="CM317">
            <v>0</v>
          </cell>
          <cell r="CS317">
            <v>0</v>
          </cell>
          <cell r="CY317">
            <v>0</v>
          </cell>
          <cell r="DE317">
            <v>0</v>
          </cell>
          <cell r="DK317">
            <v>0</v>
          </cell>
          <cell r="DQ317">
            <v>0</v>
          </cell>
          <cell r="DW317">
            <v>0</v>
          </cell>
          <cell r="EC317">
            <v>0</v>
          </cell>
          <cell r="EI317">
            <v>0</v>
          </cell>
          <cell r="EO317">
            <v>0</v>
          </cell>
          <cell r="EU317">
            <v>0</v>
          </cell>
          <cell r="FA317">
            <v>0</v>
          </cell>
        </row>
        <row r="318">
          <cell r="C318">
            <v>0.20499999999999996</v>
          </cell>
          <cell r="D318">
            <v>0.11800000000000004</v>
          </cell>
          <cell r="E318">
            <v>0.19600000000000012</v>
          </cell>
          <cell r="F318">
            <v>0.21626831442525282</v>
          </cell>
          <cell r="G318">
            <v>0.22648016929386453</v>
          </cell>
          <cell r="H318">
            <v>0.21083761562178829</v>
          </cell>
          <cell r="I318">
            <v>0.14768712011261576</v>
          </cell>
          <cell r="J318">
            <v>2.6050903303568556E-2</v>
          </cell>
          <cell r="K318">
            <v>9.6833757421543709E-2</v>
          </cell>
          <cell r="L318">
            <v>0.16043978709248174</v>
          </cell>
          <cell r="M318">
            <v>0.20985614749940909</v>
          </cell>
          <cell r="O318">
            <v>0.15731732300161372</v>
          </cell>
          <cell r="P318">
            <v>0.20578265799367432</v>
          </cell>
          <cell r="Q318">
            <v>0.21371002914523465</v>
          </cell>
          <cell r="R318">
            <v>0.26466308863823707</v>
          </cell>
          <cell r="S318">
            <v>0.21882295126392126</v>
          </cell>
          <cell r="U318">
            <v>0.16211649864019698</v>
          </cell>
          <cell r="V318">
            <v>0.21140434332988625</v>
          </cell>
          <cell r="W318">
            <v>0.21557889866982149</v>
          </cell>
          <cell r="X318">
            <v>0.27740810915295255</v>
          </cell>
          <cell r="Y318">
            <v>0.22628741431682195</v>
          </cell>
          <cell r="AA318">
            <v>0.16047795392841907</v>
          </cell>
          <cell r="AB318">
            <v>0.20908467689970747</v>
          </cell>
          <cell r="AC318">
            <v>0.21632317339264595</v>
          </cell>
          <cell r="AD318">
            <v>0.28736452345984231</v>
          </cell>
          <cell r="AE318">
            <v>0.22866083215348287</v>
          </cell>
          <cell r="AG318">
            <v>0.15782041279108844</v>
          </cell>
          <cell r="AH318">
            <v>0.1685576308756066</v>
          </cell>
          <cell r="AI318">
            <v>0.18199955739991314</v>
          </cell>
          <cell r="AJ318">
            <v>0.25074848096601393</v>
          </cell>
          <cell r="AK318">
            <v>0.19754740606100474</v>
          </cell>
          <cell r="AM318">
            <v>0.15884421219934705</v>
          </cell>
          <cell r="AN318">
            <v>0.18583482818598193</v>
          </cell>
          <cell r="AO318">
            <v>0.19562080310930671</v>
          </cell>
          <cell r="AP318">
            <v>0.27394592016112651</v>
          </cell>
          <cell r="AQ318">
            <v>0.21217033341746674</v>
          </cell>
          <cell r="AS318">
            <v>0.17428069399254323</v>
          </cell>
          <cell r="AT318">
            <v>0.24810250990252303</v>
          </cell>
          <cell r="AU318">
            <v>0.31424648630817598</v>
          </cell>
          <cell r="AV318">
            <v>0.41149479449131832</v>
          </cell>
          <cell r="AW318">
            <v>0.30405933666386048</v>
          </cell>
          <cell r="AY318">
            <v>0.28760633778439793</v>
          </cell>
          <cell r="AZ318">
            <v>0.35214345698791838</v>
          </cell>
          <cell r="BA318">
            <v>0.32570578866509747</v>
          </cell>
          <cell r="BB318">
            <v>0.39356701507189457</v>
          </cell>
          <cell r="BC318">
            <v>0.34460333343916605</v>
          </cell>
          <cell r="BE318">
            <v>0.32925381502877404</v>
          </cell>
          <cell r="BF318">
            <v>0.34445103987209075</v>
          </cell>
          <cell r="BG318">
            <v>0.3455962757176077</v>
          </cell>
          <cell r="BH318">
            <v>0.44213388628112443</v>
          </cell>
          <cell r="BI318">
            <v>0.36917279218112076</v>
          </cell>
          <cell r="BK318">
            <v>0.28599605522682447</v>
          </cell>
          <cell r="BL318">
            <v>0.34387180597661327</v>
          </cell>
          <cell r="BM318">
            <v>0.34503684438664933</v>
          </cell>
          <cell r="BN318">
            <v>0.44868263050081236</v>
          </cell>
          <cell r="BO318">
            <v>0.36308757413935033</v>
          </cell>
          <cell r="BQ318">
            <v>0.29729729729729731</v>
          </cell>
          <cell r="BR318">
            <v>0.36629303442754202</v>
          </cell>
          <cell r="BS318">
            <v>0.36946990833001198</v>
          </cell>
          <cell r="BT318">
            <v>0.45693857653558662</v>
          </cell>
          <cell r="BU318">
            <v>0.38046474990153606</v>
          </cell>
          <cell r="BW318">
            <v>0.33566591422121894</v>
          </cell>
          <cell r="BX318">
            <v>0.41883164005805512</v>
          </cell>
          <cell r="BY318">
            <v>0.38086000646621404</v>
          </cell>
          <cell r="BZ318">
            <v>0.45992601726263871</v>
          </cell>
          <cell r="CA318">
            <v>0.4076904034986385</v>
          </cell>
          <cell r="CC318">
            <v>0.35156518747850019</v>
          </cell>
          <cell r="CD318">
            <v>0.40100176782557456</v>
          </cell>
          <cell r="CE318">
            <v>0.39141014033499322</v>
          </cell>
          <cell r="CF318">
            <v>0.44578691513064622</v>
          </cell>
          <cell r="CG318">
            <v>0.40394587203162657</v>
          </cell>
          <cell r="CI318">
            <v>0.36001092597650913</v>
          </cell>
          <cell r="CJ318">
            <v>0.38757115749525617</v>
          </cell>
          <cell r="CK318">
            <v>0.39447066756574511</v>
          </cell>
          <cell r="CL318">
            <v>0.46132925378208395</v>
          </cell>
          <cell r="CM318">
            <v>0.40754571914987092</v>
          </cell>
          <cell r="CO318">
            <v>0.3662094491617679</v>
          </cell>
          <cell r="CP318">
            <v>0.41275167785234901</v>
          </cell>
          <cell r="CQ318">
            <v>0.41314466579780301</v>
          </cell>
          <cell r="CR318">
            <v>0.48674632605411344</v>
          </cell>
          <cell r="CS318">
            <v>0.42721924897164848</v>
          </cell>
          <cell r="CU318">
            <v>0.40095905569900403</v>
          </cell>
          <cell r="CV318">
            <v>0.45876560576754</v>
          </cell>
          <cell r="CW318">
            <v>0.46420784883720928</v>
          </cell>
          <cell r="CX318">
            <v>0.51053625926464175</v>
          </cell>
          <cell r="CY318">
            <v>0.46186260321784284</v>
          </cell>
          <cell r="DA318">
            <v>0.45783132530120479</v>
          </cell>
          <cell r="DB318">
            <v>0.48637602179836514</v>
          </cell>
          <cell r="DC318">
            <v>0.44616193155470363</v>
          </cell>
          <cell r="DE318">
            <v>0.46143574720551567</v>
          </cell>
          <cell r="DG318">
            <v>0.38837638376383765</v>
          </cell>
          <cell r="DH318">
            <v>0.44294916034046466</v>
          </cell>
          <cell r="DI318">
            <v>0.44192119904621324</v>
          </cell>
          <cell r="DJ318">
            <v>0.4847307051637979</v>
          </cell>
          <cell r="DK318">
            <v>0.44373868226772534</v>
          </cell>
          <cell r="DM318">
            <v>0.42462491069302216</v>
          </cell>
          <cell r="DN318">
            <v>0.44591987288616503</v>
          </cell>
          <cell r="DO318">
            <v>0.46404566273573167</v>
          </cell>
          <cell r="DP318">
            <v>0.50338623828472562</v>
          </cell>
          <cell r="DQ318">
            <v>0.46243432985445937</v>
          </cell>
          <cell r="DS318">
            <v>0.43720306980143747</v>
          </cell>
          <cell r="DT318">
            <v>0.46878086250411499</v>
          </cell>
          <cell r="DU318">
            <v>0.4657748049052397</v>
          </cell>
          <cell r="DV318">
            <v>0.5084390110391388</v>
          </cell>
          <cell r="DW318">
            <v>0.47276729390921535</v>
          </cell>
          <cell r="DY318">
            <v>0.44636678200692043</v>
          </cell>
          <cell r="DZ318">
            <v>0.45739523860820858</v>
          </cell>
          <cell r="EA318">
            <v>0.46870638754696725</v>
          </cell>
          <cell r="EB318">
            <v>0.50821119547942784</v>
          </cell>
          <cell r="EC318">
            <v>0.47275812557107427</v>
          </cell>
          <cell r="EE318">
            <v>0.44412140946621698</v>
          </cell>
          <cell r="EF318">
            <v>0.45701498751040798</v>
          </cell>
          <cell r="EG318">
            <v>0.450610670666381</v>
          </cell>
          <cell r="EH318">
            <v>0.46471247199402538</v>
          </cell>
          <cell r="EI318">
            <v>0.45470943455415264</v>
          </cell>
          <cell r="EK318">
            <v>0.410957283161756</v>
          </cell>
          <cell r="EL318">
            <v>0.41385060026678522</v>
          </cell>
          <cell r="EM318">
            <v>0.41902682788924273</v>
          </cell>
          <cell r="EN318">
            <v>0.46808004305043321</v>
          </cell>
          <cell r="EO318">
            <v>0.42971207056731853</v>
          </cell>
          <cell r="EQ318">
            <v>0.41647102884778048</v>
          </cell>
          <cell r="ER318">
            <v>0.42106666444758895</v>
          </cell>
          <cell r="ES318">
            <v>0.42018547811040863</v>
          </cell>
          <cell r="ET318">
            <v>0.46252417127681483</v>
          </cell>
          <cell r="EU318">
            <v>0.43126334197853955</v>
          </cell>
          <cell r="EW318">
            <v>0.41671623778717509</v>
          </cell>
          <cell r="EX318">
            <v>0.42187031019455418</v>
          </cell>
          <cell r="EY318">
            <v>0.42942289917412324</v>
          </cell>
          <cell r="EZ318">
            <v>0.45777076844611481</v>
          </cell>
          <cell r="FA318">
            <v>0.43235380476656859</v>
          </cell>
        </row>
        <row r="319">
          <cell r="C319">
            <v>0.10899999999999996</v>
          </cell>
          <cell r="D319">
            <v>6.7000000000000046E-2</v>
          </cell>
          <cell r="E319">
            <v>0.10600000000000011</v>
          </cell>
          <cell r="F319">
            <v>0.11512566739556115</v>
          </cell>
          <cell r="G319">
            <v>0.15201001017322846</v>
          </cell>
          <cell r="H319">
            <v>0.14027577937649879</v>
          </cell>
          <cell r="I319">
            <v>8.8253909361734578E-2</v>
          </cell>
          <cell r="J319">
            <v>-1.206382806929138E-2</v>
          </cell>
          <cell r="K319">
            <v>5.2598812553011055E-2</v>
          </cell>
          <cell r="L319">
            <v>0.15521490352628081</v>
          </cell>
          <cell r="M319">
            <v>0.1416432675860394</v>
          </cell>
          <cell r="O319">
            <v>0.10997818406610192</v>
          </cell>
          <cell r="P319">
            <v>0.14003998329056516</v>
          </cell>
          <cell r="Q319">
            <v>0.14437898497047399</v>
          </cell>
          <cell r="R319">
            <v>0.17848388659162837</v>
          </cell>
          <cell r="S319">
            <v>0.14864716378631013</v>
          </cell>
          <cell r="U319">
            <v>0.11321217657107681</v>
          </cell>
          <cell r="V319">
            <v>0.14138262668045501</v>
          </cell>
          <cell r="W319">
            <v>0.14338797085780883</v>
          </cell>
          <cell r="X319">
            <v>0.18190678886449718</v>
          </cell>
          <cell r="Y319">
            <v>0.15076770269016684</v>
          </cell>
          <cell r="AA319">
            <v>0.10716332214851204</v>
          </cell>
          <cell r="AB319">
            <v>0.13687638833497418</v>
          </cell>
          <cell r="AC319">
            <v>0.14046648432896019</v>
          </cell>
          <cell r="AD319">
            <v>0.1847696468896029</v>
          </cell>
          <cell r="AE319">
            <v>0.14865573084599984</v>
          </cell>
          <cell r="AG319">
            <v>0.11969503838320081</v>
          </cell>
          <cell r="AH319">
            <v>0.11608159248745294</v>
          </cell>
          <cell r="AI319">
            <v>0.12298849983159461</v>
          </cell>
          <cell r="AJ319">
            <v>0.1669691816096889</v>
          </cell>
          <cell r="AK319">
            <v>0.13564994859225357</v>
          </cell>
          <cell r="AM319">
            <v>0.11148584137075421</v>
          </cell>
          <cell r="AN319">
            <v>0.13330859206281906</v>
          </cell>
          <cell r="AO319">
            <v>0.14106459123006174</v>
          </cell>
          <cell r="AP319">
            <v>0.17919476175882809</v>
          </cell>
          <cell r="AQ319">
            <v>0.14611093010599452</v>
          </cell>
          <cell r="AS319">
            <v>0.11929174705986392</v>
          </cell>
          <cell r="AT319">
            <v>0.16559178477123954</v>
          </cell>
          <cell r="AU319">
            <v>0.31157442298537846</v>
          </cell>
          <cell r="AV319">
            <v>1.4558256354632504</v>
          </cell>
          <cell r="AW319">
            <v>0.62159177554321132</v>
          </cell>
          <cell r="AY319">
            <v>0.21882800945108205</v>
          </cell>
          <cell r="AZ319">
            <v>0.23190566920586891</v>
          </cell>
          <cell r="BA319">
            <v>0.21613486448011957</v>
          </cell>
          <cell r="BB319">
            <v>0.25987860271166446</v>
          </cell>
          <cell r="BC319">
            <v>0.23369357974843197</v>
          </cell>
          <cell r="BE319">
            <v>0.2254458059517318</v>
          </cell>
          <cell r="BF319">
            <v>0.23082396215484804</v>
          </cell>
          <cell r="BG319">
            <v>0.22543402623684158</v>
          </cell>
          <cell r="BH319">
            <v>0.23652685436562107</v>
          </cell>
          <cell r="BI319">
            <v>0.22994444830981078</v>
          </cell>
          <cell r="BK319">
            <v>0.16913214990138067</v>
          </cell>
          <cell r="BL319">
            <v>0.23170203551320917</v>
          </cell>
          <cell r="BM319">
            <v>0.24750758560901603</v>
          </cell>
          <cell r="BN319">
            <v>0.30317157589884863</v>
          </cell>
          <cell r="BO319">
            <v>0.24351478565548687</v>
          </cell>
          <cell r="BQ319">
            <v>0.21235521235521235</v>
          </cell>
          <cell r="BR319">
            <v>0.24699759807846278</v>
          </cell>
          <cell r="BS319">
            <v>0.25269031486648069</v>
          </cell>
          <cell r="BT319">
            <v>0.32174195645108872</v>
          </cell>
          <cell r="BU319">
            <v>0.26398188263095707</v>
          </cell>
          <cell r="BW319">
            <v>0.23867110793004093</v>
          </cell>
          <cell r="BX319">
            <v>0.30168917729208428</v>
          </cell>
          <cell r="BY319">
            <v>0.26673132880698353</v>
          </cell>
          <cell r="BZ319">
            <v>0.33440197287299628</v>
          </cell>
          <cell r="CA319">
            <v>0.29219505542388191</v>
          </cell>
          <cell r="CC319">
            <v>0.25386996904024767</v>
          </cell>
          <cell r="CD319">
            <v>0.28624042427813789</v>
          </cell>
          <cell r="CE319">
            <v>0.28297284267217948</v>
          </cell>
          <cell r="CF319">
            <v>0.31141381405711976</v>
          </cell>
          <cell r="CG319">
            <v>0.28750163921505995</v>
          </cell>
          <cell r="CI319">
            <v>0.25430210325047803</v>
          </cell>
          <cell r="CJ319">
            <v>0.27644686907020871</v>
          </cell>
          <cell r="CK319">
            <v>0.29242526410429309</v>
          </cell>
          <cell r="CL319">
            <v>0.3245792962774095</v>
          </cell>
          <cell r="CM319">
            <v>0.29144928332143444</v>
          </cell>
          <cell r="CO319">
            <v>0.25364685390812103</v>
          </cell>
          <cell r="CP319">
            <v>0.30070842654735275</v>
          </cell>
          <cell r="CQ319">
            <v>0.29528951778067397</v>
          </cell>
          <cell r="CR319">
            <v>0.33429473973355306</v>
          </cell>
          <cell r="CS319">
            <v>0.30067672165951614</v>
          </cell>
          <cell r="CU319">
            <v>0.28476576908889706</v>
          </cell>
          <cell r="CV319">
            <v>0.30701600140671709</v>
          </cell>
          <cell r="CW319">
            <v>0.32340116279069769</v>
          </cell>
          <cell r="CX319">
            <v>0.33759627961052174</v>
          </cell>
          <cell r="CY319">
            <v>0.31467608751170512</v>
          </cell>
          <cell r="DA319">
            <v>0.30416748963065376</v>
          </cell>
          <cell r="DB319">
            <v>0.33395776566757496</v>
          </cell>
          <cell r="DC319">
            <v>0.30070794818684882</v>
          </cell>
          <cell r="DE319">
            <v>0.31418436568351116</v>
          </cell>
          <cell r="DG319">
            <v>0.28057459146020031</v>
          </cell>
          <cell r="DH319">
            <v>0.30791350356567748</v>
          </cell>
          <cell r="DI319">
            <v>0.31372771658907689</v>
          </cell>
          <cell r="DJ319">
            <v>0.35831945215620953</v>
          </cell>
          <cell r="DK319">
            <v>0.31873519988856386</v>
          </cell>
          <cell r="DM319">
            <v>0.29352226720647773</v>
          </cell>
          <cell r="DN319">
            <v>0.3159686755192373</v>
          </cell>
          <cell r="DO319">
            <v>0.34520217473210452</v>
          </cell>
          <cell r="DP319">
            <v>0.37836523060024413</v>
          </cell>
          <cell r="DQ319">
            <v>0.33637814891973622</v>
          </cell>
          <cell r="DS319">
            <v>0.31843099037641615</v>
          </cell>
          <cell r="DT319">
            <v>0.34258751234500162</v>
          </cell>
          <cell r="DU319">
            <v>0.34648829431438127</v>
          </cell>
          <cell r="DV319">
            <v>0.37533071800018247</v>
          </cell>
          <cell r="DW319">
            <v>0.34783775803291012</v>
          </cell>
          <cell r="DY319">
            <v>0.32943562820665789</v>
          </cell>
          <cell r="DZ319">
            <v>0.33986857696865236</v>
          </cell>
          <cell r="EA319">
            <v>0.33419216317767042</v>
          </cell>
          <cell r="EB319">
            <v>0.36950379657425392</v>
          </cell>
          <cell r="EC319">
            <v>0.34496801984075187</v>
          </cell>
          <cell r="EE319">
            <v>0.32631701360623327</v>
          </cell>
          <cell r="EF319">
            <v>0.32441715237302249</v>
          </cell>
          <cell r="EG319">
            <v>0.32901221341332759</v>
          </cell>
          <cell r="EH319">
            <v>0.32636295743091859</v>
          </cell>
          <cell r="EI319">
            <v>0.32651033905837451</v>
          </cell>
          <cell r="EK319">
            <v>0.27771861318187196</v>
          </cell>
          <cell r="EL319">
            <v>0.30402401067140949</v>
          </cell>
          <cell r="EM319">
            <v>0.2880567440608291</v>
          </cell>
          <cell r="EN319">
            <v>0.32907385832708691</v>
          </cell>
          <cell r="EO319">
            <v>0.301109278557187</v>
          </cell>
          <cell r="EQ319">
            <v>0.28772851674610056</v>
          </cell>
          <cell r="ER319">
            <v>0.29257734283530867</v>
          </cell>
          <cell r="ES319">
            <v>0.29206203404968928</v>
          </cell>
          <cell r="ET319">
            <v>0.32595802490692843</v>
          </cell>
          <cell r="EU319">
            <v>0.30056914157488346</v>
          </cell>
          <cell r="EW319">
            <v>0.28970854045348698</v>
          </cell>
          <cell r="EX319">
            <v>0.2947394053135205</v>
          </cell>
          <cell r="EY319">
            <v>0.30043868967587045</v>
          </cell>
          <cell r="EZ319">
            <v>0.32354187416713681</v>
          </cell>
          <cell r="FA319">
            <v>0.3028517553466849</v>
          </cell>
        </row>
        <row r="320">
          <cell r="CG320">
            <v>0</v>
          </cell>
          <cell r="CM320">
            <v>0</v>
          </cell>
          <cell r="CS320">
            <v>0</v>
          </cell>
          <cell r="CY320">
            <v>0</v>
          </cell>
          <cell r="DE320">
            <v>0</v>
          </cell>
          <cell r="DK320">
            <v>0</v>
          </cell>
          <cell r="DQ320">
            <v>0</v>
          </cell>
          <cell r="DW320">
            <v>0</v>
          </cell>
          <cell r="EC320">
            <v>0</v>
          </cell>
          <cell r="EI320">
            <v>0</v>
          </cell>
          <cell r="EO320">
            <v>0</v>
          </cell>
          <cell r="EU320">
            <v>0</v>
          </cell>
          <cell r="FA320">
            <v>0</v>
          </cell>
        </row>
        <row r="321">
          <cell r="CG321">
            <v>0</v>
          </cell>
          <cell r="CM321">
            <v>0</v>
          </cell>
          <cell r="CS321">
            <v>0</v>
          </cell>
          <cell r="CY321">
            <v>0</v>
          </cell>
          <cell r="DE321">
            <v>0</v>
          </cell>
          <cell r="DK321">
            <v>0</v>
          </cell>
          <cell r="DQ321">
            <v>0</v>
          </cell>
          <cell r="DW321">
            <v>0</v>
          </cell>
          <cell r="EC321">
            <v>0</v>
          </cell>
          <cell r="EI321">
            <v>0</v>
          </cell>
          <cell r="EO321">
            <v>0</v>
          </cell>
          <cell r="EU321">
            <v>0</v>
          </cell>
          <cell r="FA321">
            <v>0</v>
          </cell>
        </row>
        <row r="322">
          <cell r="CG322">
            <v>0</v>
          </cell>
          <cell r="CM322">
            <v>0</v>
          </cell>
          <cell r="CS322">
            <v>0</v>
          </cell>
          <cell r="CY322">
            <v>0</v>
          </cell>
          <cell r="DE322">
            <v>0</v>
          </cell>
          <cell r="DK322">
            <v>0</v>
          </cell>
          <cell r="DQ322">
            <v>0</v>
          </cell>
          <cell r="DW322">
            <v>0</v>
          </cell>
          <cell r="EC322">
            <v>0</v>
          </cell>
          <cell r="EI322">
            <v>0</v>
          </cell>
          <cell r="EO322">
            <v>0</v>
          </cell>
          <cell r="EU322">
            <v>0</v>
          </cell>
          <cell r="FA322">
            <v>0</v>
          </cell>
        </row>
        <row r="323">
          <cell r="C323" t="str">
            <v>-</v>
          </cell>
          <cell r="D323" t="str">
            <v>-</v>
          </cell>
          <cell r="E323" t="str">
            <v>-</v>
          </cell>
          <cell r="F323" t="str">
            <v>-</v>
          </cell>
          <cell r="G323" t="str">
            <v>-</v>
          </cell>
          <cell r="H323">
            <v>301.66700000000003</v>
          </cell>
          <cell r="I323">
            <v>445.92099999999999</v>
          </cell>
          <cell r="J323">
            <v>394.27499999999998</v>
          </cell>
          <cell r="K323">
            <v>429.01200000000006</v>
          </cell>
          <cell r="L323">
            <v>553.48</v>
          </cell>
          <cell r="M323">
            <v>942.6690000000001</v>
          </cell>
          <cell r="N323">
            <v>0</v>
          </cell>
          <cell r="O323">
            <v>260.029</v>
          </cell>
          <cell r="P323">
            <v>311.875</v>
          </cell>
          <cell r="Q323">
            <v>339.08499999999998</v>
          </cell>
          <cell r="R323">
            <v>505.17500000000001</v>
          </cell>
          <cell r="S323">
            <v>1416.164</v>
          </cell>
          <cell r="T323">
            <v>0</v>
          </cell>
          <cell r="U323">
            <v>375.495</v>
          </cell>
          <cell r="V323">
            <v>445.98124999999999</v>
          </cell>
          <cell r="W323">
            <v>496.49900000000002</v>
          </cell>
          <cell r="X323">
            <v>757.45299999999997</v>
          </cell>
          <cell r="Y323">
            <v>2075.4282499999999</v>
          </cell>
          <cell r="Z323">
            <v>0</v>
          </cell>
          <cell r="AA323">
            <v>537.95299999999997</v>
          </cell>
          <cell r="AB323">
            <v>666.70600000000002</v>
          </cell>
          <cell r="AC323">
            <v>696.36400000000003</v>
          </cell>
          <cell r="AD323">
            <v>1092.5519999999999</v>
          </cell>
          <cell r="AE323">
            <v>2993.5749999999998</v>
          </cell>
          <cell r="AF323">
            <v>0</v>
          </cell>
          <cell r="AG323">
            <v>733.14700000000005</v>
          </cell>
          <cell r="AH323">
            <v>861.66600000000005</v>
          </cell>
          <cell r="AI323">
            <v>995.21900000000005</v>
          </cell>
          <cell r="AJ323">
            <v>1458.499</v>
          </cell>
          <cell r="AK323">
            <v>4048.5309999999999</v>
          </cell>
          <cell r="AL323">
            <v>0</v>
          </cell>
          <cell r="AM323">
            <v>1003.126</v>
          </cell>
          <cell r="AN323">
            <v>1121.56</v>
          </cell>
          <cell r="AO323">
            <v>1165.155</v>
          </cell>
          <cell r="AP323">
            <v>1763.328</v>
          </cell>
          <cell r="AQ323">
            <v>5053.1689999999999</v>
          </cell>
          <cell r="AR323">
            <v>0</v>
          </cell>
          <cell r="AS323">
            <v>1124.25</v>
          </cell>
          <cell r="AT323">
            <v>1261.876</v>
          </cell>
          <cell r="AU323">
            <v>1450.0920000000001</v>
          </cell>
          <cell r="AV323">
            <v>2077.212</v>
          </cell>
          <cell r="AW323">
            <v>5913.43</v>
          </cell>
          <cell r="AX323">
            <v>0</v>
          </cell>
          <cell r="AY323">
            <v>1315.5329999999999</v>
          </cell>
          <cell r="AZ323">
            <v>1534.47</v>
          </cell>
          <cell r="BA323">
            <v>1559.626</v>
          </cell>
          <cell r="BB323">
            <v>1940.299</v>
          </cell>
          <cell r="BC323">
            <v>6349.9279999999999</v>
          </cell>
          <cell r="BD323">
            <v>0</v>
          </cell>
          <cell r="BE323">
            <v>1245.9760000000001</v>
          </cell>
          <cell r="BF323">
            <v>1281.692</v>
          </cell>
          <cell r="BG323">
            <v>1259.1769999999999</v>
          </cell>
          <cell r="BH323">
            <v>1506.001</v>
          </cell>
          <cell r="BI323">
            <v>5292.8460000000005</v>
          </cell>
          <cell r="BJ323">
            <v>0</v>
          </cell>
          <cell r="BK323">
            <v>1106</v>
          </cell>
          <cell r="BL323">
            <v>1157</v>
          </cell>
          <cell r="BM323">
            <v>1190</v>
          </cell>
          <cell r="BN323">
            <v>1391</v>
          </cell>
          <cell r="BO323">
            <v>4844</v>
          </cell>
          <cell r="BP323">
            <v>0</v>
          </cell>
          <cell r="BQ323">
            <v>1042</v>
          </cell>
          <cell r="BR323">
            <v>1250</v>
          </cell>
          <cell r="BS323">
            <v>1216</v>
          </cell>
          <cell r="BT323">
            <v>1475</v>
          </cell>
          <cell r="BU323">
            <v>4983</v>
          </cell>
          <cell r="BV323">
            <v>0</v>
          </cell>
          <cell r="BW323">
            <v>1091</v>
          </cell>
          <cell r="BX323">
            <v>1292</v>
          </cell>
          <cell r="BY323">
            <v>1522.8</v>
          </cell>
          <cell r="BZ323">
            <v>2083.2048</v>
          </cell>
          <cell r="CA323">
            <v>5989.0048000000006</v>
          </cell>
          <cell r="CB323">
            <v>0</v>
          </cell>
          <cell r="CC323">
            <v>1559.4</v>
          </cell>
          <cell r="CD323">
            <v>1794.2</v>
          </cell>
          <cell r="CE323">
            <v>1880.5</v>
          </cell>
          <cell r="CF323">
            <v>2638</v>
          </cell>
          <cell r="CG323">
            <v>7872.1</v>
          </cell>
          <cell r="CH323">
            <v>0</v>
          </cell>
          <cell r="CI323">
            <v>1991</v>
          </cell>
          <cell r="CJ323">
            <v>2196.5</v>
          </cell>
          <cell r="CK323">
            <v>2332.5</v>
          </cell>
          <cell r="CL323">
            <v>3045.5</v>
          </cell>
          <cell r="CM323">
            <v>9565.5</v>
          </cell>
          <cell r="CN323">
            <v>0</v>
          </cell>
          <cell r="CO323">
            <v>2407</v>
          </cell>
          <cell r="CP323">
            <v>2699.5</v>
          </cell>
          <cell r="CQ323">
            <v>2718</v>
          </cell>
          <cell r="CR323">
            <v>3595</v>
          </cell>
          <cell r="CS323">
            <v>11419.5</v>
          </cell>
          <cell r="CT323">
            <v>0</v>
          </cell>
          <cell r="CU323">
            <v>2732.5</v>
          </cell>
          <cell r="CV323">
            <v>2944</v>
          </cell>
          <cell r="CW323">
            <v>2846</v>
          </cell>
          <cell r="CX323">
            <v>3463</v>
          </cell>
          <cell r="CY323">
            <v>11985.5</v>
          </cell>
          <cell r="CZ323">
            <v>0</v>
          </cell>
          <cell r="DA323">
            <v>2671</v>
          </cell>
          <cell r="DB323">
            <v>2979</v>
          </cell>
          <cell r="DC323">
            <v>3284</v>
          </cell>
          <cell r="DD323">
            <v>4886</v>
          </cell>
          <cell r="DE323">
            <v>13820</v>
          </cell>
          <cell r="DF323">
            <v>0</v>
          </cell>
          <cell r="DG323">
            <v>3948.7539322847242</v>
          </cell>
          <cell r="DH323">
            <v>4452</v>
          </cell>
          <cell r="DI323">
            <v>4509</v>
          </cell>
          <cell r="DJ323">
            <v>5487</v>
          </cell>
          <cell r="DK323">
            <v>18396.753932284722</v>
          </cell>
          <cell r="DL323">
            <v>0</v>
          </cell>
          <cell r="DM323">
            <v>4226</v>
          </cell>
          <cell r="DN323">
            <v>4532</v>
          </cell>
          <cell r="DO323">
            <v>4707</v>
          </cell>
          <cell r="DP323">
            <v>5771</v>
          </cell>
          <cell r="DQ323">
            <v>19236</v>
          </cell>
          <cell r="DR323">
            <v>0</v>
          </cell>
          <cell r="DS323">
            <v>4324</v>
          </cell>
          <cell r="DT323">
            <v>4787</v>
          </cell>
          <cell r="DU323">
            <v>4698</v>
          </cell>
          <cell r="DV323">
            <v>5911</v>
          </cell>
          <cell r="DW323">
            <v>19720</v>
          </cell>
          <cell r="DX323">
            <v>0</v>
          </cell>
          <cell r="DY323">
            <v>4517</v>
          </cell>
          <cell r="DZ323">
            <v>4995</v>
          </cell>
          <cell r="EA323">
            <v>4953</v>
          </cell>
          <cell r="EB323">
            <v>5857</v>
          </cell>
          <cell r="EC323">
            <v>20322</v>
          </cell>
          <cell r="ED323">
            <v>0</v>
          </cell>
          <cell r="EE323">
            <v>4620</v>
          </cell>
          <cell r="EF323">
            <v>5221</v>
          </cell>
          <cell r="EG323">
            <v>5134</v>
          </cell>
          <cell r="EH323">
            <v>6133</v>
          </cell>
          <cell r="EI323">
            <v>21108</v>
          </cell>
          <cell r="EJ323">
            <v>0</v>
          </cell>
          <cell r="EK323">
            <v>4716</v>
          </cell>
          <cell r="EL323">
            <v>4960</v>
          </cell>
          <cell r="EM323">
            <v>5021.9293848690813</v>
          </cell>
          <cell r="EN323">
            <v>5950.1681453685578</v>
          </cell>
          <cell r="EO323">
            <v>20648.097530237639</v>
          </cell>
          <cell r="EP323">
            <v>0</v>
          </cell>
          <cell r="EQ323">
            <v>4816.9950162436644</v>
          </cell>
          <cell r="ER323">
            <v>5022.2463687228228</v>
          </cell>
          <cell r="ES323">
            <v>5051.9190441747842</v>
          </cell>
          <cell r="ET323">
            <v>5903.1327861673781</v>
          </cell>
          <cell r="EU323">
            <v>20794.293215308651</v>
          </cell>
          <cell r="EV323">
            <v>0</v>
          </cell>
          <cell r="EW323">
            <v>4816.9950162436644</v>
          </cell>
          <cell r="EX323">
            <v>5022.2463687228228</v>
          </cell>
          <cell r="EY323">
            <v>5051.9190441747842</v>
          </cell>
          <cell r="EZ323">
            <v>5903.1327861673781</v>
          </cell>
          <cell r="FA323">
            <v>20794.293215308651</v>
          </cell>
          <cell r="FQ323">
            <v>0</v>
          </cell>
          <cell r="FR323">
            <v>0</v>
          </cell>
          <cell r="FS323">
            <v>0</v>
          </cell>
          <cell r="FT323">
            <v>0</v>
          </cell>
          <cell r="FU323">
            <v>0</v>
          </cell>
          <cell r="FV323">
            <v>0</v>
          </cell>
          <cell r="FX323">
            <v>0</v>
          </cell>
          <cell r="FY323">
            <v>0</v>
          </cell>
          <cell r="FZ323">
            <v>0</v>
          </cell>
          <cell r="GA323">
            <v>0</v>
          </cell>
          <cell r="GB323">
            <v>0</v>
          </cell>
          <cell r="GC323">
            <v>0</v>
          </cell>
          <cell r="GD323">
            <v>0</v>
          </cell>
          <cell r="GE323">
            <v>0</v>
          </cell>
          <cell r="GF323">
            <v>0</v>
          </cell>
          <cell r="GG323">
            <v>0</v>
          </cell>
          <cell r="GH323">
            <v>0</v>
          </cell>
          <cell r="GI323">
            <v>0</v>
          </cell>
          <cell r="GJ323">
            <v>0</v>
          </cell>
          <cell r="GK323">
            <v>0</v>
          </cell>
          <cell r="GL323">
            <v>0</v>
          </cell>
          <cell r="GM323">
            <v>0</v>
          </cell>
          <cell r="GN323">
            <v>0</v>
          </cell>
          <cell r="GO323">
            <v>0</v>
          </cell>
          <cell r="GP323">
            <v>0</v>
          </cell>
          <cell r="GQ323">
            <v>0</v>
          </cell>
          <cell r="GR323">
            <v>0</v>
          </cell>
          <cell r="GS323">
            <v>0</v>
          </cell>
          <cell r="GT323">
            <v>0</v>
          </cell>
          <cell r="GU323">
            <v>0</v>
          </cell>
          <cell r="GV323">
            <v>0</v>
          </cell>
          <cell r="GW323">
            <v>0</v>
          </cell>
          <cell r="GX323">
            <v>0</v>
          </cell>
          <cell r="GY323">
            <v>0</v>
          </cell>
          <cell r="GZ323">
            <v>0</v>
          </cell>
          <cell r="HA323">
            <v>0</v>
          </cell>
        </row>
        <row r="324">
          <cell r="C324" t="str">
            <v>-</v>
          </cell>
          <cell r="D324" t="str">
            <v>-</v>
          </cell>
          <cell r="E324" t="str">
            <v>-</v>
          </cell>
          <cell r="F324" t="str">
            <v>-</v>
          </cell>
          <cell r="G324" t="str">
            <v>-</v>
          </cell>
          <cell r="H324">
            <v>282.13299999999992</v>
          </cell>
          <cell r="I324">
            <v>470.46899999999999</v>
          </cell>
          <cell r="J324">
            <v>633.67400000000009</v>
          </cell>
          <cell r="K324">
            <v>749.98799999999994</v>
          </cell>
          <cell r="L324">
            <v>949.52</v>
          </cell>
          <cell r="M324">
            <v>1058.4779999999998</v>
          </cell>
          <cell r="N324">
            <v>0</v>
          </cell>
          <cell r="O324">
            <v>296.44500000000005</v>
          </cell>
          <cell r="P324">
            <v>358.40499999999997</v>
          </cell>
          <cell r="Q324">
            <v>383.16</v>
          </cell>
          <cell r="R324">
            <v>512.70399999999995</v>
          </cell>
          <cell r="S324">
            <v>1550.7139999999999</v>
          </cell>
          <cell r="T324">
            <v>0</v>
          </cell>
          <cell r="U324">
            <v>396.30799999999999</v>
          </cell>
          <cell r="V324">
            <v>521.01874999999995</v>
          </cell>
          <cell r="W324">
            <v>523.74</v>
          </cell>
          <cell r="X324">
            <v>706.62099999999987</v>
          </cell>
          <cell r="Y324">
            <v>2147.6877500000001</v>
          </cell>
          <cell r="Z324">
            <v>0</v>
          </cell>
          <cell r="AA324">
            <v>514.36599999999999</v>
          </cell>
          <cell r="AB324">
            <v>644.66700000000003</v>
          </cell>
          <cell r="AC324">
            <v>676.2489999999998</v>
          </cell>
          <cell r="AD324">
            <v>855.47900000000004</v>
          </cell>
          <cell r="AE324">
            <v>2690.7609999999995</v>
          </cell>
          <cell r="AF324">
            <v>0</v>
          </cell>
          <cell r="AG324">
            <v>635.68099999999993</v>
          </cell>
          <cell r="AH324">
            <v>752.06099999999981</v>
          </cell>
          <cell r="AI324">
            <v>753.53800000000001</v>
          </cell>
          <cell r="AJ324">
            <v>954.05399999999986</v>
          </cell>
          <cell r="AK324">
            <v>3095.3339999999998</v>
          </cell>
          <cell r="AL324">
            <v>0</v>
          </cell>
          <cell r="AM324">
            <v>745.98399999999992</v>
          </cell>
          <cell r="AN324">
            <v>934.38400000000047</v>
          </cell>
          <cell r="AO324">
            <v>913.7650000000001</v>
          </cell>
          <cell r="AP324">
            <v>1179.9499999999998</v>
          </cell>
          <cell r="AQ324">
            <v>3774.0830000000001</v>
          </cell>
          <cell r="AR324">
            <v>0</v>
          </cell>
          <cell r="AS324">
            <v>860.26700000000005</v>
          </cell>
          <cell r="AT324">
            <v>1060.0069999999998</v>
          </cell>
          <cell r="AU324">
            <v>999.32599999999957</v>
          </cell>
          <cell r="AV324">
            <v>1297.0980000000004</v>
          </cell>
          <cell r="AW324">
            <v>4216.6980000000003</v>
          </cell>
          <cell r="AX324">
            <v>0</v>
          </cell>
          <cell r="AY324">
            <v>972.45900000000029</v>
          </cell>
          <cell r="AZ324">
            <v>1151.9379999999999</v>
          </cell>
          <cell r="BA324">
            <v>1136.4359999999999</v>
          </cell>
          <cell r="BB324">
            <v>1349.931</v>
          </cell>
          <cell r="BC324">
            <v>4610.7640000000001</v>
          </cell>
          <cell r="BD324">
            <v>0</v>
          </cell>
          <cell r="BE324">
            <v>1019.0789999999997</v>
          </cell>
          <cell r="BF324">
            <v>1098.7449999999999</v>
          </cell>
          <cell r="BG324">
            <v>994.1429999999998</v>
          </cell>
          <cell r="BH324">
            <v>1267.9800000000002</v>
          </cell>
          <cell r="BI324">
            <v>4379.9470000000001</v>
          </cell>
          <cell r="BJ324">
            <v>0</v>
          </cell>
          <cell r="BK324">
            <v>922</v>
          </cell>
          <cell r="BL324">
            <v>1152</v>
          </cell>
          <cell r="BM324">
            <v>1117</v>
          </cell>
          <cell r="BN324">
            <v>1440.4</v>
          </cell>
          <cell r="BO324">
            <v>4631.3999999999996</v>
          </cell>
          <cell r="BP324">
            <v>0</v>
          </cell>
          <cell r="BQ324">
            <v>1030</v>
          </cell>
          <cell r="BR324">
            <v>1248</v>
          </cell>
          <cell r="BS324">
            <v>1293</v>
          </cell>
          <cell r="BT324">
            <v>1602</v>
          </cell>
          <cell r="BU324">
            <v>5173</v>
          </cell>
          <cell r="BV324">
            <v>0</v>
          </cell>
          <cell r="BW324">
            <v>1124</v>
          </cell>
          <cell r="BX324">
            <v>1464</v>
          </cell>
          <cell r="BY324">
            <v>1570.2</v>
          </cell>
          <cell r="BZ324">
            <v>1971.7952</v>
          </cell>
          <cell r="CA324">
            <v>6129.9951999999994</v>
          </cell>
          <cell r="CB324">
            <v>0</v>
          </cell>
          <cell r="CC324">
            <v>1347.6</v>
          </cell>
          <cell r="CD324">
            <v>1599.8</v>
          </cell>
          <cell r="CE324">
            <v>1653.9</v>
          </cell>
          <cell r="CF324">
            <v>2299</v>
          </cell>
          <cell r="CG324">
            <v>6900.3</v>
          </cell>
          <cell r="CH324">
            <v>0</v>
          </cell>
          <cell r="CI324">
            <v>1670</v>
          </cell>
          <cell r="CJ324">
            <v>2019.5</v>
          </cell>
          <cell r="CK324">
            <v>2116.5</v>
          </cell>
          <cell r="CL324">
            <v>2837.5</v>
          </cell>
          <cell r="CM324">
            <v>8643.5</v>
          </cell>
          <cell r="CN324">
            <v>0</v>
          </cell>
          <cell r="CO324">
            <v>2186</v>
          </cell>
          <cell r="CP324">
            <v>2664.5</v>
          </cell>
          <cell r="CQ324">
            <v>2653</v>
          </cell>
          <cell r="CR324">
            <v>3686</v>
          </cell>
          <cell r="CS324">
            <v>11189.5</v>
          </cell>
          <cell r="CT324">
            <v>0</v>
          </cell>
          <cell r="CU324">
            <v>2689.5</v>
          </cell>
          <cell r="CV324">
            <v>2743</v>
          </cell>
          <cell r="CW324">
            <v>2607</v>
          </cell>
          <cell r="CX324">
            <v>3398</v>
          </cell>
          <cell r="CY324">
            <v>11437.5</v>
          </cell>
          <cell r="CZ324">
            <v>0</v>
          </cell>
          <cell r="DA324">
            <v>2392</v>
          </cell>
          <cell r="DB324">
            <v>2879</v>
          </cell>
          <cell r="DC324">
            <v>3120</v>
          </cell>
          <cell r="DD324">
            <v>4619</v>
          </cell>
          <cell r="DE324">
            <v>13010</v>
          </cell>
          <cell r="DF324">
            <v>0</v>
          </cell>
          <cell r="DG324">
            <v>3639.2460677152758</v>
          </cell>
          <cell r="DH324">
            <v>4130</v>
          </cell>
          <cell r="DI324">
            <v>4255</v>
          </cell>
          <cell r="DJ324">
            <v>5288</v>
          </cell>
          <cell r="DK324">
            <v>17312.246067715274</v>
          </cell>
          <cell r="DL324">
            <v>0</v>
          </cell>
          <cell r="DM324">
            <v>4148</v>
          </cell>
          <cell r="DN324">
            <v>4260</v>
          </cell>
          <cell r="DO324">
            <v>4332</v>
          </cell>
          <cell r="DP324">
            <v>5145</v>
          </cell>
          <cell r="DQ324">
            <v>17885</v>
          </cell>
          <cell r="DR324">
            <v>0</v>
          </cell>
          <cell r="DS324">
            <v>3857</v>
          </cell>
          <cell r="DT324">
            <v>4307</v>
          </cell>
          <cell r="DU324">
            <v>4260</v>
          </cell>
          <cell r="DV324">
            <v>5036</v>
          </cell>
          <cell r="DW324">
            <v>17460</v>
          </cell>
          <cell r="DX324">
            <v>0</v>
          </cell>
          <cell r="DY324">
            <v>3855</v>
          </cell>
          <cell r="DZ324">
            <v>4280</v>
          </cell>
          <cell r="EA324">
            <v>4354</v>
          </cell>
          <cell r="EB324">
            <v>5463</v>
          </cell>
          <cell r="EC324">
            <v>17952</v>
          </cell>
          <cell r="ED324">
            <v>0</v>
          </cell>
          <cell r="EE324">
            <v>3976</v>
          </cell>
          <cell r="EF324">
            <v>4377</v>
          </cell>
          <cell r="EG324">
            <v>4193</v>
          </cell>
          <cell r="EH324">
            <v>4573</v>
          </cell>
          <cell r="EI324">
            <v>17119</v>
          </cell>
          <cell r="EJ324">
            <v>0</v>
          </cell>
          <cell r="EK324">
            <v>3732</v>
          </cell>
          <cell r="EL324">
            <v>4033</v>
          </cell>
          <cell r="EM324">
            <v>4108.3177671309186</v>
          </cell>
          <cell r="EN324">
            <v>4442.4946906314417</v>
          </cell>
          <cell r="EO324">
            <v>16315.81245776236</v>
          </cell>
          <cell r="EP324">
            <v>0</v>
          </cell>
          <cell r="EQ324">
            <v>3814.986510956337</v>
          </cell>
          <cell r="ER324">
            <v>4086.6504726139756</v>
          </cell>
          <cell r="ES324">
            <v>4132.8515748995114</v>
          </cell>
          <cell r="ET324">
            <v>4407.3773076570069</v>
          </cell>
          <cell r="EU324">
            <v>16441.865866126831</v>
          </cell>
          <cell r="EV324">
            <v>0</v>
          </cell>
          <cell r="EW324">
            <v>3814.986510956337</v>
          </cell>
          <cell r="EX324">
            <v>4086.6504726139756</v>
          </cell>
          <cell r="EY324">
            <v>4132.8515748995114</v>
          </cell>
          <cell r="EZ324">
            <v>4407.3773076570069</v>
          </cell>
          <cell r="FA324">
            <v>16441.865866126831</v>
          </cell>
          <cell r="FB324">
            <v>0</v>
          </cell>
          <cell r="FC324">
            <v>0</v>
          </cell>
          <cell r="FD324">
            <v>0</v>
          </cell>
          <cell r="FE324">
            <v>0</v>
          </cell>
          <cell r="FF324">
            <v>0</v>
          </cell>
          <cell r="FG324">
            <v>0</v>
          </cell>
          <cell r="FH324">
            <v>0</v>
          </cell>
          <cell r="FI324">
            <v>0</v>
          </cell>
          <cell r="FJ324">
            <v>0</v>
          </cell>
          <cell r="FK324">
            <v>0</v>
          </cell>
          <cell r="FL324">
            <v>0</v>
          </cell>
          <cell r="FM324">
            <v>0</v>
          </cell>
          <cell r="FN324">
            <v>0</v>
          </cell>
          <cell r="FO324">
            <v>0</v>
          </cell>
          <cell r="FP324">
            <v>0</v>
          </cell>
          <cell r="FQ324">
            <v>0</v>
          </cell>
          <cell r="FR324">
            <v>0</v>
          </cell>
          <cell r="FS324">
            <v>0</v>
          </cell>
          <cell r="FT324">
            <v>0</v>
          </cell>
          <cell r="FU324">
            <v>0</v>
          </cell>
          <cell r="FV324">
            <v>0</v>
          </cell>
          <cell r="FW324">
            <v>0</v>
          </cell>
          <cell r="FX324">
            <v>0</v>
          </cell>
          <cell r="FY324">
            <v>0</v>
          </cell>
          <cell r="FZ324">
            <v>0</v>
          </cell>
          <cell r="GA324">
            <v>0</v>
          </cell>
          <cell r="GB324">
            <v>0</v>
          </cell>
          <cell r="GC324">
            <v>0</v>
          </cell>
          <cell r="GD324">
            <v>0</v>
          </cell>
          <cell r="GE324">
            <v>0</v>
          </cell>
          <cell r="GF324">
            <v>0</v>
          </cell>
          <cell r="GG324">
            <v>0</v>
          </cell>
          <cell r="GH324">
            <v>0</v>
          </cell>
          <cell r="GI324">
            <v>0</v>
          </cell>
          <cell r="GJ324">
            <v>0</v>
          </cell>
          <cell r="GK324">
            <v>0</v>
          </cell>
          <cell r="GL324">
            <v>0</v>
          </cell>
          <cell r="GM324">
            <v>0</v>
          </cell>
          <cell r="GN324">
            <v>0</v>
          </cell>
          <cell r="GO324">
            <v>0</v>
          </cell>
          <cell r="GP324">
            <v>0</v>
          </cell>
          <cell r="GQ324">
            <v>0</v>
          </cell>
          <cell r="GR324">
            <v>0</v>
          </cell>
          <cell r="GS324">
            <v>0</v>
          </cell>
          <cell r="GT324">
            <v>0</v>
          </cell>
          <cell r="GU324">
            <v>0</v>
          </cell>
          <cell r="GV324">
            <v>0</v>
          </cell>
          <cell r="GW324">
            <v>0</v>
          </cell>
          <cell r="GX324">
            <v>0</v>
          </cell>
          <cell r="GY324">
            <v>0</v>
          </cell>
          <cell r="GZ324">
            <v>0</v>
          </cell>
          <cell r="HA324">
            <v>0</v>
          </cell>
        </row>
        <row r="325">
          <cell r="C325" t="str">
            <v>-</v>
          </cell>
          <cell r="D325" t="str">
            <v>-</v>
          </cell>
          <cell r="E325" t="str">
            <v>-</v>
          </cell>
          <cell r="F325" t="str">
            <v>-</v>
          </cell>
          <cell r="G325" t="str">
            <v>-</v>
          </cell>
          <cell r="H325">
            <v>192.928</v>
          </cell>
          <cell r="I325">
            <v>350.90899999999999</v>
          </cell>
          <cell r="J325">
            <v>506.21</v>
          </cell>
          <cell r="K325">
            <v>568.68100000000004</v>
          </cell>
          <cell r="L325">
            <v>686.56899999999996</v>
          </cell>
          <cell r="M325">
            <v>833.13599999999997</v>
          </cell>
          <cell r="O325">
            <v>227.708</v>
          </cell>
          <cell r="P325">
            <v>271.87200000000001</v>
          </cell>
          <cell r="Q325">
            <v>285.06400000000002</v>
          </cell>
          <cell r="R325">
            <v>380.75900000000001</v>
          </cell>
          <cell r="S325">
            <v>1165.403</v>
          </cell>
          <cell r="U325">
            <v>280.47500000000002</v>
          </cell>
          <cell r="V325">
            <v>375.18335999999999</v>
          </cell>
          <cell r="W325">
            <v>372.27100000000002</v>
          </cell>
          <cell r="X325">
            <v>512.87</v>
          </cell>
          <cell r="Y325">
            <v>1540.79936</v>
          </cell>
          <cell r="AA325">
            <v>354.23500000000001</v>
          </cell>
          <cell r="AB325">
            <v>436.68900000000002</v>
          </cell>
          <cell r="AC325">
            <v>476.01499999999999</v>
          </cell>
          <cell r="AD325">
            <v>614.21799999999996</v>
          </cell>
          <cell r="AE325">
            <v>1881.1569999999997</v>
          </cell>
          <cell r="AG325">
            <v>424.35199999999998</v>
          </cell>
          <cell r="AH325">
            <v>541.19500000000005</v>
          </cell>
          <cell r="AI325">
            <v>577.03899999999999</v>
          </cell>
          <cell r="AJ325">
            <v>754.75400000000002</v>
          </cell>
          <cell r="AK325">
            <v>2297.34</v>
          </cell>
          <cell r="AM325">
            <v>564.77300000000002</v>
          </cell>
          <cell r="AN325">
            <v>709.51900000000001</v>
          </cell>
          <cell r="AO325">
            <v>693.67499999999995</v>
          </cell>
          <cell r="AP325">
            <v>887.26800000000003</v>
          </cell>
          <cell r="AQ325">
            <v>2855.2349999999997</v>
          </cell>
          <cell r="AS325">
            <v>617.73500000000001</v>
          </cell>
          <cell r="AT325">
            <v>755.71400000000006</v>
          </cell>
          <cell r="AU325">
            <v>707.36099999999999</v>
          </cell>
          <cell r="AV325">
            <v>902.33799999999997</v>
          </cell>
          <cell r="AW325">
            <v>2983.1480000000001</v>
          </cell>
          <cell r="AY325">
            <v>644.35</v>
          </cell>
          <cell r="AZ325">
            <v>763.30100000000004</v>
          </cell>
          <cell r="BA325">
            <v>785.94299999999998</v>
          </cell>
          <cell r="BB325">
            <v>926.17499999999995</v>
          </cell>
          <cell r="BC325">
            <v>3119.7690000000002</v>
          </cell>
          <cell r="BE325">
            <v>678.59799999999996</v>
          </cell>
          <cell r="BF325">
            <v>752.56100000000004</v>
          </cell>
          <cell r="BG325">
            <v>720.18299999999999</v>
          </cell>
          <cell r="BH325">
            <v>898.97400000000005</v>
          </cell>
          <cell r="BI325">
            <v>3050.3160000000003</v>
          </cell>
          <cell r="BK325">
            <v>627</v>
          </cell>
          <cell r="BL325">
            <v>818</v>
          </cell>
          <cell r="BM325">
            <v>786</v>
          </cell>
          <cell r="BN325">
            <v>1024</v>
          </cell>
          <cell r="BO325">
            <v>3255</v>
          </cell>
          <cell r="BQ325">
            <v>717</v>
          </cell>
          <cell r="BR325">
            <v>881</v>
          </cell>
          <cell r="BS325">
            <v>918</v>
          </cell>
          <cell r="BT325">
            <v>1161</v>
          </cell>
          <cell r="BU325">
            <v>3677</v>
          </cell>
          <cell r="BW325">
            <v>778</v>
          </cell>
          <cell r="BX325">
            <v>1062</v>
          </cell>
          <cell r="BY325">
            <v>1139.48</v>
          </cell>
          <cell r="BZ325">
            <v>1424.72288</v>
          </cell>
          <cell r="CA325">
            <v>4404.2028799999998</v>
          </cell>
          <cell r="CC325">
            <v>917.75</v>
          </cell>
          <cell r="CD325">
            <v>1115.5</v>
          </cell>
          <cell r="CE325">
            <v>1186.75</v>
          </cell>
          <cell r="CF325">
            <v>1602.1</v>
          </cell>
          <cell r="CG325">
            <v>4822.1000000000004</v>
          </cell>
          <cell r="CI325">
            <v>1164.5</v>
          </cell>
          <cell r="CJ325">
            <v>1440.55</v>
          </cell>
          <cell r="CK325">
            <v>1496.25</v>
          </cell>
          <cell r="CL325">
            <v>2011.25</v>
          </cell>
          <cell r="CM325">
            <v>6112.55</v>
          </cell>
          <cell r="CO325">
            <v>1552.4</v>
          </cell>
          <cell r="CP325">
            <v>1882.85</v>
          </cell>
          <cell r="CQ325">
            <v>1878.7</v>
          </cell>
          <cell r="CR325">
            <v>2693.7</v>
          </cell>
          <cell r="CS325">
            <v>8007.65</v>
          </cell>
          <cell r="CU325">
            <v>1861.85</v>
          </cell>
          <cell r="CV325">
            <v>1909</v>
          </cell>
          <cell r="CW325">
            <v>1824</v>
          </cell>
          <cell r="CX325">
            <v>2413</v>
          </cell>
          <cell r="CY325">
            <v>8007.85</v>
          </cell>
          <cell r="DA325">
            <v>1642</v>
          </cell>
          <cell r="DB325">
            <v>1976</v>
          </cell>
          <cell r="DC325">
            <v>2167</v>
          </cell>
          <cell r="DE325">
            <v>8938</v>
          </cell>
          <cell r="DG325">
            <v>2408.294854705412</v>
          </cell>
          <cell r="DH325">
            <v>2738</v>
          </cell>
          <cell r="DI325">
            <v>2815</v>
          </cell>
          <cell r="DJ325">
            <v>3564</v>
          </cell>
          <cell r="DK325">
            <v>11525.294854705411</v>
          </cell>
          <cell r="DM325">
            <v>2704</v>
          </cell>
          <cell r="DN325">
            <v>2756</v>
          </cell>
          <cell r="DO325">
            <v>2787</v>
          </cell>
          <cell r="DP325">
            <v>3314</v>
          </cell>
          <cell r="DQ325">
            <v>11561</v>
          </cell>
          <cell r="DS325">
            <v>2383</v>
          </cell>
          <cell r="DT325">
            <v>2701</v>
          </cell>
          <cell r="DU325">
            <v>2745</v>
          </cell>
          <cell r="DV325">
            <v>3328</v>
          </cell>
          <cell r="DW325">
            <v>11157</v>
          </cell>
          <cell r="DY325">
            <v>2439</v>
          </cell>
          <cell r="DZ325">
            <v>2817</v>
          </cell>
          <cell r="EA325">
            <v>2923</v>
          </cell>
          <cell r="EB325">
            <v>3768</v>
          </cell>
          <cell r="EC325">
            <v>11947</v>
          </cell>
          <cell r="EE325">
            <v>2589</v>
          </cell>
          <cell r="EF325">
            <v>2911</v>
          </cell>
          <cell r="EG325">
            <v>2813</v>
          </cell>
          <cell r="EH325">
            <v>3067</v>
          </cell>
          <cell r="EI325">
            <v>11380</v>
          </cell>
          <cell r="EK325">
            <v>2456</v>
          </cell>
          <cell r="EL325">
            <v>2645</v>
          </cell>
          <cell r="EM325">
            <v>2751.5947330807799</v>
          </cell>
          <cell r="EN325">
            <v>2975.5691671034356</v>
          </cell>
          <cell r="EO325">
            <v>10828.163900184216</v>
          </cell>
          <cell r="EQ325">
            <v>2508.5962171107803</v>
          </cell>
          <cell r="ER325">
            <v>2678.1938800951348</v>
          </cell>
          <cell r="ES325">
            <v>2768.026542902935</v>
          </cell>
          <cell r="ET325">
            <v>2952.0476528901595</v>
          </cell>
          <cell r="EU325">
            <v>10906.864292999009</v>
          </cell>
          <cell r="EW325">
            <v>2508.5962171107803</v>
          </cell>
          <cell r="EX325">
            <v>2678.1938800951348</v>
          </cell>
          <cell r="EY325">
            <v>2768.026542902935</v>
          </cell>
          <cell r="EZ325">
            <v>2952.0476528901595</v>
          </cell>
          <cell r="FA325">
            <v>10906.864292999009</v>
          </cell>
        </row>
        <row r="326">
          <cell r="C326" t="str">
            <v>-</v>
          </cell>
          <cell r="D326" t="str">
            <v>-</v>
          </cell>
          <cell r="E326" t="str">
            <v>-</v>
          </cell>
          <cell r="F326" t="str">
            <v>-</v>
          </cell>
          <cell r="G326" t="str">
            <v>-</v>
          </cell>
          <cell r="H326">
            <v>89.204999999999927</v>
          </cell>
          <cell r="I326">
            <v>119.56</v>
          </cell>
          <cell r="J326">
            <v>127.46400000000011</v>
          </cell>
          <cell r="K326">
            <v>181.3069999999999</v>
          </cell>
          <cell r="L326">
            <v>262.95100000000002</v>
          </cell>
          <cell r="M326">
            <v>225.34199999999987</v>
          </cell>
          <cell r="O326">
            <v>68.737000000000052</v>
          </cell>
          <cell r="P326">
            <v>86.532999999999959</v>
          </cell>
          <cell r="Q326">
            <v>98.096000000000004</v>
          </cell>
          <cell r="R326">
            <v>131.94499999999994</v>
          </cell>
          <cell r="S326">
            <v>385.31099999999992</v>
          </cell>
          <cell r="U326">
            <v>115.83299999999997</v>
          </cell>
          <cell r="V326">
            <v>145.83538999999996</v>
          </cell>
          <cell r="W326">
            <v>151.46899999999999</v>
          </cell>
          <cell r="X326">
            <v>193.75099999999986</v>
          </cell>
          <cell r="Y326">
            <v>606.88838999999984</v>
          </cell>
          <cell r="AA326">
            <v>160.13099999999997</v>
          </cell>
          <cell r="AB326">
            <v>207.97800000000001</v>
          </cell>
          <cell r="AC326">
            <v>200.23399999999981</v>
          </cell>
          <cell r="AD326">
            <v>241.26100000000008</v>
          </cell>
          <cell r="AE326">
            <v>809.60399999999993</v>
          </cell>
          <cell r="AG326">
            <v>211.32899999999995</v>
          </cell>
          <cell r="AH326">
            <v>210.86599999999976</v>
          </cell>
          <cell r="AI326">
            <v>176.49900000000002</v>
          </cell>
          <cell r="AJ326">
            <v>199.29999999999984</v>
          </cell>
          <cell r="AK326">
            <v>797.99399999999957</v>
          </cell>
          <cell r="AM326">
            <v>181.2109999999999</v>
          </cell>
          <cell r="AN326">
            <v>224.86500000000046</v>
          </cell>
          <cell r="AO326">
            <v>220.09000000000015</v>
          </cell>
          <cell r="AP326">
            <v>292.68199999999979</v>
          </cell>
          <cell r="AQ326">
            <v>918.8480000000003</v>
          </cell>
          <cell r="AS326">
            <v>242.53200000000004</v>
          </cell>
          <cell r="AT326">
            <v>304.29299999999978</v>
          </cell>
          <cell r="AU326">
            <v>291.96499999999958</v>
          </cell>
          <cell r="AV326">
            <v>394.76000000000045</v>
          </cell>
          <cell r="AW326">
            <v>1233.5499999999997</v>
          </cell>
          <cell r="AY326">
            <v>328.10900000000026</v>
          </cell>
          <cell r="AZ326">
            <v>388.63699999999983</v>
          </cell>
          <cell r="BA326">
            <v>350.49299999999994</v>
          </cell>
          <cell r="BB326">
            <v>423.75600000000009</v>
          </cell>
          <cell r="BC326">
            <v>1490.9950000000001</v>
          </cell>
          <cell r="BE326">
            <v>340.48099999999977</v>
          </cell>
          <cell r="BF326">
            <v>346.18399999999986</v>
          </cell>
          <cell r="BG326">
            <v>273.95999999999981</v>
          </cell>
          <cell r="BH326">
            <v>369.0060000000002</v>
          </cell>
          <cell r="BI326">
            <v>1329.6309999999996</v>
          </cell>
          <cell r="BK326">
            <v>295</v>
          </cell>
          <cell r="BL326">
            <v>334</v>
          </cell>
          <cell r="BM326">
            <v>331</v>
          </cell>
          <cell r="BN326">
            <v>416.40000000000009</v>
          </cell>
          <cell r="BO326">
            <v>1376.4</v>
          </cell>
          <cell r="BQ326">
            <v>313</v>
          </cell>
          <cell r="BR326">
            <v>367</v>
          </cell>
          <cell r="BS326">
            <v>375</v>
          </cell>
          <cell r="BT326">
            <v>441</v>
          </cell>
          <cell r="BU326">
            <v>1496</v>
          </cell>
          <cell r="BW326">
            <v>346</v>
          </cell>
          <cell r="BX326">
            <v>402</v>
          </cell>
          <cell r="BY326">
            <v>430.72</v>
          </cell>
          <cell r="BZ326">
            <v>547.07231999999999</v>
          </cell>
          <cell r="CA326">
            <v>1725.79232</v>
          </cell>
          <cell r="CC326">
            <v>429.84999999999991</v>
          </cell>
          <cell r="CD326">
            <v>484.29999999999995</v>
          </cell>
          <cell r="CE326">
            <v>467.15000000000009</v>
          </cell>
          <cell r="CF326">
            <v>696.90000000000009</v>
          </cell>
          <cell r="CG326">
            <v>2078.1999999999998</v>
          </cell>
          <cell r="CI326">
            <v>505.5</v>
          </cell>
          <cell r="CJ326">
            <v>578.95000000000005</v>
          </cell>
          <cell r="CK326">
            <v>620.25</v>
          </cell>
          <cell r="CL326">
            <v>826.25</v>
          </cell>
          <cell r="CM326">
            <v>2530.9499999999998</v>
          </cell>
          <cell r="CO326">
            <v>633.59999999999991</v>
          </cell>
          <cell r="CP326">
            <v>781.65000000000009</v>
          </cell>
          <cell r="CQ326">
            <v>774.3</v>
          </cell>
          <cell r="CR326">
            <v>992.30000000000018</v>
          </cell>
          <cell r="CS326">
            <v>3181.8500000000004</v>
          </cell>
          <cell r="CU326">
            <v>827.65000000000009</v>
          </cell>
          <cell r="CV326">
            <v>834</v>
          </cell>
          <cell r="CW326">
            <v>783</v>
          </cell>
          <cell r="CX326">
            <v>985</v>
          </cell>
          <cell r="CY326">
            <v>3429.65</v>
          </cell>
          <cell r="DA326">
            <v>750</v>
          </cell>
          <cell r="DB326">
            <v>903</v>
          </cell>
          <cell r="DC326">
            <v>953</v>
          </cell>
          <cell r="DE326">
            <v>4072</v>
          </cell>
          <cell r="DG326">
            <v>1230.951213009864</v>
          </cell>
          <cell r="DH326">
            <v>1392</v>
          </cell>
          <cell r="DI326">
            <v>1440</v>
          </cell>
          <cell r="DJ326">
            <v>1724</v>
          </cell>
          <cell r="DK326">
            <v>5786.9512130098637</v>
          </cell>
          <cell r="DM326">
            <v>1444</v>
          </cell>
          <cell r="DN326">
            <v>1504</v>
          </cell>
          <cell r="DO326">
            <v>1545</v>
          </cell>
          <cell r="DP326">
            <v>1831</v>
          </cell>
          <cell r="DQ326">
            <v>6324</v>
          </cell>
          <cell r="DS326">
            <v>1474</v>
          </cell>
          <cell r="DT326">
            <v>1606</v>
          </cell>
          <cell r="DU326">
            <v>1515</v>
          </cell>
          <cell r="DV326">
            <v>1708</v>
          </cell>
          <cell r="DW326">
            <v>6303</v>
          </cell>
          <cell r="DY326">
            <v>1416</v>
          </cell>
          <cell r="DZ326">
            <v>1463</v>
          </cell>
          <cell r="EA326">
            <v>1431</v>
          </cell>
          <cell r="EB326">
            <v>1695</v>
          </cell>
          <cell r="EC326">
            <v>6005</v>
          </cell>
          <cell r="EE326">
            <v>1387</v>
          </cell>
          <cell r="EF326">
            <v>1466</v>
          </cell>
          <cell r="EG326">
            <v>1380</v>
          </cell>
          <cell r="EH326">
            <v>1506</v>
          </cell>
          <cell r="EI326">
            <v>5739</v>
          </cell>
          <cell r="EK326">
            <v>1276</v>
          </cell>
          <cell r="EL326">
            <v>1388</v>
          </cell>
          <cell r="EM326">
            <v>1356.7230340501387</v>
          </cell>
          <cell r="EN326">
            <v>1466.9255235280061</v>
          </cell>
          <cell r="EO326">
            <v>5487.6485575781444</v>
          </cell>
          <cell r="EQ326">
            <v>1306.3902938455567</v>
          </cell>
          <cell r="ER326">
            <v>1408.4565925188408</v>
          </cell>
          <cell r="ES326">
            <v>1364.8250319965764</v>
          </cell>
          <cell r="ET326">
            <v>1455.3296547668474</v>
          </cell>
          <cell r="EU326">
            <v>5535.0015731278218</v>
          </cell>
          <cell r="EW326">
            <v>1306.3902938455567</v>
          </cell>
          <cell r="EX326">
            <v>1408.4565925188408</v>
          </cell>
          <cell r="EY326">
            <v>1364.8250319965764</v>
          </cell>
          <cell r="EZ326">
            <v>1455.3296547668474</v>
          </cell>
          <cell r="FA326">
            <v>5535.0015731278218</v>
          </cell>
        </row>
        <row r="327">
          <cell r="C327" t="str">
            <v>-</v>
          </cell>
          <cell r="D327" t="str">
            <v>-</v>
          </cell>
          <cell r="E327" t="str">
            <v>-</v>
          </cell>
          <cell r="F327" t="str">
            <v>-</v>
          </cell>
          <cell r="G327" t="str">
            <v>-</v>
          </cell>
          <cell r="H327" t="str">
            <v>-</v>
          </cell>
          <cell r="I327" t="str">
            <v>-</v>
          </cell>
          <cell r="J327" t="str">
            <v>-</v>
          </cell>
          <cell r="K327" t="str">
            <v>-</v>
          </cell>
          <cell r="L327" t="str">
            <v>-</v>
          </cell>
          <cell r="M327" t="str">
            <v>-</v>
          </cell>
          <cell r="O327" t="str">
            <v>-</v>
          </cell>
          <cell r="P327" t="str">
            <v>-</v>
          </cell>
          <cell r="Q327" t="str">
            <v>-</v>
          </cell>
          <cell r="R327" t="str">
            <v>-</v>
          </cell>
          <cell r="S327" t="str">
            <v>-</v>
          </cell>
          <cell r="U327" t="str">
            <v>-</v>
          </cell>
          <cell r="V327" t="str">
            <v>-</v>
          </cell>
          <cell r="W327" t="str">
            <v>-</v>
          </cell>
          <cell r="X327" t="str">
            <v>-</v>
          </cell>
          <cell r="Y327" t="str">
            <v>-</v>
          </cell>
          <cell r="AA327">
            <v>216.744</v>
          </cell>
          <cell r="AB327">
            <v>293.733</v>
          </cell>
          <cell r="AC327">
            <v>312.62099999999998</v>
          </cell>
          <cell r="AD327">
            <v>641.65800000000002</v>
          </cell>
          <cell r="AE327">
            <v>1464.7560000000001</v>
          </cell>
          <cell r="AG327">
            <v>238.86599999999999</v>
          </cell>
          <cell r="AH327">
            <v>312.24599999999998</v>
          </cell>
          <cell r="AI327">
            <v>416.327</v>
          </cell>
          <cell r="AJ327">
            <v>757.97399999999993</v>
          </cell>
          <cell r="AK327">
            <v>1725.413</v>
          </cell>
          <cell r="AM327">
            <v>281.04199999999997</v>
          </cell>
          <cell r="AN327">
            <v>376.93699999999995</v>
          </cell>
          <cell r="AO327">
            <v>426.43900000000002</v>
          </cell>
          <cell r="AP327">
            <v>913.94999999999993</v>
          </cell>
          <cell r="AQ327">
            <v>1998.3679999999999</v>
          </cell>
          <cell r="AS327">
            <v>299.642</v>
          </cell>
          <cell r="AT327">
            <v>433.06400000000002</v>
          </cell>
          <cell r="AU327">
            <v>620.36700000000008</v>
          </cell>
          <cell r="AV327">
            <v>1142.8589999999999</v>
          </cell>
          <cell r="AW327">
            <v>2495.9320000000002</v>
          </cell>
          <cell r="AY327">
            <v>400.87100000000004</v>
          </cell>
          <cell r="AZ327">
            <v>580.50199999999995</v>
          </cell>
          <cell r="BA327">
            <v>594.346</v>
          </cell>
          <cell r="BB327">
            <v>947.00800000000004</v>
          </cell>
          <cell r="BC327">
            <v>2522.7269999999999</v>
          </cell>
          <cell r="BE327">
            <v>320.04199999999997</v>
          </cell>
          <cell r="BF327">
            <v>371.78700000000003</v>
          </cell>
          <cell r="BG327">
            <v>387.89100000000002</v>
          </cell>
          <cell r="BH327">
            <v>552.94499999999994</v>
          </cell>
          <cell r="BI327">
            <v>1632.6650000000002</v>
          </cell>
          <cell r="BK327">
            <v>250.941</v>
          </cell>
          <cell r="BL327">
            <v>308.40100000000001</v>
          </cell>
          <cell r="BM327">
            <v>333.3</v>
          </cell>
          <cell r="BN327">
            <v>508.23599999999999</v>
          </cell>
          <cell r="BO327">
            <v>1400.8780000000002</v>
          </cell>
          <cell r="BQ327">
            <v>203</v>
          </cell>
          <cell r="BR327">
            <v>375</v>
          </cell>
          <cell r="BS327">
            <v>339</v>
          </cell>
          <cell r="BT327">
            <v>554</v>
          </cell>
          <cell r="BU327">
            <v>1471</v>
          </cell>
          <cell r="BW327">
            <v>227</v>
          </cell>
          <cell r="BX327">
            <v>401</v>
          </cell>
          <cell r="BY327">
            <v>380.4</v>
          </cell>
          <cell r="BZ327">
            <v>771</v>
          </cell>
          <cell r="CA327">
            <v>1779.4</v>
          </cell>
          <cell r="CC327">
            <v>269</v>
          </cell>
          <cell r="CD327">
            <v>490</v>
          </cell>
          <cell r="CE327">
            <v>481.5</v>
          </cell>
          <cell r="CF327">
            <v>1057</v>
          </cell>
          <cell r="CG327">
            <v>2297.5</v>
          </cell>
          <cell r="CI327">
            <v>358</v>
          </cell>
          <cell r="CJ327">
            <v>528</v>
          </cell>
          <cell r="CK327">
            <v>633</v>
          </cell>
          <cell r="CL327">
            <v>1210</v>
          </cell>
          <cell r="CM327">
            <v>2729</v>
          </cell>
          <cell r="CO327">
            <v>499</v>
          </cell>
          <cell r="CP327">
            <v>752</v>
          </cell>
          <cell r="CQ327">
            <v>736</v>
          </cell>
          <cell r="CR327">
            <v>1480</v>
          </cell>
          <cell r="CS327">
            <v>3467</v>
          </cell>
          <cell r="CU327">
            <v>536</v>
          </cell>
          <cell r="CV327">
            <v>750</v>
          </cell>
          <cell r="CW327">
            <v>673</v>
          </cell>
          <cell r="CX327">
            <v>1256</v>
          </cell>
          <cell r="CY327">
            <v>3215</v>
          </cell>
          <cell r="DA327">
            <v>495</v>
          </cell>
          <cell r="DB327">
            <v>778</v>
          </cell>
          <cell r="DC327">
            <v>823</v>
          </cell>
          <cell r="DE327">
            <v>3704</v>
          </cell>
          <cell r="DG327">
            <v>658</v>
          </cell>
          <cell r="DH327">
            <v>1030</v>
          </cell>
          <cell r="DI327">
            <v>1110</v>
          </cell>
          <cell r="DJ327">
            <v>1864</v>
          </cell>
          <cell r="DK327">
            <v>4662</v>
          </cell>
          <cell r="DM327">
            <v>727</v>
          </cell>
          <cell r="DN327">
            <v>1027</v>
          </cell>
          <cell r="DO327">
            <v>1228</v>
          </cell>
          <cell r="DP327">
            <v>2126</v>
          </cell>
          <cell r="DQ327">
            <v>5108</v>
          </cell>
          <cell r="DS327">
            <v>814</v>
          </cell>
          <cell r="DT327">
            <v>1253</v>
          </cell>
          <cell r="DU327">
            <v>1205</v>
          </cell>
          <cell r="DV327">
            <v>2194</v>
          </cell>
          <cell r="DW327">
            <v>5605.7979890922752</v>
          </cell>
          <cell r="DY327">
            <v>926</v>
          </cell>
          <cell r="DZ327">
            <v>1295</v>
          </cell>
          <cell r="EA327">
            <v>1323.7063489361701</v>
          </cell>
          <cell r="EB327">
            <v>2221.8323552566094</v>
          </cell>
          <cell r="EC327">
            <v>5681.0794971858977</v>
          </cell>
          <cell r="EE327">
            <v>919.40086377616819</v>
          </cell>
          <cell r="EF327">
            <v>1315.3138219777682</v>
          </cell>
          <cell r="EG327">
            <v>1308.1777960851064</v>
          </cell>
          <cell r="EH327">
            <v>1918.166874558942</v>
          </cell>
          <cell r="EI327">
            <v>5461.0593563979846</v>
          </cell>
          <cell r="EK327">
            <v>858.94883350044734</v>
          </cell>
          <cell r="EL327">
            <v>1158.5212858462401</v>
          </cell>
          <cell r="EM327">
            <v>1214.1973241872338</v>
          </cell>
          <cell r="EN327">
            <v>1753.6315946476977</v>
          </cell>
          <cell r="EO327">
            <v>4985.2990381816189</v>
          </cell>
          <cell r="EQ327">
            <v>914.1758036756471</v>
          </cell>
          <cell r="ER327">
            <v>1184.9493557828976</v>
          </cell>
          <cell r="ES327">
            <v>1254.9244311616872</v>
          </cell>
          <cell r="ET327">
            <v>1720.3127092798759</v>
          </cell>
          <cell r="EU327">
            <v>5074.3622999001072</v>
          </cell>
          <cell r="EW327">
            <v>1015.3268766521788</v>
          </cell>
          <cell r="EX327">
            <v>1267.1726470675976</v>
          </cell>
          <cell r="EY327">
            <v>1351.0248156545379</v>
          </cell>
          <cell r="EZ327">
            <v>1737.5360020809928</v>
          </cell>
          <cell r="FA327">
            <v>5371.060341455307</v>
          </cell>
        </row>
        <row r="328">
          <cell r="C328" t="str">
            <v>-</v>
          </cell>
          <cell r="D328" t="str">
            <v>-</v>
          </cell>
          <cell r="E328" t="str">
            <v>-</v>
          </cell>
          <cell r="F328" t="str">
            <v>-</v>
          </cell>
          <cell r="G328" t="str">
            <v>-</v>
          </cell>
          <cell r="H328" t="str">
            <v>-</v>
          </cell>
          <cell r="I328" t="str">
            <v>-</v>
          </cell>
          <cell r="J328" t="str">
            <v>-</v>
          </cell>
          <cell r="K328" t="str">
            <v>-</v>
          </cell>
          <cell r="L328" t="str">
            <v>-</v>
          </cell>
          <cell r="M328" t="str">
            <v>-</v>
          </cell>
          <cell r="O328" t="str">
            <v>-</v>
          </cell>
          <cell r="P328" t="str">
            <v>-</v>
          </cell>
          <cell r="Q328" t="str">
            <v>-</v>
          </cell>
          <cell r="R328" t="str">
            <v>-</v>
          </cell>
          <cell r="S328" t="str">
            <v>-</v>
          </cell>
          <cell r="U328" t="str">
            <v>-</v>
          </cell>
          <cell r="V328" t="str">
            <v>-</v>
          </cell>
          <cell r="W328" t="str">
            <v>-</v>
          </cell>
          <cell r="X328" t="str">
            <v>-</v>
          </cell>
          <cell r="Y328" t="str">
            <v>-</v>
          </cell>
          <cell r="AA328">
            <v>227.57300000000001</v>
          </cell>
          <cell r="AB328">
            <v>312.714</v>
          </cell>
          <cell r="AC328">
            <v>351.63599999999997</v>
          </cell>
          <cell r="AD328">
            <v>465.77099999999996</v>
          </cell>
          <cell r="AE328">
            <v>1357.694</v>
          </cell>
          <cell r="AG328">
            <v>266.51</v>
          </cell>
          <cell r="AH328">
            <v>308.92200000000003</v>
          </cell>
          <cell r="AI328">
            <v>336.86599999999999</v>
          </cell>
          <cell r="AJ328">
            <v>451.34899999999999</v>
          </cell>
          <cell r="AK328">
            <v>1363.6469999999999</v>
          </cell>
          <cell r="AM328">
            <v>276.59699999999998</v>
          </cell>
          <cell r="AN328">
            <v>368.31</v>
          </cell>
          <cell r="AO328">
            <v>378.16699999999997</v>
          </cell>
          <cell r="AP328">
            <v>569.452</v>
          </cell>
          <cell r="AQ328">
            <v>1592.5260000000001</v>
          </cell>
          <cell r="AS328">
            <v>303.00400000000002</v>
          </cell>
          <cell r="AT328">
            <v>444.10699999999997</v>
          </cell>
          <cell r="AU328">
            <v>422.83900000000006</v>
          </cell>
          <cell r="AV328">
            <v>649.14700000000005</v>
          </cell>
          <cell r="AW328">
            <v>1819.0970000000002</v>
          </cell>
          <cell r="AY328">
            <v>370.37400000000002</v>
          </cell>
          <cell r="AZ328">
            <v>512.69100000000003</v>
          </cell>
          <cell r="BA328">
            <v>506.61900000000003</v>
          </cell>
          <cell r="BB328">
            <v>671.47199999999998</v>
          </cell>
          <cell r="BC328">
            <v>2061.1559999999999</v>
          </cell>
          <cell r="BE328">
            <v>391.06600000000003</v>
          </cell>
          <cell r="BF328">
            <v>431.60399999999998</v>
          </cell>
          <cell r="BG328">
            <v>389.06200000000001</v>
          </cell>
          <cell r="BH328">
            <v>597.0329999999999</v>
          </cell>
          <cell r="BI328">
            <v>1808.7650000000001</v>
          </cell>
          <cell r="BK328">
            <v>297.61099999999999</v>
          </cell>
          <cell r="BL328">
            <v>443.13499999999999</v>
          </cell>
          <cell r="BM328">
            <v>409.65800000000002</v>
          </cell>
          <cell r="BN328">
            <v>671.46100000000001</v>
          </cell>
          <cell r="BO328">
            <v>1821.8649999999998</v>
          </cell>
          <cell r="BQ328">
            <v>312</v>
          </cell>
          <cell r="BR328">
            <v>474</v>
          </cell>
          <cell r="BS328">
            <v>501</v>
          </cell>
          <cell r="BT328">
            <v>750</v>
          </cell>
          <cell r="BU328">
            <v>2037</v>
          </cell>
          <cell r="BW328">
            <v>336</v>
          </cell>
          <cell r="BX328">
            <v>570</v>
          </cell>
          <cell r="BY328">
            <v>566.6</v>
          </cell>
          <cell r="BZ328">
            <v>838</v>
          </cell>
          <cell r="CA328">
            <v>2310.6</v>
          </cell>
          <cell r="CC328">
            <v>350</v>
          </cell>
          <cell r="CD328">
            <v>560</v>
          </cell>
          <cell r="CE328">
            <v>606.9</v>
          </cell>
          <cell r="CF328">
            <v>1053</v>
          </cell>
          <cell r="CG328">
            <v>2569.9</v>
          </cell>
          <cell r="CI328">
            <v>435</v>
          </cell>
          <cell r="CJ328">
            <v>671</v>
          </cell>
          <cell r="CK328">
            <v>749</v>
          </cell>
          <cell r="CL328">
            <v>1252</v>
          </cell>
          <cell r="CM328">
            <v>3107</v>
          </cell>
          <cell r="CO328">
            <v>588</v>
          </cell>
          <cell r="CP328">
            <v>916</v>
          </cell>
          <cell r="CQ328">
            <v>880</v>
          </cell>
          <cell r="CR328">
            <v>1664</v>
          </cell>
          <cell r="CS328">
            <v>4048</v>
          </cell>
          <cell r="CU328">
            <v>701</v>
          </cell>
          <cell r="CV328">
            <v>875.4</v>
          </cell>
          <cell r="CW328">
            <v>843</v>
          </cell>
          <cell r="CX328">
            <v>1488</v>
          </cell>
          <cell r="CY328">
            <v>3907.4</v>
          </cell>
          <cell r="DA328">
            <v>533</v>
          </cell>
          <cell r="DB328">
            <v>875</v>
          </cell>
          <cell r="DC328">
            <v>895</v>
          </cell>
          <cell r="DE328">
            <v>3830</v>
          </cell>
          <cell r="DG328">
            <v>628</v>
          </cell>
          <cell r="DH328">
            <v>969</v>
          </cell>
          <cell r="DI328">
            <v>1104</v>
          </cell>
          <cell r="DJ328">
            <v>1872</v>
          </cell>
          <cell r="DK328">
            <v>4573</v>
          </cell>
          <cell r="DM328">
            <v>771</v>
          </cell>
          <cell r="DN328">
            <v>1021</v>
          </cell>
          <cell r="DO328">
            <v>1146</v>
          </cell>
          <cell r="DP328">
            <v>1859</v>
          </cell>
          <cell r="DQ328">
            <v>4819</v>
          </cell>
          <cell r="DS328">
            <v>760</v>
          </cell>
          <cell r="DT328">
            <v>1136</v>
          </cell>
          <cell r="DU328">
            <v>1127</v>
          </cell>
          <cell r="DV328">
            <v>1832</v>
          </cell>
          <cell r="DW328">
            <v>5216.2020109077248</v>
          </cell>
          <cell r="DY328">
            <v>727</v>
          </cell>
          <cell r="DZ328">
            <v>1085</v>
          </cell>
          <cell r="EA328">
            <v>1217.2936510638297</v>
          </cell>
          <cell r="EB328">
            <v>2002.1676447433906</v>
          </cell>
          <cell r="EC328">
            <v>5328.9205028141023</v>
          </cell>
          <cell r="EE328">
            <v>927.59913622383169</v>
          </cell>
          <cell r="EF328">
            <v>1248.6861780222318</v>
          </cell>
          <cell r="EG328">
            <v>1203.8222039148936</v>
          </cell>
          <cell r="EH328">
            <v>1798.833125441058</v>
          </cell>
          <cell r="EI328">
            <v>5178.9406436020163</v>
          </cell>
          <cell r="EK328">
            <v>904.05116649955266</v>
          </cell>
          <cell r="EL328">
            <v>1170.4787141537599</v>
          </cell>
          <cell r="EM328">
            <v>1173.6926758127661</v>
          </cell>
          <cell r="EN328">
            <v>1724.7184053523022</v>
          </cell>
          <cell r="EO328">
            <v>4972.9409618183809</v>
          </cell>
          <cell r="EQ328">
            <v>953.23919632435309</v>
          </cell>
          <cell r="ER328">
            <v>1198.7056442171022</v>
          </cell>
          <cell r="ES328">
            <v>1209.3109188383128</v>
          </cell>
          <cell r="ET328">
            <v>1716.1365407201238</v>
          </cell>
          <cell r="EU328">
            <v>5077.3923000998921</v>
          </cell>
          <cell r="EW328">
            <v>852.08812334782135</v>
          </cell>
          <cell r="EX328">
            <v>1116.4823529324021</v>
          </cell>
          <cell r="EY328">
            <v>1113.2105343454621</v>
          </cell>
          <cell r="EZ328">
            <v>1698.9132479190066</v>
          </cell>
          <cell r="FA328">
            <v>4780.6942585446923</v>
          </cell>
        </row>
        <row r="329">
          <cell r="C329" t="str">
            <v>-</v>
          </cell>
          <cell r="D329" t="str">
            <v>-</v>
          </cell>
          <cell r="E329" t="str">
            <v>-</v>
          </cell>
          <cell r="F329" t="str">
            <v>-</v>
          </cell>
          <cell r="G329" t="str">
            <v>-</v>
          </cell>
          <cell r="H329" t="str">
            <v>-</v>
          </cell>
          <cell r="I329" t="str">
            <v>-</v>
          </cell>
          <cell r="J329" t="str">
            <v>-</v>
          </cell>
          <cell r="K329" t="str">
            <v>-</v>
          </cell>
          <cell r="L329" t="str">
            <v>-</v>
          </cell>
          <cell r="M329" t="str">
            <v>-</v>
          </cell>
          <cell r="O329" t="str">
            <v>-</v>
          </cell>
          <cell r="P329" t="str">
            <v>-</v>
          </cell>
          <cell r="Q329" t="str">
            <v>-</v>
          </cell>
          <cell r="R329" t="str">
            <v>-</v>
          </cell>
          <cell r="S329" t="str">
            <v>-</v>
          </cell>
          <cell r="U329" t="str">
            <v>-</v>
          </cell>
          <cell r="V329" t="str">
            <v>-</v>
          </cell>
          <cell r="W329" t="str">
            <v>-</v>
          </cell>
          <cell r="X329" t="str">
            <v>-</v>
          </cell>
          <cell r="Y329" t="str">
            <v>-</v>
          </cell>
          <cell r="AA329">
            <v>133.35300000000001</v>
          </cell>
          <cell r="AB329">
            <v>177.34800000000001</v>
          </cell>
          <cell r="AC329">
            <v>228.45999999999998</v>
          </cell>
          <cell r="AD329">
            <v>316.483</v>
          </cell>
          <cell r="AE329">
            <v>855.64399999999989</v>
          </cell>
          <cell r="AG329">
            <v>151.83600000000001</v>
          </cell>
          <cell r="AH329">
            <v>194.34800000000001</v>
          </cell>
          <cell r="AI329">
            <v>244.57300000000001</v>
          </cell>
          <cell r="AJ329">
            <v>347.51900000000001</v>
          </cell>
          <cell r="AK329">
            <v>938.27599999999995</v>
          </cell>
          <cell r="AM329">
            <v>185.71299999999999</v>
          </cell>
          <cell r="AN329">
            <v>247.55799999999999</v>
          </cell>
          <cell r="AO329">
            <v>261.29399999999998</v>
          </cell>
          <cell r="AP329">
            <v>410.68200000000002</v>
          </cell>
          <cell r="AQ329">
            <v>1105.2470000000001</v>
          </cell>
          <cell r="AS329">
            <v>186.10899999999998</v>
          </cell>
          <cell r="AT329">
            <v>283.87700000000001</v>
          </cell>
          <cell r="AU329">
            <v>269.00200000000001</v>
          </cell>
          <cell r="AV329">
            <v>424.5</v>
          </cell>
          <cell r="AW329">
            <v>1163.4880000000001</v>
          </cell>
          <cell r="AY329">
            <v>209.01900000000001</v>
          </cell>
          <cell r="AZ329">
            <v>293.387</v>
          </cell>
          <cell r="BA329">
            <v>318.99400000000003</v>
          </cell>
          <cell r="BB329">
            <v>423.41999999999996</v>
          </cell>
          <cell r="BC329">
            <v>1244.82</v>
          </cell>
          <cell r="BE329">
            <v>212.142</v>
          </cell>
          <cell r="BF329">
            <v>253.55699999999999</v>
          </cell>
          <cell r="BG329">
            <v>264.24799999999999</v>
          </cell>
          <cell r="BH329">
            <v>416.67499999999995</v>
          </cell>
          <cell r="BI329">
            <v>1146.6220000000001</v>
          </cell>
          <cell r="BK329">
            <v>182.14099999999999</v>
          </cell>
          <cell r="BL329">
            <v>298.69099999999997</v>
          </cell>
          <cell r="BM329">
            <v>269.70400000000001</v>
          </cell>
          <cell r="BN329">
            <v>462.23199999999997</v>
          </cell>
          <cell r="BO329">
            <v>1212.7679999999998</v>
          </cell>
          <cell r="BQ329">
            <v>198</v>
          </cell>
          <cell r="BR329">
            <v>311</v>
          </cell>
          <cell r="BS329">
            <v>331</v>
          </cell>
          <cell r="BT329">
            <v>524</v>
          </cell>
          <cell r="BU329">
            <v>1364</v>
          </cell>
          <cell r="BW329">
            <v>186</v>
          </cell>
          <cell r="BX329">
            <v>384</v>
          </cell>
          <cell r="BY329">
            <v>369</v>
          </cell>
          <cell r="BZ329">
            <v>559</v>
          </cell>
          <cell r="CA329">
            <v>1498</v>
          </cell>
          <cell r="CC329">
            <v>202</v>
          </cell>
          <cell r="CD329">
            <v>357</v>
          </cell>
          <cell r="CE329">
            <v>412.2</v>
          </cell>
          <cell r="CF329">
            <v>673</v>
          </cell>
          <cell r="CG329">
            <v>1644.2</v>
          </cell>
          <cell r="CI329">
            <v>253</v>
          </cell>
          <cell r="CJ329">
            <v>442</v>
          </cell>
          <cell r="CK329">
            <v>487</v>
          </cell>
          <cell r="CL329">
            <v>843</v>
          </cell>
          <cell r="CM329">
            <v>2025</v>
          </cell>
          <cell r="CO329">
            <v>378</v>
          </cell>
          <cell r="CP329">
            <v>598</v>
          </cell>
          <cell r="CQ329">
            <v>589</v>
          </cell>
          <cell r="CR329">
            <v>1201</v>
          </cell>
          <cell r="CS329">
            <v>2766</v>
          </cell>
          <cell r="CU329">
            <v>420</v>
          </cell>
          <cell r="CV329">
            <v>557</v>
          </cell>
          <cell r="CW329">
            <v>571</v>
          </cell>
          <cell r="CX329">
            <v>1041</v>
          </cell>
          <cell r="CY329">
            <v>2589</v>
          </cell>
          <cell r="DA329">
            <v>314</v>
          </cell>
          <cell r="DB329">
            <v>548</v>
          </cell>
          <cell r="DC329">
            <v>590</v>
          </cell>
          <cell r="DE329">
            <v>2464</v>
          </cell>
          <cell r="DG329">
            <v>352</v>
          </cell>
          <cell r="DH329">
            <v>574</v>
          </cell>
          <cell r="DI329">
            <v>702</v>
          </cell>
          <cell r="DJ329">
            <v>1233</v>
          </cell>
          <cell r="DK329">
            <v>2861</v>
          </cell>
          <cell r="DM329">
            <v>440</v>
          </cell>
          <cell r="DN329">
            <v>584</v>
          </cell>
          <cell r="DO329">
            <v>693</v>
          </cell>
          <cell r="DP329">
            <v>1166</v>
          </cell>
          <cell r="DQ329">
            <v>2883</v>
          </cell>
          <cell r="DS329">
            <v>403</v>
          </cell>
          <cell r="DT329">
            <v>641</v>
          </cell>
          <cell r="DU329">
            <v>690</v>
          </cell>
          <cell r="DV329">
            <v>1224</v>
          </cell>
          <cell r="DW329">
            <v>3116.2852408042772</v>
          </cell>
          <cell r="DY329">
            <v>388</v>
          </cell>
          <cell r="DZ329">
            <v>675</v>
          </cell>
          <cell r="EA329">
            <v>732.5275944169598</v>
          </cell>
          <cell r="EB329">
            <v>1231.5569733875373</v>
          </cell>
          <cell r="EC329">
            <v>3167.3576433000862</v>
          </cell>
          <cell r="EE329">
            <v>529.57944264641401</v>
          </cell>
          <cell r="EF329">
            <v>709.64896764896616</v>
          </cell>
          <cell r="EG329">
            <v>713.72993450863714</v>
          </cell>
          <cell r="EH329">
            <v>1083.5307858369924</v>
          </cell>
          <cell r="EI329">
            <v>3036.48913064101</v>
          </cell>
          <cell r="EK329">
            <v>494.13422563491957</v>
          </cell>
          <cell r="EL329">
            <v>645.89382350952053</v>
          </cell>
          <cell r="EM329">
            <v>688.16145554107322</v>
          </cell>
          <cell r="EN329">
            <v>1045.1765809334704</v>
          </cell>
          <cell r="EO329">
            <v>2873.3660856189836</v>
          </cell>
          <cell r="EQ329">
            <v>519.95141203143646</v>
          </cell>
          <cell r="ER329">
            <v>660.47823727004095</v>
          </cell>
          <cell r="ES329">
            <v>708.96781078339427</v>
          </cell>
          <cell r="ET329">
            <v>1043.5836890726753</v>
          </cell>
          <cell r="EU329">
            <v>2932.981149157547</v>
          </cell>
          <cell r="EW329">
            <v>566.15911291145255</v>
          </cell>
          <cell r="EX329">
            <v>695.15649104330703</v>
          </cell>
          <cell r="EY329">
            <v>748.16223954791212</v>
          </cell>
          <cell r="EZ329">
            <v>1058.1195863384878</v>
          </cell>
          <cell r="FA329">
            <v>3067.5974298411597</v>
          </cell>
        </row>
        <row r="330">
          <cell r="C330" t="str">
            <v>-</v>
          </cell>
          <cell r="D330" t="str">
            <v>-</v>
          </cell>
          <cell r="E330" t="str">
            <v>-</v>
          </cell>
          <cell r="F330" t="str">
            <v>-</v>
          </cell>
          <cell r="G330" t="str">
            <v>-</v>
          </cell>
          <cell r="H330" t="str">
            <v>-</v>
          </cell>
          <cell r="I330" t="str">
            <v>-</v>
          </cell>
          <cell r="J330" t="str">
            <v>-</v>
          </cell>
          <cell r="K330" t="str">
            <v>-</v>
          </cell>
          <cell r="L330" t="str">
            <v>-</v>
          </cell>
          <cell r="M330" t="str">
            <v>-</v>
          </cell>
          <cell r="O330" t="str">
            <v>-</v>
          </cell>
          <cell r="P330" t="str">
            <v>-</v>
          </cell>
          <cell r="Q330" t="str">
            <v>-</v>
          </cell>
          <cell r="R330" t="str">
            <v>-</v>
          </cell>
          <cell r="S330" t="str">
            <v>-</v>
          </cell>
          <cell r="U330" t="str">
            <v>-</v>
          </cell>
          <cell r="V330" t="str">
            <v>-</v>
          </cell>
          <cell r="W330" t="str">
            <v>-</v>
          </cell>
          <cell r="X330" t="str">
            <v>-</v>
          </cell>
          <cell r="Y330" t="str">
            <v>-</v>
          </cell>
          <cell r="AA330">
            <v>94.22</v>
          </cell>
          <cell r="AB330">
            <v>135.36599999999999</v>
          </cell>
          <cell r="AC330">
            <v>123.176</v>
          </cell>
          <cell r="AD330">
            <v>149.28799999999998</v>
          </cell>
          <cell r="AE330">
            <v>502.05</v>
          </cell>
          <cell r="AG330">
            <v>114.67400000000001</v>
          </cell>
          <cell r="AH330">
            <v>114.574</v>
          </cell>
          <cell r="AI330">
            <v>92.293000000000006</v>
          </cell>
          <cell r="AJ330">
            <v>103.83</v>
          </cell>
          <cell r="AK330">
            <v>425.37100000000004</v>
          </cell>
          <cell r="AM330">
            <v>90.884</v>
          </cell>
          <cell r="AN330">
            <v>120.752</v>
          </cell>
          <cell r="AO330">
            <v>116.873</v>
          </cell>
          <cell r="AP330">
            <v>158.77000000000001</v>
          </cell>
          <cell r="AQ330">
            <v>487.27900000000005</v>
          </cell>
          <cell r="AS330">
            <v>116.89500000000001</v>
          </cell>
          <cell r="AT330">
            <v>160.22999999999999</v>
          </cell>
          <cell r="AU330">
            <v>153.83700000000002</v>
          </cell>
          <cell r="AV330">
            <v>224.64700000000002</v>
          </cell>
          <cell r="AW330">
            <v>655.60900000000004</v>
          </cell>
          <cell r="AY330">
            <v>161.35500000000002</v>
          </cell>
          <cell r="AZ330">
            <v>219.304</v>
          </cell>
          <cell r="BA330">
            <v>187.625</v>
          </cell>
          <cell r="BB330">
            <v>248.05200000000002</v>
          </cell>
          <cell r="BC330">
            <v>816.33600000000013</v>
          </cell>
          <cell r="BE330">
            <v>178.92400000000001</v>
          </cell>
          <cell r="BF330">
            <v>178.047</v>
          </cell>
          <cell r="BG330">
            <v>124.81399999999999</v>
          </cell>
          <cell r="BH330">
            <v>180.358</v>
          </cell>
          <cell r="BI330">
            <v>662.14300000000003</v>
          </cell>
          <cell r="BK330">
            <v>115.47</v>
          </cell>
          <cell r="BL330">
            <v>144.44399999999999</v>
          </cell>
          <cell r="BM330">
            <v>139.95400000000001</v>
          </cell>
          <cell r="BN330">
            <v>209.22900000000001</v>
          </cell>
          <cell r="BO330">
            <v>609.09699999999998</v>
          </cell>
          <cell r="BQ330">
            <v>114</v>
          </cell>
          <cell r="BR330">
            <v>163</v>
          </cell>
          <cell r="BS330">
            <v>170</v>
          </cell>
          <cell r="BT330">
            <v>226</v>
          </cell>
          <cell r="BU330">
            <v>673</v>
          </cell>
          <cell r="BW330">
            <v>150</v>
          </cell>
          <cell r="BX330">
            <v>186</v>
          </cell>
          <cell r="BY330">
            <v>197.6</v>
          </cell>
          <cell r="BZ330">
            <v>279</v>
          </cell>
          <cell r="CA330">
            <v>812.6</v>
          </cell>
          <cell r="CC330">
            <v>148</v>
          </cell>
          <cell r="CD330">
            <v>203</v>
          </cell>
          <cell r="CE330">
            <v>194.7</v>
          </cell>
          <cell r="CF330">
            <v>380</v>
          </cell>
          <cell r="CG330">
            <v>925.7</v>
          </cell>
          <cell r="CI330">
            <v>182</v>
          </cell>
          <cell r="CJ330">
            <v>229</v>
          </cell>
          <cell r="CK330">
            <v>262</v>
          </cell>
          <cell r="CL330">
            <v>409</v>
          </cell>
          <cell r="CM330">
            <v>1082</v>
          </cell>
          <cell r="CO330">
            <v>210</v>
          </cell>
          <cell r="CP330">
            <v>318</v>
          </cell>
          <cell r="CQ330">
            <v>291</v>
          </cell>
          <cell r="CR330">
            <v>463</v>
          </cell>
          <cell r="CS330">
            <v>1282</v>
          </cell>
          <cell r="CU330">
            <v>281</v>
          </cell>
          <cell r="CV330">
            <v>318.39999999999998</v>
          </cell>
          <cell r="CW330">
            <v>272</v>
          </cell>
          <cell r="CX330">
            <v>447</v>
          </cell>
          <cell r="CY330">
            <v>1318.4</v>
          </cell>
          <cell r="DA330">
            <v>219</v>
          </cell>
          <cell r="DB330">
            <v>327</v>
          </cell>
          <cell r="DC330">
            <v>305</v>
          </cell>
          <cell r="DE330">
            <v>1366</v>
          </cell>
          <cell r="DG330">
            <v>276</v>
          </cell>
          <cell r="DH330">
            <v>395</v>
          </cell>
          <cell r="DI330">
            <v>402</v>
          </cell>
          <cell r="DJ330">
            <v>639</v>
          </cell>
          <cell r="DK330">
            <v>1712</v>
          </cell>
          <cell r="DM330">
            <v>331</v>
          </cell>
          <cell r="DN330">
            <v>437</v>
          </cell>
          <cell r="DO330">
            <v>453</v>
          </cell>
          <cell r="DP330">
            <v>693</v>
          </cell>
          <cell r="DQ330">
            <v>1936</v>
          </cell>
          <cell r="DS330">
            <v>357</v>
          </cell>
          <cell r="DT330">
            <v>495</v>
          </cell>
          <cell r="DU330">
            <v>437</v>
          </cell>
          <cell r="DV330">
            <v>608</v>
          </cell>
          <cell r="DW330">
            <v>2099.9167701034476</v>
          </cell>
          <cell r="DY330">
            <v>339</v>
          </cell>
          <cell r="DZ330">
            <v>410</v>
          </cell>
          <cell r="EA330">
            <v>484.76605664686997</v>
          </cell>
          <cell r="EB330">
            <v>770.61067135585347</v>
          </cell>
          <cell r="EC330">
            <v>2161.5628595140165</v>
          </cell>
          <cell r="EE330">
            <v>398.01969357741774</v>
          </cell>
          <cell r="EF330">
            <v>539.03721037326568</v>
          </cell>
          <cell r="EG330">
            <v>490.09226940625661</v>
          </cell>
          <cell r="EH330">
            <v>715.30233960406554</v>
          </cell>
          <cell r="EI330">
            <v>2142.4515129610058</v>
          </cell>
          <cell r="EK330">
            <v>409.91694086463315</v>
          </cell>
          <cell r="EL330">
            <v>524.58489064423952</v>
          </cell>
          <cell r="EM330">
            <v>485.53122027169286</v>
          </cell>
          <cell r="EN330">
            <v>679.54182441883177</v>
          </cell>
          <cell r="EO330">
            <v>2099.5748761993973</v>
          </cell>
          <cell r="EQ330">
            <v>433.28778429291663</v>
          </cell>
          <cell r="ER330">
            <v>538.22740694706124</v>
          </cell>
          <cell r="ES330">
            <v>500.34310805491862</v>
          </cell>
          <cell r="ET330">
            <v>672.55285164744862</v>
          </cell>
          <cell r="EU330">
            <v>2144.4111509423451</v>
          </cell>
          <cell r="EW330">
            <v>285.9290104363688</v>
          </cell>
          <cell r="EX330">
            <v>421.32586188909517</v>
          </cell>
          <cell r="EY330">
            <v>365.04829479754994</v>
          </cell>
          <cell r="EZ330">
            <v>640.79366158051891</v>
          </cell>
          <cell r="FA330">
            <v>1713.0968287035328</v>
          </cell>
        </row>
        <row r="331"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U331">
            <v>0</v>
          </cell>
          <cell r="V331">
            <v>0</v>
          </cell>
          <cell r="W331">
            <v>0</v>
          </cell>
          <cell r="X331">
            <v>0</v>
          </cell>
          <cell r="Y331">
            <v>0</v>
          </cell>
          <cell r="AA331">
            <v>0</v>
          </cell>
          <cell r="AB331">
            <v>0</v>
          </cell>
          <cell r="AC331">
            <v>0</v>
          </cell>
          <cell r="AD331">
            <v>0</v>
          </cell>
          <cell r="AE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M331">
            <v>0</v>
          </cell>
          <cell r="AN331">
            <v>0</v>
          </cell>
          <cell r="AO331">
            <v>0</v>
          </cell>
          <cell r="AP331">
            <v>0</v>
          </cell>
          <cell r="AQ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0</v>
          </cell>
          <cell r="BK331">
            <v>0</v>
          </cell>
          <cell r="BL331">
            <v>0</v>
          </cell>
          <cell r="BM331">
            <v>0</v>
          </cell>
          <cell r="BN331">
            <v>0</v>
          </cell>
          <cell r="BO331">
            <v>0</v>
          </cell>
          <cell r="BQ331">
            <v>0</v>
          </cell>
          <cell r="BR331">
            <v>0</v>
          </cell>
          <cell r="BS331">
            <v>0</v>
          </cell>
          <cell r="BT331">
            <v>0</v>
          </cell>
          <cell r="BU331">
            <v>0</v>
          </cell>
          <cell r="BW331">
            <v>0</v>
          </cell>
          <cell r="BX331">
            <v>0</v>
          </cell>
          <cell r="BY331">
            <v>0</v>
          </cell>
          <cell r="BZ331">
            <v>0</v>
          </cell>
          <cell r="CA331">
            <v>0</v>
          </cell>
          <cell r="CC331">
            <v>0</v>
          </cell>
          <cell r="CD331">
            <v>0</v>
          </cell>
          <cell r="CE331">
            <v>0</v>
          </cell>
          <cell r="CF331">
            <v>0</v>
          </cell>
          <cell r="CG331">
            <v>0</v>
          </cell>
          <cell r="CI331">
            <v>0</v>
          </cell>
          <cell r="CJ331">
            <v>0</v>
          </cell>
          <cell r="CK331">
            <v>0</v>
          </cell>
          <cell r="CL331">
            <v>0</v>
          </cell>
          <cell r="CM331">
            <v>0</v>
          </cell>
          <cell r="CO331">
            <v>0</v>
          </cell>
          <cell r="CP331">
            <v>0</v>
          </cell>
          <cell r="CQ331">
            <v>0</v>
          </cell>
          <cell r="CR331">
            <v>0</v>
          </cell>
          <cell r="CS331">
            <v>0</v>
          </cell>
          <cell r="CU331">
            <v>0</v>
          </cell>
          <cell r="CV331">
            <v>0</v>
          </cell>
          <cell r="CW331">
            <v>0</v>
          </cell>
          <cell r="CX331">
            <v>0</v>
          </cell>
          <cell r="CY331">
            <v>0</v>
          </cell>
          <cell r="DA331">
            <v>0</v>
          </cell>
          <cell r="DB331">
            <v>0</v>
          </cell>
          <cell r="DC331">
            <v>0</v>
          </cell>
          <cell r="DE331">
            <v>0</v>
          </cell>
          <cell r="DG331">
            <v>0</v>
          </cell>
          <cell r="DH331">
            <v>0</v>
          </cell>
          <cell r="DI331">
            <v>0</v>
          </cell>
          <cell r="DJ331">
            <v>0</v>
          </cell>
          <cell r="DK331">
            <v>0</v>
          </cell>
          <cell r="DM331">
            <v>0</v>
          </cell>
          <cell r="DN331">
            <v>0</v>
          </cell>
          <cell r="DO331">
            <v>0</v>
          </cell>
          <cell r="DP331">
            <v>0</v>
          </cell>
          <cell r="DQ331">
            <v>0</v>
          </cell>
          <cell r="DS331">
            <v>0</v>
          </cell>
          <cell r="DT331">
            <v>0</v>
          </cell>
          <cell r="DU331">
            <v>0</v>
          </cell>
          <cell r="DV331">
            <v>0</v>
          </cell>
          <cell r="DW331">
            <v>0</v>
          </cell>
          <cell r="DY331">
            <v>0</v>
          </cell>
          <cell r="DZ331">
            <v>0</v>
          </cell>
          <cell r="EA331">
            <v>0</v>
          </cell>
          <cell r="EB331">
            <v>0</v>
          </cell>
          <cell r="EC331">
            <v>0</v>
          </cell>
          <cell r="EE331">
            <v>0</v>
          </cell>
          <cell r="EF331">
            <v>0</v>
          </cell>
          <cell r="EG331">
            <v>0</v>
          </cell>
          <cell r="EH331">
            <v>0</v>
          </cell>
          <cell r="EI331">
            <v>0</v>
          </cell>
          <cell r="EK331">
            <v>0</v>
          </cell>
          <cell r="EL331">
            <v>0</v>
          </cell>
          <cell r="EM331">
            <v>0</v>
          </cell>
          <cell r="EN331">
            <v>0</v>
          </cell>
          <cell r="EO331">
            <v>0</v>
          </cell>
          <cell r="EQ331">
            <v>0</v>
          </cell>
          <cell r="ER331">
            <v>0</v>
          </cell>
          <cell r="ES331">
            <v>0</v>
          </cell>
          <cell r="ET331">
            <v>0</v>
          </cell>
          <cell r="EU331">
            <v>0</v>
          </cell>
          <cell r="EW331">
            <v>0</v>
          </cell>
          <cell r="EX331">
            <v>0</v>
          </cell>
          <cell r="EY331">
            <v>0</v>
          </cell>
          <cell r="EZ331">
            <v>0</v>
          </cell>
          <cell r="FA331">
            <v>0</v>
          </cell>
        </row>
        <row r="332">
          <cell r="C332">
            <v>12.715</v>
          </cell>
          <cell r="D332">
            <v>23.150999999999996</v>
          </cell>
          <cell r="E332">
            <v>55.344999999999999</v>
          </cell>
          <cell r="F332">
            <v>131.249</v>
          </cell>
          <cell r="G332">
            <v>205.435</v>
          </cell>
          <cell r="H332">
            <v>417.93</v>
          </cell>
          <cell r="I332">
            <v>664.56399999999996</v>
          </cell>
          <cell r="J332">
            <v>645.48500000000001</v>
          </cell>
          <cell r="K332">
            <v>657</v>
          </cell>
          <cell r="L332">
            <v>806</v>
          </cell>
          <cell r="M332">
            <v>1099</v>
          </cell>
          <cell r="O332" t="str">
            <v>-</v>
          </cell>
          <cell r="P332" t="str">
            <v>-</v>
          </cell>
          <cell r="Q332" t="str">
            <v>-</v>
          </cell>
          <cell r="R332">
            <v>1606</v>
          </cell>
          <cell r="S332">
            <v>1606</v>
          </cell>
          <cell r="U332">
            <v>1676</v>
          </cell>
          <cell r="V332">
            <v>1818.09</v>
          </cell>
          <cell r="W332">
            <v>1958.09</v>
          </cell>
          <cell r="X332">
            <v>2233.09</v>
          </cell>
          <cell r="Y332">
            <v>2233.09</v>
          </cell>
          <cell r="AA332">
            <v>2327.4070000000002</v>
          </cell>
          <cell r="AB332">
            <v>2448.7640000000001</v>
          </cell>
          <cell r="AC332">
            <v>2598.0209999999997</v>
          </cell>
          <cell r="AD332">
            <v>2822.4500000000003</v>
          </cell>
          <cell r="AE332">
            <v>2822.4500000000003</v>
          </cell>
          <cell r="AG332">
            <v>2883.509</v>
          </cell>
          <cell r="AH332">
            <v>2898.23</v>
          </cell>
          <cell r="AI332">
            <v>2987.1660000000002</v>
          </cell>
          <cell r="AJ332">
            <v>3089.0599999999995</v>
          </cell>
          <cell r="AK332">
            <v>3089.0599999999995</v>
          </cell>
          <cell r="AM332">
            <v>3141.297</v>
          </cell>
          <cell r="AN332">
            <v>3265.3760000000002</v>
          </cell>
          <cell r="AO332">
            <v>3316.79</v>
          </cell>
          <cell r="AP332">
            <v>3590.8680000000004</v>
          </cell>
          <cell r="AQ332">
            <v>3590.8680000000004</v>
          </cell>
          <cell r="AS332">
            <v>3635.9009999999998</v>
          </cell>
          <cell r="AT332">
            <v>3767.8249999999998</v>
          </cell>
          <cell r="AU332">
            <v>4006.424</v>
          </cell>
          <cell r="AV332">
            <v>4315.0289999999995</v>
          </cell>
          <cell r="AW332">
            <v>4315.0289999999995</v>
          </cell>
          <cell r="AY332">
            <v>4483.6280000000006</v>
          </cell>
          <cell r="AZ332">
            <v>4699.6500000000005</v>
          </cell>
          <cell r="BA332">
            <v>4757.4090000000006</v>
          </cell>
          <cell r="BB332">
            <v>4583.8829999999998</v>
          </cell>
          <cell r="BC332">
            <v>4583.8829999999998</v>
          </cell>
          <cell r="BE332">
            <v>4523.7460000000001</v>
          </cell>
          <cell r="BF332">
            <v>4233.9440000000004</v>
          </cell>
          <cell r="BG332">
            <v>3909.9320000000002</v>
          </cell>
          <cell r="BH332">
            <v>3441.4300000000003</v>
          </cell>
          <cell r="BI332">
            <v>3441.4300000000003</v>
          </cell>
          <cell r="BK332">
            <v>3293.3220000000001</v>
          </cell>
          <cell r="BL332">
            <v>3254.931</v>
          </cell>
          <cell r="BM332">
            <v>3232.9780000000001</v>
          </cell>
          <cell r="BN332">
            <v>3270</v>
          </cell>
          <cell r="BO332">
            <v>3270</v>
          </cell>
          <cell r="BQ332">
            <v>3232</v>
          </cell>
          <cell r="BR332">
            <v>3322</v>
          </cell>
          <cell r="BS332">
            <v>3414</v>
          </cell>
          <cell r="BT332">
            <v>3541</v>
          </cell>
          <cell r="BU332">
            <v>3541</v>
          </cell>
          <cell r="BW332">
            <v>3579</v>
          </cell>
          <cell r="BX332">
            <v>3695</v>
          </cell>
          <cell r="BY332">
            <v>3795</v>
          </cell>
          <cell r="BZ332">
            <v>4090</v>
          </cell>
          <cell r="CA332">
            <v>4090</v>
          </cell>
          <cell r="CC332">
            <v>4156</v>
          </cell>
          <cell r="CD332">
            <v>4243</v>
          </cell>
          <cell r="CE332">
            <v>4392.3999999999996</v>
          </cell>
          <cell r="CF332">
            <v>4904.3999999999996</v>
          </cell>
          <cell r="CG332">
            <v>4904.3999999999996</v>
          </cell>
          <cell r="CI332">
            <v>5079.3999999999996</v>
          </cell>
          <cell r="CJ332">
            <v>5228.3999999999996</v>
          </cell>
          <cell r="CK332">
            <v>5522</v>
          </cell>
          <cell r="CL332">
            <v>5882</v>
          </cell>
          <cell r="CM332">
            <v>5882</v>
          </cell>
          <cell r="CO332">
            <v>6165</v>
          </cell>
          <cell r="CP332">
            <v>6626</v>
          </cell>
          <cell r="CQ332">
            <v>6852</v>
          </cell>
          <cell r="CR332">
            <v>7515</v>
          </cell>
          <cell r="CS332">
            <v>7515</v>
          </cell>
          <cell r="CU332">
            <v>7663</v>
          </cell>
          <cell r="CV332">
            <v>7621</v>
          </cell>
          <cell r="CW332">
            <v>7521</v>
          </cell>
          <cell r="CX332">
            <v>7121</v>
          </cell>
          <cell r="CY332">
            <v>7121</v>
          </cell>
          <cell r="DA332">
            <v>6914</v>
          </cell>
          <cell r="DB332">
            <v>6941</v>
          </cell>
          <cell r="DC332">
            <v>7143.4</v>
          </cell>
          <cell r="DE332">
            <v>7534.4</v>
          </cell>
          <cell r="DG332">
            <v>7792.4</v>
          </cell>
          <cell r="DH332">
            <v>8138.4</v>
          </cell>
          <cell r="DI332">
            <v>8634</v>
          </cell>
          <cell r="DJ332">
            <v>9235</v>
          </cell>
          <cell r="DK332">
            <v>9235</v>
          </cell>
          <cell r="DM332">
            <v>9447</v>
          </cell>
          <cell r="DN332">
            <v>9496</v>
          </cell>
          <cell r="DO332">
            <v>9656</v>
          </cell>
          <cell r="DP332">
            <v>9927</v>
          </cell>
          <cell r="DQ332">
            <v>9927</v>
          </cell>
          <cell r="DS332">
            <v>10141</v>
          </cell>
          <cell r="DT332">
            <v>10608</v>
          </cell>
          <cell r="DU332">
            <v>10682</v>
          </cell>
          <cell r="DV332">
            <v>10822</v>
          </cell>
          <cell r="DW332">
            <v>10822</v>
          </cell>
          <cell r="DY332">
            <v>10875</v>
          </cell>
          <cell r="DZ332">
            <v>10840</v>
          </cell>
          <cell r="EA332">
            <v>10933</v>
          </cell>
          <cell r="EB332">
            <v>11010</v>
          </cell>
          <cell r="EC332">
            <v>11010</v>
          </cell>
          <cell r="EE332">
            <v>11092</v>
          </cell>
          <cell r="EF332">
            <v>11176</v>
          </cell>
          <cell r="EG332">
            <v>11147</v>
          </cell>
          <cell r="EH332">
            <v>10640</v>
          </cell>
          <cell r="EI332">
            <v>10640</v>
          </cell>
          <cell r="EK332">
            <v>10556</v>
          </cell>
          <cell r="EL332">
            <v>10321</v>
          </cell>
          <cell r="EM332">
            <v>10196.89</v>
          </cell>
          <cell r="EN332">
            <v>9958.24</v>
          </cell>
          <cell r="EO332">
            <v>9958.24</v>
          </cell>
          <cell r="EQ332">
            <v>10062.655000000001</v>
          </cell>
          <cell r="ER332">
            <v>10117.31</v>
          </cell>
          <cell r="ES332">
            <v>10193.655349999999</v>
          </cell>
          <cell r="ET332">
            <v>10151.7546</v>
          </cell>
          <cell r="EU332">
            <v>10151.7546</v>
          </cell>
          <cell r="EW332">
            <v>10335.421462499999</v>
          </cell>
          <cell r="EX332">
            <v>10479.08475</v>
          </cell>
          <cell r="EY332">
            <v>10642.505342625002</v>
          </cell>
          <cell r="EZ332">
            <v>10683.232067625002</v>
          </cell>
          <cell r="FA332">
            <v>10683.232067625002</v>
          </cell>
        </row>
        <row r="333">
          <cell r="C333">
            <v>12.715</v>
          </cell>
          <cell r="D333">
            <v>23.150999999999996</v>
          </cell>
          <cell r="E333">
            <v>55.344999999999999</v>
          </cell>
          <cell r="F333">
            <v>131.249</v>
          </cell>
          <cell r="G333">
            <v>282.113</v>
          </cell>
          <cell r="H333">
            <v>583.79999999999995</v>
          </cell>
          <cell r="I333">
            <v>916.39</v>
          </cell>
          <cell r="J333">
            <v>1027.9490000000001</v>
          </cell>
          <cell r="K333">
            <v>1179</v>
          </cell>
          <cell r="L333">
            <v>1503</v>
          </cell>
          <cell r="M333">
            <v>2001.1469999999999</v>
          </cell>
          <cell r="N333">
            <v>0</v>
          </cell>
          <cell r="O333" t="str">
            <v>-</v>
          </cell>
          <cell r="P333" t="str">
            <v>-</v>
          </cell>
          <cell r="Q333" t="str">
            <v>-</v>
          </cell>
          <cell r="R333">
            <v>2966.8780000000002</v>
          </cell>
          <cell r="S333">
            <v>2966.8779999999997</v>
          </cell>
          <cell r="T333">
            <v>0</v>
          </cell>
          <cell r="U333">
            <v>3182.2070000000003</v>
          </cell>
          <cell r="V333">
            <v>3478.9269999999997</v>
          </cell>
          <cell r="W333">
            <v>3776.9209999999998</v>
          </cell>
          <cell r="X333">
            <v>4223.116</v>
          </cell>
          <cell r="Y333">
            <v>4223.116</v>
          </cell>
          <cell r="Z333">
            <v>0</v>
          </cell>
          <cell r="AA333">
            <v>4503.6319999999996</v>
          </cell>
          <cell r="AB333">
            <v>4848.0049999999992</v>
          </cell>
          <cell r="AC333">
            <v>5200.3789999999999</v>
          </cell>
          <cell r="AD333">
            <v>5684.3359999999993</v>
          </cell>
          <cell r="AE333">
            <v>5684.3359999999993</v>
          </cell>
          <cell r="AF333">
            <v>0</v>
          </cell>
          <cell r="AG333">
            <v>6000.8449999999993</v>
          </cell>
          <cell r="AH333">
            <v>6303.1989999999987</v>
          </cell>
          <cell r="AI333">
            <v>6679.3429999999998</v>
          </cell>
          <cell r="AJ333">
            <v>7143.8649999999998</v>
          </cell>
          <cell r="AK333">
            <v>7143.8649999999998</v>
          </cell>
          <cell r="AL333">
            <v>0</v>
          </cell>
          <cell r="AM333">
            <v>7524.1469999999999</v>
          </cell>
          <cell r="AN333">
            <v>7966.3639999999996</v>
          </cell>
          <cell r="AO333">
            <v>8296.527</v>
          </cell>
          <cell r="AP333">
            <v>8827.2520000000004</v>
          </cell>
          <cell r="AQ333">
            <v>8827.2520000000004</v>
          </cell>
          <cell r="AR333">
            <v>0</v>
          </cell>
          <cell r="AS333">
            <v>9062.6589999999997</v>
          </cell>
          <cell r="AT333">
            <v>9328.598</v>
          </cell>
          <cell r="AU333">
            <v>9699.0959999999995</v>
          </cell>
          <cell r="AV333">
            <v>10130.128000000001</v>
          </cell>
          <cell r="AW333">
            <v>10130.128000000001</v>
          </cell>
          <cell r="AX333">
            <v>0</v>
          </cell>
          <cell r="AY333">
            <v>10433.602999999999</v>
          </cell>
          <cell r="AZ333">
            <v>10798.127999999999</v>
          </cell>
          <cell r="BA333">
            <v>11044.772000000001</v>
          </cell>
          <cell r="BB333">
            <v>10960.691999999999</v>
          </cell>
          <cell r="BC333">
            <v>10960.691999999999</v>
          </cell>
          <cell r="BD333">
            <v>0</v>
          </cell>
          <cell r="BE333">
            <v>10937.754999999999</v>
          </cell>
          <cell r="BF333">
            <v>10631.784</v>
          </cell>
          <cell r="BG333">
            <v>10189.041999999999</v>
          </cell>
          <cell r="BH333">
            <v>9672.7929999999997</v>
          </cell>
          <cell r="BI333">
            <v>9672.7929999999997</v>
          </cell>
          <cell r="BJ333">
            <v>0</v>
          </cell>
          <cell r="BK333">
            <v>9435.7379999999994</v>
          </cell>
          <cell r="BL333">
            <v>9364.3009999999995</v>
          </cell>
          <cell r="BM333">
            <v>9417.9809999999998</v>
          </cell>
          <cell r="BN333">
            <v>9475.4</v>
          </cell>
          <cell r="BO333">
            <v>9475.4</v>
          </cell>
          <cell r="BP333">
            <v>0</v>
          </cell>
          <cell r="BQ333">
            <v>9519.4</v>
          </cell>
          <cell r="BR333">
            <v>9708.4</v>
          </cell>
          <cell r="BS333">
            <v>9910.4</v>
          </cell>
          <cell r="BT333">
            <v>10156</v>
          </cell>
          <cell r="BU333">
            <v>10156</v>
          </cell>
          <cell r="BV333">
            <v>0</v>
          </cell>
          <cell r="BW333">
            <v>10299</v>
          </cell>
          <cell r="BX333">
            <v>10557</v>
          </cell>
          <cell r="BY333">
            <v>11141</v>
          </cell>
          <cell r="BZ333">
            <v>12119</v>
          </cell>
          <cell r="CA333">
            <v>12119</v>
          </cell>
          <cell r="CB333">
            <v>0</v>
          </cell>
          <cell r="CC333">
            <v>12811</v>
          </cell>
          <cell r="CD333">
            <v>13449</v>
          </cell>
          <cell r="CE333">
            <v>13890.4</v>
          </cell>
          <cell r="CF333">
            <v>14772.4</v>
          </cell>
          <cell r="CG333">
            <v>14772.4</v>
          </cell>
          <cell r="CH333">
            <v>0</v>
          </cell>
          <cell r="CI333">
            <v>15526.4</v>
          </cell>
          <cell r="CJ333">
            <v>16348.4</v>
          </cell>
          <cell r="CK333">
            <v>17263</v>
          </cell>
          <cell r="CL333">
            <v>18209</v>
          </cell>
          <cell r="CM333">
            <v>18209</v>
          </cell>
          <cell r="CN333">
            <v>0</v>
          </cell>
          <cell r="CO333">
            <v>19141</v>
          </cell>
          <cell r="CP333">
            <v>20289</v>
          </cell>
          <cell r="CQ333">
            <v>21211</v>
          </cell>
          <cell r="CR333">
            <v>22609</v>
          </cell>
          <cell r="CS333">
            <v>22609</v>
          </cell>
          <cell r="CT333">
            <v>0</v>
          </cell>
          <cell r="CU333">
            <v>23438</v>
          </cell>
          <cell r="CV333">
            <v>23761</v>
          </cell>
          <cell r="CW333">
            <v>23894</v>
          </cell>
          <cell r="CX333">
            <v>23494</v>
          </cell>
          <cell r="CY333">
            <v>23494</v>
          </cell>
          <cell r="CZ333">
            <v>0</v>
          </cell>
          <cell r="DA333">
            <v>23135</v>
          </cell>
          <cell r="DB333">
            <v>23320</v>
          </cell>
          <cell r="DC333">
            <v>24285.4</v>
          </cell>
          <cell r="DD333">
            <v>27035.4</v>
          </cell>
          <cell r="DE333">
            <v>27035.4</v>
          </cell>
          <cell r="DF333">
            <v>0</v>
          </cell>
          <cell r="DG333">
            <v>29560.400000000001</v>
          </cell>
          <cell r="DH333">
            <v>32382.400000000001</v>
          </cell>
          <cell r="DI333">
            <v>34720</v>
          </cell>
          <cell r="DJ333">
            <v>35895</v>
          </cell>
          <cell r="DK333">
            <v>35895</v>
          </cell>
          <cell r="DL333">
            <v>0</v>
          </cell>
          <cell r="DM333">
            <v>36705</v>
          </cell>
          <cell r="DN333">
            <v>36822</v>
          </cell>
          <cell r="DO333">
            <v>37077.339200000002</v>
          </cell>
          <cell r="DP333">
            <v>37221.498899999999</v>
          </cell>
          <cell r="DQ333">
            <v>37221.498899999999</v>
          </cell>
          <cell r="DR333">
            <v>0</v>
          </cell>
          <cell r="DS333">
            <v>37032.498899999999</v>
          </cell>
          <cell r="DT333">
            <v>37334.498899999999</v>
          </cell>
          <cell r="DU333">
            <v>37242.159700000004</v>
          </cell>
          <cell r="DV333">
            <v>37253</v>
          </cell>
          <cell r="DW333">
            <v>37253</v>
          </cell>
          <cell r="DX333">
            <v>0</v>
          </cell>
          <cell r="DY333">
            <v>37425</v>
          </cell>
          <cell r="DZ333">
            <v>37595</v>
          </cell>
          <cell r="EA333">
            <v>37940</v>
          </cell>
          <cell r="EB333">
            <v>38305</v>
          </cell>
          <cell r="EC333">
            <v>38305</v>
          </cell>
          <cell r="ED333">
            <v>0</v>
          </cell>
          <cell r="EE333">
            <v>38523</v>
          </cell>
          <cell r="EF333">
            <v>38848</v>
          </cell>
          <cell r="EG333">
            <v>38867</v>
          </cell>
          <cell r="EH333">
            <v>38253</v>
          </cell>
          <cell r="EI333">
            <v>38253</v>
          </cell>
          <cell r="EJ333">
            <v>0</v>
          </cell>
          <cell r="EK333">
            <v>38105</v>
          </cell>
          <cell r="EL333">
            <v>37493</v>
          </cell>
          <cell r="EM333">
            <v>37289.247151999996</v>
          </cell>
          <cell r="EN333">
            <v>36969.909987999999</v>
          </cell>
          <cell r="EO333">
            <v>36969.909987999999</v>
          </cell>
          <cell r="EP333">
            <v>0</v>
          </cell>
          <cell r="EQ333">
            <v>37150.891515199997</v>
          </cell>
          <cell r="ER333">
            <v>37263.788356536796</v>
          </cell>
          <cell r="ES333">
            <v>37318.311823611097</v>
          </cell>
          <cell r="ET333">
            <v>37236.159081435486</v>
          </cell>
          <cell r="EU333">
            <v>37236.159081435486</v>
          </cell>
          <cell r="EV333">
            <v>0</v>
          </cell>
          <cell r="EW333">
            <v>37298.006630411757</v>
          </cell>
          <cell r="EX333">
            <v>37318.480779204641</v>
          </cell>
          <cell r="EY333">
            <v>37338.201762830708</v>
          </cell>
          <cell r="EZ333">
            <v>37203.397346594269</v>
          </cell>
          <cell r="FA333">
            <v>37203.397346594269</v>
          </cell>
          <cell r="FB333">
            <v>0</v>
          </cell>
          <cell r="FC333">
            <v>0</v>
          </cell>
          <cell r="FD333">
            <v>0</v>
          </cell>
          <cell r="FE333">
            <v>0</v>
          </cell>
          <cell r="FF333">
            <v>0</v>
          </cell>
          <cell r="FG333">
            <v>0</v>
          </cell>
          <cell r="FH333">
            <v>0</v>
          </cell>
          <cell r="FI333">
            <v>0</v>
          </cell>
          <cell r="FJ333">
            <v>0</v>
          </cell>
          <cell r="FK333">
            <v>0</v>
          </cell>
          <cell r="FL333">
            <v>0</v>
          </cell>
          <cell r="FM333">
            <v>0</v>
          </cell>
          <cell r="FN333">
            <v>0</v>
          </cell>
          <cell r="FO333">
            <v>0</v>
          </cell>
          <cell r="FP333">
            <v>0</v>
          </cell>
          <cell r="FQ333">
            <v>0</v>
          </cell>
          <cell r="FR333">
            <v>0</v>
          </cell>
          <cell r="FS333">
            <v>0</v>
          </cell>
          <cell r="FT333">
            <v>0</v>
          </cell>
          <cell r="FU333">
            <v>0</v>
          </cell>
          <cell r="FV333">
            <v>0</v>
          </cell>
          <cell r="FW333">
            <v>0</v>
          </cell>
          <cell r="FX333">
            <v>0</v>
          </cell>
          <cell r="FY333">
            <v>0</v>
          </cell>
          <cell r="FZ333">
            <v>0</v>
          </cell>
          <cell r="GA333">
            <v>0</v>
          </cell>
          <cell r="GB333">
            <v>0</v>
          </cell>
          <cell r="GC333">
            <v>0</v>
          </cell>
          <cell r="GD333">
            <v>0</v>
          </cell>
          <cell r="GE333">
            <v>0</v>
          </cell>
          <cell r="GF333">
            <v>0</v>
          </cell>
          <cell r="GG333">
            <v>0</v>
          </cell>
          <cell r="GH333">
            <v>0</v>
          </cell>
          <cell r="GI333">
            <v>0</v>
          </cell>
          <cell r="GJ333">
            <v>0</v>
          </cell>
          <cell r="GK333">
            <v>0</v>
          </cell>
          <cell r="GL333">
            <v>0</v>
          </cell>
          <cell r="GM333">
            <v>0</v>
          </cell>
          <cell r="GN333">
            <v>0</v>
          </cell>
          <cell r="GO333">
            <v>0</v>
          </cell>
          <cell r="GP333">
            <v>0</v>
          </cell>
          <cell r="GQ333">
            <v>0</v>
          </cell>
          <cell r="GR333">
            <v>0</v>
          </cell>
          <cell r="GS333">
            <v>0</v>
          </cell>
          <cell r="GT333">
            <v>0</v>
          </cell>
          <cell r="GU333">
            <v>0</v>
          </cell>
          <cell r="GV333">
            <v>0</v>
          </cell>
          <cell r="GW333">
            <v>0</v>
          </cell>
          <cell r="GX333">
            <v>0</v>
          </cell>
          <cell r="GY333">
            <v>0</v>
          </cell>
          <cell r="GZ333">
            <v>0</v>
          </cell>
          <cell r="HA333">
            <v>0</v>
          </cell>
        </row>
        <row r="334">
          <cell r="B334" t="str">
            <v>ltmopex</v>
          </cell>
          <cell r="C334">
            <v>10.108425</v>
          </cell>
          <cell r="D334">
            <v>20.419181999999996</v>
          </cell>
          <cell r="E334">
            <v>44.497379999999993</v>
          </cell>
          <cell r="F334">
            <v>102.86399999999999</v>
          </cell>
          <cell r="G334">
            <v>166.97900000000001</v>
          </cell>
          <cell r="H334">
            <v>359.726</v>
          </cell>
          <cell r="I334">
            <v>620.62300000000005</v>
          </cell>
          <cell r="J334">
            <v>734.74</v>
          </cell>
          <cell r="K334">
            <v>783.27099999999996</v>
          </cell>
          <cell r="L334">
            <v>915.22599999999989</v>
          </cell>
          <cell r="M334">
            <v>1081.981</v>
          </cell>
          <cell r="N334">
            <v>0</v>
          </cell>
          <cell r="O334" t="str">
            <v>-</v>
          </cell>
          <cell r="P334" t="str">
            <v>-</v>
          </cell>
          <cell r="Q334" t="str">
            <v>-</v>
          </cell>
          <cell r="R334">
            <v>1538.645</v>
          </cell>
          <cell r="S334">
            <v>1538.645</v>
          </cell>
          <cell r="T334">
            <v>0</v>
          </cell>
          <cell r="U334">
            <v>1641.4090000000001</v>
          </cell>
          <cell r="V334">
            <v>1803.789</v>
          </cell>
          <cell r="W334">
            <v>1946.0319999999997</v>
          </cell>
          <cell r="X334">
            <v>2171.4650000000001</v>
          </cell>
          <cell r="Y334">
            <v>2171.4650000000001</v>
          </cell>
          <cell r="Z334">
            <v>0</v>
          </cell>
          <cell r="AA334">
            <v>2303.6309999999999</v>
          </cell>
          <cell r="AB334">
            <v>2456.183</v>
          </cell>
          <cell r="AC334">
            <v>2616.973</v>
          </cell>
          <cell r="AD334">
            <v>2834.085</v>
          </cell>
          <cell r="AE334">
            <v>2834.085</v>
          </cell>
          <cell r="AF334">
            <v>0</v>
          </cell>
          <cell r="AG334">
            <v>2971.3789999999999</v>
          </cell>
          <cell r="AH334">
            <v>3104.7669999999998</v>
          </cell>
          <cell r="AI334">
            <v>3274.6089999999999</v>
          </cell>
          <cell r="AJ334">
            <v>3459.0050000000001</v>
          </cell>
          <cell r="AK334">
            <v>3459.0050000000001</v>
          </cell>
          <cell r="AL334">
            <v>0</v>
          </cell>
          <cell r="AM334">
            <v>3566.357</v>
          </cell>
          <cell r="AN334">
            <v>3667.2979999999998</v>
          </cell>
          <cell r="AO334">
            <v>3703.4290000000001</v>
          </cell>
          <cell r="AP334">
            <v>3890.223</v>
          </cell>
          <cell r="AQ334">
            <v>3890.223</v>
          </cell>
          <cell r="AR334">
            <v>0</v>
          </cell>
          <cell r="AS334">
            <v>3980.143</v>
          </cell>
          <cell r="AT334">
            <v>4078.76</v>
          </cell>
          <cell r="AU334">
            <v>4170.9789999999994</v>
          </cell>
          <cell r="AV334">
            <v>4107.2890000000007</v>
          </cell>
          <cell r="AW334">
            <v>4107.2890000000007</v>
          </cell>
          <cell r="AX334">
            <v>0</v>
          </cell>
          <cell r="AY334">
            <v>4155.3410000000003</v>
          </cell>
          <cell r="AZ334">
            <v>4181.24</v>
          </cell>
          <cell r="BA334">
            <v>4296.4339999999993</v>
          </cell>
          <cell r="BB334">
            <v>4286.5410000000002</v>
          </cell>
          <cell r="BC334">
            <v>4286.5410000000002</v>
          </cell>
          <cell r="BD334">
            <v>0</v>
          </cell>
          <cell r="BE334">
            <v>4242.9799999999996</v>
          </cell>
          <cell r="BF334">
            <v>4151.9850000000006</v>
          </cell>
          <cell r="BG334">
            <v>3967.4920000000002</v>
          </cell>
          <cell r="BH334">
            <v>3696.35</v>
          </cell>
          <cell r="BI334">
            <v>3696.35</v>
          </cell>
          <cell r="BJ334">
            <v>0</v>
          </cell>
          <cell r="BK334">
            <v>3668.9550000000004</v>
          </cell>
          <cell r="BL334">
            <v>3657.4030000000002</v>
          </cell>
          <cell r="BM334">
            <v>3691.2660000000001</v>
          </cell>
          <cell r="BN334">
            <v>3693</v>
          </cell>
          <cell r="BO334">
            <v>3693</v>
          </cell>
          <cell r="BP334">
            <v>0</v>
          </cell>
          <cell r="BQ334">
            <v>3727</v>
          </cell>
          <cell r="BR334">
            <v>3796</v>
          </cell>
          <cell r="BS334">
            <v>3859</v>
          </cell>
          <cell r="BT334">
            <v>3975</v>
          </cell>
          <cell r="BU334">
            <v>3975</v>
          </cell>
          <cell r="BV334">
            <v>0</v>
          </cell>
          <cell r="BW334">
            <v>3998.5</v>
          </cell>
          <cell r="BX334">
            <v>4025.2</v>
          </cell>
          <cell r="BY334">
            <v>4229.2</v>
          </cell>
          <cell r="BZ334">
            <v>4536.2</v>
          </cell>
          <cell r="CA334">
            <v>4536.2</v>
          </cell>
          <cell r="CB334">
            <v>0</v>
          </cell>
          <cell r="CC334">
            <v>4784.7</v>
          </cell>
          <cell r="CD334">
            <v>5051</v>
          </cell>
          <cell r="CE334">
            <v>5211</v>
          </cell>
          <cell r="CF334">
            <v>5582.15</v>
          </cell>
          <cell r="CG334">
            <v>5582.15</v>
          </cell>
          <cell r="CH334">
            <v>0</v>
          </cell>
          <cell r="CI334">
            <v>5786.15</v>
          </cell>
          <cell r="CJ334">
            <v>6071.15</v>
          </cell>
          <cell r="CK334">
            <v>6377.15</v>
          </cell>
          <cell r="CL334">
            <v>6621</v>
          </cell>
          <cell r="CM334">
            <v>6621</v>
          </cell>
          <cell r="CN334">
            <v>0</v>
          </cell>
          <cell r="CO334">
            <v>7012</v>
          </cell>
          <cell r="CP334">
            <v>7367</v>
          </cell>
          <cell r="CQ334">
            <v>7609</v>
          </cell>
          <cell r="CR334">
            <v>7992</v>
          </cell>
          <cell r="CS334">
            <v>7992</v>
          </cell>
          <cell r="CT334">
            <v>0</v>
          </cell>
          <cell r="CU334">
            <v>8178</v>
          </cell>
          <cell r="CV334">
            <v>8148</v>
          </cell>
          <cell r="CW334">
            <v>8080</v>
          </cell>
          <cell r="CX334">
            <v>7874</v>
          </cell>
          <cell r="CY334">
            <v>7874</v>
          </cell>
          <cell r="CZ334">
            <v>0</v>
          </cell>
          <cell r="DA334">
            <v>7672</v>
          </cell>
          <cell r="DB334">
            <v>7711</v>
          </cell>
          <cell r="DC334">
            <v>8066</v>
          </cell>
          <cell r="DD334">
            <v>8861</v>
          </cell>
          <cell r="DE334">
            <v>8861</v>
          </cell>
          <cell r="DF334">
            <v>0</v>
          </cell>
          <cell r="DG334">
            <v>9707</v>
          </cell>
          <cell r="DH334">
            <v>10475</v>
          </cell>
          <cell r="DI334">
            <v>11190</v>
          </cell>
          <cell r="DJ334">
            <v>11604</v>
          </cell>
          <cell r="DK334">
            <v>11604</v>
          </cell>
          <cell r="DL334">
            <v>0</v>
          </cell>
          <cell r="DM334">
            <v>11868</v>
          </cell>
          <cell r="DN334">
            <v>12112</v>
          </cell>
          <cell r="DO334">
            <v>12159</v>
          </cell>
          <cell r="DP334">
            <v>12199</v>
          </cell>
          <cell r="DQ334">
            <v>12199</v>
          </cell>
          <cell r="DR334">
            <v>0</v>
          </cell>
          <cell r="DS334">
            <v>12205</v>
          </cell>
          <cell r="DT334">
            <v>12328</v>
          </cell>
          <cell r="DU334">
            <v>12457</v>
          </cell>
          <cell r="DV334">
            <v>12506</v>
          </cell>
          <cell r="DW334">
            <v>12506</v>
          </cell>
          <cell r="DX334">
            <v>0</v>
          </cell>
          <cell r="DY334">
            <v>12585</v>
          </cell>
          <cell r="DZ334">
            <v>12769</v>
          </cell>
          <cell r="EA334">
            <v>12870</v>
          </cell>
          <cell r="EB334">
            <v>13039</v>
          </cell>
          <cell r="EC334">
            <v>13039</v>
          </cell>
          <cell r="ED334">
            <v>0</v>
          </cell>
          <cell r="EE334">
            <v>13215</v>
          </cell>
          <cell r="EF334">
            <v>13307</v>
          </cell>
          <cell r="EG334">
            <v>13365</v>
          </cell>
          <cell r="EH334">
            <v>13405</v>
          </cell>
          <cell r="EI334">
            <v>13405</v>
          </cell>
          <cell r="EJ334">
            <v>0</v>
          </cell>
          <cell r="EK334">
            <v>13440</v>
          </cell>
          <cell r="EL334">
            <v>13543</v>
          </cell>
          <cell r="EM334">
            <v>13681.321693391999</v>
          </cell>
          <cell r="EN334">
            <v>13563.790371812</v>
          </cell>
          <cell r="EO334">
            <v>13563.790371812</v>
          </cell>
          <cell r="EP334">
            <v>0</v>
          </cell>
          <cell r="EQ334">
            <v>13623.16110362496</v>
          </cell>
          <cell r="ER334">
            <v>13623.502330282003</v>
          </cell>
          <cell r="ES334">
            <v>13662.100077804716</v>
          </cell>
          <cell r="ET334">
            <v>13654.378401941778</v>
          </cell>
          <cell r="EU334">
            <v>13654.378401941778</v>
          </cell>
          <cell r="EV334">
            <v>0</v>
          </cell>
          <cell r="EW334">
            <v>13712.148636955864</v>
          </cell>
          <cell r="EX334">
            <v>13747.271883340203</v>
          </cell>
          <cell r="EY334">
            <v>13727.014335424623</v>
          </cell>
          <cell r="EZ334">
            <v>13802.345671121635</v>
          </cell>
          <cell r="FA334">
            <v>13802.345671121635</v>
          </cell>
          <cell r="FB334">
            <v>0</v>
          </cell>
          <cell r="FC334">
            <v>0</v>
          </cell>
          <cell r="FD334">
            <v>0</v>
          </cell>
          <cell r="FE334">
            <v>0</v>
          </cell>
          <cell r="FF334">
            <v>0</v>
          </cell>
          <cell r="FG334">
            <v>0</v>
          </cell>
          <cell r="FH334">
            <v>0</v>
          </cell>
          <cell r="FI334">
            <v>0</v>
          </cell>
          <cell r="FJ334">
            <v>0</v>
          </cell>
          <cell r="FK334">
            <v>0</v>
          </cell>
          <cell r="FL334">
            <v>0</v>
          </cell>
          <cell r="FM334">
            <v>0</v>
          </cell>
          <cell r="FN334">
            <v>0</v>
          </cell>
          <cell r="FO334">
            <v>0</v>
          </cell>
          <cell r="FP334">
            <v>0</v>
          </cell>
          <cell r="FQ334">
            <v>0</v>
          </cell>
          <cell r="FR334">
            <v>0</v>
          </cell>
          <cell r="FS334">
            <v>0</v>
          </cell>
          <cell r="FT334">
            <v>0</v>
          </cell>
          <cell r="FU334">
            <v>0</v>
          </cell>
          <cell r="FV334">
            <v>0</v>
          </cell>
          <cell r="FW334">
            <v>0</v>
          </cell>
          <cell r="FX334">
            <v>0</v>
          </cell>
          <cell r="FY334">
            <v>0</v>
          </cell>
          <cell r="FZ334">
            <v>0</v>
          </cell>
          <cell r="GA334">
            <v>0</v>
          </cell>
          <cell r="GB334">
            <v>0</v>
          </cell>
          <cell r="GC334">
            <v>0</v>
          </cell>
          <cell r="GD334">
            <v>0</v>
          </cell>
          <cell r="GE334">
            <v>0</v>
          </cell>
          <cell r="GF334">
            <v>0</v>
          </cell>
          <cell r="GG334">
            <v>0</v>
          </cell>
          <cell r="GH334">
            <v>0</v>
          </cell>
          <cell r="GI334">
            <v>0</v>
          </cell>
          <cell r="GJ334">
            <v>0</v>
          </cell>
          <cell r="GK334">
            <v>0</v>
          </cell>
          <cell r="GL334">
            <v>0</v>
          </cell>
          <cell r="GM334">
            <v>0</v>
          </cell>
          <cell r="GN334">
            <v>0</v>
          </cell>
          <cell r="GO334">
            <v>0</v>
          </cell>
          <cell r="GP334">
            <v>0</v>
          </cell>
          <cell r="GQ334">
            <v>0</v>
          </cell>
          <cell r="GR334">
            <v>0</v>
          </cell>
          <cell r="GS334">
            <v>0</v>
          </cell>
          <cell r="GT334">
            <v>0</v>
          </cell>
          <cell r="GU334">
            <v>0</v>
          </cell>
          <cell r="GV334">
            <v>0</v>
          </cell>
          <cell r="GW334">
            <v>0</v>
          </cell>
          <cell r="GX334">
            <v>0</v>
          </cell>
          <cell r="GY334">
            <v>0</v>
          </cell>
          <cell r="GZ334">
            <v>0</v>
          </cell>
          <cell r="HA334">
            <v>0</v>
          </cell>
        </row>
        <row r="335">
          <cell r="C335">
            <v>10.108425</v>
          </cell>
          <cell r="D335">
            <v>20.419181999999996</v>
          </cell>
          <cell r="E335">
            <v>44.497379999999993</v>
          </cell>
          <cell r="F335">
            <v>102.86399999999999</v>
          </cell>
          <cell r="G335">
            <v>218.22000000000003</v>
          </cell>
          <cell r="H335">
            <v>460.71299999999997</v>
          </cell>
          <cell r="I335">
            <v>781.05100000000004</v>
          </cell>
          <cell r="J335">
            <v>1001.1700000000001</v>
          </cell>
          <cell r="K335">
            <v>1064.8330000000001</v>
          </cell>
          <cell r="L335">
            <v>1261.8589999999999</v>
          </cell>
          <cell r="M335">
            <v>1581.194</v>
          </cell>
          <cell r="O335" t="str">
            <v>-</v>
          </cell>
          <cell r="P335" t="str">
            <v>-</v>
          </cell>
          <cell r="Q335" t="str">
            <v>-</v>
          </cell>
          <cell r="R335">
            <v>2317.6570000000002</v>
          </cell>
          <cell r="S335">
            <v>2317.6570000000002</v>
          </cell>
          <cell r="U335">
            <v>2495.4070000000002</v>
          </cell>
          <cell r="V335">
            <v>2725.6309999999999</v>
          </cell>
          <cell r="W335">
            <v>2958.0339999999997</v>
          </cell>
          <cell r="X335">
            <v>3267.4780000000001</v>
          </cell>
          <cell r="Y335">
            <v>3267.4780000000001</v>
          </cell>
          <cell r="AA335">
            <v>3504.2419999999997</v>
          </cell>
          <cell r="AB335">
            <v>3778.855</v>
          </cell>
          <cell r="AC335">
            <v>4054.2429999999999</v>
          </cell>
          <cell r="AD335">
            <v>4384.5510000000004</v>
          </cell>
          <cell r="AE335">
            <v>4384.5510000000004</v>
          </cell>
          <cell r="AG335">
            <v>4653.9049999999997</v>
          </cell>
          <cell r="AH335">
            <v>4958.4409999999998</v>
          </cell>
          <cell r="AI335">
            <v>5313.2400000000007</v>
          </cell>
          <cell r="AJ335">
            <v>5732.6130000000012</v>
          </cell>
          <cell r="AK335">
            <v>5732.6130000000012</v>
          </cell>
          <cell r="AM335">
            <v>6051.0880000000006</v>
          </cell>
          <cell r="AN335">
            <v>6383.2449999999999</v>
          </cell>
          <cell r="AO335">
            <v>6625.0010000000002</v>
          </cell>
          <cell r="AP335">
            <v>6954.3710000000001</v>
          </cell>
          <cell r="AQ335">
            <v>6954.3710000000001</v>
          </cell>
          <cell r="AS335">
            <v>7121.7510000000002</v>
          </cell>
          <cell r="AT335">
            <v>7193.6910000000007</v>
          </cell>
          <cell r="AU335">
            <v>7201.1480000000001</v>
          </cell>
          <cell r="AV335">
            <v>7049.9680000000008</v>
          </cell>
          <cell r="AW335">
            <v>7049.9680000000008</v>
          </cell>
          <cell r="AY335">
            <v>7041.2650000000012</v>
          </cell>
          <cell r="AZ335">
            <v>7035.8539999999994</v>
          </cell>
          <cell r="BA335">
            <v>7174.0959999999995</v>
          </cell>
          <cell r="BB335">
            <v>7183.6009999999997</v>
          </cell>
          <cell r="BC335">
            <v>7183.6009999999997</v>
          </cell>
          <cell r="BE335">
            <v>7072.9269999999988</v>
          </cell>
          <cell r="BF335">
            <v>6893.0130000000008</v>
          </cell>
          <cell r="BG335">
            <v>6549.6549999999997</v>
          </cell>
          <cell r="BH335">
            <v>6101.8610000000008</v>
          </cell>
          <cell r="BI335">
            <v>6101.8610000000008</v>
          </cell>
          <cell r="BK335">
            <v>6030.5839999999998</v>
          </cell>
          <cell r="BL335">
            <v>5985.0910000000003</v>
          </cell>
          <cell r="BM335">
            <v>6021.5099999999993</v>
          </cell>
          <cell r="BN335">
            <v>6035</v>
          </cell>
          <cell r="BO335">
            <v>6035</v>
          </cell>
          <cell r="BQ335">
            <v>6043</v>
          </cell>
          <cell r="BR335">
            <v>6111</v>
          </cell>
          <cell r="BS335">
            <v>6182</v>
          </cell>
          <cell r="BT335">
            <v>6292</v>
          </cell>
          <cell r="BU335">
            <v>6292</v>
          </cell>
          <cell r="BW335">
            <v>6307.5</v>
          </cell>
          <cell r="BX335">
            <v>6326.2</v>
          </cell>
          <cell r="BY335">
            <v>6659.2</v>
          </cell>
          <cell r="BZ335">
            <v>7178.2</v>
          </cell>
          <cell r="CA335">
            <v>7178.2</v>
          </cell>
          <cell r="CC335">
            <v>7591.7</v>
          </cell>
          <cell r="CD335">
            <v>8023</v>
          </cell>
          <cell r="CE335">
            <v>8259</v>
          </cell>
          <cell r="CF335">
            <v>8805.15</v>
          </cell>
          <cell r="CG335">
            <v>8805.15</v>
          </cell>
          <cell r="CI335">
            <v>9263.15</v>
          </cell>
          <cell r="CJ335">
            <v>9812.15</v>
          </cell>
          <cell r="CK335">
            <v>10355.15</v>
          </cell>
          <cell r="CL335">
            <v>10788</v>
          </cell>
          <cell r="CM335">
            <v>10788</v>
          </cell>
          <cell r="CO335">
            <v>11356</v>
          </cell>
          <cell r="CP335">
            <v>11924</v>
          </cell>
          <cell r="CQ335">
            <v>12382</v>
          </cell>
          <cell r="CR335">
            <v>12950</v>
          </cell>
          <cell r="CS335">
            <v>12950</v>
          </cell>
          <cell r="CU335">
            <v>13287</v>
          </cell>
          <cell r="CV335">
            <v>13215</v>
          </cell>
          <cell r="CW335">
            <v>13012</v>
          </cell>
          <cell r="CX335">
            <v>12643</v>
          </cell>
          <cell r="CY335">
            <v>12643</v>
          </cell>
          <cell r="DA335">
            <v>12140</v>
          </cell>
          <cell r="DB335">
            <v>12078</v>
          </cell>
          <cell r="DC335">
            <v>12712</v>
          </cell>
          <cell r="DE335">
            <v>14560.3</v>
          </cell>
          <cell r="DG335">
            <v>16456.3</v>
          </cell>
          <cell r="DH335">
            <v>18283.3</v>
          </cell>
          <cell r="DI335">
            <v>19615.3</v>
          </cell>
          <cell r="DJ335">
            <v>19967</v>
          </cell>
          <cell r="DK335">
            <v>19967</v>
          </cell>
          <cell r="DM335">
            <v>20158</v>
          </cell>
          <cell r="DN335">
            <v>20197</v>
          </cell>
          <cell r="DO335">
            <v>20139</v>
          </cell>
          <cell r="DP335">
            <v>20009</v>
          </cell>
          <cell r="DQ335">
            <v>20009</v>
          </cell>
          <cell r="DS335">
            <v>19797</v>
          </cell>
          <cell r="DT335">
            <v>19756</v>
          </cell>
          <cell r="DU335">
            <v>19691</v>
          </cell>
          <cell r="DV335">
            <v>19641</v>
          </cell>
          <cell r="DW335">
            <v>19641</v>
          </cell>
          <cell r="DY335">
            <v>19661</v>
          </cell>
          <cell r="DZ335">
            <v>19857</v>
          </cell>
          <cell r="EA335">
            <v>20014</v>
          </cell>
          <cell r="EB335">
            <v>20196</v>
          </cell>
          <cell r="EC335">
            <v>20196</v>
          </cell>
          <cell r="EE335">
            <v>20336</v>
          </cell>
          <cell r="EF335">
            <v>20516</v>
          </cell>
          <cell r="EG335">
            <v>20695</v>
          </cell>
          <cell r="EH335">
            <v>20859</v>
          </cell>
          <cell r="EI335">
            <v>20859</v>
          </cell>
          <cell r="EK335">
            <v>21057</v>
          </cell>
          <cell r="EL335">
            <v>21113</v>
          </cell>
          <cell r="EM335">
            <v>21289.428650052647</v>
          </cell>
          <cell r="EN335">
            <v>21083.493418369129</v>
          </cell>
          <cell r="EO335">
            <v>21083.493418369129</v>
          </cell>
          <cell r="EQ335">
            <v>21142.504717941112</v>
          </cell>
          <cell r="ER335">
            <v>21142.948749499046</v>
          </cell>
          <cell r="ES335">
            <v>21163.983484610526</v>
          </cell>
          <cell r="ET335">
            <v>21177.568673531074</v>
          </cell>
          <cell r="EU335">
            <v>21177.568673531074</v>
          </cell>
          <cell r="EW335">
            <v>21211.526705546443</v>
          </cell>
          <cell r="EX335">
            <v>21216.043092631015</v>
          </cell>
          <cell r="EY335">
            <v>21142.451840711779</v>
          </cell>
          <cell r="EZ335">
            <v>21118.366953551773</v>
          </cell>
          <cell r="FA335">
            <v>21118.366953551773</v>
          </cell>
        </row>
        <row r="336">
          <cell r="C336">
            <v>2.6065749999999994</v>
          </cell>
          <cell r="D336">
            <v>2.7318180000000005</v>
          </cell>
          <cell r="E336">
            <v>10.847620000000006</v>
          </cell>
          <cell r="F336">
            <v>28.385000000000005</v>
          </cell>
          <cell r="G336">
            <v>63.893000000000001</v>
          </cell>
          <cell r="H336">
            <v>123.08699999999999</v>
          </cell>
          <cell r="I336">
            <v>135.33899999999994</v>
          </cell>
          <cell r="J336">
            <v>26.778999999999996</v>
          </cell>
          <cell r="K336">
            <v>114.16700000000003</v>
          </cell>
          <cell r="L336">
            <v>241.14100000000008</v>
          </cell>
          <cell r="M336">
            <v>419.95299999999997</v>
          </cell>
          <cell r="O336" t="str">
            <v>-</v>
          </cell>
          <cell r="P336" t="str">
            <v>-</v>
          </cell>
          <cell r="Q336" t="str">
            <v>-</v>
          </cell>
          <cell r="R336">
            <v>269.3950000000001</v>
          </cell>
          <cell r="S336">
            <v>649.22100000000012</v>
          </cell>
          <cell r="U336">
            <v>686.80000000000007</v>
          </cell>
          <cell r="V336">
            <v>753.29600000000005</v>
          </cell>
          <cell r="W336">
            <v>818.88700000000006</v>
          </cell>
          <cell r="X336">
            <v>955.63799999999981</v>
          </cell>
          <cell r="Y336">
            <v>955.63799999999981</v>
          </cell>
          <cell r="AA336">
            <v>999.38999999999987</v>
          </cell>
          <cell r="AB336">
            <v>1069.1500000000001</v>
          </cell>
          <cell r="AC336">
            <v>1146.136</v>
          </cell>
          <cell r="AD336">
            <v>1299.7850000000001</v>
          </cell>
          <cell r="AE336">
            <v>1299.7850000000001</v>
          </cell>
          <cell r="AG336">
            <v>1346.94</v>
          </cell>
          <cell r="AH336">
            <v>1344.7579999999998</v>
          </cell>
          <cell r="AI336">
            <v>1366.1030000000001</v>
          </cell>
          <cell r="AJ336">
            <v>1411.2519999999995</v>
          </cell>
          <cell r="AK336">
            <v>1411.2519999999995</v>
          </cell>
          <cell r="AM336">
            <v>1473.0589999999993</v>
          </cell>
          <cell r="AN336">
            <v>1583.1189999999999</v>
          </cell>
          <cell r="AO336">
            <v>1671.5260000000001</v>
          </cell>
          <cell r="AP336">
            <v>1872.8810000000003</v>
          </cell>
          <cell r="AQ336">
            <v>1872.8810000000003</v>
          </cell>
          <cell r="AS336">
            <v>1940.9080000000001</v>
          </cell>
          <cell r="AT336">
            <v>2134.9069999999997</v>
          </cell>
          <cell r="AU336">
            <v>2497.9479999999994</v>
          </cell>
          <cell r="AV336">
            <v>3080.1599999999994</v>
          </cell>
          <cell r="AW336">
            <v>3080.16</v>
          </cell>
          <cell r="AY336">
            <v>3392.3379999999997</v>
          </cell>
          <cell r="AZ336">
            <v>3762.2739999999999</v>
          </cell>
          <cell r="BA336">
            <v>3870.6760000000004</v>
          </cell>
          <cell r="BB336">
            <v>3777.0909999999999</v>
          </cell>
          <cell r="BC336">
            <v>3777.0909999999994</v>
          </cell>
          <cell r="BE336">
            <v>3864.8279999999991</v>
          </cell>
          <cell r="BF336">
            <v>3738.7709999999993</v>
          </cell>
          <cell r="BG336">
            <v>3639.3869999999988</v>
          </cell>
          <cell r="BH336">
            <v>3570.9319999999993</v>
          </cell>
          <cell r="BI336">
            <v>3570.9319999999993</v>
          </cell>
          <cell r="BK336">
            <v>3405.1539999999995</v>
          </cell>
          <cell r="BL336">
            <v>3379.2099999999996</v>
          </cell>
          <cell r="BM336">
            <v>3396.471</v>
          </cell>
          <cell r="BN336">
            <v>3440.4</v>
          </cell>
          <cell r="BO336">
            <v>3440.4</v>
          </cell>
          <cell r="BQ336">
            <v>3476.4</v>
          </cell>
          <cell r="BR336">
            <v>3597.4</v>
          </cell>
          <cell r="BS336">
            <v>3728.4</v>
          </cell>
          <cell r="BT336">
            <v>3864</v>
          </cell>
          <cell r="BU336">
            <v>3864</v>
          </cell>
          <cell r="BW336">
            <v>3991.5</v>
          </cell>
          <cell r="BX336">
            <v>4230.8</v>
          </cell>
          <cell r="BY336">
            <v>4481.8</v>
          </cell>
          <cell r="BZ336">
            <v>4940.8</v>
          </cell>
          <cell r="CA336">
            <v>4940.8</v>
          </cell>
          <cell r="CC336">
            <v>5219.3</v>
          </cell>
          <cell r="CD336">
            <v>5426</v>
          </cell>
          <cell r="CE336">
            <v>5631.4</v>
          </cell>
          <cell r="CF336">
            <v>5967.25</v>
          </cell>
          <cell r="CG336">
            <v>5967.25</v>
          </cell>
          <cell r="CI336">
            <v>6263.25</v>
          </cell>
          <cell r="CJ336">
            <v>6536.25</v>
          </cell>
          <cell r="CK336">
            <v>6907.85</v>
          </cell>
          <cell r="CL336">
            <v>7421</v>
          </cell>
          <cell r="CM336">
            <v>7421</v>
          </cell>
          <cell r="CO336">
            <v>7785</v>
          </cell>
          <cell r="CP336">
            <v>8365</v>
          </cell>
          <cell r="CQ336">
            <v>8829</v>
          </cell>
          <cell r="CR336">
            <v>9659</v>
          </cell>
          <cell r="CS336">
            <v>9659</v>
          </cell>
          <cell r="CU336">
            <v>10151</v>
          </cell>
          <cell r="CV336">
            <v>10546</v>
          </cell>
          <cell r="CW336">
            <v>10882</v>
          </cell>
          <cell r="CX336">
            <v>10851</v>
          </cell>
          <cell r="CY336">
            <v>10851</v>
          </cell>
          <cell r="DA336">
            <v>10995</v>
          </cell>
          <cell r="DB336">
            <v>11242</v>
          </cell>
          <cell r="DC336">
            <v>11573.4</v>
          </cell>
          <cell r="DE336">
            <v>12475.099999999999</v>
          </cell>
          <cell r="DG336">
            <v>13104.099999999999</v>
          </cell>
          <cell r="DH336">
            <v>14099.1</v>
          </cell>
          <cell r="DI336">
            <v>15104.7</v>
          </cell>
          <cell r="DJ336">
            <v>15928</v>
          </cell>
          <cell r="DK336">
            <v>15928</v>
          </cell>
          <cell r="DM336">
            <v>16547</v>
          </cell>
          <cell r="DN336">
            <v>16625</v>
          </cell>
          <cell r="DO336">
            <v>16938.339200000002</v>
          </cell>
          <cell r="DP336">
            <v>17212.498899999999</v>
          </cell>
          <cell r="DQ336">
            <v>17212.498899999999</v>
          </cell>
          <cell r="DS336">
            <v>17235.498899999999</v>
          </cell>
          <cell r="DT336">
            <v>17578.498899999999</v>
          </cell>
          <cell r="DU336">
            <v>17551.1597</v>
          </cell>
          <cell r="DV336">
            <v>17612</v>
          </cell>
          <cell r="DW336">
            <v>17612</v>
          </cell>
          <cell r="DY336">
            <v>17764</v>
          </cell>
          <cell r="DZ336">
            <v>17738</v>
          </cell>
          <cell r="EA336">
            <v>17926</v>
          </cell>
          <cell r="EB336">
            <v>18109</v>
          </cell>
          <cell r="EC336">
            <v>18109</v>
          </cell>
          <cell r="EE336">
            <v>18187</v>
          </cell>
          <cell r="EF336">
            <v>18332</v>
          </cell>
          <cell r="EG336">
            <v>18172</v>
          </cell>
          <cell r="EH336">
            <v>17394</v>
          </cell>
          <cell r="EI336">
            <v>17394</v>
          </cell>
          <cell r="EK336">
            <v>17048</v>
          </cell>
          <cell r="EL336">
            <v>16380</v>
          </cell>
          <cell r="EM336">
            <v>15999.818501947353</v>
          </cell>
          <cell r="EN336">
            <v>15886.41656963087</v>
          </cell>
          <cell r="EO336">
            <v>15886.41656963087</v>
          </cell>
          <cell r="EQ336">
            <v>16008.386797258891</v>
          </cell>
          <cell r="ER336">
            <v>16120.839607037755</v>
          </cell>
          <cell r="ES336">
            <v>16154.328339000569</v>
          </cell>
          <cell r="ET336">
            <v>16058.59040790441</v>
          </cell>
          <cell r="EU336">
            <v>16058.59040790441</v>
          </cell>
          <cell r="EW336">
            <v>16086.479924865322</v>
          </cell>
          <cell r="EX336">
            <v>16102.43768657363</v>
          </cell>
          <cell r="EY336">
            <v>16195.749922118923</v>
          </cell>
          <cell r="EZ336">
            <v>16085.030393042494</v>
          </cell>
          <cell r="FA336">
            <v>16085.030393042494</v>
          </cell>
        </row>
        <row r="337">
          <cell r="C337">
            <v>0.20499999999999996</v>
          </cell>
          <cell r="D337">
            <v>0.11800000000000004</v>
          </cell>
          <cell r="E337">
            <v>0.19600000000000012</v>
          </cell>
          <cell r="F337">
            <v>0.21626831442525282</v>
          </cell>
          <cell r="G337">
            <v>0.22648016929386441</v>
          </cell>
          <cell r="H337">
            <v>0.21083761562178829</v>
          </cell>
          <cell r="I337">
            <v>0.14768712011261576</v>
          </cell>
          <cell r="J337">
            <v>2.6050903303568556E-2</v>
          </cell>
          <cell r="K337">
            <v>9.6833757421543612E-2</v>
          </cell>
          <cell r="L337">
            <v>0.16043978709248174</v>
          </cell>
          <cell r="M337">
            <v>0.20985614749940909</v>
          </cell>
          <cell r="O337" t="str">
            <v>-</v>
          </cell>
          <cell r="P337" t="str">
            <v>-</v>
          </cell>
          <cell r="Q337" t="str">
            <v>-</v>
          </cell>
          <cell r="R337">
            <v>0.21882295126392118</v>
          </cell>
          <cell r="S337">
            <v>0.21882295126392107</v>
          </cell>
          <cell r="U337">
            <v>0.21582505474973818</v>
          </cell>
          <cell r="V337">
            <v>0.21653113158166293</v>
          </cell>
          <cell r="W337">
            <v>0.21681337788108362</v>
          </cell>
          <cell r="X337">
            <v>0.22628741431682198</v>
          </cell>
          <cell r="Y337">
            <v>0.22628741431682198</v>
          </cell>
          <cell r="AA337">
            <v>0.22190756260724676</v>
          </cell>
          <cell r="AB337">
            <v>0.22053401347564602</v>
          </cell>
          <cell r="AC337">
            <v>0.22039470584740073</v>
          </cell>
          <cell r="AD337">
            <v>0.22866083215348268</v>
          </cell>
          <cell r="AE337">
            <v>0.22866083215348268</v>
          </cell>
          <cell r="AG337">
            <v>0.22445838877691388</v>
          </cell>
          <cell r="AH337">
            <v>0.21334531878178037</v>
          </cell>
          <cell r="AI337">
            <v>0.20452655298582498</v>
          </cell>
          <cell r="AJ337">
            <v>0.1975474060610046</v>
          </cell>
          <cell r="AK337">
            <v>0.1975474060610046</v>
          </cell>
          <cell r="AM337">
            <v>0.19577754129471411</v>
          </cell>
          <cell r="AN337">
            <v>0.19872541601162083</v>
          </cell>
          <cell r="AO337">
            <v>0.201472977789381</v>
          </cell>
          <cell r="AP337">
            <v>0.21217033341746674</v>
          </cell>
          <cell r="AQ337">
            <v>0.21217033341746674</v>
          </cell>
          <cell r="AS337">
            <v>0.21416540112565191</v>
          </cell>
          <cell r="AT337">
            <v>0.22885614751541436</v>
          </cell>
          <cell r="AU337">
            <v>0.25754441444852177</v>
          </cell>
          <cell r="AV337">
            <v>0.30405933666386048</v>
          </cell>
          <cell r="AW337">
            <v>0.30405933666386048</v>
          </cell>
          <cell r="AY337">
            <v>0.32513581358232607</v>
          </cell>
          <cell r="AZ337">
            <v>0.34841909634707052</v>
          </cell>
          <cell r="BA337">
            <v>0.35045322800687972</v>
          </cell>
          <cell r="BB337">
            <v>0.34460333343916605</v>
          </cell>
          <cell r="BC337">
            <v>0.34460333343916605</v>
          </cell>
          <cell r="BE337">
            <v>0.35334746481339185</v>
          </cell>
          <cell r="BF337">
            <v>0.35165979670015862</v>
          </cell>
          <cell r="BG337">
            <v>0.35718637728650054</v>
          </cell>
          <cell r="BH337">
            <v>0.3691727921811207</v>
          </cell>
          <cell r="BI337">
            <v>0.3691727921811207</v>
          </cell>
          <cell r="BK337">
            <v>0.36087839658116827</v>
          </cell>
          <cell r="BL337">
            <v>0.36086089073813404</v>
          </cell>
          <cell r="BM337">
            <v>0.36063684987260014</v>
          </cell>
          <cell r="BN337">
            <v>0.36308757413935028</v>
          </cell>
          <cell r="BO337">
            <v>0.36308757413935028</v>
          </cell>
          <cell r="BQ337">
            <v>0.36519108347164736</v>
          </cell>
          <cell r="BR337">
            <v>0.37054509496930493</v>
          </cell>
          <cell r="BS337">
            <v>0.37621084920891185</v>
          </cell>
          <cell r="BT337">
            <v>0.38046474990153606</v>
          </cell>
          <cell r="BU337">
            <v>0.38046474990153606</v>
          </cell>
          <cell r="BW337">
            <v>0.38756189921351586</v>
          </cell>
          <cell r="BX337">
            <v>0.40075779103912096</v>
          </cell>
          <cell r="BY337">
            <v>0.40227986715734676</v>
          </cell>
          <cell r="BZ337">
            <v>0.4076904034986385</v>
          </cell>
          <cell r="CA337">
            <v>0.4076904034986385</v>
          </cell>
          <cell r="CC337">
            <v>0.40740769651081105</v>
          </cell>
          <cell r="CD337">
            <v>0.4034500706372221</v>
          </cell>
          <cell r="CE337">
            <v>0.40541669066405572</v>
          </cell>
          <cell r="CF337">
            <v>0.40394587203162657</v>
          </cell>
          <cell r="CG337">
            <v>0.40394587203162657</v>
          </cell>
          <cell r="CI337">
            <v>0.40339357481450949</v>
          </cell>
          <cell r="CJ337">
            <v>0.39980976731667933</v>
          </cell>
          <cell r="CK337">
            <v>0.40015350750159301</v>
          </cell>
          <cell r="CL337">
            <v>0.40754571914987092</v>
          </cell>
          <cell r="CM337">
            <v>0.40754571914987092</v>
          </cell>
          <cell r="CO337">
            <v>0.40671856224857633</v>
          </cell>
          <cell r="CP337">
            <v>0.41229237517866824</v>
          </cell>
          <cell r="CQ337">
            <v>0.41624628730375751</v>
          </cell>
          <cell r="CR337">
            <v>0.42721924897164848</v>
          </cell>
          <cell r="CS337">
            <v>0.42721924897164848</v>
          </cell>
          <cell r="CU337">
            <v>0.43310009386466419</v>
          </cell>
          <cell r="CV337">
            <v>0.44383653886620933</v>
          </cell>
          <cell r="CW337">
            <v>0.45542814095588852</v>
          </cell>
          <cell r="CX337">
            <v>0.46186260321784284</v>
          </cell>
          <cell r="CY337">
            <v>0.46186260321784284</v>
          </cell>
          <cell r="DA337">
            <v>0.47525394424032852</v>
          </cell>
          <cell r="DB337">
            <v>0.48207547169811321</v>
          </cell>
          <cell r="DC337">
            <v>0.4765579319261779</v>
          </cell>
          <cell r="DE337">
            <v>0.46143574720551578</v>
          </cell>
          <cell r="DG337">
            <v>0.44329914344866789</v>
          </cell>
          <cell r="DH337">
            <v>0.43539391768368008</v>
          </cell>
          <cell r="DI337">
            <v>0.43504320276497699</v>
          </cell>
          <cell r="DJ337">
            <v>0.44373868226772534</v>
          </cell>
          <cell r="DK337">
            <v>0.44373868226772534</v>
          </cell>
          <cell r="DM337">
            <v>0.45081051627843616</v>
          </cell>
          <cell r="DN337">
            <v>0.45149638802889575</v>
          </cell>
          <cell r="DO337">
            <v>0.4568380462425416</v>
          </cell>
          <cell r="DP337">
            <v>0.46243432985445942</v>
          </cell>
          <cell r="DQ337">
            <v>0.46243432985445942</v>
          </cell>
          <cell r="DS337">
            <v>0.46541549752128664</v>
          </cell>
          <cell r="DT337">
            <v>0.47083794929413125</v>
          </cell>
          <cell r="DU337">
            <v>0.47127126464687819</v>
          </cell>
          <cell r="DV337">
            <v>0.47276729390921535</v>
          </cell>
          <cell r="DW337">
            <v>0.47276729390921535</v>
          </cell>
          <cell r="DY337">
            <v>0.47465597862391451</v>
          </cell>
          <cell r="DZ337">
            <v>0.47181806091235534</v>
          </cell>
          <cell r="EA337">
            <v>0.47248286768581971</v>
          </cell>
          <cell r="EB337">
            <v>0.47275812557107427</v>
          </cell>
          <cell r="EC337">
            <v>0.47275812557107427</v>
          </cell>
          <cell r="EE337">
            <v>0.47210757209978454</v>
          </cell>
          <cell r="EF337">
            <v>0.47189044481054365</v>
          </cell>
          <cell r="EG337">
            <v>0.46754316000720403</v>
          </cell>
          <cell r="EH337">
            <v>0.45470943455415264</v>
          </cell>
          <cell r="EI337">
            <v>0.45470943455415264</v>
          </cell>
          <cell r="EK337">
            <v>0.44739535494029653</v>
          </cell>
          <cell r="EL337">
            <v>0.43688155122289496</v>
          </cell>
          <cell r="EM337">
            <v>0.42907325097576299</v>
          </cell>
          <cell r="EN337">
            <v>0.42971207056731853</v>
          </cell>
          <cell r="EO337">
            <v>0.42971207056731853</v>
          </cell>
          <cell r="EQ337">
            <v>0.43090182077351169</v>
          </cell>
          <cell r="ER337">
            <v>0.43261408241145294</v>
          </cell>
          <cell r="ES337">
            <v>0.43287939752890464</v>
          </cell>
          <cell r="ET337">
            <v>0.43126334197853955</v>
          </cell>
          <cell r="EU337">
            <v>0.43126334197853955</v>
          </cell>
          <cell r="EW337">
            <v>0.4312959693601654</v>
          </cell>
          <cell r="EX337">
            <v>0.43148695633790518</v>
          </cell>
          <cell r="EY337">
            <v>0.43375816610004536</v>
          </cell>
          <cell r="EZ337">
            <v>0.43235380476656865</v>
          </cell>
          <cell r="FA337">
            <v>0.43235380476656865</v>
          </cell>
        </row>
        <row r="338">
          <cell r="C338">
            <v>2.0089700000000001</v>
          </cell>
          <cell r="D338">
            <v>3.8893679999999997</v>
          </cell>
          <cell r="E338">
            <v>6.9734699999999998</v>
          </cell>
          <cell r="F338">
            <v>9.6039999999999992</v>
          </cell>
          <cell r="G338">
            <v>25.707999999999998</v>
          </cell>
          <cell r="H338">
            <v>52.57</v>
          </cell>
          <cell r="I338">
            <v>88.290999999999997</v>
          </cell>
          <cell r="J338">
            <v>82.73</v>
          </cell>
          <cell r="K338">
            <v>110.64100000000001</v>
          </cell>
          <cell r="L338">
            <v>146.41999999999999</v>
          </cell>
          <cell r="M338">
            <v>197.08600000000001</v>
          </cell>
          <cell r="O338" t="str">
            <v>-</v>
          </cell>
          <cell r="P338" t="str">
            <v>-</v>
          </cell>
          <cell r="Q338" t="str">
            <v>-</v>
          </cell>
          <cell r="R338">
            <v>261.09699999999998</v>
          </cell>
          <cell r="S338">
            <v>261.09699999999998</v>
          </cell>
          <cell r="U338">
            <v>290.38099999999997</v>
          </cell>
          <cell r="V338">
            <v>326.42700000000002</v>
          </cell>
          <cell r="W338">
            <v>351.36900000000003</v>
          </cell>
          <cell r="X338">
            <v>389.09299999999996</v>
          </cell>
          <cell r="Y338">
            <v>389.09299999999996</v>
          </cell>
          <cell r="AA338">
            <v>421.86099999999999</v>
          </cell>
          <cell r="AB338">
            <v>463.88900000000001</v>
          </cell>
          <cell r="AC338">
            <v>509.61099999999999</v>
          </cell>
          <cell r="AD338">
            <v>555.476</v>
          </cell>
          <cell r="AE338">
            <v>555.476</v>
          </cell>
          <cell r="AG338">
            <v>597.93399999999997</v>
          </cell>
          <cell r="AH338">
            <v>645.851</v>
          </cell>
          <cell r="AI338">
            <v>691.43000000000006</v>
          </cell>
          <cell r="AJ338">
            <v>719.14300000000003</v>
          </cell>
          <cell r="AK338">
            <v>719.14300000000003</v>
          </cell>
          <cell r="AM338">
            <v>747.09899999999993</v>
          </cell>
          <cell r="AN338">
            <v>764.56</v>
          </cell>
          <cell r="AO338">
            <v>790.25199999999995</v>
          </cell>
          <cell r="AP338">
            <v>841.40599999999995</v>
          </cell>
          <cell r="AQ338">
            <v>841.40599999999995</v>
          </cell>
          <cell r="AS338">
            <v>889.72400000000005</v>
          </cell>
          <cell r="AT338">
            <v>937.20600000000002</v>
          </cell>
          <cell r="AU338">
            <v>982.96</v>
          </cell>
          <cell r="AV338">
            <v>1009.8819999999999</v>
          </cell>
          <cell r="AW338">
            <v>1009.8819999999999</v>
          </cell>
          <cell r="AY338">
            <v>1024.9680000000001</v>
          </cell>
          <cell r="AZ338">
            <v>1043.088</v>
          </cell>
          <cell r="BA338">
            <v>1088.991</v>
          </cell>
          <cell r="BB338">
            <v>1138.5909999999999</v>
          </cell>
          <cell r="BC338">
            <v>1138.5909999999999</v>
          </cell>
          <cell r="BE338">
            <v>1140.864</v>
          </cell>
          <cell r="BF338">
            <v>1132.067</v>
          </cell>
          <cell r="BG338">
            <v>1113.8429999999998</v>
          </cell>
          <cell r="BH338">
            <v>1076.1559999999999</v>
          </cell>
          <cell r="BI338">
            <v>1076.1559999999999</v>
          </cell>
          <cell r="BK338">
            <v>1108.856</v>
          </cell>
          <cell r="BL338">
            <v>1146.373</v>
          </cell>
          <cell r="BM338">
            <v>1164.1420000000001</v>
          </cell>
          <cell r="BN338">
            <v>1180</v>
          </cell>
          <cell r="BO338">
            <v>1180</v>
          </cell>
          <cell r="BQ338">
            <v>1192</v>
          </cell>
          <cell r="BR338">
            <v>1220</v>
          </cell>
          <cell r="BS338">
            <v>1247</v>
          </cell>
          <cell r="BT338">
            <v>1278</v>
          </cell>
          <cell r="BU338">
            <v>1278</v>
          </cell>
          <cell r="BW338">
            <v>1292</v>
          </cell>
          <cell r="BX338">
            <v>1296</v>
          </cell>
          <cell r="BY338">
            <v>1359</v>
          </cell>
          <cell r="BZ338">
            <v>1481</v>
          </cell>
          <cell r="CA338">
            <v>1481</v>
          </cell>
          <cell r="CC338">
            <v>1565</v>
          </cell>
          <cell r="CD338">
            <v>1702</v>
          </cell>
          <cell r="CE338">
            <v>1775</v>
          </cell>
          <cell r="CF338">
            <v>1856.6</v>
          </cell>
          <cell r="CG338">
            <v>1856.6</v>
          </cell>
          <cell r="CI338">
            <v>1944.6</v>
          </cell>
          <cell r="CJ338">
            <v>1978.6</v>
          </cell>
          <cell r="CK338">
            <v>2063.6</v>
          </cell>
          <cell r="CL338">
            <v>2110</v>
          </cell>
          <cell r="CM338">
            <v>2110</v>
          </cell>
          <cell r="CO338">
            <v>2250</v>
          </cell>
          <cell r="CP338">
            <v>2401</v>
          </cell>
          <cell r="CQ338">
            <v>2503</v>
          </cell>
          <cell r="CR338">
            <v>2627</v>
          </cell>
          <cell r="CS338">
            <v>2627</v>
          </cell>
          <cell r="CU338">
            <v>2674</v>
          </cell>
          <cell r="CV338">
            <v>2631</v>
          </cell>
          <cell r="CW338">
            <v>2618</v>
          </cell>
          <cell r="CX338">
            <v>2612</v>
          </cell>
          <cell r="CY338">
            <v>2612</v>
          </cell>
          <cell r="DA338">
            <v>2569</v>
          </cell>
          <cell r="DB338">
            <v>2627</v>
          </cell>
          <cell r="DC338">
            <v>2766</v>
          </cell>
          <cell r="DE338">
            <v>3082</v>
          </cell>
          <cell r="DG338">
            <v>3498</v>
          </cell>
          <cell r="DH338">
            <v>3898</v>
          </cell>
          <cell r="DI338">
            <v>4190</v>
          </cell>
          <cell r="DJ338">
            <v>4287</v>
          </cell>
          <cell r="DK338">
            <v>4287</v>
          </cell>
          <cell r="DM338">
            <v>4222</v>
          </cell>
          <cell r="DN338">
            <v>4192</v>
          </cell>
          <cell r="DO338">
            <v>4194</v>
          </cell>
          <cell r="DP338">
            <v>4228</v>
          </cell>
          <cell r="DQ338">
            <v>4228</v>
          </cell>
          <cell r="DS338">
            <v>4367</v>
          </cell>
          <cell r="DT338">
            <v>4443</v>
          </cell>
          <cell r="DU338">
            <v>4472</v>
          </cell>
          <cell r="DV338">
            <v>4499</v>
          </cell>
          <cell r="DW338">
            <v>4499</v>
          </cell>
          <cell r="DY338">
            <v>4521</v>
          </cell>
          <cell r="DZ338">
            <v>4597</v>
          </cell>
          <cell r="EA338">
            <v>4690</v>
          </cell>
          <cell r="EB338">
            <v>4767</v>
          </cell>
          <cell r="EC338">
            <v>4767</v>
          </cell>
          <cell r="EE338">
            <v>4848</v>
          </cell>
          <cell r="EF338">
            <v>4917</v>
          </cell>
          <cell r="EG338">
            <v>4956</v>
          </cell>
          <cell r="EH338">
            <v>5001</v>
          </cell>
          <cell r="EI338">
            <v>5001</v>
          </cell>
          <cell r="EK338">
            <v>5022</v>
          </cell>
          <cell r="EL338">
            <v>5060</v>
          </cell>
          <cell r="EM338">
            <v>5133.6253427359998</v>
          </cell>
          <cell r="EN338">
            <v>5150.1008600719997</v>
          </cell>
          <cell r="EO338">
            <v>5150.1008600719997</v>
          </cell>
          <cell r="EQ338">
            <v>5202.8980891519996</v>
          </cell>
          <cell r="ER338">
            <v>5212.4703374631617</v>
          </cell>
          <cell r="ES338">
            <v>5247.8215051120087</v>
          </cell>
          <cell r="ET338">
            <v>5289.0228100670038</v>
          </cell>
          <cell r="EU338">
            <v>5289.0228100670038</v>
          </cell>
          <cell r="EW338">
            <v>5341.7690877943269</v>
          </cell>
          <cell r="EX338">
            <v>5390.3437460223577</v>
          </cell>
          <cell r="EY338">
            <v>5402.4275012344633</v>
          </cell>
          <cell r="EZ338">
            <v>5405.1195340626673</v>
          </cell>
          <cell r="FA338">
            <v>5405.1195340626673</v>
          </cell>
        </row>
        <row r="339">
          <cell r="C339">
            <v>1.3859349999999995</v>
          </cell>
          <cell r="D339">
            <v>1.5511170000000007</v>
          </cell>
          <cell r="E339">
            <v>5.8665700000000056</v>
          </cell>
          <cell r="F339">
            <v>15.110128720000006</v>
          </cell>
          <cell r="G339">
            <v>42.884</v>
          </cell>
          <cell r="H339">
            <v>81.892999999999986</v>
          </cell>
          <cell r="I339">
            <v>80.874999999999943</v>
          </cell>
          <cell r="J339">
            <v>-12.401000000000005</v>
          </cell>
          <cell r="K339">
            <v>62.014000000000031</v>
          </cell>
          <cell r="L339">
            <v>233.28800000000007</v>
          </cell>
          <cell r="M339">
            <v>283.44899999999996</v>
          </cell>
          <cell r="O339" t="str">
            <v>-</v>
          </cell>
          <cell r="P339" t="str">
            <v>-</v>
          </cell>
          <cell r="Q339" t="str">
            <v>-</v>
          </cell>
          <cell r="R339">
            <v>441.01800000000009</v>
          </cell>
          <cell r="S339">
            <v>441.01800000000014</v>
          </cell>
          <cell r="U339">
            <v>467.19549751408692</v>
          </cell>
          <cell r="V339">
            <v>510.04649751408687</v>
          </cell>
          <cell r="W339">
            <v>552.05949751408684</v>
          </cell>
          <cell r="X339">
            <v>636.70949751408671</v>
          </cell>
          <cell r="Y339">
            <v>636.70949751408671</v>
          </cell>
          <cell r="AA339">
            <v>662.10199999999986</v>
          </cell>
          <cell r="AB339">
            <v>704.88099999999986</v>
          </cell>
          <cell r="AC339">
            <v>751.39712245422697</v>
          </cell>
          <cell r="AD339">
            <v>845.00912245422705</v>
          </cell>
          <cell r="AE339">
            <v>845.00912245422705</v>
          </cell>
          <cell r="AG339">
            <v>896.08104245422714</v>
          </cell>
          <cell r="AH339">
            <v>903.90904245422689</v>
          </cell>
          <cell r="AI339">
            <v>926.17991999999981</v>
          </cell>
          <cell r="AJ339">
            <v>969.06491999999957</v>
          </cell>
          <cell r="AK339">
            <v>969.06491999999957</v>
          </cell>
          <cell r="AM339">
            <v>1000.2239999999995</v>
          </cell>
          <cell r="AN339">
            <v>1086.9750000000001</v>
          </cell>
          <cell r="AO339">
            <v>1165.1600000000001</v>
          </cell>
          <cell r="AP339">
            <v>1289.7580000000005</v>
          </cell>
          <cell r="AQ339">
            <v>1289.7580000000005</v>
          </cell>
          <cell r="AS339">
            <v>1331.4935000000003</v>
          </cell>
          <cell r="AT339">
            <v>1441.9032499999998</v>
          </cell>
          <cell r="AU339">
            <v>1911.8172499999996</v>
          </cell>
          <cell r="AV339">
            <v>6296.8042500000001</v>
          </cell>
          <cell r="AW339">
            <v>6296.8042500000001</v>
          </cell>
          <cell r="AY339">
            <v>6560.7444850000002</v>
          </cell>
          <cell r="AZ339">
            <v>6799.2529800000011</v>
          </cell>
          <cell r="BA339">
            <v>6618.7899750000015</v>
          </cell>
          <cell r="BB339">
            <v>2561.4433499999996</v>
          </cell>
          <cell r="BC339">
            <v>2561.4433499999996</v>
          </cell>
          <cell r="BE339">
            <v>2571.4137649999993</v>
          </cell>
          <cell r="BF339">
            <v>2497.8824199999999</v>
          </cell>
          <cell r="BG339">
            <v>2423.1444249999995</v>
          </cell>
          <cell r="BH339">
            <v>2224.2050499999996</v>
          </cell>
          <cell r="BI339">
            <v>2224.2050499999996</v>
          </cell>
          <cell r="BK339">
            <v>2056.5578999999998</v>
          </cell>
          <cell r="BL339">
            <v>2042.096</v>
          </cell>
          <cell r="BM339">
            <v>2105.1210000000001</v>
          </cell>
          <cell r="BN339">
            <v>2307.4</v>
          </cell>
          <cell r="BO339">
            <v>2307.4</v>
          </cell>
          <cell r="BQ339">
            <v>2404.4</v>
          </cell>
          <cell r="BR339">
            <v>2486.4</v>
          </cell>
          <cell r="BS339">
            <v>2549.4</v>
          </cell>
          <cell r="BT339">
            <v>2681</v>
          </cell>
          <cell r="BU339">
            <v>2681</v>
          </cell>
          <cell r="BW339">
            <v>2769.6565040650407</v>
          </cell>
          <cell r="BX339">
            <v>2984.111876682025</v>
          </cell>
          <cell r="BY339">
            <v>3175.111876682025</v>
          </cell>
          <cell r="BZ339">
            <v>3541.111876682025</v>
          </cell>
          <cell r="CA339">
            <v>3541.111876682025</v>
          </cell>
          <cell r="CC339">
            <v>3750.4553726169843</v>
          </cell>
          <cell r="CD339">
            <v>3890.5</v>
          </cell>
          <cell r="CE339">
            <v>4065.6392151405512</v>
          </cell>
          <cell r="CF339">
            <v>4247.0892151405515</v>
          </cell>
          <cell r="CG339">
            <v>4247.0892151405515</v>
          </cell>
          <cell r="CI339">
            <v>4440.0892151405515</v>
          </cell>
          <cell r="CJ339">
            <v>4634.0892151405515</v>
          </cell>
          <cell r="CK339">
            <v>4934.9500000000007</v>
          </cell>
          <cell r="CL339">
            <v>5307</v>
          </cell>
          <cell r="CM339">
            <v>5307</v>
          </cell>
          <cell r="CO339">
            <v>5541</v>
          </cell>
          <cell r="CP339">
            <v>5988.5</v>
          </cell>
          <cell r="CQ339">
            <v>6273.5</v>
          </cell>
          <cell r="CR339">
            <v>6798</v>
          </cell>
          <cell r="CS339">
            <v>6798</v>
          </cell>
          <cell r="CU339">
            <v>7177</v>
          </cell>
          <cell r="CV339">
            <v>7310</v>
          </cell>
          <cell r="CW339">
            <v>7504</v>
          </cell>
          <cell r="CX339">
            <v>7393</v>
          </cell>
          <cell r="CY339">
            <v>7393</v>
          </cell>
          <cell r="DA339">
            <v>7389</v>
          </cell>
          <cell r="DB339">
            <v>7604</v>
          </cell>
          <cell r="DC339">
            <v>7769.4</v>
          </cell>
          <cell r="DE339">
            <v>8494.0999999999985</v>
          </cell>
          <cell r="DG339">
            <v>9083.0999999999985</v>
          </cell>
          <cell r="DH339">
            <v>9799.0999999999985</v>
          </cell>
          <cell r="DI339">
            <v>10616.7</v>
          </cell>
          <cell r="DJ339">
            <v>11441</v>
          </cell>
          <cell r="DK339">
            <v>11441</v>
          </cell>
          <cell r="DM339">
            <v>11777</v>
          </cell>
          <cell r="DN339">
            <v>11884</v>
          </cell>
          <cell r="DO339">
            <v>12249.3392</v>
          </cell>
          <cell r="DP339">
            <v>12520.498900000001</v>
          </cell>
          <cell r="DQ339">
            <v>12520.498900000001</v>
          </cell>
          <cell r="DS339">
            <v>12669.498900000001</v>
          </cell>
          <cell r="DT339">
            <v>13007.498900000001</v>
          </cell>
          <cell r="DU339">
            <v>12987.1597</v>
          </cell>
          <cell r="DV339">
            <v>12958</v>
          </cell>
          <cell r="DW339">
            <v>12958</v>
          </cell>
          <cell r="DY339">
            <v>13105</v>
          </cell>
          <cell r="DZ339">
            <v>13138</v>
          </cell>
          <cell r="EA339">
            <v>13143</v>
          </cell>
          <cell r="EB339">
            <v>13214</v>
          </cell>
          <cell r="EC339">
            <v>13214</v>
          </cell>
          <cell r="EE339">
            <v>13259</v>
          </cell>
          <cell r="EF339">
            <v>13221</v>
          </cell>
          <cell r="EG339">
            <v>13179</v>
          </cell>
          <cell r="EH339">
            <v>12490</v>
          </cell>
          <cell r="EI339">
            <v>12490</v>
          </cell>
          <cell r="EK339">
            <v>12031</v>
          </cell>
          <cell r="EL339">
            <v>11649</v>
          </cell>
          <cell r="EM339">
            <v>11208.029267075777</v>
          </cell>
          <cell r="EN339">
            <v>11131.982924810822</v>
          </cell>
          <cell r="EO339">
            <v>11131.982924810822</v>
          </cell>
          <cell r="EQ339">
            <v>11268.650166211819</v>
          </cell>
          <cell r="ER339">
            <v>11198.707000211076</v>
          </cell>
          <cell r="ES339">
            <v>11251.200522421961</v>
          </cell>
          <cell r="ET339">
            <v>11192.040370652863</v>
          </cell>
          <cell r="EU339">
            <v>11192.040370652863</v>
          </cell>
          <cell r="EW339">
            <v>11227.049661862982</v>
          </cell>
          <cell r="EX339">
            <v>11252.778204381053</v>
          </cell>
          <cell r="EY339">
            <v>11335.64081134224</v>
          </cell>
          <cell r="EZ339">
            <v>11267.114191276272</v>
          </cell>
          <cell r="FA339">
            <v>11267.114191276272</v>
          </cell>
        </row>
        <row r="340"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0.01</v>
          </cell>
          <cell r="H340">
            <v>0.02</v>
          </cell>
          <cell r="I340">
            <v>0.02</v>
          </cell>
          <cell r="J340">
            <v>0</v>
          </cell>
          <cell r="K340">
            <v>0.01</v>
          </cell>
          <cell r="L340">
            <v>0.04</v>
          </cell>
          <cell r="M340">
            <v>0.05</v>
          </cell>
          <cell r="O340" t="str">
            <v>-</v>
          </cell>
          <cell r="P340" t="str">
            <v>-</v>
          </cell>
          <cell r="Q340" t="str">
            <v>-</v>
          </cell>
          <cell r="R340">
            <v>0.08</v>
          </cell>
          <cell r="S340">
            <v>0.08</v>
          </cell>
          <cell r="U340">
            <v>0.08</v>
          </cell>
          <cell r="V340">
            <v>0.08</v>
          </cell>
          <cell r="W340">
            <v>0.08</v>
          </cell>
          <cell r="X340">
            <v>0.09</v>
          </cell>
          <cell r="Y340">
            <v>0.09</v>
          </cell>
          <cell r="AA340">
            <v>0.1</v>
          </cell>
          <cell r="AB340">
            <v>0.11</v>
          </cell>
          <cell r="AC340">
            <v>0.12</v>
          </cell>
          <cell r="AD340">
            <v>0.13999999999999999</v>
          </cell>
          <cell r="AE340">
            <v>0.13999999999999999</v>
          </cell>
          <cell r="AG340">
            <v>0.15</v>
          </cell>
          <cell r="AH340">
            <v>0.15</v>
          </cell>
          <cell r="AI340">
            <v>0.16</v>
          </cell>
          <cell r="AJ340">
            <v>0.17</v>
          </cell>
          <cell r="AK340">
            <v>0.17</v>
          </cell>
          <cell r="AM340">
            <v>0.17</v>
          </cell>
          <cell r="AN340">
            <v>0.19000000000000003</v>
          </cell>
          <cell r="AO340">
            <v>0.2</v>
          </cell>
          <cell r="AP340">
            <v>0.22</v>
          </cell>
          <cell r="AQ340">
            <v>0.22</v>
          </cell>
          <cell r="AS340">
            <v>0.22999999999999998</v>
          </cell>
          <cell r="AT340">
            <v>0.24</v>
          </cell>
          <cell r="AU340">
            <v>0.32</v>
          </cell>
          <cell r="AV340">
            <v>1.05</v>
          </cell>
          <cell r="AW340">
            <v>1.05</v>
          </cell>
          <cell r="AY340">
            <v>1.0899999999999999</v>
          </cell>
          <cell r="AZ340">
            <v>1.1400000000000001</v>
          </cell>
          <cell r="BA340">
            <v>1.1099999999999999</v>
          </cell>
          <cell r="BB340">
            <v>0.44</v>
          </cell>
          <cell r="BC340">
            <v>0.44</v>
          </cell>
          <cell r="BE340">
            <v>0.44999999999999996</v>
          </cell>
          <cell r="BF340">
            <v>0.43999999999999995</v>
          </cell>
          <cell r="BG340">
            <v>0.43000000000000005</v>
          </cell>
          <cell r="BH340">
            <v>0.4</v>
          </cell>
          <cell r="BI340">
            <v>0.4</v>
          </cell>
          <cell r="BK340">
            <v>0.37</v>
          </cell>
          <cell r="BL340">
            <v>0.37</v>
          </cell>
          <cell r="BM340">
            <v>0.39</v>
          </cell>
          <cell r="BN340">
            <v>0.43</v>
          </cell>
          <cell r="BO340">
            <v>0.43</v>
          </cell>
          <cell r="BQ340">
            <v>0.45228999999999997</v>
          </cell>
          <cell r="BR340">
            <v>0.46789999999999998</v>
          </cell>
          <cell r="BS340">
            <v>0.47669000000000006</v>
          </cell>
          <cell r="BT340">
            <v>0.50407999999999997</v>
          </cell>
          <cell r="BU340">
            <v>0.50407999999999997</v>
          </cell>
          <cell r="BW340">
            <v>0.52266000000000001</v>
          </cell>
          <cell r="BX340">
            <v>0.56638999999999995</v>
          </cell>
          <cell r="BY340">
            <v>0.60533999999999999</v>
          </cell>
          <cell r="BZ340">
            <v>0.67703000000000002</v>
          </cell>
          <cell r="CA340">
            <v>0.67703000000000002</v>
          </cell>
          <cell r="CC340">
            <v>0.71689000000000003</v>
          </cell>
          <cell r="CD340">
            <v>0.74302000000000001</v>
          </cell>
          <cell r="CE340">
            <v>0.77383999999999997</v>
          </cell>
          <cell r="CF340">
            <v>0.80090000000000006</v>
          </cell>
          <cell r="CG340">
            <v>0.80090000000000006</v>
          </cell>
          <cell r="CI340">
            <v>0.83560000000000012</v>
          </cell>
          <cell r="CJ340">
            <v>0.86990999999999996</v>
          </cell>
          <cell r="CK340">
            <v>0.92859000000000003</v>
          </cell>
          <cell r="CL340">
            <v>1.00797</v>
          </cell>
          <cell r="CM340">
            <v>1.00797</v>
          </cell>
          <cell r="CO340">
            <v>1.05572</v>
          </cell>
          <cell r="CP340">
            <v>1.14418</v>
          </cell>
          <cell r="CQ340">
            <v>1.2027000000000001</v>
          </cell>
          <cell r="CR340">
            <v>1.3023099999999999</v>
          </cell>
          <cell r="CS340">
            <v>1.3023099999999999</v>
          </cell>
          <cell r="CU340">
            <v>1.3740700000000001</v>
          </cell>
          <cell r="CV340">
            <v>1.4024400000000001</v>
          </cell>
          <cell r="CW340">
            <v>1.4487399999999999</v>
          </cell>
          <cell r="CX340">
            <v>1.44425</v>
          </cell>
          <cell r="CY340">
            <v>1.44425</v>
          </cell>
          <cell r="DA340">
            <v>1.4534800000000001</v>
          </cell>
          <cell r="DB340">
            <v>1.5041100000000001</v>
          </cell>
          <cell r="DC340">
            <v>1.5352999999999999</v>
          </cell>
          <cell r="DE340">
            <v>1.6734199999999999</v>
          </cell>
          <cell r="DG340">
            <v>1.7880999999999998</v>
          </cell>
          <cell r="DH340">
            <v>1.9240200000000001</v>
          </cell>
          <cell r="DI340">
            <v>2.0773799999999998</v>
          </cell>
          <cell r="DJ340">
            <v>2.2284299999999999</v>
          </cell>
          <cell r="DK340">
            <v>2.2284299999999999</v>
          </cell>
          <cell r="DM340">
            <v>2.2882199999999999</v>
          </cell>
          <cell r="DN340">
            <v>2.3084899999999999</v>
          </cell>
          <cell r="DO340">
            <v>2.3876900000000001</v>
          </cell>
          <cell r="DP340">
            <v>2.4620599999999997</v>
          </cell>
          <cell r="DQ340">
            <v>2.4620599999999997</v>
          </cell>
          <cell r="DS340">
            <v>2.51268</v>
          </cell>
          <cell r="DT340">
            <v>2.6105799999999997</v>
          </cell>
          <cell r="DU340">
            <v>2.64066</v>
          </cell>
          <cell r="DV340">
            <v>2.6814899999999997</v>
          </cell>
          <cell r="DW340">
            <v>2.6814899999999997</v>
          </cell>
          <cell r="DY340">
            <v>2.7429399999999999</v>
          </cell>
          <cell r="DZ340">
            <v>2.78748</v>
          </cell>
          <cell r="EA340">
            <v>2.8220299999999998</v>
          </cell>
          <cell r="EB340">
            <v>2.8729800000000001</v>
          </cell>
          <cell r="EC340">
            <v>2.8729800000000001</v>
          </cell>
          <cell r="EE340">
            <v>2.8992399999999998</v>
          </cell>
          <cell r="EF340">
            <v>2.9052699999999998</v>
          </cell>
          <cell r="EG340">
            <v>2.9081899999999998</v>
          </cell>
          <cell r="EH340">
            <v>2.7755599999999996</v>
          </cell>
          <cell r="EI340">
            <v>2.7755599999999996</v>
          </cell>
          <cell r="EK340">
            <v>2.69055</v>
          </cell>
          <cell r="EL340">
            <v>2.6323399999999997</v>
          </cell>
          <cell r="EM340">
            <v>2.5620500000000002</v>
          </cell>
          <cell r="EN340">
            <v>2.5840300000000003</v>
          </cell>
          <cell r="EO340">
            <v>2.5840300000000003</v>
          </cell>
          <cell r="EQ340">
            <v>2.6424500000000002</v>
          </cell>
          <cell r="ER340">
            <v>2.6460599999999999</v>
          </cell>
          <cell r="ES340">
            <v>2.6787200000000002</v>
          </cell>
          <cell r="ET340">
            <v>2.69049</v>
          </cell>
          <cell r="EU340">
            <v>2.69049</v>
          </cell>
          <cell r="EW340">
            <v>2.7180299999999997</v>
          </cell>
          <cell r="EX340">
            <v>2.7443599999999999</v>
          </cell>
          <cell r="EY340">
            <v>2.7847</v>
          </cell>
          <cell r="EZ340">
            <v>2.7922200000000004</v>
          </cell>
          <cell r="FA340">
            <v>2.7922200000000004</v>
          </cell>
        </row>
        <row r="341">
          <cell r="C341">
            <v>0</v>
          </cell>
          <cell r="D341">
            <v>0</v>
          </cell>
          <cell r="E341">
            <v>4.4029999999999996</v>
          </cell>
          <cell r="F341">
            <v>6.4730000000000008</v>
          </cell>
          <cell r="G341">
            <v>40.528999999999996</v>
          </cell>
          <cell r="H341">
            <v>26.240000000000009</v>
          </cell>
          <cell r="I341">
            <v>44.005999999999972</v>
          </cell>
          <cell r="J341">
            <v>89.377999999999986</v>
          </cell>
          <cell r="K341">
            <v>242.32</v>
          </cell>
          <cell r="L341">
            <v>317.483</v>
          </cell>
          <cell r="M341">
            <v>443.45099999999996</v>
          </cell>
          <cell r="O341" t="str">
            <v>-</v>
          </cell>
          <cell r="P341" t="str">
            <v>-</v>
          </cell>
          <cell r="Q341" t="str">
            <v>-</v>
          </cell>
          <cell r="R341">
            <v>568.68400000000008</v>
          </cell>
          <cell r="S341">
            <v>568.68399999999997</v>
          </cell>
          <cell r="U341">
            <v>629.55899999999997</v>
          </cell>
          <cell r="V341">
            <v>645.029</v>
          </cell>
          <cell r="W341">
            <v>775.58799999999997</v>
          </cell>
          <cell r="X341">
            <v>889.15700000000015</v>
          </cell>
          <cell r="Y341">
            <v>889.15700000000015</v>
          </cell>
          <cell r="AA341">
            <v>960.57900000000006</v>
          </cell>
          <cell r="AB341">
            <v>895.10300000000007</v>
          </cell>
          <cell r="AC341">
            <v>867.91300000000001</v>
          </cell>
          <cell r="AD341">
            <v>1030.5039999999999</v>
          </cell>
          <cell r="AE341">
            <v>1030.5039999999999</v>
          </cell>
          <cell r="AG341">
            <v>1243.2439999999999</v>
          </cell>
          <cell r="AH341">
            <v>1399.5769999999998</v>
          </cell>
          <cell r="AI341">
            <v>1506.2849999999999</v>
          </cell>
          <cell r="AJ341">
            <v>1614.579</v>
          </cell>
          <cell r="AK341">
            <v>1614.579</v>
          </cell>
          <cell r="AM341">
            <v>1765.308</v>
          </cell>
          <cell r="AN341">
            <v>1623.1399999999999</v>
          </cell>
          <cell r="AO341">
            <v>1706.6770000000001</v>
          </cell>
          <cell r="AP341">
            <v>1807.0990000000002</v>
          </cell>
          <cell r="AQ341">
            <v>1807.0990000000002</v>
          </cell>
          <cell r="AS341">
            <v>1865.6476000000002</v>
          </cell>
          <cell r="AT341">
            <v>1948.8140000000001</v>
          </cell>
          <cell r="AU341">
            <v>2490.5690000000004</v>
          </cell>
          <cell r="AV341">
            <v>2923.5640000000008</v>
          </cell>
          <cell r="AW341">
            <v>2923.5640000000008</v>
          </cell>
          <cell r="AY341">
            <v>1393.6404000000011</v>
          </cell>
          <cell r="AZ341">
            <v>1889.6360000000009</v>
          </cell>
          <cell r="BA341">
            <v>1911.9500000000007</v>
          </cell>
          <cell r="BB341">
            <v>2179</v>
          </cell>
          <cell r="BC341">
            <v>2179</v>
          </cell>
          <cell r="BE341">
            <v>4316.375</v>
          </cell>
          <cell r="BF341">
            <v>3954.8360000000002</v>
          </cell>
          <cell r="BG341">
            <v>3594.1090000000004</v>
          </cell>
          <cell r="BH341">
            <v>3135</v>
          </cell>
          <cell r="BI341">
            <v>3135</v>
          </cell>
          <cell r="BK341">
            <v>3089.4319999999998</v>
          </cell>
          <cell r="BL341">
            <v>3094</v>
          </cell>
          <cell r="BM341">
            <v>3174</v>
          </cell>
          <cell r="BN341">
            <v>3023</v>
          </cell>
          <cell r="BO341">
            <v>3023</v>
          </cell>
          <cell r="BQ341">
            <v>3056</v>
          </cell>
          <cell r="BR341">
            <v>3154</v>
          </cell>
          <cell r="BS341">
            <v>2985</v>
          </cell>
          <cell r="BT341">
            <v>3195</v>
          </cell>
          <cell r="BU341">
            <v>3195</v>
          </cell>
          <cell r="BW341">
            <v>3358</v>
          </cell>
          <cell r="BX341">
            <v>3394</v>
          </cell>
          <cell r="BY341">
            <v>3593</v>
          </cell>
          <cell r="BZ341">
            <v>3551.9225000000001</v>
          </cell>
          <cell r="CA341">
            <v>3551.9225000000001</v>
          </cell>
          <cell r="CC341">
            <v>3595.9225000000001</v>
          </cell>
          <cell r="CD341">
            <v>3508.9225000000001</v>
          </cell>
          <cell r="CE341">
            <v>3856.9225000000001</v>
          </cell>
          <cell r="CF341">
            <v>4541</v>
          </cell>
          <cell r="CG341">
            <v>4541</v>
          </cell>
          <cell r="CI341">
            <v>4708</v>
          </cell>
          <cell r="CJ341">
            <v>4651</v>
          </cell>
          <cell r="CK341">
            <v>4984</v>
          </cell>
          <cell r="CL341">
            <v>5520</v>
          </cell>
          <cell r="CM341">
            <v>5520</v>
          </cell>
          <cell r="CO341">
            <v>6596</v>
          </cell>
          <cell r="CP341">
            <v>6957</v>
          </cell>
          <cell r="CQ341">
            <v>7322</v>
          </cell>
          <cell r="CR341">
            <v>7402</v>
          </cell>
          <cell r="CS341">
            <v>7402</v>
          </cell>
          <cell r="CU341">
            <v>7941</v>
          </cell>
          <cell r="CV341">
            <v>8089</v>
          </cell>
          <cell r="CW341">
            <v>8542</v>
          </cell>
          <cell r="CX341">
            <v>8255</v>
          </cell>
          <cell r="CY341">
            <v>8255</v>
          </cell>
          <cell r="DA341">
            <v>8753</v>
          </cell>
          <cell r="DB341">
            <v>8654</v>
          </cell>
          <cell r="DC341">
            <v>8178</v>
          </cell>
          <cell r="DE341">
            <v>8681</v>
          </cell>
          <cell r="DG341">
            <v>8760</v>
          </cell>
          <cell r="DH341">
            <v>9053</v>
          </cell>
          <cell r="DI341">
            <v>9948</v>
          </cell>
          <cell r="DJ341">
            <v>11214</v>
          </cell>
          <cell r="DK341">
            <v>11214</v>
          </cell>
          <cell r="DM341">
            <v>12818</v>
          </cell>
          <cell r="DN341">
            <v>13129</v>
          </cell>
          <cell r="DO341">
            <v>13463</v>
          </cell>
          <cell r="DP341">
            <v>13743</v>
          </cell>
          <cell r="DQ341">
            <v>13743</v>
          </cell>
          <cell r="DS341">
            <v>13993</v>
          </cell>
          <cell r="DT341">
            <v>13533</v>
          </cell>
          <cell r="DU341">
            <v>13717</v>
          </cell>
          <cell r="DV341">
            <v>14224</v>
          </cell>
          <cell r="DW341">
            <v>14224</v>
          </cell>
          <cell r="DY341">
            <v>14845</v>
          </cell>
          <cell r="DZ341">
            <v>15196</v>
          </cell>
          <cell r="EA341">
            <v>15029</v>
          </cell>
          <cell r="EB341">
            <v>14921</v>
          </cell>
          <cell r="EC341">
            <v>14921</v>
          </cell>
          <cell r="EE341">
            <v>15357</v>
          </cell>
          <cell r="EF341">
            <v>15273</v>
          </cell>
          <cell r="EG341">
            <v>14509</v>
          </cell>
          <cell r="EH341">
            <v>14336</v>
          </cell>
          <cell r="EI341">
            <v>14336</v>
          </cell>
          <cell r="EK341">
            <v>13464</v>
          </cell>
          <cell r="EL341">
            <v>12903</v>
          </cell>
          <cell r="EM341">
            <v>14283.127348490723</v>
          </cell>
          <cell r="EN341">
            <v>13923.579854843596</v>
          </cell>
          <cell r="EO341">
            <v>13923.579854843596</v>
          </cell>
          <cell r="EQ341">
            <v>13290.341206999683</v>
          </cell>
          <cell r="ER341">
            <v>13607.63684741999</v>
          </cell>
          <cell r="ES341">
            <v>13353.609090681301</v>
          </cell>
          <cell r="ET341">
            <v>14339.892030829016</v>
          </cell>
          <cell r="EU341">
            <v>14339.892030829016</v>
          </cell>
          <cell r="EW341">
            <v>13497.040367201087</v>
          </cell>
          <cell r="EX341">
            <v>13563.896565296125</v>
          </cell>
          <cell r="EY341">
            <v>14127.200982320479</v>
          </cell>
          <cell r="EZ341">
            <v>14607.113548437421</v>
          </cell>
          <cell r="FA341">
            <v>14607.113548437421</v>
          </cell>
        </row>
        <row r="342"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0</v>
          </cell>
          <cell r="S342">
            <v>0</v>
          </cell>
          <cell r="U342">
            <v>0</v>
          </cell>
          <cell r="V342">
            <v>0</v>
          </cell>
          <cell r="W342">
            <v>0</v>
          </cell>
          <cell r="X342">
            <v>0</v>
          </cell>
          <cell r="Y342">
            <v>0</v>
          </cell>
          <cell r="AA342">
            <v>0</v>
          </cell>
          <cell r="AB342">
            <v>0</v>
          </cell>
          <cell r="AC342">
            <v>0</v>
          </cell>
          <cell r="AD342">
            <v>0</v>
          </cell>
          <cell r="AE342">
            <v>0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M342">
            <v>0</v>
          </cell>
          <cell r="AN342">
            <v>0</v>
          </cell>
          <cell r="AO342">
            <v>0</v>
          </cell>
          <cell r="AP342">
            <v>0</v>
          </cell>
          <cell r="AQ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0</v>
          </cell>
          <cell r="BK342">
            <v>0</v>
          </cell>
          <cell r="BL342">
            <v>0</v>
          </cell>
          <cell r="BM342">
            <v>0</v>
          </cell>
          <cell r="BN342">
            <v>0</v>
          </cell>
          <cell r="BO342">
            <v>0</v>
          </cell>
          <cell r="BQ342">
            <v>0</v>
          </cell>
          <cell r="BR342">
            <v>0</v>
          </cell>
          <cell r="BS342">
            <v>0</v>
          </cell>
          <cell r="BT342">
            <v>0</v>
          </cell>
          <cell r="BU342">
            <v>0</v>
          </cell>
          <cell r="BW342">
            <v>0</v>
          </cell>
          <cell r="BX342">
            <v>0</v>
          </cell>
          <cell r="BY342">
            <v>0</v>
          </cell>
          <cell r="BZ342">
            <v>0</v>
          </cell>
          <cell r="CA342">
            <v>0</v>
          </cell>
          <cell r="CC342">
            <v>0</v>
          </cell>
          <cell r="CD342">
            <v>0</v>
          </cell>
          <cell r="CE342">
            <v>0</v>
          </cell>
          <cell r="CF342">
            <v>0</v>
          </cell>
          <cell r="CG342">
            <v>0</v>
          </cell>
          <cell r="CI342">
            <v>0</v>
          </cell>
          <cell r="CJ342">
            <v>0</v>
          </cell>
          <cell r="CK342">
            <v>0</v>
          </cell>
          <cell r="CL342">
            <v>0</v>
          </cell>
          <cell r="CM342">
            <v>0</v>
          </cell>
          <cell r="CO342">
            <v>0</v>
          </cell>
          <cell r="CP342">
            <v>0</v>
          </cell>
          <cell r="CQ342">
            <v>0</v>
          </cell>
          <cell r="CR342">
            <v>0</v>
          </cell>
          <cell r="CS342">
            <v>0</v>
          </cell>
          <cell r="CU342">
            <v>0</v>
          </cell>
          <cell r="CV342">
            <v>0</v>
          </cell>
          <cell r="CW342">
            <v>0</v>
          </cell>
          <cell r="CX342">
            <v>0</v>
          </cell>
          <cell r="CY342">
            <v>0</v>
          </cell>
          <cell r="DA342">
            <v>0</v>
          </cell>
          <cell r="DB342">
            <v>0</v>
          </cell>
          <cell r="DC342">
            <v>0</v>
          </cell>
          <cell r="DE342">
            <v>0</v>
          </cell>
          <cell r="DG342">
            <v>0</v>
          </cell>
          <cell r="DH342">
            <v>0</v>
          </cell>
          <cell r="DI342">
            <v>0</v>
          </cell>
          <cell r="DJ342">
            <v>0</v>
          </cell>
          <cell r="DK342">
            <v>0</v>
          </cell>
          <cell r="DM342">
            <v>0</v>
          </cell>
          <cell r="DN342">
            <v>0</v>
          </cell>
          <cell r="DO342">
            <v>0</v>
          </cell>
          <cell r="DP342">
            <v>0</v>
          </cell>
          <cell r="DQ342">
            <v>0</v>
          </cell>
          <cell r="DS342">
            <v>0</v>
          </cell>
          <cell r="DT342">
            <v>0</v>
          </cell>
          <cell r="DU342">
            <v>0</v>
          </cell>
          <cell r="DV342">
            <v>0</v>
          </cell>
          <cell r="DW342">
            <v>0</v>
          </cell>
          <cell r="DY342">
            <v>0</v>
          </cell>
          <cell r="DZ342">
            <v>0</v>
          </cell>
          <cell r="EA342">
            <v>0</v>
          </cell>
          <cell r="EB342">
            <v>0</v>
          </cell>
          <cell r="EC342">
            <v>0</v>
          </cell>
          <cell r="EE342">
            <v>0</v>
          </cell>
          <cell r="EF342">
            <v>0</v>
          </cell>
          <cell r="EG342">
            <v>0</v>
          </cell>
          <cell r="EH342">
            <v>0</v>
          </cell>
          <cell r="EI342">
            <v>0</v>
          </cell>
          <cell r="EK342">
            <v>0</v>
          </cell>
          <cell r="EL342">
            <v>0</v>
          </cell>
          <cell r="EM342">
            <v>0</v>
          </cell>
          <cell r="EN342">
            <v>0</v>
          </cell>
          <cell r="EO342">
            <v>0</v>
          </cell>
          <cell r="EQ342">
            <v>0</v>
          </cell>
          <cell r="ER342">
            <v>0</v>
          </cell>
          <cell r="ES342">
            <v>0</v>
          </cell>
          <cell r="ET342">
            <v>0</v>
          </cell>
          <cell r="EU342">
            <v>0</v>
          </cell>
          <cell r="EW342">
            <v>0</v>
          </cell>
          <cell r="EX342">
            <v>0</v>
          </cell>
          <cell r="EY342">
            <v>0</v>
          </cell>
          <cell r="EZ342">
            <v>0</v>
          </cell>
          <cell r="FA342">
            <v>0</v>
          </cell>
        </row>
        <row r="343">
          <cell r="C343">
            <v>1.569705386740331</v>
          </cell>
          <cell r="D343">
            <v>1.6489351891891899</v>
          </cell>
          <cell r="E343">
            <v>6.083850370370377</v>
          </cell>
          <cell r="F343">
            <v>15.173742436750873</v>
          </cell>
          <cell r="G343">
            <v>42.168573679917515</v>
          </cell>
          <cell r="H343">
            <v>83.740103105373322</v>
          </cell>
          <cell r="I343">
            <v>92.598741370850334</v>
          </cell>
          <cell r="J343">
            <v>25.078264537078987</v>
          </cell>
          <cell r="K343">
            <v>73.265644990376089</v>
          </cell>
          <cell r="L343">
            <v>181.70140989589902</v>
          </cell>
          <cell r="M343">
            <v>281.27955608092776</v>
          </cell>
          <cell r="O343">
            <v>58.653992095727091</v>
          </cell>
          <cell r="P343">
            <v>92.414774743393934</v>
          </cell>
          <cell r="Q343">
            <v>103.25151540247876</v>
          </cell>
          <cell r="R343">
            <v>180.49446123463539</v>
          </cell>
          <cell r="S343">
            <v>434.81544974350112</v>
          </cell>
          <cell r="U343">
            <v>82.580612160718829</v>
          </cell>
          <cell r="V343">
            <v>134.86061163277714</v>
          </cell>
          <cell r="W343">
            <v>145.16205737849143</v>
          </cell>
          <cell r="X343">
            <v>264.48339857790455</v>
          </cell>
          <cell r="Y343">
            <v>644.17169738327038</v>
          </cell>
          <cell r="AA343">
            <v>108.07882329572543</v>
          </cell>
          <cell r="AB343">
            <v>175.48000715958975</v>
          </cell>
          <cell r="AC343">
            <v>190.03490804588998</v>
          </cell>
          <cell r="AD343">
            <v>358.26852129793286</v>
          </cell>
          <cell r="AE343">
            <v>831.86211645333537</v>
          </cell>
          <cell r="AG343">
            <v>138.25855999999999</v>
          </cell>
          <cell r="AH343">
            <v>176.7651166818153</v>
          </cell>
          <cell r="AI343">
            <v>206.87725762493645</v>
          </cell>
          <cell r="AJ343">
            <v>393.21369761475211</v>
          </cell>
          <cell r="AK343">
            <v>914.85807570007</v>
          </cell>
          <cell r="AM343">
            <v>180.59312216585212</v>
          </cell>
          <cell r="AN343">
            <v>254.95407808239236</v>
          </cell>
          <cell r="AO343">
            <v>268.40901966079718</v>
          </cell>
          <cell r="AP343">
            <v>514.20548303547673</v>
          </cell>
          <cell r="AQ343">
            <v>1218.7024187736308</v>
          </cell>
          <cell r="AS343">
            <v>224.81094999999996</v>
          </cell>
          <cell r="AT343">
            <v>374.44224999999989</v>
          </cell>
          <cell r="AU343">
            <v>485.75045181712164</v>
          </cell>
          <cell r="AV343">
            <v>857.07543659041653</v>
          </cell>
          <cell r="AW343">
            <v>1915.8681311776222</v>
          </cell>
          <cell r="AY343">
            <v>424.43644500000022</v>
          </cell>
          <cell r="AZ343">
            <v>610.17064499999981</v>
          </cell>
          <cell r="BA343">
            <v>566.38933500000007</v>
          </cell>
          <cell r="BB343">
            <v>835.22726999999986</v>
          </cell>
          <cell r="BC343">
            <v>2436.2236949999997</v>
          </cell>
          <cell r="BE343">
            <v>484.75569999999988</v>
          </cell>
          <cell r="BF343">
            <v>532.96360000000004</v>
          </cell>
          <cell r="BG343">
            <v>506.18034999999981</v>
          </cell>
          <cell r="BH343">
            <v>807.97192978381815</v>
          </cell>
          <cell r="BI343">
            <v>2330.2651292530459</v>
          </cell>
          <cell r="BK343">
            <v>381.11111111111109</v>
          </cell>
          <cell r="BL343">
            <v>530.98749999999995</v>
          </cell>
          <cell r="BM343">
            <v>548.27020506634506</v>
          </cell>
          <cell r="BN343">
            <v>855.70571249215322</v>
          </cell>
          <cell r="BO343">
            <v>2317.5042214047999</v>
          </cell>
          <cell r="BQ343">
            <v>408.19277108433738</v>
          </cell>
          <cell r="BR343">
            <v>616.32641921397374</v>
          </cell>
          <cell r="BS343">
            <v>621.26638477801271</v>
          </cell>
          <cell r="BT343">
            <v>980.93023255813955</v>
          </cell>
          <cell r="BU343">
            <v>2625.9528517110266</v>
          </cell>
          <cell r="BW343">
            <v>512.79336043360433</v>
          </cell>
          <cell r="BX343">
            <v>815.21187175043326</v>
          </cell>
          <cell r="BY343">
            <v>824.3002544529262</v>
          </cell>
          <cell r="BZ343">
            <v>1369.2149431510559</v>
          </cell>
          <cell r="CA343">
            <v>3520.4486217374042</v>
          </cell>
          <cell r="CC343">
            <v>723.14093959731542</v>
          </cell>
          <cell r="CD343">
            <v>967.58982802780827</v>
          </cell>
          <cell r="CE343">
            <v>981.68908061972365</v>
          </cell>
          <cell r="CF343">
            <v>1523.6473595251409</v>
          </cell>
          <cell r="CG343">
            <v>4195.6911634338167</v>
          </cell>
          <cell r="CI343">
            <v>917.76963350785343</v>
          </cell>
          <cell r="CJ343">
            <v>1167.6437768240344</v>
          </cell>
          <cell r="CK343">
            <v>1292.1646859083191</v>
          </cell>
          <cell r="CL343">
            <v>1921.8924531800483</v>
          </cell>
          <cell r="CM343">
            <v>5299.5017156697832</v>
          </cell>
          <cell r="CO343">
            <v>1176.8948948948948</v>
          </cell>
          <cell r="CP343">
            <v>1589.3110814419226</v>
          </cell>
          <cell r="CQ343">
            <v>1584.5718144979739</v>
          </cell>
          <cell r="CR343">
            <v>2454.0813655761021</v>
          </cell>
          <cell r="CS343">
            <v>6805.7506218905482</v>
          </cell>
          <cell r="CU343">
            <v>1600.6943252265141</v>
          </cell>
          <cell r="CV343">
            <v>1851.7536585365854</v>
          </cell>
          <cell r="CW343">
            <v>1875.4226804123714</v>
          </cell>
          <cell r="CX343">
            <v>2412.266922849542</v>
          </cell>
          <cell r="CY343">
            <v>7739.6471780028942</v>
          </cell>
          <cell r="DA343">
            <v>1668.0934579439252</v>
          </cell>
          <cell r="DB343">
            <v>2073.5342465753424</v>
          </cell>
          <cell r="DC343">
            <v>2138.7988725527534</v>
          </cell>
          <cell r="DE343">
            <v>9090.9263741731775</v>
          </cell>
          <cell r="DG343">
            <v>2220.9426548672564</v>
          </cell>
          <cell r="DH343">
            <v>2766.065736517306</v>
          </cell>
          <cell r="DI343">
            <v>2903.2386609071277</v>
          </cell>
          <cell r="DJ343">
            <v>4016.9411764705883</v>
          </cell>
          <cell r="DK343">
            <v>11906.71336164652</v>
          </cell>
          <cell r="DM343">
            <v>2620.8079904591536</v>
          </cell>
          <cell r="DN343">
            <v>2895.2715722604553</v>
          </cell>
          <cell r="DO343">
            <v>3259.3215824519016</v>
          </cell>
          <cell r="DP343">
            <v>4310.5076521200544</v>
          </cell>
          <cell r="DQ343">
            <v>13087.728900507271</v>
          </cell>
          <cell r="DS343">
            <v>2749.6031652989445</v>
          </cell>
          <cell r="DT343">
            <v>3268.1166380789023</v>
          </cell>
          <cell r="DU343">
            <v>3300.7686832740214</v>
          </cell>
          <cell r="DV343">
            <v>4247.3734716561694</v>
          </cell>
          <cell r="DW343">
            <v>13564.118632986627</v>
          </cell>
          <cell r="DY343">
            <v>2925.2056074766356</v>
          </cell>
          <cell r="DZ343">
            <v>3316.69472641743</v>
          </cell>
          <cell r="EA343">
            <v>3357.5489130434785</v>
          </cell>
          <cell r="EB343">
            <v>4431.3576158940396</v>
          </cell>
          <cell r="EC343">
            <v>14031.448692388884</v>
          </cell>
          <cell r="EE343">
            <v>2998.3531057638502</v>
          </cell>
          <cell r="EF343">
            <v>3323.6393880524529</v>
          </cell>
          <cell r="EG343">
            <v>3251.101434684118</v>
          </cell>
          <cell r="EH343">
            <v>3708.3076923076919</v>
          </cell>
          <cell r="EI343">
            <v>13281.028243061499</v>
          </cell>
          <cell r="EK343">
            <v>2605.0274848194313</v>
          </cell>
          <cell r="EL343">
            <v>2963.4473224679864</v>
          </cell>
          <cell r="EM343">
            <v>2850.2347839507775</v>
          </cell>
          <cell r="EN343">
            <v>3624.1255604242201</v>
          </cell>
          <cell r="EO343">
            <v>12042.076654666867</v>
          </cell>
          <cell r="EQ343">
            <v>2678.252819582875</v>
          </cell>
          <cell r="ER343">
            <v>2857.4123432852543</v>
          </cell>
          <cell r="ES343">
            <v>2875.1838892630744</v>
          </cell>
          <cell r="ET343">
            <v>3552.8008017575821</v>
          </cell>
          <cell r="EU343">
            <v>11963.649853888786</v>
          </cell>
          <cell r="EW343">
            <v>2699.0305097187538</v>
          </cell>
          <cell r="EX343">
            <v>2869.3008757579437</v>
          </cell>
          <cell r="EY343">
            <v>2944.7015047443178</v>
          </cell>
          <cell r="EZ343">
            <v>3470.3147525956429</v>
          </cell>
          <cell r="FA343">
            <v>11983.347642816658</v>
          </cell>
        </row>
        <row r="344">
          <cell r="C344" t="str">
            <v>-</v>
          </cell>
          <cell r="D344">
            <v>0.89700000000000002</v>
          </cell>
          <cell r="E344">
            <v>2.9929999999999999</v>
          </cell>
          <cell r="F344">
            <v>3.847</v>
          </cell>
          <cell r="G344">
            <v>9.5470000000000006</v>
          </cell>
          <cell r="H344">
            <v>15.403</v>
          </cell>
          <cell r="I344">
            <v>42.121000000000002</v>
          </cell>
          <cell r="J344">
            <v>104.428</v>
          </cell>
          <cell r="K344">
            <v>119.462</v>
          </cell>
          <cell r="L344">
            <v>193.21100000000001</v>
          </cell>
          <cell r="M344">
            <v>227.11799999999999</v>
          </cell>
          <cell r="O344">
            <v>243.709</v>
          </cell>
          <cell r="P344">
            <v>237.05799999999999</v>
          </cell>
          <cell r="Q344">
            <v>262.14</v>
          </cell>
          <cell r="R344">
            <v>316.27300000000002</v>
          </cell>
          <cell r="S344">
            <v>316.27300000000002</v>
          </cell>
          <cell r="U344">
            <v>326.66899999999998</v>
          </cell>
          <cell r="V344">
            <v>301.56799999999998</v>
          </cell>
          <cell r="W344">
            <v>350.21899999999999</v>
          </cell>
          <cell r="X344">
            <v>434.435</v>
          </cell>
          <cell r="Y344">
            <v>434.435</v>
          </cell>
          <cell r="AA344">
            <v>474.63400000000001</v>
          </cell>
          <cell r="AB344">
            <v>443.64800000000002</v>
          </cell>
          <cell r="AC344">
            <v>475.56799999999998</v>
          </cell>
          <cell r="AD344">
            <v>602.86199999999997</v>
          </cell>
          <cell r="AE344">
            <v>602.86199999999997</v>
          </cell>
          <cell r="AG344">
            <v>694.12300000000005</v>
          </cell>
          <cell r="AH344">
            <v>615.75199999999995</v>
          </cell>
          <cell r="AI344">
            <v>663.81799999999998</v>
          </cell>
          <cell r="AJ344">
            <v>877.08699999999999</v>
          </cell>
          <cell r="AK344">
            <v>877.08699999999999</v>
          </cell>
          <cell r="AM344">
            <v>956.37</v>
          </cell>
          <cell r="AN344">
            <v>800.21400000000006</v>
          </cell>
          <cell r="AO344">
            <v>817.89499999999998</v>
          </cell>
          <cell r="AP344">
            <v>1007.149</v>
          </cell>
          <cell r="AQ344">
            <v>1007.149</v>
          </cell>
          <cell r="AS344">
            <v>1089.684</v>
          </cell>
          <cell r="AT344">
            <v>925.14099999999996</v>
          </cell>
          <cell r="AU344">
            <v>1019.556</v>
          </cell>
          <cell r="AV344">
            <v>1133.482</v>
          </cell>
          <cell r="AW344">
            <v>1133.482</v>
          </cell>
          <cell r="AY344">
            <v>1269.585</v>
          </cell>
          <cell r="AZ344">
            <v>1053.809</v>
          </cell>
          <cell r="BA344">
            <v>1040.712</v>
          </cell>
          <cell r="BB344">
            <v>1214</v>
          </cell>
          <cell r="BC344">
            <v>1214</v>
          </cell>
          <cell r="BE344">
            <v>1367.24</v>
          </cell>
          <cell r="BF344">
            <v>1084.7149999999999</v>
          </cell>
          <cell r="BG344">
            <v>1013.778</v>
          </cell>
          <cell r="BH344">
            <v>1241</v>
          </cell>
          <cell r="BI344">
            <v>1241</v>
          </cell>
          <cell r="BK344">
            <v>1514</v>
          </cell>
          <cell r="BL344">
            <v>1248</v>
          </cell>
          <cell r="BM344">
            <v>1225</v>
          </cell>
          <cell r="BN344">
            <v>1409</v>
          </cell>
          <cell r="BO344">
            <v>1409</v>
          </cell>
          <cell r="BQ344">
            <v>1603</v>
          </cell>
          <cell r="BR344">
            <v>1349</v>
          </cell>
          <cell r="BS344">
            <v>1355</v>
          </cell>
          <cell r="BT344">
            <v>1497</v>
          </cell>
          <cell r="BU344">
            <v>1497</v>
          </cell>
          <cell r="BW344">
            <v>1782</v>
          </cell>
          <cell r="BX344">
            <v>1497</v>
          </cell>
          <cell r="BY344">
            <v>1935</v>
          </cell>
          <cell r="BZ344">
            <v>2289</v>
          </cell>
          <cell r="CA344">
            <v>2289</v>
          </cell>
          <cell r="CC344">
            <v>2630</v>
          </cell>
          <cell r="CD344">
            <v>2183</v>
          </cell>
          <cell r="CE344">
            <v>2467</v>
          </cell>
          <cell r="CF344">
            <v>2830</v>
          </cell>
          <cell r="CG344">
            <v>2830</v>
          </cell>
          <cell r="CI344">
            <v>3269</v>
          </cell>
          <cell r="CJ344">
            <v>2770</v>
          </cell>
          <cell r="CK344">
            <v>2948</v>
          </cell>
          <cell r="CL344">
            <v>3492</v>
          </cell>
          <cell r="CM344">
            <v>3492</v>
          </cell>
          <cell r="CO344">
            <v>4121</v>
          </cell>
          <cell r="CP344">
            <v>3577</v>
          </cell>
          <cell r="CQ344">
            <v>3683</v>
          </cell>
          <cell r="CR344">
            <v>4492</v>
          </cell>
          <cell r="CS344">
            <v>4492</v>
          </cell>
          <cell r="CU344">
            <v>5017</v>
          </cell>
          <cell r="CV344">
            <v>3881</v>
          </cell>
          <cell r="CW344">
            <v>3952</v>
          </cell>
          <cell r="CX344">
            <v>4592</v>
          </cell>
          <cell r="CY344">
            <v>4592</v>
          </cell>
          <cell r="DA344">
            <v>5283</v>
          </cell>
          <cell r="DB344">
            <v>4395</v>
          </cell>
          <cell r="DC344">
            <v>5389</v>
          </cell>
          <cell r="DE344">
            <v>5900</v>
          </cell>
          <cell r="DG344">
            <v>6903</v>
          </cell>
          <cell r="DH344">
            <v>5742</v>
          </cell>
          <cell r="DI344">
            <v>5849</v>
          </cell>
          <cell r="DJ344">
            <v>6802</v>
          </cell>
          <cell r="DK344">
            <v>6802</v>
          </cell>
          <cell r="DM344">
            <v>7925</v>
          </cell>
          <cell r="DN344">
            <v>6091</v>
          </cell>
          <cell r="DO344">
            <v>6285</v>
          </cell>
          <cell r="DP344">
            <v>7035</v>
          </cell>
          <cell r="DQ344">
            <v>7035</v>
          </cell>
          <cell r="DS344">
            <v>8316</v>
          </cell>
          <cell r="DT344">
            <v>6504</v>
          </cell>
          <cell r="DU344">
            <v>6278</v>
          </cell>
          <cell r="DV344">
            <v>7118</v>
          </cell>
          <cell r="DW344">
            <v>7118</v>
          </cell>
          <cell r="DY344">
            <v>8524</v>
          </cell>
          <cell r="DZ344">
            <v>6667</v>
          </cell>
          <cell r="EA344">
            <v>6473</v>
          </cell>
          <cell r="EB344">
            <v>7269</v>
          </cell>
          <cell r="EC344">
            <v>7269</v>
          </cell>
          <cell r="EE344">
            <v>8939</v>
          </cell>
          <cell r="EF344">
            <v>6816</v>
          </cell>
          <cell r="EG344">
            <v>6443</v>
          </cell>
          <cell r="EH344">
            <v>7245</v>
          </cell>
          <cell r="EI344">
            <v>7245</v>
          </cell>
          <cell r="EK344">
            <v>9078</v>
          </cell>
          <cell r="EL344">
            <v>6998</v>
          </cell>
          <cell r="EM344">
            <v>7022.8700000000008</v>
          </cell>
          <cell r="EN344">
            <v>7969.5000000000009</v>
          </cell>
          <cell r="EO344">
            <v>7969.5000000000009</v>
          </cell>
          <cell r="EQ344">
            <v>9219.1614274527346</v>
          </cell>
          <cell r="ER344">
            <v>7184.8597417840374</v>
          </cell>
          <cell r="ES344">
            <v>7654.9283000000014</v>
          </cell>
          <cell r="ET344">
            <v>8925.840000000002</v>
          </cell>
          <cell r="EU344">
            <v>8925.840000000002</v>
          </cell>
          <cell r="EW344">
            <v>9362.5178922044888</v>
          </cell>
          <cell r="EX344">
            <v>7376.7089895840218</v>
          </cell>
          <cell r="EY344">
            <v>8343.8718470000022</v>
          </cell>
          <cell r="EZ344">
            <v>10175.457600000003</v>
          </cell>
          <cell r="FA344">
            <v>10175.457600000003</v>
          </cell>
        </row>
        <row r="345">
          <cell r="C345" t="str">
            <v>-</v>
          </cell>
          <cell r="D345">
            <v>9.032</v>
          </cell>
          <cell r="E345">
            <v>26.553999999999998</v>
          </cell>
          <cell r="F345">
            <v>65.204999999999998</v>
          </cell>
          <cell r="G345">
            <v>129.999</v>
          </cell>
          <cell r="H345">
            <v>261.98899999999998</v>
          </cell>
          <cell r="I345">
            <v>468.07100000000003</v>
          </cell>
          <cell r="J345">
            <v>385.98500000000001</v>
          </cell>
          <cell r="K345">
            <v>360.94600000000003</v>
          </cell>
          <cell r="L345">
            <v>359.36</v>
          </cell>
          <cell r="M345">
            <v>455.88400000000001</v>
          </cell>
          <cell r="O345">
            <v>436.18200000000002</v>
          </cell>
          <cell r="P345">
            <v>539.26300000000003</v>
          </cell>
          <cell r="Q345">
            <v>558.65899999999999</v>
          </cell>
          <cell r="R345">
            <v>764.73400000000004</v>
          </cell>
          <cell r="S345">
            <v>764.73400000000004</v>
          </cell>
          <cell r="U345">
            <v>611.06299999999999</v>
          </cell>
          <cell r="V345">
            <v>766.91800000000001</v>
          </cell>
          <cell r="W345">
            <v>774.52300000000002</v>
          </cell>
          <cell r="X345">
            <v>1084.8579999999999</v>
          </cell>
          <cell r="Y345">
            <v>1084.8579999999999</v>
          </cell>
          <cell r="AA345">
            <v>899.94200000000001</v>
          </cell>
          <cell r="AB345">
            <v>1083.9960000000001</v>
          </cell>
          <cell r="AC345">
            <v>1102.175</v>
          </cell>
          <cell r="AD345">
            <v>1540.47</v>
          </cell>
          <cell r="AE345">
            <v>1540.47</v>
          </cell>
          <cell r="AG345">
            <v>1183.4079999999999</v>
          </cell>
          <cell r="AH345">
            <v>1321.3679999999999</v>
          </cell>
          <cell r="AI345">
            <v>1322.7809999999999</v>
          </cell>
          <cell r="AJ345">
            <v>1857.48</v>
          </cell>
          <cell r="AK345">
            <v>1857.48</v>
          </cell>
          <cell r="AM345">
            <v>1351.4159999999999</v>
          </cell>
          <cell r="AN345">
            <v>1604.336</v>
          </cell>
          <cell r="AO345">
            <v>1563.8530000000001</v>
          </cell>
          <cell r="AP345">
            <v>2238.2040000000002</v>
          </cell>
          <cell r="AQ345">
            <v>2238.2040000000002</v>
          </cell>
          <cell r="AS345">
            <v>1514.095</v>
          </cell>
          <cell r="AT345">
            <v>1768.914</v>
          </cell>
          <cell r="AU345">
            <v>1848.721</v>
          </cell>
          <cell r="AV345">
            <v>2533.9639999999999</v>
          </cell>
          <cell r="AW345">
            <v>2533.9639999999999</v>
          </cell>
          <cell r="AY345">
            <v>1696.32</v>
          </cell>
          <cell r="AZ345">
            <v>1935.7670000000001</v>
          </cell>
          <cell r="BA345">
            <v>1952.1189999999999</v>
          </cell>
          <cell r="BB345">
            <v>2432</v>
          </cell>
          <cell r="BC345">
            <v>2432</v>
          </cell>
          <cell r="BE345">
            <v>1759.8789999999999</v>
          </cell>
          <cell r="BF345">
            <v>1812.6179999999999</v>
          </cell>
          <cell r="BG345">
            <v>1621.413</v>
          </cell>
          <cell r="BH345">
            <v>2036</v>
          </cell>
          <cell r="BI345">
            <v>2036</v>
          </cell>
          <cell r="BK345">
            <v>1362</v>
          </cell>
          <cell r="BL345">
            <v>1529</v>
          </cell>
          <cell r="BM345">
            <v>1421</v>
          </cell>
          <cell r="BN345">
            <v>1920</v>
          </cell>
          <cell r="BO345">
            <v>1920</v>
          </cell>
          <cell r="BQ345">
            <v>1346</v>
          </cell>
          <cell r="BR345">
            <v>1547</v>
          </cell>
          <cell r="BS345">
            <v>1545</v>
          </cell>
          <cell r="BT345">
            <v>2012</v>
          </cell>
          <cell r="BU345">
            <v>2012</v>
          </cell>
          <cell r="BW345">
            <v>1233</v>
          </cell>
          <cell r="BX345">
            <v>1532</v>
          </cell>
          <cell r="BY345">
            <v>1856</v>
          </cell>
          <cell r="BZ345">
            <v>2570</v>
          </cell>
          <cell r="CA345">
            <v>2570</v>
          </cell>
          <cell r="CC345">
            <v>1651</v>
          </cell>
          <cell r="CD345">
            <v>1976</v>
          </cell>
          <cell r="CE345">
            <v>2201</v>
          </cell>
          <cell r="CF345">
            <v>3022</v>
          </cell>
          <cell r="CG345">
            <v>3022</v>
          </cell>
          <cell r="CI345">
            <v>2118</v>
          </cell>
          <cell r="CJ345">
            <v>2543</v>
          </cell>
          <cell r="CK345">
            <v>2795</v>
          </cell>
          <cell r="CL345">
            <v>4074</v>
          </cell>
          <cell r="CM345">
            <v>4074</v>
          </cell>
          <cell r="CO345">
            <v>2735</v>
          </cell>
          <cell r="CP345">
            <v>3264</v>
          </cell>
          <cell r="CQ345">
            <v>3235</v>
          </cell>
          <cell r="CR345">
            <v>5127</v>
          </cell>
          <cell r="CS345">
            <v>5127</v>
          </cell>
          <cell r="CU345">
            <v>3260</v>
          </cell>
          <cell r="CV345">
            <v>3253</v>
          </cell>
          <cell r="CW345">
            <v>3025</v>
          </cell>
          <cell r="CX345">
            <v>4430</v>
          </cell>
          <cell r="CY345">
            <v>4430</v>
          </cell>
          <cell r="DA345">
            <v>2584</v>
          </cell>
          <cell r="DB345">
            <v>3086</v>
          </cell>
          <cell r="DC345">
            <v>3898</v>
          </cell>
          <cell r="DE345">
            <v>5585</v>
          </cell>
          <cell r="DG345">
            <v>3721</v>
          </cell>
          <cell r="DH345">
            <v>4406</v>
          </cell>
          <cell r="DI345">
            <v>4495</v>
          </cell>
          <cell r="DJ345">
            <v>6628</v>
          </cell>
          <cell r="DK345">
            <v>6628</v>
          </cell>
          <cell r="DM345">
            <v>4194</v>
          </cell>
          <cell r="DN345">
            <v>4434</v>
          </cell>
          <cell r="DO345">
            <v>4656</v>
          </cell>
          <cell r="DP345">
            <v>6377</v>
          </cell>
          <cell r="DQ345">
            <v>6377</v>
          </cell>
          <cell r="DS345">
            <v>3775</v>
          </cell>
          <cell r="DT345">
            <v>4401</v>
          </cell>
          <cell r="DU345">
            <v>4169</v>
          </cell>
          <cell r="DV345">
            <v>6049</v>
          </cell>
          <cell r="DW345">
            <v>6049</v>
          </cell>
          <cell r="DY345">
            <v>3450</v>
          </cell>
          <cell r="DZ345">
            <v>4192</v>
          </cell>
          <cell r="EA345">
            <v>4071</v>
          </cell>
          <cell r="EB345">
            <v>6087</v>
          </cell>
          <cell r="EC345">
            <v>6087</v>
          </cell>
          <cell r="EE345">
            <v>3551</v>
          </cell>
          <cell r="EF345">
            <v>4326</v>
          </cell>
          <cell r="EG345">
            <v>4178</v>
          </cell>
          <cell r="EH345">
            <v>5618</v>
          </cell>
          <cell r="EI345">
            <v>5618</v>
          </cell>
          <cell r="EK345">
            <v>3475</v>
          </cell>
          <cell r="EL345">
            <v>3956</v>
          </cell>
          <cell r="EM345">
            <v>4086.798007398329</v>
          </cell>
          <cell r="EN345">
            <v>5450.5208936377885</v>
          </cell>
          <cell r="EO345">
            <v>5450.5208936377885</v>
          </cell>
          <cell r="EQ345">
            <v>3645.3294133740483</v>
          </cell>
          <cell r="ER345">
            <v>4106.8564638286398</v>
          </cell>
          <cell r="ES345">
            <v>4213.2563116238798</v>
          </cell>
          <cell r="ET345">
            <v>5521.9964087674589</v>
          </cell>
          <cell r="EU345">
            <v>5521.9964087674589</v>
          </cell>
          <cell r="EW345">
            <v>3741.2403192318266</v>
          </cell>
          <cell r="EX345">
            <v>4208.0664287323816</v>
          </cell>
          <cell r="EY345">
            <v>4315.3093185024827</v>
          </cell>
          <cell r="EZ345">
            <v>5636.5576320321743</v>
          </cell>
          <cell r="FA345">
            <v>5636.5576320321743</v>
          </cell>
        </row>
        <row r="346">
          <cell r="C346" t="str">
            <v>-</v>
          </cell>
          <cell r="D346">
            <v>0.59899999999999998</v>
          </cell>
          <cell r="E346">
            <v>12.523999999999999</v>
          </cell>
          <cell r="F346">
            <v>37.557000000000002</v>
          </cell>
          <cell r="G346">
            <v>48.61</v>
          </cell>
          <cell r="H346">
            <v>49.393000000000001</v>
          </cell>
          <cell r="I346">
            <v>49.828000000000003</v>
          </cell>
          <cell r="J346">
            <v>101.48099999999999</v>
          </cell>
          <cell r="K346">
            <v>176.50099999999998</v>
          </cell>
          <cell r="L346">
            <v>357.77499999999998</v>
          </cell>
          <cell r="M346">
            <v>464.75799999999998</v>
          </cell>
          <cell r="O346">
            <v>493.291</v>
          </cell>
          <cell r="P346">
            <v>329.447</v>
          </cell>
          <cell r="Q346">
            <v>402.54700000000003</v>
          </cell>
          <cell r="R346">
            <v>585.81799999999998</v>
          </cell>
          <cell r="S346">
            <v>585.81799999999998</v>
          </cell>
          <cell r="U346">
            <v>577.29999999999995</v>
          </cell>
          <cell r="V346">
            <v>554.46199999999999</v>
          </cell>
          <cell r="W346">
            <v>709.745</v>
          </cell>
          <cell r="X346">
            <v>840.9079999999999</v>
          </cell>
          <cell r="Y346">
            <v>840.9079999999999</v>
          </cell>
          <cell r="AA346">
            <v>995.78700000000003</v>
          </cell>
          <cell r="AB346">
            <v>878.67200000000003</v>
          </cell>
          <cell r="AC346">
            <v>1043.068</v>
          </cell>
          <cell r="AD346">
            <v>1213.19</v>
          </cell>
          <cell r="AE346">
            <v>1213.19</v>
          </cell>
          <cell r="AG346">
            <v>1488.326</v>
          </cell>
          <cell r="AH346">
            <v>1514.395</v>
          </cell>
          <cell r="AI346">
            <v>1516.819</v>
          </cell>
          <cell r="AJ346">
            <v>1919.1990000000001</v>
          </cell>
          <cell r="AK346">
            <v>1919.1990000000001</v>
          </cell>
          <cell r="AM346">
            <v>2301.8960000000002</v>
          </cell>
          <cell r="AN346">
            <v>1908.067</v>
          </cell>
          <cell r="AO346">
            <v>2188.8609999999999</v>
          </cell>
          <cell r="AP346">
            <v>2562.7640000000001</v>
          </cell>
          <cell r="AQ346">
            <v>2562.7640000000001</v>
          </cell>
          <cell r="AS346">
            <v>2721.7490000000003</v>
          </cell>
          <cell r="AT346">
            <v>2133.7559999999999</v>
          </cell>
          <cell r="AU346">
            <v>2767.6010000000001</v>
          </cell>
          <cell r="AV346">
            <v>7761.9980000000005</v>
          </cell>
          <cell r="AW346">
            <v>7761.9980000000005</v>
          </cell>
          <cell r="AY346">
            <v>5062.5720000000001</v>
          </cell>
          <cell r="AZ346">
            <v>4356.165</v>
          </cell>
          <cell r="BA346">
            <v>4985.2379999999994</v>
          </cell>
          <cell r="BB346">
            <v>5887</v>
          </cell>
          <cell r="BC346">
            <v>5887</v>
          </cell>
          <cell r="BE346">
            <v>6051.4310000000005</v>
          </cell>
          <cell r="BF346">
            <v>4959.5280000000002</v>
          </cell>
          <cell r="BG346">
            <v>5610.9740000000002</v>
          </cell>
          <cell r="BH346">
            <v>5841</v>
          </cell>
          <cell r="BI346">
            <v>5841</v>
          </cell>
          <cell r="BK346">
            <v>6419</v>
          </cell>
          <cell r="BL346">
            <v>5481</v>
          </cell>
          <cell r="BM346">
            <v>6040</v>
          </cell>
          <cell r="BN346">
            <v>6519</v>
          </cell>
          <cell r="BO346">
            <v>6519</v>
          </cell>
          <cell r="BQ346">
            <v>7404</v>
          </cell>
          <cell r="BR346">
            <v>8074</v>
          </cell>
          <cell r="BS346">
            <v>8018</v>
          </cell>
          <cell r="BT346">
            <v>8587</v>
          </cell>
          <cell r="BU346">
            <v>8587</v>
          </cell>
          <cell r="BW346">
            <v>9445.2056000000011</v>
          </cell>
          <cell r="BX346">
            <v>9436</v>
          </cell>
          <cell r="BY346">
            <v>9132</v>
          </cell>
          <cell r="BZ346">
            <v>4771</v>
          </cell>
          <cell r="CA346">
            <v>4771</v>
          </cell>
          <cell r="CC346">
            <v>4632</v>
          </cell>
          <cell r="CD346">
            <v>3403</v>
          </cell>
          <cell r="CE346">
            <v>7764</v>
          </cell>
          <cell r="CF346">
            <v>7605</v>
          </cell>
          <cell r="CG346">
            <v>7605</v>
          </cell>
          <cell r="CI346">
            <v>8298</v>
          </cell>
          <cell r="CJ346">
            <v>7825</v>
          </cell>
          <cell r="CK346">
            <v>6445</v>
          </cell>
          <cell r="CL346">
            <v>7020</v>
          </cell>
          <cell r="CM346">
            <v>7020</v>
          </cell>
          <cell r="CO346">
            <v>7743</v>
          </cell>
          <cell r="CP346">
            <v>8432</v>
          </cell>
          <cell r="CQ346">
            <v>10506</v>
          </cell>
          <cell r="CR346">
            <v>11043</v>
          </cell>
          <cell r="CS346">
            <v>11043</v>
          </cell>
          <cell r="CU346">
            <v>13021</v>
          </cell>
          <cell r="CV346">
            <v>10646</v>
          </cell>
          <cell r="CW346">
            <v>11294</v>
          </cell>
          <cell r="CX346">
            <v>12624</v>
          </cell>
          <cell r="CY346">
            <v>12624</v>
          </cell>
          <cell r="DA346">
            <v>20565</v>
          </cell>
          <cell r="DB346">
            <v>20784</v>
          </cell>
          <cell r="DC346">
            <v>17489</v>
          </cell>
          <cell r="DE346">
            <v>18469</v>
          </cell>
          <cell r="DG346">
            <v>23637</v>
          </cell>
          <cell r="DH346">
            <v>24845</v>
          </cell>
          <cell r="DI346">
            <v>24355</v>
          </cell>
          <cell r="DJ346">
            <v>28848</v>
          </cell>
          <cell r="DK346">
            <v>28848</v>
          </cell>
          <cell r="DM346">
            <v>31660</v>
          </cell>
          <cell r="DN346">
            <v>31012</v>
          </cell>
          <cell r="DO346">
            <v>29742</v>
          </cell>
          <cell r="DP346">
            <v>30676</v>
          </cell>
          <cell r="DQ346">
            <v>30676</v>
          </cell>
          <cell r="DS346">
            <v>31607</v>
          </cell>
          <cell r="DT346">
            <v>33695</v>
          </cell>
          <cell r="DU346">
            <v>33407</v>
          </cell>
          <cell r="DV346">
            <v>32216</v>
          </cell>
          <cell r="DW346">
            <v>32216</v>
          </cell>
          <cell r="DY346">
            <v>39104</v>
          </cell>
          <cell r="DZ346">
            <v>36974</v>
          </cell>
          <cell r="EA346">
            <v>37225</v>
          </cell>
          <cell r="EB346">
            <v>38819</v>
          </cell>
          <cell r="EC346">
            <v>38819</v>
          </cell>
          <cell r="EE346">
            <v>51616</v>
          </cell>
          <cell r="EF346">
            <v>44733</v>
          </cell>
          <cell r="EG346">
            <v>43777</v>
          </cell>
          <cell r="EH346">
            <v>54368</v>
          </cell>
          <cell r="EI346">
            <v>54368</v>
          </cell>
          <cell r="EK346">
            <v>55930</v>
          </cell>
          <cell r="EL346">
            <v>52335</v>
          </cell>
          <cell r="EM346">
            <v>46083.006372841155</v>
          </cell>
          <cell r="EN346">
            <v>47429.804453854202</v>
          </cell>
          <cell r="EO346">
            <v>47429.804453854202</v>
          </cell>
          <cell r="EQ346">
            <v>50423.185522151529</v>
          </cell>
          <cell r="ER346">
            <v>50012.996675957562</v>
          </cell>
          <cell r="ES346">
            <v>50890.586185723761</v>
          </cell>
          <cell r="ET346">
            <v>53226.099750188543</v>
          </cell>
          <cell r="EU346">
            <v>53226.099750188543</v>
          </cell>
          <cell r="EW346">
            <v>55200.304171151045</v>
          </cell>
          <cell r="EX346">
            <v>54340.589533992548</v>
          </cell>
          <cell r="EY346">
            <v>55702.459924121547</v>
          </cell>
          <cell r="EZ346">
            <v>58462.00285097961</v>
          </cell>
          <cell r="FA346">
            <v>58462.00285097961</v>
          </cell>
        </row>
        <row r="347">
          <cell r="C347">
            <v>0</v>
          </cell>
          <cell r="D347">
            <v>2.0670000000000002</v>
          </cell>
          <cell r="E347">
            <v>8.8049999999999997</v>
          </cell>
          <cell r="F347">
            <v>14.221</v>
          </cell>
          <cell r="G347">
            <v>11.870000000000001</v>
          </cell>
          <cell r="H347">
            <v>56.84</v>
          </cell>
          <cell r="I347">
            <v>131.63</v>
          </cell>
          <cell r="J347">
            <v>198.05599999999998</v>
          </cell>
          <cell r="K347">
            <v>112.447</v>
          </cell>
          <cell r="L347">
            <v>97.063999999999993</v>
          </cell>
          <cell r="M347">
            <v>89.742999999999995</v>
          </cell>
          <cell r="O347">
            <v>95.299000000000007</v>
          </cell>
          <cell r="P347">
            <v>90.974999999999994</v>
          </cell>
          <cell r="Q347">
            <v>91.835999999999999</v>
          </cell>
          <cell r="R347">
            <v>91.320000000000007</v>
          </cell>
          <cell r="S347">
            <v>91.320000000000007</v>
          </cell>
          <cell r="U347">
            <v>91.731999999999999</v>
          </cell>
          <cell r="V347">
            <v>91.137999999999991</v>
          </cell>
          <cell r="W347">
            <v>90.968000000000004</v>
          </cell>
          <cell r="X347">
            <v>6.52</v>
          </cell>
          <cell r="Y347">
            <v>6.52</v>
          </cell>
          <cell r="AA347">
            <v>6.6479999999999997</v>
          </cell>
          <cell r="AB347">
            <v>13.049000000000001</v>
          </cell>
          <cell r="AC347">
            <v>311.3</v>
          </cell>
          <cell r="AD347">
            <v>305.14</v>
          </cell>
          <cell r="AE347">
            <v>305.14</v>
          </cell>
          <cell r="AG347">
            <v>305.65500000000003</v>
          </cell>
          <cell r="AH347">
            <v>314.59399999999999</v>
          </cell>
          <cell r="AI347">
            <v>317.90699999999998</v>
          </cell>
          <cell r="AJ347">
            <v>307.26099999999997</v>
          </cell>
          <cell r="AK347">
            <v>307.26099999999997</v>
          </cell>
          <cell r="AM347">
            <v>307.80400000000003</v>
          </cell>
          <cell r="AN347">
            <v>312.07900000000001</v>
          </cell>
          <cell r="AO347">
            <v>306.74099999999999</v>
          </cell>
          <cell r="AP347">
            <v>307.77799999999996</v>
          </cell>
          <cell r="AQ347">
            <v>307.77799999999996</v>
          </cell>
          <cell r="AS347">
            <v>304.38599999999997</v>
          </cell>
          <cell r="AT347">
            <v>303.846</v>
          </cell>
          <cell r="AU347">
            <v>307.00599999999997</v>
          </cell>
          <cell r="AV347">
            <v>301.46099999999996</v>
          </cell>
          <cell r="AW347">
            <v>301.46099999999996</v>
          </cell>
          <cell r="AY347">
            <v>304.39100000000002</v>
          </cell>
          <cell r="AZ347">
            <v>303.39800000000002</v>
          </cell>
          <cell r="BA347">
            <v>303.745</v>
          </cell>
          <cell r="BB347">
            <v>304</v>
          </cell>
          <cell r="BC347">
            <v>304</v>
          </cell>
          <cell r="BE347">
            <v>304.399</v>
          </cell>
          <cell r="BF347">
            <v>301.96899999999999</v>
          </cell>
          <cell r="BG347">
            <v>302.94900000000001</v>
          </cell>
          <cell r="BH347">
            <v>298</v>
          </cell>
          <cell r="BI347">
            <v>298</v>
          </cell>
          <cell r="BK347">
            <v>311</v>
          </cell>
          <cell r="BL347">
            <v>313</v>
          </cell>
          <cell r="BM347">
            <v>315</v>
          </cell>
          <cell r="BN347">
            <v>328</v>
          </cell>
          <cell r="BO347">
            <v>328</v>
          </cell>
          <cell r="BQ347">
            <v>320</v>
          </cell>
          <cell r="BR347">
            <v>321</v>
          </cell>
          <cell r="BS347">
            <v>170</v>
          </cell>
          <cell r="BT347">
            <v>172</v>
          </cell>
          <cell r="BU347">
            <v>172</v>
          </cell>
          <cell r="BW347">
            <v>172</v>
          </cell>
          <cell r="BX347">
            <v>171</v>
          </cell>
          <cell r="BY347">
            <v>7368</v>
          </cell>
          <cell r="BZ347">
            <v>2852</v>
          </cell>
          <cell r="CA347">
            <v>2852</v>
          </cell>
          <cell r="CC347">
            <v>1679</v>
          </cell>
          <cell r="CD347">
            <v>1063</v>
          </cell>
          <cell r="CE347">
            <v>6082</v>
          </cell>
          <cell r="CF347">
            <v>5894</v>
          </cell>
          <cell r="CG347">
            <v>5894</v>
          </cell>
          <cell r="CI347">
            <v>5903</v>
          </cell>
          <cell r="CJ347">
            <v>5903</v>
          </cell>
          <cell r="CK347">
            <v>5739</v>
          </cell>
          <cell r="CL347">
            <v>7593</v>
          </cell>
          <cell r="CM347">
            <v>7593</v>
          </cell>
          <cell r="CO347">
            <v>6238</v>
          </cell>
          <cell r="CP347">
            <v>6238</v>
          </cell>
          <cell r="CQ347">
            <v>6238</v>
          </cell>
          <cell r="CR347">
            <v>11236</v>
          </cell>
          <cell r="CS347">
            <v>11236</v>
          </cell>
          <cell r="CU347">
            <v>11237</v>
          </cell>
          <cell r="CV347">
            <v>11238</v>
          </cell>
          <cell r="CW347">
            <v>11238</v>
          </cell>
          <cell r="CX347">
            <v>10238</v>
          </cell>
          <cell r="CY347">
            <v>10238</v>
          </cell>
          <cell r="DA347">
            <v>14724</v>
          </cell>
          <cell r="DB347">
            <v>14752</v>
          </cell>
          <cell r="DC347">
            <v>15718</v>
          </cell>
          <cell r="DE347">
            <v>14655</v>
          </cell>
          <cell r="DG347">
            <v>17038</v>
          </cell>
          <cell r="DH347">
            <v>17035</v>
          </cell>
          <cell r="DI347">
            <v>14752</v>
          </cell>
          <cell r="DJ347">
            <v>15922</v>
          </cell>
          <cell r="DK347">
            <v>15922</v>
          </cell>
          <cell r="DM347">
            <v>14789</v>
          </cell>
          <cell r="DN347">
            <v>14778</v>
          </cell>
          <cell r="DO347">
            <v>14777</v>
          </cell>
          <cell r="DP347">
            <v>16474</v>
          </cell>
          <cell r="DQ347">
            <v>16474</v>
          </cell>
          <cell r="DS347">
            <v>14771</v>
          </cell>
          <cell r="DT347">
            <v>19757</v>
          </cell>
          <cell r="DU347">
            <v>19752</v>
          </cell>
          <cell r="DV347">
            <v>18494</v>
          </cell>
          <cell r="DW347">
            <v>18494</v>
          </cell>
          <cell r="DY347">
            <v>24108</v>
          </cell>
          <cell r="DZ347">
            <v>24166</v>
          </cell>
          <cell r="EA347">
            <v>24193</v>
          </cell>
          <cell r="EB347">
            <v>24175</v>
          </cell>
          <cell r="EC347">
            <v>24175</v>
          </cell>
          <cell r="EE347">
            <v>32567</v>
          </cell>
          <cell r="EF347">
            <v>32456</v>
          </cell>
          <cell r="EG347">
            <v>32257</v>
          </cell>
          <cell r="EH347">
            <v>41958</v>
          </cell>
          <cell r="EI347">
            <v>41958</v>
          </cell>
          <cell r="EK347">
            <v>42050</v>
          </cell>
          <cell r="EL347">
            <v>41940</v>
          </cell>
          <cell r="EM347">
            <v>34555</v>
          </cell>
          <cell r="EN347">
            <v>34555</v>
          </cell>
          <cell r="EO347">
            <v>34555</v>
          </cell>
          <cell r="EQ347">
            <v>34555</v>
          </cell>
          <cell r="ER347">
            <v>34555</v>
          </cell>
          <cell r="ES347">
            <v>34555</v>
          </cell>
          <cell r="ET347">
            <v>34555</v>
          </cell>
          <cell r="EU347">
            <v>34555</v>
          </cell>
          <cell r="EW347">
            <v>34555</v>
          </cell>
          <cell r="EX347">
            <v>34555</v>
          </cell>
          <cell r="EY347">
            <v>34555</v>
          </cell>
          <cell r="EZ347">
            <v>34555</v>
          </cell>
          <cell r="FA347">
            <v>34555</v>
          </cell>
        </row>
        <row r="348">
          <cell r="C348" t="str">
            <v>-</v>
          </cell>
          <cell r="D348">
            <v>7.367</v>
          </cell>
          <cell r="E348">
            <v>28.651</v>
          </cell>
          <cell r="F348">
            <v>82.655999999999992</v>
          </cell>
          <cell r="G348">
            <v>134.643</v>
          </cell>
          <cell r="H348">
            <v>230.55399999999997</v>
          </cell>
          <cell r="I348">
            <v>387.58500000000004</v>
          </cell>
          <cell r="J348">
            <v>344.685</v>
          </cell>
          <cell r="K348">
            <v>435.03399999999999</v>
          </cell>
          <cell r="L348">
            <v>528.03899999999999</v>
          </cell>
          <cell r="M348">
            <v>740.55300000000011</v>
          </cell>
          <cell r="N348">
            <v>0</v>
          </cell>
          <cell r="O348">
            <v>780.06100000000004</v>
          </cell>
          <cell r="P348">
            <v>822.72699999999998</v>
          </cell>
          <cell r="Q348">
            <v>943.01900000000001</v>
          </cell>
          <cell r="R348">
            <v>1211.3579999999999</v>
          </cell>
          <cell r="S348">
            <v>1211.3579999999999</v>
          </cell>
          <cell r="T348">
            <v>0</v>
          </cell>
          <cell r="U348">
            <v>1305.902</v>
          </cell>
          <cell r="V348">
            <v>1461.6959999999999</v>
          </cell>
          <cell r="W348">
            <v>1591.153</v>
          </cell>
          <cell r="X348">
            <v>1870.4490000000001</v>
          </cell>
          <cell r="Y348">
            <v>1870.4490000000001</v>
          </cell>
          <cell r="Z348">
            <v>0</v>
          </cell>
          <cell r="AA348">
            <v>1995.8530000000001</v>
          </cell>
          <cell r="AB348">
            <v>2135.9360000000001</v>
          </cell>
          <cell r="AC348">
            <v>2067.8969999999999</v>
          </cell>
          <cell r="AD348">
            <v>2368.8220000000001</v>
          </cell>
          <cell r="AE348">
            <v>2368.8220000000001</v>
          </cell>
          <cell r="AF348">
            <v>0</v>
          </cell>
          <cell r="AG348">
            <v>2445.2919999999999</v>
          </cell>
          <cell r="AH348">
            <v>2668.5749999999998</v>
          </cell>
          <cell r="AI348">
            <v>2577.0340000000001</v>
          </cell>
          <cell r="AJ348">
            <v>2957.558</v>
          </cell>
          <cell r="AK348">
            <v>2957.558</v>
          </cell>
          <cell r="AL348">
            <v>0</v>
          </cell>
          <cell r="AM348">
            <v>3081.1990000000001</v>
          </cell>
          <cell r="AN348">
            <v>3015.31</v>
          </cell>
          <cell r="AO348">
            <v>3341.6489999999999</v>
          </cell>
          <cell r="AP348">
            <v>3695.2669999999998</v>
          </cell>
          <cell r="AQ348">
            <v>3695.2669999999998</v>
          </cell>
          <cell r="AR348">
            <v>0</v>
          </cell>
          <cell r="AS348">
            <v>3500.4749999999999</v>
          </cell>
          <cell r="AT348">
            <v>3400.556</v>
          </cell>
          <cell r="AU348">
            <v>3984.288</v>
          </cell>
          <cell r="AV348">
            <v>6457</v>
          </cell>
          <cell r="AW348">
            <v>6457</v>
          </cell>
          <cell r="AX348">
            <v>0</v>
          </cell>
          <cell r="AY348">
            <v>5370.8980000000001</v>
          </cell>
          <cell r="AZ348">
            <v>4926.4629999999997</v>
          </cell>
          <cell r="BA348">
            <v>5324.0720000000001</v>
          </cell>
          <cell r="BB348">
            <v>6276.55</v>
          </cell>
          <cell r="BC348">
            <v>6276.55</v>
          </cell>
          <cell r="BD348">
            <v>0</v>
          </cell>
          <cell r="BE348">
            <v>6219.3230000000003</v>
          </cell>
          <cell r="BF348">
            <v>5705.1319999999996</v>
          </cell>
          <cell r="BG348">
            <v>5989.7009999999991</v>
          </cell>
          <cell r="BH348">
            <v>6117</v>
          </cell>
          <cell r="BI348">
            <v>6117</v>
          </cell>
          <cell r="BJ348">
            <v>0</v>
          </cell>
          <cell r="BK348">
            <v>5735</v>
          </cell>
          <cell r="BL348">
            <v>5298</v>
          </cell>
          <cell r="BM348">
            <v>5584</v>
          </cell>
          <cell r="BN348">
            <v>6320</v>
          </cell>
          <cell r="BO348">
            <v>6320</v>
          </cell>
          <cell r="BP348">
            <v>0</v>
          </cell>
          <cell r="BQ348">
            <v>6502</v>
          </cell>
          <cell r="BR348">
            <v>7199</v>
          </cell>
          <cell r="BS348">
            <v>7406</v>
          </cell>
          <cell r="BT348">
            <v>7995</v>
          </cell>
          <cell r="BU348">
            <v>7995</v>
          </cell>
          <cell r="BV348">
            <v>0</v>
          </cell>
          <cell r="BW348">
            <v>8016</v>
          </cell>
          <cell r="BX348">
            <v>8599</v>
          </cell>
          <cell r="BY348">
            <v>9870</v>
          </cell>
          <cell r="BZ348">
            <v>10837</v>
          </cell>
          <cell r="CA348">
            <v>10837</v>
          </cell>
          <cell r="CB348">
            <v>0</v>
          </cell>
          <cell r="CC348">
            <v>11331</v>
          </cell>
          <cell r="CD348">
            <v>12115</v>
          </cell>
          <cell r="CE348">
            <v>15043</v>
          </cell>
          <cell r="CF348">
            <v>15012</v>
          </cell>
          <cell r="CG348">
            <v>15012</v>
          </cell>
          <cell r="CH348">
            <v>0</v>
          </cell>
          <cell r="CI348">
            <v>14899</v>
          </cell>
          <cell r="CJ348">
            <v>15514</v>
          </cell>
          <cell r="CK348">
            <v>15791</v>
          </cell>
          <cell r="CL348">
            <v>16919</v>
          </cell>
          <cell r="CM348">
            <v>16919</v>
          </cell>
          <cell r="CN348">
            <v>0</v>
          </cell>
          <cell r="CO348">
            <v>17785</v>
          </cell>
          <cell r="CP348">
            <v>19295</v>
          </cell>
          <cell r="CQ348">
            <v>20815</v>
          </cell>
          <cell r="CR348">
            <v>23025</v>
          </cell>
          <cell r="CS348">
            <v>23025</v>
          </cell>
          <cell r="CT348">
            <v>0</v>
          </cell>
          <cell r="CU348">
            <v>23816</v>
          </cell>
          <cell r="CV348">
            <v>22821</v>
          </cell>
          <cell r="CW348">
            <v>23077</v>
          </cell>
          <cell r="CX348">
            <v>25090</v>
          </cell>
          <cell r="CY348">
            <v>25090</v>
          </cell>
          <cell r="CZ348">
            <v>0</v>
          </cell>
          <cell r="DA348">
            <v>26143</v>
          </cell>
          <cell r="DB348">
            <v>27531</v>
          </cell>
          <cell r="DC348">
            <v>28476</v>
          </cell>
          <cell r="DD348">
            <v>30798</v>
          </cell>
          <cell r="DE348">
            <v>30798</v>
          </cell>
          <cell r="DF348">
            <v>0</v>
          </cell>
          <cell r="DG348">
            <v>32106</v>
          </cell>
          <cell r="DH348">
            <v>34412</v>
          </cell>
          <cell r="DI348">
            <v>36617</v>
          </cell>
          <cell r="DJ348">
            <v>39776</v>
          </cell>
          <cell r="DK348">
            <v>39776</v>
          </cell>
          <cell r="DL348">
            <v>0</v>
          </cell>
          <cell r="DM348">
            <v>40892</v>
          </cell>
          <cell r="DN348">
            <v>41920</v>
          </cell>
          <cell r="DO348">
            <v>42873</v>
          </cell>
          <cell r="DP348">
            <v>43694</v>
          </cell>
          <cell r="DQ348">
            <v>43694</v>
          </cell>
          <cell r="DR348">
            <v>0</v>
          </cell>
          <cell r="DS348">
            <v>43329</v>
          </cell>
          <cell r="DT348">
            <v>42983</v>
          </cell>
          <cell r="DU348">
            <v>43348</v>
          </cell>
          <cell r="DV348">
            <v>44648</v>
          </cell>
          <cell r="DW348">
            <v>44648</v>
          </cell>
          <cell r="DX348">
            <v>0</v>
          </cell>
          <cell r="DY348">
            <v>43541</v>
          </cell>
          <cell r="DZ348">
            <v>43563</v>
          </cell>
          <cell r="EA348">
            <v>44707</v>
          </cell>
          <cell r="EB348">
            <v>46878</v>
          </cell>
          <cell r="EC348">
            <v>46878</v>
          </cell>
          <cell r="ED348">
            <v>0</v>
          </cell>
          <cell r="EE348">
            <v>47354</v>
          </cell>
          <cell r="EF348">
            <v>47543</v>
          </cell>
          <cell r="EG348">
            <v>48095</v>
          </cell>
          <cell r="EH348">
            <v>48663</v>
          </cell>
          <cell r="EI348">
            <v>48663</v>
          </cell>
          <cell r="EJ348">
            <v>0</v>
          </cell>
          <cell r="EK348">
            <v>47097</v>
          </cell>
          <cell r="EL348">
            <v>45924</v>
          </cell>
          <cell r="EM348">
            <v>46191.268664729498</v>
          </cell>
          <cell r="EN348">
            <v>47267.172576659061</v>
          </cell>
          <cell r="EO348">
            <v>47267.172576659061</v>
          </cell>
          <cell r="EP348">
            <v>0</v>
          </cell>
          <cell r="EQ348">
            <v>47821.795363384757</v>
          </cell>
          <cell r="ER348">
            <v>49579.341809119614</v>
          </cell>
          <cell r="ES348">
            <v>50071.111421215952</v>
          </cell>
          <cell r="ET348">
            <v>51250.423764206789</v>
          </cell>
          <cell r="EU348">
            <v>51250.423764206789</v>
          </cell>
          <cell r="EV348">
            <v>0</v>
          </cell>
          <cell r="EW348">
            <v>51667.854166262638</v>
          </cell>
          <cell r="EX348">
            <v>52937.87186482393</v>
          </cell>
          <cell r="EY348">
            <v>53442.601550902364</v>
          </cell>
          <cell r="EZ348">
            <v>54490.659857635859</v>
          </cell>
          <cell r="FA348">
            <v>54490.659857635859</v>
          </cell>
          <cell r="FB348">
            <v>0</v>
          </cell>
          <cell r="FC348">
            <v>0</v>
          </cell>
          <cell r="FD348">
            <v>0</v>
          </cell>
          <cell r="FE348">
            <v>0</v>
          </cell>
          <cell r="FF348">
            <v>0</v>
          </cell>
          <cell r="FG348">
            <v>0</v>
          </cell>
          <cell r="FH348">
            <v>0</v>
          </cell>
          <cell r="FI348">
            <v>0</v>
          </cell>
          <cell r="FJ348">
            <v>0</v>
          </cell>
          <cell r="FK348">
            <v>0</v>
          </cell>
          <cell r="FL348">
            <v>0</v>
          </cell>
          <cell r="FM348">
            <v>0</v>
          </cell>
          <cell r="FN348">
            <v>0</v>
          </cell>
          <cell r="FO348">
            <v>0</v>
          </cell>
          <cell r="FP348">
            <v>0</v>
          </cell>
          <cell r="FQ348">
            <v>0</v>
          </cell>
          <cell r="FR348">
            <v>0</v>
          </cell>
          <cell r="FS348">
            <v>0</v>
          </cell>
          <cell r="FT348">
            <v>0</v>
          </cell>
          <cell r="FU348">
            <v>0</v>
          </cell>
          <cell r="FV348">
            <v>0</v>
          </cell>
          <cell r="FW348">
            <v>0</v>
          </cell>
          <cell r="FX348">
            <v>0</v>
          </cell>
          <cell r="FY348">
            <v>0</v>
          </cell>
          <cell r="FZ348">
            <v>0</v>
          </cell>
          <cell r="GA348">
            <v>0</v>
          </cell>
          <cell r="GB348">
            <v>0</v>
          </cell>
          <cell r="GC348">
            <v>0</v>
          </cell>
          <cell r="GD348">
            <v>0</v>
          </cell>
          <cell r="GE348">
            <v>0</v>
          </cell>
          <cell r="GF348">
            <v>0</v>
          </cell>
          <cell r="GG348">
            <v>0</v>
          </cell>
          <cell r="GH348">
            <v>0</v>
          </cell>
          <cell r="GI348">
            <v>0</v>
          </cell>
          <cell r="GJ348">
            <v>0</v>
          </cell>
          <cell r="GK348">
            <v>0</v>
          </cell>
          <cell r="GL348">
            <v>0</v>
          </cell>
          <cell r="GM348">
            <v>0</v>
          </cell>
          <cell r="GN348">
            <v>0</v>
          </cell>
          <cell r="GO348">
            <v>0</v>
          </cell>
          <cell r="GP348">
            <v>0</v>
          </cell>
          <cell r="GQ348">
            <v>0</v>
          </cell>
          <cell r="GR348">
            <v>0</v>
          </cell>
          <cell r="GS348">
            <v>0</v>
          </cell>
          <cell r="GT348">
            <v>0</v>
          </cell>
          <cell r="GU348">
            <v>0</v>
          </cell>
          <cell r="GV348">
            <v>0</v>
          </cell>
          <cell r="GW348">
            <v>0</v>
          </cell>
          <cell r="GX348">
            <v>0</v>
          </cell>
          <cell r="GY348">
            <v>0</v>
          </cell>
          <cell r="GZ348">
            <v>0</v>
          </cell>
          <cell r="HA348">
            <v>0</v>
          </cell>
        </row>
        <row r="349"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0</v>
          </cell>
          <cell r="S349">
            <v>0</v>
          </cell>
          <cell r="U349">
            <v>0</v>
          </cell>
          <cell r="V349">
            <v>0</v>
          </cell>
          <cell r="W349">
            <v>0</v>
          </cell>
          <cell r="X349">
            <v>0</v>
          </cell>
          <cell r="Y349">
            <v>0</v>
          </cell>
          <cell r="AA349">
            <v>0.1640643834645111</v>
          </cell>
          <cell r="AB349">
            <v>0.1442757708335799</v>
          </cell>
          <cell r="AC349">
            <v>0.12248851811468978</v>
          </cell>
          <cell r="AD349">
            <v>0.15164016985087189</v>
          </cell>
          <cell r="AE349">
            <v>0.15065862805225433</v>
          </cell>
          <cell r="AG349">
            <v>0.19669815602103885</v>
          </cell>
          <cell r="AH349">
            <v>0.1999212406888515</v>
          </cell>
          <cell r="AI349">
            <v>0.20375629763987246</v>
          </cell>
          <cell r="AJ349">
            <v>0.27119498553727062</v>
          </cell>
          <cell r="AK349">
            <v>0.26921761177069964</v>
          </cell>
          <cell r="AM349">
            <v>0.33660112547924192</v>
          </cell>
          <cell r="AN349">
            <v>0.27185920449113671</v>
          </cell>
          <cell r="AO349">
            <v>0.31507391366274345</v>
          </cell>
          <cell r="AP349">
            <v>0.38080157323026775</v>
          </cell>
          <cell r="AQ349">
            <v>0.38043837198833702</v>
          </cell>
          <cell r="AS349">
            <v>0.4058713412879954</v>
          </cell>
          <cell r="AT349">
            <v>0.30487542826730529</v>
          </cell>
          <cell r="AU349">
            <v>0.41071943763385166</v>
          </cell>
          <cell r="AV349">
            <v>1.2418872115317097</v>
          </cell>
          <cell r="AW349">
            <v>1.2447339339495607</v>
          </cell>
          <cell r="AY349">
            <v>0.8026201484273211</v>
          </cell>
          <cell r="AZ349">
            <v>0.69027608061090173</v>
          </cell>
          <cell r="BA349">
            <v>0.80055382252215013</v>
          </cell>
          <cell r="BB349">
            <v>0.96309813463098137</v>
          </cell>
          <cell r="BC349">
            <v>0.9524612538301569</v>
          </cell>
          <cell r="BE349">
            <v>0.99490295881329127</v>
          </cell>
          <cell r="BF349">
            <v>0.81792688022528659</v>
          </cell>
          <cell r="BG349">
            <v>0.9366327685050837</v>
          </cell>
          <cell r="BH349">
            <v>0.98794679951934061</v>
          </cell>
          <cell r="BI349">
            <v>0.97434328945888171</v>
          </cell>
          <cell r="BK349">
            <v>1.1075249320036264</v>
          </cell>
          <cell r="BL349">
            <v>0.95350553505535052</v>
          </cell>
          <cell r="BM349">
            <v>1.0919561582760542</v>
          </cell>
          <cell r="BN349">
            <v>1.1844660194174756</v>
          </cell>
          <cell r="BO349">
            <v>1.1709117755629384</v>
          </cell>
          <cell r="BQ349">
            <v>1.3532822143257901</v>
          </cell>
          <cell r="BR349">
            <v>1.4811691961776279</v>
          </cell>
          <cell r="BS349">
            <v>1.4704890387858347</v>
          </cell>
          <cell r="BT349">
            <v>1.594548551959114</v>
          </cell>
          <cell r="BU349">
            <v>1.5816748028539243</v>
          </cell>
          <cell r="BW349">
            <v>1.7710752909750049</v>
          </cell>
          <cell r="BX349">
            <v>1.7773093139133769</v>
          </cell>
          <cell r="BY349">
            <v>1.7156787762906309</v>
          </cell>
          <cell r="BZ349">
            <v>0.8811616354604509</v>
          </cell>
          <cell r="CA349">
            <v>0.88170912393060263</v>
          </cell>
          <cell r="CC349">
            <v>0.85335621662852779</v>
          </cell>
          <cell r="CD349">
            <v>0.61989308896525397</v>
          </cell>
          <cell r="CE349">
            <v>0.38141025641025639</v>
          </cell>
          <cell r="CF349">
            <v>0.34803647868974502</v>
          </cell>
          <cell r="CG349">
            <v>0.35351387116593413</v>
          </cell>
          <cell r="CI349">
            <v>0.48257019031467874</v>
          </cell>
          <cell r="CJ349">
            <v>0.39411653780878747</v>
          </cell>
          <cell r="CK349">
            <v>0.13473964272139871</v>
          </cell>
          <cell r="CL349">
            <v>0.15026799387442571</v>
          </cell>
          <cell r="CM349">
            <v>0.14884338263177854</v>
          </cell>
          <cell r="CO349">
            <v>0.28869731800766285</v>
          </cell>
          <cell r="CP349">
            <v>0.41964456334798395</v>
          </cell>
          <cell r="CQ349">
            <v>0.82301908617698094</v>
          </cell>
          <cell r="CR349">
            <v>0.15440473915536021</v>
          </cell>
          <cell r="CS349">
            <v>0.15484118238873185</v>
          </cell>
          <cell r="CU349">
            <v>0.53199617956064948</v>
          </cell>
          <cell r="CV349">
            <v>7.9043763254289565E-2</v>
          </cell>
          <cell r="CW349">
            <v>0.20925632911392406</v>
          </cell>
          <cell r="CX349">
            <v>0.67162403331350384</v>
          </cell>
          <cell r="CY349">
            <v>0.66020174455435898</v>
          </cell>
          <cell r="DA349">
            <v>1.3513727039304759</v>
          </cell>
          <cell r="DB349">
            <v>1.3888230647709321</v>
          </cell>
          <cell r="DC349">
            <v>1.1802600472813238</v>
          </cell>
          <cell r="DE349">
            <v>1.3717045286552012</v>
          </cell>
          <cell r="DG349">
            <v>1.7428683848121189</v>
          </cell>
          <cell r="DH349">
            <v>1.9669728356458862</v>
          </cell>
          <cell r="DI349">
            <v>1.8650223344338706</v>
          </cell>
          <cell r="DJ349">
            <v>2.7257939581719599</v>
          </cell>
          <cell r="DK349">
            <v>2.7447959830351483</v>
          </cell>
          <cell r="DM349">
            <v>3.2759223300970874</v>
          </cell>
          <cell r="DN349">
            <v>3.1688463790747607</v>
          </cell>
          <cell r="DO349">
            <v>2.9458661417322833</v>
          </cell>
          <cell r="DP349">
            <v>3.4119753332007163</v>
          </cell>
          <cell r="DQ349">
            <v>3.3664376840039254</v>
          </cell>
          <cell r="DS349">
            <v>3.6618748734561652</v>
          </cell>
          <cell r="DT349">
            <v>3.1199671322925226</v>
          </cell>
          <cell r="DU349">
            <v>3.097464671654198</v>
          </cell>
          <cell r="DV349">
            <v>2.8851976450798991</v>
          </cell>
          <cell r="DW349">
            <v>2.8329290322580647</v>
          </cell>
          <cell r="DY349">
            <v>3.5363714163457423</v>
          </cell>
          <cell r="DZ349">
            <v>3.1158695652173911</v>
          </cell>
          <cell r="EA349">
            <v>3.1798907103825136</v>
          </cell>
          <cell r="EB349">
            <v>3.5351280367695339</v>
          </cell>
          <cell r="EC349">
            <v>3.334606451612903</v>
          </cell>
          <cell r="EE349">
            <v>4.1884344766930521</v>
          </cell>
          <cell r="EF349">
            <v>2.7251942286348503</v>
          </cell>
          <cell r="EG349">
            <v>3.0082331998219849</v>
          </cell>
          <cell r="EH349">
            <v>3.2285458211965046</v>
          </cell>
          <cell r="EI349">
            <v>2.9747612903225806</v>
          </cell>
          <cell r="EK349">
            <v>3.4916446789797715</v>
          </cell>
          <cell r="EL349">
            <v>2.7513873473917867</v>
          </cell>
          <cell r="EM349">
            <v>2.6872389548674147</v>
          </cell>
          <cell r="EN349">
            <v>3.0316939060408616</v>
          </cell>
          <cell r="EO349">
            <v>2.6580241453118352</v>
          </cell>
          <cell r="EQ349">
            <v>3.7719468254313093</v>
          </cell>
          <cell r="ER349">
            <v>3.6965279440944019</v>
          </cell>
          <cell r="ES349">
            <v>3.9322327900888117</v>
          </cell>
          <cell r="ET349">
            <v>4.5393599754907639</v>
          </cell>
          <cell r="EU349">
            <v>4.4839092136448553</v>
          </cell>
          <cell r="EW349">
            <v>5.0650325414259028</v>
          </cell>
          <cell r="EX349">
            <v>4.8797006324061289</v>
          </cell>
          <cell r="EY349">
            <v>5.2464985661018089</v>
          </cell>
          <cell r="EZ349">
            <v>5.9878671888561508</v>
          </cell>
          <cell r="FA349">
            <v>5.9197478245266426</v>
          </cell>
        </row>
        <row r="350">
          <cell r="C350">
            <v>0</v>
          </cell>
          <cell r="D350">
            <v>0</v>
          </cell>
          <cell r="E350">
            <v>-11.334</v>
          </cell>
          <cell r="F350">
            <v>-15.411</v>
          </cell>
          <cell r="G350">
            <v>-30.959</v>
          </cell>
          <cell r="H350">
            <v>-68.427999999999997</v>
          </cell>
          <cell r="I350">
            <v>-27.638999999999999</v>
          </cell>
          <cell r="J350">
            <v>-47.844999999999999</v>
          </cell>
          <cell r="K350">
            <v>-41.825000000000003</v>
          </cell>
          <cell r="L350">
            <v>-41.313000000000002</v>
          </cell>
          <cell r="M350">
            <v>-250.65</v>
          </cell>
          <cell r="O350">
            <v>-30.135000000000002</v>
          </cell>
          <cell r="P350">
            <v>-77.806999999999988</v>
          </cell>
          <cell r="Q350">
            <v>-71.710999999999999</v>
          </cell>
          <cell r="R350">
            <v>-82.392999999999986</v>
          </cell>
          <cell r="S350">
            <v>-262.04599999999999</v>
          </cell>
          <cell r="U350">
            <v>-59.667000000000002</v>
          </cell>
          <cell r="V350">
            <v>-80.949999999999989</v>
          </cell>
          <cell r="W350">
            <v>-79.405000000000001</v>
          </cell>
          <cell r="X350">
            <v>-88.37</v>
          </cell>
          <cell r="Y350">
            <v>-308.392</v>
          </cell>
          <cell r="AA350">
            <v>-88.975999999999999</v>
          </cell>
          <cell r="AB350">
            <v>-84.87700000000001</v>
          </cell>
          <cell r="AC350">
            <v>-66.544999999999987</v>
          </cell>
          <cell r="AD350">
            <v>-150.34300000000002</v>
          </cell>
          <cell r="AE350">
            <v>-390.74099999999999</v>
          </cell>
          <cell r="AG350">
            <v>-77.483999999999995</v>
          </cell>
          <cell r="AH350">
            <v>-77.810000000000016</v>
          </cell>
          <cell r="AI350">
            <v>-85.286999999999964</v>
          </cell>
          <cell r="AJ350">
            <v>-87.777000000000029</v>
          </cell>
          <cell r="AK350">
            <v>-328.358</v>
          </cell>
          <cell r="AM350">
            <v>-88.319000000000003</v>
          </cell>
          <cell r="AN350">
            <v>-84.612999999999985</v>
          </cell>
          <cell r="AO350">
            <v>-86.027000000000001</v>
          </cell>
          <cell r="AP350">
            <v>-87.632999999999996</v>
          </cell>
          <cell r="AQ350">
            <v>-346.59199999999998</v>
          </cell>
          <cell r="AS350">
            <v>-54.892000000000003</v>
          </cell>
          <cell r="AT350">
            <v>-69.567999999999984</v>
          </cell>
          <cell r="AU350">
            <v>-95.053000000000026</v>
          </cell>
          <cell r="AV350">
            <v>-43.929999999999971</v>
          </cell>
          <cell r="AW350">
            <v>-263.44299999999998</v>
          </cell>
          <cell r="AY350">
            <v>-73.397000000000006</v>
          </cell>
          <cell r="AZ350">
            <v>-80.600000000000009</v>
          </cell>
          <cell r="BA350">
            <v>-62.691999999999993</v>
          </cell>
          <cell r="BB350">
            <v>-96.310999999999964</v>
          </cell>
          <cell r="BC350">
            <v>-313</v>
          </cell>
          <cell r="BE350">
            <v>-112.547</v>
          </cell>
          <cell r="BF350">
            <v>-47.453000000000003</v>
          </cell>
          <cell r="BG350">
            <v>-39</v>
          </cell>
          <cell r="BH350">
            <v>-79</v>
          </cell>
          <cell r="BI350">
            <v>-278</v>
          </cell>
          <cell r="BK350">
            <v>-43</v>
          </cell>
          <cell r="BL350">
            <v>-32</v>
          </cell>
          <cell r="BM350">
            <v>-13</v>
          </cell>
          <cell r="BN350">
            <v>-203</v>
          </cell>
          <cell r="BO350">
            <v>-291</v>
          </cell>
          <cell r="BQ350">
            <v>-76</v>
          </cell>
          <cell r="BR350">
            <v>-27</v>
          </cell>
          <cell r="BS350">
            <v>-41</v>
          </cell>
          <cell r="BT350">
            <v>-45</v>
          </cell>
          <cell r="BU350">
            <v>-189</v>
          </cell>
          <cell r="BW350">
            <v>-34</v>
          </cell>
          <cell r="BX350">
            <v>-58</v>
          </cell>
          <cell r="BY350">
            <v>-58</v>
          </cell>
          <cell r="BZ350">
            <v>-38</v>
          </cell>
          <cell r="CA350">
            <v>-188</v>
          </cell>
          <cell r="CC350">
            <v>-52</v>
          </cell>
          <cell r="CD350">
            <v>-34</v>
          </cell>
          <cell r="CE350">
            <v>-75</v>
          </cell>
          <cell r="CF350">
            <v>-75</v>
          </cell>
          <cell r="CG350">
            <v>-236</v>
          </cell>
          <cell r="CI350">
            <v>-49</v>
          </cell>
          <cell r="CJ350">
            <v>-57</v>
          </cell>
          <cell r="CK350">
            <v>-77</v>
          </cell>
          <cell r="CL350">
            <v>-136</v>
          </cell>
          <cell r="CM350">
            <v>-319</v>
          </cell>
          <cell r="CO350">
            <v>-87</v>
          </cell>
          <cell r="CP350">
            <v>-69</v>
          </cell>
          <cell r="CQ350">
            <v>-39</v>
          </cell>
          <cell r="CR350">
            <v>-48</v>
          </cell>
          <cell r="CS350">
            <v>-243</v>
          </cell>
          <cell r="CU350">
            <v>-323</v>
          </cell>
          <cell r="CV350">
            <v>-76</v>
          </cell>
          <cell r="CW350">
            <v>-92</v>
          </cell>
          <cell r="CX350">
            <v>-38</v>
          </cell>
          <cell r="CY350">
            <v>-529</v>
          </cell>
          <cell r="DA350">
            <v>-55</v>
          </cell>
          <cell r="DB350">
            <v>-45</v>
          </cell>
          <cell r="DC350">
            <v>-61</v>
          </cell>
          <cell r="DE350">
            <v>-230</v>
          </cell>
          <cell r="DG350">
            <v>-118</v>
          </cell>
          <cell r="DH350">
            <v>-121</v>
          </cell>
          <cell r="DI350">
            <v>-133</v>
          </cell>
          <cell r="DJ350">
            <v>-78</v>
          </cell>
          <cell r="DK350">
            <v>-450</v>
          </cell>
          <cell r="DM350">
            <v>-160</v>
          </cell>
          <cell r="DN350">
            <v>-109</v>
          </cell>
          <cell r="DO350">
            <v>-162</v>
          </cell>
          <cell r="DP350">
            <v>-217</v>
          </cell>
          <cell r="DQ350">
            <v>-648</v>
          </cell>
          <cell r="DS350">
            <v>-139</v>
          </cell>
          <cell r="DT350">
            <v>-212</v>
          </cell>
          <cell r="DU350">
            <v>-116</v>
          </cell>
          <cell r="DV350">
            <v>-183</v>
          </cell>
          <cell r="DW350">
            <v>-650</v>
          </cell>
          <cell r="DY350">
            <v>-153</v>
          </cell>
          <cell r="DZ350">
            <v>-126</v>
          </cell>
          <cell r="EA350">
            <v>-147</v>
          </cell>
          <cell r="EB350">
            <v>-154</v>
          </cell>
          <cell r="EC350">
            <v>-580</v>
          </cell>
          <cell r="EE350">
            <v>-201</v>
          </cell>
          <cell r="EF350">
            <v>-225</v>
          </cell>
          <cell r="EG350">
            <v>-368</v>
          </cell>
          <cell r="EH350">
            <v>-597</v>
          </cell>
          <cell r="EI350">
            <v>-1391</v>
          </cell>
          <cell r="EK350">
            <v>-446</v>
          </cell>
          <cell r="EL350">
            <v>-195</v>
          </cell>
          <cell r="EM350">
            <v>-186.44623576000004</v>
          </cell>
          <cell r="EN350">
            <v>-184.84954993999997</v>
          </cell>
          <cell r="EO350">
            <v>-1012.2957857</v>
          </cell>
          <cell r="EQ350">
            <v>-185.75445757599999</v>
          </cell>
          <cell r="ER350">
            <v>-186.31894178268402</v>
          </cell>
          <cell r="ES350">
            <v>-186.59155911805544</v>
          </cell>
          <cell r="ET350">
            <v>-186.18079540717747</v>
          </cell>
          <cell r="EU350">
            <v>-744.84575388391693</v>
          </cell>
          <cell r="EW350">
            <v>-185.75445757599999</v>
          </cell>
          <cell r="EX350">
            <v>-186.31894178268402</v>
          </cell>
          <cell r="EY350">
            <v>-186.59155911805544</v>
          </cell>
          <cell r="EZ350">
            <v>-186.18079540717747</v>
          </cell>
          <cell r="FA350">
            <v>-744.84575388391693</v>
          </cell>
        </row>
        <row r="351"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0</v>
          </cell>
          <cell r="S351">
            <v>0</v>
          </cell>
          <cell r="U351">
            <v>0</v>
          </cell>
          <cell r="V351">
            <v>0</v>
          </cell>
          <cell r="W351">
            <v>0</v>
          </cell>
          <cell r="X351">
            <v>0</v>
          </cell>
          <cell r="Y351">
            <v>0</v>
          </cell>
          <cell r="AA351">
            <v>234.09899999999993</v>
          </cell>
          <cell r="AB351">
            <v>14.643999999999998</v>
          </cell>
          <cell r="AC351">
            <v>254.41300000000004</v>
          </cell>
          <cell r="AD351">
            <v>527.34799999999996</v>
          </cell>
          <cell r="AE351">
            <v>1030.5039999999999</v>
          </cell>
          <cell r="AG351">
            <v>446.83899999999994</v>
          </cell>
          <cell r="AH351">
            <v>170.97699999999989</v>
          </cell>
          <cell r="AI351">
            <v>361.12100000000015</v>
          </cell>
          <cell r="AJ351">
            <v>635.64199999999994</v>
          </cell>
          <cell r="AK351">
            <v>1614.5789999999997</v>
          </cell>
          <cell r="AM351">
            <v>597.56799999999998</v>
          </cell>
          <cell r="AN351">
            <v>28.809000000000026</v>
          </cell>
          <cell r="AO351">
            <v>444.65800000000007</v>
          </cell>
          <cell r="AP351">
            <v>736.06400000000008</v>
          </cell>
          <cell r="AQ351">
            <v>1807.0990000000002</v>
          </cell>
          <cell r="AS351">
            <v>656.11659999999995</v>
          </cell>
          <cell r="AT351">
            <v>111.97540000000004</v>
          </cell>
          <cell r="AU351">
            <v>986.41300000000001</v>
          </cell>
          <cell r="AV351">
            <v>1169.0590000000009</v>
          </cell>
          <cell r="AW351">
            <v>2923.5640000000012</v>
          </cell>
          <cell r="AY351">
            <v>-873.80699999999979</v>
          </cell>
          <cell r="AZ351">
            <v>607.97099999999978</v>
          </cell>
          <cell r="BA351">
            <v>1008.7269999999999</v>
          </cell>
          <cell r="BB351">
            <v>1436.1090000000002</v>
          </cell>
          <cell r="BC351">
            <v>2179</v>
          </cell>
          <cell r="BE351">
            <v>1263.568</v>
          </cell>
          <cell r="BF351">
            <v>246.43199999999999</v>
          </cell>
          <cell r="BG351">
            <v>648</v>
          </cell>
          <cell r="BH351">
            <v>977</v>
          </cell>
          <cell r="BI351">
            <v>3135</v>
          </cell>
          <cell r="BK351">
            <v>1218</v>
          </cell>
          <cell r="BL351">
            <v>251</v>
          </cell>
          <cell r="BM351">
            <v>728</v>
          </cell>
          <cell r="BN351">
            <v>826</v>
          </cell>
          <cell r="BO351">
            <v>3023</v>
          </cell>
          <cell r="BQ351">
            <v>1251</v>
          </cell>
          <cell r="BR351">
            <v>349</v>
          </cell>
          <cell r="BS351">
            <v>559</v>
          </cell>
          <cell r="BT351">
            <v>1036</v>
          </cell>
          <cell r="BU351">
            <v>3195</v>
          </cell>
          <cell r="BW351">
            <v>1414</v>
          </cell>
          <cell r="BX351">
            <v>385</v>
          </cell>
          <cell r="BY351">
            <v>758</v>
          </cell>
          <cell r="BZ351">
            <v>994.92250000000013</v>
          </cell>
          <cell r="CA351">
            <v>3551.9225000000001</v>
          </cell>
          <cell r="CC351">
            <v>1458</v>
          </cell>
          <cell r="CD351">
            <v>298</v>
          </cell>
          <cell r="CE351">
            <v>1106</v>
          </cell>
          <cell r="CF351">
            <v>1679</v>
          </cell>
          <cell r="CG351">
            <v>4541</v>
          </cell>
          <cell r="CI351">
            <v>1625</v>
          </cell>
          <cell r="CJ351">
            <v>241</v>
          </cell>
          <cell r="CK351">
            <v>1439</v>
          </cell>
          <cell r="CL351">
            <v>2215</v>
          </cell>
          <cell r="CM351">
            <v>5520</v>
          </cell>
          <cell r="CO351">
            <v>2701</v>
          </cell>
          <cell r="CP351">
            <v>602</v>
          </cell>
          <cell r="CQ351">
            <v>1804</v>
          </cell>
          <cell r="CR351">
            <v>2295</v>
          </cell>
          <cell r="CS351">
            <v>7402</v>
          </cell>
          <cell r="CU351">
            <v>3240</v>
          </cell>
          <cell r="CV351">
            <v>750</v>
          </cell>
          <cell r="CW351">
            <v>2257</v>
          </cell>
          <cell r="CX351">
            <v>2008</v>
          </cell>
          <cell r="CY351">
            <v>8255</v>
          </cell>
          <cell r="DA351">
            <v>3738</v>
          </cell>
          <cell r="DB351">
            <v>651</v>
          </cell>
          <cell r="DC351">
            <v>1781</v>
          </cell>
          <cell r="DE351">
            <v>8681</v>
          </cell>
          <cell r="DG351">
            <v>3817</v>
          </cell>
          <cell r="DH351">
            <v>944</v>
          </cell>
          <cell r="DI351">
            <v>2676</v>
          </cell>
          <cell r="DJ351">
            <v>3777</v>
          </cell>
          <cell r="DK351">
            <v>11214</v>
          </cell>
          <cell r="DM351">
            <v>5421</v>
          </cell>
          <cell r="DN351">
            <v>1255</v>
          </cell>
          <cell r="DO351">
            <v>3010</v>
          </cell>
          <cell r="DP351">
            <v>4057</v>
          </cell>
          <cell r="DQ351">
            <v>13743</v>
          </cell>
          <cell r="DS351">
            <v>5671</v>
          </cell>
          <cell r="DT351">
            <v>795</v>
          </cell>
          <cell r="DU351">
            <v>3194</v>
          </cell>
          <cell r="DV351">
            <v>4564</v>
          </cell>
          <cell r="DW351">
            <v>14224</v>
          </cell>
          <cell r="DY351">
            <v>6292</v>
          </cell>
          <cell r="DZ351">
            <v>1146</v>
          </cell>
          <cell r="EA351">
            <v>3027</v>
          </cell>
          <cell r="EB351">
            <v>4456</v>
          </cell>
          <cell r="EC351">
            <v>14921</v>
          </cell>
          <cell r="EE351">
            <v>6728</v>
          </cell>
          <cell r="EF351">
            <v>1062</v>
          </cell>
          <cell r="EG351">
            <v>2263</v>
          </cell>
          <cell r="EH351">
            <v>4283</v>
          </cell>
          <cell r="EI351">
            <v>14336</v>
          </cell>
          <cell r="EK351">
            <v>5856</v>
          </cell>
          <cell r="EL351">
            <v>501</v>
          </cell>
          <cell r="EM351">
            <v>3643.1273484907233</v>
          </cell>
          <cell r="EN351">
            <v>3923.4525063528718</v>
          </cell>
          <cell r="EO351">
            <v>13923.579854843596</v>
          </cell>
          <cell r="EQ351">
            <v>5222.7613521560888</v>
          </cell>
          <cell r="ER351">
            <v>818.29564042030734</v>
          </cell>
          <cell r="ES351">
            <v>3389.099591752034</v>
          </cell>
          <cell r="ET351">
            <v>4909.7354465005865</v>
          </cell>
          <cell r="EU351">
            <v>14339.892030829016</v>
          </cell>
          <cell r="EW351">
            <v>4379.9096885281606</v>
          </cell>
          <cell r="EX351">
            <v>885.15183851534402</v>
          </cell>
          <cell r="EY351">
            <v>3952.4040087763879</v>
          </cell>
          <cell r="EZ351">
            <v>5389.6480126175265</v>
          </cell>
          <cell r="FA351">
            <v>14607.113548437419</v>
          </cell>
        </row>
        <row r="352">
          <cell r="C352">
            <v>0</v>
          </cell>
          <cell r="D352">
            <v>0</v>
          </cell>
          <cell r="E352">
            <v>0</v>
          </cell>
          <cell r="F352">
            <v>5.3330000000000002</v>
          </cell>
          <cell r="G352">
            <v>12.973000000000001</v>
          </cell>
          <cell r="H352">
            <v>23.155999999999999</v>
          </cell>
          <cell r="I352">
            <v>44.078000000000003</v>
          </cell>
          <cell r="J352">
            <v>70.727000000000004</v>
          </cell>
          <cell r="K352">
            <v>65.778000000000006</v>
          </cell>
          <cell r="L352">
            <v>79.203999999999994</v>
          </cell>
          <cell r="M352">
            <v>104.563</v>
          </cell>
          <cell r="O352">
            <v>30.638999999999999</v>
          </cell>
          <cell r="P352">
            <v>34.469000000000008</v>
          </cell>
          <cell r="Q352">
            <v>37.146999999999991</v>
          </cell>
          <cell r="R352">
            <v>45.516999999999996</v>
          </cell>
          <cell r="S352">
            <v>147.77199999999999</v>
          </cell>
          <cell r="U352">
            <v>50.338999999999999</v>
          </cell>
          <cell r="V352">
            <v>54.507999999999996</v>
          </cell>
          <cell r="W352">
            <v>54.868000000000009</v>
          </cell>
          <cell r="X352">
            <v>59.778999999999982</v>
          </cell>
          <cell r="Y352">
            <v>219.49399999999997</v>
          </cell>
          <cell r="AA352">
            <v>62.765000000000001</v>
          </cell>
          <cell r="AB352">
            <v>63.915000000000006</v>
          </cell>
          <cell r="AC352">
            <v>65.747</v>
          </cell>
          <cell r="AD352">
            <v>72.345999999999989</v>
          </cell>
          <cell r="AE352">
            <v>264.77300000000002</v>
          </cell>
          <cell r="AG352">
            <v>71.137</v>
          </cell>
          <cell r="AH352">
            <v>84.556999999999988</v>
          </cell>
          <cell r="AI352">
            <v>55.285000000000025</v>
          </cell>
          <cell r="AJ352">
            <v>117.58399999999997</v>
          </cell>
          <cell r="AK352">
            <v>328.56299999999999</v>
          </cell>
          <cell r="AM352">
            <v>81.406000000000006</v>
          </cell>
          <cell r="AN352">
            <v>88.858000000000004</v>
          </cell>
          <cell r="AO352">
            <v>63.653999999999996</v>
          </cell>
          <cell r="AP352">
            <v>85.904999999999973</v>
          </cell>
          <cell r="AQ352">
            <v>319.82299999999998</v>
          </cell>
          <cell r="AS352">
            <v>76.813000000000002</v>
          </cell>
          <cell r="AT352">
            <v>77.352999999999994</v>
          </cell>
          <cell r="AU352">
            <v>82.222999999999999</v>
          </cell>
          <cell r="AV352">
            <v>77.925999999999974</v>
          </cell>
          <cell r="AW352">
            <v>314.315</v>
          </cell>
          <cell r="AY352">
            <v>73.16</v>
          </cell>
          <cell r="AZ352">
            <v>66.079000000000008</v>
          </cell>
          <cell r="BA352">
            <v>67.16</v>
          </cell>
          <cell r="BB352">
            <v>68.600999999999999</v>
          </cell>
          <cell r="BC352">
            <v>275</v>
          </cell>
          <cell r="BE352">
            <v>65.641000000000005</v>
          </cell>
          <cell r="BF352">
            <v>58.358999999999995</v>
          </cell>
          <cell r="BG352">
            <v>70.000000000000014</v>
          </cell>
          <cell r="BH352">
            <v>79.000000000000014</v>
          </cell>
          <cell r="BI352">
            <v>273</v>
          </cell>
          <cell r="BK352">
            <v>62</v>
          </cell>
          <cell r="BL352">
            <v>60</v>
          </cell>
          <cell r="BM352">
            <v>71</v>
          </cell>
          <cell r="BN352">
            <v>50</v>
          </cell>
          <cell r="BO352">
            <v>243</v>
          </cell>
          <cell r="BQ352">
            <v>50</v>
          </cell>
          <cell r="BR352">
            <v>50</v>
          </cell>
          <cell r="BS352">
            <v>50</v>
          </cell>
          <cell r="BT352">
            <v>48</v>
          </cell>
          <cell r="BU352">
            <v>198</v>
          </cell>
          <cell r="BW352">
            <v>44</v>
          </cell>
          <cell r="BX352">
            <v>45</v>
          </cell>
          <cell r="BY352">
            <v>53</v>
          </cell>
          <cell r="BZ352">
            <v>64</v>
          </cell>
          <cell r="CA352">
            <v>206</v>
          </cell>
          <cell r="CC352">
            <v>57</v>
          </cell>
          <cell r="CD352">
            <v>53</v>
          </cell>
          <cell r="CE352">
            <v>50</v>
          </cell>
          <cell r="CF352">
            <v>63</v>
          </cell>
          <cell r="CG352">
            <v>223</v>
          </cell>
          <cell r="CI352">
            <v>59</v>
          </cell>
          <cell r="CJ352">
            <v>65</v>
          </cell>
          <cell r="CK352">
            <v>60</v>
          </cell>
          <cell r="CL352">
            <v>65</v>
          </cell>
          <cell r="CM352">
            <v>249</v>
          </cell>
          <cell r="CO352">
            <v>67</v>
          </cell>
          <cell r="CP352">
            <v>70</v>
          </cell>
          <cell r="CQ352">
            <v>65</v>
          </cell>
          <cell r="CR352">
            <v>66</v>
          </cell>
          <cell r="CS352">
            <v>268</v>
          </cell>
          <cell r="CU352">
            <v>64</v>
          </cell>
          <cell r="CV352">
            <v>70</v>
          </cell>
          <cell r="CW352">
            <v>64</v>
          </cell>
          <cell r="CX352">
            <v>65</v>
          </cell>
          <cell r="CY352">
            <v>263</v>
          </cell>
          <cell r="DA352">
            <v>61</v>
          </cell>
          <cell r="DB352">
            <v>62</v>
          </cell>
          <cell r="DC352">
            <v>73</v>
          </cell>
          <cell r="DE352">
            <v>298</v>
          </cell>
          <cell r="DG352">
            <v>99</v>
          </cell>
          <cell r="DH352">
            <v>95</v>
          </cell>
          <cell r="DI352">
            <v>89</v>
          </cell>
          <cell r="DJ352">
            <v>85</v>
          </cell>
          <cell r="DK352">
            <v>368</v>
          </cell>
          <cell r="DM352">
            <v>117</v>
          </cell>
          <cell r="DN352">
            <v>109</v>
          </cell>
          <cell r="DO352">
            <v>124</v>
          </cell>
          <cell r="DP352">
            <v>136</v>
          </cell>
          <cell r="DQ352">
            <v>486</v>
          </cell>
          <cell r="DS352">
            <v>127</v>
          </cell>
          <cell r="DT352">
            <v>134</v>
          </cell>
          <cell r="DU352">
            <v>139</v>
          </cell>
          <cell r="DV352">
            <v>146</v>
          </cell>
          <cell r="DW352">
            <v>546</v>
          </cell>
          <cell r="DY352">
            <v>150</v>
          </cell>
          <cell r="DZ352">
            <v>152</v>
          </cell>
          <cell r="EA352">
            <v>150</v>
          </cell>
          <cell r="EB352">
            <v>156</v>
          </cell>
          <cell r="EC352">
            <v>608</v>
          </cell>
          <cell r="EE352">
            <v>160</v>
          </cell>
          <cell r="EF352">
            <v>164</v>
          </cell>
          <cell r="EG352">
            <v>178</v>
          </cell>
          <cell r="EH352">
            <v>210</v>
          </cell>
          <cell r="EI352">
            <v>712</v>
          </cell>
          <cell r="EK352">
            <v>219</v>
          </cell>
          <cell r="EL352">
            <v>210</v>
          </cell>
          <cell r="EM352">
            <v>200.23438596491224</v>
          </cell>
          <cell r="EN352">
            <v>394.97194417504443</v>
          </cell>
          <cell r="EO352">
            <v>1024.2063301399567</v>
          </cell>
          <cell r="EQ352">
            <v>221.42216558519777</v>
          </cell>
          <cell r="ER352">
            <v>208.48106688609511</v>
          </cell>
          <cell r="ES352">
            <v>199.88558713375494</v>
          </cell>
          <cell r="ET352">
            <v>397.70297779952648</v>
          </cell>
          <cell r="EU352">
            <v>1027.4917974045743</v>
          </cell>
          <cell r="EW352">
            <v>224.86735687730859</v>
          </cell>
          <cell r="EX352">
            <v>211.59888860177145</v>
          </cell>
          <cell r="EY352">
            <v>202.75884592426905</v>
          </cell>
          <cell r="EZ352">
            <v>403.19842100849519</v>
          </cell>
          <cell r="FA352">
            <v>1042.4235124118443</v>
          </cell>
        </row>
        <row r="353">
          <cell r="C353" t="str">
            <v>-</v>
          </cell>
          <cell r="D353" t="str">
            <v>-</v>
          </cell>
          <cell r="E353" t="str">
            <v>-</v>
          </cell>
          <cell r="F353" t="str">
            <v>-</v>
          </cell>
          <cell r="G353" t="str">
            <v>-</v>
          </cell>
          <cell r="H353" t="str">
            <v>-</v>
          </cell>
          <cell r="I353" t="str">
            <v>-</v>
          </cell>
          <cell r="J353" t="str">
            <v>-</v>
          </cell>
          <cell r="K353" t="str">
            <v>-</v>
          </cell>
          <cell r="L353" t="str">
            <v>-</v>
          </cell>
          <cell r="M353" t="str">
            <v>-</v>
          </cell>
          <cell r="N353">
            <v>0</v>
          </cell>
          <cell r="O353">
            <v>70.544859238706579</v>
          </cell>
          <cell r="P353">
            <v>72.408053350838472</v>
          </cell>
          <cell r="Q353">
            <v>69.615310594050499</v>
          </cell>
          <cell r="R353">
            <v>67.617133274190735</v>
          </cell>
          <cell r="S353">
            <v>67.617133274190735</v>
          </cell>
          <cell r="T353">
            <v>0</v>
          </cell>
          <cell r="U353">
            <v>71.256097734784646</v>
          </cell>
          <cell r="V353">
            <v>71.378097207859355</v>
          </cell>
          <cell r="W353">
            <v>68.324255395059396</v>
          </cell>
          <cell r="X353">
            <v>66.688719286047018</v>
          </cell>
          <cell r="Y353">
            <v>66.688719286047018</v>
          </cell>
          <cell r="Z353">
            <v>0</v>
          </cell>
          <cell r="AA353">
            <v>76.96789661690039</v>
          </cell>
          <cell r="AB353">
            <v>74.395034822281687</v>
          </cell>
          <cell r="AC353">
            <v>72.267820572878165</v>
          </cell>
          <cell r="AD353">
            <v>71.170479319887619</v>
          </cell>
          <cell r="AE353">
            <v>71.170479319887619</v>
          </cell>
          <cell r="AF353">
            <v>0</v>
          </cell>
          <cell r="AG353">
            <v>77.808694737395783</v>
          </cell>
          <cell r="AH353">
            <v>73.694695571183971</v>
          </cell>
          <cell r="AI353">
            <v>68.077091328297755</v>
          </cell>
          <cell r="AJ353">
            <v>69.293068380259427</v>
          </cell>
          <cell r="AK353">
            <v>69.293068380259427</v>
          </cell>
          <cell r="AL353">
            <v>0</v>
          </cell>
          <cell r="AM353">
            <v>69.536758694421735</v>
          </cell>
          <cell r="AN353">
            <v>70.230628849813016</v>
          </cell>
          <cell r="AO353">
            <v>67.701869239797588</v>
          </cell>
          <cell r="AP353">
            <v>68.440140550773677</v>
          </cell>
          <cell r="AQ353">
            <v>68.440140550773677</v>
          </cell>
          <cell r="AR353">
            <v>0</v>
          </cell>
          <cell r="AS353">
            <v>68.665851690864827</v>
          </cell>
          <cell r="AT353">
            <v>68.566013016159744</v>
          </cell>
          <cell r="AU353">
            <v>67.928336445637299</v>
          </cell>
          <cell r="AV353">
            <v>67.586190954595153</v>
          </cell>
          <cell r="AW353">
            <v>67.586190954595153</v>
          </cell>
          <cell r="AX353">
            <v>0</v>
          </cell>
          <cell r="AY353">
            <v>66.726107433942062</v>
          </cell>
          <cell r="AZ353">
            <v>64.852036622880817</v>
          </cell>
          <cell r="BA353">
            <v>65.165678682463536</v>
          </cell>
          <cell r="BB353">
            <v>66.524224750245423</v>
          </cell>
          <cell r="BC353">
            <v>66.524224750245423</v>
          </cell>
          <cell r="BD353">
            <v>0</v>
          </cell>
          <cell r="BE353">
            <v>69.927268874265749</v>
          </cell>
          <cell r="BF353">
            <v>68.531794792300744</v>
          </cell>
          <cell r="BG353">
            <v>64.760961603323111</v>
          </cell>
          <cell r="BH353">
            <v>66.056688924689823</v>
          </cell>
          <cell r="BI353">
            <v>66.056688924689823</v>
          </cell>
          <cell r="BJ353">
            <v>0</v>
          </cell>
          <cell r="BK353">
            <v>60.443786982248518</v>
          </cell>
          <cell r="BL353">
            <v>59.597228237332182</v>
          </cell>
          <cell r="BM353">
            <v>55.435630689206761</v>
          </cell>
          <cell r="BN353">
            <v>61.029879211697391</v>
          </cell>
          <cell r="BO353">
            <v>61.029879211697391</v>
          </cell>
          <cell r="BP353">
            <v>0</v>
          </cell>
          <cell r="BQ353">
            <v>58.465250965250966</v>
          </cell>
          <cell r="BR353">
            <v>55.736589271417131</v>
          </cell>
          <cell r="BS353">
            <v>55.420486249501792</v>
          </cell>
          <cell r="BT353">
            <v>58.849528761780952</v>
          </cell>
          <cell r="BU353">
            <v>58.849528761780952</v>
          </cell>
          <cell r="BV353">
            <v>0</v>
          </cell>
          <cell r="BW353">
            <v>50.099322799097067</v>
          </cell>
          <cell r="BX353">
            <v>50.029027576197386</v>
          </cell>
          <cell r="BY353">
            <v>54.005819592628519</v>
          </cell>
          <cell r="BZ353">
            <v>57.040690505548703</v>
          </cell>
          <cell r="CA353">
            <v>57.040690505548703</v>
          </cell>
          <cell r="CB353">
            <v>0</v>
          </cell>
          <cell r="CC353">
            <v>51.11455108359133</v>
          </cell>
          <cell r="CD353">
            <v>52.398350029463757</v>
          </cell>
          <cell r="CE353">
            <v>56.046287913082843</v>
          </cell>
          <cell r="CF353">
            <v>55.090135709945308</v>
          </cell>
          <cell r="CG353">
            <v>55.090135709945308</v>
          </cell>
          <cell r="CH353">
            <v>0</v>
          </cell>
          <cell r="CI353">
            <v>52.067741054356731</v>
          </cell>
          <cell r="CJ353">
            <v>54.286053130929794</v>
          </cell>
          <cell r="CK353">
            <v>56.540795684423465</v>
          </cell>
          <cell r="CL353">
            <v>62.325344212136663</v>
          </cell>
          <cell r="CM353">
            <v>62.325344212136663</v>
          </cell>
          <cell r="CN353">
            <v>0</v>
          </cell>
          <cell r="CO353">
            <v>53.592423252775966</v>
          </cell>
          <cell r="CP353">
            <v>54.765100671140942</v>
          </cell>
          <cell r="CQ353">
            <v>54.207782535840629</v>
          </cell>
          <cell r="CR353">
            <v>63.374536464771325</v>
          </cell>
          <cell r="CS353">
            <v>63.374536464771325</v>
          </cell>
          <cell r="CT353">
            <v>0</v>
          </cell>
          <cell r="CU353">
            <v>54.11287347842125</v>
          </cell>
          <cell r="CV353">
            <v>51.480569720414984</v>
          </cell>
          <cell r="CW353">
            <v>49.464026162790695</v>
          </cell>
          <cell r="CX353">
            <v>57.942159569829968</v>
          </cell>
          <cell r="CY353">
            <v>57.942159569829968</v>
          </cell>
          <cell r="CZ353">
            <v>0</v>
          </cell>
          <cell r="DA353">
            <v>45.93324116136678</v>
          </cell>
          <cell r="DB353">
            <v>47.299046321525886</v>
          </cell>
          <cell r="DC353">
            <v>54.227594521903114</v>
          </cell>
          <cell r="DD353">
            <v>52.190842072474304</v>
          </cell>
          <cell r="DE353">
            <v>52.190842072474304</v>
          </cell>
          <cell r="DF353">
            <v>0</v>
          </cell>
          <cell r="DG353">
            <v>44.134159198734842</v>
          </cell>
          <cell r="DH353">
            <v>45.610766045548651</v>
          </cell>
          <cell r="DI353">
            <v>45.935051663449528</v>
          </cell>
          <cell r="DJ353">
            <v>55.202665186007771</v>
          </cell>
          <cell r="DK353">
            <v>55.202665186007771</v>
          </cell>
          <cell r="DL353">
            <v>0</v>
          </cell>
          <cell r="DM353">
            <v>44.94641581328888</v>
          </cell>
          <cell r="DN353">
            <v>45.291113381001018</v>
          </cell>
          <cell r="DO353">
            <v>46.239717003751082</v>
          </cell>
          <cell r="DP353">
            <v>52.412934215014232</v>
          </cell>
          <cell r="DQ353">
            <v>52.412934215014232</v>
          </cell>
          <cell r="DR353">
            <v>0</v>
          </cell>
          <cell r="DS353">
            <v>41.387501522718964</v>
          </cell>
          <cell r="DT353">
            <v>43.464281795237575</v>
          </cell>
          <cell r="DU353">
            <v>41.829431438127088</v>
          </cell>
          <cell r="DV353">
            <v>49.667913511540917</v>
          </cell>
          <cell r="DW353">
            <v>49.667913511540917</v>
          </cell>
          <cell r="DX353">
            <v>0</v>
          </cell>
          <cell r="DY353">
            <v>37.048084954062759</v>
          </cell>
          <cell r="DZ353">
            <v>40.642033825272001</v>
          </cell>
          <cell r="EA353">
            <v>39.333333333333336</v>
          </cell>
          <cell r="EB353">
            <v>48.369238919300727</v>
          </cell>
          <cell r="EC353">
            <v>48.369238919300727</v>
          </cell>
          <cell r="ED353">
            <v>0</v>
          </cell>
          <cell r="EE353">
            <v>37.165949529015002</v>
          </cell>
          <cell r="EF353">
            <v>40.522481265611987</v>
          </cell>
          <cell r="EG353">
            <v>40.284979644311122</v>
          </cell>
          <cell r="EH353">
            <v>47.201269604182222</v>
          </cell>
          <cell r="EI353">
            <v>47.201269604182222</v>
          </cell>
          <cell r="EJ353">
            <v>0</v>
          </cell>
          <cell r="EK353">
            <v>37.007454739084132</v>
          </cell>
          <cell r="EL353">
            <v>39.577590040017789</v>
          </cell>
          <cell r="EM353">
            <v>40.284979644311122</v>
          </cell>
          <cell r="EN353">
            <v>47.201269604182222</v>
          </cell>
          <cell r="EO353">
            <v>47.201269604182222</v>
          </cell>
          <cell r="EP353">
            <v>0</v>
          </cell>
          <cell r="EQ353">
            <v>38.007454739084132</v>
          </cell>
          <cell r="ER353">
            <v>40.577590040017789</v>
          </cell>
          <cell r="ES353">
            <v>41.284979644311122</v>
          </cell>
          <cell r="ET353">
            <v>48.201269604182222</v>
          </cell>
          <cell r="EU353">
            <v>48.201269604182222</v>
          </cell>
          <cell r="EV353">
            <v>0</v>
          </cell>
          <cell r="EW353">
            <v>39.007454739084132</v>
          </cell>
          <cell r="EX353">
            <v>41.577590040017789</v>
          </cell>
          <cell r="EY353">
            <v>42.284979644311122</v>
          </cell>
          <cell r="EZ353">
            <v>49.201269604182222</v>
          </cell>
          <cell r="FA353">
            <v>49.201269604182222</v>
          </cell>
          <cell r="FB353">
            <v>0</v>
          </cell>
          <cell r="FC353">
            <v>0</v>
          </cell>
          <cell r="FD353">
            <v>0</v>
          </cell>
          <cell r="FE353">
            <v>0</v>
          </cell>
          <cell r="FF353">
            <v>0</v>
          </cell>
          <cell r="FG353">
            <v>0</v>
          </cell>
          <cell r="FH353">
            <v>0</v>
          </cell>
          <cell r="FI353">
            <v>0</v>
          </cell>
          <cell r="FJ353">
            <v>0</v>
          </cell>
          <cell r="FK353">
            <v>0</v>
          </cell>
          <cell r="FL353">
            <v>0</v>
          </cell>
          <cell r="FM353">
            <v>0</v>
          </cell>
          <cell r="FN353">
            <v>0</v>
          </cell>
          <cell r="FO353">
            <v>0</v>
          </cell>
          <cell r="FP353">
            <v>0</v>
          </cell>
          <cell r="FQ353">
            <v>0</v>
          </cell>
          <cell r="FR353">
            <v>0</v>
          </cell>
          <cell r="FS353">
            <v>0</v>
          </cell>
          <cell r="FT353">
            <v>0</v>
          </cell>
          <cell r="FU353">
            <v>0</v>
          </cell>
          <cell r="FV353">
            <v>0</v>
          </cell>
          <cell r="FW353">
            <v>0</v>
          </cell>
          <cell r="FX353">
            <v>0</v>
          </cell>
          <cell r="FY353">
            <v>0</v>
          </cell>
          <cell r="FZ353">
            <v>0</v>
          </cell>
          <cell r="GA353">
            <v>0</v>
          </cell>
          <cell r="GB353">
            <v>0</v>
          </cell>
          <cell r="GC353">
            <v>0</v>
          </cell>
          <cell r="GD353">
            <v>0</v>
          </cell>
          <cell r="GE353">
            <v>0</v>
          </cell>
          <cell r="GF353">
            <v>0</v>
          </cell>
          <cell r="GG353">
            <v>0</v>
          </cell>
          <cell r="GH353">
            <v>0</v>
          </cell>
          <cell r="GI353">
            <v>0</v>
          </cell>
          <cell r="GJ353">
            <v>0</v>
          </cell>
          <cell r="GK353">
            <v>0</v>
          </cell>
          <cell r="GL353">
            <v>0</v>
          </cell>
          <cell r="GM353">
            <v>0</v>
          </cell>
          <cell r="GN353">
            <v>0</v>
          </cell>
          <cell r="GO353">
            <v>0</v>
          </cell>
          <cell r="GP353">
            <v>0</v>
          </cell>
          <cell r="GQ353">
            <v>0</v>
          </cell>
          <cell r="GR353">
            <v>0</v>
          </cell>
          <cell r="GS353">
            <v>0</v>
          </cell>
          <cell r="GT353">
            <v>0</v>
          </cell>
          <cell r="GU353">
            <v>0</v>
          </cell>
          <cell r="GV353">
            <v>0</v>
          </cell>
          <cell r="GW353">
            <v>0</v>
          </cell>
          <cell r="GX353">
            <v>0</v>
          </cell>
          <cell r="GY353">
            <v>0</v>
          </cell>
          <cell r="GZ353">
            <v>0</v>
          </cell>
          <cell r="HA353">
            <v>0</v>
          </cell>
        </row>
        <row r="354">
          <cell r="CG354">
            <v>0</v>
          </cell>
          <cell r="CM354">
            <v>0</v>
          </cell>
          <cell r="CS354">
            <v>0</v>
          </cell>
          <cell r="CY354">
            <v>0</v>
          </cell>
          <cell r="DE354">
            <v>0</v>
          </cell>
          <cell r="DK354">
            <v>0</v>
          </cell>
          <cell r="DQ354">
            <v>0</v>
          </cell>
          <cell r="DW354">
            <v>0</v>
          </cell>
          <cell r="EC354">
            <v>0</v>
          </cell>
          <cell r="EI354">
            <v>0</v>
          </cell>
          <cell r="EO354">
            <v>0</v>
          </cell>
          <cell r="EU354">
            <v>0</v>
          </cell>
          <cell r="FA354">
            <v>0</v>
          </cell>
        </row>
        <row r="355">
          <cell r="C355" t="str">
            <v>-</v>
          </cell>
          <cell r="D355" t="str">
            <v>-</v>
          </cell>
          <cell r="E355" t="str">
            <v>-</v>
          </cell>
          <cell r="F355" t="str">
            <v>-</v>
          </cell>
          <cell r="G355" t="str">
            <v>-</v>
          </cell>
          <cell r="H355" t="str">
            <v>-</v>
          </cell>
          <cell r="I355" t="str">
            <v>-</v>
          </cell>
          <cell r="J355">
            <v>7466</v>
          </cell>
          <cell r="K355">
            <v>8160</v>
          </cell>
          <cell r="L355">
            <v>9247</v>
          </cell>
          <cell r="M355">
            <v>12058</v>
          </cell>
          <cell r="O355">
            <v>13456</v>
          </cell>
          <cell r="P355">
            <v>14830</v>
          </cell>
          <cell r="Q355">
            <v>16083</v>
          </cell>
          <cell r="R355">
            <v>16882</v>
          </cell>
          <cell r="S355">
            <v>16882</v>
          </cell>
          <cell r="U355">
            <v>18499</v>
          </cell>
          <cell r="V355">
            <v>19945</v>
          </cell>
          <cell r="W355">
            <v>21376</v>
          </cell>
          <cell r="X355">
            <v>23113</v>
          </cell>
          <cell r="Y355">
            <v>23113</v>
          </cell>
          <cell r="AA355">
            <v>25224</v>
          </cell>
          <cell r="AB355">
            <v>27352</v>
          </cell>
          <cell r="AC355">
            <v>28844</v>
          </cell>
          <cell r="AD355">
            <v>29431</v>
          </cell>
          <cell r="AE355">
            <v>29431</v>
          </cell>
          <cell r="AG355">
            <v>31401</v>
          </cell>
          <cell r="AH355">
            <v>33775</v>
          </cell>
          <cell r="AI355">
            <v>35513</v>
          </cell>
          <cell r="AJ355">
            <v>36802</v>
          </cell>
          <cell r="AK355">
            <v>36802</v>
          </cell>
          <cell r="AM355">
            <v>38629</v>
          </cell>
          <cell r="AN355">
            <v>40795</v>
          </cell>
          <cell r="AO355">
            <v>42783</v>
          </cell>
          <cell r="AP355">
            <v>43800</v>
          </cell>
          <cell r="AQ355">
            <v>43800</v>
          </cell>
          <cell r="AS355">
            <v>43093</v>
          </cell>
          <cell r="AT355">
            <v>42682</v>
          </cell>
          <cell r="AU355">
            <v>41917</v>
          </cell>
          <cell r="AV355">
            <v>41320</v>
          </cell>
          <cell r="AW355">
            <v>41320</v>
          </cell>
          <cell r="AY355">
            <v>41170</v>
          </cell>
          <cell r="AZ355">
            <v>42002</v>
          </cell>
          <cell r="BA355">
            <v>43308</v>
          </cell>
          <cell r="BB355">
            <v>42927</v>
          </cell>
          <cell r="BC355">
            <v>42927</v>
          </cell>
          <cell r="BE355">
            <v>42299</v>
          </cell>
          <cell r="BF355">
            <v>42443</v>
          </cell>
          <cell r="BG355">
            <v>41935</v>
          </cell>
          <cell r="BH355">
            <v>42006</v>
          </cell>
          <cell r="BI355">
            <v>42006</v>
          </cell>
          <cell r="BK355">
            <v>41496</v>
          </cell>
          <cell r="BL355">
            <v>40645</v>
          </cell>
          <cell r="BM355">
            <v>40389</v>
          </cell>
          <cell r="BN355">
            <v>40650</v>
          </cell>
          <cell r="BO355">
            <v>40650</v>
          </cell>
          <cell r="BQ355">
            <v>40324</v>
          </cell>
          <cell r="BR355">
            <v>40615</v>
          </cell>
          <cell r="BS355">
            <v>41194</v>
          </cell>
          <cell r="BT355">
            <v>41658</v>
          </cell>
          <cell r="BU355">
            <v>41658</v>
          </cell>
          <cell r="BW355">
            <v>42068</v>
          </cell>
          <cell r="BX355">
            <v>42580</v>
          </cell>
          <cell r="BY355">
            <v>50881</v>
          </cell>
          <cell r="BZ355">
            <v>49872</v>
          </cell>
          <cell r="CA355">
            <v>49872</v>
          </cell>
          <cell r="CC355">
            <v>49516</v>
          </cell>
          <cell r="CD355">
            <v>51154</v>
          </cell>
          <cell r="CE355">
            <v>55582</v>
          </cell>
          <cell r="CF355">
            <v>56133</v>
          </cell>
          <cell r="CG355">
            <v>56133</v>
          </cell>
          <cell r="CI355">
            <v>65126</v>
          </cell>
          <cell r="CJ355">
            <v>68434</v>
          </cell>
          <cell r="CK355">
            <v>70481</v>
          </cell>
          <cell r="CL355">
            <v>74674</v>
          </cell>
          <cell r="CM355">
            <v>74674</v>
          </cell>
          <cell r="CO355">
            <v>77652</v>
          </cell>
          <cell r="CP355">
            <v>79649</v>
          </cell>
          <cell r="CQ355">
            <v>80219</v>
          </cell>
          <cell r="CR355">
            <v>84233</v>
          </cell>
          <cell r="CS355">
            <v>84233</v>
          </cell>
          <cell r="CU355">
            <v>85188</v>
          </cell>
          <cell r="CV355">
            <v>86657</v>
          </cell>
          <cell r="CW355">
            <v>86588</v>
          </cell>
          <cell r="CX355">
            <v>85562</v>
          </cell>
          <cell r="CY355">
            <v>85562</v>
          </cell>
          <cell r="DA355">
            <v>84639</v>
          </cell>
          <cell r="DB355">
            <v>83366</v>
          </cell>
          <cell r="DC355">
            <v>106492</v>
          </cell>
          <cell r="DE355">
            <v>104569</v>
          </cell>
          <cell r="DG355">
            <v>105236</v>
          </cell>
          <cell r="DH355">
            <v>105730</v>
          </cell>
          <cell r="DI355">
            <v>107870</v>
          </cell>
          <cell r="DJ355">
            <v>108000</v>
          </cell>
          <cell r="DK355">
            <v>108000</v>
          </cell>
          <cell r="DM355">
            <v>109388</v>
          </cell>
          <cell r="DN355">
            <v>111302</v>
          </cell>
          <cell r="DO355">
            <v>113644</v>
          </cell>
          <cell r="DP355">
            <v>115559.19541819993</v>
          </cell>
          <cell r="DQ355">
            <v>115559.19541819993</v>
          </cell>
          <cell r="DS355">
            <v>115899</v>
          </cell>
          <cell r="DT355">
            <v>117229</v>
          </cell>
          <cell r="DU355">
            <v>118657</v>
          </cell>
          <cell r="DV355">
            <v>120000</v>
          </cell>
          <cell r="DW355">
            <v>120000</v>
          </cell>
          <cell r="DY355">
            <v>122327</v>
          </cell>
          <cell r="DZ355">
            <v>121868</v>
          </cell>
          <cell r="EA355">
            <v>122710</v>
          </cell>
          <cell r="EB355">
            <v>122000</v>
          </cell>
          <cell r="EC355">
            <v>122000</v>
          </cell>
          <cell r="EE355">
            <v>122918</v>
          </cell>
          <cell r="EF355">
            <v>130552</v>
          </cell>
          <cell r="EG355">
            <v>131562</v>
          </cell>
          <cell r="EH355">
            <v>132000</v>
          </cell>
          <cell r="EI355">
            <v>132000</v>
          </cell>
          <cell r="EK355">
            <v>135070</v>
          </cell>
          <cell r="EL355">
            <v>136497.03999999998</v>
          </cell>
          <cell r="EM355">
            <v>137942.49054999996</v>
          </cell>
          <cell r="EN355">
            <v>126733.28439363634</v>
          </cell>
          <cell r="EO355">
            <v>126733.28439363634</v>
          </cell>
          <cell r="EQ355">
            <v>140889.67187486868</v>
          </cell>
          <cell r="ER355">
            <v>142391.93660161231</v>
          </cell>
          <cell r="ES355">
            <v>143913.6798975002</v>
          </cell>
          <cell r="ET355">
            <v>132231.98060369157</v>
          </cell>
          <cell r="EU355">
            <v>132231.98060369157</v>
          </cell>
          <cell r="EW355">
            <v>147016.71387996015</v>
          </cell>
          <cell r="EX355">
            <v>148598.57066177778</v>
          </cell>
          <cell r="EY355">
            <v>150201.03832569072</v>
          </cell>
          <cell r="EZ355">
            <v>138022.19131825666</v>
          </cell>
          <cell r="FA355">
            <v>138022.19131825666</v>
          </cell>
        </row>
        <row r="356">
          <cell r="C356" t="str">
            <v>-</v>
          </cell>
          <cell r="D356" t="str">
            <v>-</v>
          </cell>
          <cell r="E356" t="str">
            <v>-</v>
          </cell>
          <cell r="F356" t="str">
            <v>-</v>
          </cell>
          <cell r="G356" t="str">
            <v>-</v>
          </cell>
          <cell r="H356" t="str">
            <v>-</v>
          </cell>
          <cell r="I356" t="str">
            <v>-</v>
          </cell>
          <cell r="J356">
            <v>4993</v>
          </cell>
          <cell r="K356">
            <v>5474</v>
          </cell>
          <cell r="L356">
            <v>6131</v>
          </cell>
          <cell r="M356">
            <v>8254</v>
          </cell>
          <cell r="O356">
            <v>9212</v>
          </cell>
          <cell r="P356">
            <v>10271</v>
          </cell>
          <cell r="Q356">
            <v>11185</v>
          </cell>
          <cell r="R356">
            <v>11775</v>
          </cell>
          <cell r="S356">
            <v>11775</v>
          </cell>
          <cell r="U356">
            <v>13011</v>
          </cell>
          <cell r="V356">
            <v>14236</v>
          </cell>
          <cell r="W356">
            <v>15427</v>
          </cell>
          <cell r="X356">
            <v>16807</v>
          </cell>
          <cell r="Y356">
            <v>16807</v>
          </cell>
          <cell r="AA356">
            <v>18447</v>
          </cell>
          <cell r="AB356">
            <v>20127</v>
          </cell>
          <cell r="AC356">
            <v>21164</v>
          </cell>
          <cell r="AD356">
            <v>21617</v>
          </cell>
          <cell r="AE356">
            <v>21617</v>
          </cell>
          <cell r="AG356">
            <v>22855</v>
          </cell>
          <cell r="AH356">
            <v>25032</v>
          </cell>
          <cell r="AI356">
            <v>26512</v>
          </cell>
          <cell r="AJ356">
            <v>27523</v>
          </cell>
          <cell r="AK356">
            <v>27523</v>
          </cell>
          <cell r="AM356">
            <v>29114</v>
          </cell>
          <cell r="AN356">
            <v>31076</v>
          </cell>
          <cell r="AO356">
            <v>32629</v>
          </cell>
          <cell r="AP356">
            <v>33056</v>
          </cell>
          <cell r="AQ356">
            <v>33056</v>
          </cell>
          <cell r="AS356">
            <v>31701</v>
          </cell>
          <cell r="AT356">
            <v>31419</v>
          </cell>
          <cell r="AU356">
            <v>30525</v>
          </cell>
          <cell r="AV356">
            <v>29564</v>
          </cell>
          <cell r="AW356">
            <v>29564</v>
          </cell>
          <cell r="AY356">
            <v>0</v>
          </cell>
          <cell r="AZ356">
            <v>0</v>
          </cell>
          <cell r="BA356">
            <v>0</v>
          </cell>
          <cell r="BB356">
            <v>29422</v>
          </cell>
          <cell r="BC356">
            <v>29422</v>
          </cell>
          <cell r="BE356">
            <v>0</v>
          </cell>
          <cell r="BF356">
            <v>0</v>
          </cell>
          <cell r="BG356">
            <v>0</v>
          </cell>
          <cell r="BH356">
            <v>27059</v>
          </cell>
          <cell r="BI356">
            <v>27059</v>
          </cell>
          <cell r="BK356">
            <v>0</v>
          </cell>
          <cell r="BL356">
            <v>0</v>
          </cell>
          <cell r="BM356">
            <v>0</v>
          </cell>
          <cell r="BN356">
            <v>25268</v>
          </cell>
          <cell r="BO356">
            <v>25268</v>
          </cell>
          <cell r="BQ356">
            <v>0</v>
          </cell>
          <cell r="BR356">
            <v>0</v>
          </cell>
          <cell r="BS356">
            <v>0</v>
          </cell>
          <cell r="BT356">
            <v>24760</v>
          </cell>
          <cell r="BU356">
            <v>24760</v>
          </cell>
          <cell r="BW356">
            <v>0</v>
          </cell>
          <cell r="BX356">
            <v>0</v>
          </cell>
          <cell r="BY356">
            <v>0</v>
          </cell>
          <cell r="BZ356">
            <v>29650</v>
          </cell>
          <cell r="CA356">
            <v>29650</v>
          </cell>
          <cell r="CC356">
            <v>0</v>
          </cell>
          <cell r="CD356">
            <v>0</v>
          </cell>
          <cell r="CE356">
            <v>0</v>
          </cell>
          <cell r="CF356">
            <v>35469</v>
          </cell>
          <cell r="CG356">
            <v>35469</v>
          </cell>
          <cell r="CI356">
            <v>0</v>
          </cell>
          <cell r="CJ356">
            <v>0</v>
          </cell>
          <cell r="CK356">
            <v>0</v>
          </cell>
          <cell r="CL356">
            <v>48745</v>
          </cell>
          <cell r="CM356">
            <v>48745</v>
          </cell>
          <cell r="CO356">
            <v>0</v>
          </cell>
          <cell r="CP356">
            <v>0</v>
          </cell>
          <cell r="CQ356">
            <v>0</v>
          </cell>
          <cell r="CR356">
            <v>55322</v>
          </cell>
          <cell r="CS356">
            <v>55322</v>
          </cell>
          <cell r="CU356">
            <v>0</v>
          </cell>
          <cell r="CV356">
            <v>0</v>
          </cell>
          <cell r="CW356">
            <v>0</v>
          </cell>
          <cell r="CX356">
            <v>56000</v>
          </cell>
          <cell r="CY356">
            <v>56000</v>
          </cell>
          <cell r="DA356">
            <v>0</v>
          </cell>
          <cell r="DB356">
            <v>0</v>
          </cell>
          <cell r="DC356">
            <v>0</v>
          </cell>
          <cell r="DE356">
            <v>59000</v>
          </cell>
          <cell r="DG356">
            <v>0</v>
          </cell>
          <cell r="DH356">
            <v>0</v>
          </cell>
          <cell r="DI356">
            <v>0</v>
          </cell>
          <cell r="DJ356">
            <v>61000</v>
          </cell>
          <cell r="DK356">
            <v>61000</v>
          </cell>
          <cell r="DM356">
            <v>0</v>
          </cell>
          <cell r="DN356">
            <v>0</v>
          </cell>
          <cell r="DO356">
            <v>0</v>
          </cell>
          <cell r="DP356">
            <v>65559.195418199932</v>
          </cell>
          <cell r="DQ356">
            <v>65559.195418199932</v>
          </cell>
          <cell r="DS356">
            <v>0</v>
          </cell>
          <cell r="DT356">
            <v>0</v>
          </cell>
          <cell r="DU356">
            <v>0</v>
          </cell>
          <cell r="DV356">
            <v>67000</v>
          </cell>
          <cell r="DW356">
            <v>67000</v>
          </cell>
          <cell r="DY356">
            <v>0</v>
          </cell>
          <cell r="DZ356">
            <v>0</v>
          </cell>
          <cell r="EA356">
            <v>0</v>
          </cell>
          <cell r="EB356">
            <v>63000</v>
          </cell>
          <cell r="EC356">
            <v>63000</v>
          </cell>
          <cell r="EE356">
            <v>0</v>
          </cell>
          <cell r="EF356">
            <v>0</v>
          </cell>
          <cell r="EG356">
            <v>0</v>
          </cell>
          <cell r="EH356">
            <v>69000</v>
          </cell>
          <cell r="EI356">
            <v>69000</v>
          </cell>
          <cell r="EK356">
            <v>0</v>
          </cell>
          <cell r="EL356">
            <v>0</v>
          </cell>
          <cell r="EM356">
            <v>0</v>
          </cell>
          <cell r="EN356">
            <v>72871.638526340888</v>
          </cell>
          <cell r="EO356">
            <v>72871.638526340888</v>
          </cell>
          <cell r="EQ356">
            <v>0</v>
          </cell>
          <cell r="ER356">
            <v>0</v>
          </cell>
          <cell r="ES356">
            <v>0</v>
          </cell>
          <cell r="ET356">
            <v>76033.388847122653</v>
          </cell>
          <cell r="EU356">
            <v>76033.388847122653</v>
          </cell>
          <cell r="EW356">
            <v>0</v>
          </cell>
          <cell r="EX356">
            <v>0</v>
          </cell>
          <cell r="EY356">
            <v>0</v>
          </cell>
          <cell r="EZ356">
            <v>79362.760007997582</v>
          </cell>
          <cell r="FA356">
            <v>79362.760007997582</v>
          </cell>
        </row>
        <row r="357">
          <cell r="C357" t="str">
            <v>-</v>
          </cell>
          <cell r="D357" t="str">
            <v>-</v>
          </cell>
          <cell r="E357" t="str">
            <v>-</v>
          </cell>
          <cell r="F357" t="str">
            <v>-</v>
          </cell>
          <cell r="G357" t="str">
            <v>-</v>
          </cell>
          <cell r="H357" t="str">
            <v>-</v>
          </cell>
          <cell r="I357" t="str">
            <v>-</v>
          </cell>
          <cell r="J357">
            <v>1010</v>
          </cell>
          <cell r="K357">
            <v>1147</v>
          </cell>
          <cell r="L357">
            <v>1409</v>
          </cell>
          <cell r="M357">
            <v>1757</v>
          </cell>
          <cell r="O357">
            <v>1939</v>
          </cell>
          <cell r="P357">
            <v>2020</v>
          </cell>
          <cell r="Q357">
            <v>2285</v>
          </cell>
          <cell r="R357">
            <v>2348</v>
          </cell>
          <cell r="S357">
            <v>2348</v>
          </cell>
          <cell r="U357">
            <v>2589</v>
          </cell>
          <cell r="V357">
            <v>2772</v>
          </cell>
          <cell r="W357">
            <v>2912</v>
          </cell>
          <cell r="X357">
            <v>3125</v>
          </cell>
          <cell r="Y357">
            <v>3125</v>
          </cell>
          <cell r="AA357">
            <v>3334</v>
          </cell>
          <cell r="AB357">
            <v>3513</v>
          </cell>
          <cell r="AC357">
            <v>3827</v>
          </cell>
          <cell r="AD357">
            <v>3970</v>
          </cell>
          <cell r="AE357">
            <v>3970</v>
          </cell>
          <cell r="AG357">
            <v>4523</v>
          </cell>
          <cell r="AH357">
            <v>4613</v>
          </cell>
          <cell r="AI357">
            <v>4710</v>
          </cell>
          <cell r="AJ357">
            <v>4826</v>
          </cell>
          <cell r="AK357">
            <v>4826</v>
          </cell>
          <cell r="AM357">
            <v>5024</v>
          </cell>
          <cell r="AN357">
            <v>5180</v>
          </cell>
          <cell r="AO357">
            <v>5396</v>
          </cell>
          <cell r="AP357">
            <v>5781</v>
          </cell>
          <cell r="AQ357">
            <v>5781</v>
          </cell>
          <cell r="AS357">
            <v>6070</v>
          </cell>
          <cell r="AT357">
            <v>6281</v>
          </cell>
          <cell r="AU357">
            <v>6455</v>
          </cell>
          <cell r="AV357">
            <v>6650</v>
          </cell>
          <cell r="AW357">
            <v>6650</v>
          </cell>
          <cell r="AY357">
            <v>0</v>
          </cell>
          <cell r="AZ357">
            <v>0</v>
          </cell>
          <cell r="BA357">
            <v>0</v>
          </cell>
          <cell r="BB357">
            <v>7926</v>
          </cell>
          <cell r="BC357">
            <v>7926</v>
          </cell>
          <cell r="BE357">
            <v>0</v>
          </cell>
          <cell r="BF357">
            <v>0</v>
          </cell>
          <cell r="BG357">
            <v>0</v>
          </cell>
          <cell r="BH357">
            <v>8859</v>
          </cell>
          <cell r="BI357">
            <v>8859</v>
          </cell>
          <cell r="BK357">
            <v>0</v>
          </cell>
          <cell r="BL357">
            <v>0</v>
          </cell>
          <cell r="BM357">
            <v>0</v>
          </cell>
          <cell r="BN357">
            <v>9429</v>
          </cell>
          <cell r="BO357">
            <v>9429</v>
          </cell>
          <cell r="BQ357">
            <v>0</v>
          </cell>
          <cell r="BR357">
            <v>0</v>
          </cell>
          <cell r="BS357">
            <v>0</v>
          </cell>
          <cell r="BT357">
            <v>11436</v>
          </cell>
          <cell r="BU357">
            <v>11436</v>
          </cell>
          <cell r="BW357">
            <v>0</v>
          </cell>
          <cell r="BX357">
            <v>0</v>
          </cell>
          <cell r="BY357">
            <v>0</v>
          </cell>
          <cell r="BZ357">
            <v>13114</v>
          </cell>
          <cell r="CA357">
            <v>13114</v>
          </cell>
          <cell r="CC357">
            <v>0</v>
          </cell>
          <cell r="CD357">
            <v>0</v>
          </cell>
          <cell r="CE357">
            <v>0</v>
          </cell>
          <cell r="CF357">
            <v>14432</v>
          </cell>
          <cell r="CG357">
            <v>14432</v>
          </cell>
          <cell r="CI357">
            <v>0</v>
          </cell>
          <cell r="CJ357">
            <v>0</v>
          </cell>
          <cell r="CK357">
            <v>0</v>
          </cell>
          <cell r="CL357">
            <v>18130</v>
          </cell>
          <cell r="CM357">
            <v>18130</v>
          </cell>
          <cell r="CO357">
            <v>0</v>
          </cell>
          <cell r="CP357">
            <v>0</v>
          </cell>
          <cell r="CQ357">
            <v>0</v>
          </cell>
          <cell r="CR357">
            <v>20607</v>
          </cell>
          <cell r="CS357">
            <v>20607</v>
          </cell>
          <cell r="CU357">
            <v>0</v>
          </cell>
          <cell r="CV357">
            <v>0</v>
          </cell>
          <cell r="CW357">
            <v>0</v>
          </cell>
          <cell r="CX357">
            <v>22000</v>
          </cell>
          <cell r="CY357">
            <v>22000</v>
          </cell>
          <cell r="DA357">
            <v>0</v>
          </cell>
          <cell r="DB357">
            <v>0</v>
          </cell>
          <cell r="DC357">
            <v>0</v>
          </cell>
          <cell r="DE357">
            <v>28000</v>
          </cell>
          <cell r="DG357">
            <v>0</v>
          </cell>
          <cell r="DH357">
            <v>0</v>
          </cell>
          <cell r="DI357">
            <v>0</v>
          </cell>
          <cell r="DJ357">
            <v>30000</v>
          </cell>
          <cell r="DK357">
            <v>30000</v>
          </cell>
          <cell r="DM357">
            <v>0</v>
          </cell>
          <cell r="DN357">
            <v>0</v>
          </cell>
          <cell r="DO357">
            <v>0</v>
          </cell>
          <cell r="DP357">
            <v>32000</v>
          </cell>
          <cell r="DQ357">
            <v>32000</v>
          </cell>
          <cell r="DS357">
            <v>0</v>
          </cell>
          <cell r="DT357">
            <v>0</v>
          </cell>
          <cell r="DU357">
            <v>0</v>
          </cell>
          <cell r="DV357">
            <v>35000</v>
          </cell>
          <cell r="DW357">
            <v>35000</v>
          </cell>
          <cell r="DY357">
            <v>0</v>
          </cell>
          <cell r="DZ357">
            <v>0</v>
          </cell>
          <cell r="EA357">
            <v>0</v>
          </cell>
          <cell r="EB357">
            <v>36000</v>
          </cell>
          <cell r="EC357">
            <v>36000</v>
          </cell>
          <cell r="EE357">
            <v>0</v>
          </cell>
          <cell r="EF357">
            <v>0</v>
          </cell>
          <cell r="EG357">
            <v>0</v>
          </cell>
          <cell r="EH357">
            <v>38000</v>
          </cell>
          <cell r="EI357">
            <v>38000</v>
          </cell>
          <cell r="EK357">
            <v>0</v>
          </cell>
          <cell r="EL357">
            <v>0</v>
          </cell>
          <cell r="EM357">
            <v>0</v>
          </cell>
          <cell r="EN357">
            <v>40132.206724651507</v>
          </cell>
          <cell r="EO357">
            <v>40132.206724651507</v>
          </cell>
          <cell r="EQ357">
            <v>0</v>
          </cell>
          <cell r="ER357">
            <v>0</v>
          </cell>
          <cell r="ES357">
            <v>0</v>
          </cell>
          <cell r="ET357">
            <v>41873.460524502334</v>
          </cell>
          <cell r="EU357">
            <v>41873.460524502334</v>
          </cell>
          <cell r="EW357">
            <v>0</v>
          </cell>
          <cell r="EX357">
            <v>0</v>
          </cell>
          <cell r="EY357">
            <v>0</v>
          </cell>
          <cell r="EZ357">
            <v>43707.027250781277</v>
          </cell>
          <cell r="FA357">
            <v>43707.027250781277</v>
          </cell>
        </row>
        <row r="358">
          <cell r="C358" t="str">
            <v>-</v>
          </cell>
          <cell r="D358" t="str">
            <v>-</v>
          </cell>
          <cell r="E358" t="str">
            <v>-</v>
          </cell>
          <cell r="F358" t="str">
            <v>-</v>
          </cell>
          <cell r="G358" t="str">
            <v>-</v>
          </cell>
          <cell r="H358" t="str">
            <v>-</v>
          </cell>
          <cell r="I358" t="str">
            <v>-</v>
          </cell>
          <cell r="J358">
            <v>3480</v>
          </cell>
          <cell r="K358">
            <v>3603</v>
          </cell>
          <cell r="L358">
            <v>3904</v>
          </cell>
          <cell r="M358">
            <v>5022</v>
          </cell>
          <cell r="O358">
            <v>5765</v>
          </cell>
          <cell r="P358">
            <v>6379</v>
          </cell>
          <cell r="Q358">
            <v>7086</v>
          </cell>
          <cell r="R358">
            <v>7493</v>
          </cell>
          <cell r="S358">
            <v>7493</v>
          </cell>
          <cell r="U358">
            <v>8392</v>
          </cell>
          <cell r="V358">
            <v>9222</v>
          </cell>
          <cell r="W358">
            <v>9935</v>
          </cell>
          <cell r="X358">
            <v>10911</v>
          </cell>
          <cell r="Y358">
            <v>10911</v>
          </cell>
          <cell r="AA358">
            <v>12078</v>
          </cell>
          <cell r="AB358">
            <v>13158</v>
          </cell>
          <cell r="AC358">
            <v>13905</v>
          </cell>
          <cell r="AD358">
            <v>14181</v>
          </cell>
          <cell r="AE358">
            <v>14181</v>
          </cell>
          <cell r="AG358">
            <v>15508</v>
          </cell>
          <cell r="AH358">
            <v>16732</v>
          </cell>
          <cell r="AI358">
            <v>17751</v>
          </cell>
          <cell r="AJ358">
            <v>18339</v>
          </cell>
          <cell r="AK358">
            <v>18339</v>
          </cell>
          <cell r="AM358">
            <v>19501</v>
          </cell>
          <cell r="AN358">
            <v>20618</v>
          </cell>
          <cell r="AO358">
            <v>21882</v>
          </cell>
          <cell r="AP358">
            <v>22130</v>
          </cell>
          <cell r="AQ358">
            <v>22130</v>
          </cell>
          <cell r="AS358">
            <v>21300</v>
          </cell>
          <cell r="AT358">
            <v>20699</v>
          </cell>
          <cell r="AU358">
            <v>20249</v>
          </cell>
          <cell r="AV358">
            <v>19771</v>
          </cell>
          <cell r="AW358">
            <v>19771</v>
          </cell>
          <cell r="AY358">
            <v>19905</v>
          </cell>
          <cell r="AZ358">
            <v>20660</v>
          </cell>
          <cell r="BA358">
            <v>21470</v>
          </cell>
          <cell r="BB358">
            <v>20919</v>
          </cell>
          <cell r="BC358">
            <v>20919</v>
          </cell>
          <cell r="BE358">
            <v>20128</v>
          </cell>
          <cell r="BF358">
            <v>20193</v>
          </cell>
          <cell r="BG358">
            <v>19602</v>
          </cell>
          <cell r="BH358">
            <v>19470</v>
          </cell>
          <cell r="BI358">
            <v>19470</v>
          </cell>
          <cell r="BK358">
            <v>18893</v>
          </cell>
          <cell r="BL358">
            <v>18420</v>
          </cell>
          <cell r="BM358">
            <v>18129</v>
          </cell>
          <cell r="BN358">
            <v>17968</v>
          </cell>
          <cell r="BO358">
            <v>17968</v>
          </cell>
          <cell r="BQ358">
            <v>17437</v>
          </cell>
          <cell r="BR358">
            <v>17056</v>
          </cell>
          <cell r="BS358">
            <v>16908</v>
          </cell>
          <cell r="BT358">
            <v>16659</v>
          </cell>
          <cell r="BU358">
            <v>16659</v>
          </cell>
          <cell r="BW358">
            <v>16458</v>
          </cell>
          <cell r="BX358">
            <v>16347</v>
          </cell>
          <cell r="BY358">
            <v>21774</v>
          </cell>
          <cell r="BZ358">
            <v>21544</v>
          </cell>
          <cell r="CA358">
            <v>21544</v>
          </cell>
          <cell r="CC358">
            <v>21198</v>
          </cell>
          <cell r="CD358">
            <v>21133</v>
          </cell>
          <cell r="CE358">
            <v>23256</v>
          </cell>
          <cell r="CF358">
            <v>23209</v>
          </cell>
          <cell r="CG358">
            <v>23209</v>
          </cell>
          <cell r="CI358">
            <v>23503</v>
          </cell>
          <cell r="CJ358">
            <v>24054</v>
          </cell>
          <cell r="CK358">
            <v>24253</v>
          </cell>
          <cell r="CL358">
            <v>29830</v>
          </cell>
          <cell r="CM358">
            <v>29830</v>
          </cell>
          <cell r="CO358">
            <v>30455</v>
          </cell>
          <cell r="CP358">
            <v>30654</v>
          </cell>
          <cell r="CQ358">
            <v>30624</v>
          </cell>
          <cell r="CR358">
            <v>32608</v>
          </cell>
          <cell r="CS358">
            <v>32608</v>
          </cell>
          <cell r="CU358">
            <v>32993</v>
          </cell>
          <cell r="CV358">
            <v>33526</v>
          </cell>
          <cell r="CW358">
            <v>32919</v>
          </cell>
          <cell r="CX358">
            <v>32347</v>
          </cell>
          <cell r="CY358">
            <v>32347</v>
          </cell>
          <cell r="DA358">
            <v>32034</v>
          </cell>
          <cell r="DB358">
            <v>31849</v>
          </cell>
          <cell r="DC358">
            <v>44554</v>
          </cell>
          <cell r="DE358">
            <v>43968</v>
          </cell>
          <cell r="DG358">
            <v>44494</v>
          </cell>
          <cell r="DH358">
            <v>44815</v>
          </cell>
          <cell r="DI358">
            <v>45825</v>
          </cell>
          <cell r="DJ358">
            <v>45887</v>
          </cell>
          <cell r="DK358">
            <v>45887</v>
          </cell>
          <cell r="DM358">
            <v>46338</v>
          </cell>
          <cell r="DN358">
            <v>46672</v>
          </cell>
          <cell r="DO358">
            <v>47884</v>
          </cell>
          <cell r="DP358">
            <v>48901</v>
          </cell>
          <cell r="DQ358">
            <v>48901</v>
          </cell>
          <cell r="DS358">
            <v>49145</v>
          </cell>
          <cell r="DT358">
            <v>49584</v>
          </cell>
          <cell r="DU358">
            <v>50402</v>
          </cell>
          <cell r="DV358">
            <v>51519</v>
          </cell>
          <cell r="DW358">
            <v>51519</v>
          </cell>
          <cell r="DY358">
            <v>53465</v>
          </cell>
          <cell r="DZ358">
            <v>53073</v>
          </cell>
          <cell r="EA358">
            <v>53799</v>
          </cell>
          <cell r="EB358">
            <v>53827</v>
          </cell>
          <cell r="EC358">
            <v>53827</v>
          </cell>
          <cell r="EE358">
            <v>54073</v>
          </cell>
          <cell r="EF358">
            <v>57243</v>
          </cell>
          <cell r="EG358">
            <v>58117</v>
          </cell>
          <cell r="EH358">
            <v>58415</v>
          </cell>
          <cell r="EI358">
            <v>58415</v>
          </cell>
          <cell r="EK358">
            <v>59901</v>
          </cell>
          <cell r="EL358">
            <v>60200.50499999999</v>
          </cell>
          <cell r="EM358">
            <v>60501.507524999986</v>
          </cell>
          <cell r="EN358">
            <v>60804.015062624982</v>
          </cell>
          <cell r="EO358">
            <v>60804.015062624982</v>
          </cell>
          <cell r="EQ358">
            <v>61108.035137938103</v>
          </cell>
          <cell r="ER358">
            <v>61413.575313627785</v>
          </cell>
          <cell r="ES358">
            <v>61720.643190195915</v>
          </cell>
          <cell r="ET358">
            <v>62029.246406146885</v>
          </cell>
          <cell r="EU358">
            <v>62029.246406146885</v>
          </cell>
          <cell r="EW358">
            <v>62339.392638177611</v>
          </cell>
          <cell r="EX358">
            <v>62651.089601368491</v>
          </cell>
          <cell r="EY358">
            <v>62964.345049375326</v>
          </cell>
          <cell r="EZ358">
            <v>63279.166774622194</v>
          </cell>
          <cell r="FA358">
            <v>63279.166774622194</v>
          </cell>
        </row>
        <row r="359">
          <cell r="C359" t="str">
            <v>-</v>
          </cell>
          <cell r="D359" t="str">
            <v>-</v>
          </cell>
          <cell r="E359" t="str">
            <v>-</v>
          </cell>
          <cell r="F359" t="str">
            <v>-</v>
          </cell>
          <cell r="G359" t="str">
            <v>-</v>
          </cell>
          <cell r="H359" t="str">
            <v>-</v>
          </cell>
          <cell r="I359" t="str">
            <v>-</v>
          </cell>
          <cell r="J359">
            <v>3986</v>
          </cell>
          <cell r="K359">
            <v>4557</v>
          </cell>
          <cell r="L359">
            <v>5343</v>
          </cell>
          <cell r="M359">
            <v>7036</v>
          </cell>
          <cell r="O359">
            <v>7691</v>
          </cell>
          <cell r="P359">
            <v>8451</v>
          </cell>
          <cell r="Q359">
            <v>8997</v>
          </cell>
          <cell r="R359">
            <v>9389</v>
          </cell>
          <cell r="S359">
            <v>9389</v>
          </cell>
          <cell r="U359">
            <v>10107</v>
          </cell>
          <cell r="V359">
            <v>10723</v>
          </cell>
          <cell r="W359">
            <v>11441</v>
          </cell>
          <cell r="X359">
            <v>12202</v>
          </cell>
          <cell r="Y359">
            <v>12202</v>
          </cell>
          <cell r="AA359">
            <v>13146</v>
          </cell>
          <cell r="AB359">
            <v>14194</v>
          </cell>
          <cell r="AC359">
            <v>14939</v>
          </cell>
          <cell r="AD359">
            <v>15250</v>
          </cell>
          <cell r="AE359">
            <v>15250</v>
          </cell>
          <cell r="AG359">
            <v>15893</v>
          </cell>
          <cell r="AH359">
            <v>17043</v>
          </cell>
          <cell r="AI359">
            <v>17762</v>
          </cell>
          <cell r="AJ359">
            <v>18463</v>
          </cell>
          <cell r="AK359">
            <v>18463</v>
          </cell>
          <cell r="AM359">
            <v>19128</v>
          </cell>
          <cell r="AN359">
            <v>20177</v>
          </cell>
          <cell r="AO359">
            <v>20901</v>
          </cell>
          <cell r="AP359">
            <v>21670</v>
          </cell>
          <cell r="AQ359">
            <v>21670</v>
          </cell>
          <cell r="AS359">
            <v>21793</v>
          </cell>
          <cell r="AT359">
            <v>21983</v>
          </cell>
          <cell r="AU359">
            <v>21668</v>
          </cell>
          <cell r="AV359">
            <v>21549</v>
          </cell>
          <cell r="AW359">
            <v>21549</v>
          </cell>
          <cell r="AY359">
            <v>21265</v>
          </cell>
          <cell r="AZ359">
            <v>21342</v>
          </cell>
          <cell r="BA359">
            <v>21838</v>
          </cell>
          <cell r="BB359">
            <v>22008</v>
          </cell>
          <cell r="BC359">
            <v>22008</v>
          </cell>
          <cell r="BE359">
            <v>22171</v>
          </cell>
          <cell r="BF359">
            <v>22250</v>
          </cell>
          <cell r="BG359">
            <v>22333</v>
          </cell>
          <cell r="BH359">
            <v>22536</v>
          </cell>
          <cell r="BI359">
            <v>22536</v>
          </cell>
          <cell r="BK359">
            <v>22603</v>
          </cell>
          <cell r="BL359">
            <v>22225</v>
          </cell>
          <cell r="BM359">
            <v>22260</v>
          </cell>
          <cell r="BN359">
            <v>22682</v>
          </cell>
          <cell r="BO359">
            <v>22682</v>
          </cell>
          <cell r="BQ359">
            <v>22887</v>
          </cell>
          <cell r="BR359">
            <v>23559</v>
          </cell>
          <cell r="BS359">
            <v>24286</v>
          </cell>
          <cell r="BT359">
            <v>24999</v>
          </cell>
          <cell r="BU359">
            <v>24999</v>
          </cell>
          <cell r="BW359">
            <v>25610</v>
          </cell>
          <cell r="BX359">
            <v>26233</v>
          </cell>
          <cell r="BY359">
            <v>29107</v>
          </cell>
          <cell r="BZ359">
            <v>28328</v>
          </cell>
          <cell r="CA359">
            <v>28328</v>
          </cell>
          <cell r="CC359">
            <v>28318</v>
          </cell>
          <cell r="CD359">
            <v>30021</v>
          </cell>
          <cell r="CE359">
            <v>32326</v>
          </cell>
          <cell r="CF359">
            <v>32924</v>
          </cell>
          <cell r="CG359">
            <v>32924</v>
          </cell>
          <cell r="CI359">
            <v>41623</v>
          </cell>
          <cell r="CJ359">
            <v>44380</v>
          </cell>
          <cell r="CK359">
            <v>46228</v>
          </cell>
          <cell r="CL359">
            <v>44844</v>
          </cell>
          <cell r="CM359">
            <v>44844</v>
          </cell>
          <cell r="CO359">
            <v>47197</v>
          </cell>
          <cell r="CP359">
            <v>48995</v>
          </cell>
          <cell r="CQ359">
            <v>49595</v>
          </cell>
          <cell r="CR359">
            <v>51625</v>
          </cell>
          <cell r="CS359">
            <v>51625</v>
          </cell>
          <cell r="CU359">
            <v>52195</v>
          </cell>
          <cell r="CV359">
            <v>53131</v>
          </cell>
          <cell r="CW359">
            <v>53669</v>
          </cell>
          <cell r="CX359">
            <v>53215</v>
          </cell>
          <cell r="CY359">
            <v>53215</v>
          </cell>
          <cell r="DA359">
            <v>52605</v>
          </cell>
          <cell r="DB359">
            <v>51517</v>
          </cell>
          <cell r="DC359">
            <v>61938</v>
          </cell>
          <cell r="DE359">
            <v>60601</v>
          </cell>
          <cell r="DG359">
            <v>60742</v>
          </cell>
          <cell r="DH359">
            <v>60915</v>
          </cell>
          <cell r="DI359">
            <v>62045</v>
          </cell>
          <cell r="DJ359">
            <v>62542</v>
          </cell>
          <cell r="DK359">
            <v>62542</v>
          </cell>
          <cell r="DM359">
            <v>63050</v>
          </cell>
          <cell r="DN359">
            <v>64630</v>
          </cell>
          <cell r="DO359">
            <v>65760</v>
          </cell>
          <cell r="DP359">
            <v>66265</v>
          </cell>
          <cell r="DQ359">
            <v>66265</v>
          </cell>
          <cell r="DS359">
            <v>66754</v>
          </cell>
          <cell r="DT359">
            <v>67645</v>
          </cell>
          <cell r="DU359">
            <v>68255</v>
          </cell>
          <cell r="DV359">
            <v>68715</v>
          </cell>
          <cell r="DW359">
            <v>68715</v>
          </cell>
          <cell r="DY359">
            <v>68862</v>
          </cell>
          <cell r="DZ359">
            <v>68795</v>
          </cell>
          <cell r="EA359">
            <v>68911</v>
          </cell>
          <cell r="EB359">
            <v>68447</v>
          </cell>
          <cell r="EC359">
            <v>68447</v>
          </cell>
          <cell r="EE359">
            <v>68845</v>
          </cell>
          <cell r="EF359">
            <v>73309</v>
          </cell>
          <cell r="EG359">
            <v>73445</v>
          </cell>
          <cell r="EH359">
            <v>73950</v>
          </cell>
          <cell r="EI359">
            <v>73950</v>
          </cell>
          <cell r="EK359">
            <v>75169</v>
          </cell>
          <cell r="EL359">
            <v>76296.534999999989</v>
          </cell>
          <cell r="EM359">
            <v>77440.98302499998</v>
          </cell>
          <cell r="EN359">
            <v>78602.597770374967</v>
          </cell>
          <cell r="EO359">
            <v>78602.597770374967</v>
          </cell>
          <cell r="EQ359">
            <v>79781.636736930581</v>
          </cell>
          <cell r="ER359">
            <v>80978.361287984531</v>
          </cell>
          <cell r="ES359">
            <v>82193.036707304287</v>
          </cell>
          <cell r="ET359">
            <v>83425.932257913839</v>
          </cell>
          <cell r="EU359">
            <v>83425.932257913839</v>
          </cell>
          <cell r="EW359">
            <v>84677.321241782542</v>
          </cell>
          <cell r="EX359">
            <v>85947.481060409278</v>
          </cell>
          <cell r="EY359">
            <v>87236.693276315404</v>
          </cell>
          <cell r="EZ359">
            <v>88545.243675460122</v>
          </cell>
          <cell r="FA359">
            <v>88545.243675460122</v>
          </cell>
        </row>
        <row r="360">
          <cell r="C360" t="str">
            <v>-</v>
          </cell>
          <cell r="D360" t="str">
            <v>-</v>
          </cell>
          <cell r="E360" t="str">
            <v>-</v>
          </cell>
          <cell r="F360" t="str">
            <v>-</v>
          </cell>
          <cell r="G360" t="str">
            <v>-</v>
          </cell>
          <cell r="H360" t="str">
            <v>-</v>
          </cell>
          <cell r="I360" t="str">
            <v>-</v>
          </cell>
          <cell r="J360">
            <v>137.68403428877579</v>
          </cell>
          <cell r="K360">
            <v>144.48529411764704</v>
          </cell>
          <cell r="L360">
            <v>162.53920190331999</v>
          </cell>
          <cell r="M360">
            <v>165.96010947089067</v>
          </cell>
          <cell r="O360" t="str">
            <v>-</v>
          </cell>
          <cell r="P360" t="str">
            <v>-</v>
          </cell>
          <cell r="Q360" t="str">
            <v>-</v>
          </cell>
          <cell r="R360">
            <v>175.74209216917427</v>
          </cell>
          <cell r="S360">
            <v>175.74209216917424</v>
          </cell>
          <cell r="U360">
            <v>172.02048759392403</v>
          </cell>
          <cell r="V360">
            <v>174.42602155928802</v>
          </cell>
          <cell r="W360">
            <v>176.68979229041915</v>
          </cell>
          <cell r="X360">
            <v>182.71604724613854</v>
          </cell>
          <cell r="Y360">
            <v>182.71604724613854</v>
          </cell>
          <cell r="AA360">
            <v>178.54551221059307</v>
          </cell>
          <cell r="AB360">
            <v>177.24499122550449</v>
          </cell>
          <cell r="AC360">
            <v>180.2932672306199</v>
          </cell>
          <cell r="AD360">
            <v>193.14110971424685</v>
          </cell>
          <cell r="AE360">
            <v>193.14110971424685</v>
          </cell>
          <cell r="AG360">
            <v>191.10362727301677</v>
          </cell>
          <cell r="AH360">
            <v>186.62321243523311</v>
          </cell>
          <cell r="AI360">
            <v>188.08163207839382</v>
          </cell>
          <cell r="AJ360">
            <v>194.11621650997228</v>
          </cell>
          <cell r="AK360">
            <v>194.11621650997228</v>
          </cell>
          <cell r="AM360">
            <v>194.77975096430143</v>
          </cell>
          <cell r="AN360">
            <v>195.27795072925602</v>
          </cell>
          <cell r="AO360">
            <v>193.92111352640069</v>
          </cell>
          <cell r="AP360">
            <v>201.53543378995434</v>
          </cell>
          <cell r="AQ360">
            <v>201.53543378995434</v>
          </cell>
          <cell r="AS360">
            <v>210.30466665119624</v>
          </cell>
          <cell r="AT360">
            <v>218.5604704559299</v>
          </cell>
          <cell r="AU360">
            <v>231.38812415010614</v>
          </cell>
          <cell r="AV360">
            <v>245.16282671829623</v>
          </cell>
          <cell r="AW360">
            <v>245.16282671829623</v>
          </cell>
          <cell r="AY360">
            <v>253.42732572261352</v>
          </cell>
          <cell r="AZ360">
            <v>257.08604352173705</v>
          </cell>
          <cell r="BA360">
            <v>255.02844740001851</v>
          </cell>
          <cell r="BB360">
            <v>255.33328674260952</v>
          </cell>
          <cell r="BC360">
            <v>255.33328674260952</v>
          </cell>
          <cell r="BE360">
            <v>258.58188136835383</v>
          </cell>
          <cell r="BF360">
            <v>250.49558231039276</v>
          </cell>
          <cell r="BG360">
            <v>242.97226660307618</v>
          </cell>
          <cell r="BH360">
            <v>230.27169928105511</v>
          </cell>
          <cell r="BI360">
            <v>230.27169928105511</v>
          </cell>
          <cell r="BK360">
            <v>227.3890977443609</v>
          </cell>
          <cell r="BL360">
            <v>230.39244679542378</v>
          </cell>
          <cell r="BM360">
            <v>233.18183168684541</v>
          </cell>
          <cell r="BN360">
            <v>233.09717097170972</v>
          </cell>
          <cell r="BO360">
            <v>233.09717097170972</v>
          </cell>
          <cell r="BQ360">
            <v>236.07281023707966</v>
          </cell>
          <cell r="BR360">
            <v>239.03483934506954</v>
          </cell>
          <cell r="BS360">
            <v>240.57872505704714</v>
          </cell>
          <cell r="BT360">
            <v>243.7947092995343</v>
          </cell>
          <cell r="BU360">
            <v>243.7947092995343</v>
          </cell>
          <cell r="BW360">
            <v>244.81791385376059</v>
          </cell>
          <cell r="BX360">
            <v>247.93330201972756</v>
          </cell>
          <cell r="BY360">
            <v>218.9618914722588</v>
          </cell>
          <cell r="BZ360">
            <v>243.00208533846649</v>
          </cell>
          <cell r="CA360">
            <v>243.00208533846649</v>
          </cell>
          <cell r="CC360">
            <v>258.7244527021569</v>
          </cell>
          <cell r="CD360">
            <v>262.91199124213159</v>
          </cell>
          <cell r="CE360">
            <v>249.90824367601022</v>
          </cell>
          <cell r="CF360">
            <v>263.16783353820387</v>
          </cell>
          <cell r="CG360">
            <v>263.16783353820387</v>
          </cell>
          <cell r="CI360">
            <v>238.40555231397599</v>
          </cell>
          <cell r="CJ360">
            <v>238.89294794984946</v>
          </cell>
          <cell r="CK360">
            <v>244.93125806955067</v>
          </cell>
          <cell r="CL360">
            <v>243.84658649596915</v>
          </cell>
          <cell r="CM360">
            <v>243.84658649596915</v>
          </cell>
          <cell r="CO360">
            <v>246.49719260289496</v>
          </cell>
          <cell r="CP360">
            <v>254.73012843852405</v>
          </cell>
          <cell r="CQ360">
            <v>264.41366758498606</v>
          </cell>
          <cell r="CR360">
            <v>268.41024301639499</v>
          </cell>
          <cell r="CS360">
            <v>268.41024301639499</v>
          </cell>
          <cell r="CU360">
            <v>275.1326477907686</v>
          </cell>
          <cell r="CV360">
            <v>274.19596801181672</v>
          </cell>
          <cell r="CW360">
            <v>275.95047812629923</v>
          </cell>
          <cell r="CX360">
            <v>274.5845118159931</v>
          </cell>
          <cell r="CY360">
            <v>274.5845118159931</v>
          </cell>
          <cell r="DA360">
            <v>273.33735039402643</v>
          </cell>
          <cell r="DB360">
            <v>279.73034570448385</v>
          </cell>
          <cell r="DC360">
            <v>228.04905532809977</v>
          </cell>
          <cell r="DE360">
            <v>258.54125027493808</v>
          </cell>
          <cell r="DG360">
            <v>280.89627123797936</v>
          </cell>
          <cell r="DH360">
            <v>306.27447271351559</v>
          </cell>
          <cell r="DI360">
            <v>321.86891628812458</v>
          </cell>
          <cell r="DJ360">
            <v>332.36111111111109</v>
          </cell>
          <cell r="DK360">
            <v>332.36111111111109</v>
          </cell>
          <cell r="DM360">
            <v>335.5486890700991</v>
          </cell>
          <cell r="DN360">
            <v>330.8296346876067</v>
          </cell>
          <cell r="DO360">
            <v>326.25866037802257</v>
          </cell>
          <cell r="DP360">
            <v>322.09897936116835</v>
          </cell>
          <cell r="DQ360">
            <v>322.09897936116835</v>
          </cell>
          <cell r="DS360">
            <v>319.52388631480852</v>
          </cell>
          <cell r="DT360">
            <v>318.47494135410182</v>
          </cell>
          <cell r="DU360">
            <v>313.86399201058521</v>
          </cell>
          <cell r="DV360">
            <v>310.44166666666666</v>
          </cell>
          <cell r="DW360">
            <v>310.44166666666666</v>
          </cell>
          <cell r="DY360">
            <v>305.94226949079109</v>
          </cell>
          <cell r="DZ360">
            <v>308.48951324383762</v>
          </cell>
          <cell r="EA360">
            <v>309.18425556189391</v>
          </cell>
          <cell r="EB360">
            <v>313.97540983606558</v>
          </cell>
          <cell r="EC360">
            <v>313.97540983606558</v>
          </cell>
          <cell r="EE360">
            <v>313.40405798987939</v>
          </cell>
          <cell r="EF360">
            <v>297.56725289539798</v>
          </cell>
          <cell r="EG360">
            <v>295.42725102993268</v>
          </cell>
          <cell r="EH360">
            <v>289.7954545454545</v>
          </cell>
          <cell r="EI360">
            <v>289.7954545454545</v>
          </cell>
          <cell r="EK360">
            <v>282.11297845561563</v>
          </cell>
          <cell r="EL360">
            <v>274.67994910365826</v>
          </cell>
          <cell r="EM360">
            <v>270.32458964109958</v>
          </cell>
          <cell r="EN360">
            <v>291.71428930359491</v>
          </cell>
          <cell r="EO360">
            <v>291.71428930359491</v>
          </cell>
          <cell r="EQ360">
            <v>263.68782765138104</v>
          </cell>
          <cell r="ER360">
            <v>261.69872568553052</v>
          </cell>
          <cell r="ES360">
            <v>259.31038557411887</v>
          </cell>
          <cell r="ET360">
            <v>281.59722717180529</v>
          </cell>
          <cell r="EU360">
            <v>281.59722717180529</v>
          </cell>
          <cell r="EW360">
            <v>253.69909070927648</v>
          </cell>
          <cell r="EX360">
            <v>251.13620281142869</v>
          </cell>
          <cell r="EY360">
            <v>248.58817341773528</v>
          </cell>
          <cell r="EZ360">
            <v>269.54649097556563</v>
          </cell>
          <cell r="FA360">
            <v>269.54649097556563</v>
          </cell>
        </row>
        <row r="361">
          <cell r="C361" t="str">
            <v>-</v>
          </cell>
          <cell r="D361" t="str">
            <v>-</v>
          </cell>
          <cell r="E361" t="str">
            <v>-</v>
          </cell>
          <cell r="F361" t="str">
            <v>-</v>
          </cell>
          <cell r="G361" t="str">
            <v>-</v>
          </cell>
          <cell r="H361" t="str">
            <v>-</v>
          </cell>
          <cell r="I361" t="str">
            <v>-</v>
          </cell>
          <cell r="J361">
            <v>205.87802924093731</v>
          </cell>
          <cell r="K361">
            <v>215.3818048958714</v>
          </cell>
          <cell r="L361">
            <v>245.14761050399608</v>
          </cell>
          <cell r="M361">
            <v>242.44572328567966</v>
          </cell>
          <cell r="O361" t="str">
            <v>-</v>
          </cell>
          <cell r="P361" t="str">
            <v>-</v>
          </cell>
          <cell r="Q361" t="str">
            <v>-</v>
          </cell>
          <cell r="R361">
            <v>251.96416135881105</v>
          </cell>
          <cell r="S361">
            <v>251.964161358811</v>
          </cell>
          <cell r="U361">
            <v>244.57820305895015</v>
          </cell>
          <cell r="V361">
            <v>244.37531610002807</v>
          </cell>
          <cell r="W361">
            <v>244.82537110261228</v>
          </cell>
          <cell r="X361">
            <v>251.27125602427557</v>
          </cell>
          <cell r="Y361">
            <v>251.27125602427557</v>
          </cell>
          <cell r="AA361">
            <v>244.13899279015556</v>
          </cell>
          <cell r="AB361">
            <v>240.87072092214436</v>
          </cell>
          <cell r="AC361">
            <v>245.71815346815345</v>
          </cell>
          <cell r="AD361">
            <v>262.9567470046722</v>
          </cell>
          <cell r="AE361">
            <v>262.9567470046722</v>
          </cell>
          <cell r="AG361">
            <v>262.56158389849043</v>
          </cell>
          <cell r="AH361">
            <v>251.8056487695749</v>
          </cell>
          <cell r="AI361">
            <v>251.9365947495474</v>
          </cell>
          <cell r="AJ361">
            <v>259.55982269374704</v>
          </cell>
          <cell r="AK361">
            <v>259.55982269374704</v>
          </cell>
          <cell r="AM361">
            <v>258.43741842412589</v>
          </cell>
          <cell r="AN361">
            <v>256.35101042605226</v>
          </cell>
          <cell r="AO361">
            <v>254.26850347850072</v>
          </cell>
          <cell r="AP361">
            <v>267.03932720232331</v>
          </cell>
          <cell r="AQ361">
            <v>267.03932720232331</v>
          </cell>
          <cell r="AS361">
            <v>285.87927825620642</v>
          </cell>
          <cell r="AT361">
            <v>296.90944969604379</v>
          </cell>
          <cell r="AU361">
            <v>317.74270270270267</v>
          </cell>
          <cell r="AV361">
            <v>342.65079150317956</v>
          </cell>
          <cell r="AW361">
            <v>342.65079150317956</v>
          </cell>
          <cell r="AY361" t="str">
            <v>-</v>
          </cell>
          <cell r="AZ361" t="str">
            <v>-</v>
          </cell>
          <cell r="BA361" t="str">
            <v>-</v>
          </cell>
          <cell r="BB361">
            <v>372.53388620759978</v>
          </cell>
          <cell r="BC361">
            <v>372.53388620759978</v>
          </cell>
          <cell r="BE361" t="str">
            <v>-</v>
          </cell>
          <cell r="BF361" t="str">
            <v>-</v>
          </cell>
          <cell r="BG361" t="str">
            <v>-</v>
          </cell>
          <cell r="BH361">
            <v>357.4704534535644</v>
          </cell>
          <cell r="BI361">
            <v>357.4704534535644</v>
          </cell>
          <cell r="BK361" t="str">
            <v>-</v>
          </cell>
          <cell r="BL361" t="str">
            <v>-</v>
          </cell>
          <cell r="BM361" t="str">
            <v>-</v>
          </cell>
          <cell r="BN361">
            <v>374.99604242520184</v>
          </cell>
          <cell r="BO361">
            <v>374.99604242520184</v>
          </cell>
          <cell r="BQ361" t="str">
            <v>-</v>
          </cell>
          <cell r="BR361" t="str">
            <v>-</v>
          </cell>
          <cell r="BS361" t="str">
            <v>-</v>
          </cell>
          <cell r="BT361">
            <v>410.17770597738291</v>
          </cell>
          <cell r="BU361">
            <v>410.17770597738291</v>
          </cell>
          <cell r="BW361" t="str">
            <v>-</v>
          </cell>
          <cell r="BX361" t="str">
            <v>-</v>
          </cell>
          <cell r="BY361" t="str">
            <v>-</v>
          </cell>
          <cell r="BZ361">
            <v>408.73524451939289</v>
          </cell>
          <cell r="CA361">
            <v>408.73524451939289</v>
          </cell>
          <cell r="CC361" t="str">
            <v>-</v>
          </cell>
          <cell r="CD361" t="str">
            <v>-</v>
          </cell>
          <cell r="CE361" t="str">
            <v>-</v>
          </cell>
          <cell r="CF361">
            <v>416.48763709154474</v>
          </cell>
          <cell r="CG361">
            <v>416.48763709154474</v>
          </cell>
          <cell r="CI361" t="str">
            <v>-</v>
          </cell>
          <cell r="CJ361" t="str">
            <v>-</v>
          </cell>
          <cell r="CK361" t="str">
            <v>-</v>
          </cell>
          <cell r="CL361">
            <v>373.5562621807365</v>
          </cell>
          <cell r="CM361">
            <v>373.5562621807365</v>
          </cell>
          <cell r="CO361" t="str">
            <v>-</v>
          </cell>
          <cell r="CP361" t="str">
            <v>-</v>
          </cell>
          <cell r="CQ361" t="str">
            <v>-</v>
          </cell>
          <cell r="CR361">
            <v>408.68009110299704</v>
          </cell>
          <cell r="CS361">
            <v>408.68009110299704</v>
          </cell>
          <cell r="CU361" t="str">
            <v>-</v>
          </cell>
          <cell r="CV361" t="str">
            <v>-</v>
          </cell>
          <cell r="CW361" t="str">
            <v>-</v>
          </cell>
          <cell r="CX361">
            <v>419.53571428571428</v>
          </cell>
          <cell r="CY361">
            <v>419.53571428571428</v>
          </cell>
          <cell r="DA361" t="str">
            <v>-</v>
          </cell>
          <cell r="DB361" t="str">
            <v>-</v>
          </cell>
          <cell r="DC361" t="str">
            <v>-</v>
          </cell>
          <cell r="DE361">
            <v>458.22711864406784</v>
          </cell>
          <cell r="DG361" t="str">
            <v>-</v>
          </cell>
          <cell r="DH361" t="str">
            <v>-</v>
          </cell>
          <cell r="DI361" t="str">
            <v>-</v>
          </cell>
          <cell r="DJ361">
            <v>588.44262295081978</v>
          </cell>
          <cell r="DK361">
            <v>588.44262295081978</v>
          </cell>
          <cell r="DM361" t="str">
            <v>-</v>
          </cell>
          <cell r="DN361" t="str">
            <v>-</v>
          </cell>
          <cell r="DO361" t="str">
            <v>-</v>
          </cell>
          <cell r="DP361">
            <v>567.75405284590965</v>
          </cell>
          <cell r="DQ361">
            <v>567.75405284590965</v>
          </cell>
          <cell r="DS361" t="str">
            <v>-</v>
          </cell>
          <cell r="DT361" t="str">
            <v>-</v>
          </cell>
          <cell r="DU361" t="str">
            <v>-</v>
          </cell>
          <cell r="DV361">
            <v>556.01492537313436</v>
          </cell>
          <cell r="DW361">
            <v>556.01492537313436</v>
          </cell>
          <cell r="DY361" t="str">
            <v>-</v>
          </cell>
          <cell r="DZ361" t="str">
            <v>-</v>
          </cell>
          <cell r="EA361" t="str">
            <v>-</v>
          </cell>
          <cell r="EB361">
            <v>608.01587301587301</v>
          </cell>
          <cell r="EC361">
            <v>608.01587301587301</v>
          </cell>
          <cell r="EE361" t="str">
            <v>-</v>
          </cell>
          <cell r="EF361" t="str">
            <v>-</v>
          </cell>
          <cell r="EG361" t="str">
            <v>-</v>
          </cell>
          <cell r="EH361">
            <v>554.39130434782612</v>
          </cell>
          <cell r="EI361">
            <v>554.39130434782612</v>
          </cell>
          <cell r="EK361" t="str">
            <v>-</v>
          </cell>
          <cell r="EL361" t="str">
            <v>-</v>
          </cell>
          <cell r="EM361" t="str">
            <v>-</v>
          </cell>
          <cell r="EN361">
            <v>507.32919878886071</v>
          </cell>
          <cell r="EO361">
            <v>507.32919878886071</v>
          </cell>
          <cell r="EQ361" t="str">
            <v>-</v>
          </cell>
          <cell r="ER361" t="str">
            <v>-</v>
          </cell>
          <cell r="ES361" t="str">
            <v>-</v>
          </cell>
          <cell r="ET361">
            <v>489.73430812487879</v>
          </cell>
          <cell r="EU361">
            <v>489.73430812487879</v>
          </cell>
          <cell r="EW361" t="str">
            <v>-</v>
          </cell>
          <cell r="EX361" t="str">
            <v>-</v>
          </cell>
          <cell r="EY361" t="str">
            <v>-</v>
          </cell>
          <cell r="EZ361">
            <v>468.77650604446205</v>
          </cell>
          <cell r="FA361">
            <v>468.77650604446205</v>
          </cell>
        </row>
        <row r="362">
          <cell r="C362" t="str">
            <v>-</v>
          </cell>
          <cell r="D362" t="str">
            <v>-</v>
          </cell>
          <cell r="E362" t="str">
            <v>-</v>
          </cell>
          <cell r="F362" t="str">
            <v>-</v>
          </cell>
          <cell r="G362" t="str">
            <v>-</v>
          </cell>
          <cell r="H362" t="str">
            <v>-</v>
          </cell>
          <cell r="I362" t="str">
            <v>-</v>
          </cell>
          <cell r="J362">
            <v>1017.771287128713</v>
          </cell>
          <cell r="K362">
            <v>1027.898866608544</v>
          </cell>
          <cell r="L362">
            <v>1066.7139815471967</v>
          </cell>
          <cell r="M362">
            <v>1138.9567444507682</v>
          </cell>
          <cell r="O362" t="str">
            <v>-</v>
          </cell>
          <cell r="P362" t="str">
            <v>-</v>
          </cell>
          <cell r="Q362" t="str">
            <v>-</v>
          </cell>
          <cell r="R362">
            <v>1263.576660988075</v>
          </cell>
          <cell r="S362">
            <v>1263.5766609880748</v>
          </cell>
          <cell r="U362">
            <v>1229.1259173426035</v>
          </cell>
          <cell r="V362">
            <v>1255.0241702741703</v>
          </cell>
          <cell r="W362">
            <v>1297.0195741758241</v>
          </cell>
          <cell r="X362">
            <v>1351.3971199999999</v>
          </cell>
          <cell r="Y362">
            <v>1351.3971199999999</v>
          </cell>
          <cell r="AA362">
            <v>1350.8194361127771</v>
          </cell>
          <cell r="AB362">
            <v>1380.0185027042412</v>
          </cell>
          <cell r="AC362">
            <v>1358.8656911418866</v>
          </cell>
          <cell r="AD362">
            <v>1431.8226700251889</v>
          </cell>
          <cell r="AE362">
            <v>1431.8226700251889</v>
          </cell>
          <cell r="AG362">
            <v>1326.7399955781561</v>
          </cell>
          <cell r="AH362">
            <v>1366.3990895295901</v>
          </cell>
          <cell r="AI362">
            <v>1418.1195329087047</v>
          </cell>
          <cell r="AJ362">
            <v>1480.2869871529217</v>
          </cell>
          <cell r="AK362">
            <v>1480.2869871529217</v>
          </cell>
          <cell r="AM362">
            <v>1497.6407245222929</v>
          </cell>
          <cell r="AN362">
            <v>1537.9081081081081</v>
          </cell>
          <cell r="AO362">
            <v>1537.5328020756117</v>
          </cell>
          <cell r="AP362">
            <v>1526.9420515481752</v>
          </cell>
          <cell r="AQ362">
            <v>1526.9420515481752</v>
          </cell>
          <cell r="AS362">
            <v>1493.024546952224</v>
          </cell>
          <cell r="AT362">
            <v>1485.2090431459958</v>
          </cell>
          <cell r="AU362">
            <v>1502.5710302091402</v>
          </cell>
          <cell r="AV362">
            <v>1523.3275187969925</v>
          </cell>
          <cell r="AW362">
            <v>1523.3275187969925</v>
          </cell>
          <cell r="AY362" t="str">
            <v>-</v>
          </cell>
          <cell r="AZ362" t="str">
            <v>-</v>
          </cell>
          <cell r="BA362" t="str">
            <v>-</v>
          </cell>
          <cell r="BB362">
            <v>1382.8781226343679</v>
          </cell>
          <cell r="BC362">
            <v>1382.8781226343679</v>
          </cell>
          <cell r="BE362" t="str">
            <v>-</v>
          </cell>
          <cell r="BF362" t="str">
            <v>-</v>
          </cell>
          <cell r="BG362" t="str">
            <v>-</v>
          </cell>
          <cell r="BH362">
            <v>1091.8605937464724</v>
          </cell>
          <cell r="BI362">
            <v>1091.8605937464724</v>
          </cell>
          <cell r="BK362" t="str">
            <v>-</v>
          </cell>
          <cell r="BL362" t="str">
            <v>-</v>
          </cell>
          <cell r="BM362" t="str">
            <v>-</v>
          </cell>
          <cell r="BN362">
            <v>1004.9209884399193</v>
          </cell>
          <cell r="BO362">
            <v>1004.9209884399193</v>
          </cell>
          <cell r="BQ362" t="str">
            <v>-</v>
          </cell>
          <cell r="BR362" t="str">
            <v>-</v>
          </cell>
          <cell r="BS362" t="str">
            <v>-</v>
          </cell>
          <cell r="BT362">
            <v>888.07275271073809</v>
          </cell>
          <cell r="BU362">
            <v>888.07275271073809</v>
          </cell>
          <cell r="BW362" t="str">
            <v>-</v>
          </cell>
          <cell r="BX362" t="str">
            <v>-</v>
          </cell>
          <cell r="BY362" t="str">
            <v>-</v>
          </cell>
          <cell r="BZ362">
            <v>924.1268872960195</v>
          </cell>
          <cell r="CA362">
            <v>924.1268872960195</v>
          </cell>
          <cell r="CC362" t="str">
            <v>-</v>
          </cell>
          <cell r="CD362" t="str">
            <v>-</v>
          </cell>
          <cell r="CE362" t="str">
            <v>-</v>
          </cell>
          <cell r="CF362">
            <v>1023.5864745011086</v>
          </cell>
          <cell r="CG362">
            <v>1023.5864745011086</v>
          </cell>
          <cell r="CI362" t="str">
            <v>-</v>
          </cell>
          <cell r="CJ362" t="str">
            <v>-</v>
          </cell>
          <cell r="CK362" t="str">
            <v>-</v>
          </cell>
          <cell r="CL362">
            <v>1004.357418643133</v>
          </cell>
          <cell r="CM362">
            <v>1004.357418643133</v>
          </cell>
          <cell r="CO362" t="str">
            <v>-</v>
          </cell>
          <cell r="CP362" t="str">
            <v>-</v>
          </cell>
          <cell r="CQ362" t="str">
            <v>-</v>
          </cell>
          <cell r="CR362">
            <v>1097.151453389625</v>
          </cell>
          <cell r="CS362">
            <v>1097.151453389625</v>
          </cell>
          <cell r="CU362" t="str">
            <v>-</v>
          </cell>
          <cell r="CV362" t="str">
            <v>-</v>
          </cell>
          <cell r="CW362" t="str">
            <v>-</v>
          </cell>
          <cell r="CX362">
            <v>1067.909090909091</v>
          </cell>
          <cell r="CY362">
            <v>1067.909090909091</v>
          </cell>
          <cell r="DA362" t="str">
            <v>-</v>
          </cell>
          <cell r="DB362" t="str">
            <v>-</v>
          </cell>
          <cell r="DC362" t="str">
            <v>-</v>
          </cell>
          <cell r="DE362">
            <v>965.55000000000007</v>
          </cell>
          <cell r="DG362" t="str">
            <v>-</v>
          </cell>
          <cell r="DH362" t="str">
            <v>-</v>
          </cell>
          <cell r="DI362" t="str">
            <v>-</v>
          </cell>
          <cell r="DJ362">
            <v>1196.5</v>
          </cell>
          <cell r="DK362">
            <v>1196.5</v>
          </cell>
          <cell r="DM362" t="str">
            <v>-</v>
          </cell>
          <cell r="DN362" t="str">
            <v>-</v>
          </cell>
          <cell r="DO362" t="str">
            <v>-</v>
          </cell>
          <cell r="DP362">
            <v>1163.171840625</v>
          </cell>
          <cell r="DQ362">
            <v>1163.171840625</v>
          </cell>
          <cell r="DS362" t="str">
            <v>-</v>
          </cell>
          <cell r="DT362" t="str">
            <v>-</v>
          </cell>
          <cell r="DU362" t="str">
            <v>-</v>
          </cell>
          <cell r="DV362">
            <v>1064.3714285714286</v>
          </cell>
          <cell r="DW362">
            <v>1064.3714285714286</v>
          </cell>
          <cell r="DY362" t="str">
            <v>-</v>
          </cell>
          <cell r="DZ362" t="str">
            <v>-</v>
          </cell>
          <cell r="EA362" t="str">
            <v>-</v>
          </cell>
          <cell r="EB362">
            <v>1064.0277777777778</v>
          </cell>
          <cell r="EC362">
            <v>1064.0277777777778</v>
          </cell>
          <cell r="EE362" t="str">
            <v>-</v>
          </cell>
          <cell r="EF362" t="str">
            <v>-</v>
          </cell>
          <cell r="EG362" t="str">
            <v>-</v>
          </cell>
          <cell r="EH362">
            <v>1006.6578947368421</v>
          </cell>
          <cell r="EI362">
            <v>1006.6578947368421</v>
          </cell>
          <cell r="EK362" t="str">
            <v>-</v>
          </cell>
          <cell r="EL362" t="str">
            <v>-</v>
          </cell>
          <cell r="EM362" t="str">
            <v>-</v>
          </cell>
          <cell r="EN362">
            <v>921.20301885345759</v>
          </cell>
          <cell r="EO362">
            <v>921.20301885345759</v>
          </cell>
          <cell r="EQ362" t="str">
            <v>-</v>
          </cell>
          <cell r="ER362" t="str">
            <v>-</v>
          </cell>
          <cell r="ES362" t="str">
            <v>-</v>
          </cell>
          <cell r="ET362">
            <v>889.2544015951745</v>
          </cell>
          <cell r="EU362">
            <v>889.2544015951745</v>
          </cell>
          <cell r="EW362" t="str">
            <v>-</v>
          </cell>
          <cell r="EX362" t="str">
            <v>-</v>
          </cell>
          <cell r="EY362" t="str">
            <v>-</v>
          </cell>
          <cell r="EZ362">
            <v>851.19944518599686</v>
          </cell>
          <cell r="FA362">
            <v>851.19944518599686</v>
          </cell>
        </row>
        <row r="363">
          <cell r="C363">
            <v>0</v>
          </cell>
          <cell r="D363">
            <v>0</v>
          </cell>
          <cell r="CG363">
            <v>0</v>
          </cell>
          <cell r="CM363">
            <v>0</v>
          </cell>
          <cell r="CS363">
            <v>0</v>
          </cell>
          <cell r="CY363">
            <v>0</v>
          </cell>
          <cell r="DE363">
            <v>0</v>
          </cell>
          <cell r="DK363">
            <v>0</v>
          </cell>
          <cell r="DQ363">
            <v>0</v>
          </cell>
          <cell r="DW363">
            <v>0</v>
          </cell>
          <cell r="EC363">
            <v>0</v>
          </cell>
          <cell r="EI363">
            <v>0</v>
          </cell>
          <cell r="EO363">
            <v>0</v>
          </cell>
          <cell r="EU363">
            <v>0</v>
          </cell>
          <cell r="FA363">
            <v>0</v>
          </cell>
        </row>
        <row r="364">
          <cell r="C364" t="str">
            <v>-</v>
          </cell>
          <cell r="D364" t="str">
            <v>-</v>
          </cell>
          <cell r="E364" t="str">
            <v>-</v>
          </cell>
          <cell r="F364" t="str">
            <v>-</v>
          </cell>
          <cell r="G364" t="str">
            <v>-</v>
          </cell>
          <cell r="H364" t="str">
            <v>-</v>
          </cell>
          <cell r="I364" t="str">
            <v>-</v>
          </cell>
          <cell r="J364" t="str">
            <v>-</v>
          </cell>
          <cell r="K364" t="str">
            <v>-</v>
          </cell>
          <cell r="L364" t="str">
            <v>-</v>
          </cell>
          <cell r="M364" t="str">
            <v>-</v>
          </cell>
          <cell r="O364" t="str">
            <v>-</v>
          </cell>
          <cell r="P364" t="str">
            <v>-</v>
          </cell>
          <cell r="Q364" t="str">
            <v>-</v>
          </cell>
          <cell r="R364" t="str">
            <v>-</v>
          </cell>
          <cell r="S364" t="str">
            <v>-</v>
          </cell>
          <cell r="U364" t="str">
            <v>-</v>
          </cell>
          <cell r="V364" t="str">
            <v>-</v>
          </cell>
          <cell r="W364" t="str">
            <v>-</v>
          </cell>
          <cell r="X364" t="str">
            <v>-</v>
          </cell>
          <cell r="Y364" t="str">
            <v>-</v>
          </cell>
          <cell r="AA364" t="str">
            <v>-</v>
          </cell>
          <cell r="AB364" t="str">
            <v>-</v>
          </cell>
          <cell r="AC364" t="str">
            <v>-</v>
          </cell>
          <cell r="AD364" t="str">
            <v>-</v>
          </cell>
          <cell r="AE364" t="str">
            <v>-</v>
          </cell>
          <cell r="AG364" t="str">
            <v>-</v>
          </cell>
          <cell r="AH364" t="str">
            <v>-</v>
          </cell>
          <cell r="AI364" t="str">
            <v>-</v>
          </cell>
          <cell r="AJ364" t="str">
            <v>-</v>
          </cell>
          <cell r="AK364" t="str">
            <v>-</v>
          </cell>
          <cell r="AM364" t="str">
            <v>-</v>
          </cell>
          <cell r="AN364" t="str">
            <v>-</v>
          </cell>
          <cell r="AO364" t="str">
            <v>-</v>
          </cell>
          <cell r="AP364" t="str">
            <v>-</v>
          </cell>
          <cell r="AQ364" t="str">
            <v>-</v>
          </cell>
          <cell r="AS364" t="str">
            <v>-</v>
          </cell>
          <cell r="AT364" t="str">
            <v>-</v>
          </cell>
          <cell r="AU364" t="str">
            <v>-</v>
          </cell>
          <cell r="AV364">
            <v>0.56000000000000005</v>
          </cell>
          <cell r="AW364" t="str">
            <v>-</v>
          </cell>
          <cell r="AY364">
            <v>0.34</v>
          </cell>
          <cell r="AZ364">
            <v>0.45</v>
          </cell>
          <cell r="BA364">
            <v>0.45</v>
          </cell>
          <cell r="BB364">
            <v>0.52</v>
          </cell>
          <cell r="BC364">
            <v>0.44</v>
          </cell>
          <cell r="BE364">
            <v>0.31</v>
          </cell>
          <cell r="BF364">
            <v>0.38</v>
          </cell>
          <cell r="BG364">
            <v>0.35</v>
          </cell>
          <cell r="BH364">
            <v>0.43</v>
          </cell>
          <cell r="BI364">
            <v>0.36749999999999999</v>
          </cell>
          <cell r="BK364">
            <v>0.35</v>
          </cell>
          <cell r="BL364">
            <v>0.32</v>
          </cell>
          <cell r="BM364">
            <v>0.33</v>
          </cell>
          <cell r="BN364">
            <v>0.41</v>
          </cell>
          <cell r="BO364">
            <v>0.3601437308868502</v>
          </cell>
          <cell r="BQ364">
            <v>0.32</v>
          </cell>
          <cell r="BR364">
            <v>0.36</v>
          </cell>
          <cell r="BS364">
            <v>0.32</v>
          </cell>
          <cell r="BT364">
            <v>0.44</v>
          </cell>
          <cell r="BU364">
            <v>0.37418808246258117</v>
          </cell>
          <cell r="BW364">
            <v>0.27</v>
          </cell>
          <cell r="BX364">
            <v>0.4</v>
          </cell>
          <cell r="BY364">
            <v>0.35</v>
          </cell>
          <cell r="BZ364">
            <v>0.47</v>
          </cell>
          <cell r="CA364">
            <v>0.39806601466992669</v>
          </cell>
          <cell r="CC364">
            <v>0.28000000000000003</v>
          </cell>
          <cell r="CD364">
            <v>0.41</v>
          </cell>
          <cell r="CE364">
            <v>0.39</v>
          </cell>
          <cell r="CF364">
            <v>0.55000000000000004</v>
          </cell>
          <cell r="CG364">
            <v>0.44940176168338641</v>
          </cell>
          <cell r="CI364">
            <v>0.34</v>
          </cell>
          <cell r="CJ364">
            <v>0.41</v>
          </cell>
          <cell r="CK364">
            <v>0.41</v>
          </cell>
          <cell r="CL364" t="str">
            <v>-</v>
          </cell>
          <cell r="CM364" t="str">
            <v>-</v>
          </cell>
          <cell r="CO364" t="str">
            <v>-</v>
          </cell>
          <cell r="CP364" t="str">
            <v>-</v>
          </cell>
          <cell r="CQ364" t="str">
            <v>-</v>
          </cell>
          <cell r="CR364" t="str">
            <v>-</v>
          </cell>
          <cell r="CS364">
            <v>0.51</v>
          </cell>
          <cell r="CU364" t="str">
            <v>-</v>
          </cell>
          <cell r="CV364" t="str">
            <v>-</v>
          </cell>
          <cell r="CW364" t="str">
            <v>-</v>
          </cell>
          <cell r="CX364" t="str">
            <v>-</v>
          </cell>
          <cell r="CY364">
            <v>0.5</v>
          </cell>
          <cell r="DA364" t="str">
            <v>-</v>
          </cell>
          <cell r="DB364" t="str">
            <v>-</v>
          </cell>
          <cell r="DC364" t="str">
            <v>-</v>
          </cell>
          <cell r="DE364" t="str">
            <v>-</v>
          </cell>
          <cell r="DG364" t="str">
            <v>-</v>
          </cell>
          <cell r="DH364" t="str">
            <v>-</v>
          </cell>
          <cell r="DI364" t="str">
            <v>-</v>
          </cell>
          <cell r="DJ364" t="str">
            <v>-</v>
          </cell>
          <cell r="DK364" t="str">
            <v>-</v>
          </cell>
          <cell r="DM364">
            <v>0.49</v>
          </cell>
          <cell r="DN364" t="str">
            <v>-</v>
          </cell>
          <cell r="DO364" t="str">
            <v>-</v>
          </cell>
          <cell r="DP364" t="str">
            <v>-</v>
          </cell>
          <cell r="DQ364" t="str">
            <v>-</v>
          </cell>
          <cell r="DS364" t="str">
            <v>-</v>
          </cell>
          <cell r="DT364" t="str">
            <v>-</v>
          </cell>
          <cell r="DU364" t="str">
            <v>-</v>
          </cell>
          <cell r="DV364" t="str">
            <v>-</v>
          </cell>
          <cell r="DW364" t="str">
            <v>-</v>
          </cell>
          <cell r="DY364" t="str">
            <v>-</v>
          </cell>
          <cell r="DZ364" t="str">
            <v>-</v>
          </cell>
          <cell r="EA364" t="str">
            <v>-</v>
          </cell>
          <cell r="EB364" t="str">
            <v>-</v>
          </cell>
          <cell r="EC364" t="str">
            <v>-</v>
          </cell>
          <cell r="EE364" t="str">
            <v>-</v>
          </cell>
          <cell r="EF364" t="str">
            <v>-</v>
          </cell>
          <cell r="EG364" t="str">
            <v>-</v>
          </cell>
          <cell r="EH364" t="str">
            <v>-</v>
          </cell>
          <cell r="EI364" t="str">
            <v>-</v>
          </cell>
          <cell r="EK364" t="str">
            <v>-</v>
          </cell>
          <cell r="EL364">
            <v>0</v>
          </cell>
          <cell r="EM364" t="str">
            <v>-</v>
          </cell>
          <cell r="EN364" t="str">
            <v>-</v>
          </cell>
          <cell r="EO364" t="str">
            <v>-</v>
          </cell>
          <cell r="EQ364" t="str">
            <v>-</v>
          </cell>
          <cell r="ER364" t="str">
            <v>-</v>
          </cell>
          <cell r="ES364" t="str">
            <v>-</v>
          </cell>
          <cell r="ET364" t="str">
            <v>-</v>
          </cell>
          <cell r="EU364" t="str">
            <v>-</v>
          </cell>
          <cell r="EW364" t="str">
            <v>-</v>
          </cell>
          <cell r="EX364" t="str">
            <v>-</v>
          </cell>
          <cell r="EY364" t="str">
            <v>-</v>
          </cell>
          <cell r="EZ364" t="str">
            <v>-</v>
          </cell>
          <cell r="FA364" t="str">
            <v>-</v>
          </cell>
        </row>
        <row r="365"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0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0</v>
          </cell>
          <cell r="X365">
            <v>0</v>
          </cell>
          <cell r="Y365">
            <v>0</v>
          </cell>
          <cell r="Z365">
            <v>0</v>
          </cell>
          <cell r="AA365">
            <v>145.12299999999993</v>
          </cell>
          <cell r="AB365">
            <v>-70.233000000000004</v>
          </cell>
          <cell r="AC365">
            <v>187.86800000000005</v>
          </cell>
          <cell r="AD365">
            <v>377.00499999999994</v>
          </cell>
          <cell r="AE365">
            <v>639.76299999999992</v>
          </cell>
          <cell r="AF365">
            <v>0</v>
          </cell>
          <cell r="AG365">
            <v>369.35499999999996</v>
          </cell>
          <cell r="AH365">
            <v>93.166999999999874</v>
          </cell>
          <cell r="AI365">
            <v>275.83400000000017</v>
          </cell>
          <cell r="AJ365">
            <v>547.8649999999999</v>
          </cell>
          <cell r="AK365">
            <v>1286.2209999999998</v>
          </cell>
          <cell r="AL365">
            <v>0</v>
          </cell>
          <cell r="AM365">
            <v>509.24899999999997</v>
          </cell>
          <cell r="AN365">
            <v>-55.803999999999959</v>
          </cell>
          <cell r="AO365">
            <v>358.63100000000009</v>
          </cell>
          <cell r="AP365">
            <v>648.43100000000004</v>
          </cell>
          <cell r="AQ365">
            <v>1460.5070000000001</v>
          </cell>
          <cell r="AR365">
            <v>0</v>
          </cell>
          <cell r="AS365">
            <v>601.2245999999999</v>
          </cell>
          <cell r="AT365">
            <v>42.407400000000052</v>
          </cell>
          <cell r="AU365">
            <v>891.36</v>
          </cell>
          <cell r="AV365">
            <v>1125.1290000000008</v>
          </cell>
          <cell r="AW365">
            <v>2660.121000000001</v>
          </cell>
          <cell r="AX365">
            <v>0</v>
          </cell>
          <cell r="AY365">
            <v>-947.20399999999984</v>
          </cell>
          <cell r="AZ365">
            <v>527.37099999999975</v>
          </cell>
          <cell r="BA365">
            <v>946.03499999999985</v>
          </cell>
          <cell r="BB365">
            <v>1339.7980000000002</v>
          </cell>
          <cell r="BC365">
            <v>1866</v>
          </cell>
          <cell r="BD365">
            <v>0</v>
          </cell>
          <cell r="BE365">
            <v>1151.021</v>
          </cell>
          <cell r="BF365">
            <v>198.97899999999998</v>
          </cell>
          <cell r="BG365">
            <v>609</v>
          </cell>
          <cell r="BH365">
            <v>898</v>
          </cell>
          <cell r="BI365">
            <v>2857</v>
          </cell>
          <cell r="BJ365">
            <v>0</v>
          </cell>
          <cell r="BK365">
            <v>1175</v>
          </cell>
          <cell r="BL365">
            <v>219</v>
          </cell>
          <cell r="BM365">
            <v>715</v>
          </cell>
          <cell r="BN365">
            <v>623</v>
          </cell>
          <cell r="BO365">
            <v>2732</v>
          </cell>
          <cell r="BP365">
            <v>0</v>
          </cell>
          <cell r="BQ365">
            <v>1175</v>
          </cell>
          <cell r="BR365">
            <v>322</v>
          </cell>
          <cell r="BS365">
            <v>518</v>
          </cell>
          <cell r="BT365">
            <v>991</v>
          </cell>
          <cell r="BU365">
            <v>3006</v>
          </cell>
          <cell r="BV365">
            <v>0</v>
          </cell>
          <cell r="BW365">
            <v>1380</v>
          </cell>
          <cell r="BX365">
            <v>327</v>
          </cell>
          <cell r="BY365">
            <v>700</v>
          </cell>
          <cell r="BZ365">
            <v>956.92250000000013</v>
          </cell>
          <cell r="CA365">
            <v>3363.9225000000001</v>
          </cell>
          <cell r="CB365">
            <v>0</v>
          </cell>
          <cell r="CC365">
            <v>1406</v>
          </cell>
          <cell r="CD365">
            <v>264</v>
          </cell>
          <cell r="CE365">
            <v>1031</v>
          </cell>
          <cell r="CF365">
            <v>1604</v>
          </cell>
          <cell r="CG365">
            <v>4305</v>
          </cell>
          <cell r="CH365">
            <v>0</v>
          </cell>
          <cell r="CI365">
            <v>1576</v>
          </cell>
          <cell r="CJ365">
            <v>184</v>
          </cell>
          <cell r="CK365">
            <v>1362</v>
          </cell>
          <cell r="CL365">
            <v>2079</v>
          </cell>
          <cell r="CM365">
            <v>5201</v>
          </cell>
          <cell r="CN365">
            <v>0</v>
          </cell>
          <cell r="CO365">
            <v>2614</v>
          </cell>
          <cell r="CP365">
            <v>533</v>
          </cell>
          <cell r="CQ365">
            <v>1765</v>
          </cell>
          <cell r="CR365">
            <v>2247</v>
          </cell>
          <cell r="CS365">
            <v>7159</v>
          </cell>
          <cell r="CT365">
            <v>0</v>
          </cell>
          <cell r="CU365">
            <v>2917</v>
          </cell>
          <cell r="CV365">
            <v>674</v>
          </cell>
          <cell r="CW365">
            <v>2165</v>
          </cell>
          <cell r="CX365">
            <v>1970</v>
          </cell>
          <cell r="CY365">
            <v>7726</v>
          </cell>
          <cell r="CZ365">
            <v>0</v>
          </cell>
          <cell r="DA365">
            <v>3683</v>
          </cell>
          <cell r="DB365">
            <v>606</v>
          </cell>
          <cell r="DC365">
            <v>1720</v>
          </cell>
          <cell r="DD365">
            <v>2442</v>
          </cell>
          <cell r="DE365">
            <v>8451</v>
          </cell>
          <cell r="DF365">
            <v>0</v>
          </cell>
          <cell r="DG365">
            <v>3699</v>
          </cell>
          <cell r="DH365">
            <v>823</v>
          </cell>
          <cell r="DI365">
            <v>2543</v>
          </cell>
          <cell r="DJ365">
            <v>3699</v>
          </cell>
          <cell r="DK365">
            <v>10764</v>
          </cell>
          <cell r="DL365">
            <v>0</v>
          </cell>
          <cell r="DM365">
            <v>5261</v>
          </cell>
          <cell r="DN365">
            <v>1146</v>
          </cell>
          <cell r="DO365">
            <v>2848</v>
          </cell>
          <cell r="DP365">
            <v>3840</v>
          </cell>
          <cell r="DQ365">
            <v>13095</v>
          </cell>
          <cell r="DR365">
            <v>0</v>
          </cell>
          <cell r="DS365">
            <v>5532</v>
          </cell>
          <cell r="DT365">
            <v>583</v>
          </cell>
          <cell r="DU365">
            <v>3078</v>
          </cell>
          <cell r="DV365">
            <v>4381</v>
          </cell>
          <cell r="DW365">
            <v>13574</v>
          </cell>
          <cell r="DX365">
            <v>0</v>
          </cell>
          <cell r="DY365">
            <v>6139</v>
          </cell>
          <cell r="DZ365">
            <v>1020</v>
          </cell>
          <cell r="EA365">
            <v>2880</v>
          </cell>
          <cell r="EB365">
            <v>4302</v>
          </cell>
          <cell r="EC365">
            <v>14341</v>
          </cell>
          <cell r="ED365">
            <v>0</v>
          </cell>
          <cell r="EE365">
            <v>6527</v>
          </cell>
          <cell r="EF365">
            <v>837</v>
          </cell>
          <cell r="EG365">
            <v>1895</v>
          </cell>
          <cell r="EH365">
            <v>3686</v>
          </cell>
          <cell r="EI365">
            <v>12945</v>
          </cell>
          <cell r="EJ365">
            <v>0</v>
          </cell>
          <cell r="EK365">
            <v>5410</v>
          </cell>
          <cell r="EL365">
            <v>306</v>
          </cell>
          <cell r="EM365">
            <v>3456.6811127307233</v>
          </cell>
          <cell r="EN365">
            <v>3738.6029564128717</v>
          </cell>
          <cell r="EO365">
            <v>12911.284069143596</v>
          </cell>
          <cell r="EP365">
            <v>0</v>
          </cell>
          <cell r="EQ365">
            <v>5037.0068945800886</v>
          </cell>
          <cell r="ER365">
            <v>631.97669863762326</v>
          </cell>
          <cell r="ES365">
            <v>3202.5080326339785</v>
          </cell>
          <cell r="ET365">
            <v>4723.5546510934091</v>
          </cell>
          <cell r="EU365">
            <v>13595.046276945099</v>
          </cell>
          <cell r="EV365">
            <v>0</v>
          </cell>
          <cell r="EW365">
            <v>4194.1552309521603</v>
          </cell>
          <cell r="EX365">
            <v>698.83289673265995</v>
          </cell>
          <cell r="EY365">
            <v>3765.8124496583323</v>
          </cell>
          <cell r="EZ365">
            <v>5203.4672172103492</v>
          </cell>
          <cell r="FA365">
            <v>13862.267794553502</v>
          </cell>
          <cell r="FB365">
            <v>0</v>
          </cell>
          <cell r="FC365">
            <v>0</v>
          </cell>
          <cell r="FD365">
            <v>0</v>
          </cell>
          <cell r="FE365">
            <v>0</v>
          </cell>
          <cell r="FF365">
            <v>0</v>
          </cell>
          <cell r="FG365">
            <v>0</v>
          </cell>
          <cell r="FH365">
            <v>0</v>
          </cell>
          <cell r="FI365">
            <v>0</v>
          </cell>
          <cell r="FJ365">
            <v>0</v>
          </cell>
          <cell r="FK365">
            <v>0</v>
          </cell>
          <cell r="FL365">
            <v>0</v>
          </cell>
          <cell r="FM365">
            <v>0</v>
          </cell>
          <cell r="FN365">
            <v>0</v>
          </cell>
          <cell r="FO365">
            <v>0</v>
          </cell>
          <cell r="FP365">
            <v>0</v>
          </cell>
          <cell r="FQ365">
            <v>0</v>
          </cell>
          <cell r="FR365">
            <v>0</v>
          </cell>
          <cell r="FS365">
            <v>0</v>
          </cell>
          <cell r="FT365">
            <v>0</v>
          </cell>
          <cell r="FU365">
            <v>0</v>
          </cell>
          <cell r="FV365">
            <v>0</v>
          </cell>
          <cell r="FW365">
            <v>0</v>
          </cell>
          <cell r="FX365">
            <v>0</v>
          </cell>
          <cell r="FY365">
            <v>0</v>
          </cell>
          <cell r="FZ365">
            <v>0</v>
          </cell>
          <cell r="GA365">
            <v>0</v>
          </cell>
          <cell r="GB365">
            <v>0</v>
          </cell>
          <cell r="GC365">
            <v>0</v>
          </cell>
          <cell r="GD365">
            <v>0</v>
          </cell>
          <cell r="GE365">
            <v>0</v>
          </cell>
          <cell r="GF365">
            <v>0</v>
          </cell>
          <cell r="GG365">
            <v>0</v>
          </cell>
          <cell r="GH365">
            <v>0</v>
          </cell>
          <cell r="GI365">
            <v>0</v>
          </cell>
          <cell r="GJ365">
            <v>0</v>
          </cell>
          <cell r="GK365">
            <v>0</v>
          </cell>
          <cell r="GL365">
            <v>0</v>
          </cell>
          <cell r="GM365">
            <v>0</v>
          </cell>
          <cell r="GN365">
            <v>0</v>
          </cell>
          <cell r="GO365">
            <v>0</v>
          </cell>
          <cell r="GP365">
            <v>0</v>
          </cell>
          <cell r="GQ365">
            <v>0</v>
          </cell>
          <cell r="GR365">
            <v>0</v>
          </cell>
          <cell r="GS365">
            <v>0</v>
          </cell>
          <cell r="GT365">
            <v>0</v>
          </cell>
          <cell r="GU365">
            <v>0</v>
          </cell>
          <cell r="GV365">
            <v>0</v>
          </cell>
          <cell r="GW365">
            <v>0</v>
          </cell>
          <cell r="GX365">
            <v>0</v>
          </cell>
          <cell r="GY365">
            <v>0</v>
          </cell>
          <cell r="GZ365">
            <v>0</v>
          </cell>
          <cell r="HA365">
            <v>0</v>
          </cell>
        </row>
        <row r="366"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U366">
            <v>0</v>
          </cell>
          <cell r="V366">
            <v>0</v>
          </cell>
          <cell r="W366">
            <v>0</v>
          </cell>
          <cell r="X366">
            <v>0</v>
          </cell>
          <cell r="Y366">
            <v>0</v>
          </cell>
          <cell r="AA366">
            <v>0</v>
          </cell>
          <cell r="AB366">
            <v>0</v>
          </cell>
          <cell r="AC366">
            <v>0</v>
          </cell>
          <cell r="AD366">
            <v>639.76299999999992</v>
          </cell>
          <cell r="AE366" t="str">
            <v>-</v>
          </cell>
          <cell r="AG366">
            <v>863.99499999999989</v>
          </cell>
          <cell r="AH366">
            <v>1027.3949999999998</v>
          </cell>
          <cell r="AI366">
            <v>1115.3609999999999</v>
          </cell>
          <cell r="AJ366">
            <v>1286.221</v>
          </cell>
          <cell r="AK366" t="str">
            <v>-</v>
          </cell>
          <cell r="AM366">
            <v>1426.1149999999998</v>
          </cell>
          <cell r="AN366">
            <v>1277.1440000000002</v>
          </cell>
          <cell r="AO366">
            <v>1359.9409999999998</v>
          </cell>
          <cell r="AP366">
            <v>1460.5070000000001</v>
          </cell>
          <cell r="AQ366" t="str">
            <v>-</v>
          </cell>
          <cell r="AS366">
            <v>1552.4826</v>
          </cell>
          <cell r="AT366">
            <v>1650.694</v>
          </cell>
          <cell r="AU366">
            <v>2183.4229999999998</v>
          </cell>
          <cell r="AV366">
            <v>2660.121000000001</v>
          </cell>
          <cell r="AW366" t="str">
            <v>-</v>
          </cell>
          <cell r="AY366">
            <v>1111.692400000001</v>
          </cell>
          <cell r="AZ366">
            <v>1596.6560000000009</v>
          </cell>
          <cell r="BA366">
            <v>1651.3310000000006</v>
          </cell>
          <cell r="BB366">
            <v>1866</v>
          </cell>
          <cell r="BC366" t="str">
            <v>-</v>
          </cell>
          <cell r="BE366">
            <v>3964.2249999999999</v>
          </cell>
          <cell r="BF366">
            <v>3635.8330000000001</v>
          </cell>
          <cell r="BG366">
            <v>3298.7980000000002</v>
          </cell>
          <cell r="BH366">
            <v>2857</v>
          </cell>
          <cell r="BI366" t="str">
            <v>-</v>
          </cell>
          <cell r="BK366">
            <v>2880.9790000000003</v>
          </cell>
          <cell r="BL366">
            <v>2901</v>
          </cell>
          <cell r="BM366">
            <v>3007</v>
          </cell>
          <cell r="BN366">
            <v>2732</v>
          </cell>
          <cell r="BO366" t="str">
            <v>-</v>
          </cell>
          <cell r="BQ366">
            <v>2732</v>
          </cell>
          <cell r="BR366">
            <v>2835</v>
          </cell>
          <cell r="BS366">
            <v>2638</v>
          </cell>
          <cell r="BT366">
            <v>3006</v>
          </cell>
          <cell r="BU366" t="str">
            <v>-</v>
          </cell>
          <cell r="BW366">
            <v>3211</v>
          </cell>
          <cell r="BX366">
            <v>3216</v>
          </cell>
          <cell r="BY366">
            <v>3398</v>
          </cell>
          <cell r="BZ366">
            <v>3363.9225000000001</v>
          </cell>
          <cell r="CA366" t="str">
            <v>-</v>
          </cell>
          <cell r="CC366">
            <v>3389.9225000000001</v>
          </cell>
          <cell r="CD366">
            <v>3326.9225000000001</v>
          </cell>
          <cell r="CE366">
            <v>3657.9225000000001</v>
          </cell>
          <cell r="CF366">
            <v>4305</v>
          </cell>
          <cell r="CG366" t="str">
            <v>-</v>
          </cell>
          <cell r="CI366">
            <v>4475</v>
          </cell>
          <cell r="CJ366">
            <v>4395</v>
          </cell>
          <cell r="CK366">
            <v>4726</v>
          </cell>
          <cell r="CL366">
            <v>5201</v>
          </cell>
          <cell r="CM366" t="str">
            <v>-</v>
          </cell>
          <cell r="CO366">
            <v>6239</v>
          </cell>
          <cell r="CP366">
            <v>6588</v>
          </cell>
          <cell r="CQ366">
            <v>6991</v>
          </cell>
          <cell r="CR366">
            <v>7159</v>
          </cell>
          <cell r="CS366" t="str">
            <v>-</v>
          </cell>
          <cell r="CU366">
            <v>7462</v>
          </cell>
          <cell r="CV366">
            <v>7603</v>
          </cell>
          <cell r="CW366">
            <v>8003</v>
          </cell>
          <cell r="CX366">
            <v>7726</v>
          </cell>
          <cell r="CY366" t="str">
            <v>-</v>
          </cell>
          <cell r="DA366">
            <v>8492</v>
          </cell>
          <cell r="DB366">
            <v>8424</v>
          </cell>
          <cell r="DC366">
            <v>7979</v>
          </cell>
          <cell r="DE366" t="str">
            <v>-</v>
          </cell>
          <cell r="DG366">
            <v>8467</v>
          </cell>
          <cell r="DH366">
            <v>8684</v>
          </cell>
          <cell r="DI366">
            <v>9507</v>
          </cell>
          <cell r="DJ366">
            <v>10764</v>
          </cell>
          <cell r="DK366" t="str">
            <v>-</v>
          </cell>
          <cell r="DM366">
            <v>12326</v>
          </cell>
          <cell r="DN366">
            <v>12649</v>
          </cell>
          <cell r="DO366">
            <v>12954</v>
          </cell>
          <cell r="DP366">
            <v>13095</v>
          </cell>
          <cell r="DQ366" t="str">
            <v>-</v>
          </cell>
          <cell r="DS366">
            <v>13366</v>
          </cell>
          <cell r="DT366">
            <v>12803</v>
          </cell>
          <cell r="DU366">
            <v>13033</v>
          </cell>
          <cell r="DV366">
            <v>13574</v>
          </cell>
          <cell r="DW366" t="str">
            <v>-</v>
          </cell>
          <cell r="DY366">
            <v>14181</v>
          </cell>
          <cell r="DZ366">
            <v>14618</v>
          </cell>
          <cell r="EA366">
            <v>14420</v>
          </cell>
          <cell r="EB366">
            <v>14341</v>
          </cell>
          <cell r="EC366" t="str">
            <v>-</v>
          </cell>
          <cell r="EE366">
            <v>14729</v>
          </cell>
          <cell r="EF366">
            <v>14546</v>
          </cell>
          <cell r="EG366">
            <v>13561</v>
          </cell>
          <cell r="EH366">
            <v>12945</v>
          </cell>
          <cell r="EI366" t="str">
            <v>-</v>
          </cell>
          <cell r="EK366">
            <v>11828</v>
          </cell>
          <cell r="EL366">
            <v>11297</v>
          </cell>
          <cell r="EM366">
            <v>12858.681112730723</v>
          </cell>
          <cell r="EN366">
            <v>12911.284069143594</v>
          </cell>
          <cell r="EO366" t="str">
            <v>-</v>
          </cell>
          <cell r="EQ366">
            <v>12538.290963723683</v>
          </cell>
          <cell r="ER366">
            <v>12864.267662361306</v>
          </cell>
          <cell r="ES366">
            <v>12610.094582264561</v>
          </cell>
          <cell r="ET366">
            <v>13595.046276945099</v>
          </cell>
          <cell r="EU366" t="str">
            <v>-</v>
          </cell>
          <cell r="EW366">
            <v>12752.194613317171</v>
          </cell>
          <cell r="EX366">
            <v>12819.050811412208</v>
          </cell>
          <cell r="EY366">
            <v>13382.355228436561</v>
          </cell>
          <cell r="EZ366">
            <v>13862.267794553502</v>
          </cell>
          <cell r="FA366" t="str">
            <v>-</v>
          </cell>
        </row>
        <row r="367"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0</v>
          </cell>
          <cell r="S367">
            <v>0</v>
          </cell>
          <cell r="U367">
            <v>0</v>
          </cell>
          <cell r="V367">
            <v>0</v>
          </cell>
          <cell r="W367">
            <v>0</v>
          </cell>
          <cell r="X367">
            <v>0</v>
          </cell>
          <cell r="Y367">
            <v>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M367">
            <v>0</v>
          </cell>
          <cell r="AN367">
            <v>0</v>
          </cell>
          <cell r="AO367">
            <v>0</v>
          </cell>
          <cell r="AP367">
            <v>0</v>
          </cell>
          <cell r="AQ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0</v>
          </cell>
          <cell r="BK367">
            <v>0</v>
          </cell>
          <cell r="BL367">
            <v>0</v>
          </cell>
          <cell r="BM367">
            <v>0</v>
          </cell>
          <cell r="BN367">
            <v>0</v>
          </cell>
          <cell r="BO367">
            <v>0</v>
          </cell>
          <cell r="BQ367">
            <v>0</v>
          </cell>
          <cell r="BR367">
            <v>0</v>
          </cell>
          <cell r="BS367">
            <v>0</v>
          </cell>
          <cell r="BT367">
            <v>0</v>
          </cell>
          <cell r="BU367">
            <v>0</v>
          </cell>
          <cell r="BW367">
            <v>0</v>
          </cell>
          <cell r="BX367">
            <v>0</v>
          </cell>
          <cell r="BY367">
            <v>0</v>
          </cell>
          <cell r="BZ367">
            <v>0</v>
          </cell>
          <cell r="CA367">
            <v>0</v>
          </cell>
          <cell r="CC367">
            <v>0</v>
          </cell>
          <cell r="CD367">
            <v>0</v>
          </cell>
          <cell r="CE367">
            <v>0</v>
          </cell>
          <cell r="CF367">
            <v>0</v>
          </cell>
          <cell r="CG367">
            <v>0</v>
          </cell>
          <cell r="CI367">
            <v>0</v>
          </cell>
          <cell r="CJ367">
            <v>0</v>
          </cell>
          <cell r="CK367">
            <v>0</v>
          </cell>
          <cell r="CL367">
            <v>0</v>
          </cell>
          <cell r="CM367">
            <v>0</v>
          </cell>
          <cell r="CO367">
            <v>0</v>
          </cell>
          <cell r="CP367">
            <v>0</v>
          </cell>
          <cell r="CQ367">
            <v>0</v>
          </cell>
          <cell r="CR367">
            <v>0</v>
          </cell>
          <cell r="CS367">
            <v>0</v>
          </cell>
          <cell r="CU367">
            <v>0</v>
          </cell>
          <cell r="CV367">
            <v>0</v>
          </cell>
          <cell r="CW367">
            <v>0</v>
          </cell>
          <cell r="CX367">
            <v>0</v>
          </cell>
          <cell r="CY367">
            <v>7.9201005727056906E-2</v>
          </cell>
          <cell r="DA367">
            <v>0</v>
          </cell>
          <cell r="DB367">
            <v>0</v>
          </cell>
          <cell r="DC367">
            <v>0</v>
          </cell>
          <cell r="DE367">
            <v>9.3838985244628637E-2</v>
          </cell>
          <cell r="DG367">
            <v>0</v>
          </cell>
          <cell r="DH367">
            <v>0</v>
          </cell>
          <cell r="DI367">
            <v>0</v>
          </cell>
          <cell r="DJ367">
            <v>0</v>
          </cell>
          <cell r="DK367">
            <v>0.27369542066027686</v>
          </cell>
          <cell r="DM367">
            <v>0</v>
          </cell>
          <cell r="DN367">
            <v>0</v>
          </cell>
          <cell r="DO367">
            <v>0</v>
          </cell>
          <cell r="DP367">
            <v>0</v>
          </cell>
          <cell r="DQ367">
            <v>0.21655518394648832</v>
          </cell>
          <cell r="DS367">
            <v>0</v>
          </cell>
          <cell r="DT367">
            <v>0</v>
          </cell>
          <cell r="DU367">
            <v>0</v>
          </cell>
          <cell r="DV367">
            <v>0</v>
          </cell>
          <cell r="DW367">
            <v>3.6578846888125183E-2</v>
          </cell>
          <cell r="DY367">
            <v>0</v>
          </cell>
          <cell r="DZ367">
            <v>0</v>
          </cell>
          <cell r="EA367">
            <v>0</v>
          </cell>
          <cell r="EB367">
            <v>0</v>
          </cell>
          <cell r="EC367">
            <v>5.6505083247384791E-2</v>
          </cell>
          <cell r="EE367">
            <v>0</v>
          </cell>
          <cell r="EF367">
            <v>0</v>
          </cell>
          <cell r="EG367">
            <v>0</v>
          </cell>
          <cell r="EH367">
            <v>0</v>
          </cell>
          <cell r="EI367">
            <v>-9.7343281500592682E-2</v>
          </cell>
          <cell r="EK367">
            <v>0</v>
          </cell>
          <cell r="EL367">
            <v>0</v>
          </cell>
          <cell r="EM367">
            <v>0</v>
          </cell>
          <cell r="EN367">
            <v>0</v>
          </cell>
          <cell r="EO367">
            <v>-2.6045524029667533E-3</v>
          </cell>
          <cell r="EQ367">
            <v>0</v>
          </cell>
          <cell r="ER367">
            <v>0</v>
          </cell>
          <cell r="ES367">
            <v>0</v>
          </cell>
          <cell r="ET367">
            <v>0</v>
          </cell>
          <cell r="EU367">
            <v>5.2958497709427066E-2</v>
          </cell>
          <cell r="EW367">
            <v>0</v>
          </cell>
          <cell r="EX367">
            <v>0</v>
          </cell>
          <cell r="EY367">
            <v>0</v>
          </cell>
          <cell r="EZ367">
            <v>0</v>
          </cell>
          <cell r="FA367">
            <v>1.9655800514748245E-2</v>
          </cell>
        </row>
        <row r="368"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0</v>
          </cell>
          <cell r="S368">
            <v>0</v>
          </cell>
          <cell r="U368">
            <v>0</v>
          </cell>
          <cell r="V368">
            <v>0</v>
          </cell>
          <cell r="W368">
            <v>0</v>
          </cell>
          <cell r="X368">
            <v>0</v>
          </cell>
          <cell r="Y368">
            <v>0</v>
          </cell>
          <cell r="AA368">
            <v>0</v>
          </cell>
          <cell r="AB368">
            <v>0</v>
          </cell>
          <cell r="AC368">
            <v>0</v>
          </cell>
          <cell r="AD368">
            <v>0</v>
          </cell>
          <cell r="AE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M368">
            <v>0</v>
          </cell>
          <cell r="AN368">
            <v>0</v>
          </cell>
          <cell r="AO368">
            <v>0</v>
          </cell>
          <cell r="AP368">
            <v>0</v>
          </cell>
          <cell r="AQ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0</v>
          </cell>
          <cell r="BK368">
            <v>0</v>
          </cell>
          <cell r="BL368">
            <v>0</v>
          </cell>
          <cell r="BM368">
            <v>0</v>
          </cell>
          <cell r="BN368">
            <v>0</v>
          </cell>
          <cell r="BO368">
            <v>0</v>
          </cell>
          <cell r="BQ368">
            <v>0</v>
          </cell>
          <cell r="BR368">
            <v>0</v>
          </cell>
          <cell r="BS368">
            <v>0</v>
          </cell>
          <cell r="BT368">
            <v>0</v>
          </cell>
          <cell r="BU368">
            <v>0</v>
          </cell>
          <cell r="BW368">
            <v>0</v>
          </cell>
          <cell r="BX368">
            <v>0</v>
          </cell>
          <cell r="BY368">
            <v>0</v>
          </cell>
          <cell r="BZ368">
            <v>0</v>
          </cell>
          <cell r="CA368">
            <v>0</v>
          </cell>
          <cell r="CC368">
            <v>0</v>
          </cell>
          <cell r="CD368">
            <v>0</v>
          </cell>
          <cell r="CE368">
            <v>0</v>
          </cell>
          <cell r="CF368">
            <v>0</v>
          </cell>
          <cell r="CG368">
            <v>0</v>
          </cell>
          <cell r="CI368">
            <v>0</v>
          </cell>
          <cell r="CJ368">
            <v>0</v>
          </cell>
          <cell r="CK368">
            <v>0</v>
          </cell>
          <cell r="CL368">
            <v>0</v>
          </cell>
          <cell r="CM368">
            <v>0</v>
          </cell>
          <cell r="CO368">
            <v>0</v>
          </cell>
          <cell r="CP368">
            <v>0</v>
          </cell>
          <cell r="CQ368">
            <v>0</v>
          </cell>
          <cell r="CR368">
            <v>0</v>
          </cell>
          <cell r="CS368">
            <v>0</v>
          </cell>
          <cell r="CU368">
            <v>0</v>
          </cell>
          <cell r="CV368">
            <v>0</v>
          </cell>
          <cell r="CW368">
            <v>0</v>
          </cell>
          <cell r="CX368">
            <v>0</v>
          </cell>
          <cell r="CY368">
            <v>0</v>
          </cell>
          <cell r="DA368">
            <v>0</v>
          </cell>
          <cell r="DB368">
            <v>0</v>
          </cell>
          <cell r="DC368">
            <v>0</v>
          </cell>
          <cell r="DE368">
            <v>0</v>
          </cell>
          <cell r="DG368">
            <v>0</v>
          </cell>
          <cell r="DH368">
            <v>0</v>
          </cell>
          <cell r="DI368">
            <v>0</v>
          </cell>
          <cell r="DJ368">
            <v>0</v>
          </cell>
          <cell r="DK368">
            <v>0</v>
          </cell>
          <cell r="DM368">
            <v>0</v>
          </cell>
          <cell r="DN368">
            <v>0</v>
          </cell>
          <cell r="DO368">
            <v>0</v>
          </cell>
          <cell r="DP368">
            <v>0</v>
          </cell>
          <cell r="DQ368">
            <v>0</v>
          </cell>
          <cell r="DS368">
            <v>0</v>
          </cell>
          <cell r="DT368">
            <v>0</v>
          </cell>
          <cell r="DU368">
            <v>0</v>
          </cell>
          <cell r="DV368">
            <v>0</v>
          </cell>
          <cell r="DW368">
            <v>0</v>
          </cell>
          <cell r="DY368">
            <v>0</v>
          </cell>
          <cell r="DZ368">
            <v>0</v>
          </cell>
          <cell r="EA368">
            <v>0</v>
          </cell>
          <cell r="EB368">
            <v>0</v>
          </cell>
          <cell r="EC368">
            <v>0</v>
          </cell>
          <cell r="EE368">
            <v>0</v>
          </cell>
          <cell r="EF368">
            <v>0</v>
          </cell>
          <cell r="EG368">
            <v>0</v>
          </cell>
          <cell r="EH368">
            <v>0</v>
          </cell>
          <cell r="EI368">
            <v>0</v>
          </cell>
          <cell r="EK368">
            <v>0</v>
          </cell>
          <cell r="EL368">
            <v>0</v>
          </cell>
          <cell r="EM368">
            <v>0</v>
          </cell>
          <cell r="EN368">
            <v>0</v>
          </cell>
          <cell r="EO368">
            <v>0</v>
          </cell>
          <cell r="EQ368">
            <v>0</v>
          </cell>
          <cell r="ER368">
            <v>0</v>
          </cell>
          <cell r="ES368">
            <v>0</v>
          </cell>
          <cell r="ET368">
            <v>0</v>
          </cell>
          <cell r="EU368">
            <v>0</v>
          </cell>
          <cell r="EW368">
            <v>0</v>
          </cell>
          <cell r="EX368">
            <v>0</v>
          </cell>
          <cell r="EY368">
            <v>0</v>
          </cell>
          <cell r="EZ368">
            <v>0</v>
          </cell>
          <cell r="FA368">
            <v>0</v>
          </cell>
        </row>
        <row r="369"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0</v>
          </cell>
          <cell r="S369">
            <v>0</v>
          </cell>
          <cell r="U369">
            <v>0</v>
          </cell>
          <cell r="V369">
            <v>0</v>
          </cell>
          <cell r="W369">
            <v>0</v>
          </cell>
          <cell r="X369">
            <v>0</v>
          </cell>
          <cell r="Y369">
            <v>0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0</v>
          </cell>
          <cell r="AQ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0</v>
          </cell>
          <cell r="BK369">
            <v>0</v>
          </cell>
          <cell r="BL369">
            <v>0</v>
          </cell>
          <cell r="BM369">
            <v>0</v>
          </cell>
          <cell r="BN369">
            <v>0</v>
          </cell>
          <cell r="BO369">
            <v>0</v>
          </cell>
          <cell r="BQ369">
            <v>0</v>
          </cell>
          <cell r="BR369">
            <v>0</v>
          </cell>
          <cell r="BS369">
            <v>0</v>
          </cell>
          <cell r="BT369">
            <v>0</v>
          </cell>
          <cell r="BU369">
            <v>0</v>
          </cell>
          <cell r="BW369">
            <v>0</v>
          </cell>
          <cell r="BX369">
            <v>0</v>
          </cell>
          <cell r="BY369">
            <v>0</v>
          </cell>
          <cell r="BZ369">
            <v>0</v>
          </cell>
          <cell r="CA369">
            <v>0</v>
          </cell>
          <cell r="CC369">
            <v>0</v>
          </cell>
          <cell r="CD369">
            <v>0</v>
          </cell>
          <cell r="CE369">
            <v>0</v>
          </cell>
          <cell r="CF369">
            <v>0</v>
          </cell>
          <cell r="CG369">
            <v>0</v>
          </cell>
          <cell r="CI369">
            <v>0</v>
          </cell>
          <cell r="CJ369">
            <v>0</v>
          </cell>
          <cell r="CK369">
            <v>0</v>
          </cell>
          <cell r="CL369">
            <v>0</v>
          </cell>
          <cell r="CM369">
            <v>0</v>
          </cell>
          <cell r="CO369">
            <v>0</v>
          </cell>
          <cell r="CP369">
            <v>0</v>
          </cell>
          <cell r="CQ369">
            <v>0</v>
          </cell>
          <cell r="CR369">
            <v>0</v>
          </cell>
          <cell r="CS369">
            <v>0</v>
          </cell>
          <cell r="CU369">
            <v>0</v>
          </cell>
          <cell r="CV369">
            <v>0</v>
          </cell>
          <cell r="CW369">
            <v>0</v>
          </cell>
          <cell r="CX369">
            <v>0</v>
          </cell>
          <cell r="CY369">
            <v>0</v>
          </cell>
          <cell r="DA369">
            <v>0</v>
          </cell>
          <cell r="DB369">
            <v>0</v>
          </cell>
          <cell r="DC369">
            <v>0</v>
          </cell>
          <cell r="DE369">
            <v>0</v>
          </cell>
          <cell r="DG369">
            <v>0</v>
          </cell>
          <cell r="DH369">
            <v>0</v>
          </cell>
          <cell r="DI369">
            <v>0</v>
          </cell>
          <cell r="DJ369">
            <v>0</v>
          </cell>
          <cell r="DK369">
            <v>0</v>
          </cell>
          <cell r="DM369">
            <v>0</v>
          </cell>
          <cell r="DN369">
            <v>0</v>
          </cell>
          <cell r="DO369">
            <v>0</v>
          </cell>
          <cell r="DP369">
            <v>0</v>
          </cell>
          <cell r="DQ369">
            <v>0</v>
          </cell>
          <cell r="DS369">
            <v>0</v>
          </cell>
          <cell r="DT369">
            <v>0</v>
          </cell>
          <cell r="DU369">
            <v>0</v>
          </cell>
          <cell r="DV369">
            <v>0</v>
          </cell>
          <cell r="DW369">
            <v>0</v>
          </cell>
          <cell r="DY369">
            <v>0</v>
          </cell>
          <cell r="DZ369">
            <v>0</v>
          </cell>
          <cell r="EA369">
            <v>0</v>
          </cell>
          <cell r="EB369">
            <v>0</v>
          </cell>
          <cell r="EC369">
            <v>0</v>
          </cell>
          <cell r="EE369">
            <v>0</v>
          </cell>
          <cell r="EF369">
            <v>0</v>
          </cell>
          <cell r="EG369">
            <v>0</v>
          </cell>
          <cell r="EH369">
            <v>0</v>
          </cell>
          <cell r="EI369">
            <v>0</v>
          </cell>
          <cell r="EK369">
            <v>0</v>
          </cell>
          <cell r="EL369">
            <v>0</v>
          </cell>
          <cell r="EM369">
            <v>0</v>
          </cell>
          <cell r="EN369">
            <v>0</v>
          </cell>
          <cell r="EO369">
            <v>0</v>
          </cell>
          <cell r="EQ369">
            <v>0</v>
          </cell>
          <cell r="ER369">
            <v>0</v>
          </cell>
          <cell r="ES369">
            <v>0</v>
          </cell>
          <cell r="ET369">
            <v>0</v>
          </cell>
          <cell r="EU369">
            <v>0</v>
          </cell>
          <cell r="EW369">
            <v>0</v>
          </cell>
          <cell r="EX369">
            <v>0</v>
          </cell>
          <cell r="EY369">
            <v>0</v>
          </cell>
          <cell r="EZ369">
            <v>0</v>
          </cell>
          <cell r="FA369">
            <v>0</v>
          </cell>
        </row>
        <row r="370"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0</v>
          </cell>
          <cell r="S370">
            <v>0</v>
          </cell>
          <cell r="U370">
            <v>0</v>
          </cell>
          <cell r="V370">
            <v>0</v>
          </cell>
          <cell r="W370">
            <v>0</v>
          </cell>
          <cell r="X370">
            <v>0</v>
          </cell>
          <cell r="Y370">
            <v>0</v>
          </cell>
          <cell r="AA370">
            <v>0</v>
          </cell>
          <cell r="AB370">
            <v>0</v>
          </cell>
          <cell r="AC370">
            <v>0</v>
          </cell>
          <cell r="AD370">
            <v>0</v>
          </cell>
          <cell r="AE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M370">
            <v>0</v>
          </cell>
          <cell r="AN370">
            <v>0</v>
          </cell>
          <cell r="AO370">
            <v>0</v>
          </cell>
          <cell r="AP370">
            <v>0</v>
          </cell>
          <cell r="AQ370">
            <v>0</v>
          </cell>
          <cell r="AS370">
            <v>0</v>
          </cell>
          <cell r="AT370">
            <v>0</v>
          </cell>
          <cell r="AU370">
            <v>0</v>
          </cell>
          <cell r="AV370">
            <v>0</v>
          </cell>
          <cell r="AW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3.7232681585334083E-2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2.8197723798199424E-2</v>
          </cell>
          <cell r="BK370">
            <v>2.2598870056497175E-2</v>
          </cell>
          <cell r="BL370">
            <v>2.1810250817884406E-2</v>
          </cell>
          <cell r="BM370">
            <v>2.335340266374749E-2</v>
          </cell>
          <cell r="BN370">
            <v>1.9205298013245033E-2</v>
          </cell>
          <cell r="BO370">
            <v>2.2085259373394967E-2</v>
          </cell>
          <cell r="BQ370">
            <v>1.6566958122411414E-2</v>
          </cell>
          <cell r="BR370">
            <v>1.5667206915180983E-2</v>
          </cell>
          <cell r="BS370">
            <v>1.4367104285360416E-2</v>
          </cell>
          <cell r="BT370">
            <v>1.6462958343726616E-2</v>
          </cell>
          <cell r="BU370">
            <v>1.8100935726338394E-2</v>
          </cell>
          <cell r="BW370">
            <v>1.7235355770350531E-2</v>
          </cell>
          <cell r="BX370">
            <v>1.8210297084480614E-2</v>
          </cell>
          <cell r="BY370">
            <v>2.4162780839338704E-2</v>
          </cell>
          <cell r="BZ370">
            <v>2.1024967148488831E-2</v>
          </cell>
          <cell r="CA370">
            <v>2.1544194712938163E-2</v>
          </cell>
          <cell r="CC370">
            <v>2.0959966464053657E-2</v>
          </cell>
          <cell r="CD370">
            <v>1.8566493955094993E-2</v>
          </cell>
          <cell r="CE370">
            <v>8.815750808110491E-2</v>
          </cell>
          <cell r="CF370">
            <v>5.3580628541988667E-2</v>
          </cell>
          <cell r="CG370">
            <v>4.7264724376440997E-2</v>
          </cell>
          <cell r="CI370">
            <v>4.049967126890204E-2</v>
          </cell>
          <cell r="CJ370">
            <v>3.9045553145336226E-2</v>
          </cell>
          <cell r="CK370">
            <v>3.424920127795527E-2</v>
          </cell>
          <cell r="CL370">
            <v>4.9030256012412725E-2</v>
          </cell>
          <cell r="CM370">
            <v>3.9973701512163048E-2</v>
          </cell>
          <cell r="CO370">
            <v>4.3874643874643876E-2</v>
          </cell>
          <cell r="CP370">
            <v>6.3024667441560114E-2</v>
          </cell>
          <cell r="CQ370">
            <v>3.9848197343453511E-2</v>
          </cell>
          <cell r="CR370">
            <v>3.8454216638111556E-2</v>
          </cell>
          <cell r="CS370">
            <v>5.4700854700854701E-2</v>
          </cell>
          <cell r="CU370">
            <v>2.9702073711853662E-2</v>
          </cell>
          <cell r="CV370">
            <v>2.4575685431226482E-3</v>
          </cell>
          <cell r="CW370">
            <v>9.017471350742063E-3</v>
          </cell>
          <cell r="CX370">
            <v>1.0270940322295023E-2</v>
          </cell>
          <cell r="CY370">
            <v>1.2949379697545957E-2</v>
          </cell>
          <cell r="DA370">
            <v>3.1685678073510771E-4</v>
          </cell>
          <cell r="DB370">
            <v>6.4186725018234867E-3</v>
          </cell>
          <cell r="DC370">
            <v>-1.4434180138568129E-2</v>
          </cell>
          <cell r="DE370">
            <v>-5.1489226869455007E-3</v>
          </cell>
          <cell r="DG370">
            <v>1.6026855812442471E-2</v>
          </cell>
          <cell r="DH370">
            <v>1.523035918263739E-2</v>
          </cell>
          <cell r="DI370">
            <v>2.5759710203260215E-3</v>
          </cell>
          <cell r="DJ370">
            <v>9.8542393758981723E-4</v>
          </cell>
          <cell r="DK370">
            <v>1.0070929665926688E-2</v>
          </cell>
          <cell r="DM370">
            <v>-2.7731558513588465E-3</v>
          </cell>
          <cell r="DN370">
            <v>5.180037902716361E-3</v>
          </cell>
          <cell r="DO370">
            <v>2.7086289178382562E-3</v>
          </cell>
          <cell r="DP370">
            <v>-2.6897989375294197E-3</v>
          </cell>
          <cell r="DQ370">
            <v>7.6261785912368272E-4</v>
          </cell>
          <cell r="DS370">
            <v>1.4343460685878212E-3</v>
          </cell>
          <cell r="DT370">
            <v>5.0621697725187456E-4</v>
          </cell>
          <cell r="DU370">
            <v>-4.6297670277489246E-3</v>
          </cell>
          <cell r="DV370">
            <v>4.1907384679857511E-3</v>
          </cell>
          <cell r="DW370">
            <v>0</v>
          </cell>
          <cell r="DY370">
            <v>5.0000000000000001E-4</v>
          </cell>
          <cell r="DZ370">
            <v>1E-3</v>
          </cell>
          <cell r="EA370">
            <v>1E-3</v>
          </cell>
          <cell r="EB370">
            <v>1E-3</v>
          </cell>
          <cell r="EC370">
            <v>0</v>
          </cell>
          <cell r="EE370">
            <v>2E-3</v>
          </cell>
          <cell r="EF370">
            <v>2E-3</v>
          </cell>
          <cell r="EG370">
            <v>2E-3</v>
          </cell>
          <cell r="EH370">
            <v>2E-3</v>
          </cell>
          <cell r="EI370">
            <v>0</v>
          </cell>
          <cell r="EK370">
            <v>3.0000000000000001E-3</v>
          </cell>
          <cell r="EL370">
            <v>3.0000000000000001E-3</v>
          </cell>
          <cell r="EM370">
            <v>3.0000000000000001E-3</v>
          </cell>
          <cell r="EN370">
            <v>3.0000000000000001E-3</v>
          </cell>
          <cell r="EO370">
            <v>0</v>
          </cell>
          <cell r="EQ370">
            <v>4.0000000000000001E-3</v>
          </cell>
          <cell r="ER370">
            <v>4.0000000000000001E-3</v>
          </cell>
          <cell r="ES370">
            <v>4.0000000000000001E-3</v>
          </cell>
          <cell r="ET370">
            <v>4.0000000000000001E-3</v>
          </cell>
          <cell r="EU370">
            <v>0</v>
          </cell>
          <cell r="EW370">
            <v>5.0000000000000001E-3</v>
          </cell>
          <cell r="EX370">
            <v>5.0000000000000001E-3</v>
          </cell>
          <cell r="EY370">
            <v>5.0000000000000001E-3</v>
          </cell>
          <cell r="EZ370">
            <v>5.0000000000000001E-3</v>
          </cell>
          <cell r="FA370">
            <v>0</v>
          </cell>
        </row>
        <row r="371"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0</v>
          </cell>
          <cell r="S371">
            <v>0</v>
          </cell>
          <cell r="U371">
            <v>0</v>
          </cell>
          <cell r="V371">
            <v>0</v>
          </cell>
          <cell r="W371">
            <v>0</v>
          </cell>
          <cell r="X371">
            <v>0</v>
          </cell>
          <cell r="Y371">
            <v>0</v>
          </cell>
          <cell r="AA371">
            <v>0</v>
          </cell>
          <cell r="AB371">
            <v>0</v>
          </cell>
          <cell r="AC371">
            <v>5.2766666666666698E-2</v>
          </cell>
          <cell r="AD371">
            <v>5.5233333333333301E-2</v>
          </cell>
          <cell r="AE371">
            <v>0</v>
          </cell>
          <cell r="AG371">
            <v>5.5333333333333297E-2</v>
          </cell>
          <cell r="AH371">
            <v>5.5066666666666701E-2</v>
          </cell>
          <cell r="AI371">
            <v>5.5199999999999999E-2</v>
          </cell>
          <cell r="AJ371">
            <v>5.5E-2</v>
          </cell>
          <cell r="AK371">
            <v>5.5149999999999998E-2</v>
          </cell>
          <cell r="AM371">
            <v>5.5333333333333297E-2</v>
          </cell>
          <cell r="AN371">
            <v>4.8600000000000004E-2</v>
          </cell>
          <cell r="AO371">
            <v>4.7333333333333297E-2</v>
          </cell>
          <cell r="AP371">
            <v>4.7466666666666699E-2</v>
          </cell>
          <cell r="AQ371">
            <v>4.9683333333333329E-2</v>
          </cell>
          <cell r="AS371">
            <v>5.0933333333333303E-2</v>
          </cell>
          <cell r="AT371">
            <v>5.3066666666666699E-2</v>
          </cell>
          <cell r="AU371">
            <v>5.6766666666666701E-2</v>
          </cell>
          <cell r="AV371">
            <v>6.2733333333333294E-2</v>
          </cell>
          <cell r="AW371">
            <v>5.5875000000000008E-2</v>
          </cell>
          <cell r="AY371">
            <v>6.5199999999999994E-2</v>
          </cell>
          <cell r="AZ371">
            <v>6.4733333333333296E-2</v>
          </cell>
          <cell r="BA371">
            <v>5.59333333333333E-2</v>
          </cell>
          <cell r="BB371">
            <v>4.3266666666666696E-2</v>
          </cell>
          <cell r="BC371">
            <v>5.7283333333333325E-2</v>
          </cell>
          <cell r="BE371">
            <v>3.4966666666666701E-2</v>
          </cell>
          <cell r="BF371">
            <v>2.1333333333333301E-2</v>
          </cell>
          <cell r="BG371">
            <v>1.7333333333333301E-2</v>
          </cell>
          <cell r="BH371">
            <v>1.7500000000000002E-2</v>
          </cell>
          <cell r="BI371">
            <v>2.2783333333333326E-2</v>
          </cell>
          <cell r="BK371">
            <v>1.7399999999999999E-2</v>
          </cell>
          <cell r="BL371">
            <v>1.44333333333333E-2</v>
          </cell>
          <cell r="BM371">
            <v>1.2500000000000001E-2</v>
          </cell>
          <cell r="BN371">
            <v>1.2466666666666699E-2</v>
          </cell>
          <cell r="BO371">
            <v>1.4199999999999997E-2</v>
          </cell>
          <cell r="BQ371">
            <v>1.0166666666666699E-2</v>
          </cell>
          <cell r="BR371">
            <v>9.9666666666666705E-3</v>
          </cell>
          <cell r="BS371">
            <v>0.01</v>
          </cell>
          <cell r="BT371">
            <v>0.01</v>
          </cell>
          <cell r="BU371">
            <v>1.0033333333333344E-2</v>
          </cell>
          <cell r="BW371">
            <v>1.2500000000000001E-2</v>
          </cell>
          <cell r="BX371">
            <v>1.7500000000000002E-2</v>
          </cell>
          <cell r="BY371">
            <v>2.2499999999999999E-2</v>
          </cell>
          <cell r="BZ371">
            <v>0.03</v>
          </cell>
          <cell r="CA371">
            <v>2.0625000000000001E-2</v>
          </cell>
          <cell r="CC371">
            <v>3.5000000000000003E-2</v>
          </cell>
          <cell r="CD371">
            <v>0.04</v>
          </cell>
          <cell r="CE371">
            <v>4.7500000000000001E-2</v>
          </cell>
          <cell r="CF371">
            <v>4.7500000000000001E-2</v>
          </cell>
          <cell r="CG371">
            <v>0</v>
          </cell>
          <cell r="CI371">
            <v>3.5000000000000003E-2</v>
          </cell>
          <cell r="CJ371">
            <v>0.04</v>
          </cell>
          <cell r="CK371">
            <v>0.05</v>
          </cell>
          <cell r="CL371">
            <v>0.05</v>
          </cell>
          <cell r="CM371">
            <v>0</v>
          </cell>
          <cell r="CO371">
            <v>0.05</v>
          </cell>
          <cell r="CP371">
            <v>0.05</v>
          </cell>
          <cell r="CQ371">
            <v>0.05</v>
          </cell>
          <cell r="CR371">
            <v>0.05</v>
          </cell>
          <cell r="CS371">
            <v>0</v>
          </cell>
          <cell r="CU371">
            <v>0.05</v>
          </cell>
          <cell r="CV371">
            <v>0.05</v>
          </cell>
          <cell r="CW371">
            <v>0.05</v>
          </cell>
          <cell r="CX371">
            <v>0.05</v>
          </cell>
          <cell r="CY371">
            <v>0</v>
          </cell>
          <cell r="DA371">
            <v>0.05</v>
          </cell>
          <cell r="DB371">
            <v>0.05</v>
          </cell>
          <cell r="DC371">
            <v>0.05</v>
          </cell>
          <cell r="DE371">
            <v>0</v>
          </cell>
          <cell r="DG371">
            <v>0.05</v>
          </cell>
          <cell r="DH371">
            <v>0.05</v>
          </cell>
          <cell r="DI371">
            <v>0.05</v>
          </cell>
          <cell r="DJ371">
            <v>0.05</v>
          </cell>
          <cell r="DK371">
            <v>0</v>
          </cell>
          <cell r="DM371">
            <v>0.05</v>
          </cell>
          <cell r="DN371">
            <v>0.05</v>
          </cell>
          <cell r="DO371">
            <v>0.05</v>
          </cell>
          <cell r="DP371">
            <v>0.05</v>
          </cell>
          <cell r="DQ371">
            <v>0</v>
          </cell>
          <cell r="DS371">
            <v>0.05</v>
          </cell>
          <cell r="DT371">
            <v>0.05</v>
          </cell>
          <cell r="DU371">
            <v>0.05</v>
          </cell>
          <cell r="DV371">
            <v>0.05</v>
          </cell>
          <cell r="DW371">
            <v>0</v>
          </cell>
          <cell r="DY371">
            <v>0.05</v>
          </cell>
          <cell r="DZ371">
            <v>0.05</v>
          </cell>
          <cell r="EA371">
            <v>0.05</v>
          </cell>
          <cell r="EB371">
            <v>0.05</v>
          </cell>
          <cell r="EC371">
            <v>0</v>
          </cell>
          <cell r="EE371">
            <v>0.05</v>
          </cell>
          <cell r="EF371">
            <v>0.05</v>
          </cell>
          <cell r="EG371">
            <v>0.05</v>
          </cell>
          <cell r="EH371">
            <v>0.05</v>
          </cell>
          <cell r="EI371">
            <v>0</v>
          </cell>
          <cell r="EK371">
            <v>0.05</v>
          </cell>
          <cell r="EL371">
            <v>0.05</v>
          </cell>
          <cell r="EM371">
            <v>0.05</v>
          </cell>
          <cell r="EN371">
            <v>0.05</v>
          </cell>
          <cell r="EO371">
            <v>0</v>
          </cell>
          <cell r="EQ371">
            <v>0.05</v>
          </cell>
          <cell r="ER371">
            <v>0.05</v>
          </cell>
          <cell r="ES371">
            <v>0.05</v>
          </cell>
          <cell r="ET371">
            <v>0.05</v>
          </cell>
          <cell r="EU371">
            <v>0</v>
          </cell>
          <cell r="EW371">
            <v>0.05</v>
          </cell>
          <cell r="EX371">
            <v>0.05</v>
          </cell>
          <cell r="EY371">
            <v>0.05</v>
          </cell>
          <cell r="EZ371">
            <v>0.05</v>
          </cell>
          <cell r="FA371">
            <v>0</v>
          </cell>
        </row>
        <row r="372"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0</v>
          </cell>
          <cell r="S372">
            <v>0</v>
          </cell>
          <cell r="U372">
            <v>0</v>
          </cell>
          <cell r="V372">
            <v>0</v>
          </cell>
          <cell r="W372">
            <v>0</v>
          </cell>
          <cell r="X372">
            <v>0</v>
          </cell>
          <cell r="Y372">
            <v>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G372">
            <v>0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M372">
            <v>0</v>
          </cell>
          <cell r="AN372">
            <v>0</v>
          </cell>
          <cell r="AO372">
            <v>0</v>
          </cell>
          <cell r="AP372">
            <v>0</v>
          </cell>
          <cell r="AQ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0</v>
          </cell>
          <cell r="BK372">
            <v>0</v>
          </cell>
          <cell r="BL372">
            <v>0</v>
          </cell>
          <cell r="BM372">
            <v>0</v>
          </cell>
          <cell r="BN372">
            <v>0</v>
          </cell>
          <cell r="BO372">
            <v>0</v>
          </cell>
          <cell r="BQ372">
            <v>0</v>
          </cell>
          <cell r="BR372">
            <v>0</v>
          </cell>
          <cell r="BS372">
            <v>0</v>
          </cell>
          <cell r="BT372">
            <v>0</v>
          </cell>
          <cell r="BU372">
            <v>0</v>
          </cell>
          <cell r="BW372">
            <v>0</v>
          </cell>
          <cell r="BX372">
            <v>0</v>
          </cell>
          <cell r="BY372">
            <v>0</v>
          </cell>
          <cell r="BZ372">
            <v>0</v>
          </cell>
          <cell r="CA372">
            <v>0</v>
          </cell>
          <cell r="CC372">
            <v>0</v>
          </cell>
          <cell r="CD372">
            <v>0</v>
          </cell>
          <cell r="CE372">
            <v>0</v>
          </cell>
          <cell r="CF372">
            <v>0</v>
          </cell>
          <cell r="CG372">
            <v>0</v>
          </cell>
          <cell r="CI372">
            <v>0</v>
          </cell>
          <cell r="CJ372">
            <v>0</v>
          </cell>
          <cell r="CK372">
            <v>0</v>
          </cell>
          <cell r="CL372">
            <v>0</v>
          </cell>
          <cell r="CM372">
            <v>0</v>
          </cell>
          <cell r="CO372">
            <v>0</v>
          </cell>
          <cell r="CP372">
            <v>0</v>
          </cell>
          <cell r="CQ372">
            <v>0</v>
          </cell>
          <cell r="CR372">
            <v>0</v>
          </cell>
          <cell r="CS372">
            <v>0</v>
          </cell>
          <cell r="CU372">
            <v>0</v>
          </cell>
          <cell r="CV372">
            <v>0</v>
          </cell>
          <cell r="CW372">
            <v>0</v>
          </cell>
          <cell r="CX372">
            <v>0</v>
          </cell>
          <cell r="CY372">
            <v>0</v>
          </cell>
          <cell r="DA372">
            <v>0</v>
          </cell>
          <cell r="DB372">
            <v>0</v>
          </cell>
          <cell r="DC372">
            <v>0</v>
          </cell>
          <cell r="DE372">
            <v>0</v>
          </cell>
          <cell r="DG372">
            <v>0</v>
          </cell>
          <cell r="DH372">
            <v>0</v>
          </cell>
          <cell r="DI372">
            <v>0</v>
          </cell>
          <cell r="DJ372">
            <v>0</v>
          </cell>
          <cell r="DK372">
            <v>0</v>
          </cell>
          <cell r="DM372">
            <v>0</v>
          </cell>
          <cell r="DN372">
            <v>0</v>
          </cell>
          <cell r="DO372">
            <v>0</v>
          </cell>
          <cell r="DP372">
            <v>0</v>
          </cell>
          <cell r="DQ372">
            <v>0</v>
          </cell>
          <cell r="DS372">
            <v>0</v>
          </cell>
          <cell r="DT372">
            <v>0</v>
          </cell>
          <cell r="DU372">
            <v>0</v>
          </cell>
          <cell r="DV372">
            <v>0</v>
          </cell>
          <cell r="DW372">
            <v>0</v>
          </cell>
          <cell r="DY372">
            <v>0</v>
          </cell>
          <cell r="DZ372">
            <v>0</v>
          </cell>
          <cell r="EA372">
            <v>0</v>
          </cell>
          <cell r="EB372">
            <v>0</v>
          </cell>
          <cell r="EC372">
            <v>0</v>
          </cell>
          <cell r="EE372">
            <v>0</v>
          </cell>
          <cell r="EF372">
            <v>0</v>
          </cell>
          <cell r="EG372">
            <v>0</v>
          </cell>
          <cell r="EH372">
            <v>0</v>
          </cell>
          <cell r="EI372">
            <v>0</v>
          </cell>
          <cell r="EK372">
            <v>0</v>
          </cell>
          <cell r="EL372">
            <v>0</v>
          </cell>
          <cell r="EM372">
            <v>0</v>
          </cell>
          <cell r="EN372">
            <v>0</v>
          </cell>
          <cell r="EO372">
            <v>0</v>
          </cell>
          <cell r="EQ372">
            <v>0</v>
          </cell>
          <cell r="ER372">
            <v>0</v>
          </cell>
          <cell r="ES372">
            <v>0</v>
          </cell>
          <cell r="ET372">
            <v>0</v>
          </cell>
          <cell r="EU372">
            <v>0</v>
          </cell>
          <cell r="EW372">
            <v>0</v>
          </cell>
          <cell r="EX372">
            <v>0</v>
          </cell>
          <cell r="EY372">
            <v>0</v>
          </cell>
          <cell r="EZ372">
            <v>0</v>
          </cell>
          <cell r="FA372">
            <v>0</v>
          </cell>
        </row>
        <row r="373"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0</v>
          </cell>
          <cell r="S373">
            <v>0</v>
          </cell>
          <cell r="U373">
            <v>0</v>
          </cell>
          <cell r="V373">
            <v>0</v>
          </cell>
          <cell r="W373">
            <v>0</v>
          </cell>
          <cell r="X373">
            <v>0</v>
          </cell>
          <cell r="Y373">
            <v>0</v>
          </cell>
          <cell r="AA373">
            <v>0</v>
          </cell>
          <cell r="AB373">
            <v>0</v>
          </cell>
          <cell r="AC373">
            <v>0</v>
          </cell>
          <cell r="AD373">
            <v>0</v>
          </cell>
          <cell r="AE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0</v>
          </cell>
          <cell r="AQ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0.64997407480944003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1.2376469845588631</v>
          </cell>
          <cell r="BK373">
            <v>1.2987856354308722</v>
          </cell>
          <cell r="BL373">
            <v>1.5111028280289462</v>
          </cell>
          <cell r="BM373">
            <v>1.8682722130997991</v>
          </cell>
          <cell r="BN373">
            <v>1.5405319261961217</v>
          </cell>
          <cell r="BO373">
            <v>1.5552999558728853</v>
          </cell>
          <cell r="BQ373">
            <v>1.6295368644994781</v>
          </cell>
          <cell r="BR373">
            <v>1.5719605600516029</v>
          </cell>
          <cell r="BS373">
            <v>1.4367104285360417</v>
          </cell>
          <cell r="BT373">
            <v>1.6462958343726617</v>
          </cell>
          <cell r="BU373">
            <v>1.804079972724755</v>
          </cell>
          <cell r="BW373">
            <v>1.3788284616280424</v>
          </cell>
          <cell r="BX373">
            <v>1.0405884048274636</v>
          </cell>
          <cell r="BY373">
            <v>1.0739013706372758</v>
          </cell>
          <cell r="BZ373">
            <v>0.70083223828296104</v>
          </cell>
          <cell r="CA373">
            <v>1.0445670163848806</v>
          </cell>
          <cell r="CC373">
            <v>0.59885618468724733</v>
          </cell>
          <cell r="CD373">
            <v>0.46416234887737479</v>
          </cell>
          <cell r="CE373">
            <v>1</v>
          </cell>
          <cell r="CF373">
            <v>1</v>
          </cell>
          <cell r="CG373">
            <v>0</v>
          </cell>
          <cell r="CI373">
            <v>0.99</v>
          </cell>
          <cell r="CJ373">
            <v>0.99</v>
          </cell>
          <cell r="CK373">
            <v>0.99</v>
          </cell>
          <cell r="CL373">
            <v>0.99</v>
          </cell>
          <cell r="CM373">
            <v>0</v>
          </cell>
          <cell r="CO373">
            <v>1</v>
          </cell>
          <cell r="CP373">
            <v>1</v>
          </cell>
          <cell r="CQ373">
            <v>1</v>
          </cell>
          <cell r="CR373">
            <v>1</v>
          </cell>
          <cell r="CS373">
            <v>0</v>
          </cell>
          <cell r="CU373">
            <v>1</v>
          </cell>
          <cell r="CV373">
            <v>1</v>
          </cell>
          <cell r="CW373">
            <v>1</v>
          </cell>
          <cell r="CX373">
            <v>1</v>
          </cell>
          <cell r="CY373">
            <v>0</v>
          </cell>
          <cell r="DA373">
            <v>1</v>
          </cell>
          <cell r="DB373">
            <v>1</v>
          </cell>
          <cell r="DC373">
            <v>1</v>
          </cell>
          <cell r="DE373">
            <v>0</v>
          </cell>
          <cell r="DG373">
            <v>1</v>
          </cell>
          <cell r="DH373">
            <v>1</v>
          </cell>
          <cell r="DI373">
            <v>1</v>
          </cell>
          <cell r="DJ373">
            <v>1</v>
          </cell>
          <cell r="DK373">
            <v>0</v>
          </cell>
          <cell r="DM373">
            <v>1</v>
          </cell>
          <cell r="DN373">
            <v>1</v>
          </cell>
          <cell r="DO373">
            <v>1</v>
          </cell>
          <cell r="DP373">
            <v>1</v>
          </cell>
          <cell r="DQ373">
            <v>0</v>
          </cell>
          <cell r="DS373">
            <v>1</v>
          </cell>
          <cell r="DT373">
            <v>1</v>
          </cell>
          <cell r="DU373">
            <v>1</v>
          </cell>
          <cell r="DV373">
            <v>1</v>
          </cell>
          <cell r="DW373">
            <v>0</v>
          </cell>
          <cell r="DY373">
            <v>1</v>
          </cell>
          <cell r="DZ373">
            <v>1</v>
          </cell>
          <cell r="EA373">
            <v>1</v>
          </cell>
          <cell r="EB373">
            <v>1</v>
          </cell>
          <cell r="EC373">
            <v>0</v>
          </cell>
          <cell r="EE373">
            <v>1</v>
          </cell>
          <cell r="EF373">
            <v>1</v>
          </cell>
          <cell r="EG373">
            <v>1</v>
          </cell>
          <cell r="EH373">
            <v>1</v>
          </cell>
          <cell r="EI373">
            <v>0</v>
          </cell>
          <cell r="EK373">
            <v>1</v>
          </cell>
          <cell r="EL373">
            <v>1</v>
          </cell>
          <cell r="EM373">
            <v>1</v>
          </cell>
          <cell r="EN373">
            <v>1</v>
          </cell>
          <cell r="EO373">
            <v>0</v>
          </cell>
          <cell r="EQ373">
            <v>1</v>
          </cell>
          <cell r="ER373">
            <v>1</v>
          </cell>
          <cell r="ES373">
            <v>1</v>
          </cell>
          <cell r="ET373">
            <v>1</v>
          </cell>
          <cell r="EU373">
            <v>0</v>
          </cell>
          <cell r="EW373">
            <v>1</v>
          </cell>
          <cell r="EX373">
            <v>1</v>
          </cell>
          <cell r="EY373">
            <v>1</v>
          </cell>
          <cell r="EZ373">
            <v>1</v>
          </cell>
          <cell r="FA373">
            <v>0</v>
          </cell>
        </row>
        <row r="374"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U374">
            <v>0</v>
          </cell>
          <cell r="V374">
            <v>0</v>
          </cell>
          <cell r="W374">
            <v>0</v>
          </cell>
          <cell r="X374">
            <v>0</v>
          </cell>
          <cell r="Y374">
            <v>0</v>
          </cell>
          <cell r="AA374">
            <v>0</v>
          </cell>
          <cell r="AB374">
            <v>0</v>
          </cell>
          <cell r="AC374">
            <v>0</v>
          </cell>
          <cell r="AD374">
            <v>0</v>
          </cell>
          <cell r="AE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M374">
            <v>0</v>
          </cell>
          <cell r="AN374">
            <v>0</v>
          </cell>
          <cell r="AO374">
            <v>0</v>
          </cell>
          <cell r="AP374">
            <v>0</v>
          </cell>
          <cell r="AQ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0</v>
          </cell>
          <cell r="BK374">
            <v>0</v>
          </cell>
          <cell r="BL374">
            <v>0</v>
          </cell>
          <cell r="BM374">
            <v>0</v>
          </cell>
          <cell r="BN374">
            <v>0</v>
          </cell>
          <cell r="BO374">
            <v>0</v>
          </cell>
          <cell r="BQ374">
            <v>0</v>
          </cell>
          <cell r="BR374">
            <v>0</v>
          </cell>
          <cell r="BS374">
            <v>0</v>
          </cell>
          <cell r="BT374">
            <v>0</v>
          </cell>
          <cell r="BU374">
            <v>0</v>
          </cell>
          <cell r="BW374">
            <v>0</v>
          </cell>
          <cell r="BX374">
            <v>0</v>
          </cell>
          <cell r="BY374">
            <v>0</v>
          </cell>
          <cell r="BZ374">
            <v>0</v>
          </cell>
          <cell r="CA374">
            <v>0</v>
          </cell>
          <cell r="CC374">
            <v>0</v>
          </cell>
          <cell r="CD374">
            <v>0</v>
          </cell>
          <cell r="CE374">
            <v>0</v>
          </cell>
          <cell r="CF374">
            <v>0</v>
          </cell>
          <cell r="CG374">
            <v>0</v>
          </cell>
          <cell r="CI374">
            <v>0</v>
          </cell>
          <cell r="CJ374">
            <v>0</v>
          </cell>
          <cell r="CK374">
            <v>0</v>
          </cell>
          <cell r="CL374">
            <v>0</v>
          </cell>
          <cell r="CM374">
            <v>0</v>
          </cell>
          <cell r="CO374">
            <v>0</v>
          </cell>
          <cell r="CP374">
            <v>0</v>
          </cell>
          <cell r="CQ374">
            <v>0</v>
          </cell>
          <cell r="CR374">
            <v>0</v>
          </cell>
          <cell r="CS374">
            <v>0</v>
          </cell>
          <cell r="CU374">
            <v>0</v>
          </cell>
          <cell r="CV374">
            <v>0</v>
          </cell>
          <cell r="CW374">
            <v>0</v>
          </cell>
          <cell r="CX374">
            <v>0</v>
          </cell>
          <cell r="CY374">
            <v>0</v>
          </cell>
          <cell r="DA374">
            <v>0</v>
          </cell>
          <cell r="DB374">
            <v>0</v>
          </cell>
          <cell r="DC374">
            <v>0</v>
          </cell>
          <cell r="DE374">
            <v>0</v>
          </cell>
          <cell r="DG374">
            <v>0</v>
          </cell>
          <cell r="DH374">
            <v>0</v>
          </cell>
          <cell r="DI374">
            <v>0</v>
          </cell>
          <cell r="DJ374">
            <v>0</v>
          </cell>
          <cell r="DK374">
            <v>0</v>
          </cell>
          <cell r="DM374">
            <v>0</v>
          </cell>
          <cell r="DN374">
            <v>0</v>
          </cell>
          <cell r="DO374">
            <v>0</v>
          </cell>
          <cell r="DP374">
            <v>0</v>
          </cell>
          <cell r="DQ374">
            <v>0</v>
          </cell>
          <cell r="DS374">
            <v>0</v>
          </cell>
          <cell r="DT374">
            <v>0</v>
          </cell>
          <cell r="DU374">
            <v>0</v>
          </cell>
          <cell r="DV374">
            <v>0</v>
          </cell>
          <cell r="DW374">
            <v>0</v>
          </cell>
          <cell r="DY374">
            <v>0</v>
          </cell>
          <cell r="DZ374">
            <v>0</v>
          </cell>
          <cell r="EA374">
            <v>0</v>
          </cell>
          <cell r="EB374">
            <v>0</v>
          </cell>
          <cell r="EC374">
            <v>0</v>
          </cell>
          <cell r="EE374">
            <v>0</v>
          </cell>
          <cell r="EF374">
            <v>0</v>
          </cell>
          <cell r="EG374">
            <v>0</v>
          </cell>
          <cell r="EH374">
            <v>0</v>
          </cell>
          <cell r="EI374">
            <v>0</v>
          </cell>
          <cell r="EK374">
            <v>0</v>
          </cell>
          <cell r="EL374">
            <v>0</v>
          </cell>
          <cell r="EM374">
            <v>0</v>
          </cell>
          <cell r="EN374">
            <v>0</v>
          </cell>
          <cell r="EO374">
            <v>0</v>
          </cell>
          <cell r="EQ374">
            <v>0</v>
          </cell>
          <cell r="ER374">
            <v>0</v>
          </cell>
          <cell r="ES374">
            <v>0</v>
          </cell>
          <cell r="ET374">
            <v>0</v>
          </cell>
          <cell r="EU374">
            <v>0</v>
          </cell>
          <cell r="EW374">
            <v>0</v>
          </cell>
          <cell r="EX374">
            <v>0</v>
          </cell>
          <cell r="EY374">
            <v>0</v>
          </cell>
          <cell r="EZ374">
            <v>0</v>
          </cell>
          <cell r="FA374">
            <v>0</v>
          </cell>
        </row>
        <row r="375"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0</v>
          </cell>
          <cell r="S375">
            <v>0</v>
          </cell>
          <cell r="U375">
            <v>0</v>
          </cell>
          <cell r="V375">
            <v>0</v>
          </cell>
          <cell r="W375">
            <v>0</v>
          </cell>
          <cell r="X375">
            <v>0</v>
          </cell>
          <cell r="Y375">
            <v>0</v>
          </cell>
          <cell r="AA375">
            <v>0</v>
          </cell>
          <cell r="AB375">
            <v>0</v>
          </cell>
          <cell r="AC375">
            <v>0</v>
          </cell>
          <cell r="AD375">
            <v>0</v>
          </cell>
          <cell r="AE375">
            <v>0</v>
          </cell>
          <cell r="AG375">
            <v>0</v>
          </cell>
          <cell r="AH375">
            <v>0</v>
          </cell>
          <cell r="AI375">
            <v>0</v>
          </cell>
          <cell r="AJ375">
            <v>0</v>
          </cell>
          <cell r="AK375">
            <v>0</v>
          </cell>
          <cell r="AM375">
            <v>0</v>
          </cell>
          <cell r="AN375">
            <v>0</v>
          </cell>
          <cell r="AO375">
            <v>0</v>
          </cell>
          <cell r="AP375">
            <v>0</v>
          </cell>
          <cell r="AQ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223.2895482334367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430.061403508772</v>
          </cell>
          <cell r="BK375">
            <v>362.91275167785233</v>
          </cell>
          <cell r="BL375">
            <v>370.13612004287279</v>
          </cell>
          <cell r="BM375">
            <v>386.1821086261981</v>
          </cell>
          <cell r="BN375">
            <v>383.26984126984098</v>
          </cell>
          <cell r="BO375">
            <v>394.91275167785238</v>
          </cell>
          <cell r="BQ375">
            <v>1239.7967479674794</v>
          </cell>
          <cell r="BR375">
            <v>275.33333333333326</v>
          </cell>
          <cell r="BS375">
            <v>398.44236760124608</v>
          </cell>
          <cell r="BT375">
            <v>605.88235294117646</v>
          </cell>
          <cell r="BU375">
            <v>539.91056910569091</v>
          </cell>
          <cell r="BW375">
            <v>1037.7906976744187</v>
          </cell>
          <cell r="BX375">
            <v>1220.3488372093022</v>
          </cell>
          <cell r="BY375">
            <v>13342.251461988304</v>
          </cell>
          <cell r="BZ375">
            <v>58.306188925081464</v>
          </cell>
          <cell r="CA375">
            <v>7642.5872093023254</v>
          </cell>
          <cell r="CC375">
            <v>-55.469845722300178</v>
          </cell>
          <cell r="CD375">
            <v>-18.820726622989849</v>
          </cell>
          <cell r="CE375">
            <v>-20</v>
          </cell>
          <cell r="CF375">
            <v>75</v>
          </cell>
          <cell r="CG375">
            <v>0</v>
          </cell>
          <cell r="CI375">
            <v>75</v>
          </cell>
          <cell r="CJ375">
            <v>75</v>
          </cell>
          <cell r="CK375">
            <v>75</v>
          </cell>
          <cell r="CL375">
            <v>75</v>
          </cell>
          <cell r="CM375">
            <v>0</v>
          </cell>
          <cell r="CO375">
            <v>75</v>
          </cell>
          <cell r="CP375">
            <v>75</v>
          </cell>
          <cell r="CQ375">
            <v>75</v>
          </cell>
          <cell r="CR375">
            <v>75</v>
          </cell>
          <cell r="CS375">
            <v>0</v>
          </cell>
          <cell r="CU375">
            <v>75</v>
          </cell>
          <cell r="CV375">
            <v>75</v>
          </cell>
          <cell r="CW375">
            <v>75</v>
          </cell>
          <cell r="CX375">
            <v>75</v>
          </cell>
          <cell r="CY375">
            <v>0</v>
          </cell>
          <cell r="DA375">
            <v>75</v>
          </cell>
          <cell r="DB375">
            <v>75</v>
          </cell>
          <cell r="DC375">
            <v>75</v>
          </cell>
          <cell r="DE375">
            <v>0</v>
          </cell>
          <cell r="DG375">
            <v>75</v>
          </cell>
          <cell r="DH375">
            <v>75</v>
          </cell>
          <cell r="DI375">
            <v>75</v>
          </cell>
          <cell r="DJ375">
            <v>75</v>
          </cell>
          <cell r="DK375">
            <v>0</v>
          </cell>
          <cell r="DM375">
            <v>75</v>
          </cell>
          <cell r="DN375">
            <v>75</v>
          </cell>
          <cell r="DO375">
            <v>75</v>
          </cell>
          <cell r="DP375">
            <v>75</v>
          </cell>
          <cell r="DQ375">
            <v>0</v>
          </cell>
          <cell r="DS375">
            <v>75</v>
          </cell>
          <cell r="DT375">
            <v>75</v>
          </cell>
          <cell r="DU375">
            <v>75</v>
          </cell>
          <cell r="DV375">
            <v>75</v>
          </cell>
          <cell r="DW375">
            <v>0</v>
          </cell>
          <cell r="DY375">
            <v>75</v>
          </cell>
          <cell r="DZ375">
            <v>75</v>
          </cell>
          <cell r="EA375">
            <v>75</v>
          </cell>
          <cell r="EB375">
            <v>75</v>
          </cell>
          <cell r="EC375">
            <v>0</v>
          </cell>
          <cell r="EE375">
            <v>75</v>
          </cell>
          <cell r="EF375">
            <v>75</v>
          </cell>
          <cell r="EG375">
            <v>75</v>
          </cell>
          <cell r="EH375">
            <v>75</v>
          </cell>
          <cell r="EI375">
            <v>0</v>
          </cell>
          <cell r="EK375">
            <v>75</v>
          </cell>
          <cell r="EL375">
            <v>75</v>
          </cell>
          <cell r="EM375">
            <v>75</v>
          </cell>
          <cell r="EN375">
            <v>75</v>
          </cell>
          <cell r="EO375">
            <v>0</v>
          </cell>
          <cell r="EQ375">
            <v>75</v>
          </cell>
          <cell r="ER375">
            <v>75</v>
          </cell>
          <cell r="ES375">
            <v>75</v>
          </cell>
          <cell r="ET375">
            <v>75</v>
          </cell>
          <cell r="EU375">
            <v>0</v>
          </cell>
          <cell r="EW375">
            <v>75</v>
          </cell>
          <cell r="EX375">
            <v>75</v>
          </cell>
          <cell r="EY375">
            <v>75</v>
          </cell>
          <cell r="EZ375">
            <v>75</v>
          </cell>
          <cell r="FA375">
            <v>0</v>
          </cell>
        </row>
        <row r="376">
          <cell r="AW376">
            <v>0</v>
          </cell>
          <cell r="BC376">
            <v>7.9612288156676994E-2</v>
          </cell>
          <cell r="BI376">
            <v>6.5789473684210523E-2</v>
          </cell>
          <cell r="BK376">
            <v>5.3691275167785234E-2</v>
          </cell>
          <cell r="BL376">
            <v>5.1446945337620578E-2</v>
          </cell>
          <cell r="BM376">
            <v>5.1118210862619806E-2</v>
          </cell>
          <cell r="BN376">
            <v>5.0793650793650794E-2</v>
          </cell>
          <cell r="BO376">
            <v>5.3691275167785234E-2</v>
          </cell>
          <cell r="BQ376">
            <v>0.13414634146341464</v>
          </cell>
          <cell r="BR376">
            <v>3.7499999999999999E-2</v>
          </cell>
          <cell r="BS376">
            <v>4.9844236760124609E-2</v>
          </cell>
          <cell r="BT376">
            <v>7.0588235294117646E-2</v>
          </cell>
          <cell r="BU376">
            <v>6.402439024390244E-2</v>
          </cell>
          <cell r="BW376">
            <v>0.11627906976744186</v>
          </cell>
          <cell r="BX376">
            <v>0.13953488372093023</v>
          </cell>
          <cell r="BY376">
            <v>1.3567251461988303</v>
          </cell>
          <cell r="BZ376">
            <v>3.5830618892508145E-2</v>
          </cell>
          <cell r="CA376">
            <v>0.78488372093023251</v>
          </cell>
          <cell r="CC376">
            <v>2.9453015427769985E-2</v>
          </cell>
          <cell r="CD376">
            <v>3.8117927337701016E-2</v>
          </cell>
          <cell r="CE376">
            <v>0.18438381937911572</v>
          </cell>
          <cell r="CF376">
            <v>5.5E-2</v>
          </cell>
          <cell r="CG376">
            <v>0</v>
          </cell>
          <cell r="CI376">
            <v>4.2500000000000003E-2</v>
          </cell>
          <cell r="CJ376">
            <v>4.7500000000000001E-2</v>
          </cell>
          <cell r="CK376">
            <v>5.7500000000000002E-2</v>
          </cell>
          <cell r="CL376">
            <v>5.7500000000000002E-2</v>
          </cell>
          <cell r="CM376">
            <v>0</v>
          </cell>
          <cell r="CO376">
            <v>5.7500000000000002E-2</v>
          </cell>
          <cell r="CP376">
            <v>5.7500000000000002E-2</v>
          </cell>
          <cell r="CQ376">
            <v>5.7500000000000002E-2</v>
          </cell>
          <cell r="CR376">
            <v>5.7500000000000002E-2</v>
          </cell>
          <cell r="CS376">
            <v>0</v>
          </cell>
          <cell r="CU376">
            <v>5.7500000000000002E-2</v>
          </cell>
          <cell r="CV376">
            <v>5.7500000000000002E-2</v>
          </cell>
          <cell r="CW376">
            <v>5.7500000000000002E-2</v>
          </cell>
          <cell r="CX376">
            <v>5.7500000000000002E-2</v>
          </cell>
          <cell r="CY376">
            <v>0</v>
          </cell>
          <cell r="DA376">
            <v>5.7500000000000002E-2</v>
          </cell>
          <cell r="DB376">
            <v>5.7500000000000002E-2</v>
          </cell>
          <cell r="DC376">
            <v>5.7500000000000002E-2</v>
          </cell>
          <cell r="DE376">
            <v>0</v>
          </cell>
          <cell r="DG376">
            <v>5.7500000000000002E-2</v>
          </cell>
          <cell r="DH376">
            <v>5.7500000000000002E-2</v>
          </cell>
          <cell r="DI376">
            <v>5.7500000000000002E-2</v>
          </cell>
          <cell r="DJ376">
            <v>5.7500000000000002E-2</v>
          </cell>
          <cell r="DK376">
            <v>0</v>
          </cell>
          <cell r="DM376">
            <v>5.7500000000000002E-2</v>
          </cell>
          <cell r="DN376">
            <v>5.7500000000000002E-2</v>
          </cell>
          <cell r="DO376">
            <v>5.7500000000000002E-2</v>
          </cell>
          <cell r="DP376">
            <v>5.7500000000000002E-2</v>
          </cell>
          <cell r="DQ376">
            <v>0</v>
          </cell>
          <cell r="DS376">
            <v>5.7500000000000002E-2</v>
          </cell>
          <cell r="DT376">
            <v>5.7500000000000002E-2</v>
          </cell>
          <cell r="DU376">
            <v>5.7500000000000002E-2</v>
          </cell>
          <cell r="DV376">
            <v>5.7500000000000002E-2</v>
          </cell>
          <cell r="DW376">
            <v>0</v>
          </cell>
          <cell r="DY376">
            <v>5.7500000000000002E-2</v>
          </cell>
          <cell r="DZ376">
            <v>5.7500000000000002E-2</v>
          </cell>
          <cell r="EA376">
            <v>5.7500000000000002E-2</v>
          </cell>
          <cell r="EB376">
            <v>5.7500000000000002E-2</v>
          </cell>
          <cell r="EC376">
            <v>0</v>
          </cell>
          <cell r="EE376">
            <v>5.7500000000000002E-2</v>
          </cell>
          <cell r="EF376">
            <v>5.7500000000000002E-2</v>
          </cell>
          <cell r="EG376">
            <v>5.7500000000000002E-2</v>
          </cell>
          <cell r="EH376">
            <v>5.7500000000000002E-2</v>
          </cell>
          <cell r="EI376">
            <v>0</v>
          </cell>
          <cell r="EK376">
            <v>5.7500000000000002E-2</v>
          </cell>
          <cell r="EL376">
            <v>5.7500000000000002E-2</v>
          </cell>
          <cell r="EM376">
            <v>5.7500000000000002E-2</v>
          </cell>
          <cell r="EN376">
            <v>5.7500000000000002E-2</v>
          </cell>
          <cell r="EO376">
            <v>0</v>
          </cell>
          <cell r="EQ376">
            <v>5.7500000000000002E-2</v>
          </cell>
          <cell r="ER376">
            <v>5.7500000000000002E-2</v>
          </cell>
          <cell r="ES376">
            <v>5.7500000000000002E-2</v>
          </cell>
          <cell r="ET376">
            <v>5.7500000000000002E-2</v>
          </cell>
          <cell r="EU376">
            <v>0</v>
          </cell>
          <cell r="EW376">
            <v>5.7500000000000002E-2</v>
          </cell>
          <cell r="EX376">
            <v>5.7500000000000002E-2</v>
          </cell>
          <cell r="EY376">
            <v>5.7500000000000002E-2</v>
          </cell>
          <cell r="EZ376">
            <v>5.7500000000000002E-2</v>
          </cell>
          <cell r="FA376">
            <v>0</v>
          </cell>
        </row>
        <row r="377">
          <cell r="AW377">
            <v>0</v>
          </cell>
          <cell r="BC377">
            <v>0</v>
          </cell>
          <cell r="BI377">
            <v>0</v>
          </cell>
          <cell r="BK377">
            <v>0</v>
          </cell>
          <cell r="BL377">
            <v>0</v>
          </cell>
          <cell r="BM377">
            <v>0</v>
          </cell>
          <cell r="BN377">
            <v>0</v>
          </cell>
          <cell r="BO377">
            <v>0</v>
          </cell>
          <cell r="BQ377">
            <v>0</v>
          </cell>
          <cell r="BR377">
            <v>0</v>
          </cell>
          <cell r="BS377">
            <v>0</v>
          </cell>
          <cell r="BT377">
            <v>0</v>
          </cell>
          <cell r="BU377">
            <v>0</v>
          </cell>
          <cell r="BW377">
            <v>0</v>
          </cell>
          <cell r="BX377">
            <v>0</v>
          </cell>
          <cell r="BY377">
            <v>0</v>
          </cell>
          <cell r="BZ377">
            <v>0</v>
          </cell>
          <cell r="CA377">
            <v>0</v>
          </cell>
          <cell r="CC377">
            <v>0</v>
          </cell>
          <cell r="CD377">
            <v>0</v>
          </cell>
          <cell r="CE377">
            <v>0</v>
          </cell>
          <cell r="CF377">
            <v>0</v>
          </cell>
          <cell r="CG377">
            <v>0</v>
          </cell>
          <cell r="CI377">
            <v>0</v>
          </cell>
          <cell r="CJ377">
            <v>0</v>
          </cell>
          <cell r="CK377">
            <v>0</v>
          </cell>
          <cell r="CL377">
            <v>0</v>
          </cell>
          <cell r="CM377">
            <v>0</v>
          </cell>
          <cell r="CO377">
            <v>0</v>
          </cell>
          <cell r="CP377">
            <v>0</v>
          </cell>
          <cell r="CQ377">
            <v>0</v>
          </cell>
          <cell r="CR377">
            <v>0</v>
          </cell>
          <cell r="CS377">
            <v>0</v>
          </cell>
          <cell r="CU377">
            <v>0</v>
          </cell>
          <cell r="CV377">
            <v>0</v>
          </cell>
          <cell r="CW377">
            <v>0</v>
          </cell>
          <cell r="CX377">
            <v>0</v>
          </cell>
          <cell r="CY377">
            <v>0</v>
          </cell>
          <cell r="DA377">
            <v>0</v>
          </cell>
          <cell r="DB377">
            <v>0</v>
          </cell>
          <cell r="DC377">
            <v>0</v>
          </cell>
          <cell r="DE377">
            <v>0</v>
          </cell>
          <cell r="DG377">
            <v>0</v>
          </cell>
          <cell r="DH377">
            <v>0</v>
          </cell>
          <cell r="DI377">
            <v>0</v>
          </cell>
          <cell r="DJ377">
            <v>0</v>
          </cell>
          <cell r="DK377">
            <v>0</v>
          </cell>
          <cell r="DM377">
            <v>0</v>
          </cell>
          <cell r="DN377">
            <v>0</v>
          </cell>
          <cell r="DO377">
            <v>0</v>
          </cell>
          <cell r="DP377">
            <v>0</v>
          </cell>
          <cell r="DQ377">
            <v>0</v>
          </cell>
          <cell r="DS377">
            <v>0</v>
          </cell>
          <cell r="DT377">
            <v>0</v>
          </cell>
          <cell r="DU377">
            <v>0</v>
          </cell>
          <cell r="DV377">
            <v>0</v>
          </cell>
          <cell r="DW377">
            <v>0</v>
          </cell>
          <cell r="DY377">
            <v>0</v>
          </cell>
          <cell r="DZ377">
            <v>0</v>
          </cell>
          <cell r="EA377">
            <v>0</v>
          </cell>
          <cell r="EB377">
            <v>0</v>
          </cell>
          <cell r="EC377">
            <v>0</v>
          </cell>
          <cell r="EE377">
            <v>0</v>
          </cell>
          <cell r="EF377">
            <v>0</v>
          </cell>
          <cell r="EG377">
            <v>0</v>
          </cell>
          <cell r="EH377">
            <v>0</v>
          </cell>
          <cell r="EI377">
            <v>0</v>
          </cell>
          <cell r="EK377">
            <v>0</v>
          </cell>
          <cell r="EL377">
            <v>0</v>
          </cell>
          <cell r="EM377">
            <v>0</v>
          </cell>
          <cell r="EN377">
            <v>0</v>
          </cell>
          <cell r="EO377">
            <v>0</v>
          </cell>
          <cell r="EQ377">
            <v>0</v>
          </cell>
          <cell r="ER377">
            <v>0</v>
          </cell>
          <cell r="ES377">
            <v>0</v>
          </cell>
          <cell r="ET377">
            <v>0</v>
          </cell>
          <cell r="EU377">
            <v>0</v>
          </cell>
          <cell r="EW377">
            <v>0</v>
          </cell>
          <cell r="EX377">
            <v>0</v>
          </cell>
          <cell r="EY377">
            <v>0</v>
          </cell>
          <cell r="EZ377">
            <v>0</v>
          </cell>
          <cell r="FA377">
            <v>0</v>
          </cell>
        </row>
        <row r="378">
          <cell r="AW378">
            <v>0</v>
          </cell>
          <cell r="BC378">
            <v>0</v>
          </cell>
          <cell r="BI378">
            <v>0</v>
          </cell>
          <cell r="BK378">
            <v>0</v>
          </cell>
          <cell r="BL378">
            <v>0</v>
          </cell>
          <cell r="BM378">
            <v>0</v>
          </cell>
          <cell r="BN378">
            <v>0</v>
          </cell>
          <cell r="BO378">
            <v>0</v>
          </cell>
          <cell r="BQ378">
            <v>0</v>
          </cell>
          <cell r="BR378">
            <v>0</v>
          </cell>
          <cell r="BS378">
            <v>0</v>
          </cell>
          <cell r="BT378">
            <v>0</v>
          </cell>
          <cell r="BU378">
            <v>0</v>
          </cell>
          <cell r="BW378">
            <v>0</v>
          </cell>
          <cell r="BX378">
            <v>0</v>
          </cell>
          <cell r="BY378">
            <v>0</v>
          </cell>
          <cell r="BZ378">
            <v>0</v>
          </cell>
          <cell r="CA378">
            <v>0</v>
          </cell>
          <cell r="CC378">
            <v>0</v>
          </cell>
          <cell r="CD378">
            <v>0</v>
          </cell>
          <cell r="CE378">
            <v>0</v>
          </cell>
          <cell r="CF378">
            <v>0</v>
          </cell>
          <cell r="CG378">
            <v>0</v>
          </cell>
          <cell r="CI378">
            <v>0</v>
          </cell>
          <cell r="CJ378">
            <v>0</v>
          </cell>
          <cell r="CK378">
            <v>0</v>
          </cell>
          <cell r="CL378">
            <v>0</v>
          </cell>
          <cell r="CM378">
            <v>0</v>
          </cell>
          <cell r="CO378">
            <v>0</v>
          </cell>
          <cell r="CP378">
            <v>0</v>
          </cell>
          <cell r="CQ378">
            <v>0</v>
          </cell>
          <cell r="CR378">
            <v>0</v>
          </cell>
          <cell r="CS378">
            <v>0</v>
          </cell>
          <cell r="CU378">
            <v>0</v>
          </cell>
          <cell r="CV378">
            <v>0</v>
          </cell>
          <cell r="CW378">
            <v>0</v>
          </cell>
          <cell r="CX378">
            <v>0</v>
          </cell>
          <cell r="CY378">
            <v>0</v>
          </cell>
          <cell r="DA378">
            <v>0</v>
          </cell>
          <cell r="DB378">
            <v>0</v>
          </cell>
          <cell r="DC378">
            <v>0</v>
          </cell>
          <cell r="DE378">
            <v>0</v>
          </cell>
          <cell r="DG378">
            <v>0</v>
          </cell>
          <cell r="DH378">
            <v>0</v>
          </cell>
          <cell r="DI378">
            <v>0</v>
          </cell>
          <cell r="DJ378">
            <v>0</v>
          </cell>
          <cell r="DK378">
            <v>0</v>
          </cell>
          <cell r="DM378">
            <v>0</v>
          </cell>
          <cell r="DN378">
            <v>0</v>
          </cell>
          <cell r="DO378">
            <v>0</v>
          </cell>
          <cell r="DP378">
            <v>0</v>
          </cell>
          <cell r="DQ378">
            <v>0</v>
          </cell>
          <cell r="DS378">
            <v>0</v>
          </cell>
          <cell r="DT378">
            <v>0</v>
          </cell>
          <cell r="DU378">
            <v>0</v>
          </cell>
          <cell r="DV378">
            <v>0</v>
          </cell>
          <cell r="DW378">
            <v>0</v>
          </cell>
          <cell r="DY378">
            <v>0</v>
          </cell>
          <cell r="DZ378">
            <v>0</v>
          </cell>
          <cell r="EA378">
            <v>0</v>
          </cell>
          <cell r="EB378">
            <v>0</v>
          </cell>
          <cell r="EC378">
            <v>0</v>
          </cell>
          <cell r="EE378">
            <v>0</v>
          </cell>
          <cell r="EF378">
            <v>0</v>
          </cell>
          <cell r="EG378">
            <v>0</v>
          </cell>
          <cell r="EH378">
            <v>0</v>
          </cell>
          <cell r="EI378">
            <v>0</v>
          </cell>
          <cell r="EK378">
            <v>0</v>
          </cell>
          <cell r="EL378">
            <v>0</v>
          </cell>
          <cell r="EM378">
            <v>0</v>
          </cell>
          <cell r="EN378">
            <v>0</v>
          </cell>
          <cell r="EO378">
            <v>0</v>
          </cell>
          <cell r="EQ378">
            <v>0</v>
          </cell>
          <cell r="ER378">
            <v>0</v>
          </cell>
          <cell r="ES378">
            <v>0</v>
          </cell>
          <cell r="ET378">
            <v>0</v>
          </cell>
          <cell r="EU378">
            <v>0</v>
          </cell>
          <cell r="EW378">
            <v>0</v>
          </cell>
          <cell r="EX378">
            <v>0</v>
          </cell>
          <cell r="EY378">
            <v>0</v>
          </cell>
          <cell r="EZ378">
            <v>0</v>
          </cell>
          <cell r="FA378">
            <v>0</v>
          </cell>
        </row>
        <row r="379">
          <cell r="AW379">
            <v>0</v>
          </cell>
          <cell r="BC379">
            <v>0</v>
          </cell>
          <cell r="BI379">
            <v>0</v>
          </cell>
          <cell r="BK379">
            <v>0</v>
          </cell>
          <cell r="BL379">
            <v>0</v>
          </cell>
          <cell r="BM379">
            <v>0</v>
          </cell>
          <cell r="BN379">
            <v>0</v>
          </cell>
          <cell r="BO379">
            <v>0</v>
          </cell>
          <cell r="BQ379">
            <v>0</v>
          </cell>
          <cell r="BR379">
            <v>0</v>
          </cell>
          <cell r="BS379">
            <v>0</v>
          </cell>
          <cell r="BT379">
            <v>0</v>
          </cell>
          <cell r="BU379">
            <v>0</v>
          </cell>
          <cell r="BW379">
            <v>0</v>
          </cell>
          <cell r="BX379">
            <v>0</v>
          </cell>
          <cell r="BY379">
            <v>0</v>
          </cell>
          <cell r="BZ379">
            <v>0</v>
          </cell>
          <cell r="CA379">
            <v>0</v>
          </cell>
          <cell r="CC379">
            <v>0</v>
          </cell>
          <cell r="CD379">
            <v>0</v>
          </cell>
          <cell r="CE379">
            <v>0</v>
          </cell>
          <cell r="CF379">
            <v>-17.8125</v>
          </cell>
          <cell r="CG379">
            <v>0</v>
          </cell>
          <cell r="CI379">
            <v>-13.125000000000002</v>
          </cell>
          <cell r="CJ379">
            <v>-15</v>
          </cell>
          <cell r="CK379">
            <v>-18.75</v>
          </cell>
          <cell r="CL379">
            <v>-25</v>
          </cell>
          <cell r="CM379">
            <v>0</v>
          </cell>
          <cell r="CO379">
            <v>-12.5</v>
          </cell>
          <cell r="CP379">
            <v>-12.5</v>
          </cell>
          <cell r="CQ379">
            <v>-12.5</v>
          </cell>
          <cell r="CR379">
            <v>-12.5</v>
          </cell>
          <cell r="CS379">
            <v>0</v>
          </cell>
          <cell r="CU379">
            <v>-12.5</v>
          </cell>
          <cell r="CV379">
            <v>-12.5</v>
          </cell>
          <cell r="CW379">
            <v>-12.5</v>
          </cell>
          <cell r="CX379">
            <v>0</v>
          </cell>
          <cell r="CY379">
            <v>0</v>
          </cell>
          <cell r="DA379">
            <v>0</v>
          </cell>
          <cell r="DB379">
            <v>0</v>
          </cell>
          <cell r="DC379">
            <v>0</v>
          </cell>
          <cell r="DE379">
            <v>0</v>
          </cell>
          <cell r="DG379">
            <v>0</v>
          </cell>
          <cell r="DH379">
            <v>0</v>
          </cell>
          <cell r="DI379">
            <v>0</v>
          </cell>
          <cell r="DJ379">
            <v>0</v>
          </cell>
          <cell r="DK379">
            <v>0</v>
          </cell>
          <cell r="DM379">
            <v>0</v>
          </cell>
          <cell r="DN379">
            <v>0</v>
          </cell>
          <cell r="DO379">
            <v>0</v>
          </cell>
          <cell r="DP379">
            <v>0</v>
          </cell>
          <cell r="DQ379">
            <v>0</v>
          </cell>
          <cell r="DS379">
            <v>0</v>
          </cell>
          <cell r="DT379">
            <v>0</v>
          </cell>
          <cell r="DU379">
            <v>0</v>
          </cell>
          <cell r="DV379">
            <v>0</v>
          </cell>
          <cell r="DW379">
            <v>0</v>
          </cell>
          <cell r="DY379">
            <v>0</v>
          </cell>
          <cell r="DZ379">
            <v>0</v>
          </cell>
          <cell r="EA379">
            <v>0</v>
          </cell>
          <cell r="EB379">
            <v>0</v>
          </cell>
          <cell r="EC379">
            <v>0</v>
          </cell>
          <cell r="EE379">
            <v>0</v>
          </cell>
          <cell r="EF379">
            <v>0</v>
          </cell>
          <cell r="EG379">
            <v>0</v>
          </cell>
          <cell r="EH379">
            <v>0</v>
          </cell>
          <cell r="EI379">
            <v>0</v>
          </cell>
          <cell r="EK379">
            <v>0</v>
          </cell>
          <cell r="EL379">
            <v>0</v>
          </cell>
          <cell r="EM379">
            <v>0</v>
          </cell>
          <cell r="EN379">
            <v>0</v>
          </cell>
          <cell r="EO379">
            <v>0</v>
          </cell>
          <cell r="EQ379">
            <v>0</v>
          </cell>
          <cell r="ER379">
            <v>0</v>
          </cell>
          <cell r="ES379">
            <v>0</v>
          </cell>
          <cell r="ET379">
            <v>0</v>
          </cell>
          <cell r="EU379">
            <v>0</v>
          </cell>
          <cell r="EW379">
            <v>0</v>
          </cell>
          <cell r="EX379">
            <v>0</v>
          </cell>
          <cell r="EY379">
            <v>0</v>
          </cell>
          <cell r="EZ379">
            <v>0</v>
          </cell>
          <cell r="FA379">
            <v>0</v>
          </cell>
        </row>
        <row r="380">
          <cell r="AW380">
            <v>0</v>
          </cell>
          <cell r="BC380">
            <v>0</v>
          </cell>
          <cell r="BI380">
            <v>0</v>
          </cell>
          <cell r="BK380">
            <v>0</v>
          </cell>
          <cell r="BL380">
            <v>0</v>
          </cell>
          <cell r="BM380">
            <v>0</v>
          </cell>
          <cell r="BN380">
            <v>0</v>
          </cell>
          <cell r="BO380">
            <v>0</v>
          </cell>
          <cell r="BQ380">
            <v>0</v>
          </cell>
          <cell r="BR380">
            <v>0</v>
          </cell>
          <cell r="BS380">
            <v>0</v>
          </cell>
          <cell r="BT380">
            <v>0</v>
          </cell>
          <cell r="BU380">
            <v>0</v>
          </cell>
          <cell r="BW380">
            <v>0</v>
          </cell>
          <cell r="BX380">
            <v>0</v>
          </cell>
          <cell r="BY380">
            <v>0</v>
          </cell>
          <cell r="BZ380">
            <v>0</v>
          </cell>
          <cell r="CA380">
            <v>0</v>
          </cell>
          <cell r="CC380">
            <v>0</v>
          </cell>
          <cell r="CD380">
            <v>0</v>
          </cell>
          <cell r="CE380">
            <v>0</v>
          </cell>
          <cell r="CF380">
            <v>0</v>
          </cell>
          <cell r="CG380">
            <v>0</v>
          </cell>
          <cell r="CI380">
            <v>0</v>
          </cell>
          <cell r="CJ380">
            <v>0</v>
          </cell>
          <cell r="CK380">
            <v>0</v>
          </cell>
          <cell r="CL380">
            <v>0</v>
          </cell>
          <cell r="CM380">
            <v>0</v>
          </cell>
          <cell r="CO380">
            <v>-12.5</v>
          </cell>
          <cell r="CP380">
            <v>-12.5</v>
          </cell>
          <cell r="CQ380">
            <v>-12.5</v>
          </cell>
          <cell r="CR380">
            <v>-12.5</v>
          </cell>
          <cell r="CS380">
            <v>0</v>
          </cell>
          <cell r="CU380">
            <v>-12.5</v>
          </cell>
          <cell r="CV380">
            <v>-12.5</v>
          </cell>
          <cell r="CW380">
            <v>-12.5</v>
          </cell>
          <cell r="CX380">
            <v>-12.5</v>
          </cell>
          <cell r="CY380">
            <v>0</v>
          </cell>
          <cell r="DA380">
            <v>-12.5</v>
          </cell>
          <cell r="DB380">
            <v>-12.5</v>
          </cell>
          <cell r="DC380">
            <v>-12.5</v>
          </cell>
          <cell r="DE380">
            <v>0</v>
          </cell>
          <cell r="DG380">
            <v>0</v>
          </cell>
          <cell r="DH380">
            <v>0</v>
          </cell>
          <cell r="DI380">
            <v>0</v>
          </cell>
          <cell r="DJ380">
            <v>0</v>
          </cell>
          <cell r="DK380">
            <v>0</v>
          </cell>
          <cell r="DM380">
            <v>0</v>
          </cell>
          <cell r="DN380">
            <v>0</v>
          </cell>
          <cell r="DO380">
            <v>0</v>
          </cell>
          <cell r="DP380">
            <v>0</v>
          </cell>
          <cell r="DQ380">
            <v>0</v>
          </cell>
          <cell r="DS380">
            <v>0</v>
          </cell>
          <cell r="DT380">
            <v>0</v>
          </cell>
          <cell r="DU380">
            <v>0</v>
          </cell>
          <cell r="DV380">
            <v>0</v>
          </cell>
          <cell r="DW380">
            <v>0</v>
          </cell>
          <cell r="DY380">
            <v>0</v>
          </cell>
          <cell r="DZ380">
            <v>0</v>
          </cell>
          <cell r="EA380">
            <v>0</v>
          </cell>
          <cell r="EB380">
            <v>0</v>
          </cell>
          <cell r="EC380">
            <v>0</v>
          </cell>
          <cell r="EE380">
            <v>0</v>
          </cell>
          <cell r="EF380">
            <v>0</v>
          </cell>
          <cell r="EG380">
            <v>0</v>
          </cell>
          <cell r="EH380">
            <v>0</v>
          </cell>
          <cell r="EI380">
            <v>0</v>
          </cell>
          <cell r="EK380">
            <v>0</v>
          </cell>
          <cell r="EL380">
            <v>0</v>
          </cell>
          <cell r="EM380">
            <v>0</v>
          </cell>
          <cell r="EN380">
            <v>0</v>
          </cell>
          <cell r="EO380">
            <v>0</v>
          </cell>
          <cell r="EQ380">
            <v>0</v>
          </cell>
          <cell r="ER380">
            <v>0</v>
          </cell>
          <cell r="ES380">
            <v>0</v>
          </cell>
          <cell r="ET380">
            <v>0</v>
          </cell>
          <cell r="EU380">
            <v>0</v>
          </cell>
          <cell r="EW380">
            <v>0</v>
          </cell>
          <cell r="EX380">
            <v>0</v>
          </cell>
          <cell r="EY380">
            <v>0</v>
          </cell>
          <cell r="EZ380">
            <v>0</v>
          </cell>
          <cell r="FA380">
            <v>0</v>
          </cell>
        </row>
        <row r="381">
          <cell r="AW381">
            <v>0</v>
          </cell>
          <cell r="BC381">
            <v>0</v>
          </cell>
          <cell r="BI381">
            <v>0</v>
          </cell>
          <cell r="BK381">
            <v>0</v>
          </cell>
          <cell r="BL381">
            <v>0</v>
          </cell>
          <cell r="BM381">
            <v>0</v>
          </cell>
          <cell r="BN381">
            <v>0</v>
          </cell>
          <cell r="BO381">
            <v>0</v>
          </cell>
          <cell r="BQ381">
            <v>0</v>
          </cell>
          <cell r="BR381">
            <v>0</v>
          </cell>
          <cell r="BS381">
            <v>0</v>
          </cell>
          <cell r="BT381">
            <v>0</v>
          </cell>
          <cell r="BU381">
            <v>0</v>
          </cell>
          <cell r="BW381">
            <v>0</v>
          </cell>
          <cell r="BX381">
            <v>0</v>
          </cell>
          <cell r="BY381">
            <v>0</v>
          </cell>
          <cell r="BZ381">
            <v>0</v>
          </cell>
          <cell r="CA381">
            <v>0</v>
          </cell>
          <cell r="CC381">
            <v>0</v>
          </cell>
          <cell r="CD381">
            <v>0</v>
          </cell>
          <cell r="CE381">
            <v>0</v>
          </cell>
          <cell r="CF381">
            <v>0</v>
          </cell>
          <cell r="CG381">
            <v>0</v>
          </cell>
          <cell r="CI381">
            <v>0</v>
          </cell>
          <cell r="CJ381">
            <v>0</v>
          </cell>
          <cell r="CK381">
            <v>0</v>
          </cell>
          <cell r="CL381">
            <v>0</v>
          </cell>
          <cell r="CM381">
            <v>0</v>
          </cell>
          <cell r="CO381">
            <v>0</v>
          </cell>
          <cell r="CP381">
            <v>0</v>
          </cell>
          <cell r="CQ381">
            <v>0</v>
          </cell>
          <cell r="CR381">
            <v>0</v>
          </cell>
          <cell r="CS381">
            <v>0</v>
          </cell>
          <cell r="CU381">
            <v>0</v>
          </cell>
          <cell r="CV381">
            <v>0</v>
          </cell>
          <cell r="CW381">
            <v>0</v>
          </cell>
          <cell r="CX381">
            <v>0</v>
          </cell>
          <cell r="CY381">
            <v>0</v>
          </cell>
          <cell r="DA381">
            <v>0</v>
          </cell>
          <cell r="DB381">
            <v>0</v>
          </cell>
          <cell r="DC381">
            <v>0</v>
          </cell>
          <cell r="DE381">
            <v>0</v>
          </cell>
          <cell r="DG381">
            <v>0</v>
          </cell>
          <cell r="DH381">
            <v>0</v>
          </cell>
          <cell r="DI381">
            <v>0</v>
          </cell>
          <cell r="DJ381">
            <v>0</v>
          </cell>
          <cell r="DK381">
            <v>0</v>
          </cell>
          <cell r="DM381">
            <v>0</v>
          </cell>
          <cell r="DN381">
            <v>0</v>
          </cell>
          <cell r="DO381">
            <v>0</v>
          </cell>
          <cell r="DP381">
            <v>0</v>
          </cell>
          <cell r="DQ381">
            <v>0</v>
          </cell>
          <cell r="DS381">
            <v>0</v>
          </cell>
          <cell r="DT381">
            <v>0</v>
          </cell>
          <cell r="DU381">
            <v>0</v>
          </cell>
          <cell r="DV381">
            <v>0</v>
          </cell>
          <cell r="DW381">
            <v>0</v>
          </cell>
          <cell r="DY381">
            <v>-0.51875000000000004</v>
          </cell>
          <cell r="DZ381">
            <v>-1.0375000000000001</v>
          </cell>
          <cell r="EA381">
            <v>-1.0375000000000001</v>
          </cell>
          <cell r="EB381">
            <v>-1.0375000000000001</v>
          </cell>
          <cell r="EC381">
            <v>-3.6312500000000001</v>
          </cell>
          <cell r="EE381">
            <v>-1.0375000000000001</v>
          </cell>
          <cell r="EF381">
            <v>-1.0375000000000001</v>
          </cell>
          <cell r="EG381">
            <v>-1.0375000000000001</v>
          </cell>
          <cell r="EH381">
            <v>-1.0375000000000001</v>
          </cell>
          <cell r="EI381">
            <v>-4.1500000000000004</v>
          </cell>
          <cell r="EK381">
            <v>-1.0375000000000001</v>
          </cell>
          <cell r="EL381">
            <v>-1.0375000000000001</v>
          </cell>
          <cell r="EM381">
            <v>-1.0375000000000001</v>
          </cell>
          <cell r="EN381">
            <v>-1.0375000000000001</v>
          </cell>
          <cell r="EO381">
            <v>-4.1500000000000004</v>
          </cell>
          <cell r="EQ381">
            <v>-1.0375000000000001</v>
          </cell>
          <cell r="ER381">
            <v>-1.0375000000000001</v>
          </cell>
          <cell r="ES381">
            <v>-1.0375000000000001</v>
          </cell>
          <cell r="ET381">
            <v>-1.0375000000000001</v>
          </cell>
          <cell r="EU381">
            <v>-4.1500000000000004</v>
          </cell>
          <cell r="EW381">
            <v>-1.0375000000000001</v>
          </cell>
          <cell r="EX381">
            <v>-1.0375000000000001</v>
          </cell>
          <cell r="EY381">
            <v>-1.0375000000000001</v>
          </cell>
          <cell r="EZ381">
            <v>-1.0375000000000001</v>
          </cell>
          <cell r="FA381">
            <v>-4.1500000000000004</v>
          </cell>
        </row>
        <row r="382">
          <cell r="AW382">
            <v>0</v>
          </cell>
          <cell r="BC382">
            <v>0</v>
          </cell>
          <cell r="BI382">
            <v>0</v>
          </cell>
          <cell r="BK382">
            <v>0</v>
          </cell>
          <cell r="BL382">
            <v>0</v>
          </cell>
          <cell r="BM382">
            <v>0</v>
          </cell>
          <cell r="BN382">
            <v>0</v>
          </cell>
          <cell r="BO382">
            <v>0</v>
          </cell>
          <cell r="BQ382">
            <v>0</v>
          </cell>
          <cell r="BR382">
            <v>0</v>
          </cell>
          <cell r="BS382">
            <v>0</v>
          </cell>
          <cell r="BT382">
            <v>0</v>
          </cell>
          <cell r="BU382">
            <v>0</v>
          </cell>
          <cell r="BW382">
            <v>0</v>
          </cell>
          <cell r="BX382">
            <v>0</v>
          </cell>
          <cell r="BY382">
            <v>0</v>
          </cell>
          <cell r="BZ382">
            <v>0</v>
          </cell>
          <cell r="CA382">
            <v>0</v>
          </cell>
          <cell r="CC382">
            <v>0</v>
          </cell>
          <cell r="CD382">
            <v>0</v>
          </cell>
          <cell r="CE382">
            <v>0</v>
          </cell>
          <cell r="CF382">
            <v>0</v>
          </cell>
          <cell r="CG382">
            <v>0</v>
          </cell>
          <cell r="CI382">
            <v>-56.25</v>
          </cell>
          <cell r="CJ382">
            <v>0</v>
          </cell>
          <cell r="CK382">
            <v>-28.1</v>
          </cell>
          <cell r="CL382">
            <v>-28.1</v>
          </cell>
          <cell r="CM382">
            <v>0</v>
          </cell>
          <cell r="CO382">
            <v>-28.125</v>
          </cell>
          <cell r="CP382">
            <v>-28.125</v>
          </cell>
          <cell r="CQ382">
            <v>-28.125</v>
          </cell>
          <cell r="CR382">
            <v>-28.075000000000003</v>
          </cell>
          <cell r="CS382">
            <v>0</v>
          </cell>
          <cell r="CU382">
            <v>-28.075000000000003</v>
          </cell>
          <cell r="CV382">
            <v>-28.075000000000003</v>
          </cell>
          <cell r="CW382">
            <v>-28.075000000000003</v>
          </cell>
          <cell r="CX382">
            <v>-28.087500000000002</v>
          </cell>
          <cell r="CY382">
            <v>0</v>
          </cell>
          <cell r="DA382">
            <v>-28.087500000000002</v>
          </cell>
          <cell r="DB382">
            <v>-28.087500000000002</v>
          </cell>
          <cell r="DC382">
            <v>-28.087500000000002</v>
          </cell>
          <cell r="DE382">
            <v>0</v>
          </cell>
          <cell r="DG382">
            <v>-28.087500000000002</v>
          </cell>
          <cell r="DH382">
            <v>-28.087500000000002</v>
          </cell>
          <cell r="DI382">
            <v>0</v>
          </cell>
          <cell r="DJ382">
            <v>0</v>
          </cell>
          <cell r="DK382">
            <v>-56.175000000000004</v>
          </cell>
          <cell r="DM382">
            <v>0</v>
          </cell>
          <cell r="DN382">
            <v>0</v>
          </cell>
          <cell r="DO382">
            <v>0</v>
          </cell>
          <cell r="DP382">
            <v>0</v>
          </cell>
          <cell r="DQ382">
            <v>0</v>
          </cell>
          <cell r="DS382">
            <v>0</v>
          </cell>
          <cell r="DT382">
            <v>0</v>
          </cell>
          <cell r="DU382">
            <v>0</v>
          </cell>
          <cell r="DV382">
            <v>0</v>
          </cell>
          <cell r="DW382">
            <v>0</v>
          </cell>
          <cell r="DY382">
            <v>0</v>
          </cell>
          <cell r="DZ382">
            <v>0</v>
          </cell>
          <cell r="EA382">
            <v>0</v>
          </cell>
          <cell r="EB382">
            <v>0</v>
          </cell>
          <cell r="EC382">
            <v>0</v>
          </cell>
          <cell r="EE382">
            <v>0</v>
          </cell>
          <cell r="EF382">
            <v>0</v>
          </cell>
          <cell r="EG382">
            <v>0</v>
          </cell>
          <cell r="EH382">
            <v>0</v>
          </cell>
          <cell r="EI382">
            <v>0</v>
          </cell>
          <cell r="EK382">
            <v>0</v>
          </cell>
          <cell r="EL382">
            <v>0</v>
          </cell>
          <cell r="EM382">
            <v>0</v>
          </cell>
          <cell r="EN382">
            <v>0</v>
          </cell>
          <cell r="EO382">
            <v>0</v>
          </cell>
          <cell r="EQ382">
            <v>0</v>
          </cell>
          <cell r="ER382">
            <v>0</v>
          </cell>
          <cell r="ES382">
            <v>0</v>
          </cell>
          <cell r="ET382">
            <v>0</v>
          </cell>
          <cell r="EU382">
            <v>0</v>
          </cell>
          <cell r="EW382">
            <v>0</v>
          </cell>
          <cell r="EX382">
            <v>0</v>
          </cell>
          <cell r="EY382">
            <v>0</v>
          </cell>
          <cell r="EZ382">
            <v>0</v>
          </cell>
          <cell r="FA382">
            <v>0</v>
          </cell>
        </row>
        <row r="383">
          <cell r="AW383">
            <v>0</v>
          </cell>
          <cell r="BC383">
            <v>0</v>
          </cell>
          <cell r="BI383">
            <v>0</v>
          </cell>
          <cell r="BK383">
            <v>0</v>
          </cell>
          <cell r="BL383">
            <v>0</v>
          </cell>
          <cell r="BM383">
            <v>0</v>
          </cell>
          <cell r="BN383">
            <v>0</v>
          </cell>
          <cell r="BO383">
            <v>0</v>
          </cell>
          <cell r="BQ383">
            <v>0</v>
          </cell>
          <cell r="BR383">
            <v>0</v>
          </cell>
          <cell r="BS383">
            <v>0</v>
          </cell>
          <cell r="BT383">
            <v>0</v>
          </cell>
          <cell r="BU383">
            <v>0</v>
          </cell>
          <cell r="BW383">
            <v>0</v>
          </cell>
          <cell r="BX383">
            <v>0</v>
          </cell>
          <cell r="BY383">
            <v>0</v>
          </cell>
          <cell r="BZ383">
            <v>0</v>
          </cell>
          <cell r="CA383">
            <v>0</v>
          </cell>
          <cell r="CC383">
            <v>0</v>
          </cell>
          <cell r="CD383">
            <v>0</v>
          </cell>
          <cell r="CE383">
            <v>0</v>
          </cell>
          <cell r="CF383">
            <v>0</v>
          </cell>
          <cell r="CG383">
            <v>0</v>
          </cell>
          <cell r="CI383">
            <v>0</v>
          </cell>
          <cell r="CJ383">
            <v>0</v>
          </cell>
          <cell r="CK383">
            <v>0</v>
          </cell>
          <cell r="CL383">
            <v>0</v>
          </cell>
          <cell r="CM383">
            <v>0</v>
          </cell>
          <cell r="CO383">
            <v>0</v>
          </cell>
          <cell r="CP383">
            <v>0</v>
          </cell>
          <cell r="CQ383">
            <v>0</v>
          </cell>
          <cell r="CR383">
            <v>-7.734375</v>
          </cell>
          <cell r="CS383">
            <v>0</v>
          </cell>
          <cell r="CU383">
            <v>-15.46875</v>
          </cell>
          <cell r="CV383">
            <v>-15.46875</v>
          </cell>
          <cell r="CW383">
            <v>-15.46875</v>
          </cell>
          <cell r="CX383">
            <v>-15.46875</v>
          </cell>
          <cell r="CY383">
            <v>0</v>
          </cell>
          <cell r="DA383">
            <v>-15.46875</v>
          </cell>
          <cell r="DB383">
            <v>-15.46875</v>
          </cell>
          <cell r="DC383">
            <v>-15.46875</v>
          </cell>
          <cell r="DE383">
            <v>0</v>
          </cell>
          <cell r="DG383">
            <v>-15.46875</v>
          </cell>
          <cell r="DH383">
            <v>-15.46875</v>
          </cell>
          <cell r="DI383">
            <v>-15.46875</v>
          </cell>
          <cell r="DJ383">
            <v>-15.46875</v>
          </cell>
          <cell r="DK383">
            <v>-61.875</v>
          </cell>
          <cell r="DM383">
            <v>-15.46875</v>
          </cell>
          <cell r="DN383">
            <v>-15.46875</v>
          </cell>
          <cell r="DO383">
            <v>-15.46875</v>
          </cell>
          <cell r="DP383">
            <v>-15.46875</v>
          </cell>
          <cell r="DQ383">
            <v>-61.875</v>
          </cell>
          <cell r="DS383">
            <v>-15.46875</v>
          </cell>
          <cell r="DT383">
            <v>-15.46875</v>
          </cell>
          <cell r="DU383">
            <v>-15.46875</v>
          </cell>
          <cell r="DV383">
            <v>-15.46875</v>
          </cell>
          <cell r="DW383">
            <v>-61.875</v>
          </cell>
          <cell r="DY383">
            <v>0</v>
          </cell>
          <cell r="DZ383">
            <v>0</v>
          </cell>
          <cell r="EA383">
            <v>0</v>
          </cell>
          <cell r="EB383">
            <v>0</v>
          </cell>
          <cell r="EC383">
            <v>0</v>
          </cell>
          <cell r="EE383">
            <v>0</v>
          </cell>
          <cell r="EF383">
            <v>0</v>
          </cell>
          <cell r="EG383">
            <v>0</v>
          </cell>
          <cell r="EH383">
            <v>0</v>
          </cell>
          <cell r="EI383">
            <v>0</v>
          </cell>
          <cell r="EK383">
            <v>0</v>
          </cell>
          <cell r="EL383">
            <v>0</v>
          </cell>
          <cell r="EM383">
            <v>0</v>
          </cell>
          <cell r="EN383">
            <v>0</v>
          </cell>
          <cell r="EO383">
            <v>0</v>
          </cell>
          <cell r="EQ383">
            <v>0</v>
          </cell>
          <cell r="ER383">
            <v>0</v>
          </cell>
          <cell r="ES383">
            <v>0</v>
          </cell>
          <cell r="ET383">
            <v>0</v>
          </cell>
          <cell r="EU383">
            <v>0</v>
          </cell>
          <cell r="EW383">
            <v>0</v>
          </cell>
          <cell r="EX383">
            <v>0</v>
          </cell>
          <cell r="EY383">
            <v>0</v>
          </cell>
          <cell r="EZ383">
            <v>0</v>
          </cell>
          <cell r="FA383">
            <v>0</v>
          </cell>
        </row>
        <row r="384">
          <cell r="AW384">
            <v>0</v>
          </cell>
          <cell r="BC384">
            <v>0</v>
          </cell>
          <cell r="BI384">
            <v>0</v>
          </cell>
          <cell r="BK384">
            <v>0</v>
          </cell>
          <cell r="BL384">
            <v>0</v>
          </cell>
          <cell r="BM384">
            <v>0</v>
          </cell>
          <cell r="BN384">
            <v>0</v>
          </cell>
          <cell r="BO384">
            <v>0</v>
          </cell>
          <cell r="BQ384">
            <v>0</v>
          </cell>
          <cell r="BR384">
            <v>0</v>
          </cell>
          <cell r="BS384">
            <v>0</v>
          </cell>
          <cell r="BT384">
            <v>0</v>
          </cell>
          <cell r="BU384">
            <v>0</v>
          </cell>
          <cell r="BW384">
            <v>0</v>
          </cell>
          <cell r="BX384">
            <v>0</v>
          </cell>
          <cell r="BY384">
            <v>0</v>
          </cell>
          <cell r="BZ384">
            <v>0</v>
          </cell>
          <cell r="CA384">
            <v>0</v>
          </cell>
          <cell r="CC384">
            <v>0</v>
          </cell>
          <cell r="CD384">
            <v>0</v>
          </cell>
          <cell r="CE384">
            <v>0</v>
          </cell>
          <cell r="CF384">
            <v>0</v>
          </cell>
          <cell r="CG384">
            <v>0</v>
          </cell>
          <cell r="CI384">
            <v>0</v>
          </cell>
          <cell r="CJ384">
            <v>0</v>
          </cell>
          <cell r="CK384">
            <v>0</v>
          </cell>
          <cell r="CL384">
            <v>0</v>
          </cell>
          <cell r="CM384">
            <v>0</v>
          </cell>
          <cell r="CO384">
            <v>0</v>
          </cell>
          <cell r="CP384">
            <v>0</v>
          </cell>
          <cell r="CQ384">
            <v>0</v>
          </cell>
          <cell r="CR384">
            <v>0</v>
          </cell>
          <cell r="CS384">
            <v>0</v>
          </cell>
          <cell r="CU384">
            <v>0</v>
          </cell>
          <cell r="CV384">
            <v>0</v>
          </cell>
          <cell r="CW384">
            <v>0</v>
          </cell>
          <cell r="CX384">
            <v>0</v>
          </cell>
          <cell r="CY384">
            <v>0</v>
          </cell>
          <cell r="DA384">
            <v>0</v>
          </cell>
          <cell r="DB384">
            <v>-14.0625</v>
          </cell>
          <cell r="DC384">
            <v>-14.0625</v>
          </cell>
          <cell r="DE384">
            <v>0</v>
          </cell>
          <cell r="DG384">
            <v>-14.0625</v>
          </cell>
          <cell r="DH384">
            <v>-14.0625</v>
          </cell>
          <cell r="DI384">
            <v>-14.0625</v>
          </cell>
          <cell r="DJ384">
            <v>-14.0625</v>
          </cell>
          <cell r="DK384">
            <v>-56.25</v>
          </cell>
          <cell r="DM384">
            <v>-14.868749999999999</v>
          </cell>
          <cell r="DN384">
            <v>-14.868749999999999</v>
          </cell>
          <cell r="DO384">
            <v>-14.868749999999999</v>
          </cell>
          <cell r="DP384">
            <v>-14.709375</v>
          </cell>
          <cell r="DQ384">
            <v>-59.315624999999997</v>
          </cell>
          <cell r="DS384">
            <v>-14.709375</v>
          </cell>
          <cell r="DT384">
            <v>-14.709375</v>
          </cell>
          <cell r="DU384">
            <v>-14.709375</v>
          </cell>
          <cell r="DV384">
            <v>-14.446874999999999</v>
          </cell>
          <cell r="DW384">
            <v>-58.574999999999996</v>
          </cell>
          <cell r="DY384">
            <v>-14.371874999999999</v>
          </cell>
          <cell r="DZ384">
            <v>-14.268749999999999</v>
          </cell>
          <cell r="EA384">
            <v>-14.15625</v>
          </cell>
          <cell r="EB384">
            <v>-14.137499999999999</v>
          </cell>
          <cell r="EC384">
            <v>-56.934375000000003</v>
          </cell>
          <cell r="EE384">
            <v>0</v>
          </cell>
          <cell r="EF384">
            <v>0</v>
          </cell>
          <cell r="EG384">
            <v>0</v>
          </cell>
          <cell r="EH384">
            <v>0</v>
          </cell>
          <cell r="EI384">
            <v>0</v>
          </cell>
          <cell r="EK384">
            <v>0</v>
          </cell>
          <cell r="EL384">
            <v>0</v>
          </cell>
          <cell r="EM384">
            <v>0</v>
          </cell>
          <cell r="EN384">
            <v>0</v>
          </cell>
          <cell r="EO384">
            <v>0</v>
          </cell>
          <cell r="EQ384">
            <v>0</v>
          </cell>
          <cell r="ER384">
            <v>0</v>
          </cell>
          <cell r="ES384">
            <v>0</v>
          </cell>
          <cell r="ET384">
            <v>0</v>
          </cell>
          <cell r="EU384">
            <v>0</v>
          </cell>
          <cell r="EW384">
            <v>0</v>
          </cell>
          <cell r="EX384">
            <v>0</v>
          </cell>
          <cell r="EY384">
            <v>0</v>
          </cell>
          <cell r="EZ384">
            <v>0</v>
          </cell>
          <cell r="FA384">
            <v>0</v>
          </cell>
        </row>
        <row r="385">
          <cell r="AW385">
            <v>0</v>
          </cell>
          <cell r="BC385">
            <v>0</v>
          </cell>
          <cell r="BI385">
            <v>0</v>
          </cell>
          <cell r="BK385">
            <v>0</v>
          </cell>
          <cell r="BL385">
            <v>0</v>
          </cell>
          <cell r="BM385">
            <v>0</v>
          </cell>
          <cell r="BN385">
            <v>0</v>
          </cell>
          <cell r="BO385">
            <v>0</v>
          </cell>
          <cell r="BQ385">
            <v>0</v>
          </cell>
          <cell r="BR385">
            <v>0</v>
          </cell>
          <cell r="BS385">
            <v>0</v>
          </cell>
          <cell r="BT385">
            <v>0</v>
          </cell>
          <cell r="BU385">
            <v>0</v>
          </cell>
          <cell r="BW385">
            <v>0</v>
          </cell>
          <cell r="BX385">
            <v>0</v>
          </cell>
          <cell r="BY385">
            <v>0</v>
          </cell>
          <cell r="BZ385">
            <v>0</v>
          </cell>
          <cell r="CA385">
            <v>0</v>
          </cell>
          <cell r="CC385">
            <v>0</v>
          </cell>
          <cell r="CD385">
            <v>0</v>
          </cell>
          <cell r="CE385">
            <v>0</v>
          </cell>
          <cell r="CF385">
            <v>0</v>
          </cell>
          <cell r="CG385">
            <v>0</v>
          </cell>
          <cell r="CI385">
            <v>-52.5</v>
          </cell>
          <cell r="CJ385">
            <v>0</v>
          </cell>
          <cell r="CK385">
            <v>-26.3</v>
          </cell>
          <cell r="CL385">
            <v>-26.3</v>
          </cell>
          <cell r="CM385">
            <v>0</v>
          </cell>
          <cell r="CO385">
            <v>-26.25</v>
          </cell>
          <cell r="CP385">
            <v>-26.25</v>
          </cell>
          <cell r="CQ385">
            <v>-26.25</v>
          </cell>
          <cell r="CR385">
            <v>-26.131874999999997</v>
          </cell>
          <cell r="CS385">
            <v>0</v>
          </cell>
          <cell r="CU385">
            <v>-26.131874999999997</v>
          </cell>
          <cell r="CV385">
            <v>-26.131874999999997</v>
          </cell>
          <cell r="CW385">
            <v>-26.131874999999997</v>
          </cell>
          <cell r="CX385">
            <v>-26.158124999999998</v>
          </cell>
          <cell r="CY385">
            <v>0</v>
          </cell>
          <cell r="DA385">
            <v>-26.158124999999998</v>
          </cell>
          <cell r="DB385">
            <v>-26.158124999999998</v>
          </cell>
          <cell r="DC385">
            <v>-26.158124999999998</v>
          </cell>
          <cell r="DE385">
            <v>0</v>
          </cell>
          <cell r="DG385">
            <v>-26.158124999999998</v>
          </cell>
          <cell r="DH385">
            <v>-26.158124999999998</v>
          </cell>
          <cell r="DI385">
            <v>-26.158124999999998</v>
          </cell>
          <cell r="DJ385">
            <v>-26.158124999999998</v>
          </cell>
          <cell r="DK385">
            <v>-104.63249999999999</v>
          </cell>
          <cell r="DM385">
            <v>-26.184374999999999</v>
          </cell>
          <cell r="DN385">
            <v>-26.184374999999999</v>
          </cell>
          <cell r="DO385">
            <v>-26.184374999999999</v>
          </cell>
          <cell r="DP385">
            <v>-26.197499999999998</v>
          </cell>
          <cell r="DQ385">
            <v>-104.75062499999999</v>
          </cell>
          <cell r="DS385">
            <v>-26.197499999999998</v>
          </cell>
          <cell r="DT385">
            <v>-26.197499999999998</v>
          </cell>
          <cell r="DU385">
            <v>-26.197499999999998</v>
          </cell>
          <cell r="DV385">
            <v>-26.210625</v>
          </cell>
          <cell r="DW385">
            <v>-104.80312499999999</v>
          </cell>
          <cell r="DY385">
            <v>-26.210625</v>
          </cell>
          <cell r="DZ385">
            <v>-26.210625</v>
          </cell>
          <cell r="EA385">
            <v>-26.210625</v>
          </cell>
          <cell r="EB385">
            <v>-26.210625</v>
          </cell>
          <cell r="EC385">
            <v>-104.8425</v>
          </cell>
          <cell r="EE385">
            <v>-26.210625</v>
          </cell>
          <cell r="EF385">
            <v>-26.210625</v>
          </cell>
          <cell r="EG385">
            <v>-26.210625</v>
          </cell>
          <cell r="EH385">
            <v>-26.210625</v>
          </cell>
          <cell r="EI385">
            <v>-104.8425</v>
          </cell>
          <cell r="EK385">
            <v>-26.210625</v>
          </cell>
          <cell r="EL385">
            <v>-26.210625</v>
          </cell>
          <cell r="EM385">
            <v>-26.210625</v>
          </cell>
          <cell r="EN385">
            <v>0</v>
          </cell>
          <cell r="EO385">
            <v>-78.631875000000008</v>
          </cell>
          <cell r="EQ385">
            <v>0</v>
          </cell>
          <cell r="ER385">
            <v>0</v>
          </cell>
          <cell r="ES385">
            <v>0</v>
          </cell>
          <cell r="ET385">
            <v>0</v>
          </cell>
          <cell r="EU385">
            <v>0</v>
          </cell>
          <cell r="EW385">
            <v>0</v>
          </cell>
          <cell r="EX385">
            <v>0</v>
          </cell>
          <cell r="EY385">
            <v>0</v>
          </cell>
          <cell r="EZ385">
            <v>0</v>
          </cell>
          <cell r="FA385">
            <v>0</v>
          </cell>
        </row>
        <row r="386">
          <cell r="AW386">
            <v>0</v>
          </cell>
          <cell r="BC386">
            <v>0</v>
          </cell>
          <cell r="BI386">
            <v>0</v>
          </cell>
          <cell r="BK386">
            <v>0</v>
          </cell>
          <cell r="BL386">
            <v>0</v>
          </cell>
          <cell r="BM386">
            <v>0</v>
          </cell>
          <cell r="BN386">
            <v>0</v>
          </cell>
          <cell r="BO386">
            <v>0</v>
          </cell>
          <cell r="BQ386">
            <v>0</v>
          </cell>
          <cell r="BR386">
            <v>0</v>
          </cell>
          <cell r="BS386">
            <v>0</v>
          </cell>
          <cell r="BT386">
            <v>0</v>
          </cell>
          <cell r="BU386">
            <v>0</v>
          </cell>
          <cell r="BW386">
            <v>0</v>
          </cell>
          <cell r="BX386">
            <v>0</v>
          </cell>
          <cell r="BY386">
            <v>0</v>
          </cell>
          <cell r="BZ386">
            <v>0</v>
          </cell>
          <cell r="CA386">
            <v>0</v>
          </cell>
          <cell r="CC386">
            <v>0</v>
          </cell>
          <cell r="CD386">
            <v>0</v>
          </cell>
          <cell r="CE386">
            <v>0</v>
          </cell>
          <cell r="CF386">
            <v>0</v>
          </cell>
          <cell r="CG386">
            <v>0</v>
          </cell>
          <cell r="CI386">
            <v>0</v>
          </cell>
          <cell r="CJ386">
            <v>0</v>
          </cell>
          <cell r="CK386">
            <v>0</v>
          </cell>
          <cell r="CL386">
            <v>0</v>
          </cell>
          <cell r="CM386">
            <v>0</v>
          </cell>
          <cell r="CO386">
            <v>0</v>
          </cell>
          <cell r="CP386">
            <v>0</v>
          </cell>
          <cell r="CQ386">
            <v>0</v>
          </cell>
          <cell r="CR386">
            <v>0</v>
          </cell>
          <cell r="CS386">
            <v>0</v>
          </cell>
          <cell r="CU386">
            <v>0</v>
          </cell>
          <cell r="CV386">
            <v>0</v>
          </cell>
          <cell r="CW386">
            <v>0</v>
          </cell>
          <cell r="CX386">
            <v>0</v>
          </cell>
          <cell r="CY386">
            <v>0</v>
          </cell>
          <cell r="DA386">
            <v>0</v>
          </cell>
          <cell r="DB386">
            <v>0</v>
          </cell>
          <cell r="DC386">
            <v>0</v>
          </cell>
          <cell r="DE386">
            <v>0</v>
          </cell>
          <cell r="DG386">
            <v>0</v>
          </cell>
          <cell r="DH386">
            <v>0</v>
          </cell>
          <cell r="DI386">
            <v>0</v>
          </cell>
          <cell r="DJ386">
            <v>0</v>
          </cell>
          <cell r="DK386">
            <v>0</v>
          </cell>
          <cell r="DM386">
            <v>0</v>
          </cell>
          <cell r="DN386">
            <v>0</v>
          </cell>
          <cell r="DO386">
            <v>0</v>
          </cell>
          <cell r="DP386">
            <v>0</v>
          </cell>
          <cell r="DQ386">
            <v>0</v>
          </cell>
          <cell r="DS386">
            <v>0</v>
          </cell>
          <cell r="DT386">
            <v>-3.75</v>
          </cell>
          <cell r="DU386">
            <v>-7.5</v>
          </cell>
          <cell r="DV386">
            <v>-7.4910000000000005</v>
          </cell>
          <cell r="DW386">
            <v>-18.741</v>
          </cell>
          <cell r="DY386">
            <v>-7.4910000000000005</v>
          </cell>
          <cell r="DZ386">
            <v>-7.4910000000000005</v>
          </cell>
          <cell r="EA386">
            <v>-7.4910000000000005</v>
          </cell>
          <cell r="EB386">
            <v>-7.4910000000000005</v>
          </cell>
          <cell r="EC386">
            <v>-29.964000000000002</v>
          </cell>
          <cell r="EE386">
            <v>-7.4910000000000005</v>
          </cell>
          <cell r="EF386">
            <v>-7.4910000000000005</v>
          </cell>
          <cell r="EG386">
            <v>-7.4910000000000005</v>
          </cell>
          <cell r="EH386">
            <v>-7.4910000000000005</v>
          </cell>
          <cell r="EI386">
            <v>-29.964000000000002</v>
          </cell>
          <cell r="EK386">
            <v>-7.4910000000000005</v>
          </cell>
          <cell r="EL386">
            <v>-7.4910000000000005</v>
          </cell>
          <cell r="EM386">
            <v>-7.4910000000000005</v>
          </cell>
          <cell r="EN386">
            <v>-7.4910000000000005</v>
          </cell>
          <cell r="EO386">
            <v>-29.964000000000002</v>
          </cell>
          <cell r="EQ386">
            <v>-7.4910000000000005</v>
          </cell>
          <cell r="ER386">
            <v>-7.4910000000000005</v>
          </cell>
          <cell r="ES386">
            <v>-7.4910000000000005</v>
          </cell>
          <cell r="ET386">
            <v>-7.4910000000000005</v>
          </cell>
          <cell r="EU386">
            <v>-29.964000000000002</v>
          </cell>
          <cell r="EW386">
            <v>-7.4910000000000005</v>
          </cell>
          <cell r="EX386">
            <v>-7.4910000000000005</v>
          </cell>
          <cell r="EY386">
            <v>-7.4910000000000005</v>
          </cell>
          <cell r="EZ386">
            <v>-7.4910000000000005</v>
          </cell>
          <cell r="FA386">
            <v>-29.964000000000002</v>
          </cell>
        </row>
        <row r="387">
          <cell r="AW387">
            <v>0</v>
          </cell>
          <cell r="BC387">
            <v>0</v>
          </cell>
          <cell r="BI387">
            <v>0</v>
          </cell>
          <cell r="BK387">
            <v>0</v>
          </cell>
          <cell r="BL387">
            <v>0</v>
          </cell>
          <cell r="BM387">
            <v>0</v>
          </cell>
          <cell r="BN387">
            <v>0</v>
          </cell>
          <cell r="BO387">
            <v>0</v>
          </cell>
          <cell r="BQ387">
            <v>0</v>
          </cell>
          <cell r="BR387">
            <v>0</v>
          </cell>
          <cell r="BS387">
            <v>0</v>
          </cell>
          <cell r="BT387">
            <v>0</v>
          </cell>
          <cell r="BU387">
            <v>0</v>
          </cell>
          <cell r="BW387">
            <v>0</v>
          </cell>
          <cell r="BX387">
            <v>0</v>
          </cell>
          <cell r="BY387">
            <v>0</v>
          </cell>
          <cell r="BZ387">
            <v>0</v>
          </cell>
          <cell r="CA387">
            <v>0</v>
          </cell>
          <cell r="CC387">
            <v>0</v>
          </cell>
          <cell r="CD387">
            <v>0</v>
          </cell>
          <cell r="CE387">
            <v>0</v>
          </cell>
          <cell r="CF387">
            <v>0</v>
          </cell>
          <cell r="CG387">
            <v>0</v>
          </cell>
          <cell r="CI387">
            <v>0</v>
          </cell>
          <cell r="CJ387">
            <v>0</v>
          </cell>
          <cell r="CK387">
            <v>0</v>
          </cell>
          <cell r="CL387">
            <v>0</v>
          </cell>
          <cell r="CM387">
            <v>0</v>
          </cell>
          <cell r="CO387">
            <v>0</v>
          </cell>
          <cell r="CP387">
            <v>0</v>
          </cell>
          <cell r="CQ387">
            <v>0</v>
          </cell>
          <cell r="CR387">
            <v>-17.961562499999999</v>
          </cell>
          <cell r="CS387">
            <v>0</v>
          </cell>
          <cell r="CU387">
            <v>-35.923124999999999</v>
          </cell>
          <cell r="CV387">
            <v>-35.923124999999999</v>
          </cell>
          <cell r="CW387">
            <v>-35.923124999999999</v>
          </cell>
          <cell r="CX387">
            <v>-35.923124999999999</v>
          </cell>
          <cell r="CY387">
            <v>0</v>
          </cell>
          <cell r="DA387">
            <v>-35.923124999999999</v>
          </cell>
          <cell r="DB387">
            <v>-35.923124999999999</v>
          </cell>
          <cell r="DC387">
            <v>-35.923124999999999</v>
          </cell>
          <cell r="DE387">
            <v>0</v>
          </cell>
          <cell r="DG387">
            <v>-35.923124999999999</v>
          </cell>
          <cell r="DH387">
            <v>-35.923124999999999</v>
          </cell>
          <cell r="DI387">
            <v>-35.923124999999999</v>
          </cell>
          <cell r="DJ387">
            <v>-35.923124999999999</v>
          </cell>
          <cell r="DK387">
            <v>-143.6925</v>
          </cell>
          <cell r="DM387">
            <v>-35.923124999999999</v>
          </cell>
          <cell r="DN387">
            <v>-35.923124999999999</v>
          </cell>
          <cell r="DO387">
            <v>-35.923124999999999</v>
          </cell>
          <cell r="DP387">
            <v>-35.923124999999999</v>
          </cell>
          <cell r="DQ387">
            <v>-143.6925</v>
          </cell>
          <cell r="DS387">
            <v>-35.923124999999999</v>
          </cell>
          <cell r="DT387">
            <v>-35.923124999999999</v>
          </cell>
          <cell r="DU387">
            <v>-35.923124999999999</v>
          </cell>
          <cell r="DV387">
            <v>-35.923124999999999</v>
          </cell>
          <cell r="DW387">
            <v>-143.6925</v>
          </cell>
          <cell r="DY387">
            <v>-35.923124999999999</v>
          </cell>
          <cell r="DZ387">
            <v>-35.923124999999999</v>
          </cell>
          <cell r="EA387">
            <v>-35.923124999999999</v>
          </cell>
          <cell r="EB387">
            <v>-35.923124999999999</v>
          </cell>
          <cell r="EC387">
            <v>-143.6925</v>
          </cell>
          <cell r="EE387">
            <v>-35.923124999999999</v>
          </cell>
          <cell r="EF387">
            <v>-35.923124999999999</v>
          </cell>
          <cell r="EG387">
            <v>-35.923124999999999</v>
          </cell>
          <cell r="EH387">
            <v>-35.923124999999999</v>
          </cell>
          <cell r="EI387">
            <v>-143.6925</v>
          </cell>
          <cell r="EK387">
            <v>-35.923124999999999</v>
          </cell>
          <cell r="EL387">
            <v>-35.923124999999999</v>
          </cell>
          <cell r="EM387">
            <v>-35.923124999999999</v>
          </cell>
          <cell r="EN387">
            <v>-35.923124999999999</v>
          </cell>
          <cell r="EO387">
            <v>-143.6925</v>
          </cell>
          <cell r="EQ387">
            <v>-35.923124999999999</v>
          </cell>
          <cell r="ER387">
            <v>-35.923124999999999</v>
          </cell>
          <cell r="ES387">
            <v>-35.923124999999999</v>
          </cell>
          <cell r="ET387">
            <v>-35.923124999999999</v>
          </cell>
          <cell r="EU387">
            <v>-143.6925</v>
          </cell>
          <cell r="EW387">
            <v>-35.923124999999999</v>
          </cell>
          <cell r="EX387">
            <v>-35.923124999999999</v>
          </cell>
          <cell r="EY387">
            <v>-35.923124999999999</v>
          </cell>
          <cell r="EZ387">
            <v>-35.923124999999999</v>
          </cell>
          <cell r="FA387">
            <v>-143.6925</v>
          </cell>
        </row>
        <row r="388">
          <cell r="AW388">
            <v>0</v>
          </cell>
          <cell r="BC388">
            <v>0</v>
          </cell>
          <cell r="BI388">
            <v>0</v>
          </cell>
          <cell r="BK388">
            <v>0</v>
          </cell>
          <cell r="BL388">
            <v>0</v>
          </cell>
          <cell r="BM388">
            <v>0</v>
          </cell>
          <cell r="BN388">
            <v>0</v>
          </cell>
          <cell r="BO388">
            <v>0</v>
          </cell>
          <cell r="BQ388">
            <v>0</v>
          </cell>
          <cell r="BR388">
            <v>0</v>
          </cell>
          <cell r="BS388">
            <v>0</v>
          </cell>
          <cell r="BT388">
            <v>0</v>
          </cell>
          <cell r="BU388">
            <v>0</v>
          </cell>
          <cell r="BW388">
            <v>0</v>
          </cell>
          <cell r="BX388">
            <v>0</v>
          </cell>
          <cell r="BY388">
            <v>0</v>
          </cell>
          <cell r="BZ388">
            <v>0</v>
          </cell>
          <cell r="CA388">
            <v>0</v>
          </cell>
          <cell r="CC388">
            <v>0</v>
          </cell>
          <cell r="CD388">
            <v>0</v>
          </cell>
          <cell r="CE388">
            <v>0</v>
          </cell>
          <cell r="CF388">
            <v>0</v>
          </cell>
          <cell r="CG388">
            <v>0</v>
          </cell>
          <cell r="CI388">
            <v>0</v>
          </cell>
          <cell r="CJ388">
            <v>0</v>
          </cell>
          <cell r="CK388">
            <v>0</v>
          </cell>
          <cell r="CL388">
            <v>0</v>
          </cell>
          <cell r="CM388">
            <v>0</v>
          </cell>
          <cell r="CO388">
            <v>0</v>
          </cell>
          <cell r="CP388">
            <v>0</v>
          </cell>
          <cell r="CQ388">
            <v>0</v>
          </cell>
          <cell r="CR388">
            <v>0</v>
          </cell>
          <cell r="CS388">
            <v>0</v>
          </cell>
          <cell r="CU388">
            <v>0</v>
          </cell>
          <cell r="CV388">
            <v>0</v>
          </cell>
          <cell r="CW388">
            <v>0</v>
          </cell>
          <cell r="CX388">
            <v>0</v>
          </cell>
          <cell r="CY388">
            <v>0</v>
          </cell>
          <cell r="DA388">
            <v>0</v>
          </cell>
          <cell r="DB388">
            <v>0</v>
          </cell>
          <cell r="DC388">
            <v>0</v>
          </cell>
          <cell r="DE388">
            <v>0</v>
          </cell>
          <cell r="DG388">
            <v>0</v>
          </cell>
          <cell r="DH388">
            <v>0</v>
          </cell>
          <cell r="DI388">
            <v>0</v>
          </cell>
          <cell r="DJ388">
            <v>0</v>
          </cell>
          <cell r="DK388">
            <v>0</v>
          </cell>
          <cell r="DM388">
            <v>0</v>
          </cell>
          <cell r="DN388">
            <v>0</v>
          </cell>
          <cell r="DO388">
            <v>0</v>
          </cell>
          <cell r="DP388">
            <v>0</v>
          </cell>
          <cell r="DQ388">
            <v>0</v>
          </cell>
          <cell r="DS388">
            <v>0</v>
          </cell>
          <cell r="DT388">
            <v>0</v>
          </cell>
          <cell r="DU388">
            <v>0</v>
          </cell>
          <cell r="DV388">
            <v>0</v>
          </cell>
          <cell r="DW388">
            <v>0</v>
          </cell>
          <cell r="DY388">
            <v>-4.453125</v>
          </cell>
          <cell r="DZ388">
            <v>-8.90625</v>
          </cell>
          <cell r="EA388">
            <v>-8.90625</v>
          </cell>
          <cell r="EB388">
            <v>-8.90625</v>
          </cell>
          <cell r="EC388">
            <v>-31.171875</v>
          </cell>
          <cell r="EE388">
            <v>-8.90625</v>
          </cell>
          <cell r="EF388">
            <v>-8.90625</v>
          </cell>
          <cell r="EG388">
            <v>-8.90625</v>
          </cell>
          <cell r="EH388">
            <v>-8.90625</v>
          </cell>
          <cell r="EI388">
            <v>-35.625</v>
          </cell>
          <cell r="EK388">
            <v>-8.90625</v>
          </cell>
          <cell r="EL388">
            <v>-8.90625</v>
          </cell>
          <cell r="EM388">
            <v>-8.90625</v>
          </cell>
          <cell r="EN388">
            <v>-8.90625</v>
          </cell>
          <cell r="EO388">
            <v>-35.625</v>
          </cell>
          <cell r="EQ388">
            <v>-8.90625</v>
          </cell>
          <cell r="ER388">
            <v>-8.90625</v>
          </cell>
          <cell r="ES388">
            <v>-8.90625</v>
          </cell>
          <cell r="ET388">
            <v>-8.90625</v>
          </cell>
          <cell r="EU388">
            <v>-35.625</v>
          </cell>
          <cell r="EW388">
            <v>-8.90625</v>
          </cell>
          <cell r="EX388">
            <v>-8.90625</v>
          </cell>
          <cell r="EY388">
            <v>-8.90625</v>
          </cell>
          <cell r="EZ388">
            <v>-8.90625</v>
          </cell>
          <cell r="FA388">
            <v>-35.625</v>
          </cell>
        </row>
        <row r="389">
          <cell r="AW389">
            <v>0</v>
          </cell>
          <cell r="BC389">
            <v>0</v>
          </cell>
          <cell r="BI389">
            <v>0</v>
          </cell>
          <cell r="BK389">
            <v>0</v>
          </cell>
          <cell r="BL389">
            <v>0</v>
          </cell>
          <cell r="BM389">
            <v>0</v>
          </cell>
          <cell r="BN389">
            <v>0</v>
          </cell>
          <cell r="BO389">
            <v>0</v>
          </cell>
          <cell r="BQ389">
            <v>0</v>
          </cell>
          <cell r="BR389">
            <v>0</v>
          </cell>
          <cell r="BS389">
            <v>0</v>
          </cell>
          <cell r="BT389">
            <v>0</v>
          </cell>
          <cell r="BU389">
            <v>0</v>
          </cell>
          <cell r="BW389">
            <v>0</v>
          </cell>
          <cell r="BX389">
            <v>0</v>
          </cell>
          <cell r="BY389">
            <v>0</v>
          </cell>
          <cell r="BZ389">
            <v>0</v>
          </cell>
          <cell r="CA389">
            <v>0</v>
          </cell>
          <cell r="CC389">
            <v>0</v>
          </cell>
          <cell r="CD389">
            <v>0</v>
          </cell>
          <cell r="CE389">
            <v>0</v>
          </cell>
          <cell r="CF389">
            <v>0</v>
          </cell>
          <cell r="CG389">
            <v>0</v>
          </cell>
          <cell r="CI389">
            <v>0</v>
          </cell>
          <cell r="CJ389">
            <v>0</v>
          </cell>
          <cell r="CK389">
            <v>0</v>
          </cell>
          <cell r="CL389">
            <v>0</v>
          </cell>
          <cell r="CM389">
            <v>0</v>
          </cell>
          <cell r="CO389">
            <v>0</v>
          </cell>
          <cell r="CP389">
            <v>0</v>
          </cell>
          <cell r="CQ389">
            <v>0</v>
          </cell>
          <cell r="CR389">
            <v>0</v>
          </cell>
          <cell r="CS389">
            <v>0</v>
          </cell>
          <cell r="CU389">
            <v>0</v>
          </cell>
          <cell r="CV389">
            <v>0</v>
          </cell>
          <cell r="CW389">
            <v>0</v>
          </cell>
          <cell r="CX389">
            <v>0</v>
          </cell>
          <cell r="CY389">
            <v>0</v>
          </cell>
          <cell r="DA389">
            <v>0</v>
          </cell>
          <cell r="DB389">
            <v>0</v>
          </cell>
          <cell r="DC389">
            <v>0</v>
          </cell>
          <cell r="DE389">
            <v>0</v>
          </cell>
          <cell r="DG389">
            <v>0</v>
          </cell>
          <cell r="DH389">
            <v>0</v>
          </cell>
          <cell r="DI389">
            <v>0</v>
          </cell>
          <cell r="DJ389">
            <v>0</v>
          </cell>
          <cell r="DK389">
            <v>0</v>
          </cell>
          <cell r="DM389">
            <v>0</v>
          </cell>
          <cell r="DN389">
            <v>0</v>
          </cell>
          <cell r="DO389">
            <v>0</v>
          </cell>
          <cell r="DP389">
            <v>0</v>
          </cell>
          <cell r="DQ389">
            <v>0</v>
          </cell>
          <cell r="DS389">
            <v>0</v>
          </cell>
          <cell r="DT389">
            <v>0</v>
          </cell>
          <cell r="DU389">
            <v>0</v>
          </cell>
          <cell r="DV389">
            <v>0</v>
          </cell>
          <cell r="DW389">
            <v>0</v>
          </cell>
          <cell r="DY389">
            <v>0</v>
          </cell>
          <cell r="DZ389">
            <v>0</v>
          </cell>
          <cell r="EA389">
            <v>0</v>
          </cell>
          <cell r="EB389">
            <v>0</v>
          </cell>
          <cell r="EC389">
            <v>0</v>
          </cell>
          <cell r="EE389">
            <v>-11.5</v>
          </cell>
          <cell r="EF389">
            <v>-11.5</v>
          </cell>
          <cell r="EG389">
            <v>-11.5</v>
          </cell>
          <cell r="EH389">
            <v>-11.5</v>
          </cell>
          <cell r="EI389">
            <v>-46</v>
          </cell>
          <cell r="EK389">
            <v>-11.5</v>
          </cell>
          <cell r="EL389">
            <v>-11.5</v>
          </cell>
          <cell r="EM389">
            <v>-11.5</v>
          </cell>
          <cell r="EN389">
            <v>-11.5</v>
          </cell>
          <cell r="EO389">
            <v>-46</v>
          </cell>
          <cell r="EQ389">
            <v>-11.5</v>
          </cell>
          <cell r="ER389">
            <v>-11.5</v>
          </cell>
          <cell r="ES389">
            <v>-11.5</v>
          </cell>
          <cell r="ET389">
            <v>-11.5</v>
          </cell>
          <cell r="EU389">
            <v>-46</v>
          </cell>
          <cell r="EW389">
            <v>-11.5</v>
          </cell>
          <cell r="EX389">
            <v>-11.5</v>
          </cell>
          <cell r="EY389">
            <v>-11.5</v>
          </cell>
          <cell r="EZ389">
            <v>-11.5</v>
          </cell>
          <cell r="FA389">
            <v>-46</v>
          </cell>
        </row>
        <row r="390">
          <cell r="AW390">
            <v>0</v>
          </cell>
          <cell r="BC390">
            <v>0</v>
          </cell>
          <cell r="BI390">
            <v>0</v>
          </cell>
          <cell r="BK390">
            <v>0</v>
          </cell>
          <cell r="BL390">
            <v>0</v>
          </cell>
          <cell r="BM390">
            <v>0</v>
          </cell>
          <cell r="BN390">
            <v>0</v>
          </cell>
          <cell r="BO390">
            <v>0</v>
          </cell>
          <cell r="BQ390">
            <v>0</v>
          </cell>
          <cell r="BR390">
            <v>0</v>
          </cell>
          <cell r="BS390">
            <v>0</v>
          </cell>
          <cell r="BT390">
            <v>0</v>
          </cell>
          <cell r="BU390">
            <v>0</v>
          </cell>
          <cell r="BW390">
            <v>0</v>
          </cell>
          <cell r="BX390">
            <v>0</v>
          </cell>
          <cell r="BY390">
            <v>0</v>
          </cell>
          <cell r="BZ390">
            <v>0</v>
          </cell>
          <cell r="CA390">
            <v>0</v>
          </cell>
          <cell r="CC390">
            <v>0</v>
          </cell>
          <cell r="CD390">
            <v>0</v>
          </cell>
          <cell r="CE390">
            <v>0</v>
          </cell>
          <cell r="CF390">
            <v>0</v>
          </cell>
          <cell r="CG390">
            <v>0</v>
          </cell>
          <cell r="CI390">
            <v>0</v>
          </cell>
          <cell r="CJ390">
            <v>0</v>
          </cell>
          <cell r="CK390">
            <v>0</v>
          </cell>
          <cell r="CL390">
            <v>0</v>
          </cell>
          <cell r="CM390">
            <v>0</v>
          </cell>
          <cell r="CO390">
            <v>0</v>
          </cell>
          <cell r="CP390">
            <v>0</v>
          </cell>
          <cell r="CQ390">
            <v>0</v>
          </cell>
          <cell r="CR390">
            <v>0</v>
          </cell>
          <cell r="CS390">
            <v>0</v>
          </cell>
          <cell r="CU390">
            <v>0</v>
          </cell>
          <cell r="CV390">
            <v>0</v>
          </cell>
          <cell r="CW390">
            <v>0</v>
          </cell>
          <cell r="CX390">
            <v>0</v>
          </cell>
          <cell r="CY390">
            <v>0</v>
          </cell>
          <cell r="DA390">
            <v>0</v>
          </cell>
          <cell r="DB390">
            <v>-17.5</v>
          </cell>
          <cell r="DC390">
            <v>-17.5</v>
          </cell>
          <cell r="DE390">
            <v>0</v>
          </cell>
          <cell r="DG390">
            <v>-17.5</v>
          </cell>
          <cell r="DH390">
            <v>-17.5</v>
          </cell>
          <cell r="DI390">
            <v>-17.5</v>
          </cell>
          <cell r="DJ390">
            <v>-17.5</v>
          </cell>
          <cell r="DK390">
            <v>-70</v>
          </cell>
          <cell r="DM390">
            <v>-17.45</v>
          </cell>
          <cell r="DN390">
            <v>-17.420000000000002</v>
          </cell>
          <cell r="DO390">
            <v>-17.420000000000002</v>
          </cell>
          <cell r="DP390">
            <v>-17.45</v>
          </cell>
          <cell r="DQ390">
            <v>-69.740000000000009</v>
          </cell>
          <cell r="DS390">
            <v>-17.45</v>
          </cell>
          <cell r="DT390">
            <v>-17.45</v>
          </cell>
          <cell r="DU390">
            <v>-17.45</v>
          </cell>
          <cell r="DV390">
            <v>-17.46</v>
          </cell>
          <cell r="DW390">
            <v>-69.81</v>
          </cell>
          <cell r="DY390">
            <v>-21.825000000000003</v>
          </cell>
          <cell r="DZ390">
            <v>-21.825000000000003</v>
          </cell>
          <cell r="EA390">
            <v>-21.825000000000003</v>
          </cell>
          <cell r="EB390">
            <v>-21.825000000000003</v>
          </cell>
          <cell r="EC390">
            <v>-87.300000000000011</v>
          </cell>
          <cell r="EE390">
            <v>-21.825000000000003</v>
          </cell>
          <cell r="EF390">
            <v>-21.825000000000003</v>
          </cell>
          <cell r="EG390">
            <v>-21.825000000000003</v>
          </cell>
          <cell r="EH390">
            <v>-21.825000000000003</v>
          </cell>
          <cell r="EI390">
            <v>-87.300000000000011</v>
          </cell>
          <cell r="EK390">
            <v>-21.825000000000003</v>
          </cell>
          <cell r="EL390">
            <v>-21.825000000000003</v>
          </cell>
          <cell r="EM390">
            <v>-21.825000000000003</v>
          </cell>
          <cell r="EN390">
            <v>-21.825000000000003</v>
          </cell>
          <cell r="EO390">
            <v>-87.300000000000011</v>
          </cell>
          <cell r="EQ390">
            <v>-21.825000000000003</v>
          </cell>
          <cell r="ER390">
            <v>-21.825000000000003</v>
          </cell>
          <cell r="ES390">
            <v>-21.825000000000003</v>
          </cell>
          <cell r="ET390">
            <v>-21.825000000000003</v>
          </cell>
          <cell r="EU390">
            <v>-87.300000000000011</v>
          </cell>
          <cell r="EW390">
            <v>-21.825000000000003</v>
          </cell>
          <cell r="EX390">
            <v>-21.825000000000003</v>
          </cell>
          <cell r="EY390">
            <v>-21.825000000000003</v>
          </cell>
          <cell r="EZ390">
            <v>-21.825000000000003</v>
          </cell>
          <cell r="FA390">
            <v>-87.300000000000011</v>
          </cell>
        </row>
        <row r="391">
          <cell r="AW391">
            <v>0</v>
          </cell>
          <cell r="BC391">
            <v>0</v>
          </cell>
          <cell r="BI391">
            <v>0</v>
          </cell>
          <cell r="BK391">
            <v>0</v>
          </cell>
          <cell r="BL391">
            <v>0</v>
          </cell>
          <cell r="BM391">
            <v>0</v>
          </cell>
          <cell r="BN391">
            <v>0</v>
          </cell>
          <cell r="BO391">
            <v>0</v>
          </cell>
          <cell r="BQ391">
            <v>0</v>
          </cell>
          <cell r="BR391">
            <v>0</v>
          </cell>
          <cell r="BS391">
            <v>0</v>
          </cell>
          <cell r="BT391">
            <v>0</v>
          </cell>
          <cell r="BU391">
            <v>0</v>
          </cell>
          <cell r="BW391">
            <v>0</v>
          </cell>
          <cell r="BX391">
            <v>0</v>
          </cell>
          <cell r="BY391">
            <v>0</v>
          </cell>
          <cell r="BZ391">
            <v>0</v>
          </cell>
          <cell r="CA391">
            <v>0</v>
          </cell>
          <cell r="CC391">
            <v>0</v>
          </cell>
          <cell r="CD391">
            <v>0</v>
          </cell>
          <cell r="CE391">
            <v>0</v>
          </cell>
          <cell r="CF391">
            <v>0</v>
          </cell>
          <cell r="CG391">
            <v>0</v>
          </cell>
          <cell r="CI391">
            <v>0</v>
          </cell>
          <cell r="CJ391">
            <v>0</v>
          </cell>
          <cell r="CK391">
            <v>0</v>
          </cell>
          <cell r="CL391">
            <v>0</v>
          </cell>
          <cell r="CM391">
            <v>0</v>
          </cell>
          <cell r="CO391">
            <v>0</v>
          </cell>
          <cell r="CP391">
            <v>0</v>
          </cell>
          <cell r="CQ391">
            <v>0</v>
          </cell>
          <cell r="CR391">
            <v>0</v>
          </cell>
          <cell r="CS391">
            <v>0</v>
          </cell>
          <cell r="CU391">
            <v>0</v>
          </cell>
          <cell r="CV391">
            <v>0</v>
          </cell>
          <cell r="CW391">
            <v>0</v>
          </cell>
          <cell r="CX391">
            <v>0</v>
          </cell>
          <cell r="CY391">
            <v>0</v>
          </cell>
          <cell r="DA391">
            <v>0</v>
          </cell>
          <cell r="DB391">
            <v>0</v>
          </cell>
          <cell r="DC391">
            <v>-9.6875</v>
          </cell>
          <cell r="DE391">
            <v>0</v>
          </cell>
          <cell r="DG391">
            <v>-9.6875</v>
          </cell>
          <cell r="DH391">
            <v>-9.6875</v>
          </cell>
          <cell r="DI391">
            <v>-9.6875</v>
          </cell>
          <cell r="DJ391">
            <v>-9.6875</v>
          </cell>
          <cell r="DK391">
            <v>-38.75</v>
          </cell>
          <cell r="DM391">
            <v>-9.6681249999999999</v>
          </cell>
          <cell r="DN391">
            <v>-9.6681249999999999</v>
          </cell>
          <cell r="DO391">
            <v>-9.6681249999999999</v>
          </cell>
          <cell r="DP391">
            <v>-9.6681249999999999</v>
          </cell>
          <cell r="DQ391">
            <v>-38.672499999999999</v>
          </cell>
          <cell r="DS391">
            <v>-9.6681249999999999</v>
          </cell>
          <cell r="DT391">
            <v>-9.6681249999999999</v>
          </cell>
          <cell r="DU391">
            <v>-9.6681249999999999</v>
          </cell>
          <cell r="DV391">
            <v>-9.6681249999999999</v>
          </cell>
          <cell r="DW391">
            <v>-38.672499999999999</v>
          </cell>
          <cell r="DY391">
            <v>-9.6681249999999999</v>
          </cell>
          <cell r="DZ391">
            <v>-9.6681249999999999</v>
          </cell>
          <cell r="EA391">
            <v>-9.6681249999999999</v>
          </cell>
          <cell r="EB391">
            <v>-9.6681249999999999</v>
          </cell>
          <cell r="EC391">
            <v>-38.672499999999999</v>
          </cell>
          <cell r="EE391">
            <v>-9.6681249999999999</v>
          </cell>
          <cell r="EF391">
            <v>-9.6681249999999999</v>
          </cell>
          <cell r="EG391">
            <v>-9.6681249999999999</v>
          </cell>
          <cell r="EH391">
            <v>-9.6681249999999999</v>
          </cell>
          <cell r="EI391">
            <v>-38.672499999999999</v>
          </cell>
          <cell r="EK391">
            <v>-9.6681249999999999</v>
          </cell>
          <cell r="EL391">
            <v>-9.6681249999999999</v>
          </cell>
          <cell r="EM391">
            <v>-9.6681249999999999</v>
          </cell>
          <cell r="EN391">
            <v>-9.6681249999999999</v>
          </cell>
          <cell r="EO391">
            <v>-38.672499999999999</v>
          </cell>
          <cell r="EQ391">
            <v>-9.6681249999999999</v>
          </cell>
          <cell r="ER391">
            <v>-9.6681249999999999</v>
          </cell>
          <cell r="ES391">
            <v>-9.6681249999999999</v>
          </cell>
          <cell r="ET391">
            <v>-9.6681249999999999</v>
          </cell>
          <cell r="EU391">
            <v>-38.672499999999999</v>
          </cell>
          <cell r="EW391">
            <v>-9.6681249999999999</v>
          </cell>
          <cell r="EX391">
            <v>-9.6681249999999999</v>
          </cell>
          <cell r="EY391">
            <v>-9.6681249999999999</v>
          </cell>
          <cell r="EZ391">
            <v>-9.6681249999999999</v>
          </cell>
          <cell r="FA391">
            <v>-38.672499999999999</v>
          </cell>
        </row>
        <row r="392">
          <cell r="AW392">
            <v>0</v>
          </cell>
          <cell r="BC392">
            <v>0</v>
          </cell>
          <cell r="BI392">
            <v>0</v>
          </cell>
          <cell r="BK392">
            <v>0</v>
          </cell>
          <cell r="BL392">
            <v>0</v>
          </cell>
          <cell r="BM392">
            <v>0</v>
          </cell>
          <cell r="BN392">
            <v>0</v>
          </cell>
          <cell r="BO392">
            <v>0</v>
          </cell>
          <cell r="BQ392">
            <v>0</v>
          </cell>
          <cell r="BR392">
            <v>0</v>
          </cell>
          <cell r="BS392">
            <v>0</v>
          </cell>
          <cell r="BT392">
            <v>0</v>
          </cell>
          <cell r="BU392">
            <v>0</v>
          </cell>
          <cell r="BW392">
            <v>0</v>
          </cell>
          <cell r="BX392">
            <v>0</v>
          </cell>
          <cell r="BY392">
            <v>0</v>
          </cell>
          <cell r="BZ392">
            <v>0</v>
          </cell>
          <cell r="CA392">
            <v>0</v>
          </cell>
          <cell r="CC392">
            <v>0</v>
          </cell>
          <cell r="CD392">
            <v>0</v>
          </cell>
          <cell r="CE392">
            <v>0</v>
          </cell>
          <cell r="CF392">
            <v>0</v>
          </cell>
          <cell r="CG392">
            <v>0</v>
          </cell>
          <cell r="CI392">
            <v>0</v>
          </cell>
          <cell r="CJ392">
            <v>0</v>
          </cell>
          <cell r="CK392">
            <v>0</v>
          </cell>
          <cell r="CL392">
            <v>0</v>
          </cell>
          <cell r="CM392">
            <v>0</v>
          </cell>
          <cell r="CO392">
            <v>0</v>
          </cell>
          <cell r="CP392">
            <v>0</v>
          </cell>
          <cell r="CQ392">
            <v>0</v>
          </cell>
          <cell r="CR392">
            <v>0</v>
          </cell>
          <cell r="CS392">
            <v>0</v>
          </cell>
          <cell r="CU392">
            <v>0</v>
          </cell>
          <cell r="CV392">
            <v>0</v>
          </cell>
          <cell r="CW392">
            <v>0</v>
          </cell>
          <cell r="CX392">
            <v>0</v>
          </cell>
          <cell r="CY392">
            <v>0</v>
          </cell>
          <cell r="DA392">
            <v>0</v>
          </cell>
          <cell r="DB392">
            <v>0</v>
          </cell>
          <cell r="DC392">
            <v>0</v>
          </cell>
          <cell r="DE392">
            <v>0</v>
          </cell>
          <cell r="DG392">
            <v>0</v>
          </cell>
          <cell r="DH392">
            <v>0</v>
          </cell>
          <cell r="DI392">
            <v>0</v>
          </cell>
          <cell r="DJ392">
            <v>0</v>
          </cell>
          <cell r="DK392">
            <v>0</v>
          </cell>
          <cell r="DM392">
            <v>0</v>
          </cell>
          <cell r="DN392">
            <v>0</v>
          </cell>
          <cell r="DO392">
            <v>0</v>
          </cell>
          <cell r="DP392">
            <v>0</v>
          </cell>
          <cell r="DQ392">
            <v>0</v>
          </cell>
          <cell r="DS392">
            <v>0</v>
          </cell>
          <cell r="DT392">
            <v>0</v>
          </cell>
          <cell r="DU392">
            <v>0</v>
          </cell>
          <cell r="DV392">
            <v>0</v>
          </cell>
          <cell r="DW392">
            <v>0</v>
          </cell>
          <cell r="DY392">
            <v>-4.5703125</v>
          </cell>
          <cell r="DZ392">
            <v>-9.140625</v>
          </cell>
          <cell r="EA392">
            <v>-9.140625</v>
          </cell>
          <cell r="EB392">
            <v>-9.140625</v>
          </cell>
          <cell r="EC392">
            <v>-31.9921875</v>
          </cell>
          <cell r="EE392">
            <v>-9.140625</v>
          </cell>
          <cell r="EF392">
            <v>-9.140625</v>
          </cell>
          <cell r="EG392">
            <v>-9.140625</v>
          </cell>
          <cell r="EH392">
            <v>-9.140625</v>
          </cell>
          <cell r="EI392">
            <v>-36.5625</v>
          </cell>
          <cell r="EK392">
            <v>-9.140625</v>
          </cell>
          <cell r="EL392">
            <v>-9.140625</v>
          </cell>
          <cell r="EM392">
            <v>-9.140625</v>
          </cell>
          <cell r="EN392">
            <v>-9.140625</v>
          </cell>
          <cell r="EO392">
            <v>-36.5625</v>
          </cell>
          <cell r="EQ392">
            <v>-9.140625</v>
          </cell>
          <cell r="ER392">
            <v>-9.140625</v>
          </cell>
          <cell r="ES392">
            <v>-9.140625</v>
          </cell>
          <cell r="ET392">
            <v>-9.140625</v>
          </cell>
          <cell r="EU392">
            <v>-36.5625</v>
          </cell>
          <cell r="EW392">
            <v>-9.140625</v>
          </cell>
          <cell r="EX392">
            <v>-9.140625</v>
          </cell>
          <cell r="EY392">
            <v>-9.140625</v>
          </cell>
          <cell r="EZ392">
            <v>-9.140625</v>
          </cell>
          <cell r="FA392">
            <v>-36.5625</v>
          </cell>
        </row>
        <row r="393">
          <cell r="AW393">
            <v>0</v>
          </cell>
          <cell r="BC393">
            <v>0</v>
          </cell>
          <cell r="BI393">
            <v>0</v>
          </cell>
          <cell r="BK393">
            <v>0</v>
          </cell>
          <cell r="BL393">
            <v>0</v>
          </cell>
          <cell r="BM393">
            <v>0</v>
          </cell>
          <cell r="BN393">
            <v>0</v>
          </cell>
          <cell r="BO393">
            <v>0</v>
          </cell>
          <cell r="BQ393">
            <v>0</v>
          </cell>
          <cell r="BR393">
            <v>0</v>
          </cell>
          <cell r="BS393">
            <v>0</v>
          </cell>
          <cell r="BT393">
            <v>0</v>
          </cell>
          <cell r="BU393">
            <v>0</v>
          </cell>
          <cell r="BW393">
            <v>0</v>
          </cell>
          <cell r="BX393">
            <v>0</v>
          </cell>
          <cell r="BY393">
            <v>0</v>
          </cell>
          <cell r="BZ393">
            <v>0</v>
          </cell>
          <cell r="CA393">
            <v>0</v>
          </cell>
          <cell r="CC393">
            <v>0</v>
          </cell>
          <cell r="CD393">
            <v>0</v>
          </cell>
          <cell r="CE393">
            <v>0</v>
          </cell>
          <cell r="CF393">
            <v>0</v>
          </cell>
          <cell r="CG393">
            <v>0</v>
          </cell>
          <cell r="CI393">
            <v>0</v>
          </cell>
          <cell r="CJ393">
            <v>0</v>
          </cell>
          <cell r="CK393">
            <v>0</v>
          </cell>
          <cell r="CL393">
            <v>0</v>
          </cell>
          <cell r="CM393">
            <v>0</v>
          </cell>
          <cell r="CO393">
            <v>0</v>
          </cell>
          <cell r="CP393">
            <v>0</v>
          </cell>
          <cell r="CQ393">
            <v>0</v>
          </cell>
          <cell r="CR393">
            <v>0</v>
          </cell>
          <cell r="CS393">
            <v>0</v>
          </cell>
          <cell r="CU393">
            <v>0</v>
          </cell>
          <cell r="CV393">
            <v>0</v>
          </cell>
          <cell r="CW393">
            <v>0</v>
          </cell>
          <cell r="CX393">
            <v>0</v>
          </cell>
          <cell r="CY393">
            <v>0</v>
          </cell>
          <cell r="DA393">
            <v>0</v>
          </cell>
          <cell r="DB393">
            <v>0</v>
          </cell>
          <cell r="DC393">
            <v>0</v>
          </cell>
          <cell r="DE393">
            <v>0</v>
          </cell>
          <cell r="DG393">
            <v>0</v>
          </cell>
          <cell r="DH393">
            <v>0</v>
          </cell>
          <cell r="DI393">
            <v>0</v>
          </cell>
          <cell r="DJ393">
            <v>0</v>
          </cell>
          <cell r="DK393">
            <v>0</v>
          </cell>
          <cell r="DM393">
            <v>0</v>
          </cell>
          <cell r="DN393">
            <v>0</v>
          </cell>
          <cell r="DO393">
            <v>0</v>
          </cell>
          <cell r="DP393">
            <v>0</v>
          </cell>
          <cell r="DQ393">
            <v>0</v>
          </cell>
          <cell r="DS393">
            <v>0</v>
          </cell>
          <cell r="DT393">
            <v>0</v>
          </cell>
          <cell r="DU393">
            <v>0</v>
          </cell>
          <cell r="DV393">
            <v>0</v>
          </cell>
          <cell r="DW393">
            <v>0</v>
          </cell>
          <cell r="DY393">
            <v>0</v>
          </cell>
          <cell r="DZ393">
            <v>0</v>
          </cell>
          <cell r="EA393">
            <v>0</v>
          </cell>
          <cell r="EB393">
            <v>0</v>
          </cell>
          <cell r="EC393">
            <v>0</v>
          </cell>
          <cell r="EE393">
            <v>0</v>
          </cell>
          <cell r="EF393">
            <v>0</v>
          </cell>
          <cell r="EG393">
            <v>0</v>
          </cell>
          <cell r="EH393">
            <v>0</v>
          </cell>
          <cell r="EI393">
            <v>0</v>
          </cell>
          <cell r="EK393">
            <v>-15.625</v>
          </cell>
          <cell r="EL393">
            <v>-15.625</v>
          </cell>
          <cell r="EM393">
            <v>-15.625</v>
          </cell>
          <cell r="EN393">
            <v>-15.625</v>
          </cell>
          <cell r="EO393">
            <v>-62.5</v>
          </cell>
          <cell r="EQ393">
            <v>-15.625</v>
          </cell>
          <cell r="ER393">
            <v>-15.625</v>
          </cell>
          <cell r="ES393">
            <v>-15.625</v>
          </cell>
          <cell r="ET393">
            <v>-15.625</v>
          </cell>
          <cell r="EU393">
            <v>-62.5</v>
          </cell>
          <cell r="EW393">
            <v>-15.625</v>
          </cell>
          <cell r="EX393">
            <v>-15.625</v>
          </cell>
          <cell r="EY393">
            <v>-15.625</v>
          </cell>
          <cell r="EZ393">
            <v>-15.625</v>
          </cell>
          <cell r="FA393">
            <v>-62.5</v>
          </cell>
        </row>
        <row r="394">
          <cell r="AW394">
            <v>0</v>
          </cell>
          <cell r="BC394">
            <v>0</v>
          </cell>
          <cell r="BI394">
            <v>0</v>
          </cell>
          <cell r="BK394">
            <v>0</v>
          </cell>
          <cell r="BL394">
            <v>0</v>
          </cell>
          <cell r="BM394">
            <v>0</v>
          </cell>
          <cell r="BN394">
            <v>0</v>
          </cell>
          <cell r="BO394">
            <v>0</v>
          </cell>
          <cell r="BQ394">
            <v>0</v>
          </cell>
          <cell r="BR394">
            <v>0</v>
          </cell>
          <cell r="BS394">
            <v>0</v>
          </cell>
          <cell r="BT394">
            <v>0</v>
          </cell>
          <cell r="BU394">
            <v>0</v>
          </cell>
          <cell r="BW394">
            <v>0</v>
          </cell>
          <cell r="BX394">
            <v>0</v>
          </cell>
          <cell r="BY394">
            <v>0</v>
          </cell>
          <cell r="BZ394">
            <v>0</v>
          </cell>
          <cell r="CA394">
            <v>0</v>
          </cell>
          <cell r="CC394">
            <v>0</v>
          </cell>
          <cell r="CD394">
            <v>0</v>
          </cell>
          <cell r="CE394">
            <v>0</v>
          </cell>
          <cell r="CF394">
            <v>0</v>
          </cell>
          <cell r="CG394">
            <v>0</v>
          </cell>
          <cell r="CI394">
            <v>0</v>
          </cell>
          <cell r="CJ394">
            <v>0</v>
          </cell>
          <cell r="CK394">
            <v>0</v>
          </cell>
          <cell r="CL394">
            <v>0</v>
          </cell>
          <cell r="CM394">
            <v>0</v>
          </cell>
          <cell r="CO394">
            <v>0</v>
          </cell>
          <cell r="CP394">
            <v>0</v>
          </cell>
          <cell r="CQ394">
            <v>0</v>
          </cell>
          <cell r="CR394">
            <v>0</v>
          </cell>
          <cell r="CS394">
            <v>0</v>
          </cell>
          <cell r="CU394">
            <v>0</v>
          </cell>
          <cell r="CV394">
            <v>0</v>
          </cell>
          <cell r="CW394">
            <v>0</v>
          </cell>
          <cell r="CX394">
            <v>0</v>
          </cell>
          <cell r="CY394">
            <v>0</v>
          </cell>
          <cell r="DA394">
            <v>0</v>
          </cell>
          <cell r="DB394">
            <v>0</v>
          </cell>
          <cell r="DC394">
            <v>0</v>
          </cell>
          <cell r="DE394">
            <v>0</v>
          </cell>
          <cell r="DG394">
            <v>0</v>
          </cell>
          <cell r="DH394">
            <v>0</v>
          </cell>
          <cell r="DI394">
            <v>0</v>
          </cell>
          <cell r="DJ394">
            <v>0</v>
          </cell>
          <cell r="DK394">
            <v>0</v>
          </cell>
          <cell r="DM394">
            <v>0</v>
          </cell>
          <cell r="DN394">
            <v>0</v>
          </cell>
          <cell r="DO394">
            <v>0</v>
          </cell>
          <cell r="DP394">
            <v>0</v>
          </cell>
          <cell r="DQ394">
            <v>0</v>
          </cell>
          <cell r="DS394">
            <v>0</v>
          </cell>
          <cell r="DT394">
            <v>-7.8125</v>
          </cell>
          <cell r="DU394">
            <v>-15.625</v>
          </cell>
          <cell r="DV394">
            <v>-15.612500000000001</v>
          </cell>
          <cell r="DW394">
            <v>-39.049999999999997</v>
          </cell>
          <cell r="DY394">
            <v>-15.612500000000001</v>
          </cell>
          <cell r="DZ394">
            <v>-15.612500000000001</v>
          </cell>
          <cell r="EA394">
            <v>-15.612500000000001</v>
          </cell>
          <cell r="EB394">
            <v>-15.612500000000001</v>
          </cell>
          <cell r="EC394">
            <v>-62.45</v>
          </cell>
          <cell r="EE394">
            <v>-15.612500000000001</v>
          </cell>
          <cell r="EF394">
            <v>-15.612500000000001</v>
          </cell>
          <cell r="EG394">
            <v>-15.612500000000001</v>
          </cell>
          <cell r="EH394">
            <v>-15.612500000000001</v>
          </cell>
          <cell r="EI394">
            <v>-62.45</v>
          </cell>
          <cell r="EK394">
            <v>-15.612500000000001</v>
          </cell>
          <cell r="EL394">
            <v>-15.612500000000001</v>
          </cell>
          <cell r="EM394">
            <v>-15.612500000000001</v>
          </cell>
          <cell r="EN394">
            <v>-15.612500000000001</v>
          </cell>
          <cell r="EO394">
            <v>-62.45</v>
          </cell>
          <cell r="EQ394">
            <v>-15.612500000000001</v>
          </cell>
          <cell r="ER394">
            <v>-15.612500000000001</v>
          </cell>
          <cell r="ES394">
            <v>-15.612500000000001</v>
          </cell>
          <cell r="ET394">
            <v>-15.612500000000001</v>
          </cell>
          <cell r="EU394">
            <v>-62.45</v>
          </cell>
          <cell r="EW394">
            <v>-15.612500000000001</v>
          </cell>
          <cell r="EX394">
            <v>-15.612500000000001</v>
          </cell>
          <cell r="EY394">
            <v>-15.612500000000001</v>
          </cell>
          <cell r="EZ394">
            <v>-15.612500000000001</v>
          </cell>
          <cell r="FA394">
            <v>-62.45</v>
          </cell>
        </row>
        <row r="395">
          <cell r="AW395">
            <v>0</v>
          </cell>
          <cell r="BC395">
            <v>0</v>
          </cell>
          <cell r="BI395">
            <v>0</v>
          </cell>
          <cell r="BK395">
            <v>0</v>
          </cell>
          <cell r="BL395">
            <v>0</v>
          </cell>
          <cell r="BM395">
            <v>0</v>
          </cell>
          <cell r="BN395">
            <v>0</v>
          </cell>
          <cell r="BO395">
            <v>0</v>
          </cell>
          <cell r="BQ395">
            <v>0</v>
          </cell>
          <cell r="BR395">
            <v>0</v>
          </cell>
          <cell r="BS395">
            <v>0</v>
          </cell>
          <cell r="BT395">
            <v>0</v>
          </cell>
          <cell r="BU395">
            <v>0</v>
          </cell>
          <cell r="BW395">
            <v>0</v>
          </cell>
          <cell r="BX395">
            <v>0</v>
          </cell>
          <cell r="BY395">
            <v>0</v>
          </cell>
          <cell r="BZ395">
            <v>0</v>
          </cell>
          <cell r="CA395">
            <v>0</v>
          </cell>
          <cell r="CC395">
            <v>0</v>
          </cell>
          <cell r="CD395">
            <v>0</v>
          </cell>
          <cell r="CE395">
            <v>0</v>
          </cell>
          <cell r="CF395">
            <v>0</v>
          </cell>
          <cell r="CG395">
            <v>0</v>
          </cell>
          <cell r="CI395">
            <v>0</v>
          </cell>
          <cell r="CJ395">
            <v>0</v>
          </cell>
          <cell r="CK395">
            <v>0</v>
          </cell>
          <cell r="CL395">
            <v>0</v>
          </cell>
          <cell r="CM395">
            <v>0</v>
          </cell>
          <cell r="CO395">
            <v>0</v>
          </cell>
          <cell r="CP395">
            <v>0</v>
          </cell>
          <cell r="CQ395">
            <v>0</v>
          </cell>
          <cell r="CR395">
            <v>0</v>
          </cell>
          <cell r="CS395">
            <v>0</v>
          </cell>
          <cell r="CU395">
            <v>0</v>
          </cell>
          <cell r="CV395">
            <v>0</v>
          </cell>
          <cell r="CW395">
            <v>0</v>
          </cell>
          <cell r="CX395">
            <v>0</v>
          </cell>
          <cell r="CY395">
            <v>0</v>
          </cell>
          <cell r="DA395">
            <v>0</v>
          </cell>
          <cell r="DB395">
            <v>0</v>
          </cell>
          <cell r="DC395">
            <v>0</v>
          </cell>
          <cell r="DE395">
            <v>0</v>
          </cell>
          <cell r="DG395">
            <v>0</v>
          </cell>
          <cell r="DH395">
            <v>0</v>
          </cell>
          <cell r="DI395">
            <v>0</v>
          </cell>
          <cell r="DJ395">
            <v>0</v>
          </cell>
          <cell r="DK395">
            <v>0</v>
          </cell>
          <cell r="DM395">
            <v>0</v>
          </cell>
          <cell r="DN395">
            <v>0</v>
          </cell>
          <cell r="DO395">
            <v>0</v>
          </cell>
          <cell r="DP395">
            <v>0</v>
          </cell>
          <cell r="DQ395">
            <v>0</v>
          </cell>
          <cell r="DS395">
            <v>0</v>
          </cell>
          <cell r="DT395">
            <v>0</v>
          </cell>
          <cell r="DU395">
            <v>0</v>
          </cell>
          <cell r="DV395">
            <v>0</v>
          </cell>
          <cell r="DW395">
            <v>0</v>
          </cell>
          <cell r="DY395">
            <v>-4.53125</v>
          </cell>
          <cell r="DZ395">
            <v>-9.0625</v>
          </cell>
          <cell r="EA395">
            <v>-9.0625</v>
          </cell>
          <cell r="EB395">
            <v>-9.0625</v>
          </cell>
          <cell r="EC395">
            <v>-31.71875</v>
          </cell>
          <cell r="EE395">
            <v>-9.0625</v>
          </cell>
          <cell r="EF395">
            <v>-9.0625</v>
          </cell>
          <cell r="EG395">
            <v>-9.0625</v>
          </cell>
          <cell r="EH395">
            <v>-9.0625</v>
          </cell>
          <cell r="EI395">
            <v>-36.25</v>
          </cell>
          <cell r="EK395">
            <v>-9.0625</v>
          </cell>
          <cell r="EL395">
            <v>-9.0625</v>
          </cell>
          <cell r="EM395">
            <v>-9.0625</v>
          </cell>
          <cell r="EN395">
            <v>-9.0625</v>
          </cell>
          <cell r="EO395">
            <v>-36.25</v>
          </cell>
          <cell r="EQ395">
            <v>-9.0625</v>
          </cell>
          <cell r="ER395">
            <v>-9.0625</v>
          </cell>
          <cell r="ES395">
            <v>-9.0625</v>
          </cell>
          <cell r="ET395">
            <v>-9.0625</v>
          </cell>
          <cell r="EU395">
            <v>-36.25</v>
          </cell>
          <cell r="EW395">
            <v>-9.0625</v>
          </cell>
          <cell r="EX395">
            <v>-9.0625</v>
          </cell>
          <cell r="EY395">
            <v>-9.0625</v>
          </cell>
          <cell r="EZ395">
            <v>-9.0625</v>
          </cell>
          <cell r="FA395">
            <v>-36.25</v>
          </cell>
        </row>
        <row r="396">
          <cell r="AW396">
            <v>0</v>
          </cell>
          <cell r="BC396">
            <v>0</v>
          </cell>
          <cell r="BI396">
            <v>0</v>
          </cell>
          <cell r="BK396">
            <v>0</v>
          </cell>
          <cell r="BL396">
            <v>0</v>
          </cell>
          <cell r="BM396">
            <v>0</v>
          </cell>
          <cell r="BN396">
            <v>0</v>
          </cell>
          <cell r="BO396">
            <v>0</v>
          </cell>
          <cell r="BQ396">
            <v>0</v>
          </cell>
          <cell r="BR396">
            <v>0</v>
          </cell>
          <cell r="BS396">
            <v>0</v>
          </cell>
          <cell r="BT396">
            <v>0</v>
          </cell>
          <cell r="BU396">
            <v>0</v>
          </cell>
          <cell r="BW396">
            <v>0</v>
          </cell>
          <cell r="BX396">
            <v>0</v>
          </cell>
          <cell r="BY396">
            <v>0</v>
          </cell>
          <cell r="BZ396">
            <v>0</v>
          </cell>
          <cell r="CA396">
            <v>0</v>
          </cell>
          <cell r="CC396">
            <v>0</v>
          </cell>
          <cell r="CD396">
            <v>0</v>
          </cell>
          <cell r="CE396">
            <v>0</v>
          </cell>
          <cell r="CF396">
            <v>0</v>
          </cell>
          <cell r="CG396">
            <v>0</v>
          </cell>
          <cell r="CI396">
            <v>0</v>
          </cell>
          <cell r="CJ396">
            <v>0</v>
          </cell>
          <cell r="CK396">
            <v>0</v>
          </cell>
          <cell r="CL396">
            <v>0</v>
          </cell>
          <cell r="CM396">
            <v>0</v>
          </cell>
          <cell r="CO396">
            <v>0</v>
          </cell>
          <cell r="CP396">
            <v>0</v>
          </cell>
          <cell r="CQ396">
            <v>0</v>
          </cell>
          <cell r="CR396">
            <v>0</v>
          </cell>
          <cell r="CS396">
            <v>0</v>
          </cell>
          <cell r="CU396">
            <v>0</v>
          </cell>
          <cell r="CV396">
            <v>0</v>
          </cell>
          <cell r="CW396">
            <v>0</v>
          </cell>
          <cell r="CX396">
            <v>0</v>
          </cell>
          <cell r="CY396">
            <v>0</v>
          </cell>
          <cell r="DA396">
            <v>0</v>
          </cell>
          <cell r="DB396">
            <v>0</v>
          </cell>
          <cell r="DC396">
            <v>0</v>
          </cell>
          <cell r="DE396">
            <v>0</v>
          </cell>
          <cell r="DG396">
            <v>0</v>
          </cell>
          <cell r="DH396">
            <v>0</v>
          </cell>
          <cell r="DI396">
            <v>0</v>
          </cell>
          <cell r="DJ396">
            <v>0</v>
          </cell>
          <cell r="DK396">
            <v>0</v>
          </cell>
          <cell r="DM396">
            <v>0</v>
          </cell>
          <cell r="DN396">
            <v>0</v>
          </cell>
          <cell r="DO396">
            <v>0</v>
          </cell>
          <cell r="DP396">
            <v>0</v>
          </cell>
          <cell r="DQ396">
            <v>0</v>
          </cell>
          <cell r="DS396">
            <v>0</v>
          </cell>
          <cell r="DT396">
            <v>0</v>
          </cell>
          <cell r="DU396">
            <v>0</v>
          </cell>
          <cell r="DV396">
            <v>0</v>
          </cell>
          <cell r="DW396">
            <v>0</v>
          </cell>
          <cell r="DY396">
            <v>0</v>
          </cell>
          <cell r="DZ396">
            <v>0</v>
          </cell>
          <cell r="EA396">
            <v>0</v>
          </cell>
          <cell r="EB396">
            <v>0</v>
          </cell>
          <cell r="EC396">
            <v>0</v>
          </cell>
          <cell r="EE396">
            <v>-17</v>
          </cell>
          <cell r="EF396">
            <v>-17</v>
          </cell>
          <cell r="EG396">
            <v>-17</v>
          </cell>
          <cell r="EH396">
            <v>-17</v>
          </cell>
          <cell r="EI396">
            <v>-68</v>
          </cell>
          <cell r="EK396">
            <v>-17</v>
          </cell>
          <cell r="EL396">
            <v>-17</v>
          </cell>
          <cell r="EM396">
            <v>-17</v>
          </cell>
          <cell r="EN396">
            <v>-17</v>
          </cell>
          <cell r="EO396">
            <v>-68</v>
          </cell>
          <cell r="EQ396">
            <v>-17</v>
          </cell>
          <cell r="ER396">
            <v>-17</v>
          </cell>
          <cell r="ES396">
            <v>-17</v>
          </cell>
          <cell r="ET396">
            <v>-17</v>
          </cell>
          <cell r="EU396">
            <v>-68</v>
          </cell>
          <cell r="EW396">
            <v>-17</v>
          </cell>
          <cell r="EX396">
            <v>-17</v>
          </cell>
          <cell r="EY396">
            <v>-17</v>
          </cell>
          <cell r="EZ396">
            <v>-17</v>
          </cell>
          <cell r="FA396">
            <v>-68</v>
          </cell>
        </row>
        <row r="397">
          <cell r="AW397">
            <v>0</v>
          </cell>
          <cell r="BC397">
            <v>0</v>
          </cell>
          <cell r="BI397">
            <v>0</v>
          </cell>
          <cell r="BK397">
            <v>0</v>
          </cell>
          <cell r="BL397">
            <v>0</v>
          </cell>
          <cell r="BM397">
            <v>0</v>
          </cell>
          <cell r="BN397">
            <v>0</v>
          </cell>
          <cell r="BO397">
            <v>0</v>
          </cell>
          <cell r="BQ397">
            <v>0</v>
          </cell>
          <cell r="BR397">
            <v>0</v>
          </cell>
          <cell r="BS397">
            <v>0</v>
          </cell>
          <cell r="BT397">
            <v>0</v>
          </cell>
          <cell r="BU397">
            <v>0</v>
          </cell>
          <cell r="BW397">
            <v>0</v>
          </cell>
          <cell r="BX397">
            <v>0</v>
          </cell>
          <cell r="BY397">
            <v>0</v>
          </cell>
          <cell r="BZ397">
            <v>0</v>
          </cell>
          <cell r="CA397">
            <v>0</v>
          </cell>
          <cell r="CC397">
            <v>0</v>
          </cell>
          <cell r="CD397">
            <v>0</v>
          </cell>
          <cell r="CE397">
            <v>0</v>
          </cell>
          <cell r="CF397">
            <v>0</v>
          </cell>
          <cell r="CG397">
            <v>0</v>
          </cell>
          <cell r="CI397">
            <v>0</v>
          </cell>
          <cell r="CJ397">
            <v>0</v>
          </cell>
          <cell r="CK397">
            <v>0</v>
          </cell>
          <cell r="CL397">
            <v>0</v>
          </cell>
          <cell r="CM397">
            <v>0</v>
          </cell>
          <cell r="CO397">
            <v>0</v>
          </cell>
          <cell r="CP397">
            <v>0</v>
          </cell>
          <cell r="CQ397">
            <v>0</v>
          </cell>
          <cell r="CR397">
            <v>0</v>
          </cell>
          <cell r="CS397">
            <v>0</v>
          </cell>
          <cell r="CU397">
            <v>0</v>
          </cell>
          <cell r="CV397">
            <v>0</v>
          </cell>
          <cell r="CW397">
            <v>0</v>
          </cell>
          <cell r="CX397">
            <v>0</v>
          </cell>
          <cell r="CY397">
            <v>0</v>
          </cell>
          <cell r="DA397">
            <v>0</v>
          </cell>
          <cell r="DB397">
            <v>0</v>
          </cell>
          <cell r="DC397">
            <v>0</v>
          </cell>
          <cell r="DE397">
            <v>0</v>
          </cell>
          <cell r="DG397">
            <v>0</v>
          </cell>
          <cell r="DH397">
            <v>0</v>
          </cell>
          <cell r="DI397">
            <v>0</v>
          </cell>
          <cell r="DJ397">
            <v>0</v>
          </cell>
          <cell r="DK397">
            <v>0</v>
          </cell>
          <cell r="DM397">
            <v>0</v>
          </cell>
          <cell r="DN397">
            <v>0</v>
          </cell>
          <cell r="DO397">
            <v>0</v>
          </cell>
          <cell r="DP397">
            <v>0</v>
          </cell>
          <cell r="DQ397">
            <v>0</v>
          </cell>
          <cell r="DS397">
            <v>0</v>
          </cell>
          <cell r="DT397">
            <v>0</v>
          </cell>
          <cell r="DU397">
            <v>0</v>
          </cell>
          <cell r="DV397">
            <v>0</v>
          </cell>
          <cell r="DW397">
            <v>0</v>
          </cell>
          <cell r="DY397">
            <v>0</v>
          </cell>
          <cell r="DZ397">
            <v>0</v>
          </cell>
          <cell r="EA397">
            <v>0</v>
          </cell>
          <cell r="EB397">
            <v>0</v>
          </cell>
          <cell r="EC397">
            <v>0</v>
          </cell>
          <cell r="EE397">
            <v>0</v>
          </cell>
          <cell r="EF397">
            <v>0</v>
          </cell>
          <cell r="EG397">
            <v>0</v>
          </cell>
          <cell r="EH397">
            <v>0</v>
          </cell>
          <cell r="EI397">
            <v>0</v>
          </cell>
          <cell r="EK397">
            <v>-18.4375</v>
          </cell>
          <cell r="EL397">
            <v>-18.4375</v>
          </cell>
          <cell r="EM397">
            <v>-18.4375</v>
          </cell>
          <cell r="EN397">
            <v>-18.4375</v>
          </cell>
          <cell r="EO397">
            <v>-73.75</v>
          </cell>
          <cell r="EQ397">
            <v>-18.4375</v>
          </cell>
          <cell r="ER397">
            <v>-18.4375</v>
          </cell>
          <cell r="ES397">
            <v>-18.4375</v>
          </cell>
          <cell r="ET397">
            <v>-18.4375</v>
          </cell>
          <cell r="EU397">
            <v>-73.75</v>
          </cell>
          <cell r="EW397">
            <v>-18.4375</v>
          </cell>
          <cell r="EX397">
            <v>-18.4375</v>
          </cell>
          <cell r="EY397">
            <v>-18.4375</v>
          </cell>
          <cell r="EZ397">
            <v>-18.4375</v>
          </cell>
          <cell r="FA397">
            <v>-73.75</v>
          </cell>
        </row>
        <row r="398">
          <cell r="AW398">
            <v>0</v>
          </cell>
          <cell r="BC398">
            <v>0</v>
          </cell>
          <cell r="BI398">
            <v>0</v>
          </cell>
          <cell r="BK398">
            <v>0</v>
          </cell>
          <cell r="BL398">
            <v>0</v>
          </cell>
          <cell r="BM398">
            <v>0</v>
          </cell>
          <cell r="BN398">
            <v>0</v>
          </cell>
          <cell r="BO398">
            <v>0</v>
          </cell>
          <cell r="BQ398">
            <v>0</v>
          </cell>
          <cell r="BR398">
            <v>0</v>
          </cell>
          <cell r="BS398">
            <v>0</v>
          </cell>
          <cell r="BT398">
            <v>0</v>
          </cell>
          <cell r="BU398">
            <v>0</v>
          </cell>
          <cell r="BW398">
            <v>0</v>
          </cell>
          <cell r="BX398">
            <v>0</v>
          </cell>
          <cell r="BY398">
            <v>0</v>
          </cell>
          <cell r="BZ398">
            <v>0</v>
          </cell>
          <cell r="CA398">
            <v>0</v>
          </cell>
          <cell r="CC398">
            <v>0</v>
          </cell>
          <cell r="CD398">
            <v>0</v>
          </cell>
          <cell r="CE398">
            <v>0</v>
          </cell>
          <cell r="CF398">
            <v>0</v>
          </cell>
          <cell r="CG398">
            <v>0</v>
          </cell>
          <cell r="CI398">
            <v>0</v>
          </cell>
          <cell r="CJ398">
            <v>0</v>
          </cell>
          <cell r="CK398">
            <v>0</v>
          </cell>
          <cell r="CL398">
            <v>0</v>
          </cell>
          <cell r="CM398">
            <v>0</v>
          </cell>
          <cell r="CO398">
            <v>0</v>
          </cell>
          <cell r="CP398">
            <v>0</v>
          </cell>
          <cell r="CQ398">
            <v>0</v>
          </cell>
          <cell r="CR398">
            <v>0</v>
          </cell>
          <cell r="CS398">
            <v>0</v>
          </cell>
          <cell r="CU398">
            <v>0</v>
          </cell>
          <cell r="CV398">
            <v>0</v>
          </cell>
          <cell r="CW398">
            <v>0</v>
          </cell>
          <cell r="CX398">
            <v>0</v>
          </cell>
          <cell r="CY398">
            <v>0</v>
          </cell>
          <cell r="DA398">
            <v>0</v>
          </cell>
          <cell r="DB398">
            <v>0</v>
          </cell>
          <cell r="DC398">
            <v>0</v>
          </cell>
          <cell r="DE398">
            <v>0</v>
          </cell>
          <cell r="DG398">
            <v>0</v>
          </cell>
          <cell r="DH398">
            <v>0</v>
          </cell>
          <cell r="DI398">
            <v>0</v>
          </cell>
          <cell r="DJ398">
            <v>0</v>
          </cell>
          <cell r="DK398">
            <v>0</v>
          </cell>
          <cell r="DM398">
            <v>0</v>
          </cell>
          <cell r="DN398">
            <v>0</v>
          </cell>
          <cell r="DO398">
            <v>0</v>
          </cell>
          <cell r="DP398">
            <v>0</v>
          </cell>
          <cell r="DQ398">
            <v>0</v>
          </cell>
          <cell r="DS398">
            <v>0</v>
          </cell>
          <cell r="DT398">
            <v>0</v>
          </cell>
          <cell r="DU398">
            <v>0</v>
          </cell>
          <cell r="DV398">
            <v>0</v>
          </cell>
          <cell r="DW398">
            <v>0</v>
          </cell>
          <cell r="DY398">
            <v>-3.80859375</v>
          </cell>
          <cell r="DZ398">
            <v>-7.6171875</v>
          </cell>
          <cell r="EA398">
            <v>-7.6171875</v>
          </cell>
          <cell r="EB398">
            <v>-7.6171875</v>
          </cell>
          <cell r="EC398">
            <v>-26.66015625</v>
          </cell>
          <cell r="EE398">
            <v>-7.6171875</v>
          </cell>
          <cell r="EF398">
            <v>-7.6171875</v>
          </cell>
          <cell r="EG398">
            <v>-7.6171875</v>
          </cell>
          <cell r="EH398">
            <v>-7.6171875</v>
          </cell>
          <cell r="EI398">
            <v>-30.46875</v>
          </cell>
          <cell r="EK398">
            <v>-7.6171875</v>
          </cell>
          <cell r="EL398">
            <v>-7.6171875</v>
          </cell>
          <cell r="EM398">
            <v>-7.6171875</v>
          </cell>
          <cell r="EN398">
            <v>-7.6171875</v>
          </cell>
          <cell r="EO398">
            <v>-30.46875</v>
          </cell>
          <cell r="EQ398">
            <v>-7.6171875</v>
          </cell>
          <cell r="ER398">
            <v>-7.6171875</v>
          </cell>
          <cell r="ES398">
            <v>-7.6171875</v>
          </cell>
          <cell r="ET398">
            <v>-7.6171875</v>
          </cell>
          <cell r="EU398">
            <v>-30.46875</v>
          </cell>
          <cell r="EW398">
            <v>-7.6171875</v>
          </cell>
          <cell r="EX398">
            <v>-7.6171875</v>
          </cell>
          <cell r="EY398">
            <v>-7.6171875</v>
          </cell>
          <cell r="EZ398">
            <v>-7.6171875</v>
          </cell>
          <cell r="FA398">
            <v>-30.46875</v>
          </cell>
        </row>
        <row r="399">
          <cell r="AW399">
            <v>0</v>
          </cell>
          <cell r="BC399">
            <v>0</v>
          </cell>
          <cell r="BI399">
            <v>0</v>
          </cell>
          <cell r="BK399">
            <v>0</v>
          </cell>
          <cell r="BL399">
            <v>0</v>
          </cell>
          <cell r="BM399">
            <v>0</v>
          </cell>
          <cell r="BN399">
            <v>0</v>
          </cell>
          <cell r="BO399">
            <v>0</v>
          </cell>
          <cell r="BQ399">
            <v>0</v>
          </cell>
          <cell r="BR399">
            <v>0</v>
          </cell>
          <cell r="BS399">
            <v>0</v>
          </cell>
          <cell r="BT399">
            <v>0</v>
          </cell>
          <cell r="BU399">
            <v>0</v>
          </cell>
          <cell r="BW399">
            <v>0</v>
          </cell>
          <cell r="BX399">
            <v>0</v>
          </cell>
          <cell r="BY399">
            <v>0</v>
          </cell>
          <cell r="BZ399">
            <v>0</v>
          </cell>
          <cell r="CA399">
            <v>0</v>
          </cell>
          <cell r="CC399">
            <v>0</v>
          </cell>
          <cell r="CD399">
            <v>0</v>
          </cell>
          <cell r="CE399">
            <v>0</v>
          </cell>
          <cell r="CF399">
            <v>0</v>
          </cell>
          <cell r="CG399">
            <v>0</v>
          </cell>
          <cell r="CI399">
            <v>0</v>
          </cell>
          <cell r="CJ399">
            <v>0</v>
          </cell>
          <cell r="CK399">
            <v>0</v>
          </cell>
          <cell r="CL399">
            <v>0</v>
          </cell>
          <cell r="CM399">
            <v>0</v>
          </cell>
          <cell r="CO399">
            <v>0</v>
          </cell>
          <cell r="CP399">
            <v>0</v>
          </cell>
          <cell r="CQ399">
            <v>0</v>
          </cell>
          <cell r="CR399">
            <v>0</v>
          </cell>
          <cell r="CS399">
            <v>0</v>
          </cell>
          <cell r="CU399">
            <v>0</v>
          </cell>
          <cell r="CV399">
            <v>0</v>
          </cell>
          <cell r="CW399">
            <v>0</v>
          </cell>
          <cell r="CX399">
            <v>0</v>
          </cell>
          <cell r="CY399">
            <v>0</v>
          </cell>
          <cell r="DA399">
            <v>0</v>
          </cell>
          <cell r="DB399">
            <v>0</v>
          </cell>
          <cell r="DC399">
            <v>0</v>
          </cell>
          <cell r="DE399">
            <v>0</v>
          </cell>
          <cell r="DG399">
            <v>0</v>
          </cell>
          <cell r="DH399">
            <v>0</v>
          </cell>
          <cell r="DI399">
            <v>0</v>
          </cell>
          <cell r="DJ399">
            <v>0</v>
          </cell>
          <cell r="DK399">
            <v>0</v>
          </cell>
          <cell r="DM399">
            <v>0</v>
          </cell>
          <cell r="DN399">
            <v>0</v>
          </cell>
          <cell r="DO399">
            <v>0</v>
          </cell>
          <cell r="DP399">
            <v>0</v>
          </cell>
          <cell r="DQ399">
            <v>0</v>
          </cell>
          <cell r="DS399">
            <v>0</v>
          </cell>
          <cell r="DT399">
            <v>0</v>
          </cell>
          <cell r="DU399">
            <v>0</v>
          </cell>
          <cell r="DV399">
            <v>0</v>
          </cell>
          <cell r="DW399">
            <v>0</v>
          </cell>
          <cell r="DY399">
            <v>0</v>
          </cell>
          <cell r="DZ399">
            <v>0</v>
          </cell>
          <cell r="EA399">
            <v>0</v>
          </cell>
          <cell r="EB399">
            <v>0</v>
          </cell>
          <cell r="EC399">
            <v>0</v>
          </cell>
          <cell r="EE399">
            <v>0</v>
          </cell>
          <cell r="EF399">
            <v>0</v>
          </cell>
          <cell r="EG399">
            <v>0</v>
          </cell>
          <cell r="EH399">
            <v>0</v>
          </cell>
          <cell r="EI399">
            <v>0</v>
          </cell>
          <cell r="EK399">
            <v>-4.0625</v>
          </cell>
          <cell r="EL399">
            <v>-4.0625</v>
          </cell>
          <cell r="EM399">
            <v>-4.0625</v>
          </cell>
          <cell r="EN399">
            <v>-4.0625</v>
          </cell>
          <cell r="EO399">
            <v>-16.25</v>
          </cell>
          <cell r="EQ399">
            <v>-4.0625</v>
          </cell>
          <cell r="ER399">
            <v>-4.0625</v>
          </cell>
          <cell r="ES399">
            <v>-4.0625</v>
          </cell>
          <cell r="ET399">
            <v>-4.0625</v>
          </cell>
          <cell r="EU399">
            <v>-16.25</v>
          </cell>
          <cell r="EW399">
            <v>-4.0625</v>
          </cell>
          <cell r="EX399">
            <v>-4.0625</v>
          </cell>
          <cell r="EY399">
            <v>-4.0625</v>
          </cell>
          <cell r="EZ399">
            <v>-4.0625</v>
          </cell>
          <cell r="FA399">
            <v>-16.25</v>
          </cell>
        </row>
        <row r="400">
          <cell r="AW400">
            <v>0</v>
          </cell>
          <cell r="BC400">
            <v>0</v>
          </cell>
          <cell r="BI400">
            <v>0</v>
          </cell>
          <cell r="BK400">
            <v>0</v>
          </cell>
          <cell r="BL400">
            <v>0</v>
          </cell>
          <cell r="BM400">
            <v>0</v>
          </cell>
          <cell r="BN400">
            <v>0</v>
          </cell>
          <cell r="BO400">
            <v>0</v>
          </cell>
          <cell r="BQ400">
            <v>0</v>
          </cell>
          <cell r="BR400">
            <v>0</v>
          </cell>
          <cell r="BS400">
            <v>0</v>
          </cell>
          <cell r="BT400">
            <v>0</v>
          </cell>
          <cell r="BU400">
            <v>0</v>
          </cell>
          <cell r="BW400">
            <v>0</v>
          </cell>
          <cell r="BX400">
            <v>0</v>
          </cell>
          <cell r="BY400">
            <v>0</v>
          </cell>
          <cell r="BZ400">
            <v>0</v>
          </cell>
          <cell r="CA400">
            <v>0</v>
          </cell>
          <cell r="CC400">
            <v>0</v>
          </cell>
          <cell r="CD400">
            <v>0</v>
          </cell>
          <cell r="CE400">
            <v>0</v>
          </cell>
          <cell r="CF400">
            <v>0</v>
          </cell>
          <cell r="CG400">
            <v>0</v>
          </cell>
          <cell r="CI400">
            <v>0</v>
          </cell>
          <cell r="CJ400">
            <v>0</v>
          </cell>
          <cell r="CK400">
            <v>0</v>
          </cell>
          <cell r="CL400">
            <v>0</v>
          </cell>
          <cell r="CM400">
            <v>0</v>
          </cell>
          <cell r="CO400">
            <v>0</v>
          </cell>
          <cell r="CP400">
            <v>0</v>
          </cell>
          <cell r="CQ400">
            <v>0</v>
          </cell>
          <cell r="CR400">
            <v>0</v>
          </cell>
          <cell r="CS400">
            <v>0</v>
          </cell>
          <cell r="CU400">
            <v>0</v>
          </cell>
          <cell r="CV400">
            <v>0</v>
          </cell>
          <cell r="CW400">
            <v>0</v>
          </cell>
          <cell r="CX400">
            <v>0</v>
          </cell>
          <cell r="CY400">
            <v>0</v>
          </cell>
          <cell r="DA400">
            <v>0</v>
          </cell>
          <cell r="DB400">
            <v>0</v>
          </cell>
          <cell r="DC400">
            <v>0</v>
          </cell>
          <cell r="DE400">
            <v>0</v>
          </cell>
          <cell r="DG400">
            <v>0</v>
          </cell>
          <cell r="DH400">
            <v>0</v>
          </cell>
          <cell r="DI400">
            <v>0</v>
          </cell>
          <cell r="DJ400">
            <v>0</v>
          </cell>
          <cell r="DK400">
            <v>0</v>
          </cell>
          <cell r="DM400">
            <v>0</v>
          </cell>
          <cell r="DN400">
            <v>0</v>
          </cell>
          <cell r="DO400">
            <v>0</v>
          </cell>
          <cell r="DP400">
            <v>0</v>
          </cell>
          <cell r="DQ400">
            <v>0</v>
          </cell>
          <cell r="DS400">
            <v>0</v>
          </cell>
          <cell r="DT400">
            <v>0</v>
          </cell>
          <cell r="DU400">
            <v>0</v>
          </cell>
          <cell r="DV400">
            <v>0</v>
          </cell>
          <cell r="DW400">
            <v>0</v>
          </cell>
          <cell r="DY400">
            <v>0</v>
          </cell>
          <cell r="DZ400">
            <v>0</v>
          </cell>
          <cell r="EA400">
            <v>0</v>
          </cell>
          <cell r="EB400">
            <v>0</v>
          </cell>
          <cell r="EC400">
            <v>0</v>
          </cell>
          <cell r="EE400">
            <v>0</v>
          </cell>
          <cell r="EF400">
            <v>0</v>
          </cell>
          <cell r="EG400">
            <v>0</v>
          </cell>
          <cell r="EH400">
            <v>0</v>
          </cell>
          <cell r="EI400">
            <v>0</v>
          </cell>
          <cell r="EK400">
            <v>-12.1875</v>
          </cell>
          <cell r="EL400">
            <v>-12.1875</v>
          </cell>
          <cell r="EM400">
            <v>-12.1875</v>
          </cell>
          <cell r="EN400">
            <v>-12.1875</v>
          </cell>
          <cell r="EO400">
            <v>-48.75</v>
          </cell>
          <cell r="EQ400">
            <v>-12.1875</v>
          </cell>
          <cell r="ER400">
            <v>-12.1875</v>
          </cell>
          <cell r="ES400">
            <v>-12.1875</v>
          </cell>
          <cell r="ET400">
            <v>-12.1875</v>
          </cell>
          <cell r="EU400">
            <v>-48.75</v>
          </cell>
          <cell r="EW400">
            <v>-12.1875</v>
          </cell>
          <cell r="EX400">
            <v>-12.1875</v>
          </cell>
          <cell r="EY400">
            <v>-12.1875</v>
          </cell>
          <cell r="EZ400">
            <v>-12.1875</v>
          </cell>
          <cell r="FA400">
            <v>-48.75</v>
          </cell>
        </row>
        <row r="401">
          <cell r="AW401">
            <v>0</v>
          </cell>
          <cell r="BC401">
            <v>0</v>
          </cell>
          <cell r="BI401">
            <v>0</v>
          </cell>
          <cell r="BK401">
            <v>0</v>
          </cell>
          <cell r="BL401">
            <v>0</v>
          </cell>
          <cell r="BM401">
            <v>0</v>
          </cell>
          <cell r="BN401">
            <v>0</v>
          </cell>
          <cell r="BO401">
            <v>0</v>
          </cell>
          <cell r="BQ401">
            <v>0</v>
          </cell>
          <cell r="BR401">
            <v>0</v>
          </cell>
          <cell r="BS401">
            <v>0</v>
          </cell>
          <cell r="BT401">
            <v>0</v>
          </cell>
          <cell r="BU401">
            <v>0</v>
          </cell>
          <cell r="BW401">
            <v>0</v>
          </cell>
          <cell r="BX401">
            <v>0</v>
          </cell>
          <cell r="BY401">
            <v>0</v>
          </cell>
          <cell r="BZ401">
            <v>0</v>
          </cell>
          <cell r="CA401">
            <v>0</v>
          </cell>
          <cell r="CC401">
            <v>0</v>
          </cell>
          <cell r="CD401">
            <v>0</v>
          </cell>
          <cell r="CE401">
            <v>0</v>
          </cell>
          <cell r="CF401">
            <v>0</v>
          </cell>
          <cell r="CG401">
            <v>0</v>
          </cell>
          <cell r="CI401">
            <v>0</v>
          </cell>
          <cell r="CJ401">
            <v>0</v>
          </cell>
          <cell r="CK401">
            <v>0</v>
          </cell>
          <cell r="CL401">
            <v>0</v>
          </cell>
          <cell r="CM401">
            <v>0</v>
          </cell>
          <cell r="CO401">
            <v>0</v>
          </cell>
          <cell r="CP401">
            <v>0</v>
          </cell>
          <cell r="CQ401">
            <v>0</v>
          </cell>
          <cell r="CR401">
            <v>-10.14</v>
          </cell>
          <cell r="CS401">
            <v>0</v>
          </cell>
          <cell r="CU401">
            <v>-20.28</v>
          </cell>
          <cell r="CV401">
            <v>-20.28</v>
          </cell>
          <cell r="CW401">
            <v>-20.28</v>
          </cell>
          <cell r="CX401">
            <v>-20.28</v>
          </cell>
          <cell r="CY401">
            <v>0</v>
          </cell>
          <cell r="DA401">
            <v>-20.28</v>
          </cell>
          <cell r="DB401">
            <v>-20.28</v>
          </cell>
          <cell r="DC401">
            <v>-20.28</v>
          </cell>
          <cell r="DE401">
            <v>0</v>
          </cell>
          <cell r="DG401">
            <v>-20.28</v>
          </cell>
          <cell r="DH401">
            <v>-20.28</v>
          </cell>
          <cell r="DI401">
            <v>-20.28</v>
          </cell>
          <cell r="DJ401">
            <v>-20.28</v>
          </cell>
          <cell r="DK401">
            <v>-81.12</v>
          </cell>
          <cell r="DM401">
            <v>-20.28</v>
          </cell>
          <cell r="DN401">
            <v>-20.247500000000002</v>
          </cell>
          <cell r="DO401">
            <v>-20.247500000000002</v>
          </cell>
          <cell r="DP401">
            <v>-20.247500000000002</v>
          </cell>
          <cell r="DQ401">
            <v>-81.022500000000008</v>
          </cell>
          <cell r="DS401">
            <v>-20.247500000000002</v>
          </cell>
          <cell r="DT401">
            <v>-20.247500000000002</v>
          </cell>
          <cell r="DU401">
            <v>-20.247500000000002</v>
          </cell>
          <cell r="DV401">
            <v>-20.28</v>
          </cell>
          <cell r="DW401">
            <v>-81.022500000000008</v>
          </cell>
          <cell r="DY401">
            <v>-20.28</v>
          </cell>
          <cell r="DZ401">
            <v>-20.28</v>
          </cell>
          <cell r="EA401">
            <v>-20.28</v>
          </cell>
          <cell r="EB401">
            <v>-20.28</v>
          </cell>
          <cell r="EC401">
            <v>-81.12</v>
          </cell>
          <cell r="EE401">
            <v>-20.28</v>
          </cell>
          <cell r="EF401">
            <v>-20.28</v>
          </cell>
          <cell r="EG401">
            <v>-20.28</v>
          </cell>
          <cell r="EH401">
            <v>-20.28</v>
          </cell>
          <cell r="EI401">
            <v>-81.12</v>
          </cell>
          <cell r="EK401">
            <v>-20.28</v>
          </cell>
          <cell r="EL401">
            <v>-20.28</v>
          </cell>
          <cell r="EM401">
            <v>-20.28</v>
          </cell>
          <cell r="EN401">
            <v>-20.28</v>
          </cell>
          <cell r="EO401">
            <v>-81.12</v>
          </cell>
          <cell r="EQ401">
            <v>-20.28</v>
          </cell>
          <cell r="ER401">
            <v>-20.28</v>
          </cell>
          <cell r="ES401">
            <v>-20.28</v>
          </cell>
          <cell r="ET401">
            <v>-20.28</v>
          </cell>
          <cell r="EU401">
            <v>-81.12</v>
          </cell>
          <cell r="EW401">
            <v>-20.28</v>
          </cell>
          <cell r="EX401">
            <v>-20.28</v>
          </cell>
          <cell r="EY401">
            <v>-20.28</v>
          </cell>
          <cell r="EZ401">
            <v>-20.28</v>
          </cell>
          <cell r="FA401">
            <v>-81.12</v>
          </cell>
        </row>
        <row r="402">
          <cell r="AW402">
            <v>0</v>
          </cell>
          <cell r="BC402">
            <v>0</v>
          </cell>
          <cell r="BI402">
            <v>0</v>
          </cell>
          <cell r="BK402">
            <v>0</v>
          </cell>
          <cell r="BL402">
            <v>0</v>
          </cell>
          <cell r="BM402">
            <v>0</v>
          </cell>
          <cell r="BN402">
            <v>0</v>
          </cell>
          <cell r="BO402">
            <v>0</v>
          </cell>
          <cell r="BQ402">
            <v>0</v>
          </cell>
          <cell r="BR402">
            <v>0</v>
          </cell>
          <cell r="BS402">
            <v>0</v>
          </cell>
          <cell r="BT402">
            <v>0</v>
          </cell>
          <cell r="BU402">
            <v>0</v>
          </cell>
          <cell r="BW402">
            <v>0</v>
          </cell>
          <cell r="BX402">
            <v>0</v>
          </cell>
          <cell r="BY402">
            <v>0</v>
          </cell>
          <cell r="BZ402">
            <v>0</v>
          </cell>
          <cell r="CA402">
            <v>0</v>
          </cell>
          <cell r="CC402">
            <v>0</v>
          </cell>
          <cell r="CD402">
            <v>0</v>
          </cell>
          <cell r="CE402">
            <v>0</v>
          </cell>
          <cell r="CF402">
            <v>0</v>
          </cell>
          <cell r="CG402">
            <v>0</v>
          </cell>
          <cell r="CI402">
            <v>0</v>
          </cell>
          <cell r="CJ402">
            <v>0</v>
          </cell>
          <cell r="CK402">
            <v>0</v>
          </cell>
          <cell r="CL402">
            <v>0</v>
          </cell>
          <cell r="CM402">
            <v>0</v>
          </cell>
          <cell r="CO402">
            <v>0</v>
          </cell>
          <cell r="CP402">
            <v>0</v>
          </cell>
          <cell r="CQ402">
            <v>0</v>
          </cell>
          <cell r="CR402">
            <v>0</v>
          </cell>
          <cell r="CS402">
            <v>0</v>
          </cell>
          <cell r="CU402">
            <v>0</v>
          </cell>
          <cell r="CV402">
            <v>0</v>
          </cell>
          <cell r="CW402">
            <v>0</v>
          </cell>
          <cell r="CX402">
            <v>0</v>
          </cell>
          <cell r="CY402">
            <v>0</v>
          </cell>
          <cell r="DA402">
            <v>-19.140625</v>
          </cell>
          <cell r="DB402">
            <v>-19.140625</v>
          </cell>
          <cell r="DC402">
            <v>-19.140625</v>
          </cell>
          <cell r="DE402">
            <v>0</v>
          </cell>
          <cell r="DG402">
            <v>-19.140625</v>
          </cell>
          <cell r="DH402">
            <v>-19.140625</v>
          </cell>
          <cell r="DI402">
            <v>-19.140625</v>
          </cell>
          <cell r="DJ402">
            <v>-19.140625</v>
          </cell>
          <cell r="DK402">
            <v>-76.5625</v>
          </cell>
          <cell r="DM402">
            <v>-19.033437499999998</v>
          </cell>
          <cell r="DN402">
            <v>-18.987500000000001</v>
          </cell>
          <cell r="DO402">
            <v>-18.987500000000001</v>
          </cell>
          <cell r="DP402">
            <v>-19.018125000000001</v>
          </cell>
          <cell r="DQ402">
            <v>-76.026562499999997</v>
          </cell>
          <cell r="DS402">
            <v>-19.018125000000001</v>
          </cell>
          <cell r="DT402">
            <v>-19.018125000000001</v>
          </cell>
          <cell r="DU402">
            <v>-19.018125000000001</v>
          </cell>
          <cell r="DV402">
            <v>-19.033437499999998</v>
          </cell>
          <cell r="DW402">
            <v>-76.087812500000013</v>
          </cell>
          <cell r="DY402">
            <v>-19.033437499999998</v>
          </cell>
          <cell r="DZ402">
            <v>-19.033437499999998</v>
          </cell>
          <cell r="EA402">
            <v>-19.033437499999998</v>
          </cell>
          <cell r="EB402">
            <v>-19.033437499999998</v>
          </cell>
          <cell r="EC402">
            <v>-76.133749999999992</v>
          </cell>
          <cell r="EE402">
            <v>-19.033437499999998</v>
          </cell>
          <cell r="EF402">
            <v>-19.033437499999998</v>
          </cell>
          <cell r="EG402">
            <v>-19.033437499999998</v>
          </cell>
          <cell r="EH402">
            <v>-19.033437499999998</v>
          </cell>
          <cell r="EI402">
            <v>-76.133749999999992</v>
          </cell>
          <cell r="EK402">
            <v>-19.033437499999998</v>
          </cell>
          <cell r="EL402">
            <v>-19.033437499999998</v>
          </cell>
          <cell r="EM402">
            <v>-19.033437499999998</v>
          </cell>
          <cell r="EN402">
            <v>-19.033437499999998</v>
          </cell>
          <cell r="EO402">
            <v>-76.133749999999992</v>
          </cell>
          <cell r="EQ402">
            <v>-19.033437499999998</v>
          </cell>
          <cell r="ER402">
            <v>-19.033437499999998</v>
          </cell>
          <cell r="ES402">
            <v>-19.033437499999998</v>
          </cell>
          <cell r="ET402">
            <v>-19.033437499999998</v>
          </cell>
          <cell r="EU402">
            <v>-76.133749999999992</v>
          </cell>
          <cell r="EW402">
            <v>-19.033437499999998</v>
          </cell>
          <cell r="EX402">
            <v>-19.033437499999998</v>
          </cell>
          <cell r="EY402">
            <v>-19.033437499999998</v>
          </cell>
          <cell r="EZ402">
            <v>-19.033437499999998</v>
          </cell>
          <cell r="FA402">
            <v>-76.133749999999992</v>
          </cell>
        </row>
        <row r="403">
          <cell r="AW403">
            <v>0</v>
          </cell>
          <cell r="BC403">
            <v>0</v>
          </cell>
          <cell r="BI403">
            <v>0</v>
          </cell>
          <cell r="BK403">
            <v>0</v>
          </cell>
          <cell r="BL403">
            <v>0</v>
          </cell>
          <cell r="BM403">
            <v>0</v>
          </cell>
          <cell r="BN403">
            <v>0</v>
          </cell>
          <cell r="BO403">
            <v>0</v>
          </cell>
          <cell r="BQ403">
            <v>0</v>
          </cell>
          <cell r="BR403">
            <v>0</v>
          </cell>
          <cell r="BS403">
            <v>0</v>
          </cell>
          <cell r="BT403">
            <v>0</v>
          </cell>
          <cell r="BU403">
            <v>0</v>
          </cell>
          <cell r="BW403">
            <v>0</v>
          </cell>
          <cell r="BX403">
            <v>0</v>
          </cell>
          <cell r="BY403">
            <v>0</v>
          </cell>
          <cell r="BZ403">
            <v>0</v>
          </cell>
          <cell r="CA403">
            <v>0</v>
          </cell>
          <cell r="CC403">
            <v>0</v>
          </cell>
          <cell r="CD403">
            <v>0</v>
          </cell>
          <cell r="CE403">
            <v>0</v>
          </cell>
          <cell r="CF403">
            <v>0</v>
          </cell>
          <cell r="CG403">
            <v>0</v>
          </cell>
          <cell r="CI403">
            <v>0</v>
          </cell>
          <cell r="CJ403">
            <v>0</v>
          </cell>
          <cell r="CK403">
            <v>0</v>
          </cell>
          <cell r="CL403">
            <v>0</v>
          </cell>
          <cell r="CM403">
            <v>0</v>
          </cell>
          <cell r="CO403">
            <v>0</v>
          </cell>
          <cell r="CP403">
            <v>0</v>
          </cell>
          <cell r="CQ403">
            <v>0</v>
          </cell>
          <cell r="CR403">
            <v>0</v>
          </cell>
          <cell r="CS403">
            <v>0</v>
          </cell>
          <cell r="CU403">
            <v>0</v>
          </cell>
          <cell r="CV403">
            <v>0</v>
          </cell>
          <cell r="CW403">
            <v>0</v>
          </cell>
          <cell r="CX403">
            <v>0</v>
          </cell>
          <cell r="CY403">
            <v>0</v>
          </cell>
          <cell r="DA403">
            <v>0</v>
          </cell>
          <cell r="DB403">
            <v>0</v>
          </cell>
          <cell r="DC403">
            <v>0</v>
          </cell>
          <cell r="DE403">
            <v>0</v>
          </cell>
          <cell r="DG403">
            <v>-30.234375</v>
          </cell>
          <cell r="DH403">
            <v>-30.234375</v>
          </cell>
          <cell r="DI403">
            <v>-30.234375</v>
          </cell>
          <cell r="DJ403">
            <v>-30.234375</v>
          </cell>
          <cell r="DK403">
            <v>-120.9375</v>
          </cell>
          <cell r="DM403">
            <v>-29.8984375</v>
          </cell>
          <cell r="DN403">
            <v>-29.858125000000001</v>
          </cell>
          <cell r="DO403">
            <v>-29.858125000000001</v>
          </cell>
          <cell r="DP403">
            <v>-29.911874999999998</v>
          </cell>
          <cell r="DQ403">
            <v>-119.5265625</v>
          </cell>
          <cell r="DS403">
            <v>-29.911874999999998</v>
          </cell>
          <cell r="DT403">
            <v>-29.911874999999998</v>
          </cell>
          <cell r="DU403">
            <v>-29.911874999999998</v>
          </cell>
          <cell r="DV403">
            <v>-29.911874999999998</v>
          </cell>
          <cell r="DW403">
            <v>-119.64749999999999</v>
          </cell>
          <cell r="DY403">
            <v>-29.911874999999998</v>
          </cell>
          <cell r="DZ403">
            <v>-29.911874999999998</v>
          </cell>
          <cell r="EA403">
            <v>-29.911874999999998</v>
          </cell>
          <cell r="EB403">
            <v>-29.911874999999998</v>
          </cell>
          <cell r="EC403">
            <v>-119.64749999999999</v>
          </cell>
          <cell r="EE403">
            <v>-29.911874999999998</v>
          </cell>
          <cell r="EF403">
            <v>-29.911874999999998</v>
          </cell>
          <cell r="EG403">
            <v>-29.911874999999998</v>
          </cell>
          <cell r="EH403">
            <v>-29.911874999999998</v>
          </cell>
          <cell r="EI403">
            <v>-119.64749999999999</v>
          </cell>
          <cell r="EK403">
            <v>-29.911874999999998</v>
          </cell>
          <cell r="EL403">
            <v>-29.911874999999998</v>
          </cell>
          <cell r="EM403">
            <v>-29.911874999999998</v>
          </cell>
          <cell r="EN403">
            <v>-29.911874999999998</v>
          </cell>
          <cell r="EO403">
            <v>-119.64749999999999</v>
          </cell>
          <cell r="EQ403">
            <v>-29.911874999999998</v>
          </cell>
          <cell r="ER403">
            <v>-29.911874999999998</v>
          </cell>
          <cell r="ES403">
            <v>-29.911874999999998</v>
          </cell>
          <cell r="ET403">
            <v>-29.911874999999998</v>
          </cell>
          <cell r="EU403">
            <v>-119.64749999999999</v>
          </cell>
          <cell r="EW403">
            <v>-29.911874999999998</v>
          </cell>
          <cell r="EX403">
            <v>-29.911874999999998</v>
          </cell>
          <cell r="EY403">
            <v>-29.911874999999998</v>
          </cell>
          <cell r="EZ403">
            <v>-29.911874999999998</v>
          </cell>
          <cell r="FA403">
            <v>-119.64749999999999</v>
          </cell>
        </row>
        <row r="404">
          <cell r="AW404">
            <v>0</v>
          </cell>
          <cell r="BC404">
            <v>0</v>
          </cell>
          <cell r="BI404">
            <v>0</v>
          </cell>
          <cell r="BK404">
            <v>0</v>
          </cell>
          <cell r="BL404">
            <v>0</v>
          </cell>
          <cell r="BM404">
            <v>0</v>
          </cell>
          <cell r="BN404">
            <v>0</v>
          </cell>
          <cell r="BO404">
            <v>0</v>
          </cell>
          <cell r="BQ404">
            <v>0</v>
          </cell>
          <cell r="BR404">
            <v>0</v>
          </cell>
          <cell r="BS404">
            <v>0</v>
          </cell>
          <cell r="BT404">
            <v>0</v>
          </cell>
          <cell r="BU404">
            <v>0</v>
          </cell>
          <cell r="BW404">
            <v>0</v>
          </cell>
          <cell r="BX404">
            <v>0</v>
          </cell>
          <cell r="BY404">
            <v>0</v>
          </cell>
          <cell r="BZ404">
            <v>0</v>
          </cell>
          <cell r="CA404">
            <v>0</v>
          </cell>
          <cell r="CC404">
            <v>0</v>
          </cell>
          <cell r="CD404">
            <v>0</v>
          </cell>
          <cell r="CE404">
            <v>0</v>
          </cell>
          <cell r="CF404">
            <v>0</v>
          </cell>
          <cell r="CG404">
            <v>0</v>
          </cell>
          <cell r="CI404">
            <v>0</v>
          </cell>
          <cell r="CJ404">
            <v>0</v>
          </cell>
          <cell r="CK404">
            <v>0</v>
          </cell>
          <cell r="CL404">
            <v>0</v>
          </cell>
          <cell r="CM404">
            <v>0</v>
          </cell>
          <cell r="CO404">
            <v>0</v>
          </cell>
          <cell r="CP404">
            <v>0</v>
          </cell>
          <cell r="CQ404">
            <v>0</v>
          </cell>
          <cell r="CR404">
            <v>0</v>
          </cell>
          <cell r="CS404">
            <v>0</v>
          </cell>
          <cell r="CU404">
            <v>0</v>
          </cell>
          <cell r="CV404">
            <v>0</v>
          </cell>
          <cell r="CW404">
            <v>0</v>
          </cell>
          <cell r="CX404">
            <v>0</v>
          </cell>
          <cell r="CY404">
            <v>0</v>
          </cell>
          <cell r="DA404">
            <v>0</v>
          </cell>
          <cell r="DB404">
            <v>0</v>
          </cell>
          <cell r="DC404">
            <v>0</v>
          </cell>
          <cell r="DE404">
            <v>0</v>
          </cell>
          <cell r="DG404">
            <v>0</v>
          </cell>
          <cell r="DH404">
            <v>0</v>
          </cell>
          <cell r="DI404">
            <v>0</v>
          </cell>
          <cell r="DJ404">
            <v>0</v>
          </cell>
          <cell r="DK404">
            <v>0</v>
          </cell>
          <cell r="DM404">
            <v>0</v>
          </cell>
          <cell r="DN404">
            <v>0</v>
          </cell>
          <cell r="DO404">
            <v>0</v>
          </cell>
          <cell r="DP404">
            <v>0</v>
          </cell>
          <cell r="DQ404">
            <v>0</v>
          </cell>
          <cell r="DS404">
            <v>0</v>
          </cell>
          <cell r="DT404">
            <v>0</v>
          </cell>
          <cell r="DU404">
            <v>0</v>
          </cell>
          <cell r="DV404">
            <v>0</v>
          </cell>
          <cell r="DW404">
            <v>0</v>
          </cell>
          <cell r="DY404">
            <v>0</v>
          </cell>
          <cell r="DZ404">
            <v>0</v>
          </cell>
          <cell r="EA404">
            <v>0</v>
          </cell>
          <cell r="EB404">
            <v>0</v>
          </cell>
          <cell r="EC404">
            <v>0</v>
          </cell>
          <cell r="EE404">
            <v>0</v>
          </cell>
          <cell r="EF404">
            <v>0</v>
          </cell>
          <cell r="EG404">
            <v>0</v>
          </cell>
          <cell r="EH404">
            <v>0</v>
          </cell>
          <cell r="EI404">
            <v>0</v>
          </cell>
          <cell r="EK404">
            <v>-20.625</v>
          </cell>
          <cell r="EL404">
            <v>-20.625</v>
          </cell>
          <cell r="EM404">
            <v>-20.625</v>
          </cell>
          <cell r="EN404">
            <v>-20.625</v>
          </cell>
          <cell r="EO404">
            <v>-82.5</v>
          </cell>
          <cell r="EQ404">
            <v>-20.625</v>
          </cell>
          <cell r="ER404">
            <v>-20.625</v>
          </cell>
          <cell r="ES404">
            <v>-20.625</v>
          </cell>
          <cell r="ET404">
            <v>-20.625</v>
          </cell>
          <cell r="EU404">
            <v>-82.5</v>
          </cell>
          <cell r="EW404">
            <v>-20.625</v>
          </cell>
          <cell r="EX404">
            <v>-20.625</v>
          </cell>
          <cell r="EY404">
            <v>-20.625</v>
          </cell>
          <cell r="EZ404">
            <v>-20.625</v>
          </cell>
          <cell r="FA404">
            <v>-82.5</v>
          </cell>
        </row>
        <row r="405">
          <cell r="AW405">
            <v>0</v>
          </cell>
          <cell r="BC405">
            <v>0</v>
          </cell>
          <cell r="BI405">
            <v>0</v>
          </cell>
          <cell r="BK405">
            <v>0</v>
          </cell>
          <cell r="BL405">
            <v>0</v>
          </cell>
          <cell r="BM405">
            <v>0</v>
          </cell>
          <cell r="BN405">
            <v>0</v>
          </cell>
          <cell r="BO405">
            <v>0</v>
          </cell>
          <cell r="BQ405">
            <v>0</v>
          </cell>
          <cell r="BR405">
            <v>0</v>
          </cell>
          <cell r="BS405">
            <v>0</v>
          </cell>
          <cell r="BT405">
            <v>0</v>
          </cell>
          <cell r="BU405">
            <v>0</v>
          </cell>
          <cell r="BW405">
            <v>0</v>
          </cell>
          <cell r="BX405">
            <v>0</v>
          </cell>
          <cell r="BY405">
            <v>0</v>
          </cell>
          <cell r="BZ405">
            <v>0</v>
          </cell>
          <cell r="CA405">
            <v>0</v>
          </cell>
          <cell r="CC405">
            <v>0</v>
          </cell>
          <cell r="CD405">
            <v>0</v>
          </cell>
          <cell r="CE405">
            <v>0</v>
          </cell>
          <cell r="CF405">
            <v>0</v>
          </cell>
          <cell r="CG405">
            <v>0</v>
          </cell>
          <cell r="CI405">
            <v>0</v>
          </cell>
          <cell r="CJ405">
            <v>0</v>
          </cell>
          <cell r="CK405">
            <v>0</v>
          </cell>
          <cell r="CL405">
            <v>0</v>
          </cell>
          <cell r="CM405">
            <v>0</v>
          </cell>
          <cell r="CO405">
            <v>0</v>
          </cell>
          <cell r="CP405">
            <v>0</v>
          </cell>
          <cell r="CQ405">
            <v>0</v>
          </cell>
          <cell r="CR405">
            <v>0</v>
          </cell>
          <cell r="CS405">
            <v>0</v>
          </cell>
          <cell r="CU405">
            <v>0</v>
          </cell>
          <cell r="CV405">
            <v>0</v>
          </cell>
          <cell r="CW405">
            <v>0</v>
          </cell>
          <cell r="CX405">
            <v>0</v>
          </cell>
          <cell r="CY405">
            <v>0</v>
          </cell>
          <cell r="DA405">
            <v>0</v>
          </cell>
          <cell r="DB405">
            <v>0</v>
          </cell>
          <cell r="DC405">
            <v>0</v>
          </cell>
          <cell r="DE405">
            <v>0</v>
          </cell>
          <cell r="DG405">
            <v>0</v>
          </cell>
          <cell r="DH405">
            <v>0</v>
          </cell>
          <cell r="DI405">
            <v>0</v>
          </cell>
          <cell r="DJ405">
            <v>0</v>
          </cell>
          <cell r="DK405">
            <v>0</v>
          </cell>
          <cell r="DM405">
            <v>0</v>
          </cell>
          <cell r="DN405">
            <v>0</v>
          </cell>
          <cell r="DO405">
            <v>0</v>
          </cell>
          <cell r="DP405">
            <v>0</v>
          </cell>
          <cell r="DQ405">
            <v>0</v>
          </cell>
          <cell r="DS405">
            <v>0</v>
          </cell>
          <cell r="DT405">
            <v>0</v>
          </cell>
          <cell r="DU405">
            <v>0</v>
          </cell>
          <cell r="DV405">
            <v>0</v>
          </cell>
          <cell r="DW405">
            <v>0</v>
          </cell>
          <cell r="DY405">
            <v>0</v>
          </cell>
          <cell r="DZ405">
            <v>0</v>
          </cell>
          <cell r="EA405">
            <v>0</v>
          </cell>
          <cell r="EB405">
            <v>0</v>
          </cell>
          <cell r="EC405">
            <v>0</v>
          </cell>
          <cell r="EE405">
            <v>0</v>
          </cell>
          <cell r="EF405">
            <v>0</v>
          </cell>
          <cell r="EG405">
            <v>0</v>
          </cell>
          <cell r="EH405">
            <v>0</v>
          </cell>
          <cell r="EI405">
            <v>0</v>
          </cell>
          <cell r="EK405">
            <v>-13.671875</v>
          </cell>
          <cell r="EL405">
            <v>-13.671875</v>
          </cell>
          <cell r="EM405">
            <v>-13.671875</v>
          </cell>
          <cell r="EN405">
            <v>-13.671875</v>
          </cell>
          <cell r="EO405">
            <v>-54.6875</v>
          </cell>
          <cell r="EQ405">
            <v>-13.671875</v>
          </cell>
          <cell r="ER405">
            <v>-13.671875</v>
          </cell>
          <cell r="ES405">
            <v>-13.671875</v>
          </cell>
          <cell r="ET405">
            <v>-13.671875</v>
          </cell>
          <cell r="EU405">
            <v>-54.6875</v>
          </cell>
          <cell r="EW405">
            <v>-13.671875</v>
          </cell>
          <cell r="EX405">
            <v>-13.671875</v>
          </cell>
          <cell r="EY405">
            <v>-13.671875</v>
          </cell>
          <cell r="EZ405">
            <v>-13.671875</v>
          </cell>
          <cell r="FA405">
            <v>-54.6875</v>
          </cell>
        </row>
        <row r="406">
          <cell r="AW406">
            <v>0</v>
          </cell>
          <cell r="BC406">
            <v>0</v>
          </cell>
          <cell r="BI406">
            <v>0</v>
          </cell>
          <cell r="BK406">
            <v>0</v>
          </cell>
          <cell r="BL406">
            <v>0</v>
          </cell>
          <cell r="BM406">
            <v>0</v>
          </cell>
          <cell r="BN406">
            <v>0</v>
          </cell>
          <cell r="BO406">
            <v>0</v>
          </cell>
          <cell r="BQ406">
            <v>0</v>
          </cell>
          <cell r="BR406">
            <v>0</v>
          </cell>
          <cell r="BS406">
            <v>0</v>
          </cell>
          <cell r="BT406">
            <v>0</v>
          </cell>
          <cell r="BU406">
            <v>0</v>
          </cell>
          <cell r="BW406">
            <v>0</v>
          </cell>
          <cell r="BX406">
            <v>0</v>
          </cell>
          <cell r="BY406">
            <v>0</v>
          </cell>
          <cell r="BZ406">
            <v>0</v>
          </cell>
          <cell r="CA406">
            <v>0</v>
          </cell>
          <cell r="CC406">
            <v>0</v>
          </cell>
          <cell r="CD406">
            <v>0</v>
          </cell>
          <cell r="CE406">
            <v>0</v>
          </cell>
          <cell r="CF406">
            <v>0</v>
          </cell>
          <cell r="CG406">
            <v>0</v>
          </cell>
          <cell r="CI406">
            <v>0</v>
          </cell>
          <cell r="CJ406">
            <v>0</v>
          </cell>
          <cell r="CK406">
            <v>0</v>
          </cell>
          <cell r="CL406">
            <v>0</v>
          </cell>
          <cell r="CM406">
            <v>0</v>
          </cell>
          <cell r="CO406">
            <v>0</v>
          </cell>
          <cell r="CP406">
            <v>0</v>
          </cell>
          <cell r="CQ406">
            <v>0</v>
          </cell>
          <cell r="CR406">
            <v>0</v>
          </cell>
          <cell r="CS406">
            <v>0</v>
          </cell>
          <cell r="CU406">
            <v>0</v>
          </cell>
          <cell r="CV406">
            <v>0</v>
          </cell>
          <cell r="CW406">
            <v>0</v>
          </cell>
          <cell r="CX406">
            <v>0</v>
          </cell>
          <cell r="CY406">
            <v>0</v>
          </cell>
          <cell r="DA406">
            <v>0</v>
          </cell>
          <cell r="DB406">
            <v>0</v>
          </cell>
          <cell r="DC406">
            <v>0</v>
          </cell>
          <cell r="DE406">
            <v>0</v>
          </cell>
          <cell r="DG406">
            <v>0</v>
          </cell>
          <cell r="DH406">
            <v>0</v>
          </cell>
          <cell r="DI406">
            <v>0</v>
          </cell>
          <cell r="DJ406">
            <v>0</v>
          </cell>
          <cell r="DK406">
            <v>0</v>
          </cell>
          <cell r="DM406">
            <v>0</v>
          </cell>
          <cell r="DN406">
            <v>0</v>
          </cell>
          <cell r="DO406">
            <v>0</v>
          </cell>
          <cell r="DP406">
            <v>0</v>
          </cell>
          <cell r="DQ406">
            <v>0</v>
          </cell>
          <cell r="DS406">
            <v>0</v>
          </cell>
          <cell r="DT406">
            <v>0</v>
          </cell>
          <cell r="DU406">
            <v>0</v>
          </cell>
          <cell r="DV406">
            <v>0</v>
          </cell>
          <cell r="DW406">
            <v>0</v>
          </cell>
          <cell r="DY406">
            <v>0</v>
          </cell>
          <cell r="DZ406">
            <v>0</v>
          </cell>
          <cell r="EA406">
            <v>0</v>
          </cell>
          <cell r="EB406">
            <v>0</v>
          </cell>
          <cell r="EC406">
            <v>0</v>
          </cell>
          <cell r="EE406">
            <v>0</v>
          </cell>
          <cell r="EF406">
            <v>0</v>
          </cell>
          <cell r="EG406">
            <v>0</v>
          </cell>
          <cell r="EH406">
            <v>0</v>
          </cell>
          <cell r="EI406">
            <v>0</v>
          </cell>
          <cell r="EK406">
            <v>0</v>
          </cell>
          <cell r="EL406">
            <v>0</v>
          </cell>
          <cell r="EM406">
            <v>0</v>
          </cell>
          <cell r="EN406">
            <v>0</v>
          </cell>
          <cell r="EO406">
            <v>0</v>
          </cell>
          <cell r="EQ406">
            <v>0</v>
          </cell>
          <cell r="ER406">
            <v>0</v>
          </cell>
          <cell r="ES406">
            <v>0</v>
          </cell>
          <cell r="ET406">
            <v>0</v>
          </cell>
          <cell r="EU406">
            <v>0</v>
          </cell>
          <cell r="EW406">
            <v>0</v>
          </cell>
          <cell r="EX406">
            <v>0</v>
          </cell>
          <cell r="EY406">
            <v>0</v>
          </cell>
          <cell r="EZ406">
            <v>0</v>
          </cell>
          <cell r="FA406">
            <v>0</v>
          </cell>
        </row>
        <row r="407">
          <cell r="AW407">
            <v>0</v>
          </cell>
          <cell r="BC407">
            <v>0</v>
          </cell>
          <cell r="BI407">
            <v>0</v>
          </cell>
          <cell r="BK407">
            <v>0</v>
          </cell>
          <cell r="BL407">
            <v>0</v>
          </cell>
          <cell r="BM407">
            <v>0</v>
          </cell>
          <cell r="BN407">
            <v>0</v>
          </cell>
          <cell r="BO407">
            <v>0</v>
          </cell>
          <cell r="BQ407">
            <v>0</v>
          </cell>
          <cell r="BR407">
            <v>0</v>
          </cell>
          <cell r="BS407">
            <v>0</v>
          </cell>
          <cell r="BT407">
            <v>0</v>
          </cell>
          <cell r="BU407">
            <v>0</v>
          </cell>
          <cell r="BW407">
            <v>0</v>
          </cell>
          <cell r="BX407">
            <v>0</v>
          </cell>
          <cell r="BY407">
            <v>0</v>
          </cell>
          <cell r="BZ407">
            <v>0</v>
          </cell>
          <cell r="CA407">
            <v>0</v>
          </cell>
          <cell r="CC407">
            <v>0</v>
          </cell>
          <cell r="CD407">
            <v>0</v>
          </cell>
          <cell r="CE407">
            <v>-49</v>
          </cell>
          <cell r="CF407">
            <v>-83.627499999999998</v>
          </cell>
          <cell r="CG407">
            <v>0</v>
          </cell>
          <cell r="CI407">
            <v>-1.53</v>
          </cell>
          <cell r="CJ407">
            <v>-1.816875</v>
          </cell>
          <cell r="CK407">
            <v>-2.1993750000000003</v>
          </cell>
          <cell r="CL407">
            <v>0.15812500000000002</v>
          </cell>
          <cell r="CM407">
            <v>0</v>
          </cell>
          <cell r="CO407">
            <v>0</v>
          </cell>
          <cell r="CP407">
            <v>0</v>
          </cell>
          <cell r="CQ407">
            <v>0</v>
          </cell>
          <cell r="CR407">
            <v>0</v>
          </cell>
          <cell r="CS407">
            <v>0</v>
          </cell>
          <cell r="CU407">
            <v>0</v>
          </cell>
          <cell r="CV407">
            <v>0</v>
          </cell>
          <cell r="CW407">
            <v>0</v>
          </cell>
          <cell r="CX407">
            <v>0</v>
          </cell>
          <cell r="CY407">
            <v>0</v>
          </cell>
          <cell r="DA407">
            <v>-20</v>
          </cell>
          <cell r="DB407">
            <v>-20</v>
          </cell>
          <cell r="DC407">
            <v>-20</v>
          </cell>
          <cell r="DE407">
            <v>0</v>
          </cell>
          <cell r="DG407">
            <v>-20</v>
          </cell>
          <cell r="DH407">
            <v>-20</v>
          </cell>
          <cell r="DI407">
            <v>-20</v>
          </cell>
          <cell r="DJ407">
            <v>-20</v>
          </cell>
          <cell r="DK407">
            <v>0</v>
          </cell>
          <cell r="DM407">
            <v>-20</v>
          </cell>
          <cell r="DN407">
            <v>-20</v>
          </cell>
          <cell r="DO407">
            <v>-20</v>
          </cell>
          <cell r="DP407">
            <v>-20</v>
          </cell>
          <cell r="DQ407">
            <v>0</v>
          </cell>
          <cell r="DS407">
            <v>0</v>
          </cell>
          <cell r="DT407">
            <v>0</v>
          </cell>
          <cell r="DU407">
            <v>0</v>
          </cell>
          <cell r="DV407">
            <v>0</v>
          </cell>
          <cell r="DW407">
            <v>0</v>
          </cell>
          <cell r="DY407">
            <v>0</v>
          </cell>
          <cell r="DZ407">
            <v>0</v>
          </cell>
          <cell r="EA407">
            <v>0</v>
          </cell>
          <cell r="EB407">
            <v>0</v>
          </cell>
          <cell r="EC407">
            <v>0</v>
          </cell>
          <cell r="EE407">
            <v>0</v>
          </cell>
          <cell r="EF407">
            <v>0</v>
          </cell>
          <cell r="EG407">
            <v>0</v>
          </cell>
          <cell r="EH407">
            <v>0</v>
          </cell>
          <cell r="EI407">
            <v>0</v>
          </cell>
          <cell r="EK407">
            <v>0</v>
          </cell>
          <cell r="EL407">
            <v>0</v>
          </cell>
          <cell r="EM407">
            <v>0</v>
          </cell>
          <cell r="EN407">
            <v>0</v>
          </cell>
          <cell r="EO407">
            <v>0</v>
          </cell>
          <cell r="EQ407">
            <v>0</v>
          </cell>
          <cell r="ER407">
            <v>0</v>
          </cell>
          <cell r="ES407">
            <v>0</v>
          </cell>
          <cell r="ET407">
            <v>0</v>
          </cell>
          <cell r="EU407">
            <v>0</v>
          </cell>
          <cell r="EW407">
            <v>0</v>
          </cell>
          <cell r="EX407">
            <v>0</v>
          </cell>
          <cell r="EY407">
            <v>0</v>
          </cell>
          <cell r="EZ407">
            <v>0</v>
          </cell>
          <cell r="FA407">
            <v>0</v>
          </cell>
        </row>
        <row r="408">
          <cell r="AW408">
            <v>0</v>
          </cell>
          <cell r="BC408">
            <v>0</v>
          </cell>
          <cell r="BI408">
            <v>0</v>
          </cell>
          <cell r="BK408">
            <v>0</v>
          </cell>
          <cell r="BL408">
            <v>0</v>
          </cell>
          <cell r="BM408">
            <v>0</v>
          </cell>
          <cell r="BN408">
            <v>0</v>
          </cell>
          <cell r="BO408">
            <v>0</v>
          </cell>
          <cell r="BQ408">
            <v>0</v>
          </cell>
          <cell r="BR408">
            <v>0</v>
          </cell>
          <cell r="BS408">
            <v>0</v>
          </cell>
          <cell r="BT408">
            <v>0</v>
          </cell>
          <cell r="BW408">
            <v>0</v>
          </cell>
          <cell r="BX408">
            <v>0</v>
          </cell>
          <cell r="BY408">
            <v>0</v>
          </cell>
          <cell r="BZ408">
            <v>0</v>
          </cell>
          <cell r="CA408">
            <v>0</v>
          </cell>
          <cell r="CC408">
            <v>0</v>
          </cell>
          <cell r="CD408">
            <v>0</v>
          </cell>
          <cell r="CE408">
            <v>0</v>
          </cell>
          <cell r="CF408">
            <v>0</v>
          </cell>
          <cell r="CG408">
            <v>0</v>
          </cell>
          <cell r="CI408">
            <v>0</v>
          </cell>
          <cell r="CJ408">
            <v>0</v>
          </cell>
          <cell r="CK408">
            <v>0</v>
          </cell>
          <cell r="CL408">
            <v>0</v>
          </cell>
          <cell r="CM408">
            <v>0</v>
          </cell>
          <cell r="CO408">
            <v>0</v>
          </cell>
          <cell r="CP408">
            <v>0</v>
          </cell>
          <cell r="CQ408">
            <v>0</v>
          </cell>
          <cell r="CR408">
            <v>0</v>
          </cell>
          <cell r="CS408">
            <v>0</v>
          </cell>
          <cell r="CU408">
            <v>0</v>
          </cell>
          <cell r="CV408">
            <v>0</v>
          </cell>
          <cell r="CW408">
            <v>0</v>
          </cell>
          <cell r="CX408">
            <v>0</v>
          </cell>
          <cell r="CY408">
            <v>0</v>
          </cell>
          <cell r="DA408">
            <v>0</v>
          </cell>
          <cell r="DB408">
            <v>0</v>
          </cell>
          <cell r="DC408">
            <v>0</v>
          </cell>
          <cell r="DE408">
            <v>0</v>
          </cell>
          <cell r="DG408">
            <v>0</v>
          </cell>
          <cell r="DH408">
            <v>0</v>
          </cell>
          <cell r="DI408">
            <v>0</v>
          </cell>
          <cell r="DJ408">
            <v>0</v>
          </cell>
          <cell r="DK408">
            <v>0</v>
          </cell>
          <cell r="DM408">
            <v>0</v>
          </cell>
          <cell r="DN408">
            <v>0</v>
          </cell>
          <cell r="DO408">
            <v>0</v>
          </cell>
          <cell r="DP408">
            <v>0</v>
          </cell>
          <cell r="DQ408">
            <v>0</v>
          </cell>
          <cell r="DS408">
            <v>0</v>
          </cell>
          <cell r="DT408">
            <v>0</v>
          </cell>
          <cell r="DU408">
            <v>0</v>
          </cell>
          <cell r="DV408">
            <v>0</v>
          </cell>
          <cell r="DW408">
            <v>0</v>
          </cell>
          <cell r="DY408">
            <v>0</v>
          </cell>
          <cell r="DZ408">
            <v>0</v>
          </cell>
          <cell r="EA408">
            <v>0</v>
          </cell>
          <cell r="EB408">
            <v>0</v>
          </cell>
          <cell r="EC408">
            <v>0</v>
          </cell>
          <cell r="EE408">
            <v>0</v>
          </cell>
          <cell r="EF408">
            <v>0</v>
          </cell>
          <cell r="EG408">
            <v>0</v>
          </cell>
          <cell r="EH408">
            <v>0</v>
          </cell>
          <cell r="EI408">
            <v>0</v>
          </cell>
          <cell r="EK408">
            <v>0</v>
          </cell>
          <cell r="EL408">
            <v>0</v>
          </cell>
          <cell r="EM408">
            <v>0</v>
          </cell>
          <cell r="EN408">
            <v>0</v>
          </cell>
          <cell r="EO408">
            <v>0</v>
          </cell>
          <cell r="EQ408">
            <v>0</v>
          </cell>
          <cell r="ER408">
            <v>0</v>
          </cell>
          <cell r="ES408">
            <v>0</v>
          </cell>
          <cell r="ET408">
            <v>0</v>
          </cell>
          <cell r="EU408">
            <v>0</v>
          </cell>
          <cell r="EW408">
            <v>0</v>
          </cell>
          <cell r="EX408">
            <v>0</v>
          </cell>
          <cell r="EY408">
            <v>0</v>
          </cell>
          <cell r="EZ408">
            <v>0</v>
          </cell>
          <cell r="FA408">
            <v>0</v>
          </cell>
        </row>
        <row r="409">
          <cell r="AW409">
            <v>0</v>
          </cell>
          <cell r="BC409">
            <v>0</v>
          </cell>
          <cell r="BI409">
            <v>0</v>
          </cell>
          <cell r="BK409">
            <v>0</v>
          </cell>
          <cell r="BL409">
            <v>0</v>
          </cell>
          <cell r="BM409">
            <v>0</v>
          </cell>
          <cell r="BN409">
            <v>0</v>
          </cell>
          <cell r="BO409">
            <v>0</v>
          </cell>
          <cell r="BQ409">
            <v>0</v>
          </cell>
          <cell r="BR409">
            <v>0</v>
          </cell>
          <cell r="BS409">
            <v>0</v>
          </cell>
          <cell r="BT409">
            <v>0</v>
          </cell>
          <cell r="BW409">
            <v>0</v>
          </cell>
          <cell r="BX409">
            <v>0</v>
          </cell>
          <cell r="BY409">
            <v>0</v>
          </cell>
          <cell r="BZ409">
            <v>0</v>
          </cell>
          <cell r="CA409">
            <v>0</v>
          </cell>
          <cell r="CC409">
            <v>0</v>
          </cell>
          <cell r="CD409">
            <v>0</v>
          </cell>
          <cell r="CE409">
            <v>0</v>
          </cell>
          <cell r="CF409">
            <v>0</v>
          </cell>
          <cell r="CG409">
            <v>0</v>
          </cell>
          <cell r="CI409">
            <v>0</v>
          </cell>
          <cell r="CJ409">
            <v>0</v>
          </cell>
          <cell r="CK409">
            <v>0</v>
          </cell>
          <cell r="CL409">
            <v>0</v>
          </cell>
          <cell r="CM409">
            <v>0</v>
          </cell>
          <cell r="CO409">
            <v>0</v>
          </cell>
          <cell r="CP409">
            <v>0</v>
          </cell>
          <cell r="CQ409">
            <v>0</v>
          </cell>
          <cell r="CR409">
            <v>0</v>
          </cell>
          <cell r="CS409">
            <v>0</v>
          </cell>
          <cell r="CU409">
            <v>0</v>
          </cell>
          <cell r="CV409">
            <v>0</v>
          </cell>
          <cell r="CW409">
            <v>0</v>
          </cell>
          <cell r="CX409">
            <v>0</v>
          </cell>
          <cell r="CY409">
            <v>0</v>
          </cell>
          <cell r="DA409">
            <v>0</v>
          </cell>
          <cell r="DB409">
            <v>0</v>
          </cell>
          <cell r="DC409">
            <v>0</v>
          </cell>
          <cell r="DE409">
            <v>0</v>
          </cell>
          <cell r="DG409">
            <v>0</v>
          </cell>
          <cell r="DH409">
            <v>0</v>
          </cell>
          <cell r="DI409">
            <v>0</v>
          </cell>
          <cell r="DJ409">
            <v>0</v>
          </cell>
          <cell r="DK409">
            <v>0</v>
          </cell>
          <cell r="DM409">
            <v>0</v>
          </cell>
          <cell r="DN409">
            <v>0</v>
          </cell>
          <cell r="DO409">
            <v>0</v>
          </cell>
          <cell r="DP409">
            <v>0</v>
          </cell>
          <cell r="DQ409">
            <v>0</v>
          </cell>
          <cell r="DS409">
            <v>0</v>
          </cell>
          <cell r="DT409">
            <v>0</v>
          </cell>
          <cell r="DU409">
            <v>0</v>
          </cell>
          <cell r="DV409">
            <v>0</v>
          </cell>
          <cell r="DW409">
            <v>0</v>
          </cell>
          <cell r="DY409">
            <v>0</v>
          </cell>
          <cell r="DZ409">
            <v>0</v>
          </cell>
          <cell r="EA409">
            <v>0</v>
          </cell>
          <cell r="EB409">
            <v>0</v>
          </cell>
          <cell r="EC409">
            <v>0</v>
          </cell>
          <cell r="EE409">
            <v>0</v>
          </cell>
          <cell r="EF409">
            <v>0</v>
          </cell>
          <cell r="EG409">
            <v>0</v>
          </cell>
          <cell r="EH409">
            <v>0</v>
          </cell>
          <cell r="EI409">
            <v>0</v>
          </cell>
          <cell r="EK409">
            <v>0</v>
          </cell>
          <cell r="EL409">
            <v>0</v>
          </cell>
          <cell r="EM409">
            <v>0</v>
          </cell>
          <cell r="EN409">
            <v>0</v>
          </cell>
          <cell r="EO409">
            <v>0</v>
          </cell>
          <cell r="EQ409">
            <v>0</v>
          </cell>
          <cell r="ER409">
            <v>0</v>
          </cell>
          <cell r="ES409">
            <v>0</v>
          </cell>
          <cell r="ET409">
            <v>0</v>
          </cell>
          <cell r="EU409">
            <v>0</v>
          </cell>
          <cell r="EW409">
            <v>0</v>
          </cell>
          <cell r="EX409">
            <v>0</v>
          </cell>
          <cell r="EY409">
            <v>0</v>
          </cell>
          <cell r="EZ409">
            <v>0</v>
          </cell>
          <cell r="FA409">
            <v>0</v>
          </cell>
        </row>
        <row r="410"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0</v>
          </cell>
          <cell r="S410">
            <v>0</v>
          </cell>
          <cell r="U410">
            <v>17.316502485913166</v>
          </cell>
          <cell r="V410">
            <v>0</v>
          </cell>
          <cell r="W410">
            <v>0</v>
          </cell>
          <cell r="X410">
            <v>0</v>
          </cell>
          <cell r="Y410">
            <v>17.316502485913166</v>
          </cell>
          <cell r="AA410">
            <v>0</v>
          </cell>
          <cell r="AB410">
            <v>0</v>
          </cell>
          <cell r="AC410">
            <v>13.247877545772868</v>
          </cell>
          <cell r="AD410">
            <v>0</v>
          </cell>
          <cell r="AE410">
            <v>13.247877545772868</v>
          </cell>
          <cell r="AG410">
            <v>60.13944</v>
          </cell>
          <cell r="AH410">
            <v>0</v>
          </cell>
          <cell r="AI410">
            <v>0</v>
          </cell>
          <cell r="AJ410">
            <v>0</v>
          </cell>
          <cell r="AK410">
            <v>60.13944</v>
          </cell>
          <cell r="AM410">
            <v>0</v>
          </cell>
          <cell r="AN410">
            <v>0</v>
          </cell>
          <cell r="AO410">
            <v>0</v>
          </cell>
          <cell r="AP410">
            <v>0</v>
          </cell>
          <cell r="AQ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0</v>
          </cell>
          <cell r="BK410">
            <v>0</v>
          </cell>
          <cell r="BL410">
            <v>0</v>
          </cell>
          <cell r="BM410">
            <v>0</v>
          </cell>
          <cell r="BN410">
            <v>0</v>
          </cell>
          <cell r="BO410">
            <v>0</v>
          </cell>
          <cell r="BQ410">
            <v>0</v>
          </cell>
          <cell r="BR410">
            <v>0</v>
          </cell>
          <cell r="BS410">
            <v>0</v>
          </cell>
          <cell r="BT410">
            <v>0</v>
          </cell>
          <cell r="BU410">
            <v>0</v>
          </cell>
          <cell r="BW410">
            <v>8.8434959349593498</v>
          </cell>
          <cell r="BX410">
            <v>6.8446273830155988</v>
          </cell>
          <cell r="BY410">
            <v>15.312977099236642</v>
          </cell>
          <cell r="BZ410">
            <v>27.912831618841363</v>
          </cell>
          <cell r="CA410">
            <v>58.913932036052955</v>
          </cell>
          <cell r="CC410">
            <v>8.1879194630872476</v>
          </cell>
          <cell r="CD410">
            <v>0</v>
          </cell>
          <cell r="CE410">
            <v>24.391873086557194</v>
          </cell>
          <cell r="CF410">
            <v>4.9232079640128825</v>
          </cell>
          <cell r="CG410">
            <v>37.503000513657319</v>
          </cell>
          <cell r="CI410">
            <v>14.575916230366492</v>
          </cell>
          <cell r="CJ410">
            <v>0</v>
          </cell>
          <cell r="CK410">
            <v>13.977362761743066</v>
          </cell>
          <cell r="CL410">
            <v>21.597626552938994</v>
          </cell>
          <cell r="CM410">
            <v>50.150905545048552</v>
          </cell>
          <cell r="CO410">
            <v>14.114114114114114</v>
          </cell>
          <cell r="CP410">
            <v>6.2073876279483757</v>
          </cell>
          <cell r="CQ410">
            <v>-11.436289959477712</v>
          </cell>
          <cell r="CR410">
            <v>29.523755334281653</v>
          </cell>
          <cell r="CS410">
            <v>38.408967116866435</v>
          </cell>
          <cell r="CU410">
            <v>16.613733905579402</v>
          </cell>
          <cell r="CV410">
            <v>6.0951219512195118</v>
          </cell>
          <cell r="CW410">
            <v>7.1814432989690724</v>
          </cell>
          <cell r="CX410">
            <v>5.9532958912208098</v>
          </cell>
          <cell r="CY410">
            <v>35.843595046988796</v>
          </cell>
          <cell r="DA410">
            <v>1.6822429906542054</v>
          </cell>
          <cell r="DB410">
            <v>2.7397260273972601</v>
          </cell>
          <cell r="DC410">
            <v>8.80627713872172</v>
          </cell>
          <cell r="DE410">
            <v>41.303287329172164</v>
          </cell>
          <cell r="DG410">
            <v>20.448849557522124</v>
          </cell>
          <cell r="DH410">
            <v>13.241212771666218</v>
          </cell>
          <cell r="DI410">
            <v>7.6214902807775378</v>
          </cell>
          <cell r="DJ410">
            <v>10.723311546840959</v>
          </cell>
          <cell r="DK410">
            <v>52.03486415680684</v>
          </cell>
          <cell r="DM410">
            <v>4.7710196779964225</v>
          </cell>
          <cell r="DN410">
            <v>0.78930651138168351</v>
          </cell>
          <cell r="DO410">
            <v>8.548340040400964</v>
          </cell>
          <cell r="DP410">
            <v>-4.1420042510232378</v>
          </cell>
          <cell r="DQ410">
            <v>9.9666619787558322</v>
          </cell>
          <cell r="DS410">
            <v>-60.341148886283705</v>
          </cell>
          <cell r="DT410">
            <v>-28.433962264150942</v>
          </cell>
          <cell r="DU410">
            <v>6.7188612099644125</v>
          </cell>
          <cell r="DV410">
            <v>-60.180066691367173</v>
          </cell>
          <cell r="DW410">
            <v>-142.23631663183738</v>
          </cell>
          <cell r="DY410">
            <v>2.1806853582554515</v>
          </cell>
          <cell r="DZ410">
            <v>3.7207229512255506</v>
          </cell>
          <cell r="EA410">
            <v>-1.1548913043478262</v>
          </cell>
          <cell r="EB410">
            <v>6.2135761589403975</v>
          </cell>
          <cell r="EC410">
            <v>10.960093164073573</v>
          </cell>
          <cell r="EE410">
            <v>5.3721320649132629</v>
          </cell>
          <cell r="EF410">
            <v>-4.8615832928606117</v>
          </cell>
          <cell r="EG410">
            <v>1.8162597533350113</v>
          </cell>
          <cell r="EH410">
            <v>51.012145748987855</v>
          </cell>
          <cell r="EI410">
            <v>53.338954274375517</v>
          </cell>
          <cell r="EK410">
            <v>7.747523170341962</v>
          </cell>
          <cell r="EL410">
            <v>-1.4281140861466823</v>
          </cell>
          <cell r="EM410">
            <v>0</v>
          </cell>
          <cell r="EN410">
            <v>0</v>
          </cell>
          <cell r="EO410">
            <v>6.3194090841952795</v>
          </cell>
          <cell r="EQ410">
            <v>0</v>
          </cell>
          <cell r="ER410">
            <v>0</v>
          </cell>
          <cell r="ES410">
            <v>0</v>
          </cell>
          <cell r="ET410">
            <v>0</v>
          </cell>
          <cell r="EU410">
            <v>0</v>
          </cell>
          <cell r="EW410">
            <v>0</v>
          </cell>
          <cell r="EX410">
            <v>0</v>
          </cell>
          <cell r="EY410">
            <v>0</v>
          </cell>
          <cell r="EZ410">
            <v>0</v>
          </cell>
          <cell r="FA410">
            <v>0</v>
          </cell>
        </row>
        <row r="411"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0</v>
          </cell>
          <cell r="S411">
            <v>0</v>
          </cell>
          <cell r="U411">
            <v>0</v>
          </cell>
          <cell r="V411">
            <v>0</v>
          </cell>
          <cell r="W411">
            <v>0</v>
          </cell>
          <cell r="X411">
            <v>0</v>
          </cell>
          <cell r="Y411">
            <v>0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M411">
            <v>0</v>
          </cell>
          <cell r="AN411">
            <v>0</v>
          </cell>
          <cell r="AO411">
            <v>0</v>
          </cell>
          <cell r="AP411">
            <v>0</v>
          </cell>
          <cell r="AQ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0</v>
          </cell>
          <cell r="BK411">
            <v>0</v>
          </cell>
          <cell r="BL411">
            <v>0</v>
          </cell>
          <cell r="BM411">
            <v>0</v>
          </cell>
          <cell r="BN411">
            <v>0</v>
          </cell>
          <cell r="BO411">
            <v>0</v>
          </cell>
          <cell r="BQ411">
            <v>0</v>
          </cell>
          <cell r="BR411">
            <v>0</v>
          </cell>
          <cell r="BS411">
            <v>0</v>
          </cell>
          <cell r="BT411">
            <v>0</v>
          </cell>
          <cell r="BU411">
            <v>0</v>
          </cell>
          <cell r="BW411">
            <v>0</v>
          </cell>
          <cell r="BX411">
            <v>0</v>
          </cell>
          <cell r="BY411">
            <v>29.424936386768451</v>
          </cell>
          <cell r="BZ411">
            <v>32.16621548456957</v>
          </cell>
          <cell r="CA411">
            <v>61.59115187133802</v>
          </cell>
          <cell r="CC411">
            <v>35.968360498561836</v>
          </cell>
          <cell r="CD411">
            <v>36.421514818880354</v>
          </cell>
          <cell r="CE411">
            <v>42.976157342981722</v>
          </cell>
          <cell r="CF411">
            <v>56.924592083898958</v>
          </cell>
          <cell r="CG411">
            <v>172.29062474432288</v>
          </cell>
          <cell r="CI411">
            <v>60.125654450261777</v>
          </cell>
          <cell r="CJ411">
            <v>57.652360515021456</v>
          </cell>
          <cell r="CK411">
            <v>58.54668930390492</v>
          </cell>
          <cell r="CL411">
            <v>74.424253662154641</v>
          </cell>
          <cell r="CM411">
            <v>250.74895793134277</v>
          </cell>
          <cell r="CO411">
            <v>85.585585585585591</v>
          </cell>
          <cell r="CP411">
            <v>81.824655095683141</v>
          </cell>
          <cell r="CQ411">
            <v>83.484916704187299</v>
          </cell>
          <cell r="CR411">
            <v>105.79345661450925</v>
          </cell>
          <cell r="CS411">
            <v>356.6886139999653</v>
          </cell>
          <cell r="CU411">
            <v>108.91225560324273</v>
          </cell>
          <cell r="CV411">
            <v>123.9341463414634</v>
          </cell>
          <cell r="CW411">
            <v>116.23298969072165</v>
          </cell>
          <cell r="CX411">
            <v>136.92580549807863</v>
          </cell>
          <cell r="CY411">
            <v>486.00519713350639</v>
          </cell>
          <cell r="DA411">
            <v>120.84112149532709</v>
          </cell>
          <cell r="DB411">
            <v>119.45205479452054</v>
          </cell>
          <cell r="DC411">
            <v>130.02209187171479</v>
          </cell>
          <cell r="DE411">
            <v>535.22206339749823</v>
          </cell>
          <cell r="DG411">
            <v>148.56212389380531</v>
          </cell>
          <cell r="DH411">
            <v>172.98094982559698</v>
          </cell>
          <cell r="DI411">
            <v>155.47840172786178</v>
          </cell>
          <cell r="DJ411">
            <v>139.40305010893246</v>
          </cell>
          <cell r="DK411">
            <v>616.4245255561965</v>
          </cell>
          <cell r="DM411">
            <v>156.91353607632678</v>
          </cell>
          <cell r="DN411">
            <v>155.75648491265221</v>
          </cell>
          <cell r="DO411">
            <v>136.32352801271011</v>
          </cell>
          <cell r="DP411">
            <v>139.52014319236167</v>
          </cell>
          <cell r="DQ411">
            <v>588.51369219405069</v>
          </cell>
          <cell r="DS411">
            <v>144.77198124267292</v>
          </cell>
          <cell r="DT411">
            <v>137.23499142367066</v>
          </cell>
          <cell r="DU411">
            <v>123.0391459074733</v>
          </cell>
          <cell r="DV411">
            <v>141.76806224527601</v>
          </cell>
          <cell r="DW411">
            <v>546.81418081909294</v>
          </cell>
          <cell r="DY411">
            <v>129.75077881619939</v>
          </cell>
          <cell r="DZ411">
            <v>126.28571428571428</v>
          </cell>
          <cell r="EA411">
            <v>129.34782608695653</v>
          </cell>
          <cell r="EB411">
            <v>130.71523178807948</v>
          </cell>
          <cell r="EC411">
            <v>516.09955097694967</v>
          </cell>
          <cell r="EE411">
            <v>117.54224958030218</v>
          </cell>
          <cell r="EF411">
            <v>138.06896551724137</v>
          </cell>
          <cell r="EG411">
            <v>119.64611125094387</v>
          </cell>
          <cell r="EH411">
            <v>129.31578947368422</v>
          </cell>
          <cell r="EI411">
            <v>504.57311582217164</v>
          </cell>
          <cell r="EK411">
            <v>112.96388622563119</v>
          </cell>
          <cell r="EL411">
            <v>86.298894062863795</v>
          </cell>
          <cell r="EM411">
            <v>107.00935566753145</v>
          </cell>
          <cell r="EN411">
            <v>105.88021583897014</v>
          </cell>
          <cell r="EO411">
            <v>412.15235179499655</v>
          </cell>
          <cell r="EQ411">
            <v>54.60653235671424</v>
          </cell>
          <cell r="ER411">
            <v>54.306196428752315</v>
          </cell>
          <cell r="ES411">
            <v>54.007512348394179</v>
          </cell>
          <cell r="ET411">
            <v>53.710471030478011</v>
          </cell>
          <cell r="EU411">
            <v>216.63071216433875</v>
          </cell>
          <cell r="EW411">
            <v>53.415063439810375</v>
          </cell>
          <cell r="EX411">
            <v>53.121280590891416</v>
          </cell>
          <cell r="EY411">
            <v>52.829113547641519</v>
          </cell>
          <cell r="EZ411">
            <v>52.538553423129486</v>
          </cell>
          <cell r="FA411">
            <v>211.90401100147281</v>
          </cell>
        </row>
        <row r="412"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0</v>
          </cell>
          <cell r="S412">
            <v>0</v>
          </cell>
          <cell r="U412">
            <v>0</v>
          </cell>
          <cell r="V412">
            <v>0</v>
          </cell>
          <cell r="W412">
            <v>0</v>
          </cell>
          <cell r="X412">
            <v>0</v>
          </cell>
          <cell r="Y412">
            <v>0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G412">
            <v>0</v>
          </cell>
          <cell r="AH412">
            <v>0</v>
          </cell>
          <cell r="AI412">
            <v>0</v>
          </cell>
          <cell r="AJ412">
            <v>0</v>
          </cell>
          <cell r="AK412">
            <v>0</v>
          </cell>
          <cell r="AM412">
            <v>0</v>
          </cell>
          <cell r="AN412">
            <v>0</v>
          </cell>
          <cell r="AO412">
            <v>0</v>
          </cell>
          <cell r="AP412">
            <v>0</v>
          </cell>
          <cell r="AQ412">
            <v>0</v>
          </cell>
          <cell r="AS412">
            <v>0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0</v>
          </cell>
          <cell r="BK412">
            <v>0</v>
          </cell>
          <cell r="BL412">
            <v>0</v>
          </cell>
          <cell r="BM412">
            <v>0</v>
          </cell>
          <cell r="BN412">
            <v>0</v>
          </cell>
          <cell r="BO412">
            <v>0</v>
          </cell>
          <cell r="BQ412">
            <v>0</v>
          </cell>
          <cell r="BR412">
            <v>0</v>
          </cell>
          <cell r="BS412">
            <v>0</v>
          </cell>
          <cell r="BT412">
            <v>0</v>
          </cell>
          <cell r="BU412">
            <v>0</v>
          </cell>
          <cell r="BW412">
            <v>0</v>
          </cell>
          <cell r="BX412">
            <v>0</v>
          </cell>
          <cell r="BY412">
            <v>32.127226463104329</v>
          </cell>
          <cell r="BZ412">
            <v>10.633459664320519</v>
          </cell>
          <cell r="CA412">
            <v>42.760686127424847</v>
          </cell>
          <cell r="CC412">
            <v>3.2166826462128473</v>
          </cell>
          <cell r="CD412">
            <v>2.8905964141968532</v>
          </cell>
          <cell r="CE412">
            <v>7.8402449206790976</v>
          </cell>
          <cell r="CF412">
            <v>14.769623892038648</v>
          </cell>
          <cell r="CG412">
            <v>28.717147873127445</v>
          </cell>
          <cell r="CI412">
            <v>2.1256544502617798</v>
          </cell>
          <cell r="CJ412">
            <v>2.5686695278969958</v>
          </cell>
          <cell r="CK412">
            <v>0.79117147707979618</v>
          </cell>
          <cell r="CL412">
            <v>0</v>
          </cell>
          <cell r="CM412">
            <v>5.4854954552385724</v>
          </cell>
          <cell r="CO412">
            <v>0</v>
          </cell>
          <cell r="CP412">
            <v>1.6929238985313753</v>
          </cell>
          <cell r="CQ412">
            <v>2.2872579918955425</v>
          </cell>
          <cell r="CR412">
            <v>8.3035561877667146</v>
          </cell>
          <cell r="CS412">
            <v>12.283738078193633</v>
          </cell>
          <cell r="CU412">
            <v>0</v>
          </cell>
          <cell r="CV412">
            <v>4.9341463414634141</v>
          </cell>
          <cell r="CW412">
            <v>3.9896907216494846</v>
          </cell>
          <cell r="CX412">
            <v>22.24652675140408</v>
          </cell>
          <cell r="CY412">
            <v>31.170363814516978</v>
          </cell>
          <cell r="DA412">
            <v>13.457943925233643</v>
          </cell>
          <cell r="DB412">
            <v>31.232876712328764</v>
          </cell>
          <cell r="DC412">
            <v>79.256494248495471</v>
          </cell>
          <cell r="DE412">
            <v>165.92359003702336</v>
          </cell>
          <cell r="DG412">
            <v>31.78194690265487</v>
          </cell>
          <cell r="DH412">
            <v>53.24657901797692</v>
          </cell>
          <cell r="DI412">
            <v>23.372570194384451</v>
          </cell>
          <cell r="DJ412">
            <v>17.949891067538125</v>
          </cell>
          <cell r="DK412">
            <v>126.35098718255438</v>
          </cell>
          <cell r="DM412">
            <v>26.770721526535478</v>
          </cell>
          <cell r="DN412">
            <v>13.681312863949181</v>
          </cell>
          <cell r="DO412">
            <v>14.397204278570046</v>
          </cell>
          <cell r="DP412">
            <v>16.786017227831014</v>
          </cell>
          <cell r="DQ412">
            <v>71.63525589688571</v>
          </cell>
          <cell r="DS412">
            <v>33.912661195779599</v>
          </cell>
          <cell r="DT412">
            <v>30.78387650085763</v>
          </cell>
          <cell r="DU412">
            <v>8.8185053380782907</v>
          </cell>
          <cell r="DV412">
            <v>8.0874397925157471</v>
          </cell>
          <cell r="DW412">
            <v>81.60248282723127</v>
          </cell>
          <cell r="DY412">
            <v>12.211838006230529</v>
          </cell>
          <cell r="DZ412">
            <v>11.381034909631097</v>
          </cell>
          <cell r="EA412">
            <v>8.7771739130434785</v>
          </cell>
          <cell r="EB412">
            <v>8.5149006622516552</v>
          </cell>
          <cell r="EC412">
            <v>40.884947491156758</v>
          </cell>
          <cell r="EE412">
            <v>14.827084499160605</v>
          </cell>
          <cell r="EF412">
            <v>12.397037396794559</v>
          </cell>
          <cell r="EG412">
            <v>10.897558520010069</v>
          </cell>
          <cell r="EH412">
            <v>9.9473684210526319</v>
          </cell>
          <cell r="EI412">
            <v>48.06904883701786</v>
          </cell>
          <cell r="EK412">
            <v>20.74336848833493</v>
          </cell>
          <cell r="EL412">
            <v>19.381548311990688</v>
          </cell>
          <cell r="EM412">
            <v>0</v>
          </cell>
          <cell r="EN412">
            <v>0</v>
          </cell>
          <cell r="EO412">
            <v>40.124916800325622</v>
          </cell>
          <cell r="EQ412">
            <v>0</v>
          </cell>
          <cell r="ER412">
            <v>0</v>
          </cell>
          <cell r="ES412">
            <v>0</v>
          </cell>
          <cell r="ET412">
            <v>0</v>
          </cell>
          <cell r="EU412">
            <v>0</v>
          </cell>
          <cell r="EW412">
            <v>0</v>
          </cell>
          <cell r="EX412">
            <v>0</v>
          </cell>
          <cell r="EY412">
            <v>0</v>
          </cell>
          <cell r="EZ412">
            <v>0</v>
          </cell>
          <cell r="FA412">
            <v>0</v>
          </cell>
        </row>
        <row r="413"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0</v>
          </cell>
          <cell r="S413">
            <v>0</v>
          </cell>
          <cell r="U413">
            <v>0</v>
          </cell>
          <cell r="V413">
            <v>0</v>
          </cell>
          <cell r="W413">
            <v>0</v>
          </cell>
          <cell r="X413">
            <v>0</v>
          </cell>
          <cell r="Y413">
            <v>0</v>
          </cell>
          <cell r="AA413">
            <v>0</v>
          </cell>
          <cell r="AB413">
            <v>0</v>
          </cell>
          <cell r="AC413">
            <v>0</v>
          </cell>
          <cell r="AD413">
            <v>0</v>
          </cell>
          <cell r="AE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0</v>
          </cell>
          <cell r="AM413">
            <v>0</v>
          </cell>
          <cell r="AN413">
            <v>0</v>
          </cell>
          <cell r="AO413">
            <v>0</v>
          </cell>
          <cell r="AP413">
            <v>0</v>
          </cell>
          <cell r="AQ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0</v>
          </cell>
          <cell r="BK413">
            <v>0</v>
          </cell>
          <cell r="BL413">
            <v>0</v>
          </cell>
          <cell r="BM413">
            <v>0</v>
          </cell>
          <cell r="BN413">
            <v>0</v>
          </cell>
          <cell r="BO413">
            <v>0</v>
          </cell>
          <cell r="BQ413">
            <v>0</v>
          </cell>
          <cell r="BR413">
            <v>0</v>
          </cell>
          <cell r="BS413">
            <v>0</v>
          </cell>
          <cell r="BT413">
            <v>0</v>
          </cell>
          <cell r="BU413">
            <v>0</v>
          </cell>
          <cell r="BW413">
            <v>0</v>
          </cell>
          <cell r="BX413">
            <v>0</v>
          </cell>
          <cell r="BY413">
            <v>3.0025445292620869</v>
          </cell>
          <cell r="BZ413">
            <v>3.9875473741201946</v>
          </cell>
          <cell r="CA413">
            <v>6.9900919033822815</v>
          </cell>
          <cell r="CC413">
            <v>2.6318312559923296</v>
          </cell>
          <cell r="CD413">
            <v>2.0234174899377972</v>
          </cell>
          <cell r="CE413">
            <v>2.323035532053066</v>
          </cell>
          <cell r="CF413">
            <v>2.4616039820064413</v>
          </cell>
          <cell r="CG413">
            <v>9.4398882599896332</v>
          </cell>
          <cell r="CI413">
            <v>15.183246073298429</v>
          </cell>
          <cell r="CJ413">
            <v>13.414163090128755</v>
          </cell>
          <cell r="CK413">
            <v>12.658743633276739</v>
          </cell>
          <cell r="CL413">
            <v>15.468570368996847</v>
          </cell>
          <cell r="CM413">
            <v>56.724723165700766</v>
          </cell>
          <cell r="CO413">
            <v>20.72072072072072</v>
          </cell>
          <cell r="CP413">
            <v>17.77570093457944</v>
          </cell>
          <cell r="CQ413">
            <v>17.726249437190454</v>
          </cell>
          <cell r="CR413">
            <v>19.682503556187768</v>
          </cell>
          <cell r="CS413">
            <v>75.905174648678383</v>
          </cell>
          <cell r="CU413">
            <v>22.679065331425846</v>
          </cell>
          <cell r="CV413">
            <v>25.831707317073167</v>
          </cell>
          <cell r="CW413">
            <v>22.608247422680414</v>
          </cell>
          <cell r="CX413">
            <v>25.693171741058233</v>
          </cell>
          <cell r="CY413">
            <v>96.812191812237657</v>
          </cell>
          <cell r="DA413">
            <v>23.551401869158877</v>
          </cell>
          <cell r="DB413">
            <v>28.493150684931507</v>
          </cell>
          <cell r="DC413">
            <v>29.008912927553901</v>
          </cell>
          <cell r="DE413">
            <v>115.39769060516147</v>
          </cell>
          <cell r="DG413">
            <v>31.78194690265487</v>
          </cell>
          <cell r="DH413">
            <v>33.525623826133618</v>
          </cell>
          <cell r="DI413">
            <v>32.518358531317496</v>
          </cell>
          <cell r="DJ413">
            <v>29.605664488017428</v>
          </cell>
          <cell r="DK413">
            <v>127.43159374812342</v>
          </cell>
          <cell r="DM413">
            <v>38.963327370304114</v>
          </cell>
          <cell r="DN413">
            <v>39.465325569084172</v>
          </cell>
          <cell r="DO413">
            <v>35.318141745867145</v>
          </cell>
          <cell r="DP413">
            <v>40.112041167803987</v>
          </cell>
          <cell r="DQ413">
            <v>153.85883585305942</v>
          </cell>
          <cell r="DS413">
            <v>41.162954279015239</v>
          </cell>
          <cell r="DT413">
            <v>44.17838765008576</v>
          </cell>
          <cell r="DU413">
            <v>36.113879003558715</v>
          </cell>
          <cell r="DV413">
            <v>44.073763047902069</v>
          </cell>
          <cell r="DW413">
            <v>165.52898398056178</v>
          </cell>
          <cell r="DY413">
            <v>43.177570093457945</v>
          </cell>
          <cell r="DZ413">
            <v>40.052488239663283</v>
          </cell>
          <cell r="EA413">
            <v>45.733695652173914</v>
          </cell>
          <cell r="EB413">
            <v>43.725165562913908</v>
          </cell>
          <cell r="EC413">
            <v>172.68891954820904</v>
          </cell>
          <cell r="EE413">
            <v>45.55567991046447</v>
          </cell>
          <cell r="EF413">
            <v>58.338999514327341</v>
          </cell>
          <cell r="EG413">
            <v>53.125597785049081</v>
          </cell>
          <cell r="EH413">
            <v>62.23481781376519</v>
          </cell>
          <cell r="EI413">
            <v>219.25509502360609</v>
          </cell>
          <cell r="EK413">
            <v>62.480025567273891</v>
          </cell>
          <cell r="EL413">
            <v>51.820139697322475</v>
          </cell>
          <cell r="EM413">
            <v>50.911417541924962</v>
          </cell>
          <cell r="EN413">
            <v>50.911417541924962</v>
          </cell>
          <cell r="EO413">
            <v>216.12300034844628</v>
          </cell>
          <cell r="EQ413">
            <v>45.950363770678386</v>
          </cell>
          <cell r="ER413">
            <v>45.950363770678386</v>
          </cell>
          <cell r="ES413">
            <v>45.950363770678386</v>
          </cell>
          <cell r="ET413">
            <v>45.950363770678386</v>
          </cell>
          <cell r="EU413">
            <v>183.80145508271355</v>
          </cell>
          <cell r="EW413">
            <v>41.022684768792175</v>
          </cell>
          <cell r="EX413">
            <v>41.022684768792175</v>
          </cell>
          <cell r="EY413">
            <v>41.022684768792175</v>
          </cell>
          <cell r="EZ413">
            <v>41.022684768792175</v>
          </cell>
          <cell r="FA413">
            <v>164.0907390751687</v>
          </cell>
        </row>
        <row r="414">
          <cell r="C414">
            <v>0.91547999999999996</v>
          </cell>
          <cell r="D414">
            <v>1.0186439999999999</v>
          </cell>
          <cell r="E414">
            <v>4.5936349999999999</v>
          </cell>
          <cell r="F414">
            <v>13.15587128</v>
          </cell>
          <cell r="G414">
            <v>22.093</v>
          </cell>
          <cell r="H414">
            <v>38.478999999999999</v>
          </cell>
          <cell r="I414">
            <v>37.329000000000001</v>
          </cell>
          <cell r="J414">
            <v>-0.84099999999999997</v>
          </cell>
          <cell r="K414">
            <v>34.619999999999997</v>
          </cell>
          <cell r="L414">
            <v>76.314999999999998</v>
          </cell>
          <cell r="M414">
            <v>139.74299999999999</v>
          </cell>
          <cell r="O414">
            <v>30.143000000000001</v>
          </cell>
          <cell r="P414">
            <v>46.231999999999999</v>
          </cell>
          <cell r="Q414">
            <v>51.606999999999999</v>
          </cell>
          <cell r="R414">
            <v>89.481999999999999</v>
          </cell>
          <cell r="S414">
            <v>217.464</v>
          </cell>
          <cell r="U414">
            <v>45.012502485913167</v>
          </cell>
          <cell r="V414">
            <v>70.525000000000006</v>
          </cell>
          <cell r="W414">
            <v>75.361000000000004</v>
          </cell>
          <cell r="X414">
            <v>142.649</v>
          </cell>
          <cell r="Y414">
            <v>333.54750248591318</v>
          </cell>
          <cell r="AA414">
            <v>63.433999999999997</v>
          </cell>
          <cell r="AB414">
            <v>100.967</v>
          </cell>
          <cell r="AC414">
            <v>108.45187754577286</v>
          </cell>
          <cell r="AD414">
            <v>202.465</v>
          </cell>
          <cell r="AE414">
            <v>475.31787754577294</v>
          </cell>
          <cell r="AG414">
            <v>140.61843999999999</v>
          </cell>
          <cell r="AH414">
            <v>100.93</v>
          </cell>
          <cell r="AI414">
            <v>115.81100000000001</v>
          </cell>
          <cell r="AJ414">
            <v>216.904</v>
          </cell>
          <cell r="AK414">
            <v>574.26344000000006</v>
          </cell>
          <cell r="AM414">
            <v>105.001</v>
          </cell>
          <cell r="AN414">
            <v>136.64500000000001</v>
          </cell>
          <cell r="AO414">
            <v>151.07400000000001</v>
          </cell>
          <cell r="AP414">
            <v>299.60000000000002</v>
          </cell>
          <cell r="AQ414">
            <v>692.32</v>
          </cell>
          <cell r="AS414">
            <v>127.474</v>
          </cell>
          <cell r="AT414">
            <v>207.03100000000001</v>
          </cell>
          <cell r="AU414">
            <v>446.154</v>
          </cell>
          <cell r="AV414">
            <v>3045.9720000000002</v>
          </cell>
          <cell r="AW414">
            <v>3826.6310000000003</v>
          </cell>
          <cell r="AY414">
            <v>275.56599999999997</v>
          </cell>
          <cell r="AZ414">
            <v>343.06900000000002</v>
          </cell>
          <cell r="BA414">
            <v>320.71800000000002</v>
          </cell>
          <cell r="BB414">
            <v>470.78100000000001</v>
          </cell>
          <cell r="BC414">
            <v>1410.134</v>
          </cell>
          <cell r="BE414">
            <v>274.964</v>
          </cell>
          <cell r="BF414">
            <v>295.86399999999998</v>
          </cell>
          <cell r="BG414">
            <v>273.52499999999998</v>
          </cell>
          <cell r="BH414">
            <v>339.846</v>
          </cell>
          <cell r="BI414">
            <v>1184.1990000000001</v>
          </cell>
          <cell r="BK414">
            <v>179</v>
          </cell>
          <cell r="BL414">
            <v>265</v>
          </cell>
          <cell r="BM414">
            <v>258</v>
          </cell>
          <cell r="BN414">
            <v>416</v>
          </cell>
          <cell r="BO414">
            <v>1118</v>
          </cell>
          <cell r="BQ414">
            <v>224</v>
          </cell>
          <cell r="BR414">
            <v>299</v>
          </cell>
          <cell r="BS414">
            <v>312</v>
          </cell>
          <cell r="BT414">
            <v>429</v>
          </cell>
          <cell r="BU414">
            <v>1264</v>
          </cell>
          <cell r="BW414">
            <v>237.84349593495935</v>
          </cell>
          <cell r="BX414">
            <v>345.84462738301562</v>
          </cell>
          <cell r="BY414">
            <v>311.86768447837153</v>
          </cell>
          <cell r="BZ414">
            <v>439.70005414185164</v>
          </cell>
          <cell r="CA414">
            <v>1335.255861938198</v>
          </cell>
          <cell r="CC414">
            <v>264.00479386385427</v>
          </cell>
          <cell r="CD414">
            <v>365.33552872301499</v>
          </cell>
          <cell r="CE414">
            <v>390.5313108822711</v>
          </cell>
          <cell r="CF414">
            <v>657.07902792195694</v>
          </cell>
          <cell r="CG414">
            <v>1676.9506613910974</v>
          </cell>
          <cell r="CI414">
            <v>384.01047120418849</v>
          </cell>
          <cell r="CJ414">
            <v>460.13519313304721</v>
          </cell>
          <cell r="CK414">
            <v>458.97396717600452</v>
          </cell>
          <cell r="CL414">
            <v>771.49045058409047</v>
          </cell>
          <cell r="CM414">
            <v>2074.6100820973306</v>
          </cell>
          <cell r="CO414">
            <v>480.42042042042044</v>
          </cell>
          <cell r="CP414">
            <v>619.50066755674231</v>
          </cell>
          <cell r="CQ414">
            <v>629.06213417379558</v>
          </cell>
          <cell r="CR414">
            <v>1068.3032716927455</v>
          </cell>
          <cell r="CS414">
            <v>2797.2864938437037</v>
          </cell>
          <cell r="CU414">
            <v>515.20505484024795</v>
          </cell>
          <cell r="CV414">
            <v>690.79512195121947</v>
          </cell>
          <cell r="CW414">
            <v>631.01237113402067</v>
          </cell>
          <cell r="CX414">
            <v>1053.8187998817618</v>
          </cell>
          <cell r="CY414">
            <v>2890.8313478072496</v>
          </cell>
          <cell r="DA414">
            <v>597.53271028037375</v>
          </cell>
          <cell r="DB414">
            <v>746.91780821917814</v>
          </cell>
          <cell r="DC414">
            <v>640.09377618648591</v>
          </cell>
          <cell r="DE414">
            <v>2964.846631368855</v>
          </cell>
          <cell r="DG414">
            <v>675.57486725663716</v>
          </cell>
          <cell r="DH414">
            <v>1048.9943654413737</v>
          </cell>
          <cell r="DI414">
            <v>901.99082073434124</v>
          </cell>
          <cell r="DJ414">
            <v>1158.6819172113289</v>
          </cell>
          <cell r="DK414">
            <v>3785.2419706436813</v>
          </cell>
          <cell r="DM414">
            <v>858.41860465116281</v>
          </cell>
          <cell r="DN414">
            <v>977.69242985706728</v>
          </cell>
          <cell r="DO414">
            <v>844.58721407754831</v>
          </cell>
          <cell r="DP414">
            <v>1123.2761973369734</v>
          </cell>
          <cell r="DQ414">
            <v>3803.9744459227518</v>
          </cell>
          <cell r="DS414">
            <v>827.506447831184</v>
          </cell>
          <cell r="DT414">
            <v>882.76329331046304</v>
          </cell>
          <cell r="DU414">
            <v>760.6903914590747</v>
          </cell>
          <cell r="DV414">
            <v>1151.7491983943266</v>
          </cell>
          <cell r="DW414">
            <v>3622.7093309950487</v>
          </cell>
          <cell r="DY414">
            <v>659.32087227414331</v>
          </cell>
          <cell r="DZ414">
            <v>831.43996038623425</v>
          </cell>
          <cell r="EA414">
            <v>866.70380434782612</v>
          </cell>
          <cell r="EB414">
            <v>1132.1688741721855</v>
          </cell>
          <cell r="EC414">
            <v>3489.6335111803892</v>
          </cell>
          <cell r="EE414">
            <v>717.29714605484048</v>
          </cell>
          <cell r="EF414">
            <v>970.94341913550261</v>
          </cell>
          <cell r="EG414">
            <v>840.48552730933807</v>
          </cell>
          <cell r="EH414">
            <v>1191.51012145749</v>
          </cell>
          <cell r="EI414">
            <v>3720.236213957171</v>
          </cell>
          <cell r="EK414">
            <v>766.93480345158196</v>
          </cell>
          <cell r="EL414">
            <v>627.07246798603023</v>
          </cell>
          <cell r="EM414">
            <v>670.57346350821558</v>
          </cell>
          <cell r="EN414">
            <v>857.4081358128185</v>
          </cell>
          <cell r="EO414">
            <v>2921.988870758646</v>
          </cell>
          <cell r="EQ414">
            <v>618.94655105682727</v>
          </cell>
          <cell r="ER414">
            <v>661.83658874280115</v>
          </cell>
          <cell r="ES414">
            <v>665.17730566894954</v>
          </cell>
          <cell r="ET414">
            <v>825.81032979603583</v>
          </cell>
          <cell r="EU414">
            <v>2771.7707752646138</v>
          </cell>
          <cell r="EW414">
            <v>625.35956842088217</v>
          </cell>
          <cell r="EX414">
            <v>666.0524371931067</v>
          </cell>
          <cell r="EY414">
            <v>682.93376477714889</v>
          </cell>
          <cell r="EZ414">
            <v>807.69528068639272</v>
          </cell>
          <cell r="FA414">
            <v>2782.0410510775305</v>
          </cell>
        </row>
      </sheetData>
      <sheetData sheetId="2">
        <row r="8">
          <cell r="EL8">
            <v>17411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Research">
      <a:dk1>
        <a:sysClr val="windowText" lastClr="000000"/>
      </a:dk1>
      <a:lt1>
        <a:sysClr val="window" lastClr="FFFFFF"/>
      </a:lt1>
      <a:dk2>
        <a:srgbClr val="003366"/>
      </a:dk2>
      <a:lt2>
        <a:srgbClr val="C6D9E2"/>
      </a:lt2>
      <a:accent1>
        <a:srgbClr val="137CB1"/>
      </a:accent1>
      <a:accent2>
        <a:srgbClr val="EACC80"/>
      </a:accent2>
      <a:accent3>
        <a:srgbClr val="4AAC6B"/>
      </a:accent3>
      <a:accent4>
        <a:srgbClr val="A8D7E2"/>
      </a:accent4>
      <a:accent5>
        <a:srgbClr val="E58061"/>
      </a:accent5>
      <a:accent6>
        <a:srgbClr val="BCE3A1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
<Relationship Id="rId1" Target="../printerSettings/printerSettings1.bin" Type="http://schemas.openxmlformats.org/officeDocument/2006/relationships/printerSettings"/>
<Relationship Id="rId2" Target="../drawings/drawing1.xml" Type="http://schemas.openxmlformats.org/officeDocument/2006/relationships/drawing"/>
</Relationships>

</file>

<file path=xl/worksheets/_rels/sheet2.xml.rels><?xml version="1.0" encoding="UTF-8" standalone="yes"?>
<Relationships xmlns="http://schemas.openxmlformats.org/package/2006/relationships">
<Relationship Id="rId1" Target="../printerSettings/printerSettings2.bin" Type="http://schemas.openxmlformats.org/officeDocument/2006/relationships/printerSettings"/>
<Relationship Id="rId2" Target="../drawings/vmlDrawing1.vml" Type="http://schemas.openxmlformats.org/officeDocument/2006/relationships/vmlDrawing"/>
<Relationship Id="rId3" Target="../comments1.xml" Type="http://schemas.openxmlformats.org/officeDocument/2006/relationships/comments"/>
</Relationships>

</file>

<file path=xl/worksheets/_rels/sheet3.xml.rels><?xml version="1.0" encoding="UTF-8" standalone="yes"?>
<Relationships xmlns="http://schemas.openxmlformats.org/package/2006/relationships">
<Relationship Id="rId1" Target="../printerSettings/printerSettings3.bin" Type="http://schemas.openxmlformats.org/officeDocument/2006/relationships/printerSettings"/>
<Relationship Id="rId2" Target="../drawings/vmlDrawing2.vml" Type="http://schemas.openxmlformats.org/officeDocument/2006/relationships/vmlDrawing"/>
<Relationship Id="rId3" Target="../comments2.xml" Type="http://schemas.openxmlformats.org/officeDocument/2006/relationships/comments"/>
</Relationships>

</file>

<file path=xl/worksheets/_rels/sheet4.xml.rels><?xml version="1.0" encoding="UTF-8" standalone="yes"?>
<Relationships xmlns="http://schemas.openxmlformats.org/package/2006/relationships">
<Relationship Id="rId1" Target="../printerSettings/printerSettings4.bin" Type="http://schemas.openxmlformats.org/officeDocument/2006/relationships/printerSettings"/>
<Relationship Id="rId2" Target="../drawings/vmlDrawing3.vml" Type="http://schemas.openxmlformats.org/officeDocument/2006/relationships/vmlDrawing"/>
<Relationship Id="rId3" Target="../comments3.xml" Type="http://schemas.openxmlformats.org/officeDocument/2006/relationships/comments"/>
</Relationships>

</file>

<file path=xl/worksheets/_rels/sheet5.xml.rels><?xml version="1.0" encoding="UTF-8" standalone="yes"?>
<Relationships xmlns="http://schemas.openxmlformats.org/package/2006/relationships">
<Relationship Id="rId1" Target="../printerSettings/printerSettings5.bin" Type="http://schemas.openxmlformats.org/officeDocument/2006/relationships/printerSettings"/>
<Relationship Id="rId2" Target="../drawings/vmlDrawing4.vml" Type="http://schemas.openxmlformats.org/officeDocument/2006/relationships/vmlDrawing"/>
<Relationship Id="rId3" Target="../comments4.xml" Type="http://schemas.openxmlformats.org/officeDocument/2006/relationships/comments"/>
</Relationships>

</file>

<file path=xl/worksheets/_rels/sheet6.xml.rels><?xml version="1.0" encoding="UTF-8" standalone="yes"?>
<Relationships xmlns="http://schemas.openxmlformats.org/package/2006/relationships">
<Relationship Id="rId1" Target="../printerSettings/printerSettings6.bin" Type="http://schemas.openxmlformats.org/officeDocument/2006/relationships/printerSettings"/>
<Relationship Id="rId2" Target="../drawings/vmlDrawing5.vml" Type="http://schemas.openxmlformats.org/officeDocument/2006/relationships/vmlDrawing"/>
<Relationship Id="rId3" Target="../comments5.xml" Type="http://schemas.openxmlformats.org/officeDocument/2006/relationships/comments"/>
</Relationships>

</file>

<file path=xl/worksheets/_rels/sheet7.xml.rels><?xml version="1.0" encoding="UTF-8" standalone="yes"?>
<Relationships xmlns="http://schemas.openxmlformats.org/package/2006/relationships">
<Relationship Id="rId1" Target="../printerSettings/printerSettings7.bin" Type="http://schemas.openxmlformats.org/officeDocument/2006/relationships/printerSettings"/>
<Relationship Id="rId2" Target="../drawings/vmlDrawing6.vml" Type="http://schemas.openxmlformats.org/officeDocument/2006/relationships/vmlDrawing"/>
<Relationship Id="rId3" Target="../comments6.xml" Type="http://schemas.openxmlformats.org/officeDocument/2006/relationships/comments"/>
</Relationships>

</file>

<file path=xl/worksheets/_rels/sheet8.xml.rels><?xml version="1.0" encoding="UTF-8" standalone="yes"?>
<Relationships xmlns="http://schemas.openxmlformats.org/package/2006/relationships">
<Relationship Id="rId1" Target="../printerSettings/printerSettings8.bin" Type="http://schemas.openxmlformats.org/officeDocument/2006/relationships/printerSettings"/>
<Relationship Id="rId2" Target="../drawings/drawing2.xml" Type="http://schemas.openxmlformats.org/officeDocument/2006/relationships/drawing"/>
<Relationship Id="rId3" Target="../drawings/vmlDrawing7.vml" Type="http://schemas.openxmlformats.org/officeDocument/2006/relationships/vmlDrawing"/>
<Relationship Id="rId4" Target="../comments7.xml" Type="http://schemas.openxmlformats.org/officeDocument/2006/relationships/comments"/>
</Relationships>

</file>

<file path=xl/worksheets/_rels/sheet9.xml.rels><?xml version="1.0" encoding="UTF-8" standalone="yes"?>
<Relationships xmlns="http://schemas.openxmlformats.org/package/2006/relationships">
<Relationship Id="rId1" Target="../printerSettings/printerSettings9.bin" Type="http://schemas.openxmlformats.org/officeDocument/2006/relationships/printerSettings"/>
<Relationship Id="rId2" Target="../drawings/vmlDrawing8.vml" Type="http://schemas.openxmlformats.org/officeDocument/2006/relationships/vmlDrawing"/>
<Relationship Id="rId3" Target="../comments8.xml" Type="http://schemas.openxmlformats.org/officeDocument/2006/relationships/comments"/>
</Relationships>

</file>

<file path=xl/worksheets/_rels/sheet10.xml.rels><?xml version="1.0" encoding="UTF-8" standalone="yes"?>
<Relationships xmlns="http://schemas.openxmlformats.org/package/2006/relationships">
<Relationship Id="rId1" Target="../printerSettings/printerSettings10.bin" Type="http://schemas.openxmlformats.org/officeDocument/2006/relationships/printerSettings"/>
<Relationship Id="rId2" Target="../drawings/vmlDrawing9.vml" Type="http://schemas.openxmlformats.org/officeDocument/2006/relationships/vmlDrawing"/>
<Relationship Id="rId3" Target="../comments9.xml" Type="http://schemas.openxmlformats.org/officeDocument/2006/relationships/comments"/>
</Relationships>

</file>

<file path=xl/worksheets/_rels/sheet11.xml.rels><?xml version="1.0" encoding="UTF-8" standalone="yes"?>
<Relationships xmlns="http://schemas.openxmlformats.org/package/2006/relationships">
<Relationship Id="rId1" Target="../printerSettings/printerSettings11.bin" Type="http://schemas.openxmlformats.org/officeDocument/2006/relationships/printerSettings"/>
<Relationship Id="rId2" Target="../drawings/vmlDrawing10.vml" Type="http://schemas.openxmlformats.org/officeDocument/2006/relationships/vmlDrawing"/>
<Relationship Id="rId3" Target="../comments10.xml" Type="http://schemas.openxmlformats.org/officeDocument/2006/relationships/comments"/>
</Relationships>

</file>

<file path=xl/worksheets/_rels/sheet12.xml.rels><?xml version="1.0" encoding="UTF-8" standalone="yes"?>
<Relationships xmlns="http://schemas.openxmlformats.org/package/2006/relationships">
<Relationship Id="rId1" Target="../printerSettings/printerSettings12.bin" Type="http://schemas.openxmlformats.org/officeDocument/2006/relationships/printerSettings"/>
</Relationships>

</file>

<file path=xl/worksheets/_rels/sheet13.xml.rels><?xml version="1.0" encoding="UTF-8" standalone="yes"?>
<Relationships xmlns="http://schemas.openxmlformats.org/package/2006/relationships">
<Relationship Id="rId1" Target="../printerSettings/printerSettings13.bin" Type="http://schemas.openxmlformats.org/officeDocument/2006/relationships/printerSettings"/>
</Relationships>

</file>

<file path=xl/worksheets/_rels/sheet15.xml.rels><?xml version="1.0" encoding="UTF-8" standalone="yes"?>
<Relationships xmlns="http://schemas.openxmlformats.org/package/2006/relationships">
<Relationship Id="rId1" Target="../printerSettings/printerSettings14.bin" Type="http://schemas.openxmlformats.org/officeDocument/2006/relationships/printerSettings"/>
<Relationship Id="rId2" Target="../drawings/vmlDrawing11.vml" Type="http://schemas.openxmlformats.org/officeDocument/2006/relationships/vmlDrawing"/>
<Relationship Id="rId3" Target="../comments11.xml" Type="http://schemas.openxmlformats.org/officeDocument/2006/relationships/comments"/>
</Relationships>

</file>

<file path=xl/worksheets/_rels/sheet16.xml.rels><?xml version="1.0" encoding="UTF-8" standalone="yes"?>
<Relationships xmlns="http://schemas.openxmlformats.org/package/2006/relationships">
<Relationship Id="rId1" Target="../printerSettings/printerSettings15.bin" Type="http://schemas.openxmlformats.org/officeDocument/2006/relationships/printerSettings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94"/>
  <sheetViews>
    <sheetView showGridLines="0" tabSelected="1" workbookViewId="0">
      <selection activeCell="Z1" sqref="Z1"/>
    </sheetView>
  </sheetViews>
  <sheetFormatPr defaultRowHeight="12.75"/>
  <cols>
    <col min="1" max="1" width="25.7109375" style="3105" customWidth="1"/>
    <col min="2" max="5" width="9.140625" style="3105"/>
    <col min="6" max="6" width="18.7109375" style="3105" customWidth="1"/>
    <col min="7" max="256" width="9.140625" style="3105"/>
    <col min="257" max="257" width="100.7109375" style="3105" customWidth="1"/>
    <col min="258" max="512" width="9.140625" style="3105"/>
    <col min="513" max="513" width="100.7109375" style="3105" customWidth="1"/>
    <col min="514" max="768" width="9.140625" style="3105"/>
    <col min="769" max="769" width="100.7109375" style="3105" customWidth="1"/>
    <col min="770" max="1024" width="9.140625" style="3105"/>
    <col min="1025" max="1025" width="100.7109375" style="3105" customWidth="1"/>
    <col min="1026" max="1280" width="9.140625" style="3105"/>
    <col min="1281" max="1281" width="100.7109375" style="3105" customWidth="1"/>
    <col min="1282" max="1536" width="9.140625" style="3105"/>
    <col min="1537" max="1537" width="100.7109375" style="3105" customWidth="1"/>
    <col min="1538" max="1792" width="9.140625" style="3105"/>
    <col min="1793" max="1793" width="100.7109375" style="3105" customWidth="1"/>
    <col min="1794" max="2048" width="9.140625" style="3105"/>
    <col min="2049" max="2049" width="100.7109375" style="3105" customWidth="1"/>
    <col min="2050" max="2304" width="9.140625" style="3105"/>
    <col min="2305" max="2305" width="100.7109375" style="3105" customWidth="1"/>
    <col min="2306" max="2560" width="9.140625" style="3105"/>
    <col min="2561" max="2561" width="100.7109375" style="3105" customWidth="1"/>
    <col min="2562" max="2816" width="9.140625" style="3105"/>
    <col min="2817" max="2817" width="100.7109375" style="3105" customWidth="1"/>
    <col min="2818" max="3072" width="9.140625" style="3105"/>
    <col min="3073" max="3073" width="100.7109375" style="3105" customWidth="1"/>
    <col min="3074" max="3328" width="9.140625" style="3105"/>
    <col min="3329" max="3329" width="100.7109375" style="3105" customWidth="1"/>
    <col min="3330" max="3584" width="9.140625" style="3105"/>
    <col min="3585" max="3585" width="100.7109375" style="3105" customWidth="1"/>
    <col min="3586" max="3840" width="9.140625" style="3105"/>
    <col min="3841" max="3841" width="100.7109375" style="3105" customWidth="1"/>
    <col min="3842" max="4096" width="9.140625" style="3105"/>
    <col min="4097" max="4097" width="100.7109375" style="3105" customWidth="1"/>
    <col min="4098" max="4352" width="9.140625" style="3105"/>
    <col min="4353" max="4353" width="100.7109375" style="3105" customWidth="1"/>
    <col min="4354" max="4608" width="9.140625" style="3105"/>
    <col min="4609" max="4609" width="100.7109375" style="3105" customWidth="1"/>
    <col min="4610" max="4864" width="9.140625" style="3105"/>
    <col min="4865" max="4865" width="100.7109375" style="3105" customWidth="1"/>
    <col min="4866" max="5120" width="9.140625" style="3105"/>
    <col min="5121" max="5121" width="100.7109375" style="3105" customWidth="1"/>
    <col min="5122" max="5376" width="9.140625" style="3105"/>
    <col min="5377" max="5377" width="100.7109375" style="3105" customWidth="1"/>
    <col min="5378" max="5632" width="9.140625" style="3105"/>
    <col min="5633" max="5633" width="100.7109375" style="3105" customWidth="1"/>
    <col min="5634" max="5888" width="9.140625" style="3105"/>
    <col min="5889" max="5889" width="100.7109375" style="3105" customWidth="1"/>
    <col min="5890" max="6144" width="9.140625" style="3105"/>
    <col min="6145" max="6145" width="100.7109375" style="3105" customWidth="1"/>
    <col min="6146" max="6400" width="9.140625" style="3105"/>
    <col min="6401" max="6401" width="100.7109375" style="3105" customWidth="1"/>
    <col min="6402" max="6656" width="9.140625" style="3105"/>
    <col min="6657" max="6657" width="100.7109375" style="3105" customWidth="1"/>
    <col min="6658" max="6912" width="9.140625" style="3105"/>
    <col min="6913" max="6913" width="100.7109375" style="3105" customWidth="1"/>
    <col min="6914" max="7168" width="9.140625" style="3105"/>
    <col min="7169" max="7169" width="100.7109375" style="3105" customWidth="1"/>
    <col min="7170" max="7424" width="9.140625" style="3105"/>
    <col min="7425" max="7425" width="100.7109375" style="3105" customWidth="1"/>
    <col min="7426" max="7680" width="9.140625" style="3105"/>
    <col min="7681" max="7681" width="100.7109375" style="3105" customWidth="1"/>
    <col min="7682" max="7936" width="9.140625" style="3105"/>
    <col min="7937" max="7937" width="100.7109375" style="3105" customWidth="1"/>
    <col min="7938" max="8192" width="9.140625" style="3105"/>
    <col min="8193" max="8193" width="100.7109375" style="3105" customWidth="1"/>
    <col min="8194" max="8448" width="9.140625" style="3105"/>
    <col min="8449" max="8449" width="100.7109375" style="3105" customWidth="1"/>
    <col min="8450" max="8704" width="9.140625" style="3105"/>
    <col min="8705" max="8705" width="100.7109375" style="3105" customWidth="1"/>
    <col min="8706" max="8960" width="9.140625" style="3105"/>
    <col min="8961" max="8961" width="100.7109375" style="3105" customWidth="1"/>
    <col min="8962" max="9216" width="9.140625" style="3105"/>
    <col min="9217" max="9217" width="100.7109375" style="3105" customWidth="1"/>
    <col min="9218" max="9472" width="9.140625" style="3105"/>
    <col min="9473" max="9473" width="100.7109375" style="3105" customWidth="1"/>
    <col min="9474" max="9728" width="9.140625" style="3105"/>
    <col min="9729" max="9729" width="100.7109375" style="3105" customWidth="1"/>
    <col min="9730" max="9984" width="9.140625" style="3105"/>
    <col min="9985" max="9985" width="100.7109375" style="3105" customWidth="1"/>
    <col min="9986" max="10240" width="9.140625" style="3105"/>
    <col min="10241" max="10241" width="100.7109375" style="3105" customWidth="1"/>
    <col min="10242" max="10496" width="9.140625" style="3105"/>
    <col min="10497" max="10497" width="100.7109375" style="3105" customWidth="1"/>
    <col min="10498" max="10752" width="9.140625" style="3105"/>
    <col min="10753" max="10753" width="100.7109375" style="3105" customWidth="1"/>
    <col min="10754" max="11008" width="9.140625" style="3105"/>
    <col min="11009" max="11009" width="100.7109375" style="3105" customWidth="1"/>
    <col min="11010" max="11264" width="9.140625" style="3105"/>
    <col min="11265" max="11265" width="100.7109375" style="3105" customWidth="1"/>
    <col min="11266" max="11520" width="9.140625" style="3105"/>
    <col min="11521" max="11521" width="100.7109375" style="3105" customWidth="1"/>
    <col min="11522" max="11776" width="9.140625" style="3105"/>
    <col min="11777" max="11777" width="100.7109375" style="3105" customWidth="1"/>
    <col min="11778" max="12032" width="9.140625" style="3105"/>
    <col min="12033" max="12033" width="100.7109375" style="3105" customWidth="1"/>
    <col min="12034" max="12288" width="9.140625" style="3105"/>
    <col min="12289" max="12289" width="100.7109375" style="3105" customWidth="1"/>
    <col min="12290" max="12544" width="9.140625" style="3105"/>
    <col min="12545" max="12545" width="100.7109375" style="3105" customWidth="1"/>
    <col min="12546" max="12800" width="9.140625" style="3105"/>
    <col min="12801" max="12801" width="100.7109375" style="3105" customWidth="1"/>
    <col min="12802" max="13056" width="9.140625" style="3105"/>
    <col min="13057" max="13057" width="100.7109375" style="3105" customWidth="1"/>
    <col min="13058" max="13312" width="9.140625" style="3105"/>
    <col min="13313" max="13313" width="100.7109375" style="3105" customWidth="1"/>
    <col min="13314" max="13568" width="9.140625" style="3105"/>
    <col min="13569" max="13569" width="100.7109375" style="3105" customWidth="1"/>
    <col min="13570" max="13824" width="9.140625" style="3105"/>
    <col min="13825" max="13825" width="100.7109375" style="3105" customWidth="1"/>
    <col min="13826" max="14080" width="9.140625" style="3105"/>
    <col min="14081" max="14081" width="100.7109375" style="3105" customWidth="1"/>
    <col min="14082" max="14336" width="9.140625" style="3105"/>
    <col min="14337" max="14337" width="100.7109375" style="3105" customWidth="1"/>
    <col min="14338" max="14592" width="9.140625" style="3105"/>
    <col min="14593" max="14593" width="100.7109375" style="3105" customWidth="1"/>
    <col min="14594" max="14848" width="9.140625" style="3105"/>
    <col min="14849" max="14849" width="100.7109375" style="3105" customWidth="1"/>
    <col min="14850" max="15104" width="9.140625" style="3105"/>
    <col min="15105" max="15105" width="100.7109375" style="3105" customWidth="1"/>
    <col min="15106" max="15360" width="9.140625" style="3105"/>
    <col min="15361" max="15361" width="100.7109375" style="3105" customWidth="1"/>
    <col min="15362" max="15616" width="9.140625" style="3105"/>
    <col min="15617" max="15617" width="100.7109375" style="3105" customWidth="1"/>
    <col min="15618" max="15872" width="9.140625" style="3105"/>
    <col min="15873" max="15873" width="100.7109375" style="3105" customWidth="1"/>
    <col min="15874" max="16128" width="9.140625" style="3105"/>
    <col min="16129" max="16129" width="100.7109375" style="3105" customWidth="1"/>
    <col min="16130" max="16384" width="9.140625" style="3105"/>
  </cols>
  <sheetData>
    <row r="1" spans="1:8" ht="30" customHeight="1">
      <c r="A1" s="3103"/>
      <c r="B1" s="3104"/>
      <c r="C1" s="3104"/>
      <c r="D1" s="3104"/>
      <c r="E1" s="3104"/>
      <c r="F1" s="3104"/>
      <c r="G1" s="3104"/>
      <c r="H1" s="3104"/>
    </row>
    <row r="2" spans="1:8" ht="14.25">
      <c r="A2" s="3106" t="s">
        <v>1486</v>
      </c>
      <c r="B2" s="3104"/>
      <c r="C2" s="3104"/>
      <c r="D2" s="3104"/>
      <c r="E2" s="3104"/>
      <c r="F2" s="3104"/>
      <c r="G2" s="3104"/>
      <c r="H2" s="3104"/>
    </row>
    <row r="3" spans="1:8" ht="14.25">
      <c r="A3" s="3106" t="s">
        <v>1487</v>
      </c>
      <c r="B3" s="3104"/>
      <c r="C3" s="3104"/>
      <c r="D3" s="3104"/>
      <c r="E3" s="3104"/>
      <c r="F3" s="3104"/>
      <c r="G3" s="3104"/>
      <c r="H3" s="3104"/>
    </row>
    <row r="4" spans="1:8" ht="14.25">
      <c r="A4" s="3106" t="s">
        <v>1488</v>
      </c>
      <c r="B4" s="3104"/>
      <c r="C4" s="3104"/>
      <c r="D4" s="3104"/>
      <c r="E4" s="3104"/>
      <c r="F4" s="3104"/>
      <c r="G4" s="3104"/>
      <c r="H4" s="3104"/>
    </row>
    <row r="5" spans="1:8" ht="14.25">
      <c r="A5" s="3106" t="s">
        <v>1489</v>
      </c>
      <c r="B5" s="3104"/>
      <c r="C5" s="3104"/>
      <c r="D5" s="3104"/>
      <c r="E5" s="3104"/>
      <c r="F5" s="3104"/>
      <c r="G5" s="3104"/>
      <c r="H5" s="3104"/>
    </row>
    <row r="6" spans="1:8" ht="14.25">
      <c r="A6" s="3106"/>
      <c r="B6" s="3104"/>
      <c r="C6" s="3104"/>
      <c r="D6" s="3104"/>
      <c r="E6" s="3104"/>
      <c r="F6" s="3104"/>
      <c r="G6" s="3104"/>
      <c r="H6" s="3104"/>
    </row>
    <row r="7" spans="1:8">
      <c r="A7" s="3103" t="s">
        <v>1490</v>
      </c>
      <c r="B7" s="3104"/>
      <c r="C7" s="3104"/>
      <c r="D7" s="3104"/>
      <c r="E7" s="3104"/>
      <c r="F7" s="3104"/>
      <c r="G7" s="3104"/>
      <c r="H7" s="3104"/>
    </row>
    <row r="8" spans="1:8">
      <c r="A8" s="3103" t="s">
        <v>1491</v>
      </c>
      <c r="B8" s="3104"/>
      <c r="C8" s="3104"/>
      <c r="D8" s="3104"/>
      <c r="E8" s="3104"/>
      <c r="F8" s="3104"/>
      <c r="G8" s="3104"/>
      <c r="H8" s="3104"/>
    </row>
    <row r="9" spans="1:8">
      <c r="A9" s="3103"/>
      <c r="B9" s="3104"/>
      <c r="C9" s="3104"/>
      <c r="D9" s="3104"/>
      <c r="E9" s="3104"/>
      <c r="F9" s="3104"/>
      <c r="G9" s="3104"/>
      <c r="H9" s="3104"/>
    </row>
    <row r="10" spans="1:8">
      <c r="A10" s="3107" t="s">
        <v>1492</v>
      </c>
      <c r="B10" s="3104"/>
      <c r="C10" s="3104"/>
      <c r="D10" s="3104"/>
      <c r="E10" s="3104"/>
      <c r="F10" s="3104"/>
      <c r="G10" s="3104"/>
      <c r="H10" s="3104"/>
    </row>
    <row r="11" spans="1:8">
      <c r="A11" s="3107" t="s">
        <v>1493</v>
      </c>
      <c r="B11" s="3104"/>
      <c r="C11" s="3104"/>
      <c r="D11" s="3104"/>
      <c r="E11" s="3104"/>
      <c r="F11" s="3104"/>
      <c r="G11" s="3104"/>
      <c r="H11" s="3104"/>
    </row>
    <row r="12" spans="1:8">
      <c r="A12" s="3107" t="s">
        <v>1494</v>
      </c>
      <c r="B12" s="3104"/>
      <c r="C12" s="3104"/>
      <c r="D12" s="3104"/>
      <c r="E12" s="3104"/>
      <c r="F12" s="3104"/>
      <c r="G12" s="3104"/>
      <c r="H12" s="3104"/>
    </row>
    <row r="13" spans="1:8">
      <c r="A13" s="3107" t="s">
        <v>1495</v>
      </c>
      <c r="B13" s="3104"/>
      <c r="C13" s="3104"/>
      <c r="D13" s="3104"/>
      <c r="E13" s="3104"/>
      <c r="F13" s="3104"/>
      <c r="G13" s="3104"/>
      <c r="H13" s="3104"/>
    </row>
    <row r="14" spans="1:8">
      <c r="A14" s="3107" t="s">
        <v>1496</v>
      </c>
      <c r="B14" s="3104"/>
      <c r="C14" s="3104"/>
      <c r="D14" s="3104"/>
      <c r="E14" s="3104"/>
      <c r="F14" s="3104"/>
      <c r="G14" s="3104"/>
      <c r="H14" s="3104"/>
    </row>
    <row r="15" spans="1:8">
      <c r="A15" s="3107" t="s">
        <v>1497</v>
      </c>
      <c r="B15" s="3104"/>
      <c r="C15" s="3104"/>
      <c r="D15" s="3104"/>
      <c r="E15" s="3104"/>
      <c r="F15" s="3104"/>
      <c r="G15" s="3104"/>
      <c r="H15" s="3104"/>
    </row>
    <row r="16" spans="1:8">
      <c r="A16" s="3107"/>
      <c r="B16" s="3104"/>
      <c r="C16" s="3104"/>
      <c r="D16" s="3104"/>
      <c r="E16" s="3104"/>
      <c r="F16" s="3104"/>
      <c r="G16" s="3104"/>
      <c r="H16" s="3104"/>
    </row>
    <row r="17" spans="1:8">
      <c r="A17" s="3107" t="s">
        <v>1483</v>
      </c>
      <c r="B17" s="3104"/>
      <c r="C17" s="3104"/>
      <c r="D17" s="3104"/>
      <c r="E17" s="3104"/>
      <c r="F17" s="3104"/>
      <c r="G17" s="3104"/>
      <c r="H17" s="3104"/>
    </row>
    <row r="18" spans="1:8">
      <c r="A18" s="3107"/>
      <c r="B18" s="3104"/>
      <c r="C18" s="3104"/>
      <c r="D18" s="3104"/>
      <c r="E18" s="3104"/>
      <c r="F18" s="3104"/>
      <c r="G18" s="3104"/>
      <c r="H18" s="3104"/>
    </row>
    <row r="19" spans="1:8">
      <c r="A19" s="3107" t="s">
        <v>1484</v>
      </c>
      <c r="B19" s="3104"/>
      <c r="C19" s="3104"/>
      <c r="D19" s="3104"/>
      <c r="E19" s="3104"/>
      <c r="F19" s="3104"/>
      <c r="G19" s="3104"/>
      <c r="H19" s="3104"/>
    </row>
    <row r="20" spans="1:8">
      <c r="A20" s="3103"/>
      <c r="B20" s="3104"/>
      <c r="C20" s="3104"/>
      <c r="D20" s="3104"/>
      <c r="E20" s="3104"/>
      <c r="F20" s="3104"/>
      <c r="G20" s="3104"/>
      <c r="H20" s="3104"/>
    </row>
    <row r="21" spans="1:8">
      <c r="A21" s="3108" t="s">
        <v>1485</v>
      </c>
      <c r="B21" s="3104"/>
      <c r="C21" s="3104"/>
      <c r="D21" s="3104"/>
      <c r="E21" s="3104"/>
      <c r="F21" s="3104"/>
      <c r="G21" s="3104"/>
      <c r="H21" s="3104"/>
    </row>
    <row r="22" spans="1:8">
      <c r="A22" s="3109"/>
      <c r="B22" s="3109"/>
      <c r="C22" s="3109"/>
      <c r="D22" s="3109"/>
      <c r="E22" s="3109"/>
      <c r="F22" s="3109"/>
      <c r="G22" s="3109"/>
      <c r="H22" s="3109"/>
    </row>
    <row r="23" spans="1:8">
      <c r="A23" s="3110" t="s">
        <v>1777</v>
      </c>
      <c r="B23" s="3109"/>
      <c r="C23" s="3109"/>
      <c r="D23" s="3109"/>
      <c r="E23" s="3109"/>
      <c r="F23" s="3109"/>
      <c r="G23" s="3109"/>
      <c r="H23" s="3109"/>
    </row>
    <row r="24" spans="1:8">
      <c r="A24" s="3110" t="s">
        <v>1778</v>
      </c>
      <c r="B24" s="3109"/>
      <c r="C24" s="3109"/>
      <c r="D24" s="3109"/>
      <c r="E24" s="3109"/>
      <c r="F24" s="3109"/>
      <c r="G24" s="3109"/>
      <c r="H24" s="3109"/>
    </row>
    <row r="25" spans="1:8">
      <c r="A25" s="3110" t="s">
        <v>1779</v>
      </c>
      <c r="B25" s="3109"/>
      <c r="C25" s="3109"/>
      <c r="D25" s="3109"/>
      <c r="E25" s="3109"/>
      <c r="F25" s="3109"/>
      <c r="G25" s="3109"/>
      <c r="H25" s="3109"/>
    </row>
    <row r="26" spans="1:8">
      <c r="A26" s="3110" t="s">
        <v>1780</v>
      </c>
      <c r="B26" s="3109"/>
      <c r="C26" s="3109"/>
      <c r="D26" s="3109"/>
      <c r="E26" s="3109"/>
      <c r="F26" s="3109"/>
      <c r="G26" s="3109"/>
      <c r="H26" s="3109"/>
    </row>
    <row r="27" spans="1:8">
      <c r="A27" s="3109"/>
      <c r="B27" s="3109"/>
      <c r="C27" s="3109"/>
      <c r="D27" s="3109"/>
      <c r="E27" s="3109"/>
      <c r="F27" s="3109"/>
      <c r="G27" s="3109"/>
      <c r="H27" s="3109"/>
    </row>
    <row r="28" spans="1:8">
      <c r="A28" s="3109"/>
      <c r="B28" s="3109"/>
      <c r="C28" s="3109"/>
      <c r="D28" s="3109"/>
      <c r="E28" s="3109"/>
      <c r="F28" s="3109"/>
      <c r="G28" s="3109"/>
      <c r="H28" s="3109"/>
    </row>
    <row r="29" spans="1:8">
      <c r="A29" s="3110" t="s">
        <v>1772</v>
      </c>
      <c r="B29" s="3109"/>
      <c r="C29" s="3109"/>
      <c r="D29" s="3109"/>
      <c r="E29" s="3109"/>
      <c r="F29" s="3109"/>
      <c r="G29" s="3109"/>
      <c r="H29" s="3109"/>
    </row>
    <row r="30" spans="1:8">
      <c r="A30" s="3110" t="s">
        <v>1773</v>
      </c>
      <c r="B30" s="3109"/>
      <c r="C30" s="3109"/>
      <c r="D30" s="3109"/>
      <c r="E30" s="3109"/>
      <c r="F30" s="3109"/>
      <c r="G30" s="3109"/>
      <c r="H30" s="3109"/>
    </row>
    <row r="31" spans="1:8">
      <c r="A31" s="3110" t="s">
        <v>1774</v>
      </c>
      <c r="B31" s="3109"/>
      <c r="C31" s="3109"/>
      <c r="D31" s="3109"/>
      <c r="E31" s="3109"/>
      <c r="F31" s="3109"/>
      <c r="G31" s="3109"/>
      <c r="H31" s="3109"/>
    </row>
    <row r="32" spans="1:8">
      <c r="A32" s="3110" t="s">
        <v>1775</v>
      </c>
      <c r="B32" s="3109"/>
      <c r="C32" s="3109"/>
      <c r="D32" s="3109"/>
      <c r="E32" s="3109"/>
      <c r="F32" s="3109"/>
      <c r="G32" s="3109"/>
      <c r="H32" s="3109"/>
    </row>
    <row r="33" spans="1:8">
      <c r="A33" s="3110" t="s">
        <v>1776</v>
      </c>
      <c r="B33" s="3109"/>
      <c r="C33" s="3109"/>
      <c r="D33" s="3109"/>
      <c r="E33" s="3109"/>
      <c r="F33" s="3109"/>
      <c r="G33" s="3109"/>
      <c r="H33" s="3109"/>
    </row>
    <row r="34" spans="1:8">
      <c r="A34" s="3109"/>
      <c r="B34" s="3109"/>
      <c r="C34" s="3109"/>
      <c r="D34" s="3109"/>
      <c r="E34" s="3109"/>
      <c r="F34" s="3109"/>
      <c r="G34" s="3109"/>
      <c r="H34" s="3109"/>
    </row>
    <row r="35" spans="1:8">
      <c r="A35" s="3110" t="s">
        <v>1768</v>
      </c>
      <c r="B35" s="3109"/>
      <c r="C35" s="3109"/>
      <c r="D35" s="3109"/>
      <c r="E35" s="3109"/>
      <c r="F35" s="3109"/>
      <c r="G35" s="3109"/>
      <c r="H35" s="3109"/>
    </row>
    <row r="36" spans="1:8">
      <c r="A36" s="3110" t="s">
        <v>1769</v>
      </c>
      <c r="B36" s="3109"/>
      <c r="C36" s="3109"/>
      <c r="D36" s="3109"/>
      <c r="E36" s="3109"/>
      <c r="F36" s="3109"/>
      <c r="G36" s="3109"/>
      <c r="H36" s="3109"/>
    </row>
    <row r="37" spans="1:8">
      <c r="A37" s="3110" t="s">
        <v>1770</v>
      </c>
      <c r="B37" s="3109"/>
      <c r="C37" s="3109"/>
      <c r="D37" s="3109"/>
      <c r="E37" s="3109"/>
      <c r="F37" s="3109"/>
      <c r="G37" s="3109"/>
      <c r="H37" s="3109"/>
    </row>
    <row r="38" spans="1:8">
      <c r="A38" s="3110" t="s">
        <v>1771</v>
      </c>
      <c r="B38" s="3109"/>
      <c r="C38" s="3109"/>
      <c r="D38" s="3109"/>
      <c r="E38" s="3109"/>
      <c r="F38" s="3109"/>
      <c r="G38" s="3109"/>
      <c r="H38" s="3109"/>
    </row>
    <row r="39" spans="1:8">
      <c r="A39" s="3109"/>
      <c r="B39" s="3109"/>
      <c r="C39" s="3109"/>
      <c r="D39" s="3109"/>
      <c r="E39" s="3109"/>
      <c r="F39" s="3109"/>
      <c r="G39" s="3109"/>
      <c r="H39" s="3109"/>
    </row>
    <row r="40" spans="1:8">
      <c r="A40" s="3110" t="s">
        <v>1762</v>
      </c>
      <c r="B40" s="3109"/>
      <c r="C40" s="3109"/>
      <c r="D40" s="3109"/>
      <c r="E40" s="3109"/>
      <c r="F40" s="3109"/>
      <c r="G40" s="3109"/>
      <c r="H40" s="3109"/>
    </row>
    <row r="41" spans="1:8">
      <c r="A41" s="3110" t="s">
        <v>1763</v>
      </c>
      <c r="B41" s="3109"/>
      <c r="C41" s="3109"/>
      <c r="D41" s="3109"/>
      <c r="E41" s="3109"/>
      <c r="F41" s="3109"/>
      <c r="G41" s="3109"/>
      <c r="H41" s="3109"/>
    </row>
    <row r="42" spans="1:8">
      <c r="A42" s="3110" t="s">
        <v>1764</v>
      </c>
      <c r="B42" s="3109"/>
      <c r="C42" s="3109"/>
      <c r="D42" s="3109"/>
      <c r="E42" s="3109"/>
      <c r="F42" s="3109"/>
      <c r="G42" s="3109"/>
      <c r="H42" s="3109"/>
    </row>
    <row r="43" spans="1:8">
      <c r="A43" s="3110" t="s">
        <v>1765</v>
      </c>
      <c r="B43" s="3109"/>
      <c r="C43" s="3109"/>
      <c r="D43" s="3109"/>
      <c r="E43" s="3109"/>
      <c r="F43" s="3109"/>
      <c r="G43" s="3109"/>
      <c r="H43" s="3109"/>
    </row>
    <row r="44" spans="1:8">
      <c r="A44" s="3110" t="s">
        <v>1766</v>
      </c>
      <c r="B44" s="3109"/>
      <c r="C44" s="3109"/>
      <c r="D44" s="3109"/>
      <c r="E44" s="3109"/>
      <c r="F44" s="3109"/>
      <c r="G44" s="3109"/>
      <c r="H44" s="3109"/>
    </row>
    <row r="45" spans="1:8">
      <c r="A45" s="3110" t="s">
        <v>1767</v>
      </c>
      <c r="B45" s="3109"/>
      <c r="C45" s="3109"/>
      <c r="D45" s="3109"/>
      <c r="E45" s="3109"/>
      <c r="F45" s="3109"/>
      <c r="G45" s="3109"/>
      <c r="H45" s="3109"/>
    </row>
    <row r="46" spans="1:8">
      <c r="A46" s="3109"/>
      <c r="B46" s="3109"/>
      <c r="C46" s="3109"/>
      <c r="D46" s="3109"/>
      <c r="E46" s="3109"/>
      <c r="F46" s="3109"/>
      <c r="G46" s="3109"/>
      <c r="H46" s="3109"/>
    </row>
    <row r="47" spans="1:8" ht="15.75">
      <c r="A47" s="3111" t="s">
        <v>1498</v>
      </c>
      <c r="B47" s="3109"/>
      <c r="C47" s="3109"/>
      <c r="D47" s="3109"/>
      <c r="E47" s="3109"/>
      <c r="F47" s="3109"/>
      <c r="G47" s="3109"/>
      <c r="H47" s="3109"/>
    </row>
    <row r="48" spans="1:8">
      <c r="A48" s="3109"/>
      <c r="B48" s="3109"/>
      <c r="C48" s="3109"/>
      <c r="D48" s="3109"/>
      <c r="E48" s="3109"/>
      <c r="F48" s="3109"/>
      <c r="G48" s="3109"/>
      <c r="H48" s="3109"/>
    </row>
    <row r="49" spans="1:8">
      <c r="A49" s="3110" t="s">
        <v>1758</v>
      </c>
      <c r="B49" s="3109"/>
      <c r="C49" s="3109"/>
      <c r="D49" s="3109"/>
      <c r="E49" s="3109"/>
      <c r="F49" s="3109"/>
      <c r="G49" s="3109"/>
      <c r="H49" s="3109"/>
    </row>
    <row r="50" spans="1:8">
      <c r="A50" s="3110" t="s">
        <v>1759</v>
      </c>
      <c r="B50" s="3109"/>
      <c r="C50" s="3109"/>
      <c r="D50" s="3109"/>
      <c r="E50" s="3109"/>
      <c r="F50" s="3109"/>
      <c r="G50" s="3109"/>
      <c r="H50" s="3109"/>
    </row>
    <row r="51" spans="1:8">
      <c r="A51" s="3110" t="s">
        <v>1760</v>
      </c>
      <c r="B51" s="3109"/>
      <c r="C51" s="3109"/>
      <c r="D51" s="3109"/>
      <c r="E51" s="3109"/>
      <c r="F51" s="3109"/>
      <c r="G51" s="3109"/>
      <c r="H51" s="3109"/>
    </row>
    <row r="52" spans="1:8">
      <c r="A52" s="3110" t="s">
        <v>1761</v>
      </c>
      <c r="B52" s="3109"/>
      <c r="C52" s="3109"/>
      <c r="D52" s="3109"/>
      <c r="E52" s="3109"/>
      <c r="F52" s="3109"/>
      <c r="G52" s="3109"/>
      <c r="H52" s="3109"/>
    </row>
    <row r="53" spans="1:8">
      <c r="A53" s="3109"/>
      <c r="B53" s="3109"/>
      <c r="C53" s="3109"/>
      <c r="D53" s="3109"/>
      <c r="E53" s="3109"/>
      <c r="F53" s="3109"/>
      <c r="G53" s="3109"/>
      <c r="H53" s="3109"/>
    </row>
    <row r="54" spans="1:8">
      <c r="A54" s="3110" t="s">
        <v>1499</v>
      </c>
      <c r="B54" s="3109"/>
      <c r="C54" s="3109"/>
      <c r="D54" s="3109"/>
      <c r="E54" s="3109"/>
      <c r="F54" s="3109"/>
      <c r="G54" s="3109"/>
      <c r="H54" s="3109"/>
    </row>
    <row r="55" spans="1:8">
      <c r="A55" s="3109"/>
      <c r="B55" s="3109"/>
      <c r="C55" s="3109"/>
      <c r="D55" s="3109"/>
      <c r="E55" s="3109"/>
      <c r="F55" s="3109"/>
      <c r="G55" s="3109"/>
      <c r="H55" s="3109"/>
    </row>
    <row r="56" spans="1:8" ht="15.75">
      <c r="A56" s="3111" t="s">
        <v>1500</v>
      </c>
      <c r="B56" s="3109"/>
      <c r="C56" s="3109"/>
      <c r="D56" s="3109"/>
      <c r="E56" s="3109"/>
      <c r="F56" s="3109"/>
      <c r="G56" s="3109"/>
      <c r="H56" s="3109"/>
    </row>
    <row r="57" spans="1:8">
      <c r="A57" s="3109"/>
      <c r="B57" s="3109"/>
      <c r="C57" s="3109"/>
      <c r="D57" s="3109"/>
      <c r="E57" s="3109"/>
      <c r="F57" s="3109"/>
      <c r="G57" s="3109"/>
      <c r="H57" s="3109"/>
    </row>
    <row r="58" spans="1:8">
      <c r="A58" s="3110" t="s">
        <v>1756</v>
      </c>
      <c r="B58" s="3109"/>
      <c r="C58" s="3109"/>
      <c r="D58" s="3109"/>
      <c r="E58" s="3109"/>
      <c r="F58" s="3109"/>
      <c r="G58" s="3109"/>
      <c r="H58" s="3109"/>
    </row>
    <row r="59" spans="1:8">
      <c r="A59" s="3110" t="s">
        <v>1757</v>
      </c>
      <c r="B59" s="3109"/>
      <c r="C59" s="3109"/>
      <c r="D59" s="3109"/>
      <c r="E59" s="3109"/>
      <c r="F59" s="3109"/>
      <c r="G59" s="3109"/>
      <c r="H59" s="3109"/>
    </row>
    <row r="60" spans="1:8">
      <c r="A60" s="3109"/>
      <c r="B60" s="3109"/>
      <c r="C60" s="3109"/>
      <c r="D60" s="3109"/>
      <c r="E60" s="3109"/>
      <c r="F60" s="3109"/>
      <c r="G60" s="3109"/>
      <c r="H60" s="3109"/>
    </row>
    <row r="61" spans="1:8" ht="15.75">
      <c r="A61" s="3111" t="s">
        <v>1501</v>
      </c>
      <c r="B61" s="3109"/>
      <c r="C61" s="3109"/>
      <c r="D61" s="3109"/>
      <c r="E61" s="3109"/>
      <c r="F61" s="3109"/>
      <c r="G61" s="3109"/>
      <c r="H61" s="3109"/>
    </row>
    <row r="62" spans="1:8">
      <c r="A62" s="3109"/>
      <c r="B62" s="3109"/>
      <c r="C62" s="3109"/>
      <c r="D62" s="3109"/>
      <c r="E62" s="3109"/>
      <c r="F62" s="3109"/>
      <c r="G62" s="3109"/>
      <c r="H62" s="3109"/>
    </row>
    <row r="63" spans="1:8">
      <c r="A63" s="3110" t="s">
        <v>1754</v>
      </c>
      <c r="B63" s="3109"/>
      <c r="C63" s="3109"/>
      <c r="D63" s="3109"/>
      <c r="E63" s="3109"/>
      <c r="F63" s="3109"/>
      <c r="G63" s="3109"/>
      <c r="H63" s="3109"/>
    </row>
    <row r="64" spans="1:8">
      <c r="A64" s="3110" t="s">
        <v>1755</v>
      </c>
      <c r="B64" s="3109"/>
      <c r="C64" s="3109"/>
      <c r="D64" s="3109"/>
      <c r="E64" s="3109"/>
      <c r="F64" s="3109"/>
      <c r="G64" s="3109"/>
      <c r="H64" s="3109"/>
    </row>
    <row r="65" spans="1:8">
      <c r="A65" s="3109"/>
      <c r="B65" s="3109"/>
      <c r="C65" s="3109"/>
      <c r="D65" s="3109"/>
      <c r="E65" s="3109"/>
      <c r="F65" s="3109"/>
      <c r="G65" s="3109"/>
      <c r="H65" s="3109"/>
    </row>
    <row r="66" spans="1:8">
      <c r="A66" s="3110" t="s">
        <v>1752</v>
      </c>
      <c r="B66" s="3109"/>
      <c r="C66" s="3109"/>
      <c r="D66" s="3109"/>
      <c r="E66" s="3109"/>
      <c r="F66" s="3109"/>
      <c r="G66" s="3109"/>
      <c r="H66" s="3109"/>
    </row>
    <row r="67" spans="1:8">
      <c r="A67" s="3110" t="s">
        <v>1753</v>
      </c>
      <c r="B67" s="3109"/>
      <c r="C67" s="3109"/>
      <c r="D67" s="3109"/>
      <c r="E67" s="3109"/>
      <c r="F67" s="3109"/>
      <c r="G67" s="3109"/>
      <c r="H67" s="3109"/>
    </row>
    <row r="68" spans="1:8">
      <c r="A68" s="3109"/>
      <c r="B68" s="3109"/>
      <c r="C68" s="3109"/>
      <c r="D68" s="3109"/>
      <c r="E68" s="3109"/>
      <c r="F68" s="3109"/>
      <c r="G68" s="3109"/>
      <c r="H68" s="3109"/>
    </row>
    <row r="69" spans="1:8">
      <c r="A69" s="3110" t="s">
        <v>1750</v>
      </c>
      <c r="B69" s="3109"/>
      <c r="C69" s="3109"/>
      <c r="D69" s="3109"/>
      <c r="E69" s="3109"/>
      <c r="F69" s="3109"/>
      <c r="G69" s="3109"/>
      <c r="H69" s="3109"/>
    </row>
    <row r="70" spans="1:8">
      <c r="A70" s="3110" t="s">
        <v>1751</v>
      </c>
      <c r="B70" s="3109"/>
      <c r="C70" s="3109"/>
      <c r="D70" s="3109"/>
      <c r="E70" s="3109"/>
      <c r="F70" s="3109"/>
      <c r="G70" s="3109"/>
      <c r="H70" s="3109"/>
    </row>
    <row r="71" spans="1:8">
      <c r="A71" s="3109"/>
      <c r="B71" s="3109"/>
      <c r="C71" s="3109"/>
      <c r="D71" s="3109"/>
      <c r="E71" s="3109"/>
      <c r="F71" s="3109"/>
      <c r="G71" s="3109"/>
      <c r="H71" s="3109"/>
    </row>
    <row r="72" spans="1:8">
      <c r="A72" s="3110" t="s">
        <v>1748</v>
      </c>
      <c r="B72" s="3109"/>
      <c r="C72" s="3109"/>
      <c r="D72" s="3109"/>
      <c r="E72" s="3109"/>
      <c r="F72" s="3109"/>
      <c r="G72" s="3109"/>
      <c r="H72" s="3109"/>
    </row>
    <row r="73" spans="1:8">
      <c r="A73" s="3110" t="s">
        <v>1749</v>
      </c>
      <c r="B73" s="3109"/>
      <c r="C73" s="3109"/>
      <c r="D73" s="3109"/>
      <c r="E73" s="3109"/>
      <c r="F73" s="3109"/>
      <c r="G73" s="3109"/>
      <c r="H73" s="3109"/>
    </row>
    <row r="74" spans="1:8">
      <c r="A74" s="3109"/>
      <c r="B74" s="3109"/>
      <c r="C74" s="3109"/>
      <c r="D74" s="3109"/>
      <c r="E74" s="3109"/>
      <c r="F74" s="3109"/>
      <c r="G74" s="3109"/>
      <c r="H74" s="3109"/>
    </row>
    <row r="75" spans="1:8">
      <c r="A75" s="3110" t="s">
        <v>1745</v>
      </c>
      <c r="B75" s="3109"/>
      <c r="C75" s="3109"/>
      <c r="D75" s="3109"/>
      <c r="E75" s="3109"/>
      <c r="F75" s="3109"/>
      <c r="G75" s="3109"/>
      <c r="H75" s="3109"/>
    </row>
    <row r="76" spans="1:8">
      <c r="A76" s="3110" t="s">
        <v>1746</v>
      </c>
      <c r="B76" s="3109"/>
      <c r="C76" s="3109"/>
      <c r="D76" s="3109"/>
      <c r="E76" s="3109"/>
      <c r="F76" s="3109"/>
      <c r="G76" s="3109"/>
      <c r="H76" s="3109"/>
    </row>
    <row r="77" spans="1:8">
      <c r="A77" s="3110" t="s">
        <v>1747</v>
      </c>
      <c r="B77" s="3109"/>
      <c r="C77" s="3109"/>
      <c r="D77" s="3109"/>
      <c r="E77" s="3109"/>
      <c r="F77" s="3109"/>
      <c r="G77" s="3109"/>
      <c r="H77" s="3109"/>
    </row>
    <row r="78" spans="1:8">
      <c r="A78" s="3109"/>
      <c r="B78" s="3109"/>
      <c r="C78" s="3109"/>
      <c r="D78" s="3109"/>
      <c r="E78" s="3109"/>
      <c r="F78" s="3109"/>
      <c r="G78" s="3109"/>
      <c r="H78" s="3109"/>
    </row>
    <row r="79" spans="1:8">
      <c r="A79" s="3110" t="s">
        <v>1502</v>
      </c>
      <c r="B79" s="3109"/>
      <c r="C79" s="3109"/>
      <c r="D79" s="3109"/>
      <c r="E79" s="3109"/>
      <c r="F79" s="3109"/>
      <c r="G79" s="3109"/>
      <c r="H79" s="3109"/>
    </row>
    <row r="80" spans="1:8">
      <c r="A80" s="3109"/>
      <c r="B80" s="3109"/>
      <c r="C80" s="3109"/>
      <c r="D80" s="3109"/>
      <c r="E80" s="3109"/>
      <c r="F80" s="3109"/>
      <c r="G80" s="3109"/>
      <c r="H80" s="3109"/>
    </row>
    <row r="81" spans="1:8">
      <c r="A81" s="3110" t="s">
        <v>1740</v>
      </c>
      <c r="B81" s="3109"/>
      <c r="C81" s="3109"/>
      <c r="D81" s="3109"/>
      <c r="E81" s="3109"/>
      <c r="F81" s="3109"/>
      <c r="G81" s="3109"/>
      <c r="H81" s="3109"/>
    </row>
    <row r="82" spans="1:8">
      <c r="A82" s="3110" t="s">
        <v>1741</v>
      </c>
      <c r="B82" s="3109"/>
      <c r="C82" s="3109"/>
      <c r="D82" s="3109"/>
      <c r="E82" s="3109"/>
      <c r="F82" s="3109"/>
      <c r="G82" s="3109"/>
      <c r="H82" s="3109"/>
    </row>
    <row r="83" spans="1:8">
      <c r="A83" s="3110" t="s">
        <v>1742</v>
      </c>
      <c r="B83" s="3109"/>
      <c r="C83" s="3109"/>
      <c r="D83" s="3109"/>
      <c r="E83" s="3109"/>
      <c r="F83" s="3109"/>
      <c r="G83" s="3109"/>
      <c r="H83" s="3109"/>
    </row>
    <row r="84" spans="1:8">
      <c r="A84" s="3110" t="s">
        <v>1743</v>
      </c>
      <c r="B84" s="3109"/>
      <c r="C84" s="3109"/>
      <c r="D84" s="3109"/>
      <c r="E84" s="3109"/>
      <c r="F84" s="3109"/>
      <c r="G84" s="3109"/>
      <c r="H84" s="3109"/>
    </row>
    <row r="85" spans="1:8">
      <c r="A85" s="3110" t="s">
        <v>1744</v>
      </c>
      <c r="B85" s="3109"/>
      <c r="C85" s="3109"/>
      <c r="D85" s="3109"/>
      <c r="E85" s="3109"/>
      <c r="F85" s="3109"/>
      <c r="G85" s="3109"/>
      <c r="H85" s="3109"/>
    </row>
    <row r="86" spans="1:8">
      <c r="A86" s="3110" t="s">
        <v>1627</v>
      </c>
      <c r="B86" s="3109"/>
      <c r="C86" s="3109"/>
      <c r="D86" s="3109"/>
      <c r="E86" s="3109"/>
      <c r="F86" s="3109"/>
      <c r="G86" s="3109"/>
      <c r="H86" s="3109"/>
    </row>
    <row r="87" spans="1:8">
      <c r="A87" s="3109"/>
      <c r="B87" s="3109"/>
      <c r="C87" s="3109"/>
      <c r="D87" s="3109"/>
      <c r="E87" s="3109"/>
      <c r="F87" s="3109"/>
      <c r="G87" s="3109"/>
      <c r="H87" s="3109"/>
    </row>
    <row r="88" spans="1:8">
      <c r="A88" s="3110" t="s">
        <v>1733</v>
      </c>
      <c r="B88" s="3109"/>
      <c r="C88" s="3109"/>
      <c r="D88" s="3109"/>
      <c r="E88" s="3109"/>
      <c r="F88" s="3109"/>
      <c r="G88" s="3109"/>
      <c r="H88" s="3109"/>
    </row>
    <row r="89" spans="1:8">
      <c r="A89" s="3110" t="s">
        <v>1734</v>
      </c>
      <c r="B89" s="3109"/>
      <c r="C89" s="3109"/>
      <c r="D89" s="3109"/>
      <c r="E89" s="3109"/>
      <c r="F89" s="3109"/>
      <c r="G89" s="3109"/>
      <c r="H89" s="3109"/>
    </row>
    <row r="90" spans="1:8">
      <c r="A90" s="3110" t="s">
        <v>1735</v>
      </c>
      <c r="B90" s="3109"/>
      <c r="C90" s="3109"/>
      <c r="D90" s="3109"/>
      <c r="E90" s="3109"/>
      <c r="F90" s="3109"/>
      <c r="G90" s="3109"/>
      <c r="H90" s="3109"/>
    </row>
    <row r="91" spans="1:8">
      <c r="A91" s="3110" t="s">
        <v>1736</v>
      </c>
      <c r="B91" s="3109"/>
      <c r="C91" s="3109"/>
      <c r="D91" s="3109"/>
      <c r="E91" s="3109"/>
      <c r="F91" s="3109"/>
      <c r="G91" s="3109"/>
      <c r="H91" s="3109"/>
    </row>
    <row r="92" spans="1:8">
      <c r="A92" s="3110" t="s">
        <v>1737</v>
      </c>
      <c r="B92" s="3109"/>
      <c r="C92" s="3109"/>
      <c r="D92" s="3109"/>
      <c r="E92" s="3109"/>
      <c r="F92" s="3109"/>
      <c r="G92" s="3109"/>
      <c r="H92" s="3109"/>
    </row>
    <row r="93" spans="1:8">
      <c r="A93" s="3110" t="s">
        <v>1738</v>
      </c>
      <c r="B93" s="3109"/>
      <c r="C93" s="3109"/>
      <c r="D93" s="3109"/>
      <c r="E93" s="3109"/>
      <c r="F93" s="3109"/>
      <c r="G93" s="3109"/>
      <c r="H93" s="3109"/>
    </row>
    <row r="94" spans="1:8">
      <c r="A94" s="3110" t="s">
        <v>1739</v>
      </c>
      <c r="B94" s="3109"/>
      <c r="C94" s="3109"/>
      <c r="D94" s="3109"/>
      <c r="E94" s="3109"/>
      <c r="F94" s="3109"/>
      <c r="G94" s="3109"/>
      <c r="H94" s="3109"/>
    </row>
    <row r="95" spans="1:8">
      <c r="A95" s="3109"/>
      <c r="B95" s="3109"/>
      <c r="C95" s="3109"/>
      <c r="D95" s="3109"/>
      <c r="E95" s="3109"/>
      <c r="F95" s="3109"/>
      <c r="G95" s="3109"/>
      <c r="H95" s="3109"/>
    </row>
    <row r="96" spans="1:8">
      <c r="A96" s="3110" t="s">
        <v>1731</v>
      </c>
      <c r="B96" s="3109"/>
      <c r="C96" s="3109"/>
      <c r="D96" s="3109"/>
      <c r="E96" s="3109"/>
      <c r="F96" s="3109"/>
      <c r="G96" s="3109"/>
      <c r="H96" s="3109"/>
    </row>
    <row r="97" spans="1:8">
      <c r="A97" s="3110" t="s">
        <v>1732</v>
      </c>
      <c r="B97" s="3109"/>
      <c r="C97" s="3109"/>
      <c r="D97" s="3109"/>
      <c r="E97" s="3109"/>
      <c r="F97" s="3109"/>
      <c r="G97" s="3109"/>
      <c r="H97" s="3109"/>
    </row>
    <row r="98" spans="1:8">
      <c r="A98" s="3109"/>
      <c r="B98" s="3109"/>
      <c r="C98" s="3109"/>
      <c r="D98" s="3109"/>
      <c r="E98" s="3109"/>
      <c r="F98" s="3109"/>
      <c r="G98" s="3109"/>
      <c r="H98" s="3109"/>
    </row>
    <row r="99" spans="1:8" ht="15.75">
      <c r="A99" s="3111" t="s">
        <v>1503</v>
      </c>
      <c r="B99" s="3109"/>
      <c r="C99" s="3109"/>
      <c r="D99" s="3109"/>
      <c r="E99" s="3109"/>
      <c r="F99" s="3109"/>
      <c r="G99" s="3109"/>
      <c r="H99" s="3109"/>
    </row>
    <row r="100" spans="1:8">
      <c r="A100" s="3109"/>
      <c r="B100" s="3109"/>
      <c r="C100" s="3109"/>
      <c r="D100" s="3109"/>
      <c r="E100" s="3109"/>
      <c r="F100" s="3109"/>
      <c r="G100" s="3109"/>
      <c r="H100" s="3109"/>
    </row>
    <row r="101" spans="1:8">
      <c r="A101" s="3110" t="s">
        <v>1722</v>
      </c>
      <c r="B101" s="3109"/>
      <c r="C101" s="3109"/>
      <c r="D101" s="3109"/>
      <c r="E101" s="3109"/>
      <c r="F101" s="3109"/>
      <c r="G101" s="3109"/>
      <c r="H101" s="3109"/>
    </row>
    <row r="102" spans="1:8">
      <c r="A102" s="3110" t="s">
        <v>1723</v>
      </c>
      <c r="B102" s="3109"/>
      <c r="C102" s="3109"/>
      <c r="D102" s="3109"/>
      <c r="E102" s="3109"/>
      <c r="F102" s="3109"/>
      <c r="G102" s="3109"/>
      <c r="H102" s="3109"/>
    </row>
    <row r="103" spans="1:8">
      <c r="A103" s="3110" t="s">
        <v>1724</v>
      </c>
      <c r="B103" s="3109"/>
      <c r="C103" s="3109"/>
      <c r="D103" s="3109"/>
      <c r="E103" s="3109"/>
      <c r="F103" s="3109"/>
      <c r="G103" s="3109"/>
      <c r="H103" s="3109"/>
    </row>
    <row r="104" spans="1:8">
      <c r="A104" s="3110" t="s">
        <v>1725</v>
      </c>
      <c r="B104" s="3109"/>
      <c r="C104" s="3109"/>
      <c r="D104" s="3109"/>
      <c r="E104" s="3109"/>
      <c r="F104" s="3109"/>
      <c r="G104" s="3109"/>
      <c r="H104" s="3109"/>
    </row>
    <row r="105" spans="1:8">
      <c r="A105" s="3110" t="s">
        <v>1726</v>
      </c>
      <c r="B105" s="3109"/>
      <c r="C105" s="3109"/>
      <c r="D105" s="3109"/>
      <c r="E105" s="3109"/>
      <c r="F105" s="3109"/>
      <c r="G105" s="3109"/>
      <c r="H105" s="3109"/>
    </row>
    <row r="106" spans="1:8">
      <c r="A106" s="3110" t="s">
        <v>1727</v>
      </c>
      <c r="B106" s="3109"/>
      <c r="C106" s="3109"/>
      <c r="D106" s="3109"/>
      <c r="E106" s="3109"/>
      <c r="F106" s="3109"/>
      <c r="G106" s="3109"/>
      <c r="H106" s="3109"/>
    </row>
    <row r="107" spans="1:8">
      <c r="A107" s="3110" t="s">
        <v>1728</v>
      </c>
      <c r="B107" s="3109"/>
      <c r="C107" s="3109"/>
      <c r="D107" s="3109"/>
      <c r="E107" s="3109"/>
      <c r="F107" s="3109"/>
      <c r="G107" s="3109"/>
      <c r="H107" s="3109"/>
    </row>
    <row r="108" spans="1:8">
      <c r="A108" s="3110" t="s">
        <v>1729</v>
      </c>
      <c r="B108" s="3109"/>
      <c r="C108" s="3109"/>
      <c r="D108" s="3109"/>
      <c r="E108" s="3109"/>
      <c r="F108" s="3109"/>
      <c r="G108" s="3109"/>
      <c r="H108" s="3109"/>
    </row>
    <row r="109" spans="1:8">
      <c r="A109" s="3110" t="s">
        <v>1730</v>
      </c>
      <c r="B109" s="3109"/>
      <c r="C109" s="3109"/>
      <c r="D109" s="3109"/>
      <c r="E109" s="3109"/>
      <c r="F109" s="3109"/>
      <c r="G109" s="3109"/>
      <c r="H109" s="3109"/>
    </row>
    <row r="110" spans="1:8">
      <c r="A110" s="3109"/>
      <c r="B110" s="3109"/>
      <c r="C110" s="3109"/>
      <c r="D110" s="3109"/>
      <c r="E110" s="3109"/>
      <c r="F110" s="3109"/>
      <c r="G110" s="3109"/>
      <c r="H110" s="3109"/>
    </row>
    <row r="111" spans="1:8" ht="15.75">
      <c r="A111" s="3112" t="s">
        <v>1504</v>
      </c>
      <c r="B111" s="3112"/>
      <c r="C111" s="3112"/>
      <c r="D111" s="3112"/>
      <c r="E111" s="3112"/>
      <c r="F111" s="3112"/>
      <c r="G111" s="3112"/>
      <c r="H111" s="3112"/>
    </row>
    <row r="112" spans="1:8">
      <c r="A112" s="3113" t="s">
        <v>1505</v>
      </c>
      <c r="B112" s="3113"/>
      <c r="C112" s="3113"/>
      <c r="D112" s="3113"/>
      <c r="E112" s="3113"/>
      <c r="F112" s="3113"/>
      <c r="G112" s="3113"/>
      <c r="H112" s="3113"/>
    </row>
    <row r="113" spans="1:8">
      <c r="A113" s="3114"/>
      <c r="B113" s="3114"/>
      <c r="C113" s="3114"/>
      <c r="D113" s="3114"/>
      <c r="E113" s="3114"/>
      <c r="F113" s="3114"/>
      <c r="G113" s="3114"/>
      <c r="H113" s="3114"/>
    </row>
    <row r="114" spans="1:8">
      <c r="A114" s="3113" t="s">
        <v>1720</v>
      </c>
      <c r="B114" s="3113"/>
      <c r="C114" s="3113"/>
      <c r="D114" s="3113"/>
      <c r="E114" s="3113"/>
      <c r="F114" s="3113"/>
      <c r="G114" s="3113"/>
      <c r="H114" s="3113"/>
    </row>
    <row r="115" spans="1:8">
      <c r="A115" s="3110" t="s">
        <v>1721</v>
      </c>
      <c r="B115" s="3110"/>
      <c r="C115" s="3110"/>
      <c r="D115" s="3110"/>
      <c r="E115" s="3110"/>
      <c r="F115" s="3110"/>
      <c r="G115" s="3110"/>
      <c r="H115" s="3110"/>
    </row>
    <row r="116" spans="1:8">
      <c r="A116" s="3114"/>
      <c r="B116" s="3114"/>
      <c r="C116" s="3114"/>
      <c r="D116" s="3114"/>
      <c r="E116" s="3114"/>
      <c r="F116" s="3114"/>
      <c r="G116" s="3114"/>
      <c r="H116" s="3114"/>
    </row>
    <row r="117" spans="1:8">
      <c r="A117" s="3113" t="s">
        <v>1713</v>
      </c>
      <c r="B117" s="3113"/>
      <c r="C117" s="3113"/>
      <c r="D117" s="3113"/>
      <c r="E117" s="3113"/>
      <c r="F117" s="3113"/>
      <c r="G117" s="3113"/>
      <c r="H117" s="3113"/>
    </row>
    <row r="118" spans="1:8">
      <c r="A118" s="3110" t="s">
        <v>1714</v>
      </c>
      <c r="B118" s="3110"/>
      <c r="C118" s="3110"/>
      <c r="D118" s="3110"/>
      <c r="E118" s="3110"/>
      <c r="F118" s="3110"/>
      <c r="G118" s="3110"/>
      <c r="H118" s="3110"/>
    </row>
    <row r="119" spans="1:8">
      <c r="A119" s="3110" t="s">
        <v>1715</v>
      </c>
      <c r="B119" s="3110"/>
      <c r="C119" s="3110"/>
      <c r="D119" s="3110"/>
      <c r="E119" s="3110"/>
      <c r="F119" s="3110"/>
      <c r="G119" s="3110"/>
      <c r="H119" s="3110"/>
    </row>
    <row r="120" spans="1:8">
      <c r="A120" s="3110" t="s">
        <v>1716</v>
      </c>
      <c r="B120" s="3110"/>
      <c r="C120" s="3110"/>
      <c r="D120" s="3110"/>
      <c r="E120" s="3110"/>
      <c r="F120" s="3110"/>
      <c r="G120" s="3110"/>
      <c r="H120" s="3110"/>
    </row>
    <row r="121" spans="1:8">
      <c r="A121" s="3110" t="s">
        <v>1717</v>
      </c>
      <c r="B121" s="3110"/>
      <c r="C121" s="3110"/>
      <c r="D121" s="3110"/>
      <c r="E121" s="3110"/>
      <c r="F121" s="3110"/>
      <c r="G121" s="3110"/>
      <c r="H121" s="3110"/>
    </row>
    <row r="122" spans="1:8">
      <c r="A122" s="3110" t="s">
        <v>1718</v>
      </c>
      <c r="B122" s="3110"/>
      <c r="C122" s="3110"/>
      <c r="D122" s="3110"/>
      <c r="E122" s="3110"/>
      <c r="F122" s="3110"/>
      <c r="G122" s="3110"/>
      <c r="H122" s="3110"/>
    </row>
    <row r="123" spans="1:8">
      <c r="A123" s="3110" t="s">
        <v>1719</v>
      </c>
      <c r="B123" s="3110"/>
      <c r="C123" s="3110"/>
      <c r="D123" s="3110"/>
      <c r="E123" s="3110"/>
      <c r="F123" s="3110"/>
      <c r="G123" s="3110"/>
      <c r="H123" s="3110"/>
    </row>
    <row r="124" spans="1:8">
      <c r="A124" s="3115"/>
      <c r="B124" s="3115"/>
      <c r="C124" s="3115"/>
      <c r="D124" s="3115"/>
      <c r="E124" s="3115"/>
      <c r="F124" s="3115"/>
      <c r="G124" s="3115"/>
      <c r="H124" s="3115"/>
    </row>
    <row r="125" spans="1:8">
      <c r="A125" s="3116"/>
      <c r="B125" s="3117" t="s">
        <v>1506</v>
      </c>
      <c r="C125" s="3118"/>
      <c r="D125" s="3117" t="s">
        <v>1507</v>
      </c>
      <c r="E125" s="3119"/>
      <c r="F125" s="3118"/>
      <c r="G125" s="3117" t="s">
        <v>1508</v>
      </c>
      <c r="H125" s="3118"/>
    </row>
    <row r="126" spans="1:8">
      <c r="A126" s="3116" t="s">
        <v>1509</v>
      </c>
      <c r="B126" s="3116" t="s">
        <v>774</v>
      </c>
      <c r="C126" s="3116" t="s">
        <v>15</v>
      </c>
      <c r="D126" s="3116" t="s">
        <v>774</v>
      </c>
      <c r="E126" s="3116" t="s">
        <v>1510</v>
      </c>
      <c r="F126" s="3116" t="s">
        <v>1511</v>
      </c>
      <c r="G126" s="3116" t="s">
        <v>774</v>
      </c>
      <c r="H126" s="3116" t="s">
        <v>1512</v>
      </c>
    </row>
    <row r="127" spans="1:8">
      <c r="A127" s="3116" t="s">
        <v>1513</v>
      </c>
      <c r="B127" s="3116">
        <v>1189</v>
      </c>
      <c r="C127" s="3120">
        <v>0.38</v>
      </c>
      <c r="D127" s="3116">
        <v>315</v>
      </c>
      <c r="E127" s="3120">
        <v>0.41</v>
      </c>
      <c r="F127" s="3120">
        <v>0.26</v>
      </c>
      <c r="G127" s="3116">
        <v>555</v>
      </c>
      <c r="H127" s="3120">
        <v>0.39</v>
      </c>
    </row>
    <row r="128" spans="1:8">
      <c r="A128" s="3116" t="s">
        <v>1514</v>
      </c>
      <c r="B128" s="3116">
        <v>1355</v>
      </c>
      <c r="C128" s="3120">
        <v>0.43</v>
      </c>
      <c r="D128" s="3116">
        <v>364</v>
      </c>
      <c r="E128" s="3120">
        <v>0.47</v>
      </c>
      <c r="F128" s="3120">
        <v>0.27</v>
      </c>
      <c r="G128" s="3116">
        <v>644</v>
      </c>
      <c r="H128" s="3120">
        <v>0.45</v>
      </c>
    </row>
    <row r="129" spans="1:8">
      <c r="A129" s="3116" t="s">
        <v>1515</v>
      </c>
      <c r="B129" s="3116">
        <v>53</v>
      </c>
      <c r="C129" s="3120">
        <v>0.02</v>
      </c>
      <c r="D129" s="3116">
        <v>4</v>
      </c>
      <c r="E129" s="3120">
        <v>0.01</v>
      </c>
      <c r="F129" s="3120">
        <v>0.08</v>
      </c>
      <c r="G129" s="3116">
        <v>7</v>
      </c>
      <c r="H129" s="3120">
        <v>0</v>
      </c>
    </row>
    <row r="130" spans="1:8">
      <c r="A130" s="3116" t="s">
        <v>1516</v>
      </c>
      <c r="B130" s="3116">
        <v>545</v>
      </c>
      <c r="C130" s="3120">
        <v>0.17</v>
      </c>
      <c r="D130" s="3116">
        <v>84</v>
      </c>
      <c r="E130" s="3120">
        <v>0.11</v>
      </c>
      <c r="F130" s="3120">
        <v>0.15</v>
      </c>
      <c r="G130" s="3116">
        <v>214</v>
      </c>
      <c r="H130" s="3120">
        <v>0.15</v>
      </c>
    </row>
    <row r="131" spans="1:8">
      <c r="A131" s="3116" t="s">
        <v>0</v>
      </c>
      <c r="B131" s="3121">
        <v>3142</v>
      </c>
      <c r="C131" s="3116"/>
      <c r="D131" s="3116">
        <v>767</v>
      </c>
      <c r="E131" s="3116"/>
      <c r="F131" s="3116"/>
      <c r="G131" s="3116">
        <v>1420</v>
      </c>
      <c r="H131" s="3116"/>
    </row>
    <row r="132" spans="1:8">
      <c r="A132" s="3122"/>
      <c r="B132" s="3122"/>
      <c r="C132" s="3122"/>
      <c r="D132" s="3122"/>
      <c r="E132" s="3122"/>
      <c r="F132" s="3122"/>
      <c r="G132" s="3122"/>
      <c r="H132" s="3122"/>
    </row>
    <row r="133" spans="1:8">
      <c r="A133" s="3113" t="s">
        <v>1709</v>
      </c>
      <c r="B133" s="3113"/>
      <c r="C133" s="3113"/>
      <c r="D133" s="3113"/>
      <c r="E133" s="3113"/>
      <c r="F133" s="3113"/>
      <c r="G133" s="3113"/>
      <c r="H133" s="3113"/>
    </row>
    <row r="134" spans="1:8">
      <c r="A134" s="3110" t="s">
        <v>1710</v>
      </c>
      <c r="B134" s="3110"/>
      <c r="C134" s="3110"/>
      <c r="D134" s="3110"/>
      <c r="E134" s="3110"/>
      <c r="F134" s="3110"/>
      <c r="G134" s="3110"/>
      <c r="H134" s="3110"/>
    </row>
    <row r="135" spans="1:8">
      <c r="A135" s="3110" t="s">
        <v>1711</v>
      </c>
      <c r="B135" s="3110"/>
      <c r="C135" s="3110"/>
      <c r="D135" s="3110"/>
      <c r="E135" s="3110"/>
      <c r="F135" s="3110"/>
      <c r="G135" s="3110"/>
      <c r="H135" s="3110"/>
    </row>
    <row r="136" spans="1:8">
      <c r="A136" s="3110" t="s">
        <v>1712</v>
      </c>
      <c r="B136" s="3110"/>
      <c r="C136" s="3110"/>
      <c r="D136" s="3110"/>
      <c r="E136" s="3110"/>
      <c r="F136" s="3110"/>
      <c r="G136" s="3110"/>
      <c r="H136" s="3110"/>
    </row>
    <row r="137" spans="1:8">
      <c r="A137" s="3109"/>
      <c r="B137" s="3109"/>
      <c r="C137" s="3109"/>
      <c r="D137" s="3109"/>
      <c r="E137" s="3109"/>
      <c r="F137" s="3109"/>
      <c r="G137" s="3109"/>
      <c r="H137" s="3109"/>
    </row>
    <row r="138" spans="1:8" ht="15.75">
      <c r="A138" s="3111" t="s">
        <v>1517</v>
      </c>
      <c r="B138" s="3109"/>
      <c r="C138" s="3109"/>
      <c r="D138" s="3109"/>
      <c r="E138" s="3109"/>
      <c r="F138" s="3109"/>
      <c r="G138" s="3109"/>
      <c r="H138" s="3109"/>
    </row>
    <row r="139" spans="1:8">
      <c r="A139" s="3109"/>
      <c r="B139" s="3109"/>
      <c r="C139" s="3109"/>
      <c r="D139" s="3109"/>
      <c r="E139" s="3109"/>
      <c r="F139" s="3109"/>
      <c r="G139" s="3109"/>
      <c r="H139" s="3109"/>
    </row>
    <row r="140" spans="1:8">
      <c r="A140" s="3110" t="s">
        <v>1707</v>
      </c>
      <c r="B140" s="3109"/>
      <c r="C140" s="3109"/>
      <c r="D140" s="3109"/>
      <c r="E140" s="3109"/>
      <c r="F140" s="3109"/>
      <c r="G140" s="3109"/>
      <c r="H140" s="3109"/>
    </row>
    <row r="141" spans="1:8">
      <c r="A141" s="3110" t="s">
        <v>1708</v>
      </c>
      <c r="B141" s="3109"/>
      <c r="C141" s="3109"/>
      <c r="D141" s="3109"/>
      <c r="E141" s="3109"/>
      <c r="F141" s="3109"/>
      <c r="G141" s="3109"/>
      <c r="H141" s="3109"/>
    </row>
    <row r="142" spans="1:8">
      <c r="A142" s="3109"/>
      <c r="B142" s="3109"/>
      <c r="C142" s="3109"/>
      <c r="D142" s="3109"/>
      <c r="E142" s="3109"/>
      <c r="F142" s="3109"/>
      <c r="G142" s="3109"/>
      <c r="H142" s="3109"/>
    </row>
    <row r="143" spans="1:8">
      <c r="A143" s="3110" t="s">
        <v>1704</v>
      </c>
      <c r="B143" s="3109"/>
      <c r="C143" s="3109"/>
      <c r="D143" s="3109"/>
      <c r="E143" s="3109"/>
      <c r="F143" s="3109"/>
      <c r="G143" s="3109"/>
      <c r="H143" s="3109"/>
    </row>
    <row r="144" spans="1:8">
      <c r="A144" s="3110" t="s">
        <v>1705</v>
      </c>
      <c r="B144" s="3109"/>
      <c r="C144" s="3109"/>
      <c r="D144" s="3109"/>
      <c r="E144" s="3109"/>
      <c r="F144" s="3109"/>
      <c r="G144" s="3109"/>
      <c r="H144" s="3109"/>
    </row>
    <row r="145" spans="1:8">
      <c r="A145" s="3110" t="s">
        <v>1706</v>
      </c>
      <c r="B145" s="3109"/>
      <c r="C145" s="3109"/>
      <c r="D145" s="3109"/>
      <c r="E145" s="3109"/>
      <c r="F145" s="3109"/>
      <c r="G145" s="3109"/>
      <c r="H145" s="3109"/>
    </row>
    <row r="146" spans="1:8">
      <c r="A146" s="3109"/>
      <c r="B146" s="3109"/>
      <c r="C146" s="3109"/>
      <c r="D146" s="3109"/>
      <c r="E146" s="3109"/>
      <c r="F146" s="3109"/>
      <c r="G146" s="3109"/>
      <c r="H146" s="3109"/>
    </row>
    <row r="147" spans="1:8">
      <c r="A147" s="3110" t="s">
        <v>1701</v>
      </c>
      <c r="B147" s="3109"/>
      <c r="C147" s="3109"/>
      <c r="D147" s="3109"/>
      <c r="E147" s="3109"/>
      <c r="F147" s="3109"/>
      <c r="G147" s="3109"/>
      <c r="H147" s="3109"/>
    </row>
    <row r="148" spans="1:8">
      <c r="A148" s="3110" t="s">
        <v>1702</v>
      </c>
      <c r="B148" s="3109"/>
      <c r="C148" s="3109"/>
      <c r="D148" s="3109"/>
      <c r="E148" s="3109"/>
      <c r="F148" s="3109"/>
      <c r="G148" s="3109"/>
      <c r="H148" s="3109"/>
    </row>
    <row r="149" spans="1:8">
      <c r="A149" s="3110" t="s">
        <v>1703</v>
      </c>
      <c r="B149" s="3109"/>
      <c r="C149" s="3109"/>
      <c r="D149" s="3109"/>
      <c r="E149" s="3109"/>
      <c r="F149" s="3109"/>
      <c r="G149" s="3109"/>
      <c r="H149" s="3109"/>
    </row>
    <row r="150" spans="1:8">
      <c r="A150" s="3109"/>
      <c r="B150" s="3109"/>
      <c r="C150" s="3109"/>
      <c r="D150" s="3109"/>
      <c r="E150" s="3109"/>
      <c r="F150" s="3109"/>
      <c r="G150" s="3109"/>
      <c r="H150" s="3109"/>
    </row>
    <row r="151" spans="1:8">
      <c r="A151" s="3110" t="s">
        <v>1698</v>
      </c>
      <c r="B151" s="3109"/>
      <c r="C151" s="3109"/>
      <c r="D151" s="3109"/>
      <c r="E151" s="3109"/>
      <c r="F151" s="3109"/>
      <c r="G151" s="3109"/>
      <c r="H151" s="3109"/>
    </row>
    <row r="152" spans="1:8">
      <c r="A152" s="3110" t="s">
        <v>1699</v>
      </c>
      <c r="B152" s="3109"/>
      <c r="C152" s="3109"/>
      <c r="D152" s="3109"/>
      <c r="E152" s="3109"/>
      <c r="F152" s="3109"/>
      <c r="G152" s="3109"/>
      <c r="H152" s="3109"/>
    </row>
    <row r="153" spans="1:8">
      <c r="A153" s="3110" t="s">
        <v>1700</v>
      </c>
      <c r="B153" s="3109"/>
      <c r="C153" s="3109"/>
      <c r="D153" s="3109"/>
      <c r="E153" s="3109"/>
      <c r="F153" s="3109"/>
      <c r="G153" s="3109"/>
      <c r="H153" s="3109"/>
    </row>
    <row r="154" spans="1:8">
      <c r="A154" s="3109"/>
      <c r="B154" s="3109"/>
      <c r="C154" s="3109"/>
      <c r="D154" s="3109"/>
      <c r="E154" s="3109"/>
      <c r="F154" s="3109"/>
      <c r="G154" s="3109"/>
      <c r="H154" s="3109"/>
    </row>
    <row r="155" spans="1:8">
      <c r="A155" s="3110" t="s">
        <v>1696</v>
      </c>
      <c r="B155" s="3109"/>
      <c r="C155" s="3109"/>
      <c r="D155" s="3109"/>
      <c r="E155" s="3109"/>
      <c r="F155" s="3109"/>
      <c r="G155" s="3109"/>
      <c r="H155" s="3109"/>
    </row>
    <row r="156" spans="1:8">
      <c r="A156" s="3110" t="s">
        <v>1697</v>
      </c>
      <c r="B156" s="3109"/>
      <c r="C156" s="3109"/>
      <c r="D156" s="3109"/>
      <c r="E156" s="3109"/>
      <c r="F156" s="3109"/>
      <c r="G156" s="3109"/>
      <c r="H156" s="3109"/>
    </row>
    <row r="157" spans="1:8">
      <c r="A157" s="3109"/>
      <c r="B157" s="3109"/>
      <c r="C157" s="3109"/>
      <c r="D157" s="3109"/>
      <c r="E157" s="3109"/>
      <c r="F157" s="3109"/>
      <c r="G157" s="3109"/>
      <c r="H157" s="3109"/>
    </row>
    <row r="158" spans="1:8" ht="15.75">
      <c r="A158" s="3111" t="s">
        <v>1518</v>
      </c>
      <c r="B158" s="3109"/>
      <c r="C158" s="3109"/>
      <c r="D158" s="3109"/>
      <c r="E158" s="3109"/>
      <c r="F158" s="3109"/>
      <c r="G158" s="3109"/>
      <c r="H158" s="3109"/>
    </row>
    <row r="159" spans="1:8">
      <c r="A159" s="3109"/>
      <c r="B159" s="3109"/>
      <c r="C159" s="3109"/>
      <c r="D159" s="3109"/>
      <c r="E159" s="3109"/>
      <c r="F159" s="3109"/>
      <c r="G159" s="3109"/>
      <c r="H159" s="3109"/>
    </row>
    <row r="160" spans="1:8">
      <c r="A160" s="3110" t="s">
        <v>1694</v>
      </c>
      <c r="B160" s="3109"/>
      <c r="C160" s="3109"/>
      <c r="D160" s="3109"/>
      <c r="E160" s="3109"/>
      <c r="F160" s="3109"/>
      <c r="G160" s="3109"/>
      <c r="H160" s="3109"/>
    </row>
    <row r="161" spans="1:8">
      <c r="A161" s="3110" t="s">
        <v>1695</v>
      </c>
      <c r="B161" s="3109"/>
      <c r="C161" s="3109"/>
      <c r="D161" s="3109"/>
      <c r="E161" s="3109"/>
      <c r="F161" s="3109"/>
      <c r="G161" s="3109"/>
      <c r="H161" s="3109"/>
    </row>
    <row r="162" spans="1:8">
      <c r="A162" s="3109"/>
      <c r="B162" s="3109"/>
      <c r="C162" s="3109"/>
      <c r="D162" s="3109"/>
      <c r="E162" s="3109"/>
      <c r="F162" s="3109"/>
      <c r="G162" s="3109"/>
      <c r="H162" s="3109"/>
    </row>
    <row r="163" spans="1:8">
      <c r="A163" s="3110" t="s">
        <v>1692</v>
      </c>
      <c r="B163" s="3109"/>
      <c r="C163" s="3109"/>
      <c r="D163" s="3109"/>
      <c r="E163" s="3109"/>
      <c r="F163" s="3109"/>
      <c r="G163" s="3109"/>
      <c r="H163" s="3109"/>
    </row>
    <row r="164" spans="1:8">
      <c r="A164" s="3110" t="s">
        <v>1693</v>
      </c>
      <c r="B164" s="3109"/>
      <c r="C164" s="3109"/>
      <c r="D164" s="3109"/>
      <c r="E164" s="3109"/>
      <c r="F164" s="3109"/>
      <c r="G164" s="3109"/>
      <c r="H164" s="3109"/>
    </row>
    <row r="165" spans="1:8">
      <c r="A165" s="3109"/>
      <c r="B165" s="3109"/>
      <c r="C165" s="3109"/>
      <c r="D165" s="3109"/>
      <c r="E165" s="3109"/>
      <c r="F165" s="3109"/>
      <c r="G165" s="3109"/>
      <c r="H165" s="3109"/>
    </row>
    <row r="166" spans="1:8">
      <c r="A166" s="3110" t="s">
        <v>1690</v>
      </c>
      <c r="B166" s="3109"/>
      <c r="C166" s="3109"/>
      <c r="D166" s="3109"/>
      <c r="E166" s="3109"/>
      <c r="F166" s="3109"/>
      <c r="G166" s="3109"/>
      <c r="H166" s="3109"/>
    </row>
    <row r="167" spans="1:8">
      <c r="A167" s="3110" t="s">
        <v>1691</v>
      </c>
      <c r="B167" s="3109"/>
      <c r="C167" s="3109"/>
      <c r="D167" s="3109"/>
      <c r="E167" s="3109"/>
      <c r="F167" s="3109"/>
      <c r="G167" s="3109"/>
      <c r="H167" s="3109"/>
    </row>
    <row r="168" spans="1:8">
      <c r="A168" s="3109"/>
      <c r="B168" s="3109"/>
      <c r="C168" s="3109"/>
      <c r="D168" s="3109"/>
      <c r="E168" s="3109"/>
      <c r="F168" s="3109"/>
      <c r="G168" s="3109"/>
      <c r="H168" s="3109"/>
    </row>
    <row r="169" spans="1:8">
      <c r="A169" s="3110" t="s">
        <v>1687</v>
      </c>
      <c r="B169" s="3109"/>
      <c r="C169" s="3109"/>
      <c r="D169" s="3109"/>
      <c r="E169" s="3109"/>
      <c r="F169" s="3109"/>
      <c r="G169" s="3109"/>
      <c r="H169" s="3109"/>
    </row>
    <row r="170" spans="1:8">
      <c r="A170" s="3110" t="s">
        <v>1688</v>
      </c>
      <c r="B170" s="3109"/>
      <c r="C170" s="3109"/>
      <c r="D170" s="3109"/>
      <c r="E170" s="3109"/>
      <c r="F170" s="3109"/>
      <c r="G170" s="3109"/>
      <c r="H170" s="3109"/>
    </row>
    <row r="171" spans="1:8">
      <c r="A171" s="3110" t="s">
        <v>1689</v>
      </c>
      <c r="B171" s="3109"/>
      <c r="C171" s="3109"/>
      <c r="D171" s="3109"/>
      <c r="E171" s="3109"/>
      <c r="F171" s="3109"/>
      <c r="G171" s="3109"/>
      <c r="H171" s="3109"/>
    </row>
    <row r="172" spans="1:8">
      <c r="A172" s="3109"/>
      <c r="B172" s="3109"/>
      <c r="C172" s="3109"/>
      <c r="D172" s="3109"/>
      <c r="E172" s="3109"/>
      <c r="F172" s="3109"/>
      <c r="G172" s="3109"/>
      <c r="H172" s="3109"/>
    </row>
    <row r="173" spans="1:8">
      <c r="A173" s="3109"/>
      <c r="B173" s="3109"/>
      <c r="C173" s="3109"/>
      <c r="D173" s="3109"/>
      <c r="E173" s="3109"/>
      <c r="F173" s="3109"/>
      <c r="G173" s="3109"/>
      <c r="H173" s="3109"/>
    </row>
    <row r="174" spans="1:8">
      <c r="A174" s="3110" t="s">
        <v>1519</v>
      </c>
      <c r="B174" s="3109"/>
      <c r="C174" s="3109"/>
      <c r="D174" s="3109"/>
      <c r="E174" s="3109"/>
      <c r="F174" s="3109"/>
      <c r="G174" s="3109"/>
      <c r="H174" s="3109"/>
    </row>
    <row r="175" spans="1:8">
      <c r="A175" s="3109"/>
      <c r="B175" s="3109"/>
      <c r="C175" s="3109"/>
      <c r="D175" s="3109"/>
      <c r="E175" s="3109"/>
      <c r="F175" s="3109"/>
      <c r="G175" s="3109"/>
      <c r="H175" s="3109"/>
    </row>
    <row r="176" spans="1:8" ht="15.75">
      <c r="A176" s="3111" t="s">
        <v>1520</v>
      </c>
      <c r="B176" s="3109"/>
      <c r="C176" s="3109"/>
      <c r="D176" s="3109"/>
      <c r="E176" s="3109"/>
      <c r="F176" s="3109"/>
      <c r="G176" s="3109"/>
      <c r="H176" s="3109"/>
    </row>
    <row r="177" spans="1:8">
      <c r="A177" s="3109"/>
      <c r="B177" s="3109"/>
      <c r="C177" s="3109"/>
      <c r="D177" s="3109"/>
      <c r="E177" s="3109"/>
      <c r="F177" s="3109"/>
      <c r="G177" s="3109"/>
      <c r="H177" s="3109"/>
    </row>
    <row r="178" spans="1:8">
      <c r="A178" s="3109"/>
      <c r="B178" s="3109"/>
      <c r="C178" s="3109"/>
      <c r="D178" s="3109"/>
      <c r="E178" s="3109"/>
      <c r="F178" s="3109"/>
      <c r="G178" s="3109"/>
      <c r="H178" s="3109"/>
    </row>
    <row r="179" spans="1:8">
      <c r="A179" s="3109"/>
      <c r="B179" s="3109"/>
      <c r="C179" s="3109"/>
      <c r="D179" s="3109"/>
      <c r="E179" s="3109"/>
      <c r="F179" s="3109"/>
      <c r="G179" s="3109"/>
      <c r="H179" s="3109"/>
    </row>
    <row r="180" spans="1:8">
      <c r="A180" s="3109"/>
      <c r="B180" s="3109"/>
      <c r="C180" s="3109"/>
      <c r="D180" s="3109"/>
      <c r="E180" s="3109"/>
      <c r="F180" s="3109"/>
      <c r="G180" s="3109"/>
      <c r="H180" s="3109"/>
    </row>
    <row r="181" spans="1:8">
      <c r="A181" s="3109"/>
      <c r="B181" s="3109"/>
      <c r="C181" s="3109"/>
      <c r="D181" s="3109"/>
      <c r="E181" s="3109"/>
      <c r="F181" s="3109"/>
      <c r="G181" s="3109"/>
      <c r="H181" s="3109"/>
    </row>
    <row r="182" spans="1:8">
      <c r="A182" s="3109"/>
      <c r="B182" s="3109"/>
      <c r="C182" s="3109"/>
      <c r="D182" s="3109"/>
      <c r="E182" s="3109"/>
      <c r="F182" s="3109"/>
      <c r="G182" s="3109"/>
      <c r="H182" s="3109"/>
    </row>
    <row r="183" spans="1:8">
      <c r="A183" s="3109"/>
      <c r="B183" s="3109"/>
      <c r="C183" s="3109"/>
      <c r="D183" s="3109"/>
      <c r="E183" s="3109"/>
      <c r="F183" s="3109"/>
      <c r="G183" s="3109"/>
      <c r="H183" s="3109"/>
    </row>
    <row r="184" spans="1:8">
      <c r="A184" s="3109"/>
      <c r="B184" s="3109"/>
      <c r="C184" s="3109"/>
      <c r="D184" s="3109"/>
      <c r="E184" s="3109"/>
      <c r="F184" s="3109"/>
      <c r="G184" s="3109"/>
      <c r="H184" s="3109"/>
    </row>
    <row r="185" spans="1:8">
      <c r="A185" s="3109"/>
      <c r="B185" s="3109"/>
      <c r="C185" s="3109"/>
      <c r="D185" s="3109"/>
      <c r="E185" s="3109"/>
      <c r="F185" s="3109"/>
      <c r="G185" s="3109"/>
      <c r="H185" s="3109"/>
    </row>
    <row r="186" spans="1:8">
      <c r="A186" s="3109"/>
      <c r="B186" s="3109"/>
      <c r="C186" s="3109"/>
      <c r="D186" s="3109"/>
      <c r="E186" s="3109"/>
      <c r="F186" s="3109"/>
      <c r="G186" s="3109"/>
      <c r="H186" s="3109"/>
    </row>
    <row r="187" spans="1:8">
      <c r="A187" s="3109"/>
      <c r="B187" s="3109"/>
      <c r="C187" s="3109"/>
      <c r="D187" s="3109"/>
      <c r="E187" s="3109"/>
      <c r="F187" s="3109"/>
      <c r="G187" s="3109"/>
      <c r="H187" s="3109"/>
    </row>
    <row r="188" spans="1:8">
      <c r="A188" s="3109"/>
      <c r="B188" s="3109"/>
      <c r="C188" s="3109"/>
      <c r="D188" s="3109"/>
      <c r="E188" s="3109"/>
      <c r="F188" s="3109"/>
      <c r="G188" s="3109"/>
      <c r="H188" s="3109"/>
    </row>
    <row r="189" spans="1:8">
      <c r="A189" s="3109"/>
      <c r="B189" s="3109"/>
      <c r="C189" s="3109"/>
      <c r="D189" s="3109"/>
      <c r="E189" s="3109"/>
      <c r="F189" s="3109"/>
      <c r="G189" s="3109"/>
      <c r="H189" s="3109"/>
    </row>
    <row r="190" spans="1:8">
      <c r="A190" s="3109"/>
      <c r="B190" s="3109"/>
      <c r="C190" s="3109"/>
      <c r="D190" s="3109"/>
      <c r="E190" s="3109"/>
      <c r="F190" s="3109"/>
      <c r="G190" s="3109"/>
      <c r="H190" s="3109"/>
    </row>
    <row r="191" spans="1:8">
      <c r="A191" s="3109"/>
      <c r="B191" s="3109"/>
      <c r="C191" s="3109"/>
      <c r="D191" s="3109"/>
      <c r="E191" s="3109"/>
      <c r="F191" s="3109"/>
      <c r="G191" s="3109"/>
      <c r="H191" s="3109"/>
    </row>
    <row r="192" spans="1:8">
      <c r="A192" s="3109"/>
      <c r="B192" s="3109"/>
      <c r="C192" s="3109"/>
      <c r="D192" s="3109"/>
      <c r="E192" s="3109"/>
      <c r="F192" s="3109"/>
      <c r="G192" s="3109"/>
      <c r="H192" s="3109"/>
    </row>
    <row r="193" spans="1:8">
      <c r="A193" s="3109"/>
      <c r="B193" s="3109"/>
      <c r="C193" s="3109"/>
      <c r="D193" s="3109"/>
      <c r="E193" s="3109"/>
      <c r="F193" s="3109"/>
      <c r="G193" s="3109"/>
      <c r="H193" s="3109"/>
    </row>
    <row r="194" spans="1:8">
      <c r="A194" s="3109"/>
      <c r="B194" s="3109"/>
      <c r="C194" s="3109"/>
      <c r="D194" s="3109"/>
      <c r="E194" s="3109"/>
      <c r="F194" s="3109"/>
      <c r="G194" s="3109"/>
      <c r="H194" s="3109"/>
    </row>
    <row r="195" spans="1:8">
      <c r="A195" s="3109"/>
      <c r="B195" s="3109"/>
      <c r="C195" s="3109"/>
      <c r="D195" s="3109"/>
      <c r="E195" s="3109"/>
      <c r="F195" s="3109"/>
      <c r="G195" s="3109"/>
      <c r="H195" s="3109"/>
    </row>
    <row r="196" spans="1:8">
      <c r="A196" s="3109"/>
      <c r="B196" s="3109"/>
      <c r="C196" s="3109"/>
      <c r="D196" s="3109"/>
      <c r="E196" s="3109"/>
      <c r="F196" s="3109"/>
      <c r="G196" s="3109"/>
      <c r="H196" s="3109"/>
    </row>
    <row r="197" spans="1:8">
      <c r="A197" s="3109"/>
      <c r="B197" s="3109"/>
      <c r="C197" s="3109"/>
      <c r="D197" s="3109"/>
      <c r="E197" s="3109"/>
      <c r="F197" s="3109"/>
      <c r="G197" s="3109"/>
      <c r="H197" s="3109"/>
    </row>
    <row r="198" spans="1:8">
      <c r="A198" s="3109"/>
      <c r="B198" s="3109"/>
      <c r="C198" s="3109"/>
      <c r="D198" s="3109"/>
      <c r="E198" s="3109"/>
      <c r="F198" s="3109"/>
      <c r="G198" s="3109"/>
      <c r="H198" s="3109"/>
    </row>
    <row r="199" spans="1:8">
      <c r="A199" s="3109"/>
      <c r="B199" s="3109"/>
      <c r="C199" s="3109"/>
      <c r="D199" s="3109"/>
      <c r="E199" s="3109"/>
      <c r="F199" s="3109"/>
      <c r="G199" s="3109"/>
      <c r="H199" s="3109"/>
    </row>
    <row r="200" spans="1:8">
      <c r="A200" s="3109"/>
      <c r="B200" s="3109"/>
      <c r="C200" s="3109"/>
      <c r="D200" s="3109"/>
      <c r="E200" s="3109"/>
      <c r="F200" s="3109"/>
      <c r="G200" s="3109"/>
      <c r="H200" s="3109"/>
    </row>
    <row r="201" spans="1:8">
      <c r="A201" s="3109"/>
      <c r="B201" s="3109"/>
      <c r="C201" s="3109"/>
      <c r="D201" s="3109"/>
      <c r="E201" s="3109"/>
      <c r="F201" s="3109"/>
      <c r="G201" s="3109"/>
      <c r="H201" s="3109"/>
    </row>
    <row r="202" spans="1:8">
      <c r="A202" s="3109"/>
      <c r="B202" s="3109"/>
      <c r="C202" s="3109"/>
      <c r="D202" s="3109"/>
      <c r="E202" s="3109"/>
      <c r="F202" s="3109"/>
      <c r="G202" s="3109"/>
      <c r="H202" s="3109"/>
    </row>
    <row r="203" spans="1:8" ht="15.75">
      <c r="A203" s="3111" t="s">
        <v>1521</v>
      </c>
      <c r="B203" s="3109"/>
      <c r="C203" s="3109"/>
      <c r="D203" s="3109"/>
      <c r="E203" s="3109"/>
      <c r="F203" s="3109"/>
      <c r="G203" s="3109"/>
      <c r="H203" s="3109"/>
    </row>
    <row r="204" spans="1:8">
      <c r="A204" s="3109"/>
      <c r="B204" s="3109"/>
      <c r="C204" s="3109"/>
      <c r="D204" s="3109"/>
      <c r="E204" s="3109"/>
      <c r="F204" s="3109"/>
      <c r="G204" s="3109"/>
      <c r="H204" s="3109"/>
    </row>
    <row r="205" spans="1:8">
      <c r="A205" s="3110" t="s">
        <v>1682</v>
      </c>
      <c r="B205" s="3109"/>
      <c r="C205" s="3109"/>
      <c r="D205" s="3109"/>
      <c r="E205" s="3109"/>
      <c r="F205" s="3109"/>
      <c r="G205" s="3109"/>
      <c r="H205" s="3109"/>
    </row>
    <row r="206" spans="1:8">
      <c r="A206" s="3110" t="s">
        <v>1683</v>
      </c>
      <c r="B206" s="3109"/>
      <c r="C206" s="3109"/>
      <c r="D206" s="3109"/>
      <c r="E206" s="3109"/>
      <c r="F206" s="3109"/>
      <c r="G206" s="3109"/>
      <c r="H206" s="3109"/>
    </row>
    <row r="207" spans="1:8">
      <c r="A207" s="3110" t="s">
        <v>1684</v>
      </c>
      <c r="B207" s="3109"/>
      <c r="C207" s="3109"/>
      <c r="D207" s="3109"/>
      <c r="E207" s="3109"/>
      <c r="F207" s="3109"/>
      <c r="G207" s="3109"/>
      <c r="H207" s="3109"/>
    </row>
    <row r="208" spans="1:8">
      <c r="A208" s="3110" t="s">
        <v>1685</v>
      </c>
      <c r="B208" s="3109"/>
      <c r="C208" s="3109"/>
      <c r="D208" s="3109"/>
      <c r="E208" s="3109"/>
      <c r="F208" s="3109"/>
      <c r="G208" s="3109"/>
      <c r="H208" s="3109"/>
    </row>
    <row r="209" spans="1:8">
      <c r="A209" s="3110" t="s">
        <v>1686</v>
      </c>
      <c r="B209" s="3109"/>
      <c r="C209" s="3109"/>
      <c r="D209" s="3109"/>
      <c r="E209" s="3109"/>
      <c r="F209" s="3109"/>
      <c r="G209" s="3109"/>
      <c r="H209" s="3109"/>
    </row>
    <row r="210" spans="1:8">
      <c r="A210" s="3109"/>
      <c r="B210" s="3109"/>
      <c r="C210" s="3109"/>
      <c r="D210" s="3109"/>
      <c r="E210" s="3109"/>
      <c r="F210" s="3109"/>
      <c r="G210" s="3109"/>
      <c r="H210" s="3109"/>
    </row>
    <row r="211" spans="1:8">
      <c r="A211" s="3110" t="s">
        <v>1679</v>
      </c>
      <c r="B211" s="3109"/>
      <c r="C211" s="3109"/>
      <c r="D211" s="3109"/>
      <c r="E211" s="3109"/>
      <c r="F211" s="3109"/>
      <c r="G211" s="3109"/>
      <c r="H211" s="3109"/>
    </row>
    <row r="212" spans="1:8">
      <c r="A212" s="3110" t="s">
        <v>1680</v>
      </c>
      <c r="B212" s="3109"/>
      <c r="C212" s="3109"/>
      <c r="D212" s="3109"/>
      <c r="E212" s="3109"/>
      <c r="F212" s="3109"/>
      <c r="G212" s="3109"/>
      <c r="H212" s="3109"/>
    </row>
    <row r="213" spans="1:8">
      <c r="A213" s="3110" t="s">
        <v>1681</v>
      </c>
      <c r="B213" s="3109"/>
      <c r="C213" s="3109"/>
      <c r="D213" s="3109"/>
      <c r="E213" s="3109"/>
      <c r="F213" s="3109"/>
      <c r="G213" s="3109"/>
      <c r="H213" s="3109"/>
    </row>
    <row r="214" spans="1:8" ht="15.75">
      <c r="A214" s="3111" t="s">
        <v>1522</v>
      </c>
      <c r="B214" s="3109"/>
      <c r="C214" s="3109"/>
      <c r="D214" s="3109"/>
      <c r="E214" s="3109"/>
      <c r="F214" s="3109"/>
      <c r="G214" s="3109"/>
      <c r="H214" s="3109"/>
    </row>
    <row r="215" spans="1:8">
      <c r="A215" s="3109"/>
      <c r="B215" s="3109"/>
      <c r="C215" s="3109"/>
      <c r="D215" s="3109"/>
      <c r="E215" s="3109"/>
      <c r="F215" s="3109"/>
      <c r="G215" s="3109"/>
      <c r="H215" s="3109"/>
    </row>
    <row r="216" spans="1:8">
      <c r="A216" s="3110" t="s">
        <v>1677</v>
      </c>
      <c r="B216" s="3109"/>
      <c r="C216" s="3109"/>
      <c r="D216" s="3109"/>
      <c r="E216" s="3109"/>
      <c r="F216" s="3109"/>
      <c r="G216" s="3109"/>
      <c r="H216" s="3109"/>
    </row>
    <row r="217" spans="1:8">
      <c r="A217" s="3110" t="s">
        <v>1678</v>
      </c>
      <c r="B217" s="3109"/>
      <c r="C217" s="3109"/>
      <c r="D217" s="3109"/>
      <c r="E217" s="3109"/>
      <c r="F217" s="3109"/>
      <c r="G217" s="3109"/>
      <c r="H217" s="3109"/>
    </row>
    <row r="218" spans="1:8">
      <c r="A218" s="3109"/>
      <c r="B218" s="3109"/>
      <c r="C218" s="3109"/>
      <c r="D218" s="3109"/>
      <c r="E218" s="3109"/>
      <c r="F218" s="3109"/>
      <c r="G218" s="3109"/>
      <c r="H218" s="3109"/>
    </row>
    <row r="219" spans="1:8">
      <c r="A219" s="3110" t="s">
        <v>1670</v>
      </c>
      <c r="B219" s="3109"/>
      <c r="C219" s="3109"/>
      <c r="D219" s="3109"/>
      <c r="E219" s="3109"/>
      <c r="F219" s="3109"/>
      <c r="G219" s="3109"/>
      <c r="H219" s="3109"/>
    </row>
    <row r="220" spans="1:8">
      <c r="A220" s="3110" t="s">
        <v>1671</v>
      </c>
      <c r="B220" s="3109"/>
      <c r="C220" s="3109"/>
      <c r="D220" s="3109"/>
      <c r="E220" s="3109"/>
      <c r="F220" s="3109"/>
      <c r="G220" s="3109"/>
      <c r="H220" s="3109"/>
    </row>
    <row r="221" spans="1:8">
      <c r="A221" s="3110" t="s">
        <v>1672</v>
      </c>
      <c r="B221" s="3109"/>
      <c r="C221" s="3109"/>
      <c r="D221" s="3109"/>
      <c r="E221" s="3109"/>
      <c r="F221" s="3109"/>
      <c r="G221" s="3109"/>
      <c r="H221" s="3109"/>
    </row>
    <row r="222" spans="1:8">
      <c r="A222" s="3110" t="s">
        <v>1673</v>
      </c>
      <c r="B222" s="3109"/>
      <c r="C222" s="3109"/>
      <c r="D222" s="3109"/>
      <c r="E222" s="3109"/>
      <c r="F222" s="3109"/>
      <c r="G222" s="3109"/>
      <c r="H222" s="3109"/>
    </row>
    <row r="223" spans="1:8">
      <c r="A223" s="3110" t="s">
        <v>1674</v>
      </c>
      <c r="B223" s="3109"/>
      <c r="C223" s="3109"/>
      <c r="D223" s="3109"/>
      <c r="E223" s="3109"/>
      <c r="F223" s="3109"/>
      <c r="G223" s="3109"/>
      <c r="H223" s="3109"/>
    </row>
    <row r="224" spans="1:8">
      <c r="A224" s="3110" t="s">
        <v>1675</v>
      </c>
      <c r="B224" s="3109"/>
      <c r="C224" s="3109"/>
      <c r="D224" s="3109"/>
      <c r="E224" s="3109"/>
      <c r="F224" s="3109"/>
      <c r="G224" s="3109"/>
      <c r="H224" s="3109"/>
    </row>
    <row r="225" spans="1:8">
      <c r="A225" s="3110" t="s">
        <v>1676</v>
      </c>
      <c r="B225" s="3109"/>
      <c r="C225" s="3109"/>
      <c r="D225" s="3109"/>
      <c r="E225" s="3109"/>
      <c r="F225" s="3109"/>
      <c r="G225" s="3109"/>
      <c r="H225" s="3109"/>
    </row>
    <row r="226" spans="1:8">
      <c r="A226" s="3109"/>
      <c r="B226" s="3109"/>
      <c r="C226" s="3109"/>
      <c r="D226" s="3109"/>
      <c r="E226" s="3109"/>
      <c r="F226" s="3109"/>
      <c r="G226" s="3109"/>
      <c r="H226" s="3109"/>
    </row>
    <row r="227" spans="1:8">
      <c r="A227" s="3110" t="s">
        <v>1667</v>
      </c>
      <c r="B227" s="3109"/>
      <c r="C227" s="3109"/>
      <c r="D227" s="3109"/>
      <c r="E227" s="3109"/>
      <c r="F227" s="3109"/>
      <c r="G227" s="3109"/>
      <c r="H227" s="3109"/>
    </row>
    <row r="228" spans="1:8">
      <c r="A228" s="3110" t="s">
        <v>1668</v>
      </c>
      <c r="B228" s="3109"/>
      <c r="C228" s="3109"/>
      <c r="D228" s="3109"/>
      <c r="E228" s="3109"/>
      <c r="F228" s="3109"/>
      <c r="G228" s="3109"/>
      <c r="H228" s="3109"/>
    </row>
    <row r="229" spans="1:8">
      <c r="A229" s="3110" t="s">
        <v>1669</v>
      </c>
      <c r="B229" s="3109"/>
      <c r="C229" s="3109"/>
      <c r="D229" s="3109"/>
      <c r="E229" s="3109"/>
      <c r="F229" s="3109"/>
      <c r="G229" s="3109"/>
      <c r="H229" s="3109"/>
    </row>
    <row r="230" spans="1:8">
      <c r="A230" s="3109"/>
      <c r="B230" s="3109"/>
      <c r="C230" s="3109"/>
      <c r="D230" s="3109"/>
      <c r="E230" s="3109"/>
      <c r="F230" s="3109"/>
      <c r="G230" s="3109"/>
      <c r="H230" s="3109"/>
    </row>
    <row r="231" spans="1:8">
      <c r="A231" s="3110" t="s">
        <v>1662</v>
      </c>
      <c r="B231" s="3109"/>
      <c r="C231" s="3109"/>
      <c r="D231" s="3109"/>
      <c r="E231" s="3109"/>
      <c r="F231" s="3109"/>
      <c r="G231" s="3109"/>
      <c r="H231" s="3109"/>
    </row>
    <row r="232" spans="1:8">
      <c r="A232" s="3110" t="s">
        <v>1663</v>
      </c>
      <c r="B232" s="3109"/>
      <c r="C232" s="3109"/>
      <c r="D232" s="3109"/>
      <c r="E232" s="3109"/>
      <c r="F232" s="3109"/>
      <c r="G232" s="3109"/>
      <c r="H232" s="3109"/>
    </row>
    <row r="233" spans="1:8">
      <c r="A233" s="3110" t="s">
        <v>1664</v>
      </c>
      <c r="B233" s="3109"/>
      <c r="C233" s="3109"/>
      <c r="D233" s="3109"/>
      <c r="E233" s="3109"/>
      <c r="F233" s="3109"/>
      <c r="G233" s="3109"/>
      <c r="H233" s="3109"/>
    </row>
    <row r="234" spans="1:8">
      <c r="A234" s="3110" t="s">
        <v>1665</v>
      </c>
      <c r="B234" s="3109"/>
      <c r="C234" s="3109"/>
      <c r="D234" s="3109"/>
      <c r="E234" s="3109"/>
      <c r="F234" s="3109"/>
      <c r="G234" s="3109"/>
      <c r="H234" s="3109"/>
    </row>
    <row r="235" spans="1:8">
      <c r="A235" s="3110" t="s">
        <v>1666</v>
      </c>
      <c r="B235" s="3109"/>
      <c r="C235" s="3109"/>
      <c r="D235" s="3109"/>
      <c r="E235" s="3109"/>
      <c r="F235" s="3109"/>
      <c r="G235" s="3109"/>
      <c r="H235" s="3109"/>
    </row>
    <row r="236" spans="1:8">
      <c r="A236" s="3109"/>
      <c r="B236" s="3109"/>
      <c r="C236" s="3109"/>
      <c r="D236" s="3109"/>
      <c r="E236" s="3109"/>
      <c r="F236" s="3109"/>
      <c r="G236" s="3109"/>
      <c r="H236" s="3109"/>
    </row>
    <row r="237" spans="1:8">
      <c r="A237" s="3110" t="s">
        <v>1656</v>
      </c>
      <c r="B237" s="3109"/>
      <c r="C237" s="3109"/>
      <c r="D237" s="3109"/>
      <c r="E237" s="3109"/>
      <c r="F237" s="3109"/>
      <c r="G237" s="3109"/>
      <c r="H237" s="3109"/>
    </row>
    <row r="238" spans="1:8">
      <c r="A238" s="3110" t="s">
        <v>1657</v>
      </c>
      <c r="B238" s="3109"/>
      <c r="C238" s="3109"/>
      <c r="D238" s="3109"/>
      <c r="E238" s="3109"/>
      <c r="F238" s="3109"/>
      <c r="G238" s="3109"/>
      <c r="H238" s="3109"/>
    </row>
    <row r="239" spans="1:8">
      <c r="A239" s="3110" t="s">
        <v>1658</v>
      </c>
      <c r="B239" s="3109"/>
      <c r="C239" s="3109"/>
      <c r="D239" s="3109"/>
      <c r="E239" s="3109"/>
      <c r="F239" s="3109"/>
      <c r="G239" s="3109"/>
      <c r="H239" s="3109"/>
    </row>
    <row r="240" spans="1:8">
      <c r="A240" s="3110" t="s">
        <v>1659</v>
      </c>
      <c r="B240" s="3109"/>
      <c r="C240" s="3109"/>
      <c r="D240" s="3109"/>
      <c r="E240" s="3109"/>
      <c r="F240" s="3109"/>
      <c r="G240" s="3109"/>
      <c r="H240" s="3109"/>
    </row>
    <row r="241" spans="1:8">
      <c r="A241" s="3110" t="s">
        <v>1660</v>
      </c>
      <c r="B241" s="3109"/>
      <c r="C241" s="3109"/>
      <c r="D241" s="3109"/>
      <c r="E241" s="3109"/>
      <c r="F241" s="3109"/>
      <c r="G241" s="3109"/>
      <c r="H241" s="3109"/>
    </row>
    <row r="242" spans="1:8">
      <c r="A242" s="3110" t="s">
        <v>1661</v>
      </c>
      <c r="B242" s="3109"/>
      <c r="C242" s="3109"/>
      <c r="D242" s="3109"/>
      <c r="E242" s="3109"/>
      <c r="F242" s="3109"/>
      <c r="G242" s="3109"/>
      <c r="H242" s="3109"/>
    </row>
    <row r="243" spans="1:8">
      <c r="A243" s="3109"/>
      <c r="B243" s="3109"/>
      <c r="C243" s="3109"/>
      <c r="D243" s="3109"/>
      <c r="E243" s="3109"/>
      <c r="F243" s="3109"/>
      <c r="G243" s="3109"/>
      <c r="H243" s="3109"/>
    </row>
    <row r="244" spans="1:8">
      <c r="A244" s="3110" t="s">
        <v>1646</v>
      </c>
      <c r="B244" s="3109"/>
      <c r="C244" s="3109"/>
      <c r="D244" s="3109"/>
      <c r="E244" s="3109"/>
      <c r="F244" s="3109"/>
      <c r="G244" s="3109"/>
      <c r="H244" s="3109"/>
    </row>
    <row r="245" spans="1:8">
      <c r="A245" s="3110" t="s">
        <v>1647</v>
      </c>
      <c r="B245" s="3109"/>
      <c r="C245" s="3109"/>
      <c r="D245" s="3109"/>
      <c r="E245" s="3109"/>
      <c r="F245" s="3109"/>
      <c r="G245" s="3109"/>
      <c r="H245" s="3109"/>
    </row>
    <row r="246" spans="1:8">
      <c r="A246" s="3110" t="s">
        <v>1648</v>
      </c>
      <c r="B246" s="3109"/>
      <c r="C246" s="3109"/>
      <c r="D246" s="3109"/>
      <c r="E246" s="3109"/>
      <c r="F246" s="3109"/>
      <c r="G246" s="3109"/>
      <c r="H246" s="3109"/>
    </row>
    <row r="247" spans="1:8">
      <c r="A247" s="3110" t="s">
        <v>1649</v>
      </c>
      <c r="B247" s="3109"/>
      <c r="C247" s="3109"/>
      <c r="D247" s="3109"/>
      <c r="E247" s="3109"/>
      <c r="F247" s="3109"/>
      <c r="G247" s="3109"/>
      <c r="H247" s="3109"/>
    </row>
    <row r="248" spans="1:8">
      <c r="A248" s="3110" t="s">
        <v>1650</v>
      </c>
      <c r="B248" s="3109"/>
      <c r="C248" s="3109"/>
      <c r="D248" s="3109"/>
      <c r="E248" s="3109"/>
      <c r="F248" s="3109"/>
      <c r="G248" s="3109"/>
      <c r="H248" s="3109"/>
    </row>
    <row r="249" spans="1:8">
      <c r="A249" s="3110" t="s">
        <v>1651</v>
      </c>
      <c r="B249" s="3109"/>
      <c r="C249" s="3109"/>
      <c r="D249" s="3109"/>
      <c r="E249" s="3109"/>
      <c r="F249" s="3109"/>
      <c r="G249" s="3109"/>
      <c r="H249" s="3109"/>
    </row>
    <row r="250" spans="1:8">
      <c r="A250" s="3110" t="s">
        <v>1652</v>
      </c>
      <c r="B250" s="3109"/>
      <c r="C250" s="3109"/>
      <c r="D250" s="3109"/>
      <c r="E250" s="3109"/>
      <c r="F250" s="3109"/>
      <c r="G250" s="3109"/>
      <c r="H250" s="3109"/>
    </row>
    <row r="251" spans="1:8">
      <c r="A251" s="3110" t="s">
        <v>1653</v>
      </c>
      <c r="B251" s="3109"/>
      <c r="C251" s="3109"/>
      <c r="D251" s="3109"/>
      <c r="E251" s="3109"/>
      <c r="F251" s="3109"/>
      <c r="G251" s="3109"/>
      <c r="H251" s="3109"/>
    </row>
    <row r="252" spans="1:8">
      <c r="A252" s="3110" t="s">
        <v>1654</v>
      </c>
      <c r="B252" s="3109"/>
      <c r="C252" s="3109"/>
      <c r="D252" s="3109"/>
      <c r="E252" s="3109"/>
      <c r="F252" s="3109"/>
      <c r="G252" s="3109"/>
      <c r="H252" s="3109"/>
    </row>
    <row r="253" spans="1:8">
      <c r="A253" s="3110" t="s">
        <v>1655</v>
      </c>
      <c r="B253" s="3109"/>
      <c r="C253" s="3109"/>
      <c r="D253" s="3109"/>
      <c r="E253" s="3109"/>
      <c r="F253" s="3109"/>
      <c r="G253" s="3109"/>
      <c r="H253" s="3109"/>
    </row>
    <row r="254" spans="1:8">
      <c r="A254" s="3109"/>
      <c r="B254" s="3109"/>
      <c r="C254" s="3109"/>
      <c r="D254" s="3109"/>
      <c r="E254" s="3109"/>
      <c r="F254" s="3109"/>
      <c r="G254" s="3109"/>
      <c r="H254" s="3109"/>
    </row>
    <row r="255" spans="1:8">
      <c r="A255" s="3110" t="s">
        <v>1644</v>
      </c>
      <c r="B255" s="3109"/>
      <c r="C255" s="3109"/>
      <c r="D255" s="3109"/>
      <c r="E255" s="3109"/>
      <c r="F255" s="3109"/>
      <c r="G255" s="3109"/>
      <c r="H255" s="3109"/>
    </row>
    <row r="256" spans="1:8">
      <c r="A256" s="3110" t="s">
        <v>1645</v>
      </c>
      <c r="B256" s="3109"/>
      <c r="C256" s="3109"/>
      <c r="D256" s="3109"/>
      <c r="E256" s="3109"/>
      <c r="F256" s="3109"/>
      <c r="G256" s="3109"/>
      <c r="H256" s="3109"/>
    </row>
    <row r="257" spans="1:8">
      <c r="A257" s="3109"/>
      <c r="B257" s="3109"/>
      <c r="C257" s="3109"/>
      <c r="D257" s="3109"/>
      <c r="E257" s="3109"/>
      <c r="F257" s="3109"/>
      <c r="G257" s="3109"/>
      <c r="H257" s="3109"/>
    </row>
    <row r="258" spans="1:8">
      <c r="A258" s="3110" t="s">
        <v>1628</v>
      </c>
      <c r="B258" s="3109"/>
      <c r="C258" s="3109"/>
      <c r="D258" s="3109"/>
      <c r="E258" s="3109"/>
      <c r="F258" s="3109"/>
      <c r="G258" s="3109"/>
      <c r="H258" s="3109"/>
    </row>
    <row r="259" spans="1:8">
      <c r="A259" s="3110" t="s">
        <v>1629</v>
      </c>
      <c r="B259" s="3109"/>
      <c r="C259" s="3109"/>
      <c r="D259" s="3109"/>
      <c r="E259" s="3109"/>
      <c r="F259" s="3109"/>
      <c r="G259" s="3109"/>
      <c r="H259" s="3109"/>
    </row>
    <row r="260" spans="1:8">
      <c r="A260" s="3110" t="s">
        <v>1630</v>
      </c>
      <c r="B260" s="3109"/>
      <c r="C260" s="3109"/>
      <c r="D260" s="3109"/>
      <c r="E260" s="3109"/>
      <c r="F260" s="3109"/>
      <c r="G260" s="3109"/>
      <c r="H260" s="3109"/>
    </row>
    <row r="261" spans="1:8">
      <c r="A261" s="3110" t="s">
        <v>1631</v>
      </c>
      <c r="B261" s="3109"/>
      <c r="C261" s="3109"/>
      <c r="D261" s="3109"/>
      <c r="E261" s="3109"/>
      <c r="F261" s="3109"/>
      <c r="G261" s="3109"/>
      <c r="H261" s="3109"/>
    </row>
    <row r="262" spans="1:8">
      <c r="A262" s="3110" t="s">
        <v>1632</v>
      </c>
      <c r="B262" s="3109"/>
      <c r="C262" s="3109"/>
      <c r="D262" s="3109"/>
      <c r="E262" s="3109"/>
      <c r="F262" s="3109"/>
      <c r="G262" s="3109"/>
      <c r="H262" s="3109"/>
    </row>
    <row r="263" spans="1:8">
      <c r="A263" s="3110" t="s">
        <v>1633</v>
      </c>
      <c r="B263" s="3109"/>
      <c r="C263" s="3109"/>
      <c r="D263" s="3109"/>
      <c r="E263" s="3109"/>
      <c r="F263" s="3109"/>
      <c r="G263" s="3109"/>
      <c r="H263" s="3109"/>
    </row>
    <row r="264" spans="1:8">
      <c r="A264" s="3110" t="s">
        <v>1634</v>
      </c>
      <c r="B264" s="3109"/>
      <c r="C264" s="3109"/>
      <c r="D264" s="3109"/>
      <c r="E264" s="3109"/>
      <c r="F264" s="3109"/>
      <c r="G264" s="3109"/>
      <c r="H264" s="3109"/>
    </row>
    <row r="265" spans="1:8">
      <c r="A265" s="3110" t="s">
        <v>1635</v>
      </c>
      <c r="B265" s="3109"/>
      <c r="C265" s="3109"/>
      <c r="D265" s="3109"/>
      <c r="E265" s="3109"/>
      <c r="F265" s="3109"/>
      <c r="G265" s="3109"/>
      <c r="H265" s="3109"/>
    </row>
    <row r="266" spans="1:8">
      <c r="A266" s="3110" t="s">
        <v>1636</v>
      </c>
      <c r="B266" s="3109"/>
      <c r="C266" s="3109"/>
      <c r="D266" s="3109"/>
      <c r="E266" s="3109"/>
      <c r="F266" s="3109"/>
      <c r="G266" s="3109"/>
      <c r="H266" s="3109"/>
    </row>
    <row r="267" spans="1:8">
      <c r="A267" s="3110" t="s">
        <v>1637</v>
      </c>
      <c r="B267" s="3109"/>
      <c r="C267" s="3109"/>
      <c r="D267" s="3109"/>
      <c r="E267" s="3109"/>
      <c r="F267" s="3109"/>
      <c r="G267" s="3109"/>
      <c r="H267" s="3109"/>
    </row>
    <row r="268" spans="1:8">
      <c r="A268" s="3110" t="s">
        <v>1638</v>
      </c>
      <c r="B268" s="3109"/>
      <c r="C268" s="3109"/>
      <c r="D268" s="3109"/>
      <c r="E268" s="3109"/>
      <c r="F268" s="3109"/>
      <c r="G268" s="3109"/>
      <c r="H268" s="3109"/>
    </row>
    <row r="269" spans="1:8">
      <c r="A269" s="3110" t="s">
        <v>1639</v>
      </c>
      <c r="B269" s="3109"/>
      <c r="C269" s="3109"/>
      <c r="D269" s="3109"/>
      <c r="E269" s="3109"/>
      <c r="F269" s="3109"/>
      <c r="G269" s="3109"/>
      <c r="H269" s="3109"/>
    </row>
    <row r="270" spans="1:8">
      <c r="A270" s="3110" t="s">
        <v>1640</v>
      </c>
      <c r="B270" s="3109"/>
      <c r="C270" s="3109"/>
      <c r="D270" s="3109"/>
      <c r="E270" s="3109"/>
      <c r="F270" s="3109"/>
      <c r="G270" s="3109"/>
      <c r="H270" s="3109"/>
    </row>
    <row r="271" spans="1:8">
      <c r="A271" s="3110" t="s">
        <v>1641</v>
      </c>
      <c r="B271" s="3109"/>
      <c r="C271" s="3109"/>
      <c r="D271" s="3109"/>
      <c r="E271" s="3109"/>
      <c r="F271" s="3109"/>
      <c r="G271" s="3109"/>
      <c r="H271" s="3109"/>
    </row>
    <row r="272" spans="1:8">
      <c r="A272" s="3110" t="s">
        <v>1642</v>
      </c>
      <c r="B272" s="3109"/>
      <c r="C272" s="3109"/>
      <c r="D272" s="3109"/>
      <c r="E272" s="3109"/>
      <c r="F272" s="3109"/>
      <c r="G272" s="3109"/>
      <c r="H272" s="3109"/>
    </row>
    <row r="273" spans="1:8">
      <c r="A273" s="3110" t="s">
        <v>1643</v>
      </c>
      <c r="B273" s="3109"/>
      <c r="C273" s="3109"/>
      <c r="D273" s="3109"/>
      <c r="E273" s="3109"/>
      <c r="F273" s="3109"/>
      <c r="G273" s="3109"/>
      <c r="H273" s="3109"/>
    </row>
    <row r="274" spans="1:8">
      <c r="A274" s="3109"/>
      <c r="B274" s="3109"/>
      <c r="C274" s="3109"/>
      <c r="D274" s="3109"/>
      <c r="E274" s="3109"/>
      <c r="F274" s="3109"/>
      <c r="G274" s="3109"/>
      <c r="H274" s="3109"/>
    </row>
    <row r="275" spans="1:8">
      <c r="A275" s="3110" t="s">
        <v>1621</v>
      </c>
      <c r="B275" s="3109"/>
      <c r="C275" s="3109"/>
      <c r="D275" s="3109"/>
      <c r="E275" s="3109"/>
      <c r="F275" s="3109"/>
      <c r="G275" s="3109"/>
      <c r="H275" s="3109"/>
    </row>
    <row r="276" spans="1:8">
      <c r="A276" s="3110" t="s">
        <v>1622</v>
      </c>
      <c r="B276" s="3109"/>
      <c r="C276" s="3109"/>
      <c r="D276" s="3109"/>
      <c r="E276" s="3109"/>
      <c r="F276" s="3109"/>
      <c r="G276" s="3109"/>
      <c r="H276" s="3109"/>
    </row>
    <row r="277" spans="1:8">
      <c r="A277" s="3110" t="s">
        <v>1623</v>
      </c>
      <c r="B277" s="3109"/>
      <c r="C277" s="3109"/>
      <c r="D277" s="3109"/>
      <c r="E277" s="3109"/>
      <c r="F277" s="3109"/>
      <c r="G277" s="3109"/>
      <c r="H277" s="3109"/>
    </row>
    <row r="278" spans="1:8">
      <c r="A278" s="3110" t="s">
        <v>1624</v>
      </c>
      <c r="B278" s="3109"/>
      <c r="C278" s="3109"/>
      <c r="D278" s="3109"/>
      <c r="E278" s="3109"/>
      <c r="F278" s="3109"/>
      <c r="G278" s="3109"/>
      <c r="H278" s="3109"/>
    </row>
    <row r="279" spans="1:8">
      <c r="A279" s="3110" t="s">
        <v>1625</v>
      </c>
      <c r="B279" s="3109"/>
      <c r="C279" s="3109"/>
      <c r="D279" s="3109"/>
      <c r="E279" s="3109"/>
      <c r="F279" s="3109"/>
      <c r="G279" s="3109"/>
      <c r="H279" s="3109"/>
    </row>
    <row r="280" spans="1:8">
      <c r="A280" s="3110" t="s">
        <v>1626</v>
      </c>
      <c r="B280" s="3109"/>
      <c r="C280" s="3109"/>
      <c r="D280" s="3109"/>
      <c r="E280" s="3109"/>
      <c r="F280" s="3109"/>
      <c r="G280" s="3109"/>
      <c r="H280" s="3109"/>
    </row>
    <row r="281" spans="1:8">
      <c r="A281" s="3110" t="s">
        <v>1627</v>
      </c>
      <c r="B281" s="3109"/>
      <c r="C281" s="3109"/>
      <c r="D281" s="3109"/>
      <c r="E281" s="3109"/>
      <c r="F281" s="3109"/>
      <c r="G281" s="3109"/>
      <c r="H281" s="3109"/>
    </row>
    <row r="282" spans="1:8">
      <c r="A282" s="3109"/>
      <c r="B282" s="3109"/>
      <c r="C282" s="3109"/>
      <c r="D282" s="3109"/>
      <c r="E282" s="3109"/>
      <c r="F282" s="3109"/>
      <c r="G282" s="3109"/>
      <c r="H282" s="3109"/>
    </row>
    <row r="283" spans="1:8">
      <c r="A283" s="3110" t="s">
        <v>1612</v>
      </c>
      <c r="B283" s="3109"/>
      <c r="C283" s="3109"/>
      <c r="D283" s="3109"/>
      <c r="E283" s="3109"/>
      <c r="F283" s="3109"/>
      <c r="G283" s="3109"/>
      <c r="H283" s="3109"/>
    </row>
    <row r="284" spans="1:8">
      <c r="A284" s="3110" t="s">
        <v>1613</v>
      </c>
      <c r="B284" s="3109"/>
      <c r="C284" s="3109"/>
      <c r="D284" s="3109"/>
      <c r="E284" s="3109"/>
      <c r="F284" s="3109"/>
      <c r="G284" s="3109"/>
      <c r="H284" s="3109"/>
    </row>
    <row r="285" spans="1:8">
      <c r="A285" s="3110" t="s">
        <v>1614</v>
      </c>
      <c r="B285" s="3109"/>
      <c r="C285" s="3109"/>
      <c r="D285" s="3109"/>
      <c r="E285" s="3109"/>
      <c r="F285" s="3109"/>
      <c r="G285" s="3109"/>
      <c r="H285" s="3109"/>
    </row>
    <row r="286" spans="1:8">
      <c r="A286" s="3110" t="s">
        <v>1615</v>
      </c>
      <c r="B286" s="3109"/>
      <c r="C286" s="3109"/>
      <c r="D286" s="3109"/>
      <c r="E286" s="3109"/>
      <c r="F286" s="3109"/>
      <c r="G286" s="3109"/>
      <c r="H286" s="3109"/>
    </row>
    <row r="287" spans="1:8">
      <c r="A287" s="3110" t="s">
        <v>1616</v>
      </c>
      <c r="B287" s="3109"/>
      <c r="C287" s="3109"/>
      <c r="D287" s="3109"/>
      <c r="E287" s="3109"/>
      <c r="F287" s="3109"/>
      <c r="G287" s="3109"/>
      <c r="H287" s="3109"/>
    </row>
    <row r="288" spans="1:8">
      <c r="A288" s="3110" t="s">
        <v>1617</v>
      </c>
      <c r="B288" s="3109"/>
      <c r="C288" s="3109"/>
      <c r="D288" s="3109"/>
      <c r="E288" s="3109"/>
      <c r="F288" s="3109"/>
      <c r="G288" s="3109"/>
      <c r="H288" s="3109"/>
    </row>
    <row r="289" spans="1:8">
      <c r="A289" s="3110" t="s">
        <v>1618</v>
      </c>
      <c r="B289" s="3109"/>
      <c r="C289" s="3109"/>
      <c r="D289" s="3109"/>
      <c r="E289" s="3109"/>
      <c r="F289" s="3109"/>
      <c r="G289" s="3109"/>
      <c r="H289" s="3109"/>
    </row>
    <row r="290" spans="1:8">
      <c r="A290" s="3110" t="s">
        <v>1619</v>
      </c>
      <c r="B290" s="3109"/>
      <c r="C290" s="3109"/>
      <c r="D290" s="3109"/>
      <c r="E290" s="3109"/>
      <c r="F290" s="3109"/>
      <c r="G290" s="3109"/>
      <c r="H290" s="3109"/>
    </row>
    <row r="291" spans="1:8">
      <c r="A291" s="3110" t="s">
        <v>1620</v>
      </c>
      <c r="B291" s="3109"/>
      <c r="C291" s="3109"/>
      <c r="D291" s="3109"/>
      <c r="E291" s="3109"/>
      <c r="F291" s="3109"/>
      <c r="G291" s="3109"/>
      <c r="H291" s="3109"/>
    </row>
    <row r="292" spans="1:8">
      <c r="A292" s="3109"/>
      <c r="B292" s="3109"/>
      <c r="C292" s="3109"/>
      <c r="D292" s="3109"/>
      <c r="E292" s="3109"/>
      <c r="F292" s="3109"/>
      <c r="G292" s="3109"/>
      <c r="H292" s="3109"/>
    </row>
    <row r="293" spans="1:8">
      <c r="A293" s="3110" t="s">
        <v>1605</v>
      </c>
      <c r="B293" s="3109"/>
      <c r="C293" s="3109"/>
      <c r="D293" s="3109"/>
      <c r="E293" s="3109"/>
      <c r="F293" s="3109"/>
      <c r="G293" s="3109"/>
      <c r="H293" s="3109"/>
    </row>
    <row r="294" spans="1:8">
      <c r="A294" s="3110" t="s">
        <v>1606</v>
      </c>
      <c r="B294" s="3109"/>
      <c r="C294" s="3109"/>
      <c r="D294" s="3109"/>
      <c r="E294" s="3109"/>
      <c r="F294" s="3109"/>
      <c r="G294" s="3109"/>
      <c r="H294" s="3109"/>
    </row>
    <row r="295" spans="1:8">
      <c r="A295" s="3110" t="s">
        <v>1607</v>
      </c>
      <c r="B295" s="3109"/>
      <c r="C295" s="3109"/>
      <c r="D295" s="3109"/>
      <c r="E295" s="3109"/>
      <c r="F295" s="3109"/>
      <c r="G295" s="3109"/>
      <c r="H295" s="3109"/>
    </row>
    <row r="296" spans="1:8">
      <c r="A296" s="3110" t="s">
        <v>1608</v>
      </c>
      <c r="B296" s="3109"/>
      <c r="C296" s="3109"/>
      <c r="D296" s="3109"/>
      <c r="E296" s="3109"/>
      <c r="F296" s="3109"/>
      <c r="G296" s="3109"/>
      <c r="H296" s="3109"/>
    </row>
    <row r="297" spans="1:8">
      <c r="A297" s="3110" t="s">
        <v>1609</v>
      </c>
      <c r="B297" s="3109"/>
      <c r="C297" s="3109"/>
      <c r="D297" s="3109"/>
      <c r="E297" s="3109"/>
      <c r="F297" s="3109"/>
      <c r="G297" s="3109"/>
      <c r="H297" s="3109"/>
    </row>
    <row r="298" spans="1:8">
      <c r="A298" s="3110" t="s">
        <v>1610</v>
      </c>
      <c r="B298" s="3109"/>
      <c r="C298" s="3109"/>
      <c r="D298" s="3109"/>
      <c r="E298" s="3109"/>
      <c r="F298" s="3109"/>
      <c r="G298" s="3109"/>
      <c r="H298" s="3109"/>
    </row>
    <row r="299" spans="1:8">
      <c r="A299" s="3110" t="s">
        <v>1611</v>
      </c>
      <c r="B299" s="3109"/>
      <c r="C299" s="3109"/>
      <c r="D299" s="3109"/>
      <c r="E299" s="3109"/>
      <c r="F299" s="3109"/>
      <c r="G299" s="3109"/>
      <c r="H299" s="3109"/>
    </row>
    <row r="300" spans="1:8">
      <c r="A300" s="3109"/>
      <c r="B300" s="3109"/>
      <c r="C300" s="3109"/>
      <c r="D300" s="3109"/>
      <c r="E300" s="3109"/>
      <c r="F300" s="3109"/>
      <c r="G300" s="3109"/>
      <c r="H300" s="3109"/>
    </row>
    <row r="301" spans="1:8">
      <c r="A301" s="3110" t="s">
        <v>1602</v>
      </c>
      <c r="B301" s="3109"/>
      <c r="C301" s="3109"/>
      <c r="D301" s="3109"/>
      <c r="E301" s="3109"/>
      <c r="F301" s="3109"/>
      <c r="G301" s="3109"/>
      <c r="H301" s="3109"/>
    </row>
    <row r="302" spans="1:8">
      <c r="A302" s="3110" t="s">
        <v>1603</v>
      </c>
      <c r="B302" s="3109"/>
      <c r="C302" s="3109"/>
      <c r="D302" s="3109"/>
      <c r="E302" s="3109"/>
      <c r="F302" s="3109"/>
      <c r="G302" s="3109"/>
      <c r="H302" s="3109"/>
    </row>
    <row r="303" spans="1:8">
      <c r="A303" s="3110" t="s">
        <v>1604</v>
      </c>
      <c r="B303" s="3109"/>
      <c r="C303" s="3109"/>
      <c r="D303" s="3109"/>
      <c r="E303" s="3109"/>
      <c r="F303" s="3109"/>
      <c r="G303" s="3109"/>
      <c r="H303" s="3109"/>
    </row>
    <row r="304" spans="1:8">
      <c r="A304" s="3109"/>
      <c r="B304" s="3109"/>
      <c r="C304" s="3109"/>
      <c r="D304" s="3109"/>
      <c r="E304" s="3109"/>
      <c r="F304" s="3109"/>
      <c r="G304" s="3109"/>
      <c r="H304" s="3109"/>
    </row>
    <row r="305" spans="1:8">
      <c r="A305" s="3110" t="s">
        <v>1600</v>
      </c>
      <c r="B305" s="3109"/>
      <c r="C305" s="3109"/>
      <c r="D305" s="3109"/>
      <c r="E305" s="3109"/>
      <c r="F305" s="3109"/>
      <c r="G305" s="3109"/>
      <c r="H305" s="3109"/>
    </row>
    <row r="306" spans="1:8">
      <c r="A306" s="3110" t="s">
        <v>1601</v>
      </c>
      <c r="B306" s="3109"/>
      <c r="C306" s="3109"/>
      <c r="D306" s="3109"/>
      <c r="E306" s="3109"/>
      <c r="F306" s="3109"/>
      <c r="G306" s="3109"/>
      <c r="H306" s="3109"/>
    </row>
    <row r="307" spans="1:8">
      <c r="A307" s="3109"/>
      <c r="B307" s="3109"/>
      <c r="C307" s="3109"/>
      <c r="D307" s="3109"/>
      <c r="E307" s="3109"/>
      <c r="F307" s="3109"/>
      <c r="G307" s="3109"/>
      <c r="H307" s="3109"/>
    </row>
    <row r="308" spans="1:8">
      <c r="A308" s="3110" t="s">
        <v>1587</v>
      </c>
      <c r="B308" s="3109"/>
      <c r="C308" s="3109"/>
      <c r="D308" s="3109"/>
      <c r="E308" s="3109"/>
      <c r="F308" s="3109"/>
      <c r="G308" s="3109"/>
      <c r="H308" s="3109"/>
    </row>
    <row r="309" spans="1:8">
      <c r="A309" s="3110" t="s">
        <v>1588</v>
      </c>
      <c r="B309" s="3109"/>
      <c r="C309" s="3109"/>
      <c r="D309" s="3109"/>
      <c r="E309" s="3109"/>
      <c r="F309" s="3109"/>
      <c r="G309" s="3109"/>
      <c r="H309" s="3109"/>
    </row>
    <row r="310" spans="1:8">
      <c r="A310" s="3110" t="s">
        <v>1589</v>
      </c>
      <c r="B310" s="3109"/>
      <c r="C310" s="3109"/>
      <c r="D310" s="3109"/>
      <c r="E310" s="3109"/>
      <c r="F310" s="3109"/>
      <c r="G310" s="3109"/>
      <c r="H310" s="3109"/>
    </row>
    <row r="311" spans="1:8">
      <c r="A311" s="3110" t="s">
        <v>1590</v>
      </c>
      <c r="B311" s="3109"/>
      <c r="C311" s="3109"/>
      <c r="D311" s="3109"/>
      <c r="E311" s="3109"/>
      <c r="F311" s="3109"/>
      <c r="G311" s="3109"/>
      <c r="H311" s="3109"/>
    </row>
    <row r="312" spans="1:8">
      <c r="A312" s="3110" t="s">
        <v>1591</v>
      </c>
      <c r="B312" s="3109"/>
      <c r="C312" s="3109"/>
      <c r="D312" s="3109"/>
      <c r="E312" s="3109"/>
      <c r="F312" s="3109"/>
      <c r="G312" s="3109"/>
      <c r="H312" s="3109"/>
    </row>
    <row r="313" spans="1:8">
      <c r="A313" s="3110" t="s">
        <v>1592</v>
      </c>
      <c r="B313" s="3109"/>
      <c r="C313" s="3109"/>
      <c r="D313" s="3109"/>
      <c r="E313" s="3109"/>
      <c r="F313" s="3109"/>
      <c r="G313" s="3109"/>
      <c r="H313" s="3109"/>
    </row>
    <row r="314" spans="1:8">
      <c r="A314" s="3110" t="s">
        <v>1593</v>
      </c>
      <c r="B314" s="3109"/>
      <c r="C314" s="3109"/>
      <c r="D314" s="3109"/>
      <c r="E314" s="3109"/>
      <c r="F314" s="3109"/>
      <c r="G314" s="3109"/>
      <c r="H314" s="3109"/>
    </row>
    <row r="315" spans="1:8">
      <c r="A315" s="3110" t="s">
        <v>1594</v>
      </c>
      <c r="B315" s="3109"/>
      <c r="C315" s="3109"/>
      <c r="D315" s="3109"/>
      <c r="E315" s="3109"/>
      <c r="F315" s="3109"/>
      <c r="G315" s="3109"/>
      <c r="H315" s="3109"/>
    </row>
    <row r="316" spans="1:8">
      <c r="A316" s="3110" t="s">
        <v>1595</v>
      </c>
      <c r="B316" s="3109"/>
      <c r="C316" s="3109"/>
      <c r="D316" s="3109"/>
      <c r="E316" s="3109"/>
      <c r="F316" s="3109"/>
      <c r="G316" s="3109"/>
      <c r="H316" s="3109"/>
    </row>
    <row r="317" spans="1:8">
      <c r="A317" s="3110" t="s">
        <v>1596</v>
      </c>
      <c r="B317" s="3109"/>
      <c r="C317" s="3109"/>
      <c r="D317" s="3109"/>
      <c r="E317" s="3109"/>
      <c r="F317" s="3109"/>
      <c r="G317" s="3109"/>
      <c r="H317" s="3109"/>
    </row>
    <row r="318" spans="1:8">
      <c r="A318" s="3110" t="s">
        <v>1597</v>
      </c>
      <c r="B318" s="3109"/>
      <c r="C318" s="3109"/>
      <c r="D318" s="3109"/>
      <c r="E318" s="3109"/>
      <c r="F318" s="3109"/>
      <c r="G318" s="3109"/>
      <c r="H318" s="3109"/>
    </row>
    <row r="319" spans="1:8">
      <c r="A319" s="3110" t="s">
        <v>1598</v>
      </c>
      <c r="B319" s="3109"/>
      <c r="C319" s="3109"/>
      <c r="D319" s="3109"/>
      <c r="E319" s="3109"/>
      <c r="F319" s="3109"/>
      <c r="G319" s="3109"/>
      <c r="H319" s="3109"/>
    </row>
    <row r="320" spans="1:8">
      <c r="A320" s="3110" t="s">
        <v>1599</v>
      </c>
      <c r="B320" s="3109"/>
      <c r="C320" s="3109"/>
      <c r="D320" s="3109"/>
      <c r="E320" s="3109"/>
      <c r="F320" s="3109"/>
      <c r="G320" s="3109"/>
      <c r="H320" s="3109"/>
    </row>
    <row r="321" spans="1:8">
      <c r="A321" s="3109"/>
      <c r="B321" s="3109"/>
      <c r="C321" s="3109"/>
      <c r="D321" s="3109"/>
      <c r="E321" s="3109"/>
      <c r="F321" s="3109"/>
      <c r="G321" s="3109"/>
      <c r="H321" s="3109"/>
    </row>
    <row r="322" spans="1:8">
      <c r="A322" s="3110" t="s">
        <v>1579</v>
      </c>
      <c r="B322" s="3109"/>
      <c r="C322" s="3109"/>
      <c r="D322" s="3109"/>
      <c r="E322" s="3109"/>
      <c r="F322" s="3109"/>
      <c r="G322" s="3109"/>
      <c r="H322" s="3109"/>
    </row>
    <row r="323" spans="1:8">
      <c r="A323" s="3110" t="s">
        <v>1580</v>
      </c>
      <c r="B323" s="3109"/>
      <c r="C323" s="3109"/>
      <c r="D323" s="3109"/>
      <c r="E323" s="3109"/>
      <c r="F323" s="3109"/>
      <c r="G323" s="3109"/>
      <c r="H323" s="3109"/>
    </row>
    <row r="324" spans="1:8">
      <c r="A324" s="3110" t="s">
        <v>1581</v>
      </c>
      <c r="B324" s="3109"/>
      <c r="C324" s="3109"/>
      <c r="D324" s="3109"/>
      <c r="E324" s="3109"/>
      <c r="F324" s="3109"/>
      <c r="G324" s="3109"/>
      <c r="H324" s="3109"/>
    </row>
    <row r="325" spans="1:8">
      <c r="A325" s="3110" t="s">
        <v>1582</v>
      </c>
      <c r="B325" s="3109"/>
      <c r="C325" s="3109"/>
      <c r="D325" s="3109"/>
      <c r="E325" s="3109"/>
      <c r="F325" s="3109"/>
      <c r="G325" s="3109"/>
      <c r="H325" s="3109"/>
    </row>
    <row r="326" spans="1:8">
      <c r="A326" s="3110" t="s">
        <v>1583</v>
      </c>
      <c r="B326" s="3109"/>
      <c r="C326" s="3109"/>
      <c r="D326" s="3109"/>
      <c r="E326" s="3109"/>
      <c r="F326" s="3109"/>
      <c r="G326" s="3109"/>
      <c r="H326" s="3109"/>
    </row>
    <row r="327" spans="1:8">
      <c r="A327" s="3110" t="s">
        <v>1584</v>
      </c>
      <c r="B327" s="3109"/>
      <c r="C327" s="3109"/>
      <c r="D327" s="3109"/>
      <c r="E327" s="3109"/>
      <c r="F327" s="3109"/>
      <c r="G327" s="3109"/>
      <c r="H327" s="3109"/>
    </row>
    <row r="328" spans="1:8">
      <c r="A328" s="3110" t="s">
        <v>1585</v>
      </c>
      <c r="B328" s="3109"/>
      <c r="C328" s="3109"/>
      <c r="D328" s="3109"/>
      <c r="E328" s="3109"/>
      <c r="F328" s="3109"/>
      <c r="G328" s="3109"/>
      <c r="H328" s="3109"/>
    </row>
    <row r="329" spans="1:8">
      <c r="A329" s="3110" t="s">
        <v>1586</v>
      </c>
      <c r="B329" s="3109"/>
      <c r="C329" s="3109"/>
      <c r="D329" s="3109"/>
      <c r="E329" s="3109"/>
      <c r="F329" s="3109"/>
      <c r="G329" s="3109"/>
      <c r="H329" s="3109"/>
    </row>
    <row r="330" spans="1:8">
      <c r="A330" s="3109"/>
      <c r="B330" s="3109"/>
      <c r="C330" s="3109"/>
      <c r="D330" s="3109"/>
      <c r="E330" s="3109"/>
      <c r="F330" s="3109"/>
      <c r="G330" s="3109"/>
      <c r="H330" s="3109"/>
    </row>
    <row r="331" spans="1:8">
      <c r="A331" s="3110" t="s">
        <v>1544</v>
      </c>
      <c r="B331" s="3109"/>
      <c r="C331" s="3109"/>
      <c r="D331" s="3109"/>
      <c r="E331" s="3109"/>
      <c r="F331" s="3109"/>
      <c r="G331" s="3109"/>
      <c r="H331" s="3109"/>
    </row>
    <row r="332" spans="1:8">
      <c r="A332" s="3110" t="s">
        <v>1545</v>
      </c>
      <c r="B332" s="3109"/>
      <c r="C332" s="3109"/>
      <c r="D332" s="3109"/>
      <c r="E332" s="3109"/>
      <c r="F332" s="3109"/>
      <c r="G332" s="3109"/>
      <c r="H332" s="3109"/>
    </row>
    <row r="333" spans="1:8">
      <c r="A333" s="3110" t="s">
        <v>1546</v>
      </c>
      <c r="B333" s="3109"/>
      <c r="C333" s="3109"/>
      <c r="D333" s="3109"/>
      <c r="E333" s="3109"/>
      <c r="F333" s="3109"/>
      <c r="G333" s="3109"/>
      <c r="H333" s="3109"/>
    </row>
    <row r="334" spans="1:8">
      <c r="A334" s="3110" t="s">
        <v>1547</v>
      </c>
      <c r="B334" s="3109"/>
      <c r="C334" s="3109"/>
      <c r="D334" s="3109"/>
      <c r="E334" s="3109"/>
      <c r="F334" s="3109"/>
      <c r="G334" s="3109"/>
      <c r="H334" s="3109"/>
    </row>
    <row r="335" spans="1:8">
      <c r="A335" s="3110" t="s">
        <v>1548</v>
      </c>
      <c r="B335" s="3109"/>
      <c r="C335" s="3109"/>
      <c r="D335" s="3109"/>
      <c r="E335" s="3109"/>
      <c r="F335" s="3109"/>
      <c r="G335" s="3109"/>
      <c r="H335" s="3109"/>
    </row>
    <row r="336" spans="1:8">
      <c r="A336" s="3110" t="s">
        <v>1549</v>
      </c>
      <c r="B336" s="3109"/>
      <c r="C336" s="3109"/>
      <c r="D336" s="3109"/>
      <c r="E336" s="3109"/>
      <c r="F336" s="3109"/>
      <c r="G336" s="3109"/>
      <c r="H336" s="3109"/>
    </row>
    <row r="337" spans="1:8">
      <c r="A337" s="3110" t="s">
        <v>1550</v>
      </c>
      <c r="B337" s="3109"/>
      <c r="C337" s="3109"/>
      <c r="D337" s="3109"/>
      <c r="E337" s="3109"/>
      <c r="F337" s="3109"/>
      <c r="G337" s="3109"/>
      <c r="H337" s="3109"/>
    </row>
    <row r="338" spans="1:8">
      <c r="A338" s="3110" t="s">
        <v>1551</v>
      </c>
      <c r="B338" s="3109"/>
      <c r="C338" s="3109"/>
      <c r="D338" s="3109"/>
      <c r="E338" s="3109"/>
      <c r="F338" s="3109"/>
      <c r="G338" s="3109"/>
      <c r="H338" s="3109"/>
    </row>
    <row r="339" spans="1:8">
      <c r="A339" s="3110" t="s">
        <v>1552</v>
      </c>
      <c r="B339" s="3109"/>
      <c r="C339" s="3109"/>
      <c r="D339" s="3109"/>
      <c r="E339" s="3109"/>
      <c r="F339" s="3109"/>
      <c r="G339" s="3109"/>
      <c r="H339" s="3109"/>
    </row>
    <row r="340" spans="1:8">
      <c r="A340" s="3110" t="s">
        <v>1553</v>
      </c>
      <c r="B340" s="3109"/>
      <c r="C340" s="3109"/>
      <c r="D340" s="3109"/>
      <c r="E340" s="3109"/>
      <c r="F340" s="3109"/>
      <c r="G340" s="3109"/>
      <c r="H340" s="3109"/>
    </row>
    <row r="341" spans="1:8">
      <c r="A341" s="3110" t="s">
        <v>1554</v>
      </c>
      <c r="B341" s="3109"/>
      <c r="C341" s="3109"/>
      <c r="D341" s="3109"/>
      <c r="E341" s="3109"/>
      <c r="F341" s="3109"/>
      <c r="G341" s="3109"/>
      <c r="H341" s="3109"/>
    </row>
    <row r="342" spans="1:8">
      <c r="A342" s="3110" t="s">
        <v>1555</v>
      </c>
      <c r="B342" s="3109"/>
      <c r="C342" s="3109"/>
      <c r="D342" s="3109"/>
      <c r="E342" s="3109"/>
      <c r="F342" s="3109"/>
      <c r="G342" s="3109"/>
      <c r="H342" s="3109"/>
    </row>
    <row r="343" spans="1:8">
      <c r="A343" s="3110" t="s">
        <v>1556</v>
      </c>
      <c r="B343" s="3109"/>
      <c r="C343" s="3109"/>
      <c r="D343" s="3109"/>
      <c r="E343" s="3109"/>
      <c r="F343" s="3109"/>
      <c r="G343" s="3109"/>
      <c r="H343" s="3109"/>
    </row>
    <row r="344" spans="1:8">
      <c r="A344" s="3110" t="s">
        <v>1557</v>
      </c>
      <c r="B344" s="3109"/>
      <c r="C344" s="3109"/>
      <c r="D344" s="3109"/>
      <c r="E344" s="3109"/>
      <c r="F344" s="3109"/>
      <c r="G344" s="3109"/>
      <c r="H344" s="3109"/>
    </row>
    <row r="345" spans="1:8">
      <c r="A345" s="3110" t="s">
        <v>1558</v>
      </c>
      <c r="B345" s="3109"/>
      <c r="C345" s="3109"/>
      <c r="D345" s="3109"/>
      <c r="E345" s="3109"/>
      <c r="F345" s="3109"/>
      <c r="G345" s="3109"/>
      <c r="H345" s="3109"/>
    </row>
    <row r="346" spans="1:8">
      <c r="A346" s="3110" t="s">
        <v>1559</v>
      </c>
      <c r="B346" s="3109"/>
      <c r="C346" s="3109"/>
      <c r="D346" s="3109"/>
      <c r="E346" s="3109"/>
      <c r="F346" s="3109"/>
      <c r="G346" s="3109"/>
      <c r="H346" s="3109"/>
    </row>
    <row r="347" spans="1:8">
      <c r="A347" s="3110" t="s">
        <v>1560</v>
      </c>
      <c r="B347" s="3109"/>
      <c r="C347" s="3109"/>
      <c r="D347" s="3109"/>
      <c r="E347" s="3109"/>
      <c r="F347" s="3109"/>
      <c r="G347" s="3109"/>
      <c r="H347" s="3109"/>
    </row>
    <row r="348" spans="1:8">
      <c r="A348" s="3110" t="s">
        <v>1561</v>
      </c>
      <c r="B348" s="3109"/>
      <c r="C348" s="3109"/>
      <c r="D348" s="3109"/>
      <c r="E348" s="3109"/>
      <c r="F348" s="3109"/>
      <c r="G348" s="3109"/>
      <c r="H348" s="3109"/>
    </row>
    <row r="349" spans="1:8">
      <c r="A349" s="3110" t="s">
        <v>1562</v>
      </c>
      <c r="B349" s="3109"/>
      <c r="C349" s="3109"/>
      <c r="D349" s="3109"/>
      <c r="E349" s="3109"/>
      <c r="F349" s="3109"/>
      <c r="G349" s="3109"/>
      <c r="H349" s="3109"/>
    </row>
    <row r="350" spans="1:8">
      <c r="A350" s="3110" t="s">
        <v>1563</v>
      </c>
      <c r="B350" s="3109"/>
      <c r="C350" s="3109"/>
      <c r="D350" s="3109"/>
      <c r="E350" s="3109"/>
      <c r="F350" s="3109"/>
      <c r="G350" s="3109"/>
      <c r="H350" s="3109"/>
    </row>
    <row r="351" spans="1:8">
      <c r="A351" s="3110" t="s">
        <v>1564</v>
      </c>
      <c r="B351" s="3109"/>
      <c r="C351" s="3109"/>
      <c r="D351" s="3109"/>
      <c r="E351" s="3109"/>
      <c r="F351" s="3109"/>
      <c r="G351" s="3109"/>
      <c r="H351" s="3109"/>
    </row>
    <row r="352" spans="1:8">
      <c r="A352" s="3110" t="s">
        <v>1565</v>
      </c>
      <c r="B352" s="3109"/>
      <c r="C352" s="3109"/>
      <c r="D352" s="3109"/>
      <c r="E352" s="3109"/>
      <c r="F352" s="3109"/>
      <c r="G352" s="3109"/>
      <c r="H352" s="3109"/>
    </row>
    <row r="353" spans="1:8">
      <c r="A353" s="3110" t="s">
        <v>1566</v>
      </c>
      <c r="B353" s="3109"/>
      <c r="C353" s="3109"/>
      <c r="D353" s="3109"/>
      <c r="E353" s="3109"/>
      <c r="F353" s="3109"/>
      <c r="G353" s="3109"/>
      <c r="H353" s="3109"/>
    </row>
    <row r="354" spans="1:8">
      <c r="A354" s="3110" t="s">
        <v>1567</v>
      </c>
      <c r="B354" s="3109"/>
      <c r="C354" s="3109"/>
      <c r="D354" s="3109"/>
      <c r="E354" s="3109"/>
      <c r="F354" s="3109"/>
      <c r="G354" s="3109"/>
      <c r="H354" s="3109"/>
    </row>
    <row r="355" spans="1:8">
      <c r="A355" s="3110" t="s">
        <v>1568</v>
      </c>
      <c r="B355" s="3109"/>
      <c r="C355" s="3109"/>
      <c r="D355" s="3109"/>
      <c r="E355" s="3109"/>
      <c r="F355" s="3109"/>
      <c r="G355" s="3109"/>
      <c r="H355" s="3109"/>
    </row>
    <row r="356" spans="1:8">
      <c r="A356" s="3110" t="s">
        <v>1569</v>
      </c>
      <c r="B356" s="3109"/>
      <c r="C356" s="3109"/>
      <c r="D356" s="3109"/>
      <c r="E356" s="3109"/>
      <c r="F356" s="3109"/>
      <c r="G356" s="3109"/>
      <c r="H356" s="3109"/>
    </row>
    <row r="357" spans="1:8">
      <c r="A357" s="3110" t="s">
        <v>1570</v>
      </c>
      <c r="B357" s="3109"/>
      <c r="C357" s="3109"/>
      <c r="D357" s="3109"/>
      <c r="E357" s="3109"/>
      <c r="F357" s="3109"/>
      <c r="G357" s="3109"/>
      <c r="H357" s="3109"/>
    </row>
    <row r="358" spans="1:8">
      <c r="A358" s="3110" t="s">
        <v>1571</v>
      </c>
      <c r="B358" s="3109"/>
      <c r="C358" s="3109"/>
      <c r="D358" s="3109"/>
      <c r="E358" s="3109"/>
      <c r="F358" s="3109"/>
      <c r="G358" s="3109"/>
      <c r="H358" s="3109"/>
    </row>
    <row r="359" spans="1:8">
      <c r="A359" s="3110" t="s">
        <v>1572</v>
      </c>
      <c r="B359" s="3109"/>
      <c r="C359" s="3109"/>
      <c r="D359" s="3109"/>
      <c r="E359" s="3109"/>
      <c r="F359" s="3109"/>
      <c r="G359" s="3109"/>
      <c r="H359" s="3109"/>
    </row>
    <row r="360" spans="1:8">
      <c r="A360" s="3110" t="s">
        <v>1573</v>
      </c>
      <c r="B360" s="3109"/>
      <c r="C360" s="3109"/>
      <c r="D360" s="3109"/>
      <c r="E360" s="3109"/>
      <c r="F360" s="3109"/>
      <c r="G360" s="3109"/>
      <c r="H360" s="3109"/>
    </row>
    <row r="361" spans="1:8">
      <c r="A361" s="3110" t="s">
        <v>1574</v>
      </c>
      <c r="B361" s="3109"/>
      <c r="C361" s="3109"/>
      <c r="D361" s="3109"/>
      <c r="E361" s="3109"/>
      <c r="F361" s="3109"/>
      <c r="G361" s="3109"/>
      <c r="H361" s="3109"/>
    </row>
    <row r="362" spans="1:8">
      <c r="A362" s="3110" t="s">
        <v>1575</v>
      </c>
      <c r="B362" s="3109"/>
      <c r="C362" s="3109"/>
      <c r="D362" s="3109"/>
      <c r="E362" s="3109"/>
      <c r="F362" s="3109"/>
      <c r="G362" s="3109"/>
      <c r="H362" s="3109"/>
    </row>
    <row r="363" spans="1:8">
      <c r="A363" s="3110" t="s">
        <v>1576</v>
      </c>
      <c r="B363" s="3109"/>
      <c r="C363" s="3109"/>
      <c r="D363" s="3109"/>
      <c r="E363" s="3109"/>
      <c r="F363" s="3109"/>
      <c r="G363" s="3109"/>
      <c r="H363" s="3109"/>
    </row>
    <row r="364" spans="1:8">
      <c r="A364" s="3110" t="s">
        <v>1577</v>
      </c>
      <c r="B364" s="3109"/>
      <c r="C364" s="3109"/>
      <c r="D364" s="3109"/>
      <c r="E364" s="3109"/>
      <c r="F364" s="3109"/>
      <c r="G364" s="3109"/>
      <c r="H364" s="3109"/>
    </row>
    <row r="365" spans="1:8">
      <c r="A365" s="3110" t="s">
        <v>1578</v>
      </c>
      <c r="B365" s="3109"/>
      <c r="C365" s="3109"/>
      <c r="D365" s="3109"/>
      <c r="E365" s="3109"/>
      <c r="F365" s="3109"/>
      <c r="G365" s="3109"/>
      <c r="H365" s="3109"/>
    </row>
    <row r="366" spans="1:8">
      <c r="A366" s="3109"/>
      <c r="B366" s="3109"/>
      <c r="C366" s="3109"/>
      <c r="D366" s="3109"/>
      <c r="E366" s="3109"/>
      <c r="F366" s="3109"/>
      <c r="G366" s="3109"/>
      <c r="H366" s="3109"/>
    </row>
    <row r="367" spans="1:8">
      <c r="A367" s="3110" t="s">
        <v>1536</v>
      </c>
      <c r="B367" s="3109"/>
      <c r="C367" s="3109"/>
      <c r="D367" s="3109"/>
      <c r="E367" s="3109"/>
      <c r="F367" s="3109"/>
      <c r="G367" s="3109"/>
      <c r="H367" s="3109"/>
    </row>
    <row r="368" spans="1:8">
      <c r="A368" s="3110" t="s">
        <v>1540</v>
      </c>
      <c r="B368" s="3109"/>
      <c r="C368" s="3109"/>
      <c r="D368" s="3109"/>
      <c r="E368" s="3109"/>
      <c r="F368" s="3109"/>
      <c r="G368" s="3109"/>
      <c r="H368" s="3109"/>
    </row>
    <row r="369" spans="1:8">
      <c r="A369" s="3110" t="s">
        <v>1541</v>
      </c>
      <c r="B369" s="3109"/>
      <c r="C369" s="3109"/>
      <c r="D369" s="3109"/>
      <c r="E369" s="3109"/>
      <c r="F369" s="3109"/>
      <c r="G369" s="3109"/>
      <c r="H369" s="3109"/>
    </row>
    <row r="370" spans="1:8">
      <c r="A370" s="3110" t="s">
        <v>1542</v>
      </c>
      <c r="B370" s="3109"/>
      <c r="C370" s="3109"/>
      <c r="D370" s="3109"/>
      <c r="E370" s="3109"/>
      <c r="F370" s="3109"/>
      <c r="G370" s="3109"/>
      <c r="H370" s="3109"/>
    </row>
    <row r="371" spans="1:8">
      <c r="A371" s="3110" t="s">
        <v>1543</v>
      </c>
      <c r="B371" s="3109"/>
      <c r="C371" s="3109"/>
      <c r="D371" s="3109"/>
      <c r="E371" s="3109"/>
      <c r="F371" s="3109"/>
      <c r="G371" s="3109"/>
      <c r="H371" s="3109"/>
    </row>
    <row r="372" spans="1:8">
      <c r="A372" s="3109"/>
      <c r="B372" s="3109"/>
      <c r="C372" s="3109"/>
      <c r="D372" s="3109"/>
      <c r="E372" s="3109"/>
      <c r="F372" s="3109"/>
      <c r="G372" s="3109"/>
      <c r="H372" s="3109"/>
    </row>
    <row r="373" spans="1:8">
      <c r="A373" s="3110" t="s">
        <v>1536</v>
      </c>
      <c r="B373" s="3109"/>
      <c r="C373" s="3109"/>
      <c r="D373" s="3109"/>
      <c r="E373" s="3109"/>
      <c r="F373" s="3109"/>
      <c r="G373" s="3109"/>
      <c r="H373" s="3109"/>
    </row>
    <row r="374" spans="1:8">
      <c r="A374" s="3110" t="s">
        <v>1537</v>
      </c>
      <c r="B374" s="3109"/>
      <c r="C374" s="3109"/>
      <c r="D374" s="3109"/>
      <c r="E374" s="3109"/>
      <c r="F374" s="3109"/>
      <c r="G374" s="3109"/>
      <c r="H374" s="3109"/>
    </row>
    <row r="375" spans="1:8">
      <c r="A375" s="3110" t="s">
        <v>1538</v>
      </c>
      <c r="B375" s="3109"/>
      <c r="C375" s="3109"/>
      <c r="D375" s="3109"/>
      <c r="E375" s="3109"/>
      <c r="F375" s="3109"/>
      <c r="G375" s="3109"/>
      <c r="H375" s="3109"/>
    </row>
    <row r="376" spans="1:8">
      <c r="A376" s="3110" t="s">
        <v>1539</v>
      </c>
      <c r="B376" s="3109"/>
      <c r="C376" s="3109"/>
      <c r="D376" s="3109"/>
      <c r="E376" s="3109"/>
      <c r="F376" s="3109"/>
      <c r="G376" s="3109"/>
      <c r="H376" s="3109"/>
    </row>
    <row r="377" spans="1:8">
      <c r="A377" s="3109"/>
      <c r="B377" s="3109"/>
      <c r="C377" s="3109"/>
      <c r="D377" s="3109"/>
      <c r="E377" s="3109"/>
      <c r="F377" s="3109"/>
      <c r="G377" s="3109"/>
      <c r="H377" s="3109"/>
    </row>
    <row r="378" spans="1:8">
      <c r="A378" s="3110" t="s">
        <v>1530</v>
      </c>
      <c r="B378" s="3109"/>
      <c r="C378" s="3109"/>
      <c r="D378" s="3109"/>
      <c r="E378" s="3109"/>
      <c r="F378" s="3109"/>
      <c r="G378" s="3109"/>
      <c r="H378" s="3109"/>
    </row>
    <row r="379" spans="1:8">
      <c r="A379" s="3110" t="s">
        <v>1531</v>
      </c>
      <c r="B379" s="3109"/>
      <c r="C379" s="3109"/>
      <c r="D379" s="3109"/>
      <c r="E379" s="3109"/>
      <c r="F379" s="3109"/>
      <c r="G379" s="3109"/>
      <c r="H379" s="3109"/>
    </row>
    <row r="380" spans="1:8">
      <c r="A380" s="3110" t="s">
        <v>1532</v>
      </c>
      <c r="B380" s="3109"/>
      <c r="C380" s="3109"/>
      <c r="D380" s="3109"/>
      <c r="E380" s="3109"/>
      <c r="F380" s="3109"/>
      <c r="G380" s="3109"/>
      <c r="H380" s="3109"/>
    </row>
    <row r="381" spans="1:8">
      <c r="A381" s="3110" t="s">
        <v>1533</v>
      </c>
      <c r="B381" s="3109"/>
      <c r="C381" s="3109"/>
      <c r="D381" s="3109"/>
      <c r="E381" s="3109"/>
      <c r="F381" s="3109"/>
      <c r="G381" s="3109"/>
      <c r="H381" s="3109"/>
    </row>
    <row r="382" spans="1:8">
      <c r="A382" s="3110" t="s">
        <v>1534</v>
      </c>
      <c r="B382" s="3109"/>
      <c r="C382" s="3109"/>
      <c r="D382" s="3109"/>
      <c r="E382" s="3109"/>
      <c r="F382" s="3109"/>
      <c r="G382" s="3109"/>
      <c r="H382" s="3109"/>
    </row>
    <row r="383" spans="1:8">
      <c r="A383" s="3110" t="s">
        <v>1535</v>
      </c>
      <c r="B383" s="3109"/>
      <c r="C383" s="3109"/>
      <c r="D383" s="3109"/>
      <c r="E383" s="3109"/>
      <c r="F383" s="3109"/>
      <c r="G383" s="3109"/>
      <c r="H383" s="3109"/>
    </row>
    <row r="384" spans="1:8">
      <c r="A384" s="3109"/>
      <c r="B384" s="3109"/>
      <c r="C384" s="3109"/>
      <c r="D384" s="3109"/>
      <c r="E384" s="3109"/>
      <c r="F384" s="3109"/>
      <c r="G384" s="3109"/>
      <c r="H384" s="3109"/>
    </row>
    <row r="385" spans="1:8">
      <c r="A385" s="3110" t="s">
        <v>1525</v>
      </c>
      <c r="B385" s="3109"/>
      <c r="C385" s="3109"/>
      <c r="D385" s="3109"/>
      <c r="E385" s="3109"/>
      <c r="F385" s="3109"/>
      <c r="G385" s="3109"/>
      <c r="H385" s="3109"/>
    </row>
    <row r="386" spans="1:8">
      <c r="A386" s="3110" t="s">
        <v>1526</v>
      </c>
      <c r="B386" s="3109"/>
      <c r="C386" s="3109"/>
      <c r="D386" s="3109"/>
      <c r="E386" s="3109"/>
      <c r="F386" s="3109"/>
      <c r="G386" s="3109"/>
      <c r="H386" s="3109"/>
    </row>
    <row r="387" spans="1:8">
      <c r="A387" s="3110" t="s">
        <v>1527</v>
      </c>
      <c r="B387" s="3109"/>
      <c r="C387" s="3109"/>
      <c r="D387" s="3109"/>
      <c r="E387" s="3109"/>
      <c r="F387" s="3109"/>
      <c r="G387" s="3109"/>
      <c r="H387" s="3109"/>
    </row>
    <row r="388" spans="1:8">
      <c r="A388" s="3110" t="s">
        <v>1528</v>
      </c>
      <c r="B388" s="3109"/>
      <c r="C388" s="3109"/>
      <c r="D388" s="3109"/>
      <c r="E388" s="3109"/>
      <c r="F388" s="3109"/>
      <c r="G388" s="3109"/>
      <c r="H388" s="3109"/>
    </row>
    <row r="389" spans="1:8">
      <c r="A389" s="3110" t="s">
        <v>1529</v>
      </c>
      <c r="B389" s="3109"/>
      <c r="C389" s="3109"/>
      <c r="D389" s="3109"/>
      <c r="E389" s="3109"/>
      <c r="F389" s="3109"/>
      <c r="G389" s="3109"/>
      <c r="H389" s="3109"/>
    </row>
    <row r="390" spans="1:8">
      <c r="A390" s="3109"/>
      <c r="B390" s="3109"/>
      <c r="C390" s="3109"/>
      <c r="D390" s="3109"/>
      <c r="E390" s="3109"/>
      <c r="F390" s="3109"/>
      <c r="G390" s="3109"/>
      <c r="H390" s="3109"/>
    </row>
    <row r="391" spans="1:8">
      <c r="A391" s="3110" t="s">
        <v>1523</v>
      </c>
      <c r="B391" s="3109"/>
      <c r="C391" s="3109"/>
      <c r="D391" s="3109"/>
      <c r="E391" s="3109"/>
      <c r="F391" s="3109"/>
      <c r="G391" s="3109"/>
      <c r="H391" s="3109"/>
    </row>
    <row r="392" spans="1:8">
      <c r="A392" s="3110" t="s">
        <v>1524</v>
      </c>
      <c r="B392" s="3109"/>
      <c r="C392" s="3109"/>
      <c r="D392" s="3109"/>
      <c r="E392" s="3109"/>
      <c r="F392" s="3109"/>
      <c r="G392" s="3109"/>
      <c r="H392" s="3109"/>
    </row>
    <row r="394" spans="1:8">
      <c r="A394" s="3105" t="s">
        <v>1781</v>
      </c>
    </row>
  </sheetData>
  <mergeCells count="12">
    <mergeCell ref="A132:H132"/>
    <mergeCell ref="A133:H133"/>
    <mergeCell ref="B125:C125"/>
    <mergeCell ref="D125:F125"/>
    <mergeCell ref="G125:H125"/>
    <mergeCell ref="A111:H111"/>
    <mergeCell ref="A112:H112"/>
    <mergeCell ref="A113:H113"/>
    <mergeCell ref="A114:H114"/>
    <mergeCell ref="A116:H116"/>
    <mergeCell ref="A117:H117"/>
    <mergeCell ref="A124:H124"/>
  </mergeCells>
  <pageMargins left="0.5" right="0.5" top="0.5" bottom="0.5" header="0.5" footer="0.5"/>
  <pageSetup orientation="portrait" horizont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3" tint="0.39997558519241921"/>
    <pageSetUpPr autoPageBreaks="0" fitToPage="1"/>
  </sheetPr>
  <dimension ref="A1:GS238"/>
  <sheetViews>
    <sheetView showGridLines="0" zoomScaleNormal="100" workbookViewId="0">
      <pane xSplit="1" ySplit="7" topLeftCell="EM8" activePane="bottomRight" state="frozen"/>
      <selection pane="topRight" activeCell="B1" sqref="B1"/>
      <selection pane="bottomLeft" activeCell="A8" sqref="A8"/>
      <selection pane="bottomRight" activeCell="EW25" sqref="EW25"/>
    </sheetView>
  </sheetViews>
  <sheetFormatPr defaultRowHeight="11.25" customHeight="1" outlineLevelRow="1" outlineLevelCol="1"/>
  <cols>
    <col min="1" max="1" width="42.5703125" style="261" customWidth="1"/>
    <col min="2" max="2" width="10.7109375" style="261" hidden="1" customWidth="1"/>
    <col min="3" max="3" width="9.5703125" style="261" hidden="1" customWidth="1" outlineLevel="1"/>
    <col min="4" max="68" width="10.7109375" style="261" hidden="1" customWidth="1" outlineLevel="1"/>
    <col min="69" max="69" width="9.7109375" style="261" hidden="1" customWidth="1" outlineLevel="1" collapsed="1"/>
    <col min="70" max="78" width="9.7109375" style="261" hidden="1" customWidth="1" outlineLevel="1"/>
    <col min="79" max="79" width="9.7109375" style="261" hidden="1" customWidth="1" outlineLevel="1" collapsed="1"/>
    <col min="80" max="95" width="9.7109375" style="261" hidden="1" customWidth="1" outlineLevel="1"/>
    <col min="96" max="96" width="10.7109375" style="261" hidden="1" customWidth="1" outlineLevel="1"/>
    <col min="97" max="98" width="10.5703125" style="261" hidden="1" customWidth="1" outlineLevel="1"/>
    <col min="99" max="100" width="9.7109375" style="261" hidden="1" customWidth="1" outlineLevel="1"/>
    <col min="101" max="101" width="10.7109375" style="261" hidden="1" customWidth="1" outlineLevel="1"/>
    <col min="102" max="103" width="10.5703125" style="261" hidden="1" customWidth="1" outlineLevel="1"/>
    <col min="104" max="105" width="9.7109375" style="261" hidden="1" customWidth="1" outlineLevel="1"/>
    <col min="106" max="106" width="10.7109375" style="261" hidden="1" customWidth="1" outlineLevel="1"/>
    <col min="107" max="112" width="10.5703125" style="261" hidden="1" customWidth="1" outlineLevel="1"/>
    <col min="113" max="113" width="10" style="261" hidden="1" customWidth="1" collapsed="1"/>
    <col min="114" max="117" width="10" style="261" hidden="1" customWidth="1" outlineLevel="1"/>
    <col min="118" max="118" width="10" style="261" hidden="1" customWidth="1" collapsed="1"/>
    <col min="119" max="119" width="9.28515625" style="459" hidden="1" customWidth="1" outlineLevel="1"/>
    <col min="120" max="122" width="9.28515625" style="261" hidden="1" customWidth="1" outlineLevel="1"/>
    <col min="123" max="123" width="9.28515625" style="261" hidden="1" customWidth="1" collapsed="1"/>
    <col min="124" max="127" width="9.28515625" style="261" hidden="1" customWidth="1" outlineLevel="1"/>
    <col min="128" max="128" width="9.28515625" style="261" hidden="1" customWidth="1" collapsed="1"/>
    <col min="129" max="130" width="9.28515625" style="261" hidden="1" customWidth="1" outlineLevel="1"/>
    <col min="131" max="131" width="9.28515625" style="1111" hidden="1" customWidth="1" outlineLevel="1"/>
    <col min="132" max="132" width="9.28515625" style="261" hidden="1" customWidth="1" outlineLevel="1"/>
    <col min="133" max="133" width="9.28515625" style="1111" hidden="1" customWidth="1" collapsed="1"/>
    <col min="134" max="136" width="9.28515625" style="1111" hidden="1" customWidth="1" outlineLevel="1"/>
    <col min="137" max="137" width="8.7109375" style="1111" hidden="1" customWidth="1" outlineLevel="1"/>
    <col min="138" max="138" width="9.28515625" style="1111" hidden="1" customWidth="1" collapsed="1"/>
    <col min="139" max="142" width="9.28515625" style="1111" hidden="1" customWidth="1" outlineLevel="1"/>
    <col min="143" max="143" width="9.28515625" style="1111" customWidth="1" collapsed="1"/>
    <col min="144" max="147" width="9.28515625" style="1111" hidden="1" customWidth="1" outlineLevel="1"/>
    <col min="148" max="148" width="9.28515625" style="1111" customWidth="1" collapsed="1"/>
    <col min="149" max="152" width="9.28515625" style="1111" customWidth="1" outlineLevel="1"/>
    <col min="153" max="153" width="9.28515625" style="1111" customWidth="1"/>
    <col min="154" max="157" width="9.28515625" style="1111" customWidth="1" outlineLevel="1"/>
    <col min="158" max="158" width="9.28515625" style="1111" customWidth="1"/>
    <col min="159" max="162" width="9.28515625" style="1111" hidden="1" customWidth="1" outlineLevel="1"/>
    <col min="163" max="163" width="9.28515625" style="1111" customWidth="1" collapsed="1"/>
    <col min="164" max="167" width="9.28515625" style="1111" hidden="1" customWidth="1" outlineLevel="1"/>
    <col min="168" max="168" width="9.28515625" style="1111" customWidth="1" collapsed="1"/>
    <col min="169" max="169" width="3.7109375" style="261" customWidth="1"/>
    <col min="170" max="184" width="8.42578125" style="261" hidden="1" customWidth="1" outlineLevel="1"/>
    <col min="185" max="185" width="8.42578125" style="1111" hidden="1" customWidth="1" outlineLevel="1"/>
    <col min="186" max="186" width="8.42578125" style="1111" customWidth="1" collapsed="1"/>
    <col min="187" max="194" width="8.42578125" style="1111" customWidth="1"/>
    <col min="195" max="195" width="9.140625" style="261"/>
    <col min="196" max="196" width="27.28515625" customWidth="1"/>
    <col min="202" max="16384" width="9.140625" style="261"/>
  </cols>
  <sheetData>
    <row r="1" spans="1:201" s="253" customFormat="1" ht="11.25" customHeight="1">
      <c r="A1" s="252"/>
      <c r="CF1" s="254"/>
      <c r="CK1" s="255"/>
      <c r="CL1" s="256"/>
      <c r="CM1" s="256"/>
      <c r="CN1" s="256"/>
      <c r="CO1" s="256"/>
      <c r="CP1" s="256"/>
      <c r="CQ1" s="256"/>
      <c r="CR1" s="256"/>
      <c r="CS1" s="256"/>
      <c r="CT1" s="256"/>
      <c r="CU1" s="256"/>
      <c r="CV1" s="256"/>
      <c r="CW1" s="255"/>
      <c r="CX1" s="256"/>
      <c r="CY1" s="256"/>
      <c r="CZ1" s="256"/>
      <c r="DA1" s="256"/>
      <c r="DB1" s="255"/>
      <c r="DC1" s="257"/>
      <c r="DD1" s="258"/>
      <c r="DE1" s="257"/>
      <c r="DF1" s="258"/>
      <c r="DG1" s="258"/>
      <c r="DH1" s="257"/>
      <c r="DI1" s="258"/>
      <c r="DJ1" s="257"/>
      <c r="DK1" s="257"/>
      <c r="DL1" s="257"/>
      <c r="DM1" s="257"/>
      <c r="DN1" s="258"/>
      <c r="DO1" s="258"/>
      <c r="DP1" s="257"/>
      <c r="DQ1" s="257"/>
      <c r="DR1" s="257"/>
      <c r="DS1" s="257"/>
      <c r="DT1" s="273"/>
      <c r="DU1" s="257"/>
      <c r="DV1" s="257"/>
      <c r="DW1" s="257"/>
      <c r="DX1" s="257"/>
      <c r="DY1" s="273"/>
      <c r="DZ1" s="257"/>
      <c r="EA1" s="258"/>
      <c r="EB1" s="257"/>
      <c r="EC1" s="1168"/>
      <c r="ED1" s="355"/>
      <c r="EE1" s="258"/>
      <c r="EF1" s="258"/>
      <c r="EG1" s="269"/>
      <c r="EH1" s="1168"/>
      <c r="EI1" s="258"/>
      <c r="EJ1" s="258"/>
      <c r="EK1" s="258"/>
      <c r="EL1" s="258"/>
      <c r="EM1" s="1185"/>
      <c r="EN1" s="258"/>
      <c r="EO1" s="258"/>
      <c r="EP1" s="258"/>
      <c r="EQ1" s="258"/>
      <c r="ER1" s="1185"/>
      <c r="ES1" s="1185"/>
      <c r="ET1" s="1185"/>
      <c r="EU1" s="1185"/>
      <c r="EV1" s="1185"/>
      <c r="EW1" s="1185"/>
      <c r="EX1" s="1185"/>
      <c r="EY1" s="1185"/>
      <c r="EZ1" s="1185"/>
      <c r="FA1" s="1185"/>
      <c r="FB1" s="1185"/>
      <c r="FC1" s="1185"/>
      <c r="FD1" s="1185"/>
      <c r="FE1" s="1185"/>
      <c r="FF1" s="1185"/>
      <c r="FG1" s="1185"/>
      <c r="FH1" s="1185"/>
      <c r="FI1" s="1185"/>
      <c r="FJ1" s="1185"/>
      <c r="FK1" s="1185"/>
      <c r="FL1" s="1185"/>
      <c r="FX1" s="259"/>
      <c r="FY1" s="259"/>
      <c r="FZ1" s="259"/>
      <c r="GA1" s="259"/>
      <c r="GB1" s="259"/>
      <c r="GN1"/>
      <c r="GO1"/>
      <c r="GP1"/>
      <c r="GQ1"/>
      <c r="GR1"/>
      <c r="GS1"/>
    </row>
    <row r="2" spans="1:201" s="264" customFormat="1" ht="19.5" customHeight="1">
      <c r="A2" s="262" t="s">
        <v>236</v>
      </c>
      <c r="B2" s="253"/>
      <c r="C2" s="253"/>
      <c r="D2" s="253"/>
      <c r="E2" s="253"/>
      <c r="F2" s="253"/>
      <c r="G2" s="253"/>
      <c r="H2" s="253"/>
      <c r="I2" s="253"/>
      <c r="J2" s="253"/>
      <c r="K2" s="253"/>
      <c r="L2" s="253"/>
      <c r="M2" s="253"/>
      <c r="N2" s="253"/>
      <c r="O2" s="253"/>
      <c r="P2" s="253"/>
      <c r="Q2" s="253"/>
      <c r="R2" s="253"/>
      <c r="S2" s="253"/>
      <c r="T2" s="253"/>
      <c r="U2" s="253"/>
      <c r="V2" s="253"/>
      <c r="W2" s="253"/>
      <c r="X2" s="253"/>
      <c r="Y2" s="253"/>
      <c r="Z2" s="253"/>
      <c r="AA2" s="253"/>
      <c r="AB2" s="253"/>
      <c r="AC2" s="253"/>
      <c r="AD2" s="253"/>
      <c r="AE2" s="253"/>
      <c r="AF2" s="253"/>
      <c r="AG2" s="253"/>
      <c r="AH2" s="253"/>
      <c r="AI2" s="253"/>
      <c r="AJ2" s="253"/>
      <c r="AK2" s="253"/>
      <c r="AL2" s="253"/>
      <c r="AM2" s="253"/>
      <c r="AN2" s="253"/>
      <c r="AO2" s="253"/>
      <c r="AP2" s="253"/>
      <c r="AQ2" s="253"/>
      <c r="AR2" s="253"/>
      <c r="AS2" s="253"/>
      <c r="AT2" s="253"/>
      <c r="AU2" s="253"/>
      <c r="AV2" s="253"/>
      <c r="AW2" s="253"/>
      <c r="AX2" s="253"/>
      <c r="AY2" s="253"/>
      <c r="AZ2" s="253"/>
      <c r="BA2" s="253"/>
      <c r="BB2" s="253"/>
      <c r="BC2" s="253"/>
      <c r="BD2" s="253"/>
      <c r="BE2" s="253"/>
      <c r="BF2" s="253"/>
      <c r="BG2" s="253"/>
      <c r="BH2" s="253"/>
      <c r="BI2" s="253"/>
      <c r="BJ2" s="253"/>
      <c r="BK2" s="253"/>
      <c r="BL2" s="253"/>
      <c r="BM2" s="253"/>
      <c r="BN2" s="253"/>
      <c r="BO2" s="253"/>
      <c r="BP2" s="253"/>
      <c r="BQ2" s="253"/>
      <c r="BR2" s="253"/>
      <c r="BS2" s="253"/>
      <c r="BT2" s="253"/>
      <c r="BU2" s="253"/>
      <c r="BV2" s="253"/>
      <c r="BW2" s="253"/>
      <c r="BX2" s="253"/>
      <c r="BY2" s="263"/>
      <c r="BZ2" s="263"/>
      <c r="CD2" s="263"/>
      <c r="CE2" s="263"/>
      <c r="CF2" s="265"/>
      <c r="CG2" s="265"/>
      <c r="CH2" s="265"/>
      <c r="CI2" s="265"/>
      <c r="CJ2" s="265"/>
      <c r="CK2" s="266"/>
      <c r="CL2" s="267"/>
      <c r="CM2" s="267"/>
      <c r="CN2" s="267"/>
      <c r="CO2" s="267"/>
      <c r="CP2" s="267"/>
      <c r="CQ2" s="267"/>
      <c r="CR2" s="267"/>
      <c r="CS2" s="267"/>
      <c r="CT2" s="267"/>
      <c r="CU2" s="267"/>
      <c r="CV2" s="267"/>
      <c r="CW2" s="267"/>
      <c r="CX2" s="267"/>
      <c r="CY2" s="267"/>
      <c r="CZ2" s="267"/>
      <c r="DA2" s="267"/>
      <c r="DB2" s="267"/>
      <c r="DC2" s="268"/>
      <c r="DD2" s="269"/>
      <c r="DE2" s="268"/>
      <c r="DF2" s="269"/>
      <c r="DG2" s="269"/>
      <c r="DH2" s="268"/>
      <c r="DI2" s="269"/>
      <c r="DJ2" s="268"/>
      <c r="DK2" s="268"/>
      <c r="DL2" s="270"/>
      <c r="DM2" s="271"/>
      <c r="DN2" s="269"/>
      <c r="DO2" s="815"/>
      <c r="DP2" s="815"/>
      <c r="DQ2" s="815"/>
      <c r="DR2" s="815"/>
      <c r="DS2" s="314"/>
      <c r="DT2" s="815"/>
      <c r="DU2" s="815"/>
      <c r="DV2" s="815"/>
      <c r="DW2" s="815"/>
      <c r="DX2" s="314"/>
      <c r="DY2" s="815"/>
      <c r="DZ2" s="1180"/>
      <c r="EA2" s="1180"/>
      <c r="EB2" s="1180"/>
      <c r="EC2" s="1223"/>
      <c r="ED2" s="1180"/>
      <c r="EE2" s="1180"/>
      <c r="EF2" s="269"/>
      <c r="EG2" s="272"/>
      <c r="EH2" s="837"/>
      <c r="EI2" s="1165"/>
      <c r="EJ2" s="1165"/>
      <c r="EK2" s="312"/>
      <c r="EL2" s="1582"/>
      <c r="EM2" s="269"/>
      <c r="EN2" s="269"/>
      <c r="EO2" s="269"/>
      <c r="EP2" s="269"/>
      <c r="EQ2" s="269"/>
      <c r="ER2" s="269"/>
      <c r="ES2" s="837"/>
      <c r="ET2" s="837"/>
      <c r="EU2" s="2237"/>
      <c r="EV2" s="837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X2" s="259"/>
      <c r="FY2" s="259"/>
      <c r="FZ2" s="259"/>
      <c r="GA2" s="259"/>
      <c r="GB2" s="259"/>
      <c r="GC2" s="253"/>
      <c r="GD2" s="310"/>
      <c r="GE2" s="253"/>
      <c r="GF2" s="253"/>
      <c r="GG2" s="253"/>
      <c r="GH2" s="253"/>
      <c r="GI2" s="253"/>
      <c r="GJ2" s="253"/>
      <c r="GK2" s="253"/>
      <c r="GL2" s="253"/>
      <c r="GN2"/>
      <c r="GO2"/>
      <c r="GP2"/>
      <c r="GQ2"/>
      <c r="GR2"/>
      <c r="GS2"/>
    </row>
    <row r="3" spans="1:201" s="264" customFormat="1" ht="20.25">
      <c r="A3" s="262" t="s">
        <v>685</v>
      </c>
      <c r="B3" s="253"/>
      <c r="C3" s="253"/>
      <c r="D3" s="253"/>
      <c r="E3" s="253"/>
      <c r="F3" s="253"/>
      <c r="G3" s="253"/>
      <c r="H3" s="253"/>
      <c r="I3" s="253"/>
      <c r="J3" s="253"/>
      <c r="K3" s="253"/>
      <c r="L3" s="253"/>
      <c r="M3" s="253"/>
      <c r="N3" s="253"/>
      <c r="O3" s="253"/>
      <c r="P3" s="253"/>
      <c r="Q3" s="253"/>
      <c r="R3" s="253"/>
      <c r="S3" s="253"/>
      <c r="T3" s="253"/>
      <c r="U3" s="253"/>
      <c r="V3" s="253"/>
      <c r="W3" s="253"/>
      <c r="X3" s="253"/>
      <c r="Y3" s="253"/>
      <c r="Z3" s="253"/>
      <c r="AA3" s="253"/>
      <c r="AB3" s="253"/>
      <c r="AC3" s="253"/>
      <c r="AD3" s="253"/>
      <c r="AE3" s="253"/>
      <c r="AF3" s="253"/>
      <c r="AG3" s="253"/>
      <c r="AH3" s="253"/>
      <c r="AI3" s="253"/>
      <c r="AJ3" s="253"/>
      <c r="AK3" s="253"/>
      <c r="AL3" s="253"/>
      <c r="AM3" s="253"/>
      <c r="AN3" s="253"/>
      <c r="AO3" s="253"/>
      <c r="AP3" s="253"/>
      <c r="AQ3" s="253"/>
      <c r="AR3" s="253"/>
      <c r="AS3" s="253"/>
      <c r="AT3" s="253"/>
      <c r="AU3" s="253"/>
      <c r="AV3" s="253"/>
      <c r="AW3" s="253"/>
      <c r="AX3" s="253"/>
      <c r="AY3" s="253"/>
      <c r="AZ3" s="253"/>
      <c r="BA3" s="253"/>
      <c r="BB3" s="253"/>
      <c r="BC3" s="253"/>
      <c r="BD3" s="253"/>
      <c r="BE3" s="253"/>
      <c r="BF3" s="253"/>
      <c r="BG3" s="253"/>
      <c r="BH3" s="253"/>
      <c r="BI3" s="253"/>
      <c r="BJ3" s="253"/>
      <c r="BK3" s="253"/>
      <c r="BL3" s="253"/>
      <c r="BM3" s="253"/>
      <c r="BN3" s="253"/>
      <c r="BO3" s="253"/>
      <c r="BP3" s="253"/>
      <c r="BQ3" s="253"/>
      <c r="BR3" s="253"/>
      <c r="BS3" s="253"/>
      <c r="BT3" s="253"/>
      <c r="BU3" s="253"/>
      <c r="BV3" s="253"/>
      <c r="BW3" s="253"/>
      <c r="BX3" s="253"/>
      <c r="BY3" s="263"/>
      <c r="BZ3" s="263"/>
      <c r="CD3" s="263"/>
      <c r="CE3" s="263"/>
      <c r="CF3" s="274"/>
      <c r="CG3" s="275"/>
      <c r="CH3" s="275"/>
      <c r="CI3" s="275"/>
      <c r="CJ3" s="275"/>
      <c r="CK3" s="276"/>
      <c r="CL3" s="277"/>
      <c r="CM3" s="277"/>
      <c r="CN3" s="277"/>
      <c r="CO3" s="277"/>
      <c r="CP3" s="277"/>
      <c r="CQ3" s="277"/>
      <c r="CR3" s="277"/>
      <c r="CS3" s="277"/>
      <c r="CT3" s="277"/>
      <c r="CU3" s="277"/>
      <c r="CV3" s="277"/>
      <c r="CW3" s="277"/>
      <c r="CX3" s="277"/>
      <c r="CY3" s="277"/>
      <c r="CZ3" s="277"/>
      <c r="DA3" s="278"/>
      <c r="DB3" s="277"/>
      <c r="DC3" s="268"/>
      <c r="DD3" s="269"/>
      <c r="DE3" s="268"/>
      <c r="DF3" s="278"/>
      <c r="DG3" s="272"/>
      <c r="DH3" s="268"/>
      <c r="DI3" s="269"/>
      <c r="DJ3" s="278"/>
      <c r="DK3" s="278"/>
      <c r="DL3" s="278"/>
      <c r="DM3" s="278"/>
      <c r="DN3" s="269"/>
      <c r="DO3" s="815"/>
      <c r="DP3" s="278"/>
      <c r="DQ3" s="278"/>
      <c r="DR3" s="815"/>
      <c r="DS3" s="279"/>
      <c r="DT3" s="178"/>
      <c r="DU3" s="178"/>
      <c r="DV3" s="178"/>
      <c r="DW3" s="178"/>
      <c r="DX3" s="268"/>
      <c r="DY3" s="178"/>
      <c r="DZ3" s="268"/>
      <c r="EA3" s="269"/>
      <c r="EB3" s="278"/>
      <c r="EC3" s="837"/>
      <c r="ED3" s="269"/>
      <c r="EE3" s="272"/>
      <c r="EF3" s="269"/>
      <c r="EG3" s="269"/>
      <c r="EH3" s="837"/>
      <c r="EI3" s="269"/>
      <c r="EJ3" s="2237"/>
      <c r="EK3" s="304"/>
      <c r="EL3" s="304"/>
      <c r="EM3" s="304"/>
      <c r="EN3" s="304"/>
      <c r="EO3" s="304"/>
      <c r="EP3" s="269"/>
      <c r="EQ3" s="269"/>
      <c r="ER3" s="1184"/>
      <c r="ES3" s="1184"/>
      <c r="ET3" s="1184"/>
      <c r="EU3" s="1184"/>
      <c r="EV3" s="1184"/>
      <c r="EW3" s="1184"/>
      <c r="EX3" s="1184"/>
      <c r="EY3" s="1184"/>
      <c r="EZ3" s="1184"/>
      <c r="FA3" s="1184"/>
      <c r="FB3" s="1184"/>
      <c r="FC3" s="1184"/>
      <c r="FD3" s="1184"/>
      <c r="FE3" s="1184"/>
      <c r="FF3" s="1184"/>
      <c r="FG3" s="1184"/>
      <c r="FH3" s="1184"/>
      <c r="FI3" s="1184"/>
      <c r="FJ3" s="1184"/>
      <c r="FK3" s="1184"/>
      <c r="FL3" s="1184"/>
      <c r="FX3" s="259"/>
      <c r="FY3" s="259"/>
      <c r="FZ3" s="259"/>
      <c r="GA3" s="259"/>
      <c r="GB3" s="259"/>
      <c r="GC3" s="367"/>
      <c r="GD3" s="367"/>
      <c r="GE3" s="367"/>
      <c r="GF3" s="367"/>
      <c r="GG3" s="367"/>
      <c r="GH3" s="367"/>
      <c r="GI3" s="367"/>
      <c r="GJ3" s="367"/>
      <c r="GK3" s="367"/>
      <c r="GL3" s="367"/>
      <c r="GN3"/>
      <c r="GO3"/>
      <c r="GP3"/>
      <c r="GQ3"/>
      <c r="GR3"/>
      <c r="GS3"/>
    </row>
    <row r="4" spans="1:201" s="264" customFormat="1" ht="12" customHeight="1">
      <c r="A4" s="253" t="s">
        <v>536</v>
      </c>
      <c r="B4" s="253"/>
      <c r="C4" s="253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  <c r="AE4" s="280"/>
      <c r="AF4" s="280"/>
      <c r="AG4" s="280"/>
      <c r="AH4" s="280"/>
      <c r="AI4" s="280"/>
      <c r="AJ4" s="280"/>
      <c r="AK4" s="280"/>
      <c r="AL4" s="280"/>
      <c r="AM4" s="280"/>
      <c r="AN4" s="280"/>
      <c r="AO4" s="280"/>
      <c r="AP4" s="280"/>
      <c r="AQ4" s="280"/>
      <c r="AR4" s="280"/>
      <c r="AS4" s="280"/>
      <c r="AT4" s="280"/>
      <c r="AU4" s="280"/>
      <c r="AV4" s="280"/>
      <c r="AW4" s="280"/>
      <c r="AX4" s="280"/>
      <c r="AY4" s="280"/>
      <c r="AZ4" s="280"/>
      <c r="BA4" s="280"/>
      <c r="BB4" s="280"/>
      <c r="BC4" s="280"/>
      <c r="BD4" s="280"/>
      <c r="BE4" s="280"/>
      <c r="BF4" s="280"/>
      <c r="BG4" s="280"/>
      <c r="BH4" s="280"/>
      <c r="BI4" s="280"/>
      <c r="BJ4" s="280"/>
      <c r="BK4" s="280"/>
      <c r="BL4" s="280"/>
      <c r="BM4" s="280"/>
      <c r="BN4" s="280"/>
      <c r="BO4" s="280"/>
      <c r="BP4" s="280"/>
      <c r="BQ4" s="280"/>
      <c r="BR4" s="280"/>
      <c r="BS4" s="280"/>
      <c r="BT4" s="280"/>
      <c r="BU4" s="280"/>
      <c r="BV4" s="280"/>
      <c r="BW4" s="280"/>
      <c r="BX4" s="280"/>
      <c r="BY4" s="280"/>
      <c r="BZ4" s="280"/>
      <c r="CA4" s="280"/>
      <c r="CB4" s="280"/>
      <c r="CC4" s="280"/>
      <c r="CD4" s="280"/>
      <c r="CE4" s="280"/>
      <c r="CF4" s="280"/>
      <c r="CG4" s="280"/>
      <c r="CH4" s="280"/>
      <c r="CI4" s="280"/>
      <c r="CJ4" s="280"/>
      <c r="CK4" s="281"/>
      <c r="CL4" s="281"/>
      <c r="CM4" s="281"/>
      <c r="CN4" s="281"/>
      <c r="CO4" s="281"/>
      <c r="CP4" s="281"/>
      <c r="CQ4" s="281"/>
      <c r="CR4" s="281"/>
      <c r="CS4" s="281"/>
      <c r="CT4" s="281"/>
      <c r="CU4" s="282"/>
      <c r="CV4" s="281"/>
      <c r="CW4" s="281"/>
      <c r="CX4" s="281"/>
      <c r="CY4" s="281"/>
      <c r="CZ4" s="282"/>
      <c r="DA4" s="281"/>
      <c r="DB4" s="281"/>
      <c r="DC4" s="283"/>
      <c r="DD4" s="281"/>
      <c r="DE4" s="283"/>
      <c r="DF4" s="281"/>
      <c r="DG4" s="281"/>
      <c r="DH4" s="283"/>
      <c r="DI4" s="281"/>
      <c r="DJ4" s="283"/>
      <c r="DK4" s="283"/>
      <c r="DL4" s="283"/>
      <c r="DM4" s="283"/>
      <c r="DN4" s="281"/>
      <c r="DO4" s="281"/>
      <c r="DP4" s="283"/>
      <c r="DQ4" s="283"/>
      <c r="DR4" s="283"/>
      <c r="DS4" s="283"/>
      <c r="DT4" s="283"/>
      <c r="DU4" s="283"/>
      <c r="DV4" s="283"/>
      <c r="DW4" s="283"/>
      <c r="DX4" s="283"/>
      <c r="DY4" s="283"/>
      <c r="DZ4" s="283"/>
      <c r="EA4" s="281"/>
      <c r="EB4" s="283"/>
      <c r="EC4" s="281"/>
      <c r="ED4" s="281"/>
      <c r="EE4" s="281"/>
      <c r="EF4" s="281"/>
      <c r="EG4" s="281"/>
      <c r="EH4" s="281"/>
      <c r="EI4" s="1582"/>
      <c r="EJ4" s="281"/>
      <c r="EK4" s="281"/>
      <c r="EL4" s="281"/>
      <c r="EM4" s="281"/>
      <c r="EN4" s="281"/>
      <c r="EO4" s="281"/>
      <c r="EP4" s="281"/>
      <c r="EQ4" s="281"/>
      <c r="ER4" s="281"/>
      <c r="ES4" s="281"/>
      <c r="ET4" s="281"/>
      <c r="EU4" s="281"/>
      <c r="EV4" s="3043"/>
      <c r="EW4" s="281"/>
      <c r="EX4" s="281"/>
      <c r="EY4" s="281"/>
      <c r="EZ4" s="281"/>
      <c r="FA4" s="281"/>
      <c r="FB4" s="281"/>
      <c r="FC4" s="281"/>
      <c r="FD4" s="281"/>
      <c r="FE4" s="281"/>
      <c r="FF4" s="281"/>
      <c r="FG4" s="281"/>
      <c r="FH4" s="281"/>
      <c r="FI4" s="281"/>
      <c r="FJ4" s="281"/>
      <c r="FK4" s="281"/>
      <c r="FL4" s="281"/>
      <c r="FN4" s="280"/>
      <c r="FO4" s="280"/>
      <c r="FP4" s="280"/>
      <c r="FQ4" s="280"/>
      <c r="FR4" s="280"/>
      <c r="FS4" s="280"/>
      <c r="FT4" s="280"/>
      <c r="FU4" s="280"/>
      <c r="FV4" s="280"/>
      <c r="FW4" s="280"/>
      <c r="FX4" s="284"/>
      <c r="FY4" s="284"/>
      <c r="FZ4" s="284"/>
      <c r="GA4" s="284"/>
      <c r="GB4" s="284"/>
      <c r="GC4" s="280"/>
      <c r="GD4" s="280"/>
      <c r="GE4" s="280"/>
      <c r="GF4" s="280"/>
      <c r="GG4" s="2571"/>
      <c r="GH4" s="2571"/>
      <c r="GI4" s="2571"/>
      <c r="GJ4" s="2571"/>
      <c r="GK4" s="2571"/>
      <c r="GL4" s="2571"/>
      <c r="GN4"/>
      <c r="GO4"/>
      <c r="GP4"/>
      <c r="GQ4"/>
      <c r="GR4"/>
      <c r="GS4"/>
    </row>
    <row r="5" spans="1:201" s="287" customFormat="1" ht="24">
      <c r="A5" s="3020" t="s">
        <v>1458</v>
      </c>
      <c r="B5" s="253"/>
      <c r="C5" s="253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253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253"/>
      <c r="AM5" s="253"/>
      <c r="AN5" s="253"/>
      <c r="AO5" s="253"/>
      <c r="AP5" s="253"/>
      <c r="AQ5" s="253"/>
      <c r="AR5" s="253"/>
      <c r="AS5" s="253"/>
      <c r="AT5" s="253"/>
      <c r="AU5" s="253"/>
      <c r="AV5" s="253"/>
      <c r="AW5" s="253"/>
      <c r="AX5" s="253"/>
      <c r="AY5" s="253"/>
      <c r="AZ5" s="253"/>
      <c r="BA5" s="253"/>
      <c r="BB5" s="253"/>
      <c r="BC5" s="253"/>
      <c r="BD5" s="253"/>
      <c r="BE5" s="253"/>
      <c r="BF5" s="253"/>
      <c r="BG5" s="253"/>
      <c r="BH5" s="253"/>
      <c r="BI5" s="253"/>
      <c r="BJ5" s="253"/>
      <c r="BK5" s="253"/>
      <c r="BL5" s="253"/>
      <c r="BM5" s="253"/>
      <c r="BN5" s="253"/>
      <c r="BO5" s="253"/>
      <c r="BP5" s="253"/>
      <c r="BQ5" s="253"/>
      <c r="BR5" s="253"/>
      <c r="BS5" s="253"/>
      <c r="BT5" s="253"/>
      <c r="BU5" s="253"/>
      <c r="BV5" s="253"/>
      <c r="BW5" s="253"/>
      <c r="BX5" s="253"/>
      <c r="BY5" s="253"/>
      <c r="BZ5" s="253"/>
      <c r="CA5" s="253"/>
      <c r="CB5" s="253"/>
      <c r="CC5" s="253"/>
      <c r="CD5" s="253"/>
      <c r="CE5" s="253"/>
      <c r="CF5" s="253"/>
      <c r="CG5" s="253"/>
      <c r="CH5" s="253"/>
      <c r="CI5" s="253"/>
      <c r="CJ5" s="253"/>
      <c r="CK5" s="258"/>
      <c r="CL5" s="258"/>
      <c r="CM5" s="258"/>
      <c r="CN5" s="258"/>
      <c r="CO5" s="258"/>
      <c r="CP5" s="258"/>
      <c r="CQ5" s="258"/>
      <c r="CR5" s="258"/>
      <c r="CS5" s="258"/>
      <c r="CT5" s="258"/>
      <c r="CU5" s="258"/>
      <c r="CV5" s="258"/>
      <c r="CW5" s="258"/>
      <c r="CX5" s="258"/>
      <c r="CY5" s="258"/>
      <c r="CZ5" s="258"/>
      <c r="DA5" s="258"/>
      <c r="DB5" s="258"/>
      <c r="DC5" s="257"/>
      <c r="DD5" s="258"/>
      <c r="DE5" s="257"/>
      <c r="DF5" s="258"/>
      <c r="DG5" s="258"/>
      <c r="DH5" s="257"/>
      <c r="DI5" s="258"/>
      <c r="DJ5" s="257"/>
      <c r="DK5" s="257"/>
      <c r="DL5" s="257"/>
      <c r="DM5" s="257"/>
      <c r="DN5" s="258"/>
      <c r="DO5" s="258"/>
      <c r="DP5" s="257"/>
      <c r="DQ5" s="257"/>
      <c r="DR5" s="258"/>
      <c r="DS5" s="258"/>
      <c r="DT5" s="257"/>
      <c r="DU5" s="257"/>
      <c r="DV5" s="257"/>
      <c r="DW5" s="257"/>
      <c r="DX5" s="257"/>
      <c r="DY5" s="257"/>
      <c r="DZ5" s="257"/>
      <c r="EA5" s="258"/>
      <c r="EB5" s="257"/>
      <c r="EC5" s="258"/>
      <c r="ED5" s="258"/>
      <c r="EE5" s="258"/>
      <c r="EF5" s="258"/>
      <c r="EG5" s="258"/>
      <c r="EH5" s="258"/>
      <c r="EI5" s="258"/>
      <c r="EJ5" s="258"/>
      <c r="EK5" s="258"/>
      <c r="EL5" s="258"/>
      <c r="EM5" s="258"/>
      <c r="EN5" s="258"/>
      <c r="EO5" s="258"/>
      <c r="EP5" s="258"/>
      <c r="EQ5" s="258"/>
      <c r="ER5" s="258"/>
      <c r="ES5" s="258"/>
      <c r="ET5" s="312"/>
      <c r="EU5" s="312"/>
      <c r="EV5" s="258"/>
      <c r="EW5" s="258"/>
      <c r="EX5" s="258"/>
      <c r="EY5" s="258"/>
      <c r="EZ5" s="258"/>
      <c r="FA5" s="258"/>
      <c r="FB5" s="258"/>
      <c r="FC5" s="258"/>
      <c r="FD5" s="258"/>
      <c r="FE5" s="258"/>
      <c r="FF5" s="258"/>
      <c r="FG5" s="281"/>
      <c r="FH5" s="258"/>
      <c r="FI5" s="258"/>
      <c r="FJ5" s="258"/>
      <c r="FK5" s="258"/>
      <c r="FL5" s="281"/>
      <c r="FM5" s="253"/>
      <c r="FN5" s="253"/>
      <c r="FO5" s="253"/>
      <c r="FP5" s="253"/>
      <c r="FQ5" s="253"/>
      <c r="FR5" s="253"/>
      <c r="FS5" s="253"/>
      <c r="FT5" s="253"/>
      <c r="FU5" s="253"/>
      <c r="FV5" s="253"/>
      <c r="FW5" s="253"/>
      <c r="FX5" s="285"/>
      <c r="FY5" s="286"/>
      <c r="FZ5" s="286"/>
      <c r="GA5" s="286"/>
      <c r="GB5" s="286"/>
      <c r="GN5"/>
      <c r="GO5"/>
      <c r="GP5"/>
      <c r="GQ5"/>
      <c r="GR5"/>
      <c r="GS5"/>
    </row>
    <row r="6" spans="1:201" s="280" customFormat="1" ht="11.25" customHeight="1">
      <c r="A6" s="288"/>
      <c r="B6" s="288"/>
      <c r="C6" s="288"/>
      <c r="D6" s="288"/>
      <c r="E6" s="288"/>
      <c r="F6" s="288"/>
      <c r="G6" s="288"/>
      <c r="H6" s="289" t="s">
        <v>109</v>
      </c>
      <c r="I6" s="288"/>
      <c r="J6" s="288"/>
      <c r="K6" s="288"/>
      <c r="L6" s="288"/>
      <c r="M6" s="289" t="s">
        <v>109</v>
      </c>
      <c r="N6" s="288"/>
      <c r="O6" s="288"/>
      <c r="P6" s="288"/>
      <c r="Q6" s="288"/>
      <c r="R6" s="289" t="s">
        <v>109</v>
      </c>
      <c r="S6" s="288"/>
      <c r="T6" s="288"/>
      <c r="U6" s="288"/>
      <c r="V6" s="288"/>
      <c r="W6" s="289" t="s">
        <v>109</v>
      </c>
      <c r="X6" s="288"/>
      <c r="Y6" s="288"/>
      <c r="Z6" s="288"/>
      <c r="AA6" s="288"/>
      <c r="AB6" s="289" t="s">
        <v>109</v>
      </c>
      <c r="AC6" s="288"/>
      <c r="AD6" s="288"/>
      <c r="AE6" s="288"/>
      <c r="AF6" s="288"/>
      <c r="AG6" s="289" t="s">
        <v>109</v>
      </c>
      <c r="AH6" s="288"/>
      <c r="AI6" s="288"/>
      <c r="AJ6" s="288"/>
      <c r="AK6" s="288"/>
      <c r="AL6" s="289" t="s">
        <v>109</v>
      </c>
      <c r="AM6" s="288"/>
      <c r="AN6" s="288"/>
      <c r="AO6" s="288"/>
      <c r="AP6" s="288"/>
      <c r="AQ6" s="289" t="s">
        <v>109</v>
      </c>
      <c r="AR6" s="288"/>
      <c r="AS6" s="288"/>
      <c r="AT6" s="288"/>
      <c r="AU6" s="288"/>
      <c r="AV6" s="289" t="s">
        <v>109</v>
      </c>
      <c r="AW6" s="288"/>
      <c r="AX6" s="288"/>
      <c r="AY6" s="288"/>
      <c r="AZ6" s="288"/>
      <c r="BA6" s="289" t="s">
        <v>109</v>
      </c>
      <c r="BB6" s="288"/>
      <c r="BC6" s="288"/>
      <c r="BD6" s="288"/>
      <c r="BE6" s="288"/>
      <c r="BF6" s="289" t="s">
        <v>109</v>
      </c>
      <c r="BG6" s="288"/>
      <c r="BH6" s="288"/>
      <c r="BI6" s="288"/>
      <c r="BJ6" s="288"/>
      <c r="BK6" s="289" t="s">
        <v>109</v>
      </c>
      <c r="BL6" s="288"/>
      <c r="BM6" s="288"/>
      <c r="BN6" s="288"/>
      <c r="BO6" s="288"/>
      <c r="BP6" s="289" t="s">
        <v>109</v>
      </c>
      <c r="BQ6" s="288"/>
      <c r="BR6" s="288"/>
      <c r="BS6" s="288"/>
      <c r="BT6" s="288"/>
      <c r="BU6" s="289" t="s">
        <v>109</v>
      </c>
      <c r="BV6" s="288"/>
      <c r="BW6" s="288"/>
      <c r="BX6" s="288"/>
      <c r="BY6" s="288"/>
      <c r="BZ6" s="289" t="s">
        <v>109</v>
      </c>
      <c r="CA6" s="288"/>
      <c r="CB6" s="288"/>
      <c r="CC6" s="288"/>
      <c r="CD6" s="288"/>
      <c r="CE6" s="289" t="s">
        <v>109</v>
      </c>
      <c r="CF6" s="288"/>
      <c r="CG6" s="288"/>
      <c r="CH6" s="288"/>
      <c r="CI6" s="288"/>
      <c r="CJ6" s="289" t="s">
        <v>109</v>
      </c>
      <c r="CK6" s="290"/>
      <c r="CL6" s="290"/>
      <c r="CM6" s="290"/>
      <c r="CN6" s="290"/>
      <c r="CO6" s="289" t="s">
        <v>109</v>
      </c>
      <c r="CP6" s="290"/>
      <c r="CQ6" s="290"/>
      <c r="CR6" s="290"/>
      <c r="CS6" s="290"/>
      <c r="CT6" s="289" t="s">
        <v>109</v>
      </c>
      <c r="CU6" s="290"/>
      <c r="CV6" s="290"/>
      <c r="CW6" s="290"/>
      <c r="CX6" s="290"/>
      <c r="CY6" s="289" t="s">
        <v>109</v>
      </c>
      <c r="CZ6" s="290"/>
      <c r="DA6" s="290"/>
      <c r="DB6" s="290"/>
      <c r="DC6" s="291"/>
      <c r="DD6" s="289" t="s">
        <v>109</v>
      </c>
      <c r="DE6" s="291"/>
      <c r="DF6" s="290"/>
      <c r="DG6" s="290"/>
      <c r="DH6" s="291"/>
      <c r="DI6" s="289" t="s">
        <v>109</v>
      </c>
      <c r="DJ6" s="291"/>
      <c r="DK6" s="291"/>
      <c r="DL6" s="291"/>
      <c r="DM6" s="291"/>
      <c r="DN6" s="289" t="s">
        <v>109</v>
      </c>
      <c r="DO6" s="290"/>
      <c r="DP6" s="291"/>
      <c r="DQ6" s="291"/>
      <c r="DR6" s="290"/>
      <c r="DS6" s="289" t="s">
        <v>109</v>
      </c>
      <c r="DT6" s="291"/>
      <c r="DU6" s="291"/>
      <c r="DV6" s="291"/>
      <c r="DW6" s="290"/>
      <c r="DX6" s="289" t="s">
        <v>109</v>
      </c>
      <c r="DY6" s="291"/>
      <c r="DZ6" s="291"/>
      <c r="EA6" s="1152"/>
      <c r="EB6" s="290"/>
      <c r="EC6" s="289" t="s">
        <v>109</v>
      </c>
      <c r="ED6" s="1152"/>
      <c r="EE6" s="1152"/>
      <c r="EF6" s="1152"/>
      <c r="EG6" s="290"/>
      <c r="EH6" s="289" t="s">
        <v>109</v>
      </c>
      <c r="EI6" s="1152"/>
      <c r="EJ6" s="1152"/>
      <c r="EK6" s="1152"/>
      <c r="EL6" s="1152"/>
      <c r="EM6" s="289" t="s">
        <v>109</v>
      </c>
      <c r="EN6" s="290"/>
      <c r="EO6" s="290"/>
      <c r="EP6" s="290"/>
      <c r="EQ6" s="1152"/>
      <c r="ER6" s="289" t="s">
        <v>109</v>
      </c>
      <c r="ES6" s="290"/>
      <c r="ET6" s="1152"/>
      <c r="EU6" s="1152"/>
      <c r="EV6" s="1152"/>
      <c r="EW6" s="1153" t="s">
        <v>109</v>
      </c>
      <c r="EX6" s="1152"/>
      <c r="EY6" s="1152"/>
      <c r="EZ6" s="1152"/>
      <c r="FA6" s="1152"/>
      <c r="FB6" s="1153" t="s">
        <v>109</v>
      </c>
      <c r="FC6" s="1152"/>
      <c r="FD6" s="1152"/>
      <c r="FE6" s="1152"/>
      <c r="FF6" s="1152"/>
      <c r="FG6" s="1153" t="s">
        <v>109</v>
      </c>
      <c r="FH6" s="1152"/>
      <c r="FI6" s="1152"/>
      <c r="FJ6" s="1152"/>
      <c r="FK6" s="1152"/>
      <c r="FL6" s="1153" t="s">
        <v>109</v>
      </c>
      <c r="FM6" s="288"/>
      <c r="FN6" s="292"/>
      <c r="FO6" s="292"/>
      <c r="FP6" s="292"/>
      <c r="FQ6" s="292"/>
      <c r="FR6" s="292"/>
      <c r="FS6" s="292"/>
      <c r="FT6" s="292"/>
      <c r="FU6" s="292"/>
      <c r="FV6" s="292"/>
      <c r="FW6" s="292"/>
      <c r="FX6" s="293"/>
      <c r="FY6" s="294"/>
      <c r="FZ6" s="294"/>
      <c r="GA6" s="294"/>
      <c r="GB6" s="294"/>
      <c r="GC6" s="1156"/>
      <c r="GD6" s="1156"/>
      <c r="GE6" s="1156"/>
      <c r="GF6" s="1156"/>
      <c r="GG6" s="1156"/>
      <c r="GH6" s="2530"/>
      <c r="GI6" s="2530"/>
      <c r="GJ6" s="2530"/>
      <c r="GK6" s="2530"/>
      <c r="GL6" s="2530"/>
      <c r="GM6" s="1156"/>
      <c r="GN6"/>
      <c r="GO6"/>
      <c r="GP6"/>
      <c r="GQ6"/>
      <c r="GR6"/>
      <c r="GS6"/>
    </row>
    <row r="7" spans="1:201" s="295" customFormat="1" ht="11.25" customHeight="1">
      <c r="D7" s="296">
        <v>32416</v>
      </c>
      <c r="E7" s="296">
        <v>32508</v>
      </c>
      <c r="F7" s="296">
        <v>32598</v>
      </c>
      <c r="G7" s="296">
        <v>32689</v>
      </c>
      <c r="H7" s="297" t="s">
        <v>875</v>
      </c>
      <c r="I7" s="296">
        <v>32781</v>
      </c>
      <c r="J7" s="296">
        <v>32873</v>
      </c>
      <c r="K7" s="296">
        <v>32963</v>
      </c>
      <c r="L7" s="296">
        <v>33054</v>
      </c>
      <c r="M7" s="297" t="s">
        <v>865</v>
      </c>
      <c r="N7" s="296">
        <v>33146</v>
      </c>
      <c r="O7" s="296">
        <v>33238</v>
      </c>
      <c r="P7" s="296">
        <v>33328</v>
      </c>
      <c r="Q7" s="296">
        <v>33419</v>
      </c>
      <c r="R7" s="297" t="s">
        <v>126</v>
      </c>
      <c r="S7" s="296">
        <v>33511</v>
      </c>
      <c r="T7" s="296">
        <v>33603</v>
      </c>
      <c r="U7" s="296">
        <v>33694</v>
      </c>
      <c r="V7" s="296">
        <v>33785</v>
      </c>
      <c r="W7" s="297" t="s">
        <v>127</v>
      </c>
      <c r="X7" s="296">
        <v>33877</v>
      </c>
      <c r="Y7" s="296">
        <v>33969</v>
      </c>
      <c r="Z7" s="296">
        <v>34059</v>
      </c>
      <c r="AA7" s="296">
        <v>34150</v>
      </c>
      <c r="AB7" s="297" t="s">
        <v>128</v>
      </c>
      <c r="AC7" s="296">
        <v>34242</v>
      </c>
      <c r="AD7" s="296">
        <v>34334</v>
      </c>
      <c r="AE7" s="296">
        <v>34424</v>
      </c>
      <c r="AF7" s="296">
        <v>34515</v>
      </c>
      <c r="AG7" s="297" t="s">
        <v>129</v>
      </c>
      <c r="AH7" s="296">
        <v>34607</v>
      </c>
      <c r="AI7" s="296">
        <v>34699</v>
      </c>
      <c r="AJ7" s="296">
        <v>34789</v>
      </c>
      <c r="AK7" s="296">
        <v>34880</v>
      </c>
      <c r="AL7" s="297" t="s">
        <v>130</v>
      </c>
      <c r="AM7" s="296">
        <v>34972</v>
      </c>
      <c r="AN7" s="296">
        <v>35064</v>
      </c>
      <c r="AO7" s="296">
        <v>35155</v>
      </c>
      <c r="AP7" s="296">
        <v>35246</v>
      </c>
      <c r="AQ7" s="297" t="s">
        <v>131</v>
      </c>
      <c r="AR7" s="296">
        <v>35338</v>
      </c>
      <c r="AS7" s="296">
        <v>35430</v>
      </c>
      <c r="AT7" s="296">
        <v>35520</v>
      </c>
      <c r="AU7" s="296">
        <v>35611</v>
      </c>
      <c r="AV7" s="297" t="s">
        <v>134</v>
      </c>
      <c r="AW7" s="296">
        <v>35703</v>
      </c>
      <c r="AX7" s="296">
        <v>35795</v>
      </c>
      <c r="AY7" s="296">
        <v>35885</v>
      </c>
      <c r="AZ7" s="296">
        <v>35976</v>
      </c>
      <c r="BA7" s="297" t="s">
        <v>135</v>
      </c>
      <c r="BB7" s="296">
        <v>36068</v>
      </c>
      <c r="BC7" s="296">
        <v>36160</v>
      </c>
      <c r="BD7" s="296">
        <v>36250</v>
      </c>
      <c r="BE7" s="296">
        <v>36341</v>
      </c>
      <c r="BF7" s="297" t="s">
        <v>124</v>
      </c>
      <c r="BG7" s="296">
        <v>36433</v>
      </c>
      <c r="BH7" s="296">
        <v>36525</v>
      </c>
      <c r="BI7" s="296">
        <v>36616</v>
      </c>
      <c r="BJ7" s="296">
        <v>36707</v>
      </c>
      <c r="BK7" s="297" t="s">
        <v>125</v>
      </c>
      <c r="BL7" s="296">
        <v>36799</v>
      </c>
      <c r="BM7" s="296">
        <v>36891</v>
      </c>
      <c r="BN7" s="296">
        <v>36981</v>
      </c>
      <c r="BO7" s="296">
        <v>37072</v>
      </c>
      <c r="BP7" s="297" t="s">
        <v>136</v>
      </c>
      <c r="BQ7" s="296">
        <v>37164</v>
      </c>
      <c r="BR7" s="296">
        <v>37256</v>
      </c>
      <c r="BS7" s="296">
        <v>37346</v>
      </c>
      <c r="BT7" s="296">
        <v>37437</v>
      </c>
      <c r="BU7" s="297" t="s">
        <v>137</v>
      </c>
      <c r="BV7" s="296">
        <v>37529</v>
      </c>
      <c r="BW7" s="296">
        <v>37621</v>
      </c>
      <c r="BX7" s="296">
        <v>37711</v>
      </c>
      <c r="BY7" s="296">
        <v>37802</v>
      </c>
      <c r="BZ7" s="297" t="s">
        <v>138</v>
      </c>
      <c r="CA7" s="296">
        <v>37894</v>
      </c>
      <c r="CB7" s="296">
        <v>37986</v>
      </c>
      <c r="CC7" s="296">
        <v>38077</v>
      </c>
      <c r="CD7" s="296">
        <v>38168</v>
      </c>
      <c r="CE7" s="297" t="s">
        <v>139</v>
      </c>
      <c r="CF7" s="296">
        <v>38260</v>
      </c>
      <c r="CG7" s="296">
        <v>38352</v>
      </c>
      <c r="CH7" s="296">
        <v>38442</v>
      </c>
      <c r="CI7" s="296">
        <v>38533</v>
      </c>
      <c r="CJ7" s="297" t="s">
        <v>140</v>
      </c>
      <c r="CK7" s="298">
        <v>38625</v>
      </c>
      <c r="CL7" s="298">
        <v>38717</v>
      </c>
      <c r="CM7" s="298">
        <v>38807</v>
      </c>
      <c r="CN7" s="298">
        <v>38898</v>
      </c>
      <c r="CO7" s="297" t="s">
        <v>141</v>
      </c>
      <c r="CP7" s="298">
        <v>38990</v>
      </c>
      <c r="CQ7" s="298">
        <v>39082</v>
      </c>
      <c r="CR7" s="298">
        <v>39172</v>
      </c>
      <c r="CS7" s="298">
        <v>39263</v>
      </c>
      <c r="CT7" s="297" t="s">
        <v>142</v>
      </c>
      <c r="CU7" s="296">
        <v>39355</v>
      </c>
      <c r="CV7" s="296">
        <v>39447</v>
      </c>
      <c r="CW7" s="296">
        <v>39538</v>
      </c>
      <c r="CX7" s="298">
        <v>39607</v>
      </c>
      <c r="CY7" s="297" t="s">
        <v>830</v>
      </c>
      <c r="CZ7" s="296">
        <v>39699</v>
      </c>
      <c r="DA7" s="296">
        <v>39790</v>
      </c>
      <c r="DB7" s="296">
        <v>39881</v>
      </c>
      <c r="DC7" s="298">
        <v>39973</v>
      </c>
      <c r="DD7" s="297" t="s">
        <v>311</v>
      </c>
      <c r="DE7" s="296">
        <v>40065</v>
      </c>
      <c r="DF7" s="299" t="s">
        <v>837</v>
      </c>
      <c r="DG7" s="299" t="s">
        <v>546</v>
      </c>
      <c r="DH7" s="296" t="s">
        <v>591</v>
      </c>
      <c r="DI7" s="300" t="s">
        <v>592</v>
      </c>
      <c r="DJ7" s="299" t="s">
        <v>679</v>
      </c>
      <c r="DK7" s="299" t="s">
        <v>208</v>
      </c>
      <c r="DL7" s="299" t="s">
        <v>470</v>
      </c>
      <c r="DM7" s="296" t="s">
        <v>67</v>
      </c>
      <c r="DN7" s="300" t="s">
        <v>68</v>
      </c>
      <c r="DO7" s="299" t="s">
        <v>478</v>
      </c>
      <c r="DP7" s="299" t="s">
        <v>184</v>
      </c>
      <c r="DQ7" s="299" t="s">
        <v>172</v>
      </c>
      <c r="DR7" s="299" t="s">
        <v>179</v>
      </c>
      <c r="DS7" s="300" t="s">
        <v>180</v>
      </c>
      <c r="DT7" s="299" t="s">
        <v>159</v>
      </c>
      <c r="DU7" s="299" t="s">
        <v>894</v>
      </c>
      <c r="DV7" s="299" t="s">
        <v>464</v>
      </c>
      <c r="DW7" s="299" t="s">
        <v>26</v>
      </c>
      <c r="DX7" s="300" t="s">
        <v>27</v>
      </c>
      <c r="DY7" s="299" t="s">
        <v>758</v>
      </c>
      <c r="DZ7" s="299" t="s">
        <v>905</v>
      </c>
      <c r="EA7" s="299" t="s">
        <v>984</v>
      </c>
      <c r="EB7" s="299" t="s">
        <v>1005</v>
      </c>
      <c r="EC7" s="300" t="s">
        <v>1006</v>
      </c>
      <c r="ED7" s="299" t="s">
        <v>1016</v>
      </c>
      <c r="EE7" s="299" t="s">
        <v>1025</v>
      </c>
      <c r="EF7" s="299" t="s">
        <v>1026</v>
      </c>
      <c r="EG7" s="299" t="s">
        <v>1029</v>
      </c>
      <c r="EH7" s="297" t="s">
        <v>1030</v>
      </c>
      <c r="EI7" s="299" t="s">
        <v>1086</v>
      </c>
      <c r="EJ7" s="299" t="s">
        <v>1117</v>
      </c>
      <c r="EK7" s="299" t="s">
        <v>1125</v>
      </c>
      <c r="EL7" s="299" t="s">
        <v>1411</v>
      </c>
      <c r="EM7" s="297" t="s">
        <v>1412</v>
      </c>
      <c r="EN7" s="299" t="s">
        <v>1413</v>
      </c>
      <c r="EO7" s="299" t="s">
        <v>1421</v>
      </c>
      <c r="EP7" s="299" t="s">
        <v>1435</v>
      </c>
      <c r="EQ7" s="299" t="s">
        <v>1442</v>
      </c>
      <c r="ER7" s="297" t="s">
        <v>1443</v>
      </c>
      <c r="ES7" s="299" t="s">
        <v>1466</v>
      </c>
      <c r="ET7" s="299" t="s">
        <v>1469</v>
      </c>
      <c r="EU7" s="299" t="s">
        <v>1481</v>
      </c>
      <c r="EV7" s="1154" t="s">
        <v>1019</v>
      </c>
      <c r="EW7" s="1155" t="s">
        <v>642</v>
      </c>
      <c r="EX7" s="1154" t="s">
        <v>1136</v>
      </c>
      <c r="EY7" s="1154" t="s">
        <v>1137</v>
      </c>
      <c r="EZ7" s="1154" t="s">
        <v>1138</v>
      </c>
      <c r="FA7" s="1154" t="s">
        <v>1139</v>
      </c>
      <c r="FB7" s="1155" t="s">
        <v>888</v>
      </c>
      <c r="FC7" s="1154" t="s">
        <v>1436</v>
      </c>
      <c r="FD7" s="1154" t="s">
        <v>1437</v>
      </c>
      <c r="FE7" s="1154" t="s">
        <v>1438</v>
      </c>
      <c r="FF7" s="1154" t="s">
        <v>1439</v>
      </c>
      <c r="FG7" s="1155" t="s">
        <v>889</v>
      </c>
      <c r="FH7" s="1154" t="s">
        <v>1473</v>
      </c>
      <c r="FI7" s="1154" t="s">
        <v>1474</v>
      </c>
      <c r="FJ7" s="1154" t="s">
        <v>1475</v>
      </c>
      <c r="FK7" s="1154" t="s">
        <v>1476</v>
      </c>
      <c r="FL7" s="1155" t="s">
        <v>472</v>
      </c>
      <c r="FN7" s="301" t="s">
        <v>336</v>
      </c>
      <c r="FO7" s="301" t="s">
        <v>143</v>
      </c>
      <c r="FP7" s="301" t="s">
        <v>144</v>
      </c>
      <c r="FQ7" s="301" t="s">
        <v>145</v>
      </c>
      <c r="FR7" s="301" t="s">
        <v>146</v>
      </c>
      <c r="FS7" s="301" t="s">
        <v>147</v>
      </c>
      <c r="FT7" s="301" t="s">
        <v>148</v>
      </c>
      <c r="FU7" s="301" t="s">
        <v>149</v>
      </c>
      <c r="FV7" s="301" t="s">
        <v>441</v>
      </c>
      <c r="FW7" s="301" t="s">
        <v>133</v>
      </c>
      <c r="FX7" s="843" t="s">
        <v>473</v>
      </c>
      <c r="FY7" s="844" t="s">
        <v>4</v>
      </c>
      <c r="FZ7" s="844" t="s">
        <v>5</v>
      </c>
      <c r="GA7" s="844" t="s">
        <v>657</v>
      </c>
      <c r="GB7" s="844" t="s">
        <v>981</v>
      </c>
      <c r="GC7" s="1157" t="s">
        <v>340</v>
      </c>
      <c r="GD7" s="1157" t="s">
        <v>1131</v>
      </c>
      <c r="GE7" s="1157" t="s">
        <v>1422</v>
      </c>
      <c r="GF7" s="1157" t="s">
        <v>1017</v>
      </c>
      <c r="GG7" s="1157" t="s">
        <v>1141</v>
      </c>
      <c r="GH7" s="1157" t="s">
        <v>1441</v>
      </c>
      <c r="GI7" s="1157" t="s">
        <v>1477</v>
      </c>
      <c r="GJ7" s="2664"/>
      <c r="GK7" s="2664"/>
      <c r="GL7" s="2664"/>
      <c r="GN7"/>
      <c r="GO7"/>
      <c r="GP7"/>
      <c r="GQ7"/>
      <c r="GR7"/>
      <c r="GS7"/>
    </row>
    <row r="8" spans="1:201" s="307" customFormat="1" ht="11.25" customHeight="1">
      <c r="A8" s="302" t="s">
        <v>327</v>
      </c>
      <c r="B8" s="303"/>
      <c r="C8" s="303"/>
      <c r="D8" s="304">
        <v>177</v>
      </c>
      <c r="E8" s="304">
        <v>209.88200000000001</v>
      </c>
      <c r="F8" s="304">
        <v>197.024</v>
      </c>
      <c r="G8" s="304">
        <v>221</v>
      </c>
      <c r="H8" s="305">
        <f>SUM(D8:G8)</f>
        <v>804.90599999999995</v>
      </c>
      <c r="I8" s="304">
        <v>235.161</v>
      </c>
      <c r="J8" s="304">
        <v>301</v>
      </c>
      <c r="K8" s="304">
        <v>312</v>
      </c>
      <c r="L8" s="304">
        <v>338</v>
      </c>
      <c r="M8" s="305">
        <f>SUM(I8:L8)</f>
        <v>1186.1610000000001</v>
      </c>
      <c r="N8" s="304">
        <v>369.4</v>
      </c>
      <c r="O8" s="304">
        <v>460.5</v>
      </c>
      <c r="P8" s="304">
        <v>489</v>
      </c>
      <c r="Q8" s="304">
        <v>528</v>
      </c>
      <c r="R8" s="305">
        <f>SUM(N8:Q8)</f>
        <v>1846.9</v>
      </c>
      <c r="S8" s="304">
        <v>584</v>
      </c>
      <c r="T8" s="304">
        <v>686</v>
      </c>
      <c r="U8" s="304">
        <v>686</v>
      </c>
      <c r="V8" s="304">
        <v>821</v>
      </c>
      <c r="W8" s="305">
        <f>SUM(S8:V8)</f>
        <v>2777</v>
      </c>
      <c r="X8" s="304">
        <v>824</v>
      </c>
      <c r="Y8" s="304">
        <v>945</v>
      </c>
      <c r="Z8" s="304">
        <v>969</v>
      </c>
      <c r="AA8" s="304">
        <v>1048</v>
      </c>
      <c r="AB8" s="305">
        <f>SUM(X8:AA8)</f>
        <v>3786</v>
      </c>
      <c r="AC8" s="304">
        <v>996</v>
      </c>
      <c r="AD8" s="304">
        <v>1146</v>
      </c>
      <c r="AE8" s="304">
        <v>1261</v>
      </c>
      <c r="AF8" s="304">
        <v>1311</v>
      </c>
      <c r="AG8" s="305">
        <f>SUM(AC8:AF8)</f>
        <v>4714</v>
      </c>
      <c r="AH8" s="304">
        <v>1270</v>
      </c>
      <c r="AI8" s="304">
        <v>1516</v>
      </c>
      <c r="AJ8" s="304">
        <v>1627</v>
      </c>
      <c r="AK8" s="304">
        <v>1662</v>
      </c>
      <c r="AL8" s="305">
        <f>SUM(AH8:AK8)</f>
        <v>6075</v>
      </c>
      <c r="AM8" s="304">
        <v>2085</v>
      </c>
      <c r="AN8" s="304">
        <v>2287</v>
      </c>
      <c r="AO8" s="304">
        <v>2311</v>
      </c>
      <c r="AP8" s="304">
        <v>2367</v>
      </c>
      <c r="AQ8" s="305">
        <f>SUM(AM8:AP8)</f>
        <v>9050</v>
      </c>
      <c r="AR8" s="304">
        <v>2405</v>
      </c>
      <c r="AS8" s="304">
        <v>2808</v>
      </c>
      <c r="AT8" s="304">
        <v>3365</v>
      </c>
      <c r="AU8" s="304">
        <v>3358</v>
      </c>
      <c r="AV8" s="305">
        <f>SUM(AR8:AU8)</f>
        <v>11936</v>
      </c>
      <c r="AW8" s="304">
        <v>3334</v>
      </c>
      <c r="AX8" s="304">
        <v>3792</v>
      </c>
      <c r="AY8" s="304">
        <v>3984</v>
      </c>
      <c r="AZ8" s="304">
        <v>4152</v>
      </c>
      <c r="BA8" s="305">
        <f>SUM(AW8:AZ8)</f>
        <v>15262</v>
      </c>
      <c r="BB8" s="304">
        <v>4193</v>
      </c>
      <c r="BC8" s="304">
        <v>5195</v>
      </c>
      <c r="BD8" s="304">
        <v>4595</v>
      </c>
      <c r="BE8" s="304">
        <v>5764</v>
      </c>
      <c r="BF8" s="305">
        <f>SUM(BB8:BE8)</f>
        <v>19747</v>
      </c>
      <c r="BG8" s="304">
        <v>5384</v>
      </c>
      <c r="BH8" s="304">
        <v>6112</v>
      </c>
      <c r="BI8" s="304">
        <v>5656</v>
      </c>
      <c r="BJ8" s="304">
        <v>5804</v>
      </c>
      <c r="BK8" s="305">
        <f>SUM(BG8:BJ8)</f>
        <v>22956</v>
      </c>
      <c r="BL8" s="304">
        <v>5766</v>
      </c>
      <c r="BM8" s="304">
        <v>6550</v>
      </c>
      <c r="BN8" s="304">
        <v>6403</v>
      </c>
      <c r="BO8" s="304">
        <v>6577</v>
      </c>
      <c r="BP8" s="305">
        <f>SUM(BL8:BO8)</f>
        <v>25296</v>
      </c>
      <c r="BQ8" s="304">
        <f>'Rev Overview'!C297</f>
        <v>6126</v>
      </c>
      <c r="BR8" s="304">
        <f>'Rev Overview'!D297</f>
        <v>7741</v>
      </c>
      <c r="BS8" s="304">
        <f>'Rev Overview'!E297</f>
        <v>7245</v>
      </c>
      <c r="BT8" s="304">
        <f>'Rev Overview'!F297</f>
        <v>7253</v>
      </c>
      <c r="BU8" s="305">
        <f>SUM(BQ8:BT8)</f>
        <v>28365</v>
      </c>
      <c r="BV8" s="304">
        <f>'Rev Overview'!H297</f>
        <v>7746</v>
      </c>
      <c r="BW8" s="304">
        <f>'Rev Overview'!I297</f>
        <v>8541</v>
      </c>
      <c r="BX8" s="304">
        <f>'Rev Overview'!J297</f>
        <v>7835</v>
      </c>
      <c r="BY8" s="304">
        <f>'Rev Overview'!K297</f>
        <v>8065</v>
      </c>
      <c r="BZ8" s="305">
        <f>SUM(BV8:BY8)</f>
        <v>32187</v>
      </c>
      <c r="CA8" s="304">
        <f>'Rev Overview'!M297</f>
        <v>8215</v>
      </c>
      <c r="CB8" s="304">
        <f>'Rev Overview'!N297</f>
        <v>10153</v>
      </c>
      <c r="CC8" s="304">
        <f>'Rev Overview'!O297</f>
        <v>9175</v>
      </c>
      <c r="CD8" s="304">
        <f>'Rev Overview'!P297</f>
        <v>9292</v>
      </c>
      <c r="CE8" s="305">
        <f>SUM(CA8:CD8)</f>
        <v>36835</v>
      </c>
      <c r="CF8" s="304">
        <f>'Rev Overview'!R297</f>
        <v>9189</v>
      </c>
      <c r="CG8" s="304">
        <f>'Rev Overview'!S297</f>
        <v>10818</v>
      </c>
      <c r="CH8" s="304">
        <f>'Rev Overview'!T297</f>
        <v>9620</v>
      </c>
      <c r="CI8" s="304">
        <f>'Rev Overview'!U297</f>
        <v>10161</v>
      </c>
      <c r="CJ8" s="305">
        <f>SUM(CF8:CI8)</f>
        <v>39788</v>
      </c>
      <c r="CK8" s="304">
        <f>'Rev Overview'!W297</f>
        <v>9741</v>
      </c>
      <c r="CL8" s="304">
        <f>'Rev Overview'!X297</f>
        <v>11838</v>
      </c>
      <c r="CM8" s="304">
        <f>'Rev Overview'!Y297</f>
        <v>10901</v>
      </c>
      <c r="CN8" s="304">
        <f>'Rev Overview'!Z297</f>
        <v>11806</v>
      </c>
      <c r="CO8" s="305">
        <f>SUM(CK8:CN8)</f>
        <v>44286</v>
      </c>
      <c r="CP8" s="304">
        <f>'Rev Overview'!AB297</f>
        <v>10811</v>
      </c>
      <c r="CQ8" s="304">
        <f>'Rev Overview'!AC297</f>
        <v>12542</v>
      </c>
      <c r="CR8" s="304">
        <f>'Rev Overview'!AD297</f>
        <v>14398</v>
      </c>
      <c r="CS8" s="304">
        <f>'Rev Overview'!AE297</f>
        <v>13371</v>
      </c>
      <c r="CT8" s="305">
        <f>SUM(CP8:CS8)</f>
        <v>51122</v>
      </c>
      <c r="CU8" s="304">
        <f>'Rev Overview'!AG297</f>
        <v>13762</v>
      </c>
      <c r="CV8" s="304">
        <f>'Rev Overview'!AH297</f>
        <v>16367</v>
      </c>
      <c r="CW8" s="304">
        <f>'Rev Overview'!AI297</f>
        <v>14454</v>
      </c>
      <c r="CX8" s="304">
        <f>'Rev Overview'!AJ297</f>
        <v>15837</v>
      </c>
      <c r="CY8" s="305">
        <f>SUM(CU8:CX8)</f>
        <v>60420</v>
      </c>
      <c r="CZ8" s="304">
        <f>'Rev Overview'!AL297</f>
        <v>15061</v>
      </c>
      <c r="DA8" s="304">
        <f>'Rev Overview'!AM297</f>
        <v>16629</v>
      </c>
      <c r="DB8" s="304">
        <f>'Rev Overview'!AN297</f>
        <v>13648</v>
      </c>
      <c r="DC8" s="304">
        <f>'Rev Overview'!AO297</f>
        <v>13099</v>
      </c>
      <c r="DD8" s="305">
        <f>SUM(CZ8:DC8)</f>
        <v>58437</v>
      </c>
      <c r="DE8" s="304">
        <f>'Rev Overview'!AQ297</f>
        <v>12920</v>
      </c>
      <c r="DF8" s="304">
        <f>'Rev Overview'!AR297</f>
        <v>19022</v>
      </c>
      <c r="DG8" s="304">
        <f>'Rev Overview'!AS297</f>
        <v>14503</v>
      </c>
      <c r="DH8" s="304">
        <f>'Rev Overview'!AT297</f>
        <v>16039</v>
      </c>
      <c r="DI8" s="305">
        <f>SUM(DE8:DH8)</f>
        <v>62484</v>
      </c>
      <c r="DJ8" s="304">
        <f>'Rev Overview'!AV297</f>
        <v>16195</v>
      </c>
      <c r="DK8" s="304">
        <f>'Rev Overview'!AW297</f>
        <v>19953</v>
      </c>
      <c r="DL8" s="304">
        <f>'Rev Overview'!AX297</f>
        <v>16428</v>
      </c>
      <c r="DM8" s="304">
        <f>'Rev Overview'!AY297</f>
        <v>17365.439999999999</v>
      </c>
      <c r="DN8" s="305">
        <f>SUM(DJ8:DM8)</f>
        <v>69941.440000000002</v>
      </c>
      <c r="DO8" s="304">
        <f>'Rev Overview'!BA297</f>
        <v>17372</v>
      </c>
      <c r="DP8" s="304">
        <f>'Rev Overview'!BB297</f>
        <v>20885</v>
      </c>
      <c r="DQ8" s="304">
        <f>'Rev Overview'!BC297</f>
        <v>17407</v>
      </c>
      <c r="DR8" s="304">
        <f>'Rev Overview'!BD297</f>
        <v>18059</v>
      </c>
      <c r="DS8" s="305">
        <f>SUM(DO8:DR8)</f>
        <v>73723</v>
      </c>
      <c r="DT8" s="304">
        <f>'Rev Overview'!BF297</f>
        <v>16008</v>
      </c>
      <c r="DU8" s="304">
        <f>'Rev Overview'!BG297</f>
        <v>21456</v>
      </c>
      <c r="DV8" s="304">
        <f>'Rev Overview'!BH297</f>
        <v>20489</v>
      </c>
      <c r="DW8" s="304">
        <f>'Rev Overview'!BI297</f>
        <v>19896</v>
      </c>
      <c r="DX8" s="305">
        <f>SUM(DT8:DW8)</f>
        <v>77849</v>
      </c>
      <c r="DY8" s="304">
        <f>'Rev Overview'!BK142</f>
        <v>18529</v>
      </c>
      <c r="DZ8" s="304">
        <f>'Rev Overview'!BL142</f>
        <v>24519</v>
      </c>
      <c r="EA8" s="304">
        <f>'Rev Overview'!BM142</f>
        <v>20403</v>
      </c>
      <c r="EB8" s="304">
        <v>23382</v>
      </c>
      <c r="EC8" s="305">
        <f>SUM(DY8:EB8)</f>
        <v>86833</v>
      </c>
      <c r="ED8" s="304">
        <v>23201</v>
      </c>
      <c r="EE8" s="304">
        <f>26470-326</f>
        <v>26144</v>
      </c>
      <c r="EF8" s="304">
        <v>21729</v>
      </c>
      <c r="EG8" s="304">
        <v>22180</v>
      </c>
      <c r="EH8" s="305">
        <f>SUM(ED8:EG8)</f>
        <v>93254</v>
      </c>
      <c r="EI8" s="2692">
        <f>'Rev Overview'!BU32</f>
        <v>20910</v>
      </c>
      <c r="EJ8" s="2692">
        <f>'Rev Overview'!BV32</f>
        <v>25253</v>
      </c>
      <c r="EK8" s="2692">
        <f>'Rev Overview'!BW32</f>
        <v>21517</v>
      </c>
      <c r="EL8" s="2692">
        <f>'Rev Overview'!BX32</f>
        <v>23474</v>
      </c>
      <c r="EM8" s="2693">
        <f>SUM(EI8:EL8)</f>
        <v>91154</v>
      </c>
      <c r="EN8" s="2692">
        <f>'Rev Overview'!BZ32</f>
        <v>21928</v>
      </c>
      <c r="EO8" s="2692">
        <f>'Rev Overview'!CA32</f>
        <v>25826</v>
      </c>
      <c r="EP8" s="2692">
        <f>'Rev Overview'!CB32</f>
        <v>23212</v>
      </c>
      <c r="EQ8" s="2692">
        <f>'Rev Overview'!CC32</f>
        <v>25605</v>
      </c>
      <c r="ER8" s="2693">
        <f>SUM(EN8:EQ8)</f>
        <v>96571</v>
      </c>
      <c r="ES8" s="2692">
        <f>'Rev Overview'!CE32</f>
        <v>24538</v>
      </c>
      <c r="ET8" s="2692">
        <f>'Rev Overview'!CF32</f>
        <v>28918</v>
      </c>
      <c r="EU8" s="2692">
        <f>'Rev Overview'!CG32</f>
        <v>26819</v>
      </c>
      <c r="EV8" s="304">
        <f>'Rev Overview'!CH32</f>
        <v>29195.5462989398</v>
      </c>
      <c r="EW8" s="305">
        <f>SUM(ES8:EV8)</f>
        <v>109470.54629893979</v>
      </c>
      <c r="EX8" s="304">
        <f>'Rev Overview'!CJ32</f>
        <v>27735.172906742351</v>
      </c>
      <c r="EY8" s="304">
        <f>'Rev Overview'!CK32</f>
        <v>32199.916918887284</v>
      </c>
      <c r="EZ8" s="304">
        <f>'Rev Overview'!CL32</f>
        <v>29957.026778955264</v>
      </c>
      <c r="FA8" s="304">
        <f>'Rev Overview'!CM32</f>
        <v>32642.118087953073</v>
      </c>
      <c r="FB8" s="305">
        <f>SUM(EX8:FA8)</f>
        <v>122534.23469253797</v>
      </c>
      <c r="FC8" s="304">
        <f>'Rev Overview'!CO32</f>
        <v>31115.926472859042</v>
      </c>
      <c r="FD8" s="304">
        <f>'Rev Overview'!CP32</f>
        <v>35617.687698203823</v>
      </c>
      <c r="FE8" s="304">
        <f>'Rev Overview'!CQ32</f>
        <v>33967.374251287059</v>
      </c>
      <c r="FF8" s="304">
        <f>'Rev Overview'!CR32</f>
        <v>37014.075433360435</v>
      </c>
      <c r="FG8" s="305">
        <f>SUM(FC8:FF8)</f>
        <v>137715.06385571035</v>
      </c>
      <c r="FH8" s="304">
        <f>'Rev Overview'!CT32</f>
        <v>34831.269258138069</v>
      </c>
      <c r="FI8" s="304">
        <f>'Rev Overview'!CU32</f>
        <v>39116.018736833961</v>
      </c>
      <c r="FJ8" s="304">
        <f>'Rev Overview'!CV32</f>
        <v>37958.862358815873</v>
      </c>
      <c r="FK8" s="304">
        <f>'Rev Overview'!CW32</f>
        <v>41295.683517201003</v>
      </c>
      <c r="FL8" s="305">
        <f>SUM(FH8:FK8)</f>
        <v>153201.83387098892</v>
      </c>
      <c r="FN8" s="308">
        <f>BD8+BE8+BG8+BH8</f>
        <v>21855</v>
      </c>
      <c r="FO8" s="308">
        <f>BI8+BJ8+BL8+BM8</f>
        <v>23776</v>
      </c>
      <c r="FP8" s="308">
        <f>BN8+BO8+BQ8+BR8</f>
        <v>26847</v>
      </c>
      <c r="FQ8" s="308">
        <f>BS8+BT8+BV8+BW8</f>
        <v>30785</v>
      </c>
      <c r="FR8" s="308">
        <f>BX8+BY8+CA8+CB8</f>
        <v>34268</v>
      </c>
      <c r="FS8" s="308">
        <f>CC8+CD8+CF8+CG8</f>
        <v>38474</v>
      </c>
      <c r="FT8" s="308">
        <f>CH8+CI8+CK8+CL8</f>
        <v>41360</v>
      </c>
      <c r="FU8" s="308">
        <f>CM8+CN8+CP8+CQ8</f>
        <v>46060</v>
      </c>
      <c r="FV8" s="308">
        <f>CR8+CS8+CU8+CV8</f>
        <v>57898</v>
      </c>
      <c r="FW8" s="308">
        <f>CW8+CX8+CZ8+DA8</f>
        <v>61981</v>
      </c>
      <c r="FX8" s="845">
        <f>DB8+DC8+DE8+DF8</f>
        <v>58689</v>
      </c>
      <c r="FY8" s="846">
        <f>DG8+DH8+DJ8+DK8</f>
        <v>66690</v>
      </c>
      <c r="FZ8" s="846">
        <f>SUM(DO8:DP8,DL8:DM8)</f>
        <v>72050.44</v>
      </c>
      <c r="GA8" s="846">
        <f>SUM(DT8:DU8,DQ8:DR8)</f>
        <v>72930</v>
      </c>
      <c r="GB8" s="846">
        <f>SUM(DY8:DZ8,DV8:DW8)</f>
        <v>83433</v>
      </c>
      <c r="GC8" s="846">
        <f>SUM(ED8:EE8,EA8:EB8)</f>
        <v>93130</v>
      </c>
      <c r="GD8" s="846">
        <f>SUM(EI8:EJ8,EF8:EG8)</f>
        <v>90072</v>
      </c>
      <c r="GE8" s="846">
        <f>SUM(EN8:EO8,EK8:EL8)</f>
        <v>92745</v>
      </c>
      <c r="GF8" s="846">
        <f>SUM(ES8:ET8,EP8:EQ8)</f>
        <v>102273</v>
      </c>
      <c r="GG8" s="846">
        <f>SUM(EX8:EY8,EU8:EV8)</f>
        <v>115949.63612456943</v>
      </c>
      <c r="GH8" s="846">
        <f>SUM(FC8:FD8,EZ8:FA8)</f>
        <v>129332.75903797119</v>
      </c>
      <c r="GI8" s="846">
        <f>SUM(FH8:FI8,FE8:FF8)</f>
        <v>144928.73767961952</v>
      </c>
      <c r="GJ8" s="302"/>
      <c r="GK8" s="302"/>
      <c r="GL8" s="302"/>
      <c r="GN8"/>
      <c r="GO8"/>
      <c r="GP8"/>
      <c r="GQ8"/>
      <c r="GR8"/>
      <c r="GS8"/>
    </row>
    <row r="9" spans="1:201" s="154" customFormat="1" ht="11.25" customHeight="1">
      <c r="A9" s="309" t="s">
        <v>111</v>
      </c>
      <c r="B9" s="310"/>
      <c r="C9" s="310"/>
      <c r="D9" s="269"/>
      <c r="E9" s="269"/>
      <c r="F9" s="269"/>
      <c r="G9" s="269"/>
      <c r="H9" s="311"/>
      <c r="I9" s="312">
        <f>I8/D8-1</f>
        <v>0.32859322033898297</v>
      </c>
      <c r="J9" s="312">
        <f t="shared" ref="J9:BU9" si="0">J8/E8-1</f>
        <v>0.43413918296947807</v>
      </c>
      <c r="K9" s="312">
        <f t="shared" si="0"/>
        <v>0.58356342374533043</v>
      </c>
      <c r="L9" s="312">
        <f t="shared" si="0"/>
        <v>0.52941176470588225</v>
      </c>
      <c r="M9" s="313">
        <f t="shared" si="0"/>
        <v>0.47366400548635501</v>
      </c>
      <c r="N9" s="312">
        <f t="shared" si="0"/>
        <v>0.57083870199565401</v>
      </c>
      <c r="O9" s="312">
        <f t="shared" si="0"/>
        <v>0.52990033222591371</v>
      </c>
      <c r="P9" s="312">
        <f t="shared" si="0"/>
        <v>0.56730769230769229</v>
      </c>
      <c r="Q9" s="312">
        <f t="shared" si="0"/>
        <v>0.56213017751479288</v>
      </c>
      <c r="R9" s="313">
        <f t="shared" si="0"/>
        <v>0.55703989593318282</v>
      </c>
      <c r="S9" s="312">
        <f t="shared" si="0"/>
        <v>0.58094206821873318</v>
      </c>
      <c r="T9" s="312">
        <f t="shared" si="0"/>
        <v>0.48968512486427795</v>
      </c>
      <c r="U9" s="312">
        <f t="shared" si="0"/>
        <v>0.40286298568507162</v>
      </c>
      <c r="V9" s="312">
        <f t="shared" si="0"/>
        <v>0.55492424242424243</v>
      </c>
      <c r="W9" s="313">
        <f t="shared" si="0"/>
        <v>0.50360062807948447</v>
      </c>
      <c r="X9" s="312">
        <f t="shared" si="0"/>
        <v>0.41095890410958913</v>
      </c>
      <c r="Y9" s="312">
        <f t="shared" si="0"/>
        <v>0.37755102040816335</v>
      </c>
      <c r="Z9" s="312">
        <f t="shared" si="0"/>
        <v>0.41253644314868798</v>
      </c>
      <c r="AA9" s="312">
        <f t="shared" si="0"/>
        <v>0.27649208282582216</v>
      </c>
      <c r="AB9" s="313">
        <f t="shared" si="0"/>
        <v>0.36334173568599204</v>
      </c>
      <c r="AC9" s="312">
        <f t="shared" si="0"/>
        <v>0.20873786407766981</v>
      </c>
      <c r="AD9" s="312">
        <f t="shared" si="0"/>
        <v>0.21269841269841261</v>
      </c>
      <c r="AE9" s="312">
        <f t="shared" si="0"/>
        <v>0.30134158926728594</v>
      </c>
      <c r="AF9" s="312">
        <f t="shared" si="0"/>
        <v>0.25095419847328237</v>
      </c>
      <c r="AG9" s="313">
        <f t="shared" si="0"/>
        <v>0.24511357633386166</v>
      </c>
      <c r="AH9" s="312">
        <f t="shared" si="0"/>
        <v>0.27510040160642579</v>
      </c>
      <c r="AI9" s="312">
        <f t="shared" si="0"/>
        <v>0.32286212914485168</v>
      </c>
      <c r="AJ9" s="312">
        <f t="shared" si="0"/>
        <v>0.29024583663758929</v>
      </c>
      <c r="AK9" s="312">
        <f t="shared" si="0"/>
        <v>0.26773455377574362</v>
      </c>
      <c r="AL9" s="313">
        <f t="shared" si="0"/>
        <v>0.2887144675434874</v>
      </c>
      <c r="AM9" s="312">
        <f t="shared" si="0"/>
        <v>0.6417322834645669</v>
      </c>
      <c r="AN9" s="312">
        <f t="shared" si="0"/>
        <v>0.50857519788918215</v>
      </c>
      <c r="AO9" s="312">
        <f t="shared" si="0"/>
        <v>0.42040565457897983</v>
      </c>
      <c r="AP9" s="312">
        <f t="shared" si="0"/>
        <v>0.42418772563176899</v>
      </c>
      <c r="AQ9" s="313">
        <f t="shared" si="0"/>
        <v>0.4897119341563787</v>
      </c>
      <c r="AR9" s="312">
        <f t="shared" si="0"/>
        <v>0.1534772182254196</v>
      </c>
      <c r="AS9" s="312">
        <f t="shared" si="0"/>
        <v>0.22780935723655449</v>
      </c>
      <c r="AT9" s="312">
        <f t="shared" si="0"/>
        <v>0.4560796192124621</v>
      </c>
      <c r="AU9" s="312">
        <f t="shared" si="0"/>
        <v>0.41867342627798898</v>
      </c>
      <c r="AV9" s="313">
        <f t="shared" si="0"/>
        <v>0.31889502762430944</v>
      </c>
      <c r="AW9" s="312">
        <f t="shared" si="0"/>
        <v>0.38627858627858624</v>
      </c>
      <c r="AX9" s="312">
        <f t="shared" si="0"/>
        <v>0.35042735042735051</v>
      </c>
      <c r="AY9" s="312">
        <f t="shared" si="0"/>
        <v>0.18395245170876673</v>
      </c>
      <c r="AZ9" s="312">
        <f t="shared" si="0"/>
        <v>0.23645026801667668</v>
      </c>
      <c r="BA9" s="313">
        <f t="shared" si="0"/>
        <v>0.27865281501340489</v>
      </c>
      <c r="BB9" s="312">
        <f t="shared" si="0"/>
        <v>0.25764847030593874</v>
      </c>
      <c r="BC9" s="312">
        <f t="shared" si="0"/>
        <v>0.36998945147679319</v>
      </c>
      <c r="BD9" s="312">
        <f t="shared" si="0"/>
        <v>0.15336345381526106</v>
      </c>
      <c r="BE9" s="312">
        <f t="shared" si="0"/>
        <v>0.38824662813102129</v>
      </c>
      <c r="BF9" s="313">
        <f t="shared" si="0"/>
        <v>0.29386712095400336</v>
      </c>
      <c r="BG9" s="312">
        <f t="shared" si="0"/>
        <v>0.28404483663248281</v>
      </c>
      <c r="BH9" s="312">
        <f t="shared" si="0"/>
        <v>0.17651588065447554</v>
      </c>
      <c r="BI9" s="312">
        <f t="shared" si="0"/>
        <v>0.23090315560391739</v>
      </c>
      <c r="BJ9" s="312">
        <f t="shared" si="0"/>
        <v>6.9396252602358377E-3</v>
      </c>
      <c r="BK9" s="313">
        <f t="shared" si="0"/>
        <v>0.16250569706790907</v>
      </c>
      <c r="BL9" s="312">
        <f t="shared" si="0"/>
        <v>7.0950965824665646E-2</v>
      </c>
      <c r="BM9" s="312">
        <f t="shared" si="0"/>
        <v>7.1662303664921545E-2</v>
      </c>
      <c r="BN9" s="312">
        <f t="shared" si="0"/>
        <v>0.13207213578500698</v>
      </c>
      <c r="BO9" s="312">
        <f t="shared" si="0"/>
        <v>0.13318401102687805</v>
      </c>
      <c r="BP9" s="313">
        <f t="shared" si="0"/>
        <v>0.10193413486670155</v>
      </c>
      <c r="BQ9" s="312">
        <f t="shared" si="0"/>
        <v>6.2434963579604652E-2</v>
      </c>
      <c r="BR9" s="312">
        <f t="shared" si="0"/>
        <v>0.18183206106870231</v>
      </c>
      <c r="BS9" s="312">
        <f t="shared" si="0"/>
        <v>0.13150085897235675</v>
      </c>
      <c r="BT9" s="312">
        <f t="shared" si="0"/>
        <v>0.10278242359738488</v>
      </c>
      <c r="BU9" s="313">
        <f t="shared" si="0"/>
        <v>0.12132352941176472</v>
      </c>
      <c r="BV9" s="312">
        <f t="shared" ref="BV9:CZ9" si="1">BV8/BQ8-1</f>
        <v>0.26444662095984328</v>
      </c>
      <c r="BW9" s="312">
        <f t="shared" si="1"/>
        <v>0.10334582095336531</v>
      </c>
      <c r="BX9" s="312">
        <f t="shared" si="1"/>
        <v>8.1435472739820547E-2</v>
      </c>
      <c r="BY9" s="312">
        <f t="shared" si="1"/>
        <v>0.11195367434165182</v>
      </c>
      <c r="BZ9" s="313">
        <f t="shared" si="1"/>
        <v>0.13474352194606021</v>
      </c>
      <c r="CA9" s="312">
        <f t="shared" si="1"/>
        <v>6.0547379292538173E-2</v>
      </c>
      <c r="CB9" s="312">
        <f t="shared" si="1"/>
        <v>0.18873668188736681</v>
      </c>
      <c r="CC9" s="312">
        <f t="shared" si="1"/>
        <v>0.17102744097000633</v>
      </c>
      <c r="CD9" s="312">
        <f t="shared" si="1"/>
        <v>0.1521388716676999</v>
      </c>
      <c r="CE9" s="313">
        <f t="shared" si="1"/>
        <v>0.14440612669711372</v>
      </c>
      <c r="CF9" s="312">
        <f t="shared" si="1"/>
        <v>0.11856360316494219</v>
      </c>
      <c r="CG9" s="312">
        <f t="shared" si="1"/>
        <v>6.5497882399290885E-2</v>
      </c>
      <c r="CH9" s="312">
        <f t="shared" si="1"/>
        <v>4.8501362397820103E-2</v>
      </c>
      <c r="CI9" s="312">
        <f t="shared" si="1"/>
        <v>9.3521308652604329E-2</v>
      </c>
      <c r="CJ9" s="313">
        <f t="shared" si="1"/>
        <v>8.0168318175648068E-2</v>
      </c>
      <c r="CK9" s="312">
        <f t="shared" si="1"/>
        <v>6.0071825008161994E-2</v>
      </c>
      <c r="CL9" s="312">
        <f t="shared" si="1"/>
        <v>9.4287298946200693E-2</v>
      </c>
      <c r="CM9" s="312">
        <f t="shared" si="1"/>
        <v>0.13316008316008321</v>
      </c>
      <c r="CN9" s="312">
        <f t="shared" si="1"/>
        <v>0.16189351441787236</v>
      </c>
      <c r="CO9" s="313">
        <f t="shared" si="1"/>
        <v>0.11304916055091985</v>
      </c>
      <c r="CP9" s="312">
        <f t="shared" si="1"/>
        <v>0.10984498511446472</v>
      </c>
      <c r="CQ9" s="312">
        <f t="shared" si="1"/>
        <v>5.9469504983949983E-2</v>
      </c>
      <c r="CR9" s="312">
        <f t="shared" si="1"/>
        <v>0.32079625722410787</v>
      </c>
      <c r="CS9" s="312">
        <f t="shared" si="1"/>
        <v>0.13255971539894973</v>
      </c>
      <c r="CT9" s="313">
        <f t="shared" si="1"/>
        <v>0.15436029444971333</v>
      </c>
      <c r="CU9" s="312">
        <f t="shared" si="1"/>
        <v>0.27296272315234482</v>
      </c>
      <c r="CV9" s="312">
        <f t="shared" si="1"/>
        <v>0.3049752830489556</v>
      </c>
      <c r="CW9" s="312">
        <f t="shared" si="1"/>
        <v>3.8894290873732196E-3</v>
      </c>
      <c r="CX9" s="312">
        <f t="shared" si="1"/>
        <v>0.18442898810859321</v>
      </c>
      <c r="CY9" s="313">
        <f t="shared" si="1"/>
        <v>0.18187864324556946</v>
      </c>
      <c r="CZ9" s="312">
        <f t="shared" si="1"/>
        <v>9.4390350239790699E-2</v>
      </c>
      <c r="DA9" s="312">
        <f t="shared" ref="DA9:DI9" si="2">DA8/CV8-1</f>
        <v>1.6007820614651447E-2</v>
      </c>
      <c r="DB9" s="312">
        <f t="shared" si="2"/>
        <v>-5.5763110557631057E-2</v>
      </c>
      <c r="DC9" s="312">
        <f t="shared" si="2"/>
        <v>-0.17288627896697606</v>
      </c>
      <c r="DD9" s="313">
        <f t="shared" si="2"/>
        <v>-3.2820258192651441E-2</v>
      </c>
      <c r="DE9" s="312">
        <f t="shared" si="2"/>
        <v>-0.14215523537613706</v>
      </c>
      <c r="DF9" s="312">
        <f t="shared" si="2"/>
        <v>0.14390522581033127</v>
      </c>
      <c r="DG9" s="312">
        <f t="shared" si="2"/>
        <v>6.2646541617819462E-2</v>
      </c>
      <c r="DH9" s="312">
        <f t="shared" si="2"/>
        <v>0.2244446140926788</v>
      </c>
      <c r="DI9" s="313">
        <f t="shared" si="2"/>
        <v>6.9254068484008391E-2</v>
      </c>
      <c r="DJ9" s="312">
        <f t="shared" ref="DJ9:DS9" si="3">DJ8/DE8-1</f>
        <v>0.25348297213622284</v>
      </c>
      <c r="DK9" s="312">
        <f t="shared" si="3"/>
        <v>4.8943328777205419E-2</v>
      </c>
      <c r="DL9" s="312">
        <f t="shared" si="3"/>
        <v>0.13273115907053712</v>
      </c>
      <c r="DM9" s="312">
        <f t="shared" si="3"/>
        <v>8.2700916515992207E-2</v>
      </c>
      <c r="DN9" s="313">
        <f t="shared" si="3"/>
        <v>0.11934959349593499</v>
      </c>
      <c r="DO9" s="312">
        <f t="shared" si="3"/>
        <v>7.2676752083976615E-2</v>
      </c>
      <c r="DP9" s="312">
        <f t="shared" si="3"/>
        <v>4.6709767954693504E-2</v>
      </c>
      <c r="DQ9" s="312">
        <f t="shared" si="3"/>
        <v>5.9593377160944705E-2</v>
      </c>
      <c r="DR9" s="312">
        <f t="shared" si="3"/>
        <v>3.9939097425691461E-2</v>
      </c>
      <c r="DS9" s="313">
        <f t="shared" si="3"/>
        <v>5.4067517054267045E-2</v>
      </c>
      <c r="DT9" s="312">
        <f t="shared" ref="DT9:EC9" si="4">DT8/DO8-1</f>
        <v>-7.8517154040985471E-2</v>
      </c>
      <c r="DU9" s="312">
        <f t="shared" si="4"/>
        <v>2.7340196313143439E-2</v>
      </c>
      <c r="DV9" s="312">
        <f t="shared" si="4"/>
        <v>0.17705520767507332</v>
      </c>
      <c r="DW9" s="312">
        <f t="shared" si="4"/>
        <v>0.10172213300847233</v>
      </c>
      <c r="DX9" s="313">
        <f t="shared" si="4"/>
        <v>5.5966252051598442E-2</v>
      </c>
      <c r="DY9" s="312">
        <f t="shared" si="4"/>
        <v>0.15748375812093962</v>
      </c>
      <c r="DZ9" s="312">
        <f t="shared" si="4"/>
        <v>0.14275727069351229</v>
      </c>
      <c r="EA9" s="312">
        <f t="shared" si="4"/>
        <v>-4.1973742007906933E-3</v>
      </c>
      <c r="EB9" s="312">
        <f t="shared" si="4"/>
        <v>0.17521109770808208</v>
      </c>
      <c r="EC9" s="313">
        <f t="shared" si="4"/>
        <v>0.11540289534868786</v>
      </c>
      <c r="ED9" s="312">
        <f t="shared" ref="ED9:EU9" si="5">ED8/DY8-1</f>
        <v>0.25214528576825512</v>
      </c>
      <c r="EE9" s="312">
        <f t="shared" si="5"/>
        <v>6.627513356988457E-2</v>
      </c>
      <c r="EF9" s="312">
        <f t="shared" si="5"/>
        <v>6.4990442581973173E-2</v>
      </c>
      <c r="EG9" s="312">
        <f t="shared" si="5"/>
        <v>-5.1407065263878171E-2</v>
      </c>
      <c r="EH9" s="313">
        <f t="shared" si="5"/>
        <v>7.3946541061578053E-2</v>
      </c>
      <c r="EI9" s="312">
        <f t="shared" si="5"/>
        <v>-9.8745743717943202E-2</v>
      </c>
      <c r="EJ9" s="312">
        <f t="shared" si="5"/>
        <v>-3.4080477356181138E-2</v>
      </c>
      <c r="EK9" s="312">
        <f t="shared" si="5"/>
        <v>-9.7565465506925797E-3</v>
      </c>
      <c r="EL9" s="312">
        <f t="shared" si="5"/>
        <v>5.8340847610459878E-2</v>
      </c>
      <c r="EM9" s="313">
        <f t="shared" si="5"/>
        <v>-2.251914127007959E-2</v>
      </c>
      <c r="EN9" s="312">
        <f t="shared" si="5"/>
        <v>4.8684839789574275E-2</v>
      </c>
      <c r="EO9" s="312">
        <f t="shared" si="5"/>
        <v>2.2690373420979792E-2</v>
      </c>
      <c r="EP9" s="312">
        <f t="shared" si="5"/>
        <v>7.8774922154575489E-2</v>
      </c>
      <c r="EQ9" s="312">
        <f t="shared" si="5"/>
        <v>9.0781289937803544E-2</v>
      </c>
      <c r="ER9" s="313">
        <f t="shared" si="5"/>
        <v>5.9426903920837271E-2</v>
      </c>
      <c r="ES9" s="312">
        <f t="shared" si="5"/>
        <v>0.11902590295512594</v>
      </c>
      <c r="ET9" s="312">
        <f t="shared" si="5"/>
        <v>0.11972430883605667</v>
      </c>
      <c r="EU9" s="312">
        <f t="shared" si="5"/>
        <v>0.15539376184732046</v>
      </c>
      <c r="EV9" s="312">
        <f t="shared" ref="EU9:EW9" si="6">EV8/EQ8-1</f>
        <v>0.14022832645732475</v>
      </c>
      <c r="EW9" s="313">
        <f t="shared" si="6"/>
        <v>0.13357577636081008</v>
      </c>
      <c r="EX9" s="312">
        <f t="shared" ref="EX9:FG9" si="7">EX8/ES8-1</f>
        <v>0.13029476349915847</v>
      </c>
      <c r="EY9" s="312">
        <f t="shared" si="7"/>
        <v>0.11349045296657034</v>
      </c>
      <c r="EZ9" s="312">
        <f t="shared" si="7"/>
        <v>0.11700759830550211</v>
      </c>
      <c r="FA9" s="312">
        <f t="shared" si="7"/>
        <v>0.11805128610107318</v>
      </c>
      <c r="FB9" s="313">
        <f t="shared" si="7"/>
        <v>0.11933518955796685</v>
      </c>
      <c r="FC9" s="312">
        <f t="shared" si="7"/>
        <v>0.12189408652631251</v>
      </c>
      <c r="FD9" s="312">
        <f t="shared" si="7"/>
        <v>0.10614222353200553</v>
      </c>
      <c r="FE9" s="312">
        <f t="shared" si="7"/>
        <v>0.13387000992865739</v>
      </c>
      <c r="FF9" s="312">
        <f t="shared" si="7"/>
        <v>0.13393608017798564</v>
      </c>
      <c r="FG9" s="313">
        <f t="shared" si="7"/>
        <v>0.12389051273110741</v>
      </c>
      <c r="FH9" s="312">
        <f t="shared" ref="FH9" si="8">FH8/FC8-1</f>
        <v>0.11940325121026829</v>
      </c>
      <c r="FI9" s="312">
        <f t="shared" ref="FI9" si="9">FI8/FD8-1</f>
        <v>9.8218926177135124E-2</v>
      </c>
      <c r="FJ9" s="312">
        <f t="shared" ref="FJ9" si="10">FJ8/FE8-1</f>
        <v>0.11750946888034997</v>
      </c>
      <c r="FK9" s="312">
        <f t="shared" ref="FK9" si="11">FK8/FF8-1</f>
        <v>0.11567513260054563</v>
      </c>
      <c r="FL9" s="313">
        <f t="shared" ref="FL9" si="12">FL8/FG8-1</f>
        <v>0.112455163448965</v>
      </c>
      <c r="FN9" s="315"/>
      <c r="FO9" s="316">
        <f t="shared" ref="FO9:FU9" si="13">FO8/FN8-1</f>
        <v>8.7897506291466421E-2</v>
      </c>
      <c r="FP9" s="316">
        <f t="shared" si="13"/>
        <v>0.12916386271870794</v>
      </c>
      <c r="FQ9" s="316">
        <f t="shared" si="13"/>
        <v>0.14668305583491636</v>
      </c>
      <c r="FR9" s="316">
        <f t="shared" si="13"/>
        <v>0.11313951599805105</v>
      </c>
      <c r="FS9" s="316">
        <f t="shared" si="13"/>
        <v>0.12273841484767134</v>
      </c>
      <c r="FT9" s="316">
        <f t="shared" si="13"/>
        <v>7.5011696210427914E-2</v>
      </c>
      <c r="FU9" s="316">
        <f t="shared" si="13"/>
        <v>0.11363636363636354</v>
      </c>
      <c r="FV9" s="316">
        <f t="shared" ref="FV9:GA9" si="14">FV8/FU8-1</f>
        <v>0.25701259227095097</v>
      </c>
      <c r="FW9" s="316">
        <f t="shared" si="14"/>
        <v>7.0520570658744619E-2</v>
      </c>
      <c r="FX9" s="847">
        <f t="shared" si="14"/>
        <v>-5.311305077362416E-2</v>
      </c>
      <c r="FY9" s="847">
        <f t="shared" si="14"/>
        <v>0.13632878392884518</v>
      </c>
      <c r="FZ9" s="847">
        <f t="shared" si="14"/>
        <v>8.0378467536362352E-2</v>
      </c>
      <c r="GA9" s="847">
        <f t="shared" si="14"/>
        <v>1.2207559037807458E-2</v>
      </c>
      <c r="GB9" s="847">
        <f t="shared" ref="GB9:GI9" si="15">GB8/GA8-1</f>
        <v>0.14401480872069117</v>
      </c>
      <c r="GC9" s="847">
        <f t="shared" si="15"/>
        <v>0.11622499490609228</v>
      </c>
      <c r="GD9" s="847">
        <f t="shared" si="15"/>
        <v>-3.2835820895522394E-2</v>
      </c>
      <c r="GE9" s="847">
        <f t="shared" si="15"/>
        <v>2.9676258992805682E-2</v>
      </c>
      <c r="GF9" s="847">
        <f t="shared" si="15"/>
        <v>0.10273330098657607</v>
      </c>
      <c r="GG9" s="847">
        <f t="shared" si="15"/>
        <v>0.13372675216889518</v>
      </c>
      <c r="GH9" s="847">
        <f t="shared" si="15"/>
        <v>0.11542186211799521</v>
      </c>
      <c r="GI9" s="847">
        <f t="shared" si="15"/>
        <v>0.12058799918642005</v>
      </c>
      <c r="GJ9" s="363"/>
      <c r="GK9" s="363"/>
      <c r="GL9" s="363"/>
      <c r="GN9"/>
      <c r="GO9"/>
      <c r="GP9"/>
      <c r="GQ9"/>
      <c r="GR9"/>
      <c r="GS9"/>
    </row>
    <row r="10" spans="1:201" s="154" customFormat="1" ht="11.25" customHeight="1">
      <c r="A10" s="309" t="s">
        <v>866</v>
      </c>
      <c r="B10" s="310"/>
      <c r="C10" s="310"/>
      <c r="D10" s="269"/>
      <c r="E10" s="312">
        <f>E8/D8-1</f>
        <v>0.18577401129943505</v>
      </c>
      <c r="F10" s="312">
        <f>F8/E8-1</f>
        <v>-6.1262995397413755E-2</v>
      </c>
      <c r="G10" s="312">
        <f>G8/F8-1</f>
        <v>0.12169075848627586</v>
      </c>
      <c r="H10" s="311"/>
      <c r="I10" s="312">
        <f>I8/G8-1</f>
        <v>6.4076923076923142E-2</v>
      </c>
      <c r="J10" s="312">
        <f>J8/I8-1</f>
        <v>0.27997414537274468</v>
      </c>
      <c r="K10" s="312">
        <f>K8/J8-1</f>
        <v>3.6544850498338777E-2</v>
      </c>
      <c r="L10" s="312">
        <f>L8/K8-1</f>
        <v>8.3333333333333259E-2</v>
      </c>
      <c r="M10" s="313"/>
      <c r="N10" s="312">
        <f>N8/L8-1</f>
        <v>9.2899408284023544E-2</v>
      </c>
      <c r="O10" s="312">
        <f>O8/N8-1</f>
        <v>0.24661613427179208</v>
      </c>
      <c r="P10" s="312">
        <f>P8/O8-1</f>
        <v>6.1889250814332275E-2</v>
      </c>
      <c r="Q10" s="312">
        <f>Q8/P8-1</f>
        <v>7.9754601226993849E-2</v>
      </c>
      <c r="R10" s="313"/>
      <c r="S10" s="312">
        <f>S8/Q8-1</f>
        <v>0.10606060606060597</v>
      </c>
      <c r="T10" s="312">
        <f>T8/S8-1</f>
        <v>0.17465753424657526</v>
      </c>
      <c r="U10" s="312">
        <f>U8/T8-1</f>
        <v>0</v>
      </c>
      <c r="V10" s="312">
        <f>V8/U8-1</f>
        <v>0.19679300291545188</v>
      </c>
      <c r="W10" s="313"/>
      <c r="X10" s="312">
        <f>X8/V8-1</f>
        <v>3.6540803897686658E-3</v>
      </c>
      <c r="Y10" s="312">
        <f>Y8/X8-1</f>
        <v>0.14684466019417486</v>
      </c>
      <c r="Z10" s="312">
        <f>Z8/Y8-1</f>
        <v>2.5396825396825307E-2</v>
      </c>
      <c r="AA10" s="312">
        <f>AA8/Z8-1</f>
        <v>8.1527347781217729E-2</v>
      </c>
      <c r="AB10" s="313"/>
      <c r="AC10" s="312">
        <f>AC8/AA8-1</f>
        <v>-4.961832061068705E-2</v>
      </c>
      <c r="AD10" s="312">
        <f>AD8/AC8-1</f>
        <v>0.15060240963855431</v>
      </c>
      <c r="AE10" s="312">
        <f>AE8/AD8-1</f>
        <v>0.1003490401396161</v>
      </c>
      <c r="AF10" s="312">
        <f>AF8/AE8-1</f>
        <v>3.9651070578905712E-2</v>
      </c>
      <c r="AG10" s="313"/>
      <c r="AH10" s="312">
        <f>AH8/AF8-1</f>
        <v>-3.1273836765827623E-2</v>
      </c>
      <c r="AI10" s="312">
        <f>AI8/AH8-1</f>
        <v>0.19370078740157481</v>
      </c>
      <c r="AJ10" s="312">
        <f>AJ8/AI8-1</f>
        <v>7.3218997361477633E-2</v>
      </c>
      <c r="AK10" s="312">
        <f>AK8/AJ8-1</f>
        <v>2.1511985248924503E-2</v>
      </c>
      <c r="AL10" s="313"/>
      <c r="AM10" s="312">
        <f>AM8/AK8-1</f>
        <v>0.25451263537906144</v>
      </c>
      <c r="AN10" s="312">
        <f>AN8/AM8-1</f>
        <v>9.6882494004796094E-2</v>
      </c>
      <c r="AO10" s="312">
        <f>AO8/AN8-1</f>
        <v>1.0494097070397945E-2</v>
      </c>
      <c r="AP10" s="312">
        <f>AP8/AO8-1</f>
        <v>2.4231934227607166E-2</v>
      </c>
      <c r="AQ10" s="313"/>
      <c r="AR10" s="312">
        <f>AR8/AP8-1</f>
        <v>1.6054076890578806E-2</v>
      </c>
      <c r="AS10" s="312">
        <f>AS8/AR8-1</f>
        <v>0.16756756756756763</v>
      </c>
      <c r="AT10" s="312">
        <f>AT8/AS8-1</f>
        <v>0.1983618233618234</v>
      </c>
      <c r="AU10" s="312">
        <f>AU8/AT8-1</f>
        <v>-2.080237741456159E-3</v>
      </c>
      <c r="AV10" s="313"/>
      <c r="AW10" s="312">
        <f>AW8/AU8-1</f>
        <v>-7.1471113758189153E-3</v>
      </c>
      <c r="AX10" s="312">
        <f>AX8/AW8-1</f>
        <v>0.13737252549490098</v>
      </c>
      <c r="AY10" s="312">
        <f>AY8/AX8-1</f>
        <v>5.0632911392405111E-2</v>
      </c>
      <c r="AZ10" s="312">
        <f>AZ8/AY8-1</f>
        <v>4.2168674698795261E-2</v>
      </c>
      <c r="BA10" s="313"/>
      <c r="BB10" s="312">
        <f>BB8/AZ8-1</f>
        <v>9.8747591522156952E-3</v>
      </c>
      <c r="BC10" s="312">
        <f>BC8/BB8-1</f>
        <v>0.23896971142380163</v>
      </c>
      <c r="BD10" s="312">
        <f>BD8/BC8-1</f>
        <v>-0.11549566891241581</v>
      </c>
      <c r="BE10" s="312">
        <f>BE8/BD8-1</f>
        <v>0.25440696409140373</v>
      </c>
      <c r="BF10" s="313"/>
      <c r="BG10" s="312">
        <f>BG8/BE8-1</f>
        <v>-6.5926439972241457E-2</v>
      </c>
      <c r="BH10" s="312">
        <f>BH8/BG8-1</f>
        <v>0.13521545319465078</v>
      </c>
      <c r="BI10" s="312">
        <f>BI8/BH8-1</f>
        <v>-7.4607329842931946E-2</v>
      </c>
      <c r="BJ10" s="312">
        <f>BJ8/BI8-1</f>
        <v>2.6166902404526127E-2</v>
      </c>
      <c r="BK10" s="313"/>
      <c r="BL10" s="312">
        <f>BL8/BJ8-1</f>
        <v>-6.5472088215023927E-3</v>
      </c>
      <c r="BM10" s="312">
        <f>BM8/BL8-1</f>
        <v>0.13596947624002764</v>
      </c>
      <c r="BN10" s="312">
        <f>BN8/BM8-1</f>
        <v>-2.2442748091603071E-2</v>
      </c>
      <c r="BO10" s="312">
        <f>BO8/BN8-1</f>
        <v>2.7174761830391914E-2</v>
      </c>
      <c r="BP10" s="313"/>
      <c r="BQ10" s="312">
        <f>BQ8/BO8-1</f>
        <v>-6.8572297400030457E-2</v>
      </c>
      <c r="BR10" s="312">
        <f>BR8/BQ8-1</f>
        <v>0.26363042768527589</v>
      </c>
      <c r="BS10" s="312">
        <f>BS8/BR8-1</f>
        <v>-6.4074408991086407E-2</v>
      </c>
      <c r="BT10" s="312">
        <f>BT8/BS8-1</f>
        <v>1.1042097998619216E-3</v>
      </c>
      <c r="BU10" s="313"/>
      <c r="BV10" s="312">
        <f>BV8/BT8-1</f>
        <v>6.7971873707431518E-2</v>
      </c>
      <c r="BW10" s="312">
        <f>BW8/BV8-1</f>
        <v>0.10263361735089083</v>
      </c>
      <c r="BX10" s="312">
        <f>BX8/BW8-1</f>
        <v>-8.2660110057370284E-2</v>
      </c>
      <c r="BY10" s="312">
        <f>BY8/BX8-1</f>
        <v>2.9355456285896642E-2</v>
      </c>
      <c r="BZ10" s="313"/>
      <c r="CA10" s="312">
        <f>CA8/BY8-1</f>
        <v>1.8598884066955979E-2</v>
      </c>
      <c r="CB10" s="312">
        <f>CB8/CA8-1</f>
        <v>0.23590992087644547</v>
      </c>
      <c r="CC10" s="312">
        <f>CC8/CB8-1</f>
        <v>-9.6326209002265295E-2</v>
      </c>
      <c r="CD10" s="312">
        <f>CD8/CC8-1</f>
        <v>1.2752043596730323E-2</v>
      </c>
      <c r="CE10" s="313"/>
      <c r="CF10" s="312">
        <f>CF8/CD8-1</f>
        <v>-1.1084804132587167E-2</v>
      </c>
      <c r="CG10" s="312">
        <f>CG8/CF8-1</f>
        <v>0.17727717923604303</v>
      </c>
      <c r="CH10" s="312">
        <f>CH8/CG8-1</f>
        <v>-0.11074135699759657</v>
      </c>
      <c r="CI10" s="312">
        <f>CI8/CH8-1</f>
        <v>5.6237006237006337E-2</v>
      </c>
      <c r="CJ10" s="313"/>
      <c r="CK10" s="312">
        <f>CK8/CI8-1</f>
        <v>-4.1334514319456783E-2</v>
      </c>
      <c r="CL10" s="312">
        <f>CL8/CK8-1</f>
        <v>0.2152756390514321</v>
      </c>
      <c r="CM10" s="312">
        <f>CM8/CL8-1</f>
        <v>-7.9151883764149389E-2</v>
      </c>
      <c r="CN10" s="312">
        <f>CN8/CM8-1</f>
        <v>8.3019906430602752E-2</v>
      </c>
      <c r="CO10" s="313"/>
      <c r="CP10" s="312">
        <f>CP8/CN8-1</f>
        <v>-8.4279180077926452E-2</v>
      </c>
      <c r="CQ10" s="312">
        <f>CQ8/CP8-1</f>
        <v>0.16011469799278522</v>
      </c>
      <c r="CR10" s="312">
        <f>CR8/CQ8-1</f>
        <v>0.14798277786636893</v>
      </c>
      <c r="CS10" s="312">
        <f>CS8/CR8-1</f>
        <v>-7.1329351298791477E-2</v>
      </c>
      <c r="CT10" s="313"/>
      <c r="CU10" s="312">
        <f>CU8/CS8-1</f>
        <v>2.9242390247550709E-2</v>
      </c>
      <c r="CV10" s="312">
        <f>CV8/CU8-1</f>
        <v>0.18928934747856418</v>
      </c>
      <c r="CW10" s="312">
        <f>CW8/CV8-1</f>
        <v>-0.11688152990774114</v>
      </c>
      <c r="CX10" s="312">
        <f>CX8/CW8-1</f>
        <v>9.5682855956828572E-2</v>
      </c>
      <c r="CY10" s="313"/>
      <c r="CZ10" s="312">
        <f>CZ8/CX8-1</f>
        <v>-4.8999179137462878E-2</v>
      </c>
      <c r="DA10" s="312">
        <f>DA8/CZ8-1</f>
        <v>0.10410995285837599</v>
      </c>
      <c r="DB10" s="312">
        <f>DB8/DA8-1</f>
        <v>-0.17926513921462506</v>
      </c>
      <c r="DC10" s="312">
        <f>DC8/DB8-1</f>
        <v>-4.0225674091441954E-2</v>
      </c>
      <c r="DD10" s="313"/>
      <c r="DE10" s="312">
        <f>DE8/DC8-1</f>
        <v>-1.3665165279792335E-2</v>
      </c>
      <c r="DF10" s="312">
        <f>DF8/DE8-1</f>
        <v>0.47229102167182657</v>
      </c>
      <c r="DG10" s="312">
        <f>DG8/DF8-1</f>
        <v>-0.23756702765219218</v>
      </c>
      <c r="DH10" s="312">
        <f>DH8/DG8-1</f>
        <v>0.10590912225056881</v>
      </c>
      <c r="DI10" s="313"/>
      <c r="DJ10" s="312">
        <f>DJ8/DH8-1</f>
        <v>9.7262921628531451E-3</v>
      </c>
      <c r="DK10" s="312">
        <f>DK8/DJ8-1</f>
        <v>0.23204692806421745</v>
      </c>
      <c r="DL10" s="312">
        <f>DL8/DK8-1</f>
        <v>-0.17666516313336345</v>
      </c>
      <c r="DM10" s="312">
        <f>DM8/DL8-1</f>
        <v>5.7063550036522859E-2</v>
      </c>
      <c r="DN10" s="313"/>
      <c r="DO10" s="312">
        <f>DO8/DM8-1</f>
        <v>3.7776180735993314E-4</v>
      </c>
      <c r="DP10" s="312">
        <f>DP8/DO8-1</f>
        <v>0.20222196638268475</v>
      </c>
      <c r="DQ10" s="312">
        <f>DQ8/DP8-1</f>
        <v>-0.16653100311228153</v>
      </c>
      <c r="DR10" s="312">
        <f>DR8/DQ8-1</f>
        <v>3.7456195783305501E-2</v>
      </c>
      <c r="DS10" s="313"/>
      <c r="DT10" s="312">
        <f>DT8/DR8-1</f>
        <v>-0.11357218007641623</v>
      </c>
      <c r="DU10" s="312">
        <f>DU8/DT8-1</f>
        <v>0.34032983508245884</v>
      </c>
      <c r="DV10" s="312">
        <f>DV8/DU8-1</f>
        <v>-4.5068978374347535E-2</v>
      </c>
      <c r="DW10" s="312">
        <f>DW8/DV8-1</f>
        <v>-2.8942359314754307E-2</v>
      </c>
      <c r="DX10" s="313"/>
      <c r="DY10" s="312">
        <f>DY8/DW8-1</f>
        <v>-6.8707277844792913E-2</v>
      </c>
      <c r="DZ10" s="312">
        <f>DZ8/DY8-1</f>
        <v>0.32327702520373469</v>
      </c>
      <c r="EA10" s="312">
        <f>EA8/DZ8-1</f>
        <v>-0.16786981524531996</v>
      </c>
      <c r="EB10" s="312">
        <f>EB8/EA8-1</f>
        <v>0.14600794000882233</v>
      </c>
      <c r="EC10" s="313"/>
      <c r="ED10" s="312">
        <f>ED8/EB8-1</f>
        <v>-7.7409973483876238E-3</v>
      </c>
      <c r="EE10" s="312">
        <f>EE8/ED8-1</f>
        <v>0.12684798069048742</v>
      </c>
      <c r="EF10" s="312">
        <f>EF8/EE8-1</f>
        <v>-0.16887239902080786</v>
      </c>
      <c r="EG10" s="312">
        <f>EG8/EF8-1</f>
        <v>2.0755672143218717E-2</v>
      </c>
      <c r="EH10" s="313"/>
      <c r="EI10" s="312">
        <f>EI8/EG8-1</f>
        <v>-5.7258791704238088E-2</v>
      </c>
      <c r="EJ10" s="312">
        <f>EJ8/EI8-1</f>
        <v>0.2076996652319465</v>
      </c>
      <c r="EK10" s="312">
        <f>EK8/EJ8-1</f>
        <v>-0.14794281867500891</v>
      </c>
      <c r="EL10" s="312">
        <f>EL8/EK8-1</f>
        <v>9.0951340800297542E-2</v>
      </c>
      <c r="EM10" s="313"/>
      <c r="EN10" s="312">
        <f>EN8/EL8-1</f>
        <v>-6.5860100536764055E-2</v>
      </c>
      <c r="EO10" s="312">
        <f>EO8/EN8-1</f>
        <v>0.1777635899306822</v>
      </c>
      <c r="EP10" s="312">
        <f>EP8/EO8-1</f>
        <v>-0.1012158290095253</v>
      </c>
      <c r="EQ10" s="312">
        <f>EQ8/EP8-1</f>
        <v>0.10309322764087536</v>
      </c>
      <c r="ER10" s="313"/>
      <c r="ES10" s="312">
        <f>ES8/EQ8-1</f>
        <v>-4.1671548525678559E-2</v>
      </c>
      <c r="ET10" s="312">
        <f>ET8/ES8-1</f>
        <v>0.17849865514711882</v>
      </c>
      <c r="EU10" s="312">
        <f>EU8/ET8-1</f>
        <v>-7.2584549415588895E-2</v>
      </c>
      <c r="EV10" s="312">
        <f>EV8/EU8-1</f>
        <v>8.8614277152011534E-2</v>
      </c>
      <c r="EW10" s="313"/>
      <c r="EX10" s="312">
        <f>EX8/EV8-1</f>
        <v>-5.0020416718507543E-2</v>
      </c>
      <c r="EY10" s="312">
        <f>EY8/EX8-1</f>
        <v>0.16097768804821699</v>
      </c>
      <c r="EZ10" s="312">
        <f>EZ8/EY8-1</f>
        <v>-6.9655153011168869E-2</v>
      </c>
      <c r="FA10" s="312">
        <f>FA8/EZ8-1</f>
        <v>8.9631435349387889E-2</v>
      </c>
      <c r="FB10" s="313"/>
      <c r="FC10" s="312">
        <f>FC8/FA8-1</f>
        <v>-4.6755287478029484E-2</v>
      </c>
      <c r="FD10" s="312">
        <f>FD8/FC8-1</f>
        <v>0.14467707491439974</v>
      </c>
      <c r="FE10" s="312">
        <f>FE8/FD8-1</f>
        <v>-4.6334098409200997E-2</v>
      </c>
      <c r="FF10" s="312">
        <f>FF8/FE8-1</f>
        <v>8.9694927830870963E-2</v>
      </c>
      <c r="FG10" s="313"/>
      <c r="FH10" s="312">
        <f>FH8/FF8-1</f>
        <v>-5.8972327409670289E-2</v>
      </c>
      <c r="FI10" s="312">
        <f>FI8/FH8-1</f>
        <v>0.1230144513810616</v>
      </c>
      <c r="FJ10" s="312">
        <f>FJ8/FI8-1</f>
        <v>-2.9582672659077103E-2</v>
      </c>
      <c r="FK10" s="312">
        <f>FK8/FJ8-1</f>
        <v>8.7906247738485321E-2</v>
      </c>
      <c r="FL10" s="313"/>
      <c r="FN10" s="315"/>
      <c r="FO10" s="315"/>
      <c r="FP10" s="315"/>
      <c r="FQ10" s="315"/>
      <c r="FR10" s="315"/>
      <c r="FS10" s="315"/>
      <c r="FT10" s="315"/>
      <c r="FU10" s="315"/>
      <c r="FV10" s="315"/>
      <c r="FW10" s="315"/>
      <c r="FX10" s="848"/>
      <c r="FY10" s="849"/>
      <c r="FZ10" s="849"/>
      <c r="GA10" s="849"/>
      <c r="GB10" s="849"/>
      <c r="GC10" s="849"/>
      <c r="GD10" s="849"/>
      <c r="GE10" s="849"/>
      <c r="GF10" s="849"/>
      <c r="GG10" s="849"/>
      <c r="GH10" s="849"/>
      <c r="GI10" s="849"/>
      <c r="GJ10" s="310"/>
      <c r="GK10" s="310"/>
      <c r="GL10" s="310"/>
      <c r="GN10"/>
      <c r="GO10"/>
      <c r="GP10"/>
      <c r="GQ10"/>
      <c r="GR10"/>
      <c r="GS10"/>
    </row>
    <row r="11" spans="1:201" s="321" customFormat="1" ht="11.25" hidden="1" customHeight="1" outlineLevel="1">
      <c r="A11" s="317" t="s">
        <v>91</v>
      </c>
      <c r="B11" s="318"/>
      <c r="C11" s="318"/>
      <c r="D11" s="319"/>
      <c r="E11" s="319"/>
      <c r="F11" s="319"/>
      <c r="G11" s="319"/>
      <c r="H11" s="320"/>
      <c r="I11" s="319"/>
      <c r="J11" s="319"/>
      <c r="K11" s="319"/>
      <c r="L11" s="319"/>
      <c r="M11" s="320"/>
      <c r="N11" s="319"/>
      <c r="O11" s="319"/>
      <c r="P11" s="319"/>
      <c r="Q11" s="319"/>
      <c r="R11" s="320"/>
      <c r="S11" s="319"/>
      <c r="T11" s="319"/>
      <c r="U11" s="319"/>
      <c r="V11" s="319"/>
      <c r="W11" s="320"/>
      <c r="X11" s="319"/>
      <c r="Y11" s="319"/>
      <c r="Z11" s="319"/>
      <c r="AA11" s="319"/>
      <c r="AB11" s="320"/>
      <c r="AC11" s="319"/>
      <c r="AD11" s="319"/>
      <c r="AE11" s="319"/>
      <c r="AF11" s="319"/>
      <c r="AG11" s="320"/>
      <c r="AH11" s="319"/>
      <c r="AI11" s="319"/>
      <c r="AJ11" s="319"/>
      <c r="AK11" s="319"/>
      <c r="AL11" s="320"/>
      <c r="AM11" s="319"/>
      <c r="AN11" s="319"/>
      <c r="AO11" s="319"/>
      <c r="AP11" s="319"/>
      <c r="AQ11" s="320"/>
      <c r="AR11" s="319"/>
      <c r="AS11" s="319"/>
      <c r="AT11" s="319"/>
      <c r="AU11" s="319"/>
      <c r="AV11" s="320"/>
      <c r="AW11" s="319"/>
      <c r="AX11" s="319"/>
      <c r="AY11" s="319"/>
      <c r="AZ11" s="319"/>
      <c r="BA11" s="320"/>
      <c r="BB11" s="319"/>
      <c r="BC11" s="319"/>
      <c r="BD11" s="319"/>
      <c r="BE11" s="319"/>
      <c r="BF11" s="320"/>
      <c r="BG11" s="319"/>
      <c r="BH11" s="319"/>
      <c r="BI11" s="319"/>
      <c r="BJ11" s="319"/>
      <c r="BK11" s="320"/>
      <c r="BL11" s="319"/>
      <c r="BM11" s="319"/>
      <c r="BN11" s="319"/>
      <c r="BO11" s="319"/>
      <c r="BP11" s="320"/>
      <c r="BQ11" s="319"/>
      <c r="BR11" s="319"/>
      <c r="BS11" s="319"/>
      <c r="BT11" s="319"/>
      <c r="BU11" s="320"/>
      <c r="BV11" s="319"/>
      <c r="BW11" s="319"/>
      <c r="BX11" s="319"/>
      <c r="BY11" s="319"/>
      <c r="BZ11" s="320"/>
      <c r="CA11" s="319">
        <f>'Rev Overview'!M210</f>
        <v>2809</v>
      </c>
      <c r="CB11" s="319">
        <f>'Rev Overview'!N210</f>
        <v>3059</v>
      </c>
      <c r="CC11" s="319">
        <f>'Rev Overview'!O210</f>
        <v>2923</v>
      </c>
      <c r="CD11" s="319">
        <f>'Rev Overview'!P210</f>
        <v>2755</v>
      </c>
      <c r="CE11" s="320">
        <f>'Rev Overview'!Q210</f>
        <v>11546</v>
      </c>
      <c r="CF11" s="319">
        <f>'Rev Overview'!R210</f>
        <v>2980</v>
      </c>
      <c r="CG11" s="319">
        <f>'Rev Overview'!S210</f>
        <v>3193</v>
      </c>
      <c r="CH11" s="319">
        <f>'Rev Overview'!T210</f>
        <v>2964</v>
      </c>
      <c r="CI11" s="319">
        <f>'Rev Overview'!U210</f>
        <v>3014</v>
      </c>
      <c r="CJ11" s="320">
        <f>'Rev Overview'!V210</f>
        <v>12151</v>
      </c>
      <c r="CK11" s="319">
        <f>'Rev Overview'!W210</f>
        <v>3161</v>
      </c>
      <c r="CL11" s="319">
        <f>'Rev Overview'!X210</f>
        <v>3430</v>
      </c>
      <c r="CM11" s="319">
        <f>'Rev Overview'!Y210</f>
        <v>3152</v>
      </c>
      <c r="CN11" s="319">
        <f>'Rev Overview'!Z210</f>
        <v>3347</v>
      </c>
      <c r="CO11" s="320">
        <f>'Rev Overview'!AA210</f>
        <v>13090</v>
      </c>
      <c r="CP11" s="319">
        <f>'Rev Overview'!AB210</f>
        <v>3303</v>
      </c>
      <c r="CQ11" s="319">
        <f>'Rev Overview'!AC210</f>
        <v>2589</v>
      </c>
      <c r="CR11" s="319">
        <f>'Rev Overview'!AD210</f>
        <v>5272</v>
      </c>
      <c r="CS11" s="319">
        <f>'Rev Overview'!AE210</f>
        <v>3808</v>
      </c>
      <c r="CT11" s="320">
        <f>'Rev Overview'!AF210</f>
        <v>14972</v>
      </c>
      <c r="CU11" s="319">
        <f>'Rev Overview'!AG210</f>
        <v>4138</v>
      </c>
      <c r="CV11" s="319">
        <f>'Rev Overview'!AH210</f>
        <v>4334</v>
      </c>
      <c r="CW11" s="319">
        <f>'Rev Overview'!AI210</f>
        <v>4025</v>
      </c>
      <c r="CX11" s="319">
        <f>'Rev Overview'!AJ210</f>
        <v>4367</v>
      </c>
      <c r="CY11" s="320">
        <f>'Rev Overview'!AK210</f>
        <v>16864</v>
      </c>
      <c r="CZ11" s="319">
        <f>'Rev Overview'!AL210</f>
        <v>4283</v>
      </c>
      <c r="DA11" s="319">
        <f>'Rev Overview'!AM210</f>
        <v>4074</v>
      </c>
      <c r="DB11" s="319">
        <f>'Rev Overview'!AN210</f>
        <v>3448</v>
      </c>
      <c r="DC11" s="319">
        <f>'Rev Overview'!AO210</f>
        <v>3169</v>
      </c>
      <c r="DD11" s="320">
        <f>'Rev Overview'!AP210</f>
        <v>14974</v>
      </c>
      <c r="DE11" s="319">
        <f>'Rev Overview'!AQ210</f>
        <v>2880</v>
      </c>
      <c r="DF11" s="319">
        <f>'Rev Overview'!AR210</f>
        <v>7193</v>
      </c>
      <c r="DG11" s="319">
        <f>'Rev Overview'!AS210</f>
        <v>4661</v>
      </c>
      <c r="DH11" s="319">
        <f>'Rev Overview'!AT210</f>
        <v>4775</v>
      </c>
      <c r="DI11" s="320">
        <f>'Rev Overview'!AU210</f>
        <v>19509</v>
      </c>
      <c r="DJ11" s="319">
        <f>'Rev Overview'!AV210</f>
        <v>4787</v>
      </c>
      <c r="DK11" s="319">
        <f>'Rev Overview'!AW210</f>
        <v>5056</v>
      </c>
      <c r="DL11" s="319">
        <f>'Rev Overview'!AX210</f>
        <v>4447</v>
      </c>
      <c r="DM11" s="319">
        <f>'Rev Overview'!AY210</f>
        <v>4743</v>
      </c>
      <c r="DN11" s="320">
        <f>'Rev Overview'!AZ210</f>
        <v>19033</v>
      </c>
      <c r="DO11" s="319">
        <f>'Rev Overview'!BA210</f>
        <v>4874</v>
      </c>
      <c r="DP11" s="319">
        <f>'Rev Overview'!BB210</f>
        <v>4741</v>
      </c>
      <c r="DQ11" s="319">
        <f>'Rev Overview'!BC210</f>
        <v>4633</v>
      </c>
      <c r="DR11" s="319">
        <f>'Rev Overview'!BD210</f>
        <v>4152</v>
      </c>
      <c r="DS11" s="320">
        <f>'Rev Overview'!BE210</f>
        <v>18400</v>
      </c>
      <c r="DT11" s="319">
        <f>'Rev Overview'!BF210</f>
        <v>3244</v>
      </c>
      <c r="DU11" s="319">
        <f>'Rev Overview'!BG210</f>
        <v>5881</v>
      </c>
      <c r="DV11" s="319">
        <f>'Rev Overview'!BH210</f>
        <v>5703</v>
      </c>
      <c r="DW11" s="319">
        <f>'Rev Overview'!BI210</f>
        <v>4411</v>
      </c>
      <c r="DX11" s="320">
        <f>SUM(DT11:DW11)</f>
        <v>19239</v>
      </c>
      <c r="DY11" s="319">
        <f>'Rev Overview'!BK210</f>
        <v>4581</v>
      </c>
      <c r="DZ11" s="319">
        <f>'Rev Overview'!BL210</f>
        <v>5935.1158683515723</v>
      </c>
      <c r="EA11" s="319">
        <f>'Rev Overview'!BM210</f>
        <v>5353.4145115957735</v>
      </c>
      <c r="EB11" s="319"/>
      <c r="EC11" s="320"/>
      <c r="ED11" s="319"/>
      <c r="EE11" s="319"/>
      <c r="EF11" s="319"/>
      <c r="EG11" s="319"/>
      <c r="EH11" s="320"/>
      <c r="EI11" s="2694"/>
      <c r="EJ11" s="2694"/>
      <c r="EK11" s="2694"/>
      <c r="EL11" s="2694"/>
      <c r="EM11" s="2695"/>
      <c r="EN11" s="2694"/>
      <c r="EO11" s="2694"/>
      <c r="EP11" s="2694"/>
      <c r="EQ11" s="2694"/>
      <c r="ER11" s="2695"/>
      <c r="ES11" s="2694"/>
      <c r="ET11" s="2694"/>
      <c r="EU11" s="2694"/>
      <c r="EV11" s="319"/>
      <c r="EW11" s="320"/>
      <c r="EX11" s="319"/>
      <c r="EY11" s="319"/>
      <c r="EZ11" s="319"/>
      <c r="FA11" s="319"/>
      <c r="FB11" s="320"/>
      <c r="FC11" s="319"/>
      <c r="FD11" s="319"/>
      <c r="FE11" s="319"/>
      <c r="FF11" s="319"/>
      <c r="FG11" s="320"/>
      <c r="FH11" s="319"/>
      <c r="FI11" s="319"/>
      <c r="FJ11" s="319"/>
      <c r="FK11" s="319"/>
      <c r="FL11" s="320"/>
      <c r="FN11" s="322"/>
      <c r="FO11" s="322"/>
      <c r="FP11" s="322"/>
      <c r="FQ11" s="322"/>
      <c r="FR11" s="322"/>
      <c r="FS11" s="322">
        <f>CC11+CD11+CF11+CG11</f>
        <v>11851</v>
      </c>
      <c r="FT11" s="322">
        <f>+SUM(CH11:CL11)</f>
        <v>24720</v>
      </c>
      <c r="FU11" s="322">
        <f>+SUM(CM11:CQ11)</f>
        <v>25481</v>
      </c>
      <c r="FV11" s="322">
        <f>SUM(CR11:CV11)</f>
        <v>32524</v>
      </c>
      <c r="FW11" s="322">
        <f>CW11+CX11+CZ11+DA11</f>
        <v>16749</v>
      </c>
      <c r="FX11" s="850">
        <f>DB11+DC11+DE11+DF11</f>
        <v>16690</v>
      </c>
      <c r="FY11" s="851">
        <f>DG11+DH11+DJ11+DK11</f>
        <v>19279</v>
      </c>
      <c r="FZ11" s="851">
        <f>SUM(DO11:DP11,DL11:DM11)</f>
        <v>18805</v>
      </c>
      <c r="GA11" s="851">
        <f>SUM(DT11:DU11,DQ11:DR11)</f>
        <v>17910</v>
      </c>
      <c r="GB11" s="851">
        <f>SUM(DY11:DZ11,DV11:DW11)</f>
        <v>20630.115868351571</v>
      </c>
      <c r="GC11" s="851">
        <f t="shared" ref="GC11:GC18" si="16">SUM(ED11:EE11,EA11:EB11)</f>
        <v>5353.4145115957735</v>
      </c>
      <c r="GD11" s="851">
        <f>SUM(EI11:EJ11,EF11:EG11)</f>
        <v>0</v>
      </c>
      <c r="GE11" s="851">
        <f>SUM(EN11:EO11,EK11:EL11)</f>
        <v>0</v>
      </c>
      <c r="GF11" s="851">
        <f t="shared" ref="GF11:GF18" si="17">SUM(ES11:ET11,EP11:EQ11)</f>
        <v>0</v>
      </c>
      <c r="GG11" s="851">
        <f t="shared" ref="GG11:GG18" si="18">SUM(EX11:EY11,EU11:EV11)</f>
        <v>0</v>
      </c>
      <c r="GH11" s="851">
        <f t="shared" ref="GH11:GH18" si="19">SUM(FC11:FD11,EZ11:FA11)</f>
        <v>0</v>
      </c>
      <c r="GI11" s="851">
        <f t="shared" ref="GI11:GI18" si="20">SUM(FH11:FI11,FE11:FF11)</f>
        <v>0</v>
      </c>
      <c r="GJ11" s="318"/>
      <c r="GK11" s="318"/>
      <c r="GL11" s="318"/>
      <c r="GN11"/>
      <c r="GO11"/>
      <c r="GP11"/>
      <c r="GQ11"/>
      <c r="GR11"/>
      <c r="GS11"/>
    </row>
    <row r="12" spans="1:201" s="321" customFormat="1" ht="11.25" hidden="1" customHeight="1" outlineLevel="1">
      <c r="A12" s="317" t="s">
        <v>742</v>
      </c>
      <c r="B12" s="318"/>
      <c r="C12" s="318"/>
      <c r="D12" s="319"/>
      <c r="E12" s="319"/>
      <c r="F12" s="319"/>
      <c r="G12" s="319"/>
      <c r="H12" s="320"/>
      <c r="I12" s="319"/>
      <c r="J12" s="319"/>
      <c r="K12" s="319"/>
      <c r="L12" s="319"/>
      <c r="M12" s="320"/>
      <c r="N12" s="319"/>
      <c r="O12" s="319"/>
      <c r="P12" s="319"/>
      <c r="Q12" s="319"/>
      <c r="R12" s="320"/>
      <c r="S12" s="319"/>
      <c r="T12" s="319"/>
      <c r="U12" s="319"/>
      <c r="V12" s="319"/>
      <c r="W12" s="320"/>
      <c r="X12" s="319"/>
      <c r="Y12" s="319"/>
      <c r="Z12" s="319"/>
      <c r="AA12" s="319"/>
      <c r="AB12" s="320"/>
      <c r="AC12" s="319"/>
      <c r="AD12" s="319"/>
      <c r="AE12" s="319"/>
      <c r="AF12" s="319"/>
      <c r="AG12" s="320"/>
      <c r="AH12" s="319"/>
      <c r="AI12" s="319"/>
      <c r="AJ12" s="319"/>
      <c r="AK12" s="319"/>
      <c r="AL12" s="320"/>
      <c r="AM12" s="319"/>
      <c r="AN12" s="319"/>
      <c r="AO12" s="319"/>
      <c r="AP12" s="319"/>
      <c r="AQ12" s="320"/>
      <c r="AR12" s="319"/>
      <c r="AS12" s="319"/>
      <c r="AT12" s="319"/>
      <c r="AU12" s="319"/>
      <c r="AV12" s="320"/>
      <c r="AW12" s="319"/>
      <c r="AX12" s="319"/>
      <c r="AY12" s="319"/>
      <c r="AZ12" s="319"/>
      <c r="BA12" s="320"/>
      <c r="BB12" s="319"/>
      <c r="BC12" s="319"/>
      <c r="BD12" s="319"/>
      <c r="BE12" s="319"/>
      <c r="BF12" s="320"/>
      <c r="BG12" s="319"/>
      <c r="BH12" s="319"/>
      <c r="BI12" s="319"/>
      <c r="BJ12" s="319"/>
      <c r="BK12" s="320"/>
      <c r="BL12" s="319"/>
      <c r="BM12" s="319"/>
      <c r="BN12" s="319"/>
      <c r="BO12" s="319"/>
      <c r="BP12" s="320"/>
      <c r="BQ12" s="319"/>
      <c r="BR12" s="319"/>
      <c r="BS12" s="319"/>
      <c r="BT12" s="319"/>
      <c r="BU12" s="320"/>
      <c r="BV12" s="319"/>
      <c r="BW12" s="319"/>
      <c r="BX12" s="319"/>
      <c r="BY12" s="319"/>
      <c r="BZ12" s="320"/>
      <c r="CA12" s="319">
        <f>'Rev Overview'!M224</f>
        <v>1579.2</v>
      </c>
      <c r="CB12" s="319">
        <f>'Rev Overview'!N224</f>
        <v>1802.64</v>
      </c>
      <c r="CC12" s="319">
        <f>'Rev Overview'!O224</f>
        <v>1840.44</v>
      </c>
      <c r="CD12" s="319">
        <f>'Rev Overview'!P224</f>
        <v>1949.64</v>
      </c>
      <c r="CE12" s="320">
        <f>'Rev Overview'!Q224</f>
        <v>7171.920000000001</v>
      </c>
      <c r="CF12" s="319">
        <f>'Rev Overview'!R224</f>
        <v>1906</v>
      </c>
      <c r="CG12" s="319">
        <f>'Rev Overview'!S224</f>
        <v>2161</v>
      </c>
      <c r="CH12" s="319">
        <f>'Rev Overview'!T224</f>
        <v>2058</v>
      </c>
      <c r="CI12" s="319">
        <f>'Rev Overview'!U224</f>
        <v>2245</v>
      </c>
      <c r="CJ12" s="320">
        <f>'Rev Overview'!V224</f>
        <v>8370</v>
      </c>
      <c r="CK12" s="319">
        <f>'Rev Overview'!W224</f>
        <v>2127</v>
      </c>
      <c r="CL12" s="319">
        <f>'Rev Overview'!X224</f>
        <v>2438</v>
      </c>
      <c r="CM12" s="319">
        <f>'Rev Overview'!Y224</f>
        <v>2398</v>
      </c>
      <c r="CN12" s="319">
        <f>'Rev Overview'!Z224</f>
        <v>2690</v>
      </c>
      <c r="CO12" s="320">
        <f>'Rev Overview'!AA224</f>
        <v>9653</v>
      </c>
      <c r="CP12" s="319">
        <f>'Rev Overview'!AB224</f>
        <v>2499</v>
      </c>
      <c r="CQ12" s="319">
        <f>'Rev Overview'!AC224</f>
        <v>2845</v>
      </c>
      <c r="CR12" s="319">
        <f>'Rev Overview'!AD224</f>
        <v>2749</v>
      </c>
      <c r="CS12" s="319">
        <f>'Rev Overview'!AE224</f>
        <v>3082</v>
      </c>
      <c r="CT12" s="320">
        <f>'Rev Overview'!AF224</f>
        <v>11175</v>
      </c>
      <c r="CU12" s="319">
        <f>'Rev Overview'!AG224</f>
        <v>2900</v>
      </c>
      <c r="CV12" s="319">
        <f>'Rev Overview'!AH224</f>
        <v>3261</v>
      </c>
      <c r="CW12" s="319">
        <f>'Rev Overview'!AI224</f>
        <v>3255</v>
      </c>
      <c r="CX12" s="319">
        <f>'Rev Overview'!AJ224</f>
        <v>3737</v>
      </c>
      <c r="CY12" s="320">
        <f>'Rev Overview'!AK224</f>
        <v>13153</v>
      </c>
      <c r="CZ12" s="319">
        <f>'Rev Overview'!AL224</f>
        <v>3417</v>
      </c>
      <c r="DA12" s="319">
        <f>'Rev Overview'!AM224</f>
        <v>3755</v>
      </c>
      <c r="DB12" s="319">
        <f>'Rev Overview'!AN224</f>
        <v>3491</v>
      </c>
      <c r="DC12" s="319">
        <f>'Rev Overview'!AO224</f>
        <v>3528</v>
      </c>
      <c r="DD12" s="320">
        <f>'Rev Overview'!AP224</f>
        <v>14191</v>
      </c>
      <c r="DE12" s="319">
        <f>'Rev Overview'!AQ224</f>
        <v>3550</v>
      </c>
      <c r="DF12" s="319">
        <f>'Rev Overview'!AR224</f>
        <v>3978</v>
      </c>
      <c r="DG12" s="319">
        <f>'Rev Overview'!AS224</f>
        <v>3706</v>
      </c>
      <c r="DH12" s="319">
        <f>'Rev Overview'!AT224</f>
        <v>4149</v>
      </c>
      <c r="DI12" s="320">
        <f>'Rev Overview'!AU224</f>
        <v>15383</v>
      </c>
      <c r="DJ12" s="319">
        <f>'Rev Overview'!AV224</f>
        <v>3861</v>
      </c>
      <c r="DK12" s="319">
        <f>'Rev Overview'!AW224</f>
        <v>4288</v>
      </c>
      <c r="DL12" s="319">
        <f>'Rev Overview'!AX224</f>
        <v>4007</v>
      </c>
      <c r="DM12" s="319">
        <f>'Rev Overview'!AY224</f>
        <v>4524</v>
      </c>
      <c r="DN12" s="320">
        <f>'Rev Overview'!AZ224</f>
        <v>16680</v>
      </c>
      <c r="DO12" s="319">
        <f>'Rev Overview'!BA224</f>
        <v>4216</v>
      </c>
      <c r="DP12" s="319">
        <f>'Rev Overview'!BB224</f>
        <v>4737</v>
      </c>
      <c r="DQ12" s="319">
        <f>'Rev Overview'!BC224</f>
        <v>4531</v>
      </c>
      <c r="DR12" s="319">
        <f>'Rev Overview'!BD224</f>
        <v>5050</v>
      </c>
      <c r="DS12" s="320">
        <f>'Rev Overview'!BE224</f>
        <v>18534</v>
      </c>
      <c r="DT12" s="319">
        <f>'Rev Overview'!BF224</f>
        <v>4553</v>
      </c>
      <c r="DU12" s="319">
        <f>'Rev Overview'!BG224</f>
        <v>5186</v>
      </c>
      <c r="DV12" s="319">
        <f>'Rev Overview'!BH224</f>
        <v>5039</v>
      </c>
      <c r="DW12" s="319">
        <f>'Rev Overview'!BI224</f>
        <v>5502</v>
      </c>
      <c r="DX12" s="320">
        <f>SUM(DT12:DW12)</f>
        <v>20280</v>
      </c>
      <c r="DY12" s="319">
        <f>'Rev Overview'!BK224</f>
        <v>5052</v>
      </c>
      <c r="DZ12" s="319">
        <f>'Rev Overview'!BL224</f>
        <v>5652.7400000000007</v>
      </c>
      <c r="EA12" s="319">
        <f>'Rev Overview'!BM224</f>
        <v>5492.51</v>
      </c>
      <c r="EB12" s="319"/>
      <c r="EC12" s="320"/>
      <c r="ED12" s="319"/>
      <c r="EE12" s="319"/>
      <c r="EF12" s="319"/>
      <c r="EG12" s="319"/>
      <c r="EH12" s="320"/>
      <c r="EI12" s="2694"/>
      <c r="EJ12" s="2694"/>
      <c r="EK12" s="2694"/>
      <c r="EL12" s="2694"/>
      <c r="EM12" s="2695"/>
      <c r="EN12" s="2694"/>
      <c r="EO12" s="2694"/>
      <c r="EP12" s="2694"/>
      <c r="EQ12" s="2694"/>
      <c r="ER12" s="2695"/>
      <c r="ES12" s="2694"/>
      <c r="ET12" s="2694"/>
      <c r="EU12" s="2694"/>
      <c r="EV12" s="319"/>
      <c r="EW12" s="320"/>
      <c r="EX12" s="319"/>
      <c r="EY12" s="319"/>
      <c r="EZ12" s="319"/>
      <c r="FA12" s="319"/>
      <c r="FB12" s="320"/>
      <c r="FC12" s="319"/>
      <c r="FD12" s="319"/>
      <c r="FE12" s="319"/>
      <c r="FF12" s="319"/>
      <c r="FG12" s="320"/>
      <c r="FH12" s="319"/>
      <c r="FI12" s="319"/>
      <c r="FJ12" s="319"/>
      <c r="FK12" s="319"/>
      <c r="FL12" s="320"/>
      <c r="FN12" s="322"/>
      <c r="FO12" s="322"/>
      <c r="FP12" s="322"/>
      <c r="FQ12" s="322"/>
      <c r="FR12" s="322"/>
      <c r="FS12" s="322">
        <f>CC12+CD12+CF12+CG12</f>
        <v>7857.08</v>
      </c>
      <c r="FT12" s="322">
        <f>+SUM(CH12:CL12)</f>
        <v>17238</v>
      </c>
      <c r="FU12" s="322">
        <f>+SUM(CM12:CQ12)</f>
        <v>20085</v>
      </c>
      <c r="FV12" s="322">
        <f>SUM(CR12:CV12)</f>
        <v>23167</v>
      </c>
      <c r="FW12" s="322">
        <f>CW12+CX12+CZ12+DA12</f>
        <v>14164</v>
      </c>
      <c r="FX12" s="850">
        <f>DB12+DC12+DE12+DF12</f>
        <v>14547</v>
      </c>
      <c r="FY12" s="851">
        <f>DG12+DH12+DJ12+DK12</f>
        <v>16004</v>
      </c>
      <c r="FZ12" s="851">
        <f>SUM(DO12:DP12,DL12:DM12)</f>
        <v>17484</v>
      </c>
      <c r="GA12" s="851">
        <f>SUM(DT12:DU12,DQ12:DR12)</f>
        <v>19320</v>
      </c>
      <c r="GB12" s="851">
        <f>SUM(DY12:DZ12,DV12:DW12)</f>
        <v>21245.74</v>
      </c>
      <c r="GC12" s="851">
        <f t="shared" si="16"/>
        <v>5492.51</v>
      </c>
      <c r="GD12" s="851">
        <f>SUM(EI12:EJ12,EF12:EG12)</f>
        <v>0</v>
      </c>
      <c r="GE12" s="851">
        <f>SUM(EN12:EO12,EK12:EL12)</f>
        <v>0</v>
      </c>
      <c r="GF12" s="851">
        <f t="shared" si="17"/>
        <v>0</v>
      </c>
      <c r="GG12" s="851">
        <f t="shared" si="18"/>
        <v>0</v>
      </c>
      <c r="GH12" s="851">
        <f t="shared" si="19"/>
        <v>0</v>
      </c>
      <c r="GI12" s="851">
        <f t="shared" si="20"/>
        <v>0</v>
      </c>
      <c r="GJ12" s="318"/>
      <c r="GK12" s="318"/>
      <c r="GL12" s="318"/>
      <c r="GN12"/>
      <c r="GO12"/>
      <c r="GP12"/>
      <c r="GQ12"/>
      <c r="GR12"/>
      <c r="GS12"/>
    </row>
    <row r="13" spans="1:201" s="321" customFormat="1" ht="11.25" hidden="1" customHeight="1" outlineLevel="1">
      <c r="A13" s="317" t="s">
        <v>707</v>
      </c>
      <c r="B13" s="318"/>
      <c r="C13" s="318"/>
      <c r="D13" s="319"/>
      <c r="E13" s="319"/>
      <c r="F13" s="319"/>
      <c r="G13" s="319"/>
      <c r="H13" s="320"/>
      <c r="I13" s="319"/>
      <c r="J13" s="319"/>
      <c r="K13" s="319"/>
      <c r="L13" s="319"/>
      <c r="M13" s="320"/>
      <c r="N13" s="319"/>
      <c r="O13" s="319"/>
      <c r="P13" s="319"/>
      <c r="Q13" s="319"/>
      <c r="R13" s="320"/>
      <c r="S13" s="319"/>
      <c r="T13" s="319"/>
      <c r="U13" s="319"/>
      <c r="V13" s="319"/>
      <c r="W13" s="320"/>
      <c r="X13" s="319"/>
      <c r="Y13" s="319"/>
      <c r="Z13" s="319"/>
      <c r="AA13" s="319"/>
      <c r="AB13" s="320"/>
      <c r="AC13" s="319"/>
      <c r="AD13" s="319"/>
      <c r="AE13" s="319"/>
      <c r="AF13" s="319"/>
      <c r="AG13" s="320"/>
      <c r="AH13" s="319"/>
      <c r="AI13" s="319"/>
      <c r="AJ13" s="319"/>
      <c r="AK13" s="319"/>
      <c r="AL13" s="320"/>
      <c r="AM13" s="319"/>
      <c r="AN13" s="319"/>
      <c r="AO13" s="319"/>
      <c r="AP13" s="319"/>
      <c r="AQ13" s="320"/>
      <c r="AR13" s="319"/>
      <c r="AS13" s="319"/>
      <c r="AT13" s="319"/>
      <c r="AU13" s="319"/>
      <c r="AV13" s="320"/>
      <c r="AW13" s="319"/>
      <c r="AX13" s="319"/>
      <c r="AY13" s="319"/>
      <c r="AZ13" s="319"/>
      <c r="BA13" s="320"/>
      <c r="BB13" s="319"/>
      <c r="BC13" s="319"/>
      <c r="BD13" s="319"/>
      <c r="BE13" s="319"/>
      <c r="BF13" s="320"/>
      <c r="BG13" s="319"/>
      <c r="BH13" s="319"/>
      <c r="BI13" s="319"/>
      <c r="BJ13" s="319"/>
      <c r="BK13" s="320"/>
      <c r="BL13" s="319"/>
      <c r="BM13" s="319"/>
      <c r="BN13" s="319"/>
      <c r="BO13" s="319"/>
      <c r="BP13" s="320"/>
      <c r="BQ13" s="319"/>
      <c r="BR13" s="319"/>
      <c r="BS13" s="319"/>
      <c r="BT13" s="319"/>
      <c r="BU13" s="320"/>
      <c r="BV13" s="319"/>
      <c r="BW13" s="319"/>
      <c r="BX13" s="319"/>
      <c r="BY13" s="319"/>
      <c r="BZ13" s="320"/>
      <c r="CA13" s="319">
        <f>'Rev Overview'!M244</f>
        <v>491</v>
      </c>
      <c r="CB13" s="319">
        <f>'Rev Overview'!N244</f>
        <v>546</v>
      </c>
      <c r="CC13" s="319">
        <f>'Rev Overview'!O244</f>
        <v>591</v>
      </c>
      <c r="CD13" s="319">
        <f>'Rev Overview'!P244</f>
        <v>588</v>
      </c>
      <c r="CE13" s="320">
        <f>'Rev Overview'!Q244</f>
        <v>2216</v>
      </c>
      <c r="CF13" s="319">
        <f>'Rev Overview'!R244</f>
        <v>559</v>
      </c>
      <c r="CG13" s="319">
        <f>'Rev Overview'!S244</f>
        <v>606</v>
      </c>
      <c r="CH13" s="319">
        <f>'Rev Overview'!T244</f>
        <v>581</v>
      </c>
      <c r="CI13" s="319">
        <f>'Rev Overview'!U244</f>
        <v>598</v>
      </c>
      <c r="CJ13" s="320">
        <f>'Rev Overview'!V244</f>
        <v>2344</v>
      </c>
      <c r="CK13" s="319">
        <f>'Rev Overview'!W244</f>
        <v>564</v>
      </c>
      <c r="CL13" s="319">
        <f>'Rev Overview'!X244</f>
        <v>594</v>
      </c>
      <c r="CM13" s="319">
        <f>'Rev Overview'!Y244</f>
        <v>561</v>
      </c>
      <c r="CN13" s="319">
        <f>'Rev Overview'!Z244</f>
        <v>580</v>
      </c>
      <c r="CO13" s="320">
        <f>'Rev Overview'!AA244</f>
        <v>2299</v>
      </c>
      <c r="CP13" s="319">
        <f>'Rev Overview'!AB244</f>
        <v>539</v>
      </c>
      <c r="CQ13" s="319">
        <f>'Rev Overview'!AC244</f>
        <v>624</v>
      </c>
      <c r="CR13" s="319">
        <f>'Rev Overview'!AD244</f>
        <v>623</v>
      </c>
      <c r="CS13" s="319">
        <f>'Rev Overview'!AE244</f>
        <v>688</v>
      </c>
      <c r="CT13" s="320">
        <f>'Rev Overview'!AF244</f>
        <v>2474</v>
      </c>
      <c r="CU13" s="319">
        <f>'Rev Overview'!AG244</f>
        <v>671</v>
      </c>
      <c r="CV13" s="319">
        <f>'Rev Overview'!AH244</f>
        <v>863</v>
      </c>
      <c r="CW13" s="319">
        <f>'Rev Overview'!AI244</f>
        <v>843</v>
      </c>
      <c r="CX13" s="319">
        <f>'Rev Overview'!AJ244</f>
        <v>838</v>
      </c>
      <c r="CY13" s="320">
        <f>'Rev Overview'!AK244</f>
        <v>3215</v>
      </c>
      <c r="CZ13" s="319">
        <f>'Rev Overview'!AL244</f>
        <v>514</v>
      </c>
      <c r="DA13" s="319">
        <f>'Rev Overview'!AM244</f>
        <v>599</v>
      </c>
      <c r="DB13" s="319">
        <f>'Rev Overview'!AN244</f>
        <v>507</v>
      </c>
      <c r="DC13" s="319">
        <f>'Rev Overview'!AO244</f>
        <v>501</v>
      </c>
      <c r="DD13" s="320">
        <f>'Rev Overview'!AP244</f>
        <v>2121</v>
      </c>
      <c r="DE13" s="319">
        <f>'Rev Overview'!AQ244</f>
        <v>487</v>
      </c>
      <c r="DF13" s="319">
        <f>'Rev Overview'!AR244</f>
        <v>579</v>
      </c>
      <c r="DG13" s="319">
        <f>'Rev Overview'!AS244</f>
        <v>566</v>
      </c>
      <c r="DH13" s="319">
        <f>'Rev Overview'!AT244</f>
        <v>568</v>
      </c>
      <c r="DI13" s="320">
        <f>'Rev Overview'!AU244</f>
        <v>2200</v>
      </c>
      <c r="DJ13" s="319">
        <f>'Rev Overview'!AV244</f>
        <v>547</v>
      </c>
      <c r="DK13" s="319">
        <f>'Rev Overview'!AW244</f>
        <v>713</v>
      </c>
      <c r="DL13" s="319">
        <f>'Rev Overview'!AX244</f>
        <v>667</v>
      </c>
      <c r="DM13" s="319">
        <f>'Rev Overview'!AY244</f>
        <v>680</v>
      </c>
      <c r="DN13" s="320">
        <f>'Rev Overview'!AZ244</f>
        <v>2607</v>
      </c>
      <c r="DO13" s="319">
        <f>'Rev Overview'!BA244</f>
        <v>641</v>
      </c>
      <c r="DP13" s="319">
        <f>'Rev Overview'!BB244</f>
        <v>784</v>
      </c>
      <c r="DQ13" s="319">
        <f>'Rev Overview'!BC244</f>
        <v>707</v>
      </c>
      <c r="DR13" s="319">
        <f>'Rev Overview'!BD244</f>
        <v>735</v>
      </c>
      <c r="DS13" s="320">
        <f>'Rev Overview'!BE244</f>
        <v>2867</v>
      </c>
      <c r="DT13" s="319">
        <f>'Rev Overview'!BF244</f>
        <v>697</v>
      </c>
      <c r="DU13" s="319">
        <f>'Rev Overview'!BG244</f>
        <v>869</v>
      </c>
      <c r="DV13" s="319">
        <f>'Rev Overview'!BH244</f>
        <v>832</v>
      </c>
      <c r="DW13" s="319">
        <f>'Rev Overview'!BI244</f>
        <v>804</v>
      </c>
      <c r="DX13" s="320">
        <f>SUM(DT13:DW13)</f>
        <v>3202</v>
      </c>
      <c r="DY13" s="319">
        <f>'Rev Overview'!BK244</f>
        <v>872</v>
      </c>
      <c r="DZ13" s="319">
        <f>'Rev Overview'!BL244</f>
        <v>955.90000000000009</v>
      </c>
      <c r="EA13" s="319">
        <f>'Rev Overview'!BM244</f>
        <v>915.2</v>
      </c>
      <c r="EB13" s="319"/>
      <c r="EC13" s="320"/>
      <c r="ED13" s="319"/>
      <c r="EE13" s="319"/>
      <c r="EF13" s="319"/>
      <c r="EG13" s="319"/>
      <c r="EH13" s="320"/>
      <c r="EI13" s="2694"/>
      <c r="EJ13" s="2694"/>
      <c r="EK13" s="2694"/>
      <c r="EL13" s="2694"/>
      <c r="EM13" s="2695"/>
      <c r="EN13" s="2694"/>
      <c r="EO13" s="2694"/>
      <c r="EP13" s="2694"/>
      <c r="EQ13" s="2694"/>
      <c r="ER13" s="2696"/>
      <c r="ES13" s="2694"/>
      <c r="ET13" s="2694"/>
      <c r="EU13" s="2694"/>
      <c r="EV13" s="319"/>
      <c r="EW13" s="320"/>
      <c r="EX13" s="319"/>
      <c r="EY13" s="319"/>
      <c r="EZ13" s="319"/>
      <c r="FA13" s="319"/>
      <c r="FB13" s="320"/>
      <c r="FC13" s="319"/>
      <c r="FD13" s="319"/>
      <c r="FE13" s="319"/>
      <c r="FF13" s="319"/>
      <c r="FG13" s="320"/>
      <c r="FH13" s="319"/>
      <c r="FI13" s="319"/>
      <c r="FJ13" s="319"/>
      <c r="FK13" s="319"/>
      <c r="FL13" s="320"/>
      <c r="FN13" s="322"/>
      <c r="FO13" s="322"/>
      <c r="FP13" s="322"/>
      <c r="FQ13" s="322"/>
      <c r="FR13" s="322"/>
      <c r="FS13" s="322">
        <f>CC13+CD13+CF13+CG13</f>
        <v>2344</v>
      </c>
      <c r="FT13" s="322">
        <f>+SUM(CH13:CL13)</f>
        <v>4681</v>
      </c>
      <c r="FU13" s="322">
        <f>+SUM(CM13:CQ13)</f>
        <v>4603</v>
      </c>
      <c r="FV13" s="322">
        <f>SUM(CR13:CV13)</f>
        <v>5319</v>
      </c>
      <c r="FW13" s="322">
        <f>CW13+CX13+CZ13+DA13</f>
        <v>2794</v>
      </c>
      <c r="FX13" s="850">
        <f>DB13+DC13+DE13+DF13</f>
        <v>2074</v>
      </c>
      <c r="FY13" s="851">
        <f>DG13+DH13+DJ13+DK13</f>
        <v>2394</v>
      </c>
      <c r="FZ13" s="851">
        <f>SUM(DO13:DP13,DL13:DM13)</f>
        <v>2772</v>
      </c>
      <c r="GA13" s="851">
        <f>SUM(DT13:DU13,DQ13:DR13)</f>
        <v>3008</v>
      </c>
      <c r="GB13" s="851">
        <f>SUM(DY13:DZ13,DV13:DW13)</f>
        <v>3463.9</v>
      </c>
      <c r="GC13" s="851">
        <f t="shared" si="16"/>
        <v>915.2</v>
      </c>
      <c r="GD13" s="851">
        <f>SUM(EI13:EJ13,EF13:EG13)</f>
        <v>0</v>
      </c>
      <c r="GE13" s="851">
        <f>SUM(EN13:EO13,EK13:EL13)</f>
        <v>0</v>
      </c>
      <c r="GF13" s="851">
        <f t="shared" si="17"/>
        <v>0</v>
      </c>
      <c r="GG13" s="851">
        <f t="shared" si="18"/>
        <v>0</v>
      </c>
      <c r="GH13" s="851">
        <f t="shared" si="19"/>
        <v>0</v>
      </c>
      <c r="GI13" s="851">
        <f t="shared" si="20"/>
        <v>0</v>
      </c>
      <c r="GJ13" s="318"/>
      <c r="GK13" s="318"/>
      <c r="GL13" s="318"/>
      <c r="GN13"/>
      <c r="GO13"/>
      <c r="GP13"/>
      <c r="GQ13"/>
      <c r="GR13"/>
      <c r="GS13"/>
    </row>
    <row r="14" spans="1:201" s="321" customFormat="1" ht="11.25" hidden="1" customHeight="1" outlineLevel="1">
      <c r="A14" s="317" t="s">
        <v>708</v>
      </c>
      <c r="B14" s="318"/>
      <c r="C14" s="318"/>
      <c r="D14" s="319"/>
      <c r="E14" s="319"/>
      <c r="F14" s="319"/>
      <c r="G14" s="319"/>
      <c r="H14" s="320"/>
      <c r="I14" s="319"/>
      <c r="J14" s="319"/>
      <c r="K14" s="319"/>
      <c r="L14" s="319"/>
      <c r="M14" s="320"/>
      <c r="N14" s="319"/>
      <c r="O14" s="319"/>
      <c r="P14" s="319"/>
      <c r="Q14" s="319"/>
      <c r="R14" s="320"/>
      <c r="S14" s="319"/>
      <c r="T14" s="319"/>
      <c r="U14" s="319"/>
      <c r="V14" s="319"/>
      <c r="W14" s="320"/>
      <c r="X14" s="319"/>
      <c r="Y14" s="319"/>
      <c r="Z14" s="319"/>
      <c r="AA14" s="319"/>
      <c r="AB14" s="320"/>
      <c r="AC14" s="319"/>
      <c r="AD14" s="319"/>
      <c r="AE14" s="319"/>
      <c r="AF14" s="319"/>
      <c r="AG14" s="320"/>
      <c r="AH14" s="319"/>
      <c r="AI14" s="319"/>
      <c r="AJ14" s="319"/>
      <c r="AK14" s="319"/>
      <c r="AL14" s="320"/>
      <c r="AM14" s="319"/>
      <c r="AN14" s="319"/>
      <c r="AO14" s="319"/>
      <c r="AP14" s="319"/>
      <c r="AQ14" s="320"/>
      <c r="AR14" s="319"/>
      <c r="AS14" s="319"/>
      <c r="AT14" s="319"/>
      <c r="AU14" s="319"/>
      <c r="AV14" s="320"/>
      <c r="AW14" s="319"/>
      <c r="AX14" s="319"/>
      <c r="AY14" s="319"/>
      <c r="AZ14" s="319"/>
      <c r="BA14" s="320"/>
      <c r="BB14" s="319"/>
      <c r="BC14" s="319"/>
      <c r="BD14" s="319"/>
      <c r="BE14" s="319"/>
      <c r="BF14" s="320"/>
      <c r="BG14" s="319"/>
      <c r="BH14" s="319"/>
      <c r="BI14" s="319"/>
      <c r="BJ14" s="319"/>
      <c r="BK14" s="320"/>
      <c r="BL14" s="319"/>
      <c r="BM14" s="319"/>
      <c r="BN14" s="319"/>
      <c r="BO14" s="319"/>
      <c r="BP14" s="320"/>
      <c r="BQ14" s="319"/>
      <c r="BR14" s="319"/>
      <c r="BS14" s="319"/>
      <c r="BT14" s="319"/>
      <c r="BU14" s="320"/>
      <c r="BV14" s="319"/>
      <c r="BW14" s="319"/>
      <c r="BX14" s="319"/>
      <c r="BY14" s="319"/>
      <c r="BZ14" s="320"/>
      <c r="CA14" s="319">
        <f>'Rev Overview'!M253</f>
        <v>2701.8</v>
      </c>
      <c r="CB14" s="319">
        <f>'Rev Overview'!N253</f>
        <v>3415.36</v>
      </c>
      <c r="CC14" s="319">
        <f>'Rev Overview'!O253</f>
        <v>3229.56</v>
      </c>
      <c r="CD14" s="319">
        <f>'Rev Overview'!P253</f>
        <v>3431.36</v>
      </c>
      <c r="CE14" s="320">
        <f>'Rev Overview'!Q253</f>
        <v>12778.08</v>
      </c>
      <c r="CF14" s="319">
        <f>'Rev Overview'!R253</f>
        <v>3086</v>
      </c>
      <c r="CG14" s="319">
        <f>'Rev Overview'!S253</f>
        <v>3413</v>
      </c>
      <c r="CH14" s="319">
        <f>'Rev Overview'!T253</f>
        <v>3384</v>
      </c>
      <c r="CI14" s="319">
        <f>'Rev Overview'!U253</f>
        <v>3637</v>
      </c>
      <c r="CJ14" s="320">
        <f>'Rev Overview'!V253</f>
        <v>13520</v>
      </c>
      <c r="CK14" s="319">
        <f>'Rev Overview'!W253</f>
        <v>3283</v>
      </c>
      <c r="CL14" s="319">
        <f>'Rev Overview'!X253</f>
        <v>3689</v>
      </c>
      <c r="CM14" s="319">
        <f>'Rev Overview'!Y253</f>
        <v>3608</v>
      </c>
      <c r="CN14" s="319">
        <f>'Rev Overview'!Z253</f>
        <v>3908</v>
      </c>
      <c r="CO14" s="320">
        <f>'Rev Overview'!AA253</f>
        <v>14488</v>
      </c>
      <c r="CP14" s="319">
        <f>'Rev Overview'!AB253</f>
        <v>3425</v>
      </c>
      <c r="CQ14" s="319">
        <f>'Rev Overview'!AC253</f>
        <v>3512</v>
      </c>
      <c r="CR14" s="319">
        <f>'Rev Overview'!AD253</f>
        <v>4829</v>
      </c>
      <c r="CS14" s="319">
        <f>'Rev Overview'!AE253</f>
        <v>4633</v>
      </c>
      <c r="CT14" s="320">
        <f>'Rev Overview'!AF253</f>
        <v>16399</v>
      </c>
      <c r="CU14" s="319">
        <f>'Rev Overview'!AG253</f>
        <v>4111</v>
      </c>
      <c r="CV14" s="319">
        <f>'Rev Overview'!AH253</f>
        <v>4815</v>
      </c>
      <c r="CW14" s="319">
        <f>'Rev Overview'!AI253</f>
        <v>4745</v>
      </c>
      <c r="CX14" s="319">
        <f>'Rev Overview'!AJ253</f>
        <v>5263</v>
      </c>
      <c r="CY14" s="320">
        <f>'Rev Overview'!AK253</f>
        <v>18934</v>
      </c>
      <c r="CZ14" s="319">
        <f>'Rev Overview'!AL253</f>
        <v>4954</v>
      </c>
      <c r="DA14" s="319">
        <f>'Rev Overview'!AM253</f>
        <v>4881</v>
      </c>
      <c r="DB14" s="319">
        <f>'Rev Overview'!AN253</f>
        <v>4508</v>
      </c>
      <c r="DC14" s="319">
        <f>'Rev Overview'!AO253</f>
        <v>4567</v>
      </c>
      <c r="DD14" s="320">
        <f>'Rev Overview'!AP253</f>
        <v>18910</v>
      </c>
      <c r="DE14" s="319">
        <f>'Rev Overview'!AQ253</f>
        <v>4514</v>
      </c>
      <c r="DF14" s="319">
        <f>'Rev Overview'!AR253</f>
        <v>4864</v>
      </c>
      <c r="DG14" s="319">
        <f>'Rev Overview'!AS253</f>
        <v>4343</v>
      </c>
      <c r="DH14" s="319">
        <f>'Rev Overview'!AT253</f>
        <v>5372</v>
      </c>
      <c r="DI14" s="320">
        <f>'Rev Overview'!AU253</f>
        <v>19093</v>
      </c>
      <c r="DJ14" s="319">
        <f>'Rev Overview'!AV253</f>
        <v>5202</v>
      </c>
      <c r="DK14" s="319">
        <f>'Rev Overview'!AW253</f>
        <v>6110</v>
      </c>
      <c r="DL14" s="319">
        <f>'Rev Overview'!AX253</f>
        <v>5329</v>
      </c>
      <c r="DM14" s="319">
        <f>'Rev Overview'!AY253</f>
        <v>5873</v>
      </c>
      <c r="DN14" s="320">
        <f>'Rev Overview'!AZ253</f>
        <v>22514</v>
      </c>
      <c r="DO14" s="319">
        <f>'Rev Overview'!BA253</f>
        <v>5635</v>
      </c>
      <c r="DP14" s="319">
        <f>'Rev Overview'!BB253</f>
        <v>6310</v>
      </c>
      <c r="DQ14" s="319">
        <f>'Rev Overview'!BC253</f>
        <v>5842</v>
      </c>
      <c r="DR14" s="319">
        <f>'Rev Overview'!BD253</f>
        <v>6324</v>
      </c>
      <c r="DS14" s="320">
        <f>'Rev Overview'!BE253</f>
        <v>24111</v>
      </c>
      <c r="DT14" s="319">
        <f>'Rev Overview'!BF253</f>
        <v>5501</v>
      </c>
      <c r="DU14" s="319">
        <f>'Rev Overview'!BG253</f>
        <v>5691</v>
      </c>
      <c r="DV14" s="319">
        <f>'Rev Overview'!BH253</f>
        <v>6319</v>
      </c>
      <c r="DW14" s="319">
        <f>'Rev Overview'!BI253</f>
        <v>7213</v>
      </c>
      <c r="DX14" s="320">
        <f>SUM(DT14:DW14)</f>
        <v>24724</v>
      </c>
      <c r="DY14" s="319">
        <f>'Rev Overview'!BK253</f>
        <v>5991</v>
      </c>
      <c r="DZ14" s="319">
        <f>'Rev Overview'!BL253</f>
        <v>6683.6042500000003</v>
      </c>
      <c r="EA14" s="319">
        <f>'Rev Overview'!BM253</f>
        <v>6355.7250000000004</v>
      </c>
      <c r="EB14" s="319"/>
      <c r="EC14" s="320"/>
      <c r="ED14" s="319"/>
      <c r="EE14" s="319"/>
      <c r="EF14" s="319"/>
      <c r="EG14" s="319"/>
      <c r="EH14" s="320"/>
      <c r="EI14" s="2694"/>
      <c r="EJ14" s="2694"/>
      <c r="EK14" s="2694"/>
      <c r="EL14" s="2694"/>
      <c r="EM14" s="2695"/>
      <c r="EN14" s="2694"/>
      <c r="EO14" s="2694"/>
      <c r="EP14" s="2694"/>
      <c r="EQ14" s="2694"/>
      <c r="ER14" s="2695"/>
      <c r="ES14" s="2694"/>
      <c r="ET14" s="2694"/>
      <c r="EU14" s="2694"/>
      <c r="EV14" s="319"/>
      <c r="EW14" s="320"/>
      <c r="EX14" s="319"/>
      <c r="EY14" s="319"/>
      <c r="EZ14" s="319"/>
      <c r="FA14" s="319"/>
      <c r="FB14" s="320"/>
      <c r="FC14" s="319"/>
      <c r="FD14" s="319"/>
      <c r="FE14" s="319"/>
      <c r="FF14" s="319"/>
      <c r="FG14" s="320"/>
      <c r="FH14" s="319"/>
      <c r="FI14" s="319"/>
      <c r="FJ14" s="319"/>
      <c r="FK14" s="319"/>
      <c r="FL14" s="320"/>
      <c r="FN14" s="322"/>
      <c r="FO14" s="322"/>
      <c r="FP14" s="322"/>
      <c r="FQ14" s="322"/>
      <c r="FR14" s="322"/>
      <c r="FS14" s="322">
        <f>CC14+CD14+CF14+CG14</f>
        <v>13159.92</v>
      </c>
      <c r="FT14" s="322">
        <f>+SUM(CH14:CL14)</f>
        <v>27513</v>
      </c>
      <c r="FU14" s="322">
        <f>+SUM(CM14:CQ14)</f>
        <v>28941</v>
      </c>
      <c r="FV14" s="322">
        <f>SUM(CR14:CV14)</f>
        <v>34787</v>
      </c>
      <c r="FW14" s="322">
        <f>CW14+CX14+CZ14+DA14</f>
        <v>19843</v>
      </c>
      <c r="FX14" s="850">
        <f>DB14+DC14+DE14+DF14</f>
        <v>18453</v>
      </c>
      <c r="FY14" s="851">
        <f>DG14+DH14+DJ14+DK14</f>
        <v>21027</v>
      </c>
      <c r="FZ14" s="851">
        <f>SUM(DO14:DP14,DL14:DM14)</f>
        <v>23147</v>
      </c>
      <c r="GA14" s="851">
        <f>SUM(DT14:DU14,DQ14:DR14)</f>
        <v>23358</v>
      </c>
      <c r="GB14" s="851">
        <f>SUM(DY14:DZ14,DV14:DW14)</f>
        <v>26206.60425</v>
      </c>
      <c r="GC14" s="851">
        <f t="shared" si="16"/>
        <v>6355.7250000000004</v>
      </c>
      <c r="GD14" s="851">
        <f>SUM(EI14:EJ14,EF14:EG14)</f>
        <v>0</v>
      </c>
      <c r="GE14" s="851">
        <f>SUM(EN14:EO14,EK14:EL14)</f>
        <v>0</v>
      </c>
      <c r="GF14" s="851">
        <f t="shared" si="17"/>
        <v>0</v>
      </c>
      <c r="GG14" s="851">
        <f t="shared" si="18"/>
        <v>0</v>
      </c>
      <c r="GH14" s="851">
        <f t="shared" si="19"/>
        <v>0</v>
      </c>
      <c r="GI14" s="851">
        <f t="shared" si="20"/>
        <v>0</v>
      </c>
      <c r="GJ14" s="318"/>
      <c r="GK14" s="318"/>
      <c r="GL14" s="318"/>
      <c r="GN14"/>
      <c r="GO14"/>
      <c r="GP14"/>
      <c r="GQ14"/>
      <c r="GR14"/>
      <c r="GS14"/>
    </row>
    <row r="15" spans="1:201" s="321" customFormat="1" ht="11.25" hidden="1" customHeight="1" outlineLevel="1">
      <c r="A15" s="317" t="s">
        <v>709</v>
      </c>
      <c r="B15" s="318"/>
      <c r="C15" s="318"/>
      <c r="D15" s="319"/>
      <c r="E15" s="319"/>
      <c r="F15" s="319"/>
      <c r="G15" s="319"/>
      <c r="H15" s="320"/>
      <c r="I15" s="319"/>
      <c r="J15" s="319"/>
      <c r="K15" s="319"/>
      <c r="L15" s="319"/>
      <c r="M15" s="320"/>
      <c r="N15" s="319"/>
      <c r="O15" s="319"/>
      <c r="P15" s="319"/>
      <c r="Q15" s="319"/>
      <c r="R15" s="320"/>
      <c r="S15" s="319"/>
      <c r="T15" s="319"/>
      <c r="U15" s="319"/>
      <c r="V15" s="319"/>
      <c r="W15" s="320"/>
      <c r="X15" s="319"/>
      <c r="Y15" s="319"/>
      <c r="Z15" s="319"/>
      <c r="AA15" s="319"/>
      <c r="AB15" s="320"/>
      <c r="AC15" s="319"/>
      <c r="AD15" s="319"/>
      <c r="AE15" s="319"/>
      <c r="AF15" s="319"/>
      <c r="AG15" s="320"/>
      <c r="AH15" s="319"/>
      <c r="AI15" s="319"/>
      <c r="AJ15" s="319"/>
      <c r="AK15" s="319"/>
      <c r="AL15" s="320"/>
      <c r="AM15" s="319"/>
      <c r="AN15" s="319"/>
      <c r="AO15" s="319"/>
      <c r="AP15" s="319"/>
      <c r="AQ15" s="320"/>
      <c r="AR15" s="319"/>
      <c r="AS15" s="319"/>
      <c r="AT15" s="319"/>
      <c r="AU15" s="319"/>
      <c r="AV15" s="320"/>
      <c r="AW15" s="319"/>
      <c r="AX15" s="319"/>
      <c r="AY15" s="319"/>
      <c r="AZ15" s="319"/>
      <c r="BA15" s="320"/>
      <c r="BB15" s="319"/>
      <c r="BC15" s="319"/>
      <c r="BD15" s="319"/>
      <c r="BE15" s="319"/>
      <c r="BF15" s="320"/>
      <c r="BG15" s="319"/>
      <c r="BH15" s="319"/>
      <c r="BI15" s="319"/>
      <c r="BJ15" s="319"/>
      <c r="BK15" s="320"/>
      <c r="BL15" s="319"/>
      <c r="BM15" s="319"/>
      <c r="BN15" s="319"/>
      <c r="BO15" s="319"/>
      <c r="BP15" s="320"/>
      <c r="BQ15" s="319"/>
      <c r="BR15" s="319"/>
      <c r="BS15" s="319"/>
      <c r="BT15" s="319"/>
      <c r="BU15" s="320"/>
      <c r="BV15" s="319"/>
      <c r="BW15" s="319"/>
      <c r="BX15" s="319"/>
      <c r="BY15" s="319"/>
      <c r="BZ15" s="320"/>
      <c r="CA15" s="319">
        <f>'Rev Overview'!M272</f>
        <v>634</v>
      </c>
      <c r="CB15" s="319">
        <f>'Rev Overview'!N272</f>
        <v>1330</v>
      </c>
      <c r="CC15" s="319">
        <f>'Rev Overview'!O272</f>
        <v>591</v>
      </c>
      <c r="CD15" s="319">
        <f>'Rev Overview'!P272</f>
        <v>568</v>
      </c>
      <c r="CE15" s="320">
        <f>'Rev Overview'!Q272</f>
        <v>3123</v>
      </c>
      <c r="CF15" s="319">
        <f>'Rev Overview'!R272</f>
        <v>658</v>
      </c>
      <c r="CG15" s="319">
        <f>'Rev Overview'!S272</f>
        <v>1445</v>
      </c>
      <c r="CH15" s="319">
        <f>'Rev Overview'!T272</f>
        <v>633</v>
      </c>
      <c r="CI15" s="319">
        <f>'Rev Overview'!U272</f>
        <v>667</v>
      </c>
      <c r="CJ15" s="320">
        <f>'Rev Overview'!V272</f>
        <v>3403</v>
      </c>
      <c r="CK15" s="319">
        <f>'Rev Overview'!W272</f>
        <v>606</v>
      </c>
      <c r="CL15" s="319">
        <f>'Rev Overview'!X272</f>
        <v>1687</v>
      </c>
      <c r="CM15" s="319">
        <f>'Rev Overview'!Y272</f>
        <v>1182</v>
      </c>
      <c r="CN15" s="319">
        <f>'Rev Overview'!Z272</f>
        <v>1281</v>
      </c>
      <c r="CO15" s="320">
        <f>'Rev Overview'!AA272</f>
        <v>4756</v>
      </c>
      <c r="CP15" s="319">
        <f>'Rev Overview'!AB272</f>
        <v>1030</v>
      </c>
      <c r="CQ15" s="319">
        <f>'Rev Overview'!AC272</f>
        <v>2964</v>
      </c>
      <c r="CR15" s="319">
        <f>'Rev Overview'!AD272</f>
        <v>929</v>
      </c>
      <c r="CS15" s="319">
        <f>'Rev Overview'!AE272</f>
        <v>1159</v>
      </c>
      <c r="CT15" s="320">
        <f>'Rev Overview'!AF272</f>
        <v>6082</v>
      </c>
      <c r="CU15" s="319">
        <f>'Rev Overview'!AG272</f>
        <v>1929</v>
      </c>
      <c r="CV15" s="319">
        <f>'Rev Overview'!AH272</f>
        <v>3076</v>
      </c>
      <c r="CW15" s="319">
        <f>'Rev Overview'!AI272</f>
        <v>1576</v>
      </c>
      <c r="CX15" s="319">
        <f>'Rev Overview'!AJ272</f>
        <v>1575</v>
      </c>
      <c r="CY15" s="320">
        <f>'Rev Overview'!AK272</f>
        <v>8156</v>
      </c>
      <c r="CZ15" s="319">
        <f>'Rev Overview'!AL272</f>
        <v>1893</v>
      </c>
      <c r="DA15" s="319">
        <f>'Rev Overview'!AM272</f>
        <v>3256</v>
      </c>
      <c r="DB15" s="319">
        <f>'Rev Overview'!AN272</f>
        <v>1629</v>
      </c>
      <c r="DC15" s="319">
        <f>'Rev Overview'!AO272</f>
        <v>1257</v>
      </c>
      <c r="DD15" s="320">
        <f>'Rev Overview'!AP272</f>
        <v>8035</v>
      </c>
      <c r="DE15" s="319">
        <f>'Rev Overview'!AQ272</f>
        <v>1412</v>
      </c>
      <c r="DF15" s="319">
        <f>'Rev Overview'!AR272</f>
        <v>2381</v>
      </c>
      <c r="DG15" s="319">
        <f>'Rev Overview'!AS272</f>
        <v>1197</v>
      </c>
      <c r="DH15" s="319">
        <f>'Rev Overview'!AT272</f>
        <v>1153</v>
      </c>
      <c r="DI15" s="320">
        <f>'Rev Overview'!AU272</f>
        <v>6143</v>
      </c>
      <c r="DJ15" s="319">
        <f>'Rev Overview'!AV272</f>
        <v>1795</v>
      </c>
      <c r="DK15" s="319">
        <f>'Rev Overview'!AW272</f>
        <v>3698</v>
      </c>
      <c r="DL15" s="319">
        <f>'Rev Overview'!AX272</f>
        <v>1935</v>
      </c>
      <c r="DM15" s="319">
        <f>'Rev Overview'!AY272</f>
        <v>1485.44</v>
      </c>
      <c r="DN15" s="320">
        <f>'Rev Overview'!AZ272</f>
        <v>8913.44</v>
      </c>
      <c r="DO15" s="319">
        <f>'Rev Overview'!BA272</f>
        <v>1962</v>
      </c>
      <c r="DP15" s="319">
        <f>'Rev Overview'!BB272</f>
        <v>4238</v>
      </c>
      <c r="DQ15" s="319">
        <f>'Rev Overview'!BC272</f>
        <v>1618</v>
      </c>
      <c r="DR15" s="319">
        <f>'Rev Overview'!BD272</f>
        <v>1781</v>
      </c>
      <c r="DS15" s="320">
        <f>'Rev Overview'!BE272</f>
        <v>9599</v>
      </c>
      <c r="DT15" s="319">
        <f>'Rev Overview'!BF272</f>
        <v>1947</v>
      </c>
      <c r="DU15" s="319">
        <f>'Rev Overview'!BG272</f>
        <v>3772</v>
      </c>
      <c r="DV15" s="319">
        <f>'Rev Overview'!BH272</f>
        <v>2531</v>
      </c>
      <c r="DW15" s="319">
        <f>'Rev Overview'!BI272</f>
        <v>1915</v>
      </c>
      <c r="DX15" s="320">
        <f>SUM(DT15:DW15)</f>
        <v>10165</v>
      </c>
      <c r="DY15" s="319">
        <f>'Rev Overview'!BK272</f>
        <v>2070</v>
      </c>
      <c r="DZ15" s="319">
        <f>'Rev Overview'!BL272</f>
        <v>5291.6398816484243</v>
      </c>
      <c r="EA15" s="319">
        <f>'Rev Overview'!BM272</f>
        <v>2286.1504884042251</v>
      </c>
      <c r="EB15" s="319"/>
      <c r="EC15" s="320"/>
      <c r="ED15" s="319"/>
      <c r="EE15" s="319"/>
      <c r="EF15" s="319"/>
      <c r="EG15" s="319"/>
      <c r="EH15" s="320"/>
      <c r="EI15" s="2694"/>
      <c r="EJ15" s="2694"/>
      <c r="EK15" s="2694"/>
      <c r="EL15" s="312"/>
      <c r="EM15" s="2695"/>
      <c r="EN15" s="2694"/>
      <c r="EO15" s="2694"/>
      <c r="EP15" s="2694"/>
      <c r="EQ15" s="312"/>
      <c r="ER15" s="2695"/>
      <c r="ES15" s="2694"/>
      <c r="ET15" s="2694"/>
      <c r="EU15" s="2694"/>
      <c r="EV15" s="319"/>
      <c r="EW15" s="320"/>
      <c r="EX15" s="319"/>
      <c r="EY15" s="319"/>
      <c r="EZ15" s="319"/>
      <c r="FA15" s="319"/>
      <c r="FB15" s="320"/>
      <c r="FC15" s="319"/>
      <c r="FD15" s="319"/>
      <c r="FE15" s="319"/>
      <c r="FF15" s="319"/>
      <c r="FG15" s="320"/>
      <c r="FH15" s="319"/>
      <c r="FI15" s="319"/>
      <c r="FJ15" s="319"/>
      <c r="FK15" s="319"/>
      <c r="FL15" s="320"/>
      <c r="FN15" s="322"/>
      <c r="FO15" s="322"/>
      <c r="FP15" s="322"/>
      <c r="FQ15" s="322"/>
      <c r="FR15" s="322"/>
      <c r="FS15" s="322">
        <f>CC15+CD15+CF15+CG15</f>
        <v>3262</v>
      </c>
      <c r="FT15" s="322">
        <f>+SUM(CH15:CL15)</f>
        <v>6996</v>
      </c>
      <c r="FU15" s="322">
        <f>+SUM(CM15:CQ15)</f>
        <v>11213</v>
      </c>
      <c r="FV15" s="322">
        <f>SUM(CR15:CV15)</f>
        <v>13175</v>
      </c>
      <c r="FW15" s="322">
        <f>CW15+CX15+CZ15+DA15</f>
        <v>8300</v>
      </c>
      <c r="FX15" s="850">
        <f>DB15+DC15+DE15+DF15</f>
        <v>6679</v>
      </c>
      <c r="FY15" s="851">
        <f>DG15+DH15+DJ15+DK15</f>
        <v>7843</v>
      </c>
      <c r="FZ15" s="851">
        <f>SUM(DO15:DP15,DL15:DM15)</f>
        <v>9620.44</v>
      </c>
      <c r="GA15" s="851">
        <f>SUM(DT15:DU15,DQ15:DR15)</f>
        <v>9118</v>
      </c>
      <c r="GB15" s="851">
        <f>SUM(DY15:DZ15,DV15:DW15)</f>
        <v>11807.639881648425</v>
      </c>
      <c r="GC15" s="851">
        <f t="shared" si="16"/>
        <v>2286.1504884042251</v>
      </c>
      <c r="GD15" s="851">
        <f>SUM(EI15:EJ15,EF15:EG15)</f>
        <v>0</v>
      </c>
      <c r="GE15" s="851">
        <f>SUM(EN15:EO15,EK15:EL15)</f>
        <v>0</v>
      </c>
      <c r="GF15" s="851">
        <f t="shared" si="17"/>
        <v>0</v>
      </c>
      <c r="GG15" s="851">
        <f t="shared" si="18"/>
        <v>0</v>
      </c>
      <c r="GH15" s="851">
        <f t="shared" si="19"/>
        <v>0</v>
      </c>
      <c r="GI15" s="851">
        <f t="shared" si="20"/>
        <v>0</v>
      </c>
      <c r="GJ15" s="318"/>
      <c r="GK15" s="318"/>
      <c r="GL15" s="318"/>
      <c r="GN15"/>
      <c r="GO15"/>
      <c r="GP15"/>
      <c r="GQ15"/>
      <c r="GR15"/>
      <c r="GS15"/>
    </row>
    <row r="16" spans="1:201" s="264" customFormat="1" ht="11.25" customHeight="1" collapsed="1">
      <c r="A16" s="323"/>
      <c r="B16" s="253"/>
      <c r="C16" s="253"/>
      <c r="D16" s="277"/>
      <c r="E16" s="277"/>
      <c r="F16" s="277"/>
      <c r="G16" s="277"/>
      <c r="H16" s="324"/>
      <c r="I16" s="277"/>
      <c r="J16" s="277"/>
      <c r="K16" s="277"/>
      <c r="L16" s="277"/>
      <c r="M16" s="324"/>
      <c r="N16" s="277"/>
      <c r="O16" s="277"/>
      <c r="P16" s="277"/>
      <c r="Q16" s="277"/>
      <c r="R16" s="324"/>
      <c r="S16" s="277"/>
      <c r="T16" s="277"/>
      <c r="U16" s="277"/>
      <c r="V16" s="277"/>
      <c r="W16" s="324"/>
      <c r="X16" s="277"/>
      <c r="Y16" s="277"/>
      <c r="Z16" s="277"/>
      <c r="AA16" s="277"/>
      <c r="AB16" s="324"/>
      <c r="AC16" s="277"/>
      <c r="AD16" s="277"/>
      <c r="AE16" s="277"/>
      <c r="AF16" s="277"/>
      <c r="AG16" s="324"/>
      <c r="AH16" s="277"/>
      <c r="AI16" s="277"/>
      <c r="AJ16" s="277"/>
      <c r="AK16" s="277"/>
      <c r="AL16" s="324"/>
      <c r="AM16" s="277"/>
      <c r="AN16" s="277"/>
      <c r="AO16" s="277"/>
      <c r="AP16" s="277"/>
      <c r="AQ16" s="324"/>
      <c r="AR16" s="277"/>
      <c r="AS16" s="277"/>
      <c r="AT16" s="277"/>
      <c r="AU16" s="277"/>
      <c r="AV16" s="324"/>
      <c r="AW16" s="277"/>
      <c r="AX16" s="277"/>
      <c r="AY16" s="277"/>
      <c r="AZ16" s="277"/>
      <c r="BA16" s="324"/>
      <c r="BB16" s="277"/>
      <c r="BC16" s="277"/>
      <c r="BD16" s="277"/>
      <c r="BE16" s="277"/>
      <c r="BF16" s="324"/>
      <c r="BG16" s="277"/>
      <c r="BH16" s="277"/>
      <c r="BI16" s="277"/>
      <c r="BJ16" s="277"/>
      <c r="BK16" s="324"/>
      <c r="BL16" s="277"/>
      <c r="BM16" s="277"/>
      <c r="BN16" s="277"/>
      <c r="BO16" s="277"/>
      <c r="BP16" s="324"/>
      <c r="BQ16" s="277"/>
      <c r="BR16" s="277"/>
      <c r="BS16" s="277"/>
      <c r="BT16" s="277"/>
      <c r="BU16" s="324"/>
      <c r="BV16" s="277"/>
      <c r="BW16" s="277"/>
      <c r="BX16" s="277"/>
      <c r="BY16" s="277"/>
      <c r="BZ16" s="324"/>
      <c r="CA16" s="277"/>
      <c r="CB16" s="277"/>
      <c r="CC16" s="277"/>
      <c r="CD16" s="277"/>
      <c r="CE16" s="324"/>
      <c r="CF16" s="325"/>
      <c r="CG16" s="325"/>
      <c r="CH16" s="325"/>
      <c r="CI16" s="325"/>
      <c r="CJ16" s="324"/>
      <c r="CK16" s="325"/>
      <c r="CL16" s="325"/>
      <c r="CM16" s="325"/>
      <c r="CN16" s="325"/>
      <c r="CO16" s="324"/>
      <c r="CP16" s="325"/>
      <c r="CQ16" s="325"/>
      <c r="CR16" s="325"/>
      <c r="CS16" s="325"/>
      <c r="CT16" s="324"/>
      <c r="CU16" s="325"/>
      <c r="CV16" s="325"/>
      <c r="CW16" s="325"/>
      <c r="CX16" s="325"/>
      <c r="CY16" s="324"/>
      <c r="CZ16" s="325"/>
      <c r="DA16" s="325"/>
      <c r="DB16" s="325"/>
      <c r="DC16" s="326"/>
      <c r="DD16" s="324"/>
      <c r="DE16" s="325"/>
      <c r="DF16" s="325"/>
      <c r="DG16" s="325"/>
      <c r="DH16" s="326"/>
      <c r="DI16" s="324"/>
      <c r="DJ16" s="325"/>
      <c r="DK16" s="325"/>
      <c r="DL16" s="325"/>
      <c r="DM16" s="326"/>
      <c r="DN16" s="324"/>
      <c r="DO16" s="325"/>
      <c r="DP16" s="325"/>
      <c r="DQ16" s="325"/>
      <c r="DR16" s="325"/>
      <c r="DS16" s="324"/>
      <c r="DT16" s="325"/>
      <c r="DU16" s="325"/>
      <c r="DV16" s="325"/>
      <c r="DW16" s="325"/>
      <c r="DX16" s="324"/>
      <c r="DY16" s="325"/>
      <c r="DZ16" s="325"/>
      <c r="EA16" s="325"/>
      <c r="EB16" s="325"/>
      <c r="EC16" s="324"/>
      <c r="ED16" s="325"/>
      <c r="EE16" s="325"/>
      <c r="EF16" s="325"/>
      <c r="EG16" s="325"/>
      <c r="EH16" s="324"/>
      <c r="EI16" s="2697"/>
      <c r="EJ16" s="2697"/>
      <c r="EK16" s="2697"/>
      <c r="EL16" s="2697"/>
      <c r="EM16" s="2698"/>
      <c r="EN16" s="2697"/>
      <c r="EO16" s="312">
        <f>+(EO18+EN18)/(EO8+EN8)</f>
        <v>0.62840809146877752</v>
      </c>
      <c r="EP16" s="2697"/>
      <c r="EQ16" s="2697"/>
      <c r="ER16" s="2698"/>
      <c r="ES16" s="2697"/>
      <c r="ET16" s="312"/>
      <c r="EU16" s="2697"/>
      <c r="EV16" s="325"/>
      <c r="EW16" s="324"/>
      <c r="EX16" s="325"/>
      <c r="EY16" s="325"/>
      <c r="EZ16" s="325"/>
      <c r="FA16" s="325"/>
      <c r="FB16" s="324"/>
      <c r="FC16" s="325"/>
      <c r="FD16" s="325"/>
      <c r="FE16" s="325"/>
      <c r="FF16" s="325"/>
      <c r="FG16" s="324"/>
      <c r="FH16" s="325"/>
      <c r="FI16" s="325"/>
      <c r="FJ16" s="325"/>
      <c r="FK16" s="325"/>
      <c r="FL16" s="324"/>
      <c r="FN16" s="327"/>
      <c r="FO16" s="327"/>
      <c r="FP16" s="327"/>
      <c r="FQ16" s="327"/>
      <c r="FR16" s="327"/>
      <c r="FS16" s="327"/>
      <c r="FT16" s="327"/>
      <c r="FU16" s="327"/>
      <c r="FV16" s="327"/>
      <c r="FW16" s="327"/>
      <c r="FX16" s="852"/>
      <c r="FY16" s="853"/>
      <c r="FZ16" s="854"/>
      <c r="GA16" s="854"/>
      <c r="GB16" s="854"/>
      <c r="GC16" s="853"/>
      <c r="GD16" s="853"/>
      <c r="GE16" s="853">
        <f>SUM(EF16:EG16,EC16:ED16)</f>
        <v>0</v>
      </c>
      <c r="GF16" s="846">
        <f t="shared" si="17"/>
        <v>0</v>
      </c>
      <c r="GG16" s="846">
        <f t="shared" si="18"/>
        <v>0</v>
      </c>
      <c r="GH16" s="846">
        <f t="shared" si="19"/>
        <v>0</v>
      </c>
      <c r="GI16" s="846">
        <f t="shared" si="20"/>
        <v>0</v>
      </c>
      <c r="GJ16" s="302"/>
      <c r="GK16" s="302"/>
      <c r="GL16" s="302"/>
      <c r="GN16"/>
      <c r="GO16"/>
      <c r="GP16"/>
      <c r="GQ16"/>
      <c r="GR16"/>
      <c r="GS16"/>
    </row>
    <row r="17" spans="1:201" s="307" customFormat="1" ht="11.25" customHeight="1">
      <c r="A17" s="328" t="s">
        <v>110</v>
      </c>
      <c r="B17" s="303"/>
      <c r="C17" s="303"/>
      <c r="D17" s="329">
        <v>49</v>
      </c>
      <c r="E17" s="329">
        <v>58</v>
      </c>
      <c r="F17" s="329">
        <v>53</v>
      </c>
      <c r="G17" s="329">
        <v>60</v>
      </c>
      <c r="H17" s="330">
        <f>SUM(D17:G17)</f>
        <v>220</v>
      </c>
      <c r="I17" s="329">
        <v>54</v>
      </c>
      <c r="J17" s="329">
        <v>70</v>
      </c>
      <c r="K17" s="329">
        <v>72</v>
      </c>
      <c r="L17" s="329">
        <v>77</v>
      </c>
      <c r="M17" s="330">
        <f>SUM(I17:L17)</f>
        <v>273</v>
      </c>
      <c r="N17" s="329">
        <v>85</v>
      </c>
      <c r="O17" s="329">
        <v>103</v>
      </c>
      <c r="P17" s="329">
        <v>109</v>
      </c>
      <c r="Q17" s="329">
        <v>113</v>
      </c>
      <c r="R17" s="330">
        <f>SUM(N17:Q17)</f>
        <v>410</v>
      </c>
      <c r="S17" s="329">
        <v>126</v>
      </c>
      <c r="T17" s="329">
        <v>139</v>
      </c>
      <c r="U17" s="329">
        <v>139</v>
      </c>
      <c r="V17" s="329">
        <v>177</v>
      </c>
      <c r="W17" s="330">
        <f>SUM(S17:V17)</f>
        <v>581</v>
      </c>
      <c r="X17" s="329">
        <v>168</v>
      </c>
      <c r="Y17" s="329">
        <v>191</v>
      </c>
      <c r="Z17" s="329">
        <v>202</v>
      </c>
      <c r="AA17" s="329">
        <v>224</v>
      </c>
      <c r="AB17" s="330">
        <f>SUM(X17:AA17)</f>
        <v>785</v>
      </c>
      <c r="AC17" s="329">
        <v>228</v>
      </c>
      <c r="AD17" s="329">
        <v>260</v>
      </c>
      <c r="AE17" s="329">
        <v>284</v>
      </c>
      <c r="AF17" s="329">
        <v>305</v>
      </c>
      <c r="AG17" s="330">
        <f>SUM(AC17:AF17)</f>
        <v>1077</v>
      </c>
      <c r="AH17" s="329">
        <v>284</v>
      </c>
      <c r="AI17" s="329">
        <v>331</v>
      </c>
      <c r="AJ17" s="329">
        <v>355</v>
      </c>
      <c r="AK17" s="329">
        <v>376</v>
      </c>
      <c r="AL17" s="330">
        <f>SUM(AH17:AK17)</f>
        <v>1346</v>
      </c>
      <c r="AM17" s="329">
        <v>522</v>
      </c>
      <c r="AN17" s="329">
        <v>566</v>
      </c>
      <c r="AO17" s="329">
        <v>541</v>
      </c>
      <c r="AP17" s="329">
        <v>516</v>
      </c>
      <c r="AQ17" s="330">
        <f>SUM(AM17:AP17)</f>
        <v>2145</v>
      </c>
      <c r="AR17" s="329">
        <v>482</v>
      </c>
      <c r="AS17" s="329">
        <v>558</v>
      </c>
      <c r="AT17" s="329">
        <v>583</v>
      </c>
      <c r="AU17" s="329">
        <v>547</v>
      </c>
      <c r="AV17" s="330">
        <f>SUM(AR17:AU17)</f>
        <v>2170</v>
      </c>
      <c r="AW17" s="329">
        <v>534</v>
      </c>
      <c r="AX17" s="329">
        <v>613</v>
      </c>
      <c r="AY17" s="329">
        <v>640</v>
      </c>
      <c r="AZ17" s="329">
        <v>673</v>
      </c>
      <c r="BA17" s="330">
        <f>SUM(AW17:AZ17)</f>
        <v>2460</v>
      </c>
      <c r="BB17" s="329">
        <v>649</v>
      </c>
      <c r="BC17" s="329">
        <v>788</v>
      </c>
      <c r="BD17" s="329">
        <v>708</v>
      </c>
      <c r="BE17" s="329">
        <v>669</v>
      </c>
      <c r="BF17" s="330">
        <f>SUM(BB17:BE17)</f>
        <v>2814</v>
      </c>
      <c r="BG17" s="329">
        <v>712</v>
      </c>
      <c r="BH17" s="329">
        <v>756</v>
      </c>
      <c r="BI17" s="329">
        <v>752</v>
      </c>
      <c r="BJ17" s="329">
        <v>782</v>
      </c>
      <c r="BK17" s="330">
        <f>SUM(BG17:BJ17)</f>
        <v>3002</v>
      </c>
      <c r="BL17" s="329">
        <f>859-34</f>
        <v>825</v>
      </c>
      <c r="BM17" s="329">
        <f>899-35</f>
        <v>864</v>
      </c>
      <c r="BN17" s="329">
        <f>952-53</f>
        <v>899</v>
      </c>
      <c r="BO17" s="329">
        <v>867</v>
      </c>
      <c r="BP17" s="330">
        <f>SUM(BL17:BO17)</f>
        <v>3455</v>
      </c>
      <c r="BQ17" s="329">
        <v>884</v>
      </c>
      <c r="BR17" s="329">
        <v>1544</v>
      </c>
      <c r="BS17" s="329">
        <v>1395</v>
      </c>
      <c r="BT17" s="329">
        <v>1368</v>
      </c>
      <c r="BU17" s="330">
        <f>SUM(BQ17:BT17)</f>
        <v>5191</v>
      </c>
      <c r="BV17" s="329">
        <v>1344</v>
      </c>
      <c r="BW17" s="329">
        <v>2137</v>
      </c>
      <c r="BX17" s="329">
        <v>1274</v>
      </c>
      <c r="BY17" s="329">
        <v>1304</v>
      </c>
      <c r="BZ17" s="330">
        <f>SUM(BV17:BY17)</f>
        <v>6059</v>
      </c>
      <c r="CA17" s="329">
        <v>1480</v>
      </c>
      <c r="CB17" s="329">
        <f>2344-215</f>
        <v>2129</v>
      </c>
      <c r="CC17" s="329">
        <v>1411</v>
      </c>
      <c r="CD17" s="329">
        <v>1481</v>
      </c>
      <c r="CE17" s="330">
        <f>SUM(CA17:CD17)</f>
        <v>6501</v>
      </c>
      <c r="CF17" s="307">
        <v>1405</v>
      </c>
      <c r="CG17" s="307">
        <v>1922</v>
      </c>
      <c r="CH17" s="307">
        <v>1363</v>
      </c>
      <c r="CI17" s="307">
        <v>1410</v>
      </c>
      <c r="CJ17" s="330">
        <f>SUM(CF17:CI17)</f>
        <v>6100</v>
      </c>
      <c r="CK17" s="329">
        <v>1253</v>
      </c>
      <c r="CL17" s="329">
        <v>2239</v>
      </c>
      <c r="CM17" s="329">
        <v>2028</v>
      </c>
      <c r="CN17" s="329">
        <v>2130</v>
      </c>
      <c r="CO17" s="331">
        <f>SUM(CK17:CN17)</f>
        <v>7650</v>
      </c>
      <c r="CP17" s="329">
        <v>1696</v>
      </c>
      <c r="CQ17" s="329">
        <v>3620</v>
      </c>
      <c r="CR17" s="329">
        <v>2140</v>
      </c>
      <c r="CS17" s="329">
        <v>2180</v>
      </c>
      <c r="CT17" s="331">
        <f>SUM(CP17:CS17)</f>
        <v>9636</v>
      </c>
      <c r="CU17" s="329">
        <v>2675</v>
      </c>
      <c r="CV17" s="329">
        <v>3543</v>
      </c>
      <c r="CW17" s="329">
        <v>2514</v>
      </c>
      <c r="CX17" s="329">
        <v>2866</v>
      </c>
      <c r="CY17" s="331">
        <f>SUM(CU17:CX17)</f>
        <v>11598</v>
      </c>
      <c r="CZ17" s="329">
        <v>2848</v>
      </c>
      <c r="DA17" s="329">
        <v>3907</v>
      </c>
      <c r="DB17" s="329">
        <v>2814</v>
      </c>
      <c r="DC17" s="329">
        <v>2586</v>
      </c>
      <c r="DD17" s="331">
        <f>SUM(CZ17:DC17)</f>
        <v>12155</v>
      </c>
      <c r="DE17" s="329">
        <v>2842</v>
      </c>
      <c r="DF17" s="329">
        <v>3628</v>
      </c>
      <c r="DG17" s="329">
        <v>2755</v>
      </c>
      <c r="DH17" s="329">
        <v>3170</v>
      </c>
      <c r="DI17" s="331">
        <f>SUM(DE17:DH17)</f>
        <v>12395</v>
      </c>
      <c r="DJ17" s="1114">
        <v>3139</v>
      </c>
      <c r="DK17" s="1114">
        <v>4833</v>
      </c>
      <c r="DL17" s="1114">
        <v>3897</v>
      </c>
      <c r="DM17" s="1114">
        <v>3708</v>
      </c>
      <c r="DN17" s="331">
        <f>SUM(DJ17:DM17)</f>
        <v>15577</v>
      </c>
      <c r="DO17" s="1114">
        <v>3777</v>
      </c>
      <c r="DP17" s="1114">
        <v>5638</v>
      </c>
      <c r="DQ17" s="1114">
        <v>3952</v>
      </c>
      <c r="DR17" s="1114">
        <v>4163</v>
      </c>
      <c r="DS17" s="331">
        <f>SUM(DO17:DR17)</f>
        <v>17530</v>
      </c>
      <c r="DT17" s="1114">
        <v>4168</v>
      </c>
      <c r="DU17" s="329">
        <f>DU8*(1-DU19)</f>
        <v>5691.9999999999991</v>
      </c>
      <c r="DV17" s="329">
        <f>DV8*(1-DV19)</f>
        <v>4787</v>
      </c>
      <c r="DW17" s="1114">
        <v>5602</v>
      </c>
      <c r="DX17" s="331">
        <f>SUM(DT17:DW17)</f>
        <v>20249</v>
      </c>
      <c r="DY17" s="1114">
        <v>5114</v>
      </c>
      <c r="DZ17" s="1114">
        <v>8284</v>
      </c>
      <c r="EA17" s="1114">
        <v>5941</v>
      </c>
      <c r="EB17" s="1114">
        <v>7595</v>
      </c>
      <c r="EC17" s="331">
        <f>SUM(DY17:EB17)</f>
        <v>26934</v>
      </c>
      <c r="ED17" s="1114">
        <v>8273</v>
      </c>
      <c r="EE17" s="1114">
        <f>10136</f>
        <v>10136</v>
      </c>
      <c r="EF17" s="1114">
        <v>7161</v>
      </c>
      <c r="EG17" s="1114">
        <v>7468</v>
      </c>
      <c r="EH17" s="331">
        <f>SUM(ED17:EG17)</f>
        <v>33038</v>
      </c>
      <c r="EI17" s="2558">
        <v>7207</v>
      </c>
      <c r="EJ17" s="2558">
        <v>9872</v>
      </c>
      <c r="EK17" s="2558">
        <v>7722</v>
      </c>
      <c r="EL17" s="2558">
        <v>7979</v>
      </c>
      <c r="EM17" s="2696">
        <f>SUM(EI17:EL17)</f>
        <v>32780</v>
      </c>
      <c r="EN17" s="2558">
        <v>7844</v>
      </c>
      <c r="EO17" s="2558">
        <v>9901</v>
      </c>
      <c r="EP17" s="2558">
        <v>8060</v>
      </c>
      <c r="EQ17" s="2558">
        <v>8456</v>
      </c>
      <c r="ER17" s="2696">
        <f>SUM(EN17:EQ17)</f>
        <v>34261</v>
      </c>
      <c r="ES17" s="2558">
        <v>8278</v>
      </c>
      <c r="ET17" s="2558">
        <v>11064</v>
      </c>
      <c r="EU17" s="2558">
        <v>9269</v>
      </c>
      <c r="EV17" s="329">
        <f>EV8*(1-EV19)</f>
        <v>9705.2196290722368</v>
      </c>
      <c r="EW17" s="331">
        <f>SUM(ES17:EV17)</f>
        <v>38316.219629072235</v>
      </c>
      <c r="EX17" s="329">
        <f>EX8*(1-EX19)</f>
        <v>9347.5632730376146</v>
      </c>
      <c r="EY17" s="329">
        <f>EY8*(1-EY19)</f>
        <v>12088.521772222208</v>
      </c>
      <c r="EZ17" s="329">
        <f>EZ8*(1-EZ19)</f>
        <v>10089.026229958274</v>
      </c>
      <c r="FA17" s="329">
        <f>FA8*(1-FA19)</f>
        <v>10715.558928092581</v>
      </c>
      <c r="FB17" s="331">
        <f>SUM(EX17:FA17)</f>
        <v>42240.670203310685</v>
      </c>
      <c r="FC17" s="329">
        <f>FC8*(1-FC19)</f>
        <v>10281.971386274472</v>
      </c>
      <c r="FD17" s="329">
        <f>FD8*(1-FD19)</f>
        <v>12963.045376540029</v>
      </c>
      <c r="FE17" s="329">
        <f>FE8*(1-FE19)</f>
        <v>11122.011264508546</v>
      </c>
      <c r="FF17" s="329">
        <f>FF8*(1-FF19)</f>
        <v>11895.275928781255</v>
      </c>
      <c r="FG17" s="331">
        <f>SUM(FC17:FF17)</f>
        <v>46262.303956104297</v>
      </c>
      <c r="FH17" s="329">
        <f>FH8*(1-FH19)</f>
        <v>11358.378132690606</v>
      </c>
      <c r="FI17" s="329">
        <f>FI8*(1-FI19)</f>
        <v>13911.284445880612</v>
      </c>
      <c r="FJ17" s="329">
        <f>FJ8*(1-FJ19)</f>
        <v>12147.911505573205</v>
      </c>
      <c r="FK17" s="329">
        <f>FK8*(1-FK19)</f>
        <v>13037.850664177202</v>
      </c>
      <c r="FL17" s="331">
        <f>SUM(FH17:FK17)</f>
        <v>50455.424748321624</v>
      </c>
      <c r="FN17" s="330">
        <f>BD17+BE17+BG17+BH17</f>
        <v>2845</v>
      </c>
      <c r="FO17" s="330">
        <f>BI17+BJ17+BL17+BM17</f>
        <v>3223</v>
      </c>
      <c r="FP17" s="330">
        <f>BN17+BO17+BQ17+BR17</f>
        <v>4194</v>
      </c>
      <c r="FQ17" s="330">
        <f>BS17+BT17+BV17+BW17</f>
        <v>6244</v>
      </c>
      <c r="FR17" s="330">
        <f>BX17+BY17+CA17+CB17</f>
        <v>6187</v>
      </c>
      <c r="FS17" s="330">
        <f>CC17+CD17+CF17+CG17</f>
        <v>6219</v>
      </c>
      <c r="FT17" s="330">
        <f>CH17+CI17+CK17+CL17</f>
        <v>6265</v>
      </c>
      <c r="FU17" s="330">
        <f>CM17+CN17+CP17+CQ17</f>
        <v>9474</v>
      </c>
      <c r="FV17" s="330">
        <f>CR17+CS17+CU17+CV17</f>
        <v>10538</v>
      </c>
      <c r="FW17" s="330">
        <f>CW17+CX17+CZ17+DA17</f>
        <v>12135</v>
      </c>
      <c r="FX17" s="855">
        <f>DB17+DC17+DE17+DF17</f>
        <v>11870</v>
      </c>
      <c r="FY17" s="856">
        <f>DG17+DH17+DJ17+DK17</f>
        <v>13897</v>
      </c>
      <c r="FZ17" s="856">
        <f>SUM(DO17:DP17,DL17:DM17)</f>
        <v>17020</v>
      </c>
      <c r="GA17" s="856">
        <f>SUM(DT17:DU17,DQ17:DR17)</f>
        <v>17975</v>
      </c>
      <c r="GB17" s="856">
        <f>SUM(DV17:DW17,DY17:DZ17)</f>
        <v>23787</v>
      </c>
      <c r="GC17" s="856">
        <f t="shared" si="16"/>
        <v>31945</v>
      </c>
      <c r="GD17" s="856">
        <f>SUM(EI17:EJ17,EF17:EG17)</f>
        <v>31708</v>
      </c>
      <c r="GE17" s="856">
        <f>SUM(EN17:EO17,EK17:EL17)</f>
        <v>33446</v>
      </c>
      <c r="GF17" s="856">
        <f t="shared" si="17"/>
        <v>35858</v>
      </c>
      <c r="GG17" s="856">
        <f t="shared" si="18"/>
        <v>40410.304674332059</v>
      </c>
      <c r="GH17" s="856">
        <f t="shared" si="19"/>
        <v>44049.60192086536</v>
      </c>
      <c r="GI17" s="856">
        <f t="shared" si="20"/>
        <v>48286.949771861022</v>
      </c>
      <c r="GJ17" s="303"/>
      <c r="GK17" s="303"/>
      <c r="GL17" s="303"/>
      <c r="GN17"/>
      <c r="GO17"/>
      <c r="GP17"/>
      <c r="GQ17"/>
      <c r="GR17"/>
      <c r="GS17"/>
    </row>
    <row r="18" spans="1:201" s="307" customFormat="1" ht="11.25" customHeight="1">
      <c r="A18" s="302" t="s">
        <v>112</v>
      </c>
      <c r="B18" s="303"/>
      <c r="C18" s="303"/>
      <c r="D18" s="304">
        <f t="shared" ref="D18:AI18" si="21">D8-D17</f>
        <v>128</v>
      </c>
      <c r="E18" s="304">
        <f t="shared" si="21"/>
        <v>151.88200000000001</v>
      </c>
      <c r="F18" s="304">
        <f t="shared" si="21"/>
        <v>144.024</v>
      </c>
      <c r="G18" s="304">
        <f t="shared" si="21"/>
        <v>161</v>
      </c>
      <c r="H18" s="305">
        <f t="shared" si="21"/>
        <v>584.90599999999995</v>
      </c>
      <c r="I18" s="304">
        <f t="shared" si="21"/>
        <v>181.161</v>
      </c>
      <c r="J18" s="304">
        <f t="shared" si="21"/>
        <v>231</v>
      </c>
      <c r="K18" s="304">
        <f t="shared" si="21"/>
        <v>240</v>
      </c>
      <c r="L18" s="304">
        <f t="shared" si="21"/>
        <v>261</v>
      </c>
      <c r="M18" s="305">
        <f t="shared" si="21"/>
        <v>913.16100000000006</v>
      </c>
      <c r="N18" s="304">
        <f t="shared" si="21"/>
        <v>284.39999999999998</v>
      </c>
      <c r="O18" s="304">
        <f t="shared" si="21"/>
        <v>357.5</v>
      </c>
      <c r="P18" s="304">
        <f t="shared" si="21"/>
        <v>380</v>
      </c>
      <c r="Q18" s="304">
        <f t="shared" si="21"/>
        <v>415</v>
      </c>
      <c r="R18" s="305">
        <f t="shared" si="21"/>
        <v>1436.9</v>
      </c>
      <c r="S18" s="304">
        <f t="shared" si="21"/>
        <v>458</v>
      </c>
      <c r="T18" s="304">
        <f t="shared" si="21"/>
        <v>547</v>
      </c>
      <c r="U18" s="304">
        <f t="shared" si="21"/>
        <v>547</v>
      </c>
      <c r="V18" s="304">
        <f t="shared" si="21"/>
        <v>644</v>
      </c>
      <c r="W18" s="305">
        <f t="shared" si="21"/>
        <v>2196</v>
      </c>
      <c r="X18" s="304">
        <f t="shared" si="21"/>
        <v>656</v>
      </c>
      <c r="Y18" s="304">
        <f t="shared" si="21"/>
        <v>754</v>
      </c>
      <c r="Z18" s="304">
        <f t="shared" si="21"/>
        <v>767</v>
      </c>
      <c r="AA18" s="304">
        <f t="shared" si="21"/>
        <v>824</v>
      </c>
      <c r="AB18" s="305">
        <f t="shared" si="21"/>
        <v>3001</v>
      </c>
      <c r="AC18" s="304">
        <f t="shared" si="21"/>
        <v>768</v>
      </c>
      <c r="AD18" s="304">
        <f t="shared" si="21"/>
        <v>886</v>
      </c>
      <c r="AE18" s="304">
        <f t="shared" si="21"/>
        <v>977</v>
      </c>
      <c r="AF18" s="304">
        <f t="shared" si="21"/>
        <v>1006</v>
      </c>
      <c r="AG18" s="305">
        <f t="shared" si="21"/>
        <v>3637</v>
      </c>
      <c r="AH18" s="304">
        <f t="shared" si="21"/>
        <v>986</v>
      </c>
      <c r="AI18" s="304">
        <f t="shared" si="21"/>
        <v>1185</v>
      </c>
      <c r="AJ18" s="304">
        <f t="shared" ref="AJ18:BO18" si="22">AJ8-AJ17</f>
        <v>1272</v>
      </c>
      <c r="AK18" s="304">
        <f t="shared" si="22"/>
        <v>1286</v>
      </c>
      <c r="AL18" s="305">
        <f t="shared" si="22"/>
        <v>4729</v>
      </c>
      <c r="AM18" s="304">
        <f t="shared" si="22"/>
        <v>1563</v>
      </c>
      <c r="AN18" s="304">
        <f t="shared" si="22"/>
        <v>1721</v>
      </c>
      <c r="AO18" s="304">
        <f t="shared" si="22"/>
        <v>1770</v>
      </c>
      <c r="AP18" s="304">
        <f t="shared" si="22"/>
        <v>1851</v>
      </c>
      <c r="AQ18" s="305">
        <f t="shared" si="22"/>
        <v>6905</v>
      </c>
      <c r="AR18" s="304">
        <f t="shared" si="22"/>
        <v>1923</v>
      </c>
      <c r="AS18" s="304">
        <f t="shared" si="22"/>
        <v>2250</v>
      </c>
      <c r="AT18" s="304">
        <f t="shared" si="22"/>
        <v>2782</v>
      </c>
      <c r="AU18" s="304">
        <f t="shared" si="22"/>
        <v>2811</v>
      </c>
      <c r="AV18" s="305">
        <f t="shared" si="22"/>
        <v>9766</v>
      </c>
      <c r="AW18" s="304">
        <f t="shared" si="22"/>
        <v>2800</v>
      </c>
      <c r="AX18" s="304">
        <f t="shared" si="22"/>
        <v>3179</v>
      </c>
      <c r="AY18" s="304">
        <f t="shared" si="22"/>
        <v>3344</v>
      </c>
      <c r="AZ18" s="304">
        <f t="shared" si="22"/>
        <v>3479</v>
      </c>
      <c r="BA18" s="305">
        <f t="shared" si="22"/>
        <v>12802</v>
      </c>
      <c r="BB18" s="304">
        <f t="shared" si="22"/>
        <v>3544</v>
      </c>
      <c r="BC18" s="304">
        <f t="shared" si="22"/>
        <v>4407</v>
      </c>
      <c r="BD18" s="304">
        <f t="shared" si="22"/>
        <v>3887</v>
      </c>
      <c r="BE18" s="304">
        <f t="shared" si="22"/>
        <v>5095</v>
      </c>
      <c r="BF18" s="305">
        <f t="shared" si="22"/>
        <v>16933</v>
      </c>
      <c r="BG18" s="304">
        <f t="shared" si="22"/>
        <v>4672</v>
      </c>
      <c r="BH18" s="304">
        <f t="shared" si="22"/>
        <v>5356</v>
      </c>
      <c r="BI18" s="304">
        <f t="shared" si="22"/>
        <v>4904</v>
      </c>
      <c r="BJ18" s="304">
        <f t="shared" si="22"/>
        <v>5022</v>
      </c>
      <c r="BK18" s="305">
        <f t="shared" si="22"/>
        <v>19954</v>
      </c>
      <c r="BL18" s="304">
        <f t="shared" si="22"/>
        <v>4941</v>
      </c>
      <c r="BM18" s="304">
        <f t="shared" si="22"/>
        <v>5686</v>
      </c>
      <c r="BN18" s="304">
        <f t="shared" si="22"/>
        <v>5504</v>
      </c>
      <c r="BO18" s="304">
        <f t="shared" si="22"/>
        <v>5710</v>
      </c>
      <c r="BP18" s="305">
        <f t="shared" ref="BP18:CU18" si="23">BP8-BP17</f>
        <v>21841</v>
      </c>
      <c r="BQ18" s="304">
        <f t="shared" si="23"/>
        <v>5242</v>
      </c>
      <c r="BR18" s="304">
        <f t="shared" si="23"/>
        <v>6197</v>
      </c>
      <c r="BS18" s="304">
        <f t="shared" si="23"/>
        <v>5850</v>
      </c>
      <c r="BT18" s="304">
        <f t="shared" si="23"/>
        <v>5885</v>
      </c>
      <c r="BU18" s="305">
        <f t="shared" si="23"/>
        <v>23174</v>
      </c>
      <c r="BV18" s="304">
        <f t="shared" si="23"/>
        <v>6402</v>
      </c>
      <c r="BW18" s="304">
        <f t="shared" si="23"/>
        <v>6404</v>
      </c>
      <c r="BX18" s="304">
        <f t="shared" si="23"/>
        <v>6561</v>
      </c>
      <c r="BY18" s="304">
        <f t="shared" si="23"/>
        <v>6761</v>
      </c>
      <c r="BZ18" s="305">
        <f t="shared" si="23"/>
        <v>26128</v>
      </c>
      <c r="CA18" s="304">
        <f t="shared" si="23"/>
        <v>6735</v>
      </c>
      <c r="CB18" s="304">
        <f t="shared" si="23"/>
        <v>8024</v>
      </c>
      <c r="CC18" s="304">
        <f t="shared" si="23"/>
        <v>7764</v>
      </c>
      <c r="CD18" s="304">
        <f t="shared" si="23"/>
        <v>7811</v>
      </c>
      <c r="CE18" s="305">
        <f t="shared" si="23"/>
        <v>30334</v>
      </c>
      <c r="CF18" s="304">
        <f t="shared" si="23"/>
        <v>7784</v>
      </c>
      <c r="CG18" s="304">
        <f t="shared" si="23"/>
        <v>8896</v>
      </c>
      <c r="CH18" s="304">
        <f t="shared" si="23"/>
        <v>8257</v>
      </c>
      <c r="CI18" s="304">
        <f t="shared" si="23"/>
        <v>8751</v>
      </c>
      <c r="CJ18" s="305">
        <f t="shared" si="23"/>
        <v>33688</v>
      </c>
      <c r="CK18" s="304">
        <f t="shared" si="23"/>
        <v>8488</v>
      </c>
      <c r="CL18" s="304">
        <f t="shared" si="23"/>
        <v>9599</v>
      </c>
      <c r="CM18" s="304">
        <f t="shared" si="23"/>
        <v>8873</v>
      </c>
      <c r="CN18" s="304">
        <f t="shared" si="23"/>
        <v>9676</v>
      </c>
      <c r="CO18" s="305">
        <f t="shared" si="23"/>
        <v>36636</v>
      </c>
      <c r="CP18" s="304">
        <f t="shared" si="23"/>
        <v>9115</v>
      </c>
      <c r="CQ18" s="304">
        <f t="shared" si="23"/>
        <v>8922</v>
      </c>
      <c r="CR18" s="304">
        <f t="shared" si="23"/>
        <v>12258</v>
      </c>
      <c r="CS18" s="304">
        <f t="shared" si="23"/>
        <v>11191</v>
      </c>
      <c r="CT18" s="305">
        <f t="shared" si="23"/>
        <v>41486</v>
      </c>
      <c r="CU18" s="304">
        <f t="shared" si="23"/>
        <v>11087</v>
      </c>
      <c r="CV18" s="304">
        <f t="shared" ref="CV18:DT18" si="24">CV8-CV17</f>
        <v>12824</v>
      </c>
      <c r="CW18" s="304">
        <f t="shared" si="24"/>
        <v>11940</v>
      </c>
      <c r="CX18" s="304">
        <f t="shared" si="24"/>
        <v>12971</v>
      </c>
      <c r="CY18" s="305">
        <f t="shared" si="24"/>
        <v>48822</v>
      </c>
      <c r="CZ18" s="304">
        <f t="shared" si="24"/>
        <v>12213</v>
      </c>
      <c r="DA18" s="304">
        <f t="shared" si="24"/>
        <v>12722</v>
      </c>
      <c r="DB18" s="304">
        <f t="shared" si="24"/>
        <v>10834</v>
      </c>
      <c r="DC18" s="304">
        <f t="shared" si="24"/>
        <v>10513</v>
      </c>
      <c r="DD18" s="305">
        <f t="shared" si="24"/>
        <v>46282</v>
      </c>
      <c r="DE18" s="304">
        <f t="shared" si="24"/>
        <v>10078</v>
      </c>
      <c r="DF18" s="304">
        <f t="shared" si="24"/>
        <v>15394</v>
      </c>
      <c r="DG18" s="304">
        <f t="shared" si="24"/>
        <v>11748</v>
      </c>
      <c r="DH18" s="304">
        <f t="shared" si="24"/>
        <v>12869</v>
      </c>
      <c r="DI18" s="305">
        <f t="shared" si="24"/>
        <v>50089</v>
      </c>
      <c r="DJ18" s="304">
        <f t="shared" si="24"/>
        <v>13056</v>
      </c>
      <c r="DK18" s="304">
        <f t="shared" si="24"/>
        <v>15120</v>
      </c>
      <c r="DL18" s="304">
        <f t="shared" si="24"/>
        <v>12531</v>
      </c>
      <c r="DM18" s="304">
        <f t="shared" si="24"/>
        <v>13657.439999999999</v>
      </c>
      <c r="DN18" s="305">
        <f t="shared" si="24"/>
        <v>54364.44</v>
      </c>
      <c r="DO18" s="304">
        <f t="shared" si="24"/>
        <v>13595</v>
      </c>
      <c r="DP18" s="304">
        <f t="shared" si="24"/>
        <v>15247</v>
      </c>
      <c r="DQ18" s="304">
        <f t="shared" si="24"/>
        <v>13455</v>
      </c>
      <c r="DR18" s="304">
        <f t="shared" si="24"/>
        <v>13896</v>
      </c>
      <c r="DS18" s="305">
        <f t="shared" si="24"/>
        <v>56193</v>
      </c>
      <c r="DT18" s="304">
        <f t="shared" si="24"/>
        <v>11840</v>
      </c>
      <c r="DU18" s="1113">
        <v>15764</v>
      </c>
      <c r="DV18" s="1113">
        <v>15702</v>
      </c>
      <c r="DW18" s="304">
        <f t="shared" ref="DW18:EW18" si="25">DW8-DW17</f>
        <v>14294</v>
      </c>
      <c r="DX18" s="305">
        <f t="shared" si="25"/>
        <v>57600</v>
      </c>
      <c r="DY18" s="304">
        <f t="shared" si="25"/>
        <v>13415</v>
      </c>
      <c r="DZ18" s="304">
        <f t="shared" si="25"/>
        <v>16235</v>
      </c>
      <c r="EA18" s="304">
        <f t="shared" si="25"/>
        <v>14462</v>
      </c>
      <c r="EB18" s="304">
        <f t="shared" si="25"/>
        <v>15787</v>
      </c>
      <c r="EC18" s="305">
        <f t="shared" si="25"/>
        <v>59899</v>
      </c>
      <c r="ED18" s="304">
        <f t="shared" si="25"/>
        <v>14928</v>
      </c>
      <c r="EE18" s="304">
        <f t="shared" si="25"/>
        <v>16008</v>
      </c>
      <c r="EF18" s="304">
        <f t="shared" si="25"/>
        <v>14568</v>
      </c>
      <c r="EG18" s="304">
        <f t="shared" si="25"/>
        <v>14712</v>
      </c>
      <c r="EH18" s="305">
        <f t="shared" si="25"/>
        <v>60216</v>
      </c>
      <c r="EI18" s="2692">
        <f t="shared" si="25"/>
        <v>13703</v>
      </c>
      <c r="EJ18" s="2692">
        <f t="shared" si="25"/>
        <v>15381</v>
      </c>
      <c r="EK18" s="2692">
        <f t="shared" si="25"/>
        <v>13795</v>
      </c>
      <c r="EL18" s="2692">
        <f t="shared" si="25"/>
        <v>15495</v>
      </c>
      <c r="EM18" s="2693">
        <f t="shared" si="25"/>
        <v>58374</v>
      </c>
      <c r="EN18" s="2692">
        <f>EN8-EN17</f>
        <v>14084</v>
      </c>
      <c r="EO18" s="2692">
        <f t="shared" ref="EO18:EQ18" si="26">EO8-EO17</f>
        <v>15925</v>
      </c>
      <c r="EP18" s="2692">
        <f t="shared" si="26"/>
        <v>15152</v>
      </c>
      <c r="EQ18" s="2692">
        <f t="shared" si="26"/>
        <v>17149</v>
      </c>
      <c r="ER18" s="2693">
        <f t="shared" si="25"/>
        <v>62310</v>
      </c>
      <c r="ES18" s="2692">
        <f>ES8-ES17</f>
        <v>16260</v>
      </c>
      <c r="ET18" s="2692">
        <f t="shared" ref="ET18:EU18" si="27">ET8-ET17</f>
        <v>17854</v>
      </c>
      <c r="EU18" s="2692">
        <f t="shared" si="27"/>
        <v>17550</v>
      </c>
      <c r="EV18" s="304">
        <f t="shared" si="25"/>
        <v>19490.326669867565</v>
      </c>
      <c r="EW18" s="305">
        <f t="shared" si="25"/>
        <v>71154.326669867558</v>
      </c>
      <c r="EX18" s="304">
        <f t="shared" ref="EX18:FG18" si="28">EX8-EX17</f>
        <v>18387.609633704735</v>
      </c>
      <c r="EY18" s="304">
        <f t="shared" si="28"/>
        <v>20111.395146665076</v>
      </c>
      <c r="EZ18" s="304">
        <f t="shared" si="28"/>
        <v>19868.000548996992</v>
      </c>
      <c r="FA18" s="304">
        <f t="shared" si="28"/>
        <v>21926.559159860491</v>
      </c>
      <c r="FB18" s="305">
        <f t="shared" si="28"/>
        <v>80293.564489227283</v>
      </c>
      <c r="FC18" s="304">
        <f t="shared" si="28"/>
        <v>20833.95508658457</v>
      </c>
      <c r="FD18" s="304">
        <f t="shared" si="28"/>
        <v>22654.642321663792</v>
      </c>
      <c r="FE18" s="304">
        <f t="shared" si="28"/>
        <v>22845.362986778513</v>
      </c>
      <c r="FF18" s="304">
        <f t="shared" si="28"/>
        <v>25118.799504579179</v>
      </c>
      <c r="FG18" s="305">
        <f t="shared" si="28"/>
        <v>91452.759899606055</v>
      </c>
      <c r="FH18" s="304">
        <f t="shared" ref="FH18:FL18" si="29">FH8-FH17</f>
        <v>23472.891125447462</v>
      </c>
      <c r="FI18" s="304">
        <f t="shared" si="29"/>
        <v>25204.734290953347</v>
      </c>
      <c r="FJ18" s="304">
        <f t="shared" si="29"/>
        <v>25810.95085324267</v>
      </c>
      <c r="FK18" s="304">
        <f t="shared" si="29"/>
        <v>28257.8328530238</v>
      </c>
      <c r="FL18" s="305">
        <f t="shared" si="29"/>
        <v>102746.4091226673</v>
      </c>
      <c r="FN18" s="308">
        <f t="shared" ref="FN18:GB18" si="30">FN8-FN17</f>
        <v>19010</v>
      </c>
      <c r="FO18" s="308">
        <f t="shared" si="30"/>
        <v>20553</v>
      </c>
      <c r="FP18" s="308">
        <f t="shared" si="30"/>
        <v>22653</v>
      </c>
      <c r="FQ18" s="308">
        <f t="shared" si="30"/>
        <v>24541</v>
      </c>
      <c r="FR18" s="308">
        <f t="shared" si="30"/>
        <v>28081</v>
      </c>
      <c r="FS18" s="308">
        <f t="shared" si="30"/>
        <v>32255</v>
      </c>
      <c r="FT18" s="308">
        <f t="shared" si="30"/>
        <v>35095</v>
      </c>
      <c r="FU18" s="308">
        <f t="shared" si="30"/>
        <v>36586</v>
      </c>
      <c r="FV18" s="308">
        <f t="shared" si="30"/>
        <v>47360</v>
      </c>
      <c r="FW18" s="308">
        <f t="shared" si="30"/>
        <v>49846</v>
      </c>
      <c r="FX18" s="845">
        <f t="shared" si="30"/>
        <v>46819</v>
      </c>
      <c r="FY18" s="846">
        <f t="shared" si="30"/>
        <v>52793</v>
      </c>
      <c r="FZ18" s="846">
        <f t="shared" si="30"/>
        <v>55030.44</v>
      </c>
      <c r="GA18" s="846">
        <f t="shared" si="30"/>
        <v>54955</v>
      </c>
      <c r="GB18" s="846">
        <f t="shared" si="30"/>
        <v>59646</v>
      </c>
      <c r="GC18" s="846">
        <f t="shared" si="16"/>
        <v>61185</v>
      </c>
      <c r="GD18" s="846">
        <f>SUM(EI18:EJ18,EF18:EG18)</f>
        <v>58364</v>
      </c>
      <c r="GE18" s="846">
        <f>SUM(EN18:EO18,EK18:EL18)</f>
        <v>59299</v>
      </c>
      <c r="GF18" s="846">
        <f t="shared" si="17"/>
        <v>66415</v>
      </c>
      <c r="GG18" s="846">
        <f t="shared" si="18"/>
        <v>75539.331450237369</v>
      </c>
      <c r="GH18" s="846">
        <f t="shared" si="19"/>
        <v>85283.157117105846</v>
      </c>
      <c r="GI18" s="846">
        <f t="shared" si="20"/>
        <v>96641.787907758509</v>
      </c>
      <c r="GJ18" s="302"/>
      <c r="GK18" s="302"/>
      <c r="GL18" s="302"/>
      <c r="GN18"/>
      <c r="GO18"/>
      <c r="GP18"/>
      <c r="GQ18"/>
      <c r="GR18"/>
      <c r="GS18"/>
    </row>
    <row r="19" spans="1:201" s="264" customFormat="1" ht="12.75">
      <c r="A19" s="253" t="s">
        <v>113</v>
      </c>
      <c r="B19" s="253"/>
      <c r="C19" s="253"/>
      <c r="D19" s="312">
        <f t="shared" ref="D19:AI19" si="31">D18/D8</f>
        <v>0.7231638418079096</v>
      </c>
      <c r="E19" s="312">
        <f t="shared" si="31"/>
        <v>0.72365424381319032</v>
      </c>
      <c r="F19" s="312">
        <f t="shared" si="31"/>
        <v>0.73099723891505608</v>
      </c>
      <c r="G19" s="312">
        <f t="shared" si="31"/>
        <v>0.72850678733031671</v>
      </c>
      <c r="H19" s="313">
        <f t="shared" si="31"/>
        <v>0.72667615845825473</v>
      </c>
      <c r="I19" s="312">
        <f t="shared" si="31"/>
        <v>0.77037008687665043</v>
      </c>
      <c r="J19" s="312">
        <f t="shared" si="31"/>
        <v>0.76744186046511631</v>
      </c>
      <c r="K19" s="312">
        <f t="shared" si="31"/>
        <v>0.76923076923076927</v>
      </c>
      <c r="L19" s="312">
        <f t="shared" si="31"/>
        <v>0.77218934911242598</v>
      </c>
      <c r="M19" s="313">
        <f t="shared" si="31"/>
        <v>0.76984574606651202</v>
      </c>
      <c r="N19" s="312">
        <f t="shared" si="31"/>
        <v>0.76989713048186248</v>
      </c>
      <c r="O19" s="312">
        <f t="shared" si="31"/>
        <v>0.77633007600434312</v>
      </c>
      <c r="P19" s="312">
        <f t="shared" si="31"/>
        <v>0.77709611451942739</v>
      </c>
      <c r="Q19" s="312">
        <f t="shared" si="31"/>
        <v>0.78598484848484851</v>
      </c>
      <c r="R19" s="313">
        <f t="shared" si="31"/>
        <v>0.77800638908441178</v>
      </c>
      <c r="S19" s="312">
        <f t="shared" si="31"/>
        <v>0.78424657534246578</v>
      </c>
      <c r="T19" s="312">
        <f t="shared" si="31"/>
        <v>0.79737609329446069</v>
      </c>
      <c r="U19" s="312">
        <f t="shared" si="31"/>
        <v>0.79737609329446069</v>
      </c>
      <c r="V19" s="312">
        <f t="shared" si="31"/>
        <v>0.78440925700365405</v>
      </c>
      <c r="W19" s="313">
        <f t="shared" si="31"/>
        <v>0.79078141879726327</v>
      </c>
      <c r="X19" s="312">
        <f t="shared" si="31"/>
        <v>0.79611650485436891</v>
      </c>
      <c r="Y19" s="312">
        <f t="shared" si="31"/>
        <v>0.79788359788359786</v>
      </c>
      <c r="Z19" s="312">
        <f t="shared" si="31"/>
        <v>0.79153766769865841</v>
      </c>
      <c r="AA19" s="312">
        <f t="shared" si="31"/>
        <v>0.7862595419847328</v>
      </c>
      <c r="AB19" s="313">
        <f t="shared" si="31"/>
        <v>0.79265715795034342</v>
      </c>
      <c r="AC19" s="312">
        <f t="shared" si="31"/>
        <v>0.77108433734939763</v>
      </c>
      <c r="AD19" s="312">
        <f t="shared" si="31"/>
        <v>0.77312390924956365</v>
      </c>
      <c r="AE19" s="312">
        <f t="shared" si="31"/>
        <v>0.77478191911181604</v>
      </c>
      <c r="AF19" s="312">
        <f t="shared" si="31"/>
        <v>0.76735316552250188</v>
      </c>
      <c r="AG19" s="313">
        <f t="shared" si="31"/>
        <v>0.77153160797624099</v>
      </c>
      <c r="AH19" s="312">
        <f t="shared" si="31"/>
        <v>0.77637795275590549</v>
      </c>
      <c r="AI19" s="312">
        <f t="shared" si="31"/>
        <v>0.7816622691292876</v>
      </c>
      <c r="AJ19" s="312">
        <f t="shared" ref="AJ19:BO19" si="32">AJ18/AJ8</f>
        <v>0.78180700676090964</v>
      </c>
      <c r="AK19" s="312">
        <f t="shared" si="32"/>
        <v>0.77376654632972319</v>
      </c>
      <c r="AL19" s="313">
        <f t="shared" si="32"/>
        <v>0.77843621399176954</v>
      </c>
      <c r="AM19" s="312">
        <f t="shared" si="32"/>
        <v>0.7496402877697842</v>
      </c>
      <c r="AN19" s="312">
        <f t="shared" si="32"/>
        <v>0.75251421075644953</v>
      </c>
      <c r="AO19" s="312">
        <f t="shared" si="32"/>
        <v>0.76590220683686716</v>
      </c>
      <c r="AP19" s="312">
        <f t="shared" si="32"/>
        <v>0.78200253485424587</v>
      </c>
      <c r="AQ19" s="313">
        <f t="shared" si="32"/>
        <v>0.76298342541436459</v>
      </c>
      <c r="AR19" s="312">
        <f t="shared" si="32"/>
        <v>0.79958419958419957</v>
      </c>
      <c r="AS19" s="312">
        <f t="shared" si="32"/>
        <v>0.80128205128205132</v>
      </c>
      <c r="AT19" s="312">
        <f t="shared" si="32"/>
        <v>0.82674591381872209</v>
      </c>
      <c r="AU19" s="312">
        <f t="shared" si="32"/>
        <v>0.8371054198927933</v>
      </c>
      <c r="AV19" s="313">
        <f t="shared" si="32"/>
        <v>0.81819705093833783</v>
      </c>
      <c r="AW19" s="312">
        <f t="shared" si="32"/>
        <v>0.83983203359328129</v>
      </c>
      <c r="AX19" s="312">
        <f t="shared" si="32"/>
        <v>0.83834388185654007</v>
      </c>
      <c r="AY19" s="312">
        <f t="shared" si="32"/>
        <v>0.8393574297188755</v>
      </c>
      <c r="AZ19" s="312">
        <f t="shared" si="32"/>
        <v>0.83790944123314071</v>
      </c>
      <c r="BA19" s="313">
        <f t="shared" si="32"/>
        <v>0.83881535840649979</v>
      </c>
      <c r="BB19" s="312">
        <f t="shared" si="32"/>
        <v>0.84521822084426423</v>
      </c>
      <c r="BC19" s="312">
        <f t="shared" si="32"/>
        <v>0.84831568816169389</v>
      </c>
      <c r="BD19" s="312">
        <f t="shared" si="32"/>
        <v>0.84591947769314468</v>
      </c>
      <c r="BE19" s="312">
        <f t="shared" si="32"/>
        <v>0.88393476752255373</v>
      </c>
      <c r="BF19" s="313">
        <f t="shared" si="32"/>
        <v>0.85749734136830913</v>
      </c>
      <c r="BG19" s="312">
        <f t="shared" si="32"/>
        <v>0.86775631500742945</v>
      </c>
      <c r="BH19" s="312">
        <f t="shared" si="32"/>
        <v>0.87630890052356025</v>
      </c>
      <c r="BI19" s="312">
        <f t="shared" si="32"/>
        <v>0.86704384724186701</v>
      </c>
      <c r="BJ19" s="312">
        <f t="shared" si="32"/>
        <v>0.86526533425223984</v>
      </c>
      <c r="BK19" s="313">
        <f t="shared" si="32"/>
        <v>0.86922808851716327</v>
      </c>
      <c r="BL19" s="312">
        <f t="shared" si="32"/>
        <v>0.85691987513007284</v>
      </c>
      <c r="BM19" s="312">
        <f t="shared" si="32"/>
        <v>0.86809160305343513</v>
      </c>
      <c r="BN19" s="312">
        <f t="shared" si="32"/>
        <v>0.85959706387630797</v>
      </c>
      <c r="BO19" s="312">
        <f t="shared" si="32"/>
        <v>0.86817698038619429</v>
      </c>
      <c r="BP19" s="313">
        <f t="shared" ref="BP19:CU19" si="33">BP18/BP8</f>
        <v>0.86341714104996836</v>
      </c>
      <c r="BQ19" s="312">
        <f t="shared" si="33"/>
        <v>0.8556970290564806</v>
      </c>
      <c r="BR19" s="312">
        <f t="shared" si="33"/>
        <v>0.80054256556000514</v>
      </c>
      <c r="BS19" s="312">
        <f t="shared" si="33"/>
        <v>0.80745341614906829</v>
      </c>
      <c r="BT19" s="312">
        <f t="shared" si="33"/>
        <v>0.81138839101061633</v>
      </c>
      <c r="BU19" s="313">
        <f t="shared" si="33"/>
        <v>0.8169927727833598</v>
      </c>
      <c r="BV19" s="312">
        <f t="shared" si="33"/>
        <v>0.82649109217660732</v>
      </c>
      <c r="BW19" s="312">
        <f t="shared" si="33"/>
        <v>0.74979510595948951</v>
      </c>
      <c r="BX19" s="312">
        <f t="shared" si="33"/>
        <v>0.83739629865985965</v>
      </c>
      <c r="BY19" s="312">
        <f t="shared" si="33"/>
        <v>0.83831370117792936</v>
      </c>
      <c r="BZ19" s="313">
        <f t="shared" si="33"/>
        <v>0.81175629912697678</v>
      </c>
      <c r="CA19" s="312">
        <f t="shared" si="33"/>
        <v>0.81984175289105299</v>
      </c>
      <c r="CB19" s="312">
        <f t="shared" si="33"/>
        <v>0.79030828326602975</v>
      </c>
      <c r="CC19" s="312">
        <f t="shared" si="33"/>
        <v>0.84621253405994545</v>
      </c>
      <c r="CD19" s="312">
        <f t="shared" si="33"/>
        <v>0.84061558329746022</v>
      </c>
      <c r="CE19" s="313">
        <f t="shared" si="33"/>
        <v>0.82351024840504949</v>
      </c>
      <c r="CF19" s="312">
        <f t="shared" si="33"/>
        <v>0.84709979323103712</v>
      </c>
      <c r="CG19" s="312">
        <f t="shared" si="33"/>
        <v>0.82233314845627659</v>
      </c>
      <c r="CH19" s="312">
        <f t="shared" si="33"/>
        <v>0.85831600831600829</v>
      </c>
      <c r="CI19" s="312">
        <f t="shared" si="33"/>
        <v>0.86123413049896669</v>
      </c>
      <c r="CJ19" s="313">
        <f t="shared" si="33"/>
        <v>0.84668744345028657</v>
      </c>
      <c r="CK19" s="312">
        <f t="shared" si="33"/>
        <v>0.87136844266502411</v>
      </c>
      <c r="CL19" s="312">
        <f t="shared" si="33"/>
        <v>0.81086332150701135</v>
      </c>
      <c r="CM19" s="312">
        <f t="shared" si="33"/>
        <v>0.81396202183285937</v>
      </c>
      <c r="CN19" s="312">
        <f t="shared" si="33"/>
        <v>0.81958326274775539</v>
      </c>
      <c r="CO19" s="313">
        <f t="shared" si="33"/>
        <v>0.82725917897303891</v>
      </c>
      <c r="CP19" s="312">
        <f t="shared" si="33"/>
        <v>0.8431227453519563</v>
      </c>
      <c r="CQ19" s="312">
        <f t="shared" si="33"/>
        <v>0.71136979748046558</v>
      </c>
      <c r="CR19" s="312">
        <f t="shared" si="33"/>
        <v>0.85136824558966528</v>
      </c>
      <c r="CS19" s="312">
        <f t="shared" si="33"/>
        <v>0.83696058634357939</v>
      </c>
      <c r="CT19" s="313">
        <f t="shared" si="33"/>
        <v>0.81150972184186843</v>
      </c>
      <c r="CU19" s="312">
        <f t="shared" si="33"/>
        <v>0.80562418253160872</v>
      </c>
      <c r="CV19" s="312">
        <f t="shared" ref="CV19:EC19" si="34">CV18/CV8</f>
        <v>0.78352783039041973</v>
      </c>
      <c r="CW19" s="312">
        <f t="shared" si="34"/>
        <v>0.82606890826068913</v>
      </c>
      <c r="CX19" s="312">
        <f t="shared" si="34"/>
        <v>0.81903138220622596</v>
      </c>
      <c r="CY19" s="313">
        <f t="shared" si="34"/>
        <v>0.80804369414101296</v>
      </c>
      <c r="CZ19" s="312">
        <f t="shared" si="34"/>
        <v>0.81090233052254168</v>
      </c>
      <c r="DA19" s="312">
        <f t="shared" si="34"/>
        <v>0.76504901076432741</v>
      </c>
      <c r="DB19" s="312">
        <f t="shared" si="34"/>
        <v>0.79381594372801878</v>
      </c>
      <c r="DC19" s="312">
        <f t="shared" si="34"/>
        <v>0.80258034964501102</v>
      </c>
      <c r="DD19" s="313">
        <f t="shared" si="34"/>
        <v>0.79199822030562828</v>
      </c>
      <c r="DE19" s="312">
        <f t="shared" si="34"/>
        <v>0.78003095975232195</v>
      </c>
      <c r="DF19" s="312">
        <f t="shared" si="34"/>
        <v>0.8092734728209442</v>
      </c>
      <c r="DG19" s="312">
        <f t="shared" si="34"/>
        <v>0.8100393022133352</v>
      </c>
      <c r="DH19" s="312">
        <f t="shared" si="34"/>
        <v>0.80235675540869134</v>
      </c>
      <c r="DI19" s="313">
        <f t="shared" si="34"/>
        <v>0.80162921707957235</v>
      </c>
      <c r="DJ19" s="312">
        <f t="shared" si="34"/>
        <v>0.8061747452917567</v>
      </c>
      <c r="DK19" s="312">
        <f t="shared" si="34"/>
        <v>0.75778078484438427</v>
      </c>
      <c r="DL19" s="312">
        <f t="shared" si="34"/>
        <v>0.76278305332359386</v>
      </c>
      <c r="DM19" s="312">
        <f t="shared" si="34"/>
        <v>0.78647244181546794</v>
      </c>
      <c r="DN19" s="313">
        <f t="shared" si="34"/>
        <v>0.77728511165912517</v>
      </c>
      <c r="DO19" s="312">
        <f t="shared" si="34"/>
        <v>0.78258116509325348</v>
      </c>
      <c r="DP19" s="312">
        <f t="shared" si="34"/>
        <v>0.73004548719176443</v>
      </c>
      <c r="DQ19" s="312">
        <f t="shared" si="34"/>
        <v>0.77296489917849143</v>
      </c>
      <c r="DR19" s="312">
        <f t="shared" si="34"/>
        <v>0.76947782269228637</v>
      </c>
      <c r="DS19" s="313">
        <f t="shared" si="34"/>
        <v>0.76221803236439101</v>
      </c>
      <c r="DT19" s="312">
        <f t="shared" si="34"/>
        <v>0.73963018490754617</v>
      </c>
      <c r="DU19" s="312">
        <f t="shared" si="34"/>
        <v>0.7347129008202834</v>
      </c>
      <c r="DV19" s="312">
        <f t="shared" si="34"/>
        <v>0.76636243838157059</v>
      </c>
      <c r="DW19" s="312">
        <f t="shared" si="34"/>
        <v>0.71843586650583036</v>
      </c>
      <c r="DX19" s="313">
        <f t="shared" si="34"/>
        <v>0.7398938971598864</v>
      </c>
      <c r="DY19" s="312">
        <f t="shared" si="34"/>
        <v>0.72400021587781316</v>
      </c>
      <c r="DZ19" s="312">
        <f t="shared" si="34"/>
        <v>0.66213956523512374</v>
      </c>
      <c r="EA19" s="312">
        <f t="shared" si="34"/>
        <v>0.70881733078468856</v>
      </c>
      <c r="EB19" s="312">
        <f>'Rev Overview'!BN203</f>
        <v>0.6735095372508767</v>
      </c>
      <c r="EC19" s="313">
        <f t="shared" si="34"/>
        <v>0.68981838701876019</v>
      </c>
      <c r="ED19" s="312">
        <f>ED18/ED8</f>
        <v>0.64342054221800782</v>
      </c>
      <c r="EE19" s="312">
        <f>EE18/EE8</f>
        <v>0.61230110159118722</v>
      </c>
      <c r="EF19" s="312">
        <f>EF18/EF8</f>
        <v>0.67044042523816094</v>
      </c>
      <c r="EG19" s="312">
        <f>EG18/EG8</f>
        <v>0.66330027051397655</v>
      </c>
      <c r="EH19" s="313">
        <f>EH18/EH8</f>
        <v>0.64572029081862437</v>
      </c>
      <c r="EI19" s="312">
        <f>'Rev Overview'!BU63</f>
        <v>0.65533237685318024</v>
      </c>
      <c r="EJ19" s="312">
        <f>'Rev Overview'!BV63</f>
        <v>0.60907614936839183</v>
      </c>
      <c r="EK19" s="312">
        <f>'Rev Overview'!BW63</f>
        <v>0.64112097411349167</v>
      </c>
      <c r="EL19" s="312">
        <f>'Rev Overview'!BX63</f>
        <v>0.66009201669932693</v>
      </c>
      <c r="EM19" s="313">
        <f>'Rev Overview'!BY63</f>
        <v>0.64038879259275516</v>
      </c>
      <c r="EN19" s="312">
        <f>'Rev Overview'!BZ63</f>
        <v>0.64228383801532285</v>
      </c>
      <c r="EO19" s="312">
        <f>'Rev Overview'!CA63</f>
        <v>0.61662665530860372</v>
      </c>
      <c r="EP19" s="312">
        <f>'Rev Overview'!CB63</f>
        <v>0.65276581078752371</v>
      </c>
      <c r="EQ19" s="312">
        <f>'Rev Overview'!CC63</f>
        <v>0.66975200156219483</v>
      </c>
      <c r="ER19" s="313">
        <f>'Rev Overview'!CD63</f>
        <v>0.64522475691460168</v>
      </c>
      <c r="ES19" s="312">
        <f>'Rev Overview'!CE63</f>
        <v>0.66264569239546822</v>
      </c>
      <c r="ET19" s="312">
        <f>'Rev Overview'!CF63</f>
        <v>0.6174009267584204</v>
      </c>
      <c r="EU19" s="312">
        <f>'Rev Overview'!CG63</f>
        <v>0.65438681531749876</v>
      </c>
      <c r="EV19" s="312">
        <f>'Rev Overview'!CH63</f>
        <v>0.66757876253801529</v>
      </c>
      <c r="EW19" s="313">
        <f>'Rev Overview'!CI63</f>
        <v>0.64998603803036537</v>
      </c>
      <c r="EX19" s="312">
        <f>'Rev Overview'!CJ63</f>
        <v>0.66297079508145973</v>
      </c>
      <c r="EY19" s="312">
        <f>'Rev Overview'!CK63</f>
        <v>0.62457910054011578</v>
      </c>
      <c r="EZ19" s="312">
        <f>'Rev Overview'!CL63</f>
        <v>0.66321670356666407</v>
      </c>
      <c r="FA19" s="312">
        <f>'Rev Overview'!CM63</f>
        <v>0.67172599219144191</v>
      </c>
      <c r="FB19" s="313">
        <f>'Rev Overview'!CN63</f>
        <v>0.65527454176948463</v>
      </c>
      <c r="FC19" s="312">
        <f>'Rev Overview'!CO63</f>
        <v>0.66955920803955649</v>
      </c>
      <c r="FD19" s="312">
        <f>'Rev Overview'!CP63</f>
        <v>0.63605033863010296</v>
      </c>
      <c r="FE19" s="312">
        <f>'Rev Overview'!CQ63</f>
        <v>0.6725678239881282</v>
      </c>
      <c r="FF19" s="312">
        <f>'Rev Overview'!CR63</f>
        <v>0.67862831127046996</v>
      </c>
      <c r="FG19" s="313">
        <f>'Rev Overview'!CS63</f>
        <v>0.66407230508511983</v>
      </c>
      <c r="FH19" s="312">
        <f>'Rev Overview'!CT63</f>
        <v>0.67390283573898746</v>
      </c>
      <c r="FI19" s="312">
        <f>'Rev Overview'!CU63</f>
        <v>0.64435837554242392</v>
      </c>
      <c r="FJ19" s="312">
        <f>'Rev Overview'!CV63</f>
        <v>0.67997166535862008</v>
      </c>
      <c r="FK19" s="312">
        <f>'Rev Overview'!CW63</f>
        <v>0.68428054571983266</v>
      </c>
      <c r="FL19" s="313">
        <f>'Rev Overview'!CX63</f>
        <v>0.67066043875943349</v>
      </c>
      <c r="FN19" s="316">
        <f t="shared" ref="FN19:GF19" si="35">FN18/FN8</f>
        <v>0.86982383893845805</v>
      </c>
      <c r="FO19" s="316">
        <f t="shared" si="35"/>
        <v>0.86444313593539701</v>
      </c>
      <c r="FP19" s="316">
        <f t="shared" si="35"/>
        <v>0.84378142809252432</v>
      </c>
      <c r="FQ19" s="316">
        <f t="shared" si="35"/>
        <v>0.79717394835146982</v>
      </c>
      <c r="FR19" s="316">
        <f t="shared" si="35"/>
        <v>0.8194525504844169</v>
      </c>
      <c r="FS19" s="316">
        <f t="shared" si="35"/>
        <v>0.8383583718875085</v>
      </c>
      <c r="FT19" s="316">
        <f t="shared" si="35"/>
        <v>0.84852514506769827</v>
      </c>
      <c r="FU19" s="316">
        <f t="shared" si="35"/>
        <v>0.79431176726009556</v>
      </c>
      <c r="FV19" s="316">
        <f t="shared" si="35"/>
        <v>0.8179902587308715</v>
      </c>
      <c r="FW19" s="316">
        <f t="shared" si="35"/>
        <v>0.80421419467256094</v>
      </c>
      <c r="FX19" s="847">
        <f t="shared" si="35"/>
        <v>0.79774744841452405</v>
      </c>
      <c r="FY19" s="854">
        <f t="shared" si="35"/>
        <v>0.79161793372319689</v>
      </c>
      <c r="FZ19" s="854">
        <f t="shared" si="35"/>
        <v>0.76377659872722503</v>
      </c>
      <c r="GA19" s="854">
        <f t="shared" si="35"/>
        <v>0.75353078294254761</v>
      </c>
      <c r="GB19" s="854">
        <f t="shared" si="35"/>
        <v>0.71489698320808315</v>
      </c>
      <c r="GC19" s="854">
        <f t="shared" si="35"/>
        <v>0.65698485987329536</v>
      </c>
      <c r="GD19" s="854">
        <f t="shared" si="35"/>
        <v>0.6479705124789058</v>
      </c>
      <c r="GE19" s="854">
        <f t="shared" si="35"/>
        <v>0.63937678581055579</v>
      </c>
      <c r="GF19" s="854">
        <f t="shared" si="35"/>
        <v>0.64938937940609931</v>
      </c>
      <c r="GG19" s="854">
        <f>GG18/GG8</f>
        <v>0.6514839888680839</v>
      </c>
      <c r="GH19" s="854">
        <f>GH18/GH8</f>
        <v>0.65940878205549847</v>
      </c>
      <c r="GI19" s="854">
        <f>GI18/GI8</f>
        <v>0.66682280860953558</v>
      </c>
      <c r="GJ19" s="363"/>
      <c r="GK19" s="363"/>
      <c r="GL19" s="363"/>
      <c r="GN19"/>
      <c r="GO19"/>
      <c r="GP19"/>
      <c r="GQ19"/>
      <c r="GR19"/>
      <c r="GS19"/>
    </row>
    <row r="20" spans="1:201" s="264" customFormat="1" ht="12.75">
      <c r="A20" s="253"/>
      <c r="B20" s="253"/>
      <c r="C20" s="253"/>
      <c r="D20" s="312"/>
      <c r="E20" s="312"/>
      <c r="F20" s="312"/>
      <c r="G20" s="312"/>
      <c r="H20" s="313"/>
      <c r="I20" s="312"/>
      <c r="J20" s="312"/>
      <c r="K20" s="312"/>
      <c r="L20" s="312"/>
      <c r="M20" s="313"/>
      <c r="N20" s="312"/>
      <c r="O20" s="312"/>
      <c r="P20" s="312"/>
      <c r="Q20" s="312"/>
      <c r="R20" s="313"/>
      <c r="S20" s="312"/>
      <c r="T20" s="312"/>
      <c r="U20" s="312"/>
      <c r="V20" s="312"/>
      <c r="W20" s="313"/>
      <c r="X20" s="312"/>
      <c r="Y20" s="312"/>
      <c r="Z20" s="312"/>
      <c r="AA20" s="312"/>
      <c r="AB20" s="313"/>
      <c r="AC20" s="312"/>
      <c r="AD20" s="312"/>
      <c r="AE20" s="312"/>
      <c r="AF20" s="312"/>
      <c r="AG20" s="313"/>
      <c r="AH20" s="312"/>
      <c r="AI20" s="312"/>
      <c r="AJ20" s="312"/>
      <c r="AK20" s="312"/>
      <c r="AL20" s="313"/>
      <c r="AM20" s="312"/>
      <c r="AN20" s="312"/>
      <c r="AO20" s="312"/>
      <c r="AP20" s="312"/>
      <c r="AQ20" s="313"/>
      <c r="AR20" s="312"/>
      <c r="AS20" s="312"/>
      <c r="AT20" s="312"/>
      <c r="AU20" s="312"/>
      <c r="AV20" s="313"/>
      <c r="AW20" s="312"/>
      <c r="AX20" s="312"/>
      <c r="AY20" s="312"/>
      <c r="AZ20" s="312"/>
      <c r="BA20" s="313"/>
      <c r="BB20" s="312"/>
      <c r="BC20" s="312"/>
      <c r="BD20" s="312"/>
      <c r="BE20" s="312"/>
      <c r="BF20" s="313"/>
      <c r="BG20" s="312"/>
      <c r="BH20" s="312"/>
      <c r="BI20" s="312"/>
      <c r="BJ20" s="312"/>
      <c r="BK20" s="313"/>
      <c r="BL20" s="312"/>
      <c r="BM20" s="312"/>
      <c r="BN20" s="312"/>
      <c r="BO20" s="312"/>
      <c r="BP20" s="313"/>
      <c r="BQ20" s="312"/>
      <c r="BR20" s="312"/>
      <c r="BS20" s="312"/>
      <c r="BT20" s="312"/>
      <c r="BU20" s="313"/>
      <c r="BV20" s="312"/>
      <c r="BW20" s="312"/>
      <c r="BX20" s="312"/>
      <c r="BY20" s="312"/>
      <c r="BZ20" s="313"/>
      <c r="CA20" s="312"/>
      <c r="CB20" s="312"/>
      <c r="CC20" s="312"/>
      <c r="CD20" s="312"/>
      <c r="CE20" s="313"/>
      <c r="CF20" s="312"/>
      <c r="CG20" s="312"/>
      <c r="CH20" s="312"/>
      <c r="CI20" s="312"/>
      <c r="CJ20" s="313"/>
      <c r="CK20" s="312"/>
      <c r="CL20" s="312"/>
      <c r="CM20" s="312"/>
      <c r="CN20" s="312"/>
      <c r="CO20" s="313"/>
      <c r="CP20" s="312"/>
      <c r="CQ20" s="312"/>
      <c r="CR20" s="312"/>
      <c r="CS20" s="312"/>
      <c r="CT20" s="313"/>
      <c r="CU20" s="312"/>
      <c r="CV20" s="312"/>
      <c r="CW20" s="312"/>
      <c r="CX20" s="312"/>
      <c r="CY20" s="313"/>
      <c r="CZ20" s="312"/>
      <c r="DA20" s="312"/>
      <c r="DB20" s="312"/>
      <c r="DC20" s="312"/>
      <c r="DD20" s="313"/>
      <c r="DE20" s="312"/>
      <c r="DF20" s="312"/>
      <c r="DG20" s="312"/>
      <c r="DH20" s="312"/>
      <c r="DI20" s="313"/>
      <c r="DJ20" s="312"/>
      <c r="DK20" s="312"/>
      <c r="DL20" s="312"/>
      <c r="DM20" s="312"/>
      <c r="DN20" s="313"/>
      <c r="DO20" s="312"/>
      <c r="DP20" s="312"/>
      <c r="DQ20" s="312"/>
      <c r="DR20" s="312"/>
      <c r="DS20" s="313"/>
      <c r="DT20" s="312"/>
      <c r="DU20" s="312"/>
      <c r="DV20" s="312"/>
      <c r="DW20" s="312"/>
      <c r="DX20" s="313"/>
      <c r="DY20" s="312"/>
      <c r="DZ20" s="312"/>
      <c r="EA20" s="312"/>
      <c r="EB20" s="312"/>
      <c r="EC20" s="313"/>
      <c r="ED20" s="312"/>
      <c r="EE20" s="312"/>
      <c r="EF20" s="312"/>
      <c r="EG20" s="312"/>
      <c r="EH20" s="313"/>
      <c r="EI20" s="312"/>
      <c r="EJ20" s="312"/>
      <c r="EK20" s="312"/>
      <c r="EL20" s="312"/>
      <c r="EM20" s="313"/>
      <c r="EN20" s="312"/>
      <c r="EO20" s="312"/>
      <c r="EP20" s="312"/>
      <c r="EQ20" s="312"/>
      <c r="ER20" s="313"/>
      <c r="ES20" s="312"/>
      <c r="ET20" s="312"/>
      <c r="EU20" s="312"/>
      <c r="EV20" s="312"/>
      <c r="EW20" s="313"/>
      <c r="EX20" s="312"/>
      <c r="EY20" s="312"/>
      <c r="EZ20" s="312"/>
      <c r="FA20" s="312"/>
      <c r="FB20" s="313"/>
      <c r="FC20" s="312"/>
      <c r="FD20" s="312"/>
      <c r="FE20" s="312"/>
      <c r="FF20" s="312"/>
      <c r="FG20" s="313"/>
      <c r="FH20" s="312"/>
      <c r="FI20" s="312"/>
      <c r="FJ20" s="312"/>
      <c r="FK20" s="312"/>
      <c r="FL20" s="313"/>
      <c r="FN20" s="316"/>
      <c r="FO20" s="316"/>
      <c r="FP20" s="316"/>
      <c r="FQ20" s="316"/>
      <c r="FR20" s="316"/>
      <c r="FS20" s="316"/>
      <c r="FT20" s="316"/>
      <c r="FU20" s="316"/>
      <c r="FV20" s="316"/>
      <c r="FW20" s="316"/>
      <c r="FX20" s="847"/>
      <c r="FY20" s="854"/>
      <c r="FZ20" s="854"/>
      <c r="GA20" s="854"/>
      <c r="GB20" s="854"/>
      <c r="GC20" s="854"/>
      <c r="GD20" s="854"/>
      <c r="GE20" s="854"/>
      <c r="GF20" s="854"/>
      <c r="GG20" s="854"/>
      <c r="GH20" s="854"/>
      <c r="GI20" s="854"/>
      <c r="GJ20" s="363"/>
      <c r="GK20" s="363"/>
      <c r="GL20" s="363"/>
      <c r="GN20"/>
      <c r="GO20"/>
      <c r="GP20"/>
      <c r="GQ20"/>
      <c r="GR20"/>
      <c r="GS20"/>
    </row>
    <row r="21" spans="1:201" s="264" customFormat="1" ht="12.75">
      <c r="A21" s="2575" t="s">
        <v>1428</v>
      </c>
      <c r="B21" s="2575"/>
      <c r="C21" s="2575"/>
      <c r="D21" s="2578"/>
      <c r="E21" s="2578"/>
      <c r="F21" s="2578"/>
      <c r="G21" s="2578"/>
      <c r="H21" s="2579"/>
      <c r="I21" s="2578"/>
      <c r="J21" s="2578"/>
      <c r="K21" s="2578"/>
      <c r="L21" s="2578"/>
      <c r="M21" s="2579"/>
      <c r="N21" s="2578"/>
      <c r="O21" s="2578"/>
      <c r="P21" s="2578"/>
      <c r="Q21" s="2578"/>
      <c r="R21" s="2579"/>
      <c r="S21" s="2578"/>
      <c r="T21" s="2578"/>
      <c r="U21" s="2578"/>
      <c r="V21" s="2578"/>
      <c r="W21" s="2579"/>
      <c r="X21" s="2578"/>
      <c r="Y21" s="2578"/>
      <c r="Z21" s="2578"/>
      <c r="AA21" s="2578"/>
      <c r="AB21" s="2579"/>
      <c r="AC21" s="2578"/>
      <c r="AD21" s="2578"/>
      <c r="AE21" s="2578"/>
      <c r="AF21" s="2578"/>
      <c r="AG21" s="2579"/>
      <c r="AH21" s="2578"/>
      <c r="AI21" s="2578"/>
      <c r="AJ21" s="2578"/>
      <c r="AK21" s="2578"/>
      <c r="AL21" s="2579"/>
      <c r="AM21" s="2578"/>
      <c r="AN21" s="2578"/>
      <c r="AO21" s="2578"/>
      <c r="AP21" s="2578"/>
      <c r="AQ21" s="2579"/>
      <c r="AR21" s="2578"/>
      <c r="AS21" s="2578"/>
      <c r="AT21" s="2578"/>
      <c r="AU21" s="2578"/>
      <c r="AV21" s="2579"/>
      <c r="AW21" s="2578"/>
      <c r="AX21" s="2578"/>
      <c r="AY21" s="2578"/>
      <c r="AZ21" s="2578"/>
      <c r="BA21" s="2579"/>
      <c r="BB21" s="2578"/>
      <c r="BC21" s="2578"/>
      <c r="BD21" s="2578"/>
      <c r="BE21" s="2578"/>
      <c r="BF21" s="2579"/>
      <c r="BG21" s="2578"/>
      <c r="BH21" s="2578"/>
      <c r="BI21" s="2578"/>
      <c r="BJ21" s="2578"/>
      <c r="BK21" s="2579"/>
      <c r="BL21" s="2578"/>
      <c r="BM21" s="2578"/>
      <c r="BN21" s="2578"/>
      <c r="BO21" s="2578"/>
      <c r="BP21" s="2579"/>
      <c r="BQ21" s="2578"/>
      <c r="BR21" s="2578"/>
      <c r="BS21" s="2578"/>
      <c r="BT21" s="2578"/>
      <c r="BU21" s="2579"/>
      <c r="BV21" s="2578"/>
      <c r="BW21" s="2578"/>
      <c r="BX21" s="2578"/>
      <c r="BY21" s="2578"/>
      <c r="BZ21" s="2579"/>
      <c r="CA21" s="2578"/>
      <c r="CB21" s="2578"/>
      <c r="CC21" s="2578"/>
      <c r="CD21" s="2578"/>
      <c r="CE21" s="2579"/>
      <c r="CF21" s="2578"/>
      <c r="CG21" s="2578"/>
      <c r="CH21" s="2578"/>
      <c r="CI21" s="2578"/>
      <c r="CJ21" s="2579"/>
      <c r="CK21" s="2578"/>
      <c r="CL21" s="2578"/>
      <c r="CM21" s="2578"/>
      <c r="CN21" s="2578"/>
      <c r="CO21" s="2579"/>
      <c r="CP21" s="2578"/>
      <c r="CQ21" s="2578"/>
      <c r="CR21" s="2578"/>
      <c r="CS21" s="2578"/>
      <c r="CT21" s="2579"/>
      <c r="CU21" s="2578"/>
      <c r="CV21" s="2578"/>
      <c r="CW21" s="2578"/>
      <c r="CX21" s="2578"/>
      <c r="CY21" s="2579"/>
      <c r="CZ21" s="2578"/>
      <c r="DA21" s="2578"/>
      <c r="DB21" s="2578"/>
      <c r="DC21" s="2578"/>
      <c r="DD21" s="2579"/>
      <c r="DE21" s="2578"/>
      <c r="DF21" s="2578"/>
      <c r="DG21" s="2578"/>
      <c r="DH21" s="2578"/>
      <c r="DI21" s="2579"/>
      <c r="DJ21" s="2578"/>
      <c r="DK21" s="2578"/>
      <c r="DL21" s="2578"/>
      <c r="DM21" s="2578"/>
      <c r="DN21" s="2579"/>
      <c r="DO21" s="2578"/>
      <c r="DP21" s="2578"/>
      <c r="DQ21" s="2578"/>
      <c r="DR21" s="2578"/>
      <c r="DS21" s="2579"/>
      <c r="DT21" s="2578"/>
      <c r="DU21" s="2578"/>
      <c r="DV21" s="2578"/>
      <c r="DW21" s="2578"/>
      <c r="DX21" s="2579"/>
      <c r="DY21" s="2578"/>
      <c r="DZ21" s="2578"/>
      <c r="EA21" s="2578"/>
      <c r="EB21" s="2578"/>
      <c r="EC21" s="2579"/>
      <c r="ED21" s="2578"/>
      <c r="EE21" s="2578"/>
      <c r="EF21" s="2578"/>
      <c r="EG21" s="2578"/>
      <c r="EH21" s="2579"/>
      <c r="EI21" s="2578"/>
      <c r="EJ21" s="2578"/>
      <c r="EK21" s="2578"/>
      <c r="EL21" s="2578"/>
      <c r="EM21" s="2579"/>
      <c r="EN21" s="2578"/>
      <c r="EO21" s="2699">
        <v>72</v>
      </c>
      <c r="EP21" s="2699">
        <v>218</v>
      </c>
      <c r="EQ21" s="2699">
        <v>217</v>
      </c>
      <c r="ER21" s="2700">
        <f>SUM(EN21:EQ21)</f>
        <v>507</v>
      </c>
      <c r="ES21" s="2580">
        <v>218</v>
      </c>
      <c r="ET21" s="2699">
        <v>222</v>
      </c>
      <c r="EU21" s="2699">
        <v>224</v>
      </c>
      <c r="EV21" s="2580">
        <v>220</v>
      </c>
      <c r="EW21" s="2581">
        <f>SUM(ES21:EV21)</f>
        <v>884</v>
      </c>
      <c r="EX21" s="2580">
        <v>220</v>
      </c>
      <c r="EY21" s="2580">
        <v>220</v>
      </c>
      <c r="EZ21" s="2580">
        <v>220</v>
      </c>
      <c r="FA21" s="2580">
        <v>220</v>
      </c>
      <c r="FB21" s="2581">
        <f>SUM(EX21:FA21)</f>
        <v>880</v>
      </c>
      <c r="FC21" s="2580">
        <v>220</v>
      </c>
      <c r="FD21" s="2580">
        <v>220</v>
      </c>
      <c r="FE21" s="2580">
        <v>220</v>
      </c>
      <c r="FF21" s="2580">
        <v>220</v>
      </c>
      <c r="FG21" s="2581">
        <f>SUM(FC21:FF21)</f>
        <v>880</v>
      </c>
      <c r="FH21" s="2580">
        <v>220</v>
      </c>
      <c r="FI21" s="2580">
        <v>220</v>
      </c>
      <c r="FJ21" s="2580">
        <v>220</v>
      </c>
      <c r="FK21" s="2580">
        <v>220</v>
      </c>
      <c r="FL21" s="2581">
        <f>SUM(FH21:FK21)</f>
        <v>880</v>
      </c>
      <c r="FN21" s="316"/>
      <c r="FO21" s="316"/>
      <c r="FP21" s="316"/>
      <c r="FQ21" s="316"/>
      <c r="FR21" s="316"/>
      <c r="FS21" s="316"/>
      <c r="FT21" s="316"/>
      <c r="FU21" s="316"/>
      <c r="FV21" s="316"/>
      <c r="FW21" s="316"/>
      <c r="FX21" s="847"/>
      <c r="FY21" s="854"/>
      <c r="FZ21" s="854"/>
      <c r="GA21" s="854"/>
      <c r="GB21" s="854"/>
      <c r="GC21" s="854"/>
      <c r="GD21" s="854"/>
      <c r="GE21" s="854"/>
      <c r="GF21" s="854"/>
      <c r="GG21" s="854"/>
      <c r="GH21" s="854"/>
      <c r="GI21" s="854"/>
      <c r="GJ21" s="363"/>
      <c r="GK21" s="363"/>
      <c r="GL21" s="363"/>
      <c r="GN21"/>
      <c r="GO21"/>
      <c r="GP21"/>
      <c r="GQ21"/>
      <c r="GR21"/>
      <c r="GS21"/>
    </row>
    <row r="22" spans="1:201" s="264" customFormat="1" ht="12.75">
      <c r="A22" s="2575" t="s">
        <v>1430</v>
      </c>
      <c r="B22" s="2575"/>
      <c r="C22" s="2575"/>
      <c r="D22" s="2578"/>
      <c r="E22" s="2578"/>
      <c r="F22" s="2578"/>
      <c r="G22" s="2578"/>
      <c r="H22" s="2579"/>
      <c r="I22" s="2578"/>
      <c r="J22" s="2578"/>
      <c r="K22" s="2578"/>
      <c r="L22" s="2578"/>
      <c r="M22" s="2579"/>
      <c r="N22" s="2578"/>
      <c r="O22" s="2578"/>
      <c r="P22" s="2578"/>
      <c r="Q22" s="2578"/>
      <c r="R22" s="2579"/>
      <c r="S22" s="2578"/>
      <c r="T22" s="2578"/>
      <c r="U22" s="2578"/>
      <c r="V22" s="2578"/>
      <c r="W22" s="2579"/>
      <c r="X22" s="2578"/>
      <c r="Y22" s="2578"/>
      <c r="Z22" s="2578"/>
      <c r="AA22" s="2578"/>
      <c r="AB22" s="2579"/>
      <c r="AC22" s="2578"/>
      <c r="AD22" s="2578"/>
      <c r="AE22" s="2578"/>
      <c r="AF22" s="2578"/>
      <c r="AG22" s="2579"/>
      <c r="AH22" s="2578"/>
      <c r="AI22" s="2578"/>
      <c r="AJ22" s="2578"/>
      <c r="AK22" s="2578"/>
      <c r="AL22" s="2579"/>
      <c r="AM22" s="2578"/>
      <c r="AN22" s="2578"/>
      <c r="AO22" s="2578"/>
      <c r="AP22" s="2578"/>
      <c r="AQ22" s="2579"/>
      <c r="AR22" s="2578"/>
      <c r="AS22" s="2578"/>
      <c r="AT22" s="2578"/>
      <c r="AU22" s="2578"/>
      <c r="AV22" s="2579"/>
      <c r="AW22" s="2578"/>
      <c r="AX22" s="2578"/>
      <c r="AY22" s="2578"/>
      <c r="AZ22" s="2578"/>
      <c r="BA22" s="2579"/>
      <c r="BB22" s="2578"/>
      <c r="BC22" s="2578"/>
      <c r="BD22" s="2578"/>
      <c r="BE22" s="2578"/>
      <c r="BF22" s="2579"/>
      <c r="BG22" s="2578"/>
      <c r="BH22" s="2578"/>
      <c r="BI22" s="2578"/>
      <c r="BJ22" s="2578"/>
      <c r="BK22" s="2579"/>
      <c r="BL22" s="2578"/>
      <c r="BM22" s="2578"/>
      <c r="BN22" s="2578"/>
      <c r="BO22" s="2578"/>
      <c r="BP22" s="2579"/>
      <c r="BQ22" s="2578"/>
      <c r="BR22" s="2578"/>
      <c r="BS22" s="2578"/>
      <c r="BT22" s="2578"/>
      <c r="BU22" s="2579"/>
      <c r="BV22" s="2578"/>
      <c r="BW22" s="2578"/>
      <c r="BX22" s="2578"/>
      <c r="BY22" s="2578"/>
      <c r="BZ22" s="2579"/>
      <c r="CA22" s="2578"/>
      <c r="CB22" s="2578"/>
      <c r="CC22" s="2578"/>
      <c r="CD22" s="2578"/>
      <c r="CE22" s="2579"/>
      <c r="CF22" s="2578"/>
      <c r="CG22" s="2578"/>
      <c r="CH22" s="2578"/>
      <c r="CI22" s="2578"/>
      <c r="CJ22" s="2579"/>
      <c r="CK22" s="2578"/>
      <c r="CL22" s="2578"/>
      <c r="CM22" s="2578"/>
      <c r="CN22" s="2578"/>
      <c r="CO22" s="2579"/>
      <c r="CP22" s="2578"/>
      <c r="CQ22" s="2578"/>
      <c r="CR22" s="2578"/>
      <c r="CS22" s="2578"/>
      <c r="CT22" s="2579"/>
      <c r="CU22" s="2578"/>
      <c r="CV22" s="2578"/>
      <c r="CW22" s="2578"/>
      <c r="CX22" s="2578"/>
      <c r="CY22" s="2579"/>
      <c r="CZ22" s="2578"/>
      <c r="DA22" s="2578"/>
      <c r="DB22" s="2578"/>
      <c r="DC22" s="2578"/>
      <c r="DD22" s="2579"/>
      <c r="DE22" s="2578"/>
      <c r="DF22" s="2578"/>
      <c r="DG22" s="2578"/>
      <c r="DH22" s="2578"/>
      <c r="DI22" s="2579"/>
      <c r="DJ22" s="2578"/>
      <c r="DK22" s="2578"/>
      <c r="DL22" s="2578"/>
      <c r="DM22" s="2578"/>
      <c r="DN22" s="2579"/>
      <c r="DO22" s="2578"/>
      <c r="DP22" s="2578"/>
      <c r="DQ22" s="2578"/>
      <c r="DR22" s="2578"/>
      <c r="DS22" s="2579"/>
      <c r="DT22" s="2578"/>
      <c r="DU22" s="2578"/>
      <c r="DV22" s="2578"/>
      <c r="DW22" s="2578"/>
      <c r="DX22" s="2579"/>
      <c r="DY22" s="2578"/>
      <c r="DZ22" s="2578"/>
      <c r="EA22" s="2578"/>
      <c r="EB22" s="2578"/>
      <c r="EC22" s="2579"/>
      <c r="ED22" s="2578"/>
      <c r="EE22" s="2578"/>
      <c r="EF22" s="2578"/>
      <c r="EG22" s="2578"/>
      <c r="EH22" s="2579"/>
      <c r="EI22" s="2578"/>
      <c r="EJ22" s="2578"/>
      <c r="EK22" s="2578"/>
      <c r="EL22" s="2578"/>
      <c r="EM22" s="2579"/>
      <c r="EN22" s="2578"/>
      <c r="EO22" s="2578">
        <f t="shared" ref="EO22:ES22" si="36">(EO18+EO21)/EO8</f>
        <v>0.61941454348331138</v>
      </c>
      <c r="EP22" s="2578">
        <f t="shared" si="36"/>
        <v>0.66215750473892809</v>
      </c>
      <c r="EQ22" s="2578">
        <f t="shared" si="36"/>
        <v>0.67822690880687364</v>
      </c>
      <c r="ER22" s="2579">
        <f t="shared" si="36"/>
        <v>0.65047478021352167</v>
      </c>
      <c r="ES22" s="2578">
        <f t="shared" si="36"/>
        <v>0.67152987203521064</v>
      </c>
      <c r="ET22" s="2578">
        <f t="shared" ref="ET22:EU22" si="37">(ET18+ET21)/ET8</f>
        <v>0.62507780621066467</v>
      </c>
      <c r="EU22" s="2578">
        <f t="shared" si="37"/>
        <v>0.66273910287482751</v>
      </c>
      <c r="EV22" s="2578">
        <f t="shared" ref="EU22:FB22" si="38">(EV18+EV21)/EV8</f>
        <v>0.67511415844214984</v>
      </c>
      <c r="EW22" s="2579">
        <f t="shared" si="38"/>
        <v>0.65806126949569488</v>
      </c>
      <c r="EX22" s="2578">
        <f t="shared" si="38"/>
        <v>0.67090296124244719</v>
      </c>
      <c r="EY22" s="2578">
        <f t="shared" si="38"/>
        <v>0.63141141630522124</v>
      </c>
      <c r="EZ22" s="2578">
        <f t="shared" si="38"/>
        <v>0.67056055653389346</v>
      </c>
      <c r="FA22" s="2578">
        <f t="shared" si="38"/>
        <v>0.67846575091075112</v>
      </c>
      <c r="FB22" s="2579">
        <f t="shared" si="38"/>
        <v>0.66245620820097673</v>
      </c>
      <c r="FC22" s="2578">
        <f t="shared" ref="FC22:FG22" si="39">(FC18+FC21)/FC8</f>
        <v>0.67662954226829608</v>
      </c>
      <c r="FD22" s="2578">
        <f t="shared" si="39"/>
        <v>0.64222704504249295</v>
      </c>
      <c r="FE22" s="2578">
        <f t="shared" si="39"/>
        <v>0.67904462723975612</v>
      </c>
      <c r="FF22" s="2578">
        <f t="shared" si="39"/>
        <v>0.68457199613694952</v>
      </c>
      <c r="FG22" s="2579">
        <f t="shared" si="39"/>
        <v>0.67046231047278038</v>
      </c>
      <c r="FH22" s="2578">
        <f t="shared" ref="FH22:FL22" si="40">(FH18+FH21)/FH8</f>
        <v>0.68021899948167386</v>
      </c>
      <c r="FI22" s="2578">
        <f t="shared" si="40"/>
        <v>0.64998266981122776</v>
      </c>
      <c r="FJ22" s="2578">
        <f t="shared" si="40"/>
        <v>0.68576741334285618</v>
      </c>
      <c r="FK22" s="2578">
        <f t="shared" si="40"/>
        <v>0.68960797903155791</v>
      </c>
      <c r="FL22" s="2579">
        <f t="shared" si="40"/>
        <v>0.6764044953269357</v>
      </c>
      <c r="FN22" s="316"/>
      <c r="FO22" s="316"/>
      <c r="FP22" s="316"/>
      <c r="FQ22" s="316"/>
      <c r="FR22" s="316"/>
      <c r="FS22" s="316"/>
      <c r="FT22" s="316"/>
      <c r="FU22" s="316"/>
      <c r="FV22" s="316"/>
      <c r="FW22" s="316"/>
      <c r="FX22" s="847"/>
      <c r="FY22" s="854"/>
      <c r="FZ22" s="854"/>
      <c r="GA22" s="854"/>
      <c r="GB22" s="854"/>
      <c r="GC22" s="854"/>
      <c r="GD22" s="854"/>
      <c r="GE22" s="854"/>
      <c r="GF22" s="854"/>
      <c r="GG22" s="854"/>
      <c r="GH22" s="854"/>
      <c r="GI22" s="854"/>
      <c r="GJ22" s="363"/>
      <c r="GK22" s="363"/>
      <c r="GL22" s="363"/>
      <c r="GN22"/>
      <c r="GO22"/>
      <c r="GP22"/>
      <c r="GQ22"/>
      <c r="GR22"/>
      <c r="GS22"/>
    </row>
    <row r="23" spans="1:201" s="264" customFormat="1" ht="12.75">
      <c r="A23" s="334"/>
      <c r="B23" s="253"/>
      <c r="C23" s="253"/>
      <c r="D23" s="312"/>
      <c r="E23" s="312"/>
      <c r="F23" s="312"/>
      <c r="G23" s="312"/>
      <c r="H23" s="335"/>
      <c r="I23" s="336"/>
      <c r="J23" s="336"/>
      <c r="K23" s="336"/>
      <c r="L23" s="336"/>
      <c r="M23" s="335"/>
      <c r="N23" s="336"/>
      <c r="O23" s="336"/>
      <c r="P23" s="336"/>
      <c r="Q23" s="336"/>
      <c r="R23" s="335"/>
      <c r="S23" s="336"/>
      <c r="T23" s="336"/>
      <c r="U23" s="336"/>
      <c r="V23" s="336"/>
      <c r="W23" s="335"/>
      <c r="X23" s="336"/>
      <c r="Y23" s="336"/>
      <c r="Z23" s="336"/>
      <c r="AA23" s="336"/>
      <c r="AB23" s="335"/>
      <c r="AC23" s="336"/>
      <c r="AD23" s="336"/>
      <c r="AE23" s="336"/>
      <c r="AF23" s="336"/>
      <c r="AG23" s="335"/>
      <c r="AH23" s="336"/>
      <c r="AI23" s="336"/>
      <c r="AJ23" s="336"/>
      <c r="AK23" s="336"/>
      <c r="AL23" s="335"/>
      <c r="AM23" s="336"/>
      <c r="AN23" s="336"/>
      <c r="AO23" s="336"/>
      <c r="AP23" s="336"/>
      <c r="AQ23" s="335"/>
      <c r="AR23" s="336"/>
      <c r="AS23" s="336"/>
      <c r="AT23" s="336"/>
      <c r="AU23" s="336"/>
      <c r="AV23" s="335"/>
      <c r="AW23" s="336"/>
      <c r="AX23" s="336"/>
      <c r="AY23" s="336"/>
      <c r="AZ23" s="336"/>
      <c r="BA23" s="335"/>
      <c r="BB23" s="336"/>
      <c r="BC23" s="336"/>
      <c r="BD23" s="336"/>
      <c r="BE23" s="336"/>
      <c r="BF23" s="335"/>
      <c r="BG23" s="336"/>
      <c r="BH23" s="336"/>
      <c r="BI23" s="336"/>
      <c r="BJ23" s="336"/>
      <c r="BK23" s="335"/>
      <c r="BL23" s="336"/>
      <c r="BM23" s="336"/>
      <c r="BN23" s="336"/>
      <c r="BO23" s="336"/>
      <c r="BP23" s="335"/>
      <c r="BQ23" s="336"/>
      <c r="BR23" s="336"/>
      <c r="BS23" s="336"/>
      <c r="BT23" s="336"/>
      <c r="BU23" s="335"/>
      <c r="BV23" s="336"/>
      <c r="BW23" s="336"/>
      <c r="BX23" s="336"/>
      <c r="BY23" s="276"/>
      <c r="BZ23" s="335"/>
      <c r="CA23" s="276"/>
      <c r="CB23" s="276"/>
      <c r="CC23" s="276"/>
      <c r="CD23" s="276"/>
      <c r="CE23" s="335"/>
      <c r="CF23" s="276"/>
      <c r="CG23" s="276"/>
      <c r="CH23" s="276"/>
      <c r="CI23" s="276"/>
      <c r="CJ23" s="335"/>
      <c r="CK23" s="276"/>
      <c r="CL23" s="276"/>
      <c r="CM23" s="276"/>
      <c r="CN23" s="276"/>
      <c r="CO23" s="335"/>
      <c r="CP23" s="276"/>
      <c r="CQ23" s="276"/>
      <c r="CR23" s="337"/>
      <c r="CS23" s="276"/>
      <c r="CT23" s="335"/>
      <c r="CU23" s="276"/>
      <c r="CV23" s="276"/>
      <c r="CW23" s="337"/>
      <c r="CX23" s="276"/>
      <c r="CY23" s="335"/>
      <c r="CZ23" s="276"/>
      <c r="DA23" s="269"/>
      <c r="DB23" s="337"/>
      <c r="DC23" s="276"/>
      <c r="DD23" s="335"/>
      <c r="DE23" s="338"/>
      <c r="DF23" s="269"/>
      <c r="DG23" s="337"/>
      <c r="DH23" s="276"/>
      <c r="DI23" s="335"/>
      <c r="DJ23" s="338"/>
      <c r="DK23" s="269"/>
      <c r="DL23" s="337"/>
      <c r="DM23" s="276"/>
      <c r="DN23" s="335"/>
      <c r="DO23" s="276"/>
      <c r="DP23" s="269"/>
      <c r="DQ23" s="271"/>
      <c r="DR23" s="337"/>
      <c r="DS23" s="819"/>
      <c r="DT23" s="276"/>
      <c r="DU23" s="269"/>
      <c r="DV23" s="271"/>
      <c r="DW23" s="337"/>
      <c r="DX23" s="819"/>
      <c r="DY23" s="276"/>
      <c r="DZ23" s="269"/>
      <c r="EA23" s="269"/>
      <c r="EB23" s="337"/>
      <c r="EC23" s="819"/>
      <c r="ED23" s="276"/>
      <c r="EE23" s="269"/>
      <c r="EF23" s="269"/>
      <c r="EG23" s="269"/>
      <c r="EH23" s="819"/>
      <c r="EI23" s="2701"/>
      <c r="EJ23" s="269"/>
      <c r="EK23" s="269"/>
      <c r="EL23" s="269"/>
      <c r="EM23" s="819"/>
      <c r="EN23" s="2701"/>
      <c r="EO23" s="269"/>
      <c r="EP23" s="337"/>
      <c r="EQ23" s="269"/>
      <c r="ER23" s="819"/>
      <c r="ES23" s="2701"/>
      <c r="ET23" s="269"/>
      <c r="EU23" s="337"/>
      <c r="EV23" s="2702"/>
      <c r="EW23" s="819"/>
      <c r="EX23" s="337"/>
      <c r="EY23" s="337"/>
      <c r="EZ23" s="337"/>
      <c r="FA23" s="337"/>
      <c r="FB23" s="819"/>
      <c r="FC23" s="337"/>
      <c r="FD23" s="337"/>
      <c r="FE23" s="337"/>
      <c r="FF23" s="337"/>
      <c r="FG23" s="819"/>
      <c r="FH23" s="337"/>
      <c r="FI23" s="337"/>
      <c r="FJ23" s="337"/>
      <c r="FK23" s="337"/>
      <c r="FL23" s="819"/>
      <c r="FN23" s="339"/>
      <c r="FO23" s="339"/>
      <c r="FP23" s="339"/>
      <c r="FQ23" s="339"/>
      <c r="FR23" s="339"/>
      <c r="FS23" s="339"/>
      <c r="FT23" s="339"/>
      <c r="FU23" s="339"/>
      <c r="FV23" s="339"/>
      <c r="FW23" s="339"/>
      <c r="FX23" s="857"/>
      <c r="FY23" s="858"/>
      <c r="FZ23" s="858"/>
      <c r="GA23" s="858"/>
      <c r="GB23" s="858"/>
      <c r="GC23" s="858"/>
      <c r="GD23" s="858"/>
      <c r="GE23" s="858"/>
      <c r="GF23" s="858"/>
      <c r="GG23" s="858"/>
      <c r="GH23" s="858"/>
      <c r="GI23" s="858"/>
      <c r="GJ23" s="253"/>
      <c r="GK23" s="253"/>
      <c r="GL23" s="253"/>
      <c r="GN23"/>
      <c r="GO23"/>
      <c r="GP23"/>
      <c r="GQ23"/>
      <c r="GR23"/>
      <c r="GS23"/>
    </row>
    <row r="24" spans="1:201" s="307" customFormat="1" ht="11.25" customHeight="1">
      <c r="A24" s="328" t="s">
        <v>330</v>
      </c>
      <c r="B24" s="303"/>
      <c r="C24" s="303"/>
      <c r="D24" s="329">
        <v>23</v>
      </c>
      <c r="E24" s="329">
        <v>25.177</v>
      </c>
      <c r="F24" s="329">
        <v>29.128</v>
      </c>
      <c r="G24" s="329">
        <v>32.976999999999997</v>
      </c>
      <c r="H24" s="330">
        <f>SUM(D24:G24)</f>
        <v>110.28200000000001</v>
      </c>
      <c r="I24" s="329">
        <v>39.69</v>
      </c>
      <c r="J24" s="329">
        <v>41.283999999999999</v>
      </c>
      <c r="K24" s="329">
        <v>47.125999999999998</v>
      </c>
      <c r="L24" s="329">
        <v>52.515000000000001</v>
      </c>
      <c r="M24" s="330">
        <f>SUM(I24:L24)</f>
        <v>180.61500000000001</v>
      </c>
      <c r="N24" s="329">
        <v>51</v>
      </c>
      <c r="O24" s="329">
        <v>54</v>
      </c>
      <c r="P24" s="329">
        <v>60</v>
      </c>
      <c r="Q24" s="329">
        <v>70</v>
      </c>
      <c r="R24" s="330">
        <f>SUM(N24:Q24)</f>
        <v>235</v>
      </c>
      <c r="S24" s="329">
        <v>74</v>
      </c>
      <c r="T24" s="329">
        <v>85.8</v>
      </c>
      <c r="U24" s="329">
        <v>90.3</v>
      </c>
      <c r="V24" s="329">
        <v>102.1</v>
      </c>
      <c r="W24" s="330">
        <f>SUM(S24:V24)</f>
        <v>352.20000000000005</v>
      </c>
      <c r="X24" s="329">
        <v>105</v>
      </c>
      <c r="Y24" s="329">
        <v>111</v>
      </c>
      <c r="Z24" s="329">
        <v>116</v>
      </c>
      <c r="AA24" s="329">
        <v>138</v>
      </c>
      <c r="AB24" s="330">
        <f>SUM(X24:AA24)</f>
        <v>470</v>
      </c>
      <c r="AC24" s="329">
        <v>134</v>
      </c>
      <c r="AD24" s="329">
        <v>150</v>
      </c>
      <c r="AE24" s="329">
        <v>156</v>
      </c>
      <c r="AF24" s="329">
        <v>170</v>
      </c>
      <c r="AG24" s="330">
        <f>SUM(AC24:AF24)</f>
        <v>610</v>
      </c>
      <c r="AH24" s="329">
        <v>178</v>
      </c>
      <c r="AI24" s="329">
        <v>199</v>
      </c>
      <c r="AJ24" s="329">
        <v>219</v>
      </c>
      <c r="AK24" s="329">
        <v>264</v>
      </c>
      <c r="AL24" s="330">
        <f>SUM(AH24:AK24)</f>
        <v>860</v>
      </c>
      <c r="AM24" s="329">
        <v>278</v>
      </c>
      <c r="AN24" s="329">
        <v>305</v>
      </c>
      <c r="AO24" s="329">
        <v>337</v>
      </c>
      <c r="AP24" s="329">
        <v>406</v>
      </c>
      <c r="AQ24" s="330">
        <f>SUM(AM24:AP24)</f>
        <v>1326</v>
      </c>
      <c r="AR24" s="329">
        <v>417</v>
      </c>
      <c r="AS24" s="329">
        <v>449</v>
      </c>
      <c r="AT24" s="329">
        <v>474</v>
      </c>
      <c r="AU24" s="329">
        <v>523</v>
      </c>
      <c r="AV24" s="330">
        <f>SUM(AR24:AU24)</f>
        <v>1863</v>
      </c>
      <c r="AW24" s="329">
        <v>603</v>
      </c>
      <c r="AX24" s="329">
        <v>648</v>
      </c>
      <c r="AY24" s="329">
        <v>611</v>
      </c>
      <c r="AZ24" s="329">
        <v>739</v>
      </c>
      <c r="BA24" s="330">
        <f>SUM(AW24:AZ24)</f>
        <v>2601</v>
      </c>
      <c r="BB24" s="329">
        <v>651</v>
      </c>
      <c r="BC24" s="329">
        <v>715</v>
      </c>
      <c r="BD24" s="329">
        <v>664</v>
      </c>
      <c r="BE24" s="329">
        <v>940</v>
      </c>
      <c r="BF24" s="330">
        <f>SUM(BB24:BE24)</f>
        <v>2970</v>
      </c>
      <c r="BG24" s="329">
        <v>813</v>
      </c>
      <c r="BH24" s="329">
        <v>898</v>
      </c>
      <c r="BI24" s="329">
        <v>974</v>
      </c>
      <c r="BJ24" s="329">
        <v>1087</v>
      </c>
      <c r="BK24" s="330">
        <f>SUM(BG24:BJ24)</f>
        <v>3772</v>
      </c>
      <c r="BL24" s="329">
        <v>956</v>
      </c>
      <c r="BM24" s="329">
        <v>990</v>
      </c>
      <c r="BN24" s="329">
        <v>1069</v>
      </c>
      <c r="BO24" s="329">
        <v>1364</v>
      </c>
      <c r="BP24" s="330">
        <f>SUM(BL24:BO24)</f>
        <v>4379</v>
      </c>
      <c r="BQ24" s="329">
        <v>1013</v>
      </c>
      <c r="BR24" s="329">
        <v>1044</v>
      </c>
      <c r="BS24" s="329">
        <v>1066</v>
      </c>
      <c r="BT24" s="329">
        <v>1184</v>
      </c>
      <c r="BU24" s="330">
        <f>SUM(BQ24:BT24)</f>
        <v>4307</v>
      </c>
      <c r="BV24" s="329">
        <v>1707</v>
      </c>
      <c r="BW24" s="329">
        <v>1515</v>
      </c>
      <c r="BX24" s="329">
        <v>1692</v>
      </c>
      <c r="BY24" s="329">
        <v>1681</v>
      </c>
      <c r="BZ24" s="330">
        <f>SUM(BV24:BY24)</f>
        <v>6595</v>
      </c>
      <c r="CA24" s="329">
        <v>1611</v>
      </c>
      <c r="CB24" s="329">
        <f>2971-1310</f>
        <v>1661</v>
      </c>
      <c r="CC24" s="329">
        <v>1538</v>
      </c>
      <c r="CD24" s="329">
        <v>1659</v>
      </c>
      <c r="CE24" s="330">
        <f>SUM(CA24:CD24)</f>
        <v>6469</v>
      </c>
      <c r="CF24" s="307">
        <v>1530</v>
      </c>
      <c r="CG24" s="307">
        <v>1437</v>
      </c>
      <c r="CH24" s="307">
        <v>1482</v>
      </c>
      <c r="CI24" s="307">
        <v>1691</v>
      </c>
      <c r="CJ24" s="330">
        <f>SUM(CF24:CI24)</f>
        <v>6140</v>
      </c>
      <c r="CK24" s="329">
        <v>1515</v>
      </c>
      <c r="CL24" s="329">
        <v>1591</v>
      </c>
      <c r="CM24" s="329">
        <v>1617</v>
      </c>
      <c r="CN24" s="329">
        <v>1861</v>
      </c>
      <c r="CO24" s="331">
        <f>SUM(CK24:CN24)</f>
        <v>6584</v>
      </c>
      <c r="CP24" s="329">
        <v>1786</v>
      </c>
      <c r="CQ24" s="329">
        <v>1637</v>
      </c>
      <c r="CR24" s="329">
        <v>1750</v>
      </c>
      <c r="CS24" s="329">
        <v>1948</v>
      </c>
      <c r="CT24" s="331">
        <f>SUM(CP24:CS24)</f>
        <v>7121</v>
      </c>
      <c r="CU24" s="329">
        <v>1837</v>
      </c>
      <c r="CV24" s="329">
        <v>1885</v>
      </c>
      <c r="CW24" s="329">
        <v>2035</v>
      </c>
      <c r="CX24" s="329">
        <v>2407</v>
      </c>
      <c r="CY24" s="331">
        <f>SUM(CU24:CX24)</f>
        <v>8164</v>
      </c>
      <c r="CZ24" s="329">
        <v>2283</v>
      </c>
      <c r="DA24" s="329">
        <v>2290</v>
      </c>
      <c r="DB24" s="329">
        <v>2212</v>
      </c>
      <c r="DC24" s="329">
        <f>2225+105</f>
        <v>2330</v>
      </c>
      <c r="DD24" s="331">
        <f>SUM(CZ24:DC24)</f>
        <v>9115</v>
      </c>
      <c r="DE24" s="329">
        <v>2065</v>
      </c>
      <c r="DF24" s="329">
        <v>2079</v>
      </c>
      <c r="DG24" s="329">
        <v>2220</v>
      </c>
      <c r="DH24" s="329">
        <v>2350</v>
      </c>
      <c r="DI24" s="331">
        <f>SUM(DE24:DH24)</f>
        <v>8714</v>
      </c>
      <c r="DJ24" s="1114">
        <v>2196</v>
      </c>
      <c r="DK24" s="1114">
        <v>2185</v>
      </c>
      <c r="DL24" s="329">
        <f>2269</f>
        <v>2269</v>
      </c>
      <c r="DM24" s="1114">
        <v>2393</v>
      </c>
      <c r="DN24" s="331">
        <f>SUM(DJ24:DM24)</f>
        <v>9043</v>
      </c>
      <c r="DO24" s="1114">
        <v>2329</v>
      </c>
      <c r="DP24" s="1114">
        <v>2371</v>
      </c>
      <c r="DQ24" s="1114">
        <v>2517</v>
      </c>
      <c r="DR24" s="1114">
        <v>2594</v>
      </c>
      <c r="DS24" s="331">
        <f>SUM(DO24:DR24)</f>
        <v>9811</v>
      </c>
      <c r="DT24" s="1114">
        <v>2460</v>
      </c>
      <c r="DU24" s="1114">
        <v>2528</v>
      </c>
      <c r="DV24" s="1114">
        <v>2640</v>
      </c>
      <c r="DW24" s="1114">
        <v>2783</v>
      </c>
      <c r="DX24" s="331">
        <f>SUM(DT24:DW24)</f>
        <v>10411</v>
      </c>
      <c r="DY24" s="1114">
        <v>2767</v>
      </c>
      <c r="DZ24" s="1114">
        <v>2748</v>
      </c>
      <c r="EA24" s="1114">
        <v>2743</v>
      </c>
      <c r="EB24" s="1114">
        <v>3123</v>
      </c>
      <c r="EC24" s="331">
        <f>SUM(DY24:EB24)</f>
        <v>11381</v>
      </c>
      <c r="ED24" s="1114">
        <v>3065</v>
      </c>
      <c r="EE24" s="1114">
        <v>2903</v>
      </c>
      <c r="EF24" s="1114">
        <v>2984</v>
      </c>
      <c r="EG24" s="1114">
        <v>3094</v>
      </c>
      <c r="EH24" s="331">
        <f>SUM(ED24:EG24)</f>
        <v>12046</v>
      </c>
      <c r="EI24" s="2558">
        <v>2962</v>
      </c>
      <c r="EJ24" s="2558">
        <v>2900</v>
      </c>
      <c r="EK24" s="2558">
        <v>2980</v>
      </c>
      <c r="EL24" s="2558">
        <v>3146</v>
      </c>
      <c r="EM24" s="2696">
        <f>SUM(EI24:EL24)</f>
        <v>11988</v>
      </c>
      <c r="EN24" s="2558">
        <v>3106</v>
      </c>
      <c r="EO24" s="2558">
        <v>3062</v>
      </c>
      <c r="EP24" s="2558">
        <v>3355</v>
      </c>
      <c r="EQ24" s="2558">
        <v>3514</v>
      </c>
      <c r="ER24" s="2696">
        <f>SUM(EN24:EQ24)</f>
        <v>13037</v>
      </c>
      <c r="ES24" s="2558">
        <v>3574</v>
      </c>
      <c r="ET24" s="2558">
        <v>3504</v>
      </c>
      <c r="EU24" s="2558">
        <v>3715</v>
      </c>
      <c r="EV24" s="329">
        <f>EV25*EV8</f>
        <v>3766.2254725632342</v>
      </c>
      <c r="EW24" s="331">
        <f>SUM(ES24:EV24)</f>
        <v>14559.225472563234</v>
      </c>
      <c r="EX24" s="329">
        <f>EX25*EX8</f>
        <v>4039.6734847459925</v>
      </c>
      <c r="EY24" s="329">
        <f>EY25*EY8</f>
        <v>3901.6705471948626</v>
      </c>
      <c r="EZ24" s="329">
        <f>EZ25*EZ8</f>
        <v>4149.6832277049407</v>
      </c>
      <c r="FA24" s="329">
        <f>FA25*FA8</f>
        <v>4210.8332333459466</v>
      </c>
      <c r="FB24" s="331">
        <f>SUM(EX24:FA24)</f>
        <v>16301.860492991742</v>
      </c>
      <c r="FC24" s="329">
        <f>FC25*FC8</f>
        <v>4469.853941087953</v>
      </c>
      <c r="FD24" s="329">
        <f>FD25*FD8</f>
        <v>4244.5671591670543</v>
      </c>
      <c r="FE24" s="329">
        <f>FE25*FE8</f>
        <v>4603.2992398447232</v>
      </c>
      <c r="FF24" s="329">
        <f>FF25*FF8</f>
        <v>4663.7735046034149</v>
      </c>
      <c r="FG24" s="331">
        <f>SUM(FC24:FF24)</f>
        <v>17981.493844703145</v>
      </c>
      <c r="FH24" s="329">
        <f>FH25*FH8</f>
        <v>4933.9064955726089</v>
      </c>
      <c r="FI24" s="329">
        <f>FI25*FI8</f>
        <v>4583.2319501535076</v>
      </c>
      <c r="FJ24" s="329">
        <f>FJ25*FJ8</f>
        <v>5068.3127638985634</v>
      </c>
      <c r="FK24" s="329">
        <f>FK25*FK8</f>
        <v>5120.6647561329246</v>
      </c>
      <c r="FL24" s="331">
        <f>SUM(FH24:FK24)</f>
        <v>19706.115965757606</v>
      </c>
      <c r="FN24" s="330">
        <f>BD24+BE24+BG24+BH24</f>
        <v>3315</v>
      </c>
      <c r="FO24" s="330">
        <f>BI24+BJ24+BL24+BM24</f>
        <v>4007</v>
      </c>
      <c r="FP24" s="330">
        <f>BN24+BO24+BQ24+BR24</f>
        <v>4490</v>
      </c>
      <c r="FQ24" s="330">
        <f>BS24+BT24+BV24+BW24</f>
        <v>5472</v>
      </c>
      <c r="FR24" s="330">
        <f>BX24+BY24+CA24+CB24</f>
        <v>6645</v>
      </c>
      <c r="FS24" s="330">
        <f>CC24+CD24+CF24+CG24</f>
        <v>6164</v>
      </c>
      <c r="FT24" s="330">
        <f>CH24+CI24+CK24+CL24</f>
        <v>6279</v>
      </c>
      <c r="FU24" s="330">
        <f>CM24+CN24+CP24+CQ24</f>
        <v>6901</v>
      </c>
      <c r="FV24" s="330">
        <f>CR24+CS24+CU24+CV24</f>
        <v>7420</v>
      </c>
      <c r="FW24" s="330">
        <f>CW24+CX24+CZ24+DA24</f>
        <v>9015</v>
      </c>
      <c r="FX24" s="855">
        <f>DB24+DC24+DE24+DF24</f>
        <v>8686</v>
      </c>
      <c r="FY24" s="856">
        <f>DG24+DH24+DJ24+DK24</f>
        <v>8951</v>
      </c>
      <c r="FZ24" s="856">
        <f>SUM(DO24:DP24,DL24:DM24)</f>
        <v>9362</v>
      </c>
      <c r="GA24" s="856">
        <f>SUM(DT24:DU24,DQ24:DR24)</f>
        <v>10099</v>
      </c>
      <c r="GB24" s="856">
        <f>SUM(DV24:DW24,DY24:DZ24)</f>
        <v>10938</v>
      </c>
      <c r="GC24" s="856">
        <f>SUM(ED24:EE24,EA24:EB24)</f>
        <v>11834</v>
      </c>
      <c r="GD24" s="856">
        <f>SUM(EI24:EJ24,EF24:EG24)</f>
        <v>11940</v>
      </c>
      <c r="GE24" s="856">
        <f>SUM(EN24:EO24,EK24:EL24)</f>
        <v>12294</v>
      </c>
      <c r="GF24" s="856">
        <f>SUM(ES24:ET24,EP24:EQ24)</f>
        <v>13947</v>
      </c>
      <c r="GG24" s="856">
        <f>SUM(EX24:EY24,EU24:EV24)</f>
        <v>15422.569504504088</v>
      </c>
      <c r="GH24" s="856">
        <f>SUM(FC24:FD24,EZ24:FA24)</f>
        <v>17074.937561305895</v>
      </c>
      <c r="GI24" s="856">
        <f>SUM(FH24:FI24,FE24:FF24)</f>
        <v>18784.211190174254</v>
      </c>
      <c r="GJ24" s="303"/>
      <c r="GK24" s="303"/>
      <c r="GL24" s="303"/>
      <c r="GN24"/>
      <c r="GO24"/>
      <c r="GP24"/>
      <c r="GQ24"/>
      <c r="GR24"/>
      <c r="GS24"/>
    </row>
    <row r="25" spans="1:201" s="264" customFormat="1" ht="11.25" customHeight="1">
      <c r="A25" s="323" t="s">
        <v>123</v>
      </c>
      <c r="B25" s="253"/>
      <c r="C25" s="253"/>
      <c r="D25" s="312">
        <f t="shared" ref="D25:AI25" si="41">D24/D$8</f>
        <v>0.12994350282485875</v>
      </c>
      <c r="E25" s="312">
        <f t="shared" si="41"/>
        <v>0.11995788109509152</v>
      </c>
      <c r="F25" s="312">
        <f t="shared" si="41"/>
        <v>0.14783985707324995</v>
      </c>
      <c r="G25" s="312">
        <f t="shared" si="41"/>
        <v>0.14921719457013574</v>
      </c>
      <c r="H25" s="316">
        <f t="shared" si="41"/>
        <v>0.13701227224048523</v>
      </c>
      <c r="I25" s="241">
        <f t="shared" si="41"/>
        <v>0.16877798614566189</v>
      </c>
      <c r="J25" s="241">
        <f t="shared" si="41"/>
        <v>0.137156146179402</v>
      </c>
      <c r="K25" s="241">
        <f t="shared" si="41"/>
        <v>0.15104487179487178</v>
      </c>
      <c r="L25" s="241">
        <f t="shared" si="41"/>
        <v>0.15536982248520712</v>
      </c>
      <c r="M25" s="316">
        <f t="shared" si="41"/>
        <v>0.15226853690182024</v>
      </c>
      <c r="N25" s="241">
        <f t="shared" si="41"/>
        <v>0.13806172171088252</v>
      </c>
      <c r="O25" s="241">
        <f t="shared" si="41"/>
        <v>0.11726384364820847</v>
      </c>
      <c r="P25" s="241">
        <f t="shared" si="41"/>
        <v>0.12269938650306748</v>
      </c>
      <c r="Q25" s="241">
        <f t="shared" si="41"/>
        <v>0.13257575757575757</v>
      </c>
      <c r="R25" s="316">
        <f t="shared" si="41"/>
        <v>0.12724024040283718</v>
      </c>
      <c r="S25" s="241">
        <f t="shared" si="41"/>
        <v>0.12671232876712329</v>
      </c>
      <c r="T25" s="241">
        <f t="shared" si="41"/>
        <v>0.12507288629737609</v>
      </c>
      <c r="U25" s="241">
        <f t="shared" si="41"/>
        <v>0.13163265306122449</v>
      </c>
      <c r="V25" s="241">
        <f t="shared" si="41"/>
        <v>0.12436053593179049</v>
      </c>
      <c r="W25" s="316">
        <f t="shared" si="41"/>
        <v>0.12682751170327694</v>
      </c>
      <c r="X25" s="241">
        <f t="shared" si="41"/>
        <v>0.12742718446601942</v>
      </c>
      <c r="Y25" s="241">
        <f t="shared" si="41"/>
        <v>0.11746031746031746</v>
      </c>
      <c r="Z25" s="241">
        <f t="shared" si="41"/>
        <v>0.11971104231166151</v>
      </c>
      <c r="AA25" s="241">
        <f t="shared" si="41"/>
        <v>0.1316793893129771</v>
      </c>
      <c r="AB25" s="316">
        <f t="shared" si="41"/>
        <v>0.12414157422081352</v>
      </c>
      <c r="AC25" s="241">
        <f t="shared" si="41"/>
        <v>0.13453815261044177</v>
      </c>
      <c r="AD25" s="241">
        <f t="shared" si="41"/>
        <v>0.13089005235602094</v>
      </c>
      <c r="AE25" s="241">
        <f t="shared" si="41"/>
        <v>0.12371134020618557</v>
      </c>
      <c r="AF25" s="241">
        <f t="shared" si="41"/>
        <v>0.12967200610221205</v>
      </c>
      <c r="AG25" s="316">
        <f t="shared" si="41"/>
        <v>0.12940178192617735</v>
      </c>
      <c r="AH25" s="241">
        <f t="shared" si="41"/>
        <v>0.14015748031496064</v>
      </c>
      <c r="AI25" s="241">
        <f t="shared" si="41"/>
        <v>0.1312664907651715</v>
      </c>
      <c r="AJ25" s="241">
        <f t="shared" ref="AJ25:BO25" si="42">AJ24/AJ$8</f>
        <v>0.13460356484326982</v>
      </c>
      <c r="AK25" s="241">
        <f t="shared" si="42"/>
        <v>0.1588447653429603</v>
      </c>
      <c r="AL25" s="316">
        <f t="shared" si="42"/>
        <v>0.14156378600823044</v>
      </c>
      <c r="AM25" s="241">
        <f t="shared" si="42"/>
        <v>0.13333333333333333</v>
      </c>
      <c r="AN25" s="241">
        <f t="shared" si="42"/>
        <v>0.13336248360297331</v>
      </c>
      <c r="AO25" s="241">
        <f t="shared" si="42"/>
        <v>0.14582431847684985</v>
      </c>
      <c r="AP25" s="241">
        <f t="shared" si="42"/>
        <v>0.17152513730460497</v>
      </c>
      <c r="AQ25" s="316">
        <f t="shared" si="42"/>
        <v>0.14651933701657457</v>
      </c>
      <c r="AR25" s="241">
        <f t="shared" si="42"/>
        <v>0.1733887733887734</v>
      </c>
      <c r="AS25" s="241">
        <f t="shared" si="42"/>
        <v>0.15990028490028491</v>
      </c>
      <c r="AT25" s="241">
        <f t="shared" si="42"/>
        <v>0.14086181277860327</v>
      </c>
      <c r="AU25" s="241">
        <f t="shared" si="42"/>
        <v>0.15574746873138773</v>
      </c>
      <c r="AV25" s="316">
        <f t="shared" si="42"/>
        <v>0.1560824396782842</v>
      </c>
      <c r="AW25" s="241">
        <f t="shared" si="42"/>
        <v>0.18086382723455308</v>
      </c>
      <c r="AX25" s="241">
        <f t="shared" si="42"/>
        <v>0.17088607594936708</v>
      </c>
      <c r="AY25" s="241">
        <f t="shared" si="42"/>
        <v>0.15336345381526104</v>
      </c>
      <c r="AZ25" s="241">
        <f t="shared" si="42"/>
        <v>0.17798651252408479</v>
      </c>
      <c r="BA25" s="316">
        <f t="shared" si="42"/>
        <v>0.17042327348971301</v>
      </c>
      <c r="BB25" s="241">
        <f t="shared" si="42"/>
        <v>0.15525876460767946</v>
      </c>
      <c r="BC25" s="241">
        <f t="shared" si="42"/>
        <v>0.13763233878729547</v>
      </c>
      <c r="BD25" s="241">
        <f t="shared" si="42"/>
        <v>0.14450489662676821</v>
      </c>
      <c r="BE25" s="241">
        <f t="shared" si="42"/>
        <v>0.16308119361554477</v>
      </c>
      <c r="BF25" s="316">
        <f t="shared" si="42"/>
        <v>0.15040259279890617</v>
      </c>
      <c r="BG25" s="241">
        <f t="shared" si="42"/>
        <v>0.15100297176820207</v>
      </c>
      <c r="BH25" s="241">
        <f t="shared" si="42"/>
        <v>0.14692408376963351</v>
      </c>
      <c r="BI25" s="241">
        <f t="shared" si="42"/>
        <v>0.17220650636492221</v>
      </c>
      <c r="BJ25" s="241">
        <f t="shared" si="42"/>
        <v>0.18728463128876638</v>
      </c>
      <c r="BK25" s="316">
        <f t="shared" si="42"/>
        <v>0.16431434047743509</v>
      </c>
      <c r="BL25" s="241">
        <f t="shared" si="42"/>
        <v>0.1657995143947277</v>
      </c>
      <c r="BM25" s="241">
        <f t="shared" si="42"/>
        <v>0.15114503816793892</v>
      </c>
      <c r="BN25" s="241">
        <f t="shared" si="42"/>
        <v>0.16695299078556927</v>
      </c>
      <c r="BO25" s="241">
        <f t="shared" si="42"/>
        <v>0.20738938725862854</v>
      </c>
      <c r="BP25" s="316">
        <f t="shared" ref="BP25:CD25" si="43">BP24/BP$8</f>
        <v>0.17311037318153066</v>
      </c>
      <c r="BQ25" s="241">
        <f t="shared" si="43"/>
        <v>0.16536075742735881</v>
      </c>
      <c r="BR25" s="241">
        <f t="shared" si="43"/>
        <v>0.13486629634414157</v>
      </c>
      <c r="BS25" s="241">
        <f t="shared" si="43"/>
        <v>0.14713595583160802</v>
      </c>
      <c r="BT25" s="241">
        <f t="shared" si="43"/>
        <v>0.16324279608437889</v>
      </c>
      <c r="BU25" s="316">
        <f t="shared" si="43"/>
        <v>0.15184205887537458</v>
      </c>
      <c r="BV25" s="241">
        <f t="shared" si="43"/>
        <v>0.2203718048024787</v>
      </c>
      <c r="BW25" s="241">
        <f t="shared" si="43"/>
        <v>0.17737969792764313</v>
      </c>
      <c r="BX25" s="241">
        <f t="shared" si="43"/>
        <v>0.21595405232929163</v>
      </c>
      <c r="BY25" s="241">
        <f t="shared" si="43"/>
        <v>0.20843149411035339</v>
      </c>
      <c r="BZ25" s="316">
        <f t="shared" si="43"/>
        <v>0.2048963867399882</v>
      </c>
      <c r="CA25" s="241">
        <f t="shared" si="43"/>
        <v>0.19610468654899574</v>
      </c>
      <c r="CB25" s="241">
        <f t="shared" si="43"/>
        <v>0.16359696641386781</v>
      </c>
      <c r="CC25" s="241">
        <f t="shared" si="43"/>
        <v>0.16762942779291554</v>
      </c>
      <c r="CD25" s="241">
        <f t="shared" si="43"/>
        <v>0.17854068015497201</v>
      </c>
      <c r="CE25" s="316">
        <f t="shared" ref="CE25:CJ25" si="44">CE24/CE$8</f>
        <v>0.17562101262386318</v>
      </c>
      <c r="CF25" s="241">
        <f t="shared" si="44"/>
        <v>0.16650342801175319</v>
      </c>
      <c r="CG25" s="241">
        <f t="shared" si="44"/>
        <v>0.13283416528008873</v>
      </c>
      <c r="CH25" s="241">
        <f t="shared" si="44"/>
        <v>0.15405405405405406</v>
      </c>
      <c r="CI25" s="241">
        <f t="shared" si="44"/>
        <v>0.1664206278909556</v>
      </c>
      <c r="CJ25" s="316">
        <f t="shared" si="44"/>
        <v>0.15431788478938374</v>
      </c>
      <c r="CK25" s="312">
        <f>CK24/CK$8</f>
        <v>0.15552817985833076</v>
      </c>
      <c r="CL25" s="312">
        <f>CL24/CL$8</f>
        <v>0.13439770231458018</v>
      </c>
      <c r="CM25" s="312">
        <f>CM24/CM$8</f>
        <v>0.14833501513622604</v>
      </c>
      <c r="CN25" s="312">
        <f>CN24/CN$8</f>
        <v>0.15763171268846349</v>
      </c>
      <c r="CO25" s="313">
        <f t="shared" ref="CO25:CV25" si="45">CO24/CO$8</f>
        <v>0.14867000858058979</v>
      </c>
      <c r="CP25" s="312">
        <f t="shared" si="45"/>
        <v>0.16520210896309315</v>
      </c>
      <c r="CQ25" s="312">
        <f t="shared" si="45"/>
        <v>0.13052144793493861</v>
      </c>
      <c r="CR25" s="312">
        <f t="shared" si="45"/>
        <v>0.12154465898041394</v>
      </c>
      <c r="CS25" s="312">
        <f t="shared" si="45"/>
        <v>0.14568843018472813</v>
      </c>
      <c r="CT25" s="313">
        <f t="shared" si="45"/>
        <v>0.13929423731465906</v>
      </c>
      <c r="CU25" s="312">
        <f t="shared" si="45"/>
        <v>0.13348350530446157</v>
      </c>
      <c r="CV25" s="312">
        <f t="shared" si="45"/>
        <v>0.11517077045274027</v>
      </c>
      <c r="CW25" s="312">
        <f t="shared" ref="CW25:EG25" si="46">CW24/CW$8</f>
        <v>0.14079147640791476</v>
      </c>
      <c r="CX25" s="312">
        <f t="shared" si="46"/>
        <v>0.1519858559070531</v>
      </c>
      <c r="CY25" s="313">
        <f t="shared" si="46"/>
        <v>0.13512082092022509</v>
      </c>
      <c r="CZ25" s="312">
        <f t="shared" si="46"/>
        <v>0.1515835601885665</v>
      </c>
      <c r="DA25" s="312">
        <f t="shared" si="46"/>
        <v>0.13771122737386493</v>
      </c>
      <c r="DB25" s="312">
        <f t="shared" si="46"/>
        <v>0.16207502930832357</v>
      </c>
      <c r="DC25" s="312">
        <f>DC24/DC8</f>
        <v>0.17787617375372167</v>
      </c>
      <c r="DD25" s="313">
        <f t="shared" si="46"/>
        <v>0.15597994421342642</v>
      </c>
      <c r="DE25" s="312">
        <f t="shared" si="46"/>
        <v>0.15982972136222912</v>
      </c>
      <c r="DF25" s="312">
        <f t="shared" si="46"/>
        <v>0.10929450110398486</v>
      </c>
      <c r="DG25" s="312">
        <f t="shared" si="46"/>
        <v>0.15307177825277529</v>
      </c>
      <c r="DH25" s="312">
        <f t="shared" si="46"/>
        <v>0.14651786270964523</v>
      </c>
      <c r="DI25" s="313">
        <f t="shared" si="46"/>
        <v>0.139459701683631</v>
      </c>
      <c r="DJ25" s="312">
        <f t="shared" si="46"/>
        <v>0.13559740660697747</v>
      </c>
      <c r="DK25" s="312">
        <f t="shared" si="46"/>
        <v>0.1095073422542976</v>
      </c>
      <c r="DL25" s="312">
        <f t="shared" si="46"/>
        <v>0.13811784757730702</v>
      </c>
      <c r="DM25" s="312">
        <f t="shared" si="46"/>
        <v>0.13780243978845338</v>
      </c>
      <c r="DN25" s="313">
        <f>DN24/DN$8</f>
        <v>0.12929387784981264</v>
      </c>
      <c r="DO25" s="312">
        <f t="shared" si="46"/>
        <v>0.134066313608105</v>
      </c>
      <c r="DP25" s="312">
        <f t="shared" si="46"/>
        <v>0.1135264543931051</v>
      </c>
      <c r="DQ25" s="312">
        <f t="shared" si="46"/>
        <v>0.14459700120641122</v>
      </c>
      <c r="DR25" s="312">
        <f t="shared" si="46"/>
        <v>0.14364029016003102</v>
      </c>
      <c r="DS25" s="313">
        <f>DS24/DS$8</f>
        <v>0.13307922900587332</v>
      </c>
      <c r="DT25" s="312">
        <f t="shared" si="46"/>
        <v>0.15367316341829085</v>
      </c>
      <c r="DU25" s="312">
        <f t="shared" si="46"/>
        <v>0.11782252050708426</v>
      </c>
      <c r="DV25" s="312">
        <f t="shared" si="46"/>
        <v>0.12884962662892283</v>
      </c>
      <c r="DW25" s="312">
        <f t="shared" si="46"/>
        <v>0.13987736228387615</v>
      </c>
      <c r="DX25" s="313">
        <f>DX24/DX$8</f>
        <v>0.13373325283561768</v>
      </c>
      <c r="DY25" s="312">
        <f t="shared" si="46"/>
        <v>0.14933347725187543</v>
      </c>
      <c r="DZ25" s="312">
        <f t="shared" si="46"/>
        <v>0.1120763489538725</v>
      </c>
      <c r="EA25" s="312">
        <f t="shared" si="46"/>
        <v>0.13444101357643484</v>
      </c>
      <c r="EB25" s="312">
        <f t="shared" si="46"/>
        <v>0.13356428021555042</v>
      </c>
      <c r="EC25" s="313">
        <f>EC24/EC$8</f>
        <v>0.13106768164177213</v>
      </c>
      <c r="ED25" s="312">
        <f t="shared" si="46"/>
        <v>0.13210637472522735</v>
      </c>
      <c r="EE25" s="312">
        <f t="shared" si="46"/>
        <v>0.11103886168910648</v>
      </c>
      <c r="EF25" s="312">
        <f t="shared" si="46"/>
        <v>0.13732799484559804</v>
      </c>
      <c r="EG25" s="312">
        <f t="shared" si="46"/>
        <v>0.1394950405770965</v>
      </c>
      <c r="EH25" s="313">
        <f>EH24/EH$8</f>
        <v>0.12917408368541833</v>
      </c>
      <c r="EI25" s="312">
        <f t="shared" ref="EI25:EL25" si="47">EI24/EI$8</f>
        <v>0.14165471066475371</v>
      </c>
      <c r="EJ25" s="312">
        <f t="shared" si="47"/>
        <v>0.11483784104858828</v>
      </c>
      <c r="EK25" s="312">
        <f t="shared" si="47"/>
        <v>0.13849514337500582</v>
      </c>
      <c r="EL25" s="312">
        <f t="shared" si="47"/>
        <v>0.13402061855670103</v>
      </c>
      <c r="EM25" s="313">
        <f>EM24/EM$8</f>
        <v>0.13151370208657875</v>
      </c>
      <c r="EN25" s="312">
        <f>EN24/EN$8</f>
        <v>0.14164538489602335</v>
      </c>
      <c r="EO25" s="312">
        <f t="shared" ref="EO25:EQ25" si="48">EO24/EO$8</f>
        <v>0.11856268876326183</v>
      </c>
      <c r="EP25" s="312">
        <f t="shared" si="48"/>
        <v>0.14453730828881614</v>
      </c>
      <c r="EQ25" s="312">
        <f t="shared" si="48"/>
        <v>0.13723882054286271</v>
      </c>
      <c r="ER25" s="313">
        <f>ER24/ER$8</f>
        <v>0.13499911981857907</v>
      </c>
      <c r="ES25" s="312">
        <f>ES24/ES$8</f>
        <v>0.14565164235063982</v>
      </c>
      <c r="ET25" s="312">
        <f t="shared" ref="ET25:EU25" si="49">ET24/ET$8</f>
        <v>0.12117020540839615</v>
      </c>
      <c r="EU25" s="312">
        <f t="shared" si="49"/>
        <v>0.13852119765837653</v>
      </c>
      <c r="EV25" s="312">
        <v>0.129</v>
      </c>
      <c r="EW25" s="313">
        <f>EW24/EW$8</f>
        <v>0.13299673715709079</v>
      </c>
      <c r="EX25" s="312">
        <f>ES25</f>
        <v>0.14565164235063982</v>
      </c>
      <c r="EY25" s="312">
        <f>ET25</f>
        <v>0.12117020540839615</v>
      </c>
      <c r="EZ25" s="312">
        <f>EU25</f>
        <v>0.13852119765837653</v>
      </c>
      <c r="FA25" s="312">
        <f>EV25</f>
        <v>0.129</v>
      </c>
      <c r="FB25" s="313">
        <f>FB24/FB$8</f>
        <v>0.13303923212885163</v>
      </c>
      <c r="FC25" s="312">
        <f>EX25-0.002</f>
        <v>0.14365164235063982</v>
      </c>
      <c r="FD25" s="312">
        <f t="shared" ref="FD25:FF25" si="50">EY25-0.002</f>
        <v>0.11917020540839615</v>
      </c>
      <c r="FE25" s="312">
        <f>EZ25-0.003</f>
        <v>0.13552119765837653</v>
      </c>
      <c r="FF25" s="312">
        <f>FA25-0.003</f>
        <v>0.126</v>
      </c>
      <c r="FG25" s="313">
        <f>FG24/FG$8</f>
        <v>0.13057027562026971</v>
      </c>
      <c r="FH25" s="312">
        <f>FC25-0.002</f>
        <v>0.14165164235063982</v>
      </c>
      <c r="FI25" s="312">
        <f t="shared" ref="FI25:FK25" si="51">FD25-0.002</f>
        <v>0.11717020540839615</v>
      </c>
      <c r="FJ25" s="312">
        <f t="shared" si="51"/>
        <v>0.13352119765837653</v>
      </c>
      <c r="FK25" s="312">
        <f t="shared" si="51"/>
        <v>0.124</v>
      </c>
      <c r="FL25" s="313">
        <f>FL24/FL$8</f>
        <v>0.12862846003757436</v>
      </c>
      <c r="FM25" s="242"/>
      <c r="FN25" s="316">
        <f t="shared" ref="FN25:GE25" si="52">FN24/FN$8</f>
        <v>0.15168153740562801</v>
      </c>
      <c r="FO25" s="316">
        <f t="shared" si="52"/>
        <v>0.16853129205921938</v>
      </c>
      <c r="FP25" s="316">
        <f t="shared" si="52"/>
        <v>0.1672440123663724</v>
      </c>
      <c r="FQ25" s="316">
        <f t="shared" si="52"/>
        <v>0.17774890368686047</v>
      </c>
      <c r="FR25" s="316">
        <f t="shared" si="52"/>
        <v>0.19391268822224816</v>
      </c>
      <c r="FS25" s="316">
        <f t="shared" si="52"/>
        <v>0.1602120912824245</v>
      </c>
      <c r="FT25" s="316">
        <f t="shared" si="52"/>
        <v>0.15181334622823983</v>
      </c>
      <c r="FU25" s="316">
        <f t="shared" si="52"/>
        <v>0.14982631350412506</v>
      </c>
      <c r="FV25" s="316">
        <f t="shared" si="52"/>
        <v>0.12815641300217623</v>
      </c>
      <c r="FW25" s="316">
        <f t="shared" si="52"/>
        <v>0.14544779851890097</v>
      </c>
      <c r="FX25" s="847">
        <f t="shared" si="52"/>
        <v>0.14800047709110736</v>
      </c>
      <c r="FY25" s="854">
        <f t="shared" si="52"/>
        <v>0.13421802369170791</v>
      </c>
      <c r="FZ25" s="854">
        <f t="shared" si="52"/>
        <v>0.12993674986578846</v>
      </c>
      <c r="GA25" s="854">
        <f t="shared" si="52"/>
        <v>0.13847525023995613</v>
      </c>
      <c r="GB25" s="854">
        <f t="shared" si="52"/>
        <v>0.13109920535040093</v>
      </c>
      <c r="GC25" s="854">
        <f t="shared" si="52"/>
        <v>0.12706968753355524</v>
      </c>
      <c r="GD25" s="854">
        <f t="shared" si="52"/>
        <v>0.13256061817212897</v>
      </c>
      <c r="GE25" s="854">
        <f t="shared" si="52"/>
        <v>0.13255701115963126</v>
      </c>
      <c r="GF25" s="854">
        <f>GF24/GF$8</f>
        <v>0.13637030301252531</v>
      </c>
      <c r="GG25" s="854">
        <f>GG24/GG$8</f>
        <v>0.13301093491949378</v>
      </c>
      <c r="GH25" s="854">
        <f>GH24/GH$8</f>
        <v>0.13202329934284332</v>
      </c>
      <c r="GI25" s="854">
        <f>GI24/GI$8</f>
        <v>0.12960998274682253</v>
      </c>
      <c r="GJ25" s="363"/>
      <c r="GK25" s="363"/>
      <c r="GL25" s="363"/>
      <c r="GN25"/>
      <c r="GO25"/>
      <c r="GP25"/>
      <c r="GQ25"/>
      <c r="GR25"/>
      <c r="GS25"/>
    </row>
    <row r="26" spans="1:201" s="264" customFormat="1" ht="11.25" customHeight="1">
      <c r="A26" s="309" t="s">
        <v>111</v>
      </c>
      <c r="B26" s="253"/>
      <c r="C26" s="253"/>
      <c r="D26" s="312"/>
      <c r="E26" s="312"/>
      <c r="F26" s="312"/>
      <c r="G26" s="312"/>
      <c r="H26" s="313"/>
      <c r="I26" s="312"/>
      <c r="J26" s="312"/>
      <c r="K26" s="312"/>
      <c r="L26" s="312"/>
      <c r="M26" s="313"/>
      <c r="N26" s="312"/>
      <c r="O26" s="312"/>
      <c r="P26" s="312"/>
      <c r="Q26" s="312"/>
      <c r="R26" s="313"/>
      <c r="S26" s="312"/>
      <c r="T26" s="312"/>
      <c r="U26" s="312"/>
      <c r="V26" s="312"/>
      <c r="W26" s="313"/>
      <c r="X26" s="312"/>
      <c r="Y26" s="312"/>
      <c r="Z26" s="312"/>
      <c r="AA26" s="312"/>
      <c r="AB26" s="313"/>
      <c r="AC26" s="312"/>
      <c r="AD26" s="312"/>
      <c r="AE26" s="312"/>
      <c r="AF26" s="312"/>
      <c r="AG26" s="313"/>
      <c r="AH26" s="312"/>
      <c r="AI26" s="312"/>
      <c r="AJ26" s="312"/>
      <c r="AK26" s="312"/>
      <c r="AL26" s="313"/>
      <c r="AM26" s="312"/>
      <c r="AN26" s="312"/>
      <c r="AO26" s="312"/>
      <c r="AP26" s="312"/>
      <c r="AQ26" s="313"/>
      <c r="AR26" s="312"/>
      <c r="AS26" s="312"/>
      <c r="AT26" s="312"/>
      <c r="AU26" s="312"/>
      <c r="AV26" s="313"/>
      <c r="AW26" s="312"/>
      <c r="AX26" s="312"/>
      <c r="AY26" s="312"/>
      <c r="AZ26" s="312"/>
      <c r="BA26" s="313"/>
      <c r="BB26" s="312"/>
      <c r="BC26" s="312"/>
      <c r="BD26" s="312"/>
      <c r="BE26" s="312"/>
      <c r="BF26" s="313"/>
      <c r="BG26" s="312"/>
      <c r="BH26" s="312"/>
      <c r="BI26" s="312"/>
      <c r="BJ26" s="312"/>
      <c r="BK26" s="313"/>
      <c r="BL26" s="312"/>
      <c r="BM26" s="312"/>
      <c r="BN26" s="312"/>
      <c r="BO26" s="312"/>
      <c r="BP26" s="313"/>
      <c r="BQ26" s="312"/>
      <c r="BR26" s="312"/>
      <c r="BS26" s="312"/>
      <c r="BT26" s="312"/>
      <c r="BU26" s="313"/>
      <c r="BV26" s="312"/>
      <c r="BW26" s="312"/>
      <c r="BX26" s="312"/>
      <c r="BY26" s="312"/>
      <c r="BZ26" s="313"/>
      <c r="CA26" s="312"/>
      <c r="CB26" s="312"/>
      <c r="CC26" s="312"/>
      <c r="CD26" s="312"/>
      <c r="CE26" s="313"/>
      <c r="CF26" s="312"/>
      <c r="CG26" s="312"/>
      <c r="CH26" s="312"/>
      <c r="CI26" s="312"/>
      <c r="CJ26" s="313"/>
      <c r="CK26" s="312"/>
      <c r="CL26" s="312"/>
      <c r="CM26" s="312"/>
      <c r="CN26" s="312"/>
      <c r="CO26" s="313"/>
      <c r="CP26" s="312"/>
      <c r="CQ26" s="312"/>
      <c r="CR26" s="312"/>
      <c r="CS26" s="312"/>
      <c r="CT26" s="313"/>
      <c r="CU26" s="312"/>
      <c r="CV26" s="312"/>
      <c r="CW26" s="312"/>
      <c r="CX26" s="312"/>
      <c r="CY26" s="313"/>
      <c r="CZ26" s="312"/>
      <c r="DA26" s="312"/>
      <c r="DB26" s="312"/>
      <c r="DC26" s="312"/>
      <c r="DD26" s="313"/>
      <c r="DE26" s="312"/>
      <c r="DF26" s="312"/>
      <c r="DG26" s="312"/>
      <c r="DH26" s="312"/>
      <c r="DI26" s="313"/>
      <c r="DJ26" s="312"/>
      <c r="DK26" s="312"/>
      <c r="DL26" s="312"/>
      <c r="DM26" s="312"/>
      <c r="DN26" s="313"/>
      <c r="DO26" s="312"/>
      <c r="DP26" s="312"/>
      <c r="DQ26" s="312"/>
      <c r="DR26" s="312"/>
      <c r="DS26" s="313"/>
      <c r="DT26" s="312"/>
      <c r="DU26" s="312"/>
      <c r="DV26" s="312"/>
      <c r="DW26" s="312"/>
      <c r="DX26" s="313"/>
      <c r="DY26" s="312"/>
      <c r="DZ26" s="312"/>
      <c r="EA26" s="312"/>
      <c r="EB26" s="312"/>
      <c r="EC26" s="313"/>
      <c r="ED26" s="312">
        <f t="shared" ref="ED26" si="53">ED24/DY24-1</f>
        <v>0.10769786772677992</v>
      </c>
      <c r="EE26" s="312">
        <f t="shared" ref="EE26" si="54">EE24/DZ24-1</f>
        <v>5.6404657933042168E-2</v>
      </c>
      <c r="EF26" s="312">
        <f t="shared" ref="EF26" si="55">EF24/EA24-1</f>
        <v>8.7860007291286957E-2</v>
      </c>
      <c r="EG26" s="312">
        <f t="shared" ref="EG26" si="56">EG24/EB24-1</f>
        <v>-9.2859430035222568E-3</v>
      </c>
      <c r="EH26" s="313">
        <f t="shared" ref="EH26" si="57">EH24/EC24-1</f>
        <v>5.8430717863105164E-2</v>
      </c>
      <c r="EI26" s="312">
        <f t="shared" ref="EI26" si="58">EI24/ED24-1</f>
        <v>-3.3605220228384969E-2</v>
      </c>
      <c r="EJ26" s="312">
        <f t="shared" ref="EJ26" si="59">EJ24/EE24-1</f>
        <v>-1.0334137099552443E-3</v>
      </c>
      <c r="EK26" s="312">
        <f t="shared" ref="EK26" si="60">EK24/EF24-1</f>
        <v>-1.3404825737265424E-3</v>
      </c>
      <c r="EL26" s="312">
        <f t="shared" ref="EL26" si="61">EL24/EG24-1</f>
        <v>1.6806722689075571E-2</v>
      </c>
      <c r="EM26" s="313">
        <f t="shared" ref="EM26" si="62">EM24/EH24-1</f>
        <v>-4.814876307488003E-3</v>
      </c>
      <c r="EN26" s="312">
        <f t="shared" ref="EN26" si="63">EN24/EI24-1</f>
        <v>4.8615800135043852E-2</v>
      </c>
      <c r="EO26" s="312">
        <f t="shared" ref="EO26" si="64">EO24/EJ24-1</f>
        <v>5.5862068965517153E-2</v>
      </c>
      <c r="EP26" s="312">
        <f t="shared" ref="EP26" si="65">EP24/EK24-1</f>
        <v>0.12583892617449655</v>
      </c>
      <c r="EQ26" s="312">
        <f t="shared" ref="EQ26" si="66">EQ24/EL24-1</f>
        <v>0.11697393515575327</v>
      </c>
      <c r="ER26" s="313">
        <f t="shared" ref="ER26" si="67">ER24/EM24-1</f>
        <v>8.7504170837504169E-2</v>
      </c>
      <c r="ES26" s="312">
        <f t="shared" ref="ES26" si="68">ES24/EN24-1</f>
        <v>0.1506761107533805</v>
      </c>
      <c r="ET26" s="312">
        <f t="shared" ref="ET26" si="69">ET24/EO24-1</f>
        <v>0.14435009797517973</v>
      </c>
      <c r="EU26" s="312">
        <f t="shared" ref="EU26" si="70">EU24/EP24-1</f>
        <v>0.10730253353204167</v>
      </c>
      <c r="EV26" s="312">
        <f t="shared" ref="EV26" si="71">EV24/EQ24-1</f>
        <v>7.1777311486407092E-2</v>
      </c>
      <c r="EW26" s="313">
        <f t="shared" ref="EW26" si="72">EW24/ER24-1</f>
        <v>0.11676194466236356</v>
      </c>
      <c r="EX26" s="312">
        <f t="shared" ref="EX26" si="73">EX24/ES24-1</f>
        <v>0.13029476349915847</v>
      </c>
      <c r="EY26" s="312">
        <f t="shared" ref="EY26" si="74">EY24/ET24-1</f>
        <v>0.11349045296657034</v>
      </c>
      <c r="EZ26" s="312">
        <f t="shared" ref="EZ26" si="75">EZ24/EU24-1</f>
        <v>0.11700759830550211</v>
      </c>
      <c r="FA26" s="312">
        <f t="shared" ref="FA26" si="76">FA24/EV24-1</f>
        <v>0.1180512861010734</v>
      </c>
      <c r="FB26" s="313">
        <f t="shared" ref="FB26" si="77">FB24/EW24-1</f>
        <v>0.11969283831152233</v>
      </c>
      <c r="FC26" s="312">
        <f t="shared" ref="FC26" si="78">FC24/EX24-1</f>
        <v>0.10648891747472744</v>
      </c>
      <c r="FD26" s="312">
        <f t="shared" ref="FD26" si="79">FD24/EY24-1</f>
        <v>8.7884563246561243E-2</v>
      </c>
      <c r="FE26" s="312">
        <f t="shared" ref="FE26" si="80">FE24/EZ24-1</f>
        <v>0.10931340713220261</v>
      </c>
      <c r="FF26" s="312">
        <f t="shared" ref="FF26" si="81">FF24/FA24-1</f>
        <v>0.10756547366221869</v>
      </c>
      <c r="FG26" s="313">
        <f t="shared" ref="FG26" si="82">FG24/FB24-1</f>
        <v>0.1030332306201176</v>
      </c>
      <c r="FH26" s="312">
        <f t="shared" ref="FH26" si="83">FH24/FC24-1</f>
        <v>0.10381828144740379</v>
      </c>
      <c r="FI26" s="312">
        <f t="shared" ref="FI26" si="84">FI24/FD24-1</f>
        <v>7.9787827188700255E-2</v>
      </c>
      <c r="FJ26" s="312">
        <f t="shared" ref="FJ26" si="85">FJ24/FE24-1</f>
        <v>0.10101744419064218</v>
      </c>
      <c r="FK26" s="312">
        <f t="shared" ref="FK26" si="86">FK24/FF24-1</f>
        <v>9.7966003511648081E-2</v>
      </c>
      <c r="FL26" s="313">
        <f t="shared" ref="FL26" si="87">FL24/FG24-1</f>
        <v>9.5910947997376095E-2</v>
      </c>
      <c r="FM26" s="242"/>
      <c r="FN26" s="316"/>
      <c r="FO26" s="316"/>
      <c r="FP26" s="316"/>
      <c r="FQ26" s="316"/>
      <c r="FR26" s="316"/>
      <c r="FS26" s="316"/>
      <c r="FT26" s="316"/>
      <c r="FU26" s="316"/>
      <c r="FV26" s="316"/>
      <c r="FW26" s="316"/>
      <c r="FX26" s="847"/>
      <c r="FY26" s="854"/>
      <c r="FZ26" s="854"/>
      <c r="GA26" s="854"/>
      <c r="GB26" s="854"/>
      <c r="GC26" s="854"/>
      <c r="GD26" s="854"/>
      <c r="GE26" s="854"/>
      <c r="GF26" s="854"/>
      <c r="GG26" s="854"/>
      <c r="GH26" s="854"/>
      <c r="GI26" s="854"/>
      <c r="GJ26" s="363"/>
      <c r="GK26" s="363"/>
      <c r="GL26" s="363"/>
      <c r="GN26"/>
      <c r="GO26"/>
      <c r="GP26"/>
      <c r="GQ26"/>
      <c r="GR26"/>
      <c r="GS26"/>
    </row>
    <row r="27" spans="1:201" s="307" customFormat="1" ht="11.25" customHeight="1">
      <c r="A27" s="328" t="s">
        <v>114</v>
      </c>
      <c r="B27" s="303"/>
      <c r="C27" s="303"/>
      <c r="D27" s="329">
        <v>46</v>
      </c>
      <c r="E27" s="329">
        <v>51</v>
      </c>
      <c r="F27" s="329">
        <v>51</v>
      </c>
      <c r="G27" s="329">
        <v>57</v>
      </c>
      <c r="H27" s="330">
        <f>SUM(D27:G27)</f>
        <v>205</v>
      </c>
      <c r="I27" s="329">
        <v>64</v>
      </c>
      <c r="J27" s="329">
        <v>73</v>
      </c>
      <c r="K27" s="329">
        <v>77</v>
      </c>
      <c r="L27" s="329">
        <v>86</v>
      </c>
      <c r="M27" s="330">
        <f>SUM(I27:L27)</f>
        <v>300</v>
      </c>
      <c r="N27" s="329">
        <v>98</v>
      </c>
      <c r="O27" s="329">
        <v>130</v>
      </c>
      <c r="P27" s="329">
        <v>129</v>
      </c>
      <c r="Q27" s="329">
        <v>133</v>
      </c>
      <c r="R27" s="330">
        <f>SUM(N27:Q27)</f>
        <v>490</v>
      </c>
      <c r="S27" s="329">
        <v>160</v>
      </c>
      <c r="T27" s="329">
        <v>193</v>
      </c>
      <c r="U27" s="329">
        <v>184</v>
      </c>
      <c r="V27" s="329">
        <v>221</v>
      </c>
      <c r="W27" s="330">
        <f>SUM(S27:V27)</f>
        <v>758</v>
      </c>
      <c r="X27" s="329">
        <v>237</v>
      </c>
      <c r="Y27" s="329">
        <v>288</v>
      </c>
      <c r="Z27" s="329">
        <v>283</v>
      </c>
      <c r="AA27" s="329">
        <v>278</v>
      </c>
      <c r="AB27" s="330">
        <f>SUM(X27:AA27)</f>
        <v>1086</v>
      </c>
      <c r="AC27" s="329">
        <v>256</v>
      </c>
      <c r="AD27" s="329">
        <v>279</v>
      </c>
      <c r="AE27" s="329">
        <v>300</v>
      </c>
      <c r="AF27" s="329">
        <v>300</v>
      </c>
      <c r="AG27" s="330">
        <f>SUM(AC27:AF27)</f>
        <v>1135</v>
      </c>
      <c r="AH27" s="329">
        <v>320</v>
      </c>
      <c r="AI27" s="329">
        <v>404</v>
      </c>
      <c r="AJ27" s="329">
        <v>436</v>
      </c>
      <c r="AK27" s="329">
        <v>404</v>
      </c>
      <c r="AL27" s="330">
        <f>SUM(AH27:AK27)</f>
        <v>1564</v>
      </c>
      <c r="AM27" s="329">
        <v>514</v>
      </c>
      <c r="AN27" s="329">
        <v>554</v>
      </c>
      <c r="AO27" s="329">
        <v>572</v>
      </c>
      <c r="AP27" s="329">
        <v>545</v>
      </c>
      <c r="AQ27" s="330">
        <f>SUM(AM27:AP27)</f>
        <v>2185</v>
      </c>
      <c r="AR27" s="329">
        <v>518</v>
      </c>
      <c r="AS27" s="329">
        <v>639</v>
      </c>
      <c r="AT27" s="329">
        <v>639</v>
      </c>
      <c r="AU27" s="329">
        <v>615</v>
      </c>
      <c r="AV27" s="330">
        <f>SUM(AR27:AU27)</f>
        <v>2411</v>
      </c>
      <c r="AW27" s="329">
        <v>675</v>
      </c>
      <c r="AX27" s="329">
        <v>764</v>
      </c>
      <c r="AY27" s="329">
        <v>702</v>
      </c>
      <c r="AZ27" s="329">
        <v>689</v>
      </c>
      <c r="BA27" s="330">
        <f>SUM(AW27:AZ27)</f>
        <v>2830</v>
      </c>
      <c r="BB27" s="329">
        <v>688</v>
      </c>
      <c r="BC27" s="329">
        <v>794</v>
      </c>
      <c r="BD27" s="329">
        <v>849</v>
      </c>
      <c r="BE27" s="329">
        <v>900</v>
      </c>
      <c r="BF27" s="330">
        <f>SUM(BB27:BE27)</f>
        <v>3231</v>
      </c>
      <c r="BG27" s="329">
        <v>922</v>
      </c>
      <c r="BH27" s="329">
        <v>1013</v>
      </c>
      <c r="BI27" s="329">
        <v>1010</v>
      </c>
      <c r="BJ27" s="329">
        <v>1181</v>
      </c>
      <c r="BK27" s="330">
        <f>SUM(BG27:BJ27)</f>
        <v>4126</v>
      </c>
      <c r="BL27" s="329">
        <v>1038</v>
      </c>
      <c r="BM27" s="329">
        <v>1290</v>
      </c>
      <c r="BN27" s="329">
        <v>1198</v>
      </c>
      <c r="BO27" s="329">
        <v>1359</v>
      </c>
      <c r="BP27" s="330">
        <f>SUM(BL27:BO27)</f>
        <v>4885</v>
      </c>
      <c r="BQ27" s="329">
        <v>1145</v>
      </c>
      <c r="BR27" s="329">
        <v>1479</v>
      </c>
      <c r="BS27" s="329">
        <v>1240</v>
      </c>
      <c r="BT27" s="329">
        <v>1543</v>
      </c>
      <c r="BU27" s="330">
        <f>SUM(BQ27:BT27)</f>
        <v>5407</v>
      </c>
      <c r="BV27" s="329">
        <v>1415</v>
      </c>
      <c r="BW27" s="329">
        <v>2159</v>
      </c>
      <c r="BX27" s="329">
        <v>1700</v>
      </c>
      <c r="BY27" s="329">
        <v>2288</v>
      </c>
      <c r="BZ27" s="330">
        <f>SUM(BV27:BY27)</f>
        <v>7562</v>
      </c>
      <c r="CA27" s="329">
        <v>1505</v>
      </c>
      <c r="CB27" s="329">
        <f>2467-400</f>
        <v>2067</v>
      </c>
      <c r="CC27" s="329">
        <v>1928</v>
      </c>
      <c r="CD27" s="329">
        <v>2409</v>
      </c>
      <c r="CE27" s="330">
        <f>SUM(CA27:CD27)</f>
        <v>7909</v>
      </c>
      <c r="CF27" s="307">
        <v>1664</v>
      </c>
      <c r="CG27" s="307">
        <v>2146</v>
      </c>
      <c r="CH27" s="307">
        <v>2070</v>
      </c>
      <c r="CI27" s="307">
        <v>2770</v>
      </c>
      <c r="CJ27" s="330">
        <f>SUM(CF27:CI27)</f>
        <v>8650</v>
      </c>
      <c r="CK27" s="329">
        <v>1945</v>
      </c>
      <c r="CL27" s="329">
        <v>2689</v>
      </c>
      <c r="CM27" s="329">
        <v>2362</v>
      </c>
      <c r="CN27" s="329">
        <v>2822</v>
      </c>
      <c r="CO27" s="331">
        <f>SUM(CK27:CN27)</f>
        <v>9818</v>
      </c>
      <c r="CP27" s="329">
        <v>2191</v>
      </c>
      <c r="CQ27" s="329">
        <v>2999</v>
      </c>
      <c r="CR27" s="329">
        <v>2936</v>
      </c>
      <c r="CS27" s="329">
        <v>3329</v>
      </c>
      <c r="CT27" s="331">
        <f>SUM(CP27:CS27)</f>
        <v>11455</v>
      </c>
      <c r="CU27" s="329">
        <v>2683</v>
      </c>
      <c r="CV27" s="329">
        <v>3392</v>
      </c>
      <c r="CW27" s="329">
        <v>3155</v>
      </c>
      <c r="CX27" s="329">
        <v>3878</v>
      </c>
      <c r="CY27" s="331">
        <f>SUM(CU27:CX27)</f>
        <v>13108</v>
      </c>
      <c r="CZ27" s="329">
        <v>3044</v>
      </c>
      <c r="DA27" s="329">
        <v>3662</v>
      </c>
      <c r="DB27" s="329">
        <v>2981</v>
      </c>
      <c r="DC27" s="329">
        <v>3192</v>
      </c>
      <c r="DD27" s="331">
        <f>SUM(CZ27:DC27)</f>
        <v>12879</v>
      </c>
      <c r="DE27" s="329">
        <v>2790</v>
      </c>
      <c r="DF27" s="329">
        <v>3619</v>
      </c>
      <c r="DG27" s="329">
        <v>3203</v>
      </c>
      <c r="DH27" s="329">
        <v>3602</v>
      </c>
      <c r="DI27" s="331">
        <f>SUM(DE27:DH27)</f>
        <v>13214</v>
      </c>
      <c r="DJ27" s="1114">
        <v>2806</v>
      </c>
      <c r="DK27" s="1114">
        <v>3825</v>
      </c>
      <c r="DL27" s="1114">
        <v>3393</v>
      </c>
      <c r="DM27" s="1114">
        <v>3916</v>
      </c>
      <c r="DN27" s="331">
        <f>SUM(DJ27:DM27)</f>
        <v>13940</v>
      </c>
      <c r="DO27" s="1114">
        <v>2900</v>
      </c>
      <c r="DP27" s="1114">
        <v>3762</v>
      </c>
      <c r="DQ27" s="1114">
        <v>3414</v>
      </c>
      <c r="DR27" s="1114">
        <v>3781</v>
      </c>
      <c r="DS27" s="331">
        <f>SUM(DO27:DR27)</f>
        <v>13857</v>
      </c>
      <c r="DT27" s="1114">
        <v>2945</v>
      </c>
      <c r="DU27" s="1114">
        <v>4309</v>
      </c>
      <c r="DV27" s="1114">
        <v>3794</v>
      </c>
      <c r="DW27" s="1114">
        <v>4228</v>
      </c>
      <c r="DX27" s="331">
        <f>SUM(DT27:DW27)</f>
        <v>15276</v>
      </c>
      <c r="DY27" s="1114">
        <v>3304</v>
      </c>
      <c r="DZ27" s="1114">
        <v>4283</v>
      </c>
      <c r="EA27" s="1114">
        <v>3542</v>
      </c>
      <c r="EB27" s="1114">
        <v>4682</v>
      </c>
      <c r="EC27" s="331">
        <f>SUM(DY27:EB27)</f>
        <v>15811</v>
      </c>
      <c r="ED27" s="1114">
        <v>3728</v>
      </c>
      <c r="EE27" s="1114">
        <v>4315</v>
      </c>
      <c r="EF27" s="1114">
        <v>3709</v>
      </c>
      <c r="EG27" s="1114">
        <v>3961</v>
      </c>
      <c r="EH27" s="331">
        <f>SUM(ED27:EG27)</f>
        <v>15713</v>
      </c>
      <c r="EI27" s="2558">
        <v>3341</v>
      </c>
      <c r="EJ27" s="2558">
        <v>3954</v>
      </c>
      <c r="EK27" s="2558">
        <v>3398</v>
      </c>
      <c r="EL27" s="2558">
        <v>3942</v>
      </c>
      <c r="EM27" s="2696">
        <f>SUM(EI27:EL27)</f>
        <v>14635</v>
      </c>
      <c r="EN27" s="2558">
        <v>3218</v>
      </c>
      <c r="EO27" s="2558">
        <v>4079</v>
      </c>
      <c r="EP27" s="2558">
        <v>3872</v>
      </c>
      <c r="EQ27" s="2558">
        <v>4292</v>
      </c>
      <c r="ER27" s="2696">
        <f>SUM(EN27:EQ27)</f>
        <v>15461</v>
      </c>
      <c r="ES27" s="2558">
        <v>3812</v>
      </c>
      <c r="ET27" s="2558">
        <v>4562</v>
      </c>
      <c r="EU27" s="2558">
        <v>4335</v>
      </c>
      <c r="EV27" s="329">
        <f>EV28*EV8</f>
        <v>4685.885180979838</v>
      </c>
      <c r="EW27" s="331">
        <f>SUM(ES27:EV27)</f>
        <v>17394.885180979836</v>
      </c>
      <c r="EX27" s="329">
        <f>EX28*EX8</f>
        <v>4031.3319093913683</v>
      </c>
      <c r="EY27" s="329">
        <f>EY28*EY8</f>
        <v>4757.7442772446211</v>
      </c>
      <c r="EZ27" s="329">
        <f>EZ28*EZ8</f>
        <v>4692.4428047595757</v>
      </c>
      <c r="FA27" s="329">
        <f>FA28*FA8</f>
        <v>5075.8493626767031</v>
      </c>
      <c r="FB27" s="331">
        <f>SUM(EX27:FA27)</f>
        <v>18557.36835407227</v>
      </c>
      <c r="FC27" s="329">
        <f>FC28*FC8</f>
        <v>4460.4955770252864</v>
      </c>
      <c r="FD27" s="329">
        <f>FD28*FD8</f>
        <v>5191.5064584316324</v>
      </c>
      <c r="FE27" s="329">
        <f>FE28*FE8</f>
        <v>5218.7180468685356</v>
      </c>
      <c r="FF27" s="329">
        <f>FF28*FF8</f>
        <v>5644.6465035874662</v>
      </c>
      <c r="FG27" s="331">
        <f>SUM(FC27:FF27)</f>
        <v>20515.366585912918</v>
      </c>
      <c r="FH27" s="329">
        <f>FH28*FH8</f>
        <v>4923.4307124148509</v>
      </c>
      <c r="FI27" s="329">
        <f>FI28*FI8</f>
        <v>5623.1786105467809</v>
      </c>
      <c r="FJ27" s="329">
        <f>FJ28*FJ8</f>
        <v>5756.0491080747224</v>
      </c>
      <c r="FK27" s="329">
        <f>FK28*FK8</f>
        <v>6215.0003693387507</v>
      </c>
      <c r="FL27" s="331">
        <f>SUM(FH27:FK27)</f>
        <v>22517.658800375106</v>
      </c>
      <c r="FN27" s="330">
        <f>BD27+BE27+BG27+BH27</f>
        <v>3684</v>
      </c>
      <c r="FO27" s="330">
        <f>BI27+BJ27+BL27+BM27</f>
        <v>4519</v>
      </c>
      <c r="FP27" s="330">
        <f>BN27+BO27+BQ27+BR27</f>
        <v>5181</v>
      </c>
      <c r="FQ27" s="330">
        <f>BS27+BT27+BV27+BW27</f>
        <v>6357</v>
      </c>
      <c r="FR27" s="330">
        <f>BX27+BY27+CA27+CB27</f>
        <v>7560</v>
      </c>
      <c r="FS27" s="330">
        <f>CC27+CD27+CF27+CG27</f>
        <v>8147</v>
      </c>
      <c r="FT27" s="330">
        <f>CH27+CI27+CK27+CL27</f>
        <v>9474</v>
      </c>
      <c r="FU27" s="330">
        <f>CM27+CN27+CP27+CQ27</f>
        <v>10374</v>
      </c>
      <c r="FV27" s="330">
        <f>CR27+CS27+CU27+CV27</f>
        <v>12340</v>
      </c>
      <c r="FW27" s="330">
        <f>CW27+CX27+CZ27+DA27</f>
        <v>13739</v>
      </c>
      <c r="FX27" s="855">
        <f>DB27+DC27+DE27+DF27</f>
        <v>12582</v>
      </c>
      <c r="FY27" s="856">
        <f>DG27+DH27+DJ27+DK27</f>
        <v>13436</v>
      </c>
      <c r="FZ27" s="856">
        <f>SUM(DO27:DP27,DL27:DM27)</f>
        <v>13971</v>
      </c>
      <c r="GA27" s="856">
        <f>SUM(DT27:DU27,DQ27:DR27)</f>
        <v>14449</v>
      </c>
      <c r="GB27" s="856">
        <f>SUM(DV27:DW27,DY27:DZ27)</f>
        <v>15609</v>
      </c>
      <c r="GC27" s="856">
        <f>SUM(ED27:EE27,EA27:EB27)</f>
        <v>16267</v>
      </c>
      <c r="GD27" s="856">
        <f>SUM(EI27:EJ27,EF27:EG27)</f>
        <v>14965</v>
      </c>
      <c r="GE27" s="856">
        <f>SUM(EN27:EO27,EK27:EL27)</f>
        <v>14637</v>
      </c>
      <c r="GF27" s="856">
        <f>SUM(ES27:ET27,EP27:EQ27)</f>
        <v>16538</v>
      </c>
      <c r="GG27" s="856">
        <f>SUM(EX27:EY27,EU27:EV27)</f>
        <v>17809.961367615826</v>
      </c>
      <c r="GH27" s="856">
        <f>SUM(FC27:FD27,EZ27:FA27)</f>
        <v>19420.294202893198</v>
      </c>
      <c r="GI27" s="856">
        <f>SUM(FH27:FI27,FE27:FF27)</f>
        <v>21409.973873417635</v>
      </c>
      <c r="GJ27" s="303"/>
      <c r="GK27" s="303"/>
      <c r="GL27" s="303"/>
      <c r="GN27"/>
      <c r="GO27"/>
      <c r="GP27"/>
      <c r="GQ27"/>
      <c r="GR27"/>
      <c r="GS27"/>
    </row>
    <row r="28" spans="1:201" s="264" customFormat="1" ht="11.25" customHeight="1">
      <c r="A28" s="323" t="s">
        <v>123</v>
      </c>
      <c r="B28" s="253"/>
      <c r="C28" s="253"/>
      <c r="D28" s="312">
        <f t="shared" ref="D28:AI28" si="88">D27/D$8</f>
        <v>0.25988700564971751</v>
      </c>
      <c r="E28" s="312">
        <f t="shared" si="88"/>
        <v>0.24299368216426373</v>
      </c>
      <c r="F28" s="312">
        <f t="shared" si="88"/>
        <v>0.25885171349683289</v>
      </c>
      <c r="G28" s="312">
        <f t="shared" si="88"/>
        <v>0.25791855203619912</v>
      </c>
      <c r="H28" s="316">
        <f t="shared" si="88"/>
        <v>0.25468812507298988</v>
      </c>
      <c r="I28" s="241">
        <f t="shared" si="88"/>
        <v>0.27215397110915501</v>
      </c>
      <c r="J28" s="241">
        <f t="shared" si="88"/>
        <v>0.2425249169435216</v>
      </c>
      <c r="K28" s="241">
        <f t="shared" si="88"/>
        <v>0.24679487179487181</v>
      </c>
      <c r="L28" s="241">
        <f t="shared" si="88"/>
        <v>0.25443786982248523</v>
      </c>
      <c r="M28" s="316">
        <f t="shared" si="88"/>
        <v>0.25291676256427248</v>
      </c>
      <c r="N28" s="241">
        <f t="shared" si="88"/>
        <v>0.26529507309149974</v>
      </c>
      <c r="O28" s="241">
        <f t="shared" si="88"/>
        <v>0.28230184581976114</v>
      </c>
      <c r="P28" s="241">
        <f t="shared" si="88"/>
        <v>0.26380368098159507</v>
      </c>
      <c r="Q28" s="241">
        <f t="shared" si="88"/>
        <v>0.25189393939393939</v>
      </c>
      <c r="R28" s="316">
        <f t="shared" si="88"/>
        <v>0.26530943743570307</v>
      </c>
      <c r="S28" s="241">
        <f t="shared" si="88"/>
        <v>0.27397260273972601</v>
      </c>
      <c r="T28" s="241">
        <f t="shared" si="88"/>
        <v>0.28134110787172012</v>
      </c>
      <c r="U28" s="241">
        <f t="shared" si="88"/>
        <v>0.26822157434402333</v>
      </c>
      <c r="V28" s="241">
        <f t="shared" si="88"/>
        <v>0.269183922046285</v>
      </c>
      <c r="W28" s="316">
        <f t="shared" si="88"/>
        <v>0.27295642779978396</v>
      </c>
      <c r="X28" s="241">
        <f t="shared" si="88"/>
        <v>0.28762135922330095</v>
      </c>
      <c r="Y28" s="241">
        <f t="shared" si="88"/>
        <v>0.30476190476190479</v>
      </c>
      <c r="Z28" s="241">
        <f t="shared" si="88"/>
        <v>0.29205366357069146</v>
      </c>
      <c r="AA28" s="241">
        <f t="shared" si="88"/>
        <v>0.26526717557251911</v>
      </c>
      <c r="AB28" s="316">
        <f t="shared" si="88"/>
        <v>0.28684627575277338</v>
      </c>
      <c r="AC28" s="241">
        <f t="shared" si="88"/>
        <v>0.25702811244979917</v>
      </c>
      <c r="AD28" s="241">
        <f t="shared" si="88"/>
        <v>0.24345549738219896</v>
      </c>
      <c r="AE28" s="241">
        <f t="shared" si="88"/>
        <v>0.23790642347343377</v>
      </c>
      <c r="AF28" s="241">
        <f t="shared" si="88"/>
        <v>0.2288329519450801</v>
      </c>
      <c r="AG28" s="316">
        <f t="shared" si="88"/>
        <v>0.24077216801018245</v>
      </c>
      <c r="AH28" s="241">
        <f t="shared" si="88"/>
        <v>0.25196850393700787</v>
      </c>
      <c r="AI28" s="241">
        <f t="shared" si="88"/>
        <v>0.26649076517150394</v>
      </c>
      <c r="AJ28" s="241">
        <f t="shared" ref="AJ28:BO28" si="89">AJ27/AJ$8</f>
        <v>0.26797787338660112</v>
      </c>
      <c r="AK28" s="241">
        <f t="shared" si="89"/>
        <v>0.2430806257521059</v>
      </c>
      <c r="AL28" s="316">
        <f t="shared" si="89"/>
        <v>0.2574485596707819</v>
      </c>
      <c r="AM28" s="241">
        <f t="shared" si="89"/>
        <v>0.24652278177458034</v>
      </c>
      <c r="AN28" s="241">
        <f t="shared" si="89"/>
        <v>0.24223874070835155</v>
      </c>
      <c r="AO28" s="241">
        <f t="shared" si="89"/>
        <v>0.24751189961055819</v>
      </c>
      <c r="AP28" s="241">
        <f t="shared" si="89"/>
        <v>0.23024926066751161</v>
      </c>
      <c r="AQ28" s="316">
        <f t="shared" si="89"/>
        <v>0.24143646408839778</v>
      </c>
      <c r="AR28" s="241">
        <f t="shared" si="89"/>
        <v>0.2153846153846154</v>
      </c>
      <c r="AS28" s="241">
        <f t="shared" si="89"/>
        <v>0.22756410256410256</v>
      </c>
      <c r="AT28" s="241">
        <f t="shared" si="89"/>
        <v>0.18989598811292718</v>
      </c>
      <c r="AU28" s="241">
        <f t="shared" si="89"/>
        <v>0.18314472900536033</v>
      </c>
      <c r="AV28" s="316">
        <f t="shared" si="89"/>
        <v>0.20199396782841822</v>
      </c>
      <c r="AW28" s="241">
        <f t="shared" si="89"/>
        <v>0.20245950809838031</v>
      </c>
      <c r="AX28" s="241">
        <f t="shared" si="89"/>
        <v>0.20147679324894516</v>
      </c>
      <c r="AY28" s="241">
        <f t="shared" si="89"/>
        <v>0.17620481927710843</v>
      </c>
      <c r="AZ28" s="241">
        <f t="shared" si="89"/>
        <v>0.16594412331406552</v>
      </c>
      <c r="BA28" s="316">
        <f t="shared" si="89"/>
        <v>0.18542786004455511</v>
      </c>
      <c r="BB28" s="241">
        <f t="shared" si="89"/>
        <v>0.16408299546863819</v>
      </c>
      <c r="BC28" s="241">
        <f t="shared" si="89"/>
        <v>0.15283926852743021</v>
      </c>
      <c r="BD28" s="241">
        <f t="shared" si="89"/>
        <v>0.18476605005440697</v>
      </c>
      <c r="BE28" s="241">
        <f t="shared" si="89"/>
        <v>0.15614156835530882</v>
      </c>
      <c r="BF28" s="316">
        <f t="shared" si="89"/>
        <v>0.16361979034790095</v>
      </c>
      <c r="BG28" s="241">
        <f t="shared" si="89"/>
        <v>0.1712481426448737</v>
      </c>
      <c r="BH28" s="241">
        <f t="shared" si="89"/>
        <v>0.16573952879581152</v>
      </c>
      <c r="BI28" s="241">
        <f t="shared" si="89"/>
        <v>0.17857142857142858</v>
      </c>
      <c r="BJ28" s="241">
        <f t="shared" si="89"/>
        <v>0.20348035837353548</v>
      </c>
      <c r="BK28" s="316">
        <f t="shared" si="89"/>
        <v>0.17973514549573097</v>
      </c>
      <c r="BL28" s="241">
        <f t="shared" si="89"/>
        <v>0.18002081165452655</v>
      </c>
      <c r="BM28" s="241">
        <f t="shared" si="89"/>
        <v>0.19694656488549619</v>
      </c>
      <c r="BN28" s="241">
        <f t="shared" si="89"/>
        <v>0.18709979697017023</v>
      </c>
      <c r="BO28" s="241">
        <f t="shared" si="89"/>
        <v>0.20662916223202069</v>
      </c>
      <c r="BP28" s="316">
        <f t="shared" ref="BP28:CD28" si="90">BP27/BP$8</f>
        <v>0.1931135357368754</v>
      </c>
      <c r="BQ28" s="241">
        <f t="shared" si="90"/>
        <v>0.18690825987593862</v>
      </c>
      <c r="BR28" s="241">
        <f t="shared" si="90"/>
        <v>0.19106058648753391</v>
      </c>
      <c r="BS28" s="241">
        <f t="shared" si="90"/>
        <v>0.17115251897860592</v>
      </c>
      <c r="BT28" s="241">
        <f t="shared" si="90"/>
        <v>0.21273955604577416</v>
      </c>
      <c r="BU28" s="316">
        <f t="shared" si="90"/>
        <v>0.19062224572536576</v>
      </c>
      <c r="BV28" s="241">
        <f t="shared" si="90"/>
        <v>0.18267492899561064</v>
      </c>
      <c r="BW28" s="241">
        <f t="shared" si="90"/>
        <v>0.25278070483549936</v>
      </c>
      <c r="BX28" s="241">
        <f t="shared" si="90"/>
        <v>0.21697511167836631</v>
      </c>
      <c r="BY28" s="241">
        <f t="shared" si="90"/>
        <v>0.28369497830130191</v>
      </c>
      <c r="BZ28" s="316">
        <f t="shared" si="90"/>
        <v>0.23493957187684469</v>
      </c>
      <c r="CA28" s="241">
        <f t="shared" si="90"/>
        <v>0.18320146074254412</v>
      </c>
      <c r="CB28" s="241">
        <f t="shared" si="90"/>
        <v>0.20358514724711907</v>
      </c>
      <c r="CC28" s="241">
        <f t="shared" si="90"/>
        <v>0.21013623978201634</v>
      </c>
      <c r="CD28" s="241">
        <f t="shared" si="90"/>
        <v>0.2592552733534223</v>
      </c>
      <c r="CE28" s="316">
        <f t="shared" ref="CE28:CJ28" si="91">CE27/CE$8</f>
        <v>0.21471426632279084</v>
      </c>
      <c r="CF28" s="241">
        <f t="shared" si="91"/>
        <v>0.18108608118402439</v>
      </c>
      <c r="CG28" s="241">
        <f t="shared" si="91"/>
        <v>0.19837308190053615</v>
      </c>
      <c r="CH28" s="241">
        <f t="shared" si="91"/>
        <v>0.21517671517671519</v>
      </c>
      <c r="CI28" s="241">
        <f t="shared" si="91"/>
        <v>0.27261096348784569</v>
      </c>
      <c r="CJ28" s="316">
        <f t="shared" si="91"/>
        <v>0.21740223182869206</v>
      </c>
      <c r="CK28" s="312">
        <f>CK27/CK$8</f>
        <v>0.19967149163330253</v>
      </c>
      <c r="CL28" s="312">
        <f>CL27/CL$8</f>
        <v>0.22714985639466126</v>
      </c>
      <c r="CM28" s="312">
        <f>CM27/CM$8</f>
        <v>0.21667736904871113</v>
      </c>
      <c r="CN28" s="312">
        <f>CN27/CN$8</f>
        <v>0.2390310011858377</v>
      </c>
      <c r="CO28" s="313">
        <f t="shared" ref="CO28:CV28" si="92">CO27/CO$8</f>
        <v>0.22169534390100709</v>
      </c>
      <c r="CP28" s="312">
        <f t="shared" si="92"/>
        <v>0.20266395338081583</v>
      </c>
      <c r="CQ28" s="312">
        <f t="shared" si="92"/>
        <v>0.23911656833040981</v>
      </c>
      <c r="CR28" s="312">
        <f t="shared" si="92"/>
        <v>0.20391721072371163</v>
      </c>
      <c r="CS28" s="312">
        <f t="shared" si="92"/>
        <v>0.24897165507441477</v>
      </c>
      <c r="CT28" s="313">
        <f t="shared" si="92"/>
        <v>0.22407182817573648</v>
      </c>
      <c r="CU28" s="312">
        <f t="shared" si="92"/>
        <v>0.19495712832437145</v>
      </c>
      <c r="CV28" s="312">
        <f t="shared" si="92"/>
        <v>0.20724628826296818</v>
      </c>
      <c r="CW28" s="312">
        <f t="shared" ref="CW28:EG28" si="93">CW27/CW$8</f>
        <v>0.21827867718278676</v>
      </c>
      <c r="CX28" s="312">
        <f t="shared" si="93"/>
        <v>0.24486960914314579</v>
      </c>
      <c r="CY28" s="313">
        <f t="shared" si="93"/>
        <v>0.21694803045349223</v>
      </c>
      <c r="CZ28" s="312">
        <f t="shared" si="93"/>
        <v>0.20211141358475532</v>
      </c>
      <c r="DA28" s="312">
        <f t="shared" si="93"/>
        <v>0.22021769198388358</v>
      </c>
      <c r="DB28" s="312">
        <f t="shared" si="93"/>
        <v>0.21842028135990621</v>
      </c>
      <c r="DC28" s="312">
        <f>DC27/DC8</f>
        <v>0.24368272387205131</v>
      </c>
      <c r="DD28" s="313">
        <f t="shared" si="93"/>
        <v>0.22039119051285999</v>
      </c>
      <c r="DE28" s="312">
        <f t="shared" si="93"/>
        <v>0.21594427244582043</v>
      </c>
      <c r="DF28" s="312">
        <f t="shared" si="93"/>
        <v>0.1902533908106403</v>
      </c>
      <c r="DG28" s="312">
        <f t="shared" si="93"/>
        <v>0.22085085844308075</v>
      </c>
      <c r="DH28" s="312">
        <f t="shared" si="93"/>
        <v>0.22457759211920944</v>
      </c>
      <c r="DI28" s="313">
        <f t="shared" si="93"/>
        <v>0.21147813840343127</v>
      </c>
      <c r="DJ28" s="312">
        <f t="shared" si="93"/>
        <v>0.17326335288669342</v>
      </c>
      <c r="DK28" s="312">
        <f t="shared" si="93"/>
        <v>0.19170049616599008</v>
      </c>
      <c r="DL28" s="312">
        <f t="shared" si="93"/>
        <v>0.20653761869978085</v>
      </c>
      <c r="DM28" s="312">
        <f t="shared" si="93"/>
        <v>0.22550537158862663</v>
      </c>
      <c r="DN28" s="313">
        <f>DN27/DN$8</f>
        <v>0.19930959385451599</v>
      </c>
      <c r="DO28" s="312">
        <f t="shared" si="93"/>
        <v>0.16693529818098088</v>
      </c>
      <c r="DP28" s="312">
        <f t="shared" si="93"/>
        <v>0.18012927938711995</v>
      </c>
      <c r="DQ28" s="312">
        <f t="shared" si="93"/>
        <v>0.19612799448497731</v>
      </c>
      <c r="DR28" s="312">
        <f t="shared" si="93"/>
        <v>0.20936928955091644</v>
      </c>
      <c r="DS28" s="313">
        <f>DS27/DS$8</f>
        <v>0.18796033802205553</v>
      </c>
      <c r="DT28" s="312">
        <f t="shared" si="93"/>
        <v>0.18397051474262868</v>
      </c>
      <c r="DU28" s="312">
        <f t="shared" si="93"/>
        <v>0.20082960477255779</v>
      </c>
      <c r="DV28" s="312">
        <f t="shared" si="93"/>
        <v>0.18517253160232319</v>
      </c>
      <c r="DW28" s="312">
        <f t="shared" si="93"/>
        <v>0.21250502613590672</v>
      </c>
      <c r="DX28" s="313">
        <f>DX27/DX$8</f>
        <v>0.19622602730927821</v>
      </c>
      <c r="DY28" s="312">
        <f t="shared" si="93"/>
        <v>0.17831507366830374</v>
      </c>
      <c r="DZ28" s="312">
        <f t="shared" si="93"/>
        <v>0.17468085974142503</v>
      </c>
      <c r="EA28" s="312">
        <f t="shared" si="93"/>
        <v>0.17360192128608537</v>
      </c>
      <c r="EB28" s="312">
        <f t="shared" si="93"/>
        <v>0.20023950047044736</v>
      </c>
      <c r="EC28" s="313">
        <f>EC27/EC$8</f>
        <v>0.18208515195835684</v>
      </c>
      <c r="ED28" s="312">
        <f t="shared" si="93"/>
        <v>0.16068272919270721</v>
      </c>
      <c r="EE28" s="312">
        <f t="shared" si="93"/>
        <v>0.16504742962056304</v>
      </c>
      <c r="EF28" s="312">
        <f t="shared" si="93"/>
        <v>0.17069354319112706</v>
      </c>
      <c r="EG28" s="312">
        <f t="shared" si="93"/>
        <v>0.17858431018935977</v>
      </c>
      <c r="EH28" s="313">
        <f>EH27/EH$8</f>
        <v>0.16849679370321916</v>
      </c>
      <c r="EI28" s="312">
        <f t="shared" ref="EI28:EL28" si="94">EI27/EI$8</f>
        <v>0.15978000956480154</v>
      </c>
      <c r="EJ28" s="312">
        <f t="shared" si="94"/>
        <v>0.15657545638142004</v>
      </c>
      <c r="EK28" s="312">
        <f t="shared" si="94"/>
        <v>0.15792164335176836</v>
      </c>
      <c r="EL28" s="312">
        <f t="shared" si="94"/>
        <v>0.16793047627161967</v>
      </c>
      <c r="EM28" s="313">
        <f>EM27/EM$8</f>
        <v>0.16055247164139808</v>
      </c>
      <c r="EN28" s="312">
        <f>EN27/EN$8</f>
        <v>0.14675300985041956</v>
      </c>
      <c r="EO28" s="312">
        <f t="shared" ref="EO28:EQ28" si="95">EO27/EO$8</f>
        <v>0.1579416092310075</v>
      </c>
      <c r="EP28" s="312">
        <f t="shared" si="95"/>
        <v>0.16681027054971567</v>
      </c>
      <c r="EQ28" s="312">
        <f t="shared" si="95"/>
        <v>0.16762351103300135</v>
      </c>
      <c r="ER28" s="313">
        <f>ER27/ER$8</f>
        <v>0.16009982292820826</v>
      </c>
      <c r="ES28" s="312">
        <f>ES27/ES$8</f>
        <v>0.15535088434265221</v>
      </c>
      <c r="ET28" s="312">
        <f t="shared" ref="ET28:EU28" si="96">ET27/ET$8</f>
        <v>0.15775641468981258</v>
      </c>
      <c r="EU28" s="312">
        <f t="shared" si="96"/>
        <v>0.16163913643312577</v>
      </c>
      <c r="EV28" s="312">
        <v>0.1605</v>
      </c>
      <c r="EW28" s="313">
        <f>EW27/EW$8</f>
        <v>0.15890014044031772</v>
      </c>
      <c r="EX28" s="312">
        <f>ES28-0.01</f>
        <v>0.1453508843426522</v>
      </c>
      <c r="EY28" s="312">
        <f>ET28-0.01</f>
        <v>0.14775641468981257</v>
      </c>
      <c r="EZ28" s="312">
        <f>EU28-0.005</f>
        <v>0.15663913643312577</v>
      </c>
      <c r="FA28" s="312">
        <f>EV28-0.005</f>
        <v>0.1555</v>
      </c>
      <c r="FB28" s="313">
        <f>FB27/FB$8</f>
        <v>0.15144639700599827</v>
      </c>
      <c r="FC28" s="312">
        <f>EX28-0.002</f>
        <v>0.1433508843426522</v>
      </c>
      <c r="FD28" s="312">
        <f t="shared" ref="FD28" si="97">EY28-0.002</f>
        <v>0.14575641468981257</v>
      </c>
      <c r="FE28" s="312">
        <f>EZ28-0.003</f>
        <v>0.15363913643312577</v>
      </c>
      <c r="FF28" s="312">
        <f>FA28-0.003</f>
        <v>0.1525</v>
      </c>
      <c r="FG28" s="313">
        <f>FG27/FG$8</f>
        <v>0.14896966251569763</v>
      </c>
      <c r="FH28" s="312">
        <f>FC28-0.002</f>
        <v>0.14135088434265219</v>
      </c>
      <c r="FI28" s="312">
        <f t="shared" ref="FI28" si="98">FD28-0.002</f>
        <v>0.14375641468981257</v>
      </c>
      <c r="FJ28" s="312">
        <f t="shared" ref="FJ28" si="99">FE28-0.002</f>
        <v>0.15163913643312577</v>
      </c>
      <c r="FK28" s="312">
        <f t="shared" ref="FK28" si="100">FF28-0.002</f>
        <v>0.15049999999999999</v>
      </c>
      <c r="FL28" s="313">
        <f>FL27/FL$8</f>
        <v>0.14698034763302636</v>
      </c>
      <c r="FM28" s="242"/>
      <c r="FN28" s="316">
        <f t="shared" ref="FN28:GE28" si="101">FN27/FN$8</f>
        <v>0.16856554564172957</v>
      </c>
      <c r="FO28" s="316">
        <f t="shared" si="101"/>
        <v>0.19006561238223418</v>
      </c>
      <c r="FP28" s="316">
        <f t="shared" si="101"/>
        <v>0.19298245614035087</v>
      </c>
      <c r="FQ28" s="316">
        <f t="shared" si="101"/>
        <v>0.20649667045639111</v>
      </c>
      <c r="FR28" s="316">
        <f t="shared" si="101"/>
        <v>0.22061398389167736</v>
      </c>
      <c r="FS28" s="316">
        <f t="shared" si="101"/>
        <v>0.21175339190102407</v>
      </c>
      <c r="FT28" s="316">
        <f t="shared" si="101"/>
        <v>0.22906189555125725</v>
      </c>
      <c r="FU28" s="316">
        <f t="shared" si="101"/>
        <v>0.22522796352583588</v>
      </c>
      <c r="FV28" s="316">
        <f t="shared" si="101"/>
        <v>0.213133441569657</v>
      </c>
      <c r="FW28" s="316">
        <f t="shared" si="101"/>
        <v>0.22166470369952082</v>
      </c>
      <c r="FX28" s="847">
        <f t="shared" si="101"/>
        <v>0.21438429688698052</v>
      </c>
      <c r="FY28" s="854">
        <f t="shared" si="101"/>
        <v>0.20146948568001199</v>
      </c>
      <c r="FZ28" s="854">
        <f t="shared" si="101"/>
        <v>0.19390582486380373</v>
      </c>
      <c r="GA28" s="854">
        <f t="shared" si="101"/>
        <v>0.19812148635678048</v>
      </c>
      <c r="GB28" s="854">
        <f t="shared" si="101"/>
        <v>0.18708424724030059</v>
      </c>
      <c r="GC28" s="854">
        <f t="shared" si="101"/>
        <v>0.17466981638569742</v>
      </c>
      <c r="GD28" s="854">
        <f t="shared" si="101"/>
        <v>0.16614486188826716</v>
      </c>
      <c r="GE28" s="854">
        <f t="shared" si="101"/>
        <v>0.15781982856218665</v>
      </c>
      <c r="GF28" s="854">
        <f>GF27/GF$8</f>
        <v>0.16170445767700176</v>
      </c>
      <c r="GG28" s="854">
        <f>GG27/GG$8</f>
        <v>0.15360083880282174</v>
      </c>
      <c r="GH28" s="854">
        <f>GH27/GH$8</f>
        <v>0.15015758070383031</v>
      </c>
      <c r="GI28" s="854">
        <f>GI27/GI$8</f>
        <v>0.14772759506638825</v>
      </c>
      <c r="GJ28" s="363"/>
      <c r="GK28" s="363"/>
      <c r="GL28" s="363"/>
      <c r="GN28"/>
      <c r="GO28"/>
      <c r="GP28"/>
      <c r="GQ28"/>
      <c r="GR28"/>
      <c r="GS28"/>
    </row>
    <row r="29" spans="1:201" s="264" customFormat="1" ht="11.25" customHeight="1">
      <c r="A29" s="309" t="s">
        <v>111</v>
      </c>
      <c r="B29" s="253"/>
      <c r="C29" s="253"/>
      <c r="D29" s="312"/>
      <c r="E29" s="312"/>
      <c r="F29" s="312"/>
      <c r="G29" s="312"/>
      <c r="H29" s="313"/>
      <c r="I29" s="312"/>
      <c r="J29" s="312"/>
      <c r="K29" s="312"/>
      <c r="L29" s="312"/>
      <c r="M29" s="313"/>
      <c r="N29" s="312"/>
      <c r="O29" s="312"/>
      <c r="P29" s="312"/>
      <c r="Q29" s="312"/>
      <c r="R29" s="313"/>
      <c r="S29" s="312"/>
      <c r="T29" s="312"/>
      <c r="U29" s="312"/>
      <c r="V29" s="312"/>
      <c r="W29" s="313"/>
      <c r="X29" s="312"/>
      <c r="Y29" s="312"/>
      <c r="Z29" s="312"/>
      <c r="AA29" s="312"/>
      <c r="AB29" s="313"/>
      <c r="AC29" s="312"/>
      <c r="AD29" s="312"/>
      <c r="AE29" s="312"/>
      <c r="AF29" s="312"/>
      <c r="AG29" s="313"/>
      <c r="AH29" s="312"/>
      <c r="AI29" s="312"/>
      <c r="AJ29" s="312"/>
      <c r="AK29" s="312"/>
      <c r="AL29" s="313"/>
      <c r="AM29" s="312"/>
      <c r="AN29" s="312"/>
      <c r="AO29" s="312"/>
      <c r="AP29" s="312"/>
      <c r="AQ29" s="313"/>
      <c r="AR29" s="312"/>
      <c r="AS29" s="312"/>
      <c r="AT29" s="312"/>
      <c r="AU29" s="312"/>
      <c r="AV29" s="313"/>
      <c r="AW29" s="312"/>
      <c r="AX29" s="312"/>
      <c r="AY29" s="312"/>
      <c r="AZ29" s="312"/>
      <c r="BA29" s="313"/>
      <c r="BB29" s="312"/>
      <c r="BC29" s="312"/>
      <c r="BD29" s="312"/>
      <c r="BE29" s="312"/>
      <c r="BF29" s="313"/>
      <c r="BG29" s="312"/>
      <c r="BH29" s="312"/>
      <c r="BI29" s="312"/>
      <c r="BJ29" s="312"/>
      <c r="BK29" s="313"/>
      <c r="BL29" s="312"/>
      <c r="BM29" s="312"/>
      <c r="BN29" s="312"/>
      <c r="BO29" s="312"/>
      <c r="BP29" s="313"/>
      <c r="BQ29" s="312"/>
      <c r="BR29" s="312"/>
      <c r="BS29" s="312"/>
      <c r="BT29" s="312"/>
      <c r="BU29" s="313"/>
      <c r="BV29" s="312"/>
      <c r="BW29" s="312"/>
      <c r="BX29" s="312"/>
      <c r="BY29" s="312"/>
      <c r="BZ29" s="313"/>
      <c r="CA29" s="312"/>
      <c r="CB29" s="312"/>
      <c r="CC29" s="312"/>
      <c r="CD29" s="312"/>
      <c r="CE29" s="313"/>
      <c r="CF29" s="312"/>
      <c r="CG29" s="312"/>
      <c r="CH29" s="312"/>
      <c r="CI29" s="312"/>
      <c r="CJ29" s="313"/>
      <c r="CK29" s="312"/>
      <c r="CL29" s="312"/>
      <c r="CM29" s="312"/>
      <c r="CN29" s="312"/>
      <c r="CO29" s="313"/>
      <c r="CP29" s="312"/>
      <c r="CQ29" s="312"/>
      <c r="CR29" s="312"/>
      <c r="CS29" s="312"/>
      <c r="CT29" s="313"/>
      <c r="CU29" s="312"/>
      <c r="CV29" s="312"/>
      <c r="CW29" s="312"/>
      <c r="CX29" s="312"/>
      <c r="CY29" s="313"/>
      <c r="CZ29" s="312"/>
      <c r="DA29" s="312"/>
      <c r="DB29" s="312"/>
      <c r="DC29" s="312"/>
      <c r="DD29" s="313"/>
      <c r="DE29" s="312"/>
      <c r="DF29" s="312"/>
      <c r="DG29" s="312"/>
      <c r="DH29" s="312"/>
      <c r="DI29" s="313"/>
      <c r="DJ29" s="312"/>
      <c r="DK29" s="312"/>
      <c r="DL29" s="312"/>
      <c r="DM29" s="312"/>
      <c r="DN29" s="313"/>
      <c r="DO29" s="312"/>
      <c r="DP29" s="312"/>
      <c r="DQ29" s="312"/>
      <c r="DR29" s="312"/>
      <c r="DS29" s="313"/>
      <c r="DT29" s="312"/>
      <c r="DU29" s="312"/>
      <c r="DV29" s="312"/>
      <c r="DW29" s="312"/>
      <c r="DX29" s="313"/>
      <c r="DY29" s="312"/>
      <c r="DZ29" s="312"/>
      <c r="EA29" s="312"/>
      <c r="EB29" s="312"/>
      <c r="EC29" s="313"/>
      <c r="ED29" s="312">
        <f t="shared" ref="ED29" si="102">ED27/DY27-1</f>
        <v>0.12832929782082325</v>
      </c>
      <c r="EE29" s="312">
        <f t="shared" ref="EE29" si="103">EE27/DZ27-1</f>
        <v>7.4713985524166304E-3</v>
      </c>
      <c r="EF29" s="312">
        <f t="shared" ref="EF29" si="104">EF27/EA27-1</f>
        <v>4.7148503670242814E-2</v>
      </c>
      <c r="EG29" s="312">
        <f t="shared" ref="EG29" si="105">EG27/EB27-1</f>
        <v>-0.15399401964972237</v>
      </c>
      <c r="EH29" s="313">
        <f t="shared" ref="EH29" si="106">EH27/EC27-1</f>
        <v>-6.1982164315982358E-3</v>
      </c>
      <c r="EI29" s="312">
        <f t="shared" ref="EI29" si="107">EI27/ED27-1</f>
        <v>-0.10380901287553645</v>
      </c>
      <c r="EJ29" s="312">
        <f t="shared" ref="EJ29" si="108">EJ27/EE27-1</f>
        <v>-8.3661645422943187E-2</v>
      </c>
      <c r="EK29" s="312">
        <f t="shared" ref="EK29" si="109">EK27/EF27-1</f>
        <v>-8.385009436505797E-2</v>
      </c>
      <c r="EL29" s="312">
        <f t="shared" ref="EL29" si="110">EL27/EG27-1</f>
        <v>-4.7967684928048593E-3</v>
      </c>
      <c r="EM29" s="313">
        <f t="shared" ref="EM29" si="111">EM27/EH27-1</f>
        <v>-6.8605613186533465E-2</v>
      </c>
      <c r="EN29" s="312">
        <f t="shared" ref="EN29" si="112">EN27/EI27-1</f>
        <v>-3.6815324753067924E-2</v>
      </c>
      <c r="EO29" s="312">
        <f t="shared" ref="EO29" si="113">EO27/EJ27-1</f>
        <v>3.161355589276682E-2</v>
      </c>
      <c r="EP29" s="312">
        <f t="shared" ref="EP29" si="114">EP27/EK27-1</f>
        <v>0.1394938198940554</v>
      </c>
      <c r="EQ29" s="312">
        <f t="shared" ref="EQ29" si="115">EQ27/EL27-1</f>
        <v>8.8787417554540893E-2</v>
      </c>
      <c r="ER29" s="313">
        <f t="shared" ref="ER29" si="116">ER27/EM27-1</f>
        <v>5.6440040997608465E-2</v>
      </c>
      <c r="ES29" s="312">
        <f t="shared" ref="ES29" si="117">ES27/EN27-1</f>
        <v>0.1845866998135488</v>
      </c>
      <c r="ET29" s="312">
        <f t="shared" ref="ET29" si="118">ET27/EO27-1</f>
        <v>0.11841137533709234</v>
      </c>
      <c r="EU29" s="312">
        <f t="shared" ref="EU29" si="119">EU27/EP27-1</f>
        <v>0.11957644628099184</v>
      </c>
      <c r="EV29" s="312">
        <f t="shared" ref="EV29" si="120">EV27/EQ27-1</f>
        <v>9.1771943378340604E-2</v>
      </c>
      <c r="EW29" s="313">
        <f t="shared" ref="EW29" si="121">EW27/ER27-1</f>
        <v>0.12508150708103205</v>
      </c>
      <c r="EX29" s="312">
        <f t="shared" ref="EX29" si="122">EX27/ES27-1</f>
        <v>5.753722701767261E-2</v>
      </c>
      <c r="EY29" s="312">
        <f t="shared" ref="EY29" si="123">EY27/ET27-1</f>
        <v>4.2907557484572756E-2</v>
      </c>
      <c r="EZ29" s="312">
        <f t="shared" ref="EZ29" si="124">EZ27/EU27-1</f>
        <v>8.2455087603131583E-2</v>
      </c>
      <c r="FA29" s="312">
        <f t="shared" ref="FA29" si="125">FA27/EV27-1</f>
        <v>8.3221027967083527E-2</v>
      </c>
      <c r="FB29" s="313">
        <f t="shared" ref="FB29" si="126">FB27/EW27-1</f>
        <v>6.6829022497000068E-2</v>
      </c>
      <c r="FC29" s="312">
        <f t="shared" ref="FC29" si="127">FC27/EX27-1</f>
        <v>0.10645704131533829</v>
      </c>
      <c r="FD29" s="312">
        <f t="shared" ref="FD29" si="128">FD27/EY27-1</f>
        <v>9.116971318984346E-2</v>
      </c>
      <c r="FE29" s="312">
        <f t="shared" ref="FE29" si="129">FE27/EZ27-1</f>
        <v>0.11215378940264453</v>
      </c>
      <c r="FF29" s="312">
        <f t="shared" ref="FF29" si="130">FF27/FA27-1</f>
        <v>0.11205949985300845</v>
      </c>
      <c r="FG29" s="313">
        <f t="shared" ref="FG29" si="131">FG27/FB27-1</f>
        <v>0.10551055486329131</v>
      </c>
      <c r="FH29" s="312">
        <f t="shared" ref="FH29" si="132">FH27/FC27-1</f>
        <v>0.10378558332711019</v>
      </c>
      <c r="FI29" s="312">
        <f t="shared" ref="FI29" si="133">FI27/FD27-1</f>
        <v>8.314968989666971E-2</v>
      </c>
      <c r="FJ29" s="312">
        <f t="shared" ref="FJ29" si="134">FJ27/FE27-1</f>
        <v>0.10296227088348053</v>
      </c>
      <c r="FK29" s="312">
        <f t="shared" ref="FK29" si="135">FK27/FF27-1</f>
        <v>0.10104332758283352</v>
      </c>
      <c r="FL29" s="313">
        <f t="shared" ref="FL29" si="136">FL27/FG27-1</f>
        <v>9.7599631285023358E-2</v>
      </c>
      <c r="FM29" s="242"/>
      <c r="FN29" s="316"/>
      <c r="FO29" s="316"/>
      <c r="FP29" s="316"/>
      <c r="FQ29" s="316"/>
      <c r="FR29" s="316"/>
      <c r="FS29" s="316"/>
      <c r="FT29" s="316"/>
      <c r="FU29" s="316"/>
      <c r="FV29" s="316"/>
      <c r="FW29" s="316"/>
      <c r="FX29" s="847"/>
      <c r="FY29" s="854"/>
      <c r="FZ29" s="854"/>
      <c r="GA29" s="854"/>
      <c r="GB29" s="854"/>
      <c r="GC29" s="854"/>
      <c r="GD29" s="854"/>
      <c r="GE29" s="854"/>
      <c r="GF29" s="854"/>
      <c r="GG29" s="854"/>
      <c r="GH29" s="854"/>
      <c r="GI29" s="854"/>
      <c r="GJ29" s="363"/>
      <c r="GK29" s="363"/>
      <c r="GL29" s="363"/>
      <c r="GN29"/>
      <c r="GO29"/>
      <c r="GP29"/>
      <c r="GQ29"/>
      <c r="GR29"/>
      <c r="GS29"/>
    </row>
    <row r="30" spans="1:201" s="307" customFormat="1" ht="11.25" customHeight="1">
      <c r="A30" s="328" t="s">
        <v>115</v>
      </c>
      <c r="B30" s="303"/>
      <c r="C30" s="303"/>
      <c r="D30" s="329">
        <v>6</v>
      </c>
      <c r="E30" s="329">
        <v>7</v>
      </c>
      <c r="F30" s="329">
        <v>6.6929999999999996</v>
      </c>
      <c r="G30" s="276">
        <v>7.6180000000000003</v>
      </c>
      <c r="H30" s="330">
        <f>SUM(D30:G30)</f>
        <v>27.311</v>
      </c>
      <c r="I30" s="329">
        <v>8.3490000000000002</v>
      </c>
      <c r="J30" s="329">
        <v>10.012</v>
      </c>
      <c r="K30" s="329">
        <v>10</v>
      </c>
      <c r="L30" s="329">
        <v>11</v>
      </c>
      <c r="M30" s="330">
        <f>SUM(I30:L30)</f>
        <v>39.361000000000004</v>
      </c>
      <c r="N30" s="329">
        <v>13</v>
      </c>
      <c r="O30" s="329">
        <v>14</v>
      </c>
      <c r="P30" s="329">
        <v>17</v>
      </c>
      <c r="Q30" s="329">
        <v>18</v>
      </c>
      <c r="R30" s="330">
        <f>SUM(N30:Q30)</f>
        <v>62</v>
      </c>
      <c r="S30" s="329">
        <v>21</v>
      </c>
      <c r="T30" s="329">
        <v>22.2</v>
      </c>
      <c r="U30" s="329">
        <v>21.7</v>
      </c>
      <c r="V30" s="329">
        <v>24.7</v>
      </c>
      <c r="W30" s="330">
        <f>SUM(S30:V30)</f>
        <v>89.600000000000009</v>
      </c>
      <c r="X30" s="329">
        <v>25</v>
      </c>
      <c r="Y30" s="329">
        <v>29</v>
      </c>
      <c r="Z30" s="329">
        <v>30</v>
      </c>
      <c r="AA30" s="329">
        <v>35</v>
      </c>
      <c r="AB30" s="330">
        <f>SUM(X30:AA30)</f>
        <v>119</v>
      </c>
      <c r="AC30" s="329">
        <v>35</v>
      </c>
      <c r="AD30" s="329">
        <v>42</v>
      </c>
      <c r="AE30" s="329">
        <v>41</v>
      </c>
      <c r="AF30" s="329">
        <v>48</v>
      </c>
      <c r="AG30" s="330">
        <f>SUM(AC30:AF30)</f>
        <v>166</v>
      </c>
      <c r="AH30" s="329">
        <v>51</v>
      </c>
      <c r="AI30" s="329">
        <v>62</v>
      </c>
      <c r="AJ30" s="329">
        <v>68</v>
      </c>
      <c r="AK30" s="329">
        <v>86</v>
      </c>
      <c r="AL30" s="330">
        <f>SUM(AH30:AK30)</f>
        <v>267</v>
      </c>
      <c r="AM30" s="329">
        <v>63</v>
      </c>
      <c r="AN30" s="329">
        <v>76</v>
      </c>
      <c r="AO30" s="329">
        <v>87</v>
      </c>
      <c r="AP30" s="329">
        <v>90</v>
      </c>
      <c r="AQ30" s="330">
        <f>SUM(AM30:AP30)</f>
        <v>316</v>
      </c>
      <c r="AR30" s="329">
        <v>86</v>
      </c>
      <c r="AS30" s="329">
        <v>81</v>
      </c>
      <c r="AT30" s="329">
        <v>101</v>
      </c>
      <c r="AU30" s="329">
        <v>94</v>
      </c>
      <c r="AV30" s="330">
        <f>SUM(AR30:AU30)</f>
        <v>362</v>
      </c>
      <c r="AW30" s="329">
        <v>95</v>
      </c>
      <c r="AX30" s="329">
        <v>106</v>
      </c>
      <c r="AY30" s="329">
        <v>104</v>
      </c>
      <c r="AZ30" s="329">
        <v>128</v>
      </c>
      <c r="BA30" s="330">
        <f>SUM(AW30:AZ30)</f>
        <v>433</v>
      </c>
      <c r="BB30" s="329">
        <v>99</v>
      </c>
      <c r="BC30" s="329">
        <v>149</v>
      </c>
      <c r="BD30" s="329">
        <v>144</v>
      </c>
      <c r="BE30" s="329">
        <v>297</v>
      </c>
      <c r="BF30" s="330">
        <f>SUM(BB30:BE30)</f>
        <v>689</v>
      </c>
      <c r="BG30" s="329">
        <f>148-BG74</f>
        <v>96</v>
      </c>
      <c r="BH30" s="329">
        <f>225-BH74</f>
        <v>170</v>
      </c>
      <c r="BI30" s="329">
        <f>185-BI74</f>
        <v>127</v>
      </c>
      <c r="BJ30" s="329">
        <f>203-BJ74</f>
        <v>143</v>
      </c>
      <c r="BK30" s="330">
        <f>SUM(BG30:BJ30)</f>
        <v>536</v>
      </c>
      <c r="BL30" s="329">
        <f>170-61</f>
        <v>109</v>
      </c>
      <c r="BM30" s="329">
        <f>212-69</f>
        <v>143</v>
      </c>
      <c r="BN30" s="329">
        <f>239-64</f>
        <v>175</v>
      </c>
      <c r="BO30" s="329">
        <f>236-90</f>
        <v>146</v>
      </c>
      <c r="BP30" s="330">
        <f>SUM(BL30:BO30)</f>
        <v>573</v>
      </c>
      <c r="BQ30" s="329">
        <v>187</v>
      </c>
      <c r="BR30" s="329">
        <v>173</v>
      </c>
      <c r="BS30" s="329">
        <v>246</v>
      </c>
      <c r="BT30" s="329">
        <v>284</v>
      </c>
      <c r="BU30" s="330">
        <f>SUM(BQ30:BT30)</f>
        <v>890</v>
      </c>
      <c r="BV30" s="329">
        <v>252</v>
      </c>
      <c r="BW30" s="329">
        <f>497-210</f>
        <v>287</v>
      </c>
      <c r="BX30" s="329">
        <v>425</v>
      </c>
      <c r="BY30" s="329">
        <f>1252-796</f>
        <v>456</v>
      </c>
      <c r="BZ30" s="330">
        <f>SUM(BV30:BY30)</f>
        <v>1420</v>
      </c>
      <c r="CA30" s="329">
        <v>471</v>
      </c>
      <c r="CB30" s="329">
        <f>896-280</f>
        <v>616</v>
      </c>
      <c r="CC30" s="329">
        <f>3020-2525</f>
        <v>495</v>
      </c>
      <c r="CD30" s="329">
        <v>610</v>
      </c>
      <c r="CE30" s="330">
        <f>SUM(CA30:CD30)</f>
        <v>2192</v>
      </c>
      <c r="CF30" s="307">
        <f>1096-536</f>
        <v>560</v>
      </c>
      <c r="CG30" s="307">
        <v>564</v>
      </c>
      <c r="CH30" s="307">
        <f>1376-$CH$72</f>
        <v>608</v>
      </c>
      <c r="CI30" s="307">
        <f>1301-756</f>
        <v>545</v>
      </c>
      <c r="CJ30" s="330">
        <f>SUM(CF30:CI30)</f>
        <v>2277</v>
      </c>
      <c r="CK30" s="329">
        <f>982-361</f>
        <v>621</v>
      </c>
      <c r="CL30" s="329">
        <v>661</v>
      </c>
      <c r="CM30" s="329">
        <f>1005-$CM$72</f>
        <v>608</v>
      </c>
      <c r="CN30" s="329">
        <f>1110-351</f>
        <v>759</v>
      </c>
      <c r="CO30" s="331">
        <f>SUM(CK30:CN30)</f>
        <v>2649</v>
      </c>
      <c r="CP30" s="329">
        <f>664</f>
        <v>664</v>
      </c>
      <c r="CQ30" s="329">
        <f>814</f>
        <v>814</v>
      </c>
      <c r="CR30" s="329">
        <f>983-154</f>
        <v>829</v>
      </c>
      <c r="CS30" s="329">
        <f>868</f>
        <v>868</v>
      </c>
      <c r="CT30" s="331">
        <f>SUM(CP30:CS30)</f>
        <v>3175</v>
      </c>
      <c r="CU30" s="329">
        <f>718</f>
        <v>718</v>
      </c>
      <c r="CV30" s="329">
        <f>1066</f>
        <v>1066</v>
      </c>
      <c r="CW30" s="329">
        <f>2341-1417</f>
        <v>924</v>
      </c>
      <c r="CX30" s="329">
        <v>1002</v>
      </c>
      <c r="CY30" s="331">
        <f>SUM(CU30:CX30)</f>
        <v>3710</v>
      </c>
      <c r="CZ30" s="329">
        <v>887</v>
      </c>
      <c r="DA30" s="329">
        <v>831</v>
      </c>
      <c r="DB30" s="329">
        <v>913</v>
      </c>
      <c r="DC30" s="329">
        <f>1069-193</f>
        <v>876</v>
      </c>
      <c r="DD30" s="331">
        <f>SUM(CZ30:DC30)</f>
        <v>3507</v>
      </c>
      <c r="DE30" s="329">
        <v>741</v>
      </c>
      <c r="DF30" s="329">
        <f>1124+59</f>
        <v>1183</v>
      </c>
      <c r="DG30" s="329">
        <f>1152+0</f>
        <v>1152</v>
      </c>
      <c r="DH30" s="329">
        <v>987</v>
      </c>
      <c r="DI30" s="331">
        <f>SUM(DE30:DH30)</f>
        <v>4063</v>
      </c>
      <c r="DJ30" s="1114">
        <v>938</v>
      </c>
      <c r="DK30" s="1114">
        <v>945</v>
      </c>
      <c r="DL30" s="1114">
        <v>1160</v>
      </c>
      <c r="DM30" s="1114">
        <v>1179</v>
      </c>
      <c r="DN30" s="331">
        <f>SUM(DJ30:DM30)</f>
        <v>4222</v>
      </c>
      <c r="DO30" s="1114">
        <v>1163</v>
      </c>
      <c r="DP30" s="1114">
        <v>1120</v>
      </c>
      <c r="DQ30" s="1114">
        <v>1150</v>
      </c>
      <c r="DR30" s="1114">
        <v>1136</v>
      </c>
      <c r="DS30" s="331">
        <f>SUM(DO30:DR30)</f>
        <v>4569</v>
      </c>
      <c r="DT30" s="1114">
        <v>1127</v>
      </c>
      <c r="DU30" s="1114">
        <v>1156</v>
      </c>
      <c r="DV30" s="1114">
        <v>1656</v>
      </c>
      <c r="DW30" s="1114">
        <v>1210</v>
      </c>
      <c r="DX30" s="331">
        <f>SUM(DT30:DW30)</f>
        <v>5149</v>
      </c>
      <c r="DY30" s="1114">
        <v>1010</v>
      </c>
      <c r="DZ30" s="1114">
        <v>1235</v>
      </c>
      <c r="EA30" s="1114">
        <v>1203</v>
      </c>
      <c r="EB30" s="1114">
        <v>1373</v>
      </c>
      <c r="EC30" s="331">
        <f>SUM(DY30:EB30)</f>
        <v>4821</v>
      </c>
      <c r="ED30" s="1114">
        <v>1151</v>
      </c>
      <c r="EE30" s="1114">
        <v>1097</v>
      </c>
      <c r="EF30" s="1114">
        <v>1091</v>
      </c>
      <c r="EG30" s="1114">
        <v>1272</v>
      </c>
      <c r="EH30" s="331">
        <f>SUM(ED30:EG30)</f>
        <v>4611</v>
      </c>
      <c r="EI30" s="2558">
        <v>1084</v>
      </c>
      <c r="EJ30" s="2558">
        <v>1038</v>
      </c>
      <c r="EK30" s="2558">
        <v>1140</v>
      </c>
      <c r="EL30" s="2558">
        <v>1301</v>
      </c>
      <c r="EM30" s="2696">
        <f>SUM(EI30:EL30)</f>
        <v>4563</v>
      </c>
      <c r="EN30" s="2558">
        <v>1045</v>
      </c>
      <c r="EO30" s="2558">
        <v>879</v>
      </c>
      <c r="EP30" s="2558">
        <v>1202</v>
      </c>
      <c r="EQ30" s="2558">
        <v>1355</v>
      </c>
      <c r="ER30" s="2696">
        <f>SUM(EN30:EQ30)</f>
        <v>4481</v>
      </c>
      <c r="ES30" s="2558">
        <v>1166</v>
      </c>
      <c r="ET30" s="2558">
        <v>1109</v>
      </c>
      <c r="EU30" s="2558">
        <v>1208</v>
      </c>
      <c r="EV30" s="329">
        <f>EV31*EV8</f>
        <v>1401.3862223491105</v>
      </c>
      <c r="EW30" s="331">
        <f>SUM(ES30:EV30)</f>
        <v>4884.3862223491105</v>
      </c>
      <c r="EX30" s="329">
        <f>EX31*EX8</f>
        <v>1276.3209348799053</v>
      </c>
      <c r="EY30" s="329">
        <f>EY31*EY8</f>
        <v>1320.1965936743786</v>
      </c>
      <c r="EZ30" s="329">
        <f>EZ31*EZ8</f>
        <v>1304.4096385846137</v>
      </c>
      <c r="FA30" s="329">
        <f>FA31*FA8</f>
        <v>1517.8584910898178</v>
      </c>
      <c r="FB30" s="331">
        <f>SUM(EX30:FA30)</f>
        <v>5418.785658228715</v>
      </c>
      <c r="FC30" s="329">
        <f>FC31*FC8</f>
        <v>1385.223019642212</v>
      </c>
      <c r="FD30" s="329">
        <f>FD31*FD8</f>
        <v>1406.8986640790511</v>
      </c>
      <c r="FE30" s="329">
        <f>FE31*FE8</f>
        <v>1428.0799084760417</v>
      </c>
      <c r="FF30" s="329">
        <f>FF31*FF8</f>
        <v>1665.6333945012195</v>
      </c>
      <c r="FG30" s="331">
        <f>SUM(FC30:FF30)</f>
        <v>5885.8349866985245</v>
      </c>
      <c r="FH30" s="329">
        <f>FH31*FH8</f>
        <v>1498.3762479515901</v>
      </c>
      <c r="FI30" s="329">
        <f>FI31*FI8</f>
        <v>1486.4087119996905</v>
      </c>
      <c r="FJ30" s="329">
        <f>FJ31*FJ8</f>
        <v>1538.9545265015361</v>
      </c>
      <c r="FK30" s="329">
        <f>FK31*FK8</f>
        <v>1796.3622329982436</v>
      </c>
      <c r="FL30" s="331">
        <f>SUM(FH30:FK30)</f>
        <v>6320.1017194510605</v>
      </c>
      <c r="FN30" s="330">
        <f>BD30+BE30+BG30+BH30</f>
        <v>707</v>
      </c>
      <c r="FO30" s="330">
        <f>BI30+BJ30+BL30+BM30</f>
        <v>522</v>
      </c>
      <c r="FP30" s="330">
        <f>BN30+BO30+BQ30+BR30</f>
        <v>681</v>
      </c>
      <c r="FQ30" s="330">
        <f>BS30+BT30+BV30+BW30</f>
        <v>1069</v>
      </c>
      <c r="FR30" s="330">
        <f>BX30+BY30+CA30+CB30</f>
        <v>1968</v>
      </c>
      <c r="FS30" s="330">
        <f>CC30+CD30+CF30+CG30</f>
        <v>2229</v>
      </c>
      <c r="FT30" s="330">
        <f>CH30+CI30+CK30+CL30</f>
        <v>2435</v>
      </c>
      <c r="FU30" s="330">
        <f>CM30+CN30+CP30+CQ30</f>
        <v>2845</v>
      </c>
      <c r="FV30" s="330">
        <f>CR30+CS30+CU30+CV30</f>
        <v>3481</v>
      </c>
      <c r="FW30" s="330">
        <f>CW30+CX30+CZ30+DA30</f>
        <v>3644</v>
      </c>
      <c r="FX30" s="855">
        <f>DB30+DC30+DE30+DF30</f>
        <v>3713</v>
      </c>
      <c r="FY30" s="856">
        <f>DG30+DH30+DJ30+DK30</f>
        <v>4022</v>
      </c>
      <c r="FZ30" s="856">
        <f>SUM(DO30:DP30,DL30:DM30)</f>
        <v>4622</v>
      </c>
      <c r="GA30" s="856">
        <f>SUM(DT30:DU30,DQ30:DR30)</f>
        <v>4569</v>
      </c>
      <c r="GB30" s="856">
        <f>SUM(DV30:DW30,DY30:DZ30)</f>
        <v>5111</v>
      </c>
      <c r="GC30" s="856">
        <f>SUM(ED30:EE30,EA30:EB30)</f>
        <v>4824</v>
      </c>
      <c r="GD30" s="856">
        <f>SUM(EI30:EJ30,EF30:EG30)</f>
        <v>4485</v>
      </c>
      <c r="GE30" s="856">
        <f>SUM(EN30:EO30,EK30:EL30)</f>
        <v>4365</v>
      </c>
      <c r="GF30" s="856">
        <f>SUM(ES30:ET30,EP30:EQ30)</f>
        <v>4832</v>
      </c>
      <c r="GG30" s="856">
        <f>SUM(EX30:EY30,EU30:EV30)</f>
        <v>5205.9037509033942</v>
      </c>
      <c r="GH30" s="856">
        <f>SUM(FC30:FD30,EZ30:FA30)</f>
        <v>5614.3898133956945</v>
      </c>
      <c r="GI30" s="856">
        <f>SUM(FH30:FI30,FE30:FF30)</f>
        <v>6078.4982629285414</v>
      </c>
      <c r="GJ30" s="303"/>
      <c r="GK30" s="303"/>
      <c r="GL30" s="303"/>
      <c r="GN30"/>
      <c r="GO30"/>
      <c r="GP30"/>
      <c r="GQ30"/>
      <c r="GR30"/>
      <c r="GS30"/>
    </row>
    <row r="31" spans="1:201" s="264" customFormat="1" ht="11.25" customHeight="1">
      <c r="A31" s="323" t="s">
        <v>123</v>
      </c>
      <c r="B31" s="253"/>
      <c r="C31" s="253"/>
      <c r="D31" s="312">
        <f t="shared" ref="D31:AI31" si="137">D30/D$8</f>
        <v>3.3898305084745763E-2</v>
      </c>
      <c r="E31" s="312">
        <f t="shared" si="137"/>
        <v>3.3352074022546002E-2</v>
      </c>
      <c r="F31" s="312">
        <f t="shared" si="137"/>
        <v>3.3970480753613773E-2</v>
      </c>
      <c r="G31" s="312">
        <f t="shared" si="137"/>
        <v>3.4470588235294121E-2</v>
      </c>
      <c r="H31" s="316">
        <f t="shared" si="137"/>
        <v>3.393067016521184E-2</v>
      </c>
      <c r="I31" s="241">
        <f t="shared" si="137"/>
        <v>3.5503336012348986E-2</v>
      </c>
      <c r="J31" s="241">
        <f t="shared" si="137"/>
        <v>3.3262458471760799E-2</v>
      </c>
      <c r="K31" s="241">
        <f t="shared" si="137"/>
        <v>3.2051282051282048E-2</v>
      </c>
      <c r="L31" s="241">
        <f t="shared" si="137"/>
        <v>3.2544378698224852E-2</v>
      </c>
      <c r="M31" s="316">
        <f t="shared" si="137"/>
        <v>3.3183522304307767E-2</v>
      </c>
      <c r="N31" s="241">
        <f t="shared" si="137"/>
        <v>3.519220357336221E-2</v>
      </c>
      <c r="O31" s="241">
        <f t="shared" si="137"/>
        <v>3.0401737242128121E-2</v>
      </c>
      <c r="P31" s="241">
        <f t="shared" si="137"/>
        <v>3.4764826175869123E-2</v>
      </c>
      <c r="Q31" s="241">
        <f t="shared" si="137"/>
        <v>3.4090909090909088E-2</v>
      </c>
      <c r="R31" s="316">
        <f t="shared" si="137"/>
        <v>3.3569765553088958E-2</v>
      </c>
      <c r="S31" s="241">
        <f t="shared" si="137"/>
        <v>3.5958904109589039E-2</v>
      </c>
      <c r="T31" s="241">
        <f t="shared" si="137"/>
        <v>3.2361516034985424E-2</v>
      </c>
      <c r="U31" s="241">
        <f t="shared" si="137"/>
        <v>3.1632653061224487E-2</v>
      </c>
      <c r="V31" s="241">
        <f t="shared" si="137"/>
        <v>3.0085261875761264E-2</v>
      </c>
      <c r="W31" s="316">
        <f t="shared" si="137"/>
        <v>3.2265034209578686E-2</v>
      </c>
      <c r="X31" s="241">
        <f t="shared" si="137"/>
        <v>3.0339805825242719E-2</v>
      </c>
      <c r="Y31" s="241">
        <f t="shared" si="137"/>
        <v>3.0687830687830688E-2</v>
      </c>
      <c r="Z31" s="241">
        <f t="shared" si="137"/>
        <v>3.0959752321981424E-2</v>
      </c>
      <c r="AA31" s="241">
        <f t="shared" si="137"/>
        <v>3.3396946564885496E-2</v>
      </c>
      <c r="AB31" s="316">
        <f t="shared" si="137"/>
        <v>3.1431590068674062E-2</v>
      </c>
      <c r="AC31" s="241">
        <f t="shared" si="137"/>
        <v>3.5140562248995984E-2</v>
      </c>
      <c r="AD31" s="241">
        <f t="shared" si="137"/>
        <v>3.6649214659685861E-2</v>
      </c>
      <c r="AE31" s="241">
        <f t="shared" si="137"/>
        <v>3.2513877874702619E-2</v>
      </c>
      <c r="AF31" s="241">
        <f t="shared" si="137"/>
        <v>3.6613272311212815E-2</v>
      </c>
      <c r="AG31" s="316">
        <f t="shared" si="137"/>
        <v>3.5214255409418756E-2</v>
      </c>
      <c r="AH31" s="241">
        <f t="shared" si="137"/>
        <v>4.0157480314960629E-2</v>
      </c>
      <c r="AI31" s="241">
        <f t="shared" si="137"/>
        <v>4.0897097625329816E-2</v>
      </c>
      <c r="AJ31" s="241">
        <f t="shared" ref="AJ31:BO31" si="138">AJ30/AJ$8</f>
        <v>4.1794714197910261E-2</v>
      </c>
      <c r="AK31" s="241">
        <f t="shared" si="138"/>
        <v>5.1744885679903728E-2</v>
      </c>
      <c r="AL31" s="316">
        <f t="shared" si="138"/>
        <v>4.3950617283950617E-2</v>
      </c>
      <c r="AM31" s="241">
        <f t="shared" si="138"/>
        <v>3.0215827338129497E-2</v>
      </c>
      <c r="AN31" s="241">
        <f t="shared" si="138"/>
        <v>3.3231307389593352E-2</v>
      </c>
      <c r="AO31" s="241">
        <f t="shared" si="138"/>
        <v>3.7646040675032452E-2</v>
      </c>
      <c r="AP31" s="241">
        <f t="shared" si="138"/>
        <v>3.8022813688212927E-2</v>
      </c>
      <c r="AQ31" s="316">
        <f t="shared" si="138"/>
        <v>3.4917127071823206E-2</v>
      </c>
      <c r="AR31" s="241">
        <f t="shared" si="138"/>
        <v>3.5758835758835761E-2</v>
      </c>
      <c r="AS31" s="241">
        <f t="shared" si="138"/>
        <v>2.8846153846153848E-2</v>
      </c>
      <c r="AT31" s="241">
        <f t="shared" si="138"/>
        <v>3.0014858841010402E-2</v>
      </c>
      <c r="AU31" s="241">
        <f t="shared" si="138"/>
        <v>2.799285288862418E-2</v>
      </c>
      <c r="AV31" s="316">
        <f t="shared" si="138"/>
        <v>3.0328418230563002E-2</v>
      </c>
      <c r="AW31" s="241">
        <f t="shared" si="138"/>
        <v>2.8494301139772044E-2</v>
      </c>
      <c r="AX31" s="241">
        <f t="shared" si="138"/>
        <v>2.7953586497890294E-2</v>
      </c>
      <c r="AY31" s="241">
        <f t="shared" si="138"/>
        <v>2.6104417670682729E-2</v>
      </c>
      <c r="AZ31" s="241">
        <f t="shared" si="138"/>
        <v>3.0828516377649325E-2</v>
      </c>
      <c r="BA31" s="316">
        <f t="shared" si="138"/>
        <v>2.8371117808937231E-2</v>
      </c>
      <c r="BB31" s="241">
        <f t="shared" si="138"/>
        <v>2.3610779871213929E-2</v>
      </c>
      <c r="BC31" s="241">
        <f t="shared" si="138"/>
        <v>2.8681424446583254E-2</v>
      </c>
      <c r="BD31" s="241">
        <f t="shared" si="138"/>
        <v>3.133841131664853E-2</v>
      </c>
      <c r="BE31" s="241">
        <f t="shared" si="138"/>
        <v>5.1526717557251911E-2</v>
      </c>
      <c r="BF31" s="316">
        <f t="shared" si="138"/>
        <v>3.4891375905200792E-2</v>
      </c>
      <c r="BG31" s="241">
        <f t="shared" si="138"/>
        <v>1.7830609212481426E-2</v>
      </c>
      <c r="BH31" s="241">
        <f t="shared" si="138"/>
        <v>2.7814136125654452E-2</v>
      </c>
      <c r="BI31" s="241">
        <f t="shared" si="138"/>
        <v>2.2454031117397456E-2</v>
      </c>
      <c r="BJ31" s="241">
        <f t="shared" si="138"/>
        <v>2.4638180565127499E-2</v>
      </c>
      <c r="BK31" s="316">
        <f t="shared" si="138"/>
        <v>2.3349015507928211E-2</v>
      </c>
      <c r="BL31" s="241">
        <f t="shared" si="138"/>
        <v>1.8903919528269163E-2</v>
      </c>
      <c r="BM31" s="241">
        <f t="shared" si="138"/>
        <v>2.183206106870229E-2</v>
      </c>
      <c r="BN31" s="241">
        <f t="shared" si="138"/>
        <v>2.7330938622520694E-2</v>
      </c>
      <c r="BO31" s="241">
        <f t="shared" si="138"/>
        <v>2.2198570776949977E-2</v>
      </c>
      <c r="BP31" s="316">
        <f t="shared" ref="BP31:CD31" si="139">BP30/BP$8</f>
        <v>2.2651802656546489E-2</v>
      </c>
      <c r="BQ31" s="241">
        <f t="shared" si="139"/>
        <v>3.0525628468821418E-2</v>
      </c>
      <c r="BR31" s="241">
        <f t="shared" si="139"/>
        <v>2.2348533781165223E-2</v>
      </c>
      <c r="BS31" s="241">
        <f t="shared" si="139"/>
        <v>3.3954451345755692E-2</v>
      </c>
      <c r="BT31" s="241">
        <f t="shared" si="139"/>
        <v>3.915621122294223E-2</v>
      </c>
      <c r="BU31" s="316">
        <f t="shared" si="139"/>
        <v>3.1376696633174689E-2</v>
      </c>
      <c r="BV31" s="241">
        <f t="shared" si="139"/>
        <v>3.2532920216886134E-2</v>
      </c>
      <c r="BW31" s="241">
        <f t="shared" si="139"/>
        <v>3.3602622643718535E-2</v>
      </c>
      <c r="BX31" s="241">
        <f t="shared" si="139"/>
        <v>5.4243777919591576E-2</v>
      </c>
      <c r="BY31" s="241">
        <f t="shared" si="139"/>
        <v>5.6540607563546189E-2</v>
      </c>
      <c r="BZ31" s="316">
        <f t="shared" si="139"/>
        <v>4.4117190169944386E-2</v>
      </c>
      <c r="CA31" s="241">
        <f t="shared" si="139"/>
        <v>5.7334144856968958E-2</v>
      </c>
      <c r="CB31" s="241">
        <f t="shared" si="139"/>
        <v>6.0671722643553631E-2</v>
      </c>
      <c r="CC31" s="241">
        <f t="shared" si="139"/>
        <v>5.3950953678474113E-2</v>
      </c>
      <c r="CD31" s="241">
        <f t="shared" si="139"/>
        <v>6.5647869134739564E-2</v>
      </c>
      <c r="CE31" s="316">
        <f t="shared" ref="CE31:CJ31" si="140">CE30/CE$8</f>
        <v>5.9508619519478757E-2</v>
      </c>
      <c r="CF31" s="241">
        <f t="shared" si="140"/>
        <v>6.0942431167700511E-2</v>
      </c>
      <c r="CG31" s="241">
        <f t="shared" si="140"/>
        <v>5.2135330005546314E-2</v>
      </c>
      <c r="CH31" s="241">
        <f t="shared" si="140"/>
        <v>6.3201663201663205E-2</v>
      </c>
      <c r="CI31" s="241">
        <f t="shared" si="140"/>
        <v>5.3636453105009349E-2</v>
      </c>
      <c r="CJ31" s="316">
        <f t="shared" si="140"/>
        <v>5.7228310043229112E-2</v>
      </c>
      <c r="CK31" s="312">
        <f>CK30/CK$8</f>
        <v>6.3751154912226674E-2</v>
      </c>
      <c r="CL31" s="312">
        <f>CL30/CL$8</f>
        <v>5.5837134651123499E-2</v>
      </c>
      <c r="CM31" s="312">
        <f>CM30/CM$8</f>
        <v>5.5774699568846897E-2</v>
      </c>
      <c r="CN31" s="312">
        <f>CN30/CN$8</f>
        <v>6.4289344401151957E-2</v>
      </c>
      <c r="CO31" s="313">
        <f t="shared" ref="CO31:CV31" si="141">CO30/CO$8</f>
        <v>5.9815743124237909E-2</v>
      </c>
      <c r="CP31" s="312">
        <f t="shared" si="141"/>
        <v>6.1418925168809549E-2</v>
      </c>
      <c r="CQ31" s="312">
        <f t="shared" si="141"/>
        <v>6.490192951682347E-2</v>
      </c>
      <c r="CR31" s="312">
        <f t="shared" si="141"/>
        <v>5.7577441311293234E-2</v>
      </c>
      <c r="CS31" s="312">
        <f t="shared" si="141"/>
        <v>6.4916610575125266E-2</v>
      </c>
      <c r="CT31" s="313">
        <f t="shared" si="141"/>
        <v>6.2106333868002031E-2</v>
      </c>
      <c r="CU31" s="312">
        <f t="shared" si="141"/>
        <v>5.2172649324226127E-2</v>
      </c>
      <c r="CV31" s="312">
        <f t="shared" si="141"/>
        <v>6.5131056393963466E-2</v>
      </c>
      <c r="CW31" s="312">
        <f t="shared" ref="CW31:DM31" si="142">CW30/CW$8</f>
        <v>6.3926940639269403E-2</v>
      </c>
      <c r="CX31" s="312">
        <f t="shared" si="142"/>
        <v>6.3269558628528136E-2</v>
      </c>
      <c r="CY31" s="313">
        <f t="shared" si="142"/>
        <v>6.1403508771929821E-2</v>
      </c>
      <c r="CZ31" s="312">
        <f t="shared" si="142"/>
        <v>5.8893831750879755E-2</v>
      </c>
      <c r="DA31" s="312">
        <f t="shared" si="142"/>
        <v>4.997293884178243E-2</v>
      </c>
      <c r="DB31" s="312">
        <f t="shared" si="142"/>
        <v>6.6896248534583827E-2</v>
      </c>
      <c r="DC31" s="312">
        <f>DC30/DC8</f>
        <v>6.6875333994961442E-2</v>
      </c>
      <c r="DD31" s="313">
        <f t="shared" si="142"/>
        <v>6.0013347707787872E-2</v>
      </c>
      <c r="DE31" s="312">
        <f t="shared" si="142"/>
        <v>5.7352941176470586E-2</v>
      </c>
      <c r="DF31" s="312">
        <f t="shared" si="142"/>
        <v>6.219114709283987E-2</v>
      </c>
      <c r="DG31" s="312">
        <f t="shared" si="142"/>
        <v>7.9431841687926635E-2</v>
      </c>
      <c r="DH31" s="312">
        <f t="shared" si="142"/>
        <v>6.1537502338050998E-2</v>
      </c>
      <c r="DI31" s="313">
        <f t="shared" si="142"/>
        <v>6.5024646309455217E-2</v>
      </c>
      <c r="DJ31" s="312">
        <f t="shared" si="142"/>
        <v>5.7919110836677987E-2</v>
      </c>
      <c r="DK31" s="312">
        <f t="shared" si="142"/>
        <v>4.7361299052774017E-2</v>
      </c>
      <c r="DL31" s="312">
        <f t="shared" si="142"/>
        <v>7.0611151692232768E-2</v>
      </c>
      <c r="DM31" s="312">
        <f t="shared" si="142"/>
        <v>6.7893471170324515E-2</v>
      </c>
      <c r="DN31" s="313">
        <f t="shared" ref="DN31:EG31" si="143">DN30/DN$8</f>
        <v>6.0364785168849827E-2</v>
      </c>
      <c r="DO31" s="312">
        <f t="shared" si="143"/>
        <v>6.694681096016579E-2</v>
      </c>
      <c r="DP31" s="312">
        <f t="shared" si="143"/>
        <v>5.3627005027531718E-2</v>
      </c>
      <c r="DQ31" s="312">
        <f t="shared" si="143"/>
        <v>6.606537599816166E-2</v>
      </c>
      <c r="DR31" s="312">
        <f t="shared" si="143"/>
        <v>6.2904922753197853E-2</v>
      </c>
      <c r="DS31" s="313">
        <f t="shared" si="143"/>
        <v>6.1975231610216619E-2</v>
      </c>
      <c r="DT31" s="312">
        <f t="shared" si="143"/>
        <v>7.040229885057471E-2</v>
      </c>
      <c r="DU31" s="312">
        <f t="shared" si="143"/>
        <v>5.3877703206562266E-2</v>
      </c>
      <c r="DV31" s="312">
        <f t="shared" si="143"/>
        <v>8.0823856703597055E-2</v>
      </c>
      <c r="DW31" s="312">
        <f t="shared" si="143"/>
        <v>6.0816244471250502E-2</v>
      </c>
      <c r="DX31" s="313">
        <f>DX30/DX$8</f>
        <v>6.6140862438823875E-2</v>
      </c>
      <c r="DY31" s="312">
        <f t="shared" si="143"/>
        <v>5.4509147822332557E-2</v>
      </c>
      <c r="DZ31" s="312">
        <f t="shared" si="143"/>
        <v>5.0369101513112281E-2</v>
      </c>
      <c r="EA31" s="312">
        <f t="shared" si="143"/>
        <v>5.8961917365093368E-2</v>
      </c>
      <c r="EB31" s="312">
        <f t="shared" si="143"/>
        <v>5.8720383200752714E-2</v>
      </c>
      <c r="EC31" s="313">
        <f>EC30/EC$8</f>
        <v>5.5520366680870174E-2</v>
      </c>
      <c r="ED31" s="312">
        <f t="shared" si="143"/>
        <v>4.9609930606439374E-2</v>
      </c>
      <c r="EE31" s="312">
        <f t="shared" si="143"/>
        <v>4.1959914320685437E-2</v>
      </c>
      <c r="EF31" s="312">
        <f t="shared" si="143"/>
        <v>5.0209397579271939E-2</v>
      </c>
      <c r="EG31" s="312">
        <f t="shared" si="143"/>
        <v>5.734896302975654E-2</v>
      </c>
      <c r="EH31" s="313">
        <f>EH30/EH$8</f>
        <v>4.9445600188731849E-2</v>
      </c>
      <c r="EI31" s="312">
        <f t="shared" ref="EI31:EL31" si="144">EI30/EI$8</f>
        <v>5.1841224294595888E-2</v>
      </c>
      <c r="EJ31" s="312">
        <f t="shared" si="144"/>
        <v>4.1104027244287807E-2</v>
      </c>
      <c r="EK31" s="312">
        <f t="shared" si="144"/>
        <v>5.2981363572988799E-2</v>
      </c>
      <c r="EL31" s="312">
        <f t="shared" si="144"/>
        <v>5.5423021214961232E-2</v>
      </c>
      <c r="EM31" s="313">
        <f>EM30/EM$8</f>
        <v>5.0058143361783353E-2</v>
      </c>
      <c r="EN31" s="312">
        <f>EN30/EN$8</f>
        <v>4.7655964976286026E-2</v>
      </c>
      <c r="EO31" s="312">
        <f t="shared" ref="EO31:EQ31" si="145">EO30/EO$8</f>
        <v>3.4035468132889338E-2</v>
      </c>
      <c r="EP31" s="312">
        <f t="shared" si="145"/>
        <v>5.178356022746855E-2</v>
      </c>
      <c r="EQ31" s="312">
        <f t="shared" si="145"/>
        <v>5.291935168912322E-2</v>
      </c>
      <c r="ER31" s="313">
        <f>ER30/ER$8</f>
        <v>4.6401093495977055E-2</v>
      </c>
      <c r="ES31" s="312">
        <f>ES30/ES$8</f>
        <v>4.7518135137338005E-2</v>
      </c>
      <c r="ET31" s="312">
        <f t="shared" ref="ET31:EU31" si="146">ET30/ET$8</f>
        <v>3.834981672314821E-2</v>
      </c>
      <c r="EU31" s="312">
        <f t="shared" si="146"/>
        <v>4.5042693612737238E-2</v>
      </c>
      <c r="EV31" s="312">
        <v>4.8000000000000001E-2</v>
      </c>
      <c r="EW31" s="313">
        <f>EW30/EW$8</f>
        <v>4.4618268451962727E-2</v>
      </c>
      <c r="EX31" s="312">
        <f>ES31-0.0015</f>
        <v>4.6018135137338004E-2</v>
      </c>
      <c r="EY31" s="312">
        <v>4.1000000000000002E-2</v>
      </c>
      <c r="EZ31" s="312">
        <f t="shared" ref="EZ31:FA31" si="147">EU31-0.0015</f>
        <v>4.3542693612737236E-2</v>
      </c>
      <c r="FA31" s="312">
        <f t="shared" si="147"/>
        <v>4.65E-2</v>
      </c>
      <c r="FB31" s="313">
        <f>FB30/FB$8</f>
        <v>4.4222626205855806E-2</v>
      </c>
      <c r="FC31" s="312">
        <f>EX31-0.0015</f>
        <v>4.4518135137338002E-2</v>
      </c>
      <c r="FD31" s="312">
        <f t="shared" ref="FD31" si="148">EY31-0.0015</f>
        <v>3.95E-2</v>
      </c>
      <c r="FE31" s="312">
        <f t="shared" ref="FE31" si="149">EZ31-0.0015</f>
        <v>4.2042693612737235E-2</v>
      </c>
      <c r="FF31" s="312">
        <f t="shared" ref="FF31" si="150">FA31-0.0015</f>
        <v>4.4999999999999998E-2</v>
      </c>
      <c r="FG31" s="313">
        <f>FG30/FG$8</f>
        <v>4.2739224177141232E-2</v>
      </c>
      <c r="FH31" s="312">
        <f>FC31-0.0015</f>
        <v>4.3018135137338001E-2</v>
      </c>
      <c r="FI31" s="312">
        <f t="shared" ref="FI31:FK31" si="151">FD31-0.0015</f>
        <v>3.7999999999999999E-2</v>
      </c>
      <c r="FJ31" s="312">
        <f t="shared" si="151"/>
        <v>4.0542693612737234E-2</v>
      </c>
      <c r="FK31" s="312">
        <f t="shared" si="151"/>
        <v>4.3499999999999997E-2</v>
      </c>
      <c r="FL31" s="313">
        <f>FL30/FL$8</f>
        <v>4.1253433851015195E-2</v>
      </c>
      <c r="FM31" s="340"/>
      <c r="FN31" s="316">
        <f t="shared" ref="FN31:GE31" si="152">FN30/FN$8</f>
        <v>3.2349576755891098E-2</v>
      </c>
      <c r="FO31" s="316">
        <f t="shared" si="152"/>
        <v>2.1954912516823688E-2</v>
      </c>
      <c r="FP31" s="316">
        <f t="shared" si="152"/>
        <v>2.5365962677394122E-2</v>
      </c>
      <c r="FQ31" s="316">
        <f t="shared" si="152"/>
        <v>3.4724703589410426E-2</v>
      </c>
      <c r="FR31" s="316">
        <f t="shared" si="152"/>
        <v>5.7429671997198554E-2</v>
      </c>
      <c r="FS31" s="316">
        <f t="shared" si="152"/>
        <v>5.79352289858086E-2</v>
      </c>
      <c r="FT31" s="316">
        <f t="shared" si="152"/>
        <v>5.8873307543520312E-2</v>
      </c>
      <c r="FU31" s="316">
        <f t="shared" si="152"/>
        <v>6.1767260095527569E-2</v>
      </c>
      <c r="FV31" s="316">
        <f t="shared" si="152"/>
        <v>6.0122974886870011E-2</v>
      </c>
      <c r="FW31" s="316">
        <f t="shared" si="152"/>
        <v>5.879221051612591E-2</v>
      </c>
      <c r="FX31" s="847">
        <f t="shared" si="152"/>
        <v>6.326568862989658E-2</v>
      </c>
      <c r="FY31" s="854">
        <f t="shared" si="152"/>
        <v>6.0308891887839257E-2</v>
      </c>
      <c r="FZ31" s="854">
        <f t="shared" si="152"/>
        <v>6.4149504152923975E-2</v>
      </c>
      <c r="GA31" s="854">
        <f t="shared" si="152"/>
        <v>6.2649115590292057E-2</v>
      </c>
      <c r="GB31" s="854">
        <f t="shared" si="152"/>
        <v>6.1258734553474047E-2</v>
      </c>
      <c r="GC31" s="854">
        <f t="shared" si="152"/>
        <v>5.1798561151079135E-2</v>
      </c>
      <c r="GD31" s="854">
        <f t="shared" si="152"/>
        <v>4.979349853450573E-2</v>
      </c>
      <c r="GE31" s="854">
        <f t="shared" si="152"/>
        <v>4.7064531780688985E-2</v>
      </c>
      <c r="GF31" s="854">
        <f>GF30/GF$8</f>
        <v>4.7246096232632269E-2</v>
      </c>
      <c r="GG31" s="854">
        <f>GG30/GG$8</f>
        <v>4.4897974024778131E-2</v>
      </c>
      <c r="GH31" s="854">
        <f>GH30/GH$8</f>
        <v>4.3410423276807608E-2</v>
      </c>
      <c r="GI31" s="854">
        <f>GI30/GI$8</f>
        <v>4.1941290321355809E-2</v>
      </c>
      <c r="GJ31" s="363"/>
      <c r="GK31" s="363"/>
      <c r="GL31" s="363"/>
      <c r="GN31"/>
      <c r="GO31"/>
      <c r="GP31"/>
      <c r="GQ31"/>
      <c r="GR31"/>
      <c r="GS31"/>
    </row>
    <row r="32" spans="1:201" s="264" customFormat="1" ht="11.25" customHeight="1">
      <c r="A32" s="309" t="s">
        <v>111</v>
      </c>
      <c r="B32" s="253"/>
      <c r="C32" s="253"/>
      <c r="D32" s="312"/>
      <c r="E32" s="312"/>
      <c r="F32" s="312"/>
      <c r="G32" s="312"/>
      <c r="H32" s="313"/>
      <c r="I32" s="312"/>
      <c r="J32" s="312"/>
      <c r="K32" s="312"/>
      <c r="L32" s="312"/>
      <c r="M32" s="313"/>
      <c r="N32" s="312"/>
      <c r="O32" s="312"/>
      <c r="P32" s="312"/>
      <c r="Q32" s="312"/>
      <c r="R32" s="313"/>
      <c r="S32" s="312"/>
      <c r="T32" s="312"/>
      <c r="U32" s="312"/>
      <c r="V32" s="312"/>
      <c r="W32" s="313"/>
      <c r="X32" s="312"/>
      <c r="Y32" s="312"/>
      <c r="Z32" s="312"/>
      <c r="AA32" s="312"/>
      <c r="AB32" s="313"/>
      <c r="AC32" s="312"/>
      <c r="AD32" s="312"/>
      <c r="AE32" s="312"/>
      <c r="AF32" s="312"/>
      <c r="AG32" s="313"/>
      <c r="AH32" s="312"/>
      <c r="AI32" s="312"/>
      <c r="AJ32" s="312"/>
      <c r="AK32" s="312"/>
      <c r="AL32" s="313"/>
      <c r="AM32" s="312"/>
      <c r="AN32" s="312"/>
      <c r="AO32" s="312"/>
      <c r="AP32" s="312"/>
      <c r="AQ32" s="313"/>
      <c r="AR32" s="312"/>
      <c r="AS32" s="312"/>
      <c r="AT32" s="312"/>
      <c r="AU32" s="312"/>
      <c r="AV32" s="313"/>
      <c r="AW32" s="312"/>
      <c r="AX32" s="312"/>
      <c r="AY32" s="312"/>
      <c r="AZ32" s="312"/>
      <c r="BA32" s="313"/>
      <c r="BB32" s="312"/>
      <c r="BC32" s="312"/>
      <c r="BD32" s="312"/>
      <c r="BE32" s="312"/>
      <c r="BF32" s="313"/>
      <c r="BG32" s="312"/>
      <c r="BH32" s="312"/>
      <c r="BI32" s="312"/>
      <c r="BJ32" s="312"/>
      <c r="BK32" s="313"/>
      <c r="BL32" s="312"/>
      <c r="BM32" s="312"/>
      <c r="BN32" s="312"/>
      <c r="BO32" s="312"/>
      <c r="BP32" s="313"/>
      <c r="BQ32" s="312"/>
      <c r="BR32" s="312"/>
      <c r="BS32" s="312"/>
      <c r="BT32" s="312"/>
      <c r="BU32" s="313"/>
      <c r="BV32" s="312"/>
      <c r="BW32" s="312"/>
      <c r="BX32" s="312"/>
      <c r="BY32" s="312"/>
      <c r="BZ32" s="313"/>
      <c r="CA32" s="312"/>
      <c r="CB32" s="312"/>
      <c r="CC32" s="312"/>
      <c r="CD32" s="312"/>
      <c r="CE32" s="313"/>
      <c r="CF32" s="312"/>
      <c r="CG32" s="312"/>
      <c r="CH32" s="312"/>
      <c r="CI32" s="312"/>
      <c r="CJ32" s="313"/>
      <c r="CK32" s="312"/>
      <c r="CL32" s="312"/>
      <c r="CM32" s="312"/>
      <c r="CN32" s="312"/>
      <c r="CO32" s="313"/>
      <c r="CP32" s="312"/>
      <c r="CQ32" s="312"/>
      <c r="CR32" s="312"/>
      <c r="CS32" s="312"/>
      <c r="CT32" s="313"/>
      <c r="CU32" s="312"/>
      <c r="CV32" s="312"/>
      <c r="CW32" s="312"/>
      <c r="CX32" s="312"/>
      <c r="CY32" s="313"/>
      <c r="CZ32" s="312"/>
      <c r="DA32" s="312"/>
      <c r="DB32" s="312"/>
      <c r="DC32" s="312"/>
      <c r="DD32" s="313"/>
      <c r="DE32" s="312"/>
      <c r="DF32" s="312"/>
      <c r="DG32" s="312"/>
      <c r="DH32" s="312"/>
      <c r="DI32" s="313"/>
      <c r="DJ32" s="312"/>
      <c r="DK32" s="312"/>
      <c r="DL32" s="312"/>
      <c r="DM32" s="312"/>
      <c r="DN32" s="313"/>
      <c r="DO32" s="312"/>
      <c r="DP32" s="312"/>
      <c r="DQ32" s="312"/>
      <c r="DR32" s="312"/>
      <c r="DS32" s="313"/>
      <c r="DT32" s="312"/>
      <c r="DU32" s="312"/>
      <c r="DV32" s="312"/>
      <c r="DW32" s="312"/>
      <c r="DX32" s="313"/>
      <c r="DY32" s="312"/>
      <c r="DZ32" s="312"/>
      <c r="EA32" s="312"/>
      <c r="EB32" s="312"/>
      <c r="EC32" s="313"/>
      <c r="ED32" s="312">
        <f t="shared" ref="ED32" si="153">ED30/DY30-1</f>
        <v>0.13960396039603951</v>
      </c>
      <c r="EE32" s="312">
        <f t="shared" ref="EE32" si="154">EE30/DZ30-1</f>
        <v>-0.1117408906882591</v>
      </c>
      <c r="EF32" s="312">
        <f t="shared" ref="EF32" si="155">EF30/EA30-1</f>
        <v>-9.310058187863679E-2</v>
      </c>
      <c r="EG32" s="312">
        <f t="shared" ref="EG32" si="156">EG30/EB30-1</f>
        <v>-7.3561544064093209E-2</v>
      </c>
      <c r="EH32" s="313">
        <f t="shared" ref="EH32" si="157">EH30/EC30-1</f>
        <v>-4.3559427504667125E-2</v>
      </c>
      <c r="EI32" s="312">
        <f t="shared" ref="EI32" si="158">EI30/ED30-1</f>
        <v>-5.8210251954821879E-2</v>
      </c>
      <c r="EJ32" s="312">
        <f t="shared" ref="EJ32" si="159">EJ30/EE30-1</f>
        <v>-5.3783044667274349E-2</v>
      </c>
      <c r="EK32" s="312">
        <f t="shared" ref="EK32" si="160">EK30/EF30-1</f>
        <v>4.4912923923006387E-2</v>
      </c>
      <c r="EL32" s="312">
        <f t="shared" ref="EL32" si="161">EL30/EG30-1</f>
        <v>2.2798742138364858E-2</v>
      </c>
      <c r="EM32" s="313">
        <f t="shared" ref="EM32" si="162">EM30/EH30-1</f>
        <v>-1.0409889394925154E-2</v>
      </c>
      <c r="EN32" s="312">
        <f t="shared" ref="EN32" si="163">EN30/EI30-1</f>
        <v>-3.5977859778597798E-2</v>
      </c>
      <c r="EO32" s="312">
        <f t="shared" ref="EO32" si="164">EO30/EJ30-1</f>
        <v>-0.15317919075144504</v>
      </c>
      <c r="EP32" s="312">
        <f t="shared" ref="EP32" si="165">EP30/EK30-1</f>
        <v>5.4385964912280649E-2</v>
      </c>
      <c r="EQ32" s="312">
        <f t="shared" ref="EQ32" si="166">EQ30/EL30-1</f>
        <v>4.1506533435818671E-2</v>
      </c>
      <c r="ER32" s="313">
        <f t="shared" ref="ER32" si="167">ER30/EM30-1</f>
        <v>-1.7970633355248733E-2</v>
      </c>
      <c r="ES32" s="312">
        <f t="shared" ref="ES32" si="168">ES30/EN30-1</f>
        <v>0.11578947368421044</v>
      </c>
      <c r="ET32" s="312">
        <f t="shared" ref="ET32" si="169">ET30/EO30-1</f>
        <v>0.26166097838452784</v>
      </c>
      <c r="EU32" s="312">
        <f t="shared" ref="EU32" si="170">EU30/EP30-1</f>
        <v>4.991680532445919E-3</v>
      </c>
      <c r="EV32" s="312">
        <f t="shared" ref="EV32" si="171">EV30/EQ30-1</f>
        <v>3.4233374427387941E-2</v>
      </c>
      <c r="EW32" s="313">
        <f t="shared" ref="EW32" si="172">EW30/ER30-1</f>
        <v>9.0021473409754638E-2</v>
      </c>
      <c r="EX32" s="312">
        <f t="shared" ref="EX32" si="173">EX30/ES30-1</f>
        <v>9.4614866963898203E-2</v>
      </c>
      <c r="EY32" s="312">
        <f t="shared" ref="EY32" si="174">EY30/ET30-1</f>
        <v>0.19043876796607639</v>
      </c>
      <c r="EZ32" s="312">
        <f t="shared" ref="EZ32" si="175">EZ30/EU30-1</f>
        <v>7.9809303464084325E-2</v>
      </c>
      <c r="FA32" s="312">
        <f t="shared" ref="FA32" si="176">FA30/EV30-1</f>
        <v>8.3112183410414486E-2</v>
      </c>
      <c r="FB32" s="313">
        <f t="shared" ref="FB32" si="177">FB30/EW30-1</f>
        <v>0.10940974189026953</v>
      </c>
      <c r="FC32" s="312">
        <f t="shared" ref="FC32" si="178">FC30/EX30-1</f>
        <v>8.532500077854932E-2</v>
      </c>
      <c r="FD32" s="312">
        <f t="shared" ref="FD32" si="179">FD30/EY30-1</f>
        <v>6.5673605597907692E-2</v>
      </c>
      <c r="FE32" s="312">
        <f t="shared" ref="FE32" si="180">FE30/EZ30-1</f>
        <v>9.4809380606555305E-2</v>
      </c>
      <c r="FF32" s="312">
        <f t="shared" ref="FF32" si="181">FF30/FA30-1</f>
        <v>9.7357496946437916E-2</v>
      </c>
      <c r="FG32" s="313">
        <f t="shared" ref="FG32" si="182">FG30/FB30-1</f>
        <v>8.6190773713400226E-2</v>
      </c>
      <c r="FH32" s="312">
        <f t="shared" ref="FH32" si="183">FH30/FC30-1</f>
        <v>8.1685928334200186E-2</v>
      </c>
      <c r="FI32" s="312">
        <f t="shared" ref="FI32" si="184">FI30/FD30-1</f>
        <v>5.6514409993193349E-2</v>
      </c>
      <c r="FJ32" s="312">
        <f t="shared" ref="FJ32" si="185">FJ30/FE30-1</f>
        <v>7.7638945389136405E-2</v>
      </c>
      <c r="FK32" s="312">
        <f t="shared" ref="FK32" si="186">FK30/FF30-1</f>
        <v>7.8485961513860891E-2</v>
      </c>
      <c r="FL32" s="313">
        <f t="shared" ref="FL32" si="187">FL30/FG30-1</f>
        <v>7.378166967540567E-2</v>
      </c>
      <c r="FM32" s="340"/>
      <c r="FN32" s="316"/>
      <c r="FO32" s="316"/>
      <c r="FP32" s="316"/>
      <c r="FQ32" s="316"/>
      <c r="FR32" s="316"/>
      <c r="FS32" s="316"/>
      <c r="FT32" s="316"/>
      <c r="FU32" s="316"/>
      <c r="FV32" s="316"/>
      <c r="FW32" s="316"/>
      <c r="FX32" s="847"/>
      <c r="FY32" s="854"/>
      <c r="FZ32" s="854"/>
      <c r="GA32" s="854"/>
      <c r="GB32" s="854"/>
      <c r="GC32" s="854"/>
      <c r="GD32" s="854"/>
      <c r="GE32" s="854"/>
      <c r="GF32" s="854"/>
      <c r="GG32" s="854"/>
      <c r="GH32" s="854"/>
      <c r="GI32" s="854"/>
      <c r="GJ32" s="363"/>
      <c r="GK32" s="363"/>
      <c r="GL32" s="363"/>
      <c r="GN32"/>
      <c r="GO32"/>
      <c r="GP32"/>
      <c r="GQ32"/>
      <c r="GR32"/>
      <c r="GS32"/>
    </row>
    <row r="33" spans="1:201" s="264" customFormat="1" ht="11.25" customHeight="1">
      <c r="A33" s="407" t="s">
        <v>342</v>
      </c>
      <c r="B33" s="253"/>
      <c r="C33" s="253"/>
      <c r="D33" s="312"/>
      <c r="E33" s="312"/>
      <c r="F33" s="312"/>
      <c r="G33" s="312"/>
      <c r="H33" s="316"/>
      <c r="I33" s="241"/>
      <c r="J33" s="241"/>
      <c r="K33" s="241"/>
      <c r="L33" s="241"/>
      <c r="M33" s="316"/>
      <c r="N33" s="241"/>
      <c r="O33" s="241"/>
      <c r="P33" s="241"/>
      <c r="Q33" s="241"/>
      <c r="R33" s="316"/>
      <c r="S33" s="241"/>
      <c r="T33" s="241"/>
      <c r="U33" s="241"/>
      <c r="V33" s="241"/>
      <c r="W33" s="316"/>
      <c r="X33" s="241"/>
      <c r="Y33" s="241"/>
      <c r="Z33" s="241"/>
      <c r="AA33" s="241"/>
      <c r="AB33" s="316"/>
      <c r="AC33" s="241"/>
      <c r="AD33" s="241"/>
      <c r="AE33" s="241"/>
      <c r="AF33" s="241"/>
      <c r="AG33" s="316"/>
      <c r="AH33" s="241"/>
      <c r="AI33" s="241"/>
      <c r="AJ33" s="241"/>
      <c r="AK33" s="241"/>
      <c r="AL33" s="316"/>
      <c r="AM33" s="241"/>
      <c r="AN33" s="241"/>
      <c r="AO33" s="241"/>
      <c r="AP33" s="241"/>
      <c r="AQ33" s="316"/>
      <c r="AR33" s="241"/>
      <c r="AS33" s="241"/>
      <c r="AT33" s="241"/>
      <c r="AU33" s="241"/>
      <c r="AV33" s="316"/>
      <c r="AW33" s="241"/>
      <c r="AX33" s="241"/>
      <c r="AY33" s="241"/>
      <c r="AZ33" s="241"/>
      <c r="BA33" s="316"/>
      <c r="BB33" s="241"/>
      <c r="BC33" s="241"/>
      <c r="BD33" s="241"/>
      <c r="BE33" s="241"/>
      <c r="BF33" s="316"/>
      <c r="BG33" s="241"/>
      <c r="BH33" s="241"/>
      <c r="BI33" s="241"/>
      <c r="BJ33" s="241"/>
      <c r="BK33" s="316"/>
      <c r="BL33" s="241"/>
      <c r="BM33" s="241"/>
      <c r="BN33" s="241"/>
      <c r="BO33" s="241"/>
      <c r="BP33" s="316"/>
      <c r="BQ33" s="241"/>
      <c r="BR33" s="241"/>
      <c r="BS33" s="241"/>
      <c r="BT33" s="241"/>
      <c r="BU33" s="316"/>
      <c r="BV33" s="241"/>
      <c r="BW33" s="241"/>
      <c r="BX33" s="241"/>
      <c r="BY33" s="241"/>
      <c r="BZ33" s="316"/>
      <c r="CA33" s="241"/>
      <c r="CB33" s="241"/>
      <c r="CC33" s="241"/>
      <c r="CD33" s="241"/>
      <c r="CE33" s="316"/>
      <c r="CF33" s="241"/>
      <c r="CG33" s="241"/>
      <c r="CH33" s="241"/>
      <c r="CI33" s="241"/>
      <c r="CJ33" s="316"/>
      <c r="CK33" s="312"/>
      <c r="CL33" s="312"/>
      <c r="CM33" s="312"/>
      <c r="CN33" s="312"/>
      <c r="CO33" s="313"/>
      <c r="CP33" s="312"/>
      <c r="CQ33" s="312"/>
      <c r="CR33" s="312"/>
      <c r="CS33" s="312"/>
      <c r="CT33" s="313"/>
      <c r="CU33" s="312"/>
      <c r="CV33" s="312"/>
      <c r="CW33" s="312"/>
      <c r="CX33" s="312"/>
      <c r="CY33" s="331">
        <v>0</v>
      </c>
      <c r="CZ33" s="312"/>
      <c r="DA33" s="312"/>
      <c r="DB33" s="312"/>
      <c r="DC33" s="312"/>
      <c r="DD33" s="331">
        <v>0</v>
      </c>
      <c r="DE33" s="312"/>
      <c r="DF33" s="312"/>
      <c r="DG33" s="312"/>
      <c r="DH33" s="312"/>
      <c r="DI33" s="1115">
        <v>0</v>
      </c>
      <c r="DJ33" s="312"/>
      <c r="DK33" s="312"/>
      <c r="DL33" s="312"/>
      <c r="DM33" s="312"/>
      <c r="DN33" s="1115">
        <v>0</v>
      </c>
      <c r="DO33" s="1114">
        <v>0</v>
      </c>
      <c r="DP33" s="1114">
        <v>0</v>
      </c>
      <c r="DQ33" s="1114">
        <v>0</v>
      </c>
      <c r="DR33" s="1114">
        <v>0</v>
      </c>
      <c r="DS33" s="331">
        <f>SUM(DO33:DR33)</f>
        <v>0</v>
      </c>
      <c r="DT33" s="1114">
        <v>0</v>
      </c>
      <c r="DU33" s="1114">
        <v>0</v>
      </c>
      <c r="DV33" s="1114">
        <v>0</v>
      </c>
      <c r="DW33" s="1114">
        <v>0</v>
      </c>
      <c r="DX33" s="331">
        <f>SUM(DT33:DW33)</f>
        <v>0</v>
      </c>
      <c r="DY33" s="1114">
        <v>0</v>
      </c>
      <c r="DZ33" s="1114">
        <v>0</v>
      </c>
      <c r="EA33" s="1114">
        <v>0</v>
      </c>
      <c r="EB33" s="1114">
        <v>0</v>
      </c>
      <c r="EC33" s="331">
        <f>SUM(DY33:EB33)</f>
        <v>0</v>
      </c>
      <c r="ED33" s="1114">
        <v>0</v>
      </c>
      <c r="EE33" s="1114">
        <v>0</v>
      </c>
      <c r="EF33" s="1114">
        <v>0</v>
      </c>
      <c r="EG33" s="1114">
        <v>0</v>
      </c>
      <c r="EH33" s="331">
        <f>SUM(ED33:EG33)</f>
        <v>0</v>
      </c>
      <c r="EI33" s="2558">
        <v>0</v>
      </c>
      <c r="EJ33" s="2558">
        <v>0</v>
      </c>
      <c r="EK33" s="2558">
        <v>0</v>
      </c>
      <c r="EL33" s="2558">
        <v>0</v>
      </c>
      <c r="EM33" s="2696">
        <f>SUM(EI33:EL33)</f>
        <v>0</v>
      </c>
      <c r="EN33" s="2558">
        <v>0</v>
      </c>
      <c r="EO33" s="2558">
        <v>0</v>
      </c>
      <c r="EP33" s="2558">
        <v>0</v>
      </c>
      <c r="EQ33" s="2558">
        <v>0</v>
      </c>
      <c r="ER33" s="2696">
        <f>SUM(EN33:EQ33)</f>
        <v>0</v>
      </c>
      <c r="ES33" s="2558">
        <v>0</v>
      </c>
      <c r="ET33" s="2558">
        <v>0</v>
      </c>
      <c r="EU33" s="2558">
        <v>0</v>
      </c>
      <c r="EV33" s="329">
        <v>0</v>
      </c>
      <c r="EW33" s="331">
        <f>SUM(ES33:EV33)</f>
        <v>0</v>
      </c>
      <c r="EX33" s="329">
        <v>0</v>
      </c>
      <c r="EY33" s="329">
        <v>0</v>
      </c>
      <c r="EZ33" s="329">
        <v>0</v>
      </c>
      <c r="FA33" s="329">
        <v>0</v>
      </c>
      <c r="FB33" s="331">
        <f>SUM(EX33:FA33)</f>
        <v>0</v>
      </c>
      <c r="FC33" s="329">
        <v>0</v>
      </c>
      <c r="FD33" s="329">
        <v>0</v>
      </c>
      <c r="FE33" s="329">
        <v>0</v>
      </c>
      <c r="FF33" s="329">
        <v>0</v>
      </c>
      <c r="FG33" s="331">
        <f>SUM(FC33:FF33)</f>
        <v>0</v>
      </c>
      <c r="FH33" s="329">
        <v>0</v>
      </c>
      <c r="FI33" s="329">
        <v>0</v>
      </c>
      <c r="FJ33" s="329">
        <v>0</v>
      </c>
      <c r="FK33" s="329">
        <v>0</v>
      </c>
      <c r="FL33" s="331">
        <f>SUM(FH33:FK33)</f>
        <v>0</v>
      </c>
      <c r="FM33" s="340"/>
      <c r="FN33" s="316"/>
      <c r="FO33" s="316"/>
      <c r="FP33" s="316"/>
      <c r="FQ33" s="316"/>
      <c r="FR33" s="316"/>
      <c r="FS33" s="316"/>
      <c r="FT33" s="316"/>
      <c r="FU33" s="316"/>
      <c r="FV33" s="316"/>
      <c r="FW33" s="316"/>
      <c r="FX33" s="855">
        <f>DB33+DC33+DE33+DF33</f>
        <v>0</v>
      </c>
      <c r="FY33" s="856">
        <f>DG33+DH33+DJ33+DK33</f>
        <v>0</v>
      </c>
      <c r="FZ33" s="1187">
        <f>SUM(DO33:DP33,DL33:DM33)</f>
        <v>0</v>
      </c>
      <c r="GA33" s="1187">
        <f>SUM(DT33:DU33,DQ33:DR33)</f>
        <v>0</v>
      </c>
      <c r="GB33" s="1187">
        <f>SUM(DV33:DW33,DY33:DZ33)</f>
        <v>0</v>
      </c>
      <c r="GC33" s="1187">
        <f>SUM(ED33:EE33,EA33:EB33)</f>
        <v>0</v>
      </c>
      <c r="GD33" s="1187">
        <f>SUM(EI33:EJ33,EF33:EG33)</f>
        <v>0</v>
      </c>
      <c r="GE33" s="1187">
        <f>SUM(EN33:EO33,EK33:EL33)</f>
        <v>0</v>
      </c>
      <c r="GF33" s="1187">
        <f>SUM(ES33:ET33,EP33:EQ33)</f>
        <v>0</v>
      </c>
      <c r="GG33" s="1187">
        <f>SUM(EX33:EY33,EU33:EV33)</f>
        <v>0</v>
      </c>
      <c r="GH33" s="1187">
        <f>SUM(FC33:FD33,EZ33:FA33)</f>
        <v>0</v>
      </c>
      <c r="GI33" s="1187">
        <f>SUM(FH33:FI33,FE33:FF33)</f>
        <v>0</v>
      </c>
      <c r="GJ33" s="2665"/>
      <c r="GK33" s="2665"/>
      <c r="GL33" s="2665"/>
      <c r="GN33"/>
      <c r="GO33"/>
      <c r="GP33"/>
      <c r="GQ33"/>
      <c r="GR33"/>
      <c r="GS33"/>
    </row>
    <row r="34" spans="1:201" s="307" customFormat="1" ht="11.25" customHeight="1">
      <c r="A34" s="328" t="s">
        <v>116</v>
      </c>
      <c r="B34" s="303"/>
      <c r="C34" s="303"/>
      <c r="D34" s="329">
        <f>D24+D27+D30</f>
        <v>75</v>
      </c>
      <c r="E34" s="329">
        <f>E24+E27+E30</f>
        <v>83.176999999999992</v>
      </c>
      <c r="F34" s="329">
        <f>F24+F27+F30</f>
        <v>86.820999999999998</v>
      </c>
      <c r="G34" s="329">
        <f>G24+G27+G30</f>
        <v>97.594999999999999</v>
      </c>
      <c r="H34" s="330">
        <f>H24+H27+H30</f>
        <v>342.59300000000002</v>
      </c>
      <c r="I34" s="329">
        <f t="shared" ref="I34:BK34" si="188">I24+I27+I30</f>
        <v>112.039</v>
      </c>
      <c r="J34" s="329">
        <f t="shared" si="188"/>
        <v>124.29599999999999</v>
      </c>
      <c r="K34" s="329">
        <f t="shared" si="188"/>
        <v>134.126</v>
      </c>
      <c r="L34" s="329">
        <f t="shared" si="188"/>
        <v>149.51499999999999</v>
      </c>
      <c r="M34" s="330">
        <f>M24+M27+M30</f>
        <v>519.976</v>
      </c>
      <c r="N34" s="329">
        <f t="shared" si="188"/>
        <v>162</v>
      </c>
      <c r="O34" s="329">
        <f t="shared" si="188"/>
        <v>198</v>
      </c>
      <c r="P34" s="329">
        <f t="shared" si="188"/>
        <v>206</v>
      </c>
      <c r="Q34" s="329">
        <f t="shared" si="188"/>
        <v>221</v>
      </c>
      <c r="R34" s="330">
        <f>R24+R27+R30</f>
        <v>787</v>
      </c>
      <c r="S34" s="329">
        <f t="shared" si="188"/>
        <v>255</v>
      </c>
      <c r="T34" s="329">
        <f t="shared" si="188"/>
        <v>301</v>
      </c>
      <c r="U34" s="329">
        <f t="shared" si="188"/>
        <v>296</v>
      </c>
      <c r="V34" s="329">
        <f t="shared" si="188"/>
        <v>347.8</v>
      </c>
      <c r="W34" s="330">
        <f>W24+W27+W30</f>
        <v>1199.8</v>
      </c>
      <c r="X34" s="329">
        <f t="shared" si="188"/>
        <v>367</v>
      </c>
      <c r="Y34" s="329">
        <f t="shared" si="188"/>
        <v>428</v>
      </c>
      <c r="Z34" s="329">
        <f t="shared" si="188"/>
        <v>429</v>
      </c>
      <c r="AA34" s="329">
        <f t="shared" si="188"/>
        <v>451</v>
      </c>
      <c r="AB34" s="330">
        <f>AB24+AB27+AB30</f>
        <v>1675</v>
      </c>
      <c r="AC34" s="329">
        <f t="shared" si="188"/>
        <v>425</v>
      </c>
      <c r="AD34" s="329">
        <f t="shared" si="188"/>
        <v>471</v>
      </c>
      <c r="AE34" s="329">
        <f t="shared" si="188"/>
        <v>497</v>
      </c>
      <c r="AF34" s="329">
        <f t="shared" si="188"/>
        <v>518</v>
      </c>
      <c r="AG34" s="330">
        <f>AG24+AG27+AG30</f>
        <v>1911</v>
      </c>
      <c r="AH34" s="329">
        <f t="shared" si="188"/>
        <v>549</v>
      </c>
      <c r="AI34" s="329">
        <f t="shared" si="188"/>
        <v>665</v>
      </c>
      <c r="AJ34" s="329">
        <f t="shared" si="188"/>
        <v>723</v>
      </c>
      <c r="AK34" s="329">
        <f t="shared" si="188"/>
        <v>754</v>
      </c>
      <c r="AL34" s="330">
        <f>AL24+AL27+AL30</f>
        <v>2691</v>
      </c>
      <c r="AM34" s="329">
        <f t="shared" si="188"/>
        <v>855</v>
      </c>
      <c r="AN34" s="329">
        <f t="shared" si="188"/>
        <v>935</v>
      </c>
      <c r="AO34" s="329">
        <f t="shared" si="188"/>
        <v>996</v>
      </c>
      <c r="AP34" s="329">
        <f t="shared" si="188"/>
        <v>1041</v>
      </c>
      <c r="AQ34" s="330">
        <f>AQ24+AQ27+AQ30</f>
        <v>3827</v>
      </c>
      <c r="AR34" s="329">
        <f t="shared" si="188"/>
        <v>1021</v>
      </c>
      <c r="AS34" s="329">
        <f t="shared" si="188"/>
        <v>1169</v>
      </c>
      <c r="AT34" s="329">
        <f t="shared" si="188"/>
        <v>1214</v>
      </c>
      <c r="AU34" s="329">
        <f t="shared" si="188"/>
        <v>1232</v>
      </c>
      <c r="AV34" s="330">
        <f>AV24+AV27+AV30</f>
        <v>4636</v>
      </c>
      <c r="AW34" s="329">
        <f t="shared" si="188"/>
        <v>1373</v>
      </c>
      <c r="AX34" s="329">
        <f t="shared" si="188"/>
        <v>1518</v>
      </c>
      <c r="AY34" s="329">
        <f t="shared" si="188"/>
        <v>1417</v>
      </c>
      <c r="AZ34" s="329">
        <f t="shared" si="188"/>
        <v>1556</v>
      </c>
      <c r="BA34" s="330">
        <f>BA24+BA27+BA30</f>
        <v>5864</v>
      </c>
      <c r="BB34" s="329">
        <f t="shared" si="188"/>
        <v>1438</v>
      </c>
      <c r="BC34" s="329">
        <f t="shared" si="188"/>
        <v>1658</v>
      </c>
      <c r="BD34" s="329">
        <f t="shared" si="188"/>
        <v>1657</v>
      </c>
      <c r="BE34" s="329">
        <f t="shared" si="188"/>
        <v>2137</v>
      </c>
      <c r="BF34" s="330">
        <f>BF24+BF27+BF30</f>
        <v>6890</v>
      </c>
      <c r="BG34" s="329">
        <f t="shared" si="188"/>
        <v>1831</v>
      </c>
      <c r="BH34" s="329">
        <f t="shared" si="188"/>
        <v>2081</v>
      </c>
      <c r="BI34" s="329">
        <f t="shared" si="188"/>
        <v>2111</v>
      </c>
      <c r="BJ34" s="329">
        <f t="shared" si="188"/>
        <v>2411</v>
      </c>
      <c r="BK34" s="330">
        <f t="shared" si="188"/>
        <v>8434</v>
      </c>
      <c r="BL34" s="329">
        <f t="shared" ref="BL34:CO34" si="189">BL24+BL27+BL30</f>
        <v>2103</v>
      </c>
      <c r="BM34" s="329">
        <f t="shared" si="189"/>
        <v>2423</v>
      </c>
      <c r="BN34" s="329">
        <f t="shared" si="189"/>
        <v>2442</v>
      </c>
      <c r="BO34" s="329">
        <f t="shared" si="189"/>
        <v>2869</v>
      </c>
      <c r="BP34" s="330">
        <f t="shared" si="189"/>
        <v>9837</v>
      </c>
      <c r="BQ34" s="329">
        <f t="shared" si="189"/>
        <v>2345</v>
      </c>
      <c r="BR34" s="329">
        <f t="shared" si="189"/>
        <v>2696</v>
      </c>
      <c r="BS34" s="329">
        <f t="shared" si="189"/>
        <v>2552</v>
      </c>
      <c r="BT34" s="329">
        <f t="shared" si="189"/>
        <v>3011</v>
      </c>
      <c r="BU34" s="330">
        <f t="shared" si="189"/>
        <v>10604</v>
      </c>
      <c r="BV34" s="329">
        <f t="shared" si="189"/>
        <v>3374</v>
      </c>
      <c r="BW34" s="329">
        <f t="shared" si="189"/>
        <v>3961</v>
      </c>
      <c r="BX34" s="329">
        <f t="shared" si="189"/>
        <v>3817</v>
      </c>
      <c r="BY34" s="329">
        <f t="shared" si="189"/>
        <v>4425</v>
      </c>
      <c r="BZ34" s="330">
        <f t="shared" si="189"/>
        <v>15577</v>
      </c>
      <c r="CA34" s="329">
        <f t="shared" si="189"/>
        <v>3587</v>
      </c>
      <c r="CB34" s="329">
        <f t="shared" si="189"/>
        <v>4344</v>
      </c>
      <c r="CC34" s="329">
        <f t="shared" si="189"/>
        <v>3961</v>
      </c>
      <c r="CD34" s="329">
        <f t="shared" si="189"/>
        <v>4678</v>
      </c>
      <c r="CE34" s="330">
        <f t="shared" si="189"/>
        <v>16570</v>
      </c>
      <c r="CF34" s="307">
        <f t="shared" si="189"/>
        <v>3754</v>
      </c>
      <c r="CG34" s="307">
        <f t="shared" si="189"/>
        <v>4147</v>
      </c>
      <c r="CH34" s="307">
        <f t="shared" si="189"/>
        <v>4160</v>
      </c>
      <c r="CI34" s="307">
        <f t="shared" si="189"/>
        <v>5006</v>
      </c>
      <c r="CJ34" s="330">
        <f t="shared" si="189"/>
        <v>17067</v>
      </c>
      <c r="CK34" s="329">
        <f t="shared" si="189"/>
        <v>4081</v>
      </c>
      <c r="CL34" s="329">
        <f t="shared" si="189"/>
        <v>4941</v>
      </c>
      <c r="CM34" s="329">
        <f t="shared" si="189"/>
        <v>4587</v>
      </c>
      <c r="CN34" s="329">
        <f t="shared" si="189"/>
        <v>5442</v>
      </c>
      <c r="CO34" s="331">
        <f t="shared" si="189"/>
        <v>19051</v>
      </c>
      <c r="CP34" s="329">
        <f t="shared" ref="CP34:CV34" si="190">CP24+CP27+CP30</f>
        <v>4641</v>
      </c>
      <c r="CQ34" s="329">
        <f t="shared" si="190"/>
        <v>5450</v>
      </c>
      <c r="CR34" s="329">
        <f t="shared" si="190"/>
        <v>5515</v>
      </c>
      <c r="CS34" s="329">
        <f t="shared" si="190"/>
        <v>6145</v>
      </c>
      <c r="CT34" s="331">
        <f t="shared" si="190"/>
        <v>21751</v>
      </c>
      <c r="CU34" s="329">
        <f t="shared" si="190"/>
        <v>5238</v>
      </c>
      <c r="CV34" s="329">
        <f t="shared" si="190"/>
        <v>6343</v>
      </c>
      <c r="CW34" s="329">
        <f t="shared" ref="CW34:DI34" si="191">CW24+CW27+CW30</f>
        <v>6114</v>
      </c>
      <c r="CX34" s="329">
        <f t="shared" si="191"/>
        <v>7287</v>
      </c>
      <c r="CY34" s="331">
        <f t="shared" si="191"/>
        <v>24982</v>
      </c>
      <c r="CZ34" s="329">
        <f t="shared" si="191"/>
        <v>6214</v>
      </c>
      <c r="DA34" s="329">
        <f t="shared" si="191"/>
        <v>6783</v>
      </c>
      <c r="DB34" s="329">
        <f t="shared" si="191"/>
        <v>6106</v>
      </c>
      <c r="DC34" s="329">
        <f t="shared" si="191"/>
        <v>6398</v>
      </c>
      <c r="DD34" s="331">
        <f t="shared" si="191"/>
        <v>25501</v>
      </c>
      <c r="DE34" s="329">
        <f t="shared" si="191"/>
        <v>5596</v>
      </c>
      <c r="DF34" s="329">
        <f t="shared" si="191"/>
        <v>6881</v>
      </c>
      <c r="DG34" s="329">
        <f t="shared" si="191"/>
        <v>6575</v>
      </c>
      <c r="DH34" s="329">
        <f t="shared" si="191"/>
        <v>6939</v>
      </c>
      <c r="DI34" s="331">
        <f t="shared" si="191"/>
        <v>25991</v>
      </c>
      <c r="DJ34" s="329">
        <f t="shared" ref="DJ34:DP34" si="192">DJ24+DJ27+DJ30</f>
        <v>5940</v>
      </c>
      <c r="DK34" s="329">
        <f>DK24+DK27+DK30</f>
        <v>6955</v>
      </c>
      <c r="DL34" s="329">
        <f t="shared" si="192"/>
        <v>6822</v>
      </c>
      <c r="DM34" s="329">
        <f t="shared" si="192"/>
        <v>7488</v>
      </c>
      <c r="DN34" s="331">
        <f t="shared" si="192"/>
        <v>27205</v>
      </c>
      <c r="DO34" s="329">
        <f t="shared" si="192"/>
        <v>6392</v>
      </c>
      <c r="DP34" s="329">
        <f t="shared" si="192"/>
        <v>7253</v>
      </c>
      <c r="DQ34" s="329">
        <f>DQ24+DQ27+DQ30</f>
        <v>7081</v>
      </c>
      <c r="DR34" s="329">
        <f>DR24+DR27+DR30+DR33</f>
        <v>7511</v>
      </c>
      <c r="DS34" s="331">
        <f>DS24+DS27+DS30+DS33</f>
        <v>28237</v>
      </c>
      <c r="DT34" s="329">
        <f>DT24+DT27+DT30</f>
        <v>6532</v>
      </c>
      <c r="DU34" s="329">
        <f>DU24+DU27+DU30</f>
        <v>7993</v>
      </c>
      <c r="DV34" s="329">
        <f>DV24+DV27+DV30+DV33-733</f>
        <v>7357</v>
      </c>
      <c r="DW34" s="329">
        <f>DW24+DW27+DW30</f>
        <v>8221</v>
      </c>
      <c r="DX34" s="331">
        <f>DX24+DX27+DX30+DX33</f>
        <v>30836</v>
      </c>
      <c r="DY34" s="329">
        <f>DY24+DY27+DY30</f>
        <v>7081</v>
      </c>
      <c r="DZ34" s="329">
        <f>DZ24+DZ27+DZ30</f>
        <v>8266</v>
      </c>
      <c r="EA34" s="329">
        <f>EA24+EA27+EA30</f>
        <v>7488</v>
      </c>
      <c r="EB34" s="329">
        <f>EB24+EB27+EB30</f>
        <v>9178</v>
      </c>
      <c r="EC34" s="331">
        <f>EC24+EC27+EC30+EC33</f>
        <v>32013</v>
      </c>
      <c r="ED34" s="329">
        <f>ED24+ED27+ED30</f>
        <v>7944</v>
      </c>
      <c r="EE34" s="329">
        <f>EE24+EE27+EE30</f>
        <v>8315</v>
      </c>
      <c r="EF34" s="329">
        <f>EF24+EF27+EF30</f>
        <v>7784</v>
      </c>
      <c r="EG34" s="329">
        <f>EG24+EG27+EG30</f>
        <v>8327</v>
      </c>
      <c r="EH34" s="331">
        <f>SUM(ED34:EG34)</f>
        <v>32370</v>
      </c>
      <c r="EI34" s="2702">
        <f>EI24+EI27+EI30</f>
        <v>7387</v>
      </c>
      <c r="EJ34" s="2702">
        <f>EJ24+EJ27+EJ30</f>
        <v>7892</v>
      </c>
      <c r="EK34" s="2702">
        <f>EK24+EK27+EK30</f>
        <v>7518</v>
      </c>
      <c r="EL34" s="2702">
        <f>EL24+EL27+EL30</f>
        <v>8389</v>
      </c>
      <c r="EM34" s="2696">
        <f>EM24+EM27+EM30+EM33</f>
        <v>31186</v>
      </c>
      <c r="EN34" s="2702">
        <f>EN24+EN27+EN30</f>
        <v>7369</v>
      </c>
      <c r="EO34" s="2702">
        <f>EO24+EO27+EO30</f>
        <v>8020</v>
      </c>
      <c r="EP34" s="2702">
        <f>EP24+EP27+EP30</f>
        <v>8429</v>
      </c>
      <c r="EQ34" s="2702">
        <f>EQ24+EQ27+EQ30</f>
        <v>9161</v>
      </c>
      <c r="ER34" s="2696">
        <f>ER24+ER27+ER30+ER33</f>
        <v>32979</v>
      </c>
      <c r="ES34" s="2702">
        <f>ES24+ES27+ES30</f>
        <v>8552</v>
      </c>
      <c r="ET34" s="2702">
        <f>ET24+ET27+ET30</f>
        <v>9175</v>
      </c>
      <c r="EU34" s="2702">
        <f>EU24+EU27+EU30</f>
        <v>9258</v>
      </c>
      <c r="EV34" s="329">
        <f>EV24+EV27+EV30</f>
        <v>9853.4968758921823</v>
      </c>
      <c r="EW34" s="331">
        <f>EW24+EW27+EW30+EW33</f>
        <v>36838.496875892182</v>
      </c>
      <c r="EX34" s="329">
        <f>EX24+EX27+EX30</f>
        <v>9347.3263290172654</v>
      </c>
      <c r="EY34" s="329">
        <f>EY24+EY27+EY30</f>
        <v>9979.6114181138619</v>
      </c>
      <c r="EZ34" s="329">
        <f>EZ24+EZ27+EZ30</f>
        <v>10146.535671049129</v>
      </c>
      <c r="FA34" s="329">
        <f>FA24+FA27+FA30</f>
        <v>10804.541087112466</v>
      </c>
      <c r="FB34" s="331">
        <f>FB24+FB27+FB30+FB33</f>
        <v>40278.014505292726</v>
      </c>
      <c r="FC34" s="329">
        <f>FC24+FC27+FC30</f>
        <v>10315.57253775545</v>
      </c>
      <c r="FD34" s="329">
        <f>FD24+FD27+FD30</f>
        <v>10842.972281677738</v>
      </c>
      <c r="FE34" s="329">
        <f>FE24+FE27+FE30</f>
        <v>11250.097195189301</v>
      </c>
      <c r="FF34" s="329">
        <f>FF24+FF27+FF30</f>
        <v>11974.053402692101</v>
      </c>
      <c r="FG34" s="331">
        <f>FG24+FG27+FG30+FG33</f>
        <v>44382.695417314586</v>
      </c>
      <c r="FH34" s="329">
        <f>FH24+FH27+FH30</f>
        <v>11355.713455939051</v>
      </c>
      <c r="FI34" s="329">
        <f>FI24+FI27+FI30</f>
        <v>11692.819272699981</v>
      </c>
      <c r="FJ34" s="329">
        <f>FJ24+FJ27+FJ30</f>
        <v>12363.316398474823</v>
      </c>
      <c r="FK34" s="329">
        <f>FK24+FK27+FK30</f>
        <v>13132.027358469917</v>
      </c>
      <c r="FL34" s="331">
        <f>FL24+FL27+FL30+FL33</f>
        <v>48543.87648558378</v>
      </c>
      <c r="FN34" s="330">
        <f t="shared" ref="FN34:FX34" si="193">FN24+FN27+FN30</f>
        <v>7706</v>
      </c>
      <c r="FO34" s="330">
        <f t="shared" si="193"/>
        <v>9048</v>
      </c>
      <c r="FP34" s="330">
        <f t="shared" si="193"/>
        <v>10352</v>
      </c>
      <c r="FQ34" s="330">
        <f t="shared" si="193"/>
        <v>12898</v>
      </c>
      <c r="FR34" s="330">
        <f t="shared" si="193"/>
        <v>16173</v>
      </c>
      <c r="FS34" s="330">
        <f t="shared" si="193"/>
        <v>16540</v>
      </c>
      <c r="FT34" s="330">
        <f t="shared" si="193"/>
        <v>18188</v>
      </c>
      <c r="FU34" s="330">
        <f t="shared" si="193"/>
        <v>20120</v>
      </c>
      <c r="FV34" s="330">
        <f>FV24+FV27+FV30</f>
        <v>23241</v>
      </c>
      <c r="FW34" s="330">
        <f t="shared" si="193"/>
        <v>26398</v>
      </c>
      <c r="FX34" s="855">
        <f t="shared" si="193"/>
        <v>24981</v>
      </c>
      <c r="FY34" s="856">
        <f>FY24+FY27+FY30</f>
        <v>26409</v>
      </c>
      <c r="FZ34" s="856">
        <f>SUM(DO34:DP34,DL34:DM34)</f>
        <v>27955</v>
      </c>
      <c r="GA34" s="856">
        <f>SUM(DT34:DU34,DQ34:DR34)</f>
        <v>29117</v>
      </c>
      <c r="GB34" s="856">
        <f>SUM(DV34:DW34,DY34:DZ34)</f>
        <v>30925</v>
      </c>
      <c r="GC34" s="856">
        <f>SUM(ED34:EE34,EA34:EB34)</f>
        <v>32925</v>
      </c>
      <c r="GD34" s="856">
        <f>SUM(EI34:EJ34,EF34:EG34)</f>
        <v>31390</v>
      </c>
      <c r="GE34" s="856">
        <f>SUM(EN34:EO34,EK34:EL34)</f>
        <v>31296</v>
      </c>
      <c r="GF34" s="856">
        <f>SUM(ES34:ET34,EP34:EQ34)</f>
        <v>35317</v>
      </c>
      <c r="GG34" s="856">
        <f>SUM(EX34:EY34,EU34:EV34)</f>
        <v>38438.434623023306</v>
      </c>
      <c r="GH34" s="856">
        <f>SUM(FC34:FD34,EZ34:FA34)</f>
        <v>42109.621577594779</v>
      </c>
      <c r="GI34" s="856">
        <f>SUM(FH34:FI34,FE34:FF34)</f>
        <v>46272.683326520433</v>
      </c>
      <c r="GJ34" s="303"/>
      <c r="GK34" s="303"/>
      <c r="GL34" s="303"/>
      <c r="GN34"/>
      <c r="GO34"/>
      <c r="GP34"/>
      <c r="GQ34"/>
      <c r="GR34"/>
      <c r="GS34"/>
    </row>
    <row r="35" spans="1:201" s="264" customFormat="1" ht="10.5" customHeight="1">
      <c r="A35" s="323" t="s">
        <v>123</v>
      </c>
      <c r="B35" s="253"/>
      <c r="C35" s="253"/>
      <c r="D35" s="312">
        <f>D34/D$8</f>
        <v>0.42372881355932202</v>
      </c>
      <c r="E35" s="312">
        <f>E34/E$8</f>
        <v>0.39630363728190121</v>
      </c>
      <c r="F35" s="312">
        <f>F34/F$8</f>
        <v>0.44066205132369657</v>
      </c>
      <c r="G35" s="312">
        <f>G34/G$8</f>
        <v>0.44160633484162898</v>
      </c>
      <c r="H35" s="313">
        <f t="shared" ref="H35:AM35" si="194">H34/H8</f>
        <v>0.42563106747868701</v>
      </c>
      <c r="I35" s="312">
        <f t="shared" si="194"/>
        <v>0.47643529326716588</v>
      </c>
      <c r="J35" s="312">
        <f t="shared" si="194"/>
        <v>0.41294352159468434</v>
      </c>
      <c r="K35" s="312">
        <f t="shared" si="194"/>
        <v>0.42989102564102566</v>
      </c>
      <c r="L35" s="312">
        <f t="shared" si="194"/>
        <v>0.44235207100591711</v>
      </c>
      <c r="M35" s="313">
        <f t="shared" si="194"/>
        <v>0.43836882177040043</v>
      </c>
      <c r="N35" s="312">
        <f t="shared" si="194"/>
        <v>0.43854899837574446</v>
      </c>
      <c r="O35" s="312">
        <f t="shared" si="194"/>
        <v>0.42996742671009774</v>
      </c>
      <c r="P35" s="312">
        <f t="shared" si="194"/>
        <v>0.42126789366053169</v>
      </c>
      <c r="Q35" s="312">
        <f t="shared" si="194"/>
        <v>0.41856060606060608</v>
      </c>
      <c r="R35" s="313">
        <f t="shared" si="194"/>
        <v>0.42611944339162922</v>
      </c>
      <c r="S35" s="312">
        <f t="shared" si="194"/>
        <v>0.43664383561643838</v>
      </c>
      <c r="T35" s="312">
        <f t="shared" si="194"/>
        <v>0.43877551020408162</v>
      </c>
      <c r="U35" s="312">
        <f t="shared" si="194"/>
        <v>0.43148688046647232</v>
      </c>
      <c r="V35" s="312">
        <f t="shared" si="194"/>
        <v>0.42362971985383679</v>
      </c>
      <c r="W35" s="313">
        <f t="shared" si="194"/>
        <v>0.43204897371263951</v>
      </c>
      <c r="X35" s="312">
        <f t="shared" si="194"/>
        <v>0.44538834951456313</v>
      </c>
      <c r="Y35" s="312">
        <f t="shared" si="194"/>
        <v>0.45291005291005293</v>
      </c>
      <c r="Z35" s="312">
        <f t="shared" si="194"/>
        <v>0.44272445820433437</v>
      </c>
      <c r="AA35" s="312">
        <f t="shared" si="194"/>
        <v>0.43034351145038169</v>
      </c>
      <c r="AB35" s="313">
        <f t="shared" si="194"/>
        <v>0.44241944004226097</v>
      </c>
      <c r="AC35" s="312">
        <f t="shared" si="194"/>
        <v>0.42670682730923692</v>
      </c>
      <c r="AD35" s="312">
        <f t="shared" si="194"/>
        <v>0.41099476439790578</v>
      </c>
      <c r="AE35" s="312">
        <f t="shared" si="194"/>
        <v>0.39413164155432195</v>
      </c>
      <c r="AF35" s="312">
        <f t="shared" si="194"/>
        <v>0.39511823035850496</v>
      </c>
      <c r="AG35" s="313">
        <f t="shared" si="194"/>
        <v>0.40538820534577852</v>
      </c>
      <c r="AH35" s="312">
        <f t="shared" si="194"/>
        <v>0.43228346456692912</v>
      </c>
      <c r="AI35" s="312">
        <f t="shared" si="194"/>
        <v>0.43865435356200527</v>
      </c>
      <c r="AJ35" s="312">
        <f t="shared" si="194"/>
        <v>0.44437615242778117</v>
      </c>
      <c r="AK35" s="312">
        <f t="shared" si="194"/>
        <v>0.45367027677496991</v>
      </c>
      <c r="AL35" s="313">
        <f t="shared" si="194"/>
        <v>0.44296296296296295</v>
      </c>
      <c r="AM35" s="312">
        <f t="shared" si="194"/>
        <v>0.41007194244604317</v>
      </c>
      <c r="AN35" s="312">
        <f t="shared" ref="AN35:BS35" si="195">AN34/AN8</f>
        <v>0.40883253170091821</v>
      </c>
      <c r="AO35" s="312">
        <f t="shared" si="195"/>
        <v>0.43098225876244051</v>
      </c>
      <c r="AP35" s="312">
        <f t="shared" si="195"/>
        <v>0.43979721166032953</v>
      </c>
      <c r="AQ35" s="313">
        <f t="shared" si="195"/>
        <v>0.42287292817679556</v>
      </c>
      <c r="AR35" s="312">
        <f t="shared" si="195"/>
        <v>0.42453222453222456</v>
      </c>
      <c r="AS35" s="312">
        <f t="shared" si="195"/>
        <v>0.41631054131054129</v>
      </c>
      <c r="AT35" s="312">
        <f t="shared" si="195"/>
        <v>0.36077265973254086</v>
      </c>
      <c r="AU35" s="312">
        <f t="shared" si="195"/>
        <v>0.36688505062537224</v>
      </c>
      <c r="AV35" s="313">
        <f t="shared" si="195"/>
        <v>0.38840482573726542</v>
      </c>
      <c r="AW35" s="312">
        <f t="shared" si="195"/>
        <v>0.41181763647270547</v>
      </c>
      <c r="AX35" s="312">
        <f t="shared" si="195"/>
        <v>0.40031645569620256</v>
      </c>
      <c r="AY35" s="312">
        <f t="shared" si="195"/>
        <v>0.35567269076305219</v>
      </c>
      <c r="AZ35" s="312">
        <f t="shared" si="195"/>
        <v>0.37475915221579964</v>
      </c>
      <c r="BA35" s="313">
        <f t="shared" si="195"/>
        <v>0.38422225134320537</v>
      </c>
      <c r="BB35" s="312">
        <f t="shared" si="195"/>
        <v>0.34295253994753161</v>
      </c>
      <c r="BC35" s="312">
        <f t="shared" si="195"/>
        <v>0.31915303176130894</v>
      </c>
      <c r="BD35" s="312">
        <f t="shared" si="195"/>
        <v>0.36060935799782373</v>
      </c>
      <c r="BE35" s="312">
        <f t="shared" si="195"/>
        <v>0.3707494795281055</v>
      </c>
      <c r="BF35" s="313">
        <f t="shared" si="195"/>
        <v>0.34891375905200789</v>
      </c>
      <c r="BG35" s="312">
        <f t="shared" si="195"/>
        <v>0.34008172362555722</v>
      </c>
      <c r="BH35" s="312">
        <f t="shared" si="195"/>
        <v>0.34047774869109948</v>
      </c>
      <c r="BI35" s="312">
        <f t="shared" si="195"/>
        <v>0.37323196605374825</v>
      </c>
      <c r="BJ35" s="312">
        <f t="shared" si="195"/>
        <v>0.41540317022742934</v>
      </c>
      <c r="BK35" s="313">
        <f t="shared" si="195"/>
        <v>0.36739850148109426</v>
      </c>
      <c r="BL35" s="312">
        <f t="shared" si="195"/>
        <v>0.36472424557752342</v>
      </c>
      <c r="BM35" s="312">
        <f t="shared" si="195"/>
        <v>0.3699236641221374</v>
      </c>
      <c r="BN35" s="312">
        <f t="shared" si="195"/>
        <v>0.38138372637826018</v>
      </c>
      <c r="BO35" s="312">
        <f t="shared" si="195"/>
        <v>0.43621712026759923</v>
      </c>
      <c r="BP35" s="313">
        <f t="shared" si="195"/>
        <v>0.38887571157495254</v>
      </c>
      <c r="BQ35" s="312">
        <f t="shared" si="195"/>
        <v>0.38279464577211886</v>
      </c>
      <c r="BR35" s="312">
        <f t="shared" si="195"/>
        <v>0.34827541661284073</v>
      </c>
      <c r="BS35" s="312">
        <f t="shared" si="195"/>
        <v>0.35224292615596964</v>
      </c>
      <c r="BT35" s="312">
        <f t="shared" ref="BT35:CY35" si="196">BT34/BT8</f>
        <v>0.41513856335309529</v>
      </c>
      <c r="BU35" s="313">
        <f t="shared" si="196"/>
        <v>0.37384100123391506</v>
      </c>
      <c r="BV35" s="312">
        <f t="shared" si="196"/>
        <v>0.43557965401497545</v>
      </c>
      <c r="BW35" s="312">
        <f t="shared" si="196"/>
        <v>0.46376302540686104</v>
      </c>
      <c r="BX35" s="312">
        <f t="shared" si="196"/>
        <v>0.48717294192724953</v>
      </c>
      <c r="BY35" s="312">
        <f t="shared" si="196"/>
        <v>0.54866707997520148</v>
      </c>
      <c r="BZ35" s="313">
        <f t="shared" si="196"/>
        <v>0.48395314878677725</v>
      </c>
      <c r="CA35" s="312">
        <f t="shared" si="196"/>
        <v>0.4366402921485088</v>
      </c>
      <c r="CB35" s="312">
        <f t="shared" si="196"/>
        <v>0.42785383630454055</v>
      </c>
      <c r="CC35" s="312">
        <f t="shared" si="196"/>
        <v>0.43171662125340599</v>
      </c>
      <c r="CD35" s="312">
        <f t="shared" si="196"/>
        <v>0.50344382264313392</v>
      </c>
      <c r="CE35" s="313">
        <f t="shared" si="196"/>
        <v>0.44984389846613276</v>
      </c>
      <c r="CF35" s="312">
        <f t="shared" si="196"/>
        <v>0.40853194036347806</v>
      </c>
      <c r="CG35" s="312">
        <f t="shared" si="196"/>
        <v>0.38334257718617121</v>
      </c>
      <c r="CH35" s="312">
        <f t="shared" si="196"/>
        <v>0.43243243243243246</v>
      </c>
      <c r="CI35" s="312">
        <f t="shared" si="196"/>
        <v>0.49266804448381063</v>
      </c>
      <c r="CJ35" s="313">
        <f t="shared" si="196"/>
        <v>0.42894842666130489</v>
      </c>
      <c r="CK35" s="312">
        <f t="shared" si="196"/>
        <v>0.41895082640386</v>
      </c>
      <c r="CL35" s="312">
        <f t="shared" si="196"/>
        <v>0.41738469336036493</v>
      </c>
      <c r="CM35" s="312">
        <f t="shared" si="196"/>
        <v>0.42078708375378404</v>
      </c>
      <c r="CN35" s="312">
        <f t="shared" si="196"/>
        <v>0.46095205827545316</v>
      </c>
      <c r="CO35" s="313">
        <f t="shared" si="196"/>
        <v>0.43018109560583478</v>
      </c>
      <c r="CP35" s="312">
        <f t="shared" si="196"/>
        <v>0.42928498751271854</v>
      </c>
      <c r="CQ35" s="312">
        <f t="shared" si="196"/>
        <v>0.43453994578217192</v>
      </c>
      <c r="CR35" s="312">
        <f t="shared" si="196"/>
        <v>0.38303931101541883</v>
      </c>
      <c r="CS35" s="312">
        <f t="shared" si="196"/>
        <v>0.45957669583426819</v>
      </c>
      <c r="CT35" s="313">
        <f t="shared" si="196"/>
        <v>0.42547239935839753</v>
      </c>
      <c r="CU35" s="312">
        <f t="shared" si="196"/>
        <v>0.38061328295305913</v>
      </c>
      <c r="CV35" s="312">
        <f t="shared" si="196"/>
        <v>0.38754811510967191</v>
      </c>
      <c r="CW35" s="312">
        <f t="shared" si="196"/>
        <v>0.42299709422997095</v>
      </c>
      <c r="CX35" s="312">
        <f t="shared" si="196"/>
        <v>0.46012502367872704</v>
      </c>
      <c r="CY35" s="313">
        <f t="shared" si="196"/>
        <v>0.41347236014564714</v>
      </c>
      <c r="CZ35" s="312">
        <f t="shared" ref="CZ35:EE35" si="197">CZ34/CZ8</f>
        <v>0.41258880552420157</v>
      </c>
      <c r="DA35" s="312">
        <f t="shared" si="197"/>
        <v>0.40790185819953095</v>
      </c>
      <c r="DB35" s="312">
        <f t="shared" si="197"/>
        <v>0.44739155920281359</v>
      </c>
      <c r="DC35" s="312">
        <f t="shared" si="197"/>
        <v>0.4884342316207344</v>
      </c>
      <c r="DD35" s="313">
        <f t="shared" si="197"/>
        <v>0.43638448243407429</v>
      </c>
      <c r="DE35" s="312">
        <f t="shared" si="197"/>
        <v>0.43312693498452015</v>
      </c>
      <c r="DF35" s="312">
        <f t="shared" si="197"/>
        <v>0.36173903900746501</v>
      </c>
      <c r="DG35" s="312">
        <f t="shared" si="197"/>
        <v>0.45335447838378268</v>
      </c>
      <c r="DH35" s="312">
        <f t="shared" si="197"/>
        <v>0.43263295716690564</v>
      </c>
      <c r="DI35" s="313">
        <f t="shared" si="197"/>
        <v>0.41596248639651751</v>
      </c>
      <c r="DJ35" s="312">
        <f t="shared" si="197"/>
        <v>0.36677987033034887</v>
      </c>
      <c r="DK35" s="312">
        <f t="shared" si="197"/>
        <v>0.34856913747306167</v>
      </c>
      <c r="DL35" s="312">
        <f t="shared" si="197"/>
        <v>0.41526661796932068</v>
      </c>
      <c r="DM35" s="312">
        <f t="shared" si="197"/>
        <v>0.43120128254740453</v>
      </c>
      <c r="DN35" s="313">
        <f t="shared" si="197"/>
        <v>0.38896825687317849</v>
      </c>
      <c r="DO35" s="312">
        <f t="shared" si="197"/>
        <v>0.36794842274925166</v>
      </c>
      <c r="DP35" s="312">
        <f t="shared" si="197"/>
        <v>0.34728273880775679</v>
      </c>
      <c r="DQ35" s="312">
        <f t="shared" si="197"/>
        <v>0.40679037168955018</v>
      </c>
      <c r="DR35" s="312">
        <f t="shared" si="197"/>
        <v>0.4159145024641453</v>
      </c>
      <c r="DS35" s="313">
        <f t="shared" si="197"/>
        <v>0.38301479863814547</v>
      </c>
      <c r="DT35" s="312">
        <f t="shared" si="197"/>
        <v>0.40804597701149425</v>
      </c>
      <c r="DU35" s="312">
        <f t="shared" si="197"/>
        <v>0.37252982848620431</v>
      </c>
      <c r="DV35" s="312">
        <f t="shared" si="197"/>
        <v>0.35907072087461567</v>
      </c>
      <c r="DW35" s="312">
        <f t="shared" si="197"/>
        <v>0.41319863289103337</v>
      </c>
      <c r="DX35" s="313">
        <f t="shared" si="197"/>
        <v>0.39610014258371978</v>
      </c>
      <c r="DY35" s="312">
        <f t="shared" si="197"/>
        <v>0.38215769874251176</v>
      </c>
      <c r="DZ35" s="312">
        <f t="shared" si="197"/>
        <v>0.33712631020840983</v>
      </c>
      <c r="EA35" s="312">
        <f t="shared" si="197"/>
        <v>0.36700485222761359</v>
      </c>
      <c r="EB35" s="312">
        <f t="shared" si="197"/>
        <v>0.39252416388675049</v>
      </c>
      <c r="EC35" s="313">
        <f t="shared" si="197"/>
        <v>0.36867320028099915</v>
      </c>
      <c r="ED35" s="312">
        <f t="shared" si="197"/>
        <v>0.34239903452437392</v>
      </c>
      <c r="EE35" s="312">
        <f t="shared" si="197"/>
        <v>0.31804620563035496</v>
      </c>
      <c r="EF35" s="312">
        <f t="shared" ref="EF35:FB35" si="198">EF34/EF8</f>
        <v>0.35823093561599706</v>
      </c>
      <c r="EG35" s="312">
        <f t="shared" si="198"/>
        <v>0.37542831379621283</v>
      </c>
      <c r="EH35" s="313">
        <f t="shared" si="198"/>
        <v>0.34711647757736935</v>
      </c>
      <c r="EI35" s="312">
        <f t="shared" si="198"/>
        <v>0.35327594452415112</v>
      </c>
      <c r="EJ35" s="312">
        <f t="shared" si="198"/>
        <v>0.3125173246742961</v>
      </c>
      <c r="EK35" s="312">
        <f t="shared" si="198"/>
        <v>0.34939815029976296</v>
      </c>
      <c r="EL35" s="312">
        <f t="shared" si="198"/>
        <v>0.35737411604328195</v>
      </c>
      <c r="EM35" s="313">
        <f t="shared" si="198"/>
        <v>0.34212431708976021</v>
      </c>
      <c r="EN35" s="312">
        <f t="shared" si="198"/>
        <v>0.33605435972272896</v>
      </c>
      <c r="EO35" s="312">
        <f t="shared" si="198"/>
        <v>0.31053976612715867</v>
      </c>
      <c r="EP35" s="312">
        <f t="shared" si="198"/>
        <v>0.36313113906600036</v>
      </c>
      <c r="EQ35" s="312">
        <f t="shared" si="198"/>
        <v>0.35778168326498733</v>
      </c>
      <c r="ER35" s="313">
        <f t="shared" si="198"/>
        <v>0.34150003624276437</v>
      </c>
      <c r="ES35" s="312">
        <f t="shared" ref="ES35:EU35" si="199">ES34/ES8</f>
        <v>0.34852066183063002</v>
      </c>
      <c r="ET35" s="312">
        <f t="shared" si="199"/>
        <v>0.31727643682135692</v>
      </c>
      <c r="EU35" s="312">
        <f t="shared" si="199"/>
        <v>0.34520302770423955</v>
      </c>
      <c r="EV35" s="312">
        <f t="shared" si="198"/>
        <v>0.33749999999999997</v>
      </c>
      <c r="EW35" s="313">
        <f t="shared" si="198"/>
        <v>0.33651514604937127</v>
      </c>
      <c r="EX35" s="312">
        <f t="shared" si="198"/>
        <v>0.33702066183063001</v>
      </c>
      <c r="EY35" s="312">
        <f t="shared" si="198"/>
        <v>0.3099266200982087</v>
      </c>
      <c r="EZ35" s="312">
        <f t="shared" si="198"/>
        <v>0.33870302770423949</v>
      </c>
      <c r="FA35" s="312">
        <f t="shared" si="198"/>
        <v>0.33099999999999996</v>
      </c>
      <c r="FB35" s="313">
        <f t="shared" si="198"/>
        <v>0.32870825534070569</v>
      </c>
      <c r="FC35" s="312">
        <f t="shared" ref="FC35:FG35" si="200">FC34/FC8</f>
        <v>0.33152066183063</v>
      </c>
      <c r="FD35" s="312">
        <f t="shared" si="200"/>
        <v>0.3044266200982087</v>
      </c>
      <c r="FE35" s="312">
        <f t="shared" si="200"/>
        <v>0.33120302770423954</v>
      </c>
      <c r="FF35" s="312">
        <f t="shared" si="200"/>
        <v>0.32350000000000001</v>
      </c>
      <c r="FG35" s="313">
        <f t="shared" si="200"/>
        <v>0.32227916231310855</v>
      </c>
      <c r="FH35" s="312">
        <f t="shared" ref="FH35:FL35" si="201">FH34/FH8</f>
        <v>0.32602066183063</v>
      </c>
      <c r="FI35" s="312">
        <f t="shared" si="201"/>
        <v>0.29892662009820875</v>
      </c>
      <c r="FJ35" s="312">
        <f t="shared" si="201"/>
        <v>0.32570302770423953</v>
      </c>
      <c r="FK35" s="312">
        <f t="shared" si="201"/>
        <v>0.31799999999999995</v>
      </c>
      <c r="FL35" s="313">
        <f t="shared" si="201"/>
        <v>0.31686224152161596</v>
      </c>
      <c r="FM35" s="242"/>
      <c r="FN35" s="324"/>
      <c r="FO35" s="324"/>
      <c r="FP35" s="324"/>
      <c r="FQ35" s="324"/>
      <c r="FR35" s="324"/>
      <c r="FS35" s="324"/>
      <c r="FT35" s="324"/>
      <c r="FU35" s="313">
        <f t="shared" ref="FU35:GG35" si="202">FU34/FU8</f>
        <v>0.43682153712548849</v>
      </c>
      <c r="FV35" s="313">
        <f t="shared" si="202"/>
        <v>0.40141282945870321</v>
      </c>
      <c r="FW35" s="313">
        <f t="shared" si="202"/>
        <v>0.42590471273454766</v>
      </c>
      <c r="FX35" s="859">
        <f t="shared" si="202"/>
        <v>0.42565046260798445</v>
      </c>
      <c r="FY35" s="860">
        <f t="shared" si="202"/>
        <v>0.39599640125955915</v>
      </c>
      <c r="FZ35" s="860">
        <f t="shared" si="202"/>
        <v>0.38799207888251619</v>
      </c>
      <c r="GA35" s="860">
        <f t="shared" si="202"/>
        <v>0.39924585218702868</v>
      </c>
      <c r="GB35" s="860">
        <f t="shared" si="202"/>
        <v>0.37065669459326644</v>
      </c>
      <c r="GC35" s="860">
        <f t="shared" si="202"/>
        <v>0.35353806507033181</v>
      </c>
      <c r="GD35" s="860">
        <f t="shared" si="202"/>
        <v>0.34849897859490186</v>
      </c>
      <c r="GE35" s="860">
        <f t="shared" si="202"/>
        <v>0.33744137150250686</v>
      </c>
      <c r="GF35" s="860">
        <f t="shared" si="202"/>
        <v>0.3453208569221593</v>
      </c>
      <c r="GG35" s="860">
        <f t="shared" si="202"/>
        <v>0.33150974774709363</v>
      </c>
      <c r="GH35" s="860">
        <f t="shared" ref="GH35" si="203">GH34/GH8</f>
        <v>0.32559130332348118</v>
      </c>
      <c r="GI35" s="860">
        <f t="shared" ref="GI35" si="204">GI34/GI8</f>
        <v>0.31927886813456657</v>
      </c>
      <c r="GJ35" s="355"/>
      <c r="GK35" s="355"/>
      <c r="GL35" s="355"/>
      <c r="GN35"/>
      <c r="GO35"/>
      <c r="GP35"/>
      <c r="GQ35"/>
      <c r="GR35"/>
      <c r="GS35"/>
    </row>
    <row r="36" spans="1:201" s="264" customFormat="1" ht="10.5" customHeight="1">
      <c r="A36" s="309" t="s">
        <v>111</v>
      </c>
      <c r="B36" s="253"/>
      <c r="C36" s="253"/>
      <c r="D36" s="312"/>
      <c r="E36" s="312"/>
      <c r="F36" s="312"/>
      <c r="G36" s="312"/>
      <c r="H36" s="313"/>
      <c r="I36" s="312"/>
      <c r="J36" s="312"/>
      <c r="K36" s="312"/>
      <c r="L36" s="312"/>
      <c r="M36" s="313"/>
      <c r="N36" s="312"/>
      <c r="O36" s="312"/>
      <c r="P36" s="312"/>
      <c r="Q36" s="312"/>
      <c r="R36" s="313"/>
      <c r="S36" s="312"/>
      <c r="T36" s="312"/>
      <c r="U36" s="312"/>
      <c r="V36" s="312"/>
      <c r="W36" s="313"/>
      <c r="X36" s="312"/>
      <c r="Y36" s="312"/>
      <c r="Z36" s="312"/>
      <c r="AA36" s="312"/>
      <c r="AB36" s="313"/>
      <c r="AC36" s="312"/>
      <c r="AD36" s="312"/>
      <c r="AE36" s="312"/>
      <c r="AF36" s="312"/>
      <c r="AG36" s="313"/>
      <c r="AH36" s="312"/>
      <c r="AI36" s="312"/>
      <c r="AJ36" s="312"/>
      <c r="AK36" s="312"/>
      <c r="AL36" s="313"/>
      <c r="AM36" s="312"/>
      <c r="AN36" s="312"/>
      <c r="AO36" s="312"/>
      <c r="AP36" s="312"/>
      <c r="AQ36" s="313"/>
      <c r="AR36" s="312"/>
      <c r="AS36" s="312"/>
      <c r="AT36" s="312"/>
      <c r="AU36" s="312"/>
      <c r="AV36" s="313"/>
      <c r="AW36" s="312"/>
      <c r="AX36" s="312"/>
      <c r="AY36" s="312"/>
      <c r="AZ36" s="312"/>
      <c r="BA36" s="313"/>
      <c r="BB36" s="312"/>
      <c r="BC36" s="312"/>
      <c r="BD36" s="312"/>
      <c r="BE36" s="312"/>
      <c r="BF36" s="313"/>
      <c r="BG36" s="312"/>
      <c r="BH36" s="312"/>
      <c r="BI36" s="312"/>
      <c r="BJ36" s="312"/>
      <c r="BK36" s="313"/>
      <c r="BL36" s="312"/>
      <c r="BM36" s="312"/>
      <c r="BN36" s="312"/>
      <c r="BO36" s="312"/>
      <c r="BP36" s="313"/>
      <c r="BQ36" s="312"/>
      <c r="BR36" s="312"/>
      <c r="BS36" s="312"/>
      <c r="BT36" s="312"/>
      <c r="BU36" s="313"/>
      <c r="BV36" s="312"/>
      <c r="BW36" s="312"/>
      <c r="BX36" s="312"/>
      <c r="BY36" s="312"/>
      <c r="BZ36" s="313"/>
      <c r="CA36" s="312"/>
      <c r="CB36" s="312"/>
      <c r="CC36" s="312"/>
      <c r="CD36" s="312"/>
      <c r="CE36" s="313"/>
      <c r="CF36" s="312"/>
      <c r="CG36" s="312"/>
      <c r="CH36" s="312"/>
      <c r="CI36" s="312"/>
      <c r="CJ36" s="313"/>
      <c r="CK36" s="312"/>
      <c r="CL36" s="312"/>
      <c r="CM36" s="312"/>
      <c r="CN36" s="312"/>
      <c r="CO36" s="313"/>
      <c r="CP36" s="312"/>
      <c r="CQ36" s="312"/>
      <c r="CR36" s="312"/>
      <c r="CS36" s="312"/>
      <c r="CT36" s="313"/>
      <c r="CU36" s="312"/>
      <c r="CV36" s="312"/>
      <c r="CW36" s="312"/>
      <c r="CX36" s="312"/>
      <c r="CY36" s="313"/>
      <c r="CZ36" s="312"/>
      <c r="DA36" s="312"/>
      <c r="DB36" s="312"/>
      <c r="DC36" s="312"/>
      <c r="DD36" s="313"/>
      <c r="DE36" s="312"/>
      <c r="DF36" s="312"/>
      <c r="DG36" s="312"/>
      <c r="DH36" s="312"/>
      <c r="DI36" s="313"/>
      <c r="DJ36" s="312"/>
      <c r="DK36" s="312"/>
      <c r="DL36" s="312"/>
      <c r="DM36" s="312"/>
      <c r="DN36" s="313"/>
      <c r="DO36" s="312"/>
      <c r="DP36" s="312"/>
      <c r="DQ36" s="312"/>
      <c r="DR36" s="312"/>
      <c r="DS36" s="313"/>
      <c r="DT36" s="312"/>
      <c r="DU36" s="312"/>
      <c r="DV36" s="312"/>
      <c r="DW36" s="312"/>
      <c r="DX36" s="313"/>
      <c r="DY36" s="312"/>
      <c r="DZ36" s="312"/>
      <c r="EA36" s="312"/>
      <c r="EB36" s="312"/>
      <c r="EC36" s="313"/>
      <c r="ED36" s="312">
        <f t="shared" ref="ED36:EW36" si="205">ED34/DY34-1</f>
        <v>0.12187544132184724</v>
      </c>
      <c r="EE36" s="312">
        <f t="shared" si="205"/>
        <v>5.927897411081462E-3</v>
      </c>
      <c r="EF36" s="312">
        <f t="shared" si="205"/>
        <v>3.9529914529914612E-2</v>
      </c>
      <c r="EG36" s="312">
        <f t="shared" si="205"/>
        <v>-9.2721725866201754E-2</v>
      </c>
      <c r="EH36" s="313">
        <f t="shared" si="205"/>
        <v>1.1151719613906819E-2</v>
      </c>
      <c r="EI36" s="312">
        <f t="shared" si="205"/>
        <v>-7.0115810674723056E-2</v>
      </c>
      <c r="EJ36" s="312">
        <f t="shared" si="205"/>
        <v>-5.0871918220084189E-2</v>
      </c>
      <c r="EK36" s="312">
        <f t="shared" si="205"/>
        <v>-3.4172661870503607E-2</v>
      </c>
      <c r="EL36" s="312">
        <f t="shared" si="205"/>
        <v>7.4456587006124231E-3</v>
      </c>
      <c r="EM36" s="313">
        <f t="shared" si="205"/>
        <v>-3.6577077540932978E-2</v>
      </c>
      <c r="EN36" s="312">
        <f t="shared" si="205"/>
        <v>-2.4367131447137202E-3</v>
      </c>
      <c r="EO36" s="312">
        <f t="shared" si="205"/>
        <v>1.6218955904713672E-2</v>
      </c>
      <c r="EP36" s="312">
        <f t="shared" si="205"/>
        <v>0.12117584463953168</v>
      </c>
      <c r="EQ36" s="312">
        <f t="shared" si="205"/>
        <v>9.2025271188461044E-2</v>
      </c>
      <c r="ER36" s="313">
        <f t="shared" si="205"/>
        <v>5.7493747194253819E-2</v>
      </c>
      <c r="ES36" s="312">
        <f t="shared" si="205"/>
        <v>0.16053738634821557</v>
      </c>
      <c r="ET36" s="312">
        <f t="shared" si="205"/>
        <v>0.14401496259351632</v>
      </c>
      <c r="EU36" s="312">
        <f t="shared" si="205"/>
        <v>9.8350931308577527E-2</v>
      </c>
      <c r="EV36" s="312">
        <f t="shared" si="205"/>
        <v>7.5591843236784362E-2</v>
      </c>
      <c r="EW36" s="313">
        <f t="shared" si="205"/>
        <v>0.11702892373607998</v>
      </c>
      <c r="EX36" s="312">
        <f t="shared" ref="EX36:FG36" si="206">EX34/ES34-1</f>
        <v>9.2998869155433317E-2</v>
      </c>
      <c r="EY36" s="312">
        <f t="shared" si="206"/>
        <v>8.769606736935831E-2</v>
      </c>
      <c r="EZ36" s="312">
        <f t="shared" si="206"/>
        <v>9.5974905060394189E-2</v>
      </c>
      <c r="FA36" s="312">
        <f t="shared" si="206"/>
        <v>9.6518446516904444E-2</v>
      </c>
      <c r="FB36" s="313">
        <f t="shared" si="206"/>
        <v>9.336748024731234E-2</v>
      </c>
      <c r="FC36" s="312">
        <f t="shared" si="206"/>
        <v>0.10358536491150638</v>
      </c>
      <c r="FD36" s="312">
        <f t="shared" si="206"/>
        <v>8.6512473020422531E-2</v>
      </c>
      <c r="FE36" s="312">
        <f t="shared" si="206"/>
        <v>0.10876239535518883</v>
      </c>
      <c r="FF36" s="312">
        <f t="shared" si="206"/>
        <v>0.10824266446398334</v>
      </c>
      <c r="FG36" s="313">
        <f t="shared" si="206"/>
        <v>0.10190872023948661</v>
      </c>
      <c r="FH36" s="312">
        <f t="shared" ref="FH36" si="207">FH34/FC34-1</f>
        <v>0.10083210741591309</v>
      </c>
      <c r="FI36" s="312">
        <f t="shared" ref="FI36" si="208">FI34/FD34-1</f>
        <v>7.8377678089088132E-2</v>
      </c>
      <c r="FJ36" s="312">
        <f t="shared" ref="FJ36" si="209">FJ34/FE34-1</f>
        <v>9.8951963167176027E-2</v>
      </c>
      <c r="FK36" s="312">
        <f t="shared" ref="FK36" si="210">FK34/FF34-1</f>
        <v>9.6706930964369331E-2</v>
      </c>
      <c r="FL36" s="313">
        <f t="shared" ref="FL36" si="211">FL34/FG34-1</f>
        <v>9.3756835386924919E-2</v>
      </c>
      <c r="FM36" s="242"/>
      <c r="FN36" s="324"/>
      <c r="FO36" s="324"/>
      <c r="FP36" s="324"/>
      <c r="FQ36" s="324"/>
      <c r="FR36" s="324"/>
      <c r="FS36" s="324"/>
      <c r="FT36" s="324"/>
      <c r="FU36" s="313"/>
      <c r="FV36" s="313"/>
      <c r="FW36" s="313"/>
      <c r="FX36" s="859"/>
      <c r="FY36" s="860"/>
      <c r="FZ36" s="860"/>
      <c r="GA36" s="860"/>
      <c r="GB36" s="860"/>
      <c r="GC36" s="860"/>
      <c r="GD36" s="860"/>
      <c r="GE36" s="860">
        <f>GE34/GD34-1</f>
        <v>-2.9945842625039854E-3</v>
      </c>
      <c r="GF36" s="860">
        <f>GF34/GE34-1</f>
        <v>0.12848287321063401</v>
      </c>
      <c r="GG36" s="860">
        <f>GG34/GF34-1</f>
        <v>8.8383345783144218E-2</v>
      </c>
      <c r="GH36" s="860">
        <f>GH34/GG34-1</f>
        <v>9.5508232595209686E-2</v>
      </c>
      <c r="GI36" s="860">
        <f>GI34/GH34-1</f>
        <v>9.8862483037384763E-2</v>
      </c>
      <c r="GJ36" s="355"/>
      <c r="GK36" s="355"/>
      <c r="GL36" s="355"/>
      <c r="GN36"/>
      <c r="GO36"/>
      <c r="GP36"/>
      <c r="GQ36"/>
      <c r="GR36"/>
      <c r="GS36"/>
    </row>
    <row r="37" spans="1:201" s="307" customFormat="1" ht="11.25" customHeight="1">
      <c r="A37" s="302" t="s">
        <v>529</v>
      </c>
      <c r="B37" s="303"/>
      <c r="C37" s="303"/>
      <c r="D37" s="304">
        <f t="shared" ref="D37:AI37" si="212">+D18-D34</f>
        <v>53</v>
      </c>
      <c r="E37" s="304">
        <f t="shared" si="212"/>
        <v>68.705000000000013</v>
      </c>
      <c r="F37" s="304">
        <f t="shared" si="212"/>
        <v>57.203000000000003</v>
      </c>
      <c r="G37" s="304">
        <f t="shared" si="212"/>
        <v>63.405000000000001</v>
      </c>
      <c r="H37" s="305">
        <f t="shared" si="212"/>
        <v>242.31299999999993</v>
      </c>
      <c r="I37" s="304">
        <f t="shared" si="212"/>
        <v>69.122</v>
      </c>
      <c r="J37" s="304">
        <f t="shared" si="212"/>
        <v>106.70400000000001</v>
      </c>
      <c r="K37" s="304">
        <f t="shared" si="212"/>
        <v>105.874</v>
      </c>
      <c r="L37" s="304">
        <f t="shared" si="212"/>
        <v>111.48500000000001</v>
      </c>
      <c r="M37" s="305">
        <f t="shared" si="212"/>
        <v>393.18500000000006</v>
      </c>
      <c r="N37" s="304">
        <f t="shared" si="212"/>
        <v>122.39999999999998</v>
      </c>
      <c r="O37" s="304">
        <f t="shared" si="212"/>
        <v>159.5</v>
      </c>
      <c r="P37" s="304">
        <f t="shared" si="212"/>
        <v>174</v>
      </c>
      <c r="Q37" s="304">
        <f t="shared" si="212"/>
        <v>194</v>
      </c>
      <c r="R37" s="305">
        <f t="shared" si="212"/>
        <v>649.90000000000009</v>
      </c>
      <c r="S37" s="304">
        <f t="shared" si="212"/>
        <v>203</v>
      </c>
      <c r="T37" s="304">
        <f t="shared" si="212"/>
        <v>246</v>
      </c>
      <c r="U37" s="304">
        <f t="shared" si="212"/>
        <v>251</v>
      </c>
      <c r="V37" s="304">
        <f t="shared" si="212"/>
        <v>296.2</v>
      </c>
      <c r="W37" s="305">
        <f t="shared" si="212"/>
        <v>996.2</v>
      </c>
      <c r="X37" s="304">
        <f t="shared" si="212"/>
        <v>289</v>
      </c>
      <c r="Y37" s="304">
        <f t="shared" si="212"/>
        <v>326</v>
      </c>
      <c r="Z37" s="304">
        <f t="shared" si="212"/>
        <v>338</v>
      </c>
      <c r="AA37" s="304">
        <f t="shared" si="212"/>
        <v>373</v>
      </c>
      <c r="AB37" s="305">
        <f t="shared" si="212"/>
        <v>1326</v>
      </c>
      <c r="AC37" s="304">
        <f t="shared" si="212"/>
        <v>343</v>
      </c>
      <c r="AD37" s="304">
        <f t="shared" si="212"/>
        <v>415</v>
      </c>
      <c r="AE37" s="304">
        <f t="shared" si="212"/>
        <v>480</v>
      </c>
      <c r="AF37" s="304">
        <f t="shared" si="212"/>
        <v>488</v>
      </c>
      <c r="AG37" s="305">
        <f t="shared" si="212"/>
        <v>1726</v>
      </c>
      <c r="AH37" s="304">
        <f t="shared" si="212"/>
        <v>437</v>
      </c>
      <c r="AI37" s="304">
        <f t="shared" si="212"/>
        <v>520</v>
      </c>
      <c r="AJ37" s="304">
        <f t="shared" ref="AJ37:BO37" si="213">+AJ18-AJ34</f>
        <v>549</v>
      </c>
      <c r="AK37" s="304">
        <f t="shared" si="213"/>
        <v>532</v>
      </c>
      <c r="AL37" s="305">
        <f t="shared" si="213"/>
        <v>2038</v>
      </c>
      <c r="AM37" s="304">
        <f t="shared" si="213"/>
        <v>708</v>
      </c>
      <c r="AN37" s="304">
        <f t="shared" si="213"/>
        <v>786</v>
      </c>
      <c r="AO37" s="304">
        <f t="shared" si="213"/>
        <v>774</v>
      </c>
      <c r="AP37" s="304">
        <f t="shared" si="213"/>
        <v>810</v>
      </c>
      <c r="AQ37" s="305">
        <f t="shared" si="213"/>
        <v>3078</v>
      </c>
      <c r="AR37" s="304">
        <f t="shared" si="213"/>
        <v>902</v>
      </c>
      <c r="AS37" s="304">
        <f t="shared" si="213"/>
        <v>1081</v>
      </c>
      <c r="AT37" s="304">
        <f t="shared" si="213"/>
        <v>1568</v>
      </c>
      <c r="AU37" s="304">
        <f t="shared" si="213"/>
        <v>1579</v>
      </c>
      <c r="AV37" s="305">
        <f t="shared" si="213"/>
        <v>5130</v>
      </c>
      <c r="AW37" s="304">
        <f t="shared" si="213"/>
        <v>1427</v>
      </c>
      <c r="AX37" s="304">
        <f t="shared" si="213"/>
        <v>1661</v>
      </c>
      <c r="AY37" s="304">
        <f t="shared" si="213"/>
        <v>1927</v>
      </c>
      <c r="AZ37" s="304">
        <f t="shared" si="213"/>
        <v>1923</v>
      </c>
      <c r="BA37" s="305">
        <f t="shared" si="213"/>
        <v>6938</v>
      </c>
      <c r="BB37" s="304">
        <f t="shared" si="213"/>
        <v>2106</v>
      </c>
      <c r="BC37" s="304">
        <f t="shared" si="213"/>
        <v>2749</v>
      </c>
      <c r="BD37" s="304">
        <f t="shared" si="213"/>
        <v>2230</v>
      </c>
      <c r="BE37" s="304">
        <f t="shared" si="213"/>
        <v>2958</v>
      </c>
      <c r="BF37" s="305">
        <f t="shared" si="213"/>
        <v>10043</v>
      </c>
      <c r="BG37" s="304">
        <f t="shared" si="213"/>
        <v>2841</v>
      </c>
      <c r="BH37" s="304">
        <f t="shared" si="213"/>
        <v>3275</v>
      </c>
      <c r="BI37" s="304">
        <f t="shared" si="213"/>
        <v>2793</v>
      </c>
      <c r="BJ37" s="304">
        <f t="shared" si="213"/>
        <v>2611</v>
      </c>
      <c r="BK37" s="305">
        <f t="shared" si="213"/>
        <v>11520</v>
      </c>
      <c r="BL37" s="304">
        <f t="shared" si="213"/>
        <v>2838</v>
      </c>
      <c r="BM37" s="304">
        <f t="shared" si="213"/>
        <v>3263</v>
      </c>
      <c r="BN37" s="304">
        <f t="shared" si="213"/>
        <v>3062</v>
      </c>
      <c r="BO37" s="304">
        <f t="shared" si="213"/>
        <v>2841</v>
      </c>
      <c r="BP37" s="305">
        <f t="shared" ref="BP37:CU37" si="214">+BP18-BP34</f>
        <v>12004</v>
      </c>
      <c r="BQ37" s="304">
        <f t="shared" si="214"/>
        <v>2897</v>
      </c>
      <c r="BR37" s="304">
        <f t="shared" si="214"/>
        <v>3501</v>
      </c>
      <c r="BS37" s="304">
        <f t="shared" si="214"/>
        <v>3298</v>
      </c>
      <c r="BT37" s="304">
        <f t="shared" si="214"/>
        <v>2874</v>
      </c>
      <c r="BU37" s="305">
        <f t="shared" si="214"/>
        <v>12570</v>
      </c>
      <c r="BV37" s="304">
        <f t="shared" si="214"/>
        <v>3028</v>
      </c>
      <c r="BW37" s="304">
        <f t="shared" si="214"/>
        <v>2443</v>
      </c>
      <c r="BX37" s="304">
        <f t="shared" si="214"/>
        <v>2744</v>
      </c>
      <c r="BY37" s="304">
        <f t="shared" si="214"/>
        <v>2336</v>
      </c>
      <c r="BZ37" s="305">
        <f t="shared" si="214"/>
        <v>10551</v>
      </c>
      <c r="CA37" s="304">
        <f t="shared" si="214"/>
        <v>3148</v>
      </c>
      <c r="CB37" s="304">
        <f t="shared" si="214"/>
        <v>3680</v>
      </c>
      <c r="CC37" s="304">
        <f t="shared" si="214"/>
        <v>3803</v>
      </c>
      <c r="CD37" s="304">
        <f t="shared" si="214"/>
        <v>3133</v>
      </c>
      <c r="CE37" s="305">
        <f t="shared" si="214"/>
        <v>13764</v>
      </c>
      <c r="CF37" s="304">
        <f t="shared" si="214"/>
        <v>4030</v>
      </c>
      <c r="CG37" s="304">
        <f t="shared" si="214"/>
        <v>4749</v>
      </c>
      <c r="CH37" s="304">
        <f t="shared" si="214"/>
        <v>4097</v>
      </c>
      <c r="CI37" s="304">
        <f t="shared" si="214"/>
        <v>3745</v>
      </c>
      <c r="CJ37" s="305">
        <f t="shared" si="214"/>
        <v>16621</v>
      </c>
      <c r="CK37" s="304">
        <f t="shared" si="214"/>
        <v>4407</v>
      </c>
      <c r="CL37" s="304">
        <f t="shared" si="214"/>
        <v>4658</v>
      </c>
      <c r="CM37" s="304">
        <f t="shared" si="214"/>
        <v>4286</v>
      </c>
      <c r="CN37" s="304">
        <f t="shared" si="214"/>
        <v>4234</v>
      </c>
      <c r="CO37" s="305">
        <f t="shared" si="214"/>
        <v>17585</v>
      </c>
      <c r="CP37" s="304">
        <f t="shared" si="214"/>
        <v>4474</v>
      </c>
      <c r="CQ37" s="304">
        <f t="shared" si="214"/>
        <v>3472</v>
      </c>
      <c r="CR37" s="304">
        <f t="shared" si="214"/>
        <v>6743</v>
      </c>
      <c r="CS37" s="304">
        <f t="shared" si="214"/>
        <v>5046</v>
      </c>
      <c r="CT37" s="305">
        <f t="shared" si="214"/>
        <v>19735</v>
      </c>
      <c r="CU37" s="304">
        <f t="shared" si="214"/>
        <v>5849</v>
      </c>
      <c r="CV37" s="304">
        <f t="shared" ref="CV37:EA37" si="215">+CV18-CV34</f>
        <v>6481</v>
      </c>
      <c r="CW37" s="304">
        <f t="shared" si="215"/>
        <v>5826</v>
      </c>
      <c r="CX37" s="304">
        <f t="shared" si="215"/>
        <v>5684</v>
      </c>
      <c r="CY37" s="305">
        <f t="shared" si="215"/>
        <v>23840</v>
      </c>
      <c r="CZ37" s="304">
        <f t="shared" si="215"/>
        <v>5999</v>
      </c>
      <c r="DA37" s="304">
        <f t="shared" si="215"/>
        <v>5939</v>
      </c>
      <c r="DB37" s="304">
        <f t="shared" si="215"/>
        <v>4728</v>
      </c>
      <c r="DC37" s="304">
        <f t="shared" si="215"/>
        <v>4115</v>
      </c>
      <c r="DD37" s="305">
        <f t="shared" si="215"/>
        <v>20781</v>
      </c>
      <c r="DE37" s="304">
        <f t="shared" si="215"/>
        <v>4482</v>
      </c>
      <c r="DF37" s="304">
        <f t="shared" si="215"/>
        <v>8513</v>
      </c>
      <c r="DG37" s="304">
        <f t="shared" si="215"/>
        <v>5173</v>
      </c>
      <c r="DH37" s="304">
        <f t="shared" si="215"/>
        <v>5930</v>
      </c>
      <c r="DI37" s="305">
        <f t="shared" si="215"/>
        <v>24098</v>
      </c>
      <c r="DJ37" s="304">
        <f t="shared" si="215"/>
        <v>7116</v>
      </c>
      <c r="DK37" s="304">
        <f t="shared" si="215"/>
        <v>8165</v>
      </c>
      <c r="DL37" s="304">
        <f t="shared" si="215"/>
        <v>5709</v>
      </c>
      <c r="DM37" s="304">
        <f t="shared" si="215"/>
        <v>6169.4399999999987</v>
      </c>
      <c r="DN37" s="305">
        <f t="shared" si="215"/>
        <v>27159.440000000002</v>
      </c>
      <c r="DO37" s="304">
        <f t="shared" si="215"/>
        <v>7203</v>
      </c>
      <c r="DP37" s="304">
        <f t="shared" si="215"/>
        <v>7994</v>
      </c>
      <c r="DQ37" s="304">
        <f t="shared" si="215"/>
        <v>6374</v>
      </c>
      <c r="DR37" s="304">
        <f t="shared" si="215"/>
        <v>6385</v>
      </c>
      <c r="DS37" s="305">
        <f t="shared" si="215"/>
        <v>27956</v>
      </c>
      <c r="DT37" s="304">
        <f t="shared" si="215"/>
        <v>5308</v>
      </c>
      <c r="DU37" s="304">
        <f t="shared" si="215"/>
        <v>7771</v>
      </c>
      <c r="DV37" s="304">
        <f t="shared" si="215"/>
        <v>8345</v>
      </c>
      <c r="DW37" s="304">
        <f t="shared" si="215"/>
        <v>6073</v>
      </c>
      <c r="DX37" s="305">
        <f t="shared" si="215"/>
        <v>26764</v>
      </c>
      <c r="DY37" s="304">
        <f t="shared" si="215"/>
        <v>6334</v>
      </c>
      <c r="DZ37" s="304">
        <f t="shared" si="215"/>
        <v>7969</v>
      </c>
      <c r="EA37" s="304">
        <f t="shared" si="215"/>
        <v>6974</v>
      </c>
      <c r="EB37" s="304">
        <f>+EB18-EB34-EB33</f>
        <v>6609</v>
      </c>
      <c r="EC37" s="305">
        <f>+EC18-EC34</f>
        <v>27886</v>
      </c>
      <c r="ED37" s="304">
        <f>+ED18-ED34</f>
        <v>6984</v>
      </c>
      <c r="EE37" s="304">
        <f>+EE18-EE34</f>
        <v>7693</v>
      </c>
      <c r="EF37" s="304">
        <f>+EF18-EF34</f>
        <v>6784</v>
      </c>
      <c r="EG37" s="304">
        <f>+EG18-EG34</f>
        <v>6385</v>
      </c>
      <c r="EH37" s="305">
        <f>SUM(ED37:EG37)</f>
        <v>27846</v>
      </c>
      <c r="EI37" s="2692">
        <f t="shared" ref="EI37:ER37" si="216">+EI18-EI34</f>
        <v>6316</v>
      </c>
      <c r="EJ37" s="2692">
        <f t="shared" si="216"/>
        <v>7489</v>
      </c>
      <c r="EK37" s="2692">
        <f t="shared" si="216"/>
        <v>6277</v>
      </c>
      <c r="EL37" s="2692">
        <f t="shared" si="216"/>
        <v>7106</v>
      </c>
      <c r="EM37" s="2693">
        <f t="shared" si="216"/>
        <v>27188</v>
      </c>
      <c r="EN37" s="2692">
        <f t="shared" si="216"/>
        <v>6715</v>
      </c>
      <c r="EO37" s="2692">
        <f t="shared" si="216"/>
        <v>7905</v>
      </c>
      <c r="EP37" s="2692">
        <f t="shared" si="216"/>
        <v>6723</v>
      </c>
      <c r="EQ37" s="2692">
        <f t="shared" si="216"/>
        <v>7988</v>
      </c>
      <c r="ER37" s="2693">
        <f t="shared" si="216"/>
        <v>29331</v>
      </c>
      <c r="ES37" s="2692">
        <f t="shared" ref="ES37:EU37" si="217">+ES18-ES34</f>
        <v>7708</v>
      </c>
      <c r="ET37" s="2692">
        <f t="shared" si="217"/>
        <v>8679</v>
      </c>
      <c r="EU37" s="2692">
        <f t="shared" si="217"/>
        <v>8292</v>
      </c>
      <c r="EV37" s="304">
        <f t="shared" ref="EU37:FB37" si="218">+EV18-EV34</f>
        <v>9636.8297939753829</v>
      </c>
      <c r="EW37" s="305">
        <f t="shared" si="218"/>
        <v>34315.829793975376</v>
      </c>
      <c r="EX37" s="304">
        <f t="shared" si="218"/>
        <v>9040.2833046874694</v>
      </c>
      <c r="EY37" s="304">
        <f t="shared" si="218"/>
        <v>10131.783728551214</v>
      </c>
      <c r="EZ37" s="304">
        <f t="shared" si="218"/>
        <v>9721.464877947863</v>
      </c>
      <c r="FA37" s="304">
        <f t="shared" si="218"/>
        <v>11122.018072748026</v>
      </c>
      <c r="FB37" s="305">
        <f t="shared" si="218"/>
        <v>40015.549983934558</v>
      </c>
      <c r="FC37" s="304">
        <f t="shared" ref="FC37:FG37" si="219">+FC18-FC34</f>
        <v>10518.38254882912</v>
      </c>
      <c r="FD37" s="304">
        <f t="shared" si="219"/>
        <v>11811.670039986055</v>
      </c>
      <c r="FE37" s="304">
        <f t="shared" si="219"/>
        <v>11595.265791589212</v>
      </c>
      <c r="FF37" s="304">
        <f t="shared" si="219"/>
        <v>13144.746101887078</v>
      </c>
      <c r="FG37" s="305">
        <f t="shared" si="219"/>
        <v>47070.064482291469</v>
      </c>
      <c r="FH37" s="304">
        <f t="shared" ref="FH37:FL37" si="220">+FH18-FH34</f>
        <v>12117.177669508412</v>
      </c>
      <c r="FI37" s="304">
        <f t="shared" si="220"/>
        <v>13511.915018253367</v>
      </c>
      <c r="FJ37" s="304">
        <f t="shared" si="220"/>
        <v>13447.634454767847</v>
      </c>
      <c r="FK37" s="304">
        <f t="shared" si="220"/>
        <v>15125.805494553882</v>
      </c>
      <c r="FL37" s="305">
        <f t="shared" si="220"/>
        <v>54202.532637083525</v>
      </c>
      <c r="FN37" s="308">
        <f t="shared" ref="FN37:GG37" si="221">+FN18-FN34</f>
        <v>11304</v>
      </c>
      <c r="FO37" s="308">
        <f t="shared" si="221"/>
        <v>11505</v>
      </c>
      <c r="FP37" s="308">
        <f t="shared" si="221"/>
        <v>12301</v>
      </c>
      <c r="FQ37" s="308">
        <f t="shared" si="221"/>
        <v>11643</v>
      </c>
      <c r="FR37" s="308">
        <f t="shared" si="221"/>
        <v>11908</v>
      </c>
      <c r="FS37" s="308">
        <f t="shared" si="221"/>
        <v>15715</v>
      </c>
      <c r="FT37" s="308">
        <f t="shared" si="221"/>
        <v>16907</v>
      </c>
      <c r="FU37" s="308">
        <f t="shared" si="221"/>
        <v>16466</v>
      </c>
      <c r="FV37" s="308">
        <f t="shared" si="221"/>
        <v>24119</v>
      </c>
      <c r="FW37" s="308">
        <f t="shared" si="221"/>
        <v>23448</v>
      </c>
      <c r="FX37" s="845">
        <f t="shared" si="221"/>
        <v>21838</v>
      </c>
      <c r="FY37" s="846">
        <f t="shared" si="221"/>
        <v>26384</v>
      </c>
      <c r="FZ37" s="846">
        <f t="shared" si="221"/>
        <v>27075.440000000002</v>
      </c>
      <c r="GA37" s="846">
        <f t="shared" si="221"/>
        <v>25838</v>
      </c>
      <c r="GB37" s="846">
        <f t="shared" si="221"/>
        <v>28721</v>
      </c>
      <c r="GC37" s="846">
        <f t="shared" si="221"/>
        <v>28260</v>
      </c>
      <c r="GD37" s="846">
        <f t="shared" si="221"/>
        <v>26974</v>
      </c>
      <c r="GE37" s="846">
        <f t="shared" si="221"/>
        <v>28003</v>
      </c>
      <c r="GF37" s="846">
        <f t="shared" si="221"/>
        <v>31098</v>
      </c>
      <c r="GG37" s="846">
        <f t="shared" si="221"/>
        <v>37100.896827214063</v>
      </c>
      <c r="GH37" s="846">
        <f t="shared" ref="GH37" si="222">+GH18-GH34</f>
        <v>43173.535539511067</v>
      </c>
      <c r="GI37" s="846">
        <f t="shared" ref="GI37" si="223">+GI18-GI34</f>
        <v>50369.104581238076</v>
      </c>
      <c r="GJ37" s="302"/>
      <c r="GK37" s="302"/>
      <c r="GL37" s="302"/>
      <c r="GN37"/>
      <c r="GO37"/>
      <c r="GP37"/>
      <c r="GQ37"/>
      <c r="GR37"/>
      <c r="GS37"/>
    </row>
    <row r="38" spans="1:201" s="264" customFormat="1" ht="12.75">
      <c r="A38" s="253" t="s">
        <v>117</v>
      </c>
      <c r="B38" s="253"/>
      <c r="C38" s="253"/>
      <c r="D38" s="312">
        <f t="shared" ref="D38:AI38" si="224">D37/D8</f>
        <v>0.29943502824858759</v>
      </c>
      <c r="E38" s="312">
        <f t="shared" si="224"/>
        <v>0.32735060653128906</v>
      </c>
      <c r="F38" s="312">
        <f t="shared" si="224"/>
        <v>0.29033518759135946</v>
      </c>
      <c r="G38" s="312">
        <f t="shared" si="224"/>
        <v>0.28690045248868778</v>
      </c>
      <c r="H38" s="313">
        <f t="shared" si="224"/>
        <v>0.30104509097956772</v>
      </c>
      <c r="I38" s="312">
        <f t="shared" si="224"/>
        <v>0.29393479360948455</v>
      </c>
      <c r="J38" s="312">
        <f t="shared" si="224"/>
        <v>0.35449833887043192</v>
      </c>
      <c r="K38" s="312">
        <f t="shared" si="224"/>
        <v>0.33933974358974356</v>
      </c>
      <c r="L38" s="312">
        <f t="shared" si="224"/>
        <v>0.32983727810650892</v>
      </c>
      <c r="M38" s="313">
        <f t="shared" si="224"/>
        <v>0.33147692429611159</v>
      </c>
      <c r="N38" s="312">
        <f t="shared" si="224"/>
        <v>0.33134813210611797</v>
      </c>
      <c r="O38" s="312">
        <f t="shared" si="224"/>
        <v>0.34636264929424537</v>
      </c>
      <c r="P38" s="312">
        <f t="shared" si="224"/>
        <v>0.35582822085889571</v>
      </c>
      <c r="Q38" s="312">
        <f t="shared" si="224"/>
        <v>0.36742424242424243</v>
      </c>
      <c r="R38" s="313">
        <f t="shared" si="224"/>
        <v>0.35188694569278256</v>
      </c>
      <c r="S38" s="312">
        <f t="shared" si="224"/>
        <v>0.3476027397260274</v>
      </c>
      <c r="T38" s="312">
        <f t="shared" si="224"/>
        <v>0.35860058309037901</v>
      </c>
      <c r="U38" s="312">
        <f t="shared" si="224"/>
        <v>0.36588921282798836</v>
      </c>
      <c r="V38" s="312">
        <f t="shared" si="224"/>
        <v>0.36077953714981731</v>
      </c>
      <c r="W38" s="313">
        <f t="shared" si="224"/>
        <v>0.35873244508462371</v>
      </c>
      <c r="X38" s="312">
        <f t="shared" si="224"/>
        <v>0.35072815533980584</v>
      </c>
      <c r="Y38" s="312">
        <f t="shared" si="224"/>
        <v>0.34497354497354499</v>
      </c>
      <c r="Z38" s="312">
        <f t="shared" si="224"/>
        <v>0.34881320949432404</v>
      </c>
      <c r="AA38" s="312">
        <f t="shared" si="224"/>
        <v>0.35591603053435117</v>
      </c>
      <c r="AB38" s="313">
        <f t="shared" si="224"/>
        <v>0.35023771790808239</v>
      </c>
      <c r="AC38" s="312">
        <f t="shared" si="224"/>
        <v>0.34437751004016065</v>
      </c>
      <c r="AD38" s="312">
        <f t="shared" si="224"/>
        <v>0.36212914485165792</v>
      </c>
      <c r="AE38" s="312">
        <f t="shared" si="224"/>
        <v>0.38065027755749403</v>
      </c>
      <c r="AF38" s="312">
        <f t="shared" si="224"/>
        <v>0.37223493516399697</v>
      </c>
      <c r="AG38" s="313">
        <f t="shared" si="224"/>
        <v>0.36614340263046247</v>
      </c>
      <c r="AH38" s="312">
        <f t="shared" si="224"/>
        <v>0.34409448818897637</v>
      </c>
      <c r="AI38" s="312">
        <f t="shared" si="224"/>
        <v>0.34300791556728233</v>
      </c>
      <c r="AJ38" s="312">
        <f t="shared" ref="AJ38:BO38" si="225">AJ37/AJ8</f>
        <v>0.33743085433312847</v>
      </c>
      <c r="AK38" s="312">
        <f t="shared" si="225"/>
        <v>0.32009626955475329</v>
      </c>
      <c r="AL38" s="313">
        <f t="shared" si="225"/>
        <v>0.3354732510288066</v>
      </c>
      <c r="AM38" s="312">
        <f t="shared" si="225"/>
        <v>0.33956834532374103</v>
      </c>
      <c r="AN38" s="312">
        <f t="shared" si="225"/>
        <v>0.34368167905553126</v>
      </c>
      <c r="AO38" s="312">
        <f t="shared" si="225"/>
        <v>0.33491994807442665</v>
      </c>
      <c r="AP38" s="312">
        <f t="shared" si="225"/>
        <v>0.34220532319391633</v>
      </c>
      <c r="AQ38" s="313">
        <f t="shared" si="225"/>
        <v>0.34011049723756909</v>
      </c>
      <c r="AR38" s="312">
        <f t="shared" si="225"/>
        <v>0.37505197505197507</v>
      </c>
      <c r="AS38" s="312">
        <f t="shared" si="225"/>
        <v>0.38497150997150997</v>
      </c>
      <c r="AT38" s="312">
        <f t="shared" si="225"/>
        <v>0.46597325408618129</v>
      </c>
      <c r="AU38" s="312">
        <f t="shared" si="225"/>
        <v>0.47022036926742106</v>
      </c>
      <c r="AV38" s="313">
        <f t="shared" si="225"/>
        <v>0.42979222520107241</v>
      </c>
      <c r="AW38" s="312">
        <f t="shared" si="225"/>
        <v>0.42801439712057587</v>
      </c>
      <c r="AX38" s="312">
        <f t="shared" si="225"/>
        <v>0.43802742616033757</v>
      </c>
      <c r="AY38" s="312">
        <f t="shared" si="225"/>
        <v>0.48368473895582331</v>
      </c>
      <c r="AZ38" s="312">
        <f t="shared" si="225"/>
        <v>0.46315028901734107</v>
      </c>
      <c r="BA38" s="313">
        <f t="shared" si="225"/>
        <v>0.45459310706329448</v>
      </c>
      <c r="BB38" s="312">
        <f t="shared" si="225"/>
        <v>0.50226568089673262</v>
      </c>
      <c r="BC38" s="312">
        <f t="shared" si="225"/>
        <v>0.52916265640038496</v>
      </c>
      <c r="BD38" s="312">
        <f t="shared" si="225"/>
        <v>0.48531011969532101</v>
      </c>
      <c r="BE38" s="312">
        <f t="shared" si="225"/>
        <v>0.51318528799444829</v>
      </c>
      <c r="BF38" s="313">
        <f t="shared" si="225"/>
        <v>0.50858358231630119</v>
      </c>
      <c r="BG38" s="312">
        <f t="shared" si="225"/>
        <v>0.52767459138187223</v>
      </c>
      <c r="BH38" s="312">
        <f t="shared" si="225"/>
        <v>0.53583115183246077</v>
      </c>
      <c r="BI38" s="312">
        <f t="shared" si="225"/>
        <v>0.49381188118811881</v>
      </c>
      <c r="BJ38" s="312">
        <f t="shared" si="225"/>
        <v>0.4498621640248105</v>
      </c>
      <c r="BK38" s="313">
        <f t="shared" si="225"/>
        <v>0.50182958703606895</v>
      </c>
      <c r="BL38" s="312">
        <f t="shared" si="225"/>
        <v>0.49219562955254942</v>
      </c>
      <c r="BM38" s="312">
        <f t="shared" si="225"/>
        <v>0.49816793893129768</v>
      </c>
      <c r="BN38" s="312">
        <f t="shared" si="225"/>
        <v>0.47821333749804779</v>
      </c>
      <c r="BO38" s="312">
        <f t="shared" si="225"/>
        <v>0.43195986011859511</v>
      </c>
      <c r="BP38" s="313">
        <f t="shared" ref="BP38:CU38" si="226">BP37/BP8</f>
        <v>0.47454142947501582</v>
      </c>
      <c r="BQ38" s="312">
        <f t="shared" si="226"/>
        <v>0.47290238328436174</v>
      </c>
      <c r="BR38" s="312">
        <f t="shared" si="226"/>
        <v>0.45226714894716447</v>
      </c>
      <c r="BS38" s="312">
        <f t="shared" si="226"/>
        <v>0.45521048999309871</v>
      </c>
      <c r="BT38" s="312">
        <f t="shared" si="226"/>
        <v>0.39624982765752104</v>
      </c>
      <c r="BU38" s="313">
        <f t="shared" si="226"/>
        <v>0.44315177154944474</v>
      </c>
      <c r="BV38" s="312">
        <f t="shared" si="226"/>
        <v>0.39091143816163182</v>
      </c>
      <c r="BW38" s="312">
        <f t="shared" si="226"/>
        <v>0.28603208055262852</v>
      </c>
      <c r="BX38" s="312">
        <f t="shared" si="226"/>
        <v>0.35022335673261007</v>
      </c>
      <c r="BY38" s="312">
        <f t="shared" si="226"/>
        <v>0.28964662120272783</v>
      </c>
      <c r="BZ38" s="313">
        <f t="shared" si="226"/>
        <v>0.32780315034019947</v>
      </c>
      <c r="CA38" s="312">
        <f t="shared" si="226"/>
        <v>0.38320146074254413</v>
      </c>
      <c r="CB38" s="312">
        <f t="shared" si="226"/>
        <v>0.36245444696148921</v>
      </c>
      <c r="CC38" s="312">
        <f t="shared" si="226"/>
        <v>0.41449591280653952</v>
      </c>
      <c r="CD38" s="312">
        <f t="shared" si="226"/>
        <v>0.3371717606543263</v>
      </c>
      <c r="CE38" s="313">
        <f t="shared" si="226"/>
        <v>0.37366634993891679</v>
      </c>
      <c r="CF38" s="312">
        <f t="shared" si="226"/>
        <v>0.43856785286755906</v>
      </c>
      <c r="CG38" s="312">
        <f t="shared" si="226"/>
        <v>0.43899057127010538</v>
      </c>
      <c r="CH38" s="312">
        <f t="shared" si="226"/>
        <v>0.42588357588357589</v>
      </c>
      <c r="CI38" s="312">
        <f t="shared" si="226"/>
        <v>0.368566086015156</v>
      </c>
      <c r="CJ38" s="313">
        <f t="shared" si="226"/>
        <v>0.41773901678898162</v>
      </c>
      <c r="CK38" s="312">
        <f t="shared" si="226"/>
        <v>0.45241761626116417</v>
      </c>
      <c r="CL38" s="312">
        <f t="shared" si="226"/>
        <v>0.39347862814664641</v>
      </c>
      <c r="CM38" s="312">
        <f t="shared" si="226"/>
        <v>0.39317493807907533</v>
      </c>
      <c r="CN38" s="312">
        <f t="shared" si="226"/>
        <v>0.35863120447230223</v>
      </c>
      <c r="CO38" s="313">
        <f t="shared" si="226"/>
        <v>0.39707808336720407</v>
      </c>
      <c r="CP38" s="312">
        <f t="shared" si="226"/>
        <v>0.41383775783923782</v>
      </c>
      <c r="CQ38" s="312">
        <f t="shared" si="226"/>
        <v>0.27682985169829372</v>
      </c>
      <c r="CR38" s="312">
        <f t="shared" si="226"/>
        <v>0.4683289345742464</v>
      </c>
      <c r="CS38" s="312">
        <f t="shared" si="226"/>
        <v>0.3773838905093112</v>
      </c>
      <c r="CT38" s="313">
        <f t="shared" si="226"/>
        <v>0.38603732248347089</v>
      </c>
      <c r="CU38" s="312">
        <f t="shared" si="226"/>
        <v>0.42501089957854965</v>
      </c>
      <c r="CV38" s="312">
        <f t="shared" ref="CV38:EA38" si="227">CV37/CV8</f>
        <v>0.39597971528074782</v>
      </c>
      <c r="CW38" s="312">
        <f t="shared" si="227"/>
        <v>0.40307181403071812</v>
      </c>
      <c r="CX38" s="312">
        <f t="shared" si="227"/>
        <v>0.35890635852749891</v>
      </c>
      <c r="CY38" s="313">
        <f t="shared" si="227"/>
        <v>0.39457133399536576</v>
      </c>
      <c r="CZ38" s="312">
        <f t="shared" si="227"/>
        <v>0.39831352499834011</v>
      </c>
      <c r="DA38" s="312">
        <f t="shared" si="227"/>
        <v>0.35714715256479646</v>
      </c>
      <c r="DB38" s="312">
        <f t="shared" si="227"/>
        <v>0.34642438452520513</v>
      </c>
      <c r="DC38" s="312">
        <f t="shared" si="227"/>
        <v>0.31414611802427667</v>
      </c>
      <c r="DD38" s="313">
        <f t="shared" si="227"/>
        <v>0.35561373787155398</v>
      </c>
      <c r="DE38" s="312">
        <f t="shared" si="227"/>
        <v>0.34690402476780186</v>
      </c>
      <c r="DF38" s="312">
        <f t="shared" si="227"/>
        <v>0.44753443381347913</v>
      </c>
      <c r="DG38" s="312">
        <f t="shared" si="227"/>
        <v>0.35668482382955252</v>
      </c>
      <c r="DH38" s="312">
        <f t="shared" si="227"/>
        <v>0.36972379824178564</v>
      </c>
      <c r="DI38" s="313">
        <f t="shared" si="227"/>
        <v>0.38566673068305485</v>
      </c>
      <c r="DJ38" s="312">
        <f t="shared" si="227"/>
        <v>0.43939487496140783</v>
      </c>
      <c r="DK38" s="312">
        <f t="shared" si="227"/>
        <v>0.4092116473713226</v>
      </c>
      <c r="DL38" s="312">
        <f t="shared" si="227"/>
        <v>0.34751643535427318</v>
      </c>
      <c r="DM38" s="312">
        <f t="shared" si="227"/>
        <v>0.35527115926806341</v>
      </c>
      <c r="DN38" s="313">
        <f t="shared" si="227"/>
        <v>0.38831685478594669</v>
      </c>
      <c r="DO38" s="312">
        <f t="shared" si="227"/>
        <v>0.41463274234400183</v>
      </c>
      <c r="DP38" s="312">
        <f t="shared" si="227"/>
        <v>0.38276274838400764</v>
      </c>
      <c r="DQ38" s="312">
        <f t="shared" si="227"/>
        <v>0.36617452748894125</v>
      </c>
      <c r="DR38" s="312">
        <f t="shared" si="227"/>
        <v>0.35356332022814108</v>
      </c>
      <c r="DS38" s="313">
        <f t="shared" si="227"/>
        <v>0.37920323372624554</v>
      </c>
      <c r="DT38" s="312">
        <f t="shared" si="227"/>
        <v>0.33158420789605197</v>
      </c>
      <c r="DU38" s="312">
        <f t="shared" si="227"/>
        <v>0.36218307233407904</v>
      </c>
      <c r="DV38" s="312">
        <f t="shared" si="227"/>
        <v>0.40729171750695498</v>
      </c>
      <c r="DW38" s="312">
        <f t="shared" si="227"/>
        <v>0.30523723361479693</v>
      </c>
      <c r="DX38" s="313">
        <f t="shared" si="227"/>
        <v>0.34379375457616668</v>
      </c>
      <c r="DY38" s="312">
        <f t="shared" si="227"/>
        <v>0.34184251713530139</v>
      </c>
      <c r="DZ38" s="312">
        <f t="shared" si="227"/>
        <v>0.32501325502671397</v>
      </c>
      <c r="EA38" s="312">
        <f t="shared" si="227"/>
        <v>0.34181247855707492</v>
      </c>
      <c r="EB38" s="312">
        <f t="shared" ref="EB38:FB38" si="228">EB37/EB8</f>
        <v>0.28265332306902746</v>
      </c>
      <c r="EC38" s="313">
        <f t="shared" si="228"/>
        <v>0.32114518673776099</v>
      </c>
      <c r="ED38" s="312">
        <f t="shared" si="228"/>
        <v>0.30102150769363389</v>
      </c>
      <c r="EE38" s="312">
        <f t="shared" si="228"/>
        <v>0.29425489596083232</v>
      </c>
      <c r="EF38" s="312">
        <f t="shared" si="228"/>
        <v>0.31220948962216394</v>
      </c>
      <c r="EG38" s="312">
        <f t="shared" si="228"/>
        <v>0.28787195671776378</v>
      </c>
      <c r="EH38" s="313">
        <f t="shared" si="228"/>
        <v>0.29860381324125507</v>
      </c>
      <c r="EI38" s="312">
        <f t="shared" si="228"/>
        <v>0.30205643232902918</v>
      </c>
      <c r="EJ38" s="312">
        <f t="shared" si="228"/>
        <v>0.29655882469409572</v>
      </c>
      <c r="EK38" s="312">
        <f t="shared" si="228"/>
        <v>0.29172282381372866</v>
      </c>
      <c r="EL38" s="312">
        <f t="shared" si="228"/>
        <v>0.30271790065604498</v>
      </c>
      <c r="EM38" s="313">
        <f t="shared" si="228"/>
        <v>0.29826447550299495</v>
      </c>
      <c r="EN38" s="312">
        <f t="shared" si="228"/>
        <v>0.30622947829259395</v>
      </c>
      <c r="EO38" s="312">
        <f t="shared" si="228"/>
        <v>0.30608688918144505</v>
      </c>
      <c r="EP38" s="312">
        <f t="shared" si="228"/>
        <v>0.28963467172152335</v>
      </c>
      <c r="EQ38" s="312">
        <f t="shared" si="228"/>
        <v>0.31197031829720756</v>
      </c>
      <c r="ER38" s="313">
        <f t="shared" si="228"/>
        <v>0.30372472067183731</v>
      </c>
      <c r="ES38" s="312">
        <f t="shared" ref="ES38:EU38" si="229">ES37/ES8</f>
        <v>0.3141250305648382</v>
      </c>
      <c r="ET38" s="312">
        <f t="shared" si="229"/>
        <v>0.30012448993706342</v>
      </c>
      <c r="EU38" s="312">
        <f t="shared" si="229"/>
        <v>0.30918378761325926</v>
      </c>
      <c r="EV38" s="312">
        <f t="shared" si="228"/>
        <v>0.33007876253801532</v>
      </c>
      <c r="EW38" s="313">
        <f t="shared" si="228"/>
        <v>0.31347089198099415</v>
      </c>
      <c r="EX38" s="312">
        <f t="shared" si="228"/>
        <v>0.32595013325082967</v>
      </c>
      <c r="EY38" s="312">
        <f t="shared" si="228"/>
        <v>0.31465248044190708</v>
      </c>
      <c r="EZ38" s="312">
        <f t="shared" si="228"/>
        <v>0.32451367586242463</v>
      </c>
      <c r="FA38" s="312">
        <f t="shared" si="228"/>
        <v>0.34072599219144195</v>
      </c>
      <c r="FB38" s="313">
        <f t="shared" si="228"/>
        <v>0.32656628642877877</v>
      </c>
      <c r="FC38" s="312">
        <f t="shared" ref="FC38:FG38" si="230">FC37/FC8</f>
        <v>0.33803854620892648</v>
      </c>
      <c r="FD38" s="312">
        <f t="shared" si="230"/>
        <v>0.33162371853189421</v>
      </c>
      <c r="FE38" s="312">
        <f t="shared" si="230"/>
        <v>0.34136479628388866</v>
      </c>
      <c r="FF38" s="312">
        <f t="shared" si="230"/>
        <v>0.3551283112704699</v>
      </c>
      <c r="FG38" s="313">
        <f t="shared" si="230"/>
        <v>0.34179314277201134</v>
      </c>
      <c r="FH38" s="312">
        <f t="shared" ref="FH38:FL38" si="231">FH37/FH8</f>
        <v>0.34788217390835746</v>
      </c>
      <c r="FI38" s="312">
        <f t="shared" si="231"/>
        <v>0.34543175544421517</v>
      </c>
      <c r="FJ38" s="312">
        <f t="shared" si="231"/>
        <v>0.3542686376543806</v>
      </c>
      <c r="FK38" s="312">
        <f t="shared" si="231"/>
        <v>0.36628054571983265</v>
      </c>
      <c r="FL38" s="313">
        <f t="shared" si="231"/>
        <v>0.35379819723781775</v>
      </c>
      <c r="FN38" s="316">
        <f t="shared" ref="FN38:GG38" si="232">FN37/FN8</f>
        <v>0.51722717913520933</v>
      </c>
      <c r="FO38" s="316">
        <f t="shared" si="232"/>
        <v>0.48389131897711979</v>
      </c>
      <c r="FP38" s="316">
        <f t="shared" si="232"/>
        <v>0.45818899690840692</v>
      </c>
      <c r="FQ38" s="316">
        <f t="shared" si="232"/>
        <v>0.37820367061880789</v>
      </c>
      <c r="FR38" s="316">
        <f t="shared" si="232"/>
        <v>0.34749620637329287</v>
      </c>
      <c r="FS38" s="316">
        <f t="shared" si="232"/>
        <v>0.40845765971825126</v>
      </c>
      <c r="FT38" s="316">
        <f t="shared" si="232"/>
        <v>0.40877659574468084</v>
      </c>
      <c r="FU38" s="316">
        <f t="shared" si="232"/>
        <v>0.35749023013460701</v>
      </c>
      <c r="FV38" s="316">
        <f t="shared" si="232"/>
        <v>0.41657742927216829</v>
      </c>
      <c r="FW38" s="316">
        <f t="shared" si="232"/>
        <v>0.37830948193801328</v>
      </c>
      <c r="FX38" s="847">
        <f t="shared" si="232"/>
        <v>0.37209698580653955</v>
      </c>
      <c r="FY38" s="854">
        <f t="shared" si="232"/>
        <v>0.39562153246363774</v>
      </c>
      <c r="FZ38" s="854">
        <f t="shared" si="232"/>
        <v>0.37578451984470879</v>
      </c>
      <c r="GA38" s="854">
        <f t="shared" si="232"/>
        <v>0.35428493075551898</v>
      </c>
      <c r="GB38" s="854">
        <f t="shared" si="232"/>
        <v>0.3442402886148167</v>
      </c>
      <c r="GC38" s="854">
        <f t="shared" si="232"/>
        <v>0.3034467948029636</v>
      </c>
      <c r="GD38" s="854">
        <f t="shared" si="232"/>
        <v>0.29947153388400388</v>
      </c>
      <c r="GE38" s="854">
        <f t="shared" si="232"/>
        <v>0.30193541430804893</v>
      </c>
      <c r="GF38" s="854">
        <f t="shared" si="232"/>
        <v>0.30406852248394006</v>
      </c>
      <c r="GG38" s="854">
        <f t="shared" si="232"/>
        <v>0.31997424112099027</v>
      </c>
      <c r="GH38" s="854">
        <f t="shared" ref="GH38" si="233">GH37/GH8</f>
        <v>0.33381747873201728</v>
      </c>
      <c r="GI38" s="854">
        <f t="shared" ref="GI38" si="234">GI37/GI8</f>
        <v>0.34754394047496895</v>
      </c>
      <c r="GJ38" s="363"/>
      <c r="GK38" s="363"/>
      <c r="GL38" s="363"/>
      <c r="GN38"/>
      <c r="GO38"/>
      <c r="GP38"/>
      <c r="GQ38"/>
      <c r="GR38"/>
      <c r="GS38"/>
    </row>
    <row r="39" spans="1:201" s="264" customFormat="1" ht="12.75">
      <c r="A39" s="309" t="s">
        <v>111</v>
      </c>
      <c r="B39" s="253"/>
      <c r="C39" s="253"/>
      <c r="D39" s="341"/>
      <c r="E39" s="341"/>
      <c r="F39" s="341"/>
      <c r="G39" s="341"/>
      <c r="H39" s="342"/>
      <c r="I39" s="312">
        <f>I37/D37-1</f>
        <v>0.30418867924528303</v>
      </c>
      <c r="J39" s="312">
        <f t="shared" ref="J39:BU39" si="235">J37/E37-1</f>
        <v>0.55307473982970645</v>
      </c>
      <c r="K39" s="312">
        <f t="shared" si="235"/>
        <v>0.85084698354981358</v>
      </c>
      <c r="L39" s="312">
        <f t="shared" si="235"/>
        <v>0.75829981862629148</v>
      </c>
      <c r="M39" s="313">
        <f t="shared" si="235"/>
        <v>0.62263271058507041</v>
      </c>
      <c r="N39" s="312">
        <f t="shared" si="235"/>
        <v>0.77078209542547915</v>
      </c>
      <c r="O39" s="312">
        <f t="shared" si="235"/>
        <v>0.49478932373669204</v>
      </c>
      <c r="P39" s="312">
        <f t="shared" si="235"/>
        <v>0.64346298430209492</v>
      </c>
      <c r="Q39" s="312">
        <f t="shared" si="235"/>
        <v>0.74014441404673259</v>
      </c>
      <c r="R39" s="313">
        <f t="shared" si="235"/>
        <v>0.6529114793290689</v>
      </c>
      <c r="S39" s="312">
        <f t="shared" si="235"/>
        <v>0.65849673202614412</v>
      </c>
      <c r="T39" s="312">
        <f t="shared" si="235"/>
        <v>0.54231974921630099</v>
      </c>
      <c r="U39" s="312">
        <f t="shared" si="235"/>
        <v>0.44252873563218387</v>
      </c>
      <c r="V39" s="312">
        <f t="shared" si="235"/>
        <v>0.52680412371134011</v>
      </c>
      <c r="W39" s="313">
        <f t="shared" si="235"/>
        <v>0.53285120787813489</v>
      </c>
      <c r="X39" s="312">
        <f t="shared" si="235"/>
        <v>0.42364532019704426</v>
      </c>
      <c r="Y39" s="312">
        <f t="shared" si="235"/>
        <v>0.32520325203252032</v>
      </c>
      <c r="Z39" s="312">
        <f t="shared" si="235"/>
        <v>0.34661354581673298</v>
      </c>
      <c r="AA39" s="312">
        <f t="shared" si="235"/>
        <v>0.25928426738690069</v>
      </c>
      <c r="AB39" s="313">
        <f t="shared" si="235"/>
        <v>0.33105802047781574</v>
      </c>
      <c r="AC39" s="312">
        <f t="shared" si="235"/>
        <v>0.18685121107266434</v>
      </c>
      <c r="AD39" s="312">
        <f t="shared" si="235"/>
        <v>0.27300613496932513</v>
      </c>
      <c r="AE39" s="312">
        <f t="shared" si="235"/>
        <v>0.4201183431952662</v>
      </c>
      <c r="AF39" s="312">
        <f t="shared" si="235"/>
        <v>0.30831099195710454</v>
      </c>
      <c r="AG39" s="313">
        <f t="shared" si="235"/>
        <v>0.30165912518853699</v>
      </c>
      <c r="AH39" s="312">
        <f t="shared" si="235"/>
        <v>0.27405247813411071</v>
      </c>
      <c r="AI39" s="312">
        <f t="shared" si="235"/>
        <v>0.25301204819277112</v>
      </c>
      <c r="AJ39" s="312">
        <f t="shared" si="235"/>
        <v>0.14375000000000004</v>
      </c>
      <c r="AK39" s="312">
        <f t="shared" si="235"/>
        <v>9.0163934426229497E-2</v>
      </c>
      <c r="AL39" s="313">
        <f t="shared" si="235"/>
        <v>0.18076477404403235</v>
      </c>
      <c r="AM39" s="312">
        <f t="shared" si="235"/>
        <v>0.62013729977116694</v>
      </c>
      <c r="AN39" s="312">
        <f t="shared" si="235"/>
        <v>0.5115384615384615</v>
      </c>
      <c r="AO39" s="312">
        <f t="shared" si="235"/>
        <v>0.4098360655737705</v>
      </c>
      <c r="AP39" s="312">
        <f t="shared" si="235"/>
        <v>0.52255639097744355</v>
      </c>
      <c r="AQ39" s="313">
        <f t="shared" si="235"/>
        <v>0.51030421982335628</v>
      </c>
      <c r="AR39" s="312">
        <f t="shared" si="235"/>
        <v>0.27401129943502833</v>
      </c>
      <c r="AS39" s="312">
        <f t="shared" si="235"/>
        <v>0.37531806615776087</v>
      </c>
      <c r="AT39" s="312">
        <f t="shared" si="235"/>
        <v>1.0258397932816536</v>
      </c>
      <c r="AU39" s="312">
        <f t="shared" si="235"/>
        <v>0.94938271604938262</v>
      </c>
      <c r="AV39" s="313">
        <f t="shared" si="235"/>
        <v>0.66666666666666674</v>
      </c>
      <c r="AW39" s="312">
        <f t="shared" si="235"/>
        <v>0.58203991130820398</v>
      </c>
      <c r="AX39" s="312">
        <f t="shared" si="235"/>
        <v>0.53654024051803884</v>
      </c>
      <c r="AY39" s="312">
        <f t="shared" si="235"/>
        <v>0.22895408163265296</v>
      </c>
      <c r="AZ39" s="312">
        <f t="shared" si="235"/>
        <v>0.21785940468651055</v>
      </c>
      <c r="BA39" s="313">
        <f t="shared" si="235"/>
        <v>0.35243664717348921</v>
      </c>
      <c r="BB39" s="312">
        <f t="shared" si="235"/>
        <v>0.47582340574632087</v>
      </c>
      <c r="BC39" s="312">
        <f t="shared" si="235"/>
        <v>0.65502709211318488</v>
      </c>
      <c r="BD39" s="312">
        <f t="shared" si="235"/>
        <v>0.15723923196678768</v>
      </c>
      <c r="BE39" s="312">
        <f t="shared" si="235"/>
        <v>0.53822152886115449</v>
      </c>
      <c r="BF39" s="313">
        <f t="shared" si="235"/>
        <v>0.44753531277025083</v>
      </c>
      <c r="BG39" s="312">
        <f t="shared" si="235"/>
        <v>0.34900284900284895</v>
      </c>
      <c r="BH39" s="312">
        <f t="shared" si="235"/>
        <v>0.19134230629319759</v>
      </c>
      <c r="BI39" s="312">
        <f t="shared" si="235"/>
        <v>0.25246636771300457</v>
      </c>
      <c r="BJ39" s="312">
        <f t="shared" si="235"/>
        <v>-0.11730899256254224</v>
      </c>
      <c r="BK39" s="313">
        <f t="shared" si="235"/>
        <v>0.14706760928009555</v>
      </c>
      <c r="BL39" s="312">
        <f t="shared" si="235"/>
        <v>-1.0559662090813271E-3</v>
      </c>
      <c r="BM39" s="312">
        <f t="shared" si="235"/>
        <v>-3.6641221374046351E-3</v>
      </c>
      <c r="BN39" s="312">
        <f t="shared" si="235"/>
        <v>9.6312209094163936E-2</v>
      </c>
      <c r="BO39" s="312">
        <f t="shared" si="235"/>
        <v>8.8088854844887043E-2</v>
      </c>
      <c r="BP39" s="313">
        <f t="shared" si="235"/>
        <v>4.2013888888888795E-2</v>
      </c>
      <c r="BQ39" s="312">
        <f t="shared" si="235"/>
        <v>2.0789288231148673E-2</v>
      </c>
      <c r="BR39" s="312">
        <f t="shared" si="235"/>
        <v>7.2939013178056955E-2</v>
      </c>
      <c r="BS39" s="312">
        <f t="shared" si="235"/>
        <v>7.7073807968647934E-2</v>
      </c>
      <c r="BT39" s="312">
        <f t="shared" si="235"/>
        <v>1.1615628299894487E-2</v>
      </c>
      <c r="BU39" s="313">
        <f t="shared" si="235"/>
        <v>4.7150949683438803E-2</v>
      </c>
      <c r="BV39" s="312">
        <f t="shared" ref="BV39:CZ39" si="236">BV37/BQ37-1</f>
        <v>4.5219192267863306E-2</v>
      </c>
      <c r="BW39" s="312">
        <f t="shared" si="236"/>
        <v>-0.30219937160811194</v>
      </c>
      <c r="BX39" s="312">
        <f t="shared" si="236"/>
        <v>-0.16798059429957546</v>
      </c>
      <c r="BY39" s="312">
        <f t="shared" si="236"/>
        <v>-0.18719554627696589</v>
      </c>
      <c r="BZ39" s="313">
        <f t="shared" si="236"/>
        <v>-0.16062052505966584</v>
      </c>
      <c r="CA39" s="312">
        <f t="shared" si="236"/>
        <v>3.9630118890356725E-2</v>
      </c>
      <c r="CB39" s="312">
        <f t="shared" si="236"/>
        <v>0.50634465820712249</v>
      </c>
      <c r="CC39" s="312">
        <f t="shared" si="236"/>
        <v>0.38593294460641392</v>
      </c>
      <c r="CD39" s="312">
        <f t="shared" si="236"/>
        <v>0.34118150684931514</v>
      </c>
      <c r="CE39" s="313">
        <f t="shared" si="236"/>
        <v>0.30452089849303388</v>
      </c>
      <c r="CF39" s="312">
        <f t="shared" si="236"/>
        <v>0.28017789072426935</v>
      </c>
      <c r="CG39" s="312">
        <f t="shared" si="236"/>
        <v>0.29048913043478253</v>
      </c>
      <c r="CH39" s="312">
        <f t="shared" si="236"/>
        <v>7.7307388903497198E-2</v>
      </c>
      <c r="CI39" s="312">
        <f t="shared" si="236"/>
        <v>0.19533992977976378</v>
      </c>
      <c r="CJ39" s="313">
        <f t="shared" si="236"/>
        <v>0.20757047369950588</v>
      </c>
      <c r="CK39" s="312">
        <f t="shared" si="236"/>
        <v>9.3548387096774155E-2</v>
      </c>
      <c r="CL39" s="312">
        <f t="shared" si="236"/>
        <v>-1.9161928827121533E-2</v>
      </c>
      <c r="CM39" s="312">
        <f t="shared" si="236"/>
        <v>4.6131315596778188E-2</v>
      </c>
      <c r="CN39" s="312">
        <f t="shared" si="236"/>
        <v>0.13057409879839788</v>
      </c>
      <c r="CO39" s="313">
        <f t="shared" si="236"/>
        <v>5.7998917032669572E-2</v>
      </c>
      <c r="CP39" s="312">
        <f t="shared" si="236"/>
        <v>1.5203085999546229E-2</v>
      </c>
      <c r="CQ39" s="312">
        <f t="shared" si="236"/>
        <v>-0.25461571489909829</v>
      </c>
      <c r="CR39" s="312">
        <f t="shared" si="236"/>
        <v>0.57326178254783011</v>
      </c>
      <c r="CS39" s="312">
        <f t="shared" si="236"/>
        <v>0.19178082191780832</v>
      </c>
      <c r="CT39" s="313">
        <f t="shared" si="236"/>
        <v>0.12226329257890245</v>
      </c>
      <c r="CU39" s="312">
        <f t="shared" si="236"/>
        <v>0.30733124720607963</v>
      </c>
      <c r="CV39" s="312">
        <f t="shared" si="236"/>
        <v>0.86664746543778803</v>
      </c>
      <c r="CW39" s="312">
        <f t="shared" si="236"/>
        <v>-0.13599288150674771</v>
      </c>
      <c r="CX39" s="312">
        <f t="shared" si="236"/>
        <v>0.12643678160919536</v>
      </c>
      <c r="CY39" s="313">
        <f t="shared" si="236"/>
        <v>0.20800608056751968</v>
      </c>
      <c r="CZ39" s="312">
        <f t="shared" si="236"/>
        <v>2.5645409471704461E-2</v>
      </c>
      <c r="DA39" s="312">
        <f t="shared" ref="DA39:DI39" si="237">DA37/CV37-1</f>
        <v>-8.3629069588026517E-2</v>
      </c>
      <c r="DB39" s="312">
        <f t="shared" si="237"/>
        <v>-0.18846549948506697</v>
      </c>
      <c r="DC39" s="312">
        <f t="shared" si="237"/>
        <v>-0.27603800140745949</v>
      </c>
      <c r="DD39" s="313">
        <f t="shared" si="237"/>
        <v>-0.12831375838926173</v>
      </c>
      <c r="DE39" s="312">
        <f t="shared" si="237"/>
        <v>-0.25287547924654108</v>
      </c>
      <c r="DF39" s="312">
        <f t="shared" si="237"/>
        <v>0.43340629735645742</v>
      </c>
      <c r="DG39" s="312">
        <f t="shared" si="237"/>
        <v>9.4120135363790158E-2</v>
      </c>
      <c r="DH39" s="312">
        <f t="shared" si="237"/>
        <v>0.44106925880923442</v>
      </c>
      <c r="DI39" s="313">
        <f t="shared" si="237"/>
        <v>0.15961695779798846</v>
      </c>
      <c r="DJ39" s="312">
        <f t="shared" ref="DJ39:DS39" si="238">DJ37/DE37-1</f>
        <v>0.58768406961178044</v>
      </c>
      <c r="DK39" s="312">
        <f t="shared" si="238"/>
        <v>-4.0878656172911976E-2</v>
      </c>
      <c r="DL39" s="312">
        <f t="shared" si="238"/>
        <v>0.10361492364198721</v>
      </c>
      <c r="DM39" s="312">
        <f t="shared" si="238"/>
        <v>4.0377740303541021E-2</v>
      </c>
      <c r="DN39" s="313">
        <f t="shared" si="238"/>
        <v>0.12704124823636831</v>
      </c>
      <c r="DO39" s="312">
        <f t="shared" si="238"/>
        <v>1.2225969645868418E-2</v>
      </c>
      <c r="DP39" s="312">
        <f t="shared" si="238"/>
        <v>-2.0943049601959585E-2</v>
      </c>
      <c r="DQ39" s="312">
        <f t="shared" si="238"/>
        <v>0.11648274654055002</v>
      </c>
      <c r="DR39" s="312">
        <f t="shared" si="238"/>
        <v>3.4939962135947633E-2</v>
      </c>
      <c r="DS39" s="313">
        <f t="shared" si="238"/>
        <v>2.9329028875411112E-2</v>
      </c>
      <c r="DT39" s="312">
        <f t="shared" ref="DT39:EB39" si="239">DT37/DO37-1</f>
        <v>-0.26308482576704151</v>
      </c>
      <c r="DU39" s="312">
        <f t="shared" si="239"/>
        <v>-2.789592194145607E-2</v>
      </c>
      <c r="DV39" s="312">
        <f t="shared" si="239"/>
        <v>0.30922497646689684</v>
      </c>
      <c r="DW39" s="312">
        <f t="shared" si="239"/>
        <v>-4.8864526233359462E-2</v>
      </c>
      <c r="DX39" s="313">
        <f t="shared" si="239"/>
        <v>-4.2638431821433675E-2</v>
      </c>
      <c r="DY39" s="312">
        <f t="shared" si="239"/>
        <v>0.19329314242652607</v>
      </c>
      <c r="DZ39" s="312">
        <f t="shared" si="239"/>
        <v>2.5479346287479165E-2</v>
      </c>
      <c r="EA39" s="312">
        <f t="shared" si="239"/>
        <v>-0.16428999400838828</v>
      </c>
      <c r="EB39" s="312">
        <f t="shared" si="239"/>
        <v>8.8259509303474371E-2</v>
      </c>
      <c r="EC39" s="313">
        <f>EC37/DX37-1</f>
        <v>4.1921984755642017E-2</v>
      </c>
      <c r="ED39" s="312">
        <f t="shared" ref="ED39:EG39" si="240">ED37/DY37-1</f>
        <v>0.10262077676034109</v>
      </c>
      <c r="EE39" s="312">
        <f t="shared" si="240"/>
        <v>-3.4634207554272822E-2</v>
      </c>
      <c r="EF39" s="312">
        <f t="shared" si="240"/>
        <v>-2.7244049326068276E-2</v>
      </c>
      <c r="EG39" s="312">
        <f t="shared" si="240"/>
        <v>-3.3893175972159129E-2</v>
      </c>
      <c r="EH39" s="313">
        <f>EH37/EC37-1</f>
        <v>-1.4344115326687668E-3</v>
      </c>
      <c r="EI39" s="312">
        <f t="shared" ref="EI39:EU39" si="241">EI37/ED37-1</f>
        <v>-9.5647193585337908E-2</v>
      </c>
      <c r="EJ39" s="312">
        <f t="shared" si="241"/>
        <v>-2.651761341479264E-2</v>
      </c>
      <c r="EK39" s="312">
        <f t="shared" si="241"/>
        <v>-7.4734669811320709E-2</v>
      </c>
      <c r="EL39" s="312">
        <f t="shared" si="241"/>
        <v>0.11292090837901325</v>
      </c>
      <c r="EM39" s="313">
        <f t="shared" si="241"/>
        <v>-2.3629964806435422E-2</v>
      </c>
      <c r="EN39" s="312">
        <f t="shared" si="241"/>
        <v>6.317289423685879E-2</v>
      </c>
      <c r="EO39" s="312">
        <f t="shared" si="241"/>
        <v>5.5548137267993125E-2</v>
      </c>
      <c r="EP39" s="312">
        <f t="shared" si="241"/>
        <v>7.1053050820455654E-2</v>
      </c>
      <c r="EQ39" s="312">
        <f t="shared" si="241"/>
        <v>0.12412046158176193</v>
      </c>
      <c r="ER39" s="313">
        <f t="shared" si="241"/>
        <v>7.882153891422683E-2</v>
      </c>
      <c r="ES39" s="312">
        <f t="shared" si="241"/>
        <v>0.14787788533134782</v>
      </c>
      <c r="ET39" s="312">
        <f t="shared" si="241"/>
        <v>9.7912713472485757E-2</v>
      </c>
      <c r="EU39" s="312">
        <f t="shared" si="241"/>
        <v>0.23337795626952262</v>
      </c>
      <c r="EV39" s="312">
        <f t="shared" ref="EU39:EV39" si="242">EV37/EQ37-1</f>
        <v>0.20641334426331781</v>
      </c>
      <c r="EW39" s="313">
        <f>EW37/ER37-1</f>
        <v>0.16995089816151432</v>
      </c>
      <c r="EX39" s="312">
        <f t="shared" ref="EX39:FG39" si="243">EX37/ES37-1</f>
        <v>0.17284422738550465</v>
      </c>
      <c r="EY39" s="312">
        <f t="shared" si="243"/>
        <v>0.1673906819393034</v>
      </c>
      <c r="EZ39" s="312">
        <f t="shared" si="243"/>
        <v>0.1723908439396844</v>
      </c>
      <c r="FA39" s="312">
        <f t="shared" si="243"/>
        <v>0.15411585661719696</v>
      </c>
      <c r="FB39" s="313">
        <f t="shared" si="243"/>
        <v>0.16609594534589545</v>
      </c>
      <c r="FC39" s="312">
        <f t="shared" si="243"/>
        <v>0.16350142958188529</v>
      </c>
      <c r="FD39" s="312">
        <f t="shared" si="243"/>
        <v>0.16580360935863103</v>
      </c>
      <c r="FE39" s="312">
        <f t="shared" si="243"/>
        <v>0.19274882305977092</v>
      </c>
      <c r="FF39" s="312">
        <f t="shared" si="243"/>
        <v>0.18186699715003041</v>
      </c>
      <c r="FG39" s="313">
        <f t="shared" si="243"/>
        <v>0.17629432810967627</v>
      </c>
      <c r="FH39" s="312">
        <f t="shared" ref="FH39" si="244">FH37/FC37-1</f>
        <v>0.15200009252917557</v>
      </c>
      <c r="FI39" s="312">
        <f t="shared" ref="FI39" si="245">FI37/FD37-1</f>
        <v>0.14394619664378294</v>
      </c>
      <c r="FJ39" s="312">
        <f t="shared" ref="FJ39" si="246">FJ37/FE37-1</f>
        <v>0.15975215199657411</v>
      </c>
      <c r="FK39" s="312">
        <f t="shared" ref="FK39" si="247">FK37/FF37-1</f>
        <v>0.15071111889961886</v>
      </c>
      <c r="FL39" s="313">
        <f t="shared" ref="FL39" si="248">FL37/FG37-1</f>
        <v>0.1515287525785185</v>
      </c>
      <c r="FM39" s="242"/>
      <c r="FN39" s="343"/>
      <c r="FO39" s="343">
        <f t="shared" ref="FO39:FU39" si="249">FO37/FN37-1</f>
        <v>1.7781316348195242E-2</v>
      </c>
      <c r="FP39" s="343">
        <f t="shared" si="249"/>
        <v>6.9187309865275992E-2</v>
      </c>
      <c r="FQ39" s="343">
        <f t="shared" si="249"/>
        <v>-5.3491586049914663E-2</v>
      </c>
      <c r="FR39" s="343">
        <f t="shared" si="249"/>
        <v>2.2760456926908867E-2</v>
      </c>
      <c r="FS39" s="343">
        <f t="shared" si="249"/>
        <v>0.3197010413167618</v>
      </c>
      <c r="FT39" s="343">
        <f t="shared" si="249"/>
        <v>7.5851097677378299E-2</v>
      </c>
      <c r="FU39" s="343">
        <f t="shared" si="249"/>
        <v>-2.6083870586147695E-2</v>
      </c>
      <c r="FV39" s="343">
        <f t="shared" ref="FV39:GG39" si="250">FV37/FU37-1</f>
        <v>0.46477590185837481</v>
      </c>
      <c r="FW39" s="343">
        <f t="shared" si="250"/>
        <v>-2.7820390563456199E-2</v>
      </c>
      <c r="FX39" s="861">
        <f t="shared" si="250"/>
        <v>-6.8662572500852947E-2</v>
      </c>
      <c r="FY39" s="862">
        <f t="shared" si="250"/>
        <v>0.20816924626797317</v>
      </c>
      <c r="FZ39" s="862">
        <f t="shared" si="250"/>
        <v>2.6206791995148748E-2</v>
      </c>
      <c r="GA39" s="862">
        <f t="shared" si="250"/>
        <v>-4.5703412391451481E-2</v>
      </c>
      <c r="GB39" s="862">
        <f t="shared" si="250"/>
        <v>0.11157984364114859</v>
      </c>
      <c r="GC39" s="862">
        <f t="shared" si="250"/>
        <v>-1.6050973155530834E-2</v>
      </c>
      <c r="GD39" s="862">
        <f t="shared" si="250"/>
        <v>-4.550601556970979E-2</v>
      </c>
      <c r="GE39" s="862">
        <f t="shared" si="250"/>
        <v>3.8147846073997238E-2</v>
      </c>
      <c r="GF39" s="862">
        <f t="shared" si="250"/>
        <v>0.11052387244223838</v>
      </c>
      <c r="GG39" s="862">
        <f t="shared" si="250"/>
        <v>0.19303160419364795</v>
      </c>
      <c r="GH39" s="862">
        <f t="shared" ref="GH39" si="251">GH37/GG37-1</f>
        <v>0.16367902750648966</v>
      </c>
      <c r="GI39" s="862">
        <f t="shared" ref="GI39" si="252">GI37/GH37-1</f>
        <v>0.16666619844329977</v>
      </c>
      <c r="GJ39" s="1223"/>
      <c r="GK39" s="1223"/>
      <c r="GL39" s="1223"/>
      <c r="GN39"/>
      <c r="GO39"/>
      <c r="GP39"/>
      <c r="GQ39"/>
      <c r="GR39"/>
      <c r="GS39"/>
    </row>
    <row r="40" spans="1:201" s="264" customFormat="1" ht="12.75">
      <c r="A40" s="309"/>
      <c r="B40" s="253"/>
      <c r="C40" s="253"/>
      <c r="D40" s="341"/>
      <c r="E40" s="341"/>
      <c r="F40" s="341"/>
      <c r="G40" s="341"/>
      <c r="H40" s="342"/>
      <c r="I40" s="312"/>
      <c r="J40" s="312"/>
      <c r="K40" s="312"/>
      <c r="L40" s="312"/>
      <c r="M40" s="313"/>
      <c r="N40" s="312"/>
      <c r="O40" s="312"/>
      <c r="P40" s="312"/>
      <c r="Q40" s="312"/>
      <c r="R40" s="313"/>
      <c r="S40" s="312"/>
      <c r="T40" s="312"/>
      <c r="U40" s="312"/>
      <c r="V40" s="312"/>
      <c r="W40" s="313"/>
      <c r="X40" s="312"/>
      <c r="Y40" s="312"/>
      <c r="Z40" s="312"/>
      <c r="AA40" s="312"/>
      <c r="AB40" s="313"/>
      <c r="AC40" s="312"/>
      <c r="AD40" s="312"/>
      <c r="AE40" s="312"/>
      <c r="AF40" s="312"/>
      <c r="AG40" s="313"/>
      <c r="AH40" s="312"/>
      <c r="AI40" s="312"/>
      <c r="AJ40" s="312"/>
      <c r="AK40" s="312"/>
      <c r="AL40" s="313"/>
      <c r="AM40" s="312"/>
      <c r="AN40" s="312"/>
      <c r="AO40" s="312"/>
      <c r="AP40" s="312"/>
      <c r="AQ40" s="313"/>
      <c r="AR40" s="312"/>
      <c r="AS40" s="312"/>
      <c r="AT40" s="312"/>
      <c r="AU40" s="312"/>
      <c r="AV40" s="313"/>
      <c r="AW40" s="312"/>
      <c r="AX40" s="312"/>
      <c r="AY40" s="312"/>
      <c r="AZ40" s="312"/>
      <c r="BA40" s="313"/>
      <c r="BB40" s="312"/>
      <c r="BC40" s="312"/>
      <c r="BD40" s="312"/>
      <c r="BE40" s="312"/>
      <c r="BF40" s="313"/>
      <c r="BG40" s="312"/>
      <c r="BH40" s="312"/>
      <c r="BI40" s="312"/>
      <c r="BJ40" s="312"/>
      <c r="BK40" s="313"/>
      <c r="BL40" s="312"/>
      <c r="BM40" s="312"/>
      <c r="BN40" s="312"/>
      <c r="BO40" s="312"/>
      <c r="BP40" s="313"/>
      <c r="BQ40" s="312"/>
      <c r="BR40" s="312"/>
      <c r="BS40" s="312"/>
      <c r="BT40" s="312"/>
      <c r="BU40" s="313"/>
      <c r="BV40" s="312"/>
      <c r="BW40" s="312"/>
      <c r="BX40" s="312"/>
      <c r="BY40" s="312"/>
      <c r="BZ40" s="313"/>
      <c r="CA40" s="312"/>
      <c r="CB40" s="312"/>
      <c r="CC40" s="312"/>
      <c r="CD40" s="312"/>
      <c r="CE40" s="313"/>
      <c r="CF40" s="312"/>
      <c r="CG40" s="312"/>
      <c r="CH40" s="312"/>
      <c r="CI40" s="312"/>
      <c r="CJ40" s="313"/>
      <c r="CK40" s="312"/>
      <c r="CL40" s="312"/>
      <c r="CM40" s="312"/>
      <c r="CN40" s="312"/>
      <c r="CO40" s="313"/>
      <c r="CP40" s="312"/>
      <c r="CQ40" s="312"/>
      <c r="CR40" s="312"/>
      <c r="CS40" s="312"/>
      <c r="CT40" s="313"/>
      <c r="CU40" s="312"/>
      <c r="CV40" s="312"/>
      <c r="CW40" s="312"/>
      <c r="CX40" s="312"/>
      <c r="CY40" s="313"/>
      <c r="CZ40" s="312"/>
      <c r="DA40" s="312"/>
      <c r="DB40" s="312"/>
      <c r="DC40" s="312"/>
      <c r="DD40" s="313"/>
      <c r="DE40" s="312"/>
      <c r="DF40" s="312"/>
      <c r="DG40" s="312"/>
      <c r="DH40" s="312"/>
      <c r="DI40" s="313"/>
      <c r="DJ40" s="312"/>
      <c r="DK40" s="312"/>
      <c r="DL40" s="312"/>
      <c r="DM40" s="312"/>
      <c r="DN40" s="313"/>
      <c r="DO40" s="312"/>
      <c r="DP40" s="312"/>
      <c r="DQ40" s="312"/>
      <c r="DR40" s="312"/>
      <c r="DS40" s="313"/>
      <c r="DT40" s="312"/>
      <c r="DU40" s="312"/>
      <c r="DV40" s="312"/>
      <c r="DW40" s="312"/>
      <c r="DX40" s="313"/>
      <c r="DY40" s="312"/>
      <c r="DZ40" s="312"/>
      <c r="EA40" s="312"/>
      <c r="EB40" s="312"/>
      <c r="EC40" s="313"/>
      <c r="ED40" s="312"/>
      <c r="EE40" s="312"/>
      <c r="EF40" s="312"/>
      <c r="EG40" s="312"/>
      <c r="EH40" s="313"/>
      <c r="EI40" s="312"/>
      <c r="EJ40" s="312"/>
      <c r="EK40" s="312"/>
      <c r="EL40" s="312"/>
      <c r="EM40" s="313"/>
      <c r="EN40" s="312"/>
      <c r="EO40" s="312"/>
      <c r="EP40" s="312"/>
      <c r="EQ40" s="312"/>
      <c r="ER40" s="313"/>
      <c r="ES40" s="312"/>
      <c r="ET40" s="312"/>
      <c r="EU40" s="312"/>
      <c r="EV40" s="312"/>
      <c r="EW40" s="313"/>
      <c r="EX40" s="312"/>
      <c r="EY40" s="312"/>
      <c r="EZ40" s="312"/>
      <c r="FA40" s="312"/>
      <c r="FB40" s="313"/>
      <c r="FC40" s="312"/>
      <c r="FD40" s="312"/>
      <c r="FE40" s="312"/>
      <c r="FF40" s="312"/>
      <c r="FG40" s="313"/>
      <c r="FH40" s="312"/>
      <c r="FI40" s="312"/>
      <c r="FJ40" s="312"/>
      <c r="FK40" s="312"/>
      <c r="FL40" s="313"/>
      <c r="FM40" s="242"/>
      <c r="FN40" s="343"/>
      <c r="FO40" s="343"/>
      <c r="FP40" s="343"/>
      <c r="FQ40" s="343"/>
      <c r="FR40" s="343"/>
      <c r="FS40" s="343"/>
      <c r="FT40" s="343"/>
      <c r="FU40" s="343"/>
      <c r="FV40" s="343"/>
      <c r="FW40" s="343"/>
      <c r="FX40" s="861"/>
      <c r="FY40" s="862"/>
      <c r="FZ40" s="862"/>
      <c r="GA40" s="862"/>
      <c r="GB40" s="862"/>
      <c r="GC40" s="862"/>
      <c r="GD40" s="862"/>
      <c r="GE40" s="862"/>
      <c r="GF40" s="862"/>
      <c r="GG40" s="862"/>
      <c r="GH40" s="862"/>
      <c r="GI40" s="862"/>
      <c r="GJ40" s="1223"/>
      <c r="GK40" s="1223"/>
      <c r="GL40" s="1223"/>
      <c r="GN40"/>
      <c r="GO40"/>
      <c r="GP40"/>
      <c r="GQ40"/>
      <c r="GR40"/>
      <c r="GS40"/>
    </row>
    <row r="41" spans="1:201" s="264" customFormat="1" ht="12.75">
      <c r="A41" s="2575" t="s">
        <v>1429</v>
      </c>
      <c r="B41" s="2575"/>
      <c r="C41" s="2575"/>
      <c r="D41" s="2576"/>
      <c r="E41" s="2576"/>
      <c r="F41" s="2576"/>
      <c r="G41" s="2576"/>
      <c r="H41" s="2577"/>
      <c r="I41" s="2578"/>
      <c r="J41" s="2578"/>
      <c r="K41" s="2578"/>
      <c r="L41" s="2578"/>
      <c r="M41" s="2579"/>
      <c r="N41" s="2578"/>
      <c r="O41" s="2578"/>
      <c r="P41" s="2578"/>
      <c r="Q41" s="2578"/>
      <c r="R41" s="2579"/>
      <c r="S41" s="2578"/>
      <c r="T41" s="2578"/>
      <c r="U41" s="2578"/>
      <c r="V41" s="2578"/>
      <c r="W41" s="2579"/>
      <c r="X41" s="2578"/>
      <c r="Y41" s="2578"/>
      <c r="Z41" s="2578"/>
      <c r="AA41" s="2578"/>
      <c r="AB41" s="2579"/>
      <c r="AC41" s="2578"/>
      <c r="AD41" s="2578"/>
      <c r="AE41" s="2578"/>
      <c r="AF41" s="2578"/>
      <c r="AG41" s="2579"/>
      <c r="AH41" s="2578"/>
      <c r="AI41" s="2578"/>
      <c r="AJ41" s="2578"/>
      <c r="AK41" s="2578"/>
      <c r="AL41" s="2579"/>
      <c r="AM41" s="2578"/>
      <c r="AN41" s="2578"/>
      <c r="AO41" s="2578"/>
      <c r="AP41" s="2578"/>
      <c r="AQ41" s="2579"/>
      <c r="AR41" s="2578"/>
      <c r="AS41" s="2578"/>
      <c r="AT41" s="2578"/>
      <c r="AU41" s="2578"/>
      <c r="AV41" s="2579"/>
      <c r="AW41" s="2578"/>
      <c r="AX41" s="2578"/>
      <c r="AY41" s="2578"/>
      <c r="AZ41" s="2578"/>
      <c r="BA41" s="2579"/>
      <c r="BB41" s="2578"/>
      <c r="BC41" s="2578"/>
      <c r="BD41" s="2578"/>
      <c r="BE41" s="2578"/>
      <c r="BF41" s="2579"/>
      <c r="BG41" s="2578"/>
      <c r="BH41" s="2578"/>
      <c r="BI41" s="2578"/>
      <c r="BJ41" s="2578"/>
      <c r="BK41" s="2579"/>
      <c r="BL41" s="2578"/>
      <c r="BM41" s="2578"/>
      <c r="BN41" s="2578"/>
      <c r="BO41" s="2578"/>
      <c r="BP41" s="2579"/>
      <c r="BQ41" s="2578"/>
      <c r="BR41" s="2578"/>
      <c r="BS41" s="2578"/>
      <c r="BT41" s="2578"/>
      <c r="BU41" s="2579"/>
      <c r="BV41" s="2578"/>
      <c r="BW41" s="2578"/>
      <c r="BX41" s="2578"/>
      <c r="BY41" s="2578"/>
      <c r="BZ41" s="2579"/>
      <c r="CA41" s="2578"/>
      <c r="CB41" s="2578"/>
      <c r="CC41" s="2578"/>
      <c r="CD41" s="2578"/>
      <c r="CE41" s="2579"/>
      <c r="CF41" s="2578"/>
      <c r="CG41" s="2578"/>
      <c r="CH41" s="2578"/>
      <c r="CI41" s="2578"/>
      <c r="CJ41" s="2579"/>
      <c r="CK41" s="2578"/>
      <c r="CL41" s="2578"/>
      <c r="CM41" s="2578"/>
      <c r="CN41" s="2578"/>
      <c r="CO41" s="2579"/>
      <c r="CP41" s="2578"/>
      <c r="CQ41" s="2578"/>
      <c r="CR41" s="2578"/>
      <c r="CS41" s="2578"/>
      <c r="CT41" s="2579"/>
      <c r="CU41" s="2578"/>
      <c r="CV41" s="2578"/>
      <c r="CW41" s="2578"/>
      <c r="CX41" s="2578"/>
      <c r="CY41" s="2579"/>
      <c r="CZ41" s="2578"/>
      <c r="DA41" s="2578"/>
      <c r="DB41" s="2578"/>
      <c r="DC41" s="2578"/>
      <c r="DD41" s="2579"/>
      <c r="DE41" s="2578"/>
      <c r="DF41" s="2578"/>
      <c r="DG41" s="2578"/>
      <c r="DH41" s="2578"/>
      <c r="DI41" s="2579"/>
      <c r="DJ41" s="2578"/>
      <c r="DK41" s="2578"/>
      <c r="DL41" s="2578"/>
      <c r="DM41" s="2578"/>
      <c r="DN41" s="2579"/>
      <c r="DO41" s="2578"/>
      <c r="DP41" s="2578"/>
      <c r="DQ41" s="2578"/>
      <c r="DR41" s="2578"/>
      <c r="DS41" s="2579"/>
      <c r="DT41" s="2578"/>
      <c r="DU41" s="2578"/>
      <c r="DV41" s="2578"/>
      <c r="DW41" s="2578"/>
      <c r="DX41" s="2579"/>
      <c r="DY41" s="2578"/>
      <c r="DZ41" s="2578"/>
      <c r="EA41" s="2578"/>
      <c r="EB41" s="2578"/>
      <c r="EC41" s="2579"/>
      <c r="ED41" s="2578"/>
      <c r="EE41" s="2578"/>
      <c r="EF41" s="2578"/>
      <c r="EG41" s="2578"/>
      <c r="EH41" s="2579"/>
      <c r="EI41" s="2578"/>
      <c r="EJ41" s="2578"/>
      <c r="EK41" s="2578"/>
      <c r="EL41" s="2578"/>
      <c r="EM41" s="2579"/>
      <c r="EN41" s="2578"/>
      <c r="EO41" s="2699">
        <v>52</v>
      </c>
      <c r="EP41" s="2699">
        <v>153</v>
      </c>
      <c r="EQ41" s="2699">
        <v>154</v>
      </c>
      <c r="ER41" s="2700">
        <f>SUM(EN41:EQ41)</f>
        <v>359</v>
      </c>
      <c r="ES41" s="2580">
        <v>154</v>
      </c>
      <c r="ET41" s="2699">
        <v>154</v>
      </c>
      <c r="EU41" s="2699">
        <v>155</v>
      </c>
      <c r="EV41" s="2580">
        <v>155</v>
      </c>
      <c r="EW41" s="2581">
        <f>SUM(ES41:EV41)</f>
        <v>618</v>
      </c>
      <c r="EX41" s="2580">
        <v>155</v>
      </c>
      <c r="EY41" s="2580">
        <v>155</v>
      </c>
      <c r="EZ41" s="2580">
        <v>155</v>
      </c>
      <c r="FA41" s="2580">
        <v>155</v>
      </c>
      <c r="FB41" s="2581">
        <f>SUM(EX41:FA41)</f>
        <v>620</v>
      </c>
      <c r="FC41" s="2580">
        <v>155</v>
      </c>
      <c r="FD41" s="2580">
        <v>155</v>
      </c>
      <c r="FE41" s="2580">
        <v>155</v>
      </c>
      <c r="FF41" s="2580">
        <v>155</v>
      </c>
      <c r="FG41" s="2581">
        <f>SUM(FC41:FF41)</f>
        <v>620</v>
      </c>
      <c r="FH41" s="2580">
        <v>155</v>
      </c>
      <c r="FI41" s="2580">
        <v>155</v>
      </c>
      <c r="FJ41" s="2580">
        <v>155</v>
      </c>
      <c r="FK41" s="2580">
        <v>155</v>
      </c>
      <c r="FL41" s="2581">
        <f>SUM(FH41:FK41)</f>
        <v>620</v>
      </c>
      <c r="FM41" s="242"/>
      <c r="FN41" s="343"/>
      <c r="FO41" s="343"/>
      <c r="FP41" s="343"/>
      <c r="FQ41" s="343"/>
      <c r="FR41" s="343"/>
      <c r="FS41" s="343"/>
      <c r="FT41" s="343"/>
      <c r="FU41" s="343"/>
      <c r="FV41" s="343"/>
      <c r="FW41" s="343"/>
      <c r="FX41" s="861"/>
      <c r="FY41" s="862"/>
      <c r="FZ41" s="862"/>
      <c r="GA41" s="862"/>
      <c r="GB41" s="862"/>
      <c r="GC41" s="862"/>
      <c r="GD41" s="862"/>
      <c r="GE41" s="862"/>
      <c r="GF41" s="862"/>
      <c r="GG41" s="862"/>
      <c r="GH41" s="862"/>
      <c r="GI41" s="862"/>
      <c r="GJ41" s="1223"/>
      <c r="GK41" s="1223"/>
      <c r="GL41" s="1223"/>
      <c r="GN41"/>
      <c r="GO41"/>
      <c r="GP41"/>
      <c r="GQ41"/>
      <c r="GR41"/>
      <c r="GS41"/>
    </row>
    <row r="42" spans="1:201" s="264" customFormat="1" ht="12.75">
      <c r="A42" s="2575" t="s">
        <v>1431</v>
      </c>
      <c r="B42" s="2575"/>
      <c r="C42" s="2575"/>
      <c r="D42" s="2576"/>
      <c r="E42" s="2576"/>
      <c r="F42" s="2576"/>
      <c r="G42" s="2576"/>
      <c r="H42" s="2577"/>
      <c r="I42" s="2578"/>
      <c r="J42" s="2578"/>
      <c r="K42" s="2578"/>
      <c r="L42" s="2578"/>
      <c r="M42" s="2579"/>
      <c r="N42" s="2578"/>
      <c r="O42" s="2578"/>
      <c r="P42" s="2578"/>
      <c r="Q42" s="2578"/>
      <c r="R42" s="2579"/>
      <c r="S42" s="2578"/>
      <c r="T42" s="2578"/>
      <c r="U42" s="2578"/>
      <c r="V42" s="2578"/>
      <c r="W42" s="2579"/>
      <c r="X42" s="2578"/>
      <c r="Y42" s="2578"/>
      <c r="Z42" s="2578"/>
      <c r="AA42" s="2578"/>
      <c r="AB42" s="2579"/>
      <c r="AC42" s="2578"/>
      <c r="AD42" s="2578"/>
      <c r="AE42" s="2578"/>
      <c r="AF42" s="2578"/>
      <c r="AG42" s="2579"/>
      <c r="AH42" s="2578"/>
      <c r="AI42" s="2578"/>
      <c r="AJ42" s="2578"/>
      <c r="AK42" s="2578"/>
      <c r="AL42" s="2579"/>
      <c r="AM42" s="2578"/>
      <c r="AN42" s="2578"/>
      <c r="AO42" s="2578"/>
      <c r="AP42" s="2578"/>
      <c r="AQ42" s="2579"/>
      <c r="AR42" s="2578"/>
      <c r="AS42" s="2578"/>
      <c r="AT42" s="2578"/>
      <c r="AU42" s="2578"/>
      <c r="AV42" s="2579"/>
      <c r="AW42" s="2578"/>
      <c r="AX42" s="2578"/>
      <c r="AY42" s="2578"/>
      <c r="AZ42" s="2578"/>
      <c r="BA42" s="2579"/>
      <c r="BB42" s="2578"/>
      <c r="BC42" s="2578"/>
      <c r="BD42" s="2578"/>
      <c r="BE42" s="2578"/>
      <c r="BF42" s="2579"/>
      <c r="BG42" s="2578"/>
      <c r="BH42" s="2578"/>
      <c r="BI42" s="2578"/>
      <c r="BJ42" s="2578"/>
      <c r="BK42" s="2579"/>
      <c r="BL42" s="2578"/>
      <c r="BM42" s="2578"/>
      <c r="BN42" s="2578"/>
      <c r="BO42" s="2578"/>
      <c r="BP42" s="2579"/>
      <c r="BQ42" s="2578"/>
      <c r="BR42" s="2578"/>
      <c r="BS42" s="2578"/>
      <c r="BT42" s="2578"/>
      <c r="BU42" s="2579"/>
      <c r="BV42" s="2578"/>
      <c r="BW42" s="2578"/>
      <c r="BX42" s="2578"/>
      <c r="BY42" s="2578"/>
      <c r="BZ42" s="2579"/>
      <c r="CA42" s="2578"/>
      <c r="CB42" s="2578"/>
      <c r="CC42" s="2578"/>
      <c r="CD42" s="2578"/>
      <c r="CE42" s="2579"/>
      <c r="CF42" s="2578"/>
      <c r="CG42" s="2578"/>
      <c r="CH42" s="2578"/>
      <c r="CI42" s="2578"/>
      <c r="CJ42" s="2579"/>
      <c r="CK42" s="2578"/>
      <c r="CL42" s="2578"/>
      <c r="CM42" s="2578"/>
      <c r="CN42" s="2578"/>
      <c r="CO42" s="2579"/>
      <c r="CP42" s="2578"/>
      <c r="CQ42" s="2578"/>
      <c r="CR42" s="2578"/>
      <c r="CS42" s="2578"/>
      <c r="CT42" s="2579"/>
      <c r="CU42" s="2578"/>
      <c r="CV42" s="2578"/>
      <c r="CW42" s="2578"/>
      <c r="CX42" s="2578"/>
      <c r="CY42" s="2579"/>
      <c r="CZ42" s="2578"/>
      <c r="DA42" s="2578"/>
      <c r="DB42" s="2578"/>
      <c r="DC42" s="2578"/>
      <c r="DD42" s="2579"/>
      <c r="DE42" s="2578"/>
      <c r="DF42" s="2578"/>
      <c r="DG42" s="2578"/>
      <c r="DH42" s="2578"/>
      <c r="DI42" s="2579"/>
      <c r="DJ42" s="2578"/>
      <c r="DK42" s="2578"/>
      <c r="DL42" s="2578"/>
      <c r="DM42" s="2578"/>
      <c r="DN42" s="2579"/>
      <c r="DO42" s="2578"/>
      <c r="DP42" s="2578"/>
      <c r="DQ42" s="2578"/>
      <c r="DR42" s="2578"/>
      <c r="DS42" s="2579"/>
      <c r="DT42" s="2578"/>
      <c r="DU42" s="2578"/>
      <c r="DV42" s="2578"/>
      <c r="DW42" s="2578"/>
      <c r="DX42" s="2579"/>
      <c r="DY42" s="2578"/>
      <c r="DZ42" s="2578"/>
      <c r="EA42" s="2578"/>
      <c r="EB42" s="2578"/>
      <c r="EC42" s="2579"/>
      <c r="ED42" s="2578"/>
      <c r="EE42" s="2578"/>
      <c r="EF42" s="2578"/>
      <c r="EG42" s="2578"/>
      <c r="EH42" s="2579"/>
      <c r="EI42" s="2578"/>
      <c r="EJ42" s="2578"/>
      <c r="EK42" s="2578"/>
      <c r="EL42" s="2578"/>
      <c r="EM42" s="2579"/>
      <c r="EN42" s="2578"/>
      <c r="EO42" s="2578">
        <f>(EO37+EO41)/EO8</f>
        <v>0.30810036397428947</v>
      </c>
      <c r="EP42" s="2578">
        <f>(EP37+EP41)/EP8</f>
        <v>0.29622608995347233</v>
      </c>
      <c r="EQ42" s="2578">
        <f>(EQ37+EQ41)/EQ8</f>
        <v>0.31798476859988284</v>
      </c>
      <c r="ER42" s="2579">
        <f t="shared" ref="ER42:ES42" si="253">(ER37+ER41)/ER8</f>
        <v>0.30744219279079643</v>
      </c>
      <c r="ES42" s="2578">
        <f t="shared" si="253"/>
        <v>0.3204010106773168</v>
      </c>
      <c r="ET42" s="2578">
        <f>(ET37+ET41)/ET8</f>
        <v>0.30544989280033197</v>
      </c>
      <c r="EU42" s="2578">
        <f>(EU37+EU41)/EU8</f>
        <v>0.31496327230694654</v>
      </c>
      <c r="EV42" s="2578">
        <f t="shared" ref="EU42:EW42" si="254">(EV37+EV41)/EV8</f>
        <v>0.33538779147047376</v>
      </c>
      <c r="EW42" s="2579">
        <f t="shared" si="254"/>
        <v>0.31911624610494616</v>
      </c>
      <c r="EX42" s="2578">
        <f t="shared" ref="EX42" si="255">(EX37+EX41)/EX8</f>
        <v>0.33153870486425269</v>
      </c>
      <c r="EY42" s="2578">
        <f t="shared" ref="EY42" si="256">(EY37+EY41)/EY8</f>
        <v>0.31946615745823137</v>
      </c>
      <c r="EZ42" s="2578">
        <f t="shared" ref="EZ42" si="257">(EZ37+EZ41)/EZ8</f>
        <v>0.3296877540893362</v>
      </c>
      <c r="FA42" s="2578">
        <f t="shared" ref="FA42:FE42" si="258">(FA37+FA41)/FA8</f>
        <v>0.34547445856186432</v>
      </c>
      <c r="FB42" s="2579">
        <f t="shared" si="258"/>
        <v>0.3316260968691484</v>
      </c>
      <c r="FC42" s="2578">
        <f t="shared" si="258"/>
        <v>0.34301991805190213</v>
      </c>
      <c r="FD42" s="2578">
        <f t="shared" si="258"/>
        <v>0.3359754889588053</v>
      </c>
      <c r="FE42" s="2578">
        <f t="shared" si="258"/>
        <v>0.34592799857480838</v>
      </c>
      <c r="FF42" s="2578">
        <f t="shared" ref="FF42:FJ42" si="259">(FF37+FF41)/FF8</f>
        <v>0.35931590742639874</v>
      </c>
      <c r="FG42" s="2579">
        <f t="shared" si="259"/>
        <v>0.34629519202240855</v>
      </c>
      <c r="FH42" s="2578">
        <f t="shared" si="259"/>
        <v>0.35233219836343194</v>
      </c>
      <c r="FI42" s="2578">
        <f t="shared" si="259"/>
        <v>0.34939432640632695</v>
      </c>
      <c r="FJ42" s="2578">
        <f t="shared" si="259"/>
        <v>0.35835200555236507</v>
      </c>
      <c r="FK42" s="2578">
        <f t="shared" ref="FK42:FL42" si="260">(FK37+FK41)/FK8</f>
        <v>0.37003396464400273</v>
      </c>
      <c r="FL42" s="2579">
        <f t="shared" si="260"/>
        <v>0.3578451461831032</v>
      </c>
      <c r="FM42" s="242"/>
      <c r="FN42" s="343"/>
      <c r="FO42" s="343"/>
      <c r="FP42" s="343"/>
      <c r="FQ42" s="343"/>
      <c r="FR42" s="343"/>
      <c r="FS42" s="343"/>
      <c r="FT42" s="343"/>
      <c r="FU42" s="343"/>
      <c r="FV42" s="343"/>
      <c r="FW42" s="343"/>
      <c r="FX42" s="861"/>
      <c r="FY42" s="862"/>
      <c r="FZ42" s="862"/>
      <c r="GA42" s="862"/>
      <c r="GB42" s="862"/>
      <c r="GC42" s="862"/>
      <c r="GD42" s="862"/>
      <c r="GE42" s="862"/>
      <c r="GF42" s="862"/>
      <c r="GG42" s="862"/>
      <c r="GH42" s="862"/>
      <c r="GI42" s="862"/>
      <c r="GJ42" s="1223"/>
      <c r="GK42" s="1223"/>
      <c r="GL42" s="1223"/>
      <c r="GN42"/>
      <c r="GO42"/>
      <c r="GP42"/>
      <c r="GQ42"/>
      <c r="GR42"/>
      <c r="GS42"/>
    </row>
    <row r="43" spans="1:201" s="264" customFormat="1" ht="12.75">
      <c r="A43" s="309"/>
      <c r="B43" s="253"/>
      <c r="C43" s="253"/>
      <c r="D43" s="341"/>
      <c r="E43" s="341"/>
      <c r="F43" s="341"/>
      <c r="G43" s="341"/>
      <c r="H43" s="342"/>
      <c r="I43" s="341"/>
      <c r="J43" s="341"/>
      <c r="K43" s="341"/>
      <c r="L43" s="341"/>
      <c r="M43" s="342"/>
      <c r="N43" s="341"/>
      <c r="O43" s="341"/>
      <c r="P43" s="341"/>
      <c r="Q43" s="341"/>
      <c r="R43" s="342"/>
      <c r="S43" s="341"/>
      <c r="T43" s="341"/>
      <c r="U43" s="341"/>
      <c r="V43" s="341"/>
      <c r="W43" s="342"/>
      <c r="X43" s="341"/>
      <c r="Y43" s="341"/>
      <c r="Z43" s="341"/>
      <c r="AA43" s="341"/>
      <c r="AB43" s="342"/>
      <c r="AC43" s="341"/>
      <c r="AD43" s="341"/>
      <c r="AE43" s="341"/>
      <c r="AF43" s="341"/>
      <c r="AG43" s="342"/>
      <c r="AH43" s="341"/>
      <c r="AI43" s="341"/>
      <c r="AJ43" s="341"/>
      <c r="AK43" s="341"/>
      <c r="AL43" s="342"/>
      <c r="AM43" s="341"/>
      <c r="AN43" s="341"/>
      <c r="AO43" s="341"/>
      <c r="AP43" s="341"/>
      <c r="AQ43" s="342"/>
      <c r="AR43" s="341"/>
      <c r="AS43" s="341"/>
      <c r="AT43" s="341"/>
      <c r="AU43" s="341"/>
      <c r="AV43" s="342"/>
      <c r="AW43" s="341"/>
      <c r="AX43" s="341"/>
      <c r="AY43" s="341"/>
      <c r="AZ43" s="341"/>
      <c r="BA43" s="342"/>
      <c r="BB43" s="341"/>
      <c r="BC43" s="341"/>
      <c r="BD43" s="341"/>
      <c r="BE43" s="341"/>
      <c r="BF43" s="344"/>
      <c r="BG43" s="341"/>
      <c r="BH43" s="341"/>
      <c r="BI43" s="341"/>
      <c r="BJ43" s="341"/>
      <c r="BK43" s="344"/>
      <c r="BL43" s="341"/>
      <c r="BM43" s="341"/>
      <c r="BN43" s="341"/>
      <c r="BO43" s="341"/>
      <c r="BP43" s="344"/>
      <c r="BQ43" s="341"/>
      <c r="BR43" s="341"/>
      <c r="BS43" s="341"/>
      <c r="BT43" s="341"/>
      <c r="BU43" s="344"/>
      <c r="BV43" s="341"/>
      <c r="BW43" s="341"/>
      <c r="BX43" s="341"/>
      <c r="BY43" s="341"/>
      <c r="BZ43" s="344"/>
      <c r="CA43" s="341"/>
      <c r="CB43" s="341"/>
      <c r="CC43" s="341"/>
      <c r="CD43" s="341"/>
      <c r="CE43" s="344"/>
      <c r="CF43" s="341"/>
      <c r="CG43" s="341"/>
      <c r="CH43" s="341"/>
      <c r="CI43" s="341"/>
      <c r="CJ43" s="344"/>
      <c r="CK43" s="341"/>
      <c r="CL43" s="341"/>
      <c r="CM43" s="341"/>
      <c r="CN43" s="341"/>
      <c r="CO43" s="344"/>
      <c r="CP43" s="341"/>
      <c r="CQ43" s="341"/>
      <c r="CR43" s="341"/>
      <c r="CS43" s="341"/>
      <c r="CT43" s="344"/>
      <c r="CU43" s="341"/>
      <c r="CV43" s="341"/>
      <c r="CW43" s="341"/>
      <c r="CX43" s="341"/>
      <c r="CY43" s="344"/>
      <c r="CZ43" s="341"/>
      <c r="DA43" s="341"/>
      <c r="DB43" s="341"/>
      <c r="DC43" s="345"/>
      <c r="DD43" s="346"/>
      <c r="DE43" s="345"/>
      <c r="DF43" s="341"/>
      <c r="DG43" s="341"/>
      <c r="DH43" s="345"/>
      <c r="DI43" s="346"/>
      <c r="DJ43" s="347"/>
      <c r="DK43" s="347"/>
      <c r="DL43" s="347"/>
      <c r="DM43" s="345"/>
      <c r="DN43" s="346"/>
      <c r="DO43" s="341"/>
      <c r="DP43" s="347"/>
      <c r="DQ43" s="347"/>
      <c r="DR43" s="341"/>
      <c r="DS43" s="343"/>
      <c r="DT43" s="341"/>
      <c r="DU43" s="347"/>
      <c r="DV43" s="348"/>
      <c r="DW43" s="341"/>
      <c r="DX43" s="343">
        <f>(DX37/DN37)^(1/2)-1</f>
        <v>-7.3066670638487485E-3</v>
      </c>
      <c r="DY43" s="348"/>
      <c r="DZ43" s="348"/>
      <c r="EA43" s="348"/>
      <c r="EB43" s="341"/>
      <c r="EC43" s="343"/>
      <c r="ED43" s="348"/>
      <c r="EE43" s="348"/>
      <c r="EF43" s="348"/>
      <c r="EG43" s="304"/>
      <c r="EH43" s="343"/>
      <c r="EI43" s="348"/>
      <c r="EJ43" s="348"/>
      <c r="EK43" s="348"/>
      <c r="EL43" s="2692"/>
      <c r="EM43" s="343"/>
      <c r="EN43" s="348"/>
      <c r="EO43" s="348"/>
      <c r="EP43" s="1108"/>
      <c r="EQ43" s="2692"/>
      <c r="ER43" s="343"/>
      <c r="ES43" s="348"/>
      <c r="ET43" s="348"/>
      <c r="EU43" s="1108"/>
      <c r="EV43" s="1108"/>
      <c r="EW43" s="343"/>
      <c r="EX43" s="1108"/>
      <c r="EY43" s="1108"/>
      <c r="EZ43" s="1108"/>
      <c r="FA43" s="1108"/>
      <c r="FB43" s="343"/>
      <c r="FC43" s="1108"/>
      <c r="FD43" s="1108"/>
      <c r="FE43" s="1108"/>
      <c r="FF43" s="1108"/>
      <c r="FG43" s="343"/>
      <c r="FH43" s="1108"/>
      <c r="FI43" s="1108"/>
      <c r="FJ43" s="1108"/>
      <c r="FK43" s="1108"/>
      <c r="FL43" s="343"/>
      <c r="FM43" s="242"/>
      <c r="FN43" s="342"/>
      <c r="FO43" s="342"/>
      <c r="FP43" s="342"/>
      <c r="FQ43" s="342"/>
      <c r="FR43" s="342"/>
      <c r="FS43" s="342"/>
      <c r="FT43" s="342"/>
      <c r="FU43" s="342"/>
      <c r="FV43" s="342"/>
      <c r="FW43" s="342"/>
      <c r="FX43" s="863"/>
      <c r="FY43" s="864"/>
      <c r="FZ43" s="862"/>
      <c r="GA43" s="862"/>
      <c r="GB43" s="1186">
        <f t="shared" ref="GB43:GG43" si="261">GB44-GB37</f>
        <v>4251</v>
      </c>
      <c r="GC43" s="1186">
        <f t="shared" si="261"/>
        <v>5946</v>
      </c>
      <c r="GD43" s="1186">
        <f t="shared" si="261"/>
        <v>6013</v>
      </c>
      <c r="GE43" s="1186">
        <f t="shared" si="261"/>
        <v>7599</v>
      </c>
      <c r="GF43" s="1186">
        <f t="shared" si="261"/>
        <v>9831</v>
      </c>
      <c r="GG43" s="1186">
        <f t="shared" si="261"/>
        <v>10948.009829000002</v>
      </c>
      <c r="GH43" s="1186">
        <f t="shared" ref="GH43" si="262">GH44-GH37</f>
        <v>11289.463741488529</v>
      </c>
      <c r="GI43" s="1186">
        <f t="shared" ref="GI43" si="263">GI44-GI37</f>
        <v>11644.712684679369</v>
      </c>
      <c r="GJ43" s="2666"/>
      <c r="GK43" s="2666"/>
      <c r="GL43" s="2666"/>
      <c r="GN43"/>
      <c r="GO43"/>
      <c r="GP43"/>
      <c r="GQ43"/>
      <c r="GR43"/>
      <c r="GS43"/>
    </row>
    <row r="44" spans="1:201" s="307" customFormat="1" ht="11.25" customHeight="1">
      <c r="A44" s="302" t="s">
        <v>118</v>
      </c>
      <c r="B44" s="303"/>
      <c r="C44" s="303"/>
      <c r="D44" s="304">
        <f>D37+CF!D8</f>
        <v>53</v>
      </c>
      <c r="E44" s="304">
        <f>E37+CF!E8</f>
        <v>68.705000000000013</v>
      </c>
      <c r="F44" s="304">
        <f>F37+CF!F8</f>
        <v>57.203000000000003</v>
      </c>
      <c r="G44" s="304">
        <f>G37+CF!G8</f>
        <v>63.405000000000001</v>
      </c>
      <c r="H44" s="305">
        <f>SUM(D44:G44)</f>
        <v>242.31300000000002</v>
      </c>
      <c r="I44" s="304">
        <f>I37+CF!I8</f>
        <v>69.122</v>
      </c>
      <c r="J44" s="304">
        <f>J37+CF!J8</f>
        <v>106.70400000000001</v>
      </c>
      <c r="K44" s="304">
        <f>K37+CF!K8</f>
        <v>105.874</v>
      </c>
      <c r="L44" s="304">
        <f>L37+CF!L8</f>
        <v>111.48500000000001</v>
      </c>
      <c r="M44" s="305">
        <f>SUM(I44:L44)</f>
        <v>393.18500000000006</v>
      </c>
      <c r="N44" s="304">
        <f>N37+CF!N8</f>
        <v>122.39999999999998</v>
      </c>
      <c r="O44" s="304">
        <f>O37+CF!O8</f>
        <v>159.5</v>
      </c>
      <c r="P44" s="304">
        <f>P37+CF!P8</f>
        <v>174</v>
      </c>
      <c r="Q44" s="304">
        <f>Q37+CF!Q8</f>
        <v>194</v>
      </c>
      <c r="R44" s="305">
        <f>SUM(N44:Q44)</f>
        <v>649.9</v>
      </c>
      <c r="S44" s="304">
        <f>S37+CF!S8</f>
        <v>203</v>
      </c>
      <c r="T44" s="304">
        <f>T37+CF!T8</f>
        <v>246</v>
      </c>
      <c r="U44" s="304">
        <f>U37+CF!U8</f>
        <v>251</v>
      </c>
      <c r="V44" s="304">
        <f>V37+CF!V8</f>
        <v>296.2</v>
      </c>
      <c r="W44" s="305">
        <f>SUM(S44:V44)</f>
        <v>996.2</v>
      </c>
      <c r="X44" s="304">
        <f>X37+CF!X8</f>
        <v>289</v>
      </c>
      <c r="Y44" s="304">
        <f>Y37+CF!Y8</f>
        <v>326</v>
      </c>
      <c r="Z44" s="304">
        <f>Z37+CF!Z8</f>
        <v>338</v>
      </c>
      <c r="AA44" s="304">
        <f>AA37+CF!AA8</f>
        <v>373</v>
      </c>
      <c r="AB44" s="305">
        <f>SUM(X44:AA44)</f>
        <v>1326</v>
      </c>
      <c r="AC44" s="304">
        <f>AC37+CF!AC8</f>
        <v>343</v>
      </c>
      <c r="AD44" s="304">
        <f>AD37+CF!AD8</f>
        <v>415</v>
      </c>
      <c r="AE44" s="304">
        <f>AE37+CF!AE8</f>
        <v>480</v>
      </c>
      <c r="AF44" s="304">
        <f>AF37+CF!AF8</f>
        <v>725</v>
      </c>
      <c r="AG44" s="305">
        <f>SUM(AC44:AF44)</f>
        <v>1963</v>
      </c>
      <c r="AH44" s="304">
        <f>AH37+CF!AH8</f>
        <v>504</v>
      </c>
      <c r="AI44" s="304">
        <f>AI37+CF!AI8</f>
        <v>586</v>
      </c>
      <c r="AJ44" s="304">
        <f>AJ37+CF!AJ8</f>
        <v>619</v>
      </c>
      <c r="AK44" s="304">
        <f>AK37+CF!AK8</f>
        <v>598</v>
      </c>
      <c r="AL44" s="305">
        <f>SUM(AH44:AK44)</f>
        <v>2307</v>
      </c>
      <c r="AM44" s="304">
        <f>AM37+CF!AM8</f>
        <v>777</v>
      </c>
      <c r="AN44" s="304">
        <f>AN37+CF!AN8</f>
        <v>864</v>
      </c>
      <c r="AO44" s="304">
        <f>AO37+CF!AO8</f>
        <v>963</v>
      </c>
      <c r="AP44" s="304">
        <f>AP37+CF!AP8</f>
        <v>954</v>
      </c>
      <c r="AQ44" s="305">
        <f>SUM(AM44:AP44)</f>
        <v>3558</v>
      </c>
      <c r="AR44" s="304">
        <f>AR37+CF!AR8</f>
        <v>1064</v>
      </c>
      <c r="AS44" s="304">
        <f>AS37+CF!AS8</f>
        <v>1225</v>
      </c>
      <c r="AT44" s="304">
        <f>AT37+CF!AT8</f>
        <v>1676</v>
      </c>
      <c r="AU44" s="304">
        <f>AU37+CF!AU8</f>
        <v>1722</v>
      </c>
      <c r="AV44" s="305">
        <f>SUM(AR44:AU44)</f>
        <v>5687</v>
      </c>
      <c r="AW44" s="304">
        <f>AW37+CF!AW8</f>
        <v>1655</v>
      </c>
      <c r="AX44" s="304">
        <f>AX37+CF!AX8</f>
        <v>1930</v>
      </c>
      <c r="AY44" s="304">
        <f>AY37+CF!AY8</f>
        <v>2206</v>
      </c>
      <c r="AZ44" s="304">
        <f>AZ37+CF!AZ8</f>
        <v>2171</v>
      </c>
      <c r="BA44" s="305">
        <f>SUM(AW44:AZ44)</f>
        <v>7962</v>
      </c>
      <c r="BB44" s="304">
        <f>BB37+CF!BB8</f>
        <v>2285</v>
      </c>
      <c r="BC44" s="304">
        <f>BC37+CF!BC8</f>
        <v>2926</v>
      </c>
      <c r="BD44" s="304">
        <f>BD37+CF!BD8</f>
        <v>2388</v>
      </c>
      <c r="BE44" s="304">
        <f>BE37+CF!BE8</f>
        <v>3370</v>
      </c>
      <c r="BF44" s="305">
        <f>SUM(BB44:BE44)</f>
        <v>10969</v>
      </c>
      <c r="BG44" s="304">
        <f>BG37+CF!BG8</f>
        <v>3186</v>
      </c>
      <c r="BH44" s="304">
        <f>BH37+CF!BH8</f>
        <v>3600</v>
      </c>
      <c r="BI44" s="304">
        <f>BI37+CF!BI8</f>
        <v>3068</v>
      </c>
      <c r="BJ44" s="304">
        <f>BJ37+CF!BJ8</f>
        <v>2916</v>
      </c>
      <c r="BK44" s="305">
        <f>SUM(BG44:BJ44)</f>
        <v>12770</v>
      </c>
      <c r="BL44" s="304">
        <f>BL37+CF!BL8</f>
        <v>3088</v>
      </c>
      <c r="BM44" s="304">
        <f>BM37+CF!BM8</f>
        <v>3502</v>
      </c>
      <c r="BN44" s="304">
        <f>BN37+CF!BN8</f>
        <v>3545</v>
      </c>
      <c r="BO44" s="304">
        <f>BO37+CF!BO8</f>
        <v>3405</v>
      </c>
      <c r="BP44" s="305">
        <f>SUM(BL44:BO44)</f>
        <v>13540</v>
      </c>
      <c r="BQ44" s="304">
        <f>BQ37+CF!BQ8</f>
        <v>3179</v>
      </c>
      <c r="BR44" s="304">
        <f>BR37+CF!BR8</f>
        <v>3796</v>
      </c>
      <c r="BS44" s="304">
        <f>BS37+CF!BS8</f>
        <v>3446</v>
      </c>
      <c r="BT44" s="304">
        <f>BT37+CF!BT8</f>
        <v>3233</v>
      </c>
      <c r="BU44" s="305">
        <f>SUM(BQ44:BT44)</f>
        <v>13654</v>
      </c>
      <c r="BV44" s="304">
        <f>BV37+CF!BV8</f>
        <v>3301</v>
      </c>
      <c r="BW44" s="304">
        <f>BW37+CF!BW8</f>
        <v>2718</v>
      </c>
      <c r="BX44" s="304">
        <f>BX37+CF!BX8</f>
        <v>3127</v>
      </c>
      <c r="BY44" s="304">
        <f>BY37+CF!BY8</f>
        <v>2798</v>
      </c>
      <c r="BZ44" s="305">
        <f>SUM(BV44:BY44)</f>
        <v>11944</v>
      </c>
      <c r="CA44" s="304">
        <f>CA37+CF!CA8</f>
        <v>3476</v>
      </c>
      <c r="CB44" s="304">
        <f>CB37+CF!CB8</f>
        <v>3980</v>
      </c>
      <c r="CC44" s="304">
        <f>CC37+CF!CC8</f>
        <v>4052</v>
      </c>
      <c r="CD44" s="304">
        <f>CD37+CF!CD8</f>
        <v>3442</v>
      </c>
      <c r="CE44" s="305">
        <f>SUM(CA44:CD44)</f>
        <v>14950</v>
      </c>
      <c r="CF44" s="304">
        <f>CF37+CF!CF8</f>
        <v>4213</v>
      </c>
      <c r="CG44" s="304">
        <f>CG37+CF!CG8</f>
        <v>4857</v>
      </c>
      <c r="CH44" s="304">
        <f>CH37+CF!CH8</f>
        <v>4379</v>
      </c>
      <c r="CI44" s="304">
        <f>CI37+CF!CI8</f>
        <v>4027</v>
      </c>
      <c r="CJ44" s="305">
        <f>SUM(CF44:CI44)</f>
        <v>17476</v>
      </c>
      <c r="CK44" s="304">
        <f>CK37+CF!CK8</f>
        <v>4641</v>
      </c>
      <c r="CL44" s="304">
        <f>CL37+CF!CL8</f>
        <v>4889</v>
      </c>
      <c r="CM44" s="304">
        <f>CM37+CF!CM8</f>
        <v>4463</v>
      </c>
      <c r="CN44" s="304">
        <f>CN37+CF!CN8</f>
        <v>4495</v>
      </c>
      <c r="CO44" s="305">
        <f>SUM(CK44:CN44)</f>
        <v>18488</v>
      </c>
      <c r="CP44" s="304">
        <f>CP37+CF!CP8</f>
        <v>4723</v>
      </c>
      <c r="CQ44" s="304">
        <f>CQ37+CF!CQ8</f>
        <v>3837</v>
      </c>
      <c r="CR44" s="304">
        <f>CR37+CF!CR8</f>
        <v>7188</v>
      </c>
      <c r="CS44" s="304">
        <f>CS37+CF!CS8</f>
        <v>5427</v>
      </c>
      <c r="CT44" s="305">
        <f>SUM(CP44:CS44)</f>
        <v>21175</v>
      </c>
      <c r="CU44" s="304">
        <f>CU37+CF!CU8</f>
        <v>6284</v>
      </c>
      <c r="CV44" s="304">
        <f>CV37+CF!CV8</f>
        <v>6962</v>
      </c>
      <c r="CW44" s="304">
        <f>CW37+CF!CW8</f>
        <v>6358</v>
      </c>
      <c r="CX44" s="304">
        <f>CX37+CF!CX8</f>
        <v>6292</v>
      </c>
      <c r="CY44" s="305">
        <f>SUM(CU44:CX44)</f>
        <v>25896</v>
      </c>
      <c r="CZ44" s="304">
        <f>CZ37+CF!CZ8</f>
        <v>6584</v>
      </c>
      <c r="DA44" s="304">
        <f>DA37+CF!DA8</f>
        <v>6571</v>
      </c>
      <c r="DB44" s="304">
        <f>DB37+CF!DB8</f>
        <v>5392</v>
      </c>
      <c r="DC44" s="304">
        <f>DC37+CF!DC8</f>
        <v>4796</v>
      </c>
      <c r="DD44" s="305">
        <f>SUM(CZ44:DC44)</f>
        <v>23343</v>
      </c>
      <c r="DE44" s="304">
        <f>DE37+CF!DE8</f>
        <v>5128</v>
      </c>
      <c r="DF44" s="304">
        <f>DF37+CF!DF8</f>
        <v>9128</v>
      </c>
      <c r="DG44" s="304">
        <f>DG37+CF!DG8</f>
        <v>5867</v>
      </c>
      <c r="DH44" s="304">
        <f>DH37+CF!DH8</f>
        <v>6648</v>
      </c>
      <c r="DI44" s="305">
        <f>SUM(DE44:DH44)</f>
        <v>26771</v>
      </c>
      <c r="DJ44" s="304">
        <f>DJ37+CF!DJ8</f>
        <v>7810</v>
      </c>
      <c r="DK44" s="304">
        <f>DK37+CF!DK8</f>
        <v>8828</v>
      </c>
      <c r="DL44" s="304">
        <f>DL37+CF!DL8</f>
        <v>6429</v>
      </c>
      <c r="DM44" s="304">
        <f>DM37+CF!DM8</f>
        <v>6858.4399999999987</v>
      </c>
      <c r="DN44" s="305">
        <f>SUM(DJ44:DM44)</f>
        <v>29925.439999999999</v>
      </c>
      <c r="DO44" s="304">
        <f>DO37+CF!DO8</f>
        <v>7929</v>
      </c>
      <c r="DP44" s="304">
        <f>DP37+CF!DP8</f>
        <v>8672</v>
      </c>
      <c r="DQ44" s="304">
        <f>DQ37+CF!DQ8</f>
        <v>7140</v>
      </c>
      <c r="DR44" s="304">
        <f>DR37+CF!DR8</f>
        <v>7182</v>
      </c>
      <c r="DS44" s="305">
        <f>SUM(DO44:DR44)</f>
        <v>30923</v>
      </c>
      <c r="DT44" s="304">
        <f>DT37+CF!DT8</f>
        <v>6018</v>
      </c>
      <c r="DU44" s="304">
        <f>DU37+CF!DU8</f>
        <v>8780</v>
      </c>
      <c r="DV44" s="304">
        <f>DV37+CF!DV8</f>
        <v>9398</v>
      </c>
      <c r="DW44" s="304">
        <f>DW37+CF!DW8</f>
        <v>7056</v>
      </c>
      <c r="DX44" s="305">
        <f>SUM(DT44:DW44)</f>
        <v>31252</v>
      </c>
      <c r="DY44" s="304">
        <f>DY37+CF!DY8</f>
        <v>7288</v>
      </c>
      <c r="DZ44" s="304">
        <f>DZ37+CF!DZ8</f>
        <v>9230</v>
      </c>
      <c r="EA44" s="304">
        <f>EA37+CF!EA8</f>
        <v>8229</v>
      </c>
      <c r="EB44" s="304">
        <f>EB37+CF!EB8</f>
        <v>8351</v>
      </c>
      <c r="EC44" s="305">
        <f>SUM(DY44:EB44)</f>
        <v>33098</v>
      </c>
      <c r="ED44" s="304">
        <f>ED37+CF!ED8</f>
        <v>8412</v>
      </c>
      <c r="EE44" s="304">
        <f>EE37+CF!EE8</f>
        <v>9214</v>
      </c>
      <c r="EF44" s="304">
        <f>EF37+CF!EF8</f>
        <v>8299</v>
      </c>
      <c r="EG44" s="304">
        <f>EG37+CF!EG8</f>
        <v>7878</v>
      </c>
      <c r="EH44" s="305">
        <f>SUM(ED44:EG44)</f>
        <v>33803</v>
      </c>
      <c r="EI44" s="2692">
        <f>EI37+CF!EI8</f>
        <v>7777</v>
      </c>
      <c r="EJ44" s="2692">
        <f>EJ37+CF!EJ8</f>
        <v>9033</v>
      </c>
      <c r="EK44" s="2692">
        <f>EK37+CF!EK8</f>
        <v>7984</v>
      </c>
      <c r="EL44" s="2692">
        <f>EL37+CF!EL8</f>
        <v>9016</v>
      </c>
      <c r="EM44" s="2693">
        <f>EM37+CF!EM8</f>
        <v>33810</v>
      </c>
      <c r="EN44" s="2692">
        <f>EN37+CF!EN8</f>
        <v>8531</v>
      </c>
      <c r="EO44" s="2692">
        <f>EO37+CF!EO8</f>
        <v>10071</v>
      </c>
      <c r="EP44" s="2692">
        <f>EP37+CF!EP8</f>
        <v>9176</v>
      </c>
      <c r="EQ44" s="2692">
        <f>EQ37+CF!EQ8</f>
        <v>10331</v>
      </c>
      <c r="ER44" s="2693">
        <f>ER37+CF!ER8</f>
        <v>38109</v>
      </c>
      <c r="ES44" s="2692">
        <f>ES37+CF!ES8</f>
        <v>10207</v>
      </c>
      <c r="ET44" s="2692">
        <f>ET37+CF!ET8</f>
        <v>11215</v>
      </c>
      <c r="EU44" s="2692">
        <f>EU37+CF!EU8</f>
        <v>11002</v>
      </c>
      <c r="EV44" s="304">
        <f>EV37+CF!EV8</f>
        <v>12371.752693975382</v>
      </c>
      <c r="EW44" s="305">
        <f>SUM(ES44:EV44)</f>
        <v>44795.752693975381</v>
      </c>
      <c r="EX44" s="304">
        <f>EX37+CF!EX8</f>
        <v>11778.306204687469</v>
      </c>
      <c r="EY44" s="304">
        <f>EY37+CF!EY8</f>
        <v>12896.847757551215</v>
      </c>
      <c r="EZ44" s="304">
        <f>EZ37+CF!EZ8</f>
        <v>12513.790447237863</v>
      </c>
      <c r="FA44" s="304">
        <f>FA37+CF!FA8</f>
        <v>13941.827797730926</v>
      </c>
      <c r="FB44" s="305">
        <f>SUM(EX44:FA44)</f>
        <v>51130.772207207476</v>
      </c>
      <c r="FC44" s="304">
        <f>FC37+CF!FC8</f>
        <v>13343.192273812021</v>
      </c>
      <c r="FD44" s="304">
        <f>FD37+CF!FD8</f>
        <v>14664.188762218784</v>
      </c>
      <c r="FE44" s="304">
        <f>FE37+CF!FE8</f>
        <v>14475.720601044268</v>
      </c>
      <c r="FF44" s="304">
        <f>FF37+CF!FF8</f>
        <v>16053.366359436684</v>
      </c>
      <c r="FG44" s="305">
        <f>SUM(FC44:FF44)</f>
        <v>58536.467996511754</v>
      </c>
      <c r="FH44" s="304">
        <f>FH37+CF!FH8</f>
        <v>15030.797927058018</v>
      </c>
      <c r="FI44" s="304">
        <f>FI37+CF!FI8</f>
        <v>16453.932378378471</v>
      </c>
      <c r="FJ44" s="304">
        <f>FJ37+CF!FJ8</f>
        <v>16418.282888494203</v>
      </c>
      <c r="FK44" s="304">
        <f>FK37+CF!FK8</f>
        <v>18125.3213126175</v>
      </c>
      <c r="FL44" s="305">
        <f>SUM(FH44:FK44)</f>
        <v>66028.334506548184</v>
      </c>
      <c r="FN44" s="308">
        <f>+FN37+CF!FO8</f>
        <v>12544</v>
      </c>
      <c r="FO44" s="308">
        <f>+FO37+CF!FP8</f>
        <v>12574</v>
      </c>
      <c r="FP44" s="308">
        <f>+FP37+CF!FQ8</f>
        <v>13925</v>
      </c>
      <c r="FQ44" s="308">
        <f>+FQ37+CF!FR8</f>
        <v>12698</v>
      </c>
      <c r="FR44" s="308">
        <f>+FR37+CF!FS8</f>
        <v>13381</v>
      </c>
      <c r="FS44" s="308">
        <f>+FS37+CF!FT8</f>
        <v>16564</v>
      </c>
      <c r="FT44" s="308">
        <f>+FT37+CF!FU8</f>
        <v>17936</v>
      </c>
      <c r="FU44" s="308">
        <f>+FU37+CF!FV8</f>
        <v>17518</v>
      </c>
      <c r="FV44" s="308">
        <f>+FV37+CF!FW8</f>
        <v>25861</v>
      </c>
      <c r="FW44" s="308">
        <f>+FW37+CF!FX8</f>
        <v>25805</v>
      </c>
      <c r="FX44" s="845">
        <f>+FX37+CF!FY8</f>
        <v>24444</v>
      </c>
      <c r="FY44" s="845">
        <f>+FY37+CF!FZ8</f>
        <v>29153</v>
      </c>
      <c r="FZ44" s="845">
        <f>+FZ37+CF!GA8</f>
        <v>29888.440000000002</v>
      </c>
      <c r="GA44" s="845">
        <f>+GA37+CF!GB8</f>
        <v>29120</v>
      </c>
      <c r="GB44" s="845">
        <f>+GB37+CF!GC8</f>
        <v>32972</v>
      </c>
      <c r="GC44" s="845">
        <f>+GC37+CF!GD8</f>
        <v>34206</v>
      </c>
      <c r="GD44" s="845">
        <f>SUM(EI44:EJ44,EF44:EG44)</f>
        <v>32987</v>
      </c>
      <c r="GE44" s="845">
        <f>SUM(EN44:EO44,EK44:EL44)</f>
        <v>35602</v>
      </c>
      <c r="GF44" s="845">
        <f>SUM(ES44:ET44,EP44:EQ44)</f>
        <v>40929</v>
      </c>
      <c r="GG44" s="845">
        <f>SUM(EX44:EY44,EU44:EV44)</f>
        <v>48048.906656214065</v>
      </c>
      <c r="GH44" s="845">
        <f>SUM(FC44:FD44,EZ44:FA44)</f>
        <v>54462.999280999597</v>
      </c>
      <c r="GI44" s="845">
        <f>SUM(FH44:FI44,FE44:FF44)</f>
        <v>62013.817265917445</v>
      </c>
      <c r="GJ44" s="302"/>
      <c r="GK44" s="302"/>
      <c r="GL44" s="302"/>
      <c r="GN44"/>
      <c r="GO44"/>
      <c r="GP44"/>
      <c r="GQ44"/>
      <c r="GR44"/>
      <c r="GS44"/>
    </row>
    <row r="45" spans="1:201" s="264" customFormat="1" ht="12.75">
      <c r="A45" s="309" t="s">
        <v>111</v>
      </c>
      <c r="B45" s="253"/>
      <c r="C45" s="253"/>
      <c r="D45" s="336"/>
      <c r="E45" s="336"/>
      <c r="F45" s="336"/>
      <c r="G45" s="336"/>
      <c r="H45" s="349"/>
      <c r="I45" s="312">
        <f>I44/D44-1</f>
        <v>0.30418867924528303</v>
      </c>
      <c r="J45" s="312">
        <f>J44/E44-1</f>
        <v>0.55307473982970645</v>
      </c>
      <c r="K45" s="312">
        <f>K44/F44-1</f>
        <v>0.85084698354981358</v>
      </c>
      <c r="L45" s="312">
        <f t="shared" ref="L45:BW45" si="264">L44/G44-1</f>
        <v>0.75829981862629148</v>
      </c>
      <c r="M45" s="313">
        <f t="shared" si="264"/>
        <v>0.62263271058506975</v>
      </c>
      <c r="N45" s="312">
        <f t="shared" si="264"/>
        <v>0.77078209542547915</v>
      </c>
      <c r="O45" s="312">
        <f t="shared" si="264"/>
        <v>0.49478932373669204</v>
      </c>
      <c r="P45" s="312">
        <f t="shared" si="264"/>
        <v>0.64346298430209492</v>
      </c>
      <c r="Q45" s="312">
        <f t="shared" si="264"/>
        <v>0.74014441404673259</v>
      </c>
      <c r="R45" s="313">
        <f t="shared" si="264"/>
        <v>0.65291147932906868</v>
      </c>
      <c r="S45" s="312">
        <f t="shared" si="264"/>
        <v>0.65849673202614412</v>
      </c>
      <c r="T45" s="312">
        <f t="shared" si="264"/>
        <v>0.54231974921630099</v>
      </c>
      <c r="U45" s="312">
        <f t="shared" si="264"/>
        <v>0.44252873563218387</v>
      </c>
      <c r="V45" s="312">
        <f t="shared" si="264"/>
        <v>0.52680412371134011</v>
      </c>
      <c r="W45" s="313">
        <f t="shared" si="264"/>
        <v>0.53285120787813511</v>
      </c>
      <c r="X45" s="312">
        <f t="shared" si="264"/>
        <v>0.42364532019704426</v>
      </c>
      <c r="Y45" s="312">
        <f t="shared" si="264"/>
        <v>0.32520325203252032</v>
      </c>
      <c r="Z45" s="312">
        <f t="shared" si="264"/>
        <v>0.34661354581673298</v>
      </c>
      <c r="AA45" s="312">
        <f t="shared" si="264"/>
        <v>0.25928426738690069</v>
      </c>
      <c r="AB45" s="313">
        <f t="shared" si="264"/>
        <v>0.33105802047781574</v>
      </c>
      <c r="AC45" s="312">
        <f t="shared" si="264"/>
        <v>0.18685121107266434</v>
      </c>
      <c r="AD45" s="312">
        <f t="shared" si="264"/>
        <v>0.27300613496932513</v>
      </c>
      <c r="AE45" s="312">
        <f t="shared" si="264"/>
        <v>0.4201183431952662</v>
      </c>
      <c r="AF45" s="312">
        <f t="shared" si="264"/>
        <v>0.94369973190348522</v>
      </c>
      <c r="AG45" s="313">
        <f t="shared" si="264"/>
        <v>0.48039215686274517</v>
      </c>
      <c r="AH45" s="312">
        <f t="shared" si="264"/>
        <v>0.46938775510204089</v>
      </c>
      <c r="AI45" s="312">
        <f t="shared" si="264"/>
        <v>0.4120481927710844</v>
      </c>
      <c r="AJ45" s="312">
        <f t="shared" si="264"/>
        <v>0.2895833333333333</v>
      </c>
      <c r="AK45" s="312">
        <f t="shared" si="264"/>
        <v>-0.17517241379310344</v>
      </c>
      <c r="AL45" s="313">
        <f t="shared" si="264"/>
        <v>0.17524197656647988</v>
      </c>
      <c r="AM45" s="312">
        <f t="shared" si="264"/>
        <v>0.54166666666666674</v>
      </c>
      <c r="AN45" s="312">
        <f t="shared" si="264"/>
        <v>0.47440273037542657</v>
      </c>
      <c r="AO45" s="312">
        <f t="shared" si="264"/>
        <v>0.55573505654281097</v>
      </c>
      <c r="AP45" s="312">
        <f t="shared" si="264"/>
        <v>0.59531772575250841</v>
      </c>
      <c r="AQ45" s="313">
        <f t="shared" si="264"/>
        <v>0.5422626788036411</v>
      </c>
      <c r="AR45" s="312">
        <f t="shared" si="264"/>
        <v>0.36936936936936937</v>
      </c>
      <c r="AS45" s="312">
        <f t="shared" si="264"/>
        <v>0.41782407407407418</v>
      </c>
      <c r="AT45" s="312">
        <f t="shared" si="264"/>
        <v>0.74039460020768422</v>
      </c>
      <c r="AU45" s="312">
        <f t="shared" si="264"/>
        <v>0.80503144654088055</v>
      </c>
      <c r="AV45" s="313">
        <f t="shared" si="264"/>
        <v>0.59836987071388426</v>
      </c>
      <c r="AW45" s="312">
        <f t="shared" si="264"/>
        <v>0.55545112781954886</v>
      </c>
      <c r="AX45" s="312">
        <f t="shared" si="264"/>
        <v>0.57551020408163267</v>
      </c>
      <c r="AY45" s="312">
        <f t="shared" si="264"/>
        <v>0.31622911694510747</v>
      </c>
      <c r="AZ45" s="312">
        <f t="shared" si="264"/>
        <v>0.26074332171893144</v>
      </c>
      <c r="BA45" s="313">
        <f t="shared" si="264"/>
        <v>0.40003516792685079</v>
      </c>
      <c r="BB45" s="312">
        <f t="shared" si="264"/>
        <v>0.38066465256797577</v>
      </c>
      <c r="BC45" s="312">
        <f t="shared" si="264"/>
        <v>0.51606217616580308</v>
      </c>
      <c r="BD45" s="312">
        <f t="shared" si="264"/>
        <v>8.2502266545784186E-2</v>
      </c>
      <c r="BE45" s="312">
        <f t="shared" si="264"/>
        <v>0.55228005527406721</v>
      </c>
      <c r="BF45" s="313">
        <f t="shared" si="264"/>
        <v>0.37766892740517455</v>
      </c>
      <c r="BG45" s="312">
        <f t="shared" si="264"/>
        <v>0.39431072210065654</v>
      </c>
      <c r="BH45" s="312">
        <f t="shared" si="264"/>
        <v>0.23034859876965141</v>
      </c>
      <c r="BI45" s="312">
        <f t="shared" si="264"/>
        <v>0.28475711892797317</v>
      </c>
      <c r="BJ45" s="312">
        <f t="shared" si="264"/>
        <v>-0.13471810089020775</v>
      </c>
      <c r="BK45" s="313">
        <f t="shared" si="264"/>
        <v>0.1641899899717385</v>
      </c>
      <c r="BL45" s="312">
        <f t="shared" si="264"/>
        <v>-3.0759573132454476E-2</v>
      </c>
      <c r="BM45" s="312">
        <f t="shared" si="264"/>
        <v>-2.7222222222222259E-2</v>
      </c>
      <c r="BN45" s="312">
        <f t="shared" si="264"/>
        <v>0.15547588005215118</v>
      </c>
      <c r="BO45" s="312">
        <f t="shared" si="264"/>
        <v>0.16769547325102874</v>
      </c>
      <c r="BP45" s="313">
        <f t="shared" si="264"/>
        <v>6.0297572435395352E-2</v>
      </c>
      <c r="BQ45" s="312">
        <f t="shared" si="264"/>
        <v>2.946891191709855E-2</v>
      </c>
      <c r="BR45" s="312">
        <f t="shared" si="264"/>
        <v>8.395202741290686E-2</v>
      </c>
      <c r="BS45" s="312">
        <f t="shared" si="264"/>
        <v>-2.7926657263751764E-2</v>
      </c>
      <c r="BT45" s="312">
        <f t="shared" si="264"/>
        <v>-5.051395007342141E-2</v>
      </c>
      <c r="BU45" s="313">
        <f t="shared" si="264"/>
        <v>8.4194977843425889E-3</v>
      </c>
      <c r="BV45" s="312">
        <f t="shared" si="264"/>
        <v>3.8376848065429403E-2</v>
      </c>
      <c r="BW45" s="312">
        <f t="shared" si="264"/>
        <v>-0.28398314014752368</v>
      </c>
      <c r="BX45" s="312">
        <f t="shared" ref="BX45:CZ45" si="265">BX44/BS44-1</f>
        <v>-9.2571096923969809E-2</v>
      </c>
      <c r="BY45" s="312">
        <f t="shared" si="265"/>
        <v>-0.13454995360346422</v>
      </c>
      <c r="BZ45" s="313">
        <f t="shared" si="265"/>
        <v>-0.12523802548703677</v>
      </c>
      <c r="CA45" s="312">
        <f t="shared" si="265"/>
        <v>5.3014238109663658E-2</v>
      </c>
      <c r="CB45" s="312">
        <f t="shared" si="265"/>
        <v>0.46431199411331869</v>
      </c>
      <c r="CC45" s="312">
        <f t="shared" si="265"/>
        <v>0.29581068116405507</v>
      </c>
      <c r="CD45" s="312">
        <f t="shared" si="265"/>
        <v>0.23016440314510356</v>
      </c>
      <c r="CE45" s="313">
        <f t="shared" si="265"/>
        <v>0.25167448091091771</v>
      </c>
      <c r="CF45" s="312">
        <f t="shared" si="265"/>
        <v>0.21202531645569622</v>
      </c>
      <c r="CG45" s="312">
        <f t="shared" si="265"/>
        <v>0.22035175879396984</v>
      </c>
      <c r="CH45" s="312">
        <f t="shared" si="265"/>
        <v>8.0700888450148112E-2</v>
      </c>
      <c r="CI45" s="312">
        <f t="shared" si="265"/>
        <v>0.16995932597327146</v>
      </c>
      <c r="CJ45" s="313">
        <f t="shared" si="265"/>
        <v>0.1689632107023411</v>
      </c>
      <c r="CK45" s="312">
        <f t="shared" si="265"/>
        <v>0.10159031568953236</v>
      </c>
      <c r="CL45" s="312">
        <f t="shared" si="265"/>
        <v>6.5884290714433025E-3</v>
      </c>
      <c r="CM45" s="312">
        <f t="shared" si="265"/>
        <v>1.9182461749257751E-2</v>
      </c>
      <c r="CN45" s="312">
        <f t="shared" si="265"/>
        <v>0.11621554507077225</v>
      </c>
      <c r="CO45" s="313">
        <f t="shared" si="265"/>
        <v>5.7907988097962937E-2</v>
      </c>
      <c r="CP45" s="312">
        <f t="shared" si="265"/>
        <v>1.7668605903899959E-2</v>
      </c>
      <c r="CQ45" s="312">
        <f t="shared" si="265"/>
        <v>-0.21517692779709552</v>
      </c>
      <c r="CR45" s="312">
        <f t="shared" si="265"/>
        <v>0.61057584584360303</v>
      </c>
      <c r="CS45" s="312">
        <f t="shared" si="265"/>
        <v>0.20734149054505013</v>
      </c>
      <c r="CT45" s="313">
        <f t="shared" si="265"/>
        <v>0.14533751622674163</v>
      </c>
      <c r="CU45" s="312">
        <f t="shared" si="265"/>
        <v>0.3305102688968875</v>
      </c>
      <c r="CV45" s="312">
        <f t="shared" si="265"/>
        <v>0.81443836330466501</v>
      </c>
      <c r="CW45" s="312">
        <f t="shared" si="265"/>
        <v>-0.1154702281580412</v>
      </c>
      <c r="CX45" s="312">
        <f t="shared" si="265"/>
        <v>0.15938824396535844</v>
      </c>
      <c r="CY45" s="313">
        <f t="shared" si="265"/>
        <v>0.22295159386068475</v>
      </c>
      <c r="CZ45" s="312">
        <f t="shared" si="265"/>
        <v>4.7740292807129325E-2</v>
      </c>
      <c r="DA45" s="312">
        <f t="shared" ref="DA45:DI45" si="266">DA44/CV44-1</f>
        <v>-5.616202240735424E-2</v>
      </c>
      <c r="DB45" s="312">
        <f t="shared" si="266"/>
        <v>-0.15193457061969173</v>
      </c>
      <c r="DC45" s="312">
        <f t="shared" si="266"/>
        <v>-0.23776223776223782</v>
      </c>
      <c r="DD45" s="313">
        <f t="shared" si="266"/>
        <v>-9.8586654309545829E-2</v>
      </c>
      <c r="DE45" s="312">
        <f t="shared" si="266"/>
        <v>-0.22114216281895505</v>
      </c>
      <c r="DF45" s="312">
        <f t="shared" si="266"/>
        <v>0.38913407396134536</v>
      </c>
      <c r="DG45" s="312">
        <f t="shared" si="266"/>
        <v>8.8093471810088975E-2</v>
      </c>
      <c r="DH45" s="312">
        <f t="shared" si="266"/>
        <v>0.38615512927439544</v>
      </c>
      <c r="DI45" s="313">
        <f t="shared" si="266"/>
        <v>0.14685344642933651</v>
      </c>
      <c r="DJ45" s="312">
        <f t="shared" ref="DJ45:DS45" si="267">DJ44/DE44-1</f>
        <v>0.52301092043681741</v>
      </c>
      <c r="DK45" s="312">
        <f t="shared" si="267"/>
        <v>-3.2865907099035918E-2</v>
      </c>
      <c r="DL45" s="312">
        <f t="shared" si="267"/>
        <v>9.579001193114034E-2</v>
      </c>
      <c r="DM45" s="312">
        <f t="shared" si="267"/>
        <v>3.1654632972322405E-2</v>
      </c>
      <c r="DN45" s="313">
        <f t="shared" si="267"/>
        <v>0.11783048821485931</v>
      </c>
      <c r="DO45" s="312">
        <f t="shared" si="267"/>
        <v>1.5236875800256122E-2</v>
      </c>
      <c r="DP45" s="312">
        <f t="shared" si="267"/>
        <v>-1.7671046669687329E-2</v>
      </c>
      <c r="DQ45" s="312">
        <f t="shared" si="267"/>
        <v>0.1105926271581894</v>
      </c>
      <c r="DR45" s="312">
        <f t="shared" si="267"/>
        <v>4.7176909034707837E-2</v>
      </c>
      <c r="DS45" s="313">
        <f t="shared" si="267"/>
        <v>3.3334848209416457E-2</v>
      </c>
      <c r="DT45" s="312">
        <f t="shared" ref="DT45:EC45" si="268">DT44/DO44-1</f>
        <v>-0.24101399924328415</v>
      </c>
      <c r="DU45" s="312">
        <f t="shared" si="268"/>
        <v>1.2453874538745469E-2</v>
      </c>
      <c r="DV45" s="312">
        <f t="shared" si="268"/>
        <v>0.31624649859943976</v>
      </c>
      <c r="DW45" s="312">
        <f t="shared" si="268"/>
        <v>-1.7543859649122862E-2</v>
      </c>
      <c r="DX45" s="313">
        <f t="shared" si="268"/>
        <v>1.0639329948581855E-2</v>
      </c>
      <c r="DY45" s="312">
        <f t="shared" si="268"/>
        <v>0.21103356596876033</v>
      </c>
      <c r="DZ45" s="312">
        <f t="shared" si="268"/>
        <v>5.1252847380409916E-2</v>
      </c>
      <c r="EA45" s="312">
        <f t="shared" si="268"/>
        <v>-0.12438816769525429</v>
      </c>
      <c r="EB45" s="312">
        <f t="shared" si="268"/>
        <v>0.18353174603174605</v>
      </c>
      <c r="EC45" s="313">
        <f t="shared" si="268"/>
        <v>5.9068219633943375E-2</v>
      </c>
      <c r="ED45" s="312">
        <f t="shared" ref="ED45:EU45" si="269">ED44/DY44-1</f>
        <v>0.1542261251372119</v>
      </c>
      <c r="EE45" s="312">
        <f t="shared" si="269"/>
        <v>-1.7334777898158071E-3</v>
      </c>
      <c r="EF45" s="312">
        <f t="shared" si="269"/>
        <v>8.5065013974967574E-3</v>
      </c>
      <c r="EG45" s="312">
        <f t="shared" si="269"/>
        <v>-5.6639923362471589E-2</v>
      </c>
      <c r="EH45" s="313">
        <f t="shared" si="269"/>
        <v>2.130038068765483E-2</v>
      </c>
      <c r="EI45" s="312">
        <f t="shared" si="269"/>
        <v>-7.5487398953875462E-2</v>
      </c>
      <c r="EJ45" s="312">
        <f t="shared" si="269"/>
        <v>-1.9644019969611515E-2</v>
      </c>
      <c r="EK45" s="312">
        <f t="shared" si="269"/>
        <v>-3.7956380286781499E-2</v>
      </c>
      <c r="EL45" s="312">
        <f t="shared" si="269"/>
        <v>0.14445290682914447</v>
      </c>
      <c r="EM45" s="313">
        <f t="shared" si="269"/>
        <v>2.0708221163800999E-4</v>
      </c>
      <c r="EN45" s="312">
        <f t="shared" si="269"/>
        <v>9.6952552398096969E-2</v>
      </c>
      <c r="EO45" s="312">
        <f t="shared" si="269"/>
        <v>0.11491198937230163</v>
      </c>
      <c r="EP45" s="312">
        <f t="shared" si="269"/>
        <v>0.14929859719438876</v>
      </c>
      <c r="EQ45" s="312">
        <f t="shared" si="269"/>
        <v>0.145851818988465</v>
      </c>
      <c r="ER45" s="313">
        <f t="shared" si="269"/>
        <v>0.12715173025732041</v>
      </c>
      <c r="ES45" s="312">
        <f t="shared" si="269"/>
        <v>0.19645996952291633</v>
      </c>
      <c r="ET45" s="312">
        <f t="shared" si="269"/>
        <v>0.11359348624764176</v>
      </c>
      <c r="EU45" s="312">
        <f t="shared" si="269"/>
        <v>0.19899738448125537</v>
      </c>
      <c r="EV45" s="312">
        <f t="shared" ref="EU45:EW45" si="270">EV44/EQ44-1</f>
        <v>0.19753680127532491</v>
      </c>
      <c r="EW45" s="313">
        <f t="shared" si="270"/>
        <v>0.17546387189313228</v>
      </c>
      <c r="EX45" s="312">
        <f t="shared" ref="EX45:FG45" si="271">EX44/ES44-1</f>
        <v>0.15394398008106891</v>
      </c>
      <c r="EY45" s="312">
        <f t="shared" si="271"/>
        <v>0.14996413353109372</v>
      </c>
      <c r="EZ45" s="312">
        <f t="shared" si="271"/>
        <v>0.13741051147408312</v>
      </c>
      <c r="FA45" s="312">
        <f t="shared" si="271"/>
        <v>0.12690805762065671</v>
      </c>
      <c r="FB45" s="313">
        <f t="shared" si="271"/>
        <v>0.1414200930277949</v>
      </c>
      <c r="FC45" s="312">
        <f t="shared" si="271"/>
        <v>0.13286172408234442</v>
      </c>
      <c r="FD45" s="312">
        <f t="shared" si="271"/>
        <v>0.13703666491936173</v>
      </c>
      <c r="FE45" s="312">
        <f t="shared" si="271"/>
        <v>0.15678144540445427</v>
      </c>
      <c r="FF45" s="312">
        <f t="shared" si="271"/>
        <v>0.15145349607957548</v>
      </c>
      <c r="FG45" s="313">
        <f t="shared" si="271"/>
        <v>0.1448383325660072</v>
      </c>
      <c r="FH45" s="312">
        <f t="shared" ref="FH45" si="272">FH44/FC44-1</f>
        <v>0.12647690437303916</v>
      </c>
      <c r="FI45" s="312">
        <f t="shared" ref="FI45" si="273">FI44/FD44-1</f>
        <v>0.12204859369860488</v>
      </c>
      <c r="FJ45" s="312">
        <f t="shared" ref="FJ45" si="274">FJ44/FE44-1</f>
        <v>0.1341945137646412</v>
      </c>
      <c r="FK45" s="312">
        <f t="shared" ref="FK45" si="275">FK44/FF44-1</f>
        <v>0.12906669584369479</v>
      </c>
      <c r="FL45" s="313">
        <f t="shared" ref="FL45" si="276">FL44/FG44-1</f>
        <v>0.12798630949996648</v>
      </c>
      <c r="FN45" s="316"/>
      <c r="FO45" s="316">
        <f t="shared" ref="FO45:FU45" si="277">FO44/FN44-1</f>
        <v>2.3915816326529615E-3</v>
      </c>
      <c r="FP45" s="316">
        <f t="shared" si="277"/>
        <v>0.10744393192301582</v>
      </c>
      <c r="FQ45" s="316">
        <f t="shared" si="277"/>
        <v>-8.8114901256732492E-2</v>
      </c>
      <c r="FR45" s="316">
        <f t="shared" si="277"/>
        <v>5.3787998109938506E-2</v>
      </c>
      <c r="FS45" s="316">
        <f t="shared" si="277"/>
        <v>0.23787459831103797</v>
      </c>
      <c r="FT45" s="316">
        <f t="shared" si="277"/>
        <v>8.2830234242936562E-2</v>
      </c>
      <c r="FU45" s="316">
        <f t="shared" si="277"/>
        <v>-2.3305084745762761E-2</v>
      </c>
      <c r="FV45" s="316">
        <f t="shared" ref="FV45:GG45" si="278">FV44/FU44-1</f>
        <v>0.47625299691745626</v>
      </c>
      <c r="FW45" s="316">
        <f t="shared" si="278"/>
        <v>-2.1654228374773377E-3</v>
      </c>
      <c r="FX45" s="847">
        <f t="shared" si="278"/>
        <v>-5.2741716721565579E-2</v>
      </c>
      <c r="FY45" s="854">
        <f t="shared" si="278"/>
        <v>0.19264441171657665</v>
      </c>
      <c r="FZ45" s="854">
        <f t="shared" si="278"/>
        <v>2.5226906321819342E-2</v>
      </c>
      <c r="GA45" s="854">
        <f t="shared" si="278"/>
        <v>-2.571027460784181E-2</v>
      </c>
      <c r="GB45" s="854">
        <f t="shared" si="278"/>
        <v>0.13228021978021975</v>
      </c>
      <c r="GC45" s="854">
        <f t="shared" si="278"/>
        <v>3.7425694528691045E-2</v>
      </c>
      <c r="GD45" s="854">
        <f t="shared" si="278"/>
        <v>-3.5637022744547719E-2</v>
      </c>
      <c r="GE45" s="854">
        <f t="shared" si="278"/>
        <v>7.9273653257343701E-2</v>
      </c>
      <c r="GF45" s="854">
        <f t="shared" si="278"/>
        <v>0.14962642548171456</v>
      </c>
      <c r="GG45" s="854">
        <f t="shared" si="278"/>
        <v>0.17395750338913896</v>
      </c>
      <c r="GH45" s="854">
        <f t="shared" ref="GH45" si="279">GH44/GG44-1</f>
        <v>0.13349091729969698</v>
      </c>
      <c r="GI45" s="854">
        <f t="shared" ref="GI45" si="280">GI44/GH44-1</f>
        <v>0.1386412442318814</v>
      </c>
      <c r="GJ45" s="363"/>
      <c r="GK45" s="363"/>
      <c r="GL45" s="363"/>
      <c r="GN45"/>
      <c r="GO45"/>
      <c r="GP45"/>
      <c r="GQ45"/>
      <c r="GR45"/>
      <c r="GS45"/>
    </row>
    <row r="46" spans="1:201" s="264" customFormat="1" ht="12.75">
      <c r="A46" s="309"/>
      <c r="B46" s="253"/>
      <c r="C46" s="253"/>
      <c r="D46" s="329"/>
      <c r="E46" s="329"/>
      <c r="F46" s="329"/>
      <c r="G46" s="329"/>
      <c r="H46" s="349"/>
      <c r="I46" s="329"/>
      <c r="J46" s="329"/>
      <c r="K46" s="329"/>
      <c r="L46" s="329"/>
      <c r="M46" s="349"/>
      <c r="N46" s="329"/>
      <c r="O46" s="329"/>
      <c r="P46" s="329"/>
      <c r="Q46" s="329"/>
      <c r="R46" s="349"/>
      <c r="S46" s="329"/>
      <c r="T46" s="329"/>
      <c r="U46" s="329"/>
      <c r="V46" s="329"/>
      <c r="W46" s="349"/>
      <c r="X46" s="329"/>
      <c r="Y46" s="329"/>
      <c r="Z46" s="329"/>
      <c r="AA46" s="329"/>
      <c r="AB46" s="349"/>
      <c r="AC46" s="329"/>
      <c r="AD46" s="329"/>
      <c r="AE46" s="329"/>
      <c r="AF46" s="329"/>
      <c r="AG46" s="349"/>
      <c r="AH46" s="329"/>
      <c r="AI46" s="329"/>
      <c r="AJ46" s="329"/>
      <c r="AK46" s="329"/>
      <c r="AL46" s="349"/>
      <c r="AM46" s="329"/>
      <c r="AN46" s="329"/>
      <c r="AO46" s="329"/>
      <c r="AP46" s="329"/>
      <c r="AQ46" s="349"/>
      <c r="AR46" s="329"/>
      <c r="AS46" s="329"/>
      <c r="AT46" s="329"/>
      <c r="AU46" s="329"/>
      <c r="AV46" s="349"/>
      <c r="AW46" s="329"/>
      <c r="AX46" s="329"/>
      <c r="AY46" s="329"/>
      <c r="AZ46" s="329"/>
      <c r="BA46" s="349"/>
      <c r="BB46" s="329"/>
      <c r="BC46" s="329"/>
      <c r="BD46" s="329"/>
      <c r="BE46" s="329"/>
      <c r="BF46" s="349"/>
      <c r="BG46" s="329"/>
      <c r="BH46" s="329"/>
      <c r="BI46" s="329"/>
      <c r="BJ46" s="329"/>
      <c r="BK46" s="349"/>
      <c r="BL46" s="329"/>
      <c r="BM46" s="329"/>
      <c r="BN46" s="329"/>
      <c r="BO46" s="329"/>
      <c r="BP46" s="349"/>
      <c r="BQ46" s="329"/>
      <c r="BR46" s="329"/>
      <c r="BS46" s="329"/>
      <c r="BT46" s="329"/>
      <c r="BU46" s="349"/>
      <c r="BV46" s="329"/>
      <c r="BW46" s="329"/>
      <c r="BX46" s="329"/>
      <c r="BY46" s="329"/>
      <c r="BZ46" s="349"/>
      <c r="CA46" s="329"/>
      <c r="CB46" s="329"/>
      <c r="CC46" s="329"/>
      <c r="CD46" s="329"/>
      <c r="CE46" s="349"/>
      <c r="CF46" s="329"/>
      <c r="CG46" s="329"/>
      <c r="CH46" s="329"/>
      <c r="CI46" s="329"/>
      <c r="CJ46" s="349"/>
      <c r="CK46" s="329"/>
      <c r="CL46" s="329"/>
      <c r="CM46" s="329"/>
      <c r="CN46" s="329"/>
      <c r="CO46" s="349"/>
      <c r="CP46" s="329"/>
      <c r="CQ46" s="329"/>
      <c r="CR46" s="329"/>
      <c r="CS46" s="329"/>
      <c r="CT46" s="349"/>
      <c r="CU46" s="329"/>
      <c r="CV46" s="329"/>
      <c r="CW46" s="329"/>
      <c r="CX46" s="329"/>
      <c r="CY46" s="349"/>
      <c r="CZ46" s="329"/>
      <c r="DA46" s="329"/>
      <c r="DB46" s="329"/>
      <c r="DC46" s="304"/>
      <c r="DD46" s="350"/>
      <c r="DE46" s="306"/>
      <c r="DF46" s="304"/>
      <c r="DG46" s="304"/>
      <c r="DH46" s="304"/>
      <c r="DI46" s="350"/>
      <c r="DJ46" s="306"/>
      <c r="DK46" s="306"/>
      <c r="DL46" s="306"/>
      <c r="DM46" s="304"/>
      <c r="DN46" s="350"/>
      <c r="DO46" s="304"/>
      <c r="DP46" s="306"/>
      <c r="DQ46" s="306"/>
      <c r="DR46" s="304"/>
      <c r="DS46" s="305"/>
      <c r="DT46" s="304"/>
      <c r="DU46" s="306"/>
      <c r="DV46" s="306"/>
      <c r="DW46" s="304"/>
      <c r="DX46" s="305"/>
      <c r="DY46" s="304"/>
      <c r="DZ46" s="306"/>
      <c r="EA46" s="306"/>
      <c r="EB46" s="304"/>
      <c r="EC46" s="305"/>
      <c r="ED46" s="304"/>
      <c r="EE46" s="306"/>
      <c r="EF46" s="306"/>
      <c r="EG46" s="306"/>
      <c r="EH46" s="305"/>
      <c r="EI46" s="2692"/>
      <c r="EJ46" s="312"/>
      <c r="EK46" s="2703"/>
      <c r="EL46" s="2703"/>
      <c r="EM46" s="313"/>
      <c r="EN46" s="2692"/>
      <c r="EO46" s="312"/>
      <c r="EP46" s="2703"/>
      <c r="EQ46" s="2703"/>
      <c r="ER46" s="313"/>
      <c r="ES46" s="2692"/>
      <c r="ET46" s="312"/>
      <c r="EU46" s="2703"/>
      <c r="EV46" s="312"/>
      <c r="EW46" s="313"/>
      <c r="EX46" s="312"/>
      <c r="EY46" s="312"/>
      <c r="EZ46" s="312"/>
      <c r="FA46" s="312"/>
      <c r="FB46" s="313"/>
      <c r="FC46" s="312"/>
      <c r="FD46" s="312"/>
      <c r="FE46" s="312"/>
      <c r="FF46" s="312"/>
      <c r="FG46" s="313"/>
      <c r="FH46" s="312"/>
      <c r="FI46" s="312"/>
      <c r="FJ46" s="312"/>
      <c r="FK46" s="312"/>
      <c r="FL46" s="313"/>
      <c r="FN46" s="339"/>
      <c r="FO46" s="339"/>
      <c r="FP46" s="339"/>
      <c r="FQ46" s="339"/>
      <c r="FR46" s="339"/>
      <c r="FS46" s="339"/>
      <c r="FT46" s="339"/>
      <c r="FU46" s="339"/>
      <c r="FV46" s="339"/>
      <c r="FW46" s="339"/>
      <c r="FX46" s="857"/>
      <c r="FY46" s="858"/>
      <c r="FZ46" s="858"/>
      <c r="GA46" s="858"/>
      <c r="GB46" s="858"/>
      <c r="GC46" s="858"/>
      <c r="GD46" s="858"/>
      <c r="GE46" s="858"/>
      <c r="GF46" s="858"/>
      <c r="GG46" s="858"/>
      <c r="GH46" s="858"/>
      <c r="GI46" s="858"/>
      <c r="GJ46" s="253"/>
      <c r="GK46" s="253"/>
      <c r="GL46" s="253"/>
      <c r="GN46"/>
      <c r="GO46"/>
      <c r="GP46"/>
      <c r="GQ46"/>
      <c r="GR46"/>
      <c r="GS46"/>
    </row>
    <row r="47" spans="1:201" s="307" customFormat="1" ht="11.25" hidden="1" customHeight="1" outlineLevel="1">
      <c r="A47" s="351" t="s">
        <v>505</v>
      </c>
      <c r="B47" s="303"/>
      <c r="C47" s="303"/>
      <c r="D47" s="329">
        <v>0</v>
      </c>
      <c r="E47" s="329">
        <v>0</v>
      </c>
      <c r="F47" s="329">
        <v>0</v>
      </c>
      <c r="G47" s="329">
        <v>0</v>
      </c>
      <c r="H47" s="330">
        <f>SUM(D47:G47)</f>
        <v>0</v>
      </c>
      <c r="I47" s="329">
        <v>0</v>
      </c>
      <c r="J47" s="329">
        <v>0</v>
      </c>
      <c r="K47" s="329">
        <v>0</v>
      </c>
      <c r="L47" s="329">
        <v>0</v>
      </c>
      <c r="M47" s="330">
        <f>SUM(I47:L47)</f>
        <v>0</v>
      </c>
      <c r="N47" s="329">
        <v>0</v>
      </c>
      <c r="O47" s="329">
        <v>0</v>
      </c>
      <c r="P47" s="329">
        <v>0</v>
      </c>
      <c r="Q47" s="329">
        <v>0</v>
      </c>
      <c r="R47" s="330">
        <f>SUM(N47:Q47)</f>
        <v>0</v>
      </c>
      <c r="S47" s="329">
        <v>0</v>
      </c>
      <c r="T47" s="329">
        <v>0</v>
      </c>
      <c r="U47" s="329">
        <v>0</v>
      </c>
      <c r="V47" s="329">
        <v>0</v>
      </c>
      <c r="W47" s="330">
        <f>SUM(S47:V47)</f>
        <v>0</v>
      </c>
      <c r="X47" s="329">
        <v>0</v>
      </c>
      <c r="Y47" s="329">
        <v>0</v>
      </c>
      <c r="Z47" s="329">
        <v>0</v>
      </c>
      <c r="AA47" s="329">
        <v>0</v>
      </c>
      <c r="AB47" s="330">
        <f>SUM(X47:AA47)</f>
        <v>0</v>
      </c>
      <c r="AC47" s="329">
        <v>0</v>
      </c>
      <c r="AD47" s="329">
        <v>0</v>
      </c>
      <c r="AE47" s="329">
        <v>0</v>
      </c>
      <c r="AF47" s="329">
        <v>0</v>
      </c>
      <c r="AG47" s="330">
        <f>SUM(AC47:AF47)</f>
        <v>0</v>
      </c>
      <c r="AH47" s="329">
        <v>0</v>
      </c>
      <c r="AI47" s="329">
        <v>0</v>
      </c>
      <c r="AJ47" s="329">
        <v>0</v>
      </c>
      <c r="AK47" s="329">
        <v>0</v>
      </c>
      <c r="AL47" s="330">
        <f>SUM(AH47:AK47)</f>
        <v>0</v>
      </c>
      <c r="AM47" s="329">
        <v>0</v>
      </c>
      <c r="AN47" s="329">
        <v>0</v>
      </c>
      <c r="AO47" s="329">
        <v>0</v>
      </c>
      <c r="AP47" s="329">
        <v>0</v>
      </c>
      <c r="AQ47" s="330">
        <f>SUM(AM47:AP47)</f>
        <v>0</v>
      </c>
      <c r="AR47" s="329">
        <v>0</v>
      </c>
      <c r="AS47" s="329">
        <v>0</v>
      </c>
      <c r="AT47" s="329">
        <v>0</v>
      </c>
      <c r="AU47" s="329">
        <v>0</v>
      </c>
      <c r="AV47" s="330">
        <f>SUM(AR47:AU47)</f>
        <v>0</v>
      </c>
      <c r="AW47" s="329">
        <v>0</v>
      </c>
      <c r="AX47" s="329">
        <v>0</v>
      </c>
      <c r="AY47" s="329">
        <v>0</v>
      </c>
      <c r="AZ47" s="329">
        <v>0</v>
      </c>
      <c r="BA47" s="330">
        <f>SUM(AW47:AZ47)</f>
        <v>0</v>
      </c>
      <c r="BB47" s="329">
        <v>0</v>
      </c>
      <c r="BC47" s="329">
        <v>0</v>
      </c>
      <c r="BD47" s="329">
        <v>0</v>
      </c>
      <c r="BE47" s="329">
        <v>0</v>
      </c>
      <c r="BF47" s="330">
        <f>SUM(BB47:BE47)</f>
        <v>0</v>
      </c>
      <c r="BG47" s="329">
        <v>0</v>
      </c>
      <c r="BH47" s="329">
        <v>0</v>
      </c>
      <c r="BI47" s="329">
        <v>0</v>
      </c>
      <c r="BJ47" s="329">
        <v>0</v>
      </c>
      <c r="BK47" s="330">
        <f>SUM(BG47:BJ47)</f>
        <v>0</v>
      </c>
      <c r="BL47" s="329">
        <v>0</v>
      </c>
      <c r="BM47" s="329">
        <v>0</v>
      </c>
      <c r="BN47" s="329">
        <v>0</v>
      </c>
      <c r="BO47" s="329">
        <v>0</v>
      </c>
      <c r="BP47" s="330">
        <f>SUM(BL47:BO47)</f>
        <v>0</v>
      </c>
      <c r="BQ47" s="329">
        <v>0</v>
      </c>
      <c r="BR47" s="329">
        <v>0</v>
      </c>
      <c r="BS47" s="329">
        <v>0</v>
      </c>
      <c r="BT47" s="329">
        <v>0</v>
      </c>
      <c r="BU47" s="330">
        <f>SUM(BQ47:BT47)</f>
        <v>0</v>
      </c>
      <c r="BV47" s="329">
        <v>0</v>
      </c>
      <c r="BW47" s="329">
        <v>0</v>
      </c>
      <c r="BX47" s="329">
        <v>0</v>
      </c>
      <c r="BY47" s="329">
        <v>0</v>
      </c>
      <c r="BZ47" s="330">
        <f>SUM(BV47:BY47)</f>
        <v>0</v>
      </c>
      <c r="CA47" s="329">
        <v>0</v>
      </c>
      <c r="CB47" s="329">
        <v>0</v>
      </c>
      <c r="CC47" s="329">
        <v>0</v>
      </c>
      <c r="CD47" s="329">
        <v>0</v>
      </c>
      <c r="CE47" s="330">
        <f>SUM(CA47:CD47)</f>
        <v>0</v>
      </c>
      <c r="CF47" s="307">
        <v>0</v>
      </c>
      <c r="CG47" s="307">
        <v>0</v>
      </c>
      <c r="CH47" s="307">
        <v>0</v>
      </c>
      <c r="CI47" s="307">
        <v>0</v>
      </c>
      <c r="CJ47" s="330">
        <f>SUM(CF47:CI47)</f>
        <v>0</v>
      </c>
      <c r="CK47" s="329">
        <v>0</v>
      </c>
      <c r="CL47" s="329">
        <v>0</v>
      </c>
      <c r="CM47" s="329">
        <v>0</v>
      </c>
      <c r="CN47" s="329">
        <v>0</v>
      </c>
      <c r="CO47" s="331">
        <f>SUM(CK47:CN47)</f>
        <v>0</v>
      </c>
      <c r="CP47" s="329">
        <v>0</v>
      </c>
      <c r="CQ47" s="329">
        <v>0</v>
      </c>
      <c r="CR47" s="329">
        <v>0</v>
      </c>
      <c r="CS47" s="329">
        <v>0</v>
      </c>
      <c r="CT47" s="331">
        <f>SUM(CP47:CS47)</f>
        <v>0</v>
      </c>
      <c r="CU47" s="329">
        <v>0</v>
      </c>
      <c r="CV47" s="329">
        <v>0</v>
      </c>
      <c r="CW47" s="329">
        <v>0</v>
      </c>
      <c r="CX47" s="329">
        <v>0</v>
      </c>
      <c r="CY47" s="331">
        <f>SUM(CU47:CX47)</f>
        <v>0</v>
      </c>
      <c r="CZ47" s="329">
        <f>BS!CZ76*AVERAGE(BS!CZ73,BS!CX73)/4</f>
        <v>0</v>
      </c>
      <c r="DA47" s="329">
        <v>0</v>
      </c>
      <c r="DB47" s="329">
        <v>0</v>
      </c>
      <c r="DC47" s="329">
        <v>0</v>
      </c>
      <c r="DD47" s="331">
        <f>SUM(CZ47:DC47)</f>
        <v>0</v>
      </c>
      <c r="DE47" s="329">
        <v>0</v>
      </c>
      <c r="DF47" s="329">
        <v>0</v>
      </c>
      <c r="DG47" s="329">
        <v>0</v>
      </c>
      <c r="DH47" s="329">
        <v>-37</v>
      </c>
      <c r="DI47" s="331">
        <f>SUM(DE47:DH47)</f>
        <v>-37</v>
      </c>
      <c r="DJ47" s="1114">
        <v>-45</v>
      </c>
      <c r="DK47" s="1114">
        <v>-72</v>
      </c>
      <c r="DL47" s="1114">
        <v>-84</v>
      </c>
      <c r="DM47" s="1114">
        <v>-94</v>
      </c>
      <c r="DN47" s="331">
        <f>SUM(DJ47:DM47)</f>
        <v>-295</v>
      </c>
      <c r="DO47" s="1114">
        <v>-94</v>
      </c>
      <c r="DP47" s="1114">
        <v>-95</v>
      </c>
      <c r="DQ47" s="1114">
        <v>-95</v>
      </c>
      <c r="DR47" s="1114">
        <v>-96</v>
      </c>
      <c r="DS47" s="331">
        <f>SUM(DO47:DR47)</f>
        <v>-380</v>
      </c>
      <c r="DT47" s="329">
        <f>-95</f>
        <v>-95</v>
      </c>
      <c r="DU47" s="1114">
        <v>-105</v>
      </c>
      <c r="DV47" s="1114">
        <v>-109</v>
      </c>
      <c r="DW47" s="329">
        <f>-429-SUM(DT47:DV47)</f>
        <v>-120</v>
      </c>
      <c r="DX47" s="331">
        <f>SUM(DT47:DW47)</f>
        <v>-429</v>
      </c>
      <c r="DY47" s="1114">
        <v>-118</v>
      </c>
      <c r="DZ47" s="1114">
        <v>-135</v>
      </c>
      <c r="EA47" s="1114">
        <v>-206.77500000000001</v>
      </c>
      <c r="EB47" s="329">
        <v>-206.45000000000002</v>
      </c>
      <c r="EC47" s="331">
        <f>SUM(DY47:EB47)</f>
        <v>-666.22500000000002</v>
      </c>
      <c r="ED47" s="1114">
        <v>-161</v>
      </c>
      <c r="EE47" s="1114">
        <v>-162</v>
      </c>
      <c r="EF47" s="1114">
        <v>-211</v>
      </c>
      <c r="EG47" s="1580">
        <f>+-781-SUM(ED47:EF47)</f>
        <v>-247</v>
      </c>
      <c r="EH47" s="1581">
        <f>SUM(ED47:EG47)</f>
        <v>-781</v>
      </c>
      <c r="EI47" s="2558">
        <v>-249</v>
      </c>
      <c r="EJ47" s="2558">
        <v>-309</v>
      </c>
      <c r="EK47" s="2558">
        <v>-340</v>
      </c>
      <c r="EL47" s="2556">
        <f>-1243-EK47-EJ47-EI47</f>
        <v>-345</v>
      </c>
      <c r="EM47" s="2696">
        <f>SUM(EI47:EL47)</f>
        <v>-1243</v>
      </c>
      <c r="EN47" s="2702">
        <v>-437</v>
      </c>
      <c r="EO47" s="2558">
        <v>-521</v>
      </c>
      <c r="EP47" s="2558">
        <v>-609</v>
      </c>
      <c r="EQ47" s="2558">
        <f>+-2222-SUM(EN47:EP47)</f>
        <v>-655</v>
      </c>
      <c r="ER47" s="2696">
        <f>SUM(EN47:EQ47)</f>
        <v>-2222</v>
      </c>
      <c r="ES47" s="2702">
        <v>-672</v>
      </c>
      <c r="ET47" s="2558">
        <v>-698</v>
      </c>
      <c r="EU47" s="2558">
        <v>-691</v>
      </c>
      <c r="EV47" s="329">
        <f>BS!EV76*AVERAGE(BS!EU75:EV75)/4</f>
        <v>-643.00058111770215</v>
      </c>
      <c r="EW47" s="331">
        <f>SUM(ES47:EV47)</f>
        <v>-2704.000581117702</v>
      </c>
      <c r="EX47" s="329">
        <f>BS!EX76*AVERAGE(BS!EV75,BS!EX75)/4</f>
        <v>-642.80179283441601</v>
      </c>
      <c r="EY47" s="329">
        <f>BS!EY76*AVERAGE(BS!EX75:EY75)/4</f>
        <v>-632.46480210353093</v>
      </c>
      <c r="EZ47" s="329">
        <f>BS!EZ76*AVERAGE(BS!EY75:EZ75)/4</f>
        <v>-622.12781137264597</v>
      </c>
      <c r="FA47" s="329">
        <f>BS!FA76*AVERAGE(BS!EZ75:FA75)/4</f>
        <v>-619.74235197321104</v>
      </c>
      <c r="FB47" s="331">
        <f>SUM(EX47:FA47)</f>
        <v>-2517.1367582838038</v>
      </c>
      <c r="FC47" s="329">
        <f>BS!FC76*AVERAGE(BS!FA75,BS!FC75)/4</f>
        <v>-607.01990184289104</v>
      </c>
      <c r="FD47" s="329">
        <f>BS!FD76*AVERAGE(BS!FC75:FD75)/4</f>
        <v>-597.8040770297406</v>
      </c>
      <c r="FE47" s="329">
        <f>BS!FE76*AVERAGE(BS!FD75:FE75)/4</f>
        <v>-586.60036938372753</v>
      </c>
      <c r="FF47" s="329">
        <f>BS!FF76*AVERAGE(BS!FE75:FF75)/4</f>
        <v>-575.46822551969751</v>
      </c>
      <c r="FG47" s="331">
        <f>SUM(FC47:FF47)</f>
        <v>-2366.8925737760569</v>
      </c>
      <c r="FH47" s="329">
        <f>BS!FH76*AVERAGE(BS!FF75,BS!FH75)/4</f>
        <v>-576.26337865284256</v>
      </c>
      <c r="FI47" s="329">
        <f>BS!FI76*AVERAGE(BS!FH75:FI75)/4</f>
        <v>-564.13729337238135</v>
      </c>
      <c r="FJ47" s="329">
        <f>BS!FJ76*AVERAGE(BS!FI75:FJ75)/4</f>
        <v>-550.02332525905763</v>
      </c>
      <c r="FK47" s="329">
        <f>BS!FK76*AVERAGE(BS!FJ75:FK75)/4</f>
        <v>-548.83059555934017</v>
      </c>
      <c r="FL47" s="331">
        <f>SUM(FH47:FK47)</f>
        <v>-2239.2545928436216</v>
      </c>
      <c r="FN47" s="330">
        <f>BD47+BE47+BG47+BH47</f>
        <v>0</v>
      </c>
      <c r="FO47" s="330">
        <f>BI47+BJ47+BL47+BM47</f>
        <v>0</v>
      </c>
      <c r="FP47" s="330">
        <f>BN47+BO47+BQ47+BR47</f>
        <v>0</v>
      </c>
      <c r="FQ47" s="330">
        <f>BS47+BT47+BV47+BW47</f>
        <v>0</v>
      </c>
      <c r="FR47" s="330">
        <f>BX47+BY47+CA47+CB47</f>
        <v>0</v>
      </c>
      <c r="FS47" s="330">
        <f>CC47+CD47+CF47+CG47</f>
        <v>0</v>
      </c>
      <c r="FT47" s="330">
        <f>CH47+CI47+CK47+CL47</f>
        <v>0</v>
      </c>
      <c r="FU47" s="330">
        <f>CM47+CN47+CP47+CQ47</f>
        <v>0</v>
      </c>
      <c r="FV47" s="330">
        <f>CR47+CS47+CU47+CV47</f>
        <v>0</v>
      </c>
      <c r="FW47" s="330">
        <f>CW47+CX47+CZ47+DA47</f>
        <v>0</v>
      </c>
      <c r="FX47" s="855">
        <f>DB47+DC47+DE47+DF47</f>
        <v>0</v>
      </c>
      <c r="FY47" s="856">
        <f>DG47+DH47+DJ47+DK47</f>
        <v>-154</v>
      </c>
      <c r="FZ47" s="856">
        <f>SUM(DO47:DP47,DL47:DM47)</f>
        <v>-367</v>
      </c>
      <c r="GA47" s="856">
        <f>SUM(DT47:DU47,DQ47:DR47)</f>
        <v>-391</v>
      </c>
      <c r="GB47" s="856">
        <f>SUM(DY47:DZ47,DV47:DW47)</f>
        <v>-482</v>
      </c>
      <c r="GC47" s="856">
        <f>SUM(ED47:EE47,EA47:EB47)</f>
        <v>-736.22500000000002</v>
      </c>
      <c r="GD47" s="856">
        <f>SUM(EI47:EJ47,EF47:EG47)</f>
        <v>-1016</v>
      </c>
      <c r="GE47" s="856">
        <f>SUM(EN47:EO47,EK47:EL47)</f>
        <v>-1643</v>
      </c>
      <c r="GF47" s="856">
        <f>SUM(ES47:ET47,EP47:EQ47)</f>
        <v>-2634</v>
      </c>
      <c r="GG47" s="856">
        <f>SUM(EX47:EY47,EU47:EV47)</f>
        <v>-2609.2671760556491</v>
      </c>
      <c r="GH47" s="856">
        <f>SUM(FC47:FD47,EZ47:FA47)</f>
        <v>-2446.6941422184887</v>
      </c>
      <c r="GI47" s="856">
        <f>SUM(FH47:FI47,FE47:FF47)</f>
        <v>-2302.4692669286492</v>
      </c>
      <c r="GJ47" s="303"/>
      <c r="GK47" s="303"/>
      <c r="GL47" s="303"/>
      <c r="GN47"/>
      <c r="GO47"/>
      <c r="GP47"/>
      <c r="GQ47"/>
      <c r="GR47"/>
      <c r="GS47"/>
    </row>
    <row r="48" spans="1:201" s="307" customFormat="1" ht="11.25" hidden="1" customHeight="1" outlineLevel="1">
      <c r="A48" s="351" t="s">
        <v>643</v>
      </c>
      <c r="B48" s="303"/>
      <c r="C48" s="303"/>
      <c r="D48" s="329">
        <v>4</v>
      </c>
      <c r="E48" s="329">
        <v>4</v>
      </c>
      <c r="F48" s="329">
        <v>5</v>
      </c>
      <c r="G48" s="329">
        <v>6</v>
      </c>
      <c r="H48" s="330">
        <f>SUM(D48:G48)</f>
        <v>19</v>
      </c>
      <c r="I48" s="329">
        <v>6</v>
      </c>
      <c r="J48" s="329">
        <v>7</v>
      </c>
      <c r="K48" s="329">
        <v>7</v>
      </c>
      <c r="L48" s="329">
        <v>11</v>
      </c>
      <c r="M48" s="330">
        <f>SUM(I48:L48)</f>
        <v>31</v>
      </c>
      <c r="N48" s="329">
        <v>8</v>
      </c>
      <c r="O48" s="329">
        <v>9</v>
      </c>
      <c r="P48" s="329">
        <v>9</v>
      </c>
      <c r="Q48" s="329">
        <v>11</v>
      </c>
      <c r="R48" s="330">
        <f>SUM(N48:Q48)</f>
        <v>37</v>
      </c>
      <c r="S48" s="329">
        <v>12</v>
      </c>
      <c r="T48" s="329">
        <v>14</v>
      </c>
      <c r="U48" s="329">
        <v>14</v>
      </c>
      <c r="V48" s="329">
        <v>16</v>
      </c>
      <c r="W48" s="330">
        <f>SUM(S48:V48)</f>
        <v>56</v>
      </c>
      <c r="X48" s="329">
        <v>19</v>
      </c>
      <c r="Y48" s="329">
        <v>19</v>
      </c>
      <c r="Z48" s="329">
        <v>21</v>
      </c>
      <c r="AA48" s="329">
        <v>23</v>
      </c>
      <c r="AB48" s="330">
        <f>SUM(X48:AA48)</f>
        <v>82</v>
      </c>
      <c r="AC48" s="329">
        <v>23</v>
      </c>
      <c r="AD48" s="329">
        <v>25</v>
      </c>
      <c r="AE48" s="329">
        <v>26</v>
      </c>
      <c r="AF48" s="329">
        <v>28</v>
      </c>
      <c r="AG48" s="330">
        <f>SUM(AC48:AF48)</f>
        <v>102</v>
      </c>
      <c r="AH48" s="329">
        <v>36</v>
      </c>
      <c r="AI48" s="329">
        <v>42</v>
      </c>
      <c r="AJ48" s="329">
        <v>48</v>
      </c>
      <c r="AK48" s="329">
        <v>65</v>
      </c>
      <c r="AL48" s="330">
        <f>SUM(AH48:AK48)</f>
        <v>191</v>
      </c>
      <c r="AM48" s="329">
        <v>66</v>
      </c>
      <c r="AN48" s="329">
        <v>76</v>
      </c>
      <c r="AO48" s="329">
        <v>86</v>
      </c>
      <c r="AP48" s="329">
        <v>92</v>
      </c>
      <c r="AQ48" s="330">
        <f>SUM(AM48:AP48)</f>
        <v>320</v>
      </c>
      <c r="AR48" s="329">
        <v>92</v>
      </c>
      <c r="AS48" s="329">
        <v>105</v>
      </c>
      <c r="AT48" s="329">
        <v>119</v>
      </c>
      <c r="AU48" s="329">
        <v>127</v>
      </c>
      <c r="AV48" s="330">
        <f>SUM(AR48:AU48)</f>
        <v>443</v>
      </c>
      <c r="AW48" s="329">
        <v>142</v>
      </c>
      <c r="AX48" s="329">
        <v>157</v>
      </c>
      <c r="AY48" s="329">
        <v>190</v>
      </c>
      <c r="AZ48" s="329">
        <v>214</v>
      </c>
      <c r="BA48" s="330">
        <f>SUM(AW48:AZ48)</f>
        <v>703</v>
      </c>
      <c r="BB48" s="329">
        <v>261</v>
      </c>
      <c r="BC48" s="329">
        <v>267</v>
      </c>
      <c r="BD48" s="329">
        <v>370</v>
      </c>
      <c r="BE48" s="329">
        <v>385</v>
      </c>
      <c r="BF48" s="330">
        <f>SUM(BB48:BE48)</f>
        <v>1283</v>
      </c>
      <c r="BG48" s="329">
        <v>344</v>
      </c>
      <c r="BH48" s="329">
        <v>370</v>
      </c>
      <c r="BI48" s="329">
        <v>442</v>
      </c>
      <c r="BJ48" s="329">
        <v>474</v>
      </c>
      <c r="BK48" s="330">
        <f>SUM(BG48:BJ48)</f>
        <v>1630</v>
      </c>
      <c r="BL48" s="329">
        <v>528</v>
      </c>
      <c r="BM48" s="329">
        <v>518</v>
      </c>
      <c r="BN48" s="329">
        <v>606</v>
      </c>
      <c r="BO48" s="329">
        <v>-2620</v>
      </c>
      <c r="BP48" s="330">
        <f>SUM(BL48:BO48)</f>
        <v>-968</v>
      </c>
      <c r="BQ48" s="329">
        <v>449</v>
      </c>
      <c r="BR48" s="329">
        <v>417</v>
      </c>
      <c r="BS48" s="329">
        <v>433</v>
      </c>
      <c r="BT48" s="329">
        <v>462</v>
      </c>
      <c r="BU48" s="330">
        <f>SUM(BQ48:BT48)</f>
        <v>1761</v>
      </c>
      <c r="BV48" s="329">
        <v>516</v>
      </c>
      <c r="BW48" s="329">
        <v>515</v>
      </c>
      <c r="BX48" s="329">
        <v>455</v>
      </c>
      <c r="BY48" s="329">
        <v>471</v>
      </c>
      <c r="BZ48" s="330">
        <f>SUM(BV48:BY48)</f>
        <v>1957</v>
      </c>
      <c r="CA48" s="329">
        <v>484</v>
      </c>
      <c r="CB48" s="329">
        <v>521</v>
      </c>
      <c r="CC48" s="329">
        <v>500</v>
      </c>
      <c r="CD48" s="329">
        <v>387</v>
      </c>
      <c r="CE48" s="330">
        <f>SUM(CA48:CD48)</f>
        <v>1892</v>
      </c>
      <c r="CF48" s="307">
        <v>411</v>
      </c>
      <c r="CG48" s="307">
        <v>378</v>
      </c>
      <c r="CH48" s="307">
        <v>317</v>
      </c>
      <c r="CI48" s="307">
        <v>354</v>
      </c>
      <c r="CJ48" s="330">
        <f>SUM(CF48:CI48)</f>
        <v>1460</v>
      </c>
      <c r="CK48" s="329">
        <v>376</v>
      </c>
      <c r="CL48" s="329">
        <v>382</v>
      </c>
      <c r="CM48" s="329">
        <v>369</v>
      </c>
      <c r="CN48" s="329">
        <v>383</v>
      </c>
      <c r="CO48" s="331">
        <f>SUM(CK48:CN48)</f>
        <v>1510</v>
      </c>
      <c r="CP48" s="329">
        <v>369</v>
      </c>
      <c r="CQ48" s="329">
        <v>316</v>
      </c>
      <c r="CR48" s="329">
        <v>333</v>
      </c>
      <c r="CS48" s="329">
        <v>301</v>
      </c>
      <c r="CT48" s="331">
        <f>SUM(CP48:CS48)</f>
        <v>1319</v>
      </c>
      <c r="CU48" s="329">
        <v>239</v>
      </c>
      <c r="CV48" s="329">
        <v>339</v>
      </c>
      <c r="CW48" s="329">
        <v>226</v>
      </c>
      <c r="CX48" s="329">
        <v>217</v>
      </c>
      <c r="CY48" s="331">
        <f>SUM(CU48:CX48)</f>
        <v>1021</v>
      </c>
      <c r="CZ48" s="329">
        <v>207</v>
      </c>
      <c r="DA48" s="329">
        <v>175</v>
      </c>
      <c r="DB48" s="329">
        <v>164</v>
      </c>
      <c r="DC48" s="329">
        <v>160</v>
      </c>
      <c r="DD48" s="331">
        <f>SUM(CZ48:DC48)</f>
        <v>706</v>
      </c>
      <c r="DE48" s="329">
        <v>165</v>
      </c>
      <c r="DF48" s="329">
        <v>159</v>
      </c>
      <c r="DG48" s="329">
        <v>166</v>
      </c>
      <c r="DH48" s="329">
        <v>239</v>
      </c>
      <c r="DI48" s="331">
        <f>SUM(DE48:DH48)</f>
        <v>729</v>
      </c>
      <c r="DJ48" s="329">
        <f>210</f>
        <v>210</v>
      </c>
      <c r="DK48" s="1114">
        <v>205</v>
      </c>
      <c r="DL48" s="1114">
        <v>216</v>
      </c>
      <c r="DM48" s="1114">
        <v>269</v>
      </c>
      <c r="DN48" s="331">
        <f>SUM(DJ48:DM48)</f>
        <v>900</v>
      </c>
      <c r="DO48" s="1114">
        <v>211</v>
      </c>
      <c r="DP48" s="1114">
        <v>182</v>
      </c>
      <c r="DQ48" s="1114">
        <v>180</v>
      </c>
      <c r="DR48" s="329">
        <f>227</f>
        <v>227</v>
      </c>
      <c r="DS48" s="331">
        <f>SUM(DO48:DR48)</f>
        <v>800</v>
      </c>
      <c r="DT48" s="329">
        <f>159</f>
        <v>159</v>
      </c>
      <c r="DU48" s="1114">
        <v>166</v>
      </c>
      <c r="DV48" s="1114">
        <v>150</v>
      </c>
      <c r="DW48" s="329">
        <f>677-SUM(DT48:DV48)</f>
        <v>202</v>
      </c>
      <c r="DX48" s="331">
        <f>SUM(DT48:DW48)</f>
        <v>677</v>
      </c>
      <c r="DY48" s="1114">
        <v>179</v>
      </c>
      <c r="DZ48" s="1114">
        <v>219</v>
      </c>
      <c r="EA48" s="1114">
        <v>209.86</v>
      </c>
      <c r="EB48" s="329">
        <v>221.0625</v>
      </c>
      <c r="EC48" s="331">
        <f>SUM(DY48:EB48)</f>
        <v>828.92250000000001</v>
      </c>
      <c r="ED48" s="1114">
        <v>225</v>
      </c>
      <c r="EE48" s="1114">
        <v>183</v>
      </c>
      <c r="EF48" s="1114">
        <v>160</v>
      </c>
      <c r="EG48" s="1580">
        <f>766-SUM(ED48:EF48)</f>
        <v>198</v>
      </c>
      <c r="EH48" s="1581">
        <f>SUM(ED48:EG48)</f>
        <v>766</v>
      </c>
      <c r="EI48" s="2558">
        <v>199</v>
      </c>
      <c r="EJ48" s="2558">
        <v>200</v>
      </c>
      <c r="EK48" s="2558">
        <v>230</v>
      </c>
      <c r="EL48" s="2556">
        <f>903-EK48-EJ48-EI48</f>
        <v>274</v>
      </c>
      <c r="EM48" s="2696">
        <f>SUM(EI48:EL48)</f>
        <v>903</v>
      </c>
      <c r="EN48" s="2702">
        <v>293</v>
      </c>
      <c r="EO48" s="2558">
        <v>311</v>
      </c>
      <c r="EP48" s="2558">
        <v>380</v>
      </c>
      <c r="EQ48" s="2558">
        <f>1387-SUM(EN48:EP48)</f>
        <v>403</v>
      </c>
      <c r="ER48" s="2696">
        <f>SUM(EN48:EQ48)</f>
        <v>1387</v>
      </c>
      <c r="ES48" s="2702">
        <v>473</v>
      </c>
      <c r="ET48" s="2558">
        <v>530</v>
      </c>
      <c r="EU48" s="2558">
        <v>575</v>
      </c>
      <c r="EV48" s="329">
        <f>BS!EV81*(BS!EU8+BS!EU9)/4</f>
        <v>565.74189417285345</v>
      </c>
      <c r="EW48" s="331">
        <f>SUM(ES48:EV48)</f>
        <v>2143.7418941728533</v>
      </c>
      <c r="EX48" s="329">
        <f>BS!EX81*(BS!EV8+BS!EV9)/4</f>
        <v>593.91901009363585</v>
      </c>
      <c r="EY48" s="329">
        <f>BS!EY81*(BS!EX8+BS!EX9)/4</f>
        <v>611.6178910324461</v>
      </c>
      <c r="EZ48" s="329">
        <f>BS!EZ81*(BS!EY8+BS!EY9)/4</f>
        <v>587.39074133263011</v>
      </c>
      <c r="FA48" s="329">
        <f>BS!FA81*(BS!EZ8+BS!EZ9)/4</f>
        <v>601.2428701829383</v>
      </c>
      <c r="FB48" s="331">
        <f>SUM(EX48:FA48)</f>
        <v>2394.17051264165</v>
      </c>
      <c r="FC48" s="329">
        <f>BS!FC81*(BS!FA8+BS!FA9)/4</f>
        <v>624.47633576683859</v>
      </c>
      <c r="FD48" s="329">
        <f>BS!FD81*(BS!FC8+BS!FC9)/4</f>
        <v>647.33867401484679</v>
      </c>
      <c r="FE48" s="329">
        <f>BS!FE81*(BS!FD8+BS!FD9)/4</f>
        <v>646.0886338049371</v>
      </c>
      <c r="FF48" s="329">
        <f>BS!FF81*(BS!FE8+BS!FE9)/4</f>
        <v>657.2782178331878</v>
      </c>
      <c r="FG48" s="331">
        <f>SUM(FC48:FF48)</f>
        <v>2575.18186141981</v>
      </c>
      <c r="FH48" s="329">
        <f>BS!FH81*(BS!FF8+BS!FF9)/4</f>
        <v>683.77019600168057</v>
      </c>
      <c r="FI48" s="329">
        <f>BS!FI81*(BS!FH8+BS!FH9)/4</f>
        <v>722.8316918806205</v>
      </c>
      <c r="FJ48" s="329">
        <f>BS!FJ81*(BS!FI8+BS!FI9)/4</f>
        <v>692.12435259722383</v>
      </c>
      <c r="FK48" s="329">
        <f>BS!FK81*(BS!FJ8+BS!FJ9)/4</f>
        <v>717.96987032636287</v>
      </c>
      <c r="FL48" s="331">
        <f>SUM(FH48:FK48)</f>
        <v>2816.6961108058877</v>
      </c>
      <c r="FN48" s="330">
        <f>BD48+BE48+BG48+BH48</f>
        <v>1469</v>
      </c>
      <c r="FO48" s="330">
        <f>BI48+BJ48+BL48+BM48</f>
        <v>1962</v>
      </c>
      <c r="FP48" s="330">
        <f>BN48+BO48+BQ48+BR48</f>
        <v>-1148</v>
      </c>
      <c r="FQ48" s="330">
        <f>BS48+BT48+BV48+BW48</f>
        <v>1926</v>
      </c>
      <c r="FR48" s="330">
        <f>BX48+BY48+CA48+CB48</f>
        <v>1931</v>
      </c>
      <c r="FS48" s="330">
        <f>CC48+CD48+CF48+CG48</f>
        <v>1676</v>
      </c>
      <c r="FT48" s="330">
        <f>CH48+CI48+CK48+CL48</f>
        <v>1429</v>
      </c>
      <c r="FU48" s="330">
        <f>CM48+CN48+CP48+CQ48</f>
        <v>1437</v>
      </c>
      <c r="FV48" s="330">
        <f>CR48+CS48+CU48+CV48</f>
        <v>1212</v>
      </c>
      <c r="FW48" s="330">
        <f>CW48+CX48+CZ48+DA48</f>
        <v>825</v>
      </c>
      <c r="FX48" s="855">
        <f>DB48+DC48+DE48+DF48</f>
        <v>648</v>
      </c>
      <c r="FY48" s="856">
        <f>DG48+DH48+DJ48+DK48</f>
        <v>820</v>
      </c>
      <c r="FZ48" s="856">
        <f>SUM(DO48:DP48,DL48:DM48)</f>
        <v>878</v>
      </c>
      <c r="GA48" s="856">
        <f>SUM(DT48:DU48,DQ48:DR48)</f>
        <v>732</v>
      </c>
      <c r="GB48" s="856">
        <f>SUM(DY48:DZ48,DV48:DW48)</f>
        <v>750</v>
      </c>
      <c r="GC48" s="856">
        <f>SUM(ED48:EE48,EA48:EB48)</f>
        <v>838.92250000000001</v>
      </c>
      <c r="GD48" s="856">
        <f>SUM(EI48:EJ48,EF48:EG48)</f>
        <v>757</v>
      </c>
      <c r="GE48" s="856">
        <f>SUM(EN48:EO48,EK48:EL48)</f>
        <v>1108</v>
      </c>
      <c r="GF48" s="856">
        <f>SUM(ES48:ET48,EP48:EQ48)</f>
        <v>1786</v>
      </c>
      <c r="GG48" s="856">
        <f>SUM(EX48:EY48,EU48:EV48)</f>
        <v>2346.2787952989352</v>
      </c>
      <c r="GH48" s="856">
        <f>SUM(FC48:FD48,EZ48:FA48)</f>
        <v>2460.4486212972538</v>
      </c>
      <c r="GI48" s="856">
        <f>SUM(FH48:FI48,FE48:FF48)</f>
        <v>2709.968739520426</v>
      </c>
      <c r="GJ48" s="303"/>
      <c r="GK48" s="303"/>
      <c r="GL48" s="303"/>
      <c r="GN48"/>
      <c r="GO48"/>
      <c r="GP48"/>
      <c r="GQ48"/>
      <c r="GR48"/>
      <c r="GS48"/>
    </row>
    <row r="49" spans="1:201" s="307" customFormat="1" ht="11.25" hidden="1" customHeight="1" outlineLevel="1">
      <c r="A49" s="351" t="s">
        <v>506</v>
      </c>
      <c r="B49" s="303"/>
      <c r="C49" s="303"/>
      <c r="D49" s="329">
        <v>0</v>
      </c>
      <c r="E49" s="329">
        <v>0</v>
      </c>
      <c r="F49" s="329">
        <v>0</v>
      </c>
      <c r="G49" s="329">
        <v>0</v>
      </c>
      <c r="H49" s="330">
        <f>SUM(D49:G49)</f>
        <v>0</v>
      </c>
      <c r="I49" s="329">
        <v>0</v>
      </c>
      <c r="J49" s="329">
        <v>0</v>
      </c>
      <c r="K49" s="329">
        <v>0</v>
      </c>
      <c r="L49" s="329">
        <v>0</v>
      </c>
      <c r="M49" s="330">
        <f>SUM(I49:L49)</f>
        <v>0</v>
      </c>
      <c r="N49" s="329">
        <v>0</v>
      </c>
      <c r="O49" s="329">
        <v>0</v>
      </c>
      <c r="P49" s="329">
        <v>0</v>
      </c>
      <c r="Q49" s="329">
        <v>0</v>
      </c>
      <c r="R49" s="330">
        <f>SUM(N49:Q49)</f>
        <v>0</v>
      </c>
      <c r="S49" s="329">
        <v>0</v>
      </c>
      <c r="T49" s="329">
        <v>0</v>
      </c>
      <c r="U49" s="329">
        <v>0</v>
      </c>
      <c r="V49" s="329">
        <v>0</v>
      </c>
      <c r="W49" s="330">
        <f>SUM(S49:V49)</f>
        <v>0</v>
      </c>
      <c r="X49" s="329">
        <v>0</v>
      </c>
      <c r="Y49" s="329">
        <v>0</v>
      </c>
      <c r="Z49" s="329">
        <v>0</v>
      </c>
      <c r="AA49" s="329">
        <v>0</v>
      </c>
      <c r="AB49" s="330">
        <f>SUM(X49:AA49)</f>
        <v>0</v>
      </c>
      <c r="AC49" s="329">
        <v>0</v>
      </c>
      <c r="AD49" s="329">
        <v>0</v>
      </c>
      <c r="AE49" s="329">
        <v>0</v>
      </c>
      <c r="AF49" s="329">
        <v>0</v>
      </c>
      <c r="AG49" s="330">
        <f>SUM(AC49:AF49)</f>
        <v>0</v>
      </c>
      <c r="AH49" s="329">
        <v>0</v>
      </c>
      <c r="AI49" s="329">
        <v>0</v>
      </c>
      <c r="AJ49" s="329">
        <v>0</v>
      </c>
      <c r="AK49" s="329">
        <v>0</v>
      </c>
      <c r="AL49" s="330">
        <f>SUM(AH49:AK49)</f>
        <v>0</v>
      </c>
      <c r="AM49" s="329">
        <v>0</v>
      </c>
      <c r="AN49" s="329">
        <v>0</v>
      </c>
      <c r="AO49" s="329">
        <v>0</v>
      </c>
      <c r="AP49" s="329">
        <v>0</v>
      </c>
      <c r="AQ49" s="330">
        <f>SUM(AM49:AP49)</f>
        <v>0</v>
      </c>
      <c r="AR49" s="329">
        <v>0</v>
      </c>
      <c r="AS49" s="329">
        <v>0</v>
      </c>
      <c r="AT49" s="329">
        <v>0</v>
      </c>
      <c r="AU49" s="329">
        <v>0</v>
      </c>
      <c r="AV49" s="330">
        <f>SUM(AR49:AU49)</f>
        <v>0</v>
      </c>
      <c r="AW49" s="329">
        <v>0</v>
      </c>
      <c r="AX49" s="329">
        <v>0</v>
      </c>
      <c r="AY49" s="329">
        <v>0</v>
      </c>
      <c r="AZ49" s="329">
        <v>0</v>
      </c>
      <c r="BA49" s="330">
        <f>SUM(AW49:AZ49)</f>
        <v>0</v>
      </c>
      <c r="BB49" s="329">
        <v>160</v>
      </c>
      <c r="BC49" s="329">
        <v>70</v>
      </c>
      <c r="BD49" s="329">
        <v>350</v>
      </c>
      <c r="BE49" s="329">
        <v>100</v>
      </c>
      <c r="BF49" s="330">
        <f>SUM(BB49:BE49)</f>
        <v>680</v>
      </c>
      <c r="BG49" s="329">
        <v>206</v>
      </c>
      <c r="BH49" s="329">
        <v>400</v>
      </c>
      <c r="BI49" s="329">
        <v>440</v>
      </c>
      <c r="BJ49" s="329">
        <v>650</v>
      </c>
      <c r="BK49" s="330">
        <f>SUM(BG49:BJ49)</f>
        <v>1696</v>
      </c>
      <c r="BL49" s="329">
        <v>599</v>
      </c>
      <c r="BM49" s="329">
        <f>(233)*1</f>
        <v>233</v>
      </c>
      <c r="BN49" s="329">
        <v>100</v>
      </c>
      <c r="BO49" s="329">
        <v>0</v>
      </c>
      <c r="BP49" s="330">
        <f>SUM(BL49:BO49)</f>
        <v>932</v>
      </c>
      <c r="BQ49" s="329">
        <v>-1517</v>
      </c>
      <c r="BR49" s="329">
        <v>55</v>
      </c>
      <c r="BS49" s="329">
        <v>211</v>
      </c>
      <c r="BT49" s="329">
        <v>-1172</v>
      </c>
      <c r="BU49" s="330">
        <f>SUM(BQ49:BT49)</f>
        <v>-2423</v>
      </c>
      <c r="BV49" s="329">
        <v>-128</v>
      </c>
      <c r="BW49" s="329">
        <v>-104</v>
      </c>
      <c r="BX49" s="329">
        <v>2</v>
      </c>
      <c r="BY49" s="329">
        <v>274</v>
      </c>
      <c r="BZ49" s="330">
        <f>SUM(BV49:BY49)</f>
        <v>44</v>
      </c>
      <c r="CA49" s="329">
        <v>245</v>
      </c>
      <c r="CB49" s="329">
        <v>310</v>
      </c>
      <c r="CC49" s="329">
        <v>419</v>
      </c>
      <c r="CD49" s="329">
        <v>589</v>
      </c>
      <c r="CE49" s="330">
        <f>SUM(CA49:CD49)</f>
        <v>1563</v>
      </c>
      <c r="CF49" s="307">
        <f>53-195</f>
        <v>-142</v>
      </c>
      <c r="CG49" s="307">
        <f>348-309</f>
        <v>39</v>
      </c>
      <c r="CH49" s="307">
        <f>94+86</f>
        <v>180</v>
      </c>
      <c r="CI49" s="307">
        <v>517</v>
      </c>
      <c r="CJ49" s="330">
        <f>SUM(CF49:CI49)</f>
        <v>594</v>
      </c>
      <c r="CK49" s="329">
        <f>26+86</f>
        <v>112</v>
      </c>
      <c r="CL49" s="329">
        <f>212-185</f>
        <v>27</v>
      </c>
      <c r="CM49" s="329">
        <f>67-8</f>
        <v>59</v>
      </c>
      <c r="CN49" s="329">
        <f>-144+8</f>
        <v>-136</v>
      </c>
      <c r="CO49" s="331">
        <f>SUM(CK49:CN49)</f>
        <v>62</v>
      </c>
      <c r="CP49" s="329">
        <f>363-156</f>
        <v>207</v>
      </c>
      <c r="CQ49" s="329">
        <f>103-75</f>
        <v>28</v>
      </c>
      <c r="CR49" s="329">
        <f>39+22</f>
        <v>61</v>
      </c>
      <c r="CS49" s="329">
        <f>145-149</f>
        <v>-4</v>
      </c>
      <c r="CT49" s="331">
        <f>SUM(CP49:CS49)</f>
        <v>292</v>
      </c>
      <c r="CU49" s="329">
        <f>151+36</f>
        <v>187</v>
      </c>
      <c r="CV49" s="329">
        <v>0</v>
      </c>
      <c r="CW49" s="329">
        <f>-13+191</f>
        <v>178</v>
      </c>
      <c r="CX49" s="329">
        <f>121-49</f>
        <v>72</v>
      </c>
      <c r="CY49" s="331">
        <f>SUM(CU49:CX49)</f>
        <v>437</v>
      </c>
      <c r="CZ49" s="329">
        <f>129-165</f>
        <v>-36</v>
      </c>
      <c r="DA49" s="329">
        <v>270</v>
      </c>
      <c r="DB49" s="329">
        <f>-452+420-55</f>
        <v>-87</v>
      </c>
      <c r="DC49" s="329">
        <f>-72+71+46+108</f>
        <v>153</v>
      </c>
      <c r="DD49" s="331">
        <f>SUM(CZ49:DC49)</f>
        <v>300</v>
      </c>
      <c r="DE49" s="329">
        <f>70-4+55</f>
        <v>121</v>
      </c>
      <c r="DF49" s="329">
        <f>96+92-23</f>
        <v>165</v>
      </c>
      <c r="DG49" s="329">
        <f>137-69-56</f>
        <v>12</v>
      </c>
      <c r="DH49" s="329">
        <f>49-163</f>
        <v>-114</v>
      </c>
      <c r="DI49" s="331">
        <f>SUM(DE49:DH49)</f>
        <v>184</v>
      </c>
      <c r="DJ49" s="329">
        <f>34-5</f>
        <v>29</v>
      </c>
      <c r="DK49" s="329">
        <f>108+18</f>
        <v>126</v>
      </c>
      <c r="DL49" s="1114">
        <v>187</v>
      </c>
      <c r="DM49" s="1114">
        <v>100</v>
      </c>
      <c r="DN49" s="331">
        <f>SUM(DJ49:DM49)</f>
        <v>442</v>
      </c>
      <c r="DO49" s="1114">
        <v>3</v>
      </c>
      <c r="DP49" s="1114">
        <v>0</v>
      </c>
      <c r="DQ49" s="1114">
        <v>34</v>
      </c>
      <c r="DR49" s="1114">
        <v>212</v>
      </c>
      <c r="DS49" s="331">
        <f>SUM(DO49:DR49)</f>
        <v>249</v>
      </c>
      <c r="DT49" s="329">
        <f>4</f>
        <v>4</v>
      </c>
      <c r="DU49" s="1114">
        <v>43</v>
      </c>
      <c r="DV49" s="1114">
        <v>57</v>
      </c>
      <c r="DW49" s="329">
        <f>116-196-74-SUM(DT49:DV49)</f>
        <v>-258</v>
      </c>
      <c r="DX49" s="331">
        <f>SUM(DT49:DW49)</f>
        <v>-154</v>
      </c>
      <c r="DY49" s="1114">
        <v>-7</v>
      </c>
      <c r="DZ49" s="1114">
        <v>70</v>
      </c>
      <c r="EA49" s="1114">
        <f>CF!EA12</f>
        <v>-40</v>
      </c>
      <c r="EB49" s="329">
        <f>CF!EB12</f>
        <v>-209</v>
      </c>
      <c r="EC49" s="331">
        <f>SUM(DY49:EB49)</f>
        <v>-186</v>
      </c>
      <c r="ED49" s="1114">
        <v>79</v>
      </c>
      <c r="EE49" s="1114">
        <v>317</v>
      </c>
      <c r="EF49" s="1114">
        <v>169</v>
      </c>
      <c r="EG49" s="1580">
        <f>716-SUM(ED49:EF49)</f>
        <v>151</v>
      </c>
      <c r="EH49" s="1581">
        <f>SUM(ED49:EG49)</f>
        <v>716</v>
      </c>
      <c r="EI49" s="2558">
        <v>2</v>
      </c>
      <c r="EJ49" s="2558">
        <v>106</v>
      </c>
      <c r="EK49" s="2558">
        <v>85</v>
      </c>
      <c r="EL49" s="2556">
        <f>668-EK49-EJ49-EI49</f>
        <v>475</v>
      </c>
      <c r="EM49" s="2696">
        <f>SUM(EI49:EL49)</f>
        <v>668</v>
      </c>
      <c r="EN49" s="2702">
        <v>405</v>
      </c>
      <c r="EO49" s="2558">
        <v>698</v>
      </c>
      <c r="EP49" s="2558">
        <v>790</v>
      </c>
      <c r="EQ49" s="2558">
        <f>2583-SUM(EN49:EP49)</f>
        <v>690</v>
      </c>
      <c r="ER49" s="2696">
        <f>SUM(EN49:EQ49)</f>
        <v>2583</v>
      </c>
      <c r="ES49" s="2702">
        <v>573</v>
      </c>
      <c r="ET49" s="2558">
        <v>768</v>
      </c>
      <c r="EU49" s="2558">
        <v>510</v>
      </c>
      <c r="EV49" s="329">
        <f>350-EV47-EV48-EV50</f>
        <v>472.25868694484871</v>
      </c>
      <c r="EW49" s="331">
        <f>SUM(ES49:EV49)</f>
        <v>2323.2586869448487</v>
      </c>
      <c r="EX49" s="329">
        <f>CF!EX12</f>
        <v>0</v>
      </c>
      <c r="EY49" s="329">
        <f>CF!EY12</f>
        <v>0</v>
      </c>
      <c r="EZ49" s="329">
        <f>CF!EZ12</f>
        <v>0</v>
      </c>
      <c r="FA49" s="329">
        <f>CF!FA12</f>
        <v>0</v>
      </c>
      <c r="FB49" s="331">
        <f>SUM(EX49:FA49)</f>
        <v>0</v>
      </c>
      <c r="FC49" s="329">
        <f>CF!FC12</f>
        <v>0</v>
      </c>
      <c r="FD49" s="329">
        <f>CF!FD12</f>
        <v>0</v>
      </c>
      <c r="FE49" s="329">
        <f>CF!FE12</f>
        <v>0</v>
      </c>
      <c r="FF49" s="329">
        <f>CF!FF12</f>
        <v>0</v>
      </c>
      <c r="FG49" s="331">
        <f>SUM(FC49:FF49)</f>
        <v>0</v>
      </c>
      <c r="FH49" s="329">
        <f>CF!FH12</f>
        <v>0</v>
      </c>
      <c r="FI49" s="329">
        <f>CF!FI12</f>
        <v>0</v>
      </c>
      <c r="FJ49" s="329">
        <f>CF!FJ12</f>
        <v>0</v>
      </c>
      <c r="FK49" s="329">
        <f>CF!FK12</f>
        <v>0</v>
      </c>
      <c r="FL49" s="331">
        <f>SUM(FH49:FK49)</f>
        <v>0</v>
      </c>
      <c r="FN49" s="330">
        <f>BD49+BE49+BG49+BH49</f>
        <v>1056</v>
      </c>
      <c r="FO49" s="330">
        <f>BI49+BJ49+BL49+BM49</f>
        <v>1922</v>
      </c>
      <c r="FP49" s="330">
        <f>BN49+BO49+BQ49+BR49</f>
        <v>-1362</v>
      </c>
      <c r="FQ49" s="330">
        <f>BS49+BT49+BV49+BW49</f>
        <v>-1193</v>
      </c>
      <c r="FR49" s="330">
        <f>BX49+BY49+CA49+CB49</f>
        <v>831</v>
      </c>
      <c r="FS49" s="330">
        <f>CC49+CD49+CF49+CG49</f>
        <v>905</v>
      </c>
      <c r="FT49" s="330">
        <f>CH49+CI49+CK49+CL49</f>
        <v>836</v>
      </c>
      <c r="FU49" s="330">
        <f>CM49+CN49+CP49+CQ49</f>
        <v>158</v>
      </c>
      <c r="FV49" s="330">
        <f>CR49+CS49+CU49+CV49</f>
        <v>244</v>
      </c>
      <c r="FW49" s="330">
        <f>CW49+CX49+CZ49+DA49</f>
        <v>484</v>
      </c>
      <c r="FX49" s="855">
        <f>DB49+DC49+DE49+DF49</f>
        <v>352</v>
      </c>
      <c r="FY49" s="856">
        <f>DG49+DH49+DJ49+DK49</f>
        <v>53</v>
      </c>
      <c r="FZ49" s="856">
        <f>SUM(DO49:DP49,DL49:DM49)</f>
        <v>290</v>
      </c>
      <c r="GA49" s="856">
        <f>SUM(DT49:DU49,DQ49:DR49)</f>
        <v>293</v>
      </c>
      <c r="GB49" s="856">
        <f>SUM(DY49:DZ49,DV49:DW49)</f>
        <v>-138</v>
      </c>
      <c r="GC49" s="856">
        <f>SUM(ED49:EE49,EA49:EB49)</f>
        <v>147</v>
      </c>
      <c r="GD49" s="856">
        <f>SUM(EI49:EJ49,EF49:EG49)</f>
        <v>428</v>
      </c>
      <c r="GE49" s="856">
        <f>SUM(EN49:EO49,EK49:EL49)</f>
        <v>1663</v>
      </c>
      <c r="GF49" s="856">
        <f>SUM(ES49:ET49,EP49:EQ49)</f>
        <v>2821</v>
      </c>
      <c r="GG49" s="856">
        <f>SUM(EX49:EY49,EU49:EV49)</f>
        <v>982.25868694484871</v>
      </c>
      <c r="GH49" s="856">
        <f>SUM(FC49:FD49,EZ49:FA49)</f>
        <v>0</v>
      </c>
      <c r="GI49" s="856">
        <f>SUM(FH49:FI49,FE49:FF49)</f>
        <v>0</v>
      </c>
      <c r="GJ49" s="303"/>
      <c r="GK49" s="303"/>
      <c r="GL49" s="303"/>
      <c r="GN49"/>
      <c r="GO49"/>
      <c r="GP49"/>
      <c r="GQ49"/>
      <c r="GR49"/>
      <c r="GS49"/>
    </row>
    <row r="50" spans="1:201" s="307" customFormat="1" ht="11.25" hidden="1" customHeight="1" outlineLevel="1">
      <c r="A50" s="351" t="s">
        <v>183</v>
      </c>
      <c r="B50" s="303"/>
      <c r="C50" s="303"/>
      <c r="D50" s="329">
        <v>-3</v>
      </c>
      <c r="E50" s="329">
        <v>-4</v>
      </c>
      <c r="F50" s="329">
        <v>-2</v>
      </c>
      <c r="G50" s="329">
        <v>-1</v>
      </c>
      <c r="H50" s="330">
        <f>SUM(D50:G50)</f>
        <v>-10</v>
      </c>
      <c r="I50" s="329">
        <v>-2</v>
      </c>
      <c r="J50" s="329">
        <v>-5</v>
      </c>
      <c r="K50" s="329">
        <v>-3</v>
      </c>
      <c r="L50" s="329">
        <v>-4</v>
      </c>
      <c r="M50" s="330">
        <f>SUM(I50:L50)</f>
        <v>-14</v>
      </c>
      <c r="N50" s="329">
        <v>-4</v>
      </c>
      <c r="O50" s="329">
        <v>-5</v>
      </c>
      <c r="P50" s="329">
        <v>-3</v>
      </c>
      <c r="Q50" s="329">
        <v>-4</v>
      </c>
      <c r="R50" s="330">
        <f>SUM(N50:Q50)</f>
        <v>-16</v>
      </c>
      <c r="S50" s="329">
        <v>-3</v>
      </c>
      <c r="T50" s="329">
        <v>-2</v>
      </c>
      <c r="U50" s="329">
        <v>-3</v>
      </c>
      <c r="V50" s="329">
        <v>-3</v>
      </c>
      <c r="W50" s="330">
        <f>SUM(S50:V50)</f>
        <v>-11</v>
      </c>
      <c r="X50" s="329">
        <v>-1</v>
      </c>
      <c r="Y50" s="329">
        <f>--2</f>
        <v>2</v>
      </c>
      <c r="Z50" s="329">
        <v>-2</v>
      </c>
      <c r="AA50" s="329">
        <v>-6</v>
      </c>
      <c r="AB50" s="330">
        <f>SUM(X50:AA50)</f>
        <v>-7</v>
      </c>
      <c r="AC50" s="329">
        <v>-4</v>
      </c>
      <c r="AD50" s="329">
        <v>-2</v>
      </c>
      <c r="AE50" s="329">
        <v>-4</v>
      </c>
      <c r="AF50" s="329">
        <v>-6</v>
      </c>
      <c r="AG50" s="330">
        <f>SUM(AC50:AF50)</f>
        <v>-16</v>
      </c>
      <c r="AH50" s="329">
        <v>-2</v>
      </c>
      <c r="AI50" s="329">
        <v>-5</v>
      </c>
      <c r="AJ50" s="329">
        <v>-5</v>
      </c>
      <c r="AK50" s="329">
        <v>-4</v>
      </c>
      <c r="AL50" s="330">
        <f>SUM(AH50:AK50)</f>
        <v>-16</v>
      </c>
      <c r="AM50" s="329">
        <v>-4</v>
      </c>
      <c r="AN50" s="329">
        <f>--23</f>
        <v>23</v>
      </c>
      <c r="AO50" s="329">
        <f>--4</f>
        <v>4</v>
      </c>
      <c r="AP50" s="329">
        <v>-42</v>
      </c>
      <c r="AQ50" s="330">
        <f>SUM(AM50:AP50)</f>
        <v>-19</v>
      </c>
      <c r="AR50" s="329">
        <v>-49</v>
      </c>
      <c r="AS50" s="329">
        <v>-46</v>
      </c>
      <c r="AT50" s="329">
        <v>-84</v>
      </c>
      <c r="AU50" s="329">
        <v>-80</v>
      </c>
      <c r="AV50" s="330">
        <f>SUM(AR50:AU50)</f>
        <v>-259</v>
      </c>
      <c r="AW50" s="329">
        <v>-71</v>
      </c>
      <c r="AX50" s="329">
        <v>-48</v>
      </c>
      <c r="AY50" s="329">
        <v>-60</v>
      </c>
      <c r="AZ50" s="329">
        <v>-49</v>
      </c>
      <c r="BA50" s="330">
        <f>SUM(AW50:AZ50)</f>
        <v>-228</v>
      </c>
      <c r="BB50" s="329">
        <v>-24</v>
      </c>
      <c r="BC50" s="329">
        <v>-35</v>
      </c>
      <c r="BD50" s="329">
        <v>-1</v>
      </c>
      <c r="BE50" s="329">
        <v>-55</v>
      </c>
      <c r="BF50" s="330">
        <f>SUM(BB50:BE50)</f>
        <v>-115</v>
      </c>
      <c r="BG50" s="329">
        <v>-19</v>
      </c>
      <c r="BH50" s="329">
        <v>-10</v>
      </c>
      <c r="BI50" s="329">
        <v>-4</v>
      </c>
      <c r="BJ50" s="329">
        <v>-24</v>
      </c>
      <c r="BK50" s="330">
        <f>SUM(BG50:BJ50)</f>
        <v>-57</v>
      </c>
      <c r="BL50" s="329">
        <v>-52</v>
      </c>
      <c r="BM50" s="329">
        <v>-28</v>
      </c>
      <c r="BN50" s="329">
        <v>-46</v>
      </c>
      <c r="BO50" s="329">
        <v>-33</v>
      </c>
      <c r="BP50" s="330">
        <f>SUM(BL50:BO50)</f>
        <v>-159</v>
      </c>
      <c r="BQ50" s="329">
        <f>88-30</f>
        <v>58</v>
      </c>
      <c r="BR50" s="329">
        <f>81-37</f>
        <v>44</v>
      </c>
      <c r="BS50" s="329">
        <f>95-11</f>
        <v>84</v>
      </c>
      <c r="BT50" s="329">
        <f>93-14</f>
        <v>79</v>
      </c>
      <c r="BU50" s="330">
        <f>SUM(BQ50:BT50)</f>
        <v>265</v>
      </c>
      <c r="BV50" s="329">
        <f>-347-22</f>
        <v>-369</v>
      </c>
      <c r="BW50" s="329">
        <f>-36-12</f>
        <v>-48</v>
      </c>
      <c r="BX50" s="329">
        <f>15-19</f>
        <v>-4</v>
      </c>
      <c r="BY50" s="329">
        <f>-56-15</f>
        <v>-71</v>
      </c>
      <c r="BZ50" s="330">
        <f>SUM(BV50:BY50)</f>
        <v>-492</v>
      </c>
      <c r="CA50" s="329">
        <f>34-10</f>
        <v>24</v>
      </c>
      <c r="CB50" s="329">
        <f>11-5</f>
        <v>6</v>
      </c>
      <c r="CC50" s="329">
        <v>93</v>
      </c>
      <c r="CD50" s="329">
        <v>-406</v>
      </c>
      <c r="CE50" s="330">
        <f>SUM(CA50:CD50)</f>
        <v>-283</v>
      </c>
      <c r="CF50" s="307">
        <v>10</v>
      </c>
      <c r="CG50" s="307">
        <v>3</v>
      </c>
      <c r="CH50" s="307">
        <v>-1</v>
      </c>
      <c r="CI50" s="307">
        <v>1</v>
      </c>
      <c r="CJ50" s="330">
        <f>SUM(CF50:CI50)</f>
        <v>13</v>
      </c>
      <c r="CK50" s="329">
        <v>18</v>
      </c>
      <c r="CL50" s="329">
        <v>71</v>
      </c>
      <c r="CM50" s="329">
        <v>-1</v>
      </c>
      <c r="CN50" s="329">
        <v>130</v>
      </c>
      <c r="CO50" s="331">
        <f>SUM(CK50:CN50)</f>
        <v>218</v>
      </c>
      <c r="CP50" s="329">
        <v>-9</v>
      </c>
      <c r="CQ50" s="329">
        <v>-11</v>
      </c>
      <c r="CR50" s="329">
        <v>-12</v>
      </c>
      <c r="CS50" s="329">
        <v>-2</v>
      </c>
      <c r="CT50" s="331">
        <f>SUM(CP50:CS50)</f>
        <v>-34</v>
      </c>
      <c r="CU50" s="329">
        <f>80-139</f>
        <v>-59</v>
      </c>
      <c r="CV50" s="329">
        <v>0</v>
      </c>
      <c r="CW50" s="329">
        <v>-3</v>
      </c>
      <c r="CX50" s="329">
        <v>-5</v>
      </c>
      <c r="CY50" s="331">
        <f>SUM(CU50:CX50)</f>
        <v>-67</v>
      </c>
      <c r="CZ50" s="329">
        <f>-179</f>
        <v>-179</v>
      </c>
      <c r="DA50" s="329">
        <f>-409-350+13</f>
        <v>-746</v>
      </c>
      <c r="DB50" s="329">
        <f>-26-19</f>
        <v>-45</v>
      </c>
      <c r="DC50" s="329">
        <f>155-SUM(DC47:DC49)+108</f>
        <v>-50</v>
      </c>
      <c r="DD50" s="331">
        <f>SUM(CZ50:DC50)</f>
        <v>-1020</v>
      </c>
      <c r="DE50" s="329">
        <v>-3</v>
      </c>
      <c r="DF50" s="329">
        <f>46</f>
        <v>46</v>
      </c>
      <c r="DG50" s="329">
        <v>-10</v>
      </c>
      <c r="DH50" s="329">
        <f>25-19</f>
        <v>6</v>
      </c>
      <c r="DI50" s="331">
        <f>SUM(DE50:DH50)</f>
        <v>39</v>
      </c>
      <c r="DJ50" s="329">
        <f>-42-38</f>
        <v>-80</v>
      </c>
      <c r="DK50" s="329">
        <f>DK51-SUM(DK47:DK49)</f>
        <v>73</v>
      </c>
      <c r="DL50" s="329">
        <f>-65+55+7</f>
        <v>-3</v>
      </c>
      <c r="DM50" s="329">
        <f>-115-12</f>
        <v>-127</v>
      </c>
      <c r="DN50" s="331">
        <f>SUM(DJ50:DM50)</f>
        <v>-137</v>
      </c>
      <c r="DO50" s="329">
        <f>27-40-4</f>
        <v>-17</v>
      </c>
      <c r="DP50" s="329">
        <f>315-203-4+50</f>
        <v>158</v>
      </c>
      <c r="DQ50" s="329">
        <f>-102+-8+-20</f>
        <v>-130</v>
      </c>
      <c r="DR50" s="329">
        <f>-86+-65+-25</f>
        <v>-176</v>
      </c>
      <c r="DS50" s="331">
        <f>SUM(DO50:DR50)</f>
        <v>-165</v>
      </c>
      <c r="DT50" s="329">
        <f>202-29-15</f>
        <v>158</v>
      </c>
      <c r="DU50" s="329">
        <f>-65-7-33</f>
        <v>-105</v>
      </c>
      <c r="DV50" s="329">
        <f>-5-22-80</f>
        <v>-107</v>
      </c>
      <c r="DW50" s="329">
        <f>194-SUM(DT50:DV50)</f>
        <v>248</v>
      </c>
      <c r="DX50" s="331">
        <f>SUM(DT50:DW50)</f>
        <v>194</v>
      </c>
      <c r="DY50" s="329">
        <f>-86+26+80</f>
        <v>20</v>
      </c>
      <c r="DZ50" s="329">
        <f>-117-17-111</f>
        <v>-245</v>
      </c>
      <c r="EA50" s="329">
        <v>0</v>
      </c>
      <c r="EB50" s="329">
        <f>EB51-SUM(EB47:EB49)</f>
        <v>289.38750000000005</v>
      </c>
      <c r="EC50" s="331">
        <f>SUM(DY50:EB50)</f>
        <v>64.387500000000045</v>
      </c>
      <c r="ED50" s="329">
        <f>-134+78-35</f>
        <v>-91</v>
      </c>
      <c r="EE50" s="329">
        <f>+-138+83-209</f>
        <v>-264</v>
      </c>
      <c r="EF50" s="329">
        <f>-114+-54-27</f>
        <v>-195</v>
      </c>
      <c r="EG50" s="1579">
        <f>(-423+335-267)-SUM(ED50:EF50)</f>
        <v>195</v>
      </c>
      <c r="EH50" s="1581">
        <f>SUM(ED50:EG50)</f>
        <v>-355</v>
      </c>
      <c r="EI50" s="2702">
        <f>-295-SUM(EI47:EI49)</f>
        <v>-247</v>
      </c>
      <c r="EJ50" s="2702">
        <f>+-176-SUM(EJ47:EJ49)</f>
        <v>-173</v>
      </c>
      <c r="EK50" s="2702">
        <f>+-212-SUM(EK47:EK49)</f>
        <v>-187</v>
      </c>
      <c r="EL50" s="2557">
        <f>244-SUM(EL47:EL49)</f>
        <v>-160</v>
      </c>
      <c r="EM50" s="2696">
        <f>SUM(EI50:EL50)</f>
        <v>-767</v>
      </c>
      <c r="EN50" s="2702">
        <f>112-SUM(EN47:EN49)</f>
        <v>-149</v>
      </c>
      <c r="EO50" s="2702">
        <f>117-SUM(EO47:EO49)</f>
        <v>-371</v>
      </c>
      <c r="EP50" s="2702">
        <f>371-SUM(EP47:EP49)</f>
        <v>-190</v>
      </c>
      <c r="EQ50" s="2702">
        <f>276-SUM(EQ47:EQ49)</f>
        <v>-162</v>
      </c>
      <c r="ER50" s="2696">
        <f>SUM(EN50:EQ50)</f>
        <v>-872</v>
      </c>
      <c r="ES50" s="2702">
        <f>276-SUM(ES47:ES49)</f>
        <v>-98</v>
      </c>
      <c r="ET50" s="2702">
        <f>490-SUM(ET47:ET49)</f>
        <v>-110</v>
      </c>
      <c r="EU50" s="2702">
        <f>349-SUM(EU47:EU49)</f>
        <v>-45</v>
      </c>
      <c r="EV50" s="329">
        <f>EU50</f>
        <v>-45</v>
      </c>
      <c r="EW50" s="331">
        <f>SUM(ES50:EV50)</f>
        <v>-298</v>
      </c>
      <c r="EX50" s="329">
        <v>0</v>
      </c>
      <c r="EY50" s="329">
        <v>0</v>
      </c>
      <c r="EZ50" s="329">
        <v>0</v>
      </c>
      <c r="FA50" s="329">
        <v>0</v>
      </c>
      <c r="FB50" s="331">
        <f>SUM(EX50:FA50)</f>
        <v>0</v>
      </c>
      <c r="FC50" s="329">
        <v>0</v>
      </c>
      <c r="FD50" s="329">
        <v>0</v>
      </c>
      <c r="FE50" s="329">
        <v>0</v>
      </c>
      <c r="FF50" s="329">
        <v>0</v>
      </c>
      <c r="FG50" s="331">
        <f>SUM(FC50:FF50)</f>
        <v>0</v>
      </c>
      <c r="FH50" s="329">
        <v>0</v>
      </c>
      <c r="FI50" s="329">
        <v>0</v>
      </c>
      <c r="FJ50" s="329">
        <v>0</v>
      </c>
      <c r="FK50" s="329">
        <v>0</v>
      </c>
      <c r="FL50" s="331">
        <f>SUM(FH50:FK50)</f>
        <v>0</v>
      </c>
      <c r="FN50" s="330">
        <f>BD50+BE50+BG50+BH50</f>
        <v>-85</v>
      </c>
      <c r="FO50" s="330">
        <f>BI50+BJ50+BL50+BM50</f>
        <v>-108</v>
      </c>
      <c r="FP50" s="330">
        <f>BN50+BO50+BQ50+BR50</f>
        <v>23</v>
      </c>
      <c r="FQ50" s="330">
        <f>BS50+BT50+BV50+BW50</f>
        <v>-254</v>
      </c>
      <c r="FR50" s="330">
        <f>BX50+BY50+CA50+CB50</f>
        <v>-45</v>
      </c>
      <c r="FS50" s="330">
        <f>CC50+CD50+CF50+CG50</f>
        <v>-300</v>
      </c>
      <c r="FT50" s="330">
        <f>CH50+CI50+CK50+CL50</f>
        <v>89</v>
      </c>
      <c r="FU50" s="330">
        <f>CM50+CN50+CP50+CQ50</f>
        <v>109</v>
      </c>
      <c r="FV50" s="330">
        <f>CR50+CS50+CU50+CV50</f>
        <v>-73</v>
      </c>
      <c r="FW50" s="330">
        <f>CW50+CX50+CZ50+DA50</f>
        <v>-933</v>
      </c>
      <c r="FX50" s="855">
        <f>DB50+DC50+DE50+DF50</f>
        <v>-52</v>
      </c>
      <c r="FY50" s="856">
        <f>DG50+DH50+DJ50+DK50</f>
        <v>-11</v>
      </c>
      <c r="FZ50" s="856">
        <f>SUM(DO50:DP50,DL50:DM50)</f>
        <v>11</v>
      </c>
      <c r="GA50" s="856">
        <f>SUM(DT50:DU50,DQ50:DR50)</f>
        <v>-253</v>
      </c>
      <c r="GB50" s="856">
        <f>SUM(DY50:DZ50,DV50:DW50)</f>
        <v>-84</v>
      </c>
      <c r="GC50" s="856">
        <f>SUM(ED50:EE50,EA50:EB50)</f>
        <v>-65.612499999999955</v>
      </c>
      <c r="GD50" s="856">
        <f>SUM(EI50:EJ50,EF50:EG50)</f>
        <v>-420</v>
      </c>
      <c r="GE50" s="856">
        <f>SUM(EN50:EO50,EK50:EL50)</f>
        <v>-867</v>
      </c>
      <c r="GF50" s="856">
        <f>SUM(ES50:ET50,EP50:EQ50)</f>
        <v>-560</v>
      </c>
      <c r="GG50" s="856">
        <f>SUM(EX50:EY50,EU50:EV50)</f>
        <v>-90</v>
      </c>
      <c r="GH50" s="856">
        <f>SUM(FC50:FD50,EZ50:FA50)</f>
        <v>0</v>
      </c>
      <c r="GI50" s="856">
        <f>SUM(FH50:FI50,FE50:FF50)</f>
        <v>0</v>
      </c>
      <c r="GJ50" s="303"/>
      <c r="GK50" s="303"/>
      <c r="GL50" s="303"/>
      <c r="GN50"/>
      <c r="GO50"/>
      <c r="GP50"/>
      <c r="GQ50"/>
      <c r="GR50"/>
      <c r="GS50"/>
    </row>
    <row r="51" spans="1:201" s="307" customFormat="1" ht="11.25" customHeight="1" collapsed="1">
      <c r="A51" s="328" t="s">
        <v>507</v>
      </c>
      <c r="B51" s="303"/>
      <c r="C51" s="303"/>
      <c r="D51" s="329">
        <f t="shared" ref="D51:AP51" si="281">+SUM(D47:D50)</f>
        <v>1</v>
      </c>
      <c r="E51" s="329">
        <f t="shared" si="281"/>
        <v>0</v>
      </c>
      <c r="F51" s="329">
        <f t="shared" si="281"/>
        <v>3</v>
      </c>
      <c r="G51" s="329">
        <f t="shared" si="281"/>
        <v>5</v>
      </c>
      <c r="H51" s="330">
        <f>+SUM(H47:H50)</f>
        <v>9</v>
      </c>
      <c r="I51" s="329">
        <f t="shared" si="281"/>
        <v>4</v>
      </c>
      <c r="J51" s="329">
        <f t="shared" si="281"/>
        <v>2</v>
      </c>
      <c r="K51" s="329">
        <f t="shared" si="281"/>
        <v>4</v>
      </c>
      <c r="L51" s="329">
        <f t="shared" si="281"/>
        <v>7</v>
      </c>
      <c r="M51" s="330">
        <f>+SUM(M47:M50)</f>
        <v>17</v>
      </c>
      <c r="N51" s="329">
        <f t="shared" si="281"/>
        <v>4</v>
      </c>
      <c r="O51" s="329">
        <f t="shared" si="281"/>
        <v>4</v>
      </c>
      <c r="P51" s="329">
        <f t="shared" si="281"/>
        <v>6</v>
      </c>
      <c r="Q51" s="329">
        <f t="shared" si="281"/>
        <v>7</v>
      </c>
      <c r="R51" s="330">
        <f>+SUM(R47:R50)</f>
        <v>21</v>
      </c>
      <c r="S51" s="329">
        <f t="shared" si="281"/>
        <v>9</v>
      </c>
      <c r="T51" s="329">
        <f t="shared" si="281"/>
        <v>12</v>
      </c>
      <c r="U51" s="329">
        <f t="shared" si="281"/>
        <v>11</v>
      </c>
      <c r="V51" s="329">
        <f t="shared" si="281"/>
        <v>13</v>
      </c>
      <c r="W51" s="330">
        <f>+SUM(W47:W50)</f>
        <v>45</v>
      </c>
      <c r="X51" s="329">
        <f t="shared" si="281"/>
        <v>18</v>
      </c>
      <c r="Y51" s="329">
        <f t="shared" si="281"/>
        <v>21</v>
      </c>
      <c r="Z51" s="329">
        <f t="shared" si="281"/>
        <v>19</v>
      </c>
      <c r="AA51" s="329">
        <f t="shared" si="281"/>
        <v>17</v>
      </c>
      <c r="AB51" s="330">
        <f>+SUM(AB47:AB50)</f>
        <v>75</v>
      </c>
      <c r="AC51" s="329">
        <f t="shared" si="281"/>
        <v>19</v>
      </c>
      <c r="AD51" s="329">
        <f t="shared" si="281"/>
        <v>23</v>
      </c>
      <c r="AE51" s="329">
        <f t="shared" si="281"/>
        <v>22</v>
      </c>
      <c r="AF51" s="329">
        <f t="shared" si="281"/>
        <v>22</v>
      </c>
      <c r="AG51" s="330">
        <f>+SUM(AG47:AG50)</f>
        <v>86</v>
      </c>
      <c r="AH51" s="329">
        <f t="shared" si="281"/>
        <v>34</v>
      </c>
      <c r="AI51" s="329">
        <f t="shared" si="281"/>
        <v>37</v>
      </c>
      <c r="AJ51" s="329">
        <f t="shared" si="281"/>
        <v>43</v>
      </c>
      <c r="AK51" s="329">
        <f t="shared" si="281"/>
        <v>61</v>
      </c>
      <c r="AL51" s="330">
        <f>+SUM(AL47:AL50)</f>
        <v>175</v>
      </c>
      <c r="AM51" s="329">
        <f t="shared" si="281"/>
        <v>62</v>
      </c>
      <c r="AN51" s="329">
        <f t="shared" si="281"/>
        <v>99</v>
      </c>
      <c r="AO51" s="329">
        <f t="shared" si="281"/>
        <v>90</v>
      </c>
      <c r="AP51" s="329">
        <f t="shared" si="281"/>
        <v>50</v>
      </c>
      <c r="AQ51" s="330">
        <f>+SUM(AQ47:AQ50)</f>
        <v>301</v>
      </c>
      <c r="AR51" s="329">
        <f t="shared" ref="AR51:CD51" si="282">+SUM(AR47:AR50)</f>
        <v>43</v>
      </c>
      <c r="AS51" s="329">
        <f t="shared" si="282"/>
        <v>59</v>
      </c>
      <c r="AT51" s="329">
        <f t="shared" si="282"/>
        <v>35</v>
      </c>
      <c r="AU51" s="329">
        <f t="shared" si="282"/>
        <v>47</v>
      </c>
      <c r="AV51" s="330">
        <f>+SUM(AV47:AV50)</f>
        <v>184</v>
      </c>
      <c r="AW51" s="329">
        <f t="shared" si="282"/>
        <v>71</v>
      </c>
      <c r="AX51" s="329">
        <f t="shared" si="282"/>
        <v>109</v>
      </c>
      <c r="AY51" s="329">
        <f t="shared" si="282"/>
        <v>130</v>
      </c>
      <c r="AZ51" s="329">
        <f t="shared" si="282"/>
        <v>165</v>
      </c>
      <c r="BA51" s="330">
        <f>+SUM(BA47:BA50)</f>
        <v>475</v>
      </c>
      <c r="BB51" s="329">
        <f t="shared" si="282"/>
        <v>397</v>
      </c>
      <c r="BC51" s="329">
        <f t="shared" si="282"/>
        <v>302</v>
      </c>
      <c r="BD51" s="329">
        <f t="shared" si="282"/>
        <v>719</v>
      </c>
      <c r="BE51" s="329">
        <f t="shared" si="282"/>
        <v>430</v>
      </c>
      <c r="BF51" s="330">
        <f>+SUM(BF47:BF50)</f>
        <v>1848</v>
      </c>
      <c r="BG51" s="329">
        <f t="shared" si="282"/>
        <v>531</v>
      </c>
      <c r="BH51" s="329">
        <f t="shared" si="282"/>
        <v>760</v>
      </c>
      <c r="BI51" s="329">
        <f t="shared" si="282"/>
        <v>878</v>
      </c>
      <c r="BJ51" s="329">
        <f t="shared" si="282"/>
        <v>1100</v>
      </c>
      <c r="BK51" s="330">
        <f>+SUM(BK47:BK50)</f>
        <v>3269</v>
      </c>
      <c r="BL51" s="329">
        <f t="shared" si="282"/>
        <v>1075</v>
      </c>
      <c r="BM51" s="329">
        <f t="shared" si="282"/>
        <v>723</v>
      </c>
      <c r="BN51" s="329">
        <f t="shared" si="282"/>
        <v>660</v>
      </c>
      <c r="BO51" s="329">
        <f t="shared" si="282"/>
        <v>-2653</v>
      </c>
      <c r="BP51" s="330">
        <f>+SUM(BP47:BP50)</f>
        <v>-195</v>
      </c>
      <c r="BQ51" s="329">
        <f t="shared" si="282"/>
        <v>-1010</v>
      </c>
      <c r="BR51" s="329">
        <f t="shared" si="282"/>
        <v>516</v>
      </c>
      <c r="BS51" s="329">
        <f t="shared" si="282"/>
        <v>728</v>
      </c>
      <c r="BT51" s="329">
        <f t="shared" si="282"/>
        <v>-631</v>
      </c>
      <c r="BU51" s="330">
        <f>+SUM(BU47:BU50)</f>
        <v>-397</v>
      </c>
      <c r="BV51" s="329">
        <f t="shared" si="282"/>
        <v>19</v>
      </c>
      <c r="BW51" s="329">
        <f t="shared" si="282"/>
        <v>363</v>
      </c>
      <c r="BX51" s="329">
        <f t="shared" si="282"/>
        <v>453</v>
      </c>
      <c r="BY51" s="329">
        <f t="shared" si="282"/>
        <v>674</v>
      </c>
      <c r="BZ51" s="330">
        <f>+SUM(BZ47:BZ50)</f>
        <v>1509</v>
      </c>
      <c r="CA51" s="329">
        <f t="shared" si="282"/>
        <v>753</v>
      </c>
      <c r="CB51" s="329">
        <f t="shared" si="282"/>
        <v>837</v>
      </c>
      <c r="CC51" s="329">
        <f t="shared" si="282"/>
        <v>1012</v>
      </c>
      <c r="CD51" s="329">
        <f t="shared" si="282"/>
        <v>570</v>
      </c>
      <c r="CE51" s="330">
        <f>+SUM(CE47:CE50)</f>
        <v>3172</v>
      </c>
      <c r="CF51" s="307">
        <f t="shared" ref="CF51:CQ51" si="283">+SUM(CF47:CF50)</f>
        <v>279</v>
      </c>
      <c r="CG51" s="307">
        <f t="shared" si="283"/>
        <v>420</v>
      </c>
      <c r="CH51" s="307">
        <f t="shared" si="283"/>
        <v>496</v>
      </c>
      <c r="CI51" s="307">
        <f t="shared" si="283"/>
        <v>872</v>
      </c>
      <c r="CJ51" s="330">
        <f>+SUM(CJ47:CJ50)</f>
        <v>2067</v>
      </c>
      <c r="CK51" s="329">
        <f t="shared" si="283"/>
        <v>506</v>
      </c>
      <c r="CL51" s="329">
        <f t="shared" si="283"/>
        <v>480</v>
      </c>
      <c r="CM51" s="329">
        <f t="shared" si="283"/>
        <v>427</v>
      </c>
      <c r="CN51" s="329">
        <f t="shared" si="283"/>
        <v>377</v>
      </c>
      <c r="CO51" s="331">
        <f>+SUM(CO47:CO50)</f>
        <v>1790</v>
      </c>
      <c r="CP51" s="329">
        <f t="shared" si="283"/>
        <v>567</v>
      </c>
      <c r="CQ51" s="329">
        <f t="shared" si="283"/>
        <v>333</v>
      </c>
      <c r="CR51" s="329">
        <f t="shared" ref="CR51:DA51" si="284">+SUM(CR47:CR50)</f>
        <v>382</v>
      </c>
      <c r="CS51" s="329">
        <f>+SUM(CS47:CS50)</f>
        <v>295</v>
      </c>
      <c r="CT51" s="331">
        <f>+SUM(CT47:CT50)</f>
        <v>1577</v>
      </c>
      <c r="CU51" s="329">
        <f t="shared" si="284"/>
        <v>367</v>
      </c>
      <c r="CV51" s="329">
        <f t="shared" si="284"/>
        <v>339</v>
      </c>
      <c r="CW51" s="329">
        <f t="shared" si="284"/>
        <v>401</v>
      </c>
      <c r="CX51" s="329">
        <f t="shared" si="284"/>
        <v>284</v>
      </c>
      <c r="CY51" s="331">
        <f>+SUM(CY47:CY50)</f>
        <v>1391</v>
      </c>
      <c r="CZ51" s="329">
        <f t="shared" si="284"/>
        <v>-8</v>
      </c>
      <c r="DA51" s="329">
        <f t="shared" si="284"/>
        <v>-301</v>
      </c>
      <c r="DB51" s="329">
        <f t="shared" ref="DB51:DI51" si="285">+SUM(DB47:DB50)</f>
        <v>32</v>
      </c>
      <c r="DC51" s="329">
        <f t="shared" si="285"/>
        <v>263</v>
      </c>
      <c r="DD51" s="352">
        <f t="shared" si="285"/>
        <v>-14</v>
      </c>
      <c r="DE51" s="329">
        <f>SUM(DE47:DE50)</f>
        <v>283</v>
      </c>
      <c r="DF51" s="329">
        <f t="shared" si="285"/>
        <v>370</v>
      </c>
      <c r="DG51" s="329">
        <f t="shared" si="285"/>
        <v>168</v>
      </c>
      <c r="DH51" s="329">
        <f t="shared" si="285"/>
        <v>94</v>
      </c>
      <c r="DI51" s="352">
        <f t="shared" si="285"/>
        <v>915</v>
      </c>
      <c r="DJ51" s="329">
        <f t="shared" ref="DJ51:DS51" si="286">+SUM(DJ47:DJ50)</f>
        <v>114</v>
      </c>
      <c r="DK51" s="1114">
        <v>332</v>
      </c>
      <c r="DL51" s="329">
        <f t="shared" si="286"/>
        <v>316</v>
      </c>
      <c r="DM51" s="329">
        <f t="shared" si="286"/>
        <v>148</v>
      </c>
      <c r="DN51" s="352">
        <f t="shared" si="286"/>
        <v>910</v>
      </c>
      <c r="DO51" s="1114">
        <v>103</v>
      </c>
      <c r="DP51" s="1114">
        <v>245</v>
      </c>
      <c r="DQ51" s="1114">
        <v>-11</v>
      </c>
      <c r="DR51" s="1114">
        <v>167</v>
      </c>
      <c r="DS51" s="331">
        <f t="shared" si="286"/>
        <v>504</v>
      </c>
      <c r="DT51" s="329">
        <f>SUM(DT47:DT50)</f>
        <v>226</v>
      </c>
      <c r="DU51" s="1114">
        <v>-1</v>
      </c>
      <c r="DV51" s="329">
        <f>+SUM(DV47:DV50)</f>
        <v>-9</v>
      </c>
      <c r="DW51" s="329">
        <f>SUM(DW47:DW50)</f>
        <v>72</v>
      </c>
      <c r="DX51" s="331">
        <f>+SUM(DX47:DX50)</f>
        <v>288</v>
      </c>
      <c r="DY51" s="1114">
        <v>74</v>
      </c>
      <c r="DZ51" s="1114">
        <v>-91</v>
      </c>
      <c r="EA51" s="1114">
        <v>-17</v>
      </c>
      <c r="EB51" s="329">
        <v>95</v>
      </c>
      <c r="EC51" s="331">
        <f>+SUM(EC47:EC50)</f>
        <v>41.085000000000036</v>
      </c>
      <c r="ED51" s="1114">
        <v>52</v>
      </c>
      <c r="EE51" s="1114">
        <f>SUM(EE47:EE50)</f>
        <v>74</v>
      </c>
      <c r="EF51" s="1114">
        <v>-77</v>
      </c>
      <c r="EG51" s="1114">
        <f>SUM(EG47:EG50)</f>
        <v>297</v>
      </c>
      <c r="EH51" s="331">
        <f t="shared" ref="EH51:EW51" si="287">+SUM(EH47:EH50)</f>
        <v>346</v>
      </c>
      <c r="EI51" s="2558">
        <f>SUM(EI47:EI50)</f>
        <v>-295</v>
      </c>
      <c r="EJ51" s="2558">
        <f>SUM(EJ47:EJ50)</f>
        <v>-176</v>
      </c>
      <c r="EK51" s="2558">
        <f>SUM(EK47:EK50)</f>
        <v>-212</v>
      </c>
      <c r="EL51" s="2558">
        <f>SUM(EL47:EL50)</f>
        <v>244</v>
      </c>
      <c r="EM51" s="2696">
        <f t="shared" ref="EM51:ER51" si="288">+SUM(EM47:EM50)</f>
        <v>-439</v>
      </c>
      <c r="EN51" s="2558">
        <f>SUM(EN47:EN50)</f>
        <v>112</v>
      </c>
      <c r="EO51" s="2558">
        <f>SUM(EO47:EO50)</f>
        <v>117</v>
      </c>
      <c r="EP51" s="2558">
        <f>SUM(EP47:EP50)</f>
        <v>371</v>
      </c>
      <c r="EQ51" s="2558">
        <f>SUM(EQ47:EQ50)</f>
        <v>276</v>
      </c>
      <c r="ER51" s="2696">
        <f t="shared" si="288"/>
        <v>876</v>
      </c>
      <c r="ES51" s="2558">
        <f>SUM(ES47:ES50)</f>
        <v>276</v>
      </c>
      <c r="ET51" s="2558">
        <f>SUM(ET47:ET50)</f>
        <v>490</v>
      </c>
      <c r="EU51" s="2558">
        <f>SUM(EU47:EU50)</f>
        <v>349</v>
      </c>
      <c r="EV51" s="329">
        <f t="shared" si="287"/>
        <v>350</v>
      </c>
      <c r="EW51" s="331">
        <f t="shared" si="287"/>
        <v>1465</v>
      </c>
      <c r="EX51" s="329">
        <f t="shared" ref="EX51:FG51" si="289">+SUM(EX47:EX50)</f>
        <v>-48.882782740780158</v>
      </c>
      <c r="EY51" s="329">
        <f t="shared" si="289"/>
        <v>-20.846911071084833</v>
      </c>
      <c r="EZ51" s="329">
        <f t="shared" si="289"/>
        <v>-34.737070040015851</v>
      </c>
      <c r="FA51" s="329">
        <f t="shared" si="289"/>
        <v>-18.499481790272739</v>
      </c>
      <c r="FB51" s="331">
        <f t="shared" si="289"/>
        <v>-122.96624564215381</v>
      </c>
      <c r="FC51" s="329">
        <f t="shared" si="289"/>
        <v>17.456433923947543</v>
      </c>
      <c r="FD51" s="329">
        <f t="shared" si="289"/>
        <v>49.534596985106191</v>
      </c>
      <c r="FE51" s="329">
        <f t="shared" si="289"/>
        <v>59.488264421209578</v>
      </c>
      <c r="FF51" s="329">
        <f t="shared" si="289"/>
        <v>81.809992313490284</v>
      </c>
      <c r="FG51" s="331">
        <f t="shared" si="289"/>
        <v>208.28928764375314</v>
      </c>
      <c r="FH51" s="329">
        <f t="shared" ref="FH51:FL51" si="290">+SUM(FH47:FH50)</f>
        <v>107.50681734883801</v>
      </c>
      <c r="FI51" s="329">
        <f t="shared" si="290"/>
        <v>158.69439850823915</v>
      </c>
      <c r="FJ51" s="329">
        <f t="shared" si="290"/>
        <v>142.1010273381662</v>
      </c>
      <c r="FK51" s="329">
        <f t="shared" si="290"/>
        <v>169.1392747670227</v>
      </c>
      <c r="FL51" s="331">
        <f t="shared" si="290"/>
        <v>577.44151796226606</v>
      </c>
      <c r="FN51" s="330">
        <f>+SUM(FN47:FN50)</f>
        <v>2440</v>
      </c>
      <c r="FO51" s="330">
        <f>+SUM(FO47:FO50)</f>
        <v>3776</v>
      </c>
      <c r="FP51" s="330">
        <f>+SUM(FP47:FP50)</f>
        <v>-2487</v>
      </c>
      <c r="FQ51" s="330">
        <f t="shared" ref="FQ51:FV51" si="291">+SUM(FQ47:FQ50)</f>
        <v>479</v>
      </c>
      <c r="FR51" s="330">
        <f t="shared" si="291"/>
        <v>2717</v>
      </c>
      <c r="FS51" s="330">
        <f t="shared" si="291"/>
        <v>2281</v>
      </c>
      <c r="FT51" s="330">
        <f t="shared" si="291"/>
        <v>2354</v>
      </c>
      <c r="FU51" s="330">
        <f t="shared" si="291"/>
        <v>1704</v>
      </c>
      <c r="FV51" s="330">
        <f t="shared" si="291"/>
        <v>1383</v>
      </c>
      <c r="FW51" s="330">
        <f>+SUM(FW47:FW50)</f>
        <v>376</v>
      </c>
      <c r="FX51" s="855">
        <f>+SUM(FX47:FX50)</f>
        <v>948</v>
      </c>
      <c r="FY51" s="856">
        <f>DG51+DH51+DJ51+DK51</f>
        <v>708</v>
      </c>
      <c r="FZ51" s="856">
        <f>SUM(DO51:DP51,DL51:DM51)</f>
        <v>812</v>
      </c>
      <c r="GA51" s="856">
        <f>SUM(DT51:DU51,DQ51:DR51)</f>
        <v>381</v>
      </c>
      <c r="GB51" s="856">
        <f>SUM(DY51:DZ51,DV51:DW51)</f>
        <v>46</v>
      </c>
      <c r="GC51" s="856">
        <f>SUM(ED51:EE51,EA51:EB51)</f>
        <v>204</v>
      </c>
      <c r="GD51" s="856">
        <f>SUM(EI51:EJ51,EF51:EG51)</f>
        <v>-251</v>
      </c>
      <c r="GE51" s="856">
        <f>SUM(EN51:EO51,EK51:EL51)</f>
        <v>261</v>
      </c>
      <c r="GF51" s="856">
        <f>SUM(ES51:ET51,EP51:EQ51)</f>
        <v>1413</v>
      </c>
      <c r="GG51" s="856">
        <f>SUM(EX51:EY51,EU51:EV51)</f>
        <v>629.27030618813501</v>
      </c>
      <c r="GH51" s="856">
        <f>SUM(FC51:FD51,EZ51:FA51)</f>
        <v>13.754479078765144</v>
      </c>
      <c r="GI51" s="856">
        <f>SUM(FH51:FI51,FE51:FF51)</f>
        <v>407.49947259177702</v>
      </c>
      <c r="GJ51" s="303"/>
      <c r="GK51" s="303"/>
      <c r="GL51" s="303"/>
      <c r="GN51"/>
      <c r="GO51"/>
      <c r="GP51"/>
      <c r="GQ51"/>
      <c r="GR51"/>
      <c r="GS51"/>
    </row>
    <row r="52" spans="1:201" s="264" customFormat="1" ht="12.75">
      <c r="A52" s="253"/>
      <c r="B52" s="253"/>
      <c r="C52" s="253"/>
      <c r="D52" s="336"/>
      <c r="E52" s="336"/>
      <c r="F52" s="336"/>
      <c r="G52" s="336"/>
      <c r="H52" s="349"/>
      <c r="I52" s="336"/>
      <c r="J52" s="336"/>
      <c r="K52" s="336"/>
      <c r="L52" s="336"/>
      <c r="M52" s="349"/>
      <c r="N52" s="336"/>
      <c r="O52" s="336"/>
      <c r="P52" s="336"/>
      <c r="Q52" s="336"/>
      <c r="R52" s="349"/>
      <c r="S52" s="336"/>
      <c r="T52" s="336"/>
      <c r="U52" s="336"/>
      <c r="V52" s="336"/>
      <c r="W52" s="349"/>
      <c r="X52" s="336"/>
      <c r="Y52" s="336"/>
      <c r="Z52" s="336"/>
      <c r="AA52" s="336"/>
      <c r="AB52" s="349"/>
      <c r="AC52" s="336"/>
      <c r="AD52" s="336"/>
      <c r="AE52" s="336"/>
      <c r="AF52" s="336"/>
      <c r="AG52" s="349"/>
      <c r="AH52" s="336"/>
      <c r="AI52" s="336"/>
      <c r="AJ52" s="336"/>
      <c r="AK52" s="336"/>
      <c r="AL52" s="349"/>
      <c r="AM52" s="336"/>
      <c r="AN52" s="336"/>
      <c r="AO52" s="336"/>
      <c r="AP52" s="336"/>
      <c r="AQ52" s="349"/>
      <c r="AR52" s="336"/>
      <c r="AS52" s="336"/>
      <c r="AT52" s="336"/>
      <c r="AU52" s="336"/>
      <c r="AV52" s="349"/>
      <c r="AW52" s="336"/>
      <c r="AX52" s="336"/>
      <c r="AY52" s="336"/>
      <c r="AZ52" s="336"/>
      <c r="BA52" s="349"/>
      <c r="BB52" s="336"/>
      <c r="BC52" s="336"/>
      <c r="BD52" s="336"/>
      <c r="BE52" s="336"/>
      <c r="BF52" s="349"/>
      <c r="BG52" s="336"/>
      <c r="BH52" s="336"/>
      <c r="BI52" s="336"/>
      <c r="BJ52" s="336"/>
      <c r="BK52" s="349"/>
      <c r="BL52" s="336"/>
      <c r="BM52" s="336"/>
      <c r="BN52" s="336"/>
      <c r="BO52" s="336"/>
      <c r="BP52" s="349"/>
      <c r="BQ52" s="336"/>
      <c r="BR52" s="336"/>
      <c r="BS52" s="336"/>
      <c r="BT52" s="336"/>
      <c r="BU52" s="349"/>
      <c r="BV52" s="336"/>
      <c r="BW52" s="336"/>
      <c r="BX52" s="336"/>
      <c r="BY52" s="336"/>
      <c r="BZ52" s="349"/>
      <c r="CA52" s="336"/>
      <c r="CB52" s="336"/>
      <c r="CC52" s="336"/>
      <c r="CD52" s="336"/>
      <c r="CE52" s="349"/>
      <c r="CF52" s="336"/>
      <c r="CG52" s="336"/>
      <c r="CH52" s="336"/>
      <c r="CI52" s="336"/>
      <c r="CJ52" s="349"/>
      <c r="CK52" s="336"/>
      <c r="CL52" s="336"/>
      <c r="CM52" s="336"/>
      <c r="CN52" s="336"/>
      <c r="CO52" s="349"/>
      <c r="CP52" s="336"/>
      <c r="CQ52" s="336"/>
      <c r="CR52" s="336"/>
      <c r="CS52" s="336"/>
      <c r="CT52" s="349"/>
      <c r="CU52" s="336"/>
      <c r="CV52" s="336"/>
      <c r="CW52" s="336"/>
      <c r="CX52" s="336"/>
      <c r="CY52" s="349"/>
      <c r="CZ52" s="336"/>
      <c r="DA52" s="336"/>
      <c r="DB52" s="336"/>
      <c r="DC52" s="312"/>
      <c r="DD52" s="313"/>
      <c r="DE52" s="314"/>
      <c r="DF52" s="312"/>
      <c r="DG52" s="312"/>
      <c r="DH52" s="312"/>
      <c r="DI52" s="313"/>
      <c r="DJ52" s="314"/>
      <c r="DK52" s="314"/>
      <c r="DL52" s="271"/>
      <c r="DM52" s="312"/>
      <c r="DN52" s="313"/>
      <c r="DO52" s="312"/>
      <c r="DP52" s="818"/>
      <c r="DQ52" s="271"/>
      <c r="DR52" s="820"/>
      <c r="DS52" s="313"/>
      <c r="DT52" s="312"/>
      <c r="DU52" s="818"/>
      <c r="DV52" s="818"/>
      <c r="DW52" s="820"/>
      <c r="DX52" s="313"/>
      <c r="DY52" s="312"/>
      <c r="DZ52" s="818"/>
      <c r="EA52" s="818"/>
      <c r="EB52" s="820"/>
      <c r="EC52" s="313"/>
      <c r="ED52" s="312"/>
      <c r="EE52" s="818"/>
      <c r="EF52" s="818"/>
      <c r="EG52" s="818"/>
      <c r="EH52" s="313"/>
      <c r="EI52" s="312"/>
      <c r="EJ52" s="818"/>
      <c r="EK52" s="818"/>
      <c r="EL52" s="818"/>
      <c r="EM52" s="313"/>
      <c r="EN52" s="312"/>
      <c r="EO52" s="818"/>
      <c r="EP52" s="818"/>
      <c r="EQ52" s="818"/>
      <c r="ER52" s="313"/>
      <c r="ES52" s="312"/>
      <c r="ET52" s="818"/>
      <c r="EU52" s="818"/>
      <c r="EV52" s="312"/>
      <c r="EW52" s="313"/>
      <c r="EX52" s="312"/>
      <c r="EY52" s="312"/>
      <c r="EZ52" s="312"/>
      <c r="FA52" s="312"/>
      <c r="FB52" s="313"/>
      <c r="FC52" s="312"/>
      <c r="FD52" s="312"/>
      <c r="FE52" s="312"/>
      <c r="FF52" s="312"/>
      <c r="FG52" s="313"/>
      <c r="FH52" s="312"/>
      <c r="FI52" s="312"/>
      <c r="FJ52" s="312"/>
      <c r="FK52" s="312"/>
      <c r="FL52" s="313"/>
      <c r="FN52" s="339"/>
      <c r="FO52" s="339"/>
      <c r="FP52" s="339"/>
      <c r="FQ52" s="339"/>
      <c r="FR52" s="339"/>
      <c r="FS52" s="339"/>
      <c r="FT52" s="339"/>
      <c r="FU52" s="339"/>
      <c r="FV52" s="339"/>
      <c r="FW52" s="339"/>
      <c r="FX52" s="857"/>
      <c r="FY52" s="858"/>
      <c r="FZ52" s="858"/>
      <c r="GA52" s="858"/>
      <c r="GB52" s="858"/>
      <c r="GC52" s="858"/>
      <c r="GD52" s="858"/>
      <c r="GE52" s="858"/>
      <c r="GF52" s="858"/>
      <c r="GG52" s="858"/>
      <c r="GH52" s="858"/>
      <c r="GI52" s="858"/>
      <c r="GJ52" s="253"/>
      <c r="GK52" s="253"/>
      <c r="GL52" s="253"/>
      <c r="GN52"/>
      <c r="GO52"/>
      <c r="GP52"/>
      <c r="GQ52"/>
      <c r="GR52"/>
      <c r="GS52"/>
    </row>
    <row r="53" spans="1:201" s="307" customFormat="1" ht="11.25" customHeight="1">
      <c r="A53" s="303" t="s">
        <v>626</v>
      </c>
      <c r="B53" s="303"/>
      <c r="C53" s="303"/>
      <c r="D53" s="329">
        <f>D37+D51</f>
        <v>54</v>
      </c>
      <c r="E53" s="329">
        <f t="shared" ref="E53:BP53" si="292">E37+E51</f>
        <v>68.705000000000013</v>
      </c>
      <c r="F53" s="329">
        <f t="shared" si="292"/>
        <v>60.203000000000003</v>
      </c>
      <c r="G53" s="329">
        <f t="shared" si="292"/>
        <v>68.405000000000001</v>
      </c>
      <c r="H53" s="331">
        <f t="shared" si="292"/>
        <v>251.31299999999993</v>
      </c>
      <c r="I53" s="329">
        <f t="shared" si="292"/>
        <v>73.122</v>
      </c>
      <c r="J53" s="329">
        <f t="shared" si="292"/>
        <v>108.70400000000001</v>
      </c>
      <c r="K53" s="329">
        <f t="shared" si="292"/>
        <v>109.874</v>
      </c>
      <c r="L53" s="329">
        <f t="shared" si="292"/>
        <v>118.48500000000001</v>
      </c>
      <c r="M53" s="331">
        <f t="shared" si="292"/>
        <v>410.18500000000006</v>
      </c>
      <c r="N53" s="329">
        <f t="shared" si="292"/>
        <v>126.39999999999998</v>
      </c>
      <c r="O53" s="329">
        <f t="shared" si="292"/>
        <v>163.5</v>
      </c>
      <c r="P53" s="329">
        <f t="shared" si="292"/>
        <v>180</v>
      </c>
      <c r="Q53" s="329">
        <f t="shared" si="292"/>
        <v>201</v>
      </c>
      <c r="R53" s="331">
        <f t="shared" si="292"/>
        <v>670.90000000000009</v>
      </c>
      <c r="S53" s="329">
        <f t="shared" si="292"/>
        <v>212</v>
      </c>
      <c r="T53" s="329">
        <f t="shared" si="292"/>
        <v>258</v>
      </c>
      <c r="U53" s="329">
        <f t="shared" si="292"/>
        <v>262</v>
      </c>
      <c r="V53" s="329">
        <f t="shared" si="292"/>
        <v>309.2</v>
      </c>
      <c r="W53" s="331">
        <f t="shared" si="292"/>
        <v>1041.2</v>
      </c>
      <c r="X53" s="329">
        <f t="shared" si="292"/>
        <v>307</v>
      </c>
      <c r="Y53" s="329">
        <f t="shared" si="292"/>
        <v>347</v>
      </c>
      <c r="Z53" s="329">
        <f t="shared" si="292"/>
        <v>357</v>
      </c>
      <c r="AA53" s="329">
        <f t="shared" si="292"/>
        <v>390</v>
      </c>
      <c r="AB53" s="331">
        <f t="shared" si="292"/>
        <v>1401</v>
      </c>
      <c r="AC53" s="329">
        <f t="shared" si="292"/>
        <v>362</v>
      </c>
      <c r="AD53" s="329">
        <f t="shared" si="292"/>
        <v>438</v>
      </c>
      <c r="AE53" s="329">
        <f t="shared" si="292"/>
        <v>502</v>
      </c>
      <c r="AF53" s="329">
        <f t="shared" si="292"/>
        <v>510</v>
      </c>
      <c r="AG53" s="331">
        <f t="shared" si="292"/>
        <v>1812</v>
      </c>
      <c r="AH53" s="329">
        <f t="shared" si="292"/>
        <v>471</v>
      </c>
      <c r="AI53" s="329">
        <f t="shared" si="292"/>
        <v>557</v>
      </c>
      <c r="AJ53" s="329">
        <f t="shared" si="292"/>
        <v>592</v>
      </c>
      <c r="AK53" s="329">
        <f t="shared" si="292"/>
        <v>593</v>
      </c>
      <c r="AL53" s="331">
        <f t="shared" si="292"/>
        <v>2213</v>
      </c>
      <c r="AM53" s="329">
        <f t="shared" si="292"/>
        <v>770</v>
      </c>
      <c r="AN53" s="329">
        <f t="shared" si="292"/>
        <v>885</v>
      </c>
      <c r="AO53" s="329">
        <f t="shared" si="292"/>
        <v>864</v>
      </c>
      <c r="AP53" s="329">
        <f t="shared" si="292"/>
        <v>860</v>
      </c>
      <c r="AQ53" s="331">
        <f t="shared" si="292"/>
        <v>3379</v>
      </c>
      <c r="AR53" s="329">
        <f t="shared" si="292"/>
        <v>945</v>
      </c>
      <c r="AS53" s="329">
        <f t="shared" si="292"/>
        <v>1140</v>
      </c>
      <c r="AT53" s="329">
        <f t="shared" si="292"/>
        <v>1603</v>
      </c>
      <c r="AU53" s="329">
        <f t="shared" si="292"/>
        <v>1626</v>
      </c>
      <c r="AV53" s="331">
        <f t="shared" si="292"/>
        <v>5314</v>
      </c>
      <c r="AW53" s="329">
        <f t="shared" si="292"/>
        <v>1498</v>
      </c>
      <c r="AX53" s="329">
        <f t="shared" si="292"/>
        <v>1770</v>
      </c>
      <c r="AY53" s="329">
        <f t="shared" si="292"/>
        <v>2057</v>
      </c>
      <c r="AZ53" s="329">
        <f t="shared" si="292"/>
        <v>2088</v>
      </c>
      <c r="BA53" s="331">
        <f t="shared" si="292"/>
        <v>7413</v>
      </c>
      <c r="BB53" s="329">
        <f t="shared" si="292"/>
        <v>2503</v>
      </c>
      <c r="BC53" s="329">
        <f t="shared" si="292"/>
        <v>3051</v>
      </c>
      <c r="BD53" s="329">
        <f t="shared" si="292"/>
        <v>2949</v>
      </c>
      <c r="BE53" s="329">
        <f t="shared" si="292"/>
        <v>3388</v>
      </c>
      <c r="BF53" s="331">
        <f t="shared" si="292"/>
        <v>11891</v>
      </c>
      <c r="BG53" s="329">
        <f t="shared" si="292"/>
        <v>3372</v>
      </c>
      <c r="BH53" s="329">
        <f t="shared" si="292"/>
        <v>4035</v>
      </c>
      <c r="BI53" s="329">
        <f t="shared" si="292"/>
        <v>3671</v>
      </c>
      <c r="BJ53" s="329">
        <f t="shared" si="292"/>
        <v>3711</v>
      </c>
      <c r="BK53" s="331">
        <f t="shared" si="292"/>
        <v>14789</v>
      </c>
      <c r="BL53" s="329">
        <f t="shared" si="292"/>
        <v>3913</v>
      </c>
      <c r="BM53" s="329">
        <f t="shared" si="292"/>
        <v>3986</v>
      </c>
      <c r="BN53" s="329">
        <f t="shared" si="292"/>
        <v>3722</v>
      </c>
      <c r="BO53" s="329">
        <f t="shared" si="292"/>
        <v>188</v>
      </c>
      <c r="BP53" s="331">
        <f t="shared" si="292"/>
        <v>11809</v>
      </c>
      <c r="BQ53" s="329">
        <f t="shared" ref="BQ53:FX53" si="293">BQ37+BQ51</f>
        <v>1887</v>
      </c>
      <c r="BR53" s="329">
        <f t="shared" si="293"/>
        <v>4017</v>
      </c>
      <c r="BS53" s="329">
        <f t="shared" si="293"/>
        <v>4026</v>
      </c>
      <c r="BT53" s="329">
        <f t="shared" si="293"/>
        <v>2243</v>
      </c>
      <c r="BU53" s="331">
        <f t="shared" si="293"/>
        <v>12173</v>
      </c>
      <c r="BV53" s="329">
        <f t="shared" si="293"/>
        <v>3047</v>
      </c>
      <c r="BW53" s="329">
        <f t="shared" si="293"/>
        <v>2806</v>
      </c>
      <c r="BX53" s="329">
        <f t="shared" si="293"/>
        <v>3197</v>
      </c>
      <c r="BY53" s="329">
        <f t="shared" si="293"/>
        <v>3010</v>
      </c>
      <c r="BZ53" s="331">
        <f t="shared" si="293"/>
        <v>12060</v>
      </c>
      <c r="CA53" s="329">
        <f t="shared" si="293"/>
        <v>3901</v>
      </c>
      <c r="CB53" s="329">
        <f t="shared" si="293"/>
        <v>4517</v>
      </c>
      <c r="CC53" s="329">
        <f t="shared" si="293"/>
        <v>4815</v>
      </c>
      <c r="CD53" s="329">
        <f t="shared" si="293"/>
        <v>3703</v>
      </c>
      <c r="CE53" s="331">
        <f t="shared" si="293"/>
        <v>16936</v>
      </c>
      <c r="CF53" s="329">
        <f t="shared" si="293"/>
        <v>4309</v>
      </c>
      <c r="CG53" s="329">
        <f t="shared" si="293"/>
        <v>5169</v>
      </c>
      <c r="CH53" s="329">
        <f t="shared" si="293"/>
        <v>4593</v>
      </c>
      <c r="CI53" s="329">
        <f t="shared" si="293"/>
        <v>4617</v>
      </c>
      <c r="CJ53" s="331">
        <f t="shared" si="293"/>
        <v>18688</v>
      </c>
      <c r="CK53" s="329">
        <f t="shared" si="293"/>
        <v>4913</v>
      </c>
      <c r="CL53" s="329">
        <f t="shared" si="293"/>
        <v>5138</v>
      </c>
      <c r="CM53" s="329">
        <f t="shared" si="293"/>
        <v>4713</v>
      </c>
      <c r="CN53" s="329">
        <f t="shared" si="293"/>
        <v>4611</v>
      </c>
      <c r="CO53" s="331">
        <f t="shared" si="293"/>
        <v>19375</v>
      </c>
      <c r="CP53" s="329">
        <f t="shared" si="293"/>
        <v>5041</v>
      </c>
      <c r="CQ53" s="329">
        <f t="shared" si="293"/>
        <v>3805</v>
      </c>
      <c r="CR53" s="329">
        <f t="shared" si="293"/>
        <v>7125</v>
      </c>
      <c r="CS53" s="329">
        <f t="shared" si="293"/>
        <v>5341</v>
      </c>
      <c r="CT53" s="331">
        <f t="shared" si="293"/>
        <v>21312</v>
      </c>
      <c r="CU53" s="329">
        <f t="shared" si="293"/>
        <v>6216</v>
      </c>
      <c r="CV53" s="329">
        <f t="shared" si="293"/>
        <v>6820</v>
      </c>
      <c r="CW53" s="329">
        <f t="shared" si="293"/>
        <v>6227</v>
      </c>
      <c r="CX53" s="329">
        <f t="shared" si="293"/>
        <v>5968</v>
      </c>
      <c r="CY53" s="331">
        <f t="shared" si="293"/>
        <v>25231</v>
      </c>
      <c r="CZ53" s="329">
        <f t="shared" si="293"/>
        <v>5991</v>
      </c>
      <c r="DA53" s="329">
        <f t="shared" si="293"/>
        <v>5638</v>
      </c>
      <c r="DB53" s="329">
        <f t="shared" si="293"/>
        <v>4760</v>
      </c>
      <c r="DC53" s="329">
        <f t="shared" si="293"/>
        <v>4378</v>
      </c>
      <c r="DD53" s="331">
        <f t="shared" si="293"/>
        <v>20767</v>
      </c>
      <c r="DE53" s="329">
        <f t="shared" si="293"/>
        <v>4765</v>
      </c>
      <c r="DF53" s="329">
        <f t="shared" si="293"/>
        <v>8883</v>
      </c>
      <c r="DG53" s="329">
        <f t="shared" si="293"/>
        <v>5341</v>
      </c>
      <c r="DH53" s="329">
        <f t="shared" si="293"/>
        <v>6024</v>
      </c>
      <c r="DI53" s="331">
        <f t="shared" si="293"/>
        <v>25013</v>
      </c>
      <c r="DJ53" s="329">
        <f t="shared" si="293"/>
        <v>7230</v>
      </c>
      <c r="DK53" s="329">
        <f>DK37+DK51</f>
        <v>8497</v>
      </c>
      <c r="DL53" s="329">
        <f t="shared" si="293"/>
        <v>6025</v>
      </c>
      <c r="DM53" s="329">
        <f t="shared" si="293"/>
        <v>6317.4399999999987</v>
      </c>
      <c r="DN53" s="331">
        <f t="shared" si="293"/>
        <v>28069.440000000002</v>
      </c>
      <c r="DO53" s="329">
        <f t="shared" ref="DO53:DW53" si="294">DO37+DO51</f>
        <v>7306</v>
      </c>
      <c r="DP53" s="329">
        <f t="shared" si="294"/>
        <v>8239</v>
      </c>
      <c r="DQ53" s="329">
        <f t="shared" si="294"/>
        <v>6363</v>
      </c>
      <c r="DR53" s="329">
        <f>DR37+DR51</f>
        <v>6552</v>
      </c>
      <c r="DS53" s="331">
        <f t="shared" si="294"/>
        <v>28460</v>
      </c>
      <c r="DT53" s="329">
        <f t="shared" si="294"/>
        <v>5534</v>
      </c>
      <c r="DU53" s="329">
        <f t="shared" si="294"/>
        <v>7770</v>
      </c>
      <c r="DV53" s="329">
        <f>DV37+DV51</f>
        <v>8336</v>
      </c>
      <c r="DW53" s="329">
        <f t="shared" si="294"/>
        <v>6145</v>
      </c>
      <c r="DX53" s="331">
        <f>DX37+DX51</f>
        <v>27052</v>
      </c>
      <c r="DY53" s="329">
        <f t="shared" ref="DY53:ER53" si="295">DY37+DY51</f>
        <v>6408</v>
      </c>
      <c r="DZ53" s="329">
        <f t="shared" si="295"/>
        <v>7878</v>
      </c>
      <c r="EA53" s="329">
        <f t="shared" si="295"/>
        <v>6957</v>
      </c>
      <c r="EB53" s="329">
        <f t="shared" si="295"/>
        <v>6704</v>
      </c>
      <c r="EC53" s="331">
        <f t="shared" si="295"/>
        <v>27927.084999999999</v>
      </c>
      <c r="ED53" s="329">
        <f t="shared" si="295"/>
        <v>7036</v>
      </c>
      <c r="EE53" s="329">
        <f t="shared" si="295"/>
        <v>7767</v>
      </c>
      <c r="EF53" s="329">
        <f t="shared" si="295"/>
        <v>6707</v>
      </c>
      <c r="EG53" s="329">
        <f t="shared" si="295"/>
        <v>6682</v>
      </c>
      <c r="EH53" s="331">
        <f t="shared" si="295"/>
        <v>28192</v>
      </c>
      <c r="EI53" s="2702">
        <f t="shared" si="295"/>
        <v>6021</v>
      </c>
      <c r="EJ53" s="2702">
        <f t="shared" si="295"/>
        <v>7313</v>
      </c>
      <c r="EK53" s="2702">
        <f t="shared" si="295"/>
        <v>6065</v>
      </c>
      <c r="EL53" s="2702">
        <f t="shared" si="295"/>
        <v>7350</v>
      </c>
      <c r="EM53" s="2696">
        <f t="shared" si="295"/>
        <v>26749</v>
      </c>
      <c r="EN53" s="2702">
        <f>EN37+EN51</f>
        <v>6827</v>
      </c>
      <c r="EO53" s="2702">
        <f t="shared" ref="EO53:EQ53" si="296">EO37+EO51</f>
        <v>8022</v>
      </c>
      <c r="EP53" s="2702">
        <f t="shared" si="296"/>
        <v>7094</v>
      </c>
      <c r="EQ53" s="2702">
        <f t="shared" si="296"/>
        <v>8264</v>
      </c>
      <c r="ER53" s="2696">
        <f t="shared" si="295"/>
        <v>30207</v>
      </c>
      <c r="ES53" s="2702">
        <f>ES37+ES51</f>
        <v>7984</v>
      </c>
      <c r="ET53" s="2702">
        <f t="shared" ref="ET53:EU53" si="297">ET37+ET51</f>
        <v>9169</v>
      </c>
      <c r="EU53" s="2702">
        <f t="shared" si="297"/>
        <v>8641</v>
      </c>
      <c r="EV53" s="329">
        <f t="shared" ref="EU53:EW53" si="298">EV37+EV51</f>
        <v>9986.8297939753829</v>
      </c>
      <c r="EW53" s="331">
        <f t="shared" si="298"/>
        <v>35780.829793975376</v>
      </c>
      <c r="EX53" s="329">
        <f t="shared" ref="EX53:FG53" si="299">EX37+EX51</f>
        <v>8991.400521946689</v>
      </c>
      <c r="EY53" s="329">
        <f t="shared" si="299"/>
        <v>10110.936817480129</v>
      </c>
      <c r="EZ53" s="329">
        <f t="shared" si="299"/>
        <v>9686.7278079078478</v>
      </c>
      <c r="FA53" s="329">
        <f t="shared" si="299"/>
        <v>11103.518590957752</v>
      </c>
      <c r="FB53" s="331">
        <f t="shared" si="299"/>
        <v>39892.583738292407</v>
      </c>
      <c r="FC53" s="329">
        <f t="shared" si="299"/>
        <v>10535.838982753068</v>
      </c>
      <c r="FD53" s="329">
        <f t="shared" si="299"/>
        <v>11861.204636971161</v>
      </c>
      <c r="FE53" s="329">
        <f t="shared" si="299"/>
        <v>11654.754056010423</v>
      </c>
      <c r="FF53" s="329">
        <f t="shared" si="299"/>
        <v>13226.556094200569</v>
      </c>
      <c r="FG53" s="331">
        <f t="shared" si="299"/>
        <v>47278.353769935224</v>
      </c>
      <c r="FH53" s="329">
        <f t="shared" ref="FH53:FL53" si="300">FH37+FH51</f>
        <v>12224.68448685725</v>
      </c>
      <c r="FI53" s="329">
        <f t="shared" si="300"/>
        <v>13670.609416761607</v>
      </c>
      <c r="FJ53" s="329">
        <f t="shared" si="300"/>
        <v>13589.735482106014</v>
      </c>
      <c r="FK53" s="329">
        <f t="shared" si="300"/>
        <v>15294.944769320906</v>
      </c>
      <c r="FL53" s="331">
        <f t="shared" si="300"/>
        <v>54779.974155045791</v>
      </c>
      <c r="FN53" s="330">
        <f t="shared" si="293"/>
        <v>13744</v>
      </c>
      <c r="FO53" s="330">
        <f t="shared" si="293"/>
        <v>15281</v>
      </c>
      <c r="FP53" s="330">
        <f t="shared" si="293"/>
        <v>9814</v>
      </c>
      <c r="FQ53" s="330">
        <f t="shared" si="293"/>
        <v>12122</v>
      </c>
      <c r="FR53" s="330">
        <f t="shared" si="293"/>
        <v>14625</v>
      </c>
      <c r="FS53" s="330">
        <f t="shared" si="293"/>
        <v>17996</v>
      </c>
      <c r="FT53" s="330">
        <f t="shared" si="293"/>
        <v>19261</v>
      </c>
      <c r="FU53" s="330">
        <f t="shared" si="293"/>
        <v>18170</v>
      </c>
      <c r="FV53" s="330">
        <f t="shared" si="293"/>
        <v>25502</v>
      </c>
      <c r="FW53" s="330">
        <f t="shared" si="293"/>
        <v>23824</v>
      </c>
      <c r="FX53" s="855">
        <f t="shared" si="293"/>
        <v>22786</v>
      </c>
      <c r="FY53" s="856">
        <f t="shared" ref="FY53:GD53" si="301">FY37+FY51</f>
        <v>27092</v>
      </c>
      <c r="FZ53" s="856">
        <f t="shared" si="301"/>
        <v>27887.440000000002</v>
      </c>
      <c r="GA53" s="856">
        <f t="shared" si="301"/>
        <v>26219</v>
      </c>
      <c r="GB53" s="856">
        <f t="shared" si="301"/>
        <v>28767</v>
      </c>
      <c r="GC53" s="856">
        <f t="shared" si="301"/>
        <v>28464</v>
      </c>
      <c r="GD53" s="856">
        <f t="shared" si="301"/>
        <v>26723</v>
      </c>
      <c r="GE53" s="856">
        <f>GE37+GE51</f>
        <v>28264</v>
      </c>
      <c r="GF53" s="856">
        <f>GF37+GF51</f>
        <v>32511</v>
      </c>
      <c r="GG53" s="856">
        <f>GG37+GG51</f>
        <v>37730.167133402196</v>
      </c>
      <c r="GH53" s="856">
        <f>GH37+GH51</f>
        <v>43187.290018589832</v>
      </c>
      <c r="GI53" s="856">
        <f>GI37+GI51</f>
        <v>50776.604053829855</v>
      </c>
      <c r="GJ53" s="303"/>
      <c r="GK53" s="303"/>
      <c r="GL53" s="303"/>
      <c r="GN53"/>
      <c r="GO53"/>
      <c r="GP53"/>
      <c r="GQ53"/>
      <c r="GR53"/>
      <c r="GS53"/>
    </row>
    <row r="54" spans="1:201" s="307" customFormat="1" ht="11.25" customHeight="1">
      <c r="A54" s="351" t="s">
        <v>331</v>
      </c>
      <c r="B54" s="303"/>
      <c r="C54" s="303"/>
      <c r="D54" s="329">
        <v>17</v>
      </c>
      <c r="E54" s="329">
        <v>22</v>
      </c>
      <c r="F54" s="329">
        <v>19</v>
      </c>
      <c r="G54" s="329">
        <v>22</v>
      </c>
      <c r="H54" s="330">
        <f>SUM(D54:G54)</f>
        <v>80</v>
      </c>
      <c r="I54" s="329">
        <v>23</v>
      </c>
      <c r="J54" s="329">
        <v>35</v>
      </c>
      <c r="K54" s="329">
        <v>35</v>
      </c>
      <c r="L54" s="329">
        <v>38</v>
      </c>
      <c r="M54" s="330">
        <f>SUM(I54:L54)</f>
        <v>131</v>
      </c>
      <c r="N54" s="329">
        <v>39</v>
      </c>
      <c r="O54" s="329">
        <v>51</v>
      </c>
      <c r="P54" s="329">
        <v>56</v>
      </c>
      <c r="Q54" s="329">
        <v>62</v>
      </c>
      <c r="R54" s="330">
        <f>SUM(N54:Q54)</f>
        <v>208</v>
      </c>
      <c r="S54" s="329">
        <v>68</v>
      </c>
      <c r="T54" s="329">
        <v>83</v>
      </c>
      <c r="U54" s="329">
        <v>83</v>
      </c>
      <c r="V54" s="329">
        <v>99</v>
      </c>
      <c r="W54" s="330">
        <f>SUM(S54:V54)</f>
        <v>333</v>
      </c>
      <c r="X54" s="329">
        <v>98</v>
      </c>
      <c r="Y54" s="329">
        <v>111</v>
      </c>
      <c r="Z54" s="329">
        <v>114</v>
      </c>
      <c r="AA54" s="329">
        <v>125</v>
      </c>
      <c r="AB54" s="330">
        <f>SUM(X54:AA54)</f>
        <v>448</v>
      </c>
      <c r="AC54" s="329">
        <v>123</v>
      </c>
      <c r="AD54" s="329">
        <v>149</v>
      </c>
      <c r="AE54" s="329">
        <v>126</v>
      </c>
      <c r="AF54" s="329">
        <v>178</v>
      </c>
      <c r="AG54" s="330">
        <f>SUM(AC54:AF54)</f>
        <v>576</v>
      </c>
      <c r="AH54" s="329">
        <v>155</v>
      </c>
      <c r="AI54" s="329">
        <v>184</v>
      </c>
      <c r="AJ54" s="329">
        <v>196</v>
      </c>
      <c r="AK54" s="329">
        <v>179</v>
      </c>
      <c r="AL54" s="330">
        <f>SUM(AH54:AK54)</f>
        <v>714</v>
      </c>
      <c r="AM54" s="329">
        <v>271</v>
      </c>
      <c r="AN54" s="329">
        <v>310</v>
      </c>
      <c r="AO54" s="329">
        <v>302</v>
      </c>
      <c r="AP54" s="329">
        <v>301</v>
      </c>
      <c r="AQ54" s="330">
        <f>SUM(AM54:AP54)</f>
        <v>1184</v>
      </c>
      <c r="AR54" s="329">
        <v>331</v>
      </c>
      <c r="AS54" s="329">
        <v>399</v>
      </c>
      <c r="AT54" s="329">
        <v>561</v>
      </c>
      <c r="AU54" s="329">
        <v>569</v>
      </c>
      <c r="AV54" s="330">
        <f>SUM(AR54:AU54)</f>
        <v>1860</v>
      </c>
      <c r="AW54" s="329">
        <v>539</v>
      </c>
      <c r="AX54" s="329">
        <v>637</v>
      </c>
      <c r="AY54" s="329">
        <v>720</v>
      </c>
      <c r="AZ54" s="329">
        <v>731</v>
      </c>
      <c r="BA54" s="330">
        <f>SUM(AW54:AZ54)</f>
        <v>2627</v>
      </c>
      <c r="BB54" s="329">
        <v>820</v>
      </c>
      <c r="BC54" s="329">
        <v>1068</v>
      </c>
      <c r="BD54" s="329">
        <v>1032</v>
      </c>
      <c r="BE54" s="329">
        <v>1186</v>
      </c>
      <c r="BF54" s="330">
        <f>SUM(BB54:BE54)</f>
        <v>4106</v>
      </c>
      <c r="BG54" s="329">
        <v>1129</v>
      </c>
      <c r="BH54" s="329">
        <f>1255-BH78</f>
        <v>1347.48</v>
      </c>
      <c r="BI54" s="329">
        <v>1228</v>
      </c>
      <c r="BJ54" s="329">
        <v>1242</v>
      </c>
      <c r="BK54" s="330">
        <f>SUM(BG54:BJ54)</f>
        <v>4946.4799999999996</v>
      </c>
      <c r="BL54" s="329">
        <v>1271</v>
      </c>
      <c r="BM54" s="329">
        <v>1293</v>
      </c>
      <c r="BN54" s="329">
        <v>1207</v>
      </c>
      <c r="BO54" s="329">
        <f>33-BO78</f>
        <v>1353</v>
      </c>
      <c r="BP54" s="330">
        <f>SUM(BL54:BO54)</f>
        <v>5124</v>
      </c>
      <c r="BQ54" s="329">
        <f>604-BQ78</f>
        <v>604</v>
      </c>
      <c r="BR54" s="329">
        <f>1074-BR78</f>
        <v>1285.2</v>
      </c>
      <c r="BS54" s="329">
        <f>1288-BS78</f>
        <v>1288</v>
      </c>
      <c r="BT54" s="329">
        <f>718-BT78</f>
        <v>718</v>
      </c>
      <c r="BU54" s="330">
        <f>SUM(BQ54:BT54)</f>
        <v>3895.2</v>
      </c>
      <c r="BV54" s="329">
        <f>1006-BV78</f>
        <v>1006</v>
      </c>
      <c r="BW54" s="329">
        <f>731-BW78</f>
        <v>926.3</v>
      </c>
      <c r="BX54" s="329">
        <f>+BX53*0.33</f>
        <v>1055.01</v>
      </c>
      <c r="BY54" s="329">
        <f>+BY53*0.33</f>
        <v>993.30000000000007</v>
      </c>
      <c r="BZ54" s="330">
        <f>SUM(BV54:BY54)</f>
        <v>3980.61</v>
      </c>
      <c r="CA54" s="329">
        <v>1287</v>
      </c>
      <c r="CB54" s="329">
        <f>+CB53*0.33</f>
        <v>1490.6100000000001</v>
      </c>
      <c r="CC54" s="329">
        <f>964+(2530-1890)</f>
        <v>1604</v>
      </c>
      <c r="CD54" s="329">
        <f>1014+208</f>
        <v>1222</v>
      </c>
      <c r="CE54" s="330">
        <f>SUM(CA54:CD54)</f>
        <v>5603.6100000000006</v>
      </c>
      <c r="CF54" s="307">
        <f>1245+177</f>
        <v>1422</v>
      </c>
      <c r="CG54" s="307">
        <v>1706</v>
      </c>
      <c r="CH54" s="307">
        <f>1262+768*0.33</f>
        <v>1515.44</v>
      </c>
      <c r="CI54" s="307">
        <f>161+955+756*0.32</f>
        <v>1357.92</v>
      </c>
      <c r="CJ54" s="330">
        <f>SUM(CF54:CI54)</f>
        <v>6001.3600000000006</v>
      </c>
      <c r="CK54" s="329">
        <f>CK53*CK55</f>
        <v>1523.03</v>
      </c>
      <c r="CL54" s="329">
        <f>1484+108</f>
        <v>1592</v>
      </c>
      <c r="CM54" s="329">
        <f>CM53*CM55</f>
        <v>1461.03</v>
      </c>
      <c r="CN54" s="329">
        <v>1430</v>
      </c>
      <c r="CO54" s="331">
        <f>SUM(CK54:CN54)</f>
        <v>6006.0599999999995</v>
      </c>
      <c r="CP54" s="329">
        <v>1563</v>
      </c>
      <c r="CQ54" s="329">
        <v>1179</v>
      </c>
      <c r="CR54" s="329">
        <f>2045+195</f>
        <v>2240</v>
      </c>
      <c r="CS54" s="329">
        <v>1249</v>
      </c>
      <c r="CT54" s="331">
        <f>SUM(CP54:CS54)</f>
        <v>6231</v>
      </c>
      <c r="CU54" s="329">
        <v>1927</v>
      </c>
      <c r="CV54" s="329">
        <v>2113</v>
      </c>
      <c r="CW54" s="329">
        <f>422+1388</f>
        <v>1810</v>
      </c>
      <c r="CX54" s="329">
        <f>CX53*CX55</f>
        <v>1671</v>
      </c>
      <c r="CY54" s="331">
        <f>SUM(CU54:CX54)</f>
        <v>7521</v>
      </c>
      <c r="CZ54" s="329">
        <v>1618</v>
      </c>
      <c r="DA54" s="329">
        <v>1464</v>
      </c>
      <c r="DB54" s="329">
        <f>1073+0.265*(290+420)</f>
        <v>1261.1500000000001</v>
      </c>
      <c r="DC54" s="329">
        <f>DC55*DC53</f>
        <v>1160.17</v>
      </c>
      <c r="DD54" s="331">
        <f>SUM(CZ54:DC54)</f>
        <v>5503.32</v>
      </c>
      <c r="DE54" s="329">
        <v>1191</v>
      </c>
      <c r="DF54" s="329">
        <v>2221</v>
      </c>
      <c r="DG54" s="329">
        <v>1335</v>
      </c>
      <c r="DH54" s="329">
        <v>1506</v>
      </c>
      <c r="DI54" s="331">
        <f>SUM(DE54:DH54)</f>
        <v>6253</v>
      </c>
      <c r="DJ54" s="1114">
        <v>1820</v>
      </c>
      <c r="DK54" s="1114">
        <v>1863</v>
      </c>
      <c r="DL54" s="1114">
        <v>793</v>
      </c>
      <c r="DM54" s="1114">
        <v>445</v>
      </c>
      <c r="DN54" s="331">
        <f>SUM(DJ54:DM54)</f>
        <v>4921</v>
      </c>
      <c r="DO54" s="1114">
        <v>1568</v>
      </c>
      <c r="DP54" s="1114">
        <v>1615</v>
      </c>
      <c r="DQ54" s="1114">
        <v>1255</v>
      </c>
      <c r="DR54" s="1114">
        <v>851</v>
      </c>
      <c r="DS54" s="331">
        <f>SUM(DO54:DR54)</f>
        <v>5289</v>
      </c>
      <c r="DT54" s="1114">
        <v>1068</v>
      </c>
      <c r="DU54" s="1114">
        <v>1393</v>
      </c>
      <c r="DV54" s="1114">
        <v>1548</v>
      </c>
      <c r="DW54" s="1114">
        <v>1180</v>
      </c>
      <c r="DX54" s="331">
        <f>SUM(DT54:DW54)</f>
        <v>5189</v>
      </c>
      <c r="DY54" s="1114">
        <v>1164</v>
      </c>
      <c r="DZ54" s="1114">
        <v>1320</v>
      </c>
      <c r="EA54" s="1114">
        <v>1297</v>
      </c>
      <c r="EB54" s="1114">
        <v>1965</v>
      </c>
      <c r="EC54" s="331">
        <f>SUM(DY54:EB54)</f>
        <v>5746</v>
      </c>
      <c r="ED54" s="1114">
        <v>1600</v>
      </c>
      <c r="EE54" s="1114">
        <v>1987</v>
      </c>
      <c r="EF54" s="1114">
        <v>1532</v>
      </c>
      <c r="EG54" s="1114">
        <v>1439</v>
      </c>
      <c r="EH54" s="331">
        <f>SUM(ED54:EG54)</f>
        <v>6558</v>
      </c>
      <c r="EI54" s="2558">
        <f>EI53-EI56</f>
        <v>952.25</v>
      </c>
      <c r="EJ54" s="2558">
        <f>EJ53-EJ56</f>
        <v>1375.25</v>
      </c>
      <c r="EK54" s="2558">
        <f>EK53-EK56</f>
        <v>1760.4899999999998</v>
      </c>
      <c r="EL54" s="2558">
        <f>EL53-EL56</f>
        <v>1228.25</v>
      </c>
      <c r="EM54" s="2696">
        <f>SUM(EI54:EL54)</f>
        <v>5316.24</v>
      </c>
      <c r="EN54" s="2558">
        <f>EN53-EN56</f>
        <v>1160</v>
      </c>
      <c r="EO54" s="2558">
        <f>EO53-EO56</f>
        <v>1755</v>
      </c>
      <c r="EP54" s="2558">
        <f>EP53-EP56</f>
        <v>1608</v>
      </c>
      <c r="EQ54" s="2558">
        <f>EQ53-EQ56</f>
        <v>-48</v>
      </c>
      <c r="ER54" s="2696">
        <f>SUM(EN54:EQ54)</f>
        <v>4475</v>
      </c>
      <c r="ES54" s="2558">
        <f>ES53-ES56</f>
        <v>1408</v>
      </c>
      <c r="ET54" s="2558">
        <f>ET53-ET56</f>
        <v>1671</v>
      </c>
      <c r="EU54" s="2558">
        <f>EU53-EU56</f>
        <v>1217</v>
      </c>
      <c r="EV54" s="329">
        <f>EV55*EV53</f>
        <v>1597.8927670360613</v>
      </c>
      <c r="EW54" s="331">
        <f>SUM(ES54:EV54)</f>
        <v>5893.8927670360608</v>
      </c>
      <c r="EX54" s="329">
        <f>EX55*EX53</f>
        <v>1820.7586056942046</v>
      </c>
      <c r="EY54" s="329">
        <f>EY55*EY53</f>
        <v>2047.4647055397263</v>
      </c>
      <c r="EZ54" s="329">
        <f>EZ55*EZ53</f>
        <v>1961.5623811013393</v>
      </c>
      <c r="FA54" s="329">
        <f>FA55*FA53</f>
        <v>2248.462514668945</v>
      </c>
      <c r="FB54" s="331">
        <f>SUM(EX54:FA54)</f>
        <v>8078.2482070042151</v>
      </c>
      <c r="FC54" s="329">
        <f>FC55*FC53</f>
        <v>2133.5073940074963</v>
      </c>
      <c r="FD54" s="329">
        <f>FD55*FD53</f>
        <v>2401.89393898666</v>
      </c>
      <c r="FE54" s="329">
        <f>FE55*FE53</f>
        <v>2360.0876963421106</v>
      </c>
      <c r="FF54" s="329">
        <f>FF55*FF53</f>
        <v>2678.3776090756155</v>
      </c>
      <c r="FG54" s="331">
        <f>SUM(FC54:FF54)</f>
        <v>9573.8666384118824</v>
      </c>
      <c r="FH54" s="329">
        <f>FH55*FH53</f>
        <v>2475.4986085885935</v>
      </c>
      <c r="FI54" s="329">
        <f>FI55*FI53</f>
        <v>2768.2984068942255</v>
      </c>
      <c r="FJ54" s="329">
        <f>FJ55*FJ53</f>
        <v>2751.9214351264682</v>
      </c>
      <c r="FK54" s="329">
        <f>FK55*FK53</f>
        <v>3097.2263157874836</v>
      </c>
      <c r="FL54" s="331">
        <f>SUM(FH54:FK54)</f>
        <v>11092.944766396771</v>
      </c>
      <c r="FN54" s="330">
        <f>BD54+BE54+BG54+BH54</f>
        <v>4694.4799999999996</v>
      </c>
      <c r="FO54" s="330">
        <f>BI54+BJ54+BL54+BM54</f>
        <v>5034</v>
      </c>
      <c r="FP54" s="330">
        <f>BN54+BO54+BQ54+BR54</f>
        <v>4449.2</v>
      </c>
      <c r="FQ54" s="330">
        <f>BS54+BT54+BV54+BW54</f>
        <v>3938.3</v>
      </c>
      <c r="FR54" s="330">
        <f>BX54+BY54+CA54+CB54</f>
        <v>4825.92</v>
      </c>
      <c r="FS54" s="330">
        <f>CC54+CD54+CF54+CG54</f>
        <v>5954</v>
      </c>
      <c r="FT54" s="330">
        <f>CH54+CI54+CK54+CL54</f>
        <v>5988.39</v>
      </c>
      <c r="FU54" s="330">
        <f>CM54+CN54+CP54+CQ54</f>
        <v>5633.03</v>
      </c>
      <c r="FV54" s="330">
        <f>CR54+CS54+CU54+CV54</f>
        <v>7529</v>
      </c>
      <c r="FW54" s="330">
        <f>CW54+CX54+CZ54+DA54</f>
        <v>6563</v>
      </c>
      <c r="FX54" s="855">
        <f>DB54+DC54+DE54+DF54</f>
        <v>5833.32</v>
      </c>
      <c r="FY54" s="856">
        <f>DG54+DH54+DJ54+DK54</f>
        <v>6524</v>
      </c>
      <c r="FZ54" s="856">
        <f>SUM(DO54:DP54,DL54:DM54)</f>
        <v>4421</v>
      </c>
      <c r="GA54" s="856">
        <f>SUM(DT54:DU54,DQ54:DR54)</f>
        <v>4567</v>
      </c>
      <c r="GB54" s="856">
        <f>SUM(DY54:DZ54,DV54:DW54)</f>
        <v>5212</v>
      </c>
      <c r="GC54" s="856">
        <f>SUM(ED54:EE54,EA54:EB54)</f>
        <v>6849</v>
      </c>
      <c r="GD54" s="856">
        <f>SUM(EI54:EJ54,EF54:EG54)</f>
        <v>5298.5</v>
      </c>
      <c r="GE54" s="856">
        <f>SUM(EN54:EO54,EK54:EL54)</f>
        <v>5903.74</v>
      </c>
      <c r="GF54" s="856">
        <f>SUM(ES54:ET54,EP54:EQ54)</f>
        <v>4639</v>
      </c>
      <c r="GG54" s="856">
        <f>SUM(EX54:EY54,EU54:EV54)</f>
        <v>6683.1160782699917</v>
      </c>
      <c r="GH54" s="856">
        <f>SUM(FC54:FD54,EZ54:FA54)</f>
        <v>8745.4262287644415</v>
      </c>
      <c r="GI54" s="856">
        <f>SUM(FH54:FI54,FE54:FF54)</f>
        <v>10282.262320900545</v>
      </c>
      <c r="GJ54" s="303"/>
      <c r="GK54" s="303"/>
      <c r="GL54" s="303"/>
      <c r="GN54"/>
      <c r="GO54"/>
      <c r="GP54"/>
      <c r="GQ54"/>
      <c r="GR54"/>
      <c r="GS54"/>
    </row>
    <row r="55" spans="1:201" s="264" customFormat="1" ht="11.25" customHeight="1">
      <c r="A55" s="253" t="s">
        <v>150</v>
      </c>
      <c r="B55" s="253"/>
      <c r="C55" s="253"/>
      <c r="D55" s="312">
        <f t="shared" ref="D55:AI55" si="302">D54/D53</f>
        <v>0.31481481481481483</v>
      </c>
      <c r="E55" s="312">
        <f t="shared" si="302"/>
        <v>0.32020959173277047</v>
      </c>
      <c r="F55" s="312">
        <f t="shared" si="302"/>
        <v>0.31559889042074313</v>
      </c>
      <c r="G55" s="312">
        <f t="shared" si="302"/>
        <v>0.32161391711132226</v>
      </c>
      <c r="H55" s="313">
        <f t="shared" si="302"/>
        <v>0.31832814060553977</v>
      </c>
      <c r="I55" s="312">
        <f t="shared" si="302"/>
        <v>0.31454281885068791</v>
      </c>
      <c r="J55" s="312">
        <f t="shared" si="302"/>
        <v>0.3219752722990874</v>
      </c>
      <c r="K55" s="312">
        <f t="shared" si="302"/>
        <v>0.31854669894606552</v>
      </c>
      <c r="L55" s="312">
        <f t="shared" si="302"/>
        <v>0.32071570240958769</v>
      </c>
      <c r="M55" s="313">
        <f t="shared" si="302"/>
        <v>0.31936809000816702</v>
      </c>
      <c r="N55" s="312">
        <f t="shared" si="302"/>
        <v>0.30854430379746839</v>
      </c>
      <c r="O55" s="312">
        <f t="shared" si="302"/>
        <v>0.31192660550458717</v>
      </c>
      <c r="P55" s="312">
        <f t="shared" si="302"/>
        <v>0.31111111111111112</v>
      </c>
      <c r="Q55" s="312">
        <f t="shared" si="302"/>
        <v>0.30845771144278605</v>
      </c>
      <c r="R55" s="313">
        <f t="shared" si="302"/>
        <v>0.31003130123714412</v>
      </c>
      <c r="S55" s="312">
        <f t="shared" si="302"/>
        <v>0.32075471698113206</v>
      </c>
      <c r="T55" s="312">
        <f t="shared" si="302"/>
        <v>0.32170542635658916</v>
      </c>
      <c r="U55" s="312">
        <f t="shared" si="302"/>
        <v>0.31679389312977096</v>
      </c>
      <c r="V55" s="312">
        <f t="shared" si="302"/>
        <v>0.32018111254851228</v>
      </c>
      <c r="W55" s="313">
        <f t="shared" si="302"/>
        <v>0.31982328082981176</v>
      </c>
      <c r="X55" s="312">
        <f t="shared" si="302"/>
        <v>0.31921824104234525</v>
      </c>
      <c r="Y55" s="312">
        <f t="shared" si="302"/>
        <v>0.31988472622478387</v>
      </c>
      <c r="Z55" s="312">
        <f t="shared" si="302"/>
        <v>0.31932773109243695</v>
      </c>
      <c r="AA55" s="312">
        <f t="shared" si="302"/>
        <v>0.32051282051282054</v>
      </c>
      <c r="AB55" s="313">
        <f t="shared" si="302"/>
        <v>0.31977159172019987</v>
      </c>
      <c r="AC55" s="312">
        <f t="shared" si="302"/>
        <v>0.3397790055248619</v>
      </c>
      <c r="AD55" s="312">
        <f t="shared" si="302"/>
        <v>0.34018264840182649</v>
      </c>
      <c r="AE55" s="312">
        <f t="shared" si="302"/>
        <v>0.25099601593625498</v>
      </c>
      <c r="AF55" s="312">
        <f t="shared" si="302"/>
        <v>0.34901960784313724</v>
      </c>
      <c r="AG55" s="313">
        <f t="shared" si="302"/>
        <v>0.31788079470198677</v>
      </c>
      <c r="AH55" s="312">
        <f t="shared" si="302"/>
        <v>0.32908704883227174</v>
      </c>
      <c r="AI55" s="312">
        <f t="shared" si="302"/>
        <v>0.33034111310592462</v>
      </c>
      <c r="AJ55" s="312">
        <f t="shared" ref="AJ55:BO55" si="303">AJ54/AJ53</f>
        <v>0.33108108108108109</v>
      </c>
      <c r="AK55" s="312">
        <f t="shared" si="303"/>
        <v>0.30185497470489037</v>
      </c>
      <c r="AL55" s="313">
        <f t="shared" si="303"/>
        <v>0.32263895164934481</v>
      </c>
      <c r="AM55" s="312">
        <f t="shared" si="303"/>
        <v>0.35194805194805195</v>
      </c>
      <c r="AN55" s="312">
        <f t="shared" si="303"/>
        <v>0.35028248587570621</v>
      </c>
      <c r="AO55" s="312">
        <f t="shared" si="303"/>
        <v>0.34953703703703703</v>
      </c>
      <c r="AP55" s="312">
        <f t="shared" si="303"/>
        <v>0.35</v>
      </c>
      <c r="AQ55" s="313">
        <f t="shared" si="303"/>
        <v>0.35039952648712636</v>
      </c>
      <c r="AR55" s="312">
        <f t="shared" si="303"/>
        <v>0.35026455026455028</v>
      </c>
      <c r="AS55" s="312">
        <f t="shared" si="303"/>
        <v>0.35</v>
      </c>
      <c r="AT55" s="312">
        <f t="shared" si="303"/>
        <v>0.34996880848409234</v>
      </c>
      <c r="AU55" s="312">
        <f t="shared" si="303"/>
        <v>0.34993849938499383</v>
      </c>
      <c r="AV55" s="313">
        <f t="shared" si="303"/>
        <v>0.35001881821603315</v>
      </c>
      <c r="AW55" s="312">
        <f t="shared" si="303"/>
        <v>0.35981308411214952</v>
      </c>
      <c r="AX55" s="312">
        <f t="shared" si="303"/>
        <v>0.35988700564971754</v>
      </c>
      <c r="AY55" s="312">
        <f t="shared" si="303"/>
        <v>0.3500243072435586</v>
      </c>
      <c r="AZ55" s="312">
        <f t="shared" si="303"/>
        <v>0.35009578544061304</v>
      </c>
      <c r="BA55" s="313">
        <f t="shared" si="303"/>
        <v>0.35437744502900309</v>
      </c>
      <c r="BB55" s="312">
        <f t="shared" si="303"/>
        <v>0.3276068717538953</v>
      </c>
      <c r="BC55" s="312">
        <f t="shared" si="303"/>
        <v>0.35004916420845622</v>
      </c>
      <c r="BD55" s="312">
        <f t="shared" si="303"/>
        <v>0.34994913530010174</v>
      </c>
      <c r="BE55" s="312">
        <f t="shared" si="303"/>
        <v>0.35005903187721371</v>
      </c>
      <c r="BF55" s="313">
        <f t="shared" si="303"/>
        <v>0.3453031704650576</v>
      </c>
      <c r="BG55" s="312">
        <f t="shared" si="303"/>
        <v>0.33481613285883749</v>
      </c>
      <c r="BH55" s="312">
        <f t="shared" si="303"/>
        <v>0.33394795539033456</v>
      </c>
      <c r="BI55" s="312">
        <f t="shared" si="303"/>
        <v>0.33451375646962678</v>
      </c>
      <c r="BJ55" s="312">
        <f t="shared" si="303"/>
        <v>0.33468067906224735</v>
      </c>
      <c r="BK55" s="313">
        <f t="shared" si="303"/>
        <v>0.33447021434850221</v>
      </c>
      <c r="BL55" s="312">
        <f t="shared" si="303"/>
        <v>0.32481472016355739</v>
      </c>
      <c r="BM55" s="312">
        <f t="shared" si="303"/>
        <v>0.32438534872052183</v>
      </c>
      <c r="BN55" s="312">
        <f t="shared" si="303"/>
        <v>0.3242880171950564</v>
      </c>
      <c r="BO55" s="312">
        <f t="shared" si="303"/>
        <v>7.1968085106382977</v>
      </c>
      <c r="BP55" s="313">
        <f t="shared" ref="BP55:BY55" si="304">BP54/BP53</f>
        <v>0.43390634262003558</v>
      </c>
      <c r="BQ55" s="312">
        <f t="shared" si="304"/>
        <v>0.32008479067302598</v>
      </c>
      <c r="BR55" s="312">
        <f t="shared" si="304"/>
        <v>0.31994025392083647</v>
      </c>
      <c r="BS55" s="312">
        <f t="shared" si="304"/>
        <v>0.31992051664182813</v>
      </c>
      <c r="BT55" s="312">
        <f t="shared" si="304"/>
        <v>0.32010699955416855</v>
      </c>
      <c r="BU55" s="313">
        <f t="shared" si="304"/>
        <v>0.3199868561570689</v>
      </c>
      <c r="BV55" s="312">
        <f t="shared" si="304"/>
        <v>0.33016081391532653</v>
      </c>
      <c r="BW55" s="312">
        <f t="shared" si="304"/>
        <v>0.33011404133998573</v>
      </c>
      <c r="BX55" s="312">
        <f t="shared" si="304"/>
        <v>0.33</v>
      </c>
      <c r="BY55" s="312">
        <f t="shared" si="304"/>
        <v>0.33</v>
      </c>
      <c r="BZ55" s="313">
        <f t="shared" ref="BZ55:CE55" si="305">BZ54/BZ53</f>
        <v>0.33006716417910448</v>
      </c>
      <c r="CA55" s="312">
        <f t="shared" si="305"/>
        <v>0.32991540630607535</v>
      </c>
      <c r="CB55" s="312">
        <f t="shared" si="305"/>
        <v>0.33</v>
      </c>
      <c r="CC55" s="312">
        <f t="shared" si="305"/>
        <v>0.3331256490134995</v>
      </c>
      <c r="CD55" s="312">
        <f t="shared" si="305"/>
        <v>0.33000270051309749</v>
      </c>
      <c r="CE55" s="313">
        <f t="shared" si="305"/>
        <v>0.33086974492205956</v>
      </c>
      <c r="CF55" s="312">
        <f>CF54/CF53</f>
        <v>0.33000696217219772</v>
      </c>
      <c r="CG55" s="312">
        <f>CG54/CG53</f>
        <v>0.33004449603404912</v>
      </c>
      <c r="CH55" s="312">
        <f>CH54/CH53</f>
        <v>0.32994556934465491</v>
      </c>
      <c r="CI55" s="312">
        <v>0.31</v>
      </c>
      <c r="CJ55" s="313">
        <f>CJ54/CJ53</f>
        <v>0.32113441780821922</v>
      </c>
      <c r="CK55" s="312">
        <v>0.31</v>
      </c>
      <c r="CL55" s="312">
        <f>CL54/CL53</f>
        <v>0.30984818995718177</v>
      </c>
      <c r="CM55" s="312">
        <v>0.31</v>
      </c>
      <c r="CN55" s="312">
        <f>CN54/CN53</f>
        <v>0.31012795489047928</v>
      </c>
      <c r="CO55" s="313">
        <f t="shared" ref="CO55:CV55" si="306">CO54/CO53</f>
        <v>0.30999019354838708</v>
      </c>
      <c r="CP55" s="312">
        <f t="shared" si="306"/>
        <v>0.31005752826820077</v>
      </c>
      <c r="CQ55" s="312">
        <f t="shared" si="306"/>
        <v>0.30985545335085413</v>
      </c>
      <c r="CR55" s="312">
        <f t="shared" si="306"/>
        <v>0.31438596491228071</v>
      </c>
      <c r="CS55" s="312">
        <f t="shared" si="306"/>
        <v>0.23385133870061786</v>
      </c>
      <c r="CT55" s="313">
        <f t="shared" si="306"/>
        <v>0.29237049549549549</v>
      </c>
      <c r="CU55" s="312">
        <f t="shared" si="306"/>
        <v>0.31000643500643499</v>
      </c>
      <c r="CV55" s="312">
        <f t="shared" si="306"/>
        <v>0.30982404692082111</v>
      </c>
      <c r="CW55" s="312">
        <f>CW54/CW53</f>
        <v>0.29066966436486269</v>
      </c>
      <c r="CX55" s="312">
        <v>0.27999329758713137</v>
      </c>
      <c r="CY55" s="313">
        <f>CY54/CY53</f>
        <v>0.29808568824065634</v>
      </c>
      <c r="CZ55" s="312">
        <f>CZ54/CZ53</f>
        <v>0.27007177432815893</v>
      </c>
      <c r="DA55" s="312">
        <f>DA54/DA53</f>
        <v>0.25966654842142606</v>
      </c>
      <c r="DB55" s="312">
        <f>DB54/DB53</f>
        <v>0.26494747899159665</v>
      </c>
      <c r="DC55" s="312">
        <v>0.26500000000000001</v>
      </c>
      <c r="DD55" s="313">
        <f t="shared" ref="DD55:DW55" si="307">DD54/DD53</f>
        <v>0.2650031299658111</v>
      </c>
      <c r="DE55" s="312">
        <f t="shared" si="307"/>
        <v>0.24994753410283316</v>
      </c>
      <c r="DF55" s="312">
        <f t="shared" si="307"/>
        <v>0.2500281436451649</v>
      </c>
      <c r="DG55" s="312">
        <f t="shared" si="307"/>
        <v>0.24995319228608875</v>
      </c>
      <c r="DH55" s="312">
        <f t="shared" si="307"/>
        <v>0.25</v>
      </c>
      <c r="DI55" s="313">
        <f t="shared" si="307"/>
        <v>0.24999000519729742</v>
      </c>
      <c r="DJ55" s="312">
        <f t="shared" si="307"/>
        <v>0.25172890733056708</v>
      </c>
      <c r="DK55" s="312">
        <f t="shared" si="307"/>
        <v>0.21925385430151817</v>
      </c>
      <c r="DL55" s="312">
        <f t="shared" si="307"/>
        <v>0.1316182572614108</v>
      </c>
      <c r="DM55" s="312">
        <f t="shared" si="307"/>
        <v>7.0439925032924747E-2</v>
      </c>
      <c r="DN55" s="313">
        <f>DN54/DN53</f>
        <v>0.17531521825871837</v>
      </c>
      <c r="DO55" s="312">
        <f t="shared" si="307"/>
        <v>0.21461812209143169</v>
      </c>
      <c r="DP55" s="312">
        <f t="shared" si="307"/>
        <v>0.19601893433669135</v>
      </c>
      <c r="DQ55" s="312">
        <f t="shared" si="307"/>
        <v>0.19723400911519723</v>
      </c>
      <c r="DR55" s="312">
        <f t="shared" si="307"/>
        <v>0.12988400488400489</v>
      </c>
      <c r="DS55" s="313">
        <f>DS54/DS53</f>
        <v>0.18583977512297961</v>
      </c>
      <c r="DT55" s="312">
        <f>DT54/DT53</f>
        <v>0.19298879653053849</v>
      </c>
      <c r="DU55" s="312">
        <f>DU54/DU53</f>
        <v>0.17927927927927928</v>
      </c>
      <c r="DV55" s="312">
        <f t="shared" si="307"/>
        <v>0.18570057581573896</v>
      </c>
      <c r="DW55" s="312">
        <f t="shared" si="307"/>
        <v>0.19202603742880389</v>
      </c>
      <c r="DX55" s="313">
        <f t="shared" ref="DX55:EG55" si="308">DX54/DX53</f>
        <v>0.19181576223569421</v>
      </c>
      <c r="DY55" s="312">
        <f t="shared" si="308"/>
        <v>0.18164794007490637</v>
      </c>
      <c r="DZ55" s="312">
        <f t="shared" si="308"/>
        <v>0.16755521706016754</v>
      </c>
      <c r="EA55" s="312">
        <f t="shared" si="308"/>
        <v>0.18643093287336496</v>
      </c>
      <c r="EB55" s="312">
        <f t="shared" si="308"/>
        <v>0.29310859188544153</v>
      </c>
      <c r="EC55" s="313">
        <f t="shared" si="308"/>
        <v>0.20575008096978256</v>
      </c>
      <c r="ED55" s="312">
        <f t="shared" si="308"/>
        <v>0.22740193291642979</v>
      </c>
      <c r="EE55" s="312">
        <f t="shared" si="308"/>
        <v>0.25582593021758721</v>
      </c>
      <c r="EF55" s="312">
        <f t="shared" si="308"/>
        <v>0.22841807067243178</v>
      </c>
      <c r="EG55" s="312">
        <f t="shared" si="308"/>
        <v>0.21535468422627957</v>
      </c>
      <c r="EH55" s="313">
        <f>EH54/EH53</f>
        <v>0.23261918274687854</v>
      </c>
      <c r="EI55" s="312">
        <f t="shared" ref="EI55:EL55" si="309">EI54/EI53</f>
        <v>0.1581547915628633</v>
      </c>
      <c r="EJ55" s="312">
        <f t="shared" si="309"/>
        <v>0.18805551757144812</v>
      </c>
      <c r="EK55" s="312">
        <f t="shared" si="309"/>
        <v>0.29027040395713105</v>
      </c>
      <c r="EL55" s="312">
        <f t="shared" si="309"/>
        <v>0.16710884353741495</v>
      </c>
      <c r="EM55" s="313">
        <f>EM54/EM53</f>
        <v>0.19874537365882836</v>
      </c>
      <c r="EN55" s="312">
        <f>EN54/EN53</f>
        <v>0.16991357843855281</v>
      </c>
      <c r="EO55" s="312">
        <f t="shared" ref="EO55:EQ55" si="310">EO54/EO53</f>
        <v>0.21877337322363499</v>
      </c>
      <c r="EP55" s="312">
        <f t="shared" si="310"/>
        <v>0.22667042571186918</v>
      </c>
      <c r="EQ55" s="312">
        <f t="shared" si="310"/>
        <v>-5.8083252662149082E-3</v>
      </c>
      <c r="ER55" s="313">
        <f>ER54/ER53</f>
        <v>0.14814446982487503</v>
      </c>
      <c r="ES55" s="312">
        <f>ES54/ES53</f>
        <v>0.17635270541082165</v>
      </c>
      <c r="ET55" s="312">
        <f t="shared" ref="ET55:EU55" si="311">ET54/ET53</f>
        <v>0.18224451957683499</v>
      </c>
      <c r="EU55" s="312">
        <f t="shared" si="311"/>
        <v>0.14084018053466035</v>
      </c>
      <c r="EV55" s="312">
        <v>0.16</v>
      </c>
      <c r="EW55" s="313">
        <f>EW54/EW53</f>
        <v>0.16472208165581587</v>
      </c>
      <c r="EX55" s="312">
        <v>0.20250000000000001</v>
      </c>
      <c r="EY55" s="312">
        <v>0.20250000000000001</v>
      </c>
      <c r="EZ55" s="312">
        <v>0.20250000000000001</v>
      </c>
      <c r="FA55" s="312">
        <v>0.20250000000000001</v>
      </c>
      <c r="FB55" s="313">
        <f>FB54/FB53</f>
        <v>0.20250000000000007</v>
      </c>
      <c r="FC55" s="312">
        <v>0.20250000000000001</v>
      </c>
      <c r="FD55" s="312">
        <v>0.20250000000000001</v>
      </c>
      <c r="FE55" s="312">
        <v>0.20250000000000001</v>
      </c>
      <c r="FF55" s="312">
        <v>0.20250000000000001</v>
      </c>
      <c r="FG55" s="313">
        <f>FG54/FG53</f>
        <v>0.20249999999999999</v>
      </c>
      <c r="FH55" s="312">
        <v>0.20250000000000001</v>
      </c>
      <c r="FI55" s="312">
        <v>0.20250000000000001</v>
      </c>
      <c r="FJ55" s="312">
        <v>0.20250000000000001</v>
      </c>
      <c r="FK55" s="312">
        <v>0.20250000000000001</v>
      </c>
      <c r="FL55" s="313">
        <f>FL54/FL53</f>
        <v>0.20249999999999999</v>
      </c>
      <c r="FM55" s="242"/>
      <c r="FN55" s="316">
        <f t="shared" ref="FN55:GE55" si="312">FN54/FN53</f>
        <v>0.34156577415599532</v>
      </c>
      <c r="FO55" s="316">
        <f t="shared" si="312"/>
        <v>0.32942870231005822</v>
      </c>
      <c r="FP55" s="316">
        <f t="shared" si="312"/>
        <v>0.4533523537803138</v>
      </c>
      <c r="FQ55" s="316">
        <f t="shared" si="312"/>
        <v>0.32488863223890446</v>
      </c>
      <c r="FR55" s="316">
        <f t="shared" si="312"/>
        <v>0.32997743589743589</v>
      </c>
      <c r="FS55" s="316">
        <f t="shared" si="312"/>
        <v>0.3308513002889531</v>
      </c>
      <c r="FT55" s="316">
        <f t="shared" si="312"/>
        <v>0.31090753335756194</v>
      </c>
      <c r="FU55" s="316">
        <f t="shared" si="312"/>
        <v>0.31001816180517333</v>
      </c>
      <c r="FV55" s="316">
        <f t="shared" si="312"/>
        <v>0.29523174652968392</v>
      </c>
      <c r="FW55" s="316">
        <f t="shared" si="312"/>
        <v>0.27547850906648758</v>
      </c>
      <c r="FX55" s="847">
        <f t="shared" si="312"/>
        <v>0.25600456420609147</v>
      </c>
      <c r="FY55" s="854">
        <f t="shared" si="312"/>
        <v>0.2408090949357744</v>
      </c>
      <c r="FZ55" s="854">
        <f t="shared" si="312"/>
        <v>0.15853014833918064</v>
      </c>
      <c r="GA55" s="854">
        <f t="shared" si="312"/>
        <v>0.17418665853007362</v>
      </c>
      <c r="GB55" s="854">
        <f t="shared" si="312"/>
        <v>0.18117982410400807</v>
      </c>
      <c r="GC55" s="854">
        <f t="shared" si="312"/>
        <v>0.24061973018549748</v>
      </c>
      <c r="GD55" s="854">
        <f t="shared" si="312"/>
        <v>0.19827489428582121</v>
      </c>
      <c r="GE55" s="854">
        <f t="shared" si="312"/>
        <v>0.20887843192754033</v>
      </c>
      <c r="GF55" s="854">
        <f>GF54/GF53</f>
        <v>0.1426901664052167</v>
      </c>
      <c r="GG55" s="854">
        <f>GG54/GG53</f>
        <v>0.17712924659571641</v>
      </c>
      <c r="GH55" s="854">
        <f>GH54/GH53</f>
        <v>0.20250000000000001</v>
      </c>
      <c r="GI55" s="854">
        <f>GI54/GI53</f>
        <v>0.20249999999999999</v>
      </c>
      <c r="GJ55" s="363"/>
      <c r="GK55" s="363"/>
      <c r="GL55" s="363"/>
      <c r="GN55"/>
      <c r="GO55"/>
      <c r="GP55"/>
      <c r="GQ55"/>
      <c r="GR55"/>
      <c r="GS55"/>
    </row>
    <row r="56" spans="1:201" s="307" customFormat="1" ht="11.25" customHeight="1">
      <c r="A56" s="302" t="s">
        <v>864</v>
      </c>
      <c r="B56" s="303"/>
      <c r="C56" s="303"/>
      <c r="D56" s="304">
        <f>+D53-D54</f>
        <v>37</v>
      </c>
      <c r="E56" s="304">
        <f>+E53-E54</f>
        <v>46.705000000000013</v>
      </c>
      <c r="F56" s="304">
        <f>+F53-F54</f>
        <v>41.203000000000003</v>
      </c>
      <c r="G56" s="304">
        <f>+G53-G54</f>
        <v>46.405000000000001</v>
      </c>
      <c r="H56" s="305">
        <f>H53-H54</f>
        <v>171.31299999999993</v>
      </c>
      <c r="I56" s="304">
        <f t="shared" ref="I56:BK56" si="313">I53-I54</f>
        <v>50.122</v>
      </c>
      <c r="J56" s="304">
        <f t="shared" si="313"/>
        <v>73.704000000000008</v>
      </c>
      <c r="K56" s="304">
        <f t="shared" si="313"/>
        <v>74.873999999999995</v>
      </c>
      <c r="L56" s="304">
        <f t="shared" si="313"/>
        <v>80.485000000000014</v>
      </c>
      <c r="M56" s="305">
        <f>M53-M54</f>
        <v>279.18500000000006</v>
      </c>
      <c r="N56" s="304">
        <f t="shared" si="313"/>
        <v>87.399999999999977</v>
      </c>
      <c r="O56" s="304">
        <f t="shared" si="313"/>
        <v>112.5</v>
      </c>
      <c r="P56" s="304">
        <f t="shared" si="313"/>
        <v>124</v>
      </c>
      <c r="Q56" s="304">
        <f t="shared" si="313"/>
        <v>139</v>
      </c>
      <c r="R56" s="305">
        <f>R53-R54</f>
        <v>462.90000000000009</v>
      </c>
      <c r="S56" s="304">
        <f t="shared" si="313"/>
        <v>144</v>
      </c>
      <c r="T56" s="304">
        <f t="shared" si="313"/>
        <v>175</v>
      </c>
      <c r="U56" s="304">
        <f t="shared" si="313"/>
        <v>179</v>
      </c>
      <c r="V56" s="304">
        <f t="shared" si="313"/>
        <v>210.2</v>
      </c>
      <c r="W56" s="305">
        <f>W53-W54</f>
        <v>708.2</v>
      </c>
      <c r="X56" s="304">
        <f t="shared" si="313"/>
        <v>209</v>
      </c>
      <c r="Y56" s="304">
        <f t="shared" si="313"/>
        <v>236</v>
      </c>
      <c r="Z56" s="304">
        <f t="shared" si="313"/>
        <v>243</v>
      </c>
      <c r="AA56" s="304">
        <f t="shared" si="313"/>
        <v>265</v>
      </c>
      <c r="AB56" s="305">
        <f>AB53-AB54</f>
        <v>953</v>
      </c>
      <c r="AC56" s="304">
        <f t="shared" si="313"/>
        <v>239</v>
      </c>
      <c r="AD56" s="304">
        <f t="shared" si="313"/>
        <v>289</v>
      </c>
      <c r="AE56" s="304">
        <f t="shared" si="313"/>
        <v>376</v>
      </c>
      <c r="AF56" s="304">
        <f t="shared" si="313"/>
        <v>332</v>
      </c>
      <c r="AG56" s="305">
        <f>AG53-AG54</f>
        <v>1236</v>
      </c>
      <c r="AH56" s="304">
        <f t="shared" si="313"/>
        <v>316</v>
      </c>
      <c r="AI56" s="304">
        <f t="shared" si="313"/>
        <v>373</v>
      </c>
      <c r="AJ56" s="304">
        <f t="shared" si="313"/>
        <v>396</v>
      </c>
      <c r="AK56" s="304">
        <f t="shared" si="313"/>
        <v>414</v>
      </c>
      <c r="AL56" s="305">
        <f>AL53-AL54</f>
        <v>1499</v>
      </c>
      <c r="AM56" s="304">
        <f t="shared" si="313"/>
        <v>499</v>
      </c>
      <c r="AN56" s="304">
        <f t="shared" si="313"/>
        <v>575</v>
      </c>
      <c r="AO56" s="304">
        <f t="shared" si="313"/>
        <v>562</v>
      </c>
      <c r="AP56" s="304">
        <f t="shared" si="313"/>
        <v>559</v>
      </c>
      <c r="AQ56" s="305">
        <f>AQ53-AQ54</f>
        <v>2195</v>
      </c>
      <c r="AR56" s="304">
        <f t="shared" si="313"/>
        <v>614</v>
      </c>
      <c r="AS56" s="304">
        <f t="shared" si="313"/>
        <v>741</v>
      </c>
      <c r="AT56" s="304">
        <f t="shared" si="313"/>
        <v>1042</v>
      </c>
      <c r="AU56" s="304">
        <f t="shared" si="313"/>
        <v>1057</v>
      </c>
      <c r="AV56" s="305">
        <f>AV53-AV54</f>
        <v>3454</v>
      </c>
      <c r="AW56" s="304">
        <f t="shared" si="313"/>
        <v>959</v>
      </c>
      <c r="AX56" s="304">
        <f t="shared" si="313"/>
        <v>1133</v>
      </c>
      <c r="AY56" s="304">
        <f t="shared" si="313"/>
        <v>1337</v>
      </c>
      <c r="AZ56" s="304">
        <f t="shared" si="313"/>
        <v>1357</v>
      </c>
      <c r="BA56" s="305">
        <f>BA53-BA54</f>
        <v>4786</v>
      </c>
      <c r="BB56" s="304">
        <f t="shared" si="313"/>
        <v>1683</v>
      </c>
      <c r="BC56" s="304">
        <f t="shared" si="313"/>
        <v>1983</v>
      </c>
      <c r="BD56" s="304">
        <f t="shared" si="313"/>
        <v>1917</v>
      </c>
      <c r="BE56" s="304">
        <f t="shared" si="313"/>
        <v>2202</v>
      </c>
      <c r="BF56" s="305">
        <f>BF53-BF54</f>
        <v>7785</v>
      </c>
      <c r="BG56" s="304">
        <f t="shared" si="313"/>
        <v>2243</v>
      </c>
      <c r="BH56" s="304">
        <f t="shared" si="313"/>
        <v>2687.52</v>
      </c>
      <c r="BI56" s="304">
        <f t="shared" si="313"/>
        <v>2443</v>
      </c>
      <c r="BJ56" s="304">
        <f t="shared" si="313"/>
        <v>2469</v>
      </c>
      <c r="BK56" s="305">
        <f t="shared" si="313"/>
        <v>9842.52</v>
      </c>
      <c r="BL56" s="304">
        <f t="shared" ref="BL56:CO56" si="314">BL53-BL54</f>
        <v>2642</v>
      </c>
      <c r="BM56" s="304">
        <f t="shared" si="314"/>
        <v>2693</v>
      </c>
      <c r="BN56" s="304">
        <f t="shared" si="314"/>
        <v>2515</v>
      </c>
      <c r="BO56" s="304">
        <f t="shared" si="314"/>
        <v>-1165</v>
      </c>
      <c r="BP56" s="305">
        <f t="shared" si="314"/>
        <v>6685</v>
      </c>
      <c r="BQ56" s="304">
        <f t="shared" si="314"/>
        <v>1283</v>
      </c>
      <c r="BR56" s="304">
        <f t="shared" si="314"/>
        <v>2731.8</v>
      </c>
      <c r="BS56" s="304">
        <f t="shared" si="314"/>
        <v>2738</v>
      </c>
      <c r="BT56" s="304">
        <f t="shared" si="314"/>
        <v>1525</v>
      </c>
      <c r="BU56" s="305">
        <f t="shared" si="314"/>
        <v>8277.7999999999993</v>
      </c>
      <c r="BV56" s="304">
        <f t="shared" si="314"/>
        <v>2041</v>
      </c>
      <c r="BW56" s="304">
        <f t="shared" si="314"/>
        <v>1879.7</v>
      </c>
      <c r="BX56" s="304">
        <f t="shared" si="314"/>
        <v>2141.9899999999998</v>
      </c>
      <c r="BY56" s="304">
        <f t="shared" si="314"/>
        <v>2016.6999999999998</v>
      </c>
      <c r="BZ56" s="305">
        <f t="shared" si="314"/>
        <v>8079.3899999999994</v>
      </c>
      <c r="CA56" s="304">
        <f t="shared" si="314"/>
        <v>2614</v>
      </c>
      <c r="CB56" s="304">
        <f t="shared" si="314"/>
        <v>3026.39</v>
      </c>
      <c r="CC56" s="304">
        <f t="shared" si="314"/>
        <v>3211</v>
      </c>
      <c r="CD56" s="304">
        <f t="shared" si="314"/>
        <v>2481</v>
      </c>
      <c r="CE56" s="305">
        <f t="shared" si="314"/>
        <v>11332.39</v>
      </c>
      <c r="CF56" s="304">
        <f t="shared" si="314"/>
        <v>2887</v>
      </c>
      <c r="CG56" s="304">
        <f t="shared" si="314"/>
        <v>3463</v>
      </c>
      <c r="CH56" s="304">
        <f t="shared" si="314"/>
        <v>3077.56</v>
      </c>
      <c r="CI56" s="304">
        <f t="shared" si="314"/>
        <v>3259.08</v>
      </c>
      <c r="CJ56" s="305">
        <f t="shared" si="314"/>
        <v>12686.64</v>
      </c>
      <c r="CK56" s="304">
        <f t="shared" si="314"/>
        <v>3389.9700000000003</v>
      </c>
      <c r="CL56" s="304">
        <f t="shared" si="314"/>
        <v>3546</v>
      </c>
      <c r="CM56" s="304">
        <f t="shared" si="314"/>
        <v>3251.9700000000003</v>
      </c>
      <c r="CN56" s="304">
        <f t="shared" si="314"/>
        <v>3181</v>
      </c>
      <c r="CO56" s="305">
        <f t="shared" si="314"/>
        <v>13368.94</v>
      </c>
      <c r="CP56" s="304">
        <f t="shared" ref="CP56:CV56" si="315">CP53-CP54</f>
        <v>3478</v>
      </c>
      <c r="CQ56" s="304">
        <f t="shared" si="315"/>
        <v>2626</v>
      </c>
      <c r="CR56" s="304">
        <f t="shared" si="315"/>
        <v>4885</v>
      </c>
      <c r="CS56" s="304">
        <f t="shared" si="315"/>
        <v>4092</v>
      </c>
      <c r="CT56" s="305">
        <f t="shared" si="315"/>
        <v>15081</v>
      </c>
      <c r="CU56" s="304">
        <f t="shared" si="315"/>
        <v>4289</v>
      </c>
      <c r="CV56" s="304">
        <f t="shared" si="315"/>
        <v>4707</v>
      </c>
      <c r="CW56" s="304">
        <f t="shared" ref="CW56:DI56" si="316">CW53-CW54</f>
        <v>4417</v>
      </c>
      <c r="CX56" s="304">
        <f t="shared" si="316"/>
        <v>4297</v>
      </c>
      <c r="CY56" s="305">
        <f t="shared" si="316"/>
        <v>17710</v>
      </c>
      <c r="CZ56" s="304">
        <f t="shared" si="316"/>
        <v>4373</v>
      </c>
      <c r="DA56" s="304">
        <f t="shared" si="316"/>
        <v>4174</v>
      </c>
      <c r="DB56" s="304">
        <f t="shared" si="316"/>
        <v>3498.85</v>
      </c>
      <c r="DC56" s="304">
        <f t="shared" si="316"/>
        <v>3217.83</v>
      </c>
      <c r="DD56" s="305">
        <f t="shared" si="316"/>
        <v>15263.68</v>
      </c>
      <c r="DE56" s="304">
        <f t="shared" si="316"/>
        <v>3574</v>
      </c>
      <c r="DF56" s="304">
        <f t="shared" si="316"/>
        <v>6662</v>
      </c>
      <c r="DG56" s="304">
        <f t="shared" si="316"/>
        <v>4006</v>
      </c>
      <c r="DH56" s="304">
        <f t="shared" si="316"/>
        <v>4518</v>
      </c>
      <c r="DI56" s="305">
        <f t="shared" si="316"/>
        <v>18760</v>
      </c>
      <c r="DJ56" s="304">
        <f t="shared" ref="DJ56:DS56" si="317">DJ53-DJ54</f>
        <v>5410</v>
      </c>
      <c r="DK56" s="304">
        <f t="shared" si="317"/>
        <v>6634</v>
      </c>
      <c r="DL56" s="304">
        <f>DL53-DL54</f>
        <v>5232</v>
      </c>
      <c r="DM56" s="304">
        <f t="shared" si="317"/>
        <v>5872.4399999999987</v>
      </c>
      <c r="DN56" s="305">
        <f t="shared" si="317"/>
        <v>23148.440000000002</v>
      </c>
      <c r="DO56" s="304">
        <f t="shared" si="317"/>
        <v>5738</v>
      </c>
      <c r="DP56" s="304">
        <f t="shared" si="317"/>
        <v>6624</v>
      </c>
      <c r="DQ56" s="304">
        <f t="shared" si="317"/>
        <v>5108</v>
      </c>
      <c r="DR56" s="304">
        <f t="shared" si="317"/>
        <v>5701</v>
      </c>
      <c r="DS56" s="305">
        <f t="shared" si="317"/>
        <v>23171</v>
      </c>
      <c r="DT56" s="304">
        <f t="shared" ref="DT56:EC56" si="318">DT53-DT54</f>
        <v>4466</v>
      </c>
      <c r="DU56" s="304">
        <f t="shared" si="318"/>
        <v>6377</v>
      </c>
      <c r="DV56" s="304">
        <f t="shared" si="318"/>
        <v>6788</v>
      </c>
      <c r="DW56" s="304">
        <f t="shared" si="318"/>
        <v>4965</v>
      </c>
      <c r="DX56" s="305">
        <f>DX53-DX54</f>
        <v>21863</v>
      </c>
      <c r="DY56" s="304">
        <f>DY53-DY54</f>
        <v>5244</v>
      </c>
      <c r="DZ56" s="304">
        <f t="shared" si="318"/>
        <v>6558</v>
      </c>
      <c r="EA56" s="304">
        <f t="shared" si="318"/>
        <v>5660</v>
      </c>
      <c r="EB56" s="304">
        <f t="shared" si="318"/>
        <v>4739</v>
      </c>
      <c r="EC56" s="305">
        <f t="shared" si="318"/>
        <v>22181.084999999999</v>
      </c>
      <c r="ED56" s="304">
        <f t="shared" ref="ED56:EG56" si="319">ED53-ED54</f>
        <v>5436</v>
      </c>
      <c r="EE56" s="304">
        <f t="shared" si="319"/>
        <v>5780</v>
      </c>
      <c r="EF56" s="304">
        <f t="shared" si="319"/>
        <v>5175</v>
      </c>
      <c r="EG56" s="304">
        <f t="shared" si="319"/>
        <v>5243</v>
      </c>
      <c r="EH56" s="305">
        <f>EH53-EH54</f>
        <v>21634</v>
      </c>
      <c r="EI56" s="2692">
        <v>5068.75</v>
      </c>
      <c r="EJ56" s="2692">
        <v>5937.75</v>
      </c>
      <c r="EK56" s="2692">
        <v>4304.51</v>
      </c>
      <c r="EL56" s="2692">
        <v>6121.75</v>
      </c>
      <c r="EM56" s="2693">
        <f t="shared" ref="EM56" si="320">EM53-EM54</f>
        <v>21432.760000000002</v>
      </c>
      <c r="EN56" s="2692">
        <v>5667</v>
      </c>
      <c r="EO56" s="2692">
        <v>6267</v>
      </c>
      <c r="EP56" s="2692">
        <v>5486</v>
      </c>
      <c r="EQ56" s="2692">
        <v>8312</v>
      </c>
      <c r="ER56" s="2693">
        <f t="shared" ref="ER56" si="321">ER53-ER54</f>
        <v>25732</v>
      </c>
      <c r="ES56" s="2692">
        <v>6576</v>
      </c>
      <c r="ET56" s="2692">
        <v>7498</v>
      </c>
      <c r="EU56" s="2692">
        <v>7424</v>
      </c>
      <c r="EV56" s="304">
        <f t="shared" ref="EU56:EW56" si="322">EV53-EV54</f>
        <v>8388.9370269393221</v>
      </c>
      <c r="EW56" s="305">
        <f t="shared" si="322"/>
        <v>29886.937026939315</v>
      </c>
      <c r="EX56" s="304">
        <f t="shared" ref="EX56:FG56" si="323">EX53-EX54</f>
        <v>7170.6419162524844</v>
      </c>
      <c r="EY56" s="304">
        <f t="shared" si="323"/>
        <v>8063.472111940403</v>
      </c>
      <c r="EZ56" s="304">
        <f t="shared" si="323"/>
        <v>7725.1654268065085</v>
      </c>
      <c r="FA56" s="304">
        <f t="shared" si="323"/>
        <v>8855.0560762888072</v>
      </c>
      <c r="FB56" s="305">
        <f t="shared" si="323"/>
        <v>31814.33553128819</v>
      </c>
      <c r="FC56" s="304">
        <f t="shared" si="323"/>
        <v>8402.3315887455719</v>
      </c>
      <c r="FD56" s="304">
        <f t="shared" si="323"/>
        <v>9459.3106979844997</v>
      </c>
      <c r="FE56" s="304">
        <f t="shared" si="323"/>
        <v>9294.666359668312</v>
      </c>
      <c r="FF56" s="304">
        <f t="shared" si="323"/>
        <v>10548.178485124954</v>
      </c>
      <c r="FG56" s="305">
        <f t="shared" si="323"/>
        <v>37704.487131523339</v>
      </c>
      <c r="FH56" s="304">
        <f t="shared" ref="FH56:FL56" si="324">FH53-FH54</f>
        <v>9749.1858782686559</v>
      </c>
      <c r="FI56" s="304">
        <f t="shared" si="324"/>
        <v>10902.311009867381</v>
      </c>
      <c r="FJ56" s="304">
        <f t="shared" si="324"/>
        <v>10837.814046979547</v>
      </c>
      <c r="FK56" s="304">
        <f t="shared" si="324"/>
        <v>12197.718453533422</v>
      </c>
      <c r="FL56" s="305">
        <f t="shared" si="324"/>
        <v>43687.029388649018</v>
      </c>
      <c r="FN56" s="308">
        <f t="shared" ref="FN56:FU56" si="325">FN53-FN54</f>
        <v>9049.52</v>
      </c>
      <c r="FO56" s="308">
        <f t="shared" si="325"/>
        <v>10247</v>
      </c>
      <c r="FP56" s="308">
        <f t="shared" si="325"/>
        <v>5364.8</v>
      </c>
      <c r="FQ56" s="308">
        <f t="shared" si="325"/>
        <v>8183.7</v>
      </c>
      <c r="FR56" s="308">
        <f t="shared" si="325"/>
        <v>9799.08</v>
      </c>
      <c r="FS56" s="308">
        <f t="shared" si="325"/>
        <v>12042</v>
      </c>
      <c r="FT56" s="308">
        <f t="shared" si="325"/>
        <v>13272.61</v>
      </c>
      <c r="FU56" s="308">
        <f t="shared" si="325"/>
        <v>12536.970000000001</v>
      </c>
      <c r="FV56" s="308">
        <f t="shared" ref="FV56:GA56" si="326">FV53-FV54</f>
        <v>17973</v>
      </c>
      <c r="FW56" s="308">
        <f t="shared" si="326"/>
        <v>17261</v>
      </c>
      <c r="FX56" s="845">
        <f t="shared" si="326"/>
        <v>16952.68</v>
      </c>
      <c r="FY56" s="846">
        <f t="shared" si="326"/>
        <v>20568</v>
      </c>
      <c r="FZ56" s="846">
        <f t="shared" si="326"/>
        <v>23466.440000000002</v>
      </c>
      <c r="GA56" s="846">
        <f t="shared" si="326"/>
        <v>21652</v>
      </c>
      <c r="GB56" s="846">
        <f t="shared" ref="GB56:GG56" si="327">GB53-GB54</f>
        <v>23555</v>
      </c>
      <c r="GC56" s="846">
        <f t="shared" si="327"/>
        <v>21615</v>
      </c>
      <c r="GD56" s="846">
        <f t="shared" si="327"/>
        <v>21424.5</v>
      </c>
      <c r="GE56" s="846">
        <f t="shared" si="327"/>
        <v>22360.260000000002</v>
      </c>
      <c r="GF56" s="846">
        <f t="shared" si="327"/>
        <v>27872</v>
      </c>
      <c r="GG56" s="846">
        <f t="shared" si="327"/>
        <v>31047.051055132204</v>
      </c>
      <c r="GH56" s="846">
        <f t="shared" ref="GH56" si="328">GH53-GH54</f>
        <v>34441.863789825395</v>
      </c>
      <c r="GI56" s="846">
        <f t="shared" ref="GI56" si="329">GI53-GI54</f>
        <v>40494.341732929308</v>
      </c>
      <c r="GJ56" s="302"/>
      <c r="GK56" s="302"/>
      <c r="GL56" s="302"/>
      <c r="GN56"/>
      <c r="GO56"/>
      <c r="GP56"/>
      <c r="GQ56"/>
      <c r="GR56"/>
      <c r="GS56"/>
    </row>
    <row r="57" spans="1:201" s="253" customFormat="1" ht="11.25" customHeight="1">
      <c r="A57" s="309" t="s">
        <v>111</v>
      </c>
      <c r="D57" s="267"/>
      <c r="E57" s="267"/>
      <c r="F57" s="267"/>
      <c r="G57" s="267"/>
      <c r="H57" s="354"/>
      <c r="I57" s="355">
        <f>I56/D56-1</f>
        <v>0.35464864864864865</v>
      </c>
      <c r="J57" s="355">
        <f t="shared" ref="J57:BU57" si="330">J56/E56-1</f>
        <v>0.57807515255325947</v>
      </c>
      <c r="K57" s="355">
        <f t="shared" si="330"/>
        <v>0.817197776860908</v>
      </c>
      <c r="L57" s="355">
        <f t="shared" si="330"/>
        <v>0.73440362029953699</v>
      </c>
      <c r="M57" s="313">
        <f t="shared" si="330"/>
        <v>0.6296778411445727</v>
      </c>
      <c r="N57" s="355">
        <f t="shared" si="330"/>
        <v>0.74374526156178877</v>
      </c>
      <c r="O57" s="355">
        <f t="shared" si="330"/>
        <v>0.5263757733637251</v>
      </c>
      <c r="P57" s="355">
        <f t="shared" si="330"/>
        <v>0.6561156075540242</v>
      </c>
      <c r="Q57" s="355">
        <f t="shared" si="330"/>
        <v>0.72702988134434965</v>
      </c>
      <c r="R57" s="313">
        <f t="shared" si="330"/>
        <v>0.65804036749825379</v>
      </c>
      <c r="S57" s="355">
        <f t="shared" si="330"/>
        <v>0.64759725400457713</v>
      </c>
      <c r="T57" s="355">
        <f t="shared" si="330"/>
        <v>0.55555555555555558</v>
      </c>
      <c r="U57" s="355">
        <f t="shared" si="330"/>
        <v>0.44354838709677424</v>
      </c>
      <c r="V57" s="355">
        <f t="shared" si="330"/>
        <v>0.51223021582733796</v>
      </c>
      <c r="W57" s="313">
        <f t="shared" si="330"/>
        <v>0.52992006912940148</v>
      </c>
      <c r="X57" s="355">
        <f t="shared" si="330"/>
        <v>0.45138888888888884</v>
      </c>
      <c r="Y57" s="355">
        <f t="shared" si="330"/>
        <v>0.34857142857142853</v>
      </c>
      <c r="Z57" s="355">
        <f t="shared" si="330"/>
        <v>0.35754189944134085</v>
      </c>
      <c r="AA57" s="355">
        <f t="shared" si="330"/>
        <v>0.26070409134157946</v>
      </c>
      <c r="AB57" s="313">
        <f t="shared" si="330"/>
        <v>0.34566506636543348</v>
      </c>
      <c r="AC57" s="355">
        <f t="shared" si="330"/>
        <v>0.14354066985645941</v>
      </c>
      <c r="AD57" s="355">
        <f t="shared" si="330"/>
        <v>0.22457627118644075</v>
      </c>
      <c r="AE57" s="355">
        <f t="shared" si="330"/>
        <v>0.5473251028806585</v>
      </c>
      <c r="AF57" s="355">
        <f t="shared" si="330"/>
        <v>0.25283018867924523</v>
      </c>
      <c r="AG57" s="313">
        <f t="shared" si="330"/>
        <v>0.2969569779643233</v>
      </c>
      <c r="AH57" s="355">
        <f t="shared" si="330"/>
        <v>0.32217573221757312</v>
      </c>
      <c r="AI57" s="355">
        <f t="shared" si="330"/>
        <v>0.29065743944636679</v>
      </c>
      <c r="AJ57" s="355">
        <f t="shared" si="330"/>
        <v>5.3191489361702038E-2</v>
      </c>
      <c r="AK57" s="355">
        <f t="shared" si="330"/>
        <v>0.24698795180722888</v>
      </c>
      <c r="AL57" s="313">
        <f t="shared" si="330"/>
        <v>0.21278317152103554</v>
      </c>
      <c r="AM57" s="355">
        <f t="shared" si="330"/>
        <v>0.57911392405063289</v>
      </c>
      <c r="AN57" s="355">
        <f t="shared" si="330"/>
        <v>0.5415549597855227</v>
      </c>
      <c r="AO57" s="355">
        <f t="shared" si="330"/>
        <v>0.41919191919191912</v>
      </c>
      <c r="AP57" s="355">
        <f t="shared" si="330"/>
        <v>0.35024154589371981</v>
      </c>
      <c r="AQ57" s="313">
        <f t="shared" si="330"/>
        <v>0.46430953969312871</v>
      </c>
      <c r="AR57" s="355">
        <f t="shared" si="330"/>
        <v>0.23046092184368727</v>
      </c>
      <c r="AS57" s="355">
        <f t="shared" si="330"/>
        <v>0.28869565217391302</v>
      </c>
      <c r="AT57" s="355">
        <f t="shared" si="330"/>
        <v>0.85409252669039137</v>
      </c>
      <c r="AU57" s="355">
        <f t="shared" si="330"/>
        <v>0.89087656529517001</v>
      </c>
      <c r="AV57" s="313">
        <f t="shared" si="330"/>
        <v>0.57357630979498864</v>
      </c>
      <c r="AW57" s="355">
        <f t="shared" si="330"/>
        <v>0.56188925081433228</v>
      </c>
      <c r="AX57" s="355">
        <f t="shared" si="330"/>
        <v>0.5290148448043186</v>
      </c>
      <c r="AY57" s="355">
        <f t="shared" si="330"/>
        <v>0.28310940499040305</v>
      </c>
      <c r="AZ57" s="355">
        <f t="shared" si="330"/>
        <v>0.28382213812677382</v>
      </c>
      <c r="BA57" s="313">
        <f t="shared" si="330"/>
        <v>0.38563983786913725</v>
      </c>
      <c r="BB57" s="355">
        <f t="shared" si="330"/>
        <v>0.7549530761209593</v>
      </c>
      <c r="BC57" s="355">
        <f t="shared" si="330"/>
        <v>0.75022065313327446</v>
      </c>
      <c r="BD57" s="355">
        <f t="shared" si="330"/>
        <v>0.43380703066566939</v>
      </c>
      <c r="BE57" s="355">
        <f t="shared" si="330"/>
        <v>0.62269712601326455</v>
      </c>
      <c r="BF57" s="313">
        <f t="shared" si="330"/>
        <v>0.62661930631007112</v>
      </c>
      <c r="BG57" s="355">
        <f t="shared" si="330"/>
        <v>0.33273915626856798</v>
      </c>
      <c r="BH57" s="355">
        <f t="shared" si="330"/>
        <v>0.35527987897125568</v>
      </c>
      <c r="BI57" s="355">
        <f t="shared" si="330"/>
        <v>0.27438706311945738</v>
      </c>
      <c r="BJ57" s="355">
        <f t="shared" si="330"/>
        <v>0.12125340599455048</v>
      </c>
      <c r="BK57" s="313">
        <f t="shared" si="330"/>
        <v>0.26429287090558762</v>
      </c>
      <c r="BL57" s="355">
        <f t="shared" si="330"/>
        <v>0.17788675880517157</v>
      </c>
      <c r="BM57" s="355">
        <f t="shared" si="330"/>
        <v>2.0390545930821791E-3</v>
      </c>
      <c r="BN57" s="355">
        <f t="shared" si="330"/>
        <v>2.9471960704052336E-2</v>
      </c>
      <c r="BO57" s="355">
        <f t="shared" si="330"/>
        <v>-1.4718509518023493</v>
      </c>
      <c r="BP57" s="313">
        <f t="shared" si="330"/>
        <v>-0.32080402173427136</v>
      </c>
      <c r="BQ57" s="355">
        <f t="shared" si="330"/>
        <v>-0.51438304314912942</v>
      </c>
      <c r="BR57" s="355">
        <f t="shared" si="330"/>
        <v>1.440772372818433E-2</v>
      </c>
      <c r="BS57" s="355">
        <f t="shared" si="330"/>
        <v>8.8667992047713806E-2</v>
      </c>
      <c r="BT57" s="355">
        <f t="shared" si="330"/>
        <v>-2.3090128755364807</v>
      </c>
      <c r="BU57" s="313">
        <f t="shared" si="330"/>
        <v>0.23826477187733719</v>
      </c>
      <c r="BV57" s="355">
        <f t="shared" ref="BV57:CZ57" si="331">BV56/BQ56-1</f>
        <v>0.59080280592361656</v>
      </c>
      <c r="BW57" s="355">
        <f t="shared" si="331"/>
        <v>-0.31191888132366941</v>
      </c>
      <c r="BX57" s="355">
        <f t="shared" si="331"/>
        <v>-0.21768078889700515</v>
      </c>
      <c r="BY57" s="355">
        <f t="shared" si="331"/>
        <v>0.32242622950819655</v>
      </c>
      <c r="BZ57" s="313">
        <f t="shared" si="331"/>
        <v>-2.39689289424726E-2</v>
      </c>
      <c r="CA57" s="355">
        <f t="shared" si="331"/>
        <v>0.28074473297403224</v>
      </c>
      <c r="CB57" s="355">
        <f t="shared" si="331"/>
        <v>0.61003883598446551</v>
      </c>
      <c r="CC57" s="355">
        <f t="shared" si="331"/>
        <v>0.4990732916586913</v>
      </c>
      <c r="CD57" s="355">
        <f t="shared" si="331"/>
        <v>0.23022759954380922</v>
      </c>
      <c r="CE57" s="313">
        <f t="shared" si="331"/>
        <v>0.40262940642796052</v>
      </c>
      <c r="CF57" s="355">
        <f t="shared" si="331"/>
        <v>0.10443764345830142</v>
      </c>
      <c r="CG57" s="355">
        <f t="shared" si="331"/>
        <v>0.14426759274250855</v>
      </c>
      <c r="CH57" s="355">
        <f t="shared" si="331"/>
        <v>-4.1557147306135134E-2</v>
      </c>
      <c r="CI57" s="355">
        <f t="shared" si="331"/>
        <v>0.31361547762998798</v>
      </c>
      <c r="CJ57" s="313">
        <f t="shared" si="331"/>
        <v>0.11950259389237394</v>
      </c>
      <c r="CK57" s="355">
        <f t="shared" si="331"/>
        <v>0.1742189123657778</v>
      </c>
      <c r="CL57" s="355">
        <f t="shared" si="331"/>
        <v>2.3967658099913303E-2</v>
      </c>
      <c r="CM57" s="355">
        <f t="shared" si="331"/>
        <v>5.6671518995567993E-2</v>
      </c>
      <c r="CN57" s="355">
        <f t="shared" si="331"/>
        <v>-2.3957681308835577E-2</v>
      </c>
      <c r="CO57" s="313">
        <f t="shared" si="331"/>
        <v>5.3780985351519428E-2</v>
      </c>
      <c r="CP57" s="355">
        <f t="shared" si="331"/>
        <v>2.5967781425794145E-2</v>
      </c>
      <c r="CQ57" s="355">
        <f t="shared" si="331"/>
        <v>-0.25944726452340661</v>
      </c>
      <c r="CR57" s="355">
        <f t="shared" si="331"/>
        <v>0.50216637914863904</v>
      </c>
      <c r="CS57" s="355">
        <f t="shared" si="331"/>
        <v>0.28638792832442639</v>
      </c>
      <c r="CT57" s="313">
        <f t="shared" si="331"/>
        <v>0.12806250906952976</v>
      </c>
      <c r="CU57" s="355">
        <f t="shared" si="331"/>
        <v>0.23317998849913746</v>
      </c>
      <c r="CV57" s="355">
        <f t="shared" si="331"/>
        <v>0.79246001523229248</v>
      </c>
      <c r="CW57" s="355">
        <f t="shared" si="331"/>
        <v>-9.5803480040941635E-2</v>
      </c>
      <c r="CX57" s="355">
        <f t="shared" si="331"/>
        <v>5.0097751710654892E-2</v>
      </c>
      <c r="CY57" s="313">
        <f t="shared" si="331"/>
        <v>0.17432530999270601</v>
      </c>
      <c r="CZ57" s="355">
        <f t="shared" si="331"/>
        <v>1.9584984844952302E-2</v>
      </c>
      <c r="DA57" s="355">
        <f t="shared" ref="DA57:DI57" si="332">DA56/CV56-1</f>
        <v>-0.11323560654344589</v>
      </c>
      <c r="DB57" s="355">
        <f t="shared" si="332"/>
        <v>-0.20786733076748931</v>
      </c>
      <c r="DC57" s="355">
        <f t="shared" si="332"/>
        <v>-0.25114498487316739</v>
      </c>
      <c r="DD57" s="313">
        <f t="shared" si="332"/>
        <v>-0.13813212874082437</v>
      </c>
      <c r="DE57" s="355">
        <f t="shared" si="332"/>
        <v>-0.18271209695860968</v>
      </c>
      <c r="DF57" s="355">
        <f>DF56/DA56-1</f>
        <v>0.59607091518926691</v>
      </c>
      <c r="DG57" s="355">
        <f t="shared" si="332"/>
        <v>0.14494762564842745</v>
      </c>
      <c r="DH57" s="355">
        <f t="shared" si="332"/>
        <v>0.40405179888309828</v>
      </c>
      <c r="DI57" s="313">
        <f t="shared" si="332"/>
        <v>0.22906140589949464</v>
      </c>
      <c r="DJ57" s="355">
        <f t="shared" ref="DJ57:DS57" si="333">DJ56/DE56-1</f>
        <v>0.51371012870733068</v>
      </c>
      <c r="DK57" s="355">
        <f t="shared" si="333"/>
        <v>-4.2029420594416056E-3</v>
      </c>
      <c r="DL57" s="355">
        <f t="shared" si="333"/>
        <v>0.3060409385921119</v>
      </c>
      <c r="DM57" s="355">
        <f t="shared" si="333"/>
        <v>0.29978751660026526</v>
      </c>
      <c r="DN57" s="313">
        <f t="shared" si="333"/>
        <v>0.23392537313432848</v>
      </c>
      <c r="DO57" s="355">
        <f t="shared" si="333"/>
        <v>6.0628465804066556E-2</v>
      </c>
      <c r="DP57" s="355">
        <f t="shared" si="333"/>
        <v>-1.5073861923424747E-3</v>
      </c>
      <c r="DQ57" s="355">
        <f t="shared" si="333"/>
        <v>-2.3700305810397504E-2</v>
      </c>
      <c r="DR57" s="355">
        <f t="shared" si="333"/>
        <v>-2.9193997724965892E-2</v>
      </c>
      <c r="DS57" s="313">
        <f t="shared" si="333"/>
        <v>9.7457971249892417E-4</v>
      </c>
      <c r="DT57" s="355">
        <f t="shared" ref="DT57:EC57" si="334">DT56/DO56-1</f>
        <v>-0.22168002788428021</v>
      </c>
      <c r="DU57" s="355">
        <f t="shared" si="334"/>
        <v>-3.7288647342995196E-2</v>
      </c>
      <c r="DV57" s="355">
        <f t="shared" si="334"/>
        <v>0.32889584964761154</v>
      </c>
      <c r="DW57" s="355">
        <f t="shared" si="334"/>
        <v>-0.12910015786704088</v>
      </c>
      <c r="DX57" s="313">
        <f t="shared" si="334"/>
        <v>-5.6449872685684688E-2</v>
      </c>
      <c r="DY57" s="355">
        <f t="shared" si="334"/>
        <v>0.1742051052395881</v>
      </c>
      <c r="DZ57" s="355">
        <f t="shared" si="334"/>
        <v>2.8383252312999874E-2</v>
      </c>
      <c r="EA57" s="355">
        <f t="shared" si="334"/>
        <v>-0.16617560400707132</v>
      </c>
      <c r="EB57" s="355">
        <f t="shared" si="334"/>
        <v>-4.5518630412890282E-2</v>
      </c>
      <c r="EC57" s="313">
        <f t="shared" si="334"/>
        <v>1.4549009742487184E-2</v>
      </c>
      <c r="ED57" s="355">
        <f t="shared" ref="ED57:EU57" si="335">ED56/DY56-1</f>
        <v>3.6613272311212919E-2</v>
      </c>
      <c r="EE57" s="355">
        <f t="shared" si="335"/>
        <v>-0.11863372979566944</v>
      </c>
      <c r="EF57" s="355">
        <f t="shared" si="335"/>
        <v>-8.5689045936395813E-2</v>
      </c>
      <c r="EG57" s="355">
        <f t="shared" si="335"/>
        <v>0.10635155096011806</v>
      </c>
      <c r="EH57" s="313">
        <f t="shared" si="335"/>
        <v>-2.4664483274826288E-2</v>
      </c>
      <c r="EI57" s="355">
        <f t="shared" si="335"/>
        <v>-6.7558866813833718E-2</v>
      </c>
      <c r="EJ57" s="355">
        <f t="shared" si="335"/>
        <v>2.7292387543252694E-2</v>
      </c>
      <c r="EK57" s="355">
        <f t="shared" si="335"/>
        <v>-0.16821062801932363</v>
      </c>
      <c r="EL57" s="355">
        <f t="shared" si="335"/>
        <v>0.16760442494754901</v>
      </c>
      <c r="EM57" s="313">
        <f t="shared" si="335"/>
        <v>-9.3020245909215538E-3</v>
      </c>
      <c r="EN57" s="355">
        <f t="shared" si="335"/>
        <v>0.11802712700369922</v>
      </c>
      <c r="EO57" s="355">
        <f t="shared" si="335"/>
        <v>5.5450296829607115E-2</v>
      </c>
      <c r="EP57" s="355">
        <f t="shared" si="335"/>
        <v>0.27447723434258475</v>
      </c>
      <c r="EQ57" s="355">
        <f t="shared" si="335"/>
        <v>0.35778168007514188</v>
      </c>
      <c r="ER57" s="313">
        <f t="shared" si="335"/>
        <v>0.20059199095216851</v>
      </c>
      <c r="ES57" s="355">
        <f t="shared" si="335"/>
        <v>0.16040232927474851</v>
      </c>
      <c r="ET57" s="355">
        <f t="shared" si="335"/>
        <v>0.1964257220360619</v>
      </c>
      <c r="EU57" s="355">
        <f t="shared" si="335"/>
        <v>0.35326285089318255</v>
      </c>
      <c r="EV57" s="355">
        <f t="shared" ref="EU57:EW57" si="336">EV56/EQ56-1</f>
        <v>9.2561389484266954E-3</v>
      </c>
      <c r="EW57" s="313">
        <f t="shared" si="336"/>
        <v>0.16146964973337918</v>
      </c>
      <c r="EX57" s="355">
        <f t="shared" ref="EX57:FG57" si="337">EX56/ES56-1</f>
        <v>9.0426082155183218E-2</v>
      </c>
      <c r="EY57" s="355">
        <f t="shared" si="337"/>
        <v>7.5416392630088369E-2</v>
      </c>
      <c r="EZ57" s="355">
        <f t="shared" si="337"/>
        <v>4.0566463740100867E-2</v>
      </c>
      <c r="FA57" s="355">
        <f t="shared" si="337"/>
        <v>5.5563541346494993E-2</v>
      </c>
      <c r="FB57" s="313">
        <f t="shared" si="337"/>
        <v>6.4489663246908524E-2</v>
      </c>
      <c r="FC57" s="355">
        <f t="shared" si="337"/>
        <v>0.17176839770808017</v>
      </c>
      <c r="FD57" s="355">
        <f t="shared" si="337"/>
        <v>0.17310639469778</v>
      </c>
      <c r="FE57" s="355">
        <f t="shared" si="337"/>
        <v>0.2031672910738711</v>
      </c>
      <c r="FF57" s="355">
        <f t="shared" si="337"/>
        <v>0.19120403013255016</v>
      </c>
      <c r="FG57" s="313">
        <f t="shared" si="337"/>
        <v>0.18514143080066559</v>
      </c>
      <c r="FH57" s="355">
        <f t="shared" ref="FH57" si="338">FH56/FC56-1</f>
        <v>0.16029530319026164</v>
      </c>
      <c r="FI57" s="355">
        <f t="shared" ref="FI57" si="339">FI56/FD56-1</f>
        <v>0.15254814626084134</v>
      </c>
      <c r="FJ57" s="355">
        <f t="shared" ref="FJ57" si="340">FJ56/FE56-1</f>
        <v>0.16602507584428272</v>
      </c>
      <c r="FK57" s="355">
        <f t="shared" ref="FK57" si="341">FK56/FF56-1</f>
        <v>0.15638149949156155</v>
      </c>
      <c r="FL57" s="313">
        <f t="shared" ref="FL57" si="342">FL56/FG56-1</f>
        <v>0.15866923839215663</v>
      </c>
      <c r="FN57" s="354"/>
      <c r="FO57" s="343">
        <f t="shared" ref="FO57:FU57" si="343">FO56/FN56-1</f>
        <v>0.13232525040002119</v>
      </c>
      <c r="FP57" s="343">
        <f t="shared" si="343"/>
        <v>-0.47645164438372201</v>
      </c>
      <c r="FQ57" s="343">
        <f t="shared" si="343"/>
        <v>0.52544363256784954</v>
      </c>
      <c r="FR57" s="343">
        <f t="shared" si="343"/>
        <v>0.19738993364859425</v>
      </c>
      <c r="FS57" s="343">
        <f t="shared" si="343"/>
        <v>0.22889087546994213</v>
      </c>
      <c r="FT57" s="343">
        <f t="shared" si="343"/>
        <v>0.10219315728284339</v>
      </c>
      <c r="FU57" s="343">
        <f t="shared" si="343"/>
        <v>-5.5425421224612137E-2</v>
      </c>
      <c r="FV57" s="343">
        <f t="shared" ref="FV57:GA57" si="344">FV56/FU56-1</f>
        <v>0.4335999846852947</v>
      </c>
      <c r="FW57" s="343">
        <f t="shared" si="344"/>
        <v>-3.9614978022589398E-2</v>
      </c>
      <c r="FX57" s="861">
        <f t="shared" si="344"/>
        <v>-1.7862232779097376E-2</v>
      </c>
      <c r="FY57" s="862">
        <f t="shared" si="344"/>
        <v>0.21325949643360231</v>
      </c>
      <c r="FZ57" s="862">
        <f t="shared" si="344"/>
        <v>0.14091987553481156</v>
      </c>
      <c r="GA57" s="862">
        <f t="shared" si="344"/>
        <v>-7.7320633210661738E-2</v>
      </c>
      <c r="GB57" s="862">
        <f t="shared" ref="GB57:GI57" si="345">GB56/GA56-1</f>
        <v>8.7890264178828836E-2</v>
      </c>
      <c r="GC57" s="862">
        <f t="shared" si="345"/>
        <v>-8.2360433029080915E-2</v>
      </c>
      <c r="GD57" s="862">
        <f t="shared" si="345"/>
        <v>-8.8133240804996182E-3</v>
      </c>
      <c r="GE57" s="862">
        <f t="shared" si="345"/>
        <v>4.3677098648743362E-2</v>
      </c>
      <c r="GF57" s="862">
        <f t="shared" si="345"/>
        <v>0.24649713375425852</v>
      </c>
      <c r="GG57" s="862">
        <f t="shared" si="345"/>
        <v>0.11391543682305549</v>
      </c>
      <c r="GH57" s="862">
        <f t="shared" si="345"/>
        <v>0.10934412832525719</v>
      </c>
      <c r="GI57" s="862">
        <f t="shared" si="345"/>
        <v>0.1757302676776713</v>
      </c>
      <c r="GJ57" s="1223"/>
      <c r="GK57" s="1223"/>
      <c r="GL57" s="1223"/>
      <c r="GN57"/>
      <c r="GO57"/>
      <c r="GP57"/>
      <c r="GQ57"/>
      <c r="GR57"/>
      <c r="GS57"/>
    </row>
    <row r="58" spans="1:201" s="357" customFormat="1" ht="11.25" customHeight="1">
      <c r="A58" s="356" t="s">
        <v>119</v>
      </c>
      <c r="D58" s="358" t="str">
        <f>IF(ISERROR(IF(D56&lt;0,D56/D$89,D56/D$90)),"--",IF(D56&lt;0,D56/D$89,D56/D$90))</f>
        <v>--</v>
      </c>
      <c r="E58" s="358" t="str">
        <f>IF(ISERROR(IF(E56&lt;0,E56/E$89,E56/E$90)),"--",IF(E56&lt;0,E56/E$89,E56/E$90))</f>
        <v>--</v>
      </c>
      <c r="F58" s="358" t="str">
        <f>IF(ISERROR(IF(F56&lt;0,F56/F$89,F56/F$90)),"--",IF(F56&lt;0,F56/F$89,F56/F$90))</f>
        <v>--</v>
      </c>
      <c r="G58" s="358" t="str">
        <f>IF(ISERROR(IF(G56&lt;0,G56/G$89,G56/G$90)),"--",IF(G56&lt;0,G56/G$89,G56/G$90))</f>
        <v>--</v>
      </c>
      <c r="H58" s="359">
        <f>IF(ISERROR(IF(H56&lt;0,H56/H$89,H56/H$90)),"--",IF(H56&lt;0,H56/H$89,H56/H$90))</f>
        <v>2.1076894685039361E-2</v>
      </c>
      <c r="I58" s="358" t="str">
        <f t="shared" ref="I58:BK58" si="346">IF(ISERROR(IF(I56&lt;0,I56/I$89,I56/I$90)),"--",IF(I56&lt;0,I56/I$89,I56/I$90))</f>
        <v>--</v>
      </c>
      <c r="J58" s="358" t="str">
        <f t="shared" si="346"/>
        <v>--</v>
      </c>
      <c r="K58" s="358" t="str">
        <f t="shared" si="346"/>
        <v>--</v>
      </c>
      <c r="L58" s="358" t="str">
        <f t="shared" si="346"/>
        <v>--</v>
      </c>
      <c r="M58" s="359">
        <f>IF(ISERROR(IF(M56&lt;0,M56/M$89,M56/M$90)),"--",IF(M56&lt;0,M56/M$89,M56/M$90))</f>
        <v>3.2433201672862462E-2</v>
      </c>
      <c r="N58" s="358" t="str">
        <f t="shared" si="346"/>
        <v>--</v>
      </c>
      <c r="O58" s="358" t="str">
        <f t="shared" si="346"/>
        <v>--</v>
      </c>
      <c r="P58" s="358" t="str">
        <f t="shared" si="346"/>
        <v>--</v>
      </c>
      <c r="Q58" s="358" t="str">
        <f t="shared" si="346"/>
        <v>--</v>
      </c>
      <c r="R58" s="359">
        <f>IF(ISERROR(IF(R56&lt;0,R56/R$89,R56/R$90)),"--",IF(R56&lt;0,R56/R$89,R56/R$90))</f>
        <v>5.12965425531915E-2</v>
      </c>
      <c r="S58" s="358" t="str">
        <f t="shared" si="346"/>
        <v>--</v>
      </c>
      <c r="T58" s="358" t="str">
        <f t="shared" si="346"/>
        <v>--</v>
      </c>
      <c r="U58" s="358" t="str">
        <f t="shared" si="346"/>
        <v>--</v>
      </c>
      <c r="V58" s="358" t="str">
        <f t="shared" si="346"/>
        <v>--</v>
      </c>
      <c r="W58" s="359">
        <f>IF(ISERROR(IF(W56&lt;0,W56/W$89,W56/W$90)),"--",IF(W56&lt;0,W56/W$89,W56/W$90))</f>
        <v>7.5276360544217685E-2</v>
      </c>
      <c r="X58" s="358" t="str">
        <f t="shared" si="346"/>
        <v>--</v>
      </c>
      <c r="Y58" s="358" t="str">
        <f t="shared" si="346"/>
        <v>--</v>
      </c>
      <c r="Z58" s="358" t="str">
        <f t="shared" si="346"/>
        <v>--</v>
      </c>
      <c r="AA58" s="358" t="str">
        <f t="shared" si="346"/>
        <v>--</v>
      </c>
      <c r="AB58" s="359">
        <f>IF(ISERROR(IF(AB56&lt;0,AB56/AB$89,AB56/AB$90)),"--",IF(AB56&lt;0,AB56/AB$89,AB56/AB$90))</f>
        <v>9.8287953795379537E-2</v>
      </c>
      <c r="AC58" s="358" t="str">
        <f t="shared" si="346"/>
        <v>--</v>
      </c>
      <c r="AD58" s="358" t="str">
        <f t="shared" si="346"/>
        <v>--</v>
      </c>
      <c r="AE58" s="358" t="str">
        <f t="shared" si="346"/>
        <v>--</v>
      </c>
      <c r="AF58" s="358">
        <f t="shared" si="346"/>
        <v>3.4016393442622951E-2</v>
      </c>
      <c r="AG58" s="359">
        <f>IF(ISERROR(IF(AG56&lt;0,AG56/AG$89,AG56/AG$90)),"--",IF(AG56&lt;0,AG56/AG$89,AG56/AG$90))</f>
        <v>0.12663934426229509</v>
      </c>
      <c r="AH58" s="358">
        <f t="shared" si="346"/>
        <v>3.1752411575562703E-2</v>
      </c>
      <c r="AI58" s="358">
        <f t="shared" si="346"/>
        <v>3.73E-2</v>
      </c>
      <c r="AJ58" s="358">
        <f t="shared" si="346"/>
        <v>3.9536741214057508E-2</v>
      </c>
      <c r="AK58" s="358">
        <f t="shared" si="346"/>
        <v>4.1267942583732058E-2</v>
      </c>
      <c r="AL58" s="359">
        <f>IF(ISERROR(IF(AL56&lt;0,AL56/AL$89,AL56/AL$90)),"--",IF(AL56&lt;0,AL56/AL$89,AL56/AL$90))</f>
        <v>0.14942185007974482</v>
      </c>
      <c r="AM58" s="358">
        <f t="shared" si="346"/>
        <v>4.8730468749999999E-2</v>
      </c>
      <c r="AN58" s="358">
        <f t="shared" si="346"/>
        <v>5.6328369905956112E-2</v>
      </c>
      <c r="AO58" s="358">
        <f t="shared" si="346"/>
        <v>5.4968701095461661E-2</v>
      </c>
      <c r="AP58" s="358">
        <f t="shared" si="346"/>
        <v>5.4589843749999999E-2</v>
      </c>
      <c r="AQ58" s="359">
        <f>IF(ISERROR(IF(AQ56&lt;0,AQ56/AQ$89,AQ56/AQ$90)),"--",IF(AQ56&lt;0,AQ56/AQ$89,AQ56/AQ$90))</f>
        <v>0.21418813427010147</v>
      </c>
      <c r="AR58" s="358">
        <f t="shared" si="346"/>
        <v>5.9312210200927355E-2</v>
      </c>
      <c r="AS58" s="358">
        <f t="shared" si="346"/>
        <v>7.103144171779141E-2</v>
      </c>
      <c r="AT58" s="358">
        <f t="shared" si="346"/>
        <v>9.8786499810390602E-2</v>
      </c>
      <c r="AU58" s="358">
        <f t="shared" si="346"/>
        <v>9.7653362897265339E-2</v>
      </c>
      <c r="AV58" s="359">
        <f>IF(ISERROR(IF(AV56&lt;0,AV56/AV$89,AV56/AV$90)),"--",IF(AV56&lt;0,AV56/AV$89,AV56/AV$90))</f>
        <v>0.32932875667429445</v>
      </c>
      <c r="AW58" s="358">
        <f t="shared" si="346"/>
        <v>8.9962476547842396E-2</v>
      </c>
      <c r="AX58" s="358">
        <f t="shared" si="346"/>
        <v>0.10620547431571054</v>
      </c>
      <c r="AY58" s="358">
        <f t="shared" si="346"/>
        <v>0.12448789571694599</v>
      </c>
      <c r="AZ58" s="358">
        <f t="shared" si="346"/>
        <v>0.125</v>
      </c>
      <c r="BA58" s="359">
        <f>IF(ISERROR(IF(BA56&lt;0,BA56/BA$89,BA56/BA$90)),"--",IF(BA56&lt;0,BA56/BA$89,BA56/BA$90))</f>
        <v>0.4462886982469228</v>
      </c>
      <c r="BB58" s="358">
        <f t="shared" si="346"/>
        <v>0.15485829959514169</v>
      </c>
      <c r="BC58" s="358">
        <f t="shared" si="346"/>
        <v>0.18159340659340659</v>
      </c>
      <c r="BD58" s="358">
        <f t="shared" si="346"/>
        <v>0.17389332365747459</v>
      </c>
      <c r="BE58" s="358">
        <f t="shared" si="346"/>
        <v>0.19942039485600435</v>
      </c>
      <c r="BF58" s="359">
        <f>IF(ISERROR(IF(BF56&lt;0,BF56/BF$89,BF56/BF$90)),"--",IF(BF56&lt;0,BF56/BF$89,BF56/BF$90))</f>
        <v>0.710051076249544</v>
      </c>
      <c r="BG58" s="358">
        <f t="shared" si="346"/>
        <v>0.20291297267957301</v>
      </c>
      <c r="BH58" s="358">
        <f t="shared" si="346"/>
        <v>0.24264355362946913</v>
      </c>
      <c r="BI58" s="358">
        <f t="shared" si="346"/>
        <v>0.22036803175175898</v>
      </c>
      <c r="BJ58" s="358">
        <f t="shared" si="346"/>
        <v>0.22295466859310095</v>
      </c>
      <c r="BK58" s="359">
        <f t="shared" si="346"/>
        <v>0.88895592485549135</v>
      </c>
      <c r="BL58" s="358">
        <f t="shared" ref="BL58:CO58" si="347">IF(ISERROR(IF(BL56&lt;0,BL56/BL$89,BL56/BL$90)),"--",IF(BL56&lt;0,BL56/BL$89,BL56/BL$90))</f>
        <v>0.23771819326974986</v>
      </c>
      <c r="BM58" s="358">
        <f t="shared" si="347"/>
        <v>0.2417414721723519</v>
      </c>
      <c r="BN58" s="358">
        <f t="shared" si="347"/>
        <v>0.22604709689016717</v>
      </c>
      <c r="BO58" s="358">
        <f t="shared" si="347"/>
        <v>-0.10825125441367775</v>
      </c>
      <c r="BP58" s="359">
        <f t="shared" si="347"/>
        <v>0.59965913168281304</v>
      </c>
      <c r="BQ58" s="358">
        <f t="shared" si="347"/>
        <v>0.11523262080114963</v>
      </c>
      <c r="BR58" s="358">
        <f t="shared" si="347"/>
        <v>0.24584233261339095</v>
      </c>
      <c r="BS58" s="358">
        <f t="shared" si="347"/>
        <v>0.24602390151855513</v>
      </c>
      <c r="BT58" s="358">
        <f t="shared" si="347"/>
        <v>0.13787180182623632</v>
      </c>
      <c r="BU58" s="359">
        <f t="shared" si="347"/>
        <v>0.74534485863497202</v>
      </c>
      <c r="BV58" s="358">
        <f t="shared" si="347"/>
        <v>0.18697325027482595</v>
      </c>
      <c r="BW58" s="358">
        <f t="shared" si="347"/>
        <v>0.17273479139863995</v>
      </c>
      <c r="BX58" s="358">
        <f t="shared" si="347"/>
        <v>0.19716402798232693</v>
      </c>
      <c r="BY58" s="358">
        <f t="shared" si="347"/>
        <v>0.18566562327379854</v>
      </c>
      <c r="BZ58" s="359">
        <f t="shared" si="347"/>
        <v>0.74245451203822821</v>
      </c>
      <c r="CA58" s="358">
        <f t="shared" si="347"/>
        <v>0.2401469912723932</v>
      </c>
      <c r="CB58" s="358">
        <f t="shared" si="347"/>
        <v>0.2776759335718873</v>
      </c>
      <c r="CC58" s="358">
        <f t="shared" si="347"/>
        <v>0.29578113485630064</v>
      </c>
      <c r="CD58" s="358">
        <f t="shared" si="347"/>
        <v>0.22836892488954344</v>
      </c>
      <c r="CE58" s="359">
        <f t="shared" si="347"/>
        <v>1.0402414172939232</v>
      </c>
      <c r="CF58" s="358">
        <f t="shared" si="347"/>
        <v>0.26437728937728938</v>
      </c>
      <c r="CG58" s="358">
        <f t="shared" si="347"/>
        <v>0.3160825118656444</v>
      </c>
      <c r="CH58" s="358">
        <f t="shared" si="347"/>
        <v>0.28154423200073186</v>
      </c>
      <c r="CI58" s="358">
        <f t="shared" si="347"/>
        <v>0.30123671318975875</v>
      </c>
      <c r="CJ58" s="359">
        <f t="shared" si="347"/>
        <v>1.1632715936181917</v>
      </c>
      <c r="CK58" s="358">
        <f t="shared" si="347"/>
        <v>0.3147020051986632</v>
      </c>
      <c r="CL58" s="358">
        <f t="shared" si="347"/>
        <v>0.33333333333333331</v>
      </c>
      <c r="CM58" s="358">
        <f t="shared" si="347"/>
        <v>0.31223907825252045</v>
      </c>
      <c r="CN58" s="358">
        <f t="shared" si="347"/>
        <v>0.31019015114578252</v>
      </c>
      <c r="CO58" s="359">
        <f t="shared" si="347"/>
        <v>1.2694843794511443</v>
      </c>
      <c r="CP58" s="358">
        <f t="shared" ref="CP58:CV58" si="348">IF(ISERROR(IF(CP56&lt;0,CP56/CP$89,CP56/CP$90)),"--",IF(CP56&lt;0,CP56/CP$89,CP56/CP$90))</f>
        <v>0.34745254745254744</v>
      </c>
      <c r="CQ58" s="358">
        <f t="shared" si="348"/>
        <v>0.26413196539931605</v>
      </c>
      <c r="CR58" s="358">
        <f t="shared" si="348"/>
        <v>0.49533563171770434</v>
      </c>
      <c r="CS58" s="358">
        <f t="shared" si="348"/>
        <v>0.42373407890649267</v>
      </c>
      <c r="CT58" s="359">
        <f t="shared" si="348"/>
        <v>1.5254905927574347</v>
      </c>
      <c r="CU58" s="358">
        <f t="shared" si="348"/>
        <v>0.45085672237990121</v>
      </c>
      <c r="CV58" s="358">
        <f t="shared" si="348"/>
        <v>0.49531726823108491</v>
      </c>
      <c r="CW58" s="358">
        <f t="shared" ref="CW58:DI58" si="349">IF(ISERROR(IF(CW56&lt;0,CW56/CW$89,CW56/CW$90)),"--",IF(CW56&lt;0,CW56/CW$89,CW56/CW$90))</f>
        <v>0.46849809079338139</v>
      </c>
      <c r="CX58" s="358">
        <f t="shared" si="349"/>
        <v>0.45810234541577827</v>
      </c>
      <c r="CY58" s="359">
        <f t="shared" si="349"/>
        <v>1.8728849407783419</v>
      </c>
      <c r="CZ58" s="358">
        <f t="shared" si="349"/>
        <v>0.47620603288685615</v>
      </c>
      <c r="DA58" s="358">
        <f t="shared" si="349"/>
        <v>0.46825218757011444</v>
      </c>
      <c r="DB58" s="358">
        <f t="shared" si="349"/>
        <v>0.39295260557053008</v>
      </c>
      <c r="DC58" s="358">
        <f t="shared" si="349"/>
        <v>0.36042002688172042</v>
      </c>
      <c r="DD58" s="359">
        <f t="shared" si="349"/>
        <v>1.6993158729716942</v>
      </c>
      <c r="DE58" s="358">
        <f t="shared" si="349"/>
        <v>0.39786262941110989</v>
      </c>
      <c r="DF58" s="358">
        <f>IF(ISERROR(IF(DF56&lt;0,DF56/DF$89,DF56/DF$90)),"--",IF(DF56&lt;0,DF56/DF$89,DF56/DF$90))</f>
        <v>0.74427438275053071</v>
      </c>
      <c r="DG58" s="358">
        <f>IF(ISERROR(IF(DG56&lt;0,DG56/DG$89,DG56/DG$90)),"--",IF(DG56&lt;0,DG56/DG$89,DG56/DG$90))</f>
        <v>0.45132942767012169</v>
      </c>
      <c r="DH58" s="358">
        <f t="shared" si="349"/>
        <v>0.5121868268903752</v>
      </c>
      <c r="DI58" s="359">
        <f t="shared" si="349"/>
        <v>2.1060312649097694</v>
      </c>
      <c r="DJ58" s="358">
        <f t="shared" ref="DJ58:DS58" si="350">IF(ISERROR(IF(DJ56&lt;0,DJ56/DJ$89,DJ56/DJ$90)),"--",IF(DJ56&lt;0,DJ56/DJ$89,DJ56/DJ$90))</f>
        <v>0.62219666474985624</v>
      </c>
      <c r="DK58" s="358">
        <f t="shared" si="350"/>
        <v>0.77409568261376893</v>
      </c>
      <c r="DL58" s="358">
        <f>IF(ISERROR(IF(DL56&lt;0,DL56/DL$89,DL56/DL$90)),"--",IF(DL56&lt;0,DL56/DL$89,DL56/DL$90))</f>
        <v>0.61480611045828437</v>
      </c>
      <c r="DM58" s="358">
        <f>IF(ISERROR(IF(DM56&lt;0,DM56/DM$89,DM56/DM$90)),"--",IF(DM56&lt;0,DM56/DM$89,DM56/DM$90))</f>
        <v>0.69397778303001634</v>
      </c>
      <c r="DN58" s="359">
        <f t="shared" si="350"/>
        <v>2.6998413809190578</v>
      </c>
      <c r="DO58" s="358">
        <f>IF(ISERROR(IF(DO56&lt;0,DO56/DO$89,DO56/DO$90)),"--",IF(DO56&lt;0,DO56/DO$89,DO56/DO$90))</f>
        <v>0.67585394581861014</v>
      </c>
      <c r="DP58" s="358">
        <f t="shared" si="350"/>
        <v>0.78251624335499115</v>
      </c>
      <c r="DQ58" s="358">
        <f>IF(ISERROR(IF(DQ56&lt;0,DQ56/DQ$89,DQ56/DQ$90)),"--",IF(DQ56&lt;0,DQ56/DQ$89,DQ56/DQ$90))</f>
        <v>0.60108260767239352</v>
      </c>
      <c r="DR58" s="358">
        <f>IF(ISERROR(IF(DR56&lt;0,DR56/DR$89,DR56/DR$90)),"--",IF(DR56&lt;0,DR56/DR$89,DR56/DR$90))</f>
        <v>0.67966142107773009</v>
      </c>
      <c r="DS58" s="359">
        <f t="shared" si="350"/>
        <v>2.7388079548476698</v>
      </c>
      <c r="DT58" s="358">
        <f t="shared" ref="DT58:EC58" si="351">IF(ISERROR(IF(DT56&lt;0,DT56/DT$89,DT56/DT$90)),"--",IF(DT56&lt;0,DT56/DT$89,DT56/DT$90))</f>
        <v>0.52578290558040974</v>
      </c>
      <c r="DU58" s="358">
        <f t="shared" si="351"/>
        <v>0.75521080056845102</v>
      </c>
      <c r="DV58" s="358">
        <f t="shared" si="351"/>
        <v>0.80531498398386525</v>
      </c>
      <c r="DW58" s="358">
        <f t="shared" si="351"/>
        <v>0.58813077469793884</v>
      </c>
      <c r="DX58" s="359">
        <f t="shared" si="351"/>
        <v>2.5866485255405367</v>
      </c>
      <c r="DY58" s="358">
        <f>IF(ISERROR(IF(DY56&lt;0,DY56/DY$89,DY56/DY$90)),"--",IF(DY56&lt;0,DY56/DY$89,DY56/DY$90))</f>
        <v>0.62176903011619633</v>
      </c>
      <c r="DZ58" s="358">
        <f>IF(ISERROR(IF(DZ56&lt;0,DZ56/DZ$89,DZ56/DZ$90)),"--",IF(DZ56&lt;0,DZ56/DZ$89,DZ56/DZ$90))</f>
        <v>0.7811792733770101</v>
      </c>
      <c r="EA58" s="358">
        <f t="shared" si="351"/>
        <v>0.6764670730249791</v>
      </c>
      <c r="EB58" s="358">
        <f>IF(ISERROR(IF(EB56&lt;0,EB56/EB$89,EB56/EB$90)),"--",IF(EB56&lt;0,EB56/EB$89,EB56/EB$90))</f>
        <v>0.56788496105452368</v>
      </c>
      <c r="EC58" s="359">
        <f t="shared" si="351"/>
        <v>2.6452502906890074</v>
      </c>
      <c r="ED58" s="358">
        <f>IF(ISERROR(IF(ED56&lt;0,ED56/ED$89,ED56/ED$90)),"--",IF(ED56&lt;0,ED56/ED$89,ED56/ED$90))</f>
        <v>0.6509400071847683</v>
      </c>
      <c r="EE58" s="358">
        <f t="shared" ref="EE58:EG58" si="352">IF(ISERROR(IF(EE56&lt;0,EE56/EE$89,EE56/EE$90)),"--",IF(EE56&lt;0,EE56/EE$89,EE56/EE$90))</f>
        <v>0.69663733879715561</v>
      </c>
      <c r="EF58" s="358">
        <f>IF(ISERROR(IF(EF56&lt;0,EF56/EF$89,EF56/EF$90)),"--",IF(EF56&lt;0,EF56/EF$89,EF56/EF$90))</f>
        <v>0.62826271700861969</v>
      </c>
      <c r="EG58" s="358">
        <f t="shared" si="352"/>
        <v>0.65041558119340037</v>
      </c>
      <c r="EH58" s="359">
        <f>IF(ISERROR(IF(EH56&lt;0,EH56/EH$89,EH56/EH$90)),"--",IF(EH56&lt;0,EH56/EH$89,EH56/EH$90))</f>
        <v>2.6266011048382203</v>
      </c>
      <c r="EI58" s="2704">
        <f t="shared" ref="EI58:EM58" si="353">IF(ISERROR(IF(EI56&lt;0,EI56/EI$89,EI56/EI$90)),"--",IF(EI56&lt;0,EI56/EI$89,EI56/EI$90))</f>
        <v>0.62701014349332018</v>
      </c>
      <c r="EJ58" s="2704">
        <f t="shared" si="353"/>
        <v>0.73751707862377347</v>
      </c>
      <c r="EK58" s="2704">
        <f t="shared" si="353"/>
        <v>0.53907451471509082</v>
      </c>
      <c r="EL58" s="2704">
        <f>IF(ISERROR(IF(EL56&lt;0,EL56/EL$89,EL56/EL$90)),"--",IF(EL56&lt;0,EL56/EL$89,EL56/EL$90))</f>
        <v>0.77207087905158278</v>
      </c>
      <c r="EM58" s="2705">
        <f t="shared" si="353"/>
        <v>2.6749989079222445</v>
      </c>
      <c r="EN58" s="2704">
        <f>IF(ISERROR(IF(EN56&lt;0,EN56/EN$89,EN56/EN$90)),"--",IF(EN56&lt;0,EN56/EN$89,EN56/EN$90))</f>
        <v>0.71952767902488568</v>
      </c>
      <c r="EO58" s="2704">
        <f t="shared" ref="EO58:EP58" si="354">IF(ISERROR(IF(EO56&lt;0,EO56/EO$89,EO56/EO$90)),"--",IF(EO56&lt;0,EO56/EO$89,EO56/EO$90))</f>
        <v>0.80038314176245207</v>
      </c>
      <c r="EP58" s="2704">
        <f t="shared" si="354"/>
        <v>0.70216306156405994</v>
      </c>
      <c r="EQ58" s="2704">
        <f>IF(ISERROR(IF(EQ56&lt;0,EQ56/EQ$89,EQ56/EQ$90)),"--",IF(EQ56&lt;0,EQ56/EQ$89,EQ56/EQ$90))</f>
        <v>1.0648219318472969</v>
      </c>
      <c r="ER58" s="2705">
        <f t="shared" ref="ER58" si="355">IF(ISERROR(IF(ER56&lt;0,ER56/ER$89,ER56/ER$90)),"--",IF(ER56&lt;0,ER56/ER$89,ER56/ER$90))</f>
        <v>3.2858100558659218</v>
      </c>
      <c r="ES58" s="2704">
        <f>IF(ISERROR(IF(ES56&lt;0,ES56/ES$89,ES56/ES$90)),"--",IF(ES56&lt;0,ES56/ES$89,ES56/ES$90))</f>
        <v>0.84318502372098991</v>
      </c>
      <c r="ET58" s="2704">
        <f>IF(ISERROR(IF(ET56&lt;0,ET56/ET$89,ET56/ET$90)),"--",IF(ET56&lt;0,ET56/ET$89,ET56/ET$90))</f>
        <v>0.96005121638924451</v>
      </c>
      <c r="EU58" s="2704">
        <f t="shared" ref="EU58" si="356">IF(ISERROR(IF(EU56&lt;0,EU56/EU$89,EU56/EU$90)),"--",IF(EU56&lt;0,EU56/EU$89,EU56/EU$90))</f>
        <v>0.95252758532204262</v>
      </c>
      <c r="EV58" s="358">
        <f>IF(ISERROR(IF(EV56&lt;0,EV56/EV$89,EV56/EV$90)),"--",IF(EV56&lt;0,EV56/EV$89,EV56/EV$90))</f>
        <v>1.0800881982437422</v>
      </c>
      <c r="EW58" s="359">
        <f t="shared" ref="EU58:EW58" si="357">IF(ISERROR(IF(EW56&lt;0,EW56/EW$89,EW56/EW$90)),"--",IF(EW56&lt;0,EW56/EW$89,EW56/EW$90))</f>
        <v>3.8353587309473967</v>
      </c>
      <c r="EX58" s="358">
        <f t="shared" ref="EX58:FG58" si="358">IF(ISERROR(IF(EX56&lt;0,EX56/EX$89,EX56/EX$90)),"--",IF(EX56&lt;0,EX56/EX$89,EX56/EX$90))</f>
        <v>0.92410878261996798</v>
      </c>
      <c r="EY58" s="358">
        <f t="shared" si="358"/>
        <v>1.0411495001029736</v>
      </c>
      <c r="EZ58" s="358">
        <f t="shared" si="358"/>
        <v>0.99936638958823198</v>
      </c>
      <c r="FA58" s="358">
        <f t="shared" si="358"/>
        <v>1.1477154059907593</v>
      </c>
      <c r="FB58" s="359">
        <f t="shared" si="358"/>
        <v>4.1117419820664294</v>
      </c>
      <c r="FC58" s="358">
        <f t="shared" si="358"/>
        <v>1.0910283973487971</v>
      </c>
      <c r="FD58" s="358">
        <f t="shared" si="358"/>
        <v>1.2304285783352271</v>
      </c>
      <c r="FE58" s="358">
        <f t="shared" si="358"/>
        <v>1.211131794557144</v>
      </c>
      <c r="FF58" s="358">
        <f t="shared" si="358"/>
        <v>1.3768789212665289</v>
      </c>
      <c r="FG58" s="359">
        <f t="shared" si="358"/>
        <v>4.9087336169898439</v>
      </c>
      <c r="FH58" s="358">
        <f t="shared" ref="FH58:FL58" si="359">IF(ISERROR(IF(FH56&lt;0,FH56/FH$89,FH56/FH$90)),"--",IF(FH56&lt;0,FH56/FH$89,FH56/FH$90))</f>
        <v>1.2741459232912398</v>
      </c>
      <c r="FI58" s="358">
        <f t="shared" si="359"/>
        <v>1.4258488767431254</v>
      </c>
      <c r="FJ58" s="358">
        <f t="shared" si="359"/>
        <v>1.4184065844430715</v>
      </c>
      <c r="FK58" s="358">
        <f t="shared" si="359"/>
        <v>1.5975032884980966</v>
      </c>
      <c r="FL58" s="359">
        <f t="shared" si="359"/>
        <v>5.7155676413242222</v>
      </c>
      <c r="FN58" s="359">
        <f t="shared" ref="FN58:FU58" si="360">IF(ISERROR(IF(FN56&lt;0,FN56/FN$89,FN56/FN$90)),"--",IF(FN56&lt;0,FN56/FN$89,FN56/FN$90))</f>
        <v>0.8190352068060458</v>
      </c>
      <c r="FO58" s="359">
        <f t="shared" si="360"/>
        <v>0.92286216057999726</v>
      </c>
      <c r="FP58" s="359">
        <f t="shared" si="360"/>
        <v>0.48162312595385581</v>
      </c>
      <c r="FQ58" s="359">
        <f t="shared" si="360"/>
        <v>0.74417568427753022</v>
      </c>
      <c r="FR58" s="359">
        <f t="shared" si="360"/>
        <v>0.90085773385428636</v>
      </c>
      <c r="FS58" s="359">
        <f t="shared" si="360"/>
        <v>1.1048720066061106</v>
      </c>
      <c r="FT58" s="359">
        <f t="shared" si="360"/>
        <v>1.2300843373493977</v>
      </c>
      <c r="FU58" s="359">
        <f t="shared" si="360"/>
        <v>1.2345005169612526</v>
      </c>
      <c r="FV58" s="359">
        <f t="shared" ref="FV58:GA58" si="361">IF(ISERROR(IF(FV56&lt;0,FV56/FV$89,FV56/FV$90)),"--",IF(FV56&lt;0,FV56/FV$89,FV56/FV$90))</f>
        <v>1.8656286492798755</v>
      </c>
      <c r="FW58" s="359">
        <f t="shared" si="361"/>
        <v>1.870857607370275</v>
      </c>
      <c r="FX58" s="865">
        <f t="shared" si="361"/>
        <v>1.8959548174243694</v>
      </c>
      <c r="FY58" s="866">
        <f t="shared" si="361"/>
        <v>2.3531834563240088</v>
      </c>
      <c r="FZ58" s="866">
        <f t="shared" si="361"/>
        <v>2.7666979102189999</v>
      </c>
      <c r="GA58" s="866">
        <f t="shared" si="361"/>
        <v>2.5605487228003785</v>
      </c>
      <c r="GB58" s="866">
        <f t="shared" ref="GB58:GG58" si="362">IF(ISERROR(IF(GB56&lt;0,GB56/GB$89,GB56/GB$90)),"--",IF(GB56&lt;0,GB56/GB$89,GB56/GB$90))</f>
        <v>2.7958456973293768</v>
      </c>
      <c r="GC58" s="866">
        <f t="shared" si="362"/>
        <v>2.5917266187050361</v>
      </c>
      <c r="GD58" s="866">
        <f t="shared" si="362"/>
        <v>2.6423087595967072</v>
      </c>
      <c r="GE58" s="866">
        <f t="shared" si="362"/>
        <v>2.8286223908918409</v>
      </c>
      <c r="GF58" s="866">
        <f t="shared" si="362"/>
        <v>3.5701293710772384</v>
      </c>
      <c r="GG58" s="866">
        <f t="shared" si="362"/>
        <v>3.9976631414908548</v>
      </c>
      <c r="GH58" s="866">
        <f>IF(ISERROR(IF(GH56&lt;0,GH56/GH$89,GH56/GH$90)),"--",IF(GH56&lt;0,GH56/GH$89,GH56/GH$90))</f>
        <v>4.4679570514758868</v>
      </c>
      <c r="GI58" s="866">
        <f>IF(ISERROR(IF(GI56&lt;0,GI56/GI$89,GI56/GI$90)),"--",IF(GI56&lt;0,GI56/GI$89,GI56/GI$90))</f>
        <v>5.2876698165482789</v>
      </c>
      <c r="GJ58" s="358"/>
      <c r="GK58" s="358"/>
      <c r="GL58" s="358"/>
      <c r="GN58"/>
      <c r="GO58"/>
      <c r="GP58"/>
      <c r="GQ58"/>
      <c r="GR58"/>
      <c r="GS58"/>
    </row>
    <row r="59" spans="1:201" s="253" customFormat="1" ht="11.25" customHeight="1">
      <c r="A59" s="309" t="s">
        <v>111</v>
      </c>
      <c r="D59" s="267"/>
      <c r="E59" s="267"/>
      <c r="F59" s="267"/>
      <c r="G59" s="267"/>
      <c r="H59" s="313"/>
      <c r="I59" s="355" t="str">
        <f t="shared" ref="I59:AN59" si="363">IF(OR(I58="--",D58="--"),"--",I58/D58-1)</f>
        <v>--</v>
      </c>
      <c r="J59" s="355" t="str">
        <f t="shared" si="363"/>
        <v>--</v>
      </c>
      <c r="K59" s="355" t="str">
        <f t="shared" si="363"/>
        <v>--</v>
      </c>
      <c r="L59" s="355" t="str">
        <f t="shared" si="363"/>
        <v>--</v>
      </c>
      <c r="M59" s="313">
        <f t="shared" si="363"/>
        <v>0.53880361208446659</v>
      </c>
      <c r="N59" s="355" t="str">
        <f t="shared" si="363"/>
        <v>--</v>
      </c>
      <c r="O59" s="355" t="str">
        <f t="shared" si="363"/>
        <v>--</v>
      </c>
      <c r="P59" s="355" t="str">
        <f t="shared" si="363"/>
        <v>--</v>
      </c>
      <c r="Q59" s="355" t="str">
        <f t="shared" si="363"/>
        <v>--</v>
      </c>
      <c r="R59" s="313">
        <f t="shared" si="363"/>
        <v>0.5816058824717385</v>
      </c>
      <c r="S59" s="355" t="str">
        <f t="shared" si="363"/>
        <v>--</v>
      </c>
      <c r="T59" s="355" t="str">
        <f t="shared" si="363"/>
        <v>--</v>
      </c>
      <c r="U59" s="355" t="str">
        <f t="shared" si="363"/>
        <v>--</v>
      </c>
      <c r="V59" s="355" t="str">
        <f t="shared" si="363"/>
        <v>--</v>
      </c>
      <c r="W59" s="313">
        <f t="shared" si="363"/>
        <v>0.46747435202207877</v>
      </c>
      <c r="X59" s="355" t="str">
        <f t="shared" si="363"/>
        <v>--</v>
      </c>
      <c r="Y59" s="355" t="str">
        <f t="shared" si="363"/>
        <v>--</v>
      </c>
      <c r="Z59" s="355" t="str">
        <f t="shared" si="363"/>
        <v>--</v>
      </c>
      <c r="AA59" s="355" t="str">
        <f t="shared" si="363"/>
        <v>--</v>
      </c>
      <c r="AB59" s="313">
        <f t="shared" si="363"/>
        <v>0.30569481686943045</v>
      </c>
      <c r="AC59" s="355" t="str">
        <f t="shared" si="363"/>
        <v>--</v>
      </c>
      <c r="AD59" s="355" t="str">
        <f t="shared" si="363"/>
        <v>--</v>
      </c>
      <c r="AE59" s="355" t="str">
        <f t="shared" si="363"/>
        <v>--</v>
      </c>
      <c r="AF59" s="355" t="str">
        <f t="shared" si="363"/>
        <v>--</v>
      </c>
      <c r="AG59" s="313">
        <f t="shared" si="363"/>
        <v>0.28845234204324566</v>
      </c>
      <c r="AH59" s="355" t="str">
        <f t="shared" si="363"/>
        <v>--</v>
      </c>
      <c r="AI59" s="355" t="str">
        <f t="shared" si="363"/>
        <v>--</v>
      </c>
      <c r="AJ59" s="355" t="str">
        <f t="shared" si="363"/>
        <v>--</v>
      </c>
      <c r="AK59" s="355">
        <f t="shared" si="363"/>
        <v>0.21317807113621945</v>
      </c>
      <c r="AL59" s="313">
        <f t="shared" si="363"/>
        <v>0.1799006931863345</v>
      </c>
      <c r="AM59" s="355">
        <f t="shared" si="363"/>
        <v>0.53470134493670862</v>
      </c>
      <c r="AN59" s="355">
        <f t="shared" si="363"/>
        <v>0.51014396530713446</v>
      </c>
      <c r="AO59" s="355">
        <f t="shared" ref="AO59:BT59" si="364">IF(OR(AO58="--",AJ58="--"),"--",AO58/AJ58-1)</f>
        <v>0.39031947013167678</v>
      </c>
      <c r="AP59" s="355">
        <f t="shared" si="364"/>
        <v>0.32281476449275348</v>
      </c>
      <c r="AQ59" s="313">
        <f t="shared" si="364"/>
        <v>0.43344587258015865</v>
      </c>
      <c r="AR59" s="355">
        <f t="shared" si="364"/>
        <v>0.21714836163826878</v>
      </c>
      <c r="AS59" s="355">
        <f t="shared" si="364"/>
        <v>0.26102427313950383</v>
      </c>
      <c r="AT59" s="355">
        <f t="shared" si="364"/>
        <v>0.7971408791128709</v>
      </c>
      <c r="AU59" s="355">
        <f t="shared" si="364"/>
        <v>0.7888558784758446</v>
      </c>
      <c r="AV59" s="313">
        <f t="shared" si="364"/>
        <v>0.53756769858686559</v>
      </c>
      <c r="AW59" s="355">
        <f t="shared" si="364"/>
        <v>0.51676149384896508</v>
      </c>
      <c r="AX59" s="355">
        <f t="shared" si="364"/>
        <v>0.49518961951618401</v>
      </c>
      <c r="AY59" s="355">
        <f t="shared" si="364"/>
        <v>0.26017113629783717</v>
      </c>
      <c r="AZ59" s="355">
        <f t="shared" si="364"/>
        <v>0.28003784295175027</v>
      </c>
      <c r="BA59" s="313">
        <f t="shared" si="364"/>
        <v>0.35514645837108461</v>
      </c>
      <c r="BB59" s="355">
        <f t="shared" si="364"/>
        <v>0.72136545743921854</v>
      </c>
      <c r="BC59" s="355">
        <f t="shared" si="364"/>
        <v>0.70983094575327588</v>
      </c>
      <c r="BD59" s="355">
        <f t="shared" si="364"/>
        <v>0.396869331399609</v>
      </c>
      <c r="BE59" s="355">
        <f t="shared" si="364"/>
        <v>0.59536315884803481</v>
      </c>
      <c r="BF59" s="313">
        <f t="shared" si="364"/>
        <v>0.5910129004805913</v>
      </c>
      <c r="BG59" s="355">
        <f t="shared" si="364"/>
        <v>0.31031383664979173</v>
      </c>
      <c r="BH59" s="355">
        <f t="shared" si="364"/>
        <v>0.33619142997166063</v>
      </c>
      <c r="BI59" s="355">
        <f t="shared" si="364"/>
        <v>0.26725987586405386</v>
      </c>
      <c r="BJ59" s="355">
        <f t="shared" si="364"/>
        <v>0.11801337448002758</v>
      </c>
      <c r="BK59" s="313">
        <f t="shared" si="364"/>
        <v>0.25196053437580046</v>
      </c>
      <c r="BL59" s="355">
        <f t="shared" si="364"/>
        <v>0.17152782363076891</v>
      </c>
      <c r="BM59" s="355">
        <f t="shared" si="364"/>
        <v>-3.7177227403072388E-3</v>
      </c>
      <c r="BN59" s="355">
        <f t="shared" si="364"/>
        <v>2.5770821172490077E-2</v>
      </c>
      <c r="BO59" s="355">
        <f t="shared" si="364"/>
        <v>-1.4855303326760094</v>
      </c>
      <c r="BP59" s="313">
        <f t="shared" si="364"/>
        <v>-0.32543434953730288</v>
      </c>
      <c r="BQ59" s="355">
        <f t="shared" si="364"/>
        <v>-0.51525535670553479</v>
      </c>
      <c r="BR59" s="355">
        <f t="shared" si="364"/>
        <v>1.6963826703741081E-2</v>
      </c>
      <c r="BS59" s="355">
        <f t="shared" si="364"/>
        <v>8.8374524173139068E-2</v>
      </c>
      <c r="BT59" s="355">
        <f t="shared" si="364"/>
        <v>-2.2736277521493178</v>
      </c>
      <c r="BU59" s="313">
        <f t="shared" ref="BU59:CZ59" si="365">IF(OR(BU58="--",BP58="--"),"--",BU58/BP58-1)</f>
        <v>0.2429475668006984</v>
      </c>
      <c r="BV59" s="355">
        <f t="shared" si="365"/>
        <v>0.62257222802799084</v>
      </c>
      <c r="BW59" s="355">
        <f t="shared" si="365"/>
        <v>-0.29737572222648545</v>
      </c>
      <c r="BX59" s="355">
        <f t="shared" si="365"/>
        <v>-0.19859807618140379</v>
      </c>
      <c r="BY59" s="355">
        <f t="shared" si="365"/>
        <v>0.3466540714960562</v>
      </c>
      <c r="BZ59" s="313">
        <f t="shared" si="365"/>
        <v>-3.8778648074895283E-3</v>
      </c>
      <c r="CA59" s="355">
        <f t="shared" si="365"/>
        <v>0.28439223749605302</v>
      </c>
      <c r="CB59" s="355">
        <f t="shared" si="365"/>
        <v>0.60752753584576147</v>
      </c>
      <c r="CC59" s="355">
        <f t="shared" si="365"/>
        <v>0.50017798826271376</v>
      </c>
      <c r="CD59" s="355">
        <f t="shared" si="365"/>
        <v>0.23000112170884179</v>
      </c>
      <c r="CE59" s="313">
        <f t="shared" si="365"/>
        <v>0.4010843767898904</v>
      </c>
      <c r="CF59" s="355">
        <f t="shared" si="365"/>
        <v>0.10089777921644805</v>
      </c>
      <c r="CG59" s="355">
        <f t="shared" si="365"/>
        <v>0.13831439332791162</v>
      </c>
      <c r="CH59" s="355">
        <f t="shared" si="365"/>
        <v>-4.8133234942402625E-2</v>
      </c>
      <c r="CI59" s="355">
        <f t="shared" si="365"/>
        <v>0.3190792632380246</v>
      </c>
      <c r="CJ59" s="313">
        <f t="shared" si="365"/>
        <v>0.11827079202856416</v>
      </c>
      <c r="CK59" s="355">
        <f t="shared" si="365"/>
        <v>0.19035188665375902</v>
      </c>
      <c r="CL59" s="355">
        <f t="shared" si="365"/>
        <v>5.4576956396188203E-2</v>
      </c>
      <c r="CM59" s="355">
        <f t="shared" si="365"/>
        <v>0.10902317562559327</v>
      </c>
      <c r="CN59" s="355">
        <f t="shared" si="365"/>
        <v>2.9722266788854812E-2</v>
      </c>
      <c r="CO59" s="313">
        <f t="shared" si="365"/>
        <v>9.1305234663723533E-2</v>
      </c>
      <c r="CP59" s="355">
        <f t="shared" si="365"/>
        <v>0.1040684257261395</v>
      </c>
      <c r="CQ59" s="355">
        <f t="shared" si="365"/>
        <v>-0.20760410380205185</v>
      </c>
      <c r="CR59" s="355">
        <f t="shared" si="365"/>
        <v>0.5863985843473003</v>
      </c>
      <c r="CS59" s="355">
        <f t="shared" si="365"/>
        <v>0.36604620533985632</v>
      </c>
      <c r="CT59" s="313">
        <f t="shared" si="365"/>
        <v>0.20166157020141795</v>
      </c>
      <c r="CU59" s="355">
        <f t="shared" si="365"/>
        <v>0.29760661041483938</v>
      </c>
      <c r="CV59" s="355">
        <f t="shared" si="365"/>
        <v>0.87526438718714616</v>
      </c>
      <c r="CW59" s="355">
        <f t="shared" si="365"/>
        <v>-5.4180517624498048E-2</v>
      </c>
      <c r="CX59" s="355">
        <f t="shared" si="365"/>
        <v>8.1108101094860885E-2</v>
      </c>
      <c r="CY59" s="313">
        <f t="shared" si="365"/>
        <v>0.22772631287943024</v>
      </c>
      <c r="CZ59" s="355">
        <f t="shared" si="365"/>
        <v>5.6224758883810289E-2</v>
      </c>
      <c r="DA59" s="355">
        <f t="shared" ref="DA59:DI59" si="366">IF(OR(DA58="--",CV58="--"),"--",DA58/CV58-1)</f>
        <v>-5.4641908120076965E-2</v>
      </c>
      <c r="DB59" s="355">
        <f t="shared" si="366"/>
        <v>-0.16125035876863081</v>
      </c>
      <c r="DC59" s="355">
        <f t="shared" si="366"/>
        <v>-0.21323252218977484</v>
      </c>
      <c r="DD59" s="313">
        <f t="shared" si="366"/>
        <v>-9.2674709496310625E-2</v>
      </c>
      <c r="DE59" s="355">
        <f t="shared" si="366"/>
        <v>-0.16451577272302265</v>
      </c>
      <c r="DF59" s="355">
        <f t="shared" si="366"/>
        <v>0.58947337034936043</v>
      </c>
      <c r="DG59" s="355">
        <f>IF(OR(DG58="--",DB58="--"),"--",DG58/DB58-1)</f>
        <v>0.14855944781135633</v>
      </c>
      <c r="DH59" s="355">
        <f t="shared" si="366"/>
        <v>0.42108314935135471</v>
      </c>
      <c r="DI59" s="313">
        <f t="shared" si="366"/>
        <v>0.23934066550371713</v>
      </c>
      <c r="DJ59" s="355">
        <f t="shared" ref="DJ59:DS59" si="367">IF(OR(DJ58="--",DE58="--"),"--",DJ58/DE58-1)</f>
        <v>0.56384796850810259</v>
      </c>
      <c r="DK59" s="355">
        <f t="shared" si="367"/>
        <v>4.0067615592291439E-2</v>
      </c>
      <c r="DL59" s="355">
        <f t="shared" si="367"/>
        <v>0.362211441944017</v>
      </c>
      <c r="DM59" s="355">
        <f t="shared" si="367"/>
        <v>0.35493094823102589</v>
      </c>
      <c r="DN59" s="313">
        <f t="shared" si="367"/>
        <v>0.28195693288282198</v>
      </c>
      <c r="DO59" s="355">
        <f t="shared" si="367"/>
        <v>8.6238458205695867E-2</v>
      </c>
      <c r="DP59" s="355">
        <f t="shared" si="367"/>
        <v>1.0877932703086346E-2</v>
      </c>
      <c r="DQ59" s="355">
        <f t="shared" si="367"/>
        <v>-2.2321675976286537E-2</v>
      </c>
      <c r="DR59" s="355">
        <f t="shared" si="367"/>
        <v>-2.0629424028214216E-2</v>
      </c>
      <c r="DS59" s="313">
        <f t="shared" si="367"/>
        <v>1.4432912319962687E-2</v>
      </c>
      <c r="DT59" s="355">
        <f t="shared" ref="DT59:EC59" si="368">IF(OR(DT58="--",DO58="--"),"--",DT58/DO58-1)</f>
        <v>-0.22204655483135616</v>
      </c>
      <c r="DU59" s="355">
        <f t="shared" si="368"/>
        <v>-3.4894410203511805E-2</v>
      </c>
      <c r="DV59" s="355">
        <f t="shared" si="368"/>
        <v>0.33977422355029097</v>
      </c>
      <c r="DW59" s="355">
        <f t="shared" si="368"/>
        <v>-0.13467094576981042</v>
      </c>
      <c r="DX59" s="313">
        <f t="shared" si="368"/>
        <v>-5.5556808588134832E-2</v>
      </c>
      <c r="DY59" s="355">
        <f t="shared" si="368"/>
        <v>0.18255847331101016</v>
      </c>
      <c r="DZ59" s="355">
        <f t="shared" si="368"/>
        <v>3.4385727520067855E-2</v>
      </c>
      <c r="EA59" s="355">
        <f t="shared" si="368"/>
        <v>-0.1599969124149162</v>
      </c>
      <c r="EB59" s="355">
        <f t="shared" si="368"/>
        <v>-3.4423999753818935E-2</v>
      </c>
      <c r="EC59" s="313">
        <f t="shared" si="368"/>
        <v>2.2655480468195544E-2</v>
      </c>
      <c r="ED59" s="355">
        <f t="shared" ref="ED59:EU59" si="369">IF(OR(ED58="--",DY58="--"),"--",ED58/DY58-1)</f>
        <v>4.691609851188705E-2</v>
      </c>
      <c r="EE59" s="355">
        <f t="shared" si="369"/>
        <v>-0.10822347374167096</v>
      </c>
      <c r="EF59" s="355">
        <f t="shared" si="369"/>
        <v>-7.1258983531604092E-2</v>
      </c>
      <c r="EG59" s="355">
        <f t="shared" si="369"/>
        <v>0.14532982170477449</v>
      </c>
      <c r="EH59" s="313">
        <f t="shared" si="369"/>
        <v>-7.0500647581176468E-3</v>
      </c>
      <c r="EI59" s="355">
        <f t="shared" si="369"/>
        <v>-3.6762010980000648E-2</v>
      </c>
      <c r="EJ59" s="355">
        <f t="shared" si="369"/>
        <v>5.8681522723434076E-2</v>
      </c>
      <c r="EK59" s="355">
        <f t="shared" si="369"/>
        <v>-0.14196004295493669</v>
      </c>
      <c r="EL59" s="355">
        <f t="shared" si="369"/>
        <v>0.18704241007720923</v>
      </c>
      <c r="EM59" s="313">
        <f t="shared" si="369"/>
        <v>1.8426019464803822E-2</v>
      </c>
      <c r="EN59" s="355">
        <f t="shared" si="369"/>
        <v>0.14755349094691494</v>
      </c>
      <c r="EO59" s="355">
        <f t="shared" si="369"/>
        <v>8.5240145565155467E-2</v>
      </c>
      <c r="EP59" s="355">
        <f t="shared" si="369"/>
        <v>0.30253432947978243</v>
      </c>
      <c r="EQ59" s="355">
        <f t="shared" si="369"/>
        <v>0.37917639524926972</v>
      </c>
      <c r="ER59" s="313">
        <f t="shared" si="369"/>
        <v>0.22834070927457439</v>
      </c>
      <c r="ES59" s="355">
        <f t="shared" si="369"/>
        <v>0.17185905184868844</v>
      </c>
      <c r="ET59" s="355">
        <f t="shared" si="369"/>
        <v>0.19948955231016186</v>
      </c>
      <c r="EU59" s="355">
        <f t="shared" si="369"/>
        <v>0.35656179805343036</v>
      </c>
      <c r="EV59" s="355">
        <f t="shared" ref="EU59:EW59" si="370">IF(OR(EV58="--",EQ58="--"),"--",EV58/EQ58-1)</f>
        <v>1.4336919572985218E-2</v>
      </c>
      <c r="EW59" s="313">
        <f t="shared" si="370"/>
        <v>0.1672490697082154</v>
      </c>
      <c r="EX59" s="355">
        <f t="shared" ref="EX59:FG59" si="371">IF(OR(EX58="--",ES58="--"),"--",EX58/ES58-1)</f>
        <v>9.597390444846865E-2</v>
      </c>
      <c r="EY59" s="355">
        <f t="shared" si="371"/>
        <v>8.4472872206484917E-2</v>
      </c>
      <c r="EZ59" s="355">
        <f t="shared" si="371"/>
        <v>4.9173173552085059E-2</v>
      </c>
      <c r="FA59" s="355">
        <f t="shared" si="371"/>
        <v>6.2612671684572518E-2</v>
      </c>
      <c r="FB59" s="313">
        <f t="shared" si="371"/>
        <v>7.2061903594285548E-2</v>
      </c>
      <c r="FC59" s="355">
        <f t="shared" si="371"/>
        <v>0.18062766837426913</v>
      </c>
      <c r="FD59" s="355">
        <f t="shared" si="371"/>
        <v>0.18179817424253963</v>
      </c>
      <c r="FE59" s="355">
        <f t="shared" si="371"/>
        <v>0.21189966680404937</v>
      </c>
      <c r="FF59" s="355">
        <f t="shared" si="371"/>
        <v>0.19966928567796427</v>
      </c>
      <c r="FG59" s="313">
        <f t="shared" si="371"/>
        <v>0.19383308544153155</v>
      </c>
      <c r="FH59" s="355">
        <f t="shared" ref="FH59" si="372">IF(OR(FH58="--",FC58="--"),"--",FH58/FC58-1)</f>
        <v>0.16783937648865876</v>
      </c>
      <c r="FI59" s="355">
        <f t="shared" ref="FI59" si="373">IF(OR(FI58="--",FD58="--"),"--",FI58/FD58-1)</f>
        <v>0.15882295148923031</v>
      </c>
      <c r="FJ59" s="355">
        <f t="shared" ref="FJ59" si="374">IF(OR(FJ58="--",FE58="--"),"--",FJ58/FE58-1)</f>
        <v>0.17114139915856019</v>
      </c>
      <c r="FK59" s="355">
        <f t="shared" ref="FK59" si="375">IF(OR(FK58="--",FF58="--"),"--",FK58/FF58-1)</f>
        <v>0.16023512585160749</v>
      </c>
      <c r="FL59" s="313">
        <f t="shared" ref="FL59" si="376">IF(OR(FL58="--",FG58="--"),"--",FL58/FG58-1)</f>
        <v>0.16436704194780671</v>
      </c>
      <c r="FN59" s="354"/>
      <c r="FO59" s="343">
        <f t="shared" ref="FO59:FU59" si="377">FO58/FN58-1</f>
        <v>0.12676738791100406</v>
      </c>
      <c r="FP59" s="343">
        <f t="shared" si="377"/>
        <v>-0.47812019332208078</v>
      </c>
      <c r="FQ59" s="343">
        <f t="shared" si="377"/>
        <v>0.54514109513260678</v>
      </c>
      <c r="FR59" s="343">
        <f t="shared" si="377"/>
        <v>0.21054443579256166</v>
      </c>
      <c r="FS59" s="343">
        <f t="shared" si="377"/>
        <v>0.22646669400167863</v>
      </c>
      <c r="FT59" s="343">
        <f t="shared" si="377"/>
        <v>0.11332745331100202</v>
      </c>
      <c r="FU59" s="343">
        <f t="shared" si="377"/>
        <v>3.5901437631267186E-3</v>
      </c>
      <c r="FV59" s="343">
        <f t="shared" ref="FV59:GI59" si="378">FV58/FU58-1</f>
        <v>0.51124169139447351</v>
      </c>
      <c r="FW59" s="343">
        <f t="shared" si="378"/>
        <v>2.802786123818235E-3</v>
      </c>
      <c r="FX59" s="861">
        <f t="shared" si="378"/>
        <v>1.3414815726874973E-2</v>
      </c>
      <c r="FY59" s="862">
        <f t="shared" si="378"/>
        <v>0.24116009237012226</v>
      </c>
      <c r="FZ59" s="862">
        <f t="shared" si="378"/>
        <v>0.17572554863230105</v>
      </c>
      <c r="GA59" s="862">
        <f t="shared" si="378"/>
        <v>-7.4510913048076E-2</v>
      </c>
      <c r="GB59" s="862">
        <f t="shared" si="378"/>
        <v>9.1893183845243476E-2</v>
      </c>
      <c r="GC59" s="862">
        <f t="shared" si="378"/>
        <v>-7.3007991399281269E-2</v>
      </c>
      <c r="GD59" s="862">
        <f t="shared" si="378"/>
        <v>1.9516773307265201E-2</v>
      </c>
      <c r="GE59" s="862">
        <f t="shared" si="378"/>
        <v>7.0511680596922588E-2</v>
      </c>
      <c r="GF59" s="862">
        <f t="shared" si="378"/>
        <v>0.26214420934128535</v>
      </c>
      <c r="GG59" s="862">
        <f t="shared" si="378"/>
        <v>0.11975301900183344</v>
      </c>
      <c r="GH59" s="862">
        <f t="shared" si="378"/>
        <v>0.1176422057936688</v>
      </c>
      <c r="GI59" s="862">
        <f t="shared" si="378"/>
        <v>0.183464781695164</v>
      </c>
      <c r="GJ59" s="1223"/>
      <c r="GK59" s="1223"/>
      <c r="GL59" s="1223"/>
      <c r="GN59"/>
      <c r="GO59"/>
      <c r="GP59"/>
      <c r="GQ59"/>
      <c r="GR59"/>
      <c r="GS59"/>
    </row>
    <row r="60" spans="1:201" s="253" customFormat="1" ht="11.25" customHeight="1">
      <c r="A60" s="260"/>
      <c r="D60" s="267"/>
      <c r="E60" s="267"/>
      <c r="F60" s="267"/>
      <c r="G60" s="267"/>
      <c r="H60" s="354"/>
      <c r="I60" s="267"/>
      <c r="J60" s="267"/>
      <c r="K60" s="267"/>
      <c r="L60" s="267"/>
      <c r="M60" s="354"/>
      <c r="N60" s="267"/>
      <c r="O60" s="267"/>
      <c r="P60" s="267"/>
      <c r="Q60" s="267"/>
      <c r="R60" s="354"/>
      <c r="S60" s="267"/>
      <c r="T60" s="267"/>
      <c r="U60" s="267"/>
      <c r="V60" s="267"/>
      <c r="W60" s="354"/>
      <c r="X60" s="267"/>
      <c r="Y60" s="267"/>
      <c r="Z60" s="267"/>
      <c r="AA60" s="267"/>
      <c r="AB60" s="354"/>
      <c r="AC60" s="267"/>
      <c r="AD60" s="267"/>
      <c r="AE60" s="267"/>
      <c r="AF60" s="267"/>
      <c r="AG60" s="354"/>
      <c r="AH60" s="267"/>
      <c r="AI60" s="267"/>
      <c r="AJ60" s="267"/>
      <c r="AK60" s="267"/>
      <c r="AL60" s="354"/>
      <c r="AM60" s="267"/>
      <c r="AN60" s="267"/>
      <c r="AO60" s="267"/>
      <c r="AP60" s="267"/>
      <c r="AQ60" s="354"/>
      <c r="AR60" s="267"/>
      <c r="AS60" s="267"/>
      <c r="AT60" s="267"/>
      <c r="AU60" s="267"/>
      <c r="AV60" s="354"/>
      <c r="AW60" s="267"/>
      <c r="AX60" s="267"/>
      <c r="AY60" s="267"/>
      <c r="AZ60" s="267"/>
      <c r="BA60" s="354"/>
      <c r="BB60" s="267"/>
      <c r="BC60" s="267"/>
      <c r="BD60" s="267"/>
      <c r="BE60" s="267"/>
      <c r="BF60" s="354"/>
      <c r="BG60" s="267"/>
      <c r="BH60" s="267"/>
      <c r="BI60" s="267"/>
      <c r="BJ60" s="267"/>
      <c r="BK60" s="354"/>
      <c r="BL60" s="267"/>
      <c r="BM60" s="267"/>
      <c r="BN60" s="267"/>
      <c r="BO60" s="267"/>
      <c r="BP60" s="354"/>
      <c r="BQ60" s="267"/>
      <c r="BR60" s="267"/>
      <c r="BS60" s="267"/>
      <c r="BT60" s="267"/>
      <c r="BU60" s="354"/>
      <c r="BV60" s="267"/>
      <c r="BW60" s="267"/>
      <c r="BX60" s="267"/>
      <c r="BY60" s="267"/>
      <c r="BZ60" s="354"/>
      <c r="CA60" s="267"/>
      <c r="CB60" s="267"/>
      <c r="CC60" s="267"/>
      <c r="CD60" s="267"/>
      <c r="CE60" s="354"/>
      <c r="CF60" s="267"/>
      <c r="CG60" s="267"/>
      <c r="CH60" s="267"/>
      <c r="CI60" s="267"/>
      <c r="CJ60" s="354"/>
      <c r="CK60" s="267"/>
      <c r="CL60" s="267"/>
      <c r="CM60" s="267"/>
      <c r="CN60" s="267"/>
      <c r="CO60" s="354"/>
      <c r="CP60" s="267"/>
      <c r="CQ60" s="267"/>
      <c r="CR60" s="267"/>
      <c r="CS60" s="267"/>
      <c r="CT60" s="354"/>
      <c r="CU60" s="267"/>
      <c r="CV60" s="267"/>
      <c r="CW60" s="267"/>
      <c r="CX60" s="267"/>
      <c r="CY60" s="354"/>
      <c r="CZ60" s="267"/>
      <c r="DA60" s="267"/>
      <c r="DB60" s="267"/>
      <c r="DC60" s="360"/>
      <c r="DD60" s="361"/>
      <c r="DE60" s="362"/>
      <c r="DF60" s="360"/>
      <c r="DG60" s="360"/>
      <c r="DH60" s="360"/>
      <c r="DI60" s="361"/>
      <c r="DJ60" s="362"/>
      <c r="DK60" s="362"/>
      <c r="DL60" s="362"/>
      <c r="DM60" s="360"/>
      <c r="DN60" s="361"/>
      <c r="DO60" s="360"/>
      <c r="DP60" s="362"/>
      <c r="DQ60" s="362"/>
      <c r="DR60" s="360"/>
      <c r="DS60" s="821"/>
      <c r="DT60" s="360"/>
      <c r="DU60" s="896"/>
      <c r="DV60" s="896"/>
      <c r="DW60" s="360"/>
      <c r="DX60" s="821"/>
      <c r="DY60" s="360"/>
      <c r="DZ60" s="896"/>
      <c r="EA60" s="896"/>
      <c r="EB60" s="360"/>
      <c r="EC60" s="821"/>
      <c r="ED60" s="360"/>
      <c r="EE60" s="896"/>
      <c r="EF60" s="896"/>
      <c r="EG60" s="896"/>
      <c r="EH60" s="361"/>
      <c r="EI60" s="2706"/>
      <c r="EJ60" s="2707"/>
      <c r="EK60" s="2707"/>
      <c r="EL60" s="2707"/>
      <c r="EM60" s="2708"/>
      <c r="EN60" s="2706"/>
      <c r="EO60" s="2707"/>
      <c r="EP60" s="2706"/>
      <c r="EQ60" s="2707"/>
      <c r="ER60" s="2708"/>
      <c r="ES60" s="2706"/>
      <c r="ET60" s="2707"/>
      <c r="EU60" s="2706"/>
      <c r="EV60" s="360"/>
      <c r="EW60" s="361"/>
      <c r="EX60" s="360"/>
      <c r="EY60" s="360"/>
      <c r="EZ60" s="360"/>
      <c r="FA60" s="360"/>
      <c r="FB60" s="361"/>
      <c r="FC60" s="360"/>
      <c r="FD60" s="360"/>
      <c r="FE60" s="360"/>
      <c r="FF60" s="360"/>
      <c r="FG60" s="361"/>
      <c r="FH60" s="360"/>
      <c r="FI60" s="360"/>
      <c r="FJ60" s="360"/>
      <c r="FK60" s="360"/>
      <c r="FL60" s="361"/>
      <c r="FN60" s="354"/>
      <c r="FO60" s="354"/>
      <c r="FP60" s="354"/>
      <c r="FQ60" s="354"/>
      <c r="FR60" s="354"/>
      <c r="FS60" s="354"/>
      <c r="FT60" s="354"/>
      <c r="FU60" s="354"/>
      <c r="FV60" s="354"/>
      <c r="FW60" s="354"/>
      <c r="FX60" s="867"/>
      <c r="FY60" s="868"/>
      <c r="FZ60" s="868"/>
      <c r="GA60" s="868"/>
      <c r="GB60" s="868"/>
      <c r="GC60" s="868"/>
      <c r="GD60" s="868"/>
      <c r="GE60" s="868"/>
      <c r="GF60" s="868"/>
      <c r="GG60" s="868"/>
      <c r="GH60" s="868"/>
      <c r="GI60" s="868"/>
      <c r="GJ60" s="267"/>
      <c r="GK60" s="3043">
        <f>(GH58/(GF58-0.23))^0.5-1</f>
        <v>0.15657247042034816</v>
      </c>
      <c r="GL60" s="267"/>
      <c r="GN60"/>
      <c r="GO60"/>
      <c r="GP60"/>
      <c r="GQ60"/>
      <c r="GR60"/>
      <c r="GS60"/>
    </row>
    <row r="61" spans="1:201" s="253" customFormat="1" ht="11.25" customHeight="1">
      <c r="A61" s="2582" t="s">
        <v>1432</v>
      </c>
      <c r="B61" s="2582"/>
      <c r="C61" s="2582"/>
      <c r="D61" s="2580"/>
      <c r="E61" s="2580"/>
      <c r="F61" s="2580"/>
      <c r="G61" s="2580"/>
      <c r="H61" s="2581"/>
      <c r="I61" s="2580"/>
      <c r="J61" s="2580"/>
      <c r="K61" s="2580"/>
      <c r="L61" s="2580"/>
      <c r="M61" s="2581"/>
      <c r="N61" s="2580"/>
      <c r="O61" s="2580"/>
      <c r="P61" s="2580"/>
      <c r="Q61" s="2580"/>
      <c r="R61" s="2581"/>
      <c r="S61" s="2580"/>
      <c r="T61" s="2580"/>
      <c r="U61" s="2580"/>
      <c r="V61" s="2580"/>
      <c r="W61" s="2581"/>
      <c r="X61" s="2580"/>
      <c r="Y61" s="2580"/>
      <c r="Z61" s="2580"/>
      <c r="AA61" s="2580"/>
      <c r="AB61" s="2581"/>
      <c r="AC61" s="2580"/>
      <c r="AD61" s="2580"/>
      <c r="AE61" s="2580"/>
      <c r="AF61" s="2580"/>
      <c r="AG61" s="2581"/>
      <c r="AH61" s="2580"/>
      <c r="AI61" s="2580"/>
      <c r="AJ61" s="2580"/>
      <c r="AK61" s="2580"/>
      <c r="AL61" s="2581"/>
      <c r="AM61" s="2580"/>
      <c r="AN61" s="2580"/>
      <c r="AO61" s="2580"/>
      <c r="AP61" s="2580"/>
      <c r="AQ61" s="2581"/>
      <c r="AR61" s="2580"/>
      <c r="AS61" s="2580"/>
      <c r="AT61" s="2580"/>
      <c r="AU61" s="2580"/>
      <c r="AV61" s="2581"/>
      <c r="AW61" s="2580"/>
      <c r="AX61" s="2580"/>
      <c r="AY61" s="2580"/>
      <c r="AZ61" s="2580"/>
      <c r="BA61" s="2581"/>
      <c r="BB61" s="2580"/>
      <c r="BC61" s="2580"/>
      <c r="BD61" s="2580"/>
      <c r="BE61" s="2580"/>
      <c r="BF61" s="2581"/>
      <c r="BG61" s="2580"/>
      <c r="BH61" s="2580"/>
      <c r="BI61" s="2580"/>
      <c r="BJ61" s="2580"/>
      <c r="BK61" s="2581"/>
      <c r="BL61" s="2580"/>
      <c r="BM61" s="2580"/>
      <c r="BN61" s="2580"/>
      <c r="BO61" s="2580"/>
      <c r="BP61" s="2581"/>
      <c r="BQ61" s="2580"/>
      <c r="BR61" s="2580"/>
      <c r="BS61" s="2580"/>
      <c r="BT61" s="2580"/>
      <c r="BU61" s="2581"/>
      <c r="BV61" s="2580"/>
      <c r="BW61" s="2580"/>
      <c r="BX61" s="2580"/>
      <c r="BY61" s="2580"/>
      <c r="BZ61" s="2581"/>
      <c r="CA61" s="2580"/>
      <c r="CB61" s="2580"/>
      <c r="CC61" s="2580"/>
      <c r="CD61" s="2580"/>
      <c r="CE61" s="2581"/>
      <c r="CF61" s="2580"/>
      <c r="CG61" s="2580"/>
      <c r="CH61" s="2580"/>
      <c r="CI61" s="2580"/>
      <c r="CJ61" s="2581"/>
      <c r="CK61" s="2580"/>
      <c r="CL61" s="2580"/>
      <c r="CM61" s="2580"/>
      <c r="CN61" s="2580"/>
      <c r="CO61" s="2581"/>
      <c r="CP61" s="2580"/>
      <c r="CQ61" s="2580"/>
      <c r="CR61" s="2580"/>
      <c r="CS61" s="2580"/>
      <c r="CT61" s="2581"/>
      <c r="CU61" s="2580"/>
      <c r="CV61" s="2580"/>
      <c r="CW61" s="2580"/>
      <c r="CX61" s="2580"/>
      <c r="CY61" s="2581"/>
      <c r="CZ61" s="2580"/>
      <c r="DA61" s="2580"/>
      <c r="DB61" s="2580"/>
      <c r="DC61" s="2580"/>
      <c r="DD61" s="2581"/>
      <c r="DE61" s="2580"/>
      <c r="DF61" s="2580"/>
      <c r="DG61" s="2580"/>
      <c r="DH61" s="2580"/>
      <c r="DI61" s="2581"/>
      <c r="DJ61" s="2580"/>
      <c r="DK61" s="2580"/>
      <c r="DL61" s="2580"/>
      <c r="DM61" s="2580"/>
      <c r="DN61" s="2581"/>
      <c r="DO61" s="2580"/>
      <c r="DP61" s="2580"/>
      <c r="DQ61" s="2580"/>
      <c r="DR61" s="2580"/>
      <c r="DS61" s="2581"/>
      <c r="DT61" s="2580"/>
      <c r="DU61" s="2580"/>
      <c r="DV61" s="2580"/>
      <c r="DW61" s="2580"/>
      <c r="DX61" s="2581"/>
      <c r="DY61" s="2580"/>
      <c r="DZ61" s="2580"/>
      <c r="EA61" s="2580"/>
      <c r="EB61" s="2580"/>
      <c r="EC61" s="2581"/>
      <c r="ED61" s="2580"/>
      <c r="EE61" s="2580"/>
      <c r="EF61" s="2580"/>
      <c r="EG61" s="2580"/>
      <c r="EH61" s="2581"/>
      <c r="EI61" s="2699">
        <f t="shared" ref="EI61:EL61" si="379">(EI21+EI41)*(1-EI55)</f>
        <v>0</v>
      </c>
      <c r="EJ61" s="2699">
        <f t="shared" si="379"/>
        <v>0</v>
      </c>
      <c r="EK61" s="2699">
        <f t="shared" si="379"/>
        <v>0</v>
      </c>
      <c r="EL61" s="2699">
        <f t="shared" si="379"/>
        <v>0</v>
      </c>
      <c r="EM61" s="2700">
        <f>(EM21+EM41)*(1-EM55)</f>
        <v>0</v>
      </c>
      <c r="EN61" s="2699">
        <f>(EN21+EN41)*(1-EN55)</f>
        <v>0</v>
      </c>
      <c r="EO61" s="2699">
        <f>(EO21+EO41)*(1-EO55)</f>
        <v>96.872101720269256</v>
      </c>
      <c r="EP61" s="2699">
        <f t="shared" ref="EP61:EQ61" si="380">(EP21+EP41)*(1-EP55)</f>
        <v>286.90527206089649</v>
      </c>
      <c r="EQ61" s="2699">
        <f t="shared" si="380"/>
        <v>373.1548886737657</v>
      </c>
      <c r="ER61" s="2700">
        <f>(ER21+ER41)*(1-ER55)</f>
        <v>737.70688913165816</v>
      </c>
      <c r="ES61" s="2699">
        <f>(ES21+ES41)*(1-ES55)</f>
        <v>306.39679358717439</v>
      </c>
      <c r="ET61" s="2699">
        <f>(ET21+ET41)*(1-ET55)</f>
        <v>307.47606063911007</v>
      </c>
      <c r="EU61" s="2699">
        <f t="shared" ref="EU61" si="381">(EU21+EU41)*(1-EU55)</f>
        <v>325.62157157736368</v>
      </c>
      <c r="EV61" s="2580">
        <f t="shared" ref="EU61:EV61" si="382">(EV21+EV41)*(1-EV55)</f>
        <v>315</v>
      </c>
      <c r="EW61" s="2581">
        <f>(EW21+EW41)*(1-EW55)</f>
        <v>1254.5874333529646</v>
      </c>
      <c r="EX61" s="2580">
        <f>(EX21+EX41)*(1-EX55)</f>
        <v>299.0625</v>
      </c>
      <c r="EY61" s="2580">
        <f>(EY21+EY41)*(1-EY55)</f>
        <v>299.0625</v>
      </c>
      <c r="EZ61" s="2580">
        <f t="shared" ref="EZ61:FA61" si="383">(EZ21+EZ41)*(1-EZ55)</f>
        <v>299.0625</v>
      </c>
      <c r="FA61" s="2580">
        <f t="shared" si="383"/>
        <v>299.0625</v>
      </c>
      <c r="FB61" s="2581">
        <f>(FB21+FB41)*(1-FB55)</f>
        <v>1196.2499999999998</v>
      </c>
      <c r="FC61" s="2580">
        <f>(FC21+FC41)*(1-FC55)</f>
        <v>299.0625</v>
      </c>
      <c r="FD61" s="2580">
        <f>(FD21+FD41)*(1-FD55)</f>
        <v>299.0625</v>
      </c>
      <c r="FE61" s="2580">
        <f t="shared" ref="FE61:FF61" si="384">(FE21+FE41)*(1-FE55)</f>
        <v>299.0625</v>
      </c>
      <c r="FF61" s="2580">
        <f t="shared" si="384"/>
        <v>299.0625</v>
      </c>
      <c r="FG61" s="2581">
        <f>(FG21+FG41)*(1-FG55)</f>
        <v>1196.25</v>
      </c>
      <c r="FH61" s="2580">
        <f>(FH21+FH41)*(1-FH55)</f>
        <v>299.0625</v>
      </c>
      <c r="FI61" s="2580">
        <f>(FI21+FI41)*(1-FI55)</f>
        <v>299.0625</v>
      </c>
      <c r="FJ61" s="2580">
        <f t="shared" ref="FJ61:FK61" si="385">(FJ21+FJ41)*(1-FJ55)</f>
        <v>299.0625</v>
      </c>
      <c r="FK61" s="2580">
        <f t="shared" si="385"/>
        <v>299.0625</v>
      </c>
      <c r="FL61" s="2581">
        <f>(FL21+FL41)*(1-FL55)</f>
        <v>1196.25</v>
      </c>
      <c r="FN61" s="354"/>
      <c r="FO61" s="354"/>
      <c r="FP61" s="354"/>
      <c r="FQ61" s="354"/>
      <c r="FR61" s="354"/>
      <c r="FS61" s="354"/>
      <c r="FT61" s="354"/>
      <c r="FU61" s="354"/>
      <c r="FV61" s="354"/>
      <c r="FW61" s="354"/>
      <c r="FX61" s="867"/>
      <c r="FY61" s="868"/>
      <c r="FZ61" s="868"/>
      <c r="GA61" s="868"/>
      <c r="GB61" s="868"/>
      <c r="GC61" s="868"/>
      <c r="GD61" s="868"/>
      <c r="GE61" s="868"/>
      <c r="GF61" s="868"/>
      <c r="GG61" s="3044"/>
      <c r="GH61" s="868"/>
      <c r="GI61" s="868"/>
      <c r="GJ61" s="267"/>
      <c r="GK61" s="267"/>
      <c r="GL61" s="267"/>
      <c r="GN61"/>
      <c r="GO61"/>
      <c r="GP61"/>
      <c r="GQ61"/>
      <c r="GR61"/>
      <c r="GS61"/>
    </row>
    <row r="62" spans="1:201" s="253" customFormat="1" ht="11.25" customHeight="1">
      <c r="A62" s="2582" t="s">
        <v>1433</v>
      </c>
      <c r="B62" s="2582"/>
      <c r="C62" s="2582"/>
      <c r="D62" s="2580"/>
      <c r="E62" s="2580"/>
      <c r="F62" s="2580"/>
      <c r="G62" s="2580"/>
      <c r="H62" s="2581"/>
      <c r="I62" s="2580"/>
      <c r="J62" s="2580"/>
      <c r="K62" s="2580"/>
      <c r="L62" s="2580"/>
      <c r="M62" s="2581"/>
      <c r="N62" s="2580"/>
      <c r="O62" s="2580"/>
      <c r="P62" s="2580"/>
      <c r="Q62" s="2580"/>
      <c r="R62" s="2581"/>
      <c r="S62" s="2580"/>
      <c r="T62" s="2580"/>
      <c r="U62" s="2580"/>
      <c r="V62" s="2580"/>
      <c r="W62" s="2581"/>
      <c r="X62" s="2580"/>
      <c r="Y62" s="2580"/>
      <c r="Z62" s="2580"/>
      <c r="AA62" s="2580"/>
      <c r="AB62" s="2581"/>
      <c r="AC62" s="2580"/>
      <c r="AD62" s="2580"/>
      <c r="AE62" s="2580"/>
      <c r="AF62" s="2580"/>
      <c r="AG62" s="2581"/>
      <c r="AH62" s="2580"/>
      <c r="AI62" s="2580"/>
      <c r="AJ62" s="2580"/>
      <c r="AK62" s="2580"/>
      <c r="AL62" s="2581"/>
      <c r="AM62" s="2580"/>
      <c r="AN62" s="2580"/>
      <c r="AO62" s="2580"/>
      <c r="AP62" s="2580"/>
      <c r="AQ62" s="2581"/>
      <c r="AR62" s="2580"/>
      <c r="AS62" s="2580"/>
      <c r="AT62" s="2580"/>
      <c r="AU62" s="2580"/>
      <c r="AV62" s="2581"/>
      <c r="AW62" s="2580"/>
      <c r="AX62" s="2580"/>
      <c r="AY62" s="2580"/>
      <c r="AZ62" s="2580"/>
      <c r="BA62" s="2581"/>
      <c r="BB62" s="2580"/>
      <c r="BC62" s="2580"/>
      <c r="BD62" s="2580"/>
      <c r="BE62" s="2580"/>
      <c r="BF62" s="2581"/>
      <c r="BG62" s="2580"/>
      <c r="BH62" s="2580"/>
      <c r="BI62" s="2580"/>
      <c r="BJ62" s="2580"/>
      <c r="BK62" s="2581"/>
      <c r="BL62" s="2580"/>
      <c r="BM62" s="2580"/>
      <c r="BN62" s="2580"/>
      <c r="BO62" s="2580"/>
      <c r="BP62" s="2581"/>
      <c r="BQ62" s="2580"/>
      <c r="BR62" s="2580"/>
      <c r="BS62" s="2580"/>
      <c r="BT62" s="2580"/>
      <c r="BU62" s="2581"/>
      <c r="BV62" s="2580"/>
      <c r="BW62" s="2580"/>
      <c r="BX62" s="2580"/>
      <c r="BY62" s="2580"/>
      <c r="BZ62" s="2581"/>
      <c r="CA62" s="2580"/>
      <c r="CB62" s="2580"/>
      <c r="CC62" s="2580"/>
      <c r="CD62" s="2580"/>
      <c r="CE62" s="2581"/>
      <c r="CF62" s="2580"/>
      <c r="CG62" s="2580"/>
      <c r="CH62" s="2580"/>
      <c r="CI62" s="2580"/>
      <c r="CJ62" s="2581"/>
      <c r="CK62" s="2580"/>
      <c r="CL62" s="2580"/>
      <c r="CM62" s="2580"/>
      <c r="CN62" s="2580"/>
      <c r="CO62" s="2581"/>
      <c r="CP62" s="2580"/>
      <c r="CQ62" s="2580"/>
      <c r="CR62" s="2580"/>
      <c r="CS62" s="2580"/>
      <c r="CT62" s="2581"/>
      <c r="CU62" s="2580"/>
      <c r="CV62" s="2580"/>
      <c r="CW62" s="2580"/>
      <c r="CX62" s="2580"/>
      <c r="CY62" s="2581"/>
      <c r="CZ62" s="2580"/>
      <c r="DA62" s="2580"/>
      <c r="DB62" s="2580"/>
      <c r="DC62" s="2580"/>
      <c r="DD62" s="2581"/>
      <c r="DE62" s="2580"/>
      <c r="DF62" s="2580"/>
      <c r="DG62" s="2580"/>
      <c r="DH62" s="2580"/>
      <c r="DI62" s="2581"/>
      <c r="DJ62" s="2580"/>
      <c r="DK62" s="2580"/>
      <c r="DL62" s="2580"/>
      <c r="DM62" s="2580"/>
      <c r="DN62" s="2581"/>
      <c r="DO62" s="2580"/>
      <c r="DP62" s="2580"/>
      <c r="DQ62" s="2580"/>
      <c r="DR62" s="2580"/>
      <c r="DS62" s="2581"/>
      <c r="DT62" s="2580"/>
      <c r="DU62" s="2580"/>
      <c r="DV62" s="2580"/>
      <c r="DW62" s="2580"/>
      <c r="DX62" s="2581"/>
      <c r="DY62" s="2580"/>
      <c r="DZ62" s="2580"/>
      <c r="EA62" s="2580"/>
      <c r="EB62" s="2580"/>
      <c r="EC62" s="2581"/>
      <c r="ED62" s="2580"/>
      <c r="EE62" s="2580"/>
      <c r="EF62" s="2580"/>
      <c r="EG62" s="2580"/>
      <c r="EH62" s="2581"/>
      <c r="EI62" s="2699">
        <f t="shared" ref="EI62:EL62" si="386">EI56+EI61</f>
        <v>5068.75</v>
      </c>
      <c r="EJ62" s="2699">
        <f t="shared" si="386"/>
        <v>5937.75</v>
      </c>
      <c r="EK62" s="2699">
        <f t="shared" si="386"/>
        <v>4304.51</v>
      </c>
      <c r="EL62" s="2699">
        <f t="shared" si="386"/>
        <v>6121.75</v>
      </c>
      <c r="EM62" s="2700">
        <f>EM56+EM61</f>
        <v>21432.760000000002</v>
      </c>
      <c r="EN62" s="2699">
        <f>EN56+EN61</f>
        <v>5667</v>
      </c>
      <c r="EO62" s="2699">
        <f>EO56+EO61</f>
        <v>6363.8721017202697</v>
      </c>
      <c r="EP62" s="2699">
        <f t="shared" ref="EP62:EQ62" si="387">EP56+EP61</f>
        <v>5772.9052720608961</v>
      </c>
      <c r="EQ62" s="2699">
        <f t="shared" si="387"/>
        <v>8685.1548886737655</v>
      </c>
      <c r="ER62" s="2700">
        <f>ER56+ER61</f>
        <v>26469.706889131659</v>
      </c>
      <c r="ES62" s="2699">
        <f>ES56+ES61</f>
        <v>6882.3967935871742</v>
      </c>
      <c r="ET62" s="2699">
        <f>ET56+ET61</f>
        <v>7805.4760606391101</v>
      </c>
      <c r="EU62" s="2699">
        <f t="shared" ref="EU62" si="388">EU56+EU61</f>
        <v>7749.6215715773633</v>
      </c>
      <c r="EV62" s="2580">
        <f t="shared" ref="EV62" si="389">EV56+EV61</f>
        <v>8703.9370269393221</v>
      </c>
      <c r="EW62" s="2581">
        <f>EW56+EW61</f>
        <v>31141.524460292279</v>
      </c>
      <c r="EX62" s="2580">
        <f>EX56+EX61</f>
        <v>7469.7044162524844</v>
      </c>
      <c r="EY62" s="2580">
        <f>EY56+EY61</f>
        <v>8362.5346119404021</v>
      </c>
      <c r="EZ62" s="2580">
        <f t="shared" ref="EZ62" si="390">EZ56+EZ61</f>
        <v>8024.2279268065085</v>
      </c>
      <c r="FA62" s="2580">
        <f t="shared" ref="FA62" si="391">FA56+FA61</f>
        <v>9154.1185762888072</v>
      </c>
      <c r="FB62" s="2581">
        <f>FB56+FB61</f>
        <v>33010.58553128819</v>
      </c>
      <c r="FC62" s="2580">
        <f>FC56+FC61</f>
        <v>8701.3940887455719</v>
      </c>
      <c r="FD62" s="2580">
        <f>FD56+FD61</f>
        <v>9758.3731979844997</v>
      </c>
      <c r="FE62" s="2580">
        <f t="shared" ref="FE62:FF62" si="392">FE56+FE61</f>
        <v>9593.728859668312</v>
      </c>
      <c r="FF62" s="2580">
        <f t="shared" si="392"/>
        <v>10847.240985124954</v>
      </c>
      <c r="FG62" s="2581">
        <f>FG56+FG61</f>
        <v>38900.737131523339</v>
      </c>
      <c r="FH62" s="2580">
        <f>FH56+FH61</f>
        <v>10048.248378268656</v>
      </c>
      <c r="FI62" s="2580">
        <f>FI56+FI61</f>
        <v>11201.373509867381</v>
      </c>
      <c r="FJ62" s="2580">
        <f t="shared" ref="FJ62:FK62" si="393">FJ56+FJ61</f>
        <v>11136.876546979547</v>
      </c>
      <c r="FK62" s="2580">
        <f t="shared" si="393"/>
        <v>12496.780953533422</v>
      </c>
      <c r="FL62" s="2581">
        <f>FL56+FL61</f>
        <v>44883.279388649018</v>
      </c>
      <c r="FN62" s="354"/>
      <c r="FO62" s="354"/>
      <c r="FP62" s="354"/>
      <c r="FQ62" s="354"/>
      <c r="FR62" s="354"/>
      <c r="FS62" s="354"/>
      <c r="FT62" s="354"/>
      <c r="FU62" s="354"/>
      <c r="FV62" s="354"/>
      <c r="FW62" s="354"/>
      <c r="FX62" s="867"/>
      <c r="FY62" s="868"/>
      <c r="FZ62" s="868"/>
      <c r="GA62" s="868"/>
      <c r="GB62" s="868"/>
      <c r="GC62" s="868"/>
      <c r="GD62" s="868"/>
      <c r="GE62" s="868"/>
      <c r="GF62" s="868"/>
      <c r="GG62" s="868"/>
      <c r="GH62" s="868"/>
      <c r="GI62" s="868"/>
      <c r="GJ62" s="267"/>
      <c r="GK62" s="267"/>
      <c r="GL62" s="267"/>
      <c r="GN62"/>
      <c r="GO62"/>
      <c r="GP62"/>
      <c r="GQ62"/>
      <c r="GR62"/>
      <c r="GS62"/>
    </row>
    <row r="63" spans="1:201" s="253" customFormat="1" ht="11.25" customHeight="1">
      <c r="A63" s="2583" t="s">
        <v>1434</v>
      </c>
      <c r="B63" s="2583"/>
      <c r="C63" s="2583"/>
      <c r="D63" s="2584"/>
      <c r="E63" s="2584"/>
      <c r="F63" s="2584"/>
      <c r="G63" s="2584"/>
      <c r="H63" s="2585"/>
      <c r="I63" s="2584"/>
      <c r="J63" s="2584"/>
      <c r="K63" s="2584"/>
      <c r="L63" s="2584"/>
      <c r="M63" s="2585"/>
      <c r="N63" s="2584"/>
      <c r="O63" s="2584"/>
      <c r="P63" s="2584"/>
      <c r="Q63" s="2584"/>
      <c r="R63" s="2585"/>
      <c r="S63" s="2584"/>
      <c r="T63" s="2584"/>
      <c r="U63" s="2584"/>
      <c r="V63" s="2584"/>
      <c r="W63" s="2585"/>
      <c r="X63" s="2584"/>
      <c r="Y63" s="2584"/>
      <c r="Z63" s="2584"/>
      <c r="AA63" s="2584"/>
      <c r="AB63" s="2585"/>
      <c r="AC63" s="2584"/>
      <c r="AD63" s="2584"/>
      <c r="AE63" s="2584"/>
      <c r="AF63" s="2584"/>
      <c r="AG63" s="2585"/>
      <c r="AH63" s="2584"/>
      <c r="AI63" s="2584"/>
      <c r="AJ63" s="2584"/>
      <c r="AK63" s="2584"/>
      <c r="AL63" s="2585"/>
      <c r="AM63" s="2584"/>
      <c r="AN63" s="2584"/>
      <c r="AO63" s="2584"/>
      <c r="AP63" s="2584"/>
      <c r="AQ63" s="2585"/>
      <c r="AR63" s="2584"/>
      <c r="AS63" s="2584"/>
      <c r="AT63" s="2584"/>
      <c r="AU63" s="2584"/>
      <c r="AV63" s="2585"/>
      <c r="AW63" s="2584"/>
      <c r="AX63" s="2584"/>
      <c r="AY63" s="2584"/>
      <c r="AZ63" s="2584"/>
      <c r="BA63" s="2585"/>
      <c r="BB63" s="2584"/>
      <c r="BC63" s="2584"/>
      <c r="BD63" s="2584"/>
      <c r="BE63" s="2584"/>
      <c r="BF63" s="2585"/>
      <c r="BG63" s="2584"/>
      <c r="BH63" s="2584"/>
      <c r="BI63" s="2584"/>
      <c r="BJ63" s="2584"/>
      <c r="BK63" s="2585"/>
      <c r="BL63" s="2584"/>
      <c r="BM63" s="2584"/>
      <c r="BN63" s="2584"/>
      <c r="BO63" s="2584"/>
      <c r="BP63" s="2585"/>
      <c r="BQ63" s="2584"/>
      <c r="BR63" s="2584"/>
      <c r="BS63" s="2584"/>
      <c r="BT63" s="2584"/>
      <c r="BU63" s="2585"/>
      <c r="BV63" s="2584"/>
      <c r="BW63" s="2584"/>
      <c r="BX63" s="2584"/>
      <c r="BY63" s="2584"/>
      <c r="BZ63" s="2585"/>
      <c r="CA63" s="2584"/>
      <c r="CB63" s="2584"/>
      <c r="CC63" s="2584"/>
      <c r="CD63" s="2584"/>
      <c r="CE63" s="2585"/>
      <c r="CF63" s="2584"/>
      <c r="CG63" s="2584"/>
      <c r="CH63" s="2584"/>
      <c r="CI63" s="2584"/>
      <c r="CJ63" s="2585"/>
      <c r="CK63" s="2584"/>
      <c r="CL63" s="2584"/>
      <c r="CM63" s="2584"/>
      <c r="CN63" s="2584"/>
      <c r="CO63" s="2585"/>
      <c r="CP63" s="2584"/>
      <c r="CQ63" s="2584"/>
      <c r="CR63" s="2584"/>
      <c r="CS63" s="2584"/>
      <c r="CT63" s="2585"/>
      <c r="CU63" s="2584"/>
      <c r="CV63" s="2584"/>
      <c r="CW63" s="2584"/>
      <c r="CX63" s="2584"/>
      <c r="CY63" s="2585"/>
      <c r="CZ63" s="2584"/>
      <c r="DA63" s="2584"/>
      <c r="DB63" s="2584"/>
      <c r="DC63" s="2584"/>
      <c r="DD63" s="2585"/>
      <c r="DE63" s="2584"/>
      <c r="DF63" s="2584"/>
      <c r="DG63" s="2584"/>
      <c r="DH63" s="2584"/>
      <c r="DI63" s="2585"/>
      <c r="DJ63" s="2584"/>
      <c r="DK63" s="2584"/>
      <c r="DL63" s="2584"/>
      <c r="DM63" s="2584"/>
      <c r="DN63" s="2585"/>
      <c r="DO63" s="2584"/>
      <c r="DP63" s="2584"/>
      <c r="DQ63" s="2584"/>
      <c r="DR63" s="2584"/>
      <c r="DS63" s="2585"/>
      <c r="DT63" s="2584"/>
      <c r="DU63" s="2584"/>
      <c r="DV63" s="2584"/>
      <c r="DW63" s="2584"/>
      <c r="DX63" s="2585"/>
      <c r="DY63" s="2584"/>
      <c r="DZ63" s="2584"/>
      <c r="EA63" s="2584"/>
      <c r="EB63" s="2584"/>
      <c r="EC63" s="2585"/>
      <c r="ED63" s="2584"/>
      <c r="EE63" s="2584"/>
      <c r="EF63" s="2584"/>
      <c r="EG63" s="2584"/>
      <c r="EH63" s="2585"/>
      <c r="EI63" s="2709">
        <f t="shared" ref="EI63:ER63" si="394">IF(ISERROR(IF(EI62&lt;0,EI62/EI$89,EI62/EI$90)),"--",IF(EI62&lt;0,EI62/EI$89,EI62/EI$90))</f>
        <v>0.62701014349332018</v>
      </c>
      <c r="EJ63" s="2709">
        <f t="shared" si="394"/>
        <v>0.73751707862377347</v>
      </c>
      <c r="EK63" s="2709">
        <f t="shared" si="394"/>
        <v>0.53907451471509082</v>
      </c>
      <c r="EL63" s="2709">
        <f t="shared" si="394"/>
        <v>0.77207087905158278</v>
      </c>
      <c r="EM63" s="2710">
        <f t="shared" si="394"/>
        <v>2.6749989079222445</v>
      </c>
      <c r="EN63" s="2709">
        <f t="shared" si="394"/>
        <v>0.71952767902488568</v>
      </c>
      <c r="EO63" s="2709">
        <f t="shared" si="394"/>
        <v>0.81275505769096679</v>
      </c>
      <c r="EP63" s="2709">
        <f t="shared" si="394"/>
        <v>0.73888458621027719</v>
      </c>
      <c r="EQ63" s="2709">
        <f t="shared" si="394"/>
        <v>1.1126255301913612</v>
      </c>
      <c r="ER63" s="2710">
        <f t="shared" si="394"/>
        <v>3.3800104567127418</v>
      </c>
      <c r="ES63" s="2709">
        <f t="shared" ref="ES63:EU63" si="395">IF(ISERROR(IF(ES62&lt;0,ES62/ES$89,ES62/ES$90)),"--",IF(ES62&lt;0,ES62/ES$89,ES62/ES$90))</f>
        <v>0.88247170067792979</v>
      </c>
      <c r="ET63" s="2709">
        <f t="shared" si="395"/>
        <v>0.99942075040193468</v>
      </c>
      <c r="EU63" s="2709">
        <f t="shared" si="395"/>
        <v>0.99430607795449877</v>
      </c>
      <c r="EV63" s="2584">
        <f t="shared" ref="EU63:FA63" si="396">IF(ISERROR(IF(EV62&lt;0,EV62/EV$89,EV62/EV$90)),"--",IF(EV62&lt;0,EV62/EV$89,EV62/EV$90))</f>
        <v>1.1206449197156294</v>
      </c>
      <c r="EW63" s="2585">
        <f t="shared" si="396"/>
        <v>3.9963585972739439</v>
      </c>
      <c r="EX63" s="2584">
        <f t="shared" si="396"/>
        <v>0.96265014140346705</v>
      </c>
      <c r="EY63" s="2584">
        <f t="shared" si="396"/>
        <v>1.0797642268673247</v>
      </c>
      <c r="EZ63" s="2584">
        <f t="shared" si="396"/>
        <v>1.0380546239979618</v>
      </c>
      <c r="FA63" s="2584">
        <f t="shared" si="396"/>
        <v>1.1864772879762615</v>
      </c>
      <c r="FB63" s="2585">
        <f t="shared" ref="FB63:FF63" si="397">IF(ISERROR(IF(FB62&lt;0,FB62/FB$89,FB62/FB$90)),"--",IF(FB62&lt;0,FB62/FB$89,FB62/FB$90))</f>
        <v>4.2663474850230969</v>
      </c>
      <c r="FC63" s="2584">
        <f t="shared" si="397"/>
        <v>1.1298611518807851</v>
      </c>
      <c r="FD63" s="2584">
        <f t="shared" si="397"/>
        <v>1.2693294093214409</v>
      </c>
      <c r="FE63" s="2584">
        <f t="shared" si="397"/>
        <v>1.2501008213402283</v>
      </c>
      <c r="FF63" s="2584">
        <f t="shared" si="397"/>
        <v>1.4159162633983438</v>
      </c>
      <c r="FG63" s="2585">
        <f t="shared" ref="FG63:FK63" si="398">IF(ISERROR(IF(FG62&lt;0,FG62/FG$89,FG62/FG$90)),"--",IF(FG62&lt;0,FG62/FG$89,FG62/FG$90))</f>
        <v>5.0644729741873231</v>
      </c>
      <c r="FH63" s="2584">
        <f t="shared" si="398"/>
        <v>1.3132311628119737</v>
      </c>
      <c r="FI63" s="2584">
        <f t="shared" si="398"/>
        <v>1.4649614950967069</v>
      </c>
      <c r="FJ63" s="2584">
        <f t="shared" si="398"/>
        <v>1.4575466008081086</v>
      </c>
      <c r="FK63" s="2584">
        <f t="shared" si="398"/>
        <v>1.6366707220666314</v>
      </c>
      <c r="FL63" s="2585">
        <f t="shared" ref="FL63" si="399">IF(ISERROR(IF(FL62&lt;0,FL62/FL$89,FL62/FL$90)),"--",IF(FL62&lt;0,FL62/FL$89,FL62/FL$90))</f>
        <v>5.8720728532054993</v>
      </c>
      <c r="FN63" s="354"/>
      <c r="FO63" s="354"/>
      <c r="FP63" s="354"/>
      <c r="FQ63" s="354"/>
      <c r="FR63" s="354"/>
      <c r="FS63" s="354"/>
      <c r="FT63" s="354"/>
      <c r="FU63" s="354"/>
      <c r="FV63" s="354"/>
      <c r="FW63" s="354"/>
      <c r="FX63" s="867"/>
      <c r="FY63" s="868"/>
      <c r="FZ63" s="868"/>
      <c r="GA63" s="868"/>
      <c r="GB63" s="868"/>
      <c r="GC63" s="868"/>
      <c r="GD63" s="868"/>
      <c r="GE63" s="868"/>
      <c r="GF63" s="868"/>
      <c r="GG63" s="868"/>
      <c r="GH63" s="868"/>
      <c r="GI63" s="868"/>
      <c r="GJ63" s="267"/>
      <c r="GK63" s="267"/>
      <c r="GL63" s="267"/>
      <c r="GN63"/>
      <c r="GO63"/>
      <c r="GP63"/>
      <c r="GQ63"/>
      <c r="GR63"/>
      <c r="GS63"/>
    </row>
    <row r="64" spans="1:201" s="253" customFormat="1" ht="11.25" customHeight="1">
      <c r="A64" s="2586" t="s">
        <v>121</v>
      </c>
      <c r="B64" s="2575"/>
      <c r="C64" s="2575"/>
      <c r="D64" s="2587"/>
      <c r="E64" s="2587"/>
      <c r="F64" s="2587"/>
      <c r="G64" s="2587"/>
      <c r="H64" s="2588"/>
      <c r="I64" s="2587"/>
      <c r="J64" s="2587"/>
      <c r="K64" s="2587"/>
      <c r="L64" s="2587"/>
      <c r="M64" s="2579"/>
      <c r="N64" s="2589"/>
      <c r="O64" s="2589"/>
      <c r="P64" s="2589"/>
      <c r="Q64" s="2589"/>
      <c r="R64" s="2579"/>
      <c r="S64" s="2589"/>
      <c r="T64" s="2589"/>
      <c r="U64" s="2589"/>
      <c r="V64" s="2589"/>
      <c r="W64" s="2579"/>
      <c r="X64" s="2589"/>
      <c r="Y64" s="2589"/>
      <c r="Z64" s="2589"/>
      <c r="AA64" s="2589"/>
      <c r="AB64" s="2579"/>
      <c r="AC64" s="2589"/>
      <c r="AD64" s="2589"/>
      <c r="AE64" s="2589"/>
      <c r="AF64" s="2589"/>
      <c r="AG64" s="2579"/>
      <c r="AH64" s="2589"/>
      <c r="AI64" s="2589"/>
      <c r="AJ64" s="2589"/>
      <c r="AK64" s="2589"/>
      <c r="AL64" s="2579"/>
      <c r="AM64" s="2589"/>
      <c r="AN64" s="2589"/>
      <c r="AO64" s="2589"/>
      <c r="AP64" s="2589"/>
      <c r="AQ64" s="2579"/>
      <c r="AR64" s="2589"/>
      <c r="AS64" s="2589"/>
      <c r="AT64" s="2589"/>
      <c r="AU64" s="2589"/>
      <c r="AV64" s="2579"/>
      <c r="AW64" s="2589"/>
      <c r="AX64" s="2589"/>
      <c r="AY64" s="2589"/>
      <c r="AZ64" s="2589"/>
      <c r="BA64" s="2579"/>
      <c r="BB64" s="2589"/>
      <c r="BC64" s="2589"/>
      <c r="BD64" s="2589"/>
      <c r="BE64" s="2589"/>
      <c r="BF64" s="2579"/>
      <c r="BG64" s="2589"/>
      <c r="BH64" s="2589"/>
      <c r="BI64" s="2589"/>
      <c r="BJ64" s="2589"/>
      <c r="BK64" s="2579"/>
      <c r="BL64" s="2589"/>
      <c r="BM64" s="2589"/>
      <c r="BN64" s="2589"/>
      <c r="BO64" s="2589"/>
      <c r="BP64" s="2579"/>
      <c r="BQ64" s="2589"/>
      <c r="BR64" s="2589"/>
      <c r="BS64" s="2589"/>
      <c r="BT64" s="2589"/>
      <c r="BU64" s="2579"/>
      <c r="BV64" s="2589"/>
      <c r="BW64" s="2589"/>
      <c r="BX64" s="2589"/>
      <c r="BY64" s="2589"/>
      <c r="BZ64" s="2579"/>
      <c r="CA64" s="2589"/>
      <c r="CB64" s="2589"/>
      <c r="CC64" s="2589"/>
      <c r="CD64" s="2589"/>
      <c r="CE64" s="2579"/>
      <c r="CF64" s="2589"/>
      <c r="CG64" s="2589"/>
      <c r="CH64" s="2589"/>
      <c r="CI64" s="2589"/>
      <c r="CJ64" s="2579"/>
      <c r="CK64" s="2589"/>
      <c r="CL64" s="2589"/>
      <c r="CM64" s="2589"/>
      <c r="CN64" s="2589"/>
      <c r="CO64" s="2579"/>
      <c r="CP64" s="2589"/>
      <c r="CQ64" s="2589"/>
      <c r="CR64" s="2589"/>
      <c r="CS64" s="2589"/>
      <c r="CT64" s="2579"/>
      <c r="CU64" s="2589"/>
      <c r="CV64" s="2589"/>
      <c r="CW64" s="2589"/>
      <c r="CX64" s="2589"/>
      <c r="CY64" s="2579"/>
      <c r="CZ64" s="2589"/>
      <c r="DA64" s="2589"/>
      <c r="DB64" s="2589"/>
      <c r="DC64" s="2589"/>
      <c r="DD64" s="2579"/>
      <c r="DE64" s="2589"/>
      <c r="DF64" s="2589"/>
      <c r="DG64" s="2589"/>
      <c r="DH64" s="2589"/>
      <c r="DI64" s="2579"/>
      <c r="DJ64" s="2589"/>
      <c r="DK64" s="2589"/>
      <c r="DL64" s="2589"/>
      <c r="DM64" s="2589"/>
      <c r="DN64" s="2579"/>
      <c r="DO64" s="2589"/>
      <c r="DP64" s="2589"/>
      <c r="DQ64" s="2589"/>
      <c r="DR64" s="2589"/>
      <c r="DS64" s="2579"/>
      <c r="DT64" s="2589"/>
      <c r="DU64" s="2589"/>
      <c r="DV64" s="2589"/>
      <c r="DW64" s="2589"/>
      <c r="DX64" s="2579"/>
      <c r="DY64" s="2589"/>
      <c r="DZ64" s="2589"/>
      <c r="EA64" s="2589"/>
      <c r="EB64" s="2589"/>
      <c r="EC64" s="2579"/>
      <c r="ED64" s="2589"/>
      <c r="EE64" s="2589"/>
      <c r="EF64" s="2589"/>
      <c r="EG64" s="2589"/>
      <c r="EH64" s="2579"/>
      <c r="EI64" s="2589"/>
      <c r="EJ64" s="2589"/>
      <c r="EK64" s="2589"/>
      <c r="EL64" s="2589"/>
      <c r="EM64" s="2579"/>
      <c r="EN64" s="2589">
        <f>EN63/EI63-1</f>
        <v>0.14755349094691494</v>
      </c>
      <c r="EO64" s="2589">
        <f t="shared" ref="EO64:EU64" si="400">EO63/EJ63-1</f>
        <v>0.10201523632183451</v>
      </c>
      <c r="EP64" s="2589">
        <f t="shared" si="400"/>
        <v>0.3706539004181808</v>
      </c>
      <c r="EQ64" s="2589"/>
      <c r="ER64" s="2579">
        <f t="shared" si="400"/>
        <v>0.26355582677157119</v>
      </c>
      <c r="ES64" s="2589">
        <f>ES63/EN63-1</f>
        <v>0.22645969905406305</v>
      </c>
      <c r="ET64" s="2589">
        <f t="shared" si="400"/>
        <v>0.22967029358301905</v>
      </c>
      <c r="EU64" s="2589">
        <f t="shared" si="400"/>
        <v>0.34568523489476588</v>
      </c>
      <c r="EV64" s="2589">
        <f t="shared" ref="EU64:FB64" si="401">EV63/EQ63-1</f>
        <v>7.2076267411271822E-3</v>
      </c>
      <c r="EW64" s="2579">
        <f t="shared" si="401"/>
        <v>0.18235095673657664</v>
      </c>
      <c r="EX64" s="2589">
        <f t="shared" si="401"/>
        <v>9.0856670716967791E-2</v>
      </c>
      <c r="EY64" s="2589">
        <f t="shared" si="401"/>
        <v>8.0390042365118486E-2</v>
      </c>
      <c r="EZ64" s="2589">
        <f t="shared" si="401"/>
        <v>4.3999073337118944E-2</v>
      </c>
      <c r="FA64" s="2589">
        <f t="shared" si="401"/>
        <v>5.8745073575434903E-2</v>
      </c>
      <c r="FB64" s="2579">
        <f t="shared" si="401"/>
        <v>6.7558724067785514E-2</v>
      </c>
      <c r="FC64" s="2589">
        <f t="shared" ref="FC64" si="402">FC63/EX63-1</f>
        <v>0.17369862973638339</v>
      </c>
      <c r="FD64" s="2589">
        <f t="shared" ref="FD64" si="403">FD63/EY63-1</f>
        <v>0.17556164367854077</v>
      </c>
      <c r="FE64" s="2589">
        <f t="shared" ref="FE64" si="404">FE63/EZ63-1</f>
        <v>0.20427267741035826</v>
      </c>
      <c r="FF64" s="2589">
        <f t="shared" ref="FF64" si="405">FF63/FA63-1</f>
        <v>0.19337831220809076</v>
      </c>
      <c r="FG64" s="2579">
        <f t="shared" ref="FG64" si="406">FG63/FB63-1</f>
        <v>0.18707465624073638</v>
      </c>
      <c r="FH64" s="2589">
        <f t="shared" ref="FH64" si="407">FH63/FC63-1</f>
        <v>0.1622942877768192</v>
      </c>
      <c r="FI64" s="2589">
        <f t="shared" ref="FI64" si="408">FI63/FD63-1</f>
        <v>0.15412239276788453</v>
      </c>
      <c r="FJ64" s="2589">
        <f t="shared" ref="FJ64" si="409">FJ63/FE63-1</f>
        <v>0.16594323907849162</v>
      </c>
      <c r="FK64" s="2589">
        <f t="shared" ref="FK64" si="410">FK63/FF63-1</f>
        <v>0.1559092612853068</v>
      </c>
      <c r="FL64" s="2579">
        <f t="shared" ref="FL64" si="411">FL63/FG63-1</f>
        <v>0.15946375528793677</v>
      </c>
      <c r="FN64" s="354"/>
      <c r="FO64" s="354"/>
      <c r="FP64" s="354"/>
      <c r="FQ64" s="354"/>
      <c r="FR64" s="354"/>
      <c r="FS64" s="354"/>
      <c r="FT64" s="354"/>
      <c r="FU64" s="354"/>
      <c r="FV64" s="354"/>
      <c r="FW64" s="354"/>
      <c r="FX64" s="867"/>
      <c r="FY64" s="868"/>
      <c r="FZ64" s="868"/>
      <c r="GA64" s="868"/>
      <c r="GB64" s="868"/>
      <c r="GC64" s="868"/>
      <c r="GD64" s="868"/>
      <c r="GE64" s="868"/>
      <c r="GF64" s="868"/>
      <c r="GG64" s="868"/>
      <c r="GH64" s="3102"/>
      <c r="GI64" s="868"/>
      <c r="GJ64" s="267"/>
      <c r="GK64" s="267"/>
      <c r="GL64" s="267"/>
      <c r="GN64"/>
      <c r="GO64"/>
      <c r="GP64"/>
      <c r="GQ64"/>
      <c r="GR64"/>
      <c r="GS64"/>
    </row>
    <row r="65" spans="1:201" s="253" customFormat="1" ht="11.25" customHeight="1">
      <c r="A65" s="366"/>
      <c r="D65" s="267"/>
      <c r="E65" s="267"/>
      <c r="F65" s="267"/>
      <c r="G65" s="267"/>
      <c r="H65" s="354"/>
      <c r="I65" s="267"/>
      <c r="J65" s="267"/>
      <c r="K65" s="267"/>
      <c r="L65" s="267"/>
      <c r="M65" s="354"/>
      <c r="N65" s="267"/>
      <c r="O65" s="267"/>
      <c r="P65" s="267"/>
      <c r="Q65" s="267"/>
      <c r="R65" s="354"/>
      <c r="S65" s="267"/>
      <c r="T65" s="267"/>
      <c r="U65" s="267"/>
      <c r="V65" s="267"/>
      <c r="W65" s="354"/>
      <c r="X65" s="267"/>
      <c r="Y65" s="267"/>
      <c r="Z65" s="267"/>
      <c r="AA65" s="267"/>
      <c r="AB65" s="354"/>
      <c r="AC65" s="267"/>
      <c r="AD65" s="267"/>
      <c r="AE65" s="267"/>
      <c r="AF65" s="267"/>
      <c r="AG65" s="354"/>
      <c r="AH65" s="267"/>
      <c r="AI65" s="267"/>
      <c r="AJ65" s="267"/>
      <c r="AK65" s="267"/>
      <c r="AL65" s="354"/>
      <c r="AM65" s="267"/>
      <c r="AN65" s="267"/>
      <c r="AO65" s="267"/>
      <c r="AP65" s="267"/>
      <c r="AQ65" s="354"/>
      <c r="AR65" s="267"/>
      <c r="AS65" s="267"/>
      <c r="AT65" s="267"/>
      <c r="AU65" s="267"/>
      <c r="AV65" s="354"/>
      <c r="AW65" s="267"/>
      <c r="AX65" s="267"/>
      <c r="AY65" s="267"/>
      <c r="AZ65" s="267"/>
      <c r="BA65" s="354"/>
      <c r="BB65" s="267"/>
      <c r="BC65" s="267"/>
      <c r="BD65" s="267"/>
      <c r="BE65" s="267"/>
      <c r="BF65" s="354"/>
      <c r="BG65" s="267"/>
      <c r="BH65" s="267"/>
      <c r="BI65" s="267"/>
      <c r="BJ65" s="267"/>
      <c r="BK65" s="354"/>
      <c r="BL65" s="267"/>
      <c r="BM65" s="267"/>
      <c r="BN65" s="267"/>
      <c r="BO65" s="267"/>
      <c r="BP65" s="354"/>
      <c r="BQ65" s="267"/>
      <c r="BR65" s="267"/>
      <c r="BS65" s="267"/>
      <c r="BT65" s="267"/>
      <c r="BU65" s="354"/>
      <c r="BV65" s="267"/>
      <c r="BW65" s="267"/>
      <c r="BX65" s="267"/>
      <c r="BY65" s="267"/>
      <c r="BZ65" s="354"/>
      <c r="CA65" s="267"/>
      <c r="CB65" s="267"/>
      <c r="CC65" s="267"/>
      <c r="CD65" s="267"/>
      <c r="CE65" s="354"/>
      <c r="CF65" s="267"/>
      <c r="CG65" s="267"/>
      <c r="CH65" s="267"/>
      <c r="CI65" s="267"/>
      <c r="CJ65" s="354"/>
      <c r="CK65" s="267"/>
      <c r="CL65" s="267"/>
      <c r="CM65" s="267"/>
      <c r="CN65" s="267"/>
      <c r="CO65" s="354"/>
      <c r="CP65" s="267"/>
      <c r="CQ65" s="267"/>
      <c r="CR65" s="267"/>
      <c r="CS65" s="267"/>
      <c r="CT65" s="354"/>
      <c r="CU65" s="267"/>
      <c r="CV65" s="267"/>
      <c r="CW65" s="267"/>
      <c r="CX65" s="267"/>
      <c r="CY65" s="354"/>
      <c r="CZ65" s="267"/>
      <c r="DA65" s="267"/>
      <c r="DB65" s="267"/>
      <c r="DC65" s="360"/>
      <c r="DD65" s="361"/>
      <c r="DE65" s="362"/>
      <c r="DF65" s="360"/>
      <c r="DG65" s="360"/>
      <c r="DH65" s="360"/>
      <c r="DI65" s="361"/>
      <c r="DJ65" s="362"/>
      <c r="DK65" s="362"/>
      <c r="DL65" s="362"/>
      <c r="DM65" s="360"/>
      <c r="DN65" s="361"/>
      <c r="DO65" s="360"/>
      <c r="DP65" s="362"/>
      <c r="DQ65" s="362"/>
      <c r="DR65" s="360"/>
      <c r="DS65" s="821"/>
      <c r="DT65" s="360"/>
      <c r="DU65" s="896"/>
      <c r="DV65" s="896"/>
      <c r="DW65" s="360"/>
      <c r="DX65" s="821"/>
      <c r="DY65" s="360"/>
      <c r="DZ65" s="896"/>
      <c r="EA65" s="896"/>
      <c r="EB65" s="360"/>
      <c r="EC65" s="821"/>
      <c r="ED65" s="360"/>
      <c r="EE65" s="896"/>
      <c r="EF65" s="896"/>
      <c r="EG65" s="896"/>
      <c r="EH65" s="361"/>
      <c r="EI65" s="2706"/>
      <c r="EJ65" s="2707"/>
      <c r="EK65" s="2707"/>
      <c r="EL65" s="2707"/>
      <c r="EM65" s="313"/>
      <c r="EN65" s="355"/>
      <c r="EO65" s="355"/>
      <c r="EP65" s="355"/>
      <c r="EQ65" s="2707"/>
      <c r="ER65" s="313"/>
      <c r="ES65" s="355"/>
      <c r="ET65" s="355"/>
      <c r="EU65" s="355"/>
      <c r="EV65" s="355"/>
      <c r="EW65" s="313"/>
      <c r="EX65" s="355"/>
      <c r="EY65" s="355"/>
      <c r="EZ65" s="355"/>
      <c r="FA65" s="355"/>
      <c r="FB65" s="313"/>
      <c r="FC65" s="355"/>
      <c r="FD65" s="355"/>
      <c r="FE65" s="355"/>
      <c r="FF65" s="355"/>
      <c r="FG65" s="313"/>
      <c r="FH65" s="355"/>
      <c r="FI65" s="355"/>
      <c r="FJ65" s="355"/>
      <c r="FK65" s="355"/>
      <c r="FL65" s="313"/>
      <c r="FN65" s="354"/>
      <c r="FO65" s="354"/>
      <c r="FP65" s="354"/>
      <c r="FQ65" s="354"/>
      <c r="FR65" s="354"/>
      <c r="FS65" s="354"/>
      <c r="FT65" s="354"/>
      <c r="FU65" s="354"/>
      <c r="FV65" s="354"/>
      <c r="FW65" s="354"/>
      <c r="FX65" s="867"/>
      <c r="FY65" s="868"/>
      <c r="FZ65" s="868"/>
      <c r="GA65" s="868"/>
      <c r="GB65" s="868"/>
      <c r="GC65" s="868"/>
      <c r="GD65" s="868"/>
      <c r="GE65" s="868"/>
      <c r="GF65" s="868"/>
      <c r="GG65" s="868"/>
      <c r="GH65" s="868"/>
      <c r="GI65" s="868"/>
      <c r="GJ65" s="267"/>
      <c r="GK65" s="267"/>
      <c r="GL65" s="267"/>
      <c r="GN65"/>
      <c r="GO65"/>
      <c r="GP65"/>
      <c r="GQ65"/>
      <c r="GR65"/>
      <c r="GS65"/>
    </row>
    <row r="66" spans="1:201" s="307" customFormat="1" ht="11.25" customHeight="1">
      <c r="A66" s="303" t="s">
        <v>863</v>
      </c>
      <c r="B66" s="303"/>
      <c r="C66" s="303"/>
      <c r="D66" s="329"/>
      <c r="E66" s="329"/>
      <c r="F66" s="329"/>
      <c r="G66" s="329"/>
      <c r="H66" s="331"/>
      <c r="I66" s="329"/>
      <c r="J66" s="329"/>
      <c r="K66" s="329"/>
      <c r="L66" s="329"/>
      <c r="M66" s="331"/>
      <c r="N66" s="329"/>
      <c r="O66" s="329"/>
      <c r="P66" s="329"/>
      <c r="Q66" s="329"/>
      <c r="R66" s="331"/>
      <c r="S66" s="329"/>
      <c r="T66" s="329"/>
      <c r="U66" s="329"/>
      <c r="V66" s="329"/>
      <c r="W66" s="331"/>
      <c r="X66" s="329"/>
      <c r="Y66" s="329"/>
      <c r="Z66" s="329"/>
      <c r="AA66" s="329"/>
      <c r="AB66" s="331"/>
      <c r="AC66" s="329"/>
      <c r="AD66" s="329"/>
      <c r="AE66" s="329"/>
      <c r="AF66" s="329"/>
      <c r="AG66" s="331"/>
      <c r="AH66" s="329"/>
      <c r="AI66" s="329"/>
      <c r="AJ66" s="329"/>
      <c r="AK66" s="329"/>
      <c r="AL66" s="331"/>
      <c r="AM66" s="329"/>
      <c r="AN66" s="329"/>
      <c r="AO66" s="329"/>
      <c r="AP66" s="329"/>
      <c r="AQ66" s="331"/>
      <c r="AR66" s="329"/>
      <c r="AS66" s="329"/>
      <c r="AT66" s="329"/>
      <c r="AU66" s="329"/>
      <c r="AV66" s="331"/>
      <c r="AW66" s="329"/>
      <c r="AX66" s="329"/>
      <c r="AY66" s="329"/>
      <c r="AZ66" s="329"/>
      <c r="BA66" s="331"/>
      <c r="BB66" s="329"/>
      <c r="BC66" s="329"/>
      <c r="BD66" s="329"/>
      <c r="BE66" s="329"/>
      <c r="BF66" s="331"/>
      <c r="BG66" s="329"/>
      <c r="BH66" s="329"/>
      <c r="BI66" s="329"/>
      <c r="BJ66" s="329"/>
      <c r="BK66" s="331"/>
      <c r="BL66" s="329"/>
      <c r="BM66" s="329"/>
      <c r="BN66" s="329"/>
      <c r="BO66" s="329"/>
      <c r="BP66" s="331"/>
      <c r="BQ66" s="329"/>
      <c r="BR66" s="329"/>
      <c r="BS66" s="329"/>
      <c r="BT66" s="329"/>
      <c r="BU66" s="331"/>
      <c r="BV66" s="329">
        <f>CF!BV9*(1-IS!BV55)</f>
        <v>701.99146701673783</v>
      </c>
      <c r="BW66" s="329">
        <f>CF!BW9*(1-IS!BW55)</f>
        <v>708.73934426229516</v>
      </c>
      <c r="BX66" s="329">
        <f>CF!BX9*(1-IS!BX55)</f>
        <v>655.25999999999988</v>
      </c>
      <c r="BY66" s="329">
        <f>CF!BY9*(1-IS!BY55)</f>
        <v>445.54999999999995</v>
      </c>
      <c r="BZ66" s="331">
        <f>SUM(BV66:BY66)</f>
        <v>2511.5408112790328</v>
      </c>
      <c r="CA66" s="329">
        <f>CF!CA9*(1-IS!CA55)</f>
        <v>680.13586259933345</v>
      </c>
      <c r="CB66" s="329">
        <f>CF!CB9*(1-IS!CB55)</f>
        <v>2165.4399999999996</v>
      </c>
      <c r="CC66" s="329">
        <f>CF!CC9*(1-IS!CC55)</f>
        <v>498.82201453790236</v>
      </c>
      <c r="CD66" s="329">
        <f>CF!CD9*(1-IS!CD55)</f>
        <v>495.12800432082099</v>
      </c>
      <c r="CE66" s="331">
        <f>SUM(CA66:CD66)</f>
        <v>3839.5258814580566</v>
      </c>
      <c r="CF66" s="329">
        <f>CF!CF9*(1-IS!CF55)</f>
        <v>499.14481318171272</v>
      </c>
      <c r="CG66" s="329">
        <f>CF!CG9*(1-IS!CG55)</f>
        <v>369.1454826852389</v>
      </c>
      <c r="CH66" s="329">
        <f>CF!CH9*(1-IS!CH55)</f>
        <v>413.4235837143479</v>
      </c>
      <c r="CI66" s="329">
        <f>CF!CI9*(1-IS!CI55)</f>
        <v>369.15</v>
      </c>
      <c r="CJ66" s="331">
        <f>SUM(CF66:CI66)</f>
        <v>1650.8638795812994</v>
      </c>
      <c r="CK66" s="329">
        <f>CF!CK9*(1-IS!CK55)</f>
        <v>320.15999999999997</v>
      </c>
      <c r="CL66" s="329">
        <f>CF!CL9*(1-IS!CL55)</f>
        <v>354.73803036200854</v>
      </c>
      <c r="CM66" s="329">
        <f>CF!CM9*(1-IS!CM55)</f>
        <v>258.06</v>
      </c>
      <c r="CN66" s="329">
        <f>CF!CN9*(1-IS!CN55)</f>
        <v>250.42355237475601</v>
      </c>
      <c r="CO66" s="331">
        <f>SUM(CK66:CN66)</f>
        <v>1183.3815827367644</v>
      </c>
      <c r="CP66" s="329">
        <f>CF!CP9*(1-IS!CP55)</f>
        <v>314.61376710970046</v>
      </c>
      <c r="CQ66" s="329">
        <f>CF!CQ9*(1-IS!CQ55)</f>
        <v>301.59316688567674</v>
      </c>
      <c r="CR66" s="329">
        <f>CF!CR9*(1-IS!CR55)</f>
        <v>220.0821052631579</v>
      </c>
      <c r="CS66" s="329">
        <f>CF!CS9*(1-IS!CS55)</f>
        <v>257.4259501965924</v>
      </c>
      <c r="CT66" s="331">
        <f>CF!CT9*(1-IS!CT55)</f>
        <v>1096.825731981982</v>
      </c>
      <c r="CU66" s="329">
        <f>CF!CU9*(1-IS!CU55)</f>
        <v>229.76785714285714</v>
      </c>
      <c r="CV66" s="329">
        <f>CF!CV9*(1-IS!CV55)</f>
        <v>248.4633431085044</v>
      </c>
      <c r="CW66" s="329">
        <f>CF!CW9*(1-IS!CW55)</f>
        <v>264.58021519190618</v>
      </c>
      <c r="CX66" s="329">
        <f>CF!CX9*(1-IS!CX55)</f>
        <v>297.36276809651474</v>
      </c>
      <c r="CY66" s="331">
        <f>CF!CY9*(1-IS!CY55)</f>
        <v>1038.1312670920693</v>
      </c>
      <c r="CZ66" s="329">
        <f>CF!CZ9*(1-IS!CZ55)</f>
        <v>323.35820397262563</v>
      </c>
      <c r="DA66" s="329">
        <f>CF!DA9*(1-IS!DA55)</f>
        <v>308.71904930826537</v>
      </c>
      <c r="DB66" s="329">
        <f>CF!DB9*(1-IS!DB55)</f>
        <v>317.54268907563022</v>
      </c>
      <c r="DC66" s="329">
        <f>CF!DC9*(1-IS!DC55)</f>
        <v>305.76</v>
      </c>
      <c r="DD66" s="331">
        <f>CF!DD9*(1-IS!DD55)</f>
        <v>1255.3746540183947</v>
      </c>
      <c r="DE66" s="329">
        <f>CF!DE9*(1-IS!DE55)</f>
        <v>332.2732423924449</v>
      </c>
      <c r="DF66" s="329">
        <f>CF!DF9*(1-IS!DF55)</f>
        <v>363.73635033209501</v>
      </c>
      <c r="DG66" s="329">
        <f>CF!DG9*(1-IS!DG55)</f>
        <v>360.77251451039132</v>
      </c>
      <c r="DH66" s="329">
        <f>CF!DH9*(1-IS!DH55)</f>
        <v>361.5</v>
      </c>
      <c r="DI66" s="331">
        <f>CF!DI9*(1-IS!DI55)</f>
        <v>1418.2689001719107</v>
      </c>
      <c r="DJ66" s="329">
        <f>CF!DJ9*(1-IS!DJ55)</f>
        <v>395.0871369294606</v>
      </c>
      <c r="DK66" s="329">
        <f>CF!DK9*(1-IS!DK55)</f>
        <v>431.75261857126048</v>
      </c>
      <c r="DL66" s="329">
        <f>CF!DL9*(1-IS!DL55)</f>
        <v>469.79452282157672</v>
      </c>
      <c r="DM66" s="329">
        <f>CF!DM9*(1-IS!DM55)</f>
        <v>505.68068078208893</v>
      </c>
      <c r="DN66" s="331">
        <f>CF!FR9*(1-IS!DN55)</f>
        <v>1736.7861503471393</v>
      </c>
      <c r="DO66" s="329">
        <f>CF!DO9*(1-IS!DO55)</f>
        <v>438.24308787298111</v>
      </c>
      <c r="DP66" s="329">
        <f>CF!DP9*(1-IS!DP55)</f>
        <v>462.28911275640246</v>
      </c>
      <c r="DQ66" s="329">
        <f>CF!DQ9*(1-IS!DQ55)</f>
        <v>474.43470061291845</v>
      </c>
      <c r="DR66" s="329">
        <f>CF!DR9*(1-IS!DR55)</f>
        <v>452.46031746031747</v>
      </c>
      <c r="DS66" s="331">
        <f>CF!FW9*(1-IS!DS55)</f>
        <v>1099.1163035839775</v>
      </c>
      <c r="DT66" s="329">
        <f>CF!DT9*(1-IS!DT55)</f>
        <v>486.62775569208532</v>
      </c>
      <c r="DU66" s="329">
        <f>CF!DU9*(1-IS!DU55)</f>
        <v>494.89459459459465</v>
      </c>
      <c r="DV66" s="329">
        <f>CF!DV9*(1-IS!DV55)</f>
        <v>487.76535508637238</v>
      </c>
      <c r="DW66" s="329">
        <f>CF!DW9*(1-IS!DW55)</f>
        <v>485.59235150528889</v>
      </c>
      <c r="DX66" s="331">
        <f>CF!DX9*(1-IS!DX55)</f>
        <v>1944.4912760609197</v>
      </c>
      <c r="DY66" s="329">
        <f>CF!DY9*(1-IS!DY55)</f>
        <v>519.65355805243451</v>
      </c>
      <c r="DZ66" s="329">
        <f>CF!DZ9*(1-IS!DZ55)</f>
        <v>491.97486671744099</v>
      </c>
      <c r="EA66" s="329">
        <f>CF!EA9*(1-IS!EA55)</f>
        <v>489.76857841023428</v>
      </c>
      <c r="EB66" s="329">
        <f>CF!EB9*(1-IS!EB55)</f>
        <v>436.85889021479716</v>
      </c>
      <c r="EC66" s="331">
        <f>CF!EC9*(1-IS!EC55)</f>
        <v>1942.7353019479119</v>
      </c>
      <c r="ED66" s="329">
        <f>CF!ED9*(1-IS!ED55)</f>
        <v>499.09835133598631</v>
      </c>
      <c r="EE66" s="329">
        <f>CF!EE9*(1-IS!EE55)</f>
        <v>471.06218617226733</v>
      </c>
      <c r="EF66" s="329">
        <f>CF!EF9*(1-IS!EF55)</f>
        <v>494.5840166989712</v>
      </c>
      <c r="EG66" s="329">
        <f>CF!EG9*(1-IS!EG55)</f>
        <v>513.15803651601311</v>
      </c>
      <c r="EH66" s="331">
        <f>CF!EH9*(1-IS!EH55)</f>
        <v>1975.2382236095345</v>
      </c>
      <c r="EI66" s="329">
        <f>CF!EI9*(1-IS!EI55)</f>
        <v>567.40367048663018</v>
      </c>
      <c r="EJ66" s="329">
        <f>CF!EJ9*(1-IS!EJ55)</f>
        <v>534.25946943798715</v>
      </c>
      <c r="EK66" s="329">
        <f>CF!EK9*(1-IS!EK55)</f>
        <v>476.93828854080789</v>
      </c>
      <c r="EL66" s="329">
        <f>CF!EL9*(1-IS!EL55)</f>
        <v>553.03972789115642</v>
      </c>
      <c r="EM66" s="331">
        <f>CF!EM9*(1-IS!EM55)</f>
        <v>2137.7473430782456</v>
      </c>
      <c r="EN66" s="329">
        <f>CF!EN9*(1-IS!EN55)</f>
        <v>583.55075435769731</v>
      </c>
      <c r="EO66" s="329">
        <f>CF!EO9*(1-IS!EO55)</f>
        <v>599.20082273747198</v>
      </c>
      <c r="EP66" s="329">
        <f>CF!EP9*(1-IS!EP55)</f>
        <v>682.8500140964195</v>
      </c>
      <c r="EQ66" s="329">
        <f>CF!EQ9*(1-IS!EQ55)</f>
        <v>918.30300096805422</v>
      </c>
      <c r="ER66" s="331">
        <f>CF!ER9*(1-IS!ER55)</f>
        <v>2782.160161551958</v>
      </c>
      <c r="ES66" s="329">
        <f>CF!ES9*(1-IS!ES55)</f>
        <v>801.40881763527057</v>
      </c>
      <c r="ET66" s="329">
        <f>CF!ET9*(1-IS!ET55)</f>
        <v>806.30690369724073</v>
      </c>
      <c r="EU66" s="329">
        <f>CF!EU9*(1-IS!EU55)</f>
        <v>832.52586506191403</v>
      </c>
      <c r="EV66" s="329">
        <f>CF!EV9*(1-IS!EV55)</f>
        <v>789.54119999999989</v>
      </c>
      <c r="EW66" s="331">
        <f>CF!EW9*(1-IS!EW55)</f>
        <v>3230.79651870102</v>
      </c>
      <c r="EX66" s="329">
        <f>CF!EX9*(1-IS!EX55)</f>
        <v>727.10634974999994</v>
      </c>
      <c r="EY66" s="329">
        <f>CF!EY9*(1-IS!EY55)</f>
        <v>705.29315925749984</v>
      </c>
      <c r="EZ66" s="329">
        <f>CF!EZ9*(1-IS!EZ55)</f>
        <v>684.13436447977483</v>
      </c>
      <c r="FA66" s="329">
        <f>CF!FA9*(1-IS!FA55)</f>
        <v>663.61033354538165</v>
      </c>
      <c r="FB66" s="331">
        <f>CF!FB9*(1-IS!FB55)</f>
        <v>2780.1442070326557</v>
      </c>
      <c r="FC66" s="329">
        <f>CF!FC9*(1-IS!FC55)</f>
        <v>643.70202353902016</v>
      </c>
      <c r="FD66" s="329">
        <f>CF!FD9*(1-IS!FD55)</f>
        <v>624.39096283284948</v>
      </c>
      <c r="FE66" s="329">
        <f>CF!FE9*(1-IS!FE55)</f>
        <v>605.65923394786398</v>
      </c>
      <c r="FF66" s="329">
        <f>CF!FF9*(1-IS!FF55)</f>
        <v>587.48945692942812</v>
      </c>
      <c r="FG66" s="331">
        <f>CF!FG9*(1-IS!FG55)</f>
        <v>2461.2416772491615</v>
      </c>
      <c r="FH66" s="329">
        <f>CF!FH9*(1-IS!FH55)</f>
        <v>569.86477322154531</v>
      </c>
      <c r="FI66" s="329">
        <f>CF!FI9*(1-IS!FI55)</f>
        <v>552.76883002489888</v>
      </c>
      <c r="FJ66" s="329">
        <f>CF!FJ9*(1-IS!FJ55)</f>
        <v>536.18576512415189</v>
      </c>
      <c r="FK66" s="329">
        <f>CF!FK9*(1-IS!FK55)</f>
        <v>520.10019217042736</v>
      </c>
      <c r="FL66" s="331">
        <f>CF!FL9*(1-IS!FL55)</f>
        <v>2178.9195605410237</v>
      </c>
      <c r="FN66" s="330">
        <f>BD66+BE66+BG66+BH66</f>
        <v>0</v>
      </c>
      <c r="FO66" s="330">
        <f>BI66+BJ66+BL66+BM66</f>
        <v>0</v>
      </c>
      <c r="FP66" s="330">
        <f>BN66+BO66+BQ66+BR66</f>
        <v>0</v>
      </c>
      <c r="FQ66" s="330">
        <f>BS66+BT66+BV66+BW66</f>
        <v>1410.7308112790329</v>
      </c>
      <c r="FR66" s="330">
        <f>BX66+BY66+CA66+CB66</f>
        <v>3946.385862599333</v>
      </c>
      <c r="FS66" s="330"/>
      <c r="FT66" s="330">
        <f>CH66+CI66+CK66+CL66</f>
        <v>1457.4716140763562</v>
      </c>
      <c r="FU66" s="330">
        <f>CM66+CN66+CP66+CQ66</f>
        <v>1124.6904863701332</v>
      </c>
      <c r="FV66" s="330">
        <f>CR66+CS66+CU66+CV66</f>
        <v>955.73925571111181</v>
      </c>
      <c r="FW66" s="330">
        <f>CW66+CX66+CZ66+DA66</f>
        <v>1194.0202365693119</v>
      </c>
      <c r="FX66" s="855">
        <f>DB66+DC66+DE66+DF66</f>
        <v>1319.3122818001702</v>
      </c>
      <c r="FY66" s="856">
        <f>DG66+DH66+DJ66+DK66</f>
        <v>1549.1122700111123</v>
      </c>
      <c r="FZ66" s="856">
        <f>SUM(DO66:DP66,DL66:DM66)</f>
        <v>1876.0074042330493</v>
      </c>
      <c r="GA66" s="856">
        <f>SUM(DT66:DU66,DQ66:DR66)</f>
        <v>1908.4173683599161</v>
      </c>
      <c r="GB66" s="856">
        <f>SUM(DY66:DZ66,DV66:DW66)</f>
        <v>1984.9861313615368</v>
      </c>
      <c r="GC66" s="856">
        <f>SUM(ED66:EE66,EA66:EB66)</f>
        <v>1896.7880061332851</v>
      </c>
      <c r="GD66" s="856">
        <f>SUM(EI66:EJ66,EF66:EG66)</f>
        <v>2109.4051931396016</v>
      </c>
      <c r="GE66" s="856">
        <f>SUM(EN66:EO66,EK66:EL66)</f>
        <v>2212.7295935271336</v>
      </c>
      <c r="GF66" s="856">
        <f>SUM(ES66:ET66,EP66:EQ66)</f>
        <v>3208.8687363969848</v>
      </c>
      <c r="GG66" s="856">
        <f>SUM(EX66:EY66,EU66:EV66)</f>
        <v>3054.4665740694136</v>
      </c>
      <c r="GH66" s="856">
        <f>SUM(FC66:FD66,EZ66:FA66)</f>
        <v>2615.8376843970264</v>
      </c>
      <c r="GI66" s="856">
        <f>SUM(FH66:FI66,FE66:FF66)</f>
        <v>2315.7822941237364</v>
      </c>
      <c r="GJ66" s="303"/>
      <c r="GK66" s="303"/>
      <c r="GL66" s="303"/>
      <c r="GN66"/>
      <c r="GO66"/>
      <c r="GP66"/>
      <c r="GQ66"/>
      <c r="GR66"/>
      <c r="GS66"/>
    </row>
    <row r="67" spans="1:201" s="307" customFormat="1" ht="11.25" customHeight="1">
      <c r="A67" s="303" t="s">
        <v>120</v>
      </c>
      <c r="B67" s="303"/>
      <c r="C67" s="303"/>
      <c r="D67" s="329"/>
      <c r="E67" s="329"/>
      <c r="F67" s="329"/>
      <c r="G67" s="329"/>
      <c r="H67" s="331"/>
      <c r="I67" s="329"/>
      <c r="J67" s="329"/>
      <c r="K67" s="329"/>
      <c r="L67" s="329"/>
      <c r="M67" s="331"/>
      <c r="N67" s="329"/>
      <c r="O67" s="329"/>
      <c r="P67" s="329"/>
      <c r="Q67" s="329"/>
      <c r="R67" s="331"/>
      <c r="S67" s="329"/>
      <c r="T67" s="329"/>
      <c r="U67" s="329"/>
      <c r="V67" s="329"/>
      <c r="W67" s="331"/>
      <c r="X67" s="329"/>
      <c r="Y67" s="329"/>
      <c r="Z67" s="329"/>
      <c r="AA67" s="329"/>
      <c r="AB67" s="331"/>
      <c r="AC67" s="329"/>
      <c r="AD67" s="329"/>
      <c r="AE67" s="329"/>
      <c r="AF67" s="329"/>
      <c r="AG67" s="331"/>
      <c r="AH67" s="329"/>
      <c r="AI67" s="329"/>
      <c r="AJ67" s="329"/>
      <c r="AK67" s="329"/>
      <c r="AL67" s="331"/>
      <c r="AM67" s="329"/>
      <c r="AN67" s="329"/>
      <c r="AO67" s="329"/>
      <c r="AP67" s="329"/>
      <c r="AQ67" s="331"/>
      <c r="AR67" s="329"/>
      <c r="AS67" s="329"/>
      <c r="AT67" s="329"/>
      <c r="AU67" s="329"/>
      <c r="AV67" s="331"/>
      <c r="AW67" s="329"/>
      <c r="AX67" s="329"/>
      <c r="AY67" s="329"/>
      <c r="AZ67" s="329"/>
      <c r="BA67" s="331"/>
      <c r="BB67" s="329"/>
      <c r="BC67" s="329"/>
      <c r="BD67" s="329"/>
      <c r="BE67" s="329"/>
      <c r="BF67" s="331"/>
      <c r="BG67" s="329"/>
      <c r="BH67" s="329"/>
      <c r="BI67" s="329"/>
      <c r="BJ67" s="329"/>
      <c r="BK67" s="331"/>
      <c r="BL67" s="329"/>
      <c r="BM67" s="329"/>
      <c r="BN67" s="329"/>
      <c r="BO67" s="329"/>
      <c r="BP67" s="331"/>
      <c r="BQ67" s="329"/>
      <c r="BR67" s="329"/>
      <c r="BS67" s="329"/>
      <c r="BT67" s="329"/>
      <c r="BU67" s="331"/>
      <c r="BV67" s="329">
        <f t="shared" ref="BV67:CO67" si="412">BV56+BV66</f>
        <v>2742.9914670167377</v>
      </c>
      <c r="BW67" s="329">
        <f t="shared" si="412"/>
        <v>2588.439344262295</v>
      </c>
      <c r="BX67" s="329">
        <f t="shared" si="412"/>
        <v>2797.2499999999995</v>
      </c>
      <c r="BY67" s="329">
        <f t="shared" si="412"/>
        <v>2462.25</v>
      </c>
      <c r="BZ67" s="331">
        <f t="shared" si="412"/>
        <v>10590.930811279031</v>
      </c>
      <c r="CA67" s="329">
        <f t="shared" si="412"/>
        <v>3294.1358625993334</v>
      </c>
      <c r="CB67" s="329">
        <f t="shared" si="412"/>
        <v>5191.83</v>
      </c>
      <c r="CC67" s="329">
        <f t="shared" si="412"/>
        <v>3709.8220145379023</v>
      </c>
      <c r="CD67" s="329">
        <f t="shared" si="412"/>
        <v>2976.1280043208208</v>
      </c>
      <c r="CE67" s="331">
        <f t="shared" si="412"/>
        <v>15171.915881458055</v>
      </c>
      <c r="CF67" s="329">
        <f t="shared" si="412"/>
        <v>3386.1448131817128</v>
      </c>
      <c r="CG67" s="329">
        <f t="shared" si="412"/>
        <v>3832.1454826852387</v>
      </c>
      <c r="CH67" s="329">
        <f t="shared" si="412"/>
        <v>3490.9835837143478</v>
      </c>
      <c r="CI67" s="329">
        <f t="shared" si="412"/>
        <v>3628.23</v>
      </c>
      <c r="CJ67" s="331">
        <f t="shared" si="412"/>
        <v>14337.503879581298</v>
      </c>
      <c r="CK67" s="329">
        <f t="shared" si="412"/>
        <v>3710.13</v>
      </c>
      <c r="CL67" s="329">
        <f t="shared" si="412"/>
        <v>3900.7380303620084</v>
      </c>
      <c r="CM67" s="329">
        <f t="shared" si="412"/>
        <v>3510.03</v>
      </c>
      <c r="CN67" s="329">
        <f t="shared" si="412"/>
        <v>3431.4235523747561</v>
      </c>
      <c r="CO67" s="331">
        <f t="shared" si="412"/>
        <v>14552.321582736764</v>
      </c>
      <c r="CP67" s="329">
        <f t="shared" ref="CP67:CV67" si="413">CP56+CP66</f>
        <v>3792.6137671097003</v>
      </c>
      <c r="CQ67" s="329">
        <f t="shared" si="413"/>
        <v>2927.5931668856765</v>
      </c>
      <c r="CR67" s="329">
        <f t="shared" si="413"/>
        <v>5105.0821052631582</v>
      </c>
      <c r="CS67" s="329">
        <f t="shared" si="413"/>
        <v>4349.4259501965926</v>
      </c>
      <c r="CT67" s="331">
        <f t="shared" si="413"/>
        <v>16177.825731981982</v>
      </c>
      <c r="CU67" s="329">
        <f t="shared" si="413"/>
        <v>4518.7678571428569</v>
      </c>
      <c r="CV67" s="329">
        <f t="shared" si="413"/>
        <v>4955.463343108504</v>
      </c>
      <c r="CW67" s="329">
        <f t="shared" ref="CW67:DI67" si="414">CW56+CW66</f>
        <v>4681.5802151919061</v>
      </c>
      <c r="CX67" s="329">
        <f t="shared" si="414"/>
        <v>4594.3627680965146</v>
      </c>
      <c r="CY67" s="331">
        <f t="shared" si="414"/>
        <v>18748.131267092071</v>
      </c>
      <c r="CZ67" s="329">
        <f t="shared" si="414"/>
        <v>4696.3582039726252</v>
      </c>
      <c r="DA67" s="329">
        <f t="shared" si="414"/>
        <v>4482.7190493082653</v>
      </c>
      <c r="DB67" s="329">
        <f t="shared" si="414"/>
        <v>3816.3926890756302</v>
      </c>
      <c r="DC67" s="329">
        <f t="shared" si="414"/>
        <v>3523.59</v>
      </c>
      <c r="DD67" s="331">
        <f t="shared" si="414"/>
        <v>16519.054654018393</v>
      </c>
      <c r="DE67" s="329">
        <f t="shared" si="414"/>
        <v>3906.2732423924449</v>
      </c>
      <c r="DF67" s="329">
        <f t="shared" si="414"/>
        <v>7025.7363503320948</v>
      </c>
      <c r="DG67" s="329">
        <f t="shared" si="414"/>
        <v>4366.7725145103914</v>
      </c>
      <c r="DH67" s="329">
        <f t="shared" si="414"/>
        <v>4879.5</v>
      </c>
      <c r="DI67" s="331">
        <f t="shared" si="414"/>
        <v>20178.268900171912</v>
      </c>
      <c r="DJ67" s="329">
        <f t="shared" ref="DJ67:DS67" si="415">DJ56+DJ66</f>
        <v>5805.0871369294609</v>
      </c>
      <c r="DK67" s="329">
        <f t="shared" si="415"/>
        <v>7065.7526185712604</v>
      </c>
      <c r="DL67" s="329">
        <f t="shared" si="415"/>
        <v>5701.7945228215767</v>
      </c>
      <c r="DM67" s="329">
        <f t="shared" si="415"/>
        <v>6378.1206807820872</v>
      </c>
      <c r="DN67" s="331">
        <f t="shared" si="415"/>
        <v>24885.226150347142</v>
      </c>
      <c r="DO67" s="329">
        <f t="shared" si="415"/>
        <v>6176.2430878729811</v>
      </c>
      <c r="DP67" s="329">
        <f t="shared" si="415"/>
        <v>7086.2891127564026</v>
      </c>
      <c r="DQ67" s="329">
        <f t="shared" si="415"/>
        <v>5582.4347006129183</v>
      </c>
      <c r="DR67" s="329">
        <f t="shared" si="415"/>
        <v>6153.4603174603171</v>
      </c>
      <c r="DS67" s="331">
        <f t="shared" si="415"/>
        <v>24270.116303583978</v>
      </c>
      <c r="DT67" s="329">
        <f t="shared" ref="DT67:EC67" si="416">DT56+DT66</f>
        <v>4952.627755692085</v>
      </c>
      <c r="DU67" s="329">
        <f t="shared" si="416"/>
        <v>6871.8945945945943</v>
      </c>
      <c r="DV67" s="329">
        <f t="shared" si="416"/>
        <v>7275.7653550863724</v>
      </c>
      <c r="DW67" s="329">
        <f t="shared" si="416"/>
        <v>5450.5923515052891</v>
      </c>
      <c r="DX67" s="331">
        <f t="shared" si="416"/>
        <v>23807.491276060919</v>
      </c>
      <c r="DY67" s="329">
        <f t="shared" si="416"/>
        <v>5763.6535580524342</v>
      </c>
      <c r="DZ67" s="329">
        <f t="shared" si="416"/>
        <v>7049.9748667174408</v>
      </c>
      <c r="EA67" s="329">
        <f t="shared" si="416"/>
        <v>6149.7685784102341</v>
      </c>
      <c r="EB67" s="329">
        <f t="shared" si="416"/>
        <v>5175.8588902147967</v>
      </c>
      <c r="EC67" s="331">
        <f t="shared" si="416"/>
        <v>24123.820301947912</v>
      </c>
      <c r="ED67" s="329">
        <f t="shared" ref="ED67:EM67" si="417">ED56+ED66</f>
        <v>5935.0983513359861</v>
      </c>
      <c r="EE67" s="329">
        <f t="shared" si="417"/>
        <v>6251.0621861722675</v>
      </c>
      <c r="EF67" s="329">
        <f t="shared" si="417"/>
        <v>5669.584016698971</v>
      </c>
      <c r="EG67" s="329">
        <f t="shared" si="417"/>
        <v>5756.1580365160135</v>
      </c>
      <c r="EH67" s="331">
        <f t="shared" si="417"/>
        <v>23609.238223609536</v>
      </c>
      <c r="EI67" s="2702">
        <f t="shared" si="417"/>
        <v>5636.1536704866303</v>
      </c>
      <c r="EJ67" s="2702">
        <f t="shared" si="417"/>
        <v>6472.0094694379868</v>
      </c>
      <c r="EK67" s="2702">
        <f t="shared" si="417"/>
        <v>4781.4482885408079</v>
      </c>
      <c r="EL67" s="2702">
        <f t="shared" si="417"/>
        <v>6674.7897278911569</v>
      </c>
      <c r="EM67" s="2696">
        <f t="shared" si="417"/>
        <v>23570.507343078247</v>
      </c>
      <c r="EN67" s="2702">
        <f>EN56+EN66</f>
        <v>6250.5507543576969</v>
      </c>
      <c r="EO67" s="2702">
        <f t="shared" ref="EO67:ER67" si="418">EO56+EO66</f>
        <v>6866.2008227374718</v>
      </c>
      <c r="EP67" s="2702">
        <f t="shared" si="418"/>
        <v>6168.8500140964197</v>
      </c>
      <c r="EQ67" s="2702">
        <f t="shared" si="418"/>
        <v>9230.3030009680551</v>
      </c>
      <c r="ER67" s="2696">
        <f t="shared" si="418"/>
        <v>28514.160161551958</v>
      </c>
      <c r="ES67" s="2702">
        <f>ES56+ES66</f>
        <v>7377.4088176352707</v>
      </c>
      <c r="ET67" s="2702">
        <f t="shared" ref="ET67:EU67" si="419">ET56+ET66</f>
        <v>8304.3069036972411</v>
      </c>
      <c r="EU67" s="2702">
        <f t="shared" si="419"/>
        <v>8256.5258650619144</v>
      </c>
      <c r="EV67" s="329">
        <f t="shared" ref="EU67:EW67" si="420">EV56+EV66</f>
        <v>9178.4782269393218</v>
      </c>
      <c r="EW67" s="331">
        <f t="shared" si="420"/>
        <v>33117.733545640338</v>
      </c>
      <c r="EX67" s="329">
        <f t="shared" ref="EX67:FG67" si="421">EX56+EX66</f>
        <v>7897.7482660024843</v>
      </c>
      <c r="EY67" s="329">
        <f t="shared" si="421"/>
        <v>8768.7652711979026</v>
      </c>
      <c r="EZ67" s="329">
        <f t="shared" si="421"/>
        <v>8409.2997912862829</v>
      </c>
      <c r="FA67" s="329">
        <f t="shared" si="421"/>
        <v>9518.666409834188</v>
      </c>
      <c r="FB67" s="331">
        <f t="shared" si="421"/>
        <v>34594.47973832085</v>
      </c>
      <c r="FC67" s="329">
        <f t="shared" si="421"/>
        <v>9046.0336122845929</v>
      </c>
      <c r="FD67" s="329">
        <f t="shared" si="421"/>
        <v>10083.701660817349</v>
      </c>
      <c r="FE67" s="329">
        <f t="shared" si="421"/>
        <v>9900.3255936161768</v>
      </c>
      <c r="FF67" s="329">
        <f t="shared" si="421"/>
        <v>11135.667942054382</v>
      </c>
      <c r="FG67" s="331">
        <f t="shared" si="421"/>
        <v>40165.728808772503</v>
      </c>
      <c r="FH67" s="329">
        <f t="shared" ref="FH67:FL67" si="422">FH56+FH66</f>
        <v>10319.050651490201</v>
      </c>
      <c r="FI67" s="329">
        <f t="shared" si="422"/>
        <v>11455.07983989228</v>
      </c>
      <c r="FJ67" s="329">
        <f t="shared" si="422"/>
        <v>11373.999812103699</v>
      </c>
      <c r="FK67" s="329">
        <f t="shared" si="422"/>
        <v>12717.81864570385</v>
      </c>
      <c r="FL67" s="331">
        <f t="shared" si="422"/>
        <v>45865.948949190039</v>
      </c>
      <c r="FN67" s="330">
        <f t="shared" ref="FN67:GA67" si="423">FN56+FN66</f>
        <v>9049.52</v>
      </c>
      <c r="FO67" s="330">
        <f t="shared" si="423"/>
        <v>10247</v>
      </c>
      <c r="FP67" s="330">
        <f t="shared" si="423"/>
        <v>5364.8</v>
      </c>
      <c r="FQ67" s="330">
        <f t="shared" si="423"/>
        <v>9594.4308112790332</v>
      </c>
      <c r="FR67" s="330">
        <f t="shared" si="423"/>
        <v>13745.465862599332</v>
      </c>
      <c r="FS67" s="330">
        <f t="shared" si="423"/>
        <v>12042</v>
      </c>
      <c r="FT67" s="330">
        <f t="shared" si="423"/>
        <v>14730.081614076356</v>
      </c>
      <c r="FU67" s="330">
        <f t="shared" si="423"/>
        <v>13661.660486370134</v>
      </c>
      <c r="FV67" s="330">
        <f t="shared" si="423"/>
        <v>18928.739255711112</v>
      </c>
      <c r="FW67" s="330">
        <f t="shared" si="423"/>
        <v>18455.020236569311</v>
      </c>
      <c r="FX67" s="855">
        <f t="shared" si="423"/>
        <v>18271.992281800172</v>
      </c>
      <c r="FY67" s="856">
        <f t="shared" si="423"/>
        <v>22117.112270011112</v>
      </c>
      <c r="FZ67" s="856">
        <f t="shared" si="423"/>
        <v>25342.447404233051</v>
      </c>
      <c r="GA67" s="856">
        <f t="shared" si="423"/>
        <v>23560.417368359915</v>
      </c>
      <c r="GB67" s="856">
        <f t="shared" ref="GB67:GG67" si="424">GB56+GB66</f>
        <v>25539.986131361537</v>
      </c>
      <c r="GC67" s="856">
        <f t="shared" si="424"/>
        <v>23511.788006133283</v>
      </c>
      <c r="GD67" s="856">
        <f t="shared" si="424"/>
        <v>23533.905193139602</v>
      </c>
      <c r="GE67" s="856">
        <f t="shared" si="424"/>
        <v>24572.989593527134</v>
      </c>
      <c r="GF67" s="856">
        <f t="shared" si="424"/>
        <v>31080.868736396984</v>
      </c>
      <c r="GG67" s="856">
        <f t="shared" si="424"/>
        <v>34101.517629201619</v>
      </c>
      <c r="GH67" s="856">
        <f t="shared" ref="GH67" si="425">GH56+GH66</f>
        <v>37057.70147422242</v>
      </c>
      <c r="GI67" s="856">
        <f t="shared" ref="GI67" si="426">GI56+GI66</f>
        <v>42810.124027053047</v>
      </c>
      <c r="GJ67" s="303"/>
      <c r="GK67" s="303"/>
      <c r="GL67" s="303"/>
      <c r="GN67"/>
      <c r="GO67"/>
      <c r="GP67"/>
      <c r="GQ67"/>
      <c r="GR67"/>
      <c r="GS67"/>
    </row>
    <row r="68" spans="1:201" s="357" customFormat="1" ht="11.25" customHeight="1">
      <c r="A68" s="357" t="s">
        <v>122</v>
      </c>
      <c r="D68" s="364"/>
      <c r="E68" s="364"/>
      <c r="F68" s="364"/>
      <c r="G68" s="364"/>
      <c r="H68" s="365"/>
      <c r="I68" s="364"/>
      <c r="J68" s="364"/>
      <c r="K68" s="364"/>
      <c r="L68" s="364"/>
      <c r="M68" s="365"/>
      <c r="N68" s="364"/>
      <c r="O68" s="364"/>
      <c r="P68" s="364"/>
      <c r="Q68" s="364"/>
      <c r="R68" s="365"/>
      <c r="S68" s="364"/>
      <c r="T68" s="364"/>
      <c r="U68" s="364"/>
      <c r="V68" s="364"/>
      <c r="W68" s="365"/>
      <c r="X68" s="364"/>
      <c r="Y68" s="364"/>
      <c r="Z68" s="364"/>
      <c r="AA68" s="364"/>
      <c r="AB68" s="365"/>
      <c r="AC68" s="364"/>
      <c r="AD68" s="364"/>
      <c r="AE68" s="364"/>
      <c r="AF68" s="364"/>
      <c r="AG68" s="365"/>
      <c r="AH68" s="364"/>
      <c r="AI68" s="364"/>
      <c r="AJ68" s="364"/>
      <c r="AK68" s="364"/>
      <c r="AL68" s="365"/>
      <c r="AM68" s="364"/>
      <c r="AN68" s="364"/>
      <c r="AO68" s="364"/>
      <c r="AP68" s="364"/>
      <c r="AQ68" s="365"/>
      <c r="AR68" s="364"/>
      <c r="AS68" s="364"/>
      <c r="AT68" s="364"/>
      <c r="AU68" s="364"/>
      <c r="AV68" s="365"/>
      <c r="AW68" s="364"/>
      <c r="AX68" s="364"/>
      <c r="AY68" s="364"/>
      <c r="AZ68" s="364"/>
      <c r="BA68" s="365"/>
      <c r="BB68" s="364"/>
      <c r="BC68" s="364"/>
      <c r="BD68" s="364"/>
      <c r="BE68" s="364"/>
      <c r="BF68" s="365"/>
      <c r="BG68" s="364"/>
      <c r="BH68" s="364"/>
      <c r="BI68" s="364"/>
      <c r="BJ68" s="364"/>
      <c r="BK68" s="365"/>
      <c r="BL68" s="364"/>
      <c r="BM68" s="364"/>
      <c r="BN68" s="364"/>
      <c r="BO68" s="364"/>
      <c r="BP68" s="365"/>
      <c r="BQ68" s="364"/>
      <c r="BR68" s="364"/>
      <c r="BS68" s="364"/>
      <c r="BT68" s="364"/>
      <c r="BU68" s="365"/>
      <c r="BV68" s="364">
        <f t="shared" ref="BV68:CO68" si="427">IF(ISERROR(IF(BV67&lt;0,BV67/BV$89,BV67/BV$90)),"--",IF(BV67&lt;0,BV67/BV$89,BV67/BV$90))</f>
        <v>0.25128173937493015</v>
      </c>
      <c r="BW68" s="364">
        <f t="shared" si="427"/>
        <v>0.23786430290960256</v>
      </c>
      <c r="BX68" s="364">
        <f t="shared" si="427"/>
        <v>0.25747882916053016</v>
      </c>
      <c r="BY68" s="364">
        <f t="shared" si="427"/>
        <v>0.22668477260173081</v>
      </c>
      <c r="BZ68" s="365">
        <f t="shared" si="427"/>
        <v>0.97325223408188122</v>
      </c>
      <c r="CA68" s="364">
        <f t="shared" si="427"/>
        <v>0.30263076367472058</v>
      </c>
      <c r="CB68" s="364">
        <f t="shared" si="427"/>
        <v>0.47635838150289017</v>
      </c>
      <c r="CC68" s="364">
        <f t="shared" si="427"/>
        <v>0.34173010450791291</v>
      </c>
      <c r="CD68" s="364">
        <f t="shared" si="427"/>
        <v>0.27394403574381637</v>
      </c>
      <c r="CE68" s="365">
        <f t="shared" si="427"/>
        <v>1.3926855040809671</v>
      </c>
      <c r="CF68" s="364">
        <f t="shared" si="427"/>
        <v>0.31008652135363668</v>
      </c>
      <c r="CG68" s="364">
        <f t="shared" si="427"/>
        <v>0.34977596592599841</v>
      </c>
      <c r="CH68" s="364">
        <f t="shared" si="427"/>
        <v>0.31936543625600106</v>
      </c>
      <c r="CI68" s="364">
        <f t="shared" si="427"/>
        <v>0.33535724188926885</v>
      </c>
      <c r="CJ68" s="365">
        <f t="shared" si="427"/>
        <v>1.3146436713351639</v>
      </c>
      <c r="CK68" s="364">
        <f t="shared" si="427"/>
        <v>0.34442350538432975</v>
      </c>
      <c r="CL68" s="364">
        <f t="shared" si="427"/>
        <v>0.36667964188400154</v>
      </c>
      <c r="CM68" s="364">
        <f t="shared" si="427"/>
        <v>0.33701680268843015</v>
      </c>
      <c r="CN68" s="364">
        <f t="shared" si="427"/>
        <v>0.33460980520475436</v>
      </c>
      <c r="CO68" s="365">
        <f t="shared" si="427"/>
        <v>1.3818556246070424</v>
      </c>
      <c r="CP68" s="364">
        <f t="shared" ref="CP68:CV68" si="428">IF(ISERROR(IF(CP67&lt;0,CP67/CP$89,CP67/CP$90)),"--",IF(CP67&lt;0,CP67/CP$89,CP67/CP$90))</f>
        <v>0.3788824942167533</v>
      </c>
      <c r="CQ68" s="364">
        <f t="shared" si="428"/>
        <v>0.29446722660286428</v>
      </c>
      <c r="CR68" s="364">
        <f t="shared" si="428"/>
        <v>0.51765180544140721</v>
      </c>
      <c r="CS68" s="364">
        <f t="shared" si="428"/>
        <v>0.45039100654412267</v>
      </c>
      <c r="CT68" s="365">
        <f t="shared" si="428"/>
        <v>1.6364379660107204</v>
      </c>
      <c r="CU68" s="364">
        <f t="shared" si="428"/>
        <v>0.47500976107882442</v>
      </c>
      <c r="CV68" s="364">
        <f t="shared" si="428"/>
        <v>0.52146304778580488</v>
      </c>
      <c r="CW68" s="364">
        <f t="shared" ref="CW68:DI68" si="429">IF(ISERROR(IF(CW67&lt;0,CW67/CW$89,CW67/CW$90)),"--",IF(CW67&lt;0,CW67/CW$89,CW67/CW$90))</f>
        <v>0.49656132957063071</v>
      </c>
      <c r="CX68" s="364">
        <f t="shared" si="429"/>
        <v>0.4898041330593299</v>
      </c>
      <c r="CY68" s="365">
        <f t="shared" si="429"/>
        <v>1.9826703962660819</v>
      </c>
      <c r="CZ68" s="364">
        <f t="shared" si="429"/>
        <v>0.51141873069504795</v>
      </c>
      <c r="DA68" s="364">
        <f t="shared" si="429"/>
        <v>0.50288524223785791</v>
      </c>
      <c r="DB68" s="364">
        <f t="shared" si="429"/>
        <v>0.42861553111810763</v>
      </c>
      <c r="DC68" s="364">
        <f t="shared" si="429"/>
        <v>0.39466733870967746</v>
      </c>
      <c r="DD68" s="365">
        <f t="shared" si="429"/>
        <v>1.8390775867982292</v>
      </c>
      <c r="DE68" s="364">
        <f t="shared" si="429"/>
        <v>0.43485174689885842</v>
      </c>
      <c r="DF68" s="364">
        <f>IF(ISERROR(IF(DF67&lt;0,DF67/DF$89,DF67/DF$90)),"--",IF(DF67&lt;0,DF67/DF$89,DF67/DF$90))</f>
        <v>0.78491077536946652</v>
      </c>
      <c r="DG68" s="364">
        <f t="shared" si="429"/>
        <v>0.49197527202685798</v>
      </c>
      <c r="DH68" s="364">
        <f t="shared" si="429"/>
        <v>0.55316857499149752</v>
      </c>
      <c r="DI68" s="365">
        <f t="shared" si="429"/>
        <v>2.2652486767333966</v>
      </c>
      <c r="DJ68" s="364">
        <f t="shared" ref="DJ68:DS68" si="430">IF(ISERROR(IF(DJ67&lt;0,DJ67/DJ$89,DJ67/DJ$90)),"--",IF(DJ67&lt;0,DJ67/DJ$89,DJ67/DJ$90))</f>
        <v>0.66763509337889138</v>
      </c>
      <c r="DK68" s="364">
        <f t="shared" si="430"/>
        <v>0.82447521803631973</v>
      </c>
      <c r="DL68" s="364">
        <f t="shared" si="430"/>
        <v>0.67001110726458013</v>
      </c>
      <c r="DM68" s="364">
        <f t="shared" si="430"/>
        <v>0.75373678572229819</v>
      </c>
      <c r="DN68" s="365">
        <f t="shared" si="430"/>
        <v>2.9024056625084138</v>
      </c>
      <c r="DO68" s="364">
        <f t="shared" si="430"/>
        <v>0.72747268408397892</v>
      </c>
      <c r="DP68" s="364">
        <f t="shared" si="430"/>
        <v>0.83712807002438305</v>
      </c>
      <c r="DQ68" s="364">
        <f t="shared" si="430"/>
        <v>0.65691159103470442</v>
      </c>
      <c r="DR68" s="364">
        <f t="shared" si="430"/>
        <v>0.73360280370294673</v>
      </c>
      <c r="DS68" s="365">
        <f t="shared" si="430"/>
        <v>2.8687233005625101</v>
      </c>
      <c r="DT68" s="364">
        <f t="shared" ref="DT68:EB68" si="431">IF(ISERROR(IF(DT67&lt;0,DT67/DT$89,DT67/DT$90)),"--",IF(DT67&lt;0,DT67/DT$89,DT67/DT$90))</f>
        <v>0.58307367031929425</v>
      </c>
      <c r="DU68" s="364">
        <f t="shared" si="431"/>
        <v>0.81381982408746967</v>
      </c>
      <c r="DV68" s="364">
        <f t="shared" si="431"/>
        <v>0.86318250742512426</v>
      </c>
      <c r="DW68" s="364">
        <f t="shared" si="431"/>
        <v>0.64565178293121173</v>
      </c>
      <c r="DX68" s="365">
        <f t="shared" si="431"/>
        <v>2.8167045787880052</v>
      </c>
      <c r="DY68" s="364">
        <f t="shared" si="431"/>
        <v>0.68338315841266706</v>
      </c>
      <c r="DZ68" s="364">
        <f t="shared" si="431"/>
        <v>0.83978259281923062</v>
      </c>
      <c r="EA68" s="364">
        <f t="shared" si="431"/>
        <v>0.73500281802440948</v>
      </c>
      <c r="EB68" s="364">
        <f t="shared" si="431"/>
        <v>0.62023473819230635</v>
      </c>
      <c r="EC68" s="365">
        <f>IF(ISERROR(IF(EC67&lt;0,EC67/EC$89,EC67/EC$90)),"--",IF(EC67&lt;0,EC67/EC$89,EC67/EC$90))</f>
        <v>2.8769351303715349</v>
      </c>
      <c r="ED68" s="364">
        <f t="shared" ref="ED68:EM68" si="432">IF(ISERROR(IF(ED67&lt;0,ED67/ED$89,ED67/ED$90)),"--",IF(ED67&lt;0,ED67/ED$89,ED67/ED$90))</f>
        <v>0.71070510733277281</v>
      </c>
      <c r="EE68" s="364">
        <f t="shared" si="432"/>
        <v>0.75341234014369862</v>
      </c>
      <c r="EF68" s="364">
        <f t="shared" si="432"/>
        <v>0.68830690988211374</v>
      </c>
      <c r="EG68" s="364">
        <f t="shared" si="432"/>
        <v>0.7140749331988604</v>
      </c>
      <c r="EH68" s="365">
        <f t="shared" si="432"/>
        <v>2.866416344759247</v>
      </c>
      <c r="EI68" s="2711">
        <f t="shared" si="432"/>
        <v>0.69719862326653026</v>
      </c>
      <c r="EJ68" s="2711">
        <f t="shared" si="432"/>
        <v>0.80387647117600136</v>
      </c>
      <c r="EK68" s="2711">
        <f t="shared" si="432"/>
        <v>0.59880379317981314</v>
      </c>
      <c r="EL68" s="2711">
        <f t="shared" si="432"/>
        <v>0.84181986730875991</v>
      </c>
      <c r="EM68" s="2712">
        <f t="shared" si="432"/>
        <v>2.9418087732008171</v>
      </c>
      <c r="EN68" s="2711">
        <f>IF(ISERROR(IF(EN67&lt;0,EN67/EN$89,EN67/EN$90)),"--",IF(EN67&lt;0,EN67/EN$89,EN67/EN$90))</f>
        <v>0.7936199535751266</v>
      </c>
      <c r="EO68" s="2711">
        <f t="shared" ref="EO68:ER68" si="433">IF(ISERROR(IF(EO67&lt;0,EO67/EO$89,EO67/EO$90)),"--",IF(EO67&lt;0,EO67/EO$89,EO67/EO$90))</f>
        <v>0.87690942819124795</v>
      </c>
      <c r="EP68" s="2711">
        <f t="shared" si="433"/>
        <v>0.78956226981907329</v>
      </c>
      <c r="EQ68" s="2711">
        <f t="shared" si="433"/>
        <v>1.1824625930012882</v>
      </c>
      <c r="ER68" s="2712">
        <f t="shared" si="433"/>
        <v>3.64107392326282</v>
      </c>
      <c r="ES68" s="2711">
        <f>IF(ISERROR(IF(ES67&lt;0,ES67/ES$89,ES67/ES$90)),"--",IF(ES67&lt;0,ES67/ES$89,ES67/ES$90))</f>
        <v>0.94594291801965258</v>
      </c>
      <c r="ET68" s="2711">
        <f t="shared" ref="ET68:EU68" si="434">IF(ISERROR(IF(ET67&lt;0,ET67/ET$89,ET67/ET$90)),"--",IF(ET67&lt;0,ET67/ET$89,ET67/ET$90))</f>
        <v>1.0632915369650757</v>
      </c>
      <c r="EU68" s="2711">
        <f t="shared" si="434"/>
        <v>1.0593438369337842</v>
      </c>
      <c r="EV68" s="364">
        <f t="shared" ref="EU68:EW68" si="435">IF(ISERROR(IF(EV67&lt;0,EV67/EV$89,EV67/EV$90)),"--",IF(EV67&lt;0,EV67/EV$89,EV67/EV$90))</f>
        <v>1.181742809478598</v>
      </c>
      <c r="EW68" s="365">
        <f t="shared" si="435"/>
        <v>4.2499634000289168</v>
      </c>
      <c r="EX68" s="364">
        <f t="shared" ref="EX68:FG68" si="436">IF(ISERROR(IF(EX67&lt;0,EX67/EX$89,EX67/EX$90)),"--",IF(EX67&lt;0,EX67/EX$89,EX67/EX$90))</f>
        <v>1.0178138332347229</v>
      </c>
      <c r="EY68" s="364">
        <f t="shared" si="436"/>
        <v>1.1322164263591723</v>
      </c>
      <c r="EZ68" s="364">
        <f t="shared" si="436"/>
        <v>1.0878694638979332</v>
      </c>
      <c r="FA68" s="364">
        <f t="shared" si="436"/>
        <v>1.2337268097382896</v>
      </c>
      <c r="FB68" s="365">
        <f t="shared" si="436"/>
        <v>4.4710528229611821</v>
      </c>
      <c r="FC68" s="364">
        <f t="shared" si="436"/>
        <v>1.1746120050289131</v>
      </c>
      <c r="FD68" s="364">
        <f t="shared" si="436"/>
        <v>1.31164680968981</v>
      </c>
      <c r="FE68" s="364">
        <f t="shared" si="436"/>
        <v>1.2900515886106831</v>
      </c>
      <c r="FF68" s="364">
        <f t="shared" si="436"/>
        <v>1.4535653227009722</v>
      </c>
      <c r="FG68" s="365">
        <f t="shared" si="436"/>
        <v>5.2291617856188362</v>
      </c>
      <c r="FH68" s="364">
        <f t="shared" ref="FH68:FL68" si="437">IF(ISERROR(IF(FH67&lt;0,FH67/FH$89,FH67/FH$90)),"--",IF(FH67&lt;0,FH67/FH$89,FH67/FH$90))</f>
        <v>1.3486230013461373</v>
      </c>
      <c r="FI68" s="364">
        <f t="shared" si="437"/>
        <v>1.4981422478161273</v>
      </c>
      <c r="FJ68" s="364">
        <f t="shared" si="437"/>
        <v>1.4885802759679505</v>
      </c>
      <c r="FK68" s="364">
        <f t="shared" si="437"/>
        <v>1.6656194505906943</v>
      </c>
      <c r="FL68" s="365">
        <f t="shared" si="437"/>
        <v>6.0006353675476136</v>
      </c>
      <c r="FN68" s="365">
        <f t="shared" ref="FN68:GE68" si="438">IF(ISERROR(IF(FN67&lt;0,FN67/FN$89,FN67/FN$90)),"--",IF(FN67&lt;0,FN67/FN$89,FN67/FN$90))</f>
        <v>0.8190352068060458</v>
      </c>
      <c r="FO68" s="365">
        <f t="shared" si="438"/>
        <v>0.92286216057999726</v>
      </c>
      <c r="FP68" s="365">
        <f t="shared" si="438"/>
        <v>0.48162312595385581</v>
      </c>
      <c r="FQ68" s="365">
        <f t="shared" si="438"/>
        <v>0.87245892618705401</v>
      </c>
      <c r="FR68" s="365">
        <f t="shared" si="438"/>
        <v>1.2636603872764267</v>
      </c>
      <c r="FS68" s="365">
        <f t="shared" si="438"/>
        <v>1.1048720066061106</v>
      </c>
      <c r="FT68" s="365">
        <f t="shared" si="438"/>
        <v>1.365160483232285</v>
      </c>
      <c r="FU68" s="365">
        <f t="shared" si="438"/>
        <v>1.3452474507774244</v>
      </c>
      <c r="FV68" s="365">
        <f t="shared" si="438"/>
        <v>1.9648360457465797</v>
      </c>
      <c r="FW68" s="365">
        <f t="shared" si="438"/>
        <v>2.0002731593626133</v>
      </c>
      <c r="FX68" s="869">
        <f t="shared" si="438"/>
        <v>2.0435041415646338</v>
      </c>
      <c r="FY68" s="870">
        <f t="shared" si="438"/>
        <v>2.5304172839095145</v>
      </c>
      <c r="FZ68" s="870">
        <f t="shared" si="438"/>
        <v>2.9878795536573293</v>
      </c>
      <c r="GA68" s="870">
        <f t="shared" si="438"/>
        <v>2.7862366802696208</v>
      </c>
      <c r="GB68" s="870">
        <f t="shared" si="438"/>
        <v>3.0314523598055234</v>
      </c>
      <c r="GC68" s="870">
        <f t="shared" si="438"/>
        <v>2.8191592333493145</v>
      </c>
      <c r="GD68" s="870">
        <f t="shared" si="438"/>
        <v>2.9024641806973888</v>
      </c>
      <c r="GE68" s="870">
        <f t="shared" si="438"/>
        <v>3.1085375829888848</v>
      </c>
      <c r="GF68" s="870">
        <f>IF(ISERROR(IF(GF67&lt;0,GF67/GF$89,GF67/GF$90)),"--",IF(GF67&lt;0,GF67/GF$89,GF67/GF$90))</f>
        <v>3.9811539306259744</v>
      </c>
      <c r="GG68" s="870">
        <f>IF(ISERROR(IF(GG67&lt;0,GG67/GG$89,GG67/GG$90)),"--",IF(GG67&lt;0,GG67/GG$89,GG67/GG$90))</f>
        <v>4.390960669761407</v>
      </c>
      <c r="GH68" s="870">
        <f>IF(ISERROR(IF(GH67&lt;0,GH67/GH$89,GH67/GH$90)),"--",IF(GH67&lt;0,GH67/GH$89,GH67/GH$90))</f>
        <v>4.8072955524013414</v>
      </c>
      <c r="GI68" s="870">
        <f>IF(ISERROR(IF(GI67&lt;0,GI67/GI$89,GI67/GI$90)),"--",IF(GI67&lt;0,GI67/GI$89,GI67/GI$90))</f>
        <v>5.5900600176063575</v>
      </c>
      <c r="GJ68" s="364"/>
      <c r="GK68" s="364"/>
      <c r="GL68" s="364"/>
      <c r="GN68"/>
      <c r="GO68"/>
      <c r="GP68"/>
      <c r="GQ68"/>
      <c r="GR68"/>
      <c r="GS68"/>
    </row>
    <row r="69" spans="1:201" s="253" customFormat="1" ht="11.25" customHeight="1">
      <c r="A69" s="366" t="s">
        <v>121</v>
      </c>
      <c r="D69" s="267"/>
      <c r="E69" s="267"/>
      <c r="F69" s="267"/>
      <c r="G69" s="267"/>
      <c r="H69" s="354"/>
      <c r="I69" s="267"/>
      <c r="J69" s="267"/>
      <c r="K69" s="267"/>
      <c r="L69" s="267"/>
      <c r="M69" s="313" t="str">
        <f>IF(OR(M68="",H68=""),"",M68/H68-1)</f>
        <v/>
      </c>
      <c r="N69" s="355" t="str">
        <f t="shared" ref="N69:BY69" si="439">IF(OR(N68="",I68=""),"",N68/I68-1)</f>
        <v/>
      </c>
      <c r="O69" s="355" t="str">
        <f t="shared" si="439"/>
        <v/>
      </c>
      <c r="P69" s="355" t="str">
        <f t="shared" si="439"/>
        <v/>
      </c>
      <c r="Q69" s="355" t="str">
        <f t="shared" si="439"/>
        <v/>
      </c>
      <c r="R69" s="313" t="str">
        <f t="shared" si="439"/>
        <v/>
      </c>
      <c r="S69" s="355" t="str">
        <f t="shared" si="439"/>
        <v/>
      </c>
      <c r="T69" s="355" t="str">
        <f t="shared" si="439"/>
        <v/>
      </c>
      <c r="U69" s="355" t="str">
        <f t="shared" si="439"/>
        <v/>
      </c>
      <c r="V69" s="355" t="str">
        <f t="shared" si="439"/>
        <v/>
      </c>
      <c r="W69" s="313" t="str">
        <f t="shared" si="439"/>
        <v/>
      </c>
      <c r="X69" s="355" t="str">
        <f t="shared" si="439"/>
        <v/>
      </c>
      <c r="Y69" s="355" t="str">
        <f t="shared" si="439"/>
        <v/>
      </c>
      <c r="Z69" s="355" t="str">
        <f t="shared" si="439"/>
        <v/>
      </c>
      <c r="AA69" s="355" t="str">
        <f t="shared" si="439"/>
        <v/>
      </c>
      <c r="AB69" s="313" t="str">
        <f t="shared" si="439"/>
        <v/>
      </c>
      <c r="AC69" s="355" t="str">
        <f t="shared" si="439"/>
        <v/>
      </c>
      <c r="AD69" s="355" t="str">
        <f t="shared" si="439"/>
        <v/>
      </c>
      <c r="AE69" s="355" t="str">
        <f t="shared" si="439"/>
        <v/>
      </c>
      <c r="AF69" s="355" t="str">
        <f t="shared" si="439"/>
        <v/>
      </c>
      <c r="AG69" s="313" t="str">
        <f t="shared" si="439"/>
        <v/>
      </c>
      <c r="AH69" s="355" t="str">
        <f t="shared" si="439"/>
        <v/>
      </c>
      <c r="AI69" s="355" t="str">
        <f t="shared" si="439"/>
        <v/>
      </c>
      <c r="AJ69" s="355" t="str">
        <f t="shared" si="439"/>
        <v/>
      </c>
      <c r="AK69" s="355" t="str">
        <f t="shared" si="439"/>
        <v/>
      </c>
      <c r="AL69" s="313" t="str">
        <f t="shared" si="439"/>
        <v/>
      </c>
      <c r="AM69" s="355" t="str">
        <f t="shared" si="439"/>
        <v/>
      </c>
      <c r="AN69" s="355" t="str">
        <f t="shared" si="439"/>
        <v/>
      </c>
      <c r="AO69" s="355" t="str">
        <f t="shared" si="439"/>
        <v/>
      </c>
      <c r="AP69" s="355" t="str">
        <f t="shared" si="439"/>
        <v/>
      </c>
      <c r="AQ69" s="313" t="str">
        <f t="shared" si="439"/>
        <v/>
      </c>
      <c r="AR69" s="355" t="str">
        <f t="shared" si="439"/>
        <v/>
      </c>
      <c r="AS69" s="355" t="str">
        <f t="shared" si="439"/>
        <v/>
      </c>
      <c r="AT69" s="355" t="str">
        <f t="shared" si="439"/>
        <v/>
      </c>
      <c r="AU69" s="355" t="str">
        <f t="shared" si="439"/>
        <v/>
      </c>
      <c r="AV69" s="313" t="str">
        <f t="shared" si="439"/>
        <v/>
      </c>
      <c r="AW69" s="355" t="str">
        <f t="shared" si="439"/>
        <v/>
      </c>
      <c r="AX69" s="355" t="str">
        <f t="shared" si="439"/>
        <v/>
      </c>
      <c r="AY69" s="355" t="str">
        <f t="shared" si="439"/>
        <v/>
      </c>
      <c r="AZ69" s="355" t="str">
        <f t="shared" si="439"/>
        <v/>
      </c>
      <c r="BA69" s="313" t="str">
        <f t="shared" si="439"/>
        <v/>
      </c>
      <c r="BB69" s="355" t="str">
        <f t="shared" si="439"/>
        <v/>
      </c>
      <c r="BC69" s="355" t="str">
        <f t="shared" si="439"/>
        <v/>
      </c>
      <c r="BD69" s="355" t="str">
        <f t="shared" si="439"/>
        <v/>
      </c>
      <c r="BE69" s="355" t="str">
        <f t="shared" si="439"/>
        <v/>
      </c>
      <c r="BF69" s="313" t="str">
        <f t="shared" si="439"/>
        <v/>
      </c>
      <c r="BG69" s="355" t="str">
        <f t="shared" si="439"/>
        <v/>
      </c>
      <c r="BH69" s="355" t="str">
        <f t="shared" si="439"/>
        <v/>
      </c>
      <c r="BI69" s="355" t="str">
        <f t="shared" si="439"/>
        <v/>
      </c>
      <c r="BJ69" s="355" t="str">
        <f t="shared" si="439"/>
        <v/>
      </c>
      <c r="BK69" s="313" t="str">
        <f t="shared" si="439"/>
        <v/>
      </c>
      <c r="BL69" s="355" t="str">
        <f t="shared" si="439"/>
        <v/>
      </c>
      <c r="BM69" s="355" t="str">
        <f t="shared" si="439"/>
        <v/>
      </c>
      <c r="BN69" s="355" t="str">
        <f t="shared" si="439"/>
        <v/>
      </c>
      <c r="BO69" s="355" t="str">
        <f t="shared" si="439"/>
        <v/>
      </c>
      <c r="BP69" s="313" t="str">
        <f t="shared" si="439"/>
        <v/>
      </c>
      <c r="BQ69" s="355" t="str">
        <f t="shared" si="439"/>
        <v/>
      </c>
      <c r="BR69" s="355" t="str">
        <f t="shared" si="439"/>
        <v/>
      </c>
      <c r="BS69" s="355" t="str">
        <f t="shared" si="439"/>
        <v/>
      </c>
      <c r="BT69" s="355" t="str">
        <f t="shared" si="439"/>
        <v/>
      </c>
      <c r="BU69" s="313" t="str">
        <f t="shared" si="439"/>
        <v/>
      </c>
      <c r="BV69" s="355" t="str">
        <f t="shared" si="439"/>
        <v/>
      </c>
      <c r="BW69" s="355" t="str">
        <f t="shared" si="439"/>
        <v/>
      </c>
      <c r="BX69" s="355" t="str">
        <f t="shared" si="439"/>
        <v/>
      </c>
      <c r="BY69" s="355" t="str">
        <f t="shared" si="439"/>
        <v/>
      </c>
      <c r="BZ69" s="313" t="str">
        <f t="shared" ref="BZ69:CZ69" si="440">IF(OR(BZ68="",BU68=""),"",BZ68/BU68-1)</f>
        <v/>
      </c>
      <c r="CA69" s="355">
        <f t="shared" si="440"/>
        <v>0.20434841157786665</v>
      </c>
      <c r="CB69" s="355">
        <f t="shared" si="440"/>
        <v>1.002647625877366</v>
      </c>
      <c r="CC69" s="355">
        <f t="shared" si="440"/>
        <v>0.32721632152076729</v>
      </c>
      <c r="CD69" s="355">
        <f t="shared" si="440"/>
        <v>0.20848009594855665</v>
      </c>
      <c r="CE69" s="313">
        <f t="shared" si="440"/>
        <v>0.43096050058879021</v>
      </c>
      <c r="CF69" s="355">
        <f t="shared" si="440"/>
        <v>2.4636483047473012E-2</v>
      </c>
      <c r="CG69" s="355">
        <f t="shared" si="440"/>
        <v>-0.26572937622621373</v>
      </c>
      <c r="CH69" s="355">
        <f t="shared" si="440"/>
        <v>-6.5445414252035872E-2</v>
      </c>
      <c r="CI69" s="355">
        <f t="shared" si="440"/>
        <v>0.22418157773978376</v>
      </c>
      <c r="CJ69" s="313">
        <f t="shared" si="440"/>
        <v>-5.6036939077141468E-2</v>
      </c>
      <c r="CK69" s="355">
        <f t="shared" si="440"/>
        <v>0.1107335587525704</v>
      </c>
      <c r="CL69" s="355">
        <f t="shared" si="440"/>
        <v>4.8327151104428312E-2</v>
      </c>
      <c r="CM69" s="355">
        <f t="shared" si="440"/>
        <v>5.5270121398734773E-2</v>
      </c>
      <c r="CN69" s="355">
        <f t="shared" si="440"/>
        <v>-2.228777527820025E-3</v>
      </c>
      <c r="CO69" s="313">
        <f t="shared" si="440"/>
        <v>5.1125605163882426E-2</v>
      </c>
      <c r="CP69" s="355">
        <f t="shared" si="440"/>
        <v>0.10004830766115114</v>
      </c>
      <c r="CQ69" s="355">
        <f t="shared" si="440"/>
        <v>-0.19693598180174265</v>
      </c>
      <c r="CR69" s="355">
        <f t="shared" si="440"/>
        <v>0.53598218638366513</v>
      </c>
      <c r="CS69" s="355">
        <f t="shared" si="440"/>
        <v>0.34601855516015001</v>
      </c>
      <c r="CT69" s="313">
        <f t="shared" si="440"/>
        <v>0.184232228657081</v>
      </c>
      <c r="CU69" s="355">
        <f t="shared" si="440"/>
        <v>0.25371261097927134</v>
      </c>
      <c r="CV69" s="355">
        <f t="shared" si="440"/>
        <v>0.77086955924327838</v>
      </c>
      <c r="CW69" s="355">
        <f t="shared" si="440"/>
        <v>-4.0742591156989083E-2</v>
      </c>
      <c r="CX69" s="355">
        <f t="shared" si="440"/>
        <v>8.7508688989210714E-2</v>
      </c>
      <c r="CY69" s="313">
        <f t="shared" si="440"/>
        <v>0.21157687455724372</v>
      </c>
      <c r="CZ69" s="355">
        <f t="shared" si="440"/>
        <v>7.6648887242933395E-2</v>
      </c>
      <c r="DA69" s="355">
        <f t="shared" ref="DA69:DI69" si="441">IF(OR(DA68="",CV68=""),"",DA68/CV68-1)</f>
        <v>-3.5626312596512055E-2</v>
      </c>
      <c r="DB69" s="355">
        <f t="shared" si="441"/>
        <v>-0.13683264162208286</v>
      </c>
      <c r="DC69" s="355">
        <f t="shared" si="441"/>
        <v>-0.19423436416394746</v>
      </c>
      <c r="DD69" s="313">
        <f t="shared" si="441"/>
        <v>-7.2423943857878648E-2</v>
      </c>
      <c r="DE69" s="355">
        <f t="shared" si="441"/>
        <v>-0.14971486025185377</v>
      </c>
      <c r="DF69" s="355">
        <f t="shared" si="441"/>
        <v>0.56081489263153661</v>
      </c>
      <c r="DG69" s="355">
        <f t="shared" si="441"/>
        <v>0.14782418346686366</v>
      </c>
      <c r="DH69" s="355">
        <f t="shared" si="441"/>
        <v>0.40160717833916237</v>
      </c>
      <c r="DI69" s="313">
        <f t="shared" si="441"/>
        <v>0.23173089215725629</v>
      </c>
      <c r="DJ69" s="355">
        <f t="shared" ref="DJ69:DS69" si="442">IF(OR(DJ68="",DE68=""),"",DJ68/DE68-1)</f>
        <v>0.53531657200442551</v>
      </c>
      <c r="DK69" s="355">
        <f t="shared" si="442"/>
        <v>5.0406293184381168E-2</v>
      </c>
      <c r="DL69" s="355">
        <f t="shared" si="442"/>
        <v>0.36187964184509425</v>
      </c>
      <c r="DM69" s="355">
        <f t="shared" si="442"/>
        <v>0.36258063056796663</v>
      </c>
      <c r="DN69" s="313">
        <f t="shared" si="442"/>
        <v>0.28127463104573125</v>
      </c>
      <c r="DO69" s="355">
        <f t="shared" si="442"/>
        <v>8.9626191460743021E-2</v>
      </c>
      <c r="DP69" s="355">
        <f t="shared" si="442"/>
        <v>1.5346552220452558E-2</v>
      </c>
      <c r="DQ69" s="355">
        <f t="shared" si="442"/>
        <v>-1.9551192641203308E-2</v>
      </c>
      <c r="DR69" s="355">
        <f t="shared" si="442"/>
        <v>-2.6712218908165997E-2</v>
      </c>
      <c r="DS69" s="313">
        <f t="shared" si="442"/>
        <v>-1.1604980785764329E-2</v>
      </c>
      <c r="DT69" s="355">
        <f t="shared" ref="DT69:EC69" si="443">IF(OR(DT68="",DO68=""),"",DT68/DO68-1)</f>
        <v>-0.19849406984471096</v>
      </c>
      <c r="DU69" s="355">
        <f t="shared" si="443"/>
        <v>-2.7843106415287755E-2</v>
      </c>
      <c r="DV69" s="355">
        <f t="shared" si="443"/>
        <v>0.31400103028403192</v>
      </c>
      <c r="DW69" s="355">
        <f t="shared" si="443"/>
        <v>-0.119889155722677</v>
      </c>
      <c r="DX69" s="313">
        <f t="shared" si="443"/>
        <v>-1.813305652877184E-2</v>
      </c>
      <c r="DY69" s="355">
        <f t="shared" si="443"/>
        <v>0.17203570183239925</v>
      </c>
      <c r="DZ69" s="355">
        <f t="shared" si="443"/>
        <v>3.1902354751400575E-2</v>
      </c>
      <c r="EA69" s="355">
        <f t="shared" si="443"/>
        <v>-0.1484966253348613</v>
      </c>
      <c r="EB69" s="355">
        <f t="shared" si="443"/>
        <v>-3.9366490437792723E-2</v>
      </c>
      <c r="EC69" s="313">
        <f t="shared" si="443"/>
        <v>2.1383339962988357E-2</v>
      </c>
      <c r="ED69" s="355">
        <f t="shared" ref="ED69:EU69" si="444">IF(OR(ED68="",DY68=""),"",ED68/DY68-1)</f>
        <v>3.9980424720398533E-2</v>
      </c>
      <c r="EE69" s="355">
        <f t="shared" si="444"/>
        <v>-0.1028483483869066</v>
      </c>
      <c r="EF69" s="355">
        <f t="shared" si="444"/>
        <v>-6.3531604229502325E-2</v>
      </c>
      <c r="EG69" s="355">
        <f t="shared" si="444"/>
        <v>0.15129787035156106</v>
      </c>
      <c r="EH69" s="313">
        <f t="shared" si="444"/>
        <v>-3.6562470600195462E-3</v>
      </c>
      <c r="EI69" s="355">
        <f t="shared" si="444"/>
        <v>-1.9004343611559893E-2</v>
      </c>
      <c r="EJ69" s="355">
        <f t="shared" si="444"/>
        <v>6.6980759862093064E-2</v>
      </c>
      <c r="EK69" s="355">
        <f t="shared" si="444"/>
        <v>-0.1300337326522405</v>
      </c>
      <c r="EL69" s="355">
        <f t="shared" si="444"/>
        <v>0.17889569871559163</v>
      </c>
      <c r="EM69" s="313">
        <f t="shared" si="444"/>
        <v>2.6301981071037428E-2</v>
      </c>
      <c r="EN69" s="355">
        <f t="shared" si="444"/>
        <v>0.1382982224733047</v>
      </c>
      <c r="EO69" s="355">
        <f t="shared" si="444"/>
        <v>9.0850969811824056E-2</v>
      </c>
      <c r="EP69" s="355">
        <f t="shared" si="444"/>
        <v>0.31856591226030839</v>
      </c>
      <c r="EQ69" s="355">
        <f t="shared" si="444"/>
        <v>0.40465037583579444</v>
      </c>
      <c r="ER69" s="313">
        <f t="shared" si="444"/>
        <v>0.23769904979281553</v>
      </c>
      <c r="ES69" s="355">
        <f t="shared" si="444"/>
        <v>0.19193439348183761</v>
      </c>
      <c r="ET69" s="355">
        <f t="shared" si="444"/>
        <v>0.21254430934591251</v>
      </c>
      <c r="EU69" s="355">
        <f t="shared" si="444"/>
        <v>0.34168497840775847</v>
      </c>
      <c r="EV69" s="355">
        <f t="shared" ref="EU69:EW69" si="445">IF(OR(EV68="",EQ68=""),"",EV68/EQ68-1)</f>
        <v>-6.0871568111364738E-4</v>
      </c>
      <c r="EW69" s="313">
        <f t="shared" si="445"/>
        <v>0.16722799086168028</v>
      </c>
      <c r="EX69" s="355">
        <f t="shared" ref="EX69:FG69" si="446">IF(OR(EX68="",ES68=""),"",EX68/ES68-1)</f>
        <v>7.5978067857977338E-2</v>
      </c>
      <c r="EY69" s="355">
        <f t="shared" si="446"/>
        <v>6.4822193159579822E-2</v>
      </c>
      <c r="EZ69" s="355">
        <f t="shared" si="446"/>
        <v>2.6927637627755407E-2</v>
      </c>
      <c r="FA69" s="355">
        <f t="shared" si="446"/>
        <v>4.3989267243883301E-2</v>
      </c>
      <c r="FB69" s="313">
        <f t="shared" si="446"/>
        <v>5.2021488686410988E-2</v>
      </c>
      <c r="FC69" s="355">
        <f t="shared" si="446"/>
        <v>0.15405388163753742</v>
      </c>
      <c r="FD69" s="355">
        <f t="shared" si="446"/>
        <v>0.15847710663201164</v>
      </c>
      <c r="FE69" s="355">
        <f t="shared" si="446"/>
        <v>0.1858514568359273</v>
      </c>
      <c r="FF69" s="355">
        <f t="shared" si="446"/>
        <v>0.17819059392031611</v>
      </c>
      <c r="FG69" s="313">
        <f t="shared" si="446"/>
        <v>0.16955938403688053</v>
      </c>
      <c r="FH69" s="355">
        <f t="shared" ref="FH69" si="447">IF(OR(FH68="",FC68=""),"",FH68/FC68-1)</f>
        <v>0.14814338315309583</v>
      </c>
      <c r="FI69" s="355">
        <f t="shared" ref="FI69" si="448">IF(OR(FI68="",FD68=""),"",FI68/FD68-1)</f>
        <v>0.14218418918002884</v>
      </c>
      <c r="FJ69" s="355">
        <f t="shared" ref="FJ69" si="449">IF(OR(FJ68="",FE68=""),"",FJ68/FE68-1)</f>
        <v>0.1538920529302803</v>
      </c>
      <c r="FK69" s="355">
        <f t="shared" ref="FK69" si="450">IF(OR(FK68="",FF68=""),"",FK68/FF68-1)</f>
        <v>0.14588551651444837</v>
      </c>
      <c r="FL69" s="313">
        <f t="shared" ref="FL69" si="451">IF(OR(FL68="",FG68=""),"",FL68/FG68-1)</f>
        <v>0.14753293425544278</v>
      </c>
      <c r="FN69" s="354"/>
      <c r="FO69" s="313">
        <f t="shared" ref="FO69:FU69" si="452">FO68/FN68-1</f>
        <v>0.12676738791100406</v>
      </c>
      <c r="FP69" s="313">
        <f t="shared" si="452"/>
        <v>-0.47812019332208078</v>
      </c>
      <c r="FQ69" s="313">
        <f t="shared" si="452"/>
        <v>0.81149716276424</v>
      </c>
      <c r="FR69" s="313">
        <f t="shared" si="452"/>
        <v>0.44838954516639284</v>
      </c>
      <c r="FS69" s="313">
        <f t="shared" si="452"/>
        <v>-0.12565748065629678</v>
      </c>
      <c r="FT69" s="313">
        <f t="shared" si="452"/>
        <v>0.23558247024984835</v>
      </c>
      <c r="FU69" s="313">
        <f t="shared" si="452"/>
        <v>-1.4586587217725988E-2</v>
      </c>
      <c r="FV69" s="313">
        <f t="shared" ref="FV69:GI69" si="453">FV68/FU68-1</f>
        <v>0.46057592944041059</v>
      </c>
      <c r="FW69" s="313">
        <f t="shared" si="453"/>
        <v>1.8035659358319966E-2</v>
      </c>
      <c r="FX69" s="859">
        <f t="shared" si="453"/>
        <v>2.1612539267284792E-2</v>
      </c>
      <c r="FY69" s="860">
        <f t="shared" si="453"/>
        <v>0.23827362638573835</v>
      </c>
      <c r="FZ69" s="860">
        <f t="shared" si="453"/>
        <v>0.18078530867487275</v>
      </c>
      <c r="GA69" s="860">
        <f t="shared" si="453"/>
        <v>-6.7486948441708883E-2</v>
      </c>
      <c r="GB69" s="860">
        <f t="shared" si="453"/>
        <v>8.8009637254568451E-2</v>
      </c>
      <c r="GC69" s="860">
        <f t="shared" si="453"/>
        <v>-7.0030170775907563E-2</v>
      </c>
      <c r="GD69" s="860">
        <f t="shared" si="453"/>
        <v>2.9549571504374983E-2</v>
      </c>
      <c r="GE69" s="860">
        <f t="shared" si="453"/>
        <v>7.0999464407509594E-2</v>
      </c>
      <c r="GF69" s="860">
        <f t="shared" si="453"/>
        <v>0.28071603586599125</v>
      </c>
      <c r="GG69" s="860">
        <f t="shared" si="453"/>
        <v>0.10293667270257911</v>
      </c>
      <c r="GH69" s="860">
        <f t="shared" si="453"/>
        <v>9.4816354313316253E-2</v>
      </c>
      <c r="GI69" s="860">
        <f t="shared" si="453"/>
        <v>0.16282844619653347</v>
      </c>
      <c r="GJ69" s="355"/>
      <c r="GK69" s="355"/>
      <c r="GL69" s="355"/>
      <c r="GN69"/>
      <c r="GO69"/>
      <c r="GP69"/>
      <c r="GQ69"/>
      <c r="GR69"/>
      <c r="GS69"/>
    </row>
    <row r="70" spans="1:201" s="253" customFormat="1" ht="11.25" customHeight="1">
      <c r="A70" s="260"/>
      <c r="D70" s="267"/>
      <c r="E70" s="267"/>
      <c r="F70" s="267"/>
      <c r="G70" s="267"/>
      <c r="H70" s="354"/>
      <c r="I70" s="267"/>
      <c r="J70" s="267"/>
      <c r="K70" s="267"/>
      <c r="L70" s="267"/>
      <c r="M70" s="354"/>
      <c r="N70" s="267"/>
      <c r="O70" s="267"/>
      <c r="P70" s="267"/>
      <c r="Q70" s="267"/>
      <c r="R70" s="354"/>
      <c r="S70" s="267"/>
      <c r="T70" s="267"/>
      <c r="U70" s="267"/>
      <c r="V70" s="267"/>
      <c r="W70" s="354"/>
      <c r="X70" s="267"/>
      <c r="Y70" s="267"/>
      <c r="Z70" s="267"/>
      <c r="AA70" s="267"/>
      <c r="AB70" s="354"/>
      <c r="AC70" s="267"/>
      <c r="AD70" s="267"/>
      <c r="AE70" s="267"/>
      <c r="AF70" s="267"/>
      <c r="AG70" s="354"/>
      <c r="AH70" s="267"/>
      <c r="AI70" s="267"/>
      <c r="AJ70" s="267"/>
      <c r="AK70" s="267"/>
      <c r="AL70" s="354"/>
      <c r="AM70" s="267"/>
      <c r="AN70" s="267"/>
      <c r="AO70" s="267"/>
      <c r="AP70" s="267"/>
      <c r="AQ70" s="354"/>
      <c r="AR70" s="267"/>
      <c r="AS70" s="267"/>
      <c r="AT70" s="267"/>
      <c r="AU70" s="267"/>
      <c r="AV70" s="354"/>
      <c r="AW70" s="267"/>
      <c r="AX70" s="267"/>
      <c r="AY70" s="267"/>
      <c r="AZ70" s="267"/>
      <c r="BA70" s="354"/>
      <c r="BB70" s="267"/>
      <c r="BC70" s="267"/>
      <c r="BD70" s="267"/>
      <c r="BE70" s="267"/>
      <c r="BF70" s="354"/>
      <c r="BG70" s="267"/>
      <c r="BH70" s="267"/>
      <c r="BI70" s="267"/>
      <c r="BJ70" s="267"/>
      <c r="BK70" s="354"/>
      <c r="BL70" s="267"/>
      <c r="BM70" s="267"/>
      <c r="BN70" s="267"/>
      <c r="BO70" s="267"/>
      <c r="BP70" s="354"/>
      <c r="BQ70" s="267"/>
      <c r="BR70" s="267"/>
      <c r="BS70" s="267"/>
      <c r="BT70" s="267"/>
      <c r="BU70" s="354"/>
      <c r="BV70" s="267"/>
      <c r="BW70" s="267"/>
      <c r="BX70" s="267"/>
      <c r="BY70" s="267"/>
      <c r="BZ70" s="354"/>
      <c r="CA70" s="267"/>
      <c r="CB70" s="267"/>
      <c r="CC70" s="267"/>
      <c r="CD70" s="267"/>
      <c r="CE70" s="354"/>
      <c r="CF70" s="267"/>
      <c r="CG70" s="267"/>
      <c r="CH70" s="267"/>
      <c r="CI70" s="267"/>
      <c r="CJ70" s="354"/>
      <c r="CK70" s="267"/>
      <c r="CL70" s="267"/>
      <c r="CM70" s="267"/>
      <c r="CN70" s="267"/>
      <c r="CO70" s="354"/>
      <c r="CP70" s="267"/>
      <c r="CQ70" s="267"/>
      <c r="CR70" s="267"/>
      <c r="CS70" s="267"/>
      <c r="CT70" s="354"/>
      <c r="CU70" s="267"/>
      <c r="CV70" s="267"/>
      <c r="CW70" s="267"/>
      <c r="CX70" s="267"/>
      <c r="CY70" s="354"/>
      <c r="CZ70" s="267"/>
      <c r="DA70" s="267"/>
      <c r="DB70" s="267"/>
      <c r="DC70" s="267"/>
      <c r="DD70" s="354"/>
      <c r="DE70" s="267"/>
      <c r="DF70" s="267"/>
      <c r="DG70" s="267"/>
      <c r="DH70" s="267"/>
      <c r="DI70" s="354"/>
      <c r="DJ70" s="267"/>
      <c r="DK70" s="267"/>
      <c r="DL70" s="267"/>
      <c r="DM70" s="267"/>
      <c r="DN70" s="354"/>
      <c r="DO70" s="267"/>
      <c r="DP70" s="267"/>
      <c r="DQ70" s="267"/>
      <c r="DR70" s="267"/>
      <c r="DS70" s="354"/>
      <c r="DT70" s="267"/>
      <c r="DU70" s="267"/>
      <c r="DV70" s="267"/>
      <c r="DW70" s="267"/>
      <c r="DX70" s="354"/>
      <c r="DY70" s="267"/>
      <c r="DZ70" s="267"/>
      <c r="EA70" s="267"/>
      <c r="EB70" s="267"/>
      <c r="EC70" s="354"/>
      <c r="ED70" s="267"/>
      <c r="EE70" s="267"/>
      <c r="EF70" s="267"/>
      <c r="EG70" s="267"/>
      <c r="EH70" s="354"/>
      <c r="EI70" s="2713"/>
      <c r="EJ70" s="2713"/>
      <c r="EK70" s="2713"/>
      <c r="EL70" s="2713"/>
      <c r="EM70" s="2714"/>
      <c r="EN70" s="2713"/>
      <c r="EO70" s="2713"/>
      <c r="EP70" s="2713"/>
      <c r="EQ70" s="2713"/>
      <c r="ER70" s="2714"/>
      <c r="ES70" s="2713"/>
      <c r="ET70" s="2713"/>
      <c r="EU70" s="2713"/>
      <c r="EV70" s="267"/>
      <c r="EW70" s="354"/>
      <c r="EX70" s="267"/>
      <c r="EY70" s="267"/>
      <c r="EZ70" s="267"/>
      <c r="FA70" s="267"/>
      <c r="FB70" s="354"/>
      <c r="FC70" s="267"/>
      <c r="FD70" s="267"/>
      <c r="FE70" s="267"/>
      <c r="FF70" s="267"/>
      <c r="FG70" s="354"/>
      <c r="FH70" s="267"/>
      <c r="FI70" s="267"/>
      <c r="FJ70" s="267"/>
      <c r="FK70" s="267"/>
      <c r="FL70" s="354"/>
      <c r="FN70" s="354"/>
      <c r="FO70" s="354"/>
      <c r="FP70" s="354"/>
      <c r="FQ70" s="354"/>
      <c r="FR70" s="354"/>
      <c r="FS70" s="354"/>
      <c r="FT70" s="354"/>
      <c r="FU70" s="354"/>
      <c r="FV70" s="354"/>
      <c r="FW70" s="354"/>
      <c r="FX70" s="852"/>
      <c r="FY70" s="853"/>
      <c r="FZ70" s="853"/>
      <c r="GA70" s="853"/>
      <c r="GB70" s="853"/>
      <c r="GC70" s="853"/>
      <c r="GD70" s="853"/>
      <c r="GE70" s="853"/>
      <c r="GF70" s="853"/>
      <c r="GG70" s="853"/>
      <c r="GH70" s="853"/>
      <c r="GI70" s="853"/>
      <c r="GJ70" s="455"/>
      <c r="GK70" s="455"/>
      <c r="GL70" s="455"/>
      <c r="GN70"/>
      <c r="GO70"/>
      <c r="GP70"/>
      <c r="GQ70"/>
      <c r="GR70"/>
      <c r="GS70"/>
    </row>
    <row r="71" spans="1:201" s="307" customFormat="1" ht="11.25" hidden="1" customHeight="1" outlineLevel="1">
      <c r="A71" s="303" t="s">
        <v>629</v>
      </c>
      <c r="B71" s="303"/>
      <c r="C71" s="303"/>
      <c r="D71" s="329">
        <v>0</v>
      </c>
      <c r="E71" s="329">
        <v>0</v>
      </c>
      <c r="F71" s="329">
        <v>0</v>
      </c>
      <c r="G71" s="329">
        <v>0</v>
      </c>
      <c r="H71" s="331">
        <f>SUM(D71:G71)</f>
        <v>0</v>
      </c>
      <c r="I71" s="329">
        <v>0</v>
      </c>
      <c r="J71" s="329">
        <v>0</v>
      </c>
      <c r="K71" s="329">
        <v>0</v>
      </c>
      <c r="L71" s="329">
        <v>0</v>
      </c>
      <c r="M71" s="331">
        <f>SUM(I71:L71)</f>
        <v>0</v>
      </c>
      <c r="N71" s="329">
        <v>0</v>
      </c>
      <c r="O71" s="329">
        <v>0</v>
      </c>
      <c r="P71" s="329">
        <v>0</v>
      </c>
      <c r="Q71" s="329">
        <v>0</v>
      </c>
      <c r="R71" s="331">
        <f>SUM(N71:Q71)</f>
        <v>0</v>
      </c>
      <c r="S71" s="329">
        <v>0</v>
      </c>
      <c r="T71" s="329">
        <v>0</v>
      </c>
      <c r="U71" s="329">
        <v>0</v>
      </c>
      <c r="V71" s="329">
        <v>0</v>
      </c>
      <c r="W71" s="331">
        <f>SUM(S71:V71)</f>
        <v>0</v>
      </c>
      <c r="X71" s="329">
        <v>0</v>
      </c>
      <c r="Y71" s="329">
        <v>0</v>
      </c>
      <c r="Z71" s="329">
        <v>0</v>
      </c>
      <c r="AA71" s="329">
        <v>0</v>
      </c>
      <c r="AB71" s="331">
        <f>SUM(X71:AA71)</f>
        <v>0</v>
      </c>
      <c r="AC71" s="329">
        <v>0</v>
      </c>
      <c r="AD71" s="329">
        <v>0</v>
      </c>
      <c r="AE71" s="329">
        <v>0</v>
      </c>
      <c r="AF71" s="329">
        <v>0</v>
      </c>
      <c r="AG71" s="331">
        <f>SUM(AC71:AF71)</f>
        <v>0</v>
      </c>
      <c r="AH71" s="329">
        <v>0</v>
      </c>
      <c r="AI71" s="329">
        <v>0</v>
      </c>
      <c r="AJ71" s="329">
        <v>0</v>
      </c>
      <c r="AK71" s="329">
        <v>0</v>
      </c>
      <c r="AL71" s="331">
        <f>SUM(AH71:AK71)</f>
        <v>0</v>
      </c>
      <c r="AM71" s="329">
        <v>0</v>
      </c>
      <c r="AN71" s="329">
        <v>0</v>
      </c>
      <c r="AO71" s="329">
        <v>0</v>
      </c>
      <c r="AP71" s="329">
        <v>0</v>
      </c>
      <c r="AQ71" s="331">
        <f>SUM(AM71:AP71)</f>
        <v>0</v>
      </c>
      <c r="AR71" s="329">
        <v>0</v>
      </c>
      <c r="AS71" s="329">
        <v>0</v>
      </c>
      <c r="AT71" s="329">
        <v>0</v>
      </c>
      <c r="AU71" s="329">
        <v>0</v>
      </c>
      <c r="AV71" s="331">
        <f>SUM(AR71:AU71)</f>
        <v>0</v>
      </c>
      <c r="AW71" s="329">
        <v>0</v>
      </c>
      <c r="AX71" s="329">
        <v>0</v>
      </c>
      <c r="AY71" s="329">
        <v>0</v>
      </c>
      <c r="AZ71" s="329">
        <v>0</v>
      </c>
      <c r="BA71" s="331">
        <f>SUM(AW71:AZ71)</f>
        <v>0</v>
      </c>
      <c r="BB71" s="329">
        <v>0</v>
      </c>
      <c r="BC71" s="329">
        <v>0</v>
      </c>
      <c r="BD71" s="329">
        <v>0</v>
      </c>
      <c r="BE71" s="329">
        <v>0</v>
      </c>
      <c r="BF71" s="331">
        <f>SUM(BB71:BE71)</f>
        <v>0</v>
      </c>
      <c r="BG71" s="329">
        <v>0</v>
      </c>
      <c r="BH71" s="329">
        <v>0</v>
      </c>
      <c r="BI71" s="329">
        <v>0</v>
      </c>
      <c r="BJ71" s="329">
        <v>0</v>
      </c>
      <c r="BK71" s="331">
        <f>SUM(BG71:BJ71)</f>
        <v>0</v>
      </c>
      <c r="BL71" s="329">
        <v>0</v>
      </c>
      <c r="BM71" s="329">
        <v>0</v>
      </c>
      <c r="BN71" s="329">
        <v>0</v>
      </c>
      <c r="BO71" s="329">
        <v>0</v>
      </c>
      <c r="BP71" s="331">
        <f>SUM(BL71:BO71)</f>
        <v>0</v>
      </c>
      <c r="BQ71" s="329">
        <v>0</v>
      </c>
      <c r="BR71" s="329">
        <v>0</v>
      </c>
      <c r="BS71" s="329">
        <v>0</v>
      </c>
      <c r="BT71" s="329">
        <v>0</v>
      </c>
      <c r="BU71" s="331">
        <f>SUM(BQ71:BT71)</f>
        <v>0</v>
      </c>
      <c r="BV71" s="329">
        <v>0</v>
      </c>
      <c r="BW71" s="329">
        <v>0</v>
      </c>
      <c r="BX71" s="329">
        <v>0</v>
      </c>
      <c r="BY71" s="329">
        <v>0</v>
      </c>
      <c r="BZ71" s="331">
        <f>SUM(BV71:BY71)</f>
        <v>0</v>
      </c>
      <c r="CA71" s="329">
        <v>0</v>
      </c>
      <c r="CB71" s="329">
        <v>2205</v>
      </c>
      <c r="CC71" s="329">
        <v>0</v>
      </c>
      <c r="CD71" s="329">
        <v>0</v>
      </c>
      <c r="CE71" s="331">
        <f>SUM(CA71:CD71)</f>
        <v>2205</v>
      </c>
      <c r="CF71" s="329">
        <v>0</v>
      </c>
      <c r="CG71" s="329">
        <v>0</v>
      </c>
      <c r="CH71" s="329">
        <v>0</v>
      </c>
      <c r="CI71" s="329">
        <v>0</v>
      </c>
      <c r="CJ71" s="331">
        <f>SUM(CF71:CI71)</f>
        <v>0</v>
      </c>
      <c r="CK71" s="329">
        <v>0</v>
      </c>
      <c r="CL71" s="329">
        <v>0</v>
      </c>
      <c r="CM71" s="329">
        <v>0</v>
      </c>
      <c r="CN71" s="329">
        <v>0</v>
      </c>
      <c r="CO71" s="331">
        <f>SUM(CK71:CN71)</f>
        <v>0</v>
      </c>
      <c r="CP71" s="329">
        <v>0</v>
      </c>
      <c r="CQ71" s="329">
        <v>0</v>
      </c>
      <c r="CR71" s="329">
        <v>0</v>
      </c>
      <c r="CS71" s="329">
        <v>0</v>
      </c>
      <c r="CT71" s="331">
        <f>SUM(CP71:CS71)</f>
        <v>0</v>
      </c>
      <c r="CU71" s="329">
        <v>0</v>
      </c>
      <c r="CV71" s="329">
        <v>0</v>
      </c>
      <c r="CW71" s="329">
        <v>0</v>
      </c>
      <c r="CX71" s="329">
        <v>0</v>
      </c>
      <c r="CY71" s="331">
        <f>SUM(CU71:CX71)</f>
        <v>0</v>
      </c>
      <c r="CZ71" s="329">
        <v>0</v>
      </c>
      <c r="DA71" s="329">
        <v>0</v>
      </c>
      <c r="DB71" s="329">
        <v>0</v>
      </c>
      <c r="DC71" s="329">
        <v>0</v>
      </c>
      <c r="DD71" s="331">
        <f>SUM(CZ71:DC71)</f>
        <v>0</v>
      </c>
      <c r="DE71" s="329">
        <v>0</v>
      </c>
      <c r="DF71" s="329">
        <v>0</v>
      </c>
      <c r="DG71" s="329">
        <v>0</v>
      </c>
      <c r="DH71" s="329">
        <v>0</v>
      </c>
      <c r="DI71" s="331">
        <f>SUM(DE71:DH71)</f>
        <v>0</v>
      </c>
      <c r="DJ71" s="1114">
        <v>0</v>
      </c>
      <c r="DK71" s="1114">
        <v>0</v>
      </c>
      <c r="DL71" s="1114">
        <v>0</v>
      </c>
      <c r="DM71" s="1114">
        <v>0</v>
      </c>
      <c r="DN71" s="331">
        <f>SUM(DJ71:DM71)</f>
        <v>0</v>
      </c>
      <c r="DO71" s="1114">
        <v>0</v>
      </c>
      <c r="DP71" s="1114">
        <v>0</v>
      </c>
      <c r="DQ71" s="1114">
        <v>0</v>
      </c>
      <c r="DR71" s="1114">
        <v>0</v>
      </c>
      <c r="DS71" s="331">
        <f>SUM(DO71:DR71)</f>
        <v>0</v>
      </c>
      <c r="DT71" s="1114">
        <v>0</v>
      </c>
      <c r="DU71" s="1114">
        <v>0</v>
      </c>
      <c r="DV71" s="1114">
        <v>0</v>
      </c>
      <c r="DW71" s="1114">
        <v>0</v>
      </c>
      <c r="DX71" s="331">
        <f>SUM(DT71:DW71)</f>
        <v>0</v>
      </c>
      <c r="DY71" s="1114">
        <v>0</v>
      </c>
      <c r="DZ71" s="1114">
        <v>0</v>
      </c>
      <c r="EA71" s="1114">
        <v>0</v>
      </c>
      <c r="EB71" s="1114">
        <v>0</v>
      </c>
      <c r="EC71" s="331">
        <f>SUM(DY71:EB71)</f>
        <v>0</v>
      </c>
      <c r="ED71" s="1114">
        <v>0</v>
      </c>
      <c r="EE71" s="1114">
        <v>0</v>
      </c>
      <c r="EF71" s="1114">
        <v>0</v>
      </c>
      <c r="EG71" s="1114">
        <v>0</v>
      </c>
      <c r="EH71" s="331">
        <f>SUM(ED71:EG71)</f>
        <v>0</v>
      </c>
      <c r="EI71" s="2558">
        <v>0</v>
      </c>
      <c r="EJ71" s="2558">
        <v>0</v>
      </c>
      <c r="EK71" s="2558">
        <v>0</v>
      </c>
      <c r="EL71" s="2558">
        <v>0</v>
      </c>
      <c r="EM71" s="2696">
        <f>SUM(EI71:EL71)</f>
        <v>0</v>
      </c>
      <c r="EN71" s="2558">
        <v>0</v>
      </c>
      <c r="EO71" s="2558">
        <v>0</v>
      </c>
      <c r="EP71" s="2558">
        <v>0</v>
      </c>
      <c r="EQ71" s="2558">
        <v>0</v>
      </c>
      <c r="ER71" s="2696">
        <f>SUM(EN71:EQ71)</f>
        <v>0</v>
      </c>
      <c r="ES71" s="2558">
        <v>0</v>
      </c>
      <c r="ET71" s="2558">
        <v>0</v>
      </c>
      <c r="EU71" s="2558">
        <v>0</v>
      </c>
      <c r="EV71" s="329">
        <v>0</v>
      </c>
      <c r="EW71" s="331">
        <f>SUM(ES71:EV71)</f>
        <v>0</v>
      </c>
      <c r="EX71" s="329">
        <v>0</v>
      </c>
      <c r="EY71" s="329">
        <v>0</v>
      </c>
      <c r="EZ71" s="329">
        <v>0</v>
      </c>
      <c r="FA71" s="329">
        <v>0</v>
      </c>
      <c r="FB71" s="331">
        <f>SUM(EX71:FA71)</f>
        <v>0</v>
      </c>
      <c r="FC71" s="329">
        <v>0</v>
      </c>
      <c r="FD71" s="329">
        <v>0</v>
      </c>
      <c r="FE71" s="329">
        <v>0</v>
      </c>
      <c r="FF71" s="329">
        <v>0</v>
      </c>
      <c r="FG71" s="331">
        <f>SUM(FC71:FF71)</f>
        <v>0</v>
      </c>
      <c r="FH71" s="329">
        <v>0</v>
      </c>
      <c r="FI71" s="329">
        <v>0</v>
      </c>
      <c r="FJ71" s="329">
        <v>0</v>
      </c>
      <c r="FK71" s="329">
        <v>0</v>
      </c>
      <c r="FL71" s="331">
        <f>SUM(FH71:FK71)</f>
        <v>0</v>
      </c>
      <c r="FN71" s="330">
        <f t="shared" ref="FN71:FN78" si="454">BD71+BE71+BG71+BH71</f>
        <v>0</v>
      </c>
      <c r="FO71" s="330">
        <f t="shared" ref="FO71:FO78" si="455">BI71+BJ71+BL71+BM71</f>
        <v>0</v>
      </c>
      <c r="FP71" s="330">
        <f t="shared" ref="FP71:FP78" si="456">BN71+BO71+BQ71+BR71</f>
        <v>0</v>
      </c>
      <c r="FQ71" s="330">
        <f t="shared" ref="FQ71:FQ78" si="457">BS71+BT71+BV71+BW71</f>
        <v>0</v>
      </c>
      <c r="FR71" s="330">
        <f t="shared" ref="FR71:FR78" si="458">BX71+BY71+CA71+CB71</f>
        <v>2205</v>
      </c>
      <c r="FS71" s="330">
        <f t="shared" ref="FS71:FS77" si="459">CC71+CD71+CF71+CG71</f>
        <v>0</v>
      </c>
      <c r="FT71" s="330">
        <f t="shared" ref="FT71:FT78" si="460">CH71+CI71+CK71+CL71</f>
        <v>0</v>
      </c>
      <c r="FU71" s="330">
        <f t="shared" ref="FU71:FU77" si="461">CM71+CN71+CP71+CQ71</f>
        <v>0</v>
      </c>
      <c r="FV71" s="330">
        <f t="shared" ref="FV71:FV78" si="462">CR71+CS71+CU71+CV71</f>
        <v>0</v>
      </c>
      <c r="FW71" s="330">
        <f t="shared" ref="FW71:FW78" si="463">CW71+CX71+CZ71+DA71</f>
        <v>0</v>
      </c>
      <c r="FX71" s="855">
        <f t="shared" ref="FX71:FX78" si="464">DB71+DC71+DE71+DF71</f>
        <v>0</v>
      </c>
      <c r="FY71" s="856">
        <f t="shared" ref="FY71:FY78" si="465">DG71+DH71+DJ71+DK71</f>
        <v>0</v>
      </c>
      <c r="FZ71" s="856">
        <f>SUM(DO71:DP71,DL71:DM71)</f>
        <v>0</v>
      </c>
      <c r="GA71" s="856">
        <f t="shared" ref="GA71:GA78" si="466">SUM(DT71:DU71,DQ71:DR71)</f>
        <v>0</v>
      </c>
      <c r="GB71" s="856">
        <f>SUM(DV71:DW71,DY71:DZ71)</f>
        <v>0</v>
      </c>
      <c r="GC71" s="856">
        <f t="shared" ref="GC71:GC78" si="467">SUM(ED71:EE71,EA71:EB71)</f>
        <v>0</v>
      </c>
      <c r="GD71" s="856">
        <f t="shared" ref="GD71:GD78" si="468">SUM(EI71:EJ71,EF71:EG71)</f>
        <v>0</v>
      </c>
      <c r="GE71" s="856">
        <f t="shared" ref="GE71:GE78" si="469">SUM(EN71:EO71,EK71:EL71)</f>
        <v>0</v>
      </c>
      <c r="GF71" s="856">
        <f t="shared" ref="GF71:GF78" si="470">SUM(ES71:ET71,EP71:EQ71)</f>
        <v>0</v>
      </c>
      <c r="GG71" s="856">
        <f t="shared" ref="GG71:GG78" si="471">SUM(EX71:EY71,EU71:EV71)</f>
        <v>0</v>
      </c>
      <c r="GH71" s="856">
        <f t="shared" ref="GH71:GH78" si="472">SUM(FC71:FD71,EZ71:FA71)</f>
        <v>0</v>
      </c>
      <c r="GI71" s="856">
        <f t="shared" ref="GI71:GI78" si="473">SUM(FH71:FI71,FE71:FF71)</f>
        <v>0</v>
      </c>
      <c r="GJ71" s="303"/>
      <c r="GK71" s="303"/>
      <c r="GL71" s="303"/>
      <c r="GN71"/>
      <c r="GO71"/>
      <c r="GP71"/>
      <c r="GQ71"/>
      <c r="GR71"/>
      <c r="GS71"/>
    </row>
    <row r="72" spans="1:201" s="307" customFormat="1" ht="11.25" hidden="1" customHeight="1" outlineLevel="1">
      <c r="A72" s="303" t="s">
        <v>468</v>
      </c>
      <c r="B72" s="303"/>
      <c r="C72" s="303"/>
      <c r="D72" s="329">
        <v>0</v>
      </c>
      <c r="E72" s="329">
        <v>0</v>
      </c>
      <c r="F72" s="329">
        <v>0</v>
      </c>
      <c r="G72" s="329">
        <v>0</v>
      </c>
      <c r="H72" s="331">
        <f t="shared" ref="H72:H78" si="474">SUM(D72:G72)</f>
        <v>0</v>
      </c>
      <c r="I72" s="329">
        <v>0</v>
      </c>
      <c r="J72" s="329">
        <v>0</v>
      </c>
      <c r="K72" s="329">
        <v>0</v>
      </c>
      <c r="L72" s="329">
        <v>0</v>
      </c>
      <c r="M72" s="331">
        <f t="shared" ref="M72:M78" si="475">SUM(I72:L72)</f>
        <v>0</v>
      </c>
      <c r="N72" s="329">
        <v>0</v>
      </c>
      <c r="O72" s="329">
        <v>0</v>
      </c>
      <c r="P72" s="329">
        <v>0</v>
      </c>
      <c r="Q72" s="329">
        <v>0</v>
      </c>
      <c r="R72" s="331">
        <f t="shared" ref="R72:R78" si="476">SUM(N72:Q72)</f>
        <v>0</v>
      </c>
      <c r="S72" s="329">
        <v>0</v>
      </c>
      <c r="T72" s="329">
        <v>0</v>
      </c>
      <c r="U72" s="329">
        <v>0</v>
      </c>
      <c r="V72" s="329">
        <v>0</v>
      </c>
      <c r="W72" s="331">
        <f t="shared" ref="W72:W78" si="477">SUM(S72:V72)</f>
        <v>0</v>
      </c>
      <c r="X72" s="329">
        <v>0</v>
      </c>
      <c r="Y72" s="329">
        <v>0</v>
      </c>
      <c r="Z72" s="329">
        <v>0</v>
      </c>
      <c r="AA72" s="329">
        <v>0</v>
      </c>
      <c r="AB72" s="331">
        <f t="shared" ref="AB72:AB78" si="478">SUM(X72:AA72)</f>
        <v>0</v>
      </c>
      <c r="AC72" s="329">
        <v>0</v>
      </c>
      <c r="AD72" s="329">
        <v>0</v>
      </c>
      <c r="AE72" s="329">
        <v>120</v>
      </c>
      <c r="AF72" s="329">
        <v>-30</v>
      </c>
      <c r="AG72" s="331">
        <f t="shared" ref="AG72:AG78" si="479">SUM(AC72:AF72)</f>
        <v>90</v>
      </c>
      <c r="AH72" s="329">
        <v>0</v>
      </c>
      <c r="AI72" s="329">
        <v>0</v>
      </c>
      <c r="AJ72" s="329">
        <v>0</v>
      </c>
      <c r="AK72" s="329">
        <v>0</v>
      </c>
      <c r="AL72" s="331">
        <f t="shared" ref="AL72:AL78" si="480">SUM(AH72:AK72)</f>
        <v>0</v>
      </c>
      <c r="AM72" s="329">
        <v>0</v>
      </c>
      <c r="AN72" s="329">
        <v>0</v>
      </c>
      <c r="AO72" s="329">
        <v>0</v>
      </c>
      <c r="AP72" s="329">
        <v>0</v>
      </c>
      <c r="AQ72" s="331">
        <f t="shared" ref="AQ72:AQ78" si="481">SUM(AM72:AP72)</f>
        <v>0</v>
      </c>
      <c r="AR72" s="329">
        <v>0</v>
      </c>
      <c r="AS72" s="329">
        <v>0</v>
      </c>
      <c r="AT72" s="329">
        <v>0</v>
      </c>
      <c r="AU72" s="329">
        <v>0</v>
      </c>
      <c r="AV72" s="331">
        <f t="shared" ref="AV72:AV78" si="482">SUM(AR72:AU72)</f>
        <v>0</v>
      </c>
      <c r="AW72" s="329">
        <v>0</v>
      </c>
      <c r="AX72" s="329">
        <v>0</v>
      </c>
      <c r="AY72" s="329">
        <v>0</v>
      </c>
      <c r="AZ72" s="329">
        <v>0</v>
      </c>
      <c r="BA72" s="331">
        <f t="shared" ref="BA72:BA78" si="483">SUM(AW72:AZ72)</f>
        <v>0</v>
      </c>
      <c r="BB72" s="329">
        <v>0</v>
      </c>
      <c r="BC72" s="329">
        <v>0</v>
      </c>
      <c r="BD72" s="329">
        <v>0</v>
      </c>
      <c r="BE72" s="329">
        <v>0</v>
      </c>
      <c r="BF72" s="331">
        <f t="shared" ref="BF72:BF78" si="484">SUM(BB72:BE72)</f>
        <v>0</v>
      </c>
      <c r="BG72" s="329">
        <v>0</v>
      </c>
      <c r="BH72" s="329">
        <f>514-225</f>
        <v>289</v>
      </c>
      <c r="BI72" s="329">
        <v>0</v>
      </c>
      <c r="BJ72" s="329">
        <v>0</v>
      </c>
      <c r="BK72" s="331">
        <f t="shared" ref="BK72:BK78" si="485">SUM(BG72:BJ72)</f>
        <v>289</v>
      </c>
      <c r="BL72" s="329">
        <v>0</v>
      </c>
      <c r="BM72" s="329">
        <v>0</v>
      </c>
      <c r="BN72" s="329">
        <v>0</v>
      </c>
      <c r="BO72" s="329">
        <v>0</v>
      </c>
      <c r="BP72" s="331">
        <f t="shared" ref="BP72:BP78" si="486">SUM(BL72:BO72)</f>
        <v>0</v>
      </c>
      <c r="BQ72" s="329">
        <v>0</v>
      </c>
      <c r="BR72" s="329">
        <v>660</v>
      </c>
      <c r="BS72" s="329">
        <v>0</v>
      </c>
      <c r="BT72" s="329">
        <v>0</v>
      </c>
      <c r="BU72" s="331">
        <f t="shared" ref="BU72:BU78" si="487">SUM(BQ72:BT72)</f>
        <v>660</v>
      </c>
      <c r="BV72" s="329">
        <v>0</v>
      </c>
      <c r="BW72" s="329">
        <v>210</v>
      </c>
      <c r="BX72" s="329">
        <v>0</v>
      </c>
      <c r="BY72" s="329">
        <v>796</v>
      </c>
      <c r="BZ72" s="331">
        <f t="shared" ref="BZ72:BZ78" si="488">SUM(BV72:BY72)</f>
        <v>1006</v>
      </c>
      <c r="CA72" s="329">
        <v>0</v>
      </c>
      <c r="CB72" s="329">
        <v>0</v>
      </c>
      <c r="CC72" s="329">
        <v>2525</v>
      </c>
      <c r="CD72" s="329">
        <v>0</v>
      </c>
      <c r="CE72" s="331">
        <f t="shared" ref="CE72:CE78" si="489">SUM(CA72:CD72)</f>
        <v>2525</v>
      </c>
      <c r="CF72" s="329">
        <v>536</v>
      </c>
      <c r="CG72" s="329">
        <v>0</v>
      </c>
      <c r="CH72" s="329">
        <v>768</v>
      </c>
      <c r="CI72" s="329">
        <v>756</v>
      </c>
      <c r="CJ72" s="331">
        <f t="shared" ref="CJ72:CJ78" si="490">SUM(CF72:CI72)</f>
        <v>2060</v>
      </c>
      <c r="CK72" s="329">
        <v>361</v>
      </c>
      <c r="CL72" s="329">
        <v>0</v>
      </c>
      <c r="CM72" s="329">
        <v>397</v>
      </c>
      <c r="CN72" s="329">
        <v>351</v>
      </c>
      <c r="CO72" s="331">
        <f t="shared" ref="CO72:CO78" si="491">SUM(CK72:CN72)</f>
        <v>1109</v>
      </c>
      <c r="CP72" s="329">
        <v>0</v>
      </c>
      <c r="CQ72" s="329">
        <v>0</v>
      </c>
      <c r="CR72" s="329">
        <v>154</v>
      </c>
      <c r="CS72" s="329">
        <v>1057</v>
      </c>
      <c r="CT72" s="331">
        <f t="shared" ref="CT72:CT78" si="492">SUM(CP72:CS72)</f>
        <v>1211</v>
      </c>
      <c r="CU72" s="329">
        <v>0</v>
      </c>
      <c r="CV72" s="329">
        <v>0</v>
      </c>
      <c r="CW72" s="329">
        <v>1417</v>
      </c>
      <c r="CX72" s="329">
        <v>0</v>
      </c>
      <c r="CY72" s="331">
        <f t="shared" ref="CY72:CY78" si="493">SUM(CU72:CX72)</f>
        <v>1417</v>
      </c>
      <c r="CZ72" s="329">
        <v>0</v>
      </c>
      <c r="DA72" s="329">
        <v>0</v>
      </c>
      <c r="DB72" s="329">
        <v>0</v>
      </c>
      <c r="DC72" s="329">
        <v>193</v>
      </c>
      <c r="DD72" s="331">
        <f t="shared" ref="DD72:DD78" si="494">SUM(CZ72:DC72)</f>
        <v>193</v>
      </c>
      <c r="DE72" s="329">
        <v>0</v>
      </c>
      <c r="DF72" s="329">
        <v>0</v>
      </c>
      <c r="DG72" s="329">
        <v>0</v>
      </c>
      <c r="DH72" s="329">
        <v>0</v>
      </c>
      <c r="DI72" s="331">
        <f t="shared" ref="DI72:DI78" si="495">SUM(DE72:DH72)</f>
        <v>0</v>
      </c>
      <c r="DJ72" s="1114">
        <v>0</v>
      </c>
      <c r="DK72" s="1114">
        <v>0</v>
      </c>
      <c r="DL72" s="1114">
        <v>0</v>
      </c>
      <c r="DM72" s="1114">
        <v>0</v>
      </c>
      <c r="DN72" s="331">
        <f t="shared" ref="DN72:DN78" si="496">SUM(DJ72:DM72)</f>
        <v>0</v>
      </c>
      <c r="DO72" s="1114">
        <v>0</v>
      </c>
      <c r="DP72" s="1114">
        <v>0</v>
      </c>
      <c r="DQ72" s="1114">
        <v>0</v>
      </c>
      <c r="DR72" s="1114">
        <v>0</v>
      </c>
      <c r="DS72" s="331">
        <f t="shared" ref="DS72:DS78" si="497">SUM(DO72:DR72)</f>
        <v>0</v>
      </c>
      <c r="DT72" s="1114">
        <v>0</v>
      </c>
      <c r="DU72" s="1114">
        <v>0</v>
      </c>
      <c r="DV72" s="1114">
        <v>0</v>
      </c>
      <c r="DW72" s="1114">
        <v>0</v>
      </c>
      <c r="DX72" s="331">
        <f>SUM(DT72:DW72)</f>
        <v>0</v>
      </c>
      <c r="DY72" s="1114">
        <v>0</v>
      </c>
      <c r="DZ72" s="1114">
        <v>0</v>
      </c>
      <c r="EA72" s="1114">
        <v>0</v>
      </c>
      <c r="EB72" s="1114">
        <v>0</v>
      </c>
      <c r="EC72" s="331">
        <f>SUM(DY72:EB72)</f>
        <v>0</v>
      </c>
      <c r="ED72" s="1114">
        <v>0</v>
      </c>
      <c r="EE72" s="1114">
        <v>0</v>
      </c>
      <c r="EF72" s="1114">
        <v>0</v>
      </c>
      <c r="EG72" s="1114">
        <v>0</v>
      </c>
      <c r="EH72" s="331">
        <f>SUM(ED72:EG72)</f>
        <v>0</v>
      </c>
      <c r="EI72" s="2558">
        <v>0</v>
      </c>
      <c r="EJ72" s="2558">
        <v>0</v>
      </c>
      <c r="EK72" s="2558">
        <v>0</v>
      </c>
      <c r="EL72" s="2558">
        <v>0</v>
      </c>
      <c r="EM72" s="2696">
        <f>SUM(EI72:EL72)</f>
        <v>0</v>
      </c>
      <c r="EN72" s="2558">
        <v>0</v>
      </c>
      <c r="EO72" s="2558">
        <v>0</v>
      </c>
      <c r="EP72" s="2558">
        <v>0</v>
      </c>
      <c r="EQ72" s="2558">
        <v>0</v>
      </c>
      <c r="ER72" s="2696">
        <f>SUM(EN72:EQ72)</f>
        <v>0</v>
      </c>
      <c r="ES72" s="2558">
        <v>0</v>
      </c>
      <c r="ET72" s="2558">
        <v>0</v>
      </c>
      <c r="EU72" s="2558">
        <v>0</v>
      </c>
      <c r="EV72" s="329">
        <v>0</v>
      </c>
      <c r="EW72" s="331">
        <f>SUM(ES72:EV72)</f>
        <v>0</v>
      </c>
      <c r="EX72" s="329">
        <v>0</v>
      </c>
      <c r="EY72" s="329">
        <v>0</v>
      </c>
      <c r="EZ72" s="329">
        <v>0</v>
      </c>
      <c r="FA72" s="329">
        <v>0</v>
      </c>
      <c r="FB72" s="331">
        <f>SUM(EX72:FA72)</f>
        <v>0</v>
      </c>
      <c r="FC72" s="329">
        <v>0</v>
      </c>
      <c r="FD72" s="329">
        <v>0</v>
      </c>
      <c r="FE72" s="329">
        <v>0</v>
      </c>
      <c r="FF72" s="329">
        <v>0</v>
      </c>
      <c r="FG72" s="331">
        <f>SUM(FC72:FF72)</f>
        <v>0</v>
      </c>
      <c r="FH72" s="329">
        <v>0</v>
      </c>
      <c r="FI72" s="329">
        <v>0</v>
      </c>
      <c r="FJ72" s="329">
        <v>0</v>
      </c>
      <c r="FK72" s="329">
        <v>0</v>
      </c>
      <c r="FL72" s="331">
        <f>SUM(FH72:FK72)</f>
        <v>0</v>
      </c>
      <c r="FN72" s="330">
        <f t="shared" si="454"/>
        <v>289</v>
      </c>
      <c r="FO72" s="330">
        <f t="shared" si="455"/>
        <v>0</v>
      </c>
      <c r="FP72" s="330">
        <f t="shared" si="456"/>
        <v>660</v>
      </c>
      <c r="FQ72" s="330">
        <f t="shared" si="457"/>
        <v>210</v>
      </c>
      <c r="FR72" s="330">
        <f t="shared" si="458"/>
        <v>796</v>
      </c>
      <c r="FS72" s="330">
        <f t="shared" si="459"/>
        <v>3061</v>
      </c>
      <c r="FT72" s="330">
        <f t="shared" si="460"/>
        <v>1885</v>
      </c>
      <c r="FU72" s="330">
        <f t="shared" si="461"/>
        <v>748</v>
      </c>
      <c r="FV72" s="330">
        <f t="shared" si="462"/>
        <v>1211</v>
      </c>
      <c r="FW72" s="330">
        <f t="shared" si="463"/>
        <v>1417</v>
      </c>
      <c r="FX72" s="855">
        <f t="shared" si="464"/>
        <v>193</v>
      </c>
      <c r="FY72" s="856">
        <f t="shared" si="465"/>
        <v>0</v>
      </c>
      <c r="FZ72" s="856">
        <f>SUM(DO72:DP72,DL72:DM72)</f>
        <v>0</v>
      </c>
      <c r="GA72" s="856">
        <f t="shared" si="466"/>
        <v>0</v>
      </c>
      <c r="GB72" s="856">
        <f t="shared" ref="GB72:GB78" si="498">SUM(DY72:DZ72,DV72:DW72)</f>
        <v>0</v>
      </c>
      <c r="GC72" s="856">
        <f t="shared" si="467"/>
        <v>0</v>
      </c>
      <c r="GD72" s="856">
        <f t="shared" si="468"/>
        <v>0</v>
      </c>
      <c r="GE72" s="856">
        <f t="shared" si="469"/>
        <v>0</v>
      </c>
      <c r="GF72" s="856">
        <f t="shared" si="470"/>
        <v>0</v>
      </c>
      <c r="GG72" s="856">
        <f t="shared" si="471"/>
        <v>0</v>
      </c>
      <c r="GH72" s="856">
        <f t="shared" si="472"/>
        <v>0</v>
      </c>
      <c r="GI72" s="856">
        <f t="shared" si="473"/>
        <v>0</v>
      </c>
      <c r="GJ72" s="303"/>
      <c r="GK72" s="303"/>
      <c r="GL72" s="303"/>
      <c r="GN72"/>
      <c r="GO72"/>
      <c r="GP72"/>
      <c r="GQ72"/>
      <c r="GR72"/>
      <c r="GS72"/>
    </row>
    <row r="73" spans="1:201" s="307" customFormat="1" ht="11.25" hidden="1" customHeight="1" outlineLevel="1">
      <c r="A73" s="303" t="s">
        <v>873</v>
      </c>
      <c r="B73" s="303"/>
      <c r="C73" s="303"/>
      <c r="D73" s="329">
        <v>0</v>
      </c>
      <c r="E73" s="329">
        <v>0</v>
      </c>
      <c r="F73" s="329">
        <v>0</v>
      </c>
      <c r="G73" s="329">
        <v>0</v>
      </c>
      <c r="H73" s="331">
        <f t="shared" si="474"/>
        <v>0</v>
      </c>
      <c r="I73" s="329">
        <v>0</v>
      </c>
      <c r="J73" s="329">
        <v>0</v>
      </c>
      <c r="K73" s="329">
        <v>0</v>
      </c>
      <c r="L73" s="329">
        <v>0</v>
      </c>
      <c r="M73" s="331">
        <f t="shared" si="475"/>
        <v>0</v>
      </c>
      <c r="N73" s="329">
        <v>0</v>
      </c>
      <c r="O73" s="329">
        <v>0</v>
      </c>
      <c r="P73" s="329">
        <v>0</v>
      </c>
      <c r="Q73" s="329">
        <v>0</v>
      </c>
      <c r="R73" s="331">
        <f t="shared" si="476"/>
        <v>0</v>
      </c>
      <c r="S73" s="329">
        <v>0</v>
      </c>
      <c r="T73" s="329">
        <v>0</v>
      </c>
      <c r="U73" s="329">
        <v>0</v>
      </c>
      <c r="V73" s="329">
        <v>0</v>
      </c>
      <c r="W73" s="331">
        <f t="shared" si="477"/>
        <v>0</v>
      </c>
      <c r="X73" s="329">
        <v>0</v>
      </c>
      <c r="Y73" s="329">
        <v>0</v>
      </c>
      <c r="Z73" s="329">
        <v>0</v>
      </c>
      <c r="AA73" s="329">
        <v>0</v>
      </c>
      <c r="AB73" s="331">
        <f t="shared" si="478"/>
        <v>0</v>
      </c>
      <c r="AC73" s="329">
        <v>0</v>
      </c>
      <c r="AD73" s="329">
        <v>0</v>
      </c>
      <c r="AE73" s="329">
        <v>0</v>
      </c>
      <c r="AF73" s="329">
        <v>0</v>
      </c>
      <c r="AG73" s="331">
        <f t="shared" si="479"/>
        <v>0</v>
      </c>
      <c r="AH73" s="329">
        <v>0</v>
      </c>
      <c r="AI73" s="329">
        <v>0</v>
      </c>
      <c r="AJ73" s="329">
        <v>0</v>
      </c>
      <c r="AK73" s="329">
        <v>0</v>
      </c>
      <c r="AL73" s="331">
        <f t="shared" si="480"/>
        <v>0</v>
      </c>
      <c r="AM73" s="329">
        <v>0</v>
      </c>
      <c r="AN73" s="329">
        <v>0</v>
      </c>
      <c r="AO73" s="329">
        <v>0</v>
      </c>
      <c r="AP73" s="329">
        <v>0</v>
      </c>
      <c r="AQ73" s="331">
        <f t="shared" si="481"/>
        <v>0</v>
      </c>
      <c r="AR73" s="329">
        <v>0</v>
      </c>
      <c r="AS73" s="329">
        <v>0</v>
      </c>
      <c r="AT73" s="329">
        <v>0</v>
      </c>
      <c r="AU73" s="329">
        <v>0</v>
      </c>
      <c r="AV73" s="331">
        <f t="shared" si="482"/>
        <v>0</v>
      </c>
      <c r="AW73" s="329">
        <v>0</v>
      </c>
      <c r="AX73" s="329">
        <v>0</v>
      </c>
      <c r="AY73" s="329">
        <v>0</v>
      </c>
      <c r="AZ73" s="329">
        <v>0</v>
      </c>
      <c r="BA73" s="331">
        <f t="shared" si="483"/>
        <v>0</v>
      </c>
      <c r="BB73" s="329">
        <v>0</v>
      </c>
      <c r="BC73" s="329">
        <v>0</v>
      </c>
      <c r="BD73" s="329">
        <v>0</v>
      </c>
      <c r="BE73" s="329">
        <v>0</v>
      </c>
      <c r="BF73" s="331">
        <f t="shared" si="484"/>
        <v>0</v>
      </c>
      <c r="BG73" s="329">
        <v>0</v>
      </c>
      <c r="BH73" s="329">
        <v>0</v>
      </c>
      <c r="BI73" s="329">
        <v>0</v>
      </c>
      <c r="BJ73" s="329">
        <v>0</v>
      </c>
      <c r="BK73" s="331">
        <f t="shared" si="485"/>
        <v>0</v>
      </c>
      <c r="BL73" s="329">
        <v>0</v>
      </c>
      <c r="BM73" s="329">
        <v>0</v>
      </c>
      <c r="BN73" s="329">
        <v>0</v>
      </c>
      <c r="BO73" s="329">
        <v>0</v>
      </c>
      <c r="BP73" s="331">
        <f t="shared" si="486"/>
        <v>0</v>
      </c>
      <c r="BQ73" s="329">
        <v>0</v>
      </c>
      <c r="BR73" s="329">
        <v>0</v>
      </c>
      <c r="BS73" s="329">
        <v>0</v>
      </c>
      <c r="BT73" s="329">
        <v>0</v>
      </c>
      <c r="BU73" s="331">
        <f t="shared" si="487"/>
        <v>0</v>
      </c>
      <c r="BV73" s="329">
        <v>0</v>
      </c>
      <c r="BW73" s="329">
        <v>0</v>
      </c>
      <c r="BX73" s="329">
        <v>0</v>
      </c>
      <c r="BY73" s="329">
        <v>0</v>
      </c>
      <c r="BZ73" s="331">
        <f t="shared" si="488"/>
        <v>0</v>
      </c>
      <c r="CA73" s="329">
        <v>0</v>
      </c>
      <c r="CB73" s="329">
        <v>0</v>
      </c>
      <c r="CC73" s="329">
        <v>0</v>
      </c>
      <c r="CD73" s="329">
        <v>0</v>
      </c>
      <c r="CE73" s="331">
        <f t="shared" si="489"/>
        <v>0</v>
      </c>
      <c r="CF73" s="329">
        <v>0</v>
      </c>
      <c r="CG73" s="329">
        <v>0</v>
      </c>
      <c r="CH73" s="329">
        <v>0</v>
      </c>
      <c r="CI73" s="329">
        <v>0</v>
      </c>
      <c r="CJ73" s="331">
        <f t="shared" si="490"/>
        <v>0</v>
      </c>
      <c r="CK73" s="329">
        <v>0</v>
      </c>
      <c r="CL73" s="329">
        <v>0</v>
      </c>
      <c r="CM73" s="329">
        <v>0</v>
      </c>
      <c r="CN73" s="329">
        <v>0</v>
      </c>
      <c r="CO73" s="331">
        <f t="shared" si="491"/>
        <v>0</v>
      </c>
      <c r="CP73" s="329">
        <v>0</v>
      </c>
      <c r="CQ73" s="329">
        <v>0</v>
      </c>
      <c r="CR73" s="329">
        <v>0</v>
      </c>
      <c r="CS73" s="329">
        <v>0</v>
      </c>
      <c r="CT73" s="331">
        <f t="shared" si="492"/>
        <v>0</v>
      </c>
      <c r="CU73" s="329">
        <v>0</v>
      </c>
      <c r="CV73" s="329">
        <v>0</v>
      </c>
      <c r="CW73" s="329">
        <v>0</v>
      </c>
      <c r="CX73" s="329">
        <v>0</v>
      </c>
      <c r="CY73" s="331">
        <f t="shared" si="493"/>
        <v>0</v>
      </c>
      <c r="CZ73" s="329">
        <v>0</v>
      </c>
      <c r="DA73" s="329">
        <v>0</v>
      </c>
      <c r="DB73" s="329">
        <v>420</v>
      </c>
      <c r="DC73" s="329">
        <v>108</v>
      </c>
      <c r="DD73" s="331">
        <f t="shared" si="494"/>
        <v>528</v>
      </c>
      <c r="DE73" s="329">
        <v>0</v>
      </c>
      <c r="DF73" s="329">
        <v>0</v>
      </c>
      <c r="DG73" s="329">
        <v>0</v>
      </c>
      <c r="DH73" s="329">
        <v>0</v>
      </c>
      <c r="DI73" s="331">
        <f t="shared" si="495"/>
        <v>0</v>
      </c>
      <c r="DJ73" s="1114">
        <v>0</v>
      </c>
      <c r="DK73" s="1114">
        <v>0</v>
      </c>
      <c r="DL73" s="1114">
        <v>0</v>
      </c>
      <c r="DM73" s="1114">
        <v>0</v>
      </c>
      <c r="DN73" s="331">
        <f t="shared" si="496"/>
        <v>0</v>
      </c>
      <c r="DO73" s="1114">
        <v>0</v>
      </c>
      <c r="DP73" s="1114">
        <v>0</v>
      </c>
      <c r="DQ73" s="1114">
        <v>0</v>
      </c>
      <c r="DR73" s="1114">
        <v>0</v>
      </c>
      <c r="DS73" s="331">
        <f t="shared" si="497"/>
        <v>0</v>
      </c>
      <c r="DT73" s="1114">
        <v>0</v>
      </c>
      <c r="DU73" s="1114">
        <v>0</v>
      </c>
      <c r="DV73" s="1114">
        <v>0</v>
      </c>
      <c r="DW73" s="1114">
        <v>0</v>
      </c>
      <c r="DX73" s="331">
        <f>SUM(DT73:DW73)</f>
        <v>0</v>
      </c>
      <c r="DY73" s="1114">
        <v>0</v>
      </c>
      <c r="DZ73" s="1114">
        <v>0</v>
      </c>
      <c r="EA73" s="1114">
        <v>0</v>
      </c>
      <c r="EB73" s="1114">
        <v>0</v>
      </c>
      <c r="EC73" s="331">
        <f>SUM(DY73:EB73)</f>
        <v>0</v>
      </c>
      <c r="ED73" s="1114">
        <v>0</v>
      </c>
      <c r="EE73" s="1114">
        <v>0</v>
      </c>
      <c r="EF73" s="1114">
        <v>0</v>
      </c>
      <c r="EG73" s="1114">
        <v>0</v>
      </c>
      <c r="EH73" s="331">
        <f>SUM(ED73:EG73)</f>
        <v>0</v>
      </c>
      <c r="EI73" s="2558">
        <v>0</v>
      </c>
      <c r="EJ73" s="2558">
        <v>0</v>
      </c>
      <c r="EK73" s="2558">
        <v>0</v>
      </c>
      <c r="EL73" s="2558">
        <v>0</v>
      </c>
      <c r="EM73" s="2696">
        <f>SUM(EI73:EL73)</f>
        <v>0</v>
      </c>
      <c r="EN73" s="2558">
        <v>0</v>
      </c>
      <c r="EO73" s="2558">
        <v>0</v>
      </c>
      <c r="EP73" s="2558">
        <v>0</v>
      </c>
      <c r="EQ73" s="2558">
        <v>0</v>
      </c>
      <c r="ER73" s="2696">
        <f>SUM(EN73:EQ73)</f>
        <v>0</v>
      </c>
      <c r="ES73" s="2558">
        <v>0</v>
      </c>
      <c r="ET73" s="2558">
        <v>0</v>
      </c>
      <c r="EU73" s="2558">
        <v>0</v>
      </c>
      <c r="EV73" s="329">
        <v>0</v>
      </c>
      <c r="EW73" s="331">
        <f>SUM(ES73:EV73)</f>
        <v>0</v>
      </c>
      <c r="EX73" s="329">
        <v>0</v>
      </c>
      <c r="EY73" s="329">
        <v>0</v>
      </c>
      <c r="EZ73" s="329">
        <v>0</v>
      </c>
      <c r="FA73" s="329">
        <v>0</v>
      </c>
      <c r="FB73" s="331">
        <f>SUM(EX73:FA73)</f>
        <v>0</v>
      </c>
      <c r="FC73" s="329">
        <v>0</v>
      </c>
      <c r="FD73" s="329">
        <v>0</v>
      </c>
      <c r="FE73" s="329">
        <v>0</v>
      </c>
      <c r="FF73" s="329">
        <v>0</v>
      </c>
      <c r="FG73" s="331">
        <f>SUM(FC73:FF73)</f>
        <v>0</v>
      </c>
      <c r="FH73" s="329">
        <v>0</v>
      </c>
      <c r="FI73" s="329">
        <v>0</v>
      </c>
      <c r="FJ73" s="329">
        <v>0</v>
      </c>
      <c r="FK73" s="329">
        <v>0</v>
      </c>
      <c r="FL73" s="331">
        <f>SUM(FH73:FK73)</f>
        <v>0</v>
      </c>
      <c r="FN73" s="330">
        <f t="shared" si="454"/>
        <v>0</v>
      </c>
      <c r="FO73" s="330">
        <f t="shared" si="455"/>
        <v>0</v>
      </c>
      <c r="FP73" s="330">
        <f t="shared" si="456"/>
        <v>0</v>
      </c>
      <c r="FQ73" s="330">
        <f t="shared" si="457"/>
        <v>0</v>
      </c>
      <c r="FR73" s="330">
        <f t="shared" si="458"/>
        <v>0</v>
      </c>
      <c r="FS73" s="330">
        <f t="shared" si="459"/>
        <v>0</v>
      </c>
      <c r="FT73" s="330">
        <f t="shared" si="460"/>
        <v>0</v>
      </c>
      <c r="FU73" s="330">
        <f t="shared" si="461"/>
        <v>0</v>
      </c>
      <c r="FV73" s="330">
        <f t="shared" si="462"/>
        <v>0</v>
      </c>
      <c r="FW73" s="330">
        <f t="shared" si="463"/>
        <v>0</v>
      </c>
      <c r="FX73" s="855">
        <f t="shared" si="464"/>
        <v>528</v>
      </c>
      <c r="FY73" s="856">
        <f t="shared" si="465"/>
        <v>0</v>
      </c>
      <c r="FZ73" s="856">
        <f>SUM(DO73:DP73,DL73:DM73)</f>
        <v>0</v>
      </c>
      <c r="GA73" s="856">
        <f t="shared" si="466"/>
        <v>0</v>
      </c>
      <c r="GB73" s="856">
        <f t="shared" si="498"/>
        <v>0</v>
      </c>
      <c r="GC73" s="856">
        <f t="shared" si="467"/>
        <v>0</v>
      </c>
      <c r="GD73" s="856">
        <f t="shared" si="468"/>
        <v>0</v>
      </c>
      <c r="GE73" s="856">
        <f t="shared" si="469"/>
        <v>0</v>
      </c>
      <c r="GF73" s="856">
        <f t="shared" si="470"/>
        <v>0</v>
      </c>
      <c r="GG73" s="856">
        <f t="shared" si="471"/>
        <v>0</v>
      </c>
      <c r="GH73" s="856">
        <f t="shared" si="472"/>
        <v>0</v>
      </c>
      <c r="GI73" s="856">
        <f t="shared" si="473"/>
        <v>0</v>
      </c>
      <c r="GJ73" s="303"/>
      <c r="GK73" s="303"/>
      <c r="GL73" s="303"/>
      <c r="GN73"/>
      <c r="GO73"/>
      <c r="GP73"/>
      <c r="GQ73"/>
      <c r="GR73"/>
      <c r="GS73"/>
    </row>
    <row r="74" spans="1:201" s="307" customFormat="1" ht="11.25" hidden="1" customHeight="1" outlineLevel="1">
      <c r="A74" s="303" t="s">
        <v>71</v>
      </c>
      <c r="B74" s="303"/>
      <c r="C74" s="303"/>
      <c r="D74" s="329">
        <v>0</v>
      </c>
      <c r="E74" s="329">
        <v>0</v>
      </c>
      <c r="F74" s="329">
        <v>0</v>
      </c>
      <c r="G74" s="329">
        <v>0</v>
      </c>
      <c r="H74" s="331">
        <f t="shared" si="474"/>
        <v>0</v>
      </c>
      <c r="I74" s="329">
        <v>0</v>
      </c>
      <c r="J74" s="329">
        <v>0</v>
      </c>
      <c r="K74" s="329">
        <v>0</v>
      </c>
      <c r="L74" s="329">
        <v>0</v>
      </c>
      <c r="M74" s="331">
        <f t="shared" si="475"/>
        <v>0</v>
      </c>
      <c r="N74" s="329">
        <v>0</v>
      </c>
      <c r="O74" s="329">
        <v>0</v>
      </c>
      <c r="P74" s="329">
        <v>0</v>
      </c>
      <c r="Q74" s="329">
        <v>0</v>
      </c>
      <c r="R74" s="331">
        <f t="shared" si="476"/>
        <v>0</v>
      </c>
      <c r="S74" s="329">
        <v>0</v>
      </c>
      <c r="T74" s="329">
        <v>0</v>
      </c>
      <c r="U74" s="329">
        <v>0</v>
      </c>
      <c r="V74" s="329">
        <v>0</v>
      </c>
      <c r="W74" s="331">
        <f t="shared" si="477"/>
        <v>0</v>
      </c>
      <c r="X74" s="329">
        <v>0</v>
      </c>
      <c r="Y74" s="329">
        <v>0</v>
      </c>
      <c r="Z74" s="329">
        <v>0</v>
      </c>
      <c r="AA74" s="329">
        <v>0</v>
      </c>
      <c r="AB74" s="331">
        <f t="shared" si="478"/>
        <v>0</v>
      </c>
      <c r="AC74" s="329">
        <v>0</v>
      </c>
      <c r="AD74" s="329">
        <v>0</v>
      </c>
      <c r="AE74" s="329">
        <v>0</v>
      </c>
      <c r="AF74" s="329">
        <v>0</v>
      </c>
      <c r="AG74" s="331">
        <f t="shared" si="479"/>
        <v>0</v>
      </c>
      <c r="AH74" s="329">
        <v>0</v>
      </c>
      <c r="AI74" s="329">
        <v>0</v>
      </c>
      <c r="AJ74" s="329">
        <v>0</v>
      </c>
      <c r="AK74" s="329">
        <v>0</v>
      </c>
      <c r="AL74" s="331">
        <f t="shared" si="480"/>
        <v>0</v>
      </c>
      <c r="AM74" s="329">
        <v>0</v>
      </c>
      <c r="AN74" s="329">
        <v>0</v>
      </c>
      <c r="AO74" s="329">
        <v>0</v>
      </c>
      <c r="AP74" s="329">
        <v>0</v>
      </c>
      <c r="AQ74" s="331">
        <f t="shared" si="481"/>
        <v>0</v>
      </c>
      <c r="AR74" s="329">
        <v>0</v>
      </c>
      <c r="AS74" s="329">
        <v>0</v>
      </c>
      <c r="AT74" s="329">
        <v>0</v>
      </c>
      <c r="AU74" s="329">
        <v>0</v>
      </c>
      <c r="AV74" s="331">
        <f t="shared" si="482"/>
        <v>0</v>
      </c>
      <c r="AW74" s="329">
        <v>0</v>
      </c>
      <c r="AX74" s="329">
        <v>0</v>
      </c>
      <c r="AY74" s="329">
        <v>0</v>
      </c>
      <c r="AZ74" s="329">
        <v>0</v>
      </c>
      <c r="BA74" s="331">
        <f t="shared" si="483"/>
        <v>0</v>
      </c>
      <c r="BB74" s="329">
        <v>0</v>
      </c>
      <c r="BC74" s="329">
        <v>0</v>
      </c>
      <c r="BD74" s="329">
        <v>0</v>
      </c>
      <c r="BE74" s="329">
        <v>0</v>
      </c>
      <c r="BF74" s="331">
        <f t="shared" si="484"/>
        <v>0</v>
      </c>
      <c r="BG74" s="329">
        <v>52</v>
      </c>
      <c r="BH74" s="329">
        <v>55</v>
      </c>
      <c r="BI74" s="329">
        <v>58</v>
      </c>
      <c r="BJ74" s="329">
        <v>60</v>
      </c>
      <c r="BK74" s="331">
        <f t="shared" si="485"/>
        <v>225</v>
      </c>
      <c r="BL74" s="329">
        <v>61</v>
      </c>
      <c r="BM74" s="329">
        <v>69</v>
      </c>
      <c r="BN74" s="329">
        <v>64</v>
      </c>
      <c r="BO74" s="329">
        <v>90</v>
      </c>
      <c r="BP74" s="331">
        <f t="shared" si="486"/>
        <v>284</v>
      </c>
      <c r="BQ74" s="329">
        <v>0</v>
      </c>
      <c r="BR74" s="329">
        <v>0</v>
      </c>
      <c r="BS74" s="329">
        <v>0</v>
      </c>
      <c r="BT74" s="329">
        <v>0</v>
      </c>
      <c r="BU74" s="331">
        <f t="shared" si="487"/>
        <v>0</v>
      </c>
      <c r="BV74" s="329">
        <v>0</v>
      </c>
      <c r="BW74" s="329">
        <v>0</v>
      </c>
      <c r="BX74" s="329">
        <v>0</v>
      </c>
      <c r="BY74" s="329">
        <v>0</v>
      </c>
      <c r="BZ74" s="331">
        <f t="shared" si="488"/>
        <v>0</v>
      </c>
      <c r="CA74" s="329">
        <v>0</v>
      </c>
      <c r="CB74" s="329">
        <v>0</v>
      </c>
      <c r="CC74" s="329">
        <v>0</v>
      </c>
      <c r="CD74" s="329">
        <v>0</v>
      </c>
      <c r="CE74" s="331">
        <f t="shared" si="489"/>
        <v>0</v>
      </c>
      <c r="CF74" s="329">
        <v>0</v>
      </c>
      <c r="CG74" s="329">
        <v>0</v>
      </c>
      <c r="CH74" s="329">
        <v>0</v>
      </c>
      <c r="CI74" s="329">
        <v>0</v>
      </c>
      <c r="CJ74" s="331">
        <f t="shared" si="490"/>
        <v>0</v>
      </c>
      <c r="CK74" s="329">
        <v>0</v>
      </c>
      <c r="CL74" s="329">
        <v>0</v>
      </c>
      <c r="CM74" s="329">
        <v>0</v>
      </c>
      <c r="CN74" s="329">
        <v>0</v>
      </c>
      <c r="CO74" s="331">
        <f t="shared" si="491"/>
        <v>0</v>
      </c>
      <c r="CP74" s="329">
        <v>0</v>
      </c>
      <c r="CQ74" s="329">
        <v>0</v>
      </c>
      <c r="CR74" s="329">
        <v>0</v>
      </c>
      <c r="CS74" s="329">
        <v>0</v>
      </c>
      <c r="CT74" s="331">
        <f t="shared" si="492"/>
        <v>0</v>
      </c>
      <c r="CU74" s="329">
        <v>0</v>
      </c>
      <c r="CV74" s="329">
        <v>0</v>
      </c>
      <c r="CW74" s="329">
        <v>0</v>
      </c>
      <c r="CX74" s="329">
        <v>0</v>
      </c>
      <c r="CY74" s="331">
        <f t="shared" si="493"/>
        <v>0</v>
      </c>
      <c r="CZ74" s="329">
        <v>0</v>
      </c>
      <c r="DA74" s="329">
        <v>0</v>
      </c>
      <c r="DB74" s="329">
        <v>0</v>
      </c>
      <c r="DC74" s="329">
        <v>0</v>
      </c>
      <c r="DD74" s="331">
        <f t="shared" si="494"/>
        <v>0</v>
      </c>
      <c r="DE74" s="329">
        <v>0</v>
      </c>
      <c r="DF74" s="329">
        <v>0</v>
      </c>
      <c r="DG74" s="329">
        <v>0</v>
      </c>
      <c r="DH74" s="329">
        <v>0</v>
      </c>
      <c r="DI74" s="331">
        <f t="shared" si="495"/>
        <v>0</v>
      </c>
      <c r="DJ74" s="1114">
        <v>0</v>
      </c>
      <c r="DK74" s="1114">
        <v>0</v>
      </c>
      <c r="DL74" s="1114">
        <v>0</v>
      </c>
      <c r="DM74" s="1114">
        <v>0</v>
      </c>
      <c r="DN74" s="331">
        <f t="shared" si="496"/>
        <v>0</v>
      </c>
      <c r="DO74" s="1114">
        <v>0</v>
      </c>
      <c r="DP74" s="1114">
        <v>0</v>
      </c>
      <c r="DQ74" s="1114">
        <v>0</v>
      </c>
      <c r="DR74" s="1114">
        <v>6193</v>
      </c>
      <c r="DS74" s="331">
        <f t="shared" si="497"/>
        <v>6193</v>
      </c>
      <c r="DT74" s="1114">
        <v>0</v>
      </c>
      <c r="DU74" s="1114">
        <v>0</v>
      </c>
      <c r="DV74" s="1114">
        <v>0</v>
      </c>
      <c r="DW74" s="1114">
        <v>0</v>
      </c>
      <c r="DX74" s="331">
        <f>SUM(DT74:DW74)</f>
        <v>0</v>
      </c>
      <c r="DY74" s="1114">
        <v>0</v>
      </c>
      <c r="DZ74" s="1114">
        <v>0</v>
      </c>
      <c r="EA74" s="1114">
        <v>0</v>
      </c>
      <c r="EB74" s="1114">
        <v>0</v>
      </c>
      <c r="EC74" s="331">
        <f>SUM(DY74:EB74)</f>
        <v>0</v>
      </c>
      <c r="ED74" s="1114">
        <v>0</v>
      </c>
      <c r="EE74" s="1114">
        <v>0</v>
      </c>
      <c r="EF74" s="1114">
        <v>0</v>
      </c>
      <c r="EG74" s="1114">
        <v>7498</v>
      </c>
      <c r="EH74" s="331">
        <f>SUM(ED74:EG74)</f>
        <v>7498</v>
      </c>
      <c r="EI74" s="2558">
        <v>0</v>
      </c>
      <c r="EJ74" s="2558">
        <v>0</v>
      </c>
      <c r="EK74" s="2558">
        <v>0</v>
      </c>
      <c r="EL74" s="2558">
        <v>0</v>
      </c>
      <c r="EM74" s="2696">
        <f>SUM(EI74:EL74)</f>
        <v>0</v>
      </c>
      <c r="EN74" s="2558">
        <v>0</v>
      </c>
      <c r="EO74" s="2558">
        <v>0</v>
      </c>
      <c r="EP74" s="2558">
        <v>0</v>
      </c>
      <c r="EQ74" s="2558">
        <v>0</v>
      </c>
      <c r="ER74" s="2696">
        <f>SUM(EN74:EQ74)</f>
        <v>0</v>
      </c>
      <c r="ES74" s="2558">
        <v>0</v>
      </c>
      <c r="ET74" s="2558">
        <v>0</v>
      </c>
      <c r="EU74" s="2558">
        <v>0</v>
      </c>
      <c r="EV74" s="329">
        <v>0</v>
      </c>
      <c r="EW74" s="331">
        <f>SUM(ES74:EV74)</f>
        <v>0</v>
      </c>
      <c r="EX74" s="329">
        <v>0</v>
      </c>
      <c r="EY74" s="329">
        <v>0</v>
      </c>
      <c r="EZ74" s="329">
        <v>0</v>
      </c>
      <c r="FA74" s="329">
        <v>0</v>
      </c>
      <c r="FB74" s="331">
        <f>SUM(EX74:FA74)</f>
        <v>0</v>
      </c>
      <c r="FC74" s="329">
        <v>0</v>
      </c>
      <c r="FD74" s="329">
        <v>0</v>
      </c>
      <c r="FE74" s="329">
        <v>0</v>
      </c>
      <c r="FF74" s="329">
        <v>0</v>
      </c>
      <c r="FG74" s="331">
        <f>SUM(FC74:FF74)</f>
        <v>0</v>
      </c>
      <c r="FH74" s="329">
        <v>0</v>
      </c>
      <c r="FI74" s="329">
        <v>0</v>
      </c>
      <c r="FJ74" s="329">
        <v>0</v>
      </c>
      <c r="FK74" s="329">
        <v>0</v>
      </c>
      <c r="FL74" s="331">
        <f>SUM(FH74:FK74)</f>
        <v>0</v>
      </c>
      <c r="FN74" s="330">
        <f t="shared" si="454"/>
        <v>107</v>
      </c>
      <c r="FO74" s="330">
        <f t="shared" si="455"/>
        <v>248</v>
      </c>
      <c r="FP74" s="330">
        <f t="shared" si="456"/>
        <v>154</v>
      </c>
      <c r="FQ74" s="330">
        <f t="shared" si="457"/>
        <v>0</v>
      </c>
      <c r="FR74" s="330">
        <f t="shared" si="458"/>
        <v>0</v>
      </c>
      <c r="FS74" s="330">
        <f t="shared" si="459"/>
        <v>0</v>
      </c>
      <c r="FT74" s="330">
        <f t="shared" si="460"/>
        <v>0</v>
      </c>
      <c r="FU74" s="330">
        <f t="shared" si="461"/>
        <v>0</v>
      </c>
      <c r="FV74" s="330">
        <f t="shared" si="462"/>
        <v>0</v>
      </c>
      <c r="FW74" s="330">
        <f t="shared" si="463"/>
        <v>0</v>
      </c>
      <c r="FX74" s="855">
        <f t="shared" si="464"/>
        <v>0</v>
      </c>
      <c r="FY74" s="856">
        <f t="shared" si="465"/>
        <v>0</v>
      </c>
      <c r="FZ74" s="856">
        <f>SUM(DO74:DP74,DL74:DM74)</f>
        <v>0</v>
      </c>
      <c r="GA74" s="856">
        <f t="shared" si="466"/>
        <v>6193</v>
      </c>
      <c r="GB74" s="856">
        <f t="shared" si="498"/>
        <v>0</v>
      </c>
      <c r="GC74" s="856">
        <f t="shared" si="467"/>
        <v>0</v>
      </c>
      <c r="GD74" s="856">
        <f t="shared" si="468"/>
        <v>7498</v>
      </c>
      <c r="GE74" s="856">
        <f t="shared" si="469"/>
        <v>0</v>
      </c>
      <c r="GF74" s="856">
        <f t="shared" si="470"/>
        <v>0</v>
      </c>
      <c r="GG74" s="856">
        <f t="shared" si="471"/>
        <v>0</v>
      </c>
      <c r="GH74" s="856">
        <f t="shared" si="472"/>
        <v>0</v>
      </c>
      <c r="GI74" s="856">
        <f t="shared" si="473"/>
        <v>0</v>
      </c>
      <c r="GJ74" s="303"/>
      <c r="GK74" s="303"/>
      <c r="GL74" s="303"/>
      <c r="GN74"/>
      <c r="GO74"/>
      <c r="GP74"/>
      <c r="GQ74"/>
      <c r="GR74"/>
      <c r="GS74"/>
    </row>
    <row r="75" spans="1:201" s="307" customFormat="1" ht="11.25" hidden="1" customHeight="1" outlineLevel="1">
      <c r="A75" s="303" t="s">
        <v>72</v>
      </c>
      <c r="B75" s="303"/>
      <c r="C75" s="303"/>
      <c r="D75" s="329">
        <v>0</v>
      </c>
      <c r="E75" s="329">
        <v>0</v>
      </c>
      <c r="F75" s="329">
        <v>0</v>
      </c>
      <c r="G75" s="329">
        <v>0</v>
      </c>
      <c r="H75" s="331">
        <f t="shared" si="474"/>
        <v>0</v>
      </c>
      <c r="I75" s="329">
        <v>0</v>
      </c>
      <c r="J75" s="329">
        <v>0</v>
      </c>
      <c r="K75" s="329">
        <v>0</v>
      </c>
      <c r="L75" s="329">
        <v>0</v>
      </c>
      <c r="M75" s="331">
        <f t="shared" si="475"/>
        <v>0</v>
      </c>
      <c r="N75" s="329">
        <v>0</v>
      </c>
      <c r="O75" s="329">
        <v>0</v>
      </c>
      <c r="P75" s="329">
        <v>0</v>
      </c>
      <c r="Q75" s="329">
        <v>0</v>
      </c>
      <c r="R75" s="331">
        <f t="shared" si="476"/>
        <v>0</v>
      </c>
      <c r="S75" s="329">
        <v>0</v>
      </c>
      <c r="T75" s="329">
        <v>0</v>
      </c>
      <c r="U75" s="329">
        <v>0</v>
      </c>
      <c r="V75" s="329">
        <v>0</v>
      </c>
      <c r="W75" s="331">
        <f t="shared" si="477"/>
        <v>0</v>
      </c>
      <c r="X75" s="329">
        <v>0</v>
      </c>
      <c r="Y75" s="329">
        <v>0</v>
      </c>
      <c r="Z75" s="329">
        <v>0</v>
      </c>
      <c r="AA75" s="329">
        <v>0</v>
      </c>
      <c r="AB75" s="331">
        <f t="shared" si="478"/>
        <v>0</v>
      </c>
      <c r="AC75" s="329">
        <v>0</v>
      </c>
      <c r="AD75" s="329">
        <v>0</v>
      </c>
      <c r="AE75" s="329">
        <v>0</v>
      </c>
      <c r="AF75" s="329">
        <v>0</v>
      </c>
      <c r="AG75" s="331">
        <f t="shared" si="479"/>
        <v>0</v>
      </c>
      <c r="AH75" s="329">
        <v>0</v>
      </c>
      <c r="AI75" s="329">
        <v>0</v>
      </c>
      <c r="AJ75" s="329">
        <v>0</v>
      </c>
      <c r="AK75" s="329">
        <v>0</v>
      </c>
      <c r="AL75" s="331">
        <f t="shared" si="480"/>
        <v>0</v>
      </c>
      <c r="AM75" s="329">
        <v>0</v>
      </c>
      <c r="AN75" s="329">
        <v>0</v>
      </c>
      <c r="AO75" s="329">
        <v>0</v>
      </c>
      <c r="AP75" s="329">
        <v>0</v>
      </c>
      <c r="AQ75" s="331">
        <f t="shared" si="481"/>
        <v>0</v>
      </c>
      <c r="AR75" s="329">
        <v>0</v>
      </c>
      <c r="AS75" s="329">
        <v>0</v>
      </c>
      <c r="AT75" s="329">
        <v>0</v>
      </c>
      <c r="AU75" s="329">
        <v>0</v>
      </c>
      <c r="AV75" s="331">
        <f t="shared" si="482"/>
        <v>0</v>
      </c>
      <c r="AW75" s="329">
        <v>0</v>
      </c>
      <c r="AX75" s="329">
        <v>0</v>
      </c>
      <c r="AY75" s="329">
        <v>0</v>
      </c>
      <c r="AZ75" s="329">
        <v>0</v>
      </c>
      <c r="BA75" s="331">
        <f t="shared" si="483"/>
        <v>0</v>
      </c>
      <c r="BB75" s="329">
        <v>0</v>
      </c>
      <c r="BC75" s="329">
        <v>0</v>
      </c>
      <c r="BD75" s="329">
        <v>0</v>
      </c>
      <c r="BE75" s="329">
        <v>0</v>
      </c>
      <c r="BF75" s="331">
        <f t="shared" si="484"/>
        <v>0</v>
      </c>
      <c r="BG75" s="329">
        <v>0</v>
      </c>
      <c r="BH75" s="329">
        <v>0</v>
      </c>
      <c r="BI75" s="329">
        <v>0</v>
      </c>
      <c r="BJ75" s="329">
        <v>0</v>
      </c>
      <c r="BK75" s="331">
        <f t="shared" si="485"/>
        <v>0</v>
      </c>
      <c r="BL75" s="329">
        <v>375</v>
      </c>
      <c r="BM75" s="329">
        <v>0</v>
      </c>
      <c r="BN75" s="329">
        <v>0</v>
      </c>
      <c r="BO75" s="329">
        <v>0</v>
      </c>
      <c r="BP75" s="331">
        <f t="shared" si="486"/>
        <v>375</v>
      </c>
      <c r="BQ75" s="329">
        <v>0</v>
      </c>
      <c r="BR75" s="329">
        <v>0</v>
      </c>
      <c r="BS75" s="329">
        <v>0</v>
      </c>
      <c r="BT75" s="329">
        <v>0</v>
      </c>
      <c r="BU75" s="331">
        <f t="shared" si="487"/>
        <v>0</v>
      </c>
      <c r="BV75" s="329">
        <v>0</v>
      </c>
      <c r="BW75" s="329">
        <v>0</v>
      </c>
      <c r="BX75" s="329">
        <v>0</v>
      </c>
      <c r="BY75" s="329">
        <v>0</v>
      </c>
      <c r="BZ75" s="331">
        <f t="shared" si="488"/>
        <v>0</v>
      </c>
      <c r="CA75" s="329">
        <v>0</v>
      </c>
      <c r="CB75" s="329">
        <v>0</v>
      </c>
      <c r="CC75" s="329">
        <v>0</v>
      </c>
      <c r="CD75" s="329">
        <v>0</v>
      </c>
      <c r="CE75" s="331">
        <f t="shared" si="489"/>
        <v>0</v>
      </c>
      <c r="CF75" s="329">
        <v>0</v>
      </c>
      <c r="CG75" s="329">
        <v>0</v>
      </c>
      <c r="CH75" s="329">
        <v>0</v>
      </c>
      <c r="CI75" s="329">
        <v>0</v>
      </c>
      <c r="CJ75" s="331">
        <f t="shared" si="490"/>
        <v>0</v>
      </c>
      <c r="CK75" s="329">
        <v>0</v>
      </c>
      <c r="CL75" s="329">
        <v>0</v>
      </c>
      <c r="CM75" s="329">
        <v>0</v>
      </c>
      <c r="CN75" s="329">
        <v>0</v>
      </c>
      <c r="CO75" s="331">
        <f t="shared" si="491"/>
        <v>0</v>
      </c>
      <c r="CP75" s="329">
        <v>0</v>
      </c>
      <c r="CQ75" s="329">
        <v>0</v>
      </c>
      <c r="CR75" s="329">
        <v>0</v>
      </c>
      <c r="CS75" s="329">
        <v>0</v>
      </c>
      <c r="CT75" s="331">
        <f t="shared" si="492"/>
        <v>0</v>
      </c>
      <c r="CU75" s="329">
        <v>0</v>
      </c>
      <c r="CV75" s="329">
        <v>0</v>
      </c>
      <c r="CW75" s="329">
        <v>0</v>
      </c>
      <c r="CX75" s="329">
        <v>0</v>
      </c>
      <c r="CY75" s="331">
        <f t="shared" si="493"/>
        <v>0</v>
      </c>
      <c r="CZ75" s="329">
        <v>0</v>
      </c>
      <c r="DA75" s="329">
        <v>0</v>
      </c>
      <c r="DB75" s="329">
        <v>0</v>
      </c>
      <c r="DC75" s="329">
        <v>0</v>
      </c>
      <c r="DD75" s="331">
        <f t="shared" si="494"/>
        <v>0</v>
      </c>
      <c r="DE75" s="329">
        <v>0</v>
      </c>
      <c r="DF75" s="329">
        <v>0</v>
      </c>
      <c r="DG75" s="329">
        <v>0</v>
      </c>
      <c r="DH75" s="329">
        <v>0</v>
      </c>
      <c r="DI75" s="331">
        <f t="shared" si="495"/>
        <v>0</v>
      </c>
      <c r="DJ75" s="1114">
        <v>0</v>
      </c>
      <c r="DK75" s="1114">
        <v>0</v>
      </c>
      <c r="DL75" s="1114">
        <v>0</v>
      </c>
      <c r="DM75" s="1114">
        <v>0</v>
      </c>
      <c r="DN75" s="331">
        <f t="shared" si="496"/>
        <v>0</v>
      </c>
      <c r="DO75" s="1114">
        <v>0</v>
      </c>
      <c r="DP75" s="1114">
        <v>0</v>
      </c>
      <c r="DQ75" s="1114">
        <v>0</v>
      </c>
      <c r="DR75" s="1114">
        <v>0</v>
      </c>
      <c r="DS75" s="331">
        <f t="shared" si="497"/>
        <v>0</v>
      </c>
      <c r="DT75" s="1114">
        <v>0</v>
      </c>
      <c r="DU75" s="1114">
        <v>0</v>
      </c>
      <c r="DV75" s="1114">
        <v>0</v>
      </c>
      <c r="DW75" s="1114">
        <v>0</v>
      </c>
      <c r="DX75" s="331">
        <f>SUM(DT75:DW75)</f>
        <v>0</v>
      </c>
      <c r="DY75" s="1114">
        <v>0</v>
      </c>
      <c r="DZ75" s="1114">
        <v>0</v>
      </c>
      <c r="EA75" s="1114">
        <v>0</v>
      </c>
      <c r="EB75" s="1114">
        <v>0</v>
      </c>
      <c r="EC75" s="331">
        <f>SUM(DY75:EB75)</f>
        <v>0</v>
      </c>
      <c r="ED75" s="1114">
        <v>0</v>
      </c>
      <c r="EE75" s="1114">
        <v>0</v>
      </c>
      <c r="EF75" s="1114">
        <v>0</v>
      </c>
      <c r="EG75" s="1114">
        <v>0</v>
      </c>
      <c r="EH75" s="331">
        <f>SUM(ED75:EG75)</f>
        <v>0</v>
      </c>
      <c r="EI75" s="2558">
        <v>0</v>
      </c>
      <c r="EJ75" s="2558">
        <v>0</v>
      </c>
      <c r="EK75" s="2558">
        <v>0</v>
      </c>
      <c r="EL75" s="2558">
        <v>0</v>
      </c>
      <c r="EM75" s="2696">
        <f>SUM(EI75:EL75)</f>
        <v>0</v>
      </c>
      <c r="EN75" s="2702">
        <v>0</v>
      </c>
      <c r="EO75" s="2558">
        <v>0</v>
      </c>
      <c r="EP75" s="2558">
        <v>0</v>
      </c>
      <c r="EQ75" s="2558">
        <v>0</v>
      </c>
      <c r="ER75" s="2696">
        <f>SUM(EN75:EQ75)</f>
        <v>0</v>
      </c>
      <c r="ES75" s="2702">
        <v>0</v>
      </c>
      <c r="ET75" s="2558">
        <v>0</v>
      </c>
      <c r="EU75" s="2558">
        <v>0</v>
      </c>
      <c r="EV75" s="329">
        <v>0</v>
      </c>
      <c r="EW75" s="331">
        <f>SUM(ES75:EV75)</f>
        <v>0</v>
      </c>
      <c r="EX75" s="329">
        <v>0</v>
      </c>
      <c r="EY75" s="329">
        <v>0</v>
      </c>
      <c r="EZ75" s="329">
        <v>0</v>
      </c>
      <c r="FA75" s="329">
        <v>0</v>
      </c>
      <c r="FB75" s="331">
        <f>SUM(EX75:FA75)</f>
        <v>0</v>
      </c>
      <c r="FC75" s="329">
        <v>0</v>
      </c>
      <c r="FD75" s="329">
        <v>0</v>
      </c>
      <c r="FE75" s="329">
        <v>0</v>
      </c>
      <c r="FF75" s="329">
        <v>0</v>
      </c>
      <c r="FG75" s="331">
        <f>SUM(FC75:FF75)</f>
        <v>0</v>
      </c>
      <c r="FH75" s="329">
        <v>0</v>
      </c>
      <c r="FI75" s="329">
        <v>0</v>
      </c>
      <c r="FJ75" s="329">
        <v>0</v>
      </c>
      <c r="FK75" s="329">
        <v>0</v>
      </c>
      <c r="FL75" s="331">
        <f>SUM(FH75:FK75)</f>
        <v>0</v>
      </c>
      <c r="FN75" s="330">
        <f t="shared" si="454"/>
        <v>0</v>
      </c>
      <c r="FO75" s="330">
        <f t="shared" si="455"/>
        <v>375</v>
      </c>
      <c r="FP75" s="330">
        <f t="shared" si="456"/>
        <v>0</v>
      </c>
      <c r="FQ75" s="330">
        <f t="shared" si="457"/>
        <v>0</v>
      </c>
      <c r="FR75" s="330">
        <f t="shared" si="458"/>
        <v>0</v>
      </c>
      <c r="FS75" s="330">
        <f t="shared" si="459"/>
        <v>0</v>
      </c>
      <c r="FT75" s="330">
        <f t="shared" si="460"/>
        <v>0</v>
      </c>
      <c r="FU75" s="330">
        <f t="shared" si="461"/>
        <v>0</v>
      </c>
      <c r="FV75" s="330">
        <f t="shared" si="462"/>
        <v>0</v>
      </c>
      <c r="FW75" s="330">
        <f t="shared" si="463"/>
        <v>0</v>
      </c>
      <c r="FX75" s="855">
        <f t="shared" si="464"/>
        <v>0</v>
      </c>
      <c r="FY75" s="856">
        <f t="shared" si="465"/>
        <v>0</v>
      </c>
      <c r="FZ75" s="856">
        <f>SUM(DO75:DP75,DL75:DM75)</f>
        <v>0</v>
      </c>
      <c r="GA75" s="856">
        <f t="shared" si="466"/>
        <v>0</v>
      </c>
      <c r="GB75" s="856">
        <f t="shared" si="498"/>
        <v>0</v>
      </c>
      <c r="GC75" s="856">
        <f t="shared" si="467"/>
        <v>0</v>
      </c>
      <c r="GD75" s="856">
        <f t="shared" si="468"/>
        <v>0</v>
      </c>
      <c r="GE75" s="856">
        <f t="shared" si="469"/>
        <v>0</v>
      </c>
      <c r="GF75" s="856">
        <f t="shared" si="470"/>
        <v>0</v>
      </c>
      <c r="GG75" s="856">
        <f t="shared" si="471"/>
        <v>0</v>
      </c>
      <c r="GH75" s="856">
        <f t="shared" si="472"/>
        <v>0</v>
      </c>
      <c r="GI75" s="856">
        <f t="shared" si="473"/>
        <v>0</v>
      </c>
      <c r="GJ75" s="303"/>
      <c r="GK75" s="303"/>
      <c r="GL75" s="303"/>
      <c r="GN75"/>
      <c r="GO75"/>
      <c r="GP75"/>
      <c r="GQ75"/>
      <c r="GR75"/>
      <c r="GS75"/>
    </row>
    <row r="76" spans="1:201" s="307" customFormat="1" ht="11.25" hidden="1" customHeight="1" outlineLevel="1">
      <c r="A76" s="303" t="s">
        <v>312</v>
      </c>
      <c r="B76" s="303"/>
      <c r="C76" s="303"/>
      <c r="D76" s="329"/>
      <c r="E76" s="329"/>
      <c r="F76" s="329"/>
      <c r="G76" s="329"/>
      <c r="H76" s="331"/>
      <c r="I76" s="329"/>
      <c r="J76" s="329"/>
      <c r="K76" s="329"/>
      <c r="L76" s="329"/>
      <c r="M76" s="331"/>
      <c r="N76" s="329"/>
      <c r="O76" s="329"/>
      <c r="P76" s="329"/>
      <c r="Q76" s="329"/>
      <c r="R76" s="331"/>
      <c r="S76" s="329"/>
      <c r="T76" s="329"/>
      <c r="U76" s="329"/>
      <c r="V76" s="329"/>
      <c r="W76" s="331"/>
      <c r="X76" s="329"/>
      <c r="Y76" s="329"/>
      <c r="Z76" s="329"/>
      <c r="AA76" s="329"/>
      <c r="AB76" s="331"/>
      <c r="AC76" s="329"/>
      <c r="AD76" s="329"/>
      <c r="AE76" s="329"/>
      <c r="AF76" s="329"/>
      <c r="AG76" s="331"/>
      <c r="AH76" s="329"/>
      <c r="AI76" s="329"/>
      <c r="AJ76" s="329"/>
      <c r="AK76" s="329"/>
      <c r="AL76" s="331"/>
      <c r="AM76" s="329"/>
      <c r="AN76" s="329"/>
      <c r="AO76" s="329"/>
      <c r="AP76" s="329"/>
      <c r="AQ76" s="331"/>
      <c r="AR76" s="329"/>
      <c r="AS76" s="329"/>
      <c r="AT76" s="329"/>
      <c r="AU76" s="329"/>
      <c r="AV76" s="331"/>
      <c r="AW76" s="329"/>
      <c r="AX76" s="329"/>
      <c r="AY76" s="329"/>
      <c r="AZ76" s="329"/>
      <c r="BA76" s="331"/>
      <c r="BB76" s="329"/>
      <c r="BC76" s="329"/>
      <c r="BD76" s="329"/>
      <c r="BE76" s="329"/>
      <c r="BF76" s="331"/>
      <c r="BG76" s="329"/>
      <c r="BH76" s="329"/>
      <c r="BI76" s="329"/>
      <c r="BJ76" s="329"/>
      <c r="BK76" s="331"/>
      <c r="BL76" s="329"/>
      <c r="BM76" s="329"/>
      <c r="BN76" s="329"/>
      <c r="BO76" s="329"/>
      <c r="BP76" s="331"/>
      <c r="BQ76" s="329"/>
      <c r="BR76" s="329"/>
      <c r="BS76" s="329"/>
      <c r="BT76" s="329"/>
      <c r="BU76" s="331"/>
      <c r="BV76" s="329"/>
      <c r="BW76" s="329"/>
      <c r="BX76" s="329"/>
      <c r="BY76" s="329"/>
      <c r="BZ76" s="331"/>
      <c r="CA76" s="329"/>
      <c r="CB76" s="329"/>
      <c r="CC76" s="329"/>
      <c r="CD76" s="329"/>
      <c r="CE76" s="331"/>
      <c r="CF76" s="329"/>
      <c r="CG76" s="329"/>
      <c r="CH76" s="329"/>
      <c r="CI76" s="329"/>
      <c r="CJ76" s="331"/>
      <c r="CK76" s="329"/>
      <c r="CL76" s="329"/>
      <c r="CM76" s="329"/>
      <c r="CN76" s="329"/>
      <c r="CO76" s="331"/>
      <c r="CP76" s="329"/>
      <c r="CQ76" s="329"/>
      <c r="CR76" s="329"/>
      <c r="CS76" s="329"/>
      <c r="CT76" s="331"/>
      <c r="CU76" s="329"/>
      <c r="CV76" s="329"/>
      <c r="CW76" s="329"/>
      <c r="CX76" s="329"/>
      <c r="CY76" s="331"/>
      <c r="CZ76" s="329"/>
      <c r="DA76" s="329"/>
      <c r="DB76" s="329"/>
      <c r="DC76" s="329">
        <v>-105</v>
      </c>
      <c r="DD76" s="331">
        <f t="shared" si="494"/>
        <v>-105</v>
      </c>
      <c r="DE76" s="329"/>
      <c r="DF76" s="329"/>
      <c r="DG76" s="329"/>
      <c r="DH76" s="329"/>
      <c r="DI76" s="331"/>
      <c r="DJ76" s="329"/>
      <c r="DK76" s="329"/>
      <c r="DL76" s="329"/>
      <c r="DM76" s="329"/>
      <c r="DN76" s="331"/>
      <c r="DO76" s="329"/>
      <c r="DP76" s="329"/>
      <c r="DQ76" s="329"/>
      <c r="DR76" s="329"/>
      <c r="DS76" s="331"/>
      <c r="DT76" s="329"/>
      <c r="DU76" s="329"/>
      <c r="DV76" s="329"/>
      <c r="DW76" s="329"/>
      <c r="DX76" s="331"/>
      <c r="DY76" s="329"/>
      <c r="DZ76" s="329"/>
      <c r="EA76" s="329"/>
      <c r="EB76" s="329"/>
      <c r="EC76" s="331"/>
      <c r="ED76" s="329"/>
      <c r="EE76" s="329"/>
      <c r="EF76" s="329"/>
      <c r="EG76" s="329"/>
      <c r="EH76" s="331"/>
      <c r="EI76" s="2702"/>
      <c r="EJ76" s="2702"/>
      <c r="EK76" s="2702"/>
      <c r="EL76" s="2702"/>
      <c r="EM76" s="2696"/>
      <c r="EN76" s="2702"/>
      <c r="EO76" s="2702"/>
      <c r="EP76" s="2702"/>
      <c r="EQ76" s="2702"/>
      <c r="ER76" s="2696"/>
      <c r="ES76" s="2702"/>
      <c r="ET76" s="2702"/>
      <c r="EU76" s="2702"/>
      <c r="EV76" s="329"/>
      <c r="EW76" s="331"/>
      <c r="EX76" s="329"/>
      <c r="EY76" s="329"/>
      <c r="EZ76" s="329"/>
      <c r="FA76" s="329"/>
      <c r="FB76" s="331"/>
      <c r="FC76" s="329"/>
      <c r="FD76" s="329"/>
      <c r="FE76" s="329"/>
      <c r="FF76" s="329"/>
      <c r="FG76" s="331"/>
      <c r="FH76" s="329"/>
      <c r="FI76" s="329"/>
      <c r="FJ76" s="329"/>
      <c r="FK76" s="329"/>
      <c r="FL76" s="331"/>
      <c r="FN76" s="330"/>
      <c r="FO76" s="330"/>
      <c r="FP76" s="330"/>
      <c r="FQ76" s="330"/>
      <c r="FR76" s="330"/>
      <c r="FS76" s="330"/>
      <c r="FT76" s="330"/>
      <c r="FU76" s="330"/>
      <c r="FV76" s="330"/>
      <c r="FW76" s="330"/>
      <c r="FX76" s="855"/>
      <c r="FY76" s="856"/>
      <c r="FZ76" s="856"/>
      <c r="GA76" s="856">
        <f t="shared" si="466"/>
        <v>0</v>
      </c>
      <c r="GB76" s="856">
        <f t="shared" si="498"/>
        <v>0</v>
      </c>
      <c r="GC76" s="856">
        <f t="shared" si="467"/>
        <v>0</v>
      </c>
      <c r="GD76" s="856">
        <f t="shared" si="468"/>
        <v>0</v>
      </c>
      <c r="GE76" s="856">
        <f t="shared" si="469"/>
        <v>0</v>
      </c>
      <c r="GF76" s="856">
        <f t="shared" si="470"/>
        <v>0</v>
      </c>
      <c r="GG76" s="856">
        <f t="shared" si="471"/>
        <v>0</v>
      </c>
      <c r="GH76" s="856">
        <f t="shared" si="472"/>
        <v>0</v>
      </c>
      <c r="GI76" s="856">
        <f t="shared" si="473"/>
        <v>0</v>
      </c>
      <c r="GJ76" s="303"/>
      <c r="GK76" s="303"/>
      <c r="GL76" s="303"/>
      <c r="GN76"/>
      <c r="GO76"/>
      <c r="GP76"/>
      <c r="GQ76"/>
      <c r="GR76"/>
      <c r="GS76"/>
    </row>
    <row r="77" spans="1:201" s="307" customFormat="1" ht="11.25" hidden="1" customHeight="1" outlineLevel="1">
      <c r="A77" s="303" t="s">
        <v>153</v>
      </c>
      <c r="B77" s="303"/>
      <c r="C77" s="303"/>
      <c r="D77" s="329">
        <v>0</v>
      </c>
      <c r="E77" s="329">
        <v>0</v>
      </c>
      <c r="F77" s="329">
        <v>0</v>
      </c>
      <c r="G77" s="329">
        <v>0</v>
      </c>
      <c r="H77" s="331">
        <f t="shared" si="474"/>
        <v>0</v>
      </c>
      <c r="I77" s="329">
        <v>0</v>
      </c>
      <c r="J77" s="329">
        <v>0</v>
      </c>
      <c r="K77" s="329">
        <v>0</v>
      </c>
      <c r="L77" s="329">
        <v>0</v>
      </c>
      <c r="M77" s="331">
        <f t="shared" si="475"/>
        <v>0</v>
      </c>
      <c r="N77" s="329">
        <v>0</v>
      </c>
      <c r="O77" s="329">
        <v>0</v>
      </c>
      <c r="P77" s="329">
        <v>0</v>
      </c>
      <c r="Q77" s="329">
        <v>0</v>
      </c>
      <c r="R77" s="331">
        <f t="shared" si="476"/>
        <v>0</v>
      </c>
      <c r="S77" s="329">
        <v>0</v>
      </c>
      <c r="T77" s="329">
        <v>0</v>
      </c>
      <c r="U77" s="329">
        <v>0</v>
      </c>
      <c r="V77" s="329">
        <v>0</v>
      </c>
      <c r="W77" s="331">
        <f t="shared" si="477"/>
        <v>0</v>
      </c>
      <c r="X77" s="329">
        <v>0</v>
      </c>
      <c r="Y77" s="329">
        <v>0</v>
      </c>
      <c r="Z77" s="329">
        <v>0</v>
      </c>
      <c r="AA77" s="329">
        <v>0</v>
      </c>
      <c r="AB77" s="331">
        <f t="shared" si="478"/>
        <v>0</v>
      </c>
      <c r="AC77" s="329">
        <v>0</v>
      </c>
      <c r="AD77" s="329">
        <v>0</v>
      </c>
      <c r="AE77" s="329">
        <v>0</v>
      </c>
      <c r="AF77" s="329">
        <v>0</v>
      </c>
      <c r="AG77" s="331">
        <f t="shared" si="479"/>
        <v>0</v>
      </c>
      <c r="AH77" s="329">
        <v>0</v>
      </c>
      <c r="AI77" s="329">
        <v>0</v>
      </c>
      <c r="AJ77" s="329">
        <v>0</v>
      </c>
      <c r="AK77" s="329">
        <v>46</v>
      </c>
      <c r="AL77" s="331">
        <f t="shared" si="480"/>
        <v>46</v>
      </c>
      <c r="AM77" s="329">
        <v>0</v>
      </c>
      <c r="AN77" s="329">
        <v>0</v>
      </c>
      <c r="AO77" s="329">
        <v>0</v>
      </c>
      <c r="AP77" s="329">
        <v>0</v>
      </c>
      <c r="AQ77" s="331">
        <f t="shared" si="481"/>
        <v>0</v>
      </c>
      <c r="AR77" s="329">
        <v>0</v>
      </c>
      <c r="AS77" s="329">
        <v>0</v>
      </c>
      <c r="AT77" s="329">
        <v>0</v>
      </c>
      <c r="AU77" s="329">
        <v>0</v>
      </c>
      <c r="AV77" s="331">
        <f t="shared" si="482"/>
        <v>0</v>
      </c>
      <c r="AW77" s="329">
        <v>296</v>
      </c>
      <c r="AX77" s="329">
        <v>0</v>
      </c>
      <c r="AY77" s="329">
        <v>0</v>
      </c>
      <c r="AZ77" s="329">
        <v>0</v>
      </c>
      <c r="BA77" s="331">
        <f t="shared" si="483"/>
        <v>296</v>
      </c>
      <c r="BB77" s="329">
        <v>0</v>
      </c>
      <c r="BC77" s="329">
        <v>0</v>
      </c>
      <c r="BD77" s="329">
        <v>0</v>
      </c>
      <c r="BE77" s="329">
        <v>0</v>
      </c>
      <c r="BF77" s="331">
        <f t="shared" si="484"/>
        <v>0</v>
      </c>
      <c r="BG77" s="329">
        <v>0</v>
      </c>
      <c r="BH77" s="329">
        <v>0</v>
      </c>
      <c r="BI77" s="329">
        <v>0</v>
      </c>
      <c r="BJ77" s="329">
        <v>0</v>
      </c>
      <c r="BK77" s="331">
        <f t="shared" si="485"/>
        <v>0</v>
      </c>
      <c r="BL77" s="329">
        <v>0</v>
      </c>
      <c r="BM77" s="329">
        <v>0</v>
      </c>
      <c r="BN77" s="329">
        <v>0</v>
      </c>
      <c r="BO77" s="329">
        <v>0</v>
      </c>
      <c r="BP77" s="331">
        <f t="shared" si="486"/>
        <v>0</v>
      </c>
      <c r="BQ77" s="329">
        <v>0</v>
      </c>
      <c r="BR77" s="329">
        <v>0</v>
      </c>
      <c r="BS77" s="329">
        <v>0</v>
      </c>
      <c r="BT77" s="329">
        <v>0</v>
      </c>
      <c r="BU77" s="331">
        <f t="shared" si="487"/>
        <v>0</v>
      </c>
      <c r="BV77" s="329">
        <v>0</v>
      </c>
      <c r="BW77" s="329">
        <v>0</v>
      </c>
      <c r="BX77" s="329">
        <v>0</v>
      </c>
      <c r="BY77" s="329">
        <v>0</v>
      </c>
      <c r="BZ77" s="331">
        <f t="shared" si="488"/>
        <v>0</v>
      </c>
      <c r="CA77" s="329">
        <v>0</v>
      </c>
      <c r="CB77" s="329">
        <v>0</v>
      </c>
      <c r="CC77" s="329">
        <v>0</v>
      </c>
      <c r="CD77" s="329">
        <v>0</v>
      </c>
      <c r="CE77" s="331">
        <f t="shared" si="489"/>
        <v>0</v>
      </c>
      <c r="CF77" s="329">
        <v>0</v>
      </c>
      <c r="CG77" s="329">
        <v>0</v>
      </c>
      <c r="CH77" s="329">
        <v>0</v>
      </c>
      <c r="CI77" s="329">
        <v>0</v>
      </c>
      <c r="CJ77" s="331">
        <f t="shared" si="490"/>
        <v>0</v>
      </c>
      <c r="CK77" s="329">
        <v>0</v>
      </c>
      <c r="CL77" s="329">
        <v>0</v>
      </c>
      <c r="CM77" s="329">
        <v>0</v>
      </c>
      <c r="CN77" s="329">
        <v>0</v>
      </c>
      <c r="CO77" s="331">
        <f t="shared" si="491"/>
        <v>0</v>
      </c>
      <c r="CP77" s="329">
        <v>0</v>
      </c>
      <c r="CQ77" s="329">
        <v>0</v>
      </c>
      <c r="CR77" s="329">
        <v>0</v>
      </c>
      <c r="CS77" s="329">
        <v>0</v>
      </c>
      <c r="CT77" s="331">
        <f t="shared" si="492"/>
        <v>0</v>
      </c>
      <c r="CU77" s="329">
        <v>0</v>
      </c>
      <c r="CV77" s="329">
        <v>0</v>
      </c>
      <c r="CW77" s="329">
        <v>0</v>
      </c>
      <c r="CX77" s="329">
        <v>0</v>
      </c>
      <c r="CY77" s="331">
        <f t="shared" si="493"/>
        <v>0</v>
      </c>
      <c r="CZ77" s="329">
        <v>0</v>
      </c>
      <c r="DA77" s="329">
        <v>0</v>
      </c>
      <c r="DB77" s="329">
        <v>290</v>
      </c>
      <c r="DC77" s="329">
        <v>40</v>
      </c>
      <c r="DD77" s="331">
        <f t="shared" si="494"/>
        <v>330</v>
      </c>
      <c r="DE77" s="329">
        <v>0</v>
      </c>
      <c r="DF77" s="329">
        <v>0</v>
      </c>
      <c r="DG77" s="329">
        <v>0</v>
      </c>
      <c r="DH77" s="329">
        <v>0</v>
      </c>
      <c r="DI77" s="331">
        <f t="shared" si="495"/>
        <v>0</v>
      </c>
      <c r="DJ77" s="1114">
        <v>0</v>
      </c>
      <c r="DK77" s="1114">
        <v>0</v>
      </c>
      <c r="DL77" s="1114">
        <v>0</v>
      </c>
      <c r="DM77" s="1114">
        <v>0</v>
      </c>
      <c r="DN77" s="331">
        <f t="shared" si="496"/>
        <v>0</v>
      </c>
      <c r="DO77" s="1114">
        <v>0</v>
      </c>
      <c r="DP77" s="1114">
        <v>0</v>
      </c>
      <c r="DQ77" s="1114">
        <v>0</v>
      </c>
      <c r="DR77" s="1114">
        <v>0</v>
      </c>
      <c r="DS77" s="331">
        <f t="shared" si="497"/>
        <v>0</v>
      </c>
      <c r="DT77" s="1114">
        <v>0</v>
      </c>
      <c r="DU77" s="1114">
        <v>0</v>
      </c>
      <c r="DV77" s="1114">
        <v>0</v>
      </c>
      <c r="DW77" s="1114">
        <v>0</v>
      </c>
      <c r="DX77" s="331">
        <f>SUM(DT77:DW77)</f>
        <v>0</v>
      </c>
      <c r="DY77" s="1114">
        <v>0</v>
      </c>
      <c r="DZ77" s="1114">
        <v>0</v>
      </c>
      <c r="EA77" s="1114">
        <v>0</v>
      </c>
      <c r="EB77" s="1114">
        <v>0</v>
      </c>
      <c r="EC77" s="331">
        <f>SUM(DY77:EB77)</f>
        <v>0</v>
      </c>
      <c r="ED77" s="1114">
        <v>1140</v>
      </c>
      <c r="EE77" s="1114">
        <v>243</v>
      </c>
      <c r="EF77" s="1114">
        <v>190</v>
      </c>
      <c r="EG77" s="1114">
        <f>780+160</f>
        <v>940</v>
      </c>
      <c r="EH77" s="331">
        <f>SUM(ED77:EG77)</f>
        <v>2513</v>
      </c>
      <c r="EI77" s="2558">
        <v>0</v>
      </c>
      <c r="EJ77" s="2558">
        <v>0</v>
      </c>
      <c r="EK77" s="2558">
        <v>0</v>
      </c>
      <c r="EL77" s="2558">
        <v>1110</v>
      </c>
      <c r="EM77" s="2696">
        <f>SUM(EI77:EL77)</f>
        <v>1110</v>
      </c>
      <c r="EN77" s="2558">
        <v>0</v>
      </c>
      <c r="EO77" s="2558">
        <v>0</v>
      </c>
      <c r="EP77" s="2558">
        <v>0</v>
      </c>
      <c r="EQ77" s="2558">
        <v>306</v>
      </c>
      <c r="ER77" s="2696">
        <f>SUM(EN77:EQ77)</f>
        <v>306</v>
      </c>
      <c r="ES77" s="2558">
        <v>0</v>
      </c>
      <c r="ET77" s="2558">
        <v>0</v>
      </c>
      <c r="EU77" s="2558">
        <v>0</v>
      </c>
      <c r="EV77" s="329">
        <v>0</v>
      </c>
      <c r="EW77" s="331">
        <f>SUM(ES77:EV77)</f>
        <v>0</v>
      </c>
      <c r="EX77" s="329">
        <v>0</v>
      </c>
      <c r="EY77" s="329">
        <v>0</v>
      </c>
      <c r="EZ77" s="329">
        <v>0</v>
      </c>
      <c r="FA77" s="329">
        <v>0</v>
      </c>
      <c r="FB77" s="331">
        <f>SUM(EX77:FA77)</f>
        <v>0</v>
      </c>
      <c r="FC77" s="329">
        <v>0</v>
      </c>
      <c r="FD77" s="329">
        <v>0</v>
      </c>
      <c r="FE77" s="329">
        <v>0</v>
      </c>
      <c r="FF77" s="329">
        <v>0</v>
      </c>
      <c r="FG77" s="331">
        <f>SUM(FC77:FF77)</f>
        <v>0</v>
      </c>
      <c r="FH77" s="329">
        <v>0</v>
      </c>
      <c r="FI77" s="329">
        <v>0</v>
      </c>
      <c r="FJ77" s="329">
        <v>0</v>
      </c>
      <c r="FK77" s="329">
        <v>0</v>
      </c>
      <c r="FL77" s="331">
        <f>SUM(FH77:FK77)</f>
        <v>0</v>
      </c>
      <c r="FN77" s="330">
        <f t="shared" si="454"/>
        <v>0</v>
      </c>
      <c r="FO77" s="330">
        <f t="shared" si="455"/>
        <v>0</v>
      </c>
      <c r="FP77" s="330">
        <f t="shared" si="456"/>
        <v>0</v>
      </c>
      <c r="FQ77" s="330">
        <f t="shared" si="457"/>
        <v>0</v>
      </c>
      <c r="FR77" s="330">
        <f t="shared" si="458"/>
        <v>0</v>
      </c>
      <c r="FS77" s="330">
        <f t="shared" si="459"/>
        <v>0</v>
      </c>
      <c r="FT77" s="330">
        <f t="shared" si="460"/>
        <v>0</v>
      </c>
      <c r="FU77" s="330">
        <f t="shared" si="461"/>
        <v>0</v>
      </c>
      <c r="FV77" s="330">
        <f t="shared" si="462"/>
        <v>0</v>
      </c>
      <c r="FW77" s="330">
        <f t="shared" si="463"/>
        <v>0</v>
      </c>
      <c r="FX77" s="855">
        <f t="shared" si="464"/>
        <v>330</v>
      </c>
      <c r="FY77" s="856">
        <f t="shared" si="465"/>
        <v>0</v>
      </c>
      <c r="FZ77" s="856">
        <f>SUM(DO77:DP77,DL77:DM77)</f>
        <v>0</v>
      </c>
      <c r="GA77" s="856">
        <f t="shared" si="466"/>
        <v>0</v>
      </c>
      <c r="GB77" s="856">
        <f t="shared" si="498"/>
        <v>0</v>
      </c>
      <c r="GC77" s="856">
        <f t="shared" si="467"/>
        <v>1383</v>
      </c>
      <c r="GD77" s="856">
        <f t="shared" si="468"/>
        <v>1130</v>
      </c>
      <c r="GE77" s="856">
        <f t="shared" si="469"/>
        <v>1110</v>
      </c>
      <c r="GF77" s="856">
        <f t="shared" si="470"/>
        <v>306</v>
      </c>
      <c r="GG77" s="856">
        <f t="shared" si="471"/>
        <v>0</v>
      </c>
      <c r="GH77" s="856">
        <f t="shared" si="472"/>
        <v>0</v>
      </c>
      <c r="GI77" s="856">
        <f t="shared" si="473"/>
        <v>0</v>
      </c>
      <c r="GJ77" s="303"/>
      <c r="GK77" s="303"/>
      <c r="GL77" s="303"/>
      <c r="GN77"/>
      <c r="GO77"/>
      <c r="GP77"/>
      <c r="GQ77"/>
      <c r="GR77"/>
      <c r="GS77"/>
    </row>
    <row r="78" spans="1:201" s="307" customFormat="1" ht="11.25" hidden="1" customHeight="1" outlineLevel="1">
      <c r="A78" s="303" t="s">
        <v>233</v>
      </c>
      <c r="B78" s="303"/>
      <c r="C78" s="303"/>
      <c r="D78" s="329">
        <v>0</v>
      </c>
      <c r="E78" s="329">
        <v>0</v>
      </c>
      <c r="F78" s="329">
        <v>0</v>
      </c>
      <c r="G78" s="329">
        <v>0</v>
      </c>
      <c r="H78" s="331">
        <f t="shared" si="474"/>
        <v>0</v>
      </c>
      <c r="I78" s="329">
        <v>0</v>
      </c>
      <c r="J78" s="329">
        <v>0</v>
      </c>
      <c r="K78" s="329">
        <v>0</v>
      </c>
      <c r="L78" s="329">
        <v>0</v>
      </c>
      <c r="M78" s="331">
        <f t="shared" si="475"/>
        <v>0</v>
      </c>
      <c r="N78" s="329">
        <v>0</v>
      </c>
      <c r="O78" s="329">
        <v>0</v>
      </c>
      <c r="P78" s="329">
        <v>0</v>
      </c>
      <c r="Q78" s="329">
        <v>0</v>
      </c>
      <c r="R78" s="331">
        <f t="shared" si="476"/>
        <v>0</v>
      </c>
      <c r="S78" s="329">
        <v>0</v>
      </c>
      <c r="T78" s="329">
        <v>0</v>
      </c>
      <c r="U78" s="329">
        <v>0</v>
      </c>
      <c r="V78" s="329">
        <v>0</v>
      </c>
      <c r="W78" s="331">
        <f t="shared" si="477"/>
        <v>0</v>
      </c>
      <c r="X78" s="329">
        <v>0</v>
      </c>
      <c r="Y78" s="329">
        <v>0</v>
      </c>
      <c r="Z78" s="329">
        <v>0</v>
      </c>
      <c r="AA78" s="329">
        <v>0</v>
      </c>
      <c r="AB78" s="331">
        <f t="shared" si="478"/>
        <v>0</v>
      </c>
      <c r="AC78" s="329">
        <v>0</v>
      </c>
      <c r="AD78" s="329">
        <v>0</v>
      </c>
      <c r="AE78" s="329">
        <v>0</v>
      </c>
      <c r="AF78" s="329">
        <v>0</v>
      </c>
      <c r="AG78" s="331">
        <f t="shared" si="479"/>
        <v>0</v>
      </c>
      <c r="AH78" s="329">
        <v>0</v>
      </c>
      <c r="AI78" s="329">
        <v>0</v>
      </c>
      <c r="AJ78" s="329">
        <v>0</v>
      </c>
      <c r="AK78" s="329">
        <v>46</v>
      </c>
      <c r="AL78" s="331">
        <f t="shared" si="480"/>
        <v>46</v>
      </c>
      <c r="AM78" s="329">
        <v>0</v>
      </c>
      <c r="AN78" s="329">
        <v>0</v>
      </c>
      <c r="AO78" s="329">
        <v>0</v>
      </c>
      <c r="AP78" s="329">
        <v>0</v>
      </c>
      <c r="AQ78" s="331">
        <f t="shared" si="481"/>
        <v>0</v>
      </c>
      <c r="AR78" s="329">
        <v>0</v>
      </c>
      <c r="AS78" s="329">
        <v>0</v>
      </c>
      <c r="AT78" s="329">
        <v>0</v>
      </c>
      <c r="AU78" s="329">
        <v>0</v>
      </c>
      <c r="AV78" s="331">
        <f t="shared" si="482"/>
        <v>0</v>
      </c>
      <c r="AW78" s="329">
        <v>0</v>
      </c>
      <c r="AX78" s="329">
        <v>0</v>
      </c>
      <c r="AY78" s="329">
        <v>0</v>
      </c>
      <c r="AZ78" s="329">
        <v>0</v>
      </c>
      <c r="BA78" s="331">
        <f t="shared" si="483"/>
        <v>0</v>
      </c>
      <c r="BB78" s="329">
        <v>0</v>
      </c>
      <c r="BC78" s="329">
        <v>0</v>
      </c>
      <c r="BD78" s="329">
        <v>0</v>
      </c>
      <c r="BE78" s="329">
        <v>0</v>
      </c>
      <c r="BF78" s="331">
        <f t="shared" si="484"/>
        <v>0</v>
      </c>
      <c r="BG78" s="329">
        <v>0</v>
      </c>
      <c r="BH78" s="329">
        <f>-BH72*0.32</f>
        <v>-92.48</v>
      </c>
      <c r="BI78" s="329">
        <v>0</v>
      </c>
      <c r="BJ78" s="329">
        <v>0</v>
      </c>
      <c r="BK78" s="331">
        <f t="shared" si="485"/>
        <v>-92.48</v>
      </c>
      <c r="BL78" s="329">
        <v>0</v>
      </c>
      <c r="BM78" s="329">
        <v>0</v>
      </c>
      <c r="BN78" s="329">
        <v>0</v>
      </c>
      <c r="BO78" s="329">
        <v>-1320</v>
      </c>
      <c r="BP78" s="331">
        <f t="shared" si="486"/>
        <v>-1320</v>
      </c>
      <c r="BQ78" s="329">
        <f>-BQ73*0.32</f>
        <v>0</v>
      </c>
      <c r="BR78" s="329">
        <f>-SUM(BR72:BR73)*0.32</f>
        <v>-211.20000000000002</v>
      </c>
      <c r="BS78" s="329">
        <f>-BS73*0.32</f>
        <v>0</v>
      </c>
      <c r="BT78" s="329">
        <f>-BT73*0.32</f>
        <v>0</v>
      </c>
      <c r="BU78" s="331">
        <f t="shared" si="487"/>
        <v>-211.20000000000002</v>
      </c>
      <c r="BV78" s="329">
        <f>-BV73*0.33</f>
        <v>0</v>
      </c>
      <c r="BW78" s="329">
        <f>-(SUM(BW72:BW73)*0.33+126)</f>
        <v>-195.3</v>
      </c>
      <c r="BX78" s="329">
        <f>-0.33*BX73</f>
        <v>0</v>
      </c>
      <c r="BY78" s="329">
        <f>-(SUM(BY72:BY73)*0.33)</f>
        <v>-262.68</v>
      </c>
      <c r="BZ78" s="331">
        <f t="shared" si="488"/>
        <v>-457.98</v>
      </c>
      <c r="CA78" s="329">
        <v>0</v>
      </c>
      <c r="CB78" s="329">
        <f>-CB71*0.33</f>
        <v>-727.65000000000009</v>
      </c>
      <c r="CC78" s="329">
        <f>-(2530-1890-11)</f>
        <v>-629</v>
      </c>
      <c r="CD78" s="329">
        <v>-208</v>
      </c>
      <c r="CE78" s="331">
        <f t="shared" si="489"/>
        <v>-1564.65</v>
      </c>
      <c r="CF78" s="329">
        <v>-177</v>
      </c>
      <c r="CG78" s="329">
        <v>0</v>
      </c>
      <c r="CH78" s="329">
        <f>1262-CH54</f>
        <v>-253.44000000000005</v>
      </c>
      <c r="CI78" s="329">
        <f>-(955+756*0.32)</f>
        <v>-1196.92</v>
      </c>
      <c r="CJ78" s="331">
        <f t="shared" si="490"/>
        <v>-1627.3600000000001</v>
      </c>
      <c r="CK78" s="329">
        <f>1411-CK54</f>
        <v>-112.02999999999997</v>
      </c>
      <c r="CL78" s="329">
        <v>-108</v>
      </c>
      <c r="CM78" s="329">
        <f>1338-CM54</f>
        <v>-123.02999999999997</v>
      </c>
      <c r="CN78" s="329">
        <v>0</v>
      </c>
      <c r="CO78" s="331">
        <f t="shared" si="491"/>
        <v>-343.05999999999995</v>
      </c>
      <c r="CP78" s="329">
        <v>0</v>
      </c>
      <c r="CQ78" s="329">
        <v>0</v>
      </c>
      <c r="CR78" s="329">
        <v>-195</v>
      </c>
      <c r="CS78" s="329">
        <v>0</v>
      </c>
      <c r="CT78" s="331">
        <f t="shared" si="492"/>
        <v>-195</v>
      </c>
      <c r="CU78" s="329">
        <v>0</v>
      </c>
      <c r="CV78" s="329">
        <v>0</v>
      </c>
      <c r="CW78" s="329">
        <v>-1388</v>
      </c>
      <c r="CX78" s="329">
        <f>-SUM(CX71:CX77)*CX55</f>
        <v>0</v>
      </c>
      <c r="CY78" s="331">
        <f t="shared" si="493"/>
        <v>-1388</v>
      </c>
      <c r="CZ78" s="329">
        <f>-SUM(CZ71:CZ77)*CZ55</f>
        <v>0</v>
      </c>
      <c r="DA78" s="329">
        <f>-SUM(DA71:DA77)*DA55</f>
        <v>0</v>
      </c>
      <c r="DB78" s="329">
        <f>-SUM(DB71:DB77)*DB55</f>
        <v>-188.11271008403364</v>
      </c>
      <c r="DC78" s="329">
        <f>1097-DC54</f>
        <v>-63.170000000000073</v>
      </c>
      <c r="DD78" s="331">
        <f t="shared" si="494"/>
        <v>-251.28271008403371</v>
      </c>
      <c r="DE78" s="329">
        <v>0</v>
      </c>
      <c r="DF78" s="329">
        <v>0</v>
      </c>
      <c r="DG78" s="329">
        <f>-SUM(DG71:DG77)*DG55</f>
        <v>0</v>
      </c>
      <c r="DH78" s="329">
        <f>-SUM(DH71:DH77)*DH55</f>
        <v>0</v>
      </c>
      <c r="DI78" s="331">
        <f t="shared" si="495"/>
        <v>0</v>
      </c>
      <c r="DJ78" s="329">
        <f>-SUM(DJ71:DJ77)*DJ55</f>
        <v>0</v>
      </c>
      <c r="DK78" s="329">
        <f>-SUM(DK71:DK77)*DK55</f>
        <v>0</v>
      </c>
      <c r="DL78" s="329">
        <f>-SUM(DL71:DL77)*DL55</f>
        <v>0</v>
      </c>
      <c r="DM78" s="329">
        <f>-SUM(DM71:DM77)*DM55</f>
        <v>0</v>
      </c>
      <c r="DN78" s="331">
        <f t="shared" si="496"/>
        <v>0</v>
      </c>
      <c r="DO78" s="329">
        <f>-SUM(DO71:DO77)*DO55</f>
        <v>0</v>
      </c>
      <c r="DP78" s="329">
        <f>-SUM(DP71:DP77)*DP55</f>
        <v>0</v>
      </c>
      <c r="DQ78" s="329">
        <f>-SUM(DQ71:DQ77)*DQ55</f>
        <v>0</v>
      </c>
      <c r="DR78" s="1114">
        <v>0</v>
      </c>
      <c r="DS78" s="331">
        <f t="shared" si="497"/>
        <v>0</v>
      </c>
      <c r="DT78" s="329">
        <f>-SUM(DT71:DT77)*DT55</f>
        <v>0</v>
      </c>
      <c r="DU78" s="329">
        <f>-SUM(DU71:DU77)*DU55</f>
        <v>0</v>
      </c>
      <c r="DV78" s="329">
        <f>-SUM(DV71:DV77)*DV55</f>
        <v>0</v>
      </c>
      <c r="DW78" s="329">
        <f>-SUM(DW71:DW77)*DW55</f>
        <v>0</v>
      </c>
      <c r="DX78" s="331">
        <f>SUM(DT78:DW78)</f>
        <v>0</v>
      </c>
      <c r="DY78" s="329">
        <f>-SUM(DY71:DY77)*DY55</f>
        <v>0</v>
      </c>
      <c r="DZ78" s="329">
        <f>-SUM(DZ71:DZ77)*DZ55</f>
        <v>0</v>
      </c>
      <c r="EA78" s="329">
        <f>-SUM(EA71:EA77)*EA55</f>
        <v>0</v>
      </c>
      <c r="EB78" s="329">
        <f>-SUM(EB71:EB77)*EB55</f>
        <v>0</v>
      </c>
      <c r="EC78" s="331">
        <f>SUM(DY78:EB78)</f>
        <v>0</v>
      </c>
      <c r="ED78" s="329">
        <v>0</v>
      </c>
      <c r="EE78" s="329">
        <v>0</v>
      </c>
      <c r="EF78" s="329">
        <v>0</v>
      </c>
      <c r="EG78" s="329">
        <v>0</v>
      </c>
      <c r="EH78" s="331">
        <f>SUM(ED78:EG78)</f>
        <v>0</v>
      </c>
      <c r="EI78" s="2702">
        <v>0</v>
      </c>
      <c r="EJ78" s="2702">
        <v>0</v>
      </c>
      <c r="EK78" s="2702">
        <v>0</v>
      </c>
      <c r="EL78" s="2702">
        <v>-215</v>
      </c>
      <c r="EM78" s="2696">
        <f>SUM(EI78:EL78)</f>
        <v>-215</v>
      </c>
      <c r="EN78" s="2702">
        <v>0</v>
      </c>
      <c r="EO78" s="2702">
        <v>0</v>
      </c>
      <c r="EP78" s="2702">
        <v>0</v>
      </c>
      <c r="EQ78" s="2702">
        <v>-63</v>
      </c>
      <c r="ER78" s="2696">
        <f>SUM(EN78:EQ78)</f>
        <v>-63</v>
      </c>
      <c r="ES78" s="2702">
        <v>0</v>
      </c>
      <c r="ET78" s="2702">
        <v>13800</v>
      </c>
      <c r="EU78" s="2702">
        <v>0</v>
      </c>
      <c r="EV78" s="329">
        <f>-SUM(EV71:EV77)*EV55</f>
        <v>0</v>
      </c>
      <c r="EW78" s="331">
        <f>SUM(ES78:EV78)</f>
        <v>13800</v>
      </c>
      <c r="EX78" s="329">
        <f>-SUM(EX71:EX77)*EX55</f>
        <v>0</v>
      </c>
      <c r="EY78" s="329">
        <f>-SUM(EY71:EY77)*EY55</f>
        <v>0</v>
      </c>
      <c r="EZ78" s="329">
        <f>-SUM(EZ71:EZ77)*EZ55</f>
        <v>0</v>
      </c>
      <c r="FA78" s="329">
        <f>-SUM(FA71:FA77)*FA55</f>
        <v>0</v>
      </c>
      <c r="FB78" s="331">
        <f>SUM(EX78:FA78)</f>
        <v>0</v>
      </c>
      <c r="FC78" s="329">
        <f>-SUM(FC71:FC77)*FC55</f>
        <v>0</v>
      </c>
      <c r="FD78" s="329">
        <f>-SUM(FD71:FD77)*FD55</f>
        <v>0</v>
      </c>
      <c r="FE78" s="329">
        <f>-SUM(FE71:FE77)*FE55</f>
        <v>0</v>
      </c>
      <c r="FF78" s="329">
        <f>-SUM(FF71:FF77)*FF55</f>
        <v>0</v>
      </c>
      <c r="FG78" s="331">
        <f>SUM(FC78:FF78)</f>
        <v>0</v>
      </c>
      <c r="FH78" s="329">
        <f>-SUM(FH71:FH77)*FH55</f>
        <v>0</v>
      </c>
      <c r="FI78" s="329">
        <f>-SUM(FI71:FI77)*FI55</f>
        <v>0</v>
      </c>
      <c r="FJ78" s="329">
        <f>-SUM(FJ71:FJ77)*FJ55</f>
        <v>0</v>
      </c>
      <c r="FK78" s="329">
        <f>-SUM(FK71:FK77)*FK55</f>
        <v>0</v>
      </c>
      <c r="FL78" s="331">
        <f>SUM(FH78:FK78)</f>
        <v>0</v>
      </c>
      <c r="FN78" s="330">
        <f t="shared" si="454"/>
        <v>-92.48</v>
      </c>
      <c r="FO78" s="330">
        <f t="shared" si="455"/>
        <v>0</v>
      </c>
      <c r="FP78" s="330">
        <f t="shared" si="456"/>
        <v>-1531.2</v>
      </c>
      <c r="FQ78" s="330">
        <f t="shared" si="457"/>
        <v>-195.3</v>
      </c>
      <c r="FR78" s="330">
        <f t="shared" si="458"/>
        <v>-990.33000000000015</v>
      </c>
      <c r="FS78" s="330">
        <f>CC78+CD78+CF78+CG78</f>
        <v>-1014</v>
      </c>
      <c r="FT78" s="330">
        <f t="shared" si="460"/>
        <v>-1670.39</v>
      </c>
      <c r="FU78" s="330">
        <f>CM78+CN78+CP78+CQ78</f>
        <v>-123.02999999999997</v>
      </c>
      <c r="FV78" s="330">
        <f t="shared" si="462"/>
        <v>-195</v>
      </c>
      <c r="FW78" s="330">
        <f t="shared" si="463"/>
        <v>-1388</v>
      </c>
      <c r="FX78" s="855">
        <f t="shared" si="464"/>
        <v>-251.28271008403371</v>
      </c>
      <c r="FY78" s="856">
        <f t="shared" si="465"/>
        <v>0</v>
      </c>
      <c r="FZ78" s="856">
        <f>SUM(DO78:DP78,DL78:DM78)</f>
        <v>0</v>
      </c>
      <c r="GA78" s="856">
        <f t="shared" si="466"/>
        <v>0</v>
      </c>
      <c r="GB78" s="856">
        <f t="shared" si="498"/>
        <v>0</v>
      </c>
      <c r="GC78" s="856">
        <f t="shared" si="467"/>
        <v>0</v>
      </c>
      <c r="GD78" s="856">
        <f t="shared" si="468"/>
        <v>0</v>
      </c>
      <c r="GE78" s="856">
        <f t="shared" si="469"/>
        <v>-215</v>
      </c>
      <c r="GF78" s="856">
        <f t="shared" si="470"/>
        <v>13737</v>
      </c>
      <c r="GG78" s="856">
        <f t="shared" si="471"/>
        <v>0</v>
      </c>
      <c r="GH78" s="856">
        <f t="shared" si="472"/>
        <v>0</v>
      </c>
      <c r="GI78" s="856">
        <f t="shared" si="473"/>
        <v>0</v>
      </c>
      <c r="GJ78" s="303"/>
      <c r="GK78" s="303"/>
      <c r="GL78" s="303"/>
      <c r="GN78"/>
      <c r="GO78"/>
      <c r="GP78"/>
      <c r="GQ78"/>
      <c r="GR78"/>
      <c r="GS78"/>
    </row>
    <row r="79" spans="1:201" s="307" customFormat="1" ht="11.25" customHeight="1" collapsed="1">
      <c r="A79" s="303" t="s">
        <v>334</v>
      </c>
      <c r="B79" s="303"/>
      <c r="C79" s="303"/>
      <c r="D79" s="329">
        <f t="shared" ref="D79:AI79" si="499">+D56-SUM(D71,D72,D73,D75,D77,D78,D74)</f>
        <v>37</v>
      </c>
      <c r="E79" s="329">
        <f t="shared" si="499"/>
        <v>46.705000000000013</v>
      </c>
      <c r="F79" s="329">
        <f t="shared" si="499"/>
        <v>41.203000000000003</v>
      </c>
      <c r="G79" s="329">
        <f t="shared" si="499"/>
        <v>46.405000000000001</v>
      </c>
      <c r="H79" s="331">
        <f t="shared" si="499"/>
        <v>171.31299999999993</v>
      </c>
      <c r="I79" s="329">
        <f t="shared" si="499"/>
        <v>50.122</v>
      </c>
      <c r="J79" s="329">
        <f t="shared" si="499"/>
        <v>73.704000000000008</v>
      </c>
      <c r="K79" s="329">
        <f t="shared" si="499"/>
        <v>74.873999999999995</v>
      </c>
      <c r="L79" s="329">
        <f t="shared" si="499"/>
        <v>80.485000000000014</v>
      </c>
      <c r="M79" s="331">
        <f t="shared" si="499"/>
        <v>279.18500000000006</v>
      </c>
      <c r="N79" s="329">
        <f t="shared" si="499"/>
        <v>87.399999999999977</v>
      </c>
      <c r="O79" s="329">
        <f t="shared" si="499"/>
        <v>112.5</v>
      </c>
      <c r="P79" s="329">
        <f t="shared" si="499"/>
        <v>124</v>
      </c>
      <c r="Q79" s="329">
        <f t="shared" si="499"/>
        <v>139</v>
      </c>
      <c r="R79" s="331">
        <f t="shared" si="499"/>
        <v>462.90000000000009</v>
      </c>
      <c r="S79" s="329">
        <f t="shared" si="499"/>
        <v>144</v>
      </c>
      <c r="T79" s="329">
        <f t="shared" si="499"/>
        <v>175</v>
      </c>
      <c r="U79" s="329">
        <f t="shared" si="499"/>
        <v>179</v>
      </c>
      <c r="V79" s="329">
        <f t="shared" si="499"/>
        <v>210.2</v>
      </c>
      <c r="W79" s="331">
        <f t="shared" si="499"/>
        <v>708.2</v>
      </c>
      <c r="X79" s="329">
        <f t="shared" si="499"/>
        <v>209</v>
      </c>
      <c r="Y79" s="329">
        <f t="shared" si="499"/>
        <v>236</v>
      </c>
      <c r="Z79" s="329">
        <f t="shared" si="499"/>
        <v>243</v>
      </c>
      <c r="AA79" s="329">
        <f t="shared" si="499"/>
        <v>265</v>
      </c>
      <c r="AB79" s="331">
        <f t="shared" si="499"/>
        <v>953</v>
      </c>
      <c r="AC79" s="329">
        <f t="shared" si="499"/>
        <v>239</v>
      </c>
      <c r="AD79" s="329">
        <f t="shared" si="499"/>
        <v>289</v>
      </c>
      <c r="AE79" s="329">
        <f t="shared" si="499"/>
        <v>256</v>
      </c>
      <c r="AF79" s="329">
        <f t="shared" si="499"/>
        <v>362</v>
      </c>
      <c r="AG79" s="331">
        <f t="shared" si="499"/>
        <v>1146</v>
      </c>
      <c r="AH79" s="329">
        <f t="shared" si="499"/>
        <v>316</v>
      </c>
      <c r="AI79" s="329">
        <f t="shared" si="499"/>
        <v>373</v>
      </c>
      <c r="AJ79" s="329">
        <f t="shared" ref="AJ79:BO79" si="500">+AJ56-SUM(AJ71,AJ72,AJ73,AJ75,AJ77,AJ78,AJ74)</f>
        <v>396</v>
      </c>
      <c r="AK79" s="329">
        <f t="shared" si="500"/>
        <v>322</v>
      </c>
      <c r="AL79" s="331">
        <f t="shared" si="500"/>
        <v>1407</v>
      </c>
      <c r="AM79" s="329">
        <f t="shared" si="500"/>
        <v>499</v>
      </c>
      <c r="AN79" s="329">
        <f t="shared" si="500"/>
        <v>575</v>
      </c>
      <c r="AO79" s="329">
        <f t="shared" si="500"/>
        <v>562</v>
      </c>
      <c r="AP79" s="329">
        <f t="shared" si="500"/>
        <v>559</v>
      </c>
      <c r="AQ79" s="331">
        <f t="shared" si="500"/>
        <v>2195</v>
      </c>
      <c r="AR79" s="329">
        <f t="shared" si="500"/>
        <v>614</v>
      </c>
      <c r="AS79" s="329">
        <f t="shared" si="500"/>
        <v>741</v>
      </c>
      <c r="AT79" s="329">
        <f t="shared" si="500"/>
        <v>1042</v>
      </c>
      <c r="AU79" s="329">
        <f t="shared" si="500"/>
        <v>1057</v>
      </c>
      <c r="AV79" s="331">
        <f t="shared" si="500"/>
        <v>3454</v>
      </c>
      <c r="AW79" s="329">
        <f t="shared" si="500"/>
        <v>663</v>
      </c>
      <c r="AX79" s="329">
        <f t="shared" si="500"/>
        <v>1133</v>
      </c>
      <c r="AY79" s="329">
        <f t="shared" si="500"/>
        <v>1337</v>
      </c>
      <c r="AZ79" s="329">
        <f t="shared" si="500"/>
        <v>1357</v>
      </c>
      <c r="BA79" s="331">
        <f t="shared" si="500"/>
        <v>4490</v>
      </c>
      <c r="BB79" s="329">
        <f t="shared" si="500"/>
        <v>1683</v>
      </c>
      <c r="BC79" s="329">
        <f t="shared" si="500"/>
        <v>1983</v>
      </c>
      <c r="BD79" s="329">
        <f t="shared" si="500"/>
        <v>1917</v>
      </c>
      <c r="BE79" s="329">
        <f t="shared" si="500"/>
        <v>2202</v>
      </c>
      <c r="BF79" s="331">
        <f t="shared" si="500"/>
        <v>7785</v>
      </c>
      <c r="BG79" s="329">
        <f t="shared" si="500"/>
        <v>2191</v>
      </c>
      <c r="BH79" s="329">
        <f t="shared" si="500"/>
        <v>2436</v>
      </c>
      <c r="BI79" s="329">
        <f t="shared" si="500"/>
        <v>2385</v>
      </c>
      <c r="BJ79" s="329">
        <f t="shared" si="500"/>
        <v>2409</v>
      </c>
      <c r="BK79" s="331">
        <f t="shared" si="500"/>
        <v>9421</v>
      </c>
      <c r="BL79" s="329">
        <f t="shared" si="500"/>
        <v>2206</v>
      </c>
      <c r="BM79" s="329">
        <f t="shared" si="500"/>
        <v>2624</v>
      </c>
      <c r="BN79" s="329">
        <f t="shared" si="500"/>
        <v>2451</v>
      </c>
      <c r="BO79" s="329">
        <f t="shared" si="500"/>
        <v>65</v>
      </c>
      <c r="BP79" s="331">
        <f t="shared" ref="BP79:CN79" si="501">+BP56-SUM(BP71,BP72,BP73,BP75,BP77,BP78,BP74)</f>
        <v>7346</v>
      </c>
      <c r="BQ79" s="329">
        <f t="shared" si="501"/>
        <v>1283</v>
      </c>
      <c r="BR79" s="329">
        <f t="shared" si="501"/>
        <v>2283</v>
      </c>
      <c r="BS79" s="329">
        <f t="shared" si="501"/>
        <v>2738</v>
      </c>
      <c r="BT79" s="329">
        <f t="shared" si="501"/>
        <v>1525</v>
      </c>
      <c r="BU79" s="331">
        <f t="shared" si="501"/>
        <v>7828.9999999999991</v>
      </c>
      <c r="BV79" s="329">
        <f t="shared" si="501"/>
        <v>2041</v>
      </c>
      <c r="BW79" s="329">
        <f t="shared" si="501"/>
        <v>1865</v>
      </c>
      <c r="BX79" s="329">
        <f t="shared" si="501"/>
        <v>2141.9899999999998</v>
      </c>
      <c r="BY79" s="329">
        <f t="shared" si="501"/>
        <v>1483.3799999999999</v>
      </c>
      <c r="BZ79" s="331">
        <f t="shared" si="501"/>
        <v>7531.369999999999</v>
      </c>
      <c r="CA79" s="329">
        <f t="shared" si="501"/>
        <v>2614</v>
      </c>
      <c r="CB79" s="329">
        <f t="shared" si="501"/>
        <v>1549.04</v>
      </c>
      <c r="CC79" s="329">
        <f t="shared" si="501"/>
        <v>1315</v>
      </c>
      <c r="CD79" s="329">
        <f t="shared" si="501"/>
        <v>2689</v>
      </c>
      <c r="CE79" s="331">
        <f t="shared" si="501"/>
        <v>8167.0399999999991</v>
      </c>
      <c r="CF79" s="329">
        <f t="shared" si="501"/>
        <v>2528</v>
      </c>
      <c r="CG79" s="329">
        <f t="shared" si="501"/>
        <v>3463</v>
      </c>
      <c r="CH79" s="329">
        <f t="shared" si="501"/>
        <v>2563</v>
      </c>
      <c r="CI79" s="329">
        <f t="shared" si="501"/>
        <v>3700</v>
      </c>
      <c r="CJ79" s="331">
        <f t="shared" si="501"/>
        <v>12254</v>
      </c>
      <c r="CK79" s="329">
        <f t="shared" si="501"/>
        <v>3141</v>
      </c>
      <c r="CL79" s="329">
        <f t="shared" si="501"/>
        <v>3654</v>
      </c>
      <c r="CM79" s="329">
        <f t="shared" si="501"/>
        <v>2978</v>
      </c>
      <c r="CN79" s="329">
        <f t="shared" si="501"/>
        <v>2830</v>
      </c>
      <c r="CO79" s="331">
        <f t="shared" ref="CO79:CZ79" si="502">+CO56-SUM(CO71,CO72,CO73,CO75,CO77,CO78,CO74)</f>
        <v>12603</v>
      </c>
      <c r="CP79" s="329">
        <f t="shared" si="502"/>
        <v>3478</v>
      </c>
      <c r="CQ79" s="329">
        <f t="shared" si="502"/>
        <v>2626</v>
      </c>
      <c r="CR79" s="329">
        <f t="shared" si="502"/>
        <v>4926</v>
      </c>
      <c r="CS79" s="329">
        <f t="shared" si="502"/>
        <v>3035</v>
      </c>
      <c r="CT79" s="331">
        <f t="shared" si="502"/>
        <v>14065</v>
      </c>
      <c r="CU79" s="329">
        <f t="shared" si="502"/>
        <v>4289</v>
      </c>
      <c r="CV79" s="329">
        <f t="shared" si="502"/>
        <v>4707</v>
      </c>
      <c r="CW79" s="329">
        <f t="shared" si="502"/>
        <v>4388</v>
      </c>
      <c r="CX79" s="329">
        <f>+CX56-SUM(CX71,CX72,CX73,CX75,CX77,CX78,CX74)</f>
        <v>4297</v>
      </c>
      <c r="CY79" s="331">
        <f t="shared" si="502"/>
        <v>17681</v>
      </c>
      <c r="CZ79" s="329">
        <f t="shared" si="502"/>
        <v>4373</v>
      </c>
      <c r="DA79" s="329">
        <f t="shared" ref="DA79:DI79" si="503">+DA56-SUM(DA71,DA72,DA73,DA75,DA77,DA78,DA74)</f>
        <v>4174</v>
      </c>
      <c r="DB79" s="329">
        <f t="shared" si="503"/>
        <v>2976.9627100840335</v>
      </c>
      <c r="DC79" s="329">
        <f>+DC56-SUM(DC71,DC72,DC73,DC75,DC77,DC78,DC74,DC76)</f>
        <v>3045</v>
      </c>
      <c r="DD79" s="331">
        <f>+DD56-SUM(DD71,DD72,DD73,DD75,DD77,DD78,DD74,DD76)</f>
        <v>14568.962710084033</v>
      </c>
      <c r="DE79" s="329">
        <f t="shared" si="503"/>
        <v>3574</v>
      </c>
      <c r="DF79" s="329">
        <f t="shared" si="503"/>
        <v>6662</v>
      </c>
      <c r="DG79" s="329">
        <f>+DG56-SUM(DG71,DG72,DG73,DG75,DG77,DG78,DG74)</f>
        <v>4006</v>
      </c>
      <c r="DH79" s="329">
        <f t="shared" si="503"/>
        <v>4518</v>
      </c>
      <c r="DI79" s="331">
        <f t="shared" si="503"/>
        <v>18760</v>
      </c>
      <c r="DJ79" s="329">
        <f t="shared" ref="DJ79:DS79" si="504">+DJ56-SUM(DJ71,DJ72,DJ73,DJ75,DJ77,DJ78,DJ74)</f>
        <v>5410</v>
      </c>
      <c r="DK79" s="329">
        <f t="shared" si="504"/>
        <v>6634</v>
      </c>
      <c r="DL79" s="329">
        <f t="shared" si="504"/>
        <v>5232</v>
      </c>
      <c r="DM79" s="329">
        <f t="shared" si="504"/>
        <v>5872.4399999999987</v>
      </c>
      <c r="DN79" s="331">
        <f t="shared" si="504"/>
        <v>23148.440000000002</v>
      </c>
      <c r="DO79" s="329">
        <f t="shared" si="504"/>
        <v>5738</v>
      </c>
      <c r="DP79" s="329">
        <f t="shared" si="504"/>
        <v>6624</v>
      </c>
      <c r="DQ79" s="329">
        <f t="shared" si="504"/>
        <v>5108</v>
      </c>
      <c r="DR79" s="329">
        <f t="shared" si="504"/>
        <v>-492</v>
      </c>
      <c r="DS79" s="331">
        <f t="shared" si="504"/>
        <v>16978</v>
      </c>
      <c r="DT79" s="329">
        <f t="shared" ref="DT79:EC79" si="505">+DT56-SUM(DT71,DT72,DT73,DT75,DT77,DT78,DT74)</f>
        <v>4466</v>
      </c>
      <c r="DU79" s="329">
        <f>+DU56-SUM(DU71,DU72,DU73,DU75,DU77,DU78,DU74)</f>
        <v>6377</v>
      </c>
      <c r="DV79" s="329">
        <f t="shared" si="505"/>
        <v>6788</v>
      </c>
      <c r="DW79" s="329">
        <f t="shared" si="505"/>
        <v>4965</v>
      </c>
      <c r="DX79" s="331">
        <f t="shared" si="505"/>
        <v>21863</v>
      </c>
      <c r="DY79" s="329">
        <f t="shared" si="505"/>
        <v>5244</v>
      </c>
      <c r="DZ79" s="329">
        <f t="shared" si="505"/>
        <v>6558</v>
      </c>
      <c r="EA79" s="329">
        <f t="shared" si="505"/>
        <v>5660</v>
      </c>
      <c r="EB79" s="329">
        <f t="shared" si="505"/>
        <v>4739</v>
      </c>
      <c r="EC79" s="331">
        <f t="shared" si="505"/>
        <v>22181.084999999999</v>
      </c>
      <c r="ED79" s="329">
        <f t="shared" ref="ED79:EH79" si="506">+ED56-SUM(ED71,ED72,ED73,ED75,ED77,ED78,ED74)</f>
        <v>4296</v>
      </c>
      <c r="EE79" s="329">
        <f>+EE56-SUM(EE71,EE72,EE73,EE75,EE77,EE78,EE74)</f>
        <v>5537</v>
      </c>
      <c r="EF79" s="329">
        <f t="shared" si="506"/>
        <v>4985</v>
      </c>
      <c r="EG79" s="329">
        <f t="shared" si="506"/>
        <v>-3195</v>
      </c>
      <c r="EH79" s="331">
        <f t="shared" si="506"/>
        <v>11623</v>
      </c>
      <c r="EI79" s="2702">
        <f>+EI56-SUM(EI71,EI72,EI73,EI75,EI77,EI78,EI74)</f>
        <v>5068.75</v>
      </c>
      <c r="EJ79" s="2702">
        <f>+EJ56-SUM(EJ71,EJ72,EJ73,EJ75,EJ77,EJ78,EJ74)</f>
        <v>5937.75</v>
      </c>
      <c r="EK79" s="2702">
        <f t="shared" ref="EK79:EL79" si="507">+EK56-SUM(EK71,EK72,EK73,EK75,EK77,EK78,EK74)</f>
        <v>4304.51</v>
      </c>
      <c r="EL79" s="2702">
        <f t="shared" si="507"/>
        <v>5226.75</v>
      </c>
      <c r="EM79" s="2696">
        <f>SUM(EI79:EL79)</f>
        <v>20537.760000000002</v>
      </c>
      <c r="EN79" s="2702">
        <f>+EN56-SUM(EN71,EN72,EN73,EN75,EN77,EN78,EN74)</f>
        <v>5667</v>
      </c>
      <c r="EO79" s="2702">
        <f>+EO56-SUM(EO71,EO72,EO73,EO75,EO77,EO78,EO74)</f>
        <v>6267</v>
      </c>
      <c r="EP79" s="2702">
        <f t="shared" ref="EP79:ER79" si="508">+EP56-SUM(EP71,EP72,EP73,EP75,EP77,EP78,EP74)</f>
        <v>5486</v>
      </c>
      <c r="EQ79" s="2702">
        <f t="shared" si="508"/>
        <v>8069</v>
      </c>
      <c r="ER79" s="2696">
        <f t="shared" si="508"/>
        <v>25489</v>
      </c>
      <c r="ES79" s="2702">
        <f>+ES56-SUM(ES71,ES72,ES73,ES75,ES77,ES78,ES74)</f>
        <v>6576</v>
      </c>
      <c r="ET79" s="2702">
        <f>+ET56-SUM(ET71,ET72,ET73,ET75,ET77,ET78,ET74)</f>
        <v>-6302</v>
      </c>
      <c r="EU79" s="2702">
        <f t="shared" ref="EU79" si="509">+EU56-SUM(EU71,EU72,EU73,EU75,EU77,EU78,EU74)</f>
        <v>7424</v>
      </c>
      <c r="EV79" s="329">
        <f t="shared" ref="EU79:EW79" si="510">+EV56-SUM(EV71,EV72,EV73,EV75,EV77,EV78,EV74)</f>
        <v>8388.9370269393221</v>
      </c>
      <c r="EW79" s="331">
        <f t="shared" si="510"/>
        <v>16086.937026939315</v>
      </c>
      <c r="EX79" s="329">
        <f t="shared" ref="EX79:FG79" si="511">+EX56-SUM(EX71,EX72,EX73,EX75,EX77,EX78,EX74)</f>
        <v>7170.6419162524844</v>
      </c>
      <c r="EY79" s="329">
        <f t="shared" si="511"/>
        <v>8063.472111940403</v>
      </c>
      <c r="EZ79" s="329">
        <f t="shared" si="511"/>
        <v>7725.1654268065085</v>
      </c>
      <c r="FA79" s="329">
        <f t="shared" si="511"/>
        <v>8855.0560762888072</v>
      </c>
      <c r="FB79" s="331">
        <f t="shared" si="511"/>
        <v>31814.33553128819</v>
      </c>
      <c r="FC79" s="329">
        <f t="shared" si="511"/>
        <v>8402.3315887455719</v>
      </c>
      <c r="FD79" s="329">
        <f t="shared" si="511"/>
        <v>9459.3106979844997</v>
      </c>
      <c r="FE79" s="329">
        <f t="shared" si="511"/>
        <v>9294.666359668312</v>
      </c>
      <c r="FF79" s="329">
        <f t="shared" si="511"/>
        <v>10548.178485124954</v>
      </c>
      <c r="FG79" s="331">
        <f t="shared" si="511"/>
        <v>37704.487131523339</v>
      </c>
      <c r="FH79" s="329">
        <f t="shared" ref="FH79:FL79" si="512">+FH56-SUM(FH71,FH72,FH73,FH75,FH77,FH78,FH74)</f>
        <v>9749.1858782686559</v>
      </c>
      <c r="FI79" s="329">
        <f t="shared" si="512"/>
        <v>10902.311009867381</v>
      </c>
      <c r="FJ79" s="329">
        <f t="shared" si="512"/>
        <v>10837.814046979547</v>
      </c>
      <c r="FK79" s="329">
        <f t="shared" si="512"/>
        <v>12197.718453533422</v>
      </c>
      <c r="FL79" s="331">
        <f t="shared" si="512"/>
        <v>43687.029388649018</v>
      </c>
      <c r="FN79" s="330">
        <f t="shared" ref="FN79:GA79" si="513">+FN56-SUM(FN71,FN72,FN73,FN75,FN77,FN78,FN74)</f>
        <v>8746</v>
      </c>
      <c r="FO79" s="330">
        <f t="shared" si="513"/>
        <v>9624</v>
      </c>
      <c r="FP79" s="330">
        <f t="shared" si="513"/>
        <v>6082</v>
      </c>
      <c r="FQ79" s="330">
        <f t="shared" si="513"/>
        <v>8169</v>
      </c>
      <c r="FR79" s="330">
        <f t="shared" si="513"/>
        <v>7788.41</v>
      </c>
      <c r="FS79" s="330">
        <f t="shared" si="513"/>
        <v>9995</v>
      </c>
      <c r="FT79" s="330">
        <f t="shared" si="513"/>
        <v>13058</v>
      </c>
      <c r="FU79" s="330">
        <f t="shared" si="513"/>
        <v>11912.000000000002</v>
      </c>
      <c r="FV79" s="330">
        <f t="shared" si="513"/>
        <v>16957</v>
      </c>
      <c r="FW79" s="330">
        <f t="shared" si="513"/>
        <v>17232</v>
      </c>
      <c r="FX79" s="855">
        <f t="shared" si="513"/>
        <v>16152.962710084033</v>
      </c>
      <c r="FY79" s="856">
        <f t="shared" si="513"/>
        <v>20568</v>
      </c>
      <c r="FZ79" s="856">
        <f t="shared" si="513"/>
        <v>23466.440000000002</v>
      </c>
      <c r="GA79" s="856">
        <f t="shared" si="513"/>
        <v>15459</v>
      </c>
      <c r="GB79" s="856">
        <f t="shared" ref="GB79:GG79" si="514">+GB56-SUM(GB71,GB72,GB73,GB75,GB77,GB78,GB74)</f>
        <v>23555</v>
      </c>
      <c r="GC79" s="856">
        <f t="shared" si="514"/>
        <v>20232</v>
      </c>
      <c r="GD79" s="856">
        <f t="shared" si="514"/>
        <v>12796.5</v>
      </c>
      <c r="GE79" s="856">
        <f t="shared" si="514"/>
        <v>21465.260000000002</v>
      </c>
      <c r="GF79" s="856">
        <f t="shared" si="514"/>
        <v>13829</v>
      </c>
      <c r="GG79" s="856">
        <f t="shared" si="514"/>
        <v>31047.051055132204</v>
      </c>
      <c r="GH79" s="856">
        <f t="shared" ref="GH79" si="515">+GH56-SUM(GH71,GH72,GH73,GH75,GH77,GH78,GH74)</f>
        <v>34441.863789825395</v>
      </c>
      <c r="GI79" s="856">
        <f t="shared" ref="GI79" si="516">+GI56-SUM(GI71,GI72,GI73,GI75,GI77,GI78,GI74)</f>
        <v>40494.341732929308</v>
      </c>
      <c r="GJ79" s="303"/>
      <c r="GK79" s="303"/>
      <c r="GL79" s="303"/>
      <c r="GN79"/>
      <c r="GO79"/>
      <c r="GP79"/>
      <c r="GQ79"/>
      <c r="GR79"/>
      <c r="GS79"/>
    </row>
    <row r="80" spans="1:201" s="353" customFormat="1" ht="11.25" customHeight="1">
      <c r="A80" s="367" t="s">
        <v>688</v>
      </c>
      <c r="B80" s="367"/>
      <c r="C80" s="367"/>
      <c r="D80" s="368" t="str">
        <f t="shared" ref="D80:AI80" si="517">IF(ISERROR(IF(D79&lt;0,D79/D$89,D79/D$90)),"--",IF(D79&lt;0,D79/D$89,D79/D$90))</f>
        <v>--</v>
      </c>
      <c r="E80" s="368" t="str">
        <f t="shared" si="517"/>
        <v>--</v>
      </c>
      <c r="F80" s="368" t="str">
        <f t="shared" si="517"/>
        <v>--</v>
      </c>
      <c r="G80" s="368" t="str">
        <f t="shared" si="517"/>
        <v>--</v>
      </c>
      <c r="H80" s="369">
        <f t="shared" si="517"/>
        <v>2.1076894685039361E-2</v>
      </c>
      <c r="I80" s="368" t="str">
        <f t="shared" si="517"/>
        <v>--</v>
      </c>
      <c r="J80" s="368" t="str">
        <f t="shared" si="517"/>
        <v>--</v>
      </c>
      <c r="K80" s="368" t="str">
        <f t="shared" si="517"/>
        <v>--</v>
      </c>
      <c r="L80" s="368" t="str">
        <f t="shared" si="517"/>
        <v>--</v>
      </c>
      <c r="M80" s="369">
        <f t="shared" si="517"/>
        <v>3.2433201672862462E-2</v>
      </c>
      <c r="N80" s="368" t="str">
        <f t="shared" si="517"/>
        <v>--</v>
      </c>
      <c r="O80" s="368" t="str">
        <f t="shared" si="517"/>
        <v>--</v>
      </c>
      <c r="P80" s="368" t="str">
        <f t="shared" si="517"/>
        <v>--</v>
      </c>
      <c r="Q80" s="368" t="str">
        <f t="shared" si="517"/>
        <v>--</v>
      </c>
      <c r="R80" s="369">
        <f t="shared" si="517"/>
        <v>5.12965425531915E-2</v>
      </c>
      <c r="S80" s="368" t="str">
        <f t="shared" si="517"/>
        <v>--</v>
      </c>
      <c r="T80" s="368" t="str">
        <f t="shared" si="517"/>
        <v>--</v>
      </c>
      <c r="U80" s="368" t="str">
        <f t="shared" si="517"/>
        <v>--</v>
      </c>
      <c r="V80" s="368" t="str">
        <f t="shared" si="517"/>
        <v>--</v>
      </c>
      <c r="W80" s="369">
        <f t="shared" si="517"/>
        <v>7.5276360544217685E-2</v>
      </c>
      <c r="X80" s="368" t="str">
        <f t="shared" si="517"/>
        <v>--</v>
      </c>
      <c r="Y80" s="368" t="str">
        <f t="shared" si="517"/>
        <v>--</v>
      </c>
      <c r="Z80" s="368" t="str">
        <f t="shared" si="517"/>
        <v>--</v>
      </c>
      <c r="AA80" s="368" t="str">
        <f t="shared" si="517"/>
        <v>--</v>
      </c>
      <c r="AB80" s="369">
        <f t="shared" si="517"/>
        <v>9.8287953795379537E-2</v>
      </c>
      <c r="AC80" s="368" t="str">
        <f t="shared" si="517"/>
        <v>--</v>
      </c>
      <c r="AD80" s="368" t="str">
        <f t="shared" si="517"/>
        <v>--</v>
      </c>
      <c r="AE80" s="368" t="str">
        <f t="shared" si="517"/>
        <v>--</v>
      </c>
      <c r="AF80" s="368">
        <f t="shared" si="517"/>
        <v>3.7090163934426226E-2</v>
      </c>
      <c r="AG80" s="369">
        <f t="shared" si="517"/>
        <v>0.11741803278688524</v>
      </c>
      <c r="AH80" s="368">
        <f t="shared" si="517"/>
        <v>3.1752411575562703E-2</v>
      </c>
      <c r="AI80" s="368">
        <f t="shared" si="517"/>
        <v>3.73E-2</v>
      </c>
      <c r="AJ80" s="368">
        <f t="shared" ref="AJ80:BO80" si="518">IF(ISERROR(IF(AJ79&lt;0,AJ79/AJ$89,AJ79/AJ$90)),"--",IF(AJ79&lt;0,AJ79/AJ$89,AJ79/AJ$90))</f>
        <v>3.9536741214057508E-2</v>
      </c>
      <c r="AK80" s="368">
        <f t="shared" si="518"/>
        <v>3.2097288676236048E-2</v>
      </c>
      <c r="AL80" s="369">
        <f t="shared" si="518"/>
        <v>0.14025119617224879</v>
      </c>
      <c r="AM80" s="368">
        <f t="shared" si="518"/>
        <v>4.8730468749999999E-2</v>
      </c>
      <c r="AN80" s="368">
        <f t="shared" si="518"/>
        <v>5.6328369905956112E-2</v>
      </c>
      <c r="AO80" s="368">
        <f t="shared" si="518"/>
        <v>5.4968701095461661E-2</v>
      </c>
      <c r="AP80" s="368">
        <f t="shared" si="518"/>
        <v>5.4589843749999999E-2</v>
      </c>
      <c r="AQ80" s="369">
        <f t="shared" si="518"/>
        <v>0.21418813427010147</v>
      </c>
      <c r="AR80" s="368">
        <f t="shared" si="518"/>
        <v>5.9312210200927355E-2</v>
      </c>
      <c r="AS80" s="368">
        <f t="shared" si="518"/>
        <v>7.103144171779141E-2</v>
      </c>
      <c r="AT80" s="368">
        <f t="shared" si="518"/>
        <v>9.8786499810390602E-2</v>
      </c>
      <c r="AU80" s="368">
        <f t="shared" si="518"/>
        <v>9.7653362897265339E-2</v>
      </c>
      <c r="AV80" s="369">
        <f t="shared" si="518"/>
        <v>0.32932875667429445</v>
      </c>
      <c r="AW80" s="368">
        <f t="shared" si="518"/>
        <v>6.2195121951219512E-2</v>
      </c>
      <c r="AX80" s="368">
        <f t="shared" si="518"/>
        <v>0.10620547431571054</v>
      </c>
      <c r="AY80" s="368">
        <f t="shared" si="518"/>
        <v>0.12448789571694599</v>
      </c>
      <c r="AZ80" s="368">
        <f t="shared" si="518"/>
        <v>0.125</v>
      </c>
      <c r="BA80" s="369">
        <f t="shared" si="518"/>
        <v>0.41868705706825809</v>
      </c>
      <c r="BB80" s="368">
        <f t="shared" si="518"/>
        <v>0.15485829959514169</v>
      </c>
      <c r="BC80" s="368">
        <f t="shared" si="518"/>
        <v>0.18159340659340659</v>
      </c>
      <c r="BD80" s="368">
        <f t="shared" si="518"/>
        <v>0.17389332365747459</v>
      </c>
      <c r="BE80" s="368">
        <f t="shared" si="518"/>
        <v>0.19942039485600435</v>
      </c>
      <c r="BF80" s="369">
        <f t="shared" si="518"/>
        <v>0.710051076249544</v>
      </c>
      <c r="BG80" s="368">
        <f t="shared" si="518"/>
        <v>0.19820879319703275</v>
      </c>
      <c r="BH80" s="368">
        <f t="shared" si="518"/>
        <v>0.2199349945828819</v>
      </c>
      <c r="BI80" s="368">
        <f t="shared" si="518"/>
        <v>0.21513620782969511</v>
      </c>
      <c r="BJ80" s="368">
        <f t="shared" si="518"/>
        <v>0.21753657215098429</v>
      </c>
      <c r="BK80" s="369">
        <f t="shared" si="518"/>
        <v>0.85088511560693647</v>
      </c>
      <c r="BL80" s="368">
        <f t="shared" si="518"/>
        <v>0.19848839301781537</v>
      </c>
      <c r="BM80" s="368">
        <f t="shared" si="518"/>
        <v>0.2355475763016158</v>
      </c>
      <c r="BN80" s="368">
        <f t="shared" si="518"/>
        <v>0.22029480496135179</v>
      </c>
      <c r="BO80" s="368">
        <f t="shared" si="518"/>
        <v>5.8118741058655219E-3</v>
      </c>
      <c r="BP80" s="369">
        <f t="shared" ref="BP80:CN80" si="519">IF(ISERROR(IF(BP79&lt;0,BP79/BP$89,BP79/BP$90)),"--",IF(BP79&lt;0,BP79/BP$89,BP79/BP$90))</f>
        <v>0.65895227843559379</v>
      </c>
      <c r="BQ80" s="368">
        <f t="shared" si="519"/>
        <v>0.11523262080114963</v>
      </c>
      <c r="BR80" s="368">
        <f t="shared" si="519"/>
        <v>0.20545356371490281</v>
      </c>
      <c r="BS80" s="368">
        <f t="shared" si="519"/>
        <v>0.24602390151855513</v>
      </c>
      <c r="BT80" s="368">
        <f t="shared" si="519"/>
        <v>0.13787180182623632</v>
      </c>
      <c r="BU80" s="369">
        <f t="shared" si="519"/>
        <v>0.70493426976409135</v>
      </c>
      <c r="BV80" s="368">
        <f t="shared" si="519"/>
        <v>0.18697325027482595</v>
      </c>
      <c r="BW80" s="368">
        <f t="shared" si="519"/>
        <v>0.17138393677632788</v>
      </c>
      <c r="BX80" s="368">
        <f t="shared" si="519"/>
        <v>0.19716402798232693</v>
      </c>
      <c r="BY80" s="368">
        <f t="shared" si="519"/>
        <v>0.13656600994292026</v>
      </c>
      <c r="BZ80" s="369">
        <f t="shared" si="519"/>
        <v>0.69209428413894492</v>
      </c>
      <c r="CA80" s="368">
        <f t="shared" si="519"/>
        <v>0.2401469912723932</v>
      </c>
      <c r="CB80" s="368">
        <f t="shared" si="519"/>
        <v>0.14212680062391045</v>
      </c>
      <c r="CC80" s="368">
        <f t="shared" si="519"/>
        <v>0.12113117170228445</v>
      </c>
      <c r="CD80" s="368">
        <f t="shared" si="519"/>
        <v>0.24751472754050075</v>
      </c>
      <c r="CE80" s="369">
        <f t="shared" si="519"/>
        <v>0.74968239397833658</v>
      </c>
      <c r="CF80" s="368">
        <f t="shared" si="519"/>
        <v>0.23150183150183151</v>
      </c>
      <c r="CG80" s="368">
        <f t="shared" si="519"/>
        <v>0.3160825118656444</v>
      </c>
      <c r="CH80" s="368">
        <f t="shared" si="519"/>
        <v>0.23447077120117099</v>
      </c>
      <c r="CI80" s="368">
        <f t="shared" si="519"/>
        <v>0.34199094186153989</v>
      </c>
      <c r="CJ80" s="369">
        <f t="shared" si="519"/>
        <v>1.123601687144691</v>
      </c>
      <c r="CK80" s="368">
        <f t="shared" si="519"/>
        <v>0.29158930560712959</v>
      </c>
      <c r="CL80" s="368">
        <f t="shared" si="519"/>
        <v>0.34348561759729274</v>
      </c>
      <c r="CM80" s="368">
        <f t="shared" si="519"/>
        <v>0.28593374939990396</v>
      </c>
      <c r="CN80" s="368">
        <f t="shared" si="519"/>
        <v>0.2759629449049244</v>
      </c>
      <c r="CO80" s="369">
        <f t="shared" ref="CO80:CZ80" si="520">IF(ISERROR(IF(CO79&lt;0,CO79/CO$89,CO79/CO$90)),"--",IF(CO79&lt;0,CO79/CO$89,CO79/CO$90))</f>
        <v>1.1967524451619029</v>
      </c>
      <c r="CP80" s="368">
        <f t="shared" si="520"/>
        <v>0.34745254745254744</v>
      </c>
      <c r="CQ80" s="368">
        <f t="shared" si="520"/>
        <v>0.26413196539931605</v>
      </c>
      <c r="CR80" s="368">
        <f t="shared" si="520"/>
        <v>0.49949300344757658</v>
      </c>
      <c r="CS80" s="368">
        <f t="shared" si="520"/>
        <v>0.31427979703841774</v>
      </c>
      <c r="CT80" s="369">
        <f t="shared" si="520"/>
        <v>1.4227189965607931</v>
      </c>
      <c r="CU80" s="368">
        <f t="shared" si="520"/>
        <v>0.45085672237990121</v>
      </c>
      <c r="CV80" s="368">
        <f t="shared" si="520"/>
        <v>0.49531726823108491</v>
      </c>
      <c r="CW80" s="368">
        <f t="shared" si="520"/>
        <v>0.46542214679677557</v>
      </c>
      <c r="CX80" s="368">
        <f t="shared" si="520"/>
        <v>0.45810234541577827</v>
      </c>
      <c r="CY80" s="369">
        <f t="shared" si="520"/>
        <v>1.8698181049069373</v>
      </c>
      <c r="CZ80" s="368">
        <f t="shared" si="520"/>
        <v>0.47620603288685615</v>
      </c>
      <c r="DA80" s="368">
        <f t="shared" ref="DA80:DI80" si="521">IF(ISERROR(IF(DA79&lt;0,DA79/DA$89,DA79/DA$90)),"--",IF(DA79&lt;0,DA79/DA$89,DA79/DA$90))</f>
        <v>0.46825218757011444</v>
      </c>
      <c r="DB80" s="368">
        <f t="shared" si="521"/>
        <v>0.33433992700853926</v>
      </c>
      <c r="DC80" s="368">
        <f t="shared" si="521"/>
        <v>0.34106182795698925</v>
      </c>
      <c r="DD80" s="369">
        <f t="shared" si="521"/>
        <v>1.6219725247108501</v>
      </c>
      <c r="DE80" s="368">
        <f t="shared" si="521"/>
        <v>0.39786262941110989</v>
      </c>
      <c r="DF80" s="368">
        <f t="shared" si="521"/>
        <v>0.74427438275053071</v>
      </c>
      <c r="DG80" s="368">
        <f t="shared" si="521"/>
        <v>0.45132942767012169</v>
      </c>
      <c r="DH80" s="368">
        <f t="shared" si="521"/>
        <v>0.5121868268903752</v>
      </c>
      <c r="DI80" s="369">
        <f t="shared" si="521"/>
        <v>2.1060312649097694</v>
      </c>
      <c r="DJ80" s="368">
        <f t="shared" ref="DJ80:DS80" si="522">IF(ISERROR(IF(DJ79&lt;0,DJ79/DJ$89,DJ79/DJ$90)),"--",IF(DJ79&lt;0,DJ79/DJ$89,DJ79/DJ$90))</f>
        <v>0.62219666474985624</v>
      </c>
      <c r="DK80" s="368">
        <f t="shared" si="522"/>
        <v>0.77409568261376893</v>
      </c>
      <c r="DL80" s="368">
        <f t="shared" si="522"/>
        <v>0.61480611045828437</v>
      </c>
      <c r="DM80" s="368">
        <f t="shared" si="522"/>
        <v>0.69397778303001634</v>
      </c>
      <c r="DN80" s="369">
        <f t="shared" si="522"/>
        <v>2.6998413809190578</v>
      </c>
      <c r="DO80" s="368">
        <f t="shared" si="522"/>
        <v>0.67585394581861014</v>
      </c>
      <c r="DP80" s="368">
        <f t="shared" si="522"/>
        <v>0.78251624335499115</v>
      </c>
      <c r="DQ80" s="368">
        <f t="shared" si="522"/>
        <v>0.60108260767239352</v>
      </c>
      <c r="DR80" s="368">
        <f t="shared" si="522"/>
        <v>-5.8655221745350504E-2</v>
      </c>
      <c r="DS80" s="369">
        <f t="shared" si="522"/>
        <v>2.0067964894654415</v>
      </c>
      <c r="DT80" s="368">
        <f t="shared" ref="DT80:EC80" si="523">IF(ISERROR(IF(DT79&lt;0,DT79/DT$89,DT79/DT$90)),"--",IF(DT79&lt;0,DT79/DT$89,DT79/DT$90))</f>
        <v>0.52578290558040974</v>
      </c>
      <c r="DU80" s="368">
        <f t="shared" si="523"/>
        <v>0.75521080056845102</v>
      </c>
      <c r="DV80" s="368">
        <f t="shared" si="523"/>
        <v>0.80531498398386525</v>
      </c>
      <c r="DW80" s="368">
        <f t="shared" si="523"/>
        <v>0.58813077469793884</v>
      </c>
      <c r="DX80" s="369">
        <f t="shared" si="523"/>
        <v>2.5866485255405367</v>
      </c>
      <c r="DY80" s="368">
        <f t="shared" si="523"/>
        <v>0.62176903011619633</v>
      </c>
      <c r="DZ80" s="368">
        <f t="shared" si="523"/>
        <v>0.7811792733770101</v>
      </c>
      <c r="EA80" s="368">
        <f t="shared" si="523"/>
        <v>0.6764670730249791</v>
      </c>
      <c r="EB80" s="368">
        <f t="shared" si="523"/>
        <v>0.56788496105452368</v>
      </c>
      <c r="EC80" s="369">
        <f t="shared" si="523"/>
        <v>2.6452502906890074</v>
      </c>
      <c r="ED80" s="368">
        <f t="shared" ref="ED80:EH80" si="524">IF(ISERROR(IF(ED79&lt;0,ED79/ED$89,ED79/ED$90)),"--",IF(ED79&lt;0,ED79/ED$89,ED79/ED$90))</f>
        <v>0.51442940965153872</v>
      </c>
      <c r="EE80" s="368">
        <f t="shared" si="524"/>
        <v>0.66734964444980116</v>
      </c>
      <c r="EF80" s="368">
        <f t="shared" si="524"/>
        <v>0.60519606652907609</v>
      </c>
      <c r="EG80" s="368">
        <f t="shared" si="524"/>
        <v>-0.39635280982508375</v>
      </c>
      <c r="EH80" s="369">
        <f t="shared" si="524"/>
        <v>1.4111576519152553</v>
      </c>
      <c r="EI80" s="2715">
        <f>IF(ISERROR(IF(EI79&lt;0,EI79/EI$89,EI79/EI$90)),"--",IF(EI79&lt;0,EI79/EI$89,EI79/EI$90))</f>
        <v>0.62701014349332018</v>
      </c>
      <c r="EJ80" s="2715">
        <f>IF(ISERROR(IF(EJ79&lt;0,EJ79/EJ$89,EJ79/EJ$90)),"--",IF(EJ79&lt;0,EJ79/EJ$89,EJ79/EJ$90))</f>
        <v>0.73751707862377347</v>
      </c>
      <c r="EK80" s="2715">
        <f t="shared" ref="EK80:EN80" si="525">IF(ISERROR(IF(EK79&lt;0,EK79/EK$89,EK79/EK$90)),"--",IF(EK79&lt;0,EK79/EK$89,EK79/EK$90))</f>
        <v>0.53907451471509082</v>
      </c>
      <c r="EL80" s="2715">
        <f>IF(ISERROR(IF(EL79&lt;0,EL79/EL$89,EL79/EL$90)),"--",IF(EL79&lt;0,EL79/EL$89,EL79/EL$90))</f>
        <v>0.65919409761634506</v>
      </c>
      <c r="EM80" s="2716">
        <f t="shared" si="525"/>
        <v>2.5632949546007677</v>
      </c>
      <c r="EN80" s="2715">
        <f t="shared" si="525"/>
        <v>0.71952767902488568</v>
      </c>
      <c r="EO80" s="2715">
        <f>IF(ISERROR(IF(EO79&lt;0,EO79/EO$89,EO79/EO$90)),"--",IF(EO79&lt;0,EO79/EO$89,EO79/EO$90))</f>
        <v>0.80038314176245207</v>
      </c>
      <c r="EP80" s="2715">
        <f t="shared" ref="EP80:ES80" si="526">IF(ISERROR(IF(EP79&lt;0,EP79/EP$89,EP79/EP$90)),"--",IF(EP79&lt;0,EP79/EP$89,EP79/EP$90))</f>
        <v>0.70216306156405994</v>
      </c>
      <c r="EQ80" s="2715">
        <f t="shared" si="526"/>
        <v>1.033692031770433</v>
      </c>
      <c r="ER80" s="2716">
        <f t="shared" si="526"/>
        <v>3.2547805267358338</v>
      </c>
      <c r="ES80" s="2715">
        <f t="shared" si="526"/>
        <v>0.84318502372098991</v>
      </c>
      <c r="ET80" s="2715">
        <f>IF(ISERROR(IF(ET79&lt;0,ET79/ET$89,ET79/ET$90)),"--",IF(ET79&lt;0,ET79/ET$89,ET79/ET$90))</f>
        <v>-0.81738002594033721</v>
      </c>
      <c r="EU80" s="2715">
        <f t="shared" ref="EU80" si="527">IF(ISERROR(IF(EU79&lt;0,EU79/EU$89,EU79/EU$90)),"--",IF(EU79&lt;0,EU79/EU$89,EU79/EU$90))</f>
        <v>0.95252758532204262</v>
      </c>
      <c r="EV80" s="368">
        <f t="shared" ref="EU80:EW80" si="528">IF(ISERROR(IF(EV79&lt;0,EV79/EV$89,EV79/EV$90)),"--",IF(EV79&lt;0,EV79/EV$89,EV79/EV$90))</f>
        <v>1.0800881982437422</v>
      </c>
      <c r="EW80" s="369">
        <f t="shared" si="528"/>
        <v>2.064419459406583</v>
      </c>
      <c r="EX80" s="368">
        <f t="shared" ref="EX80:FG80" si="529">IF(ISERROR(IF(EX79&lt;0,EX79/EX$89,EX79/EX$90)),"--",IF(EX79&lt;0,EX79/EX$89,EX79/EX$90))</f>
        <v>0.92410878261996798</v>
      </c>
      <c r="EY80" s="368">
        <f t="shared" si="529"/>
        <v>1.0411495001029736</v>
      </c>
      <c r="EZ80" s="368">
        <f t="shared" si="529"/>
        <v>0.99936638958823198</v>
      </c>
      <c r="FA80" s="368">
        <f t="shared" si="529"/>
        <v>1.1477154059907593</v>
      </c>
      <c r="FB80" s="369">
        <f t="shared" si="529"/>
        <v>4.1117419820664294</v>
      </c>
      <c r="FC80" s="368">
        <f t="shared" si="529"/>
        <v>1.0910283973487971</v>
      </c>
      <c r="FD80" s="368">
        <f t="shared" si="529"/>
        <v>1.2304285783352271</v>
      </c>
      <c r="FE80" s="368">
        <f t="shared" si="529"/>
        <v>1.211131794557144</v>
      </c>
      <c r="FF80" s="368">
        <f t="shared" si="529"/>
        <v>1.3768789212665289</v>
      </c>
      <c r="FG80" s="369">
        <f t="shared" si="529"/>
        <v>4.9087336169898439</v>
      </c>
      <c r="FH80" s="368">
        <f t="shared" ref="FH80:FL80" si="530">IF(ISERROR(IF(FH79&lt;0,FH79/FH$89,FH79/FH$90)),"--",IF(FH79&lt;0,FH79/FH$89,FH79/FH$90))</f>
        <v>1.2741459232912398</v>
      </c>
      <c r="FI80" s="368">
        <f t="shared" si="530"/>
        <v>1.4258488767431254</v>
      </c>
      <c r="FJ80" s="368">
        <f t="shared" si="530"/>
        <v>1.4184065844430715</v>
      </c>
      <c r="FK80" s="368">
        <f t="shared" si="530"/>
        <v>1.5975032884980966</v>
      </c>
      <c r="FL80" s="369">
        <f t="shared" si="530"/>
        <v>5.7155676413242222</v>
      </c>
      <c r="FN80" s="370"/>
      <c r="FO80" s="370">
        <f t="shared" ref="FO80:GA80" si="531">IF(ISERROR(IF(FO79&lt;0,FO79/FO$89,FO79/FO$90)),"--",IF(FO79&lt;0,FO79/FO$89,FO79/FO$90))</f>
        <v>0.86675372630251724</v>
      </c>
      <c r="FP80" s="370">
        <f t="shared" si="531"/>
        <v>0.54600951611455251</v>
      </c>
      <c r="FQ80" s="370">
        <f t="shared" si="531"/>
        <v>0.74283895607893058</v>
      </c>
      <c r="FR80" s="370">
        <f t="shared" si="531"/>
        <v>0.71601103194667892</v>
      </c>
      <c r="FS80" s="370">
        <f t="shared" si="531"/>
        <v>0.91705661069822919</v>
      </c>
      <c r="FT80" s="370">
        <f t="shared" si="531"/>
        <v>1.210194624652456</v>
      </c>
      <c r="FU80" s="370">
        <f t="shared" si="531"/>
        <v>1.1729604647727834</v>
      </c>
      <c r="FV80" s="370">
        <f t="shared" si="531"/>
        <v>1.7601660827818866</v>
      </c>
      <c r="FW80" s="370">
        <f t="shared" si="531"/>
        <v>1.8677144018425687</v>
      </c>
      <c r="FX80" s="871">
        <f t="shared" si="531"/>
        <v>1.80651598837824</v>
      </c>
      <c r="FY80" s="872">
        <f t="shared" si="531"/>
        <v>2.3531834563240088</v>
      </c>
      <c r="FZ80" s="872">
        <f t="shared" si="531"/>
        <v>2.7666979102189999</v>
      </c>
      <c r="GA80" s="872">
        <f t="shared" si="531"/>
        <v>1.8281693472090823</v>
      </c>
      <c r="GB80" s="872">
        <f t="shared" ref="GB80:GG80" si="532">IF(ISERROR(IF(GB79&lt;0,GB79/GB$89,GB79/GB$90)),"--",IF(GB79&lt;0,GB79/GB$89,GB79/GB$90))</f>
        <v>2.7958456973293768</v>
      </c>
      <c r="GC80" s="872">
        <f t="shared" si="532"/>
        <v>2.4258992805755395</v>
      </c>
      <c r="GD80" s="872">
        <f t="shared" si="532"/>
        <v>1.5782073813708259</v>
      </c>
      <c r="GE80" s="872">
        <f t="shared" si="532"/>
        <v>2.7154029095509173</v>
      </c>
      <c r="GF80" s="872">
        <f t="shared" si="532"/>
        <v>1.7713590367618803</v>
      </c>
      <c r="GG80" s="872">
        <f t="shared" si="532"/>
        <v>3.9976631414908548</v>
      </c>
      <c r="GH80" s="872">
        <f>IF(ISERROR(IF(GH79&lt;0,GH79/GH$89,GH79/GH$90)),"--",IF(GH79&lt;0,GH79/GH$89,GH79/GH$90))</f>
        <v>4.4679570514758868</v>
      </c>
      <c r="GI80" s="872">
        <f>IF(ISERROR(IF(GI79&lt;0,GI79/GI$89,GI79/GI$90)),"--",IF(GI79&lt;0,GI79/GI$89,GI79/GI$90))</f>
        <v>5.2876698165482789</v>
      </c>
      <c r="GJ80" s="367"/>
      <c r="GK80" s="367"/>
      <c r="GL80" s="367"/>
      <c r="GN80"/>
      <c r="GO80"/>
      <c r="GP80"/>
      <c r="GQ80"/>
      <c r="GR80"/>
      <c r="GS80"/>
    </row>
    <row r="81" spans="1:201" s="253" customFormat="1" ht="11.25" customHeight="1">
      <c r="D81" s="371"/>
      <c r="E81" s="371"/>
      <c r="F81" s="371"/>
      <c r="G81" s="371"/>
      <c r="H81" s="372"/>
      <c r="I81" s="371"/>
      <c r="J81" s="371"/>
      <c r="K81" s="371"/>
      <c r="L81" s="371"/>
      <c r="M81" s="372"/>
      <c r="N81" s="371"/>
      <c r="O81" s="371"/>
      <c r="P81" s="371"/>
      <c r="Q81" s="371"/>
      <c r="R81" s="372"/>
      <c r="S81" s="371"/>
      <c r="T81" s="371"/>
      <c r="U81" s="371"/>
      <c r="V81" s="371"/>
      <c r="W81" s="372"/>
      <c r="X81" s="371"/>
      <c r="Y81" s="371"/>
      <c r="Z81" s="371"/>
      <c r="AA81" s="371"/>
      <c r="AB81" s="372"/>
      <c r="AC81" s="371"/>
      <c r="AD81" s="371"/>
      <c r="AE81" s="371"/>
      <c r="AF81" s="371"/>
      <c r="AG81" s="372"/>
      <c r="AH81" s="371"/>
      <c r="AI81" s="371"/>
      <c r="AJ81" s="371"/>
      <c r="AK81" s="371"/>
      <c r="AL81" s="372"/>
      <c r="AM81" s="371"/>
      <c r="AN81" s="371"/>
      <c r="AO81" s="371"/>
      <c r="AP81" s="371"/>
      <c r="AQ81" s="372"/>
      <c r="AR81" s="371"/>
      <c r="AS81" s="371"/>
      <c r="AT81" s="371"/>
      <c r="AU81" s="371"/>
      <c r="AV81" s="372"/>
      <c r="AW81" s="371"/>
      <c r="AX81" s="371"/>
      <c r="AY81" s="373"/>
      <c r="AZ81" s="371"/>
      <c r="BA81" s="372"/>
      <c r="BB81" s="371"/>
      <c r="BC81" s="371"/>
      <c r="BD81" s="371"/>
      <c r="BE81" s="371"/>
      <c r="BF81" s="372"/>
      <c r="BG81" s="371"/>
      <c r="BH81" s="371"/>
      <c r="BI81" s="371"/>
      <c r="BJ81" s="371"/>
      <c r="BK81" s="372"/>
      <c r="BL81" s="371"/>
      <c r="BM81" s="371"/>
      <c r="BN81" s="371"/>
      <c r="BO81" s="371"/>
      <c r="BP81" s="372"/>
      <c r="BQ81" s="371"/>
      <c r="BR81" s="371"/>
      <c r="BS81" s="371"/>
      <c r="BT81" s="371"/>
      <c r="BU81" s="372"/>
      <c r="BV81" s="371"/>
      <c r="BW81" s="371"/>
      <c r="BX81" s="371"/>
      <c r="BY81" s="371"/>
      <c r="BZ81" s="372"/>
      <c r="CA81" s="371"/>
      <c r="CB81" s="371"/>
      <c r="CC81" s="371"/>
      <c r="CD81" s="371"/>
      <c r="CE81" s="372"/>
      <c r="CF81" s="371"/>
      <c r="CG81" s="371"/>
      <c r="CH81" s="371"/>
      <c r="CI81" s="371"/>
      <c r="CJ81" s="372"/>
      <c r="CK81" s="371"/>
      <c r="CL81" s="371"/>
      <c r="CM81" s="371"/>
      <c r="CN81" s="371"/>
      <c r="CO81" s="372"/>
      <c r="CP81" s="371"/>
      <c r="CQ81" s="371"/>
      <c r="CR81" s="371"/>
      <c r="CS81" s="371"/>
      <c r="CT81" s="372"/>
      <c r="CU81" s="371"/>
      <c r="CV81" s="371"/>
      <c r="CW81" s="374"/>
      <c r="CX81" s="371"/>
      <c r="CY81" s="372"/>
      <c r="CZ81" s="371"/>
      <c r="DA81" s="371"/>
      <c r="DB81" s="374"/>
      <c r="DC81" s="371"/>
      <c r="DD81" s="372"/>
      <c r="DE81" s="371"/>
      <c r="DF81" s="371"/>
      <c r="DG81" s="371"/>
      <c r="DH81" s="371"/>
      <c r="DI81" s="372"/>
      <c r="DJ81" s="371"/>
      <c r="DK81" s="371"/>
      <c r="DL81" s="371"/>
      <c r="DM81" s="371"/>
      <c r="DN81" s="372"/>
      <c r="DO81" s="371"/>
      <c r="DP81" s="371"/>
      <c r="DQ81" s="371"/>
      <c r="DR81" s="371"/>
      <c r="DS81" s="372"/>
      <c r="DT81" s="371"/>
      <c r="DU81" s="371"/>
      <c r="DV81" s="371"/>
      <c r="DW81" s="371"/>
      <c r="DX81" s="372"/>
      <c r="DY81" s="371"/>
      <c r="DZ81" s="371"/>
      <c r="EA81" s="371"/>
      <c r="EB81" s="371"/>
      <c r="EC81" s="372"/>
      <c r="ED81" s="371"/>
      <c r="EE81" s="371"/>
      <c r="EF81" s="371"/>
      <c r="EG81" s="371"/>
      <c r="EH81" s="372"/>
      <c r="EI81" s="2717"/>
      <c r="EJ81" s="2717"/>
      <c r="EK81" s="2717"/>
      <c r="EL81" s="2717"/>
      <c r="EM81" s="2718"/>
      <c r="EN81" s="2717"/>
      <c r="EO81" s="2717"/>
      <c r="EP81" s="2717"/>
      <c r="EQ81" s="2717"/>
      <c r="ER81" s="2718"/>
      <c r="ES81" s="2717"/>
      <c r="ET81" s="2717"/>
      <c r="EU81" s="2717"/>
      <c r="EV81" s="371"/>
      <c r="EW81" s="372"/>
      <c r="EX81" s="371"/>
      <c r="EY81" s="371"/>
      <c r="EZ81" s="371"/>
      <c r="FA81" s="371"/>
      <c r="FB81" s="372"/>
      <c r="FC81" s="371"/>
      <c r="FD81" s="371"/>
      <c r="FE81" s="371"/>
      <c r="FF81" s="371"/>
      <c r="FG81" s="372"/>
      <c r="FH81" s="371"/>
      <c r="FI81" s="371"/>
      <c r="FJ81" s="371"/>
      <c r="FK81" s="371"/>
      <c r="FL81" s="372"/>
      <c r="FN81" s="372"/>
      <c r="FO81" s="372"/>
      <c r="FP81" s="372"/>
      <c r="FQ81" s="372"/>
      <c r="FR81" s="372"/>
      <c r="FS81" s="372"/>
      <c r="FT81" s="372"/>
      <c r="FU81" s="372"/>
      <c r="FV81" s="372"/>
      <c r="FW81" s="372"/>
      <c r="FX81" s="873"/>
      <c r="FY81" s="874"/>
      <c r="FZ81" s="874"/>
      <c r="GA81" s="874"/>
      <c r="GB81" s="874"/>
      <c r="GC81" s="874"/>
      <c r="GD81" s="874"/>
      <c r="GE81" s="874"/>
      <c r="GF81" s="874"/>
      <c r="GG81" s="874"/>
      <c r="GH81" s="874"/>
      <c r="GI81" s="874"/>
      <c r="GJ81" s="371"/>
      <c r="GK81" s="371"/>
      <c r="GL81" s="371"/>
      <c r="GN81"/>
      <c r="GO81"/>
      <c r="GP81"/>
      <c r="GQ81"/>
      <c r="GR81"/>
      <c r="GS81"/>
    </row>
    <row r="82" spans="1:201" s="376" customFormat="1" ht="11.25" hidden="1" customHeight="1" outlineLevel="1">
      <c r="A82" s="253" t="s">
        <v>335</v>
      </c>
      <c r="B82" s="375"/>
      <c r="C82" s="375"/>
      <c r="D82" s="325"/>
      <c r="E82" s="325"/>
      <c r="F82" s="325"/>
      <c r="G82" s="325"/>
      <c r="H82" s="324"/>
      <c r="I82" s="325"/>
      <c r="J82" s="325"/>
      <c r="K82" s="325"/>
      <c r="L82" s="325"/>
      <c r="M82" s="324"/>
      <c r="N82" s="325"/>
      <c r="O82" s="325"/>
      <c r="P82" s="325"/>
      <c r="Q82" s="325"/>
      <c r="R82" s="324"/>
      <c r="S82" s="325"/>
      <c r="T82" s="325"/>
      <c r="U82" s="325"/>
      <c r="V82" s="325"/>
      <c r="W82" s="324"/>
      <c r="X82" s="325"/>
      <c r="Y82" s="325"/>
      <c r="Z82" s="325"/>
      <c r="AA82" s="325"/>
      <c r="AB82" s="324"/>
      <c r="AC82" s="325"/>
      <c r="AD82" s="325"/>
      <c r="AE82" s="325"/>
      <c r="AF82" s="325"/>
      <c r="AG82" s="324"/>
      <c r="AH82" s="325"/>
      <c r="AI82" s="325"/>
      <c r="AJ82" s="325"/>
      <c r="AK82" s="325">
        <v>588</v>
      </c>
      <c r="AL82" s="324">
        <f>AK82</f>
        <v>588</v>
      </c>
      <c r="AM82" s="325">
        <v>592.30590099999995</v>
      </c>
      <c r="AN82" s="325">
        <v>590</v>
      </c>
      <c r="AO82" s="325">
        <v>595</v>
      </c>
      <c r="AP82" s="325">
        <v>597</v>
      </c>
      <c r="AQ82" s="324">
        <f>AP82</f>
        <v>597</v>
      </c>
      <c r="AR82" s="325">
        <v>597</v>
      </c>
      <c r="AS82" s="325">
        <v>1198</v>
      </c>
      <c r="AT82" s="325">
        <v>1191</v>
      </c>
      <c r="AU82" s="325">
        <v>1204</v>
      </c>
      <c r="AV82" s="324">
        <f>AU82</f>
        <v>1204</v>
      </c>
      <c r="AW82" s="325">
        <v>1207</v>
      </c>
      <c r="AX82" s="325">
        <v>1211</v>
      </c>
      <c r="AY82" s="325">
        <v>2454</v>
      </c>
      <c r="AZ82" s="325">
        <v>2470</v>
      </c>
      <c r="BA82" s="324">
        <f>AZ82</f>
        <v>2470</v>
      </c>
      <c r="BB82" s="325">
        <v>2488</v>
      </c>
      <c r="BC82" s="325">
        <v>2510</v>
      </c>
      <c r="BD82" s="325">
        <v>5091</v>
      </c>
      <c r="BE82" s="325">
        <v>5109</v>
      </c>
      <c r="BF82" s="324">
        <f>BE82</f>
        <v>5109</v>
      </c>
      <c r="BG82" s="325">
        <v>5148</v>
      </c>
      <c r="BH82" s="325">
        <v>5177</v>
      </c>
      <c r="BI82" s="325">
        <v>5242</v>
      </c>
      <c r="BJ82" s="325">
        <v>5283</v>
      </c>
      <c r="BK82" s="324">
        <f>BJ82</f>
        <v>5283</v>
      </c>
      <c r="BL82" s="325">
        <v>5316</v>
      </c>
      <c r="BM82" s="325">
        <v>5321</v>
      </c>
      <c r="BN82" s="325">
        <v>5336</v>
      </c>
      <c r="BO82" s="325">
        <v>5383</v>
      </c>
      <c r="BP82" s="324">
        <f>BO82</f>
        <v>5383</v>
      </c>
      <c r="BQ82" s="325">
        <v>5386</v>
      </c>
      <c r="BR82" s="325">
        <v>5403</v>
      </c>
      <c r="BS82" s="325">
        <v>5415.4627520000004</v>
      </c>
      <c r="BT82" s="325">
        <v>5359</v>
      </c>
      <c r="BU82" s="324">
        <f>BT82</f>
        <v>5359</v>
      </c>
      <c r="BV82" s="325">
        <v>5346.4498720000001</v>
      </c>
      <c r="BW82" s="325">
        <v>5350.6926510000003</v>
      </c>
      <c r="BX82" s="325">
        <v>10722</v>
      </c>
      <c r="BY82" s="325">
        <v>10771</v>
      </c>
      <c r="BZ82" s="324">
        <f>BY82</f>
        <v>10771</v>
      </c>
      <c r="CA82" s="325">
        <v>10805</v>
      </c>
      <c r="CB82" s="325">
        <v>10789</v>
      </c>
      <c r="CC82" s="325">
        <v>10777</v>
      </c>
      <c r="CD82" s="325">
        <v>10862</v>
      </c>
      <c r="CE82" s="324">
        <f>CD82</f>
        <v>10862</v>
      </c>
      <c r="CF82" s="325">
        <v>10865</v>
      </c>
      <c r="CG82" s="325">
        <v>10880.222153000001</v>
      </c>
      <c r="CH82" s="325">
        <v>10804.353235</v>
      </c>
      <c r="CI82" s="325">
        <v>10710</v>
      </c>
      <c r="CJ82" s="324">
        <f>CI82</f>
        <v>10710</v>
      </c>
      <c r="CK82" s="325">
        <v>10645</v>
      </c>
      <c r="CL82" s="325">
        <v>10384</v>
      </c>
      <c r="CM82" s="325">
        <v>10225</v>
      </c>
      <c r="CN82" s="325">
        <v>10062</v>
      </c>
      <c r="CO82" s="324">
        <f>CN82</f>
        <v>10062</v>
      </c>
      <c r="CP82" s="325">
        <v>9820</v>
      </c>
      <c r="CQ82" s="325">
        <v>9777</v>
      </c>
      <c r="CR82" s="325">
        <v>9572</v>
      </c>
      <c r="CS82" s="325">
        <v>9375.4924960000008</v>
      </c>
      <c r="CT82" s="324">
        <v>9375.4924960000008</v>
      </c>
      <c r="CU82" s="325">
        <v>9355</v>
      </c>
      <c r="CV82" s="325">
        <v>9306.9797460000009</v>
      </c>
      <c r="CW82" s="325">
        <v>9313.2928329999995</v>
      </c>
      <c r="CX82" s="325">
        <v>9130.2930739999993</v>
      </c>
      <c r="CY82" s="324">
        <f>CX82</f>
        <v>9130.2930739999993</v>
      </c>
      <c r="CZ82" s="325">
        <v>8895.5727200000001</v>
      </c>
      <c r="DA82" s="325">
        <v>8890.5628730000008</v>
      </c>
      <c r="DB82" s="325">
        <v>8899.7199999999993</v>
      </c>
      <c r="DC82" s="325">
        <v>8908</v>
      </c>
      <c r="DD82" s="324">
        <f>DC82</f>
        <v>8908</v>
      </c>
      <c r="DE82" s="325">
        <v>8914</v>
      </c>
      <c r="DF82" s="325">
        <v>8856</v>
      </c>
      <c r="DG82" s="325">
        <v>8767</v>
      </c>
      <c r="DH82" s="325">
        <v>8712</v>
      </c>
      <c r="DI82" s="324">
        <f>DH82</f>
        <v>8712</v>
      </c>
      <c r="DJ82" s="1116">
        <v>8614</v>
      </c>
      <c r="DK82" s="1116">
        <v>8497</v>
      </c>
      <c r="DL82" s="1116">
        <v>8420</v>
      </c>
      <c r="DM82" s="1116">
        <v>8429</v>
      </c>
      <c r="DN82" s="324">
        <f>DM82</f>
        <v>8429</v>
      </c>
      <c r="DO82" s="1116">
        <v>8392</v>
      </c>
      <c r="DP82" s="1116">
        <v>8402</v>
      </c>
      <c r="DQ82" s="1116">
        <v>8498</v>
      </c>
      <c r="DR82" s="1116">
        <v>8388</v>
      </c>
      <c r="DS82" s="324">
        <f>DR82</f>
        <v>8388</v>
      </c>
      <c r="DT82" s="325">
        <f>OPT!DT61</f>
        <v>8396</v>
      </c>
      <c r="DU82" s="325">
        <f>OPT!DU61</f>
        <v>8393</v>
      </c>
      <c r="DV82" s="325">
        <f>OPT!DV61</f>
        <v>8364</v>
      </c>
      <c r="DW82" s="325">
        <f>OPT!DW61</f>
        <v>8345</v>
      </c>
      <c r="DX82" s="324">
        <f>DW82</f>
        <v>8345</v>
      </c>
      <c r="DY82" s="325">
        <f>OPT!DY61</f>
        <v>8339</v>
      </c>
      <c r="DZ82" s="325">
        <f>OPT!DZ61</f>
        <v>8326</v>
      </c>
      <c r="EA82" s="325">
        <f>OPT!EA61</f>
        <v>8284</v>
      </c>
      <c r="EB82" s="325">
        <f>OPT!EB61</f>
        <v>8246</v>
      </c>
      <c r="EC82" s="324">
        <f>EB82</f>
        <v>8246</v>
      </c>
      <c r="ED82" s="325">
        <f>OPT!ED61</f>
        <v>8249</v>
      </c>
      <c r="EE82" s="325">
        <f>OPT!EE61</f>
        <v>8228</v>
      </c>
      <c r="EF82" s="325">
        <f>OPT!EF61</f>
        <v>8167</v>
      </c>
      <c r="EG82" s="325">
        <f>OPT!EG61</f>
        <v>8061</v>
      </c>
      <c r="EH82" s="324">
        <f>EG82</f>
        <v>8061</v>
      </c>
      <c r="EI82" s="2697">
        <f>OPT!EI61</f>
        <v>7986</v>
      </c>
      <c r="EJ82" s="2697">
        <f>OPT!EJ61</f>
        <v>7925</v>
      </c>
      <c r="EK82" s="2697">
        <f>OPT!EK61</f>
        <v>7870</v>
      </c>
      <c r="EL82" s="2697">
        <f>OPT!EL61</f>
        <v>7808</v>
      </c>
      <c r="EM82" s="2698">
        <f>EL82</f>
        <v>7808</v>
      </c>
      <c r="EN82" s="2697">
        <f>OPT!EN61</f>
        <v>7784</v>
      </c>
      <c r="EO82" s="2697">
        <f>OPT!EO61</f>
        <v>7730</v>
      </c>
      <c r="EP82" s="2697">
        <f>OPT!EP61</f>
        <v>7723</v>
      </c>
      <c r="EQ82" s="2697">
        <f>OPT!EQ61</f>
        <v>7715</v>
      </c>
      <c r="ER82" s="2698">
        <f>EQ82</f>
        <v>7715</v>
      </c>
      <c r="ES82" s="2697">
        <f>OPT!ES61</f>
        <v>7720</v>
      </c>
      <c r="ET82" s="2697">
        <f>OPT!ET61</f>
        <v>7705</v>
      </c>
      <c r="EU82" s="2697">
        <f>OPT!EU61</f>
        <v>7690</v>
      </c>
      <c r="EV82" s="325">
        <f>OPT!EV61</f>
        <v>7690</v>
      </c>
      <c r="EW82" s="324">
        <f>EV82</f>
        <v>7690</v>
      </c>
      <c r="EX82" s="325">
        <f>OPT!EX61</f>
        <v>7675.3890000000001</v>
      </c>
      <c r="EY82" s="325">
        <f>OPT!EY61</f>
        <v>7660.8057608999998</v>
      </c>
      <c r="EZ82" s="325">
        <f>OPT!EZ61</f>
        <v>7646.2502299542894</v>
      </c>
      <c r="FA82" s="325">
        <f>OPT!FA61</f>
        <v>7631.7223545173765</v>
      </c>
      <c r="FB82" s="324">
        <f>FA82</f>
        <v>7631.7223545173765</v>
      </c>
      <c r="FC82" s="325">
        <f>OPT!FC61</f>
        <v>7618.3668403969705</v>
      </c>
      <c r="FD82" s="325">
        <f>OPT!FD61</f>
        <v>7605.0346984262751</v>
      </c>
      <c r="FE82" s="325">
        <f>OPT!FE61</f>
        <v>7591.7258877040285</v>
      </c>
      <c r="FF82" s="325">
        <f>OPT!FF61</f>
        <v>7578.4403674005462</v>
      </c>
      <c r="FG82" s="324">
        <f>FF82</f>
        <v>7578.4403674005462</v>
      </c>
      <c r="FH82" s="325">
        <f>OPT!FH61</f>
        <v>7573.1354591433656</v>
      </c>
      <c r="FI82" s="325">
        <f>OPT!FI61</f>
        <v>7567.8342643219648</v>
      </c>
      <c r="FJ82" s="325">
        <f>OPT!FJ61</f>
        <v>7562.536780336939</v>
      </c>
      <c r="FK82" s="325">
        <f>OPT!FK61</f>
        <v>7557.2430045907031</v>
      </c>
      <c r="FL82" s="324">
        <f>FK82</f>
        <v>7557.2430045907031</v>
      </c>
      <c r="FN82" s="339"/>
      <c r="FO82" s="339"/>
      <c r="FP82" s="339"/>
      <c r="FQ82" s="339"/>
      <c r="FR82" s="339"/>
      <c r="FS82" s="339"/>
      <c r="FT82" s="339"/>
      <c r="FU82" s="339"/>
      <c r="FV82" s="339"/>
      <c r="FW82" s="339"/>
      <c r="FX82" s="857"/>
      <c r="FY82" s="858"/>
      <c r="FZ82" s="858"/>
      <c r="GA82" s="858"/>
      <c r="GB82" s="858"/>
      <c r="GC82" s="858"/>
      <c r="GD82" s="858"/>
      <c r="GE82" s="858"/>
      <c r="GF82" s="858"/>
      <c r="GG82" s="858"/>
      <c r="GH82" s="858"/>
      <c r="GI82" s="858"/>
      <c r="GJ82" s="253"/>
      <c r="GK82" s="253"/>
      <c r="GL82" s="253"/>
      <c r="GN82"/>
      <c r="GO82"/>
      <c r="GP82"/>
      <c r="GQ82"/>
      <c r="GR82"/>
      <c r="GS82"/>
    </row>
    <row r="83" spans="1:201" s="376" customFormat="1" ht="11.25" hidden="1" customHeight="1" outlineLevel="1">
      <c r="A83" s="253" t="s">
        <v>78</v>
      </c>
      <c r="B83" s="375"/>
      <c r="C83" s="375"/>
      <c r="D83" s="325"/>
      <c r="E83" s="325"/>
      <c r="F83" s="325"/>
      <c r="G83" s="325"/>
      <c r="H83" s="324"/>
      <c r="I83" s="325"/>
      <c r="J83" s="325"/>
      <c r="K83" s="325"/>
      <c r="L83" s="325"/>
      <c r="M83" s="324"/>
      <c r="N83" s="325"/>
      <c r="O83" s="325"/>
      <c r="P83" s="325"/>
      <c r="Q83" s="325"/>
      <c r="R83" s="324"/>
      <c r="S83" s="325"/>
      <c r="T83" s="325"/>
      <c r="U83" s="325"/>
      <c r="V83" s="325"/>
      <c r="W83" s="324"/>
      <c r="X83" s="325"/>
      <c r="Y83" s="325"/>
      <c r="Z83" s="325"/>
      <c r="AA83" s="325"/>
      <c r="AB83" s="324"/>
      <c r="AC83" s="325"/>
      <c r="AD83" s="325"/>
      <c r="AE83" s="325"/>
      <c r="AF83" s="325">
        <v>610</v>
      </c>
      <c r="AG83" s="324"/>
      <c r="AH83" s="325">
        <v>622</v>
      </c>
      <c r="AI83" s="325">
        <v>625</v>
      </c>
      <c r="AJ83" s="325">
        <v>626</v>
      </c>
      <c r="AK83" s="325">
        <v>627</v>
      </c>
      <c r="AL83" s="324"/>
      <c r="AM83" s="325">
        <v>640</v>
      </c>
      <c r="AN83" s="325">
        <v>638</v>
      </c>
      <c r="AO83" s="325">
        <v>639</v>
      </c>
      <c r="AP83" s="325">
        <v>640</v>
      </c>
      <c r="AQ83" s="324"/>
      <c r="AR83" s="325">
        <f>1194*2</f>
        <v>2388</v>
      </c>
      <c r="AS83" s="325">
        <v>2391</v>
      </c>
      <c r="AT83" s="325">
        <v>2389</v>
      </c>
      <c r="AU83" s="325">
        <f>1350/0.55</f>
        <v>2454.5454545454545</v>
      </c>
      <c r="AV83" s="327">
        <v>2391</v>
      </c>
      <c r="AW83" s="325">
        <v>2410</v>
      </c>
      <c r="AX83" s="325">
        <v>2421</v>
      </c>
      <c r="AY83" s="325">
        <v>4866</v>
      </c>
      <c r="AZ83" s="325">
        <f>+AZ79/0.27</f>
        <v>5025.9259259259252</v>
      </c>
      <c r="BA83" s="327">
        <v>4864</v>
      </c>
      <c r="BB83" s="325">
        <v>4958</v>
      </c>
      <c r="BC83" s="325">
        <v>4998</v>
      </c>
      <c r="BD83" s="325">
        <v>5055</v>
      </c>
      <c r="BE83" s="325">
        <v>5100</v>
      </c>
      <c r="BF83" s="324">
        <v>5028</v>
      </c>
      <c r="BG83" s="325">
        <v>5129</v>
      </c>
      <c r="BH83" s="325">
        <v>5163</v>
      </c>
      <c r="BI83" s="325">
        <v>5209</v>
      </c>
      <c r="BJ83" s="325">
        <v>5250</v>
      </c>
      <c r="BK83" s="324">
        <v>5188</v>
      </c>
      <c r="BL83" s="325">
        <v>5299</v>
      </c>
      <c r="BM83" s="325">
        <v>5330</v>
      </c>
      <c r="BN83" s="325">
        <v>5336</v>
      </c>
      <c r="BO83" s="325">
        <v>5381</v>
      </c>
      <c r="BP83" s="324">
        <v>5341</v>
      </c>
      <c r="BQ83" s="325">
        <v>5398</v>
      </c>
      <c r="BR83" s="325">
        <v>5395</v>
      </c>
      <c r="BS83" s="325">
        <v>5415</v>
      </c>
      <c r="BT83" s="325">
        <v>5415</v>
      </c>
      <c r="BU83" s="324">
        <v>5406</v>
      </c>
      <c r="BV83" s="325">
        <v>5369</v>
      </c>
      <c r="BW83" s="325">
        <v>5351</v>
      </c>
      <c r="BX83" s="325">
        <v>10715</v>
      </c>
      <c r="BY83" s="325">
        <v>10737</v>
      </c>
      <c r="BZ83" s="324">
        <v>10723</v>
      </c>
      <c r="CA83" s="325">
        <v>10811</v>
      </c>
      <c r="CB83" s="325">
        <v>10810</v>
      </c>
      <c r="CC83" s="325">
        <v>10785</v>
      </c>
      <c r="CD83" s="325">
        <v>10806</v>
      </c>
      <c r="CE83" s="324">
        <v>10803</v>
      </c>
      <c r="CF83" s="325">
        <v>10873</v>
      </c>
      <c r="CG83" s="325">
        <v>10877</v>
      </c>
      <c r="CH83" s="325">
        <v>10856</v>
      </c>
      <c r="CI83" s="325">
        <v>10750</v>
      </c>
      <c r="CJ83" s="324">
        <v>10839</v>
      </c>
      <c r="CK83" s="325">
        <v>10696</v>
      </c>
      <c r="CL83" s="325">
        <v>10560</v>
      </c>
      <c r="CM83" s="325">
        <v>10303</v>
      </c>
      <c r="CN83" s="325">
        <v>10186</v>
      </c>
      <c r="CO83" s="324">
        <v>10438</v>
      </c>
      <c r="CP83" s="325">
        <v>9929</v>
      </c>
      <c r="CQ83" s="325">
        <v>9806</v>
      </c>
      <c r="CR83" s="325">
        <v>9725</v>
      </c>
      <c r="CS83" s="325">
        <v>9507</v>
      </c>
      <c r="CT83" s="324">
        <v>9742</v>
      </c>
      <c r="CU83" s="325">
        <v>9380</v>
      </c>
      <c r="CV83" s="325">
        <v>9361</v>
      </c>
      <c r="CW83" s="325">
        <v>9307</v>
      </c>
      <c r="CX83" s="325">
        <v>9264</v>
      </c>
      <c r="CY83" s="324">
        <f>AVERAGE(CU83:CX83)</f>
        <v>9328</v>
      </c>
      <c r="CZ83" s="325">
        <v>9084</v>
      </c>
      <c r="DA83" s="325">
        <v>8903</v>
      </c>
      <c r="DB83" s="325">
        <v>8891</v>
      </c>
      <c r="DC83" s="325">
        <v>8901</v>
      </c>
      <c r="DD83" s="324">
        <f>AVERAGE(CZ83:DC83)</f>
        <v>8944.75</v>
      </c>
      <c r="DE83" s="325">
        <v>8914</v>
      </c>
      <c r="DF83" s="325">
        <v>8856</v>
      </c>
      <c r="DG83" s="325">
        <v>8767</v>
      </c>
      <c r="DH83" s="325">
        <v>8712</v>
      </c>
      <c r="DI83" s="324">
        <f>AVERAGE(DE83:DH83)</f>
        <v>8812.25</v>
      </c>
      <c r="DJ83" s="1116">
        <v>8614</v>
      </c>
      <c r="DK83" s="1116">
        <v>8497</v>
      </c>
      <c r="DL83" s="1116">
        <v>8420</v>
      </c>
      <c r="DM83" s="1116">
        <v>8429</v>
      </c>
      <c r="DN83" s="324">
        <f>AVERAGE(DJ83:DM83)</f>
        <v>8490</v>
      </c>
      <c r="DO83" s="1116">
        <v>8392</v>
      </c>
      <c r="DP83" s="1116">
        <v>8402</v>
      </c>
      <c r="DQ83" s="1116">
        <v>8498</v>
      </c>
      <c r="DR83" s="1116">
        <v>8388</v>
      </c>
      <c r="DS83" s="324">
        <f>AVERAGE(DO83:DR83)</f>
        <v>8420</v>
      </c>
      <c r="DT83" s="325">
        <f>OPT!DT64</f>
        <v>8396</v>
      </c>
      <c r="DU83" s="325">
        <f>OPT!DU64</f>
        <v>8393</v>
      </c>
      <c r="DV83" s="325">
        <f>OPT!DV64</f>
        <v>8364</v>
      </c>
      <c r="DW83" s="325">
        <f>OPT!DW64</f>
        <v>8345</v>
      </c>
      <c r="DX83" s="324">
        <f>AVERAGE(DT83:DW83)</f>
        <v>8374.5</v>
      </c>
      <c r="DY83" s="325">
        <f>OPT!DY64</f>
        <v>8339</v>
      </c>
      <c r="DZ83" s="325">
        <f>OPT!DZ64</f>
        <v>8326</v>
      </c>
      <c r="EA83" s="325">
        <f>OPT!EA64</f>
        <v>8284</v>
      </c>
      <c r="EB83" s="325">
        <v>8263.2900000000009</v>
      </c>
      <c r="EC83" s="324">
        <f>AVERAGE(DY83:EB83)</f>
        <v>8303.0725000000002</v>
      </c>
      <c r="ED83" s="325">
        <v>8249</v>
      </c>
      <c r="EE83" s="325">
        <v>8228</v>
      </c>
      <c r="EF83" s="325">
        <f>OPT!EF64</f>
        <v>8237</v>
      </c>
      <c r="EG83" s="325">
        <f>OPT!EG64</f>
        <v>8061</v>
      </c>
      <c r="EH83" s="324">
        <f>AVERAGE(ED83:EG83)</f>
        <v>8193.75</v>
      </c>
      <c r="EI83" s="2697">
        <f>OPT!EI64</f>
        <v>7996</v>
      </c>
      <c r="EJ83" s="2697">
        <f>OPT!EJ64</f>
        <v>7964</v>
      </c>
      <c r="EK83" s="2697">
        <f>OPT!EK64</f>
        <v>7895</v>
      </c>
      <c r="EL83" s="2697">
        <f>OPT!EL64</f>
        <v>7842</v>
      </c>
      <c r="EM83" s="2698">
        <f>AVERAGE(EI83:EL83)</f>
        <v>7924.25</v>
      </c>
      <c r="EN83" s="2697">
        <f>OPT!EN64</f>
        <v>7789</v>
      </c>
      <c r="EO83" s="2697">
        <f>OPT!EO64</f>
        <v>7755</v>
      </c>
      <c r="EP83" s="2697">
        <f>OPT!EP64</f>
        <v>7725</v>
      </c>
      <c r="EQ83" s="2697">
        <f>OPT!EQ64</f>
        <v>7715</v>
      </c>
      <c r="ER83" s="2698">
        <f>AVERAGE(EN83:EQ83)</f>
        <v>7746</v>
      </c>
      <c r="ES83" s="2697">
        <f>OPT!ES64</f>
        <v>7708</v>
      </c>
      <c r="ET83" s="2697">
        <f>OPT!ET64</f>
        <v>7710</v>
      </c>
      <c r="EU83" s="2697">
        <f>OPT!EU64</f>
        <v>7698</v>
      </c>
      <c r="EV83" s="325">
        <f>OPT!EV64</f>
        <v>7690</v>
      </c>
      <c r="EW83" s="324">
        <f>AVERAGE(ES83:EV83)</f>
        <v>7701.5</v>
      </c>
      <c r="EX83" s="325">
        <f>OPT!EX64</f>
        <v>7682.6944999999996</v>
      </c>
      <c r="EY83" s="325">
        <f>OPT!EY64</f>
        <v>7668.0973804499999</v>
      </c>
      <c r="EZ83" s="325">
        <f>OPT!EZ64</f>
        <v>7653.5279954271446</v>
      </c>
      <c r="FA83" s="325">
        <f>OPT!FA64</f>
        <v>7638.9862922358334</v>
      </c>
      <c r="FB83" s="324">
        <f>AVERAGE(EX83:FA83)</f>
        <v>7660.8265420282451</v>
      </c>
      <c r="FC83" s="325">
        <f>OPT!FC64</f>
        <v>7625.0445974571739</v>
      </c>
      <c r="FD83" s="325">
        <f>OPT!FD64</f>
        <v>7611.7007694116228</v>
      </c>
      <c r="FE83" s="325">
        <f>OPT!FE64</f>
        <v>7598.3802930651518</v>
      </c>
      <c r="FF83" s="325">
        <f>OPT!FF64</f>
        <v>7585.0831275522869</v>
      </c>
      <c r="FG83" s="324">
        <f>AVERAGE(FC83:FF83)</f>
        <v>7605.0521968715584</v>
      </c>
      <c r="FH83" s="325">
        <f>OPT!FH64</f>
        <v>7575.7879132719554</v>
      </c>
      <c r="FI83" s="325">
        <f>OPT!FI64</f>
        <v>7570.4848617326652</v>
      </c>
      <c r="FJ83" s="325">
        <f>OPT!FJ64</f>
        <v>7565.1855223294515</v>
      </c>
      <c r="FK83" s="325">
        <f>OPT!FK64</f>
        <v>7559.8898924638215</v>
      </c>
      <c r="FL83" s="324">
        <f>AVERAGE(FH83:FK83)</f>
        <v>7567.8370474494732</v>
      </c>
      <c r="FN83" s="339"/>
      <c r="FO83" s="339"/>
      <c r="FP83" s="339"/>
      <c r="FQ83" s="339"/>
      <c r="FR83" s="339"/>
      <c r="FS83" s="339"/>
      <c r="FT83" s="339"/>
      <c r="FU83" s="339"/>
      <c r="FV83" s="339"/>
      <c r="FW83" s="339"/>
      <c r="FX83" s="857"/>
      <c r="FY83" s="858"/>
      <c r="FZ83" s="858"/>
      <c r="GA83" s="858"/>
      <c r="GB83" s="858"/>
      <c r="GC83" s="858"/>
      <c r="GD83" s="858"/>
      <c r="GE83" s="858"/>
      <c r="GF83" s="858"/>
      <c r="GG83" s="858"/>
      <c r="GH83" s="858"/>
      <c r="GI83" s="858"/>
      <c r="GJ83" s="253"/>
      <c r="GK83" s="253"/>
      <c r="GL83" s="253"/>
      <c r="GN83"/>
      <c r="GO83"/>
      <c r="GP83"/>
      <c r="GQ83"/>
      <c r="GR83"/>
      <c r="GS83"/>
    </row>
    <row r="84" spans="1:201" s="253" customFormat="1" ht="11.25" customHeight="1" collapsed="1">
      <c r="A84" s="253" t="s">
        <v>686</v>
      </c>
      <c r="D84" s="377"/>
      <c r="E84" s="377"/>
      <c r="F84" s="377"/>
      <c r="G84" s="377"/>
      <c r="H84" s="324">
        <v>508</v>
      </c>
      <c r="I84" s="377"/>
      <c r="J84" s="377"/>
      <c r="K84" s="377"/>
      <c r="L84" s="377"/>
      <c r="M84" s="324">
        <v>538</v>
      </c>
      <c r="N84" s="377"/>
      <c r="O84" s="377"/>
      <c r="P84" s="377"/>
      <c r="Q84" s="377"/>
      <c r="R84" s="324">
        <v>564</v>
      </c>
      <c r="S84" s="377"/>
      <c r="T84" s="377"/>
      <c r="U84" s="377"/>
      <c r="V84" s="377"/>
      <c r="W84" s="324">
        <v>588</v>
      </c>
      <c r="X84" s="377"/>
      <c r="Y84" s="377"/>
      <c r="Z84" s="377"/>
      <c r="AA84" s="377"/>
      <c r="AB84" s="324">
        <v>606</v>
      </c>
      <c r="AC84" s="377"/>
      <c r="AD84" s="377"/>
      <c r="AE84" s="377"/>
      <c r="AF84" s="377">
        <v>610</v>
      </c>
      <c r="AG84" s="324">
        <v>610</v>
      </c>
      <c r="AH84" s="377">
        <v>622</v>
      </c>
      <c r="AI84" s="377">
        <v>625</v>
      </c>
      <c r="AJ84" s="377">
        <v>626</v>
      </c>
      <c r="AK84" s="377">
        <v>627</v>
      </c>
      <c r="AL84" s="324">
        <v>627</v>
      </c>
      <c r="AM84" s="377">
        <v>640</v>
      </c>
      <c r="AN84" s="377">
        <v>638</v>
      </c>
      <c r="AO84" s="377">
        <v>639</v>
      </c>
      <c r="AP84" s="377">
        <v>640</v>
      </c>
      <c r="AQ84" s="324">
        <v>640.5</v>
      </c>
      <c r="AR84" s="377">
        <f>1294*2</f>
        <v>2588</v>
      </c>
      <c r="AS84" s="377">
        <v>2608</v>
      </c>
      <c r="AT84" s="377">
        <v>2637</v>
      </c>
      <c r="AU84" s="377">
        <v>2706</v>
      </c>
      <c r="AV84" s="324">
        <v>2622</v>
      </c>
      <c r="AW84" s="377">
        <v>2665</v>
      </c>
      <c r="AX84" s="377">
        <v>2667</v>
      </c>
      <c r="AY84" s="377">
        <v>5370</v>
      </c>
      <c r="AZ84" s="377">
        <f>+AZ79/0.25</f>
        <v>5428</v>
      </c>
      <c r="BA84" s="324">
        <v>5362</v>
      </c>
      <c r="BB84" s="377">
        <v>5434</v>
      </c>
      <c r="BC84" s="377">
        <v>5460</v>
      </c>
      <c r="BD84" s="377">
        <v>5512</v>
      </c>
      <c r="BE84" s="377">
        <v>5521</v>
      </c>
      <c r="BF84" s="324">
        <v>5482</v>
      </c>
      <c r="BG84" s="377">
        <v>5527</v>
      </c>
      <c r="BH84" s="377">
        <v>5538</v>
      </c>
      <c r="BI84" s="377">
        <v>5543</v>
      </c>
      <c r="BJ84" s="377">
        <v>5537</v>
      </c>
      <c r="BK84" s="324">
        <v>5536</v>
      </c>
      <c r="BL84" s="377">
        <v>5557</v>
      </c>
      <c r="BM84" s="377">
        <v>5570</v>
      </c>
      <c r="BN84" s="377">
        <v>5563</v>
      </c>
      <c r="BO84" s="377">
        <v>5592</v>
      </c>
      <c r="BP84" s="324">
        <v>5574</v>
      </c>
      <c r="BQ84" s="377">
        <v>5567</v>
      </c>
      <c r="BR84" s="377">
        <v>5556</v>
      </c>
      <c r="BS84" s="377">
        <v>5564.5</v>
      </c>
      <c r="BT84" s="377">
        <v>5530.5</v>
      </c>
      <c r="BU84" s="324">
        <v>5553</v>
      </c>
      <c r="BV84" s="377">
        <v>5458</v>
      </c>
      <c r="BW84" s="377">
        <v>5441</v>
      </c>
      <c r="BX84" s="377">
        <v>10864</v>
      </c>
      <c r="BY84" s="377">
        <v>10862</v>
      </c>
      <c r="BZ84" s="324">
        <v>10882</v>
      </c>
      <c r="CA84" s="377">
        <v>10885</v>
      </c>
      <c r="CB84" s="377">
        <v>10899</v>
      </c>
      <c r="CC84" s="377">
        <v>10856</v>
      </c>
      <c r="CD84" s="377">
        <v>10864</v>
      </c>
      <c r="CE84" s="324">
        <v>10894</v>
      </c>
      <c r="CF84" s="377">
        <v>10920</v>
      </c>
      <c r="CG84" s="377">
        <v>10956</v>
      </c>
      <c r="CH84" s="377">
        <v>10931</v>
      </c>
      <c r="CI84" s="377">
        <v>10819</v>
      </c>
      <c r="CJ84" s="324">
        <v>10906</v>
      </c>
      <c r="CK84" s="377">
        <v>10772</v>
      </c>
      <c r="CL84" s="377">
        <v>10638</v>
      </c>
      <c r="CM84" s="377">
        <v>10415</v>
      </c>
      <c r="CN84" s="377">
        <v>10255</v>
      </c>
      <c r="CO84" s="324">
        <v>10531</v>
      </c>
      <c r="CP84" s="377">
        <v>10010</v>
      </c>
      <c r="CQ84" s="377">
        <v>9942</v>
      </c>
      <c r="CR84" s="377">
        <v>9862</v>
      </c>
      <c r="CS84" s="377">
        <v>9657</v>
      </c>
      <c r="CT84" s="324">
        <v>9886</v>
      </c>
      <c r="CU84" s="377">
        <v>9513</v>
      </c>
      <c r="CV84" s="377">
        <v>9503</v>
      </c>
      <c r="CW84" s="377">
        <v>9428</v>
      </c>
      <c r="CX84" s="377">
        <v>9380</v>
      </c>
      <c r="CY84" s="324">
        <f>AVERAGE(CU84:CX84)</f>
        <v>9456</v>
      </c>
      <c r="CZ84" s="377">
        <v>9183</v>
      </c>
      <c r="DA84" s="377">
        <v>8914</v>
      </c>
      <c r="DB84" s="377">
        <v>8904</v>
      </c>
      <c r="DC84" s="377">
        <v>8928</v>
      </c>
      <c r="DD84" s="324">
        <f>AVERAGE(CZ84:DC84)</f>
        <v>8982.25</v>
      </c>
      <c r="DE84" s="377">
        <v>8983</v>
      </c>
      <c r="DF84" s="377">
        <v>8951</v>
      </c>
      <c r="DG84" s="377">
        <v>8876</v>
      </c>
      <c r="DH84" s="377">
        <v>8821</v>
      </c>
      <c r="DI84" s="324">
        <f>AVERAGE(DE84:DH84)</f>
        <v>8907.75</v>
      </c>
      <c r="DJ84" s="1117">
        <v>8695</v>
      </c>
      <c r="DK84" s="1117">
        <v>8570</v>
      </c>
      <c r="DL84" s="1117">
        <v>8510</v>
      </c>
      <c r="DM84" s="1117">
        <v>8521</v>
      </c>
      <c r="DN84" s="324">
        <f>AVERAGE(DJ84:DM84)</f>
        <v>8574</v>
      </c>
      <c r="DO84" s="1117">
        <v>8490</v>
      </c>
      <c r="DP84" s="1117">
        <v>8465</v>
      </c>
      <c r="DQ84" s="1117">
        <v>8498</v>
      </c>
      <c r="DR84" s="1117">
        <v>8388</v>
      </c>
      <c r="DS84" s="324">
        <f>AVERAGE(DO84:DR84)</f>
        <v>8460.25</v>
      </c>
      <c r="DT84" s="377">
        <f>OPT!DT66</f>
        <v>8494</v>
      </c>
      <c r="DU84" s="377">
        <f>OPT!DU66</f>
        <v>8444</v>
      </c>
      <c r="DV84" s="377">
        <f>OPT!DV66</f>
        <v>8429</v>
      </c>
      <c r="DW84" s="377">
        <f>OPT!DW66</f>
        <v>8442</v>
      </c>
      <c r="DX84" s="324">
        <f>AVERAGE(DT84:DW84)</f>
        <v>8452.25</v>
      </c>
      <c r="DY84" s="377">
        <f>OPT!DY66</f>
        <v>8434</v>
      </c>
      <c r="DZ84" s="377">
        <f>OPT!DZ66</f>
        <v>8395</v>
      </c>
      <c r="EA84" s="377">
        <f>OPT!EA66</f>
        <v>8367</v>
      </c>
      <c r="EB84" s="377">
        <f>OPT!EB66</f>
        <v>8345</v>
      </c>
      <c r="EC84" s="324">
        <f>AVERAGE(DY84:EB84)</f>
        <v>8385.25</v>
      </c>
      <c r="ED84" s="377">
        <f>OPT!ED66</f>
        <v>8351</v>
      </c>
      <c r="EE84" s="377">
        <f>OPT!EE66</f>
        <v>8297</v>
      </c>
      <c r="EF84" s="377">
        <f>OPT!EF66</f>
        <v>8237</v>
      </c>
      <c r="EG84" s="377">
        <f>OPT!EG66</f>
        <v>8061</v>
      </c>
      <c r="EH84" s="324">
        <f>AVERAGE(ED84:EG84)</f>
        <v>8236.5</v>
      </c>
      <c r="EI84" s="2719">
        <f>OPT!EI66</f>
        <v>8084</v>
      </c>
      <c r="EJ84" s="2719">
        <f>OPT!EJ66</f>
        <v>8051</v>
      </c>
      <c r="EK84" s="2719">
        <f>OPT!EK66</f>
        <v>7985</v>
      </c>
      <c r="EL84" s="2719">
        <f>OPT!EL66</f>
        <v>7929</v>
      </c>
      <c r="EM84" s="2698">
        <f>AVERAGE(EI84:EL84)</f>
        <v>8012.25</v>
      </c>
      <c r="EN84" s="2719">
        <f>OPT!EN66</f>
        <v>7876</v>
      </c>
      <c r="EO84" s="2719">
        <f>OPT!EO66</f>
        <v>7830</v>
      </c>
      <c r="EP84" s="2719">
        <f>OPT!EP66</f>
        <v>7813</v>
      </c>
      <c r="EQ84" s="2719">
        <f>OPT!EQ66</f>
        <v>7806</v>
      </c>
      <c r="ER84" s="2698">
        <f>AVERAGE(EN84:EQ84)</f>
        <v>7831.25</v>
      </c>
      <c r="ES84" s="2719">
        <f>OPT!ES66</f>
        <v>7799</v>
      </c>
      <c r="ET84" s="2719">
        <f>OPT!ET66</f>
        <v>7810</v>
      </c>
      <c r="EU84" s="2719">
        <f>OPT!EU66</f>
        <v>7794</v>
      </c>
      <c r="EV84" s="377">
        <f>OPT!EV66</f>
        <v>7766.9</v>
      </c>
      <c r="EW84" s="324">
        <f>AVERAGE(ES84:EV84)</f>
        <v>7792.4750000000004</v>
      </c>
      <c r="EX84" s="377">
        <f>OPT!EX66</f>
        <v>7759.5214449999994</v>
      </c>
      <c r="EY84" s="377">
        <f>OPT!EY66</f>
        <v>7744.7783542545003</v>
      </c>
      <c r="EZ84" s="377">
        <f>OPT!EZ66</f>
        <v>7730.0632753814161</v>
      </c>
      <c r="FA84" s="377">
        <f>OPT!FA66</f>
        <v>7715.376155158192</v>
      </c>
      <c r="FB84" s="324">
        <f>AVERAGE(EX84:FA84)</f>
        <v>7737.434807448527</v>
      </c>
      <c r="FC84" s="377">
        <f>OPT!FC66</f>
        <v>7701.2950434317454</v>
      </c>
      <c r="FD84" s="377">
        <f>OPT!FD66</f>
        <v>7687.817777105739</v>
      </c>
      <c r="FE84" s="377">
        <f>OPT!FE66</f>
        <v>7674.3640959958038</v>
      </c>
      <c r="FF84" s="377">
        <f>OPT!FF66</f>
        <v>7660.9339588278099</v>
      </c>
      <c r="FG84" s="324">
        <f>AVERAGE(FC84:FF84)</f>
        <v>7681.1027188402741</v>
      </c>
      <c r="FH84" s="377">
        <f>OPT!FH66</f>
        <v>7651.545792404675</v>
      </c>
      <c r="FI84" s="377">
        <f>OPT!FI66</f>
        <v>7646.1897103499923</v>
      </c>
      <c r="FJ84" s="377">
        <f>OPT!FJ66</f>
        <v>7640.8373775527461</v>
      </c>
      <c r="FK84" s="377">
        <f>OPT!FK66</f>
        <v>7635.4887913884595</v>
      </c>
      <c r="FL84" s="324">
        <f>AVERAGE(FH84:FK84)</f>
        <v>7643.515417923968</v>
      </c>
      <c r="FM84" s="378"/>
      <c r="FN84" s="327"/>
      <c r="FO84" s="327"/>
      <c r="FP84" s="327"/>
      <c r="FQ84" s="327"/>
      <c r="FR84" s="327"/>
      <c r="FS84" s="327"/>
      <c r="FT84" s="327"/>
      <c r="FU84" s="327"/>
      <c r="FV84" s="327"/>
      <c r="FW84" s="327"/>
      <c r="FX84" s="852"/>
      <c r="FY84" s="853"/>
      <c r="FZ84" s="853"/>
      <c r="GA84" s="853">
        <f>AVERAGE(DU84,DR84,DT84,DQ84)</f>
        <v>8456</v>
      </c>
      <c r="GB84" s="853">
        <f>AVERAGE(DW84,DZ84,DY84,DV84)</f>
        <v>8425</v>
      </c>
      <c r="GC84" s="853">
        <f>AVERAGE(ED84:EE84,EA84:EB84)</f>
        <v>8340</v>
      </c>
      <c r="GD84" s="853">
        <f>AVERAGE(EI84:EJ84,EF84:EG84)</f>
        <v>8108.25</v>
      </c>
      <c r="GE84" s="853">
        <f>AVERAGE(EN84:EO84,EK84:EL84)</f>
        <v>7905</v>
      </c>
      <c r="GF84" s="853">
        <f>AVERAGE(ES84:ET84,EP84:EQ84)</f>
        <v>7807</v>
      </c>
      <c r="GG84" s="853">
        <f>AVERAGE(EX84:EY84,EU84:EV84)</f>
        <v>7766.2999498136251</v>
      </c>
      <c r="GH84" s="853">
        <f>AVERAGE(FC84:FD84,EZ84:FA84)</f>
        <v>7708.6380627692733</v>
      </c>
      <c r="GI84" s="853">
        <f>AVERAGE(FH84:FI84,FE84:FF84)</f>
        <v>7658.2583893945703</v>
      </c>
      <c r="GJ84" s="455"/>
      <c r="GK84" s="455"/>
      <c r="GL84" s="455"/>
      <c r="GN84"/>
      <c r="GO84"/>
      <c r="GP84"/>
      <c r="GQ84"/>
      <c r="GR84"/>
      <c r="GS84"/>
    </row>
    <row r="85" spans="1:201" s="376" customFormat="1" ht="3" hidden="1" customHeight="1" outlineLevel="1">
      <c r="A85" s="253"/>
      <c r="B85" s="375"/>
      <c r="C85" s="375"/>
      <c r="D85" s="325"/>
      <c r="E85" s="325"/>
      <c r="F85" s="325"/>
      <c r="G85" s="325"/>
      <c r="H85" s="324"/>
      <c r="I85" s="325"/>
      <c r="J85" s="325"/>
      <c r="K85" s="325"/>
      <c r="L85" s="325"/>
      <c r="M85" s="324"/>
      <c r="N85" s="325"/>
      <c r="O85" s="325"/>
      <c r="P85" s="325"/>
      <c r="Q85" s="325"/>
      <c r="R85" s="324"/>
      <c r="S85" s="325"/>
      <c r="T85" s="325"/>
      <c r="U85" s="325"/>
      <c r="V85" s="325"/>
      <c r="W85" s="324">
        <v>588</v>
      </c>
      <c r="X85" s="325"/>
      <c r="Y85" s="325"/>
      <c r="Z85" s="325"/>
      <c r="AA85" s="325"/>
      <c r="AB85" s="324"/>
      <c r="AC85" s="325"/>
      <c r="AD85" s="325"/>
      <c r="AE85" s="325"/>
      <c r="AF85" s="325"/>
      <c r="AG85" s="324"/>
      <c r="AH85" s="325"/>
      <c r="AI85" s="325"/>
      <c r="AJ85" s="325"/>
      <c r="AK85" s="325"/>
      <c r="AL85" s="324"/>
      <c r="AM85" s="325"/>
      <c r="AN85" s="325"/>
      <c r="AO85" s="325"/>
      <c r="AP85" s="325"/>
      <c r="AQ85" s="324"/>
      <c r="AR85" s="325"/>
      <c r="AS85" s="325"/>
      <c r="AT85" s="325"/>
      <c r="AU85" s="325"/>
      <c r="AV85" s="324"/>
      <c r="AW85" s="325"/>
      <c r="AX85" s="325"/>
      <c r="AY85" s="325"/>
      <c r="AZ85" s="325"/>
      <c r="BA85" s="324"/>
      <c r="BB85" s="325"/>
      <c r="BC85" s="325"/>
      <c r="BD85" s="325"/>
      <c r="BE85" s="325"/>
      <c r="BF85" s="324"/>
      <c r="BG85" s="325"/>
      <c r="BH85" s="325"/>
      <c r="BI85" s="325"/>
      <c r="BJ85" s="325"/>
      <c r="BK85" s="324"/>
      <c r="BL85" s="325"/>
      <c r="BM85" s="325"/>
      <c r="BN85" s="325"/>
      <c r="BO85" s="325"/>
      <c r="BP85" s="324"/>
      <c r="BQ85" s="325"/>
      <c r="BR85" s="325"/>
      <c r="BS85" s="325"/>
      <c r="BT85" s="325"/>
      <c r="BU85" s="324"/>
      <c r="BV85" s="325"/>
      <c r="BW85" s="325"/>
      <c r="BX85" s="325"/>
      <c r="BY85" s="325"/>
      <c r="BZ85" s="324"/>
      <c r="CA85" s="325"/>
      <c r="CB85" s="325"/>
      <c r="CC85" s="325"/>
      <c r="CD85" s="325"/>
      <c r="CE85" s="324"/>
      <c r="CF85" s="325"/>
      <c r="CG85" s="325"/>
      <c r="CH85" s="325"/>
      <c r="CI85" s="325"/>
      <c r="CJ85" s="324"/>
      <c r="CK85" s="325"/>
      <c r="CL85" s="325"/>
      <c r="CM85" s="325"/>
      <c r="CN85" s="325"/>
      <c r="CO85" s="324"/>
      <c r="CP85" s="325"/>
      <c r="CQ85" s="325"/>
      <c r="CR85" s="325"/>
      <c r="CS85" s="325"/>
      <c r="CT85" s="324"/>
      <c r="CU85" s="325"/>
      <c r="CV85" s="325"/>
      <c r="CW85" s="325"/>
      <c r="CX85" s="325"/>
      <c r="CY85" s="324"/>
      <c r="CZ85" s="325"/>
      <c r="DA85" s="325"/>
      <c r="DB85" s="325"/>
      <c r="DC85" s="325"/>
      <c r="DD85" s="324"/>
      <c r="DE85" s="325"/>
      <c r="DF85" s="325"/>
      <c r="DG85" s="325"/>
      <c r="DH85" s="325"/>
      <c r="DI85" s="324"/>
      <c r="DJ85" s="325"/>
      <c r="DK85" s="325"/>
      <c r="DL85" s="325"/>
      <c r="DM85" s="325"/>
      <c r="DN85" s="324"/>
      <c r="DO85" s="325"/>
      <c r="DP85" s="325"/>
      <c r="DQ85" s="325"/>
      <c r="DR85" s="325"/>
      <c r="DS85" s="324"/>
      <c r="DT85" s="325"/>
      <c r="DU85" s="325"/>
      <c r="DV85" s="325"/>
      <c r="DW85" s="325"/>
      <c r="DX85" s="324"/>
      <c r="DY85" s="325"/>
      <c r="DZ85" s="325"/>
      <c r="EA85" s="325"/>
      <c r="EB85" s="325"/>
      <c r="EC85" s="324"/>
      <c r="ED85" s="325"/>
      <c r="EE85" s="325"/>
      <c r="EF85" s="325"/>
      <c r="EG85" s="325"/>
      <c r="EH85" s="324"/>
      <c r="EI85" s="2697"/>
      <c r="EJ85" s="2697"/>
      <c r="EK85" s="2697"/>
      <c r="EL85" s="2697"/>
      <c r="EM85" s="2698"/>
      <c r="EN85" s="2697"/>
      <c r="EO85" s="2697"/>
      <c r="EP85" s="2697"/>
      <c r="EQ85" s="2697"/>
      <c r="ER85" s="2698"/>
      <c r="ES85" s="2697"/>
      <c r="ET85" s="2697"/>
      <c r="EU85" s="2697"/>
      <c r="EV85" s="325"/>
      <c r="EW85" s="324"/>
      <c r="EX85" s="325"/>
      <c r="EY85" s="325"/>
      <c r="EZ85" s="325"/>
      <c r="FA85" s="325"/>
      <c r="FB85" s="324"/>
      <c r="FC85" s="325"/>
      <c r="FD85" s="325"/>
      <c r="FE85" s="325"/>
      <c r="FF85" s="325"/>
      <c r="FG85" s="324"/>
      <c r="FH85" s="325"/>
      <c r="FI85" s="325"/>
      <c r="FJ85" s="325"/>
      <c r="FK85" s="325"/>
      <c r="FL85" s="324"/>
      <c r="FN85" s="339"/>
      <c r="FO85" s="339"/>
      <c r="FP85" s="339"/>
      <c r="FQ85" s="339"/>
      <c r="FR85" s="339"/>
      <c r="FS85" s="339"/>
      <c r="FT85" s="339"/>
      <c r="FU85" s="339"/>
      <c r="FV85" s="339"/>
      <c r="FW85" s="339"/>
      <c r="FX85" s="857"/>
      <c r="FY85" s="858"/>
      <c r="FZ85" s="858"/>
      <c r="GA85" s="858"/>
      <c r="GB85" s="858"/>
      <c r="GC85" s="858"/>
      <c r="GD85" s="858"/>
      <c r="GE85" s="858"/>
      <c r="GF85" s="858"/>
      <c r="GG85" s="858"/>
      <c r="GH85" s="858"/>
      <c r="GI85" s="858"/>
      <c r="GJ85" s="253"/>
      <c r="GK85" s="253"/>
      <c r="GL85" s="253"/>
      <c r="GN85"/>
      <c r="GO85"/>
      <c r="GP85"/>
      <c r="GQ85"/>
      <c r="GR85"/>
      <c r="GS85"/>
    </row>
    <row r="86" spans="1:201" s="376" customFormat="1" ht="11.25" hidden="1" customHeight="1" outlineLevel="1">
      <c r="A86" s="253" t="s">
        <v>687</v>
      </c>
      <c r="B86" s="375"/>
      <c r="C86" s="375"/>
      <c r="D86" s="325">
        <v>16</v>
      </c>
      <c r="E86" s="325">
        <v>16</v>
      </c>
      <c r="F86" s="325">
        <v>16</v>
      </c>
      <c r="G86" s="325">
        <v>16</v>
      </c>
      <c r="H86" s="324">
        <v>16</v>
      </c>
      <c r="I86" s="325">
        <v>16</v>
      </c>
      <c r="J86" s="325">
        <v>16</v>
      </c>
      <c r="K86" s="325">
        <v>16</v>
      </c>
      <c r="L86" s="325">
        <v>16</v>
      </c>
      <c r="M86" s="324">
        <v>16</v>
      </c>
      <c r="N86" s="325">
        <v>16</v>
      </c>
      <c r="O86" s="325">
        <v>16</v>
      </c>
      <c r="P86" s="325">
        <v>16</v>
      </c>
      <c r="Q86" s="325">
        <v>16</v>
      </c>
      <c r="R86" s="324">
        <v>16</v>
      </c>
      <c r="S86" s="325">
        <v>16</v>
      </c>
      <c r="T86" s="325">
        <v>16</v>
      </c>
      <c r="U86" s="325">
        <v>16</v>
      </c>
      <c r="V86" s="325">
        <v>16</v>
      </c>
      <c r="W86" s="324">
        <v>16</v>
      </c>
      <c r="X86" s="325">
        <v>16</v>
      </c>
      <c r="Y86" s="325">
        <v>16</v>
      </c>
      <c r="Z86" s="325">
        <v>16</v>
      </c>
      <c r="AA86" s="325">
        <v>16</v>
      </c>
      <c r="AB86" s="324">
        <v>16</v>
      </c>
      <c r="AC86" s="325">
        <v>16</v>
      </c>
      <c r="AD86" s="325">
        <v>16</v>
      </c>
      <c r="AE86" s="325">
        <v>16</v>
      </c>
      <c r="AF86" s="325">
        <v>16</v>
      </c>
      <c r="AG86" s="324">
        <v>16</v>
      </c>
      <c r="AH86" s="325">
        <v>16</v>
      </c>
      <c r="AI86" s="325">
        <v>16</v>
      </c>
      <c r="AJ86" s="325">
        <v>16</v>
      </c>
      <c r="AK86" s="325">
        <v>16</v>
      </c>
      <c r="AL86" s="324">
        <v>16</v>
      </c>
      <c r="AM86" s="325">
        <v>16</v>
      </c>
      <c r="AN86" s="325">
        <v>16</v>
      </c>
      <c r="AO86" s="325">
        <v>16</v>
      </c>
      <c r="AP86" s="325">
        <v>16</v>
      </c>
      <c r="AQ86" s="324">
        <v>16</v>
      </c>
      <c r="AR86" s="325">
        <v>4</v>
      </c>
      <c r="AS86" s="325">
        <v>4</v>
      </c>
      <c r="AT86" s="325">
        <v>4</v>
      </c>
      <c r="AU86" s="325">
        <v>4</v>
      </c>
      <c r="AV86" s="324">
        <v>4</v>
      </c>
      <c r="AW86" s="325">
        <v>4</v>
      </c>
      <c r="AX86" s="325">
        <v>4</v>
      </c>
      <c r="AY86" s="325">
        <v>2</v>
      </c>
      <c r="AZ86" s="325">
        <v>2</v>
      </c>
      <c r="BA86" s="324">
        <v>2</v>
      </c>
      <c r="BB86" s="325">
        <v>2</v>
      </c>
      <c r="BC86" s="325">
        <v>2</v>
      </c>
      <c r="BD86" s="325">
        <v>2</v>
      </c>
      <c r="BE86" s="325">
        <v>2</v>
      </c>
      <c r="BF86" s="324">
        <v>2</v>
      </c>
      <c r="BG86" s="325">
        <v>2</v>
      </c>
      <c r="BH86" s="325">
        <v>2</v>
      </c>
      <c r="BI86" s="325">
        <v>2</v>
      </c>
      <c r="BJ86" s="325">
        <v>2</v>
      </c>
      <c r="BK86" s="324">
        <v>2</v>
      </c>
      <c r="BL86" s="325">
        <v>2</v>
      </c>
      <c r="BM86" s="325">
        <v>2</v>
      </c>
      <c r="BN86" s="325">
        <v>2</v>
      </c>
      <c r="BO86" s="325">
        <v>2</v>
      </c>
      <c r="BP86" s="324">
        <v>2</v>
      </c>
      <c r="BQ86" s="325">
        <v>2</v>
      </c>
      <c r="BR86" s="325">
        <v>2</v>
      </c>
      <c r="BS86" s="325">
        <v>2</v>
      </c>
      <c r="BT86" s="325">
        <v>2</v>
      </c>
      <c r="BU86" s="324">
        <v>2</v>
      </c>
      <c r="BV86" s="325">
        <v>2</v>
      </c>
      <c r="BW86" s="325">
        <v>2</v>
      </c>
      <c r="BX86" s="325">
        <v>1</v>
      </c>
      <c r="BY86" s="325">
        <v>1</v>
      </c>
      <c r="BZ86" s="324">
        <v>1</v>
      </c>
      <c r="CA86" s="325">
        <v>1</v>
      </c>
      <c r="CB86" s="325">
        <v>1</v>
      </c>
      <c r="CC86" s="325">
        <v>1</v>
      </c>
      <c r="CD86" s="325">
        <v>1</v>
      </c>
      <c r="CE86" s="324">
        <v>1</v>
      </c>
      <c r="CF86" s="325">
        <v>1</v>
      </c>
      <c r="CG86" s="325">
        <v>1</v>
      </c>
      <c r="CH86" s="325">
        <v>1</v>
      </c>
      <c r="CI86" s="325">
        <v>1</v>
      </c>
      <c r="CJ86" s="324">
        <v>1</v>
      </c>
      <c r="CK86" s="325">
        <v>1</v>
      </c>
      <c r="CL86" s="325">
        <v>1</v>
      </c>
      <c r="CM86" s="325">
        <v>1</v>
      </c>
      <c r="CN86" s="325">
        <v>1</v>
      </c>
      <c r="CO86" s="324">
        <v>1</v>
      </c>
      <c r="CP86" s="325">
        <v>1</v>
      </c>
      <c r="CQ86" s="325">
        <v>1</v>
      </c>
      <c r="CR86" s="325">
        <v>1</v>
      </c>
      <c r="CS86" s="325">
        <v>1</v>
      </c>
      <c r="CT86" s="324">
        <v>1</v>
      </c>
      <c r="CU86" s="325">
        <v>1</v>
      </c>
      <c r="CV86" s="325">
        <v>1</v>
      </c>
      <c r="CW86" s="325">
        <v>1</v>
      </c>
      <c r="CX86" s="325">
        <v>1</v>
      </c>
      <c r="CY86" s="324">
        <v>1</v>
      </c>
      <c r="CZ86" s="325">
        <v>1</v>
      </c>
      <c r="DA86" s="325">
        <v>1</v>
      </c>
      <c r="DB86" s="325">
        <v>1</v>
      </c>
      <c r="DC86" s="325">
        <v>1</v>
      </c>
      <c r="DD86" s="324">
        <v>1</v>
      </c>
      <c r="DE86" s="325">
        <v>1</v>
      </c>
      <c r="DF86" s="325">
        <v>1</v>
      </c>
      <c r="DG86" s="325">
        <v>1</v>
      </c>
      <c r="DH86" s="325">
        <v>1</v>
      </c>
      <c r="DI86" s="1118">
        <v>1</v>
      </c>
      <c r="DJ86" s="1116">
        <v>1</v>
      </c>
      <c r="DK86" s="1116">
        <v>1</v>
      </c>
      <c r="DL86" s="1116">
        <v>1</v>
      </c>
      <c r="DM86" s="1116">
        <v>1</v>
      </c>
      <c r="DN86" s="1118">
        <v>1</v>
      </c>
      <c r="DO86" s="1116">
        <v>1</v>
      </c>
      <c r="DP86" s="1116">
        <v>1</v>
      </c>
      <c r="DQ86" s="1116">
        <v>1</v>
      </c>
      <c r="DR86" s="1116">
        <v>1</v>
      </c>
      <c r="DS86" s="1118">
        <v>1</v>
      </c>
      <c r="DT86" s="1116">
        <v>1</v>
      </c>
      <c r="DU86" s="1116">
        <v>1</v>
      </c>
      <c r="DV86" s="1116">
        <v>1</v>
      </c>
      <c r="DW86" s="1116">
        <v>1</v>
      </c>
      <c r="DX86" s="1118">
        <v>1</v>
      </c>
      <c r="DY86" s="1116">
        <v>1</v>
      </c>
      <c r="DZ86" s="1116">
        <v>1</v>
      </c>
      <c r="EA86" s="1116">
        <v>1</v>
      </c>
      <c r="EB86" s="1116">
        <v>1</v>
      </c>
      <c r="EC86" s="1118">
        <v>1</v>
      </c>
      <c r="ED86" s="1116">
        <v>1</v>
      </c>
      <c r="EE86" s="1116">
        <v>1</v>
      </c>
      <c r="EF86" s="1116">
        <v>1</v>
      </c>
      <c r="EG86" s="1116">
        <v>1</v>
      </c>
      <c r="EH86" s="324">
        <v>1</v>
      </c>
      <c r="EI86" s="2720">
        <v>1</v>
      </c>
      <c r="EJ86" s="2720">
        <v>1</v>
      </c>
      <c r="EK86" s="2720">
        <v>1</v>
      </c>
      <c r="EL86" s="2720">
        <v>1</v>
      </c>
      <c r="EM86" s="2698">
        <v>1</v>
      </c>
      <c r="EN86" s="2720">
        <v>1</v>
      </c>
      <c r="EO86" s="2720">
        <v>1</v>
      </c>
      <c r="EP86" s="2720">
        <v>1</v>
      </c>
      <c r="EQ86" s="2720">
        <v>1</v>
      </c>
      <c r="ER86" s="2698">
        <v>1</v>
      </c>
      <c r="ES86" s="2720">
        <v>1</v>
      </c>
      <c r="ET86" s="2720">
        <v>1</v>
      </c>
      <c r="EU86" s="2720">
        <v>1</v>
      </c>
      <c r="EV86" s="325">
        <v>1</v>
      </c>
      <c r="EW86" s="324">
        <v>1</v>
      </c>
      <c r="EX86" s="325">
        <v>1</v>
      </c>
      <c r="EY86" s="325">
        <v>1</v>
      </c>
      <c r="EZ86" s="325">
        <v>1</v>
      </c>
      <c r="FA86" s="325">
        <v>1</v>
      </c>
      <c r="FB86" s="324">
        <v>1</v>
      </c>
      <c r="FC86" s="325">
        <v>1</v>
      </c>
      <c r="FD86" s="325">
        <v>1</v>
      </c>
      <c r="FE86" s="325">
        <v>1</v>
      </c>
      <c r="FF86" s="325">
        <v>1</v>
      </c>
      <c r="FG86" s="324">
        <v>1</v>
      </c>
      <c r="FH86" s="325">
        <v>1</v>
      </c>
      <c r="FI86" s="325">
        <v>1</v>
      </c>
      <c r="FJ86" s="325">
        <v>1</v>
      </c>
      <c r="FK86" s="325">
        <v>1</v>
      </c>
      <c r="FL86" s="324">
        <v>1</v>
      </c>
      <c r="FN86" s="339"/>
      <c r="FO86" s="339"/>
      <c r="FP86" s="339"/>
      <c r="FQ86" s="339"/>
      <c r="FR86" s="339"/>
      <c r="FS86" s="339"/>
      <c r="FT86" s="339"/>
      <c r="FU86" s="339"/>
      <c r="FV86" s="339"/>
      <c r="FW86" s="339"/>
      <c r="FX86" s="857"/>
      <c r="FY86" s="858"/>
      <c r="FZ86" s="858"/>
      <c r="GA86" s="858"/>
      <c r="GB86" s="858"/>
      <c r="GC86" s="858"/>
      <c r="GD86" s="858"/>
      <c r="GE86" s="858"/>
      <c r="GF86" s="858"/>
      <c r="GG86" s="858"/>
      <c r="GH86" s="858"/>
      <c r="GI86" s="858"/>
      <c r="GJ86" s="253"/>
      <c r="GK86" s="253"/>
      <c r="GL86" s="253"/>
      <c r="GN86"/>
      <c r="GO86"/>
      <c r="GP86"/>
      <c r="GQ86"/>
      <c r="GR86"/>
      <c r="GS86"/>
    </row>
    <row r="87" spans="1:201" s="376" customFormat="1" ht="3" hidden="1" customHeight="1" outlineLevel="1">
      <c r="A87" s="253"/>
      <c r="B87" s="375"/>
      <c r="C87" s="375"/>
      <c r="D87" s="325"/>
      <c r="E87" s="325"/>
      <c r="F87" s="325"/>
      <c r="G87" s="325"/>
      <c r="H87" s="324"/>
      <c r="I87" s="325"/>
      <c r="J87" s="325"/>
      <c r="K87" s="325"/>
      <c r="L87" s="325"/>
      <c r="M87" s="324"/>
      <c r="N87" s="325"/>
      <c r="O87" s="325"/>
      <c r="P87" s="325"/>
      <c r="Q87" s="325"/>
      <c r="R87" s="324"/>
      <c r="S87" s="325"/>
      <c r="T87" s="325"/>
      <c r="U87" s="325"/>
      <c r="V87" s="325"/>
      <c r="W87" s="324"/>
      <c r="X87" s="325"/>
      <c r="Y87" s="325"/>
      <c r="Z87" s="325"/>
      <c r="AA87" s="325"/>
      <c r="AB87" s="324"/>
      <c r="AC87" s="325"/>
      <c r="AD87" s="325"/>
      <c r="AE87" s="325"/>
      <c r="AF87" s="325"/>
      <c r="AG87" s="324"/>
      <c r="AH87" s="325"/>
      <c r="AI87" s="325"/>
      <c r="AJ87" s="325"/>
      <c r="AK87" s="325"/>
      <c r="AL87" s="324"/>
      <c r="AM87" s="325"/>
      <c r="AN87" s="325"/>
      <c r="AO87" s="325"/>
      <c r="AP87" s="325"/>
      <c r="AQ87" s="324"/>
      <c r="AR87" s="325"/>
      <c r="AS87" s="325"/>
      <c r="AT87" s="325"/>
      <c r="AU87" s="325"/>
      <c r="AV87" s="324"/>
      <c r="AW87" s="325"/>
      <c r="AX87" s="325"/>
      <c r="AY87" s="325"/>
      <c r="AZ87" s="325"/>
      <c r="BA87" s="324"/>
      <c r="BB87" s="325"/>
      <c r="BC87" s="325"/>
      <c r="BD87" s="325"/>
      <c r="BE87" s="325"/>
      <c r="BF87" s="324"/>
      <c r="BG87" s="325"/>
      <c r="BH87" s="325"/>
      <c r="BI87" s="325"/>
      <c r="BJ87" s="325"/>
      <c r="BK87" s="324"/>
      <c r="BL87" s="325"/>
      <c r="BM87" s="325"/>
      <c r="BN87" s="325"/>
      <c r="BO87" s="325"/>
      <c r="BP87" s="324"/>
      <c r="BQ87" s="325"/>
      <c r="BR87" s="325"/>
      <c r="BS87" s="325"/>
      <c r="BT87" s="325"/>
      <c r="BU87" s="324"/>
      <c r="BV87" s="325"/>
      <c r="BW87" s="325"/>
      <c r="BX87" s="325"/>
      <c r="BY87" s="325"/>
      <c r="BZ87" s="324"/>
      <c r="CA87" s="325"/>
      <c r="CB87" s="325"/>
      <c r="CC87" s="325"/>
      <c r="CD87" s="325"/>
      <c r="CE87" s="324"/>
      <c r="CF87" s="325"/>
      <c r="CG87" s="325"/>
      <c r="CH87" s="325"/>
      <c r="CI87" s="325"/>
      <c r="CJ87" s="324"/>
      <c r="CK87" s="325"/>
      <c r="CL87" s="325"/>
      <c r="CM87" s="325"/>
      <c r="CN87" s="325"/>
      <c r="CO87" s="324"/>
      <c r="CP87" s="325"/>
      <c r="CQ87" s="325"/>
      <c r="CR87" s="325"/>
      <c r="CS87" s="325"/>
      <c r="CT87" s="324"/>
      <c r="CU87" s="325"/>
      <c r="CV87" s="325"/>
      <c r="CW87" s="325"/>
      <c r="CX87" s="325"/>
      <c r="CY87" s="324"/>
      <c r="CZ87" s="325"/>
      <c r="DA87" s="325"/>
      <c r="DB87" s="325"/>
      <c r="DC87" s="325"/>
      <c r="DD87" s="324"/>
      <c r="DE87" s="325"/>
      <c r="DF87" s="325"/>
      <c r="DG87" s="325"/>
      <c r="DH87" s="325"/>
      <c r="DI87" s="324"/>
      <c r="DJ87" s="325"/>
      <c r="DK87" s="325"/>
      <c r="DL87" s="325"/>
      <c r="DM87" s="325"/>
      <c r="DN87" s="324"/>
      <c r="DO87" s="325"/>
      <c r="DP87" s="325"/>
      <c r="DQ87" s="325"/>
      <c r="DR87" s="325"/>
      <c r="DS87" s="324"/>
      <c r="DT87" s="325"/>
      <c r="DU87" s="325"/>
      <c r="DV87" s="325"/>
      <c r="DW87" s="325"/>
      <c r="DX87" s="324"/>
      <c r="DY87" s="325"/>
      <c r="DZ87" s="325"/>
      <c r="EA87" s="325"/>
      <c r="EB87" s="325"/>
      <c r="EC87" s="324"/>
      <c r="ED87" s="325"/>
      <c r="EE87" s="325"/>
      <c r="EF87" s="325"/>
      <c r="EG87" s="325"/>
      <c r="EH87" s="324"/>
      <c r="EI87" s="2697"/>
      <c r="EJ87" s="2697"/>
      <c r="EK87" s="2697"/>
      <c r="EL87" s="2697"/>
      <c r="EM87" s="2698"/>
      <c r="EN87" s="2697"/>
      <c r="EO87" s="2697"/>
      <c r="EP87" s="2697"/>
      <c r="EQ87" s="2697"/>
      <c r="ER87" s="2698"/>
      <c r="ES87" s="2697"/>
      <c r="ET87" s="2697"/>
      <c r="EU87" s="2697"/>
      <c r="EV87" s="325"/>
      <c r="EW87" s="324"/>
      <c r="EX87" s="325"/>
      <c r="EY87" s="325"/>
      <c r="EZ87" s="325"/>
      <c r="FA87" s="325"/>
      <c r="FB87" s="324"/>
      <c r="FC87" s="325"/>
      <c r="FD87" s="325"/>
      <c r="FE87" s="325"/>
      <c r="FF87" s="325"/>
      <c r="FG87" s="324"/>
      <c r="FH87" s="325"/>
      <c r="FI87" s="325"/>
      <c r="FJ87" s="325"/>
      <c r="FK87" s="325"/>
      <c r="FL87" s="324"/>
      <c r="FN87" s="339"/>
      <c r="FO87" s="339"/>
      <c r="FP87" s="339"/>
      <c r="FQ87" s="339"/>
      <c r="FR87" s="339"/>
      <c r="FS87" s="339"/>
      <c r="FT87" s="339"/>
      <c r="FU87" s="339"/>
      <c r="FV87" s="339"/>
      <c r="FW87" s="339"/>
      <c r="FX87" s="857"/>
      <c r="FY87" s="858"/>
      <c r="FZ87" s="858"/>
      <c r="GA87" s="858"/>
      <c r="GB87" s="858"/>
      <c r="GC87" s="858"/>
      <c r="GD87" s="858"/>
      <c r="GE87" s="858"/>
      <c r="GF87" s="858"/>
      <c r="GG87" s="858"/>
      <c r="GH87" s="858"/>
      <c r="GI87" s="858"/>
      <c r="GJ87" s="253"/>
      <c r="GK87" s="253"/>
      <c r="GL87" s="253"/>
      <c r="GN87"/>
      <c r="GO87"/>
      <c r="GP87"/>
      <c r="GQ87"/>
      <c r="GR87"/>
      <c r="GS87"/>
    </row>
    <row r="88" spans="1:201" s="264" customFormat="1" ht="11.25" hidden="1" customHeight="1" outlineLevel="1">
      <c r="A88" s="253" t="str">
        <f>"Basic Shares Outstanding (Q) ("&amp;ROWS(FootnoteStart:A137)-1&amp;")"</f>
        <v>Basic Shares Outstanding (Q) (11)</v>
      </c>
      <c r="B88" s="253"/>
      <c r="C88" s="253"/>
      <c r="D88" s="325">
        <f t="shared" ref="D88:AP88" si="533">+(D82)*D86</f>
        <v>0</v>
      </c>
      <c r="E88" s="325">
        <f t="shared" si="533"/>
        <v>0</v>
      </c>
      <c r="F88" s="325">
        <f t="shared" si="533"/>
        <v>0</v>
      </c>
      <c r="G88" s="325">
        <f t="shared" si="533"/>
        <v>0</v>
      </c>
      <c r="H88" s="324">
        <f>+(H82)*H86</f>
        <v>0</v>
      </c>
      <c r="I88" s="325">
        <f t="shared" si="533"/>
        <v>0</v>
      </c>
      <c r="J88" s="325">
        <f t="shared" si="533"/>
        <v>0</v>
      </c>
      <c r="K88" s="325">
        <f t="shared" si="533"/>
        <v>0</v>
      </c>
      <c r="L88" s="325">
        <f t="shared" si="533"/>
        <v>0</v>
      </c>
      <c r="M88" s="324">
        <f>+(M82)*M86</f>
        <v>0</v>
      </c>
      <c r="N88" s="325">
        <f t="shared" si="533"/>
        <v>0</v>
      </c>
      <c r="O88" s="325">
        <f t="shared" si="533"/>
        <v>0</v>
      </c>
      <c r="P88" s="325">
        <f t="shared" si="533"/>
        <v>0</v>
      </c>
      <c r="Q88" s="325">
        <f t="shared" si="533"/>
        <v>0</v>
      </c>
      <c r="R88" s="324">
        <f>+(R82)*R86</f>
        <v>0</v>
      </c>
      <c r="S88" s="325">
        <f t="shared" si="533"/>
        <v>0</v>
      </c>
      <c r="T88" s="325">
        <f t="shared" si="533"/>
        <v>0</v>
      </c>
      <c r="U88" s="325">
        <f t="shared" si="533"/>
        <v>0</v>
      </c>
      <c r="V88" s="325">
        <f t="shared" si="533"/>
        <v>0</v>
      </c>
      <c r="W88" s="324">
        <f>+(W82)*W86</f>
        <v>0</v>
      </c>
      <c r="X88" s="325">
        <f t="shared" si="533"/>
        <v>0</v>
      </c>
      <c r="Y88" s="325">
        <f t="shared" si="533"/>
        <v>0</v>
      </c>
      <c r="Z88" s="325">
        <f t="shared" si="533"/>
        <v>0</v>
      </c>
      <c r="AA88" s="325">
        <f t="shared" si="533"/>
        <v>0</v>
      </c>
      <c r="AB88" s="324">
        <f>+(AB82)*AB86</f>
        <v>0</v>
      </c>
      <c r="AC88" s="325">
        <f t="shared" si="533"/>
        <v>0</v>
      </c>
      <c r="AD88" s="325">
        <f t="shared" si="533"/>
        <v>0</v>
      </c>
      <c r="AE88" s="325">
        <f t="shared" si="533"/>
        <v>0</v>
      </c>
      <c r="AF88" s="325">
        <f t="shared" si="533"/>
        <v>0</v>
      </c>
      <c r="AG88" s="324"/>
      <c r="AH88" s="325">
        <f t="shared" si="533"/>
        <v>0</v>
      </c>
      <c r="AI88" s="325">
        <f t="shared" si="533"/>
        <v>0</v>
      </c>
      <c r="AJ88" s="325">
        <f t="shared" si="533"/>
        <v>0</v>
      </c>
      <c r="AK88" s="325">
        <f t="shared" si="533"/>
        <v>9408</v>
      </c>
      <c r="AL88" s="324">
        <f>+(AL82)*AL86</f>
        <v>9408</v>
      </c>
      <c r="AM88" s="325">
        <f t="shared" si="533"/>
        <v>9476.8944159999992</v>
      </c>
      <c r="AN88" s="325">
        <f t="shared" si="533"/>
        <v>9440</v>
      </c>
      <c r="AO88" s="325">
        <f t="shared" si="533"/>
        <v>9520</v>
      </c>
      <c r="AP88" s="325">
        <f t="shared" si="533"/>
        <v>9552</v>
      </c>
      <c r="AQ88" s="324">
        <f>+(AQ82)*AQ86</f>
        <v>9552</v>
      </c>
      <c r="AR88" s="325">
        <f t="shared" ref="AR88:CE88" si="534">+(AR82)*AR86</f>
        <v>2388</v>
      </c>
      <c r="AS88" s="325">
        <f t="shared" si="534"/>
        <v>4792</v>
      </c>
      <c r="AT88" s="325">
        <f t="shared" si="534"/>
        <v>4764</v>
      </c>
      <c r="AU88" s="325">
        <f t="shared" si="534"/>
        <v>4816</v>
      </c>
      <c r="AV88" s="324">
        <f>+(AV82)*AV86</f>
        <v>4816</v>
      </c>
      <c r="AW88" s="325">
        <f t="shared" si="534"/>
        <v>4828</v>
      </c>
      <c r="AX88" s="325">
        <f t="shared" si="534"/>
        <v>4844</v>
      </c>
      <c r="AY88" s="325">
        <f t="shared" si="534"/>
        <v>4908</v>
      </c>
      <c r="AZ88" s="325">
        <f t="shared" si="534"/>
        <v>4940</v>
      </c>
      <c r="BA88" s="324">
        <f>+(BA82)*BA86</f>
        <v>4940</v>
      </c>
      <c r="BB88" s="325">
        <f t="shared" si="534"/>
        <v>4976</v>
      </c>
      <c r="BC88" s="325">
        <f t="shared" si="534"/>
        <v>5020</v>
      </c>
      <c r="BD88" s="325">
        <f t="shared" si="534"/>
        <v>10182</v>
      </c>
      <c r="BE88" s="325">
        <f t="shared" si="534"/>
        <v>10218</v>
      </c>
      <c r="BF88" s="324">
        <f>+(BF82)*BF86</f>
        <v>10218</v>
      </c>
      <c r="BG88" s="325">
        <f t="shared" si="534"/>
        <v>10296</v>
      </c>
      <c r="BH88" s="325">
        <f t="shared" si="534"/>
        <v>10354</v>
      </c>
      <c r="BI88" s="325">
        <f t="shared" si="534"/>
        <v>10484</v>
      </c>
      <c r="BJ88" s="325">
        <f t="shared" si="534"/>
        <v>10566</v>
      </c>
      <c r="BK88" s="324">
        <f>+(BK82)*BK86</f>
        <v>10566</v>
      </c>
      <c r="BL88" s="325">
        <f t="shared" si="534"/>
        <v>10632</v>
      </c>
      <c r="BM88" s="325">
        <f t="shared" si="534"/>
        <v>10642</v>
      </c>
      <c r="BN88" s="325">
        <f t="shared" si="534"/>
        <v>10672</v>
      </c>
      <c r="BO88" s="325">
        <f t="shared" si="534"/>
        <v>10766</v>
      </c>
      <c r="BP88" s="324">
        <f>+(BP82)*BP86</f>
        <v>10766</v>
      </c>
      <c r="BQ88" s="325">
        <f t="shared" si="534"/>
        <v>10772</v>
      </c>
      <c r="BR88" s="325">
        <f t="shared" si="534"/>
        <v>10806</v>
      </c>
      <c r="BS88" s="325">
        <f t="shared" si="534"/>
        <v>10830.925504000001</v>
      </c>
      <c r="BT88" s="325">
        <f t="shared" si="534"/>
        <v>10718</v>
      </c>
      <c r="BU88" s="324">
        <f t="shared" si="534"/>
        <v>10718</v>
      </c>
      <c r="BV88" s="325">
        <f t="shared" si="534"/>
        <v>10692.899744</v>
      </c>
      <c r="BW88" s="325">
        <f t="shared" si="534"/>
        <v>10701.385302000001</v>
      </c>
      <c r="BX88" s="325">
        <f t="shared" si="534"/>
        <v>10722</v>
      </c>
      <c r="BY88" s="325">
        <f t="shared" si="534"/>
        <v>10771</v>
      </c>
      <c r="BZ88" s="324">
        <f>+(BZ82)*BZ86</f>
        <v>10771</v>
      </c>
      <c r="CA88" s="325">
        <f t="shared" si="534"/>
        <v>10805</v>
      </c>
      <c r="CB88" s="325">
        <f t="shared" si="534"/>
        <v>10789</v>
      </c>
      <c r="CC88" s="325">
        <f t="shared" si="534"/>
        <v>10777</v>
      </c>
      <c r="CD88" s="325">
        <f t="shared" si="534"/>
        <v>10862</v>
      </c>
      <c r="CE88" s="324">
        <f t="shared" si="534"/>
        <v>10862</v>
      </c>
      <c r="CF88" s="325">
        <f t="shared" ref="CF88:CX88" si="535">+(CF82)*CF86</f>
        <v>10865</v>
      </c>
      <c r="CG88" s="325">
        <f t="shared" si="535"/>
        <v>10880.222153000001</v>
      </c>
      <c r="CH88" s="325">
        <f t="shared" si="535"/>
        <v>10804.353235</v>
      </c>
      <c r="CI88" s="325">
        <f t="shared" si="535"/>
        <v>10710</v>
      </c>
      <c r="CJ88" s="324">
        <f>+(CJ82)*CJ86</f>
        <v>10710</v>
      </c>
      <c r="CK88" s="325">
        <f t="shared" si="535"/>
        <v>10645</v>
      </c>
      <c r="CL88" s="325">
        <f t="shared" si="535"/>
        <v>10384</v>
      </c>
      <c r="CM88" s="325">
        <f t="shared" si="535"/>
        <v>10225</v>
      </c>
      <c r="CN88" s="325">
        <f t="shared" si="535"/>
        <v>10062</v>
      </c>
      <c r="CO88" s="324">
        <f>+(CO82)*CO86</f>
        <v>10062</v>
      </c>
      <c r="CP88" s="325">
        <f t="shared" si="535"/>
        <v>9820</v>
      </c>
      <c r="CQ88" s="325">
        <f t="shared" si="535"/>
        <v>9777</v>
      </c>
      <c r="CR88" s="325">
        <f t="shared" si="535"/>
        <v>9572</v>
      </c>
      <c r="CS88" s="325">
        <f t="shared" si="535"/>
        <v>9375.4924960000008</v>
      </c>
      <c r="CT88" s="324">
        <f t="shared" si="535"/>
        <v>9375.4924960000008</v>
      </c>
      <c r="CU88" s="325">
        <f t="shared" si="535"/>
        <v>9355</v>
      </c>
      <c r="CV88" s="325">
        <f t="shared" si="535"/>
        <v>9306.9797460000009</v>
      </c>
      <c r="CW88" s="325">
        <f t="shared" si="535"/>
        <v>9313.2928329999995</v>
      </c>
      <c r="CX88" s="325">
        <f t="shared" si="535"/>
        <v>9130.2930739999993</v>
      </c>
      <c r="CY88" s="324">
        <f t="shared" ref="CY88:DI88" si="536">+(CY82)*CY86</f>
        <v>9130.2930739999993</v>
      </c>
      <c r="CZ88" s="325">
        <f t="shared" si="536"/>
        <v>8895.5727200000001</v>
      </c>
      <c r="DA88" s="325">
        <f t="shared" si="536"/>
        <v>8890.5628730000008</v>
      </c>
      <c r="DB88" s="325">
        <f t="shared" si="536"/>
        <v>8899.7199999999993</v>
      </c>
      <c r="DC88" s="325">
        <v>8901</v>
      </c>
      <c r="DD88" s="324">
        <f t="shared" si="536"/>
        <v>8908</v>
      </c>
      <c r="DE88" s="325">
        <f t="shared" si="536"/>
        <v>8914</v>
      </c>
      <c r="DF88" s="325">
        <f t="shared" si="536"/>
        <v>8856</v>
      </c>
      <c r="DG88" s="325">
        <f t="shared" si="536"/>
        <v>8767</v>
      </c>
      <c r="DH88" s="325">
        <f t="shared" si="536"/>
        <v>8712</v>
      </c>
      <c r="DI88" s="324">
        <f t="shared" si="536"/>
        <v>8712</v>
      </c>
      <c r="DJ88" s="325">
        <f t="shared" ref="DJ88:DS88" si="537">+(DJ82)*DJ86</f>
        <v>8614</v>
      </c>
      <c r="DK88" s="325">
        <f t="shared" si="537"/>
        <v>8497</v>
      </c>
      <c r="DL88" s="325">
        <f t="shared" si="537"/>
        <v>8420</v>
      </c>
      <c r="DM88" s="325">
        <f t="shared" si="537"/>
        <v>8429</v>
      </c>
      <c r="DN88" s="324">
        <f t="shared" si="537"/>
        <v>8429</v>
      </c>
      <c r="DO88" s="1116">
        <v>8392</v>
      </c>
      <c r="DP88" s="325">
        <f t="shared" si="537"/>
        <v>8402</v>
      </c>
      <c r="DQ88" s="1116">
        <v>8410</v>
      </c>
      <c r="DR88" s="1116">
        <v>8388</v>
      </c>
      <c r="DS88" s="324">
        <f t="shared" si="537"/>
        <v>8388</v>
      </c>
      <c r="DT88" s="1116">
        <v>8396</v>
      </c>
      <c r="DU88" s="1116">
        <v>8393</v>
      </c>
      <c r="DV88" s="1116">
        <v>8364</v>
      </c>
      <c r="DW88" s="1116">
        <v>8345</v>
      </c>
      <c r="DX88" s="324">
        <f>+(DX82)*DX86</f>
        <v>8345</v>
      </c>
      <c r="DY88" s="1116">
        <v>8339</v>
      </c>
      <c r="DZ88" s="1116">
        <v>8326</v>
      </c>
      <c r="EA88" s="1116">
        <v>8284</v>
      </c>
      <c r="EB88" s="1116">
        <v>8246</v>
      </c>
      <c r="EC88" s="324">
        <f>+(EC82)*EC86</f>
        <v>8246</v>
      </c>
      <c r="ED88" s="1116">
        <v>8249</v>
      </c>
      <c r="EE88" s="1116">
        <v>8228</v>
      </c>
      <c r="EF88" s="1116">
        <v>8167</v>
      </c>
      <c r="EG88" s="1116">
        <v>8061</v>
      </c>
      <c r="EH88" s="324">
        <f>+(EH82)*EH86</f>
        <v>8061</v>
      </c>
      <c r="EI88" s="2720">
        <v>7986</v>
      </c>
      <c r="EJ88" s="2720">
        <v>7925</v>
      </c>
      <c r="EK88" s="2720">
        <v>7870</v>
      </c>
      <c r="EL88" s="2721">
        <v>7808</v>
      </c>
      <c r="EM88" s="2698">
        <f>+(EM82)*EM86</f>
        <v>7808</v>
      </c>
      <c r="EN88" s="2720">
        <v>7784</v>
      </c>
      <c r="EO88" s="2720">
        <v>7730</v>
      </c>
      <c r="EP88" s="2720">
        <v>7723</v>
      </c>
      <c r="EQ88" s="2721">
        <v>7715</v>
      </c>
      <c r="ER88" s="2698">
        <f t="shared" ref="ER88" si="538">+(ER82)*ER86</f>
        <v>7715</v>
      </c>
      <c r="ES88" s="2720">
        <v>7720</v>
      </c>
      <c r="ET88" s="2720">
        <v>7705</v>
      </c>
      <c r="EU88" s="2720">
        <v>7690</v>
      </c>
      <c r="EV88" s="325">
        <f t="shared" ref="EU88:EW88" si="539">+(EV82)*EV86</f>
        <v>7690</v>
      </c>
      <c r="EW88" s="324">
        <f t="shared" si="539"/>
        <v>7690</v>
      </c>
      <c r="EX88" s="325">
        <f t="shared" ref="EX88:FG88" si="540">+(EX82)*EX86</f>
        <v>7675.3890000000001</v>
      </c>
      <c r="EY88" s="325">
        <f t="shared" si="540"/>
        <v>7660.8057608999998</v>
      </c>
      <c r="EZ88" s="325">
        <f t="shared" si="540"/>
        <v>7646.2502299542894</v>
      </c>
      <c r="FA88" s="325">
        <f t="shared" si="540"/>
        <v>7631.7223545173765</v>
      </c>
      <c r="FB88" s="324">
        <f t="shared" si="540"/>
        <v>7631.7223545173765</v>
      </c>
      <c r="FC88" s="325">
        <f t="shared" si="540"/>
        <v>7618.3668403969705</v>
      </c>
      <c r="FD88" s="325">
        <f t="shared" si="540"/>
        <v>7605.0346984262751</v>
      </c>
      <c r="FE88" s="325">
        <f t="shared" si="540"/>
        <v>7591.7258877040285</v>
      </c>
      <c r="FF88" s="325">
        <f t="shared" si="540"/>
        <v>7578.4403674005462</v>
      </c>
      <c r="FG88" s="324">
        <f t="shared" si="540"/>
        <v>7578.4403674005462</v>
      </c>
      <c r="FH88" s="325">
        <f t="shared" ref="FH88:FL88" si="541">+(FH82)*FH86</f>
        <v>7573.1354591433656</v>
      </c>
      <c r="FI88" s="325">
        <f t="shared" si="541"/>
        <v>7567.8342643219648</v>
      </c>
      <c r="FJ88" s="325">
        <f t="shared" si="541"/>
        <v>7562.536780336939</v>
      </c>
      <c r="FK88" s="325">
        <f t="shared" si="541"/>
        <v>7557.2430045907031</v>
      </c>
      <c r="FL88" s="324">
        <f t="shared" si="541"/>
        <v>7557.2430045907031</v>
      </c>
      <c r="FN88" s="327"/>
      <c r="FO88" s="327"/>
      <c r="FP88" s="327"/>
      <c r="FQ88" s="327"/>
      <c r="FR88" s="327"/>
      <c r="FS88" s="327"/>
      <c r="FT88" s="327"/>
      <c r="FU88" s="327"/>
      <c r="FV88" s="327"/>
      <c r="FW88" s="327"/>
      <c r="FX88" s="852"/>
      <c r="FY88" s="853"/>
      <c r="FZ88" s="853"/>
      <c r="GA88" s="853"/>
      <c r="GB88" s="853"/>
      <c r="GC88" s="853"/>
      <c r="GD88" s="853"/>
      <c r="GE88" s="853"/>
      <c r="GF88" s="853"/>
      <c r="GG88" s="853"/>
      <c r="GH88" s="853"/>
      <c r="GI88" s="853"/>
      <c r="GJ88" s="455"/>
      <c r="GK88" s="455"/>
      <c r="GL88" s="455"/>
      <c r="GN88"/>
      <c r="GO88"/>
      <c r="GP88"/>
      <c r="GQ88"/>
      <c r="GR88"/>
      <c r="GS88"/>
    </row>
    <row r="89" spans="1:201" s="264" customFormat="1" ht="11.25" hidden="1" customHeight="1" outlineLevel="1" collapsed="1">
      <c r="A89" s="253" t="str">
        <f>"Wtd. Avg. Basic Shares Out (MM) ("&amp;ROWS(FootnoteStart:A137)-1&amp;")"</f>
        <v>Wtd. Avg. Basic Shares Out (MM) (11)</v>
      </c>
      <c r="B89" s="253"/>
      <c r="C89" s="253"/>
      <c r="D89" s="325">
        <f t="shared" ref="D89:AP89" si="542">+D83*D$86</f>
        <v>0</v>
      </c>
      <c r="E89" s="325">
        <f t="shared" si="542"/>
        <v>0</v>
      </c>
      <c r="F89" s="325">
        <f t="shared" si="542"/>
        <v>0</v>
      </c>
      <c r="G89" s="325">
        <f t="shared" si="542"/>
        <v>0</v>
      </c>
      <c r="H89" s="324">
        <f>+H83*H$86</f>
        <v>0</v>
      </c>
      <c r="I89" s="325">
        <f t="shared" si="542"/>
        <v>0</v>
      </c>
      <c r="J89" s="325">
        <f t="shared" si="542"/>
        <v>0</v>
      </c>
      <c r="K89" s="325">
        <f t="shared" si="542"/>
        <v>0</v>
      </c>
      <c r="L89" s="325">
        <f t="shared" si="542"/>
        <v>0</v>
      </c>
      <c r="M89" s="324">
        <f>+M83*M$86</f>
        <v>0</v>
      </c>
      <c r="N89" s="325">
        <f t="shared" si="542"/>
        <v>0</v>
      </c>
      <c r="O89" s="325">
        <f t="shared" si="542"/>
        <v>0</v>
      </c>
      <c r="P89" s="325">
        <f t="shared" si="542"/>
        <v>0</v>
      </c>
      <c r="Q89" s="325">
        <f t="shared" si="542"/>
        <v>0</v>
      </c>
      <c r="R89" s="324">
        <f>+R83*R$86</f>
        <v>0</v>
      </c>
      <c r="S89" s="325">
        <f t="shared" si="542"/>
        <v>0</v>
      </c>
      <c r="T89" s="325">
        <f t="shared" si="542"/>
        <v>0</v>
      </c>
      <c r="U89" s="325">
        <f t="shared" si="542"/>
        <v>0</v>
      </c>
      <c r="V89" s="325">
        <f t="shared" si="542"/>
        <v>0</v>
      </c>
      <c r="W89" s="324">
        <f>+W83*W$86</f>
        <v>0</v>
      </c>
      <c r="X89" s="325">
        <f t="shared" si="542"/>
        <v>0</v>
      </c>
      <c r="Y89" s="325">
        <f t="shared" si="542"/>
        <v>0</v>
      </c>
      <c r="Z89" s="325">
        <f t="shared" si="542"/>
        <v>0</v>
      </c>
      <c r="AA89" s="325">
        <f t="shared" si="542"/>
        <v>0</v>
      </c>
      <c r="AB89" s="324">
        <f>+AB83*AB$86</f>
        <v>0</v>
      </c>
      <c r="AC89" s="325">
        <f t="shared" si="542"/>
        <v>0</v>
      </c>
      <c r="AD89" s="325">
        <f t="shared" si="542"/>
        <v>0</v>
      </c>
      <c r="AE89" s="325">
        <f t="shared" si="542"/>
        <v>0</v>
      </c>
      <c r="AF89" s="325">
        <f t="shared" si="542"/>
        <v>9760</v>
      </c>
      <c r="AG89" s="324">
        <f>+AG83*AG$86</f>
        <v>0</v>
      </c>
      <c r="AH89" s="325">
        <f t="shared" si="542"/>
        <v>9952</v>
      </c>
      <c r="AI89" s="325">
        <f t="shared" si="542"/>
        <v>10000</v>
      </c>
      <c r="AJ89" s="325">
        <f t="shared" si="542"/>
        <v>10016</v>
      </c>
      <c r="AK89" s="325">
        <f t="shared" si="542"/>
        <v>10032</v>
      </c>
      <c r="AL89" s="324">
        <f>+AL83*AL$86</f>
        <v>0</v>
      </c>
      <c r="AM89" s="325">
        <f t="shared" si="542"/>
        <v>10240</v>
      </c>
      <c r="AN89" s="325">
        <f t="shared" si="542"/>
        <v>10208</v>
      </c>
      <c r="AO89" s="325">
        <f t="shared" si="542"/>
        <v>10224</v>
      </c>
      <c r="AP89" s="325">
        <f t="shared" si="542"/>
        <v>10240</v>
      </c>
      <c r="AQ89" s="324">
        <f t="shared" ref="AQ89:CE89" si="543">+AQ83*AQ$86</f>
        <v>0</v>
      </c>
      <c r="AR89" s="325">
        <f t="shared" si="543"/>
        <v>9552</v>
      </c>
      <c r="AS89" s="325">
        <f t="shared" si="543"/>
        <v>9564</v>
      </c>
      <c r="AT89" s="325">
        <f t="shared" si="543"/>
        <v>9556</v>
      </c>
      <c r="AU89" s="325">
        <f t="shared" si="543"/>
        <v>9818.181818181818</v>
      </c>
      <c r="AV89" s="324">
        <f t="shared" si="543"/>
        <v>9564</v>
      </c>
      <c r="AW89" s="325">
        <f t="shared" si="543"/>
        <v>9640</v>
      </c>
      <c r="AX89" s="325">
        <f t="shared" si="543"/>
        <v>9684</v>
      </c>
      <c r="AY89" s="325">
        <f t="shared" si="543"/>
        <v>9732</v>
      </c>
      <c r="AZ89" s="325">
        <f t="shared" si="543"/>
        <v>10051.85185185185</v>
      </c>
      <c r="BA89" s="324">
        <f t="shared" si="543"/>
        <v>9728</v>
      </c>
      <c r="BB89" s="325">
        <f t="shared" si="543"/>
        <v>9916</v>
      </c>
      <c r="BC89" s="325">
        <f t="shared" si="543"/>
        <v>9996</v>
      </c>
      <c r="BD89" s="325">
        <f t="shared" si="543"/>
        <v>10110</v>
      </c>
      <c r="BE89" s="325">
        <f t="shared" si="543"/>
        <v>10200</v>
      </c>
      <c r="BF89" s="324">
        <f t="shared" si="543"/>
        <v>10056</v>
      </c>
      <c r="BG89" s="325">
        <f t="shared" si="543"/>
        <v>10258</v>
      </c>
      <c r="BH89" s="325">
        <f t="shared" si="543"/>
        <v>10326</v>
      </c>
      <c r="BI89" s="325">
        <f t="shared" si="543"/>
        <v>10418</v>
      </c>
      <c r="BJ89" s="325">
        <f t="shared" si="543"/>
        <v>10500</v>
      </c>
      <c r="BK89" s="324">
        <f t="shared" si="543"/>
        <v>10376</v>
      </c>
      <c r="BL89" s="325">
        <f t="shared" si="543"/>
        <v>10598</v>
      </c>
      <c r="BM89" s="325">
        <f t="shared" si="543"/>
        <v>10660</v>
      </c>
      <c r="BN89" s="325">
        <f t="shared" si="543"/>
        <v>10672</v>
      </c>
      <c r="BO89" s="325">
        <f t="shared" si="543"/>
        <v>10762</v>
      </c>
      <c r="BP89" s="324">
        <f t="shared" si="543"/>
        <v>10682</v>
      </c>
      <c r="BQ89" s="325">
        <f t="shared" si="543"/>
        <v>10796</v>
      </c>
      <c r="BR89" s="325">
        <f t="shared" si="543"/>
        <v>10790</v>
      </c>
      <c r="BS89" s="325">
        <f t="shared" si="543"/>
        <v>10830</v>
      </c>
      <c r="BT89" s="325">
        <f t="shared" si="543"/>
        <v>10830</v>
      </c>
      <c r="BU89" s="324">
        <f t="shared" si="543"/>
        <v>10812</v>
      </c>
      <c r="BV89" s="325">
        <f t="shared" si="543"/>
        <v>10738</v>
      </c>
      <c r="BW89" s="325">
        <f t="shared" si="543"/>
        <v>10702</v>
      </c>
      <c r="BX89" s="325">
        <f t="shared" si="543"/>
        <v>10715</v>
      </c>
      <c r="BY89" s="325">
        <f t="shared" si="543"/>
        <v>10737</v>
      </c>
      <c r="BZ89" s="324">
        <f t="shared" si="543"/>
        <v>10723</v>
      </c>
      <c r="CA89" s="325">
        <f t="shared" si="543"/>
        <v>10811</v>
      </c>
      <c r="CB89" s="325">
        <f t="shared" si="543"/>
        <v>10810</v>
      </c>
      <c r="CC89" s="325">
        <f t="shared" si="543"/>
        <v>10785</v>
      </c>
      <c r="CD89" s="325">
        <f t="shared" si="543"/>
        <v>10806</v>
      </c>
      <c r="CE89" s="324">
        <f t="shared" si="543"/>
        <v>10803</v>
      </c>
      <c r="CF89" s="325">
        <f t="shared" ref="CF89:CX89" si="544">+CF83*CF$86</f>
        <v>10873</v>
      </c>
      <c r="CG89" s="325">
        <f t="shared" si="544"/>
        <v>10877</v>
      </c>
      <c r="CH89" s="325">
        <f t="shared" si="544"/>
        <v>10856</v>
      </c>
      <c r="CI89" s="325">
        <f t="shared" si="544"/>
        <v>10750</v>
      </c>
      <c r="CJ89" s="324">
        <f>+CJ83*CJ$86</f>
        <v>10839</v>
      </c>
      <c r="CK89" s="325">
        <f t="shared" si="544"/>
        <v>10696</v>
      </c>
      <c r="CL89" s="325">
        <f t="shared" si="544"/>
        <v>10560</v>
      </c>
      <c r="CM89" s="325">
        <f t="shared" si="544"/>
        <v>10303</v>
      </c>
      <c r="CN89" s="325">
        <f t="shared" si="544"/>
        <v>10186</v>
      </c>
      <c r="CO89" s="324">
        <f>+CO83*CO$86</f>
        <v>10438</v>
      </c>
      <c r="CP89" s="325">
        <f t="shared" si="544"/>
        <v>9929</v>
      </c>
      <c r="CQ89" s="325">
        <f t="shared" si="544"/>
        <v>9806</v>
      </c>
      <c r="CR89" s="325">
        <f t="shared" si="544"/>
        <v>9725</v>
      </c>
      <c r="CS89" s="325">
        <f t="shared" si="544"/>
        <v>9507</v>
      </c>
      <c r="CT89" s="324">
        <f>+CT83*CT$86</f>
        <v>9742</v>
      </c>
      <c r="CU89" s="325">
        <f t="shared" si="544"/>
        <v>9380</v>
      </c>
      <c r="CV89" s="325">
        <f t="shared" si="544"/>
        <v>9361</v>
      </c>
      <c r="CW89" s="325">
        <f t="shared" si="544"/>
        <v>9307</v>
      </c>
      <c r="CX89" s="325">
        <f t="shared" si="544"/>
        <v>9264</v>
      </c>
      <c r="CY89" s="324">
        <f>+CY83*CY$86</f>
        <v>9328</v>
      </c>
      <c r="CZ89" s="325">
        <f t="shared" ref="CZ89:DE90" si="545">+CZ83*CZ$86</f>
        <v>9084</v>
      </c>
      <c r="DA89" s="325">
        <f t="shared" si="545"/>
        <v>8903</v>
      </c>
      <c r="DB89" s="325">
        <f t="shared" si="545"/>
        <v>8891</v>
      </c>
      <c r="DC89" s="325">
        <f t="shared" si="545"/>
        <v>8901</v>
      </c>
      <c r="DD89" s="324">
        <f t="shared" si="545"/>
        <v>8944.75</v>
      </c>
      <c r="DE89" s="325">
        <f t="shared" ref="DE89:DN89" si="546">+DE83*DE$86</f>
        <v>8914</v>
      </c>
      <c r="DF89" s="325">
        <f t="shared" si="546"/>
        <v>8856</v>
      </c>
      <c r="DG89" s="325">
        <f t="shared" si="546"/>
        <v>8767</v>
      </c>
      <c r="DH89" s="325">
        <f t="shared" si="546"/>
        <v>8712</v>
      </c>
      <c r="DI89" s="324">
        <f t="shared" si="546"/>
        <v>8812.25</v>
      </c>
      <c r="DJ89" s="325">
        <f t="shared" si="546"/>
        <v>8614</v>
      </c>
      <c r="DK89" s="325">
        <f t="shared" si="546"/>
        <v>8497</v>
      </c>
      <c r="DL89" s="325">
        <f>+DL83*DL$86</f>
        <v>8420</v>
      </c>
      <c r="DM89" s="325">
        <f t="shared" si="546"/>
        <v>8429</v>
      </c>
      <c r="DN89" s="324">
        <f t="shared" si="546"/>
        <v>8490</v>
      </c>
      <c r="DO89" s="325">
        <f t="shared" ref="DO89:DS90" si="547">+DO83*DO$86</f>
        <v>8392</v>
      </c>
      <c r="DP89" s="325">
        <f t="shared" si="547"/>
        <v>8402</v>
      </c>
      <c r="DQ89" s="325">
        <f t="shared" si="547"/>
        <v>8498</v>
      </c>
      <c r="DR89" s="1116">
        <v>8388</v>
      </c>
      <c r="DS89" s="324">
        <f t="shared" si="547"/>
        <v>8420</v>
      </c>
      <c r="DT89" s="1116">
        <v>8396</v>
      </c>
      <c r="DU89" s="1116">
        <v>8393</v>
      </c>
      <c r="DV89" s="1116">
        <v>8364</v>
      </c>
      <c r="DW89" s="1116">
        <v>8345</v>
      </c>
      <c r="DX89" s="324">
        <f>+DX83*DX$86</f>
        <v>8374.5</v>
      </c>
      <c r="DY89" s="1116">
        <v>8339</v>
      </c>
      <c r="DZ89" s="1116">
        <v>8326</v>
      </c>
      <c r="EA89" s="1116">
        <v>8284</v>
      </c>
      <c r="EB89" s="1116">
        <f>+EB83*EB$86</f>
        <v>8263.2900000000009</v>
      </c>
      <c r="EC89" s="324">
        <f>+EC83*EC$86</f>
        <v>8303.0725000000002</v>
      </c>
      <c r="ED89" s="1116">
        <v>8351</v>
      </c>
      <c r="EE89" s="1116">
        <v>8297</v>
      </c>
      <c r="EF89" s="1116">
        <v>8237</v>
      </c>
      <c r="EG89" s="1116">
        <v>8061</v>
      </c>
      <c r="EH89" s="324">
        <f>+EH83*EH$86</f>
        <v>8193.75</v>
      </c>
      <c r="EI89" s="2720">
        <v>7996</v>
      </c>
      <c r="EJ89" s="2720">
        <v>7964</v>
      </c>
      <c r="EK89" s="2720">
        <v>7895</v>
      </c>
      <c r="EL89" s="2720">
        <v>7842</v>
      </c>
      <c r="EM89" s="2698">
        <f>+EM83*EM$86</f>
        <v>7924.25</v>
      </c>
      <c r="EN89" s="2720">
        <v>7789</v>
      </c>
      <c r="EO89" s="2720">
        <v>7755</v>
      </c>
      <c r="EP89" s="2720">
        <v>7725</v>
      </c>
      <c r="EQ89" s="2720">
        <v>7715</v>
      </c>
      <c r="ER89" s="2698">
        <f t="shared" ref="ER89:ER90" si="548">+ER83*ER$86</f>
        <v>7746</v>
      </c>
      <c r="ES89" s="2720">
        <v>7708</v>
      </c>
      <c r="ET89" s="2720">
        <v>7710</v>
      </c>
      <c r="EU89" s="2720">
        <v>7698</v>
      </c>
      <c r="EV89" s="325">
        <f t="shared" ref="EU89:EW90" si="549">+EV83*EV$86</f>
        <v>7690</v>
      </c>
      <c r="EW89" s="324">
        <f t="shared" si="549"/>
        <v>7701.5</v>
      </c>
      <c r="EX89" s="325">
        <f t="shared" ref="EX89:FB90" si="550">+EX83*EX$86</f>
        <v>7682.6944999999996</v>
      </c>
      <c r="EY89" s="325">
        <f t="shared" si="550"/>
        <v>7668.0973804499999</v>
      </c>
      <c r="EZ89" s="325">
        <f t="shared" si="550"/>
        <v>7653.5279954271446</v>
      </c>
      <c r="FA89" s="325">
        <f t="shared" si="550"/>
        <v>7638.9862922358334</v>
      </c>
      <c r="FB89" s="324">
        <f t="shared" si="550"/>
        <v>7660.8265420282451</v>
      </c>
      <c r="FC89" s="325">
        <f t="shared" ref="FC89:FG89" si="551">+FC83*FC$86</f>
        <v>7625.0445974571739</v>
      </c>
      <c r="FD89" s="325">
        <f t="shared" si="551"/>
        <v>7611.7007694116228</v>
      </c>
      <c r="FE89" s="325">
        <f t="shared" si="551"/>
        <v>7598.3802930651518</v>
      </c>
      <c r="FF89" s="325">
        <f t="shared" si="551"/>
        <v>7585.0831275522869</v>
      </c>
      <c r="FG89" s="324">
        <f t="shared" si="551"/>
        <v>7605.0521968715584</v>
      </c>
      <c r="FH89" s="325">
        <f t="shared" ref="FH89:FL89" si="552">+FH83*FH$86</f>
        <v>7575.7879132719554</v>
      </c>
      <c r="FI89" s="325">
        <f t="shared" si="552"/>
        <v>7570.4848617326652</v>
      </c>
      <c r="FJ89" s="325">
        <f t="shared" si="552"/>
        <v>7565.1855223294515</v>
      </c>
      <c r="FK89" s="325">
        <f t="shared" si="552"/>
        <v>7559.8898924638215</v>
      </c>
      <c r="FL89" s="324">
        <f t="shared" si="552"/>
        <v>7567.8370474494732</v>
      </c>
      <c r="FN89" s="327">
        <f>AVERAGE(BD89,BE89,BG89,BH89)</f>
        <v>10223.5</v>
      </c>
      <c r="FO89" s="327">
        <f>AVERAGE(BI89,BJ89,BL89,BM89)</f>
        <v>10544</v>
      </c>
      <c r="FP89" s="327">
        <f>AVERAGE(BN89,BO89,BQ89,BR89)</f>
        <v>10755</v>
      </c>
      <c r="FQ89" s="327">
        <f>AVERAGE(BS89,BT89,BV89,BW89)</f>
        <v>10775</v>
      </c>
      <c r="FR89" s="327">
        <f>AVERAGE(BX89,BY89,CA89,CB89)</f>
        <v>10768.25</v>
      </c>
      <c r="FS89" s="327">
        <f>AVERAGE(CC89,CD89,CF89,CG89)</f>
        <v>10835.25</v>
      </c>
      <c r="FT89" s="327">
        <f>AVERAGE(CH89,CI89,CK89,CL89)</f>
        <v>10715.5</v>
      </c>
      <c r="FU89" s="327">
        <f>AVERAGE(CM89,CN89,CP89,CQ89)</f>
        <v>10056</v>
      </c>
      <c r="FV89" s="327">
        <f>AVERAGE(CR89,CS89,CU89,CV89)</f>
        <v>9493.25</v>
      </c>
      <c r="FW89" s="327">
        <f>AVERAGE(CW89,CX89,CZ89,DA89)</f>
        <v>9139.5</v>
      </c>
      <c r="FX89" s="852">
        <f>AVERAGE(DB89,DC89,DE89,DF89)</f>
        <v>8890.5</v>
      </c>
      <c r="FY89" s="853">
        <f>AVERAGE(DG89,DH89,DJ89,DK89)</f>
        <v>8647.5</v>
      </c>
      <c r="FZ89" s="853">
        <f>AVERAGE(DL89,DM89,DO89,DP89)</f>
        <v>8410.75</v>
      </c>
      <c r="GA89" s="853">
        <f>AVERAGE(DR89,DU89,DT89,DQ89)</f>
        <v>8418.75</v>
      </c>
      <c r="GB89" s="853">
        <f>AVERAGE(DW89,DZ89,DY89,DV89)</f>
        <v>8343.5</v>
      </c>
      <c r="GC89" s="853">
        <f>AVERAGE(ED89:EE89,EA89:EB89)</f>
        <v>8298.8225000000002</v>
      </c>
      <c r="GD89" s="853">
        <f>AVERAGE(EI89:EJ89,EF89:EG89)</f>
        <v>8064.5</v>
      </c>
      <c r="GE89" s="853">
        <f>AVERAGE(EN89:EO89,EK89:EL89)</f>
        <v>7820.25</v>
      </c>
      <c r="GF89" s="853">
        <f>AVERAGE(ES89:ET89,EP89:EQ89)</f>
        <v>7714.5</v>
      </c>
      <c r="GG89" s="853">
        <f>AVERAGE(EX89:EY89,EU89:EV89)</f>
        <v>7684.6979701125001</v>
      </c>
      <c r="GH89" s="853">
        <f>AVERAGE(FC89:FD89,EZ89:FA89)</f>
        <v>7632.3149136329439</v>
      </c>
      <c r="GI89" s="853">
        <f>AVERAGE(FH89:FI89,FE89:FF89)</f>
        <v>7582.4340489055148</v>
      </c>
      <c r="GJ89" s="455"/>
      <c r="GK89" s="455"/>
      <c r="GL89" s="455"/>
      <c r="GN89"/>
      <c r="GO89"/>
      <c r="GP89"/>
      <c r="GQ89"/>
      <c r="GR89"/>
      <c r="GS89"/>
    </row>
    <row r="90" spans="1:201" s="287" customFormat="1" ht="11.25" customHeight="1" collapsed="1">
      <c r="A90" s="379" t="str">
        <f>"Wtd. Avg. Diluted Shares Out (MM) ("&amp;ROWS(FootnoteStart:A136)-1&amp;")"</f>
        <v>Wtd. Avg. Diluted Shares Out (MM) (10)</v>
      </c>
      <c r="B90" s="379"/>
      <c r="C90" s="379"/>
      <c r="D90" s="380">
        <f>+D84*D$86</f>
        <v>0</v>
      </c>
      <c r="E90" s="380">
        <f t="shared" ref="E90:CD90" si="553">+E84*E$86</f>
        <v>0</v>
      </c>
      <c r="F90" s="380">
        <f t="shared" si="553"/>
        <v>0</v>
      </c>
      <c r="G90" s="380">
        <f t="shared" si="553"/>
        <v>0</v>
      </c>
      <c r="H90" s="381">
        <f>+H84*H$86</f>
        <v>8128</v>
      </c>
      <c r="I90" s="380">
        <f t="shared" si="553"/>
        <v>0</v>
      </c>
      <c r="J90" s="380">
        <f t="shared" si="553"/>
        <v>0</v>
      </c>
      <c r="K90" s="380">
        <f t="shared" si="553"/>
        <v>0</v>
      </c>
      <c r="L90" s="380">
        <f t="shared" si="553"/>
        <v>0</v>
      </c>
      <c r="M90" s="381">
        <f>+M84*M$86</f>
        <v>8608</v>
      </c>
      <c r="N90" s="380">
        <f t="shared" si="553"/>
        <v>0</v>
      </c>
      <c r="O90" s="380">
        <f t="shared" si="553"/>
        <v>0</v>
      </c>
      <c r="P90" s="380">
        <f t="shared" si="553"/>
        <v>0</v>
      </c>
      <c r="Q90" s="380">
        <f t="shared" si="553"/>
        <v>0</v>
      </c>
      <c r="R90" s="381">
        <f>+R84*R$86</f>
        <v>9024</v>
      </c>
      <c r="S90" s="380">
        <f t="shared" si="553"/>
        <v>0</v>
      </c>
      <c r="T90" s="380">
        <f t="shared" si="553"/>
        <v>0</v>
      </c>
      <c r="U90" s="380">
        <f t="shared" si="553"/>
        <v>0</v>
      </c>
      <c r="V90" s="380">
        <f t="shared" si="553"/>
        <v>0</v>
      </c>
      <c r="W90" s="381">
        <f>+W84*W$86</f>
        <v>9408</v>
      </c>
      <c r="X90" s="380">
        <f t="shared" si="553"/>
        <v>0</v>
      </c>
      <c r="Y90" s="380">
        <f t="shared" si="553"/>
        <v>0</v>
      </c>
      <c r="Z90" s="380">
        <f t="shared" si="553"/>
        <v>0</v>
      </c>
      <c r="AA90" s="380">
        <f t="shared" si="553"/>
        <v>0</v>
      </c>
      <c r="AB90" s="381">
        <f>+AB84*AB$86</f>
        <v>9696</v>
      </c>
      <c r="AC90" s="380">
        <f t="shared" si="553"/>
        <v>0</v>
      </c>
      <c r="AD90" s="380">
        <f t="shared" si="553"/>
        <v>0</v>
      </c>
      <c r="AE90" s="380">
        <f t="shared" si="553"/>
        <v>0</v>
      </c>
      <c r="AF90" s="380">
        <f t="shared" si="553"/>
        <v>9760</v>
      </c>
      <c r="AG90" s="381">
        <f>+AG84*AG$86</f>
        <v>9760</v>
      </c>
      <c r="AH90" s="380">
        <f t="shared" si="553"/>
        <v>9952</v>
      </c>
      <c r="AI90" s="380">
        <f t="shared" si="553"/>
        <v>10000</v>
      </c>
      <c r="AJ90" s="380">
        <f t="shared" si="553"/>
        <v>10016</v>
      </c>
      <c r="AK90" s="380">
        <f t="shared" si="553"/>
        <v>10032</v>
      </c>
      <c r="AL90" s="381">
        <f>+AL84*AL$86</f>
        <v>10032</v>
      </c>
      <c r="AM90" s="380">
        <f t="shared" si="553"/>
        <v>10240</v>
      </c>
      <c r="AN90" s="380">
        <f t="shared" si="553"/>
        <v>10208</v>
      </c>
      <c r="AO90" s="380">
        <f t="shared" si="553"/>
        <v>10224</v>
      </c>
      <c r="AP90" s="380">
        <f t="shared" si="553"/>
        <v>10240</v>
      </c>
      <c r="AQ90" s="381">
        <f>+AQ84*AQ$86</f>
        <v>10248</v>
      </c>
      <c r="AR90" s="380">
        <f t="shared" si="553"/>
        <v>10352</v>
      </c>
      <c r="AS90" s="380">
        <f t="shared" si="553"/>
        <v>10432</v>
      </c>
      <c r="AT90" s="380">
        <f t="shared" si="553"/>
        <v>10548</v>
      </c>
      <c r="AU90" s="380">
        <f t="shared" si="553"/>
        <v>10824</v>
      </c>
      <c r="AV90" s="381">
        <f>+AV84*AV$86</f>
        <v>10488</v>
      </c>
      <c r="AW90" s="380">
        <f t="shared" si="553"/>
        <v>10660</v>
      </c>
      <c r="AX90" s="380">
        <f t="shared" si="553"/>
        <v>10668</v>
      </c>
      <c r="AY90" s="380">
        <f t="shared" si="553"/>
        <v>10740</v>
      </c>
      <c r="AZ90" s="380">
        <f t="shared" si="553"/>
        <v>10856</v>
      </c>
      <c r="BA90" s="381">
        <f>+BA84*BA$86</f>
        <v>10724</v>
      </c>
      <c r="BB90" s="380">
        <f t="shared" si="553"/>
        <v>10868</v>
      </c>
      <c r="BC90" s="380">
        <f t="shared" si="553"/>
        <v>10920</v>
      </c>
      <c r="BD90" s="380">
        <f t="shared" si="553"/>
        <v>11024</v>
      </c>
      <c r="BE90" s="380">
        <f t="shared" si="553"/>
        <v>11042</v>
      </c>
      <c r="BF90" s="381">
        <f>+BF84*BF$86</f>
        <v>10964</v>
      </c>
      <c r="BG90" s="380">
        <f t="shared" si="553"/>
        <v>11054</v>
      </c>
      <c r="BH90" s="380">
        <f t="shared" si="553"/>
        <v>11076</v>
      </c>
      <c r="BI90" s="380">
        <f t="shared" si="553"/>
        <v>11086</v>
      </c>
      <c r="BJ90" s="380">
        <f t="shared" si="553"/>
        <v>11074</v>
      </c>
      <c r="BK90" s="381">
        <f>+BK84*BK$86</f>
        <v>11072</v>
      </c>
      <c r="BL90" s="380">
        <f t="shared" si="553"/>
        <v>11114</v>
      </c>
      <c r="BM90" s="380">
        <f t="shared" si="553"/>
        <v>11140</v>
      </c>
      <c r="BN90" s="380">
        <f t="shared" si="553"/>
        <v>11126</v>
      </c>
      <c r="BO90" s="380">
        <f t="shared" si="553"/>
        <v>11184</v>
      </c>
      <c r="BP90" s="381">
        <f>+BP84*BP$86</f>
        <v>11148</v>
      </c>
      <c r="BQ90" s="380">
        <f t="shared" si="553"/>
        <v>11134</v>
      </c>
      <c r="BR90" s="380">
        <f t="shared" si="553"/>
        <v>11112</v>
      </c>
      <c r="BS90" s="380">
        <f t="shared" si="553"/>
        <v>11129</v>
      </c>
      <c r="BT90" s="380">
        <f t="shared" si="553"/>
        <v>11061</v>
      </c>
      <c r="BU90" s="381">
        <f>+BU84*BU$86</f>
        <v>11106</v>
      </c>
      <c r="BV90" s="380">
        <f t="shared" si="553"/>
        <v>10916</v>
      </c>
      <c r="BW90" s="380">
        <f t="shared" si="553"/>
        <v>10882</v>
      </c>
      <c r="BX90" s="380">
        <f t="shared" si="553"/>
        <v>10864</v>
      </c>
      <c r="BY90" s="380">
        <f t="shared" si="553"/>
        <v>10862</v>
      </c>
      <c r="BZ90" s="381">
        <f t="shared" si="553"/>
        <v>10882</v>
      </c>
      <c r="CA90" s="380">
        <f t="shared" si="553"/>
        <v>10885</v>
      </c>
      <c r="CB90" s="380">
        <f t="shared" si="553"/>
        <v>10899</v>
      </c>
      <c r="CC90" s="380">
        <f t="shared" si="553"/>
        <v>10856</v>
      </c>
      <c r="CD90" s="380">
        <f t="shared" si="553"/>
        <v>10864</v>
      </c>
      <c r="CE90" s="381">
        <f>+CE84*CE$86</f>
        <v>10894</v>
      </c>
      <c r="CF90" s="380">
        <f t="shared" ref="CF90:CN90" si="554">+CF84*CF$86</f>
        <v>10920</v>
      </c>
      <c r="CG90" s="380">
        <f t="shared" si="554"/>
        <v>10956</v>
      </c>
      <c r="CH90" s="380">
        <f t="shared" si="554"/>
        <v>10931</v>
      </c>
      <c r="CI90" s="380">
        <f t="shared" si="554"/>
        <v>10819</v>
      </c>
      <c r="CJ90" s="381">
        <f>+CJ84*CJ$86</f>
        <v>10906</v>
      </c>
      <c r="CK90" s="380">
        <f t="shared" si="554"/>
        <v>10772</v>
      </c>
      <c r="CL90" s="380">
        <f t="shared" si="554"/>
        <v>10638</v>
      </c>
      <c r="CM90" s="380">
        <f t="shared" si="554"/>
        <v>10415</v>
      </c>
      <c r="CN90" s="380">
        <f t="shared" si="554"/>
        <v>10255</v>
      </c>
      <c r="CO90" s="381">
        <f>+CO84*CO$86</f>
        <v>10531</v>
      </c>
      <c r="CP90" s="380">
        <f t="shared" ref="CP90:CX90" si="555">+CP84*CP$86</f>
        <v>10010</v>
      </c>
      <c r="CQ90" s="380">
        <f t="shared" si="555"/>
        <v>9942</v>
      </c>
      <c r="CR90" s="380">
        <f t="shared" si="555"/>
        <v>9862</v>
      </c>
      <c r="CS90" s="380">
        <f t="shared" si="555"/>
        <v>9657</v>
      </c>
      <c r="CT90" s="381">
        <f>+CT84*CT$86</f>
        <v>9886</v>
      </c>
      <c r="CU90" s="380">
        <f t="shared" si="555"/>
        <v>9513</v>
      </c>
      <c r="CV90" s="380">
        <f t="shared" si="555"/>
        <v>9503</v>
      </c>
      <c r="CW90" s="380">
        <f t="shared" si="555"/>
        <v>9428</v>
      </c>
      <c r="CX90" s="380">
        <f t="shared" si="555"/>
        <v>9380</v>
      </c>
      <c r="CY90" s="381">
        <f>+CY84*CY$86</f>
        <v>9456</v>
      </c>
      <c r="CZ90" s="380">
        <f>+CZ84*CZ$86</f>
        <v>9183</v>
      </c>
      <c r="DA90" s="380">
        <f>+DA84*DA$86</f>
        <v>8914</v>
      </c>
      <c r="DB90" s="380">
        <f>+DB84*DB$86</f>
        <v>8904</v>
      </c>
      <c r="DC90" s="380">
        <f t="shared" si="545"/>
        <v>8928</v>
      </c>
      <c r="DD90" s="381">
        <f t="shared" si="545"/>
        <v>8982.25</v>
      </c>
      <c r="DE90" s="380">
        <f t="shared" si="545"/>
        <v>8983</v>
      </c>
      <c r="DF90" s="380">
        <f t="shared" ref="DF90:DN90" si="556">+DF84*DF$86</f>
        <v>8951</v>
      </c>
      <c r="DG90" s="380">
        <f>+DG84*DG$86</f>
        <v>8876</v>
      </c>
      <c r="DH90" s="380">
        <f t="shared" si="556"/>
        <v>8821</v>
      </c>
      <c r="DI90" s="381">
        <f t="shared" si="556"/>
        <v>8907.75</v>
      </c>
      <c r="DJ90" s="380">
        <f t="shared" si="556"/>
        <v>8695</v>
      </c>
      <c r="DK90" s="380">
        <f t="shared" si="556"/>
        <v>8570</v>
      </c>
      <c r="DL90" s="380">
        <f>+DL84*DL$86</f>
        <v>8510</v>
      </c>
      <c r="DM90" s="1119">
        <v>8462</v>
      </c>
      <c r="DN90" s="381">
        <f t="shared" si="556"/>
        <v>8574</v>
      </c>
      <c r="DO90" s="1119">
        <v>8490</v>
      </c>
      <c r="DP90" s="380">
        <f>+DP84*DP$86</f>
        <v>8465</v>
      </c>
      <c r="DQ90" s="380">
        <f t="shared" si="547"/>
        <v>8498</v>
      </c>
      <c r="DR90" s="1119">
        <v>8388</v>
      </c>
      <c r="DS90" s="381">
        <f t="shared" si="547"/>
        <v>8460.25</v>
      </c>
      <c r="DT90" s="1119">
        <v>8494</v>
      </c>
      <c r="DU90" s="1119">
        <v>8444</v>
      </c>
      <c r="DV90" s="1119">
        <v>8429</v>
      </c>
      <c r="DW90" s="1119">
        <v>8442</v>
      </c>
      <c r="DX90" s="381">
        <f>+DX84*DX$86</f>
        <v>8452.25</v>
      </c>
      <c r="DY90" s="1119">
        <v>8434</v>
      </c>
      <c r="DZ90" s="1119">
        <v>8395</v>
      </c>
      <c r="EA90" s="1119">
        <v>8367</v>
      </c>
      <c r="EB90" s="1119">
        <v>8345</v>
      </c>
      <c r="EC90" s="381">
        <f>+EC84*EC$86</f>
        <v>8385.25</v>
      </c>
      <c r="ED90" s="1119">
        <v>8351</v>
      </c>
      <c r="EE90" s="1119">
        <v>8297</v>
      </c>
      <c r="EF90" s="1119">
        <v>8237</v>
      </c>
      <c r="EG90" s="1119">
        <v>8061</v>
      </c>
      <c r="EH90" s="381">
        <f>+EH84*EH$86</f>
        <v>8236.5</v>
      </c>
      <c r="EI90" s="2722">
        <v>8084</v>
      </c>
      <c r="EJ90" s="2722">
        <v>8051</v>
      </c>
      <c r="EK90" s="2722">
        <v>7985</v>
      </c>
      <c r="EL90" s="2722">
        <v>7929</v>
      </c>
      <c r="EM90" s="2723">
        <f>+EM84*EM$86</f>
        <v>8012.25</v>
      </c>
      <c r="EN90" s="2722">
        <v>7876</v>
      </c>
      <c r="EO90" s="2722">
        <v>7830</v>
      </c>
      <c r="EP90" s="2722">
        <v>7813</v>
      </c>
      <c r="EQ90" s="2722">
        <v>7806</v>
      </c>
      <c r="ER90" s="2723">
        <f t="shared" si="548"/>
        <v>7831.25</v>
      </c>
      <c r="ES90" s="2722">
        <v>7799</v>
      </c>
      <c r="ET90" s="3052">
        <v>7810</v>
      </c>
      <c r="EU90" s="2722">
        <v>7794</v>
      </c>
      <c r="EV90" s="380">
        <f t="shared" si="549"/>
        <v>7766.9</v>
      </c>
      <c r="EW90" s="381">
        <f t="shared" si="549"/>
        <v>7792.4750000000004</v>
      </c>
      <c r="EX90" s="380">
        <f t="shared" si="550"/>
        <v>7759.5214449999994</v>
      </c>
      <c r="EY90" s="380">
        <f t="shared" si="550"/>
        <v>7744.7783542545003</v>
      </c>
      <c r="EZ90" s="380">
        <f t="shared" si="550"/>
        <v>7730.0632753814161</v>
      </c>
      <c r="FA90" s="380">
        <f t="shared" si="550"/>
        <v>7715.376155158192</v>
      </c>
      <c r="FB90" s="381">
        <f t="shared" si="550"/>
        <v>7737.434807448527</v>
      </c>
      <c r="FC90" s="380">
        <f t="shared" ref="FC90:FG90" si="557">+FC84*FC$86</f>
        <v>7701.2950434317454</v>
      </c>
      <c r="FD90" s="380">
        <f t="shared" si="557"/>
        <v>7687.817777105739</v>
      </c>
      <c r="FE90" s="380">
        <f t="shared" si="557"/>
        <v>7674.3640959958038</v>
      </c>
      <c r="FF90" s="380">
        <f t="shared" si="557"/>
        <v>7660.9339588278099</v>
      </c>
      <c r="FG90" s="381">
        <f t="shared" si="557"/>
        <v>7681.1027188402741</v>
      </c>
      <c r="FH90" s="380">
        <f t="shared" ref="FH90:FL90" si="558">+FH84*FH$86</f>
        <v>7651.545792404675</v>
      </c>
      <c r="FI90" s="380">
        <f t="shared" si="558"/>
        <v>7646.1897103499923</v>
      </c>
      <c r="FJ90" s="380">
        <f t="shared" si="558"/>
        <v>7640.8373775527461</v>
      </c>
      <c r="FK90" s="380">
        <f t="shared" si="558"/>
        <v>7635.4887913884595</v>
      </c>
      <c r="FL90" s="381">
        <f t="shared" si="558"/>
        <v>7643.515417923968</v>
      </c>
      <c r="FM90" s="382"/>
      <c r="FN90" s="383">
        <f>AVERAGE(BD90,BE90,BG90,BH90)</f>
        <v>11049</v>
      </c>
      <c r="FO90" s="383">
        <f>AVERAGE(BI90,BJ90,BL90,BM90)</f>
        <v>11103.5</v>
      </c>
      <c r="FP90" s="383">
        <f>AVERAGE(BN90,BO90,BQ90,BR90)</f>
        <v>11139</v>
      </c>
      <c r="FQ90" s="383">
        <f>AVERAGE(BS90,BT90,BV90,BW90)</f>
        <v>10997</v>
      </c>
      <c r="FR90" s="383">
        <f>AVERAGE(BX90,BY90,CA90,CB90)</f>
        <v>10877.5</v>
      </c>
      <c r="FS90" s="383">
        <f>AVERAGE(CC90,CD90,CF90,CG90)</f>
        <v>10899</v>
      </c>
      <c r="FT90" s="383">
        <f>AVERAGE(CH90,CI90,CK90,CL90)</f>
        <v>10790</v>
      </c>
      <c r="FU90" s="383">
        <f>AVERAGE(CM90,CN90,CP90,CQ90)</f>
        <v>10155.5</v>
      </c>
      <c r="FV90" s="383">
        <f>AVERAGE(CR90,CS90,CU90,CV90)</f>
        <v>9633.75</v>
      </c>
      <c r="FW90" s="383">
        <f>AVERAGE(CW90,CX90,CZ90,DA90)</f>
        <v>9226.25</v>
      </c>
      <c r="FX90" s="875">
        <f>AVERAGE(DB90,DC90,DE90,DF90)</f>
        <v>8941.5</v>
      </c>
      <c r="FY90" s="876">
        <f>AVERAGE(DG90,DH90,DJ90,DK90)</f>
        <v>8740.5</v>
      </c>
      <c r="FZ90" s="876">
        <f>AVERAGE(DL90,DM90,DO90,DP90)</f>
        <v>8481.75</v>
      </c>
      <c r="GA90" s="876">
        <f>AVERAGE(DU90,DR90,DT90,DQ90)</f>
        <v>8456</v>
      </c>
      <c r="GB90" s="876">
        <f>AVERAGE(DW90,DZ90,DY90,DV90)</f>
        <v>8425</v>
      </c>
      <c r="GC90" s="876">
        <f>AVERAGE(ED90:EE90,EA90:EB90)</f>
        <v>8340</v>
      </c>
      <c r="GD90" s="876">
        <f>AVERAGE(EI90:EJ90,EF90:EG90)</f>
        <v>8108.25</v>
      </c>
      <c r="GE90" s="876">
        <f>AVERAGE(EN90:EO90,EK90:EL90)</f>
        <v>7905</v>
      </c>
      <c r="GF90" s="876">
        <f>AVERAGE(ES90:ET90,EP90:EQ90)</f>
        <v>7807</v>
      </c>
      <c r="GG90" s="876">
        <f>AVERAGE(EX90:EY90,EU90:EV90)</f>
        <v>7766.2999498136251</v>
      </c>
      <c r="GH90" s="876">
        <f>AVERAGE(FC90:FD90,EZ90:FA90)</f>
        <v>7708.6380627692733</v>
      </c>
      <c r="GI90" s="876">
        <f>AVERAGE(FH90:FI90,FE90:FF90)</f>
        <v>7658.2583893945703</v>
      </c>
      <c r="GJ90" s="455"/>
      <c r="GK90" s="455"/>
      <c r="GL90" s="455"/>
      <c r="GN90"/>
      <c r="GO90"/>
      <c r="GP90"/>
      <c r="GQ90"/>
      <c r="GR90"/>
      <c r="GS90"/>
    </row>
    <row r="91" spans="1:201" s="387" customFormat="1" ht="12.75">
      <c r="A91" s="253"/>
      <c r="B91" s="253"/>
      <c r="C91" s="253"/>
      <c r="D91" s="258"/>
      <c r="E91" s="258"/>
      <c r="F91" s="258"/>
      <c r="G91" s="258"/>
      <c r="H91" s="258"/>
      <c r="I91" s="258"/>
      <c r="J91" s="258"/>
      <c r="K91" s="258"/>
      <c r="L91" s="258"/>
      <c r="M91" s="258"/>
      <c r="N91" s="258"/>
      <c r="O91" s="258"/>
      <c r="P91" s="258"/>
      <c r="Q91" s="258"/>
      <c r="R91" s="258"/>
      <c r="S91" s="258"/>
      <c r="T91" s="258"/>
      <c r="U91" s="258"/>
      <c r="V91" s="258"/>
      <c r="W91" s="258"/>
      <c r="X91" s="258"/>
      <c r="Y91" s="258"/>
      <c r="Z91" s="258"/>
      <c r="AA91" s="258"/>
      <c r="AB91" s="258"/>
      <c r="AC91" s="258"/>
      <c r="AD91" s="258"/>
      <c r="AE91" s="258"/>
      <c r="AF91" s="258"/>
      <c r="AG91" s="258"/>
      <c r="AH91" s="258"/>
      <c r="AI91" s="258"/>
      <c r="AJ91" s="258"/>
      <c r="AK91" s="258"/>
      <c r="AL91" s="258"/>
      <c r="AM91" s="258"/>
      <c r="AN91" s="258"/>
      <c r="AO91" s="258"/>
      <c r="AP91" s="258"/>
      <c r="AQ91" s="258"/>
      <c r="AR91" s="258"/>
      <c r="AS91" s="258"/>
      <c r="AT91" s="258"/>
      <c r="AU91" s="258"/>
      <c r="AV91" s="258"/>
      <c r="AW91" s="258"/>
      <c r="AX91" s="258"/>
      <c r="AY91" s="258"/>
      <c r="AZ91" s="258"/>
      <c r="BA91" s="258"/>
      <c r="BB91" s="258"/>
      <c r="BC91" s="258"/>
      <c r="BD91" s="258"/>
      <c r="BE91" s="258"/>
      <c r="BF91" s="258"/>
      <c r="BG91" s="258"/>
      <c r="BH91" s="258"/>
      <c r="BI91" s="258"/>
      <c r="BJ91" s="258"/>
      <c r="BK91" s="258"/>
      <c r="BL91" s="258"/>
      <c r="BM91" s="258"/>
      <c r="BN91" s="258"/>
      <c r="BO91" s="258"/>
      <c r="BP91" s="258"/>
      <c r="BQ91" s="258"/>
      <c r="BR91" s="258"/>
      <c r="BS91" s="258"/>
      <c r="BT91" s="258"/>
      <c r="BU91" s="258"/>
      <c r="BV91" s="258"/>
      <c r="BW91" s="258"/>
      <c r="BX91" s="258"/>
      <c r="BY91" s="258"/>
      <c r="BZ91" s="258"/>
      <c r="CA91" s="258"/>
      <c r="CB91" s="258"/>
      <c r="CC91" s="258"/>
      <c r="CD91" s="258"/>
      <c r="CE91" s="258"/>
      <c r="CF91" s="258"/>
      <c r="CG91" s="258"/>
      <c r="CH91" s="258"/>
      <c r="CI91" s="258"/>
      <c r="CJ91" s="258"/>
      <c r="CK91" s="258"/>
      <c r="CL91" s="258"/>
      <c r="CM91" s="258"/>
      <c r="CN91" s="258"/>
      <c r="CO91" s="258"/>
      <c r="CP91" s="258"/>
      <c r="CQ91" s="258"/>
      <c r="CR91" s="258"/>
      <c r="CS91" s="258"/>
      <c r="CT91" s="258"/>
      <c r="CU91" s="258"/>
      <c r="CV91" s="258"/>
      <c r="CW91" s="258"/>
      <c r="CX91" s="258"/>
      <c r="CY91" s="258"/>
      <c r="CZ91" s="258"/>
      <c r="DA91" s="258"/>
      <c r="DB91" s="258"/>
      <c r="DC91" s="384"/>
      <c r="DD91" s="384"/>
      <c r="DE91" s="355"/>
      <c r="DF91" s="384"/>
      <c r="DG91" s="384"/>
      <c r="DH91" s="384"/>
      <c r="DI91" s="895"/>
      <c r="DJ91" s="355"/>
      <c r="DK91" s="355"/>
      <c r="DL91" s="355"/>
      <c r="DM91" s="384"/>
      <c r="DN91" s="895"/>
      <c r="DO91" s="384"/>
      <c r="DP91" s="355"/>
      <c r="DQ91" s="355"/>
      <c r="DR91" s="384"/>
      <c r="DS91" s="897"/>
      <c r="DT91" s="384"/>
      <c r="DU91" s="355"/>
      <c r="DV91" s="355"/>
      <c r="DW91" s="384"/>
      <c r="DX91" s="897"/>
      <c r="DY91" s="384"/>
      <c r="DZ91" s="385"/>
      <c r="EA91" s="385"/>
      <c r="EB91" s="384"/>
      <c r="EC91" s="895"/>
      <c r="ED91" s="384"/>
      <c r="EE91" s="385"/>
      <c r="EF91" s="385"/>
      <c r="EG91" s="385"/>
      <c r="EH91" s="895"/>
      <c r="EI91" s="2724"/>
      <c r="EJ91" s="2725"/>
      <c r="EK91" s="2725"/>
      <c r="EL91" s="2725"/>
      <c r="EM91" s="895"/>
      <c r="EN91" s="895"/>
      <c r="EO91" s="2725"/>
      <c r="EP91" s="2725"/>
      <c r="EQ91" s="2725"/>
      <c r="ER91" s="895"/>
      <c r="ES91" s="895"/>
      <c r="ET91" s="2725"/>
      <c r="EU91" s="2725"/>
      <c r="EV91" s="895"/>
      <c r="EW91" s="895"/>
      <c r="EX91" s="895"/>
      <c r="EY91" s="895"/>
      <c r="EZ91" s="895"/>
      <c r="FA91" s="895"/>
      <c r="FB91" s="895"/>
      <c r="FC91" s="895"/>
      <c r="FD91" s="895"/>
      <c r="FE91" s="895"/>
      <c r="FF91" s="895"/>
      <c r="FG91" s="895"/>
      <c r="FH91" s="895"/>
      <c r="FI91" s="895"/>
      <c r="FJ91" s="895"/>
      <c r="FK91" s="895"/>
      <c r="FL91" s="895"/>
      <c r="FM91" s="253"/>
      <c r="FN91" s="253"/>
      <c r="FO91" s="253"/>
      <c r="FP91" s="253"/>
      <c r="FQ91" s="253"/>
      <c r="FR91" s="253"/>
      <c r="FS91" s="253"/>
      <c r="FT91" s="253"/>
      <c r="FU91" s="253"/>
      <c r="FV91" s="253"/>
      <c r="FW91" s="253"/>
      <c r="FX91" s="339"/>
      <c r="FY91" s="339"/>
      <c r="FZ91" s="339"/>
      <c r="GA91" s="339"/>
      <c r="GB91" s="339"/>
      <c r="GC91" s="327">
        <f t="shared" ref="GC91:GH91" si="559">GC90-GB90</f>
        <v>-85</v>
      </c>
      <c r="GD91" s="327">
        <f t="shared" si="559"/>
        <v>-231.75</v>
      </c>
      <c r="GE91" s="327">
        <f t="shared" si="559"/>
        <v>-203.25</v>
      </c>
      <c r="GF91" s="327">
        <f t="shared" si="559"/>
        <v>-98</v>
      </c>
      <c r="GG91" s="327">
        <f t="shared" si="559"/>
        <v>-40.700050186374938</v>
      </c>
      <c r="GH91" s="327">
        <f t="shared" si="559"/>
        <v>-57.661887044351715</v>
      </c>
      <c r="GI91" s="327">
        <f>GI90-GL90</f>
        <v>7658.2583893945703</v>
      </c>
      <c r="GJ91" s="455"/>
      <c r="GK91" s="455"/>
      <c r="GL91" s="455"/>
      <c r="GN91"/>
      <c r="GO91"/>
      <c r="GP91"/>
      <c r="GQ91"/>
      <c r="GR91"/>
      <c r="GS91"/>
    </row>
    <row r="92" spans="1:201" s="392" customFormat="1" ht="10.5" hidden="1" customHeight="1" outlineLevel="1">
      <c r="A92" s="388" t="str">
        <f>"Dividend per Share ("&amp;ROWS(FootnoteStart:A137)-1&amp;")"</f>
        <v>Dividend per Share (11)</v>
      </c>
      <c r="B92" s="389"/>
      <c r="C92" s="389"/>
      <c r="D92" s="390">
        <v>0</v>
      </c>
      <c r="E92" s="390">
        <v>0</v>
      </c>
      <c r="F92" s="390">
        <v>0</v>
      </c>
      <c r="G92" s="390">
        <v>0</v>
      </c>
      <c r="H92" s="390"/>
      <c r="I92" s="390">
        <v>0</v>
      </c>
      <c r="J92" s="390">
        <v>0</v>
      </c>
      <c r="K92" s="390">
        <v>0</v>
      </c>
      <c r="L92" s="390">
        <v>0</v>
      </c>
      <c r="M92" s="390"/>
      <c r="N92" s="390">
        <v>0</v>
      </c>
      <c r="O92" s="390">
        <v>0</v>
      </c>
      <c r="P92" s="390">
        <v>0</v>
      </c>
      <c r="Q92" s="390">
        <v>0</v>
      </c>
      <c r="R92" s="390"/>
      <c r="S92" s="390">
        <v>0</v>
      </c>
      <c r="T92" s="390">
        <v>0</v>
      </c>
      <c r="U92" s="390">
        <v>0</v>
      </c>
      <c r="V92" s="390">
        <v>0</v>
      </c>
      <c r="W92" s="390"/>
      <c r="X92" s="390">
        <v>0</v>
      </c>
      <c r="Y92" s="390">
        <v>0</v>
      </c>
      <c r="Z92" s="390">
        <v>0</v>
      </c>
      <c r="AA92" s="390">
        <v>0</v>
      </c>
      <c r="AB92" s="390"/>
      <c r="AC92" s="390">
        <v>0</v>
      </c>
      <c r="AD92" s="390">
        <v>0</v>
      </c>
      <c r="AE92" s="390">
        <v>0</v>
      </c>
      <c r="AF92" s="390">
        <v>0</v>
      </c>
      <c r="AG92" s="390"/>
      <c r="AH92" s="390">
        <v>0</v>
      </c>
      <c r="AI92" s="390">
        <v>0</v>
      </c>
      <c r="AJ92" s="390">
        <v>0</v>
      </c>
      <c r="AK92" s="390">
        <v>0</v>
      </c>
      <c r="AL92" s="390"/>
      <c r="AM92" s="390">
        <v>0</v>
      </c>
      <c r="AN92" s="390">
        <v>0</v>
      </c>
      <c r="AO92" s="390">
        <v>0</v>
      </c>
      <c r="AP92" s="390">
        <v>0</v>
      </c>
      <c r="AQ92" s="390"/>
      <c r="AR92" s="390">
        <v>0</v>
      </c>
      <c r="AS92" s="390">
        <v>0</v>
      </c>
      <c r="AT92" s="390">
        <v>0</v>
      </c>
      <c r="AU92" s="390">
        <v>0</v>
      </c>
      <c r="AV92" s="390"/>
      <c r="AW92" s="390">
        <v>0</v>
      </c>
      <c r="AX92" s="390">
        <v>0</v>
      </c>
      <c r="AY92" s="390">
        <v>0</v>
      </c>
      <c r="AZ92" s="390">
        <v>0</v>
      </c>
      <c r="BA92" s="390"/>
      <c r="BB92" s="390">
        <v>0</v>
      </c>
      <c r="BC92" s="390">
        <v>0</v>
      </c>
      <c r="BD92" s="390">
        <v>0</v>
      </c>
      <c r="BE92" s="390">
        <v>0</v>
      </c>
      <c r="BF92" s="390"/>
      <c r="BG92" s="390">
        <v>0</v>
      </c>
      <c r="BH92" s="390">
        <v>0</v>
      </c>
      <c r="BI92" s="390">
        <v>0</v>
      </c>
      <c r="BJ92" s="390">
        <v>0</v>
      </c>
      <c r="BK92" s="390"/>
      <c r="BL92" s="390">
        <v>0</v>
      </c>
      <c r="BM92" s="390">
        <v>0</v>
      </c>
      <c r="BN92" s="390">
        <v>0</v>
      </c>
      <c r="BO92" s="390">
        <v>0</v>
      </c>
      <c r="BP92" s="390"/>
      <c r="BQ92" s="390">
        <v>0</v>
      </c>
      <c r="BR92" s="390">
        <v>0</v>
      </c>
      <c r="BS92" s="390">
        <v>0</v>
      </c>
      <c r="BT92" s="390">
        <v>0</v>
      </c>
      <c r="BU92" s="390"/>
      <c r="BV92" s="390">
        <v>0</v>
      </c>
      <c r="BW92" s="390">
        <v>0</v>
      </c>
      <c r="BX92" s="390">
        <v>0.08</v>
      </c>
      <c r="BY92" s="390">
        <v>0</v>
      </c>
      <c r="BZ92" s="390"/>
      <c r="CA92" s="390">
        <v>0</v>
      </c>
      <c r="CB92" s="390">
        <v>0.16</v>
      </c>
      <c r="CC92" s="390">
        <v>0</v>
      </c>
      <c r="CD92" s="390">
        <v>0</v>
      </c>
      <c r="CE92" s="390"/>
      <c r="CF92" s="390">
        <v>0.08</v>
      </c>
      <c r="CG92" s="390">
        <v>3.08</v>
      </c>
      <c r="CH92" s="390">
        <v>0.08</v>
      </c>
      <c r="CI92" s="390">
        <v>0.08</v>
      </c>
      <c r="CJ92" s="390"/>
      <c r="CK92" s="390">
        <v>0.08</v>
      </c>
      <c r="CL92" s="390">
        <v>0.09</v>
      </c>
      <c r="CM92" s="390">
        <v>0.09</v>
      </c>
      <c r="CN92" s="390">
        <v>0.09</v>
      </c>
      <c r="CO92" s="390"/>
      <c r="CP92" s="390">
        <v>0.1</v>
      </c>
      <c r="CQ92" s="390">
        <v>0.1</v>
      </c>
      <c r="CR92" s="390">
        <v>0.1</v>
      </c>
      <c r="CS92" s="390">
        <v>0.1</v>
      </c>
      <c r="CT92" s="390"/>
      <c r="CU92" s="390">
        <v>0.11</v>
      </c>
      <c r="CV92" s="390">
        <v>0.11</v>
      </c>
      <c r="CW92" s="390">
        <v>0.11</v>
      </c>
      <c r="CX92" s="390">
        <v>0.11</v>
      </c>
      <c r="CY92" s="391">
        <f>SUM(CU92:CX92)</f>
        <v>0.44</v>
      </c>
      <c r="CZ92" s="390">
        <v>0.13</v>
      </c>
      <c r="DA92" s="390">
        <v>0.13</v>
      </c>
      <c r="DB92" s="390">
        <v>0.13</v>
      </c>
      <c r="DC92" s="390">
        <v>0.13</v>
      </c>
      <c r="DD92" s="391">
        <f>SUM(CZ92:DC92)</f>
        <v>0.52</v>
      </c>
      <c r="DE92" s="390">
        <v>0.13</v>
      </c>
      <c r="DF92" s="390">
        <v>0.13</v>
      </c>
      <c r="DG92" s="390">
        <v>0.13</v>
      </c>
      <c r="DH92" s="390">
        <v>0.13</v>
      </c>
      <c r="DI92" s="391">
        <f>SUM(DE92:DH92)</f>
        <v>0.52</v>
      </c>
      <c r="DJ92" s="1120">
        <v>0.16</v>
      </c>
      <c r="DK92" s="390">
        <f>DJ92</f>
        <v>0.16</v>
      </c>
      <c r="DL92" s="390">
        <f>DK92</f>
        <v>0.16</v>
      </c>
      <c r="DM92" s="390">
        <f>DL92</f>
        <v>0.16</v>
      </c>
      <c r="DN92" s="391">
        <f>SUM(DJ92:DM92)</f>
        <v>0.64</v>
      </c>
      <c r="DO92" s="1120">
        <v>0.2</v>
      </c>
      <c r="DP92" s="390">
        <f>DO92</f>
        <v>0.2</v>
      </c>
      <c r="DQ92" s="390">
        <f>DP92</f>
        <v>0.2</v>
      </c>
      <c r="DR92" s="390">
        <f>DQ92</f>
        <v>0.2</v>
      </c>
      <c r="DS92" s="390">
        <f>SUM(DO92:DR92)</f>
        <v>0.8</v>
      </c>
      <c r="DT92" s="1120">
        <v>0.23</v>
      </c>
      <c r="DU92" s="390">
        <f>DT92</f>
        <v>0.23</v>
      </c>
      <c r="DV92" s="390">
        <f>DU92</f>
        <v>0.23</v>
      </c>
      <c r="DW92" s="390">
        <f>DV92</f>
        <v>0.23</v>
      </c>
      <c r="DX92" s="390">
        <f>SUM(DT92:DW92)</f>
        <v>0.92</v>
      </c>
      <c r="DY92" s="1120">
        <v>0.28000000000000003</v>
      </c>
      <c r="DZ92" s="391">
        <f>DY92</f>
        <v>0.28000000000000003</v>
      </c>
      <c r="EA92" s="391">
        <f>DZ92</f>
        <v>0.28000000000000003</v>
      </c>
      <c r="EB92" s="390">
        <f>EA92</f>
        <v>0.28000000000000003</v>
      </c>
      <c r="EC92" s="390">
        <f>SUM(DY92:EB92)</f>
        <v>1.1200000000000001</v>
      </c>
      <c r="ED92" s="1120">
        <v>0.31</v>
      </c>
      <c r="EE92" s="391">
        <f>ED92</f>
        <v>0.31</v>
      </c>
      <c r="EF92" s="391">
        <f>EE92</f>
        <v>0.31</v>
      </c>
      <c r="EG92" s="391">
        <f>EF92</f>
        <v>0.31</v>
      </c>
      <c r="EH92" s="390">
        <f>SUM(ED92:EG92)</f>
        <v>1.24</v>
      </c>
      <c r="EI92" s="2726">
        <v>0.36</v>
      </c>
      <c r="EJ92" s="2727">
        <v>0.36</v>
      </c>
      <c r="EK92" s="2727">
        <f>EJ92</f>
        <v>0.36</v>
      </c>
      <c r="EL92" s="2727">
        <f>EK92</f>
        <v>0.36</v>
      </c>
      <c r="EM92" s="2728">
        <f>SUM(EI92:EL92)</f>
        <v>1.44</v>
      </c>
      <c r="EN92" s="2726">
        <v>0.39</v>
      </c>
      <c r="EO92" s="2727">
        <v>0.39</v>
      </c>
      <c r="EP92" s="2727">
        <f>EO92</f>
        <v>0.39</v>
      </c>
      <c r="EQ92" s="2727">
        <f>EP92</f>
        <v>0.39</v>
      </c>
      <c r="ER92" s="2728">
        <f>SUM(EN92:EQ92)</f>
        <v>1.56</v>
      </c>
      <c r="ES92" s="390">
        <v>0.42</v>
      </c>
      <c r="ET92" s="2727">
        <v>0.42</v>
      </c>
      <c r="EU92" s="2727">
        <f>ET92</f>
        <v>0.42</v>
      </c>
      <c r="EV92" s="390">
        <f>EU92</f>
        <v>0.42</v>
      </c>
      <c r="EW92" s="390">
        <f>SUM(ES92:EV92)</f>
        <v>1.68</v>
      </c>
      <c r="EX92" s="390">
        <f>EV92*1.14</f>
        <v>0.47879999999999995</v>
      </c>
      <c r="EY92" s="390">
        <f>EX92</f>
        <v>0.47879999999999995</v>
      </c>
      <c r="EZ92" s="390">
        <f>EY92</f>
        <v>0.47879999999999995</v>
      </c>
      <c r="FA92" s="390">
        <f>EZ92</f>
        <v>0.47879999999999995</v>
      </c>
      <c r="FB92" s="390">
        <f>SUM(EX92:FA92)</f>
        <v>1.9151999999999998</v>
      </c>
      <c r="FC92" s="390">
        <f>FA92*1.1</f>
        <v>0.52668000000000004</v>
      </c>
      <c r="FD92" s="390">
        <f>FC92</f>
        <v>0.52668000000000004</v>
      </c>
      <c r="FE92" s="390">
        <f>FD92</f>
        <v>0.52668000000000004</v>
      </c>
      <c r="FF92" s="390">
        <f>FE92</f>
        <v>0.52668000000000004</v>
      </c>
      <c r="FG92" s="390">
        <f>SUM(FC92:FF92)</f>
        <v>2.1067200000000001</v>
      </c>
      <c r="FH92" s="390">
        <f>FF92*1.1</f>
        <v>0.57934800000000009</v>
      </c>
      <c r="FI92" s="390">
        <f>FH92</f>
        <v>0.57934800000000009</v>
      </c>
      <c r="FJ92" s="390">
        <f>FI92</f>
        <v>0.57934800000000009</v>
      </c>
      <c r="FK92" s="390">
        <f>FJ92</f>
        <v>0.57934800000000009</v>
      </c>
      <c r="FL92" s="390">
        <f>SUM(FH92:FK92)</f>
        <v>2.3173920000000003</v>
      </c>
      <c r="FX92" s="877"/>
      <c r="FY92" s="361">
        <f>SUM(DN92:DO92,DK92:DL92)</f>
        <v>1.1599999999999999</v>
      </c>
      <c r="FZ92" s="361">
        <f>SUM(DO92:DP92,DL92:DM92)</f>
        <v>0.72000000000000008</v>
      </c>
      <c r="GA92" s="361">
        <f>SUM(DT92:DU92,DQ92:DR92)</f>
        <v>0.8600000000000001</v>
      </c>
      <c r="GB92" s="361">
        <f>SUM(DY92:DZ92,DV92:DW92)</f>
        <v>1.02</v>
      </c>
      <c r="GC92" s="361">
        <f>SUM(ED92:EE92,EA92:EB92)</f>
        <v>1.1800000000000002</v>
      </c>
      <c r="GD92" s="361">
        <f>SUM(EI92:EJ92,EF92:EG92)</f>
        <v>1.34</v>
      </c>
      <c r="GE92" s="361">
        <f>SUM(EN92:EO92,EK92:EL92)</f>
        <v>1.5</v>
      </c>
      <c r="GF92" s="361">
        <f>SUM(ES92:ET92,EP92:EQ92)</f>
        <v>1.62</v>
      </c>
      <c r="GG92" s="361">
        <f>SUM(EX92:EY92,EU92:EV92)</f>
        <v>1.7975999999999999</v>
      </c>
      <c r="GH92" s="361">
        <f>SUM(FC92:FD92,EZ92:FA92)</f>
        <v>2.0109599999999999</v>
      </c>
      <c r="GI92" s="361">
        <f>SUM(FH92:FI92,FE92:FF92)</f>
        <v>2.2120560000000005</v>
      </c>
      <c r="GJ92" s="360"/>
      <c r="GK92" s="360"/>
      <c r="GL92" s="360"/>
      <c r="GN92"/>
      <c r="GO92"/>
      <c r="GP92"/>
      <c r="GQ92"/>
      <c r="GR92"/>
      <c r="GS92"/>
    </row>
    <row r="93" spans="1:201" s="392" customFormat="1" ht="10.5" customHeight="1" collapsed="1">
      <c r="A93" s="388"/>
      <c r="B93" s="389"/>
      <c r="C93" s="389"/>
      <c r="D93" s="390"/>
      <c r="E93" s="390"/>
      <c r="F93" s="390"/>
      <c r="G93" s="390"/>
      <c r="H93" s="390"/>
      <c r="I93" s="390"/>
      <c r="J93" s="390"/>
      <c r="K93" s="390"/>
      <c r="L93" s="390"/>
      <c r="M93" s="390"/>
      <c r="N93" s="390"/>
      <c r="O93" s="390"/>
      <c r="P93" s="390"/>
      <c r="Q93" s="390"/>
      <c r="R93" s="390"/>
      <c r="S93" s="390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0"/>
      <c r="AH93" s="390"/>
      <c r="AI93" s="390"/>
      <c r="AJ93" s="390"/>
      <c r="AK93" s="390"/>
      <c r="AL93" s="390"/>
      <c r="AM93" s="390"/>
      <c r="AN93" s="390"/>
      <c r="AO93" s="390"/>
      <c r="AP93" s="390"/>
      <c r="AQ93" s="390"/>
      <c r="AR93" s="390"/>
      <c r="AS93" s="390"/>
      <c r="AT93" s="390"/>
      <c r="AU93" s="390"/>
      <c r="AV93" s="390"/>
      <c r="AW93" s="390"/>
      <c r="AX93" s="390"/>
      <c r="AY93" s="390"/>
      <c r="AZ93" s="390"/>
      <c r="BA93" s="390"/>
      <c r="BB93" s="390"/>
      <c r="BC93" s="390"/>
      <c r="BD93" s="390"/>
      <c r="BE93" s="390"/>
      <c r="BF93" s="390"/>
      <c r="BG93" s="390"/>
      <c r="BH93" s="390"/>
      <c r="BI93" s="390"/>
      <c r="BJ93" s="390"/>
      <c r="BK93" s="390"/>
      <c r="BL93" s="390"/>
      <c r="BM93" s="390"/>
      <c r="BN93" s="390"/>
      <c r="BO93" s="390"/>
      <c r="BP93" s="390"/>
      <c r="BQ93" s="390"/>
      <c r="BR93" s="390"/>
      <c r="BS93" s="390"/>
      <c r="BT93" s="390"/>
      <c r="BU93" s="390"/>
      <c r="BV93" s="390"/>
      <c r="BW93" s="390"/>
      <c r="BX93" s="390"/>
      <c r="BY93" s="390"/>
      <c r="BZ93" s="390"/>
      <c r="CA93" s="390"/>
      <c r="CB93" s="390"/>
      <c r="CC93" s="390"/>
      <c r="CD93" s="390"/>
      <c r="CE93" s="390"/>
      <c r="CF93" s="390"/>
      <c r="CG93" s="390"/>
      <c r="CH93" s="390"/>
      <c r="CI93" s="390"/>
      <c r="CJ93" s="390"/>
      <c r="CK93" s="390"/>
      <c r="CL93" s="390"/>
      <c r="CM93" s="390"/>
      <c r="CN93" s="390"/>
      <c r="CO93" s="390"/>
      <c r="CP93" s="390"/>
      <c r="CQ93" s="390"/>
      <c r="CR93" s="390"/>
      <c r="CS93" s="390"/>
      <c r="CT93" s="390"/>
      <c r="CU93" s="390"/>
      <c r="CV93" s="390"/>
      <c r="CW93" s="390"/>
      <c r="CX93" s="390"/>
      <c r="CY93" s="393"/>
      <c r="CZ93" s="390"/>
      <c r="DA93" s="390"/>
      <c r="DB93" s="390"/>
      <c r="DC93" s="391"/>
      <c r="DD93" s="393"/>
      <c r="DE93" s="390"/>
      <c r="DF93" s="390"/>
      <c r="DG93" s="390"/>
      <c r="DH93" s="391"/>
      <c r="DI93" s="393"/>
      <c r="DJ93" s="391"/>
      <c r="DK93" s="391"/>
      <c r="DL93" s="391"/>
      <c r="DM93" s="391"/>
      <c r="DN93" s="393"/>
      <c r="DO93" s="390"/>
      <c r="DP93" s="391"/>
      <c r="DQ93" s="391"/>
      <c r="DR93" s="391"/>
      <c r="DS93" s="393"/>
      <c r="DT93" s="390"/>
      <c r="DU93" s="391"/>
      <c r="DV93" s="391"/>
      <c r="DW93" s="391"/>
      <c r="DX93" s="393"/>
      <c r="DY93" s="390"/>
      <c r="DZ93" s="391"/>
      <c r="EA93" s="390"/>
      <c r="EB93" s="391"/>
      <c r="EC93" s="1109"/>
      <c r="ED93" s="390"/>
      <c r="EE93" s="391"/>
      <c r="EF93" s="391"/>
      <c r="EG93" s="391"/>
      <c r="EH93" s="1109"/>
      <c r="EI93" s="2728"/>
      <c r="EJ93" s="2727"/>
      <c r="EK93" s="2727"/>
      <c r="EL93" s="2727"/>
      <c r="EM93" s="1109"/>
      <c r="EN93" s="2728"/>
      <c r="EO93" s="2727"/>
      <c r="EP93" s="2728"/>
      <c r="EQ93" s="2727"/>
      <c r="ER93" s="1109"/>
      <c r="ES93" s="390"/>
      <c r="ET93" s="2727"/>
      <c r="EU93" s="2728"/>
      <c r="EV93" s="390"/>
      <c r="EW93" s="1109"/>
      <c r="EX93" s="390"/>
      <c r="EY93" s="390"/>
      <c r="EZ93" s="390"/>
      <c r="FA93" s="390"/>
      <c r="FB93" s="1109"/>
      <c r="FC93" s="390"/>
      <c r="FD93" s="390"/>
      <c r="FE93" s="390"/>
      <c r="FF93" s="390"/>
      <c r="FG93" s="1109"/>
      <c r="FH93" s="390"/>
      <c r="FI93" s="390"/>
      <c r="FJ93" s="390"/>
      <c r="FK93" s="390"/>
      <c r="FL93" s="1109"/>
      <c r="FX93" s="877"/>
      <c r="FY93" s="878"/>
      <c r="FZ93" s="878"/>
      <c r="GA93" s="878"/>
      <c r="GB93" s="878"/>
      <c r="GC93" s="878"/>
      <c r="GD93" s="878"/>
      <c r="GE93" s="878"/>
      <c r="GF93" s="878"/>
      <c r="GG93" s="878"/>
      <c r="GH93" s="878"/>
      <c r="GI93" s="878"/>
      <c r="GJ93" s="2667"/>
      <c r="GK93" s="2667"/>
      <c r="GL93" s="2667"/>
      <c r="GN93"/>
      <c r="GO93"/>
      <c r="GP93"/>
      <c r="GQ93"/>
      <c r="GR93"/>
      <c r="GS93"/>
    </row>
    <row r="94" spans="1:201" s="392" customFormat="1" ht="10.5" customHeight="1">
      <c r="A94" s="388" t="s">
        <v>347</v>
      </c>
      <c r="B94" s="389"/>
      <c r="C94" s="389"/>
      <c r="D94" s="390"/>
      <c r="E94" s="390"/>
      <c r="F94" s="390"/>
      <c r="G94" s="390"/>
      <c r="H94" s="390"/>
      <c r="I94" s="390"/>
      <c r="J94" s="390"/>
      <c r="K94" s="390"/>
      <c r="L94" s="390"/>
      <c r="M94" s="390"/>
      <c r="N94" s="390"/>
      <c r="O94" s="390"/>
      <c r="P94" s="390"/>
      <c r="Q94" s="390"/>
      <c r="R94" s="390"/>
      <c r="S94" s="390"/>
      <c r="T94" s="390"/>
      <c r="U94" s="390"/>
      <c r="V94" s="390"/>
      <c r="W94" s="390"/>
      <c r="X94" s="390"/>
      <c r="Y94" s="390"/>
      <c r="Z94" s="390"/>
      <c r="AA94" s="390"/>
      <c r="AB94" s="390"/>
      <c r="AC94" s="390"/>
      <c r="AD94" s="390"/>
      <c r="AE94" s="390"/>
      <c r="AF94" s="390"/>
      <c r="AG94" s="390"/>
      <c r="AH94" s="390"/>
      <c r="AI94" s="390"/>
      <c r="AJ94" s="390"/>
      <c r="AK94" s="390"/>
      <c r="AL94" s="390"/>
      <c r="AM94" s="390"/>
      <c r="AN94" s="390"/>
      <c r="AO94" s="390"/>
      <c r="AP94" s="390"/>
      <c r="AQ94" s="390"/>
      <c r="AR94" s="390"/>
      <c r="AS94" s="390"/>
      <c r="AT94" s="390"/>
      <c r="AU94" s="390"/>
      <c r="AV94" s="390"/>
      <c r="AW94" s="390"/>
      <c r="AX94" s="390"/>
      <c r="AY94" s="390"/>
      <c r="AZ94" s="390"/>
      <c r="BA94" s="390"/>
      <c r="BB94" s="390"/>
      <c r="BC94" s="390"/>
      <c r="BD94" s="390"/>
      <c r="BE94" s="390"/>
      <c r="BF94" s="390"/>
      <c r="BG94" s="390"/>
      <c r="BH94" s="390"/>
      <c r="BI94" s="390"/>
      <c r="BJ94" s="390"/>
      <c r="BK94" s="390"/>
      <c r="BL94" s="390"/>
      <c r="BM94" s="390"/>
      <c r="BN94" s="390"/>
      <c r="BO94" s="390"/>
      <c r="BP94" s="390"/>
      <c r="BQ94" s="390"/>
      <c r="BR94" s="390"/>
      <c r="BS94" s="390"/>
      <c r="BT94" s="390"/>
      <c r="BU94" s="390"/>
      <c r="BV94" s="390"/>
      <c r="BW94" s="390"/>
      <c r="BX94" s="390"/>
      <c r="BY94" s="390"/>
      <c r="BZ94" s="390"/>
      <c r="CA94" s="390"/>
      <c r="CB94" s="390"/>
      <c r="CC94" s="390"/>
      <c r="CD94" s="390"/>
      <c r="CE94" s="390"/>
      <c r="CF94" s="390"/>
      <c r="CG94" s="390"/>
      <c r="CH94" s="390"/>
      <c r="CI94" s="390"/>
      <c r="CJ94" s="390"/>
      <c r="CK94" s="390"/>
      <c r="CL94" s="390"/>
      <c r="CM94" s="390"/>
      <c r="CN94" s="390"/>
      <c r="CO94" s="394"/>
      <c r="CP94" s="395"/>
      <c r="CQ94" s="395"/>
      <c r="CR94" s="395"/>
      <c r="CS94" s="395"/>
      <c r="CT94" s="395"/>
      <c r="CU94" s="395"/>
      <c r="CV94" s="395"/>
      <c r="CW94" s="395"/>
      <c r="CX94" s="395"/>
      <c r="CY94" s="396"/>
      <c r="CZ94" s="395"/>
      <c r="DA94" s="395"/>
      <c r="DB94" s="395"/>
      <c r="DC94" s="397"/>
      <c r="DD94" s="396"/>
      <c r="DE94" s="390"/>
      <c r="DF94" s="390"/>
      <c r="DG94" s="390"/>
      <c r="DH94" s="397"/>
      <c r="DI94" s="396"/>
      <c r="DJ94" s="391"/>
      <c r="DK94" s="391"/>
      <c r="DL94" s="391"/>
      <c r="DM94" s="397"/>
      <c r="DN94" s="398"/>
      <c r="DO94" s="390"/>
      <c r="DP94" s="391"/>
      <c r="DQ94" s="391"/>
      <c r="DR94" s="817"/>
      <c r="DS94" s="398"/>
      <c r="DT94" s="390"/>
      <c r="DU94" s="391"/>
      <c r="DV94" s="391"/>
      <c r="DW94" s="391"/>
      <c r="DX94" s="822"/>
      <c r="DY94" s="390"/>
      <c r="DZ94" s="391"/>
      <c r="EA94" s="390"/>
      <c r="EB94" s="391"/>
      <c r="EC94" s="390"/>
      <c r="ED94" s="390"/>
      <c r="EE94" s="391"/>
      <c r="EF94" s="391"/>
      <c r="EG94" s="391"/>
      <c r="EH94" s="390"/>
      <c r="EI94" s="2728"/>
      <c r="EJ94" s="2727"/>
      <c r="EK94" s="2727"/>
      <c r="EL94" s="2727"/>
      <c r="EM94" s="2728"/>
      <c r="EN94" s="2728"/>
      <c r="EO94" s="2727"/>
      <c r="EP94" s="2728"/>
      <c r="EQ94" s="2727"/>
      <c r="ER94" s="2728"/>
      <c r="ES94" s="390"/>
      <c r="ET94" s="2727"/>
      <c r="EU94" s="2728"/>
      <c r="EV94" s="390"/>
      <c r="EW94" s="390"/>
      <c r="EX94" s="390"/>
      <c r="EY94" s="390"/>
      <c r="EZ94" s="390"/>
      <c r="FA94" s="390"/>
      <c r="FB94" s="390"/>
      <c r="FC94" s="390"/>
      <c r="FD94" s="390"/>
      <c r="FE94" s="390"/>
      <c r="FF94" s="390"/>
      <c r="FG94" s="390"/>
      <c r="FH94" s="390"/>
      <c r="FI94" s="390"/>
      <c r="FJ94" s="390"/>
      <c r="FK94" s="390"/>
      <c r="FL94" s="390"/>
      <c r="FX94" s="877"/>
      <c r="FY94" s="877"/>
      <c r="FZ94" s="877"/>
      <c r="GA94" s="877"/>
      <c r="GB94" s="877"/>
      <c r="GC94" s="877"/>
      <c r="GD94" s="877"/>
      <c r="GE94" s="877"/>
      <c r="GF94" s="877"/>
      <c r="GG94" s="877"/>
      <c r="GH94" s="877"/>
      <c r="GI94" s="877"/>
      <c r="GJ94" s="389"/>
      <c r="GK94" s="389"/>
      <c r="GL94" s="389"/>
      <c r="GN94"/>
      <c r="GO94"/>
      <c r="GP94"/>
      <c r="GQ94"/>
      <c r="GR94"/>
      <c r="GS94"/>
    </row>
    <row r="95" spans="1:201" s="399" customFormat="1" ht="10.5" customHeight="1">
      <c r="A95" s="387" t="s">
        <v>537</v>
      </c>
      <c r="D95" s="400"/>
      <c r="E95" s="400"/>
      <c r="F95" s="400"/>
      <c r="G95" s="400"/>
      <c r="H95" s="400"/>
      <c r="I95" s="400"/>
      <c r="J95" s="400"/>
      <c r="K95" s="400"/>
      <c r="L95" s="400"/>
      <c r="M95" s="400"/>
      <c r="N95" s="400"/>
      <c r="O95" s="400"/>
      <c r="P95" s="400"/>
      <c r="Q95" s="400"/>
      <c r="R95" s="400"/>
      <c r="S95" s="400"/>
      <c r="T95" s="400"/>
      <c r="U95" s="400"/>
      <c r="V95" s="400"/>
      <c r="W95" s="400"/>
      <c r="X95" s="400"/>
      <c r="Y95" s="400"/>
      <c r="Z95" s="400"/>
      <c r="AA95" s="400"/>
      <c r="AB95" s="400"/>
      <c r="AC95" s="400"/>
      <c r="AD95" s="400"/>
      <c r="AE95" s="400"/>
      <c r="AF95" s="400"/>
      <c r="AG95" s="400"/>
      <c r="AH95" s="400"/>
      <c r="AI95" s="400"/>
      <c r="AJ95" s="400"/>
      <c r="AK95" s="400"/>
      <c r="AL95" s="400"/>
      <c r="AM95" s="400"/>
      <c r="AN95" s="400"/>
      <c r="AO95" s="400"/>
      <c r="AP95" s="400"/>
      <c r="AQ95" s="400"/>
      <c r="AR95" s="400"/>
      <c r="AS95" s="400"/>
      <c r="AT95" s="400"/>
      <c r="AU95" s="400"/>
      <c r="AV95" s="400"/>
      <c r="AW95" s="400"/>
      <c r="AX95" s="400"/>
      <c r="AY95" s="400"/>
      <c r="AZ95" s="400"/>
      <c r="BA95" s="400"/>
      <c r="BB95" s="400"/>
      <c r="BC95" s="400"/>
      <c r="BD95" s="400"/>
      <c r="BE95" s="400"/>
      <c r="BF95" s="400"/>
      <c r="BG95" s="400"/>
      <c r="BH95" s="400"/>
      <c r="BI95" s="400"/>
      <c r="BJ95" s="400"/>
      <c r="BK95" s="400"/>
      <c r="BL95" s="400"/>
      <c r="BM95" s="400"/>
      <c r="BN95" s="400"/>
      <c r="BO95" s="400"/>
      <c r="BP95" s="400"/>
      <c r="BQ95" s="400"/>
      <c r="BR95" s="400"/>
      <c r="BS95" s="400"/>
      <c r="BT95" s="400"/>
      <c r="BU95" s="400"/>
      <c r="BV95" s="400"/>
      <c r="BW95" s="400"/>
      <c r="BX95" s="400"/>
      <c r="BY95" s="400"/>
      <c r="BZ95" s="400"/>
      <c r="CA95" s="400"/>
      <c r="CB95" s="400"/>
      <c r="CC95" s="400"/>
      <c r="CD95" s="400"/>
      <c r="CE95" s="400"/>
      <c r="CF95" s="400"/>
      <c r="CG95" s="400"/>
      <c r="CH95" s="400"/>
      <c r="CI95" s="400"/>
      <c r="CJ95" s="400"/>
      <c r="CK95" s="400"/>
      <c r="CL95" s="400"/>
      <c r="CM95" s="400"/>
      <c r="CN95" s="400"/>
      <c r="CO95" s="401" t="s">
        <v>360</v>
      </c>
      <c r="CP95" s="255" t="s">
        <v>361</v>
      </c>
      <c r="CQ95" s="255" t="s">
        <v>362</v>
      </c>
      <c r="CR95" s="255" t="s">
        <v>363</v>
      </c>
      <c r="CS95" s="401"/>
      <c r="CT95" s="401" t="s">
        <v>364</v>
      </c>
      <c r="CU95" s="401" t="s">
        <v>365</v>
      </c>
      <c r="CV95" s="255" t="s">
        <v>366</v>
      </c>
      <c r="CW95" s="255" t="s">
        <v>523</v>
      </c>
      <c r="CX95" s="401" t="s">
        <v>367</v>
      </c>
      <c r="CY95" s="401" t="s">
        <v>368</v>
      </c>
      <c r="CZ95" s="401" t="s">
        <v>576</v>
      </c>
      <c r="DA95" s="255" t="s">
        <v>242</v>
      </c>
      <c r="DB95" s="255" t="s">
        <v>879</v>
      </c>
      <c r="DC95" s="402"/>
      <c r="DD95" s="403" t="s">
        <v>876</v>
      </c>
      <c r="DE95" s="404"/>
      <c r="DF95" s="404"/>
      <c r="DG95" s="404"/>
      <c r="DH95" s="402"/>
      <c r="DI95" s="403"/>
      <c r="DJ95" s="405"/>
      <c r="DK95" s="405"/>
      <c r="DL95" s="405"/>
      <c r="DM95" s="402"/>
      <c r="DN95" s="403"/>
      <c r="DO95" s="404"/>
      <c r="DP95" s="405"/>
      <c r="DQ95" s="405"/>
      <c r="DR95" s="405"/>
      <c r="DS95" s="402"/>
      <c r="DT95" s="404"/>
      <c r="DU95" s="405"/>
      <c r="DV95" s="405"/>
      <c r="DW95" s="405"/>
      <c r="DX95" s="402"/>
      <c r="DY95" s="404"/>
      <c r="DZ95" s="405"/>
      <c r="EA95" s="404"/>
      <c r="EB95" s="405"/>
      <c r="EC95" s="417"/>
      <c r="ED95" s="404"/>
      <c r="EE95" s="405"/>
      <c r="EF95" s="405"/>
      <c r="EG95" s="405"/>
      <c r="EH95" s="417"/>
      <c r="EI95" s="2729"/>
      <c r="EJ95" s="2730"/>
      <c r="EK95" s="2730"/>
      <c r="EL95" s="2730"/>
      <c r="EM95" s="2731"/>
      <c r="EN95" s="2729"/>
      <c r="EO95" s="2730"/>
      <c r="EP95" s="2729"/>
      <c r="EQ95" s="2730"/>
      <c r="ER95" s="2731"/>
      <c r="ES95" s="404"/>
      <c r="ET95" s="2730"/>
      <c r="EU95" s="2729"/>
      <c r="EV95" s="404"/>
      <c r="EW95" s="417"/>
      <c r="EX95" s="404"/>
      <c r="EY95" s="404"/>
      <c r="EZ95" s="404"/>
      <c r="FA95" s="404"/>
      <c r="FB95" s="417"/>
      <c r="FC95" s="404"/>
      <c r="FD95" s="404"/>
      <c r="FE95" s="404"/>
      <c r="FF95" s="404"/>
      <c r="FG95" s="417"/>
      <c r="FH95" s="404"/>
      <c r="FI95" s="404"/>
      <c r="FJ95" s="404"/>
      <c r="FK95" s="404"/>
      <c r="FL95" s="417"/>
      <c r="FX95" s="879"/>
      <c r="FY95" s="879"/>
      <c r="FZ95" s="879"/>
      <c r="GA95" s="879"/>
      <c r="GB95" s="879"/>
      <c r="GC95" s="879"/>
      <c r="GD95" s="879"/>
      <c r="GE95" s="879"/>
      <c r="GF95" s="879"/>
      <c r="GG95" s="879"/>
      <c r="GH95" s="879"/>
      <c r="GI95" s="879"/>
      <c r="GN95"/>
      <c r="GO95"/>
      <c r="GP95"/>
      <c r="GQ95"/>
      <c r="GR95"/>
      <c r="GS95"/>
    </row>
    <row r="96" spans="1:201" s="389" customFormat="1" ht="10.5" customHeight="1">
      <c r="A96" s="253" t="s">
        <v>529</v>
      </c>
      <c r="D96" s="360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360"/>
      <c r="Q96" s="360"/>
      <c r="R96" s="360"/>
      <c r="S96" s="360"/>
      <c r="T96" s="360"/>
      <c r="U96" s="360"/>
      <c r="V96" s="360"/>
      <c r="W96" s="360"/>
      <c r="X96" s="360"/>
      <c r="Y96" s="360"/>
      <c r="Z96" s="360"/>
      <c r="AA96" s="360"/>
      <c r="AB96" s="360"/>
      <c r="AC96" s="360"/>
      <c r="AD96" s="360"/>
      <c r="AE96" s="360"/>
      <c r="AF96" s="360"/>
      <c r="AG96" s="360"/>
      <c r="AH96" s="360"/>
      <c r="AI96" s="360"/>
      <c r="AJ96" s="360"/>
      <c r="AK96" s="360"/>
      <c r="AL96" s="360"/>
      <c r="AM96" s="360"/>
      <c r="AN96" s="360"/>
      <c r="AO96" s="360"/>
      <c r="AP96" s="360"/>
      <c r="AQ96" s="360"/>
      <c r="AR96" s="360"/>
      <c r="AS96" s="360"/>
      <c r="AT96" s="360"/>
      <c r="AU96" s="360"/>
      <c r="AV96" s="360"/>
      <c r="AW96" s="360"/>
      <c r="AX96" s="360"/>
      <c r="AY96" s="360"/>
      <c r="AZ96" s="360"/>
      <c r="BA96" s="360"/>
      <c r="BB96" s="360"/>
      <c r="BC96" s="360"/>
      <c r="BD96" s="360"/>
      <c r="BE96" s="360"/>
      <c r="BF96" s="360"/>
      <c r="BG96" s="360"/>
      <c r="BH96" s="360"/>
      <c r="BI96" s="360"/>
      <c r="BJ96" s="360"/>
      <c r="BK96" s="360"/>
      <c r="BL96" s="360"/>
      <c r="BM96" s="360"/>
      <c r="BN96" s="360"/>
      <c r="BO96" s="360"/>
      <c r="BP96" s="360"/>
      <c r="BQ96" s="360"/>
      <c r="BR96" s="360"/>
      <c r="BS96" s="360"/>
      <c r="BT96" s="360"/>
      <c r="BU96" s="360"/>
      <c r="BV96" s="360"/>
      <c r="BW96" s="360"/>
      <c r="BX96" s="360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255" t="s">
        <v>357</v>
      </c>
      <c r="CL96" s="255"/>
      <c r="CM96" s="255" t="s">
        <v>358</v>
      </c>
      <c r="CN96" s="401" t="s">
        <v>359</v>
      </c>
      <c r="CO96" s="401" t="s">
        <v>372</v>
      </c>
      <c r="CP96" s="255" t="s">
        <v>373</v>
      </c>
      <c r="CQ96" s="255" t="s">
        <v>374</v>
      </c>
      <c r="CR96" s="255" t="s">
        <v>375</v>
      </c>
      <c r="CS96" s="401"/>
      <c r="CT96" s="401" t="s">
        <v>376</v>
      </c>
      <c r="CU96" s="401" t="s">
        <v>377</v>
      </c>
      <c r="CV96" s="255" t="s">
        <v>378</v>
      </c>
      <c r="CW96" s="255" t="s">
        <v>524</v>
      </c>
      <c r="CX96" s="401" t="s">
        <v>379</v>
      </c>
      <c r="CY96" s="401" t="s">
        <v>380</v>
      </c>
      <c r="CZ96" s="401" t="s">
        <v>577</v>
      </c>
      <c r="DA96" s="255" t="s">
        <v>243</v>
      </c>
      <c r="DB96" s="255"/>
      <c r="DC96" s="406"/>
      <c r="DD96" s="407" t="s">
        <v>877</v>
      </c>
      <c r="DE96" s="258"/>
      <c r="DF96" s="258"/>
      <c r="DG96" s="258"/>
      <c r="DH96" s="406"/>
      <c r="DI96" s="407"/>
      <c r="DJ96" s="257"/>
      <c r="DK96" s="257"/>
      <c r="DL96" s="257"/>
      <c r="DM96" s="406"/>
      <c r="DN96" s="407"/>
      <c r="DO96" s="258"/>
      <c r="DP96" s="279"/>
      <c r="DQ96" s="279"/>
      <c r="DR96" s="257"/>
      <c r="DS96" s="406"/>
      <c r="DT96" s="258"/>
      <c r="DU96" s="279"/>
      <c r="DV96" s="257"/>
      <c r="DW96" s="257"/>
      <c r="DX96" s="406"/>
      <c r="DY96" s="258"/>
      <c r="DZ96" s="257"/>
      <c r="EA96" s="258"/>
      <c r="EB96" s="257"/>
      <c r="EC96" s="1110"/>
      <c r="ED96" s="258"/>
      <c r="EE96" s="257"/>
      <c r="EF96" s="257"/>
      <c r="EG96" s="257"/>
      <c r="EH96" s="1110"/>
      <c r="EI96" s="2732"/>
      <c r="EJ96" s="2733"/>
      <c r="EK96" s="2733"/>
      <c r="EL96" s="2733"/>
      <c r="EM96" s="2734"/>
      <c r="EN96" s="2732"/>
      <c r="EO96" s="2733"/>
      <c r="EP96" s="2732"/>
      <c r="EQ96" s="2733"/>
      <c r="ER96" s="2734"/>
      <c r="ES96" s="258"/>
      <c r="ET96" s="2733"/>
      <c r="EU96" s="2732"/>
      <c r="EV96" s="258"/>
      <c r="EW96" s="1110"/>
      <c r="EX96" s="258"/>
      <c r="EY96" s="258"/>
      <c r="EZ96" s="258"/>
      <c r="FA96" s="258"/>
      <c r="FB96" s="1110"/>
      <c r="FC96" s="258"/>
      <c r="FD96" s="258"/>
      <c r="FE96" s="258"/>
      <c r="FF96" s="258"/>
      <c r="FG96" s="1110"/>
      <c r="FH96" s="258"/>
      <c r="FI96" s="258"/>
      <c r="FJ96" s="258"/>
      <c r="FK96" s="258"/>
      <c r="FL96" s="1110"/>
      <c r="FX96" s="877"/>
      <c r="FY96" s="877"/>
      <c r="FZ96" s="877"/>
      <c r="GA96" s="877"/>
      <c r="GB96" s="877"/>
      <c r="GC96" s="877"/>
      <c r="GD96" s="877"/>
      <c r="GE96" s="877"/>
      <c r="GF96" s="877"/>
      <c r="GG96" s="877"/>
      <c r="GH96" s="877"/>
      <c r="GI96" s="877"/>
      <c r="GN96"/>
      <c r="GO96"/>
      <c r="GP96"/>
      <c r="GQ96"/>
      <c r="GR96"/>
      <c r="GS96"/>
    </row>
    <row r="97" spans="1:201" s="389" customFormat="1" ht="10.5" customHeight="1">
      <c r="A97" s="253" t="s">
        <v>348</v>
      </c>
      <c r="D97" s="360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360"/>
      <c r="Q97" s="360"/>
      <c r="R97" s="360"/>
      <c r="S97" s="360"/>
      <c r="T97" s="360"/>
      <c r="U97" s="360"/>
      <c r="V97" s="360"/>
      <c r="W97" s="360"/>
      <c r="X97" s="360"/>
      <c r="Y97" s="360"/>
      <c r="Z97" s="360"/>
      <c r="AA97" s="360"/>
      <c r="AB97" s="360"/>
      <c r="AC97" s="360"/>
      <c r="AD97" s="360"/>
      <c r="AE97" s="360"/>
      <c r="AF97" s="360"/>
      <c r="AG97" s="360"/>
      <c r="AH97" s="360"/>
      <c r="AI97" s="360"/>
      <c r="AJ97" s="360"/>
      <c r="AK97" s="360"/>
      <c r="AL97" s="360"/>
      <c r="AM97" s="360"/>
      <c r="AN97" s="360"/>
      <c r="AO97" s="360"/>
      <c r="AP97" s="360"/>
      <c r="AQ97" s="360"/>
      <c r="AR97" s="360"/>
      <c r="AS97" s="360"/>
      <c r="AT97" s="360"/>
      <c r="AU97" s="360"/>
      <c r="AV97" s="360"/>
      <c r="AW97" s="360"/>
      <c r="AX97" s="360"/>
      <c r="AY97" s="360"/>
      <c r="AZ97" s="360"/>
      <c r="BA97" s="360"/>
      <c r="BB97" s="360"/>
      <c r="BC97" s="360"/>
      <c r="BD97" s="360"/>
      <c r="BE97" s="360"/>
      <c r="BF97" s="360"/>
      <c r="BG97" s="360"/>
      <c r="BH97" s="360"/>
      <c r="BI97" s="360"/>
      <c r="BJ97" s="360"/>
      <c r="BK97" s="360"/>
      <c r="BL97" s="360"/>
      <c r="BM97" s="360"/>
      <c r="BN97" s="360"/>
      <c r="BO97" s="360"/>
      <c r="BP97" s="360"/>
      <c r="BQ97" s="360"/>
      <c r="BR97" s="360"/>
      <c r="BS97" s="360"/>
      <c r="BT97" s="360"/>
      <c r="BU97" s="360"/>
      <c r="BV97" s="360"/>
      <c r="BW97" s="360"/>
      <c r="BX97" s="360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255" t="s">
        <v>369</v>
      </c>
      <c r="CL97" s="255"/>
      <c r="CM97" s="255" t="s">
        <v>370</v>
      </c>
      <c r="CN97" s="401" t="s">
        <v>371</v>
      </c>
      <c r="CO97" s="408">
        <v>1.26</v>
      </c>
      <c r="CP97" s="255" t="s">
        <v>383</v>
      </c>
      <c r="CQ97" s="255" t="s">
        <v>384</v>
      </c>
      <c r="CR97" s="255" t="s">
        <v>385</v>
      </c>
      <c r="CS97" s="408"/>
      <c r="CT97" s="408" t="s">
        <v>386</v>
      </c>
      <c r="CU97" s="408" t="s">
        <v>387</v>
      </c>
      <c r="CV97" s="255" t="s">
        <v>388</v>
      </c>
      <c r="CW97" s="255" t="s">
        <v>525</v>
      </c>
      <c r="CX97" s="408" t="s">
        <v>389</v>
      </c>
      <c r="CY97" s="408" t="s">
        <v>390</v>
      </c>
      <c r="CZ97" s="408" t="s">
        <v>578</v>
      </c>
      <c r="DA97" s="255" t="s">
        <v>244</v>
      </c>
      <c r="DB97" s="255"/>
      <c r="DC97" s="406"/>
      <c r="DD97" s="407" t="s">
        <v>878</v>
      </c>
      <c r="DE97" s="258"/>
      <c r="DF97" s="258"/>
      <c r="DG97" s="258"/>
      <c r="DH97" s="406"/>
      <c r="DI97" s="407"/>
      <c r="DJ97" s="257"/>
      <c r="DK97" s="257"/>
      <c r="DL97" s="257"/>
      <c r="DM97" s="406"/>
      <c r="DN97" s="407"/>
      <c r="DO97" s="258"/>
      <c r="DP97" s="257"/>
      <c r="DQ97" s="257"/>
      <c r="DR97" s="257"/>
      <c r="DS97" s="406"/>
      <c r="DT97" s="258"/>
      <c r="DU97" s="257"/>
      <c r="DV97" s="257"/>
      <c r="DW97" s="257"/>
      <c r="DX97" s="406"/>
      <c r="DY97" s="258"/>
      <c r="DZ97" s="257"/>
      <c r="EA97" s="258"/>
      <c r="EB97" s="257"/>
      <c r="EC97" s="1110"/>
      <c r="ED97" s="258"/>
      <c r="EE97" s="257"/>
      <c r="EF97" s="257"/>
      <c r="EG97" s="257"/>
      <c r="EH97" s="1110"/>
      <c r="EI97" s="2732"/>
      <c r="EJ97" s="2733"/>
      <c r="EK97" s="2733"/>
      <c r="EL97" s="2733"/>
      <c r="EM97" s="2734"/>
      <c r="EN97" s="2732"/>
      <c r="EO97" s="2733"/>
      <c r="EP97" s="2732"/>
      <c r="EQ97" s="2733"/>
      <c r="ER97" s="2734"/>
      <c r="ES97" s="258"/>
      <c r="ET97" s="2733"/>
      <c r="EU97" s="2732"/>
      <c r="EV97" s="258"/>
      <c r="EW97" s="1110"/>
      <c r="EX97" s="258"/>
      <c r="EY97" s="258"/>
      <c r="EZ97" s="258"/>
      <c r="FA97" s="258"/>
      <c r="FB97" s="1110"/>
      <c r="FC97" s="258"/>
      <c r="FD97" s="258"/>
      <c r="FE97" s="258"/>
      <c r="FF97" s="258"/>
      <c r="FG97" s="1110"/>
      <c r="FH97" s="258"/>
      <c r="FI97" s="258"/>
      <c r="FJ97" s="258"/>
      <c r="FK97" s="258"/>
      <c r="FL97" s="1110"/>
      <c r="FX97" s="877"/>
      <c r="FY97" s="877"/>
      <c r="FZ97" s="877"/>
      <c r="GA97" s="877"/>
      <c r="GB97" s="877"/>
      <c r="GC97" s="877"/>
      <c r="GD97" s="877"/>
      <c r="GE97" s="877"/>
      <c r="GF97" s="877"/>
      <c r="GG97" s="877"/>
      <c r="GH97" s="877"/>
      <c r="GI97" s="877"/>
      <c r="GN97"/>
      <c r="GO97"/>
      <c r="GP97"/>
      <c r="GQ97"/>
      <c r="GR97"/>
      <c r="GS97"/>
    </row>
    <row r="98" spans="1:201" s="409" customFormat="1" ht="10.5" customHeight="1">
      <c r="A98" s="287"/>
      <c r="D98" s="394"/>
      <c r="E98" s="394"/>
      <c r="F98" s="394"/>
      <c r="G98" s="394"/>
      <c r="H98" s="394"/>
      <c r="I98" s="394"/>
      <c r="J98" s="394"/>
      <c r="K98" s="394"/>
      <c r="L98" s="394"/>
      <c r="M98" s="394"/>
      <c r="N98" s="394"/>
      <c r="O98" s="394"/>
      <c r="P98" s="394"/>
      <c r="Q98" s="394"/>
      <c r="R98" s="394"/>
      <c r="S98" s="394"/>
      <c r="T98" s="394"/>
      <c r="U98" s="394"/>
      <c r="V98" s="394"/>
      <c r="W98" s="394"/>
      <c r="X98" s="394"/>
      <c r="Y98" s="394"/>
      <c r="Z98" s="394"/>
      <c r="AA98" s="394"/>
      <c r="AB98" s="394"/>
      <c r="AC98" s="394"/>
      <c r="AD98" s="394"/>
      <c r="AE98" s="394"/>
      <c r="AF98" s="394"/>
      <c r="AG98" s="394"/>
      <c r="AH98" s="394"/>
      <c r="AI98" s="394"/>
      <c r="AJ98" s="394"/>
      <c r="AK98" s="394"/>
      <c r="AL98" s="394"/>
      <c r="AM98" s="394"/>
      <c r="AN98" s="394"/>
      <c r="AO98" s="394"/>
      <c r="AP98" s="394"/>
      <c r="AQ98" s="394"/>
      <c r="AR98" s="394"/>
      <c r="AS98" s="394"/>
      <c r="AT98" s="394"/>
      <c r="AU98" s="394"/>
      <c r="AV98" s="394"/>
      <c r="AW98" s="394"/>
      <c r="AX98" s="394"/>
      <c r="AY98" s="394"/>
      <c r="AZ98" s="394"/>
      <c r="BA98" s="394"/>
      <c r="BB98" s="394"/>
      <c r="BC98" s="394"/>
      <c r="BD98" s="394"/>
      <c r="BE98" s="394"/>
      <c r="BF98" s="394"/>
      <c r="BG98" s="394"/>
      <c r="BH98" s="394"/>
      <c r="BI98" s="394"/>
      <c r="BJ98" s="394"/>
      <c r="BK98" s="394"/>
      <c r="BL98" s="394"/>
      <c r="BM98" s="394"/>
      <c r="BN98" s="394"/>
      <c r="BO98" s="394"/>
      <c r="BP98" s="394"/>
      <c r="BQ98" s="394"/>
      <c r="BR98" s="394"/>
      <c r="BS98" s="394"/>
      <c r="BT98" s="394"/>
      <c r="BU98" s="394"/>
      <c r="BV98" s="394"/>
      <c r="BW98" s="394"/>
      <c r="BX98" s="394"/>
      <c r="BY98" s="394"/>
      <c r="BZ98" s="394"/>
      <c r="CA98" s="394"/>
      <c r="CB98" s="394"/>
      <c r="CC98" s="394"/>
      <c r="CD98" s="394"/>
      <c r="CE98" s="394"/>
      <c r="CF98" s="394"/>
      <c r="CG98" s="394"/>
      <c r="CH98" s="394"/>
      <c r="CI98" s="394"/>
      <c r="CJ98" s="394"/>
      <c r="CK98" s="410" t="s">
        <v>381</v>
      </c>
      <c r="CL98" s="410"/>
      <c r="CM98" s="410" t="s">
        <v>382</v>
      </c>
      <c r="CN98" s="411">
        <v>0.3</v>
      </c>
      <c r="DC98" s="412"/>
      <c r="DD98" s="413"/>
      <c r="DE98" s="413"/>
      <c r="DF98" s="413"/>
      <c r="DG98" s="413"/>
      <c r="DH98" s="412"/>
      <c r="DI98" s="413"/>
      <c r="DJ98" s="414"/>
      <c r="DK98" s="414"/>
      <c r="DL98" s="414"/>
      <c r="DM98" s="412"/>
      <c r="DN98" s="413"/>
      <c r="DO98" s="413"/>
      <c r="DP98" s="414"/>
      <c r="DQ98" s="414"/>
      <c r="DR98" s="414"/>
      <c r="DS98" s="412"/>
      <c r="DT98" s="413"/>
      <c r="DU98" s="414"/>
      <c r="DV98" s="414"/>
      <c r="DW98" s="414"/>
      <c r="DX98" s="412"/>
      <c r="DY98" s="413"/>
      <c r="DZ98" s="414"/>
      <c r="EA98" s="413"/>
      <c r="EB98" s="414"/>
      <c r="EC98" s="395"/>
      <c r="ED98" s="413"/>
      <c r="EE98" s="414"/>
      <c r="EF98" s="414"/>
      <c r="EG98" s="414"/>
      <c r="EH98" s="395"/>
      <c r="EI98" s="2735"/>
      <c r="EJ98" s="2736"/>
      <c r="EK98" s="2736"/>
      <c r="EL98" s="2736"/>
      <c r="EM98" s="2737"/>
      <c r="EN98" s="2735"/>
      <c r="EO98" s="2736"/>
      <c r="EP98" s="2735"/>
      <c r="EQ98" s="2736"/>
      <c r="ER98" s="2737"/>
      <c r="ES98" s="413"/>
      <c r="ET98" s="2736"/>
      <c r="EU98" s="2735"/>
      <c r="EV98" s="413"/>
      <c r="EW98" s="395"/>
      <c r="EX98" s="413"/>
      <c r="EY98" s="413"/>
      <c r="EZ98" s="413"/>
      <c r="FA98" s="413"/>
      <c r="FB98" s="395"/>
      <c r="FC98" s="413"/>
      <c r="FD98" s="413"/>
      <c r="FE98" s="413"/>
      <c r="FF98" s="413"/>
      <c r="FG98" s="395"/>
      <c r="FH98" s="413"/>
      <c r="FI98" s="413"/>
      <c r="FJ98" s="413"/>
      <c r="FK98" s="413"/>
      <c r="FL98" s="395"/>
      <c r="FX98" s="880"/>
      <c r="FY98" s="880"/>
      <c r="FZ98" s="880"/>
      <c r="GA98" s="880"/>
      <c r="GB98" s="880"/>
      <c r="GC98" s="880"/>
      <c r="GD98" s="880"/>
      <c r="GE98" s="880"/>
      <c r="GF98" s="880"/>
      <c r="GG98" s="880"/>
      <c r="GH98" s="880"/>
      <c r="GI98" s="880"/>
      <c r="GN98"/>
      <c r="GO98"/>
      <c r="GP98"/>
      <c r="GQ98"/>
      <c r="GR98"/>
      <c r="GS98"/>
    </row>
    <row r="99" spans="1:201" s="392" customFormat="1" ht="10.5" hidden="1" customHeight="1" outlineLevel="1">
      <c r="A99" s="415" t="s">
        <v>349</v>
      </c>
      <c r="B99" s="389"/>
      <c r="C99" s="389"/>
      <c r="D99" s="390"/>
      <c r="E99" s="390"/>
      <c r="F99" s="390"/>
      <c r="G99" s="390"/>
      <c r="H99" s="390"/>
      <c r="I99" s="390"/>
      <c r="J99" s="390"/>
      <c r="K99" s="390"/>
      <c r="L99" s="390"/>
      <c r="M99" s="390"/>
      <c r="N99" s="390"/>
      <c r="O99" s="390"/>
      <c r="P99" s="390"/>
      <c r="Q99" s="390"/>
      <c r="R99" s="390"/>
      <c r="S99" s="390"/>
      <c r="T99" s="390"/>
      <c r="U99" s="390"/>
      <c r="V99" s="390"/>
      <c r="W99" s="390"/>
      <c r="X99" s="390"/>
      <c r="Y99" s="390"/>
      <c r="Z99" s="390"/>
      <c r="AA99" s="390"/>
      <c r="AB99" s="390"/>
      <c r="AC99" s="390"/>
      <c r="AD99" s="390"/>
      <c r="AE99" s="390"/>
      <c r="AF99" s="390"/>
      <c r="AG99" s="390"/>
      <c r="AH99" s="390"/>
      <c r="AI99" s="390"/>
      <c r="AJ99" s="390"/>
      <c r="AK99" s="390"/>
      <c r="AL99" s="390"/>
      <c r="AM99" s="390"/>
      <c r="AN99" s="390"/>
      <c r="AO99" s="390"/>
      <c r="AP99" s="390"/>
      <c r="AQ99" s="390"/>
      <c r="AR99" s="390"/>
      <c r="AS99" s="390"/>
      <c r="AT99" s="390"/>
      <c r="AU99" s="390"/>
      <c r="AV99" s="390"/>
      <c r="AW99" s="390"/>
      <c r="AX99" s="390"/>
      <c r="AY99" s="390"/>
      <c r="AZ99" s="390"/>
      <c r="BA99" s="390"/>
      <c r="BB99" s="390"/>
      <c r="BC99" s="390"/>
      <c r="BD99" s="390"/>
      <c r="BE99" s="390"/>
      <c r="BF99" s="390"/>
      <c r="BG99" s="390"/>
      <c r="BH99" s="390"/>
      <c r="BI99" s="390"/>
      <c r="BJ99" s="390"/>
      <c r="BK99" s="390"/>
      <c r="BL99" s="390"/>
      <c r="BM99" s="390"/>
      <c r="BN99" s="390"/>
      <c r="BO99" s="390"/>
      <c r="BP99" s="390"/>
      <c r="BQ99" s="390"/>
      <c r="BR99" s="390"/>
      <c r="BS99" s="390"/>
      <c r="BT99" s="390"/>
      <c r="BU99" s="390"/>
      <c r="BV99" s="390"/>
      <c r="BW99" s="390"/>
      <c r="BX99" s="390"/>
      <c r="BY99" s="390"/>
      <c r="BZ99" s="390"/>
      <c r="CA99" s="390"/>
      <c r="CB99" s="390"/>
      <c r="CC99" s="390"/>
      <c r="CD99" s="390"/>
      <c r="CE99" s="390"/>
      <c r="CF99" s="390"/>
      <c r="CG99" s="390"/>
      <c r="CH99" s="390"/>
      <c r="CI99" s="390"/>
      <c r="CJ99" s="390"/>
      <c r="CK99" s="336"/>
      <c r="CL99" s="336"/>
      <c r="CM99" s="336"/>
      <c r="CN99" s="336"/>
      <c r="CO99" s="336"/>
      <c r="CP99" s="336"/>
      <c r="CQ99" s="336"/>
      <c r="CR99" s="336"/>
      <c r="CS99" s="336"/>
      <c r="CT99" s="336"/>
      <c r="CU99" s="336"/>
      <c r="CV99" s="336"/>
      <c r="CW99" s="336"/>
      <c r="CX99" s="336"/>
      <c r="CY99" s="336" t="s">
        <v>391</v>
      </c>
      <c r="CZ99" s="336"/>
      <c r="DA99" s="336"/>
      <c r="DB99" s="336"/>
      <c r="DC99" s="397"/>
      <c r="DD99" s="336"/>
      <c r="DE99" s="336"/>
      <c r="DF99" s="336"/>
      <c r="DG99" s="336"/>
      <c r="DH99" s="397"/>
      <c r="DI99" s="336"/>
      <c r="DJ99" s="416"/>
      <c r="DK99" s="416"/>
      <c r="DL99" s="416"/>
      <c r="DM99" s="397"/>
      <c r="DN99" s="336"/>
      <c r="DO99" s="336"/>
      <c r="DP99" s="416"/>
      <c r="DQ99" s="416"/>
      <c r="DR99" s="416"/>
      <c r="DS99" s="397"/>
      <c r="DT99" s="336"/>
      <c r="DU99" s="416"/>
      <c r="DV99" s="416"/>
      <c r="DW99" s="416"/>
      <c r="DX99" s="397"/>
      <c r="DY99" s="336"/>
      <c r="DZ99" s="416"/>
      <c r="EA99" s="336"/>
      <c r="EB99" s="416"/>
      <c r="EC99" s="398"/>
      <c r="ED99" s="336"/>
      <c r="EE99" s="416"/>
      <c r="EF99" s="416"/>
      <c r="EG99" s="416"/>
      <c r="EH99" s="398"/>
      <c r="EI99" s="2738"/>
      <c r="EJ99" s="2739"/>
      <c r="EK99" s="2739"/>
      <c r="EL99" s="2739"/>
      <c r="EM99" s="2740"/>
      <c r="EN99" s="2738"/>
      <c r="EO99" s="2739"/>
      <c r="EP99" s="2738"/>
      <c r="EQ99" s="2739"/>
      <c r="ER99" s="2740"/>
      <c r="ES99" s="336"/>
      <c r="ET99" s="2739"/>
      <c r="EU99" s="2738"/>
      <c r="EV99" s="336"/>
      <c r="EW99" s="398"/>
      <c r="EX99" s="336"/>
      <c r="EY99" s="336"/>
      <c r="EZ99" s="336"/>
      <c r="FA99" s="336"/>
      <c r="FB99" s="398"/>
      <c r="FC99" s="336"/>
      <c r="FD99" s="336"/>
      <c r="FE99" s="336"/>
      <c r="FF99" s="336"/>
      <c r="FG99" s="398"/>
      <c r="FH99" s="336"/>
      <c r="FI99" s="336"/>
      <c r="FJ99" s="336"/>
      <c r="FK99" s="336"/>
      <c r="FL99" s="398"/>
      <c r="FX99" s="877"/>
      <c r="FY99" s="877"/>
      <c r="FZ99" s="877"/>
      <c r="GA99" s="877"/>
      <c r="GB99" s="877"/>
      <c r="GC99" s="877"/>
      <c r="GD99" s="877"/>
      <c r="GE99" s="877"/>
      <c r="GF99" s="877"/>
      <c r="GG99" s="877"/>
      <c r="GH99" s="877"/>
      <c r="GI99" s="877"/>
      <c r="GJ99" s="389"/>
      <c r="GK99" s="389"/>
      <c r="GL99" s="389"/>
      <c r="GN99"/>
      <c r="GO99"/>
      <c r="GP99"/>
      <c r="GQ99"/>
      <c r="GR99"/>
      <c r="GS99"/>
    </row>
    <row r="100" spans="1:201" s="399" customFormat="1" ht="10.5" hidden="1" customHeight="1" outlineLevel="1">
      <c r="A100" s="404"/>
      <c r="D100" s="400"/>
      <c r="E100" s="400"/>
      <c r="F100" s="400"/>
      <c r="G100" s="400"/>
      <c r="H100" s="400"/>
      <c r="I100" s="400"/>
      <c r="J100" s="400"/>
      <c r="K100" s="400"/>
      <c r="L100" s="400"/>
      <c r="M100" s="400"/>
      <c r="N100" s="400"/>
      <c r="O100" s="400"/>
      <c r="P100" s="400"/>
      <c r="Q100" s="400"/>
      <c r="R100" s="400"/>
      <c r="S100" s="400"/>
      <c r="T100" s="400"/>
      <c r="U100" s="400"/>
      <c r="V100" s="400"/>
      <c r="W100" s="400"/>
      <c r="X100" s="400"/>
      <c r="Y100" s="400"/>
      <c r="Z100" s="400"/>
      <c r="AA100" s="400"/>
      <c r="AB100" s="400"/>
      <c r="AC100" s="400"/>
      <c r="AD100" s="400"/>
      <c r="AE100" s="400"/>
      <c r="AF100" s="400"/>
      <c r="AG100" s="400"/>
      <c r="AH100" s="400"/>
      <c r="AI100" s="400"/>
      <c r="AJ100" s="400"/>
      <c r="AK100" s="400"/>
      <c r="AL100" s="400"/>
      <c r="AM100" s="400"/>
      <c r="AN100" s="400"/>
      <c r="AO100" s="400"/>
      <c r="AP100" s="400"/>
      <c r="AQ100" s="400"/>
      <c r="AR100" s="400"/>
      <c r="AS100" s="400"/>
      <c r="AT100" s="400"/>
      <c r="AU100" s="400"/>
      <c r="AV100" s="400"/>
      <c r="AW100" s="400"/>
      <c r="AX100" s="400"/>
      <c r="AY100" s="400"/>
      <c r="AZ100" s="400"/>
      <c r="BA100" s="400"/>
      <c r="BB100" s="400"/>
      <c r="BC100" s="400"/>
      <c r="BD100" s="400"/>
      <c r="BE100" s="400"/>
      <c r="BF100" s="400"/>
      <c r="BG100" s="400"/>
      <c r="BH100" s="400"/>
      <c r="BI100" s="400"/>
      <c r="BJ100" s="400"/>
      <c r="BK100" s="400"/>
      <c r="BL100" s="400"/>
      <c r="BM100" s="400"/>
      <c r="BN100" s="400"/>
      <c r="BO100" s="400"/>
      <c r="BP100" s="400"/>
      <c r="BQ100" s="400"/>
      <c r="BR100" s="400"/>
      <c r="BS100" s="400"/>
      <c r="BT100" s="400"/>
      <c r="BU100" s="400"/>
      <c r="BV100" s="400"/>
      <c r="BW100" s="400"/>
      <c r="BX100" s="400"/>
      <c r="BY100" s="400"/>
      <c r="BZ100" s="400"/>
      <c r="CA100" s="400"/>
      <c r="CB100" s="400"/>
      <c r="CC100" s="400"/>
      <c r="CD100" s="400"/>
      <c r="CE100" s="400"/>
      <c r="CF100" s="400"/>
      <c r="CG100" s="400"/>
      <c r="CH100" s="400"/>
      <c r="CI100" s="400"/>
      <c r="CJ100" s="400"/>
      <c r="CK100" s="404"/>
      <c r="CL100" s="404"/>
      <c r="CM100" s="404"/>
      <c r="CN100" s="404"/>
      <c r="CO100" s="404"/>
      <c r="CP100" s="404"/>
      <c r="CQ100" s="404"/>
      <c r="CR100" s="404"/>
      <c r="CS100" s="404"/>
      <c r="CT100" s="404"/>
      <c r="CU100" s="404"/>
      <c r="CV100" s="404"/>
      <c r="CW100" s="404"/>
      <c r="CX100" s="404"/>
      <c r="CY100" s="404"/>
      <c r="CZ100" s="404"/>
      <c r="DA100" s="404"/>
      <c r="DB100" s="404"/>
      <c r="DC100" s="402"/>
      <c r="DD100" s="417"/>
      <c r="DE100" s="404"/>
      <c r="DF100" s="404"/>
      <c r="DG100" s="404"/>
      <c r="DH100" s="402"/>
      <c r="DI100" s="417"/>
      <c r="DJ100" s="405"/>
      <c r="DK100" s="405"/>
      <c r="DL100" s="405"/>
      <c r="DM100" s="402"/>
      <c r="DN100" s="417"/>
      <c r="DO100" s="404"/>
      <c r="DP100" s="405"/>
      <c r="DQ100" s="405"/>
      <c r="DR100" s="405"/>
      <c r="DS100" s="405"/>
      <c r="DT100" s="404"/>
      <c r="DU100" s="405"/>
      <c r="DV100" s="405"/>
      <c r="DW100" s="405"/>
      <c r="DX100" s="405"/>
      <c r="DY100" s="404"/>
      <c r="DZ100" s="405"/>
      <c r="EA100" s="404"/>
      <c r="EB100" s="405"/>
      <c r="EC100" s="404"/>
      <c r="ED100" s="404"/>
      <c r="EE100" s="405"/>
      <c r="EF100" s="405"/>
      <c r="EG100" s="405"/>
      <c r="EH100" s="404"/>
      <c r="EI100" s="2729"/>
      <c r="EJ100" s="2730"/>
      <c r="EK100" s="2730"/>
      <c r="EL100" s="2730"/>
      <c r="EM100" s="2729"/>
      <c r="EN100" s="2729"/>
      <c r="EO100" s="2730"/>
      <c r="EP100" s="2729"/>
      <c r="EQ100" s="2730"/>
      <c r="ER100" s="2729"/>
      <c r="ES100" s="404"/>
      <c r="ET100" s="2730"/>
      <c r="EU100" s="2729"/>
      <c r="EV100" s="404"/>
      <c r="EW100" s="404"/>
      <c r="EX100" s="404"/>
      <c r="EY100" s="404"/>
      <c r="EZ100" s="404"/>
      <c r="FA100" s="404"/>
      <c r="FB100" s="404"/>
      <c r="FC100" s="404"/>
      <c r="FD100" s="404"/>
      <c r="FE100" s="404"/>
      <c r="FF100" s="404"/>
      <c r="FG100" s="404"/>
      <c r="FH100" s="404"/>
      <c r="FI100" s="404"/>
      <c r="FJ100" s="404"/>
      <c r="FK100" s="404"/>
      <c r="FL100" s="404"/>
      <c r="FX100" s="879"/>
      <c r="FY100" s="879"/>
      <c r="FZ100" s="879"/>
      <c r="GA100" s="879"/>
      <c r="GB100" s="879"/>
      <c r="GC100" s="879"/>
      <c r="GD100" s="879"/>
      <c r="GE100" s="879"/>
      <c r="GF100" s="879"/>
      <c r="GG100" s="879"/>
      <c r="GH100" s="879"/>
      <c r="GI100" s="879"/>
      <c r="GN100"/>
      <c r="GO100"/>
      <c r="GP100"/>
      <c r="GQ100"/>
      <c r="GR100"/>
      <c r="GS100"/>
    </row>
    <row r="101" spans="1:201" s="389" customFormat="1" ht="10.5" hidden="1" customHeight="1" outlineLevel="1">
      <c r="A101" s="323" t="s">
        <v>743</v>
      </c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  <c r="AH101" s="360"/>
      <c r="AI101" s="360"/>
      <c r="AJ101" s="360"/>
      <c r="AK101" s="360"/>
      <c r="AL101" s="360"/>
      <c r="AM101" s="360"/>
      <c r="AN101" s="360"/>
      <c r="AO101" s="360"/>
      <c r="AP101" s="360"/>
      <c r="AQ101" s="360"/>
      <c r="AR101" s="360"/>
      <c r="AS101" s="360"/>
      <c r="AT101" s="360"/>
      <c r="AU101" s="360"/>
      <c r="AV101" s="360"/>
      <c r="AW101" s="360"/>
      <c r="AX101" s="360"/>
      <c r="AY101" s="360"/>
      <c r="AZ101" s="360"/>
      <c r="BA101" s="360"/>
      <c r="BB101" s="360"/>
      <c r="BC101" s="360"/>
      <c r="BD101" s="360"/>
      <c r="BE101" s="360"/>
      <c r="BF101" s="360"/>
      <c r="BG101" s="360"/>
      <c r="BH101" s="360"/>
      <c r="BI101" s="360"/>
      <c r="BJ101" s="360"/>
      <c r="BK101" s="360"/>
      <c r="BL101" s="360"/>
      <c r="BM101" s="360"/>
      <c r="BN101" s="360"/>
      <c r="BO101" s="360"/>
      <c r="BP101" s="360"/>
      <c r="BQ101" s="360"/>
      <c r="BR101" s="360"/>
      <c r="BS101" s="360"/>
      <c r="BT101" s="360"/>
      <c r="BU101" s="360"/>
      <c r="BV101" s="360"/>
      <c r="BW101" s="360"/>
      <c r="BX101" s="360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258"/>
      <c r="CL101" s="258"/>
      <c r="CM101" s="258"/>
      <c r="CN101" s="258"/>
      <c r="CO101" s="258"/>
      <c r="CP101" s="255" t="s">
        <v>361</v>
      </c>
      <c r="CQ101" s="255" t="s">
        <v>362</v>
      </c>
      <c r="CR101" s="255" t="s">
        <v>363</v>
      </c>
      <c r="CS101" s="255" t="s">
        <v>392</v>
      </c>
      <c r="CT101" s="255" t="s">
        <v>364</v>
      </c>
      <c r="CU101" s="255" t="s">
        <v>365</v>
      </c>
      <c r="CV101" s="255" t="s">
        <v>366</v>
      </c>
      <c r="CW101" s="255" t="s">
        <v>523</v>
      </c>
      <c r="CX101" s="255" t="s">
        <v>367</v>
      </c>
      <c r="CY101" s="255"/>
      <c r="CZ101" s="255" t="str">
        <f>CZ95</f>
        <v>$14.7-14.9B</v>
      </c>
      <c r="DA101" s="255" t="str">
        <f>DA95</f>
        <v>$17.3-17.8B</v>
      </c>
      <c r="DB101" s="255"/>
      <c r="DC101" s="406"/>
      <c r="DD101" s="388" t="str">
        <f>DD95</f>
        <v>$64.9-66.4B (Withdrew guidance on Q2 call)</v>
      </c>
      <c r="DE101" s="258"/>
      <c r="DF101" s="258"/>
      <c r="DG101" s="258"/>
      <c r="DH101" s="406"/>
      <c r="DI101" s="388"/>
      <c r="DJ101" s="257"/>
      <c r="DK101" s="257"/>
      <c r="DL101" s="257"/>
      <c r="DM101" s="406"/>
      <c r="DN101" s="388"/>
      <c r="DO101" s="258"/>
      <c r="DP101" s="257"/>
      <c r="DQ101" s="257"/>
      <c r="DR101" s="257"/>
      <c r="DS101" s="257"/>
      <c r="DT101" s="258"/>
      <c r="DU101" s="257"/>
      <c r="DV101" s="257"/>
      <c r="DW101" s="257"/>
      <c r="DX101" s="257"/>
      <c r="DY101" s="258"/>
      <c r="DZ101" s="257"/>
      <c r="EA101" s="258"/>
      <c r="EB101" s="257"/>
      <c r="EC101" s="258"/>
      <c r="ED101" s="258"/>
      <c r="EE101" s="257"/>
      <c r="EF101" s="257"/>
      <c r="EG101" s="257"/>
      <c r="EH101" s="258"/>
      <c r="EI101" s="2732"/>
      <c r="EJ101" s="2733"/>
      <c r="EK101" s="2733"/>
      <c r="EL101" s="2733"/>
      <c r="EM101" s="2732"/>
      <c r="EN101" s="2732"/>
      <c r="EO101" s="2733"/>
      <c r="EP101" s="2732"/>
      <c r="EQ101" s="2733"/>
      <c r="ER101" s="2732"/>
      <c r="ES101" s="258"/>
      <c r="ET101" s="2733"/>
      <c r="EU101" s="2732"/>
      <c r="EV101" s="258"/>
      <c r="EW101" s="258"/>
      <c r="EX101" s="258"/>
      <c r="EY101" s="258"/>
      <c r="EZ101" s="258"/>
      <c r="FA101" s="258"/>
      <c r="FB101" s="258"/>
      <c r="FC101" s="258"/>
      <c r="FD101" s="258"/>
      <c r="FE101" s="258"/>
      <c r="FF101" s="258"/>
      <c r="FG101" s="258"/>
      <c r="FH101" s="258"/>
      <c r="FI101" s="258"/>
      <c r="FJ101" s="258"/>
      <c r="FK101" s="258"/>
      <c r="FL101" s="258"/>
      <c r="FX101" s="877"/>
      <c r="FY101" s="877"/>
      <c r="FZ101" s="877"/>
      <c r="GA101" s="877"/>
      <c r="GB101" s="877"/>
      <c r="GC101" s="877"/>
      <c r="GD101" s="877"/>
      <c r="GE101" s="877"/>
      <c r="GF101" s="877"/>
      <c r="GG101" s="877"/>
      <c r="GH101" s="877"/>
      <c r="GI101" s="877"/>
      <c r="GN101"/>
      <c r="GO101"/>
      <c r="GP101"/>
      <c r="GQ101"/>
      <c r="GR101"/>
      <c r="GS101"/>
    </row>
    <row r="102" spans="1:201" s="389" customFormat="1" ht="10.5" hidden="1" customHeight="1" outlineLevel="1">
      <c r="A102" s="323" t="s">
        <v>741</v>
      </c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  <c r="AH102" s="360"/>
      <c r="AI102" s="360"/>
      <c r="AJ102" s="360"/>
      <c r="AK102" s="360"/>
      <c r="AL102" s="360"/>
      <c r="AM102" s="360"/>
      <c r="AN102" s="360"/>
      <c r="AO102" s="360"/>
      <c r="AP102" s="360"/>
      <c r="AQ102" s="360"/>
      <c r="AR102" s="360"/>
      <c r="AS102" s="360"/>
      <c r="AT102" s="360"/>
      <c r="AU102" s="360"/>
      <c r="AV102" s="360"/>
      <c r="AW102" s="360"/>
      <c r="AX102" s="360"/>
      <c r="AY102" s="360"/>
      <c r="AZ102" s="360"/>
      <c r="BA102" s="360"/>
      <c r="BB102" s="360"/>
      <c r="BC102" s="360"/>
      <c r="BD102" s="360"/>
      <c r="BE102" s="360"/>
      <c r="BF102" s="360"/>
      <c r="BG102" s="360"/>
      <c r="BH102" s="360"/>
      <c r="BI102" s="360"/>
      <c r="BJ102" s="360"/>
      <c r="BK102" s="360"/>
      <c r="BL102" s="360"/>
      <c r="BM102" s="360"/>
      <c r="BN102" s="360"/>
      <c r="BO102" s="360"/>
      <c r="BP102" s="360"/>
      <c r="BQ102" s="360"/>
      <c r="BR102" s="360"/>
      <c r="BS102" s="360"/>
      <c r="BT102" s="360"/>
      <c r="BU102" s="360"/>
      <c r="BV102" s="360"/>
      <c r="BW102" s="360"/>
      <c r="BX102" s="360"/>
      <c r="BY102" s="360"/>
      <c r="BZ102" s="360"/>
      <c r="CA102" s="360"/>
      <c r="CB102" s="360"/>
      <c r="CC102" s="360"/>
      <c r="CD102" s="360"/>
      <c r="CE102" s="360"/>
      <c r="CF102" s="360"/>
      <c r="CG102" s="360"/>
      <c r="CH102" s="360"/>
      <c r="CI102" s="360"/>
      <c r="CJ102" s="360"/>
      <c r="CK102" s="258"/>
      <c r="CL102" s="258"/>
      <c r="CM102" s="258"/>
      <c r="CN102" s="258"/>
      <c r="CO102" s="258"/>
      <c r="CP102" s="255" t="s">
        <v>393</v>
      </c>
      <c r="CQ102" s="255" t="s">
        <v>394</v>
      </c>
      <c r="CR102" s="255" t="s">
        <v>395</v>
      </c>
      <c r="CS102" s="255" t="s">
        <v>396</v>
      </c>
      <c r="CT102" s="255" t="s">
        <v>396</v>
      </c>
      <c r="CU102" s="255" t="s">
        <v>397</v>
      </c>
      <c r="CV102" s="255" t="s">
        <v>398</v>
      </c>
      <c r="CW102" s="255" t="s">
        <v>399</v>
      </c>
      <c r="CX102" s="255" t="s">
        <v>400</v>
      </c>
      <c r="CY102" s="255"/>
      <c r="CZ102" s="255" t="s">
        <v>579</v>
      </c>
      <c r="DA102" s="255" t="s">
        <v>245</v>
      </c>
      <c r="DB102" s="255"/>
      <c r="DC102" s="406"/>
      <c r="DD102" s="281" t="s">
        <v>249</v>
      </c>
      <c r="DE102" s="258"/>
      <c r="DF102" s="258"/>
      <c r="DG102" s="258"/>
      <c r="DH102" s="406"/>
      <c r="DI102" s="281"/>
      <c r="DJ102" s="257"/>
      <c r="DK102" s="257"/>
      <c r="DL102" s="257"/>
      <c r="DM102" s="406"/>
      <c r="DN102" s="281"/>
      <c r="DO102" s="258"/>
      <c r="DP102" s="257"/>
      <c r="DQ102" s="257"/>
      <c r="DR102" s="257"/>
      <c r="DS102" s="257"/>
      <c r="DT102" s="258"/>
      <c r="DU102" s="257"/>
      <c r="DV102" s="257"/>
      <c r="DW102" s="257"/>
      <c r="DX102" s="257"/>
      <c r="DY102" s="258"/>
      <c r="DZ102" s="257"/>
      <c r="EA102" s="258"/>
      <c r="EB102" s="257"/>
      <c r="EC102" s="258"/>
      <c r="ED102" s="258"/>
      <c r="EE102" s="257"/>
      <c r="EF102" s="257"/>
      <c r="EG102" s="257"/>
      <c r="EH102" s="258"/>
      <c r="EI102" s="2732"/>
      <c r="EJ102" s="2733"/>
      <c r="EK102" s="2733"/>
      <c r="EL102" s="2733"/>
      <c r="EM102" s="2732"/>
      <c r="EN102" s="2732"/>
      <c r="EO102" s="2733"/>
      <c r="EP102" s="2732"/>
      <c r="EQ102" s="2733"/>
      <c r="ER102" s="2732"/>
      <c r="ES102" s="258"/>
      <c r="ET102" s="2733"/>
      <c r="EU102" s="2732"/>
      <c r="EV102" s="258"/>
      <c r="EW102" s="258"/>
      <c r="EX102" s="258"/>
      <c r="EY102" s="258"/>
      <c r="EZ102" s="258"/>
      <c r="FA102" s="258"/>
      <c r="FB102" s="258"/>
      <c r="FC102" s="258"/>
      <c r="FD102" s="258"/>
      <c r="FE102" s="258"/>
      <c r="FF102" s="258"/>
      <c r="FG102" s="258"/>
      <c r="FH102" s="258"/>
      <c r="FI102" s="258"/>
      <c r="FJ102" s="258"/>
      <c r="FK102" s="258"/>
      <c r="FL102" s="258"/>
      <c r="FX102" s="877"/>
      <c r="FY102" s="877"/>
      <c r="FZ102" s="877"/>
      <c r="GA102" s="877"/>
      <c r="GB102" s="877"/>
      <c r="GC102" s="877"/>
      <c r="GD102" s="877"/>
      <c r="GE102" s="877"/>
      <c r="GF102" s="877"/>
      <c r="GG102" s="877"/>
      <c r="GH102" s="877"/>
      <c r="GI102" s="877"/>
      <c r="GN102"/>
      <c r="GO102"/>
      <c r="GP102"/>
      <c r="GQ102"/>
      <c r="GR102"/>
      <c r="GS102"/>
    </row>
    <row r="103" spans="1:201" s="389" customFormat="1" ht="10.5" hidden="1" customHeight="1" outlineLevel="1">
      <c r="A103" s="323" t="s">
        <v>350</v>
      </c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60"/>
      <c r="Q103" s="360"/>
      <c r="R103" s="360"/>
      <c r="S103" s="360"/>
      <c r="T103" s="360"/>
      <c r="U103" s="360"/>
      <c r="V103" s="360"/>
      <c r="W103" s="360"/>
      <c r="X103" s="360"/>
      <c r="Y103" s="360"/>
      <c r="Z103" s="360"/>
      <c r="AA103" s="360"/>
      <c r="AB103" s="360"/>
      <c r="AC103" s="360"/>
      <c r="AD103" s="360"/>
      <c r="AE103" s="360"/>
      <c r="AF103" s="360"/>
      <c r="AG103" s="360"/>
      <c r="AH103" s="360"/>
      <c r="AI103" s="360"/>
      <c r="AJ103" s="360"/>
      <c r="AK103" s="360"/>
      <c r="AL103" s="360"/>
      <c r="AM103" s="360"/>
      <c r="AN103" s="360"/>
      <c r="AO103" s="360"/>
      <c r="AP103" s="360"/>
      <c r="AQ103" s="360"/>
      <c r="AR103" s="360"/>
      <c r="AS103" s="360"/>
      <c r="AT103" s="360"/>
      <c r="AU103" s="360"/>
      <c r="AV103" s="360"/>
      <c r="AW103" s="360"/>
      <c r="AX103" s="360"/>
      <c r="AY103" s="360"/>
      <c r="AZ103" s="360"/>
      <c r="BA103" s="360"/>
      <c r="BB103" s="360"/>
      <c r="BC103" s="360"/>
      <c r="BD103" s="360"/>
      <c r="BE103" s="360"/>
      <c r="BF103" s="360"/>
      <c r="BG103" s="360"/>
      <c r="BH103" s="360"/>
      <c r="BI103" s="360"/>
      <c r="BJ103" s="360"/>
      <c r="BK103" s="360"/>
      <c r="BL103" s="360"/>
      <c r="BM103" s="360"/>
      <c r="BN103" s="360"/>
      <c r="BO103" s="360"/>
      <c r="BP103" s="360"/>
      <c r="BQ103" s="360"/>
      <c r="BR103" s="360"/>
      <c r="BS103" s="360"/>
      <c r="BT103" s="360"/>
      <c r="BU103" s="360"/>
      <c r="BV103" s="360"/>
      <c r="BW103" s="360"/>
      <c r="BX103" s="360"/>
      <c r="BY103" s="360"/>
      <c r="BZ103" s="360"/>
      <c r="CA103" s="360"/>
      <c r="CB103" s="360"/>
      <c r="CC103" s="360"/>
      <c r="CD103" s="360"/>
      <c r="CE103" s="360"/>
      <c r="CF103" s="360"/>
      <c r="CG103" s="360"/>
      <c r="CH103" s="360"/>
      <c r="CI103" s="360"/>
      <c r="CJ103" s="360"/>
      <c r="CK103" s="258"/>
      <c r="CL103" s="258"/>
      <c r="CM103" s="258"/>
      <c r="CN103" s="258"/>
      <c r="CO103" s="258"/>
      <c r="CP103" s="255" t="s">
        <v>402</v>
      </c>
      <c r="CQ103" s="255" t="s">
        <v>396</v>
      </c>
      <c r="CR103" s="255" t="s">
        <v>403</v>
      </c>
      <c r="CS103" s="255" t="s">
        <v>403</v>
      </c>
      <c r="CT103" s="255" t="s">
        <v>403</v>
      </c>
      <c r="CU103" s="255" t="s">
        <v>401</v>
      </c>
      <c r="CV103" s="255" t="s">
        <v>403</v>
      </c>
      <c r="CW103" s="255" t="s">
        <v>404</v>
      </c>
      <c r="CX103" s="255" t="s">
        <v>405</v>
      </c>
      <c r="CY103" s="255"/>
      <c r="CZ103" s="255" t="s">
        <v>580</v>
      </c>
      <c r="DA103" s="255" t="s">
        <v>403</v>
      </c>
      <c r="DB103" s="255"/>
      <c r="DC103" s="406"/>
      <c r="DD103" s="281" t="s">
        <v>250</v>
      </c>
      <c r="DE103" s="258"/>
      <c r="DF103" s="258"/>
      <c r="DG103" s="258"/>
      <c r="DH103" s="406"/>
      <c r="DI103" s="281"/>
      <c r="DJ103" s="257"/>
      <c r="DK103" s="257"/>
      <c r="DL103" s="257"/>
      <c r="DM103" s="406"/>
      <c r="DN103" s="281"/>
      <c r="DO103" s="258"/>
      <c r="DP103" s="257"/>
      <c r="DQ103" s="257"/>
      <c r="DR103" s="257"/>
      <c r="DS103" s="257"/>
      <c r="DT103" s="258"/>
      <c r="DU103" s="257"/>
      <c r="DV103" s="257"/>
      <c r="DW103" s="257"/>
      <c r="DX103" s="257"/>
      <c r="DY103" s="258"/>
      <c r="DZ103" s="257"/>
      <c r="EA103" s="258"/>
      <c r="EB103" s="257"/>
      <c r="EC103" s="258"/>
      <c r="ED103" s="258"/>
      <c r="EE103" s="257"/>
      <c r="EF103" s="257"/>
      <c r="EG103" s="257"/>
      <c r="EH103" s="258"/>
      <c r="EI103" s="2732"/>
      <c r="EJ103" s="2733"/>
      <c r="EK103" s="2733"/>
      <c r="EL103" s="2733"/>
      <c r="EM103" s="2732"/>
      <c r="EN103" s="2732"/>
      <c r="EO103" s="2733"/>
      <c r="EP103" s="2732"/>
      <c r="EQ103" s="2733"/>
      <c r="ER103" s="2732"/>
      <c r="ES103" s="258"/>
      <c r="ET103" s="2733"/>
      <c r="EU103" s="2732"/>
      <c r="EV103" s="258"/>
      <c r="EW103" s="258"/>
      <c r="EX103" s="258"/>
      <c r="EY103" s="258"/>
      <c r="EZ103" s="258"/>
      <c r="FA103" s="258"/>
      <c r="FB103" s="258"/>
      <c r="FC103" s="258"/>
      <c r="FD103" s="258"/>
      <c r="FE103" s="258"/>
      <c r="FF103" s="258"/>
      <c r="FG103" s="258"/>
      <c r="FH103" s="258"/>
      <c r="FI103" s="258"/>
      <c r="FJ103" s="258"/>
      <c r="FK103" s="258"/>
      <c r="FL103" s="258"/>
      <c r="FX103" s="877"/>
      <c r="FY103" s="877"/>
      <c r="FZ103" s="877"/>
      <c r="GA103" s="877"/>
      <c r="GB103" s="877"/>
      <c r="GC103" s="877"/>
      <c r="GD103" s="877"/>
      <c r="GE103" s="877"/>
      <c r="GF103" s="877"/>
      <c r="GG103" s="877"/>
      <c r="GH103" s="877"/>
      <c r="GI103" s="877"/>
      <c r="GN103"/>
      <c r="GO103"/>
      <c r="GP103"/>
      <c r="GQ103"/>
      <c r="GR103"/>
      <c r="GS103"/>
    </row>
    <row r="104" spans="1:201" s="389" customFormat="1" ht="10.5" hidden="1" customHeight="1" outlineLevel="1">
      <c r="A104" s="323" t="s">
        <v>351</v>
      </c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60"/>
      <c r="Q104" s="360"/>
      <c r="R104" s="360"/>
      <c r="S104" s="360"/>
      <c r="T104" s="360"/>
      <c r="U104" s="360"/>
      <c r="V104" s="360"/>
      <c r="W104" s="360"/>
      <c r="X104" s="360"/>
      <c r="Y104" s="360"/>
      <c r="Z104" s="360"/>
      <c r="AA104" s="360"/>
      <c r="AB104" s="360"/>
      <c r="AC104" s="360"/>
      <c r="AD104" s="360"/>
      <c r="AE104" s="360"/>
      <c r="AF104" s="360"/>
      <c r="AG104" s="360"/>
      <c r="AH104" s="360"/>
      <c r="AI104" s="360"/>
      <c r="AJ104" s="360"/>
      <c r="AK104" s="360"/>
      <c r="AL104" s="360"/>
      <c r="AM104" s="360"/>
      <c r="AN104" s="360"/>
      <c r="AO104" s="360"/>
      <c r="AP104" s="360"/>
      <c r="AQ104" s="360"/>
      <c r="AR104" s="360"/>
      <c r="AS104" s="360"/>
      <c r="AT104" s="360"/>
      <c r="AU104" s="360"/>
      <c r="AV104" s="360"/>
      <c r="AW104" s="360"/>
      <c r="AX104" s="360"/>
      <c r="AY104" s="360"/>
      <c r="AZ104" s="360"/>
      <c r="BA104" s="360"/>
      <c r="BB104" s="360"/>
      <c r="BC104" s="360"/>
      <c r="BD104" s="360"/>
      <c r="BE104" s="360"/>
      <c r="BF104" s="360"/>
      <c r="BG104" s="360"/>
      <c r="BH104" s="360"/>
      <c r="BI104" s="360"/>
      <c r="BJ104" s="360"/>
      <c r="BK104" s="360"/>
      <c r="BL104" s="360"/>
      <c r="BM104" s="360"/>
      <c r="BN104" s="360"/>
      <c r="BO104" s="360"/>
      <c r="BP104" s="360"/>
      <c r="BQ104" s="360"/>
      <c r="BR104" s="360"/>
      <c r="BS104" s="360"/>
      <c r="BT104" s="360"/>
      <c r="BU104" s="360"/>
      <c r="BV104" s="360"/>
      <c r="BW104" s="360"/>
      <c r="BX104" s="360"/>
      <c r="BY104" s="360"/>
      <c r="BZ104" s="360"/>
      <c r="CA104" s="360"/>
      <c r="CB104" s="360"/>
      <c r="CC104" s="360"/>
      <c r="CD104" s="360"/>
      <c r="CE104" s="360"/>
      <c r="CF104" s="360"/>
      <c r="CG104" s="360"/>
      <c r="CH104" s="360"/>
      <c r="CI104" s="360"/>
      <c r="CJ104" s="360"/>
      <c r="CK104" s="258"/>
      <c r="CL104" s="258"/>
      <c r="CM104" s="258"/>
      <c r="CN104" s="258"/>
      <c r="CO104" s="258"/>
      <c r="CP104" s="255" t="s">
        <v>406</v>
      </c>
      <c r="CQ104" s="255" t="s">
        <v>407</v>
      </c>
      <c r="CR104" s="255" t="s">
        <v>408</v>
      </c>
      <c r="CS104" s="255" t="s">
        <v>409</v>
      </c>
      <c r="CT104" s="255" t="s">
        <v>410</v>
      </c>
      <c r="CU104" s="255" t="s">
        <v>411</v>
      </c>
      <c r="CV104" s="255" t="s">
        <v>412</v>
      </c>
      <c r="CW104" s="255" t="s">
        <v>413</v>
      </c>
      <c r="CX104" s="255" t="s">
        <v>414</v>
      </c>
      <c r="CY104" s="255"/>
      <c r="CZ104" s="255" t="s">
        <v>400</v>
      </c>
      <c r="DA104" s="255" t="s">
        <v>246</v>
      </c>
      <c r="DB104" s="255"/>
      <c r="DC104" s="406"/>
      <c r="DD104" s="281" t="s">
        <v>251</v>
      </c>
      <c r="DE104" s="258"/>
      <c r="DF104" s="258"/>
      <c r="DG104" s="258"/>
      <c r="DH104" s="406"/>
      <c r="DI104" s="281"/>
      <c r="DJ104" s="257"/>
      <c r="DK104" s="257"/>
      <c r="DL104" s="257"/>
      <c r="DM104" s="406"/>
      <c r="DN104" s="281"/>
      <c r="DO104" s="258"/>
      <c r="DP104" s="257"/>
      <c r="DQ104" s="257"/>
      <c r="DR104" s="257"/>
      <c r="DS104" s="257"/>
      <c r="DT104" s="258"/>
      <c r="DU104" s="257"/>
      <c r="DV104" s="257"/>
      <c r="DW104" s="257"/>
      <c r="DX104" s="257"/>
      <c r="DY104" s="258"/>
      <c r="DZ104" s="257"/>
      <c r="EA104" s="258"/>
      <c r="EB104" s="257"/>
      <c r="EC104" s="258"/>
      <c r="ED104" s="258"/>
      <c r="EE104" s="257"/>
      <c r="EF104" s="257"/>
      <c r="EG104" s="257"/>
      <c r="EH104" s="258"/>
      <c r="EI104" s="2732"/>
      <c r="EJ104" s="2733"/>
      <c r="EK104" s="2733"/>
      <c r="EL104" s="2733"/>
      <c r="EM104" s="2732"/>
      <c r="EN104" s="2732"/>
      <c r="EO104" s="2733"/>
      <c r="EP104" s="2732"/>
      <c r="EQ104" s="2733"/>
      <c r="ER104" s="2732"/>
      <c r="ES104" s="258"/>
      <c r="ET104" s="2733"/>
      <c r="EU104" s="2732"/>
      <c r="EV104" s="258"/>
      <c r="EW104" s="258"/>
      <c r="EX104" s="258"/>
      <c r="EY104" s="258"/>
      <c r="EZ104" s="258"/>
      <c r="FA104" s="258"/>
      <c r="FB104" s="258"/>
      <c r="FC104" s="258"/>
      <c r="FD104" s="258"/>
      <c r="FE104" s="258"/>
      <c r="FF104" s="258"/>
      <c r="FG104" s="258"/>
      <c r="FH104" s="258"/>
      <c r="FI104" s="258"/>
      <c r="FJ104" s="258"/>
      <c r="FK104" s="258"/>
      <c r="FL104" s="258"/>
      <c r="FX104" s="877"/>
      <c r="FY104" s="877"/>
      <c r="FZ104" s="877"/>
      <c r="GA104" s="877"/>
      <c r="GB104" s="877"/>
      <c r="GC104" s="877"/>
      <c r="GD104" s="877"/>
      <c r="GE104" s="877"/>
      <c r="GF104" s="877"/>
      <c r="GG104" s="877"/>
      <c r="GH104" s="877"/>
      <c r="GI104" s="877"/>
      <c r="GN104"/>
      <c r="GO104"/>
      <c r="GP104"/>
      <c r="GQ104"/>
      <c r="GR104"/>
      <c r="GS104"/>
    </row>
    <row r="105" spans="1:201" s="389" customFormat="1" ht="10.5" hidden="1" customHeight="1" outlineLevel="1">
      <c r="A105" s="323" t="s">
        <v>352</v>
      </c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60"/>
      <c r="Q105" s="360"/>
      <c r="R105" s="360"/>
      <c r="S105" s="360"/>
      <c r="T105" s="360"/>
      <c r="U105" s="360"/>
      <c r="V105" s="360"/>
      <c r="W105" s="360"/>
      <c r="X105" s="360"/>
      <c r="Y105" s="360"/>
      <c r="Z105" s="360"/>
      <c r="AA105" s="360"/>
      <c r="AB105" s="360"/>
      <c r="AC105" s="360"/>
      <c r="AD105" s="360"/>
      <c r="AE105" s="360"/>
      <c r="AF105" s="360"/>
      <c r="AG105" s="360"/>
      <c r="AH105" s="360"/>
      <c r="AI105" s="360"/>
      <c r="AJ105" s="360"/>
      <c r="AK105" s="360"/>
      <c r="AL105" s="360"/>
      <c r="AM105" s="360"/>
      <c r="AN105" s="360"/>
      <c r="AO105" s="360"/>
      <c r="AP105" s="360"/>
      <c r="AQ105" s="360"/>
      <c r="AR105" s="360"/>
      <c r="AS105" s="360"/>
      <c r="AT105" s="360"/>
      <c r="AU105" s="360"/>
      <c r="AV105" s="360"/>
      <c r="AW105" s="360"/>
      <c r="AX105" s="360"/>
      <c r="AY105" s="360"/>
      <c r="AZ105" s="360"/>
      <c r="BA105" s="360"/>
      <c r="BB105" s="360"/>
      <c r="BC105" s="360"/>
      <c r="BD105" s="360"/>
      <c r="BE105" s="360"/>
      <c r="BF105" s="360"/>
      <c r="BG105" s="360"/>
      <c r="BH105" s="360"/>
      <c r="BI105" s="360"/>
      <c r="BJ105" s="360"/>
      <c r="BK105" s="360"/>
      <c r="BL105" s="360"/>
      <c r="BM105" s="360"/>
      <c r="BN105" s="360"/>
      <c r="BO105" s="360"/>
      <c r="BP105" s="360"/>
      <c r="BQ105" s="360"/>
      <c r="BR105" s="360"/>
      <c r="BS105" s="360"/>
      <c r="BT105" s="360"/>
      <c r="BU105" s="360"/>
      <c r="BV105" s="360"/>
      <c r="BW105" s="360"/>
      <c r="BX105" s="360"/>
      <c r="BY105" s="360"/>
      <c r="BZ105" s="360"/>
      <c r="CA105" s="360"/>
      <c r="CB105" s="360"/>
      <c r="CC105" s="360"/>
      <c r="CD105" s="360"/>
      <c r="CE105" s="360"/>
      <c r="CF105" s="360"/>
      <c r="CG105" s="360"/>
      <c r="CH105" s="360"/>
      <c r="CI105" s="360"/>
      <c r="CJ105" s="360"/>
      <c r="CK105" s="258"/>
      <c r="CL105" s="258"/>
      <c r="CM105" s="258"/>
      <c r="CN105" s="258"/>
      <c r="CO105" s="258"/>
      <c r="CP105" s="255" t="s">
        <v>407</v>
      </c>
      <c r="CQ105" s="255" t="s">
        <v>415</v>
      </c>
      <c r="CR105" s="255" t="s">
        <v>416</v>
      </c>
      <c r="CS105" s="255" t="s">
        <v>417</v>
      </c>
      <c r="CT105" s="255">
        <v>0.12</v>
      </c>
      <c r="CU105" s="255" t="s">
        <v>396</v>
      </c>
      <c r="CV105" s="255" t="s">
        <v>418</v>
      </c>
      <c r="CW105" s="255" t="s">
        <v>419</v>
      </c>
      <c r="CX105" s="255" t="s">
        <v>397</v>
      </c>
      <c r="CY105" s="255"/>
      <c r="CZ105" s="255" t="s">
        <v>397</v>
      </c>
      <c r="DA105" s="255" t="s">
        <v>247</v>
      </c>
      <c r="DB105" s="255"/>
      <c r="DC105" s="406"/>
      <c r="DD105" s="281" t="s">
        <v>252</v>
      </c>
      <c r="DE105" s="258"/>
      <c r="DF105" s="258"/>
      <c r="DG105" s="258"/>
      <c r="DH105" s="406"/>
      <c r="DI105" s="281"/>
      <c r="DJ105" s="257"/>
      <c r="DK105" s="257"/>
      <c r="DL105" s="257"/>
      <c r="DM105" s="406"/>
      <c r="DN105" s="281"/>
      <c r="DO105" s="258"/>
      <c r="DP105" s="257"/>
      <c r="DQ105" s="257"/>
      <c r="DR105" s="257"/>
      <c r="DS105" s="257"/>
      <c r="DT105" s="258"/>
      <c r="DU105" s="257"/>
      <c r="DV105" s="257"/>
      <c r="DW105" s="257"/>
      <c r="DX105" s="257"/>
      <c r="DY105" s="258"/>
      <c r="DZ105" s="257"/>
      <c r="EA105" s="258"/>
      <c r="EB105" s="257"/>
      <c r="EC105" s="258"/>
      <c r="ED105" s="258"/>
      <c r="EE105" s="257"/>
      <c r="EF105" s="257"/>
      <c r="EG105" s="257"/>
      <c r="EH105" s="258"/>
      <c r="EI105" s="2732"/>
      <c r="EJ105" s="2733"/>
      <c r="EK105" s="2733"/>
      <c r="EL105" s="2733"/>
      <c r="EM105" s="2732"/>
      <c r="EN105" s="2732"/>
      <c r="EO105" s="2733"/>
      <c r="EP105" s="2732"/>
      <c r="EQ105" s="2733"/>
      <c r="ER105" s="2732"/>
      <c r="ES105" s="258"/>
      <c r="ET105" s="2733"/>
      <c r="EU105" s="2732"/>
      <c r="EV105" s="258"/>
      <c r="EW105" s="258"/>
      <c r="EX105" s="258"/>
      <c r="EY105" s="258"/>
      <c r="EZ105" s="258"/>
      <c r="FA105" s="258"/>
      <c r="FB105" s="258"/>
      <c r="FC105" s="258"/>
      <c r="FD105" s="258"/>
      <c r="FE105" s="258"/>
      <c r="FF105" s="258"/>
      <c r="FG105" s="258"/>
      <c r="FH105" s="258"/>
      <c r="FI105" s="258"/>
      <c r="FJ105" s="258"/>
      <c r="FK105" s="258"/>
      <c r="FL105" s="258"/>
      <c r="FX105" s="877"/>
      <c r="FY105" s="877"/>
      <c r="FZ105" s="877"/>
      <c r="GA105" s="877"/>
      <c r="GB105" s="877"/>
      <c r="GC105" s="877"/>
      <c r="GD105" s="877"/>
      <c r="GE105" s="877"/>
      <c r="GF105" s="877"/>
      <c r="GG105" s="877"/>
      <c r="GH105" s="877"/>
      <c r="GI105" s="877"/>
      <c r="GN105"/>
      <c r="GO105"/>
      <c r="GP105"/>
      <c r="GQ105"/>
      <c r="GR105"/>
      <c r="GS105"/>
    </row>
    <row r="106" spans="1:201" s="389" customFormat="1" ht="10.5" hidden="1" customHeight="1" outlineLevel="1">
      <c r="A106" s="323" t="s">
        <v>353</v>
      </c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60"/>
      <c r="Q106" s="360"/>
      <c r="R106" s="360"/>
      <c r="S106" s="360"/>
      <c r="T106" s="360"/>
      <c r="U106" s="360"/>
      <c r="V106" s="360"/>
      <c r="W106" s="360"/>
      <c r="X106" s="360"/>
      <c r="Y106" s="360"/>
      <c r="Z106" s="360"/>
      <c r="AA106" s="360"/>
      <c r="AB106" s="360"/>
      <c r="AC106" s="360"/>
      <c r="AD106" s="360"/>
      <c r="AE106" s="360"/>
      <c r="AF106" s="360"/>
      <c r="AG106" s="360"/>
      <c r="AH106" s="360"/>
      <c r="AI106" s="360"/>
      <c r="AJ106" s="360"/>
      <c r="AK106" s="360"/>
      <c r="AL106" s="360"/>
      <c r="AM106" s="360"/>
      <c r="AN106" s="360"/>
      <c r="AO106" s="360"/>
      <c r="AP106" s="360"/>
      <c r="AQ106" s="360"/>
      <c r="AR106" s="360"/>
      <c r="AS106" s="360"/>
      <c r="AT106" s="360"/>
      <c r="AU106" s="360"/>
      <c r="AV106" s="360"/>
      <c r="AW106" s="360"/>
      <c r="AX106" s="360"/>
      <c r="AY106" s="360"/>
      <c r="AZ106" s="360"/>
      <c r="BA106" s="360"/>
      <c r="BB106" s="360"/>
      <c r="BC106" s="360"/>
      <c r="BD106" s="360"/>
      <c r="BE106" s="360"/>
      <c r="BF106" s="360"/>
      <c r="BG106" s="360"/>
      <c r="BH106" s="360"/>
      <c r="BI106" s="360"/>
      <c r="BJ106" s="360"/>
      <c r="BK106" s="360"/>
      <c r="BL106" s="360"/>
      <c r="BM106" s="360"/>
      <c r="BN106" s="360"/>
      <c r="BO106" s="360"/>
      <c r="BP106" s="360"/>
      <c r="BQ106" s="360"/>
      <c r="BR106" s="360"/>
      <c r="BS106" s="360"/>
      <c r="BT106" s="360"/>
      <c r="BU106" s="360"/>
      <c r="BV106" s="360"/>
      <c r="BW106" s="360"/>
      <c r="BX106" s="360"/>
      <c r="BY106" s="360"/>
      <c r="BZ106" s="360"/>
      <c r="CA106" s="360"/>
      <c r="CB106" s="360"/>
      <c r="CC106" s="360"/>
      <c r="CD106" s="360"/>
      <c r="CE106" s="360"/>
      <c r="CF106" s="360"/>
      <c r="CG106" s="360"/>
      <c r="CH106" s="360"/>
      <c r="CI106" s="360"/>
      <c r="CJ106" s="360"/>
      <c r="CK106" s="258"/>
      <c r="CL106" s="258"/>
      <c r="CM106" s="258"/>
      <c r="CN106" s="258"/>
      <c r="CO106" s="258"/>
      <c r="CP106" s="255" t="s">
        <v>420</v>
      </c>
      <c r="CQ106" s="255" t="s">
        <v>421</v>
      </c>
      <c r="CR106" s="255" t="s">
        <v>422</v>
      </c>
      <c r="CS106" s="255" t="s">
        <v>423</v>
      </c>
      <c r="CT106" s="255" t="s">
        <v>424</v>
      </c>
      <c r="CU106" s="255" t="s">
        <v>425</v>
      </c>
      <c r="CV106" s="255" t="s">
        <v>426</v>
      </c>
      <c r="CW106" s="255" t="s">
        <v>427</v>
      </c>
      <c r="CX106" s="255" t="s">
        <v>428</v>
      </c>
      <c r="CY106" s="255"/>
      <c r="CZ106" s="255" t="s">
        <v>585</v>
      </c>
      <c r="DA106" s="255" t="s">
        <v>248</v>
      </c>
      <c r="DB106" s="255"/>
      <c r="DC106" s="406"/>
      <c r="DD106" s="281" t="s">
        <v>253</v>
      </c>
      <c r="DE106" s="258"/>
      <c r="DF106" s="258"/>
      <c r="DG106" s="258"/>
      <c r="DH106" s="406"/>
      <c r="DI106" s="281"/>
      <c r="DJ106" s="257"/>
      <c r="DK106" s="257"/>
      <c r="DL106" s="257"/>
      <c r="DM106" s="406"/>
      <c r="DN106" s="281"/>
      <c r="DO106" s="258"/>
      <c r="DP106" s="257"/>
      <c r="DQ106" s="257"/>
      <c r="DR106" s="257"/>
      <c r="DS106" s="257"/>
      <c r="DT106" s="258"/>
      <c r="DU106" s="257"/>
      <c r="DV106" s="257"/>
      <c r="DW106" s="257"/>
      <c r="DX106" s="257"/>
      <c r="DY106" s="258"/>
      <c r="DZ106" s="257"/>
      <c r="EA106" s="258"/>
      <c r="EB106" s="257"/>
      <c r="EC106" s="258"/>
      <c r="ED106" s="258"/>
      <c r="EE106" s="257"/>
      <c r="EF106" s="257"/>
      <c r="EG106" s="257"/>
      <c r="EH106" s="258"/>
      <c r="EI106" s="2732"/>
      <c r="EJ106" s="2733"/>
      <c r="EK106" s="2733"/>
      <c r="EL106" s="2733"/>
      <c r="EM106" s="2732"/>
      <c r="EN106" s="2732"/>
      <c r="EO106" s="2733"/>
      <c r="EP106" s="2732"/>
      <c r="EQ106" s="2733"/>
      <c r="ER106" s="2732"/>
      <c r="ES106" s="258"/>
      <c r="ET106" s="2733"/>
      <c r="EU106" s="2732"/>
      <c r="EV106" s="258"/>
      <c r="EW106" s="258"/>
      <c r="EX106" s="258"/>
      <c r="EY106" s="258"/>
      <c r="EZ106" s="258"/>
      <c r="FA106" s="258"/>
      <c r="FB106" s="258"/>
      <c r="FC106" s="258"/>
      <c r="FD106" s="258"/>
      <c r="FE106" s="258"/>
      <c r="FF106" s="258"/>
      <c r="FG106" s="258"/>
      <c r="FH106" s="258"/>
      <c r="FI106" s="258"/>
      <c r="FJ106" s="258"/>
      <c r="FK106" s="258"/>
      <c r="FL106" s="258"/>
      <c r="FX106" s="877"/>
      <c r="FY106" s="877"/>
      <c r="FZ106" s="877"/>
      <c r="GA106" s="877"/>
      <c r="GB106" s="877"/>
      <c r="GC106" s="877"/>
      <c r="GD106" s="877"/>
      <c r="GE106" s="877"/>
      <c r="GF106" s="877"/>
      <c r="GG106" s="877"/>
      <c r="GH106" s="877"/>
      <c r="GI106" s="877"/>
      <c r="GN106"/>
      <c r="GO106"/>
      <c r="GP106"/>
      <c r="GQ106"/>
      <c r="GR106"/>
      <c r="GS106"/>
    </row>
    <row r="107" spans="1:201" s="389" customFormat="1" ht="10.5" hidden="1" customHeight="1" outlineLevel="1">
      <c r="A107" s="323" t="s">
        <v>529</v>
      </c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60"/>
      <c r="Q107" s="360"/>
      <c r="R107" s="360"/>
      <c r="S107" s="360"/>
      <c r="T107" s="360"/>
      <c r="U107" s="360"/>
      <c r="V107" s="360"/>
      <c r="W107" s="360"/>
      <c r="X107" s="360"/>
      <c r="Y107" s="360"/>
      <c r="Z107" s="360"/>
      <c r="AA107" s="360"/>
      <c r="AB107" s="360"/>
      <c r="AC107" s="360"/>
      <c r="AD107" s="360"/>
      <c r="AE107" s="360"/>
      <c r="AF107" s="360"/>
      <c r="AG107" s="360"/>
      <c r="AH107" s="360"/>
      <c r="AI107" s="360"/>
      <c r="AJ107" s="360"/>
      <c r="AK107" s="360"/>
      <c r="AL107" s="360"/>
      <c r="AM107" s="360"/>
      <c r="AN107" s="360"/>
      <c r="AO107" s="360"/>
      <c r="AP107" s="360"/>
      <c r="AQ107" s="360"/>
      <c r="AR107" s="360"/>
      <c r="AS107" s="360"/>
      <c r="AT107" s="360"/>
      <c r="AU107" s="360"/>
      <c r="AV107" s="360"/>
      <c r="AW107" s="360"/>
      <c r="AX107" s="360"/>
      <c r="AY107" s="360"/>
      <c r="AZ107" s="360"/>
      <c r="BA107" s="360"/>
      <c r="BB107" s="360"/>
      <c r="BC107" s="360"/>
      <c r="BD107" s="360"/>
      <c r="BE107" s="360"/>
      <c r="BF107" s="360"/>
      <c r="BG107" s="360"/>
      <c r="BH107" s="360"/>
      <c r="BI107" s="360"/>
      <c r="BJ107" s="360"/>
      <c r="BK107" s="360"/>
      <c r="BL107" s="360"/>
      <c r="BM107" s="360"/>
      <c r="BN107" s="360"/>
      <c r="BO107" s="360"/>
      <c r="BP107" s="360"/>
      <c r="BQ107" s="360"/>
      <c r="BR107" s="360"/>
      <c r="BS107" s="360"/>
      <c r="BT107" s="360"/>
      <c r="BU107" s="360"/>
      <c r="BV107" s="360"/>
      <c r="BW107" s="360"/>
      <c r="BX107" s="360"/>
      <c r="BY107" s="360"/>
      <c r="BZ107" s="360"/>
      <c r="CA107" s="360"/>
      <c r="CB107" s="360"/>
      <c r="CC107" s="360"/>
      <c r="CD107" s="360"/>
      <c r="CE107" s="360"/>
      <c r="CF107" s="360"/>
      <c r="CG107" s="360"/>
      <c r="CH107" s="360"/>
      <c r="CI107" s="360"/>
      <c r="CJ107" s="360"/>
      <c r="CK107" s="258"/>
      <c r="CL107" s="258"/>
      <c r="CM107" s="258"/>
      <c r="CN107" s="258"/>
      <c r="CO107" s="258"/>
      <c r="CP107" s="255" t="s">
        <v>373</v>
      </c>
      <c r="CQ107" s="255" t="s">
        <v>373</v>
      </c>
      <c r="CR107" s="255" t="s">
        <v>375</v>
      </c>
      <c r="CS107" s="255" t="s">
        <v>377</v>
      </c>
      <c r="CT107" s="255" t="s">
        <v>376</v>
      </c>
      <c r="CU107" s="255" t="s">
        <v>377</v>
      </c>
      <c r="CV107" s="255" t="s">
        <v>378</v>
      </c>
      <c r="CW107" s="255" t="s">
        <v>524</v>
      </c>
      <c r="CX107" s="255" t="s">
        <v>379</v>
      </c>
      <c r="CY107" s="255"/>
      <c r="CZ107" s="255" t="str">
        <f>CZ96</f>
        <v>$5.9-6.0B</v>
      </c>
      <c r="DA107" s="255" t="str">
        <f>DA96</f>
        <v>$6.1-6.4B</v>
      </c>
      <c r="DB107" s="255"/>
      <c r="DC107" s="406"/>
      <c r="DD107" s="388" t="str">
        <f>DD96</f>
        <v>$24.4-25.5B (Withdrew guidance on Q2 call)</v>
      </c>
      <c r="DE107" s="258"/>
      <c r="DF107" s="258"/>
      <c r="DG107" s="258"/>
      <c r="DH107" s="406"/>
      <c r="DI107" s="388"/>
      <c r="DJ107" s="257"/>
      <c r="DK107" s="257"/>
      <c r="DL107" s="257"/>
      <c r="DM107" s="406"/>
      <c r="DN107" s="388"/>
      <c r="DO107" s="258"/>
      <c r="DP107" s="257"/>
      <c r="DQ107" s="257"/>
      <c r="DR107" s="257"/>
      <c r="DS107" s="257"/>
      <c r="DT107" s="258"/>
      <c r="DU107" s="257"/>
      <c r="DV107" s="257"/>
      <c r="DW107" s="257"/>
      <c r="DX107" s="257"/>
      <c r="DY107" s="258"/>
      <c r="DZ107" s="257"/>
      <c r="EA107" s="258"/>
      <c r="EB107" s="257"/>
      <c r="EC107" s="258"/>
      <c r="ED107" s="258"/>
      <c r="EE107" s="257"/>
      <c r="EF107" s="257"/>
      <c r="EG107" s="257"/>
      <c r="EH107" s="258"/>
      <c r="EI107" s="2732"/>
      <c r="EJ107" s="2733"/>
      <c r="EK107" s="2733"/>
      <c r="EL107" s="2733"/>
      <c r="EM107" s="2732"/>
      <c r="EN107" s="2732"/>
      <c r="EO107" s="2733"/>
      <c r="EP107" s="2732"/>
      <c r="EQ107" s="2733"/>
      <c r="ER107" s="2732"/>
      <c r="ES107" s="258"/>
      <c r="ET107" s="2733"/>
      <c r="EU107" s="2732"/>
      <c r="EV107" s="258"/>
      <c r="EW107" s="258"/>
      <c r="EX107" s="258"/>
      <c r="EY107" s="258"/>
      <c r="EZ107" s="258"/>
      <c r="FA107" s="258"/>
      <c r="FB107" s="258"/>
      <c r="FC107" s="258"/>
      <c r="FD107" s="258"/>
      <c r="FE107" s="258"/>
      <c r="FF107" s="258"/>
      <c r="FG107" s="258"/>
      <c r="FH107" s="258"/>
      <c r="FI107" s="258"/>
      <c r="FJ107" s="258"/>
      <c r="FK107" s="258"/>
      <c r="FL107" s="258"/>
      <c r="FX107" s="877"/>
      <c r="FY107" s="877"/>
      <c r="FZ107" s="877"/>
      <c r="GA107" s="877"/>
      <c r="GB107" s="877"/>
      <c r="GC107" s="877"/>
      <c r="GD107" s="877"/>
      <c r="GE107" s="877"/>
      <c r="GF107" s="877"/>
      <c r="GG107" s="877"/>
      <c r="GH107" s="877"/>
      <c r="GI107" s="877"/>
      <c r="GN107"/>
      <c r="GO107"/>
      <c r="GP107"/>
      <c r="GQ107"/>
      <c r="GR107"/>
      <c r="GS107"/>
    </row>
    <row r="108" spans="1:201" s="389" customFormat="1" ht="10.5" hidden="1" customHeight="1" outlineLevel="1">
      <c r="A108" s="323" t="s">
        <v>348</v>
      </c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  <c r="AH108" s="360"/>
      <c r="AI108" s="360"/>
      <c r="AJ108" s="360"/>
      <c r="AK108" s="360"/>
      <c r="AL108" s="360"/>
      <c r="AM108" s="360"/>
      <c r="AN108" s="360"/>
      <c r="AO108" s="360"/>
      <c r="AP108" s="360"/>
      <c r="AQ108" s="360"/>
      <c r="AR108" s="360"/>
      <c r="AS108" s="360"/>
      <c r="AT108" s="360"/>
      <c r="AU108" s="360"/>
      <c r="AV108" s="360"/>
      <c r="AW108" s="360"/>
      <c r="AX108" s="360"/>
      <c r="AY108" s="360"/>
      <c r="AZ108" s="360"/>
      <c r="BA108" s="360"/>
      <c r="BB108" s="360"/>
      <c r="BC108" s="360"/>
      <c r="BD108" s="360"/>
      <c r="BE108" s="360"/>
      <c r="BF108" s="360"/>
      <c r="BG108" s="360"/>
      <c r="BH108" s="360"/>
      <c r="BI108" s="360"/>
      <c r="BJ108" s="360"/>
      <c r="BK108" s="360"/>
      <c r="BL108" s="360"/>
      <c r="BM108" s="360"/>
      <c r="BN108" s="360"/>
      <c r="BO108" s="360"/>
      <c r="BP108" s="360"/>
      <c r="BQ108" s="360"/>
      <c r="BR108" s="360"/>
      <c r="BS108" s="360"/>
      <c r="BT108" s="360"/>
      <c r="BU108" s="360"/>
      <c r="BV108" s="360"/>
      <c r="BW108" s="360"/>
      <c r="BX108" s="360"/>
      <c r="BY108" s="360"/>
      <c r="BZ108" s="360"/>
      <c r="CA108" s="360"/>
      <c r="CB108" s="360"/>
      <c r="CC108" s="360"/>
      <c r="CD108" s="360"/>
      <c r="CE108" s="360"/>
      <c r="CF108" s="360"/>
      <c r="CG108" s="360"/>
      <c r="CH108" s="360"/>
      <c r="CI108" s="360"/>
      <c r="CJ108" s="360"/>
      <c r="CK108" s="258"/>
      <c r="CL108" s="258"/>
      <c r="CM108" s="258"/>
      <c r="CN108" s="258"/>
      <c r="CO108" s="258"/>
      <c r="CP108" s="255" t="s">
        <v>383</v>
      </c>
      <c r="CQ108" s="255" t="s">
        <v>429</v>
      </c>
      <c r="CR108" s="255" t="s">
        <v>385</v>
      </c>
      <c r="CS108" s="255" t="s">
        <v>430</v>
      </c>
      <c r="CT108" s="255" t="s">
        <v>386</v>
      </c>
      <c r="CU108" s="255" t="s">
        <v>387</v>
      </c>
      <c r="CV108" s="255" t="s">
        <v>388</v>
      </c>
      <c r="CW108" s="255" t="s">
        <v>525</v>
      </c>
      <c r="CX108" s="255" t="s">
        <v>389</v>
      </c>
      <c r="CY108" s="255"/>
      <c r="CZ108" s="255" t="str">
        <f>CZ97</f>
        <v>$0.47-0.48</v>
      </c>
      <c r="DA108" s="255" t="str">
        <f>DA97</f>
        <v>$0.51-0.53</v>
      </c>
      <c r="DB108" s="255"/>
      <c r="DC108" s="406"/>
      <c r="DD108" s="388" t="str">
        <f>DD97</f>
        <v>$2.00-2.10 (Withdrew guidance on Q2 call)</v>
      </c>
      <c r="DE108" s="258"/>
      <c r="DF108" s="258"/>
      <c r="DG108" s="258"/>
      <c r="DH108" s="406"/>
      <c r="DI108" s="388"/>
      <c r="DJ108" s="257"/>
      <c r="DK108" s="257"/>
      <c r="DL108" s="257"/>
      <c r="DM108" s="406"/>
      <c r="DN108" s="388"/>
      <c r="DO108" s="258"/>
      <c r="DP108" s="257"/>
      <c r="DQ108" s="257"/>
      <c r="DR108" s="257"/>
      <c r="DS108" s="257"/>
      <c r="DT108" s="258"/>
      <c r="DU108" s="257"/>
      <c r="DV108" s="257"/>
      <c r="DW108" s="257"/>
      <c r="DX108" s="257"/>
      <c r="DY108" s="258"/>
      <c r="DZ108" s="257"/>
      <c r="EA108" s="258"/>
      <c r="EB108" s="257"/>
      <c r="EC108" s="258"/>
      <c r="ED108" s="258"/>
      <c r="EE108" s="257"/>
      <c r="EF108" s="257"/>
      <c r="EG108" s="257"/>
      <c r="EH108" s="258"/>
      <c r="EI108" s="2732"/>
      <c r="EJ108" s="2733"/>
      <c r="EK108" s="2733"/>
      <c r="EL108" s="2733"/>
      <c r="EM108" s="2732"/>
      <c r="EN108" s="2732"/>
      <c r="EO108" s="2733"/>
      <c r="EP108" s="2732"/>
      <c r="EQ108" s="2733"/>
      <c r="ER108" s="2732"/>
      <c r="ES108" s="258"/>
      <c r="ET108" s="2733"/>
      <c r="EU108" s="2732"/>
      <c r="EV108" s="258"/>
      <c r="EW108" s="258"/>
      <c r="EX108" s="258"/>
      <c r="EY108" s="258"/>
      <c r="EZ108" s="258"/>
      <c r="FA108" s="258"/>
      <c r="FB108" s="258"/>
      <c r="FC108" s="258"/>
      <c r="FD108" s="258"/>
      <c r="FE108" s="258"/>
      <c r="FF108" s="258"/>
      <c r="FG108" s="258"/>
      <c r="FH108" s="258"/>
      <c r="FI108" s="258"/>
      <c r="FJ108" s="258"/>
      <c r="FK108" s="258"/>
      <c r="FL108" s="258"/>
      <c r="FX108" s="877"/>
      <c r="FY108" s="877"/>
      <c r="FZ108" s="877"/>
      <c r="GA108" s="877"/>
      <c r="GB108" s="877"/>
      <c r="GC108" s="877"/>
      <c r="GD108" s="877"/>
      <c r="GE108" s="877"/>
      <c r="GF108" s="877"/>
      <c r="GG108" s="877"/>
      <c r="GH108" s="877"/>
      <c r="GI108" s="877"/>
      <c r="GN108"/>
      <c r="GO108"/>
      <c r="GP108"/>
      <c r="GQ108"/>
      <c r="GR108"/>
      <c r="GS108"/>
    </row>
    <row r="109" spans="1:201" s="389" customFormat="1" ht="10.5" hidden="1" customHeight="1" outlineLevel="1">
      <c r="A109" s="323" t="s">
        <v>354</v>
      </c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60"/>
      <c r="Q109" s="360"/>
      <c r="R109" s="360"/>
      <c r="S109" s="360"/>
      <c r="T109" s="360"/>
      <c r="U109" s="360"/>
      <c r="V109" s="360"/>
      <c r="W109" s="360"/>
      <c r="X109" s="360"/>
      <c r="Y109" s="360"/>
      <c r="Z109" s="360"/>
      <c r="AA109" s="360"/>
      <c r="AB109" s="360"/>
      <c r="AC109" s="360"/>
      <c r="AD109" s="360"/>
      <c r="AE109" s="360"/>
      <c r="AF109" s="360"/>
      <c r="AG109" s="360"/>
      <c r="AH109" s="360"/>
      <c r="AI109" s="360"/>
      <c r="AJ109" s="360"/>
      <c r="AK109" s="360"/>
      <c r="AL109" s="360"/>
      <c r="AM109" s="360"/>
      <c r="AN109" s="360"/>
      <c r="AO109" s="360"/>
      <c r="AP109" s="360"/>
      <c r="AQ109" s="360"/>
      <c r="AR109" s="360"/>
      <c r="AS109" s="360"/>
      <c r="AT109" s="360"/>
      <c r="AU109" s="360"/>
      <c r="AV109" s="360"/>
      <c r="AW109" s="360"/>
      <c r="AX109" s="360"/>
      <c r="AY109" s="360"/>
      <c r="AZ109" s="360"/>
      <c r="BA109" s="360"/>
      <c r="BB109" s="360"/>
      <c r="BC109" s="360"/>
      <c r="BD109" s="360"/>
      <c r="BE109" s="360"/>
      <c r="BF109" s="360"/>
      <c r="BG109" s="360"/>
      <c r="BH109" s="360"/>
      <c r="BI109" s="360"/>
      <c r="BJ109" s="360"/>
      <c r="BK109" s="360"/>
      <c r="BL109" s="360"/>
      <c r="BM109" s="360"/>
      <c r="BN109" s="360"/>
      <c r="BO109" s="360"/>
      <c r="BP109" s="360"/>
      <c r="BQ109" s="360"/>
      <c r="BR109" s="360"/>
      <c r="BS109" s="360"/>
      <c r="BT109" s="360"/>
      <c r="BU109" s="360"/>
      <c r="BV109" s="360"/>
      <c r="BW109" s="360"/>
      <c r="BX109" s="360"/>
      <c r="BY109" s="360"/>
      <c r="BZ109" s="360"/>
      <c r="CA109" s="360"/>
      <c r="CB109" s="360"/>
      <c r="CC109" s="360"/>
      <c r="CD109" s="360"/>
      <c r="CE109" s="360"/>
      <c r="CF109" s="360"/>
      <c r="CG109" s="360"/>
      <c r="CH109" s="360"/>
      <c r="CI109" s="360"/>
      <c r="CJ109" s="360"/>
      <c r="CK109" s="258"/>
      <c r="CL109" s="258"/>
      <c r="CM109" s="258"/>
      <c r="CN109" s="258"/>
      <c r="CO109" s="258"/>
      <c r="CP109" s="255"/>
      <c r="CQ109" s="255" t="s">
        <v>431</v>
      </c>
      <c r="CR109" s="255" t="s">
        <v>431</v>
      </c>
      <c r="CS109" s="255">
        <v>0.315</v>
      </c>
      <c r="CT109" s="255">
        <v>0.315</v>
      </c>
      <c r="CU109" s="255">
        <v>0.30499999999999999</v>
      </c>
      <c r="CV109" s="255"/>
      <c r="CW109" s="255">
        <v>0.30499999999999999</v>
      </c>
      <c r="CX109" s="255">
        <v>0.3</v>
      </c>
      <c r="CY109" s="255"/>
      <c r="CZ109" s="255">
        <v>0.28000000000000003</v>
      </c>
      <c r="DA109" s="255">
        <v>0.26500000000000001</v>
      </c>
      <c r="DB109" s="255"/>
      <c r="DC109" s="406"/>
      <c r="DD109" s="418">
        <v>0.26500000000000001</v>
      </c>
      <c r="DE109" s="258"/>
      <c r="DF109" s="258"/>
      <c r="DG109" s="258"/>
      <c r="DH109" s="406"/>
      <c r="DI109" s="418"/>
      <c r="DJ109" s="257"/>
      <c r="DK109" s="257"/>
      <c r="DL109" s="257"/>
      <c r="DM109" s="406"/>
      <c r="DN109" s="418"/>
      <c r="DO109" s="258"/>
      <c r="DP109" s="257"/>
      <c r="DQ109" s="257"/>
      <c r="DR109" s="257"/>
      <c r="DS109" s="257"/>
      <c r="DT109" s="258"/>
      <c r="DU109" s="257"/>
      <c r="DV109" s="257"/>
      <c r="DW109" s="257"/>
      <c r="DX109" s="257"/>
      <c r="DY109" s="258"/>
      <c r="DZ109" s="257"/>
      <c r="EA109" s="258"/>
      <c r="EB109" s="257"/>
      <c r="EC109" s="258"/>
      <c r="ED109" s="258"/>
      <c r="EE109" s="257"/>
      <c r="EF109" s="257"/>
      <c r="EG109" s="257"/>
      <c r="EH109" s="258"/>
      <c r="EI109" s="2732"/>
      <c r="EJ109" s="2733"/>
      <c r="EK109" s="2733"/>
      <c r="EL109" s="2733"/>
      <c r="EM109" s="2732"/>
      <c r="EN109" s="2732"/>
      <c r="EO109" s="2733"/>
      <c r="EP109" s="2732"/>
      <c r="EQ109" s="2733"/>
      <c r="ER109" s="2732"/>
      <c r="ES109" s="258"/>
      <c r="ET109" s="2733"/>
      <c r="EU109" s="2732"/>
      <c r="EV109" s="258"/>
      <c r="EW109" s="258"/>
      <c r="EX109" s="258"/>
      <c r="EY109" s="258"/>
      <c r="EZ109" s="258"/>
      <c r="FA109" s="258"/>
      <c r="FB109" s="258"/>
      <c r="FC109" s="258"/>
      <c r="FD109" s="258"/>
      <c r="FE109" s="258"/>
      <c r="FF109" s="258"/>
      <c r="FG109" s="258"/>
      <c r="FH109" s="258"/>
      <c r="FI109" s="258"/>
      <c r="FJ109" s="258"/>
      <c r="FK109" s="258"/>
      <c r="FL109" s="258"/>
      <c r="FX109" s="877"/>
      <c r="FY109" s="877"/>
      <c r="FZ109" s="877"/>
      <c r="GA109" s="877"/>
      <c r="GB109" s="877"/>
      <c r="GC109" s="877"/>
      <c r="GD109" s="877"/>
      <c r="GE109" s="877"/>
      <c r="GF109" s="877"/>
      <c r="GG109" s="877"/>
      <c r="GH109" s="877"/>
      <c r="GI109" s="877"/>
      <c r="GN109"/>
      <c r="GO109"/>
      <c r="GP109"/>
      <c r="GQ109"/>
      <c r="GR109"/>
      <c r="GS109"/>
    </row>
    <row r="110" spans="1:201" s="389" customFormat="1" ht="10.5" hidden="1" customHeight="1" outlineLevel="1">
      <c r="A110" s="323" t="s">
        <v>355</v>
      </c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60"/>
      <c r="Q110" s="360"/>
      <c r="R110" s="360"/>
      <c r="S110" s="360"/>
      <c r="T110" s="360"/>
      <c r="U110" s="360"/>
      <c r="V110" s="360"/>
      <c r="W110" s="360"/>
      <c r="X110" s="360"/>
      <c r="Y110" s="360"/>
      <c r="Z110" s="360"/>
      <c r="AA110" s="360"/>
      <c r="AB110" s="360"/>
      <c r="AC110" s="360"/>
      <c r="AD110" s="360"/>
      <c r="AE110" s="360"/>
      <c r="AF110" s="360"/>
      <c r="AG110" s="360"/>
      <c r="AH110" s="360"/>
      <c r="AI110" s="360"/>
      <c r="AJ110" s="360"/>
      <c r="AK110" s="360"/>
      <c r="AL110" s="360"/>
      <c r="AM110" s="360"/>
      <c r="AN110" s="360"/>
      <c r="AO110" s="360"/>
      <c r="AP110" s="360"/>
      <c r="AQ110" s="360"/>
      <c r="AR110" s="360"/>
      <c r="AS110" s="360"/>
      <c r="AT110" s="360"/>
      <c r="AU110" s="360"/>
      <c r="AV110" s="360"/>
      <c r="AW110" s="360"/>
      <c r="AX110" s="360"/>
      <c r="AY110" s="360"/>
      <c r="AZ110" s="360"/>
      <c r="BA110" s="360"/>
      <c r="BB110" s="360"/>
      <c r="BC110" s="360"/>
      <c r="BD110" s="360"/>
      <c r="BE110" s="360"/>
      <c r="BF110" s="360"/>
      <c r="BG110" s="360"/>
      <c r="BH110" s="360"/>
      <c r="BI110" s="360"/>
      <c r="BJ110" s="360"/>
      <c r="BK110" s="360"/>
      <c r="BL110" s="360"/>
      <c r="BM110" s="360"/>
      <c r="BN110" s="360"/>
      <c r="BO110" s="360"/>
      <c r="BP110" s="360"/>
      <c r="BQ110" s="360"/>
      <c r="BR110" s="360"/>
      <c r="BS110" s="360"/>
      <c r="BT110" s="360"/>
      <c r="BU110" s="360"/>
      <c r="BV110" s="360"/>
      <c r="BW110" s="360"/>
      <c r="BX110" s="360"/>
      <c r="BY110" s="360"/>
      <c r="BZ110" s="360"/>
      <c r="CA110" s="360"/>
      <c r="CB110" s="360"/>
      <c r="CC110" s="360"/>
      <c r="CD110" s="360"/>
      <c r="CE110" s="360"/>
      <c r="CF110" s="360"/>
      <c r="CG110" s="360"/>
      <c r="CH110" s="360"/>
      <c r="CI110" s="360"/>
      <c r="CJ110" s="360"/>
      <c r="CK110" s="258"/>
      <c r="CL110" s="258"/>
      <c r="CM110" s="258"/>
      <c r="CN110" s="258"/>
      <c r="CO110" s="258"/>
      <c r="CP110" s="255"/>
      <c r="CQ110" s="255"/>
      <c r="CR110" s="255"/>
      <c r="CS110" s="255"/>
      <c r="CT110" s="255" t="s">
        <v>432</v>
      </c>
      <c r="CU110" s="255" t="s">
        <v>434</v>
      </c>
      <c r="CV110" s="255"/>
      <c r="CW110" s="255" t="s">
        <v>435</v>
      </c>
      <c r="CX110" s="255" t="s">
        <v>436</v>
      </c>
      <c r="CY110" s="255"/>
      <c r="CZ110" s="255" t="s">
        <v>586</v>
      </c>
      <c r="DA110" s="255" t="s">
        <v>586</v>
      </c>
      <c r="DB110" s="255"/>
      <c r="DC110" s="406"/>
      <c r="DD110" s="281" t="s">
        <v>254</v>
      </c>
      <c r="DE110" s="258"/>
      <c r="DF110" s="258"/>
      <c r="DG110" s="258"/>
      <c r="DH110" s="406"/>
      <c r="DI110" s="281"/>
      <c r="DJ110" s="257"/>
      <c r="DK110" s="257"/>
      <c r="DL110" s="257"/>
      <c r="DM110" s="406"/>
      <c r="DN110" s="281"/>
      <c r="DO110" s="258"/>
      <c r="DP110" s="257"/>
      <c r="DQ110" s="257"/>
      <c r="DR110" s="257"/>
      <c r="DS110" s="257"/>
      <c r="DT110" s="258"/>
      <c r="DU110" s="257"/>
      <c r="DV110" s="257"/>
      <c r="DW110" s="257"/>
      <c r="DX110" s="257"/>
      <c r="DY110" s="258"/>
      <c r="DZ110" s="257"/>
      <c r="EA110" s="258"/>
      <c r="EB110" s="257"/>
      <c r="EC110" s="258"/>
      <c r="ED110" s="258"/>
      <c r="EE110" s="257"/>
      <c r="EF110" s="257"/>
      <c r="EG110" s="257"/>
      <c r="EH110" s="258"/>
      <c r="EI110" s="2732"/>
      <c r="EJ110" s="2733"/>
      <c r="EK110" s="2733"/>
      <c r="EL110" s="2733"/>
      <c r="EM110" s="2732"/>
      <c r="EN110" s="2732"/>
      <c r="EO110" s="2733"/>
      <c r="EP110" s="2732"/>
      <c r="EQ110" s="2732"/>
      <c r="ER110" s="2732"/>
      <c r="ES110" s="258"/>
      <c r="ET110" s="2733"/>
      <c r="EU110" s="2732"/>
      <c r="EV110" s="258"/>
      <c r="EW110" s="258"/>
      <c r="EX110" s="258"/>
      <c r="EY110" s="258"/>
      <c r="EZ110" s="258"/>
      <c r="FA110" s="258"/>
      <c r="FB110" s="258"/>
      <c r="FC110" s="258"/>
      <c r="FD110" s="258"/>
      <c r="FE110" s="258"/>
      <c r="FF110" s="258"/>
      <c r="FG110" s="258"/>
      <c r="FH110" s="258"/>
      <c r="FI110" s="258"/>
      <c r="FJ110" s="258"/>
      <c r="FK110" s="258"/>
      <c r="FL110" s="258"/>
      <c r="FX110" s="877"/>
      <c r="FY110" s="877"/>
      <c r="FZ110" s="877"/>
      <c r="GA110" s="877"/>
      <c r="GB110" s="877"/>
      <c r="GC110" s="877"/>
      <c r="GD110" s="877"/>
      <c r="GE110" s="877"/>
      <c r="GF110" s="877"/>
      <c r="GG110" s="877"/>
      <c r="GH110" s="877"/>
      <c r="GI110" s="877"/>
      <c r="GN110"/>
      <c r="GO110"/>
      <c r="GP110"/>
      <c r="GQ110"/>
      <c r="GR110"/>
      <c r="GS110"/>
    </row>
    <row r="111" spans="1:201" s="389" customFormat="1" ht="10.5" hidden="1" customHeight="1" outlineLevel="1">
      <c r="A111" s="323" t="s">
        <v>356</v>
      </c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60"/>
      <c r="Q111" s="360"/>
      <c r="R111" s="360"/>
      <c r="S111" s="360"/>
      <c r="T111" s="360"/>
      <c r="U111" s="360"/>
      <c r="V111" s="360"/>
      <c r="W111" s="360"/>
      <c r="X111" s="360"/>
      <c r="Y111" s="360"/>
      <c r="Z111" s="360"/>
      <c r="AA111" s="360"/>
      <c r="AB111" s="360"/>
      <c r="AC111" s="360"/>
      <c r="AD111" s="360"/>
      <c r="AE111" s="360"/>
      <c r="AF111" s="360"/>
      <c r="AG111" s="360"/>
      <c r="AH111" s="360"/>
      <c r="AI111" s="360"/>
      <c r="AJ111" s="360"/>
      <c r="AK111" s="360"/>
      <c r="AL111" s="360"/>
      <c r="AM111" s="360"/>
      <c r="AN111" s="360"/>
      <c r="AO111" s="360"/>
      <c r="AP111" s="360"/>
      <c r="AQ111" s="360"/>
      <c r="AR111" s="360"/>
      <c r="AS111" s="360"/>
      <c r="AT111" s="360"/>
      <c r="AU111" s="360"/>
      <c r="AV111" s="360"/>
      <c r="AW111" s="360"/>
      <c r="AX111" s="360"/>
      <c r="AY111" s="360"/>
      <c r="AZ111" s="360"/>
      <c r="BA111" s="360"/>
      <c r="BB111" s="360"/>
      <c r="BC111" s="360"/>
      <c r="BD111" s="360"/>
      <c r="BE111" s="360"/>
      <c r="BF111" s="360"/>
      <c r="BG111" s="360"/>
      <c r="BH111" s="360"/>
      <c r="BI111" s="360"/>
      <c r="BJ111" s="360"/>
      <c r="BK111" s="360"/>
      <c r="BL111" s="360"/>
      <c r="BM111" s="360"/>
      <c r="BN111" s="360"/>
      <c r="BO111" s="360"/>
      <c r="BP111" s="360"/>
      <c r="BQ111" s="360"/>
      <c r="BR111" s="360"/>
      <c r="BS111" s="360"/>
      <c r="BT111" s="360"/>
      <c r="BU111" s="360"/>
      <c r="BV111" s="360"/>
      <c r="BW111" s="360"/>
      <c r="BX111" s="360"/>
      <c r="BY111" s="360"/>
      <c r="BZ111" s="360"/>
      <c r="CA111" s="360"/>
      <c r="CB111" s="360"/>
      <c r="CC111" s="360"/>
      <c r="CD111" s="360"/>
      <c r="CE111" s="360"/>
      <c r="CF111" s="360"/>
      <c r="CG111" s="360"/>
      <c r="CH111" s="360"/>
      <c r="CI111" s="360"/>
      <c r="CJ111" s="360"/>
      <c r="CK111" s="258"/>
      <c r="CL111" s="258"/>
      <c r="CM111" s="258"/>
      <c r="CN111" s="258"/>
      <c r="CO111" s="258"/>
      <c r="CP111" s="255" t="s">
        <v>437</v>
      </c>
      <c r="CQ111" s="255" t="s">
        <v>437</v>
      </c>
      <c r="CR111" s="255" t="s">
        <v>437</v>
      </c>
      <c r="CS111" s="255" t="s">
        <v>438</v>
      </c>
      <c r="CT111" s="255"/>
      <c r="CU111" s="255" t="s">
        <v>439</v>
      </c>
      <c r="CV111" s="255"/>
      <c r="CW111" s="255" t="s">
        <v>437</v>
      </c>
      <c r="CX111" s="255" t="s">
        <v>437</v>
      </c>
      <c r="CY111" s="255"/>
      <c r="CZ111" s="255" t="s">
        <v>438</v>
      </c>
      <c r="DA111" s="255" t="s">
        <v>438</v>
      </c>
      <c r="DB111" s="255"/>
      <c r="DC111" s="406"/>
      <c r="DD111" s="281" t="s">
        <v>255</v>
      </c>
      <c r="DE111" s="258"/>
      <c r="DF111" s="258"/>
      <c r="DG111" s="258"/>
      <c r="DH111" s="406"/>
      <c r="DI111" s="281"/>
      <c r="DJ111" s="257"/>
      <c r="DK111" s="257"/>
      <c r="DL111" s="257"/>
      <c r="DM111" s="406"/>
      <c r="DN111" s="281"/>
      <c r="DO111" s="258"/>
      <c r="DP111" s="257"/>
      <c r="DQ111" s="257"/>
      <c r="DR111" s="257"/>
      <c r="DS111" s="257"/>
      <c r="DT111" s="258"/>
      <c r="DU111" s="257"/>
      <c r="DV111" s="257"/>
      <c r="DW111" s="257"/>
      <c r="DX111" s="257"/>
      <c r="DY111" s="258"/>
      <c r="DZ111" s="257"/>
      <c r="EA111" s="258"/>
      <c r="EB111" s="257"/>
      <c r="EC111" s="258"/>
      <c r="ED111" s="258"/>
      <c r="EE111" s="257"/>
      <c r="EF111" s="257"/>
      <c r="EG111" s="257"/>
      <c r="EH111" s="258"/>
      <c r="EI111" s="2732"/>
      <c r="EJ111" s="2733"/>
      <c r="EK111" s="2733"/>
      <c r="EL111" s="2733"/>
      <c r="EM111" s="2732"/>
      <c r="EN111" s="2732"/>
      <c r="EO111" s="2733"/>
      <c r="EP111" s="2732"/>
      <c r="EQ111" s="2732"/>
      <c r="ER111" s="2732"/>
      <c r="ES111" s="258"/>
      <c r="ET111" s="2733"/>
      <c r="EU111" s="2732"/>
      <c r="EV111" s="258"/>
      <c r="EW111" s="258"/>
      <c r="EX111" s="258"/>
      <c r="EY111" s="258"/>
      <c r="EZ111" s="258"/>
      <c r="FA111" s="258"/>
      <c r="FB111" s="258"/>
      <c r="FC111" s="258"/>
      <c r="FD111" s="258"/>
      <c r="FE111" s="258"/>
      <c r="FF111" s="258"/>
      <c r="FG111" s="258"/>
      <c r="FH111" s="258"/>
      <c r="FI111" s="258"/>
      <c r="FJ111" s="258"/>
      <c r="FK111" s="258"/>
      <c r="FL111" s="258"/>
      <c r="FX111" s="877"/>
      <c r="FY111" s="877"/>
      <c r="FZ111" s="877"/>
      <c r="GA111" s="877"/>
      <c r="GB111" s="877"/>
      <c r="GC111" s="877"/>
      <c r="GD111" s="877"/>
      <c r="GE111" s="877"/>
      <c r="GF111" s="877"/>
      <c r="GG111" s="877"/>
      <c r="GH111" s="877"/>
      <c r="GI111" s="877"/>
      <c r="GN111"/>
      <c r="GO111"/>
      <c r="GP111"/>
      <c r="GQ111"/>
      <c r="GR111"/>
      <c r="GS111"/>
    </row>
    <row r="112" spans="1:201" s="409" customFormat="1" ht="10.5" customHeight="1" collapsed="1">
      <c r="A112" s="419" t="s">
        <v>526</v>
      </c>
      <c r="D112" s="394"/>
      <c r="E112" s="394"/>
      <c r="F112" s="394"/>
      <c r="G112" s="394"/>
      <c r="H112" s="394"/>
      <c r="I112" s="394"/>
      <c r="J112" s="394"/>
      <c r="K112" s="394"/>
      <c r="L112" s="394"/>
      <c r="M112" s="394"/>
      <c r="N112" s="394"/>
      <c r="O112" s="394"/>
      <c r="P112" s="394"/>
      <c r="Q112" s="394"/>
      <c r="R112" s="394"/>
      <c r="S112" s="394"/>
      <c r="T112" s="394"/>
      <c r="U112" s="394"/>
      <c r="V112" s="394"/>
      <c r="W112" s="394"/>
      <c r="X112" s="394"/>
      <c r="Y112" s="394"/>
      <c r="Z112" s="394"/>
      <c r="AA112" s="394"/>
      <c r="AB112" s="394"/>
      <c r="AC112" s="394"/>
      <c r="AD112" s="394"/>
      <c r="AE112" s="394"/>
      <c r="AF112" s="394"/>
      <c r="AG112" s="394"/>
      <c r="AH112" s="394"/>
      <c r="AI112" s="394"/>
      <c r="AJ112" s="394"/>
      <c r="AK112" s="394"/>
      <c r="AL112" s="394"/>
      <c r="AM112" s="394"/>
      <c r="AN112" s="394"/>
      <c r="AO112" s="394"/>
      <c r="AP112" s="394"/>
      <c r="AQ112" s="394"/>
      <c r="AR112" s="394"/>
      <c r="AS112" s="394"/>
      <c r="AT112" s="394"/>
      <c r="AU112" s="394"/>
      <c r="AV112" s="394"/>
      <c r="AW112" s="394"/>
      <c r="AX112" s="394"/>
      <c r="AY112" s="394"/>
      <c r="AZ112" s="394"/>
      <c r="BA112" s="394"/>
      <c r="BB112" s="394"/>
      <c r="BC112" s="394"/>
      <c r="BD112" s="394"/>
      <c r="BE112" s="394"/>
      <c r="BF112" s="394"/>
      <c r="BG112" s="394"/>
      <c r="BH112" s="394"/>
      <c r="BI112" s="394"/>
      <c r="BJ112" s="394"/>
      <c r="BK112" s="394"/>
      <c r="BL112" s="394"/>
      <c r="BM112" s="394"/>
      <c r="BN112" s="394"/>
      <c r="BO112" s="394"/>
      <c r="BP112" s="394"/>
      <c r="BQ112" s="394"/>
      <c r="BR112" s="394"/>
      <c r="BS112" s="394"/>
      <c r="BT112" s="394"/>
      <c r="BU112" s="394"/>
      <c r="BV112" s="394"/>
      <c r="BW112" s="394"/>
      <c r="BX112" s="394"/>
      <c r="BY112" s="394"/>
      <c r="BZ112" s="394"/>
      <c r="CA112" s="394"/>
      <c r="CB112" s="394"/>
      <c r="CC112" s="394"/>
      <c r="CD112" s="394"/>
      <c r="CE112" s="394"/>
      <c r="CF112" s="394"/>
      <c r="CG112" s="394"/>
      <c r="CH112" s="394"/>
      <c r="CI112" s="394"/>
      <c r="CJ112" s="394"/>
      <c r="CK112" s="413"/>
      <c r="CL112" s="413"/>
      <c r="CM112" s="413"/>
      <c r="CN112" s="413"/>
      <c r="CO112" s="413"/>
      <c r="CP112" s="410"/>
      <c r="CQ112" s="410"/>
      <c r="CR112" s="410"/>
      <c r="CS112" s="410" t="s">
        <v>440</v>
      </c>
      <c r="CT112" s="410"/>
      <c r="CU112" s="410"/>
      <c r="CV112" s="410"/>
      <c r="CW112" s="410" t="s">
        <v>630</v>
      </c>
      <c r="CX112" s="410" t="s">
        <v>630</v>
      </c>
      <c r="CY112" s="410"/>
      <c r="CZ112" s="410"/>
      <c r="DA112" s="410"/>
      <c r="DB112" s="410"/>
      <c r="DC112" s="420"/>
      <c r="DD112" s="394"/>
      <c r="DE112" s="394"/>
      <c r="DF112" s="394"/>
      <c r="DG112" s="394"/>
      <c r="DH112" s="420"/>
      <c r="DI112" s="394"/>
      <c r="DJ112" s="420"/>
      <c r="DK112" s="420"/>
      <c r="DL112" s="420"/>
      <c r="DM112" s="420"/>
      <c r="DN112" s="394"/>
      <c r="DO112" s="394"/>
      <c r="DP112" s="420"/>
      <c r="DQ112" s="420"/>
      <c r="DR112" s="420"/>
      <c r="DS112" s="420"/>
      <c r="DT112" s="394"/>
      <c r="DU112" s="420"/>
      <c r="DV112" s="420"/>
      <c r="DW112" s="420"/>
      <c r="DX112" s="420"/>
      <c r="DY112" s="394"/>
      <c r="DZ112" s="420"/>
      <c r="EA112" s="394"/>
      <c r="EB112" s="420"/>
      <c r="EC112" s="394"/>
      <c r="ED112" s="394"/>
      <c r="EE112" s="420"/>
      <c r="EF112" s="420"/>
      <c r="EG112" s="420"/>
      <c r="EH112" s="394"/>
      <c r="EI112" s="2741"/>
      <c r="EJ112" s="2742"/>
      <c r="EK112" s="2742"/>
      <c r="EL112" s="2742"/>
      <c r="EM112" s="2741"/>
      <c r="EN112" s="2741"/>
      <c r="EO112" s="2742"/>
      <c r="EP112" s="2741"/>
      <c r="EQ112" s="2741"/>
      <c r="ER112" s="2741"/>
      <c r="ES112" s="394"/>
      <c r="ET112" s="2742"/>
      <c r="EU112" s="2741"/>
      <c r="EV112" s="394"/>
      <c r="EW112" s="394"/>
      <c r="EX112" s="394"/>
      <c r="EY112" s="394"/>
      <c r="EZ112" s="394"/>
      <c r="FA112" s="394"/>
      <c r="FB112" s="394"/>
      <c r="FC112" s="394"/>
      <c r="FD112" s="394"/>
      <c r="FE112" s="394"/>
      <c r="FF112" s="394"/>
      <c r="FG112" s="394"/>
      <c r="FH112" s="394"/>
      <c r="FI112" s="394"/>
      <c r="FJ112" s="394"/>
      <c r="FK112" s="394"/>
      <c r="FL112" s="394"/>
      <c r="FX112" s="880"/>
      <c r="FY112" s="880"/>
      <c r="FZ112" s="880"/>
      <c r="GA112" s="880"/>
      <c r="GB112" s="880"/>
      <c r="GC112" s="880"/>
      <c r="GD112" s="880"/>
      <c r="GE112" s="880"/>
      <c r="GF112" s="880"/>
      <c r="GG112" s="880"/>
      <c r="GH112" s="880"/>
      <c r="GI112" s="880"/>
      <c r="GN112"/>
      <c r="GO112"/>
      <c r="GP112"/>
      <c r="GQ112"/>
      <c r="GR112"/>
      <c r="GS112"/>
    </row>
    <row r="113" spans="1:201" s="392" customFormat="1" ht="10.5" customHeight="1">
      <c r="A113" s="421" t="s">
        <v>1024</v>
      </c>
      <c r="B113" s="389"/>
      <c r="C113" s="389"/>
      <c r="D113" s="390"/>
      <c r="E113" s="390"/>
      <c r="F113" s="390"/>
      <c r="G113" s="390"/>
      <c r="H113" s="390"/>
      <c r="I113" s="390"/>
      <c r="J113" s="390"/>
      <c r="K113" s="390"/>
      <c r="L113" s="390"/>
      <c r="M113" s="390"/>
      <c r="N113" s="390"/>
      <c r="O113" s="390"/>
      <c r="P113" s="390"/>
      <c r="Q113" s="390"/>
      <c r="R113" s="390"/>
      <c r="S113" s="390"/>
      <c r="T113" s="390"/>
      <c r="U113" s="390"/>
      <c r="V113" s="390"/>
      <c r="W113" s="390"/>
      <c r="X113" s="390"/>
      <c r="Y113" s="390"/>
      <c r="Z113" s="390"/>
      <c r="AA113" s="390"/>
      <c r="AB113" s="390"/>
      <c r="AC113" s="390"/>
      <c r="AD113" s="390"/>
      <c r="AE113" s="390"/>
      <c r="AF113" s="390"/>
      <c r="AG113" s="390"/>
      <c r="AH113" s="390"/>
      <c r="AI113" s="390"/>
      <c r="AJ113" s="390"/>
      <c r="AK113" s="390"/>
      <c r="AL113" s="390"/>
      <c r="AM113" s="390"/>
      <c r="AN113" s="390"/>
      <c r="AO113" s="390"/>
      <c r="AP113" s="390"/>
      <c r="AQ113" s="390"/>
      <c r="AR113" s="390"/>
      <c r="AS113" s="390"/>
      <c r="AT113" s="390"/>
      <c r="AU113" s="390"/>
      <c r="AV113" s="390"/>
      <c r="AW113" s="390"/>
      <c r="AX113" s="390"/>
      <c r="AY113" s="390"/>
      <c r="AZ113" s="390"/>
      <c r="BA113" s="390"/>
      <c r="BB113" s="390"/>
      <c r="BC113" s="390"/>
      <c r="BD113" s="390"/>
      <c r="BE113" s="390"/>
      <c r="BF113" s="390"/>
      <c r="BG113" s="390"/>
      <c r="BH113" s="390"/>
      <c r="BI113" s="390"/>
      <c r="BJ113" s="390"/>
      <c r="BK113" s="390"/>
      <c r="BL113" s="390"/>
      <c r="BM113" s="390"/>
      <c r="BN113" s="390"/>
      <c r="BO113" s="390"/>
      <c r="BP113" s="390"/>
      <c r="BQ113" s="390"/>
      <c r="BR113" s="390"/>
      <c r="BS113" s="390"/>
      <c r="BT113" s="390"/>
      <c r="BU113" s="390"/>
      <c r="BV113" s="390"/>
      <c r="BW113" s="390"/>
      <c r="BX113" s="390"/>
      <c r="BY113" s="390"/>
      <c r="BZ113" s="390"/>
      <c r="CA113" s="390"/>
      <c r="CB113" s="390"/>
      <c r="CC113" s="390"/>
      <c r="CD113" s="390"/>
      <c r="CE113" s="390"/>
      <c r="CF113" s="390"/>
      <c r="CG113" s="390"/>
      <c r="CH113" s="390"/>
      <c r="CI113" s="390"/>
      <c r="CJ113" s="390"/>
      <c r="CK113" s="336"/>
      <c r="CL113" s="336"/>
      <c r="CM113" s="336"/>
      <c r="CN113" s="336"/>
      <c r="CO113" s="336"/>
      <c r="CP113" s="422"/>
      <c r="CQ113" s="422"/>
      <c r="CR113" s="422"/>
      <c r="CS113" s="422"/>
      <c r="CT113" s="422"/>
      <c r="CU113" s="422"/>
      <c r="CV113" s="422"/>
      <c r="CW113" s="422"/>
      <c r="CX113" s="422"/>
      <c r="CY113" s="422"/>
      <c r="CZ113" s="422"/>
      <c r="DA113" s="422"/>
      <c r="DB113" s="422"/>
      <c r="DC113" s="391"/>
      <c r="DD113" s="390"/>
      <c r="DE113" s="390"/>
      <c r="DF113" s="390"/>
      <c r="DG113" s="390"/>
      <c r="DH113" s="391"/>
      <c r="DI113" s="390"/>
      <c r="DJ113" s="391"/>
      <c r="DK113" s="391"/>
      <c r="DL113" s="391"/>
      <c r="DM113" s="391"/>
      <c r="DN113" s="390"/>
      <c r="DO113" s="390"/>
      <c r="DP113" s="391"/>
      <c r="DQ113" s="391"/>
      <c r="DR113" s="391"/>
      <c r="DS113" s="391"/>
      <c r="DT113" s="390"/>
      <c r="DU113" s="391"/>
      <c r="DV113" s="391"/>
      <c r="DW113" s="391"/>
      <c r="DX113" s="391"/>
      <c r="DY113" s="390"/>
      <c r="DZ113" s="391"/>
      <c r="EA113" s="390"/>
      <c r="EB113" s="391"/>
      <c r="EC113" s="390"/>
      <c r="ED113" s="390"/>
      <c r="EE113" s="391"/>
      <c r="EF113" s="391"/>
      <c r="EG113" s="391"/>
      <c r="EH113" s="390"/>
      <c r="EI113" s="2728"/>
      <c r="EJ113" s="2727"/>
      <c r="EK113" s="2727"/>
      <c r="EL113" s="2727"/>
      <c r="EM113" s="2728"/>
      <c r="EN113" s="2728"/>
      <c r="EO113" s="2727"/>
      <c r="EP113" s="2728"/>
      <c r="EQ113" s="2728"/>
      <c r="ER113" s="2728"/>
      <c r="ES113" s="390"/>
      <c r="ET113" s="2727"/>
      <c r="EU113" s="2728"/>
      <c r="EV113" s="390"/>
      <c r="EW113" s="390"/>
      <c r="EX113" s="390"/>
      <c r="EY113" s="390"/>
      <c r="EZ113" s="390"/>
      <c r="FA113" s="390"/>
      <c r="FB113" s="390"/>
      <c r="FC113" s="390"/>
      <c r="FD113" s="390"/>
      <c r="FE113" s="390"/>
      <c r="FF113" s="390"/>
      <c r="FG113" s="390"/>
      <c r="FH113" s="390"/>
      <c r="FI113" s="390"/>
      <c r="FJ113" s="390"/>
      <c r="FK113" s="390"/>
      <c r="FL113" s="390"/>
      <c r="FX113" s="877"/>
      <c r="FY113" s="877"/>
      <c r="FZ113" s="877"/>
      <c r="GA113" s="877"/>
      <c r="GB113" s="877"/>
      <c r="GC113" s="877"/>
      <c r="GD113" s="877"/>
      <c r="GE113" s="877"/>
      <c r="GF113" s="877"/>
      <c r="GG113" s="877"/>
      <c r="GH113" s="877"/>
      <c r="GI113" s="877"/>
      <c r="GJ113" s="389"/>
      <c r="GK113" s="389"/>
      <c r="GL113" s="389"/>
      <c r="GN113"/>
      <c r="GO113"/>
      <c r="GP113"/>
      <c r="GQ113"/>
      <c r="GR113"/>
      <c r="GS113"/>
    </row>
    <row r="114" spans="1:201" s="399" customFormat="1" ht="10.5" customHeight="1">
      <c r="A114" s="387" t="s">
        <v>537</v>
      </c>
      <c r="D114" s="400"/>
      <c r="E114" s="400"/>
      <c r="F114" s="400"/>
      <c r="G114" s="400"/>
      <c r="H114" s="400"/>
      <c r="I114" s="400"/>
      <c r="J114" s="400"/>
      <c r="K114" s="400"/>
      <c r="L114" s="400"/>
      <c r="M114" s="400"/>
      <c r="N114" s="400"/>
      <c r="O114" s="400"/>
      <c r="P114" s="400"/>
      <c r="Q114" s="400"/>
      <c r="R114" s="400"/>
      <c r="S114" s="400"/>
      <c r="T114" s="400"/>
      <c r="U114" s="400"/>
      <c r="V114" s="400"/>
      <c r="W114" s="400"/>
      <c r="X114" s="400"/>
      <c r="Y114" s="400"/>
      <c r="Z114" s="400"/>
      <c r="AA114" s="400"/>
      <c r="AB114" s="400"/>
      <c r="AC114" s="400"/>
      <c r="AD114" s="400"/>
      <c r="AE114" s="400"/>
      <c r="AF114" s="400"/>
      <c r="AG114" s="400"/>
      <c r="AH114" s="400"/>
      <c r="AI114" s="400"/>
      <c r="AJ114" s="400"/>
      <c r="AK114" s="400"/>
      <c r="AL114" s="400"/>
      <c r="AM114" s="400"/>
      <c r="AN114" s="400"/>
      <c r="AO114" s="400"/>
      <c r="AP114" s="400"/>
      <c r="AQ114" s="400"/>
      <c r="AR114" s="400"/>
      <c r="AS114" s="400"/>
      <c r="AT114" s="400"/>
      <c r="AU114" s="400"/>
      <c r="AV114" s="400"/>
      <c r="AW114" s="400"/>
      <c r="AX114" s="400"/>
      <c r="AY114" s="400"/>
      <c r="AZ114" s="400"/>
      <c r="BA114" s="400"/>
      <c r="BB114" s="400"/>
      <c r="BC114" s="400"/>
      <c r="BD114" s="400"/>
      <c r="BE114" s="400"/>
      <c r="BF114" s="400"/>
      <c r="BG114" s="400"/>
      <c r="BH114" s="400"/>
      <c r="BI114" s="400"/>
      <c r="BJ114" s="400"/>
      <c r="BK114" s="400"/>
      <c r="BL114" s="400"/>
      <c r="BM114" s="400"/>
      <c r="BN114" s="400"/>
      <c r="BO114" s="400"/>
      <c r="BP114" s="400"/>
      <c r="BQ114" s="400"/>
      <c r="BR114" s="400"/>
      <c r="BS114" s="400"/>
      <c r="BT114" s="400"/>
      <c r="BU114" s="400"/>
      <c r="BV114" s="400"/>
      <c r="BW114" s="400"/>
      <c r="BX114" s="400"/>
      <c r="BY114" s="400"/>
      <c r="BZ114" s="400"/>
      <c r="CA114" s="400"/>
      <c r="CB114" s="400"/>
      <c r="CC114" s="400"/>
      <c r="CD114" s="400"/>
      <c r="CE114" s="400"/>
      <c r="CF114" s="400"/>
      <c r="CG114" s="400"/>
      <c r="CH114" s="400"/>
      <c r="CI114" s="400"/>
      <c r="CJ114" s="400"/>
      <c r="CK114" s="404"/>
      <c r="CL114" s="404"/>
      <c r="CM114" s="404"/>
      <c r="CN114" s="404"/>
      <c r="CO114" s="404"/>
      <c r="CP114" s="404"/>
      <c r="CQ114" s="404"/>
      <c r="CR114" s="404"/>
      <c r="CS114" s="404"/>
      <c r="CT114" s="404"/>
      <c r="CU114" s="404"/>
      <c r="CV114" s="404"/>
      <c r="CW114" s="404"/>
      <c r="CX114" s="404"/>
      <c r="CY114" s="404"/>
      <c r="CZ114" s="404"/>
      <c r="DA114" s="404"/>
      <c r="DB114" s="404"/>
      <c r="DC114" s="423">
        <v>14375</v>
      </c>
      <c r="DD114" s="424">
        <v>59666.92</v>
      </c>
      <c r="DE114" s="423">
        <v>12312.57</v>
      </c>
      <c r="DF114" s="423">
        <v>17912.939999999999</v>
      </c>
      <c r="DG114" s="423">
        <v>14390.65</v>
      </c>
      <c r="DH114" s="423" t="e">
        <f>#REF!</f>
        <v>#REF!</v>
      </c>
      <c r="DI114" s="424"/>
      <c r="DJ114" s="423"/>
      <c r="DK114" s="423"/>
      <c r="DL114" s="423"/>
      <c r="DM114" s="423"/>
      <c r="DN114" s="424"/>
      <c r="DO114" s="423"/>
      <c r="DP114" s="423"/>
      <c r="DQ114" s="423"/>
      <c r="DR114" s="423"/>
      <c r="DS114" s="424"/>
      <c r="DT114" s="423"/>
      <c r="DU114" s="423"/>
      <c r="DV114" s="423"/>
      <c r="DW114" s="423"/>
      <c r="DX114" s="424"/>
      <c r="DY114" s="423"/>
      <c r="DZ114" s="423"/>
      <c r="EA114" s="423"/>
      <c r="EB114" s="423"/>
      <c r="EC114" s="424"/>
      <c r="ED114" s="423"/>
      <c r="EE114" s="1226" t="str">
        <f>_xll.ThomsonONEAddinShim.SpreadsheetFormulas.TF("MSFT-US","TF.ES.SALES.Mean(period=2FQ2015,scale=6)","")</f>
        <v xml:space="preserve">Manual Calculation                                        </v>
      </c>
      <c r="EF114" s="1226" t="str">
        <f>_xll.ThomsonONEAddinShim.SpreadsheetFormulas.TF("MSFT-US","TF.ES.SALES.Mean(period=3FQ2015,scale=6)","")</f>
        <v xml:space="preserve">Manual Calculation                                        </v>
      </c>
      <c r="EG114" s="1226" t="str">
        <f>_xll.ThomsonONEAddinShim.SpreadsheetFormulas.TF("MSFT-US","TF.ES.SALES.Mean(period=4FQ2015,scale=6)","")</f>
        <v xml:space="preserve">Manual Calculation                                        </v>
      </c>
      <c r="EH114" s="1227" t="str">
        <f>_xll.ThomsonONEAddinShim.SpreadsheetFormulas.TF("MSFT-US","TF.ES.SALES.Mean(period=FY2015,scale=6)","")</f>
        <v xml:space="preserve">$93,478                                          </v>
      </c>
      <c r="EI114" s="2743" t="str">
        <f>_xll.ThomsonONEAddinShim.SpreadsheetFormulas.TF("MSFT-US","TF.ES.SALES.Mean(period=1FQ2016,scale=6)","")</f>
        <v xml:space="preserve">Manual Calculation                                        </v>
      </c>
      <c r="EJ114" s="2744" t="str">
        <f>_xll.ThomsonONEAddinShim.SpreadsheetFormulas.TF("MSFT-US","TF.ES.SALES.Mean(period=2FQ2016,scale=6)","")</f>
        <v xml:space="preserve">Manual Calculation                                        </v>
      </c>
      <c r="EK114" s="2744" t="str">
        <f>_xll.ThomsonONEAddinShim.SpreadsheetFormulas.TF("MSFT-US","TF.ES.SALES.Mean(period=3FQ2016,scale=6)","")</f>
        <v xml:space="preserve">Manual Calculation                                        </v>
      </c>
      <c r="EL114" s="2744" t="str">
        <f>_xll.ThomsonONEAddinShim.SpreadsheetFormulas.TF("MSFT-US","TF.ES.SALES.Mean(period=4FQ2016,scale=6)","")</f>
        <v xml:space="preserve">Manual Calculation                                        </v>
      </c>
      <c r="EM114" s="2745" t="str">
        <f>_xll.ThomsonONEAddinShim.SpreadsheetFormulas.TF("MSFT-US","TF.ES.SALES.Mean(period=FY2016,scale=6)","")</f>
        <v xml:space="preserve">$91,525                                          </v>
      </c>
      <c r="EN114" s="2743"/>
      <c r="EO114" s="2744"/>
      <c r="EP114" s="2744"/>
      <c r="EQ114" s="2743"/>
      <c r="ER114" s="2745" t="str">
        <f>_xll.ThomsonONEAddinShim.SpreadsheetFormulas.TF("MSFT-US","TF.ES.SALES.Mean(period=FY2017,scale=6)","")</f>
        <v xml:space="preserve">$96,239                                          </v>
      </c>
      <c r="ES114" s="423"/>
      <c r="ET114" s="2744"/>
      <c r="EU114" s="2744"/>
      <c r="EV114" s="423"/>
      <c r="EW114" s="424"/>
      <c r="EX114" s="423"/>
      <c r="EY114" s="423"/>
      <c r="EZ114" s="423"/>
      <c r="FA114" s="423"/>
      <c r="FB114" s="424"/>
      <c r="FC114" s="423"/>
      <c r="FD114" s="423"/>
      <c r="FE114" s="423"/>
      <c r="FF114" s="423"/>
      <c r="FG114" s="424"/>
      <c r="FH114" s="423"/>
      <c r="FI114" s="423"/>
      <c r="FJ114" s="423"/>
      <c r="FK114" s="423"/>
      <c r="FL114" s="424"/>
      <c r="FM114" s="423"/>
      <c r="FX114" s="879"/>
      <c r="FY114" s="879"/>
      <c r="FZ114" s="879"/>
      <c r="GA114" s="879"/>
      <c r="GB114" s="879"/>
      <c r="GC114" s="879"/>
      <c r="GD114" s="879"/>
      <c r="GE114" s="879"/>
      <c r="GF114" s="879"/>
      <c r="GG114" s="879"/>
      <c r="GH114" s="879"/>
      <c r="GI114" s="879"/>
      <c r="GN114"/>
      <c r="GO114"/>
      <c r="GP114"/>
      <c r="GQ114"/>
      <c r="GR114"/>
      <c r="GS114"/>
    </row>
    <row r="115" spans="1:201" s="389" customFormat="1" ht="10.5" customHeight="1">
      <c r="A115" s="253" t="s">
        <v>529</v>
      </c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60"/>
      <c r="Q115" s="360"/>
      <c r="R115" s="360"/>
      <c r="S115" s="360"/>
      <c r="T115" s="360"/>
      <c r="U115" s="360"/>
      <c r="V115" s="360"/>
      <c r="W115" s="360"/>
      <c r="X115" s="360"/>
      <c r="Y115" s="360"/>
      <c r="Z115" s="360"/>
      <c r="AA115" s="360"/>
      <c r="AB115" s="360"/>
      <c r="AC115" s="360"/>
      <c r="AD115" s="360"/>
      <c r="AE115" s="360"/>
      <c r="AF115" s="360"/>
      <c r="AG115" s="360"/>
      <c r="AH115" s="360"/>
      <c r="AI115" s="360"/>
      <c r="AJ115" s="360"/>
      <c r="AK115" s="360"/>
      <c r="AL115" s="360"/>
      <c r="AM115" s="360"/>
      <c r="AN115" s="360"/>
      <c r="AO115" s="360"/>
      <c r="AP115" s="360"/>
      <c r="AQ115" s="360"/>
      <c r="AR115" s="360"/>
      <c r="AS115" s="360"/>
      <c r="AT115" s="360"/>
      <c r="AU115" s="360"/>
      <c r="AV115" s="360"/>
      <c r="AW115" s="360"/>
      <c r="AX115" s="360"/>
      <c r="AY115" s="360"/>
      <c r="AZ115" s="360"/>
      <c r="BA115" s="360"/>
      <c r="BB115" s="360"/>
      <c r="BC115" s="360"/>
      <c r="BD115" s="360"/>
      <c r="BE115" s="360"/>
      <c r="BF115" s="360"/>
      <c r="BG115" s="360"/>
      <c r="BH115" s="360"/>
      <c r="BI115" s="360"/>
      <c r="BJ115" s="360"/>
      <c r="BK115" s="360"/>
      <c r="BL115" s="360"/>
      <c r="BM115" s="360"/>
      <c r="BN115" s="360"/>
      <c r="BO115" s="360"/>
      <c r="BP115" s="360"/>
      <c r="BQ115" s="360"/>
      <c r="BR115" s="360"/>
      <c r="BS115" s="360"/>
      <c r="BT115" s="360"/>
      <c r="BU115" s="360"/>
      <c r="BV115" s="360"/>
      <c r="BW115" s="360"/>
      <c r="BX115" s="360"/>
      <c r="BY115" s="360"/>
      <c r="BZ115" s="360"/>
      <c r="CA115" s="360"/>
      <c r="CB115" s="360"/>
      <c r="CC115" s="360"/>
      <c r="CD115" s="360"/>
      <c r="CE115" s="360"/>
      <c r="CF115" s="360"/>
      <c r="CG115" s="360"/>
      <c r="CH115" s="360"/>
      <c r="CI115" s="360"/>
      <c r="CJ115" s="360"/>
      <c r="CK115" s="258"/>
      <c r="CL115" s="258"/>
      <c r="CM115" s="258"/>
      <c r="CN115" s="258"/>
      <c r="CO115" s="258"/>
      <c r="CP115" s="258"/>
      <c r="CQ115" s="258"/>
      <c r="CR115" s="258"/>
      <c r="CS115" s="258"/>
      <c r="CT115" s="258"/>
      <c r="CU115" s="258"/>
      <c r="CV115" s="258"/>
      <c r="CW115" s="258"/>
      <c r="CX115" s="258"/>
      <c r="CY115" s="258"/>
      <c r="CZ115" s="258"/>
      <c r="DA115" s="258"/>
      <c r="DB115" s="258"/>
      <c r="DC115" s="371">
        <v>4384.58</v>
      </c>
      <c r="DD115" s="372">
        <v>21044.880000000001</v>
      </c>
      <c r="DE115" s="371">
        <v>3681.14</v>
      </c>
      <c r="DF115" s="371">
        <v>6852.96</v>
      </c>
      <c r="DG115" s="371">
        <v>4734.05</v>
      </c>
      <c r="DH115" s="371" t="e">
        <f>#REF!</f>
        <v>#REF!</v>
      </c>
      <c r="DI115" s="372"/>
      <c r="DJ115" s="371"/>
      <c r="DK115" s="371"/>
      <c r="DL115" s="371"/>
      <c r="DM115" s="371"/>
      <c r="DN115" s="372"/>
      <c r="DO115" s="371"/>
      <c r="DP115" s="371"/>
      <c r="DQ115" s="371"/>
      <c r="DR115" s="371"/>
      <c r="DS115" s="372"/>
      <c r="DT115" s="371"/>
      <c r="DU115" s="371"/>
      <c r="DV115" s="371"/>
      <c r="DW115" s="371"/>
      <c r="DX115" s="372"/>
      <c r="DY115" s="371"/>
      <c r="DZ115" s="371"/>
      <c r="EA115" s="371"/>
      <c r="EB115" s="371"/>
      <c r="EC115" s="372"/>
      <c r="ED115" s="371"/>
      <c r="EE115" s="1228" t="str">
        <f>_xll.ThomsonONEAddinShim.SpreadsheetFormulas.TF("MSFT-US","TF.ES.EBIT.Mean(period=2FQ2015,scale=6)","")</f>
        <v xml:space="preserve">Manual Calculation                                        </v>
      </c>
      <c r="EF115" s="1228" t="str">
        <f>_xll.ThomsonONEAddinShim.SpreadsheetFormulas.TF("MSFT-US","TF.ES.EBIT.Mean(period=3FQ2015,scale=6)","")</f>
        <v xml:space="preserve">Manual Calculation                                        </v>
      </c>
      <c r="EG115" s="1228" t="str">
        <f>_xll.ThomsonONEAddinShim.SpreadsheetFormulas.TF("MSFT-US","TF.ES.EBIT.Mean(period=4FQ2015,scale=6)","")</f>
        <v xml:space="preserve">Manual Calculation                                        </v>
      </c>
      <c r="EH115" s="1229" t="str">
        <f>_xll.ThomsonONEAddinShim.SpreadsheetFormulas.TF("MSFT-US","TF.ES.EBIT.Mean(period=FY2015,scale=6)","")</f>
        <v xml:space="preserve">$26,362                                          </v>
      </c>
      <c r="EI115" s="2717" t="str">
        <f>_xll.ThomsonONEAddinShim.SpreadsheetFormulas.TF("MSFT-US","TF.ES.EBIT.Mean(period=1FQ2016,scale=6)","")</f>
        <v xml:space="preserve">Manual Calculation                                        </v>
      </c>
      <c r="EJ115" s="2746" t="str">
        <f>_xll.ThomsonONEAddinShim.SpreadsheetFormulas.TF("MSFT-US","TF.ES.EBIT.Mean(period=2FQ2016,scale=6)","")</f>
        <v xml:space="preserve">Manual Calculation                                        </v>
      </c>
      <c r="EK115" s="2746" t="str">
        <f>_xll.ThomsonONEAddinShim.SpreadsheetFormulas.TF("MSFT-US","TF.ES.EBIT.Mean(period=3FQ2016,scale=6)","")</f>
        <v xml:space="preserve">Manual Calculation                                        </v>
      </c>
      <c r="EL115" s="2746" t="str">
        <f>_xll.ThomsonONEAddinShim.SpreadsheetFormulas.TF("MSFT-US","TF.ES.EBIT.Mean(period=4FQ2016,scale=6)","")</f>
        <v xml:space="preserve">Manual Calculation                                        </v>
      </c>
      <c r="EM115" s="2747" t="str">
        <f>_xll.ThomsonONEAddinShim.SpreadsheetFormulas.TF("MSFT-US","TF.ES.EBIT.Mean(period=FY2016,scale=6)","")</f>
        <v xml:space="preserve">$27,946                                          </v>
      </c>
      <c r="EN115" s="2717"/>
      <c r="EO115" s="2746"/>
      <c r="EP115" s="2746"/>
      <c r="EQ115" s="2717"/>
      <c r="ER115" s="2747" t="str">
        <f>_xll.ThomsonONEAddinShim.SpreadsheetFormulas.TF("MSFT-US","TF.ES.EBIT.Mean(period=FY2017,scale=6)","")</f>
        <v xml:space="preserve">$29,180                                          </v>
      </c>
      <c r="ES115" s="371"/>
      <c r="ET115" s="2746"/>
      <c r="EU115" s="2746"/>
      <c r="EV115" s="371"/>
      <c r="EW115" s="372"/>
      <c r="EX115" s="371"/>
      <c r="EY115" s="371"/>
      <c r="EZ115" s="371"/>
      <c r="FA115" s="371"/>
      <c r="FB115" s="372"/>
      <c r="FC115" s="371"/>
      <c r="FD115" s="371"/>
      <c r="FE115" s="371"/>
      <c r="FF115" s="371"/>
      <c r="FG115" s="372"/>
      <c r="FH115" s="371"/>
      <c r="FI115" s="371"/>
      <c r="FJ115" s="371"/>
      <c r="FK115" s="371"/>
      <c r="FL115" s="372"/>
      <c r="FM115" s="371"/>
      <c r="FX115" s="877"/>
      <c r="FY115" s="877"/>
      <c r="FZ115" s="877"/>
      <c r="GA115" s="877"/>
      <c r="GB115" s="877"/>
      <c r="GC115" s="877"/>
      <c r="GD115" s="877"/>
      <c r="GE115" s="877"/>
      <c r="GF115" s="877"/>
      <c r="GG115" s="877"/>
      <c r="GH115" s="877"/>
      <c r="GI115" s="877"/>
      <c r="GN115"/>
      <c r="GO115"/>
      <c r="GP115"/>
      <c r="GQ115"/>
      <c r="GR115"/>
      <c r="GS115"/>
    </row>
    <row r="116" spans="1:201" s="409" customFormat="1" ht="10.5" customHeight="1">
      <c r="A116" s="287" t="s">
        <v>348</v>
      </c>
      <c r="D116" s="394"/>
      <c r="E116" s="394"/>
      <c r="F116" s="394"/>
      <c r="G116" s="394"/>
      <c r="H116" s="394"/>
      <c r="I116" s="394"/>
      <c r="J116" s="394"/>
      <c r="K116" s="394"/>
      <c r="L116" s="394"/>
      <c r="M116" s="394"/>
      <c r="N116" s="394"/>
      <c r="O116" s="394"/>
      <c r="P116" s="394"/>
      <c r="Q116" s="394"/>
      <c r="R116" s="394"/>
      <c r="S116" s="394"/>
      <c r="T116" s="394"/>
      <c r="U116" s="394"/>
      <c r="V116" s="394"/>
      <c r="W116" s="394"/>
      <c r="X116" s="394"/>
      <c r="Y116" s="394"/>
      <c r="Z116" s="394"/>
      <c r="AA116" s="394"/>
      <c r="AB116" s="394"/>
      <c r="AC116" s="394"/>
      <c r="AD116" s="394"/>
      <c r="AE116" s="394"/>
      <c r="AF116" s="394"/>
      <c r="AG116" s="394"/>
      <c r="AH116" s="394"/>
      <c r="AI116" s="394"/>
      <c r="AJ116" s="394"/>
      <c r="AK116" s="394"/>
      <c r="AL116" s="394"/>
      <c r="AM116" s="394"/>
      <c r="AN116" s="394"/>
      <c r="AO116" s="394"/>
      <c r="AP116" s="394"/>
      <c r="AQ116" s="394"/>
      <c r="AR116" s="394"/>
      <c r="AS116" s="394"/>
      <c r="AT116" s="394"/>
      <c r="AU116" s="394"/>
      <c r="AV116" s="394"/>
      <c r="AW116" s="394"/>
      <c r="AX116" s="394"/>
      <c r="AY116" s="394"/>
      <c r="AZ116" s="394"/>
      <c r="BA116" s="394"/>
      <c r="BB116" s="394"/>
      <c r="BC116" s="394"/>
      <c r="BD116" s="394"/>
      <c r="BE116" s="394"/>
      <c r="BF116" s="394"/>
      <c r="BG116" s="394"/>
      <c r="BH116" s="394"/>
      <c r="BI116" s="394"/>
      <c r="BJ116" s="394"/>
      <c r="BK116" s="394"/>
      <c r="BL116" s="394"/>
      <c r="BM116" s="394"/>
      <c r="BN116" s="394"/>
      <c r="BO116" s="394"/>
      <c r="BP116" s="394"/>
      <c r="BQ116" s="394"/>
      <c r="BR116" s="394"/>
      <c r="BS116" s="394"/>
      <c r="BT116" s="394"/>
      <c r="BU116" s="394"/>
      <c r="BV116" s="394"/>
      <c r="BW116" s="394"/>
      <c r="BX116" s="394"/>
      <c r="BY116" s="394"/>
      <c r="BZ116" s="394"/>
      <c r="CA116" s="394"/>
      <c r="CB116" s="394"/>
      <c r="CC116" s="394"/>
      <c r="CD116" s="394"/>
      <c r="CE116" s="394"/>
      <c r="CF116" s="394"/>
      <c r="CG116" s="394"/>
      <c r="CH116" s="394"/>
      <c r="CI116" s="394"/>
      <c r="CJ116" s="394"/>
      <c r="CK116" s="394"/>
      <c r="CL116" s="394"/>
      <c r="CM116" s="394"/>
      <c r="CN116" s="394"/>
      <c r="CO116" s="394"/>
      <c r="CP116" s="394"/>
      <c r="CQ116" s="394"/>
      <c r="CR116" s="394"/>
      <c r="CS116" s="394"/>
      <c r="CT116" s="394"/>
      <c r="CU116" s="394"/>
      <c r="CV116" s="394"/>
      <c r="CW116" s="394"/>
      <c r="CX116" s="394"/>
      <c r="CY116" s="394"/>
      <c r="CZ116" s="394"/>
      <c r="DA116" s="394"/>
      <c r="DB116" s="394"/>
      <c r="DC116" s="425">
        <v>0.35899999999999999</v>
      </c>
      <c r="DD116" s="426">
        <v>1.6950000000000001</v>
      </c>
      <c r="DE116" s="425">
        <v>0.318</v>
      </c>
      <c r="DF116" s="425">
        <v>0.59299999999999997</v>
      </c>
      <c r="DG116" s="425">
        <v>0.42099999999999999</v>
      </c>
      <c r="DH116" s="425" t="e">
        <f>#REF!</f>
        <v>#REF!</v>
      </c>
      <c r="DI116" s="426"/>
      <c r="DJ116" s="425"/>
      <c r="DK116" s="425"/>
      <c r="DL116" s="425"/>
      <c r="DM116" s="425"/>
      <c r="DN116" s="426"/>
      <c r="DO116" s="425"/>
      <c r="DP116" s="425"/>
      <c r="DQ116" s="425"/>
      <c r="DR116" s="425"/>
      <c r="DS116" s="426"/>
      <c r="DT116" s="425"/>
      <c r="DU116" s="425"/>
      <c r="DV116" s="425"/>
      <c r="DW116" s="425"/>
      <c r="DX116" s="426"/>
      <c r="DY116" s="425"/>
      <c r="DZ116" s="425"/>
      <c r="EA116" s="425"/>
      <c r="EB116" s="425"/>
      <c r="EC116" s="426"/>
      <c r="ED116" s="425"/>
      <c r="EE116" s="1230" t="str">
        <f>_xll.ThomsonONEAddinShim.SpreadsheetFormulas.TF("MSFT-US","TF.ES.EPS.Mean(period=2FQ2015)","")</f>
        <v xml:space="preserve">Manual Calculation                                        </v>
      </c>
      <c r="EF116" s="1230" t="str">
        <f>_xll.ThomsonONEAddinShim.SpreadsheetFormulas.TF("MSFT-US","TF.ES.EPS.Mean(period=3FQ2015)","")</f>
        <v xml:space="preserve">Manual Calculation                                        </v>
      </c>
      <c r="EG116" s="1230" t="str">
        <f>_xll.ThomsonONEAddinShim.SpreadsheetFormulas.TF("MSFT-US","TF.ES.EPS.Mean(period=4FQ2015)","")</f>
        <v xml:space="preserve">Manual Calculation                                        </v>
      </c>
      <c r="EH116" s="1231" t="str">
        <f>_xll.ThomsonONEAddinShim.SpreadsheetFormulas.TF("MSFT-US","TF.ES.EPS.Mean(period=FY2015)","")</f>
        <v xml:space="preserve">$2.42                                          </v>
      </c>
      <c r="EI116" s="2748" t="str">
        <f>_xll.ThomsonONEAddinShim.SpreadsheetFormulas.TF("MSFT-US","TF.ES.EPS.Mean(period=1FQ2016)","")</f>
        <v xml:space="preserve">Manual Calculation                                        </v>
      </c>
      <c r="EJ116" s="2749" t="str">
        <f>_xll.ThomsonONEAddinShim.SpreadsheetFormulas.TF("MSFT-US","TF.ES.EPS.Mean(period=2FQ2016)","")</f>
        <v xml:space="preserve">Manual Calculation                                        </v>
      </c>
      <c r="EK116" s="2749" t="str">
        <f>_xll.ThomsonONEAddinShim.SpreadsheetFormulas.TF("MSFT-US","TF.ES.EPS.Mean(period=3FQ2016)","")</f>
        <v xml:space="preserve">Manual Calculation                                        </v>
      </c>
      <c r="EL116" s="2749" t="str">
        <f>_xll.ThomsonONEAddinShim.SpreadsheetFormulas.TF("MSFT-US","TF.ES.EPS.Mean(period=4FQ2016)","")</f>
        <v xml:space="preserve">Manual Calculation                                        </v>
      </c>
      <c r="EM116" s="2750" t="str">
        <f>_xll.ThomsonONEAddinShim.SpreadsheetFormulas.TF("MSFT-US","TF.ES.EPS.Mean(period=FY2016)","")</f>
        <v xml:space="preserve">$2.67                                          </v>
      </c>
      <c r="EN116" s="2748"/>
      <c r="EO116" s="2749"/>
      <c r="EP116" s="2749"/>
      <c r="EQ116" s="2748"/>
      <c r="ER116" s="2750" t="str">
        <f>_xll.ThomsonONEAddinShim.SpreadsheetFormulas.TF("MSFT-US","TF.ES.EPS.Mean(period=FY2017)","")</f>
        <v xml:space="preserve">$3.03                                          </v>
      </c>
      <c r="ES116" s="425"/>
      <c r="ET116" s="2749"/>
      <c r="EU116" s="2749"/>
      <c r="EV116" s="425"/>
      <c r="EW116" s="426"/>
      <c r="EX116" s="425"/>
      <c r="EY116" s="425"/>
      <c r="EZ116" s="425"/>
      <c r="FA116" s="425"/>
      <c r="FB116" s="426"/>
      <c r="FC116" s="425"/>
      <c r="FD116" s="425"/>
      <c r="FE116" s="425"/>
      <c r="FF116" s="425"/>
      <c r="FG116" s="426"/>
      <c r="FH116" s="425"/>
      <c r="FI116" s="425"/>
      <c r="FJ116" s="425"/>
      <c r="FK116" s="425"/>
      <c r="FL116" s="426"/>
      <c r="FM116" s="425"/>
      <c r="FX116" s="880"/>
      <c r="FY116" s="880"/>
      <c r="FZ116" s="880"/>
      <c r="GA116" s="880"/>
      <c r="GB116" s="880"/>
      <c r="GC116" s="880"/>
      <c r="GD116" s="880"/>
      <c r="GE116" s="880"/>
      <c r="GF116" s="880"/>
      <c r="GG116" s="880"/>
      <c r="GH116" s="880"/>
      <c r="GI116" s="880"/>
      <c r="GN116"/>
      <c r="GO116"/>
      <c r="GP116"/>
      <c r="GQ116"/>
      <c r="GR116"/>
      <c r="GS116"/>
    </row>
    <row r="117" spans="1:201" s="392" customFormat="1" ht="10.5" customHeight="1">
      <c r="A117" s="388"/>
      <c r="B117" s="389"/>
      <c r="C117" s="389"/>
      <c r="D117" s="390"/>
      <c r="E117" s="390"/>
      <c r="F117" s="390"/>
      <c r="G117" s="390"/>
      <c r="H117" s="390"/>
      <c r="I117" s="390"/>
      <c r="J117" s="390"/>
      <c r="K117" s="390"/>
      <c r="L117" s="390"/>
      <c r="M117" s="390"/>
      <c r="N117" s="390"/>
      <c r="O117" s="390"/>
      <c r="P117" s="390"/>
      <c r="Q117" s="390"/>
      <c r="R117" s="390"/>
      <c r="S117" s="390"/>
      <c r="T117" s="390"/>
      <c r="U117" s="390"/>
      <c r="V117" s="390"/>
      <c r="W117" s="390"/>
      <c r="X117" s="390"/>
      <c r="Y117" s="390"/>
      <c r="Z117" s="390"/>
      <c r="AA117" s="390"/>
      <c r="AB117" s="390"/>
      <c r="AC117" s="390"/>
      <c r="AD117" s="390"/>
      <c r="AE117" s="390"/>
      <c r="AF117" s="390"/>
      <c r="AG117" s="390"/>
      <c r="AH117" s="390"/>
      <c r="AI117" s="390"/>
      <c r="AJ117" s="390"/>
      <c r="AK117" s="390"/>
      <c r="AL117" s="390"/>
      <c r="AM117" s="390"/>
      <c r="AN117" s="390"/>
      <c r="AO117" s="390"/>
      <c r="AP117" s="390"/>
      <c r="AQ117" s="390"/>
      <c r="AR117" s="390"/>
      <c r="AS117" s="390"/>
      <c r="AT117" s="390"/>
      <c r="AU117" s="390"/>
      <c r="AV117" s="390"/>
      <c r="AW117" s="390"/>
      <c r="AX117" s="390"/>
      <c r="AY117" s="390"/>
      <c r="AZ117" s="390"/>
      <c r="BA117" s="390"/>
      <c r="BB117" s="390"/>
      <c r="BC117" s="390"/>
      <c r="BD117" s="390"/>
      <c r="BE117" s="390"/>
      <c r="BF117" s="390"/>
      <c r="BG117" s="390"/>
      <c r="BH117" s="390"/>
      <c r="BI117" s="390"/>
      <c r="BJ117" s="390"/>
      <c r="BK117" s="390"/>
      <c r="BL117" s="390"/>
      <c r="BM117" s="390"/>
      <c r="BN117" s="390"/>
      <c r="BO117" s="390"/>
      <c r="BP117" s="390"/>
      <c r="BQ117" s="390"/>
      <c r="BR117" s="390"/>
      <c r="BS117" s="390"/>
      <c r="BT117" s="390"/>
      <c r="BU117" s="390"/>
      <c r="BV117" s="390"/>
      <c r="BW117" s="390"/>
      <c r="BX117" s="390"/>
      <c r="BY117" s="390"/>
      <c r="BZ117" s="390"/>
      <c r="CA117" s="390"/>
      <c r="CB117" s="390"/>
      <c r="CC117" s="390"/>
      <c r="CD117" s="390"/>
      <c r="CE117" s="390"/>
      <c r="CF117" s="390"/>
      <c r="CG117" s="390"/>
      <c r="CH117" s="390"/>
      <c r="CI117" s="390"/>
      <c r="CJ117" s="390"/>
      <c r="CK117" s="390"/>
      <c r="CL117" s="390"/>
      <c r="CM117" s="390"/>
      <c r="CN117" s="390"/>
      <c r="CO117" s="390"/>
      <c r="CP117" s="390"/>
      <c r="CQ117" s="390"/>
      <c r="CR117" s="390"/>
      <c r="CS117" s="390"/>
      <c r="CT117" s="390"/>
      <c r="CU117" s="390"/>
      <c r="CV117" s="390"/>
      <c r="CW117" s="390"/>
      <c r="CX117" s="390"/>
      <c r="CY117" s="390"/>
      <c r="CZ117" s="390"/>
      <c r="DA117" s="390"/>
      <c r="DB117" s="390"/>
      <c r="DC117" s="391"/>
      <c r="DD117" s="390"/>
      <c r="DE117" s="390"/>
      <c r="DF117" s="390"/>
      <c r="DG117" s="390"/>
      <c r="DH117" s="391"/>
      <c r="DI117" s="390"/>
      <c r="DJ117" s="391"/>
      <c r="DK117" s="391"/>
      <c r="DL117" s="391"/>
      <c r="DM117" s="391"/>
      <c r="DN117" s="390"/>
      <c r="DO117" s="390"/>
      <c r="DP117" s="391"/>
      <c r="DQ117" s="391"/>
      <c r="DR117" s="391"/>
      <c r="DS117" s="391"/>
      <c r="DT117" s="390"/>
      <c r="DU117" s="391"/>
      <c r="DV117" s="391"/>
      <c r="DW117" s="391"/>
      <c r="DX117" s="391"/>
      <c r="DY117" s="390"/>
      <c r="DZ117" s="391"/>
      <c r="EA117" s="390"/>
      <c r="EB117" s="391"/>
      <c r="EC117" s="390"/>
      <c r="ED117" s="390"/>
      <c r="EE117" s="391"/>
      <c r="EF117" s="391"/>
      <c r="EG117" s="391"/>
      <c r="EH117" s="390"/>
      <c r="EI117" s="2728"/>
      <c r="EJ117" s="2727"/>
      <c r="EK117" s="2727"/>
      <c r="EL117" s="2727"/>
      <c r="EM117" s="2728"/>
      <c r="EN117" s="2728"/>
      <c r="EO117" s="2727"/>
      <c r="EP117" s="2728"/>
      <c r="EQ117" s="2728"/>
      <c r="ER117" s="2728"/>
      <c r="ES117" s="390"/>
      <c r="ET117" s="2727"/>
      <c r="EU117" s="2728"/>
      <c r="EV117" s="390"/>
      <c r="EW117" s="390"/>
      <c r="EX117" s="390"/>
      <c r="EY117" s="390"/>
      <c r="EZ117" s="390"/>
      <c r="FA117" s="390"/>
      <c r="FB117" s="390"/>
      <c r="FC117" s="390"/>
      <c r="FD117" s="390"/>
      <c r="FE117" s="390"/>
      <c r="FF117" s="390"/>
      <c r="FG117" s="390"/>
      <c r="FH117" s="390"/>
      <c r="FI117" s="390"/>
      <c r="FJ117" s="390"/>
      <c r="FK117" s="390"/>
      <c r="FL117" s="390"/>
      <c r="FX117" s="877"/>
      <c r="FY117" s="877"/>
      <c r="FZ117" s="877"/>
      <c r="GA117" s="877"/>
      <c r="GB117" s="877"/>
      <c r="GC117" s="877"/>
      <c r="GD117" s="877"/>
      <c r="GE117" s="877"/>
      <c r="GF117" s="877"/>
      <c r="GG117" s="877"/>
      <c r="GH117" s="877"/>
      <c r="GI117" s="877"/>
      <c r="GJ117" s="389"/>
      <c r="GK117" s="389"/>
      <c r="GL117" s="389"/>
      <c r="GN117"/>
      <c r="GO117"/>
      <c r="GP117"/>
      <c r="GQ117"/>
      <c r="GR117"/>
      <c r="GS117"/>
    </row>
    <row r="118" spans="1:201" s="429" customFormat="1" ht="10.5" customHeight="1">
      <c r="A118" s="407" t="s">
        <v>451</v>
      </c>
      <c r="B118" s="427"/>
      <c r="C118" s="427"/>
      <c r="D118" s="428"/>
      <c r="E118" s="428"/>
      <c r="F118" s="428"/>
      <c r="G118" s="428"/>
      <c r="H118" s="428"/>
      <c r="I118" s="428"/>
      <c r="J118" s="428"/>
      <c r="K118" s="428"/>
      <c r="L118" s="428"/>
      <c r="M118" s="428"/>
      <c r="N118" s="428"/>
      <c r="O118" s="428"/>
      <c r="P118" s="428"/>
      <c r="Q118" s="428"/>
      <c r="R118" s="428"/>
      <c r="S118" s="428"/>
      <c r="T118" s="428"/>
      <c r="U118" s="428"/>
      <c r="V118" s="428"/>
      <c r="W118" s="428"/>
      <c r="X118" s="428"/>
      <c r="Y118" s="428"/>
      <c r="Z118" s="428"/>
      <c r="AA118" s="428"/>
      <c r="AB118" s="428"/>
      <c r="AC118" s="428"/>
      <c r="AD118" s="428"/>
      <c r="AE118" s="428"/>
      <c r="AF118" s="428"/>
      <c r="AG118" s="428"/>
      <c r="AH118" s="428"/>
      <c r="AI118" s="428"/>
      <c r="AJ118" s="428"/>
      <c r="AK118" s="428"/>
      <c r="AL118" s="428"/>
      <c r="AM118" s="428"/>
      <c r="AN118" s="428"/>
      <c r="AO118" s="428"/>
      <c r="AP118" s="428"/>
      <c r="AQ118" s="428"/>
      <c r="AR118" s="428"/>
      <c r="AS118" s="428"/>
      <c r="AT118" s="428"/>
      <c r="AU118" s="428"/>
      <c r="AV118" s="428"/>
      <c r="AW118" s="428"/>
      <c r="AX118" s="428"/>
      <c r="AY118" s="428"/>
      <c r="AZ118" s="428"/>
      <c r="BA118" s="428"/>
      <c r="BB118" s="428"/>
      <c r="BC118" s="428"/>
      <c r="BD118" s="428"/>
      <c r="BE118" s="428"/>
      <c r="BF118" s="428"/>
      <c r="BG118" s="428"/>
      <c r="BH118" s="428"/>
      <c r="BI118" s="428"/>
      <c r="BJ118" s="428"/>
      <c r="BK118" s="428"/>
      <c r="BL118" s="428"/>
      <c r="BM118" s="428"/>
      <c r="BN118" s="428"/>
      <c r="BO118" s="428"/>
      <c r="BP118" s="428"/>
      <c r="BQ118" s="428"/>
      <c r="BR118" s="428"/>
      <c r="BS118" s="428"/>
      <c r="BT118" s="428"/>
      <c r="BU118" s="428"/>
      <c r="BV118" s="428"/>
      <c r="BW118" s="428"/>
      <c r="BX118" s="428"/>
      <c r="BY118" s="428"/>
      <c r="BZ118" s="428"/>
      <c r="CA118" s="277">
        <f>CA54-CA78</f>
        <v>1287</v>
      </c>
      <c r="CB118" s="277">
        <f t="shared" ref="CB118:DI118" si="560">CB54-CB78</f>
        <v>2218.2600000000002</v>
      </c>
      <c r="CC118" s="277">
        <f t="shared" si="560"/>
        <v>2233</v>
      </c>
      <c r="CD118" s="277">
        <f t="shared" si="560"/>
        <v>1430</v>
      </c>
      <c r="CE118" s="277">
        <f t="shared" si="560"/>
        <v>7168.26</v>
      </c>
      <c r="CF118" s="277">
        <f t="shared" si="560"/>
        <v>1599</v>
      </c>
      <c r="CG118" s="277">
        <f t="shared" si="560"/>
        <v>1706</v>
      </c>
      <c r="CH118" s="277">
        <f t="shared" si="560"/>
        <v>1768.88</v>
      </c>
      <c r="CI118" s="277">
        <f t="shared" si="560"/>
        <v>2554.84</v>
      </c>
      <c r="CJ118" s="277">
        <f t="shared" si="560"/>
        <v>7628.7200000000012</v>
      </c>
      <c r="CK118" s="277">
        <f t="shared" si="560"/>
        <v>1635.06</v>
      </c>
      <c r="CL118" s="277">
        <f t="shared" si="560"/>
        <v>1700</v>
      </c>
      <c r="CM118" s="277">
        <f t="shared" si="560"/>
        <v>1584.06</v>
      </c>
      <c r="CN118" s="277">
        <f t="shared" si="560"/>
        <v>1430</v>
      </c>
      <c r="CO118" s="277">
        <f t="shared" si="560"/>
        <v>6349.119999999999</v>
      </c>
      <c r="CP118" s="277">
        <f t="shared" si="560"/>
        <v>1563</v>
      </c>
      <c r="CQ118" s="277">
        <f t="shared" si="560"/>
        <v>1179</v>
      </c>
      <c r="CR118" s="277">
        <f t="shared" si="560"/>
        <v>2435</v>
      </c>
      <c r="CS118" s="277">
        <f t="shared" si="560"/>
        <v>1249</v>
      </c>
      <c r="CT118" s="277">
        <f t="shared" si="560"/>
        <v>6426</v>
      </c>
      <c r="CU118" s="277">
        <f t="shared" si="560"/>
        <v>1927</v>
      </c>
      <c r="CV118" s="277">
        <f t="shared" si="560"/>
        <v>2113</v>
      </c>
      <c r="CW118" s="277">
        <f t="shared" si="560"/>
        <v>3198</v>
      </c>
      <c r="CX118" s="277">
        <f t="shared" si="560"/>
        <v>1671</v>
      </c>
      <c r="CY118" s="277">
        <f t="shared" si="560"/>
        <v>8909</v>
      </c>
      <c r="CZ118" s="277">
        <f t="shared" si="560"/>
        <v>1618</v>
      </c>
      <c r="DA118" s="277">
        <f t="shared" si="560"/>
        <v>1464</v>
      </c>
      <c r="DB118" s="277">
        <f t="shared" si="560"/>
        <v>1449.2627100840336</v>
      </c>
      <c r="DC118" s="277">
        <f t="shared" si="560"/>
        <v>1223.3400000000001</v>
      </c>
      <c r="DD118" s="277">
        <f t="shared" si="560"/>
        <v>5754.6027100840338</v>
      </c>
      <c r="DE118" s="277">
        <f t="shared" si="560"/>
        <v>1191</v>
      </c>
      <c r="DF118" s="277">
        <f t="shared" si="560"/>
        <v>2221</v>
      </c>
      <c r="DG118" s="277">
        <f t="shared" si="560"/>
        <v>1335</v>
      </c>
      <c r="DH118" s="277">
        <f t="shared" si="560"/>
        <v>1506</v>
      </c>
      <c r="DI118" s="277">
        <f t="shared" si="560"/>
        <v>6253</v>
      </c>
      <c r="DJ118" s="277">
        <f t="shared" ref="DJ118:DS118" si="561">DJ54-DJ78</f>
        <v>1820</v>
      </c>
      <c r="DK118" s="277">
        <f t="shared" si="561"/>
        <v>1863</v>
      </c>
      <c r="DL118" s="277">
        <f t="shared" si="561"/>
        <v>793</v>
      </c>
      <c r="DM118" s="277">
        <f t="shared" si="561"/>
        <v>445</v>
      </c>
      <c r="DN118" s="277">
        <f t="shared" si="561"/>
        <v>4921</v>
      </c>
      <c r="DO118" s="277">
        <f t="shared" si="561"/>
        <v>1568</v>
      </c>
      <c r="DP118" s="277">
        <f t="shared" si="561"/>
        <v>1615</v>
      </c>
      <c r="DQ118" s="277">
        <f t="shared" si="561"/>
        <v>1255</v>
      </c>
      <c r="DR118" s="277">
        <f t="shared" si="561"/>
        <v>851</v>
      </c>
      <c r="DS118" s="277">
        <f t="shared" si="561"/>
        <v>5289</v>
      </c>
      <c r="DT118" s="277">
        <f t="shared" ref="DT118:EC118" si="562">DT54-DT78</f>
        <v>1068</v>
      </c>
      <c r="DU118" s="277">
        <f>DU54-DU78</f>
        <v>1393</v>
      </c>
      <c r="DV118" s="277">
        <f t="shared" si="562"/>
        <v>1548</v>
      </c>
      <c r="DW118" s="277">
        <f t="shared" si="562"/>
        <v>1180</v>
      </c>
      <c r="DX118" s="277">
        <f t="shared" si="562"/>
        <v>5189</v>
      </c>
      <c r="DY118" s="277">
        <f t="shared" si="562"/>
        <v>1164</v>
      </c>
      <c r="DZ118" s="277">
        <f t="shared" si="562"/>
        <v>1320</v>
      </c>
      <c r="EA118" s="277">
        <f t="shared" si="562"/>
        <v>1297</v>
      </c>
      <c r="EB118" s="277">
        <f t="shared" si="562"/>
        <v>1965</v>
      </c>
      <c r="EC118" s="277">
        <f t="shared" si="562"/>
        <v>5746</v>
      </c>
      <c r="ED118" s="277">
        <f t="shared" ref="ED118:EM118" si="563">ED54-ED78</f>
        <v>1600</v>
      </c>
      <c r="EE118" s="277">
        <f t="shared" si="563"/>
        <v>1987</v>
      </c>
      <c r="EF118" s="277">
        <f t="shared" si="563"/>
        <v>1532</v>
      </c>
      <c r="EG118" s="277">
        <f t="shared" si="563"/>
        <v>1439</v>
      </c>
      <c r="EH118" s="277">
        <f t="shared" si="563"/>
        <v>6558</v>
      </c>
      <c r="EI118" s="2751">
        <f t="shared" si="563"/>
        <v>952.25</v>
      </c>
      <c r="EJ118" s="2751">
        <f t="shared" si="563"/>
        <v>1375.25</v>
      </c>
      <c r="EK118" s="2751">
        <f t="shared" si="563"/>
        <v>1760.4899999999998</v>
      </c>
      <c r="EL118" s="2751">
        <f t="shared" si="563"/>
        <v>1443.25</v>
      </c>
      <c r="EM118" s="2751">
        <f t="shared" si="563"/>
        <v>5531.24</v>
      </c>
      <c r="EN118" s="2751">
        <f>EN54-EN78</f>
        <v>1160</v>
      </c>
      <c r="EO118" s="2751">
        <f t="shared" ref="EO118:ER118" si="564">EO54-EO78</f>
        <v>1755</v>
      </c>
      <c r="EP118" s="2751">
        <f t="shared" si="564"/>
        <v>1608</v>
      </c>
      <c r="EQ118" s="2751">
        <f t="shared" si="564"/>
        <v>15</v>
      </c>
      <c r="ER118" s="2751">
        <f t="shared" si="564"/>
        <v>4538</v>
      </c>
      <c r="ES118" s="277">
        <f t="shared" ref="ES118:EW118" si="565">ES54-ES78</f>
        <v>1408</v>
      </c>
      <c r="ET118" s="2751">
        <f>ET54-ET78</f>
        <v>-12129</v>
      </c>
      <c r="EU118" s="2751">
        <f t="shared" ref="EU118" si="566">EU54-EU78</f>
        <v>1217</v>
      </c>
      <c r="EV118" s="277">
        <f t="shared" si="565"/>
        <v>1597.8927670360613</v>
      </c>
      <c r="EW118" s="277">
        <f t="shared" si="565"/>
        <v>-7906.1072329639392</v>
      </c>
      <c r="EX118" s="277">
        <f t="shared" ref="EX118:FG118" si="567">EX54-EX78</f>
        <v>1820.7586056942046</v>
      </c>
      <c r="EY118" s="277">
        <f t="shared" si="567"/>
        <v>2047.4647055397263</v>
      </c>
      <c r="EZ118" s="277">
        <f t="shared" si="567"/>
        <v>1961.5623811013393</v>
      </c>
      <c r="FA118" s="277">
        <f t="shared" si="567"/>
        <v>2248.462514668945</v>
      </c>
      <c r="FB118" s="277">
        <f t="shared" si="567"/>
        <v>8078.2482070042151</v>
      </c>
      <c r="FC118" s="277">
        <f t="shared" si="567"/>
        <v>2133.5073940074963</v>
      </c>
      <c r="FD118" s="277">
        <f t="shared" si="567"/>
        <v>2401.89393898666</v>
      </c>
      <c r="FE118" s="277">
        <f t="shared" si="567"/>
        <v>2360.0876963421106</v>
      </c>
      <c r="FF118" s="277">
        <f t="shared" si="567"/>
        <v>2678.3776090756155</v>
      </c>
      <c r="FG118" s="277">
        <f t="shared" si="567"/>
        <v>9573.8666384118824</v>
      </c>
      <c r="FH118" s="277">
        <f t="shared" ref="FH118:FL118" si="568">FH54-FH78</f>
        <v>2475.4986085885935</v>
      </c>
      <c r="FI118" s="277">
        <f t="shared" si="568"/>
        <v>2768.2984068942255</v>
      </c>
      <c r="FJ118" s="277">
        <f t="shared" si="568"/>
        <v>2751.9214351264682</v>
      </c>
      <c r="FK118" s="277">
        <f t="shared" si="568"/>
        <v>3097.2263157874836</v>
      </c>
      <c r="FL118" s="277">
        <f t="shared" si="568"/>
        <v>11092.944766396771</v>
      </c>
      <c r="FX118" s="881"/>
      <c r="FY118" s="881"/>
      <c r="FZ118" s="881"/>
      <c r="GA118" s="881"/>
      <c r="GB118" s="881"/>
      <c r="GC118" s="881"/>
      <c r="GD118" s="881"/>
      <c r="GE118" s="881"/>
      <c r="GF118" s="881"/>
      <c r="GG118" s="881"/>
      <c r="GH118" s="881"/>
      <c r="GI118" s="881"/>
      <c r="GJ118" s="427"/>
      <c r="GK118" s="427"/>
      <c r="GL118" s="427"/>
      <c r="GN118"/>
      <c r="GO118"/>
      <c r="GP118"/>
      <c r="GQ118"/>
      <c r="GR118"/>
      <c r="GS118"/>
    </row>
    <row r="119" spans="1:201" s="429" customFormat="1" ht="10.5" customHeight="1">
      <c r="A119" s="407" t="s">
        <v>452</v>
      </c>
      <c r="B119" s="427"/>
      <c r="C119" s="427"/>
      <c r="D119" s="428"/>
      <c r="E119" s="428"/>
      <c r="F119" s="428"/>
      <c r="G119" s="428"/>
      <c r="H119" s="428"/>
      <c r="I119" s="428"/>
      <c r="J119" s="428"/>
      <c r="K119" s="428"/>
      <c r="L119" s="428"/>
      <c r="M119" s="428"/>
      <c r="N119" s="428"/>
      <c r="O119" s="428"/>
      <c r="P119" s="428"/>
      <c r="Q119" s="428"/>
      <c r="R119" s="428"/>
      <c r="S119" s="428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8"/>
      <c r="AH119" s="428"/>
      <c r="AI119" s="428"/>
      <c r="AJ119" s="428"/>
      <c r="AK119" s="428"/>
      <c r="AL119" s="428"/>
      <c r="AM119" s="428"/>
      <c r="AN119" s="428"/>
      <c r="AO119" s="428"/>
      <c r="AP119" s="428"/>
      <c r="AQ119" s="428"/>
      <c r="AR119" s="428"/>
      <c r="AS119" s="428"/>
      <c r="AT119" s="428"/>
      <c r="AU119" s="428"/>
      <c r="AV119" s="428"/>
      <c r="AW119" s="428"/>
      <c r="AX119" s="428"/>
      <c r="AY119" s="428"/>
      <c r="AZ119" s="428"/>
      <c r="BA119" s="428"/>
      <c r="BB119" s="428"/>
      <c r="BC119" s="428"/>
      <c r="BD119" s="428"/>
      <c r="BE119" s="428"/>
      <c r="BF119" s="428"/>
      <c r="BG119" s="428"/>
      <c r="BH119" s="428"/>
      <c r="BI119" s="428"/>
      <c r="BJ119" s="428"/>
      <c r="BK119" s="428"/>
      <c r="BL119" s="428"/>
      <c r="BM119" s="428"/>
      <c r="BN119" s="428"/>
      <c r="BO119" s="428"/>
      <c r="BP119" s="428"/>
      <c r="BQ119" s="428"/>
      <c r="BR119" s="428"/>
      <c r="BS119" s="428"/>
      <c r="BT119" s="428"/>
      <c r="BU119" s="428"/>
      <c r="BV119" s="428"/>
      <c r="BW119" s="428"/>
      <c r="BX119" s="428"/>
      <c r="BY119" s="428"/>
      <c r="BZ119" s="428"/>
      <c r="CA119" s="277">
        <f>CA54</f>
        <v>1287</v>
      </c>
      <c r="CB119" s="277">
        <f t="shared" ref="CB119:DI119" si="569">CB54</f>
        <v>1490.6100000000001</v>
      </c>
      <c r="CC119" s="277">
        <f t="shared" si="569"/>
        <v>1604</v>
      </c>
      <c r="CD119" s="277">
        <f t="shared" si="569"/>
        <v>1222</v>
      </c>
      <c r="CE119" s="277">
        <f t="shared" si="569"/>
        <v>5603.6100000000006</v>
      </c>
      <c r="CF119" s="277">
        <f t="shared" si="569"/>
        <v>1422</v>
      </c>
      <c r="CG119" s="277">
        <f t="shared" si="569"/>
        <v>1706</v>
      </c>
      <c r="CH119" s="277">
        <f t="shared" si="569"/>
        <v>1515.44</v>
      </c>
      <c r="CI119" s="277">
        <f t="shared" si="569"/>
        <v>1357.92</v>
      </c>
      <c r="CJ119" s="277">
        <f t="shared" si="569"/>
        <v>6001.3600000000006</v>
      </c>
      <c r="CK119" s="277">
        <f t="shared" si="569"/>
        <v>1523.03</v>
      </c>
      <c r="CL119" s="277">
        <f t="shared" si="569"/>
        <v>1592</v>
      </c>
      <c r="CM119" s="277">
        <f t="shared" si="569"/>
        <v>1461.03</v>
      </c>
      <c r="CN119" s="277">
        <f t="shared" si="569"/>
        <v>1430</v>
      </c>
      <c r="CO119" s="277">
        <f t="shared" si="569"/>
        <v>6006.0599999999995</v>
      </c>
      <c r="CP119" s="277">
        <f t="shared" si="569"/>
        <v>1563</v>
      </c>
      <c r="CQ119" s="277">
        <f t="shared" si="569"/>
        <v>1179</v>
      </c>
      <c r="CR119" s="277">
        <f t="shared" si="569"/>
        <v>2240</v>
      </c>
      <c r="CS119" s="277">
        <f t="shared" si="569"/>
        <v>1249</v>
      </c>
      <c r="CT119" s="277">
        <f t="shared" si="569"/>
        <v>6231</v>
      </c>
      <c r="CU119" s="277">
        <f t="shared" si="569"/>
        <v>1927</v>
      </c>
      <c r="CV119" s="277">
        <f t="shared" si="569"/>
        <v>2113</v>
      </c>
      <c r="CW119" s="277">
        <f t="shared" si="569"/>
        <v>1810</v>
      </c>
      <c r="CX119" s="277">
        <f t="shared" si="569"/>
        <v>1671</v>
      </c>
      <c r="CY119" s="277">
        <f t="shared" si="569"/>
        <v>7521</v>
      </c>
      <c r="CZ119" s="277">
        <f t="shared" si="569"/>
        <v>1618</v>
      </c>
      <c r="DA119" s="277">
        <f t="shared" si="569"/>
        <v>1464</v>
      </c>
      <c r="DB119" s="277">
        <f t="shared" si="569"/>
        <v>1261.1500000000001</v>
      </c>
      <c r="DC119" s="277">
        <f t="shared" si="569"/>
        <v>1160.17</v>
      </c>
      <c r="DD119" s="277">
        <f t="shared" si="569"/>
        <v>5503.32</v>
      </c>
      <c r="DE119" s="277">
        <f t="shared" si="569"/>
        <v>1191</v>
      </c>
      <c r="DF119" s="277">
        <f t="shared" si="569"/>
        <v>2221</v>
      </c>
      <c r="DG119" s="277">
        <f t="shared" si="569"/>
        <v>1335</v>
      </c>
      <c r="DH119" s="277">
        <f t="shared" si="569"/>
        <v>1506</v>
      </c>
      <c r="DI119" s="277">
        <f t="shared" si="569"/>
        <v>6253</v>
      </c>
      <c r="DJ119" s="277">
        <f t="shared" ref="DJ119:DS119" si="570">DJ54</f>
        <v>1820</v>
      </c>
      <c r="DK119" s="277">
        <f t="shared" si="570"/>
        <v>1863</v>
      </c>
      <c r="DL119" s="277">
        <f t="shared" si="570"/>
        <v>793</v>
      </c>
      <c r="DM119" s="277">
        <f t="shared" si="570"/>
        <v>445</v>
      </c>
      <c r="DN119" s="277">
        <f t="shared" si="570"/>
        <v>4921</v>
      </c>
      <c r="DO119" s="277">
        <f t="shared" si="570"/>
        <v>1568</v>
      </c>
      <c r="DP119" s="277">
        <f t="shared" si="570"/>
        <v>1615</v>
      </c>
      <c r="DQ119" s="277">
        <f t="shared" si="570"/>
        <v>1255</v>
      </c>
      <c r="DR119" s="277">
        <f t="shared" si="570"/>
        <v>851</v>
      </c>
      <c r="DS119" s="277">
        <f t="shared" si="570"/>
        <v>5289</v>
      </c>
      <c r="DT119" s="277">
        <f t="shared" ref="DT119:EC119" si="571">DT54</f>
        <v>1068</v>
      </c>
      <c r="DU119" s="277">
        <f t="shared" si="571"/>
        <v>1393</v>
      </c>
      <c r="DV119" s="277">
        <f t="shared" si="571"/>
        <v>1548</v>
      </c>
      <c r="DW119" s="277">
        <f t="shared" si="571"/>
        <v>1180</v>
      </c>
      <c r="DX119" s="277">
        <f t="shared" si="571"/>
        <v>5189</v>
      </c>
      <c r="DY119" s="277">
        <f t="shared" si="571"/>
        <v>1164</v>
      </c>
      <c r="DZ119" s="277">
        <f t="shared" si="571"/>
        <v>1320</v>
      </c>
      <c r="EA119" s="277">
        <f t="shared" si="571"/>
        <v>1297</v>
      </c>
      <c r="EB119" s="277">
        <f t="shared" si="571"/>
        <v>1965</v>
      </c>
      <c r="EC119" s="277">
        <f t="shared" si="571"/>
        <v>5746</v>
      </c>
      <c r="ED119" s="277">
        <f t="shared" ref="ED119:EM119" si="572">ED54</f>
        <v>1600</v>
      </c>
      <c r="EE119" s="277">
        <f t="shared" si="572"/>
        <v>1987</v>
      </c>
      <c r="EF119" s="277">
        <f t="shared" si="572"/>
        <v>1532</v>
      </c>
      <c r="EG119" s="277">
        <f t="shared" si="572"/>
        <v>1439</v>
      </c>
      <c r="EH119" s="277">
        <f t="shared" si="572"/>
        <v>6558</v>
      </c>
      <c r="EI119" s="2751">
        <f t="shared" si="572"/>
        <v>952.25</v>
      </c>
      <c r="EJ119" s="2751">
        <f t="shared" si="572"/>
        <v>1375.25</v>
      </c>
      <c r="EK119" s="2751">
        <f t="shared" si="572"/>
        <v>1760.4899999999998</v>
      </c>
      <c r="EL119" s="2751">
        <f t="shared" si="572"/>
        <v>1228.25</v>
      </c>
      <c r="EM119" s="2751">
        <f t="shared" si="572"/>
        <v>5316.24</v>
      </c>
      <c r="EN119" s="2751">
        <f>EN54</f>
        <v>1160</v>
      </c>
      <c r="EO119" s="2751">
        <f t="shared" ref="EO119:ER119" si="573">EO54</f>
        <v>1755</v>
      </c>
      <c r="EP119" s="2751">
        <f t="shared" si="573"/>
        <v>1608</v>
      </c>
      <c r="EQ119" s="2751">
        <f t="shared" si="573"/>
        <v>-48</v>
      </c>
      <c r="ER119" s="2751">
        <f t="shared" si="573"/>
        <v>4475</v>
      </c>
      <c r="ES119" s="277">
        <f t="shared" ref="ES119:EW119" si="574">ES54</f>
        <v>1408</v>
      </c>
      <c r="ET119" s="2751">
        <f t="shared" si="574"/>
        <v>1671</v>
      </c>
      <c r="EU119" s="2751">
        <f t="shared" si="574"/>
        <v>1217</v>
      </c>
      <c r="EV119" s="277">
        <f t="shared" si="574"/>
        <v>1597.8927670360613</v>
      </c>
      <c r="EW119" s="277">
        <f t="shared" si="574"/>
        <v>5893.8927670360608</v>
      </c>
      <c r="EX119" s="277">
        <f t="shared" ref="EX119:FG119" si="575">EX54</f>
        <v>1820.7586056942046</v>
      </c>
      <c r="EY119" s="277">
        <f t="shared" si="575"/>
        <v>2047.4647055397263</v>
      </c>
      <c r="EZ119" s="277">
        <f t="shared" si="575"/>
        <v>1961.5623811013393</v>
      </c>
      <c r="FA119" s="277">
        <f t="shared" si="575"/>
        <v>2248.462514668945</v>
      </c>
      <c r="FB119" s="277">
        <f t="shared" si="575"/>
        <v>8078.2482070042151</v>
      </c>
      <c r="FC119" s="277">
        <f t="shared" si="575"/>
        <v>2133.5073940074963</v>
      </c>
      <c r="FD119" s="277">
        <f t="shared" si="575"/>
        <v>2401.89393898666</v>
      </c>
      <c r="FE119" s="277">
        <f t="shared" si="575"/>
        <v>2360.0876963421106</v>
      </c>
      <c r="FF119" s="277">
        <f t="shared" si="575"/>
        <v>2678.3776090756155</v>
      </c>
      <c r="FG119" s="277">
        <f t="shared" si="575"/>
        <v>9573.8666384118824</v>
      </c>
      <c r="FH119" s="277">
        <f t="shared" ref="FH119:FL119" si="576">FH54</f>
        <v>2475.4986085885935</v>
      </c>
      <c r="FI119" s="277">
        <f t="shared" si="576"/>
        <v>2768.2984068942255</v>
      </c>
      <c r="FJ119" s="277">
        <f t="shared" si="576"/>
        <v>2751.9214351264682</v>
      </c>
      <c r="FK119" s="277">
        <f t="shared" si="576"/>
        <v>3097.2263157874836</v>
      </c>
      <c r="FL119" s="277">
        <f t="shared" si="576"/>
        <v>11092.944766396771</v>
      </c>
      <c r="FX119" s="881"/>
      <c r="FY119" s="881"/>
      <c r="FZ119" s="881"/>
      <c r="GA119" s="881"/>
      <c r="GB119" s="881"/>
      <c r="GC119" s="881"/>
      <c r="GD119" s="881"/>
      <c r="GE119" s="881"/>
      <c r="GF119" s="881"/>
      <c r="GG119" s="881"/>
      <c r="GH119" s="881"/>
      <c r="GI119" s="881"/>
      <c r="GJ119" s="427"/>
      <c r="GK119" s="427"/>
      <c r="GL119" s="427"/>
      <c r="GN119"/>
      <c r="GO119"/>
      <c r="GP119"/>
      <c r="GQ119"/>
      <c r="GR119"/>
      <c r="GS119"/>
    </row>
    <row r="120" spans="1:201" s="392" customFormat="1" ht="10.5" customHeight="1">
      <c r="A120" s="407" t="s">
        <v>453</v>
      </c>
      <c r="B120" s="389"/>
      <c r="C120" s="389"/>
      <c r="D120" s="390"/>
      <c r="E120" s="390"/>
      <c r="F120" s="390"/>
      <c r="G120" s="390"/>
      <c r="H120" s="390"/>
      <c r="I120" s="390"/>
      <c r="J120" s="390"/>
      <c r="K120" s="390"/>
      <c r="L120" s="390"/>
      <c r="M120" s="390"/>
      <c r="N120" s="390"/>
      <c r="O120" s="390"/>
      <c r="P120" s="390"/>
      <c r="Q120" s="390"/>
      <c r="R120" s="390"/>
      <c r="S120" s="390"/>
      <c r="T120" s="390"/>
      <c r="U120" s="390"/>
      <c r="V120" s="390"/>
      <c r="W120" s="390"/>
      <c r="X120" s="390"/>
      <c r="Y120" s="390"/>
      <c r="Z120" s="390"/>
      <c r="AA120" s="390"/>
      <c r="AB120" s="390"/>
      <c r="AC120" s="390"/>
      <c r="AD120" s="390"/>
      <c r="AE120" s="390"/>
      <c r="AF120" s="390"/>
      <c r="AG120" s="390"/>
      <c r="AH120" s="390"/>
      <c r="AI120" s="390"/>
      <c r="AJ120" s="390"/>
      <c r="AK120" s="390"/>
      <c r="AL120" s="390"/>
      <c r="AM120" s="390"/>
      <c r="AN120" s="390"/>
      <c r="AO120" s="390"/>
      <c r="AP120" s="390"/>
      <c r="AQ120" s="390"/>
      <c r="AR120" s="390"/>
      <c r="AS120" s="390"/>
      <c r="AT120" s="390"/>
      <c r="AU120" s="390"/>
      <c r="AV120" s="390"/>
      <c r="AW120" s="390"/>
      <c r="AX120" s="390"/>
      <c r="AY120" s="390"/>
      <c r="AZ120" s="390"/>
      <c r="BA120" s="390"/>
      <c r="BB120" s="390"/>
      <c r="BC120" s="390"/>
      <c r="BD120" s="390"/>
      <c r="BE120" s="390"/>
      <c r="BF120" s="390"/>
      <c r="BG120" s="390"/>
      <c r="BH120" s="390"/>
      <c r="BI120" s="390"/>
      <c r="BJ120" s="390"/>
      <c r="BK120" s="390"/>
      <c r="BL120" s="390"/>
      <c r="BM120" s="390"/>
      <c r="BN120" s="390"/>
      <c r="BO120" s="390"/>
      <c r="BP120" s="390"/>
      <c r="BQ120" s="390"/>
      <c r="BR120" s="390"/>
      <c r="BS120" s="390"/>
      <c r="BT120" s="390"/>
      <c r="BU120" s="390"/>
      <c r="BV120" s="390"/>
      <c r="BW120" s="390"/>
      <c r="BX120" s="390"/>
      <c r="BY120" s="390"/>
      <c r="BZ120" s="390"/>
      <c r="CA120" s="277">
        <f>CF!CA9-IS!CA66</f>
        <v>334.86413740066655</v>
      </c>
      <c r="CB120" s="277">
        <f>CF!CB9-IS!CB66</f>
        <v>1066.5600000000004</v>
      </c>
      <c r="CC120" s="277">
        <f>CF!CC9-IS!CC66</f>
        <v>249.17798546209764</v>
      </c>
      <c r="CD120" s="277">
        <f>CF!CD9-IS!CD66</f>
        <v>243.87199567917901</v>
      </c>
      <c r="CE120" s="277">
        <f>CF!CE9-IS!CE66</f>
        <v>1894.4741185419434</v>
      </c>
      <c r="CF120" s="277">
        <f>CF!CF9-IS!CF66</f>
        <v>245.85518681828728</v>
      </c>
      <c r="CG120" s="277">
        <f>CF!CG9-IS!CG66</f>
        <v>181.8545173147611</v>
      </c>
      <c r="CH120" s="277">
        <f>CF!CH9-IS!CH66</f>
        <v>203.5764162856521</v>
      </c>
      <c r="CI120" s="277">
        <f>CF!CI9-IS!CI66</f>
        <v>165.85000000000002</v>
      </c>
      <c r="CJ120" s="277">
        <f>CF!CJ9-IS!CJ66</f>
        <v>797.13612041870056</v>
      </c>
      <c r="CK120" s="277">
        <f>CF!CK9-IS!CK66</f>
        <v>143.84000000000003</v>
      </c>
      <c r="CL120" s="277">
        <f>CF!CL9-IS!CL66</f>
        <v>159.26196963799146</v>
      </c>
      <c r="CM120" s="277">
        <f>CF!CM9-IS!CM66</f>
        <v>115.94</v>
      </c>
      <c r="CN120" s="277">
        <f>CF!CN9-IS!CN66</f>
        <v>112.57644762524399</v>
      </c>
      <c r="CO120" s="277">
        <f>CF!CO9-IS!CO66</f>
        <v>531.61841726323564</v>
      </c>
      <c r="CP120" s="277">
        <f>CF!CP9-IS!CP66</f>
        <v>141.38623289029954</v>
      </c>
      <c r="CQ120" s="277">
        <f>CF!CQ9-IS!CQ66</f>
        <v>135.40683311432326</v>
      </c>
      <c r="CR120" s="277">
        <f>CF!CR9-IS!CR66</f>
        <v>100.9178947368421</v>
      </c>
      <c r="CS120" s="277">
        <f>CF!CS9-IS!CS66</f>
        <v>78.574049803407604</v>
      </c>
      <c r="CT120" s="277">
        <f>CF!CT9-IS!CT66</f>
        <v>453.17426801801798</v>
      </c>
      <c r="CU120" s="277">
        <f>CF!CU9-IS!CU66</f>
        <v>103.23214285714286</v>
      </c>
      <c r="CV120" s="277">
        <f>CF!CV9-IS!CV66</f>
        <v>111.5366568914956</v>
      </c>
      <c r="CW120" s="277">
        <f>CF!CW9-IS!CW66</f>
        <v>108.41978480809382</v>
      </c>
      <c r="CX120" s="277">
        <f>CF!CX9-IS!CX66</f>
        <v>115.63723190348526</v>
      </c>
      <c r="CY120" s="277">
        <f>CF!CY9-IS!CY66</f>
        <v>440.86873290793073</v>
      </c>
      <c r="CZ120" s="277">
        <f>CF!CZ9-IS!CZ66</f>
        <v>119.64179602737437</v>
      </c>
      <c r="DA120" s="277">
        <f>CF!DA9-IS!DA66</f>
        <v>108.28095069173463</v>
      </c>
      <c r="DB120" s="277">
        <f>CF!DB9-IS!DB66</f>
        <v>114.45731092436978</v>
      </c>
      <c r="DC120" s="277">
        <f>CF!DC9-IS!DC66</f>
        <v>110.24000000000001</v>
      </c>
      <c r="DD120" s="277">
        <f>CF!DD9-IS!DD66</f>
        <v>452.62534598160528</v>
      </c>
      <c r="DE120" s="277">
        <f>CF!DE9-IS!DE66</f>
        <v>110.7267576075551</v>
      </c>
      <c r="DF120" s="277">
        <f>CF!DF9-IS!DF66</f>
        <v>121.26364966790499</v>
      </c>
      <c r="DG120" s="277">
        <f>CF!DG9-IS!DG66</f>
        <v>120.22748548960868</v>
      </c>
      <c r="DH120" s="277">
        <f>CF!DH9-IS!DH66</f>
        <v>120.5</v>
      </c>
      <c r="DI120" s="277">
        <f>CF!DI9-IS!DI66</f>
        <v>472.73109982808933</v>
      </c>
      <c r="DJ120" s="277">
        <f>CF!DJ9-IS!DJ66</f>
        <v>132.9128630705394</v>
      </c>
      <c r="DK120" s="277">
        <f>CF!DK9-IS!DK66</f>
        <v>121.24738142873952</v>
      </c>
      <c r="DL120" s="277">
        <f>CF!DL9-IS!DL66</f>
        <v>71.20547717842328</v>
      </c>
      <c r="DM120" s="277">
        <f>CF!DM9-IS!DM66</f>
        <v>38.319319217911072</v>
      </c>
      <c r="DN120" s="277">
        <f>CF!DN9-IS!DN66</f>
        <v>429.21384965286074</v>
      </c>
      <c r="DO120" s="277">
        <f>CF!DO9-IS!DO66</f>
        <v>119.75691212701889</v>
      </c>
      <c r="DP120" s="277">
        <f>CF!DP9-IS!DP66</f>
        <v>112.71088724359754</v>
      </c>
      <c r="DQ120" s="277">
        <f>CF!DQ9-IS!DQ66</f>
        <v>116.56529938708155</v>
      </c>
      <c r="DR120" s="277">
        <f>CF!DR9-IS!DR66</f>
        <v>67.539682539682531</v>
      </c>
      <c r="DS120" s="277">
        <f>CF!DS9-IS!DS66</f>
        <v>1144.8836964160225</v>
      </c>
      <c r="DT120" s="277">
        <f>CF!DT9-IS!DT66</f>
        <v>116.37224430791468</v>
      </c>
      <c r="DU120" s="277">
        <f>CF!DU9-IS!DU66</f>
        <v>108.10540540540535</v>
      </c>
      <c r="DV120" s="277">
        <f>CF!DV9-IS!DV66</f>
        <v>111.23464491362762</v>
      </c>
      <c r="DW120" s="277">
        <f>CF!DW9-IS!DW66</f>
        <v>115.40764849471111</v>
      </c>
      <c r="DX120" s="277">
        <f>CF!DX9-IS!DX66</f>
        <v>461.50872393908026</v>
      </c>
      <c r="DY120" s="277">
        <f>CF!DY9-IS!DY66</f>
        <v>115.34644194756549</v>
      </c>
      <c r="DZ120" s="277">
        <f>CF!DZ9-IS!DZ66</f>
        <v>99.025133282559011</v>
      </c>
      <c r="EA120" s="277">
        <f>CF!EA9-IS!EA66</f>
        <v>112.23142158976572</v>
      </c>
      <c r="EB120" s="277">
        <f>CF!EB9-IS!EB66</f>
        <v>181.14110978520284</v>
      </c>
      <c r="EC120" s="277">
        <f>CF!EC9-IS!EC66</f>
        <v>503.26469805208808</v>
      </c>
      <c r="ED120" s="277">
        <f>CF!ED9-IS!ED66</f>
        <v>146.90164866401369</v>
      </c>
      <c r="EE120" s="277">
        <f>CF!EE9-IS!EE66</f>
        <v>161.93781382773267</v>
      </c>
      <c r="EF120" s="277">
        <f>CF!EF9-IS!EF66</f>
        <v>146.4159833010288</v>
      </c>
      <c r="EG120" s="277">
        <f>CF!EG9-IS!EG66</f>
        <v>140.84196348398689</v>
      </c>
      <c r="EH120" s="277">
        <f>CF!EH9-IS!EH66</f>
        <v>598.76177639046546</v>
      </c>
      <c r="EI120" s="2751">
        <f>CF!EI9-IS!EI66</f>
        <v>106.59632951336982</v>
      </c>
      <c r="EJ120" s="2751">
        <f>CF!EJ9-IS!EJ66</f>
        <v>123.74053056201285</v>
      </c>
      <c r="EK120" s="2751">
        <f>CF!EK9-IS!EK66</f>
        <v>195.06171145919211</v>
      </c>
      <c r="EL120" s="2751">
        <f>CF!EL9-IS!EL66</f>
        <v>110.96027210884358</v>
      </c>
      <c r="EM120" s="2751">
        <f>CF!EM9-IS!EM66</f>
        <v>530.25265692175435</v>
      </c>
      <c r="EN120" s="2751">
        <f>CF!EN9-IS!EN66</f>
        <v>119.44924564230269</v>
      </c>
      <c r="EO120" s="2751">
        <f>CF!EO9-IS!EO66</f>
        <v>167.79917726252802</v>
      </c>
      <c r="EP120" s="2751">
        <f>CF!EP9-IS!EP66</f>
        <v>200.1499859035805</v>
      </c>
      <c r="EQ120" s="2751">
        <f>CF!EQ9-IS!EQ66</f>
        <v>-5.3030009680542207</v>
      </c>
      <c r="ER120" s="2751">
        <f>CF!ER9-IS!ER66</f>
        <v>483.83983844804197</v>
      </c>
      <c r="ES120" s="277">
        <f>CF!ES9-IS!ES66</f>
        <v>171.59118236472943</v>
      </c>
      <c r="ET120" s="2751">
        <f>CF!ET9-IS!ET66</f>
        <v>179.69309630275927</v>
      </c>
      <c r="EU120" s="2751">
        <f>CF!EU9-IS!EU66</f>
        <v>136.47413493808597</v>
      </c>
      <c r="EV120" s="277">
        <f>CF!EV9-IS!EV66</f>
        <v>150.38880000000006</v>
      </c>
      <c r="EW120" s="277">
        <f>CF!EW9-IS!EW66</f>
        <v>637.13348129897986</v>
      </c>
      <c r="EX120" s="277">
        <f>CF!EX9-IS!EX66</f>
        <v>184.62575025000001</v>
      </c>
      <c r="EY120" s="277">
        <f>CF!EY9-IS!EY66</f>
        <v>179.08697774250004</v>
      </c>
      <c r="EZ120" s="277">
        <f>CF!EZ9-IS!EZ66</f>
        <v>173.71436841022501</v>
      </c>
      <c r="FA120" s="277">
        <f>CF!FA9-IS!FA66</f>
        <v>168.5029373579182</v>
      </c>
      <c r="FB120" s="277">
        <f>CF!FB9-IS!FB66</f>
        <v>705.93003376064371</v>
      </c>
      <c r="FC120" s="277">
        <f>CF!FC9-IS!FC66</f>
        <v>163.44784923718066</v>
      </c>
      <c r="FD120" s="277">
        <f>CF!FD9-IS!FD66</f>
        <v>158.54441376006525</v>
      </c>
      <c r="FE120" s="277">
        <f>CF!FE9-IS!FE66</f>
        <v>153.7880813472633</v>
      </c>
      <c r="FF120" s="277">
        <f>CF!FF9-IS!FF66</f>
        <v>149.17443890684535</v>
      </c>
      <c r="FG120" s="277">
        <f>CF!FG9-IS!FG66</f>
        <v>624.95478325135446</v>
      </c>
      <c r="FH120" s="277">
        <f>CF!FH9-IS!FH66</f>
        <v>144.69920573963998</v>
      </c>
      <c r="FI120" s="277">
        <f>CF!FI9-IS!FI66</f>
        <v>140.35822956745085</v>
      </c>
      <c r="FJ120" s="277">
        <f>CF!FJ9-IS!FJ66</f>
        <v>136.14748268042729</v>
      </c>
      <c r="FK120" s="277">
        <f>CF!FK9-IS!FK66</f>
        <v>132.06305820001444</v>
      </c>
      <c r="FL120" s="277">
        <f>CF!FL9-IS!FL66</f>
        <v>553.26797618753244</v>
      </c>
      <c r="FX120" s="877"/>
      <c r="FY120" s="877"/>
      <c r="FZ120" s="877"/>
      <c r="GA120" s="877"/>
      <c r="GB120" s="877"/>
      <c r="GC120" s="877"/>
      <c r="GD120" s="877"/>
      <c r="GE120" s="877"/>
      <c r="GF120" s="877"/>
      <c r="GG120" s="877"/>
      <c r="GH120" s="877"/>
      <c r="GI120" s="877"/>
      <c r="GJ120" s="389"/>
      <c r="GK120" s="389"/>
      <c r="GL120" s="389"/>
      <c r="GN120"/>
      <c r="GO120"/>
      <c r="GP120"/>
      <c r="GQ120"/>
      <c r="GR120"/>
      <c r="GS120"/>
    </row>
    <row r="121" spans="1:201" s="392" customFormat="1" ht="10.5" customHeight="1">
      <c r="A121" s="407" t="s">
        <v>454</v>
      </c>
      <c r="B121" s="389"/>
      <c r="C121" s="389"/>
      <c r="D121" s="390"/>
      <c r="E121" s="390"/>
      <c r="F121" s="390"/>
      <c r="G121" s="390"/>
      <c r="H121" s="390"/>
      <c r="I121" s="390"/>
      <c r="J121" s="390"/>
      <c r="K121" s="390"/>
      <c r="L121" s="390"/>
      <c r="M121" s="390"/>
      <c r="N121" s="390"/>
      <c r="O121" s="390"/>
      <c r="P121" s="390"/>
      <c r="Q121" s="390"/>
      <c r="R121" s="390"/>
      <c r="S121" s="390"/>
      <c r="T121" s="390"/>
      <c r="U121" s="390"/>
      <c r="V121" s="390"/>
      <c r="W121" s="390"/>
      <c r="X121" s="390"/>
      <c r="Y121" s="390"/>
      <c r="Z121" s="390"/>
      <c r="AA121" s="390"/>
      <c r="AB121" s="390"/>
      <c r="AC121" s="390"/>
      <c r="AD121" s="390"/>
      <c r="AE121" s="390"/>
      <c r="AF121" s="390"/>
      <c r="AG121" s="390"/>
      <c r="AH121" s="390"/>
      <c r="AI121" s="390"/>
      <c r="AJ121" s="390"/>
      <c r="AK121" s="390"/>
      <c r="AL121" s="390"/>
      <c r="AM121" s="390"/>
      <c r="AN121" s="390"/>
      <c r="AO121" s="390"/>
      <c r="AP121" s="390"/>
      <c r="AQ121" s="390"/>
      <c r="AR121" s="390"/>
      <c r="AS121" s="390"/>
      <c r="AT121" s="390"/>
      <c r="AU121" s="390"/>
      <c r="AV121" s="390"/>
      <c r="AW121" s="390"/>
      <c r="AX121" s="390"/>
      <c r="AY121" s="390"/>
      <c r="AZ121" s="390"/>
      <c r="BA121" s="390"/>
      <c r="BB121" s="390"/>
      <c r="BC121" s="390"/>
      <c r="BD121" s="390"/>
      <c r="BE121" s="390"/>
      <c r="BF121" s="390"/>
      <c r="BG121" s="390"/>
      <c r="BH121" s="390"/>
      <c r="BI121" s="390"/>
      <c r="BJ121" s="390"/>
      <c r="BK121" s="390"/>
      <c r="BL121" s="390"/>
      <c r="BM121" s="390"/>
      <c r="BN121" s="390"/>
      <c r="BO121" s="390"/>
      <c r="BP121" s="390"/>
      <c r="BQ121" s="390"/>
      <c r="BR121" s="390"/>
      <c r="BS121" s="390"/>
      <c r="BT121" s="390"/>
      <c r="BU121" s="390"/>
      <c r="BV121" s="390"/>
      <c r="BW121" s="390"/>
      <c r="BX121" s="390"/>
      <c r="BY121" s="390"/>
      <c r="BZ121" s="390"/>
      <c r="CA121" s="390"/>
      <c r="CB121" s="390"/>
      <c r="CC121" s="390"/>
      <c r="CD121" s="390"/>
      <c r="CE121" s="390"/>
      <c r="CF121" s="390"/>
      <c r="CG121" s="390"/>
      <c r="CH121" s="390"/>
      <c r="CI121" s="390"/>
      <c r="CJ121" s="390"/>
      <c r="CK121" s="390"/>
      <c r="CL121" s="390"/>
      <c r="CM121" s="390"/>
      <c r="CN121" s="390"/>
      <c r="CO121" s="390"/>
      <c r="CP121" s="390"/>
      <c r="CQ121" s="390"/>
      <c r="CR121" s="390"/>
      <c r="CS121" s="390"/>
      <c r="CT121" s="390"/>
      <c r="CU121" s="390"/>
      <c r="CV121" s="390"/>
      <c r="CW121" s="390"/>
      <c r="CX121" s="390"/>
      <c r="CY121" s="390"/>
      <c r="CZ121" s="390"/>
      <c r="DA121" s="390"/>
      <c r="DB121" s="390"/>
      <c r="DC121" s="391"/>
      <c r="DD121" s="390"/>
      <c r="DE121" s="390"/>
      <c r="DF121" s="390"/>
      <c r="DG121" s="390"/>
      <c r="DH121" s="391"/>
      <c r="DI121" s="390"/>
      <c r="DJ121" s="391"/>
      <c r="DK121" s="391"/>
      <c r="DL121" s="391"/>
      <c r="DM121" s="391"/>
      <c r="DN121" s="390"/>
      <c r="DO121" s="390"/>
      <c r="DP121" s="391"/>
      <c r="DQ121" s="391"/>
      <c r="DR121" s="391"/>
      <c r="DS121" s="391"/>
      <c r="DT121" s="391"/>
      <c r="DU121" s="391"/>
      <c r="DV121" s="391"/>
      <c r="DW121" s="391"/>
      <c r="DX121" s="391"/>
      <c r="DY121" s="391"/>
      <c r="DZ121" s="391"/>
      <c r="EA121" s="390"/>
      <c r="EB121" s="391"/>
      <c r="EC121" s="390"/>
      <c r="ED121" s="391"/>
      <c r="EE121" s="391"/>
      <c r="EF121" s="391"/>
      <c r="EG121" s="391"/>
      <c r="EH121" s="390"/>
      <c r="EI121" s="2727"/>
      <c r="EJ121" s="2727"/>
      <c r="EK121" s="2727"/>
      <c r="EL121" s="2727"/>
      <c r="EM121" s="2728"/>
      <c r="EN121" s="2727"/>
      <c r="EO121" s="2727"/>
      <c r="EP121" s="2728"/>
      <c r="EQ121" s="2728"/>
      <c r="ER121" s="2728"/>
      <c r="ES121" s="390"/>
      <c r="ET121" s="2727"/>
      <c r="EU121" s="390"/>
      <c r="EV121" s="390"/>
      <c r="EW121" s="390"/>
      <c r="EX121" s="390"/>
      <c r="EY121" s="390"/>
      <c r="EZ121" s="390"/>
      <c r="FA121" s="390"/>
      <c r="FB121" s="390"/>
      <c r="FC121" s="390"/>
      <c r="FD121" s="390"/>
      <c r="FE121" s="390"/>
      <c r="FF121" s="390"/>
      <c r="FG121" s="390"/>
      <c r="FH121" s="390"/>
      <c r="FI121" s="390"/>
      <c r="FJ121" s="390"/>
      <c r="FK121" s="390"/>
      <c r="FL121" s="390"/>
      <c r="FX121" s="877"/>
      <c r="FY121" s="877"/>
      <c r="FZ121" s="877"/>
      <c r="GA121" s="877"/>
      <c r="GB121" s="877"/>
      <c r="GC121" s="877"/>
      <c r="GD121" s="877"/>
      <c r="GE121" s="877"/>
      <c r="GF121" s="877"/>
      <c r="GG121" s="877"/>
      <c r="GH121" s="877"/>
      <c r="GI121" s="877"/>
      <c r="GJ121" s="389"/>
      <c r="GK121" s="389"/>
      <c r="GL121" s="389"/>
      <c r="GN121"/>
      <c r="GO121"/>
      <c r="GP121"/>
      <c r="GQ121"/>
      <c r="GR121"/>
      <c r="GS121"/>
    </row>
    <row r="122" spans="1:201" s="392" customFormat="1" ht="10.5" customHeight="1">
      <c r="A122" s="388"/>
      <c r="B122" s="389"/>
      <c r="C122" s="389"/>
      <c r="D122" s="390"/>
      <c r="E122" s="390"/>
      <c r="F122" s="390"/>
      <c r="G122" s="390"/>
      <c r="H122" s="390"/>
      <c r="I122" s="390"/>
      <c r="J122" s="390"/>
      <c r="K122" s="390"/>
      <c r="L122" s="390"/>
      <c r="M122" s="390"/>
      <c r="N122" s="390"/>
      <c r="O122" s="390"/>
      <c r="P122" s="390"/>
      <c r="Q122" s="390"/>
      <c r="R122" s="390"/>
      <c r="S122" s="390"/>
      <c r="T122" s="390"/>
      <c r="U122" s="390"/>
      <c r="V122" s="390"/>
      <c r="W122" s="390"/>
      <c r="X122" s="390"/>
      <c r="Y122" s="390"/>
      <c r="Z122" s="390"/>
      <c r="AA122" s="390"/>
      <c r="AB122" s="390"/>
      <c r="AC122" s="390"/>
      <c r="AD122" s="390"/>
      <c r="AE122" s="390"/>
      <c r="AF122" s="390"/>
      <c r="AG122" s="390"/>
      <c r="AH122" s="390"/>
      <c r="AI122" s="390"/>
      <c r="AJ122" s="390"/>
      <c r="AK122" s="390"/>
      <c r="AL122" s="390"/>
      <c r="AM122" s="390"/>
      <c r="AN122" s="390"/>
      <c r="AO122" s="390"/>
      <c r="AP122" s="390"/>
      <c r="AQ122" s="390"/>
      <c r="AR122" s="390"/>
      <c r="AS122" s="390"/>
      <c r="AT122" s="390"/>
      <c r="AU122" s="390"/>
      <c r="AV122" s="390"/>
      <c r="AW122" s="390"/>
      <c r="AX122" s="390"/>
      <c r="AY122" s="390"/>
      <c r="AZ122" s="390"/>
      <c r="BA122" s="390"/>
      <c r="BB122" s="390"/>
      <c r="BC122" s="390"/>
      <c r="BD122" s="390"/>
      <c r="BE122" s="390"/>
      <c r="BF122" s="390"/>
      <c r="BG122" s="390"/>
      <c r="BH122" s="390"/>
      <c r="BI122" s="390"/>
      <c r="BJ122" s="390"/>
      <c r="BK122" s="390"/>
      <c r="BL122" s="390"/>
      <c r="BM122" s="390"/>
      <c r="BN122" s="390"/>
      <c r="BO122" s="390"/>
      <c r="BP122" s="390"/>
      <c r="BQ122" s="390"/>
      <c r="BR122" s="390"/>
      <c r="BS122" s="390"/>
      <c r="BT122" s="390"/>
      <c r="BU122" s="390"/>
      <c r="BV122" s="390"/>
      <c r="BW122" s="390"/>
      <c r="BX122" s="390"/>
      <c r="BY122" s="390"/>
      <c r="BZ122" s="390"/>
      <c r="CA122" s="390"/>
      <c r="CB122" s="390"/>
      <c r="CC122" s="390"/>
      <c r="CD122" s="390"/>
      <c r="CE122" s="390"/>
      <c r="CF122" s="390"/>
      <c r="CG122" s="390"/>
      <c r="CH122" s="390"/>
      <c r="CI122" s="390"/>
      <c r="CJ122" s="390"/>
      <c r="CK122" s="390"/>
      <c r="CL122" s="390"/>
      <c r="CM122" s="390"/>
      <c r="CN122" s="390"/>
      <c r="CO122" s="390"/>
      <c r="CP122" s="390"/>
      <c r="CQ122" s="390"/>
      <c r="CR122" s="390"/>
      <c r="CS122" s="390"/>
      <c r="CT122" s="390"/>
      <c r="CU122" s="390"/>
      <c r="CV122" s="390"/>
      <c r="CW122" s="390"/>
      <c r="CX122" s="390"/>
      <c r="CY122" s="390"/>
      <c r="CZ122" s="390"/>
      <c r="DA122" s="390"/>
      <c r="DB122" s="390"/>
      <c r="DC122" s="391"/>
      <c r="DD122" s="390"/>
      <c r="DE122" s="390"/>
      <c r="DF122" s="390"/>
      <c r="DG122" s="390"/>
      <c r="DH122" s="391"/>
      <c r="DI122" s="390"/>
      <c r="DJ122" s="391"/>
      <c r="DK122" s="391"/>
      <c r="DL122" s="391"/>
      <c r="DM122" s="391"/>
      <c r="DN122" s="390"/>
      <c r="DO122" s="390"/>
      <c r="DP122" s="391"/>
      <c r="DQ122" s="391"/>
      <c r="DR122" s="391"/>
      <c r="DS122" s="391"/>
      <c r="DT122" s="391"/>
      <c r="DU122" s="391"/>
      <c r="DV122" s="391"/>
      <c r="DW122" s="391"/>
      <c r="DX122" s="391"/>
      <c r="DY122" s="391"/>
      <c r="DZ122" s="391"/>
      <c r="EA122" s="390"/>
      <c r="EB122" s="391"/>
      <c r="EC122" s="390"/>
      <c r="ED122" s="391"/>
      <c r="EE122" s="391"/>
      <c r="EF122" s="391"/>
      <c r="EG122" s="391"/>
      <c r="EH122" s="390"/>
      <c r="EI122" s="2727"/>
      <c r="EJ122" s="2727"/>
      <c r="EK122" s="2727"/>
      <c r="EL122" s="2727"/>
      <c r="EM122" s="2728"/>
      <c r="EN122" s="2727"/>
      <c r="EO122" s="2727"/>
      <c r="EP122" s="2728"/>
      <c r="EQ122" s="2728"/>
      <c r="ER122" s="2728"/>
      <c r="ES122" s="390"/>
      <c r="ET122" s="2727"/>
      <c r="EU122" s="390"/>
      <c r="EV122" s="390"/>
      <c r="EW122" s="390"/>
      <c r="EX122" s="390"/>
      <c r="EY122" s="390"/>
      <c r="EZ122" s="390"/>
      <c r="FA122" s="390"/>
      <c r="FB122" s="390"/>
      <c r="FC122" s="390"/>
      <c r="FD122" s="390"/>
      <c r="FE122" s="390"/>
      <c r="FF122" s="390"/>
      <c r="FG122" s="390"/>
      <c r="FH122" s="390"/>
      <c r="FI122" s="390"/>
      <c r="FJ122" s="390"/>
      <c r="FK122" s="390"/>
      <c r="FL122" s="390"/>
      <c r="FX122" s="877"/>
      <c r="FY122" s="877"/>
      <c r="FZ122" s="877"/>
      <c r="GA122" s="877"/>
      <c r="GB122" s="877"/>
      <c r="GC122" s="877"/>
      <c r="GD122" s="877"/>
      <c r="GE122" s="877"/>
      <c r="GF122" s="877"/>
      <c r="GG122" s="877"/>
      <c r="GH122" s="877"/>
      <c r="GI122" s="877"/>
      <c r="GJ122" s="389"/>
      <c r="GK122" s="389"/>
      <c r="GL122" s="389"/>
      <c r="GN122"/>
      <c r="GO122"/>
      <c r="GP122"/>
      <c r="GQ122"/>
      <c r="GR122"/>
      <c r="GS122"/>
    </row>
    <row r="123" spans="1:201" s="392" customFormat="1" ht="10.5" customHeight="1">
      <c r="A123" s="388"/>
      <c r="B123" s="389"/>
      <c r="C123" s="389"/>
      <c r="D123" s="390"/>
      <c r="E123" s="390"/>
      <c r="F123" s="390"/>
      <c r="G123" s="390"/>
      <c r="H123" s="390"/>
      <c r="I123" s="390"/>
      <c r="J123" s="390"/>
      <c r="K123" s="390"/>
      <c r="L123" s="390"/>
      <c r="M123" s="390"/>
      <c r="N123" s="390"/>
      <c r="O123" s="390"/>
      <c r="P123" s="390"/>
      <c r="Q123" s="390"/>
      <c r="R123" s="390"/>
      <c r="S123" s="390"/>
      <c r="T123" s="390"/>
      <c r="U123" s="390"/>
      <c r="V123" s="390"/>
      <c r="W123" s="390"/>
      <c r="X123" s="390"/>
      <c r="Y123" s="390"/>
      <c r="Z123" s="390"/>
      <c r="AA123" s="390"/>
      <c r="AB123" s="390"/>
      <c r="AC123" s="390"/>
      <c r="AD123" s="390"/>
      <c r="AE123" s="390"/>
      <c r="AF123" s="390"/>
      <c r="AG123" s="390"/>
      <c r="AH123" s="390"/>
      <c r="AI123" s="390"/>
      <c r="AJ123" s="390"/>
      <c r="AK123" s="390"/>
      <c r="AL123" s="390"/>
      <c r="AM123" s="390"/>
      <c r="AN123" s="390"/>
      <c r="AO123" s="390"/>
      <c r="AP123" s="390"/>
      <c r="AQ123" s="390"/>
      <c r="AR123" s="390"/>
      <c r="AS123" s="390"/>
      <c r="AT123" s="390"/>
      <c r="AU123" s="390"/>
      <c r="AV123" s="390"/>
      <c r="AW123" s="390"/>
      <c r="AX123" s="390"/>
      <c r="AY123" s="390"/>
      <c r="AZ123" s="390"/>
      <c r="BA123" s="390"/>
      <c r="BB123" s="390"/>
      <c r="BC123" s="390"/>
      <c r="BD123" s="390"/>
      <c r="BE123" s="390"/>
      <c r="BF123" s="390"/>
      <c r="BG123" s="390"/>
      <c r="BH123" s="390"/>
      <c r="BI123" s="390"/>
      <c r="BJ123" s="390"/>
      <c r="BK123" s="390"/>
      <c r="BL123" s="390"/>
      <c r="BM123" s="390"/>
      <c r="BN123" s="390"/>
      <c r="BO123" s="390"/>
      <c r="BP123" s="390"/>
      <c r="BQ123" s="390"/>
      <c r="BR123" s="390"/>
      <c r="BS123" s="390"/>
      <c r="BT123" s="390"/>
      <c r="BU123" s="390"/>
      <c r="BV123" s="390"/>
      <c r="BW123" s="390"/>
      <c r="BX123" s="390"/>
      <c r="BY123" s="390"/>
      <c r="BZ123" s="390"/>
      <c r="CA123" s="390"/>
      <c r="CB123" s="390"/>
      <c r="CC123" s="390"/>
      <c r="CD123" s="390"/>
      <c r="CE123" s="390"/>
      <c r="CF123" s="390"/>
      <c r="CG123" s="390"/>
      <c r="CH123" s="390"/>
      <c r="CI123" s="390"/>
      <c r="CJ123" s="390"/>
      <c r="CK123" s="390"/>
      <c r="CL123" s="390"/>
      <c r="CM123" s="390"/>
      <c r="CN123" s="390"/>
      <c r="CO123" s="390"/>
      <c r="CP123" s="390"/>
      <c r="CQ123" s="390"/>
      <c r="CR123" s="390"/>
      <c r="CS123" s="390"/>
      <c r="CT123" s="390"/>
      <c r="CU123" s="390"/>
      <c r="CV123" s="390"/>
      <c r="CW123" s="390"/>
      <c r="CX123" s="390"/>
      <c r="CY123" s="390"/>
      <c r="CZ123" s="390"/>
      <c r="DA123" s="390"/>
      <c r="DB123" s="390"/>
      <c r="DC123" s="391"/>
      <c r="DD123" s="390"/>
      <c r="DE123" s="390"/>
      <c r="DF123" s="390"/>
      <c r="DG123" s="390"/>
      <c r="DH123" s="391"/>
      <c r="DI123" s="390"/>
      <c r="DJ123" s="391"/>
      <c r="DK123" s="391"/>
      <c r="DL123" s="391"/>
      <c r="DM123" s="391"/>
      <c r="DN123" s="390"/>
      <c r="DO123" s="390"/>
      <c r="DP123" s="391"/>
      <c r="DQ123" s="391"/>
      <c r="DR123" s="391"/>
      <c r="DS123" s="391"/>
      <c r="DT123" s="391"/>
      <c r="DU123" s="391"/>
      <c r="DV123" s="391"/>
      <c r="DW123" s="348"/>
      <c r="DX123" s="391"/>
      <c r="DY123" s="391"/>
      <c r="DZ123" s="391"/>
      <c r="EA123" s="390"/>
      <c r="EB123" s="348"/>
      <c r="EC123" s="390"/>
      <c r="ED123" s="391"/>
      <c r="EE123" s="391"/>
      <c r="EF123" s="822"/>
      <c r="EG123" s="822"/>
      <c r="EH123" s="390"/>
      <c r="EI123" s="2727"/>
      <c r="EJ123" s="2727"/>
      <c r="EK123" s="822"/>
      <c r="EL123" s="822"/>
      <c r="EM123" s="2728"/>
      <c r="EN123" s="2727"/>
      <c r="EO123" s="2727"/>
      <c r="EP123" s="2728"/>
      <c r="EQ123" s="2728"/>
      <c r="ER123" s="2728"/>
      <c r="ES123" s="390"/>
      <c r="ET123" s="2727"/>
      <c r="EU123" s="390"/>
      <c r="EV123" s="390"/>
      <c r="EW123" s="390"/>
      <c r="EX123" s="390"/>
      <c r="EY123" s="390"/>
      <c r="EZ123" s="390"/>
      <c r="FA123" s="390"/>
      <c r="FB123" s="390"/>
      <c r="FC123" s="390"/>
      <c r="FD123" s="390"/>
      <c r="FE123" s="390"/>
      <c r="FF123" s="390"/>
      <c r="FG123" s="390"/>
      <c r="FH123" s="390"/>
      <c r="FI123" s="390"/>
      <c r="FJ123" s="390"/>
      <c r="FK123" s="390"/>
      <c r="FL123" s="390"/>
      <c r="FX123" s="877"/>
      <c r="FY123" s="877"/>
      <c r="FZ123" s="877"/>
      <c r="GA123" s="877"/>
      <c r="GB123" s="877"/>
      <c r="GC123" s="877"/>
      <c r="GD123" s="877"/>
      <c r="GE123" s="877"/>
      <c r="GF123" s="877"/>
      <c r="GG123" s="877"/>
      <c r="GH123" s="877"/>
      <c r="GI123" s="877"/>
      <c r="GJ123" s="389"/>
      <c r="GK123" s="389"/>
      <c r="GL123" s="389"/>
      <c r="GN123"/>
      <c r="GO123"/>
      <c r="GP123"/>
      <c r="GQ123"/>
      <c r="GR123"/>
      <c r="GS123"/>
    </row>
    <row r="124" spans="1:201" s="264" customFormat="1" ht="12.75">
      <c r="A124" s="253"/>
      <c r="B124" s="253"/>
      <c r="C124" s="253"/>
      <c r="D124" s="336"/>
      <c r="E124" s="336"/>
      <c r="F124" s="336"/>
      <c r="G124" s="336"/>
      <c r="H124" s="336"/>
      <c r="I124" s="336"/>
      <c r="J124" s="336"/>
      <c r="K124" s="336"/>
      <c r="L124" s="336"/>
      <c r="M124" s="336"/>
      <c r="N124" s="336"/>
      <c r="O124" s="336"/>
      <c r="P124" s="336"/>
      <c r="Q124" s="336"/>
      <c r="R124" s="336"/>
      <c r="S124" s="336"/>
      <c r="T124" s="336"/>
      <c r="U124" s="336"/>
      <c r="V124" s="336"/>
      <c r="W124" s="336"/>
      <c r="X124" s="336"/>
      <c r="Y124" s="336"/>
      <c r="Z124" s="336"/>
      <c r="AA124" s="336"/>
      <c r="AB124" s="336"/>
      <c r="AC124" s="336"/>
      <c r="AD124" s="336"/>
      <c r="AE124" s="336"/>
      <c r="AF124" s="336"/>
      <c r="AG124" s="336"/>
      <c r="AH124" s="336"/>
      <c r="AI124" s="336"/>
      <c r="AJ124" s="336"/>
      <c r="AK124" s="336"/>
      <c r="AL124" s="336"/>
      <c r="AM124" s="336"/>
      <c r="AN124" s="336"/>
      <c r="AO124" s="336"/>
      <c r="AP124" s="336"/>
      <c r="AQ124" s="336"/>
      <c r="AR124" s="336"/>
      <c r="AS124" s="336"/>
      <c r="AT124" s="336"/>
      <c r="AU124" s="336"/>
      <c r="AV124" s="336"/>
      <c r="AW124" s="336"/>
      <c r="AX124" s="336"/>
      <c r="AY124" s="336"/>
      <c r="AZ124" s="336"/>
      <c r="BA124" s="336"/>
      <c r="BB124" s="336"/>
      <c r="BC124" s="336"/>
      <c r="BD124" s="336"/>
      <c r="BE124" s="336"/>
      <c r="BF124" s="336"/>
      <c r="BG124" s="336"/>
      <c r="BH124" s="336"/>
      <c r="BI124" s="336"/>
      <c r="BJ124" s="336"/>
      <c r="BK124" s="336"/>
      <c r="BL124" s="336"/>
      <c r="BM124" s="336"/>
      <c r="BN124" s="336"/>
      <c r="BO124" s="336"/>
      <c r="BP124" s="336"/>
      <c r="BQ124" s="336"/>
      <c r="BR124" s="336"/>
      <c r="BS124" s="336"/>
      <c r="BT124" s="336"/>
      <c r="BU124" s="336"/>
      <c r="BV124" s="336"/>
      <c r="BW124" s="336"/>
      <c r="BX124" s="336"/>
      <c r="BY124" s="336"/>
      <c r="BZ124" s="336"/>
      <c r="CA124" s="336"/>
      <c r="CB124" s="336"/>
      <c r="CC124" s="336"/>
      <c r="CD124" s="430"/>
      <c r="CE124" s="430"/>
      <c r="CF124" s="431"/>
      <c r="CG124" s="336"/>
      <c r="CH124" s="336"/>
      <c r="CI124" s="336"/>
      <c r="CJ124" s="336"/>
      <c r="CK124" s="336"/>
      <c r="CL124" s="336"/>
      <c r="CM124" s="276"/>
      <c r="CN124" s="336"/>
      <c r="CO124" s="336"/>
      <c r="CP124" s="336"/>
      <c r="CQ124" s="336"/>
      <c r="CR124" s="336"/>
      <c r="CS124" s="336"/>
      <c r="CT124" s="336"/>
      <c r="CU124" s="336"/>
      <c r="CV124" s="336"/>
      <c r="CW124" s="336"/>
      <c r="CX124" s="336"/>
      <c r="CY124" s="336"/>
      <c r="CZ124" s="336"/>
      <c r="DA124" s="336"/>
      <c r="DB124" s="336"/>
      <c r="DC124" s="416"/>
      <c r="DD124" s="336"/>
      <c r="DE124" s="336"/>
      <c r="DF124" s="336"/>
      <c r="DG124" s="336"/>
      <c r="DH124" s="416"/>
      <c r="DI124" s="336"/>
      <c r="DJ124" s="416"/>
      <c r="DK124" s="416"/>
      <c r="DL124" s="416"/>
      <c r="DM124" s="416"/>
      <c r="DN124" s="336"/>
      <c r="DO124" s="336"/>
      <c r="DP124" s="416"/>
      <c r="DQ124" s="416"/>
      <c r="DR124" s="416"/>
      <c r="DS124" s="439"/>
      <c r="DT124" s="416"/>
      <c r="DU124" s="416"/>
      <c r="DV124" s="416"/>
      <c r="DW124" s="439"/>
      <c r="DX124" s="536"/>
      <c r="DY124" s="416"/>
      <c r="DZ124" s="416"/>
      <c r="EA124" s="336"/>
      <c r="EB124" s="439"/>
      <c r="EC124" s="336"/>
      <c r="ED124" s="416"/>
      <c r="EE124" s="416"/>
      <c r="EF124" s="416"/>
      <c r="EG124" s="416"/>
      <c r="EH124" s="336"/>
      <c r="EI124" s="2739"/>
      <c r="EJ124" s="2739"/>
      <c r="EK124" s="2739"/>
      <c r="EL124" s="2739"/>
      <c r="EM124" s="2738"/>
      <c r="EN124" s="2739"/>
      <c r="EO124" s="2739"/>
      <c r="EP124" s="2738"/>
      <c r="EQ124" s="2738"/>
      <c r="ER124" s="2738"/>
      <c r="ES124" s="336"/>
      <c r="ET124" s="2739"/>
      <c r="EU124" s="336"/>
      <c r="EV124" s="336"/>
      <c r="EW124" s="336"/>
      <c r="EX124" s="336"/>
      <c r="EY124" s="336"/>
      <c r="EZ124" s="336"/>
      <c r="FA124" s="336"/>
      <c r="FB124" s="336"/>
      <c r="FC124" s="336"/>
      <c r="FD124" s="336"/>
      <c r="FE124" s="336"/>
      <c r="FF124" s="336"/>
      <c r="FG124" s="336"/>
      <c r="FH124" s="336"/>
      <c r="FI124" s="336"/>
      <c r="FJ124" s="336"/>
      <c r="FK124" s="336"/>
      <c r="FL124" s="336"/>
      <c r="FX124" s="339"/>
      <c r="FY124" s="339"/>
      <c r="FZ124" s="339"/>
      <c r="GA124" s="339"/>
      <c r="GB124" s="339"/>
      <c r="GC124" s="339"/>
      <c r="GD124" s="339"/>
      <c r="GE124" s="339"/>
      <c r="GF124" s="339"/>
      <c r="GG124" s="339"/>
      <c r="GH124" s="339"/>
      <c r="GI124" s="339"/>
      <c r="GJ124" s="253"/>
      <c r="GK124" s="253"/>
      <c r="GL124" s="253"/>
      <c r="GN124"/>
      <c r="GO124"/>
      <c r="GP124"/>
      <c r="GQ124"/>
      <c r="GR124"/>
      <c r="GS124"/>
    </row>
    <row r="125" spans="1:201" s="287" customFormat="1" ht="9.75" hidden="1" customHeight="1" outlineLevel="1">
      <c r="A125" s="432" t="s">
        <v>868</v>
      </c>
      <c r="B125" s="433"/>
      <c r="CK125" s="413"/>
      <c r="CL125" s="413"/>
      <c r="CM125" s="413"/>
      <c r="CN125" s="413"/>
      <c r="CO125" s="413"/>
      <c r="CP125" s="413"/>
      <c r="CQ125" s="413"/>
      <c r="CR125" s="413"/>
      <c r="CS125" s="413"/>
      <c r="CT125" s="413"/>
      <c r="CU125" s="413"/>
      <c r="CV125" s="413"/>
      <c r="CW125" s="413"/>
      <c r="CX125" s="413"/>
      <c r="CY125" s="413"/>
      <c r="CZ125" s="413"/>
      <c r="DA125" s="413"/>
      <c r="DB125" s="413"/>
      <c r="DC125" s="414"/>
      <c r="DD125" s="413"/>
      <c r="DE125" s="413"/>
      <c r="DF125" s="413"/>
      <c r="DG125" s="413"/>
      <c r="DH125" s="414"/>
      <c r="DI125" s="413"/>
      <c r="DJ125" s="414"/>
      <c r="DK125" s="414"/>
      <c r="DL125" s="414"/>
      <c r="DM125" s="414"/>
      <c r="DN125" s="413"/>
      <c r="DO125" s="413"/>
      <c r="DP125" s="414"/>
      <c r="DQ125" s="414"/>
      <c r="DR125" s="414"/>
      <c r="DS125" s="414"/>
      <c r="DT125" s="414"/>
      <c r="DU125" s="414"/>
      <c r="DV125" s="414"/>
      <c r="DW125" s="414"/>
      <c r="DX125" s="414"/>
      <c r="DY125" s="414"/>
      <c r="DZ125" s="414"/>
      <c r="EA125" s="413"/>
      <c r="EB125" s="414"/>
      <c r="EC125" s="413"/>
      <c r="ED125" s="414"/>
      <c r="EE125" s="414"/>
      <c r="EF125" s="414"/>
      <c r="EG125" s="414"/>
      <c r="EH125" s="413"/>
      <c r="EI125" s="2736"/>
      <c r="EJ125" s="2736"/>
      <c r="EK125" s="2736"/>
      <c r="EL125" s="2736"/>
      <c r="EM125" s="2735"/>
      <c r="EN125" s="2736"/>
      <c r="EO125" s="2736"/>
      <c r="EP125" s="2735"/>
      <c r="EQ125" s="2735"/>
      <c r="ER125" s="2735"/>
      <c r="ES125" s="413"/>
      <c r="ET125" s="2736"/>
      <c r="EU125" s="413"/>
      <c r="EV125" s="413"/>
      <c r="EW125" s="413"/>
      <c r="EX125" s="413"/>
      <c r="EY125" s="413"/>
      <c r="EZ125" s="413"/>
      <c r="FA125" s="413"/>
      <c r="FB125" s="413"/>
      <c r="FC125" s="413"/>
      <c r="FD125" s="413"/>
      <c r="FE125" s="413"/>
      <c r="FF125" s="413"/>
      <c r="FG125" s="413"/>
      <c r="FH125" s="413"/>
      <c r="FI125" s="413"/>
      <c r="FJ125" s="413"/>
      <c r="FK125" s="413"/>
      <c r="FL125" s="413"/>
      <c r="FX125" s="882"/>
      <c r="FY125" s="882"/>
      <c r="FZ125" s="882"/>
      <c r="GA125" s="882"/>
      <c r="GB125" s="882"/>
      <c r="GC125" s="882"/>
      <c r="GD125" s="882"/>
      <c r="GE125" s="882"/>
      <c r="GF125" s="882"/>
      <c r="GG125" s="882"/>
      <c r="GH125" s="882"/>
      <c r="GI125" s="882"/>
      <c r="GN125"/>
      <c r="GO125"/>
      <c r="GP125"/>
      <c r="GQ125"/>
      <c r="GR125"/>
      <c r="GS125"/>
    </row>
    <row r="126" spans="1:201" s="264" customFormat="1" ht="12.75" hidden="1" outlineLevel="1">
      <c r="A126" s="260"/>
      <c r="B126" s="253"/>
      <c r="C126" s="253"/>
      <c r="D126" s="253"/>
      <c r="E126" s="253"/>
      <c r="F126" s="253"/>
      <c r="G126" s="253"/>
      <c r="H126" s="253"/>
      <c r="I126" s="253"/>
      <c r="J126" s="253"/>
      <c r="K126" s="253"/>
      <c r="L126" s="253"/>
      <c r="M126" s="253"/>
      <c r="N126" s="253"/>
      <c r="O126" s="253"/>
      <c r="P126" s="253"/>
      <c r="Q126" s="253"/>
      <c r="R126" s="253"/>
      <c r="S126" s="253"/>
      <c r="T126" s="253"/>
      <c r="U126" s="253"/>
      <c r="V126" s="253"/>
      <c r="W126" s="253"/>
      <c r="X126" s="253"/>
      <c r="Y126" s="253"/>
      <c r="Z126" s="253"/>
      <c r="AA126" s="253"/>
      <c r="AB126" s="253"/>
      <c r="AC126" s="253"/>
      <c r="AD126" s="253"/>
      <c r="AE126" s="253"/>
      <c r="AF126" s="253"/>
      <c r="AG126" s="253"/>
      <c r="AH126" s="253"/>
      <c r="AI126" s="253"/>
      <c r="AJ126" s="253"/>
      <c r="AK126" s="253"/>
      <c r="AL126" s="253"/>
      <c r="AM126" s="253"/>
      <c r="AN126" s="253"/>
      <c r="AO126" s="253"/>
      <c r="AP126" s="253"/>
      <c r="AQ126" s="253"/>
      <c r="AR126" s="253"/>
      <c r="AS126" s="253"/>
      <c r="AT126" s="253"/>
      <c r="AU126" s="253"/>
      <c r="AV126" s="253"/>
      <c r="AW126" s="253"/>
      <c r="AX126" s="253"/>
      <c r="AY126" s="253"/>
      <c r="AZ126" s="253"/>
      <c r="BA126" s="253"/>
      <c r="BB126" s="253"/>
      <c r="BC126" s="253"/>
      <c r="BD126" s="253"/>
      <c r="BE126" s="253"/>
      <c r="BF126" s="253"/>
      <c r="BG126" s="253"/>
      <c r="BH126" s="253"/>
      <c r="BI126" s="253"/>
      <c r="BJ126" s="253"/>
      <c r="BK126" s="253"/>
      <c r="BL126" s="253"/>
      <c r="BM126" s="253"/>
      <c r="BN126" s="253"/>
      <c r="BO126" s="253"/>
      <c r="BP126" s="253"/>
      <c r="BQ126" s="253"/>
      <c r="BR126" s="253"/>
      <c r="BS126" s="253"/>
      <c r="BT126" s="253"/>
      <c r="BU126" s="253"/>
      <c r="BV126" s="253"/>
      <c r="BW126" s="253"/>
      <c r="BX126" s="253"/>
      <c r="BY126" s="253"/>
      <c r="BZ126" s="253"/>
      <c r="CK126" s="336"/>
      <c r="CL126" s="336"/>
      <c r="CM126" s="336"/>
      <c r="CN126" s="336"/>
      <c r="CO126" s="336"/>
      <c r="CP126" s="336"/>
      <c r="CQ126" s="336"/>
      <c r="CR126" s="336"/>
      <c r="CS126" s="336"/>
      <c r="CT126" s="336"/>
      <c r="CU126" s="336"/>
      <c r="CV126" s="336"/>
      <c r="CW126" s="336"/>
      <c r="CX126" s="336"/>
      <c r="CY126" s="336"/>
      <c r="CZ126" s="336"/>
      <c r="DA126" s="336"/>
      <c r="DB126" s="336"/>
      <c r="DC126" s="416"/>
      <c r="DD126" s="336"/>
      <c r="DE126" s="336"/>
      <c r="DF126" s="336"/>
      <c r="DG126" s="336"/>
      <c r="DH126" s="416"/>
      <c r="DI126" s="336"/>
      <c r="DJ126" s="416"/>
      <c r="DK126" s="416"/>
      <c r="DL126" s="416"/>
      <c r="DM126" s="416"/>
      <c r="DN126" s="336"/>
      <c r="DO126" s="336"/>
      <c r="DP126" s="416"/>
      <c r="DQ126" s="416"/>
      <c r="DR126" s="416"/>
      <c r="DS126" s="416"/>
      <c r="DT126" s="416"/>
      <c r="DU126" s="416"/>
      <c r="DV126" s="416"/>
      <c r="DW126" s="416"/>
      <c r="DX126" s="416"/>
      <c r="DY126" s="416"/>
      <c r="DZ126" s="416"/>
      <c r="EA126" s="336"/>
      <c r="EB126" s="416"/>
      <c r="EC126" s="336"/>
      <c r="ED126" s="416"/>
      <c r="EE126" s="416"/>
      <c r="EF126" s="416"/>
      <c r="EG126" s="416"/>
      <c r="EH126" s="336"/>
      <c r="EI126" s="2739"/>
      <c r="EJ126" s="2739"/>
      <c r="EK126" s="2739"/>
      <c r="EL126" s="2739"/>
      <c r="EM126" s="2738"/>
      <c r="EN126" s="2739"/>
      <c r="EO126" s="2739"/>
      <c r="EP126" s="2738"/>
      <c r="EQ126" s="2738"/>
      <c r="ER126" s="2738"/>
      <c r="ES126" s="336"/>
      <c r="ET126" s="2739"/>
      <c r="EU126" s="336"/>
      <c r="EV126" s="336"/>
      <c r="EW126" s="336"/>
      <c r="EX126" s="336"/>
      <c r="EY126" s="336"/>
      <c r="EZ126" s="336"/>
      <c r="FA126" s="336"/>
      <c r="FB126" s="336"/>
      <c r="FC126" s="336"/>
      <c r="FD126" s="336"/>
      <c r="FE126" s="336"/>
      <c r="FF126" s="336"/>
      <c r="FG126" s="336"/>
      <c r="FH126" s="336"/>
      <c r="FI126" s="336"/>
      <c r="FJ126" s="336"/>
      <c r="FK126" s="336"/>
      <c r="FL126" s="336"/>
      <c r="FX126" s="339"/>
      <c r="FY126" s="339"/>
      <c r="FZ126" s="339"/>
      <c r="GA126" s="339"/>
      <c r="GB126" s="339"/>
      <c r="GC126" s="339"/>
      <c r="GD126" s="339"/>
      <c r="GE126" s="339"/>
      <c r="GF126" s="339"/>
      <c r="GG126" s="339"/>
      <c r="GH126" s="339"/>
      <c r="GI126" s="339"/>
      <c r="GJ126" s="253"/>
      <c r="GK126" s="253"/>
      <c r="GL126" s="253"/>
      <c r="GN126"/>
      <c r="GO126"/>
      <c r="GP126"/>
      <c r="GQ126"/>
      <c r="GR126"/>
      <c r="GS126"/>
    </row>
    <row r="127" spans="1:201" s="264" customFormat="1" ht="10.5" hidden="1" customHeight="1" outlineLevel="1">
      <c r="A127" s="253" t="str">
        <f>"("&amp;ROWS(FootnoteStart:A127)-1&amp;") F2000A extraordinary items include amortization of goodwill and $289MM in legal expenses related to Caldera."</f>
        <v>(1) F2000A extraordinary items include amortization of goodwill and $289MM in legal expenses related to Caldera.</v>
      </c>
      <c r="B127" s="253"/>
      <c r="C127" s="253"/>
      <c r="D127" s="253"/>
      <c r="E127" s="253"/>
      <c r="F127" s="253"/>
      <c r="G127" s="253"/>
      <c r="H127" s="253"/>
      <c r="I127" s="253"/>
      <c r="J127" s="253"/>
      <c r="K127" s="253"/>
      <c r="L127" s="253"/>
      <c r="M127" s="253"/>
      <c r="N127" s="253"/>
      <c r="O127" s="253"/>
      <c r="P127" s="253"/>
      <c r="Q127" s="253"/>
      <c r="R127" s="253"/>
      <c r="S127" s="253"/>
      <c r="T127" s="253"/>
      <c r="U127" s="253"/>
      <c r="V127" s="253"/>
      <c r="W127" s="253"/>
      <c r="X127" s="253"/>
      <c r="Y127" s="253"/>
      <c r="Z127" s="253"/>
      <c r="AA127" s="253"/>
      <c r="AB127" s="253"/>
      <c r="AC127" s="253"/>
      <c r="AD127" s="253"/>
      <c r="AE127" s="253"/>
      <c r="AF127" s="253"/>
      <c r="AG127" s="253"/>
      <c r="AH127" s="253"/>
      <c r="AI127" s="253"/>
      <c r="AJ127" s="253"/>
      <c r="AK127" s="253"/>
      <c r="AL127" s="253"/>
      <c r="AM127" s="253"/>
      <c r="AN127" s="253"/>
      <c r="AO127" s="253"/>
      <c r="AP127" s="253"/>
      <c r="AQ127" s="253"/>
      <c r="AR127" s="253"/>
      <c r="AS127" s="253"/>
      <c r="AT127" s="253"/>
      <c r="AU127" s="253"/>
      <c r="AV127" s="253"/>
      <c r="AW127" s="253"/>
      <c r="AX127" s="253"/>
      <c r="AY127" s="253"/>
      <c r="AZ127" s="253"/>
      <c r="BA127" s="253"/>
      <c r="BB127" s="253"/>
      <c r="BC127" s="253"/>
      <c r="BD127" s="253"/>
      <c r="BE127" s="253"/>
      <c r="BF127" s="253"/>
      <c r="BG127" s="253"/>
      <c r="BH127" s="253"/>
      <c r="BI127" s="253"/>
      <c r="BJ127" s="253"/>
      <c r="BK127" s="253"/>
      <c r="BL127" s="253"/>
      <c r="BM127" s="253"/>
      <c r="BN127" s="253"/>
      <c r="BO127" s="253"/>
      <c r="BP127" s="253"/>
      <c r="BQ127" s="253"/>
      <c r="BR127" s="253"/>
      <c r="BS127" s="253"/>
      <c r="BT127" s="253"/>
      <c r="BU127" s="253"/>
      <c r="BV127" s="253"/>
      <c r="BW127" s="253"/>
      <c r="BX127" s="253"/>
      <c r="BY127" s="253"/>
      <c r="BZ127" s="253"/>
      <c r="CK127" s="336"/>
      <c r="CL127" s="336"/>
      <c r="CM127" s="336"/>
      <c r="CN127" s="336"/>
      <c r="CO127" s="336"/>
      <c r="CP127" s="336"/>
      <c r="CQ127" s="336"/>
      <c r="CR127" s="336"/>
      <c r="CS127" s="336"/>
      <c r="CT127" s="336"/>
      <c r="CU127" s="336"/>
      <c r="CV127" s="336"/>
      <c r="CW127" s="336"/>
      <c r="CX127" s="336"/>
      <c r="CY127" s="336"/>
      <c r="CZ127" s="336"/>
      <c r="DA127" s="336"/>
      <c r="DB127" s="336"/>
      <c r="DC127" s="416"/>
      <c r="DD127" s="336"/>
      <c r="DE127" s="336"/>
      <c r="DF127" s="336"/>
      <c r="DG127" s="336"/>
      <c r="DH127" s="416"/>
      <c r="DI127" s="336"/>
      <c r="DJ127" s="416"/>
      <c r="DK127" s="416"/>
      <c r="DL127" s="416"/>
      <c r="DM127" s="416"/>
      <c r="DN127" s="336"/>
      <c r="DO127" s="336"/>
      <c r="DP127" s="416"/>
      <c r="DQ127" s="416"/>
      <c r="DR127" s="416"/>
      <c r="DS127" s="416"/>
      <c r="DT127" s="416"/>
      <c r="DU127" s="416"/>
      <c r="DV127" s="416"/>
      <c r="DW127" s="416"/>
      <c r="DX127" s="416"/>
      <c r="DY127" s="416"/>
      <c r="DZ127" s="416"/>
      <c r="EA127" s="336"/>
      <c r="EB127" s="416"/>
      <c r="EC127" s="336"/>
      <c r="ED127" s="416"/>
      <c r="EE127" s="416"/>
      <c r="EF127" s="416"/>
      <c r="EG127" s="416"/>
      <c r="EH127" s="336"/>
      <c r="EI127" s="2739"/>
      <c r="EJ127" s="2739"/>
      <c r="EK127" s="2739"/>
      <c r="EL127" s="2739"/>
      <c r="EM127" s="2738"/>
      <c r="EN127" s="2739"/>
      <c r="EO127" s="2739"/>
      <c r="EP127" s="2738"/>
      <c r="EQ127" s="2738"/>
      <c r="ER127" s="2738"/>
      <c r="ES127" s="336"/>
      <c r="ET127" s="2739"/>
      <c r="EU127" s="336"/>
      <c r="EV127" s="336"/>
      <c r="EW127" s="336"/>
      <c r="EX127" s="336"/>
      <c r="EY127" s="336"/>
      <c r="EZ127" s="336"/>
      <c r="FA127" s="336"/>
      <c r="FB127" s="336"/>
      <c r="FC127" s="336"/>
      <c r="FD127" s="336"/>
      <c r="FE127" s="336"/>
      <c r="FF127" s="336"/>
      <c r="FG127" s="336"/>
      <c r="FH127" s="336"/>
      <c r="FI127" s="336"/>
      <c r="FJ127" s="336"/>
      <c r="FK127" s="336"/>
      <c r="FL127" s="336"/>
      <c r="FX127" s="339"/>
      <c r="FY127" s="339"/>
      <c r="FZ127" s="339"/>
      <c r="GA127" s="339"/>
      <c r="GB127" s="339"/>
      <c r="GC127" s="339"/>
      <c r="GD127" s="339"/>
      <c r="GE127" s="339"/>
      <c r="GF127" s="339"/>
      <c r="GG127" s="339"/>
      <c r="GH127" s="339"/>
      <c r="GI127" s="339"/>
      <c r="GJ127" s="253"/>
      <c r="GK127" s="253"/>
      <c r="GL127" s="253"/>
      <c r="GN127"/>
      <c r="GO127"/>
      <c r="GP127"/>
      <c r="GQ127"/>
      <c r="GR127"/>
      <c r="GS127"/>
    </row>
    <row r="128" spans="1:201" s="264" customFormat="1" ht="10.5" hidden="1" customHeight="1" outlineLevel="1">
      <c r="A128" s="253" t="str">
        <f>"("&amp;ROWS(FootnoteStart:A128)-1&amp;") F2001A extraordinary items include amortization of goodwill, impairment of investments, and accounting change."</f>
        <v>(2) F2001A extraordinary items include amortization of goodwill, impairment of investments, and accounting change.</v>
      </c>
      <c r="B128" s="253"/>
      <c r="C128" s="253"/>
      <c r="D128" s="253"/>
      <c r="E128" s="253"/>
      <c r="F128" s="253"/>
      <c r="G128" s="253"/>
      <c r="H128" s="253"/>
      <c r="I128" s="253"/>
      <c r="J128" s="253"/>
      <c r="K128" s="253"/>
      <c r="L128" s="253"/>
      <c r="M128" s="253"/>
      <c r="N128" s="253"/>
      <c r="O128" s="253"/>
      <c r="P128" s="253"/>
      <c r="Q128" s="253"/>
      <c r="R128" s="253"/>
      <c r="S128" s="253"/>
      <c r="T128" s="253"/>
      <c r="U128" s="253"/>
      <c r="V128" s="253"/>
      <c r="W128" s="253"/>
      <c r="X128" s="253"/>
      <c r="Y128" s="253"/>
      <c r="Z128" s="253"/>
      <c r="AA128" s="253"/>
      <c r="AB128" s="253"/>
      <c r="AC128" s="253"/>
      <c r="AD128" s="253"/>
      <c r="AE128" s="253"/>
      <c r="AF128" s="253"/>
      <c r="AG128" s="253"/>
      <c r="AH128" s="253"/>
      <c r="AI128" s="253"/>
      <c r="AJ128" s="253"/>
      <c r="AK128" s="253"/>
      <c r="AL128" s="253"/>
      <c r="AM128" s="253"/>
      <c r="AN128" s="253"/>
      <c r="AO128" s="253"/>
      <c r="AP128" s="253"/>
      <c r="AQ128" s="253"/>
      <c r="AR128" s="253"/>
      <c r="AS128" s="253"/>
      <c r="AT128" s="253"/>
      <c r="AU128" s="253"/>
      <c r="AV128" s="253"/>
      <c r="AW128" s="253"/>
      <c r="AX128" s="253"/>
      <c r="AY128" s="253"/>
      <c r="AZ128" s="253"/>
      <c r="BA128" s="253"/>
      <c r="BB128" s="253"/>
      <c r="BC128" s="253"/>
      <c r="BD128" s="253"/>
      <c r="BE128" s="253"/>
      <c r="BF128" s="253"/>
      <c r="BG128" s="253"/>
      <c r="BH128" s="253"/>
      <c r="BI128" s="253"/>
      <c r="BJ128" s="253"/>
      <c r="BK128" s="253"/>
      <c r="BL128" s="253"/>
      <c r="BM128" s="253"/>
      <c r="BN128" s="253"/>
      <c r="BO128" s="253"/>
      <c r="BP128" s="253"/>
      <c r="BQ128" s="253"/>
      <c r="BR128" s="253"/>
      <c r="BS128" s="253"/>
      <c r="BT128" s="253"/>
      <c r="BU128" s="253"/>
      <c r="BV128" s="253"/>
      <c r="BW128" s="253"/>
      <c r="BX128" s="253"/>
      <c r="BY128" s="253"/>
      <c r="BZ128" s="253"/>
      <c r="CF128" s="242"/>
      <c r="CK128" s="336"/>
      <c r="CL128" s="336"/>
      <c r="CM128" s="336"/>
      <c r="CN128" s="336"/>
      <c r="CO128" s="336"/>
      <c r="CP128" s="336"/>
      <c r="CQ128" s="336"/>
      <c r="CR128" s="336"/>
      <c r="CS128" s="336"/>
      <c r="CT128" s="336"/>
      <c r="CU128" s="336"/>
      <c r="CV128" s="336"/>
      <c r="CW128" s="336"/>
      <c r="CX128" s="336"/>
      <c r="CY128" s="336"/>
      <c r="CZ128" s="336"/>
      <c r="DA128" s="336"/>
      <c r="DB128" s="336"/>
      <c r="DC128" s="416"/>
      <c r="DD128" s="336"/>
      <c r="DE128" s="336"/>
      <c r="DF128" s="336"/>
      <c r="DG128" s="336"/>
      <c r="DH128" s="416"/>
      <c r="DI128" s="336"/>
      <c r="DJ128" s="416"/>
      <c r="DK128" s="416"/>
      <c r="DL128" s="416"/>
      <c r="DM128" s="416"/>
      <c r="DN128" s="336"/>
      <c r="DO128" s="336"/>
      <c r="DP128" s="416"/>
      <c r="DQ128" s="416"/>
      <c r="DR128" s="416"/>
      <c r="DS128" s="416"/>
      <c r="DT128" s="416"/>
      <c r="DU128" s="416"/>
      <c r="DV128" s="416"/>
      <c r="DW128" s="416"/>
      <c r="DX128" s="416"/>
      <c r="DY128" s="416"/>
      <c r="DZ128" s="416"/>
      <c r="EA128" s="336"/>
      <c r="EB128" s="416"/>
      <c r="EC128" s="336"/>
      <c r="ED128" s="416"/>
      <c r="EE128" s="416"/>
      <c r="EF128" s="416"/>
      <c r="EG128" s="416"/>
      <c r="EH128" s="336"/>
      <c r="EI128" s="2739"/>
      <c r="EJ128" s="2739"/>
      <c r="EK128" s="2739"/>
      <c r="EL128" s="2739"/>
      <c r="EM128" s="2738"/>
      <c r="EN128" s="2739"/>
      <c r="EO128" s="2739"/>
      <c r="EP128" s="2738"/>
      <c r="EQ128" s="2738"/>
      <c r="ER128" s="2738"/>
      <c r="ES128" s="336"/>
      <c r="ET128" s="2739"/>
      <c r="EU128" s="336"/>
      <c r="EV128" s="336"/>
      <c r="EW128" s="336"/>
      <c r="EX128" s="336"/>
      <c r="EY128" s="336"/>
      <c r="EZ128" s="336"/>
      <c r="FA128" s="336"/>
      <c r="FB128" s="336"/>
      <c r="FC128" s="336"/>
      <c r="FD128" s="336"/>
      <c r="FE128" s="336"/>
      <c r="FF128" s="336"/>
      <c r="FG128" s="336"/>
      <c r="FH128" s="336"/>
      <c r="FI128" s="336"/>
      <c r="FJ128" s="336"/>
      <c r="FK128" s="336"/>
      <c r="FL128" s="336"/>
      <c r="FX128" s="339"/>
      <c r="FY128" s="339"/>
      <c r="FZ128" s="339"/>
      <c r="GA128" s="339"/>
      <c r="GB128" s="339"/>
      <c r="GC128" s="339"/>
      <c r="GD128" s="339"/>
      <c r="GE128" s="339"/>
      <c r="GF128" s="339"/>
      <c r="GG128" s="339"/>
      <c r="GH128" s="339"/>
      <c r="GI128" s="339"/>
      <c r="GJ128" s="253"/>
      <c r="GK128" s="253"/>
      <c r="GL128" s="253"/>
      <c r="GN128"/>
      <c r="GO128"/>
      <c r="GP128"/>
      <c r="GQ128"/>
      <c r="GR128"/>
      <c r="GS128"/>
    </row>
    <row r="129" spans="1:201" s="264" customFormat="1" ht="10.5" hidden="1" customHeight="1" outlineLevel="1">
      <c r="A129" s="253" t="str">
        <f>"("&amp;ROWS(FootnoteStart:A129)-1&amp;") F2002A extraordinary items include impairments on investments and $660MM in legal expenses related to antitrust."</f>
        <v>(3) F2002A extraordinary items include impairments on investments and $660MM in legal expenses related to antitrust.</v>
      </c>
      <c r="B129" s="253"/>
      <c r="C129" s="253"/>
      <c r="D129" s="253"/>
      <c r="E129" s="253"/>
      <c r="F129" s="253"/>
      <c r="G129" s="253"/>
      <c r="H129" s="253"/>
      <c r="I129" s="253"/>
      <c r="J129" s="253"/>
      <c r="K129" s="253"/>
      <c r="L129" s="253"/>
      <c r="M129" s="253"/>
      <c r="N129" s="253"/>
      <c r="O129" s="253"/>
      <c r="P129" s="253"/>
      <c r="Q129" s="253"/>
      <c r="R129" s="253"/>
      <c r="S129" s="253"/>
      <c r="T129" s="253"/>
      <c r="U129" s="253"/>
      <c r="V129" s="253"/>
      <c r="W129" s="253"/>
      <c r="X129" s="253"/>
      <c r="Y129" s="253"/>
      <c r="Z129" s="253"/>
      <c r="AA129" s="253"/>
      <c r="AB129" s="253"/>
      <c r="AC129" s="253"/>
      <c r="AD129" s="242"/>
      <c r="AE129" s="242"/>
      <c r="AF129" s="242"/>
      <c r="AG129" s="242"/>
      <c r="AH129" s="242"/>
      <c r="AI129" s="242"/>
      <c r="AJ129" s="242"/>
      <c r="AK129" s="253"/>
      <c r="AL129" s="253"/>
      <c r="AM129" s="253"/>
      <c r="AN129" s="253"/>
      <c r="AO129" s="253"/>
      <c r="AP129" s="253"/>
      <c r="AQ129" s="253"/>
      <c r="AR129" s="253"/>
      <c r="AS129" s="253"/>
      <c r="AT129" s="253"/>
      <c r="AU129" s="253"/>
      <c r="AV129" s="253"/>
      <c r="AW129" s="253"/>
      <c r="AX129" s="253"/>
      <c r="AY129" s="253"/>
      <c r="AZ129" s="253"/>
      <c r="BA129" s="253"/>
      <c r="BB129" s="253"/>
      <c r="BC129" s="253"/>
      <c r="BD129" s="253"/>
      <c r="BE129" s="253"/>
      <c r="BF129" s="253"/>
      <c r="BG129" s="253"/>
      <c r="BH129" s="253"/>
      <c r="BI129" s="253"/>
      <c r="BJ129" s="253"/>
      <c r="BK129" s="253"/>
      <c r="BL129" s="253"/>
      <c r="BM129" s="253"/>
      <c r="BN129" s="253"/>
      <c r="BO129" s="253"/>
      <c r="BP129" s="253"/>
      <c r="BQ129" s="253"/>
      <c r="BR129" s="253"/>
      <c r="BS129" s="253"/>
      <c r="BT129" s="253"/>
      <c r="BU129" s="253"/>
      <c r="BV129" s="253"/>
      <c r="BW129" s="253"/>
      <c r="BX129" s="253"/>
      <c r="BY129" s="253"/>
      <c r="BZ129" s="253"/>
      <c r="CK129" s="336"/>
      <c r="CL129" s="336"/>
      <c r="CM129" s="336"/>
      <c r="CN129" s="336"/>
      <c r="CO129" s="336"/>
      <c r="CP129" s="336"/>
      <c r="CQ129" s="336"/>
      <c r="CR129" s="336"/>
      <c r="CS129" s="336"/>
      <c r="CT129" s="336"/>
      <c r="CU129" s="336"/>
      <c r="CV129" s="336"/>
      <c r="CW129" s="336"/>
      <c r="CX129" s="336"/>
      <c r="CY129" s="336"/>
      <c r="CZ129" s="336"/>
      <c r="DA129" s="336"/>
      <c r="DB129" s="336"/>
      <c r="DC129" s="416"/>
      <c r="DD129" s="336"/>
      <c r="DE129" s="336"/>
      <c r="DF129" s="336"/>
      <c r="DG129" s="336"/>
      <c r="DH129" s="416"/>
      <c r="DI129" s="336"/>
      <c r="DJ129" s="416"/>
      <c r="DK129" s="416"/>
      <c r="DL129" s="416"/>
      <c r="DM129" s="416"/>
      <c r="DN129" s="336"/>
      <c r="DO129" s="336"/>
      <c r="DP129" s="416"/>
      <c r="DQ129" s="416"/>
      <c r="DR129" s="416"/>
      <c r="DS129" s="416"/>
      <c r="DT129" s="416"/>
      <c r="DU129" s="416"/>
      <c r="DV129" s="416"/>
      <c r="DW129" s="416"/>
      <c r="DX129" s="416"/>
      <c r="DY129" s="416"/>
      <c r="DZ129" s="416"/>
      <c r="EA129" s="336"/>
      <c r="EB129" s="416"/>
      <c r="EC129" s="336"/>
      <c r="ED129" s="416"/>
      <c r="EE129" s="416"/>
      <c r="EF129" s="416"/>
      <c r="EG129" s="416"/>
      <c r="EH129" s="336"/>
      <c r="EI129" s="2739"/>
      <c r="EJ129" s="2739"/>
      <c r="EK129" s="2739"/>
      <c r="EL129" s="2739"/>
      <c r="EM129" s="2738"/>
      <c r="EN129" s="2739"/>
      <c r="EO129" s="2739"/>
      <c r="EP129" s="2738"/>
      <c r="EQ129" s="2738"/>
      <c r="ER129" s="2738"/>
      <c r="ES129" s="336"/>
      <c r="ET129" s="2739"/>
      <c r="EU129" s="336"/>
      <c r="EV129" s="336"/>
      <c r="EW129" s="336"/>
      <c r="EX129" s="336"/>
      <c r="EY129" s="336"/>
      <c r="EZ129" s="336"/>
      <c r="FA129" s="336"/>
      <c r="FB129" s="336"/>
      <c r="FC129" s="336"/>
      <c r="FD129" s="336"/>
      <c r="FE129" s="336"/>
      <c r="FF129" s="336"/>
      <c r="FG129" s="336"/>
      <c r="FH129" s="336"/>
      <c r="FI129" s="336"/>
      <c r="FJ129" s="336"/>
      <c r="FK129" s="336"/>
      <c r="FL129" s="336"/>
      <c r="FX129" s="339"/>
      <c r="FY129" s="339"/>
      <c r="FZ129" s="339"/>
      <c r="GA129" s="339"/>
      <c r="GB129" s="339"/>
      <c r="GC129" s="339"/>
      <c r="GD129" s="339"/>
      <c r="GE129" s="339"/>
      <c r="GF129" s="339"/>
      <c r="GG129" s="339"/>
      <c r="GH129" s="339"/>
      <c r="GI129" s="339"/>
      <c r="GJ129" s="253"/>
      <c r="GK129" s="253"/>
      <c r="GL129" s="253"/>
      <c r="GN129"/>
      <c r="GO129"/>
      <c r="GP129"/>
      <c r="GQ129"/>
      <c r="GR129"/>
      <c r="GS129"/>
    </row>
    <row r="130" spans="1:201" s="264" customFormat="1" ht="10.5" hidden="1" customHeight="1" outlineLevel="1">
      <c r="A130" s="253" t="str">
        <f>"("&amp;ROWS(FootnoteStart:A130)-1&amp;") F2002A prior not restated for SFAS 123 stock compensation."</f>
        <v>(4) F2002A prior not restated for SFAS 123 stock compensation.</v>
      </c>
      <c r="B130" s="253"/>
      <c r="C130" s="253"/>
      <c r="D130" s="253"/>
      <c r="E130" s="253"/>
      <c r="F130" s="253"/>
      <c r="G130" s="253"/>
      <c r="H130" s="253"/>
      <c r="I130" s="253"/>
      <c r="J130" s="253"/>
      <c r="K130" s="253"/>
      <c r="L130" s="253"/>
      <c r="M130" s="253"/>
      <c r="N130" s="253"/>
      <c r="O130" s="253"/>
      <c r="P130" s="253"/>
      <c r="Q130" s="253"/>
      <c r="R130" s="253"/>
      <c r="S130" s="253"/>
      <c r="T130" s="253"/>
      <c r="U130" s="253"/>
      <c r="V130" s="253"/>
      <c r="W130" s="253"/>
      <c r="X130" s="253"/>
      <c r="Y130" s="253"/>
      <c r="Z130" s="253"/>
      <c r="AA130" s="253"/>
      <c r="AB130" s="253"/>
      <c r="AC130" s="253"/>
      <c r="AD130" s="253"/>
      <c r="AE130" s="253"/>
      <c r="AF130" s="253"/>
      <c r="AG130" s="253"/>
      <c r="AH130" s="253"/>
      <c r="AI130" s="253"/>
      <c r="AJ130" s="253"/>
      <c r="AK130" s="253"/>
      <c r="AL130" s="253"/>
      <c r="AM130" s="253"/>
      <c r="AN130" s="253"/>
      <c r="AO130" s="253"/>
      <c r="AP130" s="253"/>
      <c r="AQ130" s="253"/>
      <c r="AR130" s="253"/>
      <c r="AS130" s="253"/>
      <c r="AT130" s="253"/>
      <c r="AU130" s="253"/>
      <c r="AV130" s="253"/>
      <c r="AW130" s="253"/>
      <c r="AX130" s="253"/>
      <c r="AY130" s="253"/>
      <c r="AZ130" s="253"/>
      <c r="BA130" s="253"/>
      <c r="BB130" s="253"/>
      <c r="BC130" s="253"/>
      <c r="BD130" s="253"/>
      <c r="BE130" s="253"/>
      <c r="BF130" s="253"/>
      <c r="BG130" s="253"/>
      <c r="BH130" s="253"/>
      <c r="BI130" s="253"/>
      <c r="BJ130" s="253"/>
      <c r="BK130" s="253"/>
      <c r="BL130" s="253"/>
      <c r="BM130" s="253"/>
      <c r="BN130" s="253"/>
      <c r="BO130" s="253"/>
      <c r="BP130" s="253"/>
      <c r="BQ130" s="253"/>
      <c r="BR130" s="253"/>
      <c r="BS130" s="253"/>
      <c r="BT130" s="253"/>
      <c r="BU130" s="253"/>
      <c r="BV130" s="253"/>
      <c r="BW130" s="253"/>
      <c r="BX130" s="253"/>
      <c r="BY130" s="253"/>
      <c r="BZ130" s="253"/>
      <c r="CK130" s="336"/>
      <c r="CL130" s="336"/>
      <c r="CM130" s="336"/>
      <c r="CN130" s="336"/>
      <c r="CO130" s="336"/>
      <c r="CP130" s="336"/>
      <c r="CQ130" s="336"/>
      <c r="CR130" s="336"/>
      <c r="CS130" s="336"/>
      <c r="CT130" s="336"/>
      <c r="CU130" s="336"/>
      <c r="CV130" s="336"/>
      <c r="CW130" s="336"/>
      <c r="CX130" s="336"/>
      <c r="CY130" s="336"/>
      <c r="CZ130" s="336"/>
      <c r="DA130" s="336"/>
      <c r="DB130" s="336"/>
      <c r="DC130" s="416"/>
      <c r="DD130" s="336"/>
      <c r="DE130" s="336"/>
      <c r="DF130" s="336"/>
      <c r="DG130" s="336"/>
      <c r="DH130" s="416"/>
      <c r="DI130" s="336"/>
      <c r="DJ130" s="416"/>
      <c r="DK130" s="416"/>
      <c r="DL130" s="416"/>
      <c r="DM130" s="416"/>
      <c r="DN130" s="336"/>
      <c r="DO130" s="336"/>
      <c r="DP130" s="416"/>
      <c r="DQ130" s="416"/>
      <c r="DR130" s="416"/>
      <c r="DS130" s="416"/>
      <c r="DT130" s="416"/>
      <c r="DU130" s="416"/>
      <c r="DV130" s="416"/>
      <c r="DW130" s="416"/>
      <c r="DX130" s="416"/>
      <c r="DY130" s="416"/>
      <c r="DZ130" s="416"/>
      <c r="EA130" s="336"/>
      <c r="EB130" s="416"/>
      <c r="EC130" s="336"/>
      <c r="ED130" s="416"/>
      <c r="EE130" s="416"/>
      <c r="EF130" s="416"/>
      <c r="EG130" s="416"/>
      <c r="EH130" s="336"/>
      <c r="EI130" s="2739"/>
      <c r="EJ130" s="2739"/>
      <c r="EK130" s="2739"/>
      <c r="EL130" s="2739"/>
      <c r="EM130" s="2738"/>
      <c r="EN130" s="2739"/>
      <c r="EO130" s="2739"/>
      <c r="EP130" s="2738"/>
      <c r="EQ130" s="2738"/>
      <c r="ER130" s="2738"/>
      <c r="ES130" s="336"/>
      <c r="ET130" s="2739"/>
      <c r="EU130" s="336"/>
      <c r="EV130" s="336"/>
      <c r="EW130" s="336"/>
      <c r="EX130" s="336"/>
      <c r="EY130" s="336"/>
      <c r="EZ130" s="336"/>
      <c r="FA130" s="336"/>
      <c r="FB130" s="336"/>
      <c r="FC130" s="336"/>
      <c r="FD130" s="336"/>
      <c r="FE130" s="336"/>
      <c r="FF130" s="336"/>
      <c r="FG130" s="336"/>
      <c r="FH130" s="336"/>
      <c r="FI130" s="336"/>
      <c r="FJ130" s="336"/>
      <c r="FK130" s="336"/>
      <c r="FL130" s="336"/>
      <c r="FX130" s="339"/>
      <c r="FY130" s="339"/>
      <c r="FZ130" s="339"/>
      <c r="GA130" s="339"/>
      <c r="GB130" s="339"/>
      <c r="GC130" s="339"/>
      <c r="GD130" s="339"/>
      <c r="GE130" s="339"/>
      <c r="GF130" s="339"/>
      <c r="GG130" s="339"/>
      <c r="GH130" s="339"/>
      <c r="GI130" s="339"/>
      <c r="GJ130" s="253"/>
      <c r="GK130" s="253"/>
      <c r="GL130" s="253"/>
      <c r="GN130"/>
      <c r="GO130"/>
      <c r="GP130"/>
      <c r="GQ130"/>
      <c r="GR130"/>
      <c r="GS130"/>
    </row>
    <row r="131" spans="1:201" s="264" customFormat="1" ht="10.5" hidden="1" customHeight="1" outlineLevel="1">
      <c r="A131" s="253" t="str">
        <f>"("&amp;ROWS(FootnoteStart:A131)-1&amp;") Navision reflected in Business Solutions revenue as of 9/02."</f>
        <v>(5) Navision reflected in Business Solutions revenue as of 9/02.</v>
      </c>
      <c r="B131" s="253"/>
      <c r="C131" s="253"/>
      <c r="D131" s="253"/>
      <c r="E131" s="253"/>
      <c r="F131" s="253"/>
      <c r="G131" s="253"/>
      <c r="H131" s="253"/>
      <c r="I131" s="253"/>
      <c r="J131" s="253"/>
      <c r="K131" s="253"/>
      <c r="L131" s="253"/>
      <c r="M131" s="253"/>
      <c r="N131" s="253"/>
      <c r="O131" s="253"/>
      <c r="P131" s="253"/>
      <c r="Q131" s="253"/>
      <c r="R131" s="253"/>
      <c r="S131" s="253"/>
      <c r="T131" s="253"/>
      <c r="U131" s="253"/>
      <c r="V131" s="253"/>
      <c r="W131" s="253"/>
      <c r="X131" s="253"/>
      <c r="Y131" s="253"/>
      <c r="Z131" s="253"/>
      <c r="AA131" s="253"/>
      <c r="AB131" s="253"/>
      <c r="AC131" s="253"/>
      <c r="AD131" s="253"/>
      <c r="AE131" s="253"/>
      <c r="AF131" s="253"/>
      <c r="AG131" s="253"/>
      <c r="AH131" s="253"/>
      <c r="AI131" s="253"/>
      <c r="AJ131" s="253"/>
      <c r="AK131" s="253"/>
      <c r="AL131" s="253"/>
      <c r="AM131" s="253"/>
      <c r="AN131" s="253"/>
      <c r="AO131" s="253"/>
      <c r="AP131" s="253"/>
      <c r="AQ131" s="253"/>
      <c r="AR131" s="253"/>
      <c r="AS131" s="253"/>
      <c r="AT131" s="253"/>
      <c r="AU131" s="253"/>
      <c r="AV131" s="253"/>
      <c r="AW131" s="253"/>
      <c r="AX131" s="253"/>
      <c r="AY131" s="253"/>
      <c r="AZ131" s="253"/>
      <c r="BA131" s="253"/>
      <c r="BB131" s="253"/>
      <c r="BC131" s="253"/>
      <c r="BD131" s="253"/>
      <c r="BE131" s="253"/>
      <c r="BF131" s="253"/>
      <c r="BG131" s="253"/>
      <c r="BH131" s="253"/>
      <c r="BI131" s="253"/>
      <c r="BJ131" s="253"/>
      <c r="BK131" s="253"/>
      <c r="BL131" s="253"/>
      <c r="BM131" s="253"/>
      <c r="BN131" s="253"/>
      <c r="BO131" s="253"/>
      <c r="BP131" s="253"/>
      <c r="BQ131" s="253"/>
      <c r="BR131" s="253"/>
      <c r="BS131" s="253"/>
      <c r="BT131" s="253"/>
      <c r="BU131" s="253"/>
      <c r="BV131" s="253"/>
      <c r="BW131" s="253"/>
      <c r="BX131" s="253"/>
      <c r="BY131" s="253"/>
      <c r="BZ131" s="253"/>
      <c r="CK131" s="336"/>
      <c r="CL131" s="336"/>
      <c r="CM131" s="336"/>
      <c r="CN131" s="336"/>
      <c r="CO131" s="336"/>
      <c r="CP131" s="336"/>
      <c r="CQ131" s="336"/>
      <c r="CR131" s="336"/>
      <c r="CS131" s="336"/>
      <c r="CT131" s="336"/>
      <c r="CU131" s="336"/>
      <c r="CV131" s="336"/>
      <c r="CW131" s="336"/>
      <c r="CX131" s="336"/>
      <c r="CY131" s="336"/>
      <c r="CZ131" s="336"/>
      <c r="DA131" s="336"/>
      <c r="DB131" s="336"/>
      <c r="DC131" s="416"/>
      <c r="DD131" s="336"/>
      <c r="DE131" s="336"/>
      <c r="DF131" s="336"/>
      <c r="DG131" s="336"/>
      <c r="DH131" s="416"/>
      <c r="DI131" s="336"/>
      <c r="DJ131" s="416"/>
      <c r="DK131" s="416"/>
      <c r="DL131" s="416"/>
      <c r="DM131" s="416"/>
      <c r="DN131" s="336"/>
      <c r="DO131" s="336"/>
      <c r="DP131" s="416"/>
      <c r="DQ131" s="416"/>
      <c r="DR131" s="416"/>
      <c r="DS131" s="416"/>
      <c r="DT131" s="416"/>
      <c r="DU131" s="416"/>
      <c r="DV131" s="416"/>
      <c r="DW131" s="416"/>
      <c r="DX131" s="416"/>
      <c r="DY131" s="416"/>
      <c r="DZ131" s="416"/>
      <c r="EA131" s="336"/>
      <c r="EB131" s="416"/>
      <c r="EC131" s="336"/>
      <c r="ED131" s="416"/>
      <c r="EE131" s="416"/>
      <c r="EF131" s="416"/>
      <c r="EG131" s="416"/>
      <c r="EH131" s="336"/>
      <c r="EI131" s="2739"/>
      <c r="EJ131" s="2739"/>
      <c r="EK131" s="2739"/>
      <c r="EL131" s="2739"/>
      <c r="EM131" s="2738"/>
      <c r="EN131" s="2739"/>
      <c r="EO131" s="2739"/>
      <c r="EP131" s="2738"/>
      <c r="EQ131" s="2738"/>
      <c r="ER131" s="2738"/>
      <c r="ES131" s="336"/>
      <c r="ET131" s="2739"/>
      <c r="EU131" s="336"/>
      <c r="EV131" s="336"/>
      <c r="EW131" s="336"/>
      <c r="EX131" s="336"/>
      <c r="EY131" s="336"/>
      <c r="EZ131" s="336"/>
      <c r="FA131" s="336"/>
      <c r="FB131" s="336"/>
      <c r="FC131" s="336"/>
      <c r="FD131" s="336"/>
      <c r="FE131" s="336"/>
      <c r="FF131" s="336"/>
      <c r="FG131" s="336"/>
      <c r="FH131" s="336"/>
      <c r="FI131" s="336"/>
      <c r="FJ131" s="336"/>
      <c r="FK131" s="336"/>
      <c r="FL131" s="336"/>
      <c r="FX131" s="339"/>
      <c r="FY131" s="339"/>
      <c r="FZ131" s="339"/>
      <c r="GA131" s="339"/>
      <c r="GB131" s="339"/>
      <c r="GC131" s="339"/>
      <c r="GD131" s="339"/>
      <c r="GE131" s="339"/>
      <c r="GF131" s="339"/>
      <c r="GG131" s="339"/>
      <c r="GH131" s="339"/>
      <c r="GI131" s="339"/>
      <c r="GJ131" s="253"/>
      <c r="GK131" s="253"/>
      <c r="GL131" s="253"/>
      <c r="GN131"/>
      <c r="GO131"/>
      <c r="GP131"/>
      <c r="GQ131"/>
      <c r="GR131"/>
      <c r="GS131"/>
    </row>
    <row r="132" spans="1:201" s="264" customFormat="1" ht="10.5" hidden="1" customHeight="1" outlineLevel="1">
      <c r="A132" s="253" t="str">
        <f>"("&amp;ROWS(FootnoteStart:A132)-1&amp;") F2003A extraordinary items include impairments on investments, $210MM in legal expenses related to antitrust, and $796MM in legal expenses related to AOL."</f>
        <v>(6) F2003A extraordinary items include impairments on investments, $210MM in legal expenses related to antitrust, and $796MM in legal expenses related to AOL.</v>
      </c>
      <c r="B132" s="253"/>
      <c r="C132" s="253"/>
      <c r="D132" s="253"/>
      <c r="E132" s="253"/>
      <c r="F132" s="253"/>
      <c r="G132" s="253"/>
      <c r="H132" s="253"/>
      <c r="I132" s="253"/>
      <c r="J132" s="253"/>
      <c r="K132" s="253"/>
      <c r="L132" s="253"/>
      <c r="M132" s="253"/>
      <c r="N132" s="253"/>
      <c r="O132" s="253"/>
      <c r="P132" s="253"/>
      <c r="Q132" s="253"/>
      <c r="R132" s="253"/>
      <c r="S132" s="253"/>
      <c r="T132" s="253"/>
      <c r="U132" s="253"/>
      <c r="V132" s="253"/>
      <c r="W132" s="253"/>
      <c r="X132" s="253"/>
      <c r="Y132" s="253"/>
      <c r="Z132" s="253"/>
      <c r="AA132" s="253"/>
      <c r="AB132" s="253"/>
      <c r="AC132" s="253"/>
      <c r="AD132" s="253"/>
      <c r="AE132" s="253"/>
      <c r="AF132" s="253"/>
      <c r="AG132" s="253"/>
      <c r="AH132" s="253"/>
      <c r="AI132" s="253"/>
      <c r="AJ132" s="253"/>
      <c r="AK132" s="253"/>
      <c r="AL132" s="253"/>
      <c r="AM132" s="253"/>
      <c r="AN132" s="253"/>
      <c r="AO132" s="253"/>
      <c r="AP132" s="253"/>
      <c r="AQ132" s="253"/>
      <c r="AR132" s="253"/>
      <c r="AS132" s="253"/>
      <c r="AT132" s="253"/>
      <c r="AU132" s="253"/>
      <c r="AV132" s="253"/>
      <c r="AW132" s="253"/>
      <c r="AX132" s="253"/>
      <c r="AY132" s="253"/>
      <c r="AZ132" s="253"/>
      <c r="BA132" s="253"/>
      <c r="BB132" s="253"/>
      <c r="BC132" s="253"/>
      <c r="BD132" s="253"/>
      <c r="BE132" s="253"/>
      <c r="BF132" s="253"/>
      <c r="BG132" s="253"/>
      <c r="BH132" s="253"/>
      <c r="BI132" s="253"/>
      <c r="BJ132" s="253"/>
      <c r="BK132" s="253"/>
      <c r="BL132" s="253"/>
      <c r="BM132" s="253"/>
      <c r="BN132" s="253"/>
      <c r="BO132" s="253"/>
      <c r="BP132" s="253"/>
      <c r="BQ132" s="253"/>
      <c r="BR132" s="253"/>
      <c r="BS132" s="253"/>
      <c r="BT132" s="253"/>
      <c r="BU132" s="253"/>
      <c r="BV132" s="253"/>
      <c r="BW132" s="253"/>
      <c r="BX132" s="253"/>
      <c r="BY132" s="253"/>
      <c r="BZ132" s="253"/>
      <c r="CK132" s="336"/>
      <c r="CL132" s="336"/>
      <c r="CM132" s="336"/>
      <c r="CN132" s="336"/>
      <c r="CO132" s="336"/>
      <c r="CP132" s="336"/>
      <c r="CQ132" s="336"/>
      <c r="CR132" s="336"/>
      <c r="CS132" s="336"/>
      <c r="CT132" s="336"/>
      <c r="CU132" s="336"/>
      <c r="CV132" s="336"/>
      <c r="CW132" s="336"/>
      <c r="CX132" s="336"/>
      <c r="CY132" s="336"/>
      <c r="CZ132" s="336"/>
      <c r="DA132" s="336"/>
      <c r="DB132" s="336"/>
      <c r="DC132" s="416"/>
      <c r="DD132" s="336"/>
      <c r="DE132" s="336"/>
      <c r="DF132" s="336"/>
      <c r="DG132" s="336"/>
      <c r="DH132" s="416"/>
      <c r="DI132" s="336"/>
      <c r="DJ132" s="416"/>
      <c r="DK132" s="416"/>
      <c r="DL132" s="416"/>
      <c r="DM132" s="416"/>
      <c r="DN132" s="336"/>
      <c r="DO132" s="336"/>
      <c r="DP132" s="416"/>
      <c r="DQ132" s="416"/>
      <c r="DR132" s="416"/>
      <c r="DS132" s="416"/>
      <c r="DT132" s="416"/>
      <c r="DU132" s="416"/>
      <c r="DV132" s="416"/>
      <c r="DW132" s="416"/>
      <c r="DX132" s="416"/>
      <c r="DY132" s="416"/>
      <c r="DZ132" s="416"/>
      <c r="EA132" s="336"/>
      <c r="EB132" s="416"/>
      <c r="EC132" s="336"/>
      <c r="ED132" s="416"/>
      <c r="EE132" s="416"/>
      <c r="EF132" s="416"/>
      <c r="EG132" s="416"/>
      <c r="EH132" s="336"/>
      <c r="EI132" s="2739"/>
      <c r="EJ132" s="2739"/>
      <c r="EK132" s="2739"/>
      <c r="EL132" s="2739"/>
      <c r="EM132" s="2738"/>
      <c r="EN132" s="2739"/>
      <c r="EO132" s="2739"/>
      <c r="EP132" s="2738"/>
      <c r="EQ132" s="2738"/>
      <c r="ER132" s="2738"/>
      <c r="ES132" s="336"/>
      <c r="ET132" s="2739"/>
      <c r="EU132" s="336"/>
      <c r="EV132" s="336"/>
      <c r="EW132" s="336"/>
      <c r="EX132" s="336"/>
      <c r="EY132" s="336"/>
      <c r="EZ132" s="336"/>
      <c r="FA132" s="336"/>
      <c r="FB132" s="336"/>
      <c r="FC132" s="336"/>
      <c r="FD132" s="336"/>
      <c r="FE132" s="336"/>
      <c r="FF132" s="336"/>
      <c r="FG132" s="336"/>
      <c r="FH132" s="336"/>
      <c r="FI132" s="336"/>
      <c r="FJ132" s="336"/>
      <c r="FK132" s="336"/>
      <c r="FL132" s="336"/>
      <c r="FX132" s="339"/>
      <c r="FY132" s="339"/>
      <c r="FZ132" s="339"/>
      <c r="GA132" s="339"/>
      <c r="GB132" s="339"/>
      <c r="GC132" s="339"/>
      <c r="GD132" s="339"/>
      <c r="GE132" s="339"/>
      <c r="GF132" s="339"/>
      <c r="GG132" s="339"/>
      <c r="GH132" s="339"/>
      <c r="GI132" s="339"/>
      <c r="GJ132" s="253"/>
      <c r="GK132" s="253"/>
      <c r="GL132" s="253"/>
      <c r="GN132"/>
      <c r="GO132"/>
      <c r="GP132"/>
      <c r="GQ132"/>
      <c r="GR132"/>
      <c r="GS132"/>
    </row>
    <row r="133" spans="1:201" s="264" customFormat="1" ht="10.5" hidden="1" customHeight="1" outlineLevel="1">
      <c r="A133" s="253" t="str">
        <f>"("&amp;ROWS(FootnoteStart:A133)-1&amp;") Stock compensation breakdown based on Morgan Stanley estimates, company filings and financials from MSFT Web site."</f>
        <v>(7) Stock compensation breakdown based on Morgan Stanley estimates, company filings and financials from MSFT Web site.</v>
      </c>
      <c r="B133" s="253"/>
      <c r="C133" s="253"/>
      <c r="D133" s="253"/>
      <c r="E133" s="253"/>
      <c r="F133" s="253"/>
      <c r="G133" s="253"/>
      <c r="H133" s="253"/>
      <c r="I133" s="253"/>
      <c r="J133" s="253"/>
      <c r="K133" s="253"/>
      <c r="L133" s="253"/>
      <c r="M133" s="253"/>
      <c r="N133" s="253"/>
      <c r="O133" s="253"/>
      <c r="P133" s="253"/>
      <c r="Q133" s="253"/>
      <c r="R133" s="253"/>
      <c r="S133" s="253"/>
      <c r="T133" s="253"/>
      <c r="U133" s="253"/>
      <c r="V133" s="253"/>
      <c r="W133" s="253"/>
      <c r="X133" s="253"/>
      <c r="Y133" s="253"/>
      <c r="Z133" s="253"/>
      <c r="AA133" s="253"/>
      <c r="AB133" s="253"/>
      <c r="AC133" s="253"/>
      <c r="AD133" s="253"/>
      <c r="AE133" s="253"/>
      <c r="AF133" s="253"/>
      <c r="AG133" s="253"/>
      <c r="AH133" s="253"/>
      <c r="AI133" s="253"/>
      <c r="AJ133" s="253"/>
      <c r="AK133" s="253"/>
      <c r="AL133" s="253"/>
      <c r="AM133" s="253"/>
      <c r="AN133" s="253"/>
      <c r="AO133" s="253"/>
      <c r="AP133" s="253"/>
      <c r="AQ133" s="253"/>
      <c r="AR133" s="253"/>
      <c r="AS133" s="253"/>
      <c r="AT133" s="253"/>
      <c r="AU133" s="253"/>
      <c r="AV133" s="253"/>
      <c r="AW133" s="253"/>
      <c r="AX133" s="253"/>
      <c r="AY133" s="253"/>
      <c r="AZ133" s="253"/>
      <c r="BA133" s="253"/>
      <c r="BB133" s="253"/>
      <c r="BC133" s="253"/>
      <c r="BD133" s="253"/>
      <c r="BE133" s="253"/>
      <c r="BF133" s="253"/>
      <c r="BG133" s="253"/>
      <c r="BH133" s="253"/>
      <c r="BI133" s="253"/>
      <c r="BJ133" s="253"/>
      <c r="BK133" s="253"/>
      <c r="BL133" s="253"/>
      <c r="BM133" s="253"/>
      <c r="BN133" s="253"/>
      <c r="BO133" s="253"/>
      <c r="BP133" s="253"/>
      <c r="BQ133" s="253"/>
      <c r="BR133" s="253"/>
      <c r="BS133" s="253"/>
      <c r="BT133" s="253"/>
      <c r="BU133" s="253"/>
      <c r="BV133" s="253"/>
      <c r="BW133" s="253"/>
      <c r="BX133" s="253"/>
      <c r="BY133" s="253"/>
      <c r="BZ133" s="253"/>
      <c r="CK133" s="336"/>
      <c r="CL133" s="336"/>
      <c r="CM133" s="336"/>
      <c r="CN133" s="336"/>
      <c r="CO133" s="336"/>
      <c r="CP133" s="336"/>
      <c r="CQ133" s="336"/>
      <c r="CR133" s="336"/>
      <c r="CS133" s="336"/>
      <c r="CT133" s="336"/>
      <c r="CU133" s="336"/>
      <c r="CV133" s="336"/>
      <c r="CW133" s="336"/>
      <c r="CX133" s="336"/>
      <c r="CY133" s="336"/>
      <c r="CZ133" s="336"/>
      <c r="DA133" s="336"/>
      <c r="DB133" s="336"/>
      <c r="DC133" s="416"/>
      <c r="DD133" s="336"/>
      <c r="DE133" s="336"/>
      <c r="DF133" s="336"/>
      <c r="DG133" s="336"/>
      <c r="DH133" s="416"/>
      <c r="DI133" s="336"/>
      <c r="DJ133" s="416"/>
      <c r="DK133" s="416"/>
      <c r="DL133" s="416"/>
      <c r="DM133" s="416"/>
      <c r="DN133" s="336"/>
      <c r="DO133" s="336"/>
      <c r="DP133" s="416"/>
      <c r="DQ133" s="416"/>
      <c r="DR133" s="416"/>
      <c r="DS133" s="416"/>
      <c r="DT133" s="416"/>
      <c r="DU133" s="416"/>
      <c r="DV133" s="416"/>
      <c r="DW133" s="416"/>
      <c r="DX133" s="416"/>
      <c r="DY133" s="416"/>
      <c r="DZ133" s="416"/>
      <c r="EA133" s="336"/>
      <c r="EB133" s="416"/>
      <c r="EC133" s="336"/>
      <c r="ED133" s="416"/>
      <c r="EE133" s="416"/>
      <c r="EF133" s="416"/>
      <c r="EG133" s="416"/>
      <c r="EH133" s="336"/>
      <c r="EI133" s="2739"/>
      <c r="EJ133" s="2739"/>
      <c r="EK133" s="2739"/>
      <c r="EL133" s="2739"/>
      <c r="EM133" s="2738"/>
      <c r="EN133" s="2739"/>
      <c r="EO133" s="2739"/>
      <c r="EP133" s="2738"/>
      <c r="EQ133" s="2738"/>
      <c r="ER133" s="2738"/>
      <c r="ES133" s="336"/>
      <c r="ET133" s="2739"/>
      <c r="EU133" s="336"/>
      <c r="EV133" s="336"/>
      <c r="EW133" s="336"/>
      <c r="EX133" s="336"/>
      <c r="EY133" s="336"/>
      <c r="EZ133" s="336"/>
      <c r="FA133" s="336"/>
      <c r="FB133" s="336"/>
      <c r="FC133" s="336"/>
      <c r="FD133" s="336"/>
      <c r="FE133" s="336"/>
      <c r="FF133" s="336"/>
      <c r="FG133" s="336"/>
      <c r="FH133" s="336"/>
      <c r="FI133" s="336"/>
      <c r="FJ133" s="336"/>
      <c r="FK133" s="336"/>
      <c r="FL133" s="336"/>
      <c r="FX133" s="339"/>
      <c r="FY133" s="339"/>
      <c r="FZ133" s="339"/>
      <c r="GA133" s="339"/>
      <c r="GB133" s="339"/>
      <c r="GC133" s="339"/>
      <c r="GD133" s="339"/>
      <c r="GE133" s="339"/>
      <c r="GF133" s="339"/>
      <c r="GG133" s="339"/>
      <c r="GH133" s="339"/>
      <c r="GI133" s="339"/>
      <c r="GJ133" s="253"/>
      <c r="GK133" s="253"/>
      <c r="GL133" s="253"/>
      <c r="GN133"/>
      <c r="GO133"/>
      <c r="GP133"/>
      <c r="GQ133"/>
      <c r="GR133"/>
      <c r="GS133"/>
    </row>
    <row r="134" spans="1:201" s="264" customFormat="1" ht="10.5" hidden="1" customHeight="1" outlineLevel="1">
      <c r="A134" s="253" t="str">
        <f>"("&amp;ROWS(FootnoteStart:A134)-1&amp;") F2004A extraordinary items include impairments on investments, $2,205MM related to the Stock Option Transfer Program, and $2,525MM related to the Sun Microsystems and EU settlement."</f>
        <v>(8) F2004A extraordinary items include impairments on investments, $2,205MM related to the Stock Option Transfer Program, and $2,525MM related to the Sun Microsystems and EU settlement.</v>
      </c>
      <c r="B134" s="253"/>
      <c r="C134" s="253"/>
      <c r="D134" s="253"/>
      <c r="E134" s="253"/>
      <c r="F134" s="253"/>
      <c r="G134" s="253"/>
      <c r="H134" s="253"/>
      <c r="I134" s="253"/>
      <c r="J134" s="253"/>
      <c r="K134" s="253"/>
      <c r="L134" s="253"/>
      <c r="M134" s="253"/>
      <c r="N134" s="253"/>
      <c r="O134" s="253"/>
      <c r="P134" s="253"/>
      <c r="Q134" s="253"/>
      <c r="R134" s="253"/>
      <c r="S134" s="253"/>
      <c r="T134" s="253"/>
      <c r="U134" s="253"/>
      <c r="V134" s="253"/>
      <c r="W134" s="253"/>
      <c r="X134" s="253"/>
      <c r="Y134" s="253"/>
      <c r="Z134" s="253"/>
      <c r="AA134" s="253"/>
      <c r="AB134" s="253"/>
      <c r="AC134" s="253"/>
      <c r="AD134" s="253"/>
      <c r="AE134" s="253"/>
      <c r="AF134" s="253"/>
      <c r="AG134" s="253"/>
      <c r="AH134" s="253"/>
      <c r="AI134" s="253"/>
      <c r="AJ134" s="253"/>
      <c r="AK134" s="253"/>
      <c r="AL134" s="253"/>
      <c r="AM134" s="253"/>
      <c r="AN134" s="253"/>
      <c r="AO134" s="253"/>
      <c r="AP134" s="253"/>
      <c r="AQ134" s="253"/>
      <c r="AR134" s="253"/>
      <c r="AS134" s="253"/>
      <c r="AT134" s="253"/>
      <c r="AU134" s="253"/>
      <c r="AV134" s="253"/>
      <c r="AW134" s="253"/>
      <c r="AX134" s="253"/>
      <c r="AY134" s="253"/>
      <c r="AZ134" s="253"/>
      <c r="BA134" s="253"/>
      <c r="BB134" s="253"/>
      <c r="BC134" s="253"/>
      <c r="BD134" s="253"/>
      <c r="BE134" s="253"/>
      <c r="BF134" s="253"/>
      <c r="BG134" s="253"/>
      <c r="BH134" s="253"/>
      <c r="BI134" s="253"/>
      <c r="BJ134" s="253"/>
      <c r="BK134" s="253"/>
      <c r="BL134" s="253"/>
      <c r="BM134" s="253"/>
      <c r="BN134" s="253"/>
      <c r="BO134" s="253"/>
      <c r="BP134" s="253"/>
      <c r="BQ134" s="253"/>
      <c r="BR134" s="253"/>
      <c r="BS134" s="253"/>
      <c r="BT134" s="253"/>
      <c r="BU134" s="253"/>
      <c r="BV134" s="253"/>
      <c r="BW134" s="253"/>
      <c r="BX134" s="253"/>
      <c r="BY134" s="253"/>
      <c r="BZ134" s="253"/>
      <c r="CK134" s="336"/>
      <c r="CL134" s="336"/>
      <c r="CM134" s="336"/>
      <c r="CN134" s="336"/>
      <c r="CO134" s="336"/>
      <c r="CP134" s="336"/>
      <c r="CQ134" s="336"/>
      <c r="CR134" s="336"/>
      <c r="CS134" s="336"/>
      <c r="CT134" s="336"/>
      <c r="CU134" s="336"/>
      <c r="CV134" s="336"/>
      <c r="CW134" s="336"/>
      <c r="CX134" s="336"/>
      <c r="CY134" s="336"/>
      <c r="CZ134" s="336"/>
      <c r="DA134" s="336"/>
      <c r="DB134" s="336"/>
      <c r="DC134" s="416"/>
      <c r="DD134" s="336"/>
      <c r="DE134" s="336"/>
      <c r="DF134" s="336"/>
      <c r="DG134" s="336"/>
      <c r="DH134" s="416"/>
      <c r="DI134" s="336"/>
      <c r="DJ134" s="416"/>
      <c r="DK134" s="416"/>
      <c r="DL134" s="416"/>
      <c r="DM134" s="416"/>
      <c r="DN134" s="336"/>
      <c r="DO134" s="336"/>
      <c r="DP134" s="416"/>
      <c r="DQ134" s="416"/>
      <c r="DR134" s="416"/>
      <c r="DS134" s="416"/>
      <c r="DT134" s="416"/>
      <c r="DU134" s="416"/>
      <c r="DV134" s="416"/>
      <c r="DW134" s="416"/>
      <c r="DX134" s="416"/>
      <c r="DY134" s="416"/>
      <c r="DZ134" s="416"/>
      <c r="EA134" s="336"/>
      <c r="EB134" s="416"/>
      <c r="EC134" s="336"/>
      <c r="ED134" s="416"/>
      <c r="EE134" s="416"/>
      <c r="EF134" s="416"/>
      <c r="EG134" s="416"/>
      <c r="EH134" s="336"/>
      <c r="EI134" s="2739"/>
      <c r="EJ134" s="2739"/>
      <c r="EK134" s="2739"/>
      <c r="EL134" s="2739"/>
      <c r="EM134" s="2738"/>
      <c r="EN134" s="2739"/>
      <c r="EO134" s="2739"/>
      <c r="EP134" s="2738"/>
      <c r="EQ134" s="2738"/>
      <c r="ER134" s="2738"/>
      <c r="ES134" s="336"/>
      <c r="ET134" s="2739"/>
      <c r="EU134" s="336"/>
      <c r="EV134" s="336"/>
      <c r="EW134" s="336"/>
      <c r="EX134" s="336"/>
      <c r="EY134" s="336"/>
      <c r="EZ134" s="336"/>
      <c r="FA134" s="336"/>
      <c r="FB134" s="336"/>
      <c r="FC134" s="336"/>
      <c r="FD134" s="336"/>
      <c r="FE134" s="336"/>
      <c r="FF134" s="336"/>
      <c r="FG134" s="336"/>
      <c r="FH134" s="336"/>
      <c r="FI134" s="336"/>
      <c r="FJ134" s="336"/>
      <c r="FK134" s="336"/>
      <c r="FL134" s="336"/>
      <c r="FX134" s="339"/>
      <c r="FY134" s="339"/>
      <c r="FZ134" s="339"/>
      <c r="GA134" s="339"/>
      <c r="GB134" s="339"/>
      <c r="GC134" s="339"/>
      <c r="GD134" s="339"/>
      <c r="GE134" s="339"/>
      <c r="GF134" s="339"/>
      <c r="GG134" s="339"/>
      <c r="GH134" s="339"/>
      <c r="GI134" s="339"/>
      <c r="GJ134" s="253"/>
      <c r="GK134" s="253"/>
      <c r="GL134" s="253"/>
      <c r="GN134"/>
      <c r="GO134"/>
      <c r="GP134"/>
      <c r="GQ134"/>
      <c r="GR134"/>
      <c r="GS134"/>
    </row>
    <row r="135" spans="1:201" s="264" customFormat="1" ht="10.5" hidden="1" customHeight="1" outlineLevel="1">
      <c r="A135" s="253" t="str">
        <f>"("&amp;ROWS(FootnoteStart:A135)-1&amp;") F2005E operating income guidance includes $536MM impact of Novell settlement and $768MM impact of payments to Sun Microsystems, Gateway and Burst."</f>
        <v>(9) F2005E operating income guidance includes $536MM impact of Novell settlement and $768MM impact of payments to Sun Microsystems, Gateway and Burst.</v>
      </c>
      <c r="B135" s="253"/>
      <c r="C135" s="253"/>
      <c r="D135" s="253"/>
      <c r="E135" s="253"/>
      <c r="F135" s="253"/>
      <c r="G135" s="253"/>
      <c r="H135" s="253"/>
      <c r="I135" s="253"/>
      <c r="J135" s="253"/>
      <c r="K135" s="253"/>
      <c r="L135" s="253"/>
      <c r="M135" s="253"/>
      <c r="N135" s="253"/>
      <c r="O135" s="253"/>
      <c r="P135" s="253"/>
      <c r="Q135" s="253"/>
      <c r="R135" s="253"/>
      <c r="S135" s="253"/>
      <c r="T135" s="253"/>
      <c r="U135" s="253"/>
      <c r="V135" s="253"/>
      <c r="W135" s="253"/>
      <c r="X135" s="253"/>
      <c r="Y135" s="253"/>
      <c r="Z135" s="253"/>
      <c r="AA135" s="253"/>
      <c r="AB135" s="253"/>
      <c r="AC135" s="253"/>
      <c r="AD135" s="253"/>
      <c r="AE135" s="253"/>
      <c r="AF135" s="253"/>
      <c r="AG135" s="253"/>
      <c r="AH135" s="253"/>
      <c r="AI135" s="253"/>
      <c r="AJ135" s="253"/>
      <c r="AK135" s="253"/>
      <c r="AL135" s="253"/>
      <c r="AM135" s="253"/>
      <c r="AN135" s="253"/>
      <c r="AO135" s="253"/>
      <c r="AP135" s="253"/>
      <c r="AQ135" s="253"/>
      <c r="AR135" s="253"/>
      <c r="AS135" s="253"/>
      <c r="AT135" s="253"/>
      <c r="AU135" s="253"/>
      <c r="AV135" s="253"/>
      <c r="AW135" s="253"/>
      <c r="AX135" s="253"/>
      <c r="AY135" s="253"/>
      <c r="AZ135" s="253"/>
      <c r="BA135" s="253"/>
      <c r="BB135" s="253"/>
      <c r="BC135" s="253"/>
      <c r="BD135" s="253"/>
      <c r="BE135" s="253"/>
      <c r="BF135" s="253"/>
      <c r="BG135" s="253"/>
      <c r="BH135" s="253"/>
      <c r="BI135" s="253"/>
      <c r="BJ135" s="253"/>
      <c r="BK135" s="253"/>
      <c r="BL135" s="253"/>
      <c r="BM135" s="253"/>
      <c r="BN135" s="253"/>
      <c r="BO135" s="253"/>
      <c r="BP135" s="253"/>
      <c r="BQ135" s="253"/>
      <c r="BR135" s="253"/>
      <c r="BS135" s="253"/>
      <c r="BT135" s="253"/>
      <c r="BU135" s="253"/>
      <c r="BV135" s="253"/>
      <c r="BW135" s="253"/>
      <c r="BX135" s="253"/>
      <c r="BY135" s="253"/>
      <c r="BZ135" s="253"/>
      <c r="CK135" s="336"/>
      <c r="CL135" s="336"/>
      <c r="CM135" s="336"/>
      <c r="CN135" s="336"/>
      <c r="CO135" s="336"/>
      <c r="CP135" s="336"/>
      <c r="CQ135" s="336"/>
      <c r="CR135" s="336"/>
      <c r="CS135" s="336"/>
      <c r="CT135" s="336"/>
      <c r="CU135" s="336"/>
      <c r="CV135" s="336"/>
      <c r="CW135" s="336"/>
      <c r="CX135" s="336"/>
      <c r="CY135" s="336"/>
      <c r="CZ135" s="336"/>
      <c r="DA135" s="336"/>
      <c r="DB135" s="336"/>
      <c r="DC135" s="416"/>
      <c r="DD135" s="336"/>
      <c r="DE135" s="336"/>
      <c r="DF135" s="336"/>
      <c r="DG135" s="336"/>
      <c r="DH135" s="416"/>
      <c r="DI135" s="336"/>
      <c r="DJ135" s="416"/>
      <c r="DK135" s="416"/>
      <c r="DL135" s="416"/>
      <c r="DM135" s="416"/>
      <c r="DN135" s="336"/>
      <c r="DO135" s="336"/>
      <c r="DP135" s="416"/>
      <c r="DQ135" s="416"/>
      <c r="DR135" s="416"/>
      <c r="DS135" s="416"/>
      <c r="DT135" s="416"/>
      <c r="DU135" s="416"/>
      <c r="DV135" s="416"/>
      <c r="DW135" s="416"/>
      <c r="DX135" s="416"/>
      <c r="DY135" s="416"/>
      <c r="DZ135" s="416"/>
      <c r="EA135" s="336"/>
      <c r="EB135" s="416"/>
      <c r="EC135" s="336"/>
      <c r="ED135" s="416"/>
      <c r="EE135" s="416"/>
      <c r="EF135" s="416"/>
      <c r="EG135" s="416"/>
      <c r="EH135" s="336"/>
      <c r="EI135" s="2739"/>
      <c r="EJ135" s="2739"/>
      <c r="EK135" s="2739"/>
      <c r="EL135" s="2739"/>
      <c r="EM135" s="2738"/>
      <c r="EN135" s="2739"/>
      <c r="EO135" s="2739"/>
      <c r="EP135" s="2738"/>
      <c r="EQ135" s="2738"/>
      <c r="ER135" s="2738"/>
      <c r="ES135" s="336"/>
      <c r="ET135" s="2739"/>
      <c r="EU135" s="336"/>
      <c r="EV135" s="336"/>
      <c r="EW135" s="336"/>
      <c r="EX135" s="336"/>
      <c r="EY135" s="336"/>
      <c r="EZ135" s="336"/>
      <c r="FA135" s="336"/>
      <c r="FB135" s="336"/>
      <c r="FC135" s="336"/>
      <c r="FD135" s="336"/>
      <c r="FE135" s="336"/>
      <c r="FF135" s="336"/>
      <c r="FG135" s="336"/>
      <c r="FH135" s="336"/>
      <c r="FI135" s="336"/>
      <c r="FJ135" s="336"/>
      <c r="FK135" s="336"/>
      <c r="FL135" s="336"/>
      <c r="FX135" s="339"/>
      <c r="FY135" s="339"/>
      <c r="FZ135" s="339"/>
      <c r="GA135" s="339"/>
      <c r="GB135" s="339"/>
      <c r="GC135" s="339"/>
      <c r="GD135" s="339"/>
      <c r="GE135" s="339"/>
      <c r="GF135" s="339"/>
      <c r="GG135" s="339"/>
      <c r="GH135" s="339"/>
      <c r="GI135" s="339"/>
      <c r="GJ135" s="253"/>
      <c r="GK135" s="253"/>
      <c r="GL135" s="253"/>
      <c r="GN135"/>
      <c r="GO135"/>
      <c r="GP135"/>
      <c r="GQ135"/>
      <c r="GR135"/>
      <c r="GS135"/>
    </row>
    <row r="136" spans="1:201" s="264" customFormat="1" ht="10.5" hidden="1" customHeight="1" outlineLevel="1">
      <c r="A136" s="253" t="s">
        <v>100</v>
      </c>
      <c r="B136" s="253"/>
      <c r="C136" s="253"/>
      <c r="D136" s="253"/>
      <c r="E136" s="253"/>
      <c r="F136" s="253"/>
      <c r="G136" s="253"/>
      <c r="H136" s="253"/>
      <c r="I136" s="253"/>
      <c r="J136" s="253"/>
      <c r="K136" s="253"/>
      <c r="L136" s="253"/>
      <c r="M136" s="253"/>
      <c r="N136" s="253"/>
      <c r="O136" s="253"/>
      <c r="P136" s="253"/>
      <c r="Q136" s="253"/>
      <c r="R136" s="253"/>
      <c r="S136" s="253"/>
      <c r="T136" s="253"/>
      <c r="U136" s="253"/>
      <c r="V136" s="253"/>
      <c r="W136" s="253"/>
      <c r="X136" s="253"/>
      <c r="Y136" s="253"/>
      <c r="Z136" s="253"/>
      <c r="AA136" s="253"/>
      <c r="AB136" s="253"/>
      <c r="AC136" s="253"/>
      <c r="AD136" s="253"/>
      <c r="AE136" s="253"/>
      <c r="AF136" s="253"/>
      <c r="AG136" s="253"/>
      <c r="AH136" s="253"/>
      <c r="AI136" s="253"/>
      <c r="AJ136" s="253"/>
      <c r="AK136" s="253"/>
      <c r="AL136" s="253"/>
      <c r="AM136" s="253"/>
      <c r="AN136" s="253"/>
      <c r="AO136" s="253"/>
      <c r="AP136" s="253"/>
      <c r="AQ136" s="253"/>
      <c r="AR136" s="253"/>
      <c r="AS136" s="253"/>
      <c r="AT136" s="253"/>
      <c r="AU136" s="253"/>
      <c r="AV136" s="253"/>
      <c r="AW136" s="253"/>
      <c r="AX136" s="253"/>
      <c r="AY136" s="253"/>
      <c r="AZ136" s="253"/>
      <c r="BA136" s="253"/>
      <c r="BB136" s="253"/>
      <c r="BC136" s="253"/>
      <c r="BD136" s="253"/>
      <c r="BE136" s="253"/>
      <c r="BF136" s="253"/>
      <c r="BG136" s="253"/>
      <c r="BH136" s="253"/>
      <c r="BI136" s="253"/>
      <c r="BJ136" s="253"/>
      <c r="BK136" s="253"/>
      <c r="BL136" s="253"/>
      <c r="BM136" s="253"/>
      <c r="BN136" s="253"/>
      <c r="BO136" s="253"/>
      <c r="BP136" s="253"/>
      <c r="BQ136" s="253"/>
      <c r="BR136" s="253"/>
      <c r="BS136" s="253"/>
      <c r="BT136" s="253"/>
      <c r="BU136" s="253"/>
      <c r="BV136" s="253"/>
      <c r="BW136" s="253"/>
      <c r="BX136" s="253"/>
      <c r="BY136" s="253"/>
      <c r="BZ136" s="253"/>
      <c r="CK136" s="336"/>
      <c r="CL136" s="336"/>
      <c r="CM136" s="336"/>
      <c r="CN136" s="336"/>
      <c r="CO136" s="336"/>
      <c r="CP136" s="336"/>
      <c r="CQ136" s="336"/>
      <c r="CR136" s="336"/>
      <c r="CS136" s="336"/>
      <c r="CT136" s="336"/>
      <c r="CU136" s="336"/>
      <c r="CV136" s="336"/>
      <c r="CW136" s="336"/>
      <c r="CX136" s="336"/>
      <c r="CY136" s="336"/>
      <c r="CZ136" s="336"/>
      <c r="DA136" s="336"/>
      <c r="DB136" s="336"/>
      <c r="DC136" s="416"/>
      <c r="DD136" s="336"/>
      <c r="DE136" s="336"/>
      <c r="DF136" s="336"/>
      <c r="DG136" s="336"/>
      <c r="DH136" s="416"/>
      <c r="DI136" s="336"/>
      <c r="DJ136" s="416"/>
      <c r="DK136" s="416"/>
      <c r="DL136" s="416"/>
      <c r="DM136" s="416"/>
      <c r="DN136" s="336"/>
      <c r="DO136" s="336"/>
      <c r="DP136" s="416"/>
      <c r="DQ136" s="416"/>
      <c r="DR136" s="416"/>
      <c r="DS136" s="416"/>
      <c r="DT136" s="416"/>
      <c r="DU136" s="416"/>
      <c r="DV136" s="416"/>
      <c r="DW136" s="416"/>
      <c r="DX136" s="416"/>
      <c r="DY136" s="416"/>
      <c r="DZ136" s="416"/>
      <c r="EA136" s="336"/>
      <c r="EB136" s="416"/>
      <c r="EC136" s="336"/>
      <c r="ED136" s="416"/>
      <c r="EE136" s="416"/>
      <c r="EF136" s="416"/>
      <c r="EG136" s="416"/>
      <c r="EH136" s="336"/>
      <c r="EI136" s="2739"/>
      <c r="EJ136" s="2739"/>
      <c r="EK136" s="2739"/>
      <c r="EL136" s="2739"/>
      <c r="EM136" s="2738"/>
      <c r="EN136" s="2739"/>
      <c r="EO136" s="2739"/>
      <c r="EP136" s="2738"/>
      <c r="EQ136" s="2738"/>
      <c r="ER136" s="2738"/>
      <c r="ES136" s="336"/>
      <c r="ET136" s="2739"/>
      <c r="EU136" s="336"/>
      <c r="EV136" s="336"/>
      <c r="EW136" s="336"/>
      <c r="EX136" s="336"/>
      <c r="EY136" s="336"/>
      <c r="EZ136" s="336"/>
      <c r="FA136" s="336"/>
      <c r="FB136" s="336"/>
      <c r="FC136" s="336"/>
      <c r="FD136" s="336"/>
      <c r="FE136" s="336"/>
      <c r="FF136" s="336"/>
      <c r="FG136" s="336"/>
      <c r="FH136" s="336"/>
      <c r="FI136" s="336"/>
      <c r="FJ136" s="336"/>
      <c r="FK136" s="336"/>
      <c r="FL136" s="336"/>
      <c r="FX136" s="339"/>
      <c r="FY136" s="339"/>
      <c r="FZ136" s="339"/>
      <c r="GA136" s="339"/>
      <c r="GB136" s="339"/>
      <c r="GC136" s="339"/>
      <c r="GD136" s="339"/>
      <c r="GE136" s="339"/>
      <c r="GF136" s="339"/>
      <c r="GG136" s="339"/>
      <c r="GH136" s="339"/>
      <c r="GI136" s="339"/>
      <c r="GJ136" s="253"/>
      <c r="GK136" s="253"/>
      <c r="GL136" s="253"/>
      <c r="GN136"/>
      <c r="GO136"/>
      <c r="GP136"/>
      <c r="GQ136"/>
      <c r="GR136"/>
      <c r="GS136"/>
    </row>
    <row r="137" spans="1:201" s="264" customFormat="1" ht="10.5" hidden="1" customHeight="1" outlineLevel="1">
      <c r="A137" s="253" t="str">
        <f>"("&amp;ROWS(FootnoteStart:A136)-1&amp;") Reflects stock split of 2:1 on 2/18/03 and 3/29/99."</f>
        <v>(10) Reflects stock split of 2:1 on 2/18/03 and 3/29/99.</v>
      </c>
      <c r="B137" s="253"/>
      <c r="C137" s="253"/>
      <c r="D137" s="253"/>
      <c r="E137" s="253"/>
      <c r="F137" s="253"/>
      <c r="G137" s="253"/>
      <c r="H137" s="253"/>
      <c r="I137" s="253"/>
      <c r="J137" s="253"/>
      <c r="K137" s="253"/>
      <c r="L137" s="253"/>
      <c r="M137" s="253"/>
      <c r="N137" s="253"/>
      <c r="O137" s="253"/>
      <c r="P137" s="253"/>
      <c r="Q137" s="253"/>
      <c r="R137" s="253"/>
      <c r="S137" s="253"/>
      <c r="T137" s="253"/>
      <c r="U137" s="253"/>
      <c r="V137" s="253"/>
      <c r="W137" s="253"/>
      <c r="X137" s="253"/>
      <c r="Y137" s="253"/>
      <c r="Z137" s="253"/>
      <c r="AA137" s="253"/>
      <c r="AB137" s="253"/>
      <c r="AC137" s="253"/>
      <c r="AD137" s="253"/>
      <c r="AE137" s="253"/>
      <c r="AF137" s="253"/>
      <c r="AG137" s="253"/>
      <c r="AH137" s="253"/>
      <c r="AI137" s="253"/>
      <c r="AJ137" s="253"/>
      <c r="AK137" s="253"/>
      <c r="AL137" s="253"/>
      <c r="AM137" s="253"/>
      <c r="AN137" s="253"/>
      <c r="AO137" s="253"/>
      <c r="AP137" s="253"/>
      <c r="AQ137" s="253"/>
      <c r="AR137" s="253"/>
      <c r="AS137" s="253"/>
      <c r="AT137" s="253"/>
      <c r="AU137" s="253"/>
      <c r="AV137" s="253"/>
      <c r="AW137" s="253"/>
      <c r="AX137" s="253"/>
      <c r="AY137" s="253"/>
      <c r="AZ137" s="253"/>
      <c r="BA137" s="253"/>
      <c r="BB137" s="253"/>
      <c r="BC137" s="253"/>
      <c r="BD137" s="253"/>
      <c r="BE137" s="253"/>
      <c r="BF137" s="253"/>
      <c r="BG137" s="253"/>
      <c r="BH137" s="253"/>
      <c r="BI137" s="253"/>
      <c r="BJ137" s="253"/>
      <c r="BK137" s="253"/>
      <c r="BL137" s="253"/>
      <c r="BM137" s="253"/>
      <c r="BN137" s="253"/>
      <c r="BO137" s="253"/>
      <c r="BP137" s="253"/>
      <c r="BQ137" s="253"/>
      <c r="BR137" s="253"/>
      <c r="BS137" s="253"/>
      <c r="BT137" s="253"/>
      <c r="BU137" s="253"/>
      <c r="BV137" s="253"/>
      <c r="BW137" s="253"/>
      <c r="BX137" s="253"/>
      <c r="BY137" s="253"/>
      <c r="BZ137" s="253"/>
      <c r="CK137" s="336"/>
      <c r="CL137" s="336"/>
      <c r="CM137" s="336"/>
      <c r="CN137" s="336"/>
      <c r="CO137" s="336"/>
      <c r="CP137" s="336"/>
      <c r="CQ137" s="336"/>
      <c r="CR137" s="336"/>
      <c r="CS137" s="336"/>
      <c r="CT137" s="336"/>
      <c r="CU137" s="336"/>
      <c r="CV137" s="336"/>
      <c r="CW137" s="336"/>
      <c r="CX137" s="336"/>
      <c r="CY137" s="336"/>
      <c r="CZ137" s="336"/>
      <c r="DA137" s="336"/>
      <c r="DB137" s="336"/>
      <c r="DC137" s="416"/>
      <c r="DD137" s="336"/>
      <c r="DE137" s="336"/>
      <c r="DF137" s="336"/>
      <c r="DG137" s="336"/>
      <c r="DH137" s="416"/>
      <c r="DI137" s="336"/>
      <c r="DJ137" s="416"/>
      <c r="DK137" s="416"/>
      <c r="DL137" s="416"/>
      <c r="DM137" s="416"/>
      <c r="DN137" s="336"/>
      <c r="DO137" s="336"/>
      <c r="DP137" s="416"/>
      <c r="DQ137" s="416"/>
      <c r="DR137" s="416"/>
      <c r="DS137" s="416"/>
      <c r="DT137" s="416"/>
      <c r="DU137" s="416"/>
      <c r="DV137" s="416"/>
      <c r="DW137" s="416"/>
      <c r="DX137" s="416"/>
      <c r="DY137" s="416"/>
      <c r="DZ137" s="416"/>
      <c r="EA137" s="336"/>
      <c r="EB137" s="416"/>
      <c r="EC137" s="336"/>
      <c r="ED137" s="416"/>
      <c r="EE137" s="416"/>
      <c r="EF137" s="416"/>
      <c r="EG137" s="416"/>
      <c r="EH137" s="336"/>
      <c r="EI137" s="2739"/>
      <c r="EJ137" s="2739"/>
      <c r="EK137" s="2739"/>
      <c r="EL137" s="2739"/>
      <c r="EM137" s="2738"/>
      <c r="EN137" s="2739"/>
      <c r="EO137" s="2739"/>
      <c r="EP137" s="2738"/>
      <c r="EQ137" s="2738"/>
      <c r="ER137" s="2738"/>
      <c r="ES137" s="336"/>
      <c r="ET137" s="2739"/>
      <c r="EU137" s="336"/>
      <c r="EV137" s="336"/>
      <c r="EW137" s="336"/>
      <c r="EX137" s="336"/>
      <c r="EY137" s="336"/>
      <c r="EZ137" s="336"/>
      <c r="FA137" s="336"/>
      <c r="FB137" s="336"/>
      <c r="FC137" s="336"/>
      <c r="FD137" s="336"/>
      <c r="FE137" s="336"/>
      <c r="FF137" s="336"/>
      <c r="FG137" s="336"/>
      <c r="FH137" s="336"/>
      <c r="FI137" s="336"/>
      <c r="FJ137" s="336"/>
      <c r="FK137" s="336"/>
      <c r="FL137" s="336"/>
      <c r="FX137" s="339"/>
      <c r="FY137" s="339"/>
      <c r="FZ137" s="339"/>
      <c r="GA137" s="339"/>
      <c r="GB137" s="339"/>
      <c r="GC137" s="339"/>
      <c r="GD137" s="339"/>
      <c r="GE137" s="339"/>
      <c r="GF137" s="339"/>
      <c r="GG137" s="339"/>
      <c r="GH137" s="339"/>
      <c r="GI137" s="339"/>
      <c r="GJ137" s="253"/>
      <c r="GK137" s="253"/>
      <c r="GL137" s="253"/>
      <c r="GN137"/>
      <c r="GO137"/>
      <c r="GP137"/>
      <c r="GQ137"/>
      <c r="GR137"/>
      <c r="GS137"/>
    </row>
    <row r="138" spans="1:201" s="264" customFormat="1" ht="10.5" hidden="1" customHeight="1" outlineLevel="1">
      <c r="A138" s="253" t="str">
        <f>"("&amp;ROWS(FootnoteStart:A137)-1&amp;") FQ2:05A and F2005A includes one-time special dividend of $3/share."</f>
        <v>(11) FQ2:05A and F2005A includes one-time special dividend of $3/share.</v>
      </c>
      <c r="B138" s="253"/>
      <c r="C138" s="253"/>
      <c r="D138" s="253"/>
      <c r="E138" s="253"/>
      <c r="F138" s="253"/>
      <c r="G138" s="253"/>
      <c r="H138" s="253"/>
      <c r="I138" s="253"/>
      <c r="J138" s="253"/>
      <c r="K138" s="253"/>
      <c r="L138" s="253"/>
      <c r="M138" s="253"/>
      <c r="N138" s="253"/>
      <c r="O138" s="253"/>
      <c r="P138" s="253"/>
      <c r="Q138" s="253"/>
      <c r="R138" s="253"/>
      <c r="S138" s="253"/>
      <c r="T138" s="253"/>
      <c r="U138" s="253"/>
      <c r="V138" s="253"/>
      <c r="W138" s="253"/>
      <c r="X138" s="253"/>
      <c r="Y138" s="253"/>
      <c r="Z138" s="253"/>
      <c r="AA138" s="253"/>
      <c r="AB138" s="253"/>
      <c r="AC138" s="253"/>
      <c r="AD138" s="253"/>
      <c r="AE138" s="253"/>
      <c r="AF138" s="253"/>
      <c r="AG138" s="253"/>
      <c r="AH138" s="253"/>
      <c r="AI138" s="253"/>
      <c r="AJ138" s="253"/>
      <c r="AK138" s="253"/>
      <c r="AL138" s="253"/>
      <c r="AM138" s="253"/>
      <c r="AN138" s="253"/>
      <c r="AO138" s="253"/>
      <c r="AP138" s="253"/>
      <c r="AQ138" s="253"/>
      <c r="AR138" s="253"/>
      <c r="AS138" s="253"/>
      <c r="AT138" s="253"/>
      <c r="AU138" s="253"/>
      <c r="AV138" s="253"/>
      <c r="AW138" s="253"/>
      <c r="AX138" s="253"/>
      <c r="AY138" s="253"/>
      <c r="AZ138" s="253"/>
      <c r="BA138" s="253"/>
      <c r="BB138" s="253"/>
      <c r="BC138" s="253"/>
      <c r="BD138" s="253"/>
      <c r="BE138" s="253"/>
      <c r="BF138" s="253"/>
      <c r="BG138" s="253"/>
      <c r="BH138" s="253"/>
      <c r="BI138" s="253"/>
      <c r="BJ138" s="253"/>
      <c r="BK138" s="253"/>
      <c r="BL138" s="253"/>
      <c r="BM138" s="253"/>
      <c r="BN138" s="253"/>
      <c r="BO138" s="253"/>
      <c r="BP138" s="253"/>
      <c r="BQ138" s="253"/>
      <c r="BR138" s="253"/>
      <c r="BS138" s="253"/>
      <c r="BT138" s="253"/>
      <c r="BU138" s="253"/>
      <c r="BV138" s="253"/>
      <c r="BW138" s="253"/>
      <c r="BX138" s="253"/>
      <c r="BY138" s="253"/>
      <c r="BZ138" s="253"/>
      <c r="CK138" s="336"/>
      <c r="CL138" s="336"/>
      <c r="CM138" s="336"/>
      <c r="CN138" s="336"/>
      <c r="CO138" s="336"/>
      <c r="CP138" s="336"/>
      <c r="CQ138" s="336"/>
      <c r="CR138" s="336"/>
      <c r="CS138" s="336"/>
      <c r="CT138" s="336"/>
      <c r="CU138" s="336"/>
      <c r="CV138" s="336"/>
      <c r="CW138" s="336"/>
      <c r="CX138" s="336"/>
      <c r="CY138" s="336"/>
      <c r="CZ138" s="336"/>
      <c r="DA138" s="336"/>
      <c r="DB138" s="336"/>
      <c r="DC138" s="416"/>
      <c r="DD138" s="336"/>
      <c r="DE138" s="336"/>
      <c r="DF138" s="336"/>
      <c r="DG138" s="336"/>
      <c r="DH138" s="416"/>
      <c r="DI138" s="336"/>
      <c r="DJ138" s="416"/>
      <c r="DK138" s="416"/>
      <c r="DL138" s="416"/>
      <c r="DM138" s="416"/>
      <c r="DN138" s="336"/>
      <c r="DO138" s="336"/>
      <c r="DP138" s="416"/>
      <c r="DQ138" s="416"/>
      <c r="DR138" s="416"/>
      <c r="DS138" s="416"/>
      <c r="DT138" s="416"/>
      <c r="DU138" s="416"/>
      <c r="DV138" s="416"/>
      <c r="DW138" s="416"/>
      <c r="DX138" s="416"/>
      <c r="DY138" s="416"/>
      <c r="DZ138" s="416"/>
      <c r="EA138" s="336"/>
      <c r="EB138" s="416"/>
      <c r="EC138" s="336"/>
      <c r="ED138" s="416"/>
      <c r="EE138" s="416"/>
      <c r="EF138" s="416"/>
      <c r="EG138" s="416"/>
      <c r="EH138" s="336"/>
      <c r="EI138" s="2739"/>
      <c r="EJ138" s="2739"/>
      <c r="EK138" s="2739"/>
      <c r="EL138" s="2739"/>
      <c r="EM138" s="2738"/>
      <c r="EN138" s="2739"/>
      <c r="EO138" s="2739"/>
      <c r="EP138" s="2738"/>
      <c r="EQ138" s="2738"/>
      <c r="ER138" s="2738"/>
      <c r="ES138" s="336"/>
      <c r="ET138" s="2739"/>
      <c r="EU138" s="336"/>
      <c r="EV138" s="336"/>
      <c r="EW138" s="336"/>
      <c r="EX138" s="336"/>
      <c r="EY138" s="336"/>
      <c r="EZ138" s="336"/>
      <c r="FA138" s="336"/>
      <c r="FB138" s="336"/>
      <c r="FC138" s="336"/>
      <c r="FD138" s="336"/>
      <c r="FE138" s="336"/>
      <c r="FF138" s="336"/>
      <c r="FG138" s="336"/>
      <c r="FH138" s="336"/>
      <c r="FI138" s="336"/>
      <c r="FJ138" s="336"/>
      <c r="FK138" s="336"/>
      <c r="FL138" s="336"/>
      <c r="FX138" s="339"/>
      <c r="FY138" s="339"/>
      <c r="FZ138" s="339"/>
      <c r="GA138" s="339"/>
      <c r="GB138" s="339"/>
      <c r="GC138" s="339"/>
      <c r="GD138" s="339"/>
      <c r="GE138" s="339"/>
      <c r="GF138" s="339"/>
      <c r="GG138" s="339"/>
      <c r="GH138" s="339"/>
      <c r="GI138" s="339"/>
      <c r="GJ138" s="253"/>
      <c r="GK138" s="253"/>
      <c r="GL138" s="253"/>
      <c r="GN138"/>
      <c r="GO138"/>
      <c r="GP138"/>
      <c r="GQ138"/>
      <c r="GR138"/>
      <c r="GS138"/>
    </row>
    <row r="139" spans="1:201" s="264" customFormat="1" ht="10.5" hidden="1" customHeight="1" outlineLevel="1">
      <c r="A139" s="253" t="s">
        <v>455</v>
      </c>
      <c r="B139" s="253"/>
      <c r="C139" s="253"/>
      <c r="D139" s="253"/>
      <c r="E139" s="253"/>
      <c r="F139" s="253"/>
      <c r="G139" s="253"/>
      <c r="H139" s="253"/>
      <c r="I139" s="253"/>
      <c r="J139" s="253"/>
      <c r="K139" s="253"/>
      <c r="L139" s="253"/>
      <c r="M139" s="253"/>
      <c r="N139" s="253"/>
      <c r="O139" s="253"/>
      <c r="P139" s="253"/>
      <c r="Q139" s="253"/>
      <c r="R139" s="253"/>
      <c r="S139" s="253"/>
      <c r="T139" s="253"/>
      <c r="U139" s="253"/>
      <c r="V139" s="253"/>
      <c r="W139" s="253"/>
      <c r="X139" s="253"/>
      <c r="Y139" s="253"/>
      <c r="Z139" s="253"/>
      <c r="AA139" s="253"/>
      <c r="AB139" s="253"/>
      <c r="AC139" s="253"/>
      <c r="AD139" s="253"/>
      <c r="AE139" s="253"/>
      <c r="AF139" s="253"/>
      <c r="AG139" s="253"/>
      <c r="AH139" s="253"/>
      <c r="AI139" s="253"/>
      <c r="AJ139" s="253"/>
      <c r="AK139" s="253"/>
      <c r="AL139" s="253"/>
      <c r="AM139" s="253"/>
      <c r="AN139" s="253"/>
      <c r="AO139" s="253"/>
      <c r="AP139" s="253"/>
      <c r="AQ139" s="253"/>
      <c r="AR139" s="253"/>
      <c r="AS139" s="253"/>
      <c r="AT139" s="253"/>
      <c r="AU139" s="253"/>
      <c r="AV139" s="253"/>
      <c r="AW139" s="253"/>
      <c r="AX139" s="253"/>
      <c r="AY139" s="253"/>
      <c r="AZ139" s="253"/>
      <c r="BA139" s="253"/>
      <c r="BB139" s="253"/>
      <c r="BC139" s="253"/>
      <c r="BD139" s="253"/>
      <c r="BE139" s="253"/>
      <c r="BF139" s="253"/>
      <c r="BG139" s="253"/>
      <c r="BH139" s="253"/>
      <c r="BI139" s="253"/>
      <c r="BJ139" s="253"/>
      <c r="BK139" s="253"/>
      <c r="BL139" s="253"/>
      <c r="BM139" s="253"/>
      <c r="BN139" s="253"/>
      <c r="BO139" s="253"/>
      <c r="BP139" s="253"/>
      <c r="BQ139" s="253"/>
      <c r="BR139" s="253"/>
      <c r="BS139" s="253"/>
      <c r="BT139" s="253"/>
      <c r="BU139" s="253"/>
      <c r="BV139" s="253"/>
      <c r="BW139" s="253"/>
      <c r="BX139" s="253"/>
      <c r="BY139" s="253"/>
      <c r="BZ139" s="253"/>
      <c r="CK139" s="336"/>
      <c r="CL139" s="336"/>
      <c r="CM139" s="336"/>
      <c r="CN139" s="336"/>
      <c r="CO139" s="336"/>
      <c r="CP139" s="336"/>
      <c r="CQ139" s="336"/>
      <c r="CR139" s="336"/>
      <c r="CS139" s="336"/>
      <c r="CT139" s="336"/>
      <c r="CU139" s="336"/>
      <c r="CV139" s="336"/>
      <c r="CW139" s="336"/>
      <c r="CX139" s="336"/>
      <c r="CY139" s="336"/>
      <c r="CZ139" s="336"/>
      <c r="DA139" s="336"/>
      <c r="DB139" s="336"/>
      <c r="DC139" s="416"/>
      <c r="DD139" s="336"/>
      <c r="DE139" s="336"/>
      <c r="DF139" s="336"/>
      <c r="DG139" s="336"/>
      <c r="DH139" s="416"/>
      <c r="DI139" s="336"/>
      <c r="DJ139" s="416"/>
      <c r="DK139" s="416"/>
      <c r="DL139" s="416"/>
      <c r="DM139" s="416"/>
      <c r="DN139" s="336"/>
      <c r="DO139" s="336"/>
      <c r="DP139" s="416"/>
      <c r="DQ139" s="416"/>
      <c r="DR139" s="416"/>
      <c r="DS139" s="416"/>
      <c r="DT139" s="416"/>
      <c r="DU139" s="416"/>
      <c r="DV139" s="416"/>
      <c r="DW139" s="416"/>
      <c r="DX139" s="416"/>
      <c r="DY139" s="416"/>
      <c r="DZ139" s="416"/>
      <c r="EA139" s="336"/>
      <c r="EB139" s="416"/>
      <c r="EC139" s="336"/>
      <c r="ED139" s="416"/>
      <c r="EE139" s="416"/>
      <c r="EF139" s="416"/>
      <c r="EG139" s="416"/>
      <c r="EH139" s="336"/>
      <c r="EI139" s="2739"/>
      <c r="EJ139" s="2739"/>
      <c r="EK139" s="2739"/>
      <c r="EL139" s="2739"/>
      <c r="EM139" s="2738"/>
      <c r="EN139" s="2739"/>
      <c r="EO139" s="2739"/>
      <c r="EP139" s="2738"/>
      <c r="EQ139" s="2738"/>
      <c r="ER139" s="2738"/>
      <c r="ES139" s="336"/>
      <c r="ET139" s="2739"/>
      <c r="EU139" s="336"/>
      <c r="EV139" s="336"/>
      <c r="EW139" s="336"/>
      <c r="EX139" s="336"/>
      <c r="EY139" s="336"/>
      <c r="EZ139" s="336"/>
      <c r="FA139" s="336"/>
      <c r="FB139" s="336"/>
      <c r="FC139" s="336"/>
      <c r="FD139" s="336"/>
      <c r="FE139" s="336"/>
      <c r="FF139" s="336"/>
      <c r="FG139" s="336"/>
      <c r="FH139" s="336"/>
      <c r="FI139" s="336"/>
      <c r="FJ139" s="336"/>
      <c r="FK139" s="336"/>
      <c r="FL139" s="336"/>
      <c r="FX139" s="339"/>
      <c r="FY139" s="339"/>
      <c r="FZ139" s="339"/>
      <c r="GA139" s="339"/>
      <c r="GB139" s="339"/>
      <c r="GC139" s="339"/>
      <c r="GD139" s="339"/>
      <c r="GE139" s="339"/>
      <c r="GF139" s="339"/>
      <c r="GG139" s="339"/>
      <c r="GH139" s="339"/>
      <c r="GI139" s="339"/>
      <c r="GJ139" s="253"/>
      <c r="GK139" s="253"/>
      <c r="GL139" s="253"/>
      <c r="GN139"/>
      <c r="GO139"/>
      <c r="GP139"/>
      <c r="GQ139"/>
      <c r="GR139"/>
      <c r="GS139"/>
    </row>
    <row r="140" spans="1:201" s="307" customFormat="1" ht="11.25" customHeight="1" collapsed="1">
      <c r="A140" s="303"/>
      <c r="B140" s="303"/>
      <c r="C140" s="303"/>
      <c r="D140" s="329"/>
      <c r="E140" s="329"/>
      <c r="F140" s="329"/>
      <c r="G140" s="329"/>
      <c r="H140" s="331"/>
      <c r="I140" s="329"/>
      <c r="J140" s="329"/>
      <c r="K140" s="329"/>
      <c r="L140" s="329"/>
      <c r="M140" s="331"/>
      <c r="N140" s="329"/>
      <c r="O140" s="329"/>
      <c r="P140" s="329"/>
      <c r="Q140" s="329"/>
      <c r="R140" s="331"/>
      <c r="S140" s="329"/>
      <c r="T140" s="329"/>
      <c r="U140" s="329"/>
      <c r="V140" s="329"/>
      <c r="W140" s="331"/>
      <c r="X140" s="329"/>
      <c r="Y140" s="329"/>
      <c r="Z140" s="329"/>
      <c r="AA140" s="329"/>
      <c r="AB140" s="331"/>
      <c r="AC140" s="329"/>
      <c r="AD140" s="329"/>
      <c r="AE140" s="329"/>
      <c r="AF140" s="329"/>
      <c r="AG140" s="331"/>
      <c r="AH140" s="329"/>
      <c r="AI140" s="329"/>
      <c r="AJ140" s="329"/>
      <c r="AK140" s="329"/>
      <c r="AL140" s="331"/>
      <c r="AM140" s="329"/>
      <c r="AN140" s="329"/>
      <c r="AO140" s="329"/>
      <c r="AP140" s="329"/>
      <c r="AQ140" s="331"/>
      <c r="AR140" s="329"/>
      <c r="AS140" s="329"/>
      <c r="AT140" s="329"/>
      <c r="AU140" s="329"/>
      <c r="AV140" s="331"/>
      <c r="AW140" s="329"/>
      <c r="AX140" s="329"/>
      <c r="AY140" s="329"/>
      <c r="AZ140" s="329"/>
      <c r="BA140" s="331"/>
      <c r="BB140" s="329"/>
      <c r="BC140" s="329"/>
      <c r="BD140" s="329"/>
      <c r="BE140" s="329"/>
      <c r="BF140" s="331"/>
      <c r="BG140" s="329"/>
      <c r="BH140" s="329"/>
      <c r="BI140" s="329"/>
      <c r="BJ140" s="329"/>
      <c r="BK140" s="331"/>
      <c r="BL140" s="329"/>
      <c r="BM140" s="329"/>
      <c r="BN140" s="329"/>
      <c r="BO140" s="329"/>
      <c r="BP140" s="331"/>
      <c r="BQ140" s="329"/>
      <c r="BR140" s="329"/>
      <c r="BS140" s="329"/>
      <c r="BT140" s="329"/>
      <c r="BU140" s="331"/>
      <c r="BV140" s="329"/>
      <c r="BW140" s="329"/>
      <c r="BX140" s="329"/>
      <c r="BY140" s="329"/>
      <c r="BZ140" s="331"/>
      <c r="CA140" s="329"/>
      <c r="CB140" s="329"/>
      <c r="CC140" s="329"/>
      <c r="CD140" s="329"/>
      <c r="CE140" s="331"/>
      <c r="CF140" s="329"/>
      <c r="CG140" s="329"/>
      <c r="CH140" s="329"/>
      <c r="CI140" s="329"/>
      <c r="CJ140" s="331"/>
      <c r="CK140" s="329"/>
      <c r="CL140" s="329"/>
      <c r="CM140" s="329"/>
      <c r="CN140" s="329"/>
      <c r="CO140" s="331"/>
      <c r="CP140" s="329"/>
      <c r="CQ140" s="329"/>
      <c r="CR140" s="329"/>
      <c r="CS140" s="329"/>
      <c r="CT140" s="331"/>
      <c r="CU140" s="329"/>
      <c r="CV140" s="329"/>
      <c r="CW140" s="329"/>
      <c r="CX140" s="329"/>
      <c r="CY140" s="331"/>
      <c r="CZ140" s="329"/>
      <c r="DA140" s="329"/>
      <c r="DB140" s="329"/>
      <c r="DC140" s="332"/>
      <c r="DD140" s="331"/>
      <c r="DE140" s="329"/>
      <c r="DF140" s="329"/>
      <c r="DG140" s="329"/>
      <c r="DH140" s="332"/>
      <c r="DI140" s="331"/>
      <c r="DJ140" s="332"/>
      <c r="DK140" s="332"/>
      <c r="DL140" s="332"/>
      <c r="DM140" s="332"/>
      <c r="DN140" s="331"/>
      <c r="DO140" s="329"/>
      <c r="DP140" s="332"/>
      <c r="DQ140" s="332"/>
      <c r="DR140" s="332"/>
      <c r="DS140" s="333"/>
      <c r="DT140" s="332"/>
      <c r="DU140" s="332"/>
      <c r="DV140" s="332"/>
      <c r="DW140" s="332"/>
      <c r="DX140" s="333"/>
      <c r="DY140" s="332"/>
      <c r="DZ140" s="332"/>
      <c r="EA140" s="329"/>
      <c r="EB140" s="332"/>
      <c r="EC140" s="331"/>
      <c r="ED140" s="332"/>
      <c r="EE140" s="332"/>
      <c r="EF140" s="332"/>
      <c r="EG140" s="332"/>
      <c r="EH140" s="331"/>
      <c r="EI140" s="2752"/>
      <c r="EJ140" s="2752"/>
      <c r="EK140" s="2752"/>
      <c r="EL140" s="2752"/>
      <c r="EM140" s="2696"/>
      <c r="EN140" s="2752"/>
      <c r="EO140" s="2752"/>
      <c r="EP140" s="2702"/>
      <c r="EQ140" s="2702"/>
      <c r="ER140" s="2696"/>
      <c r="ES140" s="329"/>
      <c r="ET140" s="2752"/>
      <c r="EU140" s="329"/>
      <c r="EV140" s="329"/>
      <c r="EW140" s="331"/>
      <c r="EX140" s="329"/>
      <c r="EY140" s="329"/>
      <c r="EZ140" s="329"/>
      <c r="FA140" s="329"/>
      <c r="FB140" s="331"/>
      <c r="FC140" s="329"/>
      <c r="FD140" s="329"/>
      <c r="FE140" s="329"/>
      <c r="FF140" s="329"/>
      <c r="FG140" s="331"/>
      <c r="FH140" s="329"/>
      <c r="FI140" s="329"/>
      <c r="FJ140" s="329"/>
      <c r="FK140" s="329"/>
      <c r="FL140" s="331"/>
      <c r="FN140" s="330"/>
      <c r="FO140" s="330"/>
      <c r="FP140" s="330"/>
      <c r="FQ140" s="330"/>
      <c r="FR140" s="330"/>
      <c r="FS140" s="330"/>
      <c r="FT140" s="330"/>
      <c r="FU140" s="330"/>
      <c r="FV140" s="330"/>
      <c r="FW140" s="330"/>
      <c r="FX140" s="330"/>
      <c r="FY140" s="330"/>
      <c r="FZ140" s="330"/>
      <c r="GA140" s="330"/>
      <c r="GB140" s="330"/>
      <c r="GC140" s="330"/>
      <c r="GD140" s="330"/>
      <c r="GE140" s="330"/>
      <c r="GF140" s="330"/>
      <c r="GG140" s="330"/>
      <c r="GH140" s="330"/>
      <c r="GI140" s="330"/>
      <c r="GJ140" s="303"/>
      <c r="GK140" s="303"/>
      <c r="GL140" s="303"/>
      <c r="GN140"/>
      <c r="GO140"/>
      <c r="GP140"/>
      <c r="GQ140"/>
      <c r="GR140"/>
      <c r="GS140"/>
    </row>
    <row r="141" spans="1:201" s="264" customFormat="1" ht="11.25" customHeight="1">
      <c r="A141" s="253"/>
      <c r="B141" s="253"/>
      <c r="C141" s="253"/>
      <c r="D141" s="253"/>
      <c r="E141" s="253"/>
      <c r="F141" s="253"/>
      <c r="G141" s="253"/>
      <c r="H141" s="253"/>
      <c r="I141" s="253"/>
      <c r="J141" s="253"/>
      <c r="K141" s="253"/>
      <c r="L141" s="253"/>
      <c r="M141" s="253"/>
      <c r="N141" s="253"/>
      <c r="O141" s="253"/>
      <c r="P141" s="253"/>
      <c r="Q141" s="253"/>
      <c r="R141" s="253"/>
      <c r="S141" s="253"/>
      <c r="T141" s="253"/>
      <c r="U141" s="253"/>
      <c r="V141" s="253"/>
      <c r="W141" s="253"/>
      <c r="X141" s="253"/>
      <c r="Y141" s="253"/>
      <c r="Z141" s="253"/>
      <c r="AA141" s="253"/>
      <c r="AB141" s="253"/>
      <c r="AC141" s="253"/>
      <c r="AD141" s="253"/>
      <c r="AE141" s="253"/>
      <c r="AF141" s="253"/>
      <c r="AG141" s="253"/>
      <c r="AH141" s="253"/>
      <c r="AI141" s="253"/>
      <c r="AJ141" s="253"/>
      <c r="AK141" s="253"/>
      <c r="AL141" s="253"/>
      <c r="AM141" s="253"/>
      <c r="AN141" s="253"/>
      <c r="AO141" s="253"/>
      <c r="AP141" s="253"/>
      <c r="AQ141" s="253"/>
      <c r="AR141" s="253"/>
      <c r="AS141" s="253"/>
      <c r="AT141" s="253"/>
      <c r="AU141" s="253"/>
      <c r="AV141" s="253"/>
      <c r="AW141" s="253"/>
      <c r="AX141" s="253"/>
      <c r="AY141" s="253"/>
      <c r="AZ141" s="253"/>
      <c r="BA141" s="253"/>
      <c r="BB141" s="253"/>
      <c r="BC141" s="253"/>
      <c r="BD141" s="253"/>
      <c r="BE141" s="253"/>
      <c r="BF141" s="253"/>
      <c r="BG141" s="253"/>
      <c r="BH141" s="253"/>
      <c r="BI141" s="253"/>
      <c r="BJ141" s="253"/>
      <c r="BK141" s="253"/>
      <c r="BL141" s="253"/>
      <c r="BM141" s="253"/>
      <c r="BN141" s="253"/>
      <c r="BO141" s="253"/>
      <c r="BP141" s="253"/>
      <c r="BQ141" s="253"/>
      <c r="BR141" s="253"/>
      <c r="BS141" s="253"/>
      <c r="BT141" s="253"/>
      <c r="BU141" s="253"/>
      <c r="BV141" s="253"/>
      <c r="BW141" s="253"/>
      <c r="BX141" s="253"/>
      <c r="BY141" s="253"/>
      <c r="BZ141" s="253"/>
      <c r="CK141" s="336"/>
      <c r="CL141" s="336"/>
      <c r="CM141" s="336"/>
      <c r="CN141" s="336"/>
      <c r="CO141" s="336"/>
      <c r="CP141" s="336"/>
      <c r="CQ141" s="336"/>
      <c r="CR141" s="336"/>
      <c r="CS141" s="336"/>
      <c r="CT141" s="336"/>
      <c r="CU141" s="336"/>
      <c r="CV141" s="336"/>
      <c r="CW141" s="336"/>
      <c r="CX141" s="336"/>
      <c r="CY141" s="336"/>
      <c r="CZ141" s="336"/>
      <c r="DA141" s="336"/>
      <c r="DB141" s="336"/>
      <c r="DC141" s="416"/>
      <c r="DD141" s="336"/>
      <c r="DE141" s="336"/>
      <c r="DF141" s="336"/>
      <c r="DG141" s="336"/>
      <c r="DH141" s="416"/>
      <c r="DI141" s="336"/>
      <c r="DJ141" s="416"/>
      <c r="DK141" s="416"/>
      <c r="DL141" s="416"/>
      <c r="DM141" s="416"/>
      <c r="DN141" s="336"/>
      <c r="DO141" s="336"/>
      <c r="DP141" s="416"/>
      <c r="DQ141" s="416"/>
      <c r="DR141" s="416"/>
      <c r="DS141" s="416"/>
      <c r="DT141" s="416"/>
      <c r="DU141" s="416"/>
      <c r="DV141" s="416"/>
      <c r="DW141" s="416"/>
      <c r="DX141" s="416"/>
      <c r="DY141" s="416"/>
      <c r="DZ141" s="416"/>
      <c r="EA141" s="336"/>
      <c r="EB141" s="416"/>
      <c r="EC141" s="336"/>
      <c r="ED141" s="416"/>
      <c r="EE141" s="416"/>
      <c r="EF141" s="416"/>
      <c r="EG141" s="416"/>
      <c r="EH141" s="336"/>
      <c r="EI141" s="2739"/>
      <c r="EJ141" s="2739"/>
      <c r="EK141" s="2739"/>
      <c r="EL141" s="2739"/>
      <c r="EM141" s="2738"/>
      <c r="EN141" s="2739"/>
      <c r="EO141" s="2739"/>
      <c r="EP141" s="2738"/>
      <c r="EQ141" s="2738"/>
      <c r="ER141" s="2738"/>
      <c r="ES141" s="336"/>
      <c r="ET141" s="2739"/>
      <c r="EU141" s="336"/>
      <c r="EV141" s="336"/>
      <c r="EW141" s="336"/>
      <c r="EX141" s="336"/>
      <c r="EY141" s="336"/>
      <c r="EZ141" s="336"/>
      <c r="FA141" s="336"/>
      <c r="FB141" s="336"/>
      <c r="FC141" s="336"/>
      <c r="FD141" s="336"/>
      <c r="FE141" s="336"/>
      <c r="FF141" s="336"/>
      <c r="FG141" s="336"/>
      <c r="FH141" s="336"/>
      <c r="FI141" s="336"/>
      <c r="FJ141" s="336"/>
      <c r="FK141" s="336"/>
      <c r="FL141" s="336"/>
      <c r="FX141" s="339"/>
      <c r="FY141" s="339"/>
      <c r="FZ141" s="339"/>
      <c r="GA141" s="339"/>
      <c r="GB141" s="339"/>
      <c r="GC141" s="339"/>
      <c r="GD141" s="339"/>
      <c r="GE141" s="339"/>
      <c r="GF141" s="339"/>
      <c r="GG141" s="339"/>
      <c r="GH141" s="339"/>
      <c r="GI141" s="339"/>
      <c r="GJ141" s="253"/>
      <c r="GK141" s="253"/>
      <c r="GL141" s="253"/>
      <c r="GN141"/>
      <c r="GO141"/>
      <c r="GP141"/>
      <c r="GQ141"/>
      <c r="GR141"/>
      <c r="GS141"/>
    </row>
    <row r="142" spans="1:201" s="387" customFormat="1" ht="11.25" customHeight="1">
      <c r="CK142" s="404"/>
      <c r="CL142" s="404"/>
      <c r="CM142" s="404"/>
      <c r="CN142" s="404"/>
      <c r="CO142" s="404"/>
      <c r="CP142" s="404"/>
      <c r="CQ142" s="404"/>
      <c r="CR142" s="404"/>
      <c r="CS142" s="404"/>
      <c r="CT142" s="404"/>
      <c r="CU142" s="404"/>
      <c r="CV142" s="404"/>
      <c r="CW142" s="404"/>
      <c r="CX142" s="404"/>
      <c r="CY142" s="404"/>
      <c r="CZ142" s="404"/>
      <c r="DA142" s="404"/>
      <c r="DB142" s="404"/>
      <c r="DC142" s="405"/>
      <c r="DD142" s="404"/>
      <c r="DE142" s="404"/>
      <c r="DF142" s="404"/>
      <c r="DG142" s="404"/>
      <c r="DH142" s="405"/>
      <c r="DI142" s="404"/>
      <c r="DJ142" s="405"/>
      <c r="DK142" s="405"/>
      <c r="DL142" s="405"/>
      <c r="DM142" s="405"/>
      <c r="DN142" s="404"/>
      <c r="DO142" s="404"/>
      <c r="DP142" s="405"/>
      <c r="DQ142" s="405"/>
      <c r="DR142" s="405"/>
      <c r="DS142" s="405"/>
      <c r="DT142" s="405"/>
      <c r="DU142" s="405"/>
      <c r="DV142" s="405"/>
      <c r="DW142" s="405"/>
      <c r="DX142" s="405"/>
      <c r="DY142" s="405"/>
      <c r="DZ142" s="405"/>
      <c r="EA142" s="404"/>
      <c r="EB142" s="405"/>
      <c r="EC142" s="404"/>
      <c r="ED142" s="405"/>
      <c r="EE142" s="405"/>
      <c r="EF142" s="405"/>
      <c r="EG142" s="405"/>
      <c r="EH142" s="404"/>
      <c r="EI142" s="2730"/>
      <c r="EJ142" s="2730"/>
      <c r="EK142" s="2730"/>
      <c r="EL142" s="2730"/>
      <c r="EM142" s="2729"/>
      <c r="EN142" s="2730"/>
      <c r="EO142" s="2730"/>
      <c r="EP142" s="2729"/>
      <c r="EQ142" s="2729"/>
      <c r="ER142" s="2729"/>
      <c r="ES142" s="404"/>
      <c r="ET142" s="2730"/>
      <c r="EU142" s="404"/>
      <c r="EV142" s="404"/>
      <c r="EW142" s="404"/>
      <c r="EX142" s="404"/>
      <c r="EY142" s="404"/>
      <c r="EZ142" s="404"/>
      <c r="FA142" s="404"/>
      <c r="FB142" s="404"/>
      <c r="FC142" s="404"/>
      <c r="FD142" s="404"/>
      <c r="FE142" s="404"/>
      <c r="FF142" s="404"/>
      <c r="FG142" s="404"/>
      <c r="FH142" s="404"/>
      <c r="FI142" s="404"/>
      <c r="FJ142" s="404"/>
      <c r="FK142" s="404"/>
      <c r="FL142" s="404"/>
      <c r="FX142" s="883"/>
      <c r="FY142" s="883"/>
      <c r="FZ142" s="883"/>
      <c r="GA142" s="883"/>
      <c r="GB142" s="883"/>
      <c r="GC142" s="883"/>
      <c r="GD142" s="883"/>
      <c r="GE142" s="883"/>
      <c r="GF142" s="883"/>
      <c r="GG142" s="883"/>
      <c r="GH142" s="883"/>
      <c r="GI142" s="883"/>
      <c r="GN142"/>
      <c r="GO142"/>
      <c r="GP142"/>
      <c r="GQ142"/>
      <c r="GR142"/>
      <c r="GS142"/>
    </row>
    <row r="143" spans="1:201" s="253" customFormat="1" ht="11.25" customHeight="1">
      <c r="A143" s="427"/>
      <c r="CK143" s="258"/>
      <c r="CL143" s="258"/>
      <c r="CM143" s="258"/>
      <c r="CN143" s="258"/>
      <c r="CO143" s="258"/>
      <c r="CP143" s="258"/>
      <c r="CQ143" s="258"/>
      <c r="CR143" s="258"/>
      <c r="CS143" s="258"/>
      <c r="CT143" s="258"/>
      <c r="CU143" s="258"/>
      <c r="CV143" s="258"/>
      <c r="CW143" s="258"/>
      <c r="CX143" s="258"/>
      <c r="CY143" s="258"/>
      <c r="CZ143" s="258"/>
      <c r="DA143" s="258"/>
      <c r="DB143" s="258"/>
      <c r="DC143" s="257"/>
      <c r="DD143" s="258"/>
      <c r="DE143" s="258"/>
      <c r="DF143" s="258"/>
      <c r="DG143" s="258"/>
      <c r="DH143" s="257"/>
      <c r="DI143" s="258"/>
      <c r="DJ143" s="257"/>
      <c r="DK143" s="257"/>
      <c r="DL143" s="257"/>
      <c r="DM143" s="257"/>
      <c r="DN143" s="258"/>
      <c r="DO143" s="258"/>
      <c r="DP143" s="257"/>
      <c r="DQ143" s="257"/>
      <c r="DR143" s="257"/>
      <c r="DS143" s="257"/>
      <c r="DT143" s="257"/>
      <c r="DU143" s="257"/>
      <c r="DV143" s="257"/>
      <c r="DW143" s="257"/>
      <c r="DX143" s="257"/>
      <c r="DY143" s="257"/>
      <c r="DZ143" s="257"/>
      <c r="EA143" s="258"/>
      <c r="EB143" s="257"/>
      <c r="EC143" s="258"/>
      <c r="ED143" s="257"/>
      <c r="EE143" s="257"/>
      <c r="EF143" s="257"/>
      <c r="EG143" s="257"/>
      <c r="EH143" s="258"/>
      <c r="EI143" s="2733"/>
      <c r="EJ143" s="2733"/>
      <c r="EK143" s="2733"/>
      <c r="EL143" s="2733"/>
      <c r="EM143" s="2732"/>
      <c r="EN143" s="2733"/>
      <c r="EO143" s="2733"/>
      <c r="EP143" s="2732"/>
      <c r="EQ143" s="2732"/>
      <c r="ER143" s="2732"/>
      <c r="ES143" s="258"/>
      <c r="ET143" s="2733"/>
      <c r="EU143" s="258"/>
      <c r="EV143" s="258"/>
      <c r="EW143" s="258"/>
      <c r="EX143" s="258"/>
      <c r="EY143" s="258"/>
      <c r="EZ143" s="258"/>
      <c r="FA143" s="258"/>
      <c r="FB143" s="258"/>
      <c r="FC143" s="258"/>
      <c r="FD143" s="258"/>
      <c r="FE143" s="258"/>
      <c r="FF143" s="258"/>
      <c r="FG143" s="258"/>
      <c r="FH143" s="258"/>
      <c r="FI143" s="258"/>
      <c r="FJ143" s="258"/>
      <c r="FK143" s="258"/>
      <c r="FL143" s="258"/>
      <c r="FX143" s="339"/>
      <c r="FY143" s="339"/>
      <c r="FZ143" s="339"/>
      <c r="GA143" s="339"/>
      <c r="GB143" s="339"/>
      <c r="GC143" s="339"/>
      <c r="GD143" s="339"/>
      <c r="GE143" s="339"/>
      <c r="GF143" s="339"/>
      <c r="GG143" s="339"/>
      <c r="GH143" s="339"/>
      <c r="GI143" s="339"/>
      <c r="GN143"/>
      <c r="GO143"/>
      <c r="GP143"/>
      <c r="GQ143"/>
      <c r="GR143"/>
      <c r="GS143"/>
    </row>
    <row r="144" spans="1:201" s="287" customFormat="1" ht="11.25" customHeight="1">
      <c r="CK144" s="413"/>
      <c r="CL144" s="413"/>
      <c r="CM144" s="413"/>
      <c r="CN144" s="413"/>
      <c r="CO144" s="413"/>
      <c r="CP144" s="413"/>
      <c r="CQ144" s="413"/>
      <c r="CR144" s="413"/>
      <c r="CS144" s="413"/>
      <c r="CT144" s="413"/>
      <c r="CU144" s="413"/>
      <c r="CV144" s="413"/>
      <c r="CW144" s="413"/>
      <c r="CX144" s="413"/>
      <c r="CY144" s="413"/>
      <c r="CZ144" s="413"/>
      <c r="DA144" s="413"/>
      <c r="DB144" s="413"/>
      <c r="DC144" s="414"/>
      <c r="DD144" s="413"/>
      <c r="DE144" s="413"/>
      <c r="DF144" s="413"/>
      <c r="DG144" s="413"/>
      <c r="DH144" s="414"/>
      <c r="DI144" s="413"/>
      <c r="DJ144" s="414"/>
      <c r="DK144" s="414"/>
      <c r="DL144" s="414"/>
      <c r="DM144" s="414"/>
      <c r="DN144" s="413"/>
      <c r="DO144" s="413"/>
      <c r="DP144" s="414"/>
      <c r="DQ144" s="414"/>
      <c r="DR144" s="414"/>
      <c r="DS144" s="414"/>
      <c r="DT144" s="414"/>
      <c r="DU144" s="414"/>
      <c r="DV144" s="414"/>
      <c r="DW144" s="414"/>
      <c r="DX144" s="414"/>
      <c r="DY144" s="414"/>
      <c r="DZ144" s="414"/>
      <c r="EA144" s="413"/>
      <c r="EB144" s="414"/>
      <c r="EC144" s="413"/>
      <c r="ED144" s="414"/>
      <c r="EE144" s="414"/>
      <c r="EF144" s="414"/>
      <c r="EG144" s="414"/>
      <c r="EH144" s="413"/>
      <c r="EI144" s="2736"/>
      <c r="EJ144" s="2736"/>
      <c r="EK144" s="2736"/>
      <c r="EL144" s="2736"/>
      <c r="EM144" s="2735"/>
      <c r="EN144" s="2736"/>
      <c r="EO144" s="2736"/>
      <c r="EP144" s="2735"/>
      <c r="EQ144" s="2735"/>
      <c r="ER144" s="2735"/>
      <c r="ES144" s="413"/>
      <c r="ET144" s="2736"/>
      <c r="EU144" s="413"/>
      <c r="EV144" s="413"/>
      <c r="EW144" s="413"/>
      <c r="EX144" s="413"/>
      <c r="EY144" s="413"/>
      <c r="EZ144" s="413"/>
      <c r="FA144" s="413"/>
      <c r="FB144" s="413"/>
      <c r="FC144" s="413"/>
      <c r="FD144" s="413"/>
      <c r="FE144" s="413"/>
      <c r="FF144" s="413"/>
      <c r="FG144" s="413"/>
      <c r="FH144" s="413"/>
      <c r="FI144" s="413"/>
      <c r="FJ144" s="413"/>
      <c r="FK144" s="413"/>
      <c r="FL144" s="413"/>
      <c r="FX144" s="882"/>
      <c r="FY144" s="882"/>
      <c r="FZ144" s="882"/>
      <c r="GA144" s="882"/>
      <c r="GB144" s="882"/>
      <c r="GC144" s="882"/>
      <c r="GD144" s="882"/>
      <c r="GE144" s="882"/>
      <c r="GF144" s="882"/>
      <c r="GG144" s="882"/>
      <c r="GH144" s="882"/>
      <c r="GI144" s="882"/>
      <c r="GN144"/>
      <c r="GO144"/>
      <c r="GP144"/>
      <c r="GQ144"/>
      <c r="GR144"/>
      <c r="GS144"/>
    </row>
    <row r="145" spans="1:201" s="264" customFormat="1" ht="11.25" customHeight="1">
      <c r="A145" s="253"/>
      <c r="B145" s="253"/>
      <c r="C145" s="253"/>
      <c r="D145" s="253"/>
      <c r="E145" s="253"/>
      <c r="F145" s="253"/>
      <c r="G145" s="253"/>
      <c r="H145" s="253"/>
      <c r="I145" s="253"/>
      <c r="J145" s="253"/>
      <c r="K145" s="253"/>
      <c r="L145" s="253"/>
      <c r="M145" s="253"/>
      <c r="N145" s="253"/>
      <c r="O145" s="253"/>
      <c r="P145" s="253"/>
      <c r="Q145" s="253"/>
      <c r="R145" s="253"/>
      <c r="S145" s="253"/>
      <c r="T145" s="253"/>
      <c r="U145" s="253"/>
      <c r="V145" s="253"/>
      <c r="W145" s="253"/>
      <c r="X145" s="253"/>
      <c r="Y145" s="253"/>
      <c r="Z145" s="253"/>
      <c r="AA145" s="253"/>
      <c r="AB145" s="253"/>
      <c r="AC145" s="253"/>
      <c r="AD145" s="253"/>
      <c r="AE145" s="253"/>
      <c r="AF145" s="253"/>
      <c r="AG145" s="253"/>
      <c r="AH145" s="253"/>
      <c r="AI145" s="253"/>
      <c r="AJ145" s="253"/>
      <c r="AK145" s="253"/>
      <c r="AL145" s="253"/>
      <c r="AM145" s="253"/>
      <c r="AN145" s="253"/>
      <c r="AO145" s="253"/>
      <c r="AP145" s="253"/>
      <c r="AQ145" s="253"/>
      <c r="AR145" s="253"/>
      <c r="AS145" s="253"/>
      <c r="AT145" s="253"/>
      <c r="AU145" s="253"/>
      <c r="AV145" s="253"/>
      <c r="AW145" s="253"/>
      <c r="AX145" s="253"/>
      <c r="AY145" s="253"/>
      <c r="AZ145" s="253"/>
      <c r="BA145" s="253"/>
      <c r="BB145" s="253"/>
      <c r="BC145" s="253"/>
      <c r="BD145" s="253"/>
      <c r="BE145" s="253"/>
      <c r="BF145" s="253"/>
      <c r="BG145" s="253"/>
      <c r="BH145" s="253"/>
      <c r="BI145" s="253"/>
      <c r="BJ145" s="253"/>
      <c r="BK145" s="253"/>
      <c r="BL145" s="253"/>
      <c r="BM145" s="253"/>
      <c r="BN145" s="253"/>
      <c r="BO145" s="253"/>
      <c r="BP145" s="253"/>
      <c r="BQ145" s="253"/>
      <c r="BR145" s="253"/>
      <c r="BS145" s="253"/>
      <c r="BT145" s="253"/>
      <c r="BU145" s="253"/>
      <c r="BV145" s="253"/>
      <c r="BW145" s="253"/>
      <c r="BX145" s="253"/>
      <c r="BY145" s="253"/>
      <c r="BZ145" s="253"/>
      <c r="CK145" s="336"/>
      <c r="CL145" s="336"/>
      <c r="CM145" s="336"/>
      <c r="CN145" s="336"/>
      <c r="CO145" s="336"/>
      <c r="CP145" s="336"/>
      <c r="CQ145" s="336"/>
      <c r="CR145" s="336"/>
      <c r="CS145" s="336"/>
      <c r="CT145" s="336"/>
      <c r="CU145" s="336"/>
      <c r="CV145" s="336"/>
      <c r="CW145" s="336"/>
      <c r="CX145" s="336"/>
      <c r="CY145" s="336"/>
      <c r="CZ145" s="336"/>
      <c r="DA145" s="336"/>
      <c r="DB145" s="336"/>
      <c r="DC145" s="416"/>
      <c r="DD145" s="336"/>
      <c r="DE145" s="336"/>
      <c r="DF145" s="336"/>
      <c r="DG145" s="336"/>
      <c r="DH145" s="416"/>
      <c r="DI145" s="336"/>
      <c r="DJ145" s="416"/>
      <c r="DK145" s="416"/>
      <c r="DL145" s="416"/>
      <c r="DM145" s="416"/>
      <c r="DN145" s="336"/>
      <c r="DO145" s="336"/>
      <c r="DP145" s="416"/>
      <c r="DQ145" s="416"/>
      <c r="DR145" s="416"/>
      <c r="DS145" s="416"/>
      <c r="DT145" s="416"/>
      <c r="DU145" s="416"/>
      <c r="DV145" s="416"/>
      <c r="DW145" s="416"/>
      <c r="DX145" s="416"/>
      <c r="DY145" s="416"/>
      <c r="DZ145" s="416"/>
      <c r="EA145" s="336"/>
      <c r="EB145" s="416"/>
      <c r="EC145" s="336"/>
      <c r="ED145" s="416"/>
      <c r="EE145" s="416"/>
      <c r="EF145" s="416"/>
      <c r="EG145" s="416"/>
      <c r="EH145" s="336"/>
      <c r="EI145" s="2739"/>
      <c r="EJ145" s="2739"/>
      <c r="EK145" s="2739"/>
      <c r="EL145" s="2739"/>
      <c r="EM145" s="2738"/>
      <c r="EN145" s="2739"/>
      <c r="EO145" s="2739"/>
      <c r="EP145" s="2738"/>
      <c r="EQ145" s="2738"/>
      <c r="ER145" s="2738"/>
      <c r="ES145" s="336"/>
      <c r="ET145" s="2739"/>
      <c r="EU145" s="336"/>
      <c r="EV145" s="336"/>
      <c r="EW145" s="336"/>
      <c r="EX145" s="336"/>
      <c r="EY145" s="336"/>
      <c r="EZ145" s="336"/>
      <c r="FA145" s="336"/>
      <c r="FB145" s="336"/>
      <c r="FC145" s="336"/>
      <c r="FD145" s="336"/>
      <c r="FE145" s="336"/>
      <c r="FF145" s="336"/>
      <c r="FG145" s="336"/>
      <c r="FH145" s="336"/>
      <c r="FI145" s="336"/>
      <c r="FJ145" s="336"/>
      <c r="FK145" s="336"/>
      <c r="FL145" s="336"/>
      <c r="FX145" s="339"/>
      <c r="FY145" s="339"/>
      <c r="FZ145" s="339"/>
      <c r="GA145" s="339"/>
      <c r="GB145" s="339"/>
      <c r="GC145" s="339"/>
      <c r="GD145" s="339"/>
      <c r="GE145" s="339"/>
      <c r="GF145" s="339"/>
      <c r="GG145" s="339"/>
      <c r="GH145" s="339"/>
      <c r="GI145" s="339"/>
      <c r="GJ145" s="253"/>
      <c r="GK145" s="253"/>
      <c r="GL145" s="253"/>
      <c r="GN145"/>
      <c r="GO145"/>
      <c r="GP145"/>
      <c r="GQ145"/>
      <c r="GR145"/>
      <c r="GS145"/>
    </row>
    <row r="146" spans="1:201" s="264" customFormat="1" ht="11.25" customHeight="1">
      <c r="A146" s="253"/>
      <c r="B146" s="253"/>
      <c r="C146" s="253"/>
      <c r="D146" s="253"/>
      <c r="E146" s="253"/>
      <c r="F146" s="253"/>
      <c r="G146" s="253"/>
      <c r="H146" s="253"/>
      <c r="I146" s="253"/>
      <c r="J146" s="253"/>
      <c r="K146" s="253"/>
      <c r="L146" s="253"/>
      <c r="M146" s="253"/>
      <c r="N146" s="253"/>
      <c r="O146" s="253"/>
      <c r="P146" s="253"/>
      <c r="Q146" s="253"/>
      <c r="R146" s="253"/>
      <c r="S146" s="253"/>
      <c r="T146" s="253"/>
      <c r="U146" s="253"/>
      <c r="V146" s="253"/>
      <c r="W146" s="253"/>
      <c r="X146" s="253"/>
      <c r="Y146" s="253"/>
      <c r="Z146" s="253"/>
      <c r="AA146" s="253"/>
      <c r="AB146" s="253"/>
      <c r="AC146" s="253"/>
      <c r="AD146" s="253"/>
      <c r="AE146" s="253"/>
      <c r="AF146" s="253"/>
      <c r="AG146" s="253"/>
      <c r="AH146" s="253"/>
      <c r="AI146" s="253"/>
      <c r="AJ146" s="253"/>
      <c r="AK146" s="253"/>
      <c r="AL146" s="253"/>
      <c r="AM146" s="253"/>
      <c r="AN146" s="253"/>
      <c r="AO146" s="253"/>
      <c r="AP146" s="253"/>
      <c r="AQ146" s="253"/>
      <c r="AR146" s="253"/>
      <c r="AS146" s="253"/>
      <c r="AT146" s="253"/>
      <c r="AU146" s="253"/>
      <c r="AV146" s="253"/>
      <c r="AW146" s="253"/>
      <c r="AX146" s="253"/>
      <c r="AY146" s="253"/>
      <c r="AZ146" s="253"/>
      <c r="BA146" s="253"/>
      <c r="BB146" s="253"/>
      <c r="BC146" s="253"/>
      <c r="BD146" s="253"/>
      <c r="BE146" s="253"/>
      <c r="BF146" s="253"/>
      <c r="BG146" s="253"/>
      <c r="BH146" s="253"/>
      <c r="BI146" s="253"/>
      <c r="BJ146" s="253"/>
      <c r="BK146" s="253"/>
      <c r="BL146" s="253"/>
      <c r="BM146" s="253"/>
      <c r="BN146" s="253"/>
      <c r="BO146" s="253"/>
      <c r="BP146" s="253"/>
      <c r="BQ146" s="253"/>
      <c r="BR146" s="253"/>
      <c r="BS146" s="253"/>
      <c r="BT146" s="253"/>
      <c r="BU146" s="253"/>
      <c r="BV146" s="253"/>
      <c r="BW146" s="253"/>
      <c r="BX146" s="253"/>
      <c r="BY146" s="253"/>
      <c r="BZ146" s="253"/>
      <c r="CK146" s="336"/>
      <c r="CL146" s="336"/>
      <c r="CM146" s="336"/>
      <c r="CN146" s="336"/>
      <c r="CO146" s="336"/>
      <c r="CP146" s="336"/>
      <c r="CQ146" s="336"/>
      <c r="CR146" s="336"/>
      <c r="CS146" s="336"/>
      <c r="CT146" s="336"/>
      <c r="CU146" s="336"/>
      <c r="CV146" s="336"/>
      <c r="CW146" s="336"/>
      <c r="CX146" s="336"/>
      <c r="CY146" s="336"/>
      <c r="CZ146" s="336"/>
      <c r="DA146" s="336"/>
      <c r="DB146" s="336"/>
      <c r="DC146" s="416"/>
      <c r="DD146" s="336"/>
      <c r="DE146" s="336"/>
      <c r="DF146" s="336"/>
      <c r="DG146" s="336"/>
      <c r="DH146" s="416"/>
      <c r="DI146" s="336"/>
      <c r="DJ146" s="416"/>
      <c r="DK146" s="416"/>
      <c r="DL146" s="416"/>
      <c r="DM146" s="416"/>
      <c r="DN146" s="336"/>
      <c r="DO146" s="336"/>
      <c r="DP146" s="416"/>
      <c r="DQ146" s="416"/>
      <c r="DR146" s="416"/>
      <c r="DS146" s="416"/>
      <c r="DT146" s="416"/>
      <c r="DU146" s="416"/>
      <c r="DV146" s="416"/>
      <c r="DW146" s="416"/>
      <c r="DX146" s="416"/>
      <c r="DY146" s="416"/>
      <c r="DZ146" s="416"/>
      <c r="EA146" s="336"/>
      <c r="EB146" s="416"/>
      <c r="EC146" s="336"/>
      <c r="ED146" s="416"/>
      <c r="EE146" s="416"/>
      <c r="EF146" s="416"/>
      <c r="EG146" s="416"/>
      <c r="EH146" s="336"/>
      <c r="EI146" s="2739"/>
      <c r="EJ146" s="2739"/>
      <c r="EK146" s="2739"/>
      <c r="EL146" s="2739"/>
      <c r="EM146" s="2738"/>
      <c r="EN146" s="2739"/>
      <c r="EO146" s="2739"/>
      <c r="EP146" s="2738"/>
      <c r="EQ146" s="2738"/>
      <c r="ER146" s="2738"/>
      <c r="ES146" s="336"/>
      <c r="ET146" s="2739"/>
      <c r="EU146" s="336"/>
      <c r="EV146" s="336"/>
      <c r="EW146" s="336"/>
      <c r="EX146" s="336"/>
      <c r="EY146" s="336"/>
      <c r="EZ146" s="336"/>
      <c r="FA146" s="336"/>
      <c r="FB146" s="336"/>
      <c r="FC146" s="336"/>
      <c r="FD146" s="336"/>
      <c r="FE146" s="336"/>
      <c r="FF146" s="336"/>
      <c r="FG146" s="336"/>
      <c r="FH146" s="336"/>
      <c r="FI146" s="336"/>
      <c r="FJ146" s="336"/>
      <c r="FK146" s="336"/>
      <c r="FL146" s="336"/>
      <c r="FX146" s="339"/>
      <c r="FY146" s="339"/>
      <c r="FZ146" s="339"/>
      <c r="GA146" s="339"/>
      <c r="GB146" s="339"/>
      <c r="GC146" s="339"/>
      <c r="GD146" s="339"/>
      <c r="GE146" s="339"/>
      <c r="GF146" s="339"/>
      <c r="GG146" s="339"/>
      <c r="GH146" s="339"/>
      <c r="GI146" s="339"/>
      <c r="GJ146" s="253"/>
      <c r="GK146" s="253"/>
      <c r="GL146" s="253"/>
      <c r="GN146"/>
      <c r="GO146"/>
      <c r="GP146"/>
      <c r="GQ146"/>
      <c r="GR146"/>
      <c r="GS146"/>
    </row>
    <row r="147" spans="1:201" s="264" customFormat="1" ht="11.25" customHeight="1">
      <c r="A147" s="253"/>
      <c r="B147" s="253"/>
      <c r="C147" s="253"/>
      <c r="D147" s="253"/>
      <c r="E147" s="253"/>
      <c r="F147" s="253"/>
      <c r="G147" s="253"/>
      <c r="H147" s="253"/>
      <c r="I147" s="253"/>
      <c r="J147" s="253"/>
      <c r="K147" s="253"/>
      <c r="L147" s="253"/>
      <c r="M147" s="253"/>
      <c r="N147" s="253"/>
      <c r="O147" s="253"/>
      <c r="P147" s="253"/>
      <c r="Q147" s="253"/>
      <c r="R147" s="253"/>
      <c r="S147" s="253"/>
      <c r="T147" s="253"/>
      <c r="U147" s="253"/>
      <c r="V147" s="253"/>
      <c r="W147" s="253"/>
      <c r="X147" s="253"/>
      <c r="Y147" s="253"/>
      <c r="Z147" s="253"/>
      <c r="AA147" s="253"/>
      <c r="AB147" s="253"/>
      <c r="AC147" s="253"/>
      <c r="AD147" s="253"/>
      <c r="AE147" s="253"/>
      <c r="AF147" s="253"/>
      <c r="AG147" s="253"/>
      <c r="AH147" s="253"/>
      <c r="AI147" s="253"/>
      <c r="AJ147" s="253"/>
      <c r="AK147" s="253"/>
      <c r="AL147" s="253"/>
      <c r="AM147" s="253"/>
      <c r="AN147" s="253"/>
      <c r="AO147" s="253"/>
      <c r="AP147" s="253"/>
      <c r="AQ147" s="253"/>
      <c r="AR147" s="253"/>
      <c r="AS147" s="253"/>
      <c r="AT147" s="253"/>
      <c r="AU147" s="253"/>
      <c r="AV147" s="253"/>
      <c r="AW147" s="253"/>
      <c r="AX147" s="253"/>
      <c r="AY147" s="253"/>
      <c r="AZ147" s="253"/>
      <c r="BA147" s="253"/>
      <c r="BB147" s="253"/>
      <c r="BC147" s="253"/>
      <c r="BD147" s="253"/>
      <c r="BE147" s="253"/>
      <c r="BF147" s="253"/>
      <c r="BG147" s="253"/>
      <c r="BH147" s="253"/>
      <c r="BI147" s="253"/>
      <c r="BJ147" s="253"/>
      <c r="BK147" s="253"/>
      <c r="BL147" s="253"/>
      <c r="BM147" s="253"/>
      <c r="BN147" s="253"/>
      <c r="BO147" s="253"/>
      <c r="BP147" s="253"/>
      <c r="BQ147" s="253"/>
      <c r="BR147" s="253"/>
      <c r="BS147" s="253"/>
      <c r="BT147" s="253"/>
      <c r="BU147" s="253"/>
      <c r="BV147" s="253"/>
      <c r="BW147" s="253"/>
      <c r="BX147" s="253"/>
      <c r="BY147" s="253"/>
      <c r="BZ147" s="253"/>
      <c r="CK147" s="336"/>
      <c r="CL147" s="336"/>
      <c r="CM147" s="336"/>
      <c r="CN147" s="336"/>
      <c r="CO147" s="336"/>
      <c r="CP147" s="336"/>
      <c r="CQ147" s="336"/>
      <c r="CR147" s="336"/>
      <c r="CS147" s="336"/>
      <c r="CT147" s="336"/>
      <c r="CU147" s="336"/>
      <c r="CV147" s="336"/>
      <c r="CW147" s="336"/>
      <c r="CX147" s="336"/>
      <c r="CY147" s="336"/>
      <c r="CZ147" s="336"/>
      <c r="DA147" s="336"/>
      <c r="DB147" s="336"/>
      <c r="DC147" s="416"/>
      <c r="DD147" s="336"/>
      <c r="DE147" s="336"/>
      <c r="DF147" s="336"/>
      <c r="DG147" s="336"/>
      <c r="DH147" s="416"/>
      <c r="DI147" s="336"/>
      <c r="DJ147" s="416"/>
      <c r="DK147" s="416"/>
      <c r="DL147" s="416"/>
      <c r="DM147" s="416"/>
      <c r="DN147" s="336"/>
      <c r="DO147" s="336"/>
      <c r="DP147" s="416"/>
      <c r="DQ147" s="416"/>
      <c r="DR147" s="416"/>
      <c r="DS147" s="416"/>
      <c r="DT147" s="416"/>
      <c r="DU147" s="416"/>
      <c r="DV147" s="416"/>
      <c r="DW147" s="416"/>
      <c r="DX147" s="416"/>
      <c r="DY147" s="416"/>
      <c r="DZ147" s="416"/>
      <c r="EA147" s="336"/>
      <c r="EB147" s="416"/>
      <c r="EC147" s="336"/>
      <c r="ED147" s="416"/>
      <c r="EE147" s="416"/>
      <c r="EF147" s="416"/>
      <c r="EG147" s="416"/>
      <c r="EH147" s="336"/>
      <c r="EI147" s="2739"/>
      <c r="EJ147" s="2739"/>
      <c r="EK147" s="2739"/>
      <c r="EL147" s="2739"/>
      <c r="EM147" s="2738"/>
      <c r="EN147" s="2739"/>
      <c r="EO147" s="2739"/>
      <c r="EP147" s="2738"/>
      <c r="EQ147" s="2738"/>
      <c r="ER147" s="2738"/>
      <c r="ES147" s="336"/>
      <c r="ET147" s="2739"/>
      <c r="EU147" s="336"/>
      <c r="EV147" s="336"/>
      <c r="EW147" s="336"/>
      <c r="EX147" s="336"/>
      <c r="EY147" s="336"/>
      <c r="EZ147" s="336"/>
      <c r="FA147" s="336"/>
      <c r="FB147" s="336"/>
      <c r="FC147" s="336"/>
      <c r="FD147" s="336"/>
      <c r="FE147" s="336"/>
      <c r="FF147" s="336"/>
      <c r="FG147" s="336"/>
      <c r="FH147" s="336"/>
      <c r="FI147" s="336"/>
      <c r="FJ147" s="336"/>
      <c r="FK147" s="336"/>
      <c r="FL147" s="336"/>
      <c r="FX147" s="339"/>
      <c r="FY147" s="339"/>
      <c r="FZ147" s="339"/>
      <c r="GA147" s="339"/>
      <c r="GB147" s="339"/>
      <c r="GC147" s="339"/>
      <c r="GD147" s="339"/>
      <c r="GE147" s="339"/>
      <c r="GF147" s="339"/>
      <c r="GG147" s="339"/>
      <c r="GH147" s="339"/>
      <c r="GI147" s="339"/>
      <c r="GJ147" s="253"/>
      <c r="GK147" s="253"/>
      <c r="GL147" s="253"/>
      <c r="GN147"/>
      <c r="GO147"/>
      <c r="GP147"/>
      <c r="GQ147"/>
      <c r="GR147"/>
      <c r="GS147"/>
    </row>
    <row r="148" spans="1:201" s="287" customFormat="1" ht="11.25" customHeight="1">
      <c r="A148" s="432" t="s">
        <v>700</v>
      </c>
      <c r="CK148" s="413"/>
      <c r="CL148" s="413"/>
      <c r="CM148" s="413"/>
      <c r="CN148" s="413"/>
      <c r="CO148" s="413"/>
      <c r="CP148" s="413"/>
      <c r="CQ148" s="413"/>
      <c r="CR148" s="413"/>
      <c r="CS148" s="413"/>
      <c r="CT148" s="413"/>
      <c r="CU148" s="413"/>
      <c r="CV148" s="413"/>
      <c r="CW148" s="413"/>
      <c r="CX148" s="413"/>
      <c r="CY148" s="413"/>
      <c r="CZ148" s="413"/>
      <c r="DA148" s="413"/>
      <c r="DB148" s="413"/>
      <c r="DC148" s="414"/>
      <c r="DD148" s="413"/>
      <c r="DE148" s="413"/>
      <c r="DF148" s="413"/>
      <c r="DG148" s="413"/>
      <c r="DH148" s="414"/>
      <c r="DI148" s="413"/>
      <c r="DJ148" s="414"/>
      <c r="DK148" s="414"/>
      <c r="DL148" s="414"/>
      <c r="DM148" s="414"/>
      <c r="DN148" s="413"/>
      <c r="DO148" s="413"/>
      <c r="DP148" s="414"/>
      <c r="DQ148" s="414"/>
      <c r="DR148" s="414"/>
      <c r="DS148" s="414"/>
      <c r="DT148" s="414"/>
      <c r="DU148" s="414"/>
      <c r="DV148" s="414"/>
      <c r="DW148" s="414"/>
      <c r="DX148" s="414"/>
      <c r="DY148" s="414"/>
      <c r="DZ148" s="414"/>
      <c r="EA148" s="413"/>
      <c r="EB148" s="414"/>
      <c r="EC148" s="413"/>
      <c r="ED148" s="414"/>
      <c r="EE148" s="414"/>
      <c r="EF148" s="414"/>
      <c r="EG148" s="414"/>
      <c r="EH148" s="413"/>
      <c r="EI148" s="2736"/>
      <c r="EJ148" s="2736"/>
      <c r="EK148" s="2736"/>
      <c r="EL148" s="2736"/>
      <c r="EM148" s="2735"/>
      <c r="EN148" s="2736"/>
      <c r="EO148" s="2736"/>
      <c r="EP148" s="2735"/>
      <c r="EQ148" s="2735"/>
      <c r="ER148" s="2735"/>
      <c r="ES148" s="413"/>
      <c r="ET148" s="2736"/>
      <c r="EU148" s="413"/>
      <c r="EV148" s="413"/>
      <c r="EW148" s="413"/>
      <c r="EX148" s="413"/>
      <c r="EY148" s="413"/>
      <c r="EZ148" s="413"/>
      <c r="FA148" s="413"/>
      <c r="FB148" s="413"/>
      <c r="FC148" s="413"/>
      <c r="FD148" s="413"/>
      <c r="FE148" s="413"/>
      <c r="FF148" s="413"/>
      <c r="FG148" s="413"/>
      <c r="FH148" s="413"/>
      <c r="FI148" s="413"/>
      <c r="FJ148" s="413"/>
      <c r="FK148" s="413"/>
      <c r="FL148" s="413"/>
      <c r="FX148" s="882"/>
      <c r="FY148" s="882"/>
      <c r="FZ148" s="882"/>
      <c r="GA148" s="882"/>
      <c r="GB148" s="882"/>
      <c r="GC148" s="882"/>
      <c r="GD148" s="882"/>
      <c r="GE148" s="882"/>
      <c r="GF148" s="882"/>
      <c r="GG148" s="882"/>
      <c r="GH148" s="882"/>
      <c r="GI148" s="882"/>
      <c r="GN148"/>
      <c r="GO148"/>
      <c r="GP148"/>
      <c r="GQ148"/>
      <c r="GR148"/>
      <c r="GS148"/>
    </row>
    <row r="149" spans="1:201" s="264" customFormat="1" ht="3" customHeight="1">
      <c r="A149" s="253"/>
      <c r="B149" s="253"/>
      <c r="C149" s="253"/>
      <c r="D149" s="253"/>
      <c r="E149" s="253"/>
      <c r="F149" s="253"/>
      <c r="G149" s="253"/>
      <c r="H149" s="253"/>
      <c r="I149" s="253"/>
      <c r="J149" s="253"/>
      <c r="K149" s="253"/>
      <c r="L149" s="253"/>
      <c r="M149" s="253"/>
      <c r="N149" s="253"/>
      <c r="O149" s="253"/>
      <c r="P149" s="253"/>
      <c r="Q149" s="253"/>
      <c r="R149" s="253"/>
      <c r="S149" s="253"/>
      <c r="T149" s="253"/>
      <c r="U149" s="253"/>
      <c r="V149" s="253"/>
      <c r="W149" s="253"/>
      <c r="X149" s="253"/>
      <c r="Y149" s="253"/>
      <c r="Z149" s="253"/>
      <c r="AA149" s="253"/>
      <c r="AB149" s="253"/>
      <c r="AC149" s="253"/>
      <c r="AD149" s="253"/>
      <c r="AE149" s="253"/>
      <c r="AF149" s="253"/>
      <c r="AG149" s="253"/>
      <c r="AH149" s="253"/>
      <c r="AI149" s="253"/>
      <c r="AJ149" s="253"/>
      <c r="AK149" s="253"/>
      <c r="AL149" s="253"/>
      <c r="AM149" s="253"/>
      <c r="AN149" s="253"/>
      <c r="AO149" s="253"/>
      <c r="AP149" s="253"/>
      <c r="AQ149" s="253"/>
      <c r="AR149" s="253"/>
      <c r="AS149" s="253"/>
      <c r="AT149" s="253"/>
      <c r="AU149" s="253"/>
      <c r="AV149" s="253"/>
      <c r="AW149" s="253"/>
      <c r="AX149" s="253"/>
      <c r="AY149" s="253"/>
      <c r="AZ149" s="253"/>
      <c r="BA149" s="253"/>
      <c r="BB149" s="253"/>
      <c r="BC149" s="253"/>
      <c r="BD149" s="253"/>
      <c r="BE149" s="253"/>
      <c r="BF149" s="253"/>
      <c r="BG149" s="253"/>
      <c r="BH149" s="253"/>
      <c r="BI149" s="253"/>
      <c r="BJ149" s="253"/>
      <c r="BK149" s="253"/>
      <c r="BL149" s="253"/>
      <c r="BM149" s="253"/>
      <c r="BN149" s="253"/>
      <c r="BO149" s="253"/>
      <c r="BP149" s="253"/>
      <c r="BQ149" s="253"/>
      <c r="BR149" s="253"/>
      <c r="BS149" s="253"/>
      <c r="BT149" s="253"/>
      <c r="BU149" s="253"/>
      <c r="BV149" s="253"/>
      <c r="BW149" s="253"/>
      <c r="BX149" s="253"/>
      <c r="BY149" s="253"/>
      <c r="BZ149" s="253"/>
      <c r="CK149" s="336"/>
      <c r="CL149" s="336"/>
      <c r="CM149" s="336"/>
      <c r="CN149" s="336"/>
      <c r="CO149" s="336"/>
      <c r="CP149" s="336"/>
      <c r="CQ149" s="336"/>
      <c r="CR149" s="336"/>
      <c r="CS149" s="336"/>
      <c r="CT149" s="336"/>
      <c r="CU149" s="336"/>
      <c r="CV149" s="336"/>
      <c r="CW149" s="336"/>
      <c r="CX149" s="336"/>
      <c r="CY149" s="336"/>
      <c r="CZ149" s="336"/>
      <c r="DA149" s="336"/>
      <c r="DB149" s="336"/>
      <c r="DC149" s="416"/>
      <c r="DD149" s="336"/>
      <c r="DE149" s="336"/>
      <c r="DF149" s="336"/>
      <c r="DG149" s="336"/>
      <c r="DH149" s="416"/>
      <c r="DI149" s="336"/>
      <c r="DJ149" s="416"/>
      <c r="DK149" s="416"/>
      <c r="DL149" s="416"/>
      <c r="DM149" s="416"/>
      <c r="DN149" s="336"/>
      <c r="DO149" s="336"/>
      <c r="DP149" s="416"/>
      <c r="DQ149" s="416"/>
      <c r="DR149" s="416"/>
      <c r="DS149" s="416"/>
      <c r="DT149" s="416"/>
      <c r="DU149" s="416"/>
      <c r="DV149" s="416"/>
      <c r="DW149" s="416"/>
      <c r="DX149" s="416"/>
      <c r="DY149" s="416"/>
      <c r="DZ149" s="416"/>
      <c r="EA149" s="336"/>
      <c r="EB149" s="416"/>
      <c r="EC149" s="336"/>
      <c r="ED149" s="416"/>
      <c r="EE149" s="416"/>
      <c r="EF149" s="416"/>
      <c r="EG149" s="416"/>
      <c r="EH149" s="336"/>
      <c r="EI149" s="2739"/>
      <c r="EJ149" s="2739"/>
      <c r="EK149" s="2739"/>
      <c r="EL149" s="2739"/>
      <c r="EM149" s="2738"/>
      <c r="EN149" s="2739"/>
      <c r="EO149" s="2739"/>
      <c r="EP149" s="2738"/>
      <c r="EQ149" s="2738"/>
      <c r="ER149" s="2738"/>
      <c r="ES149" s="336"/>
      <c r="ET149" s="2739"/>
      <c r="EU149" s="336"/>
      <c r="EV149" s="336"/>
      <c r="EW149" s="336"/>
      <c r="EX149" s="336"/>
      <c r="EY149" s="336"/>
      <c r="EZ149" s="336"/>
      <c r="FA149" s="336"/>
      <c r="FB149" s="336"/>
      <c r="FC149" s="336"/>
      <c r="FD149" s="336"/>
      <c r="FE149" s="336"/>
      <c r="FF149" s="336"/>
      <c r="FG149" s="336"/>
      <c r="FH149" s="336"/>
      <c r="FI149" s="336"/>
      <c r="FJ149" s="336"/>
      <c r="FK149" s="336"/>
      <c r="FL149" s="336"/>
      <c r="FX149" s="339"/>
      <c r="FY149" s="339"/>
      <c r="FZ149" s="339"/>
      <c r="GA149" s="339"/>
      <c r="GB149" s="339"/>
      <c r="GC149" s="339"/>
      <c r="GD149" s="339"/>
      <c r="GE149" s="339"/>
      <c r="GF149" s="339"/>
      <c r="GG149" s="339"/>
      <c r="GH149" s="339"/>
      <c r="GI149" s="339"/>
      <c r="GJ149" s="253"/>
      <c r="GK149" s="253"/>
      <c r="GL149" s="253"/>
      <c r="GN149"/>
      <c r="GO149"/>
      <c r="GP149"/>
      <c r="GQ149"/>
      <c r="GR149"/>
      <c r="GS149"/>
    </row>
    <row r="150" spans="1:201" s="437" customFormat="1" ht="11.25" customHeight="1">
      <c r="A150" s="253" t="s">
        <v>535</v>
      </c>
      <c r="B150" s="253"/>
      <c r="C150" s="253"/>
      <c r="D150" s="312">
        <v>0</v>
      </c>
      <c r="E150" s="312">
        <v>0</v>
      </c>
      <c r="F150" s="312">
        <v>0</v>
      </c>
      <c r="G150" s="312">
        <v>0</v>
      </c>
      <c r="H150" s="312"/>
      <c r="I150" s="312">
        <v>0</v>
      </c>
      <c r="J150" s="312">
        <v>0</v>
      </c>
      <c r="K150" s="312">
        <v>0</v>
      </c>
      <c r="L150" s="312">
        <v>0</v>
      </c>
      <c r="M150" s="312"/>
      <c r="N150" s="312">
        <v>0</v>
      </c>
      <c r="O150" s="312">
        <v>0</v>
      </c>
      <c r="P150" s="312">
        <v>0</v>
      </c>
      <c r="Q150" s="312">
        <v>0</v>
      </c>
      <c r="R150" s="312"/>
      <c r="S150" s="312">
        <v>0</v>
      </c>
      <c r="T150" s="312">
        <v>0</v>
      </c>
      <c r="U150" s="312">
        <v>0</v>
      </c>
      <c r="V150" s="312">
        <v>0</v>
      </c>
      <c r="W150" s="312"/>
      <c r="X150" s="312">
        <v>0</v>
      </c>
      <c r="Y150" s="312">
        <v>0</v>
      </c>
      <c r="Z150" s="312">
        <v>0</v>
      </c>
      <c r="AA150" s="312">
        <v>0</v>
      </c>
      <c r="AB150" s="312"/>
      <c r="AC150" s="312">
        <v>0</v>
      </c>
      <c r="AD150" s="312">
        <v>0</v>
      </c>
      <c r="AE150" s="312">
        <v>0</v>
      </c>
      <c r="AF150" s="312">
        <v>0</v>
      </c>
      <c r="AG150" s="312"/>
      <c r="AH150" s="312">
        <v>0</v>
      </c>
      <c r="AI150" s="312">
        <v>0</v>
      </c>
      <c r="AJ150" s="312">
        <v>0</v>
      </c>
      <c r="AK150" s="312">
        <v>0</v>
      </c>
      <c r="AL150" s="312"/>
      <c r="AM150" s="312">
        <v>0</v>
      </c>
      <c r="AN150" s="312">
        <v>0</v>
      </c>
      <c r="AO150" s="312">
        <v>0</v>
      </c>
      <c r="AP150" s="312">
        <v>0</v>
      </c>
      <c r="AQ150" s="312"/>
      <c r="AR150" s="312">
        <v>0</v>
      </c>
      <c r="AS150" s="312">
        <v>0</v>
      </c>
      <c r="AT150" s="312">
        <v>0</v>
      </c>
      <c r="AU150" s="312">
        <v>0</v>
      </c>
      <c r="AV150" s="312"/>
      <c r="AW150" s="312">
        <v>0</v>
      </c>
      <c r="AX150" s="312">
        <v>0</v>
      </c>
      <c r="AY150" s="312">
        <v>0</v>
      </c>
      <c r="AZ150" s="312">
        <v>0</v>
      </c>
      <c r="BA150" s="312"/>
      <c r="BB150" s="312">
        <v>0</v>
      </c>
      <c r="BC150" s="312">
        <v>0</v>
      </c>
      <c r="BD150" s="312">
        <v>0</v>
      </c>
      <c r="BE150" s="312">
        <v>0</v>
      </c>
      <c r="BF150" s="312"/>
      <c r="BG150" s="312">
        <v>0</v>
      </c>
      <c r="BH150" s="312">
        <v>0</v>
      </c>
      <c r="BI150" s="312">
        <v>0</v>
      </c>
      <c r="BJ150" s="312">
        <v>0</v>
      </c>
      <c r="BK150" s="312"/>
      <c r="BL150" s="312">
        <v>0</v>
      </c>
      <c r="BM150" s="312">
        <v>0</v>
      </c>
      <c r="BN150" s="312">
        <v>0</v>
      </c>
      <c r="BO150" s="312">
        <v>0</v>
      </c>
      <c r="BP150" s="312"/>
      <c r="BQ150" s="312">
        <f>BQ55</f>
        <v>0.32008479067302598</v>
      </c>
      <c r="BR150" s="312">
        <f t="shared" ref="BR150:DI150" si="577">BR55</f>
        <v>0.31994025392083647</v>
      </c>
      <c r="BS150" s="312">
        <f t="shared" si="577"/>
        <v>0.31992051664182813</v>
      </c>
      <c r="BT150" s="312">
        <f t="shared" si="577"/>
        <v>0.32010699955416855</v>
      </c>
      <c r="BU150" s="312">
        <f t="shared" si="577"/>
        <v>0.3199868561570689</v>
      </c>
      <c r="BV150" s="312">
        <f t="shared" si="577"/>
        <v>0.33016081391532653</v>
      </c>
      <c r="BW150" s="312">
        <f t="shared" si="577"/>
        <v>0.33011404133998573</v>
      </c>
      <c r="BX150" s="312">
        <f t="shared" si="577"/>
        <v>0.33</v>
      </c>
      <c r="BY150" s="312">
        <f t="shared" si="577"/>
        <v>0.33</v>
      </c>
      <c r="BZ150" s="312">
        <f t="shared" si="577"/>
        <v>0.33006716417910448</v>
      </c>
      <c r="CA150" s="312">
        <f t="shared" si="577"/>
        <v>0.32991540630607535</v>
      </c>
      <c r="CB150" s="312">
        <f t="shared" si="577"/>
        <v>0.33</v>
      </c>
      <c r="CC150" s="312">
        <f t="shared" si="577"/>
        <v>0.3331256490134995</v>
      </c>
      <c r="CD150" s="312">
        <f t="shared" si="577"/>
        <v>0.33000270051309749</v>
      </c>
      <c r="CE150" s="312">
        <f t="shared" si="577"/>
        <v>0.33086974492205956</v>
      </c>
      <c r="CF150" s="312">
        <f t="shared" si="577"/>
        <v>0.33000696217219772</v>
      </c>
      <c r="CG150" s="312">
        <f t="shared" si="577"/>
        <v>0.33004449603404912</v>
      </c>
      <c r="CH150" s="312">
        <f t="shared" si="577"/>
        <v>0.32994556934465491</v>
      </c>
      <c r="CI150" s="312">
        <f t="shared" si="577"/>
        <v>0.31</v>
      </c>
      <c r="CJ150" s="312">
        <f t="shared" si="577"/>
        <v>0.32113441780821922</v>
      </c>
      <c r="CK150" s="312">
        <f t="shared" si="577"/>
        <v>0.31</v>
      </c>
      <c r="CL150" s="312">
        <f t="shared" si="577"/>
        <v>0.30984818995718177</v>
      </c>
      <c r="CM150" s="312">
        <f t="shared" si="577"/>
        <v>0.31</v>
      </c>
      <c r="CN150" s="312">
        <f t="shared" si="577"/>
        <v>0.31012795489047928</v>
      </c>
      <c r="CO150" s="312">
        <f t="shared" si="577"/>
        <v>0.30999019354838708</v>
      </c>
      <c r="CP150" s="312">
        <f t="shared" si="577"/>
        <v>0.31005752826820077</v>
      </c>
      <c r="CQ150" s="312">
        <f t="shared" si="577"/>
        <v>0.30985545335085413</v>
      </c>
      <c r="CR150" s="312">
        <f t="shared" si="577"/>
        <v>0.31438596491228071</v>
      </c>
      <c r="CS150" s="312">
        <f t="shared" si="577"/>
        <v>0.23385133870061786</v>
      </c>
      <c r="CT150" s="312">
        <f t="shared" si="577"/>
        <v>0.29237049549549549</v>
      </c>
      <c r="CU150" s="312">
        <f t="shared" si="577"/>
        <v>0.31000643500643499</v>
      </c>
      <c r="CV150" s="312">
        <f t="shared" si="577"/>
        <v>0.30982404692082111</v>
      </c>
      <c r="CW150" s="312">
        <f t="shared" si="577"/>
        <v>0.29066966436486269</v>
      </c>
      <c r="CX150" s="312">
        <f t="shared" si="577"/>
        <v>0.27999329758713137</v>
      </c>
      <c r="CY150" s="312">
        <f>CY55</f>
        <v>0.29808568824065634</v>
      </c>
      <c r="CZ150" s="312">
        <f t="shared" si="577"/>
        <v>0.27007177432815893</v>
      </c>
      <c r="DA150" s="312">
        <f t="shared" si="577"/>
        <v>0.25966654842142606</v>
      </c>
      <c r="DB150" s="312">
        <f t="shared" si="577"/>
        <v>0.26494747899159665</v>
      </c>
      <c r="DC150" s="314">
        <f t="shared" si="577"/>
        <v>0.26500000000000001</v>
      </c>
      <c r="DD150" s="312">
        <f t="shared" si="577"/>
        <v>0.2650031299658111</v>
      </c>
      <c r="DE150" s="312">
        <f t="shared" si="577"/>
        <v>0.24994753410283316</v>
      </c>
      <c r="DF150" s="312">
        <f t="shared" si="577"/>
        <v>0.2500281436451649</v>
      </c>
      <c r="DG150" s="312">
        <f t="shared" si="577"/>
        <v>0.24995319228608875</v>
      </c>
      <c r="DH150" s="314">
        <f t="shared" si="577"/>
        <v>0.25</v>
      </c>
      <c r="DI150" s="312">
        <f t="shared" si="577"/>
        <v>0.24999000519729742</v>
      </c>
      <c r="DJ150" s="314">
        <f t="shared" ref="DJ150:DS150" si="578">DJ55</f>
        <v>0.25172890733056708</v>
      </c>
      <c r="DK150" s="314">
        <f t="shared" si="578"/>
        <v>0.21925385430151817</v>
      </c>
      <c r="DL150" s="314">
        <f t="shared" si="578"/>
        <v>0.1316182572614108</v>
      </c>
      <c r="DM150" s="314">
        <f t="shared" si="578"/>
        <v>7.0439925032924747E-2</v>
      </c>
      <c r="DN150" s="312">
        <f t="shared" si="578"/>
        <v>0.17531521825871837</v>
      </c>
      <c r="DO150" s="312">
        <f t="shared" si="578"/>
        <v>0.21461812209143169</v>
      </c>
      <c r="DP150" s="314">
        <f t="shared" si="578"/>
        <v>0.19601893433669135</v>
      </c>
      <c r="DQ150" s="314">
        <f t="shared" si="578"/>
        <v>0.19723400911519723</v>
      </c>
      <c r="DR150" s="314">
        <f t="shared" si="578"/>
        <v>0.12988400488400489</v>
      </c>
      <c r="DS150" s="314">
        <f t="shared" si="578"/>
        <v>0.18583977512297961</v>
      </c>
      <c r="DT150" s="314">
        <f>DT55</f>
        <v>0.19298879653053849</v>
      </c>
      <c r="DU150" s="314">
        <f>DU55</f>
        <v>0.17927927927927928</v>
      </c>
      <c r="DV150" s="314">
        <f t="shared" ref="DV150:DX150" si="579">DV55</f>
        <v>0.18570057581573896</v>
      </c>
      <c r="DW150" s="314">
        <f t="shared" si="579"/>
        <v>0.19202603742880389</v>
      </c>
      <c r="DX150" s="314">
        <f t="shared" si="579"/>
        <v>0.19181576223569421</v>
      </c>
      <c r="DY150" s="314">
        <v>0.35</v>
      </c>
      <c r="DZ150" s="314">
        <v>0.35</v>
      </c>
      <c r="EA150" s="312">
        <v>0.35</v>
      </c>
      <c r="EB150" s="314">
        <v>0.35</v>
      </c>
      <c r="EC150" s="312">
        <v>0.35</v>
      </c>
      <c r="ED150" s="314">
        <v>0.35</v>
      </c>
      <c r="EE150" s="314">
        <v>0.35</v>
      </c>
      <c r="EF150" s="314">
        <v>0.35</v>
      </c>
      <c r="EG150" s="314">
        <v>0.35</v>
      </c>
      <c r="EH150" s="312">
        <v>0.35</v>
      </c>
      <c r="EI150" s="314">
        <v>0.35</v>
      </c>
      <c r="EJ150" s="314">
        <v>0.35</v>
      </c>
      <c r="EK150" s="314">
        <v>0.35</v>
      </c>
      <c r="EL150" s="314">
        <v>0.35</v>
      </c>
      <c r="EM150" s="312">
        <v>0.35</v>
      </c>
      <c r="EN150" s="314">
        <v>0.35</v>
      </c>
      <c r="EO150" s="314">
        <v>0.35</v>
      </c>
      <c r="EP150" s="312">
        <v>0.35</v>
      </c>
      <c r="EQ150" s="312">
        <v>0.35</v>
      </c>
      <c r="ER150" s="312">
        <v>0.35</v>
      </c>
      <c r="ES150" s="312">
        <v>0.35</v>
      </c>
      <c r="ET150" s="314">
        <v>0.35</v>
      </c>
      <c r="EU150" s="312">
        <v>0.35</v>
      </c>
      <c r="EV150" s="312">
        <v>0.35</v>
      </c>
      <c r="EW150" s="312">
        <v>0.35</v>
      </c>
      <c r="EX150" s="312">
        <v>0.35</v>
      </c>
      <c r="EY150" s="312">
        <v>0.35</v>
      </c>
      <c r="EZ150" s="312">
        <v>0.35</v>
      </c>
      <c r="FA150" s="312">
        <v>0.35</v>
      </c>
      <c r="FB150" s="312">
        <v>0.35</v>
      </c>
      <c r="FC150" s="312">
        <v>0.35</v>
      </c>
      <c r="FD150" s="312">
        <v>0.35</v>
      </c>
      <c r="FE150" s="312">
        <v>0.35</v>
      </c>
      <c r="FF150" s="312">
        <v>0.35</v>
      </c>
      <c r="FG150" s="312">
        <v>0.35</v>
      </c>
      <c r="FH150" s="312">
        <v>0.35</v>
      </c>
      <c r="FI150" s="312">
        <v>0.35</v>
      </c>
      <c r="FJ150" s="312">
        <v>0.35</v>
      </c>
      <c r="FK150" s="312">
        <v>0.35</v>
      </c>
      <c r="FL150" s="312">
        <v>0.35</v>
      </c>
      <c r="FM150" s="312"/>
      <c r="FN150" s="435"/>
      <c r="FO150" s="435"/>
      <c r="FP150" s="435"/>
      <c r="FQ150" s="435"/>
      <c r="FR150" s="435"/>
      <c r="FS150" s="435"/>
      <c r="FT150" s="435"/>
      <c r="FU150" s="435"/>
      <c r="FV150" s="435"/>
      <c r="FW150" s="435"/>
      <c r="FX150" s="884"/>
      <c r="FY150" s="884"/>
      <c r="FZ150" s="884"/>
      <c r="GA150" s="884"/>
      <c r="GB150" s="884"/>
      <c r="GC150" s="884"/>
      <c r="GD150" s="884"/>
      <c r="GE150" s="884"/>
      <c r="GF150" s="884"/>
      <c r="GG150" s="884"/>
      <c r="GH150" s="884"/>
      <c r="GI150" s="884"/>
      <c r="GJ150" s="446"/>
      <c r="GK150" s="446"/>
      <c r="GL150" s="446"/>
      <c r="GN150"/>
      <c r="GO150"/>
      <c r="GP150"/>
      <c r="GQ150"/>
      <c r="GR150"/>
      <c r="GS150"/>
    </row>
    <row r="151" spans="1:201" s="264" customFormat="1" ht="11.25" customHeight="1">
      <c r="A151" s="253" t="s">
        <v>698</v>
      </c>
      <c r="B151" s="253"/>
      <c r="C151" s="253"/>
      <c r="D151" s="438">
        <v>0</v>
      </c>
      <c r="E151" s="438">
        <v>0</v>
      </c>
      <c r="F151" s="438">
        <v>0</v>
      </c>
      <c r="G151" s="438">
        <v>0</v>
      </c>
      <c r="H151" s="438"/>
      <c r="I151" s="438">
        <v>0</v>
      </c>
      <c r="J151" s="438">
        <v>0</v>
      </c>
      <c r="K151" s="438">
        <v>0</v>
      </c>
      <c r="L151" s="438">
        <v>0</v>
      </c>
      <c r="M151" s="438"/>
      <c r="N151" s="438">
        <v>0</v>
      </c>
      <c r="O151" s="438">
        <v>0</v>
      </c>
      <c r="P151" s="438">
        <v>0</v>
      </c>
      <c r="Q151" s="438">
        <v>0</v>
      </c>
      <c r="R151" s="438"/>
      <c r="S151" s="438">
        <v>0</v>
      </c>
      <c r="T151" s="438">
        <v>0</v>
      </c>
      <c r="U151" s="438">
        <v>0</v>
      </c>
      <c r="V151" s="438">
        <v>0</v>
      </c>
      <c r="W151" s="438"/>
      <c r="X151" s="438">
        <v>0</v>
      </c>
      <c r="Y151" s="438">
        <v>0</v>
      </c>
      <c r="Z151" s="438">
        <v>0</v>
      </c>
      <c r="AA151" s="438">
        <v>0</v>
      </c>
      <c r="AB151" s="438"/>
      <c r="AC151" s="438">
        <v>0</v>
      </c>
      <c r="AD151" s="438">
        <v>0</v>
      </c>
      <c r="AE151" s="438">
        <v>0</v>
      </c>
      <c r="AF151" s="438">
        <v>0</v>
      </c>
      <c r="AG151" s="438"/>
      <c r="AH151" s="438">
        <v>0</v>
      </c>
      <c r="AI151" s="438">
        <v>0</v>
      </c>
      <c r="AJ151" s="438">
        <v>0</v>
      </c>
      <c r="AK151" s="438">
        <v>0</v>
      </c>
      <c r="AL151" s="438"/>
      <c r="AM151" s="438">
        <v>0</v>
      </c>
      <c r="AN151" s="438">
        <v>0</v>
      </c>
      <c r="AO151" s="438">
        <v>0</v>
      </c>
      <c r="AP151" s="438">
        <v>0</v>
      </c>
      <c r="AQ151" s="438"/>
      <c r="AR151" s="438">
        <v>0</v>
      </c>
      <c r="AS151" s="438">
        <v>0</v>
      </c>
      <c r="AT151" s="438">
        <v>0</v>
      </c>
      <c r="AU151" s="438">
        <v>0</v>
      </c>
      <c r="AV151" s="438"/>
      <c r="AW151" s="438">
        <v>0</v>
      </c>
      <c r="AX151" s="438">
        <v>0</v>
      </c>
      <c r="AY151" s="438">
        <v>0</v>
      </c>
      <c r="AZ151" s="438">
        <v>0</v>
      </c>
      <c r="BA151" s="438"/>
      <c r="BB151" s="438">
        <v>0</v>
      </c>
      <c r="BC151" s="438">
        <v>0</v>
      </c>
      <c r="BD151" s="438">
        <v>0</v>
      </c>
      <c r="BE151" s="438">
        <v>0</v>
      </c>
      <c r="BF151" s="438"/>
      <c r="BG151" s="438">
        <v>0</v>
      </c>
      <c r="BH151" s="438">
        <v>0</v>
      </c>
      <c r="BI151" s="438">
        <v>0</v>
      </c>
      <c r="BJ151" s="438">
        <v>0</v>
      </c>
      <c r="BK151" s="438"/>
      <c r="BL151" s="438">
        <v>0</v>
      </c>
      <c r="BM151" s="438">
        <v>0</v>
      </c>
      <c r="BN151" s="438">
        <v>0</v>
      </c>
      <c r="BO151" s="438">
        <v>0</v>
      </c>
      <c r="BP151" s="438"/>
      <c r="BQ151" s="438">
        <v>0</v>
      </c>
      <c r="BR151" s="438">
        <v>0</v>
      </c>
      <c r="BS151" s="438">
        <v>0</v>
      </c>
      <c r="BT151" s="438">
        <v>0</v>
      </c>
      <c r="BU151" s="438"/>
      <c r="BV151" s="438">
        <v>0</v>
      </c>
      <c r="BW151" s="438">
        <v>0</v>
      </c>
      <c r="BX151" s="438">
        <v>0</v>
      </c>
      <c r="BY151" s="438">
        <v>0</v>
      </c>
      <c r="BZ151" s="438"/>
      <c r="CA151" s="438">
        <v>0</v>
      </c>
      <c r="CB151" s="438">
        <v>0</v>
      </c>
      <c r="CC151" s="438">
        <v>0</v>
      </c>
      <c r="CD151" s="438">
        <v>0</v>
      </c>
      <c r="CE151" s="438"/>
      <c r="CF151" s="438">
        <v>0</v>
      </c>
      <c r="CG151" s="438">
        <v>3</v>
      </c>
      <c r="CH151" s="438">
        <v>0</v>
      </c>
      <c r="CI151" s="438">
        <v>0</v>
      </c>
      <c r="CJ151" s="438"/>
      <c r="CK151" s="428">
        <v>0</v>
      </c>
      <c r="CL151" s="428">
        <v>0</v>
      </c>
      <c r="CM151" s="428">
        <v>0</v>
      </c>
      <c r="CN151" s="428">
        <v>0</v>
      </c>
      <c r="CO151" s="428"/>
      <c r="CP151" s="428">
        <v>0</v>
      </c>
      <c r="CQ151" s="428">
        <v>0</v>
      </c>
      <c r="CR151" s="428">
        <v>0</v>
      </c>
      <c r="CS151" s="428">
        <v>0</v>
      </c>
      <c r="CT151" s="428"/>
      <c r="CU151" s="428">
        <v>0</v>
      </c>
      <c r="CV151" s="428">
        <v>0</v>
      </c>
      <c r="CW151" s="428">
        <v>0</v>
      </c>
      <c r="CX151" s="428">
        <v>0</v>
      </c>
      <c r="CY151" s="428"/>
      <c r="CZ151" s="428"/>
      <c r="DA151" s="428"/>
      <c r="DB151" s="428"/>
      <c r="DC151" s="439"/>
      <c r="DD151" s="428"/>
      <c r="DE151" s="428"/>
      <c r="DF151" s="428"/>
      <c r="DG151" s="428"/>
      <c r="DH151" s="439"/>
      <c r="DI151" s="428"/>
      <c r="DJ151" s="439"/>
      <c r="DK151" s="439"/>
      <c r="DL151" s="439"/>
      <c r="DM151" s="439"/>
      <c r="DN151" s="428"/>
      <c r="DO151" s="428"/>
      <c r="DP151" s="439"/>
      <c r="DQ151" s="439"/>
      <c r="DR151" s="439"/>
      <c r="DS151" s="439"/>
      <c r="DT151" s="439"/>
      <c r="DU151" s="439"/>
      <c r="DV151" s="439"/>
      <c r="DW151" s="439"/>
      <c r="DX151" s="439"/>
      <c r="DY151" s="439"/>
      <c r="DZ151" s="439"/>
      <c r="EA151" s="428"/>
      <c r="EB151" s="439"/>
      <c r="EC151" s="428"/>
      <c r="ED151" s="439"/>
      <c r="EE151" s="439"/>
      <c r="EF151" s="439"/>
      <c r="EG151" s="439"/>
      <c r="EH151" s="428"/>
      <c r="EI151" s="2753"/>
      <c r="EJ151" s="2753"/>
      <c r="EK151" s="2753"/>
      <c r="EL151" s="2753"/>
      <c r="EM151" s="2754"/>
      <c r="EN151" s="2753"/>
      <c r="EO151" s="2753"/>
      <c r="EP151" s="2754"/>
      <c r="EQ151" s="2754"/>
      <c r="ER151" s="2754"/>
      <c r="ES151" s="428"/>
      <c r="ET151" s="2753"/>
      <c r="EU151" s="428"/>
      <c r="EV151" s="428"/>
      <c r="EW151" s="428"/>
      <c r="EX151" s="428"/>
      <c r="EY151" s="428"/>
      <c r="EZ151" s="428"/>
      <c r="FA151" s="428"/>
      <c r="FB151" s="428"/>
      <c r="FC151" s="428"/>
      <c r="FD151" s="428"/>
      <c r="FE151" s="428"/>
      <c r="FF151" s="428"/>
      <c r="FG151" s="428"/>
      <c r="FH151" s="428"/>
      <c r="FI151" s="428"/>
      <c r="FJ151" s="428"/>
      <c r="FK151" s="428"/>
      <c r="FL151" s="428"/>
      <c r="FX151" s="339"/>
      <c r="FY151" s="339"/>
      <c r="FZ151" s="339"/>
      <c r="GA151" s="339"/>
      <c r="GB151" s="339"/>
      <c r="GC151" s="339"/>
      <c r="GD151" s="339"/>
      <c r="GE151" s="339"/>
      <c r="GF151" s="339"/>
      <c r="GG151" s="339"/>
      <c r="GH151" s="339"/>
      <c r="GI151" s="339"/>
      <c r="GJ151" s="253"/>
      <c r="GK151" s="253"/>
      <c r="GL151" s="253"/>
      <c r="GN151"/>
      <c r="GO151"/>
      <c r="GP151"/>
      <c r="GQ151"/>
      <c r="GR151"/>
      <c r="GS151"/>
    </row>
    <row r="152" spans="1:201" s="264" customFormat="1" ht="11.25" customHeight="1">
      <c r="A152" s="253" t="s">
        <v>867</v>
      </c>
      <c r="B152" s="253"/>
      <c r="C152" s="253"/>
      <c r="D152" s="275">
        <f>+D88*D151</f>
        <v>0</v>
      </c>
      <c r="E152" s="275">
        <f>+E88*E151</f>
        <v>0</v>
      </c>
      <c r="F152" s="275">
        <f>+F88*F151</f>
        <v>0</v>
      </c>
      <c r="G152" s="275">
        <f>+G88*G151</f>
        <v>0</v>
      </c>
      <c r="H152" s="275"/>
      <c r="I152" s="275">
        <f>+I88*I151</f>
        <v>0</v>
      </c>
      <c r="J152" s="275">
        <f>+J88*J151</f>
        <v>0</v>
      </c>
      <c r="K152" s="275">
        <f>+K88*K151</f>
        <v>0</v>
      </c>
      <c r="L152" s="275">
        <f>+L88*L151</f>
        <v>0</v>
      </c>
      <c r="M152" s="275"/>
      <c r="N152" s="275">
        <f>+N88*N151</f>
        <v>0</v>
      </c>
      <c r="O152" s="275">
        <f>+O88*O151</f>
        <v>0</v>
      </c>
      <c r="P152" s="275">
        <f>+P88*P151</f>
        <v>0</v>
      </c>
      <c r="Q152" s="275">
        <f>+Q88*Q151</f>
        <v>0</v>
      </c>
      <c r="R152" s="275"/>
      <c r="S152" s="275">
        <f>+S88*S151</f>
        <v>0</v>
      </c>
      <c r="T152" s="275">
        <f>+T88*T151</f>
        <v>0</v>
      </c>
      <c r="U152" s="275">
        <f>+U88*U151</f>
        <v>0</v>
      </c>
      <c r="V152" s="275">
        <f>+V88*V151</f>
        <v>0</v>
      </c>
      <c r="W152" s="275"/>
      <c r="X152" s="275">
        <f>+X88*X151</f>
        <v>0</v>
      </c>
      <c r="Y152" s="275">
        <f>+Y88*Y151</f>
        <v>0</v>
      </c>
      <c r="Z152" s="275">
        <f>+Z88*Z151</f>
        <v>0</v>
      </c>
      <c r="AA152" s="275">
        <f>+AA88*AA151</f>
        <v>0</v>
      </c>
      <c r="AB152" s="275"/>
      <c r="AC152" s="275">
        <f>+AC88*AC151</f>
        <v>0</v>
      </c>
      <c r="AD152" s="275">
        <f>+AD88*AD151</f>
        <v>0</v>
      </c>
      <c r="AE152" s="275">
        <f>+AE88*AE151</f>
        <v>0</v>
      </c>
      <c r="AF152" s="275">
        <f>+AF88*AF151</f>
        <v>0</v>
      </c>
      <c r="AG152" s="275"/>
      <c r="AH152" s="275">
        <f>+AH88*AH151</f>
        <v>0</v>
      </c>
      <c r="AI152" s="275">
        <f>+AI88*AI151</f>
        <v>0</v>
      </c>
      <c r="AJ152" s="275">
        <f>+AJ88*AJ151</f>
        <v>0</v>
      </c>
      <c r="AK152" s="275">
        <f>+AK88*AK151</f>
        <v>0</v>
      </c>
      <c r="AL152" s="275"/>
      <c r="AM152" s="275">
        <f>+AM88*AM151</f>
        <v>0</v>
      </c>
      <c r="AN152" s="275">
        <f>+AN88*AN151</f>
        <v>0</v>
      </c>
      <c r="AO152" s="275">
        <f>+AO88*AO151</f>
        <v>0</v>
      </c>
      <c r="AP152" s="275">
        <f>+AP88*AP151</f>
        <v>0</v>
      </c>
      <c r="AQ152" s="275"/>
      <c r="AR152" s="275">
        <f>+AR88*AR151</f>
        <v>0</v>
      </c>
      <c r="AS152" s="275">
        <f>+AS88*AS151</f>
        <v>0</v>
      </c>
      <c r="AT152" s="275">
        <f>+AT88*AT151</f>
        <v>0</v>
      </c>
      <c r="AU152" s="275">
        <f>+AU88*AU151</f>
        <v>0</v>
      </c>
      <c r="AV152" s="275"/>
      <c r="AW152" s="275">
        <f>+AW88*AW151</f>
        <v>0</v>
      </c>
      <c r="AX152" s="275">
        <f>+AX88*AX151</f>
        <v>0</v>
      </c>
      <c r="AY152" s="275">
        <f>+AY88*AY151</f>
        <v>0</v>
      </c>
      <c r="AZ152" s="275">
        <f>+AZ88*AZ151</f>
        <v>0</v>
      </c>
      <c r="BA152" s="275"/>
      <c r="BB152" s="275">
        <f>+BB88*BB151</f>
        <v>0</v>
      </c>
      <c r="BC152" s="275">
        <f>+BC88*BC151</f>
        <v>0</v>
      </c>
      <c r="BD152" s="275">
        <f>+BD88*BD151</f>
        <v>0</v>
      </c>
      <c r="BE152" s="275">
        <f>+BE88*BE151</f>
        <v>0</v>
      </c>
      <c r="BF152" s="275"/>
      <c r="BG152" s="275">
        <f>+BG88*BG151</f>
        <v>0</v>
      </c>
      <c r="BH152" s="275">
        <f>+BH88*BH151</f>
        <v>0</v>
      </c>
      <c r="BI152" s="275">
        <f>+BI88*BI151</f>
        <v>0</v>
      </c>
      <c r="BJ152" s="275">
        <f>+BJ88*BJ151</f>
        <v>0</v>
      </c>
      <c r="BK152" s="275"/>
      <c r="BL152" s="275">
        <f>+BL88*BL151</f>
        <v>0</v>
      </c>
      <c r="BM152" s="275">
        <f>+BM88*BM151</f>
        <v>0</v>
      </c>
      <c r="BN152" s="275">
        <f>+BN88*BN151</f>
        <v>0</v>
      </c>
      <c r="BO152" s="275">
        <f>+BO88*BO151</f>
        <v>0</v>
      </c>
      <c r="BP152" s="275"/>
      <c r="BQ152" s="275">
        <f>+BQ88*BQ151</f>
        <v>0</v>
      </c>
      <c r="BR152" s="275">
        <f>+BR88*BR151</f>
        <v>0</v>
      </c>
      <c r="BS152" s="275">
        <f>+BS88*BS151</f>
        <v>0</v>
      </c>
      <c r="BT152" s="275">
        <f>+BT88*BT151</f>
        <v>0</v>
      </c>
      <c r="BU152" s="275"/>
      <c r="BV152" s="275">
        <f>+BV88*BV151</f>
        <v>0</v>
      </c>
      <c r="BW152" s="275">
        <f>+BW88*BW151</f>
        <v>0</v>
      </c>
      <c r="BX152" s="275">
        <f>+BX88*BX151</f>
        <v>0</v>
      </c>
      <c r="BY152" s="275">
        <f>+BY88*BY151</f>
        <v>0</v>
      </c>
      <c r="BZ152" s="275"/>
      <c r="CA152" s="275">
        <f>+CA88*CA151</f>
        <v>0</v>
      </c>
      <c r="CB152" s="275">
        <f>+CB88*CB151</f>
        <v>0</v>
      </c>
      <c r="CC152" s="275">
        <f>+CC88*CC151</f>
        <v>0</v>
      </c>
      <c r="CD152" s="275">
        <f>+CD88*CD151</f>
        <v>0</v>
      </c>
      <c r="CE152" s="275"/>
      <c r="CF152" s="275">
        <f>+CF88*CF151</f>
        <v>0</v>
      </c>
      <c r="CG152" s="275">
        <f>+CG88*CG151</f>
        <v>32640.666459</v>
      </c>
      <c r="CH152" s="275">
        <f>+CH88*CH151</f>
        <v>0</v>
      </c>
      <c r="CI152" s="275">
        <f>+CI88*CI151</f>
        <v>0</v>
      </c>
      <c r="CJ152" s="275"/>
      <c r="CK152" s="440">
        <f>+CK88*CK151</f>
        <v>0</v>
      </c>
      <c r="CL152" s="440">
        <f>+CL88*CL151</f>
        <v>0</v>
      </c>
      <c r="CM152" s="440">
        <f>+CM88*CM151</f>
        <v>0</v>
      </c>
      <c r="CN152" s="440">
        <f>+CN88*CN151</f>
        <v>0</v>
      </c>
      <c r="CO152" s="440"/>
      <c r="CP152" s="440">
        <f>+CP88*CP151</f>
        <v>0</v>
      </c>
      <c r="CQ152" s="440">
        <f>+CQ88*CQ151</f>
        <v>0</v>
      </c>
      <c r="CR152" s="440">
        <f>+CR88*CR151</f>
        <v>0</v>
      </c>
      <c r="CS152" s="440">
        <f>+CS88*CS151</f>
        <v>0</v>
      </c>
      <c r="CT152" s="440"/>
      <c r="CU152" s="440">
        <f>+CU88*CU151</f>
        <v>0</v>
      </c>
      <c r="CV152" s="440">
        <f>+CV88*CV151</f>
        <v>0</v>
      </c>
      <c r="CW152" s="440">
        <f>+CW88*CW151</f>
        <v>0</v>
      </c>
      <c r="CX152" s="440">
        <f>+CX88*CX151</f>
        <v>0</v>
      </c>
      <c r="CY152" s="440"/>
      <c r="CZ152" s="440"/>
      <c r="DA152" s="440"/>
      <c r="DB152" s="440"/>
      <c r="DC152" s="441"/>
      <c r="DD152" s="440"/>
      <c r="DE152" s="440"/>
      <c r="DF152" s="440"/>
      <c r="DG152" s="440"/>
      <c r="DH152" s="441"/>
      <c r="DI152" s="440"/>
      <c r="DJ152" s="441"/>
      <c r="DK152" s="441"/>
      <c r="DL152" s="441"/>
      <c r="DM152" s="441"/>
      <c r="DN152" s="440"/>
      <c r="DO152" s="440"/>
      <c r="DP152" s="441"/>
      <c r="DQ152" s="441"/>
      <c r="DR152" s="441"/>
      <c r="DS152" s="441"/>
      <c r="DT152" s="441"/>
      <c r="DU152" s="441"/>
      <c r="DV152" s="441"/>
      <c r="DW152" s="441"/>
      <c r="DX152" s="441"/>
      <c r="DY152" s="441"/>
      <c r="DZ152" s="441"/>
      <c r="EA152" s="440"/>
      <c r="EB152" s="441"/>
      <c r="EC152" s="440"/>
      <c r="ED152" s="441"/>
      <c r="EE152" s="441"/>
      <c r="EF152" s="441"/>
      <c r="EG152" s="441"/>
      <c r="EH152" s="440"/>
      <c r="EI152" s="2755"/>
      <c r="EJ152" s="2755"/>
      <c r="EK152" s="2755"/>
      <c r="EL152" s="2755"/>
      <c r="EM152" s="2756"/>
      <c r="EN152" s="2755"/>
      <c r="EO152" s="2755"/>
      <c r="EP152" s="2756"/>
      <c r="EQ152" s="2756"/>
      <c r="ER152" s="2756"/>
      <c r="ES152" s="440"/>
      <c r="ET152" s="2755"/>
      <c r="EU152" s="440"/>
      <c r="EV152" s="440"/>
      <c r="EW152" s="440"/>
      <c r="EX152" s="440"/>
      <c r="EY152" s="440"/>
      <c r="EZ152" s="440"/>
      <c r="FA152" s="440"/>
      <c r="FB152" s="440"/>
      <c r="FC152" s="440"/>
      <c r="FD152" s="440"/>
      <c r="FE152" s="440"/>
      <c r="FF152" s="440"/>
      <c r="FG152" s="440"/>
      <c r="FH152" s="440"/>
      <c r="FI152" s="440"/>
      <c r="FJ152" s="440"/>
      <c r="FK152" s="440"/>
      <c r="FL152" s="440"/>
      <c r="FX152" s="339"/>
      <c r="FY152" s="339"/>
      <c r="FZ152" s="339"/>
      <c r="GA152" s="339"/>
      <c r="GB152" s="339"/>
      <c r="GC152" s="339"/>
      <c r="GD152" s="339"/>
      <c r="GE152" s="339"/>
      <c r="GF152" s="339"/>
      <c r="GG152" s="339"/>
      <c r="GH152" s="339"/>
      <c r="GI152" s="339"/>
      <c r="GJ152" s="253"/>
      <c r="GK152" s="253"/>
      <c r="GL152" s="253"/>
      <c r="GN152"/>
      <c r="GO152"/>
      <c r="GP152"/>
      <c r="GQ152"/>
      <c r="GR152"/>
      <c r="GS152"/>
    </row>
    <row r="153" spans="1:201" s="287" customFormat="1" ht="11.25" hidden="1" customHeight="1" outlineLevel="1">
      <c r="A153" s="432" t="s">
        <v>337</v>
      </c>
      <c r="D153" s="442"/>
      <c r="E153" s="442"/>
      <c r="F153" s="442"/>
      <c r="G153" s="442"/>
      <c r="H153" s="442"/>
      <c r="I153" s="442"/>
      <c r="J153" s="442"/>
      <c r="K153" s="442"/>
      <c r="L153" s="442"/>
      <c r="M153" s="442"/>
      <c r="N153" s="442"/>
      <c r="O153" s="442"/>
      <c r="P153" s="442"/>
      <c r="Q153" s="442"/>
      <c r="R153" s="442"/>
      <c r="S153" s="442"/>
      <c r="T153" s="442"/>
      <c r="U153" s="442"/>
      <c r="V153" s="442"/>
      <c r="W153" s="442"/>
      <c r="X153" s="442"/>
      <c r="Y153" s="442"/>
      <c r="Z153" s="442"/>
      <c r="AA153" s="442"/>
      <c r="AB153" s="442"/>
      <c r="AC153" s="442"/>
      <c r="AD153" s="442"/>
      <c r="AE153" s="442"/>
      <c r="AF153" s="442"/>
      <c r="AG153" s="442"/>
      <c r="AH153" s="442"/>
      <c r="AI153" s="442"/>
      <c r="AJ153" s="442"/>
      <c r="AK153" s="442"/>
      <c r="AL153" s="442"/>
      <c r="AM153" s="442"/>
      <c r="AN153" s="442"/>
      <c r="AO153" s="442"/>
      <c r="AP153" s="442"/>
      <c r="AQ153" s="442"/>
      <c r="AR153" s="442"/>
      <c r="AS153" s="442"/>
      <c r="AT153" s="442"/>
      <c r="AU153" s="442"/>
      <c r="AV153" s="442"/>
      <c r="AW153" s="442"/>
      <c r="AX153" s="442"/>
      <c r="AY153" s="442"/>
      <c r="AZ153" s="442"/>
      <c r="BA153" s="442"/>
      <c r="BB153" s="442"/>
      <c r="BC153" s="442"/>
      <c r="BD153" s="442"/>
      <c r="BE153" s="442"/>
      <c r="BF153" s="442"/>
      <c r="BG153" s="442"/>
      <c r="BH153" s="442"/>
      <c r="BI153" s="442"/>
      <c r="BJ153" s="442"/>
      <c r="BK153" s="442"/>
      <c r="BL153" s="442"/>
      <c r="BM153" s="442"/>
      <c r="BN153" s="442"/>
      <c r="BO153" s="442"/>
      <c r="BP153" s="442"/>
      <c r="BQ153" s="442"/>
      <c r="BR153" s="442"/>
      <c r="BS153" s="442"/>
      <c r="BT153" s="442"/>
      <c r="BU153" s="442"/>
      <c r="BV153" s="442"/>
      <c r="BW153" s="442"/>
      <c r="BX153" s="442"/>
      <c r="BY153" s="442"/>
      <c r="BZ153" s="442"/>
      <c r="CA153" s="442"/>
      <c r="CB153" s="442"/>
      <c r="CC153" s="442"/>
      <c r="CD153" s="442"/>
      <c r="CE153" s="442"/>
      <c r="CF153" s="442"/>
      <c r="CG153" s="442"/>
      <c r="CH153" s="442"/>
      <c r="CI153" s="442"/>
      <c r="CJ153" s="442"/>
      <c r="CK153" s="443"/>
      <c r="CL153" s="443"/>
      <c r="CM153" s="443"/>
      <c r="CN153" s="443"/>
      <c r="CO153" s="443"/>
      <c r="CP153" s="443"/>
      <c r="CQ153" s="443"/>
      <c r="CR153" s="443"/>
      <c r="CS153" s="443"/>
      <c r="CT153" s="443"/>
      <c r="CU153" s="443"/>
      <c r="CV153" s="443"/>
      <c r="CW153" s="443"/>
      <c r="CX153" s="443"/>
      <c r="CY153" s="443"/>
      <c r="CZ153" s="443"/>
      <c r="DA153" s="443"/>
      <c r="DB153" s="443"/>
      <c r="DC153" s="444"/>
      <c r="DD153" s="443"/>
      <c r="DE153" s="443"/>
      <c r="DF153" s="443"/>
      <c r="DG153" s="443"/>
      <c r="DH153" s="444"/>
      <c r="DI153" s="443"/>
      <c r="DJ153" s="444"/>
      <c r="DK153" s="444"/>
      <c r="DL153" s="444"/>
      <c r="DM153" s="444"/>
      <c r="DN153" s="443"/>
      <c r="DO153" s="443"/>
      <c r="DP153" s="444"/>
      <c r="DQ153" s="444"/>
      <c r="DR153" s="444"/>
      <c r="DS153" s="444"/>
      <c r="DT153" s="444"/>
      <c r="DU153" s="444"/>
      <c r="DV153" s="444"/>
      <c r="DW153" s="444"/>
      <c r="DX153" s="444"/>
      <c r="DY153" s="444"/>
      <c r="DZ153" s="444"/>
      <c r="EA153" s="443"/>
      <c r="EB153" s="444"/>
      <c r="EC153" s="443"/>
      <c r="ED153" s="444"/>
      <c r="EE153" s="444"/>
      <c r="EF153" s="444"/>
      <c r="EG153" s="444"/>
      <c r="EH153" s="443"/>
      <c r="EI153" s="2757"/>
      <c r="EJ153" s="2757"/>
      <c r="EK153" s="2757"/>
      <c r="EL153" s="2757"/>
      <c r="EM153" s="2758"/>
      <c r="EN153" s="2757"/>
      <c r="EO153" s="2757"/>
      <c r="EP153" s="2758"/>
      <c r="EQ153" s="2758"/>
      <c r="ER153" s="2758"/>
      <c r="ES153" s="443"/>
      <c r="ET153" s="2757"/>
      <c r="EU153" s="443"/>
      <c r="EV153" s="443"/>
      <c r="EW153" s="443"/>
      <c r="EX153" s="443"/>
      <c r="EY153" s="443"/>
      <c r="EZ153" s="443"/>
      <c r="FA153" s="443"/>
      <c r="FB153" s="443"/>
      <c r="FC153" s="443"/>
      <c r="FD153" s="443"/>
      <c r="FE153" s="443"/>
      <c r="FF153" s="443"/>
      <c r="FG153" s="443"/>
      <c r="FH153" s="443"/>
      <c r="FI153" s="443"/>
      <c r="FJ153" s="443"/>
      <c r="FK153" s="443"/>
      <c r="FL153" s="443"/>
      <c r="FX153" s="882"/>
      <c r="FY153" s="882"/>
      <c r="FZ153" s="882"/>
      <c r="GA153" s="882"/>
      <c r="GB153" s="882"/>
      <c r="GC153" s="882"/>
      <c r="GD153" s="882"/>
      <c r="GE153" s="882"/>
      <c r="GF153" s="882"/>
      <c r="GG153" s="882"/>
      <c r="GH153" s="882"/>
      <c r="GI153" s="882"/>
      <c r="GN153"/>
      <c r="GO153"/>
      <c r="GP153"/>
      <c r="GQ153"/>
      <c r="GR153"/>
      <c r="GS153"/>
    </row>
    <row r="154" spans="1:201" s="264" customFormat="1" ht="3" hidden="1" customHeight="1" outlineLevel="1">
      <c r="A154" s="253"/>
      <c r="B154" s="253"/>
      <c r="C154" s="253"/>
      <c r="D154" s="253"/>
      <c r="E154" s="253"/>
      <c r="F154" s="253"/>
      <c r="G154" s="253"/>
      <c r="H154" s="253"/>
      <c r="I154" s="253"/>
      <c r="J154" s="253"/>
      <c r="K154" s="253"/>
      <c r="L154" s="253"/>
      <c r="M154" s="253"/>
      <c r="N154" s="253"/>
      <c r="O154" s="253"/>
      <c r="P154" s="253"/>
      <c r="Q154" s="253"/>
      <c r="R154" s="253"/>
      <c r="S154" s="253"/>
      <c r="T154" s="253"/>
      <c r="U154" s="253"/>
      <c r="V154" s="253"/>
      <c r="W154" s="253"/>
      <c r="X154" s="253"/>
      <c r="Y154" s="253"/>
      <c r="Z154" s="253"/>
      <c r="AA154" s="253"/>
      <c r="AB154" s="253"/>
      <c r="AC154" s="253"/>
      <c r="AD154" s="253"/>
      <c r="AE154" s="253"/>
      <c r="AF154" s="253"/>
      <c r="AG154" s="253"/>
      <c r="AH154" s="253"/>
      <c r="AI154" s="253"/>
      <c r="AJ154" s="253"/>
      <c r="AK154" s="253"/>
      <c r="AL154" s="253"/>
      <c r="AM154" s="253"/>
      <c r="AN154" s="253"/>
      <c r="AO154" s="253"/>
      <c r="AP154" s="253"/>
      <c r="AQ154" s="253"/>
      <c r="AR154" s="253"/>
      <c r="AS154" s="253"/>
      <c r="AT154" s="253"/>
      <c r="AU154" s="253"/>
      <c r="AV154" s="253"/>
      <c r="AW154" s="253"/>
      <c r="AX154" s="253"/>
      <c r="AY154" s="253"/>
      <c r="AZ154" s="253"/>
      <c r="BA154" s="253"/>
      <c r="BB154" s="253"/>
      <c r="BC154" s="253"/>
      <c r="BD154" s="253"/>
      <c r="BE154" s="253"/>
      <c r="BF154" s="253"/>
      <c r="BG154" s="253"/>
      <c r="BH154" s="253"/>
      <c r="BI154" s="253"/>
      <c r="BJ154" s="253"/>
      <c r="BK154" s="253"/>
      <c r="BL154" s="253"/>
      <c r="BM154" s="253"/>
      <c r="BN154" s="253"/>
      <c r="BO154" s="253"/>
      <c r="BP154" s="253"/>
      <c r="BQ154" s="253"/>
      <c r="BR154" s="253"/>
      <c r="BS154" s="253"/>
      <c r="BT154" s="253"/>
      <c r="BU154" s="253"/>
      <c r="BV154" s="253"/>
      <c r="BW154" s="253"/>
      <c r="BX154" s="253"/>
      <c r="BY154" s="253"/>
      <c r="BZ154" s="253"/>
      <c r="CK154" s="336"/>
      <c r="CL154" s="336"/>
      <c r="CM154" s="336"/>
      <c r="CN154" s="336"/>
      <c r="CO154" s="336"/>
      <c r="CP154" s="336"/>
      <c r="CQ154" s="336"/>
      <c r="CR154" s="336"/>
      <c r="CS154" s="336"/>
      <c r="CT154" s="336"/>
      <c r="CU154" s="336"/>
      <c r="CV154" s="336"/>
      <c r="CW154" s="336"/>
      <c r="CX154" s="336"/>
      <c r="CY154" s="336"/>
      <c r="CZ154" s="336"/>
      <c r="DA154" s="336"/>
      <c r="DB154" s="336"/>
      <c r="DC154" s="416"/>
      <c r="DD154" s="336"/>
      <c r="DE154" s="336"/>
      <c r="DF154" s="336"/>
      <c r="DG154" s="336"/>
      <c r="DH154" s="416"/>
      <c r="DI154" s="336"/>
      <c r="DJ154" s="416"/>
      <c r="DK154" s="416"/>
      <c r="DL154" s="416"/>
      <c r="DM154" s="416"/>
      <c r="DN154" s="336"/>
      <c r="DO154" s="336"/>
      <c r="DP154" s="416"/>
      <c r="DQ154" s="416"/>
      <c r="DR154" s="416"/>
      <c r="DS154" s="416"/>
      <c r="DT154" s="416"/>
      <c r="DU154" s="416"/>
      <c r="DV154" s="416"/>
      <c r="DW154" s="416"/>
      <c r="DX154" s="416"/>
      <c r="DY154" s="416"/>
      <c r="DZ154" s="416"/>
      <c r="EA154" s="336"/>
      <c r="EB154" s="416"/>
      <c r="EC154" s="336"/>
      <c r="ED154" s="416"/>
      <c r="EE154" s="416"/>
      <c r="EF154" s="416"/>
      <c r="EG154" s="416"/>
      <c r="EH154" s="336"/>
      <c r="EI154" s="2739"/>
      <c r="EJ154" s="2739"/>
      <c r="EK154" s="2739"/>
      <c r="EL154" s="2739"/>
      <c r="EM154" s="2738"/>
      <c r="EN154" s="2739"/>
      <c r="EO154" s="2739"/>
      <c r="EP154" s="2738"/>
      <c r="EQ154" s="2738"/>
      <c r="ER154" s="2738"/>
      <c r="ES154" s="336"/>
      <c r="ET154" s="2739"/>
      <c r="EU154" s="336"/>
      <c r="EV154" s="336"/>
      <c r="EW154" s="336"/>
      <c r="EX154" s="336"/>
      <c r="EY154" s="336"/>
      <c r="EZ154" s="336"/>
      <c r="FA154" s="336"/>
      <c r="FB154" s="336"/>
      <c r="FC154" s="336"/>
      <c r="FD154" s="336"/>
      <c r="FE154" s="336"/>
      <c r="FF154" s="336"/>
      <c r="FG154" s="336"/>
      <c r="FH154" s="336"/>
      <c r="FI154" s="336"/>
      <c r="FJ154" s="336"/>
      <c r="FK154" s="336"/>
      <c r="FL154" s="336"/>
      <c r="FX154" s="339"/>
      <c r="FY154" s="339"/>
      <c r="FZ154" s="339"/>
      <c r="GA154" s="339"/>
      <c r="GB154" s="339"/>
      <c r="GC154" s="339"/>
      <c r="GD154" s="339"/>
      <c r="GE154" s="339"/>
      <c r="GF154" s="339"/>
      <c r="GG154" s="339"/>
      <c r="GH154" s="339"/>
      <c r="GI154" s="339"/>
      <c r="GJ154" s="253"/>
      <c r="GK154" s="253"/>
      <c r="GL154" s="253"/>
      <c r="GN154"/>
      <c r="GO154"/>
      <c r="GP154"/>
      <c r="GQ154"/>
      <c r="GR154"/>
      <c r="GS154"/>
    </row>
    <row r="155" spans="1:201" s="436" customFormat="1" ht="11.25" hidden="1" customHeight="1" outlineLevel="1">
      <c r="A155" s="445" t="s">
        <v>554</v>
      </c>
      <c r="D155" s="446"/>
      <c r="E155" s="446"/>
      <c r="F155" s="446"/>
      <c r="G155" s="446"/>
      <c r="H155" s="446"/>
      <c r="I155" s="446"/>
      <c r="J155" s="446"/>
      <c r="K155" s="446"/>
      <c r="L155" s="446"/>
      <c r="M155" s="446"/>
      <c r="N155" s="446"/>
      <c r="O155" s="446"/>
      <c r="P155" s="446"/>
      <c r="Q155" s="446"/>
      <c r="R155" s="446"/>
      <c r="S155" s="446"/>
      <c r="T155" s="446"/>
      <c r="U155" s="446"/>
      <c r="V155" s="446"/>
      <c r="W155" s="446"/>
      <c r="X155" s="446"/>
      <c r="Y155" s="446"/>
      <c r="Z155" s="446"/>
      <c r="AA155" s="446"/>
      <c r="AB155" s="446"/>
      <c r="AC155" s="446"/>
      <c r="AD155" s="446"/>
      <c r="AE155" s="446"/>
      <c r="AF155" s="446"/>
      <c r="AG155" s="446"/>
      <c r="AH155" s="446"/>
      <c r="AI155" s="446"/>
      <c r="AJ155" s="446"/>
      <c r="AK155" s="446"/>
      <c r="AL155" s="446"/>
      <c r="AM155" s="446"/>
      <c r="AN155" s="446"/>
      <c r="AO155" s="446"/>
      <c r="AP155" s="446"/>
      <c r="AQ155" s="446"/>
      <c r="AR155" s="446"/>
      <c r="AS155" s="446"/>
      <c r="AT155" s="446"/>
      <c r="AU155" s="446"/>
      <c r="AV155" s="446"/>
      <c r="AW155" s="446"/>
      <c r="AX155" s="446"/>
      <c r="AY155" s="446"/>
      <c r="AZ155" s="446"/>
      <c r="BA155" s="446"/>
      <c r="BB155" s="446"/>
      <c r="BC155" s="446"/>
      <c r="BD155" s="446"/>
      <c r="BE155" s="446"/>
      <c r="BF155" s="446"/>
      <c r="BG155" s="446"/>
      <c r="BH155" s="446"/>
      <c r="BI155" s="446"/>
      <c r="BJ155" s="446"/>
      <c r="BK155" s="446"/>
      <c r="BL155" s="446"/>
      <c r="BM155" s="446"/>
      <c r="BN155" s="446"/>
      <c r="BO155" s="446"/>
      <c r="BP155" s="446"/>
      <c r="BQ155" s="446"/>
      <c r="BR155" s="446"/>
      <c r="BS155" s="446"/>
      <c r="BT155" s="446"/>
      <c r="BU155" s="446"/>
      <c r="BV155" s="446"/>
      <c r="BW155" s="446"/>
      <c r="BX155" s="446"/>
      <c r="BY155" s="446"/>
      <c r="BZ155" s="446"/>
      <c r="CA155" s="446"/>
      <c r="CB155" s="446"/>
      <c r="CC155" s="446"/>
      <c r="CD155" s="446"/>
      <c r="CE155" s="446"/>
      <c r="CF155" s="446"/>
      <c r="CG155" s="446"/>
      <c r="CH155" s="446"/>
      <c r="CI155" s="446"/>
      <c r="CJ155" s="446"/>
      <c r="CK155" s="446"/>
      <c r="CL155" s="446"/>
      <c r="CM155" s="446"/>
      <c r="CN155" s="446"/>
      <c r="CO155" s="446"/>
      <c r="CP155" s="446"/>
      <c r="CQ155" s="446"/>
      <c r="CR155" s="446"/>
      <c r="CS155" s="446"/>
      <c r="CT155" s="446"/>
      <c r="CU155" s="446"/>
      <c r="CV155" s="446"/>
      <c r="CW155" s="446"/>
      <c r="CX155" s="446"/>
      <c r="CY155" s="446"/>
      <c r="CZ155" s="446"/>
      <c r="DA155" s="446"/>
      <c r="DB155" s="446"/>
      <c r="DC155" s="447"/>
      <c r="DD155" s="446"/>
      <c r="DE155" s="446"/>
      <c r="DF155" s="446"/>
      <c r="DG155" s="446"/>
      <c r="DH155" s="447"/>
      <c r="DI155" s="446"/>
      <c r="DJ155" s="447"/>
      <c r="DK155" s="447"/>
      <c r="DL155" s="447"/>
      <c r="DM155" s="447"/>
      <c r="DN155" s="446"/>
      <c r="DO155" s="446"/>
      <c r="DP155" s="447"/>
      <c r="DQ155" s="447"/>
      <c r="DR155" s="447"/>
      <c r="DS155" s="447"/>
      <c r="DT155" s="447"/>
      <c r="DU155" s="447"/>
      <c r="DV155" s="447"/>
      <c r="DW155" s="447"/>
      <c r="DX155" s="447"/>
      <c r="DY155" s="447"/>
      <c r="DZ155" s="447"/>
      <c r="EA155" s="446"/>
      <c r="EB155" s="447"/>
      <c r="EC155" s="446"/>
      <c r="ED155" s="447"/>
      <c r="EE155" s="447"/>
      <c r="EF155" s="447"/>
      <c r="EG155" s="447"/>
      <c r="EH155" s="446"/>
      <c r="EI155" s="2759"/>
      <c r="EJ155" s="2759"/>
      <c r="EK155" s="2759"/>
      <c r="EL155" s="2759"/>
      <c r="EM155" s="2760"/>
      <c r="EN155" s="2759"/>
      <c r="EO155" s="2759"/>
      <c r="EP155" s="2760"/>
      <c r="EQ155" s="2760"/>
      <c r="ER155" s="2760"/>
      <c r="ES155" s="446"/>
      <c r="ET155" s="2759"/>
      <c r="EU155" s="446"/>
      <c r="EV155" s="446"/>
      <c r="EW155" s="446"/>
      <c r="EX155" s="446"/>
      <c r="EY155" s="446"/>
      <c r="EZ155" s="446"/>
      <c r="FA155" s="446"/>
      <c r="FB155" s="446"/>
      <c r="FC155" s="446"/>
      <c r="FD155" s="446"/>
      <c r="FE155" s="446"/>
      <c r="FF155" s="446"/>
      <c r="FG155" s="446"/>
      <c r="FH155" s="446"/>
      <c r="FI155" s="446"/>
      <c r="FJ155" s="446"/>
      <c r="FK155" s="446"/>
      <c r="FL155" s="446"/>
      <c r="FN155" s="448"/>
      <c r="FO155" s="448"/>
      <c r="FP155" s="448"/>
      <c r="FQ155" s="448"/>
      <c r="FR155" s="448"/>
      <c r="FS155" s="448"/>
      <c r="FT155" s="448"/>
      <c r="FU155" s="448"/>
      <c r="FV155" s="448"/>
      <c r="FW155" s="448"/>
      <c r="FX155" s="885"/>
      <c r="FY155" s="885"/>
      <c r="FZ155" s="885"/>
      <c r="GA155" s="885"/>
      <c r="GB155" s="885"/>
      <c r="GC155" s="885"/>
      <c r="GD155" s="885"/>
      <c r="GE155" s="885"/>
      <c r="GF155" s="885"/>
      <c r="GG155" s="885"/>
      <c r="GH155" s="885"/>
      <c r="GI155" s="885"/>
      <c r="GJ155" s="448"/>
      <c r="GK155" s="448"/>
      <c r="GL155" s="448"/>
      <c r="GN155"/>
      <c r="GO155"/>
      <c r="GP155"/>
      <c r="GQ155"/>
      <c r="GR155"/>
      <c r="GS155"/>
    </row>
    <row r="156" spans="1:201" s="264" customFormat="1" ht="11.25" hidden="1" customHeight="1" outlineLevel="1">
      <c r="A156" s="323" t="s">
        <v>689</v>
      </c>
      <c r="B156" s="253"/>
      <c r="C156" s="253"/>
      <c r="D156" s="446"/>
      <c r="E156" s="446"/>
      <c r="F156" s="446"/>
      <c r="G156" s="446"/>
      <c r="H156" s="446"/>
      <c r="I156" s="449"/>
      <c r="J156" s="449"/>
      <c r="K156" s="449"/>
      <c r="L156" s="449"/>
      <c r="M156" s="449"/>
      <c r="N156" s="449"/>
      <c r="O156" s="449"/>
      <c r="P156" s="449"/>
      <c r="Q156" s="449"/>
      <c r="R156" s="449"/>
      <c r="S156" s="449"/>
      <c r="T156" s="449"/>
      <c r="U156" s="449"/>
      <c r="V156" s="449"/>
      <c r="W156" s="449"/>
      <c r="X156" s="449"/>
      <c r="Y156" s="449"/>
      <c r="Z156" s="449"/>
      <c r="AA156" s="449"/>
      <c r="AB156" s="449"/>
      <c r="AC156" s="449"/>
      <c r="AD156" s="449"/>
      <c r="AE156" s="449"/>
      <c r="AF156" s="449"/>
      <c r="AG156" s="449"/>
      <c r="AH156" s="449"/>
      <c r="AI156" s="449"/>
      <c r="AJ156" s="449"/>
      <c r="AK156" s="449"/>
      <c r="AL156" s="449"/>
      <c r="AM156" s="449"/>
      <c r="AN156" s="449"/>
      <c r="AO156" s="449"/>
      <c r="AP156" s="449"/>
      <c r="AQ156" s="449"/>
      <c r="AR156" s="449"/>
      <c r="AS156" s="449"/>
      <c r="AT156" s="449"/>
      <c r="AU156" s="449"/>
      <c r="AV156" s="449"/>
      <c r="AW156" s="449"/>
      <c r="AX156" s="449"/>
      <c r="AY156" s="449"/>
      <c r="AZ156" s="449"/>
      <c r="BA156" s="449"/>
      <c r="BB156" s="449"/>
      <c r="BC156" s="449"/>
      <c r="BD156" s="449"/>
      <c r="BE156" s="449"/>
      <c r="BF156" s="449"/>
      <c r="BG156" s="449"/>
      <c r="BH156" s="449"/>
      <c r="BI156" s="449"/>
      <c r="BJ156" s="449"/>
      <c r="BK156" s="449"/>
      <c r="BL156" s="449"/>
      <c r="BM156" s="449"/>
      <c r="BN156" s="449"/>
      <c r="BO156" s="449"/>
      <c r="BP156" s="449"/>
      <c r="BQ156" s="449"/>
      <c r="BR156" s="449"/>
      <c r="BS156" s="449"/>
      <c r="BT156" s="449"/>
      <c r="BU156" s="449"/>
      <c r="BV156" s="449"/>
      <c r="BW156" s="449"/>
      <c r="BX156" s="449"/>
      <c r="BY156" s="449"/>
      <c r="BZ156" s="449"/>
      <c r="CA156" s="449"/>
      <c r="CB156" s="449"/>
      <c r="CC156" s="449"/>
      <c r="CD156" s="449"/>
      <c r="CE156" s="449"/>
      <c r="CF156" s="449"/>
      <c r="CG156" s="449"/>
      <c r="CH156" s="449"/>
      <c r="CI156" s="449"/>
      <c r="CJ156" s="449"/>
      <c r="CK156" s="449"/>
      <c r="CL156" s="449"/>
      <c r="CM156" s="449"/>
      <c r="CN156" s="449"/>
      <c r="CO156" s="449"/>
      <c r="CP156" s="449"/>
      <c r="CQ156" s="449"/>
      <c r="CR156" s="449"/>
      <c r="CS156" s="449"/>
      <c r="CT156" s="449"/>
      <c r="CU156" s="449"/>
      <c r="CV156" s="449"/>
      <c r="CW156" s="449"/>
      <c r="CX156" s="449"/>
      <c r="CY156" s="449"/>
      <c r="CZ156" s="449"/>
      <c r="DA156" s="449"/>
      <c r="DB156" s="449"/>
      <c r="DC156" s="450"/>
      <c r="DD156" s="449"/>
      <c r="DE156" s="449"/>
      <c r="DF156" s="449"/>
      <c r="DG156" s="449"/>
      <c r="DH156" s="450"/>
      <c r="DI156" s="449"/>
      <c r="DJ156" s="450"/>
      <c r="DK156" s="450"/>
      <c r="DL156" s="450"/>
      <c r="DM156" s="450"/>
      <c r="DN156" s="449"/>
      <c r="DO156" s="449"/>
      <c r="DP156" s="450"/>
      <c r="DQ156" s="450"/>
      <c r="DR156" s="450"/>
      <c r="DS156" s="450"/>
      <c r="DT156" s="450"/>
      <c r="DU156" s="450"/>
      <c r="DV156" s="450"/>
      <c r="DW156" s="450"/>
      <c r="DX156" s="450"/>
      <c r="DY156" s="450"/>
      <c r="DZ156" s="450"/>
      <c r="EA156" s="449"/>
      <c r="EB156" s="450"/>
      <c r="EC156" s="449"/>
      <c r="ED156" s="450"/>
      <c r="EE156" s="450"/>
      <c r="EF156" s="450"/>
      <c r="EG156" s="450"/>
      <c r="EH156" s="449"/>
      <c r="EI156" s="2761"/>
      <c r="EJ156" s="2761"/>
      <c r="EK156" s="2761"/>
      <c r="EL156" s="2761"/>
      <c r="EM156" s="2762"/>
      <c r="EN156" s="2761"/>
      <c r="EO156" s="2761"/>
      <c r="EP156" s="2762"/>
      <c r="EQ156" s="2762"/>
      <c r="ER156" s="2762"/>
      <c r="ES156" s="449"/>
      <c r="ET156" s="2761"/>
      <c r="EU156" s="449"/>
      <c r="EV156" s="449"/>
      <c r="EW156" s="449"/>
      <c r="EX156" s="449"/>
      <c r="EY156" s="449"/>
      <c r="EZ156" s="449"/>
      <c r="FA156" s="449"/>
      <c r="FB156" s="449"/>
      <c r="FC156" s="449"/>
      <c r="FD156" s="449"/>
      <c r="FE156" s="449"/>
      <c r="FF156" s="449"/>
      <c r="FG156" s="449"/>
      <c r="FH156" s="449"/>
      <c r="FI156" s="449"/>
      <c r="FJ156" s="449"/>
      <c r="FK156" s="449"/>
      <c r="FL156" s="449"/>
      <c r="FN156" s="449"/>
      <c r="FO156" s="449"/>
      <c r="FP156" s="449"/>
      <c r="FQ156" s="449"/>
      <c r="FR156" s="449"/>
      <c r="FS156" s="449"/>
      <c r="FT156" s="449"/>
      <c r="FU156" s="449"/>
      <c r="FV156" s="449"/>
      <c r="FW156" s="449"/>
      <c r="FX156" s="886"/>
      <c r="FY156" s="886"/>
      <c r="FZ156" s="886"/>
      <c r="GA156" s="886"/>
      <c r="GB156" s="886"/>
      <c r="GC156" s="886"/>
      <c r="GD156" s="886"/>
      <c r="GE156" s="886"/>
      <c r="GF156" s="886"/>
      <c r="GG156" s="886"/>
      <c r="GH156" s="886"/>
      <c r="GI156" s="886"/>
      <c r="GJ156" s="2668"/>
      <c r="GK156" s="2668"/>
      <c r="GL156" s="2668"/>
      <c r="GN156"/>
      <c r="GO156"/>
      <c r="GP156"/>
      <c r="GQ156"/>
      <c r="GR156"/>
      <c r="GS156"/>
    </row>
    <row r="157" spans="1:201" s="264" customFormat="1" ht="11.25" hidden="1" customHeight="1" outlineLevel="1">
      <c r="A157" s="323" t="s">
        <v>690</v>
      </c>
      <c r="B157" s="253"/>
      <c r="C157" s="253"/>
      <c r="D157" s="435" t="str">
        <f>IF(ISERROR((#REF!/#REF!-1)*100),"--",(#REF!/#REF!-1)*100)</f>
        <v>--</v>
      </c>
      <c r="E157" s="449" t="str">
        <f>IF(ISERROR((#REF!/#REF!-1)*100),"--",(#REF!/#REF!-1)*100)</f>
        <v>--</v>
      </c>
      <c r="F157" s="449" t="str">
        <f>IF(ISERROR((#REF!/#REF!-1)*100),"--",(#REF!/#REF!-1)*100)</f>
        <v>--</v>
      </c>
      <c r="G157" s="449" t="str">
        <f>IF(ISERROR((#REF!/#REF!-1)*100),"--",(#REF!/#REF!-1)*100)</f>
        <v>--</v>
      </c>
      <c r="H157" s="449"/>
      <c r="I157" s="449" t="str">
        <f>IF(ISERROR((#REF!/#REF!-1)*100),"--",(#REF!/#REF!-1)*100)</f>
        <v>--</v>
      </c>
      <c r="J157" s="449" t="str">
        <f>IF(ISERROR((#REF!/#REF!-1)*100),"--",(#REF!/#REF!-1)*100)</f>
        <v>--</v>
      </c>
      <c r="K157" s="449" t="str">
        <f>IF(ISERROR((#REF!/#REF!-1)*100),"--",(#REF!/#REF!-1)*100)</f>
        <v>--</v>
      </c>
      <c r="L157" s="449" t="str">
        <f>IF(ISERROR((#REF!/#REF!-1)*100),"--",(#REF!/#REF!-1)*100)</f>
        <v>--</v>
      </c>
      <c r="M157" s="449"/>
      <c r="N157" s="449" t="str">
        <f>IF(ISERROR((#REF!/#REF!-1)*100),"--",(#REF!/#REF!-1)*100)</f>
        <v>--</v>
      </c>
      <c r="O157" s="449" t="str">
        <f>IF(ISERROR((#REF!/#REF!-1)*100),"--",(#REF!/#REF!-1)*100)</f>
        <v>--</v>
      </c>
      <c r="P157" s="449" t="str">
        <f>IF(ISERROR((#REF!/#REF!-1)*100),"--",(#REF!/#REF!-1)*100)</f>
        <v>--</v>
      </c>
      <c r="Q157" s="449" t="str">
        <f>IF(ISERROR((#REF!/#REF!-1)*100),"--",(#REF!/#REF!-1)*100)</f>
        <v>--</v>
      </c>
      <c r="R157" s="449"/>
      <c r="S157" s="449" t="str">
        <f>IF(ISERROR((#REF!/#REF!-1)*100),"--",(#REF!/#REF!-1)*100)</f>
        <v>--</v>
      </c>
      <c r="T157" s="449" t="str">
        <f>IF(ISERROR((#REF!/#REF!-1)*100),"--",(#REF!/#REF!-1)*100)</f>
        <v>--</v>
      </c>
      <c r="U157" s="449" t="str">
        <f>IF(ISERROR((#REF!/#REF!-1)*100),"--",(#REF!/#REF!-1)*100)</f>
        <v>--</v>
      </c>
      <c r="V157" s="449" t="str">
        <f>IF(ISERROR((#REF!/#REF!-1)*100),"--",(#REF!/#REF!-1)*100)</f>
        <v>--</v>
      </c>
      <c r="W157" s="449"/>
      <c r="X157" s="449" t="str">
        <f>IF(ISERROR((#REF!/#REF!-1)*100),"--",(#REF!/#REF!-1)*100)</f>
        <v>--</v>
      </c>
      <c r="Y157" s="449" t="str">
        <f>IF(ISERROR((#REF!/#REF!-1)*100),"--",(#REF!/#REF!-1)*100)</f>
        <v>--</v>
      </c>
      <c r="Z157" s="449" t="str">
        <f>IF(ISERROR((#REF!/#REF!-1)*100),"--",(#REF!/#REF!-1)*100)</f>
        <v>--</v>
      </c>
      <c r="AA157" s="449" t="str">
        <f>IF(ISERROR((#REF!/#REF!-1)*100),"--",(#REF!/#REF!-1)*100)</f>
        <v>--</v>
      </c>
      <c r="AB157" s="449"/>
      <c r="AC157" s="449" t="str">
        <f>IF(ISERROR((#REF!/#REF!-1)*100),"--",(#REF!/#REF!-1)*100)</f>
        <v>--</v>
      </c>
      <c r="AD157" s="449" t="str">
        <f>IF(ISERROR((#REF!/#REF!-1)*100),"--",(#REF!/#REF!-1)*100)</f>
        <v>--</v>
      </c>
      <c r="AE157" s="449" t="str">
        <f>IF(ISERROR((#REF!/#REF!-1)*100),"--",(#REF!/#REF!-1)*100)</f>
        <v>--</v>
      </c>
      <c r="AF157" s="449" t="str">
        <f>IF(ISERROR((#REF!/#REF!-1)*100),"--",(#REF!/#REF!-1)*100)</f>
        <v>--</v>
      </c>
      <c r="AG157" s="449"/>
      <c r="AH157" s="449" t="str">
        <f>IF(ISERROR((#REF!/#REF!-1)*100),"--",(#REF!/#REF!-1)*100)</f>
        <v>--</v>
      </c>
      <c r="AI157" s="449" t="str">
        <f>IF(ISERROR((#REF!/#REF!-1)*100),"--",(#REF!/#REF!-1)*100)</f>
        <v>--</v>
      </c>
      <c r="AJ157" s="449" t="str">
        <f>IF(ISERROR((#REF!/#REF!-1)*100),"--",(#REF!/#REF!-1)*100)</f>
        <v>--</v>
      </c>
      <c r="AK157" s="449" t="str">
        <f>IF(ISERROR((#REF!/#REF!-1)*100),"--",(#REF!/#REF!-1)*100)</f>
        <v>--</v>
      </c>
      <c r="AL157" s="449"/>
      <c r="AM157" s="449" t="str">
        <f>IF(ISERROR((#REF!/#REF!-1)*100),"--",(#REF!/#REF!-1)*100)</f>
        <v>--</v>
      </c>
      <c r="AN157" s="449" t="str">
        <f>IF(ISERROR((#REF!/#REF!-1)*100),"--",(#REF!/#REF!-1)*100)</f>
        <v>--</v>
      </c>
      <c r="AO157" s="449" t="str">
        <f>IF(ISERROR((#REF!/#REF!-1)*100),"--",(#REF!/#REF!-1)*100)</f>
        <v>--</v>
      </c>
      <c r="AP157" s="449" t="str">
        <f>IF(ISERROR((#REF!/#REF!-1)*100),"--",(#REF!/#REF!-1)*100)</f>
        <v>--</v>
      </c>
      <c r="AQ157" s="449"/>
      <c r="AR157" s="449" t="str">
        <f>IF(ISERROR((#REF!/#REF!-1)*100),"--",(#REF!/#REF!-1)*100)</f>
        <v>--</v>
      </c>
      <c r="AS157" s="449" t="str">
        <f>IF(ISERROR((#REF!/#REF!-1)*100),"--",(#REF!/#REF!-1)*100)</f>
        <v>--</v>
      </c>
      <c r="AT157" s="449" t="str">
        <f>IF(ISERROR((#REF!/#REF!-1)*100),"--",(#REF!/#REF!-1)*100)</f>
        <v>--</v>
      </c>
      <c r="AU157" s="449" t="str">
        <f>IF(ISERROR((#REF!/#REF!-1)*100),"--",(#REF!/#REF!-1)*100)</f>
        <v>--</v>
      </c>
      <c r="AV157" s="449"/>
      <c r="AW157" s="449" t="str">
        <f>IF(ISERROR((#REF!/#REF!-1)*100),"--",(#REF!/#REF!-1)*100)</f>
        <v>--</v>
      </c>
      <c r="AX157" s="449" t="str">
        <f>IF(ISERROR((#REF!/#REF!-1)*100),"--",(#REF!/#REF!-1)*100)</f>
        <v>--</v>
      </c>
      <c r="AY157" s="449" t="str">
        <f>IF(ISERROR((#REF!/#REF!-1)*100),"--",(#REF!/#REF!-1)*100)</f>
        <v>--</v>
      </c>
      <c r="AZ157" s="449" t="str">
        <f>IF(ISERROR((#REF!/#REF!-1)*100),"--",(#REF!/#REF!-1)*100)</f>
        <v>--</v>
      </c>
      <c r="BA157" s="449"/>
      <c r="BB157" s="449" t="str">
        <f>IF(ISERROR((#REF!/#REF!-1)*100),"--",(#REF!/#REF!-1)*100)</f>
        <v>--</v>
      </c>
      <c r="BC157" s="449" t="str">
        <f>IF(ISERROR((#REF!/#REF!-1)*100),"--",(#REF!/#REF!-1)*100)</f>
        <v>--</v>
      </c>
      <c r="BD157" s="449" t="str">
        <f>IF(ISERROR((#REF!/#REF!-1)*100),"--",(#REF!/#REF!-1)*100)</f>
        <v>--</v>
      </c>
      <c r="BE157" s="449" t="str">
        <f>IF(ISERROR((#REF!/#REF!-1)*100),"--",(#REF!/#REF!-1)*100)</f>
        <v>--</v>
      </c>
      <c r="BF157" s="449"/>
      <c r="BG157" s="449" t="str">
        <f>IF(ISERROR((#REF!/#REF!-1)*100),"--",(#REF!/#REF!-1)*100)</f>
        <v>--</v>
      </c>
      <c r="BH157" s="449" t="str">
        <f>IF(ISERROR((#REF!/#REF!-1)*100),"--",(#REF!/#REF!-1)*100)</f>
        <v>--</v>
      </c>
      <c r="BI157" s="449" t="str">
        <f>IF(ISERROR((#REF!/#REF!-1)*100),"--",(#REF!/#REF!-1)*100)</f>
        <v>--</v>
      </c>
      <c r="BJ157" s="449" t="str">
        <f>IF(ISERROR((#REF!/#REF!-1)*100),"--",(#REF!/#REF!-1)*100)</f>
        <v>--</v>
      </c>
      <c r="BK157" s="449"/>
      <c r="BL157" s="449" t="str">
        <f>IF(ISERROR((#REF!/#REF!-1)*100),"--",(#REF!/#REF!-1)*100)</f>
        <v>--</v>
      </c>
      <c r="BM157" s="449" t="str">
        <f>IF(ISERROR((#REF!/#REF!-1)*100),"--",(#REF!/#REF!-1)*100)</f>
        <v>--</v>
      </c>
      <c r="BN157" s="449" t="str">
        <f>IF(ISERROR((#REF!/#REF!-1)*100),"--",(#REF!/#REF!-1)*100)</f>
        <v>--</v>
      </c>
      <c r="BO157" s="449" t="str">
        <f>IF(ISERROR((#REF!/#REF!-1)*100),"--",(#REF!/#REF!-1)*100)</f>
        <v>--</v>
      </c>
      <c r="BP157" s="449"/>
      <c r="BQ157" s="449" t="str">
        <f>IF(ISERROR((#REF!/#REF!-1)*100),"--",(#REF!/#REF!-1)*100)</f>
        <v>--</v>
      </c>
      <c r="BR157" s="449" t="str">
        <f>IF(ISERROR((#REF!/#REF!-1)*100),"--",(#REF!/#REF!-1)*100)</f>
        <v>--</v>
      </c>
      <c r="BS157" s="449" t="str">
        <f>IF(ISERROR((#REF!/#REF!-1)*100),"--",(#REF!/#REF!-1)*100)</f>
        <v>--</v>
      </c>
      <c r="BT157" s="449" t="str">
        <f>IF(ISERROR((#REF!/#REF!-1)*100),"--",(#REF!/#REF!-1)*100)</f>
        <v>--</v>
      </c>
      <c r="BU157" s="449"/>
      <c r="BV157" s="449" t="str">
        <f>IF(ISERROR((#REF!/#REF!-1)*100),"--",(#REF!/#REF!-1)*100)</f>
        <v>--</v>
      </c>
      <c r="BW157" s="449" t="str">
        <f>IF(ISERROR((#REF!/#REF!-1)*100),"--",(#REF!/#REF!-1)*100)</f>
        <v>--</v>
      </c>
      <c r="BX157" s="449" t="str">
        <f>IF(ISERROR((#REF!/#REF!-1)*100),"--",(#REF!/#REF!-1)*100)</f>
        <v>--</v>
      </c>
      <c r="BY157" s="449" t="str">
        <f>IF(ISERROR((#REF!/#REF!-1)*100),"--",(#REF!/#REF!-1)*100)</f>
        <v>--</v>
      </c>
      <c r="BZ157" s="449"/>
      <c r="CA157" s="449" t="str">
        <f>IF(ISERROR((#REF!/#REF!-1)*100),"--",(#REF!/#REF!-1)*100)</f>
        <v>--</v>
      </c>
      <c r="CB157" s="449" t="str">
        <f>IF(ISERROR((#REF!/#REF!-1)*100),"--",(#REF!/#REF!-1)*100)</f>
        <v>--</v>
      </c>
      <c r="CC157" s="449" t="str">
        <f>IF(ISERROR((#REF!/#REF!-1)*100),"--",(#REF!/#REF!-1)*100)</f>
        <v>--</v>
      </c>
      <c r="CD157" s="449" t="str">
        <f>IF(ISERROR((#REF!/#REF!-1)*100),"--",(#REF!/#REF!-1)*100)</f>
        <v>--</v>
      </c>
      <c r="CE157" s="449"/>
      <c r="CF157" s="449" t="str">
        <f>IF(ISERROR((#REF!/#REF!-1)*100),"--",(#REF!/#REF!-1)*100)</f>
        <v>--</v>
      </c>
      <c r="CG157" s="449" t="str">
        <f>IF(ISERROR((#REF!/#REF!-1)*100),"--",(#REF!/#REF!-1)*100)</f>
        <v>--</v>
      </c>
      <c r="CH157" s="449" t="str">
        <f>IF(ISERROR((#REF!/#REF!-1)*100),"--",(#REF!/#REF!-1)*100)</f>
        <v>--</v>
      </c>
      <c r="CI157" s="449" t="str">
        <f>IF(ISERROR((#REF!/#REF!-1)*100),"--",(#REF!/#REF!-1)*100)</f>
        <v>--</v>
      </c>
      <c r="CJ157" s="449"/>
      <c r="CK157" s="449" t="str">
        <f>IF(ISERROR((#REF!/#REF!-1)*100),"--",(#REF!/#REF!-1)*100)</f>
        <v>--</v>
      </c>
      <c r="CL157" s="449" t="str">
        <f>IF(ISERROR((#REF!/#REF!-1)*100),"--",(#REF!/#REF!-1)*100)</f>
        <v>--</v>
      </c>
      <c r="CM157" s="449" t="str">
        <f>IF(ISERROR((#REF!/#REF!-1)*100),"--",(#REF!/#REF!-1)*100)</f>
        <v>--</v>
      </c>
      <c r="CN157" s="449" t="str">
        <f>IF(ISERROR((#REF!/#REF!-1)*100),"--",(#REF!/#REF!-1)*100)</f>
        <v>--</v>
      </c>
      <c r="CO157" s="449"/>
      <c r="CP157" s="449" t="str">
        <f>IF(ISERROR((#REF!/#REF!-1)*100),"--",(#REF!/#REF!-1)*100)</f>
        <v>--</v>
      </c>
      <c r="CQ157" s="449" t="str">
        <f>IF(ISERROR((#REF!/#REF!-1)*100),"--",(#REF!/#REF!-1)*100)</f>
        <v>--</v>
      </c>
      <c r="CR157" s="449" t="str">
        <f>IF(ISERROR((#REF!/#REF!-1)*100),"--",(#REF!/#REF!-1)*100)</f>
        <v>--</v>
      </c>
      <c r="CS157" s="449" t="str">
        <f>IF(ISERROR((#REF!/#REF!-1)*100),"--",(#REF!/#REF!-1)*100)</f>
        <v>--</v>
      </c>
      <c r="CT157" s="449"/>
      <c r="CU157" s="449" t="str">
        <f>IF(ISERROR((#REF!/#REF!-1)*100),"--",(#REF!/#REF!-1)*100)</f>
        <v>--</v>
      </c>
      <c r="CV157" s="449" t="str">
        <f>IF(ISERROR((#REF!/#REF!-1)*100),"--",(#REF!/#REF!-1)*100)</f>
        <v>--</v>
      </c>
      <c r="CW157" s="449" t="str">
        <f>IF(ISERROR((#REF!/#REF!-1)*100),"--",(#REF!/#REF!-1)*100)</f>
        <v>--</v>
      </c>
      <c r="CX157" s="449" t="str">
        <f>IF(ISERROR((#REF!/#REF!-1)*100),"--",(#REF!/#REF!-1)*100)</f>
        <v>--</v>
      </c>
      <c r="CY157" s="449"/>
      <c r="CZ157" s="449"/>
      <c r="DA157" s="449"/>
      <c r="DB157" s="449"/>
      <c r="DC157" s="450"/>
      <c r="DD157" s="449"/>
      <c r="DE157" s="449"/>
      <c r="DF157" s="449"/>
      <c r="DG157" s="449"/>
      <c r="DH157" s="450"/>
      <c r="DI157" s="449"/>
      <c r="DJ157" s="450"/>
      <c r="DK157" s="450"/>
      <c r="DL157" s="450"/>
      <c r="DM157" s="450"/>
      <c r="DN157" s="449"/>
      <c r="DO157" s="449"/>
      <c r="DP157" s="450"/>
      <c r="DQ157" s="450"/>
      <c r="DR157" s="450"/>
      <c r="DS157" s="450"/>
      <c r="DT157" s="450"/>
      <c r="DU157" s="450"/>
      <c r="DV157" s="450"/>
      <c r="DW157" s="450"/>
      <c r="DX157" s="450"/>
      <c r="DY157" s="450"/>
      <c r="DZ157" s="450"/>
      <c r="EA157" s="449"/>
      <c r="EB157" s="450"/>
      <c r="EC157" s="449"/>
      <c r="ED157" s="450"/>
      <c r="EE157" s="450"/>
      <c r="EF157" s="450"/>
      <c r="EG157" s="450"/>
      <c r="EH157" s="449"/>
      <c r="EI157" s="2761"/>
      <c r="EJ157" s="2761"/>
      <c r="EK157" s="2761"/>
      <c r="EL157" s="2761"/>
      <c r="EM157" s="2762"/>
      <c r="EN157" s="2761"/>
      <c r="EO157" s="2761"/>
      <c r="EP157" s="2762"/>
      <c r="EQ157" s="2762"/>
      <c r="ER157" s="2762"/>
      <c r="ES157" s="449"/>
      <c r="ET157" s="2761"/>
      <c r="EU157" s="449"/>
      <c r="EV157" s="449"/>
      <c r="EW157" s="449"/>
      <c r="EX157" s="449"/>
      <c r="EY157" s="449"/>
      <c r="EZ157" s="449"/>
      <c r="FA157" s="449"/>
      <c r="FB157" s="449"/>
      <c r="FC157" s="449"/>
      <c r="FD157" s="449"/>
      <c r="FE157" s="449"/>
      <c r="FF157" s="449"/>
      <c r="FG157" s="449"/>
      <c r="FH157" s="449"/>
      <c r="FI157" s="449"/>
      <c r="FJ157" s="449"/>
      <c r="FK157" s="449"/>
      <c r="FL157" s="449"/>
      <c r="FN157" s="449"/>
      <c r="FO157" s="449"/>
      <c r="FP157" s="449"/>
      <c r="FQ157" s="449"/>
      <c r="FR157" s="449"/>
      <c r="FS157" s="449"/>
      <c r="FT157" s="449"/>
      <c r="FU157" s="449"/>
      <c r="FV157" s="449"/>
      <c r="FW157" s="449"/>
      <c r="FX157" s="886"/>
      <c r="FY157" s="886"/>
      <c r="FZ157" s="886"/>
      <c r="GA157" s="886"/>
      <c r="GB157" s="886"/>
      <c r="GC157" s="886"/>
      <c r="GD157" s="886"/>
      <c r="GE157" s="886"/>
      <c r="GF157" s="886"/>
      <c r="GG157" s="886"/>
      <c r="GH157" s="886"/>
      <c r="GI157" s="886"/>
      <c r="GJ157" s="2668"/>
      <c r="GK157" s="2668"/>
      <c r="GL157" s="2668"/>
      <c r="GN157"/>
      <c r="GO157"/>
      <c r="GP157"/>
      <c r="GQ157"/>
      <c r="GR157"/>
      <c r="GS157"/>
    </row>
    <row r="158" spans="1:201" s="264" customFormat="1" ht="11.25" hidden="1" customHeight="1" outlineLevel="1">
      <c r="A158" s="323" t="s">
        <v>691</v>
      </c>
      <c r="B158" s="253"/>
      <c r="C158" s="253"/>
      <c r="D158" s="446"/>
      <c r="E158" s="449" t="str">
        <f>IF(ISERROR((E34/A34-1)*100),"--",(E34/A34-1)*100)</f>
        <v>--</v>
      </c>
      <c r="F158" s="449" t="str">
        <f>IF(ISERROR((F34/B34-1)*100),"--",(F34/B34-1)*100)</f>
        <v>--</v>
      </c>
      <c r="G158" s="449" t="str">
        <f>IF(ISERROR((G34/C34-1)*100),"--",(G34/C34-1)*100)</f>
        <v>--</v>
      </c>
      <c r="H158" s="449"/>
      <c r="I158" s="449">
        <f>IF(ISERROR((I34/D34-1)*100),"--",(I34/D34-1)*100)</f>
        <v>49.385333333333328</v>
      </c>
      <c r="J158" s="449">
        <f>IF(ISERROR((J34/E34-1)*100),"--",(J34/E34-1)*100)</f>
        <v>49.435541075056811</v>
      </c>
      <c r="K158" s="449">
        <f>IF(ISERROR((K34/F34-1)*100),"--",(K34/F34-1)*100)</f>
        <v>54.485665910321245</v>
      </c>
      <c r="L158" s="449">
        <f>IF(ISERROR((L34/G34-1)*100),"--",(L34/G34-1)*100)</f>
        <v>53.199446692965815</v>
      </c>
      <c r="M158" s="449"/>
      <c r="N158" s="449">
        <f>IF(ISERROR((N34/I34-1)*100),"--",(N34/I34-1)*100)</f>
        <v>44.592507965976139</v>
      </c>
      <c r="O158" s="449">
        <f>IF(ISERROR((O34/J34-1)*100),"--",(O34/J34-1)*100)</f>
        <v>59.297161614211255</v>
      </c>
      <c r="P158" s="449">
        <f>IF(ISERROR((P34/K34-1)*100),"--",(P34/K34-1)*100)</f>
        <v>53.586925726555613</v>
      </c>
      <c r="Q158" s="449">
        <f>IF(ISERROR((Q34/L34-1)*100),"--",(Q34/L34-1)*100)</f>
        <v>47.811256395679379</v>
      </c>
      <c r="R158" s="449"/>
      <c r="S158" s="449">
        <f>IF(ISERROR((S34/N34-1)*100),"--",(S34/N34-1)*100)</f>
        <v>57.407407407407419</v>
      </c>
      <c r="T158" s="449">
        <f>IF(ISERROR((T34/O34-1)*100),"--",(T34/O34-1)*100)</f>
        <v>52.020202020202014</v>
      </c>
      <c r="U158" s="449">
        <f>IF(ISERROR((U34/P34-1)*100),"--",(U34/P34-1)*100)</f>
        <v>43.689320388349515</v>
      </c>
      <c r="V158" s="449">
        <f>IF(ISERROR((V34/Q34-1)*100),"--",(V34/Q34-1)*100)</f>
        <v>57.375565610859724</v>
      </c>
      <c r="W158" s="449"/>
      <c r="X158" s="449">
        <f>IF(ISERROR((X34/S34-1)*100),"--",(X34/S34-1)*100)</f>
        <v>43.921568627450981</v>
      </c>
      <c r="Y158" s="449">
        <f>IF(ISERROR((Y34/T34-1)*100),"--",(Y34/T34-1)*100)</f>
        <v>42.192691029900331</v>
      </c>
      <c r="Z158" s="449">
        <f>IF(ISERROR((Z34/U34-1)*100),"--",(Z34/U34-1)*100)</f>
        <v>44.932432432432435</v>
      </c>
      <c r="AA158" s="449">
        <f>IF(ISERROR((AA34/V34-1)*100),"--",(AA34/V34-1)*100)</f>
        <v>29.672225416906262</v>
      </c>
      <c r="AB158" s="449"/>
      <c r="AC158" s="449">
        <f>IF(ISERROR((AC34/X34-1)*100),"--",(AC34/X34-1)*100)</f>
        <v>15.803814713896447</v>
      </c>
      <c r="AD158" s="449">
        <f>IF(ISERROR((AD34/Y34-1)*100),"--",(AD34/Y34-1)*100)</f>
        <v>10.046728971962615</v>
      </c>
      <c r="AE158" s="449">
        <f>IF(ISERROR((AE34/Z34-1)*100),"--",(AE34/Z34-1)*100)</f>
        <v>15.850815850815847</v>
      </c>
      <c r="AF158" s="449">
        <f>IF(ISERROR((AF34/AA34-1)*100),"--",(AF34/AA34-1)*100)</f>
        <v>14.855875831485577</v>
      </c>
      <c r="AG158" s="449"/>
      <c r="AH158" s="449">
        <f>IF(ISERROR((AH34/AC34-1)*100),"--",(AH34/AC34-1)*100)</f>
        <v>29.176470588235293</v>
      </c>
      <c r="AI158" s="449">
        <f>IF(ISERROR((AI34/AD34-1)*100),"--",(AI34/AD34-1)*100)</f>
        <v>41.188959660297229</v>
      </c>
      <c r="AJ158" s="449">
        <f>IF(ISERROR((AJ34/AE34-1)*100),"--",(AJ34/AE34-1)*100)</f>
        <v>45.472837022132808</v>
      </c>
      <c r="AK158" s="449">
        <f>IF(ISERROR((AK34/AF34-1)*100),"--",(AK34/AF34-1)*100)</f>
        <v>45.559845559845556</v>
      </c>
      <c r="AL158" s="449"/>
      <c r="AM158" s="449">
        <f>IF(ISERROR((AM34/AH34-1)*100),"--",(AM34/AH34-1)*100)</f>
        <v>55.737704918032783</v>
      </c>
      <c r="AN158" s="449">
        <f>IF(ISERROR((AN34/AI34-1)*100),"--",(AN34/AI34-1)*100)</f>
        <v>40.601503759398504</v>
      </c>
      <c r="AO158" s="449">
        <f>IF(ISERROR((AO34/AJ34-1)*100),"--",(AO34/AJ34-1)*100)</f>
        <v>37.759336099585063</v>
      </c>
      <c r="AP158" s="449">
        <f>IF(ISERROR((AP34/AK34-1)*100),"--",(AP34/AK34-1)*100)</f>
        <v>38.063660477453574</v>
      </c>
      <c r="AQ158" s="449"/>
      <c r="AR158" s="449">
        <f>IF(ISERROR((AR34/AM34-1)*100),"--",(AR34/AM34-1)*100)</f>
        <v>19.415204678362574</v>
      </c>
      <c r="AS158" s="449">
        <f>IF(ISERROR((AS34/AN34-1)*100),"--",(AS34/AN34-1)*100)</f>
        <v>25.026737967914436</v>
      </c>
      <c r="AT158" s="449">
        <f>IF(ISERROR((AT34/AO34-1)*100),"--",(AT34/AO34-1)*100)</f>
        <v>21.887550200803219</v>
      </c>
      <c r="AU158" s="449">
        <f>IF(ISERROR((AU34/AP34-1)*100),"--",(AU34/AP34-1)*100)</f>
        <v>18.347742555235346</v>
      </c>
      <c r="AV158" s="449"/>
      <c r="AW158" s="449">
        <f>IF(ISERROR((AW34/AR34-1)*100),"--",(AW34/AR34-1)*100)</f>
        <v>34.476003917727716</v>
      </c>
      <c r="AX158" s="449">
        <f>IF(ISERROR((AX34/AS34-1)*100),"--",(AX34/AS34-1)*100)</f>
        <v>29.854576561163391</v>
      </c>
      <c r="AY158" s="449">
        <f>IF(ISERROR((AY34/AT34-1)*100),"--",(AY34/AT34-1)*100)</f>
        <v>16.721581548599662</v>
      </c>
      <c r="AZ158" s="449">
        <f>IF(ISERROR((AZ34/AU34-1)*100),"--",(AZ34/AU34-1)*100)</f>
        <v>26.298701298701289</v>
      </c>
      <c r="BA158" s="449"/>
      <c r="BB158" s="449">
        <f>IF(ISERROR((BB34/AW34-1)*100),"--",(BB34/AW34-1)*100)</f>
        <v>4.7341587764020421</v>
      </c>
      <c r="BC158" s="449">
        <f>IF(ISERROR((BC34/AX34-1)*100),"--",(BC34/AX34-1)*100)</f>
        <v>9.2226613965744377</v>
      </c>
      <c r="BD158" s="449">
        <f>IF(ISERROR((BD34/AY34-1)*100),"--",(BD34/AY34-1)*100)</f>
        <v>16.937191249117856</v>
      </c>
      <c r="BE158" s="449">
        <f>IF(ISERROR((BE34/AZ34-1)*100),"--",(BE34/AZ34-1)*100)</f>
        <v>37.339331619537283</v>
      </c>
      <c r="BF158" s="449"/>
      <c r="BG158" s="449">
        <f>IF(ISERROR((BG34/BB34-1)*100),"--",(BG34/BB34-1)*100)</f>
        <v>27.32962447844227</v>
      </c>
      <c r="BH158" s="449">
        <f>IF(ISERROR((BH34/BC34-1)*100),"--",(BH34/BC34-1)*100)</f>
        <v>25.51266586248493</v>
      </c>
      <c r="BI158" s="449">
        <f>IF(ISERROR((BI34/BD34-1)*100),"--",(BI34/BD34-1)*100)</f>
        <v>27.398913699456841</v>
      </c>
      <c r="BJ158" s="449">
        <f>IF(ISERROR((BJ34/BE34-1)*100),"--",(BJ34/BE34-1)*100)</f>
        <v>12.821712681328968</v>
      </c>
      <c r="BK158" s="449"/>
      <c r="BL158" s="449">
        <f>IF(ISERROR((BL34/BG34-1)*100),"--",(BL34/BG34-1)*100)</f>
        <v>14.855270344074277</v>
      </c>
      <c r="BM158" s="449">
        <f>IF(ISERROR((BM34/BH34-1)*100),"--",(BM34/BH34-1)*100)</f>
        <v>16.434406535319557</v>
      </c>
      <c r="BN158" s="449">
        <f>IF(ISERROR((BN34/BI34-1)*100),"--",(BN34/BI34-1)*100)</f>
        <v>15.679772619611555</v>
      </c>
      <c r="BO158" s="449">
        <f>IF(ISERROR((BO34/BJ34-1)*100),"--",(BO34/BJ34-1)*100)</f>
        <v>18.996267109083377</v>
      </c>
      <c r="BP158" s="449"/>
      <c r="BQ158" s="449">
        <f>IF(ISERROR((BQ34/BL34-1)*100),"--",(BQ34/BL34-1)*100)</f>
        <v>11.507370423204954</v>
      </c>
      <c r="BR158" s="449">
        <f>IF(ISERROR((BR34/BM34-1)*100),"--",(BR34/BM34-1)*100)</f>
        <v>11.267024349979371</v>
      </c>
      <c r="BS158" s="449">
        <f>IF(ISERROR((BS34/BN34-1)*100),"--",(BS34/BN34-1)*100)</f>
        <v>4.5045045045045029</v>
      </c>
      <c r="BT158" s="449">
        <f>IF(ISERROR((BT34/BO34-1)*100),"--",(BT34/BO34-1)*100)</f>
        <v>4.9494597420704167</v>
      </c>
      <c r="BU158" s="449"/>
      <c r="BV158" s="449">
        <f>IF(ISERROR((BV34/BQ34-1)*100),"--",(BV34/BQ34-1)*100)</f>
        <v>43.880597014925371</v>
      </c>
      <c r="BW158" s="449">
        <f>IF(ISERROR((BW34/BR34-1)*100),"--",(BW34/BR34-1)*100)</f>
        <v>46.921364985163194</v>
      </c>
      <c r="BX158" s="449">
        <f>IF(ISERROR((BX34/BS34-1)*100),"--",(BX34/BS34-1)*100)</f>
        <v>49.568965517241367</v>
      </c>
      <c r="BY158" s="449">
        <f>IF(ISERROR((BY34/BT34-1)*100),"--",(BY34/BT34-1)*100)</f>
        <v>46.961142477582207</v>
      </c>
      <c r="BZ158" s="449"/>
      <c r="CA158" s="449">
        <f>IF(ISERROR((CA34/BV34-1)*100),"--",(CA34/BV34-1)*100)</f>
        <v>6.3129816241849435</v>
      </c>
      <c r="CB158" s="449">
        <f>IF(ISERROR((CB34/BW34-1)*100),"--",(CB34/BW34-1)*100)</f>
        <v>9.6692754354960933</v>
      </c>
      <c r="CC158" s="449">
        <f>IF(ISERROR((CC34/BX34-1)*100),"--",(CC34/BX34-1)*100)</f>
        <v>3.7725962798008883</v>
      </c>
      <c r="CD158" s="449">
        <f>IF(ISERROR((CD34/BY34-1)*100),"--",(CD34/BY34-1)*100)</f>
        <v>5.7175141242937766</v>
      </c>
      <c r="CE158" s="449"/>
      <c r="CF158" s="449">
        <f>IF(ISERROR((CF34/CA34-1)*100),"--",(CF34/CA34-1)*100)</f>
        <v>4.6557011430164552</v>
      </c>
      <c r="CG158" s="449">
        <f>IF(ISERROR((CG34/CB34-1)*100),"--",(CG34/CB34-1)*100)</f>
        <v>-4.534990791896865</v>
      </c>
      <c r="CH158" s="449">
        <f>IF(ISERROR((CH34/CC34-1)*100),"--",(CH34/CC34-1)*100)</f>
        <v>5.0239838424640304</v>
      </c>
      <c r="CI158" s="449">
        <f>IF(ISERROR((CI34/CD34-1)*100),"--",(CI34/CD34-1)*100)</f>
        <v>7.0115433946130734</v>
      </c>
      <c r="CJ158" s="449"/>
      <c r="CK158" s="449">
        <f>IF(ISERROR((CK34/CF34-1)*100),"--",(CK34/CF34-1)*100)</f>
        <v>8.7107085775173232</v>
      </c>
      <c r="CL158" s="449">
        <f>IF(ISERROR((CL34/CG34-1)*100),"--",(CL34/CG34-1)*100)</f>
        <v>19.146370870508811</v>
      </c>
      <c r="CM158" s="449">
        <f>IF(ISERROR((CM34/CH34-1)*100),"--",(CM34/CH34-1)*100)</f>
        <v>10.26442307692308</v>
      </c>
      <c r="CN158" s="449">
        <f>IF(ISERROR((CN34/CI34-1)*100),"--",(CN34/CI34-1)*100)</f>
        <v>8.7095485417498999</v>
      </c>
      <c r="CO158" s="449"/>
      <c r="CP158" s="449">
        <f>IF(ISERROR((CP34/CK34-1)*100),"--",(CP34/CK34-1)*100)</f>
        <v>13.722126929674094</v>
      </c>
      <c r="CQ158" s="449">
        <f>IF(ISERROR((CQ34/CL34-1)*100),"--",(CQ34/CL34-1)*100)</f>
        <v>10.301558388990074</v>
      </c>
      <c r="CR158" s="449">
        <f>IF(ISERROR((CR34/CM34-1)*100),"--",(CR34/CM34-1)*100)</f>
        <v>20.231087856987131</v>
      </c>
      <c r="CS158" s="449">
        <f>IF(ISERROR((CS34/CN34-1)*100),"--",(CS34/CN34-1)*100)</f>
        <v>12.918044836457177</v>
      </c>
      <c r="CT158" s="449"/>
      <c r="CU158" s="449">
        <f>IF(ISERROR((CU34/CP34-1)*100),"--",(CU34/CP34-1)*100)</f>
        <v>12.863606981254039</v>
      </c>
      <c r="CV158" s="449">
        <f>IF(ISERROR((CV34/CQ34-1)*100),"--",(CV34/CQ34-1)*100)</f>
        <v>16.385321100917437</v>
      </c>
      <c r="CW158" s="449">
        <f>IF(ISERROR((CW34/CR34-1)*100),"--",(CW34/CR34-1)*100)</f>
        <v>10.861287398005448</v>
      </c>
      <c r="CX158" s="449">
        <f>IF(ISERROR((CX34/CS34-1)*100),"--",(CX34/CS34-1)*100)</f>
        <v>18.584214808787625</v>
      </c>
      <c r="CY158" s="449"/>
      <c r="CZ158" s="449"/>
      <c r="DA158" s="449"/>
      <c r="DB158" s="449"/>
      <c r="DC158" s="450"/>
      <c r="DD158" s="449"/>
      <c r="DE158" s="449"/>
      <c r="DF158" s="449"/>
      <c r="DG158" s="449"/>
      <c r="DH158" s="450"/>
      <c r="DI158" s="449"/>
      <c r="DJ158" s="450"/>
      <c r="DK158" s="450"/>
      <c r="DL158" s="450"/>
      <c r="DM158" s="450"/>
      <c r="DN158" s="449"/>
      <c r="DO158" s="449"/>
      <c r="DP158" s="450"/>
      <c r="DQ158" s="450"/>
      <c r="DR158" s="450"/>
      <c r="DS158" s="450"/>
      <c r="DT158" s="450"/>
      <c r="DU158" s="450"/>
      <c r="DV158" s="450"/>
      <c r="DW158" s="450"/>
      <c r="DX158" s="450"/>
      <c r="DY158" s="450"/>
      <c r="DZ158" s="450"/>
      <c r="EA158" s="449"/>
      <c r="EB158" s="450"/>
      <c r="EC158" s="449"/>
      <c r="ED158" s="450"/>
      <c r="EE158" s="450"/>
      <c r="EF158" s="450"/>
      <c r="EG158" s="450"/>
      <c r="EH158" s="449"/>
      <c r="EI158" s="2761"/>
      <c r="EJ158" s="2761"/>
      <c r="EK158" s="2761"/>
      <c r="EL158" s="2761"/>
      <c r="EM158" s="2762"/>
      <c r="EN158" s="2761"/>
      <c r="EO158" s="2761"/>
      <c r="EP158" s="2762"/>
      <c r="EQ158" s="2762"/>
      <c r="ER158" s="2762"/>
      <c r="ES158" s="449"/>
      <c r="ET158" s="2761"/>
      <c r="EU158" s="449"/>
      <c r="EV158" s="449"/>
      <c r="EW158" s="449"/>
      <c r="EX158" s="449"/>
      <c r="EY158" s="449"/>
      <c r="EZ158" s="449"/>
      <c r="FA158" s="449"/>
      <c r="FB158" s="449"/>
      <c r="FC158" s="449"/>
      <c r="FD158" s="449"/>
      <c r="FE158" s="449"/>
      <c r="FF158" s="449"/>
      <c r="FG158" s="449"/>
      <c r="FH158" s="449"/>
      <c r="FI158" s="449"/>
      <c r="FJ158" s="449"/>
      <c r="FK158" s="449"/>
      <c r="FL158" s="449"/>
      <c r="FN158" s="449" t="str">
        <f>IF(ISERROR((FN34/#REF!-1)*100),"--",(FN34/#REF!-1)*100)</f>
        <v>--</v>
      </c>
      <c r="FO158" s="449">
        <f>IF(ISERROR((FO34/FN34-1)*100),"--",(FO34/FN34-1)*100)</f>
        <v>17.415001297690115</v>
      </c>
      <c r="FP158" s="449">
        <f>IF(ISERROR((FP34/FO34-1)*100),"--",(FP34/FO34-1)*100)</f>
        <v>14.412024756852349</v>
      </c>
      <c r="FQ158" s="449">
        <f>IF(ISERROR((FQ34/FP34-1)*100),"--",(FQ34/FP34-1)*100)</f>
        <v>24.594281298299837</v>
      </c>
      <c r="FR158" s="449">
        <f t="shared" ref="FR158:FY158" si="580">IF(ISERROR((FR34/FQ34-1)*100),"--",(FR34/FQ34-1)*100)</f>
        <v>25.391533571096293</v>
      </c>
      <c r="FS158" s="449">
        <f t="shared" si="580"/>
        <v>2.2692141223026097</v>
      </c>
      <c r="FT158" s="449">
        <f t="shared" si="580"/>
        <v>9.9637243047158375</v>
      </c>
      <c r="FU158" s="449">
        <f t="shared" si="580"/>
        <v>10.622388387948089</v>
      </c>
      <c r="FV158" s="449">
        <f>IF(ISERROR((FV34/FU34-1)*100),"--",(FV34/FU34-1)*100)</f>
        <v>15.51192842942346</v>
      </c>
      <c r="FW158" s="449">
        <f t="shared" si="580"/>
        <v>13.583752850565812</v>
      </c>
      <c r="FX158" s="886">
        <f t="shared" si="580"/>
        <v>-5.3678308962800241</v>
      </c>
      <c r="FY158" s="886">
        <f t="shared" si="580"/>
        <v>5.7163444217605441</v>
      </c>
      <c r="FZ158" s="886"/>
      <c r="GA158" s="886"/>
      <c r="GB158" s="886"/>
      <c r="GC158" s="886"/>
      <c r="GD158" s="886"/>
      <c r="GE158" s="886"/>
      <c r="GF158" s="886"/>
      <c r="GG158" s="886"/>
      <c r="GH158" s="886"/>
      <c r="GI158" s="886"/>
      <c r="GJ158" s="2668"/>
      <c r="GK158" s="2668"/>
      <c r="GL158" s="2668"/>
      <c r="GN158"/>
      <c r="GO158"/>
      <c r="GP158"/>
      <c r="GQ158"/>
      <c r="GR158"/>
      <c r="GS158"/>
    </row>
    <row r="159" spans="1:201" s="264" customFormat="1" ht="11.25" hidden="1" customHeight="1" outlineLevel="1">
      <c r="A159" s="323" t="s">
        <v>692</v>
      </c>
      <c r="B159" s="253"/>
      <c r="C159" s="253"/>
      <c r="D159" s="435" t="str">
        <f t="shared" ref="D159:AP159" si="581">IF(ISERROR((D34/C34-1)*100),"--",(D34/C34-1)*100)</f>
        <v>--</v>
      </c>
      <c r="E159" s="449">
        <f t="shared" si="581"/>
        <v>10.902666666666661</v>
      </c>
      <c r="F159" s="449">
        <f t="shared" si="581"/>
        <v>4.381018791252389</v>
      </c>
      <c r="G159" s="449">
        <f t="shared" si="581"/>
        <v>12.409440112415204</v>
      </c>
      <c r="H159" s="449"/>
      <c r="I159" s="449">
        <f>IF(ISERROR((I34/G34-1)*100),"--",(I34/G34-1)*100)</f>
        <v>14.799938521440659</v>
      </c>
      <c r="J159" s="449">
        <f t="shared" si="581"/>
        <v>10.939940556413386</v>
      </c>
      <c r="K159" s="449">
        <f t="shared" si="581"/>
        <v>7.9085409023621045</v>
      </c>
      <c r="L159" s="449">
        <f t="shared" si="581"/>
        <v>11.473539805854195</v>
      </c>
      <c r="M159" s="449"/>
      <c r="N159" s="449">
        <f>IF(ISERROR((N34/L34-1)*100),"--",(N34/L34-1)*100)</f>
        <v>8.3503327425342064</v>
      </c>
      <c r="O159" s="449">
        <f t="shared" si="581"/>
        <v>22.222222222222232</v>
      </c>
      <c r="P159" s="449">
        <f t="shared" si="581"/>
        <v>4.0404040404040442</v>
      </c>
      <c r="Q159" s="449">
        <f t="shared" si="581"/>
        <v>7.2815533980582492</v>
      </c>
      <c r="R159" s="449"/>
      <c r="S159" s="449">
        <f>IF(ISERROR((S34/Q34-1)*100),"--",(S34/Q34-1)*100)</f>
        <v>15.384615384615374</v>
      </c>
      <c r="T159" s="449">
        <f t="shared" si="581"/>
        <v>18.039215686274513</v>
      </c>
      <c r="U159" s="449">
        <f t="shared" si="581"/>
        <v>-1.6611295681063121</v>
      </c>
      <c r="V159" s="449">
        <f t="shared" si="581"/>
        <v>17.500000000000004</v>
      </c>
      <c r="W159" s="449"/>
      <c r="X159" s="449">
        <f>IF(ISERROR((X34/V34-1)*100),"--",(X34/V34-1)*100)</f>
        <v>5.5204140310523231</v>
      </c>
      <c r="Y159" s="449">
        <f t="shared" si="581"/>
        <v>16.62125340599454</v>
      </c>
      <c r="Z159" s="449">
        <f t="shared" si="581"/>
        <v>0.23364485981307581</v>
      </c>
      <c r="AA159" s="449">
        <f t="shared" si="581"/>
        <v>5.1282051282051322</v>
      </c>
      <c r="AB159" s="449"/>
      <c r="AC159" s="449">
        <f>IF(ISERROR((AC34/AA34-1)*100),"--",(AC34/AA34-1)*100)</f>
        <v>-5.7649667405764937</v>
      </c>
      <c r="AD159" s="449">
        <f t="shared" si="581"/>
        <v>10.823529411764699</v>
      </c>
      <c r="AE159" s="449">
        <f t="shared" si="581"/>
        <v>5.5201698513800412</v>
      </c>
      <c r="AF159" s="449">
        <f t="shared" si="581"/>
        <v>4.2253521126760507</v>
      </c>
      <c r="AG159" s="449"/>
      <c r="AH159" s="449">
        <f>IF(ISERROR((AH34/AF34-1)*100),"--",(AH34/AF34-1)*100)</f>
        <v>5.9845559845559837</v>
      </c>
      <c r="AI159" s="449">
        <f t="shared" si="581"/>
        <v>21.129326047358845</v>
      </c>
      <c r="AJ159" s="449">
        <f t="shared" si="581"/>
        <v>8.7218045112781972</v>
      </c>
      <c r="AK159" s="449">
        <f t="shared" si="581"/>
        <v>4.2876901798063694</v>
      </c>
      <c r="AL159" s="449"/>
      <c r="AM159" s="449">
        <f>IF(ISERROR((AM34/AK34-1)*100),"--",(AM34/AK34-1)*100)</f>
        <v>13.395225464190986</v>
      </c>
      <c r="AN159" s="449">
        <f t="shared" si="581"/>
        <v>9.3567251461988299</v>
      </c>
      <c r="AO159" s="449">
        <f t="shared" si="581"/>
        <v>6.5240641711229896</v>
      </c>
      <c r="AP159" s="449">
        <f t="shared" si="581"/>
        <v>4.5180722891566161</v>
      </c>
      <c r="AQ159" s="449"/>
      <c r="AR159" s="449">
        <f>IF(ISERROR((AR34/AP34-1)*100),"--",(AR34/AP34-1)*100)</f>
        <v>-1.9212295869356355</v>
      </c>
      <c r="AS159" s="449">
        <f t="shared" ref="AS159:CD159" si="582">IF(ISERROR((AS34/AR34-1)*100),"--",(AS34/AR34-1)*100)</f>
        <v>14.495592556317337</v>
      </c>
      <c r="AT159" s="449">
        <f t="shared" si="582"/>
        <v>3.849443969204458</v>
      </c>
      <c r="AU159" s="449">
        <f t="shared" si="582"/>
        <v>1.4827018121911006</v>
      </c>
      <c r="AV159" s="449"/>
      <c r="AW159" s="449">
        <f>IF(ISERROR((AW34/AU34-1)*100),"--",(AW34/AU34-1)*100)</f>
        <v>11.444805194805197</v>
      </c>
      <c r="AX159" s="449">
        <f t="shared" si="582"/>
        <v>10.560815731973783</v>
      </c>
      <c r="AY159" s="449">
        <f t="shared" si="582"/>
        <v>-6.6534914361001345</v>
      </c>
      <c r="AZ159" s="449">
        <f t="shared" si="582"/>
        <v>9.8094565984474293</v>
      </c>
      <c r="BA159" s="449"/>
      <c r="BB159" s="449">
        <f>IF(ISERROR((BB34/AZ34-1)*100),"--",(BB34/AZ34-1)*100)</f>
        <v>-7.5835475578406193</v>
      </c>
      <c r="BC159" s="449">
        <f t="shared" si="582"/>
        <v>15.299026425591089</v>
      </c>
      <c r="BD159" s="449">
        <f t="shared" si="582"/>
        <v>-6.0313630880581837E-2</v>
      </c>
      <c r="BE159" s="449">
        <f t="shared" si="582"/>
        <v>28.968014484007231</v>
      </c>
      <c r="BF159" s="449"/>
      <c r="BG159" s="449">
        <f>IF(ISERROR((BG34/BE34-1)*100),"--",(BG34/BE34-1)*100)</f>
        <v>-14.319138979878332</v>
      </c>
      <c r="BH159" s="449">
        <f t="shared" si="582"/>
        <v>13.653741125068276</v>
      </c>
      <c r="BI159" s="449">
        <f t="shared" si="582"/>
        <v>1.4416146083613635</v>
      </c>
      <c r="BJ159" s="449">
        <f t="shared" si="582"/>
        <v>14.211274277593567</v>
      </c>
      <c r="BK159" s="449"/>
      <c r="BL159" s="449">
        <f>IF(ISERROR((BL34/BJ34-1)*100),"--",(BL34/BJ34-1)*100)</f>
        <v>-12.774782248029858</v>
      </c>
      <c r="BM159" s="449">
        <f t="shared" si="582"/>
        <v>15.216357584403228</v>
      </c>
      <c r="BN159" s="449">
        <f t="shared" si="582"/>
        <v>0.78415187783740237</v>
      </c>
      <c r="BO159" s="449">
        <f t="shared" si="582"/>
        <v>17.485667485667488</v>
      </c>
      <c r="BP159" s="449"/>
      <c r="BQ159" s="449">
        <f>IF(ISERROR((BQ34/BO34-1)*100),"--",(BQ34/BO34-1)*100)</f>
        <v>-18.264203555245729</v>
      </c>
      <c r="BR159" s="449">
        <f t="shared" si="582"/>
        <v>14.968017057569295</v>
      </c>
      <c r="BS159" s="449">
        <f t="shared" si="582"/>
        <v>-5.3412462908011822</v>
      </c>
      <c r="BT159" s="449">
        <f t="shared" si="582"/>
        <v>17.98589341692789</v>
      </c>
      <c r="BU159" s="449"/>
      <c r="BV159" s="449">
        <f>IF(ISERROR((BV34/BT34-1)*100),"--",(BV34/BT34-1)*100)</f>
        <v>12.055795416805037</v>
      </c>
      <c r="BW159" s="449">
        <f t="shared" si="582"/>
        <v>17.397747480735038</v>
      </c>
      <c r="BX159" s="449">
        <f t="shared" si="582"/>
        <v>-3.6354455945468267</v>
      </c>
      <c r="BY159" s="449">
        <f t="shared" si="582"/>
        <v>15.928739848048213</v>
      </c>
      <c r="BZ159" s="449"/>
      <c r="CA159" s="449">
        <f>IF(ISERROR((CA34/BY34-1)*100),"--",(CA34/BY34-1)*100)</f>
        <v>-18.937853107344637</v>
      </c>
      <c r="CB159" s="449">
        <f t="shared" si="582"/>
        <v>21.103986618344027</v>
      </c>
      <c r="CC159" s="449">
        <f t="shared" si="582"/>
        <v>-8.816758747697973</v>
      </c>
      <c r="CD159" s="449">
        <f t="shared" si="582"/>
        <v>18.101489522847757</v>
      </c>
      <c r="CE159" s="449"/>
      <c r="CF159" s="449">
        <f>IF(ISERROR((CF34/CD34-1)*100),"--",(CF34/CD34-1)*100)</f>
        <v>-19.752030782385631</v>
      </c>
      <c r="CG159" s="449">
        <f t="shared" ref="CG159:CN159" si="583">IF(ISERROR((CG34/CF34-1)*100),"--",(CG34/CF34-1)*100)</f>
        <v>10.468833244539155</v>
      </c>
      <c r="CH159" s="449">
        <f t="shared" si="583"/>
        <v>0.31347962382444194</v>
      </c>
      <c r="CI159" s="449">
        <f t="shared" si="583"/>
        <v>20.336538461538467</v>
      </c>
      <c r="CJ159" s="449"/>
      <c r="CK159" s="449">
        <f>IF(ISERROR((CK34/CI34-1)*100),"--",(CK34/CI34-1)*100)</f>
        <v>-18.477826608070313</v>
      </c>
      <c r="CL159" s="449">
        <f t="shared" si="583"/>
        <v>21.073266356285213</v>
      </c>
      <c r="CM159" s="449">
        <f t="shared" si="583"/>
        <v>-7.1645415907711012</v>
      </c>
      <c r="CN159" s="449">
        <f t="shared" si="583"/>
        <v>18.639633747547425</v>
      </c>
      <c r="CO159" s="449"/>
      <c r="CP159" s="449">
        <f>IF(ISERROR((CP34/CN34-1)*100),"--",(CP34/CN34-1)*100)</f>
        <v>-14.718853362734286</v>
      </c>
      <c r="CQ159" s="449">
        <f t="shared" ref="CQ159:CX159" si="584">IF(ISERROR((CQ34/CP34-1)*100),"--",(CQ34/CP34-1)*100)</f>
        <v>17.43158801982332</v>
      </c>
      <c r="CR159" s="449">
        <f t="shared" si="584"/>
        <v>1.192660550458724</v>
      </c>
      <c r="CS159" s="449">
        <f t="shared" si="584"/>
        <v>11.423390752493191</v>
      </c>
      <c r="CT159" s="449"/>
      <c r="CU159" s="449">
        <f>IF(ISERROR((CU34/CS34-1)*100),"--",(CU34/CS34-1)*100)</f>
        <v>-14.759967453213996</v>
      </c>
      <c r="CV159" s="449">
        <f t="shared" si="584"/>
        <v>21.09583810614739</v>
      </c>
      <c r="CW159" s="449">
        <f t="shared" si="584"/>
        <v>-3.6102790477691937</v>
      </c>
      <c r="CX159" s="449">
        <f t="shared" si="584"/>
        <v>19.185475956820408</v>
      </c>
      <c r="CY159" s="449"/>
      <c r="CZ159" s="449"/>
      <c r="DA159" s="449"/>
      <c r="DB159" s="449"/>
      <c r="DC159" s="450"/>
      <c r="DD159" s="449"/>
      <c r="DE159" s="449"/>
      <c r="DF159" s="449"/>
      <c r="DG159" s="449"/>
      <c r="DH159" s="450"/>
      <c r="DI159" s="449"/>
      <c r="DJ159" s="450"/>
      <c r="DK159" s="450"/>
      <c r="DL159" s="450"/>
      <c r="DM159" s="450"/>
      <c r="DN159" s="449"/>
      <c r="DO159" s="449"/>
      <c r="DP159" s="450"/>
      <c r="DQ159" s="450"/>
      <c r="DR159" s="450"/>
      <c r="DS159" s="450"/>
      <c r="DT159" s="450"/>
      <c r="DU159" s="450"/>
      <c r="DV159" s="450"/>
      <c r="DW159" s="450"/>
      <c r="DX159" s="450"/>
      <c r="DY159" s="450"/>
      <c r="DZ159" s="450"/>
      <c r="EA159" s="449"/>
      <c r="EB159" s="450"/>
      <c r="EC159" s="449"/>
      <c r="ED159" s="450"/>
      <c r="EE159" s="450"/>
      <c r="EF159" s="450"/>
      <c r="EG159" s="450"/>
      <c r="EH159" s="449"/>
      <c r="EI159" s="2761"/>
      <c r="EJ159" s="2761"/>
      <c r="EK159" s="2761"/>
      <c r="EL159" s="2761"/>
      <c r="EM159" s="2762"/>
      <c r="EN159" s="2761"/>
      <c r="EO159" s="2761"/>
      <c r="EP159" s="2762"/>
      <c r="EQ159" s="2762"/>
      <c r="ER159" s="2762"/>
      <c r="ES159" s="449"/>
      <c r="ET159" s="2761"/>
      <c r="EU159" s="449"/>
      <c r="EV159" s="449"/>
      <c r="EW159" s="449"/>
      <c r="EX159" s="449"/>
      <c r="EY159" s="449"/>
      <c r="EZ159" s="449"/>
      <c r="FA159" s="449"/>
      <c r="FB159" s="449"/>
      <c r="FC159" s="449"/>
      <c r="FD159" s="449"/>
      <c r="FE159" s="449"/>
      <c r="FF159" s="449"/>
      <c r="FG159" s="449"/>
      <c r="FH159" s="449"/>
      <c r="FI159" s="449"/>
      <c r="FJ159" s="449"/>
      <c r="FK159" s="449"/>
      <c r="FL159" s="449"/>
      <c r="FN159" s="449" t="s">
        <v>699</v>
      </c>
      <c r="FO159" s="449" t="s">
        <v>699</v>
      </c>
      <c r="FP159" s="449" t="s">
        <v>699</v>
      </c>
      <c r="FQ159" s="449" t="s">
        <v>699</v>
      </c>
      <c r="FR159" s="449" t="s">
        <v>699</v>
      </c>
      <c r="FS159" s="449" t="s">
        <v>699</v>
      </c>
      <c r="FT159" s="449" t="s">
        <v>699</v>
      </c>
      <c r="FU159" s="449" t="s">
        <v>699</v>
      </c>
      <c r="FV159" s="449" t="s">
        <v>699</v>
      </c>
      <c r="FW159" s="449" t="s">
        <v>699</v>
      </c>
      <c r="FX159" s="886" t="s">
        <v>699</v>
      </c>
      <c r="FY159" s="886" t="s">
        <v>699</v>
      </c>
      <c r="FZ159" s="886"/>
      <c r="GA159" s="886"/>
      <c r="GB159" s="886"/>
      <c r="GC159" s="886"/>
      <c r="GD159" s="886"/>
      <c r="GE159" s="886"/>
      <c r="GF159" s="886"/>
      <c r="GG159" s="886"/>
      <c r="GH159" s="886"/>
      <c r="GI159" s="886"/>
      <c r="GJ159" s="2668"/>
      <c r="GK159" s="2668"/>
      <c r="GL159" s="2668"/>
      <c r="GN159"/>
      <c r="GO159"/>
      <c r="GP159"/>
      <c r="GQ159"/>
      <c r="GR159"/>
      <c r="GS159"/>
    </row>
    <row r="160" spans="1:201" s="264" customFormat="1" ht="11.25" hidden="1" customHeight="1" outlineLevel="1">
      <c r="A160" s="323" t="s">
        <v>660</v>
      </c>
      <c r="B160" s="253"/>
      <c r="C160" s="253"/>
      <c r="D160" s="446"/>
      <c r="E160" s="449" t="str">
        <f>IF(ISERROR((#REF!/#REF!-1)*100),"--",(#REF!/#REF!-1)*100)</f>
        <v>--</v>
      </c>
      <c r="F160" s="449" t="str">
        <f>IF(ISERROR((#REF!/#REF!-1)*100),"--",(#REF!/#REF!-1)*100)</f>
        <v>--</v>
      </c>
      <c r="G160" s="449" t="str">
        <f>IF(ISERROR((#REF!/#REF!-1)*100),"--",(#REF!/#REF!-1)*100)</f>
        <v>--</v>
      </c>
      <c r="H160" s="449"/>
      <c r="I160" s="449" t="str">
        <f>IF(ISERROR((#REF!/#REF!-1)*100),"--",(#REF!/#REF!-1)*100)</f>
        <v>--</v>
      </c>
      <c r="J160" s="449" t="str">
        <f>IF(ISERROR((#REF!/#REF!-1)*100),"--",(#REF!/#REF!-1)*100)</f>
        <v>--</v>
      </c>
      <c r="K160" s="449" t="str">
        <f>IF(ISERROR((#REF!/#REF!-1)*100),"--",(#REF!/#REF!-1)*100)</f>
        <v>--</v>
      </c>
      <c r="L160" s="449" t="str">
        <f>IF(ISERROR((#REF!/#REF!-1)*100),"--",(#REF!/#REF!-1)*100)</f>
        <v>--</v>
      </c>
      <c r="M160" s="449"/>
      <c r="N160" s="449" t="str">
        <f>IF(ISERROR((#REF!/#REF!-1)*100),"--",(#REF!/#REF!-1)*100)</f>
        <v>--</v>
      </c>
      <c r="O160" s="449" t="str">
        <f>IF(ISERROR((#REF!/#REF!-1)*100),"--",(#REF!/#REF!-1)*100)</f>
        <v>--</v>
      </c>
      <c r="P160" s="449" t="str">
        <f>IF(ISERROR((#REF!/#REF!-1)*100),"--",(#REF!/#REF!-1)*100)</f>
        <v>--</v>
      </c>
      <c r="Q160" s="449" t="str">
        <f>IF(ISERROR((#REF!/#REF!-1)*100),"--",(#REF!/#REF!-1)*100)</f>
        <v>--</v>
      </c>
      <c r="R160" s="449"/>
      <c r="S160" s="449" t="str">
        <f>IF(ISERROR((#REF!/#REF!-1)*100),"--",(#REF!/#REF!-1)*100)</f>
        <v>--</v>
      </c>
      <c r="T160" s="449" t="str">
        <f>IF(ISERROR((#REF!/#REF!-1)*100),"--",(#REF!/#REF!-1)*100)</f>
        <v>--</v>
      </c>
      <c r="U160" s="449" t="str">
        <f>IF(ISERROR((#REF!/#REF!-1)*100),"--",(#REF!/#REF!-1)*100)</f>
        <v>--</v>
      </c>
      <c r="V160" s="449" t="str">
        <f>IF(ISERROR((#REF!/#REF!-1)*100),"--",(#REF!/#REF!-1)*100)</f>
        <v>--</v>
      </c>
      <c r="W160" s="449"/>
      <c r="X160" s="449" t="str">
        <f>IF(ISERROR((#REF!/#REF!-1)*100),"--",(#REF!/#REF!-1)*100)</f>
        <v>--</v>
      </c>
      <c r="Y160" s="449" t="str">
        <f>IF(ISERROR((#REF!/#REF!-1)*100),"--",(#REF!/#REF!-1)*100)</f>
        <v>--</v>
      </c>
      <c r="Z160" s="449" t="str">
        <f>IF(ISERROR((#REF!/#REF!-1)*100),"--",(#REF!/#REF!-1)*100)</f>
        <v>--</v>
      </c>
      <c r="AA160" s="449" t="str">
        <f>IF(ISERROR((#REF!/#REF!-1)*100),"--",(#REF!/#REF!-1)*100)</f>
        <v>--</v>
      </c>
      <c r="AB160" s="449"/>
      <c r="AC160" s="449" t="str">
        <f>IF(ISERROR((#REF!/#REF!-1)*100),"--",(#REF!/#REF!-1)*100)</f>
        <v>--</v>
      </c>
      <c r="AD160" s="449" t="str">
        <f>IF(ISERROR((#REF!/#REF!-1)*100),"--",(#REF!/#REF!-1)*100)</f>
        <v>--</v>
      </c>
      <c r="AE160" s="449" t="str">
        <f>IF(ISERROR((#REF!/#REF!-1)*100),"--",(#REF!/#REF!-1)*100)</f>
        <v>--</v>
      </c>
      <c r="AF160" s="449" t="str">
        <f>IF(ISERROR((#REF!/#REF!-1)*100),"--",(#REF!/#REF!-1)*100)</f>
        <v>--</v>
      </c>
      <c r="AG160" s="449"/>
      <c r="AH160" s="449" t="str">
        <f>IF(ISERROR((#REF!/#REF!-1)*100),"--",(#REF!/#REF!-1)*100)</f>
        <v>--</v>
      </c>
      <c r="AI160" s="449" t="str">
        <f>IF(ISERROR((#REF!/#REF!-1)*100),"--",(#REF!/#REF!-1)*100)</f>
        <v>--</v>
      </c>
      <c r="AJ160" s="449" t="str">
        <f>IF(ISERROR((#REF!/#REF!-1)*100),"--",(#REF!/#REF!-1)*100)</f>
        <v>--</v>
      </c>
      <c r="AK160" s="449" t="str">
        <f>IF(ISERROR((#REF!/#REF!-1)*100),"--",(#REF!/#REF!-1)*100)</f>
        <v>--</v>
      </c>
      <c r="AL160" s="449"/>
      <c r="AM160" s="449" t="str">
        <f>IF(ISERROR((#REF!/#REF!-1)*100),"--",(#REF!/#REF!-1)*100)</f>
        <v>--</v>
      </c>
      <c r="AN160" s="449" t="str">
        <f>IF(ISERROR((#REF!/#REF!-1)*100),"--",(#REF!/#REF!-1)*100)</f>
        <v>--</v>
      </c>
      <c r="AO160" s="449" t="str">
        <f>IF(ISERROR((#REF!/#REF!-1)*100),"--",(#REF!/#REF!-1)*100)</f>
        <v>--</v>
      </c>
      <c r="AP160" s="449" t="str">
        <f>IF(ISERROR((#REF!/#REF!-1)*100),"--",(#REF!/#REF!-1)*100)</f>
        <v>--</v>
      </c>
      <c r="AQ160" s="449"/>
      <c r="AR160" s="449" t="str">
        <f>IF(ISERROR((#REF!/#REF!-1)*100),"--",(#REF!/#REF!-1)*100)</f>
        <v>--</v>
      </c>
      <c r="AS160" s="449" t="str">
        <f>IF(ISERROR((#REF!/#REF!-1)*100),"--",(#REF!/#REF!-1)*100)</f>
        <v>--</v>
      </c>
      <c r="AT160" s="449" t="str">
        <f>IF(ISERROR((#REF!/#REF!-1)*100),"--",(#REF!/#REF!-1)*100)</f>
        <v>--</v>
      </c>
      <c r="AU160" s="449" t="str">
        <f>IF(ISERROR((#REF!/#REF!-1)*100),"--",(#REF!/#REF!-1)*100)</f>
        <v>--</v>
      </c>
      <c r="AV160" s="449"/>
      <c r="AW160" s="449" t="str">
        <f>IF(ISERROR((#REF!/#REF!-1)*100),"--",(#REF!/#REF!-1)*100)</f>
        <v>--</v>
      </c>
      <c r="AX160" s="449" t="str">
        <f>IF(ISERROR((#REF!/#REF!-1)*100),"--",(#REF!/#REF!-1)*100)</f>
        <v>--</v>
      </c>
      <c r="AY160" s="449" t="str">
        <f>IF(ISERROR((#REF!/#REF!-1)*100),"--",(#REF!/#REF!-1)*100)</f>
        <v>--</v>
      </c>
      <c r="AZ160" s="449" t="str">
        <f>IF(ISERROR((#REF!/#REF!-1)*100),"--",(#REF!/#REF!-1)*100)</f>
        <v>--</v>
      </c>
      <c r="BA160" s="449"/>
      <c r="BB160" s="449" t="str">
        <f>IF(ISERROR((#REF!/#REF!-1)*100),"--",(#REF!/#REF!-1)*100)</f>
        <v>--</v>
      </c>
      <c r="BC160" s="449" t="str">
        <f>IF(ISERROR((#REF!/#REF!-1)*100),"--",(#REF!/#REF!-1)*100)</f>
        <v>--</v>
      </c>
      <c r="BD160" s="449" t="str">
        <f>IF(ISERROR((#REF!/#REF!-1)*100),"--",(#REF!/#REF!-1)*100)</f>
        <v>--</v>
      </c>
      <c r="BE160" s="449" t="str">
        <f>IF(ISERROR((#REF!/#REF!-1)*100),"--",(#REF!/#REF!-1)*100)</f>
        <v>--</v>
      </c>
      <c r="BF160" s="449"/>
      <c r="BG160" s="449" t="str">
        <f>IF(ISERROR((#REF!/#REF!-1)*100),"--",(#REF!/#REF!-1)*100)</f>
        <v>--</v>
      </c>
      <c r="BH160" s="449" t="str">
        <f>IF(ISERROR((#REF!/#REF!-1)*100),"--",(#REF!/#REF!-1)*100)</f>
        <v>--</v>
      </c>
      <c r="BI160" s="449" t="str">
        <f>IF(ISERROR((#REF!/#REF!-1)*100),"--",(#REF!/#REF!-1)*100)</f>
        <v>--</v>
      </c>
      <c r="BJ160" s="449" t="str">
        <f>IF(ISERROR((#REF!/#REF!-1)*100),"--",(#REF!/#REF!-1)*100)</f>
        <v>--</v>
      </c>
      <c r="BK160" s="449"/>
      <c r="BL160" s="449" t="str">
        <f>IF(ISERROR((#REF!/#REF!-1)*100),"--",(#REF!/#REF!-1)*100)</f>
        <v>--</v>
      </c>
      <c r="BM160" s="449" t="str">
        <f>IF(ISERROR((#REF!/#REF!-1)*100),"--",(#REF!/#REF!-1)*100)</f>
        <v>--</v>
      </c>
      <c r="BN160" s="449" t="str">
        <f>IF(ISERROR((#REF!/#REF!-1)*100),"--",(#REF!/#REF!-1)*100)</f>
        <v>--</v>
      </c>
      <c r="BO160" s="449" t="str">
        <f>IF(ISERROR((#REF!/#REF!-1)*100),"--",(#REF!/#REF!-1)*100)</f>
        <v>--</v>
      </c>
      <c r="BP160" s="449"/>
      <c r="BQ160" s="449" t="str">
        <f>IF(ISERROR((#REF!/#REF!-1)*100),"--",(#REF!/#REF!-1)*100)</f>
        <v>--</v>
      </c>
      <c r="BR160" s="449" t="str">
        <f>IF(ISERROR((#REF!/#REF!-1)*100),"--",(#REF!/#REF!-1)*100)</f>
        <v>--</v>
      </c>
      <c r="BS160" s="449" t="str">
        <f>IF(ISERROR((#REF!/#REF!-1)*100),"--",(#REF!/#REF!-1)*100)</f>
        <v>--</v>
      </c>
      <c r="BT160" s="449" t="str">
        <f>IF(ISERROR((#REF!/#REF!-1)*100),"--",(#REF!/#REF!-1)*100)</f>
        <v>--</v>
      </c>
      <c r="BU160" s="449"/>
      <c r="BV160" s="449" t="str">
        <f>IF(ISERROR((#REF!/#REF!-1)*100),"--",(#REF!/#REF!-1)*100)</f>
        <v>--</v>
      </c>
      <c r="BW160" s="449" t="str">
        <f>IF(ISERROR((#REF!/#REF!-1)*100),"--",(#REF!/#REF!-1)*100)</f>
        <v>--</v>
      </c>
      <c r="BX160" s="449" t="str">
        <f>IF(ISERROR((#REF!/#REF!-1)*100),"--",(#REF!/#REF!-1)*100)</f>
        <v>--</v>
      </c>
      <c r="BY160" s="449" t="str">
        <f>IF(ISERROR((#REF!/#REF!-1)*100),"--",(#REF!/#REF!-1)*100)</f>
        <v>--</v>
      </c>
      <c r="BZ160" s="449"/>
      <c r="CA160" s="449" t="str">
        <f>IF(ISERROR((#REF!/#REF!-1)*100),"--",(#REF!/#REF!-1)*100)</f>
        <v>--</v>
      </c>
      <c r="CB160" s="449" t="str">
        <f>IF(ISERROR((#REF!/#REF!-1)*100),"--",(#REF!/#REF!-1)*100)</f>
        <v>--</v>
      </c>
      <c r="CC160" s="449" t="str">
        <f>IF(ISERROR((#REF!/#REF!-1)*100),"--",(#REF!/#REF!-1)*100)</f>
        <v>--</v>
      </c>
      <c r="CD160" s="449" t="str">
        <f>IF(ISERROR((#REF!/#REF!-1)*100),"--",(#REF!/#REF!-1)*100)</f>
        <v>--</v>
      </c>
      <c r="CE160" s="449"/>
      <c r="CF160" s="449" t="str">
        <f>IF(ISERROR((#REF!/#REF!-1)*100),"--",(#REF!/#REF!-1)*100)</f>
        <v>--</v>
      </c>
      <c r="CG160" s="449" t="str">
        <f>IF(ISERROR((#REF!/#REF!-1)*100),"--",(#REF!/#REF!-1)*100)</f>
        <v>--</v>
      </c>
      <c r="CH160" s="449" t="str">
        <f>IF(ISERROR((#REF!/#REF!-1)*100),"--",(#REF!/#REF!-1)*100)</f>
        <v>--</v>
      </c>
      <c r="CI160" s="449" t="str">
        <f>IF(ISERROR((#REF!/#REF!-1)*100),"--",(#REF!/#REF!-1)*100)</f>
        <v>--</v>
      </c>
      <c r="CJ160" s="449"/>
      <c r="CK160" s="449" t="str">
        <f>IF(ISERROR((#REF!/#REF!-1)*100),"--",(#REF!/#REF!-1)*100)</f>
        <v>--</v>
      </c>
      <c r="CL160" s="449" t="str">
        <f>IF(ISERROR((#REF!/#REF!-1)*100),"--",(#REF!/#REF!-1)*100)</f>
        <v>--</v>
      </c>
      <c r="CM160" s="449" t="str">
        <f>IF(ISERROR((#REF!/#REF!-1)*100),"--",(#REF!/#REF!-1)*100)</f>
        <v>--</v>
      </c>
      <c r="CN160" s="449" t="str">
        <f>IF(ISERROR((#REF!/#REF!-1)*100),"--",(#REF!/#REF!-1)*100)</f>
        <v>--</v>
      </c>
      <c r="CO160" s="449"/>
      <c r="CP160" s="449" t="str">
        <f>IF(ISERROR((#REF!/#REF!-1)*100),"--",(#REF!/#REF!-1)*100)</f>
        <v>--</v>
      </c>
      <c r="CQ160" s="449" t="str">
        <f>IF(ISERROR((#REF!/#REF!-1)*100),"--",(#REF!/#REF!-1)*100)</f>
        <v>--</v>
      </c>
      <c r="CR160" s="449" t="str">
        <f>IF(ISERROR((#REF!/#REF!-1)*100),"--",(#REF!/#REF!-1)*100)</f>
        <v>--</v>
      </c>
      <c r="CS160" s="449" t="str">
        <f>IF(ISERROR((#REF!/#REF!-1)*100),"--",(#REF!/#REF!-1)*100)</f>
        <v>--</v>
      </c>
      <c r="CT160" s="449"/>
      <c r="CU160" s="449" t="str">
        <f>IF(ISERROR((#REF!/#REF!-1)*100),"--",(#REF!/#REF!-1)*100)</f>
        <v>--</v>
      </c>
      <c r="CV160" s="449" t="str">
        <f>IF(ISERROR((#REF!/#REF!-1)*100),"--",(#REF!/#REF!-1)*100)</f>
        <v>--</v>
      </c>
      <c r="CW160" s="449" t="str">
        <f>IF(ISERROR((#REF!/#REF!-1)*100),"--",(#REF!/#REF!-1)*100)</f>
        <v>--</v>
      </c>
      <c r="CX160" s="449" t="str">
        <f>IF(ISERROR((#REF!/#REF!-1)*100),"--",(#REF!/#REF!-1)*100)</f>
        <v>--</v>
      </c>
      <c r="CY160" s="449"/>
      <c r="CZ160" s="449"/>
      <c r="DA160" s="449"/>
      <c r="DB160" s="449"/>
      <c r="DC160" s="450"/>
      <c r="DD160" s="449"/>
      <c r="DE160" s="449"/>
      <c r="DF160" s="449"/>
      <c r="DG160" s="449"/>
      <c r="DH160" s="450"/>
      <c r="DI160" s="449"/>
      <c r="DJ160" s="450"/>
      <c r="DK160" s="450"/>
      <c r="DL160" s="450"/>
      <c r="DM160" s="450"/>
      <c r="DN160" s="449"/>
      <c r="DO160" s="449"/>
      <c r="DP160" s="450"/>
      <c r="DQ160" s="450"/>
      <c r="DR160" s="450"/>
      <c r="DS160" s="450"/>
      <c r="DT160" s="450"/>
      <c r="DU160" s="450"/>
      <c r="DV160" s="450"/>
      <c r="DW160" s="450"/>
      <c r="DX160" s="450"/>
      <c r="DY160" s="450"/>
      <c r="DZ160" s="450"/>
      <c r="EA160" s="449"/>
      <c r="EB160" s="450"/>
      <c r="EC160" s="449"/>
      <c r="ED160" s="450"/>
      <c r="EE160" s="450"/>
      <c r="EF160" s="450"/>
      <c r="EG160" s="450"/>
      <c r="EH160" s="449"/>
      <c r="EI160" s="2761"/>
      <c r="EJ160" s="2761"/>
      <c r="EK160" s="2761"/>
      <c r="EL160" s="2761"/>
      <c r="EM160" s="2762"/>
      <c r="EN160" s="2761"/>
      <c r="EO160" s="2761"/>
      <c r="EP160" s="2762"/>
      <c r="EQ160" s="2762"/>
      <c r="ER160" s="2762"/>
      <c r="ES160" s="449"/>
      <c r="ET160" s="2761"/>
      <c r="EU160" s="449"/>
      <c r="EV160" s="449"/>
      <c r="EW160" s="449"/>
      <c r="EX160" s="449"/>
      <c r="EY160" s="449"/>
      <c r="EZ160" s="449"/>
      <c r="FA160" s="449"/>
      <c r="FB160" s="449"/>
      <c r="FC160" s="449"/>
      <c r="FD160" s="449"/>
      <c r="FE160" s="449"/>
      <c r="FF160" s="449"/>
      <c r="FG160" s="449"/>
      <c r="FH160" s="449"/>
      <c r="FI160" s="449"/>
      <c r="FJ160" s="449"/>
      <c r="FK160" s="449"/>
      <c r="FL160" s="449"/>
      <c r="FN160" s="449" t="str">
        <f>IF(ISERROR((#REF!/#REF!-1)*100),"--",(#REF!/#REF!-1)*100)</f>
        <v>--</v>
      </c>
      <c r="FO160" s="449" t="str">
        <f>IF(ISERROR((#REF!/#REF!-1)*100),"--",(#REF!/#REF!-1)*100)</f>
        <v>--</v>
      </c>
      <c r="FP160" s="449" t="str">
        <f>IF(ISERROR((#REF!/#REF!-1)*100),"--",(#REF!/#REF!-1)*100)</f>
        <v>--</v>
      </c>
      <c r="FQ160" s="449" t="str">
        <f>IF(ISERROR((#REF!/#REF!-1)*100),"--",(#REF!/#REF!-1)*100)</f>
        <v>--</v>
      </c>
      <c r="FR160" s="449" t="str">
        <f>IF(ISERROR((#REF!/#REF!-1)*100),"--",(#REF!/#REF!-1)*100)</f>
        <v>--</v>
      </c>
      <c r="FS160" s="449" t="str">
        <f>IF(ISERROR((#REF!/#REF!-1)*100),"--",(#REF!/#REF!-1)*100)</f>
        <v>--</v>
      </c>
      <c r="FT160" s="449" t="str">
        <f>IF(ISERROR((#REF!/#REF!-1)*100),"--",(#REF!/#REF!-1)*100)</f>
        <v>--</v>
      </c>
      <c r="FU160" s="449" t="str">
        <f>IF(ISERROR((#REF!/#REF!-1)*100),"--",(#REF!/#REF!-1)*100)</f>
        <v>--</v>
      </c>
      <c r="FV160" s="449" t="str">
        <f>IF(ISERROR((#REF!/#REF!-1)*100),"--",(#REF!/#REF!-1)*100)</f>
        <v>--</v>
      </c>
      <c r="FW160" s="449" t="str">
        <f>IF(ISERROR((#REF!/#REF!-1)*100),"--",(#REF!/#REF!-1)*100)</f>
        <v>--</v>
      </c>
      <c r="FX160" s="886" t="str">
        <f>IF(ISERROR((#REF!/#REF!-1)*100),"--",(#REF!/#REF!-1)*100)</f>
        <v>--</v>
      </c>
      <c r="FY160" s="886" t="str">
        <f>IF(ISERROR((#REF!/#REF!-1)*100),"--",(#REF!/#REF!-1)*100)</f>
        <v>--</v>
      </c>
      <c r="FZ160" s="886"/>
      <c r="GA160" s="886"/>
      <c r="GB160" s="886"/>
      <c r="GC160" s="886"/>
      <c r="GD160" s="886"/>
      <c r="GE160" s="886"/>
      <c r="GF160" s="886"/>
      <c r="GG160" s="886"/>
      <c r="GH160" s="886"/>
      <c r="GI160" s="886"/>
      <c r="GJ160" s="2668"/>
      <c r="GK160" s="2668"/>
      <c r="GL160" s="2668"/>
      <c r="GN160"/>
      <c r="GO160"/>
      <c r="GP160"/>
      <c r="GQ160"/>
      <c r="GR160"/>
      <c r="GS160"/>
    </row>
    <row r="161" spans="1:201" s="264" customFormat="1" ht="11.25" hidden="1" customHeight="1" outlineLevel="1">
      <c r="A161" s="323" t="s">
        <v>661</v>
      </c>
      <c r="B161" s="253"/>
      <c r="C161" s="253"/>
      <c r="D161" s="446" t="str">
        <f>IF(ISERROR((#REF!/#REF!-1)*100),"--",(#REF!/#REF!-1)*100)</f>
        <v>--</v>
      </c>
      <c r="E161" s="449" t="str">
        <f>IF(ISERROR((#REF!/#REF!-1)*100),"--",(#REF!/#REF!-1)*100)</f>
        <v>--</v>
      </c>
      <c r="F161" s="449" t="str">
        <f>IF(ISERROR((#REF!/#REF!-1)*100),"--",(#REF!/#REF!-1)*100)</f>
        <v>--</v>
      </c>
      <c r="G161" s="449" t="str">
        <f>IF(ISERROR((#REF!/#REF!-1)*100),"--",(#REF!/#REF!-1)*100)</f>
        <v>--</v>
      </c>
      <c r="H161" s="449"/>
      <c r="I161" s="449" t="str">
        <f>IF(ISERROR((#REF!/#REF!-1)*100),"--",(#REF!/#REF!-1)*100)</f>
        <v>--</v>
      </c>
      <c r="J161" s="449" t="str">
        <f>IF(ISERROR((#REF!/#REF!-1)*100),"--",(#REF!/#REF!-1)*100)</f>
        <v>--</v>
      </c>
      <c r="K161" s="449" t="str">
        <f>IF(ISERROR((#REF!/#REF!-1)*100),"--",(#REF!/#REF!-1)*100)</f>
        <v>--</v>
      </c>
      <c r="L161" s="449" t="str">
        <f>IF(ISERROR((#REF!/#REF!-1)*100),"--",(#REF!/#REF!-1)*100)</f>
        <v>--</v>
      </c>
      <c r="M161" s="449"/>
      <c r="N161" s="449" t="str">
        <f>IF(ISERROR((#REF!/#REF!-1)*100),"--",(#REF!/#REF!-1)*100)</f>
        <v>--</v>
      </c>
      <c r="O161" s="449" t="str">
        <f>IF(ISERROR((#REF!/#REF!-1)*100),"--",(#REF!/#REF!-1)*100)</f>
        <v>--</v>
      </c>
      <c r="P161" s="449" t="str">
        <f>IF(ISERROR((#REF!/#REF!-1)*100),"--",(#REF!/#REF!-1)*100)</f>
        <v>--</v>
      </c>
      <c r="Q161" s="449" t="str">
        <f>IF(ISERROR((#REF!/#REF!-1)*100),"--",(#REF!/#REF!-1)*100)</f>
        <v>--</v>
      </c>
      <c r="R161" s="449"/>
      <c r="S161" s="449" t="str">
        <f>IF(ISERROR((#REF!/#REF!-1)*100),"--",(#REF!/#REF!-1)*100)</f>
        <v>--</v>
      </c>
      <c r="T161" s="449" t="str">
        <f>IF(ISERROR((#REF!/#REF!-1)*100),"--",(#REF!/#REF!-1)*100)</f>
        <v>--</v>
      </c>
      <c r="U161" s="449" t="str">
        <f>IF(ISERROR((#REF!/#REF!-1)*100),"--",(#REF!/#REF!-1)*100)</f>
        <v>--</v>
      </c>
      <c r="V161" s="449" t="str">
        <f>IF(ISERROR((#REF!/#REF!-1)*100),"--",(#REF!/#REF!-1)*100)</f>
        <v>--</v>
      </c>
      <c r="W161" s="449"/>
      <c r="X161" s="449" t="str">
        <f>IF(ISERROR((#REF!/#REF!-1)*100),"--",(#REF!/#REF!-1)*100)</f>
        <v>--</v>
      </c>
      <c r="Y161" s="449" t="str">
        <f>IF(ISERROR((#REF!/#REF!-1)*100),"--",(#REF!/#REF!-1)*100)</f>
        <v>--</v>
      </c>
      <c r="Z161" s="449" t="str">
        <f>IF(ISERROR((#REF!/#REF!-1)*100),"--",(#REF!/#REF!-1)*100)</f>
        <v>--</v>
      </c>
      <c r="AA161" s="449" t="str">
        <f>IF(ISERROR((#REF!/#REF!-1)*100),"--",(#REF!/#REF!-1)*100)</f>
        <v>--</v>
      </c>
      <c r="AB161" s="449"/>
      <c r="AC161" s="449" t="str">
        <f>IF(ISERROR((#REF!/#REF!-1)*100),"--",(#REF!/#REF!-1)*100)</f>
        <v>--</v>
      </c>
      <c r="AD161" s="449" t="str">
        <f>IF(ISERROR((#REF!/#REF!-1)*100),"--",(#REF!/#REF!-1)*100)</f>
        <v>--</v>
      </c>
      <c r="AE161" s="449" t="str">
        <f>IF(ISERROR((#REF!/#REF!-1)*100),"--",(#REF!/#REF!-1)*100)</f>
        <v>--</v>
      </c>
      <c r="AF161" s="449" t="str">
        <f>IF(ISERROR((#REF!/#REF!-1)*100),"--",(#REF!/#REF!-1)*100)</f>
        <v>--</v>
      </c>
      <c r="AG161" s="449"/>
      <c r="AH161" s="449" t="str">
        <f>IF(ISERROR((#REF!/#REF!-1)*100),"--",(#REF!/#REF!-1)*100)</f>
        <v>--</v>
      </c>
      <c r="AI161" s="449" t="str">
        <f>IF(ISERROR((#REF!/#REF!-1)*100),"--",(#REF!/#REF!-1)*100)</f>
        <v>--</v>
      </c>
      <c r="AJ161" s="449" t="str">
        <f>IF(ISERROR((#REF!/#REF!-1)*100),"--",(#REF!/#REF!-1)*100)</f>
        <v>--</v>
      </c>
      <c r="AK161" s="449" t="str">
        <f>IF(ISERROR((#REF!/#REF!-1)*100),"--",(#REF!/#REF!-1)*100)</f>
        <v>--</v>
      </c>
      <c r="AL161" s="449"/>
      <c r="AM161" s="449" t="str">
        <f>IF(ISERROR((#REF!/#REF!-1)*100),"--",(#REF!/#REF!-1)*100)</f>
        <v>--</v>
      </c>
      <c r="AN161" s="449" t="str">
        <f>IF(ISERROR((#REF!/#REF!-1)*100),"--",(#REF!/#REF!-1)*100)</f>
        <v>--</v>
      </c>
      <c r="AO161" s="449" t="str">
        <f>IF(ISERROR((#REF!/#REF!-1)*100),"--",(#REF!/#REF!-1)*100)</f>
        <v>--</v>
      </c>
      <c r="AP161" s="449" t="str">
        <f>IF(ISERROR((#REF!/#REF!-1)*100),"--",(#REF!/#REF!-1)*100)</f>
        <v>--</v>
      </c>
      <c r="AQ161" s="449"/>
      <c r="AR161" s="449" t="str">
        <f>IF(ISERROR((#REF!/#REF!-1)*100),"--",(#REF!/#REF!-1)*100)</f>
        <v>--</v>
      </c>
      <c r="AS161" s="449" t="str">
        <f>IF(ISERROR((#REF!/#REF!-1)*100),"--",(#REF!/#REF!-1)*100)</f>
        <v>--</v>
      </c>
      <c r="AT161" s="449" t="str">
        <f>IF(ISERROR((#REF!/#REF!-1)*100),"--",(#REF!/#REF!-1)*100)</f>
        <v>--</v>
      </c>
      <c r="AU161" s="449" t="str">
        <f>IF(ISERROR((#REF!/#REF!-1)*100),"--",(#REF!/#REF!-1)*100)</f>
        <v>--</v>
      </c>
      <c r="AV161" s="449"/>
      <c r="AW161" s="449" t="str">
        <f>IF(ISERROR((#REF!/#REF!-1)*100),"--",(#REF!/#REF!-1)*100)</f>
        <v>--</v>
      </c>
      <c r="AX161" s="449" t="str">
        <f>IF(ISERROR((#REF!/#REF!-1)*100),"--",(#REF!/#REF!-1)*100)</f>
        <v>--</v>
      </c>
      <c r="AY161" s="449" t="str">
        <f>IF(ISERROR((#REF!/#REF!-1)*100),"--",(#REF!/#REF!-1)*100)</f>
        <v>--</v>
      </c>
      <c r="AZ161" s="449" t="str">
        <f>IF(ISERROR((#REF!/#REF!-1)*100),"--",(#REF!/#REF!-1)*100)</f>
        <v>--</v>
      </c>
      <c r="BA161" s="449"/>
      <c r="BB161" s="449" t="str">
        <f>IF(ISERROR((#REF!/#REF!-1)*100),"--",(#REF!/#REF!-1)*100)</f>
        <v>--</v>
      </c>
      <c r="BC161" s="449" t="str">
        <f>IF(ISERROR((#REF!/#REF!-1)*100),"--",(#REF!/#REF!-1)*100)</f>
        <v>--</v>
      </c>
      <c r="BD161" s="449" t="str">
        <f>IF(ISERROR((#REF!/#REF!-1)*100),"--",(#REF!/#REF!-1)*100)</f>
        <v>--</v>
      </c>
      <c r="BE161" s="449" t="str">
        <f>IF(ISERROR((#REF!/#REF!-1)*100),"--",(#REF!/#REF!-1)*100)</f>
        <v>--</v>
      </c>
      <c r="BF161" s="449"/>
      <c r="BG161" s="449" t="str">
        <f>IF(ISERROR((#REF!/#REF!-1)*100),"--",(#REF!/#REF!-1)*100)</f>
        <v>--</v>
      </c>
      <c r="BH161" s="449" t="str">
        <f>IF(ISERROR((#REF!/#REF!-1)*100),"--",(#REF!/#REF!-1)*100)</f>
        <v>--</v>
      </c>
      <c r="BI161" s="449" t="str">
        <f>IF(ISERROR((#REF!/#REF!-1)*100),"--",(#REF!/#REF!-1)*100)</f>
        <v>--</v>
      </c>
      <c r="BJ161" s="449" t="str">
        <f>IF(ISERROR((#REF!/#REF!-1)*100),"--",(#REF!/#REF!-1)*100)</f>
        <v>--</v>
      </c>
      <c r="BK161" s="449"/>
      <c r="BL161" s="449" t="str">
        <f>IF(ISERROR((#REF!/#REF!-1)*100),"--",(#REF!/#REF!-1)*100)</f>
        <v>--</v>
      </c>
      <c r="BM161" s="449" t="str">
        <f>IF(ISERROR((#REF!/#REF!-1)*100),"--",(#REF!/#REF!-1)*100)</f>
        <v>--</v>
      </c>
      <c r="BN161" s="449" t="str">
        <f>IF(ISERROR((#REF!/#REF!-1)*100),"--",(#REF!/#REF!-1)*100)</f>
        <v>--</v>
      </c>
      <c r="BO161" s="449" t="str">
        <f>IF(ISERROR((#REF!/#REF!-1)*100),"--",(#REF!/#REF!-1)*100)</f>
        <v>--</v>
      </c>
      <c r="BP161" s="449"/>
      <c r="BQ161" s="449" t="str">
        <f>IF(ISERROR((#REF!/#REF!-1)*100),"--",(#REF!/#REF!-1)*100)</f>
        <v>--</v>
      </c>
      <c r="BR161" s="449" t="str">
        <f>IF(ISERROR((#REF!/#REF!-1)*100),"--",(#REF!/#REF!-1)*100)</f>
        <v>--</v>
      </c>
      <c r="BS161" s="449" t="str">
        <f>IF(ISERROR((#REF!/#REF!-1)*100),"--",(#REF!/#REF!-1)*100)</f>
        <v>--</v>
      </c>
      <c r="BT161" s="449" t="str">
        <f>IF(ISERROR((#REF!/#REF!-1)*100),"--",(#REF!/#REF!-1)*100)</f>
        <v>--</v>
      </c>
      <c r="BU161" s="449"/>
      <c r="BV161" s="449" t="str">
        <f>IF(ISERROR((#REF!/#REF!-1)*100),"--",(#REF!/#REF!-1)*100)</f>
        <v>--</v>
      </c>
      <c r="BW161" s="449" t="str">
        <f>IF(ISERROR((#REF!/#REF!-1)*100),"--",(#REF!/#REF!-1)*100)</f>
        <v>--</v>
      </c>
      <c r="BX161" s="449" t="str">
        <f>IF(ISERROR((#REF!/#REF!-1)*100),"--",(#REF!/#REF!-1)*100)</f>
        <v>--</v>
      </c>
      <c r="BY161" s="449" t="str">
        <f>IF(ISERROR((#REF!/#REF!-1)*100),"--",(#REF!/#REF!-1)*100)</f>
        <v>--</v>
      </c>
      <c r="BZ161" s="449"/>
      <c r="CA161" s="449" t="str">
        <f>IF(ISERROR((#REF!/#REF!-1)*100),"--",(#REF!/#REF!-1)*100)</f>
        <v>--</v>
      </c>
      <c r="CB161" s="449" t="str">
        <f>IF(ISERROR((#REF!/#REF!-1)*100),"--",(#REF!/#REF!-1)*100)</f>
        <v>--</v>
      </c>
      <c r="CC161" s="449" t="str">
        <f>IF(ISERROR((#REF!/#REF!-1)*100),"--",(#REF!/#REF!-1)*100)</f>
        <v>--</v>
      </c>
      <c r="CD161" s="449" t="str">
        <f>IF(ISERROR((#REF!/#REF!-1)*100),"--",(#REF!/#REF!-1)*100)</f>
        <v>--</v>
      </c>
      <c r="CE161" s="449"/>
      <c r="CF161" s="449" t="str">
        <f>IF(ISERROR((#REF!/#REF!-1)*100),"--",(#REF!/#REF!-1)*100)</f>
        <v>--</v>
      </c>
      <c r="CG161" s="449" t="str">
        <f>IF(ISERROR((#REF!/#REF!-1)*100),"--",(#REF!/#REF!-1)*100)</f>
        <v>--</v>
      </c>
      <c r="CH161" s="449" t="str">
        <f>IF(ISERROR((#REF!/#REF!-1)*100),"--",(#REF!/#REF!-1)*100)</f>
        <v>--</v>
      </c>
      <c r="CI161" s="449" t="str">
        <f>IF(ISERROR((#REF!/#REF!-1)*100),"--",(#REF!/#REF!-1)*100)</f>
        <v>--</v>
      </c>
      <c r="CJ161" s="449"/>
      <c r="CK161" s="449" t="str">
        <f>IF(ISERROR((#REF!/#REF!-1)*100),"--",(#REF!/#REF!-1)*100)</f>
        <v>--</v>
      </c>
      <c r="CL161" s="449" t="str">
        <f>IF(ISERROR((#REF!/#REF!-1)*100),"--",(#REF!/#REF!-1)*100)</f>
        <v>--</v>
      </c>
      <c r="CM161" s="449" t="str">
        <f>IF(ISERROR((#REF!/#REF!-1)*100),"--",(#REF!/#REF!-1)*100)</f>
        <v>--</v>
      </c>
      <c r="CN161" s="449" t="str">
        <f>IF(ISERROR((#REF!/#REF!-1)*100),"--",(#REF!/#REF!-1)*100)</f>
        <v>--</v>
      </c>
      <c r="CO161" s="449"/>
      <c r="CP161" s="449" t="str">
        <f>IF(ISERROR((#REF!/#REF!-1)*100),"--",(#REF!/#REF!-1)*100)</f>
        <v>--</v>
      </c>
      <c r="CQ161" s="449" t="str">
        <f>IF(ISERROR((#REF!/#REF!-1)*100),"--",(#REF!/#REF!-1)*100)</f>
        <v>--</v>
      </c>
      <c r="CR161" s="449" t="str">
        <f>IF(ISERROR((#REF!/#REF!-1)*100),"--",(#REF!/#REF!-1)*100)</f>
        <v>--</v>
      </c>
      <c r="CS161" s="449" t="str">
        <f>IF(ISERROR((#REF!/#REF!-1)*100),"--",(#REF!/#REF!-1)*100)</f>
        <v>--</v>
      </c>
      <c r="CT161" s="449"/>
      <c r="CU161" s="449" t="str">
        <f>IF(ISERROR((#REF!/#REF!-1)*100),"--",(#REF!/#REF!-1)*100)</f>
        <v>--</v>
      </c>
      <c r="CV161" s="449" t="str">
        <f>IF(ISERROR((#REF!/#REF!-1)*100),"--",(#REF!/#REF!-1)*100)</f>
        <v>--</v>
      </c>
      <c r="CW161" s="449" t="str">
        <f>IF(ISERROR((#REF!/#REF!-1)*100),"--",(#REF!/#REF!-1)*100)</f>
        <v>--</v>
      </c>
      <c r="CX161" s="449" t="str">
        <f>IF(ISERROR((#REF!/#REF!-1)*100),"--",(#REF!/#REF!-1)*100)</f>
        <v>--</v>
      </c>
      <c r="CY161" s="449"/>
      <c r="CZ161" s="449"/>
      <c r="DA161" s="449"/>
      <c r="DB161" s="449"/>
      <c r="DC161" s="450"/>
      <c r="DD161" s="449"/>
      <c r="DE161" s="449"/>
      <c r="DF161" s="449"/>
      <c r="DG161" s="449"/>
      <c r="DH161" s="450"/>
      <c r="DI161" s="449"/>
      <c r="DJ161" s="450"/>
      <c r="DK161" s="450"/>
      <c r="DL161" s="450"/>
      <c r="DM161" s="450"/>
      <c r="DN161" s="449"/>
      <c r="DO161" s="449"/>
      <c r="DP161" s="450"/>
      <c r="DQ161" s="450"/>
      <c r="DR161" s="450"/>
      <c r="DS161" s="450"/>
      <c r="DT161" s="450"/>
      <c r="DU161" s="450"/>
      <c r="DV161" s="450"/>
      <c r="DW161" s="450"/>
      <c r="DX161" s="450"/>
      <c r="DY161" s="450"/>
      <c r="DZ161" s="450"/>
      <c r="EA161" s="449"/>
      <c r="EB161" s="450"/>
      <c r="EC161" s="449"/>
      <c r="ED161" s="450"/>
      <c r="EE161" s="450"/>
      <c r="EF161" s="450"/>
      <c r="EG161" s="450"/>
      <c r="EH161" s="449"/>
      <c r="EI161" s="2761"/>
      <c r="EJ161" s="2761"/>
      <c r="EK161" s="2761"/>
      <c r="EL161" s="2761"/>
      <c r="EM161" s="2762"/>
      <c r="EN161" s="2761"/>
      <c r="EO161" s="2761"/>
      <c r="EP161" s="2762"/>
      <c r="EQ161" s="2762"/>
      <c r="ER161" s="2762"/>
      <c r="ES161" s="449"/>
      <c r="ET161" s="2761"/>
      <c r="EU161" s="449"/>
      <c r="EV161" s="449"/>
      <c r="EW161" s="449"/>
      <c r="EX161" s="449"/>
      <c r="EY161" s="449"/>
      <c r="EZ161" s="449"/>
      <c r="FA161" s="449"/>
      <c r="FB161" s="449"/>
      <c r="FC161" s="449"/>
      <c r="FD161" s="449"/>
      <c r="FE161" s="449"/>
      <c r="FF161" s="449"/>
      <c r="FG161" s="449"/>
      <c r="FH161" s="449"/>
      <c r="FI161" s="449"/>
      <c r="FJ161" s="449"/>
      <c r="FK161" s="449"/>
      <c r="FL161" s="449"/>
      <c r="FN161" s="449" t="s">
        <v>699</v>
      </c>
      <c r="FO161" s="449" t="s">
        <v>699</v>
      </c>
      <c r="FP161" s="449" t="s">
        <v>699</v>
      </c>
      <c r="FQ161" s="449" t="s">
        <v>699</v>
      </c>
      <c r="FR161" s="449" t="s">
        <v>699</v>
      </c>
      <c r="FS161" s="449" t="s">
        <v>699</v>
      </c>
      <c r="FT161" s="449" t="s">
        <v>699</v>
      </c>
      <c r="FU161" s="449" t="s">
        <v>699</v>
      </c>
      <c r="FV161" s="449" t="s">
        <v>699</v>
      </c>
      <c r="FW161" s="449" t="s">
        <v>699</v>
      </c>
      <c r="FX161" s="886" t="s">
        <v>699</v>
      </c>
      <c r="FY161" s="886" t="s">
        <v>699</v>
      </c>
      <c r="FZ161" s="886"/>
      <c r="GA161" s="886"/>
      <c r="GB161" s="886"/>
      <c r="GC161" s="886"/>
      <c r="GD161" s="886"/>
      <c r="GE161" s="886"/>
      <c r="GF161" s="886"/>
      <c r="GG161" s="886"/>
      <c r="GH161" s="886"/>
      <c r="GI161" s="886"/>
      <c r="GJ161" s="2668"/>
      <c r="GK161" s="2668"/>
      <c r="GL161" s="2668"/>
      <c r="GN161"/>
      <c r="GO161"/>
      <c r="GP161"/>
      <c r="GQ161"/>
      <c r="GR161"/>
      <c r="GS161"/>
    </row>
    <row r="162" spans="1:201" s="264" customFormat="1" ht="11.25" hidden="1" customHeight="1" outlineLevel="1">
      <c r="A162" s="323" t="s">
        <v>693</v>
      </c>
      <c r="B162" s="253"/>
      <c r="C162" s="253"/>
      <c r="D162" s="446"/>
      <c r="E162" s="449" t="str">
        <f>IF(ISERROR((#REF!/#REF!-1)*100),"--",(#REF!/#REF!-1)*100)</f>
        <v>--</v>
      </c>
      <c r="F162" s="449" t="str">
        <f>IF(ISERROR((#REF!/#REF!-1)*100),"--",(#REF!/#REF!-1)*100)</f>
        <v>--</v>
      </c>
      <c r="G162" s="449" t="str">
        <f>IF(ISERROR((#REF!/#REF!-1)*100),"--",(#REF!/#REF!-1)*100)</f>
        <v>--</v>
      </c>
      <c r="H162" s="449"/>
      <c r="I162" s="449" t="str">
        <f>IF(ISERROR((#REF!/#REF!-1)*100),"--",(#REF!/#REF!-1)*100)</f>
        <v>--</v>
      </c>
      <c r="J162" s="449" t="str">
        <f>IF(ISERROR((#REF!/#REF!-1)*100),"--",(#REF!/#REF!-1)*100)</f>
        <v>--</v>
      </c>
      <c r="K162" s="449" t="str">
        <f>IF(ISERROR((#REF!/#REF!-1)*100),"--",(#REF!/#REF!-1)*100)</f>
        <v>--</v>
      </c>
      <c r="L162" s="449" t="str">
        <f>IF(ISERROR((#REF!/#REF!-1)*100),"--",(#REF!/#REF!-1)*100)</f>
        <v>--</v>
      </c>
      <c r="M162" s="449"/>
      <c r="N162" s="449" t="str">
        <f>IF(ISERROR((#REF!/#REF!-1)*100),"--",(#REF!/#REF!-1)*100)</f>
        <v>--</v>
      </c>
      <c r="O162" s="449" t="str">
        <f>IF(ISERROR((#REF!/#REF!-1)*100),"--",(#REF!/#REF!-1)*100)</f>
        <v>--</v>
      </c>
      <c r="P162" s="449" t="str">
        <f>IF(ISERROR((#REF!/#REF!-1)*100),"--",(#REF!/#REF!-1)*100)</f>
        <v>--</v>
      </c>
      <c r="Q162" s="449" t="str">
        <f>IF(ISERROR((#REF!/#REF!-1)*100),"--",(#REF!/#REF!-1)*100)</f>
        <v>--</v>
      </c>
      <c r="R162" s="449"/>
      <c r="S162" s="449" t="str">
        <f>IF(ISERROR((#REF!/#REF!-1)*100),"--",(#REF!/#REF!-1)*100)</f>
        <v>--</v>
      </c>
      <c r="T162" s="449" t="str">
        <f>IF(ISERROR((#REF!/#REF!-1)*100),"--",(#REF!/#REF!-1)*100)</f>
        <v>--</v>
      </c>
      <c r="U162" s="449" t="str">
        <f>IF(ISERROR((#REF!/#REF!-1)*100),"--",(#REF!/#REF!-1)*100)</f>
        <v>--</v>
      </c>
      <c r="V162" s="449" t="str">
        <f>IF(ISERROR((#REF!/#REF!-1)*100),"--",(#REF!/#REF!-1)*100)</f>
        <v>--</v>
      </c>
      <c r="W162" s="449"/>
      <c r="X162" s="449" t="str">
        <f>IF(ISERROR((#REF!/#REF!-1)*100),"--",(#REF!/#REF!-1)*100)</f>
        <v>--</v>
      </c>
      <c r="Y162" s="449" t="str">
        <f>IF(ISERROR((#REF!/#REF!-1)*100),"--",(#REF!/#REF!-1)*100)</f>
        <v>--</v>
      </c>
      <c r="Z162" s="449" t="str">
        <f>IF(ISERROR((#REF!/#REF!-1)*100),"--",(#REF!/#REF!-1)*100)</f>
        <v>--</v>
      </c>
      <c r="AA162" s="449" t="str">
        <f>IF(ISERROR((#REF!/#REF!-1)*100),"--",(#REF!/#REF!-1)*100)</f>
        <v>--</v>
      </c>
      <c r="AB162" s="449"/>
      <c r="AC162" s="449" t="str">
        <f>IF(ISERROR((#REF!/#REF!-1)*100),"--",(#REF!/#REF!-1)*100)</f>
        <v>--</v>
      </c>
      <c r="AD162" s="449" t="str">
        <f>IF(ISERROR((#REF!/#REF!-1)*100),"--",(#REF!/#REF!-1)*100)</f>
        <v>--</v>
      </c>
      <c r="AE162" s="449" t="str">
        <f>IF(ISERROR((#REF!/#REF!-1)*100),"--",(#REF!/#REF!-1)*100)</f>
        <v>--</v>
      </c>
      <c r="AF162" s="449" t="str">
        <f>IF(ISERROR((#REF!/#REF!-1)*100),"--",(#REF!/#REF!-1)*100)</f>
        <v>--</v>
      </c>
      <c r="AG162" s="449"/>
      <c r="AH162" s="449" t="str">
        <f>IF(ISERROR((#REF!/#REF!-1)*100),"--",(#REF!/#REF!-1)*100)</f>
        <v>--</v>
      </c>
      <c r="AI162" s="449" t="str">
        <f>IF(ISERROR((#REF!/#REF!-1)*100),"--",(#REF!/#REF!-1)*100)</f>
        <v>--</v>
      </c>
      <c r="AJ162" s="449" t="str">
        <f>IF(ISERROR((#REF!/#REF!-1)*100),"--",(#REF!/#REF!-1)*100)</f>
        <v>--</v>
      </c>
      <c r="AK162" s="449" t="str">
        <f>IF(ISERROR((#REF!/#REF!-1)*100),"--",(#REF!/#REF!-1)*100)</f>
        <v>--</v>
      </c>
      <c r="AL162" s="449"/>
      <c r="AM162" s="449" t="str">
        <f>IF(ISERROR((#REF!/#REF!-1)*100),"--",(#REF!/#REF!-1)*100)</f>
        <v>--</v>
      </c>
      <c r="AN162" s="449" t="str">
        <f>IF(ISERROR((#REF!/#REF!-1)*100),"--",(#REF!/#REF!-1)*100)</f>
        <v>--</v>
      </c>
      <c r="AO162" s="449" t="str">
        <f>IF(ISERROR((#REF!/#REF!-1)*100),"--",(#REF!/#REF!-1)*100)</f>
        <v>--</v>
      </c>
      <c r="AP162" s="449" t="str">
        <f>IF(ISERROR((#REF!/#REF!-1)*100),"--",(#REF!/#REF!-1)*100)</f>
        <v>--</v>
      </c>
      <c r="AQ162" s="449"/>
      <c r="AR162" s="449" t="str">
        <f>IF(ISERROR((#REF!/#REF!-1)*100),"--",(#REF!/#REF!-1)*100)</f>
        <v>--</v>
      </c>
      <c r="AS162" s="449" t="str">
        <f>IF(ISERROR((#REF!/#REF!-1)*100),"--",(#REF!/#REF!-1)*100)</f>
        <v>--</v>
      </c>
      <c r="AT162" s="449" t="str">
        <f>IF(ISERROR((#REF!/#REF!-1)*100),"--",(#REF!/#REF!-1)*100)</f>
        <v>--</v>
      </c>
      <c r="AU162" s="449" t="str">
        <f>IF(ISERROR((#REF!/#REF!-1)*100),"--",(#REF!/#REF!-1)*100)</f>
        <v>--</v>
      </c>
      <c r="AV162" s="449"/>
      <c r="AW162" s="449" t="str">
        <f>IF(ISERROR((#REF!/#REF!-1)*100),"--",(#REF!/#REF!-1)*100)</f>
        <v>--</v>
      </c>
      <c r="AX162" s="449" t="str">
        <f>IF(ISERROR((#REF!/#REF!-1)*100),"--",(#REF!/#REF!-1)*100)</f>
        <v>--</v>
      </c>
      <c r="AY162" s="449" t="str">
        <f>IF(ISERROR((#REF!/#REF!-1)*100),"--",(#REF!/#REF!-1)*100)</f>
        <v>--</v>
      </c>
      <c r="AZ162" s="449" t="str">
        <f>IF(ISERROR((#REF!/#REF!-1)*100),"--",(#REF!/#REF!-1)*100)</f>
        <v>--</v>
      </c>
      <c r="BA162" s="449"/>
      <c r="BB162" s="449" t="str">
        <f>IF(ISERROR((#REF!/#REF!-1)*100),"--",(#REF!/#REF!-1)*100)</f>
        <v>--</v>
      </c>
      <c r="BC162" s="449" t="str">
        <f>IF(ISERROR((#REF!/#REF!-1)*100),"--",(#REF!/#REF!-1)*100)</f>
        <v>--</v>
      </c>
      <c r="BD162" s="449" t="str">
        <f>IF(ISERROR((#REF!/#REF!-1)*100),"--",(#REF!/#REF!-1)*100)</f>
        <v>--</v>
      </c>
      <c r="BE162" s="449" t="str">
        <f>IF(ISERROR((#REF!/#REF!-1)*100),"--",(#REF!/#REF!-1)*100)</f>
        <v>--</v>
      </c>
      <c r="BF162" s="449"/>
      <c r="BG162" s="449" t="str">
        <f>IF(ISERROR((#REF!/#REF!-1)*100),"--",(#REF!/#REF!-1)*100)</f>
        <v>--</v>
      </c>
      <c r="BH162" s="449" t="str">
        <f>IF(ISERROR((#REF!/#REF!-1)*100),"--",(#REF!/#REF!-1)*100)</f>
        <v>--</v>
      </c>
      <c r="BI162" s="449" t="str">
        <f>IF(ISERROR((#REF!/#REF!-1)*100),"--",(#REF!/#REF!-1)*100)</f>
        <v>--</v>
      </c>
      <c r="BJ162" s="449" t="str">
        <f>IF(ISERROR((#REF!/#REF!-1)*100),"--",(#REF!/#REF!-1)*100)</f>
        <v>--</v>
      </c>
      <c r="BK162" s="449"/>
      <c r="BL162" s="449" t="str">
        <f>IF(ISERROR((#REF!/#REF!-1)*100),"--",(#REF!/#REF!-1)*100)</f>
        <v>--</v>
      </c>
      <c r="BM162" s="449" t="str">
        <f>IF(ISERROR((#REF!/#REF!-1)*100),"--",(#REF!/#REF!-1)*100)</f>
        <v>--</v>
      </c>
      <c r="BN162" s="449" t="str">
        <f>IF(ISERROR((#REF!/#REF!-1)*100),"--",(#REF!/#REF!-1)*100)</f>
        <v>--</v>
      </c>
      <c r="BO162" s="449" t="str">
        <f>IF(ISERROR((#REF!/#REF!-1)*100),"--",(#REF!/#REF!-1)*100)</f>
        <v>--</v>
      </c>
      <c r="BP162" s="449"/>
      <c r="BQ162" s="449" t="str">
        <f>IF(ISERROR((#REF!/#REF!-1)*100),"--",(#REF!/#REF!-1)*100)</f>
        <v>--</v>
      </c>
      <c r="BR162" s="449" t="str">
        <f>IF(ISERROR((#REF!/#REF!-1)*100),"--",(#REF!/#REF!-1)*100)</f>
        <v>--</v>
      </c>
      <c r="BS162" s="449" t="str">
        <f>IF(ISERROR((#REF!/#REF!-1)*100),"--",(#REF!/#REF!-1)*100)</f>
        <v>--</v>
      </c>
      <c r="BT162" s="449" t="str">
        <f>IF(ISERROR((#REF!/#REF!-1)*100),"--",(#REF!/#REF!-1)*100)</f>
        <v>--</v>
      </c>
      <c r="BU162" s="449"/>
      <c r="BV162" s="449" t="str">
        <f>IF(ISERROR((#REF!/#REF!-1)*100),"--",(#REF!/#REF!-1)*100)</f>
        <v>--</v>
      </c>
      <c r="BW162" s="449" t="str">
        <f>IF(ISERROR((#REF!/#REF!-1)*100),"--",(#REF!/#REF!-1)*100)</f>
        <v>--</v>
      </c>
      <c r="BX162" s="449" t="str">
        <f>IF(ISERROR((#REF!/#REF!-1)*100),"--",(#REF!/#REF!-1)*100)</f>
        <v>--</v>
      </c>
      <c r="BY162" s="449" t="str">
        <f>IF(ISERROR((#REF!/#REF!-1)*100),"--",(#REF!/#REF!-1)*100)</f>
        <v>--</v>
      </c>
      <c r="BZ162" s="449"/>
      <c r="CA162" s="449" t="str">
        <f>IF(ISERROR((#REF!/#REF!-1)*100),"--",(#REF!/#REF!-1)*100)</f>
        <v>--</v>
      </c>
      <c r="CB162" s="449" t="str">
        <f>IF(ISERROR((#REF!/#REF!-1)*100),"--",(#REF!/#REF!-1)*100)</f>
        <v>--</v>
      </c>
      <c r="CC162" s="449" t="str">
        <f>IF(ISERROR((#REF!/#REF!-1)*100),"--",(#REF!/#REF!-1)*100)</f>
        <v>--</v>
      </c>
      <c r="CD162" s="449" t="str">
        <f>IF(ISERROR((#REF!/#REF!-1)*100),"--",(#REF!/#REF!-1)*100)</f>
        <v>--</v>
      </c>
      <c r="CE162" s="449"/>
      <c r="CF162" s="449" t="str">
        <f>IF(ISERROR((#REF!/#REF!-1)*100),"--",(#REF!/#REF!-1)*100)</f>
        <v>--</v>
      </c>
      <c r="CG162" s="449" t="str">
        <f>IF(ISERROR((#REF!/#REF!-1)*100),"--",(#REF!/#REF!-1)*100)</f>
        <v>--</v>
      </c>
      <c r="CH162" s="449" t="str">
        <f>IF(ISERROR((#REF!/#REF!-1)*100),"--",(#REF!/#REF!-1)*100)</f>
        <v>--</v>
      </c>
      <c r="CI162" s="449" t="str">
        <f>IF(ISERROR((#REF!/#REF!-1)*100),"--",(#REF!/#REF!-1)*100)</f>
        <v>--</v>
      </c>
      <c r="CJ162" s="449"/>
      <c r="CK162" s="449" t="str">
        <f>IF(ISERROR((#REF!/#REF!-1)*100),"--",(#REF!/#REF!-1)*100)</f>
        <v>--</v>
      </c>
      <c r="CL162" s="449" t="str">
        <f>IF(ISERROR((#REF!/#REF!-1)*100),"--",(#REF!/#REF!-1)*100)</f>
        <v>--</v>
      </c>
      <c r="CM162" s="449" t="str">
        <f>IF(ISERROR((#REF!/#REF!-1)*100),"--",(#REF!/#REF!-1)*100)</f>
        <v>--</v>
      </c>
      <c r="CN162" s="449" t="str">
        <f>IF(ISERROR((#REF!/#REF!-1)*100),"--",(#REF!/#REF!-1)*100)</f>
        <v>--</v>
      </c>
      <c r="CO162" s="449"/>
      <c r="CP162" s="449" t="str">
        <f>IF(ISERROR((#REF!/#REF!-1)*100),"--",(#REF!/#REF!-1)*100)</f>
        <v>--</v>
      </c>
      <c r="CQ162" s="449" t="str">
        <f>IF(ISERROR((#REF!/#REF!-1)*100),"--",(#REF!/#REF!-1)*100)</f>
        <v>--</v>
      </c>
      <c r="CR162" s="449" t="str">
        <f>IF(ISERROR((#REF!/#REF!-1)*100),"--",(#REF!/#REF!-1)*100)</f>
        <v>--</v>
      </c>
      <c r="CS162" s="449" t="str">
        <f>IF(ISERROR((#REF!/#REF!-1)*100),"--",(#REF!/#REF!-1)*100)</f>
        <v>--</v>
      </c>
      <c r="CT162" s="449"/>
      <c r="CU162" s="449" t="str">
        <f>IF(ISERROR((#REF!/#REF!-1)*100),"--",(#REF!/#REF!-1)*100)</f>
        <v>--</v>
      </c>
      <c r="CV162" s="449" t="str">
        <f>IF(ISERROR((#REF!/#REF!-1)*100),"--",(#REF!/#REF!-1)*100)</f>
        <v>--</v>
      </c>
      <c r="CW162" s="449" t="str">
        <f>IF(ISERROR((#REF!/#REF!-1)*100),"--",(#REF!/#REF!-1)*100)</f>
        <v>--</v>
      </c>
      <c r="CX162" s="449" t="str">
        <f>IF(ISERROR((#REF!/#REF!-1)*100),"--",(#REF!/#REF!-1)*100)</f>
        <v>--</v>
      </c>
      <c r="CY162" s="449"/>
      <c r="CZ162" s="449"/>
      <c r="DA162" s="449"/>
      <c r="DB162" s="449"/>
      <c r="DC162" s="450"/>
      <c r="DD162" s="449"/>
      <c r="DE162" s="449"/>
      <c r="DF162" s="449"/>
      <c r="DG162" s="449"/>
      <c r="DH162" s="450"/>
      <c r="DI162" s="449"/>
      <c r="DJ162" s="450"/>
      <c r="DK162" s="450"/>
      <c r="DL162" s="450"/>
      <c r="DM162" s="450"/>
      <c r="DN162" s="449"/>
      <c r="DO162" s="449"/>
      <c r="DP162" s="450"/>
      <c r="DQ162" s="450"/>
      <c r="DR162" s="450"/>
      <c r="DS162" s="450"/>
      <c r="DT162" s="450"/>
      <c r="DU162" s="450"/>
      <c r="DV162" s="450"/>
      <c r="DW162" s="450"/>
      <c r="DX162" s="450"/>
      <c r="DY162" s="450"/>
      <c r="DZ162" s="450"/>
      <c r="EA162" s="449"/>
      <c r="EB162" s="450"/>
      <c r="EC162" s="449"/>
      <c r="ED162" s="450"/>
      <c r="EE162" s="450"/>
      <c r="EF162" s="450"/>
      <c r="EG162" s="450"/>
      <c r="EH162" s="449"/>
      <c r="EI162" s="2761"/>
      <c r="EJ162" s="2761"/>
      <c r="EK162" s="2761"/>
      <c r="EL162" s="2761"/>
      <c r="EM162" s="2762"/>
      <c r="EN162" s="2761"/>
      <c r="EO162" s="2761"/>
      <c r="EP162" s="2762"/>
      <c r="EQ162" s="2762"/>
      <c r="ER162" s="2762"/>
      <c r="ES162" s="449"/>
      <c r="ET162" s="2761"/>
      <c r="EU162" s="449"/>
      <c r="EV162" s="449"/>
      <c r="EW162" s="449"/>
      <c r="EX162" s="449"/>
      <c r="EY162" s="449"/>
      <c r="EZ162" s="449"/>
      <c r="FA162" s="449"/>
      <c r="FB162" s="449"/>
      <c r="FC162" s="449"/>
      <c r="FD162" s="449"/>
      <c r="FE162" s="449"/>
      <c r="FF162" s="449"/>
      <c r="FG162" s="449"/>
      <c r="FH162" s="449"/>
      <c r="FI162" s="449"/>
      <c r="FJ162" s="449"/>
      <c r="FK162" s="449"/>
      <c r="FL162" s="449"/>
      <c r="FN162" s="449" t="str">
        <f>IF(ISERROR((#REF!/#REF!-1)*100),"--",(#REF!/#REF!-1)*100)</f>
        <v>--</v>
      </c>
      <c r="FO162" s="449" t="str">
        <f>IF(ISERROR((#REF!/#REF!-1)*100),"--",(#REF!/#REF!-1)*100)</f>
        <v>--</v>
      </c>
      <c r="FP162" s="449" t="str">
        <f>IF(ISERROR((#REF!/#REF!-1)*100),"--",(#REF!/#REF!-1)*100)</f>
        <v>--</v>
      </c>
      <c r="FQ162" s="449" t="str">
        <f>IF(ISERROR((#REF!/#REF!-1)*100),"--",(#REF!/#REF!-1)*100)</f>
        <v>--</v>
      </c>
      <c r="FR162" s="449" t="str">
        <f>IF(ISERROR((#REF!/#REF!-1)*100),"--",(#REF!/#REF!-1)*100)</f>
        <v>--</v>
      </c>
      <c r="FS162" s="449" t="str">
        <f>IF(ISERROR((#REF!/#REF!-1)*100),"--",(#REF!/#REF!-1)*100)</f>
        <v>--</v>
      </c>
      <c r="FT162" s="449" t="str">
        <f>IF(ISERROR((#REF!/#REF!-1)*100),"--",(#REF!/#REF!-1)*100)</f>
        <v>--</v>
      </c>
      <c r="FU162" s="449" t="str">
        <f>IF(ISERROR((#REF!/#REF!-1)*100),"--",(#REF!/#REF!-1)*100)</f>
        <v>--</v>
      </c>
      <c r="FV162" s="449" t="str">
        <f>IF(ISERROR((#REF!/#REF!-1)*100),"--",(#REF!/#REF!-1)*100)</f>
        <v>--</v>
      </c>
      <c r="FW162" s="449" t="str">
        <f>IF(ISERROR((#REF!/#REF!-1)*100),"--",(#REF!/#REF!-1)*100)</f>
        <v>--</v>
      </c>
      <c r="FX162" s="886" t="str">
        <f>IF(ISERROR((#REF!/#REF!-1)*100),"--",(#REF!/#REF!-1)*100)</f>
        <v>--</v>
      </c>
      <c r="FY162" s="886" t="str">
        <f>IF(ISERROR((#REF!/#REF!-1)*100),"--",(#REF!/#REF!-1)*100)</f>
        <v>--</v>
      </c>
      <c r="FZ162" s="886"/>
      <c r="GA162" s="886"/>
      <c r="GB162" s="886"/>
      <c r="GC162" s="886"/>
      <c r="GD162" s="886"/>
      <c r="GE162" s="886"/>
      <c r="GF162" s="886"/>
      <c r="GG162" s="886"/>
      <c r="GH162" s="886"/>
      <c r="GI162" s="886"/>
      <c r="GJ162" s="2668"/>
      <c r="GK162" s="2668"/>
      <c r="GL162" s="2668"/>
      <c r="GN162"/>
      <c r="GO162"/>
      <c r="GP162"/>
      <c r="GQ162"/>
      <c r="GR162"/>
      <c r="GS162"/>
    </row>
    <row r="163" spans="1:201" s="264" customFormat="1" ht="11.25" hidden="1" customHeight="1" outlineLevel="1">
      <c r="A163" s="323" t="s">
        <v>694</v>
      </c>
      <c r="B163" s="253"/>
      <c r="C163" s="253"/>
      <c r="D163" s="446" t="str">
        <f>IF(ISERROR((#REF!/#REF!-1)*100),"--",(#REF!/#REF!-1)*100)</f>
        <v>--</v>
      </c>
      <c r="E163" s="449" t="str">
        <f>IF(ISERROR((#REF!/#REF!-1)*100),"--",(#REF!/#REF!-1)*100)</f>
        <v>--</v>
      </c>
      <c r="F163" s="449" t="str">
        <f>IF(ISERROR((#REF!/#REF!-1)*100),"--",(#REF!/#REF!-1)*100)</f>
        <v>--</v>
      </c>
      <c r="G163" s="449" t="str">
        <f>IF(ISERROR((#REF!/#REF!-1)*100),"--",(#REF!/#REF!-1)*100)</f>
        <v>--</v>
      </c>
      <c r="H163" s="449"/>
      <c r="I163" s="449" t="str">
        <f>IF(ISERROR((#REF!/#REF!-1)*100),"--",(#REF!/#REF!-1)*100)</f>
        <v>--</v>
      </c>
      <c r="J163" s="449" t="str">
        <f>IF(ISERROR((#REF!/#REF!-1)*100),"--",(#REF!/#REF!-1)*100)</f>
        <v>--</v>
      </c>
      <c r="K163" s="449" t="str">
        <f>IF(ISERROR((#REF!/#REF!-1)*100),"--",(#REF!/#REF!-1)*100)</f>
        <v>--</v>
      </c>
      <c r="L163" s="449" t="str">
        <f>IF(ISERROR((#REF!/#REF!-1)*100),"--",(#REF!/#REF!-1)*100)</f>
        <v>--</v>
      </c>
      <c r="M163" s="449"/>
      <c r="N163" s="449" t="str">
        <f>IF(ISERROR((#REF!/#REF!-1)*100),"--",(#REF!/#REF!-1)*100)</f>
        <v>--</v>
      </c>
      <c r="O163" s="449" t="str">
        <f>IF(ISERROR((#REF!/#REF!-1)*100),"--",(#REF!/#REF!-1)*100)</f>
        <v>--</v>
      </c>
      <c r="P163" s="449" t="str">
        <f>IF(ISERROR((#REF!/#REF!-1)*100),"--",(#REF!/#REF!-1)*100)</f>
        <v>--</v>
      </c>
      <c r="Q163" s="449" t="str">
        <f>IF(ISERROR((#REF!/#REF!-1)*100),"--",(#REF!/#REF!-1)*100)</f>
        <v>--</v>
      </c>
      <c r="R163" s="449"/>
      <c r="S163" s="449" t="str">
        <f>IF(ISERROR((#REF!/#REF!-1)*100),"--",(#REF!/#REF!-1)*100)</f>
        <v>--</v>
      </c>
      <c r="T163" s="449" t="str">
        <f>IF(ISERROR((#REF!/#REF!-1)*100),"--",(#REF!/#REF!-1)*100)</f>
        <v>--</v>
      </c>
      <c r="U163" s="449" t="str">
        <f>IF(ISERROR((#REF!/#REF!-1)*100),"--",(#REF!/#REF!-1)*100)</f>
        <v>--</v>
      </c>
      <c r="V163" s="449" t="str">
        <f>IF(ISERROR((#REF!/#REF!-1)*100),"--",(#REF!/#REF!-1)*100)</f>
        <v>--</v>
      </c>
      <c r="W163" s="449"/>
      <c r="X163" s="449" t="str">
        <f>IF(ISERROR((#REF!/#REF!-1)*100),"--",(#REF!/#REF!-1)*100)</f>
        <v>--</v>
      </c>
      <c r="Y163" s="449" t="str">
        <f>IF(ISERROR((#REF!/#REF!-1)*100),"--",(#REF!/#REF!-1)*100)</f>
        <v>--</v>
      </c>
      <c r="Z163" s="449" t="str">
        <f>IF(ISERROR((#REF!/#REF!-1)*100),"--",(#REF!/#REF!-1)*100)</f>
        <v>--</v>
      </c>
      <c r="AA163" s="449" t="str">
        <f>IF(ISERROR((#REF!/#REF!-1)*100),"--",(#REF!/#REF!-1)*100)</f>
        <v>--</v>
      </c>
      <c r="AB163" s="449"/>
      <c r="AC163" s="449" t="str">
        <f>IF(ISERROR((#REF!/#REF!-1)*100),"--",(#REF!/#REF!-1)*100)</f>
        <v>--</v>
      </c>
      <c r="AD163" s="449" t="str">
        <f>IF(ISERROR((#REF!/#REF!-1)*100),"--",(#REF!/#REF!-1)*100)</f>
        <v>--</v>
      </c>
      <c r="AE163" s="449" t="str">
        <f>IF(ISERROR((#REF!/#REF!-1)*100),"--",(#REF!/#REF!-1)*100)</f>
        <v>--</v>
      </c>
      <c r="AF163" s="449" t="str">
        <f>IF(ISERROR((#REF!/#REF!-1)*100),"--",(#REF!/#REF!-1)*100)</f>
        <v>--</v>
      </c>
      <c r="AG163" s="449"/>
      <c r="AH163" s="449" t="str">
        <f>IF(ISERROR((#REF!/#REF!-1)*100),"--",(#REF!/#REF!-1)*100)</f>
        <v>--</v>
      </c>
      <c r="AI163" s="449" t="str">
        <f>IF(ISERROR((#REF!/#REF!-1)*100),"--",(#REF!/#REF!-1)*100)</f>
        <v>--</v>
      </c>
      <c r="AJ163" s="449" t="str">
        <f>IF(ISERROR((#REF!/#REF!-1)*100),"--",(#REF!/#REF!-1)*100)</f>
        <v>--</v>
      </c>
      <c r="AK163" s="449" t="str">
        <f>IF(ISERROR((#REF!/#REF!-1)*100),"--",(#REF!/#REF!-1)*100)</f>
        <v>--</v>
      </c>
      <c r="AL163" s="449"/>
      <c r="AM163" s="449" t="str">
        <f>IF(ISERROR((#REF!/#REF!-1)*100),"--",(#REF!/#REF!-1)*100)</f>
        <v>--</v>
      </c>
      <c r="AN163" s="449" t="str">
        <f>IF(ISERROR((#REF!/#REF!-1)*100),"--",(#REF!/#REF!-1)*100)</f>
        <v>--</v>
      </c>
      <c r="AO163" s="449" t="str">
        <f>IF(ISERROR((#REF!/#REF!-1)*100),"--",(#REF!/#REF!-1)*100)</f>
        <v>--</v>
      </c>
      <c r="AP163" s="449" t="str">
        <f>IF(ISERROR((#REF!/#REF!-1)*100),"--",(#REF!/#REF!-1)*100)</f>
        <v>--</v>
      </c>
      <c r="AQ163" s="449"/>
      <c r="AR163" s="449" t="str">
        <f>IF(ISERROR((#REF!/#REF!-1)*100),"--",(#REF!/#REF!-1)*100)</f>
        <v>--</v>
      </c>
      <c r="AS163" s="449" t="str">
        <f>IF(ISERROR((#REF!/#REF!-1)*100),"--",(#REF!/#REF!-1)*100)</f>
        <v>--</v>
      </c>
      <c r="AT163" s="449" t="str">
        <f>IF(ISERROR((#REF!/#REF!-1)*100),"--",(#REF!/#REF!-1)*100)</f>
        <v>--</v>
      </c>
      <c r="AU163" s="449" t="str">
        <f>IF(ISERROR((#REF!/#REF!-1)*100),"--",(#REF!/#REF!-1)*100)</f>
        <v>--</v>
      </c>
      <c r="AV163" s="449"/>
      <c r="AW163" s="449" t="str">
        <f>IF(ISERROR((#REF!/#REF!-1)*100),"--",(#REF!/#REF!-1)*100)</f>
        <v>--</v>
      </c>
      <c r="AX163" s="449" t="str">
        <f>IF(ISERROR((#REF!/#REF!-1)*100),"--",(#REF!/#REF!-1)*100)</f>
        <v>--</v>
      </c>
      <c r="AY163" s="449" t="str">
        <f>IF(ISERROR((#REF!/#REF!-1)*100),"--",(#REF!/#REF!-1)*100)</f>
        <v>--</v>
      </c>
      <c r="AZ163" s="449" t="str">
        <f>IF(ISERROR((#REF!/#REF!-1)*100),"--",(#REF!/#REF!-1)*100)</f>
        <v>--</v>
      </c>
      <c r="BA163" s="449"/>
      <c r="BB163" s="449" t="str">
        <f>IF(ISERROR((#REF!/#REF!-1)*100),"--",(#REF!/#REF!-1)*100)</f>
        <v>--</v>
      </c>
      <c r="BC163" s="449" t="str">
        <f>IF(ISERROR((#REF!/#REF!-1)*100),"--",(#REF!/#REF!-1)*100)</f>
        <v>--</v>
      </c>
      <c r="BD163" s="449" t="str">
        <f>IF(ISERROR((#REF!/#REF!-1)*100),"--",(#REF!/#REF!-1)*100)</f>
        <v>--</v>
      </c>
      <c r="BE163" s="449" t="str">
        <f>IF(ISERROR((#REF!/#REF!-1)*100),"--",(#REF!/#REF!-1)*100)</f>
        <v>--</v>
      </c>
      <c r="BF163" s="449"/>
      <c r="BG163" s="449" t="str">
        <f>IF(ISERROR((#REF!/#REF!-1)*100),"--",(#REF!/#REF!-1)*100)</f>
        <v>--</v>
      </c>
      <c r="BH163" s="449" t="str">
        <f>IF(ISERROR((#REF!/#REF!-1)*100),"--",(#REF!/#REF!-1)*100)</f>
        <v>--</v>
      </c>
      <c r="BI163" s="449" t="str">
        <f>IF(ISERROR((#REF!/#REF!-1)*100),"--",(#REF!/#REF!-1)*100)</f>
        <v>--</v>
      </c>
      <c r="BJ163" s="449" t="str">
        <f>IF(ISERROR((#REF!/#REF!-1)*100),"--",(#REF!/#REF!-1)*100)</f>
        <v>--</v>
      </c>
      <c r="BK163" s="449"/>
      <c r="BL163" s="449" t="str">
        <f>IF(ISERROR((#REF!/#REF!-1)*100),"--",(#REF!/#REF!-1)*100)</f>
        <v>--</v>
      </c>
      <c r="BM163" s="449" t="str">
        <f>IF(ISERROR((#REF!/#REF!-1)*100),"--",(#REF!/#REF!-1)*100)</f>
        <v>--</v>
      </c>
      <c r="BN163" s="449" t="str">
        <f>IF(ISERROR((#REF!/#REF!-1)*100),"--",(#REF!/#REF!-1)*100)</f>
        <v>--</v>
      </c>
      <c r="BO163" s="449" t="str">
        <f>IF(ISERROR((#REF!/#REF!-1)*100),"--",(#REF!/#REF!-1)*100)</f>
        <v>--</v>
      </c>
      <c r="BP163" s="449"/>
      <c r="BQ163" s="449" t="str">
        <f>IF(ISERROR((#REF!/#REF!-1)*100),"--",(#REF!/#REF!-1)*100)</f>
        <v>--</v>
      </c>
      <c r="BR163" s="449" t="str">
        <f>IF(ISERROR((#REF!/#REF!-1)*100),"--",(#REF!/#REF!-1)*100)</f>
        <v>--</v>
      </c>
      <c r="BS163" s="449" t="str">
        <f>IF(ISERROR((#REF!/#REF!-1)*100),"--",(#REF!/#REF!-1)*100)</f>
        <v>--</v>
      </c>
      <c r="BT163" s="449" t="str">
        <f>IF(ISERROR((#REF!/#REF!-1)*100),"--",(#REF!/#REF!-1)*100)</f>
        <v>--</v>
      </c>
      <c r="BU163" s="449"/>
      <c r="BV163" s="449" t="str">
        <f>IF(ISERROR((#REF!/#REF!-1)*100),"--",(#REF!/#REF!-1)*100)</f>
        <v>--</v>
      </c>
      <c r="BW163" s="449" t="str">
        <f>IF(ISERROR((#REF!/#REF!-1)*100),"--",(#REF!/#REF!-1)*100)</f>
        <v>--</v>
      </c>
      <c r="BX163" s="449" t="str">
        <f>IF(ISERROR((#REF!/#REF!-1)*100),"--",(#REF!/#REF!-1)*100)</f>
        <v>--</v>
      </c>
      <c r="BY163" s="449" t="str">
        <f>IF(ISERROR((#REF!/#REF!-1)*100),"--",(#REF!/#REF!-1)*100)</f>
        <v>--</v>
      </c>
      <c r="BZ163" s="449"/>
      <c r="CA163" s="449" t="str">
        <f>IF(ISERROR((#REF!/#REF!-1)*100),"--",(#REF!/#REF!-1)*100)</f>
        <v>--</v>
      </c>
      <c r="CB163" s="449" t="str">
        <f>IF(ISERROR((#REF!/#REF!-1)*100),"--",(#REF!/#REF!-1)*100)</f>
        <v>--</v>
      </c>
      <c r="CC163" s="449" t="str">
        <f>IF(ISERROR((#REF!/#REF!-1)*100),"--",(#REF!/#REF!-1)*100)</f>
        <v>--</v>
      </c>
      <c r="CD163" s="449" t="str">
        <f>IF(ISERROR((#REF!/#REF!-1)*100),"--",(#REF!/#REF!-1)*100)</f>
        <v>--</v>
      </c>
      <c r="CE163" s="449"/>
      <c r="CF163" s="449" t="str">
        <f>IF(ISERROR((#REF!/#REF!-1)*100),"--",(#REF!/#REF!-1)*100)</f>
        <v>--</v>
      </c>
      <c r="CG163" s="449" t="str">
        <f>IF(ISERROR((#REF!/#REF!-1)*100),"--",(#REF!/#REF!-1)*100)</f>
        <v>--</v>
      </c>
      <c r="CH163" s="449" t="str">
        <f>IF(ISERROR((#REF!/#REF!-1)*100),"--",(#REF!/#REF!-1)*100)</f>
        <v>--</v>
      </c>
      <c r="CI163" s="449" t="str">
        <f>IF(ISERROR((#REF!/#REF!-1)*100),"--",(#REF!/#REF!-1)*100)</f>
        <v>--</v>
      </c>
      <c r="CJ163" s="449"/>
      <c r="CK163" s="449" t="str">
        <f>IF(ISERROR((#REF!/#REF!-1)*100),"--",(#REF!/#REF!-1)*100)</f>
        <v>--</v>
      </c>
      <c r="CL163" s="449" t="str">
        <f>IF(ISERROR((#REF!/#REF!-1)*100),"--",(#REF!/#REF!-1)*100)</f>
        <v>--</v>
      </c>
      <c r="CM163" s="449" t="str">
        <f>IF(ISERROR((#REF!/#REF!-1)*100),"--",(#REF!/#REF!-1)*100)</f>
        <v>--</v>
      </c>
      <c r="CN163" s="449" t="str">
        <f>IF(ISERROR((#REF!/#REF!-1)*100),"--",(#REF!/#REF!-1)*100)</f>
        <v>--</v>
      </c>
      <c r="CO163" s="449"/>
      <c r="CP163" s="449" t="str">
        <f>IF(ISERROR((#REF!/#REF!-1)*100),"--",(#REF!/#REF!-1)*100)</f>
        <v>--</v>
      </c>
      <c r="CQ163" s="449" t="str">
        <f>IF(ISERROR((#REF!/#REF!-1)*100),"--",(#REF!/#REF!-1)*100)</f>
        <v>--</v>
      </c>
      <c r="CR163" s="449" t="str">
        <f>IF(ISERROR((#REF!/#REF!-1)*100),"--",(#REF!/#REF!-1)*100)</f>
        <v>--</v>
      </c>
      <c r="CS163" s="449" t="str">
        <f>IF(ISERROR((#REF!/#REF!-1)*100),"--",(#REF!/#REF!-1)*100)</f>
        <v>--</v>
      </c>
      <c r="CT163" s="449"/>
      <c r="CU163" s="449" t="str">
        <f>IF(ISERROR((#REF!/#REF!-1)*100),"--",(#REF!/#REF!-1)*100)</f>
        <v>--</v>
      </c>
      <c r="CV163" s="449" t="str">
        <f>IF(ISERROR((#REF!/#REF!-1)*100),"--",(#REF!/#REF!-1)*100)</f>
        <v>--</v>
      </c>
      <c r="CW163" s="449" t="str">
        <f>IF(ISERROR((#REF!/#REF!-1)*100),"--",(#REF!/#REF!-1)*100)</f>
        <v>--</v>
      </c>
      <c r="CX163" s="449" t="str">
        <f>IF(ISERROR((#REF!/#REF!-1)*100),"--",(#REF!/#REF!-1)*100)</f>
        <v>--</v>
      </c>
      <c r="CY163" s="449"/>
      <c r="CZ163" s="449"/>
      <c r="DA163" s="449"/>
      <c r="DB163" s="449"/>
      <c r="DC163" s="450"/>
      <c r="DD163" s="449"/>
      <c r="DE163" s="449"/>
      <c r="DF163" s="449"/>
      <c r="DG163" s="449"/>
      <c r="DH163" s="450"/>
      <c r="DI163" s="449"/>
      <c r="DJ163" s="450"/>
      <c r="DK163" s="450"/>
      <c r="DL163" s="450"/>
      <c r="DM163" s="450"/>
      <c r="DN163" s="449"/>
      <c r="DO163" s="449"/>
      <c r="DP163" s="450"/>
      <c r="DQ163" s="450"/>
      <c r="DR163" s="450"/>
      <c r="DS163" s="450"/>
      <c r="DT163" s="450"/>
      <c r="DU163" s="450"/>
      <c r="DV163" s="450"/>
      <c r="DW163" s="450"/>
      <c r="DX163" s="450"/>
      <c r="DY163" s="450"/>
      <c r="DZ163" s="450"/>
      <c r="EA163" s="449"/>
      <c r="EB163" s="450"/>
      <c r="EC163" s="449"/>
      <c r="ED163" s="450"/>
      <c r="EE163" s="450"/>
      <c r="EF163" s="450"/>
      <c r="EG163" s="450"/>
      <c r="EH163" s="449"/>
      <c r="EI163" s="2761"/>
      <c r="EJ163" s="2761"/>
      <c r="EK163" s="2761"/>
      <c r="EL163" s="2761"/>
      <c r="EM163" s="2762"/>
      <c r="EN163" s="2761"/>
      <c r="EO163" s="2761"/>
      <c r="EP163" s="2762"/>
      <c r="EQ163" s="2762"/>
      <c r="ER163" s="2762"/>
      <c r="ES163" s="449"/>
      <c r="ET163" s="2761"/>
      <c r="EU163" s="449"/>
      <c r="EV163" s="449"/>
      <c r="EW163" s="449"/>
      <c r="EX163" s="449"/>
      <c r="EY163" s="449"/>
      <c r="EZ163" s="449"/>
      <c r="FA163" s="449"/>
      <c r="FB163" s="449"/>
      <c r="FC163" s="449"/>
      <c r="FD163" s="449"/>
      <c r="FE163" s="449"/>
      <c r="FF163" s="449"/>
      <c r="FG163" s="449"/>
      <c r="FH163" s="449"/>
      <c r="FI163" s="449"/>
      <c r="FJ163" s="449"/>
      <c r="FK163" s="449"/>
      <c r="FL163" s="449"/>
      <c r="FN163" s="449" t="s">
        <v>699</v>
      </c>
      <c r="FO163" s="449" t="s">
        <v>699</v>
      </c>
      <c r="FP163" s="449" t="s">
        <v>699</v>
      </c>
      <c r="FQ163" s="449" t="s">
        <v>699</v>
      </c>
      <c r="FR163" s="449" t="s">
        <v>699</v>
      </c>
      <c r="FS163" s="449" t="s">
        <v>699</v>
      </c>
      <c r="FT163" s="449" t="s">
        <v>699</v>
      </c>
      <c r="FU163" s="449" t="s">
        <v>699</v>
      </c>
      <c r="FV163" s="449" t="s">
        <v>699</v>
      </c>
      <c r="FW163" s="449" t="s">
        <v>699</v>
      </c>
      <c r="FX163" s="886" t="s">
        <v>699</v>
      </c>
      <c r="FY163" s="886" t="s">
        <v>699</v>
      </c>
      <c r="FZ163" s="886"/>
      <c r="GA163" s="886"/>
      <c r="GB163" s="886"/>
      <c r="GC163" s="886"/>
      <c r="GD163" s="886"/>
      <c r="GE163" s="886"/>
      <c r="GF163" s="886"/>
      <c r="GG163" s="886"/>
      <c r="GH163" s="886"/>
      <c r="GI163" s="886"/>
      <c r="GJ163" s="2668"/>
      <c r="GK163" s="2668"/>
      <c r="GL163" s="2668"/>
      <c r="GN163"/>
      <c r="GO163"/>
      <c r="GP163"/>
      <c r="GQ163"/>
      <c r="GR163"/>
      <c r="GS163"/>
    </row>
    <row r="164" spans="1:201" s="264" customFormat="1" ht="11.25" hidden="1" customHeight="1" outlineLevel="1">
      <c r="A164" s="323" t="s">
        <v>695</v>
      </c>
      <c r="B164" s="253"/>
      <c r="C164" s="253"/>
      <c r="D164" s="435"/>
      <c r="E164" s="449" t="str">
        <f>IF(ISERROR((#REF!/#REF!-1)*100),"--",(#REF!/#REF!-1)*100)</f>
        <v>--</v>
      </c>
      <c r="F164" s="449" t="str">
        <f>IF(ISERROR((#REF!/#REF!-1)*100),"--",(#REF!/#REF!-1)*100)</f>
        <v>--</v>
      </c>
      <c r="G164" s="449" t="str">
        <f>IF(ISERROR((#REF!/#REF!-1)*100),"--",(#REF!/#REF!-1)*100)</f>
        <v>--</v>
      </c>
      <c r="H164" s="449"/>
      <c r="I164" s="449" t="str">
        <f>IF(ISERROR((#REF!/#REF!-1)*100),"--",(#REF!/#REF!-1)*100)</f>
        <v>--</v>
      </c>
      <c r="J164" s="449" t="str">
        <f>IF(ISERROR((#REF!/#REF!-1)*100),"--",(#REF!/#REF!-1)*100)</f>
        <v>--</v>
      </c>
      <c r="K164" s="449" t="str">
        <f>IF(ISERROR((#REF!/#REF!-1)*100),"--",(#REF!/#REF!-1)*100)</f>
        <v>--</v>
      </c>
      <c r="L164" s="449" t="str">
        <f>IF(ISERROR((#REF!/#REF!-1)*100),"--",(#REF!/#REF!-1)*100)</f>
        <v>--</v>
      </c>
      <c r="M164" s="449"/>
      <c r="N164" s="449" t="str">
        <f>IF(ISERROR((#REF!/#REF!-1)*100),"--",(#REF!/#REF!-1)*100)</f>
        <v>--</v>
      </c>
      <c r="O164" s="449" t="str">
        <f>IF(ISERROR((#REF!/#REF!-1)*100),"--",(#REF!/#REF!-1)*100)</f>
        <v>--</v>
      </c>
      <c r="P164" s="449" t="str">
        <f>IF(ISERROR((#REF!/#REF!-1)*100),"--",(#REF!/#REF!-1)*100)</f>
        <v>--</v>
      </c>
      <c r="Q164" s="449" t="str">
        <f>IF(ISERROR((#REF!/#REF!-1)*100),"--",(#REF!/#REF!-1)*100)</f>
        <v>--</v>
      </c>
      <c r="R164" s="449"/>
      <c r="S164" s="449" t="str">
        <f>IF(ISERROR((#REF!/#REF!-1)*100),"--",(#REF!/#REF!-1)*100)</f>
        <v>--</v>
      </c>
      <c r="T164" s="449" t="str">
        <f>IF(ISERROR((#REF!/#REF!-1)*100),"--",(#REF!/#REF!-1)*100)</f>
        <v>--</v>
      </c>
      <c r="U164" s="449" t="str">
        <f>IF(ISERROR((#REF!/#REF!-1)*100),"--",(#REF!/#REF!-1)*100)</f>
        <v>--</v>
      </c>
      <c r="V164" s="449" t="str">
        <f>IF(ISERROR((#REF!/#REF!-1)*100),"--",(#REF!/#REF!-1)*100)</f>
        <v>--</v>
      </c>
      <c r="W164" s="449"/>
      <c r="X164" s="449" t="str">
        <f>IF(ISERROR((#REF!/#REF!-1)*100),"--",(#REF!/#REF!-1)*100)</f>
        <v>--</v>
      </c>
      <c r="Y164" s="449" t="str">
        <f>IF(ISERROR((#REF!/#REF!-1)*100),"--",(#REF!/#REF!-1)*100)</f>
        <v>--</v>
      </c>
      <c r="Z164" s="449" t="str">
        <f>IF(ISERROR((#REF!/#REF!-1)*100),"--",(#REF!/#REF!-1)*100)</f>
        <v>--</v>
      </c>
      <c r="AA164" s="449" t="str">
        <f>IF(ISERROR((#REF!/#REF!-1)*100),"--",(#REF!/#REF!-1)*100)</f>
        <v>--</v>
      </c>
      <c r="AB164" s="449"/>
      <c r="AC164" s="449" t="str">
        <f>IF(ISERROR((#REF!/#REF!-1)*100),"--",(#REF!/#REF!-1)*100)</f>
        <v>--</v>
      </c>
      <c r="AD164" s="449" t="str">
        <f>IF(ISERROR((#REF!/#REF!-1)*100),"--",(#REF!/#REF!-1)*100)</f>
        <v>--</v>
      </c>
      <c r="AE164" s="449" t="str">
        <f>IF(ISERROR((#REF!/#REF!-1)*100),"--",(#REF!/#REF!-1)*100)</f>
        <v>--</v>
      </c>
      <c r="AF164" s="449" t="str">
        <f>IF(ISERROR((#REF!/#REF!-1)*100),"--",(#REF!/#REF!-1)*100)</f>
        <v>--</v>
      </c>
      <c r="AG164" s="449"/>
      <c r="AH164" s="449" t="str">
        <f>IF(ISERROR((#REF!/#REF!-1)*100),"--",(#REF!/#REF!-1)*100)</f>
        <v>--</v>
      </c>
      <c r="AI164" s="449" t="str">
        <f>IF(ISERROR((#REF!/#REF!-1)*100),"--",(#REF!/#REF!-1)*100)</f>
        <v>--</v>
      </c>
      <c r="AJ164" s="449" t="str">
        <f>IF(ISERROR((#REF!/#REF!-1)*100),"--",(#REF!/#REF!-1)*100)</f>
        <v>--</v>
      </c>
      <c r="AK164" s="449" t="str">
        <f>IF(ISERROR((#REF!/#REF!-1)*100),"--",(#REF!/#REF!-1)*100)</f>
        <v>--</v>
      </c>
      <c r="AL164" s="449"/>
      <c r="AM164" s="449" t="str">
        <f>IF(ISERROR((#REF!/#REF!-1)*100),"--",(#REF!/#REF!-1)*100)</f>
        <v>--</v>
      </c>
      <c r="AN164" s="449" t="str">
        <f>IF(ISERROR((#REF!/#REF!-1)*100),"--",(#REF!/#REF!-1)*100)</f>
        <v>--</v>
      </c>
      <c r="AO164" s="449" t="str">
        <f>IF(ISERROR((#REF!/#REF!-1)*100),"--",(#REF!/#REF!-1)*100)</f>
        <v>--</v>
      </c>
      <c r="AP164" s="449" t="str">
        <f>IF(ISERROR((#REF!/#REF!-1)*100),"--",(#REF!/#REF!-1)*100)</f>
        <v>--</v>
      </c>
      <c r="AQ164" s="449"/>
      <c r="AR164" s="449" t="str">
        <f>IF(ISERROR((#REF!/#REF!-1)*100),"--",(#REF!/#REF!-1)*100)</f>
        <v>--</v>
      </c>
      <c r="AS164" s="449" t="str">
        <f>IF(ISERROR((#REF!/#REF!-1)*100),"--",(#REF!/#REF!-1)*100)</f>
        <v>--</v>
      </c>
      <c r="AT164" s="449" t="str">
        <f>IF(ISERROR((#REF!/#REF!-1)*100),"--",(#REF!/#REF!-1)*100)</f>
        <v>--</v>
      </c>
      <c r="AU164" s="449" t="str">
        <f>IF(ISERROR((#REF!/#REF!-1)*100),"--",(#REF!/#REF!-1)*100)</f>
        <v>--</v>
      </c>
      <c r="AV164" s="449"/>
      <c r="AW164" s="449" t="str">
        <f>IF(ISERROR((#REF!/#REF!-1)*100),"--",(#REF!/#REF!-1)*100)</f>
        <v>--</v>
      </c>
      <c r="AX164" s="449" t="str">
        <f>IF(ISERROR((#REF!/#REF!-1)*100),"--",(#REF!/#REF!-1)*100)</f>
        <v>--</v>
      </c>
      <c r="AY164" s="449" t="str">
        <f>IF(ISERROR((#REF!/#REF!-1)*100),"--",(#REF!/#REF!-1)*100)</f>
        <v>--</v>
      </c>
      <c r="AZ164" s="449" t="str">
        <f>IF(ISERROR((#REF!/#REF!-1)*100),"--",(#REF!/#REF!-1)*100)</f>
        <v>--</v>
      </c>
      <c r="BA164" s="449"/>
      <c r="BB164" s="449" t="str">
        <f>IF(ISERROR((#REF!/#REF!-1)*100),"--",(#REF!/#REF!-1)*100)</f>
        <v>--</v>
      </c>
      <c r="BC164" s="449" t="str">
        <f>IF(ISERROR((#REF!/#REF!-1)*100),"--",(#REF!/#REF!-1)*100)</f>
        <v>--</v>
      </c>
      <c r="BD164" s="449" t="str">
        <f>IF(ISERROR((#REF!/#REF!-1)*100),"--",(#REF!/#REF!-1)*100)</f>
        <v>--</v>
      </c>
      <c r="BE164" s="449" t="str">
        <f>IF(ISERROR((#REF!/#REF!-1)*100),"--",(#REF!/#REF!-1)*100)</f>
        <v>--</v>
      </c>
      <c r="BF164" s="449"/>
      <c r="BG164" s="449" t="str">
        <f>IF(ISERROR((#REF!/#REF!-1)*100),"--",(#REF!/#REF!-1)*100)</f>
        <v>--</v>
      </c>
      <c r="BH164" s="449" t="str">
        <f>IF(ISERROR((#REF!/#REF!-1)*100),"--",(#REF!/#REF!-1)*100)</f>
        <v>--</v>
      </c>
      <c r="BI164" s="449" t="str">
        <f>IF(ISERROR((#REF!/#REF!-1)*100),"--",(#REF!/#REF!-1)*100)</f>
        <v>--</v>
      </c>
      <c r="BJ164" s="449" t="str">
        <f>IF(ISERROR((#REF!/#REF!-1)*100),"--",(#REF!/#REF!-1)*100)</f>
        <v>--</v>
      </c>
      <c r="BK164" s="449"/>
      <c r="BL164" s="449" t="str">
        <f>IF(ISERROR((#REF!/#REF!-1)*100),"--",(#REF!/#REF!-1)*100)</f>
        <v>--</v>
      </c>
      <c r="BM164" s="449" t="str">
        <f>IF(ISERROR((#REF!/#REF!-1)*100),"--",(#REF!/#REF!-1)*100)</f>
        <v>--</v>
      </c>
      <c r="BN164" s="449" t="str">
        <f>IF(ISERROR((#REF!/#REF!-1)*100),"--",(#REF!/#REF!-1)*100)</f>
        <v>--</v>
      </c>
      <c r="BO164" s="449" t="str">
        <f>IF(ISERROR((#REF!/#REF!-1)*100),"--",(#REF!/#REF!-1)*100)</f>
        <v>--</v>
      </c>
      <c r="BP164" s="449"/>
      <c r="BQ164" s="449" t="str">
        <f>IF(ISERROR((#REF!/#REF!-1)*100),"--",(#REF!/#REF!-1)*100)</f>
        <v>--</v>
      </c>
      <c r="BR164" s="449" t="str">
        <f>IF(ISERROR((#REF!/#REF!-1)*100),"--",(#REF!/#REF!-1)*100)</f>
        <v>--</v>
      </c>
      <c r="BS164" s="449" t="str">
        <f>IF(ISERROR((#REF!/#REF!-1)*100),"--",(#REF!/#REF!-1)*100)</f>
        <v>--</v>
      </c>
      <c r="BT164" s="449" t="str">
        <f>IF(ISERROR((#REF!/#REF!-1)*100),"--",(#REF!/#REF!-1)*100)</f>
        <v>--</v>
      </c>
      <c r="BU164" s="449"/>
      <c r="BV164" s="449" t="str">
        <f>IF(ISERROR((#REF!/#REF!-1)*100),"--",(#REF!/#REF!-1)*100)</f>
        <v>--</v>
      </c>
      <c r="BW164" s="449" t="str">
        <f>IF(ISERROR((#REF!/#REF!-1)*100),"--",(#REF!/#REF!-1)*100)</f>
        <v>--</v>
      </c>
      <c r="BX164" s="449" t="str">
        <f>IF(ISERROR((#REF!/#REF!-1)*100),"--",(#REF!/#REF!-1)*100)</f>
        <v>--</v>
      </c>
      <c r="BY164" s="449" t="str">
        <f>IF(ISERROR((#REF!/#REF!-1)*100),"--",(#REF!/#REF!-1)*100)</f>
        <v>--</v>
      </c>
      <c r="BZ164" s="449"/>
      <c r="CA164" s="449" t="str">
        <f>IF(ISERROR((#REF!/#REF!-1)*100),"--",(#REF!/#REF!-1)*100)</f>
        <v>--</v>
      </c>
      <c r="CB164" s="449" t="str">
        <f>IF(ISERROR((#REF!/#REF!-1)*100),"--",(#REF!/#REF!-1)*100)</f>
        <v>--</v>
      </c>
      <c r="CC164" s="449" t="str">
        <f>IF(ISERROR((#REF!/#REF!-1)*100),"--",(#REF!/#REF!-1)*100)</f>
        <v>--</v>
      </c>
      <c r="CD164" s="449" t="str">
        <f>IF(ISERROR((#REF!/#REF!-1)*100),"--",(#REF!/#REF!-1)*100)</f>
        <v>--</v>
      </c>
      <c r="CE164" s="449"/>
      <c r="CF164" s="449" t="str">
        <f>IF(ISERROR((#REF!/#REF!-1)*100),"--",(#REF!/#REF!-1)*100)</f>
        <v>--</v>
      </c>
      <c r="CG164" s="449" t="str">
        <f>IF(ISERROR((#REF!/#REF!-1)*100),"--",(#REF!/#REF!-1)*100)</f>
        <v>--</v>
      </c>
      <c r="CH164" s="449" t="str">
        <f>IF(ISERROR((#REF!/#REF!-1)*100),"--",(#REF!/#REF!-1)*100)</f>
        <v>--</v>
      </c>
      <c r="CI164" s="449" t="str">
        <f>IF(ISERROR((#REF!/#REF!-1)*100),"--",(#REF!/#REF!-1)*100)</f>
        <v>--</v>
      </c>
      <c r="CJ164" s="449"/>
      <c r="CK164" s="449" t="str">
        <f>IF(ISERROR((#REF!/#REF!-1)*100),"--",(#REF!/#REF!-1)*100)</f>
        <v>--</v>
      </c>
      <c r="CL164" s="449" t="str">
        <f>IF(ISERROR((#REF!/#REF!-1)*100),"--",(#REF!/#REF!-1)*100)</f>
        <v>--</v>
      </c>
      <c r="CM164" s="449" t="str">
        <f>IF(ISERROR((#REF!/#REF!-1)*100),"--",(#REF!/#REF!-1)*100)</f>
        <v>--</v>
      </c>
      <c r="CN164" s="449" t="str">
        <f>IF(ISERROR((#REF!/#REF!-1)*100),"--",(#REF!/#REF!-1)*100)</f>
        <v>--</v>
      </c>
      <c r="CO164" s="449"/>
      <c r="CP164" s="449" t="str">
        <f>IF(ISERROR((#REF!/#REF!-1)*100),"--",(#REF!/#REF!-1)*100)</f>
        <v>--</v>
      </c>
      <c r="CQ164" s="449" t="str">
        <f>IF(ISERROR((#REF!/#REF!-1)*100),"--",(#REF!/#REF!-1)*100)</f>
        <v>--</v>
      </c>
      <c r="CR164" s="449" t="str">
        <f>IF(ISERROR((#REF!/#REF!-1)*100),"--",(#REF!/#REF!-1)*100)</f>
        <v>--</v>
      </c>
      <c r="CS164" s="449" t="str">
        <f>IF(ISERROR((#REF!/#REF!-1)*100),"--",(#REF!/#REF!-1)*100)</f>
        <v>--</v>
      </c>
      <c r="CT164" s="449"/>
      <c r="CU164" s="449" t="str">
        <f>IF(ISERROR((#REF!/#REF!-1)*100),"--",(#REF!/#REF!-1)*100)</f>
        <v>--</v>
      </c>
      <c r="CV164" s="449" t="str">
        <f>IF(ISERROR((#REF!/#REF!-1)*100),"--",(#REF!/#REF!-1)*100)</f>
        <v>--</v>
      </c>
      <c r="CW164" s="449" t="str">
        <f>IF(ISERROR((#REF!/#REF!-1)*100),"--",(#REF!/#REF!-1)*100)</f>
        <v>--</v>
      </c>
      <c r="CX164" s="449" t="str">
        <f>IF(ISERROR((#REF!/#REF!-1)*100),"--",(#REF!/#REF!-1)*100)</f>
        <v>--</v>
      </c>
      <c r="CY164" s="449"/>
      <c r="CZ164" s="449"/>
      <c r="DA164" s="449"/>
      <c r="DB164" s="449"/>
      <c r="DC164" s="450"/>
      <c r="DD164" s="449"/>
      <c r="DE164" s="449"/>
      <c r="DF164" s="449"/>
      <c r="DG164" s="449"/>
      <c r="DH164" s="450"/>
      <c r="DI164" s="449"/>
      <c r="DJ164" s="450"/>
      <c r="DK164" s="450"/>
      <c r="DL164" s="450"/>
      <c r="DM164" s="450"/>
      <c r="DN164" s="449"/>
      <c r="DO164" s="449"/>
      <c r="DP164" s="450"/>
      <c r="DQ164" s="450"/>
      <c r="DR164" s="450"/>
      <c r="DS164" s="450"/>
      <c r="DT164" s="450"/>
      <c r="DU164" s="450"/>
      <c r="DV164" s="450"/>
      <c r="DW164" s="450"/>
      <c r="DX164" s="450"/>
      <c r="DY164" s="450"/>
      <c r="DZ164" s="450"/>
      <c r="EA164" s="449"/>
      <c r="EB164" s="450"/>
      <c r="EC164" s="449"/>
      <c r="ED164" s="450"/>
      <c r="EE164" s="450"/>
      <c r="EF164" s="450"/>
      <c r="EG164" s="450"/>
      <c r="EH164" s="449"/>
      <c r="EI164" s="2761"/>
      <c r="EJ164" s="2761"/>
      <c r="EK164" s="2761"/>
      <c r="EL164" s="2761"/>
      <c r="EM164" s="2762"/>
      <c r="EN164" s="2761"/>
      <c r="EO164" s="2761"/>
      <c r="EP164" s="2762"/>
      <c r="EQ164" s="2762"/>
      <c r="ER164" s="2762"/>
      <c r="ES164" s="449"/>
      <c r="ET164" s="2761"/>
      <c r="EU164" s="449"/>
      <c r="EV164" s="449"/>
      <c r="EW164" s="449"/>
      <c r="EX164" s="449"/>
      <c r="EY164" s="449"/>
      <c r="EZ164" s="449"/>
      <c r="FA164" s="449"/>
      <c r="FB164" s="449"/>
      <c r="FC164" s="449"/>
      <c r="FD164" s="449"/>
      <c r="FE164" s="449"/>
      <c r="FF164" s="449"/>
      <c r="FG164" s="449"/>
      <c r="FH164" s="449"/>
      <c r="FI164" s="449"/>
      <c r="FJ164" s="449"/>
      <c r="FK164" s="449"/>
      <c r="FL164" s="449"/>
      <c r="FN164" s="449" t="str">
        <f>IF(ISERROR((#REF!/#REF!-1)*100),"--",(#REF!/#REF!-1)*100)</f>
        <v>--</v>
      </c>
      <c r="FO164" s="449" t="str">
        <f>IF(ISERROR((#REF!/#REF!-1)*100),"--",(#REF!/#REF!-1)*100)</f>
        <v>--</v>
      </c>
      <c r="FP164" s="449" t="str">
        <f>IF(ISERROR((#REF!/#REF!-1)*100),"--",(#REF!/#REF!-1)*100)</f>
        <v>--</v>
      </c>
      <c r="FQ164" s="449" t="str">
        <f>IF(ISERROR((#REF!/#REF!-1)*100),"--",(#REF!/#REF!-1)*100)</f>
        <v>--</v>
      </c>
      <c r="FR164" s="449" t="str">
        <f>IF(ISERROR((#REF!/#REF!-1)*100),"--",(#REF!/#REF!-1)*100)</f>
        <v>--</v>
      </c>
      <c r="FS164" s="449" t="str">
        <f>IF(ISERROR((#REF!/#REF!-1)*100),"--",(#REF!/#REF!-1)*100)</f>
        <v>--</v>
      </c>
      <c r="FT164" s="449" t="str">
        <f>IF(ISERROR((#REF!/#REF!-1)*100),"--",(#REF!/#REF!-1)*100)</f>
        <v>--</v>
      </c>
      <c r="FU164" s="449" t="str">
        <f>IF(ISERROR((#REF!/#REF!-1)*100),"--",(#REF!/#REF!-1)*100)</f>
        <v>--</v>
      </c>
      <c r="FV164" s="449" t="str">
        <f>IF(ISERROR((#REF!/#REF!-1)*100),"--",(#REF!/#REF!-1)*100)</f>
        <v>--</v>
      </c>
      <c r="FW164" s="449" t="str">
        <f>IF(ISERROR((#REF!/#REF!-1)*100),"--",(#REF!/#REF!-1)*100)</f>
        <v>--</v>
      </c>
      <c r="FX164" s="886" t="str">
        <f>IF(ISERROR((#REF!/#REF!-1)*100),"--",(#REF!/#REF!-1)*100)</f>
        <v>--</v>
      </c>
      <c r="FY164" s="886" t="str">
        <f>IF(ISERROR((#REF!/#REF!-1)*100),"--",(#REF!/#REF!-1)*100)</f>
        <v>--</v>
      </c>
      <c r="FZ164" s="886"/>
      <c r="GA164" s="886"/>
      <c r="GB164" s="886"/>
      <c r="GC164" s="886"/>
      <c r="GD164" s="886"/>
      <c r="GE164" s="886"/>
      <c r="GF164" s="886"/>
      <c r="GG164" s="886"/>
      <c r="GH164" s="886"/>
      <c r="GI164" s="886"/>
      <c r="GJ164" s="2668"/>
      <c r="GK164" s="2668"/>
      <c r="GL164" s="2668"/>
      <c r="GN164"/>
      <c r="GO164"/>
      <c r="GP164"/>
      <c r="GQ164"/>
      <c r="GR164"/>
      <c r="GS164"/>
    </row>
    <row r="165" spans="1:201" s="264" customFormat="1" ht="11.25" hidden="1" customHeight="1" outlineLevel="1">
      <c r="A165" s="323" t="s">
        <v>659</v>
      </c>
      <c r="B165" s="253"/>
      <c r="C165" s="253"/>
      <c r="D165" s="435" t="str">
        <f>IF(ISERROR((#REF!/#REF!-1)*100),"--",(#REF!/#REF!-1)*100)</f>
        <v>--</v>
      </c>
      <c r="E165" s="449" t="str">
        <f>IF(ISERROR((#REF!/#REF!-1)*100),"--",(#REF!/#REF!-1)*100)</f>
        <v>--</v>
      </c>
      <c r="F165" s="449" t="str">
        <f>IF(ISERROR((#REF!/#REF!-1)*100),"--",(#REF!/#REF!-1)*100)</f>
        <v>--</v>
      </c>
      <c r="G165" s="449" t="str">
        <f>IF(ISERROR((#REF!/#REF!-1)*100),"--",(#REF!/#REF!-1)*100)</f>
        <v>--</v>
      </c>
      <c r="H165" s="449"/>
      <c r="I165" s="449" t="str">
        <f>IF(ISERROR((#REF!/#REF!-1)*100),"--",(#REF!/#REF!-1)*100)</f>
        <v>--</v>
      </c>
      <c r="J165" s="449" t="str">
        <f>IF(ISERROR((#REF!/#REF!-1)*100),"--",(#REF!/#REF!-1)*100)</f>
        <v>--</v>
      </c>
      <c r="K165" s="449" t="str">
        <f>IF(ISERROR((#REF!/#REF!-1)*100),"--",(#REF!/#REF!-1)*100)</f>
        <v>--</v>
      </c>
      <c r="L165" s="449" t="str">
        <f>IF(ISERROR((#REF!/#REF!-1)*100),"--",(#REF!/#REF!-1)*100)</f>
        <v>--</v>
      </c>
      <c r="M165" s="449"/>
      <c r="N165" s="449" t="str">
        <f>IF(ISERROR((#REF!/#REF!-1)*100),"--",(#REF!/#REF!-1)*100)</f>
        <v>--</v>
      </c>
      <c r="O165" s="449" t="str">
        <f>IF(ISERROR((#REF!/#REF!-1)*100),"--",(#REF!/#REF!-1)*100)</f>
        <v>--</v>
      </c>
      <c r="P165" s="449" t="str">
        <f>IF(ISERROR((#REF!/#REF!-1)*100),"--",(#REF!/#REF!-1)*100)</f>
        <v>--</v>
      </c>
      <c r="Q165" s="449" t="str">
        <f>IF(ISERROR((#REF!/#REF!-1)*100),"--",(#REF!/#REF!-1)*100)</f>
        <v>--</v>
      </c>
      <c r="R165" s="449"/>
      <c r="S165" s="449" t="str">
        <f>IF(ISERROR((#REF!/#REF!-1)*100),"--",(#REF!/#REF!-1)*100)</f>
        <v>--</v>
      </c>
      <c r="T165" s="449" t="str">
        <f>IF(ISERROR((#REF!/#REF!-1)*100),"--",(#REF!/#REF!-1)*100)</f>
        <v>--</v>
      </c>
      <c r="U165" s="449" t="str">
        <f>IF(ISERROR((#REF!/#REF!-1)*100),"--",(#REF!/#REF!-1)*100)</f>
        <v>--</v>
      </c>
      <c r="V165" s="449" t="str">
        <f>IF(ISERROR((#REF!/#REF!-1)*100),"--",(#REF!/#REF!-1)*100)</f>
        <v>--</v>
      </c>
      <c r="W165" s="449"/>
      <c r="X165" s="449" t="str">
        <f>IF(ISERROR((#REF!/#REF!-1)*100),"--",(#REF!/#REF!-1)*100)</f>
        <v>--</v>
      </c>
      <c r="Y165" s="449" t="str">
        <f>IF(ISERROR((#REF!/#REF!-1)*100),"--",(#REF!/#REF!-1)*100)</f>
        <v>--</v>
      </c>
      <c r="Z165" s="449" t="str">
        <f>IF(ISERROR((#REF!/#REF!-1)*100),"--",(#REF!/#REF!-1)*100)</f>
        <v>--</v>
      </c>
      <c r="AA165" s="449" t="str">
        <f>IF(ISERROR((#REF!/#REF!-1)*100),"--",(#REF!/#REF!-1)*100)</f>
        <v>--</v>
      </c>
      <c r="AB165" s="449"/>
      <c r="AC165" s="449" t="str">
        <f>IF(ISERROR((#REF!/#REF!-1)*100),"--",(#REF!/#REF!-1)*100)</f>
        <v>--</v>
      </c>
      <c r="AD165" s="449" t="str">
        <f>IF(ISERROR((#REF!/#REF!-1)*100),"--",(#REF!/#REF!-1)*100)</f>
        <v>--</v>
      </c>
      <c r="AE165" s="449" t="str">
        <f>IF(ISERROR((#REF!/#REF!-1)*100),"--",(#REF!/#REF!-1)*100)</f>
        <v>--</v>
      </c>
      <c r="AF165" s="449" t="str">
        <f>IF(ISERROR((#REF!/#REF!-1)*100),"--",(#REF!/#REF!-1)*100)</f>
        <v>--</v>
      </c>
      <c r="AG165" s="449"/>
      <c r="AH165" s="449" t="str">
        <f>IF(ISERROR((#REF!/#REF!-1)*100),"--",(#REF!/#REF!-1)*100)</f>
        <v>--</v>
      </c>
      <c r="AI165" s="449" t="str">
        <f>IF(ISERROR((#REF!/#REF!-1)*100),"--",(#REF!/#REF!-1)*100)</f>
        <v>--</v>
      </c>
      <c r="AJ165" s="449" t="str">
        <f>IF(ISERROR((#REF!/#REF!-1)*100),"--",(#REF!/#REF!-1)*100)</f>
        <v>--</v>
      </c>
      <c r="AK165" s="449" t="str">
        <f>IF(ISERROR((#REF!/#REF!-1)*100),"--",(#REF!/#REF!-1)*100)</f>
        <v>--</v>
      </c>
      <c r="AL165" s="449"/>
      <c r="AM165" s="449" t="str">
        <f>IF(ISERROR((#REF!/#REF!-1)*100),"--",(#REF!/#REF!-1)*100)</f>
        <v>--</v>
      </c>
      <c r="AN165" s="449" t="str">
        <f>IF(ISERROR((#REF!/#REF!-1)*100),"--",(#REF!/#REF!-1)*100)</f>
        <v>--</v>
      </c>
      <c r="AO165" s="449" t="str">
        <f>IF(ISERROR((#REF!/#REF!-1)*100),"--",(#REF!/#REF!-1)*100)</f>
        <v>--</v>
      </c>
      <c r="AP165" s="449" t="str">
        <f>IF(ISERROR((#REF!/#REF!-1)*100),"--",(#REF!/#REF!-1)*100)</f>
        <v>--</v>
      </c>
      <c r="AQ165" s="449"/>
      <c r="AR165" s="449" t="str">
        <f>IF(ISERROR((#REF!/#REF!-1)*100),"--",(#REF!/#REF!-1)*100)</f>
        <v>--</v>
      </c>
      <c r="AS165" s="449" t="str">
        <f>IF(ISERROR((#REF!/#REF!-1)*100),"--",(#REF!/#REF!-1)*100)</f>
        <v>--</v>
      </c>
      <c r="AT165" s="449" t="str">
        <f>IF(ISERROR((#REF!/#REF!-1)*100),"--",(#REF!/#REF!-1)*100)</f>
        <v>--</v>
      </c>
      <c r="AU165" s="449" t="str">
        <f>IF(ISERROR((#REF!/#REF!-1)*100),"--",(#REF!/#REF!-1)*100)</f>
        <v>--</v>
      </c>
      <c r="AV165" s="449"/>
      <c r="AW165" s="449" t="str">
        <f>IF(ISERROR((#REF!/#REF!-1)*100),"--",(#REF!/#REF!-1)*100)</f>
        <v>--</v>
      </c>
      <c r="AX165" s="449" t="str">
        <f>IF(ISERROR((#REF!/#REF!-1)*100),"--",(#REF!/#REF!-1)*100)</f>
        <v>--</v>
      </c>
      <c r="AY165" s="449" t="str">
        <f>IF(ISERROR((#REF!/#REF!-1)*100),"--",(#REF!/#REF!-1)*100)</f>
        <v>--</v>
      </c>
      <c r="AZ165" s="449" t="str">
        <f>IF(ISERROR((#REF!/#REF!-1)*100),"--",(#REF!/#REF!-1)*100)</f>
        <v>--</v>
      </c>
      <c r="BA165" s="449"/>
      <c r="BB165" s="449" t="str">
        <f>IF(ISERROR((#REF!/#REF!-1)*100),"--",(#REF!/#REF!-1)*100)</f>
        <v>--</v>
      </c>
      <c r="BC165" s="449" t="str">
        <f>IF(ISERROR((#REF!/#REF!-1)*100),"--",(#REF!/#REF!-1)*100)</f>
        <v>--</v>
      </c>
      <c r="BD165" s="449" t="str">
        <f>IF(ISERROR((#REF!/#REF!-1)*100),"--",(#REF!/#REF!-1)*100)</f>
        <v>--</v>
      </c>
      <c r="BE165" s="449" t="str">
        <f>IF(ISERROR((#REF!/#REF!-1)*100),"--",(#REF!/#REF!-1)*100)</f>
        <v>--</v>
      </c>
      <c r="BF165" s="449"/>
      <c r="BG165" s="449" t="str">
        <f>IF(ISERROR((#REF!/#REF!-1)*100),"--",(#REF!/#REF!-1)*100)</f>
        <v>--</v>
      </c>
      <c r="BH165" s="449" t="str">
        <f>IF(ISERROR((#REF!/#REF!-1)*100),"--",(#REF!/#REF!-1)*100)</f>
        <v>--</v>
      </c>
      <c r="BI165" s="449" t="str">
        <f>IF(ISERROR((#REF!/#REF!-1)*100),"--",(#REF!/#REF!-1)*100)</f>
        <v>--</v>
      </c>
      <c r="BJ165" s="449" t="str">
        <f>IF(ISERROR((#REF!/#REF!-1)*100),"--",(#REF!/#REF!-1)*100)</f>
        <v>--</v>
      </c>
      <c r="BK165" s="449"/>
      <c r="BL165" s="449" t="str">
        <f>IF(ISERROR((#REF!/#REF!-1)*100),"--",(#REF!/#REF!-1)*100)</f>
        <v>--</v>
      </c>
      <c r="BM165" s="449" t="str">
        <f>IF(ISERROR((#REF!/#REF!-1)*100),"--",(#REF!/#REF!-1)*100)</f>
        <v>--</v>
      </c>
      <c r="BN165" s="449" t="str">
        <f>IF(ISERROR((#REF!/#REF!-1)*100),"--",(#REF!/#REF!-1)*100)</f>
        <v>--</v>
      </c>
      <c r="BO165" s="449" t="str">
        <f>IF(ISERROR((#REF!/#REF!-1)*100),"--",(#REF!/#REF!-1)*100)</f>
        <v>--</v>
      </c>
      <c r="BP165" s="449"/>
      <c r="BQ165" s="449" t="str">
        <f>IF(ISERROR((#REF!/#REF!-1)*100),"--",(#REF!/#REF!-1)*100)</f>
        <v>--</v>
      </c>
      <c r="BR165" s="449" t="str">
        <f>IF(ISERROR((#REF!/#REF!-1)*100),"--",(#REF!/#REF!-1)*100)</f>
        <v>--</v>
      </c>
      <c r="BS165" s="449" t="str">
        <f>IF(ISERROR((#REF!/#REF!-1)*100),"--",(#REF!/#REF!-1)*100)</f>
        <v>--</v>
      </c>
      <c r="BT165" s="449" t="str">
        <f>IF(ISERROR((#REF!/#REF!-1)*100),"--",(#REF!/#REF!-1)*100)</f>
        <v>--</v>
      </c>
      <c r="BU165" s="449"/>
      <c r="BV165" s="449" t="str">
        <f>IF(ISERROR((#REF!/#REF!-1)*100),"--",(#REF!/#REF!-1)*100)</f>
        <v>--</v>
      </c>
      <c r="BW165" s="449" t="str">
        <f>IF(ISERROR((#REF!/#REF!-1)*100),"--",(#REF!/#REF!-1)*100)</f>
        <v>--</v>
      </c>
      <c r="BX165" s="449" t="str">
        <f>IF(ISERROR((#REF!/#REF!-1)*100),"--",(#REF!/#REF!-1)*100)</f>
        <v>--</v>
      </c>
      <c r="BY165" s="449" t="str">
        <f>IF(ISERROR((#REF!/#REF!-1)*100),"--",(#REF!/#REF!-1)*100)</f>
        <v>--</v>
      </c>
      <c r="BZ165" s="449"/>
      <c r="CA165" s="449" t="str">
        <f>IF(ISERROR((#REF!/#REF!-1)*100),"--",(#REF!/#REF!-1)*100)</f>
        <v>--</v>
      </c>
      <c r="CB165" s="449" t="str">
        <f>IF(ISERROR((#REF!/#REF!-1)*100),"--",(#REF!/#REF!-1)*100)</f>
        <v>--</v>
      </c>
      <c r="CC165" s="449" t="str">
        <f>IF(ISERROR((#REF!/#REF!-1)*100),"--",(#REF!/#REF!-1)*100)</f>
        <v>--</v>
      </c>
      <c r="CD165" s="449" t="str">
        <f>IF(ISERROR((#REF!/#REF!-1)*100),"--",(#REF!/#REF!-1)*100)</f>
        <v>--</v>
      </c>
      <c r="CE165" s="449"/>
      <c r="CF165" s="449" t="str">
        <f>IF(ISERROR((#REF!/#REF!-1)*100),"--",(#REF!/#REF!-1)*100)</f>
        <v>--</v>
      </c>
      <c r="CG165" s="449" t="str">
        <f>IF(ISERROR((#REF!/#REF!-1)*100),"--",(#REF!/#REF!-1)*100)</f>
        <v>--</v>
      </c>
      <c r="CH165" s="449" t="str">
        <f>IF(ISERROR((#REF!/#REF!-1)*100),"--",(#REF!/#REF!-1)*100)</f>
        <v>--</v>
      </c>
      <c r="CI165" s="449" t="str">
        <f>IF(ISERROR((#REF!/#REF!-1)*100),"--",(#REF!/#REF!-1)*100)</f>
        <v>--</v>
      </c>
      <c r="CJ165" s="449"/>
      <c r="CK165" s="449" t="str">
        <f>IF(ISERROR((#REF!/#REF!-1)*100),"--",(#REF!/#REF!-1)*100)</f>
        <v>--</v>
      </c>
      <c r="CL165" s="449" t="str">
        <f>IF(ISERROR((#REF!/#REF!-1)*100),"--",(#REF!/#REF!-1)*100)</f>
        <v>--</v>
      </c>
      <c r="CM165" s="449" t="str">
        <f>IF(ISERROR((#REF!/#REF!-1)*100),"--",(#REF!/#REF!-1)*100)</f>
        <v>--</v>
      </c>
      <c r="CN165" s="449" t="str">
        <f>IF(ISERROR((#REF!/#REF!-1)*100),"--",(#REF!/#REF!-1)*100)</f>
        <v>--</v>
      </c>
      <c r="CO165" s="449"/>
      <c r="CP165" s="449" t="str">
        <f>IF(ISERROR((#REF!/#REF!-1)*100),"--",(#REF!/#REF!-1)*100)</f>
        <v>--</v>
      </c>
      <c r="CQ165" s="449" t="str">
        <f>IF(ISERROR((#REF!/#REF!-1)*100),"--",(#REF!/#REF!-1)*100)</f>
        <v>--</v>
      </c>
      <c r="CR165" s="449" t="str">
        <f>IF(ISERROR((#REF!/#REF!-1)*100),"--",(#REF!/#REF!-1)*100)</f>
        <v>--</v>
      </c>
      <c r="CS165" s="449" t="str">
        <f>IF(ISERROR((#REF!/#REF!-1)*100),"--",(#REF!/#REF!-1)*100)</f>
        <v>--</v>
      </c>
      <c r="CT165" s="449"/>
      <c r="CU165" s="449" t="str">
        <f>IF(ISERROR((#REF!/#REF!-1)*100),"--",(#REF!/#REF!-1)*100)</f>
        <v>--</v>
      </c>
      <c r="CV165" s="449" t="str">
        <f>IF(ISERROR((#REF!/#REF!-1)*100),"--",(#REF!/#REF!-1)*100)</f>
        <v>--</v>
      </c>
      <c r="CW165" s="449" t="str">
        <f>IF(ISERROR((#REF!/#REF!-1)*100),"--",(#REF!/#REF!-1)*100)</f>
        <v>--</v>
      </c>
      <c r="CX165" s="449" t="str">
        <f>IF(ISERROR((#REF!/#REF!-1)*100),"--",(#REF!/#REF!-1)*100)</f>
        <v>--</v>
      </c>
      <c r="CY165" s="449"/>
      <c r="CZ165" s="449"/>
      <c r="DA165" s="449"/>
      <c r="DB165" s="449"/>
      <c r="DC165" s="450"/>
      <c r="DD165" s="449"/>
      <c r="DE165" s="449"/>
      <c r="DF165" s="449"/>
      <c r="DG165" s="449"/>
      <c r="DH165" s="450"/>
      <c r="DI165" s="449"/>
      <c r="DJ165" s="450"/>
      <c r="DK165" s="450"/>
      <c r="DL165" s="450"/>
      <c r="DM165" s="450"/>
      <c r="DN165" s="449"/>
      <c r="DO165" s="449"/>
      <c r="DP165" s="450"/>
      <c r="DQ165" s="450"/>
      <c r="DR165" s="450"/>
      <c r="DS165" s="450"/>
      <c r="DT165" s="450"/>
      <c r="DU165" s="450"/>
      <c r="DV165" s="450"/>
      <c r="DW165" s="450"/>
      <c r="DX165" s="450"/>
      <c r="DY165" s="450"/>
      <c r="DZ165" s="450"/>
      <c r="EA165" s="449"/>
      <c r="EB165" s="450"/>
      <c r="EC165" s="449"/>
      <c r="ED165" s="450"/>
      <c r="EE165" s="450"/>
      <c r="EF165" s="450"/>
      <c r="EG165" s="450"/>
      <c r="EH165" s="449"/>
      <c r="EI165" s="2761"/>
      <c r="EJ165" s="2761"/>
      <c r="EK165" s="2761"/>
      <c r="EL165" s="2761"/>
      <c r="EM165" s="2762"/>
      <c r="EN165" s="2761"/>
      <c r="EO165" s="2761"/>
      <c r="EP165" s="2762"/>
      <c r="EQ165" s="2762"/>
      <c r="ER165" s="2762"/>
      <c r="ES165" s="449"/>
      <c r="ET165" s="2761"/>
      <c r="EU165" s="449"/>
      <c r="EV165" s="449"/>
      <c r="EW165" s="449"/>
      <c r="EX165" s="449"/>
      <c r="EY165" s="449"/>
      <c r="EZ165" s="449"/>
      <c r="FA165" s="449"/>
      <c r="FB165" s="449"/>
      <c r="FC165" s="449"/>
      <c r="FD165" s="449"/>
      <c r="FE165" s="449"/>
      <c r="FF165" s="449"/>
      <c r="FG165" s="449"/>
      <c r="FH165" s="449"/>
      <c r="FI165" s="449"/>
      <c r="FJ165" s="449"/>
      <c r="FK165" s="449"/>
      <c r="FL165" s="449"/>
      <c r="FN165" s="449" t="s">
        <v>699</v>
      </c>
      <c r="FO165" s="449" t="s">
        <v>699</v>
      </c>
      <c r="FP165" s="449" t="s">
        <v>699</v>
      </c>
      <c r="FQ165" s="449" t="s">
        <v>699</v>
      </c>
      <c r="FR165" s="449" t="s">
        <v>699</v>
      </c>
      <c r="FS165" s="449" t="s">
        <v>699</v>
      </c>
      <c r="FT165" s="449" t="s">
        <v>699</v>
      </c>
      <c r="FU165" s="449" t="s">
        <v>699</v>
      </c>
      <c r="FV165" s="449" t="s">
        <v>699</v>
      </c>
      <c r="FW165" s="449" t="s">
        <v>699</v>
      </c>
      <c r="FX165" s="886" t="s">
        <v>699</v>
      </c>
      <c r="FY165" s="886" t="s">
        <v>699</v>
      </c>
      <c r="FZ165" s="886"/>
      <c r="GA165" s="886"/>
      <c r="GB165" s="886"/>
      <c r="GC165" s="886"/>
      <c r="GD165" s="886"/>
      <c r="GE165" s="886"/>
      <c r="GF165" s="886"/>
      <c r="GG165" s="886"/>
      <c r="GH165" s="886"/>
      <c r="GI165" s="886"/>
      <c r="GJ165" s="2668"/>
      <c r="GK165" s="2668"/>
      <c r="GL165" s="2668"/>
      <c r="GN165"/>
      <c r="GO165"/>
      <c r="GP165"/>
      <c r="GQ165"/>
      <c r="GR165"/>
      <c r="GS165"/>
    </row>
    <row r="166" spans="1:201" s="264" customFormat="1" ht="11.25" hidden="1" customHeight="1" outlineLevel="1">
      <c r="A166" s="323" t="s">
        <v>552</v>
      </c>
      <c r="B166" s="253"/>
      <c r="C166" s="253"/>
      <c r="D166" s="446"/>
      <c r="E166" s="449" t="str">
        <f>IF(ISERROR((#REF!/#REF!-1)*100),"--",(#REF!/#REF!-1)*100)</f>
        <v>--</v>
      </c>
      <c r="F166" s="449" t="str">
        <f>IF(ISERROR((#REF!/#REF!-1)*100),"--",(#REF!/#REF!-1)*100)</f>
        <v>--</v>
      </c>
      <c r="G166" s="449" t="str">
        <f>IF(ISERROR((#REF!/#REF!-1)*100),"--",(#REF!/#REF!-1)*100)</f>
        <v>--</v>
      </c>
      <c r="H166" s="449"/>
      <c r="I166" s="449" t="str">
        <f>IF(ISERROR((#REF!/#REF!-1)*100),"--",(#REF!/#REF!-1)*100)</f>
        <v>--</v>
      </c>
      <c r="J166" s="449" t="str">
        <f>IF(ISERROR((#REF!/#REF!-1)*100),"--",(#REF!/#REF!-1)*100)</f>
        <v>--</v>
      </c>
      <c r="K166" s="449" t="str">
        <f>IF(ISERROR((#REF!/#REF!-1)*100),"--",(#REF!/#REF!-1)*100)</f>
        <v>--</v>
      </c>
      <c r="L166" s="449" t="str">
        <f>IF(ISERROR((#REF!/#REF!-1)*100),"--",(#REF!/#REF!-1)*100)</f>
        <v>--</v>
      </c>
      <c r="M166" s="449"/>
      <c r="N166" s="449" t="str">
        <f>IF(ISERROR((#REF!/#REF!-1)*100),"--",(#REF!/#REF!-1)*100)</f>
        <v>--</v>
      </c>
      <c r="O166" s="449" t="str">
        <f>IF(ISERROR((#REF!/#REF!-1)*100),"--",(#REF!/#REF!-1)*100)</f>
        <v>--</v>
      </c>
      <c r="P166" s="449" t="str">
        <f>IF(ISERROR((#REF!/#REF!-1)*100),"--",(#REF!/#REF!-1)*100)</f>
        <v>--</v>
      </c>
      <c r="Q166" s="449" t="str">
        <f>IF(ISERROR((#REF!/#REF!-1)*100),"--",(#REF!/#REF!-1)*100)</f>
        <v>--</v>
      </c>
      <c r="R166" s="449"/>
      <c r="S166" s="449" t="str">
        <f>IF(ISERROR((#REF!/#REF!-1)*100),"--",(#REF!/#REF!-1)*100)</f>
        <v>--</v>
      </c>
      <c r="T166" s="449" t="str">
        <f>IF(ISERROR((#REF!/#REF!-1)*100),"--",(#REF!/#REF!-1)*100)</f>
        <v>--</v>
      </c>
      <c r="U166" s="449" t="str">
        <f>IF(ISERROR((#REF!/#REF!-1)*100),"--",(#REF!/#REF!-1)*100)</f>
        <v>--</v>
      </c>
      <c r="V166" s="449" t="str">
        <f>IF(ISERROR((#REF!/#REF!-1)*100),"--",(#REF!/#REF!-1)*100)</f>
        <v>--</v>
      </c>
      <c r="W166" s="449"/>
      <c r="X166" s="449" t="str">
        <f>IF(ISERROR((#REF!/#REF!-1)*100),"--",(#REF!/#REF!-1)*100)</f>
        <v>--</v>
      </c>
      <c r="Y166" s="449" t="str">
        <f>IF(ISERROR((#REF!/#REF!-1)*100),"--",(#REF!/#REF!-1)*100)</f>
        <v>--</v>
      </c>
      <c r="Z166" s="449" t="str">
        <f>IF(ISERROR((#REF!/#REF!-1)*100),"--",(#REF!/#REF!-1)*100)</f>
        <v>--</v>
      </c>
      <c r="AA166" s="449" t="str">
        <f>IF(ISERROR((#REF!/#REF!-1)*100),"--",(#REF!/#REF!-1)*100)</f>
        <v>--</v>
      </c>
      <c r="AB166" s="449"/>
      <c r="AC166" s="449" t="str">
        <f>IF(ISERROR((#REF!/#REF!-1)*100),"--",(#REF!/#REF!-1)*100)</f>
        <v>--</v>
      </c>
      <c r="AD166" s="449" t="str">
        <f>IF(ISERROR((#REF!/#REF!-1)*100),"--",(#REF!/#REF!-1)*100)</f>
        <v>--</v>
      </c>
      <c r="AE166" s="449" t="str">
        <f>IF(ISERROR((#REF!/#REF!-1)*100),"--",(#REF!/#REF!-1)*100)</f>
        <v>--</v>
      </c>
      <c r="AF166" s="449" t="str">
        <f>IF(ISERROR((#REF!/#REF!-1)*100),"--",(#REF!/#REF!-1)*100)</f>
        <v>--</v>
      </c>
      <c r="AG166" s="449"/>
      <c r="AH166" s="449" t="str">
        <f>IF(ISERROR((#REF!/#REF!-1)*100),"--",(#REF!/#REF!-1)*100)</f>
        <v>--</v>
      </c>
      <c r="AI166" s="449" t="str">
        <f>IF(ISERROR((#REF!/#REF!-1)*100),"--",(#REF!/#REF!-1)*100)</f>
        <v>--</v>
      </c>
      <c r="AJ166" s="449" t="str">
        <f>IF(ISERROR((#REF!/#REF!-1)*100),"--",(#REF!/#REF!-1)*100)</f>
        <v>--</v>
      </c>
      <c r="AK166" s="449" t="str">
        <f>IF(ISERROR((#REF!/#REF!-1)*100),"--",(#REF!/#REF!-1)*100)</f>
        <v>--</v>
      </c>
      <c r="AL166" s="449"/>
      <c r="AM166" s="449" t="str">
        <f>IF(ISERROR((#REF!/#REF!-1)*100),"--",(#REF!/#REF!-1)*100)</f>
        <v>--</v>
      </c>
      <c r="AN166" s="449" t="str">
        <f>IF(ISERROR((#REF!/#REF!-1)*100),"--",(#REF!/#REF!-1)*100)</f>
        <v>--</v>
      </c>
      <c r="AO166" s="449" t="str">
        <f>IF(ISERROR((#REF!/#REF!-1)*100),"--",(#REF!/#REF!-1)*100)</f>
        <v>--</v>
      </c>
      <c r="AP166" s="449" t="str">
        <f>IF(ISERROR((#REF!/#REF!-1)*100),"--",(#REF!/#REF!-1)*100)</f>
        <v>--</v>
      </c>
      <c r="AQ166" s="449"/>
      <c r="AR166" s="449" t="str">
        <f>IF(ISERROR((#REF!/#REF!-1)*100),"--",(#REF!/#REF!-1)*100)</f>
        <v>--</v>
      </c>
      <c r="AS166" s="449" t="str">
        <f>IF(ISERROR((#REF!/#REF!-1)*100),"--",(#REF!/#REF!-1)*100)</f>
        <v>--</v>
      </c>
      <c r="AT166" s="449" t="str">
        <f>IF(ISERROR((#REF!/#REF!-1)*100),"--",(#REF!/#REF!-1)*100)</f>
        <v>--</v>
      </c>
      <c r="AU166" s="449" t="str">
        <f>IF(ISERROR((#REF!/#REF!-1)*100),"--",(#REF!/#REF!-1)*100)</f>
        <v>--</v>
      </c>
      <c r="AV166" s="449"/>
      <c r="AW166" s="449" t="str">
        <f>IF(ISERROR((#REF!/#REF!-1)*100),"--",(#REF!/#REF!-1)*100)</f>
        <v>--</v>
      </c>
      <c r="AX166" s="449" t="str">
        <f>IF(ISERROR((#REF!/#REF!-1)*100),"--",(#REF!/#REF!-1)*100)</f>
        <v>--</v>
      </c>
      <c r="AY166" s="449" t="str">
        <f>IF(ISERROR((#REF!/#REF!-1)*100),"--",(#REF!/#REF!-1)*100)</f>
        <v>--</v>
      </c>
      <c r="AZ166" s="449" t="str">
        <f>IF(ISERROR((#REF!/#REF!-1)*100),"--",(#REF!/#REF!-1)*100)</f>
        <v>--</v>
      </c>
      <c r="BA166" s="449"/>
      <c r="BB166" s="449" t="str">
        <f>IF(ISERROR((#REF!/#REF!-1)*100),"--",(#REF!/#REF!-1)*100)</f>
        <v>--</v>
      </c>
      <c r="BC166" s="449" t="str">
        <f>IF(ISERROR((#REF!/#REF!-1)*100),"--",(#REF!/#REF!-1)*100)</f>
        <v>--</v>
      </c>
      <c r="BD166" s="449" t="str">
        <f>IF(ISERROR((#REF!/#REF!-1)*100),"--",(#REF!/#REF!-1)*100)</f>
        <v>--</v>
      </c>
      <c r="BE166" s="449" t="str">
        <f>IF(ISERROR((#REF!/#REF!-1)*100),"--",(#REF!/#REF!-1)*100)</f>
        <v>--</v>
      </c>
      <c r="BF166" s="449"/>
      <c r="BG166" s="449" t="str">
        <f>IF(ISERROR((#REF!/#REF!-1)*100),"--",(#REF!/#REF!-1)*100)</f>
        <v>--</v>
      </c>
      <c r="BH166" s="449" t="str">
        <f>IF(ISERROR((#REF!/#REF!-1)*100),"--",(#REF!/#REF!-1)*100)</f>
        <v>--</v>
      </c>
      <c r="BI166" s="449" t="str">
        <f>IF(ISERROR((#REF!/#REF!-1)*100),"--",(#REF!/#REF!-1)*100)</f>
        <v>--</v>
      </c>
      <c r="BJ166" s="449" t="str">
        <f>IF(ISERROR((#REF!/#REF!-1)*100),"--",(#REF!/#REF!-1)*100)</f>
        <v>--</v>
      </c>
      <c r="BK166" s="449"/>
      <c r="BL166" s="449" t="str">
        <f>IF(ISERROR((#REF!/#REF!-1)*100),"--",(#REF!/#REF!-1)*100)</f>
        <v>--</v>
      </c>
      <c r="BM166" s="449" t="str">
        <f>IF(ISERROR((#REF!/#REF!-1)*100),"--",(#REF!/#REF!-1)*100)</f>
        <v>--</v>
      </c>
      <c r="BN166" s="449" t="str">
        <f>IF(ISERROR((#REF!/#REF!-1)*100),"--",(#REF!/#REF!-1)*100)</f>
        <v>--</v>
      </c>
      <c r="BO166" s="449" t="str">
        <f>IF(ISERROR((#REF!/#REF!-1)*100),"--",(#REF!/#REF!-1)*100)</f>
        <v>--</v>
      </c>
      <c r="BP166" s="449"/>
      <c r="BQ166" s="449" t="str">
        <f>IF(ISERROR((#REF!/#REF!-1)*100),"--",(#REF!/#REF!-1)*100)</f>
        <v>--</v>
      </c>
      <c r="BR166" s="449" t="str">
        <f>IF(ISERROR((#REF!/#REF!-1)*100),"--",(#REF!/#REF!-1)*100)</f>
        <v>--</v>
      </c>
      <c r="BS166" s="449" t="str">
        <f>IF(ISERROR((#REF!/#REF!-1)*100),"--",(#REF!/#REF!-1)*100)</f>
        <v>--</v>
      </c>
      <c r="BT166" s="449" t="str">
        <f>IF(ISERROR((#REF!/#REF!-1)*100),"--",(#REF!/#REF!-1)*100)</f>
        <v>--</v>
      </c>
      <c r="BU166" s="449"/>
      <c r="BV166" s="449" t="str">
        <f>IF(ISERROR((#REF!/#REF!-1)*100),"--",(#REF!/#REF!-1)*100)</f>
        <v>--</v>
      </c>
      <c r="BW166" s="449" t="str">
        <f>IF(ISERROR((#REF!/#REF!-1)*100),"--",(#REF!/#REF!-1)*100)</f>
        <v>--</v>
      </c>
      <c r="BX166" s="449" t="str">
        <f>IF(ISERROR((#REF!/#REF!-1)*100),"--",(#REF!/#REF!-1)*100)</f>
        <v>--</v>
      </c>
      <c r="BY166" s="449" t="str">
        <f>IF(ISERROR((#REF!/#REF!-1)*100),"--",(#REF!/#REF!-1)*100)</f>
        <v>--</v>
      </c>
      <c r="BZ166" s="449"/>
      <c r="CA166" s="449" t="str">
        <f>IF(ISERROR((#REF!/#REF!-1)*100),"--",(#REF!/#REF!-1)*100)</f>
        <v>--</v>
      </c>
      <c r="CB166" s="449" t="str">
        <f>IF(ISERROR((#REF!/#REF!-1)*100),"--",(#REF!/#REF!-1)*100)</f>
        <v>--</v>
      </c>
      <c r="CC166" s="449" t="str">
        <f>IF(ISERROR((#REF!/#REF!-1)*100),"--",(#REF!/#REF!-1)*100)</f>
        <v>--</v>
      </c>
      <c r="CD166" s="449" t="str">
        <f>IF(ISERROR((#REF!/#REF!-1)*100),"--",(#REF!/#REF!-1)*100)</f>
        <v>--</v>
      </c>
      <c r="CE166" s="449"/>
      <c r="CF166" s="449" t="str">
        <f>IF(ISERROR((#REF!/#REF!-1)*100),"--",(#REF!/#REF!-1)*100)</f>
        <v>--</v>
      </c>
      <c r="CG166" s="449" t="str">
        <f>IF(ISERROR((#REF!/#REF!-1)*100),"--",(#REF!/#REF!-1)*100)</f>
        <v>--</v>
      </c>
      <c r="CH166" s="449" t="str">
        <f>IF(ISERROR((#REF!/#REF!-1)*100),"--",(#REF!/#REF!-1)*100)</f>
        <v>--</v>
      </c>
      <c r="CI166" s="449" t="str">
        <f>IF(ISERROR((#REF!/#REF!-1)*100),"--",(#REF!/#REF!-1)*100)</f>
        <v>--</v>
      </c>
      <c r="CJ166" s="449"/>
      <c r="CK166" s="449" t="str">
        <f>IF(ISERROR((#REF!/#REF!-1)*100),"--",(#REF!/#REF!-1)*100)</f>
        <v>--</v>
      </c>
      <c r="CL166" s="449" t="str">
        <f>IF(ISERROR((#REF!/#REF!-1)*100),"--",(#REF!/#REF!-1)*100)</f>
        <v>--</v>
      </c>
      <c r="CM166" s="449" t="str">
        <f>IF(ISERROR((#REF!/#REF!-1)*100),"--",(#REF!/#REF!-1)*100)</f>
        <v>--</v>
      </c>
      <c r="CN166" s="449" t="str">
        <f>IF(ISERROR((#REF!/#REF!-1)*100),"--",(#REF!/#REF!-1)*100)</f>
        <v>--</v>
      </c>
      <c r="CO166" s="449"/>
      <c r="CP166" s="449" t="str">
        <f>IF(ISERROR((#REF!/#REF!-1)*100),"--",(#REF!/#REF!-1)*100)</f>
        <v>--</v>
      </c>
      <c r="CQ166" s="449" t="str">
        <f>IF(ISERROR((#REF!/#REF!-1)*100),"--",(#REF!/#REF!-1)*100)</f>
        <v>--</v>
      </c>
      <c r="CR166" s="449" t="str">
        <f>IF(ISERROR((#REF!/#REF!-1)*100),"--",(#REF!/#REF!-1)*100)</f>
        <v>--</v>
      </c>
      <c r="CS166" s="449" t="str">
        <f>IF(ISERROR((#REF!/#REF!-1)*100),"--",(#REF!/#REF!-1)*100)</f>
        <v>--</v>
      </c>
      <c r="CT166" s="449"/>
      <c r="CU166" s="449" t="str">
        <f>IF(ISERROR((#REF!/#REF!-1)*100),"--",(#REF!/#REF!-1)*100)</f>
        <v>--</v>
      </c>
      <c r="CV166" s="449" t="str">
        <f>IF(ISERROR((#REF!/#REF!-1)*100),"--",(#REF!/#REF!-1)*100)</f>
        <v>--</v>
      </c>
      <c r="CW166" s="449" t="str">
        <f>IF(ISERROR((#REF!/#REF!-1)*100),"--",(#REF!/#REF!-1)*100)</f>
        <v>--</v>
      </c>
      <c r="CX166" s="449" t="str">
        <f>IF(ISERROR((#REF!/#REF!-1)*100),"--",(#REF!/#REF!-1)*100)</f>
        <v>--</v>
      </c>
      <c r="CY166" s="449"/>
      <c r="CZ166" s="449"/>
      <c r="DA166" s="449"/>
      <c r="DB166" s="449"/>
      <c r="DC166" s="450"/>
      <c r="DD166" s="449"/>
      <c r="DE166" s="449"/>
      <c r="DF166" s="449"/>
      <c r="DG166" s="449"/>
      <c r="DH166" s="450"/>
      <c r="DI166" s="449"/>
      <c r="DJ166" s="450"/>
      <c r="DK166" s="450"/>
      <c r="DL166" s="450"/>
      <c r="DM166" s="450"/>
      <c r="DN166" s="449"/>
      <c r="DO166" s="449"/>
      <c r="DP166" s="450"/>
      <c r="DQ166" s="450"/>
      <c r="DR166" s="450"/>
      <c r="DS166" s="450"/>
      <c r="DT166" s="450"/>
      <c r="DU166" s="450"/>
      <c r="DV166" s="450"/>
      <c r="DW166" s="450"/>
      <c r="DX166" s="450"/>
      <c r="DY166" s="450"/>
      <c r="DZ166" s="450"/>
      <c r="EA166" s="449"/>
      <c r="EB166" s="450"/>
      <c r="EC166" s="449"/>
      <c r="ED166" s="450"/>
      <c r="EE166" s="450"/>
      <c r="EF166" s="450"/>
      <c r="EG166" s="450"/>
      <c r="EH166" s="449"/>
      <c r="EI166" s="2761"/>
      <c r="EJ166" s="2761"/>
      <c r="EK166" s="2761"/>
      <c r="EL166" s="2761"/>
      <c r="EM166" s="2762"/>
      <c r="EN166" s="2761"/>
      <c r="EO166" s="2761"/>
      <c r="EP166" s="2762"/>
      <c r="EQ166" s="2762"/>
      <c r="ER166" s="2762"/>
      <c r="ES166" s="449"/>
      <c r="ET166" s="2761"/>
      <c r="EU166" s="449"/>
      <c r="EV166" s="449"/>
      <c r="EW166" s="449"/>
      <c r="EX166" s="449"/>
      <c r="EY166" s="449"/>
      <c r="EZ166" s="449"/>
      <c r="FA166" s="449"/>
      <c r="FB166" s="449"/>
      <c r="FC166" s="449"/>
      <c r="FD166" s="449"/>
      <c r="FE166" s="449"/>
      <c r="FF166" s="449"/>
      <c r="FG166" s="449"/>
      <c r="FH166" s="449"/>
      <c r="FI166" s="449"/>
      <c r="FJ166" s="449"/>
      <c r="FK166" s="449"/>
      <c r="FL166" s="449"/>
      <c r="FN166" s="449" t="str">
        <f>IF(ISERROR((#REF!/#REF!-1)*100),"--",(#REF!/#REF!-1)*100)</f>
        <v>--</v>
      </c>
      <c r="FO166" s="449" t="str">
        <f>IF(ISERROR((#REF!/#REF!-1)*100),"--",(#REF!/#REF!-1)*100)</f>
        <v>--</v>
      </c>
      <c r="FP166" s="449" t="str">
        <f>IF(ISERROR((#REF!/#REF!-1)*100),"--",(#REF!/#REF!-1)*100)</f>
        <v>--</v>
      </c>
      <c r="FQ166" s="449" t="str">
        <f>IF(ISERROR((#REF!/#REF!-1)*100),"--",(#REF!/#REF!-1)*100)</f>
        <v>--</v>
      </c>
      <c r="FR166" s="449" t="str">
        <f>IF(ISERROR((#REF!/#REF!-1)*100),"--",(#REF!/#REF!-1)*100)</f>
        <v>--</v>
      </c>
      <c r="FS166" s="449" t="str">
        <f>IF(ISERROR((#REF!/#REF!-1)*100),"--",(#REF!/#REF!-1)*100)</f>
        <v>--</v>
      </c>
      <c r="FT166" s="449" t="str">
        <f>IF(ISERROR((#REF!/#REF!-1)*100),"--",(#REF!/#REF!-1)*100)</f>
        <v>--</v>
      </c>
      <c r="FU166" s="449" t="str">
        <f>IF(ISERROR((#REF!/#REF!-1)*100),"--",(#REF!/#REF!-1)*100)</f>
        <v>--</v>
      </c>
      <c r="FV166" s="449" t="str">
        <f>IF(ISERROR((#REF!/#REF!-1)*100),"--",(#REF!/#REF!-1)*100)</f>
        <v>--</v>
      </c>
      <c r="FW166" s="449" t="str">
        <f>IF(ISERROR((#REF!/#REF!-1)*100),"--",(#REF!/#REF!-1)*100)</f>
        <v>--</v>
      </c>
      <c r="FX166" s="451" t="str">
        <f>IF(ISERROR((#REF!/#REF!-1)*100),"--",(#REF!/#REF!-1)*100)</f>
        <v>--</v>
      </c>
      <c r="FY166" s="451" t="str">
        <f>IF(ISERROR((#REF!/#REF!-1)*100),"--",(#REF!/#REF!-1)*100)</f>
        <v>--</v>
      </c>
      <c r="FZ166" s="451"/>
      <c r="GA166" s="451"/>
      <c r="GB166" s="451"/>
      <c r="GC166" s="886"/>
      <c r="GD166" s="886"/>
      <c r="GE166" s="886"/>
      <c r="GF166" s="886"/>
      <c r="GG166" s="886"/>
      <c r="GH166" s="886"/>
      <c r="GI166" s="886"/>
      <c r="GJ166" s="2668"/>
      <c r="GK166" s="2668"/>
      <c r="GL166" s="2668"/>
      <c r="GN166"/>
      <c r="GO166"/>
      <c r="GP166"/>
      <c r="GQ166"/>
      <c r="GR166"/>
      <c r="GS166"/>
    </row>
    <row r="167" spans="1:201" s="307" customFormat="1" ht="11.25" customHeight="1" collapsed="1">
      <c r="A167" s="303" t="s">
        <v>553</v>
      </c>
      <c r="B167" s="303"/>
      <c r="C167" s="303"/>
      <c r="D167" s="329" t="str">
        <f>IF(ISERROR((#REF!/#REF!-1)*100),"--",(#REF!/#REF!-1)*100)</f>
        <v>--</v>
      </c>
      <c r="E167" s="329" t="str">
        <f>IF(ISERROR((#REF!/#REF!-1)*100),"--",(#REF!/#REF!-1)*100)</f>
        <v>--</v>
      </c>
      <c r="F167" s="329" t="str">
        <f>IF(ISERROR((#REF!/#REF!-1)*100),"--",(#REF!/#REF!-1)*100)</f>
        <v>--</v>
      </c>
      <c r="G167" s="329" t="str">
        <f>IF(ISERROR((#REF!/#REF!-1)*100),"--",(#REF!/#REF!-1)*100)</f>
        <v>--</v>
      </c>
      <c r="H167" s="331"/>
      <c r="I167" s="329" t="str">
        <f>IF(ISERROR((#REF!/#REF!-1)*100),"--",(#REF!/#REF!-1)*100)</f>
        <v>--</v>
      </c>
      <c r="J167" s="329" t="str">
        <f>IF(ISERROR((#REF!/#REF!-1)*100),"--",(#REF!/#REF!-1)*100)</f>
        <v>--</v>
      </c>
      <c r="K167" s="329" t="str">
        <f>IF(ISERROR((#REF!/#REF!-1)*100),"--",(#REF!/#REF!-1)*100)</f>
        <v>--</v>
      </c>
      <c r="L167" s="329" t="str">
        <f>IF(ISERROR((#REF!/#REF!-1)*100),"--",(#REF!/#REF!-1)*100)</f>
        <v>--</v>
      </c>
      <c r="M167" s="331"/>
      <c r="N167" s="329" t="str">
        <f>IF(ISERROR((#REF!/#REF!-1)*100),"--",(#REF!/#REF!-1)*100)</f>
        <v>--</v>
      </c>
      <c r="O167" s="329" t="str">
        <f>IF(ISERROR((#REF!/#REF!-1)*100),"--",(#REF!/#REF!-1)*100)</f>
        <v>--</v>
      </c>
      <c r="P167" s="329" t="str">
        <f>IF(ISERROR((#REF!/#REF!-1)*100),"--",(#REF!/#REF!-1)*100)</f>
        <v>--</v>
      </c>
      <c r="Q167" s="329" t="str">
        <f>IF(ISERROR((#REF!/#REF!-1)*100),"--",(#REF!/#REF!-1)*100)</f>
        <v>--</v>
      </c>
      <c r="R167" s="331"/>
      <c r="S167" s="329" t="str">
        <f>IF(ISERROR((#REF!/#REF!-1)*100),"--",(#REF!/#REF!-1)*100)</f>
        <v>--</v>
      </c>
      <c r="T167" s="329" t="str">
        <f>IF(ISERROR((#REF!/#REF!-1)*100),"--",(#REF!/#REF!-1)*100)</f>
        <v>--</v>
      </c>
      <c r="U167" s="329" t="str">
        <f>IF(ISERROR((#REF!/#REF!-1)*100),"--",(#REF!/#REF!-1)*100)</f>
        <v>--</v>
      </c>
      <c r="V167" s="329" t="str">
        <f>IF(ISERROR((#REF!/#REF!-1)*100),"--",(#REF!/#REF!-1)*100)</f>
        <v>--</v>
      </c>
      <c r="W167" s="331"/>
      <c r="X167" s="329" t="str">
        <f>IF(ISERROR((#REF!/#REF!-1)*100),"--",(#REF!/#REF!-1)*100)</f>
        <v>--</v>
      </c>
      <c r="Y167" s="329" t="str">
        <f>IF(ISERROR((#REF!/#REF!-1)*100),"--",(#REF!/#REF!-1)*100)</f>
        <v>--</v>
      </c>
      <c r="Z167" s="329" t="str">
        <f>IF(ISERROR((#REF!/#REF!-1)*100),"--",(#REF!/#REF!-1)*100)</f>
        <v>--</v>
      </c>
      <c r="AA167" s="329" t="str">
        <f>IF(ISERROR((#REF!/#REF!-1)*100),"--",(#REF!/#REF!-1)*100)</f>
        <v>--</v>
      </c>
      <c r="AB167" s="331"/>
      <c r="AC167" s="329" t="str">
        <f>IF(ISERROR((#REF!/#REF!-1)*100),"--",(#REF!/#REF!-1)*100)</f>
        <v>--</v>
      </c>
      <c r="AD167" s="329" t="str">
        <f>IF(ISERROR((#REF!/#REF!-1)*100),"--",(#REF!/#REF!-1)*100)</f>
        <v>--</v>
      </c>
      <c r="AE167" s="329" t="str">
        <f>IF(ISERROR((#REF!/#REF!-1)*100),"--",(#REF!/#REF!-1)*100)</f>
        <v>--</v>
      </c>
      <c r="AF167" s="329" t="str">
        <f>IF(ISERROR((#REF!/#REF!-1)*100),"--",(#REF!/#REF!-1)*100)</f>
        <v>--</v>
      </c>
      <c r="AG167" s="331"/>
      <c r="AH167" s="329" t="str">
        <f>IF(ISERROR((#REF!/#REF!-1)*100),"--",(#REF!/#REF!-1)*100)</f>
        <v>--</v>
      </c>
      <c r="AI167" s="329" t="str">
        <f>IF(ISERROR((#REF!/#REF!-1)*100),"--",(#REF!/#REF!-1)*100)</f>
        <v>--</v>
      </c>
      <c r="AJ167" s="329" t="str">
        <f>IF(ISERROR((#REF!/#REF!-1)*100),"--",(#REF!/#REF!-1)*100)</f>
        <v>--</v>
      </c>
      <c r="AK167" s="329" t="str">
        <f>IF(ISERROR((#REF!/#REF!-1)*100),"--",(#REF!/#REF!-1)*100)</f>
        <v>--</v>
      </c>
      <c r="AL167" s="331"/>
      <c r="AM167" s="329" t="str">
        <f>IF(ISERROR((#REF!/#REF!-1)*100),"--",(#REF!/#REF!-1)*100)</f>
        <v>--</v>
      </c>
      <c r="AN167" s="329" t="str">
        <f>IF(ISERROR((#REF!/#REF!-1)*100),"--",(#REF!/#REF!-1)*100)</f>
        <v>--</v>
      </c>
      <c r="AO167" s="329" t="str">
        <f>IF(ISERROR((#REF!/#REF!-1)*100),"--",(#REF!/#REF!-1)*100)</f>
        <v>--</v>
      </c>
      <c r="AP167" s="329" t="str">
        <f>IF(ISERROR((#REF!/#REF!-1)*100),"--",(#REF!/#REF!-1)*100)</f>
        <v>--</v>
      </c>
      <c r="AQ167" s="331"/>
      <c r="AR167" s="329" t="str">
        <f>IF(ISERROR((#REF!/#REF!-1)*100),"--",(#REF!/#REF!-1)*100)</f>
        <v>--</v>
      </c>
      <c r="AS167" s="329" t="str">
        <f>IF(ISERROR((#REF!/#REF!-1)*100),"--",(#REF!/#REF!-1)*100)</f>
        <v>--</v>
      </c>
      <c r="AT167" s="329" t="str">
        <f>IF(ISERROR((#REF!/#REF!-1)*100),"--",(#REF!/#REF!-1)*100)</f>
        <v>--</v>
      </c>
      <c r="AU167" s="329" t="str">
        <f>IF(ISERROR((#REF!/#REF!-1)*100),"--",(#REF!/#REF!-1)*100)</f>
        <v>--</v>
      </c>
      <c r="AV167" s="331"/>
      <c r="AW167" s="329" t="str">
        <f>IF(ISERROR((#REF!/#REF!-1)*100),"--",(#REF!/#REF!-1)*100)</f>
        <v>--</v>
      </c>
      <c r="AX167" s="329" t="str">
        <f>IF(ISERROR((#REF!/#REF!-1)*100),"--",(#REF!/#REF!-1)*100)</f>
        <v>--</v>
      </c>
      <c r="AY167" s="329" t="str">
        <f>IF(ISERROR((#REF!/#REF!-1)*100),"--",(#REF!/#REF!-1)*100)</f>
        <v>--</v>
      </c>
      <c r="AZ167" s="329" t="str">
        <f>IF(ISERROR((#REF!/#REF!-1)*100),"--",(#REF!/#REF!-1)*100)</f>
        <v>--</v>
      </c>
      <c r="BA167" s="331"/>
      <c r="BB167" s="329" t="str">
        <f>IF(ISERROR((#REF!/#REF!-1)*100),"--",(#REF!/#REF!-1)*100)</f>
        <v>--</v>
      </c>
      <c r="BC167" s="329" t="str">
        <f>IF(ISERROR((#REF!/#REF!-1)*100),"--",(#REF!/#REF!-1)*100)</f>
        <v>--</v>
      </c>
      <c r="BD167" s="329" t="str">
        <f>IF(ISERROR((#REF!/#REF!-1)*100),"--",(#REF!/#REF!-1)*100)</f>
        <v>--</v>
      </c>
      <c r="BE167" s="329" t="str">
        <f>IF(ISERROR((#REF!/#REF!-1)*100),"--",(#REF!/#REF!-1)*100)</f>
        <v>--</v>
      </c>
      <c r="BF167" s="331"/>
      <c r="BG167" s="329" t="str">
        <f>IF(ISERROR((#REF!/#REF!-1)*100),"--",(#REF!/#REF!-1)*100)</f>
        <v>--</v>
      </c>
      <c r="BH167" s="329" t="str">
        <f>IF(ISERROR((#REF!/#REF!-1)*100),"--",(#REF!/#REF!-1)*100)</f>
        <v>--</v>
      </c>
      <c r="BI167" s="329" t="str">
        <f>IF(ISERROR((#REF!/#REF!-1)*100),"--",(#REF!/#REF!-1)*100)</f>
        <v>--</v>
      </c>
      <c r="BJ167" s="329" t="str">
        <f>IF(ISERROR((#REF!/#REF!-1)*100),"--",(#REF!/#REF!-1)*100)</f>
        <v>--</v>
      </c>
      <c r="BK167" s="331"/>
      <c r="BL167" s="329" t="str">
        <f>IF(ISERROR((#REF!/#REF!-1)*100),"--",(#REF!/#REF!-1)*100)</f>
        <v>--</v>
      </c>
      <c r="BM167" s="329" t="str">
        <f>IF(ISERROR((#REF!/#REF!-1)*100),"--",(#REF!/#REF!-1)*100)</f>
        <v>--</v>
      </c>
      <c r="BN167" s="329" t="str">
        <f>IF(ISERROR((#REF!/#REF!-1)*100),"--",(#REF!/#REF!-1)*100)</f>
        <v>--</v>
      </c>
      <c r="BO167" s="329" t="str">
        <f>IF(ISERROR((#REF!/#REF!-1)*100),"--",(#REF!/#REF!-1)*100)</f>
        <v>--</v>
      </c>
      <c r="BP167" s="331"/>
      <c r="BQ167" s="329" t="str">
        <f>IF(ISERROR((#REF!/#REF!-1)*100),"--",(#REF!/#REF!-1)*100)</f>
        <v>--</v>
      </c>
      <c r="BR167" s="329" t="str">
        <f>IF(ISERROR((#REF!/#REF!-1)*100),"--",(#REF!/#REF!-1)*100)</f>
        <v>--</v>
      </c>
      <c r="BS167" s="329" t="str">
        <f>IF(ISERROR((#REF!/#REF!-1)*100),"--",(#REF!/#REF!-1)*100)</f>
        <v>--</v>
      </c>
      <c r="BT167" s="329" t="str">
        <f>IF(ISERROR((#REF!/#REF!-1)*100),"--",(#REF!/#REF!-1)*100)</f>
        <v>--</v>
      </c>
      <c r="BU167" s="331"/>
      <c r="BV167" s="329" t="str">
        <f>IF(ISERROR((#REF!/#REF!-1)*100),"--",(#REF!/#REF!-1)*100)</f>
        <v>--</v>
      </c>
      <c r="BW167" s="329" t="str">
        <f>IF(ISERROR((#REF!/#REF!-1)*100),"--",(#REF!/#REF!-1)*100)</f>
        <v>--</v>
      </c>
      <c r="BX167" s="329" t="str">
        <f>IF(ISERROR((#REF!/#REF!-1)*100),"--",(#REF!/#REF!-1)*100)</f>
        <v>--</v>
      </c>
      <c r="BY167" s="329" t="str">
        <f>IF(ISERROR((#REF!/#REF!-1)*100),"--",(#REF!/#REF!-1)*100)</f>
        <v>--</v>
      </c>
      <c r="BZ167" s="331"/>
      <c r="CA167" s="329" t="str">
        <f>IF(ISERROR((#REF!/#REF!-1)*100),"--",(#REF!/#REF!-1)*100)</f>
        <v>--</v>
      </c>
      <c r="CB167" s="329" t="str">
        <f>IF(ISERROR((#REF!/#REF!-1)*100),"--",(#REF!/#REF!-1)*100)</f>
        <v>--</v>
      </c>
      <c r="CC167" s="329" t="str">
        <f>IF(ISERROR((#REF!/#REF!-1)*100),"--",(#REF!/#REF!-1)*100)</f>
        <v>--</v>
      </c>
      <c r="CD167" s="329" t="str">
        <f>IF(ISERROR((#REF!/#REF!-1)*100),"--",(#REF!/#REF!-1)*100)</f>
        <v>--</v>
      </c>
      <c r="CE167" s="331"/>
      <c r="CF167" s="329" t="str">
        <f>IF(ISERROR((#REF!/#REF!-1)*100),"--",(#REF!/#REF!-1)*100)</f>
        <v>--</v>
      </c>
      <c r="CG167" s="329" t="str">
        <f>IF(ISERROR((#REF!/#REF!-1)*100),"--",(#REF!/#REF!-1)*100)</f>
        <v>--</v>
      </c>
      <c r="CH167" s="329" t="str">
        <f>IF(ISERROR((#REF!/#REF!-1)*100),"--",(#REF!/#REF!-1)*100)</f>
        <v>--</v>
      </c>
      <c r="CI167" s="329" t="str">
        <f>IF(ISERROR((#REF!/#REF!-1)*100),"--",(#REF!/#REF!-1)*100)</f>
        <v>--</v>
      </c>
      <c r="CJ167" s="331"/>
      <c r="CK167" s="329" t="str">
        <f>IF(ISERROR((#REF!/#REF!-1)*100),"--",(#REF!/#REF!-1)*100)</f>
        <v>--</v>
      </c>
      <c r="CL167" s="329" t="str">
        <f>IF(ISERROR((#REF!/#REF!-1)*100),"--",(#REF!/#REF!-1)*100)</f>
        <v>--</v>
      </c>
      <c r="CM167" s="329" t="str">
        <f>IF(ISERROR((#REF!/#REF!-1)*100),"--",(#REF!/#REF!-1)*100)</f>
        <v>--</v>
      </c>
      <c r="CN167" s="329" t="str">
        <f>IF(ISERROR((#REF!/#REF!-1)*100),"--",(#REF!/#REF!-1)*100)</f>
        <v>--</v>
      </c>
      <c r="CO167" s="331"/>
      <c r="CP167" s="329" t="str">
        <f>IF(ISERROR((#REF!/#REF!-1)*100),"--",(#REF!/#REF!-1)*100)</f>
        <v>--</v>
      </c>
      <c r="CQ167" s="329" t="str">
        <f>IF(ISERROR((#REF!/#REF!-1)*100),"--",(#REF!/#REF!-1)*100)</f>
        <v>--</v>
      </c>
      <c r="CR167" s="329" t="str">
        <f>IF(ISERROR((#REF!/#REF!-1)*100),"--",(#REF!/#REF!-1)*100)</f>
        <v>--</v>
      </c>
      <c r="CS167" s="329" t="str">
        <f>IF(ISERROR((#REF!/#REF!-1)*100),"--",(#REF!/#REF!-1)*100)</f>
        <v>--</v>
      </c>
      <c r="CT167" s="331"/>
      <c r="CU167" s="329" t="str">
        <f>IF(ISERROR((#REF!/#REF!-1)*100),"--",(#REF!/#REF!-1)*100)</f>
        <v>--</v>
      </c>
      <c r="CV167" s="329" t="str">
        <f>IF(ISERROR((#REF!/#REF!-1)*100),"--",(#REF!/#REF!-1)*100)</f>
        <v>--</v>
      </c>
      <c r="CW167" s="329" t="str">
        <f>IF(ISERROR((#REF!/#REF!-1)*100),"--",(#REF!/#REF!-1)*100)</f>
        <v>--</v>
      </c>
      <c r="CX167" s="329" t="str">
        <f>IF(ISERROR((#REF!/#REF!-1)*100),"--",(#REF!/#REF!-1)*100)</f>
        <v>--</v>
      </c>
      <c r="CY167" s="331"/>
      <c r="CZ167" s="329"/>
      <c r="DA167" s="329"/>
      <c r="DB167" s="329"/>
      <c r="DC167" s="332"/>
      <c r="DD167" s="331"/>
      <c r="DE167" s="329"/>
      <c r="DF167" s="329"/>
      <c r="DG167" s="329"/>
      <c r="DH167" s="332"/>
      <c r="DI167" s="331"/>
      <c r="DJ167" s="332"/>
      <c r="DK167" s="332"/>
      <c r="DL167" s="332"/>
      <c r="DM167" s="332"/>
      <c r="DN167" s="331"/>
      <c r="DO167" s="329"/>
      <c r="DP167" s="332"/>
      <c r="DQ167" s="332"/>
      <c r="DR167" s="332"/>
      <c r="DS167" s="333"/>
      <c r="DT167" s="332"/>
      <c r="DU167" s="332"/>
      <c r="DV167" s="332"/>
      <c r="DW167" s="332"/>
      <c r="DX167" s="333"/>
      <c r="DY167" s="332"/>
      <c r="DZ167" s="332"/>
      <c r="EA167" s="329"/>
      <c r="EB167" s="332"/>
      <c r="EC167" s="331"/>
      <c r="ED167" s="332"/>
      <c r="EE167" s="332"/>
      <c r="EF167" s="332"/>
      <c r="EG167" s="332"/>
      <c r="EH167" s="331"/>
      <c r="EI167" s="2752"/>
      <c r="EJ167" s="2752"/>
      <c r="EK167" s="2752"/>
      <c r="EL167" s="2752"/>
      <c r="EM167" s="2696"/>
      <c r="EN167" s="2752"/>
      <c r="EO167" s="2752"/>
      <c r="EP167" s="2702"/>
      <c r="EQ167" s="2702"/>
      <c r="ER167" s="2696"/>
      <c r="ES167" s="329"/>
      <c r="ET167" s="2752"/>
      <c r="EU167" s="329"/>
      <c r="EV167" s="329"/>
      <c r="EW167" s="331"/>
      <c r="EX167" s="329"/>
      <c r="EY167" s="329"/>
      <c r="EZ167" s="329"/>
      <c r="FA167" s="329"/>
      <c r="FB167" s="331"/>
      <c r="FC167" s="329"/>
      <c r="FD167" s="329"/>
      <c r="FE167" s="329"/>
      <c r="FF167" s="329"/>
      <c r="FG167" s="331"/>
      <c r="FH167" s="329"/>
      <c r="FI167" s="329"/>
      <c r="FJ167" s="329"/>
      <c r="FK167" s="329"/>
      <c r="FL167" s="331"/>
      <c r="FN167" s="330" t="s">
        <v>699</v>
      </c>
      <c r="FO167" s="330" t="s">
        <v>699</v>
      </c>
      <c r="FP167" s="330" t="s">
        <v>699</v>
      </c>
      <c r="FQ167" s="330" t="s">
        <v>699</v>
      </c>
      <c r="FR167" s="330" t="s">
        <v>699</v>
      </c>
      <c r="FS167" s="330" t="s">
        <v>699</v>
      </c>
      <c r="FT167" s="330" t="s">
        <v>699</v>
      </c>
      <c r="FU167" s="330" t="s">
        <v>699</v>
      </c>
      <c r="FV167" s="330" t="s">
        <v>699</v>
      </c>
      <c r="FW167" s="330" t="s">
        <v>699</v>
      </c>
      <c r="FX167" s="434" t="s">
        <v>699</v>
      </c>
      <c r="FY167" s="434" t="s">
        <v>699</v>
      </c>
      <c r="FZ167" s="434"/>
      <c r="GA167" s="434"/>
      <c r="GB167" s="434"/>
      <c r="GC167" s="330"/>
      <c r="GD167" s="330"/>
      <c r="GE167" s="330"/>
      <c r="GF167" s="330"/>
      <c r="GG167" s="330"/>
      <c r="GH167" s="330"/>
      <c r="GI167" s="330"/>
      <c r="GJ167" s="303"/>
      <c r="GK167" s="303"/>
      <c r="GL167" s="303"/>
      <c r="GN167"/>
      <c r="GO167"/>
      <c r="GP167"/>
      <c r="GQ167"/>
      <c r="GR167"/>
      <c r="GS167"/>
    </row>
    <row r="168" spans="1:201" s="264" customFormat="1" ht="3" hidden="1" customHeight="1" outlineLevel="1">
      <c r="A168" s="253"/>
      <c r="B168" s="253"/>
      <c r="C168" s="253"/>
      <c r="D168" s="253"/>
      <c r="E168" s="253"/>
      <c r="F168" s="253"/>
      <c r="G168" s="253"/>
      <c r="H168" s="253"/>
      <c r="I168" s="253"/>
      <c r="J168" s="253"/>
      <c r="K168" s="253"/>
      <c r="L168" s="253"/>
      <c r="M168" s="253"/>
      <c r="N168" s="253"/>
      <c r="O168" s="253"/>
      <c r="P168" s="253"/>
      <c r="Q168" s="253"/>
      <c r="R168" s="253"/>
      <c r="S168" s="253"/>
      <c r="T168" s="253"/>
      <c r="U168" s="253"/>
      <c r="V168" s="253"/>
      <c r="W168" s="253"/>
      <c r="X168" s="253"/>
      <c r="Y168" s="253"/>
      <c r="Z168" s="253"/>
      <c r="AA168" s="253"/>
      <c r="AB168" s="253"/>
      <c r="AC168" s="253"/>
      <c r="AD168" s="253"/>
      <c r="AE168" s="253"/>
      <c r="AF168" s="253"/>
      <c r="AG168" s="253"/>
      <c r="AH168" s="253"/>
      <c r="AI168" s="253"/>
      <c r="AJ168" s="253"/>
      <c r="AK168" s="253"/>
      <c r="AL168" s="253"/>
      <c r="AM168" s="253"/>
      <c r="AN168" s="253"/>
      <c r="AO168" s="253"/>
      <c r="AP168" s="253"/>
      <c r="AQ168" s="253"/>
      <c r="AR168" s="253"/>
      <c r="AS168" s="253"/>
      <c r="AT168" s="253"/>
      <c r="AU168" s="253"/>
      <c r="AV168" s="253"/>
      <c r="AW168" s="253"/>
      <c r="AX168" s="253"/>
      <c r="AY168" s="253"/>
      <c r="AZ168" s="253"/>
      <c r="BA168" s="253"/>
      <c r="BB168" s="253"/>
      <c r="BC168" s="253"/>
      <c r="BD168" s="253"/>
      <c r="BE168" s="253"/>
      <c r="BF168" s="253"/>
      <c r="BG168" s="253"/>
      <c r="BH168" s="253"/>
      <c r="BI168" s="253"/>
      <c r="BJ168" s="253"/>
      <c r="BK168" s="253"/>
      <c r="BL168" s="253"/>
      <c r="BM168" s="253"/>
      <c r="BN168" s="253"/>
      <c r="BO168" s="253"/>
      <c r="BP168" s="253"/>
      <c r="BQ168" s="253"/>
      <c r="BR168" s="253"/>
      <c r="BS168" s="253"/>
      <c r="BT168" s="253"/>
      <c r="BU168" s="253"/>
      <c r="BV168" s="253"/>
      <c r="BW168" s="253"/>
      <c r="BX168" s="253"/>
      <c r="BY168" s="253"/>
      <c r="BZ168" s="253"/>
      <c r="CI168" s="452"/>
      <c r="CJ168" s="452"/>
      <c r="CK168" s="449"/>
      <c r="CL168" s="449"/>
      <c r="CM168" s="449"/>
      <c r="CN168" s="449"/>
      <c r="CO168" s="449"/>
      <c r="CP168" s="449"/>
      <c r="CQ168" s="449"/>
      <c r="CR168" s="449"/>
      <c r="CS168" s="449"/>
      <c r="CT168" s="449"/>
      <c r="CU168" s="449"/>
      <c r="CV168" s="449"/>
      <c r="CW168" s="449"/>
      <c r="CX168" s="449"/>
      <c r="CY168" s="449"/>
      <c r="CZ168" s="449"/>
      <c r="DA168" s="449"/>
      <c r="DB168" s="449"/>
      <c r="DC168" s="450"/>
      <c r="DD168" s="449"/>
      <c r="DE168" s="449"/>
      <c r="DF168" s="449"/>
      <c r="DG168" s="449"/>
      <c r="DH168" s="450"/>
      <c r="DI168" s="449"/>
      <c r="DJ168" s="450"/>
      <c r="DK168" s="450"/>
      <c r="DL168" s="450"/>
      <c r="DM168" s="450"/>
      <c r="DN168" s="449"/>
      <c r="DO168" s="449"/>
      <c r="DP168" s="450"/>
      <c r="DQ168" s="450"/>
      <c r="DR168" s="450"/>
      <c r="DS168" s="450"/>
      <c r="DT168" s="450"/>
      <c r="DU168" s="450"/>
      <c r="DV168" s="450"/>
      <c r="DW168" s="450"/>
      <c r="DX168" s="450"/>
      <c r="DY168" s="450"/>
      <c r="DZ168" s="450"/>
      <c r="EA168" s="449"/>
      <c r="EB168" s="450"/>
      <c r="EC168" s="449"/>
      <c r="ED168" s="450"/>
      <c r="EE168" s="450"/>
      <c r="EF168" s="450"/>
      <c r="EG168" s="450"/>
      <c r="EH168" s="449"/>
      <c r="EI168" s="2761"/>
      <c r="EJ168" s="2761"/>
      <c r="EK168" s="2761"/>
      <c r="EL168" s="2761"/>
      <c r="EM168" s="2762"/>
      <c r="EN168" s="2761"/>
      <c r="EO168" s="2761"/>
      <c r="EP168" s="2762"/>
      <c r="EQ168" s="2762"/>
      <c r="ER168" s="2762"/>
      <c r="ES168" s="449"/>
      <c r="ET168" s="2761"/>
      <c r="EU168" s="449"/>
      <c r="EV168" s="449"/>
      <c r="EW168" s="449"/>
      <c r="EX168" s="449"/>
      <c r="EY168" s="449"/>
      <c r="EZ168" s="449"/>
      <c r="FA168" s="449"/>
      <c r="FB168" s="449"/>
      <c r="FC168" s="449"/>
      <c r="FD168" s="449"/>
      <c r="FE168" s="449"/>
      <c r="FF168" s="449"/>
      <c r="FG168" s="449"/>
      <c r="FH168" s="449"/>
      <c r="FI168" s="449"/>
      <c r="FJ168" s="449"/>
      <c r="FK168" s="449"/>
      <c r="FL168" s="449"/>
      <c r="FX168" s="386"/>
      <c r="FY168" s="386"/>
      <c r="FZ168" s="386"/>
      <c r="GA168" s="386"/>
      <c r="GB168" s="386"/>
      <c r="GC168" s="339"/>
      <c r="GD168" s="339"/>
      <c r="GE168" s="339"/>
      <c r="GF168" s="339"/>
      <c r="GG168" s="339"/>
      <c r="GH168" s="339"/>
      <c r="GI168" s="339"/>
      <c r="GJ168" s="253"/>
      <c r="GK168" s="253"/>
      <c r="GL168" s="253"/>
      <c r="GN168"/>
      <c r="GO168"/>
      <c r="GP168"/>
      <c r="GQ168"/>
      <c r="GR168"/>
      <c r="GS168"/>
    </row>
    <row r="169" spans="1:201" s="264" customFormat="1" ht="11.25" hidden="1" customHeight="1" outlineLevel="1">
      <c r="A169" s="445" t="s">
        <v>554</v>
      </c>
      <c r="B169" s="253"/>
      <c r="C169" s="253"/>
      <c r="D169" s="336"/>
      <c r="E169" s="336"/>
      <c r="F169" s="336"/>
      <c r="G169" s="336"/>
      <c r="H169" s="336"/>
      <c r="I169" s="336"/>
      <c r="J169" s="336"/>
      <c r="K169" s="336"/>
      <c r="L169" s="336"/>
      <c r="M169" s="336"/>
      <c r="N169" s="336"/>
      <c r="O169" s="336"/>
      <c r="P169" s="336"/>
      <c r="Q169" s="336"/>
      <c r="R169" s="336"/>
      <c r="S169" s="336"/>
      <c r="T169" s="336"/>
      <c r="U169" s="336"/>
      <c r="V169" s="336"/>
      <c r="W169" s="336"/>
      <c r="X169" s="336"/>
      <c r="Y169" s="336"/>
      <c r="Z169" s="336"/>
      <c r="AA169" s="336"/>
      <c r="AB169" s="336"/>
      <c r="AC169" s="336"/>
      <c r="AD169" s="336"/>
      <c r="AE169" s="336"/>
      <c r="AF169" s="336"/>
      <c r="AG169" s="336"/>
      <c r="AH169" s="336"/>
      <c r="AI169" s="336"/>
      <c r="AJ169" s="336"/>
      <c r="AK169" s="336"/>
      <c r="AL169" s="336"/>
      <c r="AM169" s="336"/>
      <c r="AN169" s="336"/>
      <c r="AO169" s="336"/>
      <c r="AP169" s="336"/>
      <c r="AQ169" s="336"/>
      <c r="AR169" s="336"/>
      <c r="AS169" s="336"/>
      <c r="AT169" s="336"/>
      <c r="AU169" s="336"/>
      <c r="AV169" s="336"/>
      <c r="AW169" s="336"/>
      <c r="AX169" s="336"/>
      <c r="AY169" s="336"/>
      <c r="AZ169" s="336"/>
      <c r="BA169" s="336"/>
      <c r="BB169" s="336"/>
      <c r="BC169" s="336"/>
      <c r="BD169" s="336"/>
      <c r="BE169" s="336"/>
      <c r="BF169" s="336"/>
      <c r="BG169" s="336"/>
      <c r="BH169" s="336"/>
      <c r="BI169" s="336"/>
      <c r="BJ169" s="336"/>
      <c r="BK169" s="336"/>
      <c r="BL169" s="336"/>
      <c r="BM169" s="336"/>
      <c r="BN169" s="336"/>
      <c r="BO169" s="336"/>
      <c r="BP169" s="336"/>
      <c r="BQ169" s="336"/>
      <c r="BR169" s="336"/>
      <c r="BS169" s="336"/>
      <c r="BT169" s="336"/>
      <c r="BU169" s="336"/>
      <c r="BV169" s="336"/>
      <c r="BW169" s="336"/>
      <c r="BX169" s="336"/>
      <c r="BY169" s="336"/>
      <c r="BZ169" s="336"/>
      <c r="CA169" s="336"/>
      <c r="CB169" s="336"/>
      <c r="CC169" s="336"/>
      <c r="CD169" s="336"/>
      <c r="CE169" s="336"/>
      <c r="CF169" s="336"/>
      <c r="CG169" s="336"/>
      <c r="CH169" s="336"/>
      <c r="CI169" s="449"/>
      <c r="CJ169" s="449"/>
      <c r="CK169" s="449"/>
      <c r="CL169" s="449"/>
      <c r="CM169" s="449"/>
      <c r="CN169" s="449"/>
      <c r="CO169" s="449"/>
      <c r="CP169" s="449"/>
      <c r="CQ169" s="449"/>
      <c r="CR169" s="449"/>
      <c r="CS169" s="449"/>
      <c r="CT169" s="449"/>
      <c r="CU169" s="449"/>
      <c r="CV169" s="449"/>
      <c r="CW169" s="449"/>
      <c r="CX169" s="449"/>
      <c r="CY169" s="449"/>
      <c r="CZ169" s="449"/>
      <c r="DA169" s="449"/>
      <c r="DB169" s="449"/>
      <c r="DC169" s="450"/>
      <c r="DD169" s="449"/>
      <c r="DE169" s="449"/>
      <c r="DF169" s="449"/>
      <c r="DG169" s="449"/>
      <c r="DH169" s="450"/>
      <c r="DI169" s="449"/>
      <c r="DJ169" s="450"/>
      <c r="DK169" s="450"/>
      <c r="DL169" s="450"/>
      <c r="DM169" s="450"/>
      <c r="DN169" s="449"/>
      <c r="DO169" s="449"/>
      <c r="DP169" s="450"/>
      <c r="DQ169" s="450"/>
      <c r="DR169" s="450"/>
      <c r="DS169" s="450"/>
      <c r="DT169" s="450"/>
      <c r="DU169" s="450"/>
      <c r="DV169" s="450"/>
      <c r="DW169" s="450"/>
      <c r="DX169" s="450"/>
      <c r="DY169" s="450"/>
      <c r="DZ169" s="450"/>
      <c r="EA169" s="449"/>
      <c r="EB169" s="450"/>
      <c r="EC169" s="449"/>
      <c r="ED169" s="450"/>
      <c r="EE169" s="450"/>
      <c r="EF169" s="450"/>
      <c r="EG169" s="450"/>
      <c r="EH169" s="449"/>
      <c r="EI169" s="2761"/>
      <c r="EJ169" s="2761"/>
      <c r="EK169" s="2761"/>
      <c r="EL169" s="2761"/>
      <c r="EM169" s="2762"/>
      <c r="EN169" s="2761"/>
      <c r="EO169" s="2761"/>
      <c r="EP169" s="2762"/>
      <c r="EQ169" s="2762"/>
      <c r="ER169" s="2762"/>
      <c r="ES169" s="449"/>
      <c r="ET169" s="2761"/>
      <c r="EU169" s="449"/>
      <c r="EV169" s="449"/>
      <c r="EW169" s="449"/>
      <c r="EX169" s="449"/>
      <c r="EY169" s="449"/>
      <c r="EZ169" s="449"/>
      <c r="FA169" s="449"/>
      <c r="FB169" s="449"/>
      <c r="FC169" s="449"/>
      <c r="FD169" s="449"/>
      <c r="FE169" s="449"/>
      <c r="FF169" s="449"/>
      <c r="FG169" s="449"/>
      <c r="FH169" s="449"/>
      <c r="FI169" s="449"/>
      <c r="FJ169" s="449"/>
      <c r="FK169" s="449"/>
      <c r="FL169" s="449"/>
      <c r="FX169" s="386"/>
      <c r="FY169" s="386"/>
      <c r="FZ169" s="386"/>
      <c r="GA169" s="386"/>
      <c r="GB169" s="386"/>
      <c r="GC169" s="339"/>
      <c r="GD169" s="339"/>
      <c r="GE169" s="339"/>
      <c r="GF169" s="339"/>
      <c r="GG169" s="339"/>
      <c r="GH169" s="339"/>
      <c r="GI169" s="339"/>
      <c r="GJ169" s="253"/>
      <c r="GK169" s="253"/>
      <c r="GL169" s="253"/>
      <c r="GN169"/>
      <c r="GO169"/>
      <c r="GP169"/>
      <c r="GQ169"/>
      <c r="GR169"/>
      <c r="GS169"/>
    </row>
    <row r="170" spans="1:201" s="264" customFormat="1" ht="11.25" hidden="1" customHeight="1" outlineLevel="1">
      <c r="A170" s="253" t="s">
        <v>662</v>
      </c>
      <c r="B170" s="253"/>
      <c r="C170" s="253"/>
      <c r="D170" s="453" t="str">
        <f>IF(ISERROR(#REF!/D$8*100),"--",#REF!/D$8*100)</f>
        <v>--</v>
      </c>
      <c r="E170" s="453" t="str">
        <f>IF(ISERROR(#REF!/E$8*100),"--",#REF!/E$8*100)</f>
        <v>--</v>
      </c>
      <c r="F170" s="453" t="str">
        <f>IF(ISERROR(#REF!/F$8*100),"--",#REF!/F$8*100)</f>
        <v>--</v>
      </c>
      <c r="G170" s="453" t="str">
        <f>IF(ISERROR(#REF!/G$8*100),"--",#REF!/G$8*100)</f>
        <v>--</v>
      </c>
      <c r="H170" s="453"/>
      <c r="I170" s="453" t="str">
        <f>IF(ISERROR(#REF!/I$8*100),"--",#REF!/I$8*100)</f>
        <v>--</v>
      </c>
      <c r="J170" s="453" t="str">
        <f>IF(ISERROR(#REF!/J$8*100),"--",#REF!/J$8*100)</f>
        <v>--</v>
      </c>
      <c r="K170" s="453" t="str">
        <f>IF(ISERROR(#REF!/K$8*100),"--",#REF!/K$8*100)</f>
        <v>--</v>
      </c>
      <c r="L170" s="453" t="str">
        <f>IF(ISERROR(#REF!/L$8*100),"--",#REF!/L$8*100)</f>
        <v>--</v>
      </c>
      <c r="M170" s="453"/>
      <c r="N170" s="453" t="str">
        <f>IF(ISERROR(#REF!/N$8*100),"--",#REF!/N$8*100)</f>
        <v>--</v>
      </c>
      <c r="O170" s="453" t="str">
        <f>IF(ISERROR(#REF!/O$8*100),"--",#REF!/O$8*100)</f>
        <v>--</v>
      </c>
      <c r="P170" s="453" t="str">
        <f>IF(ISERROR(#REF!/P$8*100),"--",#REF!/P$8*100)</f>
        <v>--</v>
      </c>
      <c r="Q170" s="453" t="str">
        <f>IF(ISERROR(#REF!/Q$8*100),"--",#REF!/Q$8*100)</f>
        <v>--</v>
      </c>
      <c r="R170" s="453"/>
      <c r="S170" s="453" t="str">
        <f>IF(ISERROR(#REF!/S$8*100),"--",#REF!/S$8*100)</f>
        <v>--</v>
      </c>
      <c r="T170" s="453" t="str">
        <f>IF(ISERROR(#REF!/T$8*100),"--",#REF!/T$8*100)</f>
        <v>--</v>
      </c>
      <c r="U170" s="453" t="str">
        <f>IF(ISERROR(#REF!/U$8*100),"--",#REF!/U$8*100)</f>
        <v>--</v>
      </c>
      <c r="V170" s="453" t="str">
        <f>IF(ISERROR(#REF!/V$8*100),"--",#REF!/V$8*100)</f>
        <v>--</v>
      </c>
      <c r="W170" s="453"/>
      <c r="X170" s="453" t="str">
        <f>IF(ISERROR(#REF!/X$8*100),"--",#REF!/X$8*100)</f>
        <v>--</v>
      </c>
      <c r="Y170" s="453" t="str">
        <f>IF(ISERROR(#REF!/Y$8*100),"--",#REF!/Y$8*100)</f>
        <v>--</v>
      </c>
      <c r="Z170" s="453" t="str">
        <f>IF(ISERROR(#REF!/Z$8*100),"--",#REF!/Z$8*100)</f>
        <v>--</v>
      </c>
      <c r="AA170" s="453" t="str">
        <f>IF(ISERROR(#REF!/AA$8*100),"--",#REF!/AA$8*100)</f>
        <v>--</v>
      </c>
      <c r="AB170" s="453"/>
      <c r="AC170" s="453" t="str">
        <f>IF(ISERROR(#REF!/AC$8*100),"--",#REF!/AC$8*100)</f>
        <v>--</v>
      </c>
      <c r="AD170" s="453" t="str">
        <f>IF(ISERROR(#REF!/AD$8*100),"--",#REF!/AD$8*100)</f>
        <v>--</v>
      </c>
      <c r="AE170" s="453" t="str">
        <f>IF(ISERROR(#REF!/AE$8*100),"--",#REF!/AE$8*100)</f>
        <v>--</v>
      </c>
      <c r="AF170" s="453" t="str">
        <f>IF(ISERROR(#REF!/AF$8*100),"--",#REF!/AF$8*100)</f>
        <v>--</v>
      </c>
      <c r="AG170" s="453"/>
      <c r="AH170" s="453" t="str">
        <f>IF(ISERROR(#REF!/AH$8*100),"--",#REF!/AH$8*100)</f>
        <v>--</v>
      </c>
      <c r="AI170" s="453" t="str">
        <f>IF(ISERROR(#REF!/AI$8*100),"--",#REF!/AI$8*100)</f>
        <v>--</v>
      </c>
      <c r="AJ170" s="453" t="str">
        <f>IF(ISERROR(#REF!/AJ$8*100),"--",#REF!/AJ$8*100)</f>
        <v>--</v>
      </c>
      <c r="AK170" s="453" t="str">
        <f>IF(ISERROR(#REF!/AK$8*100),"--",#REF!/AK$8*100)</f>
        <v>--</v>
      </c>
      <c r="AL170" s="453"/>
      <c r="AM170" s="453" t="str">
        <f>IF(ISERROR(#REF!/AM$8*100),"--",#REF!/AM$8*100)</f>
        <v>--</v>
      </c>
      <c r="AN170" s="453" t="str">
        <f>IF(ISERROR(#REF!/AN$8*100),"--",#REF!/AN$8*100)</f>
        <v>--</v>
      </c>
      <c r="AO170" s="453" t="str">
        <f>IF(ISERROR(#REF!/AO$8*100),"--",#REF!/AO$8*100)</f>
        <v>--</v>
      </c>
      <c r="AP170" s="453" t="str">
        <f>IF(ISERROR(#REF!/AP$8*100),"--",#REF!/AP$8*100)</f>
        <v>--</v>
      </c>
      <c r="AQ170" s="453"/>
      <c r="AR170" s="453" t="str">
        <f>IF(ISERROR(#REF!/AR$8*100),"--",#REF!/AR$8*100)</f>
        <v>--</v>
      </c>
      <c r="AS170" s="453" t="str">
        <f>IF(ISERROR(#REF!/AS$8*100),"--",#REF!/AS$8*100)</f>
        <v>--</v>
      </c>
      <c r="AT170" s="453" t="str">
        <f>IF(ISERROR(#REF!/AT$8*100),"--",#REF!/AT$8*100)</f>
        <v>--</v>
      </c>
      <c r="AU170" s="453" t="str">
        <f>IF(ISERROR(#REF!/AU$8*100),"--",#REF!/AU$8*100)</f>
        <v>--</v>
      </c>
      <c r="AV170" s="453"/>
      <c r="AW170" s="453" t="str">
        <f>IF(ISERROR(#REF!/AW$8*100),"--",#REF!/AW$8*100)</f>
        <v>--</v>
      </c>
      <c r="AX170" s="453" t="str">
        <f>IF(ISERROR(#REF!/AX$8*100),"--",#REF!/AX$8*100)</f>
        <v>--</v>
      </c>
      <c r="AY170" s="453" t="str">
        <f>IF(ISERROR(#REF!/AY$8*100),"--",#REF!/AY$8*100)</f>
        <v>--</v>
      </c>
      <c r="AZ170" s="453" t="str">
        <f>IF(ISERROR(#REF!/AZ$8*100),"--",#REF!/AZ$8*100)</f>
        <v>--</v>
      </c>
      <c r="BA170" s="453"/>
      <c r="BB170" s="453" t="str">
        <f>IF(ISERROR(#REF!/BB$8*100),"--",#REF!/BB$8*100)</f>
        <v>--</v>
      </c>
      <c r="BC170" s="453" t="str">
        <f>IF(ISERROR(#REF!/BC$8*100),"--",#REF!/BC$8*100)</f>
        <v>--</v>
      </c>
      <c r="BD170" s="453" t="str">
        <f>IF(ISERROR(#REF!/BD$8*100),"--",#REF!/BD$8*100)</f>
        <v>--</v>
      </c>
      <c r="BE170" s="453" t="str">
        <f>IF(ISERROR(#REF!/BE$8*100),"--",#REF!/BE$8*100)</f>
        <v>--</v>
      </c>
      <c r="BF170" s="453"/>
      <c r="BG170" s="453" t="str">
        <f>IF(ISERROR(#REF!/BG$8*100),"--",#REF!/BG$8*100)</f>
        <v>--</v>
      </c>
      <c r="BH170" s="453" t="str">
        <f>IF(ISERROR(#REF!/BH$8*100),"--",#REF!/BH$8*100)</f>
        <v>--</v>
      </c>
      <c r="BI170" s="453" t="str">
        <f>IF(ISERROR(#REF!/BI$8*100),"--",#REF!/BI$8*100)</f>
        <v>--</v>
      </c>
      <c r="BJ170" s="453" t="str">
        <f>IF(ISERROR(#REF!/BJ$8*100),"--",#REF!/BJ$8*100)</f>
        <v>--</v>
      </c>
      <c r="BK170" s="453"/>
      <c r="BL170" s="453" t="str">
        <f>IF(ISERROR(#REF!/BL$8*100),"--",#REF!/BL$8*100)</f>
        <v>--</v>
      </c>
      <c r="BM170" s="453" t="str">
        <f>IF(ISERROR(#REF!/BM$8*100),"--",#REF!/BM$8*100)</f>
        <v>--</v>
      </c>
      <c r="BN170" s="453" t="str">
        <f>IF(ISERROR(#REF!/BN$8*100),"--",#REF!/BN$8*100)</f>
        <v>--</v>
      </c>
      <c r="BO170" s="453" t="str">
        <f>IF(ISERROR(#REF!/BO$8*100),"--",#REF!/BO$8*100)</f>
        <v>--</v>
      </c>
      <c r="BP170" s="453"/>
      <c r="BQ170" s="453" t="str">
        <f>IF(ISERROR(#REF!/BQ$8*100),"--",#REF!/BQ$8*100)</f>
        <v>--</v>
      </c>
      <c r="BR170" s="453" t="str">
        <f>IF(ISERROR(#REF!/BR$8*100),"--",#REF!/BR$8*100)</f>
        <v>--</v>
      </c>
      <c r="BS170" s="453" t="str">
        <f>IF(ISERROR(#REF!/BS$8*100),"--",#REF!/BS$8*100)</f>
        <v>--</v>
      </c>
      <c r="BT170" s="453" t="str">
        <f>IF(ISERROR(#REF!/BT$8*100),"--",#REF!/BT$8*100)</f>
        <v>--</v>
      </c>
      <c r="BU170" s="453"/>
      <c r="BV170" s="453" t="str">
        <f>IF(ISERROR(#REF!/BV$8*100),"--",#REF!/BV$8*100)</f>
        <v>--</v>
      </c>
      <c r="BW170" s="453" t="str">
        <f>IF(ISERROR(#REF!/BW$8*100),"--",#REF!/BW$8*100)</f>
        <v>--</v>
      </c>
      <c r="BX170" s="453" t="str">
        <f>IF(ISERROR(#REF!/BX$8*100),"--",#REF!/BX$8*100)</f>
        <v>--</v>
      </c>
      <c r="BY170" s="453" t="str">
        <f>IF(ISERROR(#REF!/BY$8*100),"--",#REF!/BY$8*100)</f>
        <v>--</v>
      </c>
      <c r="BZ170" s="453"/>
      <c r="CA170" s="453" t="str">
        <f>IF(ISERROR(#REF!/CA$8*100),"--",#REF!/CA$8*100)</f>
        <v>--</v>
      </c>
      <c r="CB170" s="453" t="str">
        <f>IF(ISERROR(#REF!/CB$8*100),"--",#REF!/CB$8*100)</f>
        <v>--</v>
      </c>
      <c r="CC170" s="453" t="str">
        <f>IF(ISERROR(#REF!/CC$8*100),"--",#REF!/CC$8*100)</f>
        <v>--</v>
      </c>
      <c r="CD170" s="453" t="str">
        <f>IF(ISERROR(#REF!/CD$8*100),"--",#REF!/CD$8*100)</f>
        <v>--</v>
      </c>
      <c r="CE170" s="453"/>
      <c r="CF170" s="453" t="str">
        <f>IF(ISERROR(#REF!/CF$8*100),"--",#REF!/CF$8*100)</f>
        <v>--</v>
      </c>
      <c r="CG170" s="453" t="str">
        <f>IF(ISERROR(#REF!/CG$8*100),"--",#REF!/CG$8*100)</f>
        <v>--</v>
      </c>
      <c r="CH170" s="453" t="str">
        <f>IF(ISERROR(#REF!/CH$8*100),"--",#REF!/CH$8*100)</f>
        <v>--</v>
      </c>
      <c r="CI170" s="449" t="str">
        <f>IF(ISERROR(#REF!/CI$8*100),"--",#REF!/CI$8*100)</f>
        <v>--</v>
      </c>
      <c r="CJ170" s="449"/>
      <c r="CK170" s="449" t="str">
        <f>IF(ISERROR(#REF!/CK$8*100),"--",#REF!/CK$8*100)</f>
        <v>--</v>
      </c>
      <c r="CL170" s="449" t="str">
        <f>IF(ISERROR(#REF!/CL$8*100),"--",#REF!/CL$8*100)</f>
        <v>--</v>
      </c>
      <c r="CM170" s="449" t="str">
        <f>IF(ISERROR(#REF!/CM$8*100),"--",#REF!/CM$8*100)</f>
        <v>--</v>
      </c>
      <c r="CN170" s="449" t="str">
        <f>IF(ISERROR(#REF!/CN$8*100),"--",#REF!/CN$8*100)</f>
        <v>--</v>
      </c>
      <c r="CO170" s="449"/>
      <c r="CP170" s="449" t="str">
        <f>IF(ISERROR(#REF!/CP$8*100),"--",#REF!/CP$8*100)</f>
        <v>--</v>
      </c>
      <c r="CQ170" s="449" t="str">
        <f>IF(ISERROR(#REF!/CQ$8*100),"--",#REF!/CQ$8*100)</f>
        <v>--</v>
      </c>
      <c r="CR170" s="449" t="str">
        <f>IF(ISERROR(#REF!/CR$8*100),"--",#REF!/CR$8*100)</f>
        <v>--</v>
      </c>
      <c r="CS170" s="449" t="str">
        <f>IF(ISERROR(#REF!/CS$8*100),"--",#REF!/CS$8*100)</f>
        <v>--</v>
      </c>
      <c r="CT170" s="449"/>
      <c r="CU170" s="449" t="str">
        <f>IF(ISERROR(#REF!/CU$8*100),"--",#REF!/CU$8*100)</f>
        <v>--</v>
      </c>
      <c r="CV170" s="449" t="str">
        <f>IF(ISERROR(#REF!/CV$8*100),"--",#REF!/CV$8*100)</f>
        <v>--</v>
      </c>
      <c r="CW170" s="449" t="str">
        <f>IF(ISERROR(#REF!/CW$8*100),"--",#REF!/CW$8*100)</f>
        <v>--</v>
      </c>
      <c r="CX170" s="449" t="str">
        <f>IF(ISERROR(#REF!/CX$8*100),"--",#REF!/CX$8*100)</f>
        <v>--</v>
      </c>
      <c r="CY170" s="449"/>
      <c r="CZ170" s="449"/>
      <c r="DA170" s="449"/>
      <c r="DB170" s="449"/>
      <c r="DC170" s="450"/>
      <c r="DD170" s="449"/>
      <c r="DE170" s="449"/>
      <c r="DF170" s="449"/>
      <c r="DG170" s="449"/>
      <c r="DH170" s="450"/>
      <c r="DI170" s="449"/>
      <c r="DJ170" s="450"/>
      <c r="DK170" s="450"/>
      <c r="DL170" s="450"/>
      <c r="DM170" s="450"/>
      <c r="DN170" s="449"/>
      <c r="DO170" s="449"/>
      <c r="DP170" s="450"/>
      <c r="DQ170" s="450"/>
      <c r="DR170" s="450"/>
      <c r="DS170" s="450"/>
      <c r="DT170" s="450"/>
      <c r="DU170" s="450"/>
      <c r="DV170" s="450"/>
      <c r="DW170" s="450"/>
      <c r="DX170" s="450"/>
      <c r="DY170" s="450"/>
      <c r="DZ170" s="450"/>
      <c r="EA170" s="449"/>
      <c r="EB170" s="450"/>
      <c r="EC170" s="449"/>
      <c r="ED170" s="450"/>
      <c r="EE170" s="450"/>
      <c r="EF170" s="450"/>
      <c r="EG170" s="450"/>
      <c r="EH170" s="449"/>
      <c r="EI170" s="2761"/>
      <c r="EJ170" s="2761"/>
      <c r="EK170" s="2761"/>
      <c r="EL170" s="2761"/>
      <c r="EM170" s="2762"/>
      <c r="EN170" s="2761"/>
      <c r="EO170" s="2761"/>
      <c r="EP170" s="2762"/>
      <c r="EQ170" s="2762"/>
      <c r="ER170" s="2762"/>
      <c r="ES170" s="449"/>
      <c r="ET170" s="2761"/>
      <c r="EU170" s="449"/>
      <c r="EV170" s="449"/>
      <c r="EW170" s="449"/>
      <c r="EX170" s="449"/>
      <c r="EY170" s="449"/>
      <c r="EZ170" s="449"/>
      <c r="FA170" s="449"/>
      <c r="FB170" s="449"/>
      <c r="FC170" s="449"/>
      <c r="FD170" s="449"/>
      <c r="FE170" s="449"/>
      <c r="FF170" s="449"/>
      <c r="FG170" s="449"/>
      <c r="FH170" s="449"/>
      <c r="FI170" s="449"/>
      <c r="FJ170" s="449"/>
      <c r="FK170" s="449"/>
      <c r="FL170" s="449"/>
      <c r="FM170" s="453"/>
      <c r="FN170" s="453" t="str">
        <f>IF(ISERROR(#REF!/FN$8*100),"--",#REF!/FN$8*100)</f>
        <v>--</v>
      </c>
      <c r="FO170" s="453" t="str">
        <f>IF(ISERROR(#REF!/FO$8*100),"--",#REF!/FO$8*100)</f>
        <v>--</v>
      </c>
      <c r="FP170" s="453" t="str">
        <f>IF(ISERROR(#REF!/FP$8*100),"--",#REF!/FP$8*100)</f>
        <v>--</v>
      </c>
      <c r="FQ170" s="453" t="str">
        <f>IF(ISERROR(#REF!/FQ$8*100),"--",#REF!/FQ$8*100)</f>
        <v>--</v>
      </c>
      <c r="FR170" s="453" t="str">
        <f>IF(ISERROR(#REF!/FR$8*100),"--",#REF!/FR$8*100)</f>
        <v>--</v>
      </c>
      <c r="FS170" s="453" t="str">
        <f>IF(ISERROR(#REF!/FS$8*100),"--",#REF!/FS$8*100)</f>
        <v>--</v>
      </c>
      <c r="FT170" s="453" t="str">
        <f>IF(ISERROR(#REF!/FT$8*100),"--",#REF!/FT$8*100)</f>
        <v>--</v>
      </c>
      <c r="FU170" s="453" t="str">
        <f>IF(ISERROR(#REF!/FU$8*100),"--",#REF!/FU$8*100)</f>
        <v>--</v>
      </c>
      <c r="FV170" s="453" t="str">
        <f>IF(ISERROR(#REF!/FV$8*100),"--",#REF!/FV$8*100)</f>
        <v>--</v>
      </c>
      <c r="FW170" s="453" t="str">
        <f>IF(ISERROR(#REF!/FW$8*100),"--",#REF!/FW$8*100)</f>
        <v>--</v>
      </c>
      <c r="FX170" s="454" t="str">
        <f>IF(ISERROR(#REF!/FX$8*100),"--",#REF!/FX$8*100)</f>
        <v>--</v>
      </c>
      <c r="FY170" s="454" t="str">
        <f>IF(ISERROR(#REF!/FY$8*100),"--",#REF!/FY$8*100)</f>
        <v>--</v>
      </c>
      <c r="FZ170" s="454"/>
      <c r="GA170" s="454"/>
      <c r="GB170" s="454"/>
      <c r="GC170" s="1112"/>
      <c r="GD170" s="1112"/>
      <c r="GE170" s="1112"/>
      <c r="GF170" s="1112"/>
      <c r="GG170" s="1112"/>
      <c r="GH170" s="1112"/>
      <c r="GI170" s="1112"/>
      <c r="GJ170" s="2669"/>
      <c r="GK170" s="2669"/>
      <c r="GL170" s="2669"/>
      <c r="GN170"/>
      <c r="GO170"/>
      <c r="GP170"/>
      <c r="GQ170"/>
      <c r="GR170"/>
      <c r="GS170"/>
    </row>
    <row r="171" spans="1:201" s="264" customFormat="1" ht="11.25" hidden="1" customHeight="1" outlineLevel="1">
      <c r="A171" s="253" t="s">
        <v>330</v>
      </c>
      <c r="B171" s="253"/>
      <c r="C171" s="253"/>
      <c r="D171" s="453" t="str">
        <f>IF(ISERROR(#REF!/D$8*100),"--",#REF!/D$8*100)</f>
        <v>--</v>
      </c>
      <c r="E171" s="453" t="str">
        <f>IF(ISERROR(#REF!/E$8*100),"--",#REF!/E$8*100)</f>
        <v>--</v>
      </c>
      <c r="F171" s="453" t="str">
        <f>IF(ISERROR(#REF!/F$8*100),"--",#REF!/F$8*100)</f>
        <v>--</v>
      </c>
      <c r="G171" s="453" t="str">
        <f>IF(ISERROR(#REF!/G$8*100),"--",#REF!/G$8*100)</f>
        <v>--</v>
      </c>
      <c r="H171" s="453"/>
      <c r="I171" s="453" t="str">
        <f>IF(ISERROR(#REF!/I$8*100),"--",#REF!/I$8*100)</f>
        <v>--</v>
      </c>
      <c r="J171" s="453" t="str">
        <f>IF(ISERROR(#REF!/J$8*100),"--",#REF!/J$8*100)</f>
        <v>--</v>
      </c>
      <c r="K171" s="453" t="str">
        <f>IF(ISERROR(#REF!/K$8*100),"--",#REF!/K$8*100)</f>
        <v>--</v>
      </c>
      <c r="L171" s="453" t="str">
        <f>IF(ISERROR(#REF!/L$8*100),"--",#REF!/L$8*100)</f>
        <v>--</v>
      </c>
      <c r="M171" s="453"/>
      <c r="N171" s="453" t="str">
        <f>IF(ISERROR(#REF!/N$8*100),"--",#REF!/N$8*100)</f>
        <v>--</v>
      </c>
      <c r="O171" s="453" t="str">
        <f>IF(ISERROR(#REF!/O$8*100),"--",#REF!/O$8*100)</f>
        <v>--</v>
      </c>
      <c r="P171" s="453" t="str">
        <f>IF(ISERROR(#REF!/P$8*100),"--",#REF!/P$8*100)</f>
        <v>--</v>
      </c>
      <c r="Q171" s="453" t="str">
        <f>IF(ISERROR(#REF!/Q$8*100),"--",#REF!/Q$8*100)</f>
        <v>--</v>
      </c>
      <c r="R171" s="453"/>
      <c r="S171" s="453" t="str">
        <f>IF(ISERROR(#REF!/S$8*100),"--",#REF!/S$8*100)</f>
        <v>--</v>
      </c>
      <c r="T171" s="453" t="str">
        <f>IF(ISERROR(#REF!/T$8*100),"--",#REF!/T$8*100)</f>
        <v>--</v>
      </c>
      <c r="U171" s="453" t="str">
        <f>IF(ISERROR(#REF!/U$8*100),"--",#REF!/U$8*100)</f>
        <v>--</v>
      </c>
      <c r="V171" s="453" t="str">
        <f>IF(ISERROR(#REF!/V$8*100),"--",#REF!/V$8*100)</f>
        <v>--</v>
      </c>
      <c r="W171" s="453"/>
      <c r="X171" s="453" t="str">
        <f>IF(ISERROR(#REF!/X$8*100),"--",#REF!/X$8*100)</f>
        <v>--</v>
      </c>
      <c r="Y171" s="453" t="str">
        <f>IF(ISERROR(#REF!/Y$8*100),"--",#REF!/Y$8*100)</f>
        <v>--</v>
      </c>
      <c r="Z171" s="453" t="str">
        <f>IF(ISERROR(#REF!/Z$8*100),"--",#REF!/Z$8*100)</f>
        <v>--</v>
      </c>
      <c r="AA171" s="453" t="str">
        <f>IF(ISERROR(#REF!/AA$8*100),"--",#REF!/AA$8*100)</f>
        <v>--</v>
      </c>
      <c r="AB171" s="453"/>
      <c r="AC171" s="453" t="str">
        <f>IF(ISERROR(#REF!/AC$8*100),"--",#REF!/AC$8*100)</f>
        <v>--</v>
      </c>
      <c r="AD171" s="453" t="str">
        <f>IF(ISERROR(#REF!/AD$8*100),"--",#REF!/AD$8*100)</f>
        <v>--</v>
      </c>
      <c r="AE171" s="453" t="str">
        <f>IF(ISERROR(#REF!/AE$8*100),"--",#REF!/AE$8*100)</f>
        <v>--</v>
      </c>
      <c r="AF171" s="453" t="str">
        <f>IF(ISERROR(#REF!/AF$8*100),"--",#REF!/AF$8*100)</f>
        <v>--</v>
      </c>
      <c r="AG171" s="453"/>
      <c r="AH171" s="453" t="str">
        <f>IF(ISERROR(#REF!/AH$8*100),"--",#REF!/AH$8*100)</f>
        <v>--</v>
      </c>
      <c r="AI171" s="453" t="str">
        <f>IF(ISERROR(#REF!/AI$8*100),"--",#REF!/AI$8*100)</f>
        <v>--</v>
      </c>
      <c r="AJ171" s="453" t="str">
        <f>IF(ISERROR(#REF!/AJ$8*100),"--",#REF!/AJ$8*100)</f>
        <v>--</v>
      </c>
      <c r="AK171" s="453" t="str">
        <f>IF(ISERROR(#REF!/AK$8*100),"--",#REF!/AK$8*100)</f>
        <v>--</v>
      </c>
      <c r="AL171" s="453"/>
      <c r="AM171" s="453" t="str">
        <f>IF(ISERROR(#REF!/AM$8*100),"--",#REF!/AM$8*100)</f>
        <v>--</v>
      </c>
      <c r="AN171" s="453" t="str">
        <f>IF(ISERROR(#REF!/AN$8*100),"--",#REF!/AN$8*100)</f>
        <v>--</v>
      </c>
      <c r="AO171" s="453" t="str">
        <f>IF(ISERROR(#REF!/AO$8*100),"--",#REF!/AO$8*100)</f>
        <v>--</v>
      </c>
      <c r="AP171" s="453" t="str">
        <f>IF(ISERROR(#REF!/AP$8*100),"--",#REF!/AP$8*100)</f>
        <v>--</v>
      </c>
      <c r="AQ171" s="453"/>
      <c r="AR171" s="453" t="str">
        <f>IF(ISERROR(#REF!/AR$8*100),"--",#REF!/AR$8*100)</f>
        <v>--</v>
      </c>
      <c r="AS171" s="453" t="str">
        <f>IF(ISERROR(#REF!/AS$8*100),"--",#REF!/AS$8*100)</f>
        <v>--</v>
      </c>
      <c r="AT171" s="453" t="str">
        <f>IF(ISERROR(#REF!/AT$8*100),"--",#REF!/AT$8*100)</f>
        <v>--</v>
      </c>
      <c r="AU171" s="453" t="str">
        <f>IF(ISERROR(#REF!/AU$8*100),"--",#REF!/AU$8*100)</f>
        <v>--</v>
      </c>
      <c r="AV171" s="453"/>
      <c r="AW171" s="453" t="str">
        <f>IF(ISERROR(#REF!/AW$8*100),"--",#REF!/AW$8*100)</f>
        <v>--</v>
      </c>
      <c r="AX171" s="453" t="str">
        <f>IF(ISERROR(#REF!/AX$8*100),"--",#REF!/AX$8*100)</f>
        <v>--</v>
      </c>
      <c r="AY171" s="453" t="str">
        <f>IF(ISERROR(#REF!/AY$8*100),"--",#REF!/AY$8*100)</f>
        <v>--</v>
      </c>
      <c r="AZ171" s="453" t="str">
        <f>IF(ISERROR(#REF!/AZ$8*100),"--",#REF!/AZ$8*100)</f>
        <v>--</v>
      </c>
      <c r="BA171" s="453"/>
      <c r="BB171" s="453" t="str">
        <f>IF(ISERROR(#REF!/BB$8*100),"--",#REF!/BB$8*100)</f>
        <v>--</v>
      </c>
      <c r="BC171" s="453" t="str">
        <f>IF(ISERROR(#REF!/BC$8*100),"--",#REF!/BC$8*100)</f>
        <v>--</v>
      </c>
      <c r="BD171" s="453" t="str">
        <f>IF(ISERROR(#REF!/BD$8*100),"--",#REF!/BD$8*100)</f>
        <v>--</v>
      </c>
      <c r="BE171" s="453" t="str">
        <f>IF(ISERROR(#REF!/BE$8*100),"--",#REF!/BE$8*100)</f>
        <v>--</v>
      </c>
      <c r="BF171" s="453"/>
      <c r="BG171" s="453" t="str">
        <f>IF(ISERROR(#REF!/BG$8*100),"--",#REF!/BG$8*100)</f>
        <v>--</v>
      </c>
      <c r="BH171" s="453" t="str">
        <f>IF(ISERROR(#REF!/BH$8*100),"--",#REF!/BH$8*100)</f>
        <v>--</v>
      </c>
      <c r="BI171" s="453" t="str">
        <f>IF(ISERROR(#REF!/BI$8*100),"--",#REF!/BI$8*100)</f>
        <v>--</v>
      </c>
      <c r="BJ171" s="453" t="str">
        <f>IF(ISERROR(#REF!/BJ$8*100),"--",#REF!/BJ$8*100)</f>
        <v>--</v>
      </c>
      <c r="BK171" s="453"/>
      <c r="BL171" s="453" t="str">
        <f>IF(ISERROR(#REF!/BL$8*100),"--",#REF!/BL$8*100)</f>
        <v>--</v>
      </c>
      <c r="BM171" s="453" t="str">
        <f>IF(ISERROR(#REF!/BM$8*100),"--",#REF!/BM$8*100)</f>
        <v>--</v>
      </c>
      <c r="BN171" s="453" t="str">
        <f>IF(ISERROR(#REF!/BN$8*100),"--",#REF!/BN$8*100)</f>
        <v>--</v>
      </c>
      <c r="BO171" s="453" t="str">
        <f>IF(ISERROR(#REF!/BO$8*100),"--",#REF!/BO$8*100)</f>
        <v>--</v>
      </c>
      <c r="BP171" s="453"/>
      <c r="BQ171" s="453" t="str">
        <f>IF(ISERROR(#REF!/BQ$8*100),"--",#REF!/BQ$8*100)</f>
        <v>--</v>
      </c>
      <c r="BR171" s="453" t="str">
        <f>IF(ISERROR(#REF!/BR$8*100),"--",#REF!/BR$8*100)</f>
        <v>--</v>
      </c>
      <c r="BS171" s="453" t="str">
        <f>IF(ISERROR(#REF!/BS$8*100),"--",#REF!/BS$8*100)</f>
        <v>--</v>
      </c>
      <c r="BT171" s="453" t="str">
        <f>IF(ISERROR(#REF!/BT$8*100),"--",#REF!/BT$8*100)</f>
        <v>--</v>
      </c>
      <c r="BU171" s="453"/>
      <c r="BV171" s="453" t="str">
        <f>IF(ISERROR(#REF!/BV$8*100),"--",#REF!/BV$8*100)</f>
        <v>--</v>
      </c>
      <c r="BW171" s="453" t="str">
        <f>IF(ISERROR(#REF!/BW$8*100),"--",#REF!/BW$8*100)</f>
        <v>--</v>
      </c>
      <c r="BX171" s="453" t="str">
        <f>IF(ISERROR(#REF!/BX$8*100),"--",#REF!/BX$8*100)</f>
        <v>--</v>
      </c>
      <c r="BY171" s="453" t="str">
        <f>IF(ISERROR(#REF!/BY$8*100),"--",#REF!/BY$8*100)</f>
        <v>--</v>
      </c>
      <c r="BZ171" s="453"/>
      <c r="CA171" s="453" t="str">
        <f>IF(ISERROR(#REF!/CA$8*100),"--",#REF!/CA$8*100)</f>
        <v>--</v>
      </c>
      <c r="CB171" s="453" t="str">
        <f>IF(ISERROR(#REF!/CB$8*100),"--",#REF!/CB$8*100)</f>
        <v>--</v>
      </c>
      <c r="CC171" s="453" t="str">
        <f>IF(ISERROR(#REF!/CC$8*100),"--",#REF!/CC$8*100)</f>
        <v>--</v>
      </c>
      <c r="CD171" s="453" t="str">
        <f>IF(ISERROR(#REF!/CD$8*100),"--",#REF!/CD$8*100)</f>
        <v>--</v>
      </c>
      <c r="CE171" s="453"/>
      <c r="CF171" s="453" t="str">
        <f>IF(ISERROR(#REF!/CF$8*100),"--",#REF!/CF$8*100)</f>
        <v>--</v>
      </c>
      <c r="CG171" s="453" t="str">
        <f>IF(ISERROR(#REF!/CG$8*100),"--",#REF!/CG$8*100)</f>
        <v>--</v>
      </c>
      <c r="CH171" s="453" t="str">
        <f>IF(ISERROR(#REF!/CH$8*100),"--",#REF!/CH$8*100)</f>
        <v>--</v>
      </c>
      <c r="CI171" s="449" t="str">
        <f>IF(ISERROR(#REF!/CI$8*100),"--",#REF!/CI$8*100)</f>
        <v>--</v>
      </c>
      <c r="CJ171" s="449"/>
      <c r="CK171" s="449" t="str">
        <f>IF(ISERROR(#REF!/CK$8*100),"--",#REF!/CK$8*100)</f>
        <v>--</v>
      </c>
      <c r="CL171" s="449" t="str">
        <f>IF(ISERROR(#REF!/CL$8*100),"--",#REF!/CL$8*100)</f>
        <v>--</v>
      </c>
      <c r="CM171" s="449" t="str">
        <f>IF(ISERROR(#REF!/CM$8*100),"--",#REF!/CM$8*100)</f>
        <v>--</v>
      </c>
      <c r="CN171" s="449" t="str">
        <f>IF(ISERROR(#REF!/CN$8*100),"--",#REF!/CN$8*100)</f>
        <v>--</v>
      </c>
      <c r="CO171" s="449"/>
      <c r="CP171" s="449" t="str">
        <f>IF(ISERROR(#REF!/CP$8*100),"--",#REF!/CP$8*100)</f>
        <v>--</v>
      </c>
      <c r="CQ171" s="449" t="str">
        <f>IF(ISERROR(#REF!/CQ$8*100),"--",#REF!/CQ$8*100)</f>
        <v>--</v>
      </c>
      <c r="CR171" s="449" t="str">
        <f>IF(ISERROR(#REF!/CR$8*100),"--",#REF!/CR$8*100)</f>
        <v>--</v>
      </c>
      <c r="CS171" s="449" t="str">
        <f>IF(ISERROR(#REF!/CS$8*100),"--",#REF!/CS$8*100)</f>
        <v>--</v>
      </c>
      <c r="CT171" s="449"/>
      <c r="CU171" s="449" t="str">
        <f>IF(ISERROR(#REF!/CU$8*100),"--",#REF!/CU$8*100)</f>
        <v>--</v>
      </c>
      <c r="CV171" s="449" t="str">
        <f>IF(ISERROR(#REF!/CV$8*100),"--",#REF!/CV$8*100)</f>
        <v>--</v>
      </c>
      <c r="CW171" s="449" t="str">
        <f>IF(ISERROR(#REF!/CW$8*100),"--",#REF!/CW$8*100)</f>
        <v>--</v>
      </c>
      <c r="CX171" s="449" t="str">
        <f>IF(ISERROR(#REF!/CX$8*100),"--",#REF!/CX$8*100)</f>
        <v>--</v>
      </c>
      <c r="CY171" s="449"/>
      <c r="CZ171" s="449"/>
      <c r="DA171" s="449"/>
      <c r="DB171" s="449"/>
      <c r="DC171" s="450"/>
      <c r="DD171" s="449"/>
      <c r="DE171" s="449"/>
      <c r="DF171" s="449"/>
      <c r="DG171" s="449"/>
      <c r="DH171" s="450"/>
      <c r="DI171" s="449"/>
      <c r="DJ171" s="450"/>
      <c r="DK171" s="450"/>
      <c r="DL171" s="450"/>
      <c r="DM171" s="450"/>
      <c r="DN171" s="449"/>
      <c r="DO171" s="449"/>
      <c r="DP171" s="450"/>
      <c r="DQ171" s="450"/>
      <c r="DR171" s="450"/>
      <c r="DS171" s="450"/>
      <c r="DT171" s="450"/>
      <c r="DU171" s="450"/>
      <c r="DV171" s="450"/>
      <c r="DW171" s="450"/>
      <c r="DX171" s="450"/>
      <c r="DY171" s="450"/>
      <c r="DZ171" s="450"/>
      <c r="EA171" s="449"/>
      <c r="EB171" s="450"/>
      <c r="EC171" s="449"/>
      <c r="ED171" s="450"/>
      <c r="EE171" s="450"/>
      <c r="EF171" s="450"/>
      <c r="EG171" s="450"/>
      <c r="EH171" s="449"/>
      <c r="EI171" s="2761"/>
      <c r="EJ171" s="2761"/>
      <c r="EK171" s="2761"/>
      <c r="EL171" s="2761"/>
      <c r="EM171" s="2762"/>
      <c r="EN171" s="2761"/>
      <c r="EO171" s="2761"/>
      <c r="EP171" s="2762"/>
      <c r="EQ171" s="2762"/>
      <c r="ER171" s="2762"/>
      <c r="ES171" s="449"/>
      <c r="ET171" s="2761"/>
      <c r="EU171" s="449"/>
      <c r="EV171" s="449"/>
      <c r="EW171" s="449"/>
      <c r="EX171" s="449"/>
      <c r="EY171" s="449"/>
      <c r="EZ171" s="449"/>
      <c r="FA171" s="449"/>
      <c r="FB171" s="449"/>
      <c r="FC171" s="449"/>
      <c r="FD171" s="449"/>
      <c r="FE171" s="449"/>
      <c r="FF171" s="449"/>
      <c r="FG171" s="449"/>
      <c r="FH171" s="449"/>
      <c r="FI171" s="449"/>
      <c r="FJ171" s="449"/>
      <c r="FK171" s="449"/>
      <c r="FL171" s="449"/>
      <c r="FM171" s="453"/>
      <c r="FN171" s="453" t="str">
        <f>IF(ISERROR(#REF!/FN$8*100),"--",#REF!/FN$8*100)</f>
        <v>--</v>
      </c>
      <c r="FO171" s="453" t="str">
        <f>IF(ISERROR(#REF!/FO$8*100),"--",#REF!/FO$8*100)</f>
        <v>--</v>
      </c>
      <c r="FP171" s="453" t="str">
        <f>IF(ISERROR(#REF!/FP$8*100),"--",#REF!/FP$8*100)</f>
        <v>--</v>
      </c>
      <c r="FQ171" s="453" t="str">
        <f>IF(ISERROR(#REF!/FQ$8*100),"--",#REF!/FQ$8*100)</f>
        <v>--</v>
      </c>
      <c r="FR171" s="453" t="str">
        <f>IF(ISERROR(#REF!/FR$8*100),"--",#REF!/FR$8*100)</f>
        <v>--</v>
      </c>
      <c r="FS171" s="453" t="str">
        <f>IF(ISERROR(#REF!/FS$8*100),"--",#REF!/FS$8*100)</f>
        <v>--</v>
      </c>
      <c r="FT171" s="453" t="str">
        <f>IF(ISERROR(#REF!/FT$8*100),"--",#REF!/FT$8*100)</f>
        <v>--</v>
      </c>
      <c r="FU171" s="453" t="str">
        <f>IF(ISERROR(#REF!/FU$8*100),"--",#REF!/FU$8*100)</f>
        <v>--</v>
      </c>
      <c r="FV171" s="453" t="str">
        <f>IF(ISERROR(#REF!/FV$8*100),"--",#REF!/FV$8*100)</f>
        <v>--</v>
      </c>
      <c r="FW171" s="453" t="str">
        <f>IF(ISERROR(#REF!/FW$8*100),"--",#REF!/FW$8*100)</f>
        <v>--</v>
      </c>
      <c r="FX171" s="454" t="str">
        <f>IF(ISERROR(#REF!/FX$8*100),"--",#REF!/FX$8*100)</f>
        <v>--</v>
      </c>
      <c r="FY171" s="454" t="str">
        <f>IF(ISERROR(#REF!/FY$8*100),"--",#REF!/FY$8*100)</f>
        <v>--</v>
      </c>
      <c r="FZ171" s="454"/>
      <c r="GA171" s="454"/>
      <c r="GB171" s="454"/>
      <c r="GC171" s="1112"/>
      <c r="GD171" s="1112"/>
      <c r="GE171" s="1112"/>
      <c r="GF171" s="1112"/>
      <c r="GG171" s="1112"/>
      <c r="GH171" s="1112"/>
      <c r="GI171" s="1112"/>
      <c r="GJ171" s="2669"/>
      <c r="GK171" s="2669"/>
      <c r="GL171" s="2669"/>
      <c r="GN171"/>
      <c r="GO171"/>
      <c r="GP171"/>
      <c r="GQ171"/>
      <c r="GR171"/>
      <c r="GS171"/>
    </row>
    <row r="172" spans="1:201" s="264" customFormat="1" ht="11.25" hidden="1" customHeight="1" outlineLevel="1">
      <c r="A172" s="253" t="s">
        <v>328</v>
      </c>
      <c r="B172" s="253"/>
      <c r="C172" s="253"/>
      <c r="D172" s="453" t="str">
        <f>IF(ISERROR(#REF!/D$8*100),"--",#REF!/D$8*100)</f>
        <v>--</v>
      </c>
      <c r="E172" s="453" t="str">
        <f>IF(ISERROR(#REF!/E$8*100),"--",#REF!/E$8*100)</f>
        <v>--</v>
      </c>
      <c r="F172" s="453" t="str">
        <f>IF(ISERROR(#REF!/F$8*100),"--",#REF!/F$8*100)</f>
        <v>--</v>
      </c>
      <c r="G172" s="453" t="str">
        <f>IF(ISERROR(#REF!/G$8*100),"--",#REF!/G$8*100)</f>
        <v>--</v>
      </c>
      <c r="H172" s="453"/>
      <c r="I172" s="453" t="str">
        <f>IF(ISERROR(#REF!/I$8*100),"--",#REF!/I$8*100)</f>
        <v>--</v>
      </c>
      <c r="J172" s="453" t="str">
        <f>IF(ISERROR(#REF!/J$8*100),"--",#REF!/J$8*100)</f>
        <v>--</v>
      </c>
      <c r="K172" s="453" t="str">
        <f>IF(ISERROR(#REF!/K$8*100),"--",#REF!/K$8*100)</f>
        <v>--</v>
      </c>
      <c r="L172" s="453" t="str">
        <f>IF(ISERROR(#REF!/L$8*100),"--",#REF!/L$8*100)</f>
        <v>--</v>
      </c>
      <c r="M172" s="453"/>
      <c r="N172" s="453" t="str">
        <f>IF(ISERROR(#REF!/N$8*100),"--",#REF!/N$8*100)</f>
        <v>--</v>
      </c>
      <c r="O172" s="453" t="str">
        <f>IF(ISERROR(#REF!/O$8*100),"--",#REF!/O$8*100)</f>
        <v>--</v>
      </c>
      <c r="P172" s="453" t="str">
        <f>IF(ISERROR(#REF!/P$8*100),"--",#REF!/P$8*100)</f>
        <v>--</v>
      </c>
      <c r="Q172" s="453" t="str">
        <f>IF(ISERROR(#REF!/Q$8*100),"--",#REF!/Q$8*100)</f>
        <v>--</v>
      </c>
      <c r="R172" s="453"/>
      <c r="S172" s="453" t="str">
        <f>IF(ISERROR(#REF!/S$8*100),"--",#REF!/S$8*100)</f>
        <v>--</v>
      </c>
      <c r="T172" s="453" t="str">
        <f>IF(ISERROR(#REF!/T$8*100),"--",#REF!/T$8*100)</f>
        <v>--</v>
      </c>
      <c r="U172" s="453" t="str">
        <f>IF(ISERROR(#REF!/U$8*100),"--",#REF!/U$8*100)</f>
        <v>--</v>
      </c>
      <c r="V172" s="453" t="str">
        <f>IF(ISERROR(#REF!/V$8*100),"--",#REF!/V$8*100)</f>
        <v>--</v>
      </c>
      <c r="W172" s="453"/>
      <c r="X172" s="453" t="str">
        <f>IF(ISERROR(#REF!/X$8*100),"--",#REF!/X$8*100)</f>
        <v>--</v>
      </c>
      <c r="Y172" s="453" t="str">
        <f>IF(ISERROR(#REF!/Y$8*100),"--",#REF!/Y$8*100)</f>
        <v>--</v>
      </c>
      <c r="Z172" s="453" t="str">
        <f>IF(ISERROR(#REF!/Z$8*100),"--",#REF!/Z$8*100)</f>
        <v>--</v>
      </c>
      <c r="AA172" s="453" t="str">
        <f>IF(ISERROR(#REF!/AA$8*100),"--",#REF!/AA$8*100)</f>
        <v>--</v>
      </c>
      <c r="AB172" s="453"/>
      <c r="AC172" s="453" t="str">
        <f>IF(ISERROR(#REF!/AC$8*100),"--",#REF!/AC$8*100)</f>
        <v>--</v>
      </c>
      <c r="AD172" s="453" t="str">
        <f>IF(ISERROR(#REF!/AD$8*100),"--",#REF!/AD$8*100)</f>
        <v>--</v>
      </c>
      <c r="AE172" s="453" t="str">
        <f>IF(ISERROR(#REF!/AE$8*100),"--",#REF!/AE$8*100)</f>
        <v>--</v>
      </c>
      <c r="AF172" s="453" t="str">
        <f>IF(ISERROR(#REF!/AF$8*100),"--",#REF!/AF$8*100)</f>
        <v>--</v>
      </c>
      <c r="AG172" s="453"/>
      <c r="AH172" s="453" t="str">
        <f>IF(ISERROR(#REF!/AH$8*100),"--",#REF!/AH$8*100)</f>
        <v>--</v>
      </c>
      <c r="AI172" s="453" t="str">
        <f>IF(ISERROR(#REF!/AI$8*100),"--",#REF!/AI$8*100)</f>
        <v>--</v>
      </c>
      <c r="AJ172" s="453" t="str">
        <f>IF(ISERROR(#REF!/AJ$8*100),"--",#REF!/AJ$8*100)</f>
        <v>--</v>
      </c>
      <c r="AK172" s="453" t="str">
        <f>IF(ISERROR(#REF!/AK$8*100),"--",#REF!/AK$8*100)</f>
        <v>--</v>
      </c>
      <c r="AL172" s="453"/>
      <c r="AM172" s="453" t="str">
        <f>IF(ISERROR(#REF!/AM$8*100),"--",#REF!/AM$8*100)</f>
        <v>--</v>
      </c>
      <c r="AN172" s="453" t="str">
        <f>IF(ISERROR(#REF!/AN$8*100),"--",#REF!/AN$8*100)</f>
        <v>--</v>
      </c>
      <c r="AO172" s="453" t="str">
        <f>IF(ISERROR(#REF!/AO$8*100),"--",#REF!/AO$8*100)</f>
        <v>--</v>
      </c>
      <c r="AP172" s="453" t="str">
        <f>IF(ISERROR(#REF!/AP$8*100),"--",#REF!/AP$8*100)</f>
        <v>--</v>
      </c>
      <c r="AQ172" s="453"/>
      <c r="AR172" s="453" t="str">
        <f>IF(ISERROR(#REF!/AR$8*100),"--",#REF!/AR$8*100)</f>
        <v>--</v>
      </c>
      <c r="AS172" s="453" t="str">
        <f>IF(ISERROR(#REF!/AS$8*100),"--",#REF!/AS$8*100)</f>
        <v>--</v>
      </c>
      <c r="AT172" s="453" t="str">
        <f>IF(ISERROR(#REF!/AT$8*100),"--",#REF!/AT$8*100)</f>
        <v>--</v>
      </c>
      <c r="AU172" s="453" t="str">
        <f>IF(ISERROR(#REF!/AU$8*100),"--",#REF!/AU$8*100)</f>
        <v>--</v>
      </c>
      <c r="AV172" s="453"/>
      <c r="AW172" s="453" t="str">
        <f>IF(ISERROR(#REF!/AW$8*100),"--",#REF!/AW$8*100)</f>
        <v>--</v>
      </c>
      <c r="AX172" s="453" t="str">
        <f>IF(ISERROR(#REF!/AX$8*100),"--",#REF!/AX$8*100)</f>
        <v>--</v>
      </c>
      <c r="AY172" s="453" t="str">
        <f>IF(ISERROR(#REF!/AY$8*100),"--",#REF!/AY$8*100)</f>
        <v>--</v>
      </c>
      <c r="AZ172" s="453" t="str">
        <f>IF(ISERROR(#REF!/AZ$8*100),"--",#REF!/AZ$8*100)</f>
        <v>--</v>
      </c>
      <c r="BA172" s="453"/>
      <c r="BB172" s="453" t="str">
        <f>IF(ISERROR(#REF!/BB$8*100),"--",#REF!/BB$8*100)</f>
        <v>--</v>
      </c>
      <c r="BC172" s="453" t="str">
        <f>IF(ISERROR(#REF!/BC$8*100),"--",#REF!/BC$8*100)</f>
        <v>--</v>
      </c>
      <c r="BD172" s="453" t="str">
        <f>IF(ISERROR(#REF!/BD$8*100),"--",#REF!/BD$8*100)</f>
        <v>--</v>
      </c>
      <c r="BE172" s="453" t="str">
        <f>IF(ISERROR(#REF!/BE$8*100),"--",#REF!/BE$8*100)</f>
        <v>--</v>
      </c>
      <c r="BF172" s="453"/>
      <c r="BG172" s="453" t="str">
        <f>IF(ISERROR(#REF!/BG$8*100),"--",#REF!/BG$8*100)</f>
        <v>--</v>
      </c>
      <c r="BH172" s="453" t="str">
        <f>IF(ISERROR(#REF!/BH$8*100),"--",#REF!/BH$8*100)</f>
        <v>--</v>
      </c>
      <c r="BI172" s="453" t="str">
        <f>IF(ISERROR(#REF!/BI$8*100),"--",#REF!/BI$8*100)</f>
        <v>--</v>
      </c>
      <c r="BJ172" s="453" t="str">
        <f>IF(ISERROR(#REF!/BJ$8*100),"--",#REF!/BJ$8*100)</f>
        <v>--</v>
      </c>
      <c r="BK172" s="453"/>
      <c r="BL172" s="453" t="str">
        <f>IF(ISERROR(#REF!/BL$8*100),"--",#REF!/BL$8*100)</f>
        <v>--</v>
      </c>
      <c r="BM172" s="453" t="str">
        <f>IF(ISERROR(#REF!/BM$8*100),"--",#REF!/BM$8*100)</f>
        <v>--</v>
      </c>
      <c r="BN172" s="453" t="str">
        <f>IF(ISERROR(#REF!/BN$8*100),"--",#REF!/BN$8*100)</f>
        <v>--</v>
      </c>
      <c r="BO172" s="453" t="str">
        <f>IF(ISERROR(#REF!/BO$8*100),"--",#REF!/BO$8*100)</f>
        <v>--</v>
      </c>
      <c r="BP172" s="453"/>
      <c r="BQ172" s="453" t="str">
        <f>IF(ISERROR(#REF!/BQ$8*100),"--",#REF!/BQ$8*100)</f>
        <v>--</v>
      </c>
      <c r="BR172" s="453" t="str">
        <f>IF(ISERROR(#REF!/BR$8*100),"--",#REF!/BR$8*100)</f>
        <v>--</v>
      </c>
      <c r="BS172" s="453" t="str">
        <f>IF(ISERROR(#REF!/BS$8*100),"--",#REF!/BS$8*100)</f>
        <v>--</v>
      </c>
      <c r="BT172" s="453" t="str">
        <f>IF(ISERROR(#REF!/BT$8*100),"--",#REF!/BT$8*100)</f>
        <v>--</v>
      </c>
      <c r="BU172" s="453"/>
      <c r="BV172" s="453" t="str">
        <f>IF(ISERROR(#REF!/BV$8*100),"--",#REF!/BV$8*100)</f>
        <v>--</v>
      </c>
      <c r="BW172" s="453" t="str">
        <f>IF(ISERROR(#REF!/BW$8*100),"--",#REF!/BW$8*100)</f>
        <v>--</v>
      </c>
      <c r="BX172" s="453" t="str">
        <f>IF(ISERROR(#REF!/BX$8*100),"--",#REF!/BX$8*100)</f>
        <v>--</v>
      </c>
      <c r="BY172" s="453" t="str">
        <f>IF(ISERROR(#REF!/BY$8*100),"--",#REF!/BY$8*100)</f>
        <v>--</v>
      </c>
      <c r="BZ172" s="453"/>
      <c r="CA172" s="453" t="str">
        <f>IF(ISERROR(#REF!/CA$8*100),"--",#REF!/CA$8*100)</f>
        <v>--</v>
      </c>
      <c r="CB172" s="453" t="str">
        <f>IF(ISERROR(#REF!/CB$8*100),"--",#REF!/CB$8*100)</f>
        <v>--</v>
      </c>
      <c r="CC172" s="453" t="str">
        <f>IF(ISERROR(#REF!/CC$8*100),"--",#REF!/CC$8*100)</f>
        <v>--</v>
      </c>
      <c r="CD172" s="453" t="str">
        <f>IF(ISERROR(#REF!/CD$8*100),"--",#REF!/CD$8*100)</f>
        <v>--</v>
      </c>
      <c r="CE172" s="453"/>
      <c r="CF172" s="453" t="str">
        <f>IF(ISERROR(#REF!/CF$8*100),"--",#REF!/CF$8*100)</f>
        <v>--</v>
      </c>
      <c r="CG172" s="453" t="str">
        <f>IF(ISERROR(#REF!/CG$8*100),"--",#REF!/CG$8*100)</f>
        <v>--</v>
      </c>
      <c r="CH172" s="453" t="str">
        <f>IF(ISERROR(#REF!/CH$8*100),"--",#REF!/CH$8*100)</f>
        <v>--</v>
      </c>
      <c r="CI172" s="449" t="str">
        <f>IF(ISERROR(#REF!/CI$8*100),"--",#REF!/CI$8*100)</f>
        <v>--</v>
      </c>
      <c r="CJ172" s="449"/>
      <c r="CK172" s="449" t="str">
        <f>IF(ISERROR(#REF!/CK$8*100),"--",#REF!/CK$8*100)</f>
        <v>--</v>
      </c>
      <c r="CL172" s="449" t="str">
        <f>IF(ISERROR(#REF!/CL$8*100),"--",#REF!/CL$8*100)</f>
        <v>--</v>
      </c>
      <c r="CM172" s="449" t="str">
        <f>IF(ISERROR(#REF!/CM$8*100),"--",#REF!/CM$8*100)</f>
        <v>--</v>
      </c>
      <c r="CN172" s="449" t="str">
        <f>IF(ISERROR(#REF!/CN$8*100),"--",#REF!/CN$8*100)</f>
        <v>--</v>
      </c>
      <c r="CO172" s="449"/>
      <c r="CP172" s="449" t="str">
        <f>IF(ISERROR(#REF!/CP$8*100),"--",#REF!/CP$8*100)</f>
        <v>--</v>
      </c>
      <c r="CQ172" s="449" t="str">
        <f>IF(ISERROR(#REF!/CQ$8*100),"--",#REF!/CQ$8*100)</f>
        <v>--</v>
      </c>
      <c r="CR172" s="449" t="str">
        <f>IF(ISERROR(#REF!/CR$8*100),"--",#REF!/CR$8*100)</f>
        <v>--</v>
      </c>
      <c r="CS172" s="449" t="str">
        <f>IF(ISERROR(#REF!/CS$8*100),"--",#REF!/CS$8*100)</f>
        <v>--</v>
      </c>
      <c r="CT172" s="449"/>
      <c r="CU172" s="449" t="str">
        <f>IF(ISERROR(#REF!/CU$8*100),"--",#REF!/CU$8*100)</f>
        <v>--</v>
      </c>
      <c r="CV172" s="449" t="str">
        <f>IF(ISERROR(#REF!/CV$8*100),"--",#REF!/CV$8*100)</f>
        <v>--</v>
      </c>
      <c r="CW172" s="449" t="str">
        <f>IF(ISERROR(#REF!/CW$8*100),"--",#REF!/CW$8*100)</f>
        <v>--</v>
      </c>
      <c r="CX172" s="449" t="str">
        <f>IF(ISERROR(#REF!/CX$8*100),"--",#REF!/CX$8*100)</f>
        <v>--</v>
      </c>
      <c r="CY172" s="449"/>
      <c r="CZ172" s="449"/>
      <c r="DA172" s="449"/>
      <c r="DB172" s="449"/>
      <c r="DC172" s="450"/>
      <c r="DD172" s="449"/>
      <c r="DE172" s="449"/>
      <c r="DF172" s="449"/>
      <c r="DG172" s="449"/>
      <c r="DH172" s="450"/>
      <c r="DI172" s="449"/>
      <c r="DJ172" s="450"/>
      <c r="DK172" s="450"/>
      <c r="DL172" s="450"/>
      <c r="DM172" s="450"/>
      <c r="DN172" s="449"/>
      <c r="DO172" s="449"/>
      <c r="DP172" s="450"/>
      <c r="DQ172" s="450"/>
      <c r="DR172" s="450"/>
      <c r="DS172" s="450"/>
      <c r="DT172" s="450"/>
      <c r="DU172" s="450"/>
      <c r="DV172" s="450"/>
      <c r="DW172" s="450"/>
      <c r="DX172" s="450"/>
      <c r="DY172" s="450"/>
      <c r="DZ172" s="450"/>
      <c r="EA172" s="449"/>
      <c r="EB172" s="450"/>
      <c r="EC172" s="449"/>
      <c r="ED172" s="450"/>
      <c r="EE172" s="450"/>
      <c r="EF172" s="450"/>
      <c r="EG172" s="450"/>
      <c r="EH172" s="449"/>
      <c r="EI172" s="2761"/>
      <c r="EJ172" s="2761"/>
      <c r="EK172" s="2761"/>
      <c r="EL172" s="2761"/>
      <c r="EM172" s="2762"/>
      <c r="EN172" s="2761"/>
      <c r="EO172" s="2761"/>
      <c r="EP172" s="2762"/>
      <c r="EQ172" s="2762"/>
      <c r="ER172" s="2762"/>
      <c r="ES172" s="449"/>
      <c r="ET172" s="2761"/>
      <c r="EU172" s="449"/>
      <c r="EV172" s="449"/>
      <c r="EW172" s="449"/>
      <c r="EX172" s="449"/>
      <c r="EY172" s="449"/>
      <c r="EZ172" s="449"/>
      <c r="FA172" s="449"/>
      <c r="FB172" s="449"/>
      <c r="FC172" s="449"/>
      <c r="FD172" s="449"/>
      <c r="FE172" s="449"/>
      <c r="FF172" s="449"/>
      <c r="FG172" s="449"/>
      <c r="FH172" s="449"/>
      <c r="FI172" s="449"/>
      <c r="FJ172" s="449"/>
      <c r="FK172" s="449"/>
      <c r="FL172" s="449"/>
      <c r="FM172" s="453"/>
      <c r="FN172" s="453" t="str">
        <f>IF(ISERROR(#REF!/FN$8*100),"--",#REF!/FN$8*100)</f>
        <v>--</v>
      </c>
      <c r="FO172" s="453" t="str">
        <f>IF(ISERROR(#REF!/FO$8*100),"--",#REF!/FO$8*100)</f>
        <v>--</v>
      </c>
      <c r="FP172" s="453" t="str">
        <f>IF(ISERROR(#REF!/FP$8*100),"--",#REF!/FP$8*100)</f>
        <v>--</v>
      </c>
      <c r="FQ172" s="453" t="str">
        <f>IF(ISERROR(#REF!/FQ$8*100),"--",#REF!/FQ$8*100)</f>
        <v>--</v>
      </c>
      <c r="FR172" s="453" t="str">
        <f>IF(ISERROR(#REF!/FR$8*100),"--",#REF!/FR$8*100)</f>
        <v>--</v>
      </c>
      <c r="FS172" s="453" t="str">
        <f>IF(ISERROR(#REF!/FS$8*100),"--",#REF!/FS$8*100)</f>
        <v>--</v>
      </c>
      <c r="FT172" s="453" t="str">
        <f>IF(ISERROR(#REF!/FT$8*100),"--",#REF!/FT$8*100)</f>
        <v>--</v>
      </c>
      <c r="FU172" s="453" t="str">
        <f>IF(ISERROR(#REF!/FU$8*100),"--",#REF!/FU$8*100)</f>
        <v>--</v>
      </c>
      <c r="FV172" s="453" t="str">
        <f>IF(ISERROR(#REF!/FV$8*100),"--",#REF!/FV$8*100)</f>
        <v>--</v>
      </c>
      <c r="FW172" s="453" t="str">
        <f>IF(ISERROR(#REF!/FW$8*100),"--",#REF!/FW$8*100)</f>
        <v>--</v>
      </c>
      <c r="FX172" s="454" t="str">
        <f>IF(ISERROR(#REF!/FX$8*100),"--",#REF!/FX$8*100)</f>
        <v>--</v>
      </c>
      <c r="FY172" s="454" t="str">
        <f>IF(ISERROR(#REF!/FY$8*100),"--",#REF!/FY$8*100)</f>
        <v>--</v>
      </c>
      <c r="FZ172" s="454"/>
      <c r="GA172" s="454"/>
      <c r="GB172" s="454"/>
      <c r="GC172" s="1112"/>
      <c r="GD172" s="1112"/>
      <c r="GE172" s="1112"/>
      <c r="GF172" s="1112"/>
      <c r="GG172" s="1112"/>
      <c r="GH172" s="1112"/>
      <c r="GI172" s="1112"/>
      <c r="GJ172" s="2669"/>
      <c r="GK172" s="2669"/>
      <c r="GL172" s="2669"/>
      <c r="GN172"/>
      <c r="GO172"/>
      <c r="GP172"/>
      <c r="GQ172"/>
      <c r="GR172"/>
      <c r="GS172"/>
    </row>
    <row r="173" spans="1:201" s="264" customFormat="1" ht="11.25" hidden="1" customHeight="1" outlineLevel="1">
      <c r="A173" s="253" t="s">
        <v>329</v>
      </c>
      <c r="B173" s="253"/>
      <c r="C173" s="253"/>
      <c r="D173" s="453" t="str">
        <f>IF(ISERROR(#REF!/D$8*100),"--",#REF!/D$8*100)</f>
        <v>--</v>
      </c>
      <c r="E173" s="453" t="str">
        <f>IF(ISERROR(#REF!/E$8*100),"--",#REF!/E$8*100)</f>
        <v>--</v>
      </c>
      <c r="F173" s="453" t="str">
        <f>IF(ISERROR(#REF!/F$8*100),"--",#REF!/F$8*100)</f>
        <v>--</v>
      </c>
      <c r="G173" s="453" t="str">
        <f>IF(ISERROR(#REF!/G$8*100),"--",#REF!/G$8*100)</f>
        <v>--</v>
      </c>
      <c r="H173" s="453"/>
      <c r="I173" s="453" t="str">
        <f>IF(ISERROR(#REF!/I$8*100),"--",#REF!/I$8*100)</f>
        <v>--</v>
      </c>
      <c r="J173" s="453" t="str">
        <f>IF(ISERROR(#REF!/J$8*100),"--",#REF!/J$8*100)</f>
        <v>--</v>
      </c>
      <c r="K173" s="453" t="str">
        <f>IF(ISERROR(#REF!/K$8*100),"--",#REF!/K$8*100)</f>
        <v>--</v>
      </c>
      <c r="L173" s="453" t="str">
        <f>IF(ISERROR(#REF!/L$8*100),"--",#REF!/L$8*100)</f>
        <v>--</v>
      </c>
      <c r="M173" s="453"/>
      <c r="N173" s="453" t="str">
        <f>IF(ISERROR(#REF!/N$8*100),"--",#REF!/N$8*100)</f>
        <v>--</v>
      </c>
      <c r="O173" s="453" t="str">
        <f>IF(ISERROR(#REF!/O$8*100),"--",#REF!/O$8*100)</f>
        <v>--</v>
      </c>
      <c r="P173" s="453" t="str">
        <f>IF(ISERROR(#REF!/P$8*100),"--",#REF!/P$8*100)</f>
        <v>--</v>
      </c>
      <c r="Q173" s="453" t="str">
        <f>IF(ISERROR(#REF!/Q$8*100),"--",#REF!/Q$8*100)</f>
        <v>--</v>
      </c>
      <c r="R173" s="453"/>
      <c r="S173" s="453" t="str">
        <f>IF(ISERROR(#REF!/S$8*100),"--",#REF!/S$8*100)</f>
        <v>--</v>
      </c>
      <c r="T173" s="453" t="str">
        <f>IF(ISERROR(#REF!/T$8*100),"--",#REF!/T$8*100)</f>
        <v>--</v>
      </c>
      <c r="U173" s="453" t="str">
        <f>IF(ISERROR(#REF!/U$8*100),"--",#REF!/U$8*100)</f>
        <v>--</v>
      </c>
      <c r="V173" s="453" t="str">
        <f>IF(ISERROR(#REF!/V$8*100),"--",#REF!/V$8*100)</f>
        <v>--</v>
      </c>
      <c r="W173" s="453"/>
      <c r="X173" s="453" t="str">
        <f>IF(ISERROR(#REF!/X$8*100),"--",#REF!/X$8*100)</f>
        <v>--</v>
      </c>
      <c r="Y173" s="453" t="str">
        <f>IF(ISERROR(#REF!/Y$8*100),"--",#REF!/Y$8*100)</f>
        <v>--</v>
      </c>
      <c r="Z173" s="453" t="str">
        <f>IF(ISERROR(#REF!/Z$8*100),"--",#REF!/Z$8*100)</f>
        <v>--</v>
      </c>
      <c r="AA173" s="453" t="str">
        <f>IF(ISERROR(#REF!/AA$8*100),"--",#REF!/AA$8*100)</f>
        <v>--</v>
      </c>
      <c r="AB173" s="453"/>
      <c r="AC173" s="453" t="str">
        <f>IF(ISERROR(#REF!/AC$8*100),"--",#REF!/AC$8*100)</f>
        <v>--</v>
      </c>
      <c r="AD173" s="453" t="str">
        <f>IF(ISERROR(#REF!/AD$8*100),"--",#REF!/AD$8*100)</f>
        <v>--</v>
      </c>
      <c r="AE173" s="453" t="str">
        <f>IF(ISERROR(#REF!/AE$8*100),"--",#REF!/AE$8*100)</f>
        <v>--</v>
      </c>
      <c r="AF173" s="453" t="str">
        <f>IF(ISERROR(#REF!/AF$8*100),"--",#REF!/AF$8*100)</f>
        <v>--</v>
      </c>
      <c r="AG173" s="453"/>
      <c r="AH173" s="453" t="str">
        <f>IF(ISERROR(#REF!/AH$8*100),"--",#REF!/AH$8*100)</f>
        <v>--</v>
      </c>
      <c r="AI173" s="453" t="str">
        <f>IF(ISERROR(#REF!/AI$8*100),"--",#REF!/AI$8*100)</f>
        <v>--</v>
      </c>
      <c r="AJ173" s="453" t="str">
        <f>IF(ISERROR(#REF!/AJ$8*100),"--",#REF!/AJ$8*100)</f>
        <v>--</v>
      </c>
      <c r="AK173" s="453" t="str">
        <f>IF(ISERROR(#REF!/AK$8*100),"--",#REF!/AK$8*100)</f>
        <v>--</v>
      </c>
      <c r="AL173" s="453"/>
      <c r="AM173" s="453" t="str">
        <f>IF(ISERROR(#REF!/AM$8*100),"--",#REF!/AM$8*100)</f>
        <v>--</v>
      </c>
      <c r="AN173" s="453" t="str">
        <f>IF(ISERROR(#REF!/AN$8*100),"--",#REF!/AN$8*100)</f>
        <v>--</v>
      </c>
      <c r="AO173" s="453" t="str">
        <f>IF(ISERROR(#REF!/AO$8*100),"--",#REF!/AO$8*100)</f>
        <v>--</v>
      </c>
      <c r="AP173" s="453" t="str">
        <f>IF(ISERROR(#REF!/AP$8*100),"--",#REF!/AP$8*100)</f>
        <v>--</v>
      </c>
      <c r="AQ173" s="453"/>
      <c r="AR173" s="453" t="str">
        <f>IF(ISERROR(#REF!/AR$8*100),"--",#REF!/AR$8*100)</f>
        <v>--</v>
      </c>
      <c r="AS173" s="453" t="str">
        <f>IF(ISERROR(#REF!/AS$8*100),"--",#REF!/AS$8*100)</f>
        <v>--</v>
      </c>
      <c r="AT173" s="453" t="str">
        <f>IF(ISERROR(#REF!/AT$8*100),"--",#REF!/AT$8*100)</f>
        <v>--</v>
      </c>
      <c r="AU173" s="453" t="str">
        <f>IF(ISERROR(#REF!/AU$8*100),"--",#REF!/AU$8*100)</f>
        <v>--</v>
      </c>
      <c r="AV173" s="453"/>
      <c r="AW173" s="453" t="str">
        <f>IF(ISERROR(#REF!/AW$8*100),"--",#REF!/AW$8*100)</f>
        <v>--</v>
      </c>
      <c r="AX173" s="453" t="str">
        <f>IF(ISERROR(#REF!/AX$8*100),"--",#REF!/AX$8*100)</f>
        <v>--</v>
      </c>
      <c r="AY173" s="453" t="str">
        <f>IF(ISERROR(#REF!/AY$8*100),"--",#REF!/AY$8*100)</f>
        <v>--</v>
      </c>
      <c r="AZ173" s="453" t="str">
        <f>IF(ISERROR(#REF!/AZ$8*100),"--",#REF!/AZ$8*100)</f>
        <v>--</v>
      </c>
      <c r="BA173" s="453"/>
      <c r="BB173" s="453" t="str">
        <f>IF(ISERROR(#REF!/BB$8*100),"--",#REF!/BB$8*100)</f>
        <v>--</v>
      </c>
      <c r="BC173" s="453" t="str">
        <f>IF(ISERROR(#REF!/BC$8*100),"--",#REF!/BC$8*100)</f>
        <v>--</v>
      </c>
      <c r="BD173" s="453" t="str">
        <f>IF(ISERROR(#REF!/BD$8*100),"--",#REF!/BD$8*100)</f>
        <v>--</v>
      </c>
      <c r="BE173" s="453" t="str">
        <f>IF(ISERROR(#REF!/BE$8*100),"--",#REF!/BE$8*100)</f>
        <v>--</v>
      </c>
      <c r="BF173" s="453"/>
      <c r="BG173" s="453" t="str">
        <f>IF(ISERROR(#REF!/BG$8*100),"--",#REF!/BG$8*100)</f>
        <v>--</v>
      </c>
      <c r="BH173" s="453" t="str">
        <f>IF(ISERROR(#REF!/BH$8*100),"--",#REF!/BH$8*100)</f>
        <v>--</v>
      </c>
      <c r="BI173" s="453" t="str">
        <f>IF(ISERROR(#REF!/BI$8*100),"--",#REF!/BI$8*100)</f>
        <v>--</v>
      </c>
      <c r="BJ173" s="453" t="str">
        <f>IF(ISERROR(#REF!/BJ$8*100),"--",#REF!/BJ$8*100)</f>
        <v>--</v>
      </c>
      <c r="BK173" s="453"/>
      <c r="BL173" s="453" t="str">
        <f>IF(ISERROR(#REF!/BL$8*100),"--",#REF!/BL$8*100)</f>
        <v>--</v>
      </c>
      <c r="BM173" s="453" t="str">
        <f>IF(ISERROR(#REF!/BM$8*100),"--",#REF!/BM$8*100)</f>
        <v>--</v>
      </c>
      <c r="BN173" s="453" t="str">
        <f>IF(ISERROR(#REF!/BN$8*100),"--",#REF!/BN$8*100)</f>
        <v>--</v>
      </c>
      <c r="BO173" s="453" t="str">
        <f>IF(ISERROR(#REF!/BO$8*100),"--",#REF!/BO$8*100)</f>
        <v>--</v>
      </c>
      <c r="BP173" s="453"/>
      <c r="BQ173" s="453" t="str">
        <f>IF(ISERROR(#REF!/BQ$8*100),"--",#REF!/BQ$8*100)</f>
        <v>--</v>
      </c>
      <c r="BR173" s="453" t="str">
        <f>IF(ISERROR(#REF!/BR$8*100),"--",#REF!/BR$8*100)</f>
        <v>--</v>
      </c>
      <c r="BS173" s="453" t="str">
        <f>IF(ISERROR(#REF!/BS$8*100),"--",#REF!/BS$8*100)</f>
        <v>--</v>
      </c>
      <c r="BT173" s="453" t="str">
        <f>IF(ISERROR(#REF!/BT$8*100),"--",#REF!/BT$8*100)</f>
        <v>--</v>
      </c>
      <c r="BU173" s="453"/>
      <c r="BV173" s="453" t="str">
        <f>IF(ISERROR(#REF!/BV$8*100),"--",#REF!/BV$8*100)</f>
        <v>--</v>
      </c>
      <c r="BW173" s="453" t="str">
        <f>IF(ISERROR(#REF!/BW$8*100),"--",#REF!/BW$8*100)</f>
        <v>--</v>
      </c>
      <c r="BX173" s="453" t="str">
        <f>IF(ISERROR(#REF!/BX$8*100),"--",#REF!/BX$8*100)</f>
        <v>--</v>
      </c>
      <c r="BY173" s="453" t="str">
        <f>IF(ISERROR(#REF!/BY$8*100),"--",#REF!/BY$8*100)</f>
        <v>--</v>
      </c>
      <c r="BZ173" s="453"/>
      <c r="CA173" s="453" t="str">
        <f>IF(ISERROR(#REF!/CA$8*100),"--",#REF!/CA$8*100)</f>
        <v>--</v>
      </c>
      <c r="CB173" s="453" t="str">
        <f>IF(ISERROR(#REF!/CB$8*100),"--",#REF!/CB$8*100)</f>
        <v>--</v>
      </c>
      <c r="CC173" s="453" t="str">
        <f>IF(ISERROR(#REF!/CC$8*100),"--",#REF!/CC$8*100)</f>
        <v>--</v>
      </c>
      <c r="CD173" s="453" t="str">
        <f>IF(ISERROR(#REF!/CD$8*100),"--",#REF!/CD$8*100)</f>
        <v>--</v>
      </c>
      <c r="CE173" s="453"/>
      <c r="CF173" s="453" t="str">
        <f>IF(ISERROR(#REF!/CF$8*100),"--",#REF!/CF$8*100)</f>
        <v>--</v>
      </c>
      <c r="CG173" s="453" t="str">
        <f>IF(ISERROR(#REF!/CG$8*100),"--",#REF!/CG$8*100)</f>
        <v>--</v>
      </c>
      <c r="CH173" s="453" t="str">
        <f>IF(ISERROR(#REF!/CH$8*100),"--",#REF!/CH$8*100)</f>
        <v>--</v>
      </c>
      <c r="CI173" s="449" t="str">
        <f>IF(ISERROR(#REF!/CI$8*100),"--",#REF!/CI$8*100)</f>
        <v>--</v>
      </c>
      <c r="CJ173" s="449"/>
      <c r="CK173" s="449" t="str">
        <f>IF(ISERROR(#REF!/CK$8*100),"--",#REF!/CK$8*100)</f>
        <v>--</v>
      </c>
      <c r="CL173" s="449" t="str">
        <f>IF(ISERROR(#REF!/CL$8*100),"--",#REF!/CL$8*100)</f>
        <v>--</v>
      </c>
      <c r="CM173" s="449" t="str">
        <f>IF(ISERROR(#REF!/CM$8*100),"--",#REF!/CM$8*100)</f>
        <v>--</v>
      </c>
      <c r="CN173" s="449" t="str">
        <f>IF(ISERROR(#REF!/CN$8*100),"--",#REF!/CN$8*100)</f>
        <v>--</v>
      </c>
      <c r="CO173" s="449"/>
      <c r="CP173" s="449" t="str">
        <f>IF(ISERROR(#REF!/CP$8*100),"--",#REF!/CP$8*100)</f>
        <v>--</v>
      </c>
      <c r="CQ173" s="449" t="str">
        <f>IF(ISERROR(#REF!/CQ$8*100),"--",#REF!/CQ$8*100)</f>
        <v>--</v>
      </c>
      <c r="CR173" s="449" t="str">
        <f>IF(ISERROR(#REF!/CR$8*100),"--",#REF!/CR$8*100)</f>
        <v>--</v>
      </c>
      <c r="CS173" s="449" t="str">
        <f>IF(ISERROR(#REF!/CS$8*100),"--",#REF!/CS$8*100)</f>
        <v>--</v>
      </c>
      <c r="CT173" s="449"/>
      <c r="CU173" s="449" t="str">
        <f>IF(ISERROR(#REF!/CU$8*100),"--",#REF!/CU$8*100)</f>
        <v>--</v>
      </c>
      <c r="CV173" s="449" t="str">
        <f>IF(ISERROR(#REF!/CV$8*100),"--",#REF!/CV$8*100)</f>
        <v>--</v>
      </c>
      <c r="CW173" s="449" t="str">
        <f>IF(ISERROR(#REF!/CW$8*100),"--",#REF!/CW$8*100)</f>
        <v>--</v>
      </c>
      <c r="CX173" s="449" t="str">
        <f>IF(ISERROR(#REF!/CX$8*100),"--",#REF!/CX$8*100)</f>
        <v>--</v>
      </c>
      <c r="CY173" s="449"/>
      <c r="CZ173" s="449"/>
      <c r="DA173" s="449"/>
      <c r="DB173" s="449"/>
      <c r="DC173" s="450"/>
      <c r="DD173" s="449"/>
      <c r="DE173" s="449"/>
      <c r="DF173" s="449"/>
      <c r="DG173" s="449"/>
      <c r="DH173" s="450"/>
      <c r="DI173" s="449"/>
      <c r="DJ173" s="450"/>
      <c r="DK173" s="450"/>
      <c r="DL173" s="450"/>
      <c r="DM173" s="450"/>
      <c r="DN173" s="449"/>
      <c r="DO173" s="449"/>
      <c r="DP173" s="450"/>
      <c r="DQ173" s="450"/>
      <c r="DR173" s="450"/>
      <c r="DS173" s="450"/>
      <c r="DT173" s="450"/>
      <c r="DU173" s="450"/>
      <c r="DV173" s="450"/>
      <c r="DW173" s="450"/>
      <c r="DX173" s="450"/>
      <c r="DY173" s="450"/>
      <c r="DZ173" s="450"/>
      <c r="EA173" s="449"/>
      <c r="EB173" s="450"/>
      <c r="EC173" s="449"/>
      <c r="ED173" s="450"/>
      <c r="EE173" s="450"/>
      <c r="EF173" s="450"/>
      <c r="EG173" s="450"/>
      <c r="EH173" s="449"/>
      <c r="EI173" s="2761"/>
      <c r="EJ173" s="2761"/>
      <c r="EK173" s="2761"/>
      <c r="EL173" s="2761"/>
      <c r="EM173" s="2762"/>
      <c r="EN173" s="2761"/>
      <c r="EO173" s="2761"/>
      <c r="EP173" s="2762"/>
      <c r="EQ173" s="2762"/>
      <c r="ER173" s="2762"/>
      <c r="ES173" s="449"/>
      <c r="ET173" s="2761"/>
      <c r="EU173" s="449"/>
      <c r="EV173" s="449"/>
      <c r="EW173" s="449"/>
      <c r="EX173" s="449"/>
      <c r="EY173" s="449"/>
      <c r="EZ173" s="449"/>
      <c r="FA173" s="449"/>
      <c r="FB173" s="449"/>
      <c r="FC173" s="449"/>
      <c r="FD173" s="449"/>
      <c r="FE173" s="449"/>
      <c r="FF173" s="449"/>
      <c r="FG173" s="449"/>
      <c r="FH173" s="449"/>
      <c r="FI173" s="449"/>
      <c r="FJ173" s="449"/>
      <c r="FK173" s="449"/>
      <c r="FL173" s="449"/>
      <c r="FM173" s="453"/>
      <c r="FN173" s="453" t="str">
        <f>IF(ISERROR(#REF!/FN$8*100),"--",#REF!/FN$8*100)</f>
        <v>--</v>
      </c>
      <c r="FO173" s="453" t="str">
        <f>IF(ISERROR(#REF!/FO$8*100),"--",#REF!/FO$8*100)</f>
        <v>--</v>
      </c>
      <c r="FP173" s="453" t="str">
        <f>IF(ISERROR(#REF!/FP$8*100),"--",#REF!/FP$8*100)</f>
        <v>--</v>
      </c>
      <c r="FQ173" s="453" t="str">
        <f>IF(ISERROR(#REF!/FQ$8*100),"--",#REF!/FQ$8*100)</f>
        <v>--</v>
      </c>
      <c r="FR173" s="453" t="str">
        <f>IF(ISERROR(#REF!/FR$8*100),"--",#REF!/FR$8*100)</f>
        <v>--</v>
      </c>
      <c r="FS173" s="453" t="str">
        <f>IF(ISERROR(#REF!/FS$8*100),"--",#REF!/FS$8*100)</f>
        <v>--</v>
      </c>
      <c r="FT173" s="453" t="str">
        <f>IF(ISERROR(#REF!/FT$8*100),"--",#REF!/FT$8*100)</f>
        <v>--</v>
      </c>
      <c r="FU173" s="453" t="str">
        <f>IF(ISERROR(#REF!/FU$8*100),"--",#REF!/FU$8*100)</f>
        <v>--</v>
      </c>
      <c r="FV173" s="453" t="str">
        <f>IF(ISERROR(#REF!/FV$8*100),"--",#REF!/FV$8*100)</f>
        <v>--</v>
      </c>
      <c r="FW173" s="453" t="str">
        <f>IF(ISERROR(#REF!/FW$8*100),"--",#REF!/FW$8*100)</f>
        <v>--</v>
      </c>
      <c r="FX173" s="454" t="str">
        <f>IF(ISERROR(#REF!/FX$8*100),"--",#REF!/FX$8*100)</f>
        <v>--</v>
      </c>
      <c r="FY173" s="454" t="str">
        <f>IF(ISERROR(#REF!/FY$8*100),"--",#REF!/FY$8*100)</f>
        <v>--</v>
      </c>
      <c r="FZ173" s="454"/>
      <c r="GA173" s="454"/>
      <c r="GB173" s="454"/>
      <c r="GC173" s="1112"/>
      <c r="GD173" s="1112"/>
      <c r="GE173" s="1112"/>
      <c r="GF173" s="1112"/>
      <c r="GG173" s="1112"/>
      <c r="GH173" s="1112"/>
      <c r="GI173" s="1112"/>
      <c r="GJ173" s="2669"/>
      <c r="GK173" s="2669"/>
      <c r="GL173" s="2669"/>
      <c r="GN173"/>
      <c r="GO173"/>
      <c r="GP173"/>
      <c r="GQ173"/>
      <c r="GR173"/>
      <c r="GS173"/>
    </row>
    <row r="174" spans="1:201" s="264" customFormat="1" ht="11.25" hidden="1" customHeight="1" outlineLevel="1">
      <c r="A174" s="253" t="s">
        <v>628</v>
      </c>
      <c r="B174" s="253"/>
      <c r="C174" s="253"/>
      <c r="D174" s="453" t="str">
        <f>IF(ISERROR(#REF!/D$8*100),"--",#REF!/D$8*100)</f>
        <v>--</v>
      </c>
      <c r="E174" s="453" t="str">
        <f>IF(ISERROR(#REF!/E$8*100),"--",#REF!/E$8*100)</f>
        <v>--</v>
      </c>
      <c r="F174" s="453" t="str">
        <f>IF(ISERROR(#REF!/F$8*100),"--",#REF!/F$8*100)</f>
        <v>--</v>
      </c>
      <c r="G174" s="453" t="str">
        <f>IF(ISERROR(#REF!/G$8*100),"--",#REF!/G$8*100)</f>
        <v>--</v>
      </c>
      <c r="H174" s="453"/>
      <c r="I174" s="453" t="str">
        <f>IF(ISERROR(#REF!/I$8*100),"--",#REF!/I$8*100)</f>
        <v>--</v>
      </c>
      <c r="J174" s="453" t="str">
        <f>IF(ISERROR(#REF!/J$8*100),"--",#REF!/J$8*100)</f>
        <v>--</v>
      </c>
      <c r="K174" s="453" t="str">
        <f>IF(ISERROR(#REF!/K$8*100),"--",#REF!/K$8*100)</f>
        <v>--</v>
      </c>
      <c r="L174" s="453" t="str">
        <f>IF(ISERROR(#REF!/L$8*100),"--",#REF!/L$8*100)</f>
        <v>--</v>
      </c>
      <c r="M174" s="453"/>
      <c r="N174" s="453" t="str">
        <f>IF(ISERROR(#REF!/N$8*100),"--",#REF!/N$8*100)</f>
        <v>--</v>
      </c>
      <c r="O174" s="453" t="str">
        <f>IF(ISERROR(#REF!/O$8*100),"--",#REF!/O$8*100)</f>
        <v>--</v>
      </c>
      <c r="P174" s="453" t="str">
        <f>IF(ISERROR(#REF!/P$8*100),"--",#REF!/P$8*100)</f>
        <v>--</v>
      </c>
      <c r="Q174" s="453" t="str">
        <f>IF(ISERROR(#REF!/Q$8*100),"--",#REF!/Q$8*100)</f>
        <v>--</v>
      </c>
      <c r="R174" s="453"/>
      <c r="S174" s="453" t="str">
        <f>IF(ISERROR(#REF!/S$8*100),"--",#REF!/S$8*100)</f>
        <v>--</v>
      </c>
      <c r="T174" s="453" t="str">
        <f>IF(ISERROR(#REF!/T$8*100),"--",#REF!/T$8*100)</f>
        <v>--</v>
      </c>
      <c r="U174" s="453" t="str">
        <f>IF(ISERROR(#REF!/U$8*100),"--",#REF!/U$8*100)</f>
        <v>--</v>
      </c>
      <c r="V174" s="453" t="str">
        <f>IF(ISERROR(#REF!/V$8*100),"--",#REF!/V$8*100)</f>
        <v>--</v>
      </c>
      <c r="W174" s="453"/>
      <c r="X174" s="453" t="str">
        <f>IF(ISERROR(#REF!/X$8*100),"--",#REF!/X$8*100)</f>
        <v>--</v>
      </c>
      <c r="Y174" s="453" t="str">
        <f>IF(ISERROR(#REF!/Y$8*100),"--",#REF!/Y$8*100)</f>
        <v>--</v>
      </c>
      <c r="Z174" s="453" t="str">
        <f>IF(ISERROR(#REF!/Z$8*100),"--",#REF!/Z$8*100)</f>
        <v>--</v>
      </c>
      <c r="AA174" s="453" t="str">
        <f>IF(ISERROR(#REF!/AA$8*100),"--",#REF!/AA$8*100)</f>
        <v>--</v>
      </c>
      <c r="AB174" s="453"/>
      <c r="AC174" s="453" t="str">
        <f>IF(ISERROR(#REF!/AC$8*100),"--",#REF!/AC$8*100)</f>
        <v>--</v>
      </c>
      <c r="AD174" s="453" t="str">
        <f>IF(ISERROR(#REF!/AD$8*100),"--",#REF!/AD$8*100)</f>
        <v>--</v>
      </c>
      <c r="AE174" s="453" t="str">
        <f>IF(ISERROR(#REF!/AE$8*100),"--",#REF!/AE$8*100)</f>
        <v>--</v>
      </c>
      <c r="AF174" s="453" t="str">
        <f>IF(ISERROR(#REF!/AF$8*100),"--",#REF!/AF$8*100)</f>
        <v>--</v>
      </c>
      <c r="AG174" s="453"/>
      <c r="AH174" s="453" t="str">
        <f>IF(ISERROR(#REF!/AH$8*100),"--",#REF!/AH$8*100)</f>
        <v>--</v>
      </c>
      <c r="AI174" s="453" t="str">
        <f>IF(ISERROR(#REF!/AI$8*100),"--",#REF!/AI$8*100)</f>
        <v>--</v>
      </c>
      <c r="AJ174" s="453" t="str">
        <f>IF(ISERROR(#REF!/AJ$8*100),"--",#REF!/AJ$8*100)</f>
        <v>--</v>
      </c>
      <c r="AK174" s="453" t="str">
        <f>IF(ISERROR(#REF!/AK$8*100),"--",#REF!/AK$8*100)</f>
        <v>--</v>
      </c>
      <c r="AL174" s="453"/>
      <c r="AM174" s="453" t="str">
        <f>IF(ISERROR(#REF!/AM$8*100),"--",#REF!/AM$8*100)</f>
        <v>--</v>
      </c>
      <c r="AN174" s="453" t="str">
        <f>IF(ISERROR(#REF!/AN$8*100),"--",#REF!/AN$8*100)</f>
        <v>--</v>
      </c>
      <c r="AO174" s="453" t="str">
        <f>IF(ISERROR(#REF!/AO$8*100),"--",#REF!/AO$8*100)</f>
        <v>--</v>
      </c>
      <c r="AP174" s="453" t="str">
        <f>IF(ISERROR(#REF!/AP$8*100),"--",#REF!/AP$8*100)</f>
        <v>--</v>
      </c>
      <c r="AQ174" s="453"/>
      <c r="AR174" s="453" t="str">
        <f>IF(ISERROR(#REF!/AR$8*100),"--",#REF!/AR$8*100)</f>
        <v>--</v>
      </c>
      <c r="AS174" s="453" t="str">
        <f>IF(ISERROR(#REF!/AS$8*100),"--",#REF!/AS$8*100)</f>
        <v>--</v>
      </c>
      <c r="AT174" s="453" t="str">
        <f>IF(ISERROR(#REF!/AT$8*100),"--",#REF!/AT$8*100)</f>
        <v>--</v>
      </c>
      <c r="AU174" s="453" t="str">
        <f>IF(ISERROR(#REF!/AU$8*100),"--",#REF!/AU$8*100)</f>
        <v>--</v>
      </c>
      <c r="AV174" s="453"/>
      <c r="AW174" s="453" t="str">
        <f>IF(ISERROR(#REF!/AW$8*100),"--",#REF!/AW$8*100)</f>
        <v>--</v>
      </c>
      <c r="AX174" s="453" t="str">
        <f>IF(ISERROR(#REF!/AX$8*100),"--",#REF!/AX$8*100)</f>
        <v>--</v>
      </c>
      <c r="AY174" s="453" t="str">
        <f>IF(ISERROR(#REF!/AY$8*100),"--",#REF!/AY$8*100)</f>
        <v>--</v>
      </c>
      <c r="AZ174" s="453" t="str">
        <f>IF(ISERROR(#REF!/AZ$8*100),"--",#REF!/AZ$8*100)</f>
        <v>--</v>
      </c>
      <c r="BA174" s="453"/>
      <c r="BB174" s="453" t="str">
        <f>IF(ISERROR(#REF!/BB$8*100),"--",#REF!/BB$8*100)</f>
        <v>--</v>
      </c>
      <c r="BC174" s="453" t="str">
        <f>IF(ISERROR(#REF!/BC$8*100),"--",#REF!/BC$8*100)</f>
        <v>--</v>
      </c>
      <c r="BD174" s="453" t="str">
        <f>IF(ISERROR(#REF!/BD$8*100),"--",#REF!/BD$8*100)</f>
        <v>--</v>
      </c>
      <c r="BE174" s="453" t="str">
        <f>IF(ISERROR(#REF!/BE$8*100),"--",#REF!/BE$8*100)</f>
        <v>--</v>
      </c>
      <c r="BF174" s="453"/>
      <c r="BG174" s="453" t="str">
        <f>IF(ISERROR(#REF!/BG$8*100),"--",#REF!/BG$8*100)</f>
        <v>--</v>
      </c>
      <c r="BH174" s="453" t="str">
        <f>IF(ISERROR(#REF!/BH$8*100),"--",#REF!/BH$8*100)</f>
        <v>--</v>
      </c>
      <c r="BI174" s="453" t="str">
        <f>IF(ISERROR(#REF!/BI$8*100),"--",#REF!/BI$8*100)</f>
        <v>--</v>
      </c>
      <c r="BJ174" s="453" t="str">
        <f>IF(ISERROR(#REF!/BJ$8*100),"--",#REF!/BJ$8*100)</f>
        <v>--</v>
      </c>
      <c r="BK174" s="453"/>
      <c r="BL174" s="453" t="str">
        <f>IF(ISERROR(#REF!/BL$8*100),"--",#REF!/BL$8*100)</f>
        <v>--</v>
      </c>
      <c r="BM174" s="453" t="str">
        <f>IF(ISERROR(#REF!/BM$8*100),"--",#REF!/BM$8*100)</f>
        <v>--</v>
      </c>
      <c r="BN174" s="453" t="str">
        <f>IF(ISERROR(#REF!/BN$8*100),"--",#REF!/BN$8*100)</f>
        <v>--</v>
      </c>
      <c r="BO174" s="453" t="str">
        <f>IF(ISERROR(#REF!/BO$8*100),"--",#REF!/BO$8*100)</f>
        <v>--</v>
      </c>
      <c r="BP174" s="453"/>
      <c r="BQ174" s="453" t="str">
        <f>IF(ISERROR(#REF!/BQ$8*100),"--",#REF!/BQ$8*100)</f>
        <v>--</v>
      </c>
      <c r="BR174" s="453" t="str">
        <f>IF(ISERROR(#REF!/BR$8*100),"--",#REF!/BR$8*100)</f>
        <v>--</v>
      </c>
      <c r="BS174" s="453" t="str">
        <f>IF(ISERROR(#REF!/BS$8*100),"--",#REF!/BS$8*100)</f>
        <v>--</v>
      </c>
      <c r="BT174" s="453" t="str">
        <f>IF(ISERROR(#REF!/BT$8*100),"--",#REF!/BT$8*100)</f>
        <v>--</v>
      </c>
      <c r="BU174" s="453"/>
      <c r="BV174" s="453" t="str">
        <f>IF(ISERROR(#REF!/BV$8*100),"--",#REF!/BV$8*100)</f>
        <v>--</v>
      </c>
      <c r="BW174" s="453" t="str">
        <f>IF(ISERROR(#REF!/BW$8*100),"--",#REF!/BW$8*100)</f>
        <v>--</v>
      </c>
      <c r="BX174" s="453" t="str">
        <f>IF(ISERROR(#REF!/BX$8*100),"--",#REF!/BX$8*100)</f>
        <v>--</v>
      </c>
      <c r="BY174" s="453" t="str">
        <f>IF(ISERROR(#REF!/BY$8*100),"--",#REF!/BY$8*100)</f>
        <v>--</v>
      </c>
      <c r="BZ174" s="453"/>
      <c r="CA174" s="453" t="str">
        <f>IF(ISERROR(#REF!/CA$8*100),"--",#REF!/CA$8*100)</f>
        <v>--</v>
      </c>
      <c r="CB174" s="453" t="str">
        <f>IF(ISERROR(#REF!/CB$8*100),"--",#REF!/CB$8*100)</f>
        <v>--</v>
      </c>
      <c r="CC174" s="453" t="str">
        <f>IF(ISERROR(#REF!/CC$8*100),"--",#REF!/CC$8*100)</f>
        <v>--</v>
      </c>
      <c r="CD174" s="453" t="str">
        <f>IF(ISERROR(#REF!/CD$8*100),"--",#REF!/CD$8*100)</f>
        <v>--</v>
      </c>
      <c r="CE174" s="453"/>
      <c r="CF174" s="453" t="str">
        <f>IF(ISERROR(#REF!/CF$8*100),"--",#REF!/CF$8*100)</f>
        <v>--</v>
      </c>
      <c r="CG174" s="453" t="str">
        <f>IF(ISERROR(#REF!/CG$8*100),"--",#REF!/CG$8*100)</f>
        <v>--</v>
      </c>
      <c r="CH174" s="453" t="str">
        <f>IF(ISERROR(#REF!/CH$8*100),"--",#REF!/CH$8*100)</f>
        <v>--</v>
      </c>
      <c r="CI174" s="449" t="str">
        <f>IF(ISERROR(#REF!/CI$8*100),"--",#REF!/CI$8*100)</f>
        <v>--</v>
      </c>
      <c r="CJ174" s="449"/>
      <c r="CK174" s="449" t="str">
        <f>IF(ISERROR(#REF!/CK$8*100),"--",#REF!/CK$8*100)</f>
        <v>--</v>
      </c>
      <c r="CL174" s="449" t="str">
        <f>IF(ISERROR(#REF!/CL$8*100),"--",#REF!/CL$8*100)</f>
        <v>--</v>
      </c>
      <c r="CM174" s="449" t="str">
        <f>IF(ISERROR(#REF!/CM$8*100),"--",#REF!/CM$8*100)</f>
        <v>--</v>
      </c>
      <c r="CN174" s="449" t="str">
        <f>IF(ISERROR(#REF!/CN$8*100),"--",#REF!/CN$8*100)</f>
        <v>--</v>
      </c>
      <c r="CO174" s="449"/>
      <c r="CP174" s="449" t="str">
        <f>IF(ISERROR(#REF!/CP$8*100),"--",#REF!/CP$8*100)</f>
        <v>--</v>
      </c>
      <c r="CQ174" s="449" t="str">
        <f>IF(ISERROR(#REF!/CQ$8*100),"--",#REF!/CQ$8*100)</f>
        <v>--</v>
      </c>
      <c r="CR174" s="449" t="str">
        <f>IF(ISERROR(#REF!/CR$8*100),"--",#REF!/CR$8*100)</f>
        <v>--</v>
      </c>
      <c r="CS174" s="449" t="str">
        <f>IF(ISERROR(#REF!/CS$8*100),"--",#REF!/CS$8*100)</f>
        <v>--</v>
      </c>
      <c r="CT174" s="449"/>
      <c r="CU174" s="449" t="str">
        <f>IF(ISERROR(#REF!/CU$8*100),"--",#REF!/CU$8*100)</f>
        <v>--</v>
      </c>
      <c r="CV174" s="449" t="str">
        <f>IF(ISERROR(#REF!/CV$8*100),"--",#REF!/CV$8*100)</f>
        <v>--</v>
      </c>
      <c r="CW174" s="449" t="str">
        <f>IF(ISERROR(#REF!/CW$8*100),"--",#REF!/CW$8*100)</f>
        <v>--</v>
      </c>
      <c r="CX174" s="449" t="str">
        <f>IF(ISERROR(#REF!/CX$8*100),"--",#REF!/CX$8*100)</f>
        <v>--</v>
      </c>
      <c r="CY174" s="449"/>
      <c r="CZ174" s="449"/>
      <c r="DA174" s="449"/>
      <c r="DB174" s="449"/>
      <c r="DC174" s="450"/>
      <c r="DD174" s="449"/>
      <c r="DE174" s="449"/>
      <c r="DF174" s="449"/>
      <c r="DG174" s="449"/>
      <c r="DH174" s="450"/>
      <c r="DI174" s="449"/>
      <c r="DJ174" s="450"/>
      <c r="DK174" s="450"/>
      <c r="DL174" s="450"/>
      <c r="DM174" s="450"/>
      <c r="DN174" s="449"/>
      <c r="DO174" s="449"/>
      <c r="DP174" s="450"/>
      <c r="DQ174" s="450"/>
      <c r="DR174" s="450"/>
      <c r="DS174" s="450"/>
      <c r="DT174" s="450"/>
      <c r="DU174" s="450"/>
      <c r="DV174" s="450"/>
      <c r="DW174" s="450"/>
      <c r="DX174" s="450"/>
      <c r="DY174" s="450"/>
      <c r="DZ174" s="450"/>
      <c r="EA174" s="449"/>
      <c r="EB174" s="450"/>
      <c r="EC174" s="449"/>
      <c r="ED174" s="450"/>
      <c r="EE174" s="450"/>
      <c r="EF174" s="450"/>
      <c r="EG174" s="450"/>
      <c r="EH174" s="449"/>
      <c r="EI174" s="2761"/>
      <c r="EJ174" s="2761"/>
      <c r="EK174" s="2761"/>
      <c r="EL174" s="2761"/>
      <c r="EM174" s="2762"/>
      <c r="EN174" s="2761"/>
      <c r="EO174" s="2761"/>
      <c r="EP174" s="2762"/>
      <c r="EQ174" s="2762"/>
      <c r="ER174" s="2762"/>
      <c r="ES174" s="449"/>
      <c r="ET174" s="2761"/>
      <c r="EU174" s="449"/>
      <c r="EV174" s="449"/>
      <c r="EW174" s="449"/>
      <c r="EX174" s="449"/>
      <c r="EY174" s="449"/>
      <c r="EZ174" s="449"/>
      <c r="FA174" s="449"/>
      <c r="FB174" s="449"/>
      <c r="FC174" s="449"/>
      <c r="FD174" s="449"/>
      <c r="FE174" s="449"/>
      <c r="FF174" s="449"/>
      <c r="FG174" s="449"/>
      <c r="FH174" s="449"/>
      <c r="FI174" s="449"/>
      <c r="FJ174" s="449"/>
      <c r="FK174" s="449"/>
      <c r="FL174" s="449"/>
      <c r="FM174" s="453"/>
      <c r="FN174" s="453" t="str">
        <f>IF(ISERROR(#REF!/FN$8*100),"--",#REF!/FN$8*100)</f>
        <v>--</v>
      </c>
      <c r="FO174" s="453" t="str">
        <f>IF(ISERROR(#REF!/FO$8*100),"--",#REF!/FO$8*100)</f>
        <v>--</v>
      </c>
      <c r="FP174" s="453" t="str">
        <f>IF(ISERROR(#REF!/FP$8*100),"--",#REF!/FP$8*100)</f>
        <v>--</v>
      </c>
      <c r="FQ174" s="453" t="str">
        <f>IF(ISERROR(#REF!/FQ$8*100),"--",#REF!/FQ$8*100)</f>
        <v>--</v>
      </c>
      <c r="FR174" s="453" t="str">
        <f>IF(ISERROR(#REF!/FR$8*100),"--",#REF!/FR$8*100)</f>
        <v>--</v>
      </c>
      <c r="FS174" s="453" t="str">
        <f>IF(ISERROR(#REF!/FS$8*100),"--",#REF!/FS$8*100)</f>
        <v>--</v>
      </c>
      <c r="FT174" s="453" t="str">
        <f>IF(ISERROR(#REF!/FT$8*100),"--",#REF!/FT$8*100)</f>
        <v>--</v>
      </c>
      <c r="FU174" s="453" t="str">
        <f>IF(ISERROR(#REF!/FU$8*100),"--",#REF!/FU$8*100)</f>
        <v>--</v>
      </c>
      <c r="FV174" s="453" t="str">
        <f>IF(ISERROR(#REF!/FV$8*100),"--",#REF!/FV$8*100)</f>
        <v>--</v>
      </c>
      <c r="FW174" s="453" t="str">
        <f>IF(ISERROR(#REF!/FW$8*100),"--",#REF!/FW$8*100)</f>
        <v>--</v>
      </c>
      <c r="FX174" s="454" t="str">
        <f>IF(ISERROR(#REF!/FX$8*100),"--",#REF!/FX$8*100)</f>
        <v>--</v>
      </c>
      <c r="FY174" s="454" t="str">
        <f>IF(ISERROR(#REF!/FY$8*100),"--",#REF!/FY$8*100)</f>
        <v>--</v>
      </c>
      <c r="FZ174" s="454"/>
      <c r="GA174" s="454"/>
      <c r="GB174" s="454"/>
      <c r="GC174" s="1112"/>
      <c r="GD174" s="1112"/>
      <c r="GE174" s="1112"/>
      <c r="GF174" s="1112"/>
      <c r="GG174" s="1112"/>
      <c r="GH174" s="1112"/>
      <c r="GI174" s="1112"/>
      <c r="GJ174" s="2669"/>
      <c r="GK174" s="2669"/>
      <c r="GL174" s="2669"/>
      <c r="GN174"/>
      <c r="GO174"/>
      <c r="GP174"/>
      <c r="GQ174"/>
      <c r="GR174"/>
      <c r="GS174"/>
    </row>
    <row r="175" spans="1:201" s="264" customFormat="1" ht="3" hidden="1" customHeight="1" outlineLevel="1">
      <c r="A175" s="253"/>
      <c r="B175" s="253"/>
      <c r="C175" s="253"/>
      <c r="D175" s="453"/>
      <c r="E175" s="453"/>
      <c r="F175" s="453"/>
      <c r="G175" s="453"/>
      <c r="H175" s="453"/>
      <c r="I175" s="453"/>
      <c r="J175" s="453"/>
      <c r="K175" s="453"/>
      <c r="L175" s="453"/>
      <c r="M175" s="453"/>
      <c r="N175" s="453"/>
      <c r="O175" s="453"/>
      <c r="P175" s="453"/>
      <c r="Q175" s="453"/>
      <c r="R175" s="453"/>
      <c r="S175" s="453"/>
      <c r="T175" s="453"/>
      <c r="U175" s="453"/>
      <c r="V175" s="453"/>
      <c r="W175" s="453"/>
      <c r="X175" s="453"/>
      <c r="Y175" s="453"/>
      <c r="Z175" s="453"/>
      <c r="AA175" s="453"/>
      <c r="AB175" s="453"/>
      <c r="AC175" s="453"/>
      <c r="AD175" s="453"/>
      <c r="AE175" s="453"/>
      <c r="AF175" s="453"/>
      <c r="AG175" s="453"/>
      <c r="AH175" s="453"/>
      <c r="AI175" s="453"/>
      <c r="AJ175" s="453"/>
      <c r="AK175" s="453"/>
      <c r="AL175" s="453"/>
      <c r="AM175" s="453"/>
      <c r="AN175" s="453"/>
      <c r="AO175" s="453"/>
      <c r="AP175" s="453"/>
      <c r="AQ175" s="453"/>
      <c r="AR175" s="453"/>
      <c r="AS175" s="453"/>
      <c r="AT175" s="453"/>
      <c r="AU175" s="453"/>
      <c r="AV175" s="453"/>
      <c r="AW175" s="453"/>
      <c r="AX175" s="453"/>
      <c r="AY175" s="453"/>
      <c r="AZ175" s="453"/>
      <c r="BA175" s="453"/>
      <c r="BB175" s="453"/>
      <c r="BC175" s="453"/>
      <c r="BD175" s="453"/>
      <c r="BE175" s="453"/>
      <c r="BF175" s="453"/>
      <c r="BG175" s="453"/>
      <c r="BH175" s="453"/>
      <c r="BI175" s="453"/>
      <c r="BJ175" s="453"/>
      <c r="BK175" s="453"/>
      <c r="BL175" s="453"/>
      <c r="BM175" s="453"/>
      <c r="BN175" s="453"/>
      <c r="BO175" s="453"/>
      <c r="BP175" s="453"/>
      <c r="BQ175" s="453"/>
      <c r="BR175" s="453"/>
      <c r="BS175" s="453"/>
      <c r="BT175" s="453"/>
      <c r="BU175" s="453"/>
      <c r="BV175" s="453"/>
      <c r="BW175" s="453"/>
      <c r="BX175" s="453"/>
      <c r="BY175" s="453"/>
      <c r="BZ175" s="453"/>
      <c r="CA175" s="453"/>
      <c r="CB175" s="453"/>
      <c r="CC175" s="453"/>
      <c r="CD175" s="453"/>
      <c r="CE175" s="453"/>
      <c r="CF175" s="453"/>
      <c r="CG175" s="453"/>
      <c r="CH175" s="453"/>
      <c r="CI175" s="449"/>
      <c r="CJ175" s="449"/>
      <c r="CK175" s="449"/>
      <c r="CL175" s="449"/>
      <c r="CM175" s="449"/>
      <c r="CN175" s="449"/>
      <c r="CO175" s="449"/>
      <c r="CP175" s="449"/>
      <c r="CQ175" s="449"/>
      <c r="CR175" s="449"/>
      <c r="CS175" s="449"/>
      <c r="CT175" s="449"/>
      <c r="CU175" s="449"/>
      <c r="CV175" s="449"/>
      <c r="CW175" s="449"/>
      <c r="CX175" s="449"/>
      <c r="CY175" s="449"/>
      <c r="CZ175" s="449"/>
      <c r="DA175" s="449"/>
      <c r="DB175" s="449"/>
      <c r="DC175" s="450"/>
      <c r="DD175" s="449"/>
      <c r="DE175" s="449"/>
      <c r="DF175" s="449"/>
      <c r="DG175" s="449"/>
      <c r="DH175" s="450"/>
      <c r="DI175" s="449"/>
      <c r="DJ175" s="450"/>
      <c r="DK175" s="450"/>
      <c r="DL175" s="450"/>
      <c r="DM175" s="450"/>
      <c r="DN175" s="449"/>
      <c r="DO175" s="449"/>
      <c r="DP175" s="450"/>
      <c r="DQ175" s="450"/>
      <c r="DR175" s="450"/>
      <c r="DS175" s="450"/>
      <c r="DT175" s="450"/>
      <c r="DU175" s="450"/>
      <c r="DV175" s="450"/>
      <c r="DW175" s="450"/>
      <c r="DX175" s="450"/>
      <c r="DY175" s="450"/>
      <c r="DZ175" s="450"/>
      <c r="EA175" s="449"/>
      <c r="EB175" s="450"/>
      <c r="EC175" s="449"/>
      <c r="ED175" s="450"/>
      <c r="EE175" s="450"/>
      <c r="EF175" s="450"/>
      <c r="EG175" s="450"/>
      <c r="EH175" s="449"/>
      <c r="EI175" s="2761"/>
      <c r="EJ175" s="2761"/>
      <c r="EK175" s="2761"/>
      <c r="EL175" s="2761"/>
      <c r="EM175" s="2762"/>
      <c r="EN175" s="2761"/>
      <c r="EO175" s="2761"/>
      <c r="EP175" s="2762"/>
      <c r="EQ175" s="2762"/>
      <c r="ER175" s="2762"/>
      <c r="ES175" s="449"/>
      <c r="ET175" s="2761"/>
      <c r="EU175" s="449"/>
      <c r="EV175" s="449"/>
      <c r="EW175" s="449"/>
      <c r="EX175" s="449"/>
      <c r="EY175" s="449"/>
      <c r="EZ175" s="449"/>
      <c r="FA175" s="449"/>
      <c r="FB175" s="449"/>
      <c r="FC175" s="449"/>
      <c r="FD175" s="449"/>
      <c r="FE175" s="449"/>
      <c r="FF175" s="449"/>
      <c r="FG175" s="449"/>
      <c r="FH175" s="449"/>
      <c r="FI175" s="449"/>
      <c r="FJ175" s="449"/>
      <c r="FK175" s="449"/>
      <c r="FL175" s="449"/>
      <c r="FM175" s="453"/>
      <c r="FN175" s="453"/>
      <c r="FO175" s="453"/>
      <c r="FP175" s="453"/>
      <c r="FQ175" s="453"/>
      <c r="FR175" s="453"/>
      <c r="FS175" s="453"/>
      <c r="FT175" s="453"/>
      <c r="FU175" s="453"/>
      <c r="FV175" s="453"/>
      <c r="FW175" s="453"/>
      <c r="FX175" s="454"/>
      <c r="FY175" s="454"/>
      <c r="FZ175" s="454"/>
      <c r="GA175" s="454"/>
      <c r="GB175" s="454"/>
      <c r="GC175" s="1112"/>
      <c r="GD175" s="1112"/>
      <c r="GE175" s="1112"/>
      <c r="GF175" s="1112"/>
      <c r="GG175" s="1112"/>
      <c r="GH175" s="1112"/>
      <c r="GI175" s="1112"/>
      <c r="GJ175" s="2669"/>
      <c r="GK175" s="2669"/>
      <c r="GL175" s="2669"/>
      <c r="GN175"/>
      <c r="GO175"/>
      <c r="GP175"/>
      <c r="GQ175"/>
      <c r="GR175"/>
      <c r="GS175"/>
    </row>
    <row r="176" spans="1:201" s="264" customFormat="1" ht="11.25" hidden="1" customHeight="1" outlineLevel="1">
      <c r="A176" s="407" t="s">
        <v>660</v>
      </c>
      <c r="B176" s="253"/>
      <c r="C176" s="455"/>
      <c r="D176" s="453"/>
      <c r="E176" s="453" t="str">
        <f>IF(ISERROR((E24/A24-1)*100),"--",(E24/A24-1)*100)</f>
        <v>--</v>
      </c>
      <c r="F176" s="453" t="str">
        <f>IF(ISERROR((F24/B24-1)*100),"--",(F24/B24-1)*100)</f>
        <v>--</v>
      </c>
      <c r="G176" s="453" t="str">
        <f>IF(ISERROR((G24/C24-1)*100),"--",(G24/C24-1)*100)</f>
        <v>--</v>
      </c>
      <c r="H176" s="453"/>
      <c r="I176" s="453">
        <f>IF(ISERROR((I24/D24-1)*100),"--",(I24/D24-1)*100)</f>
        <v>72.565217391304344</v>
      </c>
      <c r="J176" s="453">
        <f>IF(ISERROR((J24/E24-1)*100),"--",(J24/E24-1)*100)</f>
        <v>63.97505659927711</v>
      </c>
      <c r="K176" s="453">
        <f>IF(ISERROR((K24/F24-1)*100),"--",(K24/F24-1)*100)</f>
        <v>61.78934358692667</v>
      </c>
      <c r="L176" s="453">
        <f>IF(ISERROR((L24/G24-1)*100),"--",(L24/G24-1)*100)</f>
        <v>59.247354216575211</v>
      </c>
      <c r="M176" s="453"/>
      <c r="N176" s="453">
        <f>IF(ISERROR((N24/I24-1)*100),"--",(N24/I24-1)*100)</f>
        <v>28.49584278155708</v>
      </c>
      <c r="O176" s="453">
        <f>IF(ISERROR((O24/J24-1)*100),"--",(O24/J24-1)*100)</f>
        <v>30.801278945838597</v>
      </c>
      <c r="P176" s="453">
        <f>IF(ISERROR((P24/K24-1)*100),"--",(P24/K24-1)*100)</f>
        <v>27.3182531935662</v>
      </c>
      <c r="Q176" s="453">
        <f>IF(ISERROR((Q24/L24-1)*100),"--",(Q24/L24-1)*100)</f>
        <v>33.295248976482902</v>
      </c>
      <c r="R176" s="453"/>
      <c r="S176" s="453">
        <f>IF(ISERROR((S24/N24-1)*100),"--",(S24/N24-1)*100)</f>
        <v>45.098039215686271</v>
      </c>
      <c r="T176" s="453">
        <f>IF(ISERROR((T24/O24-1)*100),"--",(T24/O24-1)*100)</f>
        <v>58.888888888888879</v>
      </c>
      <c r="U176" s="453">
        <f>IF(ISERROR((U24/P24-1)*100),"--",(U24/P24-1)*100)</f>
        <v>50.499999999999986</v>
      </c>
      <c r="V176" s="453">
        <f>IF(ISERROR((V24/Q24-1)*100),"--",(V24/Q24-1)*100)</f>
        <v>45.85714285714284</v>
      </c>
      <c r="W176" s="453"/>
      <c r="X176" s="453">
        <f>IF(ISERROR((X24/S24-1)*100),"--",(X24/S24-1)*100)</f>
        <v>41.891891891891888</v>
      </c>
      <c r="Y176" s="453">
        <f>IF(ISERROR((Y24/T24-1)*100),"--",(Y24/T24-1)*100)</f>
        <v>29.370629370629374</v>
      </c>
      <c r="Z176" s="453">
        <f>IF(ISERROR((Z24/U24-1)*100),"--",(Z24/U24-1)*100)</f>
        <v>28.460686600221496</v>
      </c>
      <c r="AA176" s="453">
        <f>IF(ISERROR((AA24/V24-1)*100),"--",(AA24/V24-1)*100)</f>
        <v>35.161606268364352</v>
      </c>
      <c r="AB176" s="453"/>
      <c r="AC176" s="453">
        <f>IF(ISERROR((AC24/X24-1)*100),"--",(AC24/X24-1)*100)</f>
        <v>27.61904761904761</v>
      </c>
      <c r="AD176" s="453">
        <f>IF(ISERROR((AD24/Y24-1)*100),"--",(AD24/Y24-1)*100)</f>
        <v>35.13513513513513</v>
      </c>
      <c r="AE176" s="453">
        <f>IF(ISERROR((AE24/Z24-1)*100),"--",(AE24/Z24-1)*100)</f>
        <v>34.482758620689658</v>
      </c>
      <c r="AF176" s="453">
        <f>IF(ISERROR((AF24/AA24-1)*100),"--",(AF24/AA24-1)*100)</f>
        <v>23.188405797101442</v>
      </c>
      <c r="AG176" s="453"/>
      <c r="AH176" s="453">
        <f>IF(ISERROR((AH24/AC24-1)*100),"--",(AH24/AC24-1)*100)</f>
        <v>32.835820895522396</v>
      </c>
      <c r="AI176" s="453">
        <f>IF(ISERROR((AI24/AD24-1)*100),"--",(AI24/AD24-1)*100)</f>
        <v>32.666666666666664</v>
      </c>
      <c r="AJ176" s="453">
        <f>IF(ISERROR((AJ24/AE24-1)*100),"--",(AJ24/AE24-1)*100)</f>
        <v>40.384615384615373</v>
      </c>
      <c r="AK176" s="453">
        <f>IF(ISERROR((AK24/AF24-1)*100),"--",(AK24/AF24-1)*100)</f>
        <v>55.294117647058826</v>
      </c>
      <c r="AL176" s="453"/>
      <c r="AM176" s="453">
        <f>IF(ISERROR((AM24/AH24-1)*100),"--",(AM24/AH24-1)*100)</f>
        <v>56.17977528089888</v>
      </c>
      <c r="AN176" s="453">
        <f>IF(ISERROR((AN24/AI24-1)*100),"--",(AN24/AI24-1)*100)</f>
        <v>53.266331658291463</v>
      </c>
      <c r="AO176" s="453">
        <f>IF(ISERROR((AO24/AJ24-1)*100),"--",(AO24/AJ24-1)*100)</f>
        <v>53.881278538812793</v>
      </c>
      <c r="AP176" s="453">
        <f>IF(ISERROR((AP24/AK24-1)*100),"--",(AP24/AK24-1)*100)</f>
        <v>53.787878787878782</v>
      </c>
      <c r="AQ176" s="453"/>
      <c r="AR176" s="453">
        <f>IF(ISERROR((AR24/AM24-1)*100),"--",(AR24/AM24-1)*100)</f>
        <v>50</v>
      </c>
      <c r="AS176" s="453">
        <f>IF(ISERROR((AS24/AN24-1)*100),"--",(AS24/AN24-1)*100)</f>
        <v>47.213114754098349</v>
      </c>
      <c r="AT176" s="453">
        <f>IF(ISERROR((AT24/AO24-1)*100),"--",(AT24/AO24-1)*100)</f>
        <v>40.652818991097917</v>
      </c>
      <c r="AU176" s="453">
        <f>IF(ISERROR((AU24/AP24-1)*100),"--",(AU24/AP24-1)*100)</f>
        <v>28.817733990147776</v>
      </c>
      <c r="AV176" s="453"/>
      <c r="AW176" s="453">
        <f>IF(ISERROR((AW24/AR24-1)*100),"--",(AW24/AR24-1)*100)</f>
        <v>44.604316546762576</v>
      </c>
      <c r="AX176" s="453">
        <f>IF(ISERROR((AX24/AS24-1)*100),"--",(AX24/AS24-1)*100)</f>
        <v>44.320712694877493</v>
      </c>
      <c r="AY176" s="453">
        <f>IF(ISERROR((AY24/AT24-1)*100),"--",(AY24/AT24-1)*100)</f>
        <v>28.90295358649788</v>
      </c>
      <c r="AZ176" s="453">
        <f>IF(ISERROR((AZ24/AU24-1)*100),"--",(AZ24/AU24-1)*100)</f>
        <v>41.30019120458892</v>
      </c>
      <c r="BA176" s="453"/>
      <c r="BB176" s="453">
        <f>IF(ISERROR((BB24/AW24-1)*100),"--",(BB24/AW24-1)*100)</f>
        <v>7.9601990049751326</v>
      </c>
      <c r="BC176" s="453">
        <f>IF(ISERROR((BC24/AX24-1)*100),"--",(BC24/AX24-1)*100)</f>
        <v>10.339506172839496</v>
      </c>
      <c r="BD176" s="453">
        <f>IF(ISERROR((BD24/AY24-1)*100),"--",(BD24/AY24-1)*100)</f>
        <v>8.6743044189852689</v>
      </c>
      <c r="BE176" s="453">
        <f>IF(ISERROR((BE24/AZ24-1)*100),"--",(BE24/AZ24-1)*100)</f>
        <v>27.198917456021654</v>
      </c>
      <c r="BF176" s="453"/>
      <c r="BG176" s="453">
        <f>IF(ISERROR((BG24/BB24-1)*100),"--",(BG24/BB24-1)*100)</f>
        <v>24.884792626728114</v>
      </c>
      <c r="BH176" s="453">
        <f>IF(ISERROR((BH24/BC24-1)*100),"--",(BH24/BC24-1)*100)</f>
        <v>25.5944055944056</v>
      </c>
      <c r="BI176" s="453">
        <f>IF(ISERROR((BI24/BD24-1)*100),"--",(BI24/BD24-1)*100)</f>
        <v>46.686746987951807</v>
      </c>
      <c r="BJ176" s="453">
        <f>IF(ISERROR((BJ24/BE24-1)*100),"--",(BJ24/BE24-1)*100)</f>
        <v>15.638297872340434</v>
      </c>
      <c r="BK176" s="453"/>
      <c r="BL176" s="453">
        <f>IF(ISERROR((BL24/BG24-1)*100),"--",(BL24/BG24-1)*100)</f>
        <v>17.589175891758924</v>
      </c>
      <c r="BM176" s="453">
        <f>IF(ISERROR((BM24/BH24-1)*100),"--",(BM24/BH24-1)*100)</f>
        <v>10.244988864142535</v>
      </c>
      <c r="BN176" s="453">
        <f>IF(ISERROR((BN24/BI24-1)*100),"--",(BN24/BI24-1)*100)</f>
        <v>9.7535934291581139</v>
      </c>
      <c r="BO176" s="453">
        <f>IF(ISERROR((BO24/BJ24-1)*100),"--",(BO24/BJ24-1)*100)</f>
        <v>25.482980680772769</v>
      </c>
      <c r="BP176" s="453"/>
      <c r="BQ176" s="453">
        <f>IF(ISERROR((BQ24/BL24-1)*100),"--",(BQ24/BL24-1)*100)</f>
        <v>5.9623430962343127</v>
      </c>
      <c r="BR176" s="453">
        <f>IF(ISERROR((BR24/BM24-1)*100),"--",(BR24/BM24-1)*100)</f>
        <v>5.4545454545454453</v>
      </c>
      <c r="BS176" s="453">
        <f>IF(ISERROR((BS24/BN24-1)*100),"--",(BS24/BN24-1)*100)</f>
        <v>-0.28063610851263299</v>
      </c>
      <c r="BT176" s="453">
        <f>IF(ISERROR((BT24/BO24-1)*100),"--",(BT24/BO24-1)*100)</f>
        <v>-13.196480938416421</v>
      </c>
      <c r="BU176" s="453"/>
      <c r="BV176" s="453">
        <f>IF(ISERROR((BV24/BQ24-1)*100),"--",(BV24/BQ24-1)*100)</f>
        <v>68.509378084896341</v>
      </c>
      <c r="BW176" s="453">
        <f>IF(ISERROR((BW24/BR24-1)*100),"--",(BW24/BR24-1)*100)</f>
        <v>45.114942528735625</v>
      </c>
      <c r="BX176" s="453">
        <f>IF(ISERROR((BX24/BS24-1)*100),"--",(BX24/BS24-1)*100)</f>
        <v>58.724202626641642</v>
      </c>
      <c r="BY176" s="453">
        <f>IF(ISERROR((BY24/BT24-1)*100),"--",(BY24/BT24-1)*100)</f>
        <v>41.976351351351362</v>
      </c>
      <c r="BZ176" s="453"/>
      <c r="CA176" s="453">
        <f>IF(ISERROR((CA24/BV24-1)*100),"--",(CA24/BV24-1)*100)</f>
        <v>-5.6239015817223237</v>
      </c>
      <c r="CB176" s="453">
        <f>IF(ISERROR((CB24/BW24-1)*100),"--",(CB24/BW24-1)*100)</f>
        <v>9.6369636963696372</v>
      </c>
      <c r="CC176" s="453">
        <f>IF(ISERROR((CC24/BX24-1)*100),"--",(CC24/BX24-1)*100)</f>
        <v>-9.1016548463356948</v>
      </c>
      <c r="CD176" s="453">
        <f>IF(ISERROR((CD24/BY24-1)*100),"--",(CD24/BY24-1)*100)</f>
        <v>-1.3087447947650155</v>
      </c>
      <c r="CE176" s="453"/>
      <c r="CF176" s="453">
        <f>IF(ISERROR((CF24/CA24-1)*100),"--",(CF24/CA24-1)*100)</f>
        <v>-5.027932960893855</v>
      </c>
      <c r="CG176" s="453">
        <f>IF(ISERROR((CG24/CB24-1)*100),"--",(CG24/CB24-1)*100)</f>
        <v>-13.485851896447921</v>
      </c>
      <c r="CH176" s="453">
        <f>IF(ISERROR((CH24/CC24-1)*100),"--",(CH24/CC24-1)*100)</f>
        <v>-3.6410923276983143</v>
      </c>
      <c r="CI176" s="449">
        <f>IF(ISERROR((CI24/CD24-1)*100),"--",(CI24/CD24-1)*100)</f>
        <v>1.9288728149487566</v>
      </c>
      <c r="CJ176" s="449"/>
      <c r="CK176" s="449">
        <f>IF(ISERROR((CK24/CF24-1)*100),"--",(CK24/CF24-1)*100)</f>
        <v>-0.98039215686274161</v>
      </c>
      <c r="CL176" s="449">
        <f>IF(ISERROR((CL24/CG24-1)*100),"--",(CL24/CG24-1)*100)</f>
        <v>10.71677105080029</v>
      </c>
      <c r="CM176" s="449">
        <f>IF(ISERROR((CM24/CH24-1)*100),"--",(CM24/CH24-1)*100)</f>
        <v>9.109311740890691</v>
      </c>
      <c r="CN176" s="449">
        <f>IF(ISERROR((CN24/CI24-1)*100),"--",(CN24/CI24-1)*100)</f>
        <v>10.053222945002949</v>
      </c>
      <c r="CO176" s="449"/>
      <c r="CP176" s="449">
        <f>IF(ISERROR((CP24/CK24-1)*100),"--",(CP24/CK24-1)*100)</f>
        <v>17.887788778877891</v>
      </c>
      <c r="CQ176" s="449">
        <f>IF(ISERROR((CQ24/CL24-1)*100),"--",(CQ24/CL24-1)*100)</f>
        <v>2.8912633563796364</v>
      </c>
      <c r="CR176" s="449">
        <f>IF(ISERROR((CR24/CM24-1)*100),"--",(CR24/CM24-1)*100)</f>
        <v>8.2251082251082241</v>
      </c>
      <c r="CS176" s="449">
        <f>IF(ISERROR((CS24/CN24-1)*100),"--",(CS24/CN24-1)*100)</f>
        <v>4.674905964535192</v>
      </c>
      <c r="CT176" s="449"/>
      <c r="CU176" s="449">
        <f>IF(ISERROR((CU24/CP24-1)*100),"--",(CU24/CP24-1)*100)</f>
        <v>2.8555431131018993</v>
      </c>
      <c r="CV176" s="449">
        <f>IF(ISERROR((CV24/CQ24-1)*100),"--",(CV24/CQ24-1)*100)</f>
        <v>15.149664019547959</v>
      </c>
      <c r="CW176" s="449">
        <f>IF(ISERROR((CW24/CR24-1)*100),"--",(CW24/CR24-1)*100)</f>
        <v>16.285714285714281</v>
      </c>
      <c r="CX176" s="449">
        <f>IF(ISERROR((CX24/CS24-1)*100),"--",(CX24/CS24-1)*100)</f>
        <v>23.562628336755644</v>
      </c>
      <c r="CY176" s="449"/>
      <c r="CZ176" s="449"/>
      <c r="DA176" s="449"/>
      <c r="DB176" s="449"/>
      <c r="DC176" s="450"/>
      <c r="DD176" s="449"/>
      <c r="DE176" s="449"/>
      <c r="DF176" s="449"/>
      <c r="DG176" s="449"/>
      <c r="DH176" s="450"/>
      <c r="DI176" s="449"/>
      <c r="DJ176" s="450"/>
      <c r="DK176" s="450"/>
      <c r="DL176" s="450"/>
      <c r="DM176" s="450"/>
      <c r="DN176" s="449"/>
      <c r="DO176" s="449"/>
      <c r="DP176" s="450"/>
      <c r="DQ176" s="450"/>
      <c r="DR176" s="450"/>
      <c r="DS176" s="450"/>
      <c r="DT176" s="450"/>
      <c r="DU176" s="450"/>
      <c r="DV176" s="450"/>
      <c r="DW176" s="450"/>
      <c r="DX176" s="450"/>
      <c r="DY176" s="450"/>
      <c r="DZ176" s="450"/>
      <c r="EA176" s="449"/>
      <c r="EB176" s="450"/>
      <c r="EC176" s="449"/>
      <c r="ED176" s="450"/>
      <c r="EE176" s="450"/>
      <c r="EF176" s="450"/>
      <c r="EG176" s="450"/>
      <c r="EH176" s="449"/>
      <c r="EI176" s="2761"/>
      <c r="EJ176" s="2761"/>
      <c r="EK176" s="2761"/>
      <c r="EL176" s="2761"/>
      <c r="EM176" s="2762"/>
      <c r="EN176" s="2761"/>
      <c r="EO176" s="2761"/>
      <c r="EP176" s="2762"/>
      <c r="EQ176" s="2762"/>
      <c r="ER176" s="2762"/>
      <c r="ES176" s="449"/>
      <c r="ET176" s="2761"/>
      <c r="EU176" s="449"/>
      <c r="EV176" s="449"/>
      <c r="EW176" s="449"/>
      <c r="EX176" s="449"/>
      <c r="EY176" s="449"/>
      <c r="EZ176" s="449"/>
      <c r="FA176" s="449"/>
      <c r="FB176" s="449"/>
      <c r="FC176" s="449"/>
      <c r="FD176" s="449"/>
      <c r="FE176" s="449"/>
      <c r="FF176" s="449"/>
      <c r="FG176" s="449"/>
      <c r="FH176" s="449"/>
      <c r="FI176" s="449"/>
      <c r="FJ176" s="449"/>
      <c r="FK176" s="449"/>
      <c r="FL176" s="449"/>
      <c r="FM176" s="453"/>
      <c r="FN176" s="453" t="str">
        <f>IF(ISERROR((FN24/#REF!-1)*100),"--",(FN24/#REF!-1)*100)</f>
        <v>--</v>
      </c>
      <c r="FO176" s="453">
        <f>IF(ISERROR((FO24/FN24-1)*100),"--",(FO24/FN24-1)*100)</f>
        <v>20.874811463046751</v>
      </c>
      <c r="FP176" s="453">
        <f>IF(ISERROR((FP24/FO24-1)*100),"--",(FP24/FO24-1)*100)</f>
        <v>12.053905665086106</v>
      </c>
      <c r="FQ176" s="453">
        <f>IF(ISERROR((FQ24/FP24-1)*100),"--",(FQ24/FP24-1)*100)</f>
        <v>21.870824053452111</v>
      </c>
      <c r="FR176" s="453">
        <f t="shared" ref="FR176:FY176" si="585">IF(ISERROR((FR24/FQ24-1)*100),"--",(FR24/FQ24-1)*100)</f>
        <v>21.436403508771939</v>
      </c>
      <c r="FS176" s="453">
        <f t="shared" si="585"/>
        <v>-7.238525206922497</v>
      </c>
      <c r="FT176" s="453">
        <f t="shared" si="585"/>
        <v>1.8656716417910557</v>
      </c>
      <c r="FU176" s="453">
        <f t="shared" si="585"/>
        <v>9.9060359929925124</v>
      </c>
      <c r="FV176" s="453">
        <f>IF(ISERROR((FV24/FU24-1)*100),"--",(FV24/FU24-1)*100)</f>
        <v>7.5206491812780829</v>
      </c>
      <c r="FW176" s="453">
        <f t="shared" si="585"/>
        <v>21.495956873315357</v>
      </c>
      <c r="FX176" s="454">
        <f t="shared" si="585"/>
        <v>-3.6494731003882452</v>
      </c>
      <c r="FY176" s="454">
        <f t="shared" si="585"/>
        <v>3.0508864839972283</v>
      </c>
      <c r="FZ176" s="454"/>
      <c r="GA176" s="454"/>
      <c r="GB176" s="454"/>
      <c r="GC176" s="1112"/>
      <c r="GD176" s="1112"/>
      <c r="GE176" s="1112"/>
      <c r="GF176" s="1112"/>
      <c r="GG176" s="1112"/>
      <c r="GH176" s="1112"/>
      <c r="GI176" s="1112"/>
      <c r="GJ176" s="2669"/>
      <c r="GK176" s="2669"/>
      <c r="GL176" s="2669"/>
      <c r="GN176"/>
      <c r="GO176"/>
      <c r="GP176"/>
      <c r="GQ176"/>
      <c r="GR176"/>
      <c r="GS176"/>
    </row>
    <row r="177" spans="1:201" s="264" customFormat="1" ht="11.25" hidden="1" customHeight="1" outlineLevel="1">
      <c r="A177" s="407" t="s">
        <v>661</v>
      </c>
      <c r="B177" s="253"/>
      <c r="C177" s="455"/>
      <c r="D177" s="453" t="str">
        <f t="shared" ref="D177:AP177" si="586">IF(ISERROR((D24/C24-1)*100),"--",(D24/C24-1)*100)</f>
        <v>--</v>
      </c>
      <c r="E177" s="453">
        <f t="shared" si="586"/>
        <v>9.465217391304348</v>
      </c>
      <c r="F177" s="453">
        <f t="shared" si="586"/>
        <v>15.692894308297255</v>
      </c>
      <c r="G177" s="453">
        <f t="shared" si="586"/>
        <v>13.214089535841801</v>
      </c>
      <c r="H177" s="453"/>
      <c r="I177" s="453">
        <f>IF(ISERROR((I24/G24-1)*100),"--",(I24/G24-1)*100)</f>
        <v>20.356612184249624</v>
      </c>
      <c r="J177" s="453">
        <f t="shared" si="586"/>
        <v>4.0161249685059186</v>
      </c>
      <c r="K177" s="453">
        <f t="shared" si="586"/>
        <v>14.150760585214606</v>
      </c>
      <c r="L177" s="453">
        <f t="shared" si="586"/>
        <v>11.435301107668817</v>
      </c>
      <c r="M177" s="453"/>
      <c r="N177" s="453">
        <f>IF(ISERROR((N24/L24-1)*100),"--",(N24/L24-1)*100)</f>
        <v>-2.8848900314195958</v>
      </c>
      <c r="O177" s="453">
        <f t="shared" si="586"/>
        <v>5.8823529411764719</v>
      </c>
      <c r="P177" s="453">
        <f t="shared" si="586"/>
        <v>11.111111111111116</v>
      </c>
      <c r="Q177" s="453">
        <f t="shared" si="586"/>
        <v>16.666666666666675</v>
      </c>
      <c r="R177" s="453"/>
      <c r="S177" s="453">
        <f>IF(ISERROR((S24/Q24-1)*100),"--",(S24/Q24-1)*100)</f>
        <v>5.7142857142857162</v>
      </c>
      <c r="T177" s="453">
        <f t="shared" si="586"/>
        <v>15.945945945945939</v>
      </c>
      <c r="U177" s="453">
        <f t="shared" si="586"/>
        <v>5.2447552447552503</v>
      </c>
      <c r="V177" s="453">
        <f t="shared" si="586"/>
        <v>13.067552602436328</v>
      </c>
      <c r="W177" s="453"/>
      <c r="X177" s="453">
        <f>IF(ISERROR((X24/V24-1)*100),"--",(X24/V24-1)*100)</f>
        <v>2.8403525954946218</v>
      </c>
      <c r="Y177" s="453">
        <f t="shared" si="586"/>
        <v>5.7142857142857162</v>
      </c>
      <c r="Z177" s="453">
        <f t="shared" si="586"/>
        <v>4.5045045045045029</v>
      </c>
      <c r="AA177" s="453">
        <f t="shared" si="586"/>
        <v>18.965517241379317</v>
      </c>
      <c r="AB177" s="453"/>
      <c r="AC177" s="453">
        <f>IF(ISERROR((AC24/AA24-1)*100),"--",(AC24/AA24-1)*100)</f>
        <v>-2.8985507246376829</v>
      </c>
      <c r="AD177" s="453">
        <f t="shared" si="586"/>
        <v>11.940298507462677</v>
      </c>
      <c r="AE177" s="453">
        <f t="shared" si="586"/>
        <v>4.0000000000000036</v>
      </c>
      <c r="AF177" s="453">
        <f t="shared" si="586"/>
        <v>8.9743589743589638</v>
      </c>
      <c r="AG177" s="453"/>
      <c r="AH177" s="453">
        <f>IF(ISERROR((AH24/AF24-1)*100),"--",(AH24/AF24-1)*100)</f>
        <v>4.705882352941182</v>
      </c>
      <c r="AI177" s="453">
        <f t="shared" si="586"/>
        <v>11.79775280898876</v>
      </c>
      <c r="AJ177" s="453">
        <f t="shared" si="586"/>
        <v>10.050251256281406</v>
      </c>
      <c r="AK177" s="453">
        <f t="shared" si="586"/>
        <v>20.547945205479444</v>
      </c>
      <c r="AL177" s="453"/>
      <c r="AM177" s="453">
        <f>IF(ISERROR((AM24/AK24-1)*100),"--",(AM24/AK24-1)*100)</f>
        <v>5.3030303030302983</v>
      </c>
      <c r="AN177" s="453">
        <f t="shared" si="586"/>
        <v>9.7122302158273435</v>
      </c>
      <c r="AO177" s="453">
        <f t="shared" si="586"/>
        <v>10.491803278688527</v>
      </c>
      <c r="AP177" s="453">
        <f t="shared" si="586"/>
        <v>20.474777448071222</v>
      </c>
      <c r="AQ177" s="453"/>
      <c r="AR177" s="453">
        <f>IF(ISERROR((AR24/AP24-1)*100),"--",(AR24/AP24-1)*100)</f>
        <v>2.7093596059113212</v>
      </c>
      <c r="AS177" s="453">
        <f t="shared" ref="AS177:CD177" si="587">IF(ISERROR((AS24/AR24-1)*100),"--",(AS24/AR24-1)*100)</f>
        <v>7.6738609112709799</v>
      </c>
      <c r="AT177" s="453">
        <f t="shared" si="587"/>
        <v>5.5679287305122394</v>
      </c>
      <c r="AU177" s="453">
        <f t="shared" si="587"/>
        <v>10.33755274261603</v>
      </c>
      <c r="AV177" s="453"/>
      <c r="AW177" s="453">
        <f>IF(ISERROR((AW24/AU24-1)*100),"--",(AW24/AU24-1)*100)</f>
        <v>15.296367112810705</v>
      </c>
      <c r="AX177" s="453">
        <f t="shared" si="587"/>
        <v>7.4626865671641784</v>
      </c>
      <c r="AY177" s="453">
        <f t="shared" si="587"/>
        <v>-5.7098765432098801</v>
      </c>
      <c r="AZ177" s="453">
        <f t="shared" si="587"/>
        <v>20.949263502454983</v>
      </c>
      <c r="BA177" s="453"/>
      <c r="BB177" s="453">
        <f>IF(ISERROR((BB24/AZ24-1)*100),"--",(BB24/AZ24-1)*100)</f>
        <v>-11.907983761840324</v>
      </c>
      <c r="BC177" s="453">
        <f t="shared" si="587"/>
        <v>9.8310291858678909</v>
      </c>
      <c r="BD177" s="453">
        <f t="shared" si="587"/>
        <v>-7.1328671328671378</v>
      </c>
      <c r="BE177" s="453">
        <f t="shared" si="587"/>
        <v>41.566265060240973</v>
      </c>
      <c r="BF177" s="453"/>
      <c r="BG177" s="453">
        <f>IF(ISERROR((BG24/BE24-1)*100),"--",(BG24/BE24-1)*100)</f>
        <v>-13.510638297872335</v>
      </c>
      <c r="BH177" s="453">
        <f t="shared" si="587"/>
        <v>10.455104551045501</v>
      </c>
      <c r="BI177" s="453">
        <f t="shared" si="587"/>
        <v>8.4632516703786251</v>
      </c>
      <c r="BJ177" s="453">
        <f t="shared" si="587"/>
        <v>11.601642710472282</v>
      </c>
      <c r="BK177" s="453"/>
      <c r="BL177" s="453">
        <f>IF(ISERROR((BL24/BJ24-1)*100),"--",(BL24/BJ24-1)*100)</f>
        <v>-12.05151793928243</v>
      </c>
      <c r="BM177" s="453">
        <f t="shared" si="587"/>
        <v>3.5564853556485421</v>
      </c>
      <c r="BN177" s="453">
        <f t="shared" si="587"/>
        <v>7.9797979797979757</v>
      </c>
      <c r="BO177" s="453">
        <f t="shared" si="587"/>
        <v>27.595884003741823</v>
      </c>
      <c r="BP177" s="453"/>
      <c r="BQ177" s="453">
        <f>IF(ISERROR((BQ24/BO24-1)*100),"--",(BQ24/BO24-1)*100)</f>
        <v>-25.733137829912025</v>
      </c>
      <c r="BR177" s="453">
        <f t="shared" si="587"/>
        <v>3.0602171767028619</v>
      </c>
      <c r="BS177" s="453">
        <f t="shared" si="587"/>
        <v>2.1072796934865856</v>
      </c>
      <c r="BT177" s="453">
        <f t="shared" si="587"/>
        <v>11.069418386491559</v>
      </c>
      <c r="BU177" s="453"/>
      <c r="BV177" s="453">
        <f>IF(ISERROR((BV24/BT24-1)*100),"--",(BV24/BT24-1)*100)</f>
        <v>44.172297297297305</v>
      </c>
      <c r="BW177" s="453">
        <f t="shared" si="587"/>
        <v>-11.247803163444637</v>
      </c>
      <c r="BX177" s="453">
        <f t="shared" si="587"/>
        <v>11.683168316831694</v>
      </c>
      <c r="BY177" s="453">
        <f t="shared" si="587"/>
        <v>-0.65011820330969083</v>
      </c>
      <c r="BZ177" s="453"/>
      <c r="CA177" s="453">
        <f>IF(ISERROR((CA24/BY24-1)*100),"--",(CA24/BY24-1)*100)</f>
        <v>-4.1641879833432487</v>
      </c>
      <c r="CB177" s="453">
        <f t="shared" si="587"/>
        <v>3.1036623215394243</v>
      </c>
      <c r="CC177" s="453">
        <f t="shared" si="587"/>
        <v>-7.4051776038530974</v>
      </c>
      <c r="CD177" s="453">
        <f t="shared" si="587"/>
        <v>7.8673602080624239</v>
      </c>
      <c r="CE177" s="453"/>
      <c r="CF177" s="453">
        <f>IF(ISERROR((CF24/CD24-1)*100),"--",(CF24/CD24-1)*100)</f>
        <v>-7.7757685352622063</v>
      </c>
      <c r="CG177" s="453">
        <f t="shared" ref="CG177:CN177" si="588">IF(ISERROR((CG24/CF24-1)*100),"--",(CG24/CF24-1)*100)</f>
        <v>-6.0784313725490202</v>
      </c>
      <c r="CH177" s="453">
        <f t="shared" si="588"/>
        <v>3.1315240083507279</v>
      </c>
      <c r="CI177" s="449">
        <f t="shared" si="588"/>
        <v>14.102564102564097</v>
      </c>
      <c r="CJ177" s="449"/>
      <c r="CK177" s="449">
        <f>IF(ISERROR((CK24/CI24-1)*100),"--",(CK24/CI24-1)*100)</f>
        <v>-10.408042578356003</v>
      </c>
      <c r="CL177" s="449">
        <f t="shared" si="588"/>
        <v>5.0165016501650062</v>
      </c>
      <c r="CM177" s="449">
        <f t="shared" si="588"/>
        <v>1.6341923318667462</v>
      </c>
      <c r="CN177" s="449">
        <f t="shared" si="588"/>
        <v>15.089672232529372</v>
      </c>
      <c r="CO177" s="449"/>
      <c r="CP177" s="449">
        <f>IF(ISERROR((CP24/CN24-1)*100),"--",(CP24/CN24-1)*100)</f>
        <v>-4.0300913487372414</v>
      </c>
      <c r="CQ177" s="449">
        <f t="shared" ref="CQ177:CX177" si="589">IF(ISERROR((CQ24/CP24-1)*100),"--",(CQ24/CP24-1)*100)</f>
        <v>-8.3426651735722288</v>
      </c>
      <c r="CR177" s="449">
        <f t="shared" si="589"/>
        <v>6.9028711056811298</v>
      </c>
      <c r="CS177" s="449">
        <f t="shared" si="589"/>
        <v>11.31428571428572</v>
      </c>
      <c r="CT177" s="449"/>
      <c r="CU177" s="449">
        <f>IF(ISERROR((CU24/CS24-1)*100),"--",(CU24/CS24-1)*100)</f>
        <v>-5.6981519507186889</v>
      </c>
      <c r="CV177" s="449">
        <f t="shared" si="589"/>
        <v>2.6129559063690744</v>
      </c>
      <c r="CW177" s="449">
        <f t="shared" si="589"/>
        <v>7.9575596816976235</v>
      </c>
      <c r="CX177" s="449">
        <f t="shared" si="589"/>
        <v>18.28009828009829</v>
      </c>
      <c r="CY177" s="449"/>
      <c r="CZ177" s="449"/>
      <c r="DA177" s="449"/>
      <c r="DB177" s="449"/>
      <c r="DC177" s="450"/>
      <c r="DD177" s="449"/>
      <c r="DE177" s="449"/>
      <c r="DF177" s="449"/>
      <c r="DG177" s="449"/>
      <c r="DH177" s="450"/>
      <c r="DI177" s="449"/>
      <c r="DJ177" s="450"/>
      <c r="DK177" s="450"/>
      <c r="DL177" s="450"/>
      <c r="DM177" s="450"/>
      <c r="DN177" s="449"/>
      <c r="DO177" s="449"/>
      <c r="DP177" s="450"/>
      <c r="DQ177" s="450"/>
      <c r="DR177" s="450"/>
      <c r="DS177" s="450"/>
      <c r="DT177" s="450"/>
      <c r="DU177" s="450"/>
      <c r="DV177" s="450"/>
      <c r="DW177" s="450"/>
      <c r="DX177" s="450"/>
      <c r="DY177" s="450"/>
      <c r="DZ177" s="450"/>
      <c r="EA177" s="449"/>
      <c r="EB177" s="450"/>
      <c r="EC177" s="449"/>
      <c r="ED177" s="450"/>
      <c r="EE177" s="450"/>
      <c r="EF177" s="450"/>
      <c r="EG177" s="450"/>
      <c r="EH177" s="449"/>
      <c r="EI177" s="2761"/>
      <c r="EJ177" s="2761"/>
      <c r="EK177" s="2761"/>
      <c r="EL177" s="2761"/>
      <c r="EM177" s="2762"/>
      <c r="EN177" s="2761"/>
      <c r="EO177" s="2761"/>
      <c r="EP177" s="2762"/>
      <c r="EQ177" s="2762"/>
      <c r="ER177" s="2762"/>
      <c r="ES177" s="449"/>
      <c r="ET177" s="2761"/>
      <c r="EU177" s="449"/>
      <c r="EV177" s="449"/>
      <c r="EW177" s="449"/>
      <c r="EX177" s="449"/>
      <c r="EY177" s="449"/>
      <c r="EZ177" s="449"/>
      <c r="FA177" s="449"/>
      <c r="FB177" s="449"/>
      <c r="FC177" s="449"/>
      <c r="FD177" s="449"/>
      <c r="FE177" s="449"/>
      <c r="FF177" s="449"/>
      <c r="FG177" s="449"/>
      <c r="FH177" s="449"/>
      <c r="FI177" s="449"/>
      <c r="FJ177" s="449"/>
      <c r="FK177" s="449"/>
      <c r="FL177" s="449"/>
      <c r="FM177" s="453"/>
      <c r="FN177" s="453" t="s">
        <v>699</v>
      </c>
      <c r="FO177" s="453" t="s">
        <v>699</v>
      </c>
      <c r="FP177" s="453" t="s">
        <v>699</v>
      </c>
      <c r="FQ177" s="453" t="s">
        <v>699</v>
      </c>
      <c r="FR177" s="453" t="s">
        <v>699</v>
      </c>
      <c r="FS177" s="453" t="s">
        <v>699</v>
      </c>
      <c r="FT177" s="453" t="s">
        <v>699</v>
      </c>
      <c r="FU177" s="453" t="s">
        <v>699</v>
      </c>
      <c r="FV177" s="453" t="s">
        <v>699</v>
      </c>
      <c r="FW177" s="453" t="s">
        <v>699</v>
      </c>
      <c r="FX177" s="454" t="s">
        <v>699</v>
      </c>
      <c r="FY177" s="454" t="s">
        <v>699</v>
      </c>
      <c r="FZ177" s="454"/>
      <c r="GA177" s="454"/>
      <c r="GB177" s="454"/>
      <c r="GC177" s="1112"/>
      <c r="GD177" s="1112"/>
      <c r="GE177" s="1112"/>
      <c r="GF177" s="1112"/>
      <c r="GG177" s="1112"/>
      <c r="GH177" s="1112"/>
      <c r="GI177" s="1112"/>
      <c r="GJ177" s="2669"/>
      <c r="GK177" s="2669"/>
      <c r="GL177" s="2669"/>
      <c r="GN177"/>
      <c r="GO177"/>
      <c r="GP177"/>
      <c r="GQ177"/>
      <c r="GR177"/>
      <c r="GS177"/>
    </row>
    <row r="178" spans="1:201" s="264" customFormat="1" ht="11.25" hidden="1" customHeight="1" outlineLevel="1">
      <c r="A178" s="407" t="s">
        <v>693</v>
      </c>
      <c r="B178" s="253"/>
      <c r="C178" s="455"/>
      <c r="D178" s="453"/>
      <c r="E178" s="453" t="str">
        <f>IF(ISERROR((E27/A27-1)*100),"--",(E27/A27-1)*100)</f>
        <v>--</v>
      </c>
      <c r="F178" s="453" t="str">
        <f>IF(ISERROR((F27/B27-1)*100),"--",(F27/B27-1)*100)</f>
        <v>--</v>
      </c>
      <c r="G178" s="453" t="str">
        <f>IF(ISERROR((G27/C27-1)*100),"--",(G27/C27-1)*100)</f>
        <v>--</v>
      </c>
      <c r="H178" s="453"/>
      <c r="I178" s="453">
        <f>IF(ISERROR((I27/D27-1)*100),"--",(I27/D27-1)*100)</f>
        <v>39.130434782608688</v>
      </c>
      <c r="J178" s="453">
        <f>IF(ISERROR((J27/E27-1)*100),"--",(J27/E27-1)*100)</f>
        <v>43.137254901960787</v>
      </c>
      <c r="K178" s="453">
        <f>IF(ISERROR((K27/F27-1)*100),"--",(K27/F27-1)*100)</f>
        <v>50.980392156862742</v>
      </c>
      <c r="L178" s="453">
        <f>IF(ISERROR((L27/G27-1)*100),"--",(L27/G27-1)*100)</f>
        <v>50.877192982456144</v>
      </c>
      <c r="M178" s="453"/>
      <c r="N178" s="453">
        <f>IF(ISERROR((N27/I27-1)*100),"--",(N27/I27-1)*100)</f>
        <v>53.125</v>
      </c>
      <c r="O178" s="453">
        <f>IF(ISERROR((O27/J27-1)*100),"--",(O27/J27-1)*100)</f>
        <v>78.082191780821915</v>
      </c>
      <c r="P178" s="453">
        <f>IF(ISERROR((P27/K27-1)*100),"--",(P27/K27-1)*100)</f>
        <v>67.532467532467535</v>
      </c>
      <c r="Q178" s="453">
        <f>IF(ISERROR((Q27/L27-1)*100),"--",(Q27/L27-1)*100)</f>
        <v>54.651162790697683</v>
      </c>
      <c r="R178" s="453"/>
      <c r="S178" s="453">
        <f>IF(ISERROR((S27/N27-1)*100),"--",(S27/N27-1)*100)</f>
        <v>63.265306122448983</v>
      </c>
      <c r="T178" s="453">
        <f>IF(ISERROR((T27/O27-1)*100),"--",(T27/O27-1)*100)</f>
        <v>48.461538461538467</v>
      </c>
      <c r="U178" s="453">
        <f>IF(ISERROR((U27/P27-1)*100),"--",(U27/P27-1)*100)</f>
        <v>42.635658914728694</v>
      </c>
      <c r="V178" s="453">
        <f>IF(ISERROR((V27/Q27-1)*100),"--",(V27/Q27-1)*100)</f>
        <v>66.165413533834581</v>
      </c>
      <c r="W178" s="453"/>
      <c r="X178" s="453">
        <f>IF(ISERROR((X27/S27-1)*100),"--",(X27/S27-1)*100)</f>
        <v>48.124999999999993</v>
      </c>
      <c r="Y178" s="453">
        <f>IF(ISERROR((Y27/T27-1)*100),"--",(Y27/T27-1)*100)</f>
        <v>49.222797927461137</v>
      </c>
      <c r="Z178" s="453">
        <f>IF(ISERROR((Z27/U27-1)*100),"--",(Z27/U27-1)*100)</f>
        <v>53.804347826086961</v>
      </c>
      <c r="AA178" s="453">
        <f>IF(ISERROR((AA27/V27-1)*100),"--",(AA27/V27-1)*100)</f>
        <v>25.791855203619907</v>
      </c>
      <c r="AB178" s="453"/>
      <c r="AC178" s="453">
        <f>IF(ISERROR((AC27/X27-1)*100),"--",(AC27/X27-1)*100)</f>
        <v>8.0168776371307935</v>
      </c>
      <c r="AD178" s="453">
        <f>IF(ISERROR((AD27/Y27-1)*100),"--",(AD27/Y27-1)*100)</f>
        <v>-3.125</v>
      </c>
      <c r="AE178" s="453">
        <f>IF(ISERROR((AE27/Z27-1)*100),"--",(AE27/Z27-1)*100)</f>
        <v>6.0070671378091856</v>
      </c>
      <c r="AF178" s="453">
        <f>IF(ISERROR((AF27/AA27-1)*100),"--",(AF27/AA27-1)*100)</f>
        <v>7.9136690647481966</v>
      </c>
      <c r="AG178" s="453"/>
      <c r="AH178" s="453">
        <f>IF(ISERROR((AH27/AC27-1)*100),"--",(AH27/AC27-1)*100)</f>
        <v>25</v>
      </c>
      <c r="AI178" s="453">
        <f>IF(ISERROR((AI27/AD27-1)*100),"--",(AI27/AD27-1)*100)</f>
        <v>44.802867383512535</v>
      </c>
      <c r="AJ178" s="453">
        <f>IF(ISERROR((AJ27/AE27-1)*100),"--",(AJ27/AE27-1)*100)</f>
        <v>45.333333333333336</v>
      </c>
      <c r="AK178" s="453">
        <f>IF(ISERROR((AK27/AF27-1)*100),"--",(AK27/AF27-1)*100)</f>
        <v>34.666666666666671</v>
      </c>
      <c r="AL178" s="453"/>
      <c r="AM178" s="453">
        <f>IF(ISERROR((AM27/AH27-1)*100),"--",(AM27/AH27-1)*100)</f>
        <v>60.624999999999993</v>
      </c>
      <c r="AN178" s="453">
        <f>IF(ISERROR((AN27/AI27-1)*100),"--",(AN27/AI27-1)*100)</f>
        <v>37.128712871287142</v>
      </c>
      <c r="AO178" s="453">
        <f>IF(ISERROR((AO27/AJ27-1)*100),"--",(AO27/AJ27-1)*100)</f>
        <v>31.192660550458704</v>
      </c>
      <c r="AP178" s="453">
        <f>IF(ISERROR((AP27/AK27-1)*100),"--",(AP27/AK27-1)*100)</f>
        <v>34.90099009900991</v>
      </c>
      <c r="AQ178" s="453"/>
      <c r="AR178" s="453">
        <f>IF(ISERROR((AR27/AM27-1)*100),"--",(AR27/AM27-1)*100)</f>
        <v>0.77821011673151474</v>
      </c>
      <c r="AS178" s="453">
        <f>IF(ISERROR((AS27/AN27-1)*100),"--",(AS27/AN27-1)*100)</f>
        <v>15.34296028880866</v>
      </c>
      <c r="AT178" s="453">
        <f>IF(ISERROR((AT27/AO27-1)*100),"--",(AT27/AO27-1)*100)</f>
        <v>11.713286713286708</v>
      </c>
      <c r="AU178" s="453">
        <f>IF(ISERROR((AU27/AP27-1)*100),"--",(AU27/AP27-1)*100)</f>
        <v>12.844036697247695</v>
      </c>
      <c r="AV178" s="453"/>
      <c r="AW178" s="453">
        <f>IF(ISERROR((AW27/AR27-1)*100),"--",(AW27/AR27-1)*100)</f>
        <v>30.308880308880305</v>
      </c>
      <c r="AX178" s="453">
        <f>IF(ISERROR((AX27/AS27-1)*100),"--",(AX27/AS27-1)*100)</f>
        <v>19.561815336463219</v>
      </c>
      <c r="AY178" s="453">
        <f>IF(ISERROR((AY27/AT27-1)*100),"--",(AY27/AT27-1)*100)</f>
        <v>9.8591549295774747</v>
      </c>
      <c r="AZ178" s="453">
        <f>IF(ISERROR((AZ27/AU27-1)*100),"--",(AZ27/AU27-1)*100)</f>
        <v>12.032520325203254</v>
      </c>
      <c r="BA178" s="453"/>
      <c r="BB178" s="453">
        <f>IF(ISERROR((BB27/AW27-1)*100),"--",(BB27/AW27-1)*100)</f>
        <v>1.9259259259259309</v>
      </c>
      <c r="BC178" s="453">
        <f>IF(ISERROR((BC27/AX27-1)*100),"--",(BC27/AX27-1)*100)</f>
        <v>3.9267015706806241</v>
      </c>
      <c r="BD178" s="453">
        <f>IF(ISERROR((BD27/AY27-1)*100),"--",(BD27/AY27-1)*100)</f>
        <v>20.940170940170933</v>
      </c>
      <c r="BE178" s="453">
        <f>IF(ISERROR((BE27/AZ27-1)*100),"--",(BE27/AZ27-1)*100)</f>
        <v>30.624092888243837</v>
      </c>
      <c r="BF178" s="453"/>
      <c r="BG178" s="453">
        <f>IF(ISERROR((BG27/BB27-1)*100),"--",(BG27/BB27-1)*100)</f>
        <v>34.011627906976742</v>
      </c>
      <c r="BH178" s="453">
        <f>IF(ISERROR((BH27/BC27-1)*100),"--",(BH27/BC27-1)*100)</f>
        <v>27.581863979848876</v>
      </c>
      <c r="BI178" s="453">
        <f>IF(ISERROR((BI27/BD27-1)*100),"--",(BI27/BD27-1)*100)</f>
        <v>18.963486454652532</v>
      </c>
      <c r="BJ178" s="453">
        <f>IF(ISERROR((BJ27/BE27-1)*100),"--",(BJ27/BE27-1)*100)</f>
        <v>31.222222222222218</v>
      </c>
      <c r="BK178" s="453"/>
      <c r="BL178" s="453">
        <f>IF(ISERROR((BL27/BG27-1)*100),"--",(BL27/BG27-1)*100)</f>
        <v>12.581344902386116</v>
      </c>
      <c r="BM178" s="453">
        <f>IF(ISERROR((BM27/BH27-1)*100),"--",(BM27/BH27-1)*100)</f>
        <v>27.344521224086861</v>
      </c>
      <c r="BN178" s="453">
        <f>IF(ISERROR((BN27/BI27-1)*100),"--",(BN27/BI27-1)*100)</f>
        <v>18.613861386138609</v>
      </c>
      <c r="BO178" s="453">
        <f>IF(ISERROR((BO27/BJ27-1)*100),"--",(BO27/BJ27-1)*100)</f>
        <v>15.071972904318365</v>
      </c>
      <c r="BP178" s="453"/>
      <c r="BQ178" s="453">
        <f>IF(ISERROR((BQ27/BL27-1)*100),"--",(BQ27/BL27-1)*100)</f>
        <v>10.308285163776487</v>
      </c>
      <c r="BR178" s="453">
        <f>IF(ISERROR((BR27/BM27-1)*100),"--",(BR27/BM27-1)*100)</f>
        <v>14.651162790697668</v>
      </c>
      <c r="BS178" s="453">
        <f>IF(ISERROR((BS27/BN27-1)*100),"--",(BS27/BN27-1)*100)</f>
        <v>3.5058430717863187</v>
      </c>
      <c r="BT178" s="453">
        <f>IF(ISERROR((BT27/BO27-1)*100),"--",(BT27/BO27-1)*100)</f>
        <v>13.539367181751283</v>
      </c>
      <c r="BU178" s="453"/>
      <c r="BV178" s="453">
        <f>IF(ISERROR((BV27/BQ27-1)*100),"--",(BV27/BQ27-1)*100)</f>
        <v>23.580786026200883</v>
      </c>
      <c r="BW178" s="453">
        <f>IF(ISERROR((BW27/BR27-1)*100),"--",(BW27/BR27-1)*100)</f>
        <v>45.977011494252885</v>
      </c>
      <c r="BX178" s="453">
        <f>IF(ISERROR((BX27/BS27-1)*100),"--",(BX27/BS27-1)*100)</f>
        <v>37.096774193548377</v>
      </c>
      <c r="BY178" s="453">
        <f>IF(ISERROR((BY27/BT27-1)*100),"--",(BY27/BT27-1)*100)</f>
        <v>48.282566429034347</v>
      </c>
      <c r="BZ178" s="453"/>
      <c r="CA178" s="453">
        <f>IF(ISERROR((CA27/BV27-1)*100),"--",(CA27/BV27-1)*100)</f>
        <v>6.360424028268552</v>
      </c>
      <c r="CB178" s="453">
        <f>IF(ISERROR((CB27/BW27-1)*100),"--",(CB27/BW27-1)*100)</f>
        <v>-4.2612320518758739</v>
      </c>
      <c r="CC178" s="453">
        <f>IF(ISERROR((CC27/BX27-1)*100),"--",(CC27/BX27-1)*100)</f>
        <v>13.411764705882344</v>
      </c>
      <c r="CD178" s="453">
        <f>IF(ISERROR((CD27/BY27-1)*100),"--",(CD27/BY27-1)*100)</f>
        <v>5.2884615384615419</v>
      </c>
      <c r="CE178" s="453"/>
      <c r="CF178" s="453">
        <f>IF(ISERROR((CF27/CA27-1)*100),"--",(CF27/CA27-1)*100)</f>
        <v>10.564784053156151</v>
      </c>
      <c r="CG178" s="453">
        <f>IF(ISERROR((CG27/CB27-1)*100),"--",(CG27/CB27-1)*100)</f>
        <v>3.8219641993226805</v>
      </c>
      <c r="CH178" s="453">
        <f>IF(ISERROR((CH27/CC27-1)*100),"--",(CH27/CC27-1)*100)</f>
        <v>7.3651452282157637</v>
      </c>
      <c r="CI178" s="449">
        <f>IF(ISERROR((CI27/CD27-1)*100),"--",(CI27/CD27-1)*100)</f>
        <v>14.985471149854712</v>
      </c>
      <c r="CJ178" s="449"/>
      <c r="CK178" s="449">
        <f>IF(ISERROR((CK27/CF27-1)*100),"--",(CK27/CF27-1)*100)</f>
        <v>16.88701923076923</v>
      </c>
      <c r="CL178" s="449">
        <f>IF(ISERROR((CL27/CG27-1)*100),"--",(CL27/CG27-1)*100)</f>
        <v>25.302889095992541</v>
      </c>
      <c r="CM178" s="449">
        <f>IF(ISERROR((CM27/CH27-1)*100),"--",(CM27/CH27-1)*100)</f>
        <v>14.106280193236721</v>
      </c>
      <c r="CN178" s="449">
        <f>IF(ISERROR((CN27/CI27-1)*100),"--",(CN27/CI27-1)*100)</f>
        <v>1.8772563176895352</v>
      </c>
      <c r="CO178" s="449"/>
      <c r="CP178" s="449">
        <f>IF(ISERROR((CP27/CK27-1)*100),"--",(CP27/CK27-1)*100)</f>
        <v>12.647814910025712</v>
      </c>
      <c r="CQ178" s="449">
        <f>IF(ISERROR((CQ27/CL27-1)*100),"--",(CQ27/CL27-1)*100)</f>
        <v>11.528449237634808</v>
      </c>
      <c r="CR178" s="449">
        <f>IF(ISERROR((CR27/CM27-1)*100),"--",(CR27/CM27-1)*100)</f>
        <v>24.30143945808636</v>
      </c>
      <c r="CS178" s="449">
        <f>IF(ISERROR((CS27/CN27-1)*100),"--",(CS27/CN27-1)*100)</f>
        <v>17.965981573352231</v>
      </c>
      <c r="CT178" s="449"/>
      <c r="CU178" s="449">
        <f>IF(ISERROR((CU27/CP27-1)*100),"--",(CU27/CP27-1)*100)</f>
        <v>22.455499771793708</v>
      </c>
      <c r="CV178" s="449">
        <f>IF(ISERROR((CV27/CQ27-1)*100),"--",(CV27/CQ27-1)*100)</f>
        <v>13.104368122707566</v>
      </c>
      <c r="CW178" s="449">
        <f>IF(ISERROR((CW27/CR27-1)*100),"--",(CW27/CR27-1)*100)</f>
        <v>7.4591280653951042</v>
      </c>
      <c r="CX178" s="449">
        <f>IF(ISERROR((CX27/CS27-1)*100),"--",(CX27/CS27-1)*100)</f>
        <v>16.491438870531681</v>
      </c>
      <c r="CY178" s="449"/>
      <c r="CZ178" s="449"/>
      <c r="DA178" s="449"/>
      <c r="DB178" s="449"/>
      <c r="DC178" s="450"/>
      <c r="DD178" s="449"/>
      <c r="DE178" s="449"/>
      <c r="DF178" s="449"/>
      <c r="DG178" s="449"/>
      <c r="DH178" s="450"/>
      <c r="DI178" s="449"/>
      <c r="DJ178" s="450"/>
      <c r="DK178" s="450"/>
      <c r="DL178" s="450"/>
      <c r="DM178" s="450"/>
      <c r="DN178" s="449"/>
      <c r="DO178" s="449"/>
      <c r="DP178" s="450"/>
      <c r="DQ178" s="450"/>
      <c r="DR178" s="450"/>
      <c r="DS178" s="450"/>
      <c r="DT178" s="450"/>
      <c r="DU178" s="450"/>
      <c r="DV178" s="450"/>
      <c r="DW178" s="450"/>
      <c r="DX178" s="450"/>
      <c r="DY178" s="450"/>
      <c r="DZ178" s="450"/>
      <c r="EA178" s="449"/>
      <c r="EB178" s="450"/>
      <c r="EC178" s="449"/>
      <c r="ED178" s="450"/>
      <c r="EE178" s="450"/>
      <c r="EF178" s="450"/>
      <c r="EG178" s="450"/>
      <c r="EH178" s="449"/>
      <c r="EI178" s="2761"/>
      <c r="EJ178" s="2761"/>
      <c r="EK178" s="2761"/>
      <c r="EL178" s="2761"/>
      <c r="EM178" s="2762"/>
      <c r="EN178" s="2761"/>
      <c r="EO178" s="2761"/>
      <c r="EP178" s="2762"/>
      <c r="EQ178" s="2762"/>
      <c r="ER178" s="2762"/>
      <c r="ES178" s="449"/>
      <c r="ET178" s="2761"/>
      <c r="EU178" s="449"/>
      <c r="EV178" s="449"/>
      <c r="EW178" s="449"/>
      <c r="EX178" s="449"/>
      <c r="EY178" s="449"/>
      <c r="EZ178" s="449"/>
      <c r="FA178" s="449"/>
      <c r="FB178" s="449"/>
      <c r="FC178" s="449"/>
      <c r="FD178" s="449"/>
      <c r="FE178" s="449"/>
      <c r="FF178" s="449"/>
      <c r="FG178" s="449"/>
      <c r="FH178" s="449"/>
      <c r="FI178" s="449"/>
      <c r="FJ178" s="449"/>
      <c r="FK178" s="449"/>
      <c r="FL178" s="449"/>
      <c r="FM178" s="453"/>
      <c r="FN178" s="453" t="str">
        <f>IF(ISERROR((FN27/#REF!-1)*100),"--",(FN27/#REF!-1)*100)</f>
        <v>--</v>
      </c>
      <c r="FO178" s="453">
        <f>IF(ISERROR((FO27/FN27-1)*100),"--",(FO27/FN27-1)*100)</f>
        <v>22.665580890336589</v>
      </c>
      <c r="FP178" s="453">
        <f>IF(ISERROR((FP27/FO27-1)*100),"--",(FP27/FO27-1)*100)</f>
        <v>14.649258685549892</v>
      </c>
      <c r="FQ178" s="453">
        <f>IF(ISERROR((FQ27/FP27-1)*100),"--",(FQ27/FP27-1)*100)</f>
        <v>22.698320787492765</v>
      </c>
      <c r="FR178" s="453">
        <f t="shared" ref="FR178:FY178" si="590">IF(ISERROR((FR27/FQ27-1)*100),"--",(FR27/FQ27-1)*100)</f>
        <v>18.92402076451156</v>
      </c>
      <c r="FS178" s="453">
        <f t="shared" si="590"/>
        <v>7.764550264550274</v>
      </c>
      <c r="FT178" s="453">
        <f t="shared" si="590"/>
        <v>16.288204246962067</v>
      </c>
      <c r="FU178" s="453">
        <f t="shared" si="590"/>
        <v>9.4996833438885311</v>
      </c>
      <c r="FV178" s="453">
        <f>IF(ISERROR((FV27/FU27-1)*100),"--",(FV27/FU27-1)*100)</f>
        <v>18.951224214382112</v>
      </c>
      <c r="FW178" s="453">
        <f t="shared" si="590"/>
        <v>11.337115072933557</v>
      </c>
      <c r="FX178" s="454">
        <f t="shared" si="590"/>
        <v>-8.4212824805298787</v>
      </c>
      <c r="FY178" s="454">
        <f t="shared" si="590"/>
        <v>6.7874741694484264</v>
      </c>
      <c r="FZ178" s="454"/>
      <c r="GA178" s="454"/>
      <c r="GB178" s="454"/>
      <c r="GC178" s="1112"/>
      <c r="GD178" s="1112"/>
      <c r="GE178" s="1112"/>
      <c r="GF178" s="1112"/>
      <c r="GG178" s="1112"/>
      <c r="GH178" s="1112"/>
      <c r="GI178" s="1112"/>
      <c r="GJ178" s="2669"/>
      <c r="GK178" s="2669"/>
      <c r="GL178" s="2669"/>
      <c r="GN178"/>
      <c r="GO178"/>
      <c r="GP178"/>
      <c r="GQ178"/>
      <c r="GR178"/>
      <c r="GS178"/>
    </row>
    <row r="179" spans="1:201" s="264" customFormat="1" ht="11.25" hidden="1" customHeight="1" outlineLevel="1">
      <c r="A179" s="407" t="s">
        <v>694</v>
      </c>
      <c r="B179" s="253"/>
      <c r="C179" s="455"/>
      <c r="D179" s="453" t="str">
        <f t="shared" ref="D179:AP179" si="591">IF(ISERROR((D27/C27-1)*100),"--",(D27/C27-1)*100)</f>
        <v>--</v>
      </c>
      <c r="E179" s="453">
        <f t="shared" si="591"/>
        <v>10.869565217391308</v>
      </c>
      <c r="F179" s="453">
        <f t="shared" si="591"/>
        <v>0</v>
      </c>
      <c r="G179" s="453">
        <f t="shared" si="591"/>
        <v>11.764705882352944</v>
      </c>
      <c r="H179" s="453"/>
      <c r="I179" s="453">
        <f>IF(ISERROR((I27/G27-1)*100),"--",(I27/G27-1)*100)</f>
        <v>12.280701754385959</v>
      </c>
      <c r="J179" s="453">
        <f t="shared" si="591"/>
        <v>14.0625</v>
      </c>
      <c r="K179" s="453">
        <f t="shared" si="591"/>
        <v>5.4794520547945202</v>
      </c>
      <c r="L179" s="453">
        <f t="shared" si="591"/>
        <v>11.688311688311682</v>
      </c>
      <c r="M179" s="453"/>
      <c r="N179" s="453">
        <f>IF(ISERROR((N27/L27-1)*100),"--",(N27/L27-1)*100)</f>
        <v>13.953488372093027</v>
      </c>
      <c r="O179" s="453">
        <f t="shared" si="591"/>
        <v>32.65306122448979</v>
      </c>
      <c r="P179" s="453">
        <f t="shared" si="591"/>
        <v>-0.7692307692307665</v>
      </c>
      <c r="Q179" s="453">
        <f t="shared" si="591"/>
        <v>3.1007751937984551</v>
      </c>
      <c r="R179" s="453"/>
      <c r="S179" s="453">
        <f>IF(ISERROR((S27/Q27-1)*100),"--",(S27/Q27-1)*100)</f>
        <v>20.300751879699241</v>
      </c>
      <c r="T179" s="453">
        <f t="shared" si="591"/>
        <v>20.625000000000004</v>
      </c>
      <c r="U179" s="453">
        <f t="shared" si="591"/>
        <v>-4.6632124352331665</v>
      </c>
      <c r="V179" s="453">
        <f t="shared" si="591"/>
        <v>20.108695652173903</v>
      </c>
      <c r="W179" s="453"/>
      <c r="X179" s="453">
        <f>IF(ISERROR((X27/V27-1)*100),"--",(X27/V27-1)*100)</f>
        <v>7.2398190045248834</v>
      </c>
      <c r="Y179" s="453">
        <f t="shared" si="591"/>
        <v>21.518987341772156</v>
      </c>
      <c r="Z179" s="453">
        <f t="shared" si="591"/>
        <v>-1.736111111111116</v>
      </c>
      <c r="AA179" s="453">
        <f t="shared" si="591"/>
        <v>-1.7667844522968212</v>
      </c>
      <c r="AB179" s="453"/>
      <c r="AC179" s="453">
        <f>IF(ISERROR((AC27/AA27-1)*100),"--",(AC27/AA27-1)*100)</f>
        <v>-7.9136690647481966</v>
      </c>
      <c r="AD179" s="453">
        <f t="shared" si="591"/>
        <v>8.984375</v>
      </c>
      <c r="AE179" s="453">
        <f t="shared" si="591"/>
        <v>7.5268817204301008</v>
      </c>
      <c r="AF179" s="453">
        <f t="shared" si="591"/>
        <v>0</v>
      </c>
      <c r="AG179" s="453"/>
      <c r="AH179" s="453">
        <f>IF(ISERROR((AH27/AF27-1)*100),"--",(AH27/AF27-1)*100)</f>
        <v>6.6666666666666652</v>
      </c>
      <c r="AI179" s="453">
        <f t="shared" si="591"/>
        <v>26.249999999999996</v>
      </c>
      <c r="AJ179" s="453">
        <f t="shared" si="591"/>
        <v>7.9207920792079278</v>
      </c>
      <c r="AK179" s="453">
        <f t="shared" si="591"/>
        <v>-7.3394495412844041</v>
      </c>
      <c r="AL179" s="453"/>
      <c r="AM179" s="453">
        <f>IF(ISERROR((AM27/AK27-1)*100),"--",(AM27/AK27-1)*100)</f>
        <v>27.227722772277229</v>
      </c>
      <c r="AN179" s="453">
        <f t="shared" si="591"/>
        <v>7.7821011673151697</v>
      </c>
      <c r="AO179" s="453">
        <f t="shared" si="591"/>
        <v>3.2490974729241895</v>
      </c>
      <c r="AP179" s="453">
        <f t="shared" si="591"/>
        <v>-4.7202797202797182</v>
      </c>
      <c r="AQ179" s="453"/>
      <c r="AR179" s="453">
        <f>IF(ISERROR((AR27/AP27-1)*100),"--",(AR27/AP27-1)*100)</f>
        <v>-4.9541284403669668</v>
      </c>
      <c r="AS179" s="453">
        <f t="shared" ref="AS179:CD179" si="592">IF(ISERROR((AS27/AR27-1)*100),"--",(AS27/AR27-1)*100)</f>
        <v>23.359073359073367</v>
      </c>
      <c r="AT179" s="453">
        <f t="shared" si="592"/>
        <v>0</v>
      </c>
      <c r="AU179" s="453">
        <f t="shared" si="592"/>
        <v>-3.7558685446009377</v>
      </c>
      <c r="AV179" s="453"/>
      <c r="AW179" s="453">
        <f>IF(ISERROR((AW27/AU27-1)*100),"--",(AW27/AU27-1)*100)</f>
        <v>9.7560975609756184</v>
      </c>
      <c r="AX179" s="453">
        <f t="shared" si="592"/>
        <v>13.185185185185189</v>
      </c>
      <c r="AY179" s="453">
        <f t="shared" si="592"/>
        <v>-8.1151832460732987</v>
      </c>
      <c r="AZ179" s="453">
        <f t="shared" si="592"/>
        <v>-1.851851851851849</v>
      </c>
      <c r="BA179" s="453"/>
      <c r="BB179" s="453">
        <f>IF(ISERROR((BB27/AZ27-1)*100),"--",(BB27/AZ27-1)*100)</f>
        <v>-0.14513788098693414</v>
      </c>
      <c r="BC179" s="453">
        <f t="shared" si="592"/>
        <v>15.406976744186052</v>
      </c>
      <c r="BD179" s="453">
        <f t="shared" si="592"/>
        <v>6.9269521410579404</v>
      </c>
      <c r="BE179" s="453">
        <f t="shared" si="592"/>
        <v>6.0070671378091856</v>
      </c>
      <c r="BF179" s="453"/>
      <c r="BG179" s="453">
        <f>IF(ISERROR((BG27/BE27-1)*100),"--",(BG27/BE27-1)*100)</f>
        <v>2.4444444444444491</v>
      </c>
      <c r="BH179" s="453">
        <f t="shared" si="592"/>
        <v>9.8698481561822149</v>
      </c>
      <c r="BI179" s="453">
        <f t="shared" si="592"/>
        <v>-0.29615004935834577</v>
      </c>
      <c r="BJ179" s="453">
        <f t="shared" si="592"/>
        <v>16.930693069306923</v>
      </c>
      <c r="BK179" s="453"/>
      <c r="BL179" s="453">
        <f>IF(ISERROR((BL27/BJ27-1)*100),"--",(BL27/BJ27-1)*100)</f>
        <v>-12.108382726502963</v>
      </c>
      <c r="BM179" s="453">
        <f t="shared" si="592"/>
        <v>24.277456647398843</v>
      </c>
      <c r="BN179" s="453">
        <f t="shared" si="592"/>
        <v>-7.1317829457364308</v>
      </c>
      <c r="BO179" s="453">
        <f t="shared" si="592"/>
        <v>13.439065108514182</v>
      </c>
      <c r="BP179" s="453"/>
      <c r="BQ179" s="453">
        <f>IF(ISERROR((BQ27/BO27-1)*100),"--",(BQ27/BO27-1)*100)</f>
        <v>-15.74687270051508</v>
      </c>
      <c r="BR179" s="453">
        <f t="shared" si="592"/>
        <v>29.1703056768559</v>
      </c>
      <c r="BS179" s="453">
        <f t="shared" si="592"/>
        <v>-16.159567275185939</v>
      </c>
      <c r="BT179" s="453">
        <f t="shared" si="592"/>
        <v>24.435483870967744</v>
      </c>
      <c r="BU179" s="453"/>
      <c r="BV179" s="453">
        <f>IF(ISERROR((BV27/BT27-1)*100),"--",(BV27/BT27-1)*100)</f>
        <v>-8.2955281918340891</v>
      </c>
      <c r="BW179" s="453">
        <f t="shared" si="592"/>
        <v>52.579505300353361</v>
      </c>
      <c r="BX179" s="453">
        <f t="shared" si="592"/>
        <v>-21.259842519685034</v>
      </c>
      <c r="BY179" s="453">
        <f t="shared" si="592"/>
        <v>34.588235294117652</v>
      </c>
      <c r="BZ179" s="453"/>
      <c r="CA179" s="453">
        <f>IF(ISERROR((CA27/BY27-1)*100),"--",(CA27/BY27-1)*100)</f>
        <v>-34.222027972027966</v>
      </c>
      <c r="CB179" s="453">
        <f t="shared" si="592"/>
        <v>37.342192691029894</v>
      </c>
      <c r="CC179" s="453">
        <f t="shared" si="592"/>
        <v>-6.7247218190614415</v>
      </c>
      <c r="CD179" s="453">
        <f t="shared" si="592"/>
        <v>24.948132780082986</v>
      </c>
      <c r="CE179" s="453"/>
      <c r="CF179" s="453">
        <f>IF(ISERROR((CF27/CD27-1)*100),"--",(CF27/CD27-1)*100)</f>
        <v>-30.925695309256952</v>
      </c>
      <c r="CG179" s="453">
        <f t="shared" ref="CG179:CN179" si="593">IF(ISERROR((CG27/CF27-1)*100),"--",(CG27/CF27-1)*100)</f>
        <v>28.966346153846146</v>
      </c>
      <c r="CH179" s="453">
        <f t="shared" si="593"/>
        <v>-3.5414725069897512</v>
      </c>
      <c r="CI179" s="449">
        <f t="shared" si="593"/>
        <v>33.816425120772941</v>
      </c>
      <c r="CJ179" s="449"/>
      <c r="CK179" s="449">
        <f>IF(ISERROR((CK27/CI27-1)*100),"--",(CK27/CI27-1)*100)</f>
        <v>-29.783393501805055</v>
      </c>
      <c r="CL179" s="449">
        <f t="shared" si="593"/>
        <v>38.251928020565565</v>
      </c>
      <c r="CM179" s="449">
        <f t="shared" si="593"/>
        <v>-12.160654518408332</v>
      </c>
      <c r="CN179" s="449">
        <f t="shared" si="593"/>
        <v>19.475021168501261</v>
      </c>
      <c r="CO179" s="449"/>
      <c r="CP179" s="449">
        <f>IF(ISERROR((CP27/CN27-1)*100),"--",(CP27/CN27-1)*100)</f>
        <v>-22.360028348688875</v>
      </c>
      <c r="CQ179" s="449">
        <f t="shared" ref="CQ179:CX179" si="594">IF(ISERROR((CQ27/CP27-1)*100),"--",(CQ27/CP27-1)*100)</f>
        <v>36.878137836604296</v>
      </c>
      <c r="CR179" s="449">
        <f t="shared" si="594"/>
        <v>-2.1007002334111347</v>
      </c>
      <c r="CS179" s="449">
        <f t="shared" si="594"/>
        <v>13.38555858310626</v>
      </c>
      <c r="CT179" s="449"/>
      <c r="CU179" s="449">
        <f>IF(ISERROR((CU27/CS27-1)*100),"--",(CU27/CS27-1)*100)</f>
        <v>-19.405226794833286</v>
      </c>
      <c r="CV179" s="449">
        <f t="shared" si="594"/>
        <v>26.425642937010817</v>
      </c>
      <c r="CW179" s="449">
        <f t="shared" si="594"/>
        <v>-6.987028301886788</v>
      </c>
      <c r="CX179" s="449">
        <f t="shared" si="594"/>
        <v>22.916006339144211</v>
      </c>
      <c r="CY179" s="449"/>
      <c r="CZ179" s="449"/>
      <c r="DA179" s="449"/>
      <c r="DB179" s="449"/>
      <c r="DC179" s="450"/>
      <c r="DD179" s="449"/>
      <c r="DE179" s="449"/>
      <c r="DF179" s="449"/>
      <c r="DG179" s="449"/>
      <c r="DH179" s="450"/>
      <c r="DI179" s="449"/>
      <c r="DJ179" s="450"/>
      <c r="DK179" s="450"/>
      <c r="DL179" s="450"/>
      <c r="DM179" s="450"/>
      <c r="DN179" s="449"/>
      <c r="DO179" s="449"/>
      <c r="DP179" s="450"/>
      <c r="DQ179" s="450"/>
      <c r="DR179" s="450"/>
      <c r="DS179" s="450"/>
      <c r="DT179" s="450"/>
      <c r="DU179" s="450"/>
      <c r="DV179" s="450"/>
      <c r="DW179" s="450"/>
      <c r="DX179" s="450"/>
      <c r="DY179" s="450"/>
      <c r="DZ179" s="450"/>
      <c r="EA179" s="449"/>
      <c r="EB179" s="450"/>
      <c r="EC179" s="449"/>
      <c r="ED179" s="450"/>
      <c r="EE179" s="450"/>
      <c r="EF179" s="450"/>
      <c r="EG179" s="450"/>
      <c r="EH179" s="449"/>
      <c r="EI179" s="2761"/>
      <c r="EJ179" s="2761"/>
      <c r="EK179" s="2761"/>
      <c r="EL179" s="2761"/>
      <c r="EM179" s="2762"/>
      <c r="EN179" s="2761"/>
      <c r="EO179" s="2761"/>
      <c r="EP179" s="2762"/>
      <c r="EQ179" s="2762"/>
      <c r="ER179" s="2762"/>
      <c r="ES179" s="449"/>
      <c r="ET179" s="2761"/>
      <c r="EU179" s="449"/>
      <c r="EV179" s="449"/>
      <c r="EW179" s="449"/>
      <c r="EX179" s="449"/>
      <c r="EY179" s="449"/>
      <c r="EZ179" s="449"/>
      <c r="FA179" s="449"/>
      <c r="FB179" s="449"/>
      <c r="FC179" s="449"/>
      <c r="FD179" s="449"/>
      <c r="FE179" s="449"/>
      <c r="FF179" s="449"/>
      <c r="FG179" s="449"/>
      <c r="FH179" s="449"/>
      <c r="FI179" s="449"/>
      <c r="FJ179" s="449"/>
      <c r="FK179" s="449"/>
      <c r="FL179" s="449"/>
      <c r="FM179" s="453"/>
      <c r="FN179" s="453" t="s">
        <v>699</v>
      </c>
      <c r="FO179" s="453" t="s">
        <v>699</v>
      </c>
      <c r="FP179" s="453" t="s">
        <v>699</v>
      </c>
      <c r="FQ179" s="453" t="s">
        <v>699</v>
      </c>
      <c r="FR179" s="453" t="s">
        <v>699</v>
      </c>
      <c r="FS179" s="453" t="s">
        <v>699</v>
      </c>
      <c r="FT179" s="453" t="s">
        <v>699</v>
      </c>
      <c r="FU179" s="453" t="s">
        <v>699</v>
      </c>
      <c r="FV179" s="453" t="s">
        <v>699</v>
      </c>
      <c r="FW179" s="453" t="s">
        <v>699</v>
      </c>
      <c r="FX179" s="454" t="s">
        <v>699</v>
      </c>
      <c r="FY179" s="454" t="s">
        <v>699</v>
      </c>
      <c r="FZ179" s="454"/>
      <c r="GA179" s="454"/>
      <c r="GB179" s="454"/>
      <c r="GC179" s="1112"/>
      <c r="GD179" s="1112"/>
      <c r="GE179" s="1112"/>
      <c r="GF179" s="1112"/>
      <c r="GG179" s="1112"/>
      <c r="GH179" s="1112"/>
      <c r="GI179" s="1112"/>
      <c r="GJ179" s="2669"/>
      <c r="GK179" s="2669"/>
      <c r="GL179" s="2669"/>
      <c r="GN179"/>
      <c r="GO179"/>
      <c r="GP179"/>
      <c r="GQ179"/>
      <c r="GR179"/>
      <c r="GS179"/>
    </row>
    <row r="180" spans="1:201" s="264" customFormat="1" ht="11.25" hidden="1" customHeight="1" outlineLevel="1">
      <c r="A180" s="407" t="s">
        <v>695</v>
      </c>
      <c r="B180" s="253"/>
      <c r="C180" s="455"/>
      <c r="D180" s="453"/>
      <c r="E180" s="453" t="str">
        <f>IF(ISERROR((E30/A30-1)*100),"--",(E30/A30-1)*100)</f>
        <v>--</v>
      </c>
      <c r="F180" s="453" t="str">
        <f>IF(ISERROR((F30/B30-1)*100),"--",(F30/B30-1)*100)</f>
        <v>--</v>
      </c>
      <c r="G180" s="453" t="str">
        <f>IF(ISERROR((G30/C30-1)*100),"--",(G30/C30-1)*100)</f>
        <v>--</v>
      </c>
      <c r="H180" s="453"/>
      <c r="I180" s="453">
        <f>IF(ISERROR((I30/D30-1)*100),"--",(I30/D30-1)*100)</f>
        <v>39.15</v>
      </c>
      <c r="J180" s="453">
        <f>IF(ISERROR((J30/E30-1)*100),"--",(J30/E30-1)*100)</f>
        <v>43.028571428571439</v>
      </c>
      <c r="K180" s="453">
        <f>IF(ISERROR((K30/F30-1)*100),"--",(K30/F30-1)*100)</f>
        <v>49.409831166890797</v>
      </c>
      <c r="L180" s="453">
        <f>IF(ISERROR((L30/G30-1)*100),"--",(L30/G30-1)*100)</f>
        <v>44.394854292465212</v>
      </c>
      <c r="M180" s="453"/>
      <c r="N180" s="453">
        <f>IF(ISERROR((N30/I30-1)*100),"--",(N30/I30-1)*100)</f>
        <v>55.70727033177625</v>
      </c>
      <c r="O180" s="453">
        <f>IF(ISERROR((O30/J30-1)*100),"--",(O30/J30-1)*100)</f>
        <v>39.832201358369957</v>
      </c>
      <c r="P180" s="453">
        <f>IF(ISERROR((P30/K30-1)*100),"--",(P30/K30-1)*100)</f>
        <v>70</v>
      </c>
      <c r="Q180" s="453">
        <f>IF(ISERROR((Q30/L30-1)*100),"--",(Q30/L30-1)*100)</f>
        <v>63.636363636363647</v>
      </c>
      <c r="R180" s="453"/>
      <c r="S180" s="453">
        <f>IF(ISERROR((S30/N30-1)*100),"--",(S30/N30-1)*100)</f>
        <v>61.53846153846154</v>
      </c>
      <c r="T180" s="453">
        <f>IF(ISERROR((T30/O30-1)*100),"--",(T30/O30-1)*100)</f>
        <v>58.571428571428562</v>
      </c>
      <c r="U180" s="453">
        <f>IF(ISERROR((U30/P30-1)*100),"--",(U30/P30-1)*100)</f>
        <v>27.647058823529402</v>
      </c>
      <c r="V180" s="453">
        <f>IF(ISERROR((V30/Q30-1)*100),"--",(V30/Q30-1)*100)</f>
        <v>37.222222222222221</v>
      </c>
      <c r="W180" s="453"/>
      <c r="X180" s="453">
        <f>IF(ISERROR((X30/S30-1)*100),"--",(X30/S30-1)*100)</f>
        <v>19.047619047619047</v>
      </c>
      <c r="Y180" s="453">
        <f>IF(ISERROR((Y30/T30-1)*100),"--",(Y30/T30-1)*100)</f>
        <v>30.630630630630627</v>
      </c>
      <c r="Z180" s="453">
        <f>IF(ISERROR((Z30/U30-1)*100),"--",(Z30/U30-1)*100)</f>
        <v>38.248847926267281</v>
      </c>
      <c r="AA180" s="453">
        <f>IF(ISERROR((AA30/V30-1)*100),"--",(AA30/V30-1)*100)</f>
        <v>41.700404858299599</v>
      </c>
      <c r="AB180" s="453"/>
      <c r="AC180" s="453">
        <f>IF(ISERROR((AC30/X30-1)*100),"--",(AC30/X30-1)*100)</f>
        <v>39.999999999999993</v>
      </c>
      <c r="AD180" s="453">
        <f>IF(ISERROR((AD30/Y30-1)*100),"--",(AD30/Y30-1)*100)</f>
        <v>44.827586206896555</v>
      </c>
      <c r="AE180" s="453">
        <f>IF(ISERROR((AE30/Z30-1)*100),"--",(AE30/Z30-1)*100)</f>
        <v>36.666666666666671</v>
      </c>
      <c r="AF180" s="453">
        <f>IF(ISERROR((AF30/AA30-1)*100),"--",(AF30/AA30-1)*100)</f>
        <v>37.142857142857146</v>
      </c>
      <c r="AG180" s="453"/>
      <c r="AH180" s="453">
        <f>IF(ISERROR((AH30/AC30-1)*100),"--",(AH30/AC30-1)*100)</f>
        <v>45.714285714285708</v>
      </c>
      <c r="AI180" s="453">
        <f>IF(ISERROR((AI30/AD30-1)*100),"--",(AI30/AD30-1)*100)</f>
        <v>47.619047619047628</v>
      </c>
      <c r="AJ180" s="453">
        <f>IF(ISERROR((AJ30/AE30-1)*100),"--",(AJ30/AE30-1)*100)</f>
        <v>65.853658536585357</v>
      </c>
      <c r="AK180" s="453">
        <f>IF(ISERROR((AK30/AF30-1)*100),"--",(AK30/AF30-1)*100)</f>
        <v>79.166666666666671</v>
      </c>
      <c r="AL180" s="453"/>
      <c r="AM180" s="453">
        <f>IF(ISERROR((AM30/AH30-1)*100),"--",(AM30/AH30-1)*100)</f>
        <v>23.529411764705888</v>
      </c>
      <c r="AN180" s="453">
        <f>IF(ISERROR((AN30/AI30-1)*100),"--",(AN30/AI30-1)*100)</f>
        <v>22.580645161290324</v>
      </c>
      <c r="AO180" s="453">
        <f>IF(ISERROR((AO30/AJ30-1)*100),"--",(AO30/AJ30-1)*100)</f>
        <v>27.941176470588225</v>
      </c>
      <c r="AP180" s="453">
        <f>IF(ISERROR((AP30/AK30-1)*100),"--",(AP30/AK30-1)*100)</f>
        <v>4.6511627906976827</v>
      </c>
      <c r="AQ180" s="453"/>
      <c r="AR180" s="453">
        <f>IF(ISERROR((AR30/AM30-1)*100),"--",(AR30/AM30-1)*100)</f>
        <v>36.507936507936513</v>
      </c>
      <c r="AS180" s="453">
        <f>IF(ISERROR((AS30/AN30-1)*100),"--",(AS30/AN30-1)*100)</f>
        <v>6.578947368421062</v>
      </c>
      <c r="AT180" s="453">
        <f>IF(ISERROR((AT30/AO30-1)*100),"--",(AT30/AO30-1)*100)</f>
        <v>16.09195402298851</v>
      </c>
      <c r="AU180" s="453">
        <f>IF(ISERROR((AU30/AP30-1)*100),"--",(AU30/AP30-1)*100)</f>
        <v>4.4444444444444509</v>
      </c>
      <c r="AV180" s="453"/>
      <c r="AW180" s="453">
        <f>IF(ISERROR((AW30/AR30-1)*100),"--",(AW30/AR30-1)*100)</f>
        <v>10.465116279069765</v>
      </c>
      <c r="AX180" s="453">
        <f>IF(ISERROR((AX30/AS30-1)*100),"--",(AX30/AS30-1)*100)</f>
        <v>30.864197530864203</v>
      </c>
      <c r="AY180" s="453">
        <f>IF(ISERROR((AY30/AT30-1)*100),"--",(AY30/AT30-1)*100)</f>
        <v>2.9702970297029729</v>
      </c>
      <c r="AZ180" s="453">
        <f>IF(ISERROR((AZ30/AU30-1)*100),"--",(AZ30/AU30-1)*100)</f>
        <v>36.170212765957444</v>
      </c>
      <c r="BA180" s="453"/>
      <c r="BB180" s="453">
        <f>IF(ISERROR((BB30/AW30-1)*100),"--",(BB30/AW30-1)*100)</f>
        <v>4.2105263157894646</v>
      </c>
      <c r="BC180" s="453">
        <f>IF(ISERROR((BC30/AX30-1)*100),"--",(BC30/AX30-1)*100)</f>
        <v>40.566037735849058</v>
      </c>
      <c r="BD180" s="453">
        <f>IF(ISERROR((BD30/AY30-1)*100),"--",(BD30/AY30-1)*100)</f>
        <v>38.46153846153846</v>
      </c>
      <c r="BE180" s="453">
        <f>IF(ISERROR((BE30/AZ30-1)*100),"--",(BE30/AZ30-1)*100)</f>
        <v>132.03125</v>
      </c>
      <c r="BF180" s="453"/>
      <c r="BG180" s="453">
        <f>IF(ISERROR((BG30/BB30-1)*100),"--",(BG30/BB30-1)*100)</f>
        <v>-3.0303030303030276</v>
      </c>
      <c r="BH180" s="453">
        <f>IF(ISERROR((BH30/BC30-1)*100),"--",(BH30/BC30-1)*100)</f>
        <v>14.093959731543615</v>
      </c>
      <c r="BI180" s="453">
        <f>IF(ISERROR((BI30/BD30-1)*100),"--",(BI30/BD30-1)*100)</f>
        <v>-11.805555555555557</v>
      </c>
      <c r="BJ180" s="453">
        <f>IF(ISERROR((BJ30/BE30-1)*100),"--",(BJ30/BE30-1)*100)</f>
        <v>-51.851851851851862</v>
      </c>
      <c r="BK180" s="453"/>
      <c r="BL180" s="453">
        <f>IF(ISERROR((BL30/BG30-1)*100),"--",(BL30/BG30-1)*100)</f>
        <v>13.541666666666675</v>
      </c>
      <c r="BM180" s="453">
        <f>IF(ISERROR((BM30/BH30-1)*100),"--",(BM30/BH30-1)*100)</f>
        <v>-15.882352941176469</v>
      </c>
      <c r="BN180" s="453">
        <f>IF(ISERROR((BN30/BI30-1)*100),"--",(BN30/BI30-1)*100)</f>
        <v>37.795275590551178</v>
      </c>
      <c r="BO180" s="453">
        <f>IF(ISERROR((BO30/BJ30-1)*100),"--",(BO30/BJ30-1)*100)</f>
        <v>2.0979020979021046</v>
      </c>
      <c r="BP180" s="453"/>
      <c r="BQ180" s="453">
        <f>IF(ISERROR((BQ30/BL30-1)*100),"--",(BQ30/BL30-1)*100)</f>
        <v>71.559633027522935</v>
      </c>
      <c r="BR180" s="453">
        <f>IF(ISERROR((BR30/BM30-1)*100),"--",(BR30/BM30-1)*100)</f>
        <v>20.97902097902098</v>
      </c>
      <c r="BS180" s="453">
        <f>IF(ISERROR((BS30/BN30-1)*100),"--",(BS30/BN30-1)*100)</f>
        <v>40.571428571428569</v>
      </c>
      <c r="BT180" s="453">
        <f>IF(ISERROR((BT30/BO30-1)*100),"--",(BT30/BO30-1)*100)</f>
        <v>94.520547945205479</v>
      </c>
      <c r="BU180" s="453"/>
      <c r="BV180" s="453">
        <f>IF(ISERROR((BV30/BQ30-1)*100),"--",(BV30/BQ30-1)*100)</f>
        <v>34.759358288770059</v>
      </c>
      <c r="BW180" s="453">
        <f>IF(ISERROR((BW30/BR30-1)*100),"--",(BW30/BR30-1)*100)</f>
        <v>65.895953757225428</v>
      </c>
      <c r="BX180" s="453">
        <f>IF(ISERROR((BX30/BS30-1)*100),"--",(BX30/BS30-1)*100)</f>
        <v>72.76422764227641</v>
      </c>
      <c r="BY180" s="453">
        <f>IF(ISERROR((BY30/BT30-1)*100),"--",(BY30/BT30-1)*100)</f>
        <v>60.563380281690151</v>
      </c>
      <c r="BZ180" s="453"/>
      <c r="CA180" s="453">
        <f>IF(ISERROR((CA30/BV30-1)*100),"--",(CA30/BV30-1)*100)</f>
        <v>86.904761904761912</v>
      </c>
      <c r="CB180" s="453">
        <f>IF(ISERROR((CB30/BW30-1)*100),"--",(CB30/BW30-1)*100)</f>
        <v>114.63414634146343</v>
      </c>
      <c r="CC180" s="453">
        <f>IF(ISERROR((CC30/BX30-1)*100),"--",(CC30/BX30-1)*100)</f>
        <v>16.470588235294127</v>
      </c>
      <c r="CD180" s="453">
        <f>IF(ISERROR((CD30/BY30-1)*100),"--",(CD30/BY30-1)*100)</f>
        <v>33.771929824561411</v>
      </c>
      <c r="CE180" s="453"/>
      <c r="CF180" s="453">
        <f>IF(ISERROR((CF30/CA30-1)*100),"--",(CF30/CA30-1)*100)</f>
        <v>18.895966029723986</v>
      </c>
      <c r="CG180" s="453">
        <f>IF(ISERROR((CG30/CB30-1)*100),"--",(CG30/CB30-1)*100)</f>
        <v>-8.4415584415584384</v>
      </c>
      <c r="CH180" s="453">
        <f>IF(ISERROR((CH30/CC30-1)*100),"--",(CH30/CC30-1)*100)</f>
        <v>22.82828282828282</v>
      </c>
      <c r="CI180" s="449">
        <f>IF(ISERROR((CI30/CD30-1)*100),"--",(CI30/CD30-1)*100)</f>
        <v>-10.655737704918034</v>
      </c>
      <c r="CJ180" s="449"/>
      <c r="CK180" s="449">
        <f>IF(ISERROR((CK30/CF30-1)*100),"--",(CK30/CF30-1)*100)</f>
        <v>10.892857142857149</v>
      </c>
      <c r="CL180" s="449">
        <f>IF(ISERROR((CL30/CG30-1)*100),"--",(CL30/CG30-1)*100)</f>
        <v>17.198581560283689</v>
      </c>
      <c r="CM180" s="449">
        <f>IF(ISERROR((CM30/CH30-1)*100),"--",(CM30/CH30-1)*100)</f>
        <v>0</v>
      </c>
      <c r="CN180" s="449">
        <f>IF(ISERROR((CN30/CI30-1)*100),"--",(CN30/CI30-1)*100)</f>
        <v>39.266055045871553</v>
      </c>
      <c r="CO180" s="449"/>
      <c r="CP180" s="449">
        <f>IF(ISERROR((CP30/CK30-1)*100),"--",(CP30/CK30-1)*100)</f>
        <v>6.9243156199678024</v>
      </c>
      <c r="CQ180" s="449">
        <f>IF(ISERROR((CQ30/CL30-1)*100),"--",(CQ30/CL30-1)*100)</f>
        <v>23.14674735249622</v>
      </c>
      <c r="CR180" s="449">
        <f>IF(ISERROR((CR30/CM30-1)*100),"--",(CR30/CM30-1)*100)</f>
        <v>36.348684210526308</v>
      </c>
      <c r="CS180" s="449">
        <f>IF(ISERROR((CS30/CN30-1)*100),"--",(CS30/CN30-1)*100)</f>
        <v>14.361001317523048</v>
      </c>
      <c r="CT180" s="449"/>
      <c r="CU180" s="449">
        <f>IF(ISERROR((CU30/CP30-1)*100),"--",(CU30/CP30-1)*100)</f>
        <v>8.1325301204819169</v>
      </c>
      <c r="CV180" s="449">
        <f>IF(ISERROR((CV30/CQ30-1)*100),"--",(CV30/CQ30-1)*100)</f>
        <v>30.95823095823096</v>
      </c>
      <c r="CW180" s="449">
        <f>IF(ISERROR((CW30/CR30-1)*100),"--",(CW30/CR30-1)*100)</f>
        <v>11.459589867310015</v>
      </c>
      <c r="CX180" s="449">
        <f>IF(ISERROR((CX30/CS30-1)*100),"--",(CX30/CS30-1)*100)</f>
        <v>15.437788018433185</v>
      </c>
      <c r="CY180" s="449"/>
      <c r="CZ180" s="449"/>
      <c r="DA180" s="449"/>
      <c r="DB180" s="449"/>
      <c r="DC180" s="450"/>
      <c r="DD180" s="449"/>
      <c r="DE180" s="449"/>
      <c r="DF180" s="449"/>
      <c r="DG180" s="449"/>
      <c r="DH180" s="450"/>
      <c r="DI180" s="449"/>
      <c r="DJ180" s="450"/>
      <c r="DK180" s="450"/>
      <c r="DL180" s="450"/>
      <c r="DM180" s="450"/>
      <c r="DN180" s="449"/>
      <c r="DO180" s="449"/>
      <c r="DP180" s="450"/>
      <c r="DQ180" s="450"/>
      <c r="DR180" s="450"/>
      <c r="DS180" s="450"/>
      <c r="DT180" s="450"/>
      <c r="DU180" s="450"/>
      <c r="DV180" s="450"/>
      <c r="DW180" s="450"/>
      <c r="DX180" s="450"/>
      <c r="DY180" s="450"/>
      <c r="DZ180" s="450"/>
      <c r="EA180" s="449"/>
      <c r="EB180" s="450"/>
      <c r="EC180" s="449"/>
      <c r="ED180" s="450"/>
      <c r="EE180" s="450"/>
      <c r="EF180" s="450"/>
      <c r="EG180" s="450"/>
      <c r="EH180" s="449"/>
      <c r="EI180" s="2761"/>
      <c r="EJ180" s="2761"/>
      <c r="EK180" s="2761"/>
      <c r="EL180" s="2761"/>
      <c r="EM180" s="2762"/>
      <c r="EN180" s="2761"/>
      <c r="EO180" s="2761"/>
      <c r="EP180" s="2762"/>
      <c r="EQ180" s="2762"/>
      <c r="ER180" s="2762"/>
      <c r="ES180" s="449"/>
      <c r="ET180" s="2761"/>
      <c r="EU180" s="449"/>
      <c r="EV180" s="449"/>
      <c r="EW180" s="449"/>
      <c r="EX180" s="449"/>
      <c r="EY180" s="449"/>
      <c r="EZ180" s="449"/>
      <c r="FA180" s="449"/>
      <c r="FB180" s="449"/>
      <c r="FC180" s="449"/>
      <c r="FD180" s="449"/>
      <c r="FE180" s="449"/>
      <c r="FF180" s="449"/>
      <c r="FG180" s="449"/>
      <c r="FH180" s="449"/>
      <c r="FI180" s="449"/>
      <c r="FJ180" s="449"/>
      <c r="FK180" s="449"/>
      <c r="FL180" s="449"/>
      <c r="FM180" s="453"/>
      <c r="FN180" s="453" t="str">
        <f>IF(ISERROR((FN30/#REF!-1)*100),"--",(FN30/#REF!-1)*100)</f>
        <v>--</v>
      </c>
      <c r="FO180" s="453">
        <f>IF(ISERROR((FO30/FN30-1)*100),"--",(FO30/FN30-1)*100)</f>
        <v>-26.166902404526169</v>
      </c>
      <c r="FP180" s="453">
        <f>IF(ISERROR((FP30/FO30-1)*100),"--",(FP30/FO30-1)*100)</f>
        <v>30.459770114942518</v>
      </c>
      <c r="FQ180" s="453">
        <f>IF(ISERROR((FQ30/FP30-1)*100),"--",(FQ30/FP30-1)*100)</f>
        <v>56.975036710719529</v>
      </c>
      <c r="FR180" s="453">
        <f t="shared" ref="FR180:FY180" si="595">IF(ISERROR((FR30/FQ30-1)*100),"--",(FR30/FQ30-1)*100)</f>
        <v>84.097287184284369</v>
      </c>
      <c r="FS180" s="453">
        <f t="shared" si="595"/>
        <v>13.262195121951216</v>
      </c>
      <c r="FT180" s="453">
        <f t="shared" si="595"/>
        <v>9.2418124719605199</v>
      </c>
      <c r="FU180" s="453">
        <f t="shared" si="595"/>
        <v>16.837782340862418</v>
      </c>
      <c r="FV180" s="453">
        <f>IF(ISERROR((FV30/FU30-1)*100),"--",(FV30/FU30-1)*100)</f>
        <v>22.355008787346222</v>
      </c>
      <c r="FW180" s="453">
        <f t="shared" si="595"/>
        <v>4.6825624820453937</v>
      </c>
      <c r="FX180" s="454">
        <f t="shared" si="595"/>
        <v>1.8935236004390843</v>
      </c>
      <c r="FY180" s="454">
        <f t="shared" si="595"/>
        <v>8.3221115001346657</v>
      </c>
      <c r="FZ180" s="454"/>
      <c r="GA180" s="454"/>
      <c r="GB180" s="454"/>
      <c r="GC180" s="1112"/>
      <c r="GD180" s="1112"/>
      <c r="GE180" s="1112"/>
      <c r="GF180" s="1112"/>
      <c r="GG180" s="1112"/>
      <c r="GH180" s="1112"/>
      <c r="GI180" s="1112"/>
      <c r="GJ180" s="2669"/>
      <c r="GK180" s="2669"/>
      <c r="GL180" s="2669"/>
      <c r="GN180"/>
      <c r="GO180"/>
      <c r="GP180"/>
      <c r="GQ180"/>
      <c r="GR180"/>
      <c r="GS180"/>
    </row>
    <row r="181" spans="1:201" s="264" customFormat="1" ht="11.25" hidden="1" customHeight="1" outlineLevel="1">
      <c r="A181" s="407" t="s">
        <v>659</v>
      </c>
      <c r="B181" s="253"/>
      <c r="C181" s="455"/>
      <c r="D181" s="453" t="str">
        <f t="shared" ref="D181:AP181" si="596">IF(ISERROR((D30/C30-1)*100),"--",(D30/C30-1)*100)</f>
        <v>--</v>
      </c>
      <c r="E181" s="453">
        <f t="shared" si="596"/>
        <v>16.666666666666675</v>
      </c>
      <c r="F181" s="453">
        <f t="shared" si="596"/>
        <v>-4.3857142857142932</v>
      </c>
      <c r="G181" s="453">
        <f t="shared" si="596"/>
        <v>13.820409382937404</v>
      </c>
      <c r="H181" s="453"/>
      <c r="I181" s="453">
        <f>IF(ISERROR((I30/G30-1)*100),"--",(I30/G30-1)*100)</f>
        <v>9.5956944079810924</v>
      </c>
      <c r="J181" s="453">
        <f t="shared" si="596"/>
        <v>19.918553120134153</v>
      </c>
      <c r="K181" s="453">
        <f t="shared" si="596"/>
        <v>-0.1198561725928915</v>
      </c>
      <c r="L181" s="453">
        <f t="shared" si="596"/>
        <v>10.000000000000009</v>
      </c>
      <c r="M181" s="453"/>
      <c r="N181" s="453">
        <f>IF(ISERROR((N30/L30-1)*100),"--",(N30/L30-1)*100)</f>
        <v>18.181818181818187</v>
      </c>
      <c r="O181" s="453">
        <f t="shared" si="596"/>
        <v>7.6923076923076872</v>
      </c>
      <c r="P181" s="453">
        <f t="shared" si="596"/>
        <v>21.42857142857142</v>
      </c>
      <c r="Q181" s="453">
        <f t="shared" si="596"/>
        <v>5.8823529411764719</v>
      </c>
      <c r="R181" s="453"/>
      <c r="S181" s="453">
        <f>IF(ISERROR((S30/Q30-1)*100),"--",(S30/Q30-1)*100)</f>
        <v>16.666666666666675</v>
      </c>
      <c r="T181" s="453">
        <f t="shared" si="596"/>
        <v>5.7142857142857162</v>
      </c>
      <c r="U181" s="453">
        <f t="shared" si="596"/>
        <v>-2.2522522522522515</v>
      </c>
      <c r="V181" s="453">
        <f t="shared" si="596"/>
        <v>13.824884792626735</v>
      </c>
      <c r="W181" s="453"/>
      <c r="X181" s="453">
        <f>IF(ISERROR((X30/V30-1)*100),"--",(X30/V30-1)*100)</f>
        <v>1.2145748987854255</v>
      </c>
      <c r="Y181" s="453">
        <f t="shared" si="596"/>
        <v>15.999999999999993</v>
      </c>
      <c r="Z181" s="453">
        <f t="shared" si="596"/>
        <v>3.4482758620689724</v>
      </c>
      <c r="AA181" s="453">
        <f t="shared" si="596"/>
        <v>16.666666666666675</v>
      </c>
      <c r="AB181" s="453"/>
      <c r="AC181" s="453">
        <f>IF(ISERROR((AC30/AA30-1)*100),"--",(AC30/AA30-1)*100)</f>
        <v>0</v>
      </c>
      <c r="AD181" s="453">
        <f t="shared" si="596"/>
        <v>19.999999999999996</v>
      </c>
      <c r="AE181" s="453">
        <f t="shared" si="596"/>
        <v>-2.3809523809523836</v>
      </c>
      <c r="AF181" s="453">
        <f t="shared" si="596"/>
        <v>17.073170731707311</v>
      </c>
      <c r="AG181" s="453"/>
      <c r="AH181" s="453">
        <f>IF(ISERROR((AH30/AF30-1)*100),"--",(AH30/AF30-1)*100)</f>
        <v>6.25</v>
      </c>
      <c r="AI181" s="453">
        <f t="shared" si="596"/>
        <v>21.568627450980383</v>
      </c>
      <c r="AJ181" s="453">
        <f t="shared" si="596"/>
        <v>9.6774193548387011</v>
      </c>
      <c r="AK181" s="453">
        <f t="shared" si="596"/>
        <v>26.470588235294112</v>
      </c>
      <c r="AL181" s="453"/>
      <c r="AM181" s="453">
        <f>IF(ISERROR((AM30/AK30-1)*100),"--",(AM30/AK30-1)*100)</f>
        <v>-26.744186046511629</v>
      </c>
      <c r="AN181" s="453">
        <f t="shared" si="596"/>
        <v>20.634920634920629</v>
      </c>
      <c r="AO181" s="453">
        <f t="shared" si="596"/>
        <v>14.473684210526304</v>
      </c>
      <c r="AP181" s="453">
        <f t="shared" si="596"/>
        <v>3.4482758620689724</v>
      </c>
      <c r="AQ181" s="453"/>
      <c r="AR181" s="453">
        <f>IF(ISERROR((AR30/AP30-1)*100),"--",(AR30/AP30-1)*100)</f>
        <v>-4.4444444444444393</v>
      </c>
      <c r="AS181" s="453">
        <f t="shared" ref="AS181:CD181" si="597">IF(ISERROR((AS30/AR30-1)*100),"--",(AS30/AR30-1)*100)</f>
        <v>-5.8139534883720927</v>
      </c>
      <c r="AT181" s="453">
        <f t="shared" si="597"/>
        <v>24.691358024691358</v>
      </c>
      <c r="AU181" s="453">
        <f t="shared" si="597"/>
        <v>-6.9306930693069262</v>
      </c>
      <c r="AV181" s="453"/>
      <c r="AW181" s="453">
        <f>IF(ISERROR((AW30/AU30-1)*100),"--",(AW30/AU30-1)*100)</f>
        <v>1.0638297872340496</v>
      </c>
      <c r="AX181" s="453">
        <f t="shared" si="597"/>
        <v>11.578947368421044</v>
      </c>
      <c r="AY181" s="453">
        <f t="shared" si="597"/>
        <v>-1.8867924528301883</v>
      </c>
      <c r="AZ181" s="453">
        <f t="shared" si="597"/>
        <v>23.076923076923084</v>
      </c>
      <c r="BA181" s="453"/>
      <c r="BB181" s="453">
        <f>IF(ISERROR((BB30/AZ30-1)*100),"--",(BB30/AZ30-1)*100)</f>
        <v>-22.65625</v>
      </c>
      <c r="BC181" s="453">
        <f t="shared" si="597"/>
        <v>50.505050505050498</v>
      </c>
      <c r="BD181" s="453">
        <f t="shared" si="597"/>
        <v>-3.3557046979865723</v>
      </c>
      <c r="BE181" s="453">
        <f t="shared" si="597"/>
        <v>106.25</v>
      </c>
      <c r="BF181" s="453"/>
      <c r="BG181" s="453">
        <f>IF(ISERROR((BG30/BE30-1)*100),"--",(BG30/BE30-1)*100)</f>
        <v>-67.676767676767668</v>
      </c>
      <c r="BH181" s="453">
        <f t="shared" si="597"/>
        <v>77.083333333333329</v>
      </c>
      <c r="BI181" s="453">
        <f t="shared" si="597"/>
        <v>-25.294117647058822</v>
      </c>
      <c r="BJ181" s="453">
        <f t="shared" si="597"/>
        <v>12.598425196850393</v>
      </c>
      <c r="BK181" s="453"/>
      <c r="BL181" s="453">
        <f>IF(ISERROR((BL30/BJ30-1)*100),"--",(BL30/BJ30-1)*100)</f>
        <v>-23.77622377622378</v>
      </c>
      <c r="BM181" s="453">
        <f t="shared" si="597"/>
        <v>31.192660550458704</v>
      </c>
      <c r="BN181" s="453">
        <f t="shared" si="597"/>
        <v>22.377622377622373</v>
      </c>
      <c r="BO181" s="453">
        <f t="shared" si="597"/>
        <v>-16.571428571428569</v>
      </c>
      <c r="BP181" s="453"/>
      <c r="BQ181" s="453">
        <f>IF(ISERROR((BQ30/BO30-1)*100),"--",(BQ30/BO30-1)*100)</f>
        <v>28.082191780821919</v>
      </c>
      <c r="BR181" s="453">
        <f t="shared" si="597"/>
        <v>-7.4866310160427769</v>
      </c>
      <c r="BS181" s="453">
        <f t="shared" si="597"/>
        <v>42.196531791907518</v>
      </c>
      <c r="BT181" s="453">
        <f t="shared" si="597"/>
        <v>15.447154471544721</v>
      </c>
      <c r="BU181" s="453"/>
      <c r="BV181" s="453">
        <f>IF(ISERROR((BV30/BT30-1)*100),"--",(BV30/BT30-1)*100)</f>
        <v>-11.267605633802813</v>
      </c>
      <c r="BW181" s="453">
        <f t="shared" si="597"/>
        <v>13.888888888888884</v>
      </c>
      <c r="BX181" s="453">
        <f t="shared" si="597"/>
        <v>48.083623693379792</v>
      </c>
      <c r="BY181" s="453">
        <f t="shared" si="597"/>
        <v>7.2941176470588287</v>
      </c>
      <c r="BZ181" s="453"/>
      <c r="CA181" s="453">
        <f>IF(ISERROR((CA30/BY30-1)*100),"--",(CA30/BY30-1)*100)</f>
        <v>3.289473684210531</v>
      </c>
      <c r="CB181" s="453">
        <f t="shared" si="597"/>
        <v>30.785562632696383</v>
      </c>
      <c r="CC181" s="453">
        <f t="shared" si="597"/>
        <v>-19.642857142857139</v>
      </c>
      <c r="CD181" s="453">
        <f t="shared" si="597"/>
        <v>23.232323232323225</v>
      </c>
      <c r="CE181" s="453"/>
      <c r="CF181" s="453">
        <f>IF(ISERROR((CF30/CD30-1)*100),"--",(CF30/CD30-1)*100)</f>
        <v>-8.1967213114754074</v>
      </c>
      <c r="CG181" s="453">
        <f t="shared" ref="CG181:CN181" si="598">IF(ISERROR((CG30/CF30-1)*100),"--",(CG30/CF30-1)*100)</f>
        <v>0.71428571428571175</v>
      </c>
      <c r="CH181" s="453">
        <f t="shared" si="598"/>
        <v>7.8014184397163122</v>
      </c>
      <c r="CI181" s="449">
        <f t="shared" si="598"/>
        <v>-10.361842105263152</v>
      </c>
      <c r="CJ181" s="449"/>
      <c r="CK181" s="449">
        <f>IF(ISERROR((CK30/CI30-1)*100),"--",(CK30/CI30-1)*100)</f>
        <v>13.944954128440369</v>
      </c>
      <c r="CL181" s="449">
        <f t="shared" si="598"/>
        <v>6.4412238325281868</v>
      </c>
      <c r="CM181" s="449">
        <f t="shared" si="598"/>
        <v>-8.0181543116490168</v>
      </c>
      <c r="CN181" s="449">
        <f t="shared" si="598"/>
        <v>24.835526315789469</v>
      </c>
      <c r="CO181" s="449"/>
      <c r="CP181" s="449">
        <f>IF(ISERROR((CP30/CN30-1)*100),"--",(CP30/CN30-1)*100)</f>
        <v>-12.516469038208166</v>
      </c>
      <c r="CQ181" s="449">
        <f t="shared" ref="CQ181:CX181" si="599">IF(ISERROR((CQ30/CP30-1)*100),"--",(CQ30/CP30-1)*100)</f>
        <v>22.590361445783124</v>
      </c>
      <c r="CR181" s="449">
        <f t="shared" si="599"/>
        <v>1.8427518427518441</v>
      </c>
      <c r="CS181" s="449">
        <f t="shared" si="599"/>
        <v>4.7044632086851612</v>
      </c>
      <c r="CT181" s="449"/>
      <c r="CU181" s="449">
        <f>IF(ISERROR((CU30/CS30-1)*100),"--",(CU30/CS30-1)*100)</f>
        <v>-17.281105990783409</v>
      </c>
      <c r="CV181" s="449">
        <f t="shared" si="599"/>
        <v>48.467966573816156</v>
      </c>
      <c r="CW181" s="449">
        <f t="shared" si="599"/>
        <v>-13.320825515947465</v>
      </c>
      <c r="CX181" s="449">
        <f t="shared" si="599"/>
        <v>8.441558441558449</v>
      </c>
      <c r="CY181" s="449"/>
      <c r="CZ181" s="449"/>
      <c r="DA181" s="449"/>
      <c r="DB181" s="449"/>
      <c r="DC181" s="450"/>
      <c r="DD181" s="449"/>
      <c r="DE181" s="449"/>
      <c r="DF181" s="449"/>
      <c r="DG181" s="449"/>
      <c r="DH181" s="450"/>
      <c r="DI181" s="449"/>
      <c r="DJ181" s="450"/>
      <c r="DK181" s="450"/>
      <c r="DL181" s="450"/>
      <c r="DM181" s="450"/>
      <c r="DN181" s="449"/>
      <c r="DO181" s="449"/>
      <c r="DP181" s="450"/>
      <c r="DQ181" s="450"/>
      <c r="DR181" s="450"/>
      <c r="DS181" s="450"/>
      <c r="DT181" s="450"/>
      <c r="DU181" s="450"/>
      <c r="DV181" s="450"/>
      <c r="DW181" s="450"/>
      <c r="DX181" s="450"/>
      <c r="DY181" s="450"/>
      <c r="DZ181" s="450"/>
      <c r="EA181" s="449"/>
      <c r="EB181" s="450"/>
      <c r="EC181" s="449"/>
      <c r="ED181" s="450"/>
      <c r="EE181" s="450"/>
      <c r="EF181" s="450"/>
      <c r="EG181" s="450"/>
      <c r="EH181" s="449"/>
      <c r="EI181" s="2761"/>
      <c r="EJ181" s="2761"/>
      <c r="EK181" s="2761"/>
      <c r="EL181" s="2761"/>
      <c r="EM181" s="2762"/>
      <c r="EN181" s="2761"/>
      <c r="EO181" s="2761"/>
      <c r="EP181" s="2762"/>
      <c r="EQ181" s="2762"/>
      <c r="ER181" s="2762"/>
      <c r="ES181" s="449"/>
      <c r="ET181" s="2761"/>
      <c r="EU181" s="449"/>
      <c r="EV181" s="449"/>
      <c r="EW181" s="449"/>
      <c r="EX181" s="449"/>
      <c r="EY181" s="449"/>
      <c r="EZ181" s="449"/>
      <c r="FA181" s="449"/>
      <c r="FB181" s="449"/>
      <c r="FC181" s="449"/>
      <c r="FD181" s="449"/>
      <c r="FE181" s="449"/>
      <c r="FF181" s="449"/>
      <c r="FG181" s="449"/>
      <c r="FH181" s="449"/>
      <c r="FI181" s="449"/>
      <c r="FJ181" s="449"/>
      <c r="FK181" s="449"/>
      <c r="FL181" s="449"/>
      <c r="FM181" s="453"/>
      <c r="FN181" s="453" t="s">
        <v>699</v>
      </c>
      <c r="FO181" s="453" t="s">
        <v>699</v>
      </c>
      <c r="FP181" s="453" t="s">
        <v>699</v>
      </c>
      <c r="FQ181" s="453" t="s">
        <v>699</v>
      </c>
      <c r="FR181" s="453" t="s">
        <v>699</v>
      </c>
      <c r="FS181" s="453" t="s">
        <v>699</v>
      </c>
      <c r="FT181" s="453" t="s">
        <v>699</v>
      </c>
      <c r="FU181" s="453" t="s">
        <v>699</v>
      </c>
      <c r="FV181" s="453" t="s">
        <v>699</v>
      </c>
      <c r="FW181" s="453" t="s">
        <v>699</v>
      </c>
      <c r="FX181" s="454" t="s">
        <v>699</v>
      </c>
      <c r="FY181" s="454" t="s">
        <v>699</v>
      </c>
      <c r="FZ181" s="454"/>
      <c r="GA181" s="454"/>
      <c r="GB181" s="454"/>
      <c r="GC181" s="1112"/>
      <c r="GD181" s="1112"/>
      <c r="GE181" s="1112"/>
      <c r="GF181" s="1112"/>
      <c r="GG181" s="1112"/>
      <c r="GH181" s="1112"/>
      <c r="GI181" s="1112"/>
      <c r="GJ181" s="2669"/>
      <c r="GK181" s="2669"/>
      <c r="GL181" s="2669"/>
      <c r="GN181"/>
      <c r="GO181"/>
      <c r="GP181"/>
      <c r="GQ181"/>
      <c r="GR181"/>
      <c r="GS181"/>
    </row>
    <row r="182" spans="1:201" s="264" customFormat="1" ht="11.25" hidden="1" customHeight="1" outlineLevel="1">
      <c r="A182" s="407"/>
      <c r="B182" s="253"/>
      <c r="C182" s="455"/>
      <c r="D182" s="453"/>
      <c r="E182" s="453"/>
      <c r="F182" s="453"/>
      <c r="G182" s="453"/>
      <c r="H182" s="453"/>
      <c r="I182" s="453"/>
      <c r="J182" s="453"/>
      <c r="K182" s="453"/>
      <c r="L182" s="453"/>
      <c r="M182" s="453"/>
      <c r="N182" s="453"/>
      <c r="O182" s="453"/>
      <c r="P182" s="453"/>
      <c r="Q182" s="453"/>
      <c r="R182" s="453"/>
      <c r="S182" s="453"/>
      <c r="T182" s="453"/>
      <c r="U182" s="453"/>
      <c r="V182" s="453"/>
      <c r="W182" s="453"/>
      <c r="X182" s="453"/>
      <c r="Y182" s="453"/>
      <c r="Z182" s="453"/>
      <c r="AA182" s="453"/>
      <c r="AB182" s="453"/>
      <c r="AC182" s="453"/>
      <c r="AD182" s="453"/>
      <c r="AE182" s="453"/>
      <c r="AF182" s="453"/>
      <c r="AG182" s="453"/>
      <c r="AH182" s="453"/>
      <c r="AI182" s="453"/>
      <c r="AJ182" s="453"/>
      <c r="AK182" s="453"/>
      <c r="AL182" s="453"/>
      <c r="AM182" s="453"/>
      <c r="AN182" s="453"/>
      <c r="AO182" s="453"/>
      <c r="AP182" s="453"/>
      <c r="AQ182" s="453"/>
      <c r="AR182" s="453"/>
      <c r="AS182" s="453"/>
      <c r="AT182" s="453"/>
      <c r="AU182" s="453"/>
      <c r="AV182" s="453"/>
      <c r="AW182" s="453"/>
      <c r="AX182" s="453"/>
      <c r="AY182" s="453"/>
      <c r="AZ182" s="453"/>
      <c r="BA182" s="453"/>
      <c r="BB182" s="453"/>
      <c r="BC182" s="453"/>
      <c r="BD182" s="453"/>
      <c r="BE182" s="453"/>
      <c r="BF182" s="453"/>
      <c r="BG182" s="453"/>
      <c r="BH182" s="453"/>
      <c r="BI182" s="453"/>
      <c r="BJ182" s="453"/>
      <c r="BK182" s="453"/>
      <c r="BL182" s="453"/>
      <c r="BM182" s="453"/>
      <c r="BN182" s="453"/>
      <c r="BO182" s="453"/>
      <c r="BP182" s="453"/>
      <c r="BQ182" s="453"/>
      <c r="BR182" s="453"/>
      <c r="BS182" s="453"/>
      <c r="BT182" s="453"/>
      <c r="BU182" s="453"/>
      <c r="BV182" s="453"/>
      <c r="BW182" s="453"/>
      <c r="BX182" s="453"/>
      <c r="BY182" s="453"/>
      <c r="BZ182" s="453"/>
      <c r="CA182" s="453"/>
      <c r="CB182" s="453"/>
      <c r="CC182" s="453"/>
      <c r="CD182" s="453"/>
      <c r="CE182" s="453"/>
      <c r="CF182" s="453"/>
      <c r="CG182" s="453"/>
      <c r="CH182" s="453"/>
      <c r="CI182" s="449"/>
      <c r="CJ182" s="449"/>
      <c r="CK182" s="449"/>
      <c r="CL182" s="449"/>
      <c r="CM182" s="449"/>
      <c r="CN182" s="449"/>
      <c r="CO182" s="449"/>
      <c r="CP182" s="449"/>
      <c r="CQ182" s="449"/>
      <c r="CR182" s="449"/>
      <c r="CS182" s="449"/>
      <c r="CT182" s="449"/>
      <c r="CU182" s="449"/>
      <c r="CV182" s="449"/>
      <c r="CW182" s="449"/>
      <c r="CX182" s="449"/>
      <c r="CY182" s="449"/>
      <c r="CZ182" s="449"/>
      <c r="DA182" s="449"/>
      <c r="DB182" s="449"/>
      <c r="DC182" s="450"/>
      <c r="DD182" s="449"/>
      <c r="DE182" s="449"/>
      <c r="DF182" s="449"/>
      <c r="DG182" s="449"/>
      <c r="DH182" s="450"/>
      <c r="DI182" s="449"/>
      <c r="DJ182" s="450"/>
      <c r="DK182" s="450"/>
      <c r="DL182" s="450"/>
      <c r="DM182" s="450"/>
      <c r="DN182" s="449"/>
      <c r="DO182" s="449"/>
      <c r="DP182" s="450"/>
      <c r="DQ182" s="450"/>
      <c r="DR182" s="450"/>
      <c r="DS182" s="450"/>
      <c r="DT182" s="450"/>
      <c r="DU182" s="450"/>
      <c r="DV182" s="450"/>
      <c r="DW182" s="450"/>
      <c r="DX182" s="450"/>
      <c r="DY182" s="450"/>
      <c r="DZ182" s="450"/>
      <c r="EA182" s="449"/>
      <c r="EB182" s="450"/>
      <c r="EC182" s="449"/>
      <c r="ED182" s="450"/>
      <c r="EE182" s="450"/>
      <c r="EF182" s="450"/>
      <c r="EG182" s="450"/>
      <c r="EH182" s="449"/>
      <c r="EI182" s="2761"/>
      <c r="EJ182" s="2761"/>
      <c r="EK182" s="2761"/>
      <c r="EL182" s="2761"/>
      <c r="EM182" s="2762"/>
      <c r="EN182" s="2761"/>
      <c r="EO182" s="2761"/>
      <c r="EP182" s="2762"/>
      <c r="EQ182" s="2762"/>
      <c r="ER182" s="2762"/>
      <c r="ES182" s="449"/>
      <c r="ET182" s="2761"/>
      <c r="EU182" s="449"/>
      <c r="EV182" s="449"/>
      <c r="EW182" s="449"/>
      <c r="EX182" s="449"/>
      <c r="EY182" s="449"/>
      <c r="EZ182" s="449"/>
      <c r="FA182" s="449"/>
      <c r="FB182" s="449"/>
      <c r="FC182" s="449"/>
      <c r="FD182" s="449"/>
      <c r="FE182" s="449"/>
      <c r="FF182" s="449"/>
      <c r="FG182" s="449"/>
      <c r="FH182" s="449"/>
      <c r="FI182" s="449"/>
      <c r="FJ182" s="449"/>
      <c r="FK182" s="449"/>
      <c r="FL182" s="449"/>
      <c r="FM182" s="453"/>
      <c r="FN182" s="453"/>
      <c r="FO182" s="453"/>
      <c r="FP182" s="453"/>
      <c r="FQ182" s="453"/>
      <c r="FR182" s="453"/>
      <c r="FS182" s="453"/>
      <c r="FT182" s="453"/>
      <c r="FU182" s="453"/>
      <c r="FV182" s="453"/>
      <c r="FW182" s="453"/>
      <c r="FX182" s="454"/>
      <c r="FY182" s="454"/>
      <c r="FZ182" s="454"/>
      <c r="GA182" s="454"/>
      <c r="GB182" s="454"/>
      <c r="GC182" s="1112"/>
      <c r="GD182" s="1112"/>
      <c r="GE182" s="1112"/>
      <c r="GF182" s="1112"/>
      <c r="GG182" s="1112"/>
      <c r="GH182" s="1112"/>
      <c r="GI182" s="1112"/>
      <c r="GJ182" s="2669"/>
      <c r="GK182" s="2669"/>
      <c r="GL182" s="2669"/>
      <c r="GN182"/>
      <c r="GO182"/>
      <c r="GP182"/>
      <c r="GQ182"/>
      <c r="GR182"/>
      <c r="GS182"/>
    </row>
    <row r="183" spans="1:201" s="264" customFormat="1" ht="11.25" hidden="1" customHeight="1" outlineLevel="1">
      <c r="A183" s="407" t="s">
        <v>345</v>
      </c>
      <c r="B183" s="253"/>
      <c r="C183" s="455"/>
      <c r="D183" s="312">
        <f>(D54+D78)/D53</f>
        <v>0.31481481481481483</v>
      </c>
      <c r="E183" s="312">
        <f t="shared" ref="E183:BP183" si="600">(E54+E78)/E53</f>
        <v>0.32020959173277047</v>
      </c>
      <c r="F183" s="312">
        <f t="shared" si="600"/>
        <v>0.31559889042074313</v>
      </c>
      <c r="G183" s="312">
        <f t="shared" si="600"/>
        <v>0.32161391711132226</v>
      </c>
      <c r="H183" s="312">
        <f t="shared" si="600"/>
        <v>0.31832814060553977</v>
      </c>
      <c r="I183" s="312">
        <f t="shared" si="600"/>
        <v>0.31454281885068791</v>
      </c>
      <c r="J183" s="312">
        <f t="shared" si="600"/>
        <v>0.3219752722990874</v>
      </c>
      <c r="K183" s="312">
        <f t="shared" si="600"/>
        <v>0.31854669894606552</v>
      </c>
      <c r="L183" s="312">
        <f t="shared" si="600"/>
        <v>0.32071570240958769</v>
      </c>
      <c r="M183" s="312">
        <f t="shared" si="600"/>
        <v>0.31936809000816702</v>
      </c>
      <c r="N183" s="312">
        <f t="shared" si="600"/>
        <v>0.30854430379746839</v>
      </c>
      <c r="O183" s="312">
        <f t="shared" si="600"/>
        <v>0.31192660550458717</v>
      </c>
      <c r="P183" s="312">
        <f t="shared" si="600"/>
        <v>0.31111111111111112</v>
      </c>
      <c r="Q183" s="312">
        <f t="shared" si="600"/>
        <v>0.30845771144278605</v>
      </c>
      <c r="R183" s="312">
        <f t="shared" si="600"/>
        <v>0.31003130123714412</v>
      </c>
      <c r="S183" s="312">
        <f t="shared" si="600"/>
        <v>0.32075471698113206</v>
      </c>
      <c r="T183" s="312">
        <f t="shared" si="600"/>
        <v>0.32170542635658916</v>
      </c>
      <c r="U183" s="312">
        <f t="shared" si="600"/>
        <v>0.31679389312977096</v>
      </c>
      <c r="V183" s="312">
        <f t="shared" si="600"/>
        <v>0.32018111254851228</v>
      </c>
      <c r="W183" s="312">
        <f t="shared" si="600"/>
        <v>0.31982328082981176</v>
      </c>
      <c r="X183" s="312">
        <f t="shared" si="600"/>
        <v>0.31921824104234525</v>
      </c>
      <c r="Y183" s="312">
        <f t="shared" si="600"/>
        <v>0.31988472622478387</v>
      </c>
      <c r="Z183" s="312">
        <f t="shared" si="600"/>
        <v>0.31932773109243695</v>
      </c>
      <c r="AA183" s="312">
        <f t="shared" si="600"/>
        <v>0.32051282051282054</v>
      </c>
      <c r="AB183" s="312">
        <f t="shared" si="600"/>
        <v>0.31977159172019987</v>
      </c>
      <c r="AC183" s="312">
        <f t="shared" si="600"/>
        <v>0.3397790055248619</v>
      </c>
      <c r="AD183" s="312">
        <f t="shared" si="600"/>
        <v>0.34018264840182649</v>
      </c>
      <c r="AE183" s="312">
        <f t="shared" si="600"/>
        <v>0.25099601593625498</v>
      </c>
      <c r="AF183" s="312">
        <f t="shared" si="600"/>
        <v>0.34901960784313724</v>
      </c>
      <c r="AG183" s="312">
        <f t="shared" si="600"/>
        <v>0.31788079470198677</v>
      </c>
      <c r="AH183" s="312">
        <f t="shared" si="600"/>
        <v>0.32908704883227174</v>
      </c>
      <c r="AI183" s="312">
        <f t="shared" si="600"/>
        <v>0.33034111310592462</v>
      </c>
      <c r="AJ183" s="312">
        <f t="shared" si="600"/>
        <v>0.33108108108108109</v>
      </c>
      <c r="AK183" s="312">
        <f t="shared" si="600"/>
        <v>0.37942664418212479</v>
      </c>
      <c r="AL183" s="312">
        <f t="shared" si="600"/>
        <v>0.34342521464075915</v>
      </c>
      <c r="AM183" s="312">
        <f t="shared" si="600"/>
        <v>0.35194805194805195</v>
      </c>
      <c r="AN183" s="312">
        <f t="shared" si="600"/>
        <v>0.35028248587570621</v>
      </c>
      <c r="AO183" s="312">
        <f t="shared" si="600"/>
        <v>0.34953703703703703</v>
      </c>
      <c r="AP183" s="312">
        <f t="shared" si="600"/>
        <v>0.35</v>
      </c>
      <c r="AQ183" s="312">
        <f t="shared" si="600"/>
        <v>0.35039952648712636</v>
      </c>
      <c r="AR183" s="312">
        <f t="shared" si="600"/>
        <v>0.35026455026455028</v>
      </c>
      <c r="AS183" s="312">
        <f t="shared" si="600"/>
        <v>0.35</v>
      </c>
      <c r="AT183" s="312">
        <f t="shared" si="600"/>
        <v>0.34996880848409234</v>
      </c>
      <c r="AU183" s="312">
        <f t="shared" si="600"/>
        <v>0.34993849938499383</v>
      </c>
      <c r="AV183" s="312">
        <f t="shared" si="600"/>
        <v>0.35001881821603315</v>
      </c>
      <c r="AW183" s="312">
        <f t="shared" si="600"/>
        <v>0.35981308411214952</v>
      </c>
      <c r="AX183" s="312">
        <f t="shared" si="600"/>
        <v>0.35988700564971754</v>
      </c>
      <c r="AY183" s="312">
        <f t="shared" si="600"/>
        <v>0.3500243072435586</v>
      </c>
      <c r="AZ183" s="312">
        <f t="shared" si="600"/>
        <v>0.35009578544061304</v>
      </c>
      <c r="BA183" s="312">
        <f t="shared" si="600"/>
        <v>0.35437744502900309</v>
      </c>
      <c r="BB183" s="312">
        <f t="shared" si="600"/>
        <v>0.3276068717538953</v>
      </c>
      <c r="BC183" s="312">
        <f t="shared" si="600"/>
        <v>0.35004916420845622</v>
      </c>
      <c r="BD183" s="312">
        <f t="shared" si="600"/>
        <v>0.34994913530010174</v>
      </c>
      <c r="BE183" s="312">
        <f t="shared" si="600"/>
        <v>0.35005903187721371</v>
      </c>
      <c r="BF183" s="312">
        <f t="shared" si="600"/>
        <v>0.3453031704650576</v>
      </c>
      <c r="BG183" s="312">
        <f t="shared" si="600"/>
        <v>0.33481613285883749</v>
      </c>
      <c r="BH183" s="312">
        <f t="shared" si="600"/>
        <v>0.31102850061957871</v>
      </c>
      <c r="BI183" s="312">
        <f t="shared" si="600"/>
        <v>0.33451375646962678</v>
      </c>
      <c r="BJ183" s="312">
        <f t="shared" si="600"/>
        <v>0.33468067906224735</v>
      </c>
      <c r="BK183" s="312">
        <f t="shared" si="600"/>
        <v>0.32821691797957941</v>
      </c>
      <c r="BL183" s="312">
        <f t="shared" si="600"/>
        <v>0.32481472016355739</v>
      </c>
      <c r="BM183" s="312">
        <f t="shared" si="600"/>
        <v>0.32438534872052183</v>
      </c>
      <c r="BN183" s="312">
        <f t="shared" si="600"/>
        <v>0.3242880171950564</v>
      </c>
      <c r="BO183" s="312">
        <f t="shared" si="600"/>
        <v>0.17553191489361702</v>
      </c>
      <c r="BP183" s="312">
        <f t="shared" si="600"/>
        <v>0.32212719112541283</v>
      </c>
      <c r="BQ183" s="312">
        <f t="shared" ref="BQ183:DI183" si="601">(BQ54+BQ78)/BQ53</f>
        <v>0.32008479067302598</v>
      </c>
      <c r="BR183" s="312">
        <f t="shared" si="601"/>
        <v>0.26736370425690814</v>
      </c>
      <c r="BS183" s="312">
        <f t="shared" si="601"/>
        <v>0.31992051664182813</v>
      </c>
      <c r="BT183" s="312">
        <f t="shared" si="601"/>
        <v>0.32010699955416855</v>
      </c>
      <c r="BU183" s="312">
        <f t="shared" si="601"/>
        <v>0.3026369834880473</v>
      </c>
      <c r="BV183" s="312">
        <f t="shared" si="601"/>
        <v>0.33016081391532653</v>
      </c>
      <c r="BW183" s="312">
        <f t="shared" si="601"/>
        <v>0.26051318602993584</v>
      </c>
      <c r="BX183" s="312">
        <f t="shared" si="601"/>
        <v>0.33</v>
      </c>
      <c r="BY183" s="312">
        <f t="shared" si="601"/>
        <v>0.24273089700996681</v>
      </c>
      <c r="BZ183" s="312">
        <f t="shared" si="601"/>
        <v>0.29209203980099502</v>
      </c>
      <c r="CA183" s="312">
        <f t="shared" si="601"/>
        <v>0.32991540630607535</v>
      </c>
      <c r="CB183" s="312">
        <f t="shared" si="601"/>
        <v>0.16890856763338499</v>
      </c>
      <c r="CC183" s="312">
        <f t="shared" si="601"/>
        <v>0.20249221183800623</v>
      </c>
      <c r="CD183" s="312">
        <f t="shared" si="601"/>
        <v>0.27383202808533619</v>
      </c>
      <c r="CE183" s="312">
        <f t="shared" si="601"/>
        <v>0.23848370335380259</v>
      </c>
      <c r="CF183" s="312">
        <f t="shared" si="601"/>
        <v>0.28893014620561613</v>
      </c>
      <c r="CG183" s="312">
        <f t="shared" si="601"/>
        <v>0.33004449603404912</v>
      </c>
      <c r="CH183" s="312">
        <f t="shared" si="601"/>
        <v>0.27476594818201611</v>
      </c>
      <c r="CI183" s="312">
        <f t="shared" si="601"/>
        <v>3.4871128438379903E-2</v>
      </c>
      <c r="CJ183" s="312">
        <f t="shared" si="601"/>
        <v>0.23405393835616439</v>
      </c>
      <c r="CK183" s="312">
        <f t="shared" si="601"/>
        <v>0.28719723183391005</v>
      </c>
      <c r="CL183" s="312">
        <f t="shared" si="601"/>
        <v>0.28882833787465939</v>
      </c>
      <c r="CM183" s="312">
        <f t="shared" si="601"/>
        <v>0.28389560789306173</v>
      </c>
      <c r="CN183" s="312">
        <f t="shared" si="601"/>
        <v>0.31012795489047928</v>
      </c>
      <c r="CO183" s="312">
        <f t="shared" si="601"/>
        <v>0.29228387096774194</v>
      </c>
      <c r="CP183" s="312">
        <f t="shared" si="601"/>
        <v>0.31005752826820077</v>
      </c>
      <c r="CQ183" s="312">
        <f t="shared" si="601"/>
        <v>0.30985545335085413</v>
      </c>
      <c r="CR183" s="312">
        <f t="shared" si="601"/>
        <v>0.28701754385964912</v>
      </c>
      <c r="CS183" s="312">
        <f t="shared" si="601"/>
        <v>0.23385133870061786</v>
      </c>
      <c r="CT183" s="312">
        <f t="shared" si="601"/>
        <v>0.28322072072072074</v>
      </c>
      <c r="CU183" s="312">
        <f t="shared" si="601"/>
        <v>0.31000643500643499</v>
      </c>
      <c r="CV183" s="312">
        <f t="shared" si="601"/>
        <v>0.30982404692082111</v>
      </c>
      <c r="CW183" s="312">
        <f t="shared" si="601"/>
        <v>6.7769391360205558E-2</v>
      </c>
      <c r="CX183" s="312">
        <f t="shared" si="601"/>
        <v>0.27999329758713137</v>
      </c>
      <c r="CY183" s="312">
        <f t="shared" si="601"/>
        <v>0.24307399627442433</v>
      </c>
      <c r="CZ183" s="312">
        <f t="shared" si="601"/>
        <v>0.27007177432815893</v>
      </c>
      <c r="DA183" s="312">
        <f t="shared" si="601"/>
        <v>0.25966654842142606</v>
      </c>
      <c r="DB183" s="312">
        <f t="shared" si="601"/>
        <v>0.22542800208318625</v>
      </c>
      <c r="DC183" s="314">
        <f t="shared" si="601"/>
        <v>0.25057103700319783</v>
      </c>
      <c r="DD183" s="312">
        <f t="shared" si="601"/>
        <v>0.25290303317359109</v>
      </c>
      <c r="DE183" s="312">
        <f t="shared" si="601"/>
        <v>0.24994753410283316</v>
      </c>
      <c r="DF183" s="312">
        <f t="shared" si="601"/>
        <v>0.2500281436451649</v>
      </c>
      <c r="DG183" s="312">
        <f t="shared" si="601"/>
        <v>0.24995319228608875</v>
      </c>
      <c r="DH183" s="314">
        <f t="shared" si="601"/>
        <v>0.25</v>
      </c>
      <c r="DI183" s="312">
        <f t="shared" si="601"/>
        <v>0.24999000519729742</v>
      </c>
      <c r="DJ183" s="314">
        <f t="shared" ref="DJ183:DS183" si="602">(DJ54+DJ78)/DJ53</f>
        <v>0.25172890733056708</v>
      </c>
      <c r="DK183" s="314">
        <f t="shared" si="602"/>
        <v>0.21925385430151817</v>
      </c>
      <c r="DL183" s="314">
        <f t="shared" si="602"/>
        <v>0.1316182572614108</v>
      </c>
      <c r="DM183" s="314">
        <f t="shared" si="602"/>
        <v>7.0439925032924747E-2</v>
      </c>
      <c r="DN183" s="312">
        <f t="shared" si="602"/>
        <v>0.17531521825871837</v>
      </c>
      <c r="DO183" s="312">
        <f t="shared" si="602"/>
        <v>0.21461812209143169</v>
      </c>
      <c r="DP183" s="314">
        <f t="shared" si="602"/>
        <v>0.19601893433669135</v>
      </c>
      <c r="DQ183" s="314">
        <f t="shared" si="602"/>
        <v>0.19723400911519723</v>
      </c>
      <c r="DR183" s="314">
        <f t="shared" si="602"/>
        <v>0.12988400488400489</v>
      </c>
      <c r="DS183" s="314">
        <f t="shared" si="602"/>
        <v>0.18583977512297961</v>
      </c>
      <c r="DT183" s="314">
        <f t="shared" ref="DT183:EC183" si="603">(DT54+DT78)/DT53</f>
        <v>0.19298879653053849</v>
      </c>
      <c r="DU183" s="314">
        <f t="shared" si="603"/>
        <v>0.17927927927927928</v>
      </c>
      <c r="DV183" s="314">
        <f t="shared" si="603"/>
        <v>0.18570057581573896</v>
      </c>
      <c r="DW183" s="314">
        <f t="shared" si="603"/>
        <v>0.19202603742880389</v>
      </c>
      <c r="DX183" s="314">
        <f t="shared" si="603"/>
        <v>0.19181576223569421</v>
      </c>
      <c r="DY183" s="314">
        <f t="shared" si="603"/>
        <v>0.18164794007490637</v>
      </c>
      <c r="DZ183" s="314">
        <f t="shared" si="603"/>
        <v>0.16755521706016754</v>
      </c>
      <c r="EA183" s="312">
        <f t="shared" si="603"/>
        <v>0.18643093287336496</v>
      </c>
      <c r="EB183" s="314">
        <f t="shared" si="603"/>
        <v>0.29310859188544153</v>
      </c>
      <c r="EC183" s="312">
        <f t="shared" si="603"/>
        <v>0.20575008096978256</v>
      </c>
      <c r="ED183" s="314">
        <f t="shared" ref="ED183:EM183" si="604">(ED54+ED78)/ED53</f>
        <v>0.22740193291642979</v>
      </c>
      <c r="EE183" s="314">
        <f t="shared" si="604"/>
        <v>0.25582593021758721</v>
      </c>
      <c r="EF183" s="314">
        <f t="shared" si="604"/>
        <v>0.22841807067243178</v>
      </c>
      <c r="EG183" s="314">
        <f t="shared" si="604"/>
        <v>0.21535468422627957</v>
      </c>
      <c r="EH183" s="312">
        <f t="shared" si="604"/>
        <v>0.23261918274687854</v>
      </c>
      <c r="EI183" s="314">
        <f t="shared" si="604"/>
        <v>0.1581547915628633</v>
      </c>
      <c r="EJ183" s="314">
        <f t="shared" si="604"/>
        <v>0.18805551757144812</v>
      </c>
      <c r="EK183" s="314">
        <f t="shared" si="604"/>
        <v>0.29027040395713105</v>
      </c>
      <c r="EL183" s="314">
        <f t="shared" si="604"/>
        <v>0.13785714285714284</v>
      </c>
      <c r="EM183" s="312">
        <f t="shared" si="604"/>
        <v>0.19070769000710305</v>
      </c>
      <c r="EN183" s="314">
        <f>(EN54+EN78)/EN53</f>
        <v>0.16991357843855281</v>
      </c>
      <c r="EO183" s="314">
        <f t="shared" ref="EO183:ER183" si="605">(EO54+EO78)/EO53</f>
        <v>0.21877337322363499</v>
      </c>
      <c r="EP183" s="312">
        <f t="shared" si="605"/>
        <v>0.22667042571186918</v>
      </c>
      <c r="EQ183" s="312">
        <f t="shared" si="605"/>
        <v>-1.3431752178121975E-2</v>
      </c>
      <c r="ER183" s="312">
        <f t="shared" si="605"/>
        <v>0.14605886052901645</v>
      </c>
      <c r="ES183" s="312">
        <f t="shared" ref="ES183:EW183" si="606">(ES54+ES78)/ES53</f>
        <v>0.17635270541082165</v>
      </c>
      <c r="ET183" s="314">
        <f t="shared" si="606"/>
        <v>1.6873159559384885</v>
      </c>
      <c r="EU183" s="312">
        <f t="shared" si="606"/>
        <v>0.14084018053466035</v>
      </c>
      <c r="EV183" s="312">
        <f t="shared" si="606"/>
        <v>0.16</v>
      </c>
      <c r="EW183" s="312">
        <f t="shared" si="606"/>
        <v>0.55040346689645625</v>
      </c>
      <c r="EX183" s="312">
        <f t="shared" ref="EX183:FG183" si="607">(EX54+EX78)/EX53</f>
        <v>0.20250000000000001</v>
      </c>
      <c r="EY183" s="312">
        <f t="shared" si="607"/>
        <v>0.20250000000000001</v>
      </c>
      <c r="EZ183" s="312">
        <f t="shared" si="607"/>
        <v>0.20250000000000001</v>
      </c>
      <c r="FA183" s="312">
        <f t="shared" si="607"/>
        <v>0.20250000000000001</v>
      </c>
      <c r="FB183" s="312">
        <f t="shared" si="607"/>
        <v>0.20250000000000007</v>
      </c>
      <c r="FC183" s="312">
        <f t="shared" si="607"/>
        <v>0.20249999999999999</v>
      </c>
      <c r="FD183" s="312">
        <f t="shared" si="607"/>
        <v>0.20250000000000001</v>
      </c>
      <c r="FE183" s="312">
        <f t="shared" si="607"/>
        <v>0.20250000000000001</v>
      </c>
      <c r="FF183" s="312">
        <f t="shared" si="607"/>
        <v>0.20250000000000004</v>
      </c>
      <c r="FG183" s="312">
        <f t="shared" si="607"/>
        <v>0.20249999999999999</v>
      </c>
      <c r="FH183" s="312">
        <f t="shared" ref="FH183:FL183" si="608">(FH54+FH78)/FH53</f>
        <v>0.20250000000000004</v>
      </c>
      <c r="FI183" s="312">
        <f t="shared" si="608"/>
        <v>0.20250000000000001</v>
      </c>
      <c r="FJ183" s="312">
        <f t="shared" si="608"/>
        <v>0.20250000000000001</v>
      </c>
      <c r="FK183" s="312">
        <f t="shared" si="608"/>
        <v>0.20250000000000001</v>
      </c>
      <c r="FL183" s="312">
        <f t="shared" si="608"/>
        <v>0.20249999999999999</v>
      </c>
      <c r="FM183" s="312"/>
      <c r="FN183" s="453"/>
      <c r="FO183" s="453"/>
      <c r="FP183" s="453"/>
      <c r="FQ183" s="453"/>
      <c r="FR183" s="453"/>
      <c r="FS183" s="453"/>
      <c r="FT183" s="453"/>
      <c r="FU183" s="453"/>
      <c r="FV183" s="453"/>
      <c r="FW183" s="453"/>
      <c r="FX183" s="454"/>
      <c r="FY183" s="454"/>
      <c r="FZ183" s="454"/>
      <c r="GA183" s="454"/>
      <c r="GB183" s="454"/>
      <c r="GC183" s="1112"/>
      <c r="GD183" s="1112"/>
      <c r="GE183" s="1112"/>
      <c r="GF183" s="1112"/>
      <c r="GG183" s="1112"/>
      <c r="GH183" s="1112"/>
      <c r="GI183" s="1112"/>
      <c r="GJ183" s="2669"/>
      <c r="GK183" s="2669"/>
      <c r="GL183" s="2669"/>
      <c r="GN183"/>
      <c r="GO183"/>
      <c r="GP183"/>
      <c r="GQ183"/>
      <c r="GR183"/>
      <c r="GS183"/>
    </row>
    <row r="184" spans="1:201" s="264" customFormat="1" ht="11.25" customHeight="1" collapsed="1">
      <c r="A184" s="253"/>
      <c r="B184" s="253"/>
      <c r="C184" s="253"/>
      <c r="D184" s="253"/>
      <c r="E184" s="253"/>
      <c r="F184" s="253"/>
      <c r="G184" s="253"/>
      <c r="H184" s="253"/>
      <c r="I184" s="253"/>
      <c r="J184" s="253"/>
      <c r="K184" s="253"/>
      <c r="L184" s="253"/>
      <c r="M184" s="253"/>
      <c r="N184" s="253"/>
      <c r="O184" s="253"/>
      <c r="P184" s="253"/>
      <c r="Q184" s="253"/>
      <c r="R184" s="253"/>
      <c r="S184" s="253"/>
      <c r="T184" s="253"/>
      <c r="U184" s="253"/>
      <c r="V184" s="253"/>
      <c r="W184" s="253"/>
      <c r="X184" s="253"/>
      <c r="Y184" s="253"/>
      <c r="Z184" s="253"/>
      <c r="AA184" s="253"/>
      <c r="AB184" s="253"/>
      <c r="AC184" s="253"/>
      <c r="AD184" s="253"/>
      <c r="AE184" s="253"/>
      <c r="AF184" s="253"/>
      <c r="AG184" s="253"/>
      <c r="AH184" s="253"/>
      <c r="AI184" s="253"/>
      <c r="AJ184" s="253"/>
      <c r="AK184" s="253"/>
      <c r="AL184" s="253"/>
      <c r="AM184" s="253"/>
      <c r="AN184" s="253"/>
      <c r="AO184" s="253"/>
      <c r="AP184" s="253"/>
      <c r="AQ184" s="253"/>
      <c r="AR184" s="253"/>
      <c r="AS184" s="253"/>
      <c r="AT184" s="253"/>
      <c r="AU184" s="253"/>
      <c r="AV184" s="253"/>
      <c r="AW184" s="253"/>
      <c r="AX184" s="253"/>
      <c r="AY184" s="253"/>
      <c r="AZ184" s="253"/>
      <c r="BA184" s="253"/>
      <c r="BB184" s="253"/>
      <c r="BC184" s="253"/>
      <c r="BD184" s="253"/>
      <c r="BE184" s="253"/>
      <c r="BF184" s="253"/>
      <c r="BG184" s="253"/>
      <c r="BH184" s="253"/>
      <c r="BI184" s="253"/>
      <c r="BJ184" s="253"/>
      <c r="BK184" s="253"/>
      <c r="BL184" s="253"/>
      <c r="BM184" s="253"/>
      <c r="BN184" s="253"/>
      <c r="BO184" s="253"/>
      <c r="BP184" s="253"/>
      <c r="BQ184" s="253"/>
      <c r="BR184" s="253"/>
      <c r="BS184" s="253"/>
      <c r="BT184" s="253"/>
      <c r="BU184" s="253"/>
      <c r="BV184" s="253"/>
      <c r="BW184" s="253"/>
      <c r="BX184" s="253"/>
      <c r="BY184" s="253"/>
      <c r="BZ184" s="253"/>
      <c r="CI184" s="456"/>
      <c r="CJ184" s="456"/>
      <c r="CK184" s="457"/>
      <c r="CL184" s="457"/>
      <c r="CM184" s="457"/>
      <c r="CN184" s="457"/>
      <c r="CO184" s="457"/>
      <c r="CP184" s="457"/>
      <c r="CQ184" s="457"/>
      <c r="CR184" s="457"/>
      <c r="CS184" s="457"/>
      <c r="CT184" s="457"/>
      <c r="CU184" s="457"/>
      <c r="CV184" s="457"/>
      <c r="CW184" s="457"/>
      <c r="CX184" s="457"/>
      <c r="CY184" s="457"/>
      <c r="CZ184" s="457"/>
      <c r="DA184" s="457"/>
      <c r="DB184" s="457"/>
      <c r="DC184" s="458"/>
      <c r="DD184" s="457"/>
      <c r="DE184" s="457"/>
      <c r="DF184" s="457"/>
      <c r="DG184" s="457"/>
      <c r="DH184" s="458"/>
      <c r="DI184" s="457"/>
      <c r="DJ184" s="458"/>
      <c r="DK184" s="458"/>
      <c r="DL184" s="458"/>
      <c r="DM184" s="458"/>
      <c r="DN184" s="457"/>
      <c r="DO184" s="457"/>
      <c r="DP184" s="458"/>
      <c r="DQ184" s="458"/>
      <c r="DR184" s="458"/>
      <c r="DS184" s="458"/>
      <c r="DT184" s="458"/>
      <c r="DU184" s="458"/>
      <c r="DV184" s="458"/>
      <c r="DW184" s="458"/>
      <c r="DX184" s="458"/>
      <c r="DY184" s="458"/>
      <c r="DZ184" s="458"/>
      <c r="EA184" s="457"/>
      <c r="EB184" s="458"/>
      <c r="EC184" s="457"/>
      <c r="ED184" s="458"/>
      <c r="EE184" s="458"/>
      <c r="EF184" s="458"/>
      <c r="EG184" s="458"/>
      <c r="EH184" s="457"/>
      <c r="EI184" s="2763"/>
      <c r="EJ184" s="2763"/>
      <c r="EK184" s="2763"/>
      <c r="EL184" s="2763"/>
      <c r="EM184" s="2764"/>
      <c r="EN184" s="2763"/>
      <c r="EO184" s="2763"/>
      <c r="EP184" s="2764"/>
      <c r="EQ184" s="2764"/>
      <c r="ER184" s="2764"/>
      <c r="ES184" s="457"/>
      <c r="ET184" s="2763"/>
      <c r="EU184" s="457"/>
      <c r="EV184" s="457"/>
      <c r="EW184" s="457"/>
      <c r="EX184" s="457"/>
      <c r="EY184" s="457"/>
      <c r="EZ184" s="457"/>
      <c r="FA184" s="457"/>
      <c r="FB184" s="457"/>
      <c r="FC184" s="457"/>
      <c r="FD184" s="457"/>
      <c r="FE184" s="457"/>
      <c r="FF184" s="457"/>
      <c r="FG184" s="457"/>
      <c r="FH184" s="457"/>
      <c r="FI184" s="457"/>
      <c r="FJ184" s="457"/>
      <c r="FK184" s="457"/>
      <c r="FL184" s="457"/>
      <c r="FX184" s="386"/>
      <c r="FY184" s="386"/>
      <c r="FZ184" s="386"/>
      <c r="GA184" s="386"/>
      <c r="GB184" s="386"/>
      <c r="GC184" s="339"/>
      <c r="GD184" s="339"/>
      <c r="GE184" s="339"/>
      <c r="GF184" s="339"/>
      <c r="GG184" s="339"/>
      <c r="GH184" s="339"/>
      <c r="GI184" s="339"/>
      <c r="GJ184" s="253"/>
      <c r="GK184" s="253"/>
      <c r="GL184" s="253"/>
      <c r="GN184"/>
      <c r="GO184"/>
      <c r="GP184"/>
      <c r="GQ184"/>
      <c r="GR184"/>
      <c r="GS184"/>
    </row>
    <row r="185" spans="1:201" s="264" customFormat="1" ht="11.25" customHeight="1">
      <c r="A185" s="253"/>
      <c r="B185" s="253"/>
      <c r="C185" s="253"/>
      <c r="D185" s="253"/>
      <c r="E185" s="253"/>
      <c r="F185" s="253"/>
      <c r="G185" s="253"/>
      <c r="H185" s="253"/>
      <c r="I185" s="253"/>
      <c r="J185" s="253"/>
      <c r="K185" s="253"/>
      <c r="L185" s="253"/>
      <c r="M185" s="253"/>
      <c r="N185" s="253"/>
      <c r="O185" s="253"/>
      <c r="P185" s="253"/>
      <c r="Q185" s="253"/>
      <c r="R185" s="253"/>
      <c r="S185" s="253"/>
      <c r="T185" s="253"/>
      <c r="U185" s="253"/>
      <c r="V185" s="253"/>
      <c r="W185" s="253"/>
      <c r="X185" s="253"/>
      <c r="Y185" s="253"/>
      <c r="Z185" s="253"/>
      <c r="AA185" s="253"/>
      <c r="AB185" s="253"/>
      <c r="AC185" s="253"/>
      <c r="AD185" s="253"/>
      <c r="AE185" s="253"/>
      <c r="AF185" s="253"/>
      <c r="AG185" s="253"/>
      <c r="AH185" s="253"/>
      <c r="AI185" s="253"/>
      <c r="AJ185" s="253"/>
      <c r="AK185" s="253"/>
      <c r="AL185" s="253"/>
      <c r="AM185" s="253"/>
      <c r="AN185" s="253"/>
      <c r="AO185" s="253"/>
      <c r="AP185" s="253"/>
      <c r="AQ185" s="253"/>
      <c r="AR185" s="253"/>
      <c r="AS185" s="253"/>
      <c r="AT185" s="253"/>
      <c r="AU185" s="253"/>
      <c r="AV185" s="253"/>
      <c r="AW185" s="253"/>
      <c r="AX185" s="253"/>
      <c r="AY185" s="253"/>
      <c r="AZ185" s="253"/>
      <c r="BA185" s="253"/>
      <c r="BB185" s="253"/>
      <c r="BC185" s="253"/>
      <c r="BD185" s="253"/>
      <c r="BE185" s="253"/>
      <c r="BF185" s="253"/>
      <c r="BG185" s="253"/>
      <c r="BH185" s="253"/>
      <c r="BI185" s="253"/>
      <c r="BJ185" s="253"/>
      <c r="BK185" s="253"/>
      <c r="BL185" s="253"/>
      <c r="BM185" s="253"/>
      <c r="BN185" s="253"/>
      <c r="BO185" s="253"/>
      <c r="BP185" s="253"/>
      <c r="BQ185" s="253"/>
      <c r="BR185" s="253"/>
      <c r="BS185" s="253"/>
      <c r="BT185" s="253"/>
      <c r="BU185" s="253"/>
      <c r="BV185" s="253"/>
      <c r="BW185" s="253"/>
      <c r="BX185" s="253"/>
      <c r="BY185" s="253"/>
      <c r="BZ185" s="253"/>
      <c r="CK185" s="336"/>
      <c r="CL185" s="336"/>
      <c r="CM185" s="336"/>
      <c r="CN185" s="336"/>
      <c r="CO185" s="336"/>
      <c r="CP185" s="336"/>
      <c r="CQ185" s="336"/>
      <c r="CR185" s="336"/>
      <c r="CS185" s="336"/>
      <c r="CT185" s="336"/>
      <c r="CU185" s="336"/>
      <c r="CV185" s="336"/>
      <c r="CW185" s="336"/>
      <c r="CX185" s="336"/>
      <c r="CY185" s="336"/>
      <c r="CZ185" s="336"/>
      <c r="DA185" s="336"/>
      <c r="DB185" s="336"/>
      <c r="DC185" s="416"/>
      <c r="DD185" s="336"/>
      <c r="DE185" s="336"/>
      <c r="DF185" s="336"/>
      <c r="DG185" s="336"/>
      <c r="DH185" s="416"/>
      <c r="DI185" s="336"/>
      <c r="DJ185" s="416"/>
      <c r="DK185" s="416"/>
      <c r="DL185" s="416"/>
      <c r="DM185" s="416"/>
      <c r="DN185" s="336"/>
      <c r="DO185" s="336"/>
      <c r="DP185" s="416"/>
      <c r="DQ185" s="416"/>
      <c r="DR185" s="416"/>
      <c r="DS185" s="416"/>
      <c r="DT185" s="416"/>
      <c r="DU185" s="416"/>
      <c r="DV185" s="416"/>
      <c r="DW185" s="416"/>
      <c r="DX185" s="416"/>
      <c r="DY185" s="416"/>
      <c r="DZ185" s="416"/>
      <c r="EA185" s="336"/>
      <c r="EB185" s="416"/>
      <c r="EC185" s="336"/>
      <c r="ED185" s="416"/>
      <c r="EE185" s="416"/>
      <c r="EF185" s="416"/>
      <c r="EG185" s="416"/>
      <c r="EH185" s="336"/>
      <c r="EI185" s="2739"/>
      <c r="EJ185" s="2739"/>
      <c r="EK185" s="2739"/>
      <c r="EL185" s="2739"/>
      <c r="EM185" s="2738"/>
      <c r="EN185" s="2739"/>
      <c r="EO185" s="2739"/>
      <c r="EP185" s="2738"/>
      <c r="EQ185" s="2738"/>
      <c r="ER185" s="2738"/>
      <c r="ES185" s="336"/>
      <c r="ET185" s="2739"/>
      <c r="EU185" s="336"/>
      <c r="EV185" s="336"/>
      <c r="EW185" s="336"/>
      <c r="EX185" s="336"/>
      <c r="EY185" s="336"/>
      <c r="EZ185" s="336"/>
      <c r="FA185" s="336"/>
      <c r="FB185" s="336"/>
      <c r="FC185" s="336"/>
      <c r="FD185" s="336"/>
      <c r="FE185" s="336"/>
      <c r="FF185" s="336"/>
      <c r="FG185" s="336"/>
      <c r="FH185" s="336"/>
      <c r="FI185" s="336"/>
      <c r="FJ185" s="336"/>
      <c r="FK185" s="336"/>
      <c r="FL185" s="336"/>
      <c r="FX185" s="386"/>
      <c r="FY185" s="386"/>
      <c r="FZ185" s="386"/>
      <c r="GA185" s="386"/>
      <c r="GB185" s="386"/>
      <c r="GC185" s="339"/>
      <c r="GD185" s="339"/>
      <c r="GE185" s="339"/>
      <c r="GF185" s="339"/>
      <c r="GG185" s="339"/>
      <c r="GH185" s="339"/>
      <c r="GI185" s="339"/>
      <c r="GJ185" s="253"/>
      <c r="GK185" s="253"/>
      <c r="GL185" s="253"/>
      <c r="GN185"/>
      <c r="GO185"/>
      <c r="GP185"/>
      <c r="GQ185"/>
      <c r="GR185"/>
      <c r="GS185"/>
    </row>
    <row r="186" spans="1:201" s="264" customFormat="1" ht="11.25" customHeight="1">
      <c r="A186" s="253"/>
      <c r="B186" s="253"/>
      <c r="C186" s="253"/>
      <c r="D186" s="253"/>
      <c r="E186" s="253"/>
      <c r="F186" s="253"/>
      <c r="G186" s="253"/>
      <c r="H186" s="253"/>
      <c r="I186" s="253"/>
      <c r="J186" s="253"/>
      <c r="K186" s="253"/>
      <c r="L186" s="253"/>
      <c r="M186" s="253"/>
      <c r="N186" s="253"/>
      <c r="O186" s="253"/>
      <c r="P186" s="253"/>
      <c r="Q186" s="253"/>
      <c r="R186" s="253"/>
      <c r="S186" s="253"/>
      <c r="T186" s="253"/>
      <c r="U186" s="253"/>
      <c r="V186" s="253"/>
      <c r="W186" s="253"/>
      <c r="X186" s="253"/>
      <c r="Y186" s="253"/>
      <c r="Z186" s="253"/>
      <c r="AA186" s="253"/>
      <c r="AB186" s="253"/>
      <c r="AC186" s="253"/>
      <c r="AD186" s="253"/>
      <c r="AE186" s="253"/>
      <c r="AF186" s="253"/>
      <c r="AG186" s="253"/>
      <c r="AH186" s="253"/>
      <c r="AI186" s="253"/>
      <c r="AJ186" s="253"/>
      <c r="AK186" s="253"/>
      <c r="AL186" s="253"/>
      <c r="AM186" s="253"/>
      <c r="AN186" s="253"/>
      <c r="AO186" s="253"/>
      <c r="AP186" s="253"/>
      <c r="AQ186" s="253"/>
      <c r="AR186" s="253"/>
      <c r="AS186" s="253"/>
      <c r="AT186" s="253"/>
      <c r="AU186" s="253"/>
      <c r="AV186" s="253"/>
      <c r="AW186" s="253"/>
      <c r="AX186" s="253"/>
      <c r="AY186" s="253"/>
      <c r="AZ186" s="253"/>
      <c r="BA186" s="253"/>
      <c r="BB186" s="253"/>
      <c r="BC186" s="253"/>
      <c r="BD186" s="253"/>
      <c r="BE186" s="253"/>
      <c r="BF186" s="253"/>
      <c r="BG186" s="253"/>
      <c r="BH186" s="253"/>
      <c r="BI186" s="253"/>
      <c r="BJ186" s="253"/>
      <c r="BK186" s="253"/>
      <c r="BL186" s="253"/>
      <c r="BM186" s="253"/>
      <c r="BN186" s="253"/>
      <c r="BO186" s="253"/>
      <c r="BP186" s="253"/>
      <c r="BQ186" s="253"/>
      <c r="BR186" s="253"/>
      <c r="BS186" s="253"/>
      <c r="BT186" s="253"/>
      <c r="BU186" s="253"/>
      <c r="BV186" s="253"/>
      <c r="BW186" s="253"/>
      <c r="BX186" s="253"/>
      <c r="BY186" s="253"/>
      <c r="BZ186" s="253"/>
      <c r="CK186" s="336"/>
      <c r="CL186" s="336"/>
      <c r="CM186" s="336"/>
      <c r="CN186" s="336"/>
      <c r="CO186" s="336"/>
      <c r="CP186" s="336"/>
      <c r="CQ186" s="336"/>
      <c r="CR186" s="336"/>
      <c r="CS186" s="336"/>
      <c r="CT186" s="336"/>
      <c r="CU186" s="336"/>
      <c r="CV186" s="336"/>
      <c r="CW186" s="336"/>
      <c r="CX186" s="336"/>
      <c r="CY186" s="336"/>
      <c r="CZ186" s="336"/>
      <c r="DA186" s="336"/>
      <c r="DB186" s="336"/>
      <c r="DC186" s="416"/>
      <c r="DD186" s="336"/>
      <c r="DE186" s="336"/>
      <c r="DF186" s="336"/>
      <c r="DG186" s="336"/>
      <c r="DH186" s="416"/>
      <c r="DI186" s="336"/>
      <c r="DJ186" s="416"/>
      <c r="DK186" s="416"/>
      <c r="DL186" s="416"/>
      <c r="DM186" s="416"/>
      <c r="DN186" s="336"/>
      <c r="DO186" s="336"/>
      <c r="DP186" s="416"/>
      <c r="DQ186" s="416"/>
      <c r="DR186" s="416"/>
      <c r="DS186" s="416"/>
      <c r="DT186" s="416"/>
      <c r="DU186" s="416"/>
      <c r="DV186" s="416"/>
      <c r="DW186" s="416"/>
      <c r="DX186" s="416"/>
      <c r="DY186" s="416"/>
      <c r="DZ186" s="416"/>
      <c r="EA186" s="336"/>
      <c r="EB186" s="416"/>
      <c r="EC186" s="336"/>
      <c r="ED186" s="336"/>
      <c r="EE186" s="416"/>
      <c r="EF186" s="416"/>
      <c r="EG186" s="416"/>
      <c r="EH186" s="336"/>
      <c r="EI186" s="2738"/>
      <c r="EJ186" s="2739"/>
      <c r="EK186" s="2739"/>
      <c r="EL186" s="2739"/>
      <c r="EM186" s="2738"/>
      <c r="EN186" s="2738"/>
      <c r="EO186" s="2739"/>
      <c r="EP186" s="2738"/>
      <c r="EQ186" s="2738"/>
      <c r="ER186" s="2738"/>
      <c r="ES186" s="336"/>
      <c r="ET186" s="2739"/>
      <c r="EU186" s="336"/>
      <c r="EV186" s="336"/>
      <c r="EW186" s="336"/>
      <c r="EX186" s="336"/>
      <c r="EY186" s="336"/>
      <c r="EZ186" s="336"/>
      <c r="FA186" s="336"/>
      <c r="FB186" s="336"/>
      <c r="FC186" s="336"/>
      <c r="FD186" s="336"/>
      <c r="FE186" s="336"/>
      <c r="FF186" s="336"/>
      <c r="FG186" s="336"/>
      <c r="FH186" s="336"/>
      <c r="FI186" s="336"/>
      <c r="FJ186" s="336"/>
      <c r="FK186" s="336"/>
      <c r="FL186" s="336"/>
      <c r="FX186" s="386"/>
      <c r="FY186" s="386"/>
      <c r="FZ186" s="386"/>
      <c r="GA186" s="386"/>
      <c r="GB186" s="386"/>
      <c r="GC186" s="339"/>
      <c r="GD186" s="339"/>
      <c r="GE186" s="339"/>
      <c r="GF186" s="339"/>
      <c r="GG186" s="339"/>
      <c r="GH186" s="339"/>
      <c r="GI186" s="339"/>
      <c r="GJ186" s="253"/>
      <c r="GK186" s="253"/>
      <c r="GL186" s="253"/>
      <c r="GN186"/>
      <c r="GO186"/>
      <c r="GP186"/>
      <c r="GQ186"/>
      <c r="GR186"/>
      <c r="GS186"/>
    </row>
    <row r="187" spans="1:201" s="264" customFormat="1" ht="11.25" customHeight="1">
      <c r="A187" s="253"/>
      <c r="B187" s="253"/>
      <c r="C187" s="253"/>
      <c r="D187" s="253"/>
      <c r="E187" s="253"/>
      <c r="F187" s="253"/>
      <c r="G187" s="253"/>
      <c r="H187" s="253"/>
      <c r="I187" s="253"/>
      <c r="J187" s="253"/>
      <c r="K187" s="253"/>
      <c r="L187" s="253"/>
      <c r="M187" s="253"/>
      <c r="N187" s="253"/>
      <c r="O187" s="253"/>
      <c r="P187" s="253"/>
      <c r="Q187" s="253"/>
      <c r="R187" s="253"/>
      <c r="S187" s="253"/>
      <c r="T187" s="253"/>
      <c r="U187" s="253"/>
      <c r="V187" s="253"/>
      <c r="W187" s="253"/>
      <c r="X187" s="253"/>
      <c r="Y187" s="253"/>
      <c r="Z187" s="253"/>
      <c r="AA187" s="253"/>
      <c r="AB187" s="253"/>
      <c r="AC187" s="253"/>
      <c r="AD187" s="253"/>
      <c r="AE187" s="253"/>
      <c r="AF187" s="253"/>
      <c r="AG187" s="253"/>
      <c r="AH187" s="253"/>
      <c r="AI187" s="253"/>
      <c r="AJ187" s="253"/>
      <c r="AK187" s="253"/>
      <c r="AL187" s="253"/>
      <c r="AM187" s="253"/>
      <c r="AN187" s="253"/>
      <c r="AO187" s="253"/>
      <c r="AP187" s="253"/>
      <c r="AQ187" s="253"/>
      <c r="AR187" s="253"/>
      <c r="AS187" s="253"/>
      <c r="AT187" s="253"/>
      <c r="AU187" s="253"/>
      <c r="AV187" s="253"/>
      <c r="AW187" s="253"/>
      <c r="AX187" s="253"/>
      <c r="AY187" s="253"/>
      <c r="AZ187" s="253"/>
      <c r="BA187" s="253"/>
      <c r="BB187" s="253"/>
      <c r="BC187" s="253"/>
      <c r="BD187" s="253"/>
      <c r="BE187" s="253"/>
      <c r="BF187" s="253"/>
      <c r="BG187" s="253"/>
      <c r="BH187" s="253"/>
      <c r="BI187" s="253"/>
      <c r="BJ187" s="253"/>
      <c r="BK187" s="253"/>
      <c r="BL187" s="253"/>
      <c r="BM187" s="253"/>
      <c r="BN187" s="253"/>
      <c r="BO187" s="253"/>
      <c r="BP187" s="253"/>
      <c r="BQ187" s="253"/>
      <c r="BR187" s="253"/>
      <c r="BS187" s="253"/>
      <c r="BT187" s="253"/>
      <c r="BU187" s="253"/>
      <c r="BV187" s="253"/>
      <c r="BW187" s="253"/>
      <c r="BX187" s="253"/>
      <c r="BY187" s="253"/>
      <c r="BZ187" s="253"/>
      <c r="CK187" s="336"/>
      <c r="CL187" s="336"/>
      <c r="CM187" s="336"/>
      <c r="CN187" s="336"/>
      <c r="CO187" s="336"/>
      <c r="CP187" s="336"/>
      <c r="CQ187" s="336"/>
      <c r="CR187" s="336"/>
      <c r="CS187" s="336"/>
      <c r="CT187" s="336"/>
      <c r="CU187" s="336"/>
      <c r="CV187" s="336"/>
      <c r="CW187" s="336"/>
      <c r="CX187" s="336"/>
      <c r="CY187" s="336"/>
      <c r="CZ187" s="336"/>
      <c r="DA187" s="336"/>
      <c r="DB187" s="336"/>
      <c r="DC187" s="416"/>
      <c r="DD187" s="336"/>
      <c r="DE187" s="336"/>
      <c r="DF187" s="336"/>
      <c r="DG187" s="336"/>
      <c r="DH187" s="416"/>
      <c r="DI187" s="336"/>
      <c r="DJ187" s="416"/>
      <c r="DK187" s="416"/>
      <c r="DL187" s="416"/>
      <c r="DM187" s="416"/>
      <c r="DN187" s="336"/>
      <c r="DO187" s="336"/>
      <c r="DP187" s="416"/>
      <c r="DQ187" s="416"/>
      <c r="DR187" s="416"/>
      <c r="DS187" s="416"/>
      <c r="DT187" s="416"/>
      <c r="DU187" s="416"/>
      <c r="DV187" s="416"/>
      <c r="DW187" s="416"/>
      <c r="DX187" s="416"/>
      <c r="DY187" s="416"/>
      <c r="DZ187" s="416"/>
      <c r="EA187" s="336"/>
      <c r="EB187" s="416"/>
      <c r="EC187" s="336"/>
      <c r="ED187" s="336"/>
      <c r="EE187" s="416"/>
      <c r="EF187" s="416"/>
      <c r="EG187" s="416"/>
      <c r="EH187" s="336"/>
      <c r="EI187" s="2738"/>
      <c r="EJ187" s="2739"/>
      <c r="EK187" s="2739"/>
      <c r="EL187" s="2739"/>
      <c r="EM187" s="2738"/>
      <c r="EN187" s="2738"/>
      <c r="EO187" s="2739"/>
      <c r="EP187" s="2738"/>
      <c r="EQ187" s="2738"/>
      <c r="ER187" s="2738"/>
      <c r="ES187" s="336"/>
      <c r="ET187" s="2739"/>
      <c r="EU187" s="336"/>
      <c r="EV187" s="336"/>
      <c r="EW187" s="336"/>
      <c r="EX187" s="336"/>
      <c r="EY187" s="336"/>
      <c r="EZ187" s="336"/>
      <c r="FA187" s="336"/>
      <c r="FB187" s="336"/>
      <c r="FC187" s="336"/>
      <c r="FD187" s="336"/>
      <c r="FE187" s="336"/>
      <c r="FF187" s="336"/>
      <c r="FG187" s="336"/>
      <c r="FH187" s="336"/>
      <c r="FI187" s="336"/>
      <c r="FJ187" s="336"/>
      <c r="FK187" s="336"/>
      <c r="FL187" s="336"/>
      <c r="FX187" s="386"/>
      <c r="FY187" s="386"/>
      <c r="FZ187" s="386"/>
      <c r="GA187" s="386"/>
      <c r="GB187" s="386"/>
      <c r="GC187" s="339"/>
      <c r="GD187" s="339"/>
      <c r="GE187" s="339"/>
      <c r="GF187" s="339"/>
      <c r="GG187" s="339"/>
      <c r="GH187" s="339"/>
      <c r="GI187" s="339"/>
      <c r="GJ187" s="253"/>
      <c r="GK187" s="253"/>
      <c r="GL187" s="253"/>
      <c r="GN187"/>
      <c r="GO187"/>
      <c r="GP187"/>
      <c r="GQ187"/>
      <c r="GR187"/>
      <c r="GS187"/>
    </row>
    <row r="188" spans="1:201" s="264" customFormat="1" ht="11.25" customHeight="1">
      <c r="A188" s="253"/>
      <c r="B188" s="253"/>
      <c r="C188" s="253"/>
      <c r="D188" s="253"/>
      <c r="E188" s="253"/>
      <c r="F188" s="253"/>
      <c r="G188" s="253"/>
      <c r="H188" s="253"/>
      <c r="I188" s="253"/>
      <c r="J188" s="253"/>
      <c r="K188" s="253"/>
      <c r="L188" s="253"/>
      <c r="M188" s="253"/>
      <c r="N188" s="253"/>
      <c r="O188" s="253"/>
      <c r="P188" s="253"/>
      <c r="Q188" s="253"/>
      <c r="R188" s="253"/>
      <c r="S188" s="253"/>
      <c r="T188" s="253"/>
      <c r="U188" s="253"/>
      <c r="V188" s="253"/>
      <c r="W188" s="253"/>
      <c r="X188" s="253"/>
      <c r="Y188" s="253"/>
      <c r="Z188" s="253"/>
      <c r="AA188" s="253"/>
      <c r="AB188" s="253"/>
      <c r="AC188" s="253"/>
      <c r="AD188" s="253"/>
      <c r="AE188" s="253"/>
      <c r="AF188" s="253"/>
      <c r="AG188" s="253"/>
      <c r="AH188" s="253"/>
      <c r="AI188" s="253"/>
      <c r="AJ188" s="253"/>
      <c r="AK188" s="253"/>
      <c r="AL188" s="253"/>
      <c r="AM188" s="253"/>
      <c r="AN188" s="253"/>
      <c r="AO188" s="253"/>
      <c r="AP188" s="253"/>
      <c r="AQ188" s="253"/>
      <c r="AR188" s="253"/>
      <c r="AS188" s="253"/>
      <c r="AT188" s="253"/>
      <c r="AU188" s="253"/>
      <c r="AV188" s="253"/>
      <c r="AW188" s="253"/>
      <c r="AX188" s="253"/>
      <c r="AY188" s="253"/>
      <c r="AZ188" s="253"/>
      <c r="BA188" s="253"/>
      <c r="BB188" s="253"/>
      <c r="BC188" s="253"/>
      <c r="BD188" s="253"/>
      <c r="BE188" s="253"/>
      <c r="BF188" s="253"/>
      <c r="BG188" s="253"/>
      <c r="BH188" s="253"/>
      <c r="BI188" s="253"/>
      <c r="BJ188" s="253"/>
      <c r="BK188" s="253"/>
      <c r="BL188" s="253"/>
      <c r="BM188" s="253"/>
      <c r="BN188" s="253"/>
      <c r="BO188" s="253"/>
      <c r="BP188" s="253"/>
      <c r="BQ188" s="253"/>
      <c r="BR188" s="253"/>
      <c r="BS188" s="253"/>
      <c r="BT188" s="253"/>
      <c r="BU188" s="253"/>
      <c r="BV188" s="253"/>
      <c r="BW188" s="253"/>
      <c r="BX188" s="253"/>
      <c r="BY188" s="253"/>
      <c r="BZ188" s="253"/>
      <c r="CK188" s="336"/>
      <c r="CL188" s="336"/>
      <c r="CM188" s="336"/>
      <c r="CN188" s="336"/>
      <c r="CO188" s="336"/>
      <c r="CP188" s="336"/>
      <c r="CQ188" s="336"/>
      <c r="CR188" s="336"/>
      <c r="CS188" s="336"/>
      <c r="CT188" s="336"/>
      <c r="CU188" s="336"/>
      <c r="CV188" s="336"/>
      <c r="CW188" s="336"/>
      <c r="CX188" s="336"/>
      <c r="CY188" s="336"/>
      <c r="CZ188" s="336"/>
      <c r="DA188" s="336"/>
      <c r="DB188" s="336"/>
      <c r="DC188" s="416"/>
      <c r="DD188" s="336"/>
      <c r="DE188" s="336"/>
      <c r="DF188" s="336"/>
      <c r="DG188" s="336"/>
      <c r="DH188" s="416"/>
      <c r="DI188" s="336"/>
      <c r="DJ188" s="416"/>
      <c r="DK188" s="416"/>
      <c r="DL188" s="416"/>
      <c r="DM188" s="416"/>
      <c r="DN188" s="336"/>
      <c r="DO188" s="336"/>
      <c r="DP188" s="416"/>
      <c r="DQ188" s="416"/>
      <c r="DR188" s="416"/>
      <c r="DS188" s="416"/>
      <c r="DT188" s="416"/>
      <c r="DU188" s="416"/>
      <c r="DV188" s="416"/>
      <c r="DW188" s="416"/>
      <c r="DX188" s="416"/>
      <c r="DY188" s="416"/>
      <c r="DZ188" s="416"/>
      <c r="EA188" s="336"/>
      <c r="EB188" s="416"/>
      <c r="EC188" s="336"/>
      <c r="ED188" s="336"/>
      <c r="EE188" s="416"/>
      <c r="EF188" s="416"/>
      <c r="EG188" s="416"/>
      <c r="EH188" s="336"/>
      <c r="EI188" s="2738"/>
      <c r="EJ188" s="2739"/>
      <c r="EK188" s="2739"/>
      <c r="EL188" s="2739"/>
      <c r="EM188" s="2738"/>
      <c r="EN188" s="2738"/>
      <c r="EO188" s="2739"/>
      <c r="EP188" s="2738"/>
      <c r="EQ188" s="2738"/>
      <c r="ER188" s="2738"/>
      <c r="ES188" s="336"/>
      <c r="ET188" s="2739"/>
      <c r="EU188" s="336"/>
      <c r="EV188" s="336"/>
      <c r="EW188" s="336"/>
      <c r="EX188" s="336"/>
      <c r="EY188" s="336"/>
      <c r="EZ188" s="336"/>
      <c r="FA188" s="336"/>
      <c r="FB188" s="336"/>
      <c r="FC188" s="336"/>
      <c r="FD188" s="336"/>
      <c r="FE188" s="336"/>
      <c r="FF188" s="336"/>
      <c r="FG188" s="336"/>
      <c r="FH188" s="336"/>
      <c r="FI188" s="336"/>
      <c r="FJ188" s="336"/>
      <c r="FK188" s="336"/>
      <c r="FL188" s="336"/>
      <c r="FX188" s="386"/>
      <c r="FY188" s="386"/>
      <c r="FZ188" s="386"/>
      <c r="GA188" s="386"/>
      <c r="GB188" s="386"/>
      <c r="GC188" s="339"/>
      <c r="GD188" s="339"/>
      <c r="GE188" s="339"/>
      <c r="GF188" s="339"/>
      <c r="GG188" s="339"/>
      <c r="GH188" s="339"/>
      <c r="GI188" s="339"/>
      <c r="GJ188" s="253"/>
      <c r="GK188" s="253"/>
      <c r="GL188" s="253"/>
      <c r="GN188"/>
      <c r="GO188"/>
      <c r="GP188"/>
      <c r="GQ188"/>
      <c r="GR188"/>
      <c r="GS188"/>
    </row>
    <row r="189" spans="1:201" s="264" customFormat="1" ht="11.25" customHeight="1">
      <c r="A189" s="253"/>
      <c r="B189" s="253"/>
      <c r="C189" s="253"/>
      <c r="D189" s="253"/>
      <c r="E189" s="253"/>
      <c r="F189" s="253"/>
      <c r="G189" s="253"/>
      <c r="H189" s="253"/>
      <c r="I189" s="253"/>
      <c r="J189" s="253"/>
      <c r="K189" s="253"/>
      <c r="L189" s="253"/>
      <c r="M189" s="253"/>
      <c r="N189" s="253"/>
      <c r="O189" s="253"/>
      <c r="P189" s="253"/>
      <c r="Q189" s="253"/>
      <c r="R189" s="253"/>
      <c r="S189" s="253"/>
      <c r="T189" s="253"/>
      <c r="U189" s="253"/>
      <c r="V189" s="253"/>
      <c r="W189" s="253"/>
      <c r="X189" s="253"/>
      <c r="Y189" s="253"/>
      <c r="Z189" s="253"/>
      <c r="AA189" s="253"/>
      <c r="AB189" s="253"/>
      <c r="AC189" s="253"/>
      <c r="AD189" s="253"/>
      <c r="AE189" s="253"/>
      <c r="AF189" s="253"/>
      <c r="AG189" s="253"/>
      <c r="AH189" s="253"/>
      <c r="AI189" s="253"/>
      <c r="AJ189" s="253"/>
      <c r="AK189" s="253"/>
      <c r="AL189" s="253"/>
      <c r="AM189" s="253"/>
      <c r="AN189" s="253"/>
      <c r="AO189" s="253"/>
      <c r="AP189" s="253"/>
      <c r="AQ189" s="253"/>
      <c r="AR189" s="253"/>
      <c r="AS189" s="253"/>
      <c r="AT189" s="253"/>
      <c r="AU189" s="253"/>
      <c r="AV189" s="253"/>
      <c r="AW189" s="253"/>
      <c r="AX189" s="253"/>
      <c r="AY189" s="253"/>
      <c r="AZ189" s="253"/>
      <c r="BA189" s="253"/>
      <c r="BB189" s="253"/>
      <c r="BC189" s="253"/>
      <c r="BD189" s="253"/>
      <c r="BE189" s="253"/>
      <c r="BF189" s="253"/>
      <c r="BG189" s="253"/>
      <c r="BH189" s="253"/>
      <c r="BI189" s="253"/>
      <c r="BJ189" s="253"/>
      <c r="BK189" s="253"/>
      <c r="BL189" s="253"/>
      <c r="BM189" s="253"/>
      <c r="BN189" s="253"/>
      <c r="BO189" s="253"/>
      <c r="BP189" s="253"/>
      <c r="BQ189" s="253"/>
      <c r="BR189" s="253"/>
      <c r="BS189" s="253"/>
      <c r="BT189" s="253"/>
      <c r="BU189" s="253"/>
      <c r="BV189" s="253"/>
      <c r="BW189" s="253"/>
      <c r="BX189" s="253"/>
      <c r="BY189" s="253"/>
      <c r="BZ189" s="253"/>
      <c r="CK189" s="336"/>
      <c r="CL189" s="336"/>
      <c r="CM189" s="336"/>
      <c r="CN189" s="336"/>
      <c r="CO189" s="336"/>
      <c r="CP189" s="336"/>
      <c r="CQ189" s="336"/>
      <c r="CR189" s="336"/>
      <c r="CS189" s="336"/>
      <c r="CT189" s="336"/>
      <c r="CU189" s="336"/>
      <c r="CV189" s="336"/>
      <c r="CW189" s="336"/>
      <c r="CX189" s="336"/>
      <c r="CY189" s="336"/>
      <c r="CZ189" s="336"/>
      <c r="DA189" s="336"/>
      <c r="DB189" s="336"/>
      <c r="DC189" s="416"/>
      <c r="DD189" s="336"/>
      <c r="DE189" s="336"/>
      <c r="DF189" s="336"/>
      <c r="DG189" s="336"/>
      <c r="DH189" s="416"/>
      <c r="DI189" s="336"/>
      <c r="DJ189" s="416"/>
      <c r="DK189" s="416"/>
      <c r="DL189" s="416"/>
      <c r="DM189" s="416"/>
      <c r="DN189" s="336"/>
      <c r="DO189" s="336"/>
      <c r="DP189" s="416"/>
      <c r="DQ189" s="416"/>
      <c r="DR189" s="416"/>
      <c r="DS189" s="416"/>
      <c r="DT189" s="416"/>
      <c r="DU189" s="416"/>
      <c r="DV189" s="416"/>
      <c r="DW189" s="416"/>
      <c r="DX189" s="416"/>
      <c r="DY189" s="416"/>
      <c r="DZ189" s="416"/>
      <c r="EA189" s="336"/>
      <c r="EB189" s="416"/>
      <c r="EC189" s="336"/>
      <c r="ED189" s="336"/>
      <c r="EE189" s="416"/>
      <c r="EF189" s="416"/>
      <c r="EG189" s="416"/>
      <c r="EH189" s="336"/>
      <c r="EI189" s="2738"/>
      <c r="EJ189" s="2739"/>
      <c r="EK189" s="2739"/>
      <c r="EL189" s="2739"/>
      <c r="EM189" s="2738"/>
      <c r="EN189" s="2738"/>
      <c r="EO189" s="2739"/>
      <c r="EP189" s="2738"/>
      <c r="EQ189" s="2738"/>
      <c r="ER189" s="2738"/>
      <c r="ES189" s="336"/>
      <c r="ET189" s="2739"/>
      <c r="EU189" s="336"/>
      <c r="EV189" s="336"/>
      <c r="EW189" s="336"/>
      <c r="EX189" s="336"/>
      <c r="EY189" s="336"/>
      <c r="EZ189" s="336"/>
      <c r="FA189" s="336"/>
      <c r="FB189" s="336"/>
      <c r="FC189" s="336"/>
      <c r="FD189" s="336"/>
      <c r="FE189" s="336"/>
      <c r="FF189" s="336"/>
      <c r="FG189" s="336"/>
      <c r="FH189" s="336"/>
      <c r="FI189" s="336"/>
      <c r="FJ189" s="336"/>
      <c r="FK189" s="336"/>
      <c r="FL189" s="336"/>
      <c r="FX189" s="386"/>
      <c r="FY189" s="386"/>
      <c r="FZ189" s="386"/>
      <c r="GA189" s="386"/>
      <c r="GB189" s="386"/>
      <c r="GC189" s="339"/>
      <c r="GD189" s="339"/>
      <c r="GE189" s="339"/>
      <c r="GF189" s="339"/>
      <c r="GG189" s="339"/>
      <c r="GH189" s="339"/>
      <c r="GI189" s="339"/>
      <c r="GJ189" s="253"/>
      <c r="GK189" s="253"/>
      <c r="GL189" s="253"/>
      <c r="GN189"/>
      <c r="GO189"/>
      <c r="GP189"/>
      <c r="GQ189"/>
      <c r="GR189"/>
      <c r="GS189"/>
    </row>
    <row r="190" spans="1:201" s="264" customFormat="1" ht="11.25" customHeight="1">
      <c r="A190" s="253"/>
      <c r="B190" s="253"/>
      <c r="C190" s="253"/>
      <c r="D190" s="253"/>
      <c r="E190" s="253"/>
      <c r="F190" s="253"/>
      <c r="G190" s="253"/>
      <c r="H190" s="253"/>
      <c r="I190" s="253"/>
      <c r="J190" s="253"/>
      <c r="K190" s="253"/>
      <c r="L190" s="253"/>
      <c r="M190" s="253"/>
      <c r="N190" s="253"/>
      <c r="O190" s="253"/>
      <c r="P190" s="253"/>
      <c r="Q190" s="253"/>
      <c r="R190" s="253"/>
      <c r="S190" s="253"/>
      <c r="T190" s="253"/>
      <c r="U190" s="253"/>
      <c r="V190" s="253"/>
      <c r="W190" s="253"/>
      <c r="X190" s="253"/>
      <c r="Y190" s="253"/>
      <c r="Z190" s="253"/>
      <c r="AA190" s="253"/>
      <c r="AB190" s="253"/>
      <c r="AC190" s="253"/>
      <c r="AD190" s="253"/>
      <c r="AE190" s="253"/>
      <c r="AF190" s="253"/>
      <c r="AG190" s="253"/>
      <c r="AH190" s="253"/>
      <c r="AI190" s="253"/>
      <c r="AJ190" s="253"/>
      <c r="AK190" s="253"/>
      <c r="AL190" s="253"/>
      <c r="AM190" s="253"/>
      <c r="AN190" s="253"/>
      <c r="AO190" s="253"/>
      <c r="AP190" s="253"/>
      <c r="AQ190" s="253"/>
      <c r="AR190" s="253"/>
      <c r="AS190" s="253"/>
      <c r="AT190" s="253"/>
      <c r="AU190" s="253"/>
      <c r="AV190" s="253"/>
      <c r="AW190" s="253"/>
      <c r="AX190" s="253"/>
      <c r="AY190" s="253"/>
      <c r="AZ190" s="253"/>
      <c r="BA190" s="253"/>
      <c r="BB190" s="253"/>
      <c r="BC190" s="253"/>
      <c r="BD190" s="253"/>
      <c r="BE190" s="253"/>
      <c r="BF190" s="253"/>
      <c r="BG190" s="253"/>
      <c r="BH190" s="253"/>
      <c r="BI190" s="253"/>
      <c r="BJ190" s="253"/>
      <c r="BK190" s="253"/>
      <c r="BL190" s="253"/>
      <c r="BM190" s="253"/>
      <c r="BN190" s="253"/>
      <c r="BO190" s="253"/>
      <c r="BP190" s="253"/>
      <c r="BQ190" s="253"/>
      <c r="BR190" s="253"/>
      <c r="BS190" s="253"/>
      <c r="BT190" s="253"/>
      <c r="BU190" s="253"/>
      <c r="BV190" s="253"/>
      <c r="BW190" s="253"/>
      <c r="BX190" s="253"/>
      <c r="BY190" s="253"/>
      <c r="BZ190" s="253"/>
      <c r="CK190" s="336"/>
      <c r="CL190" s="336"/>
      <c r="CM190" s="336"/>
      <c r="CN190" s="336"/>
      <c r="CO190" s="336"/>
      <c r="CP190" s="336"/>
      <c r="CQ190" s="336"/>
      <c r="CR190" s="336"/>
      <c r="CS190" s="336"/>
      <c r="CT190" s="336"/>
      <c r="CU190" s="336"/>
      <c r="CV190" s="336"/>
      <c r="CW190" s="336"/>
      <c r="CX190" s="336"/>
      <c r="CY190" s="336"/>
      <c r="CZ190" s="336"/>
      <c r="DA190" s="336"/>
      <c r="DB190" s="336"/>
      <c r="DC190" s="416"/>
      <c r="DD190" s="336"/>
      <c r="DE190" s="336"/>
      <c r="DF190" s="336"/>
      <c r="DG190" s="336"/>
      <c r="DH190" s="416"/>
      <c r="DI190" s="336"/>
      <c r="DJ190" s="416"/>
      <c r="DK190" s="416"/>
      <c r="DL190" s="416"/>
      <c r="DM190" s="416"/>
      <c r="DN190" s="336"/>
      <c r="DO190" s="336"/>
      <c r="DP190" s="416"/>
      <c r="DQ190" s="416"/>
      <c r="DR190" s="416"/>
      <c r="DS190" s="416"/>
      <c r="DT190" s="416"/>
      <c r="DU190" s="416"/>
      <c r="DV190" s="416"/>
      <c r="DW190" s="416"/>
      <c r="DX190" s="416"/>
      <c r="DY190" s="416"/>
      <c r="DZ190" s="416"/>
      <c r="EA190" s="336"/>
      <c r="EB190" s="416"/>
      <c r="EC190" s="336"/>
      <c r="ED190" s="336"/>
      <c r="EE190" s="416"/>
      <c r="EF190" s="416"/>
      <c r="EG190" s="416"/>
      <c r="EH190" s="336"/>
      <c r="EI190" s="2738"/>
      <c r="EJ190" s="2739"/>
      <c r="EK190" s="2739"/>
      <c r="EL190" s="2739"/>
      <c r="EM190" s="2738"/>
      <c r="EN190" s="2738"/>
      <c r="EO190" s="2739"/>
      <c r="EP190" s="2738"/>
      <c r="EQ190" s="2738"/>
      <c r="ER190" s="2738"/>
      <c r="ES190" s="336"/>
      <c r="ET190" s="2739"/>
      <c r="EU190" s="336"/>
      <c r="EV190" s="336"/>
      <c r="EW190" s="336"/>
      <c r="EX190" s="336"/>
      <c r="EY190" s="336"/>
      <c r="EZ190" s="336"/>
      <c r="FA190" s="336"/>
      <c r="FB190" s="336"/>
      <c r="FC190" s="336"/>
      <c r="FD190" s="336"/>
      <c r="FE190" s="336"/>
      <c r="FF190" s="336"/>
      <c r="FG190" s="336"/>
      <c r="FH190" s="336"/>
      <c r="FI190" s="336"/>
      <c r="FJ190" s="336"/>
      <c r="FK190" s="336"/>
      <c r="FL190" s="336"/>
      <c r="FX190" s="386"/>
      <c r="FY190" s="386"/>
      <c r="FZ190" s="386"/>
      <c r="GA190" s="386"/>
      <c r="GB190" s="386"/>
      <c r="GC190" s="339"/>
      <c r="GD190" s="339"/>
      <c r="GE190" s="339"/>
      <c r="GF190" s="339"/>
      <c r="GG190" s="339"/>
      <c r="GH190" s="339"/>
      <c r="GI190" s="339"/>
      <c r="GJ190" s="253"/>
      <c r="GK190" s="253"/>
      <c r="GL190" s="253"/>
      <c r="GN190"/>
      <c r="GO190"/>
      <c r="GP190"/>
      <c r="GQ190"/>
      <c r="GR190"/>
      <c r="GS190"/>
    </row>
    <row r="191" spans="1:201" s="264" customFormat="1" ht="11.25" customHeight="1">
      <c r="A191" s="253"/>
      <c r="B191" s="253"/>
      <c r="C191" s="253"/>
      <c r="D191" s="253"/>
      <c r="E191" s="253"/>
      <c r="F191" s="253"/>
      <c r="G191" s="253"/>
      <c r="H191" s="253"/>
      <c r="I191" s="253"/>
      <c r="J191" s="253"/>
      <c r="K191" s="253"/>
      <c r="L191" s="253"/>
      <c r="M191" s="253"/>
      <c r="N191" s="253"/>
      <c r="O191" s="253"/>
      <c r="P191" s="253"/>
      <c r="Q191" s="253"/>
      <c r="R191" s="253"/>
      <c r="S191" s="253"/>
      <c r="T191" s="253"/>
      <c r="U191" s="253"/>
      <c r="V191" s="253"/>
      <c r="W191" s="253"/>
      <c r="X191" s="253"/>
      <c r="Y191" s="253"/>
      <c r="Z191" s="253"/>
      <c r="AA191" s="253"/>
      <c r="AB191" s="253"/>
      <c r="AC191" s="253"/>
      <c r="AD191" s="253"/>
      <c r="AE191" s="253"/>
      <c r="AF191" s="253"/>
      <c r="AG191" s="253"/>
      <c r="AH191" s="253"/>
      <c r="AI191" s="253"/>
      <c r="AJ191" s="253"/>
      <c r="AK191" s="253"/>
      <c r="AL191" s="253"/>
      <c r="AM191" s="253"/>
      <c r="AN191" s="253"/>
      <c r="AO191" s="253"/>
      <c r="AP191" s="253"/>
      <c r="AQ191" s="253"/>
      <c r="AR191" s="253"/>
      <c r="AS191" s="253"/>
      <c r="AT191" s="253"/>
      <c r="AU191" s="253"/>
      <c r="AV191" s="253"/>
      <c r="AW191" s="253"/>
      <c r="AX191" s="253"/>
      <c r="AY191" s="253"/>
      <c r="AZ191" s="253"/>
      <c r="BA191" s="253"/>
      <c r="BB191" s="253"/>
      <c r="BC191" s="253"/>
      <c r="BD191" s="253"/>
      <c r="BE191" s="253"/>
      <c r="BF191" s="253"/>
      <c r="BG191" s="253"/>
      <c r="BH191" s="253"/>
      <c r="BI191" s="253"/>
      <c r="BJ191" s="253"/>
      <c r="BK191" s="253"/>
      <c r="BL191" s="253"/>
      <c r="BM191" s="253"/>
      <c r="BN191" s="253"/>
      <c r="BO191" s="253"/>
      <c r="BP191" s="253"/>
      <c r="BQ191" s="253"/>
      <c r="BR191" s="253"/>
      <c r="BS191" s="253"/>
      <c r="BT191" s="253"/>
      <c r="BU191" s="253"/>
      <c r="BV191" s="253"/>
      <c r="BW191" s="253"/>
      <c r="BX191" s="253"/>
      <c r="BY191" s="253"/>
      <c r="BZ191" s="253"/>
      <c r="CK191" s="336"/>
      <c r="CL191" s="336"/>
      <c r="CM191" s="336"/>
      <c r="CN191" s="336"/>
      <c r="CO191" s="336"/>
      <c r="CP191" s="336"/>
      <c r="CQ191" s="336"/>
      <c r="CR191" s="336"/>
      <c r="CS191" s="336"/>
      <c r="CT191" s="336"/>
      <c r="CU191" s="336"/>
      <c r="CV191" s="336"/>
      <c r="CW191" s="336"/>
      <c r="CX191" s="336"/>
      <c r="CY191" s="336"/>
      <c r="CZ191" s="336"/>
      <c r="DA191" s="336"/>
      <c r="DB191" s="336"/>
      <c r="DC191" s="416"/>
      <c r="DD191" s="336"/>
      <c r="DE191" s="336"/>
      <c r="DF191" s="336"/>
      <c r="DG191" s="336"/>
      <c r="DH191" s="416"/>
      <c r="DI191" s="336"/>
      <c r="DJ191" s="416"/>
      <c r="DK191" s="416"/>
      <c r="DL191" s="416"/>
      <c r="DM191" s="416"/>
      <c r="DN191" s="336"/>
      <c r="DO191" s="336"/>
      <c r="DP191" s="416"/>
      <c r="DQ191" s="416"/>
      <c r="DR191" s="416"/>
      <c r="DS191" s="416"/>
      <c r="DT191" s="416"/>
      <c r="DU191" s="416"/>
      <c r="DV191" s="416"/>
      <c r="DW191" s="416"/>
      <c r="DX191" s="416"/>
      <c r="DY191" s="416"/>
      <c r="DZ191" s="416"/>
      <c r="EA191" s="336"/>
      <c r="EB191" s="416"/>
      <c r="EC191" s="336"/>
      <c r="ED191" s="336"/>
      <c r="EE191" s="416"/>
      <c r="EF191" s="416"/>
      <c r="EG191" s="416"/>
      <c r="EH191" s="336"/>
      <c r="EI191" s="2738"/>
      <c r="EJ191" s="2739"/>
      <c r="EK191" s="2739"/>
      <c r="EL191" s="2739"/>
      <c r="EM191" s="2738"/>
      <c r="EN191" s="2738"/>
      <c r="EO191" s="2739"/>
      <c r="EP191" s="2738"/>
      <c r="EQ191" s="2738"/>
      <c r="ER191" s="2738"/>
      <c r="ES191" s="336"/>
      <c r="ET191" s="2739"/>
      <c r="EU191" s="336"/>
      <c r="EV191" s="336"/>
      <c r="EW191" s="336"/>
      <c r="EX191" s="336"/>
      <c r="EY191" s="336"/>
      <c r="EZ191" s="336"/>
      <c r="FA191" s="336"/>
      <c r="FB191" s="336"/>
      <c r="FC191" s="336"/>
      <c r="FD191" s="336"/>
      <c r="FE191" s="336"/>
      <c r="FF191" s="336"/>
      <c r="FG191" s="336"/>
      <c r="FH191" s="336"/>
      <c r="FI191" s="336"/>
      <c r="FJ191" s="336"/>
      <c r="FK191" s="336"/>
      <c r="FL191" s="336"/>
      <c r="FX191" s="386"/>
      <c r="FY191" s="386"/>
      <c r="FZ191" s="386"/>
      <c r="GA191" s="386"/>
      <c r="GB191" s="386"/>
      <c r="GC191" s="339"/>
      <c r="GD191" s="339"/>
      <c r="GE191" s="339"/>
      <c r="GF191" s="339"/>
      <c r="GG191" s="339"/>
      <c r="GH191" s="339"/>
      <c r="GI191" s="339"/>
      <c r="GJ191" s="253"/>
      <c r="GK191" s="253"/>
      <c r="GL191" s="253"/>
      <c r="GN191"/>
      <c r="GO191"/>
      <c r="GP191"/>
      <c r="GQ191"/>
      <c r="GR191"/>
      <c r="GS191"/>
    </row>
    <row r="192" spans="1:201" s="264" customFormat="1" ht="11.25" customHeight="1">
      <c r="A192" s="253"/>
      <c r="B192" s="253"/>
      <c r="C192" s="253"/>
      <c r="D192" s="253"/>
      <c r="E192" s="253"/>
      <c r="F192" s="253"/>
      <c r="G192" s="253"/>
      <c r="H192" s="253"/>
      <c r="I192" s="253"/>
      <c r="J192" s="253"/>
      <c r="K192" s="253"/>
      <c r="L192" s="253"/>
      <c r="M192" s="253"/>
      <c r="N192" s="253"/>
      <c r="O192" s="253"/>
      <c r="P192" s="253"/>
      <c r="Q192" s="253"/>
      <c r="R192" s="253"/>
      <c r="S192" s="253"/>
      <c r="T192" s="253"/>
      <c r="U192" s="253"/>
      <c r="V192" s="253"/>
      <c r="W192" s="253"/>
      <c r="X192" s="253"/>
      <c r="Y192" s="253"/>
      <c r="Z192" s="253"/>
      <c r="AA192" s="253"/>
      <c r="AB192" s="253"/>
      <c r="AC192" s="253"/>
      <c r="AD192" s="253"/>
      <c r="AE192" s="253"/>
      <c r="AF192" s="253"/>
      <c r="AG192" s="253"/>
      <c r="AH192" s="253"/>
      <c r="AI192" s="253"/>
      <c r="AJ192" s="253"/>
      <c r="AK192" s="253"/>
      <c r="AL192" s="253"/>
      <c r="AM192" s="253"/>
      <c r="AN192" s="253"/>
      <c r="AO192" s="253"/>
      <c r="AP192" s="253"/>
      <c r="AQ192" s="253"/>
      <c r="AR192" s="253"/>
      <c r="AS192" s="253"/>
      <c r="AT192" s="253"/>
      <c r="AU192" s="253"/>
      <c r="AV192" s="253"/>
      <c r="AW192" s="253"/>
      <c r="AX192" s="253"/>
      <c r="AY192" s="253"/>
      <c r="AZ192" s="253"/>
      <c r="BA192" s="253"/>
      <c r="BB192" s="253"/>
      <c r="BC192" s="253"/>
      <c r="BD192" s="253"/>
      <c r="BE192" s="253"/>
      <c r="BF192" s="253"/>
      <c r="BG192" s="253"/>
      <c r="BH192" s="253"/>
      <c r="BI192" s="253"/>
      <c r="BJ192" s="253"/>
      <c r="BK192" s="253"/>
      <c r="BL192" s="253"/>
      <c r="BM192" s="253"/>
      <c r="BN192" s="253"/>
      <c r="BO192" s="253"/>
      <c r="BP192" s="253"/>
      <c r="BQ192" s="253"/>
      <c r="BR192" s="253"/>
      <c r="BS192" s="253"/>
      <c r="BT192" s="253"/>
      <c r="BU192" s="253"/>
      <c r="BV192" s="253"/>
      <c r="BW192" s="253"/>
      <c r="BX192" s="253"/>
      <c r="BY192" s="253"/>
      <c r="BZ192" s="253"/>
      <c r="CK192" s="336"/>
      <c r="CL192" s="336"/>
      <c r="CM192" s="336"/>
      <c r="CN192" s="336"/>
      <c r="CO192" s="336"/>
      <c r="CP192" s="336"/>
      <c r="CQ192" s="336"/>
      <c r="CR192" s="336"/>
      <c r="CS192" s="336"/>
      <c r="CT192" s="336"/>
      <c r="CU192" s="336"/>
      <c r="CV192" s="336"/>
      <c r="CW192" s="336"/>
      <c r="CX192" s="336"/>
      <c r="CY192" s="336"/>
      <c r="CZ192" s="336"/>
      <c r="DA192" s="336"/>
      <c r="DB192" s="336"/>
      <c r="DC192" s="416"/>
      <c r="DD192" s="336"/>
      <c r="DE192" s="336"/>
      <c r="DF192" s="336"/>
      <c r="DG192" s="336"/>
      <c r="DH192" s="416"/>
      <c r="DI192" s="336"/>
      <c r="DJ192" s="416"/>
      <c r="DK192" s="416"/>
      <c r="DL192" s="416"/>
      <c r="DM192" s="416"/>
      <c r="DN192" s="336"/>
      <c r="DO192" s="336"/>
      <c r="DP192" s="416"/>
      <c r="DQ192" s="416"/>
      <c r="DR192" s="416"/>
      <c r="DS192" s="416"/>
      <c r="DT192" s="416"/>
      <c r="DU192" s="416"/>
      <c r="DV192" s="416"/>
      <c r="DW192" s="416"/>
      <c r="DX192" s="416"/>
      <c r="DY192" s="416"/>
      <c r="DZ192" s="416"/>
      <c r="EA192" s="336"/>
      <c r="EB192" s="416"/>
      <c r="EC192" s="336"/>
      <c r="ED192" s="336"/>
      <c r="EE192" s="416"/>
      <c r="EF192" s="416"/>
      <c r="EG192" s="416"/>
      <c r="EH192" s="336"/>
      <c r="EI192" s="2738"/>
      <c r="EJ192" s="2739"/>
      <c r="EK192" s="2739"/>
      <c r="EL192" s="2739"/>
      <c r="EM192" s="2738"/>
      <c r="EN192" s="2738"/>
      <c r="EO192" s="2739"/>
      <c r="EP192" s="2738"/>
      <c r="EQ192" s="2738"/>
      <c r="ER192" s="2738"/>
      <c r="ES192" s="336"/>
      <c r="ET192" s="2739"/>
      <c r="EU192" s="336"/>
      <c r="EV192" s="336"/>
      <c r="EW192" s="336"/>
      <c r="EX192" s="336"/>
      <c r="EY192" s="336"/>
      <c r="EZ192" s="336"/>
      <c r="FA192" s="336"/>
      <c r="FB192" s="336"/>
      <c r="FC192" s="336"/>
      <c r="FD192" s="336"/>
      <c r="FE192" s="336"/>
      <c r="FF192" s="336"/>
      <c r="FG192" s="336"/>
      <c r="FH192" s="336"/>
      <c r="FI192" s="336"/>
      <c r="FJ192" s="336"/>
      <c r="FK192" s="336"/>
      <c r="FL192" s="336"/>
      <c r="FX192" s="386"/>
      <c r="FY192" s="386"/>
      <c r="FZ192" s="386"/>
      <c r="GA192" s="386"/>
      <c r="GB192" s="386"/>
      <c r="GC192" s="339"/>
      <c r="GD192" s="339"/>
      <c r="GE192" s="339"/>
      <c r="GF192" s="339"/>
      <c r="GG192" s="339"/>
      <c r="GH192" s="339"/>
      <c r="GI192" s="339"/>
      <c r="GJ192" s="253"/>
      <c r="GK192" s="253"/>
      <c r="GL192" s="253"/>
      <c r="GN192"/>
      <c r="GO192"/>
      <c r="GP192"/>
      <c r="GQ192"/>
      <c r="GR192"/>
      <c r="GS192"/>
    </row>
    <row r="193" spans="1:201" s="264" customFormat="1" ht="11.25" customHeight="1">
      <c r="A193" s="253"/>
      <c r="B193" s="253"/>
      <c r="C193" s="253"/>
      <c r="D193" s="253"/>
      <c r="E193" s="253"/>
      <c r="F193" s="253"/>
      <c r="G193" s="253"/>
      <c r="H193" s="253"/>
      <c r="I193" s="253"/>
      <c r="J193" s="253"/>
      <c r="K193" s="253"/>
      <c r="L193" s="253"/>
      <c r="M193" s="253"/>
      <c r="N193" s="253"/>
      <c r="O193" s="253"/>
      <c r="P193" s="253"/>
      <c r="Q193" s="253"/>
      <c r="R193" s="253"/>
      <c r="S193" s="253"/>
      <c r="T193" s="253"/>
      <c r="U193" s="253"/>
      <c r="V193" s="253"/>
      <c r="W193" s="253"/>
      <c r="X193" s="253"/>
      <c r="Y193" s="253"/>
      <c r="Z193" s="253"/>
      <c r="AA193" s="253"/>
      <c r="AB193" s="253"/>
      <c r="AC193" s="253"/>
      <c r="AD193" s="253"/>
      <c r="AE193" s="253"/>
      <c r="AF193" s="253"/>
      <c r="AG193" s="253"/>
      <c r="AH193" s="253"/>
      <c r="AI193" s="253"/>
      <c r="AJ193" s="253"/>
      <c r="AK193" s="253"/>
      <c r="AL193" s="253"/>
      <c r="AM193" s="253"/>
      <c r="AN193" s="253"/>
      <c r="AO193" s="253"/>
      <c r="AP193" s="253"/>
      <c r="AQ193" s="253"/>
      <c r="AR193" s="253"/>
      <c r="AS193" s="253"/>
      <c r="AT193" s="253"/>
      <c r="AU193" s="253"/>
      <c r="AV193" s="253"/>
      <c r="AW193" s="253"/>
      <c r="AX193" s="253"/>
      <c r="AY193" s="253"/>
      <c r="AZ193" s="253"/>
      <c r="BA193" s="253"/>
      <c r="BB193" s="253"/>
      <c r="BC193" s="253"/>
      <c r="BD193" s="253"/>
      <c r="BE193" s="253"/>
      <c r="BF193" s="253"/>
      <c r="BG193" s="253"/>
      <c r="BH193" s="253"/>
      <c r="BI193" s="253"/>
      <c r="BJ193" s="253"/>
      <c r="BK193" s="253"/>
      <c r="BL193" s="253"/>
      <c r="BM193" s="253"/>
      <c r="BN193" s="253"/>
      <c r="BO193" s="253"/>
      <c r="BP193" s="253"/>
      <c r="BQ193" s="253"/>
      <c r="BR193" s="253"/>
      <c r="BS193" s="253"/>
      <c r="BT193" s="253"/>
      <c r="BU193" s="253"/>
      <c r="BV193" s="253"/>
      <c r="BW193" s="253"/>
      <c r="BX193" s="253"/>
      <c r="BY193" s="253"/>
      <c r="BZ193" s="253"/>
      <c r="CK193" s="336"/>
      <c r="CL193" s="336"/>
      <c r="CM193" s="336"/>
      <c r="CN193" s="336"/>
      <c r="CO193" s="336"/>
      <c r="CP193" s="336"/>
      <c r="CQ193" s="336"/>
      <c r="CR193" s="336"/>
      <c r="CS193" s="336"/>
      <c r="CT193" s="336"/>
      <c r="CU193" s="336"/>
      <c r="CV193" s="336"/>
      <c r="CW193" s="336"/>
      <c r="CX193" s="336"/>
      <c r="CY193" s="336"/>
      <c r="CZ193" s="336"/>
      <c r="DA193" s="336"/>
      <c r="DB193" s="336"/>
      <c r="DC193" s="416"/>
      <c r="DD193" s="336"/>
      <c r="DE193" s="336"/>
      <c r="DF193" s="336"/>
      <c r="DG193" s="336"/>
      <c r="DH193" s="416"/>
      <c r="DI193" s="336"/>
      <c r="DJ193" s="416"/>
      <c r="DK193" s="416"/>
      <c r="DL193" s="416"/>
      <c r="DM193" s="416"/>
      <c r="DN193" s="336"/>
      <c r="DO193" s="336"/>
      <c r="DP193" s="416"/>
      <c r="DQ193" s="416"/>
      <c r="DR193" s="416"/>
      <c r="DS193" s="416"/>
      <c r="DT193" s="416"/>
      <c r="DU193" s="416"/>
      <c r="DV193" s="416"/>
      <c r="DW193" s="416"/>
      <c r="DX193" s="416"/>
      <c r="DY193" s="416"/>
      <c r="DZ193" s="416"/>
      <c r="EA193" s="336"/>
      <c r="EB193" s="416"/>
      <c r="EC193" s="336"/>
      <c r="ED193" s="336"/>
      <c r="EE193" s="416"/>
      <c r="EF193" s="416"/>
      <c r="EG193" s="416"/>
      <c r="EH193" s="336"/>
      <c r="EI193" s="2738"/>
      <c r="EJ193" s="2739"/>
      <c r="EK193" s="2739"/>
      <c r="EL193" s="2739"/>
      <c r="EM193" s="2738"/>
      <c r="EN193" s="2738"/>
      <c r="EO193" s="2738"/>
      <c r="EP193" s="2738"/>
      <c r="EQ193" s="2738"/>
      <c r="ER193" s="2738"/>
      <c r="ES193" s="336"/>
      <c r="ET193" s="2738"/>
      <c r="EU193" s="336"/>
      <c r="EV193" s="336"/>
      <c r="EW193" s="336"/>
      <c r="EX193" s="336"/>
      <c r="EY193" s="336"/>
      <c r="EZ193" s="336"/>
      <c r="FA193" s="336"/>
      <c r="FB193" s="336"/>
      <c r="FC193" s="336"/>
      <c r="FD193" s="336"/>
      <c r="FE193" s="336"/>
      <c r="FF193" s="336"/>
      <c r="FG193" s="336"/>
      <c r="FH193" s="336"/>
      <c r="FI193" s="336"/>
      <c r="FJ193" s="336"/>
      <c r="FK193" s="336"/>
      <c r="FL193" s="336"/>
      <c r="FX193" s="386"/>
      <c r="FY193" s="386"/>
      <c r="FZ193" s="386"/>
      <c r="GA193" s="386"/>
      <c r="GB193" s="386"/>
      <c r="GC193" s="339"/>
      <c r="GD193" s="339"/>
      <c r="GE193" s="339"/>
      <c r="GF193" s="339"/>
      <c r="GG193" s="339"/>
      <c r="GH193" s="339"/>
      <c r="GI193" s="339"/>
      <c r="GJ193" s="253"/>
      <c r="GK193" s="253"/>
      <c r="GL193" s="253"/>
      <c r="GN193"/>
      <c r="GO193"/>
      <c r="GP193"/>
      <c r="GQ193"/>
      <c r="GR193"/>
      <c r="GS193"/>
    </row>
    <row r="194" spans="1:201" s="264" customFormat="1" ht="11.25" customHeight="1">
      <c r="A194" s="253"/>
      <c r="B194" s="253"/>
      <c r="C194" s="253"/>
      <c r="D194" s="253"/>
      <c r="E194" s="253"/>
      <c r="F194" s="253"/>
      <c r="G194" s="253"/>
      <c r="H194" s="253"/>
      <c r="I194" s="253"/>
      <c r="J194" s="253"/>
      <c r="K194" s="253"/>
      <c r="L194" s="253"/>
      <c r="M194" s="253"/>
      <c r="N194" s="253"/>
      <c r="O194" s="253"/>
      <c r="P194" s="253"/>
      <c r="Q194" s="253"/>
      <c r="R194" s="253"/>
      <c r="S194" s="253"/>
      <c r="T194" s="253"/>
      <c r="U194" s="253"/>
      <c r="V194" s="253"/>
      <c r="W194" s="253"/>
      <c r="X194" s="253"/>
      <c r="Y194" s="253"/>
      <c r="Z194" s="253"/>
      <c r="AA194" s="253"/>
      <c r="AB194" s="253"/>
      <c r="AC194" s="253"/>
      <c r="AD194" s="253"/>
      <c r="AE194" s="253"/>
      <c r="AF194" s="253"/>
      <c r="AG194" s="253"/>
      <c r="AH194" s="253"/>
      <c r="AI194" s="253"/>
      <c r="AJ194" s="253"/>
      <c r="AK194" s="253"/>
      <c r="AL194" s="253"/>
      <c r="AM194" s="253"/>
      <c r="AN194" s="253"/>
      <c r="AO194" s="253"/>
      <c r="AP194" s="253"/>
      <c r="AQ194" s="253"/>
      <c r="AR194" s="253"/>
      <c r="AS194" s="253"/>
      <c r="AT194" s="253"/>
      <c r="AU194" s="253"/>
      <c r="AV194" s="253"/>
      <c r="AW194" s="253"/>
      <c r="AX194" s="253"/>
      <c r="AY194" s="253"/>
      <c r="AZ194" s="253"/>
      <c r="BA194" s="253"/>
      <c r="BB194" s="253"/>
      <c r="BC194" s="253"/>
      <c r="BD194" s="253"/>
      <c r="BE194" s="253"/>
      <c r="BF194" s="253"/>
      <c r="BG194" s="253"/>
      <c r="BH194" s="253"/>
      <c r="BI194" s="253"/>
      <c r="BJ194" s="253"/>
      <c r="BK194" s="253"/>
      <c r="BL194" s="253"/>
      <c r="BM194" s="253"/>
      <c r="BN194" s="253"/>
      <c r="BO194" s="253"/>
      <c r="BP194" s="253"/>
      <c r="BQ194" s="253"/>
      <c r="BR194" s="253"/>
      <c r="BS194" s="253"/>
      <c r="BT194" s="253"/>
      <c r="BU194" s="253"/>
      <c r="BV194" s="253"/>
      <c r="BW194" s="253"/>
      <c r="BX194" s="253"/>
      <c r="BY194" s="253"/>
      <c r="BZ194" s="253"/>
      <c r="CK194" s="336"/>
      <c r="CL194" s="336"/>
      <c r="CM194" s="336"/>
      <c r="CN194" s="336"/>
      <c r="CO194" s="336"/>
      <c r="CP194" s="336"/>
      <c r="CQ194" s="336"/>
      <c r="CR194" s="336"/>
      <c r="CS194" s="336"/>
      <c r="CT194" s="336"/>
      <c r="CU194" s="336"/>
      <c r="CV194" s="336"/>
      <c r="CW194" s="336"/>
      <c r="CX194" s="336"/>
      <c r="CY194" s="336"/>
      <c r="CZ194" s="336"/>
      <c r="DA194" s="336"/>
      <c r="DB194" s="336"/>
      <c r="DC194" s="416"/>
      <c r="DD194" s="336"/>
      <c r="DE194" s="336"/>
      <c r="DF194" s="336"/>
      <c r="DG194" s="336"/>
      <c r="DH194" s="416"/>
      <c r="DI194" s="336"/>
      <c r="DJ194" s="416"/>
      <c r="DK194" s="416"/>
      <c r="DL194" s="416"/>
      <c r="DM194" s="416"/>
      <c r="DN194" s="336"/>
      <c r="DO194" s="336"/>
      <c r="DP194" s="416"/>
      <c r="DQ194" s="416"/>
      <c r="DR194" s="416"/>
      <c r="DS194" s="416"/>
      <c r="DT194" s="416"/>
      <c r="DU194" s="416"/>
      <c r="DV194" s="416"/>
      <c r="DW194" s="416"/>
      <c r="DX194" s="416"/>
      <c r="DY194" s="416"/>
      <c r="DZ194" s="416"/>
      <c r="EA194" s="336"/>
      <c r="EB194" s="416"/>
      <c r="EC194" s="336"/>
      <c r="ED194" s="336"/>
      <c r="EE194" s="416"/>
      <c r="EF194" s="416"/>
      <c r="EG194" s="416"/>
      <c r="EH194" s="336"/>
      <c r="EI194" s="2738"/>
      <c r="EJ194" s="2739"/>
      <c r="EK194" s="2739"/>
      <c r="EL194" s="2739"/>
      <c r="EM194" s="2738"/>
      <c r="EN194" s="2738"/>
      <c r="EO194" s="2738"/>
      <c r="EP194" s="2738"/>
      <c r="EQ194" s="2738"/>
      <c r="ER194" s="2738"/>
      <c r="ES194" s="336"/>
      <c r="ET194" s="2738"/>
      <c r="EU194" s="336"/>
      <c r="EV194" s="336"/>
      <c r="EW194" s="336"/>
      <c r="EX194" s="336"/>
      <c r="EY194" s="336"/>
      <c r="EZ194" s="336"/>
      <c r="FA194" s="336"/>
      <c r="FB194" s="336"/>
      <c r="FC194" s="336"/>
      <c r="FD194" s="336"/>
      <c r="FE194" s="336"/>
      <c r="FF194" s="336"/>
      <c r="FG194" s="336"/>
      <c r="FH194" s="336"/>
      <c r="FI194" s="336"/>
      <c r="FJ194" s="336"/>
      <c r="FK194" s="336"/>
      <c r="FL194" s="336"/>
      <c r="FX194" s="386"/>
      <c r="FY194" s="386"/>
      <c r="FZ194" s="386"/>
      <c r="GA194" s="386"/>
      <c r="GB194" s="386"/>
      <c r="GC194" s="339"/>
      <c r="GD194" s="339"/>
      <c r="GE194" s="339"/>
      <c r="GF194" s="339"/>
      <c r="GG194" s="339"/>
      <c r="GH194" s="339"/>
      <c r="GI194" s="339"/>
      <c r="GJ194" s="253"/>
      <c r="GK194" s="253"/>
      <c r="GL194" s="253"/>
      <c r="GN194"/>
      <c r="GO194"/>
      <c r="GP194"/>
      <c r="GQ194"/>
      <c r="GR194"/>
      <c r="GS194"/>
    </row>
    <row r="195" spans="1:201" s="264" customFormat="1" ht="11.25" customHeight="1">
      <c r="A195" s="253"/>
      <c r="B195" s="253"/>
      <c r="C195" s="253"/>
      <c r="D195" s="253"/>
      <c r="E195" s="253"/>
      <c r="F195" s="253"/>
      <c r="G195" s="253"/>
      <c r="H195" s="253"/>
      <c r="I195" s="253"/>
      <c r="J195" s="253"/>
      <c r="K195" s="253"/>
      <c r="L195" s="253"/>
      <c r="M195" s="253"/>
      <c r="N195" s="253"/>
      <c r="O195" s="253"/>
      <c r="P195" s="253"/>
      <c r="Q195" s="253"/>
      <c r="R195" s="253"/>
      <c r="S195" s="253"/>
      <c r="T195" s="253"/>
      <c r="U195" s="253"/>
      <c r="V195" s="253"/>
      <c r="W195" s="253"/>
      <c r="X195" s="253"/>
      <c r="Y195" s="253"/>
      <c r="Z195" s="253"/>
      <c r="AA195" s="253"/>
      <c r="AB195" s="253"/>
      <c r="AC195" s="253"/>
      <c r="AD195" s="253"/>
      <c r="AE195" s="253"/>
      <c r="AF195" s="253"/>
      <c r="AG195" s="253"/>
      <c r="AH195" s="253"/>
      <c r="AI195" s="253"/>
      <c r="AJ195" s="253"/>
      <c r="AK195" s="253"/>
      <c r="AL195" s="253"/>
      <c r="AM195" s="253"/>
      <c r="AN195" s="253"/>
      <c r="AO195" s="253"/>
      <c r="AP195" s="253"/>
      <c r="AQ195" s="253"/>
      <c r="AR195" s="253"/>
      <c r="AS195" s="253"/>
      <c r="AT195" s="253"/>
      <c r="AU195" s="253"/>
      <c r="AV195" s="253"/>
      <c r="AW195" s="253"/>
      <c r="AX195" s="253"/>
      <c r="AY195" s="253"/>
      <c r="AZ195" s="253"/>
      <c r="BA195" s="253"/>
      <c r="BB195" s="253"/>
      <c r="BC195" s="253"/>
      <c r="BD195" s="253"/>
      <c r="BE195" s="253"/>
      <c r="BF195" s="253"/>
      <c r="BG195" s="253"/>
      <c r="BH195" s="253"/>
      <c r="BI195" s="253"/>
      <c r="BJ195" s="253"/>
      <c r="BK195" s="253"/>
      <c r="BL195" s="253"/>
      <c r="BM195" s="253"/>
      <c r="BN195" s="253"/>
      <c r="BO195" s="253"/>
      <c r="BP195" s="253"/>
      <c r="BQ195" s="253"/>
      <c r="BR195" s="253"/>
      <c r="BS195" s="253"/>
      <c r="BT195" s="253"/>
      <c r="BU195" s="253"/>
      <c r="BV195" s="253"/>
      <c r="BW195" s="253"/>
      <c r="BX195" s="253"/>
      <c r="BY195" s="253"/>
      <c r="BZ195" s="253"/>
      <c r="CK195" s="336"/>
      <c r="CL195" s="336"/>
      <c r="CM195" s="336"/>
      <c r="CN195" s="336"/>
      <c r="CO195" s="336"/>
      <c r="CP195" s="336"/>
      <c r="CQ195" s="336"/>
      <c r="CR195" s="336"/>
      <c r="CS195" s="336"/>
      <c r="CT195" s="336"/>
      <c r="CU195" s="336"/>
      <c r="CV195" s="336"/>
      <c r="CW195" s="336"/>
      <c r="CX195" s="336"/>
      <c r="CY195" s="336"/>
      <c r="CZ195" s="336"/>
      <c r="DA195" s="336"/>
      <c r="DB195" s="336"/>
      <c r="DC195" s="416"/>
      <c r="DD195" s="336"/>
      <c r="DE195" s="336"/>
      <c r="DF195" s="336"/>
      <c r="DG195" s="336"/>
      <c r="DH195" s="416"/>
      <c r="DI195" s="336"/>
      <c r="DJ195" s="416"/>
      <c r="DK195" s="416"/>
      <c r="DL195" s="416"/>
      <c r="DM195" s="416"/>
      <c r="DN195" s="336"/>
      <c r="DO195" s="336"/>
      <c r="DP195" s="416"/>
      <c r="DQ195" s="416"/>
      <c r="DR195" s="416"/>
      <c r="DS195" s="416"/>
      <c r="DT195" s="416"/>
      <c r="DU195" s="416"/>
      <c r="DV195" s="416"/>
      <c r="DW195" s="416"/>
      <c r="DX195" s="416"/>
      <c r="DY195" s="416"/>
      <c r="DZ195" s="416"/>
      <c r="EA195" s="336"/>
      <c r="EB195" s="416"/>
      <c r="EC195" s="336"/>
      <c r="ED195" s="336"/>
      <c r="EE195" s="416"/>
      <c r="EF195" s="416"/>
      <c r="EG195" s="416"/>
      <c r="EH195" s="336"/>
      <c r="EI195" s="2738"/>
      <c r="EJ195" s="2739"/>
      <c r="EK195" s="2739"/>
      <c r="EL195" s="2739"/>
      <c r="EM195" s="2738"/>
      <c r="EN195" s="2738"/>
      <c r="EO195" s="2738"/>
      <c r="EP195" s="2738"/>
      <c r="EQ195" s="2738"/>
      <c r="ER195" s="2738"/>
      <c r="ES195" s="336"/>
      <c r="ET195" s="2738"/>
      <c r="EU195" s="336"/>
      <c r="EV195" s="336"/>
      <c r="EW195" s="336"/>
      <c r="EX195" s="336"/>
      <c r="EY195" s="336"/>
      <c r="EZ195" s="336"/>
      <c r="FA195" s="336"/>
      <c r="FB195" s="336"/>
      <c r="FC195" s="336"/>
      <c r="FD195" s="336"/>
      <c r="FE195" s="336"/>
      <c r="FF195" s="336"/>
      <c r="FG195" s="336"/>
      <c r="FH195" s="336"/>
      <c r="FI195" s="336"/>
      <c r="FJ195" s="336"/>
      <c r="FK195" s="336"/>
      <c r="FL195" s="336"/>
      <c r="FX195" s="386"/>
      <c r="FY195" s="386"/>
      <c r="FZ195" s="386"/>
      <c r="GA195" s="386"/>
      <c r="GB195" s="386"/>
      <c r="GC195" s="339"/>
      <c r="GD195" s="339"/>
      <c r="GE195" s="339"/>
      <c r="GF195" s="339"/>
      <c r="GG195" s="339"/>
      <c r="GH195" s="339"/>
      <c r="GI195" s="339"/>
      <c r="GJ195" s="253"/>
      <c r="GK195" s="253"/>
      <c r="GL195" s="253"/>
      <c r="GN195"/>
      <c r="GO195"/>
      <c r="GP195"/>
      <c r="GQ195"/>
      <c r="GR195"/>
      <c r="GS195"/>
    </row>
    <row r="196" spans="1:201" customFormat="1" ht="11.25" customHeight="1"/>
    <row r="197" spans="1:201" ht="11.25" customHeight="1">
      <c r="EE197" s="261"/>
      <c r="EF197" s="261"/>
      <c r="EG197" s="261"/>
      <c r="EI197" s="2765"/>
      <c r="EJ197" s="2766"/>
      <c r="EK197" s="2766"/>
      <c r="EL197" s="2766"/>
      <c r="EM197" s="2765"/>
      <c r="EN197" s="2765"/>
      <c r="EO197" s="2765"/>
      <c r="EP197" s="2765"/>
      <c r="EQ197" s="2765"/>
      <c r="ER197" s="2765"/>
      <c r="ES197" s="757"/>
      <c r="ET197" s="2765"/>
      <c r="EU197" s="757"/>
      <c r="EV197" s="757"/>
      <c r="EW197" s="757"/>
      <c r="EX197" s="757"/>
      <c r="EY197" s="757"/>
      <c r="EZ197" s="757"/>
      <c r="FA197" s="757"/>
      <c r="FB197" s="757"/>
      <c r="FC197" s="757"/>
      <c r="FD197" s="757"/>
      <c r="FE197" s="757"/>
      <c r="FF197" s="757"/>
      <c r="FG197" s="757"/>
      <c r="FH197" s="757"/>
      <c r="FI197" s="757"/>
      <c r="FJ197" s="757"/>
      <c r="FK197" s="757"/>
      <c r="FL197" s="757"/>
    </row>
    <row r="198" spans="1:201" ht="11.25" customHeight="1">
      <c r="EI198" s="2765"/>
      <c r="EJ198" s="2765"/>
      <c r="EK198" s="2765"/>
      <c r="EL198" s="2765"/>
      <c r="EM198" s="2765"/>
      <c r="EN198" s="2765"/>
      <c r="EO198" s="2765"/>
      <c r="EP198" s="2765"/>
      <c r="EQ198" s="2765"/>
      <c r="ER198" s="2765"/>
      <c r="ES198" s="757"/>
      <c r="ET198" s="2765"/>
      <c r="EU198" s="757"/>
      <c r="EV198" s="757"/>
      <c r="EW198" s="757"/>
      <c r="EX198" s="757"/>
      <c r="EY198" s="757"/>
      <c r="EZ198" s="757"/>
      <c r="FA198" s="757"/>
      <c r="FB198" s="757"/>
      <c r="FC198" s="757"/>
      <c r="FD198" s="757"/>
      <c r="FE198" s="757"/>
      <c r="FF198" s="757"/>
      <c r="FG198" s="757"/>
      <c r="FH198" s="757"/>
      <c r="FI198" s="757"/>
      <c r="FJ198" s="757"/>
      <c r="FK198" s="757"/>
      <c r="FL198" s="757"/>
    </row>
    <row r="199" spans="1:201" ht="11.25" customHeight="1">
      <c r="EI199" s="2765"/>
      <c r="EJ199" s="2765"/>
      <c r="EK199" s="2765"/>
      <c r="EL199" s="2765"/>
      <c r="EM199" s="2765"/>
      <c r="EN199" s="2765"/>
      <c r="EO199" s="2765"/>
      <c r="EP199" s="2765"/>
      <c r="EQ199" s="2765"/>
      <c r="ER199" s="2765"/>
      <c r="ES199" s="757"/>
      <c r="ET199" s="2765"/>
      <c r="EU199" s="757"/>
      <c r="EV199" s="757"/>
      <c r="EW199" s="757"/>
      <c r="EX199" s="757"/>
      <c r="EY199" s="757"/>
      <c r="EZ199" s="757"/>
      <c r="FA199" s="757"/>
      <c r="FB199" s="757"/>
      <c r="FC199" s="757"/>
      <c r="FD199" s="757"/>
      <c r="FE199" s="757"/>
      <c r="FF199" s="757"/>
      <c r="FG199" s="757"/>
      <c r="FH199" s="757"/>
      <c r="FI199" s="757"/>
      <c r="FJ199" s="757"/>
      <c r="FK199" s="757"/>
      <c r="FL199" s="757"/>
    </row>
    <row r="200" spans="1:201" ht="11.25" customHeight="1">
      <c r="EI200" s="2765"/>
      <c r="EJ200" s="2765"/>
      <c r="EK200" s="2765"/>
      <c r="EL200" s="2765"/>
      <c r="EM200" s="2765"/>
      <c r="EN200" s="2765"/>
      <c r="EO200" s="2765"/>
      <c r="EP200" s="2765"/>
      <c r="EQ200" s="2765"/>
      <c r="ER200" s="2765"/>
      <c r="ES200" s="757"/>
      <c r="ET200" s="2765"/>
      <c r="EU200" s="757"/>
      <c r="EV200" s="757"/>
      <c r="EW200" s="757"/>
      <c r="EX200" s="757"/>
      <c r="EY200" s="757"/>
      <c r="EZ200" s="757"/>
      <c r="FA200" s="757"/>
      <c r="FB200" s="757"/>
      <c r="FC200" s="757"/>
      <c r="FD200" s="757"/>
      <c r="FE200" s="757"/>
      <c r="FF200" s="757"/>
      <c r="FG200" s="757"/>
      <c r="FH200" s="757"/>
      <c r="FI200" s="757"/>
      <c r="FJ200" s="757"/>
      <c r="FK200" s="757"/>
      <c r="FL200" s="757"/>
    </row>
    <row r="201" spans="1:201" ht="11.25" customHeight="1">
      <c r="EI201" s="2765"/>
      <c r="EJ201" s="2765"/>
      <c r="EK201" s="2765"/>
      <c r="EL201" s="2765"/>
      <c r="EM201" s="2765"/>
      <c r="EN201" s="2765"/>
      <c r="EO201" s="2765"/>
      <c r="EP201" s="2765"/>
      <c r="EQ201" s="2765"/>
      <c r="ER201" s="2765"/>
      <c r="ES201" s="757"/>
      <c r="ET201" s="2765"/>
      <c r="EU201" s="757"/>
      <c r="EV201" s="757"/>
      <c r="EW201" s="757"/>
      <c r="EX201" s="757"/>
      <c r="EY201" s="757"/>
      <c r="EZ201" s="757"/>
      <c r="FA201" s="757"/>
      <c r="FB201" s="757"/>
      <c r="FC201" s="757"/>
      <c r="FD201" s="757"/>
      <c r="FE201" s="757"/>
      <c r="FF201" s="757"/>
      <c r="FG201" s="757"/>
      <c r="FH201" s="757"/>
      <c r="FI201" s="757"/>
      <c r="FJ201" s="757"/>
      <c r="FK201" s="757"/>
      <c r="FL201" s="757"/>
    </row>
    <row r="202" spans="1:201" ht="11.25" customHeight="1">
      <c r="EI202" s="2765"/>
      <c r="EJ202" s="2765"/>
      <c r="EK202" s="2765"/>
      <c r="EL202" s="2765"/>
      <c r="EM202" s="2765"/>
      <c r="EN202" s="2765"/>
      <c r="EO202" s="2765"/>
      <c r="EP202" s="2765"/>
      <c r="EQ202" s="2765"/>
      <c r="ER202" s="2765"/>
      <c r="ES202" s="757"/>
      <c r="ET202" s="2765"/>
      <c r="EU202" s="757"/>
      <c r="EV202" s="757"/>
      <c r="EW202" s="757"/>
      <c r="EX202" s="757"/>
      <c r="EY202" s="757"/>
      <c r="EZ202" s="757"/>
      <c r="FA202" s="757"/>
      <c r="FB202" s="757"/>
      <c r="FC202" s="757"/>
      <c r="FD202" s="757"/>
      <c r="FE202" s="757"/>
      <c r="FF202" s="757"/>
      <c r="FG202" s="757"/>
      <c r="FH202" s="757"/>
      <c r="FI202" s="757"/>
      <c r="FJ202" s="757"/>
      <c r="FK202" s="757"/>
      <c r="FL202" s="757"/>
    </row>
    <row r="203" spans="1:201" ht="11.25" customHeight="1">
      <c r="EI203" s="2765"/>
      <c r="EJ203" s="2765"/>
      <c r="EK203" s="2765"/>
      <c r="EL203" s="2765"/>
      <c r="EM203" s="2765"/>
      <c r="EN203" s="2765"/>
      <c r="EO203" s="2765"/>
      <c r="EP203" s="2765"/>
      <c r="EQ203" s="2765"/>
      <c r="ER203" s="2765"/>
      <c r="ES203" s="757"/>
      <c r="ET203" s="2765"/>
      <c r="EU203" s="757"/>
      <c r="EV203" s="757"/>
      <c r="EW203" s="757"/>
      <c r="EX203" s="757"/>
      <c r="EY203" s="757"/>
      <c r="EZ203" s="757"/>
      <c r="FA203" s="757"/>
      <c r="FB203" s="757"/>
      <c r="FC203" s="757"/>
      <c r="FD203" s="757"/>
      <c r="FE203" s="757"/>
      <c r="FF203" s="757"/>
      <c r="FG203" s="757"/>
      <c r="FH203" s="757"/>
      <c r="FI203" s="757"/>
      <c r="FJ203" s="757"/>
      <c r="FK203" s="757"/>
      <c r="FL203" s="757"/>
    </row>
    <row r="204" spans="1:201" ht="11.25" customHeight="1">
      <c r="EI204" s="2765"/>
      <c r="EJ204" s="2765"/>
      <c r="EK204" s="2765"/>
      <c r="EL204" s="2765"/>
      <c r="EM204" s="2765"/>
      <c r="EN204" s="2765"/>
      <c r="EO204" s="2765"/>
      <c r="EP204" s="2765"/>
      <c r="EQ204" s="2765"/>
      <c r="ER204" s="2765"/>
      <c r="ES204" s="757"/>
      <c r="ET204" s="2765"/>
      <c r="EU204" s="757"/>
      <c r="EV204" s="757"/>
      <c r="EW204" s="757"/>
      <c r="EX204" s="757"/>
      <c r="EY204" s="757"/>
      <c r="EZ204" s="757"/>
      <c r="FA204" s="757"/>
      <c r="FB204" s="757"/>
      <c r="FC204" s="757"/>
      <c r="FD204" s="757"/>
      <c r="FE204" s="757"/>
      <c r="FF204" s="757"/>
      <c r="FG204" s="757"/>
      <c r="FH204" s="757"/>
      <c r="FI204" s="757"/>
      <c r="FJ204" s="757"/>
      <c r="FK204" s="757"/>
      <c r="FL204" s="757"/>
    </row>
    <row r="205" spans="1:201" ht="11.25" customHeight="1">
      <c r="EI205" s="2765"/>
      <c r="EJ205" s="2765"/>
      <c r="EK205" s="2765"/>
      <c r="EL205" s="2765"/>
      <c r="EM205" s="2765"/>
      <c r="EN205" s="2765"/>
      <c r="EO205" s="2765"/>
      <c r="EP205" s="2765"/>
      <c r="EQ205" s="2765"/>
      <c r="ER205" s="2765"/>
      <c r="ES205" s="757"/>
      <c r="ET205" s="2765"/>
      <c r="EU205" s="757"/>
      <c r="EV205" s="757"/>
      <c r="EW205" s="757"/>
      <c r="EX205" s="757"/>
      <c r="EY205" s="757"/>
      <c r="EZ205" s="757"/>
      <c r="FA205" s="757"/>
      <c r="FB205" s="757"/>
      <c r="FC205" s="757"/>
      <c r="FD205" s="757"/>
      <c r="FE205" s="757"/>
      <c r="FF205" s="757"/>
      <c r="FG205" s="757"/>
      <c r="FH205" s="757"/>
      <c r="FI205" s="757"/>
      <c r="FJ205" s="757"/>
      <c r="FK205" s="757"/>
      <c r="FL205" s="757"/>
    </row>
    <row r="206" spans="1:201" ht="11.25" customHeight="1">
      <c r="EI206" s="2765"/>
      <c r="EJ206" s="2765"/>
      <c r="EK206" s="2765"/>
      <c r="EL206" s="2765"/>
      <c r="EM206" s="2765"/>
      <c r="EN206" s="2765"/>
      <c r="EO206" s="2765"/>
      <c r="EP206" s="2765"/>
      <c r="EQ206" s="2765"/>
      <c r="ER206" s="2765"/>
      <c r="ES206" s="757"/>
      <c r="ET206" s="757"/>
      <c r="EU206" s="757"/>
      <c r="EV206" s="757"/>
      <c r="EW206" s="757"/>
      <c r="EX206" s="757"/>
      <c r="EY206" s="757"/>
      <c r="EZ206" s="757"/>
      <c r="FA206" s="757"/>
      <c r="FB206" s="757"/>
      <c r="FC206" s="757"/>
      <c r="FD206" s="757"/>
      <c r="FE206" s="757"/>
      <c r="FF206" s="757"/>
      <c r="FG206" s="757"/>
      <c r="FH206" s="757"/>
      <c r="FI206" s="757"/>
      <c r="FJ206" s="757"/>
      <c r="FK206" s="757"/>
      <c r="FL206" s="757"/>
    </row>
    <row r="207" spans="1:201" ht="11.25" customHeight="1">
      <c r="EI207" s="2765"/>
      <c r="EJ207" s="2765"/>
      <c r="EK207" s="2765"/>
      <c r="EL207" s="2765"/>
      <c r="EM207" s="2765"/>
      <c r="EN207" s="2765"/>
      <c r="EO207" s="2765"/>
      <c r="EP207" s="2765"/>
      <c r="EQ207" s="2765"/>
      <c r="ER207" s="2765"/>
      <c r="ES207" s="757"/>
      <c r="ET207" s="757"/>
      <c r="EU207" s="757"/>
      <c r="EV207" s="757"/>
      <c r="EW207" s="757"/>
      <c r="EX207" s="757"/>
      <c r="EY207" s="757"/>
      <c r="EZ207" s="757"/>
      <c r="FA207" s="757"/>
      <c r="FB207" s="757"/>
      <c r="FC207" s="757"/>
      <c r="FD207" s="757"/>
      <c r="FE207" s="757"/>
      <c r="FF207" s="757"/>
      <c r="FG207" s="757"/>
      <c r="FH207" s="757"/>
      <c r="FI207" s="757"/>
      <c r="FJ207" s="757"/>
      <c r="FK207" s="757"/>
      <c r="FL207" s="757"/>
    </row>
    <row r="208" spans="1:201" ht="11.25" customHeight="1">
      <c r="EI208" s="2765"/>
      <c r="EJ208" s="2765"/>
      <c r="EK208" s="2765"/>
      <c r="EL208" s="2765"/>
      <c r="EM208" s="2765"/>
      <c r="EN208" s="2765"/>
      <c r="EO208" s="2765"/>
      <c r="EP208" s="2765"/>
      <c r="EQ208" s="2765"/>
      <c r="ER208" s="2765"/>
      <c r="ES208" s="757"/>
      <c r="ET208" s="757"/>
      <c r="EU208" s="757"/>
      <c r="EV208" s="757"/>
      <c r="EW208" s="757"/>
      <c r="EX208" s="757"/>
      <c r="EY208" s="757"/>
      <c r="EZ208" s="757"/>
      <c r="FA208" s="757"/>
      <c r="FB208" s="757"/>
      <c r="FC208" s="757"/>
      <c r="FD208" s="757"/>
      <c r="FE208" s="757"/>
      <c r="FF208" s="757"/>
      <c r="FG208" s="757"/>
      <c r="FH208" s="757"/>
      <c r="FI208" s="757"/>
      <c r="FJ208" s="757"/>
      <c r="FK208" s="757"/>
      <c r="FL208" s="757"/>
    </row>
    <row r="209" spans="139:191" ht="11.25" customHeight="1">
      <c r="EI209" s="2765"/>
      <c r="EJ209" s="2765"/>
      <c r="EK209" s="2765"/>
      <c r="EL209" s="2765"/>
      <c r="EM209" s="2765"/>
      <c r="EN209" s="2765"/>
      <c r="EO209" s="2765"/>
      <c r="EP209" s="2765"/>
      <c r="EQ209" s="2765"/>
      <c r="ER209" s="2765"/>
      <c r="ES209" s="757"/>
      <c r="ET209" s="757"/>
      <c r="EU209" s="757"/>
      <c r="EV209" s="757"/>
      <c r="EW209" s="757"/>
      <c r="EX209" s="757"/>
      <c r="EY209" s="757"/>
      <c r="EZ209" s="757"/>
      <c r="FA209" s="757"/>
      <c r="FB209" s="757"/>
      <c r="FC209" s="757"/>
      <c r="FD209" s="757"/>
      <c r="FE209" s="757"/>
      <c r="FF209" s="757"/>
      <c r="FG209" s="757"/>
      <c r="FH209" s="757"/>
      <c r="FI209" s="757"/>
      <c r="FJ209" s="757"/>
      <c r="FK209" s="757"/>
      <c r="FL209" s="757"/>
    </row>
    <row r="210" spans="139:191" ht="11.25" customHeight="1">
      <c r="EI210" s="2765"/>
      <c r="EJ210" s="2765"/>
      <c r="EK210" s="2765"/>
      <c r="EL210" s="2765"/>
      <c r="EM210" s="2765"/>
      <c r="EN210" s="2765"/>
      <c r="EO210" s="2765"/>
      <c r="EP210" s="2765"/>
      <c r="EQ210" s="2765"/>
      <c r="ER210" s="2765"/>
      <c r="ES210" s="757"/>
      <c r="ET210" s="757"/>
      <c r="EU210" s="757"/>
      <c r="EV210" s="757"/>
      <c r="EW210" s="757"/>
      <c r="EX210" s="757"/>
      <c r="EY210" s="757"/>
      <c r="EZ210" s="757"/>
      <c r="FA210" s="757"/>
      <c r="FB210" s="757"/>
      <c r="FC210" s="757"/>
      <c r="FD210" s="757"/>
      <c r="FE210" s="757"/>
      <c r="FF210" s="757"/>
      <c r="FG210" s="757"/>
      <c r="FH210" s="757"/>
      <c r="FI210" s="757"/>
      <c r="FJ210" s="757"/>
      <c r="FK210" s="757"/>
      <c r="FL210" s="757"/>
    </row>
    <row r="211" spans="139:191" ht="11.25" customHeight="1">
      <c r="EI211" s="2765"/>
      <c r="EJ211" s="2765"/>
      <c r="EK211" s="2765"/>
      <c r="EL211" s="2765"/>
      <c r="EM211" s="2765"/>
      <c r="EN211" s="2765"/>
      <c r="EO211" s="2765"/>
      <c r="EP211" s="2765"/>
      <c r="EQ211" s="2765"/>
      <c r="ER211" s="2765"/>
      <c r="ES211" s="757"/>
      <c r="ET211" s="757"/>
      <c r="EU211" s="757"/>
      <c r="EV211" s="757"/>
      <c r="EW211" s="757"/>
      <c r="EX211" s="757"/>
      <c r="EY211" s="757"/>
      <c r="EZ211" s="757"/>
      <c r="FA211" s="757"/>
      <c r="FB211" s="757"/>
      <c r="FC211" s="757"/>
      <c r="FD211" s="757"/>
      <c r="FE211" s="757"/>
      <c r="FF211" s="757"/>
      <c r="FG211" s="757"/>
      <c r="FH211" s="757"/>
      <c r="FI211" s="757"/>
      <c r="FJ211" s="757"/>
      <c r="FK211" s="757"/>
      <c r="FL211" s="757"/>
    </row>
    <row r="212" spans="139:191" ht="11.25" customHeight="1">
      <c r="EI212" s="2765"/>
      <c r="EJ212" s="2765"/>
      <c r="EK212" s="2765"/>
      <c r="EL212" s="2765"/>
      <c r="EM212" s="2765"/>
      <c r="EN212" s="2765"/>
      <c r="EO212" s="2765"/>
      <c r="EP212" s="2765"/>
      <c r="EQ212" s="2765"/>
      <c r="ER212" s="2765"/>
      <c r="ES212" s="757"/>
      <c r="ET212" s="757"/>
      <c r="EU212" s="757"/>
      <c r="EV212" s="757"/>
      <c r="EW212" s="757"/>
      <c r="EX212" s="757"/>
      <c r="EY212" s="757"/>
      <c r="EZ212" s="757"/>
      <c r="FA212" s="757"/>
      <c r="FB212" s="757"/>
      <c r="FC212" s="757"/>
      <c r="FD212" s="757"/>
      <c r="FE212" s="757"/>
      <c r="FF212" s="757"/>
      <c r="FG212" s="757"/>
      <c r="FH212" s="757"/>
      <c r="FI212" s="757"/>
      <c r="FJ212" s="757"/>
      <c r="FK212" s="757"/>
      <c r="FL212" s="757"/>
    </row>
    <row r="213" spans="139:191" ht="11.25" customHeight="1">
      <c r="EI213" s="2765"/>
      <c r="EJ213" s="2765"/>
      <c r="EK213" s="2765"/>
      <c r="EL213" s="2765"/>
      <c r="EM213" s="2765"/>
      <c r="EN213" s="2765"/>
      <c r="EO213" s="2765"/>
      <c r="EP213" s="2765"/>
      <c r="EQ213" s="2765"/>
      <c r="ER213" s="2765"/>
      <c r="ES213" s="757"/>
      <c r="ET213" s="757"/>
      <c r="EU213" s="757"/>
      <c r="EV213" s="757"/>
      <c r="EW213" s="757"/>
      <c r="EX213" s="757"/>
      <c r="EY213" s="757"/>
      <c r="EZ213" s="757"/>
      <c r="FA213" s="757"/>
      <c r="FB213" s="757"/>
      <c r="FC213" s="757"/>
      <c r="FD213" s="757"/>
      <c r="FE213" s="757"/>
      <c r="FF213" s="757"/>
      <c r="FG213" s="757"/>
      <c r="FH213" s="757"/>
      <c r="FI213" s="757"/>
      <c r="FJ213" s="757"/>
      <c r="FK213" s="757"/>
      <c r="FL213" s="757"/>
    </row>
    <row r="214" spans="139:191" ht="11.25" customHeight="1">
      <c r="EI214" s="2765"/>
      <c r="EJ214" s="2765"/>
      <c r="EK214" s="2765"/>
      <c r="EL214" s="2765"/>
      <c r="EM214" s="2765"/>
      <c r="EN214" s="2765"/>
      <c r="EO214" s="2765"/>
      <c r="EP214" s="2765"/>
      <c r="EQ214" s="2765"/>
      <c r="ER214" s="2765"/>
      <c r="ES214" s="757"/>
      <c r="ET214" s="757"/>
      <c r="EU214" s="757"/>
      <c r="EV214" s="757"/>
      <c r="EW214" s="757"/>
      <c r="EX214" s="757"/>
      <c r="EY214" s="757"/>
      <c r="EZ214" s="757"/>
      <c r="FA214" s="757"/>
      <c r="FB214" s="757"/>
      <c r="FC214" s="757"/>
      <c r="FD214" s="757"/>
      <c r="FE214" s="757"/>
      <c r="FF214" s="757"/>
      <c r="FG214" s="757"/>
      <c r="FH214" s="757"/>
      <c r="FI214" s="757"/>
      <c r="FJ214" s="757"/>
      <c r="FK214" s="757"/>
      <c r="FL214" s="757"/>
    </row>
    <row r="215" spans="139:191" ht="11.25" customHeight="1">
      <c r="EI215" s="2765"/>
      <c r="EJ215" s="2765"/>
      <c r="EK215" s="2765"/>
      <c r="EL215" s="2765"/>
      <c r="EM215" s="2765"/>
      <c r="EN215" s="2765"/>
      <c r="EO215" s="2765"/>
      <c r="EP215" s="2765"/>
      <c r="EQ215" s="2765"/>
      <c r="ER215" s="2765"/>
      <c r="ES215" s="757"/>
      <c r="ET215" s="757"/>
      <c r="EU215" s="757"/>
      <c r="EV215" s="757"/>
      <c r="EW215" s="757"/>
      <c r="EX215" s="757"/>
      <c r="EY215" s="757"/>
      <c r="EZ215" s="757"/>
      <c r="FA215" s="757"/>
      <c r="FB215" s="757"/>
      <c r="FC215" s="757"/>
      <c r="FD215" s="757"/>
      <c r="FE215" s="757"/>
      <c r="FF215" s="757"/>
      <c r="FG215" s="757"/>
      <c r="FH215" s="757"/>
      <c r="FI215" s="757"/>
      <c r="FJ215" s="757"/>
      <c r="FK215" s="757"/>
      <c r="FL215" s="757"/>
    </row>
    <row r="216" spans="139:191" ht="11.25" customHeight="1">
      <c r="EI216" s="2765"/>
      <c r="EJ216" s="2765"/>
      <c r="EK216" s="2765"/>
      <c r="EL216" s="2765"/>
      <c r="EM216" s="2765"/>
      <c r="EN216" s="2765"/>
      <c r="EO216" s="2765"/>
      <c r="EP216" s="2765"/>
      <c r="EQ216" s="2765"/>
      <c r="ER216" s="2765"/>
      <c r="ES216" s="757"/>
      <c r="ET216" s="757"/>
      <c r="EU216" s="757"/>
      <c r="EV216" s="757"/>
      <c r="EW216" s="757"/>
      <c r="EX216" s="757"/>
      <c r="EY216" s="757"/>
      <c r="EZ216" s="757"/>
      <c r="FA216" s="757"/>
      <c r="FB216" s="757"/>
      <c r="FC216" s="757"/>
      <c r="FD216" s="757"/>
      <c r="FE216" s="757"/>
      <c r="FF216" s="757"/>
      <c r="FG216" s="757"/>
      <c r="FH216" s="757"/>
      <c r="FI216" s="757"/>
      <c r="FJ216" s="757"/>
      <c r="FK216" s="757"/>
      <c r="FL216" s="757"/>
    </row>
    <row r="217" spans="139:191" ht="11.25" customHeight="1">
      <c r="EI217" s="2765"/>
      <c r="EJ217" s="2765"/>
      <c r="EK217" s="2765"/>
      <c r="EL217" s="2765"/>
      <c r="EM217" s="2765"/>
      <c r="EN217" s="2765"/>
      <c r="EO217" s="2765"/>
      <c r="EP217" s="2765"/>
      <c r="EQ217" s="2765"/>
      <c r="ER217" s="2765"/>
      <c r="ES217" s="757"/>
      <c r="ET217" s="757"/>
      <c r="EU217" s="757"/>
      <c r="EV217" s="757"/>
      <c r="EW217" s="757"/>
      <c r="EX217" s="757"/>
      <c r="EY217" s="757"/>
      <c r="EZ217" s="757"/>
      <c r="FA217" s="757"/>
      <c r="FB217" s="757"/>
      <c r="FC217" s="757"/>
      <c r="FD217" s="757"/>
      <c r="FE217" s="757"/>
      <c r="FF217" s="757"/>
      <c r="FG217" s="757"/>
      <c r="FH217" s="757"/>
      <c r="FI217" s="757"/>
      <c r="FJ217" s="757"/>
      <c r="FK217" s="757"/>
      <c r="FL217" s="757"/>
    </row>
    <row r="218" spans="139:191" ht="11.25" customHeight="1">
      <c r="EI218" s="2765"/>
      <c r="EJ218" s="2765"/>
      <c r="EK218" s="2765"/>
      <c r="EL218" s="2765"/>
      <c r="EM218" s="2765"/>
      <c r="EN218" s="2765"/>
      <c r="EO218" s="2765"/>
      <c r="EP218" s="2765"/>
      <c r="EQ218" s="2765"/>
      <c r="ER218" s="2765"/>
      <c r="ES218" s="757"/>
      <c r="ET218" s="757"/>
      <c r="EU218" s="757"/>
      <c r="EV218" s="757"/>
      <c r="EW218" s="757"/>
      <c r="EX218" s="757"/>
      <c r="EY218" s="757"/>
      <c r="EZ218" s="757"/>
      <c r="FA218" s="757"/>
      <c r="FB218" s="757"/>
      <c r="FC218" s="757"/>
      <c r="FD218" s="757"/>
      <c r="FE218" s="757"/>
      <c r="FF218" s="757"/>
      <c r="FG218" s="757"/>
      <c r="FH218" s="757"/>
      <c r="FI218" s="757"/>
      <c r="FJ218" s="757"/>
      <c r="FK218" s="757"/>
      <c r="FL218" s="757"/>
    </row>
    <row r="219" spans="139:191" ht="11.25" customHeight="1">
      <c r="EI219" s="2765"/>
      <c r="EJ219" s="2765"/>
      <c r="EK219" s="2765"/>
      <c r="EL219" s="2765"/>
      <c r="EM219" s="2765"/>
      <c r="EN219" s="2765"/>
      <c r="EO219" s="2765"/>
      <c r="EP219" s="2765"/>
      <c r="EQ219" s="2765"/>
      <c r="ER219" s="2765"/>
      <c r="ES219" s="757"/>
      <c r="ET219" s="757"/>
      <c r="EU219" s="757"/>
      <c r="EV219" s="757"/>
      <c r="EW219" s="757"/>
      <c r="EX219" s="757"/>
      <c r="EY219" s="757"/>
      <c r="EZ219" s="757"/>
      <c r="FA219" s="757"/>
      <c r="FB219" s="757"/>
      <c r="FC219" s="757"/>
      <c r="FD219" s="757"/>
      <c r="FE219" s="757"/>
      <c r="FF219" s="757"/>
      <c r="FG219" s="757"/>
      <c r="FH219" s="757"/>
      <c r="FI219" s="757"/>
      <c r="FJ219" s="757"/>
      <c r="FK219" s="757"/>
      <c r="FL219" s="757"/>
    </row>
    <row r="220" spans="139:191" ht="11.25" customHeight="1">
      <c r="EI220" s="2765"/>
      <c r="EJ220" s="2765"/>
      <c r="EK220" s="2765"/>
      <c r="EL220" s="2765"/>
      <c r="EM220" s="2765"/>
      <c r="EN220" s="2765"/>
      <c r="EO220" s="2765"/>
      <c r="EP220" s="2765"/>
      <c r="EQ220" s="2765"/>
      <c r="ER220" s="2765"/>
      <c r="ES220" s="757"/>
      <c r="ET220" s="757"/>
      <c r="EU220" s="757"/>
      <c r="EV220" s="757"/>
      <c r="EW220" s="757"/>
      <c r="EX220" s="757"/>
      <c r="EY220" s="757"/>
      <c r="EZ220" s="757"/>
      <c r="FA220" s="757"/>
      <c r="FB220" s="757"/>
      <c r="FC220" s="757"/>
      <c r="FD220" s="757"/>
      <c r="FE220" s="757"/>
      <c r="FF220" s="757"/>
      <c r="FG220" s="757"/>
      <c r="FH220" s="757"/>
      <c r="FI220" s="757"/>
      <c r="FJ220" s="757"/>
      <c r="FK220" s="757"/>
      <c r="FL220" s="757"/>
      <c r="GH220" s="261"/>
      <c r="GI220" s="261"/>
    </row>
    <row r="221" spans="139:191" ht="11.25" customHeight="1">
      <c r="EI221" s="2765"/>
      <c r="EJ221" s="2765"/>
      <c r="EK221" s="2765"/>
      <c r="EL221" s="2765"/>
      <c r="EM221" s="2765"/>
      <c r="EN221" s="2765"/>
      <c r="EO221" s="2765"/>
      <c r="EP221" s="2765"/>
      <c r="EQ221" s="2765"/>
      <c r="ER221" s="2765"/>
      <c r="ES221" s="757"/>
      <c r="ET221" s="757"/>
      <c r="EU221" s="757"/>
      <c r="EV221" s="757"/>
      <c r="EW221" s="757"/>
      <c r="EX221" s="757"/>
      <c r="EY221" s="757"/>
      <c r="EZ221" s="757"/>
      <c r="FA221" s="757"/>
      <c r="FB221" s="757"/>
      <c r="FC221" s="757"/>
      <c r="FD221" s="757"/>
      <c r="FE221" s="757"/>
      <c r="FF221" s="757"/>
      <c r="FG221" s="757"/>
      <c r="FH221" s="757"/>
      <c r="FI221" s="757"/>
      <c r="FJ221" s="757"/>
      <c r="FK221" s="757"/>
      <c r="FL221" s="757"/>
    </row>
    <row r="222" spans="139:191" ht="11.25" customHeight="1">
      <c r="EI222" s="2765"/>
      <c r="EJ222" s="2765"/>
      <c r="EK222" s="2765"/>
      <c r="EL222" s="2765"/>
      <c r="EM222" s="2765"/>
      <c r="EN222" s="2765"/>
      <c r="EO222" s="2765"/>
      <c r="EP222" s="2765"/>
      <c r="EQ222" s="2765"/>
      <c r="ER222" s="2765"/>
      <c r="ES222" s="757"/>
      <c r="ET222" s="757"/>
      <c r="EU222" s="757"/>
      <c r="EV222" s="757"/>
      <c r="EW222" s="757"/>
      <c r="EX222" s="757"/>
      <c r="EY222" s="757"/>
      <c r="EZ222" s="757"/>
      <c r="FA222" s="757"/>
      <c r="FB222" s="757"/>
      <c r="FC222" s="757"/>
      <c r="FD222" s="757"/>
      <c r="FE222" s="757"/>
      <c r="FF222" s="757"/>
      <c r="FG222" s="757"/>
      <c r="FH222" s="757"/>
      <c r="FI222" s="757"/>
      <c r="FJ222" s="757"/>
      <c r="FK222" s="757"/>
      <c r="FL222" s="757"/>
    </row>
    <row r="223" spans="139:191" ht="11.25" customHeight="1">
      <c r="EI223" s="2765"/>
      <c r="EJ223" s="2765"/>
      <c r="EK223" s="2765"/>
      <c r="EL223" s="2765"/>
      <c r="EM223" s="2765"/>
      <c r="EN223" s="2765"/>
      <c r="EO223" s="2765"/>
      <c r="EP223" s="2765"/>
      <c r="EQ223" s="2765"/>
      <c r="ER223" s="2765"/>
      <c r="ES223" s="757"/>
      <c r="ET223" s="757"/>
      <c r="EU223" s="757"/>
      <c r="EV223" s="757"/>
      <c r="EW223" s="757"/>
      <c r="EX223" s="757"/>
      <c r="EY223" s="757"/>
      <c r="EZ223" s="757"/>
      <c r="FA223" s="757"/>
      <c r="FB223" s="757"/>
      <c r="FC223" s="757"/>
      <c r="FD223" s="757"/>
      <c r="FE223" s="757"/>
      <c r="FF223" s="757"/>
      <c r="FG223" s="757"/>
      <c r="FH223" s="757"/>
      <c r="FI223" s="757"/>
      <c r="FJ223" s="757"/>
      <c r="FK223" s="757"/>
      <c r="FL223" s="757"/>
    </row>
    <row r="224" spans="139:191" ht="11.25" customHeight="1">
      <c r="EI224" s="2765"/>
      <c r="EJ224" s="2765"/>
      <c r="EK224" s="2765"/>
      <c r="EL224" s="2765"/>
      <c r="EM224" s="2765"/>
      <c r="EN224" s="2765"/>
      <c r="EO224" s="2765"/>
      <c r="EP224" s="2765"/>
      <c r="EQ224" s="2765"/>
      <c r="ER224" s="2765"/>
      <c r="ES224" s="757"/>
      <c r="ET224" s="757"/>
      <c r="EU224" s="757"/>
      <c r="EV224" s="757"/>
      <c r="EW224" s="757"/>
      <c r="EX224" s="757"/>
      <c r="EY224" s="757"/>
      <c r="EZ224" s="757"/>
      <c r="FA224" s="757"/>
      <c r="FB224" s="757"/>
      <c r="FC224" s="757"/>
      <c r="FD224" s="757"/>
      <c r="FE224" s="757"/>
      <c r="FF224" s="757"/>
      <c r="FG224" s="757"/>
      <c r="FH224" s="757"/>
      <c r="FI224" s="757"/>
      <c r="FJ224" s="757"/>
      <c r="FK224" s="757"/>
      <c r="FL224" s="757"/>
    </row>
    <row r="225" spans="139:168" ht="11.25" customHeight="1">
      <c r="EI225" s="2765"/>
      <c r="EJ225" s="2765"/>
      <c r="EK225" s="2765"/>
      <c r="EL225" s="2765"/>
      <c r="EM225" s="2765"/>
      <c r="EN225" s="2765"/>
      <c r="EO225" s="2765"/>
      <c r="EP225" s="2765"/>
      <c r="EQ225" s="2765"/>
      <c r="ER225" s="2765"/>
      <c r="ES225" s="757"/>
      <c r="ET225" s="757"/>
      <c r="EU225" s="757"/>
      <c r="EV225" s="757"/>
      <c r="EW225" s="757"/>
      <c r="EX225" s="757"/>
      <c r="EY225" s="757"/>
      <c r="EZ225" s="757"/>
      <c r="FA225" s="757"/>
      <c r="FB225" s="757"/>
      <c r="FC225" s="757"/>
      <c r="FD225" s="757"/>
      <c r="FE225" s="757"/>
      <c r="FF225" s="757"/>
      <c r="FG225" s="757"/>
      <c r="FH225" s="757"/>
      <c r="FI225" s="757"/>
      <c r="FJ225" s="757"/>
      <c r="FK225" s="757"/>
      <c r="FL225" s="757"/>
    </row>
    <row r="226" spans="139:168" ht="11.25" customHeight="1">
      <c r="EI226" s="2765"/>
      <c r="EJ226" s="2765"/>
      <c r="EK226" s="2765"/>
      <c r="EL226" s="2765"/>
      <c r="EM226" s="2765"/>
      <c r="EN226" s="2765"/>
      <c r="EO226" s="2765"/>
      <c r="EP226" s="2765"/>
      <c r="EQ226" s="2765"/>
      <c r="ER226" s="2765"/>
      <c r="ES226" s="757"/>
      <c r="ET226" s="757"/>
      <c r="EU226" s="757"/>
      <c r="EV226" s="757"/>
      <c r="EW226" s="757"/>
      <c r="EX226" s="757"/>
      <c r="EY226" s="757"/>
      <c r="EZ226" s="757"/>
      <c r="FA226" s="757"/>
      <c r="FB226" s="757"/>
      <c r="FC226" s="757"/>
      <c r="FD226" s="757"/>
      <c r="FE226" s="757"/>
      <c r="FF226" s="757"/>
      <c r="FG226" s="757"/>
      <c r="FH226" s="757"/>
      <c r="FI226" s="757"/>
      <c r="FJ226" s="757"/>
      <c r="FK226" s="757"/>
      <c r="FL226" s="757"/>
    </row>
    <row r="227" spans="139:168" ht="11.25" customHeight="1">
      <c r="ES227" s="757"/>
      <c r="ET227" s="757"/>
      <c r="EU227" s="757"/>
      <c r="EV227" s="757"/>
      <c r="EW227" s="757"/>
      <c r="EX227" s="757"/>
      <c r="EY227" s="757"/>
      <c r="EZ227" s="757"/>
      <c r="FA227" s="757"/>
      <c r="FB227" s="757"/>
      <c r="FC227" s="757"/>
      <c r="FD227" s="757"/>
      <c r="FE227" s="757"/>
      <c r="FF227" s="757"/>
      <c r="FG227" s="757"/>
      <c r="FH227" s="757"/>
      <c r="FI227" s="757"/>
      <c r="FJ227" s="757"/>
      <c r="FK227" s="757"/>
      <c r="FL227" s="757"/>
    </row>
    <row r="228" spans="139:168" ht="11.25" customHeight="1">
      <c r="ES228" s="757"/>
      <c r="ET228" s="757"/>
      <c r="EU228" s="757"/>
      <c r="EV228" s="757"/>
      <c r="EW228" s="757"/>
      <c r="EX228" s="757"/>
      <c r="EY228" s="757"/>
      <c r="EZ228" s="757"/>
      <c r="FA228" s="757"/>
      <c r="FB228" s="757"/>
      <c r="FC228" s="757"/>
      <c r="FD228" s="757"/>
      <c r="FE228" s="757"/>
      <c r="FF228" s="757"/>
      <c r="FG228" s="757"/>
      <c r="FH228" s="757"/>
      <c r="FI228" s="757"/>
      <c r="FJ228" s="757"/>
      <c r="FK228" s="757"/>
      <c r="FL228" s="757"/>
    </row>
    <row r="229" spans="139:168" ht="11.25" customHeight="1">
      <c r="ES229" s="757"/>
      <c r="ET229" s="757"/>
      <c r="EU229" s="757"/>
      <c r="EV229" s="757"/>
      <c r="EW229" s="757"/>
      <c r="EX229" s="757"/>
      <c r="EY229" s="757"/>
      <c r="EZ229" s="757"/>
      <c r="FA229" s="757"/>
      <c r="FB229" s="757"/>
      <c r="FC229" s="757"/>
      <c r="FD229" s="757"/>
      <c r="FE229" s="757"/>
      <c r="FF229" s="757"/>
      <c r="FG229" s="757"/>
      <c r="FH229" s="757"/>
      <c r="FI229" s="757"/>
      <c r="FJ229" s="757"/>
      <c r="FK229" s="757"/>
      <c r="FL229" s="757"/>
    </row>
    <row r="230" spans="139:168" ht="11.25" customHeight="1">
      <c r="ES230" s="757"/>
      <c r="ET230" s="757"/>
      <c r="EU230" s="757"/>
      <c r="EV230" s="757"/>
      <c r="EW230" s="757"/>
      <c r="EX230" s="757"/>
      <c r="EY230" s="757"/>
      <c r="EZ230" s="757"/>
      <c r="FA230" s="757"/>
      <c r="FB230" s="757"/>
      <c r="FC230" s="757"/>
      <c r="FD230" s="757"/>
      <c r="FE230" s="757"/>
      <c r="FF230" s="757"/>
      <c r="FG230" s="757"/>
      <c r="FH230" s="757"/>
      <c r="FI230" s="757"/>
      <c r="FJ230" s="757"/>
      <c r="FK230" s="757"/>
      <c r="FL230" s="757"/>
    </row>
    <row r="231" spans="139:168" ht="11.25" customHeight="1">
      <c r="ES231" s="757"/>
      <c r="ET231" s="757"/>
      <c r="EU231" s="757"/>
      <c r="EV231" s="757"/>
      <c r="EW231" s="757"/>
      <c r="EX231" s="757"/>
      <c r="EY231" s="757"/>
      <c r="EZ231" s="757"/>
      <c r="FA231" s="757"/>
      <c r="FB231" s="757"/>
      <c r="FC231" s="757"/>
      <c r="FD231" s="757"/>
      <c r="FE231" s="757"/>
      <c r="FF231" s="757"/>
      <c r="FG231" s="757"/>
      <c r="FH231" s="757"/>
      <c r="FI231" s="757"/>
      <c r="FJ231" s="757"/>
      <c r="FK231" s="757"/>
      <c r="FL231" s="757"/>
    </row>
    <row r="232" spans="139:168" ht="11.25" customHeight="1">
      <c r="ES232" s="757"/>
      <c r="ET232" s="757"/>
      <c r="EU232" s="757"/>
      <c r="EV232" s="757"/>
      <c r="EW232" s="757"/>
      <c r="EX232" s="757"/>
      <c r="EY232" s="757"/>
      <c r="EZ232" s="757"/>
      <c r="FA232" s="757"/>
      <c r="FB232" s="757"/>
      <c r="FC232" s="757"/>
      <c r="FD232" s="757"/>
      <c r="FE232" s="757"/>
      <c r="FF232" s="757"/>
      <c r="FG232" s="757"/>
      <c r="FH232" s="757"/>
      <c r="FI232" s="757"/>
      <c r="FJ232" s="757"/>
      <c r="FK232" s="757"/>
      <c r="FL232" s="757"/>
    </row>
    <row r="233" spans="139:168" ht="11.25" customHeight="1">
      <c r="ES233" s="757"/>
      <c r="ET233" s="757"/>
      <c r="EU233" s="757"/>
      <c r="EV233" s="757"/>
      <c r="EW233" s="757"/>
      <c r="EX233" s="757"/>
      <c r="EY233" s="757"/>
      <c r="EZ233" s="757"/>
      <c r="FA233" s="757"/>
      <c r="FB233" s="757"/>
      <c r="FC233" s="757"/>
      <c r="FD233" s="757"/>
      <c r="FE233" s="757"/>
      <c r="FF233" s="757"/>
      <c r="FG233" s="757"/>
      <c r="FH233" s="757"/>
      <c r="FI233" s="757"/>
      <c r="FJ233" s="757"/>
      <c r="FK233" s="757"/>
      <c r="FL233" s="757"/>
    </row>
    <row r="234" spans="139:168" ht="11.25" customHeight="1">
      <c r="ES234" s="757"/>
      <c r="ET234" s="757"/>
      <c r="EU234" s="757"/>
      <c r="EV234" s="757"/>
      <c r="EW234" s="757"/>
      <c r="EX234" s="757"/>
      <c r="EY234" s="757"/>
      <c r="EZ234" s="757"/>
      <c r="FA234" s="757"/>
      <c r="FB234" s="757"/>
      <c r="FC234" s="757"/>
      <c r="FD234" s="757"/>
      <c r="FE234" s="757"/>
      <c r="FF234" s="757"/>
      <c r="FG234" s="757"/>
      <c r="FH234" s="757"/>
      <c r="FI234" s="757"/>
      <c r="FJ234" s="757"/>
      <c r="FK234" s="757"/>
      <c r="FL234" s="757"/>
    </row>
    <row r="235" spans="139:168" ht="11.25" customHeight="1">
      <c r="ES235" s="757"/>
      <c r="ET235" s="757"/>
      <c r="EU235" s="757"/>
      <c r="EV235" s="757"/>
      <c r="EW235" s="757"/>
      <c r="EX235" s="757"/>
      <c r="EY235" s="757"/>
      <c r="EZ235" s="757"/>
      <c r="FA235" s="757"/>
      <c r="FB235" s="757"/>
      <c r="FC235" s="757"/>
      <c r="FD235" s="757"/>
      <c r="FE235" s="757"/>
      <c r="FF235" s="757"/>
      <c r="FG235" s="757"/>
      <c r="FH235" s="757"/>
      <c r="FI235" s="757"/>
      <c r="FJ235" s="757"/>
      <c r="FK235" s="757"/>
      <c r="FL235" s="757"/>
    </row>
    <row r="236" spans="139:168" ht="11.25" customHeight="1">
      <c r="ES236" s="757"/>
      <c r="ET236" s="757"/>
      <c r="EU236" s="757"/>
      <c r="EV236" s="757"/>
      <c r="EW236" s="757"/>
      <c r="EX236" s="757"/>
      <c r="EY236" s="757"/>
      <c r="EZ236" s="757"/>
      <c r="FA236" s="757"/>
      <c r="FB236" s="757"/>
      <c r="FC236" s="757"/>
      <c r="FD236" s="757"/>
      <c r="FE236" s="757"/>
      <c r="FF236" s="757"/>
      <c r="FG236" s="757"/>
      <c r="FH236" s="757"/>
      <c r="FI236" s="757"/>
      <c r="FJ236" s="757"/>
      <c r="FK236" s="757"/>
      <c r="FL236" s="757"/>
    </row>
    <row r="237" spans="139:168" ht="11.25" customHeight="1">
      <c r="ES237" s="757"/>
      <c r="ET237" s="757"/>
      <c r="EU237" s="757"/>
      <c r="EV237" s="757"/>
      <c r="EW237" s="757"/>
      <c r="EX237" s="757"/>
      <c r="EY237" s="757"/>
      <c r="EZ237" s="757"/>
      <c r="FA237" s="757"/>
      <c r="FB237" s="757"/>
      <c r="FC237" s="757"/>
      <c r="FD237" s="757"/>
      <c r="FE237" s="757"/>
      <c r="FF237" s="757"/>
      <c r="FG237" s="757"/>
      <c r="FH237" s="757"/>
      <c r="FI237" s="757"/>
      <c r="FJ237" s="757"/>
      <c r="FK237" s="757"/>
      <c r="FL237" s="757"/>
    </row>
    <row r="238" spans="139:168" ht="11.25" customHeight="1">
      <c r="ES238" s="757"/>
      <c r="ET238" s="757"/>
      <c r="EU238" s="757"/>
      <c r="EV238" s="757"/>
      <c r="EW238" s="757"/>
      <c r="EX238" s="757"/>
      <c r="EY238" s="757"/>
      <c r="EZ238" s="757"/>
      <c r="FA238" s="757"/>
      <c r="FB238" s="757"/>
      <c r="FC238" s="757"/>
      <c r="FD238" s="757"/>
      <c r="FE238" s="757"/>
      <c r="FF238" s="757"/>
      <c r="FG238" s="757"/>
      <c r="FH238" s="757"/>
      <c r="FI238" s="757"/>
      <c r="FJ238" s="757"/>
      <c r="FK238" s="757"/>
      <c r="FL238" s="757"/>
    </row>
  </sheetData>
  <phoneticPr fontId="4" type="noConversion"/>
  <printOptions horizontalCentered="1"/>
  <pageMargins left="0" right="0" top="0" bottom="0" header="0" footer="0"/>
  <pageSetup paperSize="5" orientation="landscape" r:id="rId1"/>
  <headerFooter alignWithMargins="0"/>
  <ignoredErrors>
    <ignoredError sqref="CU161:CX180 CA180:CC180 E161:G180 CP161:CS180 CK161:CN180 I161:L180 N161:Q180 S161:V180 X161:AA180 AC161:AF180 AH161:AK180 AM161:AP180 AR161:AU180 AW161:AZ180 BB161:BE180 BG161:BJ180 BL161:BO180 BQ161:BT180 BV161:BY180 CA161:CD179 CF161:CI180" 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theme="3" tint="0.39997558519241921"/>
    <pageSetUpPr autoPageBreaks="0" fitToPage="1"/>
  </sheetPr>
  <dimension ref="A1:FX165"/>
  <sheetViews>
    <sheetView showGridLines="0" zoomScaleNormal="100" workbookViewId="0">
      <pane xSplit="2" ySplit="6" topLeftCell="EM7" activePane="bottomRight" state="frozen"/>
      <selection pane="topRight" activeCell="C1" sqref="C1"/>
      <selection pane="bottomLeft" activeCell="A7" sqref="A7"/>
      <selection pane="bottomRight" activeCell="EM7" sqref="EM7"/>
    </sheetView>
  </sheetViews>
  <sheetFormatPr defaultRowHeight="11.25" customHeight="1" outlineLevelRow="1" outlineLevelCol="1"/>
  <cols>
    <col min="1" max="1" width="12.7109375" style="261" customWidth="1"/>
    <col min="2" max="2" width="10.7109375" style="261" customWidth="1"/>
    <col min="3" max="3" width="4" style="261" hidden="1" customWidth="1"/>
    <col min="4" max="10" width="10.7109375" style="261" hidden="1" customWidth="1" outlineLevel="1"/>
    <col min="11" max="68" width="9.7109375" style="261" hidden="1" customWidth="1" outlineLevel="1"/>
    <col min="69" max="69" width="9.7109375" style="261" hidden="1" customWidth="1" outlineLevel="1" collapsed="1"/>
    <col min="70" max="73" width="9.7109375" style="261" hidden="1" customWidth="1" outlineLevel="1"/>
    <col min="74" max="74" width="9.7109375" style="261" hidden="1" customWidth="1" outlineLevel="1" collapsed="1"/>
    <col min="75" max="78" width="9.7109375" style="261" hidden="1" customWidth="1" outlineLevel="1"/>
    <col min="79" max="79" width="9.7109375" style="261" hidden="1" customWidth="1" outlineLevel="1" collapsed="1"/>
    <col min="80" max="107" width="9.7109375" style="261" hidden="1" customWidth="1" outlineLevel="1"/>
    <col min="108" max="108" width="9.7109375" style="261" hidden="1" customWidth="1" collapsed="1"/>
    <col min="109" max="112" width="9.7109375" style="261" hidden="1" customWidth="1" outlineLevel="1"/>
    <col min="113" max="113" width="9.7109375" style="261" hidden="1" customWidth="1" collapsed="1"/>
    <col min="114" max="117" width="9.7109375" style="261" hidden="1" customWidth="1" outlineLevel="1"/>
    <col min="118" max="118" width="9.7109375" style="261" hidden="1" customWidth="1" collapsed="1"/>
    <col min="119" max="119" width="9.7109375" style="459" hidden="1" customWidth="1" outlineLevel="1"/>
    <col min="120" max="122" width="9.7109375" style="261" hidden="1" customWidth="1" outlineLevel="1"/>
    <col min="123" max="123" width="9.7109375" style="261" hidden="1" customWidth="1" collapsed="1"/>
    <col min="124" max="124" width="9.7109375" style="459" hidden="1" customWidth="1" outlineLevel="1"/>
    <col min="125" max="127" width="9.7109375" style="261" hidden="1" customWidth="1" outlineLevel="1"/>
    <col min="128" max="128" width="9.7109375" style="261" hidden="1" customWidth="1" collapsed="1"/>
    <col min="129" max="129" width="9.7109375" style="459" hidden="1" customWidth="1" outlineLevel="1"/>
    <col min="130" max="130" width="9.7109375" style="261" hidden="1" customWidth="1" outlineLevel="1"/>
    <col min="131" max="131" width="9.7109375" style="1111" hidden="1" customWidth="1" outlineLevel="1"/>
    <col min="132" max="132" width="9.7109375" style="261" hidden="1" customWidth="1" outlineLevel="1"/>
    <col min="133" max="133" width="9.7109375" style="261" hidden="1" customWidth="1" collapsed="1"/>
    <col min="134" max="137" width="9.7109375" style="1111" hidden="1" customWidth="1" outlineLevel="1"/>
    <col min="138" max="138" width="9.7109375" style="1111" hidden="1" customWidth="1" collapsed="1"/>
    <col min="139" max="142" width="9.7109375" style="1111" hidden="1" customWidth="1" outlineLevel="1"/>
    <col min="143" max="143" width="9.7109375" style="1111" customWidth="1" collapsed="1"/>
    <col min="144" max="147" width="9.7109375" style="1111" hidden="1" customWidth="1" outlineLevel="1"/>
    <col min="148" max="148" width="9.7109375" style="1111" customWidth="1" collapsed="1"/>
    <col min="149" max="152" width="9.7109375" style="1111" customWidth="1" outlineLevel="1"/>
    <col min="153" max="153" width="9.7109375" style="1111" customWidth="1"/>
    <col min="154" max="157" width="9.7109375" style="1111" customWidth="1" outlineLevel="1"/>
    <col min="158" max="158" width="9.7109375" style="1111" customWidth="1"/>
    <col min="159" max="162" width="9.7109375" style="1111" hidden="1" customWidth="1" outlineLevel="1"/>
    <col min="163" max="163" width="9.7109375" style="1111" customWidth="1" collapsed="1"/>
    <col min="164" max="167" width="9.7109375" style="1111" hidden="1" customWidth="1" outlineLevel="1"/>
    <col min="168" max="168" width="9.7109375" style="1111" customWidth="1" collapsed="1"/>
    <col min="169" max="169" width="3.7109375" style="261" customWidth="1"/>
    <col min="170" max="170" width="10.7109375" style="261" customWidth="1"/>
    <col min="171" max="171" width="48.7109375" bestFit="1" customWidth="1"/>
    <col min="177" max="16384" width="9.140625" style="261"/>
  </cols>
  <sheetData>
    <row r="1" spans="1:180" s="461" customFormat="1" ht="11.25" customHeight="1">
      <c r="A1" s="460"/>
      <c r="CC1" s="462"/>
      <c r="CD1" s="462"/>
      <c r="CE1" s="462"/>
      <c r="CF1" s="95"/>
      <c r="CI1" s="463"/>
      <c r="CJ1" s="463"/>
      <c r="CK1" s="463"/>
      <c r="CL1" s="463"/>
      <c r="CM1" s="463"/>
      <c r="CN1" s="463"/>
      <c r="CO1" s="463"/>
      <c r="CP1" s="463"/>
      <c r="CQ1" s="463"/>
      <c r="CR1" s="463"/>
      <c r="CS1" s="463"/>
      <c r="CT1" s="463"/>
      <c r="CU1" s="463"/>
      <c r="CV1" s="463"/>
      <c r="CW1" s="463"/>
      <c r="CX1" s="463"/>
      <c r="CY1" s="463"/>
      <c r="CZ1" s="463"/>
      <c r="DA1" s="463"/>
      <c r="DB1" s="463"/>
      <c r="DC1" s="464"/>
      <c r="DD1" s="464"/>
      <c r="DE1" s="464"/>
      <c r="DF1" s="464"/>
      <c r="DG1" s="464"/>
      <c r="DH1" s="464"/>
      <c r="DI1" s="464"/>
      <c r="DJ1" s="464"/>
      <c r="DK1" s="464"/>
      <c r="DL1" s="464"/>
      <c r="DM1" s="464"/>
      <c r="DN1" s="464"/>
      <c r="DO1" s="463"/>
      <c r="DP1" s="464"/>
      <c r="DQ1" s="464"/>
      <c r="DR1" s="464"/>
      <c r="DS1" s="464"/>
      <c r="DT1" s="463"/>
      <c r="DU1" s="464"/>
      <c r="DV1" s="464"/>
      <c r="DW1" s="464"/>
      <c r="DX1" s="464"/>
      <c r="DY1" s="463"/>
      <c r="DZ1" s="464"/>
      <c r="EA1" s="1121"/>
      <c r="EB1" s="464"/>
      <c r="EC1" s="464"/>
      <c r="ED1" s="1121"/>
      <c r="EE1" s="1121"/>
      <c r="EF1" s="1121"/>
      <c r="EG1" s="1121"/>
      <c r="EH1" s="1121"/>
      <c r="EI1" s="1121"/>
      <c r="EJ1" s="1121"/>
      <c r="EK1" s="1121"/>
      <c r="EL1" s="1121"/>
      <c r="EM1" s="1121"/>
      <c r="EN1" s="1121"/>
      <c r="EO1" s="1121"/>
      <c r="EP1" s="1121"/>
      <c r="EQ1" s="1121"/>
      <c r="ER1" s="1121"/>
      <c r="ES1" s="1121"/>
      <c r="ET1" s="1121"/>
      <c r="EU1" s="1121"/>
      <c r="EV1" s="1121"/>
      <c r="EW1" s="1121"/>
      <c r="EX1" s="1121"/>
      <c r="EY1" s="1121"/>
      <c r="EZ1" s="1121"/>
      <c r="FA1" s="1121"/>
      <c r="FB1" s="1121"/>
      <c r="FC1" s="1121"/>
      <c r="FD1" s="1121"/>
      <c r="FE1" s="1121"/>
      <c r="FF1" s="1121"/>
      <c r="FG1" s="1121"/>
      <c r="FH1" s="1121"/>
      <c r="FI1" s="1121"/>
      <c r="FJ1" s="1121"/>
      <c r="FK1" s="1121"/>
      <c r="FL1" s="1121"/>
      <c r="FO1"/>
      <c r="FP1"/>
      <c r="FQ1"/>
      <c r="FR1"/>
      <c r="FS1"/>
      <c r="FT1"/>
      <c r="FU1" s="261"/>
      <c r="FV1" s="261"/>
      <c r="FW1" s="261"/>
      <c r="FX1" s="261"/>
    </row>
    <row r="2" spans="1:180" s="243" customFormat="1" ht="20.25">
      <c r="A2" s="262" t="str">
        <f>IS!A2</f>
        <v>Microsoft</v>
      </c>
      <c r="D2" s="461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461"/>
      <c r="Z2" s="461"/>
      <c r="AA2" s="461"/>
      <c r="AB2" s="461"/>
      <c r="AC2" s="461"/>
      <c r="AD2" s="461"/>
      <c r="AE2" s="461"/>
      <c r="AF2" s="461"/>
      <c r="AG2" s="461"/>
      <c r="AH2" s="461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1"/>
      <c r="AV2" s="461"/>
      <c r="AW2" s="461"/>
      <c r="AX2" s="461"/>
      <c r="AY2" s="461"/>
      <c r="AZ2" s="461"/>
      <c r="BA2" s="461"/>
      <c r="BB2" s="461"/>
      <c r="BC2" s="461"/>
      <c r="BD2" s="461"/>
      <c r="BE2" s="461"/>
      <c r="BF2" s="461"/>
      <c r="BG2" s="461"/>
      <c r="BH2" s="461"/>
      <c r="BI2" s="461"/>
      <c r="BJ2" s="461"/>
      <c r="BK2" s="461"/>
      <c r="BL2" s="461"/>
      <c r="BM2" s="461"/>
      <c r="BN2" s="461"/>
      <c r="BO2" s="461"/>
      <c r="BP2" s="461"/>
      <c r="BQ2" s="461"/>
      <c r="BR2" s="461"/>
      <c r="BS2" s="461"/>
      <c r="BT2" s="461"/>
      <c r="BU2" s="461"/>
      <c r="BV2" s="461"/>
      <c r="BW2" s="461"/>
      <c r="BX2" s="461"/>
      <c r="BY2" s="465"/>
      <c r="BZ2" s="465"/>
      <c r="CA2" s="246"/>
      <c r="CB2" s="246"/>
      <c r="CC2" s="246"/>
      <c r="CD2" s="466"/>
      <c r="CE2" s="466"/>
      <c r="CF2" s="466"/>
      <c r="CI2" s="467"/>
      <c r="CJ2" s="467"/>
      <c r="CK2" s="467"/>
      <c r="CL2" s="467"/>
      <c r="CM2" s="467"/>
      <c r="CN2" s="467"/>
      <c r="CO2" s="467"/>
      <c r="CP2" s="467"/>
      <c r="CQ2" s="467"/>
      <c r="CR2" s="467"/>
      <c r="CS2" s="467"/>
      <c r="CT2" s="467"/>
      <c r="CU2" s="467"/>
      <c r="CV2" s="467"/>
      <c r="CW2" s="468"/>
      <c r="CX2" s="467"/>
      <c r="CY2" s="467"/>
      <c r="CZ2" s="467"/>
      <c r="DA2" s="841"/>
      <c r="DB2" s="841"/>
      <c r="DC2" s="469"/>
      <c r="DD2" s="470"/>
      <c r="DE2" s="470"/>
      <c r="DF2" s="841"/>
      <c r="DG2" s="841"/>
      <c r="DH2" s="469"/>
      <c r="DI2" s="470"/>
      <c r="DJ2" s="470"/>
      <c r="DK2" s="841"/>
      <c r="DL2" s="841"/>
      <c r="DM2" s="469"/>
      <c r="DN2" s="470"/>
      <c r="DO2" s="467"/>
      <c r="DP2" s="841"/>
      <c r="DQ2" s="841"/>
      <c r="DR2" s="469"/>
      <c r="DS2" s="470"/>
      <c r="DT2" s="467"/>
      <c r="DU2" s="842"/>
      <c r="DV2" s="841"/>
      <c r="DW2" s="469"/>
      <c r="DX2" s="470"/>
      <c r="DY2" s="467"/>
      <c r="DZ2" s="842"/>
      <c r="EA2" s="1122"/>
      <c r="EB2" s="469"/>
      <c r="EC2" s="470"/>
      <c r="ED2" s="1124"/>
      <c r="EE2" s="1124"/>
      <c r="EF2" s="1124"/>
      <c r="EG2" s="1123"/>
      <c r="EH2" s="1124"/>
      <c r="EI2" s="1124"/>
      <c r="EJ2" s="1124"/>
      <c r="EK2" s="1122"/>
      <c r="EL2" s="1123"/>
      <c r="EM2" s="1124"/>
      <c r="EN2" s="1124"/>
      <c r="EO2" s="1124"/>
      <c r="EP2" s="1122"/>
      <c r="EQ2" s="1123"/>
      <c r="ER2" s="1124"/>
      <c r="ES2" s="1124"/>
      <c r="ET2" s="1124"/>
      <c r="EU2" s="1124"/>
      <c r="EV2" s="1124"/>
      <c r="EW2" s="1124"/>
      <c r="EX2" s="1124"/>
      <c r="EY2" s="1124"/>
      <c r="EZ2" s="1124"/>
      <c r="FA2" s="1124"/>
      <c r="FB2" s="1124"/>
      <c r="FC2" s="1124"/>
      <c r="FD2" s="1124"/>
      <c r="FE2" s="1124"/>
      <c r="FF2" s="1124"/>
      <c r="FG2" s="1124"/>
      <c r="FH2" s="1124"/>
      <c r="FI2" s="1124"/>
      <c r="FJ2" s="1124"/>
      <c r="FK2" s="1124"/>
      <c r="FL2" s="1124"/>
      <c r="FO2"/>
      <c r="FP2"/>
      <c r="FQ2"/>
      <c r="FR2"/>
      <c r="FS2"/>
      <c r="FT2"/>
      <c r="FU2" s="261"/>
      <c r="FV2" s="261"/>
      <c r="FW2" s="261"/>
      <c r="FX2" s="261"/>
    </row>
    <row r="3" spans="1:180" s="243" customFormat="1" ht="20.25">
      <c r="A3" s="472" t="s">
        <v>273</v>
      </c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461"/>
      <c r="Z3" s="461"/>
      <c r="AA3" s="461"/>
      <c r="AB3" s="461"/>
      <c r="AC3" s="461"/>
      <c r="AD3" s="461"/>
      <c r="AE3" s="461"/>
      <c r="AF3" s="461"/>
      <c r="AG3" s="461"/>
      <c r="AH3" s="461"/>
      <c r="AI3" s="461"/>
      <c r="AJ3" s="461"/>
      <c r="AK3" s="461"/>
      <c r="AL3" s="461"/>
      <c r="AM3" s="461"/>
      <c r="AN3" s="461"/>
      <c r="AO3" s="461"/>
      <c r="AP3" s="461"/>
      <c r="AQ3" s="461"/>
      <c r="AR3" s="461"/>
      <c r="AS3" s="461"/>
      <c r="AT3" s="461"/>
      <c r="AU3" s="461"/>
      <c r="AV3" s="461"/>
      <c r="AW3" s="461"/>
      <c r="AX3" s="461"/>
      <c r="AY3" s="461"/>
      <c r="AZ3" s="461"/>
      <c r="BA3" s="461"/>
      <c r="BB3" s="461"/>
      <c r="BC3" s="461"/>
      <c r="BD3" s="461"/>
      <c r="BE3" s="461"/>
      <c r="BF3" s="461"/>
      <c r="BG3" s="461"/>
      <c r="BH3" s="461"/>
      <c r="BI3" s="461"/>
      <c r="BJ3" s="461"/>
      <c r="BK3" s="461"/>
      <c r="BL3" s="461"/>
      <c r="BM3" s="461"/>
      <c r="BN3" s="461"/>
      <c r="BO3" s="461"/>
      <c r="BP3" s="461"/>
      <c r="BQ3" s="461"/>
      <c r="BR3" s="461"/>
      <c r="BS3" s="461"/>
      <c r="BT3" s="461"/>
      <c r="BU3" s="461"/>
      <c r="BV3" s="461"/>
      <c r="BW3" s="461"/>
      <c r="BX3" s="461"/>
      <c r="BY3" s="461"/>
      <c r="BZ3" s="461"/>
      <c r="CA3" s="246"/>
      <c r="CD3" s="246"/>
      <c r="CE3" s="246"/>
      <c r="CF3" s="246"/>
      <c r="CH3" s="467"/>
      <c r="CI3" s="467"/>
      <c r="CJ3" s="467"/>
      <c r="CK3" s="467"/>
      <c r="CL3" s="467"/>
      <c r="CM3" s="467"/>
      <c r="CN3" s="467"/>
      <c r="CO3" s="467"/>
      <c r="CP3" s="467"/>
      <c r="CQ3" s="467"/>
      <c r="CR3" s="467"/>
      <c r="CS3" s="467"/>
      <c r="CT3" s="467"/>
      <c r="CU3" s="467"/>
      <c r="CV3" s="467"/>
      <c r="CW3" s="467"/>
      <c r="CX3" s="467"/>
      <c r="CY3" s="467"/>
      <c r="CZ3" s="467"/>
      <c r="DA3" s="467"/>
      <c r="DB3" s="467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67"/>
      <c r="DP3" s="470"/>
      <c r="DQ3" s="470"/>
      <c r="DR3" s="470"/>
      <c r="DS3" s="470"/>
      <c r="DT3" s="467"/>
      <c r="DU3" s="470"/>
      <c r="DV3" s="470"/>
      <c r="DW3" s="470"/>
      <c r="DX3" s="470"/>
      <c r="DY3" s="467"/>
      <c r="DZ3" s="470"/>
      <c r="EA3" s="1124"/>
      <c r="EB3" s="470"/>
      <c r="EC3" s="470"/>
      <c r="ED3" s="1124"/>
      <c r="EE3" s="1124"/>
      <c r="EF3" s="1124"/>
      <c r="EG3" s="1124"/>
      <c r="EH3" s="1124"/>
      <c r="EI3" s="1124"/>
      <c r="EJ3" s="1124"/>
      <c r="EK3" s="1124"/>
      <c r="EL3" s="1124"/>
      <c r="EM3" s="1124"/>
      <c r="EN3" s="1124"/>
      <c r="EO3" s="1124"/>
      <c r="EP3" s="1124"/>
      <c r="EQ3" s="1124"/>
      <c r="ER3" s="1124"/>
      <c r="ES3" s="1124"/>
      <c r="ET3" s="1124"/>
      <c r="EU3" s="1124"/>
      <c r="EV3" s="1124"/>
      <c r="EW3" s="1124"/>
      <c r="EX3" s="1124"/>
      <c r="EY3" s="1124"/>
      <c r="EZ3" s="1124"/>
      <c r="FA3" s="1124"/>
      <c r="FB3" s="1124"/>
      <c r="FC3" s="1124"/>
      <c r="FD3" s="1124"/>
      <c r="FE3" s="1124"/>
      <c r="FF3" s="1124"/>
      <c r="FG3" s="1124"/>
      <c r="FH3" s="1124"/>
      <c r="FI3" s="1124"/>
      <c r="FJ3" s="1124"/>
      <c r="FK3" s="1124"/>
      <c r="FL3" s="1124"/>
      <c r="FO3"/>
      <c r="FP3"/>
      <c r="FQ3"/>
      <c r="FR3"/>
      <c r="FS3"/>
      <c r="FT3"/>
      <c r="FU3" s="261"/>
      <c r="FV3" s="261"/>
      <c r="FW3" s="261"/>
      <c r="FX3" s="261"/>
    </row>
    <row r="4" spans="1:180" s="243" customFormat="1" ht="9.9499999999999993" customHeight="1">
      <c r="A4" s="460" t="s">
        <v>536</v>
      </c>
      <c r="B4" s="461"/>
      <c r="C4" s="461"/>
      <c r="D4" s="461"/>
      <c r="E4" s="461"/>
      <c r="F4" s="461"/>
      <c r="G4" s="461"/>
      <c r="H4" s="461"/>
      <c r="I4" s="461"/>
      <c r="J4" s="461"/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461"/>
      <c r="Z4" s="461"/>
      <c r="AA4" s="461"/>
      <c r="AB4" s="461"/>
      <c r="AC4" s="461"/>
      <c r="AD4" s="461"/>
      <c r="AE4" s="461"/>
      <c r="AF4" s="461"/>
      <c r="AG4" s="461"/>
      <c r="AH4" s="461"/>
      <c r="AI4" s="461"/>
      <c r="AJ4" s="461"/>
      <c r="AK4" s="461"/>
      <c r="AL4" s="461"/>
      <c r="AM4" s="461"/>
      <c r="AN4" s="461"/>
      <c r="AO4" s="461"/>
      <c r="AP4" s="461"/>
      <c r="AQ4" s="461"/>
      <c r="AR4" s="461"/>
      <c r="AS4" s="461"/>
      <c r="AT4" s="461"/>
      <c r="AU4" s="461"/>
      <c r="AV4" s="461"/>
      <c r="AW4" s="461"/>
      <c r="AX4" s="461"/>
      <c r="AY4" s="461"/>
      <c r="AZ4" s="461"/>
      <c r="BA4" s="461"/>
      <c r="BB4" s="461"/>
      <c r="BC4" s="461"/>
      <c r="BD4" s="461"/>
      <c r="BE4" s="461"/>
      <c r="BF4" s="461"/>
      <c r="BG4" s="461"/>
      <c r="BH4" s="461"/>
      <c r="BI4" s="461"/>
      <c r="BJ4" s="461"/>
      <c r="BK4" s="461"/>
      <c r="BL4" s="461"/>
      <c r="BM4" s="461"/>
      <c r="BN4" s="461"/>
      <c r="BO4" s="461"/>
      <c r="BP4" s="461"/>
      <c r="BQ4" s="461"/>
      <c r="BR4" s="461"/>
      <c r="BS4" s="461"/>
      <c r="BT4" s="461"/>
      <c r="BU4" s="461"/>
      <c r="BV4" s="461"/>
      <c r="BW4" s="461"/>
      <c r="BX4" s="461"/>
      <c r="BY4" s="461"/>
      <c r="BZ4" s="461"/>
      <c r="CC4" s="465"/>
      <c r="CD4" s="465"/>
      <c r="CE4" s="465"/>
      <c r="CF4" s="465"/>
      <c r="CG4" s="465"/>
      <c r="CH4" s="465"/>
      <c r="CI4" s="465"/>
      <c r="CJ4" s="465"/>
      <c r="CK4" s="465"/>
      <c r="CL4" s="465"/>
      <c r="CM4" s="465"/>
      <c r="CN4" s="465"/>
      <c r="CO4" s="465"/>
      <c r="CP4" s="467"/>
      <c r="CQ4" s="467"/>
      <c r="CR4" s="467"/>
      <c r="CS4" s="467"/>
      <c r="CT4" s="467"/>
      <c r="CU4" s="467"/>
      <c r="CV4" s="467"/>
      <c r="CW4" s="467"/>
      <c r="CX4" s="467"/>
      <c r="CY4" s="467"/>
      <c r="CZ4" s="467"/>
      <c r="DA4" s="467"/>
      <c r="DB4" s="467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67"/>
      <c r="DP4" s="470"/>
      <c r="DQ4" s="470"/>
      <c r="DR4" s="470"/>
      <c r="DS4" s="470"/>
      <c r="DT4" s="467"/>
      <c r="DU4" s="470"/>
      <c r="DV4" s="470"/>
      <c r="DW4" s="470"/>
      <c r="DX4" s="470"/>
      <c r="DY4" s="467"/>
      <c r="DZ4" s="470"/>
      <c r="EA4" s="1124"/>
      <c r="EB4" s="470"/>
      <c r="EC4" s="470"/>
      <c r="ED4" s="1124"/>
      <c r="EE4" s="1124"/>
      <c r="EF4" s="1124"/>
      <c r="EG4" s="1124"/>
      <c r="EH4" s="1124"/>
      <c r="EI4" s="1124"/>
      <c r="EJ4" s="1124"/>
      <c r="EK4" s="1124"/>
      <c r="EL4" s="1124"/>
      <c r="EM4" s="1124"/>
      <c r="EN4" s="1124"/>
      <c r="EO4" s="1124"/>
      <c r="EP4" s="1124"/>
      <c r="EQ4" s="1124"/>
      <c r="ER4" s="1124"/>
      <c r="ES4" s="1124"/>
      <c r="ET4" s="1124"/>
      <c r="EU4" s="1124"/>
      <c r="EV4" s="1124"/>
      <c r="EW4" s="1124"/>
      <c r="EX4" s="1124"/>
      <c r="EY4" s="1124"/>
      <c r="EZ4" s="1124"/>
      <c r="FA4" s="1124"/>
      <c r="FB4" s="1124"/>
      <c r="FC4" s="1124"/>
      <c r="FD4" s="1124"/>
      <c r="FE4" s="1124"/>
      <c r="FF4" s="1124"/>
      <c r="FG4" s="1124"/>
      <c r="FH4" s="1124"/>
      <c r="FI4" s="1124"/>
      <c r="FJ4" s="1124"/>
      <c r="FK4" s="1124"/>
      <c r="FL4" s="1124"/>
      <c r="FO4"/>
      <c r="FP4"/>
      <c r="FQ4"/>
      <c r="FR4"/>
      <c r="FS4"/>
      <c r="FT4"/>
      <c r="FU4" s="261"/>
      <c r="FV4" s="261"/>
      <c r="FW4" s="261"/>
      <c r="FX4" s="261"/>
    </row>
    <row r="5" spans="1:180" s="280" customFormat="1" ht="11.25" customHeight="1">
      <c r="D5" s="473"/>
      <c r="E5" s="473"/>
      <c r="F5" s="473"/>
      <c r="G5" s="473"/>
      <c r="H5" s="474" t="s">
        <v>109</v>
      </c>
      <c r="I5" s="473"/>
      <c r="J5" s="473"/>
      <c r="K5" s="473"/>
      <c r="L5" s="473"/>
      <c r="M5" s="475" t="s">
        <v>109</v>
      </c>
      <c r="N5" s="473"/>
      <c r="O5" s="473"/>
      <c r="P5" s="473"/>
      <c r="Q5" s="473"/>
      <c r="R5" s="475" t="s">
        <v>109</v>
      </c>
      <c r="S5" s="473"/>
      <c r="T5" s="473"/>
      <c r="U5" s="473"/>
      <c r="V5" s="473"/>
      <c r="W5" s="475" t="s">
        <v>109</v>
      </c>
      <c r="X5" s="473"/>
      <c r="Y5" s="473"/>
      <c r="Z5" s="473"/>
      <c r="AA5" s="473"/>
      <c r="AB5" s="475" t="s">
        <v>109</v>
      </c>
      <c r="AC5" s="473"/>
      <c r="AD5" s="473"/>
      <c r="AE5" s="473"/>
      <c r="AF5" s="473"/>
      <c r="AG5" s="475" t="s">
        <v>109</v>
      </c>
      <c r="AH5" s="473"/>
      <c r="AI5" s="473"/>
      <c r="AJ5" s="473"/>
      <c r="AK5" s="473"/>
      <c r="AL5" s="475" t="s">
        <v>109</v>
      </c>
      <c r="AM5" s="473"/>
      <c r="AN5" s="473"/>
      <c r="AO5" s="473"/>
      <c r="AP5" s="473"/>
      <c r="AQ5" s="475" t="s">
        <v>109</v>
      </c>
      <c r="AR5" s="473"/>
      <c r="AS5" s="473"/>
      <c r="AT5" s="473"/>
      <c r="AU5" s="473"/>
      <c r="AV5" s="474" t="s">
        <v>109</v>
      </c>
      <c r="AW5" s="473"/>
      <c r="AX5" s="473"/>
      <c r="AY5" s="473"/>
      <c r="AZ5" s="473"/>
      <c r="BA5" s="474" t="s">
        <v>109</v>
      </c>
      <c r="BB5" s="473"/>
      <c r="BC5" s="473"/>
      <c r="BD5" s="473"/>
      <c r="BE5" s="473"/>
      <c r="BF5" s="474" t="s">
        <v>109</v>
      </c>
      <c r="BG5" s="473"/>
      <c r="BH5" s="473"/>
      <c r="BI5" s="473"/>
      <c r="BJ5" s="473"/>
      <c r="BK5" s="474" t="s">
        <v>109</v>
      </c>
      <c r="BL5" s="473"/>
      <c r="BM5" s="473"/>
      <c r="BN5" s="473"/>
      <c r="BO5" s="473"/>
      <c r="BP5" s="474" t="s">
        <v>109</v>
      </c>
      <c r="BQ5" s="473"/>
      <c r="BR5" s="473"/>
      <c r="BS5" s="473"/>
      <c r="BT5" s="473"/>
      <c r="BU5" s="474" t="s">
        <v>109</v>
      </c>
      <c r="BV5" s="473"/>
      <c r="BW5" s="473"/>
      <c r="BX5" s="473"/>
      <c r="BY5" s="473"/>
      <c r="BZ5" s="474" t="s">
        <v>109</v>
      </c>
      <c r="CA5" s="473"/>
      <c r="CB5" s="473"/>
      <c r="CC5" s="473"/>
      <c r="CD5" s="473"/>
      <c r="CE5" s="474" t="s">
        <v>109</v>
      </c>
      <c r="CF5" s="473"/>
      <c r="CG5" s="473"/>
      <c r="CH5" s="473"/>
      <c r="CI5" s="473"/>
      <c r="CJ5" s="474" t="s">
        <v>109</v>
      </c>
      <c r="CK5" s="473"/>
      <c r="CL5" s="473"/>
      <c r="CM5" s="473"/>
      <c r="CN5" s="473"/>
      <c r="CO5" s="474" t="s">
        <v>109</v>
      </c>
      <c r="CP5" s="473"/>
      <c r="CQ5" s="473"/>
      <c r="CR5" s="473"/>
      <c r="CS5" s="473"/>
      <c r="CT5" s="474" t="s">
        <v>109</v>
      </c>
      <c r="CU5" s="473"/>
      <c r="CV5" s="473"/>
      <c r="CW5" s="473"/>
      <c r="CX5" s="473"/>
      <c r="CY5" s="474" t="s">
        <v>109</v>
      </c>
      <c r="CZ5" s="473"/>
      <c r="DA5" s="473"/>
      <c r="DB5" s="473"/>
      <c r="DC5" s="473"/>
      <c r="DD5" s="474" t="s">
        <v>109</v>
      </c>
      <c r="DE5" s="476"/>
      <c r="DF5" s="476"/>
      <c r="DG5" s="476"/>
      <c r="DH5" s="473"/>
      <c r="DI5" s="474" t="s">
        <v>109</v>
      </c>
      <c r="DJ5" s="476"/>
      <c r="DK5" s="476"/>
      <c r="DL5" s="476"/>
      <c r="DM5" s="473"/>
      <c r="DN5" s="474" t="s">
        <v>109</v>
      </c>
      <c r="DO5" s="473"/>
      <c r="DP5" s="476"/>
      <c r="DQ5" s="476"/>
      <c r="DR5" s="473"/>
      <c r="DS5" s="474" t="s">
        <v>109</v>
      </c>
      <c r="DT5" s="473"/>
      <c r="DU5" s="476"/>
      <c r="DV5" s="476"/>
      <c r="DW5" s="473"/>
      <c r="DX5" s="474" t="s">
        <v>109</v>
      </c>
      <c r="DY5" s="473"/>
      <c r="DZ5" s="476"/>
      <c r="EA5" s="1158"/>
      <c r="EB5" s="473"/>
      <c r="EC5" s="474" t="s">
        <v>109</v>
      </c>
      <c r="ED5" s="1158"/>
      <c r="EE5" s="1158"/>
      <c r="EF5" s="1158"/>
      <c r="EG5" s="1158"/>
      <c r="EH5" s="474" t="s">
        <v>109</v>
      </c>
      <c r="EI5" s="1158"/>
      <c r="EJ5" s="1158"/>
      <c r="EK5" s="1158"/>
      <c r="EL5" s="1158"/>
      <c r="EM5" s="1159" t="s">
        <v>109</v>
      </c>
      <c r="EN5" s="1158"/>
      <c r="EO5" s="1158"/>
      <c r="EP5" s="1158"/>
      <c r="EQ5" s="1158"/>
      <c r="ER5" s="474" t="s">
        <v>109</v>
      </c>
      <c r="ES5" s="473"/>
      <c r="ET5" s="1158"/>
      <c r="EU5" s="1158"/>
      <c r="EV5" s="1158"/>
      <c r="EW5" s="1159" t="s">
        <v>109</v>
      </c>
      <c r="EX5" s="1158"/>
      <c r="EY5" s="1158"/>
      <c r="EZ5" s="1158"/>
      <c r="FA5" s="1158"/>
      <c r="FB5" s="1159" t="s">
        <v>109</v>
      </c>
      <c r="FC5" s="1158"/>
      <c r="FD5" s="1158"/>
      <c r="FE5" s="1158"/>
      <c r="FF5" s="1158"/>
      <c r="FG5" s="1159" t="s">
        <v>109</v>
      </c>
      <c r="FH5" s="1158"/>
      <c r="FI5" s="1158"/>
      <c r="FJ5" s="1158"/>
      <c r="FK5" s="1158"/>
      <c r="FL5" s="1159" t="s">
        <v>109</v>
      </c>
      <c r="FO5"/>
      <c r="FP5"/>
      <c r="FQ5"/>
      <c r="FR5"/>
      <c r="FS5"/>
      <c r="FT5"/>
      <c r="FU5" s="261"/>
      <c r="FV5" s="261"/>
      <c r="FW5" s="261"/>
      <c r="FX5" s="261"/>
    </row>
    <row r="6" spans="1:180" s="295" customFormat="1" ht="11.25" customHeight="1">
      <c r="D6" s="477">
        <f>IS!D7</f>
        <v>32416</v>
      </c>
      <c r="E6" s="477">
        <f>IS!E7</f>
        <v>32508</v>
      </c>
      <c r="F6" s="477">
        <f>IS!F7</f>
        <v>32598</v>
      </c>
      <c r="G6" s="477">
        <f>IS!G7</f>
        <v>32689</v>
      </c>
      <c r="H6" s="1125">
        <v>1989</v>
      </c>
      <c r="I6" s="477">
        <f>IS!I7</f>
        <v>32781</v>
      </c>
      <c r="J6" s="477">
        <f>IS!J7</f>
        <v>32873</v>
      </c>
      <c r="K6" s="477">
        <f>IS!K7</f>
        <v>32963</v>
      </c>
      <c r="L6" s="477">
        <f>IS!L7</f>
        <v>33054</v>
      </c>
      <c r="M6" s="479" t="str">
        <f>IS!M7</f>
        <v>1990</v>
      </c>
      <c r="N6" s="477">
        <f>IS!N7</f>
        <v>33146</v>
      </c>
      <c r="O6" s="477">
        <f>IS!O7</f>
        <v>33238</v>
      </c>
      <c r="P6" s="477">
        <f>IS!P7</f>
        <v>33328</v>
      </c>
      <c r="Q6" s="477">
        <f>IS!Q7</f>
        <v>33419</v>
      </c>
      <c r="R6" s="479" t="str">
        <f>IS!R7</f>
        <v>1991</v>
      </c>
      <c r="S6" s="477">
        <f>IS!S7</f>
        <v>33511</v>
      </c>
      <c r="T6" s="477">
        <f>IS!T7</f>
        <v>33603</v>
      </c>
      <c r="U6" s="477">
        <f>IS!U7</f>
        <v>33694</v>
      </c>
      <c r="V6" s="477">
        <f>IS!V7</f>
        <v>33785</v>
      </c>
      <c r="W6" s="479" t="str">
        <f>IS!W7</f>
        <v>1992</v>
      </c>
      <c r="X6" s="477">
        <f>IS!X7</f>
        <v>33877</v>
      </c>
      <c r="Y6" s="477">
        <f>IS!Y7</f>
        <v>33969</v>
      </c>
      <c r="Z6" s="477">
        <f>IS!Z7</f>
        <v>34059</v>
      </c>
      <c r="AA6" s="477">
        <f>IS!AA7</f>
        <v>34150</v>
      </c>
      <c r="AB6" s="479" t="str">
        <f>IS!AB7</f>
        <v>1993</v>
      </c>
      <c r="AC6" s="477">
        <f>IS!AC7</f>
        <v>34242</v>
      </c>
      <c r="AD6" s="477">
        <f>IS!AD7</f>
        <v>34334</v>
      </c>
      <c r="AE6" s="477">
        <f>IS!AE7</f>
        <v>34424</v>
      </c>
      <c r="AF6" s="477">
        <f>IS!AF7</f>
        <v>34515</v>
      </c>
      <c r="AG6" s="479" t="str">
        <f>IS!AG7</f>
        <v>1994</v>
      </c>
      <c r="AH6" s="477">
        <f>IS!AH7</f>
        <v>34607</v>
      </c>
      <c r="AI6" s="477">
        <f>IS!AI7</f>
        <v>34699</v>
      </c>
      <c r="AJ6" s="477">
        <f>IS!AJ7</f>
        <v>34789</v>
      </c>
      <c r="AK6" s="477">
        <f>IS!AK7</f>
        <v>34880</v>
      </c>
      <c r="AL6" s="479" t="str">
        <f>IS!AL7</f>
        <v>1995</v>
      </c>
      <c r="AM6" s="477">
        <f>IS!AM7</f>
        <v>34972</v>
      </c>
      <c r="AN6" s="477">
        <f>IS!AN7</f>
        <v>35064</v>
      </c>
      <c r="AO6" s="477">
        <f>IS!AO7</f>
        <v>35155</v>
      </c>
      <c r="AP6" s="477">
        <f>IS!AP7</f>
        <v>35246</v>
      </c>
      <c r="AQ6" s="479" t="str">
        <f>IS!AQ7</f>
        <v>1996</v>
      </c>
      <c r="AR6" s="477">
        <f>IS!AR7</f>
        <v>35338</v>
      </c>
      <c r="AS6" s="477">
        <f>IS!AS7</f>
        <v>35430</v>
      </c>
      <c r="AT6" s="477">
        <f>IS!AT7</f>
        <v>35520</v>
      </c>
      <c r="AU6" s="477">
        <f>IS!AU7</f>
        <v>35611</v>
      </c>
      <c r="AV6" s="479" t="str">
        <f>IS!AV7</f>
        <v>1997</v>
      </c>
      <c r="AW6" s="477">
        <f>IS!AW7</f>
        <v>35703</v>
      </c>
      <c r="AX6" s="477">
        <f>IS!AX7</f>
        <v>35795</v>
      </c>
      <c r="AY6" s="477">
        <f>IS!AY7</f>
        <v>35885</v>
      </c>
      <c r="AZ6" s="477">
        <f>IS!AZ7</f>
        <v>35976</v>
      </c>
      <c r="BA6" s="479" t="str">
        <f>IS!BA7</f>
        <v>1998</v>
      </c>
      <c r="BB6" s="477">
        <f>IS!BB7</f>
        <v>36068</v>
      </c>
      <c r="BC6" s="477">
        <f>IS!BC7</f>
        <v>36160</v>
      </c>
      <c r="BD6" s="477">
        <f>IS!BD7</f>
        <v>36250</v>
      </c>
      <c r="BE6" s="477">
        <f>IS!BE7</f>
        <v>36341</v>
      </c>
      <c r="BF6" s="479" t="str">
        <f>IS!BF7</f>
        <v>1999</v>
      </c>
      <c r="BG6" s="477">
        <f>IS!BG7</f>
        <v>36433</v>
      </c>
      <c r="BH6" s="477">
        <f>IS!BH7</f>
        <v>36525</v>
      </c>
      <c r="BI6" s="477">
        <f>IS!BI7</f>
        <v>36616</v>
      </c>
      <c r="BJ6" s="477">
        <f>IS!BJ7</f>
        <v>36707</v>
      </c>
      <c r="BK6" s="479" t="str">
        <f>IS!BK7</f>
        <v>2000</v>
      </c>
      <c r="BL6" s="477">
        <f>IS!BL7</f>
        <v>36799</v>
      </c>
      <c r="BM6" s="477">
        <f>IS!BM7</f>
        <v>36891</v>
      </c>
      <c r="BN6" s="477">
        <f>IS!BN7</f>
        <v>36981</v>
      </c>
      <c r="BO6" s="477">
        <f>IS!BO7</f>
        <v>37072</v>
      </c>
      <c r="BP6" s="479" t="str">
        <f>IS!BP7</f>
        <v>2001</v>
      </c>
      <c r="BQ6" s="477">
        <f>IS!BQ7</f>
        <v>37164</v>
      </c>
      <c r="BR6" s="477">
        <f>IS!BR7</f>
        <v>37256</v>
      </c>
      <c r="BS6" s="477">
        <f>IS!BS7</f>
        <v>37346</v>
      </c>
      <c r="BT6" s="477">
        <f>IS!BT7</f>
        <v>37437</v>
      </c>
      <c r="BU6" s="479" t="str">
        <f>IS!BU7</f>
        <v>2002</v>
      </c>
      <c r="BV6" s="477">
        <f>IS!BV7</f>
        <v>37529</v>
      </c>
      <c r="BW6" s="477">
        <f>IS!BW7</f>
        <v>37621</v>
      </c>
      <c r="BX6" s="477">
        <f>IS!BX7</f>
        <v>37711</v>
      </c>
      <c r="BY6" s="477">
        <f>IS!BY7</f>
        <v>37802</v>
      </c>
      <c r="BZ6" s="479" t="str">
        <f>IS!BZ7</f>
        <v>2003</v>
      </c>
      <c r="CA6" s="477">
        <f>IS!CA7</f>
        <v>37894</v>
      </c>
      <c r="CB6" s="477">
        <f>IS!CB7</f>
        <v>37986</v>
      </c>
      <c r="CC6" s="477">
        <f>IS!CC7</f>
        <v>38077</v>
      </c>
      <c r="CD6" s="477">
        <f>IS!CD7</f>
        <v>38168</v>
      </c>
      <c r="CE6" s="479" t="str">
        <f>IS!CE7</f>
        <v>2004</v>
      </c>
      <c r="CF6" s="477">
        <f>IS!CF7</f>
        <v>38260</v>
      </c>
      <c r="CG6" s="477">
        <f>IS!CG7</f>
        <v>38352</v>
      </c>
      <c r="CH6" s="477">
        <f>IS!CH7</f>
        <v>38442</v>
      </c>
      <c r="CI6" s="477">
        <f>IS!CI7</f>
        <v>38533</v>
      </c>
      <c r="CJ6" s="479" t="str">
        <f>IS!CJ7</f>
        <v>2005</v>
      </c>
      <c r="CK6" s="477">
        <f>IS!CK7</f>
        <v>38625</v>
      </c>
      <c r="CL6" s="477">
        <f>IS!CL7</f>
        <v>38717</v>
      </c>
      <c r="CM6" s="477">
        <f>IS!CM7</f>
        <v>38807</v>
      </c>
      <c r="CN6" s="477">
        <f>IS!CN7</f>
        <v>38898</v>
      </c>
      <c r="CO6" s="479" t="str">
        <f>IS!CO7</f>
        <v>2006</v>
      </c>
      <c r="CP6" s="480">
        <f>IS!CP7</f>
        <v>38990</v>
      </c>
      <c r="CQ6" s="480">
        <f>IS!CQ7</f>
        <v>39082</v>
      </c>
      <c r="CR6" s="480">
        <f>IS!CR7</f>
        <v>39172</v>
      </c>
      <c r="CS6" s="480">
        <f>IS!CS7</f>
        <v>39263</v>
      </c>
      <c r="CT6" s="479" t="str">
        <f>IS!CT7</f>
        <v>2007</v>
      </c>
      <c r="CU6" s="480">
        <f>IS!CU7</f>
        <v>39355</v>
      </c>
      <c r="CV6" s="480">
        <f>IS!CV7</f>
        <v>39447</v>
      </c>
      <c r="CW6" s="480">
        <f>IS!CW7</f>
        <v>39538</v>
      </c>
      <c r="CX6" s="480">
        <f>IS!CX7</f>
        <v>39607</v>
      </c>
      <c r="CY6" s="479" t="str">
        <f>IS!CY7</f>
        <v>2008</v>
      </c>
      <c r="CZ6" s="480">
        <f>IS!CZ7</f>
        <v>39699</v>
      </c>
      <c r="DA6" s="480">
        <f>IS!DA7</f>
        <v>39790</v>
      </c>
      <c r="DB6" s="480">
        <f>IS!DB7</f>
        <v>39881</v>
      </c>
      <c r="DC6" s="480">
        <f>IS!DC7</f>
        <v>39973</v>
      </c>
      <c r="DD6" s="479" t="str">
        <f>IS!DD7</f>
        <v>2009</v>
      </c>
      <c r="DE6" s="480">
        <f>IS!DE7</f>
        <v>40065</v>
      </c>
      <c r="DF6" s="477" t="str">
        <f>IS!DF7</f>
        <v>Dec-09</v>
      </c>
      <c r="DG6" s="477" t="str">
        <f>IS!DG7</f>
        <v>Mar-10</v>
      </c>
      <c r="DH6" s="480" t="str">
        <f>IS!DH7</f>
        <v>Jun-10</v>
      </c>
      <c r="DI6" s="479" t="str">
        <f>IS!DI7</f>
        <v>2010</v>
      </c>
      <c r="DJ6" s="480" t="str">
        <f>IS!DJ7</f>
        <v>Sep-10</v>
      </c>
      <c r="DK6" s="477" t="str">
        <f>IS!DK7</f>
        <v>Dec-10</v>
      </c>
      <c r="DL6" s="477" t="str">
        <f>IS!DL7</f>
        <v>Mar-11</v>
      </c>
      <c r="DM6" s="480" t="str">
        <f>IS!DM7</f>
        <v>Jun-11</v>
      </c>
      <c r="DN6" s="479" t="str">
        <f>IS!DN7</f>
        <v>2011</v>
      </c>
      <c r="DO6" s="477" t="str">
        <f>IS!DO7</f>
        <v>Sep-11</v>
      </c>
      <c r="DP6" s="477" t="str">
        <f>IS!DP7</f>
        <v>Dec-11</v>
      </c>
      <c r="DQ6" s="477" t="str">
        <f>IS!DQ7</f>
        <v>Mar-12</v>
      </c>
      <c r="DR6" s="480" t="str">
        <f>IS!DR7</f>
        <v>Jun-12</v>
      </c>
      <c r="DS6" s="479" t="str">
        <f>IS!DS7</f>
        <v>2012</v>
      </c>
      <c r="DT6" s="477" t="str">
        <f>IS!DT7</f>
        <v>Sep-12</v>
      </c>
      <c r="DU6" s="477" t="str">
        <f>IS!DU7</f>
        <v>Dec-12</v>
      </c>
      <c r="DV6" s="477" t="str">
        <f>IS!DV7</f>
        <v>Mar-13</v>
      </c>
      <c r="DW6" s="477" t="str">
        <f>IS!DW7</f>
        <v>Jun-13</v>
      </c>
      <c r="DX6" s="479" t="str">
        <f>IS!DX7</f>
        <v>2013</v>
      </c>
      <c r="DY6" s="477" t="str">
        <f>IS!DY7</f>
        <v>Sep-13</v>
      </c>
      <c r="DZ6" s="477" t="str">
        <f>IS!DZ7</f>
        <v>Dec-13</v>
      </c>
      <c r="EA6" s="477" t="str">
        <f>IS!EA7</f>
        <v>Mar-14</v>
      </c>
      <c r="EB6" s="477" t="str">
        <f>IS!EB7</f>
        <v>Jun-14</v>
      </c>
      <c r="EC6" s="479" t="str">
        <f>IS!EC7</f>
        <v>2014</v>
      </c>
      <c r="ED6" s="477" t="str">
        <f>IS!ED7</f>
        <v>Sep-14</v>
      </c>
      <c r="EE6" s="477" t="str">
        <f>IS!EE7</f>
        <v>Dec-14</v>
      </c>
      <c r="EF6" s="477" t="str">
        <f>IS!EF7</f>
        <v>Mar-15</v>
      </c>
      <c r="EG6" s="477" t="str">
        <f>IS!EG7</f>
        <v>Jun-15</v>
      </c>
      <c r="EH6" s="479" t="str">
        <f>IS!EH7</f>
        <v>2015</v>
      </c>
      <c r="EI6" s="477" t="str">
        <f>IS!EI7</f>
        <v>Sep-15</v>
      </c>
      <c r="EJ6" s="477" t="str">
        <f>IS!EJ7</f>
        <v>Dec-15</v>
      </c>
      <c r="EK6" s="477" t="str">
        <f>IS!EK7</f>
        <v>Mar-16</v>
      </c>
      <c r="EL6" s="477" t="str">
        <f>IS!EL7</f>
        <v>Jun-16</v>
      </c>
      <c r="EM6" s="1161" t="str">
        <f>IS!EM7</f>
        <v>2016</v>
      </c>
      <c r="EN6" s="1160" t="str">
        <f>IS!EN7</f>
        <v>Sep-16</v>
      </c>
      <c r="EO6" s="1160" t="str">
        <f>IS!EO7</f>
        <v>Dec-16</v>
      </c>
      <c r="EP6" s="1160" t="str">
        <f>IS!EP7</f>
        <v>Mar-17</v>
      </c>
      <c r="EQ6" s="1160" t="str">
        <f>IS!EQ7</f>
        <v>Jun-17</v>
      </c>
      <c r="ER6" s="479" t="str">
        <f>IS!ER7</f>
        <v>2017</v>
      </c>
      <c r="ES6" s="477" t="str">
        <f>IS!ES7</f>
        <v>Sep-17</v>
      </c>
      <c r="ET6" s="1160" t="str">
        <f>IS!ET7</f>
        <v>Dec-17</v>
      </c>
      <c r="EU6" s="1160" t="str">
        <f>IS!EU7</f>
        <v>Mar-18</v>
      </c>
      <c r="EV6" s="1160" t="str">
        <f>IS!EV7</f>
        <v>Jun-18E</v>
      </c>
      <c r="EW6" s="1161" t="str">
        <f>IS!EW7</f>
        <v>2018E</v>
      </c>
      <c r="EX6" s="1160" t="str">
        <f>IS!EX7</f>
        <v>Sep-18E</v>
      </c>
      <c r="EY6" s="1160" t="str">
        <f>IS!EY7</f>
        <v>Dec-18E</v>
      </c>
      <c r="EZ6" s="1160" t="str">
        <f>IS!EZ7</f>
        <v>Mar-19E</v>
      </c>
      <c r="FA6" s="1160" t="str">
        <f>IS!FA7</f>
        <v>Jun-19E</v>
      </c>
      <c r="FB6" s="1161" t="str">
        <f>IS!FB7</f>
        <v>2019E</v>
      </c>
      <c r="FC6" s="1160" t="str">
        <f>IS!FC7</f>
        <v>Sep-19E</v>
      </c>
      <c r="FD6" s="1160" t="str">
        <f>IS!FD7</f>
        <v>Dec-19E</v>
      </c>
      <c r="FE6" s="1160" t="str">
        <f>IS!FE7</f>
        <v>Mar-20E</v>
      </c>
      <c r="FF6" s="1160" t="str">
        <f>IS!FF7</f>
        <v>Jun-20E</v>
      </c>
      <c r="FG6" s="1161" t="str">
        <f>IS!FG7</f>
        <v>2020E</v>
      </c>
      <c r="FH6" s="1160" t="str">
        <f>IS!FH7</f>
        <v>Sep-20E</v>
      </c>
      <c r="FI6" s="1160" t="str">
        <f>IS!FI7</f>
        <v>Dec-20E</v>
      </c>
      <c r="FJ6" s="1160" t="str">
        <f>IS!FJ7</f>
        <v>Mar-21E</v>
      </c>
      <c r="FK6" s="1160" t="str">
        <f>IS!FK7</f>
        <v>Jun-21E</v>
      </c>
      <c r="FL6" s="1161" t="str">
        <f>IS!FL7</f>
        <v>2021E</v>
      </c>
      <c r="FO6"/>
      <c r="FP6"/>
      <c r="FQ6"/>
      <c r="FR6"/>
      <c r="FS6"/>
      <c r="FT6"/>
      <c r="FU6" s="261"/>
      <c r="FV6" s="261"/>
      <c r="FW6" s="261"/>
      <c r="FX6" s="261"/>
    </row>
    <row r="7" spans="1:180" s="264" customFormat="1" ht="11.25" customHeight="1">
      <c r="A7" s="415" t="s">
        <v>274</v>
      </c>
      <c r="D7" s="341" t="str">
        <f>IF(ABS(D21-D42)&gt;=0.1,"BS OFF","")</f>
        <v/>
      </c>
      <c r="E7" s="341" t="str">
        <f>IF(ABS(E21-E42)&gt;=0.1,"BS OFF","")</f>
        <v/>
      </c>
      <c r="F7" s="341" t="str">
        <f>IF(ABS(F21-F42)&gt;=0.1,"BS OFF","")</f>
        <v/>
      </c>
      <c r="G7" s="341" t="str">
        <f>IF(ABS(G21-G42)&gt;=0.1,"BS OFF","")</f>
        <v/>
      </c>
      <c r="H7" s="342"/>
      <c r="I7" s="341" t="str">
        <f>IF(ABS(I21-I42)&gt;=0.1,"BS OFF","")</f>
        <v/>
      </c>
      <c r="J7" s="341" t="str">
        <f>IF(ABS(J21-J42)&gt;=0.1,"BS OFF","")</f>
        <v/>
      </c>
      <c r="K7" s="341" t="str">
        <f>IF(ABS(K21-K42)&gt;=0.1,"BS OFF","")</f>
        <v/>
      </c>
      <c r="L7" s="341" t="str">
        <f>IF(ABS(L21-L42)&gt;=0.1,"BS OFF","")</f>
        <v/>
      </c>
      <c r="M7" s="342"/>
      <c r="N7" s="341" t="str">
        <f>IF(ABS(N21-N42)&gt;=0.1,"BS OFF","")</f>
        <v/>
      </c>
      <c r="O7" s="341" t="str">
        <f>IF(ABS(O21-O42)&gt;=0.1,"BS OFF","")</f>
        <v/>
      </c>
      <c r="P7" s="341" t="str">
        <f>IF(ABS(P21-P42)&gt;=0.1,"BS OFF","")</f>
        <v/>
      </c>
      <c r="Q7" s="341" t="str">
        <f>IF(ABS(Q21-Q42)&gt;=0.1,"BS OFF","")</f>
        <v/>
      </c>
      <c r="R7" s="342"/>
      <c r="S7" s="341" t="str">
        <f>IF(ABS(S21-S42)&gt;=0.1,"BS OFF","")</f>
        <v/>
      </c>
      <c r="T7" s="341" t="str">
        <f>IF(ABS(T21-T42)&gt;=0.1,"BS OFF","")</f>
        <v/>
      </c>
      <c r="U7" s="341" t="str">
        <f>IF(ABS(U21-U42)&gt;=0.1,"BS OFF","")</f>
        <v/>
      </c>
      <c r="V7" s="341" t="str">
        <f>IF(ABS(V21-V42)&gt;=0.1,"BS OFF","")</f>
        <v/>
      </c>
      <c r="W7" s="342"/>
      <c r="X7" s="341" t="str">
        <f>IF(ABS(X21-X42)&gt;=0.1,"BS OFF","")</f>
        <v/>
      </c>
      <c r="Y7" s="341" t="str">
        <f>IF(ABS(Y21-Y42)&gt;=0.1,"BS OFF","")</f>
        <v/>
      </c>
      <c r="Z7" s="341" t="str">
        <f>IF(ABS(Z21-Z42)&gt;=0.1,"BS OFF","")</f>
        <v/>
      </c>
      <c r="AA7" s="341" t="str">
        <f>IF(ABS(AA21-AA42)&gt;=0.1,"BS OFF","")</f>
        <v/>
      </c>
      <c r="AB7" s="342"/>
      <c r="AC7" s="341" t="str">
        <f>IF(ABS(AC21-AC42)&gt;=0.1,"BS OFF","")</f>
        <v/>
      </c>
      <c r="AD7" s="341" t="str">
        <f>IF(ABS(AD21-AD42)&gt;=0.1,"BS OFF","")</f>
        <v/>
      </c>
      <c r="AE7" s="341" t="str">
        <f>IF(ABS(AE21-AE42)&gt;=0.1,"BS OFF","")</f>
        <v/>
      </c>
      <c r="AF7" s="341" t="str">
        <f>IF(ABS(AF21-AF42)&gt;=0.1,"BS OFF","")</f>
        <v/>
      </c>
      <c r="AG7" s="342"/>
      <c r="AH7" s="341" t="str">
        <f>IF(ABS(AH21-AH42)&gt;=0.1,"BS OFF","")</f>
        <v/>
      </c>
      <c r="AI7" s="341" t="str">
        <f>IF(ABS(AI21-AI42)&gt;=0.1,"BS OFF","")</f>
        <v/>
      </c>
      <c r="AJ7" s="341" t="str">
        <f>IF(ABS(AJ21-AJ42)&gt;=0.1,"BS OFF","")</f>
        <v/>
      </c>
      <c r="AK7" s="341" t="str">
        <f>IF(ABS(AK21-AK42)&gt;=0.1,"BS OFF","")</f>
        <v/>
      </c>
      <c r="AL7" s="342"/>
      <c r="AM7" s="341" t="str">
        <f>IF(ABS(AM21-AM42)&gt;=0.1,"BS OFF","")</f>
        <v/>
      </c>
      <c r="AN7" s="341" t="str">
        <f>IF(ABS(AN21-AN42)&gt;=0.1,"BS OFF","")</f>
        <v/>
      </c>
      <c r="AO7" s="341" t="str">
        <f>IF(ABS(AO21-AO42)&gt;=0.1,"BS OFF","")</f>
        <v/>
      </c>
      <c r="AP7" s="341" t="str">
        <f>IF(ABS(AP21-AP42)&gt;=0.1,"BS OFF","")</f>
        <v/>
      </c>
      <c r="AQ7" s="342"/>
      <c r="AR7" s="341" t="str">
        <f>IF(ABS(AR21-AR42)&gt;=0.1,"BS OFF","")</f>
        <v/>
      </c>
      <c r="AS7" s="341" t="str">
        <f>IF(ABS(AS21-AS42)&gt;=0.1,"BS OFF","")</f>
        <v/>
      </c>
      <c r="AT7" s="341" t="str">
        <f>IF(ABS(AT21-AT42)&gt;=0.1,"BS OFF","")</f>
        <v/>
      </c>
      <c r="AU7" s="341" t="str">
        <f>IF(ABS(AU21-AU42)&gt;=0.1,"BS OFF","")</f>
        <v/>
      </c>
      <c r="AV7" s="342"/>
      <c r="AW7" s="341" t="str">
        <f>IF(ABS(AW21-AW42)&gt;=0.1,"BS OFF","")</f>
        <v/>
      </c>
      <c r="AX7" s="341" t="str">
        <f>IF(ABS(AX21-AX42)&gt;=0.1,"BS OFF","")</f>
        <v/>
      </c>
      <c r="AY7" s="341" t="str">
        <f>IF(ABS(AY21-AY42)&gt;=0.1,"BS OFF","")</f>
        <v/>
      </c>
      <c r="AZ7" s="341" t="str">
        <f>IF(ABS(AZ21-AZ42)&gt;=0.1,"BS OFF","")</f>
        <v/>
      </c>
      <c r="BA7" s="342"/>
      <c r="BB7" s="341" t="str">
        <f>IF(ABS(BB21-BB42)&gt;=0.1,"BS OFF","")</f>
        <v/>
      </c>
      <c r="BC7" s="341" t="str">
        <f>IF(ABS(BC21-BC42)&gt;=0.1,"BS OFF","")</f>
        <v/>
      </c>
      <c r="BD7" s="341" t="str">
        <f>IF(ABS(BD21-BD42)&gt;=0.1,"BS OFF","")</f>
        <v/>
      </c>
      <c r="BE7" s="341" t="str">
        <f>IF(ABS(BE21-BE42)&gt;=0.1,"BS OFF","")</f>
        <v/>
      </c>
      <c r="BF7" s="342"/>
      <c r="BG7" s="341" t="str">
        <f>IF(ABS(BG21-BG42)&gt;=0.1,"BS OFF","")</f>
        <v/>
      </c>
      <c r="BH7" s="341" t="str">
        <f>IF(ABS(BH21-BH42)&gt;=0.1,"BS OFF","")</f>
        <v/>
      </c>
      <c r="BI7" s="341" t="str">
        <f>IF(ABS(BI21-BI42)&gt;=0.1,"BS OFF","")</f>
        <v/>
      </c>
      <c r="BJ7" s="341" t="str">
        <f>IF(ABS(BJ21-BJ42)&gt;=0.1,"BS OFF","")</f>
        <v/>
      </c>
      <c r="BK7" s="342"/>
      <c r="BL7" s="341" t="str">
        <f>IF(ABS(BL21-BL42)&gt;=0.1,"BS OFF","")</f>
        <v/>
      </c>
      <c r="BM7" s="341" t="str">
        <f>IF(ABS(BM21-BM42)&gt;=0.1,"BS OFF","")</f>
        <v/>
      </c>
      <c r="BN7" s="341" t="str">
        <f>IF(ABS(BN21-BN42)&gt;=0.1,"BS OFF","")</f>
        <v/>
      </c>
      <c r="BO7" s="341" t="str">
        <f>IF(ABS(BO21-BO42)&gt;=0.1,"BS OFF","")</f>
        <v/>
      </c>
      <c r="BP7" s="342"/>
      <c r="BQ7" s="341" t="str">
        <f>IF(ABS(BQ21-BQ42)&gt;=0.1,"BS OFF","")</f>
        <v/>
      </c>
      <c r="BR7" s="341" t="str">
        <f>IF(ABS(BR21-BR42)&gt;=0.1,"BS OFF","")</f>
        <v/>
      </c>
      <c r="BS7" s="341" t="str">
        <f>IF(ABS(BS21-BS42)&gt;=0.1,"BS OFF","")</f>
        <v/>
      </c>
      <c r="BT7" s="341" t="str">
        <f>IF(ABS(BT21-BT42)&gt;=0.1,"BS OFF","")</f>
        <v/>
      </c>
      <c r="BU7" s="342"/>
      <c r="BV7" s="341" t="str">
        <f>IF(ABS(BV21-BV42)&gt;=0.1,"BS OFF","")</f>
        <v/>
      </c>
      <c r="BW7" s="341" t="str">
        <f>IF(ABS(BW21-BW42)&gt;=0.1,"BS OFF","")</f>
        <v/>
      </c>
      <c r="BX7" s="341" t="str">
        <f>IF(ABS(BX21-BX42)&gt;=0.1,"BS OFF","")</f>
        <v/>
      </c>
      <c r="BY7" s="341" t="str">
        <f>IF(ABS(BY21-BY42)&gt;=0.1,"BS OFF","")</f>
        <v/>
      </c>
      <c r="BZ7" s="342"/>
      <c r="CA7" s="341" t="str">
        <f>IF(ABS(CA21-CA42)&gt;=0.1,"BS OFF","")</f>
        <v/>
      </c>
      <c r="CB7" s="341" t="str">
        <f>IF(ABS(CB21-CB42)&gt;=0.1,"BS OFF","")</f>
        <v/>
      </c>
      <c r="CC7" s="341" t="str">
        <f>IF(ABS(CC21-CC42)&gt;=0.1,"BS OFF","")</f>
        <v/>
      </c>
      <c r="CD7" s="341" t="str">
        <f>IF(ABS(CD21-CD42)&gt;=0.1,"BS OFF","")</f>
        <v/>
      </c>
      <c r="CE7" s="342"/>
      <c r="CF7" s="341" t="str">
        <f>IF(ABS(CF21-CF42)&gt;=0.1,"BS OFF","")</f>
        <v/>
      </c>
      <c r="CG7" s="341" t="str">
        <f>IF(ABS(CG21-CG42)&gt;=0.1,"BS OFF","")</f>
        <v/>
      </c>
      <c r="CH7" s="341" t="str">
        <f>IF(ABS(CH21-CH42)&gt;=0.1,"BS OFF","")</f>
        <v/>
      </c>
      <c r="CI7" s="341" t="str">
        <f>IF(ABS(CI21-CI42)&gt;=0.1,"BS OFF","")</f>
        <v/>
      </c>
      <c r="CJ7" s="342"/>
      <c r="CK7" s="341" t="str">
        <f>IF(ABS(CK21-CK42)&gt;=0.1,"BS OFF","")</f>
        <v/>
      </c>
      <c r="CL7" s="341" t="str">
        <f>IF(ABS(CL21-CL42)&gt;=0.1,"BS OFF","")</f>
        <v/>
      </c>
      <c r="CM7" s="341" t="str">
        <f>IF(ABS(CM21-CM42)&gt;=0.1,"BS OFF","")</f>
        <v/>
      </c>
      <c r="CN7" s="341" t="str">
        <f>IF(ABS(CN21-CN42)&gt;=0.1,"BS OFF","")</f>
        <v/>
      </c>
      <c r="CO7" s="342"/>
      <c r="CP7" s="341" t="str">
        <f>IF(ABS(CP21-CP42)&gt;=0.1,"BS OFF","")</f>
        <v/>
      </c>
      <c r="CQ7" s="341" t="str">
        <f>IF(ABS(CQ21-CQ42)&gt;=0.1,"BS OFF","")</f>
        <v/>
      </c>
      <c r="CR7" s="341" t="str">
        <f>IF(ABS(CR21-CR42)&gt;=0.1,"BS OFF","")</f>
        <v/>
      </c>
      <c r="CS7" s="341" t="str">
        <f>IF(ABS(CS21-CS42)&gt;=0.1,"BS OFF","")</f>
        <v/>
      </c>
      <c r="CT7" s="342"/>
      <c r="CU7" s="341" t="str">
        <f>IF(ABS(CU21-CU42)&gt;=0.1,"BS OFF","")</f>
        <v/>
      </c>
      <c r="CV7" s="341" t="str">
        <f>IF(ABS(CV21-CV42)&gt;=0.1,"BS OFF","")</f>
        <v/>
      </c>
      <c r="CW7" s="341" t="str">
        <f>IF(ABS(CW21-CW42)&gt;=0.1,"BS OFF","")</f>
        <v/>
      </c>
      <c r="CX7" s="341" t="str">
        <f>IF(ABS(CX21-CX42)&gt;=0.1,"BS OFF","")</f>
        <v/>
      </c>
      <c r="CY7" s="342"/>
      <c r="CZ7" s="341" t="str">
        <f>IF(ABS(CZ21-CZ42)&gt;=0.1,"BS OFF","")</f>
        <v/>
      </c>
      <c r="DA7" s="341" t="str">
        <f>IF(ABS(DA21-DA42)&gt;=0.1,"BS OFF","")</f>
        <v/>
      </c>
      <c r="DB7" s="341" t="str">
        <f>IF(ABS(DB21-DB42)&gt;=0.1,"BS OFF","")</f>
        <v/>
      </c>
      <c r="DC7" s="341" t="str">
        <f>IF(ABS(DC21-DC42)&gt;=0.1,"BS OFF","")</f>
        <v/>
      </c>
      <c r="DD7" s="342"/>
      <c r="DE7" s="345" t="str">
        <f>IF(ABS(DE21-DE42)&gt;=0.1,"BS OFF","")</f>
        <v/>
      </c>
      <c r="DF7" s="341" t="str">
        <f>IF(ABS(DF21-DF42)&gt;=0.1,"BS OFF","")</f>
        <v/>
      </c>
      <c r="DG7" s="341" t="str">
        <f>IF(ABS(DG21-DG42)&gt;=0.1,"BS OFF","")</f>
        <v/>
      </c>
      <c r="DH7" s="341" t="str">
        <f>IF(ABS(DH21-DH42)&gt;=0.1,"BS OFF","")</f>
        <v/>
      </c>
      <c r="DI7" s="342"/>
      <c r="DJ7" s="345" t="str">
        <f>IF(ABS(DJ21-DJ42)&gt;=0.1,"BS OFF","")</f>
        <v/>
      </c>
      <c r="DK7" s="341" t="str">
        <f>IF(ABS(DK21-DK42)&gt;=0.1,"BS OFF","")</f>
        <v/>
      </c>
      <c r="DL7" s="341" t="str">
        <f>IF(ABS(DL21-DL42)&gt;=0.1,"BS OFF","")</f>
        <v/>
      </c>
      <c r="DM7" s="341" t="str">
        <f>IF(ABS(DM21-DM42)&gt;=0.1,"BS OFF","")</f>
        <v/>
      </c>
      <c r="DN7" s="342"/>
      <c r="DO7" s="341" t="str">
        <f>IF(ABS(DO21-DO42)&gt;=0.1,"BS OFF","")</f>
        <v/>
      </c>
      <c r="DP7" s="341" t="str">
        <f>IF(ABS(DP21-DP42)&gt;=0.1,"BS OFF","")</f>
        <v/>
      </c>
      <c r="DQ7" s="341" t="str">
        <f>IF(ABS(DQ21-DQ42)&gt;=0.1,"BS OFF","")</f>
        <v/>
      </c>
      <c r="DR7" s="341" t="str">
        <f>IF(ABS(DR21-DR42)&gt;=0.1,"BS OFF","")</f>
        <v/>
      </c>
      <c r="DS7" s="342"/>
      <c r="DT7" s="341" t="str">
        <f>IF(ABS(DT21-DT42)&gt;=0.1,"BS OFF","")</f>
        <v/>
      </c>
      <c r="DU7" s="341" t="str">
        <f>IF(ABS(DU21-DU42)&gt;=0.1,"BS OFF","")</f>
        <v/>
      </c>
      <c r="DV7" s="341" t="str">
        <f>IF(ABS(DV21-DV42)&gt;=0.1,"BS OFF","")</f>
        <v/>
      </c>
      <c r="DW7" s="341" t="str">
        <f>IF(ABS(DW21-DW42)&gt;=0.1,"BS OFF","")</f>
        <v/>
      </c>
      <c r="DX7" s="342"/>
      <c r="DY7" s="341" t="str">
        <f>IF(ABS(DY21-DY42)&gt;=0.1,"BS OFF","")</f>
        <v/>
      </c>
      <c r="DZ7" s="341" t="str">
        <f>IF(ABS(DZ21-DZ42)&gt;=0.1,"BS OFF","")</f>
        <v/>
      </c>
      <c r="EA7" s="341" t="str">
        <f>IF(ABS(EA21-EA42)&gt;=0.1,"BS OFF","")</f>
        <v/>
      </c>
      <c r="EB7" s="341" t="str">
        <f>IF(ABS(EB21-EB42)&gt;=0.1,"BS OFF","")</f>
        <v/>
      </c>
      <c r="EC7" s="342"/>
      <c r="ED7" s="341" t="str">
        <f>IF(ABS(ED21-ED42)&gt;=0.1,"BS OFF","")</f>
        <v/>
      </c>
      <c r="EE7" s="341" t="str">
        <f>IF(ABS(EE21-EE42)&gt;=0.1,"BS OFF","")</f>
        <v/>
      </c>
      <c r="EF7" s="341" t="str">
        <f>IF(ABS(EF21-EF42)&gt;=0.1,"BS OFF","")</f>
        <v/>
      </c>
      <c r="EG7" s="341" t="str">
        <f>IF(ABS(EG21-EG42)&gt;=0.1,"BS OFF","")</f>
        <v/>
      </c>
      <c r="EH7" s="342"/>
      <c r="EI7" s="341" t="str">
        <f>IF(ABS(EI21-EI42)&gt;=0.1,"BS OFF","")</f>
        <v/>
      </c>
      <c r="EJ7" s="341" t="str">
        <f>IF(ABS(EJ21-EJ42)&gt;=0.1,"BS OFF","")</f>
        <v/>
      </c>
      <c r="EK7" s="341" t="str">
        <f>IF(ABS(EK21-EK42)&gt;=0.1,"BS OFF","")</f>
        <v/>
      </c>
      <c r="EL7" s="341" t="str">
        <f>IF(ABS(EL21-EL42)&gt;=0.1,"BS OFF","")</f>
        <v/>
      </c>
      <c r="EM7" s="342"/>
      <c r="EN7" s="341" t="str">
        <f>IF(ABS(EN21-EN42)&gt;=0.1,"BS OFF","")</f>
        <v/>
      </c>
      <c r="EO7" s="341" t="str">
        <f>IF(ABS(EO21-EO42)&gt;=0.1,"BS OFF","")</f>
        <v/>
      </c>
      <c r="EP7" s="341" t="str">
        <f>IF(ABS(EP21-EP42)&gt;=0.1,"BS OFF","")</f>
        <v/>
      </c>
      <c r="EQ7" s="341" t="str">
        <f>IF(ABS(EQ21-EQ42)&gt;=0.1,"BS OFF","")</f>
        <v/>
      </c>
      <c r="ER7" s="342"/>
      <c r="ES7" s="341" t="str">
        <f>IF(ABS(ES21-ES42)&gt;=0.1,"BS OFF","")</f>
        <v/>
      </c>
      <c r="ET7" s="341" t="str">
        <f>IF(ABS(ET21-ET42)&gt;=0.1,"BS OFF","")</f>
        <v/>
      </c>
      <c r="EU7" s="341" t="str">
        <f>IF(ABS(EU21-EU42)&gt;=0.1,"BS OFF","")</f>
        <v/>
      </c>
      <c r="EV7" s="341" t="str">
        <f>IF(ABS(EV21-EV42)&gt;=0.1,"BS OFF","")</f>
        <v/>
      </c>
      <c r="EW7" s="342"/>
      <c r="EX7" s="341" t="str">
        <f>IF(ABS(EX21-EX42)&gt;=0.1,"BS OFF","")</f>
        <v/>
      </c>
      <c r="EY7" s="341" t="str">
        <f>IF(ABS(EY21-EY42)&gt;=0.1,"BS OFF","")</f>
        <v/>
      </c>
      <c r="EZ7" s="341" t="str">
        <f>IF(ABS(EZ21-EZ42)&gt;=0.1,"BS OFF","")</f>
        <v/>
      </c>
      <c r="FA7" s="341" t="str">
        <f>IF(ABS(FA21-FA42)&gt;=0.1,"BS OFF","")</f>
        <v/>
      </c>
      <c r="FB7" s="342"/>
      <c r="FC7" s="341" t="str">
        <f>IF(ABS(FC21-FC42)&gt;=0.1,"BS OFF","")</f>
        <v/>
      </c>
      <c r="FD7" s="341" t="str">
        <f>IF(ABS(FD21-FD42)&gt;=0.1,"BS OFF","")</f>
        <v/>
      </c>
      <c r="FE7" s="341" t="str">
        <f>IF(ABS(FE21-FE42)&gt;=0.1,"BS OFF","")</f>
        <v/>
      </c>
      <c r="FF7" s="341" t="str">
        <f>IF(ABS(FF21-FF42)&gt;=0.1,"BS OFF","")</f>
        <v/>
      </c>
      <c r="FG7" s="342"/>
      <c r="FH7" s="341" t="str">
        <f>IF(ABS(FH21-FH42)&gt;=0.1,"BS OFF","")</f>
        <v/>
      </c>
      <c r="FI7" s="341" t="str">
        <f>IF(ABS(FI21-FI42)&gt;=0.1,"BS OFF","")</f>
        <v/>
      </c>
      <c r="FJ7" s="341" t="str">
        <f>IF(ABS(FJ21-FJ42)&gt;=0.1,"BS OFF","")</f>
        <v/>
      </c>
      <c r="FK7" s="341" t="str">
        <f>IF(ABS(FK21-FK42)&gt;=0.1,"BS OFF","")</f>
        <v/>
      </c>
      <c r="FL7" s="342"/>
      <c r="FM7" s="481"/>
      <c r="FO7"/>
      <c r="FP7"/>
      <c r="FQ7"/>
      <c r="FR7"/>
      <c r="FS7"/>
      <c r="FT7"/>
      <c r="FU7" s="261"/>
      <c r="FV7" s="261"/>
      <c r="FW7" s="261"/>
      <c r="FX7" s="261"/>
    </row>
    <row r="8" spans="1:180" s="264" customFormat="1" ht="11.25" customHeight="1">
      <c r="A8" s="264" t="s">
        <v>275</v>
      </c>
      <c r="D8" s="263"/>
      <c r="E8" s="1126">
        <v>0</v>
      </c>
      <c r="F8" s="1126">
        <v>0</v>
      </c>
      <c r="G8" s="1126">
        <v>0</v>
      </c>
      <c r="H8" s="482">
        <f>G8</f>
        <v>0</v>
      </c>
      <c r="I8" s="1126">
        <v>0</v>
      </c>
      <c r="J8" s="1126">
        <v>0</v>
      </c>
      <c r="K8" s="1126">
        <v>0</v>
      </c>
      <c r="L8" s="1126">
        <v>0</v>
      </c>
      <c r="M8" s="482">
        <f>L8</f>
        <v>0</v>
      </c>
      <c r="N8" s="1126">
        <v>0</v>
      </c>
      <c r="O8" s="1126">
        <v>0</v>
      </c>
      <c r="P8" s="1126">
        <v>0</v>
      </c>
      <c r="Q8" s="1126">
        <v>417.17099999999999</v>
      </c>
      <c r="R8" s="482">
        <f>Q8</f>
        <v>417.17099999999999</v>
      </c>
      <c r="S8" s="1126">
        <v>486.9</v>
      </c>
      <c r="T8" s="1126">
        <v>613.6</v>
      </c>
      <c r="U8" s="1126">
        <v>632.4</v>
      </c>
      <c r="V8" s="1126">
        <v>791.43799999999999</v>
      </c>
      <c r="W8" s="482">
        <f>V8</f>
        <v>791.43799999999999</v>
      </c>
      <c r="X8" s="1126">
        <v>813</v>
      </c>
      <c r="Y8" s="1126">
        <v>840</v>
      </c>
      <c r="Z8" s="1126">
        <v>855</v>
      </c>
      <c r="AA8" s="1126">
        <v>1013</v>
      </c>
      <c r="AB8" s="482">
        <f>AA8</f>
        <v>1013</v>
      </c>
      <c r="AC8" s="1126">
        <v>843</v>
      </c>
      <c r="AD8" s="1126">
        <v>951</v>
      </c>
      <c r="AE8" s="1126">
        <v>1152</v>
      </c>
      <c r="AF8" s="1126">
        <v>1477</v>
      </c>
      <c r="AG8" s="482">
        <f>AF8</f>
        <v>1477</v>
      </c>
      <c r="AH8" s="1126">
        <v>1326</v>
      </c>
      <c r="AI8" s="1126">
        <v>917</v>
      </c>
      <c r="AJ8" s="1126">
        <v>1205</v>
      </c>
      <c r="AK8" s="1126">
        <v>1962</v>
      </c>
      <c r="AL8" s="482">
        <f>AK8</f>
        <v>1962</v>
      </c>
      <c r="AM8" s="1126">
        <v>1906</v>
      </c>
      <c r="AN8" s="1126">
        <v>2323</v>
      </c>
      <c r="AO8" s="1126">
        <v>2937</v>
      </c>
      <c r="AP8" s="1126">
        <v>2601</v>
      </c>
      <c r="AQ8" s="482">
        <f>AP8</f>
        <v>2601</v>
      </c>
      <c r="AR8" s="1126">
        <v>3018</v>
      </c>
      <c r="AS8" s="1126">
        <v>3096</v>
      </c>
      <c r="AT8" s="1126">
        <v>3852</v>
      </c>
      <c r="AU8" s="1126">
        <v>3706</v>
      </c>
      <c r="AV8" s="482">
        <f>AU8</f>
        <v>3706</v>
      </c>
      <c r="AW8" s="1126">
        <v>3945</v>
      </c>
      <c r="AX8" s="1126">
        <v>2582</v>
      </c>
      <c r="AY8" s="1126">
        <v>4110</v>
      </c>
      <c r="AZ8" s="1126">
        <v>3839</v>
      </c>
      <c r="BA8" s="482">
        <f>AZ8</f>
        <v>3839</v>
      </c>
      <c r="BB8" s="1126">
        <v>5191</v>
      </c>
      <c r="BC8" s="1126">
        <v>6113</v>
      </c>
      <c r="BD8" s="1126">
        <v>6203</v>
      </c>
      <c r="BE8" s="1126">
        <v>4975</v>
      </c>
      <c r="BF8" s="482">
        <f>BE8</f>
        <v>4975</v>
      </c>
      <c r="BG8" s="1126">
        <v>4789</v>
      </c>
      <c r="BH8" s="1126">
        <v>5032</v>
      </c>
      <c r="BI8" s="1126">
        <v>5192</v>
      </c>
      <c r="BJ8" s="1126">
        <v>4846</v>
      </c>
      <c r="BK8" s="482">
        <f>BJ8</f>
        <v>4846</v>
      </c>
      <c r="BL8" s="1126">
        <v>2641</v>
      </c>
      <c r="BM8" s="1126">
        <v>3531</v>
      </c>
      <c r="BN8" s="1126">
        <v>4149</v>
      </c>
      <c r="BO8" s="1126">
        <v>3922</v>
      </c>
      <c r="BP8" s="482">
        <f>BO8</f>
        <v>3922</v>
      </c>
      <c r="BQ8" s="1126">
        <v>3113</v>
      </c>
      <c r="BR8" s="1126">
        <v>5256</v>
      </c>
      <c r="BS8" s="1126">
        <v>5116</v>
      </c>
      <c r="BT8" s="263">
        <f>3016</f>
        <v>3016</v>
      </c>
      <c r="BU8" s="482">
        <f>BT8</f>
        <v>3016</v>
      </c>
      <c r="BV8" s="263">
        <f>5338</f>
        <v>5338</v>
      </c>
      <c r="BW8" s="263">
        <f>5552</f>
        <v>5552</v>
      </c>
      <c r="BX8" s="263">
        <f>4300</f>
        <v>4300</v>
      </c>
      <c r="BY8" s="263">
        <f>6438</f>
        <v>6438</v>
      </c>
      <c r="BZ8" s="482">
        <f>BY8</f>
        <v>6438</v>
      </c>
      <c r="CA8" s="263">
        <f>5768</f>
        <v>5768</v>
      </c>
      <c r="CB8" s="263">
        <f>6149</f>
        <v>6149</v>
      </c>
      <c r="CC8" s="263">
        <f>9348-1561</f>
        <v>7787</v>
      </c>
      <c r="CD8" s="263">
        <f>14304</f>
        <v>14304</v>
      </c>
      <c r="CE8" s="482">
        <f>CD8</f>
        <v>14304</v>
      </c>
      <c r="CF8" s="263">
        <f>11141-1679</f>
        <v>9462</v>
      </c>
      <c r="CG8" s="263">
        <f>4556-998</f>
        <v>3558</v>
      </c>
      <c r="CH8" s="1126">
        <v>3782</v>
      </c>
      <c r="CI8" s="1126">
        <v>4851</v>
      </c>
      <c r="CJ8" s="482">
        <f>CI8</f>
        <v>4851</v>
      </c>
      <c r="CK8" s="1126">
        <v>2974</v>
      </c>
      <c r="CL8" s="1126">
        <v>4083</v>
      </c>
      <c r="CM8" s="1126">
        <v>4351</v>
      </c>
      <c r="CN8" s="1126">
        <v>6714</v>
      </c>
      <c r="CO8" s="482">
        <f>CN8</f>
        <v>6714</v>
      </c>
      <c r="CP8" s="1126">
        <v>9076</v>
      </c>
      <c r="CQ8" s="1126">
        <v>6859</v>
      </c>
      <c r="CR8" s="1126">
        <v>7611</v>
      </c>
      <c r="CS8" s="1126">
        <v>6111</v>
      </c>
      <c r="CT8" s="482">
        <f>CS8</f>
        <v>6111</v>
      </c>
      <c r="CU8" s="1126">
        <v>6637</v>
      </c>
      <c r="CV8" s="1126">
        <v>7460</v>
      </c>
      <c r="CW8" s="1126">
        <v>11820</v>
      </c>
      <c r="CX8" s="1126">
        <v>10339</v>
      </c>
      <c r="CY8" s="482">
        <f>CX8</f>
        <v>10339</v>
      </c>
      <c r="CZ8" s="1126">
        <v>9004</v>
      </c>
      <c r="DA8" s="1126">
        <v>8346</v>
      </c>
      <c r="DB8" s="1126">
        <v>7285</v>
      </c>
      <c r="DC8" s="1126">
        <v>6076</v>
      </c>
      <c r="DD8" s="482">
        <f>DC8</f>
        <v>6076</v>
      </c>
      <c r="DE8" s="1126">
        <v>8823</v>
      </c>
      <c r="DF8" s="1126">
        <v>9422</v>
      </c>
      <c r="DG8" s="1126">
        <v>8155</v>
      </c>
      <c r="DH8" s="1126">
        <v>5505</v>
      </c>
      <c r="DI8" s="482">
        <f>DH8</f>
        <v>5505</v>
      </c>
      <c r="DJ8" s="1126">
        <v>8161</v>
      </c>
      <c r="DK8" s="1126">
        <v>4023</v>
      </c>
      <c r="DL8" s="1126">
        <v>7021</v>
      </c>
      <c r="DM8" s="1126">
        <v>9610</v>
      </c>
      <c r="DN8" s="482">
        <f>DM8</f>
        <v>9610</v>
      </c>
      <c r="DO8" s="1126">
        <v>12881</v>
      </c>
      <c r="DP8" s="1126">
        <v>10610</v>
      </c>
      <c r="DQ8" s="1126">
        <v>6388</v>
      </c>
      <c r="DR8" s="1126">
        <v>6938</v>
      </c>
      <c r="DS8" s="482">
        <f>DR8</f>
        <v>6938</v>
      </c>
      <c r="DT8" s="1126">
        <v>5036</v>
      </c>
      <c r="DU8" s="1126">
        <v>6017</v>
      </c>
      <c r="DV8" s="1126">
        <v>5240</v>
      </c>
      <c r="DW8" s="1126">
        <v>3804</v>
      </c>
      <c r="DX8" s="482">
        <f>DW8</f>
        <v>3804</v>
      </c>
      <c r="DY8" s="1126">
        <v>4023</v>
      </c>
      <c r="DZ8" s="1126">
        <v>10059</v>
      </c>
      <c r="EA8" s="1126">
        <v>11572</v>
      </c>
      <c r="EB8" s="1126">
        <v>8669</v>
      </c>
      <c r="EC8" s="482">
        <f>EB8</f>
        <v>8669</v>
      </c>
      <c r="ED8" s="1126">
        <v>6302</v>
      </c>
      <c r="EE8" s="1126">
        <v>6426</v>
      </c>
      <c r="EF8" s="1126">
        <v>7414</v>
      </c>
      <c r="EG8" s="1126">
        <v>5595</v>
      </c>
      <c r="EH8" s="482">
        <f>EG8</f>
        <v>5595</v>
      </c>
      <c r="EI8" s="2767">
        <v>5431</v>
      </c>
      <c r="EJ8" s="2767">
        <v>7185</v>
      </c>
      <c r="EK8" s="2767">
        <v>7170</v>
      </c>
      <c r="EL8" s="2767">
        <v>6510</v>
      </c>
      <c r="EM8" s="2768">
        <f>EL8</f>
        <v>6510</v>
      </c>
      <c r="EN8" s="2767">
        <v>13928</v>
      </c>
      <c r="EO8" s="2767">
        <v>8468</v>
      </c>
      <c r="EP8" s="2767">
        <v>6713</v>
      </c>
      <c r="EQ8" s="2767">
        <v>7663</v>
      </c>
      <c r="ER8" s="2768">
        <f>EQ8</f>
        <v>7663</v>
      </c>
      <c r="ES8" s="2767">
        <v>6884</v>
      </c>
      <c r="ET8" s="2767">
        <v>12859</v>
      </c>
      <c r="EU8" s="263">
        <v>9221</v>
      </c>
      <c r="EV8" s="263">
        <f>+CF!EV43</f>
        <v>7999.9999999999982</v>
      </c>
      <c r="EW8" s="482">
        <f>EV8</f>
        <v>7999.9999999999982</v>
      </c>
      <c r="EX8" s="263">
        <f>+CF!EX43</f>
        <v>7999.9999999999964</v>
      </c>
      <c r="EY8" s="263">
        <f>+CF!EY43</f>
        <v>8000.0000000000036</v>
      </c>
      <c r="EZ8" s="263">
        <f>+CF!EZ43</f>
        <v>8000</v>
      </c>
      <c r="FA8" s="263">
        <f>+CF!FA43</f>
        <v>7999.9999999999982</v>
      </c>
      <c r="FB8" s="482">
        <f>FA8</f>
        <v>7999.9999999999982</v>
      </c>
      <c r="FC8" s="263">
        <f>+CF!FC43</f>
        <v>7999.9999999999982</v>
      </c>
      <c r="FD8" s="263">
        <f>+CF!FD43</f>
        <v>8000.0000000000018</v>
      </c>
      <c r="FE8" s="263">
        <f>+CF!FE43</f>
        <v>8000.0000000000036</v>
      </c>
      <c r="FF8" s="263">
        <f>+CF!FF43</f>
        <v>8000.0000000000018</v>
      </c>
      <c r="FG8" s="482">
        <f>FF8</f>
        <v>8000.0000000000018</v>
      </c>
      <c r="FH8" s="263">
        <f>+CF!FH43</f>
        <v>8000</v>
      </c>
      <c r="FI8" s="263">
        <f>+CF!FI43</f>
        <v>8000.0000000000018</v>
      </c>
      <c r="FJ8" s="263">
        <f>+CF!FJ43</f>
        <v>8000.0000000000036</v>
      </c>
      <c r="FK8" s="263">
        <f>+CF!FK43</f>
        <v>8000</v>
      </c>
      <c r="FL8" s="482">
        <f>FK8</f>
        <v>8000</v>
      </c>
      <c r="FM8" s="481"/>
      <c r="FN8" s="483"/>
      <c r="FO8"/>
      <c r="FP8"/>
      <c r="FQ8"/>
      <c r="FR8"/>
      <c r="FS8"/>
      <c r="FT8"/>
      <c r="FU8" s="261"/>
      <c r="FV8" s="261"/>
      <c r="FW8" s="261"/>
      <c r="FX8" s="261"/>
    </row>
    <row r="9" spans="1:180" s="264" customFormat="1" ht="11.25" customHeight="1">
      <c r="A9" s="264" t="s">
        <v>276</v>
      </c>
      <c r="D9" s="242"/>
      <c r="E9" s="1127">
        <v>0</v>
      </c>
      <c r="F9" s="1127">
        <v>0</v>
      </c>
      <c r="G9" s="1127">
        <v>0</v>
      </c>
      <c r="H9" s="327">
        <f t="shared" ref="H9:H42" si="0">G9</f>
        <v>0</v>
      </c>
      <c r="I9" s="1127">
        <v>0</v>
      </c>
      <c r="J9" s="1127">
        <v>0</v>
      </c>
      <c r="K9" s="1127">
        <v>0</v>
      </c>
      <c r="L9" s="1127">
        <v>0</v>
      </c>
      <c r="M9" s="327">
        <f t="shared" ref="M9:M42" si="1">L9</f>
        <v>0</v>
      </c>
      <c r="N9" s="1127">
        <v>0</v>
      </c>
      <c r="O9" s="1127">
        <v>0</v>
      </c>
      <c r="P9" s="1127">
        <v>0</v>
      </c>
      <c r="Q9" s="242">
        <f>686.314-Q8</f>
        <v>269.14299999999997</v>
      </c>
      <c r="R9" s="327">
        <f t="shared" ref="R9:R42" si="2">Q9</f>
        <v>269.14299999999997</v>
      </c>
      <c r="S9" s="242">
        <f>858.9-S8</f>
        <v>372</v>
      </c>
      <c r="T9" s="242">
        <f>976-T8</f>
        <v>362.4</v>
      </c>
      <c r="U9" s="242">
        <f>1144.1-U8</f>
        <v>511.69999999999993</v>
      </c>
      <c r="V9" s="242">
        <f>1344.901-V8</f>
        <v>553.46300000000008</v>
      </c>
      <c r="W9" s="327">
        <f t="shared" ref="W9:W42" si="3">V9</f>
        <v>553.46300000000008</v>
      </c>
      <c r="X9" s="242">
        <f>1481-813</f>
        <v>668</v>
      </c>
      <c r="Y9" s="242">
        <f>1781-840</f>
        <v>941</v>
      </c>
      <c r="Z9" s="242">
        <f>2001-Z8</f>
        <v>1146</v>
      </c>
      <c r="AA9" s="1127">
        <v>1277</v>
      </c>
      <c r="AB9" s="327">
        <f t="shared" ref="AB9:AB42" si="4">AA9</f>
        <v>1277</v>
      </c>
      <c r="AC9" s="1127">
        <v>1689</v>
      </c>
      <c r="AD9" s="1127">
        <v>1845</v>
      </c>
      <c r="AE9" s="1127">
        <v>1991</v>
      </c>
      <c r="AF9" s="1127">
        <v>2137</v>
      </c>
      <c r="AG9" s="327">
        <f t="shared" ref="AG9:AG42" si="5">AF9</f>
        <v>2137</v>
      </c>
      <c r="AH9" s="1127">
        <v>2450</v>
      </c>
      <c r="AI9" s="1127">
        <v>2922</v>
      </c>
      <c r="AJ9" s="1127">
        <v>3260</v>
      </c>
      <c r="AK9" s="1127">
        <v>2788</v>
      </c>
      <c r="AL9" s="327">
        <f t="shared" ref="AL9:AL42" si="6">AK9</f>
        <v>2788</v>
      </c>
      <c r="AM9" s="1127">
        <v>3158</v>
      </c>
      <c r="AN9" s="1127">
        <v>3694</v>
      </c>
      <c r="AO9" s="1127">
        <v>3833</v>
      </c>
      <c r="AP9" s="1127">
        <v>4339</v>
      </c>
      <c r="AQ9" s="327">
        <f t="shared" ref="AQ9:AQ42" si="7">AP9</f>
        <v>4339</v>
      </c>
      <c r="AR9" s="1127">
        <v>4080</v>
      </c>
      <c r="AS9" s="1127">
        <v>6064</v>
      </c>
      <c r="AT9" s="1127">
        <v>5234</v>
      </c>
      <c r="AU9" s="1127">
        <v>5260</v>
      </c>
      <c r="AV9" s="327">
        <f t="shared" ref="AV9:AV42" si="8">AU9</f>
        <v>5260</v>
      </c>
      <c r="AW9" s="1127">
        <v>5689</v>
      </c>
      <c r="AX9" s="1127">
        <v>7523</v>
      </c>
      <c r="AY9" s="1127">
        <v>8212</v>
      </c>
      <c r="AZ9" s="1127">
        <v>10088</v>
      </c>
      <c r="BA9" s="327">
        <f t="shared" ref="BA9:BA42" si="9">AZ9</f>
        <v>10088</v>
      </c>
      <c r="BB9" s="1127">
        <v>12051</v>
      </c>
      <c r="BC9" s="1127">
        <v>13124</v>
      </c>
      <c r="BD9" s="1127">
        <v>15558</v>
      </c>
      <c r="BE9" s="1127">
        <v>12261</v>
      </c>
      <c r="BF9" s="327">
        <f t="shared" ref="BF9:BF42" si="10">BE9</f>
        <v>12261</v>
      </c>
      <c r="BG9" s="1127">
        <v>14113</v>
      </c>
      <c r="BH9" s="1127">
        <v>12811</v>
      </c>
      <c r="BI9" s="1127">
        <v>16013</v>
      </c>
      <c r="BJ9" s="1127">
        <v>18952</v>
      </c>
      <c r="BK9" s="327">
        <f t="shared" ref="BK9:BK42" si="11">BJ9</f>
        <v>18952</v>
      </c>
      <c r="BL9" s="1127">
        <v>22070</v>
      </c>
      <c r="BM9" s="1127">
        <v>23358</v>
      </c>
      <c r="BN9" s="1127">
        <v>25869</v>
      </c>
      <c r="BO9" s="1127">
        <v>27678</v>
      </c>
      <c r="BP9" s="327">
        <f t="shared" ref="BP9:BP42" si="12">BO9</f>
        <v>27678</v>
      </c>
      <c r="BQ9" s="1127">
        <v>33050</v>
      </c>
      <c r="BR9" s="1127">
        <v>32973</v>
      </c>
      <c r="BS9" s="1127">
        <v>33577</v>
      </c>
      <c r="BT9" s="242">
        <f>35636</f>
        <v>35636</v>
      </c>
      <c r="BU9" s="327">
        <f t="shared" ref="BU9:BU42" si="13">BT9</f>
        <v>35636</v>
      </c>
      <c r="BV9" s="242">
        <f>35137</f>
        <v>35137</v>
      </c>
      <c r="BW9" s="242">
        <f>37872</f>
        <v>37872</v>
      </c>
      <c r="BX9" s="242">
        <f>41878</f>
        <v>41878</v>
      </c>
      <c r="BY9" s="242">
        <f>42610</f>
        <v>42610</v>
      </c>
      <c r="BZ9" s="327">
        <f t="shared" ref="BZ9:BZ42" si="14">BY9</f>
        <v>42610</v>
      </c>
      <c r="CA9" s="242">
        <f>45854</f>
        <v>45854</v>
      </c>
      <c r="CB9" s="242">
        <f>46628</f>
        <v>46628</v>
      </c>
      <c r="CC9" s="242">
        <f>47059+1561</f>
        <v>48620</v>
      </c>
      <c r="CD9" s="242">
        <f>46288</f>
        <v>46288</v>
      </c>
      <c r="CE9" s="327">
        <f t="shared" ref="CE9:CE42" si="15">CD9</f>
        <v>46288</v>
      </c>
      <c r="CF9" s="242">
        <f>53274+1679</f>
        <v>54953</v>
      </c>
      <c r="CG9" s="242">
        <f>29948+998</f>
        <v>30946</v>
      </c>
      <c r="CH9" s="1127">
        <v>33812</v>
      </c>
      <c r="CI9" s="1127">
        <v>32900</v>
      </c>
      <c r="CJ9" s="327">
        <f t="shared" ref="CJ9:CJ42" si="16">CI9</f>
        <v>32900</v>
      </c>
      <c r="CK9" s="1127">
        <v>37082</v>
      </c>
      <c r="CL9" s="1127">
        <v>30618</v>
      </c>
      <c r="CM9" s="1127">
        <v>30465</v>
      </c>
      <c r="CN9" s="1127">
        <v>27447</v>
      </c>
      <c r="CO9" s="327">
        <f t="shared" ref="CO9:CO42" si="17">CN9</f>
        <v>27447</v>
      </c>
      <c r="CP9" s="1127">
        <v>22756</v>
      </c>
      <c r="CQ9" s="1127">
        <v>22014</v>
      </c>
      <c r="CR9" s="1127">
        <v>20625</v>
      </c>
      <c r="CS9" s="1127">
        <v>17300</v>
      </c>
      <c r="CT9" s="327">
        <f t="shared" ref="CT9:CT42" si="18">CS9</f>
        <v>17300</v>
      </c>
      <c r="CU9" s="1127">
        <v>14937</v>
      </c>
      <c r="CV9" s="1127">
        <v>13616</v>
      </c>
      <c r="CW9" s="1127">
        <v>14521</v>
      </c>
      <c r="CX9" s="1127">
        <v>13323</v>
      </c>
      <c r="CY9" s="327">
        <f t="shared" ref="CY9:CY42" si="19">CX9</f>
        <v>13323</v>
      </c>
      <c r="CZ9" s="1127">
        <v>11718</v>
      </c>
      <c r="DA9" s="1127">
        <v>12369</v>
      </c>
      <c r="DB9" s="1127">
        <v>18055</v>
      </c>
      <c r="DC9" s="1127">
        <v>25371</v>
      </c>
      <c r="DD9" s="327">
        <f t="shared" ref="DD9:DD42" si="20">DC9</f>
        <v>25371</v>
      </c>
      <c r="DE9" s="1127">
        <v>27905</v>
      </c>
      <c r="DF9" s="1127">
        <v>26677</v>
      </c>
      <c r="DG9" s="1127">
        <v>31511</v>
      </c>
      <c r="DH9" s="1127">
        <v>31283</v>
      </c>
      <c r="DI9" s="327">
        <f t="shared" ref="DI9:DI42" si="21">DH9</f>
        <v>31283</v>
      </c>
      <c r="DJ9" s="1127">
        <v>36012</v>
      </c>
      <c r="DK9" s="1127">
        <v>37229</v>
      </c>
      <c r="DL9" s="1127">
        <v>43129</v>
      </c>
      <c r="DM9" s="1127">
        <v>43162</v>
      </c>
      <c r="DN9" s="327">
        <f t="shared" ref="DN9:DN42" si="22">DM9</f>
        <v>43162</v>
      </c>
      <c r="DO9" s="1127">
        <v>44522</v>
      </c>
      <c r="DP9" s="1127">
        <v>41126</v>
      </c>
      <c r="DQ9" s="1127">
        <v>53141</v>
      </c>
      <c r="DR9" s="1127">
        <v>56102</v>
      </c>
      <c r="DS9" s="327">
        <f t="shared" ref="DS9:DS42" si="23">DR9</f>
        <v>56102</v>
      </c>
      <c r="DT9" s="1127">
        <v>61608</v>
      </c>
      <c r="DU9" s="1127">
        <v>62295</v>
      </c>
      <c r="DV9" s="1127">
        <v>69243</v>
      </c>
      <c r="DW9" s="1127">
        <v>73218</v>
      </c>
      <c r="DX9" s="327">
        <f t="shared" ref="DX9:DX42" si="24">DW9</f>
        <v>73218</v>
      </c>
      <c r="DY9" s="1127">
        <v>76649</v>
      </c>
      <c r="DZ9" s="1127">
        <v>73885</v>
      </c>
      <c r="EA9" s="1127">
        <v>76853</v>
      </c>
      <c r="EB9" s="1127">
        <v>77040</v>
      </c>
      <c r="EC9" s="327">
        <f t="shared" ref="EC9:EC42" si="25">EB9</f>
        <v>77040</v>
      </c>
      <c r="ED9" s="1127">
        <v>82891</v>
      </c>
      <c r="EE9" s="1127">
        <v>83823</v>
      </c>
      <c r="EF9" s="1127">
        <v>88024</v>
      </c>
      <c r="EG9" s="1127">
        <v>90931</v>
      </c>
      <c r="EH9" s="327">
        <f t="shared" ref="EH9:EH42" si="26">EG9</f>
        <v>90931</v>
      </c>
      <c r="EI9" s="2769">
        <v>93924</v>
      </c>
      <c r="EJ9" s="2769">
        <v>95455</v>
      </c>
      <c r="EK9" s="2769">
        <v>98382</v>
      </c>
      <c r="EL9" s="2769">
        <v>106730</v>
      </c>
      <c r="EM9" s="2770">
        <f t="shared" ref="EM9:EM42" si="27">EL9</f>
        <v>106730</v>
      </c>
      <c r="EN9" s="2769">
        <v>123004</v>
      </c>
      <c r="EO9" s="2769">
        <v>114313</v>
      </c>
      <c r="EP9" s="2769">
        <v>119305</v>
      </c>
      <c r="EQ9" s="2769">
        <v>125318</v>
      </c>
      <c r="ER9" s="2770">
        <f t="shared" ref="ER9:ER42" si="28">EQ9</f>
        <v>125318</v>
      </c>
      <c r="ES9" s="2769">
        <v>131587</v>
      </c>
      <c r="ET9" s="2769">
        <v>129921</v>
      </c>
      <c r="EU9" s="242">
        <v>123049</v>
      </c>
      <c r="EV9" s="242">
        <f>+EU9-CF!EV12-CF!EV29-CF!EV30</f>
        <v>126914.91229498293</v>
      </c>
      <c r="EW9" s="327">
        <f t="shared" ref="EW9:EW21" si="29">EV9</f>
        <v>126914.91229498293</v>
      </c>
      <c r="EX9" s="242">
        <f>+EV9-CF!EX12-CF!EX29-CF!EX30</f>
        <v>128990.472015754</v>
      </c>
      <c r="EY9" s="242">
        <f>+EX9-CF!EY12-CF!EY29-CF!EY30</f>
        <v>121747.75297803635</v>
      </c>
      <c r="EZ9" s="242">
        <f>+EY9-CF!EZ12-CF!EZ29-CF!EZ30</f>
        <v>122999.01689033676</v>
      </c>
      <c r="FA9" s="242">
        <f>+EZ9-CF!FA12-CF!FA29-CF!FA30</f>
        <v>122720.85036438156</v>
      </c>
      <c r="FB9" s="327">
        <f t="shared" ref="FB9:FB21" si="30">FA9</f>
        <v>122720.85036438156</v>
      </c>
      <c r="FC9" s="242">
        <f>+FA9-CF!FC12-CF!FC29-CF!FC30</f>
        <v>122388.94116520777</v>
      </c>
      <c r="FD9" s="242">
        <f>+FC9-CF!FD12-CF!FD29-CF!FD30</f>
        <v>117401.15090133104</v>
      </c>
      <c r="FE9" s="242">
        <f>+FD9-CF!FE12-CF!FE29-CF!FE30</f>
        <v>115093.30772410438</v>
      </c>
      <c r="FF9" s="242">
        <f>+FE9-CF!FF12-CF!FF29-CF!FF30</f>
        <v>115710.61822562935</v>
      </c>
      <c r="FG9" s="327">
        <f t="shared" ref="FG9:FG21" si="31">FF9</f>
        <v>115710.61822562935</v>
      </c>
      <c r="FH9" s="242">
        <f>+FF9-CF!FH12-CF!FH29-CF!FH30</f>
        <v>118486.93636547358</v>
      </c>
      <c r="FI9" s="242">
        <f>+FH9-CF!FI12-CF!FI29-CF!FI30</f>
        <v>109265.98936628041</v>
      </c>
      <c r="FJ9" s="242">
        <f>+FI9-CF!FJ12-CF!FJ29-CF!FJ30</f>
        <v>109899.54451155418</v>
      </c>
      <c r="FK9" s="242">
        <f>+FJ9-CF!FK12-CF!FK29-CF!FK30</f>
        <v>111204.5961023616</v>
      </c>
      <c r="FL9" s="327">
        <f t="shared" ref="FL9:FL21" si="32">FK9</f>
        <v>111204.5961023616</v>
      </c>
      <c r="FM9" s="481"/>
      <c r="FN9" s="484"/>
      <c r="FO9"/>
      <c r="FP9"/>
      <c r="FQ9"/>
      <c r="FR9"/>
      <c r="FS9"/>
      <c r="FT9"/>
      <c r="FU9" s="261"/>
      <c r="FV9" s="261"/>
      <c r="FW9" s="261"/>
      <c r="FX9" s="261"/>
    </row>
    <row r="10" spans="1:180" s="264" customFormat="1" ht="11.25" customHeight="1">
      <c r="A10" s="264" t="s">
        <v>277</v>
      </c>
      <c r="D10" s="242"/>
      <c r="E10" s="1127">
        <v>0</v>
      </c>
      <c r="F10" s="1127">
        <v>0</v>
      </c>
      <c r="G10" s="1127">
        <v>0</v>
      </c>
      <c r="H10" s="327">
        <f t="shared" si="0"/>
        <v>0</v>
      </c>
      <c r="I10" s="1127">
        <v>0</v>
      </c>
      <c r="J10" s="1127">
        <v>0</v>
      </c>
      <c r="K10" s="1127">
        <v>0</v>
      </c>
      <c r="L10" s="1127">
        <v>0</v>
      </c>
      <c r="M10" s="327">
        <f t="shared" si="1"/>
        <v>0</v>
      </c>
      <c r="N10" s="1127">
        <v>0</v>
      </c>
      <c r="O10" s="1127">
        <v>0</v>
      </c>
      <c r="P10" s="1127">
        <v>0</v>
      </c>
      <c r="Q10" s="1127">
        <v>243.304</v>
      </c>
      <c r="R10" s="327">
        <f t="shared" si="2"/>
        <v>243.304</v>
      </c>
      <c r="S10" s="1127">
        <v>237.7</v>
      </c>
      <c r="T10" s="1127">
        <v>259.2</v>
      </c>
      <c r="U10" s="1127">
        <v>262.7</v>
      </c>
      <c r="V10" s="1127">
        <v>270.21499999999997</v>
      </c>
      <c r="W10" s="327">
        <f t="shared" si="3"/>
        <v>270.21499999999997</v>
      </c>
      <c r="X10" s="1127">
        <v>326</v>
      </c>
      <c r="Y10" s="1127">
        <v>339</v>
      </c>
      <c r="Z10" s="1127">
        <v>439</v>
      </c>
      <c r="AA10" s="1127">
        <v>338</v>
      </c>
      <c r="AB10" s="327">
        <f t="shared" si="4"/>
        <v>338</v>
      </c>
      <c r="AC10" s="1127">
        <v>364</v>
      </c>
      <c r="AD10" s="1127">
        <v>460</v>
      </c>
      <c r="AE10" s="1127">
        <v>522</v>
      </c>
      <c r="AF10" s="1127">
        <v>475</v>
      </c>
      <c r="AG10" s="327">
        <f t="shared" si="5"/>
        <v>475</v>
      </c>
      <c r="AH10" s="1127">
        <v>527</v>
      </c>
      <c r="AI10" s="1127">
        <v>591</v>
      </c>
      <c r="AJ10" s="1127">
        <v>580</v>
      </c>
      <c r="AK10" s="1127">
        <v>581</v>
      </c>
      <c r="AL10" s="327">
        <f t="shared" si="6"/>
        <v>581</v>
      </c>
      <c r="AM10" s="1127">
        <v>1052</v>
      </c>
      <c r="AN10" s="1127">
        <v>771</v>
      </c>
      <c r="AO10" s="1127">
        <v>681</v>
      </c>
      <c r="AP10" s="1127">
        <v>639</v>
      </c>
      <c r="AQ10" s="327">
        <f t="shared" si="7"/>
        <v>639</v>
      </c>
      <c r="AR10" s="1127">
        <v>855</v>
      </c>
      <c r="AS10" s="1127">
        <v>975</v>
      </c>
      <c r="AT10" s="1127">
        <v>866</v>
      </c>
      <c r="AU10" s="1127">
        <v>980</v>
      </c>
      <c r="AV10" s="327">
        <f t="shared" si="8"/>
        <v>980</v>
      </c>
      <c r="AW10" s="1127">
        <v>788</v>
      </c>
      <c r="AX10" s="1127">
        <v>1081</v>
      </c>
      <c r="AY10" s="1127">
        <v>1055</v>
      </c>
      <c r="AZ10" s="1127">
        <v>1460</v>
      </c>
      <c r="BA10" s="327">
        <f t="shared" si="9"/>
        <v>1460</v>
      </c>
      <c r="BB10" s="1127">
        <v>1153</v>
      </c>
      <c r="BC10" s="1127">
        <v>2029</v>
      </c>
      <c r="BD10" s="1127">
        <v>1689</v>
      </c>
      <c r="BE10" s="1127">
        <v>2245</v>
      </c>
      <c r="BF10" s="327">
        <f t="shared" si="10"/>
        <v>2245</v>
      </c>
      <c r="BG10" s="1127">
        <v>2207</v>
      </c>
      <c r="BH10" s="1127">
        <v>3284</v>
      </c>
      <c r="BI10" s="1127">
        <v>2902</v>
      </c>
      <c r="BJ10" s="1127">
        <v>3250</v>
      </c>
      <c r="BK10" s="327">
        <f t="shared" si="11"/>
        <v>3250</v>
      </c>
      <c r="BL10" s="1127">
        <v>3172</v>
      </c>
      <c r="BM10" s="1127">
        <v>4143</v>
      </c>
      <c r="BN10" s="1127">
        <v>3532</v>
      </c>
      <c r="BO10" s="1127">
        <v>3671</v>
      </c>
      <c r="BP10" s="327">
        <f t="shared" si="12"/>
        <v>3671</v>
      </c>
      <c r="BQ10" s="1127">
        <v>3615</v>
      </c>
      <c r="BR10" s="1127">
        <v>5095</v>
      </c>
      <c r="BS10" s="1127">
        <v>4230</v>
      </c>
      <c r="BT10" s="1127">
        <v>5129</v>
      </c>
      <c r="BU10" s="327">
        <f t="shared" si="13"/>
        <v>5129</v>
      </c>
      <c r="BV10" s="1127">
        <v>4450</v>
      </c>
      <c r="BW10" s="1127">
        <v>4894</v>
      </c>
      <c r="BX10" s="1127">
        <v>4075</v>
      </c>
      <c r="BY10" s="1127">
        <v>5196</v>
      </c>
      <c r="BZ10" s="327">
        <f t="shared" si="14"/>
        <v>5196</v>
      </c>
      <c r="CA10" s="1127">
        <v>4533</v>
      </c>
      <c r="CB10" s="1127">
        <v>5608</v>
      </c>
      <c r="CC10" s="1128">
        <v>4937</v>
      </c>
      <c r="CD10" s="1128">
        <v>5890</v>
      </c>
      <c r="CE10" s="327">
        <f t="shared" si="15"/>
        <v>5890</v>
      </c>
      <c r="CF10" s="1128">
        <v>5106</v>
      </c>
      <c r="CG10" s="1128">
        <v>6646</v>
      </c>
      <c r="CH10" s="1128">
        <v>5610</v>
      </c>
      <c r="CI10" s="1128">
        <v>7180</v>
      </c>
      <c r="CJ10" s="327">
        <f t="shared" si="16"/>
        <v>7180</v>
      </c>
      <c r="CK10" s="1128">
        <v>5799</v>
      </c>
      <c r="CL10" s="1128">
        <v>7758</v>
      </c>
      <c r="CM10" s="1128">
        <v>6818</v>
      </c>
      <c r="CN10" s="1128">
        <v>9316</v>
      </c>
      <c r="CO10" s="327">
        <f t="shared" si="17"/>
        <v>9316</v>
      </c>
      <c r="CP10" s="1128">
        <v>6879</v>
      </c>
      <c r="CQ10" s="1128">
        <v>9895</v>
      </c>
      <c r="CR10" s="1128">
        <v>8454</v>
      </c>
      <c r="CS10" s="1128">
        <v>11338</v>
      </c>
      <c r="CT10" s="327">
        <f t="shared" si="18"/>
        <v>11338</v>
      </c>
      <c r="CU10" s="1128">
        <v>8982</v>
      </c>
      <c r="CV10" s="1128">
        <v>11621</v>
      </c>
      <c r="CW10" s="1128">
        <v>9871</v>
      </c>
      <c r="CX10" s="1128">
        <v>13589</v>
      </c>
      <c r="CY10" s="327">
        <f t="shared" si="19"/>
        <v>13589</v>
      </c>
      <c r="CZ10" s="1128">
        <v>9535</v>
      </c>
      <c r="DA10" s="1128">
        <v>10953</v>
      </c>
      <c r="DB10" s="1128">
        <v>9182</v>
      </c>
      <c r="DC10" s="1128">
        <v>11192</v>
      </c>
      <c r="DD10" s="327">
        <f t="shared" si="20"/>
        <v>11192</v>
      </c>
      <c r="DE10" s="1128">
        <v>8587</v>
      </c>
      <c r="DF10" s="1128">
        <v>11196</v>
      </c>
      <c r="DG10" s="1128">
        <v>9137</v>
      </c>
      <c r="DH10" s="1128">
        <v>13014</v>
      </c>
      <c r="DI10" s="327">
        <f t="shared" si="21"/>
        <v>13014</v>
      </c>
      <c r="DJ10" s="1128">
        <v>9646</v>
      </c>
      <c r="DK10" s="1128">
        <v>12874</v>
      </c>
      <c r="DL10" s="1128">
        <v>10033</v>
      </c>
      <c r="DM10" s="1128">
        <v>14987</v>
      </c>
      <c r="DN10" s="327">
        <f t="shared" si="22"/>
        <v>14987</v>
      </c>
      <c r="DO10" s="1128">
        <v>10153</v>
      </c>
      <c r="DP10" s="1128">
        <v>13643</v>
      </c>
      <c r="DQ10" s="1128">
        <v>10961</v>
      </c>
      <c r="DR10" s="1128">
        <v>15780</v>
      </c>
      <c r="DS10" s="327">
        <f t="shared" si="23"/>
        <v>15780</v>
      </c>
      <c r="DT10" s="1128">
        <v>9871</v>
      </c>
      <c r="DU10" s="1128">
        <v>14317</v>
      </c>
      <c r="DV10" s="1128">
        <v>11991</v>
      </c>
      <c r="DW10" s="1128">
        <v>17486</v>
      </c>
      <c r="DX10" s="327">
        <f t="shared" si="24"/>
        <v>17486</v>
      </c>
      <c r="DY10" s="1128">
        <v>11007</v>
      </c>
      <c r="DZ10" s="1128">
        <v>15986</v>
      </c>
      <c r="EA10" s="1128">
        <v>13497</v>
      </c>
      <c r="EB10" s="1128">
        <v>19544</v>
      </c>
      <c r="EC10" s="327">
        <f t="shared" si="25"/>
        <v>19544</v>
      </c>
      <c r="ED10" s="1128">
        <v>12887</v>
      </c>
      <c r="EE10" s="1128">
        <v>16186</v>
      </c>
      <c r="EF10" s="1128">
        <v>12427</v>
      </c>
      <c r="EG10" s="1128">
        <v>17908</v>
      </c>
      <c r="EH10" s="327">
        <f t="shared" si="26"/>
        <v>17908</v>
      </c>
      <c r="EI10" s="2516">
        <v>11444</v>
      </c>
      <c r="EJ10" s="2516">
        <v>14507</v>
      </c>
      <c r="EK10" s="2516">
        <v>12247</v>
      </c>
      <c r="EL10" s="2516">
        <v>20636</v>
      </c>
      <c r="EM10" s="2770">
        <f t="shared" si="27"/>
        <v>20636</v>
      </c>
      <c r="EN10" s="2516">
        <v>13479</v>
      </c>
      <c r="EO10" s="2516">
        <v>16737</v>
      </c>
      <c r="EP10" s="2516">
        <v>15364</v>
      </c>
      <c r="EQ10" s="2516">
        <v>22431</v>
      </c>
      <c r="ER10" s="2770">
        <f t="shared" si="28"/>
        <v>22431</v>
      </c>
      <c r="ES10" s="2516">
        <v>14561</v>
      </c>
      <c r="ET10" s="2516">
        <v>18428</v>
      </c>
      <c r="EU10" s="2516">
        <v>17208</v>
      </c>
      <c r="EV10" s="455">
        <f>+EV89</f>
        <v>26521.775762901496</v>
      </c>
      <c r="EW10" s="327">
        <f t="shared" si="29"/>
        <v>26521.775762901496</v>
      </c>
      <c r="EX10" s="455">
        <f>+EX89</f>
        <v>17650.670853187905</v>
      </c>
      <c r="EY10" s="455">
        <f>+EY89</f>
        <v>21559.017619067625</v>
      </c>
      <c r="EZ10" s="455">
        <f>+EZ89</f>
        <v>18254.062094036912</v>
      </c>
      <c r="FA10" s="455">
        <f>+FA89</f>
        <v>28948.099017444547</v>
      </c>
      <c r="FB10" s="327">
        <f t="shared" si="30"/>
        <v>28948.099017444547</v>
      </c>
      <c r="FC10" s="455">
        <f>+FC89</f>
        <v>19133.282623758449</v>
      </c>
      <c r="FD10" s="455">
        <f>+FD89</f>
        <v>22697.377028235012</v>
      </c>
      <c r="FE10" s="455">
        <f>+FE89</f>
        <v>20332.096524896402</v>
      </c>
      <c r="FF10" s="455">
        <f>+FF89</f>
        <v>32825.293928445273</v>
      </c>
      <c r="FG10" s="327">
        <f t="shared" si="31"/>
        <v>32825.293928445273</v>
      </c>
      <c r="FH10" s="455">
        <f>+FH89</f>
        <v>21417.858775360139</v>
      </c>
      <c r="FI10" s="455">
        <f>+FI89</f>
        <v>24926.68902698583</v>
      </c>
      <c r="FJ10" s="455">
        <f>+FJ89</f>
        <v>22721.310388760983</v>
      </c>
      <c r="FK10" s="455">
        <f>+FK89</f>
        <v>36622.364156270058</v>
      </c>
      <c r="FL10" s="327">
        <f t="shared" si="32"/>
        <v>36622.364156270058</v>
      </c>
      <c r="FM10" s="481"/>
      <c r="FN10" s="485"/>
      <c r="FO10"/>
      <c r="FP10"/>
      <c r="FQ10"/>
      <c r="FR10"/>
      <c r="FS10"/>
      <c r="FT10"/>
      <c r="FU10" s="261"/>
      <c r="FV10" s="261"/>
      <c r="FW10" s="261"/>
      <c r="FX10" s="261"/>
    </row>
    <row r="11" spans="1:180" s="264" customFormat="1" ht="11.25" customHeight="1">
      <c r="A11" s="264" t="s">
        <v>278</v>
      </c>
      <c r="D11" s="242"/>
      <c r="E11" s="1127">
        <v>0</v>
      </c>
      <c r="F11" s="1127">
        <v>0</v>
      </c>
      <c r="G11" s="1127">
        <v>0</v>
      </c>
      <c r="H11" s="327">
        <f t="shared" si="0"/>
        <v>0</v>
      </c>
      <c r="I11" s="1127">
        <v>0</v>
      </c>
      <c r="J11" s="1127">
        <v>0</v>
      </c>
      <c r="K11" s="1127">
        <v>0</v>
      </c>
      <c r="L11" s="1127">
        <v>0</v>
      </c>
      <c r="M11" s="327">
        <f t="shared" si="1"/>
        <v>0</v>
      </c>
      <c r="N11" s="1127">
        <v>0</v>
      </c>
      <c r="O11" s="1127">
        <v>0</v>
      </c>
      <c r="P11" s="1127">
        <v>0</v>
      </c>
      <c r="Q11" s="1127">
        <v>47.106000000000002</v>
      </c>
      <c r="R11" s="327">
        <f t="shared" si="2"/>
        <v>47.106000000000002</v>
      </c>
      <c r="S11" s="1127">
        <v>58.4</v>
      </c>
      <c r="T11" s="1127">
        <v>58</v>
      </c>
      <c r="U11" s="1127">
        <v>60.4</v>
      </c>
      <c r="V11" s="1127">
        <v>85.873000000000005</v>
      </c>
      <c r="W11" s="327">
        <f t="shared" si="3"/>
        <v>85.873000000000005</v>
      </c>
      <c r="X11" s="1127">
        <v>88</v>
      </c>
      <c r="Y11" s="1127">
        <v>102</v>
      </c>
      <c r="Z11" s="1127">
        <v>119</v>
      </c>
      <c r="AA11" s="1127">
        <v>127</v>
      </c>
      <c r="AB11" s="327">
        <f t="shared" si="4"/>
        <v>127</v>
      </c>
      <c r="AC11" s="1127">
        <v>95</v>
      </c>
      <c r="AD11" s="1127">
        <v>130</v>
      </c>
      <c r="AE11" s="1127">
        <v>131</v>
      </c>
      <c r="AF11" s="1127">
        <v>102</v>
      </c>
      <c r="AG11" s="327">
        <f t="shared" si="5"/>
        <v>102</v>
      </c>
      <c r="AH11" s="1127">
        <v>108</v>
      </c>
      <c r="AI11" s="1127">
        <v>117</v>
      </c>
      <c r="AJ11" s="1127">
        <v>87</v>
      </c>
      <c r="AK11" s="1127">
        <v>88</v>
      </c>
      <c r="AL11" s="327">
        <f t="shared" si="6"/>
        <v>88</v>
      </c>
      <c r="AM11" s="1127">
        <v>125</v>
      </c>
      <c r="AN11" s="1127">
        <v>108</v>
      </c>
      <c r="AO11" s="1127">
        <v>33</v>
      </c>
      <c r="AP11" s="1127">
        <v>0</v>
      </c>
      <c r="AQ11" s="327">
        <f t="shared" si="7"/>
        <v>0</v>
      </c>
      <c r="AR11" s="1127">
        <v>0</v>
      </c>
      <c r="AS11" s="1127">
        <v>0</v>
      </c>
      <c r="AT11" s="1127">
        <v>0</v>
      </c>
      <c r="AU11" s="1127">
        <v>0</v>
      </c>
      <c r="AV11" s="327">
        <f t="shared" si="8"/>
        <v>0</v>
      </c>
      <c r="AW11" s="1127">
        <v>0</v>
      </c>
      <c r="AX11" s="1127">
        <v>0</v>
      </c>
      <c r="AY11" s="1127">
        <v>0</v>
      </c>
      <c r="AZ11" s="1127">
        <v>0</v>
      </c>
      <c r="BA11" s="327">
        <f t="shared" si="9"/>
        <v>0</v>
      </c>
      <c r="BB11" s="1127">
        <v>0</v>
      </c>
      <c r="BC11" s="1127">
        <v>0</v>
      </c>
      <c r="BD11" s="1127">
        <v>0</v>
      </c>
      <c r="BE11" s="1127">
        <v>0</v>
      </c>
      <c r="BF11" s="327">
        <f t="shared" si="10"/>
        <v>0</v>
      </c>
      <c r="BG11" s="1127">
        <v>0</v>
      </c>
      <c r="BH11" s="1127">
        <v>0</v>
      </c>
      <c r="BI11" s="1127">
        <v>0</v>
      </c>
      <c r="BJ11" s="1127">
        <v>0</v>
      </c>
      <c r="BK11" s="327">
        <f t="shared" si="11"/>
        <v>0</v>
      </c>
      <c r="BL11" s="1127">
        <v>0</v>
      </c>
      <c r="BM11" s="1127">
        <v>0</v>
      </c>
      <c r="BN11" s="1127">
        <v>0</v>
      </c>
      <c r="BO11" s="1127">
        <v>0</v>
      </c>
      <c r="BP11" s="327">
        <f t="shared" si="12"/>
        <v>0</v>
      </c>
      <c r="BQ11" s="1127">
        <v>0</v>
      </c>
      <c r="BR11" s="1127">
        <v>0</v>
      </c>
      <c r="BS11" s="1127">
        <v>0</v>
      </c>
      <c r="BT11" s="1127">
        <v>673</v>
      </c>
      <c r="BU11" s="327">
        <f t="shared" si="13"/>
        <v>673</v>
      </c>
      <c r="BV11" s="1127">
        <v>959</v>
      </c>
      <c r="BW11" s="1127">
        <v>650</v>
      </c>
      <c r="BX11" s="1127">
        <v>604</v>
      </c>
      <c r="BY11" s="1127">
        <v>640</v>
      </c>
      <c r="BZ11" s="327">
        <f t="shared" si="14"/>
        <v>640</v>
      </c>
      <c r="CA11" s="1127">
        <v>1099</v>
      </c>
      <c r="CB11" s="1127">
        <v>621</v>
      </c>
      <c r="CC11" s="1127">
        <v>542</v>
      </c>
      <c r="CD11" s="1127">
        <v>421</v>
      </c>
      <c r="CE11" s="327">
        <f t="shared" si="15"/>
        <v>421</v>
      </c>
      <c r="CF11" s="1127">
        <v>608</v>
      </c>
      <c r="CG11" s="1127">
        <v>304</v>
      </c>
      <c r="CH11" s="1127">
        <v>340</v>
      </c>
      <c r="CI11" s="1127">
        <v>491</v>
      </c>
      <c r="CJ11" s="327">
        <f t="shared" si="16"/>
        <v>491</v>
      </c>
      <c r="CK11" s="1127">
        <v>726</v>
      </c>
      <c r="CL11" s="1127">
        <v>1003</v>
      </c>
      <c r="CM11" s="1127">
        <v>1113</v>
      </c>
      <c r="CN11" s="1127">
        <v>1478</v>
      </c>
      <c r="CO11" s="327">
        <f t="shared" si="17"/>
        <v>1478</v>
      </c>
      <c r="CP11" s="1127">
        <v>2521</v>
      </c>
      <c r="CQ11" s="1127">
        <v>1725</v>
      </c>
      <c r="CR11" s="1127">
        <v>1750</v>
      </c>
      <c r="CS11" s="1127">
        <v>1127</v>
      </c>
      <c r="CT11" s="327">
        <f t="shared" si="18"/>
        <v>1127</v>
      </c>
      <c r="CU11" s="1127">
        <v>1178</v>
      </c>
      <c r="CV11" s="1127">
        <v>755</v>
      </c>
      <c r="CW11" s="1127">
        <v>774</v>
      </c>
      <c r="CX11" s="1127">
        <v>985</v>
      </c>
      <c r="CY11" s="327">
        <f t="shared" si="19"/>
        <v>985</v>
      </c>
      <c r="CZ11" s="1127">
        <v>1640</v>
      </c>
      <c r="DA11" s="1127">
        <v>968</v>
      </c>
      <c r="DB11" s="1127">
        <v>657</v>
      </c>
      <c r="DC11" s="1127">
        <v>717</v>
      </c>
      <c r="DD11" s="327">
        <f t="shared" si="20"/>
        <v>717</v>
      </c>
      <c r="DE11" s="1127">
        <v>1150</v>
      </c>
      <c r="DF11" s="1127">
        <v>589</v>
      </c>
      <c r="DG11" s="1127">
        <v>501</v>
      </c>
      <c r="DH11" s="1127">
        <v>740</v>
      </c>
      <c r="DI11" s="327">
        <f t="shared" si="21"/>
        <v>740</v>
      </c>
      <c r="DJ11" s="1127">
        <v>1242</v>
      </c>
      <c r="DK11" s="1127">
        <v>861</v>
      </c>
      <c r="DL11" s="1127">
        <v>1056</v>
      </c>
      <c r="DM11" s="1127">
        <v>1372</v>
      </c>
      <c r="DN11" s="327">
        <f t="shared" si="22"/>
        <v>1372</v>
      </c>
      <c r="DO11" s="1127">
        <v>2270</v>
      </c>
      <c r="DP11" s="1127">
        <v>1351</v>
      </c>
      <c r="DQ11" s="1127">
        <v>1412</v>
      </c>
      <c r="DR11" s="1127">
        <v>1137</v>
      </c>
      <c r="DS11" s="327">
        <f t="shared" si="23"/>
        <v>1137</v>
      </c>
      <c r="DT11" s="1127">
        <v>1624</v>
      </c>
      <c r="DU11" s="1127">
        <v>1661</v>
      </c>
      <c r="DV11" s="1127">
        <v>2133</v>
      </c>
      <c r="DW11" s="1127">
        <v>1938</v>
      </c>
      <c r="DX11" s="327">
        <f t="shared" si="24"/>
        <v>1938</v>
      </c>
      <c r="DY11" s="1127">
        <v>2613</v>
      </c>
      <c r="DZ11" s="1127">
        <v>1594</v>
      </c>
      <c r="EA11" s="1127">
        <v>1920</v>
      </c>
      <c r="EB11" s="1127">
        <v>2660</v>
      </c>
      <c r="EC11" s="327">
        <f t="shared" si="25"/>
        <v>2660</v>
      </c>
      <c r="ED11" s="1127">
        <v>3141</v>
      </c>
      <c r="EE11" s="1127">
        <v>2053</v>
      </c>
      <c r="EF11" s="1127">
        <v>2469</v>
      </c>
      <c r="EG11" s="1127">
        <v>2902</v>
      </c>
      <c r="EH11" s="327">
        <f t="shared" si="26"/>
        <v>2902</v>
      </c>
      <c r="EI11" s="2769">
        <v>3816</v>
      </c>
      <c r="EJ11" s="2769">
        <v>2702</v>
      </c>
      <c r="EK11" s="2769">
        <v>2450</v>
      </c>
      <c r="EL11" s="2769">
        <v>2251</v>
      </c>
      <c r="EM11" s="2770">
        <f t="shared" si="27"/>
        <v>2251</v>
      </c>
      <c r="EN11" s="2769">
        <v>3122</v>
      </c>
      <c r="EO11" s="2769">
        <v>1961</v>
      </c>
      <c r="EP11" s="2769">
        <v>1979</v>
      </c>
      <c r="EQ11" s="2769">
        <v>2181</v>
      </c>
      <c r="ER11" s="2770">
        <f t="shared" si="28"/>
        <v>2181</v>
      </c>
      <c r="ES11" s="2769">
        <v>3211</v>
      </c>
      <c r="ET11" s="2769">
        <v>2003</v>
      </c>
      <c r="EU11" s="2769">
        <v>2084</v>
      </c>
      <c r="EV11" s="242">
        <f>IS!EV17/91.25*BS!EV47</f>
        <v>2503.2029341303864</v>
      </c>
      <c r="EW11" s="327">
        <f t="shared" si="29"/>
        <v>2503.2029341303864</v>
      </c>
      <c r="EX11" s="242">
        <f>IS!EX17/91.25*BS!EX47</f>
        <v>3625.8789163715614</v>
      </c>
      <c r="EY11" s="242">
        <f>IS!EY17/91.25*BS!EY47</f>
        <v>2188.4769621982177</v>
      </c>
      <c r="EZ11" s="242">
        <f>IS!EZ17/91.25*BS!EZ47</f>
        <v>2268.3709853525779</v>
      </c>
      <c r="FA11" s="242">
        <f>IS!FA17/91.25*BS!FA47</f>
        <v>2763.7930489794135</v>
      </c>
      <c r="FB11" s="327">
        <f t="shared" si="30"/>
        <v>2763.7930489794135</v>
      </c>
      <c r="FC11" s="242">
        <f>IS!FC17/91.25*BS!FC47</f>
        <v>3988.3317372949182</v>
      </c>
      <c r="FD11" s="242">
        <f>IS!FD17/91.25*BS!FD47</f>
        <v>2346.7986161613953</v>
      </c>
      <c r="FE11" s="242">
        <f>IS!FE17/91.25*BS!FE47</f>
        <v>2500.6226642826423</v>
      </c>
      <c r="FF11" s="242">
        <f>IS!FF17/91.25*BS!FF47</f>
        <v>3068.0696311106808</v>
      </c>
      <c r="FG11" s="327">
        <f t="shared" si="31"/>
        <v>3068.0696311106808</v>
      </c>
      <c r="FH11" s="242">
        <f>IS!FH17/91.25*BS!FH47</f>
        <v>4405.8652070632452</v>
      </c>
      <c r="FI11" s="242">
        <f>IS!FI17/91.25*BS!FI47</f>
        <v>2518.4655409525371</v>
      </c>
      <c r="FJ11" s="242">
        <f>IS!FJ17/91.25*BS!FJ47</f>
        <v>2731.2814303176783</v>
      </c>
      <c r="FK11" s="242">
        <f>IS!FK17/91.25*BS!FK47</f>
        <v>3362.7663550816551</v>
      </c>
      <c r="FL11" s="327">
        <f t="shared" si="32"/>
        <v>3362.7663550816551</v>
      </c>
      <c r="FM11" s="481"/>
      <c r="FN11" s="484"/>
      <c r="FO11"/>
      <c r="FP11"/>
      <c r="FQ11"/>
      <c r="FR11"/>
      <c r="FS11"/>
      <c r="FT11"/>
      <c r="FU11" s="261"/>
      <c r="FV11" s="261"/>
      <c r="FW11" s="261"/>
      <c r="FX11" s="261"/>
    </row>
    <row r="12" spans="1:180" s="264" customFormat="1" ht="11.25" customHeight="1">
      <c r="A12" s="264" t="s">
        <v>279</v>
      </c>
      <c r="D12" s="242"/>
      <c r="E12" s="1127">
        <v>0</v>
      </c>
      <c r="F12" s="1127">
        <v>0</v>
      </c>
      <c r="G12" s="1127">
        <v>0</v>
      </c>
      <c r="H12" s="327">
        <f t="shared" si="0"/>
        <v>0</v>
      </c>
      <c r="I12" s="1127">
        <v>0</v>
      </c>
      <c r="J12" s="1127">
        <v>0</v>
      </c>
      <c r="K12" s="1127">
        <v>0</v>
      </c>
      <c r="L12" s="1127">
        <v>0</v>
      </c>
      <c r="M12" s="327">
        <f t="shared" si="1"/>
        <v>0</v>
      </c>
      <c r="N12" s="1127">
        <v>0</v>
      </c>
      <c r="O12" s="1127">
        <v>0</v>
      </c>
      <c r="P12" s="1127">
        <v>0</v>
      </c>
      <c r="Q12" s="1127">
        <v>0</v>
      </c>
      <c r="R12" s="327">
        <f t="shared" si="2"/>
        <v>0</v>
      </c>
      <c r="S12" s="1127">
        <v>0</v>
      </c>
      <c r="T12" s="1127">
        <v>0</v>
      </c>
      <c r="U12" s="1127">
        <v>0</v>
      </c>
      <c r="V12" s="1127">
        <v>0</v>
      </c>
      <c r="W12" s="327">
        <f t="shared" si="3"/>
        <v>0</v>
      </c>
      <c r="X12" s="1127">
        <v>0</v>
      </c>
      <c r="Y12" s="1127">
        <v>0</v>
      </c>
      <c r="Z12" s="1127">
        <v>0</v>
      </c>
      <c r="AA12" s="1127">
        <v>0</v>
      </c>
      <c r="AB12" s="327">
        <f t="shared" si="4"/>
        <v>0</v>
      </c>
      <c r="AC12" s="1127">
        <v>0</v>
      </c>
      <c r="AD12" s="1127">
        <v>0</v>
      </c>
      <c r="AE12" s="1127">
        <v>0</v>
      </c>
      <c r="AF12" s="1127">
        <v>0</v>
      </c>
      <c r="AG12" s="327">
        <f t="shared" si="5"/>
        <v>0</v>
      </c>
      <c r="AH12" s="1127">
        <v>0</v>
      </c>
      <c r="AI12" s="1127">
        <v>0</v>
      </c>
      <c r="AJ12" s="1127">
        <v>0</v>
      </c>
      <c r="AK12" s="1127">
        <v>0</v>
      </c>
      <c r="AL12" s="327">
        <f t="shared" si="6"/>
        <v>0</v>
      </c>
      <c r="AM12" s="1127">
        <v>0</v>
      </c>
      <c r="AN12" s="1127">
        <v>0</v>
      </c>
      <c r="AO12" s="1127">
        <v>0</v>
      </c>
      <c r="AP12" s="1127">
        <v>0</v>
      </c>
      <c r="AQ12" s="327">
        <f t="shared" si="7"/>
        <v>0</v>
      </c>
      <c r="AR12" s="1127">
        <v>0</v>
      </c>
      <c r="AS12" s="1127">
        <v>0</v>
      </c>
      <c r="AT12" s="1127">
        <v>0</v>
      </c>
      <c r="AU12" s="1127">
        <v>0</v>
      </c>
      <c r="AV12" s="327">
        <f t="shared" si="8"/>
        <v>0</v>
      </c>
      <c r="AW12" s="1127">
        <v>0</v>
      </c>
      <c r="AX12" s="1127">
        <v>0</v>
      </c>
      <c r="AY12" s="1127">
        <v>0</v>
      </c>
      <c r="AZ12" s="1127">
        <v>0</v>
      </c>
      <c r="BA12" s="327">
        <f t="shared" si="9"/>
        <v>0</v>
      </c>
      <c r="BB12" s="1127">
        <v>0</v>
      </c>
      <c r="BC12" s="1127">
        <v>0</v>
      </c>
      <c r="BD12" s="1127">
        <v>0</v>
      </c>
      <c r="BE12" s="1127">
        <v>1469</v>
      </c>
      <c r="BF12" s="327">
        <f t="shared" si="10"/>
        <v>1469</v>
      </c>
      <c r="BG12" s="1127">
        <v>0</v>
      </c>
      <c r="BH12" s="1127">
        <v>0</v>
      </c>
      <c r="BI12" s="1127">
        <v>0</v>
      </c>
      <c r="BJ12" s="1127">
        <v>1708</v>
      </c>
      <c r="BK12" s="327">
        <f t="shared" si="11"/>
        <v>1708</v>
      </c>
      <c r="BL12" s="1127">
        <v>1734</v>
      </c>
      <c r="BM12" s="1127">
        <v>1984</v>
      </c>
      <c r="BN12" s="1127">
        <v>1841</v>
      </c>
      <c r="BO12" s="1127">
        <v>1522</v>
      </c>
      <c r="BP12" s="327">
        <f t="shared" si="12"/>
        <v>1522</v>
      </c>
      <c r="BQ12" s="1127">
        <v>1993</v>
      </c>
      <c r="BR12" s="1127">
        <v>1972</v>
      </c>
      <c r="BS12" s="1127">
        <v>2086</v>
      </c>
      <c r="BT12" s="1127">
        <v>2112</v>
      </c>
      <c r="BU12" s="327">
        <f t="shared" si="13"/>
        <v>2112</v>
      </c>
      <c r="BV12" s="1127">
        <v>2401</v>
      </c>
      <c r="BW12" s="1127">
        <v>2347</v>
      </c>
      <c r="BX12" s="1127">
        <v>2257</v>
      </c>
      <c r="BY12" s="1127">
        <v>2506</v>
      </c>
      <c r="BZ12" s="327">
        <f t="shared" si="14"/>
        <v>2506</v>
      </c>
      <c r="CA12" s="1127">
        <v>2206</v>
      </c>
      <c r="CB12" s="1127">
        <v>2068</v>
      </c>
      <c r="CC12" s="1127">
        <v>1748</v>
      </c>
      <c r="CD12" s="1127">
        <v>2097</v>
      </c>
      <c r="CE12" s="327">
        <f t="shared" si="15"/>
        <v>2097</v>
      </c>
      <c r="CF12" s="1127">
        <v>1522</v>
      </c>
      <c r="CG12" s="1127">
        <v>1301</v>
      </c>
      <c r="CH12" s="1127">
        <v>1780</v>
      </c>
      <c r="CI12" s="1127">
        <v>1701</v>
      </c>
      <c r="CJ12" s="327">
        <f t="shared" si="16"/>
        <v>1701</v>
      </c>
      <c r="CK12" s="1127">
        <v>1480</v>
      </c>
      <c r="CL12" s="1127">
        <v>1487</v>
      </c>
      <c r="CM12" s="1127">
        <v>2036</v>
      </c>
      <c r="CN12" s="1127">
        <v>1940</v>
      </c>
      <c r="CO12" s="327">
        <f t="shared" si="17"/>
        <v>1940</v>
      </c>
      <c r="CP12" s="1127">
        <v>2068</v>
      </c>
      <c r="CQ12" s="1127">
        <v>2607</v>
      </c>
      <c r="CR12" s="1127">
        <v>1969</v>
      </c>
      <c r="CS12" s="1127">
        <v>1899</v>
      </c>
      <c r="CT12" s="327">
        <f t="shared" si="18"/>
        <v>1899</v>
      </c>
      <c r="CU12" s="1127">
        <v>1571</v>
      </c>
      <c r="CV12" s="1127">
        <v>1483</v>
      </c>
      <c r="CW12" s="1127">
        <v>1721</v>
      </c>
      <c r="CX12" s="1127">
        <v>2017</v>
      </c>
      <c r="CY12" s="327">
        <f t="shared" si="19"/>
        <v>2017</v>
      </c>
      <c r="CZ12" s="1127">
        <v>1974</v>
      </c>
      <c r="DA12" s="1127">
        <v>1504</v>
      </c>
      <c r="DB12" s="1127">
        <v>1926</v>
      </c>
      <c r="DC12" s="1127">
        <v>2213</v>
      </c>
      <c r="DD12" s="327">
        <f t="shared" si="20"/>
        <v>2213</v>
      </c>
      <c r="DE12" s="1127">
        <v>2441</v>
      </c>
      <c r="DF12" s="1127">
        <v>2056</v>
      </c>
      <c r="DG12" s="1127">
        <v>2222</v>
      </c>
      <c r="DH12" s="1127">
        <v>2184</v>
      </c>
      <c r="DI12" s="327">
        <f t="shared" si="21"/>
        <v>2184</v>
      </c>
      <c r="DJ12" s="1127">
        <v>2344</v>
      </c>
      <c r="DK12" s="1127">
        <v>2548</v>
      </c>
      <c r="DL12" s="1127">
        <v>2586</v>
      </c>
      <c r="DM12" s="1127">
        <v>2467</v>
      </c>
      <c r="DN12" s="327">
        <f t="shared" si="22"/>
        <v>2467</v>
      </c>
      <c r="DO12" s="1127">
        <v>2190</v>
      </c>
      <c r="DP12" s="1127">
        <v>2169</v>
      </c>
      <c r="DQ12" s="1127">
        <v>2350</v>
      </c>
      <c r="DR12" s="1127">
        <v>2035</v>
      </c>
      <c r="DS12" s="327">
        <f t="shared" si="23"/>
        <v>2035</v>
      </c>
      <c r="DT12" s="1127">
        <v>2052</v>
      </c>
      <c r="DU12" s="1127">
        <v>1983</v>
      </c>
      <c r="DV12" s="1127">
        <v>1676</v>
      </c>
      <c r="DW12" s="1127">
        <v>1632</v>
      </c>
      <c r="DX12" s="327">
        <f t="shared" si="24"/>
        <v>1632</v>
      </c>
      <c r="DY12" s="1127">
        <v>1258</v>
      </c>
      <c r="DZ12" s="1127">
        <v>1328</v>
      </c>
      <c r="EA12" s="1127">
        <v>1424</v>
      </c>
      <c r="EB12" s="1127">
        <v>1941</v>
      </c>
      <c r="EC12" s="327">
        <f t="shared" si="25"/>
        <v>1941</v>
      </c>
      <c r="ED12" s="1127">
        <v>1784</v>
      </c>
      <c r="EE12" s="1127">
        <v>1701</v>
      </c>
      <c r="EF12" s="1127">
        <v>1688</v>
      </c>
      <c r="EG12" s="1127">
        <v>1915</v>
      </c>
      <c r="EH12" s="327">
        <f t="shared" si="26"/>
        <v>1915</v>
      </c>
      <c r="EI12" s="2769">
        <v>1447</v>
      </c>
      <c r="EJ12" s="2769">
        <v>1618</v>
      </c>
      <c r="EK12" s="2769">
        <v>1574</v>
      </c>
      <c r="EL12" s="2559">
        <v>0</v>
      </c>
      <c r="EM12" s="2770">
        <f t="shared" si="27"/>
        <v>0</v>
      </c>
      <c r="EN12" s="2769">
        <v>0</v>
      </c>
      <c r="EO12" s="2769">
        <v>0</v>
      </c>
      <c r="EP12" s="2769">
        <v>0</v>
      </c>
      <c r="EQ12" s="2559">
        <v>0</v>
      </c>
      <c r="ER12" s="2770">
        <f t="shared" si="28"/>
        <v>0</v>
      </c>
      <c r="ES12" s="2769">
        <v>0</v>
      </c>
      <c r="ET12" s="2769">
        <v>0</v>
      </c>
      <c r="EU12" s="2769">
        <v>0</v>
      </c>
      <c r="EV12" s="242">
        <f>+EU12-CF!EV11</f>
        <v>0</v>
      </c>
      <c r="EW12" s="327">
        <f t="shared" si="29"/>
        <v>0</v>
      </c>
      <c r="EX12" s="242">
        <f>+EV12-CF!EX11</f>
        <v>0</v>
      </c>
      <c r="EY12" s="242">
        <f>+EX12-CF!EY11</f>
        <v>0</v>
      </c>
      <c r="EZ12" s="242">
        <f>+EY12-CF!EZ11</f>
        <v>0</v>
      </c>
      <c r="FA12" s="242">
        <f>+EZ12-CF!FA11</f>
        <v>0</v>
      </c>
      <c r="FB12" s="327">
        <f t="shared" si="30"/>
        <v>0</v>
      </c>
      <c r="FC12" s="242">
        <f>+FA12-CF!FC11</f>
        <v>0</v>
      </c>
      <c r="FD12" s="242">
        <f>+FC12-CF!FD11</f>
        <v>0</v>
      </c>
      <c r="FE12" s="242">
        <f>+FD12-CF!FE11</f>
        <v>0</v>
      </c>
      <c r="FF12" s="242">
        <f>+FE12-CF!FF11</f>
        <v>0</v>
      </c>
      <c r="FG12" s="327">
        <f t="shared" si="31"/>
        <v>0</v>
      </c>
      <c r="FH12" s="242">
        <f>+FF12-CF!FH11</f>
        <v>0</v>
      </c>
      <c r="FI12" s="242">
        <f>+FH12-CF!FI11</f>
        <v>0</v>
      </c>
      <c r="FJ12" s="242">
        <f>+FI12-CF!FJ11</f>
        <v>0</v>
      </c>
      <c r="FK12" s="242">
        <f>+FJ12-CF!FK11</f>
        <v>0</v>
      </c>
      <c r="FL12" s="327">
        <f t="shared" si="32"/>
        <v>0</v>
      </c>
      <c r="FM12" s="481"/>
      <c r="FN12" s="484"/>
      <c r="FO12"/>
      <c r="FP12"/>
      <c r="FQ12"/>
      <c r="FR12"/>
      <c r="FS12"/>
      <c r="FT12"/>
      <c r="FU12" s="261"/>
      <c r="FV12" s="261"/>
      <c r="FW12" s="261"/>
      <c r="FX12" s="261"/>
    </row>
    <row r="13" spans="1:180" s="264" customFormat="1" ht="11.25" customHeight="1">
      <c r="A13" s="264" t="s">
        <v>280</v>
      </c>
      <c r="D13" s="242"/>
      <c r="E13" s="1127">
        <v>0</v>
      </c>
      <c r="F13" s="1127">
        <v>0</v>
      </c>
      <c r="G13" s="1127">
        <v>0</v>
      </c>
      <c r="H13" s="327">
        <f t="shared" si="0"/>
        <v>0</v>
      </c>
      <c r="I13" s="1127">
        <v>0</v>
      </c>
      <c r="J13" s="1127">
        <v>0</v>
      </c>
      <c r="K13" s="1127">
        <v>0</v>
      </c>
      <c r="L13" s="1127">
        <v>0</v>
      </c>
      <c r="M13" s="327">
        <f t="shared" si="1"/>
        <v>0</v>
      </c>
      <c r="N13" s="1127">
        <v>0</v>
      </c>
      <c r="O13" s="1127">
        <v>0</v>
      </c>
      <c r="P13" s="1127">
        <v>0</v>
      </c>
      <c r="Q13" s="1127">
        <v>51.779000000000003</v>
      </c>
      <c r="R13" s="327">
        <f t="shared" si="2"/>
        <v>51.779000000000003</v>
      </c>
      <c r="S13" s="1127">
        <v>46.2</v>
      </c>
      <c r="T13" s="1127">
        <v>58.4</v>
      </c>
      <c r="U13" s="1127">
        <v>65.8</v>
      </c>
      <c r="V13" s="1127">
        <v>68.715000000000003</v>
      </c>
      <c r="W13" s="327">
        <f t="shared" si="3"/>
        <v>68.715000000000003</v>
      </c>
      <c r="X13" s="1127">
        <v>66</v>
      </c>
      <c r="Y13" s="1127">
        <v>118</v>
      </c>
      <c r="Z13" s="1127">
        <v>87</v>
      </c>
      <c r="AA13" s="1127">
        <v>95</v>
      </c>
      <c r="AB13" s="327">
        <f t="shared" si="4"/>
        <v>95</v>
      </c>
      <c r="AC13" s="1127">
        <v>82</v>
      </c>
      <c r="AD13" s="1127">
        <v>96</v>
      </c>
      <c r="AE13" s="1127">
        <v>116</v>
      </c>
      <c r="AF13" s="1127">
        <v>121</v>
      </c>
      <c r="AG13" s="327">
        <f t="shared" si="5"/>
        <v>121</v>
      </c>
      <c r="AH13" s="1127">
        <v>143</v>
      </c>
      <c r="AI13" s="1127">
        <v>149</v>
      </c>
      <c r="AJ13" s="1127">
        <v>155</v>
      </c>
      <c r="AK13" s="1127">
        <v>201</v>
      </c>
      <c r="AL13" s="327">
        <f t="shared" si="6"/>
        <v>201</v>
      </c>
      <c r="AM13" s="1127">
        <v>176</v>
      </c>
      <c r="AN13" s="1127">
        <v>207</v>
      </c>
      <c r="AO13" s="1127">
        <v>212</v>
      </c>
      <c r="AP13" s="1127">
        <v>260</v>
      </c>
      <c r="AQ13" s="327">
        <f t="shared" si="7"/>
        <v>260</v>
      </c>
      <c r="AR13" s="1127">
        <v>279</v>
      </c>
      <c r="AS13" s="1127">
        <v>307</v>
      </c>
      <c r="AT13" s="1127">
        <v>272</v>
      </c>
      <c r="AU13" s="1127">
        <v>427</v>
      </c>
      <c r="AV13" s="327">
        <f t="shared" si="8"/>
        <v>427</v>
      </c>
      <c r="AW13" s="1127">
        <v>416</v>
      </c>
      <c r="AX13" s="1127">
        <v>450</v>
      </c>
      <c r="AY13" s="1127">
        <v>358</v>
      </c>
      <c r="AZ13" s="1127">
        <v>502</v>
      </c>
      <c r="BA13" s="327">
        <f t="shared" si="9"/>
        <v>502</v>
      </c>
      <c r="BB13" s="1127">
        <v>569</v>
      </c>
      <c r="BC13" s="1127">
        <v>543</v>
      </c>
      <c r="BD13" s="1127">
        <v>608</v>
      </c>
      <c r="BE13" s="1127">
        <v>752</v>
      </c>
      <c r="BF13" s="327">
        <f t="shared" si="10"/>
        <v>752</v>
      </c>
      <c r="BG13" s="1127">
        <v>854</v>
      </c>
      <c r="BH13" s="1127">
        <v>893</v>
      </c>
      <c r="BI13" s="1127">
        <v>1110</v>
      </c>
      <c r="BJ13" s="1127">
        <v>1552</v>
      </c>
      <c r="BK13" s="327">
        <f t="shared" si="11"/>
        <v>1552</v>
      </c>
      <c r="BL13" s="1127">
        <v>1776</v>
      </c>
      <c r="BM13" s="1127">
        <v>2000</v>
      </c>
      <c r="BN13" s="1127">
        <v>2398</v>
      </c>
      <c r="BO13" s="1127">
        <v>2417</v>
      </c>
      <c r="BP13" s="327">
        <f t="shared" si="12"/>
        <v>2417</v>
      </c>
      <c r="BQ13" s="1127">
        <v>2561</v>
      </c>
      <c r="BR13" s="1127">
        <v>2692</v>
      </c>
      <c r="BS13" s="1127">
        <v>2818</v>
      </c>
      <c r="BT13" s="1127">
        <v>2010</v>
      </c>
      <c r="BU13" s="327">
        <f t="shared" si="13"/>
        <v>2010</v>
      </c>
      <c r="BV13" s="1127">
        <v>1758</v>
      </c>
      <c r="BW13" s="1127">
        <v>1616</v>
      </c>
      <c r="BX13" s="1127">
        <v>1558</v>
      </c>
      <c r="BY13" s="1127">
        <v>1583</v>
      </c>
      <c r="BZ13" s="327">
        <f t="shared" si="14"/>
        <v>1583</v>
      </c>
      <c r="CA13" s="1127">
        <v>1450</v>
      </c>
      <c r="CB13" s="1127">
        <v>1326</v>
      </c>
      <c r="CC13" s="1127">
        <v>1636</v>
      </c>
      <c r="CD13" s="1127">
        <v>1566</v>
      </c>
      <c r="CE13" s="327">
        <f t="shared" si="15"/>
        <v>1566</v>
      </c>
      <c r="CF13" s="1127">
        <v>1245</v>
      </c>
      <c r="CG13" s="1127">
        <v>1644</v>
      </c>
      <c r="CH13" s="1127">
        <v>1269</v>
      </c>
      <c r="CI13" s="1127">
        <v>1614</v>
      </c>
      <c r="CJ13" s="327">
        <f t="shared" si="16"/>
        <v>1614</v>
      </c>
      <c r="CK13" s="1127">
        <v>1770</v>
      </c>
      <c r="CL13" s="1127">
        <v>1745</v>
      </c>
      <c r="CM13" s="1127">
        <v>1845</v>
      </c>
      <c r="CN13" s="1127">
        <v>2115</v>
      </c>
      <c r="CO13" s="327">
        <f t="shared" si="17"/>
        <v>2115</v>
      </c>
      <c r="CP13" s="1127">
        <v>2058</v>
      </c>
      <c r="CQ13" s="1127">
        <v>2080</v>
      </c>
      <c r="CR13" s="1127">
        <v>2374</v>
      </c>
      <c r="CS13" s="1127">
        <v>2393</v>
      </c>
      <c r="CT13" s="327">
        <f t="shared" si="18"/>
        <v>2393</v>
      </c>
      <c r="CU13" s="1127">
        <v>2548</v>
      </c>
      <c r="CV13" s="1127">
        <v>2840</v>
      </c>
      <c r="CW13" s="1127">
        <v>2782</v>
      </c>
      <c r="CX13" s="1127">
        <v>2989</v>
      </c>
      <c r="CY13" s="327">
        <f t="shared" si="19"/>
        <v>2989</v>
      </c>
      <c r="CZ13" s="1127">
        <v>3331</v>
      </c>
      <c r="DA13" s="1127">
        <v>3590</v>
      </c>
      <c r="DB13" s="1127">
        <v>3619</v>
      </c>
      <c r="DC13" s="1127">
        <v>3711</v>
      </c>
      <c r="DD13" s="327">
        <f t="shared" si="20"/>
        <v>3711</v>
      </c>
      <c r="DE13" s="1127">
        <v>3325</v>
      </c>
      <c r="DF13" s="1127">
        <v>2547</v>
      </c>
      <c r="DG13" s="1127">
        <v>2992</v>
      </c>
      <c r="DH13" s="1127">
        <v>2950</v>
      </c>
      <c r="DI13" s="327">
        <f t="shared" si="21"/>
        <v>2950</v>
      </c>
      <c r="DJ13" s="1127">
        <v>2176</v>
      </c>
      <c r="DK13" s="1127">
        <v>2149</v>
      </c>
      <c r="DL13" s="1127">
        <v>2438</v>
      </c>
      <c r="DM13" s="1127">
        <v>3320</v>
      </c>
      <c r="DN13" s="327">
        <f t="shared" si="22"/>
        <v>3320</v>
      </c>
      <c r="DO13" s="1127">
        <v>3255</v>
      </c>
      <c r="DP13" s="1127">
        <v>3614</v>
      </c>
      <c r="DQ13" s="1127">
        <v>2608</v>
      </c>
      <c r="DR13" s="1127">
        <v>3092</v>
      </c>
      <c r="DS13" s="327">
        <f t="shared" si="23"/>
        <v>3092</v>
      </c>
      <c r="DT13" s="1127">
        <v>3860</v>
      </c>
      <c r="DU13" s="1127">
        <v>3301</v>
      </c>
      <c r="DV13" s="1127">
        <v>3241</v>
      </c>
      <c r="DW13" s="1127">
        <v>3388</v>
      </c>
      <c r="DX13" s="327">
        <f t="shared" si="24"/>
        <v>3388</v>
      </c>
      <c r="DY13" s="1127">
        <v>3900</v>
      </c>
      <c r="DZ13" s="1127">
        <v>4018</v>
      </c>
      <c r="EA13" s="1127">
        <v>3740</v>
      </c>
      <c r="EB13" s="1127">
        <v>4392</v>
      </c>
      <c r="EC13" s="327">
        <f t="shared" si="25"/>
        <v>4392</v>
      </c>
      <c r="ED13" s="1127">
        <v>5434</v>
      </c>
      <c r="EE13" s="1127">
        <v>6173</v>
      </c>
      <c r="EF13" s="1127">
        <v>6376</v>
      </c>
      <c r="EG13" s="1127">
        <v>5461</v>
      </c>
      <c r="EH13" s="327">
        <f t="shared" si="26"/>
        <v>5461</v>
      </c>
      <c r="EI13" s="2769">
        <v>5594</v>
      </c>
      <c r="EJ13" s="2769">
        <v>6345</v>
      </c>
      <c r="EK13" s="2769">
        <v>6598</v>
      </c>
      <c r="EL13" s="2769">
        <v>6061</v>
      </c>
      <c r="EM13" s="2770">
        <f t="shared" si="27"/>
        <v>6061</v>
      </c>
      <c r="EN13" s="2769">
        <v>6893</v>
      </c>
      <c r="EO13" s="2769">
        <v>6040</v>
      </c>
      <c r="EP13" s="2769">
        <v>5616</v>
      </c>
      <c r="EQ13" s="2769">
        <v>5103</v>
      </c>
      <c r="ER13" s="2770">
        <f t="shared" si="28"/>
        <v>5103</v>
      </c>
      <c r="ES13" s="2769">
        <v>4788</v>
      </c>
      <c r="ET13" s="2769">
        <v>4422</v>
      </c>
      <c r="EU13" s="2769">
        <v>5097</v>
      </c>
      <c r="EV13" s="242">
        <f>+IS!EV34*4*BS!EV49/100</f>
        <v>5488.7451760373115</v>
      </c>
      <c r="EW13" s="327">
        <f t="shared" si="29"/>
        <v>5488.7451760373115</v>
      </c>
      <c r="EX13" s="242">
        <f>+IS!EX34*4*BS!EX49/100</f>
        <v>5233.2785855162156</v>
      </c>
      <c r="EY13" s="242">
        <f>+IS!EY34*4*BS!EY49/100</f>
        <v>4809.7920099073017</v>
      </c>
      <c r="EZ13" s="242">
        <f>+IS!EZ34*4*BS!EZ49/100</f>
        <v>5586.1840910928286</v>
      </c>
      <c r="FA13" s="242">
        <f>+IS!FA34*4*BS!FA49/100</f>
        <v>6018.5103337555847</v>
      </c>
      <c r="FB13" s="327">
        <f t="shared" si="30"/>
        <v>6018.5103337555847</v>
      </c>
      <c r="FC13" s="242">
        <f>+IS!FC34*4*BS!FC49/100</f>
        <v>5775.3696574804835</v>
      </c>
      <c r="FD13" s="242">
        <f>+IS!FD34*4*BS!FD49/100</f>
        <v>5225.8990113982509</v>
      </c>
      <c r="FE13" s="242">
        <f>+IS!FE34*4*BS!FE49/100</f>
        <v>6193.7508537351341</v>
      </c>
      <c r="FF13" s="242">
        <f>+IS!FF34*4*BS!FF49/100</f>
        <v>6669.969928385307</v>
      </c>
      <c r="FG13" s="327">
        <f t="shared" si="31"/>
        <v>6669.969928385307</v>
      </c>
      <c r="FH13" s="242">
        <f>+IS!FH34*4*BS!FH49/100</f>
        <v>6357.7123511501613</v>
      </c>
      <c r="FI13" s="242">
        <f>+IS!FI34*4*BS!FI49/100</f>
        <v>5635.4928418397076</v>
      </c>
      <c r="FJ13" s="242">
        <f>+IS!FJ34*4*BS!FJ49/100</f>
        <v>6806.6346600805982</v>
      </c>
      <c r="FK13" s="242">
        <f>+IS!FK34*4*BS!FK49/100</f>
        <v>7315.0022497840828</v>
      </c>
      <c r="FL13" s="327">
        <f t="shared" si="32"/>
        <v>7315.0022497840828</v>
      </c>
      <c r="FM13" s="481"/>
      <c r="FN13" s="484"/>
      <c r="FO13"/>
      <c r="FP13"/>
      <c r="FQ13"/>
      <c r="FR13"/>
      <c r="FS13"/>
      <c r="FT13"/>
      <c r="FU13" s="261"/>
      <c r="FV13" s="261"/>
      <c r="FW13" s="261"/>
      <c r="FX13" s="261"/>
    </row>
    <row r="14" spans="1:180" s="264" customFormat="1" ht="11.25" customHeight="1">
      <c r="A14" s="415" t="s">
        <v>281</v>
      </c>
      <c r="D14" s="486">
        <f t="shared" ref="D14:BI14" si="33">+SUM(D8:D13)</f>
        <v>0</v>
      </c>
      <c r="E14" s="486">
        <f t="shared" si="33"/>
        <v>0</v>
      </c>
      <c r="F14" s="486">
        <f t="shared" si="33"/>
        <v>0</v>
      </c>
      <c r="G14" s="486">
        <f t="shared" si="33"/>
        <v>0</v>
      </c>
      <c r="H14" s="487">
        <f t="shared" si="0"/>
        <v>0</v>
      </c>
      <c r="I14" s="486">
        <f t="shared" si="33"/>
        <v>0</v>
      </c>
      <c r="J14" s="486">
        <f t="shared" si="33"/>
        <v>0</v>
      </c>
      <c r="K14" s="486">
        <f t="shared" si="33"/>
        <v>0</v>
      </c>
      <c r="L14" s="486">
        <f t="shared" si="33"/>
        <v>0</v>
      </c>
      <c r="M14" s="487">
        <f t="shared" si="1"/>
        <v>0</v>
      </c>
      <c r="N14" s="486">
        <f t="shared" si="33"/>
        <v>0</v>
      </c>
      <c r="O14" s="486">
        <f t="shared" si="33"/>
        <v>0</v>
      </c>
      <c r="P14" s="486">
        <f t="shared" si="33"/>
        <v>0</v>
      </c>
      <c r="Q14" s="486">
        <f t="shared" si="33"/>
        <v>1028.5029999999999</v>
      </c>
      <c r="R14" s="487">
        <f t="shared" si="2"/>
        <v>1028.5029999999999</v>
      </c>
      <c r="S14" s="486">
        <f t="shared" si="33"/>
        <v>1201.2</v>
      </c>
      <c r="T14" s="486">
        <f t="shared" si="33"/>
        <v>1351.6000000000001</v>
      </c>
      <c r="U14" s="486">
        <f t="shared" si="33"/>
        <v>1533</v>
      </c>
      <c r="V14" s="486">
        <f t="shared" si="33"/>
        <v>1769.704</v>
      </c>
      <c r="W14" s="487">
        <f t="shared" si="3"/>
        <v>1769.704</v>
      </c>
      <c r="X14" s="486">
        <f t="shared" si="33"/>
        <v>1961</v>
      </c>
      <c r="Y14" s="486">
        <f t="shared" si="33"/>
        <v>2340</v>
      </c>
      <c r="Z14" s="486">
        <f t="shared" si="33"/>
        <v>2646</v>
      </c>
      <c r="AA14" s="486">
        <f t="shared" si="33"/>
        <v>2850</v>
      </c>
      <c r="AB14" s="487">
        <f t="shared" si="4"/>
        <v>2850</v>
      </c>
      <c r="AC14" s="486">
        <f t="shared" si="33"/>
        <v>3073</v>
      </c>
      <c r="AD14" s="486">
        <f t="shared" si="33"/>
        <v>3482</v>
      </c>
      <c r="AE14" s="486">
        <f t="shared" si="33"/>
        <v>3912</v>
      </c>
      <c r="AF14" s="486">
        <f t="shared" si="33"/>
        <v>4312</v>
      </c>
      <c r="AG14" s="487">
        <f t="shared" si="5"/>
        <v>4312</v>
      </c>
      <c r="AH14" s="486">
        <f t="shared" si="33"/>
        <v>4554</v>
      </c>
      <c r="AI14" s="486">
        <f t="shared" si="33"/>
        <v>4696</v>
      </c>
      <c r="AJ14" s="486">
        <f t="shared" si="33"/>
        <v>5287</v>
      </c>
      <c r="AK14" s="486">
        <f t="shared" si="33"/>
        <v>5620</v>
      </c>
      <c r="AL14" s="487">
        <f t="shared" si="6"/>
        <v>5620</v>
      </c>
      <c r="AM14" s="486">
        <f t="shared" si="33"/>
        <v>6417</v>
      </c>
      <c r="AN14" s="486">
        <f t="shared" si="33"/>
        <v>7103</v>
      </c>
      <c r="AO14" s="486">
        <f t="shared" si="33"/>
        <v>7696</v>
      </c>
      <c r="AP14" s="486">
        <f t="shared" si="33"/>
        <v>7839</v>
      </c>
      <c r="AQ14" s="487">
        <f t="shared" si="7"/>
        <v>7839</v>
      </c>
      <c r="AR14" s="486">
        <f t="shared" si="33"/>
        <v>8232</v>
      </c>
      <c r="AS14" s="486">
        <f t="shared" si="33"/>
        <v>10442</v>
      </c>
      <c r="AT14" s="486">
        <f t="shared" si="33"/>
        <v>10224</v>
      </c>
      <c r="AU14" s="486">
        <f t="shared" si="33"/>
        <v>10373</v>
      </c>
      <c r="AV14" s="487">
        <f t="shared" si="8"/>
        <v>10373</v>
      </c>
      <c r="AW14" s="486">
        <f t="shared" si="33"/>
        <v>10838</v>
      </c>
      <c r="AX14" s="486">
        <f t="shared" si="33"/>
        <v>11636</v>
      </c>
      <c r="AY14" s="486">
        <f t="shared" si="33"/>
        <v>13735</v>
      </c>
      <c r="AZ14" s="486">
        <f t="shared" si="33"/>
        <v>15889</v>
      </c>
      <c r="BA14" s="487">
        <f t="shared" si="9"/>
        <v>15889</v>
      </c>
      <c r="BB14" s="486">
        <f t="shared" si="33"/>
        <v>18964</v>
      </c>
      <c r="BC14" s="486">
        <f t="shared" si="33"/>
        <v>21809</v>
      </c>
      <c r="BD14" s="486">
        <f t="shared" si="33"/>
        <v>24058</v>
      </c>
      <c r="BE14" s="486">
        <f t="shared" si="33"/>
        <v>21702</v>
      </c>
      <c r="BF14" s="487">
        <f t="shared" si="10"/>
        <v>21702</v>
      </c>
      <c r="BG14" s="486">
        <f t="shared" si="33"/>
        <v>21963</v>
      </c>
      <c r="BH14" s="486">
        <f t="shared" si="33"/>
        <v>22020</v>
      </c>
      <c r="BI14" s="486">
        <f t="shared" si="33"/>
        <v>25217</v>
      </c>
      <c r="BJ14" s="486">
        <f t="shared" ref="BJ14:CD14" si="34">+SUM(BJ8:BJ13)</f>
        <v>30308</v>
      </c>
      <c r="BK14" s="487">
        <f t="shared" si="11"/>
        <v>30308</v>
      </c>
      <c r="BL14" s="486">
        <f t="shared" si="34"/>
        <v>31393</v>
      </c>
      <c r="BM14" s="486">
        <f t="shared" si="34"/>
        <v>35016</v>
      </c>
      <c r="BN14" s="486">
        <f t="shared" si="34"/>
        <v>37789</v>
      </c>
      <c r="BO14" s="486">
        <f t="shared" si="34"/>
        <v>39210</v>
      </c>
      <c r="BP14" s="487">
        <f t="shared" si="12"/>
        <v>39210</v>
      </c>
      <c r="BQ14" s="486">
        <f t="shared" si="34"/>
        <v>44332</v>
      </c>
      <c r="BR14" s="486">
        <f t="shared" si="34"/>
        <v>47988</v>
      </c>
      <c r="BS14" s="486">
        <f t="shared" si="34"/>
        <v>47827</v>
      </c>
      <c r="BT14" s="486">
        <f t="shared" si="34"/>
        <v>48576</v>
      </c>
      <c r="BU14" s="487">
        <f t="shared" si="13"/>
        <v>48576</v>
      </c>
      <c r="BV14" s="486">
        <f t="shared" si="34"/>
        <v>50043</v>
      </c>
      <c r="BW14" s="486">
        <f t="shared" si="34"/>
        <v>52931</v>
      </c>
      <c r="BX14" s="486">
        <f t="shared" si="34"/>
        <v>54672</v>
      </c>
      <c r="BY14" s="486">
        <f t="shared" si="34"/>
        <v>58973</v>
      </c>
      <c r="BZ14" s="487">
        <f t="shared" si="14"/>
        <v>58973</v>
      </c>
      <c r="CA14" s="486">
        <f t="shared" si="34"/>
        <v>60910</v>
      </c>
      <c r="CB14" s="486">
        <f t="shared" si="34"/>
        <v>62400</v>
      </c>
      <c r="CC14" s="486">
        <f t="shared" si="34"/>
        <v>65270</v>
      </c>
      <c r="CD14" s="486">
        <f t="shared" si="34"/>
        <v>70566</v>
      </c>
      <c r="CE14" s="487">
        <f t="shared" si="15"/>
        <v>70566</v>
      </c>
      <c r="CF14" s="486">
        <f t="shared" ref="CF14:CQ14" si="35">+SUM(CF8:CF13)</f>
        <v>72896</v>
      </c>
      <c r="CG14" s="486">
        <f t="shared" si="35"/>
        <v>44399</v>
      </c>
      <c r="CH14" s="486">
        <f t="shared" si="35"/>
        <v>46593</v>
      </c>
      <c r="CI14" s="486">
        <f t="shared" si="35"/>
        <v>48737</v>
      </c>
      <c r="CJ14" s="487">
        <f t="shared" si="16"/>
        <v>48737</v>
      </c>
      <c r="CK14" s="486">
        <f t="shared" si="35"/>
        <v>49831</v>
      </c>
      <c r="CL14" s="486">
        <f t="shared" si="35"/>
        <v>46694</v>
      </c>
      <c r="CM14" s="486">
        <f t="shared" si="35"/>
        <v>46628</v>
      </c>
      <c r="CN14" s="486">
        <f t="shared" si="35"/>
        <v>49010</v>
      </c>
      <c r="CO14" s="487">
        <f t="shared" si="17"/>
        <v>49010</v>
      </c>
      <c r="CP14" s="486">
        <f t="shared" si="35"/>
        <v>45358</v>
      </c>
      <c r="CQ14" s="486">
        <f t="shared" si="35"/>
        <v>45180</v>
      </c>
      <c r="CR14" s="486">
        <f t="shared" ref="CR14:CZ14" si="36">+SUM(CR8:CR13)</f>
        <v>42783</v>
      </c>
      <c r="CS14" s="486">
        <f t="shared" si="36"/>
        <v>40168</v>
      </c>
      <c r="CT14" s="487">
        <f t="shared" si="18"/>
        <v>40168</v>
      </c>
      <c r="CU14" s="486">
        <f>+SUM(CU8:CU13)</f>
        <v>35853</v>
      </c>
      <c r="CV14" s="486">
        <f t="shared" si="36"/>
        <v>37775</v>
      </c>
      <c r="CW14" s="486">
        <f t="shared" si="36"/>
        <v>41489</v>
      </c>
      <c r="CX14" s="486">
        <f t="shared" si="36"/>
        <v>43242</v>
      </c>
      <c r="CY14" s="487">
        <f t="shared" si="19"/>
        <v>43242</v>
      </c>
      <c r="CZ14" s="486">
        <f t="shared" si="36"/>
        <v>37202</v>
      </c>
      <c r="DA14" s="486">
        <f>+SUM(DA8:DA13)</f>
        <v>37730</v>
      </c>
      <c r="DB14" s="486">
        <f>+SUM(DB8:DB13)</f>
        <v>40724</v>
      </c>
      <c r="DC14" s="486">
        <f>+SUM(DC8:DC13)</f>
        <v>49280</v>
      </c>
      <c r="DD14" s="487">
        <f t="shared" si="20"/>
        <v>49280</v>
      </c>
      <c r="DE14" s="486">
        <f>+SUM(DE8:DE13)</f>
        <v>52231</v>
      </c>
      <c r="DF14" s="486">
        <f>+SUM(DF8:DF13)</f>
        <v>52487</v>
      </c>
      <c r="DG14" s="486">
        <f>+SUM(DG8:DG13)</f>
        <v>54518</v>
      </c>
      <c r="DH14" s="486">
        <f>+SUM(DH8:DH13)</f>
        <v>55676</v>
      </c>
      <c r="DI14" s="487">
        <f t="shared" si="21"/>
        <v>55676</v>
      </c>
      <c r="DJ14" s="486">
        <f>+SUM(DJ8:DJ13)</f>
        <v>59581</v>
      </c>
      <c r="DK14" s="486">
        <f>+SUM(DK8:DK13)</f>
        <v>59684</v>
      </c>
      <c r="DL14" s="486">
        <f>+SUM(DL8:DL13)</f>
        <v>66263</v>
      </c>
      <c r="DM14" s="486">
        <f>+SUM(DM8:DM13)</f>
        <v>74918</v>
      </c>
      <c r="DN14" s="487">
        <f t="shared" si="22"/>
        <v>74918</v>
      </c>
      <c r="DO14" s="486">
        <f>+SUM(DO8:DO13)</f>
        <v>75271</v>
      </c>
      <c r="DP14" s="486">
        <f>+SUM(DP8:DP13)</f>
        <v>72513</v>
      </c>
      <c r="DQ14" s="486">
        <f>+SUM(DQ8:DQ13)</f>
        <v>76860</v>
      </c>
      <c r="DR14" s="486">
        <f>+SUM(DR8:DR13)</f>
        <v>85084</v>
      </c>
      <c r="DS14" s="487">
        <f t="shared" si="23"/>
        <v>85084</v>
      </c>
      <c r="DT14" s="486">
        <f>+SUM(DT8:DT13)</f>
        <v>84051</v>
      </c>
      <c r="DU14" s="486">
        <f>+SUM(DU8:DU13)</f>
        <v>89574</v>
      </c>
      <c r="DV14" s="486">
        <f>+SUM(DV8:DV13)</f>
        <v>93524</v>
      </c>
      <c r="DW14" s="486">
        <f>+SUM(DW8:DW13)</f>
        <v>101466</v>
      </c>
      <c r="DX14" s="487">
        <f t="shared" si="24"/>
        <v>101466</v>
      </c>
      <c r="DY14" s="486">
        <f>+SUM(DY8:DY13)</f>
        <v>99450</v>
      </c>
      <c r="DZ14" s="486">
        <f>+SUM(DZ8:DZ13)</f>
        <v>106870</v>
      </c>
      <c r="EA14" s="486">
        <f>+SUM(EA8:EA13)</f>
        <v>109006</v>
      </c>
      <c r="EB14" s="486">
        <f>+SUM(EB8:EB13)</f>
        <v>114246</v>
      </c>
      <c r="EC14" s="487">
        <f t="shared" si="25"/>
        <v>114246</v>
      </c>
      <c r="ED14" s="486">
        <f>+SUM(ED8:ED13)</f>
        <v>112439</v>
      </c>
      <c r="EE14" s="486">
        <f>+SUM(EE8:EE13)</f>
        <v>116362</v>
      </c>
      <c r="EF14" s="486">
        <f>+SUM(EF8:EF13)</f>
        <v>118398</v>
      </c>
      <c r="EG14" s="486">
        <f>+SUM(EG8:EG13)</f>
        <v>124712</v>
      </c>
      <c r="EH14" s="487">
        <f t="shared" si="26"/>
        <v>124712</v>
      </c>
      <c r="EI14" s="2771">
        <f>+SUM(EI8:EI13)</f>
        <v>121656</v>
      </c>
      <c r="EJ14" s="2771">
        <f>+SUM(EJ8:EJ13)</f>
        <v>127812</v>
      </c>
      <c r="EK14" s="2771">
        <f>+SUM(EK8:EK13)</f>
        <v>128421</v>
      </c>
      <c r="EL14" s="2771">
        <f>+SUM(EL8:EL13)</f>
        <v>142188</v>
      </c>
      <c r="EM14" s="2772">
        <f t="shared" si="27"/>
        <v>142188</v>
      </c>
      <c r="EN14" s="2771">
        <f>+SUM(EN8:EN13)</f>
        <v>160426</v>
      </c>
      <c r="EO14" s="2771">
        <f>+SUM(EO8:EO13)</f>
        <v>147519</v>
      </c>
      <c r="EP14" s="2771">
        <f>+SUM(EP8:EP13)</f>
        <v>148977</v>
      </c>
      <c r="EQ14" s="2771">
        <f>+SUM(EQ8:EQ13)</f>
        <v>162696</v>
      </c>
      <c r="ER14" s="2772">
        <f t="shared" si="28"/>
        <v>162696</v>
      </c>
      <c r="ES14" s="2771">
        <f>+SUM(ES8:ES13)</f>
        <v>161031</v>
      </c>
      <c r="ET14" s="2771">
        <f>+SUM(ET8:ET13)</f>
        <v>167633</v>
      </c>
      <c r="EU14" s="2771">
        <f>+SUM(EU8:EU13)</f>
        <v>156659</v>
      </c>
      <c r="EV14" s="486">
        <f>+SUM(EV8:EV13)</f>
        <v>169428.63616805212</v>
      </c>
      <c r="EW14" s="487">
        <f t="shared" si="29"/>
        <v>169428.63616805212</v>
      </c>
      <c r="EX14" s="486">
        <f>+SUM(EX8:EX13)</f>
        <v>163500.30037082967</v>
      </c>
      <c r="EY14" s="486">
        <f>+SUM(EY8:EY13)</f>
        <v>158305.0395692095</v>
      </c>
      <c r="EZ14" s="486">
        <f>+SUM(EZ8:EZ13)</f>
        <v>157107.63406081905</v>
      </c>
      <c r="FA14" s="486">
        <f>+SUM(FA8:FA13)</f>
        <v>168451.2527645611</v>
      </c>
      <c r="FB14" s="487">
        <f t="shared" si="30"/>
        <v>168451.2527645611</v>
      </c>
      <c r="FC14" s="486">
        <f>+SUM(FC8:FC13)</f>
        <v>159285.92518374161</v>
      </c>
      <c r="FD14" s="486">
        <f>+SUM(FD8:FD13)</f>
        <v>155671.2255571257</v>
      </c>
      <c r="FE14" s="486">
        <f>+SUM(FE8:FE13)</f>
        <v>152119.77776701856</v>
      </c>
      <c r="FF14" s="486">
        <f>+SUM(FF8:FF13)</f>
        <v>166273.95171357063</v>
      </c>
      <c r="FG14" s="487">
        <f t="shared" si="31"/>
        <v>166273.95171357063</v>
      </c>
      <c r="FH14" s="486">
        <f>+SUM(FH8:FH13)</f>
        <v>158668.37269904712</v>
      </c>
      <c r="FI14" s="486">
        <f>+SUM(FI8:FI13)</f>
        <v>150346.6367760585</v>
      </c>
      <c r="FJ14" s="486">
        <f>+SUM(FJ8:FJ13)</f>
        <v>150158.77099071344</v>
      </c>
      <c r="FK14" s="486">
        <f>+SUM(FK8:FK13)</f>
        <v>166504.72886349738</v>
      </c>
      <c r="FL14" s="487">
        <f t="shared" si="32"/>
        <v>166504.72886349738</v>
      </c>
      <c r="FM14" s="481"/>
      <c r="FN14" s="488"/>
      <c r="FO14"/>
      <c r="FP14"/>
      <c r="FQ14"/>
      <c r="FR14"/>
      <c r="FS14"/>
      <c r="FT14"/>
      <c r="FU14" s="261"/>
      <c r="FV14" s="261"/>
      <c r="FW14" s="261"/>
      <c r="FX14" s="261"/>
    </row>
    <row r="15" spans="1:180" s="264" customFormat="1" ht="18.75" customHeight="1">
      <c r="A15" s="264" t="s">
        <v>282</v>
      </c>
      <c r="D15" s="242"/>
      <c r="E15" s="1127">
        <v>0</v>
      </c>
      <c r="F15" s="1127">
        <v>0</v>
      </c>
      <c r="G15" s="1127">
        <v>0</v>
      </c>
      <c r="H15" s="327">
        <f t="shared" si="0"/>
        <v>0</v>
      </c>
      <c r="I15" s="1127">
        <v>0</v>
      </c>
      <c r="J15" s="1127">
        <v>0</v>
      </c>
      <c r="K15" s="1127">
        <v>0</v>
      </c>
      <c r="L15" s="1127">
        <v>0</v>
      </c>
      <c r="M15" s="327">
        <f t="shared" si="1"/>
        <v>0</v>
      </c>
      <c r="N15" s="1127">
        <v>0</v>
      </c>
      <c r="O15" s="1127">
        <v>0</v>
      </c>
      <c r="P15" s="1127">
        <v>0</v>
      </c>
      <c r="Q15" s="1127">
        <v>530.19100000000003</v>
      </c>
      <c r="R15" s="327">
        <f t="shared" si="2"/>
        <v>530.19100000000003</v>
      </c>
      <c r="S15" s="1127">
        <v>587.70000000000005</v>
      </c>
      <c r="T15" s="1127">
        <v>695.4</v>
      </c>
      <c r="U15" s="1127">
        <v>728.8</v>
      </c>
      <c r="V15" s="1127">
        <v>766.63</v>
      </c>
      <c r="W15" s="327">
        <f t="shared" si="3"/>
        <v>766.63</v>
      </c>
      <c r="X15" s="1127">
        <v>786</v>
      </c>
      <c r="Y15" s="1127">
        <v>798</v>
      </c>
      <c r="Z15" s="1127">
        <v>824</v>
      </c>
      <c r="AA15" s="1127">
        <v>867</v>
      </c>
      <c r="AB15" s="327">
        <f t="shared" si="4"/>
        <v>867</v>
      </c>
      <c r="AC15" s="1127">
        <v>891</v>
      </c>
      <c r="AD15" s="1127">
        <v>913</v>
      </c>
      <c r="AE15" s="1127">
        <v>918</v>
      </c>
      <c r="AF15" s="1127">
        <v>930</v>
      </c>
      <c r="AG15" s="327">
        <f t="shared" si="5"/>
        <v>930</v>
      </c>
      <c r="AH15" s="1127">
        <v>936</v>
      </c>
      <c r="AI15" s="1127">
        <v>977</v>
      </c>
      <c r="AJ15" s="1127">
        <v>1027</v>
      </c>
      <c r="AK15" s="1127">
        <v>1192</v>
      </c>
      <c r="AL15" s="327">
        <f t="shared" si="6"/>
        <v>1192</v>
      </c>
      <c r="AM15" s="1127">
        <v>1265</v>
      </c>
      <c r="AN15" s="1127">
        <v>1297</v>
      </c>
      <c r="AO15" s="1127">
        <v>1281</v>
      </c>
      <c r="AP15" s="1127">
        <v>1326</v>
      </c>
      <c r="AQ15" s="327">
        <f t="shared" si="7"/>
        <v>1326</v>
      </c>
      <c r="AR15" s="1127">
        <v>1304</v>
      </c>
      <c r="AS15" s="1127">
        <v>1322</v>
      </c>
      <c r="AT15" s="1127">
        <v>1371</v>
      </c>
      <c r="AU15" s="1127">
        <v>1465</v>
      </c>
      <c r="AV15" s="327">
        <f t="shared" si="8"/>
        <v>1465</v>
      </c>
      <c r="AW15" s="1127">
        <v>1484</v>
      </c>
      <c r="AX15" s="1127">
        <v>1478</v>
      </c>
      <c r="AY15" s="1127">
        <v>1416</v>
      </c>
      <c r="AZ15" s="1127">
        <v>1505</v>
      </c>
      <c r="BA15" s="327">
        <f t="shared" si="9"/>
        <v>1505</v>
      </c>
      <c r="BB15" s="1127">
        <v>1466</v>
      </c>
      <c r="BC15" s="1127">
        <v>1495</v>
      </c>
      <c r="BD15" s="1127">
        <v>1445</v>
      </c>
      <c r="BE15" s="1127">
        <v>1611</v>
      </c>
      <c r="BF15" s="327">
        <f t="shared" si="10"/>
        <v>1611</v>
      </c>
      <c r="BG15" s="1127">
        <v>1657</v>
      </c>
      <c r="BH15" s="1127">
        <v>1739</v>
      </c>
      <c r="BI15" s="1127">
        <v>1835</v>
      </c>
      <c r="BJ15" s="1127">
        <v>1903</v>
      </c>
      <c r="BK15" s="327">
        <f t="shared" si="11"/>
        <v>1903</v>
      </c>
      <c r="BL15" s="1127">
        <v>1973</v>
      </c>
      <c r="BM15" s="1127">
        <v>2098</v>
      </c>
      <c r="BN15" s="1127">
        <v>2159</v>
      </c>
      <c r="BO15" s="1127">
        <v>2309</v>
      </c>
      <c r="BP15" s="327">
        <f t="shared" si="12"/>
        <v>2309</v>
      </c>
      <c r="BQ15" s="1127">
        <v>2261</v>
      </c>
      <c r="BR15" s="1127">
        <v>2240</v>
      </c>
      <c r="BS15" s="1127">
        <v>2182</v>
      </c>
      <c r="BT15" s="1127">
        <v>2268</v>
      </c>
      <c r="BU15" s="327">
        <f t="shared" si="13"/>
        <v>2268</v>
      </c>
      <c r="BV15" s="1127">
        <v>2189</v>
      </c>
      <c r="BW15" s="1127">
        <v>2257</v>
      </c>
      <c r="BX15" s="1127">
        <v>2208</v>
      </c>
      <c r="BY15" s="1127">
        <v>2223</v>
      </c>
      <c r="BZ15" s="327">
        <f t="shared" si="14"/>
        <v>2223</v>
      </c>
      <c r="CA15" s="1127">
        <v>2193</v>
      </c>
      <c r="CB15" s="1127">
        <v>2178</v>
      </c>
      <c r="CC15" s="1127">
        <v>2258</v>
      </c>
      <c r="CD15" s="1127">
        <v>2326</v>
      </c>
      <c r="CE15" s="327">
        <f t="shared" si="15"/>
        <v>2326</v>
      </c>
      <c r="CF15" s="1127">
        <v>2317</v>
      </c>
      <c r="CG15" s="1127">
        <v>2336</v>
      </c>
      <c r="CH15" s="1127">
        <v>2321</v>
      </c>
      <c r="CI15" s="1127">
        <v>2346</v>
      </c>
      <c r="CJ15" s="327">
        <f t="shared" si="16"/>
        <v>2346</v>
      </c>
      <c r="CK15" s="1127">
        <v>2351</v>
      </c>
      <c r="CL15" s="1127">
        <v>2452</v>
      </c>
      <c r="CM15" s="1127">
        <v>2543</v>
      </c>
      <c r="CN15" s="1127">
        <v>3044</v>
      </c>
      <c r="CO15" s="327">
        <f t="shared" si="17"/>
        <v>3044</v>
      </c>
      <c r="CP15" s="1127">
        <v>3193</v>
      </c>
      <c r="CQ15" s="1127">
        <v>3686</v>
      </c>
      <c r="CR15" s="1127">
        <v>3923</v>
      </c>
      <c r="CS15" s="1127">
        <v>4350</v>
      </c>
      <c r="CT15" s="327">
        <f t="shared" si="18"/>
        <v>4350</v>
      </c>
      <c r="CU15" s="1127">
        <v>4615</v>
      </c>
      <c r="CV15" s="1127">
        <v>4965</v>
      </c>
      <c r="CW15" s="1127">
        <v>5516</v>
      </c>
      <c r="CX15" s="1127">
        <v>6242</v>
      </c>
      <c r="CY15" s="327">
        <f t="shared" si="19"/>
        <v>6242</v>
      </c>
      <c r="CZ15" s="1127">
        <v>6552</v>
      </c>
      <c r="DA15" s="1127">
        <v>6996</v>
      </c>
      <c r="DB15" s="1127">
        <v>7112</v>
      </c>
      <c r="DC15" s="1127">
        <v>7535</v>
      </c>
      <c r="DD15" s="327">
        <f t="shared" si="20"/>
        <v>7535</v>
      </c>
      <c r="DE15" s="1127">
        <v>7512</v>
      </c>
      <c r="DF15" s="1127">
        <v>7402</v>
      </c>
      <c r="DG15" s="1127">
        <v>7372</v>
      </c>
      <c r="DH15" s="1127">
        <v>7630</v>
      </c>
      <c r="DI15" s="327">
        <f t="shared" si="21"/>
        <v>7630</v>
      </c>
      <c r="DJ15" s="1127">
        <v>7771</v>
      </c>
      <c r="DK15" s="1127">
        <v>7799</v>
      </c>
      <c r="DL15" s="1127">
        <v>7969</v>
      </c>
      <c r="DM15" s="1127">
        <v>8162</v>
      </c>
      <c r="DN15" s="327">
        <f t="shared" si="22"/>
        <v>8162</v>
      </c>
      <c r="DO15" s="1127">
        <v>8033</v>
      </c>
      <c r="DP15" s="1127">
        <v>8010</v>
      </c>
      <c r="DQ15" s="1127">
        <v>8225</v>
      </c>
      <c r="DR15" s="1127">
        <v>8269</v>
      </c>
      <c r="DS15" s="327">
        <f t="shared" si="23"/>
        <v>8269</v>
      </c>
      <c r="DT15" s="1127">
        <v>8329</v>
      </c>
      <c r="DU15" s="1127">
        <v>8698</v>
      </c>
      <c r="DV15" s="1127">
        <v>9204</v>
      </c>
      <c r="DW15" s="1127">
        <v>9991</v>
      </c>
      <c r="DX15" s="327">
        <f t="shared" si="24"/>
        <v>9991</v>
      </c>
      <c r="DY15" s="1127">
        <v>10774</v>
      </c>
      <c r="DZ15" s="1127">
        <v>11567</v>
      </c>
      <c r="EA15" s="1127">
        <v>11771</v>
      </c>
      <c r="EB15" s="1127">
        <v>13011</v>
      </c>
      <c r="EC15" s="327">
        <f t="shared" si="25"/>
        <v>13011</v>
      </c>
      <c r="ED15" s="1127">
        <v>13229</v>
      </c>
      <c r="EE15" s="1127">
        <v>13607</v>
      </c>
      <c r="EF15" s="1127">
        <v>14375</v>
      </c>
      <c r="EG15" s="1127">
        <v>14731</v>
      </c>
      <c r="EH15" s="327">
        <f t="shared" si="26"/>
        <v>14731</v>
      </c>
      <c r="EI15" s="2769">
        <v>15046</v>
      </c>
      <c r="EJ15" s="2769">
        <v>15789</v>
      </c>
      <c r="EK15" s="2769">
        <v>16831</v>
      </c>
      <c r="EL15" s="2769">
        <v>18356</v>
      </c>
      <c r="EM15" s="2770">
        <f t="shared" si="27"/>
        <v>18356</v>
      </c>
      <c r="EN15" s="2769">
        <v>19224</v>
      </c>
      <c r="EO15" s="2769">
        <v>21379</v>
      </c>
      <c r="EP15" s="2769">
        <v>21962</v>
      </c>
      <c r="EQ15" s="2769">
        <v>23734</v>
      </c>
      <c r="ER15" s="2770">
        <f t="shared" si="28"/>
        <v>23734</v>
      </c>
      <c r="ES15" s="2769">
        <v>24809</v>
      </c>
      <c r="ET15" s="2769">
        <v>26304</v>
      </c>
      <c r="EU15" s="2769">
        <v>27929</v>
      </c>
      <c r="EV15" s="242">
        <f>DEPR!EV17</f>
        <v>28898.8871</v>
      </c>
      <c r="EW15" s="327">
        <f t="shared" si="29"/>
        <v>28898.8871</v>
      </c>
      <c r="EX15" s="242">
        <f>DEPR!EX17</f>
        <v>29944.7742</v>
      </c>
      <c r="EY15" s="242">
        <f>DEPR!EY17</f>
        <v>30968.620170999999</v>
      </c>
      <c r="EZ15" s="242">
        <f>DEPR!EZ17</f>
        <v>31970.20460171</v>
      </c>
      <c r="FA15" s="242">
        <f>DEPR!FA17</f>
        <v>32949.304876727103</v>
      </c>
      <c r="FB15" s="327">
        <f t="shared" si="30"/>
        <v>32949.304876727103</v>
      </c>
      <c r="FC15" s="242">
        <f>DEPR!FC17</f>
        <v>34028.405151744206</v>
      </c>
      <c r="FD15" s="242">
        <f>DEPR!FD17</f>
        <v>35084.79642951148</v>
      </c>
      <c r="FE15" s="242">
        <f>DEPR!FE17</f>
        <v>36118.251620056421</v>
      </c>
      <c r="FF15" s="242">
        <f>DEPR!FF17</f>
        <v>37128.54136250681</v>
      </c>
      <c r="FG15" s="327">
        <f t="shared" si="31"/>
        <v>37128.54136250681</v>
      </c>
      <c r="FH15" s="242">
        <f>DEPR!FH17</f>
        <v>38238.8311049572</v>
      </c>
      <c r="FI15" s="242">
        <f>DEPR!FI17</f>
        <v>39325.723744832096</v>
      </c>
      <c r="FJ15" s="242">
        <f>DEPR!FJ17</f>
        <v>40388.985311105738</v>
      </c>
      <c r="FK15" s="242">
        <f>DEPR!FK17</f>
        <v>41428.379493042121</v>
      </c>
      <c r="FL15" s="327">
        <f t="shared" si="32"/>
        <v>41428.379493042121</v>
      </c>
      <c r="FM15" s="481"/>
      <c r="FN15" s="484"/>
      <c r="FO15"/>
      <c r="FP15"/>
      <c r="FQ15"/>
      <c r="FR15"/>
      <c r="FS15"/>
      <c r="FT15"/>
      <c r="FU15" s="261"/>
      <c r="FV15" s="261"/>
      <c r="FW15" s="261"/>
      <c r="FX15" s="261"/>
    </row>
    <row r="16" spans="1:180" s="264" customFormat="1" ht="11.25" customHeight="1">
      <c r="A16" s="264" t="s">
        <v>459</v>
      </c>
      <c r="D16" s="242"/>
      <c r="E16" s="1127">
        <v>0</v>
      </c>
      <c r="F16" s="1127">
        <v>0</v>
      </c>
      <c r="G16" s="1127">
        <v>0</v>
      </c>
      <c r="H16" s="327">
        <f t="shared" si="0"/>
        <v>0</v>
      </c>
      <c r="I16" s="1127">
        <v>0</v>
      </c>
      <c r="J16" s="1127">
        <v>0</v>
      </c>
      <c r="K16" s="1127">
        <v>0</v>
      </c>
      <c r="L16" s="1127">
        <v>0</v>
      </c>
      <c r="M16" s="327">
        <f t="shared" si="1"/>
        <v>0</v>
      </c>
      <c r="N16" s="1127">
        <v>0</v>
      </c>
      <c r="O16" s="1127">
        <v>0</v>
      </c>
      <c r="P16" s="1127">
        <v>0</v>
      </c>
      <c r="Q16" s="1127">
        <v>0</v>
      </c>
      <c r="R16" s="327">
        <f t="shared" si="2"/>
        <v>0</v>
      </c>
      <c r="S16" s="1127">
        <v>0</v>
      </c>
      <c r="T16" s="1127">
        <v>0</v>
      </c>
      <c r="U16" s="1127">
        <v>0</v>
      </c>
      <c r="V16" s="1127">
        <v>0</v>
      </c>
      <c r="W16" s="327">
        <f t="shared" si="3"/>
        <v>0</v>
      </c>
      <c r="X16" s="1127">
        <v>0</v>
      </c>
      <c r="Y16" s="1127">
        <v>0</v>
      </c>
      <c r="Z16" s="1127">
        <v>0</v>
      </c>
      <c r="AA16" s="1127">
        <v>0</v>
      </c>
      <c r="AB16" s="327">
        <f t="shared" si="4"/>
        <v>0</v>
      </c>
      <c r="AC16" s="1127">
        <v>0</v>
      </c>
      <c r="AD16" s="1127">
        <v>0</v>
      </c>
      <c r="AE16" s="1127">
        <v>0</v>
      </c>
      <c r="AF16" s="1127">
        <v>0</v>
      </c>
      <c r="AG16" s="327">
        <f t="shared" si="5"/>
        <v>0</v>
      </c>
      <c r="AH16" s="1127">
        <v>0</v>
      </c>
      <c r="AI16" s="1127">
        <v>0</v>
      </c>
      <c r="AJ16" s="1127">
        <v>0</v>
      </c>
      <c r="AK16" s="1127">
        <v>0</v>
      </c>
      <c r="AL16" s="327">
        <f t="shared" si="6"/>
        <v>0</v>
      </c>
      <c r="AM16" s="1127">
        <v>0</v>
      </c>
      <c r="AN16" s="1127">
        <v>0</v>
      </c>
      <c r="AO16" s="1127">
        <v>0</v>
      </c>
      <c r="AP16" s="1127">
        <v>675</v>
      </c>
      <c r="AQ16" s="327">
        <f t="shared" si="7"/>
        <v>675</v>
      </c>
      <c r="AR16" s="1127">
        <v>896</v>
      </c>
      <c r="AS16" s="1127">
        <v>804</v>
      </c>
      <c r="AT16" s="1127">
        <v>819</v>
      </c>
      <c r="AU16" s="1127">
        <v>2346</v>
      </c>
      <c r="AV16" s="327">
        <f t="shared" si="8"/>
        <v>2346</v>
      </c>
      <c r="AW16" s="1127">
        <v>2733</v>
      </c>
      <c r="AX16" s="1127">
        <v>3476</v>
      </c>
      <c r="AY16" s="1127">
        <v>4122</v>
      </c>
      <c r="AZ16" s="1127">
        <v>4703</v>
      </c>
      <c r="BA16" s="327">
        <f t="shared" si="9"/>
        <v>4703</v>
      </c>
      <c r="BB16" s="1127">
        <v>4905</v>
      </c>
      <c r="BC16" s="1127">
        <v>6262</v>
      </c>
      <c r="BD16" s="1127">
        <v>7474</v>
      </c>
      <c r="BE16" s="1127">
        <v>14372</v>
      </c>
      <c r="BF16" s="327">
        <f t="shared" si="10"/>
        <v>14372</v>
      </c>
      <c r="BG16" s="1127">
        <v>14910</v>
      </c>
      <c r="BH16" s="1127">
        <v>19801</v>
      </c>
      <c r="BI16" s="1127">
        <v>21322</v>
      </c>
      <c r="BJ16" s="1127">
        <v>17726</v>
      </c>
      <c r="BK16" s="327">
        <f t="shared" si="11"/>
        <v>17726</v>
      </c>
      <c r="BL16" s="1127">
        <v>20525</v>
      </c>
      <c r="BM16" s="1127">
        <v>18281</v>
      </c>
      <c r="BN16" s="1127">
        <v>17463</v>
      </c>
      <c r="BO16" s="1127">
        <v>14361</v>
      </c>
      <c r="BP16" s="327">
        <f t="shared" si="12"/>
        <v>14361</v>
      </c>
      <c r="BQ16" s="1127">
        <v>12035</v>
      </c>
      <c r="BR16" s="1127">
        <v>12212</v>
      </c>
      <c r="BS16" s="1127">
        <v>15694</v>
      </c>
      <c r="BT16" s="1127">
        <v>14191</v>
      </c>
      <c r="BU16" s="327">
        <f t="shared" si="13"/>
        <v>14191</v>
      </c>
      <c r="BV16" s="1127">
        <v>13580</v>
      </c>
      <c r="BW16" s="1127">
        <v>12647</v>
      </c>
      <c r="BX16" s="1127">
        <v>13052</v>
      </c>
      <c r="BY16" s="1127">
        <v>13692</v>
      </c>
      <c r="BZ16" s="327">
        <f t="shared" si="14"/>
        <v>13692</v>
      </c>
      <c r="CA16" s="1127">
        <v>13962</v>
      </c>
      <c r="CB16" s="1127">
        <v>14901</v>
      </c>
      <c r="CC16" s="1127">
        <v>15155</v>
      </c>
      <c r="CD16" s="1127">
        <v>12210</v>
      </c>
      <c r="CE16" s="327">
        <f t="shared" si="15"/>
        <v>12210</v>
      </c>
      <c r="CF16" s="1127">
        <v>12185</v>
      </c>
      <c r="CG16" s="1127">
        <v>12160</v>
      </c>
      <c r="CH16" s="1127">
        <v>11772</v>
      </c>
      <c r="CI16" s="1127">
        <v>11004</v>
      </c>
      <c r="CJ16" s="327">
        <f t="shared" si="16"/>
        <v>11004</v>
      </c>
      <c r="CK16" s="1127">
        <v>10062</v>
      </c>
      <c r="CL16" s="1127">
        <v>9095</v>
      </c>
      <c r="CM16" s="1127">
        <v>8888</v>
      </c>
      <c r="CN16" s="1127">
        <v>9232</v>
      </c>
      <c r="CO16" s="327">
        <f t="shared" si="17"/>
        <v>9232</v>
      </c>
      <c r="CP16" s="1127">
        <v>8762</v>
      </c>
      <c r="CQ16" s="1127">
        <v>9631</v>
      </c>
      <c r="CR16" s="1127">
        <v>9624</v>
      </c>
      <c r="CS16" s="1127">
        <v>10117</v>
      </c>
      <c r="CT16" s="327">
        <f t="shared" si="18"/>
        <v>10117</v>
      </c>
      <c r="CU16" s="1127">
        <v>9707</v>
      </c>
      <c r="CV16" s="1127">
        <v>9413</v>
      </c>
      <c r="CW16" s="1127">
        <v>8659</v>
      </c>
      <c r="CX16" s="1127">
        <v>6588</v>
      </c>
      <c r="CY16" s="327">
        <f t="shared" si="19"/>
        <v>6588</v>
      </c>
      <c r="CZ16" s="1127">
        <v>4381</v>
      </c>
      <c r="DA16" s="1127">
        <v>3922</v>
      </c>
      <c r="DB16" s="1127">
        <v>4112</v>
      </c>
      <c r="DC16" s="1127">
        <v>4933</v>
      </c>
      <c r="DD16" s="327">
        <f t="shared" si="20"/>
        <v>4933</v>
      </c>
      <c r="DE16" s="1127">
        <v>6006</v>
      </c>
      <c r="DF16" s="1127">
        <v>6976</v>
      </c>
      <c r="DG16" s="1127">
        <v>7797</v>
      </c>
      <c r="DH16" s="1127">
        <v>7754</v>
      </c>
      <c r="DI16" s="327">
        <f t="shared" si="21"/>
        <v>7754</v>
      </c>
      <c r="DJ16" s="1127">
        <v>9211</v>
      </c>
      <c r="DK16" s="1127">
        <v>10022</v>
      </c>
      <c r="DL16" s="1127">
        <v>10748</v>
      </c>
      <c r="DM16" s="1127">
        <v>10865</v>
      </c>
      <c r="DN16" s="327">
        <f t="shared" si="22"/>
        <v>10865</v>
      </c>
      <c r="DO16" s="1127">
        <v>8576</v>
      </c>
      <c r="DP16" s="1127">
        <v>7550</v>
      </c>
      <c r="DQ16" s="1127">
        <v>9068</v>
      </c>
      <c r="DR16" s="1127">
        <v>9776</v>
      </c>
      <c r="DS16" s="327">
        <f t="shared" si="23"/>
        <v>9776</v>
      </c>
      <c r="DT16" s="1127">
        <v>10038</v>
      </c>
      <c r="DU16" s="1127">
        <v>10707</v>
      </c>
      <c r="DV16" s="1127">
        <v>11193</v>
      </c>
      <c r="DW16" s="1127">
        <v>10844</v>
      </c>
      <c r="DX16" s="327">
        <f t="shared" si="24"/>
        <v>10844</v>
      </c>
      <c r="DY16" s="1127">
        <v>11995</v>
      </c>
      <c r="DZ16" s="1127">
        <v>14607</v>
      </c>
      <c r="EA16" s="1127">
        <v>14792</v>
      </c>
      <c r="EB16" s="1127">
        <v>14597</v>
      </c>
      <c r="EC16" s="327">
        <f t="shared" si="25"/>
        <v>14597</v>
      </c>
      <c r="ED16" s="1127">
        <v>13943</v>
      </c>
      <c r="EE16" s="1127">
        <v>12665</v>
      </c>
      <c r="EF16" s="1127">
        <v>12019</v>
      </c>
      <c r="EG16" s="1127">
        <v>12053</v>
      </c>
      <c r="EH16" s="327">
        <f t="shared" si="26"/>
        <v>12053</v>
      </c>
      <c r="EI16" s="2769">
        <v>11438</v>
      </c>
      <c r="EJ16" s="2769">
        <v>11514</v>
      </c>
      <c r="EK16" s="2769">
        <v>11315</v>
      </c>
      <c r="EL16" s="2769">
        <v>10431</v>
      </c>
      <c r="EM16" s="2770">
        <f t="shared" si="27"/>
        <v>10431</v>
      </c>
      <c r="EN16" s="2769">
        <v>10486</v>
      </c>
      <c r="EO16" s="2769">
        <v>8912</v>
      </c>
      <c r="EP16" s="2769">
        <v>7381</v>
      </c>
      <c r="EQ16" s="2769">
        <v>6023</v>
      </c>
      <c r="ER16" s="2770">
        <f t="shared" si="28"/>
        <v>6023</v>
      </c>
      <c r="ES16" s="2769">
        <v>5343</v>
      </c>
      <c r="ET16" s="2769">
        <v>3961</v>
      </c>
      <c r="EU16" s="2769">
        <v>2818</v>
      </c>
      <c r="EV16" s="242">
        <f>+EU16-CF!EV31-CF!EV32</f>
        <v>2837</v>
      </c>
      <c r="EW16" s="327">
        <f t="shared" si="29"/>
        <v>2837</v>
      </c>
      <c r="EX16" s="242">
        <f>+EV16-CF!EX31-CF!EX32</f>
        <v>2856</v>
      </c>
      <c r="EY16" s="242">
        <f>+EX16-CF!EY31-CF!EY32</f>
        <v>2875</v>
      </c>
      <c r="EZ16" s="242">
        <f>+EY16-CF!EZ31-CF!EZ32</f>
        <v>2894</v>
      </c>
      <c r="FA16" s="242">
        <f>+EZ16-CF!FA31-CF!FA32</f>
        <v>2913</v>
      </c>
      <c r="FB16" s="327">
        <f t="shared" si="30"/>
        <v>2913</v>
      </c>
      <c r="FC16" s="242">
        <f>+FA16-CF!FC31-CF!FC32</f>
        <v>2932</v>
      </c>
      <c r="FD16" s="242">
        <f>+FC16-CF!FD31-CF!FD32</f>
        <v>2951</v>
      </c>
      <c r="FE16" s="242">
        <f>+FD16-CF!FE31-CF!FE32</f>
        <v>2970</v>
      </c>
      <c r="FF16" s="242">
        <f>+FE16-CF!FF31-CF!FF32</f>
        <v>2989</v>
      </c>
      <c r="FG16" s="327">
        <f t="shared" si="31"/>
        <v>2989</v>
      </c>
      <c r="FH16" s="242">
        <f>+FF16-CF!FH31-CF!FH32</f>
        <v>3008</v>
      </c>
      <c r="FI16" s="242">
        <f>+FH16-CF!FI31-CF!FI32</f>
        <v>3027</v>
      </c>
      <c r="FJ16" s="242">
        <f>+FI16-CF!FJ31-CF!FJ32</f>
        <v>3046</v>
      </c>
      <c r="FK16" s="242">
        <f>+FJ16-CF!FK31-CF!FK32</f>
        <v>3065</v>
      </c>
      <c r="FL16" s="327">
        <f t="shared" si="32"/>
        <v>3065</v>
      </c>
      <c r="FM16" s="481"/>
      <c r="FN16" s="484"/>
      <c r="FO16"/>
      <c r="FP16"/>
      <c r="FQ16"/>
      <c r="FR16"/>
      <c r="FS16"/>
      <c r="FT16"/>
      <c r="FU16" s="261"/>
      <c r="FV16" s="261"/>
      <c r="FW16" s="261"/>
      <c r="FX16" s="261"/>
    </row>
    <row r="17" spans="1:180" s="264" customFormat="1" ht="11.25" customHeight="1">
      <c r="A17" s="264" t="s">
        <v>283</v>
      </c>
      <c r="D17" s="242"/>
      <c r="E17" s="1127">
        <v>0</v>
      </c>
      <c r="F17" s="1127">
        <v>0</v>
      </c>
      <c r="G17" s="1127">
        <v>0</v>
      </c>
      <c r="H17" s="327">
        <f t="shared" si="0"/>
        <v>0</v>
      </c>
      <c r="I17" s="1127">
        <v>0</v>
      </c>
      <c r="J17" s="1127">
        <v>0</v>
      </c>
      <c r="K17" s="1127">
        <v>0</v>
      </c>
      <c r="L17" s="1127">
        <v>0</v>
      </c>
      <c r="M17" s="327">
        <f t="shared" si="1"/>
        <v>0</v>
      </c>
      <c r="N17" s="1127">
        <v>0</v>
      </c>
      <c r="O17" s="1127">
        <v>0</v>
      </c>
      <c r="P17" s="1127">
        <v>0</v>
      </c>
      <c r="Q17" s="1127">
        <v>0</v>
      </c>
      <c r="R17" s="327">
        <f t="shared" si="2"/>
        <v>0</v>
      </c>
      <c r="S17" s="1127">
        <v>0</v>
      </c>
      <c r="T17" s="1127">
        <v>0</v>
      </c>
      <c r="U17" s="1127">
        <v>0</v>
      </c>
      <c r="V17" s="1127">
        <v>0</v>
      </c>
      <c r="W17" s="327">
        <f t="shared" si="3"/>
        <v>0</v>
      </c>
      <c r="X17" s="1127">
        <v>0</v>
      </c>
      <c r="Y17" s="1127">
        <v>0</v>
      </c>
      <c r="Z17" s="1127">
        <v>0</v>
      </c>
      <c r="AA17" s="1127">
        <v>0</v>
      </c>
      <c r="AB17" s="327">
        <f t="shared" si="4"/>
        <v>0</v>
      </c>
      <c r="AC17" s="1127">
        <v>0</v>
      </c>
      <c r="AD17" s="1127">
        <v>0</v>
      </c>
      <c r="AE17" s="1127">
        <v>0</v>
      </c>
      <c r="AF17" s="1127">
        <v>0</v>
      </c>
      <c r="AG17" s="327">
        <f t="shared" si="5"/>
        <v>0</v>
      </c>
      <c r="AH17" s="1127">
        <v>0</v>
      </c>
      <c r="AI17" s="1127">
        <v>0</v>
      </c>
      <c r="AJ17" s="1127">
        <v>0</v>
      </c>
      <c r="AK17" s="1127">
        <v>0</v>
      </c>
      <c r="AL17" s="327">
        <f t="shared" si="6"/>
        <v>0</v>
      </c>
      <c r="AM17" s="1127">
        <v>0</v>
      </c>
      <c r="AN17" s="1127">
        <v>0</v>
      </c>
      <c r="AO17" s="1127">
        <v>0</v>
      </c>
      <c r="AP17" s="1127">
        <v>0</v>
      </c>
      <c r="AQ17" s="327">
        <f t="shared" si="7"/>
        <v>0</v>
      </c>
      <c r="AR17" s="1127">
        <v>0</v>
      </c>
      <c r="AS17" s="1127">
        <v>0</v>
      </c>
      <c r="AT17" s="1127">
        <v>0</v>
      </c>
      <c r="AU17" s="1127">
        <v>0</v>
      </c>
      <c r="AV17" s="327">
        <f t="shared" si="8"/>
        <v>0</v>
      </c>
      <c r="AW17" s="1127">
        <v>0</v>
      </c>
      <c r="AX17" s="1127">
        <v>0</v>
      </c>
      <c r="AY17" s="1127">
        <v>0</v>
      </c>
      <c r="AZ17" s="1127">
        <v>0</v>
      </c>
      <c r="BA17" s="327">
        <f t="shared" si="9"/>
        <v>0</v>
      </c>
      <c r="BB17" s="1127">
        <v>0</v>
      </c>
      <c r="BC17" s="1127">
        <v>0</v>
      </c>
      <c r="BD17" s="1127">
        <v>0</v>
      </c>
      <c r="BE17" s="1127">
        <v>0</v>
      </c>
      <c r="BF17" s="327">
        <f t="shared" si="10"/>
        <v>0</v>
      </c>
      <c r="BG17" s="1127">
        <v>0</v>
      </c>
      <c r="BH17" s="1127">
        <v>0</v>
      </c>
      <c r="BI17" s="1127">
        <v>0</v>
      </c>
      <c r="BJ17" s="1127">
        <v>0</v>
      </c>
      <c r="BK17" s="327">
        <f t="shared" si="11"/>
        <v>0</v>
      </c>
      <c r="BL17" s="1127">
        <v>2198</v>
      </c>
      <c r="BM17" s="1127">
        <v>2296</v>
      </c>
      <c r="BN17" s="1127">
        <v>2194</v>
      </c>
      <c r="BO17" s="1127">
        <v>1511</v>
      </c>
      <c r="BP17" s="327">
        <f t="shared" si="12"/>
        <v>1511</v>
      </c>
      <c r="BQ17" s="1127">
        <v>1511</v>
      </c>
      <c r="BR17" s="1127">
        <v>1511</v>
      </c>
      <c r="BS17" s="1127">
        <v>1433</v>
      </c>
      <c r="BT17" s="1127">
        <v>1426</v>
      </c>
      <c r="BU17" s="327">
        <f t="shared" si="13"/>
        <v>1426</v>
      </c>
      <c r="BV17" s="1127">
        <v>2855</v>
      </c>
      <c r="BW17" s="1127">
        <v>2757</v>
      </c>
      <c r="BX17" s="1127">
        <v>2782</v>
      </c>
      <c r="BY17" s="1127">
        <v>3128</v>
      </c>
      <c r="BZ17" s="327">
        <f t="shared" si="14"/>
        <v>3128</v>
      </c>
      <c r="CA17" s="1127">
        <v>3128</v>
      </c>
      <c r="CB17" s="1127">
        <v>3110</v>
      </c>
      <c r="CC17" s="1127">
        <v>3110</v>
      </c>
      <c r="CD17" s="1127">
        <v>3115</v>
      </c>
      <c r="CE17" s="327">
        <f t="shared" si="15"/>
        <v>3115</v>
      </c>
      <c r="CF17" s="1127">
        <v>3115</v>
      </c>
      <c r="CG17" s="1127">
        <v>3105</v>
      </c>
      <c r="CH17" s="1127">
        <v>3111</v>
      </c>
      <c r="CI17" s="1127">
        <v>3309</v>
      </c>
      <c r="CJ17" s="327">
        <f t="shared" si="16"/>
        <v>3309</v>
      </c>
      <c r="CK17" s="1127">
        <v>3504</v>
      </c>
      <c r="CL17" s="1127">
        <v>3553</v>
      </c>
      <c r="CM17" s="1127">
        <v>3609</v>
      </c>
      <c r="CN17" s="1127">
        <v>3866</v>
      </c>
      <c r="CO17" s="327">
        <f t="shared" si="17"/>
        <v>3866</v>
      </c>
      <c r="CP17" s="1127">
        <v>4153</v>
      </c>
      <c r="CQ17" s="1127">
        <v>4189</v>
      </c>
      <c r="CR17" s="1127">
        <v>4217</v>
      </c>
      <c r="CS17" s="1127">
        <v>4760</v>
      </c>
      <c r="CT17" s="327">
        <f t="shared" si="18"/>
        <v>4760</v>
      </c>
      <c r="CU17" s="1127">
        <v>10151</v>
      </c>
      <c r="CV17" s="1127">
        <v>10309</v>
      </c>
      <c r="CW17" s="1127">
        <v>10346</v>
      </c>
      <c r="CX17" s="1127">
        <v>12108</v>
      </c>
      <c r="CY17" s="327">
        <f t="shared" si="19"/>
        <v>12108</v>
      </c>
      <c r="CZ17" s="1127">
        <v>12291</v>
      </c>
      <c r="DA17" s="1127">
        <v>12490</v>
      </c>
      <c r="DB17" s="1127">
        <v>12554</v>
      </c>
      <c r="DC17" s="1127">
        <v>12503</v>
      </c>
      <c r="DD17" s="327">
        <f t="shared" si="20"/>
        <v>12503</v>
      </c>
      <c r="DE17" s="1127">
        <v>12582</v>
      </c>
      <c r="DF17" s="1127">
        <v>12368</v>
      </c>
      <c r="DG17" s="1127">
        <v>12463</v>
      </c>
      <c r="DH17" s="1127">
        <v>12394</v>
      </c>
      <c r="DI17" s="327">
        <f t="shared" si="21"/>
        <v>12394</v>
      </c>
      <c r="DJ17" s="1127">
        <v>12471</v>
      </c>
      <c r="DK17" s="1127">
        <v>12502</v>
      </c>
      <c r="DL17" s="1127">
        <v>12554</v>
      </c>
      <c r="DM17" s="1127">
        <v>12581</v>
      </c>
      <c r="DN17" s="327">
        <f t="shared" si="22"/>
        <v>12581</v>
      </c>
      <c r="DO17" s="1127">
        <v>12537</v>
      </c>
      <c r="DP17" s="1127">
        <v>19670</v>
      </c>
      <c r="DQ17" s="1127">
        <v>19698</v>
      </c>
      <c r="DR17" s="1127">
        <v>13452</v>
      </c>
      <c r="DS17" s="327">
        <f t="shared" si="23"/>
        <v>13452</v>
      </c>
      <c r="DT17" s="1127">
        <v>14466</v>
      </c>
      <c r="DU17" s="1127">
        <v>14727</v>
      </c>
      <c r="DV17" s="1127">
        <v>14682</v>
      </c>
      <c r="DW17" s="1127">
        <v>14655</v>
      </c>
      <c r="DX17" s="327">
        <f t="shared" si="24"/>
        <v>14655</v>
      </c>
      <c r="DY17" s="1127">
        <v>14667</v>
      </c>
      <c r="DZ17" s="1127">
        <v>14680</v>
      </c>
      <c r="EA17" s="1127">
        <v>14751</v>
      </c>
      <c r="EB17" s="1127">
        <v>20127</v>
      </c>
      <c r="EC17" s="327">
        <f t="shared" si="25"/>
        <v>20127</v>
      </c>
      <c r="ED17" s="1127">
        <v>20081</v>
      </c>
      <c r="EE17" s="1127">
        <v>21855</v>
      </c>
      <c r="EF17" s="1127">
        <v>21728</v>
      </c>
      <c r="EG17" s="1127">
        <v>16939</v>
      </c>
      <c r="EH17" s="327">
        <f t="shared" si="26"/>
        <v>16939</v>
      </c>
      <c r="EI17" s="2769">
        <v>17142</v>
      </c>
      <c r="EJ17" s="2769">
        <v>17436</v>
      </c>
      <c r="EK17" s="2769">
        <v>17948</v>
      </c>
      <c r="EL17" s="2769">
        <v>17872</v>
      </c>
      <c r="EM17" s="2770">
        <f t="shared" si="27"/>
        <v>17872</v>
      </c>
      <c r="EN17" s="2769">
        <v>17907</v>
      </c>
      <c r="EO17" s="2769">
        <v>34524</v>
      </c>
      <c r="EP17" s="2769">
        <v>34668</v>
      </c>
      <c r="EQ17" s="2769">
        <v>35122</v>
      </c>
      <c r="ER17" s="2770">
        <f t="shared" si="28"/>
        <v>35122</v>
      </c>
      <c r="ES17" s="2769">
        <v>35389</v>
      </c>
      <c r="ET17" s="2769">
        <v>35355</v>
      </c>
      <c r="EU17" s="2769">
        <v>35582</v>
      </c>
      <c r="EV17" s="242">
        <f>+EU17+DEPR!EV68</f>
        <v>35582</v>
      </c>
      <c r="EW17" s="327">
        <f t="shared" si="29"/>
        <v>35582</v>
      </c>
      <c r="EX17" s="242">
        <f>+EV17+DEPR!EX68</f>
        <v>35582</v>
      </c>
      <c r="EY17" s="242">
        <f>+EX17+DEPR!EY68</f>
        <v>35582</v>
      </c>
      <c r="EZ17" s="242">
        <f>+EY17+DEPR!EZ68</f>
        <v>35582</v>
      </c>
      <c r="FA17" s="242">
        <f>+EZ17+DEPR!FA68</f>
        <v>35582</v>
      </c>
      <c r="FB17" s="327">
        <f t="shared" si="30"/>
        <v>35582</v>
      </c>
      <c r="FC17" s="242">
        <f>+FA17+DEPR!FC68</f>
        <v>35582</v>
      </c>
      <c r="FD17" s="242">
        <f>+FC17+DEPR!FD68</f>
        <v>35582</v>
      </c>
      <c r="FE17" s="242">
        <f>+FD17+DEPR!FE68</f>
        <v>35582</v>
      </c>
      <c r="FF17" s="242">
        <f>+FE17+DEPR!FF68</f>
        <v>35582</v>
      </c>
      <c r="FG17" s="327">
        <f t="shared" si="31"/>
        <v>35582</v>
      </c>
      <c r="FH17" s="242">
        <f>+FF17+DEPR!FH68</f>
        <v>35582</v>
      </c>
      <c r="FI17" s="242">
        <f>+FH17+DEPR!FI68</f>
        <v>35582</v>
      </c>
      <c r="FJ17" s="242">
        <f>+FI17+DEPR!FJ68</f>
        <v>35582</v>
      </c>
      <c r="FK17" s="242">
        <f>+FJ17+DEPR!FK68</f>
        <v>35582</v>
      </c>
      <c r="FL17" s="327">
        <f t="shared" si="32"/>
        <v>35582</v>
      </c>
      <c r="FM17" s="481"/>
      <c r="FN17" s="484"/>
      <c r="FO17"/>
      <c r="FP17"/>
      <c r="FQ17"/>
      <c r="FR17"/>
      <c r="FS17"/>
      <c r="FT17"/>
      <c r="FU17" s="261"/>
      <c r="FV17" s="261"/>
      <c r="FW17" s="261"/>
      <c r="FX17" s="261"/>
    </row>
    <row r="18" spans="1:180" s="264" customFormat="1" ht="11.25" customHeight="1">
      <c r="A18" s="264" t="s">
        <v>515</v>
      </c>
      <c r="D18" s="242"/>
      <c r="E18" s="1127">
        <v>0</v>
      </c>
      <c r="F18" s="1127">
        <v>0</v>
      </c>
      <c r="G18" s="1127">
        <v>0</v>
      </c>
      <c r="H18" s="327">
        <f t="shared" si="0"/>
        <v>0</v>
      </c>
      <c r="I18" s="1127">
        <v>0</v>
      </c>
      <c r="J18" s="1127">
        <v>0</v>
      </c>
      <c r="K18" s="1127">
        <v>0</v>
      </c>
      <c r="L18" s="1127">
        <v>0</v>
      </c>
      <c r="M18" s="327">
        <f t="shared" si="1"/>
        <v>0</v>
      </c>
      <c r="N18" s="1127">
        <v>0</v>
      </c>
      <c r="O18" s="1127">
        <v>0</v>
      </c>
      <c r="P18" s="1127">
        <v>0</v>
      </c>
      <c r="Q18" s="1127">
        <v>0</v>
      </c>
      <c r="R18" s="327">
        <f t="shared" si="2"/>
        <v>0</v>
      </c>
      <c r="S18" s="1127">
        <v>0</v>
      </c>
      <c r="T18" s="1127">
        <v>0</v>
      </c>
      <c r="U18" s="1127">
        <v>0</v>
      </c>
      <c r="V18" s="1127">
        <v>0</v>
      </c>
      <c r="W18" s="327">
        <f t="shared" si="3"/>
        <v>0</v>
      </c>
      <c r="X18" s="1127">
        <v>0</v>
      </c>
      <c r="Y18" s="1127">
        <v>0</v>
      </c>
      <c r="Z18" s="1127">
        <v>0</v>
      </c>
      <c r="AA18" s="1127">
        <v>0</v>
      </c>
      <c r="AB18" s="327">
        <f t="shared" si="4"/>
        <v>0</v>
      </c>
      <c r="AC18" s="1127">
        <v>0</v>
      </c>
      <c r="AD18" s="1127">
        <v>0</v>
      </c>
      <c r="AE18" s="1127">
        <v>0</v>
      </c>
      <c r="AF18" s="1127">
        <v>0</v>
      </c>
      <c r="AG18" s="327">
        <f t="shared" si="5"/>
        <v>0</v>
      </c>
      <c r="AH18" s="1127">
        <v>0</v>
      </c>
      <c r="AI18" s="1127">
        <v>0</v>
      </c>
      <c r="AJ18" s="1127">
        <v>0</v>
      </c>
      <c r="AK18" s="1127">
        <v>0</v>
      </c>
      <c r="AL18" s="327">
        <f t="shared" si="6"/>
        <v>0</v>
      </c>
      <c r="AM18" s="1127">
        <v>0</v>
      </c>
      <c r="AN18" s="1127">
        <v>0</v>
      </c>
      <c r="AO18" s="1127">
        <v>0</v>
      </c>
      <c r="AP18" s="1127">
        <v>0</v>
      </c>
      <c r="AQ18" s="327">
        <f t="shared" si="7"/>
        <v>0</v>
      </c>
      <c r="AR18" s="1127">
        <v>0</v>
      </c>
      <c r="AS18" s="1127">
        <v>0</v>
      </c>
      <c r="AT18" s="1127">
        <v>0</v>
      </c>
      <c r="AU18" s="1127">
        <v>0</v>
      </c>
      <c r="AV18" s="327">
        <f t="shared" si="8"/>
        <v>0</v>
      </c>
      <c r="AW18" s="1127">
        <v>0</v>
      </c>
      <c r="AX18" s="1127">
        <v>0</v>
      </c>
      <c r="AY18" s="1127">
        <v>0</v>
      </c>
      <c r="AZ18" s="1127">
        <v>0</v>
      </c>
      <c r="BA18" s="327">
        <f t="shared" si="9"/>
        <v>0</v>
      </c>
      <c r="BB18" s="1127">
        <v>0</v>
      </c>
      <c r="BC18" s="1127">
        <v>0</v>
      </c>
      <c r="BD18" s="1127">
        <v>0</v>
      </c>
      <c r="BE18" s="1127">
        <v>0</v>
      </c>
      <c r="BF18" s="327">
        <f t="shared" si="10"/>
        <v>0</v>
      </c>
      <c r="BG18" s="1127">
        <v>0</v>
      </c>
      <c r="BH18" s="1127">
        <v>0</v>
      </c>
      <c r="BI18" s="1127">
        <v>0</v>
      </c>
      <c r="BJ18" s="1127">
        <v>0</v>
      </c>
      <c r="BK18" s="327">
        <f t="shared" si="11"/>
        <v>0</v>
      </c>
      <c r="BL18" s="1127">
        <v>0</v>
      </c>
      <c r="BM18" s="1127">
        <v>0</v>
      </c>
      <c r="BN18" s="1127">
        <v>0</v>
      </c>
      <c r="BO18" s="1127">
        <v>401</v>
      </c>
      <c r="BP18" s="327">
        <f t="shared" si="12"/>
        <v>401</v>
      </c>
      <c r="BQ18" s="1127">
        <v>394</v>
      </c>
      <c r="BR18" s="1127">
        <v>344</v>
      </c>
      <c r="BS18" s="1127">
        <v>277</v>
      </c>
      <c r="BT18" s="1127">
        <v>243</v>
      </c>
      <c r="BU18" s="327">
        <f t="shared" si="13"/>
        <v>243</v>
      </c>
      <c r="BV18" s="1127">
        <v>642</v>
      </c>
      <c r="BW18" s="1127">
        <v>607</v>
      </c>
      <c r="BX18" s="1127">
        <v>575</v>
      </c>
      <c r="BY18" s="1127">
        <v>384</v>
      </c>
      <c r="BZ18" s="327">
        <f t="shared" si="14"/>
        <v>384</v>
      </c>
      <c r="CA18" s="1127">
        <v>378</v>
      </c>
      <c r="CB18" s="1127">
        <v>345</v>
      </c>
      <c r="CC18" s="1127">
        <v>599</v>
      </c>
      <c r="CD18" s="1127">
        <v>569</v>
      </c>
      <c r="CE18" s="327">
        <f t="shared" si="15"/>
        <v>569</v>
      </c>
      <c r="CF18" s="1127">
        <v>534</v>
      </c>
      <c r="CG18" s="1127">
        <v>494</v>
      </c>
      <c r="CH18" s="1127">
        <v>468</v>
      </c>
      <c r="CI18" s="1127">
        <v>499</v>
      </c>
      <c r="CJ18" s="327">
        <f t="shared" si="16"/>
        <v>499</v>
      </c>
      <c r="CK18" s="1127">
        <v>502</v>
      </c>
      <c r="CL18" s="1127">
        <v>466</v>
      </c>
      <c r="CM18" s="1127">
        <v>461</v>
      </c>
      <c r="CN18" s="1127">
        <v>539</v>
      </c>
      <c r="CO18" s="327">
        <f t="shared" si="17"/>
        <v>539</v>
      </c>
      <c r="CP18" s="1127">
        <v>720</v>
      </c>
      <c r="CQ18" s="1127">
        <v>745</v>
      </c>
      <c r="CR18" s="1127">
        <v>699</v>
      </c>
      <c r="CS18" s="1127">
        <v>878</v>
      </c>
      <c r="CT18" s="327">
        <f t="shared" si="18"/>
        <v>878</v>
      </c>
      <c r="CU18" s="1127">
        <v>1718</v>
      </c>
      <c r="CV18" s="1127">
        <v>1717</v>
      </c>
      <c r="CW18" s="1127">
        <v>1639</v>
      </c>
      <c r="CX18" s="1127">
        <v>1973</v>
      </c>
      <c r="CY18" s="327">
        <f t="shared" si="19"/>
        <v>1973</v>
      </c>
      <c r="CZ18" s="1127">
        <v>1899</v>
      </c>
      <c r="DA18" s="1127">
        <v>1815</v>
      </c>
      <c r="DB18" s="1127">
        <v>1756</v>
      </c>
      <c r="DC18" s="1127">
        <v>1759</v>
      </c>
      <c r="DD18" s="327">
        <f t="shared" si="20"/>
        <v>1759</v>
      </c>
      <c r="DE18" s="1127">
        <v>1653</v>
      </c>
      <c r="DF18" s="1127">
        <v>1346</v>
      </c>
      <c r="DG18" s="1127">
        <v>1282</v>
      </c>
      <c r="DH18" s="1127">
        <v>1158</v>
      </c>
      <c r="DI18" s="327">
        <f t="shared" si="21"/>
        <v>1158</v>
      </c>
      <c r="DJ18" s="1127">
        <v>1077</v>
      </c>
      <c r="DK18" s="1127">
        <v>992</v>
      </c>
      <c r="DL18" s="1127">
        <v>840</v>
      </c>
      <c r="DM18" s="1127">
        <v>744</v>
      </c>
      <c r="DN18" s="327">
        <f t="shared" si="22"/>
        <v>744</v>
      </c>
      <c r="DO18" s="1127">
        <v>1026</v>
      </c>
      <c r="DP18" s="1127">
        <v>2581</v>
      </c>
      <c r="DQ18" s="1127">
        <v>2756</v>
      </c>
      <c r="DR18" s="1127">
        <v>3170</v>
      </c>
      <c r="DS18" s="327">
        <f t="shared" si="23"/>
        <v>3170</v>
      </c>
      <c r="DT18" s="1127">
        <v>3423</v>
      </c>
      <c r="DU18" s="1127">
        <v>3341</v>
      </c>
      <c r="DV18" s="1127">
        <v>3240</v>
      </c>
      <c r="DW18" s="1127">
        <v>3083</v>
      </c>
      <c r="DX18" s="327">
        <f t="shared" si="24"/>
        <v>3083</v>
      </c>
      <c r="DY18" s="1127">
        <v>2982</v>
      </c>
      <c r="DZ18" s="1127">
        <v>2945</v>
      </c>
      <c r="EA18" s="1127">
        <v>2901</v>
      </c>
      <c r="EB18" s="1127">
        <v>6981</v>
      </c>
      <c r="EC18" s="327">
        <f t="shared" si="25"/>
        <v>6981</v>
      </c>
      <c r="ED18" s="1127">
        <v>6693</v>
      </c>
      <c r="EE18" s="1127">
        <v>7299</v>
      </c>
      <c r="EF18" s="1127">
        <v>6963</v>
      </c>
      <c r="EG18" s="1127">
        <v>4835</v>
      </c>
      <c r="EH18" s="327">
        <f t="shared" si="26"/>
        <v>4835</v>
      </c>
      <c r="EI18" s="2769">
        <v>4745</v>
      </c>
      <c r="EJ18" s="2769">
        <v>4619</v>
      </c>
      <c r="EK18" s="2769">
        <v>4459</v>
      </c>
      <c r="EL18" s="2769">
        <v>3733</v>
      </c>
      <c r="EM18" s="2770">
        <f t="shared" si="27"/>
        <v>3733</v>
      </c>
      <c r="EN18" s="2769">
        <v>3522</v>
      </c>
      <c r="EO18" s="2769">
        <v>11001</v>
      </c>
      <c r="EP18" s="2769">
        <v>10547</v>
      </c>
      <c r="EQ18" s="2769">
        <v>10106</v>
      </c>
      <c r="ER18" s="2770">
        <f t="shared" si="28"/>
        <v>10106</v>
      </c>
      <c r="ES18" s="2769">
        <v>9598</v>
      </c>
      <c r="ET18" s="2769">
        <v>9034</v>
      </c>
      <c r="EU18" s="2769">
        <v>8544</v>
      </c>
      <c r="EV18" s="242">
        <f>EU18+DEPR!EV29+DEPR!EV31</f>
        <v>8137.1900000000005</v>
      </c>
      <c r="EW18" s="327">
        <f t="shared" si="29"/>
        <v>8137.1900000000005</v>
      </c>
      <c r="EX18" s="242">
        <f>EV18+DEPR!EX29+DEPR!EX31</f>
        <v>7803.2800000000007</v>
      </c>
      <c r="EY18" s="242">
        <f>EX18+DEPR!EY29+DEPR!EY31</f>
        <v>7464.3700000000008</v>
      </c>
      <c r="EZ18" s="242">
        <f>EY18+DEPR!EZ29+DEPR!EZ31</f>
        <v>7120.4600000000009</v>
      </c>
      <c r="FA18" s="242">
        <f>EZ18+DEPR!FA29+DEPR!FA31</f>
        <v>6771.5500000000011</v>
      </c>
      <c r="FB18" s="327">
        <f t="shared" si="30"/>
        <v>6771.5500000000011</v>
      </c>
      <c r="FC18" s="242">
        <f>FA18+DEPR!FC29+DEPR!FC31</f>
        <v>6417.6400000000012</v>
      </c>
      <c r="FD18" s="242">
        <f>FC18+DEPR!FD29+DEPR!FD31</f>
        <v>6058.7300000000014</v>
      </c>
      <c r="FE18" s="242">
        <f>FD18+DEPR!FE29+DEPR!FE31</f>
        <v>5694.8200000000015</v>
      </c>
      <c r="FF18" s="242">
        <f>FE18+DEPR!FF29+DEPR!FF31</f>
        <v>5325.9100000000017</v>
      </c>
      <c r="FG18" s="327">
        <f t="shared" si="31"/>
        <v>5325.9100000000017</v>
      </c>
      <c r="FH18" s="242">
        <f>FF18+DEPR!FH29+DEPR!FH31</f>
        <v>4952.0000000000018</v>
      </c>
      <c r="FI18" s="242">
        <f>FH18+DEPR!FI29+DEPR!FI31</f>
        <v>4573.090000000002</v>
      </c>
      <c r="FJ18" s="242">
        <f>FI18+DEPR!FJ29+DEPR!FJ31</f>
        <v>4189.1800000000021</v>
      </c>
      <c r="FK18" s="242">
        <f>FJ18+DEPR!FK29+DEPR!FK31</f>
        <v>3800.2700000000023</v>
      </c>
      <c r="FL18" s="327">
        <f t="shared" si="32"/>
        <v>3800.2700000000023</v>
      </c>
      <c r="FM18" s="481"/>
      <c r="FN18" s="484"/>
      <c r="FO18"/>
      <c r="FP18"/>
      <c r="FQ18"/>
      <c r="FR18"/>
      <c r="FS18"/>
      <c r="FT18"/>
      <c r="FU18" s="261"/>
      <c r="FV18" s="261"/>
      <c r="FW18" s="261"/>
      <c r="FX18" s="261"/>
    </row>
    <row r="19" spans="1:180" s="264" customFormat="1" ht="11.25" customHeight="1">
      <c r="A19" s="264" t="s">
        <v>516</v>
      </c>
      <c r="D19" s="242"/>
      <c r="E19" s="1127">
        <v>0</v>
      </c>
      <c r="F19" s="1127">
        <v>0</v>
      </c>
      <c r="G19" s="1127">
        <v>0</v>
      </c>
      <c r="H19" s="327">
        <f t="shared" si="0"/>
        <v>0</v>
      </c>
      <c r="I19" s="1127">
        <v>0</v>
      </c>
      <c r="J19" s="1127">
        <v>0</v>
      </c>
      <c r="K19" s="1127">
        <v>0</v>
      </c>
      <c r="L19" s="1127">
        <v>0</v>
      </c>
      <c r="M19" s="327">
        <f t="shared" si="1"/>
        <v>0</v>
      </c>
      <c r="N19" s="1127">
        <v>0</v>
      </c>
      <c r="O19" s="1127">
        <v>0</v>
      </c>
      <c r="P19" s="1127">
        <v>0</v>
      </c>
      <c r="Q19" s="1127">
        <v>0</v>
      </c>
      <c r="R19" s="327">
        <f t="shared" si="2"/>
        <v>0</v>
      </c>
      <c r="S19" s="1127">
        <v>0</v>
      </c>
      <c r="T19" s="1127">
        <v>0</v>
      </c>
      <c r="U19" s="1127">
        <v>0</v>
      </c>
      <c r="V19" s="1127">
        <v>0</v>
      </c>
      <c r="W19" s="327">
        <f t="shared" si="3"/>
        <v>0</v>
      </c>
      <c r="X19" s="1127">
        <v>0</v>
      </c>
      <c r="Y19" s="1127">
        <v>0</v>
      </c>
      <c r="Z19" s="1127">
        <v>0</v>
      </c>
      <c r="AA19" s="1127">
        <v>0</v>
      </c>
      <c r="AB19" s="327">
        <f t="shared" si="4"/>
        <v>0</v>
      </c>
      <c r="AC19" s="1127">
        <v>0</v>
      </c>
      <c r="AD19" s="1127">
        <v>0</v>
      </c>
      <c r="AE19" s="1127">
        <v>0</v>
      </c>
      <c r="AF19" s="1127">
        <v>0</v>
      </c>
      <c r="AG19" s="327">
        <f t="shared" si="5"/>
        <v>0</v>
      </c>
      <c r="AH19" s="1127">
        <v>0</v>
      </c>
      <c r="AI19" s="1127">
        <v>0</v>
      </c>
      <c r="AJ19" s="1127">
        <v>0</v>
      </c>
      <c r="AK19" s="1127">
        <v>0</v>
      </c>
      <c r="AL19" s="327">
        <f t="shared" si="6"/>
        <v>0</v>
      </c>
      <c r="AM19" s="1127">
        <v>0</v>
      </c>
      <c r="AN19" s="1127">
        <v>0</v>
      </c>
      <c r="AO19" s="1127">
        <v>0</v>
      </c>
      <c r="AP19" s="1127">
        <v>0</v>
      </c>
      <c r="AQ19" s="327">
        <f t="shared" si="7"/>
        <v>0</v>
      </c>
      <c r="AR19" s="1127">
        <v>0</v>
      </c>
      <c r="AS19" s="1127">
        <v>0</v>
      </c>
      <c r="AT19" s="1127">
        <v>0</v>
      </c>
      <c r="AU19" s="1127">
        <v>0</v>
      </c>
      <c r="AV19" s="327">
        <f t="shared" si="8"/>
        <v>0</v>
      </c>
      <c r="AW19" s="1127">
        <v>0</v>
      </c>
      <c r="AX19" s="1127">
        <v>0</v>
      </c>
      <c r="AY19" s="1127">
        <v>0</v>
      </c>
      <c r="AZ19" s="1127">
        <v>0</v>
      </c>
      <c r="BA19" s="327">
        <f t="shared" si="9"/>
        <v>0</v>
      </c>
      <c r="BB19" s="1127">
        <v>0</v>
      </c>
      <c r="BC19" s="1127">
        <v>0</v>
      </c>
      <c r="BD19" s="1127">
        <v>0</v>
      </c>
      <c r="BE19" s="1127">
        <v>0</v>
      </c>
      <c r="BF19" s="327">
        <f t="shared" si="10"/>
        <v>0</v>
      </c>
      <c r="BG19" s="1127">
        <v>0</v>
      </c>
      <c r="BH19" s="1127">
        <v>0</v>
      </c>
      <c r="BI19" s="1127">
        <v>0</v>
      </c>
      <c r="BJ19" s="1127">
        <v>0</v>
      </c>
      <c r="BK19" s="327">
        <f t="shared" si="11"/>
        <v>0</v>
      </c>
      <c r="BL19" s="1127">
        <v>0</v>
      </c>
      <c r="BM19" s="1127">
        <v>0</v>
      </c>
      <c r="BN19" s="1127">
        <v>0</v>
      </c>
      <c r="BO19" s="1127">
        <v>0</v>
      </c>
      <c r="BP19" s="327">
        <f t="shared" si="12"/>
        <v>0</v>
      </c>
      <c r="BQ19" s="1127">
        <v>0</v>
      </c>
      <c r="BR19" s="1127">
        <v>141</v>
      </c>
      <c r="BS19" s="1127">
        <v>0</v>
      </c>
      <c r="BT19" s="1127">
        <v>0</v>
      </c>
      <c r="BU19" s="327">
        <f t="shared" si="13"/>
        <v>0</v>
      </c>
      <c r="BV19" s="1127">
        <v>0</v>
      </c>
      <c r="BW19" s="1127">
        <v>265</v>
      </c>
      <c r="BX19" s="1127">
        <v>0</v>
      </c>
      <c r="BY19" s="1127">
        <v>2161</v>
      </c>
      <c r="BZ19" s="327">
        <f t="shared" si="14"/>
        <v>2161</v>
      </c>
      <c r="CA19" s="1127">
        <v>2507</v>
      </c>
      <c r="CB19" s="1127">
        <v>1259</v>
      </c>
      <c r="CC19" s="1127">
        <v>1583</v>
      </c>
      <c r="CD19" s="1127">
        <v>1829</v>
      </c>
      <c r="CE19" s="327">
        <f t="shared" si="15"/>
        <v>1829</v>
      </c>
      <c r="CF19" s="1127">
        <v>1545</v>
      </c>
      <c r="CG19" s="1127">
        <v>1127</v>
      </c>
      <c r="CH19" s="1127">
        <v>714</v>
      </c>
      <c r="CI19" s="1127">
        <v>3621</v>
      </c>
      <c r="CJ19" s="327">
        <f t="shared" si="16"/>
        <v>3621</v>
      </c>
      <c r="CK19" s="1127">
        <v>3920</v>
      </c>
      <c r="CL19" s="1127">
        <v>3713</v>
      </c>
      <c r="CM19" s="1127">
        <v>3436</v>
      </c>
      <c r="CN19" s="1127">
        <v>2611</v>
      </c>
      <c r="CO19" s="327">
        <f t="shared" si="17"/>
        <v>2611</v>
      </c>
      <c r="CP19" s="1127">
        <v>1881</v>
      </c>
      <c r="CQ19" s="1127">
        <v>1656</v>
      </c>
      <c r="CR19" s="1127">
        <v>1417</v>
      </c>
      <c r="CS19" s="1127">
        <v>1389</v>
      </c>
      <c r="CT19" s="327">
        <f t="shared" si="18"/>
        <v>1389</v>
      </c>
      <c r="CU19" s="1127">
        <v>1587</v>
      </c>
      <c r="CV19" s="1127">
        <v>1200</v>
      </c>
      <c r="CW19" s="1127">
        <v>1367</v>
      </c>
      <c r="CX19" s="1127">
        <v>949</v>
      </c>
      <c r="CY19" s="327">
        <f t="shared" si="19"/>
        <v>949</v>
      </c>
      <c r="CZ19" s="1127">
        <v>1041</v>
      </c>
      <c r="DA19" s="1127">
        <v>1109</v>
      </c>
      <c r="DB19" s="1127">
        <v>956</v>
      </c>
      <c r="DC19" s="1127">
        <v>279</v>
      </c>
      <c r="DD19" s="327">
        <f t="shared" si="20"/>
        <v>279</v>
      </c>
      <c r="DE19" s="1127">
        <v>0</v>
      </c>
      <c r="DF19" s="1127">
        <v>0</v>
      </c>
      <c r="DG19" s="1127">
        <v>0</v>
      </c>
      <c r="DH19" s="242">
        <f>+DG19</f>
        <v>0</v>
      </c>
      <c r="DI19" s="327">
        <f t="shared" si="21"/>
        <v>0</v>
      </c>
      <c r="DJ19" s="1127">
        <v>0</v>
      </c>
      <c r="DK19" s="1127">
        <v>0</v>
      </c>
      <c r="DL19" s="1127">
        <v>0</v>
      </c>
      <c r="DM19" s="1127">
        <v>0</v>
      </c>
      <c r="DN19" s="327">
        <f t="shared" si="22"/>
        <v>0</v>
      </c>
      <c r="DO19" s="1127">
        <v>0</v>
      </c>
      <c r="DP19" s="1127">
        <v>0</v>
      </c>
      <c r="DQ19" s="1127">
        <v>0</v>
      </c>
      <c r="DR19" s="1127">
        <v>0</v>
      </c>
      <c r="DS19" s="327">
        <f t="shared" si="23"/>
        <v>0</v>
      </c>
      <c r="DT19" s="1127">
        <v>0</v>
      </c>
      <c r="DU19" s="1127">
        <v>0</v>
      </c>
      <c r="DV19" s="1127">
        <v>0</v>
      </c>
      <c r="DW19" s="1127">
        <v>0</v>
      </c>
      <c r="DX19" s="327">
        <f t="shared" si="24"/>
        <v>0</v>
      </c>
      <c r="DY19" s="1127">
        <v>0</v>
      </c>
      <c r="DZ19" s="1127">
        <v>0</v>
      </c>
      <c r="EA19" s="1127">
        <v>0</v>
      </c>
      <c r="EB19" s="1127">
        <v>0</v>
      </c>
      <c r="EC19" s="327">
        <f t="shared" si="25"/>
        <v>0</v>
      </c>
      <c r="ED19" s="1127">
        <v>0</v>
      </c>
      <c r="EE19" s="1127">
        <v>0</v>
      </c>
      <c r="EF19" s="1127">
        <v>0</v>
      </c>
      <c r="EG19" s="1127">
        <v>0</v>
      </c>
      <c r="EH19" s="327">
        <f t="shared" si="26"/>
        <v>0</v>
      </c>
      <c r="EI19" s="2769">
        <v>0</v>
      </c>
      <c r="EJ19" s="2769">
        <v>0</v>
      </c>
      <c r="EK19" s="2769">
        <v>0</v>
      </c>
      <c r="EL19" s="2769">
        <v>0</v>
      </c>
      <c r="EM19" s="2770">
        <f t="shared" si="27"/>
        <v>0</v>
      </c>
      <c r="EN19" s="2769">
        <v>0</v>
      </c>
      <c r="EO19" s="2769">
        <v>0</v>
      </c>
      <c r="EP19" s="2769">
        <v>0</v>
      </c>
      <c r="EQ19" s="2769">
        <v>0</v>
      </c>
      <c r="ER19" s="2770">
        <f t="shared" si="28"/>
        <v>0</v>
      </c>
      <c r="ES19" s="2769">
        <v>0</v>
      </c>
      <c r="ET19" s="2769">
        <v>0</v>
      </c>
      <c r="EU19" s="2769">
        <v>0</v>
      </c>
      <c r="EV19" s="242">
        <f>+EU19</f>
        <v>0</v>
      </c>
      <c r="EW19" s="327">
        <f t="shared" si="29"/>
        <v>0</v>
      </c>
      <c r="EX19" s="242">
        <f>+EV19</f>
        <v>0</v>
      </c>
      <c r="EY19" s="242">
        <f>+EX19</f>
        <v>0</v>
      </c>
      <c r="EZ19" s="242">
        <f>+EY19</f>
        <v>0</v>
      </c>
      <c r="FA19" s="242">
        <f>+EZ19</f>
        <v>0</v>
      </c>
      <c r="FB19" s="327">
        <f t="shared" si="30"/>
        <v>0</v>
      </c>
      <c r="FC19" s="242">
        <f>+FA19</f>
        <v>0</v>
      </c>
      <c r="FD19" s="242">
        <f>+FC19</f>
        <v>0</v>
      </c>
      <c r="FE19" s="242">
        <f>+FD19</f>
        <v>0</v>
      </c>
      <c r="FF19" s="242">
        <f>+FE19</f>
        <v>0</v>
      </c>
      <c r="FG19" s="327">
        <f t="shared" si="31"/>
        <v>0</v>
      </c>
      <c r="FH19" s="242">
        <f>+FF19</f>
        <v>0</v>
      </c>
      <c r="FI19" s="242">
        <f>+FH19</f>
        <v>0</v>
      </c>
      <c r="FJ19" s="242">
        <f>+FI19</f>
        <v>0</v>
      </c>
      <c r="FK19" s="242">
        <f>+FJ19</f>
        <v>0</v>
      </c>
      <c r="FL19" s="327">
        <f t="shared" si="32"/>
        <v>0</v>
      </c>
      <c r="FM19" s="481"/>
      <c r="FN19" s="484"/>
      <c r="FO19"/>
      <c r="FP19"/>
      <c r="FQ19"/>
      <c r="FR19"/>
      <c r="FS19"/>
      <c r="FT19"/>
      <c r="FU19" s="261"/>
      <c r="FV19" s="261"/>
      <c r="FW19" s="261"/>
      <c r="FX19" s="261"/>
    </row>
    <row r="20" spans="1:180" s="264" customFormat="1" ht="11.25" customHeight="1">
      <c r="A20" s="264" t="s">
        <v>517</v>
      </c>
      <c r="D20" s="242"/>
      <c r="E20" s="1127">
        <v>0</v>
      </c>
      <c r="F20" s="1127">
        <v>0</v>
      </c>
      <c r="G20" s="1127">
        <v>0</v>
      </c>
      <c r="H20" s="327">
        <f t="shared" si="0"/>
        <v>0</v>
      </c>
      <c r="I20" s="1127">
        <v>0</v>
      </c>
      <c r="J20" s="1127">
        <v>0</v>
      </c>
      <c r="K20" s="1127">
        <v>0</v>
      </c>
      <c r="L20" s="1127">
        <v>0</v>
      </c>
      <c r="M20" s="327">
        <f t="shared" si="1"/>
        <v>0</v>
      </c>
      <c r="N20" s="1127">
        <v>0</v>
      </c>
      <c r="O20" s="1127">
        <v>0</v>
      </c>
      <c r="P20" s="1127">
        <v>0</v>
      </c>
      <c r="Q20" s="1127">
        <v>85.49</v>
      </c>
      <c r="R20" s="327">
        <f t="shared" si="2"/>
        <v>85.49</v>
      </c>
      <c r="S20" s="1127">
        <v>81.3</v>
      </c>
      <c r="T20" s="1127">
        <v>81.400000000000006</v>
      </c>
      <c r="U20" s="1127">
        <v>78.2</v>
      </c>
      <c r="V20" s="1127">
        <v>103.569</v>
      </c>
      <c r="W20" s="327">
        <f t="shared" si="3"/>
        <v>103.569</v>
      </c>
      <c r="X20" s="1127">
        <v>102</v>
      </c>
      <c r="Y20" s="1127">
        <v>88</v>
      </c>
      <c r="Z20" s="1127">
        <v>90</v>
      </c>
      <c r="AA20" s="1127">
        <v>88</v>
      </c>
      <c r="AB20" s="327">
        <f t="shared" si="4"/>
        <v>88</v>
      </c>
      <c r="AC20" s="1127">
        <v>84</v>
      </c>
      <c r="AD20" s="1127">
        <v>91</v>
      </c>
      <c r="AE20" s="1127">
        <v>96</v>
      </c>
      <c r="AF20" s="1127">
        <v>121</v>
      </c>
      <c r="AG20" s="327">
        <f t="shared" si="5"/>
        <v>121</v>
      </c>
      <c r="AH20" s="1127">
        <v>147</v>
      </c>
      <c r="AI20" s="1127">
        <v>288</v>
      </c>
      <c r="AJ20" s="1127">
        <v>278</v>
      </c>
      <c r="AK20" s="1127">
        <v>398</v>
      </c>
      <c r="AL20" s="327">
        <f t="shared" si="6"/>
        <v>398</v>
      </c>
      <c r="AM20" s="1127">
        <v>478</v>
      </c>
      <c r="AN20" s="1127">
        <v>706</v>
      </c>
      <c r="AO20" s="1127">
        <v>613</v>
      </c>
      <c r="AP20" s="1127">
        <v>253</v>
      </c>
      <c r="AQ20" s="327">
        <f t="shared" si="7"/>
        <v>253</v>
      </c>
      <c r="AR20" s="1127">
        <v>308</v>
      </c>
      <c r="AS20" s="1127">
        <v>218</v>
      </c>
      <c r="AT20" s="1127">
        <v>199</v>
      </c>
      <c r="AU20" s="1127">
        <v>203</v>
      </c>
      <c r="AV20" s="327">
        <f t="shared" si="8"/>
        <v>203</v>
      </c>
      <c r="AW20" s="1127">
        <v>311</v>
      </c>
      <c r="AX20" s="1127">
        <v>250</v>
      </c>
      <c r="AY20" s="1127">
        <v>272</v>
      </c>
      <c r="AZ20" s="1127">
        <v>260</v>
      </c>
      <c r="BA20" s="327">
        <f t="shared" si="9"/>
        <v>260</v>
      </c>
      <c r="BB20" s="1127">
        <v>234</v>
      </c>
      <c r="BC20" s="1127">
        <v>483</v>
      </c>
      <c r="BD20" s="1127">
        <v>584</v>
      </c>
      <c r="BE20" s="1127">
        <v>940</v>
      </c>
      <c r="BF20" s="327">
        <f t="shared" si="10"/>
        <v>940</v>
      </c>
      <c r="BG20" s="1127">
        <v>1142</v>
      </c>
      <c r="BH20" s="1127">
        <v>1533</v>
      </c>
      <c r="BI20" s="1127">
        <v>2521</v>
      </c>
      <c r="BJ20" s="1127">
        <v>2213</v>
      </c>
      <c r="BK20" s="327">
        <f t="shared" si="11"/>
        <v>2213</v>
      </c>
      <c r="BL20" s="1127">
        <v>0</v>
      </c>
      <c r="BM20" s="1127">
        <v>0</v>
      </c>
      <c r="BN20" s="1127">
        <v>0</v>
      </c>
      <c r="BO20" s="1127">
        <v>1038</v>
      </c>
      <c r="BP20" s="327">
        <f t="shared" si="12"/>
        <v>1038</v>
      </c>
      <c r="BQ20" s="1127">
        <v>834</v>
      </c>
      <c r="BR20" s="1127">
        <v>951</v>
      </c>
      <c r="BS20" s="1127">
        <v>966</v>
      </c>
      <c r="BT20" s="1127">
        <v>942</v>
      </c>
      <c r="BU20" s="327">
        <f t="shared" si="13"/>
        <v>942</v>
      </c>
      <c r="BV20" s="1127">
        <v>926</v>
      </c>
      <c r="BW20" s="1127">
        <v>895</v>
      </c>
      <c r="BX20" s="1127">
        <v>1193</v>
      </c>
      <c r="BY20" s="1127">
        <v>1171</v>
      </c>
      <c r="BZ20" s="327">
        <f t="shared" si="14"/>
        <v>1171</v>
      </c>
      <c r="CA20" s="1127">
        <v>1203</v>
      </c>
      <c r="CB20" s="1127">
        <v>1744</v>
      </c>
      <c r="CC20" s="1127">
        <v>1792</v>
      </c>
      <c r="CD20" s="1127">
        <v>1774</v>
      </c>
      <c r="CE20" s="327">
        <f t="shared" si="15"/>
        <v>1774</v>
      </c>
      <c r="CF20" s="1127">
        <v>1676</v>
      </c>
      <c r="CG20" s="1127">
        <v>1320</v>
      </c>
      <c r="CH20" s="1127">
        <v>1296</v>
      </c>
      <c r="CI20" s="1127">
        <v>1299</v>
      </c>
      <c r="CJ20" s="327">
        <f t="shared" si="16"/>
        <v>1299</v>
      </c>
      <c r="CK20" s="1127">
        <v>1292</v>
      </c>
      <c r="CL20" s="1127">
        <v>1284</v>
      </c>
      <c r="CM20" s="1127">
        <v>1289</v>
      </c>
      <c r="CN20" s="1127">
        <v>1295</v>
      </c>
      <c r="CO20" s="327">
        <f t="shared" si="17"/>
        <v>1295</v>
      </c>
      <c r="CP20" s="1127">
        <v>1287</v>
      </c>
      <c r="CQ20" s="1127">
        <v>1284</v>
      </c>
      <c r="CR20" s="1127">
        <v>1228</v>
      </c>
      <c r="CS20" s="1127">
        <v>1509</v>
      </c>
      <c r="CT20" s="327">
        <f t="shared" si="18"/>
        <v>1509</v>
      </c>
      <c r="CU20" s="1127">
        <v>2014</v>
      </c>
      <c r="CV20" s="1127">
        <v>1960</v>
      </c>
      <c r="CW20" s="1127">
        <v>1731</v>
      </c>
      <c r="CX20" s="1127">
        <v>1691</v>
      </c>
      <c r="CY20" s="327">
        <f t="shared" si="19"/>
        <v>1691</v>
      </c>
      <c r="CZ20" s="1127">
        <v>1751</v>
      </c>
      <c r="DA20" s="1127">
        <v>1724</v>
      </c>
      <c r="DB20" s="1127">
        <v>1639</v>
      </c>
      <c r="DC20" s="1127">
        <v>1599</v>
      </c>
      <c r="DD20" s="327">
        <f t="shared" si="20"/>
        <v>1599</v>
      </c>
      <c r="DE20" s="1127">
        <v>1628</v>
      </c>
      <c r="DF20" s="1127">
        <v>1517</v>
      </c>
      <c r="DG20" s="1127">
        <v>1478</v>
      </c>
      <c r="DH20" s="1127">
        <v>1501</v>
      </c>
      <c r="DI20" s="327">
        <f t="shared" si="21"/>
        <v>1501</v>
      </c>
      <c r="DJ20" s="1127">
        <v>1429</v>
      </c>
      <c r="DK20" s="1127">
        <v>1307</v>
      </c>
      <c r="DL20" s="1127">
        <v>1353</v>
      </c>
      <c r="DM20" s="1127">
        <v>1434</v>
      </c>
      <c r="DN20" s="327">
        <f t="shared" si="22"/>
        <v>1434</v>
      </c>
      <c r="DO20" s="1127">
        <v>1972</v>
      </c>
      <c r="DP20" s="1127">
        <v>1919</v>
      </c>
      <c r="DQ20" s="242">
        <f>1403</f>
        <v>1403</v>
      </c>
      <c r="DR20" s="1127">
        <v>1520</v>
      </c>
      <c r="DS20" s="327">
        <f t="shared" si="23"/>
        <v>1520</v>
      </c>
      <c r="DT20" s="1127">
        <v>1569</v>
      </c>
      <c r="DU20" s="1127">
        <v>1636</v>
      </c>
      <c r="DV20" s="1127">
        <v>2262</v>
      </c>
      <c r="DW20" s="1127">
        <v>2392</v>
      </c>
      <c r="DX20" s="327">
        <f t="shared" si="24"/>
        <v>2392</v>
      </c>
      <c r="DY20" s="1127">
        <v>2480</v>
      </c>
      <c r="DZ20" s="1127">
        <v>2874</v>
      </c>
      <c r="EA20" s="1127">
        <v>2898</v>
      </c>
      <c r="EB20" s="1127">
        <v>3422</v>
      </c>
      <c r="EC20" s="327">
        <f t="shared" si="25"/>
        <v>3422</v>
      </c>
      <c r="ED20" s="1127">
        <v>3271</v>
      </c>
      <c r="EE20" s="1127">
        <v>3060</v>
      </c>
      <c r="EF20" s="1127">
        <v>3200</v>
      </c>
      <c r="EG20" s="1127">
        <v>2953</v>
      </c>
      <c r="EH20" s="327">
        <f t="shared" si="26"/>
        <v>2953</v>
      </c>
      <c r="EI20" s="2769">
        <v>2869</v>
      </c>
      <c r="EJ20" s="2769">
        <v>2928</v>
      </c>
      <c r="EK20" s="2769">
        <v>2895</v>
      </c>
      <c r="EL20" s="2769">
        <f>5119+5198</f>
        <v>10317</v>
      </c>
      <c r="EM20" s="2770">
        <f t="shared" si="27"/>
        <v>10317</v>
      </c>
      <c r="EN20" s="2769">
        <f>5216+5227</f>
        <v>10443</v>
      </c>
      <c r="EO20" s="2769">
        <f>6371+5592</f>
        <v>11963</v>
      </c>
      <c r="EP20" s="2769">
        <f>6714+5767</f>
        <v>12481</v>
      </c>
      <c r="EQ20" s="2769">
        <f>6555+6076</f>
        <v>12631</v>
      </c>
      <c r="ER20" s="2770">
        <f t="shared" si="28"/>
        <v>12631</v>
      </c>
      <c r="ES20" s="2769">
        <f>6083+6844</f>
        <v>12927</v>
      </c>
      <c r="ET20" s="2769">
        <f>6749+6967</f>
        <v>13716</v>
      </c>
      <c r="EU20" s="2769">
        <f>6859+7106</f>
        <v>13965</v>
      </c>
      <c r="EV20" s="242">
        <f>+IS!EV34*4*BS!EV50/100</f>
        <v>13585.800571923826</v>
      </c>
      <c r="EW20" s="327">
        <f t="shared" si="29"/>
        <v>13585.800571923826</v>
      </c>
      <c r="EX20" s="242">
        <f>+IS!EX34*4*BS!EX50/100</f>
        <v>14129.196381572285</v>
      </c>
      <c r="EY20" s="242">
        <f>+IS!EY34*4*BS!EY50/100</f>
        <v>14918.839260038119</v>
      </c>
      <c r="EZ20" s="242">
        <f>+IS!EZ34*4*BS!EZ50/100</f>
        <v>15305.289549168405</v>
      </c>
      <c r="FA20" s="242">
        <f>+IS!FA34*4*BS!FA50/100</f>
        <v>14897.080937814384</v>
      </c>
      <c r="FB20" s="327">
        <f t="shared" si="30"/>
        <v>14897.080937814384</v>
      </c>
      <c r="FC20" s="242">
        <f>+IS!FC34*4*BS!FC50/100</f>
        <v>15592.774344663785</v>
      </c>
      <c r="FD20" s="242">
        <f>+IS!FD34*4*BS!FD50/100</f>
        <v>16209.504939018185</v>
      </c>
      <c r="FE20" s="242">
        <f>+IS!FE34*4*BS!FE50/100</f>
        <v>16969.929502140698</v>
      </c>
      <c r="FF20" s="242">
        <f>+IS!FF34*4*BS!FF50/100</f>
        <v>16509.580671259027</v>
      </c>
      <c r="FG20" s="327">
        <f t="shared" si="31"/>
        <v>16509.580671259027</v>
      </c>
      <c r="FH20" s="242">
        <f>+IS!FH34*4*BS!FH50/100</f>
        <v>17165.026642297016</v>
      </c>
      <c r="FI20" s="242">
        <f>+IS!FI34*4*BS!FI50/100</f>
        <v>17479.968299112035</v>
      </c>
      <c r="FJ20" s="242">
        <f>+IS!FJ34*4*BS!FJ50/100</f>
        <v>18649.137341186099</v>
      </c>
      <c r="FK20" s="242">
        <f>+IS!FK34*4*BS!FK50/100</f>
        <v>18106.17154948516</v>
      </c>
      <c r="FL20" s="327">
        <f t="shared" si="32"/>
        <v>18106.17154948516</v>
      </c>
      <c r="FM20" s="481"/>
      <c r="FN20" s="484"/>
      <c r="FO20"/>
      <c r="FP20"/>
      <c r="FQ20"/>
      <c r="FR20"/>
      <c r="FS20"/>
      <c r="FT20"/>
      <c r="FU20" s="261"/>
      <c r="FV20" s="261"/>
      <c r="FW20" s="261"/>
      <c r="FX20" s="261"/>
    </row>
    <row r="21" spans="1:180" s="264" customFormat="1" ht="11.25" customHeight="1">
      <c r="A21" s="415" t="s">
        <v>518</v>
      </c>
      <c r="D21" s="486">
        <f>+SUM(D14:D20)</f>
        <v>0</v>
      </c>
      <c r="E21" s="486">
        <f>+SUM(E14:E20)</f>
        <v>0</v>
      </c>
      <c r="F21" s="486">
        <f>+SUM(F14:F20)</f>
        <v>0</v>
      </c>
      <c r="G21" s="486">
        <f>+SUM(G14:G20)</f>
        <v>0</v>
      </c>
      <c r="H21" s="487">
        <f t="shared" si="0"/>
        <v>0</v>
      </c>
      <c r="I21" s="486">
        <f>+SUM(I14:I20)</f>
        <v>0</v>
      </c>
      <c r="J21" s="486">
        <f>+SUM(J14:J20)</f>
        <v>0</v>
      </c>
      <c r="K21" s="486">
        <f>+SUM(K14:K20)</f>
        <v>0</v>
      </c>
      <c r="L21" s="486">
        <f>+SUM(L14:L20)</f>
        <v>0</v>
      </c>
      <c r="M21" s="487">
        <f t="shared" si="1"/>
        <v>0</v>
      </c>
      <c r="N21" s="486">
        <f>+SUM(N14:N20)</f>
        <v>0</v>
      </c>
      <c r="O21" s="486">
        <f>+SUM(O14:O20)</f>
        <v>0</v>
      </c>
      <c r="P21" s="486">
        <f>+SUM(P14:P20)</f>
        <v>0</v>
      </c>
      <c r="Q21" s="486">
        <f>+SUM(Q14:Q20)</f>
        <v>1644.184</v>
      </c>
      <c r="R21" s="487">
        <f t="shared" si="2"/>
        <v>1644.184</v>
      </c>
      <c r="S21" s="486">
        <f>+SUM(S14:S20)</f>
        <v>1870.2</v>
      </c>
      <c r="T21" s="486">
        <f>+SUM(T14:T20)</f>
        <v>2128.4</v>
      </c>
      <c r="U21" s="486">
        <f>+SUM(U14:U20)</f>
        <v>2340</v>
      </c>
      <c r="V21" s="486">
        <f>+SUM(V14:V20)</f>
        <v>2639.9029999999998</v>
      </c>
      <c r="W21" s="487">
        <f t="shared" si="3"/>
        <v>2639.9029999999998</v>
      </c>
      <c r="X21" s="486">
        <f>+SUM(X14:X20)</f>
        <v>2849</v>
      </c>
      <c r="Y21" s="486">
        <f>+SUM(Y14:Y20)</f>
        <v>3226</v>
      </c>
      <c r="Z21" s="486">
        <f>+SUM(Z14:Z20)</f>
        <v>3560</v>
      </c>
      <c r="AA21" s="486">
        <f>+SUM(AA14:AA20)</f>
        <v>3805</v>
      </c>
      <c r="AB21" s="487">
        <f t="shared" si="4"/>
        <v>3805</v>
      </c>
      <c r="AC21" s="486">
        <f>+SUM(AC14:AC20)</f>
        <v>4048</v>
      </c>
      <c r="AD21" s="486">
        <f>+SUM(AD14:AD20)</f>
        <v>4486</v>
      </c>
      <c r="AE21" s="486">
        <f>+SUM(AE14:AE20)</f>
        <v>4926</v>
      </c>
      <c r="AF21" s="486">
        <f>+SUM(AF14:AF20)</f>
        <v>5363</v>
      </c>
      <c r="AG21" s="487">
        <f t="shared" si="5"/>
        <v>5363</v>
      </c>
      <c r="AH21" s="486">
        <f>+SUM(AH14:AH20)</f>
        <v>5637</v>
      </c>
      <c r="AI21" s="486">
        <f>+SUM(AI14:AI20)</f>
        <v>5961</v>
      </c>
      <c r="AJ21" s="486">
        <f>+SUM(AJ14:AJ20)</f>
        <v>6592</v>
      </c>
      <c r="AK21" s="486">
        <f>+SUM(AK14:AK20)</f>
        <v>7210</v>
      </c>
      <c r="AL21" s="487">
        <f t="shared" si="6"/>
        <v>7210</v>
      </c>
      <c r="AM21" s="486">
        <f>+SUM(AM14:AM20)</f>
        <v>8160</v>
      </c>
      <c r="AN21" s="486">
        <f>+SUM(AN14:AN20)</f>
        <v>9106</v>
      </c>
      <c r="AO21" s="486">
        <f>+SUM(AO14:AO20)</f>
        <v>9590</v>
      </c>
      <c r="AP21" s="486">
        <f>+SUM(AP14:AP20)</f>
        <v>10093</v>
      </c>
      <c r="AQ21" s="487">
        <f t="shared" si="7"/>
        <v>10093</v>
      </c>
      <c r="AR21" s="486">
        <f>+SUM(AR14:AR20)</f>
        <v>10740</v>
      </c>
      <c r="AS21" s="486">
        <f>+SUM(AS14:AS20)</f>
        <v>12786</v>
      </c>
      <c r="AT21" s="486">
        <f>+SUM(AT14:AT20)</f>
        <v>12613</v>
      </c>
      <c r="AU21" s="486">
        <f>+SUM(AU14:AU20)</f>
        <v>14387</v>
      </c>
      <c r="AV21" s="487">
        <f t="shared" si="8"/>
        <v>14387</v>
      </c>
      <c r="AW21" s="486">
        <f>+SUM(AW14:AW20)</f>
        <v>15366</v>
      </c>
      <c r="AX21" s="486">
        <f>+SUM(AX14:AX20)</f>
        <v>16840</v>
      </c>
      <c r="AY21" s="486">
        <f>+SUM(AY14:AY20)</f>
        <v>19545</v>
      </c>
      <c r="AZ21" s="486">
        <f>+SUM(AZ14:AZ20)</f>
        <v>22357</v>
      </c>
      <c r="BA21" s="487">
        <f t="shared" si="9"/>
        <v>22357</v>
      </c>
      <c r="BB21" s="486">
        <f>+SUM(BB14:BB20)</f>
        <v>25569</v>
      </c>
      <c r="BC21" s="486">
        <f>+SUM(BC14:BC20)</f>
        <v>30049</v>
      </c>
      <c r="BD21" s="486">
        <f>+SUM(BD14:BD20)</f>
        <v>33561</v>
      </c>
      <c r="BE21" s="486">
        <f>+SUM(BE14:BE20)</f>
        <v>38625</v>
      </c>
      <c r="BF21" s="487">
        <f t="shared" si="10"/>
        <v>38625</v>
      </c>
      <c r="BG21" s="486">
        <f>+SUM(BG14:BG20)</f>
        <v>39672</v>
      </c>
      <c r="BH21" s="486">
        <f>+SUM(BH14:BH20)</f>
        <v>45093</v>
      </c>
      <c r="BI21" s="486">
        <f>+SUM(BI14:BI20)</f>
        <v>50895</v>
      </c>
      <c r="BJ21" s="486">
        <f>+SUM(BJ14:BJ20)</f>
        <v>52150</v>
      </c>
      <c r="BK21" s="487">
        <f t="shared" si="11"/>
        <v>52150</v>
      </c>
      <c r="BL21" s="486">
        <f>+SUM(BL14:BL20)</f>
        <v>56089</v>
      </c>
      <c r="BM21" s="486">
        <f>+SUM(BM14:BM20)</f>
        <v>57691</v>
      </c>
      <c r="BN21" s="486">
        <f>+SUM(BN14:BN20)</f>
        <v>59605</v>
      </c>
      <c r="BO21" s="486">
        <f>+SUM(BO14:BO20)</f>
        <v>58830</v>
      </c>
      <c r="BP21" s="487">
        <f t="shared" si="12"/>
        <v>58830</v>
      </c>
      <c r="BQ21" s="486">
        <f>+SUM(BQ14:BQ20)</f>
        <v>61367</v>
      </c>
      <c r="BR21" s="486">
        <f>+SUM(BR14:BR20)</f>
        <v>65387</v>
      </c>
      <c r="BS21" s="486">
        <f>+SUM(BS14:BS20)</f>
        <v>68379</v>
      </c>
      <c r="BT21" s="486">
        <f>+SUM(BT14:BT20)</f>
        <v>67646</v>
      </c>
      <c r="BU21" s="487">
        <f t="shared" si="13"/>
        <v>67646</v>
      </c>
      <c r="BV21" s="486">
        <f>+SUM(BV14:BV20)</f>
        <v>70235</v>
      </c>
      <c r="BW21" s="486">
        <f>+SUM(BW14:BW20)</f>
        <v>72359</v>
      </c>
      <c r="BX21" s="486">
        <f>+SUM(BX14:BX20)</f>
        <v>74482</v>
      </c>
      <c r="BY21" s="486">
        <f>+SUM(BY14:BY20)</f>
        <v>81732</v>
      </c>
      <c r="BZ21" s="487">
        <f t="shared" si="14"/>
        <v>81732</v>
      </c>
      <c r="CA21" s="486">
        <f>+SUM(CA14:CA20)</f>
        <v>84281</v>
      </c>
      <c r="CB21" s="486">
        <f>+SUM(CB14:CB20)</f>
        <v>85937</v>
      </c>
      <c r="CC21" s="486">
        <f>+SUM(CC14:CC20)</f>
        <v>89767</v>
      </c>
      <c r="CD21" s="486">
        <f>+SUM(CD14:CD20)</f>
        <v>92389</v>
      </c>
      <c r="CE21" s="487">
        <f t="shared" si="15"/>
        <v>92389</v>
      </c>
      <c r="CF21" s="486">
        <f>+SUM(CF14:CF20)</f>
        <v>94268</v>
      </c>
      <c r="CG21" s="486">
        <f>+SUM(CG14:CG20)</f>
        <v>64941</v>
      </c>
      <c r="CH21" s="486">
        <f>+SUM(CH14:CH20)</f>
        <v>66275</v>
      </c>
      <c r="CI21" s="486">
        <f>+SUM(CI14:CI20)</f>
        <v>70815</v>
      </c>
      <c r="CJ21" s="487">
        <f t="shared" si="16"/>
        <v>70815</v>
      </c>
      <c r="CK21" s="486">
        <f>+SUM(CK14:CK20)</f>
        <v>71462</v>
      </c>
      <c r="CL21" s="486">
        <f>+SUM(CL14:CL20)</f>
        <v>67257</v>
      </c>
      <c r="CM21" s="486">
        <f>+SUM(CM14:CM20)</f>
        <v>66854</v>
      </c>
      <c r="CN21" s="486">
        <f>+SUM(CN14:CN20)</f>
        <v>69597</v>
      </c>
      <c r="CO21" s="487">
        <f t="shared" si="17"/>
        <v>69597</v>
      </c>
      <c r="CP21" s="486">
        <f>+SUM(CP14:CP20)</f>
        <v>65354</v>
      </c>
      <c r="CQ21" s="486">
        <f>+SUM(CQ14:CQ20)</f>
        <v>66371</v>
      </c>
      <c r="CR21" s="486">
        <f>+SUM(CR14:CR20)</f>
        <v>63891</v>
      </c>
      <c r="CS21" s="486">
        <f>+SUM(CS14:CS20)</f>
        <v>63171</v>
      </c>
      <c r="CT21" s="487">
        <f t="shared" si="18"/>
        <v>63171</v>
      </c>
      <c r="CU21" s="486">
        <f>+SUM(CU14:CU20)</f>
        <v>65645</v>
      </c>
      <c r="CV21" s="486">
        <f>+SUM(CV14:CV20)</f>
        <v>67339</v>
      </c>
      <c r="CW21" s="486">
        <f>+SUM(CW14:CW20)</f>
        <v>70747</v>
      </c>
      <c r="CX21" s="486">
        <f>+SUM(CX14:CX20)</f>
        <v>72793</v>
      </c>
      <c r="CY21" s="487">
        <f t="shared" si="19"/>
        <v>72793</v>
      </c>
      <c r="CZ21" s="486">
        <f>+SUM(CZ14:CZ20)</f>
        <v>65117</v>
      </c>
      <c r="DA21" s="486">
        <f>+SUM(DA14:DA20)</f>
        <v>65786</v>
      </c>
      <c r="DB21" s="486">
        <f>+SUM(DB14:DB20)</f>
        <v>68853</v>
      </c>
      <c r="DC21" s="486">
        <f>+SUM(DC14:DC20)</f>
        <v>77888</v>
      </c>
      <c r="DD21" s="487">
        <f t="shared" si="20"/>
        <v>77888</v>
      </c>
      <c r="DE21" s="486">
        <f>+SUM(DE14:DE20)</f>
        <v>81612</v>
      </c>
      <c r="DF21" s="486">
        <f>+SUM(DF14:DF20)</f>
        <v>82096</v>
      </c>
      <c r="DG21" s="486">
        <f>+SUM(DG14:DG20)</f>
        <v>84910</v>
      </c>
      <c r="DH21" s="486">
        <f>+SUM(DH14:DH20)</f>
        <v>86113</v>
      </c>
      <c r="DI21" s="487">
        <f t="shared" si="21"/>
        <v>86113</v>
      </c>
      <c r="DJ21" s="486">
        <f>+SUM(DJ14:DJ20)</f>
        <v>91540</v>
      </c>
      <c r="DK21" s="486">
        <f>+SUM(DK14:DK20)</f>
        <v>92306</v>
      </c>
      <c r="DL21" s="486">
        <f>+SUM(DL14:DL20)</f>
        <v>99727</v>
      </c>
      <c r="DM21" s="486">
        <f>+SUM(DM14:DM20)</f>
        <v>108704</v>
      </c>
      <c r="DN21" s="487">
        <f t="shared" si="22"/>
        <v>108704</v>
      </c>
      <c r="DO21" s="486">
        <f>+SUM(DO14:DO20)</f>
        <v>107415</v>
      </c>
      <c r="DP21" s="486">
        <f>+SUM(DP14:DP20)</f>
        <v>112243</v>
      </c>
      <c r="DQ21" s="486">
        <f>+SUM(DQ14:DQ20)</f>
        <v>118010</v>
      </c>
      <c r="DR21" s="486">
        <f>+SUM(DR14:DR20)</f>
        <v>121271</v>
      </c>
      <c r="DS21" s="487">
        <f t="shared" si="23"/>
        <v>121271</v>
      </c>
      <c r="DT21" s="486">
        <f>+SUM(DT14:DT20)</f>
        <v>121876</v>
      </c>
      <c r="DU21" s="486">
        <f>+SUM(DU14:DU20)</f>
        <v>128683</v>
      </c>
      <c r="DV21" s="486">
        <f>+SUM(DV14:DV20)</f>
        <v>134105</v>
      </c>
      <c r="DW21" s="486">
        <f>+SUM(DW14:DW20)</f>
        <v>142431</v>
      </c>
      <c r="DX21" s="487">
        <f t="shared" si="24"/>
        <v>142431</v>
      </c>
      <c r="DY21" s="486">
        <f>+SUM(DY14:DY20)</f>
        <v>142348</v>
      </c>
      <c r="DZ21" s="486">
        <f>+SUM(DZ14:DZ20)</f>
        <v>153543</v>
      </c>
      <c r="EA21" s="486">
        <f>+SUM(EA14:EA20)</f>
        <v>156119</v>
      </c>
      <c r="EB21" s="486">
        <f>+SUM(EB14:EB20)</f>
        <v>172384</v>
      </c>
      <c r="EC21" s="487">
        <f t="shared" si="25"/>
        <v>172384</v>
      </c>
      <c r="ED21" s="486">
        <f>+SUM(ED14:ED20)</f>
        <v>169656</v>
      </c>
      <c r="EE21" s="486">
        <f>+SUM(EE14:EE20)</f>
        <v>174848</v>
      </c>
      <c r="EF21" s="486">
        <f>+SUM(EF14:EF20)</f>
        <v>176683</v>
      </c>
      <c r="EG21" s="486">
        <f>+SUM(EG14:EG20)</f>
        <v>176223</v>
      </c>
      <c r="EH21" s="487">
        <f t="shared" si="26"/>
        <v>176223</v>
      </c>
      <c r="EI21" s="2771">
        <f>+SUM(EI14:EI20)</f>
        <v>172896</v>
      </c>
      <c r="EJ21" s="2771">
        <f>+SUM(EJ14:EJ20)</f>
        <v>180098</v>
      </c>
      <c r="EK21" s="2771">
        <f>+SUM(EK14:EK20)</f>
        <v>181869</v>
      </c>
      <c r="EL21" s="2771">
        <f>+SUM(EL14:EL20)</f>
        <v>202897</v>
      </c>
      <c r="EM21" s="2772">
        <f t="shared" si="27"/>
        <v>202897</v>
      </c>
      <c r="EN21" s="2771">
        <f>+SUM(EN14:EN20)</f>
        <v>222008</v>
      </c>
      <c r="EO21" s="2771">
        <f>+SUM(EO14:EO20)</f>
        <v>235298</v>
      </c>
      <c r="EP21" s="2771">
        <f>+SUM(EP14:EP20)</f>
        <v>236016</v>
      </c>
      <c r="EQ21" s="2771">
        <f>+SUM(EQ14:EQ20)</f>
        <v>250312</v>
      </c>
      <c r="ER21" s="2772">
        <f t="shared" si="28"/>
        <v>250312</v>
      </c>
      <c r="ES21" s="2771">
        <f>+SUM(ES14:ES20)</f>
        <v>249097</v>
      </c>
      <c r="ET21" s="2771">
        <f>+SUM(ET14:ET20)</f>
        <v>256003</v>
      </c>
      <c r="EU21" s="2771">
        <f>+SUM(EU14:EU20)</f>
        <v>245497</v>
      </c>
      <c r="EV21" s="486">
        <f>+SUM(EV14:EV20)</f>
        <v>258469.51383997593</v>
      </c>
      <c r="EW21" s="487">
        <f t="shared" si="29"/>
        <v>258469.51383997593</v>
      </c>
      <c r="EX21" s="486">
        <f>+SUM(EX14:EX20)</f>
        <v>253815.55095240197</v>
      </c>
      <c r="EY21" s="486">
        <f>+SUM(EY14:EY20)</f>
        <v>250113.86900024762</v>
      </c>
      <c r="EZ21" s="486">
        <f>+SUM(EZ14:EZ20)</f>
        <v>249979.58821169744</v>
      </c>
      <c r="FA21" s="486">
        <f>+SUM(FA14:FA20)</f>
        <v>261564.18857910257</v>
      </c>
      <c r="FB21" s="487">
        <f t="shared" si="30"/>
        <v>261564.18857910257</v>
      </c>
      <c r="FC21" s="486">
        <f>+SUM(FC14:FC20)</f>
        <v>253838.7446801496</v>
      </c>
      <c r="FD21" s="486">
        <f>+SUM(FD14:FD20)</f>
        <v>251557.25692565538</v>
      </c>
      <c r="FE21" s="486">
        <f>+SUM(FE14:FE20)</f>
        <v>249454.7788892157</v>
      </c>
      <c r="FF21" s="486">
        <f>+SUM(FF14:FF20)</f>
        <v>263808.98374733643</v>
      </c>
      <c r="FG21" s="487">
        <f t="shared" si="31"/>
        <v>263808.98374733643</v>
      </c>
      <c r="FH21" s="486">
        <f>+SUM(FH14:FH20)</f>
        <v>257614.23044630134</v>
      </c>
      <c r="FI21" s="486">
        <f>+SUM(FI14:FI20)</f>
        <v>250334.41882000264</v>
      </c>
      <c r="FJ21" s="486">
        <f>+SUM(FJ14:FJ20)</f>
        <v>252014.07364300528</v>
      </c>
      <c r="FK21" s="486">
        <f>+SUM(FK14:FK20)</f>
        <v>268486.54990602465</v>
      </c>
      <c r="FL21" s="487">
        <f t="shared" si="32"/>
        <v>268486.54990602465</v>
      </c>
      <c r="FM21" s="481"/>
      <c r="FN21" s="488"/>
      <c r="FO21"/>
      <c r="FP21"/>
      <c r="FQ21"/>
      <c r="FR21"/>
      <c r="FS21"/>
      <c r="FT21"/>
      <c r="FU21" s="261"/>
      <c r="FV21" s="261"/>
      <c r="FW21" s="261"/>
      <c r="FX21" s="261"/>
    </row>
    <row r="22" spans="1:180" s="264" customFormat="1" ht="11.25" customHeight="1">
      <c r="A22" s="415" t="s">
        <v>519</v>
      </c>
      <c r="D22" s="242"/>
      <c r="E22" s="242"/>
      <c r="F22" s="242"/>
      <c r="G22" s="242"/>
      <c r="H22" s="327">
        <f t="shared" si="0"/>
        <v>0</v>
      </c>
      <c r="I22" s="242"/>
      <c r="J22" s="242"/>
      <c r="K22" s="242"/>
      <c r="L22" s="242"/>
      <c r="M22" s="327">
        <f t="shared" si="1"/>
        <v>0</v>
      </c>
      <c r="N22" s="242"/>
      <c r="O22" s="242"/>
      <c r="P22" s="242"/>
      <c r="Q22" s="242"/>
      <c r="R22" s="327">
        <f t="shared" si="2"/>
        <v>0</v>
      </c>
      <c r="S22" s="242"/>
      <c r="T22" s="242"/>
      <c r="U22" s="242"/>
      <c r="V22" s="242"/>
      <c r="W22" s="327">
        <f t="shared" si="3"/>
        <v>0</v>
      </c>
      <c r="X22" s="242"/>
      <c r="Y22" s="242"/>
      <c r="Z22" s="242"/>
      <c r="AA22" s="242"/>
      <c r="AB22" s="327">
        <f t="shared" si="4"/>
        <v>0</v>
      </c>
      <c r="AC22" s="242"/>
      <c r="AD22" s="242"/>
      <c r="AE22" s="242"/>
      <c r="AF22" s="242"/>
      <c r="AG22" s="327">
        <f t="shared" si="5"/>
        <v>0</v>
      </c>
      <c r="AH22" s="242"/>
      <c r="AI22" s="242"/>
      <c r="AJ22" s="242"/>
      <c r="AK22" s="242"/>
      <c r="AL22" s="327">
        <f t="shared" si="6"/>
        <v>0</v>
      </c>
      <c r="AM22" s="242"/>
      <c r="AN22" s="242"/>
      <c r="AO22" s="242"/>
      <c r="AP22" s="242"/>
      <c r="AQ22" s="327">
        <f t="shared" si="7"/>
        <v>0</v>
      </c>
      <c r="AR22" s="242"/>
      <c r="AS22" s="242"/>
      <c r="AT22" s="242"/>
      <c r="AU22" s="242"/>
      <c r="AV22" s="327">
        <f t="shared" si="8"/>
        <v>0</v>
      </c>
      <c r="AW22" s="242"/>
      <c r="AX22" s="242"/>
      <c r="AY22" s="242"/>
      <c r="AZ22" s="242"/>
      <c r="BA22" s="327">
        <f t="shared" si="9"/>
        <v>0</v>
      </c>
      <c r="BB22" s="242"/>
      <c r="BC22" s="242"/>
      <c r="BD22" s="242"/>
      <c r="BE22" s="242"/>
      <c r="BF22" s="327">
        <f t="shared" si="10"/>
        <v>0</v>
      </c>
      <c r="BG22" s="242"/>
      <c r="BH22" s="242"/>
      <c r="BI22" s="242"/>
      <c r="BJ22" s="242"/>
      <c r="BK22" s="327">
        <f t="shared" si="11"/>
        <v>0</v>
      </c>
      <c r="BL22" s="242"/>
      <c r="BM22" s="242"/>
      <c r="BN22" s="242"/>
      <c r="BO22" s="242"/>
      <c r="BP22" s="327">
        <f t="shared" si="12"/>
        <v>0</v>
      </c>
      <c r="BQ22" s="242"/>
      <c r="BR22" s="242"/>
      <c r="BS22" s="242"/>
      <c r="BT22" s="242"/>
      <c r="BU22" s="327">
        <f t="shared" si="13"/>
        <v>0</v>
      </c>
      <c r="BV22" s="242"/>
      <c r="BW22" s="242"/>
      <c r="BX22" s="242"/>
      <c r="BY22" s="242"/>
      <c r="BZ22" s="327">
        <f t="shared" si="14"/>
        <v>0</v>
      </c>
      <c r="CA22" s="242"/>
      <c r="CB22" s="242"/>
      <c r="CC22" s="242"/>
      <c r="CD22" s="242"/>
      <c r="CE22" s="327">
        <f t="shared" si="15"/>
        <v>0</v>
      </c>
      <c r="CF22" s="242"/>
      <c r="CG22" s="242"/>
      <c r="CH22" s="242"/>
      <c r="CI22" s="242"/>
      <c r="CJ22" s="327">
        <f t="shared" si="16"/>
        <v>0</v>
      </c>
      <c r="CK22" s="242"/>
      <c r="CL22" s="242"/>
      <c r="CM22" s="242"/>
      <c r="CN22" s="242"/>
      <c r="CO22" s="327"/>
      <c r="CP22" s="242"/>
      <c r="CQ22" s="242"/>
      <c r="CR22" s="242"/>
      <c r="CS22" s="242"/>
      <c r="CT22" s="327"/>
      <c r="CU22" s="242"/>
      <c r="CV22" s="242"/>
      <c r="CW22" s="242"/>
      <c r="CX22" s="242"/>
      <c r="CY22" s="327"/>
      <c r="CZ22" s="242"/>
      <c r="DA22" s="242"/>
      <c r="DB22" s="242"/>
      <c r="DC22" s="242"/>
      <c r="DD22" s="327"/>
      <c r="DE22" s="242"/>
      <c r="DF22" s="242"/>
      <c r="DG22" s="242"/>
      <c r="DH22" s="242"/>
      <c r="DI22" s="327"/>
      <c r="DJ22" s="242"/>
      <c r="DK22" s="242"/>
      <c r="DL22" s="242"/>
      <c r="DM22" s="242"/>
      <c r="DN22" s="327"/>
      <c r="DO22" s="242"/>
      <c r="DP22" s="242"/>
      <c r="DQ22" s="242"/>
      <c r="DR22" s="242"/>
      <c r="DS22" s="327"/>
      <c r="DT22" s="242"/>
      <c r="DU22" s="242"/>
      <c r="DV22" s="242"/>
      <c r="DW22" s="242"/>
      <c r="DX22" s="327"/>
      <c r="DY22" s="242"/>
      <c r="DZ22" s="242"/>
      <c r="EA22" s="242"/>
      <c r="EB22" s="242"/>
      <c r="EC22" s="327"/>
      <c r="ED22" s="242"/>
      <c r="EE22" s="242"/>
      <c r="EF22" s="242"/>
      <c r="EG22" s="242"/>
      <c r="EH22" s="327"/>
      <c r="EI22" s="2562"/>
      <c r="EJ22" s="2562"/>
      <c r="EK22" s="2562"/>
      <c r="EL22" s="2562"/>
      <c r="EM22" s="2770"/>
      <c r="EN22" s="2562"/>
      <c r="EO22" s="2562"/>
      <c r="EP22" s="2562"/>
      <c r="EQ22" s="2562"/>
      <c r="ER22" s="2770"/>
      <c r="ES22" s="2562"/>
      <c r="ET22" s="2562"/>
      <c r="EU22" s="2562"/>
      <c r="EV22" s="242"/>
      <c r="EW22" s="327"/>
      <c r="EX22" s="242"/>
      <c r="EY22" s="242"/>
      <c r="EZ22" s="242"/>
      <c r="FA22" s="242"/>
      <c r="FB22" s="327"/>
      <c r="FC22" s="242"/>
      <c r="FD22" s="242"/>
      <c r="FE22" s="242"/>
      <c r="FF22" s="242"/>
      <c r="FG22" s="327"/>
      <c r="FH22" s="242"/>
      <c r="FI22" s="242"/>
      <c r="FJ22" s="242"/>
      <c r="FK22" s="242"/>
      <c r="FL22" s="327"/>
      <c r="FM22" s="263"/>
      <c r="FN22" s="484"/>
      <c r="FO22"/>
      <c r="FP22"/>
      <c r="FQ22"/>
      <c r="FR22"/>
      <c r="FS22"/>
      <c r="FT22"/>
      <c r="FU22" s="261"/>
      <c r="FV22" s="261"/>
      <c r="FW22" s="261"/>
      <c r="FX22" s="261"/>
    </row>
    <row r="23" spans="1:180" s="264" customFormat="1" ht="11.25" customHeight="1">
      <c r="A23" s="264" t="s">
        <v>520</v>
      </c>
      <c r="D23" s="263"/>
      <c r="E23" s="1126">
        <v>0</v>
      </c>
      <c r="F23" s="1126">
        <v>0</v>
      </c>
      <c r="G23" s="1126">
        <v>0</v>
      </c>
      <c r="H23" s="482">
        <f t="shared" si="0"/>
        <v>0</v>
      </c>
      <c r="I23" s="1126">
        <v>0</v>
      </c>
      <c r="J23" s="1126">
        <v>0</v>
      </c>
      <c r="K23" s="1126">
        <v>0</v>
      </c>
      <c r="L23" s="1126">
        <v>0</v>
      </c>
      <c r="M23" s="482">
        <f t="shared" si="1"/>
        <v>0</v>
      </c>
      <c r="N23" s="1126">
        <v>0</v>
      </c>
      <c r="O23" s="1126">
        <v>0</v>
      </c>
      <c r="P23" s="1126">
        <v>0</v>
      </c>
      <c r="Q23" s="1126">
        <v>85.923000000000002</v>
      </c>
      <c r="R23" s="482">
        <f t="shared" si="2"/>
        <v>85.923000000000002</v>
      </c>
      <c r="S23" s="1126">
        <v>103.6</v>
      </c>
      <c r="T23" s="1126">
        <v>137.9</v>
      </c>
      <c r="U23" s="1126">
        <v>149.5</v>
      </c>
      <c r="V23" s="1126">
        <v>187.51900000000001</v>
      </c>
      <c r="W23" s="482">
        <f t="shared" si="3"/>
        <v>187.51900000000001</v>
      </c>
      <c r="X23" s="1126">
        <v>176</v>
      </c>
      <c r="Y23" s="1126">
        <v>214</v>
      </c>
      <c r="Z23" s="1126">
        <v>261</v>
      </c>
      <c r="AA23" s="1126">
        <v>239</v>
      </c>
      <c r="AB23" s="482">
        <f t="shared" si="4"/>
        <v>239</v>
      </c>
      <c r="AC23" s="1126">
        <v>214</v>
      </c>
      <c r="AD23" s="1126">
        <v>242</v>
      </c>
      <c r="AE23" s="1126">
        <v>296</v>
      </c>
      <c r="AF23" s="1126">
        <v>324</v>
      </c>
      <c r="AG23" s="482">
        <f t="shared" si="5"/>
        <v>324</v>
      </c>
      <c r="AH23" s="1126">
        <v>354</v>
      </c>
      <c r="AI23" s="1126">
        <v>431</v>
      </c>
      <c r="AJ23" s="1126">
        <v>524</v>
      </c>
      <c r="AK23" s="1126">
        <v>563</v>
      </c>
      <c r="AL23" s="482">
        <f t="shared" si="6"/>
        <v>563</v>
      </c>
      <c r="AM23" s="1126">
        <v>621</v>
      </c>
      <c r="AN23" s="1126">
        <v>651</v>
      </c>
      <c r="AO23" s="1126">
        <v>652</v>
      </c>
      <c r="AP23" s="1126">
        <v>808</v>
      </c>
      <c r="AQ23" s="482">
        <f t="shared" si="7"/>
        <v>808</v>
      </c>
      <c r="AR23" s="1126">
        <v>887</v>
      </c>
      <c r="AS23" s="1126">
        <v>848</v>
      </c>
      <c r="AT23" s="1126">
        <v>864</v>
      </c>
      <c r="AU23" s="1126">
        <v>721</v>
      </c>
      <c r="AV23" s="482">
        <f t="shared" si="8"/>
        <v>721</v>
      </c>
      <c r="AW23" s="1126">
        <v>761</v>
      </c>
      <c r="AX23" s="1126">
        <v>867</v>
      </c>
      <c r="AY23" s="1126">
        <v>908</v>
      </c>
      <c r="AZ23" s="1126">
        <v>759</v>
      </c>
      <c r="BA23" s="482">
        <f t="shared" si="9"/>
        <v>759</v>
      </c>
      <c r="BB23" s="1126">
        <v>845</v>
      </c>
      <c r="BC23" s="1126">
        <v>989</v>
      </c>
      <c r="BD23" s="1126">
        <v>1016</v>
      </c>
      <c r="BE23" s="1126">
        <v>874</v>
      </c>
      <c r="BF23" s="482">
        <f t="shared" si="10"/>
        <v>874</v>
      </c>
      <c r="BG23" s="1126">
        <v>997</v>
      </c>
      <c r="BH23" s="1126">
        <v>1233</v>
      </c>
      <c r="BI23" s="1126">
        <v>1073</v>
      </c>
      <c r="BJ23" s="1126">
        <v>1083</v>
      </c>
      <c r="BK23" s="482">
        <f t="shared" si="11"/>
        <v>1083</v>
      </c>
      <c r="BL23" s="1126">
        <v>1101</v>
      </c>
      <c r="BM23" s="1126">
        <v>1262</v>
      </c>
      <c r="BN23" s="1126">
        <v>1246</v>
      </c>
      <c r="BO23" s="1126">
        <v>1188</v>
      </c>
      <c r="BP23" s="482">
        <f t="shared" si="12"/>
        <v>1188</v>
      </c>
      <c r="BQ23" s="1126">
        <v>1143</v>
      </c>
      <c r="BR23" s="1126">
        <v>1229</v>
      </c>
      <c r="BS23" s="1126">
        <v>1136</v>
      </c>
      <c r="BT23" s="1126">
        <v>1208</v>
      </c>
      <c r="BU23" s="482">
        <f t="shared" si="13"/>
        <v>1208</v>
      </c>
      <c r="BV23" s="1126">
        <v>1189</v>
      </c>
      <c r="BW23" s="1126">
        <v>1342</v>
      </c>
      <c r="BX23" s="1126">
        <v>1310</v>
      </c>
      <c r="BY23" s="1126">
        <v>1573</v>
      </c>
      <c r="BZ23" s="482">
        <f t="shared" si="14"/>
        <v>1573</v>
      </c>
      <c r="CA23" s="1126">
        <v>1341</v>
      </c>
      <c r="CB23" s="1126">
        <v>1360</v>
      </c>
      <c r="CC23" s="1126">
        <v>1412</v>
      </c>
      <c r="CD23" s="1126">
        <v>1717</v>
      </c>
      <c r="CE23" s="482">
        <f t="shared" si="15"/>
        <v>1717</v>
      </c>
      <c r="CF23" s="1126">
        <v>1439</v>
      </c>
      <c r="CG23" s="1126">
        <v>1573</v>
      </c>
      <c r="CH23" s="1126">
        <v>1636</v>
      </c>
      <c r="CI23" s="1126">
        <v>2086</v>
      </c>
      <c r="CJ23" s="482">
        <f t="shared" si="16"/>
        <v>2086</v>
      </c>
      <c r="CK23" s="1126">
        <v>1852</v>
      </c>
      <c r="CL23" s="1126">
        <v>2477</v>
      </c>
      <c r="CM23" s="1126">
        <v>2354</v>
      </c>
      <c r="CN23" s="1126">
        <v>2909</v>
      </c>
      <c r="CO23" s="482">
        <f t="shared" si="17"/>
        <v>2909</v>
      </c>
      <c r="CP23" s="1126">
        <v>2406</v>
      </c>
      <c r="CQ23" s="1126">
        <v>2944</v>
      </c>
      <c r="CR23" s="1126">
        <v>2843</v>
      </c>
      <c r="CS23" s="1126">
        <v>3247</v>
      </c>
      <c r="CT23" s="482">
        <f t="shared" si="18"/>
        <v>3247</v>
      </c>
      <c r="CU23" s="1126">
        <v>3206</v>
      </c>
      <c r="CV23" s="1126">
        <v>3612</v>
      </c>
      <c r="CW23" s="1126">
        <v>3600</v>
      </c>
      <c r="CX23" s="1126">
        <v>4034</v>
      </c>
      <c r="CY23" s="482">
        <f t="shared" si="19"/>
        <v>4034</v>
      </c>
      <c r="CZ23" s="1126">
        <v>3351</v>
      </c>
      <c r="DA23" s="1126">
        <v>3533</v>
      </c>
      <c r="DB23" s="1126">
        <v>3017</v>
      </c>
      <c r="DC23" s="1126">
        <v>3324</v>
      </c>
      <c r="DD23" s="482">
        <f t="shared" si="20"/>
        <v>3324</v>
      </c>
      <c r="DE23" s="1126">
        <v>3287</v>
      </c>
      <c r="DF23" s="1126">
        <v>3171</v>
      </c>
      <c r="DG23" s="1126">
        <v>3279</v>
      </c>
      <c r="DH23" s="1126">
        <v>4025</v>
      </c>
      <c r="DI23" s="482">
        <f t="shared" si="21"/>
        <v>4025</v>
      </c>
      <c r="DJ23" s="1126">
        <v>3654</v>
      </c>
      <c r="DK23" s="1126">
        <v>3863</v>
      </c>
      <c r="DL23" s="1126">
        <v>3829</v>
      </c>
      <c r="DM23" s="1126">
        <v>4197</v>
      </c>
      <c r="DN23" s="482">
        <f t="shared" si="22"/>
        <v>4197</v>
      </c>
      <c r="DO23" s="1126">
        <v>3719</v>
      </c>
      <c r="DP23" s="1126">
        <v>3884</v>
      </c>
      <c r="DQ23" s="1126">
        <v>3790</v>
      </c>
      <c r="DR23" s="1126">
        <v>4175</v>
      </c>
      <c r="DS23" s="482">
        <f t="shared" si="23"/>
        <v>4175</v>
      </c>
      <c r="DT23" s="1126">
        <v>3631</v>
      </c>
      <c r="DU23" s="1126">
        <v>4356</v>
      </c>
      <c r="DV23" s="1126">
        <v>4532</v>
      </c>
      <c r="DW23" s="1126">
        <v>4828</v>
      </c>
      <c r="DX23" s="482">
        <f t="shared" si="24"/>
        <v>4828</v>
      </c>
      <c r="DY23" s="1126">
        <v>4841</v>
      </c>
      <c r="DZ23" s="1126">
        <v>5398</v>
      </c>
      <c r="EA23" s="1126">
        <v>4583</v>
      </c>
      <c r="EB23" s="1126">
        <v>7432</v>
      </c>
      <c r="EC23" s="482">
        <f t="shared" si="25"/>
        <v>7432</v>
      </c>
      <c r="ED23" s="1126">
        <v>6769</v>
      </c>
      <c r="EE23" s="1126">
        <v>6932</v>
      </c>
      <c r="EF23" s="1126">
        <v>6690</v>
      </c>
      <c r="EG23" s="1126">
        <v>6591</v>
      </c>
      <c r="EH23" s="482">
        <f t="shared" si="26"/>
        <v>6591</v>
      </c>
      <c r="EI23" s="2767">
        <v>6630</v>
      </c>
      <c r="EJ23" s="2767">
        <v>6936</v>
      </c>
      <c r="EK23" s="2767">
        <v>6759</v>
      </c>
      <c r="EL23" s="2767">
        <v>6898</v>
      </c>
      <c r="EM23" s="2768">
        <f t="shared" si="27"/>
        <v>6898</v>
      </c>
      <c r="EN23" s="2767">
        <v>6296</v>
      </c>
      <c r="EO23" s="2767">
        <v>6580</v>
      </c>
      <c r="EP23" s="2767">
        <v>6217</v>
      </c>
      <c r="EQ23" s="2767">
        <v>7390</v>
      </c>
      <c r="ER23" s="2768">
        <f t="shared" si="28"/>
        <v>7390</v>
      </c>
      <c r="ES23" s="2767">
        <v>6866</v>
      </c>
      <c r="ET23" s="2767">
        <v>7850</v>
      </c>
      <c r="EU23" s="2767">
        <v>7623</v>
      </c>
      <c r="EV23" s="263">
        <f>IS!EV17/(91.25)*BS!EV48</f>
        <v>8481.7375897402835</v>
      </c>
      <c r="EW23" s="482">
        <f t="shared" ref="EW23:EW29" si="37">EV23</f>
        <v>8481.7375897402835</v>
      </c>
      <c r="EX23" s="263">
        <f>IS!EX17/(91.25)*BS!EX48</f>
        <v>7753.125082468744</v>
      </c>
      <c r="EY23" s="263">
        <f>IS!EY17/(91.25)*BS!EY48</f>
        <v>8576.906716553176</v>
      </c>
      <c r="EZ23" s="263">
        <f>IS!EZ17/(91.25)*BS!EZ48</f>
        <v>8297.4050006442903</v>
      </c>
      <c r="FA23" s="263">
        <f>IS!FA17/(91.25)*BS!FA48</f>
        <v>9364.7091389077796</v>
      </c>
      <c r="FB23" s="482">
        <f t="shared" ref="FB23:FB42" si="38">FA23</f>
        <v>9364.7091389077796</v>
      </c>
      <c r="FC23" s="263">
        <f>IS!FC17/(91.25)*BS!FC48</f>
        <v>8528.1487724281851</v>
      </c>
      <c r="FD23" s="263">
        <f>IS!FD17/(91.25)*BS!FD48</f>
        <v>9197.3884857049197</v>
      </c>
      <c r="FE23" s="263">
        <f>IS!FE17/(91.25)*BS!FE48</f>
        <v>9146.951329091451</v>
      </c>
      <c r="FF23" s="263">
        <f>IS!FF17/(91.25)*BS!FF48</f>
        <v>10395.705902754667</v>
      </c>
      <c r="FG23" s="482">
        <f t="shared" ref="FG23:FG42" si="39">FF23</f>
        <v>10395.705902754667</v>
      </c>
      <c r="FH23" s="263">
        <f>IS!FH17/(91.25)*BS!FH48</f>
        <v>9420.9500192140258</v>
      </c>
      <c r="FI23" s="263">
        <f>IS!FI17/(91.25)*BS!FI48</f>
        <v>9870.1719902533277</v>
      </c>
      <c r="FJ23" s="263">
        <f>IS!FJ17/(91.25)*BS!FJ48</f>
        <v>9990.6709900727728</v>
      </c>
      <c r="FK23" s="263">
        <f>IS!FK17/(91.25)*BS!FK48</f>
        <v>11394.242716209736</v>
      </c>
      <c r="FL23" s="482">
        <f t="shared" ref="FL23:FL42" si="40">FK23</f>
        <v>11394.242716209736</v>
      </c>
      <c r="FM23" s="481"/>
      <c r="FN23" s="483"/>
      <c r="FO23"/>
      <c r="FP23"/>
      <c r="FQ23"/>
      <c r="FR23"/>
      <c r="FS23"/>
      <c r="FT23"/>
      <c r="FU23" s="261"/>
      <c r="FV23" s="261"/>
      <c r="FW23" s="261"/>
      <c r="FX23" s="261"/>
    </row>
    <row r="24" spans="1:180" s="264" customFormat="1" ht="11.25" customHeight="1">
      <c r="A24" s="264" t="s">
        <v>460</v>
      </c>
      <c r="D24" s="263"/>
      <c r="E24" s="263"/>
      <c r="F24" s="263"/>
      <c r="G24" s="263"/>
      <c r="H24" s="482"/>
      <c r="I24" s="263"/>
      <c r="J24" s="263"/>
      <c r="K24" s="263"/>
      <c r="L24" s="263"/>
      <c r="M24" s="482"/>
      <c r="N24" s="263"/>
      <c r="O24" s="263"/>
      <c r="P24" s="263"/>
      <c r="Q24" s="263"/>
      <c r="R24" s="482"/>
      <c r="S24" s="263"/>
      <c r="T24" s="263"/>
      <c r="U24" s="263"/>
      <c r="V24" s="263"/>
      <c r="W24" s="482"/>
      <c r="X24" s="263"/>
      <c r="Y24" s="263"/>
      <c r="Z24" s="263"/>
      <c r="AA24" s="263"/>
      <c r="AB24" s="482"/>
      <c r="AC24" s="263"/>
      <c r="AD24" s="263"/>
      <c r="AE24" s="263"/>
      <c r="AF24" s="263"/>
      <c r="AG24" s="482"/>
      <c r="AH24" s="263"/>
      <c r="AI24" s="263"/>
      <c r="AJ24" s="263"/>
      <c r="AK24" s="263"/>
      <c r="AL24" s="482"/>
      <c r="AM24" s="263"/>
      <c r="AN24" s="263"/>
      <c r="AO24" s="263"/>
      <c r="AP24" s="263"/>
      <c r="AQ24" s="482"/>
      <c r="AR24" s="263"/>
      <c r="AS24" s="263"/>
      <c r="AT24" s="263"/>
      <c r="AU24" s="263"/>
      <c r="AV24" s="482"/>
      <c r="AW24" s="263"/>
      <c r="AX24" s="263"/>
      <c r="AY24" s="263"/>
      <c r="AZ24" s="263"/>
      <c r="BA24" s="482"/>
      <c r="BB24" s="263"/>
      <c r="BC24" s="263"/>
      <c r="BD24" s="263"/>
      <c r="BE24" s="263"/>
      <c r="BF24" s="482"/>
      <c r="BG24" s="263"/>
      <c r="BH24" s="263"/>
      <c r="BI24" s="263"/>
      <c r="BJ24" s="263"/>
      <c r="BK24" s="482"/>
      <c r="BL24" s="263"/>
      <c r="BM24" s="263"/>
      <c r="BN24" s="263"/>
      <c r="BO24" s="263"/>
      <c r="BP24" s="482"/>
      <c r="BQ24" s="263"/>
      <c r="BR24" s="263"/>
      <c r="BS24" s="263"/>
      <c r="BT24" s="263"/>
      <c r="BU24" s="482"/>
      <c r="BV24" s="263"/>
      <c r="BW24" s="263"/>
      <c r="BX24" s="263"/>
      <c r="BY24" s="263"/>
      <c r="BZ24" s="482"/>
      <c r="CA24" s="263"/>
      <c r="CB24" s="263"/>
      <c r="CC24" s="263"/>
      <c r="CD24" s="263"/>
      <c r="CE24" s="482"/>
      <c r="CF24" s="263"/>
      <c r="CG24" s="263"/>
      <c r="CH24" s="263"/>
      <c r="CI24" s="263"/>
      <c r="CJ24" s="482"/>
      <c r="CK24" s="263"/>
      <c r="CL24" s="263"/>
      <c r="CM24" s="263"/>
      <c r="CN24" s="263"/>
      <c r="CO24" s="482"/>
      <c r="CP24" s="1126">
        <v>0</v>
      </c>
      <c r="CQ24" s="1126">
        <v>0</v>
      </c>
      <c r="CR24" s="1126">
        <v>0</v>
      </c>
      <c r="CS24" s="1126">
        <v>0</v>
      </c>
      <c r="CT24" s="482">
        <f t="shared" si="18"/>
        <v>0</v>
      </c>
      <c r="CU24" s="1126">
        <v>0</v>
      </c>
      <c r="CV24" s="1126">
        <v>0</v>
      </c>
      <c r="CW24" s="1126">
        <v>0</v>
      </c>
      <c r="CX24" s="1126">
        <v>0</v>
      </c>
      <c r="CY24" s="482">
        <f t="shared" si="19"/>
        <v>0</v>
      </c>
      <c r="CZ24" s="1126">
        <v>1975</v>
      </c>
      <c r="DA24" s="1126">
        <v>2000</v>
      </c>
      <c r="DB24" s="1126">
        <v>1999</v>
      </c>
      <c r="DC24" s="1126">
        <v>2000</v>
      </c>
      <c r="DD24" s="482">
        <f>DC24</f>
        <v>2000</v>
      </c>
      <c r="DE24" s="1126">
        <v>2250</v>
      </c>
      <c r="DF24" s="1126">
        <v>2249</v>
      </c>
      <c r="DG24" s="1126">
        <v>2249</v>
      </c>
      <c r="DH24" s="1126">
        <v>1000</v>
      </c>
      <c r="DI24" s="482">
        <f>DH24</f>
        <v>1000</v>
      </c>
      <c r="DJ24" s="1126">
        <v>1000</v>
      </c>
      <c r="DK24" s="1126">
        <v>0</v>
      </c>
      <c r="DL24" s="1126">
        <v>0</v>
      </c>
      <c r="DM24" s="1126">
        <v>0</v>
      </c>
      <c r="DN24" s="482">
        <f>DM24</f>
        <v>0</v>
      </c>
      <c r="DO24" s="1126">
        <v>0</v>
      </c>
      <c r="DP24" s="1126">
        <v>0</v>
      </c>
      <c r="DQ24" s="1126">
        <v>0</v>
      </c>
      <c r="DR24" s="1126">
        <v>1231</v>
      </c>
      <c r="DS24" s="482">
        <f>DR24</f>
        <v>1231</v>
      </c>
      <c r="DT24" s="1126">
        <v>2236</v>
      </c>
      <c r="DU24" s="1126">
        <v>2241</v>
      </c>
      <c r="DV24" s="1126">
        <v>2246</v>
      </c>
      <c r="DW24" s="1126">
        <v>2999</v>
      </c>
      <c r="DX24" s="482">
        <f>DW24</f>
        <v>2999</v>
      </c>
      <c r="DY24" s="1126">
        <f>1300+2000</f>
        <v>3300</v>
      </c>
      <c r="DZ24" s="1126">
        <f>2300</f>
        <v>2300</v>
      </c>
      <c r="EA24" s="1126">
        <v>2000</v>
      </c>
      <c r="EB24" s="1126">
        <v>2000</v>
      </c>
      <c r="EC24" s="482">
        <f>EB24</f>
        <v>2000</v>
      </c>
      <c r="ED24" s="1126">
        <f>3500+1748</f>
        <v>5248</v>
      </c>
      <c r="EE24" s="1126">
        <f>8299+1749</f>
        <v>10048</v>
      </c>
      <c r="EF24" s="1126">
        <f>1725+2499</f>
        <v>4224</v>
      </c>
      <c r="EG24" s="1126">
        <f>4985+2499</f>
        <v>7484</v>
      </c>
      <c r="EH24" s="482">
        <f>EG24</f>
        <v>7484</v>
      </c>
      <c r="EI24" s="2767">
        <f>9998+750</f>
        <v>10748</v>
      </c>
      <c r="EJ24" s="2767">
        <f>3000+750</f>
        <v>3750</v>
      </c>
      <c r="EK24" s="2767">
        <v>5498</v>
      </c>
      <c r="EL24" s="2767">
        <v>12904</v>
      </c>
      <c r="EM24" s="2768">
        <f>EL24</f>
        <v>12904</v>
      </c>
      <c r="EN24" s="2767">
        <v>14536</v>
      </c>
      <c r="EO24" s="2767">
        <f>25065+599</f>
        <v>25664</v>
      </c>
      <c r="EP24" s="2767">
        <f>7187+599</f>
        <v>7786</v>
      </c>
      <c r="EQ24" s="2767">
        <f>9072+1049</f>
        <v>10121</v>
      </c>
      <c r="ER24" s="2768">
        <f>EQ24</f>
        <v>10121</v>
      </c>
      <c r="ES24" s="2767">
        <f>8170+1050</f>
        <v>9220</v>
      </c>
      <c r="ET24" s="2767">
        <f>12466+3446</f>
        <v>15912</v>
      </c>
      <c r="EU24" s="2767">
        <f>230+3447</f>
        <v>3677</v>
      </c>
      <c r="EV24" s="263">
        <f>EU24</f>
        <v>3677</v>
      </c>
      <c r="EW24" s="482">
        <f t="shared" si="37"/>
        <v>3677</v>
      </c>
      <c r="EX24" s="263">
        <f>EV24</f>
        <v>3677</v>
      </c>
      <c r="EY24" s="263">
        <f>EX24</f>
        <v>3677</v>
      </c>
      <c r="EZ24" s="263">
        <f>EY24</f>
        <v>3677</v>
      </c>
      <c r="FA24" s="263">
        <f>EZ24</f>
        <v>3677</v>
      </c>
      <c r="FB24" s="482">
        <f t="shared" si="38"/>
        <v>3677</v>
      </c>
      <c r="FC24" s="263">
        <f>FA24</f>
        <v>3677</v>
      </c>
      <c r="FD24" s="263">
        <f>FC24</f>
        <v>3677</v>
      </c>
      <c r="FE24" s="263">
        <f>FD24</f>
        <v>3677</v>
      </c>
      <c r="FF24" s="263">
        <f>FE24</f>
        <v>3677</v>
      </c>
      <c r="FG24" s="482">
        <f t="shared" si="39"/>
        <v>3677</v>
      </c>
      <c r="FH24" s="263">
        <f>FF24</f>
        <v>3677</v>
      </c>
      <c r="FI24" s="263">
        <f>FH24</f>
        <v>3677</v>
      </c>
      <c r="FJ24" s="263">
        <f>FI24</f>
        <v>3677</v>
      </c>
      <c r="FK24" s="263">
        <f>FJ24</f>
        <v>3677</v>
      </c>
      <c r="FL24" s="482">
        <f t="shared" si="40"/>
        <v>3677</v>
      </c>
      <c r="FM24" s="481"/>
      <c r="FN24" s="483"/>
      <c r="FO24"/>
      <c r="FP24"/>
      <c r="FQ24"/>
      <c r="FR24"/>
      <c r="FS24"/>
      <c r="FT24"/>
      <c r="FU24" s="261"/>
      <c r="FV24" s="261"/>
      <c r="FW24" s="261"/>
      <c r="FX24" s="261"/>
    </row>
    <row r="25" spans="1:180" s="264" customFormat="1" ht="11.25" customHeight="1">
      <c r="A25" s="264" t="s">
        <v>521</v>
      </c>
      <c r="D25" s="242"/>
      <c r="E25" s="1127">
        <v>0</v>
      </c>
      <c r="F25" s="1127">
        <v>0</v>
      </c>
      <c r="G25" s="1127">
        <v>0</v>
      </c>
      <c r="H25" s="327">
        <f t="shared" si="0"/>
        <v>0</v>
      </c>
      <c r="I25" s="1127">
        <v>0</v>
      </c>
      <c r="J25" s="1127">
        <v>0</v>
      </c>
      <c r="K25" s="1127">
        <v>0</v>
      </c>
      <c r="L25" s="1127">
        <v>0</v>
      </c>
      <c r="M25" s="327">
        <f t="shared" si="1"/>
        <v>0</v>
      </c>
      <c r="N25" s="1127">
        <v>0</v>
      </c>
      <c r="O25" s="1127">
        <v>0</v>
      </c>
      <c r="P25" s="1127">
        <v>0</v>
      </c>
      <c r="Q25" s="1127">
        <v>41.643000000000001</v>
      </c>
      <c r="R25" s="327">
        <f t="shared" si="2"/>
        <v>41.643000000000001</v>
      </c>
      <c r="S25" s="1127">
        <v>33.6</v>
      </c>
      <c r="T25" s="1127">
        <v>49.2</v>
      </c>
      <c r="U25" s="1127">
        <v>42.8</v>
      </c>
      <c r="V25" s="1127">
        <v>62.082999999999998</v>
      </c>
      <c r="W25" s="327">
        <f t="shared" si="3"/>
        <v>62.082999999999998</v>
      </c>
      <c r="X25" s="1127">
        <v>54</v>
      </c>
      <c r="Y25" s="1127">
        <v>68</v>
      </c>
      <c r="Z25" s="1127">
        <v>62</v>
      </c>
      <c r="AA25" s="1127">
        <v>86</v>
      </c>
      <c r="AB25" s="327">
        <f t="shared" si="4"/>
        <v>86</v>
      </c>
      <c r="AC25" s="1127">
        <v>66</v>
      </c>
      <c r="AD25" s="1127">
        <v>99</v>
      </c>
      <c r="AE25" s="1127">
        <v>71</v>
      </c>
      <c r="AF25" s="1127">
        <v>96</v>
      </c>
      <c r="AG25" s="327">
        <f t="shared" si="5"/>
        <v>96</v>
      </c>
      <c r="AH25" s="1127">
        <v>81</v>
      </c>
      <c r="AI25" s="1127">
        <v>110</v>
      </c>
      <c r="AJ25" s="1127">
        <v>89</v>
      </c>
      <c r="AK25" s="1127">
        <v>130</v>
      </c>
      <c r="AL25" s="327">
        <f t="shared" si="6"/>
        <v>130</v>
      </c>
      <c r="AM25" s="1127">
        <v>103</v>
      </c>
      <c r="AN25" s="1127">
        <v>148</v>
      </c>
      <c r="AO25" s="1127">
        <v>142</v>
      </c>
      <c r="AP25" s="1127">
        <v>202</v>
      </c>
      <c r="AQ25" s="327">
        <f t="shared" si="7"/>
        <v>202</v>
      </c>
      <c r="AR25" s="1127">
        <v>196</v>
      </c>
      <c r="AS25" s="1127">
        <v>289</v>
      </c>
      <c r="AT25" s="1127">
        <v>209</v>
      </c>
      <c r="AU25" s="1127">
        <v>336</v>
      </c>
      <c r="AV25" s="327">
        <f t="shared" si="8"/>
        <v>336</v>
      </c>
      <c r="AW25" s="1127">
        <v>193</v>
      </c>
      <c r="AX25" s="1127">
        <v>248</v>
      </c>
      <c r="AY25" s="1127">
        <v>225</v>
      </c>
      <c r="AZ25" s="1127">
        <v>359</v>
      </c>
      <c r="BA25" s="327">
        <f t="shared" si="9"/>
        <v>359</v>
      </c>
      <c r="BB25" s="1127">
        <v>307</v>
      </c>
      <c r="BC25" s="1127">
        <v>392</v>
      </c>
      <c r="BD25" s="1127">
        <v>289</v>
      </c>
      <c r="BE25" s="1127">
        <v>396</v>
      </c>
      <c r="BF25" s="327">
        <f t="shared" si="10"/>
        <v>396</v>
      </c>
      <c r="BG25" s="1127">
        <v>313</v>
      </c>
      <c r="BH25" s="1127">
        <v>533</v>
      </c>
      <c r="BI25" s="1127">
        <v>373</v>
      </c>
      <c r="BJ25" s="1127">
        <v>557</v>
      </c>
      <c r="BK25" s="327">
        <f t="shared" si="11"/>
        <v>557</v>
      </c>
      <c r="BL25" s="1127">
        <v>420</v>
      </c>
      <c r="BM25" s="1127">
        <v>564</v>
      </c>
      <c r="BN25" s="1127">
        <v>501</v>
      </c>
      <c r="BO25" s="1127">
        <v>742</v>
      </c>
      <c r="BP25" s="327">
        <f t="shared" si="12"/>
        <v>742</v>
      </c>
      <c r="BQ25" s="1127">
        <v>586</v>
      </c>
      <c r="BR25" s="1127">
        <v>899</v>
      </c>
      <c r="BS25" s="1127">
        <v>822</v>
      </c>
      <c r="BT25" s="1127">
        <v>1145</v>
      </c>
      <c r="BU25" s="327">
        <f t="shared" si="13"/>
        <v>1145</v>
      </c>
      <c r="BV25" s="1127">
        <v>851</v>
      </c>
      <c r="BW25" s="1127">
        <v>1060</v>
      </c>
      <c r="BX25" s="1127">
        <v>1129</v>
      </c>
      <c r="BY25" s="1127">
        <v>1416</v>
      </c>
      <c r="BZ25" s="327">
        <f t="shared" si="14"/>
        <v>1416</v>
      </c>
      <c r="CA25" s="1127">
        <v>869</v>
      </c>
      <c r="CB25" s="1127">
        <v>1143</v>
      </c>
      <c r="CC25" s="1127">
        <v>1224</v>
      </c>
      <c r="CD25" s="1127">
        <v>1339</v>
      </c>
      <c r="CE25" s="327">
        <f t="shared" si="15"/>
        <v>1339</v>
      </c>
      <c r="CF25" s="1127">
        <v>918</v>
      </c>
      <c r="CG25" s="1127">
        <v>1098</v>
      </c>
      <c r="CH25" s="1127">
        <v>1289</v>
      </c>
      <c r="CI25" s="1127">
        <v>1662</v>
      </c>
      <c r="CJ25" s="327">
        <f t="shared" si="16"/>
        <v>1662</v>
      </c>
      <c r="CK25" s="1127">
        <v>1196</v>
      </c>
      <c r="CL25" s="1127">
        <v>1249</v>
      </c>
      <c r="CM25" s="1127">
        <v>1516</v>
      </c>
      <c r="CN25" s="1127">
        <v>1938</v>
      </c>
      <c r="CO25" s="327">
        <f t="shared" si="17"/>
        <v>1938</v>
      </c>
      <c r="CP25" s="1127">
        <v>1401</v>
      </c>
      <c r="CQ25" s="1127">
        <v>1559</v>
      </c>
      <c r="CR25" s="1127">
        <v>1878</v>
      </c>
      <c r="CS25" s="1127">
        <v>2325</v>
      </c>
      <c r="CT25" s="327">
        <f t="shared" si="18"/>
        <v>2325</v>
      </c>
      <c r="CU25" s="1127">
        <v>1796</v>
      </c>
      <c r="CV25" s="1127">
        <v>1977</v>
      </c>
      <c r="CW25" s="1127">
        <v>2427</v>
      </c>
      <c r="CX25" s="1127">
        <v>2934</v>
      </c>
      <c r="CY25" s="327">
        <f t="shared" si="19"/>
        <v>2934</v>
      </c>
      <c r="CZ25" s="1127">
        <v>2138</v>
      </c>
      <c r="DA25" s="1127">
        <v>2239</v>
      </c>
      <c r="DB25" s="1127">
        <v>2644</v>
      </c>
      <c r="DC25" s="1127">
        <v>3156</v>
      </c>
      <c r="DD25" s="327">
        <f t="shared" si="20"/>
        <v>3156</v>
      </c>
      <c r="DE25" s="1127">
        <v>2224</v>
      </c>
      <c r="DF25" s="1127">
        <v>2417</v>
      </c>
      <c r="DG25" s="1127">
        <v>2885</v>
      </c>
      <c r="DH25" s="1127">
        <v>3283</v>
      </c>
      <c r="DI25" s="327">
        <f t="shared" si="21"/>
        <v>3283</v>
      </c>
      <c r="DJ25" s="1127">
        <v>2252</v>
      </c>
      <c r="DK25" s="1127">
        <v>2402</v>
      </c>
      <c r="DL25" s="1127">
        <v>2917</v>
      </c>
      <c r="DM25" s="1127">
        <v>3575</v>
      </c>
      <c r="DN25" s="327">
        <f t="shared" si="22"/>
        <v>3575</v>
      </c>
      <c r="DO25" s="1127">
        <v>2388</v>
      </c>
      <c r="DP25" s="1127">
        <v>2677</v>
      </c>
      <c r="DQ25" s="1127">
        <v>3272</v>
      </c>
      <c r="DR25" s="1127">
        <v>3875</v>
      </c>
      <c r="DS25" s="327">
        <f t="shared" si="23"/>
        <v>3875</v>
      </c>
      <c r="DT25" s="1127">
        <v>2666</v>
      </c>
      <c r="DU25" s="1127">
        <v>2942</v>
      </c>
      <c r="DV25" s="1127">
        <v>3474</v>
      </c>
      <c r="DW25" s="1127">
        <v>4117</v>
      </c>
      <c r="DX25" s="327">
        <f t="shared" si="24"/>
        <v>4117</v>
      </c>
      <c r="DY25" s="1127">
        <v>2856</v>
      </c>
      <c r="DZ25" s="1127">
        <v>3169</v>
      </c>
      <c r="EA25" s="1127">
        <v>3887</v>
      </c>
      <c r="EB25" s="1127">
        <v>4797</v>
      </c>
      <c r="EC25" s="327">
        <f t="shared" si="25"/>
        <v>4797</v>
      </c>
      <c r="ED25" s="1127">
        <v>3740</v>
      </c>
      <c r="EE25" s="1127">
        <v>3479</v>
      </c>
      <c r="EF25" s="1127">
        <v>3902</v>
      </c>
      <c r="EG25" s="1127">
        <v>5096</v>
      </c>
      <c r="EH25" s="327">
        <f t="shared" si="26"/>
        <v>5096</v>
      </c>
      <c r="EI25" s="2769">
        <v>3450</v>
      </c>
      <c r="EJ25" s="2769">
        <v>3649</v>
      </c>
      <c r="EK25" s="2769">
        <v>4276</v>
      </c>
      <c r="EL25" s="2769">
        <v>5264</v>
      </c>
      <c r="EM25" s="2770">
        <f t="shared" si="27"/>
        <v>5264</v>
      </c>
      <c r="EN25" s="2769">
        <v>3621</v>
      </c>
      <c r="EO25" s="2769">
        <v>3982</v>
      </c>
      <c r="EP25" s="2769">
        <v>4604</v>
      </c>
      <c r="EQ25" s="2769">
        <v>5819</v>
      </c>
      <c r="ER25" s="2770">
        <f t="shared" si="28"/>
        <v>5819</v>
      </c>
      <c r="ES25" s="2769">
        <v>4108</v>
      </c>
      <c r="ET25" s="2769">
        <v>4427</v>
      </c>
      <c r="EU25" s="2769">
        <v>5149</v>
      </c>
      <c r="EV25" s="242">
        <f>+IS!EV34*4*BS!EV51/100</f>
        <v>6258.8689357948479</v>
      </c>
      <c r="EW25" s="327">
        <f t="shared" si="37"/>
        <v>6258.8689357948479</v>
      </c>
      <c r="EX25" s="242">
        <f>+IS!EX34*4*BS!EX51/100</f>
        <v>4490.0393544905201</v>
      </c>
      <c r="EY25" s="242">
        <f>+IS!EY34*4*BS!EY51/100</f>
        <v>4815.2304902441501</v>
      </c>
      <c r="EZ25" s="242">
        <f>+IS!EZ34*4*BS!EZ51/100</f>
        <v>5643.1747861559688</v>
      </c>
      <c r="FA25" s="242">
        <f>+IS!FA34*4*BS!FA51/100</f>
        <v>6862.9652424306769</v>
      </c>
      <c r="FB25" s="327">
        <f t="shared" si="38"/>
        <v>6862.9652424306769</v>
      </c>
      <c r="FC25" s="242">
        <f>+IS!FC34*4*BS!FC51/100</f>
        <v>4955.1417194924452</v>
      </c>
      <c r="FD25" s="242">
        <f>+IS!FD34*4*BS!FD51/100</f>
        <v>5231.8079881185122</v>
      </c>
      <c r="FE25" s="242">
        <f>+IS!FE34*4*BS!FE51/100</f>
        <v>6256.9399933062987</v>
      </c>
      <c r="FF25" s="242">
        <f>+IS!FF34*4*BS!FF51/100</f>
        <v>7605.8308863950815</v>
      </c>
      <c r="FG25" s="327">
        <f t="shared" si="39"/>
        <v>7605.8308863950815</v>
      </c>
      <c r="FH25" s="242">
        <f>+IS!FH34*4*BS!FH51/100</f>
        <v>5454.7791016133797</v>
      </c>
      <c r="FI25" s="242">
        <f>+IS!FI34*4*BS!FI51/100</f>
        <v>5641.8649504351852</v>
      </c>
      <c r="FJ25" s="242">
        <f>+IS!FJ34*4*BS!FJ51/100</f>
        <v>6876.0764890631726</v>
      </c>
      <c r="FK25" s="242">
        <f>+IS!FK34*4*BS!FK51/100</f>
        <v>8341.3674488523575</v>
      </c>
      <c r="FL25" s="327">
        <f t="shared" si="40"/>
        <v>8341.3674488523575</v>
      </c>
      <c r="FM25" s="481"/>
      <c r="FN25" s="484"/>
      <c r="FO25"/>
      <c r="FP25"/>
      <c r="FQ25"/>
      <c r="FR25"/>
      <c r="FS25"/>
      <c r="FT25"/>
      <c r="FU25" s="261"/>
      <c r="FV25" s="261"/>
      <c r="FW25" s="261"/>
      <c r="FX25" s="261"/>
    </row>
    <row r="26" spans="1:180" s="264" customFormat="1" ht="11.25" customHeight="1">
      <c r="A26" s="264" t="s">
        <v>462</v>
      </c>
      <c r="D26" s="242"/>
      <c r="E26" s="1127">
        <v>0</v>
      </c>
      <c r="F26" s="1127">
        <v>0</v>
      </c>
      <c r="G26" s="1127">
        <v>0</v>
      </c>
      <c r="H26" s="327">
        <f t="shared" si="0"/>
        <v>0</v>
      </c>
      <c r="I26" s="1127">
        <v>0</v>
      </c>
      <c r="J26" s="1127">
        <v>0</v>
      </c>
      <c r="K26" s="1127">
        <v>0</v>
      </c>
      <c r="L26" s="1127">
        <v>0</v>
      </c>
      <c r="M26" s="327">
        <f t="shared" si="1"/>
        <v>0</v>
      </c>
      <c r="N26" s="1127">
        <v>0</v>
      </c>
      <c r="O26" s="1127">
        <v>0</v>
      </c>
      <c r="P26" s="1127">
        <v>0</v>
      </c>
      <c r="Q26" s="1127">
        <v>44.445</v>
      </c>
      <c r="R26" s="327">
        <f t="shared" si="2"/>
        <v>44.445</v>
      </c>
      <c r="S26" s="1127">
        <v>47.9</v>
      </c>
      <c r="T26" s="1127">
        <v>45.9</v>
      </c>
      <c r="U26" s="1127">
        <v>16.2</v>
      </c>
      <c r="V26" s="1127">
        <v>73.033000000000001</v>
      </c>
      <c r="W26" s="327">
        <f t="shared" si="3"/>
        <v>73.033000000000001</v>
      </c>
      <c r="X26" s="1127">
        <v>103</v>
      </c>
      <c r="Y26" s="1127">
        <v>69</v>
      </c>
      <c r="Z26" s="1127">
        <v>90</v>
      </c>
      <c r="AA26" s="1127">
        <v>127</v>
      </c>
      <c r="AB26" s="327">
        <f t="shared" si="4"/>
        <v>127</v>
      </c>
      <c r="AC26" s="1127">
        <v>183</v>
      </c>
      <c r="AD26" s="1127">
        <v>211</v>
      </c>
      <c r="AE26" s="1127">
        <v>219</v>
      </c>
      <c r="AF26" s="1127">
        <v>305</v>
      </c>
      <c r="AG26" s="327">
        <f t="shared" si="5"/>
        <v>305</v>
      </c>
      <c r="AH26" s="1127">
        <v>369</v>
      </c>
      <c r="AI26" s="1127">
        <v>364</v>
      </c>
      <c r="AJ26" s="1127">
        <v>385</v>
      </c>
      <c r="AK26" s="1127">
        <v>410</v>
      </c>
      <c r="AL26" s="327">
        <f t="shared" si="6"/>
        <v>410</v>
      </c>
      <c r="AM26" s="1127">
        <v>522</v>
      </c>
      <c r="AN26" s="1127">
        <v>680</v>
      </c>
      <c r="AO26" s="1127">
        <v>616</v>
      </c>
      <c r="AP26" s="1127">
        <v>484</v>
      </c>
      <c r="AQ26" s="327">
        <f t="shared" si="7"/>
        <v>484</v>
      </c>
      <c r="AR26" s="1127">
        <v>514</v>
      </c>
      <c r="AS26" s="1127">
        <v>480</v>
      </c>
      <c r="AT26" s="1127">
        <v>463</v>
      </c>
      <c r="AU26" s="1127">
        <v>466</v>
      </c>
      <c r="AV26" s="327">
        <f t="shared" si="8"/>
        <v>466</v>
      </c>
      <c r="AW26" s="1127">
        <v>554</v>
      </c>
      <c r="AX26" s="1127">
        <v>631</v>
      </c>
      <c r="AY26" s="1127">
        <v>527</v>
      </c>
      <c r="AZ26" s="1127">
        <v>915</v>
      </c>
      <c r="BA26" s="327">
        <f t="shared" si="9"/>
        <v>915</v>
      </c>
      <c r="BB26" s="1127">
        <v>1244</v>
      </c>
      <c r="BC26" s="1127">
        <v>1642</v>
      </c>
      <c r="BD26" s="1127">
        <v>1347</v>
      </c>
      <c r="BE26" s="1127">
        <v>1691</v>
      </c>
      <c r="BF26" s="327">
        <f t="shared" si="10"/>
        <v>1691</v>
      </c>
      <c r="BG26" s="1127">
        <v>1136</v>
      </c>
      <c r="BH26" s="1127">
        <v>2103</v>
      </c>
      <c r="BI26" s="1127">
        <v>1931</v>
      </c>
      <c r="BJ26" s="1127">
        <v>585</v>
      </c>
      <c r="BK26" s="327">
        <f t="shared" si="11"/>
        <v>585</v>
      </c>
      <c r="BL26" s="1127">
        <v>442</v>
      </c>
      <c r="BM26" s="1127">
        <v>656</v>
      </c>
      <c r="BN26" s="1127">
        <v>753</v>
      </c>
      <c r="BO26" s="1127">
        <v>1468</v>
      </c>
      <c r="BP26" s="327">
        <f t="shared" si="12"/>
        <v>1468</v>
      </c>
      <c r="BQ26" s="1127">
        <v>2131</v>
      </c>
      <c r="BR26" s="1127">
        <v>2396</v>
      </c>
      <c r="BS26" s="1127">
        <v>2477</v>
      </c>
      <c r="BT26" s="1127">
        <v>2022</v>
      </c>
      <c r="BU26" s="327">
        <f t="shared" si="13"/>
        <v>2022</v>
      </c>
      <c r="BV26" s="1127">
        <v>3307</v>
      </c>
      <c r="BW26" s="1127">
        <v>2954</v>
      </c>
      <c r="BX26" s="1127">
        <v>2546</v>
      </c>
      <c r="BY26" s="1127">
        <v>2044</v>
      </c>
      <c r="BZ26" s="327">
        <f t="shared" si="14"/>
        <v>2044</v>
      </c>
      <c r="CA26" s="1127">
        <v>2600</v>
      </c>
      <c r="CB26" s="1127">
        <v>3500</v>
      </c>
      <c r="CC26" s="1127">
        <v>3175</v>
      </c>
      <c r="CD26" s="1127">
        <v>3478</v>
      </c>
      <c r="CE26" s="327">
        <f t="shared" si="15"/>
        <v>3478</v>
      </c>
      <c r="CF26" s="1127">
        <v>3640</v>
      </c>
      <c r="CG26" s="1127">
        <v>3506</v>
      </c>
      <c r="CH26" s="1127">
        <v>3479</v>
      </c>
      <c r="CI26" s="1127">
        <v>2020</v>
      </c>
      <c r="CJ26" s="327">
        <f t="shared" si="16"/>
        <v>2020</v>
      </c>
      <c r="CK26" s="1127">
        <v>3123</v>
      </c>
      <c r="CL26" s="1127">
        <v>2787</v>
      </c>
      <c r="CM26" s="1127">
        <v>2805</v>
      </c>
      <c r="CN26" s="1127">
        <v>1557</v>
      </c>
      <c r="CO26" s="327">
        <f t="shared" si="17"/>
        <v>1557</v>
      </c>
      <c r="CP26" s="1127">
        <v>1994</v>
      </c>
      <c r="CQ26" s="1127">
        <v>1337</v>
      </c>
      <c r="CR26" s="1127">
        <v>1930</v>
      </c>
      <c r="CS26" s="1127">
        <v>1040</v>
      </c>
      <c r="CT26" s="327">
        <f t="shared" si="18"/>
        <v>1040</v>
      </c>
      <c r="CU26" s="1127">
        <v>1410</v>
      </c>
      <c r="CV26" s="1127">
        <v>863</v>
      </c>
      <c r="CW26" s="1127">
        <v>3765</v>
      </c>
      <c r="CX26" s="1127">
        <v>3248</v>
      </c>
      <c r="CY26" s="327">
        <f t="shared" si="19"/>
        <v>3248</v>
      </c>
      <c r="CZ26" s="1127">
        <v>514</v>
      </c>
      <c r="DA26" s="1127">
        <v>848</v>
      </c>
      <c r="DB26" s="1127">
        <v>773</v>
      </c>
      <c r="DC26" s="1127">
        <v>725</v>
      </c>
      <c r="DD26" s="327">
        <f t="shared" si="20"/>
        <v>725</v>
      </c>
      <c r="DE26" s="1127">
        <v>847</v>
      </c>
      <c r="DF26" s="1127">
        <v>721</v>
      </c>
      <c r="DG26" s="1127">
        <v>901</v>
      </c>
      <c r="DH26" s="1127">
        <v>1074</v>
      </c>
      <c r="DI26" s="327">
        <f t="shared" si="21"/>
        <v>1074</v>
      </c>
      <c r="DJ26" s="1127">
        <v>2136</v>
      </c>
      <c r="DK26" s="1127">
        <v>1439</v>
      </c>
      <c r="DL26" s="1127">
        <v>839</v>
      </c>
      <c r="DM26" s="1127">
        <v>580</v>
      </c>
      <c r="DN26" s="327">
        <f t="shared" si="22"/>
        <v>580</v>
      </c>
      <c r="DO26" s="1127">
        <v>705</v>
      </c>
      <c r="DP26" s="1127">
        <v>921</v>
      </c>
      <c r="DQ26" s="1127">
        <v>958</v>
      </c>
      <c r="DR26" s="1127">
        <v>789</v>
      </c>
      <c r="DS26" s="327">
        <f t="shared" si="23"/>
        <v>789</v>
      </c>
      <c r="DT26" s="1127">
        <v>847</v>
      </c>
      <c r="DU26" s="1127">
        <v>630</v>
      </c>
      <c r="DV26" s="1127">
        <v>689</v>
      </c>
      <c r="DW26" s="1127">
        <v>592</v>
      </c>
      <c r="DX26" s="327">
        <f t="shared" si="24"/>
        <v>592</v>
      </c>
      <c r="DY26" s="1127">
        <v>834</v>
      </c>
      <c r="DZ26" s="1127">
        <v>591</v>
      </c>
      <c r="EA26" s="1127">
        <v>694</v>
      </c>
      <c r="EB26" s="1127">
        <v>782</v>
      </c>
      <c r="EC26" s="327">
        <f t="shared" si="25"/>
        <v>782</v>
      </c>
      <c r="ED26" s="1127">
        <v>903</v>
      </c>
      <c r="EE26" s="1127">
        <v>711</v>
      </c>
      <c r="EF26" s="1127">
        <v>758</v>
      </c>
      <c r="EG26" s="1127">
        <v>606</v>
      </c>
      <c r="EH26" s="327">
        <f t="shared" si="26"/>
        <v>606</v>
      </c>
      <c r="EI26" s="2769">
        <v>607</v>
      </c>
      <c r="EJ26" s="2769">
        <v>493</v>
      </c>
      <c r="EK26" s="2769">
        <v>685</v>
      </c>
      <c r="EL26" s="2769">
        <v>580</v>
      </c>
      <c r="EM26" s="2770">
        <f t="shared" si="27"/>
        <v>580</v>
      </c>
      <c r="EN26" s="2769">
        <v>720</v>
      </c>
      <c r="EO26" s="2769">
        <v>508</v>
      </c>
      <c r="EP26" s="2769">
        <v>654</v>
      </c>
      <c r="EQ26" s="2769">
        <v>718</v>
      </c>
      <c r="ER26" s="2770">
        <f t="shared" si="28"/>
        <v>718</v>
      </c>
      <c r="ES26" s="2769">
        <v>920</v>
      </c>
      <c r="ET26" s="2769">
        <v>788</v>
      </c>
      <c r="EU26" s="2769">
        <v>814</v>
      </c>
      <c r="EV26" s="242">
        <f>+EV52/100*(IS!EV53*4)</f>
        <v>867.68438916678667</v>
      </c>
      <c r="EW26" s="327">
        <f t="shared" si="37"/>
        <v>867.68438916678667</v>
      </c>
      <c r="EX26" s="242">
        <f>+EX52/100*(IS!EX53*4)</f>
        <v>1036.0832264768228</v>
      </c>
      <c r="EY26" s="242">
        <f>+EY52/100*(IS!EY53*4)</f>
        <v>868.95170816603138</v>
      </c>
      <c r="EZ26" s="242">
        <f>+EZ52/100*(IS!EZ53*4)</f>
        <v>912.50971364853456</v>
      </c>
      <c r="FA26" s="242">
        <f>+FA52/100*(IS!FA53*4)</f>
        <v>964.70551165388019</v>
      </c>
      <c r="FB26" s="327">
        <f t="shared" si="38"/>
        <v>964.70551165388019</v>
      </c>
      <c r="FC26" s="242">
        <f>+FC52/100*(IS!FC53*4)</f>
        <v>1214.0495821809648</v>
      </c>
      <c r="FD26" s="242">
        <f>+FD52/100*(IS!FD53*4)</f>
        <v>1019.3728055331305</v>
      </c>
      <c r="FE26" s="242">
        <f>+FE52/100*(IS!FE53*4)</f>
        <v>1097.901840249101</v>
      </c>
      <c r="FF26" s="242">
        <f>+FF52/100*(IS!FF53*4)</f>
        <v>1149.1610933731858</v>
      </c>
      <c r="FG26" s="327">
        <f t="shared" si="39"/>
        <v>1149.1610933731858</v>
      </c>
      <c r="FH26" s="242">
        <f>+FH52/100*(IS!FH53*4)</f>
        <v>1408.6560280446731</v>
      </c>
      <c r="FI26" s="242">
        <f>+FI52/100*(IS!FI53*4)</f>
        <v>1174.8762373659226</v>
      </c>
      <c r="FJ26" s="242">
        <f>+FJ52/100*(IS!FJ53*4)</f>
        <v>1280.1810765460357</v>
      </c>
      <c r="FK26" s="242">
        <f>+FK52/100*(IS!FK53*4)</f>
        <v>1328.8686283122472</v>
      </c>
      <c r="FL26" s="327">
        <f t="shared" si="40"/>
        <v>1328.8686283122472</v>
      </c>
      <c r="FM26" s="481"/>
      <c r="FN26" s="484"/>
      <c r="FO26"/>
      <c r="FP26"/>
      <c r="FQ26"/>
      <c r="FR26"/>
      <c r="FS26"/>
      <c r="FT26"/>
      <c r="FU26" s="261"/>
      <c r="FV26" s="261"/>
      <c r="FW26" s="261"/>
      <c r="FX26" s="261"/>
    </row>
    <row r="27" spans="1:180" s="264" customFormat="1" ht="11.25" customHeight="1">
      <c r="A27" s="264" t="s">
        <v>461</v>
      </c>
      <c r="D27" s="242"/>
      <c r="E27" s="1127">
        <v>0</v>
      </c>
      <c r="F27" s="1127">
        <v>0</v>
      </c>
      <c r="G27" s="1127">
        <v>0</v>
      </c>
      <c r="H27" s="327">
        <f t="shared" si="0"/>
        <v>0</v>
      </c>
      <c r="I27" s="1127">
        <v>0</v>
      </c>
      <c r="J27" s="1127">
        <v>0</v>
      </c>
      <c r="K27" s="1127">
        <v>0</v>
      </c>
      <c r="L27" s="1127">
        <v>0</v>
      </c>
      <c r="M27" s="327">
        <f t="shared" si="1"/>
        <v>0</v>
      </c>
      <c r="N27" s="1127">
        <v>0</v>
      </c>
      <c r="O27" s="1127">
        <v>0</v>
      </c>
      <c r="P27" s="1127">
        <v>0</v>
      </c>
      <c r="Q27" s="1127">
        <v>0</v>
      </c>
      <c r="R27" s="327">
        <f t="shared" si="2"/>
        <v>0</v>
      </c>
      <c r="S27" s="1127">
        <v>0</v>
      </c>
      <c r="T27" s="1127">
        <v>0</v>
      </c>
      <c r="U27" s="1127">
        <v>0</v>
      </c>
      <c r="V27" s="1127">
        <v>0</v>
      </c>
      <c r="W27" s="327">
        <f t="shared" si="3"/>
        <v>0</v>
      </c>
      <c r="X27" s="1127">
        <v>0</v>
      </c>
      <c r="Y27" s="1127">
        <v>0</v>
      </c>
      <c r="Z27" s="1127">
        <v>0</v>
      </c>
      <c r="AA27" s="1127">
        <v>0</v>
      </c>
      <c r="AB27" s="327">
        <f t="shared" si="4"/>
        <v>0</v>
      </c>
      <c r="AC27" s="1127">
        <v>0</v>
      </c>
      <c r="AD27" s="1127">
        <v>0</v>
      </c>
      <c r="AE27" s="1127">
        <v>0</v>
      </c>
      <c r="AF27" s="1127">
        <v>0</v>
      </c>
      <c r="AG27" s="327">
        <f t="shared" si="5"/>
        <v>0</v>
      </c>
      <c r="AH27" s="1127">
        <v>0</v>
      </c>
      <c r="AI27" s="1127">
        <v>0</v>
      </c>
      <c r="AJ27" s="1127">
        <v>0</v>
      </c>
      <c r="AK27" s="1127">
        <v>54</v>
      </c>
      <c r="AL27" s="327">
        <f t="shared" si="6"/>
        <v>54</v>
      </c>
      <c r="AM27" s="1127">
        <v>307</v>
      </c>
      <c r="AN27" s="1127">
        <v>495</v>
      </c>
      <c r="AO27" s="1127">
        <v>545</v>
      </c>
      <c r="AP27" s="1127">
        <v>560</v>
      </c>
      <c r="AQ27" s="327">
        <f t="shared" si="7"/>
        <v>560</v>
      </c>
      <c r="AR27" s="1127">
        <v>651</v>
      </c>
      <c r="AS27" s="1127">
        <v>1013</v>
      </c>
      <c r="AT27" s="1127">
        <v>1285</v>
      </c>
      <c r="AU27" s="1127">
        <v>1418</v>
      </c>
      <c r="AV27" s="327">
        <f t="shared" si="8"/>
        <v>1418</v>
      </c>
      <c r="AW27" s="1127">
        <v>1671</v>
      </c>
      <c r="AX27" s="1127">
        <v>2038</v>
      </c>
      <c r="AY27" s="1127">
        <v>2463</v>
      </c>
      <c r="AZ27" s="1127">
        <v>2888</v>
      </c>
      <c r="BA27" s="327">
        <f t="shared" si="9"/>
        <v>2888</v>
      </c>
      <c r="BB27" s="1127">
        <v>3133</v>
      </c>
      <c r="BC27" s="1127">
        <v>3552</v>
      </c>
      <c r="BD27" s="1127">
        <v>4195</v>
      </c>
      <c r="BE27" s="1127">
        <v>4239</v>
      </c>
      <c r="BF27" s="327">
        <f t="shared" si="10"/>
        <v>4239</v>
      </c>
      <c r="BG27" s="1127">
        <v>4129</v>
      </c>
      <c r="BH27" s="1127">
        <v>4259</v>
      </c>
      <c r="BI27" s="1127">
        <v>4459</v>
      </c>
      <c r="BJ27" s="1127">
        <v>4816</v>
      </c>
      <c r="BK27" s="327">
        <f t="shared" si="11"/>
        <v>4816</v>
      </c>
      <c r="BL27" s="1127">
        <v>4766</v>
      </c>
      <c r="BM27" s="1127">
        <v>5124</v>
      </c>
      <c r="BN27" s="1127">
        <v>5305</v>
      </c>
      <c r="BO27" s="1127">
        <v>4395</v>
      </c>
      <c r="BP27" s="327">
        <f t="shared" si="12"/>
        <v>4395</v>
      </c>
      <c r="BQ27" s="1127">
        <v>4620</v>
      </c>
      <c r="BR27" s="1127">
        <v>5300</v>
      </c>
      <c r="BS27" s="1127">
        <v>5568</v>
      </c>
      <c r="BT27" s="1127">
        <v>5920</v>
      </c>
      <c r="BU27" s="327">
        <f t="shared" si="13"/>
        <v>5920</v>
      </c>
      <c r="BV27" s="1127">
        <v>6841</v>
      </c>
      <c r="BW27" s="1127">
        <v>6810</v>
      </c>
      <c r="BX27" s="1127">
        <v>6798</v>
      </c>
      <c r="BY27" s="1127">
        <v>7225</v>
      </c>
      <c r="BZ27" s="327">
        <f t="shared" si="14"/>
        <v>7225</v>
      </c>
      <c r="CA27" s="1127">
        <v>6620</v>
      </c>
      <c r="CB27" s="1127">
        <v>6229</v>
      </c>
      <c r="CC27" s="1127">
        <v>5949</v>
      </c>
      <c r="CD27" s="1127">
        <v>6514</v>
      </c>
      <c r="CE27" s="327">
        <f t="shared" si="15"/>
        <v>6514</v>
      </c>
      <c r="CF27" s="1127">
        <v>6149</v>
      </c>
      <c r="CG27" s="1127">
        <v>6267</v>
      </c>
      <c r="CH27" s="1127">
        <v>6275</v>
      </c>
      <c r="CI27" s="1127">
        <v>7502</v>
      </c>
      <c r="CJ27" s="327">
        <f t="shared" si="16"/>
        <v>7502</v>
      </c>
      <c r="CK27" s="1127">
        <v>7148</v>
      </c>
      <c r="CL27" s="1127">
        <v>7118</v>
      </c>
      <c r="CM27" s="1127">
        <v>7215</v>
      </c>
      <c r="CN27" s="1127">
        <v>9138</v>
      </c>
      <c r="CO27" s="327">
        <f t="shared" si="17"/>
        <v>9138</v>
      </c>
      <c r="CP27" s="1127">
        <v>8310</v>
      </c>
      <c r="CQ27" s="1127">
        <v>10023</v>
      </c>
      <c r="CR27" s="1127">
        <v>8551</v>
      </c>
      <c r="CS27" s="1127">
        <v>10779</v>
      </c>
      <c r="CT27" s="327">
        <f t="shared" si="18"/>
        <v>10779</v>
      </c>
      <c r="CU27" s="1127">
        <v>9787</v>
      </c>
      <c r="CV27" s="1127">
        <v>10221</v>
      </c>
      <c r="CW27" s="1127">
        <v>10385</v>
      </c>
      <c r="CX27" s="1127">
        <v>13397</v>
      </c>
      <c r="CY27" s="327">
        <f t="shared" si="19"/>
        <v>13397</v>
      </c>
      <c r="CZ27" s="1127">
        <v>11815</v>
      </c>
      <c r="DA27" s="1127">
        <v>11532</v>
      </c>
      <c r="DB27" s="1127">
        <v>10924</v>
      </c>
      <c r="DC27" s="1127">
        <v>13003</v>
      </c>
      <c r="DD27" s="327">
        <f t="shared" si="20"/>
        <v>13003</v>
      </c>
      <c r="DE27" s="1127">
        <v>13567</v>
      </c>
      <c r="DF27" s="1127">
        <v>11361</v>
      </c>
      <c r="DG27" s="1127">
        <v>11171</v>
      </c>
      <c r="DH27" s="1127">
        <v>13652</v>
      </c>
      <c r="DI27" s="327">
        <f t="shared" si="21"/>
        <v>13652</v>
      </c>
      <c r="DJ27" s="1127">
        <v>12767</v>
      </c>
      <c r="DK27" s="1127">
        <v>12063</v>
      </c>
      <c r="DL27" s="1127">
        <v>11887</v>
      </c>
      <c r="DM27" s="1127">
        <v>15722</v>
      </c>
      <c r="DN27" s="327">
        <f t="shared" si="22"/>
        <v>15722</v>
      </c>
      <c r="DO27" s="1127">
        <v>14345</v>
      </c>
      <c r="DP27" s="1127">
        <v>13985</v>
      </c>
      <c r="DQ27" s="1127">
        <v>13929</v>
      </c>
      <c r="DR27" s="1127">
        <v>18653</v>
      </c>
      <c r="DS27" s="327">
        <f t="shared" si="23"/>
        <v>18653</v>
      </c>
      <c r="DT27" s="1127">
        <v>18295</v>
      </c>
      <c r="DU27" s="1127">
        <v>18354</v>
      </c>
      <c r="DV27" s="1127">
        <v>16511</v>
      </c>
      <c r="DW27" s="1127">
        <v>20639</v>
      </c>
      <c r="DX27" s="327">
        <f t="shared" si="24"/>
        <v>20639</v>
      </c>
      <c r="DY27" s="1127">
        <v>18585</v>
      </c>
      <c r="DZ27" s="1127">
        <v>17616</v>
      </c>
      <c r="EA27" s="1127">
        <v>17670</v>
      </c>
      <c r="EB27" s="1127">
        <v>23150</v>
      </c>
      <c r="EC27" s="327">
        <f t="shared" si="25"/>
        <v>23150</v>
      </c>
      <c r="ED27" s="1127">
        <v>20713</v>
      </c>
      <c r="EE27" s="1127">
        <v>19192</v>
      </c>
      <c r="EF27" s="1127">
        <v>18232</v>
      </c>
      <c r="EG27" s="1127">
        <v>23223</v>
      </c>
      <c r="EH27" s="327">
        <f t="shared" si="26"/>
        <v>23223</v>
      </c>
      <c r="EI27" s="2769">
        <v>21603</v>
      </c>
      <c r="EJ27" s="2769">
        <v>20929</v>
      </c>
      <c r="EK27" s="2769">
        <v>20876</v>
      </c>
      <c r="EL27" s="2769">
        <v>20177</v>
      </c>
      <c r="EM27" s="2770">
        <f t="shared" si="27"/>
        <v>20177</v>
      </c>
      <c r="EN27" s="2769">
        <v>18653</v>
      </c>
      <c r="EO27" s="2769">
        <v>18066</v>
      </c>
      <c r="EP27" s="2769">
        <v>18136</v>
      </c>
      <c r="EQ27" s="2769">
        <v>24013</v>
      </c>
      <c r="ER27" s="2770">
        <f t="shared" si="28"/>
        <v>24013</v>
      </c>
      <c r="ES27" s="2769">
        <v>22778</v>
      </c>
      <c r="ET27" s="2769">
        <v>21309</v>
      </c>
      <c r="EU27" s="2769">
        <v>21370</v>
      </c>
      <c r="EV27" s="242">
        <f>'Unearned Revenue Breakdown'!EV42</f>
        <v>28873.507148101267</v>
      </c>
      <c r="EW27" s="327">
        <f t="shared" si="37"/>
        <v>28873.507148101267</v>
      </c>
      <c r="EX27" s="242">
        <f>'Unearned Revenue Breakdown'!EX42</f>
        <v>26720.289113797429</v>
      </c>
      <c r="EY27" s="242">
        <f>'Unearned Revenue Breakdown'!EY42</f>
        <v>25360.418513001448</v>
      </c>
      <c r="EZ27" s="242">
        <f>'Unearned Revenue Breakdown'!EZ42</f>
        <v>25159.394163318564</v>
      </c>
      <c r="FA27" s="242">
        <f>'Unearned Revenue Breakdown'!FA42</f>
        <v>33507.560870977497</v>
      </c>
      <c r="FB27" s="327">
        <f t="shared" si="38"/>
        <v>33507.560870977497</v>
      </c>
      <c r="FC27" s="242">
        <f>'Unearned Revenue Breakdown'!FC42</f>
        <v>30963.932410782476</v>
      </c>
      <c r="FD27" s="242">
        <f>'Unearned Revenue Breakdown'!FD42</f>
        <v>29357.497062731203</v>
      </c>
      <c r="FE27" s="242">
        <f>'Unearned Revenue Breakdown'!FE42</f>
        <v>29120.024011280148</v>
      </c>
      <c r="FF27" s="242">
        <f>'Unearned Revenue Breakdown'!FF42</f>
        <v>38972.706121109833</v>
      </c>
      <c r="FG27" s="327">
        <f t="shared" si="39"/>
        <v>38972.706121109833</v>
      </c>
      <c r="FH27" s="242">
        <f>'Unearned Revenue Breakdown'!FH42</f>
        <v>35967.880023409991</v>
      </c>
      <c r="FI27" s="242">
        <f>'Unearned Revenue Breakdown'!FI42</f>
        <v>34070.174075536655</v>
      </c>
      <c r="FJ27" s="242">
        <f>'Unearned Revenue Breakdown'!FJ42</f>
        <v>33789.643631068422</v>
      </c>
      <c r="FK27" s="242">
        <f>'Unearned Revenue Breakdown'!FK42</f>
        <v>45419.49343930879</v>
      </c>
      <c r="FL27" s="327">
        <f t="shared" si="40"/>
        <v>45419.49343930879</v>
      </c>
      <c r="FM27" s="481"/>
      <c r="FN27" s="484"/>
      <c r="FO27"/>
      <c r="FP27"/>
      <c r="FQ27"/>
      <c r="FR27"/>
      <c r="FS27"/>
      <c r="FT27"/>
      <c r="FU27" s="261"/>
      <c r="FV27" s="261"/>
      <c r="FW27" s="261"/>
      <c r="FX27" s="261"/>
    </row>
    <row r="28" spans="1:180" s="264" customFormat="1" ht="11.25" customHeight="1">
      <c r="A28" s="264" t="s">
        <v>279</v>
      </c>
      <c r="D28" s="1127">
        <v>0</v>
      </c>
      <c r="E28" s="1127">
        <v>0</v>
      </c>
      <c r="F28" s="1127">
        <v>0</v>
      </c>
      <c r="G28" s="1127">
        <v>0</v>
      </c>
      <c r="H28" s="327">
        <f t="shared" si="0"/>
        <v>0</v>
      </c>
      <c r="I28" s="1127">
        <v>0</v>
      </c>
      <c r="J28" s="1127">
        <v>0</v>
      </c>
      <c r="K28" s="1127">
        <v>0</v>
      </c>
      <c r="L28" s="1127">
        <v>0</v>
      </c>
      <c r="M28" s="327">
        <f t="shared" si="1"/>
        <v>0</v>
      </c>
      <c r="N28" s="1127">
        <v>0</v>
      </c>
      <c r="O28" s="1127">
        <v>0</v>
      </c>
      <c r="P28" s="1127">
        <v>0</v>
      </c>
      <c r="Q28" s="1127">
        <v>0</v>
      </c>
      <c r="R28" s="327">
        <f t="shared" si="2"/>
        <v>0</v>
      </c>
      <c r="S28" s="1127">
        <v>0</v>
      </c>
      <c r="T28" s="1127">
        <v>0</v>
      </c>
      <c r="U28" s="1127">
        <v>0</v>
      </c>
      <c r="V28" s="1127">
        <v>0</v>
      </c>
      <c r="W28" s="327">
        <f t="shared" si="3"/>
        <v>0</v>
      </c>
      <c r="X28" s="1127">
        <v>0</v>
      </c>
      <c r="Y28" s="1127">
        <v>0</v>
      </c>
      <c r="Z28" s="1127">
        <v>0</v>
      </c>
      <c r="AA28" s="1127">
        <v>0</v>
      </c>
      <c r="AB28" s="327">
        <f t="shared" si="4"/>
        <v>0</v>
      </c>
      <c r="AC28" s="1127">
        <v>0</v>
      </c>
      <c r="AD28" s="1127">
        <v>0</v>
      </c>
      <c r="AE28" s="1127">
        <v>0</v>
      </c>
      <c r="AF28" s="1127">
        <v>0</v>
      </c>
      <c r="AG28" s="327">
        <f t="shared" si="5"/>
        <v>0</v>
      </c>
      <c r="AH28" s="1127">
        <v>0</v>
      </c>
      <c r="AI28" s="1127">
        <v>0</v>
      </c>
      <c r="AJ28" s="1127">
        <v>0</v>
      </c>
      <c r="AK28" s="1127">
        <v>0</v>
      </c>
      <c r="AL28" s="327">
        <f t="shared" si="6"/>
        <v>0</v>
      </c>
      <c r="AM28" s="1127">
        <v>0</v>
      </c>
      <c r="AN28" s="1127">
        <v>0</v>
      </c>
      <c r="AO28" s="1127">
        <v>0</v>
      </c>
      <c r="AP28" s="1127">
        <v>0</v>
      </c>
      <c r="AQ28" s="327">
        <f t="shared" si="7"/>
        <v>0</v>
      </c>
      <c r="AR28" s="1127">
        <v>0</v>
      </c>
      <c r="AS28" s="1127">
        <v>0</v>
      </c>
      <c r="AT28" s="1127">
        <v>0</v>
      </c>
      <c r="AU28" s="1127">
        <v>0</v>
      </c>
      <c r="AV28" s="327">
        <f t="shared" si="8"/>
        <v>0</v>
      </c>
      <c r="AW28" s="1127">
        <v>0</v>
      </c>
      <c r="AX28" s="1127">
        <v>0</v>
      </c>
      <c r="AY28" s="1127">
        <v>0</v>
      </c>
      <c r="AZ28" s="1127">
        <v>0</v>
      </c>
      <c r="BA28" s="327">
        <f t="shared" si="9"/>
        <v>0</v>
      </c>
      <c r="BB28" s="1127">
        <v>0</v>
      </c>
      <c r="BC28" s="1127">
        <v>0</v>
      </c>
      <c r="BD28" s="1127">
        <v>0</v>
      </c>
      <c r="BE28" s="1127">
        <v>0</v>
      </c>
      <c r="BF28" s="327">
        <f t="shared" si="10"/>
        <v>0</v>
      </c>
      <c r="BG28" s="1127">
        <v>0</v>
      </c>
      <c r="BH28" s="1127">
        <v>0</v>
      </c>
      <c r="BI28" s="1127">
        <v>0</v>
      </c>
      <c r="BJ28" s="1127">
        <v>0</v>
      </c>
      <c r="BK28" s="327">
        <f t="shared" si="11"/>
        <v>0</v>
      </c>
      <c r="BL28" s="1127">
        <v>0</v>
      </c>
      <c r="BM28" s="1127">
        <v>0</v>
      </c>
      <c r="BN28" s="1127">
        <v>0</v>
      </c>
      <c r="BO28" s="1127">
        <v>0</v>
      </c>
      <c r="BP28" s="327">
        <f t="shared" si="12"/>
        <v>0</v>
      </c>
      <c r="BQ28" s="1127">
        <v>0</v>
      </c>
      <c r="BR28" s="1127">
        <v>0</v>
      </c>
      <c r="BS28" s="1127">
        <v>0</v>
      </c>
      <c r="BT28" s="1127">
        <v>0</v>
      </c>
      <c r="BU28" s="327">
        <f t="shared" si="13"/>
        <v>0</v>
      </c>
      <c r="BV28" s="1127">
        <v>0</v>
      </c>
      <c r="BW28" s="1127">
        <v>0</v>
      </c>
      <c r="BX28" s="1127">
        <v>0</v>
      </c>
      <c r="BY28" s="1127">
        <v>0</v>
      </c>
      <c r="BZ28" s="327">
        <f t="shared" si="14"/>
        <v>0</v>
      </c>
      <c r="CA28" s="1127">
        <v>1729</v>
      </c>
      <c r="CB28" s="1127">
        <v>0</v>
      </c>
      <c r="CC28" s="1127">
        <v>0</v>
      </c>
      <c r="CD28" s="1127">
        <v>0</v>
      </c>
      <c r="CE28" s="327">
        <f t="shared" si="15"/>
        <v>0</v>
      </c>
      <c r="CF28" s="1127">
        <v>0</v>
      </c>
      <c r="CG28" s="1127">
        <v>0</v>
      </c>
      <c r="CH28" s="242">
        <f>+CG28+DEPR!CH70</f>
        <v>0</v>
      </c>
      <c r="CI28" s="1127">
        <v>0</v>
      </c>
      <c r="CJ28" s="327">
        <f t="shared" si="16"/>
        <v>0</v>
      </c>
      <c r="CK28" s="1127">
        <v>0</v>
      </c>
      <c r="CL28" s="1127">
        <v>0</v>
      </c>
      <c r="CM28" s="242">
        <f>+CL28+DEPR!CM70</f>
        <v>0</v>
      </c>
      <c r="CN28" s="242">
        <f>+CM28+DEPR!CN70</f>
        <v>0</v>
      </c>
      <c r="CO28" s="327">
        <f t="shared" si="17"/>
        <v>0</v>
      </c>
      <c r="CP28" s="1127">
        <v>0</v>
      </c>
      <c r="CQ28" s="1127">
        <v>0</v>
      </c>
      <c r="CR28" s="1127">
        <v>0</v>
      </c>
      <c r="CS28" s="1127">
        <v>0</v>
      </c>
      <c r="CT28" s="327">
        <f t="shared" si="18"/>
        <v>0</v>
      </c>
      <c r="CU28" s="1127">
        <v>0</v>
      </c>
      <c r="CV28" s="1127">
        <v>0</v>
      </c>
      <c r="CW28" s="1127">
        <v>0</v>
      </c>
      <c r="CX28" s="1127">
        <v>0</v>
      </c>
      <c r="CY28" s="327">
        <f t="shared" si="19"/>
        <v>0</v>
      </c>
      <c r="CZ28" s="1127">
        <v>0</v>
      </c>
      <c r="DA28" s="242">
        <f>+CZ28+DEPR!DA70</f>
        <v>0</v>
      </c>
      <c r="DB28" s="1127">
        <v>0</v>
      </c>
      <c r="DC28" s="1127">
        <v>0</v>
      </c>
      <c r="DD28" s="327">
        <f t="shared" si="20"/>
        <v>0</v>
      </c>
      <c r="DE28" s="1127">
        <v>0</v>
      </c>
      <c r="DF28" s="242">
        <f>+DE28+DEPR!DF70</f>
        <v>0</v>
      </c>
      <c r="DG28" s="1127">
        <v>0</v>
      </c>
      <c r="DH28" s="242">
        <f>+DG28+DEPR!DH70</f>
        <v>0</v>
      </c>
      <c r="DI28" s="327">
        <f t="shared" si="21"/>
        <v>0</v>
      </c>
      <c r="DJ28" s="1127">
        <v>0</v>
      </c>
      <c r="DK28" s="1127">
        <v>0</v>
      </c>
      <c r="DL28" s="1127">
        <v>0</v>
      </c>
      <c r="DM28" s="1127">
        <v>0</v>
      </c>
      <c r="DN28" s="327">
        <f t="shared" si="22"/>
        <v>0</v>
      </c>
      <c r="DO28" s="1127">
        <v>0</v>
      </c>
      <c r="DP28" s="1127">
        <v>0</v>
      </c>
      <c r="DQ28" s="1127">
        <v>0</v>
      </c>
      <c r="DR28" s="1127">
        <v>0</v>
      </c>
      <c r="DS28" s="327">
        <f t="shared" si="23"/>
        <v>0</v>
      </c>
      <c r="DT28" s="1127">
        <v>0</v>
      </c>
      <c r="DU28" s="1127">
        <v>0</v>
      </c>
      <c r="DV28" s="1127">
        <v>0</v>
      </c>
      <c r="DW28" s="1127">
        <v>0</v>
      </c>
      <c r="DX28" s="327">
        <f t="shared" si="24"/>
        <v>0</v>
      </c>
      <c r="DY28" s="1127">
        <v>0</v>
      </c>
      <c r="DZ28" s="1127">
        <v>0</v>
      </c>
      <c r="EA28" s="1127">
        <v>0</v>
      </c>
      <c r="EB28" s="1127">
        <v>0</v>
      </c>
      <c r="EC28" s="327">
        <f t="shared" si="25"/>
        <v>0</v>
      </c>
      <c r="ED28" s="1127">
        <v>0</v>
      </c>
      <c r="EE28" s="1127">
        <v>0</v>
      </c>
      <c r="EF28" s="1127">
        <v>0</v>
      </c>
      <c r="EG28" s="1127">
        <v>0</v>
      </c>
      <c r="EH28" s="327">
        <f t="shared" si="26"/>
        <v>0</v>
      </c>
      <c r="EI28" s="2769">
        <v>0</v>
      </c>
      <c r="EJ28" s="2769">
        <v>0</v>
      </c>
      <c r="EK28" s="2769">
        <v>0</v>
      </c>
      <c r="EL28" s="2769">
        <v>0</v>
      </c>
      <c r="EM28" s="2770">
        <f t="shared" si="27"/>
        <v>0</v>
      </c>
      <c r="EN28" s="2769">
        <v>0</v>
      </c>
      <c r="EO28" s="2769">
        <v>0</v>
      </c>
      <c r="EP28" s="2769">
        <v>0</v>
      </c>
      <c r="EQ28" s="2769">
        <v>0</v>
      </c>
      <c r="ER28" s="2770">
        <f t="shared" si="28"/>
        <v>0</v>
      </c>
      <c r="ES28" s="2769">
        <v>0</v>
      </c>
      <c r="ET28" s="2769">
        <v>0</v>
      </c>
      <c r="EU28" s="2769">
        <v>0</v>
      </c>
      <c r="EV28" s="242">
        <f>+EU28+DEPR!EV70</f>
        <v>0</v>
      </c>
      <c r="EW28" s="327">
        <f t="shared" si="37"/>
        <v>0</v>
      </c>
      <c r="EX28" s="242">
        <f>+EW28+DEPR!EX70</f>
        <v>0</v>
      </c>
      <c r="EY28" s="242">
        <f>+EX28+DEPR!EY70</f>
        <v>0</v>
      </c>
      <c r="EZ28" s="242">
        <f>+EY28+DEPR!EZ70</f>
        <v>0</v>
      </c>
      <c r="FA28" s="242">
        <f>+EZ28+DEPR!FA70</f>
        <v>0</v>
      </c>
      <c r="FB28" s="327">
        <f t="shared" si="38"/>
        <v>0</v>
      </c>
      <c r="FC28" s="242">
        <f>+FB28+DEPR!FC70</f>
        <v>0</v>
      </c>
      <c r="FD28" s="242">
        <f>+FC28+DEPR!FD70</f>
        <v>0</v>
      </c>
      <c r="FE28" s="242">
        <f>+FD28+DEPR!FE70</f>
        <v>0</v>
      </c>
      <c r="FF28" s="242">
        <f>+FE28+DEPR!FF70</f>
        <v>0</v>
      </c>
      <c r="FG28" s="327">
        <f t="shared" si="39"/>
        <v>0</v>
      </c>
      <c r="FH28" s="242">
        <f>+FG28+DEPR!FH70</f>
        <v>0</v>
      </c>
      <c r="FI28" s="242">
        <f>+FH28+DEPR!FI70</f>
        <v>0</v>
      </c>
      <c r="FJ28" s="242">
        <f>+FI28+DEPR!FJ70</f>
        <v>0</v>
      </c>
      <c r="FK28" s="242">
        <f>+FJ28+DEPR!FK70</f>
        <v>0</v>
      </c>
      <c r="FL28" s="327">
        <f t="shared" si="40"/>
        <v>0</v>
      </c>
      <c r="FM28" s="481"/>
      <c r="FN28" s="484"/>
      <c r="FO28"/>
      <c r="FP28"/>
      <c r="FQ28"/>
      <c r="FR28"/>
      <c r="FS28"/>
      <c r="FT28"/>
      <c r="FU28" s="261"/>
      <c r="FV28" s="261"/>
      <c r="FW28" s="261"/>
      <c r="FX28" s="261"/>
    </row>
    <row r="29" spans="1:180" s="264" customFormat="1" ht="11.25" customHeight="1">
      <c r="A29" s="264" t="s">
        <v>88</v>
      </c>
      <c r="D29" s="242"/>
      <c r="E29" s="242"/>
      <c r="F29" s="242"/>
      <c r="G29" s="242"/>
      <c r="H29" s="327"/>
      <c r="I29" s="242"/>
      <c r="J29" s="242"/>
      <c r="K29" s="242"/>
      <c r="L29" s="242"/>
      <c r="M29" s="327"/>
      <c r="N29" s="242"/>
      <c r="O29" s="242"/>
      <c r="P29" s="242"/>
      <c r="Q29" s="242"/>
      <c r="R29" s="327"/>
      <c r="S29" s="242"/>
      <c r="T29" s="242"/>
      <c r="U29" s="242"/>
      <c r="V29" s="242"/>
      <c r="W29" s="327"/>
      <c r="X29" s="242"/>
      <c r="Y29" s="242"/>
      <c r="Z29" s="242"/>
      <c r="AA29" s="242"/>
      <c r="AB29" s="327"/>
      <c r="AC29" s="242"/>
      <c r="AD29" s="242"/>
      <c r="AE29" s="242"/>
      <c r="AF29" s="242"/>
      <c r="AG29" s="327"/>
      <c r="AH29" s="242"/>
      <c r="AI29" s="242"/>
      <c r="AJ29" s="242"/>
      <c r="AK29" s="242"/>
      <c r="AL29" s="327"/>
      <c r="AM29" s="242"/>
      <c r="AN29" s="242"/>
      <c r="AO29" s="242"/>
      <c r="AP29" s="242"/>
      <c r="AQ29" s="327"/>
      <c r="AR29" s="242"/>
      <c r="AS29" s="242"/>
      <c r="AT29" s="242"/>
      <c r="AU29" s="242"/>
      <c r="AV29" s="327"/>
      <c r="AW29" s="242"/>
      <c r="AX29" s="242"/>
      <c r="AY29" s="242"/>
      <c r="AZ29" s="242"/>
      <c r="BA29" s="327"/>
      <c r="BB29" s="242"/>
      <c r="BC29" s="242"/>
      <c r="BD29" s="242"/>
      <c r="BE29" s="242"/>
      <c r="BF29" s="327"/>
      <c r="BG29" s="242"/>
      <c r="BH29" s="242"/>
      <c r="BI29" s="242"/>
      <c r="BJ29" s="242"/>
      <c r="BK29" s="327"/>
      <c r="BL29" s="242"/>
      <c r="BM29" s="242"/>
      <c r="BN29" s="242"/>
      <c r="BO29" s="242"/>
      <c r="BP29" s="327"/>
      <c r="BQ29" s="242"/>
      <c r="BR29" s="242"/>
      <c r="BS29" s="242"/>
      <c r="BT29" s="242"/>
      <c r="BU29" s="327"/>
      <c r="BV29" s="242"/>
      <c r="BW29" s="242"/>
      <c r="BX29" s="242"/>
      <c r="BY29" s="242"/>
      <c r="BZ29" s="327"/>
      <c r="CA29" s="242"/>
      <c r="CB29" s="242"/>
      <c r="CC29" s="242"/>
      <c r="CD29" s="242"/>
      <c r="CE29" s="327"/>
      <c r="CF29" s="242"/>
      <c r="CG29" s="242"/>
      <c r="CH29" s="242"/>
      <c r="CI29" s="242"/>
      <c r="CJ29" s="327"/>
      <c r="CK29" s="242"/>
      <c r="CL29" s="242"/>
      <c r="CM29" s="242"/>
      <c r="CN29" s="242"/>
      <c r="CO29" s="327"/>
      <c r="CP29" s="242"/>
      <c r="CQ29" s="242"/>
      <c r="CR29" s="242"/>
      <c r="CS29" s="1127">
        <v>2741</v>
      </c>
      <c r="CT29" s="327">
        <f t="shared" si="18"/>
        <v>2741</v>
      </c>
      <c r="CU29" s="1127">
        <v>2936</v>
      </c>
      <c r="CV29" s="1127">
        <v>2166</v>
      </c>
      <c r="CW29" s="1127">
        <v>2476</v>
      </c>
      <c r="CX29" s="1127">
        <v>2614</v>
      </c>
      <c r="CY29" s="327">
        <f t="shared" si="19"/>
        <v>2614</v>
      </c>
      <c r="CZ29" s="1127">
        <v>1070</v>
      </c>
      <c r="DA29" s="1127">
        <v>469</v>
      </c>
      <c r="DB29" s="1127">
        <v>1533</v>
      </c>
      <c r="DC29" s="1127">
        <v>1684</v>
      </c>
      <c r="DD29" s="327">
        <f t="shared" si="20"/>
        <v>1684</v>
      </c>
      <c r="DE29" s="1127">
        <v>3534</v>
      </c>
      <c r="DF29" s="1127">
        <v>2911</v>
      </c>
      <c r="DG29" s="1127">
        <v>2794</v>
      </c>
      <c r="DH29" s="1127">
        <v>182</v>
      </c>
      <c r="DI29" s="327">
        <f>DH29</f>
        <v>182</v>
      </c>
      <c r="DJ29" s="1127">
        <v>909</v>
      </c>
      <c r="DK29" s="1127">
        <v>1355</v>
      </c>
      <c r="DL29" s="1127">
        <v>1245</v>
      </c>
      <c r="DM29" s="1127">
        <v>1208</v>
      </c>
      <c r="DN29" s="327">
        <f>DM29</f>
        <v>1208</v>
      </c>
      <c r="DO29" s="1127">
        <v>1141</v>
      </c>
      <c r="DP29" s="1127">
        <v>849</v>
      </c>
      <c r="DQ29" s="1127">
        <v>1210</v>
      </c>
      <c r="DR29" s="1127">
        <v>814</v>
      </c>
      <c r="DS29" s="327">
        <f>DR29</f>
        <v>814</v>
      </c>
      <c r="DT29" s="1127">
        <v>415</v>
      </c>
      <c r="DU29" s="1127">
        <v>21</v>
      </c>
      <c r="DV29" s="1127">
        <v>564</v>
      </c>
      <c r="DW29" s="1127">
        <v>645</v>
      </c>
      <c r="DX29" s="327">
        <f>DW29</f>
        <v>645</v>
      </c>
      <c r="DY29" s="1127">
        <v>582</v>
      </c>
      <c r="DZ29" s="1127">
        <v>748</v>
      </c>
      <c r="EA29" s="1127">
        <v>794</v>
      </c>
      <c r="EB29" s="1127">
        <v>558</v>
      </c>
      <c r="EC29" s="327">
        <f>EB29</f>
        <v>558</v>
      </c>
      <c r="ED29" s="1127">
        <v>191</v>
      </c>
      <c r="EE29" s="1127">
        <v>430</v>
      </c>
      <c r="EF29" s="1127">
        <v>96</v>
      </c>
      <c r="EG29" s="1127">
        <v>92</v>
      </c>
      <c r="EH29" s="327">
        <f>EG29</f>
        <v>92</v>
      </c>
      <c r="EI29" s="2769">
        <v>154</v>
      </c>
      <c r="EJ29" s="2769">
        <v>439</v>
      </c>
      <c r="EK29" s="2769">
        <v>373</v>
      </c>
      <c r="EL29" s="2769">
        <v>294</v>
      </c>
      <c r="EM29" s="2770">
        <f>EL29</f>
        <v>294</v>
      </c>
      <c r="EN29" s="2769">
        <v>210</v>
      </c>
      <c r="EO29" s="2769">
        <v>1280</v>
      </c>
      <c r="EP29" s="2769">
        <v>201</v>
      </c>
      <c r="EQ29" s="2769">
        <v>97</v>
      </c>
      <c r="ER29" s="2770">
        <f>EQ29</f>
        <v>97</v>
      </c>
      <c r="ES29" s="2769">
        <v>203</v>
      </c>
      <c r="ET29" s="2769">
        <v>26</v>
      </c>
      <c r="EU29" s="2769">
        <v>0</v>
      </c>
      <c r="EV29" s="242">
        <f>EU29</f>
        <v>0</v>
      </c>
      <c r="EW29" s="327">
        <f t="shared" si="37"/>
        <v>0</v>
      </c>
      <c r="EX29" s="242">
        <f>EV29</f>
        <v>0</v>
      </c>
      <c r="EY29" s="242">
        <f>EX29</f>
        <v>0</v>
      </c>
      <c r="EZ29" s="242">
        <f>EY29</f>
        <v>0</v>
      </c>
      <c r="FA29" s="242">
        <f>EZ29</f>
        <v>0</v>
      </c>
      <c r="FB29" s="327">
        <f t="shared" si="38"/>
        <v>0</v>
      </c>
      <c r="FC29" s="242">
        <f>FA29</f>
        <v>0</v>
      </c>
      <c r="FD29" s="242">
        <f>FC29</f>
        <v>0</v>
      </c>
      <c r="FE29" s="242">
        <f>FD29</f>
        <v>0</v>
      </c>
      <c r="FF29" s="242">
        <f>FE29</f>
        <v>0</v>
      </c>
      <c r="FG29" s="327">
        <f t="shared" si="39"/>
        <v>0</v>
      </c>
      <c r="FH29" s="242">
        <f>FF29</f>
        <v>0</v>
      </c>
      <c r="FI29" s="242">
        <f>FH29</f>
        <v>0</v>
      </c>
      <c r="FJ29" s="242">
        <f>FI29</f>
        <v>0</v>
      </c>
      <c r="FK29" s="242">
        <f>FJ29</f>
        <v>0</v>
      </c>
      <c r="FL29" s="327">
        <f t="shared" si="40"/>
        <v>0</v>
      </c>
      <c r="FM29" s="481"/>
      <c r="FN29" s="484"/>
      <c r="FO29"/>
      <c r="FP29"/>
      <c r="FQ29"/>
      <c r="FR29"/>
      <c r="FS29"/>
      <c r="FT29"/>
      <c r="FU29" s="261"/>
      <c r="FV29" s="261"/>
      <c r="FW29" s="261"/>
      <c r="FX29" s="261"/>
    </row>
    <row r="30" spans="1:180" s="264" customFormat="1" ht="11.25" customHeight="1">
      <c r="A30" s="264" t="s">
        <v>280</v>
      </c>
      <c r="D30" s="242"/>
      <c r="E30" s="1127">
        <v>0</v>
      </c>
      <c r="F30" s="1127">
        <v>0</v>
      </c>
      <c r="G30" s="1127">
        <v>0</v>
      </c>
      <c r="H30" s="327">
        <f t="shared" si="0"/>
        <v>0</v>
      </c>
      <c r="I30" s="1127">
        <v>0</v>
      </c>
      <c r="J30" s="1127">
        <v>0</v>
      </c>
      <c r="K30" s="1127">
        <v>0</v>
      </c>
      <c r="L30" s="1127">
        <v>0</v>
      </c>
      <c r="M30" s="327">
        <f t="shared" si="1"/>
        <v>0</v>
      </c>
      <c r="N30" s="1127">
        <v>0</v>
      </c>
      <c r="O30" s="1127">
        <v>0</v>
      </c>
      <c r="P30" s="1127">
        <v>0</v>
      </c>
      <c r="Q30" s="242">
        <f>19.456+25.68+76.206</f>
        <v>121.342</v>
      </c>
      <c r="R30" s="327">
        <f t="shared" si="2"/>
        <v>121.342</v>
      </c>
      <c r="S30" s="242">
        <f>16.9+19.3+93.3</f>
        <v>129.5</v>
      </c>
      <c r="T30" s="242">
        <f>92.9+18.4+12.9</f>
        <v>124.20000000000002</v>
      </c>
      <c r="U30" s="242">
        <f>105.7+12+11.7</f>
        <v>129.4</v>
      </c>
      <c r="V30" s="242">
        <f>8.324+14.217+101.769</f>
        <v>124.31</v>
      </c>
      <c r="W30" s="327">
        <f t="shared" si="3"/>
        <v>124.31</v>
      </c>
      <c r="X30" s="1127">
        <v>109</v>
      </c>
      <c r="Y30" s="1127">
        <v>125</v>
      </c>
      <c r="Z30" s="1127">
        <v>136</v>
      </c>
      <c r="AA30" s="1127">
        <v>111</v>
      </c>
      <c r="AB30" s="327">
        <f t="shared" si="4"/>
        <v>111</v>
      </c>
      <c r="AC30" s="1127">
        <v>118</v>
      </c>
      <c r="AD30" s="1127">
        <v>188</v>
      </c>
      <c r="AE30" s="242">
        <f>120+208</f>
        <v>328</v>
      </c>
      <c r="AF30" s="1127">
        <v>188</v>
      </c>
      <c r="AG30" s="327">
        <f t="shared" si="5"/>
        <v>188</v>
      </c>
      <c r="AH30" s="1127">
        <v>200</v>
      </c>
      <c r="AI30" s="1127">
        <v>191</v>
      </c>
      <c r="AJ30" s="1127">
        <v>187</v>
      </c>
      <c r="AK30" s="1127">
        <v>190</v>
      </c>
      <c r="AL30" s="327">
        <f t="shared" si="6"/>
        <v>190</v>
      </c>
      <c r="AM30" s="1127">
        <v>206</v>
      </c>
      <c r="AN30" s="1127">
        <v>267</v>
      </c>
      <c r="AO30" s="1127">
        <v>309</v>
      </c>
      <c r="AP30" s="1127">
        <v>371</v>
      </c>
      <c r="AQ30" s="327">
        <f t="shared" si="7"/>
        <v>371</v>
      </c>
      <c r="AR30" s="1127">
        <v>415</v>
      </c>
      <c r="AS30" s="1127">
        <v>514</v>
      </c>
      <c r="AT30" s="1127">
        <v>658</v>
      </c>
      <c r="AU30" s="1127">
        <v>669</v>
      </c>
      <c r="AV30" s="327">
        <f t="shared" si="8"/>
        <v>669</v>
      </c>
      <c r="AW30" s="1127">
        <v>723</v>
      </c>
      <c r="AX30" s="1127">
        <v>712</v>
      </c>
      <c r="AY30" s="1127">
        <v>746</v>
      </c>
      <c r="AZ30" s="1127">
        <v>809</v>
      </c>
      <c r="BA30" s="327">
        <f t="shared" si="9"/>
        <v>809</v>
      </c>
      <c r="BB30" s="1127">
        <v>916</v>
      </c>
      <c r="BC30" s="1127">
        <v>896</v>
      </c>
      <c r="BD30" s="1127">
        <v>992</v>
      </c>
      <c r="BE30" s="1127">
        <v>1602</v>
      </c>
      <c r="BF30" s="327">
        <f t="shared" si="10"/>
        <v>1602</v>
      </c>
      <c r="BG30" s="1127">
        <v>1757</v>
      </c>
      <c r="BH30" s="1127">
        <v>2376</v>
      </c>
      <c r="BI30" s="1127">
        <v>3267</v>
      </c>
      <c r="BJ30" s="1127">
        <v>2714</v>
      </c>
      <c r="BK30" s="327">
        <f t="shared" si="11"/>
        <v>2714</v>
      </c>
      <c r="BL30" s="1127">
        <v>2577</v>
      </c>
      <c r="BM30" s="1127">
        <v>2019</v>
      </c>
      <c r="BN30" s="1127">
        <v>1935</v>
      </c>
      <c r="BO30" s="1127">
        <v>1461</v>
      </c>
      <c r="BP30" s="327">
        <f t="shared" si="12"/>
        <v>1461</v>
      </c>
      <c r="BQ30" s="1127">
        <v>3153</v>
      </c>
      <c r="BR30" s="1127">
        <v>1743</v>
      </c>
      <c r="BS30" s="1127">
        <v>1839</v>
      </c>
      <c r="BT30" s="1127">
        <v>2449</v>
      </c>
      <c r="BU30" s="327">
        <f t="shared" si="13"/>
        <v>2449</v>
      </c>
      <c r="BV30" s="1127">
        <v>1569</v>
      </c>
      <c r="BW30" s="1127">
        <v>1451</v>
      </c>
      <c r="BX30" s="1127">
        <v>1378</v>
      </c>
      <c r="BY30" s="1127">
        <v>1716</v>
      </c>
      <c r="BZ30" s="327">
        <f t="shared" si="14"/>
        <v>1716</v>
      </c>
      <c r="CA30" s="1127">
        <v>1939</v>
      </c>
      <c r="CB30" s="1127">
        <v>1695</v>
      </c>
      <c r="CC30" s="1127">
        <v>4224</v>
      </c>
      <c r="CD30" s="1127">
        <v>1921</v>
      </c>
      <c r="CE30" s="327">
        <f t="shared" si="15"/>
        <v>1921</v>
      </c>
      <c r="CF30" s="1127">
        <v>3292</v>
      </c>
      <c r="CG30" s="1127">
        <v>2601</v>
      </c>
      <c r="CH30" s="1127">
        <v>3460</v>
      </c>
      <c r="CI30" s="1127">
        <v>3607</v>
      </c>
      <c r="CJ30" s="327">
        <f t="shared" si="16"/>
        <v>3607</v>
      </c>
      <c r="CK30" s="1127">
        <v>3703</v>
      </c>
      <c r="CL30" s="1127">
        <v>3116</v>
      </c>
      <c r="CM30" s="242">
        <f>3140+1337</f>
        <v>4477</v>
      </c>
      <c r="CN30" s="242">
        <f>3117+3783</f>
        <v>6900</v>
      </c>
      <c r="CO30" s="327">
        <f t="shared" si="17"/>
        <v>6900</v>
      </c>
      <c r="CP30" s="242">
        <f>3645+4216</f>
        <v>7861</v>
      </c>
      <c r="CQ30" s="242">
        <f>2713+3639</f>
        <v>6352</v>
      </c>
      <c r="CR30" s="242">
        <f>3032+3393</f>
        <v>6425</v>
      </c>
      <c r="CS30" s="242">
        <f>3622</f>
        <v>3622</v>
      </c>
      <c r="CT30" s="327">
        <f t="shared" si="18"/>
        <v>3622</v>
      </c>
      <c r="CU30" s="242">
        <f>3609</f>
        <v>3609</v>
      </c>
      <c r="CV30" s="242">
        <f>3219</f>
        <v>3219</v>
      </c>
      <c r="CW30" s="242">
        <f>4375</f>
        <v>4375</v>
      </c>
      <c r="CX30" s="242">
        <f>3659</f>
        <v>3659</v>
      </c>
      <c r="CY30" s="327">
        <f t="shared" si="19"/>
        <v>3659</v>
      </c>
      <c r="CZ30" s="242">
        <f>3520</f>
        <v>3520</v>
      </c>
      <c r="DA30" s="1127">
        <v>3089</v>
      </c>
      <c r="DB30" s="242">
        <f>2933</f>
        <v>2933</v>
      </c>
      <c r="DC30" s="1127">
        <v>3142</v>
      </c>
      <c r="DD30" s="327">
        <f t="shared" si="20"/>
        <v>3142</v>
      </c>
      <c r="DE30" s="242">
        <f>3052</f>
        <v>3052</v>
      </c>
      <c r="DF30" s="1127">
        <v>2885</v>
      </c>
      <c r="DG30" s="1127">
        <v>3145</v>
      </c>
      <c r="DH30" s="1127">
        <v>2931</v>
      </c>
      <c r="DI30" s="327">
        <f t="shared" si="21"/>
        <v>2931</v>
      </c>
      <c r="DJ30" s="1127">
        <v>3139</v>
      </c>
      <c r="DK30" s="1127">
        <v>3190</v>
      </c>
      <c r="DL30" s="1127">
        <v>3325</v>
      </c>
      <c r="DM30" s="1127">
        <v>3492</v>
      </c>
      <c r="DN30" s="327">
        <f t="shared" si="22"/>
        <v>3492</v>
      </c>
      <c r="DO30" s="1127">
        <v>3245</v>
      </c>
      <c r="DP30" s="1127">
        <v>3057</v>
      </c>
      <c r="DQ30" s="1127">
        <v>3011</v>
      </c>
      <c r="DR30" s="1127">
        <v>3151</v>
      </c>
      <c r="DS30" s="327">
        <f t="shared" si="23"/>
        <v>3151</v>
      </c>
      <c r="DT30" s="1127">
        <v>3312</v>
      </c>
      <c r="DU30" s="1127">
        <v>3366</v>
      </c>
      <c r="DV30" s="1127">
        <v>3913</v>
      </c>
      <c r="DW30" s="1127">
        <v>3597</v>
      </c>
      <c r="DX30" s="327">
        <f t="shared" si="24"/>
        <v>3597</v>
      </c>
      <c r="DY30" s="1127">
        <v>3625</v>
      </c>
      <c r="DZ30" s="1127">
        <v>3920</v>
      </c>
      <c r="EA30" s="1127">
        <v>4275</v>
      </c>
      <c r="EB30" s="1127">
        <v>6906</v>
      </c>
      <c r="EC30" s="327">
        <f t="shared" si="25"/>
        <v>6906</v>
      </c>
      <c r="ED30" s="1127">
        <v>7130</v>
      </c>
      <c r="EE30" s="1127">
        <v>6623</v>
      </c>
      <c r="EF30" s="1127">
        <f>6846</f>
        <v>6846</v>
      </c>
      <c r="EG30" s="1127">
        <v>6766</v>
      </c>
      <c r="EH30" s="327">
        <f t="shared" si="26"/>
        <v>6766</v>
      </c>
      <c r="EI30" s="2769">
        <v>6207</v>
      </c>
      <c r="EJ30" s="2769">
        <v>6447</v>
      </c>
      <c r="EK30" s="2769">
        <v>5887</v>
      </c>
      <c r="EL30" s="2769">
        <v>6985</v>
      </c>
      <c r="EM30" s="2770">
        <f t="shared" si="27"/>
        <v>6985</v>
      </c>
      <c r="EN30" s="2769">
        <v>8199</v>
      </c>
      <c r="EO30" s="2769">
        <v>7979</v>
      </c>
      <c r="EP30" s="2769">
        <v>7390</v>
      </c>
      <c r="EQ30" s="2769">
        <v>7587</v>
      </c>
      <c r="ER30" s="2770">
        <f t="shared" si="28"/>
        <v>7587</v>
      </c>
      <c r="ES30" s="2769">
        <v>7520</v>
      </c>
      <c r="ET30" s="2769">
        <v>7787</v>
      </c>
      <c r="EU30" s="2769">
        <v>7500</v>
      </c>
      <c r="EV30" s="242">
        <f>+IS!EV34*4*BS!EV53/100</f>
        <v>8160.5153146374832</v>
      </c>
      <c r="EW30" s="327">
        <f t="shared" ref="EW30:EW42" si="41">EV30</f>
        <v>8160.5153146374832</v>
      </c>
      <c r="EX30" s="242">
        <f>+IS!EX34*4*BS!EX53/100</f>
        <v>8219.3514960488592</v>
      </c>
      <c r="EY30" s="242">
        <f>+IS!EY34*4*BS!EY53/100</f>
        <v>8469.8892766051922</v>
      </c>
      <c r="EZ30" s="242">
        <f>+IS!EZ34*4*BS!EZ53/100</f>
        <v>8219.8117879529545</v>
      </c>
      <c r="FA30" s="242">
        <f>+IS!FA34*4*BS!FA53/100</f>
        <v>8948.1555755836998</v>
      </c>
      <c r="FB30" s="327">
        <f t="shared" si="38"/>
        <v>8948.1555755836998</v>
      </c>
      <c r="FC30" s="242">
        <f>+IS!FC34*4*BS!FC53/100</f>
        <v>9070.7560201030137</v>
      </c>
      <c r="FD30" s="242">
        <f>+IS!FD34*4*BS!FD53/100</f>
        <v>9202.6403441334642</v>
      </c>
      <c r="FE30" s="242">
        <f>+IS!FE34*4*BS!FE53/100</f>
        <v>9113.818207379536</v>
      </c>
      <c r="FF30" s="242">
        <f>+IS!FF34*4*BS!FF53/100</f>
        <v>9916.7277771231256</v>
      </c>
      <c r="FG30" s="327">
        <f t="shared" si="39"/>
        <v>9916.7277771231256</v>
      </c>
      <c r="FH30" s="242">
        <f>+IS!FH34*4*BS!FH53/100</f>
        <v>9985.3794654655812</v>
      </c>
      <c r="FI30" s="242">
        <f>+IS!FI34*4*BS!FI53/100</f>
        <v>9923.9219265956126</v>
      </c>
      <c r="FJ30" s="242">
        <f>+IS!FJ34*4*BS!FJ53/100</f>
        <v>10015.648410948494</v>
      </c>
      <c r="FK30" s="242">
        <f>+IS!FK34*4*BS!FK53/100</f>
        <v>10875.744085657816</v>
      </c>
      <c r="FL30" s="327">
        <f t="shared" si="40"/>
        <v>10875.744085657816</v>
      </c>
      <c r="FM30" s="481"/>
      <c r="FN30" s="484"/>
      <c r="FO30"/>
      <c r="FP30"/>
      <c r="FQ30"/>
      <c r="FR30"/>
      <c r="FS30"/>
      <c r="FT30"/>
      <c r="FU30" s="261"/>
      <c r="FV30" s="261"/>
      <c r="FW30" s="261"/>
      <c r="FX30" s="261"/>
    </row>
    <row r="31" spans="1:180" s="264" customFormat="1" ht="11.25" customHeight="1">
      <c r="A31" s="415" t="s">
        <v>522</v>
      </c>
      <c r="D31" s="486">
        <f t="shared" ref="D31:BI31" si="42">+SUM(D23:D30)</f>
        <v>0</v>
      </c>
      <c r="E31" s="486">
        <f t="shared" si="42"/>
        <v>0</v>
      </c>
      <c r="F31" s="486">
        <f t="shared" si="42"/>
        <v>0</v>
      </c>
      <c r="G31" s="486">
        <f t="shared" si="42"/>
        <v>0</v>
      </c>
      <c r="H31" s="487">
        <f t="shared" si="0"/>
        <v>0</v>
      </c>
      <c r="I31" s="486">
        <f t="shared" si="42"/>
        <v>0</v>
      </c>
      <c r="J31" s="486">
        <f t="shared" si="42"/>
        <v>0</v>
      </c>
      <c r="K31" s="486">
        <f t="shared" si="42"/>
        <v>0</v>
      </c>
      <c r="L31" s="486">
        <f t="shared" si="42"/>
        <v>0</v>
      </c>
      <c r="M31" s="487">
        <f t="shared" si="1"/>
        <v>0</v>
      </c>
      <c r="N31" s="486">
        <f t="shared" si="42"/>
        <v>0</v>
      </c>
      <c r="O31" s="486">
        <f t="shared" si="42"/>
        <v>0</v>
      </c>
      <c r="P31" s="486">
        <f t="shared" si="42"/>
        <v>0</v>
      </c>
      <c r="Q31" s="486">
        <f t="shared" si="42"/>
        <v>293.35300000000001</v>
      </c>
      <c r="R31" s="487">
        <f t="shared" si="2"/>
        <v>293.35300000000001</v>
      </c>
      <c r="S31" s="486">
        <f t="shared" si="42"/>
        <v>314.60000000000002</v>
      </c>
      <c r="T31" s="486">
        <f t="shared" si="42"/>
        <v>357.20000000000005</v>
      </c>
      <c r="U31" s="486">
        <f t="shared" si="42"/>
        <v>337.9</v>
      </c>
      <c r="V31" s="486">
        <f t="shared" si="42"/>
        <v>446.94499999999999</v>
      </c>
      <c r="W31" s="487">
        <f t="shared" si="3"/>
        <v>446.94499999999999</v>
      </c>
      <c r="X31" s="486">
        <f t="shared" si="42"/>
        <v>442</v>
      </c>
      <c r="Y31" s="486">
        <f t="shared" si="42"/>
        <v>476</v>
      </c>
      <c r="Z31" s="486">
        <f t="shared" si="42"/>
        <v>549</v>
      </c>
      <c r="AA31" s="486">
        <f t="shared" si="42"/>
        <v>563</v>
      </c>
      <c r="AB31" s="487">
        <f t="shared" si="4"/>
        <v>563</v>
      </c>
      <c r="AC31" s="486">
        <f t="shared" si="42"/>
        <v>581</v>
      </c>
      <c r="AD31" s="486">
        <f t="shared" si="42"/>
        <v>740</v>
      </c>
      <c r="AE31" s="486">
        <f t="shared" si="42"/>
        <v>914</v>
      </c>
      <c r="AF31" s="486">
        <f t="shared" si="42"/>
        <v>913</v>
      </c>
      <c r="AG31" s="487">
        <f t="shared" si="5"/>
        <v>913</v>
      </c>
      <c r="AH31" s="486">
        <f t="shared" si="42"/>
        <v>1004</v>
      </c>
      <c r="AI31" s="486">
        <f t="shared" si="42"/>
        <v>1096</v>
      </c>
      <c r="AJ31" s="486">
        <f t="shared" si="42"/>
        <v>1185</v>
      </c>
      <c r="AK31" s="486">
        <f t="shared" si="42"/>
        <v>1347</v>
      </c>
      <c r="AL31" s="487">
        <f t="shared" si="6"/>
        <v>1347</v>
      </c>
      <c r="AM31" s="486">
        <f t="shared" si="42"/>
        <v>1759</v>
      </c>
      <c r="AN31" s="486">
        <f t="shared" si="42"/>
        <v>2241</v>
      </c>
      <c r="AO31" s="486">
        <f t="shared" si="42"/>
        <v>2264</v>
      </c>
      <c r="AP31" s="486">
        <f t="shared" si="42"/>
        <v>2425</v>
      </c>
      <c r="AQ31" s="487">
        <f t="shared" si="7"/>
        <v>2425</v>
      </c>
      <c r="AR31" s="486">
        <f t="shared" si="42"/>
        <v>2663</v>
      </c>
      <c r="AS31" s="486">
        <f t="shared" si="42"/>
        <v>3144</v>
      </c>
      <c r="AT31" s="486">
        <f t="shared" si="42"/>
        <v>3479</v>
      </c>
      <c r="AU31" s="486">
        <f t="shared" si="42"/>
        <v>3610</v>
      </c>
      <c r="AV31" s="487">
        <f t="shared" si="8"/>
        <v>3610</v>
      </c>
      <c r="AW31" s="486">
        <f t="shared" si="42"/>
        <v>3902</v>
      </c>
      <c r="AX31" s="486">
        <f t="shared" si="42"/>
        <v>4496</v>
      </c>
      <c r="AY31" s="486">
        <f t="shared" si="42"/>
        <v>4869</v>
      </c>
      <c r="AZ31" s="486">
        <f t="shared" si="42"/>
        <v>5730</v>
      </c>
      <c r="BA31" s="487">
        <f t="shared" si="9"/>
        <v>5730</v>
      </c>
      <c r="BB31" s="486">
        <f t="shared" si="42"/>
        <v>6445</v>
      </c>
      <c r="BC31" s="486">
        <f t="shared" si="42"/>
        <v>7471</v>
      </c>
      <c r="BD31" s="486">
        <f t="shared" si="42"/>
        <v>7839</v>
      </c>
      <c r="BE31" s="486">
        <f t="shared" si="42"/>
        <v>8802</v>
      </c>
      <c r="BF31" s="487">
        <f t="shared" si="10"/>
        <v>8802</v>
      </c>
      <c r="BG31" s="486">
        <f t="shared" si="42"/>
        <v>8332</v>
      </c>
      <c r="BH31" s="486">
        <f t="shared" si="42"/>
        <v>10504</v>
      </c>
      <c r="BI31" s="486">
        <f t="shared" si="42"/>
        <v>11103</v>
      </c>
      <c r="BJ31" s="486">
        <f t="shared" ref="BJ31:CD31" si="43">+SUM(BJ23:BJ30)</f>
        <v>9755</v>
      </c>
      <c r="BK31" s="487">
        <f t="shared" si="11"/>
        <v>9755</v>
      </c>
      <c r="BL31" s="486">
        <f t="shared" si="43"/>
        <v>9306</v>
      </c>
      <c r="BM31" s="486">
        <f t="shared" si="43"/>
        <v>9625</v>
      </c>
      <c r="BN31" s="486">
        <f t="shared" si="43"/>
        <v>9740</v>
      </c>
      <c r="BO31" s="486">
        <f t="shared" si="43"/>
        <v>9254</v>
      </c>
      <c r="BP31" s="487">
        <f t="shared" si="12"/>
        <v>9254</v>
      </c>
      <c r="BQ31" s="486">
        <f t="shared" si="43"/>
        <v>11633</v>
      </c>
      <c r="BR31" s="486">
        <f t="shared" si="43"/>
        <v>11567</v>
      </c>
      <c r="BS31" s="486">
        <f t="shared" si="43"/>
        <v>11842</v>
      </c>
      <c r="BT31" s="486">
        <f t="shared" si="43"/>
        <v>12744</v>
      </c>
      <c r="BU31" s="487">
        <f t="shared" si="13"/>
        <v>12744</v>
      </c>
      <c r="BV31" s="486">
        <f t="shared" si="43"/>
        <v>13757</v>
      </c>
      <c r="BW31" s="486">
        <f t="shared" si="43"/>
        <v>13617</v>
      </c>
      <c r="BX31" s="486">
        <f t="shared" si="43"/>
        <v>13161</v>
      </c>
      <c r="BY31" s="486">
        <f t="shared" si="43"/>
        <v>13974</v>
      </c>
      <c r="BZ31" s="487">
        <f t="shared" si="14"/>
        <v>13974</v>
      </c>
      <c r="CA31" s="486">
        <f t="shared" si="43"/>
        <v>15098</v>
      </c>
      <c r="CB31" s="486">
        <f t="shared" si="43"/>
        <v>13927</v>
      </c>
      <c r="CC31" s="486">
        <f t="shared" si="43"/>
        <v>15984</v>
      </c>
      <c r="CD31" s="486">
        <f t="shared" si="43"/>
        <v>14969</v>
      </c>
      <c r="CE31" s="487">
        <f t="shared" si="15"/>
        <v>14969</v>
      </c>
      <c r="CF31" s="486">
        <f t="shared" ref="CF31:CQ31" si="44">+SUM(CF23:CF30)</f>
        <v>15438</v>
      </c>
      <c r="CG31" s="486">
        <f t="shared" si="44"/>
        <v>15045</v>
      </c>
      <c r="CH31" s="486">
        <f t="shared" si="44"/>
        <v>16139</v>
      </c>
      <c r="CI31" s="486">
        <f t="shared" si="44"/>
        <v>16877</v>
      </c>
      <c r="CJ31" s="487">
        <f t="shared" si="16"/>
        <v>16877</v>
      </c>
      <c r="CK31" s="486">
        <f t="shared" si="44"/>
        <v>17022</v>
      </c>
      <c r="CL31" s="486">
        <f t="shared" si="44"/>
        <v>16747</v>
      </c>
      <c r="CM31" s="486">
        <f t="shared" si="44"/>
        <v>18367</v>
      </c>
      <c r="CN31" s="486">
        <f t="shared" si="44"/>
        <v>22442</v>
      </c>
      <c r="CO31" s="487">
        <f t="shared" si="17"/>
        <v>22442</v>
      </c>
      <c r="CP31" s="486">
        <f t="shared" si="44"/>
        <v>21972</v>
      </c>
      <c r="CQ31" s="486">
        <f t="shared" si="44"/>
        <v>22215</v>
      </c>
      <c r="CR31" s="486">
        <f t="shared" ref="CR31:CZ31" si="45">+SUM(CR23:CR30)</f>
        <v>21627</v>
      </c>
      <c r="CS31" s="486">
        <f t="shared" si="45"/>
        <v>23754</v>
      </c>
      <c r="CT31" s="487">
        <f t="shared" si="18"/>
        <v>23754</v>
      </c>
      <c r="CU31" s="486">
        <f>+SUM(CU23:CU30)</f>
        <v>22744</v>
      </c>
      <c r="CV31" s="486">
        <f t="shared" si="45"/>
        <v>22058</v>
      </c>
      <c r="CW31" s="486">
        <f t="shared" si="45"/>
        <v>27028</v>
      </c>
      <c r="CX31" s="486">
        <f t="shared" si="45"/>
        <v>29886</v>
      </c>
      <c r="CY31" s="487">
        <f t="shared" si="19"/>
        <v>29886</v>
      </c>
      <c r="CZ31" s="486">
        <f t="shared" si="45"/>
        <v>24383</v>
      </c>
      <c r="DA31" s="486">
        <f>+SUM(DA23:DA30)</f>
        <v>23710</v>
      </c>
      <c r="DB31" s="486">
        <f>+SUM(DB23:DB30)</f>
        <v>23823</v>
      </c>
      <c r="DC31" s="486">
        <f>+SUM(DC23:DC30)</f>
        <v>27034</v>
      </c>
      <c r="DD31" s="487">
        <f t="shared" si="20"/>
        <v>27034</v>
      </c>
      <c r="DE31" s="486">
        <f>+SUM(DE23:DE30)</f>
        <v>28761</v>
      </c>
      <c r="DF31" s="486">
        <f>+SUM(DF23:DF30)</f>
        <v>25715</v>
      </c>
      <c r="DG31" s="486">
        <f>+SUM(DG23:DG30)</f>
        <v>26424</v>
      </c>
      <c r="DH31" s="486">
        <f>+SUM(DH23:DH30)</f>
        <v>26147</v>
      </c>
      <c r="DI31" s="487">
        <f t="shared" si="21"/>
        <v>26147</v>
      </c>
      <c r="DJ31" s="486">
        <f>+SUM(DJ23:DJ30)</f>
        <v>25857</v>
      </c>
      <c r="DK31" s="486">
        <f>+SUM(DK23:DK30)</f>
        <v>24312</v>
      </c>
      <c r="DL31" s="486">
        <f>+SUM(DL23:DL30)</f>
        <v>24042</v>
      </c>
      <c r="DM31" s="486">
        <f>+SUM(DM23:DM30)</f>
        <v>28774</v>
      </c>
      <c r="DN31" s="487">
        <f t="shared" si="22"/>
        <v>28774</v>
      </c>
      <c r="DO31" s="486">
        <f>+SUM(DO23:DO30)</f>
        <v>25543</v>
      </c>
      <c r="DP31" s="486">
        <f>+SUM(DP23:DP30)</f>
        <v>25373</v>
      </c>
      <c r="DQ31" s="486">
        <f>+SUM(DQ23:DQ30)</f>
        <v>26170</v>
      </c>
      <c r="DR31" s="486">
        <f>+SUM(DR23:DR30)</f>
        <v>32688</v>
      </c>
      <c r="DS31" s="487">
        <f t="shared" si="23"/>
        <v>32688</v>
      </c>
      <c r="DT31" s="486">
        <f>+SUM(DT23:DT30)</f>
        <v>31402</v>
      </c>
      <c r="DU31" s="486">
        <f>+SUM(DU23:DU30)</f>
        <v>31910</v>
      </c>
      <c r="DV31" s="486">
        <f>+SUM(DV23:DV30)</f>
        <v>31929</v>
      </c>
      <c r="DW31" s="486">
        <f>+SUM(DW23:DW30)</f>
        <v>37417</v>
      </c>
      <c r="DX31" s="487">
        <f t="shared" si="24"/>
        <v>37417</v>
      </c>
      <c r="DY31" s="486">
        <f>+SUM(DY23:DY30)</f>
        <v>34623</v>
      </c>
      <c r="DZ31" s="486">
        <f>+SUM(DZ23:DZ30)</f>
        <v>33742</v>
      </c>
      <c r="EA31" s="486">
        <f>+SUM(EA23:EA30)</f>
        <v>33903</v>
      </c>
      <c r="EB31" s="486">
        <f>+SUM(EB23:EB30)</f>
        <v>45625</v>
      </c>
      <c r="EC31" s="487">
        <f t="shared" si="25"/>
        <v>45625</v>
      </c>
      <c r="ED31" s="486">
        <f>+SUM(ED23:ED30)</f>
        <v>44694</v>
      </c>
      <c r="EE31" s="486">
        <f>+SUM(EE23:EE30)</f>
        <v>47415</v>
      </c>
      <c r="EF31" s="486">
        <f>+SUM(EF23:EF30)</f>
        <v>40748</v>
      </c>
      <c r="EG31" s="486">
        <f>+SUM(EG23:EG30)</f>
        <v>49858</v>
      </c>
      <c r="EH31" s="487">
        <f t="shared" si="26"/>
        <v>49858</v>
      </c>
      <c r="EI31" s="2771">
        <f>+SUM(EI23:EI30)</f>
        <v>49399</v>
      </c>
      <c r="EJ31" s="2771">
        <f>+SUM(EJ23:EJ30)</f>
        <v>42643</v>
      </c>
      <c r="EK31" s="2771">
        <f>+SUM(EK23:EK30)</f>
        <v>44354</v>
      </c>
      <c r="EL31" s="2771">
        <f>+SUM(EL23:EL30)</f>
        <v>53102</v>
      </c>
      <c r="EM31" s="2772">
        <f t="shared" si="27"/>
        <v>53102</v>
      </c>
      <c r="EN31" s="2771">
        <f>+SUM(EN23:EN30)</f>
        <v>52235</v>
      </c>
      <c r="EO31" s="2771">
        <f>+SUM(EO23:EO30)</f>
        <v>64059</v>
      </c>
      <c r="EP31" s="2771">
        <f>+SUM(EP23:EP30)</f>
        <v>44988</v>
      </c>
      <c r="EQ31" s="2771">
        <f>+SUM(EQ23:EQ30)</f>
        <v>55745</v>
      </c>
      <c r="ER31" s="2772">
        <f t="shared" si="28"/>
        <v>55745</v>
      </c>
      <c r="ES31" s="2771">
        <f>+SUM(ES23:ES30)</f>
        <v>51615</v>
      </c>
      <c r="ET31" s="2771">
        <f>+SUM(ET23:ET30)</f>
        <v>58099</v>
      </c>
      <c r="EU31" s="2771">
        <f>+SUM(EU23:EU30)</f>
        <v>46133</v>
      </c>
      <c r="EV31" s="486">
        <f>+SUM(EV23:EV30)</f>
        <v>56319.31337744066</v>
      </c>
      <c r="EW31" s="487">
        <f t="shared" si="41"/>
        <v>56319.31337744066</v>
      </c>
      <c r="EX31" s="486">
        <f>+SUM(EX23:EX30)</f>
        <v>51895.888273282377</v>
      </c>
      <c r="EY31" s="486">
        <f>+SUM(EY23:EY30)</f>
        <v>51768.396704570005</v>
      </c>
      <c r="EZ31" s="486">
        <f>+SUM(EZ23:EZ30)</f>
        <v>51909.295451720311</v>
      </c>
      <c r="FA31" s="486">
        <f>+SUM(FA23:FA30)</f>
        <v>63325.096339553536</v>
      </c>
      <c r="FB31" s="487">
        <f t="shared" si="38"/>
        <v>63325.096339553536</v>
      </c>
      <c r="FC31" s="486">
        <f>+SUM(FC23:FC30)</f>
        <v>58409.028504987087</v>
      </c>
      <c r="FD31" s="486">
        <f>+SUM(FD23:FD30)</f>
        <v>57685.70668622123</v>
      </c>
      <c r="FE31" s="486">
        <f>+SUM(FE23:FE30)</f>
        <v>58412.635381306536</v>
      </c>
      <c r="FF31" s="486">
        <f>+SUM(FF23:FF30)</f>
        <v>71717.131780755895</v>
      </c>
      <c r="FG31" s="487">
        <f t="shared" si="39"/>
        <v>71717.131780755895</v>
      </c>
      <c r="FH31" s="486">
        <f>+SUM(FH23:FH30)</f>
        <v>65914.644637747653</v>
      </c>
      <c r="FI31" s="486">
        <f>+SUM(FI23:FI30)</f>
        <v>64358.009180186702</v>
      </c>
      <c r="FJ31" s="486">
        <f>+SUM(FJ23:FJ30)</f>
        <v>65629.220597698892</v>
      </c>
      <c r="FK31" s="486">
        <f>+SUM(FK23:FK30)</f>
        <v>81036.716318340943</v>
      </c>
      <c r="FL31" s="487">
        <f t="shared" si="40"/>
        <v>81036.716318340943</v>
      </c>
      <c r="FM31" s="481"/>
      <c r="FN31" s="488"/>
      <c r="FO31"/>
      <c r="FP31"/>
      <c r="FQ31"/>
      <c r="FR31"/>
      <c r="FS31"/>
      <c r="FT31"/>
      <c r="FU31" s="261"/>
      <c r="FV31" s="261"/>
      <c r="FW31" s="261"/>
      <c r="FX31" s="261"/>
    </row>
    <row r="32" spans="1:180" s="264" customFormat="1" ht="14.25" customHeight="1">
      <c r="A32" s="264" t="s">
        <v>463</v>
      </c>
      <c r="D32" s="242"/>
      <c r="E32" s="1127">
        <v>0</v>
      </c>
      <c r="F32" s="1127">
        <v>0</v>
      </c>
      <c r="G32" s="1127">
        <v>0</v>
      </c>
      <c r="H32" s="327">
        <f t="shared" si="0"/>
        <v>0</v>
      </c>
      <c r="I32" s="1127">
        <v>0</v>
      </c>
      <c r="J32" s="1127">
        <v>0</v>
      </c>
      <c r="K32" s="1127">
        <v>0</v>
      </c>
      <c r="L32" s="1127">
        <v>0</v>
      </c>
      <c r="M32" s="327">
        <f t="shared" si="1"/>
        <v>0</v>
      </c>
      <c r="N32" s="1127">
        <v>0</v>
      </c>
      <c r="O32" s="1127">
        <v>0</v>
      </c>
      <c r="P32" s="1127">
        <v>0</v>
      </c>
      <c r="Q32" s="1127">
        <v>0</v>
      </c>
      <c r="R32" s="327">
        <f t="shared" si="2"/>
        <v>0</v>
      </c>
      <c r="S32" s="1127">
        <v>0</v>
      </c>
      <c r="T32" s="1127">
        <v>0</v>
      </c>
      <c r="U32" s="1127">
        <v>0</v>
      </c>
      <c r="V32" s="1127">
        <v>0</v>
      </c>
      <c r="W32" s="327">
        <f t="shared" si="3"/>
        <v>0</v>
      </c>
      <c r="X32" s="1127">
        <v>0</v>
      </c>
      <c r="Y32" s="1127">
        <v>0</v>
      </c>
      <c r="Z32" s="1127">
        <v>0</v>
      </c>
      <c r="AA32" s="1127">
        <v>0</v>
      </c>
      <c r="AB32" s="327">
        <f t="shared" si="4"/>
        <v>0</v>
      </c>
      <c r="AC32" s="1127">
        <v>0</v>
      </c>
      <c r="AD32" s="1127">
        <v>0</v>
      </c>
      <c r="AE32" s="1127">
        <v>0</v>
      </c>
      <c r="AF32" s="1127">
        <v>0</v>
      </c>
      <c r="AG32" s="327">
        <f t="shared" si="5"/>
        <v>0</v>
      </c>
      <c r="AH32" s="1127">
        <v>0</v>
      </c>
      <c r="AI32" s="1127">
        <v>0</v>
      </c>
      <c r="AJ32" s="1127">
        <v>0</v>
      </c>
      <c r="AK32" s="1127">
        <v>0</v>
      </c>
      <c r="AL32" s="327">
        <f t="shared" si="6"/>
        <v>0</v>
      </c>
      <c r="AM32" s="1127">
        <v>0</v>
      </c>
      <c r="AN32" s="1127">
        <v>0</v>
      </c>
      <c r="AO32" s="1127">
        <v>0</v>
      </c>
      <c r="AP32" s="1127">
        <v>0</v>
      </c>
      <c r="AQ32" s="327">
        <f t="shared" si="7"/>
        <v>0</v>
      </c>
      <c r="AR32" s="1127">
        <v>0</v>
      </c>
      <c r="AS32" s="1127">
        <v>0</v>
      </c>
      <c r="AT32" s="1127">
        <v>0</v>
      </c>
      <c r="AU32" s="1127">
        <v>0</v>
      </c>
      <c r="AV32" s="327">
        <f t="shared" si="8"/>
        <v>0</v>
      </c>
      <c r="AW32" s="1127">
        <v>0</v>
      </c>
      <c r="AX32" s="1127">
        <v>0</v>
      </c>
      <c r="AY32" s="1127">
        <v>0</v>
      </c>
      <c r="AZ32" s="1127">
        <v>0</v>
      </c>
      <c r="BA32" s="327">
        <f t="shared" si="9"/>
        <v>0</v>
      </c>
      <c r="BB32" s="1127">
        <v>0</v>
      </c>
      <c r="BC32" s="1127">
        <v>0</v>
      </c>
      <c r="BD32" s="1127">
        <v>0</v>
      </c>
      <c r="BE32" s="1127">
        <v>0</v>
      </c>
      <c r="BF32" s="327">
        <f t="shared" si="10"/>
        <v>0</v>
      </c>
      <c r="BG32" s="1127">
        <v>0</v>
      </c>
      <c r="BH32" s="1127">
        <v>0</v>
      </c>
      <c r="BI32" s="1127">
        <v>0</v>
      </c>
      <c r="BJ32" s="1127">
        <v>0</v>
      </c>
      <c r="BK32" s="327">
        <f t="shared" si="11"/>
        <v>0</v>
      </c>
      <c r="BL32" s="1127">
        <v>0</v>
      </c>
      <c r="BM32" s="1127">
        <v>0</v>
      </c>
      <c r="BN32" s="1127">
        <v>0</v>
      </c>
      <c r="BO32" s="1127">
        <v>1219</v>
      </c>
      <c r="BP32" s="327">
        <f t="shared" si="12"/>
        <v>1219</v>
      </c>
      <c r="BQ32" s="1127">
        <v>1229</v>
      </c>
      <c r="BR32" s="1127">
        <v>1321</v>
      </c>
      <c r="BS32" s="1127">
        <v>1346</v>
      </c>
      <c r="BT32" s="1127">
        <v>1823</v>
      </c>
      <c r="BU32" s="327">
        <f t="shared" si="13"/>
        <v>1823</v>
      </c>
      <c r="BV32" s="1127">
        <v>2290</v>
      </c>
      <c r="BW32" s="1127">
        <v>2026</v>
      </c>
      <c r="BX32" s="1127">
        <v>1734</v>
      </c>
      <c r="BY32" s="1127">
        <v>1790</v>
      </c>
      <c r="BZ32" s="327">
        <f t="shared" si="14"/>
        <v>1790</v>
      </c>
      <c r="CA32" s="1127">
        <v>1627</v>
      </c>
      <c r="CB32" s="1127">
        <v>1623</v>
      </c>
      <c r="CC32" s="1127">
        <v>1577</v>
      </c>
      <c r="CD32" s="1127">
        <v>1663</v>
      </c>
      <c r="CE32" s="327">
        <f t="shared" si="15"/>
        <v>1663</v>
      </c>
      <c r="CF32" s="1127">
        <v>1633</v>
      </c>
      <c r="CG32" s="1127">
        <v>1699</v>
      </c>
      <c r="CH32" s="1127">
        <v>1666</v>
      </c>
      <c r="CI32" s="1127">
        <v>1665</v>
      </c>
      <c r="CJ32" s="327">
        <f t="shared" si="16"/>
        <v>1665</v>
      </c>
      <c r="CK32" s="1127">
        <v>1658</v>
      </c>
      <c r="CL32" s="1127">
        <v>1720</v>
      </c>
      <c r="CM32" s="1127">
        <v>1686</v>
      </c>
      <c r="CN32" s="1127">
        <v>1764</v>
      </c>
      <c r="CO32" s="327">
        <f t="shared" si="17"/>
        <v>1764</v>
      </c>
      <c r="CP32" s="1127">
        <v>1787</v>
      </c>
      <c r="CQ32" s="1127">
        <v>1838</v>
      </c>
      <c r="CR32" s="1127">
        <v>1732</v>
      </c>
      <c r="CS32" s="1127">
        <v>1867</v>
      </c>
      <c r="CT32" s="327">
        <f t="shared" si="18"/>
        <v>1867</v>
      </c>
      <c r="CU32" s="1127">
        <v>1785</v>
      </c>
      <c r="CV32" s="1127">
        <v>1957</v>
      </c>
      <c r="CW32" s="1127">
        <v>1754</v>
      </c>
      <c r="CX32" s="1127">
        <v>1900</v>
      </c>
      <c r="CY32" s="327">
        <f t="shared" si="19"/>
        <v>1900</v>
      </c>
      <c r="CZ32" s="1127">
        <v>1662</v>
      </c>
      <c r="DA32" s="1127">
        <v>1534</v>
      </c>
      <c r="DB32" s="1127">
        <v>1388</v>
      </c>
      <c r="DC32" s="1127">
        <v>1281</v>
      </c>
      <c r="DD32" s="327">
        <f t="shared" si="20"/>
        <v>1281</v>
      </c>
      <c r="DE32" s="1127">
        <v>1201</v>
      </c>
      <c r="DF32" s="1127">
        <v>1167</v>
      </c>
      <c r="DG32" s="1127">
        <v>1089</v>
      </c>
      <c r="DH32" s="1127">
        <v>1178</v>
      </c>
      <c r="DI32" s="327">
        <f t="shared" si="21"/>
        <v>1178</v>
      </c>
      <c r="DJ32" s="1127">
        <v>1152</v>
      </c>
      <c r="DK32" s="1127">
        <v>1354</v>
      </c>
      <c r="DL32" s="1127">
        <v>1132</v>
      </c>
      <c r="DM32" s="1127">
        <v>1398</v>
      </c>
      <c r="DN32" s="327">
        <f t="shared" si="22"/>
        <v>1398</v>
      </c>
      <c r="DO32" s="1127">
        <v>1313</v>
      </c>
      <c r="DP32" s="1127">
        <v>1349</v>
      </c>
      <c r="DQ32" s="1127">
        <v>1262</v>
      </c>
      <c r="DR32" s="1127">
        <v>1406</v>
      </c>
      <c r="DS32" s="327">
        <f t="shared" si="23"/>
        <v>1406</v>
      </c>
      <c r="DT32" s="1127">
        <v>1292</v>
      </c>
      <c r="DU32" s="1127">
        <v>1459</v>
      </c>
      <c r="DV32" s="1127">
        <v>1394</v>
      </c>
      <c r="DW32" s="1127">
        <v>1760</v>
      </c>
      <c r="DX32" s="327">
        <f t="shared" si="24"/>
        <v>1760</v>
      </c>
      <c r="DY32" s="1127">
        <v>1629</v>
      </c>
      <c r="DZ32" s="1127">
        <v>1858</v>
      </c>
      <c r="EA32" s="1127">
        <v>1842</v>
      </c>
      <c r="EB32" s="1127">
        <v>2008</v>
      </c>
      <c r="EC32" s="327">
        <f t="shared" si="25"/>
        <v>2008</v>
      </c>
      <c r="ED32" s="1127">
        <v>1825</v>
      </c>
      <c r="EE32" s="1127">
        <v>2051</v>
      </c>
      <c r="EF32" s="1127">
        <v>1966</v>
      </c>
      <c r="EG32" s="1127">
        <v>2095</v>
      </c>
      <c r="EH32" s="327">
        <f t="shared" si="26"/>
        <v>2095</v>
      </c>
      <c r="EI32" s="2769">
        <v>2784</v>
      </c>
      <c r="EJ32" s="2769">
        <v>4102</v>
      </c>
      <c r="EK32" s="2769">
        <v>5017</v>
      </c>
      <c r="EL32" s="2769">
        <v>2016</v>
      </c>
      <c r="EM32" s="2770">
        <f t="shared" si="27"/>
        <v>2016</v>
      </c>
      <c r="EN32" s="2769">
        <v>1717</v>
      </c>
      <c r="EO32" s="2769">
        <v>1925</v>
      </c>
      <c r="EP32" s="2769">
        <v>1768</v>
      </c>
      <c r="EQ32" s="2769">
        <v>2643</v>
      </c>
      <c r="ER32" s="2770">
        <f t="shared" si="28"/>
        <v>2643</v>
      </c>
      <c r="ES32" s="2769">
        <v>2126</v>
      </c>
      <c r="ET32" s="2769">
        <v>2500</v>
      </c>
      <c r="EU32" s="2769">
        <v>2585</v>
      </c>
      <c r="EV32" s="242">
        <f>'Unearned Revenue Breakdown'!EV46</f>
        <v>2855.6215860759476</v>
      </c>
      <c r="EW32" s="327">
        <f t="shared" si="41"/>
        <v>2855.6215860759476</v>
      </c>
      <c r="EX32" s="242">
        <f>'Unearned Revenue Breakdown'!EX46</f>
        <v>2642.6659563096364</v>
      </c>
      <c r="EY32" s="242">
        <f>'Unearned Revenue Breakdown'!EY46</f>
        <v>2508.1732595276153</v>
      </c>
      <c r="EZ32" s="242">
        <f>'Unearned Revenue Breakdown'!EZ46</f>
        <v>2488.2917304381008</v>
      </c>
      <c r="FA32" s="242">
        <f>'Unearned Revenue Breakdown'!FA46</f>
        <v>3313.9345916351376</v>
      </c>
      <c r="FB32" s="327">
        <f t="shared" si="38"/>
        <v>3313.9345916351376</v>
      </c>
      <c r="FC32" s="242">
        <f>'Unearned Revenue Breakdown'!FC46</f>
        <v>3062.366941725737</v>
      </c>
      <c r="FD32" s="242">
        <f>'Unearned Revenue Breakdown'!FD46</f>
        <v>2903.4887204898987</v>
      </c>
      <c r="FE32" s="242">
        <f>'Unearned Revenue Breakdown'!FE46</f>
        <v>2880.0023747419909</v>
      </c>
      <c r="FF32" s="242">
        <f>'Unearned Revenue Breakdown'!FF46</f>
        <v>3854.4434625273425</v>
      </c>
      <c r="FG32" s="327">
        <f t="shared" si="39"/>
        <v>3854.4434625273425</v>
      </c>
      <c r="FH32" s="242">
        <f>'Unearned Revenue Breakdown'!FH46</f>
        <v>3557.2628594581329</v>
      </c>
      <c r="FI32" s="242">
        <f>'Unearned Revenue Breakdown'!FI46</f>
        <v>3369.5776558223079</v>
      </c>
      <c r="FJ32" s="242">
        <f>'Unearned Revenue Breakdown'!FJ46</f>
        <v>3341.8328865891817</v>
      </c>
      <c r="FK32" s="242">
        <f>'Unearned Revenue Breakdown'!FK46</f>
        <v>4492.0378126788928</v>
      </c>
      <c r="FL32" s="327">
        <f t="shared" si="40"/>
        <v>4492.0378126788928</v>
      </c>
      <c r="FM32" s="481"/>
      <c r="FN32" s="484"/>
      <c r="FO32"/>
      <c r="FP32"/>
      <c r="FQ32"/>
      <c r="FR32"/>
      <c r="FS32"/>
      <c r="FT32"/>
      <c r="FU32" s="261"/>
      <c r="FV32" s="261"/>
      <c r="FW32" s="261"/>
      <c r="FX32" s="261"/>
    </row>
    <row r="33" spans="1:180" s="264" customFormat="1" ht="11.25" customHeight="1">
      <c r="A33" s="264" t="s">
        <v>508</v>
      </c>
      <c r="D33" s="242"/>
      <c r="E33" s="1127">
        <v>0</v>
      </c>
      <c r="F33" s="1127">
        <v>0</v>
      </c>
      <c r="G33" s="1127">
        <v>0</v>
      </c>
      <c r="H33" s="327">
        <f t="shared" si="0"/>
        <v>0</v>
      </c>
      <c r="I33" s="1127">
        <v>0</v>
      </c>
      <c r="J33" s="1127">
        <v>0</v>
      </c>
      <c r="K33" s="1127">
        <v>0</v>
      </c>
      <c r="L33" s="1127">
        <v>0</v>
      </c>
      <c r="M33" s="327">
        <f t="shared" si="1"/>
        <v>0</v>
      </c>
      <c r="N33" s="1127">
        <v>0</v>
      </c>
      <c r="O33" s="1127">
        <v>0</v>
      </c>
      <c r="P33" s="1127">
        <v>0</v>
      </c>
      <c r="Q33" s="1127">
        <v>0</v>
      </c>
      <c r="R33" s="327">
        <f t="shared" si="2"/>
        <v>0</v>
      </c>
      <c r="S33" s="1127">
        <v>0</v>
      </c>
      <c r="T33" s="1127">
        <v>0</v>
      </c>
      <c r="U33" s="1127">
        <v>0</v>
      </c>
      <c r="V33" s="1127">
        <v>0</v>
      </c>
      <c r="W33" s="327">
        <f t="shared" si="3"/>
        <v>0</v>
      </c>
      <c r="X33" s="1127">
        <v>0</v>
      </c>
      <c r="Y33" s="1127">
        <v>0</v>
      </c>
      <c r="Z33" s="1127">
        <v>0</v>
      </c>
      <c r="AA33" s="1127">
        <v>0</v>
      </c>
      <c r="AB33" s="327">
        <f t="shared" si="4"/>
        <v>0</v>
      </c>
      <c r="AC33" s="1127">
        <v>0</v>
      </c>
      <c r="AD33" s="1127">
        <v>0</v>
      </c>
      <c r="AE33" s="1127">
        <v>0</v>
      </c>
      <c r="AF33" s="1127">
        <v>0</v>
      </c>
      <c r="AG33" s="327">
        <f t="shared" si="5"/>
        <v>0</v>
      </c>
      <c r="AH33" s="1127">
        <v>203</v>
      </c>
      <c r="AI33" s="1127">
        <v>297</v>
      </c>
      <c r="AJ33" s="1127">
        <v>352</v>
      </c>
      <c r="AK33" s="1127">
        <v>405</v>
      </c>
      <c r="AL33" s="327">
        <f t="shared" si="6"/>
        <v>405</v>
      </c>
      <c r="AM33" s="1127">
        <v>537</v>
      </c>
      <c r="AN33" s="1127">
        <v>560</v>
      </c>
      <c r="AO33" s="1127">
        <v>606</v>
      </c>
      <c r="AP33" s="1127">
        <v>635</v>
      </c>
      <c r="AQ33" s="327">
        <f t="shared" si="7"/>
        <v>635</v>
      </c>
      <c r="AR33" s="1127">
        <v>675</v>
      </c>
      <c r="AS33" s="1127">
        <v>0</v>
      </c>
      <c r="AT33" s="1127">
        <v>0</v>
      </c>
      <c r="AU33" s="1127">
        <v>0</v>
      </c>
      <c r="AV33" s="327">
        <f t="shared" si="8"/>
        <v>0</v>
      </c>
      <c r="AW33" s="1127">
        <v>0</v>
      </c>
      <c r="AX33" s="1127">
        <v>0</v>
      </c>
      <c r="AY33" s="1127">
        <v>0</v>
      </c>
      <c r="AZ33" s="1127">
        <v>0</v>
      </c>
      <c r="BA33" s="327">
        <f t="shared" si="9"/>
        <v>0</v>
      </c>
      <c r="BB33" s="1127">
        <v>0</v>
      </c>
      <c r="BC33" s="1127">
        <v>0</v>
      </c>
      <c r="BD33" s="1127">
        <v>0</v>
      </c>
      <c r="BE33" s="1127">
        <v>1385</v>
      </c>
      <c r="BF33" s="327">
        <f t="shared" si="10"/>
        <v>1385</v>
      </c>
      <c r="BG33" s="1127">
        <v>0</v>
      </c>
      <c r="BH33" s="1127">
        <v>0</v>
      </c>
      <c r="BI33" s="1127">
        <v>0</v>
      </c>
      <c r="BJ33" s="1127">
        <v>1027</v>
      </c>
      <c r="BK33" s="327">
        <f t="shared" si="11"/>
        <v>1027</v>
      </c>
      <c r="BL33" s="1127">
        <v>1440</v>
      </c>
      <c r="BM33" s="1127">
        <v>1644</v>
      </c>
      <c r="BN33" s="1127">
        <v>1775</v>
      </c>
      <c r="BO33" s="242">
        <f>409+659</f>
        <v>1068</v>
      </c>
      <c r="BP33" s="327">
        <f t="shared" si="12"/>
        <v>1068</v>
      </c>
      <c r="BQ33" s="1127">
        <v>0</v>
      </c>
      <c r="BR33" s="242">
        <f>0+951</f>
        <v>951</v>
      </c>
      <c r="BS33" s="242">
        <f>59+832</f>
        <v>891</v>
      </c>
      <c r="BT33" s="242">
        <f>398+501</f>
        <v>899</v>
      </c>
      <c r="BU33" s="327">
        <f t="shared" si="13"/>
        <v>899</v>
      </c>
      <c r="BV33" s="242">
        <f>520+152</f>
        <v>672</v>
      </c>
      <c r="BW33" s="1127">
        <v>904</v>
      </c>
      <c r="BX33" s="242">
        <f>936+369</f>
        <v>1305</v>
      </c>
      <c r="BY33" s="242">
        <f>1056</f>
        <v>1056</v>
      </c>
      <c r="BZ33" s="327">
        <f t="shared" si="14"/>
        <v>1056</v>
      </c>
      <c r="CA33" s="1127">
        <v>876</v>
      </c>
      <c r="CB33" s="1127">
        <v>1044</v>
      </c>
      <c r="CC33" s="1127">
        <v>1626</v>
      </c>
      <c r="CD33" s="1127">
        <v>932</v>
      </c>
      <c r="CE33" s="327">
        <f t="shared" si="15"/>
        <v>932</v>
      </c>
      <c r="CF33" s="1127">
        <v>878</v>
      </c>
      <c r="CG33" s="1127">
        <v>965</v>
      </c>
      <c r="CH33" s="1127">
        <v>1097</v>
      </c>
      <c r="CI33" s="1127">
        <v>4158</v>
      </c>
      <c r="CJ33" s="327">
        <f t="shared" si="16"/>
        <v>4158</v>
      </c>
      <c r="CK33" s="1127">
        <v>4455</v>
      </c>
      <c r="CL33" s="1127">
        <v>4582</v>
      </c>
      <c r="CM33" s="1127">
        <v>4763</v>
      </c>
      <c r="CN33" s="1127">
        <v>5287</v>
      </c>
      <c r="CO33" s="327">
        <f t="shared" si="17"/>
        <v>5287</v>
      </c>
      <c r="CP33" s="1127">
        <v>5494</v>
      </c>
      <c r="CQ33" s="1127">
        <v>5684</v>
      </c>
      <c r="CR33" s="1127">
        <v>5559</v>
      </c>
      <c r="CS33" s="1127">
        <v>6453</v>
      </c>
      <c r="CT33" s="327">
        <f t="shared" si="18"/>
        <v>6453</v>
      </c>
      <c r="CU33" s="1127">
        <v>8981</v>
      </c>
      <c r="CV33" s="1127">
        <v>8893</v>
      </c>
      <c r="CW33" s="1127">
        <v>4411</v>
      </c>
      <c r="CX33" s="1127">
        <v>4721</v>
      </c>
      <c r="CY33" s="327">
        <f t="shared" si="19"/>
        <v>4721</v>
      </c>
      <c r="CZ33" s="1127">
        <v>5478</v>
      </c>
      <c r="DA33" s="1127">
        <v>6064</v>
      </c>
      <c r="DB33" s="1127">
        <v>6699</v>
      </c>
      <c r="DC33" s="1127">
        <v>6269</v>
      </c>
      <c r="DD33" s="327">
        <f t="shared" si="20"/>
        <v>6269</v>
      </c>
      <c r="DE33" s="242">
        <f>6537+155</f>
        <v>6692</v>
      </c>
      <c r="DF33" s="242">
        <f>6808+377</f>
        <v>7185</v>
      </c>
      <c r="DG33" s="242">
        <f>7113+828</f>
        <v>7941</v>
      </c>
      <c r="DH33" s="242">
        <f>7445+229</f>
        <v>7674</v>
      </c>
      <c r="DI33" s="327">
        <f t="shared" si="21"/>
        <v>7674</v>
      </c>
      <c r="DJ33" s="242">
        <f>7384+540</f>
        <v>7924</v>
      </c>
      <c r="DK33" s="242">
        <f>7662+826</f>
        <v>8488</v>
      </c>
      <c r="DL33" s="242">
        <f>8001+1185</f>
        <v>9186</v>
      </c>
      <c r="DM33" s="242">
        <f>8072+1456</f>
        <v>9528</v>
      </c>
      <c r="DN33" s="327">
        <f t="shared" si="22"/>
        <v>9528</v>
      </c>
      <c r="DO33" s="1127">
        <f>8201+1040</f>
        <v>9241</v>
      </c>
      <c r="DP33" s="1127">
        <f>8386+1082</f>
        <v>9468</v>
      </c>
      <c r="DQ33" s="1127">
        <f>1456+8525</f>
        <v>9981</v>
      </c>
      <c r="DR33" s="1127">
        <f>8208+1893</f>
        <v>10101</v>
      </c>
      <c r="DS33" s="327">
        <f t="shared" si="23"/>
        <v>10101</v>
      </c>
      <c r="DT33" s="1127">
        <f>8423+2209</f>
        <v>10632</v>
      </c>
      <c r="DU33" s="1127">
        <f>8397+2394</f>
        <v>10791</v>
      </c>
      <c r="DV33" s="1127">
        <f>9721+2424</f>
        <v>12145</v>
      </c>
      <c r="DW33" s="1127">
        <f>10000+1709</f>
        <v>11709</v>
      </c>
      <c r="DX33" s="327">
        <f t="shared" si="24"/>
        <v>11709</v>
      </c>
      <c r="DY33" s="1127">
        <f>9587+2236</f>
        <v>11823</v>
      </c>
      <c r="DZ33" s="1127">
        <f>2377+9790</f>
        <v>12167</v>
      </c>
      <c r="EA33" s="1127">
        <f>2318+9953</f>
        <v>12271</v>
      </c>
      <c r="EB33" s="1127">
        <f>11594+2728</f>
        <v>14322</v>
      </c>
      <c r="EC33" s="327">
        <f t="shared" si="25"/>
        <v>14322</v>
      </c>
      <c r="ED33" s="1127">
        <f>11781+2714</f>
        <v>14495</v>
      </c>
      <c r="EE33" s="1127">
        <f>12423+2820</f>
        <v>15243</v>
      </c>
      <c r="EF33" s="1127">
        <f>13274+2919</f>
        <v>16193</v>
      </c>
      <c r="EG33" s="1127">
        <f>13544+2835</f>
        <v>16379</v>
      </c>
      <c r="EH33" s="327">
        <f t="shared" si="26"/>
        <v>16379</v>
      </c>
      <c r="EI33" s="2769">
        <f>2169+13280</f>
        <v>15449</v>
      </c>
      <c r="EJ33" s="2769">
        <f>13700+2194</f>
        <v>15894</v>
      </c>
      <c r="EK33" s="2769">
        <f>14122+2674</f>
        <v>16796</v>
      </c>
      <c r="EL33" s="2769">
        <f>6313+4257+13562</f>
        <v>24132</v>
      </c>
      <c r="EM33" s="2770">
        <f t="shared" si="27"/>
        <v>24132</v>
      </c>
      <c r="EN33" s="2769">
        <f>6929+4249+14262</f>
        <v>25440</v>
      </c>
      <c r="EO33" s="2769">
        <f>7080+5242+15857</f>
        <v>28179</v>
      </c>
      <c r="EP33" s="2769">
        <f>6761+5532+17254</f>
        <v>29547</v>
      </c>
      <c r="EQ33" s="2769">
        <f>5734+5372+17034</f>
        <v>28140</v>
      </c>
      <c r="ER33" s="2770">
        <f t="shared" si="28"/>
        <v>28140</v>
      </c>
      <c r="ES33" s="2769">
        <f>5513+5768+18173</f>
        <v>29454</v>
      </c>
      <c r="ET33" s="2769">
        <f>30050+3186+4820+5640</f>
        <v>43696</v>
      </c>
      <c r="EU33" s="2769">
        <f>30669+2417+5751+5223</f>
        <v>44060</v>
      </c>
      <c r="EV33" s="242">
        <f>+IS!EV34*4*BS!EV54/100+EV122</f>
        <v>44478.87471861174</v>
      </c>
      <c r="EW33" s="327">
        <f t="shared" si="41"/>
        <v>44478.87471861174</v>
      </c>
      <c r="EX33" s="242">
        <f>+IS!EX34*4*BS!EX54/100+EX122</f>
        <v>45245.402585782751</v>
      </c>
      <c r="EY33" s="242">
        <f>+IS!EY34*4*BS!EY54/100+EY122</f>
        <v>45012.526349231106</v>
      </c>
      <c r="EZ33" s="242">
        <f>+IS!EZ34*4*BS!EZ54/100+EZ122</f>
        <v>45649.030741055045</v>
      </c>
      <c r="FA33" s="242">
        <f>+IS!FA34*4*BS!FA54/100+FA122</f>
        <v>46124.12991151859</v>
      </c>
      <c r="FB33" s="327">
        <f t="shared" si="38"/>
        <v>46124.12991151859</v>
      </c>
      <c r="FC33" s="242">
        <f>+IS!FC34*4*BS!FC54/100+FC122</f>
        <v>47302.686087420283</v>
      </c>
      <c r="FD33" s="242">
        <f>+IS!FD34*4*BS!FD54/100+FD122</f>
        <v>46512.799192918188</v>
      </c>
      <c r="FE33" s="242">
        <f>+IS!FE34*4*BS!FE54/100+FE122</f>
        <v>47913.007614193244</v>
      </c>
      <c r="FF33" s="242">
        <f>+IS!FF34*4*BS!FF54/100+FF122</f>
        <v>48422.9798596213</v>
      </c>
      <c r="FG33" s="327">
        <f t="shared" si="39"/>
        <v>48422.9798596213</v>
      </c>
      <c r="FH33" s="242">
        <f>+IS!FH34*4*BS!FH54/100+FH122</f>
        <v>49601.831058607764</v>
      </c>
      <c r="FI33" s="242">
        <f>+IS!FI34*4*BS!FI54/100+FI122</f>
        <v>47970.805651160619</v>
      </c>
      <c r="FJ33" s="242">
        <f>+IS!FJ34*4*BS!FJ54/100+FJ122</f>
        <v>50207.299042955099</v>
      </c>
      <c r="FK33" s="242">
        <f>+IS!FK34*4*BS!FK54/100+FK122</f>
        <v>50687.310299843688</v>
      </c>
      <c r="FL33" s="327">
        <f t="shared" si="40"/>
        <v>50687.310299843688</v>
      </c>
      <c r="FM33" s="481"/>
      <c r="FN33" s="484"/>
      <c r="FO33"/>
      <c r="FP33"/>
      <c r="FQ33"/>
      <c r="FR33"/>
      <c r="FS33"/>
      <c r="FT33"/>
      <c r="FU33" s="261"/>
      <c r="FV33" s="261"/>
      <c r="FW33" s="261"/>
      <c r="FX33" s="261"/>
    </row>
    <row r="34" spans="1:180" s="264" customFormat="1" ht="11.25" customHeight="1">
      <c r="A34" s="264" t="s">
        <v>107</v>
      </c>
      <c r="D34" s="242"/>
      <c r="E34" s="1127">
        <v>0</v>
      </c>
      <c r="F34" s="1127">
        <v>0</v>
      </c>
      <c r="G34" s="1127">
        <v>0</v>
      </c>
      <c r="H34" s="327">
        <f t="shared" si="0"/>
        <v>0</v>
      </c>
      <c r="I34" s="1127">
        <v>0</v>
      </c>
      <c r="J34" s="1127">
        <v>0</v>
      </c>
      <c r="K34" s="1127">
        <v>0</v>
      </c>
      <c r="L34" s="1127">
        <v>0</v>
      </c>
      <c r="M34" s="327">
        <f t="shared" si="1"/>
        <v>0</v>
      </c>
      <c r="N34" s="1127">
        <v>0</v>
      </c>
      <c r="O34" s="1127">
        <v>0</v>
      </c>
      <c r="P34" s="1127">
        <v>0</v>
      </c>
      <c r="Q34" s="1127">
        <v>0</v>
      </c>
      <c r="R34" s="327">
        <f t="shared" si="2"/>
        <v>0</v>
      </c>
      <c r="S34" s="1127">
        <v>0</v>
      </c>
      <c r="T34" s="1127">
        <v>0</v>
      </c>
      <c r="U34" s="1127">
        <v>0</v>
      </c>
      <c r="V34" s="1127">
        <v>0</v>
      </c>
      <c r="W34" s="327">
        <f t="shared" si="3"/>
        <v>0</v>
      </c>
      <c r="X34" s="1127">
        <v>0</v>
      </c>
      <c r="Y34" s="1127">
        <v>0</v>
      </c>
      <c r="Z34" s="1127">
        <v>0</v>
      </c>
      <c r="AA34" s="1127">
        <v>0</v>
      </c>
      <c r="AB34" s="327">
        <f t="shared" si="4"/>
        <v>0</v>
      </c>
      <c r="AC34" s="1127">
        <v>0</v>
      </c>
      <c r="AD34" s="1127">
        <v>0</v>
      </c>
      <c r="AE34" s="1127">
        <v>0</v>
      </c>
      <c r="AF34" s="1127">
        <v>0</v>
      </c>
      <c r="AG34" s="327">
        <f t="shared" si="5"/>
        <v>0</v>
      </c>
      <c r="AH34" s="1127">
        <v>0</v>
      </c>
      <c r="AI34" s="1127">
        <v>0</v>
      </c>
      <c r="AJ34" s="1127">
        <v>0</v>
      </c>
      <c r="AK34" s="1127">
        <v>0</v>
      </c>
      <c r="AL34" s="327">
        <f t="shared" si="6"/>
        <v>0</v>
      </c>
      <c r="AM34" s="1127">
        <v>0</v>
      </c>
      <c r="AN34" s="1127">
        <v>0</v>
      </c>
      <c r="AO34" s="1127">
        <v>0</v>
      </c>
      <c r="AP34" s="1127">
        <v>0</v>
      </c>
      <c r="AQ34" s="327">
        <f t="shared" si="7"/>
        <v>0</v>
      </c>
      <c r="AR34" s="1127">
        <v>0</v>
      </c>
      <c r="AS34" s="1127">
        <v>0</v>
      </c>
      <c r="AT34" s="1127">
        <v>0</v>
      </c>
      <c r="AU34" s="1127">
        <v>0</v>
      </c>
      <c r="AV34" s="327">
        <f t="shared" si="8"/>
        <v>0</v>
      </c>
      <c r="AW34" s="1127">
        <v>0</v>
      </c>
      <c r="AX34" s="1127">
        <v>0</v>
      </c>
      <c r="AY34" s="1127">
        <v>0</v>
      </c>
      <c r="AZ34" s="1127">
        <v>0</v>
      </c>
      <c r="BA34" s="327">
        <f t="shared" si="9"/>
        <v>0</v>
      </c>
      <c r="BB34" s="1127">
        <v>0</v>
      </c>
      <c r="BC34" s="1127">
        <v>0</v>
      </c>
      <c r="BD34" s="1127">
        <v>0</v>
      </c>
      <c r="BE34" s="1127">
        <v>0</v>
      </c>
      <c r="BF34" s="327">
        <f t="shared" si="10"/>
        <v>0</v>
      </c>
      <c r="BG34" s="1127">
        <v>0</v>
      </c>
      <c r="BH34" s="1127">
        <v>0</v>
      </c>
      <c r="BI34" s="1127">
        <v>0</v>
      </c>
      <c r="BJ34" s="1127">
        <v>0</v>
      </c>
      <c r="BK34" s="327">
        <f t="shared" si="11"/>
        <v>0</v>
      </c>
      <c r="BL34" s="1127">
        <v>0</v>
      </c>
      <c r="BM34" s="1127">
        <v>0</v>
      </c>
      <c r="BN34" s="1127">
        <v>0</v>
      </c>
      <c r="BO34" s="1127">
        <v>0</v>
      </c>
      <c r="BP34" s="327">
        <f t="shared" si="12"/>
        <v>0</v>
      </c>
      <c r="BQ34" s="1127">
        <v>0</v>
      </c>
      <c r="BR34" s="1127">
        <v>0</v>
      </c>
      <c r="BS34" s="1127">
        <v>0</v>
      </c>
      <c r="BT34" s="1127">
        <v>0</v>
      </c>
      <c r="BU34" s="327">
        <f t="shared" si="13"/>
        <v>0</v>
      </c>
      <c r="BV34" s="1127">
        <v>0</v>
      </c>
      <c r="BW34" s="1127">
        <v>0</v>
      </c>
      <c r="BX34" s="1127">
        <v>0</v>
      </c>
      <c r="BY34" s="1127">
        <v>0</v>
      </c>
      <c r="BZ34" s="327">
        <f t="shared" si="14"/>
        <v>0</v>
      </c>
      <c r="CA34" s="1127">
        <v>0</v>
      </c>
      <c r="CB34" s="1127">
        <v>0</v>
      </c>
      <c r="CC34" s="1127">
        <v>0</v>
      </c>
      <c r="CD34" s="1127">
        <v>0</v>
      </c>
      <c r="CE34" s="327">
        <f t="shared" si="15"/>
        <v>0</v>
      </c>
      <c r="CF34" s="1127">
        <v>0</v>
      </c>
      <c r="CG34" s="1127">
        <v>0</v>
      </c>
      <c r="CH34" s="1127">
        <v>0</v>
      </c>
      <c r="CI34" s="1127">
        <v>0</v>
      </c>
      <c r="CJ34" s="327">
        <f t="shared" si="16"/>
        <v>0</v>
      </c>
      <c r="CK34" s="1127">
        <v>0</v>
      </c>
      <c r="CL34" s="1127">
        <v>0</v>
      </c>
      <c r="CM34" s="1127">
        <v>0</v>
      </c>
      <c r="CN34" s="1127">
        <v>0</v>
      </c>
      <c r="CO34" s="327">
        <f t="shared" si="17"/>
        <v>0</v>
      </c>
      <c r="CP34" s="1127">
        <v>0</v>
      </c>
      <c r="CQ34" s="1127">
        <v>0</v>
      </c>
      <c r="CR34" s="1127">
        <v>0</v>
      </c>
      <c r="CS34" s="1127">
        <v>0</v>
      </c>
      <c r="CT34" s="327">
        <f t="shared" si="18"/>
        <v>0</v>
      </c>
      <c r="CU34" s="1127">
        <v>0</v>
      </c>
      <c r="CV34" s="1127">
        <v>0</v>
      </c>
      <c r="CW34" s="1127">
        <v>0</v>
      </c>
      <c r="CX34" s="1127">
        <v>0</v>
      </c>
      <c r="CY34" s="327">
        <f t="shared" si="19"/>
        <v>0</v>
      </c>
      <c r="CZ34" s="1127">
        <v>0</v>
      </c>
      <c r="DA34" s="1127">
        <v>0</v>
      </c>
      <c r="DB34" s="1127">
        <v>0</v>
      </c>
      <c r="DC34" s="1127">
        <v>3746</v>
      </c>
      <c r="DD34" s="327">
        <f t="shared" si="20"/>
        <v>3746</v>
      </c>
      <c r="DE34" s="1127">
        <v>3746</v>
      </c>
      <c r="DF34" s="1127">
        <v>3746</v>
      </c>
      <c r="DG34" s="1127">
        <v>3746</v>
      </c>
      <c r="DH34" s="1127">
        <v>4939</v>
      </c>
      <c r="DI34" s="327">
        <f t="shared" si="21"/>
        <v>4939</v>
      </c>
      <c r="DJ34" s="1127">
        <v>9665</v>
      </c>
      <c r="DK34" s="1127">
        <v>9671</v>
      </c>
      <c r="DL34" s="1127">
        <v>11915</v>
      </c>
      <c r="DM34" s="1127">
        <v>11921</v>
      </c>
      <c r="DN34" s="327">
        <f t="shared" si="22"/>
        <v>11921</v>
      </c>
      <c r="DO34" s="1127">
        <v>11927</v>
      </c>
      <c r="DP34" s="1127">
        <v>11932</v>
      </c>
      <c r="DQ34" s="1127">
        <v>11938</v>
      </c>
      <c r="DR34" s="1127">
        <v>10713</v>
      </c>
      <c r="DS34" s="327">
        <f t="shared" si="23"/>
        <v>10713</v>
      </c>
      <c r="DT34" s="1127">
        <v>9714</v>
      </c>
      <c r="DU34" s="1127">
        <v>11947</v>
      </c>
      <c r="DV34" s="1127">
        <v>11949</v>
      </c>
      <c r="DW34" s="1127">
        <v>12601</v>
      </c>
      <c r="DX34" s="327">
        <f t="shared" si="24"/>
        <v>12601</v>
      </c>
      <c r="DY34" s="1127">
        <v>12632</v>
      </c>
      <c r="DZ34" s="1127">
        <v>20676</v>
      </c>
      <c r="EA34" s="1127">
        <v>20679</v>
      </c>
      <c r="EB34" s="1127">
        <v>20645</v>
      </c>
      <c r="EC34" s="327">
        <f t="shared" si="25"/>
        <v>20645</v>
      </c>
      <c r="ED34" s="1127">
        <v>18472</v>
      </c>
      <c r="EE34" s="1127">
        <v>18260</v>
      </c>
      <c r="EF34" s="1127">
        <v>27644</v>
      </c>
      <c r="EG34" s="1127">
        <v>27808</v>
      </c>
      <c r="EH34" s="327">
        <f t="shared" si="26"/>
        <v>27808</v>
      </c>
      <c r="EI34" s="2769">
        <v>27819</v>
      </c>
      <c r="EJ34" s="2769">
        <v>40679</v>
      </c>
      <c r="EK34" s="2769">
        <v>40896</v>
      </c>
      <c r="EL34" s="2769">
        <v>40557</v>
      </c>
      <c r="EM34" s="2770">
        <f t="shared" si="27"/>
        <v>40557</v>
      </c>
      <c r="EN34" s="2769">
        <v>60154</v>
      </c>
      <c r="EO34" s="2769">
        <v>59306</v>
      </c>
      <c r="EP34" s="2769">
        <v>76222</v>
      </c>
      <c r="EQ34" s="2769">
        <v>76073</v>
      </c>
      <c r="ER34" s="2770">
        <f t="shared" si="28"/>
        <v>76073</v>
      </c>
      <c r="ES34" s="2769">
        <v>76255</v>
      </c>
      <c r="ET34" s="2769">
        <v>73348</v>
      </c>
      <c r="EU34" s="2769">
        <v>73480</v>
      </c>
      <c r="EV34" s="242">
        <f>EU34+EV102-EV108</f>
        <v>73030</v>
      </c>
      <c r="EW34" s="327">
        <f t="shared" si="41"/>
        <v>73030</v>
      </c>
      <c r="EX34" s="242">
        <f t="shared" ref="EX34:FF34" si="46">EW34+EX102-EX108</f>
        <v>73030</v>
      </c>
      <c r="EY34" s="242">
        <f t="shared" si="46"/>
        <v>70030</v>
      </c>
      <c r="EZ34" s="242">
        <f t="shared" si="46"/>
        <v>70030</v>
      </c>
      <c r="FA34" s="242">
        <f t="shared" si="46"/>
        <v>69030</v>
      </c>
      <c r="FB34" s="327">
        <f t="shared" si="38"/>
        <v>69030</v>
      </c>
      <c r="FC34" s="242">
        <f t="shared" si="46"/>
        <v>66530</v>
      </c>
      <c r="FD34" s="242">
        <f t="shared" si="46"/>
        <v>66512</v>
      </c>
      <c r="FE34" s="242">
        <f t="shared" si="46"/>
        <v>63512</v>
      </c>
      <c r="FF34" s="242">
        <f t="shared" si="46"/>
        <v>63512</v>
      </c>
      <c r="FG34" s="327">
        <f t="shared" si="39"/>
        <v>63512</v>
      </c>
      <c r="FH34" s="242">
        <f t="shared" ref="FH34" si="47">FG34+FH102-FH108</f>
        <v>63512</v>
      </c>
      <c r="FI34" s="242">
        <f t="shared" ref="FI34" si="48">FH34+FI102-FI108</f>
        <v>60262</v>
      </c>
      <c r="FJ34" s="242">
        <f t="shared" ref="FJ34" si="49">FI34+FJ102-FJ108</f>
        <v>59762</v>
      </c>
      <c r="FK34" s="242">
        <f t="shared" ref="FK34" si="50">FJ34+FK102-FK108</f>
        <v>59762</v>
      </c>
      <c r="FL34" s="327">
        <f t="shared" si="40"/>
        <v>59762</v>
      </c>
      <c r="FM34" s="481"/>
      <c r="FN34" s="484"/>
      <c r="FO34"/>
      <c r="FP34"/>
      <c r="FQ34"/>
      <c r="FR34"/>
      <c r="FS34"/>
      <c r="FT34"/>
      <c r="FU34" s="261"/>
      <c r="FV34" s="261"/>
      <c r="FW34" s="261"/>
      <c r="FX34" s="261"/>
    </row>
    <row r="35" spans="1:180" s="264" customFormat="1" ht="11.25" customHeight="1">
      <c r="A35" s="264" t="s">
        <v>332</v>
      </c>
      <c r="D35" s="242"/>
      <c r="E35" s="1127">
        <v>0</v>
      </c>
      <c r="F35" s="1127">
        <v>0</v>
      </c>
      <c r="G35" s="1127">
        <v>0</v>
      </c>
      <c r="H35" s="327">
        <f t="shared" si="0"/>
        <v>0</v>
      </c>
      <c r="I35" s="1127">
        <v>0</v>
      </c>
      <c r="J35" s="1127">
        <v>0</v>
      </c>
      <c r="K35" s="1127">
        <v>0</v>
      </c>
      <c r="L35" s="1127">
        <v>0</v>
      </c>
      <c r="M35" s="327">
        <f t="shared" si="1"/>
        <v>0</v>
      </c>
      <c r="N35" s="1127">
        <v>0</v>
      </c>
      <c r="O35" s="1127">
        <v>0</v>
      </c>
      <c r="P35" s="1127">
        <v>0</v>
      </c>
      <c r="Q35" s="1127">
        <v>0</v>
      </c>
      <c r="R35" s="327">
        <f t="shared" si="2"/>
        <v>0</v>
      </c>
      <c r="S35" s="1127">
        <v>0</v>
      </c>
      <c r="T35" s="1127">
        <v>0</v>
      </c>
      <c r="U35" s="1127">
        <v>0</v>
      </c>
      <c r="V35" s="1127">
        <v>0</v>
      </c>
      <c r="W35" s="327">
        <f t="shared" si="3"/>
        <v>0</v>
      </c>
      <c r="X35" s="1127">
        <v>0</v>
      </c>
      <c r="Y35" s="1127">
        <v>0</v>
      </c>
      <c r="Z35" s="1127">
        <v>0</v>
      </c>
      <c r="AA35" s="1127">
        <v>0</v>
      </c>
      <c r="AB35" s="327">
        <f t="shared" si="4"/>
        <v>0</v>
      </c>
      <c r="AC35" s="1127">
        <v>0</v>
      </c>
      <c r="AD35" s="1127">
        <v>0</v>
      </c>
      <c r="AE35" s="1127">
        <v>0</v>
      </c>
      <c r="AF35" s="1127">
        <v>0</v>
      </c>
      <c r="AG35" s="327">
        <f t="shared" si="5"/>
        <v>0</v>
      </c>
      <c r="AH35" s="1127">
        <v>0</v>
      </c>
      <c r="AI35" s="1127">
        <v>125</v>
      </c>
      <c r="AJ35" s="1127">
        <v>125</v>
      </c>
      <c r="AK35" s="1127">
        <v>125</v>
      </c>
      <c r="AL35" s="327">
        <f t="shared" si="6"/>
        <v>125</v>
      </c>
      <c r="AM35" s="1127">
        <v>125</v>
      </c>
      <c r="AN35" s="1127">
        <v>125</v>
      </c>
      <c r="AO35" s="1127">
        <v>125</v>
      </c>
      <c r="AP35" s="1127">
        <v>125</v>
      </c>
      <c r="AQ35" s="327">
        <f t="shared" si="7"/>
        <v>125</v>
      </c>
      <c r="AR35" s="1127">
        <v>125</v>
      </c>
      <c r="AS35" s="1127">
        <v>0</v>
      </c>
      <c r="AT35" s="1127">
        <v>0</v>
      </c>
      <c r="AU35" s="1127">
        <v>0</v>
      </c>
      <c r="AV35" s="327">
        <f t="shared" si="8"/>
        <v>0</v>
      </c>
      <c r="AW35" s="1127">
        <v>0</v>
      </c>
      <c r="AX35" s="1127">
        <v>0</v>
      </c>
      <c r="AY35" s="1127">
        <v>0</v>
      </c>
      <c r="AZ35" s="1127">
        <v>0</v>
      </c>
      <c r="BA35" s="327">
        <f t="shared" si="9"/>
        <v>0</v>
      </c>
      <c r="BB35" s="1127">
        <v>0</v>
      </c>
      <c r="BC35" s="1127">
        <v>0</v>
      </c>
      <c r="BD35" s="1127">
        <v>0</v>
      </c>
      <c r="BE35" s="1127">
        <v>0</v>
      </c>
      <c r="BF35" s="327">
        <f t="shared" si="10"/>
        <v>0</v>
      </c>
      <c r="BG35" s="1127">
        <v>0</v>
      </c>
      <c r="BH35" s="1127">
        <v>0</v>
      </c>
      <c r="BI35" s="1127">
        <v>0</v>
      </c>
      <c r="BJ35" s="1127">
        <v>0</v>
      </c>
      <c r="BK35" s="327">
        <f t="shared" si="11"/>
        <v>0</v>
      </c>
      <c r="BL35" s="1127">
        <v>0</v>
      </c>
      <c r="BM35" s="1127">
        <v>0</v>
      </c>
      <c r="BN35" s="1127">
        <v>0</v>
      </c>
      <c r="BO35" s="1127">
        <v>0</v>
      </c>
      <c r="BP35" s="327">
        <f t="shared" si="12"/>
        <v>0</v>
      </c>
      <c r="BQ35" s="1127">
        <v>0</v>
      </c>
      <c r="BR35" s="1127">
        <v>0</v>
      </c>
      <c r="BS35" s="1127">
        <v>0</v>
      </c>
      <c r="BT35" s="1127">
        <v>0</v>
      </c>
      <c r="BU35" s="327">
        <f t="shared" si="13"/>
        <v>0</v>
      </c>
      <c r="BV35" s="1127">
        <v>0</v>
      </c>
      <c r="BW35" s="1127">
        <v>0</v>
      </c>
      <c r="BX35" s="1127">
        <v>0</v>
      </c>
      <c r="BY35" s="1127">
        <v>0</v>
      </c>
      <c r="BZ35" s="327">
        <f t="shared" si="14"/>
        <v>0</v>
      </c>
      <c r="CA35" s="1127">
        <v>0</v>
      </c>
      <c r="CB35" s="1127">
        <v>0</v>
      </c>
      <c r="CC35" s="1127">
        <v>0</v>
      </c>
      <c r="CD35" s="1127">
        <v>0</v>
      </c>
      <c r="CE35" s="327">
        <f t="shared" si="15"/>
        <v>0</v>
      </c>
      <c r="CF35" s="1127">
        <v>0</v>
      </c>
      <c r="CG35" s="1127">
        <v>0</v>
      </c>
      <c r="CH35" s="1127">
        <v>0</v>
      </c>
      <c r="CI35" s="1127">
        <v>0</v>
      </c>
      <c r="CJ35" s="327">
        <f t="shared" si="16"/>
        <v>0</v>
      </c>
      <c r="CK35" s="1127">
        <v>0</v>
      </c>
      <c r="CL35" s="1127">
        <v>0</v>
      </c>
      <c r="CM35" s="1127">
        <v>0</v>
      </c>
      <c r="CN35" s="1127">
        <v>0</v>
      </c>
      <c r="CO35" s="327">
        <f t="shared" si="17"/>
        <v>0</v>
      </c>
      <c r="CP35" s="1127">
        <v>0</v>
      </c>
      <c r="CQ35" s="1127">
        <v>0</v>
      </c>
      <c r="CR35" s="1127">
        <v>0</v>
      </c>
      <c r="CS35" s="1127">
        <v>0</v>
      </c>
      <c r="CT35" s="327">
        <f t="shared" si="18"/>
        <v>0</v>
      </c>
      <c r="CU35" s="1127">
        <v>0</v>
      </c>
      <c r="CV35" s="1127">
        <v>0</v>
      </c>
      <c r="CW35" s="1127">
        <v>0</v>
      </c>
      <c r="CX35" s="1127">
        <v>0</v>
      </c>
      <c r="CY35" s="327">
        <f t="shared" si="19"/>
        <v>0</v>
      </c>
      <c r="CZ35" s="1127">
        <v>0</v>
      </c>
      <c r="DA35" s="242">
        <f>+CZ35</f>
        <v>0</v>
      </c>
      <c r="DB35" s="1127">
        <v>0</v>
      </c>
      <c r="DC35" s="242">
        <f>+DB35</f>
        <v>0</v>
      </c>
      <c r="DD35" s="327">
        <f t="shared" si="20"/>
        <v>0</v>
      </c>
      <c r="DE35" s="1127">
        <v>0</v>
      </c>
      <c r="DF35" s="242">
        <f>+DE35</f>
        <v>0</v>
      </c>
      <c r="DG35" s="242">
        <f>+DF35</f>
        <v>0</v>
      </c>
      <c r="DH35" s="1127">
        <v>0</v>
      </c>
      <c r="DI35" s="327">
        <f t="shared" si="21"/>
        <v>0</v>
      </c>
      <c r="DJ35" s="1127">
        <v>0</v>
      </c>
      <c r="DK35" s="1127">
        <v>0</v>
      </c>
      <c r="DL35" s="1127">
        <v>0</v>
      </c>
      <c r="DM35" s="242">
        <f>+DL35</f>
        <v>0</v>
      </c>
      <c r="DN35" s="327">
        <f t="shared" si="22"/>
        <v>0</v>
      </c>
      <c r="DO35" s="1127">
        <v>0</v>
      </c>
      <c r="DP35" s="1127">
        <v>0</v>
      </c>
      <c r="DQ35" s="1127">
        <f>+DP35</f>
        <v>0</v>
      </c>
      <c r="DR35" s="1127">
        <f>+DQ35</f>
        <v>0</v>
      </c>
      <c r="DS35" s="327">
        <f t="shared" si="23"/>
        <v>0</v>
      </c>
      <c r="DT35" s="1127">
        <v>0</v>
      </c>
      <c r="DU35" s="1127">
        <v>0</v>
      </c>
      <c r="DV35" s="1127">
        <v>0</v>
      </c>
      <c r="DW35" s="242">
        <f>+DV35</f>
        <v>0</v>
      </c>
      <c r="DX35" s="327">
        <f t="shared" si="24"/>
        <v>0</v>
      </c>
      <c r="DY35" s="1127">
        <f>+DW35</f>
        <v>0</v>
      </c>
      <c r="DZ35" s="1127">
        <f>+DY35</f>
        <v>0</v>
      </c>
      <c r="EA35" s="1127">
        <v>0</v>
      </c>
      <c r="EB35" s="242">
        <v>0</v>
      </c>
      <c r="EC35" s="327">
        <f t="shared" si="25"/>
        <v>0</v>
      </c>
      <c r="ED35" s="1127">
        <f>+EB35</f>
        <v>0</v>
      </c>
      <c r="EE35" s="1127">
        <v>0</v>
      </c>
      <c r="EF35" s="1127">
        <f>+EE35</f>
        <v>0</v>
      </c>
      <c r="EG35" s="242">
        <v>0</v>
      </c>
      <c r="EH35" s="327">
        <f t="shared" si="26"/>
        <v>0</v>
      </c>
      <c r="EI35" s="2769">
        <v>0</v>
      </c>
      <c r="EJ35" s="2769">
        <v>0</v>
      </c>
      <c r="EK35" s="2769">
        <f>+EJ35</f>
        <v>0</v>
      </c>
      <c r="EL35" s="2562">
        <f>+EK35</f>
        <v>0</v>
      </c>
      <c r="EM35" s="2770">
        <f t="shared" si="27"/>
        <v>0</v>
      </c>
      <c r="EN35" s="2769">
        <v>0</v>
      </c>
      <c r="EO35" s="2769">
        <v>0</v>
      </c>
      <c r="EP35" s="2769">
        <f>+EO35</f>
        <v>0</v>
      </c>
      <c r="EQ35" s="2562">
        <f>+EP35</f>
        <v>0</v>
      </c>
      <c r="ER35" s="2770">
        <f t="shared" si="28"/>
        <v>0</v>
      </c>
      <c r="ES35" s="2769">
        <v>0</v>
      </c>
      <c r="ET35" s="2769">
        <v>0</v>
      </c>
      <c r="EU35" s="2769">
        <f>+ET35</f>
        <v>0</v>
      </c>
      <c r="EV35" s="242">
        <f>+EU35</f>
        <v>0</v>
      </c>
      <c r="EW35" s="327">
        <f t="shared" si="41"/>
        <v>0</v>
      </c>
      <c r="EX35" s="242">
        <f>+EV35</f>
        <v>0</v>
      </c>
      <c r="EY35" s="242">
        <f>+EX35</f>
        <v>0</v>
      </c>
      <c r="EZ35" s="242">
        <f>+EY35</f>
        <v>0</v>
      </c>
      <c r="FA35" s="242">
        <f>+EZ35</f>
        <v>0</v>
      </c>
      <c r="FB35" s="327">
        <f t="shared" si="38"/>
        <v>0</v>
      </c>
      <c r="FC35" s="242">
        <f>+FA35</f>
        <v>0</v>
      </c>
      <c r="FD35" s="242">
        <f>+FC35</f>
        <v>0</v>
      </c>
      <c r="FE35" s="242">
        <f>+FD35</f>
        <v>0</v>
      </c>
      <c r="FF35" s="242">
        <f>+FE35</f>
        <v>0</v>
      </c>
      <c r="FG35" s="327">
        <f t="shared" si="39"/>
        <v>0</v>
      </c>
      <c r="FH35" s="242">
        <f>+FF35</f>
        <v>0</v>
      </c>
      <c r="FI35" s="242">
        <f>+FH35</f>
        <v>0</v>
      </c>
      <c r="FJ35" s="242">
        <f>+FI35</f>
        <v>0</v>
      </c>
      <c r="FK35" s="242">
        <f>+FJ35</f>
        <v>0</v>
      </c>
      <c r="FL35" s="327">
        <f t="shared" si="40"/>
        <v>0</v>
      </c>
      <c r="FM35" s="481"/>
      <c r="FN35" s="484"/>
      <c r="FO35"/>
      <c r="FP35"/>
      <c r="FQ35"/>
      <c r="FR35"/>
      <c r="FS35"/>
      <c r="FT35"/>
      <c r="FU35" s="261"/>
      <c r="FV35" s="261"/>
      <c r="FW35" s="261"/>
      <c r="FX35" s="261"/>
    </row>
    <row r="36" spans="1:180" s="264" customFormat="1" ht="11.25" customHeight="1">
      <c r="A36" s="415" t="s">
        <v>509</v>
      </c>
      <c r="D36" s="486">
        <f t="shared" ref="D36:AP36" si="51">+SUM(D31:D35)</f>
        <v>0</v>
      </c>
      <c r="E36" s="486">
        <f t="shared" si="51"/>
        <v>0</v>
      </c>
      <c r="F36" s="486">
        <f t="shared" si="51"/>
        <v>0</v>
      </c>
      <c r="G36" s="486">
        <f t="shared" si="51"/>
        <v>0</v>
      </c>
      <c r="H36" s="487">
        <f t="shared" si="0"/>
        <v>0</v>
      </c>
      <c r="I36" s="486">
        <f t="shared" si="51"/>
        <v>0</v>
      </c>
      <c r="J36" s="486">
        <f t="shared" si="51"/>
        <v>0</v>
      </c>
      <c r="K36" s="486">
        <f t="shared" si="51"/>
        <v>0</v>
      </c>
      <c r="L36" s="486">
        <f t="shared" si="51"/>
        <v>0</v>
      </c>
      <c r="M36" s="487">
        <f t="shared" si="1"/>
        <v>0</v>
      </c>
      <c r="N36" s="486">
        <f t="shared" si="51"/>
        <v>0</v>
      </c>
      <c r="O36" s="486">
        <f t="shared" si="51"/>
        <v>0</v>
      </c>
      <c r="P36" s="486">
        <f t="shared" si="51"/>
        <v>0</v>
      </c>
      <c r="Q36" s="486">
        <f t="shared" si="51"/>
        <v>293.35300000000001</v>
      </c>
      <c r="R36" s="487">
        <f t="shared" si="2"/>
        <v>293.35300000000001</v>
      </c>
      <c r="S36" s="486">
        <f t="shared" si="51"/>
        <v>314.60000000000002</v>
      </c>
      <c r="T36" s="486">
        <f t="shared" si="51"/>
        <v>357.20000000000005</v>
      </c>
      <c r="U36" s="486">
        <f t="shared" si="51"/>
        <v>337.9</v>
      </c>
      <c r="V36" s="486">
        <f t="shared" si="51"/>
        <v>446.94499999999999</v>
      </c>
      <c r="W36" s="487">
        <f t="shared" si="3"/>
        <v>446.94499999999999</v>
      </c>
      <c r="X36" s="486">
        <f t="shared" si="51"/>
        <v>442</v>
      </c>
      <c r="Y36" s="486">
        <f t="shared" si="51"/>
        <v>476</v>
      </c>
      <c r="Z36" s="486">
        <f t="shared" si="51"/>
        <v>549</v>
      </c>
      <c r="AA36" s="486">
        <f t="shared" si="51"/>
        <v>563</v>
      </c>
      <c r="AB36" s="487">
        <f t="shared" si="4"/>
        <v>563</v>
      </c>
      <c r="AC36" s="486">
        <f t="shared" si="51"/>
        <v>581</v>
      </c>
      <c r="AD36" s="486">
        <f t="shared" si="51"/>
        <v>740</v>
      </c>
      <c r="AE36" s="486">
        <f t="shared" si="51"/>
        <v>914</v>
      </c>
      <c r="AF36" s="486">
        <f t="shared" si="51"/>
        <v>913</v>
      </c>
      <c r="AG36" s="487">
        <f t="shared" si="5"/>
        <v>913</v>
      </c>
      <c r="AH36" s="486">
        <f t="shared" si="51"/>
        <v>1207</v>
      </c>
      <c r="AI36" s="486">
        <f t="shared" si="51"/>
        <v>1518</v>
      </c>
      <c r="AJ36" s="486">
        <f t="shared" si="51"/>
        <v>1662</v>
      </c>
      <c r="AK36" s="486">
        <f t="shared" si="51"/>
        <v>1877</v>
      </c>
      <c r="AL36" s="487">
        <f t="shared" si="6"/>
        <v>1877</v>
      </c>
      <c r="AM36" s="486">
        <f t="shared" si="51"/>
        <v>2421</v>
      </c>
      <c r="AN36" s="486">
        <f t="shared" si="51"/>
        <v>2926</v>
      </c>
      <c r="AO36" s="486">
        <f t="shared" si="51"/>
        <v>2995</v>
      </c>
      <c r="AP36" s="486">
        <f t="shared" si="51"/>
        <v>3185</v>
      </c>
      <c r="AQ36" s="487">
        <f t="shared" si="7"/>
        <v>3185</v>
      </c>
      <c r="AR36" s="486">
        <f t="shared" ref="AR36:CD36" si="52">+SUM(AR31:AR35)</f>
        <v>3463</v>
      </c>
      <c r="AS36" s="486">
        <f t="shared" si="52"/>
        <v>3144</v>
      </c>
      <c r="AT36" s="486">
        <f t="shared" si="52"/>
        <v>3479</v>
      </c>
      <c r="AU36" s="486">
        <f t="shared" si="52"/>
        <v>3610</v>
      </c>
      <c r="AV36" s="487">
        <f t="shared" si="8"/>
        <v>3610</v>
      </c>
      <c r="AW36" s="486">
        <f t="shared" si="52"/>
        <v>3902</v>
      </c>
      <c r="AX36" s="486">
        <f t="shared" si="52"/>
        <v>4496</v>
      </c>
      <c r="AY36" s="486">
        <f t="shared" si="52"/>
        <v>4869</v>
      </c>
      <c r="AZ36" s="486">
        <f t="shared" si="52"/>
        <v>5730</v>
      </c>
      <c r="BA36" s="487">
        <f t="shared" si="9"/>
        <v>5730</v>
      </c>
      <c r="BB36" s="486">
        <f t="shared" si="52"/>
        <v>6445</v>
      </c>
      <c r="BC36" s="486">
        <f t="shared" si="52"/>
        <v>7471</v>
      </c>
      <c r="BD36" s="486">
        <f t="shared" si="52"/>
        <v>7839</v>
      </c>
      <c r="BE36" s="486">
        <f t="shared" si="52"/>
        <v>10187</v>
      </c>
      <c r="BF36" s="487">
        <f t="shared" si="10"/>
        <v>10187</v>
      </c>
      <c r="BG36" s="486">
        <f t="shared" si="52"/>
        <v>8332</v>
      </c>
      <c r="BH36" s="486">
        <f t="shared" si="52"/>
        <v>10504</v>
      </c>
      <c r="BI36" s="486">
        <f t="shared" si="52"/>
        <v>11103</v>
      </c>
      <c r="BJ36" s="486">
        <f t="shared" si="52"/>
        <v>10782</v>
      </c>
      <c r="BK36" s="487">
        <f t="shared" si="11"/>
        <v>10782</v>
      </c>
      <c r="BL36" s="486">
        <f t="shared" si="52"/>
        <v>10746</v>
      </c>
      <c r="BM36" s="486">
        <f t="shared" si="52"/>
        <v>11269</v>
      </c>
      <c r="BN36" s="486">
        <f t="shared" si="52"/>
        <v>11515</v>
      </c>
      <c r="BO36" s="486">
        <f t="shared" si="52"/>
        <v>11541</v>
      </c>
      <c r="BP36" s="487">
        <f t="shared" si="12"/>
        <v>11541</v>
      </c>
      <c r="BQ36" s="486">
        <f t="shared" si="52"/>
        <v>12862</v>
      </c>
      <c r="BR36" s="486">
        <f t="shared" si="52"/>
        <v>13839</v>
      </c>
      <c r="BS36" s="486">
        <f t="shared" si="52"/>
        <v>14079</v>
      </c>
      <c r="BT36" s="486">
        <f t="shared" si="52"/>
        <v>15466</v>
      </c>
      <c r="BU36" s="487">
        <f t="shared" si="13"/>
        <v>15466</v>
      </c>
      <c r="BV36" s="486">
        <f t="shared" si="52"/>
        <v>16719</v>
      </c>
      <c r="BW36" s="486">
        <f t="shared" si="52"/>
        <v>16547</v>
      </c>
      <c r="BX36" s="486">
        <f t="shared" si="52"/>
        <v>16200</v>
      </c>
      <c r="BY36" s="486">
        <f t="shared" si="52"/>
        <v>16820</v>
      </c>
      <c r="BZ36" s="487">
        <f t="shared" si="14"/>
        <v>16820</v>
      </c>
      <c r="CA36" s="486">
        <f t="shared" si="52"/>
        <v>17601</v>
      </c>
      <c r="CB36" s="486">
        <f t="shared" si="52"/>
        <v>16594</v>
      </c>
      <c r="CC36" s="486">
        <f t="shared" si="52"/>
        <v>19187</v>
      </c>
      <c r="CD36" s="486">
        <f t="shared" si="52"/>
        <v>17564</v>
      </c>
      <c r="CE36" s="487">
        <f t="shared" si="15"/>
        <v>17564</v>
      </c>
      <c r="CF36" s="486">
        <f t="shared" ref="CF36:CZ36" si="53">+SUM(CF31:CF35)</f>
        <v>17949</v>
      </c>
      <c r="CG36" s="486">
        <f t="shared" si="53"/>
        <v>17709</v>
      </c>
      <c r="CH36" s="486">
        <f t="shared" si="53"/>
        <v>18902</v>
      </c>
      <c r="CI36" s="486">
        <f t="shared" si="53"/>
        <v>22700</v>
      </c>
      <c r="CJ36" s="487">
        <f t="shared" si="16"/>
        <v>22700</v>
      </c>
      <c r="CK36" s="486">
        <f t="shared" si="53"/>
        <v>23135</v>
      </c>
      <c r="CL36" s="486">
        <f t="shared" si="53"/>
        <v>23049</v>
      </c>
      <c r="CM36" s="486">
        <f t="shared" si="53"/>
        <v>24816</v>
      </c>
      <c r="CN36" s="486">
        <f t="shared" si="53"/>
        <v>29493</v>
      </c>
      <c r="CO36" s="487">
        <f t="shared" si="17"/>
        <v>29493</v>
      </c>
      <c r="CP36" s="486">
        <f t="shared" si="53"/>
        <v>29253</v>
      </c>
      <c r="CQ36" s="486">
        <f t="shared" si="53"/>
        <v>29737</v>
      </c>
      <c r="CR36" s="486">
        <f t="shared" si="53"/>
        <v>28918</v>
      </c>
      <c r="CS36" s="486">
        <f t="shared" si="53"/>
        <v>32074</v>
      </c>
      <c r="CT36" s="487">
        <f t="shared" si="18"/>
        <v>32074</v>
      </c>
      <c r="CU36" s="486">
        <f t="shared" si="53"/>
        <v>33510</v>
      </c>
      <c r="CV36" s="486">
        <f t="shared" si="53"/>
        <v>32908</v>
      </c>
      <c r="CW36" s="486">
        <f t="shared" si="53"/>
        <v>33193</v>
      </c>
      <c r="CX36" s="486">
        <f t="shared" si="53"/>
        <v>36507</v>
      </c>
      <c r="CY36" s="487">
        <f t="shared" si="19"/>
        <v>36507</v>
      </c>
      <c r="CZ36" s="486">
        <f t="shared" si="53"/>
        <v>31523</v>
      </c>
      <c r="DA36" s="486">
        <f>+SUM(DA31:DA35)</f>
        <v>31308</v>
      </c>
      <c r="DB36" s="486">
        <f>+SUM(DB31:DB35)</f>
        <v>31910</v>
      </c>
      <c r="DC36" s="486">
        <f>+SUM(DC31:DC35)</f>
        <v>38330</v>
      </c>
      <c r="DD36" s="487">
        <f t="shared" si="20"/>
        <v>38330</v>
      </c>
      <c r="DE36" s="486">
        <f>+SUM(DE31:DE35)</f>
        <v>40400</v>
      </c>
      <c r="DF36" s="486">
        <f>+SUM(DF31:DF35)</f>
        <v>37813</v>
      </c>
      <c r="DG36" s="486">
        <f>+SUM(DG31:DG35)</f>
        <v>39200</v>
      </c>
      <c r="DH36" s="486">
        <f>+SUM(DH31:DH35)</f>
        <v>39938</v>
      </c>
      <c r="DI36" s="487">
        <f t="shared" si="21"/>
        <v>39938</v>
      </c>
      <c r="DJ36" s="486">
        <f>+SUM(DJ31:DJ35)</f>
        <v>44598</v>
      </c>
      <c r="DK36" s="486">
        <f>+SUM(DK31:DK35)</f>
        <v>43825</v>
      </c>
      <c r="DL36" s="486">
        <f>+SUM(DL31:DL35)</f>
        <v>46275</v>
      </c>
      <c r="DM36" s="486">
        <f>+SUM(DM31:DM35)</f>
        <v>51621</v>
      </c>
      <c r="DN36" s="487">
        <f t="shared" si="22"/>
        <v>51621</v>
      </c>
      <c r="DO36" s="486">
        <f>+SUM(DO31:DO35)</f>
        <v>48024</v>
      </c>
      <c r="DP36" s="486">
        <f>+SUM(DP31:DP35)</f>
        <v>48122</v>
      </c>
      <c r="DQ36" s="486">
        <f>+SUM(DQ31:DQ35)</f>
        <v>49351</v>
      </c>
      <c r="DR36" s="486">
        <f>+SUM(DR31:DR35)</f>
        <v>54908</v>
      </c>
      <c r="DS36" s="487">
        <f t="shared" si="23"/>
        <v>54908</v>
      </c>
      <c r="DT36" s="486">
        <f>+SUM(DT31:DT35)</f>
        <v>53040</v>
      </c>
      <c r="DU36" s="486">
        <f>+SUM(DU31:DU35)</f>
        <v>56107</v>
      </c>
      <c r="DV36" s="486">
        <f>+SUM(DV31:DV35)</f>
        <v>57417</v>
      </c>
      <c r="DW36" s="486">
        <f>+SUM(DW31:DW35)</f>
        <v>63487</v>
      </c>
      <c r="DX36" s="487">
        <f t="shared" si="24"/>
        <v>63487</v>
      </c>
      <c r="DY36" s="486">
        <f>+SUM(DY31:DY35)</f>
        <v>60707</v>
      </c>
      <c r="DZ36" s="486">
        <f>+SUM(DZ31:DZ35)</f>
        <v>68443</v>
      </c>
      <c r="EA36" s="486">
        <f>+SUM(EA31:EA35)</f>
        <v>68695</v>
      </c>
      <c r="EB36" s="486">
        <f>+SUM(EB31:EB35)</f>
        <v>82600</v>
      </c>
      <c r="EC36" s="487">
        <f t="shared" si="25"/>
        <v>82600</v>
      </c>
      <c r="ED36" s="486">
        <f>+SUM(ED31:ED35)</f>
        <v>79486</v>
      </c>
      <c r="EE36" s="486">
        <f>+SUM(EE31:EE35)</f>
        <v>82969</v>
      </c>
      <c r="EF36" s="486">
        <f>+SUM(EF31:EF35)</f>
        <v>86551</v>
      </c>
      <c r="EG36" s="486">
        <f>+SUM(EG31:EG35)</f>
        <v>96140</v>
      </c>
      <c r="EH36" s="487">
        <f t="shared" si="26"/>
        <v>96140</v>
      </c>
      <c r="EI36" s="2771">
        <f>+SUM(EI31:EI35)</f>
        <v>95451</v>
      </c>
      <c r="EJ36" s="2771">
        <f>+SUM(EJ31:EJ35)</f>
        <v>103318</v>
      </c>
      <c r="EK36" s="2771">
        <f>+SUM(EK31:EK35)</f>
        <v>107063</v>
      </c>
      <c r="EL36" s="2771">
        <f>+SUM(EL31:EL35)</f>
        <v>119807</v>
      </c>
      <c r="EM36" s="2772">
        <f t="shared" si="27"/>
        <v>119807</v>
      </c>
      <c r="EN36" s="2771">
        <f>+SUM(EN31:EN35)</f>
        <v>139546</v>
      </c>
      <c r="EO36" s="2771">
        <f>+SUM(EO31:EO35)</f>
        <v>153469</v>
      </c>
      <c r="EP36" s="2771">
        <f>+SUM(EP31:EP35)</f>
        <v>152525</v>
      </c>
      <c r="EQ36" s="2771">
        <f>+SUM(EQ31:EQ35)</f>
        <v>162601</v>
      </c>
      <c r="ER36" s="2772">
        <f t="shared" si="28"/>
        <v>162601</v>
      </c>
      <c r="ES36" s="2771">
        <f>+SUM(ES31:ES35)</f>
        <v>159450</v>
      </c>
      <c r="ET36" s="2771">
        <f>+SUM(ET31:ET35)</f>
        <v>177643</v>
      </c>
      <c r="EU36" s="2771">
        <f>+SUM(EU31:EU35)</f>
        <v>166258</v>
      </c>
      <c r="EV36" s="486">
        <f>+SUM(EV31:EV35)</f>
        <v>176683.80968212834</v>
      </c>
      <c r="EW36" s="487">
        <f t="shared" si="41"/>
        <v>176683.80968212834</v>
      </c>
      <c r="EX36" s="486">
        <f>+SUM(EX31:EX35)</f>
        <v>172813.95681537478</v>
      </c>
      <c r="EY36" s="486">
        <f>+SUM(EY31:EY35)</f>
        <v>169319.09631332872</v>
      </c>
      <c r="EZ36" s="486">
        <f>+SUM(EZ31:EZ35)</f>
        <v>170076.61792321346</v>
      </c>
      <c r="FA36" s="486">
        <f>+SUM(FA31:FA35)</f>
        <v>181793.16084270726</v>
      </c>
      <c r="FB36" s="487">
        <f t="shared" si="38"/>
        <v>181793.16084270726</v>
      </c>
      <c r="FC36" s="486">
        <f>+SUM(FC31:FC35)</f>
        <v>175304.08153413312</v>
      </c>
      <c r="FD36" s="486">
        <f>+SUM(FD31:FD35)</f>
        <v>173613.99459962931</v>
      </c>
      <c r="FE36" s="486">
        <f>+SUM(FE31:FE35)</f>
        <v>172717.64537024178</v>
      </c>
      <c r="FF36" s="486">
        <f>+SUM(FF31:FF35)</f>
        <v>187506.55510290453</v>
      </c>
      <c r="FG36" s="487">
        <f t="shared" si="39"/>
        <v>187506.55510290453</v>
      </c>
      <c r="FH36" s="486">
        <f>+SUM(FH31:FH35)</f>
        <v>182585.73855581356</v>
      </c>
      <c r="FI36" s="486">
        <f>+SUM(FI31:FI35)</f>
        <v>175960.39248716962</v>
      </c>
      <c r="FJ36" s="486">
        <f>+SUM(FJ31:FJ35)</f>
        <v>178940.35252724317</v>
      </c>
      <c r="FK36" s="486">
        <f>+SUM(FK31:FK35)</f>
        <v>195978.06443086354</v>
      </c>
      <c r="FL36" s="487">
        <f t="shared" si="40"/>
        <v>195978.06443086354</v>
      </c>
      <c r="FM36" s="481"/>
      <c r="FN36" s="488"/>
      <c r="FO36"/>
      <c r="FP36"/>
      <c r="FQ36"/>
      <c r="FR36"/>
      <c r="FS36"/>
      <c r="FT36"/>
      <c r="FU36" s="261"/>
      <c r="FV36" s="261"/>
      <c r="FW36" s="261"/>
      <c r="FX36" s="261"/>
    </row>
    <row r="37" spans="1:180" s="264" customFormat="1" ht="15.75" customHeight="1">
      <c r="A37" s="264" t="s">
        <v>510</v>
      </c>
      <c r="D37" s="242"/>
      <c r="E37" s="1127">
        <v>0</v>
      </c>
      <c r="F37" s="1127">
        <v>0</v>
      </c>
      <c r="G37" s="1127">
        <v>0</v>
      </c>
      <c r="H37" s="327">
        <f t="shared" si="0"/>
        <v>0</v>
      </c>
      <c r="I37" s="1127">
        <v>0</v>
      </c>
      <c r="J37" s="1127">
        <v>0</v>
      </c>
      <c r="K37" s="1127">
        <v>0</v>
      </c>
      <c r="L37" s="1127">
        <v>0</v>
      </c>
      <c r="M37" s="327">
        <f t="shared" si="1"/>
        <v>0</v>
      </c>
      <c r="N37" s="1127">
        <v>0</v>
      </c>
      <c r="O37" s="1127">
        <v>0</v>
      </c>
      <c r="P37" s="1127">
        <v>0</v>
      </c>
      <c r="Q37" s="1127">
        <v>0</v>
      </c>
      <c r="R37" s="327">
        <f t="shared" si="2"/>
        <v>0</v>
      </c>
      <c r="S37" s="1127">
        <v>0</v>
      </c>
      <c r="T37" s="1127">
        <v>0</v>
      </c>
      <c r="U37" s="1127">
        <v>0</v>
      </c>
      <c r="V37" s="1127">
        <v>0</v>
      </c>
      <c r="W37" s="327">
        <f t="shared" si="3"/>
        <v>0</v>
      </c>
      <c r="X37" s="1127">
        <v>0</v>
      </c>
      <c r="Y37" s="1127">
        <v>0</v>
      </c>
      <c r="Z37" s="1127">
        <v>0</v>
      </c>
      <c r="AA37" s="1127">
        <v>0</v>
      </c>
      <c r="AB37" s="327">
        <f t="shared" si="4"/>
        <v>0</v>
      </c>
      <c r="AC37" s="1127">
        <v>0</v>
      </c>
      <c r="AD37" s="1127">
        <v>0</v>
      </c>
      <c r="AE37" s="1127">
        <v>0</v>
      </c>
      <c r="AF37" s="1127">
        <v>0</v>
      </c>
      <c r="AG37" s="327">
        <f t="shared" si="5"/>
        <v>0</v>
      </c>
      <c r="AH37" s="1127">
        <v>0</v>
      </c>
      <c r="AI37" s="1127">
        <v>0</v>
      </c>
      <c r="AJ37" s="1127">
        <v>0</v>
      </c>
      <c r="AK37" s="1127">
        <v>0</v>
      </c>
      <c r="AL37" s="327">
        <f t="shared" si="6"/>
        <v>0</v>
      </c>
      <c r="AM37" s="1127">
        <v>0</v>
      </c>
      <c r="AN37" s="1127">
        <v>0</v>
      </c>
      <c r="AO37" s="1127">
        <v>0</v>
      </c>
      <c r="AP37" s="1127">
        <v>0</v>
      </c>
      <c r="AQ37" s="327">
        <f t="shared" si="7"/>
        <v>0</v>
      </c>
      <c r="AR37" s="1127">
        <v>0</v>
      </c>
      <c r="AS37" s="1127">
        <v>980</v>
      </c>
      <c r="AT37" s="1127">
        <v>980</v>
      </c>
      <c r="AU37" s="1127">
        <v>980</v>
      </c>
      <c r="AV37" s="327">
        <f t="shared" si="8"/>
        <v>980</v>
      </c>
      <c r="AW37" s="1127">
        <v>980</v>
      </c>
      <c r="AX37" s="1127">
        <v>980</v>
      </c>
      <c r="AY37" s="1127">
        <v>980</v>
      </c>
      <c r="AZ37" s="1127">
        <v>980</v>
      </c>
      <c r="BA37" s="327">
        <f t="shared" si="9"/>
        <v>980</v>
      </c>
      <c r="BB37" s="1127">
        <v>980</v>
      </c>
      <c r="BC37" s="1127">
        <v>980</v>
      </c>
      <c r="BD37" s="1127">
        <v>980</v>
      </c>
      <c r="BE37" s="1127">
        <v>980</v>
      </c>
      <c r="BF37" s="327">
        <f t="shared" si="10"/>
        <v>980</v>
      </c>
      <c r="BG37" s="1127">
        <v>980</v>
      </c>
      <c r="BH37" s="1127">
        <v>0</v>
      </c>
      <c r="BI37" s="1127">
        <v>0</v>
      </c>
      <c r="BJ37" s="1127">
        <v>0</v>
      </c>
      <c r="BK37" s="327">
        <f t="shared" si="11"/>
        <v>0</v>
      </c>
      <c r="BL37" s="1127">
        <v>0</v>
      </c>
      <c r="BM37" s="1127">
        <v>0</v>
      </c>
      <c r="BN37" s="1127">
        <v>0</v>
      </c>
      <c r="BO37" s="1127">
        <v>0</v>
      </c>
      <c r="BP37" s="327">
        <f t="shared" si="12"/>
        <v>0</v>
      </c>
      <c r="BQ37" s="1127">
        <v>0</v>
      </c>
      <c r="BR37" s="1127">
        <v>0</v>
      </c>
      <c r="BS37" s="1127">
        <v>0</v>
      </c>
      <c r="BT37" s="1127">
        <v>0</v>
      </c>
      <c r="BU37" s="327">
        <f t="shared" si="13"/>
        <v>0</v>
      </c>
      <c r="BV37" s="1127">
        <v>0</v>
      </c>
      <c r="BW37" s="1127">
        <v>0</v>
      </c>
      <c r="BX37" s="1127">
        <v>0</v>
      </c>
      <c r="BY37" s="1127">
        <v>0</v>
      </c>
      <c r="BZ37" s="327">
        <f t="shared" si="14"/>
        <v>0</v>
      </c>
      <c r="CA37" s="1127">
        <v>0</v>
      </c>
      <c r="CB37" s="1127">
        <v>0</v>
      </c>
      <c r="CC37" s="1127">
        <v>0</v>
      </c>
      <c r="CD37" s="1127">
        <v>0</v>
      </c>
      <c r="CE37" s="327">
        <f t="shared" si="15"/>
        <v>0</v>
      </c>
      <c r="CF37" s="1127">
        <v>0</v>
      </c>
      <c r="CG37" s="1127">
        <v>0</v>
      </c>
      <c r="CH37" s="1127">
        <v>0</v>
      </c>
      <c r="CI37" s="1127">
        <v>0</v>
      </c>
      <c r="CJ37" s="327">
        <f t="shared" si="16"/>
        <v>0</v>
      </c>
      <c r="CK37" s="1127">
        <v>0</v>
      </c>
      <c r="CL37" s="1127">
        <v>0</v>
      </c>
      <c r="CM37" s="1127">
        <v>0</v>
      </c>
      <c r="CN37" s="1127">
        <v>0</v>
      </c>
      <c r="CO37" s="327">
        <f t="shared" si="17"/>
        <v>0</v>
      </c>
      <c r="CP37" s="1127">
        <v>0</v>
      </c>
      <c r="CQ37" s="1127">
        <v>0</v>
      </c>
      <c r="CR37" s="1127">
        <v>0</v>
      </c>
      <c r="CS37" s="1127">
        <v>0</v>
      </c>
      <c r="CT37" s="327">
        <f t="shared" si="18"/>
        <v>0</v>
      </c>
      <c r="CU37" s="1127">
        <v>0</v>
      </c>
      <c r="CV37" s="1127">
        <v>0</v>
      </c>
      <c r="CW37" s="1127">
        <v>0</v>
      </c>
      <c r="CX37" s="1127">
        <v>0</v>
      </c>
      <c r="CY37" s="327">
        <f t="shared" si="19"/>
        <v>0</v>
      </c>
      <c r="CZ37" s="1127">
        <v>0</v>
      </c>
      <c r="DA37" s="1127">
        <v>0</v>
      </c>
      <c r="DB37" s="1127">
        <v>0</v>
      </c>
      <c r="DC37" s="1127">
        <v>0</v>
      </c>
      <c r="DD37" s="327">
        <f t="shared" si="20"/>
        <v>0</v>
      </c>
      <c r="DE37" s="1127">
        <v>0</v>
      </c>
      <c r="DF37" s="1127">
        <v>0</v>
      </c>
      <c r="DG37" s="1127">
        <v>0</v>
      </c>
      <c r="DH37" s="1127">
        <v>0</v>
      </c>
      <c r="DI37" s="327">
        <f t="shared" si="21"/>
        <v>0</v>
      </c>
      <c r="DJ37" s="1127">
        <v>0</v>
      </c>
      <c r="DK37" s="1127">
        <v>0</v>
      </c>
      <c r="DL37" s="1127">
        <v>0</v>
      </c>
      <c r="DM37" s="1127">
        <v>0</v>
      </c>
      <c r="DN37" s="327">
        <f t="shared" si="22"/>
        <v>0</v>
      </c>
      <c r="DO37" s="1127">
        <v>0</v>
      </c>
      <c r="DP37" s="1127">
        <v>0</v>
      </c>
      <c r="DQ37" s="1127">
        <v>0</v>
      </c>
      <c r="DR37" s="1127">
        <v>0</v>
      </c>
      <c r="DS37" s="327">
        <f t="shared" si="23"/>
        <v>0</v>
      </c>
      <c r="DT37" s="1127">
        <v>0</v>
      </c>
      <c r="DU37" s="1127">
        <v>0</v>
      </c>
      <c r="DV37" s="1127">
        <v>0</v>
      </c>
      <c r="DW37" s="1127">
        <v>0</v>
      </c>
      <c r="DX37" s="327">
        <f t="shared" si="24"/>
        <v>0</v>
      </c>
      <c r="DY37" s="1127">
        <v>0</v>
      </c>
      <c r="DZ37" s="1127">
        <v>0</v>
      </c>
      <c r="EA37" s="1127">
        <v>0</v>
      </c>
      <c r="EB37" s="1127">
        <v>0</v>
      </c>
      <c r="EC37" s="327">
        <f t="shared" si="25"/>
        <v>0</v>
      </c>
      <c r="ED37" s="1127">
        <v>0</v>
      </c>
      <c r="EE37" s="1127">
        <v>0</v>
      </c>
      <c r="EF37" s="1127">
        <v>0</v>
      </c>
      <c r="EG37" s="1127">
        <v>0</v>
      </c>
      <c r="EH37" s="327">
        <f t="shared" si="26"/>
        <v>0</v>
      </c>
      <c r="EI37" s="2769">
        <v>0</v>
      </c>
      <c r="EJ37" s="2769">
        <v>0</v>
      </c>
      <c r="EK37" s="2769">
        <v>0</v>
      </c>
      <c r="EL37" s="2769">
        <v>0</v>
      </c>
      <c r="EM37" s="2770">
        <f t="shared" si="27"/>
        <v>0</v>
      </c>
      <c r="EN37" s="2769">
        <v>0</v>
      </c>
      <c r="EO37" s="2769">
        <v>0</v>
      </c>
      <c r="EP37" s="2769">
        <v>0</v>
      </c>
      <c r="EQ37" s="2769">
        <v>0</v>
      </c>
      <c r="ER37" s="2770">
        <f t="shared" si="28"/>
        <v>0</v>
      </c>
      <c r="ES37" s="2769">
        <v>0</v>
      </c>
      <c r="ET37" s="2769">
        <v>0</v>
      </c>
      <c r="EU37" s="2769">
        <v>0</v>
      </c>
      <c r="EV37" s="1127">
        <v>0</v>
      </c>
      <c r="EW37" s="327">
        <f t="shared" si="41"/>
        <v>0</v>
      </c>
      <c r="EX37" s="1127">
        <v>0</v>
      </c>
      <c r="EY37" s="1127">
        <v>0</v>
      </c>
      <c r="EZ37" s="1127">
        <v>0</v>
      </c>
      <c r="FA37" s="1127">
        <v>0</v>
      </c>
      <c r="FB37" s="327">
        <f t="shared" si="38"/>
        <v>0</v>
      </c>
      <c r="FC37" s="1127">
        <v>0</v>
      </c>
      <c r="FD37" s="1127">
        <v>0</v>
      </c>
      <c r="FE37" s="1127">
        <v>0</v>
      </c>
      <c r="FF37" s="1127">
        <v>0</v>
      </c>
      <c r="FG37" s="327">
        <f t="shared" si="39"/>
        <v>0</v>
      </c>
      <c r="FH37" s="1127">
        <v>0</v>
      </c>
      <c r="FI37" s="1127">
        <v>0</v>
      </c>
      <c r="FJ37" s="1127">
        <v>0</v>
      </c>
      <c r="FK37" s="1127">
        <v>0</v>
      </c>
      <c r="FL37" s="327">
        <f t="shared" si="40"/>
        <v>0</v>
      </c>
      <c r="FM37" s="263"/>
      <c r="FN37" s="484"/>
      <c r="FO37"/>
      <c r="FP37"/>
      <c r="FQ37"/>
      <c r="FR37"/>
      <c r="FS37"/>
      <c r="FT37"/>
      <c r="FU37" s="261"/>
      <c r="FV37" s="261"/>
      <c r="FW37" s="261"/>
      <c r="FX37" s="261"/>
    </row>
    <row r="38" spans="1:180" s="264" customFormat="1" ht="11.25" customHeight="1">
      <c r="A38" s="264" t="s">
        <v>466</v>
      </c>
      <c r="D38" s="242"/>
      <c r="E38" s="1127">
        <v>0</v>
      </c>
      <c r="F38" s="1127">
        <v>0</v>
      </c>
      <c r="G38" s="1127">
        <v>0</v>
      </c>
      <c r="H38" s="327">
        <f t="shared" si="0"/>
        <v>0</v>
      </c>
      <c r="I38" s="1127">
        <v>0</v>
      </c>
      <c r="J38" s="1127">
        <v>0</v>
      </c>
      <c r="K38" s="1127">
        <v>0</v>
      </c>
      <c r="L38" s="1127">
        <v>0</v>
      </c>
      <c r="M38" s="327">
        <f t="shared" si="1"/>
        <v>0</v>
      </c>
      <c r="N38" s="1127">
        <v>0</v>
      </c>
      <c r="O38" s="1127">
        <v>0</v>
      </c>
      <c r="P38" s="1127">
        <v>0</v>
      </c>
      <c r="Q38" s="1127">
        <v>394.54199999999997</v>
      </c>
      <c r="R38" s="327">
        <f t="shared" si="2"/>
        <v>394.54199999999997</v>
      </c>
      <c r="S38" s="1127">
        <v>460.4</v>
      </c>
      <c r="T38" s="1127">
        <v>521.6</v>
      </c>
      <c r="U38" s="1127">
        <v>624.20000000000005</v>
      </c>
      <c r="V38" s="1127">
        <v>656.85500000000002</v>
      </c>
      <c r="W38" s="327">
        <f t="shared" si="3"/>
        <v>656.85500000000002</v>
      </c>
      <c r="X38" s="1127">
        <v>737</v>
      </c>
      <c r="Y38" s="1127">
        <v>907</v>
      </c>
      <c r="Z38" s="1127">
        <v>1002</v>
      </c>
      <c r="AA38" s="1127">
        <v>1086</v>
      </c>
      <c r="AB38" s="327">
        <f t="shared" si="4"/>
        <v>1086</v>
      </c>
      <c r="AC38" s="1127">
        <v>1149</v>
      </c>
      <c r="AD38" s="1127">
        <v>1232</v>
      </c>
      <c r="AE38" s="1127">
        <v>1373</v>
      </c>
      <c r="AF38" s="1127">
        <v>1500</v>
      </c>
      <c r="AG38" s="327">
        <f t="shared" si="5"/>
        <v>1500</v>
      </c>
      <c r="AH38" s="1127">
        <v>1606</v>
      </c>
      <c r="AI38" s="1127">
        <v>1699</v>
      </c>
      <c r="AJ38" s="1127">
        <v>1862</v>
      </c>
      <c r="AK38" s="1127">
        <v>2005</v>
      </c>
      <c r="AL38" s="327">
        <f t="shared" si="6"/>
        <v>2005</v>
      </c>
      <c r="AM38" s="1127">
        <v>2172</v>
      </c>
      <c r="AN38" s="1127">
        <v>2285</v>
      </c>
      <c r="AO38" s="1127">
        <v>2678</v>
      </c>
      <c r="AP38" s="1127">
        <v>2924</v>
      </c>
      <c r="AQ38" s="327">
        <f t="shared" si="7"/>
        <v>2924</v>
      </c>
      <c r="AR38" s="1127">
        <v>3220</v>
      </c>
      <c r="AS38" s="1127">
        <v>3541</v>
      </c>
      <c r="AT38" s="1127">
        <v>4036</v>
      </c>
      <c r="AU38" s="1127">
        <v>4509</v>
      </c>
      <c r="AV38" s="327">
        <f t="shared" si="8"/>
        <v>4509</v>
      </c>
      <c r="AW38" s="1127">
        <v>5630</v>
      </c>
      <c r="AX38" s="1127">
        <v>6104</v>
      </c>
      <c r="AY38" s="1127">
        <v>6984</v>
      </c>
      <c r="AZ38" s="1127">
        <v>8025</v>
      </c>
      <c r="BA38" s="327">
        <f t="shared" si="9"/>
        <v>8025</v>
      </c>
      <c r="BB38" s="1127">
        <v>9161</v>
      </c>
      <c r="BC38" s="1127">
        <v>10443</v>
      </c>
      <c r="BD38" s="1127">
        <v>12418</v>
      </c>
      <c r="BE38" s="1127">
        <v>13844</v>
      </c>
      <c r="BF38" s="327">
        <f t="shared" si="10"/>
        <v>13844</v>
      </c>
      <c r="BG38" s="1127">
        <v>15878</v>
      </c>
      <c r="BH38" s="1127">
        <v>18878</v>
      </c>
      <c r="BI38" s="1127">
        <v>20975</v>
      </c>
      <c r="BJ38" s="1127">
        <v>23195</v>
      </c>
      <c r="BK38" s="327">
        <f t="shared" si="11"/>
        <v>23195</v>
      </c>
      <c r="BL38" s="1127">
        <v>26661</v>
      </c>
      <c r="BM38" s="1127">
        <v>27178</v>
      </c>
      <c r="BN38" s="1127">
        <v>27647</v>
      </c>
      <c r="BO38" s="1127">
        <v>28390</v>
      </c>
      <c r="BP38" s="327">
        <f t="shared" si="12"/>
        <v>28390</v>
      </c>
      <c r="BQ38" s="1127">
        <v>29296</v>
      </c>
      <c r="BR38" s="1127">
        <v>30175</v>
      </c>
      <c r="BS38" s="1127">
        <v>30904</v>
      </c>
      <c r="BT38" s="1127">
        <v>31647</v>
      </c>
      <c r="BU38" s="327">
        <f t="shared" si="13"/>
        <v>31647</v>
      </c>
      <c r="BV38" s="1127">
        <v>33013</v>
      </c>
      <c r="BW38" s="1127">
        <v>33605</v>
      </c>
      <c r="BX38" s="1127">
        <v>34332</v>
      </c>
      <c r="BY38" s="1127">
        <v>49234</v>
      </c>
      <c r="BZ38" s="327">
        <f t="shared" si="14"/>
        <v>49234</v>
      </c>
      <c r="CA38" s="1127">
        <v>51298</v>
      </c>
      <c r="CB38" s="1127">
        <v>52676</v>
      </c>
      <c r="CC38" s="1127">
        <v>53975</v>
      </c>
      <c r="CD38" s="1127">
        <v>56396</v>
      </c>
      <c r="CE38" s="327">
        <f t="shared" si="15"/>
        <v>56396</v>
      </c>
      <c r="CF38" s="1127">
        <v>57147</v>
      </c>
      <c r="CG38" s="1127">
        <v>58403</v>
      </c>
      <c r="CH38" s="1127">
        <v>58829</v>
      </c>
      <c r="CI38" s="1127">
        <v>60413</v>
      </c>
      <c r="CJ38" s="327">
        <f t="shared" si="16"/>
        <v>60413</v>
      </c>
      <c r="CK38" s="1127">
        <v>60862</v>
      </c>
      <c r="CL38" s="1127">
        <v>60140</v>
      </c>
      <c r="CM38" s="1127">
        <v>59850</v>
      </c>
      <c r="CN38" s="1127">
        <v>59005</v>
      </c>
      <c r="CO38" s="327">
        <f t="shared" si="17"/>
        <v>59005</v>
      </c>
      <c r="CP38" s="1127">
        <v>57657</v>
      </c>
      <c r="CQ38" s="1127">
        <v>61152</v>
      </c>
      <c r="CR38" s="1127">
        <v>60827</v>
      </c>
      <c r="CS38" s="1127">
        <v>60557</v>
      </c>
      <c r="CT38" s="327">
        <f t="shared" si="18"/>
        <v>60557</v>
      </c>
      <c r="CU38" s="1127">
        <v>60699</v>
      </c>
      <c r="CV38" s="1127">
        <v>62528</v>
      </c>
      <c r="CW38" s="1127">
        <v>63375</v>
      </c>
      <c r="CX38" s="1127">
        <v>62849</v>
      </c>
      <c r="CY38" s="327">
        <f t="shared" si="19"/>
        <v>62849</v>
      </c>
      <c r="CZ38" s="1127">
        <v>61655</v>
      </c>
      <c r="DA38" s="1127">
        <v>61392</v>
      </c>
      <c r="DB38" s="1127">
        <v>61896</v>
      </c>
      <c r="DC38" s="1127">
        <v>62382</v>
      </c>
      <c r="DD38" s="327">
        <f t="shared" si="20"/>
        <v>62382</v>
      </c>
      <c r="DE38" s="1127">
        <v>62293</v>
      </c>
      <c r="DF38" s="1127">
        <v>62566</v>
      </c>
      <c r="DG38" s="1127">
        <v>62517</v>
      </c>
      <c r="DH38" s="1127">
        <v>62856</v>
      </c>
      <c r="DI38" s="327">
        <f t="shared" si="21"/>
        <v>62856</v>
      </c>
      <c r="DJ38" s="1127">
        <v>61935</v>
      </c>
      <c r="DK38" s="1127">
        <v>61646</v>
      </c>
      <c r="DL38" s="1127">
        <v>63234</v>
      </c>
      <c r="DM38" s="1127">
        <v>63415</v>
      </c>
      <c r="DN38" s="327">
        <f t="shared" si="22"/>
        <v>63415</v>
      </c>
      <c r="DO38" s="1127">
        <v>63492</v>
      </c>
      <c r="DP38" s="1127">
        <v>63902</v>
      </c>
      <c r="DQ38" s="1127">
        <v>65273</v>
      </c>
      <c r="DR38" s="1127">
        <v>65797</v>
      </c>
      <c r="DS38" s="327">
        <f t="shared" si="23"/>
        <v>65797</v>
      </c>
      <c r="DT38" s="1127">
        <v>66084</v>
      </c>
      <c r="DU38" s="1127">
        <v>66334</v>
      </c>
      <c r="DV38" s="1127">
        <v>66826</v>
      </c>
      <c r="DW38" s="1127">
        <v>67306</v>
      </c>
      <c r="DX38" s="327">
        <f t="shared" si="24"/>
        <v>67306</v>
      </c>
      <c r="DY38" s="1127">
        <v>67230</v>
      </c>
      <c r="DZ38" s="1127">
        <v>67476</v>
      </c>
      <c r="EA38" s="1127">
        <v>67803</v>
      </c>
      <c r="EB38" s="1127">
        <v>68366</v>
      </c>
      <c r="EC38" s="327">
        <f t="shared" si="25"/>
        <v>68366</v>
      </c>
      <c r="ED38" s="1127">
        <v>68362</v>
      </c>
      <c r="EE38" s="1127">
        <v>68765</v>
      </c>
      <c r="EF38" s="1127">
        <v>68475</v>
      </c>
      <c r="EG38" s="1127">
        <v>68465</v>
      </c>
      <c r="EH38" s="327">
        <f t="shared" si="26"/>
        <v>68465</v>
      </c>
      <c r="EI38" s="2769">
        <v>67811</v>
      </c>
      <c r="EJ38" s="2769">
        <v>67977</v>
      </c>
      <c r="EK38" s="2769">
        <v>68012</v>
      </c>
      <c r="EL38" s="2769">
        <v>68178</v>
      </c>
      <c r="EM38" s="2770">
        <f t="shared" si="27"/>
        <v>68178</v>
      </c>
      <c r="EN38" s="2769">
        <v>67747</v>
      </c>
      <c r="EO38" s="2769">
        <v>68177</v>
      </c>
      <c r="EP38" s="2769">
        <v>68554</v>
      </c>
      <c r="EQ38" s="2769">
        <v>69315</v>
      </c>
      <c r="ER38" s="2770">
        <f t="shared" si="28"/>
        <v>69315</v>
      </c>
      <c r="ES38" s="2769">
        <v>69419</v>
      </c>
      <c r="ET38" s="2769">
        <v>70192</v>
      </c>
      <c r="EU38" s="2769">
        <v>70418</v>
      </c>
      <c r="EV38" s="242">
        <f>+EU38+CF!EV9+CF!EV36+CF!EV37</f>
        <v>67805.567130908268</v>
      </c>
      <c r="EW38" s="327">
        <f t="shared" si="41"/>
        <v>67805.567130908268</v>
      </c>
      <c r="EX38" s="242">
        <f>+EW38+CF!EX9+CF!EX36+CF!EX37</f>
        <v>63525.791447035386</v>
      </c>
      <c r="EY38" s="242">
        <f>+EX38+CF!EY9+CF!EY36+CF!EY37</f>
        <v>58923.491683305605</v>
      </c>
      <c r="EZ38" s="242">
        <f>+EY38+CF!EZ9+CF!EZ36+CF!EZ37</f>
        <v>53967.548468166351</v>
      </c>
      <c r="FA38" s="242">
        <f>+EZ38+CF!FA9+CF!FA36+CF!FA37</f>
        <v>48634.618503131758</v>
      </c>
      <c r="FB38" s="327">
        <f t="shared" si="38"/>
        <v>48634.618503131758</v>
      </c>
      <c r="FC38" s="242">
        <f>+FB38+CF!FC9+CF!FC36+CF!FC37</f>
        <v>43008.363771507647</v>
      </c>
      <c r="FD38" s="242">
        <f>+FC38+CF!FD9+CF!FD36+CF!FD37</f>
        <v>36963.071928499849</v>
      </c>
      <c r="FE38" s="242">
        <f>+FD38+CF!FE9+CF!FE36+CF!FE37</f>
        <v>30460.686952315355</v>
      </c>
      <c r="FF38" s="242">
        <f>+FE38+CF!FF9+CF!FF36+CF!FF37</f>
        <v>23469.216565350944</v>
      </c>
      <c r="FG38" s="327">
        <f t="shared" si="39"/>
        <v>23469.216565350944</v>
      </c>
      <c r="FH38" s="242">
        <f>+FG38+CF!FH9+CF!FH36+CF!FH37</f>
        <v>16833.574815121963</v>
      </c>
      <c r="FI38" s="242">
        <f>+FH38+CF!FI9+CF!FI36+CF!FI37</f>
        <v>9661.2078929661875</v>
      </c>
      <c r="FJ38" s="242">
        <f>+FI38+CF!FJ9+CF!FJ36+CF!FJ37</f>
        <v>1904.4291875304061</v>
      </c>
      <c r="FK38" s="242">
        <f>+FJ38+CF!FK9+CF!FK36+CF!FK37</f>
        <v>-6480.251286380364</v>
      </c>
      <c r="FL38" s="327">
        <f t="shared" si="40"/>
        <v>-6480.251286380364</v>
      </c>
      <c r="FM38" s="481"/>
      <c r="FN38" s="484"/>
      <c r="FO38"/>
      <c r="FP38"/>
      <c r="FQ38"/>
      <c r="FR38"/>
      <c r="FS38"/>
      <c r="FT38"/>
      <c r="FU38" s="261"/>
      <c r="FV38" s="261"/>
      <c r="FW38" s="261"/>
      <c r="FX38" s="261"/>
    </row>
    <row r="39" spans="1:180" s="264" customFormat="1" ht="11.25" customHeight="1">
      <c r="A39" s="264" t="s">
        <v>511</v>
      </c>
      <c r="D39" s="242"/>
      <c r="E39" s="1127">
        <v>0</v>
      </c>
      <c r="F39" s="1127">
        <v>0</v>
      </c>
      <c r="G39" s="1127">
        <v>0</v>
      </c>
      <c r="H39" s="327">
        <f t="shared" si="0"/>
        <v>0</v>
      </c>
      <c r="I39" s="1127">
        <v>0</v>
      </c>
      <c r="J39" s="1127">
        <v>0</v>
      </c>
      <c r="K39" s="1127">
        <v>0</v>
      </c>
      <c r="L39" s="1127">
        <v>0</v>
      </c>
      <c r="M39" s="327">
        <f t="shared" si="1"/>
        <v>0</v>
      </c>
      <c r="N39" s="1127">
        <v>0</v>
      </c>
      <c r="O39" s="1127">
        <v>0</v>
      </c>
      <c r="P39" s="1127">
        <v>0</v>
      </c>
      <c r="Q39" s="1127">
        <v>956.28899999999999</v>
      </c>
      <c r="R39" s="327">
        <f t="shared" si="2"/>
        <v>956.28899999999999</v>
      </c>
      <c r="S39" s="1127">
        <v>1095.2</v>
      </c>
      <c r="T39" s="1127">
        <v>1249.5999999999999</v>
      </c>
      <c r="U39" s="1127">
        <v>1377.9</v>
      </c>
      <c r="V39" s="1127">
        <v>1536.1030000000001</v>
      </c>
      <c r="W39" s="327">
        <f t="shared" si="3"/>
        <v>1536.1030000000001</v>
      </c>
      <c r="X39" s="1127">
        <v>1670</v>
      </c>
      <c r="Y39" s="1127">
        <v>1843</v>
      </c>
      <c r="Z39" s="1127">
        <v>2009</v>
      </c>
      <c r="AA39" s="1127">
        <v>2156</v>
      </c>
      <c r="AB39" s="327">
        <f t="shared" si="4"/>
        <v>2156</v>
      </c>
      <c r="AC39" s="1127">
        <v>2318</v>
      </c>
      <c r="AD39" s="1127">
        <v>2514</v>
      </c>
      <c r="AE39" s="1127">
        <v>2639</v>
      </c>
      <c r="AF39" s="1127">
        <v>2950</v>
      </c>
      <c r="AG39" s="327">
        <f t="shared" si="5"/>
        <v>2950</v>
      </c>
      <c r="AH39" s="1127">
        <v>2824</v>
      </c>
      <c r="AI39" s="1127">
        <v>2744</v>
      </c>
      <c r="AJ39" s="1127">
        <v>3068</v>
      </c>
      <c r="AK39" s="1127">
        <v>3328</v>
      </c>
      <c r="AL39" s="327">
        <f t="shared" si="6"/>
        <v>3328</v>
      </c>
      <c r="AM39" s="1127">
        <v>3567</v>
      </c>
      <c r="AN39" s="1127">
        <v>3895</v>
      </c>
      <c r="AO39" s="1127">
        <v>3917</v>
      </c>
      <c r="AP39" s="1127">
        <v>3984</v>
      </c>
      <c r="AQ39" s="327">
        <f t="shared" si="7"/>
        <v>3984</v>
      </c>
      <c r="AR39" s="1127">
        <v>4057</v>
      </c>
      <c r="AS39" s="1127">
        <v>5121</v>
      </c>
      <c r="AT39" s="1127">
        <v>4118</v>
      </c>
      <c r="AU39" s="1127">
        <v>5288</v>
      </c>
      <c r="AV39" s="327">
        <f t="shared" si="8"/>
        <v>5288</v>
      </c>
      <c r="AW39" s="1127">
        <v>4854</v>
      </c>
      <c r="AX39" s="1127">
        <v>5260</v>
      </c>
      <c r="AY39" s="1127">
        <v>6712</v>
      </c>
      <c r="AZ39" s="1127">
        <v>7622</v>
      </c>
      <c r="BA39" s="327">
        <f t="shared" si="9"/>
        <v>7622</v>
      </c>
      <c r="BB39" s="1127">
        <v>8983</v>
      </c>
      <c r="BC39" s="1127">
        <v>11155</v>
      </c>
      <c r="BD39" s="1127">
        <v>12324</v>
      </c>
      <c r="BE39" s="1127">
        <v>13614</v>
      </c>
      <c r="BF39" s="327">
        <f t="shared" si="10"/>
        <v>13614</v>
      </c>
      <c r="BG39" s="1127">
        <v>14482</v>
      </c>
      <c r="BH39" s="1127">
        <v>15711</v>
      </c>
      <c r="BI39" s="1127">
        <v>18817</v>
      </c>
      <c r="BJ39" s="1127">
        <v>18173</v>
      </c>
      <c r="BK39" s="327">
        <f t="shared" si="11"/>
        <v>18173</v>
      </c>
      <c r="BL39" s="242">
        <f>18682-1459</f>
        <v>17223</v>
      </c>
      <c r="BM39" s="242">
        <f>19244-773</f>
        <v>18471</v>
      </c>
      <c r="BN39" s="242">
        <f>20443-604</f>
        <v>19839</v>
      </c>
      <c r="BO39" s="242">
        <f>18899-587</f>
        <v>18312</v>
      </c>
      <c r="BP39" s="327">
        <f t="shared" si="12"/>
        <v>18312</v>
      </c>
      <c r="BQ39" s="242">
        <f>19209-621</f>
        <v>18588</v>
      </c>
      <c r="BR39" s="242">
        <f>21373-754</f>
        <v>20619</v>
      </c>
      <c r="BS39" s="242">
        <f>23396-654</f>
        <v>22742</v>
      </c>
      <c r="BT39" s="242">
        <f>20533-583</f>
        <v>19950</v>
      </c>
      <c r="BU39" s="327">
        <f t="shared" si="13"/>
        <v>19950</v>
      </c>
      <c r="BV39" s="242">
        <f>20503-482</f>
        <v>20021</v>
      </c>
      <c r="BW39" s="242">
        <f>22207-520</f>
        <v>21687</v>
      </c>
      <c r="BX39" s="242">
        <f>23950-975</f>
        <v>22975</v>
      </c>
      <c r="BY39" s="242">
        <f>15678-1840</f>
        <v>13838</v>
      </c>
      <c r="BZ39" s="327">
        <f t="shared" si="14"/>
        <v>13838</v>
      </c>
      <c r="CA39" s="242">
        <f>15382-1719</f>
        <v>13663</v>
      </c>
      <c r="CB39" s="242">
        <f>16667-2195</f>
        <v>14472</v>
      </c>
      <c r="CC39" s="242">
        <f>16605-2025</f>
        <v>14580</v>
      </c>
      <c r="CD39" s="1127">
        <v>18429</v>
      </c>
      <c r="CE39" s="327">
        <f t="shared" si="15"/>
        <v>18429</v>
      </c>
      <c r="CF39" s="242">
        <f>19172</f>
        <v>19172</v>
      </c>
      <c r="CG39" s="1127">
        <v>-11171</v>
      </c>
      <c r="CH39" s="1127">
        <v>-11456</v>
      </c>
      <c r="CI39" s="1127">
        <v>-12298</v>
      </c>
      <c r="CJ39" s="327">
        <f t="shared" si="16"/>
        <v>-12298</v>
      </c>
      <c r="CK39" s="1127">
        <v>-12535</v>
      </c>
      <c r="CL39" s="1127">
        <v>-15932</v>
      </c>
      <c r="CM39" s="1127">
        <v>-17812</v>
      </c>
      <c r="CN39" s="1127">
        <v>-18901</v>
      </c>
      <c r="CO39" s="327">
        <f t="shared" si="17"/>
        <v>-18901</v>
      </c>
      <c r="CP39" s="1127">
        <v>-21556</v>
      </c>
      <c r="CQ39" s="1127">
        <v>-24518</v>
      </c>
      <c r="CR39" s="1127">
        <v>-25854</v>
      </c>
      <c r="CS39" s="1127">
        <v>-29460</v>
      </c>
      <c r="CT39" s="327">
        <f t="shared" si="18"/>
        <v>-29460</v>
      </c>
      <c r="CU39" s="1127">
        <v>-28564</v>
      </c>
      <c r="CV39" s="1127">
        <v>-28097</v>
      </c>
      <c r="CW39" s="1127">
        <v>-25821</v>
      </c>
      <c r="CX39" s="1127">
        <v>-26563</v>
      </c>
      <c r="CY39" s="327">
        <f t="shared" si="19"/>
        <v>-26563</v>
      </c>
      <c r="CZ39" s="1127">
        <v>-28061</v>
      </c>
      <c r="DA39" s="1127">
        <v>-26914</v>
      </c>
      <c r="DB39" s="1127">
        <v>-24953</v>
      </c>
      <c r="DC39" s="1127">
        <v>-22824</v>
      </c>
      <c r="DD39" s="327">
        <f t="shared" si="20"/>
        <v>-22824</v>
      </c>
      <c r="DE39" s="1127">
        <v>-21081</v>
      </c>
      <c r="DF39" s="1127">
        <v>-18283</v>
      </c>
      <c r="DG39" s="1127">
        <v>-16807</v>
      </c>
      <c r="DH39" s="1127">
        <v>-16681</v>
      </c>
      <c r="DI39" s="327">
        <f t="shared" si="21"/>
        <v>-16681</v>
      </c>
      <c r="DJ39" s="1127">
        <v>-14993</v>
      </c>
      <c r="DK39" s="1127">
        <v>-13165</v>
      </c>
      <c r="DL39" s="1127">
        <v>-9782</v>
      </c>
      <c r="DM39" s="1127">
        <v>-6332</v>
      </c>
      <c r="DN39" s="327">
        <f t="shared" si="22"/>
        <v>-6332</v>
      </c>
      <c r="DO39" s="1127">
        <v>-4101</v>
      </c>
      <c r="DP39" s="1127">
        <v>219</v>
      </c>
      <c r="DQ39" s="1127">
        <v>3386</v>
      </c>
      <c r="DR39" s="1127">
        <v>566</v>
      </c>
      <c r="DS39" s="327">
        <f t="shared" si="23"/>
        <v>566</v>
      </c>
      <c r="DT39" s="1127">
        <v>932</v>
      </c>
      <c r="DU39" s="1127">
        <v>4236</v>
      </c>
      <c r="DV39" s="1127">
        <v>7657</v>
      </c>
      <c r="DW39" s="1127">
        <v>9895</v>
      </c>
      <c r="DX39" s="327">
        <f t="shared" si="24"/>
        <v>9895</v>
      </c>
      <c r="DY39" s="1127">
        <v>11680</v>
      </c>
      <c r="DZ39" s="1127">
        <v>14347</v>
      </c>
      <c r="EA39" s="1127">
        <v>16289</v>
      </c>
      <c r="EB39" s="1127">
        <v>17710</v>
      </c>
      <c r="EC39" s="327">
        <f t="shared" si="25"/>
        <v>17710</v>
      </c>
      <c r="ED39" s="1127">
        <v>18051</v>
      </c>
      <c r="EE39" s="1127">
        <v>19731</v>
      </c>
      <c r="EF39" s="1127">
        <v>18186</v>
      </c>
      <c r="EG39" s="1127">
        <v>9096</v>
      </c>
      <c r="EH39" s="327">
        <f t="shared" si="26"/>
        <v>9096</v>
      </c>
      <c r="EI39" s="2769">
        <v>7896</v>
      </c>
      <c r="EJ39" s="2769">
        <v>7030</v>
      </c>
      <c r="EK39" s="2769">
        <v>4954</v>
      </c>
      <c r="EL39" s="2769">
        <f>2282+11093</f>
        <v>13375</v>
      </c>
      <c r="EM39" s="2770">
        <f t="shared" si="27"/>
        <v>13375</v>
      </c>
      <c r="EN39" s="2769">
        <f>944+12090</f>
        <v>13034</v>
      </c>
      <c r="EO39" s="2769">
        <f>120+13020</f>
        <v>13140</v>
      </c>
      <c r="EP39" s="2769">
        <f>531+13762</f>
        <v>14293</v>
      </c>
      <c r="EQ39" s="2769">
        <f>2648+15317</f>
        <v>17965</v>
      </c>
      <c r="ER39" s="2770">
        <f t="shared" si="28"/>
        <v>17965</v>
      </c>
      <c r="ES39" s="2769">
        <v>19702</v>
      </c>
      <c r="ET39" s="2769">
        <v>8567</v>
      </c>
      <c r="EU39" s="2769">
        <v>9974</v>
      </c>
      <c r="EV39" s="242">
        <f>+EU39+CF!EV35+CF!EV7</f>
        <v>15133.137026939323</v>
      </c>
      <c r="EW39" s="327">
        <f t="shared" si="41"/>
        <v>15133.137026939323</v>
      </c>
      <c r="EX39" s="242">
        <f>+EV39+CF!EX35+CF!EX7</f>
        <v>18628.802689991808</v>
      </c>
      <c r="EY39" s="242">
        <f>+EX39+CF!EY35+CF!EY7</f>
        <v>23024.281003613291</v>
      </c>
      <c r="EZ39" s="242">
        <f>+EY39+CF!EZ35+CF!EZ7</f>
        <v>27088.421820317686</v>
      </c>
      <c r="FA39" s="242">
        <f>+EZ39+CF!FA35+CF!FA7</f>
        <v>32289.40923326357</v>
      </c>
      <c r="FB39" s="327">
        <f t="shared" si="38"/>
        <v>32289.40923326357</v>
      </c>
      <c r="FC39" s="242">
        <f>+FA39+CF!FC35+CF!FC7</f>
        <v>36679.299374508861</v>
      </c>
      <c r="FD39" s="242">
        <f>+FC39+CF!FD35+CF!FD7</f>
        <v>42133.19039752621</v>
      </c>
      <c r="FE39" s="242">
        <f>+FD39+CF!FE35+CF!FE7</f>
        <v>47429.446566658567</v>
      </c>
      <c r="FF39" s="242">
        <f>+FE39+CF!FF35+CF!FF7</f>
        <v>53986.212079081</v>
      </c>
      <c r="FG39" s="327">
        <f t="shared" si="39"/>
        <v>53986.212079081</v>
      </c>
      <c r="FH39" s="242">
        <f>+FF39+CF!FH35+CF!FH7</f>
        <v>59347.917075365862</v>
      </c>
      <c r="FI39" s="242">
        <f>+FH39+CF!FI35+CF!FI7</f>
        <v>65865.818439866838</v>
      </c>
      <c r="FJ39" s="242">
        <f>+FI39+CF!FJ35+CF!FJ7</f>
        <v>72322.291928231745</v>
      </c>
      <c r="FK39" s="242">
        <f>+FJ39+CF!FK35+CF!FK7</f>
        <v>80141.736761541557</v>
      </c>
      <c r="FL39" s="327">
        <f t="shared" si="40"/>
        <v>80141.736761541557</v>
      </c>
      <c r="FM39" s="481"/>
      <c r="FN39" s="484"/>
      <c r="FO39"/>
      <c r="FP39"/>
      <c r="FQ39"/>
      <c r="FR39"/>
      <c r="FS39"/>
      <c r="FT39"/>
      <c r="FU39" s="261"/>
      <c r="FV39" s="261"/>
      <c r="FW39" s="261"/>
      <c r="FX39" s="261"/>
    </row>
    <row r="40" spans="1:180" s="264" customFormat="1" ht="11.25" customHeight="1">
      <c r="A40" s="264" t="s">
        <v>512</v>
      </c>
      <c r="D40" s="242"/>
      <c r="E40" s="1127">
        <v>0</v>
      </c>
      <c r="F40" s="1127">
        <v>0</v>
      </c>
      <c r="G40" s="1127">
        <v>0</v>
      </c>
      <c r="H40" s="327">
        <f t="shared" si="0"/>
        <v>0</v>
      </c>
      <c r="I40" s="1127">
        <v>0</v>
      </c>
      <c r="J40" s="1127">
        <v>0</v>
      </c>
      <c r="K40" s="1127">
        <v>0</v>
      </c>
      <c r="L40" s="1127">
        <v>0</v>
      </c>
      <c r="M40" s="327">
        <f t="shared" si="1"/>
        <v>0</v>
      </c>
      <c r="N40" s="1127">
        <v>0</v>
      </c>
      <c r="O40" s="1127">
        <v>0</v>
      </c>
      <c r="P40" s="1127">
        <v>0</v>
      </c>
      <c r="Q40" s="1127">
        <v>0</v>
      </c>
      <c r="R40" s="327">
        <f t="shared" si="2"/>
        <v>0</v>
      </c>
      <c r="S40" s="1127">
        <v>0</v>
      </c>
      <c r="T40" s="1127">
        <v>0</v>
      </c>
      <c r="U40" s="1127">
        <v>0</v>
      </c>
      <c r="V40" s="1127">
        <v>0</v>
      </c>
      <c r="W40" s="327">
        <f t="shared" si="3"/>
        <v>0</v>
      </c>
      <c r="X40" s="1127">
        <v>0</v>
      </c>
      <c r="Y40" s="1127">
        <v>0</v>
      </c>
      <c r="Z40" s="1127">
        <v>0</v>
      </c>
      <c r="AA40" s="1127">
        <v>0</v>
      </c>
      <c r="AB40" s="327">
        <f t="shared" si="4"/>
        <v>0</v>
      </c>
      <c r="AC40" s="1127">
        <v>0</v>
      </c>
      <c r="AD40" s="1127">
        <v>0</v>
      </c>
      <c r="AE40" s="1127">
        <v>0</v>
      </c>
      <c r="AF40" s="1127">
        <v>0</v>
      </c>
      <c r="AG40" s="327">
        <f t="shared" si="5"/>
        <v>0</v>
      </c>
      <c r="AH40" s="1127">
        <v>0</v>
      </c>
      <c r="AI40" s="1127">
        <v>0</v>
      </c>
      <c r="AJ40" s="1127">
        <v>0</v>
      </c>
      <c r="AK40" s="1127">
        <v>0</v>
      </c>
      <c r="AL40" s="327">
        <f t="shared" si="6"/>
        <v>0</v>
      </c>
      <c r="AM40" s="1127">
        <v>0</v>
      </c>
      <c r="AN40" s="1127">
        <v>0</v>
      </c>
      <c r="AO40" s="1127">
        <v>0</v>
      </c>
      <c r="AP40" s="1127">
        <v>0</v>
      </c>
      <c r="AQ40" s="327">
        <f t="shared" si="7"/>
        <v>0</v>
      </c>
      <c r="AR40" s="1127">
        <v>0</v>
      </c>
      <c r="AS40" s="1127">
        <v>0</v>
      </c>
      <c r="AT40" s="1127">
        <v>0</v>
      </c>
      <c r="AU40" s="1127">
        <v>0</v>
      </c>
      <c r="AV40" s="327">
        <f t="shared" si="8"/>
        <v>0</v>
      </c>
      <c r="AW40" s="1127">
        <v>0</v>
      </c>
      <c r="AX40" s="1127">
        <v>0</v>
      </c>
      <c r="AY40" s="1127">
        <v>0</v>
      </c>
      <c r="AZ40" s="1127">
        <v>0</v>
      </c>
      <c r="BA40" s="327">
        <f t="shared" si="9"/>
        <v>0</v>
      </c>
      <c r="BB40" s="1127">
        <v>0</v>
      </c>
      <c r="BC40" s="1127">
        <v>0</v>
      </c>
      <c r="BD40" s="1127">
        <v>0</v>
      </c>
      <c r="BE40" s="1127">
        <v>0</v>
      </c>
      <c r="BF40" s="327">
        <f t="shared" si="10"/>
        <v>0</v>
      </c>
      <c r="BG40" s="1127">
        <v>0</v>
      </c>
      <c r="BH40" s="1127">
        <v>0</v>
      </c>
      <c r="BI40" s="1127">
        <v>0</v>
      </c>
      <c r="BJ40" s="1127">
        <v>0</v>
      </c>
      <c r="BK40" s="327">
        <f t="shared" si="11"/>
        <v>0</v>
      </c>
      <c r="BL40" s="1127">
        <v>1459</v>
      </c>
      <c r="BM40" s="1127">
        <v>773</v>
      </c>
      <c r="BN40" s="1127">
        <v>604</v>
      </c>
      <c r="BO40" s="1127">
        <v>587</v>
      </c>
      <c r="BP40" s="327">
        <f t="shared" si="12"/>
        <v>587</v>
      </c>
      <c r="BQ40" s="1127">
        <v>621</v>
      </c>
      <c r="BR40" s="1127">
        <v>754</v>
      </c>
      <c r="BS40" s="1127">
        <v>654</v>
      </c>
      <c r="BT40" s="1127">
        <v>583</v>
      </c>
      <c r="BU40" s="327">
        <f t="shared" si="13"/>
        <v>583</v>
      </c>
      <c r="BV40" s="1127">
        <v>482</v>
      </c>
      <c r="BW40" s="1127">
        <v>520</v>
      </c>
      <c r="BX40" s="1127">
        <v>975</v>
      </c>
      <c r="BY40" s="1127">
        <v>1840</v>
      </c>
      <c r="BZ40" s="327">
        <f t="shared" si="14"/>
        <v>1840</v>
      </c>
      <c r="CA40" s="1127">
        <v>1719</v>
      </c>
      <c r="CB40" s="1127">
        <v>2195</v>
      </c>
      <c r="CC40" s="1127">
        <v>2025</v>
      </c>
      <c r="CD40" s="1127">
        <v>0</v>
      </c>
      <c r="CE40" s="327">
        <f t="shared" si="15"/>
        <v>0</v>
      </c>
      <c r="CF40" s="242">
        <f>+CD40</f>
        <v>0</v>
      </c>
      <c r="CG40" s="242">
        <f t="shared" ref="CG40:CN40" si="54">+CF40</f>
        <v>0</v>
      </c>
      <c r="CH40" s="242">
        <f t="shared" si="54"/>
        <v>0</v>
      </c>
      <c r="CI40" s="242">
        <f t="shared" si="54"/>
        <v>0</v>
      </c>
      <c r="CJ40" s="327">
        <f t="shared" si="16"/>
        <v>0</v>
      </c>
      <c r="CK40" s="242">
        <f>+CI40</f>
        <v>0</v>
      </c>
      <c r="CL40" s="242">
        <f t="shared" si="54"/>
        <v>0</v>
      </c>
      <c r="CM40" s="242">
        <f t="shared" si="54"/>
        <v>0</v>
      </c>
      <c r="CN40" s="242">
        <f t="shared" si="54"/>
        <v>0</v>
      </c>
      <c r="CO40" s="327">
        <f t="shared" si="17"/>
        <v>0</v>
      </c>
      <c r="CP40" s="242">
        <f>+CN40</f>
        <v>0</v>
      </c>
      <c r="CQ40" s="242">
        <f>+CP40</f>
        <v>0</v>
      </c>
      <c r="CR40" s="242">
        <f>+CQ40</f>
        <v>0</v>
      </c>
      <c r="CS40" s="242">
        <f>+CR40</f>
        <v>0</v>
      </c>
      <c r="CT40" s="327">
        <f t="shared" si="18"/>
        <v>0</v>
      </c>
      <c r="CU40" s="242">
        <f>+CS40</f>
        <v>0</v>
      </c>
      <c r="CV40" s="1127">
        <v>0</v>
      </c>
      <c r="CW40" s="1127">
        <v>0</v>
      </c>
      <c r="CX40" s="1127">
        <v>0</v>
      </c>
      <c r="CY40" s="327">
        <f t="shared" si="19"/>
        <v>0</v>
      </c>
      <c r="CZ40" s="242"/>
      <c r="DA40" s="242">
        <f>+CZ40</f>
        <v>0</v>
      </c>
      <c r="DB40" s="1127">
        <v>0</v>
      </c>
      <c r="DC40" s="1127">
        <v>0</v>
      </c>
      <c r="DD40" s="327">
        <f t="shared" si="20"/>
        <v>0</v>
      </c>
      <c r="DE40" s="1127">
        <v>0</v>
      </c>
      <c r="DF40" s="1127">
        <v>0</v>
      </c>
      <c r="DG40" s="242">
        <f>+DF40</f>
        <v>0</v>
      </c>
      <c r="DH40" s="242">
        <f>+DG40</f>
        <v>0</v>
      </c>
      <c r="DI40" s="327">
        <f t="shared" si="21"/>
        <v>0</v>
      </c>
      <c r="DJ40" s="242">
        <f>+DH40</f>
        <v>0</v>
      </c>
      <c r="DK40" s="242">
        <f>+DJ40</f>
        <v>0</v>
      </c>
      <c r="DL40" s="242">
        <f>+DK40</f>
        <v>0</v>
      </c>
      <c r="DM40" s="242">
        <f>+DL40</f>
        <v>0</v>
      </c>
      <c r="DN40" s="327">
        <f t="shared" si="22"/>
        <v>0</v>
      </c>
      <c r="DO40" s="1127">
        <f>+DM40</f>
        <v>0</v>
      </c>
      <c r="DP40" s="1127">
        <f>+DO40</f>
        <v>0</v>
      </c>
      <c r="DQ40" s="1127">
        <f>+DP40</f>
        <v>0</v>
      </c>
      <c r="DR40" s="1127">
        <f>+DQ40</f>
        <v>0</v>
      </c>
      <c r="DS40" s="327">
        <f t="shared" si="23"/>
        <v>0</v>
      </c>
      <c r="DT40" s="1127">
        <v>1820</v>
      </c>
      <c r="DU40" s="1127">
        <v>2006</v>
      </c>
      <c r="DV40" s="1127">
        <v>2205</v>
      </c>
      <c r="DW40" s="1127">
        <v>1743</v>
      </c>
      <c r="DX40" s="327">
        <f t="shared" si="24"/>
        <v>1743</v>
      </c>
      <c r="DY40" s="1127">
        <v>2731</v>
      </c>
      <c r="DZ40" s="1127">
        <v>3277</v>
      </c>
      <c r="EA40" s="1127">
        <v>3332</v>
      </c>
      <c r="EB40" s="1127">
        <v>3708</v>
      </c>
      <c r="EC40" s="327">
        <f t="shared" si="25"/>
        <v>3708</v>
      </c>
      <c r="ED40" s="1127">
        <v>3757</v>
      </c>
      <c r="EE40" s="1127">
        <v>3383</v>
      </c>
      <c r="EF40" s="1127">
        <v>3471</v>
      </c>
      <c r="EG40" s="1127">
        <v>2522</v>
      </c>
      <c r="EH40" s="327">
        <f t="shared" si="26"/>
        <v>2522</v>
      </c>
      <c r="EI40" s="2769">
        <v>1738</v>
      </c>
      <c r="EJ40" s="2769">
        <v>1773</v>
      </c>
      <c r="EK40" s="2769">
        <v>1840</v>
      </c>
      <c r="EL40" s="2769">
        <v>1537</v>
      </c>
      <c r="EM40" s="2770">
        <f t="shared" si="27"/>
        <v>1537</v>
      </c>
      <c r="EN40" s="2769">
        <v>1681</v>
      </c>
      <c r="EO40" s="2769">
        <v>512</v>
      </c>
      <c r="EP40" s="2769">
        <v>644</v>
      </c>
      <c r="EQ40" s="2769">
        <v>431</v>
      </c>
      <c r="ER40" s="2770">
        <f t="shared" si="28"/>
        <v>431</v>
      </c>
      <c r="ES40" s="2769">
        <v>526</v>
      </c>
      <c r="ET40" s="2769">
        <v>-399</v>
      </c>
      <c r="EU40" s="2769">
        <v>-1153</v>
      </c>
      <c r="EV40" s="242">
        <f>+EU40</f>
        <v>-1153</v>
      </c>
      <c r="EW40" s="327">
        <f t="shared" si="41"/>
        <v>-1153</v>
      </c>
      <c r="EX40" s="242">
        <f>+EV40</f>
        <v>-1153</v>
      </c>
      <c r="EY40" s="242">
        <f>+EX40</f>
        <v>-1153</v>
      </c>
      <c r="EZ40" s="242">
        <f>+EY40</f>
        <v>-1153</v>
      </c>
      <c r="FA40" s="242">
        <f>+EZ40</f>
        <v>-1153</v>
      </c>
      <c r="FB40" s="327">
        <f t="shared" si="38"/>
        <v>-1153</v>
      </c>
      <c r="FC40" s="242">
        <f>+FA40</f>
        <v>-1153</v>
      </c>
      <c r="FD40" s="242">
        <f>+FC40</f>
        <v>-1153</v>
      </c>
      <c r="FE40" s="242">
        <f>+FD40</f>
        <v>-1153</v>
      </c>
      <c r="FF40" s="242">
        <f>+FE40</f>
        <v>-1153</v>
      </c>
      <c r="FG40" s="327">
        <f t="shared" si="39"/>
        <v>-1153</v>
      </c>
      <c r="FH40" s="242">
        <f>+FF40</f>
        <v>-1153</v>
      </c>
      <c r="FI40" s="242">
        <f>+FH40</f>
        <v>-1153</v>
      </c>
      <c r="FJ40" s="242">
        <f>+FI40</f>
        <v>-1153</v>
      </c>
      <c r="FK40" s="242">
        <f>+FJ40</f>
        <v>-1153</v>
      </c>
      <c r="FL40" s="327">
        <f t="shared" si="40"/>
        <v>-1153</v>
      </c>
      <c r="FM40" s="263"/>
      <c r="FN40" s="484"/>
      <c r="FO40"/>
      <c r="FP40"/>
      <c r="FQ40"/>
      <c r="FR40"/>
      <c r="FS40"/>
      <c r="FT40"/>
      <c r="FU40" s="261"/>
      <c r="FV40" s="261"/>
      <c r="FW40" s="261"/>
      <c r="FX40" s="261"/>
    </row>
    <row r="41" spans="1:180" s="264" customFormat="1" ht="11.25" customHeight="1">
      <c r="A41" s="415" t="s">
        <v>513</v>
      </c>
      <c r="D41" s="486">
        <f t="shared" ref="D41:AP41" si="55">+SUM(D37:D40)</f>
        <v>0</v>
      </c>
      <c r="E41" s="486">
        <f t="shared" si="55"/>
        <v>0</v>
      </c>
      <c r="F41" s="486">
        <f t="shared" si="55"/>
        <v>0</v>
      </c>
      <c r="G41" s="486">
        <f t="shared" si="55"/>
        <v>0</v>
      </c>
      <c r="H41" s="487">
        <f t="shared" si="0"/>
        <v>0</v>
      </c>
      <c r="I41" s="486">
        <f t="shared" si="55"/>
        <v>0</v>
      </c>
      <c r="J41" s="486">
        <f t="shared" si="55"/>
        <v>0</v>
      </c>
      <c r="K41" s="486">
        <f t="shared" si="55"/>
        <v>0</v>
      </c>
      <c r="L41" s="486">
        <f t="shared" si="55"/>
        <v>0</v>
      </c>
      <c r="M41" s="487">
        <f t="shared" si="1"/>
        <v>0</v>
      </c>
      <c r="N41" s="486">
        <f t="shared" si="55"/>
        <v>0</v>
      </c>
      <c r="O41" s="486">
        <f t="shared" si="55"/>
        <v>0</v>
      </c>
      <c r="P41" s="486">
        <f t="shared" si="55"/>
        <v>0</v>
      </c>
      <c r="Q41" s="486">
        <f t="shared" si="55"/>
        <v>1350.8309999999999</v>
      </c>
      <c r="R41" s="487">
        <f t="shared" si="2"/>
        <v>1350.8309999999999</v>
      </c>
      <c r="S41" s="486">
        <f t="shared" si="55"/>
        <v>1555.6</v>
      </c>
      <c r="T41" s="486">
        <f t="shared" si="55"/>
        <v>1771.1999999999998</v>
      </c>
      <c r="U41" s="486">
        <f t="shared" si="55"/>
        <v>2002.1000000000001</v>
      </c>
      <c r="V41" s="486">
        <f t="shared" si="55"/>
        <v>2192.9580000000001</v>
      </c>
      <c r="W41" s="487">
        <f t="shared" si="3"/>
        <v>2192.9580000000001</v>
      </c>
      <c r="X41" s="486">
        <f t="shared" si="55"/>
        <v>2407</v>
      </c>
      <c r="Y41" s="486">
        <f t="shared" si="55"/>
        <v>2750</v>
      </c>
      <c r="Z41" s="486">
        <f t="shared" si="55"/>
        <v>3011</v>
      </c>
      <c r="AA41" s="486">
        <f t="shared" si="55"/>
        <v>3242</v>
      </c>
      <c r="AB41" s="487">
        <f t="shared" si="4"/>
        <v>3242</v>
      </c>
      <c r="AC41" s="486">
        <f t="shared" si="55"/>
        <v>3467</v>
      </c>
      <c r="AD41" s="486">
        <f t="shared" si="55"/>
        <v>3746</v>
      </c>
      <c r="AE41" s="486">
        <f t="shared" si="55"/>
        <v>4012</v>
      </c>
      <c r="AF41" s="486">
        <f t="shared" si="55"/>
        <v>4450</v>
      </c>
      <c r="AG41" s="487">
        <f t="shared" si="5"/>
        <v>4450</v>
      </c>
      <c r="AH41" s="486">
        <f t="shared" si="55"/>
        <v>4430</v>
      </c>
      <c r="AI41" s="486">
        <f t="shared" si="55"/>
        <v>4443</v>
      </c>
      <c r="AJ41" s="486">
        <f t="shared" si="55"/>
        <v>4930</v>
      </c>
      <c r="AK41" s="486">
        <f t="shared" si="55"/>
        <v>5333</v>
      </c>
      <c r="AL41" s="487">
        <f t="shared" si="6"/>
        <v>5333</v>
      </c>
      <c r="AM41" s="486">
        <f t="shared" si="55"/>
        <v>5739</v>
      </c>
      <c r="AN41" s="486">
        <f t="shared" si="55"/>
        <v>6180</v>
      </c>
      <c r="AO41" s="486">
        <f t="shared" si="55"/>
        <v>6595</v>
      </c>
      <c r="AP41" s="486">
        <f t="shared" si="55"/>
        <v>6908</v>
      </c>
      <c r="AQ41" s="487">
        <f t="shared" si="7"/>
        <v>6908</v>
      </c>
      <c r="AR41" s="486">
        <f t="shared" ref="AR41:CD41" si="56">+SUM(AR37:AR40)</f>
        <v>7277</v>
      </c>
      <c r="AS41" s="486">
        <f t="shared" si="56"/>
        <v>9642</v>
      </c>
      <c r="AT41" s="486">
        <f t="shared" si="56"/>
        <v>9134</v>
      </c>
      <c r="AU41" s="486">
        <f t="shared" si="56"/>
        <v>10777</v>
      </c>
      <c r="AV41" s="487">
        <f t="shared" si="8"/>
        <v>10777</v>
      </c>
      <c r="AW41" s="486">
        <f t="shared" si="56"/>
        <v>11464</v>
      </c>
      <c r="AX41" s="486">
        <f t="shared" si="56"/>
        <v>12344</v>
      </c>
      <c r="AY41" s="486">
        <f t="shared" si="56"/>
        <v>14676</v>
      </c>
      <c r="AZ41" s="486">
        <f t="shared" si="56"/>
        <v>16627</v>
      </c>
      <c r="BA41" s="487">
        <f t="shared" si="9"/>
        <v>16627</v>
      </c>
      <c r="BB41" s="486">
        <f t="shared" si="56"/>
        <v>19124</v>
      </c>
      <c r="BC41" s="486">
        <f t="shared" si="56"/>
        <v>22578</v>
      </c>
      <c r="BD41" s="486">
        <f t="shared" si="56"/>
        <v>25722</v>
      </c>
      <c r="BE41" s="486">
        <f t="shared" si="56"/>
        <v>28438</v>
      </c>
      <c r="BF41" s="487">
        <f t="shared" si="10"/>
        <v>28438</v>
      </c>
      <c r="BG41" s="486">
        <f t="shared" si="56"/>
        <v>31340</v>
      </c>
      <c r="BH41" s="486">
        <f t="shared" si="56"/>
        <v>34589</v>
      </c>
      <c r="BI41" s="486">
        <f t="shared" si="56"/>
        <v>39792</v>
      </c>
      <c r="BJ41" s="486">
        <f t="shared" si="56"/>
        <v>41368</v>
      </c>
      <c r="BK41" s="487">
        <f t="shared" si="11"/>
        <v>41368</v>
      </c>
      <c r="BL41" s="486">
        <f t="shared" si="56"/>
        <v>45343</v>
      </c>
      <c r="BM41" s="486">
        <f t="shared" si="56"/>
        <v>46422</v>
      </c>
      <c r="BN41" s="486">
        <f t="shared" si="56"/>
        <v>48090</v>
      </c>
      <c r="BO41" s="486">
        <f t="shared" si="56"/>
        <v>47289</v>
      </c>
      <c r="BP41" s="487">
        <f t="shared" si="12"/>
        <v>47289</v>
      </c>
      <c r="BQ41" s="486">
        <f t="shared" si="56"/>
        <v>48505</v>
      </c>
      <c r="BR41" s="486">
        <f t="shared" si="56"/>
        <v>51548</v>
      </c>
      <c r="BS41" s="486">
        <f t="shared" si="56"/>
        <v>54300</v>
      </c>
      <c r="BT41" s="486">
        <f t="shared" si="56"/>
        <v>52180</v>
      </c>
      <c r="BU41" s="487">
        <f t="shared" si="13"/>
        <v>52180</v>
      </c>
      <c r="BV41" s="486">
        <f t="shared" si="56"/>
        <v>53516</v>
      </c>
      <c r="BW41" s="486">
        <f t="shared" si="56"/>
        <v>55812</v>
      </c>
      <c r="BX41" s="486">
        <f t="shared" si="56"/>
        <v>58282</v>
      </c>
      <c r="BY41" s="486">
        <f t="shared" si="56"/>
        <v>64912</v>
      </c>
      <c r="BZ41" s="487">
        <f t="shared" si="14"/>
        <v>64912</v>
      </c>
      <c r="CA41" s="486">
        <f t="shared" si="56"/>
        <v>66680</v>
      </c>
      <c r="CB41" s="486">
        <f t="shared" si="56"/>
        <v>69343</v>
      </c>
      <c r="CC41" s="486">
        <f t="shared" si="56"/>
        <v>70580</v>
      </c>
      <c r="CD41" s="486">
        <f t="shared" si="56"/>
        <v>74825</v>
      </c>
      <c r="CE41" s="487">
        <f t="shared" si="15"/>
        <v>74825</v>
      </c>
      <c r="CF41" s="486">
        <f t="shared" ref="CF41:CZ41" si="57">+SUM(CF37:CF40)</f>
        <v>76319</v>
      </c>
      <c r="CG41" s="486">
        <f t="shared" si="57"/>
        <v>47232</v>
      </c>
      <c r="CH41" s="486">
        <f t="shared" si="57"/>
        <v>47373</v>
      </c>
      <c r="CI41" s="486">
        <f t="shared" si="57"/>
        <v>48115</v>
      </c>
      <c r="CJ41" s="487">
        <f t="shared" si="16"/>
        <v>48115</v>
      </c>
      <c r="CK41" s="486">
        <f t="shared" si="57"/>
        <v>48327</v>
      </c>
      <c r="CL41" s="486">
        <f t="shared" si="57"/>
        <v>44208</v>
      </c>
      <c r="CM41" s="486">
        <f t="shared" si="57"/>
        <v>42038</v>
      </c>
      <c r="CN41" s="486">
        <f t="shared" si="57"/>
        <v>40104</v>
      </c>
      <c r="CO41" s="487">
        <f t="shared" si="17"/>
        <v>40104</v>
      </c>
      <c r="CP41" s="486">
        <f t="shared" si="57"/>
        <v>36101</v>
      </c>
      <c r="CQ41" s="486">
        <f t="shared" si="57"/>
        <v>36634</v>
      </c>
      <c r="CR41" s="486">
        <f t="shared" si="57"/>
        <v>34973</v>
      </c>
      <c r="CS41" s="486">
        <f t="shared" si="57"/>
        <v>31097</v>
      </c>
      <c r="CT41" s="487">
        <f t="shared" si="18"/>
        <v>31097</v>
      </c>
      <c r="CU41" s="486">
        <f t="shared" si="57"/>
        <v>32135</v>
      </c>
      <c r="CV41" s="486">
        <f t="shared" si="57"/>
        <v>34431</v>
      </c>
      <c r="CW41" s="486">
        <f t="shared" si="57"/>
        <v>37554</v>
      </c>
      <c r="CX41" s="486">
        <f t="shared" si="57"/>
        <v>36286</v>
      </c>
      <c r="CY41" s="487">
        <f t="shared" si="19"/>
        <v>36286</v>
      </c>
      <c r="CZ41" s="486">
        <f t="shared" si="57"/>
        <v>33594</v>
      </c>
      <c r="DA41" s="486">
        <f>+SUM(DA37:DA40)</f>
        <v>34478</v>
      </c>
      <c r="DB41" s="486">
        <f>+SUM(DB37:DB40)</f>
        <v>36943</v>
      </c>
      <c r="DC41" s="486">
        <f>+SUM(DC37:DC40)</f>
        <v>39558</v>
      </c>
      <c r="DD41" s="487">
        <f t="shared" si="20"/>
        <v>39558</v>
      </c>
      <c r="DE41" s="486">
        <f>+SUM(DE37:DE40)</f>
        <v>41212</v>
      </c>
      <c r="DF41" s="486">
        <f>+SUM(DF37:DF40)</f>
        <v>44283</v>
      </c>
      <c r="DG41" s="486">
        <f>+SUM(DG37:DG40)</f>
        <v>45710</v>
      </c>
      <c r="DH41" s="486">
        <f>+SUM(DH37:DH40)</f>
        <v>46175</v>
      </c>
      <c r="DI41" s="487">
        <f t="shared" si="21"/>
        <v>46175</v>
      </c>
      <c r="DJ41" s="486">
        <f>+SUM(DJ37:DJ40)</f>
        <v>46942</v>
      </c>
      <c r="DK41" s="486">
        <f>+SUM(DK37:DK40)</f>
        <v>48481</v>
      </c>
      <c r="DL41" s="486">
        <f>+SUM(DL37:DL40)</f>
        <v>53452</v>
      </c>
      <c r="DM41" s="486">
        <f>+SUM(DM37:DM40)</f>
        <v>57083</v>
      </c>
      <c r="DN41" s="487">
        <f t="shared" si="22"/>
        <v>57083</v>
      </c>
      <c r="DO41" s="486">
        <f>+SUM(DO37:DO40)</f>
        <v>59391</v>
      </c>
      <c r="DP41" s="486">
        <f>+SUM(DP37:DP40)</f>
        <v>64121</v>
      </c>
      <c r="DQ41" s="486">
        <f>+SUM(DQ37:DQ40)</f>
        <v>68659</v>
      </c>
      <c r="DR41" s="486">
        <f>+SUM(DR37:DR40)</f>
        <v>66363</v>
      </c>
      <c r="DS41" s="487">
        <f t="shared" si="23"/>
        <v>66363</v>
      </c>
      <c r="DT41" s="486">
        <f>+SUM(DT37:DT40)</f>
        <v>68836</v>
      </c>
      <c r="DU41" s="486">
        <f>+SUM(DU37:DU40)</f>
        <v>72576</v>
      </c>
      <c r="DV41" s="486">
        <f>+SUM(DV37:DV40)</f>
        <v>76688</v>
      </c>
      <c r="DW41" s="486">
        <f>+SUM(DW37:DW40)</f>
        <v>78944</v>
      </c>
      <c r="DX41" s="487">
        <f t="shared" si="24"/>
        <v>78944</v>
      </c>
      <c r="DY41" s="486">
        <f>+SUM(DY37:DY40)</f>
        <v>81641</v>
      </c>
      <c r="DZ41" s="486">
        <f>+SUM(DZ37:DZ40)</f>
        <v>85100</v>
      </c>
      <c r="EA41" s="486">
        <f>+SUM(EA37:EA40)</f>
        <v>87424</v>
      </c>
      <c r="EB41" s="486">
        <f>+SUM(EB37:EB40)</f>
        <v>89784</v>
      </c>
      <c r="EC41" s="487">
        <f t="shared" si="25"/>
        <v>89784</v>
      </c>
      <c r="ED41" s="486">
        <f>+SUM(ED37:ED40)</f>
        <v>90170</v>
      </c>
      <c r="EE41" s="486">
        <f>+SUM(EE37:EE40)</f>
        <v>91879</v>
      </c>
      <c r="EF41" s="486">
        <f>+SUM(EF37:EF40)</f>
        <v>90132</v>
      </c>
      <c r="EG41" s="486">
        <f>+SUM(EG37:EG40)</f>
        <v>80083</v>
      </c>
      <c r="EH41" s="487">
        <f t="shared" si="26"/>
        <v>80083</v>
      </c>
      <c r="EI41" s="2771">
        <f>+SUM(EI37:EI40)</f>
        <v>77445</v>
      </c>
      <c r="EJ41" s="2771">
        <f>+SUM(EJ37:EJ40)</f>
        <v>76780</v>
      </c>
      <c r="EK41" s="2771">
        <f>+SUM(EK37:EK40)</f>
        <v>74806</v>
      </c>
      <c r="EL41" s="2771">
        <f>+SUM(EL37:EL40)</f>
        <v>83090</v>
      </c>
      <c r="EM41" s="2772">
        <f t="shared" si="27"/>
        <v>83090</v>
      </c>
      <c r="EN41" s="2771">
        <f>+SUM(EN37:EN40)</f>
        <v>82462</v>
      </c>
      <c r="EO41" s="2771">
        <f>+SUM(EO37:EO40)</f>
        <v>81829</v>
      </c>
      <c r="EP41" s="2771">
        <f>+SUM(EP37:EP40)</f>
        <v>83491</v>
      </c>
      <c r="EQ41" s="2771">
        <f>+SUM(EQ37:EQ40)</f>
        <v>87711</v>
      </c>
      <c r="ER41" s="2772">
        <f t="shared" si="28"/>
        <v>87711</v>
      </c>
      <c r="ES41" s="2771">
        <f>+SUM(ES37:ES40)</f>
        <v>89647</v>
      </c>
      <c r="ET41" s="2771">
        <f>+SUM(ET37:ET40)</f>
        <v>78360</v>
      </c>
      <c r="EU41" s="2771">
        <f>+SUM(EU37:EU40)</f>
        <v>79239</v>
      </c>
      <c r="EV41" s="486">
        <f>+SUM(EV37:EV40)</f>
        <v>81785.704157847591</v>
      </c>
      <c r="EW41" s="487">
        <f t="shared" si="41"/>
        <v>81785.704157847591</v>
      </c>
      <c r="EX41" s="486">
        <f>+SUM(EX37:EX40)</f>
        <v>81001.59413702719</v>
      </c>
      <c r="EY41" s="486">
        <f>+SUM(EY37:EY40)</f>
        <v>80794.772686918892</v>
      </c>
      <c r="EZ41" s="486">
        <f>+SUM(EZ37:EZ40)</f>
        <v>79902.970288484037</v>
      </c>
      <c r="FA41" s="486">
        <f>+SUM(FA37:FA40)</f>
        <v>79771.027736395336</v>
      </c>
      <c r="FB41" s="487">
        <f t="shared" si="38"/>
        <v>79771.027736395336</v>
      </c>
      <c r="FC41" s="486">
        <f>+SUM(FC37:FC40)</f>
        <v>78534.663146016508</v>
      </c>
      <c r="FD41" s="486">
        <f>+SUM(FD37:FD40)</f>
        <v>77943.262326026059</v>
      </c>
      <c r="FE41" s="486">
        <f>+SUM(FE37:FE40)</f>
        <v>76737.133518973918</v>
      </c>
      <c r="FF41" s="486">
        <f>+SUM(FF37:FF40)</f>
        <v>76302.428644431944</v>
      </c>
      <c r="FG41" s="487">
        <f t="shared" si="39"/>
        <v>76302.428644431944</v>
      </c>
      <c r="FH41" s="486">
        <f>+SUM(FH37:FH40)</f>
        <v>75028.491890487829</v>
      </c>
      <c r="FI41" s="486">
        <f>+SUM(FI37:FI40)</f>
        <v>74374.026332833018</v>
      </c>
      <c r="FJ41" s="486">
        <f>+SUM(FJ37:FJ40)</f>
        <v>73073.72111576215</v>
      </c>
      <c r="FK41" s="486">
        <f>+SUM(FK37:FK40)</f>
        <v>72508.4854751612</v>
      </c>
      <c r="FL41" s="487">
        <f t="shared" si="40"/>
        <v>72508.4854751612</v>
      </c>
      <c r="FM41" s="263"/>
      <c r="FN41" s="488"/>
      <c r="FO41"/>
      <c r="FP41"/>
      <c r="FQ41"/>
      <c r="FR41"/>
      <c r="FS41"/>
      <c r="FT41"/>
      <c r="FU41" s="261"/>
      <c r="FV41" s="261"/>
      <c r="FW41" s="261"/>
      <c r="FX41" s="261"/>
    </row>
    <row r="42" spans="1:180" s="287" customFormat="1" ht="11.25" customHeight="1">
      <c r="A42" s="489" t="s">
        <v>514</v>
      </c>
      <c r="B42" s="379"/>
      <c r="C42" s="379"/>
      <c r="D42" s="490">
        <f>+D36+D41</f>
        <v>0</v>
      </c>
      <c r="E42" s="490">
        <f>+E36+E41</f>
        <v>0</v>
      </c>
      <c r="F42" s="490">
        <f>+F36+F41</f>
        <v>0</v>
      </c>
      <c r="G42" s="490">
        <f>+G36+G41</f>
        <v>0</v>
      </c>
      <c r="H42" s="491">
        <f t="shared" si="0"/>
        <v>0</v>
      </c>
      <c r="I42" s="490">
        <f>+I36+I41</f>
        <v>0</v>
      </c>
      <c r="J42" s="490">
        <f>+J36+J41</f>
        <v>0</v>
      </c>
      <c r="K42" s="490">
        <f>+K36+K41</f>
        <v>0</v>
      </c>
      <c r="L42" s="490">
        <f>+L36+L41</f>
        <v>0</v>
      </c>
      <c r="M42" s="491">
        <f t="shared" si="1"/>
        <v>0</v>
      </c>
      <c r="N42" s="490">
        <f>+N36+N41</f>
        <v>0</v>
      </c>
      <c r="O42" s="490">
        <f>+O36+O41</f>
        <v>0</v>
      </c>
      <c r="P42" s="490">
        <f>+P36+P41</f>
        <v>0</v>
      </c>
      <c r="Q42" s="490">
        <f>+Q36+Q41</f>
        <v>1644.184</v>
      </c>
      <c r="R42" s="491">
        <f t="shared" si="2"/>
        <v>1644.184</v>
      </c>
      <c r="S42" s="490">
        <f>+S36+S41</f>
        <v>1870.1999999999998</v>
      </c>
      <c r="T42" s="490">
        <f>+T36+T41</f>
        <v>2128.3999999999996</v>
      </c>
      <c r="U42" s="490">
        <f>+U36+U41</f>
        <v>2340</v>
      </c>
      <c r="V42" s="490">
        <f>+V36+V41</f>
        <v>2639.9030000000002</v>
      </c>
      <c r="W42" s="491">
        <f t="shared" si="3"/>
        <v>2639.9030000000002</v>
      </c>
      <c r="X42" s="490">
        <f>+X36+X41</f>
        <v>2849</v>
      </c>
      <c r="Y42" s="490">
        <f>+Y36+Y41</f>
        <v>3226</v>
      </c>
      <c r="Z42" s="490">
        <f>+Z36+Z41</f>
        <v>3560</v>
      </c>
      <c r="AA42" s="490">
        <f>+AA36+AA41</f>
        <v>3805</v>
      </c>
      <c r="AB42" s="491">
        <f t="shared" si="4"/>
        <v>3805</v>
      </c>
      <c r="AC42" s="490">
        <f>+AC36+AC41</f>
        <v>4048</v>
      </c>
      <c r="AD42" s="490">
        <f>+AD36+AD41</f>
        <v>4486</v>
      </c>
      <c r="AE42" s="490">
        <f>+AE36+AE41</f>
        <v>4926</v>
      </c>
      <c r="AF42" s="490">
        <f>+AF36+AF41</f>
        <v>5363</v>
      </c>
      <c r="AG42" s="491">
        <f t="shared" si="5"/>
        <v>5363</v>
      </c>
      <c r="AH42" s="490">
        <f>+AH36+AH41</f>
        <v>5637</v>
      </c>
      <c r="AI42" s="490">
        <f>+AI36+AI41</f>
        <v>5961</v>
      </c>
      <c r="AJ42" s="490">
        <f>+AJ36+AJ41</f>
        <v>6592</v>
      </c>
      <c r="AK42" s="490">
        <f>+AK36+AK41</f>
        <v>7210</v>
      </c>
      <c r="AL42" s="491">
        <f t="shared" si="6"/>
        <v>7210</v>
      </c>
      <c r="AM42" s="490">
        <f>+AM36+AM41</f>
        <v>8160</v>
      </c>
      <c r="AN42" s="490">
        <f>+AN36+AN41</f>
        <v>9106</v>
      </c>
      <c r="AO42" s="490">
        <f>+AO36+AO41</f>
        <v>9590</v>
      </c>
      <c r="AP42" s="490">
        <f>+AP36+AP41</f>
        <v>10093</v>
      </c>
      <c r="AQ42" s="491">
        <f t="shared" si="7"/>
        <v>10093</v>
      </c>
      <c r="AR42" s="490">
        <f>+AR36+AR41</f>
        <v>10740</v>
      </c>
      <c r="AS42" s="490">
        <f>+AS36+AS41</f>
        <v>12786</v>
      </c>
      <c r="AT42" s="490">
        <f>+AT36+AT41</f>
        <v>12613</v>
      </c>
      <c r="AU42" s="490">
        <f>+AU36+AU41</f>
        <v>14387</v>
      </c>
      <c r="AV42" s="491">
        <f t="shared" si="8"/>
        <v>14387</v>
      </c>
      <c r="AW42" s="490">
        <f>+AW36+AW41</f>
        <v>15366</v>
      </c>
      <c r="AX42" s="490">
        <f>+AX36+AX41</f>
        <v>16840</v>
      </c>
      <c r="AY42" s="490">
        <f>+AY36+AY41</f>
        <v>19545</v>
      </c>
      <c r="AZ42" s="490">
        <f>+AZ36+AZ41</f>
        <v>22357</v>
      </c>
      <c r="BA42" s="491">
        <f t="shared" si="9"/>
        <v>22357</v>
      </c>
      <c r="BB42" s="490">
        <f>+BB36+BB41</f>
        <v>25569</v>
      </c>
      <c r="BC42" s="490">
        <f>+BC36+BC41</f>
        <v>30049</v>
      </c>
      <c r="BD42" s="490">
        <f>+BD36+BD41</f>
        <v>33561</v>
      </c>
      <c r="BE42" s="490">
        <f>+BE36+BE41</f>
        <v>38625</v>
      </c>
      <c r="BF42" s="491">
        <f t="shared" si="10"/>
        <v>38625</v>
      </c>
      <c r="BG42" s="490">
        <f>+BG36+BG41</f>
        <v>39672</v>
      </c>
      <c r="BH42" s="490">
        <f>+BH36+BH41</f>
        <v>45093</v>
      </c>
      <c r="BI42" s="490">
        <f>+BI36+BI41</f>
        <v>50895</v>
      </c>
      <c r="BJ42" s="490">
        <f>+BJ36+BJ41</f>
        <v>52150</v>
      </c>
      <c r="BK42" s="491">
        <f t="shared" si="11"/>
        <v>52150</v>
      </c>
      <c r="BL42" s="490">
        <f>+BL36+BL41</f>
        <v>56089</v>
      </c>
      <c r="BM42" s="490">
        <f>+BM36+BM41</f>
        <v>57691</v>
      </c>
      <c r="BN42" s="490">
        <f>+BN36+BN41</f>
        <v>59605</v>
      </c>
      <c r="BO42" s="490">
        <f>+BO36+BO41</f>
        <v>58830</v>
      </c>
      <c r="BP42" s="491">
        <f t="shared" si="12"/>
        <v>58830</v>
      </c>
      <c r="BQ42" s="490">
        <f>+BQ36+BQ41</f>
        <v>61367</v>
      </c>
      <c r="BR42" s="490">
        <f>+BR36+BR41</f>
        <v>65387</v>
      </c>
      <c r="BS42" s="490">
        <f>+BS36+BS41</f>
        <v>68379</v>
      </c>
      <c r="BT42" s="490">
        <f>+BT36+BT41</f>
        <v>67646</v>
      </c>
      <c r="BU42" s="491">
        <f t="shared" si="13"/>
        <v>67646</v>
      </c>
      <c r="BV42" s="490">
        <f>+BV36+BV41</f>
        <v>70235</v>
      </c>
      <c r="BW42" s="490">
        <f>+BW36+BW41</f>
        <v>72359</v>
      </c>
      <c r="BX42" s="490">
        <f>+BX36+BX41</f>
        <v>74482</v>
      </c>
      <c r="BY42" s="490">
        <f>+BY36+BY41</f>
        <v>81732</v>
      </c>
      <c r="BZ42" s="491">
        <f t="shared" si="14"/>
        <v>81732</v>
      </c>
      <c r="CA42" s="490">
        <f>+CA36+CA41</f>
        <v>84281</v>
      </c>
      <c r="CB42" s="490">
        <f>+CB36+CB41</f>
        <v>85937</v>
      </c>
      <c r="CC42" s="490">
        <f>+CC36+CC41</f>
        <v>89767</v>
      </c>
      <c r="CD42" s="490">
        <f>+CD36+CD41</f>
        <v>92389</v>
      </c>
      <c r="CE42" s="491">
        <f t="shared" si="15"/>
        <v>92389</v>
      </c>
      <c r="CF42" s="490">
        <f>+CF36+CF41</f>
        <v>94268</v>
      </c>
      <c r="CG42" s="490">
        <f>+CG36+CG41</f>
        <v>64941</v>
      </c>
      <c r="CH42" s="490">
        <f>+CH36+CH41</f>
        <v>66275</v>
      </c>
      <c r="CI42" s="490">
        <f>+CI36+CI41</f>
        <v>70815</v>
      </c>
      <c r="CJ42" s="491">
        <f t="shared" si="16"/>
        <v>70815</v>
      </c>
      <c r="CK42" s="490">
        <f>+CK36+CK41</f>
        <v>71462</v>
      </c>
      <c r="CL42" s="490">
        <f>+CL36+CL41</f>
        <v>67257</v>
      </c>
      <c r="CM42" s="490">
        <f>+CM36+CM41</f>
        <v>66854</v>
      </c>
      <c r="CN42" s="490">
        <f>+CN36+CN41</f>
        <v>69597</v>
      </c>
      <c r="CO42" s="491">
        <f t="shared" si="17"/>
        <v>69597</v>
      </c>
      <c r="CP42" s="490">
        <f>+CP36+CP41</f>
        <v>65354</v>
      </c>
      <c r="CQ42" s="490">
        <f>+CQ36+CQ41</f>
        <v>66371</v>
      </c>
      <c r="CR42" s="490">
        <f>+CR36+CR41</f>
        <v>63891</v>
      </c>
      <c r="CS42" s="490">
        <f>+CS36+CS41</f>
        <v>63171</v>
      </c>
      <c r="CT42" s="491">
        <f t="shared" si="18"/>
        <v>63171</v>
      </c>
      <c r="CU42" s="490">
        <f>+CU36+CU41</f>
        <v>65645</v>
      </c>
      <c r="CV42" s="490">
        <f>+CV36+CV41</f>
        <v>67339</v>
      </c>
      <c r="CW42" s="490">
        <f>+CW36+CW41</f>
        <v>70747</v>
      </c>
      <c r="CX42" s="490">
        <f>+CX36+CX41</f>
        <v>72793</v>
      </c>
      <c r="CY42" s="491">
        <f t="shared" si="19"/>
        <v>72793</v>
      </c>
      <c r="CZ42" s="490">
        <f>+CZ36+CZ41</f>
        <v>65117</v>
      </c>
      <c r="DA42" s="490">
        <f>+DA36+DA41</f>
        <v>65786</v>
      </c>
      <c r="DB42" s="490">
        <f>+DB36+DB41</f>
        <v>68853</v>
      </c>
      <c r="DC42" s="490">
        <f>+DC36+DC41</f>
        <v>77888</v>
      </c>
      <c r="DD42" s="491">
        <f t="shared" si="20"/>
        <v>77888</v>
      </c>
      <c r="DE42" s="490">
        <f>+DE36+DE41</f>
        <v>81612</v>
      </c>
      <c r="DF42" s="490">
        <f>+DF36+DF41</f>
        <v>82096</v>
      </c>
      <c r="DG42" s="490">
        <f>+DG36+DG41</f>
        <v>84910</v>
      </c>
      <c r="DH42" s="490">
        <f>+DH36+DH41</f>
        <v>86113</v>
      </c>
      <c r="DI42" s="491">
        <f t="shared" si="21"/>
        <v>86113</v>
      </c>
      <c r="DJ42" s="490">
        <f>+DJ36+DJ41</f>
        <v>91540</v>
      </c>
      <c r="DK42" s="490">
        <f>+DK36+DK41</f>
        <v>92306</v>
      </c>
      <c r="DL42" s="490">
        <f>+DL36+DL41</f>
        <v>99727</v>
      </c>
      <c r="DM42" s="490">
        <f>+DM36+DM41</f>
        <v>108704</v>
      </c>
      <c r="DN42" s="491">
        <f t="shared" si="22"/>
        <v>108704</v>
      </c>
      <c r="DO42" s="490">
        <f>+DO36+DO41</f>
        <v>107415</v>
      </c>
      <c r="DP42" s="490">
        <f>+DP36+DP41</f>
        <v>112243</v>
      </c>
      <c r="DQ42" s="490">
        <f>+DQ36+DQ41</f>
        <v>118010</v>
      </c>
      <c r="DR42" s="490">
        <f>+DR36+DR41</f>
        <v>121271</v>
      </c>
      <c r="DS42" s="491">
        <f t="shared" si="23"/>
        <v>121271</v>
      </c>
      <c r="DT42" s="490">
        <f>+DT36+DT41</f>
        <v>121876</v>
      </c>
      <c r="DU42" s="490">
        <f>+DU36+DU41</f>
        <v>128683</v>
      </c>
      <c r="DV42" s="490">
        <f>+DV36+DV41</f>
        <v>134105</v>
      </c>
      <c r="DW42" s="490">
        <f>+DW36+DW41</f>
        <v>142431</v>
      </c>
      <c r="DX42" s="491">
        <f t="shared" si="24"/>
        <v>142431</v>
      </c>
      <c r="DY42" s="490">
        <f>+DY36+DY41</f>
        <v>142348</v>
      </c>
      <c r="DZ42" s="490">
        <f>+DZ36+DZ41</f>
        <v>153543</v>
      </c>
      <c r="EA42" s="490">
        <f>+EA36+EA41</f>
        <v>156119</v>
      </c>
      <c r="EB42" s="490">
        <f>+EB36+EB41</f>
        <v>172384</v>
      </c>
      <c r="EC42" s="491">
        <f t="shared" si="25"/>
        <v>172384</v>
      </c>
      <c r="ED42" s="490">
        <f>+ED36+ED41</f>
        <v>169656</v>
      </c>
      <c r="EE42" s="490">
        <f>+EE36+EE41</f>
        <v>174848</v>
      </c>
      <c r="EF42" s="490">
        <f>+EF36+EF41</f>
        <v>176683</v>
      </c>
      <c r="EG42" s="490">
        <f>+EG36+EG41</f>
        <v>176223</v>
      </c>
      <c r="EH42" s="491">
        <f t="shared" si="26"/>
        <v>176223</v>
      </c>
      <c r="EI42" s="2773">
        <f>+EI36+EI41</f>
        <v>172896</v>
      </c>
      <c r="EJ42" s="2773">
        <f>+EJ36+EJ41</f>
        <v>180098</v>
      </c>
      <c r="EK42" s="2773">
        <f>+EK36+EK41</f>
        <v>181869</v>
      </c>
      <c r="EL42" s="2773">
        <f>+EL36+EL41</f>
        <v>202897</v>
      </c>
      <c r="EM42" s="2774">
        <f t="shared" si="27"/>
        <v>202897</v>
      </c>
      <c r="EN42" s="2773">
        <f>+EN36+EN41</f>
        <v>222008</v>
      </c>
      <c r="EO42" s="2773">
        <f>+EO36+EO41</f>
        <v>235298</v>
      </c>
      <c r="EP42" s="2773">
        <f>+EP36+EP41</f>
        <v>236016</v>
      </c>
      <c r="EQ42" s="2773">
        <f>+EQ36+EQ41</f>
        <v>250312</v>
      </c>
      <c r="ER42" s="2774">
        <f t="shared" si="28"/>
        <v>250312</v>
      </c>
      <c r="ES42" s="2773">
        <f>+ES36+ES41</f>
        <v>249097</v>
      </c>
      <c r="ET42" s="2773">
        <f>+ET36+ET41</f>
        <v>256003</v>
      </c>
      <c r="EU42" s="2773">
        <f>+EU36+EU41</f>
        <v>245497</v>
      </c>
      <c r="EV42" s="490">
        <f>+EV36+EV41</f>
        <v>258469.51383997593</v>
      </c>
      <c r="EW42" s="491">
        <f t="shared" si="41"/>
        <v>258469.51383997593</v>
      </c>
      <c r="EX42" s="490">
        <f>+EX36+EX41</f>
        <v>253815.55095240197</v>
      </c>
      <c r="EY42" s="490">
        <f>+EY36+EY41</f>
        <v>250113.86900024762</v>
      </c>
      <c r="EZ42" s="490">
        <f>+EZ36+EZ41</f>
        <v>249979.5882116975</v>
      </c>
      <c r="FA42" s="490">
        <f>+FA36+FA41</f>
        <v>261564.1885791026</v>
      </c>
      <c r="FB42" s="491">
        <f t="shared" si="38"/>
        <v>261564.1885791026</v>
      </c>
      <c r="FC42" s="490">
        <f>+FC36+FC41</f>
        <v>253838.74468014963</v>
      </c>
      <c r="FD42" s="490">
        <f>+FD36+FD41</f>
        <v>251557.25692565535</v>
      </c>
      <c r="FE42" s="490">
        <f>+FE36+FE41</f>
        <v>249454.7788892157</v>
      </c>
      <c r="FF42" s="490">
        <f>+FF36+FF41</f>
        <v>263808.98374733649</v>
      </c>
      <c r="FG42" s="491">
        <f t="shared" si="39"/>
        <v>263808.98374733649</v>
      </c>
      <c r="FH42" s="490">
        <f>+FH36+FH41</f>
        <v>257614.2304463014</v>
      </c>
      <c r="FI42" s="490">
        <f>+FI36+FI41</f>
        <v>250334.41882000264</v>
      </c>
      <c r="FJ42" s="490">
        <f>+FJ36+FJ41</f>
        <v>252014.07364300534</v>
      </c>
      <c r="FK42" s="490">
        <f>+FK36+FK41</f>
        <v>268486.54990602471</v>
      </c>
      <c r="FL42" s="491">
        <f t="shared" si="40"/>
        <v>268486.54990602471</v>
      </c>
      <c r="FM42" s="493"/>
      <c r="FN42" s="492"/>
      <c r="FO42"/>
      <c r="FP42"/>
      <c r="FQ42"/>
      <c r="FR42"/>
      <c r="FS42"/>
      <c r="FT42"/>
      <c r="FU42" s="261"/>
      <c r="FV42" s="261"/>
      <c r="FW42" s="261"/>
      <c r="FX42" s="261"/>
    </row>
    <row r="43" spans="1:180" s="264" customFormat="1" ht="11.25" customHeight="1">
      <c r="BY43" s="263"/>
      <c r="BZ43" s="263"/>
      <c r="CC43" s="263"/>
      <c r="CD43" s="263"/>
      <c r="CE43" s="263"/>
      <c r="CF43" s="263"/>
      <c r="CG43" s="263"/>
      <c r="CH43" s="263"/>
      <c r="CI43" s="263"/>
      <c r="CJ43" s="263"/>
      <c r="CK43" s="263"/>
      <c r="CL43" s="263"/>
      <c r="CM43" s="263"/>
      <c r="CN43" s="263"/>
      <c r="CO43" s="263"/>
      <c r="CP43" s="263"/>
      <c r="CQ43" s="263"/>
      <c r="CR43" s="263"/>
      <c r="CS43" s="263"/>
      <c r="CT43" s="263"/>
      <c r="CU43" s="263"/>
      <c r="CV43" s="263"/>
      <c r="CW43" s="263"/>
      <c r="CX43" s="263"/>
      <c r="CY43" s="263"/>
      <c r="CZ43" s="263"/>
      <c r="DA43" s="483"/>
      <c r="DB43" s="483"/>
      <c r="DC43" s="483"/>
      <c r="DD43" s="483"/>
      <c r="DE43" s="483"/>
      <c r="DF43" s="483"/>
      <c r="DG43" s="483"/>
      <c r="DH43" s="483"/>
      <c r="DI43" s="483"/>
      <c r="DJ43" s="483"/>
      <c r="DK43" s="483"/>
      <c r="DL43" s="483"/>
      <c r="DM43" s="483"/>
      <c r="DN43" s="483"/>
      <c r="DO43" s="263"/>
      <c r="DP43" s="483"/>
      <c r="DQ43" s="483"/>
      <c r="DR43" s="483"/>
      <c r="DS43" s="483"/>
      <c r="DT43" s="263"/>
      <c r="DU43" s="483"/>
      <c r="DV43" s="483"/>
      <c r="DW43" s="483"/>
      <c r="DX43" s="483"/>
      <c r="DY43" s="263"/>
      <c r="DZ43" s="483"/>
      <c r="EA43" s="263"/>
      <c r="EB43" s="483"/>
      <c r="EC43" s="483"/>
      <c r="ED43" s="263"/>
      <c r="EE43" s="263"/>
      <c r="EF43" s="263"/>
      <c r="EG43" s="263"/>
      <c r="EH43" s="263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263"/>
      <c r="EW43" s="263"/>
      <c r="EX43" s="263"/>
      <c r="EY43" s="263"/>
      <c r="EZ43" s="263"/>
      <c r="FA43" s="263"/>
      <c r="FB43" s="263"/>
      <c r="FC43" s="263"/>
      <c r="FD43" s="263"/>
      <c r="FE43" s="263"/>
      <c r="FF43" s="263"/>
      <c r="FG43" s="263"/>
      <c r="FH43" s="263"/>
      <c r="FI43" s="263"/>
      <c r="FJ43" s="263"/>
      <c r="FK43" s="263"/>
      <c r="FL43" s="263"/>
      <c r="FM43" s="263"/>
      <c r="FO43"/>
      <c r="FP43"/>
      <c r="FQ43"/>
      <c r="FR43"/>
      <c r="FS43"/>
      <c r="FT43"/>
      <c r="FU43" s="261"/>
      <c r="FV43" s="261"/>
      <c r="FW43" s="261"/>
      <c r="FX43" s="261"/>
    </row>
    <row r="44" spans="1:180" s="287" customFormat="1" ht="11.25" customHeight="1">
      <c r="A44" s="432" t="s">
        <v>739</v>
      </c>
      <c r="CC44" s="493"/>
      <c r="DC44" s="286"/>
      <c r="DD44" s="286"/>
      <c r="DE44" s="286"/>
      <c r="DF44" s="286"/>
      <c r="DG44" s="286"/>
      <c r="DH44" s="286"/>
      <c r="DI44" s="286"/>
      <c r="DJ44" s="286"/>
      <c r="DK44" s="286"/>
      <c r="DL44" s="286"/>
      <c r="DM44" s="286"/>
      <c r="DN44" s="286"/>
      <c r="DP44" s="286"/>
      <c r="DQ44" s="286"/>
      <c r="DR44" s="286"/>
      <c r="DS44" s="286"/>
      <c r="DU44" s="286"/>
      <c r="DV44" s="286"/>
      <c r="DW44" s="286"/>
      <c r="DX44" s="286"/>
      <c r="DZ44" s="286"/>
      <c r="EB44" s="286"/>
      <c r="EC44" s="286"/>
      <c r="EI44" s="2775"/>
      <c r="EJ44" s="2775"/>
      <c r="EK44" s="2775"/>
      <c r="EL44" s="2775"/>
      <c r="EM44" s="2775"/>
      <c r="EN44" s="2775"/>
      <c r="EO44" s="2775"/>
      <c r="EP44" s="2775"/>
      <c r="EQ44" s="2775"/>
      <c r="ER44" s="2775"/>
      <c r="ES44" s="2775"/>
      <c r="ET44" s="2775"/>
      <c r="EU44" s="2775"/>
      <c r="FM44" s="263"/>
      <c r="FO44"/>
      <c r="FP44"/>
      <c r="FQ44"/>
      <c r="FR44"/>
      <c r="FS44"/>
      <c r="FT44"/>
      <c r="FU44" s="261"/>
      <c r="FV44" s="261"/>
      <c r="FW44" s="261"/>
      <c r="FX44" s="261"/>
    </row>
    <row r="45" spans="1:180" s="264" customFormat="1" ht="3" customHeight="1">
      <c r="D45" s="253"/>
      <c r="E45" s="253"/>
      <c r="F45" s="253"/>
      <c r="G45" s="253"/>
      <c r="H45" s="253"/>
      <c r="I45" s="253"/>
      <c r="J45" s="253"/>
      <c r="K45" s="253"/>
      <c r="L45" s="253"/>
      <c r="M45" s="253"/>
      <c r="N45" s="253"/>
      <c r="O45" s="253"/>
      <c r="P45" s="253"/>
      <c r="Q45" s="253"/>
      <c r="R45" s="253"/>
      <c r="S45" s="253"/>
      <c r="T45" s="253"/>
      <c r="U45" s="253"/>
      <c r="V45" s="253"/>
      <c r="W45" s="253"/>
      <c r="X45" s="253"/>
      <c r="Y45" s="253"/>
      <c r="Z45" s="253"/>
      <c r="AA45" s="253"/>
      <c r="AB45" s="253"/>
      <c r="AC45" s="253"/>
      <c r="AD45" s="253"/>
      <c r="AE45" s="253"/>
      <c r="AF45" s="253"/>
      <c r="AG45" s="253"/>
      <c r="AH45" s="253"/>
      <c r="AI45" s="253"/>
      <c r="AJ45" s="253"/>
      <c r="AK45" s="253"/>
      <c r="AL45" s="253"/>
      <c r="AM45" s="253"/>
      <c r="AN45" s="253"/>
      <c r="AO45" s="253"/>
      <c r="AP45" s="253"/>
      <c r="AQ45" s="253"/>
      <c r="AR45" s="253"/>
      <c r="AS45" s="253"/>
      <c r="AT45" s="253"/>
      <c r="AU45" s="253"/>
      <c r="AV45" s="253"/>
      <c r="AW45" s="253"/>
      <c r="AX45" s="253"/>
      <c r="AY45" s="253"/>
      <c r="AZ45" s="253"/>
      <c r="BA45" s="253"/>
      <c r="BB45" s="253"/>
      <c r="BC45" s="253"/>
      <c r="BD45" s="253"/>
      <c r="BE45" s="253"/>
      <c r="BF45" s="253"/>
      <c r="BG45" s="253"/>
      <c r="BH45" s="253"/>
      <c r="BI45" s="253"/>
      <c r="BJ45" s="253"/>
      <c r="BK45" s="253"/>
      <c r="BL45" s="253"/>
      <c r="BM45" s="253"/>
      <c r="BN45" s="253"/>
      <c r="BO45" s="253"/>
      <c r="BP45" s="253"/>
      <c r="BQ45" s="253"/>
      <c r="BR45" s="253"/>
      <c r="BS45" s="253"/>
      <c r="BT45" s="253"/>
      <c r="BU45" s="253"/>
      <c r="BV45" s="253"/>
      <c r="BW45" s="253"/>
      <c r="BX45" s="253"/>
      <c r="BY45" s="253"/>
      <c r="BZ45" s="253"/>
      <c r="DC45" s="494"/>
      <c r="DD45" s="494"/>
      <c r="DE45" s="494"/>
      <c r="DF45" s="494"/>
      <c r="DG45" s="494"/>
      <c r="DH45" s="494"/>
      <c r="DI45" s="494"/>
      <c r="DJ45" s="494"/>
      <c r="DK45" s="494"/>
      <c r="DL45" s="494"/>
      <c r="DM45" s="494"/>
      <c r="DN45" s="494"/>
      <c r="DP45" s="494"/>
      <c r="DQ45" s="494"/>
      <c r="DR45" s="494"/>
      <c r="DS45" s="494"/>
      <c r="DU45" s="494"/>
      <c r="DV45" s="494"/>
      <c r="DW45" s="494"/>
      <c r="DX45" s="494"/>
      <c r="DZ45" s="494"/>
      <c r="EB45" s="494"/>
      <c r="EC45" s="494"/>
      <c r="EI45" s="2560"/>
      <c r="EJ45" s="2560"/>
      <c r="EK45" s="2560"/>
      <c r="EL45" s="2560"/>
      <c r="EM45" s="2560"/>
      <c r="EN45" s="2560"/>
      <c r="EO45" s="2560"/>
      <c r="EP45" s="2560"/>
      <c r="EQ45" s="2560"/>
      <c r="ER45" s="2560"/>
      <c r="ES45" s="2560"/>
      <c r="ET45" s="2560"/>
      <c r="EU45" s="2560"/>
      <c r="FM45" s="263"/>
      <c r="FO45"/>
      <c r="FP45"/>
      <c r="FQ45"/>
      <c r="FR45"/>
      <c r="FS45"/>
      <c r="FT45"/>
      <c r="FU45" s="261"/>
      <c r="FV45" s="261"/>
      <c r="FW45" s="261"/>
      <c r="FX45" s="261"/>
    </row>
    <row r="46" spans="1:180" s="264" customFormat="1" ht="11.25" customHeight="1">
      <c r="A46" s="264" t="s">
        <v>880</v>
      </c>
      <c r="D46" s="253"/>
      <c r="E46" s="253"/>
      <c r="F46" s="253"/>
      <c r="G46" s="253"/>
      <c r="H46" s="253"/>
      <c r="I46" s="253"/>
      <c r="J46" s="253"/>
      <c r="K46" s="436">
        <f>+BS!K10/(IS!K8/(365/4))</f>
        <v>0</v>
      </c>
      <c r="L46" s="436">
        <f>+BS!L10/(IS!L8/(365/4))</f>
        <v>0</v>
      </c>
      <c r="M46" s="436"/>
      <c r="N46" s="436">
        <f>+BS!N10/(IS!N8/(365/4))</f>
        <v>0</v>
      </c>
      <c r="O46" s="436">
        <f>+BS!O10/(IS!O8/(365/4))</f>
        <v>0</v>
      </c>
      <c r="P46" s="436">
        <f>+BS!P10/(IS!P8/(365/4))</f>
        <v>0</v>
      </c>
      <c r="Q46" s="436">
        <f>+BS!Q10/(IS!Q8/(365/4))</f>
        <v>42.048276515151514</v>
      </c>
      <c r="R46" s="436"/>
      <c r="S46" s="436">
        <f>+BS!S10/(IS!S8/(365/4))</f>
        <v>37.140624999999993</v>
      </c>
      <c r="T46" s="436">
        <f>+BS!T10/(IS!T8/(365/4))</f>
        <v>34.478134110787167</v>
      </c>
      <c r="U46" s="436">
        <f>+BS!U10/(IS!U8/(365/4))</f>
        <v>34.943695335276963</v>
      </c>
      <c r="V46" s="436">
        <f>+BS!V10/(IS!V8/(365/4))</f>
        <v>30.033031364190006</v>
      </c>
      <c r="W46" s="436"/>
      <c r="X46" s="436">
        <f>+BS!X10/(IS!X8/(365/4))</f>
        <v>36.101334951456309</v>
      </c>
      <c r="Y46" s="436">
        <f>+BS!Y10/(IS!Y8/(365/4))</f>
        <v>32.734126984126981</v>
      </c>
      <c r="Z46" s="436">
        <f>+BS!Z10/(IS!Z8/(365/4))</f>
        <v>41.34029927760578</v>
      </c>
      <c r="AA46" s="436">
        <f>+BS!AA10/(IS!AA8/(365/4))</f>
        <v>29.429866412213737</v>
      </c>
      <c r="AB46" s="436"/>
      <c r="AC46" s="436">
        <f>+BS!AC10/(IS!AC8/(365/4))</f>
        <v>33.348393574297191</v>
      </c>
      <c r="AD46" s="436">
        <f>+BS!AD10/(IS!AD8/(365/4))</f>
        <v>36.627399650959859</v>
      </c>
      <c r="AE46" s="436">
        <f>+BS!AE10/(IS!AE8/(365/4))</f>
        <v>37.773592386994444</v>
      </c>
      <c r="AF46" s="436">
        <f>+BS!AF10/(IS!AF8/(365/4))</f>
        <v>33.061594202898554</v>
      </c>
      <c r="AG46" s="436"/>
      <c r="AH46" s="436">
        <f>+BS!AH10/(IS!AH8/(365/4))</f>
        <v>37.865157480314956</v>
      </c>
      <c r="AI46" s="436">
        <f>+BS!AI10/(IS!AI8/(365/4))</f>
        <v>35.573054089709757</v>
      </c>
      <c r="AJ46" s="436">
        <f>+BS!AJ10/(IS!AJ8/(365/4))</f>
        <v>32.529194837123541</v>
      </c>
      <c r="AK46" s="436">
        <f>+BS!AK10/(IS!AK8/(365/4))</f>
        <v>31.89906738868833</v>
      </c>
      <c r="AL46" s="436"/>
      <c r="AM46" s="436">
        <f>+BS!AM10/(IS!AM8/(365/4))</f>
        <v>46.040767386091126</v>
      </c>
      <c r="AN46" s="436">
        <f>+BS!AN10/(IS!AN8/(365/4))</f>
        <v>30.7624617402711</v>
      </c>
      <c r="AO46" s="436">
        <f>+BS!AO10/(IS!AO8/(365/4))</f>
        <v>26.889333621808742</v>
      </c>
      <c r="AP46" s="436">
        <f>+BS!AP10/(IS!AP8/(365/4))</f>
        <v>24.634030418250951</v>
      </c>
      <c r="AQ46" s="436"/>
      <c r="AR46" s="436">
        <f>+BS!AR10/(IS!AR8/(365/4))</f>
        <v>32.440228690228686</v>
      </c>
      <c r="AS46" s="436">
        <f>+BS!AS10/(IS!AS8/(365/4))</f>
        <v>31.684027777777775</v>
      </c>
      <c r="AT46" s="436">
        <f>+BS!AT10/(IS!AT8/(365/4))</f>
        <v>23.483655274888555</v>
      </c>
      <c r="AU46" s="436">
        <f>+BS!AU10/(IS!AU8/(365/4))</f>
        <v>26.630434782608699</v>
      </c>
      <c r="AV46" s="436"/>
      <c r="AW46" s="436">
        <f>+BS!AW10/(IS!AW8/(365/4))</f>
        <v>21.567186562687461</v>
      </c>
      <c r="AX46" s="436">
        <f>+BS!AX10/(IS!AX8/(365/4))</f>
        <v>26.012987869198312</v>
      </c>
      <c r="AY46" s="436">
        <f>+BS!AY10/(IS!AY8/(365/4))</f>
        <v>24.163842871485944</v>
      </c>
      <c r="AZ46" s="436">
        <f>+BS!AZ10/(IS!AZ8/(365/4))</f>
        <v>32.086946050096337</v>
      </c>
      <c r="BA46" s="436"/>
      <c r="BB46" s="436">
        <f>+BS!BB10/(IS!BB8/(365/4))</f>
        <v>25.092117815406631</v>
      </c>
      <c r="BC46" s="436">
        <f>+BS!BC10/(IS!BC8/(365/4))</f>
        <v>35.639316650625602</v>
      </c>
      <c r="BD46" s="436">
        <f>+BS!BD10/(IS!BD8/(365/4))</f>
        <v>33.541077257889015</v>
      </c>
      <c r="BE46" s="436">
        <f>+BS!BE10/(IS!BE8/(365/4))</f>
        <v>35.540640180430259</v>
      </c>
      <c r="BF46" s="436"/>
      <c r="BG46" s="436">
        <f>+BS!BG10/(IS!BG8/(365/4))</f>
        <v>37.405042719167902</v>
      </c>
      <c r="BH46" s="436">
        <f>+BS!BH10/(IS!BH8/(365/4))</f>
        <v>49.028959424083773</v>
      </c>
      <c r="BI46" s="436">
        <f>+BS!BI10/(IS!BI8/(365/4))</f>
        <v>46.818864922206508</v>
      </c>
      <c r="BJ46" s="436">
        <f>+BS!BJ10/(IS!BJ8/(365/4))</f>
        <v>51.096226740179183</v>
      </c>
      <c r="BK46" s="436"/>
      <c r="BL46" s="436">
        <f>+BS!BL10/(IS!BL8/(365/4))</f>
        <v>50.198577870274022</v>
      </c>
      <c r="BM46" s="436">
        <f>+BS!BM10/(IS!BM8/(365/4))</f>
        <v>57.717366412213735</v>
      </c>
      <c r="BN46" s="436">
        <f>+BS!BN10/(IS!BN8/(365/4))</f>
        <v>50.334999219116035</v>
      </c>
      <c r="BO46" s="436">
        <f>+BS!BO10/(IS!BO8/(365/4))</f>
        <v>50.931845826364601</v>
      </c>
      <c r="BP46" s="436"/>
      <c r="BQ46" s="436">
        <f>+BS!BQ10/(IS!BQ8/(365/4))</f>
        <v>53.847331047992171</v>
      </c>
      <c r="BR46" s="436">
        <f>+BS!BR10/(IS!BR8/(365/4))</f>
        <v>60.059262369202941</v>
      </c>
      <c r="BS46" s="436">
        <f>+BS!BS10/(IS!BS8/(365/4))</f>
        <v>53.276397515527947</v>
      </c>
      <c r="BT46" s="436">
        <f>+BS!BT10/(IS!BT8/(365/4))</f>
        <v>64.527953950089611</v>
      </c>
      <c r="BU46" s="436"/>
      <c r="BV46" s="436">
        <f>+BS!BV10/(IS!BV8/(365/4))</f>
        <v>52.422217918925895</v>
      </c>
      <c r="BW46" s="436">
        <f>+BS!BW10/(IS!BW8/(365/4))</f>
        <v>52.286324786324791</v>
      </c>
      <c r="BX46" s="436">
        <f>+BS!BX10/(IS!BX8/(365/4))</f>
        <v>47.459317166560304</v>
      </c>
      <c r="BY46" s="436">
        <f>+BS!BY10/(IS!BY8/(365/4))</f>
        <v>58.789212647241165</v>
      </c>
      <c r="BZ46" s="436"/>
      <c r="CA46" s="436">
        <f>+BS!CA10/(IS!CA8/(365/4))</f>
        <v>50.351339013998782</v>
      </c>
      <c r="CB46" s="436">
        <f>+BS!CB10/(IS!CB8/(365/4))</f>
        <v>50.401851669457301</v>
      </c>
      <c r="CC46" s="436">
        <f>+BS!CC10/(IS!CC8/(365/4))</f>
        <v>49.100953678474113</v>
      </c>
      <c r="CD46" s="436">
        <f>+BS!CD10/(IS!CD8/(365/4))</f>
        <v>57.841422729229443</v>
      </c>
      <c r="CE46" s="436"/>
      <c r="CF46" s="436">
        <f>+BS!CF10/(IS!CF8/(365/4))</f>
        <v>50.704374795951679</v>
      </c>
      <c r="CG46" s="436">
        <f>+BS!CG10/(IS!CG8/(365/4))</f>
        <v>56.059114438898128</v>
      </c>
      <c r="CH46" s="436">
        <f>+BS!CH10/(IS!CH8/(365/4))</f>
        <v>53.213357588357589</v>
      </c>
      <c r="CI46" s="436">
        <f>+BS!CI10/(IS!CI8/(365/4))</f>
        <v>64.47938195059541</v>
      </c>
      <c r="CJ46" s="436"/>
      <c r="CK46" s="436">
        <f>+BS!CK10/(IS!CK8/(365/4))</f>
        <v>54.322836464428704</v>
      </c>
      <c r="CL46" s="436">
        <f>+BS!CL10/(IS!CL8/(365/4))</f>
        <v>59.80043081601621</v>
      </c>
      <c r="CM46" s="436">
        <f>+BS!CM10/(IS!CM8/(365/4))</f>
        <v>57.072057609393632</v>
      </c>
      <c r="CN46" s="436">
        <f>+BS!CN10/(IS!CN8/(365/4))</f>
        <v>72.004489242757913</v>
      </c>
      <c r="CO46" s="436"/>
      <c r="CP46" s="436">
        <f>+BS!CP10/(IS!CP8/(365/4))</f>
        <v>58.062043289242439</v>
      </c>
      <c r="CQ46" s="436">
        <f>+BS!CQ10/(IS!CQ8/(365/4))</f>
        <v>71.991608196459893</v>
      </c>
      <c r="CR46" s="436">
        <f>+BS!CR10/(IS!CR8/(365/4))</f>
        <v>53.578795666064728</v>
      </c>
      <c r="CS46" s="436">
        <f>+BS!CS10/(IS!CS8/(365/4))</f>
        <v>77.375850721711174</v>
      </c>
      <c r="CT46" s="436"/>
      <c r="CU46" s="436">
        <f>+BS!CU10/(IS!CU8/(365/4))</f>
        <v>59.555842174102601</v>
      </c>
      <c r="CV46" s="436">
        <f>+BS!CV10/(IS!CV8/(365/4))</f>
        <v>64.789897354432696</v>
      </c>
      <c r="CW46" s="436">
        <f>+BS!CW10/(IS!CW8/(365/4))</f>
        <v>62.31691919191919</v>
      </c>
      <c r="CX46" s="436">
        <f>+BS!CX10/(IS!CX8/(365/4))</f>
        <v>78.297420597335346</v>
      </c>
      <c r="CY46" s="436"/>
      <c r="CZ46" s="436">
        <f>+BS!CZ10/(IS!CZ8/(365/4))</f>
        <v>57.769653409468162</v>
      </c>
      <c r="DA46" s="436">
        <f>+BS!DA10/(IS!DA8/(365/4))</f>
        <v>60.103508930182208</v>
      </c>
      <c r="DB46" s="436">
        <f>+BS!DB10/(IS!DB8/(365/4))</f>
        <v>61.390496776084412</v>
      </c>
      <c r="DC46" s="436">
        <f>+BS!DC10/(IS!DC8/(365/4))</f>
        <v>77.965493549125881</v>
      </c>
      <c r="DD46" s="495"/>
      <c r="DE46" s="436">
        <f>+BS!DE10/(IS!DE8/(365/4))</f>
        <v>60.647349071207422</v>
      </c>
      <c r="DF46" s="436">
        <f>+BS!DF10/(IS!DF8/(365/4))</f>
        <v>53.708074860687624</v>
      </c>
      <c r="DG46" s="436">
        <f>+BS!DG10/(IS!DG8/(365/4))</f>
        <v>57.48819209818658</v>
      </c>
      <c r="DH46" s="436">
        <f>+BS!DH10/(IS!DH8/(365/4))</f>
        <v>74.039996259118396</v>
      </c>
      <c r="DI46" s="495"/>
      <c r="DJ46" s="436">
        <f>+BS!DJ10/(IS!DJ8/(365/4))</f>
        <v>54.349953689410313</v>
      </c>
      <c r="DK46" s="436">
        <f>+BS!DK10/(IS!DK8/(365/4))</f>
        <v>58.875983561369225</v>
      </c>
      <c r="DL46" s="436">
        <f>+BS!DL10/(IS!DL8/(365/4))</f>
        <v>55.728710129047968</v>
      </c>
      <c r="DM46" s="436">
        <f>+BS!DM10/(IS!DM8/(365/4))</f>
        <v>78.752035652422293</v>
      </c>
      <c r="DN46" s="495"/>
      <c r="DO46" s="436">
        <f>+BS!DO10/(IS!DO8/(365/4))</f>
        <v>53.330718973060094</v>
      </c>
      <c r="DP46" s="436">
        <f>+BS!DP10/(IS!DP8/(365/4))</f>
        <v>59.608510892985393</v>
      </c>
      <c r="DQ46" s="436">
        <f>+BS!DQ10/(IS!DQ8/(365/4))</f>
        <v>57.45914000114896</v>
      </c>
      <c r="DR46" s="436">
        <f>+BS!DR10/(IS!DR8/(365/4))</f>
        <v>79.734481422005658</v>
      </c>
      <c r="DS46" s="495"/>
      <c r="DT46" s="436">
        <f>+BS!DT10/(IS!DT8/(365/4))</f>
        <v>56.267413168415793</v>
      </c>
      <c r="DU46" s="436">
        <f>+BS!DU10/(IS!DU8/(365/4))</f>
        <v>60.888620898583142</v>
      </c>
      <c r="DV46" s="436">
        <f>+BS!DV10/(IS!DV8/(365/4))</f>
        <v>53.403228561667234</v>
      </c>
      <c r="DW46" s="436">
        <f>+BS!DW10/(IS!DW8/(365/4))</f>
        <v>80.196898874145546</v>
      </c>
      <c r="DX46" s="495"/>
      <c r="DY46" s="436">
        <f>+BS!DY10/(IS!DY8/(365/4))</f>
        <v>54.206311727562202</v>
      </c>
      <c r="DZ46" s="436">
        <f>+BS!DZ10/(IS!DZ8/(365/4))</f>
        <v>59.493556017782126</v>
      </c>
      <c r="EA46" s="436">
        <f>+BS!EA10/(IS!EA8/(365/4))</f>
        <v>60.363733274518459</v>
      </c>
      <c r="EB46" s="436">
        <f>+BS!EB10/(IS!EB8/(365/4))</f>
        <v>76.271918569840039</v>
      </c>
      <c r="EC46" s="495"/>
      <c r="ED46" s="436">
        <f>+BS!ED10/(IS!ED8/(365/4))</f>
        <v>50.684830395241583</v>
      </c>
      <c r="EE46" s="436">
        <f>+BS!EE10/(IS!EE8/(365/4))</f>
        <v>56.493746175030601</v>
      </c>
      <c r="EF46" s="436">
        <f>+BS!EF10/(IS!EF8/(365/4))</f>
        <v>52.186651479589486</v>
      </c>
      <c r="EG46" s="436">
        <f>+BS!EG10/(IS!EG8/(365/4))</f>
        <v>73.674706943192064</v>
      </c>
      <c r="EH46" s="436"/>
      <c r="EI46" s="436">
        <f>+BS!EI10/(IS!EI8/(365/4))</f>
        <v>49.94093735054998</v>
      </c>
      <c r="EJ46" s="436">
        <f>+BS!EJ10/(IS!EJ8/(365/4))</f>
        <v>52.420059002890746</v>
      </c>
      <c r="EK46" s="436">
        <f>+BS!EK10/(IS!EK8/(365/4))</f>
        <v>51.937479667239856</v>
      </c>
      <c r="EL46" s="436">
        <f>+BS!EL10/(IS!EL8/(365/4))</f>
        <v>80.217900656044989</v>
      </c>
      <c r="EM46" s="436"/>
      <c r="EN46" s="436">
        <f>+BS!EN10/(IS!EN8/(365/4))</f>
        <v>56.090785753374682</v>
      </c>
      <c r="EO46" s="436">
        <f>+BS!EO10/(IS!EO8/(365/4))</f>
        <v>59.13619027336793</v>
      </c>
      <c r="EP46" s="436">
        <f>+BS!EP10/(IS!EP8/(365/4))</f>
        <v>60.39828536963639</v>
      </c>
      <c r="EQ46" s="436">
        <f>+BS!EQ10/(IS!EQ8/(365/4))</f>
        <v>79.938635032220276</v>
      </c>
      <c r="ER46" s="436"/>
      <c r="ES46" s="436">
        <f>+BS!ES10/(IS!ES8/(365/4))</f>
        <v>54.148310783274916</v>
      </c>
      <c r="ET46" s="436">
        <f>+BS!ET10/(IS!ET8/(365/4))</f>
        <v>58.149076699633447</v>
      </c>
      <c r="EU46" s="436">
        <f>+BS!EU10/(IS!EU8/(365/4))</f>
        <v>58.549162906894367</v>
      </c>
      <c r="EV46" s="436">
        <f>+BS!EV10/(IS!EV8/(365/4))</f>
        <v>82.893192461092781</v>
      </c>
      <c r="EW46" s="436"/>
      <c r="EX46" s="436">
        <f>+BS!EX10/(IS!EX8/(365/4))</f>
        <v>58.071522422773775</v>
      </c>
      <c r="EY46" s="436">
        <f>+BS!EY10/(IS!EY8/(365/4))</f>
        <v>61.095199801152233</v>
      </c>
      <c r="EZ46" s="436">
        <f>+BS!EZ10/(IS!EZ8/(365/4))</f>
        <v>55.602419371304443</v>
      </c>
      <c r="FA46" s="436">
        <f>+BS!FA10/(IS!FA8/(365/4))</f>
        <v>80.923487508511101</v>
      </c>
      <c r="FB46" s="436"/>
      <c r="FC46" s="436">
        <f>+BS!FC10/(IS!FC8/(365/4))</f>
        <v>56.109916603024352</v>
      </c>
      <c r="FD46" s="436">
        <f>+BS!FD10/(IS!FD8/(365/4))</f>
        <v>58.149076699633447</v>
      </c>
      <c r="FE46" s="436">
        <f>+BS!FE10/(IS!FE8/(365/4))</f>
        <v>54.620171526107804</v>
      </c>
      <c r="FF46" s="436">
        <f>+BS!FF10/(IS!FF8/(365/4))</f>
        <v>80.923487508511101</v>
      </c>
      <c r="FG46" s="436"/>
      <c r="FH46" s="436">
        <f>+BS!FH10/(IS!FH8/(365/4))</f>
        <v>56.109916603024345</v>
      </c>
      <c r="FI46" s="436">
        <f>+BS!FI10/(IS!FI8/(365/4))</f>
        <v>58.149076699633447</v>
      </c>
      <c r="FJ46" s="436">
        <f>+BS!FJ10/(IS!FJ8/(365/4))</f>
        <v>54.620171526107796</v>
      </c>
      <c r="FK46" s="436">
        <f>+BS!FK10/(IS!FK8/(365/4))</f>
        <v>80.923487508511101</v>
      </c>
      <c r="FL46" s="436"/>
      <c r="FM46" s="263"/>
      <c r="FO46"/>
      <c r="FP46"/>
      <c r="FQ46"/>
      <c r="FR46"/>
      <c r="FS46"/>
      <c r="FT46"/>
      <c r="FU46" s="261"/>
      <c r="FV46" s="261"/>
      <c r="FW46" s="261"/>
      <c r="FX46" s="261"/>
    </row>
    <row r="47" spans="1:180" s="264" customFormat="1" ht="11.25" customHeight="1">
      <c r="A47" s="264" t="s">
        <v>881</v>
      </c>
      <c r="D47" s="253"/>
      <c r="E47" s="253"/>
      <c r="F47" s="253"/>
      <c r="G47" s="253"/>
      <c r="H47" s="253"/>
      <c r="I47" s="253"/>
      <c r="J47" s="253"/>
      <c r="K47" s="436">
        <f>+K11/(IS!K17/(365/4))</f>
        <v>0</v>
      </c>
      <c r="L47" s="436">
        <f>+L11/(IS!L17/(365/4))</f>
        <v>0</v>
      </c>
      <c r="M47" s="436">
        <f>+M11/(IS!M17/(365/4))</f>
        <v>0</v>
      </c>
      <c r="N47" s="436">
        <f>+N11/(IS!N17/(365/4))</f>
        <v>0</v>
      </c>
      <c r="O47" s="436">
        <f>+O11/(IS!O17/(365/4))</f>
        <v>0</v>
      </c>
      <c r="P47" s="436">
        <f>+P11/(IS!P17/(365/4))</f>
        <v>0</v>
      </c>
      <c r="Q47" s="436">
        <f>+Q11/(IS!Q17/(365/4))</f>
        <v>38.039137168141593</v>
      </c>
      <c r="R47" s="436">
        <f>+R11/(IS!R17/(365/4))</f>
        <v>10.483957317073171</v>
      </c>
      <c r="S47" s="436">
        <f>+S11/(IS!S17/(365/4))</f>
        <v>42.293650793650791</v>
      </c>
      <c r="T47" s="436">
        <f>+T11/(IS!T17/(365/4))</f>
        <v>38.075539568345327</v>
      </c>
      <c r="U47" s="436">
        <f>+U11/(IS!U17/(365/4))</f>
        <v>39.651079136690647</v>
      </c>
      <c r="V47" s="436">
        <f>+V11/(IS!V17/(365/4))</f>
        <v>44.270685028248586</v>
      </c>
      <c r="W47" s="436">
        <f>+W11/(IS!W17/(365/4))</f>
        <v>13.486938468158348</v>
      </c>
      <c r="X47" s="436">
        <f>+X11/(IS!X17/(365/4))</f>
        <v>47.797619047619051</v>
      </c>
      <c r="Y47" s="436">
        <f>+Y11/(IS!Y17/(365/4))</f>
        <v>48.730366492146601</v>
      </c>
      <c r="Z47" s="436">
        <f>+Z11/(IS!Z17/(365/4))</f>
        <v>53.756188118811885</v>
      </c>
      <c r="AA47" s="436">
        <f>+AA11/(IS!AA17/(365/4))</f>
        <v>51.735491071428569</v>
      </c>
      <c r="AB47" s="436">
        <f>+AB11/(IS!AB17/(365/4))</f>
        <v>14.762738853503183</v>
      </c>
      <c r="AC47" s="436">
        <f>+AC11/(IS!AC17/(365/4))</f>
        <v>38.020833333333336</v>
      </c>
      <c r="AD47" s="436">
        <f>+AD11/(IS!AD17/(365/4))</f>
        <v>45.625</v>
      </c>
      <c r="AE47" s="436">
        <f>+AE11/(IS!AE17/(365/4))</f>
        <v>42.090669014084504</v>
      </c>
      <c r="AF47" s="436">
        <f>+AF11/(IS!AF17/(365/4))</f>
        <v>30.516393442622949</v>
      </c>
      <c r="AG47" s="436">
        <f>+AG11/(IS!AG17/(365/4))</f>
        <v>8.6420612813370479</v>
      </c>
      <c r="AH47" s="436">
        <f>+AH11/(IS!AH17/(365/4))</f>
        <v>34.700704225352112</v>
      </c>
      <c r="AI47" s="436">
        <f>+AI11/(IS!AI17/(365/4))</f>
        <v>32.254531722054381</v>
      </c>
      <c r="AJ47" s="436">
        <f>+AJ11/(IS!AJ17/(365/4))</f>
        <v>22.362676056338028</v>
      </c>
      <c r="AK47" s="436">
        <f>+AK11/(IS!AK17/(365/4))</f>
        <v>21.356382978723403</v>
      </c>
      <c r="AL47" s="436">
        <f>+AL11/(IS!AL17/(365/4))</f>
        <v>5.9658246656760774</v>
      </c>
      <c r="AM47" s="436">
        <f>+AM11/(IS!AM17/(365/4))</f>
        <v>21.851053639846747</v>
      </c>
      <c r="AN47" s="436">
        <f>+AN11/(IS!AN17/(365/4))</f>
        <v>17.411660777385158</v>
      </c>
      <c r="AO47" s="436">
        <f>+AO11/(IS!AO17/(365/4))</f>
        <v>5.5660813308687613</v>
      </c>
      <c r="AP47" s="436">
        <f>+AP11/(IS!AP17/(365/4))</f>
        <v>0</v>
      </c>
      <c r="AQ47" s="436">
        <f>+AQ11/(IS!AQ17/(365/4))</f>
        <v>0</v>
      </c>
      <c r="AR47" s="436">
        <f>+AR11/(IS!AR17/(365/4))</f>
        <v>0</v>
      </c>
      <c r="AS47" s="436">
        <f>+AS11/(IS!AS17/(365/4))</f>
        <v>0</v>
      </c>
      <c r="AT47" s="436">
        <f>+AT11/(IS!AT17/(365/4))</f>
        <v>0</v>
      </c>
      <c r="AU47" s="436">
        <f>+AU11/(IS!AU17/(365/4))</f>
        <v>0</v>
      </c>
      <c r="AV47" s="436">
        <f>+AV11/(IS!AV17/(365/4))</f>
        <v>0</v>
      </c>
      <c r="AW47" s="436">
        <f>+AW11/(IS!AW17/(365/4))</f>
        <v>0</v>
      </c>
      <c r="AX47" s="436">
        <f>+AX11/(IS!AX17/(365/4))</f>
        <v>0</v>
      </c>
      <c r="AY47" s="436">
        <f>+AY11/(IS!AY17/(365/4))</f>
        <v>0</v>
      </c>
      <c r="AZ47" s="436">
        <f>+AZ11/(IS!AZ17/(365/4))</f>
        <v>0</v>
      </c>
      <c r="BA47" s="436">
        <f>+BA11/(IS!BA17/(365/4))</f>
        <v>0</v>
      </c>
      <c r="BB47" s="436">
        <f>+BB11/(IS!BB17/(365/4))</f>
        <v>0</v>
      </c>
      <c r="BC47" s="436">
        <f>+BC11/(IS!BC17/(365/4))</f>
        <v>0</v>
      </c>
      <c r="BD47" s="436">
        <f>+BD11/(IS!BD17/(365/4))</f>
        <v>0</v>
      </c>
      <c r="BE47" s="436">
        <f>+BE11/(IS!BE17/(365/4))</f>
        <v>0</v>
      </c>
      <c r="BF47" s="436">
        <f>+BF11/(IS!BF17/(365/4))</f>
        <v>0</v>
      </c>
      <c r="BG47" s="436">
        <f>+BG11/(IS!BG17/(365/4))</f>
        <v>0</v>
      </c>
      <c r="BH47" s="436">
        <f>+BH11/(IS!BH17/(365/4))</f>
        <v>0</v>
      </c>
      <c r="BI47" s="436">
        <f>+BI11/(IS!BI17/(365/4))</f>
        <v>0</v>
      </c>
      <c r="BJ47" s="436">
        <f>+BJ11/(IS!BJ17/(365/4))</f>
        <v>0</v>
      </c>
      <c r="BK47" s="436">
        <f>+BK11/(IS!BK17/(365/4))</f>
        <v>0</v>
      </c>
      <c r="BL47" s="436">
        <f>+BL11/(IS!BL17/(365/4))</f>
        <v>0</v>
      </c>
      <c r="BM47" s="436">
        <f>+BM11/(IS!BM17/(365/4))</f>
        <v>0</v>
      </c>
      <c r="BN47" s="436">
        <f>+BN11/(IS!BN17/(365/4))</f>
        <v>0</v>
      </c>
      <c r="BO47" s="436">
        <f>+BO11/(IS!BO17/(365/4))</f>
        <v>0</v>
      </c>
      <c r="BP47" s="436">
        <f>+BP11/(IS!BP17/(365/4))</f>
        <v>0</v>
      </c>
      <c r="BQ47" s="436">
        <f>+BQ11/(IS!BQ17/(365/4))</f>
        <v>0</v>
      </c>
      <c r="BR47" s="436">
        <f>+BR11/(IS!BR17/(365/4))</f>
        <v>0</v>
      </c>
      <c r="BS47" s="436">
        <f>+BS11/(IS!BS17/(365/4))</f>
        <v>0</v>
      </c>
      <c r="BT47" s="436">
        <f>+BT11/(IS!BT17/(365/4))</f>
        <v>44.891264619883039</v>
      </c>
      <c r="BU47" s="436">
        <f>+BU11/(IS!BU17/(365/4))</f>
        <v>11.830331342708535</v>
      </c>
      <c r="BV47" s="436">
        <f>+BV11/(IS!BV17/(365/4))</f>
        <v>65.110677083333329</v>
      </c>
      <c r="BW47" s="436">
        <f>+BW11/(IS!BW17/(365/4))</f>
        <v>27.755030416471691</v>
      </c>
      <c r="BX47" s="436">
        <f>+BX11/(IS!BX17/(365/4))</f>
        <v>43.261381475667186</v>
      </c>
      <c r="BY47" s="436">
        <f>+BY11/(IS!BY17/(365/4))</f>
        <v>44.785276073619634</v>
      </c>
      <c r="BZ47" s="436">
        <f>+BZ11/(IS!BZ17/(365/4))</f>
        <v>9.6385542168674689</v>
      </c>
      <c r="CA47" s="436">
        <f>+CA11/(IS!CA17/(365/4))</f>
        <v>67.759290540540533</v>
      </c>
      <c r="CB47" s="436">
        <f>+CB11/(IS!CB17/(365/4))</f>
        <v>26.61636918741193</v>
      </c>
      <c r="CC47" s="436">
        <f>+CC11/(IS!CC17/(365/4))</f>
        <v>35.051381998582563</v>
      </c>
      <c r="CD47" s="436">
        <f>+CD11/(IS!CD17/(365/4))</f>
        <v>25.939399054692775</v>
      </c>
      <c r="CE47" s="436">
        <f>+CE11/(IS!CE17/(365/4))</f>
        <v>5.9092831872019689</v>
      </c>
      <c r="CF47" s="436">
        <f>+CF11/(IS!CF17/(365/4))</f>
        <v>39.487544483985765</v>
      </c>
      <c r="CG47" s="436">
        <f>+CG11/(IS!CG17/(365/4))</f>
        <v>14.432882414151925</v>
      </c>
      <c r="CH47" s="436">
        <f>+CH11/(IS!CH17/(365/4))</f>
        <v>22.762289068231841</v>
      </c>
      <c r="CI47" s="436">
        <f>+CI11/(IS!CI17/(365/4))</f>
        <v>31.775709219858157</v>
      </c>
      <c r="CJ47" s="436">
        <f>+CJ11/(IS!CJ17/(365/4))</f>
        <v>7.3448770491803277</v>
      </c>
      <c r="CK47" s="436">
        <f>+CK11/(IS!CK17/(365/4))</f>
        <v>52.871109337589779</v>
      </c>
      <c r="CL47" s="436">
        <f>+CL11/(IS!CL17/(365/4))</f>
        <v>40.877065654309966</v>
      </c>
      <c r="CM47" s="436">
        <f>+CM11/(IS!CM17/(365/4))</f>
        <v>50.079511834319526</v>
      </c>
      <c r="CN47" s="436">
        <f>+CN11/(IS!CN17/(365/4))</f>
        <v>63.318075117370888</v>
      </c>
      <c r="CO47" s="436">
        <f>+CO11/(IS!CO17/(365/4))</f>
        <v>17.629738562091504</v>
      </c>
      <c r="CP47" s="436">
        <f>+CP11/(IS!CP17/(365/4))</f>
        <v>135.63752948113208</v>
      </c>
      <c r="CQ47" s="436">
        <f>+CQ11/(IS!CQ17/(365/4))</f>
        <v>43.48238950276243</v>
      </c>
      <c r="CR47" s="436">
        <f>+CR11/(IS!CR17/(365/4))</f>
        <v>74.620327102803728</v>
      </c>
      <c r="CS47" s="436">
        <f>+CS11/(IS!CS17/(365/4))</f>
        <v>47.173738532110093</v>
      </c>
      <c r="CT47" s="436">
        <f>+CT11/(IS!CT17/(365/4))</f>
        <v>10.672348484848486</v>
      </c>
      <c r="CU47" s="436">
        <f>+CU11/(IS!CU17/(365/4))</f>
        <v>40.184112149532709</v>
      </c>
      <c r="CV47" s="436">
        <f>+CV11/(IS!CV17/(365/4))</f>
        <v>19.445032458368612</v>
      </c>
      <c r="CW47" s="436">
        <f>+CW11/(IS!CW17/(365/4))</f>
        <v>28.093675417661096</v>
      </c>
      <c r="CX47" s="436">
        <f>+CX11/(IS!CX17/(365/4))</f>
        <v>31.361217725052338</v>
      </c>
      <c r="CY47" s="436">
        <f>+CY11/(IS!CY17/(365/4))</f>
        <v>7.7497197792722883</v>
      </c>
      <c r="CZ47" s="436">
        <f>+CZ11/(IS!CZ17/(365/4))</f>
        <v>52.545646067415731</v>
      </c>
      <c r="DA47" s="436">
        <f>+DA11/(IS!DA17/(365/4))</f>
        <v>22.608139237266446</v>
      </c>
      <c r="DB47" s="436">
        <f>+DB11/(IS!DB17/(365/4))</f>
        <v>21.304637526652453</v>
      </c>
      <c r="DC47" s="436">
        <f>+DC11/(IS!DC17/(365/4))</f>
        <v>25.300174013921112</v>
      </c>
      <c r="DD47" s="436">
        <f>+DD11/(IS!DD17/(365/4))</f>
        <v>5.3826614561908679</v>
      </c>
      <c r="DE47" s="436">
        <f>+DE11/(IS!DE17/(365/4))</f>
        <v>36.923821252638987</v>
      </c>
      <c r="DF47" s="436">
        <f>+DF11/(IS!DF17/(365/4))</f>
        <v>14.814291620727674</v>
      </c>
      <c r="DG47" s="436">
        <f>+DG11/(IS!DG17/(365/4))</f>
        <v>16.593920145190562</v>
      </c>
      <c r="DH47" s="436">
        <f>+DH11/(IS!DH17/(365/4))</f>
        <v>21.301261829652997</v>
      </c>
      <c r="DI47" s="436">
        <f>+DI11/(IS!DI17/(365/4))</f>
        <v>5.4477611940298507</v>
      </c>
      <c r="DJ47" s="436">
        <f>+DJ11/(IS!DJ17/(365/4))</f>
        <v>36.104651162790702</v>
      </c>
      <c r="DK47" s="436">
        <f>+DK11/(IS!DK17/(365/4))</f>
        <v>16.256207324643078</v>
      </c>
      <c r="DL47" s="436">
        <f>+DL11/(IS!DL17/(365/4))</f>
        <v>24.726712856043108</v>
      </c>
      <c r="DM47" s="436">
        <f>+DM11/(IS!DM17/(365/4))</f>
        <v>33.763484358144552</v>
      </c>
      <c r="DN47" s="436">
        <f>+DN11/(IS!DN17/(365/4))</f>
        <v>8.0371701868138921</v>
      </c>
      <c r="DO47" s="436">
        <f>+DO11/(IS!DO17/(365/4))</f>
        <v>54.841805665872386</v>
      </c>
      <c r="DP47" s="436">
        <f>+DP11/(IS!DP17/(365/4))</f>
        <v>21.865688187300464</v>
      </c>
      <c r="DQ47" s="436">
        <f>+DQ11/(IS!DQ17/(365/4))</f>
        <v>32.602479757085021</v>
      </c>
      <c r="DR47" s="436">
        <f>+DR11/(IS!DR17/(365/4))</f>
        <v>24.922231563776123</v>
      </c>
      <c r="DS47" s="495">
        <f>+DS11/(IS!DS17/(365/4))</f>
        <v>5.9184968625213923</v>
      </c>
      <c r="DT47" s="436">
        <f>+DT11/(IS!DT17/(365/4))</f>
        <v>35.5542226487524</v>
      </c>
      <c r="DU47" s="436">
        <f>+DU11/(IS!DU17/(365/4))</f>
        <v>26.627942726633876</v>
      </c>
      <c r="DV47" s="436">
        <f>+DV11/(IS!DV17/(365/4))</f>
        <v>40.659337789847498</v>
      </c>
      <c r="DW47" s="436">
        <f>+DW11/(IS!DW17/(365/4))</f>
        <v>31.567743662977509</v>
      </c>
      <c r="DX47" s="436">
        <f>+DX11/(IS!DX17/(365/4))</f>
        <v>8.7333942416909487</v>
      </c>
      <c r="DY47" s="436">
        <f>+DY11/(IS!DY17/(365/4))</f>
        <v>46.624217833398511</v>
      </c>
      <c r="DZ47" s="436">
        <f>+DZ11/(IS!DZ17/(365/4))</f>
        <v>17.558244809270885</v>
      </c>
      <c r="EA47" s="436">
        <f>+EA11/(IS!EA17/(365/4))</f>
        <v>29.489984851035182</v>
      </c>
      <c r="EB47" s="436">
        <f>+EB11/(IS!EB17/(365/4))</f>
        <v>31.958525345622121</v>
      </c>
      <c r="EC47" s="436">
        <f>+EC11/(IS!EC17/(365/4))</f>
        <v>9.011843766243409</v>
      </c>
      <c r="ED47" s="436">
        <f>+ED11/(IS!ED17/(365/4))</f>
        <v>34.644778194125465</v>
      </c>
      <c r="EE47" s="436">
        <f>+EE11/(IS!EE17/(365/4))</f>
        <v>18.482266179952646</v>
      </c>
      <c r="EF47" s="436">
        <f>+EF11/(IS!EF17/(365/4))</f>
        <v>31.46156263091747</v>
      </c>
      <c r="EG47" s="436">
        <f>+EG11/(IS!EG17/(365/4))</f>
        <v>35.458958221746116</v>
      </c>
      <c r="EH47" s="436">
        <f>+EH11/(IS!EH17/(365/4))</f>
        <v>8.0152400266359951</v>
      </c>
      <c r="EI47" s="436">
        <f>+EI11/(IS!EI17/(365/4))</f>
        <v>48.315526571388929</v>
      </c>
      <c r="EJ47" s="436">
        <f>+EJ11/(IS!EJ17/(365/4))</f>
        <v>24.975435575364667</v>
      </c>
      <c r="EK47" s="436">
        <f>+EK11/(IS!EK17/(365/4))</f>
        <v>28.951372701372701</v>
      </c>
      <c r="EL47" s="436">
        <f>+EL11/(IS!EL17/(365/4))</f>
        <v>25.743044241132974</v>
      </c>
      <c r="EM47" s="436">
        <f>+EM11/(IS!EM17/(365/4))</f>
        <v>6.2661302623550945</v>
      </c>
      <c r="EN47" s="436">
        <f>+EN11/(IS!EN17/(365/4))</f>
        <v>36.318523712391638</v>
      </c>
      <c r="EO47" s="436">
        <f>+EO11/(IS!EO17/(365/4))</f>
        <v>18.073048176951822</v>
      </c>
      <c r="EP47" s="436">
        <f>+EP11/(IS!EP17/(365/4))</f>
        <v>22.4049317617866</v>
      </c>
      <c r="EQ47" s="436">
        <f>+EQ11/(IS!EQ17/(365/4))</f>
        <v>23.535507332071901</v>
      </c>
      <c r="ER47" s="436">
        <f>+ER11/(IS!ER17/(365/4))</f>
        <v>5.8088278217214908</v>
      </c>
      <c r="ES47" s="436">
        <f>+ES11/(IS!ES17/(365/4))</f>
        <v>35.395475960376906</v>
      </c>
      <c r="ET47" s="436">
        <f>+ET11/(IS!ET17/(365/4))</f>
        <v>16.519680947216198</v>
      </c>
      <c r="EU47" s="436">
        <f>+EU11/(IS!EU17/(365/4))</f>
        <v>20.516236918761464</v>
      </c>
      <c r="EV47" s="436">
        <f t="shared" ref="EU47:EV53" si="58">EQ47</f>
        <v>23.535507332071901</v>
      </c>
      <c r="EW47" s="436">
        <f>+EW11/(IS!EW17/(365/4))</f>
        <v>5.9613727541661579</v>
      </c>
      <c r="EX47" s="436">
        <f t="shared" ref="EX47:EX53" si="59">ES47</f>
        <v>35.395475960376906</v>
      </c>
      <c r="EY47" s="436">
        <f t="shared" ref="EY47:EY54" si="60">ET47</f>
        <v>16.519680947216198</v>
      </c>
      <c r="EZ47" s="436">
        <f t="shared" ref="EX47:EZ54" si="61">EU47</f>
        <v>20.516236918761464</v>
      </c>
      <c r="FA47" s="436">
        <f t="shared" ref="FA47:FA54" si="62">EV47</f>
        <v>23.535507332071901</v>
      </c>
      <c r="FB47" s="436">
        <f>+FB11/(IS!FB17/(365/4))</f>
        <v>5.9704572514004566</v>
      </c>
      <c r="FC47" s="436">
        <f t="shared" ref="FC47:FC54" si="63">EX47</f>
        <v>35.395475960376906</v>
      </c>
      <c r="FD47" s="436">
        <f t="shared" ref="FD47:FD54" si="64">EY47</f>
        <v>16.519680947216198</v>
      </c>
      <c r="FE47" s="436">
        <f t="shared" ref="FE47:FE54" si="65">EZ47</f>
        <v>20.516236918761464</v>
      </c>
      <c r="FF47" s="436">
        <f t="shared" ref="FF47:FF54" si="66">FA47</f>
        <v>23.535507332071901</v>
      </c>
      <c r="FG47" s="436">
        <f>+FG11/(IS!FG17/(365/4))</f>
        <v>6.0516085429832733</v>
      </c>
      <c r="FH47" s="436">
        <f t="shared" ref="FH47:FH54" si="67">FC47</f>
        <v>35.395475960376906</v>
      </c>
      <c r="FI47" s="436">
        <f t="shared" ref="FI47:FI54" si="68">FD47</f>
        <v>16.519680947216198</v>
      </c>
      <c r="FJ47" s="436">
        <f t="shared" ref="FJ47:FJ54" si="69">FE47</f>
        <v>20.516236918761464</v>
      </c>
      <c r="FK47" s="436">
        <f t="shared" ref="FK47:FK54" si="70">FF47</f>
        <v>23.535507332071901</v>
      </c>
      <c r="FL47" s="436">
        <f>+FL11/(IS!FL17/(365/4))</f>
        <v>6.0816538842319101</v>
      </c>
      <c r="FM47" s="263"/>
      <c r="FO47"/>
      <c r="FP47"/>
      <c r="FQ47"/>
      <c r="FR47"/>
      <c r="FS47"/>
      <c r="FT47"/>
      <c r="FU47" s="261"/>
      <c r="FV47" s="261"/>
      <c r="FW47" s="261"/>
      <c r="FX47" s="261"/>
    </row>
    <row r="48" spans="1:180" s="264" customFormat="1" ht="11.25" customHeight="1">
      <c r="A48" s="264" t="s">
        <v>882</v>
      </c>
      <c r="D48" s="253"/>
      <c r="E48" s="253"/>
      <c r="F48" s="253"/>
      <c r="G48" s="253"/>
      <c r="H48" s="253"/>
      <c r="I48" s="253"/>
      <c r="J48" s="253"/>
      <c r="K48" s="436">
        <f>+K23/(IS!K17/(365/4))</f>
        <v>0</v>
      </c>
      <c r="L48" s="436">
        <f>+L23/(IS!L17/(365/4))</f>
        <v>0</v>
      </c>
      <c r="M48" s="436">
        <f>+M23/(IS!M17/(365/4))</f>
        <v>0</v>
      </c>
      <c r="N48" s="436">
        <f>+N23/(IS!N17/(365/4))</f>
        <v>0</v>
      </c>
      <c r="O48" s="436">
        <f>+O23/(IS!O17/(365/4))</f>
        <v>0</v>
      </c>
      <c r="P48" s="436">
        <f>+P23/(IS!P17/(365/4))</f>
        <v>0</v>
      </c>
      <c r="Q48" s="436">
        <f>+Q23/(IS!Q17/(365/4))</f>
        <v>69.384723451327432</v>
      </c>
      <c r="R48" s="436">
        <f>+R23/(IS!R17/(365/4))</f>
        <v>19.123106707317074</v>
      </c>
      <c r="S48" s="436">
        <f>+S23/(IS!S17/(365/4))</f>
        <v>75.027777777777771</v>
      </c>
      <c r="T48" s="436">
        <f>+T23/(IS!T17/(365/4))</f>
        <v>90.527877697841731</v>
      </c>
      <c r="U48" s="436">
        <f>+U23/(IS!U17/(365/4))</f>
        <v>98.142985611510795</v>
      </c>
      <c r="V48" s="436">
        <f>+V23/(IS!V17/(365/4))</f>
        <v>96.67293079096045</v>
      </c>
      <c r="W48" s="436">
        <f>+W23/(IS!W17/(365/4))</f>
        <v>29.45113382099828</v>
      </c>
      <c r="X48" s="436">
        <f>+X23/(IS!X17/(365/4))</f>
        <v>95.595238095238102</v>
      </c>
      <c r="Y48" s="436">
        <f>+Y23/(IS!Y17/(365/4))</f>
        <v>102.23821989528797</v>
      </c>
      <c r="Z48" s="436">
        <f>+Z23/(IS!Z17/(365/4))</f>
        <v>117.9022277227723</v>
      </c>
      <c r="AA48" s="436">
        <f>+AA23/(IS!AA17/(365/4))</f>
        <v>97.360491071428569</v>
      </c>
      <c r="AB48" s="436">
        <f>+AB23/(IS!AB17/(365/4))</f>
        <v>27.78184713375796</v>
      </c>
      <c r="AC48" s="436">
        <f>+AC23/(IS!AC17/(365/4))</f>
        <v>85.646929824561411</v>
      </c>
      <c r="AD48" s="436">
        <f>+AD23/(IS!AD17/(365/4))</f>
        <v>84.932692307692307</v>
      </c>
      <c r="AE48" s="436">
        <f>+AE23/(IS!AE17/(365/4))</f>
        <v>95.105633802816897</v>
      </c>
      <c r="AF48" s="436">
        <f>+AF23/(IS!AF17/(365/4))</f>
        <v>96.93442622950819</v>
      </c>
      <c r="AG48" s="436">
        <f>+AG23/(IS!AG17/(365/4))</f>
        <v>27.451253481894149</v>
      </c>
      <c r="AH48" s="436">
        <f>+AH23/(IS!AH17/(365/4))</f>
        <v>113.74119718309859</v>
      </c>
      <c r="AI48" s="436">
        <f>+AI23/(IS!AI17/(365/4))</f>
        <v>118.8179758308157</v>
      </c>
      <c r="AJ48" s="436">
        <f>+AJ23/(IS!AJ17/(365/4))</f>
        <v>134.69014084507043</v>
      </c>
      <c r="AK48" s="436">
        <f>+AK23/(IS!AK17/(365/4))</f>
        <v>136.63231382978722</v>
      </c>
      <c r="AL48" s="436">
        <f>+AL23/(IS!AL17/(365/4))</f>
        <v>38.167719167904899</v>
      </c>
      <c r="AM48" s="436">
        <f>+AM23/(IS!AM17/(365/4))</f>
        <v>108.55603448275863</v>
      </c>
      <c r="AN48" s="436">
        <f>+AN23/(IS!AN17/(365/4))</f>
        <v>104.9536219081272</v>
      </c>
      <c r="AO48" s="436">
        <f>+AO23/(IS!AO17/(365/4))</f>
        <v>109.97227356746765</v>
      </c>
      <c r="AP48" s="436">
        <f>+AP23/(IS!AP17/(365/4))</f>
        <v>142.8875968992248</v>
      </c>
      <c r="AQ48" s="436">
        <f>+AQ23/(IS!AQ17/(365/4))</f>
        <v>34.372960372960371</v>
      </c>
      <c r="AR48" s="436">
        <f>+AR23/(IS!AR17/(365/4))</f>
        <v>167.92271784232366</v>
      </c>
      <c r="AS48" s="436">
        <f>+AS23/(IS!AS17/(365/4))</f>
        <v>138.67383512544802</v>
      </c>
      <c r="AT48" s="436">
        <f>+AT23/(IS!AT17/(365/4))</f>
        <v>135.23156089193824</v>
      </c>
      <c r="AU48" s="436">
        <f>+AU23/(IS!AU17/(365/4))</f>
        <v>120.27650822669105</v>
      </c>
      <c r="AV48" s="436">
        <f>+AV23/(IS!AV17/(365/4))</f>
        <v>30.318548387096776</v>
      </c>
      <c r="AW48" s="436">
        <f>+AW23/(IS!AW17/(365/4))</f>
        <v>130.03979400749063</v>
      </c>
      <c r="AX48" s="436">
        <f>+AX23/(IS!AX17/(365/4))</f>
        <v>129.05995106035888</v>
      </c>
      <c r="AY48" s="436">
        <f>+AY23/(IS!AY17/(365/4))</f>
        <v>129.4609375</v>
      </c>
      <c r="AZ48" s="436">
        <f>+AZ23/(IS!AZ17/(365/4))</f>
        <v>102.91047548291233</v>
      </c>
      <c r="BA48" s="436">
        <f>+BA23/(IS!BA17/(365/4))</f>
        <v>28.153963414634145</v>
      </c>
      <c r="BB48" s="436">
        <f>+BB23/(IS!BB17/(365/4))</f>
        <v>118.80778120184901</v>
      </c>
      <c r="BC48" s="436">
        <f>+BC23/(IS!BC17/(365/4))</f>
        <v>114.52569796954315</v>
      </c>
      <c r="BD48" s="436">
        <f>+BD23/(IS!BD17/(365/4))</f>
        <v>130.94632768361581</v>
      </c>
      <c r="BE48" s="436">
        <f>+BE23/(IS!BE17/(365/4))</f>
        <v>119.21150971599403</v>
      </c>
      <c r="BF48" s="436">
        <f>+BF23/(IS!BF17/(365/4))</f>
        <v>28.341329068941008</v>
      </c>
      <c r="BG48" s="436">
        <f>+BG23/(IS!BG17/(365/4))</f>
        <v>127.77563202247191</v>
      </c>
      <c r="BH48" s="436">
        <f>+BH23/(IS!BH17/(365/4))</f>
        <v>148.82440476190476</v>
      </c>
      <c r="BI48" s="436">
        <f>+BI23/(IS!BI17/(365/4))</f>
        <v>130.20113031914894</v>
      </c>
      <c r="BJ48" s="436">
        <f>+BJ23/(IS!BJ17/(365/4))</f>
        <v>126.37308184143224</v>
      </c>
      <c r="BK48" s="436">
        <f>+BK23/(IS!BK17/(365/4))</f>
        <v>32.919303797468359</v>
      </c>
      <c r="BL48" s="436">
        <f>+BL23/(IS!BL17/(365/4))</f>
        <v>121.77727272727272</v>
      </c>
      <c r="BM48" s="436">
        <f>+BM23/(IS!BM17/(365/4))</f>
        <v>133.2841435185185</v>
      </c>
      <c r="BN48" s="436">
        <f>+BN23/(IS!BN17/(365/4))</f>
        <v>126.47107897664071</v>
      </c>
      <c r="BO48" s="436">
        <f>+BO23/(IS!BO17/(365/4))</f>
        <v>125.03460207612457</v>
      </c>
      <c r="BP48" s="436">
        <f>+BP23/(IS!BP17/(365/4))</f>
        <v>31.376266280752535</v>
      </c>
      <c r="BQ48" s="436">
        <f>+BQ23/(IS!BQ17/(365/4))</f>
        <v>117.98501131221721</v>
      </c>
      <c r="BR48" s="436">
        <f>+BR23/(IS!BR17/(365/4))</f>
        <v>72.633581606217604</v>
      </c>
      <c r="BS48" s="436">
        <f>+BS23/(IS!BS17/(365/4))</f>
        <v>74.308243727598565</v>
      </c>
      <c r="BT48" s="436">
        <f>+BT23/(IS!BT17/(365/4))</f>
        <v>80.577485380116954</v>
      </c>
      <c r="BU48" s="436">
        <f>+BU23/(IS!BU17/(365/4))</f>
        <v>21.234829512617992</v>
      </c>
      <c r="BV48" s="436">
        <f>+BV23/(IS!BV17/(365/4))</f>
        <v>80.726376488095241</v>
      </c>
      <c r="BW48" s="436">
        <f>+BW23/(IS!BW17/(365/4))</f>
        <v>57.303462798315394</v>
      </c>
      <c r="BX48" s="436">
        <f>+BX23/(IS!BX17/(365/4))</f>
        <v>93.828492935635794</v>
      </c>
      <c r="BY48" s="436">
        <f>+BY23/(IS!BY17/(365/4))</f>
        <v>110.07381134969326</v>
      </c>
      <c r="BZ48" s="436">
        <f>+BZ23/(IS!BZ17/(365/4))</f>
        <v>23.689759036144576</v>
      </c>
      <c r="CA48" s="436">
        <f>+CA23/(IS!CA17/(365/4))</f>
        <v>82.679898648648646</v>
      </c>
      <c r="CB48" s="436">
        <f>+CB23/(IS!CB17/(365/4))</f>
        <v>58.290277125410988</v>
      </c>
      <c r="CC48" s="436">
        <f>+CC23/(IS!CC17/(365/4))</f>
        <v>91.314670446491846</v>
      </c>
      <c r="CD48" s="436">
        <f>+CD23/(IS!CD17/(365/4))</f>
        <v>105.79085077650235</v>
      </c>
      <c r="CE48" s="436">
        <f>+CE23/(IS!CE17/(365/4))</f>
        <v>24.100330718351021</v>
      </c>
      <c r="CF48" s="436">
        <f>+CF23/(IS!CF17/(365/4))</f>
        <v>93.458185053380788</v>
      </c>
      <c r="CG48" s="436">
        <f>+CG23/(IS!CG17/(365/4))</f>
        <v>74.680671175858478</v>
      </c>
      <c r="CH48" s="436">
        <f>+CH23/(IS!CH17/(365/4))</f>
        <v>109.52677916360969</v>
      </c>
      <c r="CI48" s="436">
        <f>+CI23/(IS!CI17/(365/4))</f>
        <v>134.99822695035462</v>
      </c>
      <c r="CJ48" s="436">
        <f>+CJ23/(IS!CJ17/(365/4))</f>
        <v>31.20450819672131</v>
      </c>
      <c r="CK48" s="436">
        <f>+CK23/(IS!CK17/(365/4))</f>
        <v>134.87230646448523</v>
      </c>
      <c r="CL48" s="436">
        <f>+CL23/(IS!CL17/(365/4))</f>
        <v>100.94964269763288</v>
      </c>
      <c r="CM48" s="436">
        <f>+CM23/(IS!CM17/(365/4))</f>
        <v>105.91839250493096</v>
      </c>
      <c r="CN48" s="436">
        <f>+CN23/(IS!CN17/(365/4))</f>
        <v>124.62265258215962</v>
      </c>
      <c r="CO48" s="436">
        <f>+CO23/(IS!CO17/(365/4))</f>
        <v>34.698856209150328</v>
      </c>
      <c r="CP48" s="436">
        <f>+CP23/(IS!CP17/(365/4))</f>
        <v>129.45017688679246</v>
      </c>
      <c r="CQ48" s="436">
        <f>+CQ23/(IS!CQ17/(365/4))</f>
        <v>74.209944751381215</v>
      </c>
      <c r="CR48" s="436">
        <f>+CR23/(IS!CR17/(365/4))</f>
        <v>121.22605140186916</v>
      </c>
      <c r="CS48" s="436">
        <f>+CS23/(IS!CS17/(365/4))</f>
        <v>135.91227064220183</v>
      </c>
      <c r="CT48" s="436">
        <f>+CT23/(IS!CT17/(365/4))</f>
        <v>30.748106060606062</v>
      </c>
      <c r="CU48" s="436">
        <f>+CU23/(IS!CU17/(365/4))</f>
        <v>109.36355140186916</v>
      </c>
      <c r="CV48" s="436">
        <f>+CV23/(IS!CV17/(365/4))</f>
        <v>93.027095681625738</v>
      </c>
      <c r="CW48" s="436">
        <f>+CW23/(IS!CW17/(365/4))</f>
        <v>130.66825775656324</v>
      </c>
      <c r="CX48" s="436">
        <f>+CX23/(IS!CX17/(365/4))</f>
        <v>128.4377180739707</v>
      </c>
      <c r="CY48" s="436">
        <f>+CY23/(IS!CY17/(365/4))</f>
        <v>31.738446283842041</v>
      </c>
      <c r="CZ48" s="436">
        <f>+CZ23/(IS!CZ17/(365/4))</f>
        <v>107.36613412921348</v>
      </c>
      <c r="DA48" s="436">
        <f>+DA23/(IS!DA17/(365/4))</f>
        <v>82.515037112874325</v>
      </c>
      <c r="DB48" s="436">
        <f>+DB23/(IS!DB17/(365/4))</f>
        <v>97.832711442786064</v>
      </c>
      <c r="DC48" s="436">
        <f>+DC23/(IS!DC17/(365/4))</f>
        <v>117.29118329466357</v>
      </c>
      <c r="DD48" s="436">
        <f>+DD23/(IS!DD17/(365/4))</f>
        <v>24.953928424516661</v>
      </c>
      <c r="DE48" s="436">
        <f>+DE23/(IS!DE17/(365/4))</f>
        <v>105.53791344123856</v>
      </c>
      <c r="DF48" s="436">
        <f>+DF23/(IS!DF17/(365/4))</f>
        <v>79.755719404630653</v>
      </c>
      <c r="DG48" s="436">
        <f>+DG23/(IS!DG17/(365/4))</f>
        <v>108.6057168784029</v>
      </c>
      <c r="DH48" s="436">
        <f>+DH23/(IS!DH17/(365/4))</f>
        <v>115.86159305993691</v>
      </c>
      <c r="DI48" s="436">
        <f>+DI12/(IS!DI18/(365/4))</f>
        <v>3.9787178821697378</v>
      </c>
      <c r="DJ48" s="436">
        <f>+DJ23/(IS!DJ17/(365/4))</f>
        <v>106.22093023255815</v>
      </c>
      <c r="DK48" s="436">
        <f>+DK23/(IS!DK17/(365/4))</f>
        <v>72.935805917649489</v>
      </c>
      <c r="DL48" s="436">
        <f>+DL23/(IS!DL17/(365/4))</f>
        <v>89.657749550936614</v>
      </c>
      <c r="DM48" s="436">
        <f>+DM23/(IS!DM17/(365/4))</f>
        <v>103.2837783171521</v>
      </c>
      <c r="DN48" s="436">
        <f>+DN12/(IS!DN18/(365/4))</f>
        <v>4.140827165698755</v>
      </c>
      <c r="DO48" s="436">
        <f>+DO23/(IS!DO17/(365/4))</f>
        <v>89.848755626158336</v>
      </c>
      <c r="DP48" s="436">
        <f>+DP23/(IS!DP17/(365/4))</f>
        <v>62.861830436324944</v>
      </c>
      <c r="DQ48" s="436">
        <f>+DQ23/(IS!DQ17/(365/4))</f>
        <v>87.509488866396765</v>
      </c>
      <c r="DR48" s="436">
        <f>+DR23/(IS!DR17/(365/4))</f>
        <v>91.513031467691562</v>
      </c>
      <c r="DS48" s="495">
        <f>+DS12/(IS!DS18/(365/4))</f>
        <v>3.3045708540209637</v>
      </c>
      <c r="DT48" s="436">
        <f>+DT23/(IS!DT17/(365/4))</f>
        <v>79.493462092130514</v>
      </c>
      <c r="DU48" s="436">
        <f>+DU23/(IS!DU17/(365/4))</f>
        <v>69.832220660576255</v>
      </c>
      <c r="DV48" s="436">
        <f>+DV23/(IS!DV17/(365/4))</f>
        <v>86.389179026530186</v>
      </c>
      <c r="DW48" s="436">
        <f>+DW23/(IS!DW17/(365/4))</f>
        <v>78.642449125312396</v>
      </c>
      <c r="DX48" s="436">
        <f>+DX12/(IS!DX18/(365/4))</f>
        <v>2.5854166666666667</v>
      </c>
      <c r="DY48" s="436">
        <f>+DY23/(IS!DY17/(365/4))</f>
        <v>86.378813062182246</v>
      </c>
      <c r="DZ48" s="436">
        <f>+DZ23/(IS!DZ17/(365/4))</f>
        <v>59.460103814582332</v>
      </c>
      <c r="EA48" s="436">
        <f>+EA23/(IS!EA17/(365/4))</f>
        <v>70.391979464736579</v>
      </c>
      <c r="EB48" s="436">
        <f>+EB23/(IS!EB17/(365/4))</f>
        <v>89.291639236339705</v>
      </c>
      <c r="EC48" s="436">
        <f>+EC12/(IS!EC18/(365/4))</f>
        <v>2.9569149735387903</v>
      </c>
      <c r="ED48" s="436">
        <f>+ED23/(IS!ED17/(365/4))</f>
        <v>74.661096337483386</v>
      </c>
      <c r="EE48" s="436">
        <f>+EE23/(IS!EE17/(365/4))</f>
        <v>62.40578137332281</v>
      </c>
      <c r="EF48" s="436">
        <f>+EF23/(IS!EF17/(365/4))</f>
        <v>85.248219522413066</v>
      </c>
      <c r="EG48" s="436">
        <f>+EG23/(IS!EG17/(365/4))</f>
        <v>80.534112212104986</v>
      </c>
      <c r="EH48" s="436">
        <f>+EH12/(IS!EH18/(365/4))</f>
        <v>2.9019488175900094</v>
      </c>
      <c r="EI48" s="436">
        <f>+EI23/(IS!EI17/(365/4))</f>
        <v>83.944429027334536</v>
      </c>
      <c r="EJ48" s="436">
        <f>+EJ23/(IS!EJ17/(365/4))</f>
        <v>64.111628849270659</v>
      </c>
      <c r="EK48" s="436">
        <f>+EK23/(IS!EK17/(365/4))</f>
        <v>79.870337995337991</v>
      </c>
      <c r="EL48" s="436">
        <f>+EL23/(IS!EL17/(365/4))</f>
        <v>78.887391903747329</v>
      </c>
      <c r="EM48" s="436">
        <f>+EM12/(IS!EM18/(365/4))</f>
        <v>0</v>
      </c>
      <c r="EN48" s="436">
        <f>+EN23/(IS!EN17/(365/4))</f>
        <v>73.241968383477811</v>
      </c>
      <c r="EO48" s="436">
        <f>+EO23/(IS!EO17/(365/4))</f>
        <v>60.642864357135643</v>
      </c>
      <c r="EP48" s="436">
        <f>+EP23/(IS!EP17/(365/4))</f>
        <v>70.384770471464023</v>
      </c>
      <c r="EQ48" s="436">
        <f>+EQ23/(IS!EQ17/(365/4))</f>
        <v>79.746629612109743</v>
      </c>
      <c r="ER48" s="436">
        <f>+ER12/(IS!ER18/(365/4))</f>
        <v>0</v>
      </c>
      <c r="ES48" s="436">
        <f>+ES23/(IS!ES17/(365/4))</f>
        <v>75.68525006040106</v>
      </c>
      <c r="ET48" s="436">
        <f>+ET23/(IS!ET17/(365/4))</f>
        <v>64.742633767172819</v>
      </c>
      <c r="EU48" s="436">
        <f>+EU23/(IS!EU17/(365/4))</f>
        <v>75.045716905815084</v>
      </c>
      <c r="EV48" s="436">
        <f t="shared" si="58"/>
        <v>79.746629612109743</v>
      </c>
      <c r="EW48" s="436">
        <f>+EW12/(IS!EW18/(365/4))</f>
        <v>0</v>
      </c>
      <c r="EX48" s="436">
        <f t="shared" si="59"/>
        <v>75.68525006040106</v>
      </c>
      <c r="EY48" s="436">
        <f t="shared" si="60"/>
        <v>64.742633767172819</v>
      </c>
      <c r="EZ48" s="436">
        <f t="shared" si="61"/>
        <v>75.045716905815084</v>
      </c>
      <c r="FA48" s="436">
        <f t="shared" si="62"/>
        <v>79.746629612109743</v>
      </c>
      <c r="FB48" s="436">
        <f>+FB12/(IS!FB18/(365/4))</f>
        <v>0</v>
      </c>
      <c r="FC48" s="436">
        <f t="shared" si="63"/>
        <v>75.68525006040106</v>
      </c>
      <c r="FD48" s="436">
        <f t="shared" si="64"/>
        <v>64.742633767172819</v>
      </c>
      <c r="FE48" s="436">
        <f t="shared" si="65"/>
        <v>75.045716905815084</v>
      </c>
      <c r="FF48" s="436">
        <f t="shared" si="66"/>
        <v>79.746629612109743</v>
      </c>
      <c r="FG48" s="436">
        <f>+FG12/(IS!FG18/(365/4))</f>
        <v>0</v>
      </c>
      <c r="FH48" s="436">
        <f t="shared" si="67"/>
        <v>75.68525006040106</v>
      </c>
      <c r="FI48" s="436">
        <f t="shared" si="68"/>
        <v>64.742633767172819</v>
      </c>
      <c r="FJ48" s="436">
        <f t="shared" si="69"/>
        <v>75.045716905815084</v>
      </c>
      <c r="FK48" s="436">
        <f t="shared" si="70"/>
        <v>79.746629612109743</v>
      </c>
      <c r="FL48" s="436">
        <f>+FL12/(IS!FL18/(365/4))</f>
        <v>0</v>
      </c>
      <c r="FM48" s="263"/>
      <c r="FO48"/>
      <c r="FP48"/>
      <c r="FQ48"/>
      <c r="FR48"/>
      <c r="FS48"/>
      <c r="FT48"/>
      <c r="FU48" s="261"/>
      <c r="FV48" s="261"/>
      <c r="FW48" s="261"/>
      <c r="FX48" s="261"/>
    </row>
    <row r="49" spans="1:180" s="264" customFormat="1" ht="11.25" hidden="1" customHeight="1" outlineLevel="1">
      <c r="A49" s="264" t="s">
        <v>839</v>
      </c>
      <c r="D49" s="496">
        <f>IF(ISERROR((D13/(IS!D34*4)*100)),0,(D13/(IS!D34*4)*100))</f>
        <v>0</v>
      </c>
      <c r="E49" s="496">
        <f>IF(ISERROR((E13/(IS!E34*4)*100)),0,(E13/(IS!E34*4)*100))</f>
        <v>0</v>
      </c>
      <c r="F49" s="496">
        <f>IF(ISERROR((F13/(IS!F34*4)*100)),0,(F13/(IS!F34*4)*100))</f>
        <v>0</v>
      </c>
      <c r="G49" s="496">
        <f>IF(ISERROR((G13/(IS!G34*4)*100)),0,(G13/(IS!G34*4)*100))</f>
        <v>0</v>
      </c>
      <c r="H49" s="496"/>
      <c r="I49" s="496">
        <f>IF(ISERROR((I13/(IS!I34*4)*100)),0,(I13/(IS!I34*4)*100))</f>
        <v>0</v>
      </c>
      <c r="J49" s="496">
        <f>IF(ISERROR((J13/(IS!J34*4)*100)),0,(J13/(IS!J34*4)*100))</f>
        <v>0</v>
      </c>
      <c r="K49" s="496">
        <f>IF(ISERROR((K13/(IS!K34*4)*100)),0,(K13/(IS!K34*4)*100))</f>
        <v>0</v>
      </c>
      <c r="L49" s="496">
        <f>IF(ISERROR((L13/(IS!L34*4)*100)),0,(L13/(IS!L34*4)*100))</f>
        <v>0</v>
      </c>
      <c r="M49" s="496"/>
      <c r="N49" s="496">
        <f>IF(ISERROR((N13/(IS!N34*4)*100)),0,(N13/(IS!N34*4)*100))</f>
        <v>0</v>
      </c>
      <c r="O49" s="496">
        <f>IF(ISERROR((O13/(IS!O34*4)*100)),0,(O13/(IS!O34*4)*100))</f>
        <v>0</v>
      </c>
      <c r="P49" s="496">
        <f>IF(ISERROR((P13/(IS!P34*4)*100)),0,(P13/(IS!P34*4)*100))</f>
        <v>0</v>
      </c>
      <c r="Q49" s="496">
        <f>IF(ISERROR((Q13/(IS!Q34*4)*100)),0,(Q13/(IS!Q34*4)*100))</f>
        <v>5.8573529411764715</v>
      </c>
      <c r="R49" s="496"/>
      <c r="S49" s="496">
        <f>IF(ISERROR((S13/(IS!S34*4)*100)),0,(S13/(IS!S34*4)*100))</f>
        <v>4.5294117647058822</v>
      </c>
      <c r="T49" s="496">
        <f>IF(ISERROR((T13/(IS!T34*4)*100)),0,(T13/(IS!T34*4)*100))</f>
        <v>4.8504983388704321</v>
      </c>
      <c r="U49" s="496">
        <f>IF(ISERROR((U13/(IS!U34*4)*100)),0,(U13/(IS!U34*4)*100))</f>
        <v>5.5574324324324316</v>
      </c>
      <c r="V49" s="496">
        <f>IF(ISERROR((V13/(IS!V34*4)*100)),0,(V13/(IS!V34*4)*100))</f>
        <v>4.9392610695802182</v>
      </c>
      <c r="W49" s="496"/>
      <c r="X49" s="496">
        <f>IF(ISERROR((X13/(IS!X34*4)*100)),0,(X13/(IS!X34*4)*100))</f>
        <v>4.4959128065395095</v>
      </c>
      <c r="Y49" s="496">
        <f>IF(ISERROR((Y13/(IS!Y34*4)*100)),0,(Y13/(IS!Y34*4)*100))</f>
        <v>6.8925233644859807</v>
      </c>
      <c r="Z49" s="496">
        <f>IF(ISERROR((Z13/(IS!Z34*4)*100)),0,(Z13/(IS!Z34*4)*100))</f>
        <v>5.06993006993007</v>
      </c>
      <c r="AA49" s="496">
        <f>IF(ISERROR((AA13/(IS!AA34*4)*100)),0,(AA13/(IS!AA34*4)*100))</f>
        <v>5.2660753880266071</v>
      </c>
      <c r="AB49" s="496"/>
      <c r="AC49" s="496">
        <f>IF(ISERROR((AC13/(IS!AC34*4)*100)),0,(AC13/(IS!AC34*4)*100))</f>
        <v>4.8235294117647056</v>
      </c>
      <c r="AD49" s="496">
        <f>IF(ISERROR((AD13/(IS!AD34*4)*100)),0,(AD13/(IS!AD34*4)*100))</f>
        <v>5.095541401273886</v>
      </c>
      <c r="AE49" s="496">
        <f>IF(ISERROR((AE13/(IS!AE34*4)*100)),0,(AE13/(IS!AE34*4)*100))</f>
        <v>5.8350100603621735</v>
      </c>
      <c r="AF49" s="496">
        <f>IF(ISERROR((AF13/(IS!AF34*4)*100)),0,(AF13/(IS!AF34*4)*100))</f>
        <v>5.83976833976834</v>
      </c>
      <c r="AG49" s="496"/>
      <c r="AH49" s="496">
        <f>IF(ISERROR((AH13/(IS!AH34*4)*100)),0,(AH13/(IS!AH34*4)*100))</f>
        <v>6.5118397085610198</v>
      </c>
      <c r="AI49" s="496">
        <f>IF(ISERROR((AI13/(IS!AI34*4)*100)),0,(AI13/(IS!AI34*4)*100))</f>
        <v>5.6015037593984962</v>
      </c>
      <c r="AJ49" s="496">
        <f>IF(ISERROR((AJ13/(IS!AJ34*4)*100)),0,(AJ13/(IS!AJ34*4)*100))</f>
        <v>5.3596127247579526</v>
      </c>
      <c r="AK49" s="496">
        <f>IF(ISERROR((AK13/(IS!AK34*4)*100)),0,(AK13/(IS!AK34*4)*100))</f>
        <v>6.6644562334217508</v>
      </c>
      <c r="AL49" s="496"/>
      <c r="AM49" s="496">
        <f>IF(ISERROR((AM13/(IS!AM34*4)*100)),0,(AM13/(IS!AM34*4)*100))</f>
        <v>5.1461988304093573</v>
      </c>
      <c r="AN49" s="496">
        <f>IF(ISERROR((AN13/(IS!AN34*4)*100)),0,(AN13/(IS!AN34*4)*100))</f>
        <v>5.5347593582887704</v>
      </c>
      <c r="AO49" s="496">
        <f>IF(ISERROR((AO13/(IS!AO34*4)*100)),0,(AO13/(IS!AO34*4)*100))</f>
        <v>5.3212851405622494</v>
      </c>
      <c r="AP49" s="496">
        <f>IF(ISERROR((AP13/(IS!AP34*4)*100)),0,(AP13/(IS!AP34*4)*100))</f>
        <v>6.2439961575408258</v>
      </c>
      <c r="AQ49" s="496"/>
      <c r="AR49" s="496">
        <f>IF(ISERROR((AR13/(IS!AR34*4)*100)),0,(AR13/(IS!AR34*4)*100))</f>
        <v>6.8315377081292841</v>
      </c>
      <c r="AS49" s="496">
        <f>IF(ISERROR((AS13/(IS!AS34*4)*100)),0,(AS13/(IS!AS34*4)*100))</f>
        <v>6.5654405474764754</v>
      </c>
      <c r="AT49" s="496">
        <f>IF(ISERROR((AT13/(IS!AT34*4)*100)),0,(AT13/(IS!AT34*4)*100))</f>
        <v>5.6013179571663922</v>
      </c>
      <c r="AU49" s="496">
        <f>IF(ISERROR((AU13/(IS!AU34*4)*100)),0,(AU13/(IS!AU34*4)*100))</f>
        <v>8.6647727272727284</v>
      </c>
      <c r="AV49" s="496"/>
      <c r="AW49" s="496">
        <f>IF(ISERROR((AW13/(IS!AW34*4)*100)),0,(AW13/(IS!AW34*4)*100))</f>
        <v>7.5746540422432629</v>
      </c>
      <c r="AX49" s="496">
        <f>IF(ISERROR((AX13/(IS!AX34*4)*100)),0,(AX13/(IS!AX34*4)*100))</f>
        <v>7.4110671936758896</v>
      </c>
      <c r="AY49" s="496">
        <f>IF(ISERROR((AY13/(IS!AY34*4)*100)),0,(AY13/(IS!AY34*4)*100))</f>
        <v>6.3161609033168666</v>
      </c>
      <c r="AZ49" s="496">
        <f>IF(ISERROR((AZ13/(IS!AZ34*4)*100)),0,(AZ13/(IS!AZ34*4)*100))</f>
        <v>8.0655526992287925</v>
      </c>
      <c r="BA49" s="496"/>
      <c r="BB49" s="496">
        <f>IF(ISERROR((BB13/(IS!BB34*4)*100)),0,(BB13/(IS!BB34*4)*100))</f>
        <v>9.8922114047287906</v>
      </c>
      <c r="BC49" s="496">
        <f>IF(ISERROR((BC13/(IS!BC34*4)*100)),0,(BC13/(IS!BC34*4)*100))</f>
        <v>8.1875753920386014</v>
      </c>
      <c r="BD49" s="496">
        <f>IF(ISERROR((BD13/(IS!BD34*4)*100)),0,(BD13/(IS!BD34*4)*100))</f>
        <v>9.173204586602294</v>
      </c>
      <c r="BE49" s="496">
        <f>IF(ISERROR((BE13/(IS!BE34*4)*100)),0,(BE13/(IS!BE34*4)*100))</f>
        <v>8.7973795039775382</v>
      </c>
      <c r="BF49" s="496"/>
      <c r="BG49" s="496">
        <f>IF(ISERROR((BG13/(IS!BG34*4)*100)),0,(BG13/(IS!BG34*4)*100))</f>
        <v>11.660294920808303</v>
      </c>
      <c r="BH49" s="496">
        <f>IF(ISERROR((BH13/(IS!BH34*4)*100)),0,(BH13/(IS!BH34*4)*100))</f>
        <v>10.728015377222491</v>
      </c>
      <c r="BI49" s="496">
        <f>IF(ISERROR((BI13/(IS!BI34*4)*100)),0,(BI13/(IS!BI34*4)*100))</f>
        <v>13.145428706774039</v>
      </c>
      <c r="BJ49" s="496">
        <f>IF(ISERROR((BJ13/(IS!BJ34*4)*100)),0,(BJ13/(IS!BJ34*4)*100))</f>
        <v>16.092907507258399</v>
      </c>
      <c r="BK49" s="496"/>
      <c r="BL49" s="496">
        <f>IF(ISERROR((BL13/(IS!BL34*4)*100)),0,(BL13/(IS!BL34*4)*100))</f>
        <v>21.112696148359486</v>
      </c>
      <c r="BM49" s="496">
        <f>IF(ISERROR((BM13/(IS!BM34*4)*100)),0,(BM13/(IS!BM34*4)*100))</f>
        <v>20.635575732562938</v>
      </c>
      <c r="BN49" s="496">
        <f>IF(ISERROR((BN13/(IS!BN34*4)*100)),0,(BN13/(IS!BN34*4)*100))</f>
        <v>24.54954954954955</v>
      </c>
      <c r="BO49" s="496">
        <f>IF(ISERROR((BO13/(IS!BO34*4)*100)),0,(BO13/(IS!BO34*4)*100))</f>
        <v>21.061345416521434</v>
      </c>
      <c r="BP49" s="496"/>
      <c r="BQ49" s="496">
        <f>IF(ISERROR((BQ13/(IS!BQ34*4)*100)),0,(BQ13/(IS!BQ34*4)*100))</f>
        <v>27.302771855010661</v>
      </c>
      <c r="BR49" s="496">
        <f>IF(ISERROR((BR13/(IS!BR34*4)*100)),0,(BR13/(IS!BR34*4)*100))</f>
        <v>24.962908011869438</v>
      </c>
      <c r="BS49" s="496">
        <f>IF(ISERROR((BS13/(IS!BS34*4)*100)),0,(BS13/(IS!BS34*4)*100))</f>
        <v>27.605799373040753</v>
      </c>
      <c r="BT49" s="496">
        <f>IF(ISERROR((BT13/(IS!BT34*4)*100)),0,(BT13/(IS!BT34*4)*100))</f>
        <v>16.68880770508137</v>
      </c>
      <c r="BU49" s="496"/>
      <c r="BV49" s="496">
        <f>IF(ISERROR((BV13/(IS!BV34*4)*100)),0,(BV13/(IS!BV34*4)*100))</f>
        <v>13.026081802015414</v>
      </c>
      <c r="BW49" s="496">
        <f>IF(ISERROR((BW13/(IS!BW34*4)*100)),0,(BW13/(IS!BW34*4)*100))</f>
        <v>10.199444584700833</v>
      </c>
      <c r="BX49" s="496">
        <f>IF(ISERROR((BX13/(IS!BX34*4)*100)),0,(BX13/(IS!BX34*4)*100))</f>
        <v>10.204348965155882</v>
      </c>
      <c r="BY49" s="496">
        <f>IF(ISERROR((BY13/(IS!BY34*4)*100)),0,(BY13/(IS!BY34*4)*100))</f>
        <v>8.943502824858756</v>
      </c>
      <c r="BZ49" s="496"/>
      <c r="CA49" s="496">
        <f>IF(ISERROR((CA13/(IS!CA34*4)*100)),0,(CA13/(IS!CA34*4)*100))</f>
        <v>10.105938109841093</v>
      </c>
      <c r="CB49" s="496">
        <f>IF(ISERROR((CB13/(IS!CB34*4)*100)),0,(CB13/(IS!CB34*4)*100))</f>
        <v>7.6312154696132604</v>
      </c>
      <c r="CC49" s="496">
        <f>IF(ISERROR((CC13/(IS!CC34*4)*100)),0,(CC13/(IS!CC34*4)*100))</f>
        <v>10.325675334511487</v>
      </c>
      <c r="CD49" s="496">
        <f>IF(ISERROR((CD13/(IS!CD34*4)*100)),0,(CD13/(IS!CD34*4)*100))</f>
        <v>8.3689610944848223</v>
      </c>
      <c r="CE49" s="496"/>
      <c r="CF49" s="496">
        <f>IF(ISERROR((CF13/(IS!CF34*4)*100)),0,(CF13/(IS!CF34*4)*100))</f>
        <v>8.2911561001598297</v>
      </c>
      <c r="CG49" s="496">
        <f>IF(ISERROR((CG13/(IS!CG34*4)*100)),0,(CG13/(IS!CG34*4)*100))</f>
        <v>9.9107788762961189</v>
      </c>
      <c r="CH49" s="496">
        <f>IF(ISERROR((CH13/(IS!CH34*4)*100)),0,(CH13/(IS!CH34*4)*100))</f>
        <v>7.6262019230769234</v>
      </c>
      <c r="CI49" s="496">
        <f>IF(ISERROR((CI13/(IS!CI34*4)*100)),0,(CI13/(IS!CI34*4)*100))</f>
        <v>8.0603276068717538</v>
      </c>
      <c r="CJ49" s="496"/>
      <c r="CK49" s="496">
        <f>IF(ISERROR((CK13/(IS!CK34*4)*100)),0,(CK13/(IS!CK34*4)*100))</f>
        <v>10.842930654251409</v>
      </c>
      <c r="CL49" s="496">
        <f>IF(ISERROR((CL13/(IS!CL34*4)*100)),0,(CL13/(IS!CL34*4)*100))</f>
        <v>8.8291843756324635</v>
      </c>
      <c r="CM49" s="496">
        <f>IF(ISERROR((CM13/(IS!CM34*4)*100)),0,(CM13/(IS!CM34*4)*100))</f>
        <v>10.055591890124264</v>
      </c>
      <c r="CN49" s="496">
        <f>IF(ISERROR((CN13/(IS!CN34*4)*100)),0,(CN13/(IS!CN34*4)*100))</f>
        <v>9.7160970231532531</v>
      </c>
      <c r="CO49" s="496"/>
      <c r="CP49" s="496">
        <f>IF(ISERROR((CP13/(IS!CP34*4)*100)),0,(CP13/(IS!CP34*4)*100))</f>
        <v>11.085972850678733</v>
      </c>
      <c r="CQ49" s="496">
        <f>IF(ISERROR((CQ13/(IS!CQ34*4)*100)),0,(CQ13/(IS!CQ34*4)*100))</f>
        <v>9.5412844036697244</v>
      </c>
      <c r="CR49" s="496">
        <f>IF(ISERROR((CR13/(IS!CR34*4)*100)),0,(CR13/(IS!CR34*4)*100))</f>
        <v>10.761559383499547</v>
      </c>
      <c r="CS49" s="496">
        <f>IF(ISERROR((CS13/(IS!CS34*4)*100)),0,(CS13/(IS!CS34*4)*100))</f>
        <v>9.735557363710333</v>
      </c>
      <c r="CT49" s="496"/>
      <c r="CU49" s="496">
        <f>IF(ISERROR((CU13/(IS!CU34*4)*100)),0,(CU13/(IS!CU34*4)*100))</f>
        <v>12.161130202367316</v>
      </c>
      <c r="CV49" s="496">
        <f>IF(ISERROR((CV13/(IS!CV34*4)*100)),0,(CV13/(IS!CV34*4)*100))</f>
        <v>11.193441589153398</v>
      </c>
      <c r="CW49" s="496">
        <f>IF(ISERROR((CW13/(IS!CW34*4)*100)),0,(CW13/(IS!CW34*4)*100))</f>
        <v>11.375531566895649</v>
      </c>
      <c r="CX49" s="496">
        <f>IF(ISERROR((CX13/(IS!CX34*4)*100)),0,(CX13/(IS!CX34*4)*100))</f>
        <v>10.254562920268972</v>
      </c>
      <c r="CY49" s="496"/>
      <c r="CZ49" s="496">
        <f>IF(ISERROR((CZ13/(IS!CZ34*4)*100)),0,(CZ13/(IS!CZ34*4)*100))</f>
        <v>13.401190859349853</v>
      </c>
      <c r="DA49" s="496">
        <f>IF(ISERROR((DA13/(IS!DA34*4)*100)),0,(DA13/(IS!DA34*4)*100))</f>
        <v>13.231608432846823</v>
      </c>
      <c r="DB49" s="496">
        <f>IF(ISERROR((DB13/(IS!DB34*4)*100)),0,(DB13/(IS!DB34*4)*100))</f>
        <v>14.817392728463808</v>
      </c>
      <c r="DC49" s="496">
        <f>IF(ISERROR((DC13/(IS!DC34*4)*100)),0,(DC13/(IS!DC34*4)*100))</f>
        <v>14.500625195373553</v>
      </c>
      <c r="DD49" s="497"/>
      <c r="DE49" s="496">
        <f>IF(ISERROR((DE13/(IS!DE34*4)*100)),0,(DE13/(IS!DE34*4)*100))</f>
        <v>14.854360257326663</v>
      </c>
      <c r="DF49" s="496">
        <f>IF(ISERROR((DF13/(IS!DF34*4)*100)),0,(DF13/(IS!DF34*4)*100))</f>
        <v>9.2537421886353712</v>
      </c>
      <c r="DG49" s="496">
        <f>IF(ISERROR((DG13/(IS!DG34*4)*100)),0,(DG13/(IS!DG34*4)*100))</f>
        <v>11.376425855513309</v>
      </c>
      <c r="DH49" s="496">
        <f>IF(ISERROR((DH13/(IS!DH34*4)*100)),0,(DH13/(IS!DH34*4)*100))</f>
        <v>10.628332612768411</v>
      </c>
      <c r="DI49" s="497"/>
      <c r="DJ49" s="496">
        <f>IF(ISERROR((DJ13/(IS!DJ34*4)*100)),0,(DJ13/(IS!DJ34*4)*100))</f>
        <v>9.1582491582491592</v>
      </c>
      <c r="DK49" s="496">
        <f>IF(ISERROR((DK13/(IS!DK34*4)*100)),0,(DK13/(IS!DK34*4)*100))</f>
        <v>7.7246585190510419</v>
      </c>
      <c r="DL49" s="496">
        <f>IF(ISERROR((DL13/(IS!DL34*4)*100)),0,(DL13/(IS!DL34*4)*100))</f>
        <v>8.9343301084725901</v>
      </c>
      <c r="DM49" s="496">
        <f>IF(ISERROR((DM13/(IS!DM34*4)*100)),0,(DM13/(IS!DM34*4)*100))</f>
        <v>11.084401709401709</v>
      </c>
      <c r="DN49" s="497"/>
      <c r="DO49" s="496">
        <f>IF(ISERROR((DO13/(IS!DO34*4)*100)),0,(DO13/(IS!DO34*4)*100))</f>
        <v>12.73075719649562</v>
      </c>
      <c r="DP49" s="496">
        <f>IF(ISERROR((DP13/(IS!DP34*4)*100)),0,(DP13/(IS!DP34*4)*100))</f>
        <v>12.456914380256446</v>
      </c>
      <c r="DQ49" s="496">
        <f>IF(ISERROR((DQ13/(IS!DQ34*4)*100)),0,(DQ13/(IS!DQ34*4)*100))</f>
        <v>9.2077390199124416</v>
      </c>
      <c r="DR49" s="496">
        <f>IF(ISERROR((DR13/(IS!DR34*4)*100)),0,(DR13/(IS!DR34*4)*100))</f>
        <v>10.291572360537877</v>
      </c>
      <c r="DS49" s="497"/>
      <c r="DT49" s="496">
        <f>IF(ISERROR((DT13/(IS!DT34*4)*100)),0,(DT13/(IS!DT34*4)*100))</f>
        <v>14.773423147581138</v>
      </c>
      <c r="DU49" s="496">
        <f>IF(ISERROR((DU13/(IS!DU34*4)*100)),0,(DU13/(IS!DU34*4)*100))</f>
        <v>10.324659076692106</v>
      </c>
      <c r="DV49" s="496">
        <f>IF(ISERROR((DV13/(IS!DV34*4)*100)),0,(DV13/(IS!DV34*4)*100))</f>
        <v>11.013320647002853</v>
      </c>
      <c r="DW49" s="496">
        <f>IF(ISERROR((DW13/(IS!DW34*4)*100)),0,(DW13/(IS!DW34*4)*100))</f>
        <v>10.302882860965818</v>
      </c>
      <c r="DX49" s="497"/>
      <c r="DY49" s="496">
        <f>IF(ISERROR((DY13/(IS!DY34*4)*100)),0,(DY13/(IS!DY34*4)*100))</f>
        <v>13.769241632537776</v>
      </c>
      <c r="DZ49" s="496">
        <f>IF(ISERROR((DZ13/(IS!DZ34*4)*100)),0,(DZ13/(IS!DZ34*4)*100))</f>
        <v>12.152189692717155</v>
      </c>
      <c r="EA49" s="496">
        <f>IF(ISERROR((EA13/(IS!EA34*4)*100)),0,(EA13/(IS!EA34*4)*100))</f>
        <v>12.4866452991453</v>
      </c>
      <c r="EB49" s="496">
        <f>IF(ISERROR((EB13/(IS!EB34*4)*100)),0,(EB13/(IS!EB34*4)*100))</f>
        <v>11.963390716931793</v>
      </c>
      <c r="EC49" s="497"/>
      <c r="ED49" s="496">
        <f>IF(ISERROR((ED13/(IS!ED34*4)*100)),0,(ED13/(IS!ED34*4)*100))</f>
        <v>17.100956696878146</v>
      </c>
      <c r="EE49" s="496">
        <f>IF(ISERROR((EE13/(IS!EE34*4)*100)),0,(EE13/(IS!EE34*4)*100))</f>
        <v>18.559831629585087</v>
      </c>
      <c r="EF49" s="496">
        <f>IF(ISERROR((EF13/(IS!EF34*4)*100)),0,(EF13/(IS!EF34*4)*100))</f>
        <v>20.477903391572454</v>
      </c>
      <c r="EG49" s="496">
        <f>IF(ISERROR((EG13/(IS!EG34*4)*100)),0,(EG13/(IS!EG34*4)*100))</f>
        <v>16.395460550018015</v>
      </c>
      <c r="EH49" s="496"/>
      <c r="EI49" s="496">
        <f>IF(ISERROR((EI13/(IS!EI34*4)*100)),0,(EI13/(IS!EI34*4)*100))</f>
        <v>18.9319074049005</v>
      </c>
      <c r="EJ49" s="496">
        <f>IF(ISERROR((EJ13/(IS!EJ34*4)*100)),0,(EJ13/(IS!EJ34*4)*100))</f>
        <v>20.099467815509374</v>
      </c>
      <c r="EK49" s="496">
        <f>IF(ISERROR((EK13/(IS!EK34*4)*100)),0,(EK13/(IS!EK34*4)*100))</f>
        <v>21.940675711625431</v>
      </c>
      <c r="EL49" s="496">
        <f>IF(ISERROR((EL13/(IS!EL34*4)*100)),0,(EL13/(IS!EL34*4)*100))</f>
        <v>18.062343545118608</v>
      </c>
      <c r="EM49" s="496"/>
      <c r="EN49" s="496">
        <f>IF(ISERROR((EN13/(IS!EN34*4)*100)),0,(EN13/(IS!EN34*4)*100))</f>
        <v>23.385126882887771</v>
      </c>
      <c r="EO49" s="496">
        <f>IF(ISERROR((EO13/(IS!EO34*4)*100)),0,(EO13/(IS!EO34*4)*100))</f>
        <v>18.827930174563591</v>
      </c>
      <c r="EP49" s="496">
        <f>IF(ISERROR((EP13/(IS!EP34*4)*100)),0,(EP13/(IS!EP34*4)*100))</f>
        <v>16.656780163720487</v>
      </c>
      <c r="EQ49" s="496">
        <f>IF(ISERROR((EQ13/(IS!EQ34*4)*100)),0,(EQ13/(IS!EQ34*4)*100))</f>
        <v>13.925881453989739</v>
      </c>
      <c r="ER49" s="496"/>
      <c r="ES49" s="496">
        <f>IF(ISERROR((ES13/(IS!ES34*4)*100)),0,(ES13/(IS!ES34*4)*100))</f>
        <v>13.996725912067355</v>
      </c>
      <c r="ET49" s="496">
        <f>IF(ISERROR((ET13/(IS!ET34*4)*100)),0,(ET13/(IS!ET34*4)*100))</f>
        <v>12.049046321525886</v>
      </c>
      <c r="EU49" s="496">
        <f>IF(ISERROR((EU13/(IS!EU34*4)*100)),0,(EU13/(IS!EU34*4)*100))</f>
        <v>13.763771872974726</v>
      </c>
      <c r="EV49" s="496">
        <f t="shared" si="58"/>
        <v>13.925881453989739</v>
      </c>
      <c r="EW49" s="496"/>
      <c r="EX49" s="496">
        <f t="shared" si="59"/>
        <v>13.996725912067355</v>
      </c>
      <c r="EY49" s="496">
        <f t="shared" si="60"/>
        <v>12.049046321525886</v>
      </c>
      <c r="EZ49" s="496">
        <f t="shared" si="61"/>
        <v>13.763771872974726</v>
      </c>
      <c r="FA49" s="496">
        <f t="shared" si="62"/>
        <v>13.925881453989739</v>
      </c>
      <c r="FB49" s="496"/>
      <c r="FC49" s="496">
        <f t="shared" si="63"/>
        <v>13.996725912067355</v>
      </c>
      <c r="FD49" s="496">
        <f t="shared" si="64"/>
        <v>12.049046321525886</v>
      </c>
      <c r="FE49" s="496">
        <f t="shared" si="65"/>
        <v>13.763771872974726</v>
      </c>
      <c r="FF49" s="496">
        <f t="shared" si="66"/>
        <v>13.925881453989739</v>
      </c>
      <c r="FG49" s="496"/>
      <c r="FH49" s="496">
        <f t="shared" si="67"/>
        <v>13.996725912067355</v>
      </c>
      <c r="FI49" s="496">
        <f t="shared" si="68"/>
        <v>12.049046321525886</v>
      </c>
      <c r="FJ49" s="496">
        <f t="shared" si="69"/>
        <v>13.763771872974726</v>
      </c>
      <c r="FK49" s="496">
        <f t="shared" si="70"/>
        <v>13.925881453989739</v>
      </c>
      <c r="FL49" s="496"/>
      <c r="FM49" s="263"/>
      <c r="FO49"/>
      <c r="FP49"/>
      <c r="FQ49"/>
      <c r="FR49"/>
      <c r="FS49"/>
      <c r="FT49"/>
      <c r="FU49" s="261"/>
      <c r="FV49" s="261"/>
      <c r="FW49" s="261"/>
      <c r="FX49" s="261"/>
    </row>
    <row r="50" spans="1:180" s="264" customFormat="1" ht="11.25" hidden="1" customHeight="1" outlineLevel="1">
      <c r="A50" s="264" t="s">
        <v>261</v>
      </c>
      <c r="D50" s="325">
        <f>IF(ISERROR((D20/(IS!D34*4)*100)),0,(D20/(IS!D34*4)*100))</f>
        <v>0</v>
      </c>
      <c r="E50" s="325">
        <f>IF(ISERROR((E20/(IS!E34*4)*100)),0,(E20/(IS!E34*4)*100))</f>
        <v>0</v>
      </c>
      <c r="F50" s="325">
        <f>IF(ISERROR((F20/(IS!F34*4)*100)),0,(F20/(IS!F34*4)*100))</f>
        <v>0</v>
      </c>
      <c r="G50" s="325">
        <f>IF(ISERROR((G20/(IS!G34*4)*100)),0,(G20/(IS!G34*4)*100))</f>
        <v>0</v>
      </c>
      <c r="H50" s="325"/>
      <c r="I50" s="325">
        <f>IF(ISERROR((I20/(IS!I34*4)*100)),0,(I20/(IS!I34*4)*100))</f>
        <v>0</v>
      </c>
      <c r="J50" s="325">
        <f>IF(ISERROR((J20/(IS!J34*4)*100)),0,(J20/(IS!J34*4)*100))</f>
        <v>0</v>
      </c>
      <c r="K50" s="325">
        <f>IF(ISERROR((K20/(IS!K34*4)*100)),0,(K20/(IS!K34*4)*100))</f>
        <v>0</v>
      </c>
      <c r="L50" s="325">
        <f>IF(ISERROR((L20/(IS!L34*4)*100)),0,(L20/(IS!L34*4)*100))</f>
        <v>0</v>
      </c>
      <c r="M50" s="325"/>
      <c r="N50" s="325">
        <f>IF(ISERROR((N20/(IS!N34*4)*100)),0,(N20/(IS!N34*4)*100))</f>
        <v>0</v>
      </c>
      <c r="O50" s="325">
        <f>IF(ISERROR((O20/(IS!O34*4)*100)),0,(O20/(IS!O34*4)*100))</f>
        <v>0</v>
      </c>
      <c r="P50" s="325">
        <f>IF(ISERROR((P20/(IS!P34*4)*100)),0,(P20/(IS!P34*4)*100))</f>
        <v>0</v>
      </c>
      <c r="Q50" s="325">
        <f>IF(ISERROR((Q20/(IS!Q34*4)*100)),0,(Q20/(IS!Q34*4)*100))</f>
        <v>9.6708144796380076</v>
      </c>
      <c r="R50" s="325"/>
      <c r="S50" s="325">
        <f>IF(ISERROR((S20/(IS!S34*4)*100)),0,(S20/(IS!S34*4)*100))</f>
        <v>7.9705882352941169</v>
      </c>
      <c r="T50" s="325">
        <f>IF(ISERROR((T20/(IS!T34*4)*100)),0,(T20/(IS!T34*4)*100))</f>
        <v>6.7607973421926912</v>
      </c>
      <c r="U50" s="325">
        <f>IF(ISERROR((U20/(IS!U34*4)*100)),0,(U20/(IS!U34*4)*100))</f>
        <v>6.6047297297297298</v>
      </c>
      <c r="V50" s="325">
        <f>IF(ISERROR((V20/(IS!V34*4)*100)),0,(V20/(IS!V34*4)*100))</f>
        <v>7.4445802185163892</v>
      </c>
      <c r="W50" s="325"/>
      <c r="X50" s="325">
        <f>IF(ISERROR((X20/(IS!X34*4)*100)),0,(X20/(IS!X34*4)*100))</f>
        <v>6.9482288828337877</v>
      </c>
      <c r="Y50" s="325">
        <f>IF(ISERROR((Y20/(IS!Y34*4)*100)),0,(Y20/(IS!Y34*4)*100))</f>
        <v>5.1401869158878499</v>
      </c>
      <c r="Z50" s="325">
        <f>IF(ISERROR((Z20/(IS!Z34*4)*100)),0,(Z20/(IS!Z34*4)*100))</f>
        <v>5.244755244755245</v>
      </c>
      <c r="AA50" s="325">
        <f>IF(ISERROR((AA20/(IS!AA34*4)*100)),0,(AA20/(IS!AA34*4)*100))</f>
        <v>4.8780487804878048</v>
      </c>
      <c r="AB50" s="325"/>
      <c r="AC50" s="325">
        <f>IF(ISERROR((AC20/(IS!AC34*4)*100)),0,(AC20/(IS!AC34*4)*100))</f>
        <v>4.9411764705882346</v>
      </c>
      <c r="AD50" s="325">
        <f>IF(ISERROR((AD20/(IS!AD34*4)*100)),0,(AD20/(IS!AD34*4)*100))</f>
        <v>4.8301486199575372</v>
      </c>
      <c r="AE50" s="325">
        <f>IF(ISERROR((AE20/(IS!AE34*4)*100)),0,(AE20/(IS!AE34*4)*100))</f>
        <v>4.8289738430583498</v>
      </c>
      <c r="AF50" s="325">
        <f>IF(ISERROR((AF20/(IS!AF34*4)*100)),0,(AF20/(IS!AF34*4)*100))</f>
        <v>5.83976833976834</v>
      </c>
      <c r="AG50" s="325"/>
      <c r="AH50" s="325">
        <f>IF(ISERROR((AH20/(IS!AH34*4)*100)),0,(AH20/(IS!AH34*4)*100))</f>
        <v>6.6939890710382519</v>
      </c>
      <c r="AI50" s="325">
        <f>IF(ISERROR((AI20/(IS!AI34*4)*100)),0,(AI20/(IS!AI34*4)*100))</f>
        <v>10.827067669172932</v>
      </c>
      <c r="AJ50" s="325">
        <f>IF(ISERROR((AJ20/(IS!AJ34*4)*100)),0,(AJ20/(IS!AJ34*4)*100))</f>
        <v>9.6127247579529751</v>
      </c>
      <c r="AK50" s="325">
        <f>IF(ISERROR((AK20/(IS!AK34*4)*100)),0,(AK20/(IS!AK34*4)*100))</f>
        <v>13.196286472148541</v>
      </c>
      <c r="AL50" s="325"/>
      <c r="AM50" s="325">
        <f>IF(ISERROR((AM20/(IS!AM34*4)*100)),0,(AM20/(IS!AM34*4)*100))</f>
        <v>13.976608187134504</v>
      </c>
      <c r="AN50" s="325">
        <f>IF(ISERROR((AN20/(IS!AN34*4)*100)),0,(AN20/(IS!AN34*4)*100))</f>
        <v>18.877005347593585</v>
      </c>
      <c r="AO50" s="325">
        <f>IF(ISERROR((AO20/(IS!AO34*4)*100)),0,(AO20/(IS!AO34*4)*100))</f>
        <v>15.386546184738956</v>
      </c>
      <c r="AP50" s="325">
        <f>IF(ISERROR((AP20/(IS!AP34*4)*100)),0,(AP20/(IS!AP34*4)*100))</f>
        <v>6.0758885686839577</v>
      </c>
      <c r="AQ50" s="325"/>
      <c r="AR50" s="325">
        <f>IF(ISERROR((AR20/(IS!AR34*4)*100)),0,(AR20/(IS!AR34*4)*100))</f>
        <v>7.5416258570029386</v>
      </c>
      <c r="AS50" s="325">
        <f>IF(ISERROR((AS20/(IS!AS34*4)*100)),0,(AS20/(IS!AS34*4)*100))</f>
        <v>4.6621043627031646</v>
      </c>
      <c r="AT50" s="325">
        <f>IF(ISERROR((AT20/(IS!AT34*4)*100)),0,(AT20/(IS!AT34*4)*100))</f>
        <v>4.0980230642504116</v>
      </c>
      <c r="AU50" s="325">
        <f>IF(ISERROR((AU20/(IS!AU34*4)*100)),0,(AU20/(IS!AU34*4)*100))</f>
        <v>4.1193181818181817</v>
      </c>
      <c r="AV50" s="325"/>
      <c r="AW50" s="325">
        <f>IF(ISERROR((AW20/(IS!AW34*4)*100)),0,(AW20/(IS!AW34*4)*100))</f>
        <v>5.6627822286962859</v>
      </c>
      <c r="AX50" s="325">
        <f>IF(ISERROR((AX20/(IS!AX34*4)*100)),0,(AX20/(IS!AX34*4)*100))</f>
        <v>4.1172595520421611</v>
      </c>
      <c r="AY50" s="325">
        <f>IF(ISERROR((AY20/(IS!AY34*4)*100)),0,(AY20/(IS!AY34*4)*100))</f>
        <v>4.7988708539167257</v>
      </c>
      <c r="AZ50" s="325">
        <f>IF(ISERROR((AZ20/(IS!AZ34*4)*100)),0,(AZ20/(IS!AZ34*4)*100))</f>
        <v>4.1773778920308491</v>
      </c>
      <c r="BA50" s="325"/>
      <c r="BB50" s="325">
        <f>IF(ISERROR((BB20/(IS!BB34*4)*100)),0,(BB20/(IS!BB34*4)*100))</f>
        <v>4.0681502086230878</v>
      </c>
      <c r="BC50" s="325">
        <f>IF(ISERROR((BC20/(IS!BC34*4)*100)),0,(BC20/(IS!BC34*4)*100))</f>
        <v>7.2828709288299152</v>
      </c>
      <c r="BD50" s="325">
        <f>IF(ISERROR((BD20/(IS!BD34*4)*100)),0,(BD20/(IS!BD34*4)*100))</f>
        <v>8.8111044055522036</v>
      </c>
      <c r="BE50" s="325">
        <f>IF(ISERROR((BE20/(IS!BE34*4)*100)),0,(BE20/(IS!BE34*4)*100))</f>
        <v>10.996724379971923</v>
      </c>
      <c r="BF50" s="325"/>
      <c r="BG50" s="325">
        <f>IF(ISERROR((BG20/(IS!BG34*4)*100)),0,(BG20/(IS!BG34*4)*100))</f>
        <v>15.592572364827964</v>
      </c>
      <c r="BH50" s="325">
        <f>IF(ISERROR((BH20/(IS!BH34*4)*100)),0,(BH20/(IS!BH34*4)*100))</f>
        <v>18.416626621816434</v>
      </c>
      <c r="BI50" s="325">
        <f>IF(ISERROR((BI20/(IS!BI34*4)*100)),0,(BI20/(IS!BI34*4)*100))</f>
        <v>29.855518711511131</v>
      </c>
      <c r="BJ50" s="325">
        <f>IF(ISERROR((BJ20/(IS!BJ34*4)*100)),0,(BJ20/(IS!BJ34*4)*100))</f>
        <v>22.946909995852344</v>
      </c>
      <c r="BK50" s="325"/>
      <c r="BL50" s="325">
        <f>IF(ISERROR((BL20/(IS!BL34*4)*100)),0,(BL20/(IS!BL34*4)*100))</f>
        <v>0</v>
      </c>
      <c r="BM50" s="325">
        <f>IF(ISERROR((BM20/(IS!BM34*4)*100)),0,(BM20/(IS!BM34*4)*100))</f>
        <v>0</v>
      </c>
      <c r="BN50" s="325">
        <f>IF(ISERROR((BN20/(IS!BN34*4)*100)),0,(BN20/(IS!BN34*4)*100))</f>
        <v>0</v>
      </c>
      <c r="BO50" s="325">
        <f>IF(ISERROR((BO20/(IS!BO34*4)*100)),0,(BO20/(IS!BO34*4)*100))</f>
        <v>9.0449634018821889</v>
      </c>
      <c r="BP50" s="325"/>
      <c r="BQ50" s="325">
        <f>IF(ISERROR((BQ20/(IS!BQ34*4)*100)),0,(BQ20/(IS!BQ34*4)*100))</f>
        <v>8.8912579957356073</v>
      </c>
      <c r="BR50" s="325">
        <f>IF(ISERROR((BR20/(IS!BR34*4)*100)),0,(BR20/(IS!BR34*4)*100))</f>
        <v>8.8186201780415434</v>
      </c>
      <c r="BS50" s="325">
        <f>IF(ISERROR((BS20/(IS!BS34*4)*100)),0,(BS20/(IS!BS34*4)*100))</f>
        <v>9.4631661442006276</v>
      </c>
      <c r="BT50" s="325">
        <f>IF(ISERROR((BT20/(IS!BT34*4)*100)),0,(BT20/(IS!BT34*4)*100))</f>
        <v>7.821321819993357</v>
      </c>
      <c r="BU50" s="325"/>
      <c r="BV50" s="325">
        <f>IF(ISERROR((BV20/(IS!BV34*4)*100)),0,(BV20/(IS!BV34*4)*100))</f>
        <v>6.8612922347362186</v>
      </c>
      <c r="BW50" s="325">
        <f>IF(ISERROR((BW20/(IS!BW34*4)*100)),0,(BW20/(IS!BW34*4)*100))</f>
        <v>5.6488260540267605</v>
      </c>
      <c r="BX50" s="325">
        <f>IF(ISERROR((BX20/(IS!BX34*4)*100)),0,(BX20/(IS!BX34*4)*100))</f>
        <v>7.8137280586848306</v>
      </c>
      <c r="BY50" s="325">
        <f>IF(ISERROR((BY20/(IS!BY34*4)*100)),0,(BY20/(IS!BY34*4)*100))</f>
        <v>6.6158192090395476</v>
      </c>
      <c r="BZ50" s="325"/>
      <c r="CA50" s="325">
        <f>IF(ISERROR((CA20/(IS!CA34*4)*100)),0,(CA20/(IS!CA34*4)*100))</f>
        <v>8.3844438249233342</v>
      </c>
      <c r="CB50" s="325">
        <f>IF(ISERROR((CB20/(IS!CB34*4)*100)),0,(CB20/(IS!CB34*4)*100))</f>
        <v>10.036832412523019</v>
      </c>
      <c r="CC50" s="325">
        <f>IF(ISERROR((CC20/(IS!CC34*4)*100)),0,(CC20/(IS!CC34*4)*100))</f>
        <v>11.310275183034587</v>
      </c>
      <c r="CD50" s="325">
        <f>IF(ISERROR((CD20/(IS!CD34*4)*100)),0,(CD20/(IS!CD34*4)*100))</f>
        <v>9.4805472424112871</v>
      </c>
      <c r="CE50" s="325"/>
      <c r="CF50" s="325">
        <f>IF(ISERROR((CF20/(IS!CF34*4)*100)),0,(CF20/(IS!CF34*4)*100))</f>
        <v>11.161427810335642</v>
      </c>
      <c r="CG50" s="325">
        <f>IF(ISERROR((CG20/(IS!CG34*4)*100)),0,(CG20/(IS!CG34*4)*100))</f>
        <v>7.957559681697612</v>
      </c>
      <c r="CH50" s="325">
        <f>IF(ISERROR((CH20/(IS!CH34*4)*100)),0,(CH20/(IS!CH34*4)*100))</f>
        <v>7.7884615384615383</v>
      </c>
      <c r="CI50" s="325">
        <f>IF(ISERROR((CI20/(IS!CI34*4)*100)),0,(CI20/(IS!CI34*4)*100))</f>
        <v>6.4872153415900913</v>
      </c>
      <c r="CJ50" s="325"/>
      <c r="CK50" s="325">
        <f>IF(ISERROR((CK20/(IS!CK34*4)*100)),0,(CK20/(IS!CK34*4)*100))</f>
        <v>7.9147267826513117</v>
      </c>
      <c r="CL50" s="325">
        <f>IF(ISERROR((CL20/(IS!CL34*4)*100)),0,(CL20/(IS!CL34*4)*100))</f>
        <v>6.4966605950212504</v>
      </c>
      <c r="CM50" s="325">
        <f>IF(ISERROR((CM20/(IS!CM34*4)*100)),0,(CM20/(IS!CM34*4)*100))</f>
        <v>7.0252888598212344</v>
      </c>
      <c r="CN50" s="325">
        <f>IF(ISERROR((CN20/(IS!CN34*4)*100)),0,(CN20/(IS!CN34*4)*100))</f>
        <v>5.9490995957368611</v>
      </c>
      <c r="CO50" s="325"/>
      <c r="CP50" s="325">
        <f>IF(ISERROR((CP20/(IS!CP34*4)*100)),0,(CP20/(IS!CP34*4)*100))</f>
        <v>6.9327731092436977</v>
      </c>
      <c r="CQ50" s="325">
        <f>IF(ISERROR((CQ20/(IS!CQ34*4)*100)),0,(CQ20/(IS!CQ34*4)*100))</f>
        <v>5.8899082568807337</v>
      </c>
      <c r="CR50" s="325">
        <f>IF(ISERROR((CR20/(IS!CR34*4)*100)),0,(CR20/(IS!CR34*4)*100))</f>
        <v>5.5666364460562106</v>
      </c>
      <c r="CS50" s="325">
        <f>IF(ISERROR((CS20/(IS!CS34*4)*100)),0,(CS20/(IS!CS34*4)*100))</f>
        <v>6.1391375101708707</v>
      </c>
      <c r="CT50" s="325"/>
      <c r="CU50" s="325">
        <f>IF(ISERROR((CU20/(IS!CU34*4)*100)),0,(CU20/(IS!CU34*4)*100))</f>
        <v>9.6124474990454374</v>
      </c>
      <c r="CV50" s="325">
        <f>IF(ISERROR((CV20/(IS!CV34*4)*100)),0,(CV20/(IS!CV34*4)*100))</f>
        <v>7.7250512375847391</v>
      </c>
      <c r="CW50" s="325">
        <f>IF(ISERROR((CW20/(IS!CW34*4)*100)),0,(CW20/(IS!CW34*4)*100))</f>
        <v>7.0780176643768398</v>
      </c>
      <c r="CX50" s="325">
        <f>IF(ISERROR((CX20/(IS!CX34*4)*100)),0,(CX20/(IS!CX34*4)*100))</f>
        <v>5.8014271991217239</v>
      </c>
      <c r="CY50" s="325"/>
      <c r="CZ50" s="325">
        <f>IF(ISERROR((CZ20/(IS!CZ34*4)*100)),0,(CZ20/(IS!CZ34*4)*100))</f>
        <v>7.0445767621499842</v>
      </c>
      <c r="DA50" s="325">
        <f>IF(ISERROR((DA20/(IS!DA34*4)*100)),0,(DA20/(IS!DA34*4)*100))</f>
        <v>6.3541205956066635</v>
      </c>
      <c r="DB50" s="325">
        <f>IF(ISERROR((DB20/(IS!DB34*4)*100)),0,(DB20/(IS!DB34*4)*100))</f>
        <v>6.7106125122830003</v>
      </c>
      <c r="DC50" s="325">
        <f>IF(ISERROR((DC20/(IS!DC34*4)*100)),0,(DC20/(IS!DC34*4)*100))</f>
        <v>6.2480462644576429</v>
      </c>
      <c r="DD50" s="326"/>
      <c r="DE50" s="325">
        <f>IF(ISERROR((DE20/(IS!DE34*4)*100)),0,(DE20/(IS!DE34*4)*100))</f>
        <v>7.2730521801286629</v>
      </c>
      <c r="DF50" s="325">
        <f>IF(ISERROR((DF20/(IS!DF34*4)*100)),0,(DF20/(IS!DF34*4)*100))</f>
        <v>5.5115535532626065</v>
      </c>
      <c r="DG50" s="325">
        <f>IF(ISERROR((DG20/(IS!DG34*4)*100)),0,(DG20/(IS!DG34*4)*100))</f>
        <v>5.6197718631178706</v>
      </c>
      <c r="DH50" s="325">
        <f>IF(ISERROR((DH20/(IS!DH34*4)*100)),0,(DH20/(IS!DH34*4)*100))</f>
        <v>5.4078397463611472</v>
      </c>
      <c r="DI50" s="326"/>
      <c r="DJ50" s="325">
        <f>IF(ISERROR((DJ20/(IS!DJ34*4)*100)),0,(DJ20/(IS!DJ34*4)*100))</f>
        <v>6.0143097643097647</v>
      </c>
      <c r="DK50" s="325">
        <f>IF(ISERROR((DK20/(IS!DK34*4)*100)),0,(DK20/(IS!DK34*4)*100))</f>
        <v>4.6980589503953993</v>
      </c>
      <c r="DL50" s="325">
        <f>IF(ISERROR((DL20/(IS!DL34*4)*100)),0,(DL20/(IS!DL34*4)*100))</f>
        <v>4.9582233948988561</v>
      </c>
      <c r="DM50" s="325">
        <f>IF(ISERROR((DM20/(IS!DM34*4)*100)),0,(DM20/(IS!DM34*4)*100))</f>
        <v>4.7876602564102564</v>
      </c>
      <c r="DN50" s="326"/>
      <c r="DO50" s="325">
        <f>IF(ISERROR((DO20/(IS!DO34*4)*100)),0,(DO20/(IS!DO34*4)*100))</f>
        <v>7.7127659574468082</v>
      </c>
      <c r="DP50" s="325">
        <f>IF(ISERROR((DP20/(IS!DP34*4)*100)),0,(DP20/(IS!DP34*4)*100))</f>
        <v>6.61450434303047</v>
      </c>
      <c r="DQ50" s="325">
        <f>IF(ISERROR((DQ20/(IS!DQ34*4)*100)),0,(DQ20/(IS!DQ34*4)*100))</f>
        <v>4.9533964129360255</v>
      </c>
      <c r="DR50" s="325">
        <f>IF(ISERROR((DR20/(IS!DR34*4)*100)),0,(DR20/(IS!DR34*4)*100))</f>
        <v>5.0592464385567828</v>
      </c>
      <c r="DS50" s="326"/>
      <c r="DT50" s="325">
        <f>IF(ISERROR((DT20/(IS!DT34*4)*100)),0,(DT20/(IS!DT34*4)*100))</f>
        <v>6.0050520514390691</v>
      </c>
      <c r="DU50" s="325">
        <f>IF(ISERROR((DU20/(IS!DU34*4)*100)),0,(DU20/(IS!DU34*4)*100))</f>
        <v>5.1169773551857878</v>
      </c>
      <c r="DV50" s="325">
        <f>IF(ISERROR((DV20/(IS!DV34*4)*100)),0,(DV20/(IS!DV34*4)*100))</f>
        <v>7.6865570205246705</v>
      </c>
      <c r="DW50" s="325">
        <f>IF(ISERROR((DW20/(IS!DW34*4)*100)),0,(DW20/(IS!DW34*4)*100))</f>
        <v>7.2740542513076267</v>
      </c>
      <c r="DX50" s="326"/>
      <c r="DY50" s="325">
        <f>IF(ISERROR((DY20/(IS!DY34*4)*100)),0,(DY20/(IS!DY34*4)*100))</f>
        <v>8.7558254483829963</v>
      </c>
      <c r="DZ50" s="325">
        <f>IF(ISERROR((DZ20/(IS!DZ34*4)*100)),0,(DZ20/(IS!DZ34*4)*100))</f>
        <v>8.6922332446165012</v>
      </c>
      <c r="EA50" s="325">
        <f>IF(ISERROR((EA20/(IS!EA34*4)*100)),0,(EA20/(IS!EA34*4)*100))</f>
        <v>9.6754807692307701</v>
      </c>
      <c r="EB50" s="325">
        <f>IF(ISERROR((EB20/(IS!EB34*4)*100)),0,(EB20/(IS!EB34*4)*100))</f>
        <v>9.3212028764436692</v>
      </c>
      <c r="EC50" s="326"/>
      <c r="ED50" s="325">
        <f>IF(ISERROR((ED20/(IS!ED34*4)*100)),0,(ED20/(IS!ED34*4)*100))</f>
        <v>10.293932527693856</v>
      </c>
      <c r="EE50" s="325">
        <f>IF(ISERROR((EE20/(IS!EE34*4)*100)),0,(EE20/(IS!EE34*4)*100))</f>
        <v>9.2002405291641605</v>
      </c>
      <c r="EF50" s="325">
        <f>IF(ISERROR((EF20/(IS!EF34*4)*100)),0,(EF20/(IS!EF34*4)*100))</f>
        <v>10.277492291880781</v>
      </c>
      <c r="EG50" s="325">
        <f>IF(ISERROR((EG20/(IS!EG34*4)*100)),0,(EG20/(IS!EG34*4)*100))</f>
        <v>8.8657379608502467</v>
      </c>
      <c r="EH50" s="325"/>
      <c r="EI50" s="325">
        <f>IF(ISERROR((EI20/(IS!EI34*4)*100)),0,(EI20/(IS!EI34*4)*100))</f>
        <v>9.7096250169216187</v>
      </c>
      <c r="EJ50" s="325">
        <f>IF(ISERROR((EJ20/(IS!EJ34*4)*100)),0,(EJ20/(IS!EJ34*4)*100))</f>
        <v>9.2752154080081102</v>
      </c>
      <c r="EK50" s="325">
        <f>IF(ISERROR((EK20/(IS!EK34*4)*100)),0,(EK20/(IS!EK34*4)*100))</f>
        <v>9.6268954509177966</v>
      </c>
      <c r="EL50" s="325">
        <f>IF(ISERROR((EL20/(IS!EL34*4)*100)),0,(EL20/(IS!EL34*4)*100))</f>
        <v>30.745619263321018</v>
      </c>
      <c r="EM50" s="325"/>
      <c r="EN50" s="325">
        <f>IF(ISERROR((EN20/(IS!EN34*4)*100)),0,(EN20/(IS!EN34*4)*100))</f>
        <v>35.428823449586105</v>
      </c>
      <c r="EO50" s="325">
        <f>IF(ISERROR((EO20/(IS!EO34*4)*100)),0,(EO20/(IS!EO34*4)*100))</f>
        <v>37.291147132169577</v>
      </c>
      <c r="EP50" s="325">
        <f>IF(ISERROR((EP20/(IS!EP34*4)*100)),0,(EP20/(IS!EP34*4)*100))</f>
        <v>37.018032981373828</v>
      </c>
      <c r="EQ50" s="325">
        <f>IF(ISERROR((EQ20/(IS!EQ34*4)*100)),0,(EQ20/(IS!EQ34*4)*100))</f>
        <v>34.469490230324205</v>
      </c>
      <c r="ER50" s="325"/>
      <c r="ES50" s="325">
        <f>IF(ISERROR((ES20/(IS!ES34*4)*100)),0,(ES20/(IS!ES34*4)*100))</f>
        <v>37.789405986903645</v>
      </c>
      <c r="ET50" s="325">
        <f>IF(ISERROR((ET20/(IS!ET34*4)*100)),0,(ET20/(IS!ET34*4)*100))</f>
        <v>37.373297002724797</v>
      </c>
      <c r="EU50" s="325">
        <f>IF(ISERROR((EU20/(IS!EU34*4)*100)),0,(EU20/(IS!EU34*4)*100))</f>
        <v>37.710628645495788</v>
      </c>
      <c r="EV50" s="325">
        <f t="shared" si="58"/>
        <v>34.469490230324205</v>
      </c>
      <c r="EW50" s="325"/>
      <c r="EX50" s="325">
        <f t="shared" si="59"/>
        <v>37.789405986903645</v>
      </c>
      <c r="EY50" s="325">
        <f t="shared" si="60"/>
        <v>37.373297002724797</v>
      </c>
      <c r="EZ50" s="325">
        <f t="shared" si="61"/>
        <v>37.710628645495788</v>
      </c>
      <c r="FA50" s="325">
        <f t="shared" si="62"/>
        <v>34.469490230324205</v>
      </c>
      <c r="FB50" s="325"/>
      <c r="FC50" s="325">
        <f t="shared" si="63"/>
        <v>37.789405986903645</v>
      </c>
      <c r="FD50" s="325">
        <f t="shared" si="64"/>
        <v>37.373297002724797</v>
      </c>
      <c r="FE50" s="325">
        <f t="shared" si="65"/>
        <v>37.710628645495788</v>
      </c>
      <c r="FF50" s="325">
        <f t="shared" si="66"/>
        <v>34.469490230324205</v>
      </c>
      <c r="FG50" s="325"/>
      <c r="FH50" s="325">
        <f t="shared" si="67"/>
        <v>37.789405986903645</v>
      </c>
      <c r="FI50" s="325">
        <f t="shared" si="68"/>
        <v>37.373297002724797</v>
      </c>
      <c r="FJ50" s="325">
        <f t="shared" si="69"/>
        <v>37.710628645495788</v>
      </c>
      <c r="FK50" s="325">
        <f t="shared" si="70"/>
        <v>34.469490230324205</v>
      </c>
      <c r="FL50" s="325"/>
      <c r="FM50" s="263"/>
      <c r="FO50"/>
      <c r="FP50"/>
      <c r="FQ50"/>
      <c r="FR50"/>
      <c r="FS50"/>
      <c r="FT50"/>
      <c r="FU50" s="261"/>
      <c r="FV50" s="261"/>
      <c r="FW50" s="261"/>
      <c r="FX50" s="261"/>
    </row>
    <row r="51" spans="1:180" s="264" customFormat="1" ht="11.25" hidden="1" customHeight="1" outlineLevel="1">
      <c r="A51" s="264" t="s">
        <v>262</v>
      </c>
      <c r="D51" s="325">
        <f>IF(ISERROR((D25/(IS!D34*4)*100)),0,(D25/(IS!D34*4)*100))</f>
        <v>0</v>
      </c>
      <c r="E51" s="325">
        <f>IF(ISERROR((E25/(IS!E34*4)*100)),0,(E25/(IS!E34*4)*100))</f>
        <v>0</v>
      </c>
      <c r="F51" s="325">
        <f>IF(ISERROR((F25/(IS!F34*4)*100)),0,(F25/(IS!F34*4)*100))</f>
        <v>0</v>
      </c>
      <c r="G51" s="325">
        <f>IF(ISERROR((G25/(IS!G34*4)*100)),0,(G25/(IS!G34*4)*100))</f>
        <v>0</v>
      </c>
      <c r="H51" s="325"/>
      <c r="I51" s="325">
        <f>IF(ISERROR((I25/(IS!I34*4)*100)),0,(I25/(IS!I34*4)*100))</f>
        <v>0</v>
      </c>
      <c r="J51" s="325">
        <f>IF(ISERROR((J25/(IS!J34*4)*100)),0,(J25/(IS!J34*4)*100))</f>
        <v>0</v>
      </c>
      <c r="K51" s="325">
        <f>IF(ISERROR((K25/(IS!K34*4)*100)),0,(K25/(IS!K34*4)*100))</f>
        <v>0</v>
      </c>
      <c r="L51" s="325">
        <f>IF(ISERROR((L25/(IS!L34*4)*100)),0,(L25/(IS!L34*4)*100))</f>
        <v>0</v>
      </c>
      <c r="M51" s="325"/>
      <c r="N51" s="325">
        <f>IF(ISERROR((N25/(IS!N34*4)*100)),0,(N25/(IS!N34*4)*100))</f>
        <v>0</v>
      </c>
      <c r="O51" s="325">
        <f>IF(ISERROR((O25/(IS!O34*4)*100)),0,(O25/(IS!O34*4)*100))</f>
        <v>0</v>
      </c>
      <c r="P51" s="325">
        <f>IF(ISERROR((P25/(IS!P34*4)*100)),0,(P25/(IS!P34*4)*100))</f>
        <v>0</v>
      </c>
      <c r="Q51" s="325">
        <f>IF(ISERROR((Q25/(IS!Q34*4)*100)),0,(Q25/(IS!Q34*4)*100))</f>
        <v>4.7107466063348413</v>
      </c>
      <c r="R51" s="325"/>
      <c r="S51" s="325">
        <f>IF(ISERROR((S25/(IS!S34*4)*100)),0,(S25/(IS!S34*4)*100))</f>
        <v>3.2941176470588238</v>
      </c>
      <c r="T51" s="325">
        <f>IF(ISERROR((T25/(IS!T34*4)*100)),0,(T25/(IS!T34*4)*100))</f>
        <v>4.086378737541529</v>
      </c>
      <c r="U51" s="325">
        <f>IF(ISERROR((U25/(IS!U34*4)*100)),0,(U25/(IS!U34*4)*100))</f>
        <v>3.6148648648648649</v>
      </c>
      <c r="V51" s="325">
        <f>IF(ISERROR((V25/(IS!V34*4)*100)),0,(V25/(IS!V34*4)*100))</f>
        <v>4.4625503162737203</v>
      </c>
      <c r="W51" s="325"/>
      <c r="X51" s="325">
        <f>IF(ISERROR((X25/(IS!X34*4)*100)),0,(X25/(IS!X34*4)*100))</f>
        <v>3.6784741144414173</v>
      </c>
      <c r="Y51" s="325">
        <f>IF(ISERROR((Y25/(IS!Y34*4)*100)),0,(Y25/(IS!Y34*4)*100))</f>
        <v>3.9719626168224296</v>
      </c>
      <c r="Z51" s="325">
        <f>IF(ISERROR((Z25/(IS!Z34*4)*100)),0,(Z25/(IS!Z34*4)*100))</f>
        <v>3.6130536130536131</v>
      </c>
      <c r="AA51" s="325">
        <f>IF(ISERROR((AA25/(IS!AA34*4)*100)),0,(AA25/(IS!AA34*4)*100))</f>
        <v>4.7671840354767179</v>
      </c>
      <c r="AB51" s="325"/>
      <c r="AC51" s="325">
        <f>IF(ISERROR((AC25/(IS!AC34*4)*100)),0,(AC25/(IS!AC34*4)*100))</f>
        <v>3.882352941176471</v>
      </c>
      <c r="AD51" s="325">
        <f>IF(ISERROR((AD25/(IS!AD34*4)*100)),0,(AD25/(IS!AD34*4)*100))</f>
        <v>5.2547770700636942</v>
      </c>
      <c r="AE51" s="325">
        <f>IF(ISERROR((AE25/(IS!AE34*4)*100)),0,(AE25/(IS!AE34*4)*100))</f>
        <v>3.5714285714285712</v>
      </c>
      <c r="AF51" s="325">
        <f>IF(ISERROR((AF25/(IS!AF34*4)*100)),0,(AF25/(IS!AF34*4)*100))</f>
        <v>4.6332046332046328</v>
      </c>
      <c r="AG51" s="325"/>
      <c r="AH51" s="325">
        <f>IF(ISERROR((AH25/(IS!AH34*4)*100)),0,(AH25/(IS!AH34*4)*100))</f>
        <v>3.6885245901639343</v>
      </c>
      <c r="AI51" s="325">
        <f>IF(ISERROR((AI25/(IS!AI34*4)*100)),0,(AI25/(IS!AI34*4)*100))</f>
        <v>4.1353383458646613</v>
      </c>
      <c r="AJ51" s="325">
        <f>IF(ISERROR((AJ25/(IS!AJ34*4)*100)),0,(AJ25/(IS!AJ34*4)*100))</f>
        <v>3.0774550484094054</v>
      </c>
      <c r="AK51" s="325">
        <f>IF(ISERROR((AK25/(IS!AK34*4)*100)),0,(AK25/(IS!AK34*4)*100))</f>
        <v>4.3103448275862073</v>
      </c>
      <c r="AL51" s="325"/>
      <c r="AM51" s="325">
        <f>IF(ISERROR((AM25/(IS!AM34*4)*100)),0,(AM25/(IS!AM34*4)*100))</f>
        <v>3.0116959064327489</v>
      </c>
      <c r="AN51" s="325">
        <f>IF(ISERROR((AN25/(IS!AN34*4)*100)),0,(AN25/(IS!AN34*4)*100))</f>
        <v>3.9572192513368987</v>
      </c>
      <c r="AO51" s="325">
        <f>IF(ISERROR((AO25/(IS!AO34*4)*100)),0,(AO25/(IS!AO34*4)*100))</f>
        <v>3.5642570281124497</v>
      </c>
      <c r="AP51" s="325">
        <f>IF(ISERROR((AP25/(IS!AP34*4)*100)),0,(AP25/(IS!AP34*4)*100))</f>
        <v>4.851104707012488</v>
      </c>
      <c r="AQ51" s="325"/>
      <c r="AR51" s="325">
        <f>IF(ISERROR((AR25/(IS!AR34*4)*100)),0,(AR25/(IS!AR34*4)*100))</f>
        <v>4.7992164544564151</v>
      </c>
      <c r="AS51" s="325">
        <f>IF(ISERROR((AS25/(IS!AS34*4)*100)),0,(AS25/(IS!AS34*4)*100))</f>
        <v>6.1804961505560305</v>
      </c>
      <c r="AT51" s="325">
        <f>IF(ISERROR((AT25/(IS!AT34*4)*100)),0,(AT25/(IS!AT34*4)*100))</f>
        <v>4.3039538714991759</v>
      </c>
      <c r="AU51" s="325">
        <f>IF(ISERROR((AU25/(IS!AU34*4)*100)),0,(AU25/(IS!AU34*4)*100))</f>
        <v>6.8181818181818175</v>
      </c>
      <c r="AV51" s="325"/>
      <c r="AW51" s="325">
        <f>IF(ISERROR((AW25/(IS!AW34*4)*100)),0,(AW25/(IS!AW34*4)*100))</f>
        <v>3.5142024763292063</v>
      </c>
      <c r="AX51" s="325">
        <f>IF(ISERROR((AX25/(IS!AX34*4)*100)),0,(AX25/(IS!AX34*4)*100))</f>
        <v>4.0843214756258233</v>
      </c>
      <c r="AY51" s="325">
        <f>IF(ISERROR((AY25/(IS!AY34*4)*100)),0,(AY25/(IS!AY34*4)*100))</f>
        <v>3.9696541990119973</v>
      </c>
      <c r="AZ51" s="325">
        <f>IF(ISERROR((AZ25/(IS!AZ34*4)*100)),0,(AZ25/(IS!AZ34*4)*100))</f>
        <v>5.767994858611825</v>
      </c>
      <c r="BA51" s="325"/>
      <c r="BB51" s="325">
        <f>IF(ISERROR((BB25/(IS!BB34*4)*100)),0,(BB25/(IS!BB34*4)*100))</f>
        <v>5.3372739916550769</v>
      </c>
      <c r="BC51" s="325">
        <f>IF(ISERROR((BC25/(IS!BC34*4)*100)),0,(BC25/(IS!BC34*4)*100))</f>
        <v>5.9107358262967429</v>
      </c>
      <c r="BD51" s="325">
        <f>IF(ISERROR((BD25/(IS!BD34*4)*100)),0,(BD25/(IS!BD34*4)*100))</f>
        <v>4.3602896801448399</v>
      </c>
      <c r="BE51" s="325">
        <f>IF(ISERROR((BE25/(IS!BE34*4)*100)),0,(BE25/(IS!BE34*4)*100))</f>
        <v>4.6326626111371079</v>
      </c>
      <c r="BF51" s="325"/>
      <c r="BG51" s="325">
        <f>IF(ISERROR((BG25/(IS!BG34*4)*100)),0,(BG25/(IS!BG34*4)*100))</f>
        <v>4.273620972146368</v>
      </c>
      <c r="BH51" s="325">
        <f>IF(ISERROR((BH25/(IS!BH34*4)*100)),0,(BH25/(IS!BH34*4)*100))</f>
        <v>6.403171552138395</v>
      </c>
      <c r="BI51" s="325">
        <f>IF(ISERROR((BI25/(IS!BI34*4)*100)),0,(BI25/(IS!BI34*4)*100))</f>
        <v>4.4173377546186643</v>
      </c>
      <c r="BJ51" s="325">
        <f>IF(ISERROR((BJ25/(IS!BJ34*4)*100)),0,(BJ25/(IS!BJ34*4)*100))</f>
        <v>5.7756117793446702</v>
      </c>
      <c r="BK51" s="325"/>
      <c r="BL51" s="325">
        <f>IF(ISERROR((BL25/(IS!BL34*4)*100)),0,(BL25/(IS!BL34*4)*100))</f>
        <v>4.9928673323823105</v>
      </c>
      <c r="BM51" s="325">
        <f>IF(ISERROR((BM25/(IS!BM34*4)*100)),0,(BM25/(IS!BM34*4)*100))</f>
        <v>5.8192323565827486</v>
      </c>
      <c r="BN51" s="325">
        <f>IF(ISERROR((BN25/(IS!BN34*4)*100)),0,(BN25/(IS!BN34*4)*100))</f>
        <v>5.1289926289926289</v>
      </c>
      <c r="BO51" s="325">
        <f>IF(ISERROR((BO25/(IS!BO34*4)*100)),0,(BO25/(IS!BO34*4)*100))</f>
        <v>6.4656674799581735</v>
      </c>
      <c r="BP51" s="325"/>
      <c r="BQ51" s="325">
        <f>IF(ISERROR((BQ25/(IS!BQ34*4)*100)),0,(BQ25/(IS!BQ34*4)*100))</f>
        <v>6.2473347547974418</v>
      </c>
      <c r="BR51" s="325">
        <f>IF(ISERROR((BR25/(IS!BR34*4)*100)),0,(BR25/(IS!BR34*4)*100))</f>
        <v>8.3364243323442135</v>
      </c>
      <c r="BS51" s="325">
        <f>IF(ISERROR((BS25/(IS!BS34*4)*100)),0,(BS25/(IS!BS34*4)*100))</f>
        <v>8.0525078369905945</v>
      </c>
      <c r="BT51" s="325">
        <f>IF(ISERROR((BT25/(IS!BT34*4)*100)),0,(BT25/(IS!BT34*4)*100))</f>
        <v>9.5068083693125214</v>
      </c>
      <c r="BU51" s="325"/>
      <c r="BV51" s="325">
        <f>IF(ISERROR((BV25/(IS!BV34*4)*100)),0,(BV25/(IS!BV34*4)*100))</f>
        <v>6.305572021339656</v>
      </c>
      <c r="BW51" s="325">
        <f>IF(ISERROR((BW25/(IS!BW34*4)*100)),0,(BW25/(IS!BW34*4)*100))</f>
        <v>6.6902297399646553</v>
      </c>
      <c r="BX51" s="325">
        <f>IF(ISERROR((BX25/(IS!BX34*4)*100)),0,(BX25/(IS!BX34*4)*100))</f>
        <v>7.3945506942625094</v>
      </c>
      <c r="BY51" s="325">
        <f>IF(ISERROR((BY25/(IS!BY34*4)*100)),0,(BY25/(IS!BY34*4)*100))</f>
        <v>8</v>
      </c>
      <c r="BZ51" s="325"/>
      <c r="CA51" s="325">
        <f>IF(ISERROR((CA25/(IS!CA34*4)*100)),0,(CA25/(IS!CA34*4)*100))</f>
        <v>6.0565932534151106</v>
      </c>
      <c r="CB51" s="325">
        <f>IF(ISERROR((CB25/(IS!CB34*4)*100)),0,(CB25/(IS!CB34*4)*100))</f>
        <v>6.5780386740331487</v>
      </c>
      <c r="CC51" s="325">
        <f>IF(ISERROR((CC25/(IS!CC34*4)*100)),0,(CC25/(IS!CC34*4)*100))</f>
        <v>7.7253218884120178</v>
      </c>
      <c r="CD51" s="325">
        <f>IF(ISERROR((CD25/(IS!CD34*4)*100)),0,(CD25/(IS!CD34*4)*100))</f>
        <v>7.1558358272766149</v>
      </c>
      <c r="CE51" s="325"/>
      <c r="CF51" s="325">
        <f>IF(ISERROR((CF25/(IS!CF34*4)*100)),0,(CF25/(IS!CF34*4)*100))</f>
        <v>6.1134789557805007</v>
      </c>
      <c r="CG51" s="325">
        <f>IF(ISERROR((CG25/(IS!CG34*4)*100)),0,(CG25/(IS!CG34*4)*100))</f>
        <v>6.6192428261393781</v>
      </c>
      <c r="CH51" s="325">
        <f>IF(ISERROR((CH25/(IS!CH34*4)*100)),0,(CH25/(IS!CH34*4)*100))</f>
        <v>7.7463942307692308</v>
      </c>
      <c r="CI51" s="325">
        <f>IF(ISERROR((CI25/(IS!CI34*4)*100)),0,(CI25/(IS!CI34*4)*100))</f>
        <v>8.3000399520575314</v>
      </c>
      <c r="CJ51" s="325"/>
      <c r="CK51" s="325">
        <f>IF(ISERROR((CK25/(IS!CK34*4)*100)),0,(CK25/(IS!CK34*4)*100))</f>
        <v>7.3266356285224212</v>
      </c>
      <c r="CL51" s="325">
        <f>IF(ISERROR((CL25/(IS!CL34*4)*100)),0,(CL25/(IS!CL34*4)*100))</f>
        <v>6.3195709370572759</v>
      </c>
      <c r="CM51" s="325">
        <f>IF(ISERROR((CM25/(IS!CM34*4)*100)),0,(CM25/(IS!CM34*4)*100))</f>
        <v>8.2624809243514292</v>
      </c>
      <c r="CN51" s="325">
        <f>IF(ISERROR((CN25/(IS!CN34*4)*100)),0,(CN25/(IS!CN34*4)*100))</f>
        <v>8.902976846747519</v>
      </c>
      <c r="CO51" s="325"/>
      <c r="CP51" s="325">
        <f>IF(ISERROR((CP25/(IS!CP34*4)*100)),0,(CP25/(IS!CP34*4)*100))</f>
        <v>7.5468648998060761</v>
      </c>
      <c r="CQ51" s="325">
        <f>IF(ISERROR((CQ25/(IS!CQ34*4)*100)),0,(CQ25/(IS!CQ34*4)*100))</f>
        <v>7.1513761467889907</v>
      </c>
      <c r="CR51" s="325">
        <f>IF(ISERROR((CR25/(IS!CR34*4)*100)),0,(CR25/(IS!CR34*4)*100))</f>
        <v>8.5131459655485031</v>
      </c>
      <c r="CS51" s="325">
        <f>IF(ISERROR((CS25/(IS!CS34*4)*100)),0,(CS25/(IS!CS34*4)*100))</f>
        <v>9.4589096826688372</v>
      </c>
      <c r="CT51" s="325"/>
      <c r="CU51" s="325">
        <f>IF(ISERROR((CU25/(IS!CU34*4)*100)),0,(CU25/(IS!CU34*4)*100))</f>
        <v>8.5719740358915626</v>
      </c>
      <c r="CV51" s="325">
        <f>IF(ISERROR((CV25/(IS!CV34*4)*100)),0,(CV25/(IS!CV34*4)*100))</f>
        <v>7.7920542330127702</v>
      </c>
      <c r="CW51" s="325">
        <f>IF(ISERROR((CW25/(IS!CW34*4)*100)),0,(CW25/(IS!CW34*4)*100))</f>
        <v>9.9239450441609414</v>
      </c>
      <c r="CX51" s="325">
        <f>IF(ISERROR((CX25/(IS!CX34*4)*100)),0,(CX25/(IS!CX34*4)*100))</f>
        <v>10.065870728694936</v>
      </c>
      <c r="CY51" s="325"/>
      <c r="CZ51" s="325">
        <f>IF(ISERROR((CZ25/(IS!CZ34*4)*100)),0,(CZ25/(IS!CZ34*4)*100))</f>
        <v>8.6015448986160283</v>
      </c>
      <c r="DA51" s="325">
        <f>IF(ISERROR((DA25/(IS!DA34*4)*100)),0,(DA25/(IS!DA34*4)*100))</f>
        <v>8.2522482677281435</v>
      </c>
      <c r="DB51" s="325">
        <f>IF(ISERROR((DB25/(IS!DB34*4)*100)),0,(DB25/(IS!DB34*4)*100))</f>
        <v>10.825417622011138</v>
      </c>
      <c r="DC51" s="325">
        <f>IF(ISERROR((DC25/(IS!DC34*4)*100)),0,(DC25/(IS!DC34*4)*100))</f>
        <v>12.3319787433573</v>
      </c>
      <c r="DD51" s="326"/>
      <c r="DE51" s="325">
        <f>IF(ISERROR((DE25/(IS!DE34*4)*100)),0,(DE25/(IS!DE34*4)*100))</f>
        <v>9.9356683345246601</v>
      </c>
      <c r="DF51" s="325">
        <f>IF(ISERROR((DF25/(IS!DF34*4)*100)),0,(DF25/(IS!DF34*4)*100))</f>
        <v>8.7814271181514325</v>
      </c>
      <c r="DG51" s="325">
        <f>IF(ISERROR((DG25/(IS!DG34*4)*100)),0,(DG25/(IS!DG34*4)*100))</f>
        <v>10.96958174904943</v>
      </c>
      <c r="DH51" s="325">
        <f>IF(ISERROR((DH25/(IS!DH34*4)*100)),0,(DH25/(IS!DH34*4)*100))</f>
        <v>11.828073209396168</v>
      </c>
      <c r="DI51" s="326"/>
      <c r="DJ51" s="325">
        <f>IF(ISERROR((DJ25/(IS!DJ34*4)*100)),0,(DJ25/(IS!DJ34*4)*100))</f>
        <v>9.4781144781144793</v>
      </c>
      <c r="DK51" s="325">
        <f>IF(ISERROR((DK25/(IS!DK34*4)*100)),0,(DK25/(IS!DK34*4)*100))</f>
        <v>8.6340762041696628</v>
      </c>
      <c r="DL51" s="325">
        <f>IF(ISERROR((DL25/(IS!DL34*4)*100)),0,(DL25/(IS!DL34*4)*100))</f>
        <v>10.689680445617121</v>
      </c>
      <c r="DM51" s="325">
        <f>IF(ISERROR((DM25/(IS!DM34*4)*100)),0,(DM25/(IS!DM34*4)*100))</f>
        <v>11.935763888888889</v>
      </c>
      <c r="DN51" s="326"/>
      <c r="DO51" s="325">
        <f>IF(ISERROR((DO25/(IS!DO34*4)*100)),0,(DO25/(IS!DO34*4)*100))</f>
        <v>9.3397997496871081</v>
      </c>
      <c r="DP51" s="325">
        <f>IF(ISERROR((DP25/(IS!DP34*4)*100)),0,(DP25/(IS!DP34*4)*100))</f>
        <v>9.2272163242796079</v>
      </c>
      <c r="DQ51" s="325">
        <f>IF(ISERROR((DQ25/(IS!DQ34*4)*100)),0,(DQ25/(IS!DQ34*4)*100))</f>
        <v>11.552040672221437</v>
      </c>
      <c r="DR51" s="325">
        <f>IF(ISERROR((DR25/(IS!DR34*4)*100)),0,(DR25/(IS!DR34*4)*100))</f>
        <v>12.897749966715482</v>
      </c>
      <c r="DS51" s="326"/>
      <c r="DT51" s="325">
        <f>IF(ISERROR((DT25/(IS!DT34*4)*100)),0,(DT25/(IS!DT34*4)*100))</f>
        <v>10.203612982241275</v>
      </c>
      <c r="DU51" s="325">
        <f>IF(ISERROR((DU25/(IS!DU34*4)*100)),0,(DU25/(IS!DU34*4)*100))</f>
        <v>9.2018015763793315</v>
      </c>
      <c r="DV51" s="325">
        <f>IF(ISERROR((DV25/(IS!DV34*4)*100)),0,(DV25/(IS!DV34*4)*100))</f>
        <v>11.805083593856192</v>
      </c>
      <c r="DW51" s="325">
        <f>IF(ISERROR((DW25/(IS!DW34*4)*100)),0,(DW25/(IS!DW34*4)*100))</f>
        <v>12.519766451769856</v>
      </c>
      <c r="DX51" s="326"/>
      <c r="DY51" s="325">
        <f>IF(ISERROR((DY25/(IS!DY34*4)*100)),0,(DY25/(IS!DY34*4)*100))</f>
        <v>10.083321564750742</v>
      </c>
      <c r="DZ51" s="325">
        <f>IF(ISERROR((DZ25/(IS!DZ34*4)*100)),0,(DZ25/(IS!DZ34*4)*100))</f>
        <v>9.5844422937333658</v>
      </c>
      <c r="EA51" s="325">
        <f>IF(ISERROR((EA25/(IS!EA34*4)*100)),0,(EA25/(IS!EA34*4)*100))</f>
        <v>12.977430555555555</v>
      </c>
      <c r="EB51" s="325">
        <f>IF(ISERROR((EB25/(IS!EB34*4)*100)),0,(EB25/(IS!EB34*4)*100))</f>
        <v>13.066572237960338</v>
      </c>
      <c r="EC51" s="326"/>
      <c r="ED51" s="325">
        <f>IF(ISERROR((ED25/(IS!ED34*4)*100)),0,(ED25/(IS!ED34*4)*100))</f>
        <v>11.769889224572005</v>
      </c>
      <c r="EE51" s="325">
        <f>IF(ISERROR((EE25/(IS!EE34*4)*100)),0,(EE25/(IS!EE34*4)*100))</f>
        <v>10.460012026458209</v>
      </c>
      <c r="EF51" s="325">
        <f>IF(ISERROR((EF25/(IS!EF34*4)*100)),0,(EF25/(IS!EF34*4)*100))</f>
        <v>12.532117163412126</v>
      </c>
      <c r="EG51" s="325">
        <f>IF(ISERROR((EG25/(IS!EG34*4)*100)),0,(EG25/(IS!EG34*4)*100))</f>
        <v>15.29962771706497</v>
      </c>
      <c r="EH51" s="325"/>
      <c r="EI51" s="325">
        <f>IF(ISERROR((EI25/(IS!EI34*4)*100)),0,(EI25/(IS!EI34*4)*100))</f>
        <v>11.67591715175308</v>
      </c>
      <c r="EJ51" s="325">
        <f>IF(ISERROR((EJ25/(IS!EJ34*4)*100)),0,(EJ25/(IS!EJ34*4)*100))</f>
        <v>11.559173846933604</v>
      </c>
      <c r="EK51" s="325">
        <f>IF(ISERROR((EK25/(IS!EK34*4)*100)),0,(EK25/(IS!EK34*4)*100))</f>
        <v>14.219207235967012</v>
      </c>
      <c r="EL51" s="325">
        <f>IF(ISERROR((EL25/(IS!EL34*4)*100)),0,(EL25/(IS!EL34*4)*100))</f>
        <v>15.687209440934557</v>
      </c>
      <c r="EM51" s="325"/>
      <c r="EN51" s="325">
        <f>IF(ISERROR((EN25/(IS!EN34*4)*100)),0,(EN25/(IS!EN34*4)*100))</f>
        <v>12.284570498032297</v>
      </c>
      <c r="EO51" s="325">
        <f>IF(ISERROR((EO25/(IS!EO34*4)*100)),0,(EO25/(IS!EO34*4)*100))</f>
        <v>12.412718204488778</v>
      </c>
      <c r="EP51" s="325">
        <f>IF(ISERROR((EP25/(IS!EP34*4)*100)),0,(EP25/(IS!EP34*4)*100))</f>
        <v>13.655237869260887</v>
      </c>
      <c r="EQ51" s="325">
        <f>IF(ISERROR((EQ25/(IS!EQ34*4)*100)),0,(EQ25/(IS!EQ34*4)*100))</f>
        <v>15.879816613906778</v>
      </c>
      <c r="ER51" s="325"/>
      <c r="ES51" s="325">
        <f>IF(ISERROR((ES25/(IS!ES34*4)*100)),0,(ES25/(IS!ES34*4)*100))</f>
        <v>12.008886810102901</v>
      </c>
      <c r="ET51" s="325">
        <f>IF(ISERROR((ET25/(IS!ET34*4)*100)),0,(ET25/(IS!ET34*4)*100))</f>
        <v>12.062670299727522</v>
      </c>
      <c r="EU51" s="325">
        <f>IF(ISERROR((EU25/(IS!EU34*4)*100)),0,(EU25/(IS!EU34*4)*100))</f>
        <v>13.904190969971916</v>
      </c>
      <c r="EV51" s="325">
        <f t="shared" si="58"/>
        <v>15.879816613906778</v>
      </c>
      <c r="EW51" s="325"/>
      <c r="EX51" s="325">
        <f t="shared" si="59"/>
        <v>12.008886810102901</v>
      </c>
      <c r="EY51" s="325">
        <f t="shared" si="60"/>
        <v>12.062670299727522</v>
      </c>
      <c r="EZ51" s="325">
        <f t="shared" si="61"/>
        <v>13.904190969971916</v>
      </c>
      <c r="FA51" s="325">
        <f t="shared" si="62"/>
        <v>15.879816613906778</v>
      </c>
      <c r="FB51" s="325"/>
      <c r="FC51" s="325">
        <f t="shared" si="63"/>
        <v>12.008886810102901</v>
      </c>
      <c r="FD51" s="325">
        <f t="shared" si="64"/>
        <v>12.062670299727522</v>
      </c>
      <c r="FE51" s="325">
        <f t="shared" si="65"/>
        <v>13.904190969971916</v>
      </c>
      <c r="FF51" s="325">
        <f t="shared" si="66"/>
        <v>15.879816613906778</v>
      </c>
      <c r="FG51" s="325"/>
      <c r="FH51" s="325">
        <f t="shared" si="67"/>
        <v>12.008886810102901</v>
      </c>
      <c r="FI51" s="325">
        <f t="shared" si="68"/>
        <v>12.062670299727522</v>
      </c>
      <c r="FJ51" s="325">
        <f t="shared" si="69"/>
        <v>13.904190969971916</v>
      </c>
      <c r="FK51" s="325">
        <f t="shared" si="70"/>
        <v>15.879816613906778</v>
      </c>
      <c r="FL51" s="325"/>
      <c r="FM51" s="263"/>
      <c r="FO51"/>
      <c r="FP51"/>
      <c r="FQ51"/>
      <c r="FR51"/>
      <c r="FS51"/>
      <c r="FT51"/>
      <c r="FU51" s="261"/>
      <c r="FV51" s="261"/>
      <c r="FW51" s="261"/>
      <c r="FX51" s="261"/>
    </row>
    <row r="52" spans="1:180" s="264" customFormat="1" ht="11.25" hidden="1" customHeight="1" outlineLevel="1">
      <c r="A52" s="264" t="s">
        <v>870</v>
      </c>
      <c r="D52" s="325">
        <f>+IF(ISERROR(D26/(IS!D53*4)),0,D26/(IS!D53*4)*100)</f>
        <v>0</v>
      </c>
      <c r="E52" s="325">
        <f>+IF(ISERROR(E26/(IS!E53*4)),0,E26/(IS!E53*4)*100)</f>
        <v>0</v>
      </c>
      <c r="F52" s="325">
        <f>+IF(ISERROR(F26/(IS!F53*4)),0,F26/(IS!F53*4)*100)</f>
        <v>0</v>
      </c>
      <c r="G52" s="325">
        <f>+IF(ISERROR(G26/(IS!G53*4)),0,G26/(IS!G53*4)*100)</f>
        <v>0</v>
      </c>
      <c r="H52" s="325"/>
      <c r="I52" s="325">
        <f>+IF(ISERROR(I26/(IS!I53*4)),0,I26/(IS!I53*4)*100)</f>
        <v>0</v>
      </c>
      <c r="J52" s="325">
        <f>+IF(ISERROR(J26/(IS!J53*4)),0,J26/(IS!J53*4)*100)</f>
        <v>0</v>
      </c>
      <c r="K52" s="325">
        <f>+IF(ISERROR(K26/(IS!K53*4)),0,K26/(IS!K53*4)*100)</f>
        <v>0</v>
      </c>
      <c r="L52" s="325">
        <f>+IF(ISERROR(L26/(IS!L53*4)),0,L26/(IS!L53*4)*100)</f>
        <v>0</v>
      </c>
      <c r="M52" s="325"/>
      <c r="N52" s="325">
        <f>+IF(ISERROR(N26/(IS!N53*4)),0,N26/(IS!N53*4)*100)</f>
        <v>0</v>
      </c>
      <c r="O52" s="325">
        <f>+IF(ISERROR(O26/(IS!O53*4)),0,O26/(IS!O53*4)*100)</f>
        <v>0</v>
      </c>
      <c r="P52" s="325">
        <f>+IF(ISERROR(P26/(IS!P53*4)),0,P26/(IS!P53*4)*100)</f>
        <v>0</v>
      </c>
      <c r="Q52" s="325">
        <f>+IF(ISERROR(Q26/(IS!Q53*4)),0,Q26/(IS!Q53*4)*100)</f>
        <v>5.5279850746268657</v>
      </c>
      <c r="R52" s="325"/>
      <c r="S52" s="325">
        <f>+IF(ISERROR(S26/(IS!S53*4)),0,S26/(IS!S53*4)*100)</f>
        <v>5.6485849056603774</v>
      </c>
      <c r="T52" s="325">
        <f>+IF(ISERROR(T26/(IS!T53*4)),0,T26/(IS!T53*4)*100)</f>
        <v>4.4476744186046506</v>
      </c>
      <c r="U52" s="325">
        <f>+IF(ISERROR(U26/(IS!U53*4)),0,U26/(IS!U53*4)*100)</f>
        <v>1.5458015267175571</v>
      </c>
      <c r="V52" s="325">
        <f>+IF(ISERROR(V26/(IS!V53*4)),0,V26/(IS!V53*4)*100)</f>
        <v>5.9049967658473488</v>
      </c>
      <c r="W52" s="325"/>
      <c r="X52" s="325">
        <f>+IF(ISERROR(X26/(IS!X53*4)),0,X26/(IS!X53*4)*100)</f>
        <v>8.3876221498371333</v>
      </c>
      <c r="Y52" s="325">
        <f>+IF(ISERROR(Y26/(IS!Y53*4)),0,Y26/(IS!Y53*4)*100)</f>
        <v>4.9711815561959654</v>
      </c>
      <c r="Z52" s="325">
        <f>+IF(ISERROR(Z26/(IS!Z53*4)),0,Z26/(IS!Z53*4)*100)</f>
        <v>6.3025210084033612</v>
      </c>
      <c r="AA52" s="325">
        <f>+IF(ISERROR(AA26/(IS!AA53*4)),0,AA26/(IS!AA53*4)*100)</f>
        <v>8.1410256410256405</v>
      </c>
      <c r="AB52" s="325"/>
      <c r="AC52" s="325">
        <f>+IF(ISERROR(AC26/(IS!AC53*4)),0,AC26/(IS!AC53*4)*100)</f>
        <v>12.638121546961326</v>
      </c>
      <c r="AD52" s="325">
        <f>+IF(ISERROR(AD26/(IS!AD53*4)),0,AD26/(IS!AD53*4)*100)</f>
        <v>12.043378995433789</v>
      </c>
      <c r="AE52" s="325">
        <f>+IF(ISERROR(AE26/(IS!AE53*4)),0,AE26/(IS!AE53*4)*100)</f>
        <v>10.906374501992032</v>
      </c>
      <c r="AF52" s="325">
        <f>+IF(ISERROR(AF26/(IS!AF53*4)),0,AF26/(IS!AF53*4)*100)</f>
        <v>14.950980392156863</v>
      </c>
      <c r="AG52" s="325"/>
      <c r="AH52" s="325">
        <f>+IF(ISERROR(AH26/(IS!AH53*4)),0,AH26/(IS!AH53*4)*100)</f>
        <v>19.585987261146499</v>
      </c>
      <c r="AI52" s="325">
        <f>+IF(ISERROR(AI26/(IS!AI53*4)),0,AI26/(IS!AI53*4)*100)</f>
        <v>16.337522441651707</v>
      </c>
      <c r="AJ52" s="325">
        <f>+IF(ISERROR(AJ26/(IS!AJ53*4)),0,AJ26/(IS!AJ53*4)*100)</f>
        <v>16.258445945945947</v>
      </c>
      <c r="AK52" s="325">
        <f>+IF(ISERROR(AK26/(IS!AK53*4)),0,AK26/(IS!AK53*4)*100)</f>
        <v>17.284991568296796</v>
      </c>
      <c r="AL52" s="325"/>
      <c r="AM52" s="325">
        <f>+IF(ISERROR(AM26/(IS!AM53*4)),0,AM26/(IS!AM53*4)*100)</f>
        <v>16.948051948051948</v>
      </c>
      <c r="AN52" s="325">
        <f>+IF(ISERROR(AN26/(IS!AN53*4)),0,AN26/(IS!AN53*4)*100)</f>
        <v>19.209039548022599</v>
      </c>
      <c r="AO52" s="325">
        <f>+IF(ISERROR(AO26/(IS!AO53*4)),0,AO26/(IS!AO53*4)*100)</f>
        <v>17.824074074074073</v>
      </c>
      <c r="AP52" s="325">
        <f>+IF(ISERROR(AP26/(IS!AP53*4)),0,AP26/(IS!AP53*4)*100)</f>
        <v>14.069767441860465</v>
      </c>
      <c r="AQ52" s="325"/>
      <c r="AR52" s="325">
        <f>+IF(ISERROR(AR26/(IS!AR53*4)),0,AR26/(IS!AR53*4)*100)</f>
        <v>13.597883597883598</v>
      </c>
      <c r="AS52" s="325">
        <f>+IF(ISERROR(AS26/(IS!AS53*4)),0,AS26/(IS!AS53*4)*100)</f>
        <v>10.526315789473683</v>
      </c>
      <c r="AT52" s="325">
        <f>+IF(ISERROR(AT26/(IS!AT53*4)),0,AT26/(IS!AT53*4)*100)</f>
        <v>7.2208359326263256</v>
      </c>
      <c r="AU52" s="325">
        <f>+IF(ISERROR(AU26/(IS!AU53*4)),0,AU26/(IS!AU53*4)*100)</f>
        <v>7.1648216482164822</v>
      </c>
      <c r="AV52" s="325"/>
      <c r="AW52" s="325">
        <f>+IF(ISERROR(AW26/(IS!AW53*4)),0,AW26/(IS!AW53*4)*100)</f>
        <v>9.2456608811748993</v>
      </c>
      <c r="AX52" s="325">
        <f>+IF(ISERROR(AX26/(IS!AX53*4)),0,AX26/(IS!AX53*4)*100)</f>
        <v>8.9124293785310744</v>
      </c>
      <c r="AY52" s="325">
        <f>+IF(ISERROR(AY26/(IS!AY53*4)),0,AY26/(IS!AY53*4)*100)</f>
        <v>6.4049586776859497</v>
      </c>
      <c r="AZ52" s="325">
        <f>+IF(ISERROR(AZ26/(IS!AZ53*4)),0,AZ26/(IS!AZ53*4)*100)</f>
        <v>10.955459770114942</v>
      </c>
      <c r="BA52" s="325"/>
      <c r="BB52" s="325">
        <f>+IF(ISERROR(BB26/(IS!BB53*4)),0,BB26/(IS!BB53*4)*100)</f>
        <v>12.425089892129444</v>
      </c>
      <c r="BC52" s="325">
        <f>+IF(ISERROR(BC26/(IS!BC53*4)),0,BC26/(IS!BC53*4)*100)</f>
        <v>13.4546050475254</v>
      </c>
      <c r="BD52" s="325">
        <f>+IF(ISERROR(BD26/(IS!BD53*4)),0,BD26/(IS!BD53*4)*100)</f>
        <v>11.419125127161751</v>
      </c>
      <c r="BE52" s="325">
        <f>+IF(ISERROR(BE26/(IS!BE53*4)),0,BE26/(IS!BE53*4)*100)</f>
        <v>12.477863046044863</v>
      </c>
      <c r="BF52" s="325"/>
      <c r="BG52" s="325">
        <f>+IF(ISERROR(BG26/(IS!BG53*4)),0,BG26/(IS!BG53*4)*100)</f>
        <v>8.4223013048635824</v>
      </c>
      <c r="BH52" s="325">
        <f>+IF(ISERROR(BH26/(IS!BH53*4)),0,BH26/(IS!BH53*4)*100)</f>
        <v>13.029739776951674</v>
      </c>
      <c r="BI52" s="325">
        <f>+IF(ISERROR(BI26/(IS!BI53*4)),0,BI26/(IS!BI53*4)*100)</f>
        <v>13.150367747207845</v>
      </c>
      <c r="BJ52" s="325">
        <f>+IF(ISERROR(BJ26/(IS!BJ53*4)),0,BJ26/(IS!BJ53*4)*100)</f>
        <v>3.9409862570735652</v>
      </c>
      <c r="BK52" s="325"/>
      <c r="BL52" s="325">
        <f>+IF(ISERROR(BL26/(IS!BL53*4)),0,BL26/(IS!BL53*4)*100)</f>
        <v>2.823920265780731</v>
      </c>
      <c r="BM52" s="325">
        <f>+IF(ISERROR(BM26/(IS!BM53*4)),0,BM26/(IS!BM53*4)*100)</f>
        <v>4.1144004014049171</v>
      </c>
      <c r="BN52" s="325">
        <f>+IF(ISERROR(BN26/(IS!BN53*4)),0,BN26/(IS!BN53*4)*100)</f>
        <v>5.0577646426652336</v>
      </c>
      <c r="BO52" s="325">
        <f>+IF(ISERROR(BO26/(IS!BO53*4)),0,BO26/(IS!BO53*4)*100)</f>
        <v>195.21276595744681</v>
      </c>
      <c r="BP52" s="325"/>
      <c r="BQ52" s="325">
        <f>+IF(ISERROR(BQ26/(IS!BQ53*4)),0,BQ26/(IS!BQ53*4)*100)</f>
        <v>28.232644409115</v>
      </c>
      <c r="BR52" s="325">
        <f>+IF(ISERROR(BR26/(IS!BR53*4)),0,BR26/(IS!BR53*4)*100)</f>
        <v>14.911625591237243</v>
      </c>
      <c r="BS52" s="325">
        <f>+IF(ISERROR(BS26/(IS!BS53*4)),0,BS26/(IS!BS53*4)*100)</f>
        <v>15.381271733730751</v>
      </c>
      <c r="BT52" s="325">
        <f>+IF(ISERROR(BT26/(IS!BT53*4)),0,BT26/(IS!BT53*4)*100)</f>
        <v>22.536781096745433</v>
      </c>
      <c r="BU52" s="325"/>
      <c r="BV52" s="325">
        <f>+IF(ISERROR(BV26/(IS!BV53*4)),0,BV26/(IS!BV53*4)*100)</f>
        <v>27.133245815556283</v>
      </c>
      <c r="BW52" s="325">
        <f>+IF(ISERROR(BW26/(IS!BW53*4)),0,BW26/(IS!BW53*4)*100)</f>
        <v>26.318602993585177</v>
      </c>
      <c r="BX52" s="325">
        <f>+IF(ISERROR(BX26/(IS!BX53*4)),0,BX26/(IS!BX53*4)*100)</f>
        <v>19.909289959336878</v>
      </c>
      <c r="BY52" s="325">
        <f>+IF(ISERROR(BY26/(IS!BY53*4)),0,BY26/(IS!BY53*4)*100)</f>
        <v>16.97674418604651</v>
      </c>
      <c r="BZ52" s="325"/>
      <c r="CA52" s="325">
        <f>+IF(ISERROR(CA26/(IS!CA53*4)),0,CA26/(IS!CA53*4)*100)</f>
        <v>16.662394257882593</v>
      </c>
      <c r="CB52" s="325">
        <f>+IF(ISERROR(CB26/(IS!CB53*4)),0,CB26/(IS!CB53*4)*100)</f>
        <v>19.371264113349568</v>
      </c>
      <c r="CC52" s="325">
        <f>+IF(ISERROR(CC26/(IS!CC53*4)),0,CC26/(IS!CC53*4)*100)</f>
        <v>16.484942886812046</v>
      </c>
      <c r="CD52" s="325">
        <f>+IF(ISERROR(CD26/(IS!CD53*4)),0,CD26/(IS!CD53*4)*100)</f>
        <v>23.480961382662706</v>
      </c>
      <c r="CE52" s="325"/>
      <c r="CF52" s="325">
        <f>+IF(ISERROR(CF26/(IS!CF53*4)),0,CF26/(IS!CF53*4)*100)</f>
        <v>21.11858899976793</v>
      </c>
      <c r="CG52" s="325">
        <f>+IF(ISERROR(CG26/(IS!CG53*4)),0,CG26/(IS!CG53*4)*100)</f>
        <v>16.956858193074094</v>
      </c>
      <c r="CH52" s="325">
        <f>+IF(ISERROR(CH26/(IS!CH53*4)),0,CH26/(IS!CH53*4)*100)</f>
        <v>18.936424994556937</v>
      </c>
      <c r="CI52" s="325">
        <f>+IF(ISERROR(CI26/(IS!CI53*4)),0,CI26/(IS!CI53*4)*100)</f>
        <v>10.93783842321854</v>
      </c>
      <c r="CJ52" s="325"/>
      <c r="CK52" s="325">
        <f>+IF(ISERROR(CK26/(IS!CK53*4)),0,CK26/(IS!CK53*4)*100)</f>
        <v>15.891512314268269</v>
      </c>
      <c r="CL52" s="325">
        <f>+IF(ISERROR(CL26/(IS!CL53*4)),0,CL26/(IS!CL53*4)*100)</f>
        <v>13.560724017127287</v>
      </c>
      <c r="CM52" s="325">
        <f>+IF(ISERROR(CM26/(IS!CM53*4)),0,CM26/(IS!CM53*4)*100)</f>
        <v>14.879057924888606</v>
      </c>
      <c r="CN52" s="325">
        <f>+IF(ISERROR(CN26/(IS!CN53*4)),0,CN26/(IS!CN53*4)*100)</f>
        <v>8.4417696811971386</v>
      </c>
      <c r="CO52" s="325"/>
      <c r="CP52" s="325">
        <f>+IF(ISERROR(CP26/(IS!CP53*4)),0,CP26/(IS!CP53*4)*100)</f>
        <v>9.8889109303709581</v>
      </c>
      <c r="CQ52" s="325">
        <f>+IF(ISERROR(CQ26/(IS!CQ53*4)),0,CQ26/(IS!CQ53*4)*100)</f>
        <v>8.7844940867279888</v>
      </c>
      <c r="CR52" s="325">
        <f>+IF(ISERROR(CR26/(IS!CR53*4)),0,CR26/(IS!CR53*4)*100)</f>
        <v>6.7719298245614041</v>
      </c>
      <c r="CS52" s="325">
        <f>+IF(ISERROR(CS26/(IS!CS53*4)),0,CS26/(IS!CS53*4)*100)</f>
        <v>4.8680022467702679</v>
      </c>
      <c r="CT52" s="325"/>
      <c r="CU52" s="325">
        <f>+IF(ISERROR(CU26/(IS!CU53*4)),0,CU26/(IS!CU53*4)*100)</f>
        <v>5.6708494208494207</v>
      </c>
      <c r="CV52" s="325">
        <f>+IF(ISERROR(CV26/(IS!CV53*4)),0,CV26/(IS!CV53*4)*100)</f>
        <v>3.1634897360703809</v>
      </c>
      <c r="CW52" s="325">
        <f>+IF(ISERROR(CW26/(IS!CW53*4)),0,CW26/(IS!CW53*4)*100)</f>
        <v>15.115625501846797</v>
      </c>
      <c r="CX52" s="325">
        <f>+IF(ISERROR(CX26/(IS!CX53*4)),0,CX26/(IS!CX53*4)*100)</f>
        <v>13.605898123324398</v>
      </c>
      <c r="CY52" s="325"/>
      <c r="CZ52" s="325">
        <f>+IF(ISERROR(CZ26/(IS!CZ53*4)),0,CZ26/(IS!CZ53*4)*100)</f>
        <v>2.1448839926556502</v>
      </c>
      <c r="DA52" s="325">
        <f>+IF(ISERROR(DA26/(IS!DA53*4)),0,DA26/(IS!DA53*4)*100)</f>
        <v>3.7601986520042567</v>
      </c>
      <c r="DB52" s="325">
        <f>+IF(ISERROR(DB26/(IS!DB53*4)),0,DB26/(IS!DB53*4)*100)</f>
        <v>4.0598739495798322</v>
      </c>
      <c r="DC52" s="325">
        <f>+IF(ISERROR(DC26/(IS!DC53*4)),0,DC26/(IS!DC53*4)*100)</f>
        <v>4.1400182731841024</v>
      </c>
      <c r="DD52" s="326"/>
      <c r="DE52" s="325">
        <f>+IF(ISERROR(DE26/(IS!DE53*4)),0,DE26/(IS!DE53*4)*100)</f>
        <v>4.4438614900314795</v>
      </c>
      <c r="DF52" s="325">
        <f>+IF(ISERROR(DF26/(IS!DF53*4)),0,DF26/(IS!DF53*4)*100)</f>
        <v>2.0291568163908593</v>
      </c>
      <c r="DG52" s="325">
        <f>+IF(ISERROR(DG26/(IS!DG53*4)),0,DG26/(IS!DG53*4)*100)</f>
        <v>4.2173750234038572</v>
      </c>
      <c r="DH52" s="325">
        <f>+IF(ISERROR(DH26/(IS!DH53*4)),0,DH26/(IS!DH53*4)*100)</f>
        <v>4.4571713147410357</v>
      </c>
      <c r="DI52" s="326"/>
      <c r="DJ52" s="325">
        <f>+IF(ISERROR(DJ26/(IS!DJ53*4)),0,DJ26/(IS!DJ53*4)*100)</f>
        <v>7.385892116182573</v>
      </c>
      <c r="DK52" s="325">
        <f>+IF(ISERROR(DK26/(IS!DK53*4)),0,DK26/(IS!DK53*4)*100)</f>
        <v>4.2338472402024241</v>
      </c>
      <c r="DL52" s="325">
        <f>+IF(ISERROR(DL26/(IS!DL53*4)),0,DL26/(IS!DL53*4)*100)</f>
        <v>3.4813278008298756</v>
      </c>
      <c r="DM52" s="325">
        <f>+IF(ISERROR(DM26/(IS!DM53*4)),0,DM26/(IS!DM53*4)*100)</f>
        <v>2.2952335123087839</v>
      </c>
      <c r="DN52" s="326"/>
      <c r="DO52" s="325">
        <f>+IF(ISERROR(DO26/(IS!DO53*4)),0,DO26/(IS!DO53*4)*100)</f>
        <v>2.4124007664932932</v>
      </c>
      <c r="DP52" s="325">
        <f>+IF(ISERROR(DP26/(IS!DP53*4)),0,DP26/(IS!DP53*4)*100)</f>
        <v>2.7946352712707854</v>
      </c>
      <c r="DQ52" s="325">
        <f>+IF(ISERROR(DQ26/(IS!DQ53*4)),0,DQ26/(IS!DQ53*4)*100)</f>
        <v>3.7639478233537638</v>
      </c>
      <c r="DR52" s="325">
        <f>+IF(ISERROR(DR26/(IS!DR53*4)),0,DR26/(IS!DR53*4)*100)</f>
        <v>3.0105311355311355</v>
      </c>
      <c r="DS52" s="326"/>
      <c r="DT52" s="325">
        <f>+IF(ISERROR(DT26/(IS!DT53*4)),0,DT26/(IS!DT53*4)*100)</f>
        <v>3.8263462233465848</v>
      </c>
      <c r="DU52" s="325">
        <f>+IF(ISERROR(DU26/(IS!DU53*4)),0,DU26/(IS!DU53*4)*100)</f>
        <v>2.0270270270270272</v>
      </c>
      <c r="DV52" s="325">
        <f>+IF(ISERROR(DV26/(IS!DV53*4)),0,DV26/(IS!DV53*4)*100)</f>
        <v>2.0663387715930903</v>
      </c>
      <c r="DW52" s="325">
        <f>+IF(ISERROR(DW26/(IS!DW53*4)),0,DW26/(IS!DW53*4)*100)</f>
        <v>2.4084621643612696</v>
      </c>
      <c r="DX52" s="326"/>
      <c r="DY52" s="325">
        <f>+IF(ISERROR(DY26/(IS!DY53*4)),0,DY26/(IS!DY53*4)*100)</f>
        <v>3.2537453183520602</v>
      </c>
      <c r="DZ52" s="325">
        <f>+IF(ISERROR(DZ26/(IS!DZ53*4)),0,DZ26/(IS!DZ53*4)*100)</f>
        <v>1.8754760091393756</v>
      </c>
      <c r="EA52" s="325">
        <f>+IF(ISERROR(EA26/(IS!EA53*4)),0,EA26/(IS!EA53*4)*100)</f>
        <v>2.4938910449906571</v>
      </c>
      <c r="EB52" s="325">
        <f>+IF(ISERROR(EB26/(IS!EB53*4)),0,EB26/(IS!EB53*4)*100)</f>
        <v>2.9161694510739853</v>
      </c>
      <c r="EC52" s="326"/>
      <c r="ED52" s="325">
        <f>+IF(ISERROR(ED26/(IS!ED53*4)),0,ED26/(IS!ED53*4)*100)</f>
        <v>3.2084991472427515</v>
      </c>
      <c r="EE52" s="325">
        <f>+IF(ISERROR(EE26/(IS!EE53*4)),0,EE26/(IS!EE53*4)*100)</f>
        <v>2.2885283893395134</v>
      </c>
      <c r="EF52" s="325">
        <f>+IF(ISERROR(EF26/(IS!EF53*4)),0,EF26/(IS!EF53*4)*100)</f>
        <v>2.8254062919338003</v>
      </c>
      <c r="EG52" s="325">
        <f>+IF(ISERROR(EG26/(IS!EG53*4)),0,EG26/(IS!EG53*4)*100)</f>
        <v>2.2672852439389404</v>
      </c>
      <c r="EH52" s="325"/>
      <c r="EI52" s="325">
        <f>+IF(ISERROR(EI26/(IS!EI53*4)),0,EI26/(IS!EI53*4)*100)</f>
        <v>2.5203454575651882</v>
      </c>
      <c r="EJ52" s="325">
        <f>+IF(ISERROR(EJ26/(IS!EJ53*4)),0,EJ26/(IS!EJ53*4)*100)</f>
        <v>1.6853548475317928</v>
      </c>
      <c r="EK52" s="325">
        <f>+IF(ISERROR(EK26/(IS!EK53*4)),0,EK26/(IS!EK53*4)*100)</f>
        <v>2.8235779060181367</v>
      </c>
      <c r="EL52" s="325">
        <f>+IF(ISERROR(EL26/(IS!EL53*4)),0,EL26/(IS!EL53*4)*100)</f>
        <v>1.9727891156462583</v>
      </c>
      <c r="EM52" s="325"/>
      <c r="EN52" s="325">
        <f>+IF(ISERROR(EN26/(IS!EN53*4)),0,EN26/(IS!EN53*4)*100)</f>
        <v>2.6365900102534057</v>
      </c>
      <c r="EO52" s="325">
        <f>+IF(ISERROR(EO26/(IS!EO53*4)),0,EO26/(IS!EO53*4)*100)</f>
        <v>1.5831463475442533</v>
      </c>
      <c r="EP52" s="325">
        <f>+IF(ISERROR(EP26/(IS!EP53*4)),0,EP26/(IS!EP53*4)*100)</f>
        <v>2.3047645897941926</v>
      </c>
      <c r="EQ52" s="325">
        <f>+IF(ISERROR(EQ26/(IS!EQ53*4)),0,EQ26/(IS!EQ53*4)*100)</f>
        <v>2.1720716360116166</v>
      </c>
      <c r="ER52" s="325"/>
      <c r="ES52" s="325">
        <f>+IF(ISERROR(ES26/(IS!ES53*4)),0,ES26/(IS!ES53*4)*100)</f>
        <v>2.8807615230460923</v>
      </c>
      <c r="ET52" s="325">
        <f>+IF(ISERROR(ET26/(IS!ET53*4)),0,ET26/(IS!ET53*4)*100)</f>
        <v>2.1485440069800412</v>
      </c>
      <c r="EU52" s="325">
        <f>+IF(ISERROR(EU26/(IS!EU53*4)),0,EU26/(IS!EU53*4)*100)</f>
        <v>2.3550514986691353</v>
      </c>
      <c r="EV52" s="325">
        <f t="shared" si="58"/>
        <v>2.1720716360116166</v>
      </c>
      <c r="EW52" s="325"/>
      <c r="EX52" s="325">
        <f t="shared" si="59"/>
        <v>2.8807615230460923</v>
      </c>
      <c r="EY52" s="325">
        <f t="shared" si="60"/>
        <v>2.1485440069800412</v>
      </c>
      <c r="EZ52" s="325">
        <f t="shared" si="61"/>
        <v>2.3550514986691353</v>
      </c>
      <c r="FA52" s="325">
        <f t="shared" si="62"/>
        <v>2.1720716360116166</v>
      </c>
      <c r="FB52" s="325"/>
      <c r="FC52" s="325">
        <f t="shared" si="63"/>
        <v>2.8807615230460923</v>
      </c>
      <c r="FD52" s="325">
        <f t="shared" si="64"/>
        <v>2.1485440069800412</v>
      </c>
      <c r="FE52" s="325">
        <f t="shared" si="65"/>
        <v>2.3550514986691353</v>
      </c>
      <c r="FF52" s="325">
        <f t="shared" si="66"/>
        <v>2.1720716360116166</v>
      </c>
      <c r="FG52" s="325"/>
      <c r="FH52" s="325">
        <f t="shared" si="67"/>
        <v>2.8807615230460923</v>
      </c>
      <c r="FI52" s="325">
        <f t="shared" si="68"/>
        <v>2.1485440069800412</v>
      </c>
      <c r="FJ52" s="325">
        <f t="shared" si="69"/>
        <v>2.3550514986691353</v>
      </c>
      <c r="FK52" s="325">
        <f t="shared" si="70"/>
        <v>2.1720716360116166</v>
      </c>
      <c r="FL52" s="325"/>
      <c r="FM52" s="263"/>
      <c r="FO52"/>
      <c r="FP52"/>
      <c r="FQ52"/>
      <c r="FR52"/>
      <c r="FS52"/>
      <c r="FT52"/>
      <c r="FU52" s="261"/>
      <c r="FV52" s="261"/>
      <c r="FW52" s="261"/>
      <c r="FX52" s="261"/>
    </row>
    <row r="53" spans="1:180" s="264" customFormat="1" ht="11.25" hidden="1" customHeight="1" outlineLevel="1">
      <c r="A53" s="264" t="s">
        <v>704</v>
      </c>
      <c r="D53" s="325">
        <f>IF(ISERROR((D30/(IS!D34*4)*100)),0,(D30/(IS!D34*4)*100))</f>
        <v>0</v>
      </c>
      <c r="E53" s="325">
        <f>IF(ISERROR((E30/(IS!E34*4)*100)),0,(E30/(IS!E34*4)*100))</f>
        <v>0</v>
      </c>
      <c r="F53" s="325">
        <f>IF(ISERROR((F30/(IS!F34*4)*100)),0,(F30/(IS!F34*4)*100))</f>
        <v>0</v>
      </c>
      <c r="G53" s="325">
        <f>IF(ISERROR((G30/(IS!G34*4)*100)),0,(G30/(IS!G34*4)*100))</f>
        <v>0</v>
      </c>
      <c r="H53" s="325"/>
      <c r="I53" s="325">
        <f>IF(ISERROR((I30/(IS!I34*4)*100)),0,(I30/(IS!I34*4)*100))</f>
        <v>0</v>
      </c>
      <c r="J53" s="325">
        <f>IF(ISERROR((J30/(IS!J34*4)*100)),0,(J30/(IS!J34*4)*100))</f>
        <v>0</v>
      </c>
      <c r="K53" s="325">
        <f>IF(ISERROR((K30/(IS!K34*4)*100)),0,(K30/(IS!K34*4)*100))</f>
        <v>0</v>
      </c>
      <c r="L53" s="325">
        <f>IF(ISERROR((L30/(IS!L34*4)*100)),0,(L30/(IS!L34*4)*100))</f>
        <v>0</v>
      </c>
      <c r="M53" s="325"/>
      <c r="N53" s="325">
        <f>IF(ISERROR((N30/(IS!N34*4)*100)),0,(N30/(IS!N34*4)*100))</f>
        <v>0</v>
      </c>
      <c r="O53" s="325">
        <f>IF(ISERROR((O30/(IS!O34*4)*100)),0,(O30/(IS!O34*4)*100))</f>
        <v>0</v>
      </c>
      <c r="P53" s="325">
        <f>IF(ISERROR((P30/(IS!P34*4)*100)),0,(P30/(IS!P34*4)*100))</f>
        <v>0</v>
      </c>
      <c r="Q53" s="325">
        <f>IF(ISERROR((Q30/(IS!Q34*4)*100)),0,(Q30/(IS!Q34*4)*100))</f>
        <v>13.726470588235292</v>
      </c>
      <c r="R53" s="325"/>
      <c r="S53" s="325">
        <f>IF(ISERROR((S30/(IS!S34*4)*100)),0,(S30/(IS!S34*4)*100))</f>
        <v>12.696078431372548</v>
      </c>
      <c r="T53" s="325">
        <f>IF(ISERROR((T30/(IS!T34*4)*100)),0,(T30/(IS!T34*4)*100))</f>
        <v>10.3156146179402</v>
      </c>
      <c r="U53" s="325">
        <f>IF(ISERROR((U30/(IS!U34*4)*100)),0,(U30/(IS!U34*4)*100))</f>
        <v>10.929054054054054</v>
      </c>
      <c r="V53" s="325">
        <f>IF(ISERROR((V30/(IS!V34*4)*100)),0,(V30/(IS!V34*4)*100))</f>
        <v>8.9354514088556645</v>
      </c>
      <c r="W53" s="325"/>
      <c r="X53" s="325">
        <f>IF(ISERROR((X30/(IS!X34*4)*100)),0,(X30/(IS!X34*4)*100))</f>
        <v>7.4250681198910078</v>
      </c>
      <c r="Y53" s="325">
        <f>IF(ISERROR((Y30/(IS!Y34*4)*100)),0,(Y30/(IS!Y34*4)*100))</f>
        <v>7.3014018691588785</v>
      </c>
      <c r="Z53" s="325">
        <f>IF(ISERROR((Z30/(IS!Z34*4)*100)),0,(Z30/(IS!Z34*4)*100))</f>
        <v>7.9254079254079253</v>
      </c>
      <c r="AA53" s="325">
        <f>IF(ISERROR((AA30/(IS!AA34*4)*100)),0,(AA30/(IS!AA34*4)*100))</f>
        <v>6.1529933481152996</v>
      </c>
      <c r="AB53" s="325"/>
      <c r="AC53" s="325">
        <f>IF(ISERROR((AC30/(IS!AC34*4)*100)),0,(AC30/(IS!AC34*4)*100))</f>
        <v>6.9411764705882355</v>
      </c>
      <c r="AD53" s="325">
        <f>IF(ISERROR((AD30/(IS!AD34*4)*100)),0,(AD30/(IS!AD34*4)*100))</f>
        <v>9.9787685774946926</v>
      </c>
      <c r="AE53" s="325">
        <f>IF(ISERROR((AE30/(IS!AE34*4)*100)),0,(AE30/(IS!AE34*4)*100))</f>
        <v>16.498993963782695</v>
      </c>
      <c r="AF53" s="325">
        <f>IF(ISERROR((AF30/(IS!AF34*4)*100)),0,(AF30/(IS!AF34*4)*100))</f>
        <v>9.0733590733590734</v>
      </c>
      <c r="AG53" s="325"/>
      <c r="AH53" s="325">
        <f>IF(ISERROR((AH30/(IS!AH34*4)*100)),0,(AH30/(IS!AH34*4)*100))</f>
        <v>9.1074681238615653</v>
      </c>
      <c r="AI53" s="325">
        <f>IF(ISERROR((AI30/(IS!AI34*4)*100)),0,(AI30/(IS!AI34*4)*100))</f>
        <v>7.1804511278195484</v>
      </c>
      <c r="AJ53" s="325">
        <f>IF(ISERROR((AJ30/(IS!AJ34*4)*100)),0,(AJ30/(IS!AJ34*4)*100))</f>
        <v>6.4661134163208862</v>
      </c>
      <c r="AK53" s="325">
        <f>IF(ISERROR((AK30/(IS!AK34*4)*100)),0,(AK30/(IS!AK34*4)*100))</f>
        <v>6.2997347480106107</v>
      </c>
      <c r="AL53" s="325"/>
      <c r="AM53" s="325">
        <f>IF(ISERROR((AM30/(IS!AM34*4)*100)),0,(AM30/(IS!AM34*4)*100))</f>
        <v>6.0233918128654977</v>
      </c>
      <c r="AN53" s="325">
        <f>IF(ISERROR((AN30/(IS!AN34*4)*100)),0,(AN30/(IS!AN34*4)*100))</f>
        <v>7.1390374331550808</v>
      </c>
      <c r="AO53" s="325">
        <f>IF(ISERROR((AO30/(IS!AO34*4)*100)),0,(AO30/(IS!AO34*4)*100))</f>
        <v>7.7560240963855431</v>
      </c>
      <c r="AP53" s="325">
        <f>IF(ISERROR((AP30/(IS!AP34*4)*100)),0,(AP30/(IS!AP34*4)*100))</f>
        <v>8.909702209414025</v>
      </c>
      <c r="AQ53" s="325"/>
      <c r="AR53" s="325">
        <f>IF(ISERROR((AR30/(IS!AR34*4)*100)),0,(AR30/(IS!AR34*4)*100))</f>
        <v>10.161606268364348</v>
      </c>
      <c r="AS53" s="325">
        <f>IF(ISERROR((AS30/(IS!AS34*4)*100)),0,(AS30/(IS!AS34*4)*100))</f>
        <v>10.992301112061591</v>
      </c>
      <c r="AT53" s="325">
        <f>IF(ISERROR((AT30/(IS!AT34*4)*100)),0,(AT30/(IS!AT34*4)*100))</f>
        <v>13.550247116968697</v>
      </c>
      <c r="AU53" s="325">
        <f>IF(ISERROR((AU30/(IS!AU34*4)*100)),0,(AU30/(IS!AU34*4)*100))</f>
        <v>13.575487012987015</v>
      </c>
      <c r="AV53" s="325"/>
      <c r="AW53" s="325">
        <f>IF(ISERROR((AW30/(IS!AW34*4)*100)),0,(AW30/(IS!AW34*4)*100))</f>
        <v>13.164603058994901</v>
      </c>
      <c r="AX53" s="325">
        <f>IF(ISERROR((AX30/(IS!AX34*4)*100)),0,(AX30/(IS!AX34*4)*100))</f>
        <v>11.725955204216074</v>
      </c>
      <c r="AY53" s="325">
        <f>IF(ISERROR((AY30/(IS!AY34*4)*100)),0,(AY30/(IS!AY34*4)*100))</f>
        <v>13.161609033168666</v>
      </c>
      <c r="AZ53" s="325">
        <f>IF(ISERROR((AZ30/(IS!AZ34*4)*100)),0,(AZ30/(IS!AZ34*4)*100))</f>
        <v>12.998071979434448</v>
      </c>
      <c r="BA53" s="325"/>
      <c r="BB53" s="325">
        <f>IF(ISERROR((BB30/(IS!BB34*4)*100)),0,(BB30/(IS!BB34*4)*100))</f>
        <v>15.924895688456189</v>
      </c>
      <c r="BC53" s="325">
        <f>IF(ISERROR((BC30/(IS!BC34*4)*100)),0,(BC30/(IS!BC34*4)*100))</f>
        <v>13.510253317249699</v>
      </c>
      <c r="BD53" s="325">
        <f>IF(ISERROR((BD30/(IS!BD34*4)*100)),0,(BD30/(IS!BD34*4)*100))</f>
        <v>14.966807483403741</v>
      </c>
      <c r="BE53" s="325">
        <f>IF(ISERROR((BE30/(IS!BE34*4)*100)),0,(BE30/(IS!BE34*4)*100))</f>
        <v>18.741226017781937</v>
      </c>
      <c r="BF53" s="325"/>
      <c r="BG53" s="325">
        <f>IF(ISERROR((BG30/(IS!BG34*4)*100)),0,(BG30/(IS!BG34*4)*100))</f>
        <v>23.989623156744948</v>
      </c>
      <c r="BH53" s="325">
        <f>IF(ISERROR((BH30/(IS!BH34*4)*100)),0,(BH30/(IS!BH34*4)*100))</f>
        <v>28.543969245555022</v>
      </c>
      <c r="BI53" s="325">
        <f>IF(ISERROR((BI30/(IS!BI34*4)*100)),0,(BI30/(IS!BI34*4)*100))</f>
        <v>38.690194220748459</v>
      </c>
      <c r="BJ53" s="325">
        <f>IF(ISERROR((BJ30/(IS!BJ34*4)*100)),0,(BJ30/(IS!BJ34*4)*100))</f>
        <v>28.141849854832017</v>
      </c>
      <c r="BK53" s="325"/>
      <c r="BL53" s="325">
        <f>IF(ISERROR((BL30/(IS!BL34*4)*100)),0,(BL30/(IS!BL34*4)*100))</f>
        <v>30.634807417974326</v>
      </c>
      <c r="BM53" s="325">
        <f>IF(ISERROR((BM30/(IS!BM34*4)*100)),0,(BM30/(IS!BM34*4)*100))</f>
        <v>20.831613702022285</v>
      </c>
      <c r="BN53" s="325">
        <f>IF(ISERROR((BN30/(IS!BN34*4)*100)),0,(BN30/(IS!BN34*4)*100))</f>
        <v>19.809582309582311</v>
      </c>
      <c r="BO53" s="325">
        <f>IF(ISERROR((BO30/(IS!BO34*4)*100)),0,(BO30/(IS!BO34*4)*100))</f>
        <v>12.730916695712791</v>
      </c>
      <c r="BP53" s="325"/>
      <c r="BQ53" s="325">
        <f>IF(ISERROR((BQ30/(IS!BQ34*4)*100)),0,(BQ30/(IS!BQ34*4)*100))</f>
        <v>33.614072494669514</v>
      </c>
      <c r="BR53" s="325">
        <f>IF(ISERROR((BR30/(IS!BR34*4)*100)),0,(BR30/(IS!BR34*4)*100))</f>
        <v>16.162833827893174</v>
      </c>
      <c r="BS53" s="325">
        <f>IF(ISERROR((BS30/(IS!BS34*4)*100)),0,(BS30/(IS!BS34*4)*100))</f>
        <v>18.015282131661444</v>
      </c>
      <c r="BT53" s="325">
        <f>IF(ISERROR((BT30/(IS!BT34*4)*100)),0,(BT30/(IS!BT34*4)*100))</f>
        <v>20.333776154101628</v>
      </c>
      <c r="BU53" s="325"/>
      <c r="BV53" s="325">
        <f>IF(ISERROR((BV30/(IS!BV34*4)*100)),0,(BV30/(IS!BV34*4)*100))</f>
        <v>11.625666864256075</v>
      </c>
      <c r="BW53" s="325">
        <f>IF(ISERROR((BW30/(IS!BW34*4)*100)),0,(BW30/(IS!BW34*4)*100))</f>
        <v>9.1580408987629376</v>
      </c>
      <c r="BX53" s="325">
        <f>IF(ISERROR((BX30/(IS!BX34*4)*100)),0,(BX30/(IS!BX34*4)*100))</f>
        <v>9.0254126277181026</v>
      </c>
      <c r="BY53" s="325">
        <f>IF(ISERROR((BY30/(IS!BY34*4)*100)),0,(BY30/(IS!BY34*4)*100))</f>
        <v>9.6949152542372872</v>
      </c>
      <c r="BZ53" s="325"/>
      <c r="CA53" s="325">
        <f>IF(ISERROR((CA30/(IS!CA34*4)*100)),0,(CA30/(IS!CA34*4)*100))</f>
        <v>13.514078617228881</v>
      </c>
      <c r="CB53" s="325">
        <f>IF(ISERROR((CB30/(IS!CB34*4)*100)),0,(CB30/(IS!CB34*4)*100))</f>
        <v>9.7548342541436455</v>
      </c>
      <c r="CC53" s="325">
        <f>IF(ISERROR((CC30/(IS!CC34*4)*100)),0,(CC30/(IS!CC34*4)*100))</f>
        <v>26.659934360010094</v>
      </c>
      <c r="CD53" s="325">
        <f>IF(ISERROR((CD30/(IS!CD34*4)*100)),0,(CD30/(IS!CD34*4)*100))</f>
        <v>10.266139375801625</v>
      </c>
      <c r="CE53" s="325"/>
      <c r="CF53" s="325">
        <f>IF(ISERROR((CF30/(IS!CF34*4)*100)),0,(CF30/(IS!CF34*4)*100))</f>
        <v>21.923281832711776</v>
      </c>
      <c r="CG53" s="325">
        <f>IF(ISERROR((CG30/(IS!CG34*4)*100)),0,(CG30/(IS!CG34*4)*100))</f>
        <v>15.680009645526887</v>
      </c>
      <c r="CH53" s="325">
        <f>IF(ISERROR((CH30/(IS!CH34*4)*100)),0,(CH30/(IS!CH34*4)*100))</f>
        <v>20.793269230769234</v>
      </c>
      <c r="CI53" s="325">
        <f>IF(ISERROR((CI30/(IS!CI34*4)*100)),0,(CI30/(IS!CI34*4)*100))</f>
        <v>18.013383939272874</v>
      </c>
      <c r="CJ53" s="325"/>
      <c r="CK53" s="325">
        <f>IF(ISERROR((CK30/(IS!CK34*4)*100)),0,(CK30/(IS!CK34*4)*100))</f>
        <v>22.684391080617498</v>
      </c>
      <c r="CL53" s="325">
        <f>IF(ISERROR((CL30/(IS!CL34*4)*100)),0,(CL30/(IS!CL34*4)*100))</f>
        <v>15.766039263307022</v>
      </c>
      <c r="CM53" s="325">
        <f>IF(ISERROR((CM30/(IS!CM34*4)*100)),0,(CM30/(IS!CM34*4)*100))</f>
        <v>24.400479616306956</v>
      </c>
      <c r="CN53" s="325">
        <f>IF(ISERROR((CN30/(IS!CN34*4)*100)),0,(CN30/(IS!CN34*4)*100))</f>
        <v>31.697905181918411</v>
      </c>
      <c r="CO53" s="325"/>
      <c r="CP53" s="325">
        <f>IF(ISERROR((CP30/(IS!CP34*4)*100)),0,(CP30/(IS!CP34*4)*100))</f>
        <v>42.345399698340877</v>
      </c>
      <c r="CQ53" s="325">
        <f>IF(ISERROR((CQ30/(IS!CQ34*4)*100)),0,(CQ30/(IS!CQ34*4)*100))</f>
        <v>29.137614678899084</v>
      </c>
      <c r="CR53" s="325">
        <f>IF(ISERROR((CR30/(IS!CR34*4)*100)),0,(CR30/(IS!CR34*4)*100))</f>
        <v>29.12511332728921</v>
      </c>
      <c r="CS53" s="325">
        <f>IF(ISERROR((CS30/(IS!CS34*4)*100)),0,(CS30/(IS!CS34*4)*100))</f>
        <v>14.735557363710333</v>
      </c>
      <c r="CT53" s="325"/>
      <c r="CU53" s="325">
        <f>IF(ISERROR((CU30/(IS!CU34*4)*100)),0,(CU30/(IS!CU34*4)*100))</f>
        <v>17.225085910652922</v>
      </c>
      <c r="CV53" s="325">
        <f>IF(ISERROR((CV30/(IS!CV34*4)*100)),0,(CV30/(IS!CV34*4)*100))</f>
        <v>12.687214251931264</v>
      </c>
      <c r="CW53" s="325">
        <f>IF(ISERROR((CW30/(IS!CW34*4)*100)),0,(CW30/(IS!CW34*4)*100))</f>
        <v>17.889270526660127</v>
      </c>
      <c r="CX53" s="325">
        <f>IF(ISERROR((CX30/(IS!CX34*4)*100)),0,(CX30/(IS!CX34*4)*100))</f>
        <v>12.553176890352683</v>
      </c>
      <c r="CY53" s="325"/>
      <c r="CZ53" s="325">
        <f>IF(ISERROR((CZ30/(IS!CZ34*4)*100)),0,(CZ30/(IS!CZ34*4)*100))</f>
        <v>14.161570646926295</v>
      </c>
      <c r="DA53" s="325">
        <f>IF(ISERROR((DA30/(IS!DA34*4)*100)),0,(DA30/(IS!DA34*4)*100))</f>
        <v>11.385080347928646</v>
      </c>
      <c r="DB53" s="325">
        <f>IF(ISERROR((DB30/(IS!DB34*4)*100)),0,(DB30/(IS!DB34*4)*100))</f>
        <v>12.008679986898132</v>
      </c>
      <c r="DC53" s="325">
        <f>IF(ISERROR((DC30/(IS!DC34*4)*100)),0,(DC30/(IS!DC34*4)*100))</f>
        <v>12.277274148171303</v>
      </c>
      <c r="DD53" s="326"/>
      <c r="DE53" s="325">
        <f>IF(ISERROR((DE30/(IS!DE34*4)*100)),0,(DE30/(IS!DE34*4)*100))</f>
        <v>13.634739099356683</v>
      </c>
      <c r="DF53" s="325">
        <f>IF(ISERROR((DF30/(IS!DF34*4)*100)),0,(DF30/(IS!DF34*4)*100))</f>
        <v>10.48176137189362</v>
      </c>
      <c r="DG53" s="325">
        <f>IF(ISERROR((DG30/(IS!DG34*4)*100)),0,(DG30/(IS!DG34*4)*100))</f>
        <v>11.958174904942966</v>
      </c>
      <c r="DH53" s="325">
        <f>IF(ISERROR((DH30/(IS!DH34*4)*100)),0,(DH30/(IS!DH34*4)*100))</f>
        <v>10.559878945092953</v>
      </c>
      <c r="DI53" s="326"/>
      <c r="DJ53" s="325">
        <f>IF(ISERROR((DJ30/(IS!DJ34*4)*100)),0,(DJ30/(IS!DJ34*4)*100))</f>
        <v>13.211279461279462</v>
      </c>
      <c r="DK53" s="325">
        <f>IF(ISERROR((DK30/(IS!DK34*4)*100)),0,(DK30/(IS!DK34*4)*100))</f>
        <v>11.466570812365205</v>
      </c>
      <c r="DL53" s="325">
        <f>IF(ISERROR((DL30/(IS!DL34*4)*100)),0,(DL30/(IS!DL34*4)*100))</f>
        <v>12.184843154500147</v>
      </c>
      <c r="DM53" s="325">
        <f>IF(ISERROR((DM30/(IS!DM34*4)*100)),0,(DM30/(IS!DM34*4)*100))</f>
        <v>11.658653846153847</v>
      </c>
      <c r="DN53" s="326"/>
      <c r="DO53" s="325">
        <f>IF(ISERROR((DO30/(IS!DO34*4)*100)),0,(DO30/(IS!DO34*4)*100))</f>
        <v>12.691645807259075</v>
      </c>
      <c r="DP53" s="325">
        <f>IF(ISERROR((DP30/(IS!DP34*4)*100)),0,(DP30/(IS!DP34*4)*100))</f>
        <v>10.537019164483661</v>
      </c>
      <c r="DQ53" s="325">
        <f>IF(ISERROR((DQ30/(IS!DQ34*4)*100)),0,(DQ30/(IS!DQ34*4)*100))</f>
        <v>10.630560655274678</v>
      </c>
      <c r="DR53" s="325">
        <f>IF(ISERROR((DR30/(IS!DR34*4)*100)),0,(DR30/(IS!DR34*4)*100))</f>
        <v>10.487951005192384</v>
      </c>
      <c r="DS53" s="326"/>
      <c r="DT53" s="325">
        <f>IF(ISERROR((DT30/(IS!DT34*4)*100)),0,(DT30/(IS!DT34*4)*100))</f>
        <v>12.676056338028168</v>
      </c>
      <c r="DU53" s="325">
        <f>IF(ISERROR((DU30/(IS!DU34*4)*100)),0,(DU30/(IS!DU34*4)*100))</f>
        <v>10.527961966720881</v>
      </c>
      <c r="DV53" s="325">
        <f>IF(ISERROR((DV30/(IS!DV34*4)*100)),0,(DV30/(IS!DV34*4)*100))</f>
        <v>13.29686013320647</v>
      </c>
      <c r="DW53" s="325">
        <f>IF(ISERROR((DW30/(IS!DW34*4)*100)),0,(DW30/(IS!DW34*4)*100))</f>
        <v>10.938450310181242</v>
      </c>
      <c r="DX53" s="326"/>
      <c r="DY53" s="325">
        <f>IF(ISERROR((DY30/(IS!DY34*4)*100)),0,(DY30/(IS!DY34*4)*100))</f>
        <v>12.798333568704987</v>
      </c>
      <c r="DZ53" s="325">
        <f>IF(ISERROR((DZ30/(IS!DZ34*4)*100)),0,(DZ30/(IS!DZ34*4)*100))</f>
        <v>11.855794822163078</v>
      </c>
      <c r="EA53" s="325">
        <f>IF(ISERROR((EA30/(IS!EA34*4)*100)),0,(EA30/(IS!EA34*4)*100))</f>
        <v>14.272836538461538</v>
      </c>
      <c r="EB53" s="325">
        <f>IF(ISERROR((EB30/(IS!EB34*4)*100)),0,(EB30/(IS!EB34*4)*100))</f>
        <v>18.811287862279364</v>
      </c>
      <c r="EC53" s="326"/>
      <c r="ED53" s="325">
        <f>IF(ISERROR((ED30/(IS!ED34*4)*100)),0,(ED30/(IS!ED34*4)*100))</f>
        <v>22.43831822759315</v>
      </c>
      <c r="EE53" s="325">
        <f>IF(ISERROR((EE30/(IS!EE34*4)*100)),0,(EE30/(IS!EE34*4)*100))</f>
        <v>19.912808177991582</v>
      </c>
      <c r="EF53" s="325">
        <f>IF(ISERROR((EF30/(IS!EF34*4)*100)),0,(EF30/(IS!EF34*4)*100))</f>
        <v>21.987410071942445</v>
      </c>
      <c r="EG53" s="325">
        <f>IF(ISERROR((EG30/(IS!EG34*4)*100)),0,(EG30/(IS!EG34*4)*100))</f>
        <v>20.313438213041913</v>
      </c>
      <c r="EH53" s="325"/>
      <c r="EI53" s="325">
        <f>IF(ISERROR((EI30/(IS!EI34*4)*100)),0,(EI30/(IS!EI34*4)*100))</f>
        <v>21.006497901719236</v>
      </c>
      <c r="EJ53" s="325">
        <f>IF(ISERROR((EJ30/(IS!EJ34*4)*100)),0,(EJ30/(IS!EJ34*4)*100))</f>
        <v>20.422579827673594</v>
      </c>
      <c r="EK53" s="325">
        <f>IF(ISERROR((EK30/(IS!EK34*4)*100)),0,(EK30/(IS!EK34*4)*100))</f>
        <v>19.57635009310987</v>
      </c>
      <c r="EL53" s="325">
        <f>IF(ISERROR((EL30/(IS!EL34*4)*100)),0,(EL30/(IS!EL34*4)*100))</f>
        <v>20.815949457623077</v>
      </c>
      <c r="EM53" s="325"/>
      <c r="EN53" s="325">
        <f>IF(ISERROR((EN30/(IS!EN34*4)*100)),0,(EN30/(IS!EN34*4)*100))</f>
        <v>27.815850183199892</v>
      </c>
      <c r="EO53" s="325">
        <f>IF(ISERROR((EO30/(IS!EO34*4)*100)),0,(EO30/(IS!EO34*4)*100))</f>
        <v>24.872194513715712</v>
      </c>
      <c r="EP53" s="325">
        <f>IF(ISERROR((EP30/(IS!EP34*4)*100)),0,(EP30/(IS!EP34*4)*100))</f>
        <v>21.918377031676357</v>
      </c>
      <c r="EQ53" s="325">
        <f>IF(ISERROR((EQ30/(IS!EQ34*4)*100)),0,(EQ30/(IS!EQ34*4)*100))</f>
        <v>20.704617399847177</v>
      </c>
      <c r="ER53" s="325"/>
      <c r="ES53" s="325">
        <f>IF(ISERROR((ES30/(IS!ES34*4)*100)),0,(ES30/(IS!ES34*4)*100))</f>
        <v>21.983161833489241</v>
      </c>
      <c r="ET53" s="325">
        <f>IF(ISERROR((ET30/(IS!ET34*4)*100)),0,(ET30/(IS!ET34*4)*100))</f>
        <v>21.217983651226156</v>
      </c>
      <c r="EU53" s="325">
        <f>IF(ISERROR((EU30/(IS!EU34*4)*100)),0,(EU30/(IS!EU34*4)*100))</f>
        <v>20.252754374594943</v>
      </c>
      <c r="EV53" s="325">
        <f t="shared" si="58"/>
        <v>20.704617399847177</v>
      </c>
      <c r="EW53" s="325"/>
      <c r="EX53" s="325">
        <f t="shared" si="59"/>
        <v>21.983161833489241</v>
      </c>
      <c r="EY53" s="325">
        <f t="shared" si="60"/>
        <v>21.217983651226156</v>
      </c>
      <c r="EZ53" s="325">
        <f t="shared" si="61"/>
        <v>20.252754374594943</v>
      </c>
      <c r="FA53" s="325">
        <f t="shared" si="62"/>
        <v>20.704617399847177</v>
      </c>
      <c r="FB53" s="325"/>
      <c r="FC53" s="325">
        <f t="shared" si="63"/>
        <v>21.983161833489241</v>
      </c>
      <c r="FD53" s="325">
        <f t="shared" si="64"/>
        <v>21.217983651226156</v>
      </c>
      <c r="FE53" s="325">
        <f t="shared" si="65"/>
        <v>20.252754374594943</v>
      </c>
      <c r="FF53" s="325">
        <f t="shared" si="66"/>
        <v>20.704617399847177</v>
      </c>
      <c r="FG53" s="325"/>
      <c r="FH53" s="325">
        <f t="shared" si="67"/>
        <v>21.983161833489241</v>
      </c>
      <c r="FI53" s="325">
        <f t="shared" si="68"/>
        <v>21.217983651226156</v>
      </c>
      <c r="FJ53" s="325">
        <f t="shared" si="69"/>
        <v>20.252754374594943</v>
      </c>
      <c r="FK53" s="325">
        <f t="shared" si="70"/>
        <v>20.704617399847177</v>
      </c>
      <c r="FL53" s="325"/>
      <c r="FM53" s="263"/>
      <c r="FO53"/>
      <c r="FP53"/>
      <c r="FQ53"/>
      <c r="FR53"/>
      <c r="FS53"/>
      <c r="FT53"/>
      <c r="FU53" s="261"/>
      <c r="FV53" s="261"/>
      <c r="FW53" s="261"/>
      <c r="FX53" s="261"/>
    </row>
    <row r="54" spans="1:180" s="264" customFormat="1" ht="11.25" hidden="1" customHeight="1" outlineLevel="1">
      <c r="A54" s="264" t="s">
        <v>871</v>
      </c>
      <c r="D54" s="325">
        <f>IF(ISERROR((D33/(IS!D34*4)*100)),0,(D33/(IS!D34*4)*100))</f>
        <v>0</v>
      </c>
      <c r="E54" s="325">
        <f>IF(ISERROR((E33/(IS!E34*4)*100)),0,(E33/(IS!E34*4)*100))</f>
        <v>0</v>
      </c>
      <c r="F54" s="325">
        <f>IF(ISERROR((F33/(IS!F34*4)*100)),0,(F33/(IS!F34*4)*100))</f>
        <v>0</v>
      </c>
      <c r="G54" s="325">
        <f>IF(ISERROR((G33/(IS!G34*4)*100)),0,(G33/(IS!G34*4)*100))</f>
        <v>0</v>
      </c>
      <c r="H54" s="325"/>
      <c r="I54" s="325">
        <f>IF(ISERROR((I33/(IS!I34*4)*100)),0,(I33/(IS!I34*4)*100))</f>
        <v>0</v>
      </c>
      <c r="J54" s="325">
        <f>IF(ISERROR((J33/(IS!J34*4)*100)),0,(J33/(IS!J34*4)*100))</f>
        <v>0</v>
      </c>
      <c r="K54" s="325">
        <f>IF(ISERROR((K33/(IS!K34*4)*100)),0,(K33/(IS!K34*4)*100))</f>
        <v>0</v>
      </c>
      <c r="L54" s="325">
        <f>IF(ISERROR((L33/(IS!L34*4)*100)),0,(L33/(IS!L34*4)*100))</f>
        <v>0</v>
      </c>
      <c r="M54" s="325"/>
      <c r="N54" s="325">
        <f>IF(ISERROR((N33/(IS!N34*4)*100)),0,(N33/(IS!N34*4)*100))</f>
        <v>0</v>
      </c>
      <c r="O54" s="325">
        <f>IF(ISERROR((O33/(IS!O34*4)*100)),0,(O33/(IS!O34*4)*100))</f>
        <v>0</v>
      </c>
      <c r="P54" s="325">
        <f>IF(ISERROR((P33/(IS!P34*4)*100)),0,(P33/(IS!P34*4)*100))</f>
        <v>0</v>
      </c>
      <c r="Q54" s="325">
        <f>IF(ISERROR((Q33/(IS!Q34*4)*100)),0,(Q33/(IS!Q34*4)*100))</f>
        <v>0</v>
      </c>
      <c r="R54" s="325"/>
      <c r="S54" s="325">
        <f>IF(ISERROR((S33/(IS!S34*4)*100)),0,(S33/(IS!S34*4)*100))</f>
        <v>0</v>
      </c>
      <c r="T54" s="325">
        <f>IF(ISERROR((T33/(IS!T34*4)*100)),0,(T33/(IS!T34*4)*100))</f>
        <v>0</v>
      </c>
      <c r="U54" s="325">
        <f>IF(ISERROR((U33/(IS!U34*4)*100)),0,(U33/(IS!U34*4)*100))</f>
        <v>0</v>
      </c>
      <c r="V54" s="325">
        <f>IF(ISERROR((V33/(IS!V34*4)*100)),0,(V33/(IS!V34*4)*100))</f>
        <v>0</v>
      </c>
      <c r="W54" s="325"/>
      <c r="X54" s="325">
        <f>IF(ISERROR((X33/(IS!X34*4)*100)),0,(X33/(IS!X34*4)*100))</f>
        <v>0</v>
      </c>
      <c r="Y54" s="325">
        <f>IF(ISERROR((Y33/(IS!Y34*4)*100)),0,(Y33/(IS!Y34*4)*100))</f>
        <v>0</v>
      </c>
      <c r="Z54" s="325">
        <f>IF(ISERROR((Z33/(IS!Z34*4)*100)),0,(Z33/(IS!Z34*4)*100))</f>
        <v>0</v>
      </c>
      <c r="AA54" s="325">
        <f>IF(ISERROR((AA33/(IS!AA34*4)*100)),0,(AA33/(IS!AA34*4)*100))</f>
        <v>0</v>
      </c>
      <c r="AB54" s="325"/>
      <c r="AC54" s="325">
        <f>IF(ISERROR((AC33/(IS!AC34*4)*100)),0,(AC33/(IS!AC34*4)*100))</f>
        <v>0</v>
      </c>
      <c r="AD54" s="325">
        <f>IF(ISERROR((AD33/(IS!AD34*4)*100)),0,(AD33/(IS!AD34*4)*100))</f>
        <v>0</v>
      </c>
      <c r="AE54" s="325">
        <f>IF(ISERROR((AE33/(IS!AE34*4)*100)),0,(AE33/(IS!AE34*4)*100))</f>
        <v>0</v>
      </c>
      <c r="AF54" s="325">
        <f>IF(ISERROR((AF33/(IS!AF34*4)*100)),0,(AF33/(IS!AF34*4)*100))</f>
        <v>0</v>
      </c>
      <c r="AG54" s="325"/>
      <c r="AH54" s="325">
        <f>IF(ISERROR((AH33/(IS!AH34*4)*100)),0,(AH33/(IS!AH34*4)*100))</f>
        <v>9.2440801457194901</v>
      </c>
      <c r="AI54" s="325">
        <f>IF(ISERROR((AI33/(IS!AI34*4)*100)),0,(AI33/(IS!AI34*4)*100))</f>
        <v>11.165413533834586</v>
      </c>
      <c r="AJ54" s="325">
        <f>IF(ISERROR((AJ33/(IS!AJ34*4)*100)),0,(AJ33/(IS!AJ34*4)*100))</f>
        <v>12.171507607192254</v>
      </c>
      <c r="AK54" s="325">
        <f>IF(ISERROR((AK33/(IS!AK34*4)*100)),0,(AK33/(IS!AK34*4)*100))</f>
        <v>13.428381962864721</v>
      </c>
      <c r="AL54" s="325"/>
      <c r="AM54" s="325">
        <f>IF(ISERROR((AM33/(IS!AM34*4)*100)),0,(AM33/(IS!AM34*4)*100))</f>
        <v>15.701754385964911</v>
      </c>
      <c r="AN54" s="325">
        <f>IF(ISERROR((AN33/(IS!AN34*4)*100)),0,(AN33/(IS!AN34*4)*100))</f>
        <v>14.973262032085561</v>
      </c>
      <c r="AO54" s="325">
        <f>IF(ISERROR((AO33/(IS!AO34*4)*100)),0,(AO33/(IS!AO34*4)*100))</f>
        <v>15.210843373493976</v>
      </c>
      <c r="AP54" s="325">
        <f>IF(ISERROR((AP33/(IS!AP34*4)*100)),0,(AP33/(IS!AP34*4)*100))</f>
        <v>15.249759846301632</v>
      </c>
      <c r="AQ54" s="325"/>
      <c r="AR54" s="325">
        <f>IF(ISERROR((AR33/(IS!AR34*4)*100)),0,(AR33/(IS!AR34*4)*100))</f>
        <v>16.527913809990206</v>
      </c>
      <c r="AS54" s="325">
        <f>IF(ISERROR((AS33/(IS!AS34*4)*100)),0,(AS33/(IS!AS34*4)*100))</f>
        <v>0</v>
      </c>
      <c r="AT54" s="325">
        <f>IF(ISERROR((AT33/(IS!AT34*4)*100)),0,(AT33/(IS!AT34*4)*100))</f>
        <v>0</v>
      </c>
      <c r="AU54" s="325">
        <f>IF(ISERROR((AU33/(IS!AU34*4)*100)),0,(AU33/(IS!AU34*4)*100))</f>
        <v>0</v>
      </c>
      <c r="AV54" s="325"/>
      <c r="AW54" s="325">
        <f>IF(ISERROR((AW33/(IS!AW34*4)*100)),0,(AW33/(IS!AW34*4)*100))</f>
        <v>0</v>
      </c>
      <c r="AX54" s="325">
        <f>IF(ISERROR((AX33/(IS!AX34*4)*100)),0,(AX33/(IS!AX34*4)*100))</f>
        <v>0</v>
      </c>
      <c r="AY54" s="325">
        <f>IF(ISERROR((AY33/(IS!AY34*4)*100)),0,(AY33/(IS!AY34*4)*100))</f>
        <v>0</v>
      </c>
      <c r="AZ54" s="325">
        <f>IF(ISERROR((AZ33/(IS!AZ34*4)*100)),0,(AZ33/(IS!AZ34*4)*100))</f>
        <v>0</v>
      </c>
      <c r="BA54" s="325"/>
      <c r="BB54" s="325">
        <f>IF(ISERROR((BB33/(IS!BB34*4)*100)),0,(BB33/(IS!BB34*4)*100))</f>
        <v>0</v>
      </c>
      <c r="BC54" s="325">
        <f>IF(ISERROR((BC33/(IS!BC34*4)*100)),0,(BC33/(IS!BC34*4)*100))</f>
        <v>0</v>
      </c>
      <c r="BD54" s="325">
        <f>IF(ISERROR((BD33/(IS!BD34*4)*100)),0,(BD33/(IS!BD34*4)*100))</f>
        <v>0</v>
      </c>
      <c r="BE54" s="325">
        <f>IF(ISERROR((BE33/(IS!BE34*4)*100)),0,(BE33/(IS!BE34*4)*100))</f>
        <v>16.202620496022462</v>
      </c>
      <c r="BF54" s="325"/>
      <c r="BG54" s="325">
        <f>IF(ISERROR((BG33/(IS!BG34*4)*100)),0,(BG33/(IS!BG34*4)*100))</f>
        <v>0</v>
      </c>
      <c r="BH54" s="325">
        <f>IF(ISERROR((BH33/(IS!BH34*4)*100)),0,(BH33/(IS!BH34*4)*100))</f>
        <v>0</v>
      </c>
      <c r="BI54" s="325">
        <f>IF(ISERROR((BI33/(IS!BI34*4)*100)),0,(BI33/(IS!BI34*4)*100))</f>
        <v>0</v>
      </c>
      <c r="BJ54" s="325">
        <f>IF(ISERROR((BJ33/(IS!BJ34*4)*100)),0,(BJ33/(IS!BJ34*4)*100))</f>
        <v>10.649108253836582</v>
      </c>
      <c r="BK54" s="325"/>
      <c r="BL54" s="325">
        <f>IF(ISERROR((BL33/(IS!BL34*4)*100)),0,(BL33/(IS!BL34*4)*100))</f>
        <v>17.118402282453637</v>
      </c>
      <c r="BM54" s="325">
        <f>IF(ISERROR((BM33/(IS!BM34*4)*100)),0,(BM33/(IS!BM34*4)*100))</f>
        <v>16.962443252166736</v>
      </c>
      <c r="BN54" s="325">
        <f>IF(ISERROR((BN33/(IS!BN34*4)*100)),0,(BN33/(IS!BN34*4)*100))</f>
        <v>18.171580671580674</v>
      </c>
      <c r="BO54" s="325">
        <f>IF(ISERROR((BO33/(IS!BO34*4)*100)),0,(BO33/(IS!BO34*4)*100))</f>
        <v>9.3063785291042169</v>
      </c>
      <c r="BP54" s="325"/>
      <c r="BQ54" s="325">
        <f>IF(ISERROR((BQ33/(IS!BQ34*4)*100)),0,(BQ33/(IS!BQ34*4)*100))</f>
        <v>0</v>
      </c>
      <c r="BR54" s="325">
        <f>IF(ISERROR((BR33/(IS!BR34*4)*100)),0,(BR33/(IS!BR34*4)*100))</f>
        <v>8.8186201780415434</v>
      </c>
      <c r="BS54" s="325">
        <f>IF(ISERROR((BS33/(IS!BS34*4)*100)),0,(BS33/(IS!BS34*4)*100))</f>
        <v>8.7284482758620694</v>
      </c>
      <c r="BT54" s="325">
        <f>IF(ISERROR((BT33/(IS!BT34*4)*100)),0,(BT33/(IS!BT34*4)*100))</f>
        <v>7.4642975755562935</v>
      </c>
      <c r="BU54" s="325"/>
      <c r="BV54" s="325">
        <f>IF(ISERROR((BV33/(IS!BV34*4)*100)),0,(BV33/(IS!BV34*4)*100))</f>
        <v>4.9792531120331951</v>
      </c>
      <c r="BW54" s="325">
        <f>IF(ISERROR((BW33/(IS!BW34*4)*100)),0,(BW33/(IS!BW34*4)*100))</f>
        <v>5.7056298914415553</v>
      </c>
      <c r="BX54" s="325">
        <f>IF(ISERROR((BX33/(IS!BX34*4)*100)),0,(BX33/(IS!BX34*4)*100))</f>
        <v>8.5472884464238934</v>
      </c>
      <c r="BY54" s="325">
        <f>IF(ISERROR((BY33/(IS!BY34*4)*100)),0,(BY33/(IS!BY34*4)*100))</f>
        <v>5.9661016949152543</v>
      </c>
      <c r="BZ54" s="325"/>
      <c r="CA54" s="325">
        <f>IF(ISERROR((CA33/(IS!CA34*4)*100)),0,(CA33/(IS!CA34*4)*100))</f>
        <v>6.1053805408419297</v>
      </c>
      <c r="CB54" s="325">
        <f>IF(ISERROR((CB33/(IS!CB34*4)*100)),0,(CB33/(IS!CB34*4)*100))</f>
        <v>6.0082872928176796</v>
      </c>
      <c r="CC54" s="325">
        <f>IF(ISERROR((CC33/(IS!CC34*4)*100)),0,(CC33/(IS!CC34*4)*100))</f>
        <v>10.262559959606159</v>
      </c>
      <c r="CD54" s="325">
        <f>IF(ISERROR((CD33/(IS!CD34*4)*100)),0,(CD33/(IS!CD34*4)*100))</f>
        <v>4.9807610089781953</v>
      </c>
      <c r="CE54" s="325"/>
      <c r="CF54" s="325">
        <f>IF(ISERROR((CF33/(IS!CF34*4)*100)),0,(CF33/(IS!CF34*4)*100))</f>
        <v>5.8470964304741608</v>
      </c>
      <c r="CG54" s="325">
        <f>IF(ISERROR((CG33/(IS!CG34*4)*100)),0,(CG33/(IS!CG34*4)*100))</f>
        <v>5.8174584036653005</v>
      </c>
      <c r="CH54" s="325">
        <f>IF(ISERROR((CH33/(IS!CH34*4)*100)),0,(CH33/(IS!CH34*4)*100))</f>
        <v>6.5925480769230766</v>
      </c>
      <c r="CI54" s="325">
        <f>IF(ISERROR((CI33/(IS!CI34*4)*100)),0,(CI33/(IS!CI34*4)*100))</f>
        <v>20.765081901717938</v>
      </c>
      <c r="CJ54" s="325"/>
      <c r="CK54" s="325">
        <f>IF(ISERROR((CK33/(IS!CK34*4)*100)),0,(CK33/(IS!CK34*4)*100))</f>
        <v>27.291105121293803</v>
      </c>
      <c r="CL54" s="325">
        <f>IF(ISERROR((CL33/(IS!CL34*4)*100)),0,(CL33/(IS!CL34*4)*100))</f>
        <v>23.183566079740945</v>
      </c>
      <c r="CM54" s="325">
        <f>IF(ISERROR((CM33/(IS!CM34*4)*100)),0,(CM33/(IS!CM34*4)*100))</f>
        <v>25.959232613908874</v>
      </c>
      <c r="CN54" s="325">
        <f>IF(ISERROR((CN33/(IS!CN34*4)*100)),0,(CN33/(IS!CN34*4)*100))</f>
        <v>24.287945608232267</v>
      </c>
      <c r="CO54" s="325"/>
      <c r="CP54" s="325">
        <f>IF(ISERROR((CP33/(IS!CP34*4)*100)),0,(CP33/(IS!CP34*4)*100))</f>
        <v>29.594914889032538</v>
      </c>
      <c r="CQ54" s="325">
        <f>IF(ISERROR((CQ33/(IS!CQ34*4)*100)),0,(CQ33/(IS!CQ34*4)*100))</f>
        <v>26.073394495412845</v>
      </c>
      <c r="CR54" s="325">
        <f>IF(ISERROR((CR33/(IS!CR34*4)*100)),0,(CR33/(IS!CR34*4)*100))</f>
        <v>25.199456029011785</v>
      </c>
      <c r="CS54" s="325">
        <f>IF(ISERROR((CS33/(IS!CS34*4)*100)),0,(CS33/(IS!CS34*4)*100))</f>
        <v>26.253051261187959</v>
      </c>
      <c r="CT54" s="325"/>
      <c r="CU54" s="325">
        <f>IF(ISERROR((CU33/(IS!CU34*4)*100)),0,(CU33/(IS!CU34*4)*100))</f>
        <v>42.864642993508973</v>
      </c>
      <c r="CV54" s="325">
        <f>IF(ISERROR((CV33/(IS!CV34*4)*100)),0,(CV33/(IS!CV34*4)*100))</f>
        <v>35.050449314204634</v>
      </c>
      <c r="CW54" s="325">
        <f>IF(ISERROR((CW33/(IS!CW34*4)*100)),0,(CW33/(IS!CW34*4)*100))</f>
        <v>18.036473666993786</v>
      </c>
      <c r="CX54" s="325">
        <f>IF(ISERROR((CX33/(IS!CX34*4)*100)),0,(CX33/(IS!CX34*4)*100))</f>
        <v>16.196651571291341</v>
      </c>
      <c r="CY54" s="325"/>
      <c r="CZ54" s="325">
        <f>IF(ISERROR((CZ33/(IS!CZ34*4)*100)),0,(CZ33/(IS!CZ34*4)*100))</f>
        <v>22.038944319279047</v>
      </c>
      <c r="DA54" s="325">
        <f>IF(ISERROR((DA33/(IS!DA34*4)*100)),0,(DA33/(IS!DA34*4)*100))</f>
        <v>22.3499926286304</v>
      </c>
      <c r="DB54" s="325">
        <f>IF(ISERROR((DB33/(IS!DB34*4)*100)),0,(DB33/(IS!DB34*4)*100))</f>
        <v>27.427939731411726</v>
      </c>
      <c r="DC54" s="325">
        <f>IF(ISERROR((DC33/(IS!DC34*4)*100)),0,(DC33/(IS!DC34*4)*100))</f>
        <v>24.495936230071898</v>
      </c>
      <c r="DD54" s="326"/>
      <c r="DE54" s="325">
        <f>IF(ISERROR((DE33/(IS!DE34*4)*100)),0,(DE33/(IS!DE34*4)*100))</f>
        <v>29.896354538956398</v>
      </c>
      <c r="DF54" s="325">
        <f>IF(ISERROR((DF33/(IS!DF34*4)*100)),0,(DF33/(IS!DF34*4)*100))</f>
        <v>26.104490626362448</v>
      </c>
      <c r="DG54" s="325">
        <f>IF(ISERROR((DG33/(IS!DG34*4)*100)),0,(DG33/(IS!DG34*4)*100))</f>
        <v>30.193916349809886</v>
      </c>
      <c r="DH54" s="325">
        <f>IF(ISERROR((DH33/(IS!DH34*4)*100)),0,(DH33/(IS!DH34*4)*100))</f>
        <v>27.648076091655859</v>
      </c>
      <c r="DI54" s="326"/>
      <c r="DJ54" s="325">
        <f>IF(ISERROR((DJ33/(IS!DJ34*4)*100)),0,(DJ33/(IS!DJ34*4)*100))</f>
        <v>33.350168350168353</v>
      </c>
      <c r="DK54" s="325">
        <f>IF(ISERROR((DK33/(IS!DK34*4)*100)),0,(DK33/(IS!DK34*4)*100))</f>
        <v>30.510424155283967</v>
      </c>
      <c r="DL54" s="325">
        <f>IF(ISERROR((DL33/(IS!DL34*4)*100)),0,(DL33/(IS!DL34*4)*100))</f>
        <v>33.66314863676341</v>
      </c>
      <c r="DM54" s="325">
        <f>IF(ISERROR((DM33/(IS!DM34*4)*100)),0,(DM33/(IS!DM34*4)*100))</f>
        <v>31.810897435897434</v>
      </c>
      <c r="DN54" s="326"/>
      <c r="DO54" s="325">
        <f>IF(ISERROR((DO33/(IS!DO34*4)*100)),0,(DO33/(IS!DO34*4)*100))</f>
        <v>36.142834793491865</v>
      </c>
      <c r="DP54" s="325">
        <f>IF(ISERROR((DP33/(IS!DP34*4)*100)),0,(DP33/(IS!DP34*4)*100))</f>
        <v>32.634771818557837</v>
      </c>
      <c r="DQ54" s="325">
        <f>IF(ISERROR((DQ33/(IS!DQ34*4)*100)),0,(DQ33/(IS!DQ34*4)*100))</f>
        <v>35.238666854963988</v>
      </c>
      <c r="DR54" s="325">
        <f>IF(ISERROR((DR33/(IS!DR34*4)*100)),0,(DR33/(IS!DR34*4)*100))</f>
        <v>33.620689655172413</v>
      </c>
      <c r="DS54" s="326"/>
      <c r="DT54" s="325">
        <f>IF(ISERROR((DT33/(IS!DT34*4)*100)),0,(DT33/(IS!DT34*4)*100))</f>
        <v>40.691977954684624</v>
      </c>
      <c r="DU54" s="325">
        <f>IF(ISERROR((DU33/(IS!DU34*4)*100)),0,(DU33/(IS!DU34*4)*100))</f>
        <v>33.751407481546352</v>
      </c>
      <c r="DV54" s="325">
        <f>IF(ISERROR((DV33/(IS!DV34*4)*100)),0,(DV33/(IS!DV34*4)*100))</f>
        <v>41.270218839200759</v>
      </c>
      <c r="DW54" s="325">
        <f>IF(ISERROR((DW33/(IS!DW34*4)*100)),0,(DW33/(IS!DW34*4)*100))</f>
        <v>35.606982118963629</v>
      </c>
      <c r="DX54" s="326"/>
      <c r="DY54" s="325">
        <f>IF(ISERROR((DY33/(IS!DY34*4)*100)),0,(DY33/(IS!DY34*4)*100))</f>
        <v>41.74198559525491</v>
      </c>
      <c r="DZ54" s="325">
        <f>IF(ISERROR((DZ33/(IS!DZ34*4)*100)),0,(DZ33/(IS!DZ34*4)*100))</f>
        <v>36.798330510525041</v>
      </c>
      <c r="EA54" s="325">
        <f>IF(ISERROR((EA33/(IS!EA34*4)*100)),0,(EA33/(IS!EA34*4)*100))</f>
        <v>40.968883547008545</v>
      </c>
      <c r="EB54" s="325">
        <f>IF(ISERROR((EB33/(IS!EB34*4)*100)),0,(EB33/(IS!EB34*4)*100))</f>
        <v>39.011767269557637</v>
      </c>
      <c r="EC54" s="326"/>
      <c r="ED54" s="325">
        <f>IF(ISERROR((ED33/(IS!ED34*4)*100)),0,(ED33/(IS!ED34*4)*100))</f>
        <v>45.616188318227593</v>
      </c>
      <c r="EE54" s="325">
        <f>IF(ISERROR((EE33/(IS!EE34*4)*100)),0,(EE33/(IS!EE34*4)*100))</f>
        <v>45.829825616355983</v>
      </c>
      <c r="EF54" s="325">
        <f>IF(ISERROR((EF33/(IS!EF34*4)*100)),0,(EF33/(IS!EF34*4)*100))</f>
        <v>52.007322713257963</v>
      </c>
      <c r="EG54" s="325">
        <f>IF(ISERROR((EG33/(IS!EG34*4)*100)),0,(EG33/(IS!EG34*4)*100))</f>
        <v>49.174372523117569</v>
      </c>
      <c r="EH54" s="325"/>
      <c r="EI54" s="325">
        <f>IF(ISERROR((EI33/(IS!EI34*4)*100)),0,(EI33/(IS!EI34*4)*100))</f>
        <v>52.284418573169077</v>
      </c>
      <c r="EJ54" s="325">
        <f>IF(ISERROR((EJ33/(IS!EJ34*4)*100)),0,(EJ33/(IS!EJ34*4)*100))</f>
        <v>50.348454130765333</v>
      </c>
      <c r="EK54" s="325">
        <f>IF(ISERROR((EK33/(IS!EK34*4)*100)),0,(EK33/(IS!EK34*4)*100))</f>
        <v>55.85262037776004</v>
      </c>
      <c r="EL54" s="325">
        <f>IF(ISERROR((EL33/(IS!EL34*4)*100)),0,(EL33/(IS!EL34*4)*100))</f>
        <v>71.915603766837521</v>
      </c>
      <c r="EM54" s="325"/>
      <c r="EN54" s="325">
        <f>IF(ISERROR((EN33/(IS!EN34*4)*100)),0,(EN33/(IS!EN34*4)*100))</f>
        <v>86.307504410367756</v>
      </c>
      <c r="EO54" s="325">
        <f>IF(ISERROR((EO33/(IS!EO34*4)*100)),0,(EO33/(IS!EO34*4)*100))</f>
        <v>87.839775561097255</v>
      </c>
      <c r="EP54" s="325">
        <f>IF(ISERROR((EP33/(IS!EP34*4)*100)),0,(EP33/(IS!EP34*4)*100))</f>
        <v>87.634950765215322</v>
      </c>
      <c r="EQ54" s="325">
        <f>IF(ISERROR(((EQ33-EQ122)/(IS!EQ34*4)*100)),0,((EQ33-EQ122)/(IS!EQ34*4)*100))</f>
        <v>76.792926536404323</v>
      </c>
      <c r="ER54" s="325"/>
      <c r="ES54" s="325">
        <f>IF(ISERROR(((ES33-ES122)/(IS!ES34*4)*100)),0,((ES33-ES122)/(IS!ES34*4)*100))</f>
        <v>86.102666043030879</v>
      </c>
      <c r="ET54" s="325">
        <f>IF(ISERROR(((ET33-ET122)/(IS!ET34*4)*100)),0,((ET33-ET122)/(IS!ET34*4)*100))</f>
        <v>78.190735694822891</v>
      </c>
      <c r="EU54" s="325">
        <f>IF(ISERROR(((EU33-EU122)/(IS!EU34*4)*100)),0,((EU33-EU122)/(IS!EU34*4)*100))</f>
        <v>78.472672283430541</v>
      </c>
      <c r="EV54" s="325">
        <f>EQ54-2</f>
        <v>74.792926536404323</v>
      </c>
      <c r="EW54" s="325"/>
      <c r="EX54" s="325">
        <f>ES54-2</f>
        <v>84.102666043030879</v>
      </c>
      <c r="EY54" s="325">
        <f t="shared" si="60"/>
        <v>78.190735694822891</v>
      </c>
      <c r="EZ54" s="325">
        <f t="shared" si="61"/>
        <v>78.472672283430541</v>
      </c>
      <c r="FA54" s="325">
        <f t="shared" si="62"/>
        <v>74.792926536404323</v>
      </c>
      <c r="FB54" s="325"/>
      <c r="FC54" s="325">
        <f>EX54</f>
        <v>84.102666043030879</v>
      </c>
      <c r="FD54" s="325">
        <f t="shared" si="64"/>
        <v>78.190735694822891</v>
      </c>
      <c r="FE54" s="325">
        <f t="shared" si="65"/>
        <v>78.472672283430541</v>
      </c>
      <c r="FF54" s="325">
        <f t="shared" si="66"/>
        <v>74.792926536404323</v>
      </c>
      <c r="FG54" s="325"/>
      <c r="FH54" s="325">
        <f>FC54</f>
        <v>84.102666043030879</v>
      </c>
      <c r="FI54" s="325">
        <f t="shared" si="68"/>
        <v>78.190735694822891</v>
      </c>
      <c r="FJ54" s="325">
        <f t="shared" si="69"/>
        <v>78.472672283430541</v>
      </c>
      <c r="FK54" s="325">
        <f t="shared" si="70"/>
        <v>74.792926536404323</v>
      </c>
      <c r="FL54" s="325"/>
      <c r="FM54" s="263"/>
      <c r="FO54"/>
      <c r="FP54"/>
      <c r="FQ54"/>
      <c r="FR54"/>
      <c r="FS54"/>
      <c r="FT54"/>
      <c r="FU54" s="261"/>
      <c r="FV54" s="261"/>
      <c r="FW54" s="261"/>
      <c r="FX54" s="261"/>
    </row>
    <row r="55" spans="1:180" s="287" customFormat="1" ht="12.75" collapsed="1">
      <c r="D55" s="498"/>
      <c r="E55" s="498"/>
      <c r="F55" s="498"/>
      <c r="G55" s="498"/>
      <c r="H55" s="498"/>
      <c r="I55" s="498"/>
      <c r="J55" s="498"/>
      <c r="K55" s="498"/>
      <c r="L55" s="498"/>
      <c r="M55" s="498"/>
      <c r="N55" s="498"/>
      <c r="O55" s="498"/>
      <c r="P55" s="498"/>
      <c r="Q55" s="498"/>
      <c r="R55" s="498"/>
      <c r="S55" s="498"/>
      <c r="T55" s="498"/>
      <c r="U55" s="498"/>
      <c r="V55" s="498"/>
      <c r="W55" s="498"/>
      <c r="X55" s="498"/>
      <c r="Y55" s="498"/>
      <c r="Z55" s="498"/>
      <c r="AA55" s="498"/>
      <c r="AB55" s="498"/>
      <c r="AC55" s="498"/>
      <c r="AD55" s="498"/>
      <c r="AE55" s="498"/>
      <c r="AF55" s="498"/>
      <c r="AG55" s="498"/>
      <c r="AH55" s="498"/>
      <c r="AI55" s="498"/>
      <c r="AJ55" s="498"/>
      <c r="AK55" s="498"/>
      <c r="AL55" s="498"/>
      <c r="AM55" s="498"/>
      <c r="AN55" s="498"/>
      <c r="AO55" s="498"/>
      <c r="AP55" s="498"/>
      <c r="AQ55" s="498"/>
      <c r="AR55" s="498"/>
      <c r="AS55" s="498"/>
      <c r="AT55" s="498"/>
      <c r="AU55" s="498"/>
      <c r="AV55" s="498"/>
      <c r="AW55" s="498"/>
      <c r="AX55" s="498"/>
      <c r="AY55" s="498"/>
      <c r="AZ55" s="498"/>
      <c r="BA55" s="498"/>
      <c r="BB55" s="498"/>
      <c r="BC55" s="498"/>
      <c r="BD55" s="498"/>
      <c r="BE55" s="498"/>
      <c r="BF55" s="498"/>
      <c r="BG55" s="498"/>
      <c r="BH55" s="498"/>
      <c r="BI55" s="498"/>
      <c r="BJ55" s="498"/>
      <c r="BK55" s="498"/>
      <c r="BL55" s="498"/>
      <c r="BM55" s="498"/>
      <c r="BN55" s="498"/>
      <c r="BO55" s="498"/>
      <c r="BP55" s="498"/>
      <c r="BQ55" s="498"/>
      <c r="BR55" s="498"/>
      <c r="BS55" s="498"/>
      <c r="BT55" s="498"/>
      <c r="BU55" s="498"/>
      <c r="BV55" s="498"/>
      <c r="BW55" s="498"/>
      <c r="BX55" s="498"/>
      <c r="BY55" s="498"/>
      <c r="BZ55" s="498"/>
      <c r="CA55" s="498"/>
      <c r="CB55" s="498"/>
      <c r="CC55" s="498"/>
      <c r="CD55" s="498"/>
      <c r="CE55" s="498"/>
      <c r="CF55" s="498"/>
      <c r="CG55" s="498"/>
      <c r="CH55" s="498"/>
      <c r="CI55" s="498"/>
      <c r="CJ55" s="498"/>
      <c r="CK55" s="498"/>
      <c r="CL55" s="498"/>
      <c r="CM55" s="498"/>
      <c r="CN55" s="498"/>
      <c r="CO55" s="498"/>
      <c r="CP55" s="498"/>
      <c r="CQ55" s="498"/>
      <c r="CR55" s="498"/>
      <c r="CS55" s="498"/>
      <c r="CT55" s="498"/>
      <c r="CU55" s="498"/>
      <c r="CV55" s="498"/>
      <c r="CW55" s="498"/>
      <c r="CX55" s="498"/>
      <c r="CY55" s="498"/>
      <c r="CZ55" s="498"/>
      <c r="DA55" s="498"/>
      <c r="DB55" s="498"/>
      <c r="DC55" s="499"/>
      <c r="DD55" s="499"/>
      <c r="DE55" s="499"/>
      <c r="DF55" s="499"/>
      <c r="DG55" s="499"/>
      <c r="DH55" s="499"/>
      <c r="DI55" s="499"/>
      <c r="DJ55" s="499"/>
      <c r="DK55" s="499"/>
      <c r="DL55" s="499"/>
      <c r="DM55" s="499"/>
      <c r="DN55" s="499"/>
      <c r="DO55" s="499"/>
      <c r="DP55" s="499"/>
      <c r="DQ55" s="499"/>
      <c r="DR55" s="499"/>
      <c r="DS55" s="499"/>
      <c r="DT55" s="499"/>
      <c r="DU55" s="499"/>
      <c r="DV55" s="499"/>
      <c r="DW55" s="499"/>
      <c r="DX55" s="499"/>
      <c r="DY55" s="499"/>
      <c r="DZ55" s="499"/>
      <c r="EA55" s="498"/>
      <c r="EB55" s="499"/>
      <c r="EC55" s="499"/>
      <c r="ED55" s="498"/>
      <c r="EE55" s="499"/>
      <c r="EF55" s="499"/>
      <c r="EG55" s="498"/>
      <c r="EH55" s="498"/>
      <c r="EI55" s="2776"/>
      <c r="EJ55" s="2777"/>
      <c r="EK55" s="2777"/>
      <c r="EL55" s="2776"/>
      <c r="EM55" s="2776"/>
      <c r="EN55" s="2776"/>
      <c r="EO55" s="2777"/>
      <c r="EP55" s="2777"/>
      <c r="EQ55" s="2776"/>
      <c r="ER55" s="2776"/>
      <c r="ES55" s="2776"/>
      <c r="ET55" s="2777"/>
      <c r="EU55" s="2777"/>
      <c r="EV55" s="498"/>
      <c r="EW55" s="498"/>
      <c r="EX55" s="498"/>
      <c r="EY55" s="498"/>
      <c r="EZ55" s="498"/>
      <c r="FA55" s="498"/>
      <c r="FB55" s="498"/>
      <c r="FC55" s="498"/>
      <c r="FD55" s="498"/>
      <c r="FE55" s="498"/>
      <c r="FF55" s="498"/>
      <c r="FG55" s="498"/>
      <c r="FH55" s="498"/>
      <c r="FI55" s="498"/>
      <c r="FJ55" s="498"/>
      <c r="FK55" s="498"/>
      <c r="FL55" s="498"/>
      <c r="FO55"/>
      <c r="FP55"/>
      <c r="FQ55"/>
      <c r="FR55"/>
      <c r="FS55"/>
      <c r="FT55"/>
      <c r="FU55" s="261"/>
      <c r="FV55" s="261"/>
      <c r="FW55" s="261"/>
      <c r="FX55" s="261"/>
    </row>
    <row r="56" spans="1:180" s="264" customFormat="1" ht="11.25" customHeight="1"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3"/>
      <c r="AC56" s="253"/>
      <c r="AD56" s="253"/>
      <c r="AE56" s="253"/>
      <c r="AF56" s="253"/>
      <c r="AG56" s="253"/>
      <c r="AH56" s="253"/>
      <c r="AI56" s="253"/>
      <c r="AJ56" s="253"/>
      <c r="AK56" s="253"/>
      <c r="AL56" s="253"/>
      <c r="AM56" s="253"/>
      <c r="AN56" s="253"/>
      <c r="AO56" s="253"/>
      <c r="AP56" s="253"/>
      <c r="AQ56" s="253"/>
      <c r="AR56" s="253"/>
      <c r="AS56" s="253"/>
      <c r="AT56" s="253"/>
      <c r="AU56" s="253"/>
      <c r="AV56" s="253"/>
      <c r="AW56" s="253"/>
      <c r="AX56" s="253"/>
      <c r="AY56" s="253"/>
      <c r="AZ56" s="253"/>
      <c r="BA56" s="253"/>
      <c r="BB56" s="253"/>
      <c r="BC56" s="253"/>
      <c r="BD56" s="253"/>
      <c r="BE56" s="253"/>
      <c r="BF56" s="253"/>
      <c r="BG56" s="253"/>
      <c r="BH56" s="500"/>
      <c r="BI56" s="500"/>
      <c r="BJ56" s="500"/>
      <c r="BK56" s="500"/>
      <c r="BL56" s="500"/>
      <c r="BM56" s="500"/>
      <c r="BN56" s="500"/>
      <c r="BO56" s="500"/>
      <c r="BP56" s="500"/>
      <c r="BQ56" s="500"/>
      <c r="BR56" s="500"/>
      <c r="BS56" s="500"/>
      <c r="BT56" s="500"/>
      <c r="BU56" s="500"/>
      <c r="BV56" s="500"/>
      <c r="BW56" s="500"/>
      <c r="BX56" s="500"/>
      <c r="BY56" s="500"/>
      <c r="BZ56" s="500"/>
      <c r="CA56" s="500"/>
      <c r="CB56" s="500"/>
      <c r="CC56" s="500"/>
      <c r="CD56" s="500"/>
      <c r="CE56" s="500"/>
      <c r="CF56" s="500"/>
      <c r="CG56" s="500"/>
      <c r="CH56" s="500"/>
      <c r="CI56" s="500"/>
      <c r="CJ56" s="500"/>
      <c r="CK56" s="500"/>
      <c r="CL56" s="500"/>
      <c r="CM56" s="500"/>
      <c r="CN56" s="500"/>
      <c r="CO56" s="500"/>
      <c r="CP56" s="500"/>
      <c r="CQ56" s="500"/>
      <c r="CR56" s="500"/>
      <c r="CS56" s="500"/>
      <c r="CT56" s="500"/>
      <c r="CU56" s="500"/>
      <c r="CV56" s="500"/>
      <c r="CW56" s="500"/>
      <c r="CX56" s="500"/>
      <c r="CY56" s="500"/>
      <c r="CZ56" s="500"/>
      <c r="DA56" s="500"/>
      <c r="DB56" s="500"/>
      <c r="DC56" s="501"/>
      <c r="DD56" s="501"/>
      <c r="DE56" s="501"/>
      <c r="DF56" s="501"/>
      <c r="DG56" s="501"/>
      <c r="DH56" s="501"/>
      <c r="DI56" s="501"/>
      <c r="DJ56" s="501"/>
      <c r="DK56" s="501"/>
      <c r="DL56" s="501"/>
      <c r="DM56" s="501"/>
      <c r="DN56" s="501"/>
      <c r="DO56" s="501"/>
      <c r="DP56" s="501"/>
      <c r="DQ56" s="501"/>
      <c r="DR56" s="501"/>
      <c r="DS56" s="501"/>
      <c r="DT56" s="501"/>
      <c r="DU56" s="501"/>
      <c r="DV56" s="501"/>
      <c r="DW56" s="501"/>
      <c r="DX56" s="501"/>
      <c r="DY56" s="501"/>
      <c r="DZ56" s="501"/>
      <c r="EA56" s="500"/>
      <c r="EB56" s="501"/>
      <c r="EC56" s="501"/>
      <c r="ED56" s="500"/>
      <c r="EE56" s="500"/>
      <c r="EF56" s="500"/>
      <c r="EG56" s="500"/>
      <c r="EH56" s="500"/>
      <c r="EI56" s="2778"/>
      <c r="EJ56" s="2778"/>
      <c r="EK56" s="2778"/>
      <c r="EL56" s="2778"/>
      <c r="EM56" s="2778"/>
      <c r="EN56" s="2778"/>
      <c r="EO56" s="2778"/>
      <c r="EP56" s="2778"/>
      <c r="EQ56" s="2778"/>
      <c r="ER56" s="2778"/>
      <c r="ES56" s="2778"/>
      <c r="ET56" s="2778"/>
      <c r="EU56" s="2778"/>
      <c r="EV56" s="500"/>
      <c r="EW56" s="500"/>
      <c r="EX56" s="500"/>
      <c r="EY56" s="500"/>
      <c r="EZ56" s="500"/>
      <c r="FA56" s="500"/>
      <c r="FB56" s="500"/>
      <c r="FC56" s="500"/>
      <c r="FD56" s="500"/>
      <c r="FE56" s="500"/>
      <c r="FF56" s="500"/>
      <c r="FG56" s="500"/>
      <c r="FH56" s="500"/>
      <c r="FI56" s="500"/>
      <c r="FJ56" s="500"/>
      <c r="FK56" s="500"/>
      <c r="FL56" s="500"/>
      <c r="FO56"/>
      <c r="FP56"/>
      <c r="FQ56"/>
      <c r="FR56"/>
      <c r="FS56"/>
      <c r="FT56"/>
      <c r="FU56" s="261"/>
      <c r="FV56" s="261"/>
      <c r="FW56" s="261"/>
      <c r="FX56" s="261"/>
    </row>
    <row r="57" spans="1:180" s="287" customFormat="1" ht="11.25" customHeight="1">
      <c r="A57" s="432" t="s">
        <v>868</v>
      </c>
      <c r="B57" s="433"/>
      <c r="DC57" s="286"/>
      <c r="DD57" s="286"/>
      <c r="DE57" s="286"/>
      <c r="DF57" s="286"/>
      <c r="DG57" s="286"/>
      <c r="DH57" s="286"/>
      <c r="DI57" s="286"/>
      <c r="DJ57" s="286"/>
      <c r="DK57" s="286"/>
      <c r="DL57" s="286"/>
      <c r="DM57" s="286"/>
      <c r="DN57" s="286"/>
      <c r="DO57" s="286"/>
      <c r="DP57" s="286"/>
      <c r="DQ57" s="286"/>
      <c r="DR57" s="286"/>
      <c r="DS57" s="286"/>
      <c r="DT57" s="286"/>
      <c r="DU57" s="286"/>
      <c r="DV57" s="286"/>
      <c r="DW57" s="286"/>
      <c r="DX57" s="286"/>
      <c r="DY57" s="286"/>
      <c r="DZ57" s="286"/>
      <c r="EB57" s="286"/>
      <c r="EC57" s="286"/>
      <c r="EI57" s="2775"/>
      <c r="EJ57" s="2775"/>
      <c r="EK57" s="2775"/>
      <c r="EL57" s="2775"/>
      <c r="EM57" s="2775"/>
      <c r="EN57" s="2775"/>
      <c r="EO57" s="2775"/>
      <c r="EP57" s="2775"/>
      <c r="EQ57" s="2775"/>
      <c r="ER57" s="2775"/>
      <c r="ES57" s="2775"/>
      <c r="ET57" s="2775"/>
      <c r="EU57" s="2775"/>
      <c r="FO57"/>
      <c r="FP57"/>
      <c r="FQ57"/>
      <c r="FR57"/>
      <c r="FS57"/>
      <c r="FT57"/>
      <c r="FU57" s="261"/>
      <c r="FV57" s="261"/>
      <c r="FW57" s="261"/>
      <c r="FX57" s="261"/>
    </row>
    <row r="58" spans="1:180" s="264" customFormat="1" ht="3" customHeight="1"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/>
      <c r="AC58" s="253"/>
      <c r="AD58" s="253"/>
      <c r="AE58" s="253"/>
      <c r="AF58" s="253"/>
      <c r="AG58" s="253"/>
      <c r="AH58" s="253"/>
      <c r="AI58" s="253"/>
      <c r="AJ58" s="253"/>
      <c r="AK58" s="253"/>
      <c r="AL58" s="253"/>
      <c r="AM58" s="253"/>
      <c r="AN58" s="253"/>
      <c r="AO58" s="253"/>
      <c r="AP58" s="253"/>
      <c r="AQ58" s="253"/>
      <c r="AR58" s="253"/>
      <c r="AS58" s="253"/>
      <c r="AT58" s="253"/>
      <c r="AU58" s="253"/>
      <c r="AV58" s="253"/>
      <c r="AW58" s="253"/>
      <c r="AX58" s="253"/>
      <c r="AY58" s="253"/>
      <c r="AZ58" s="253"/>
      <c r="BA58" s="253"/>
      <c r="BB58" s="253"/>
      <c r="BC58" s="253"/>
      <c r="BD58" s="253"/>
      <c r="BE58" s="253"/>
      <c r="BF58" s="253"/>
      <c r="BG58" s="253"/>
      <c r="BH58" s="500"/>
      <c r="BI58" s="500"/>
      <c r="BJ58" s="500"/>
      <c r="BK58" s="500"/>
      <c r="BL58" s="500"/>
      <c r="BM58" s="500"/>
      <c r="BN58" s="500"/>
      <c r="BO58" s="500"/>
      <c r="BP58" s="500"/>
      <c r="BQ58" s="500"/>
      <c r="BR58" s="500"/>
      <c r="BS58" s="500"/>
      <c r="BT58" s="500"/>
      <c r="BU58" s="500"/>
      <c r="BV58" s="500"/>
      <c r="BW58" s="500"/>
      <c r="BX58" s="500"/>
      <c r="BY58" s="500"/>
      <c r="BZ58" s="500"/>
      <c r="CA58" s="500"/>
      <c r="CB58" s="500"/>
      <c r="CC58" s="500"/>
      <c r="CD58" s="500"/>
      <c r="CE58" s="500"/>
      <c r="CF58" s="500"/>
      <c r="CG58" s="500"/>
      <c r="CH58" s="500"/>
      <c r="CI58" s="500"/>
      <c r="CJ58" s="500"/>
      <c r="CK58" s="500"/>
      <c r="CL58" s="500"/>
      <c r="CM58" s="500"/>
      <c r="CN58" s="500"/>
      <c r="CO58" s="500"/>
      <c r="CP58" s="500"/>
      <c r="CQ58" s="500"/>
      <c r="CR58" s="500"/>
      <c r="CS58" s="500"/>
      <c r="CT58" s="500"/>
      <c r="CU58" s="500"/>
      <c r="CV58" s="500"/>
      <c r="CW58" s="500"/>
      <c r="CX58" s="500"/>
      <c r="CY58" s="500"/>
      <c r="CZ58" s="500"/>
      <c r="DA58" s="500"/>
      <c r="DB58" s="500"/>
      <c r="DC58" s="501"/>
      <c r="DD58" s="501"/>
      <c r="DE58" s="501"/>
      <c r="DF58" s="501"/>
      <c r="DG58" s="501"/>
      <c r="DH58" s="501"/>
      <c r="DI58" s="501"/>
      <c r="DJ58" s="501"/>
      <c r="DK58" s="501"/>
      <c r="DL58" s="501"/>
      <c r="DM58" s="501"/>
      <c r="DN58" s="501"/>
      <c r="DO58" s="501"/>
      <c r="DP58" s="501"/>
      <c r="DQ58" s="501"/>
      <c r="DR58" s="501"/>
      <c r="DS58" s="501"/>
      <c r="DT58" s="501"/>
      <c r="DU58" s="501"/>
      <c r="DV58" s="501"/>
      <c r="DW58" s="501"/>
      <c r="DX58" s="501"/>
      <c r="DY58" s="501"/>
      <c r="DZ58" s="501"/>
      <c r="EA58" s="500"/>
      <c r="EB58" s="501"/>
      <c r="EC58" s="501"/>
      <c r="ED58" s="500"/>
      <c r="EE58" s="500"/>
      <c r="EF58" s="500"/>
      <c r="EG58" s="500"/>
      <c r="EH58" s="500"/>
      <c r="EI58" s="2778"/>
      <c r="EJ58" s="2778"/>
      <c r="EK58" s="2778"/>
      <c r="EL58" s="2778"/>
      <c r="EM58" s="2778"/>
      <c r="EN58" s="2778"/>
      <c r="EO58" s="2778"/>
      <c r="EP58" s="2778"/>
      <c r="EQ58" s="2778"/>
      <c r="ER58" s="2778"/>
      <c r="ES58" s="2778"/>
      <c r="ET58" s="2778"/>
      <c r="EU58" s="2778"/>
      <c r="EV58" s="500"/>
      <c r="EW58" s="500"/>
      <c r="EX58" s="500"/>
      <c r="EY58" s="500"/>
      <c r="EZ58" s="500"/>
      <c r="FA58" s="500"/>
      <c r="FB58" s="500"/>
      <c r="FC58" s="500"/>
      <c r="FD58" s="500"/>
      <c r="FE58" s="500"/>
      <c r="FF58" s="500"/>
      <c r="FG58" s="500"/>
      <c r="FH58" s="500"/>
      <c r="FI58" s="500"/>
      <c r="FJ58" s="500"/>
      <c r="FK58" s="500"/>
      <c r="FL58" s="500"/>
      <c r="FO58"/>
      <c r="FP58"/>
      <c r="FQ58"/>
      <c r="FR58"/>
      <c r="FS58"/>
      <c r="FT58"/>
      <c r="FU58" s="261"/>
      <c r="FV58" s="261"/>
      <c r="FW58" s="261"/>
      <c r="FX58" s="261"/>
    </row>
    <row r="59" spans="1:180" s="264" customFormat="1" ht="11.25" customHeight="1">
      <c r="A59" s="253" t="s">
        <v>455</v>
      </c>
      <c r="D59" s="253"/>
      <c r="E59" s="253"/>
      <c r="F59" s="253"/>
      <c r="G59" s="253"/>
      <c r="H59" s="253"/>
      <c r="I59" s="253"/>
      <c r="J59" s="253"/>
      <c r="K59" s="253"/>
      <c r="L59" s="253"/>
      <c r="M59" s="253"/>
      <c r="N59" s="253"/>
      <c r="O59" s="253"/>
      <c r="P59" s="253"/>
      <c r="Q59" s="253"/>
      <c r="R59" s="253"/>
      <c r="S59" s="253"/>
      <c r="T59" s="253"/>
      <c r="U59" s="253"/>
      <c r="V59" s="253"/>
      <c r="W59" s="253"/>
      <c r="X59" s="253"/>
      <c r="Y59" s="253"/>
      <c r="Z59" s="253"/>
      <c r="AA59" s="253"/>
      <c r="AB59" s="253"/>
      <c r="AC59" s="253"/>
      <c r="AD59" s="253"/>
      <c r="AE59" s="253"/>
      <c r="AF59" s="253"/>
      <c r="AG59" s="253"/>
      <c r="AH59" s="253"/>
      <c r="AI59" s="253"/>
      <c r="AJ59" s="253"/>
      <c r="AK59" s="253"/>
      <c r="AL59" s="253"/>
      <c r="AM59" s="253"/>
      <c r="AN59" s="253"/>
      <c r="AO59" s="253"/>
      <c r="AP59" s="253"/>
      <c r="AQ59" s="253"/>
      <c r="AR59" s="253"/>
      <c r="AS59" s="253"/>
      <c r="AT59" s="253"/>
      <c r="AU59" s="253"/>
      <c r="AV59" s="253"/>
      <c r="AW59" s="253"/>
      <c r="AX59" s="253"/>
      <c r="AY59" s="253"/>
      <c r="AZ59" s="253"/>
      <c r="BA59" s="253"/>
      <c r="BB59" s="253"/>
      <c r="BC59" s="253"/>
      <c r="BD59" s="253"/>
      <c r="BE59" s="253"/>
      <c r="BF59" s="253"/>
      <c r="BG59" s="253"/>
      <c r="BH59" s="500"/>
      <c r="BI59" s="500"/>
      <c r="BJ59" s="500"/>
      <c r="BK59" s="500"/>
      <c r="BL59" s="500"/>
      <c r="BM59" s="500"/>
      <c r="BN59" s="500"/>
      <c r="BO59" s="500"/>
      <c r="BP59" s="500"/>
      <c r="BQ59" s="500"/>
      <c r="BR59" s="500"/>
      <c r="BS59" s="500"/>
      <c r="BT59" s="500"/>
      <c r="BU59" s="500"/>
      <c r="BV59" s="500"/>
      <c r="BW59" s="500"/>
      <c r="BX59" s="500"/>
      <c r="BY59" s="500"/>
      <c r="BZ59" s="500"/>
      <c r="CA59" s="500"/>
      <c r="CB59" s="500"/>
      <c r="CC59" s="500"/>
      <c r="CD59" s="500"/>
      <c r="CE59" s="500"/>
      <c r="CF59" s="500"/>
      <c r="CG59" s="500"/>
      <c r="CH59" s="500"/>
      <c r="CI59" s="500"/>
      <c r="CJ59" s="500"/>
      <c r="CK59" s="500"/>
      <c r="CL59" s="500"/>
      <c r="CM59" s="500"/>
      <c r="CN59" s="500"/>
      <c r="CO59" s="500"/>
      <c r="CP59" s="500"/>
      <c r="CQ59" s="500"/>
      <c r="CR59" s="500"/>
      <c r="CS59" s="500"/>
      <c r="CT59" s="500"/>
      <c r="CU59" s="500"/>
      <c r="CV59" s="500"/>
      <c r="CW59" s="500"/>
      <c r="CX59" s="500"/>
      <c r="CY59" s="500"/>
      <c r="CZ59" s="500"/>
      <c r="DA59" s="500"/>
      <c r="DB59" s="500"/>
      <c r="DC59" s="501"/>
      <c r="DD59" s="501"/>
      <c r="DE59" s="501"/>
      <c r="DF59" s="501"/>
      <c r="DG59" s="501"/>
      <c r="DH59" s="501"/>
      <c r="DI59" s="501"/>
      <c r="DJ59" s="501"/>
      <c r="DK59" s="501"/>
      <c r="DL59" s="501"/>
      <c r="DM59" s="501"/>
      <c r="DN59" s="501"/>
      <c r="DO59" s="501"/>
      <c r="DP59" s="501"/>
      <c r="DQ59" s="501"/>
      <c r="DR59" s="501"/>
      <c r="DS59" s="501"/>
      <c r="DT59" s="501"/>
      <c r="DU59" s="501"/>
      <c r="DV59" s="501"/>
      <c r="DW59" s="501"/>
      <c r="DX59" s="501"/>
      <c r="DY59" s="501"/>
      <c r="DZ59" s="501"/>
      <c r="EA59" s="500"/>
      <c r="EB59" s="501"/>
      <c r="EC59" s="501"/>
      <c r="ED59" s="500"/>
      <c r="EE59" s="500"/>
      <c r="EF59" s="500"/>
      <c r="EG59" s="500"/>
      <c r="EH59" s="500"/>
      <c r="EI59" s="2778"/>
      <c r="EJ59" s="2778"/>
      <c r="EK59" s="2778"/>
      <c r="EL59" s="2778"/>
      <c r="EM59" s="2778"/>
      <c r="EN59" s="2778"/>
      <c r="EO59" s="2778"/>
      <c r="EP59" s="2778"/>
      <c r="EQ59" s="2778"/>
      <c r="ER59" s="2778"/>
      <c r="ES59" s="2778"/>
      <c r="ET59" s="2778"/>
      <c r="EU59" s="2778"/>
      <c r="EV59" s="500"/>
      <c r="EW59" s="500"/>
      <c r="EX59" s="500"/>
      <c r="EY59" s="500"/>
      <c r="EZ59" s="500"/>
      <c r="FA59" s="500"/>
      <c r="FB59" s="500"/>
      <c r="FC59" s="500"/>
      <c r="FD59" s="500"/>
      <c r="FE59" s="500"/>
      <c r="FF59" s="500"/>
      <c r="FG59" s="500"/>
      <c r="FH59" s="500"/>
      <c r="FI59" s="500"/>
      <c r="FJ59" s="500"/>
      <c r="FK59" s="500"/>
      <c r="FL59" s="500"/>
      <c r="FO59"/>
      <c r="FP59"/>
      <c r="FQ59"/>
      <c r="FR59"/>
      <c r="FS59"/>
      <c r="FT59"/>
      <c r="FU59" s="261"/>
      <c r="FV59" s="261"/>
      <c r="FW59" s="261"/>
      <c r="FX59" s="261"/>
    </row>
    <row r="60" spans="1:180" s="287" customFormat="1" ht="3" customHeight="1">
      <c r="BH60" s="502"/>
      <c r="BI60" s="502"/>
      <c r="BJ60" s="502"/>
      <c r="BK60" s="502"/>
      <c r="BL60" s="502"/>
      <c r="BM60" s="502"/>
      <c r="BN60" s="502"/>
      <c r="BO60" s="502"/>
      <c r="BP60" s="502"/>
      <c r="BQ60" s="502"/>
      <c r="BR60" s="502"/>
      <c r="BS60" s="502"/>
      <c r="BT60" s="502"/>
      <c r="BU60" s="502"/>
      <c r="BV60" s="502"/>
      <c r="BW60" s="502"/>
      <c r="BX60" s="502"/>
      <c r="BY60" s="502"/>
      <c r="BZ60" s="502"/>
      <c r="CA60" s="502"/>
      <c r="CB60" s="502"/>
      <c r="CC60" s="502"/>
      <c r="CD60" s="502"/>
      <c r="CE60" s="502"/>
      <c r="CF60" s="502"/>
      <c r="CG60" s="502"/>
      <c r="CH60" s="502"/>
      <c r="CI60" s="502"/>
      <c r="CJ60" s="502"/>
      <c r="CK60" s="502"/>
      <c r="CL60" s="502"/>
      <c r="CM60" s="502"/>
      <c r="CN60" s="502"/>
      <c r="CO60" s="502"/>
      <c r="CP60" s="502"/>
      <c r="CQ60" s="502"/>
      <c r="CR60" s="502"/>
      <c r="CS60" s="502"/>
      <c r="CT60" s="502"/>
      <c r="CU60" s="502"/>
      <c r="CV60" s="502"/>
      <c r="CW60" s="502"/>
      <c r="CX60" s="502"/>
      <c r="CY60" s="502"/>
      <c r="CZ60" s="502"/>
      <c r="DA60" s="502"/>
      <c r="DB60" s="502"/>
      <c r="DC60" s="503"/>
      <c r="DD60" s="503"/>
      <c r="DE60" s="503"/>
      <c r="DF60" s="503"/>
      <c r="DG60" s="503"/>
      <c r="DH60" s="503"/>
      <c r="DI60" s="503"/>
      <c r="DJ60" s="503"/>
      <c r="DK60" s="503"/>
      <c r="DL60" s="503"/>
      <c r="DM60" s="503"/>
      <c r="DN60" s="503"/>
      <c r="DO60" s="503"/>
      <c r="DP60" s="503"/>
      <c r="DQ60" s="503"/>
      <c r="DR60" s="503"/>
      <c r="DS60" s="503"/>
      <c r="DT60" s="503"/>
      <c r="DU60" s="503"/>
      <c r="DV60" s="503"/>
      <c r="DW60" s="503"/>
      <c r="DX60" s="503"/>
      <c r="DY60" s="503"/>
      <c r="DZ60" s="503"/>
      <c r="EA60" s="502"/>
      <c r="EB60" s="503"/>
      <c r="EC60" s="503"/>
      <c r="ED60" s="502"/>
      <c r="EE60" s="502"/>
      <c r="EF60" s="502"/>
      <c r="EG60" s="502"/>
      <c r="EH60" s="502"/>
      <c r="EI60" s="2779"/>
      <c r="EJ60" s="2779"/>
      <c r="EK60" s="2779"/>
      <c r="EL60" s="2779"/>
      <c r="EM60" s="2779"/>
      <c r="EN60" s="2779"/>
      <c r="EO60" s="2779"/>
      <c r="EP60" s="2779"/>
      <c r="EQ60" s="2779"/>
      <c r="ER60" s="2779"/>
      <c r="ES60" s="2779"/>
      <c r="ET60" s="2779"/>
      <c r="EU60" s="2779"/>
      <c r="EV60" s="502"/>
      <c r="EW60" s="502"/>
      <c r="EX60" s="502"/>
      <c r="EY60" s="502"/>
      <c r="EZ60" s="502"/>
      <c r="FA60" s="502"/>
      <c r="FB60" s="502"/>
      <c r="FC60" s="502"/>
      <c r="FD60" s="502"/>
      <c r="FE60" s="502"/>
      <c r="FF60" s="502"/>
      <c r="FG60" s="502"/>
      <c r="FH60" s="502"/>
      <c r="FI60" s="502"/>
      <c r="FJ60" s="502"/>
      <c r="FK60" s="502"/>
      <c r="FL60" s="502"/>
      <c r="FO60"/>
      <c r="FP60"/>
      <c r="FQ60"/>
      <c r="FR60"/>
      <c r="FS60"/>
      <c r="FT60"/>
      <c r="FU60" s="261"/>
      <c r="FV60" s="261"/>
      <c r="FW60" s="261"/>
      <c r="FX60" s="261"/>
    </row>
    <row r="61" spans="1:180" s="264" customFormat="1" ht="11.25" customHeight="1" thickBot="1">
      <c r="D61" s="253"/>
      <c r="E61" s="242"/>
      <c r="F61" s="242"/>
      <c r="G61" s="242"/>
      <c r="H61" s="242"/>
      <c r="I61" s="242"/>
      <c r="J61" s="242"/>
      <c r="K61" s="242"/>
      <c r="L61" s="242"/>
      <c r="M61" s="242"/>
      <c r="N61" s="242"/>
      <c r="O61" s="242"/>
      <c r="P61" s="242"/>
      <c r="Q61" s="242"/>
      <c r="R61" s="242"/>
      <c r="S61" s="242"/>
      <c r="T61" s="242"/>
      <c r="U61" s="242"/>
      <c r="V61" s="242"/>
      <c r="W61" s="242"/>
      <c r="X61" s="242"/>
      <c r="Y61" s="242"/>
      <c r="Z61" s="242"/>
      <c r="AA61" s="242"/>
      <c r="AB61" s="242"/>
      <c r="AC61" s="242"/>
      <c r="AD61" s="242"/>
      <c r="AE61" s="242"/>
      <c r="AF61" s="242"/>
      <c r="AG61" s="242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2"/>
      <c r="BE61" s="242"/>
      <c r="BF61" s="242"/>
      <c r="BG61" s="242"/>
      <c r="BH61" s="242"/>
      <c r="BI61" s="242"/>
      <c r="BJ61" s="242"/>
      <c r="BK61" s="242"/>
      <c r="BL61" s="242"/>
      <c r="BM61" s="242"/>
      <c r="BN61" s="242"/>
      <c r="BO61" s="242"/>
      <c r="BP61" s="242"/>
      <c r="BQ61" s="242"/>
      <c r="BR61" s="242"/>
      <c r="BS61" s="242"/>
      <c r="BT61" s="242"/>
      <c r="BU61" s="242"/>
      <c r="BV61" s="242"/>
      <c r="BW61" s="242"/>
      <c r="BX61" s="242"/>
      <c r="BY61" s="242"/>
      <c r="BZ61" s="242"/>
      <c r="CA61" s="242"/>
      <c r="CB61" s="242"/>
      <c r="CC61" s="242"/>
      <c r="CD61" s="242"/>
      <c r="CE61" s="242"/>
      <c r="CF61" s="242"/>
      <c r="CG61" s="242"/>
      <c r="CH61" s="242"/>
      <c r="CI61" s="242"/>
      <c r="CJ61" s="242"/>
      <c r="CK61" s="242"/>
      <c r="CL61" s="242"/>
      <c r="CM61" s="242"/>
      <c r="CN61" s="242"/>
      <c r="CO61" s="242"/>
      <c r="CP61" s="242"/>
      <c r="CQ61" s="242"/>
      <c r="CR61" s="242"/>
      <c r="CS61" s="242"/>
      <c r="CT61" s="242"/>
      <c r="CU61" s="242"/>
      <c r="CV61" s="242"/>
      <c r="CW61" s="242"/>
      <c r="CX61" s="242"/>
      <c r="CY61" s="242"/>
      <c r="CZ61" s="242"/>
      <c r="DA61" s="242"/>
      <c r="DB61" s="242"/>
      <c r="DC61" s="484"/>
      <c r="DD61" s="484"/>
      <c r="DE61" s="484"/>
      <c r="DF61" s="484"/>
      <c r="DG61" s="484"/>
      <c r="DH61" s="484"/>
      <c r="DI61" s="484"/>
      <c r="DJ61" s="484"/>
      <c r="DK61" s="484"/>
      <c r="DL61" s="484"/>
      <c r="DM61" s="484"/>
      <c r="DN61" s="484"/>
      <c r="DO61" s="484"/>
      <c r="DP61" s="484"/>
      <c r="DQ61" s="484"/>
      <c r="DR61" s="484"/>
      <c r="DS61" s="484"/>
      <c r="DT61" s="484"/>
      <c r="DU61" s="484"/>
      <c r="DV61" s="484"/>
      <c r="DW61" s="484"/>
      <c r="DX61" s="484"/>
      <c r="DY61" s="484"/>
      <c r="DZ61" s="484"/>
      <c r="EA61" s="242"/>
      <c r="EB61" s="484"/>
      <c r="EC61" s="484"/>
      <c r="ED61" s="242"/>
      <c r="EE61" s="242"/>
      <c r="EF61" s="242"/>
      <c r="EG61" s="242"/>
      <c r="EH61" s="242"/>
      <c r="EI61" s="2562"/>
      <c r="EJ61" s="2562"/>
      <c r="EK61" s="2562"/>
      <c r="EL61" s="2562"/>
      <c r="EM61" s="2562"/>
      <c r="EN61" s="2562"/>
      <c r="EO61" s="2562"/>
      <c r="EP61" s="2562"/>
      <c r="EQ61" s="2562"/>
      <c r="ER61" s="2562"/>
      <c r="ES61" s="2562"/>
      <c r="ET61" s="2562"/>
      <c r="EU61" s="2562"/>
      <c r="EV61" s="242"/>
      <c r="EW61" s="242"/>
      <c r="EX61" s="242"/>
      <c r="EY61" s="242"/>
      <c r="EZ61" s="242"/>
      <c r="FA61" s="242"/>
      <c r="FB61" s="242"/>
      <c r="FC61" s="242"/>
      <c r="FD61" s="242"/>
      <c r="FE61" s="242"/>
      <c r="FF61" s="242"/>
      <c r="FG61" s="242"/>
      <c r="FH61" s="242"/>
      <c r="FI61" s="242"/>
      <c r="FJ61" s="242"/>
      <c r="FK61" s="242"/>
      <c r="FL61" s="242"/>
      <c r="FO61"/>
      <c r="FP61"/>
      <c r="FQ61"/>
      <c r="FR61"/>
      <c r="FS61"/>
      <c r="FT61"/>
      <c r="FU61" s="261"/>
      <c r="FV61" s="261"/>
      <c r="FW61" s="261"/>
      <c r="FX61" s="261"/>
    </row>
    <row r="62" spans="1:180" s="264" customFormat="1" ht="11.25" customHeight="1">
      <c r="A62" s="504" t="s">
        <v>105</v>
      </c>
      <c r="B62" s="505"/>
      <c r="C62" s="505"/>
      <c r="D62" s="505"/>
      <c r="E62" s="506"/>
      <c r="F62" s="506"/>
      <c r="G62" s="506"/>
      <c r="H62" s="506"/>
      <c r="I62" s="506"/>
      <c r="J62" s="506"/>
      <c r="K62" s="506"/>
      <c r="L62" s="506"/>
      <c r="M62" s="506"/>
      <c r="N62" s="506"/>
      <c r="O62" s="506"/>
      <c r="P62" s="506"/>
      <c r="Q62" s="506"/>
      <c r="R62" s="506"/>
      <c r="S62" s="506"/>
      <c r="T62" s="506"/>
      <c r="U62" s="506"/>
      <c r="V62" s="506"/>
      <c r="W62" s="506"/>
      <c r="X62" s="506"/>
      <c r="Y62" s="506"/>
      <c r="Z62" s="506"/>
      <c r="AA62" s="506"/>
      <c r="AB62" s="506"/>
      <c r="AC62" s="506"/>
      <c r="AD62" s="506"/>
      <c r="AE62" s="506"/>
      <c r="AF62" s="506"/>
      <c r="AG62" s="506"/>
      <c r="AH62" s="506"/>
      <c r="AI62" s="506"/>
      <c r="AJ62" s="506"/>
      <c r="AK62" s="506"/>
      <c r="AL62" s="506"/>
      <c r="AM62" s="506"/>
      <c r="AN62" s="506"/>
      <c r="AO62" s="506"/>
      <c r="AP62" s="506"/>
      <c r="AQ62" s="506"/>
      <c r="AR62" s="506"/>
      <c r="AS62" s="506"/>
      <c r="AT62" s="506"/>
      <c r="AU62" s="506"/>
      <c r="AV62" s="506"/>
      <c r="AW62" s="506"/>
      <c r="AX62" s="506"/>
      <c r="AY62" s="506"/>
      <c r="AZ62" s="506"/>
      <c r="BA62" s="506"/>
      <c r="BB62" s="506"/>
      <c r="BC62" s="506"/>
      <c r="BD62" s="506"/>
      <c r="BE62" s="506"/>
      <c r="BF62" s="506"/>
      <c r="BG62" s="506"/>
      <c r="BH62" s="506"/>
      <c r="BI62" s="506"/>
      <c r="BJ62" s="506"/>
      <c r="BK62" s="506"/>
      <c r="BL62" s="506"/>
      <c r="BM62" s="506"/>
      <c r="BN62" s="506"/>
      <c r="BO62" s="506"/>
      <c r="BP62" s="506"/>
      <c r="BQ62" s="506"/>
      <c r="BR62" s="506"/>
      <c r="BS62" s="506"/>
      <c r="BT62" s="506"/>
      <c r="BU62" s="506"/>
      <c r="BV62" s="506"/>
      <c r="BW62" s="506"/>
      <c r="BX62" s="506"/>
      <c r="BY62" s="506"/>
      <c r="BZ62" s="506"/>
      <c r="CA62" s="506"/>
      <c r="CB62" s="506"/>
      <c r="CC62" s="506"/>
      <c r="CD62" s="506"/>
      <c r="CE62" s="506"/>
      <c r="CF62" s="506"/>
      <c r="CG62" s="506"/>
      <c r="CH62" s="506"/>
      <c r="CI62" s="506"/>
      <c r="CJ62" s="506"/>
      <c r="CK62" s="506"/>
      <c r="CL62" s="506"/>
      <c r="CM62" s="506"/>
      <c r="CN62" s="506"/>
      <c r="CO62" s="506"/>
      <c r="CP62" s="506"/>
      <c r="CQ62" s="506"/>
      <c r="CR62" s="506"/>
      <c r="CS62" s="506"/>
      <c r="CT62" s="506"/>
      <c r="CU62" s="506"/>
      <c r="CV62" s="506"/>
      <c r="CW62" s="506"/>
      <c r="CX62" s="506"/>
      <c r="CY62" s="506"/>
      <c r="CZ62" s="506"/>
      <c r="DA62" s="506"/>
      <c r="DB62" s="506"/>
      <c r="DC62" s="507"/>
      <c r="DD62" s="507"/>
      <c r="DE62" s="507"/>
      <c r="DF62" s="507"/>
      <c r="DG62" s="507"/>
      <c r="DH62" s="507"/>
      <c r="DI62" s="507"/>
      <c r="DJ62" s="507"/>
      <c r="DK62" s="507"/>
      <c r="DL62" s="507"/>
      <c r="DM62" s="507"/>
      <c r="DN62" s="507"/>
      <c r="DO62" s="507"/>
      <c r="DP62" s="507"/>
      <c r="DQ62" s="507"/>
      <c r="DR62" s="507"/>
      <c r="DS62" s="507"/>
      <c r="DT62" s="507"/>
      <c r="DU62" s="507"/>
      <c r="DV62" s="507"/>
      <c r="DW62" s="507"/>
      <c r="DX62" s="507"/>
      <c r="DY62" s="507"/>
      <c r="DZ62" s="507"/>
      <c r="EA62" s="506"/>
      <c r="EB62" s="507"/>
      <c r="EC62" s="507"/>
      <c r="ED62" s="506"/>
      <c r="EE62" s="506"/>
      <c r="EF62" s="506"/>
      <c r="EG62" s="506"/>
      <c r="EH62" s="506"/>
      <c r="EI62" s="2780"/>
      <c r="EJ62" s="2780"/>
      <c r="EK62" s="2780"/>
      <c r="EL62" s="2780"/>
      <c r="EM62" s="2780"/>
      <c r="EN62" s="2780"/>
      <c r="EO62" s="2780"/>
      <c r="EP62" s="2780"/>
      <c r="EQ62" s="2780"/>
      <c r="ER62" s="2780"/>
      <c r="ES62" s="2780"/>
      <c r="ET62" s="2780"/>
      <c r="EU62" s="2780"/>
      <c r="EV62" s="506"/>
      <c r="EW62" s="506"/>
      <c r="EX62" s="506"/>
      <c r="EY62" s="506"/>
      <c r="EZ62" s="506"/>
      <c r="FA62" s="506"/>
      <c r="FB62" s="506"/>
      <c r="FC62" s="506"/>
      <c r="FD62" s="506"/>
      <c r="FE62" s="506"/>
      <c r="FF62" s="506"/>
      <c r="FG62" s="506"/>
      <c r="FH62" s="506"/>
      <c r="FI62" s="506"/>
      <c r="FJ62" s="506"/>
      <c r="FK62" s="506"/>
      <c r="FL62" s="506"/>
      <c r="FM62" s="505"/>
      <c r="FO62"/>
      <c r="FP62"/>
      <c r="FQ62"/>
      <c r="FR62"/>
      <c r="FS62"/>
      <c r="FT62"/>
      <c r="FU62" s="261"/>
      <c r="FV62" s="261"/>
      <c r="FW62" s="261"/>
      <c r="FX62" s="261"/>
    </row>
    <row r="63" spans="1:180" s="264" customFormat="1" ht="11.25" customHeight="1">
      <c r="A63" s="508" t="s">
        <v>620</v>
      </c>
      <c r="B63" s="253"/>
      <c r="C63" s="253"/>
      <c r="D63" s="253"/>
      <c r="E63" s="455"/>
      <c r="F63" s="455"/>
      <c r="G63" s="455"/>
      <c r="H63" s="455"/>
      <c r="I63" s="455"/>
      <c r="J63" s="455"/>
      <c r="K63" s="455"/>
      <c r="L63" s="455"/>
      <c r="M63" s="455"/>
      <c r="N63" s="455"/>
      <c r="O63" s="455"/>
      <c r="P63" s="455"/>
      <c r="Q63" s="455"/>
      <c r="R63" s="455"/>
      <c r="S63" s="455">
        <f>Q41-Q37</f>
        <v>1350.8309999999999</v>
      </c>
      <c r="T63" s="455">
        <f t="shared" ref="T63:CS63" si="71">S41-S37</f>
        <v>1555.6</v>
      </c>
      <c r="U63" s="455">
        <f t="shared" si="71"/>
        <v>1771.1999999999998</v>
      </c>
      <c r="V63" s="455">
        <f t="shared" si="71"/>
        <v>2002.1000000000001</v>
      </c>
      <c r="W63" s="455">
        <f>R41-R37</f>
        <v>1350.8309999999999</v>
      </c>
      <c r="X63" s="455">
        <f>V41-V37</f>
        <v>2192.9580000000001</v>
      </c>
      <c r="Y63" s="455">
        <f t="shared" si="71"/>
        <v>2407</v>
      </c>
      <c r="Z63" s="455">
        <f t="shared" si="71"/>
        <v>2750</v>
      </c>
      <c r="AA63" s="455">
        <f t="shared" si="71"/>
        <v>3011</v>
      </c>
      <c r="AB63" s="455">
        <f>W41-W37</f>
        <v>2192.9580000000001</v>
      </c>
      <c r="AC63" s="455">
        <f>AA41-AA37</f>
        <v>3242</v>
      </c>
      <c r="AD63" s="455">
        <f t="shared" si="71"/>
        <v>3467</v>
      </c>
      <c r="AE63" s="455">
        <f t="shared" si="71"/>
        <v>3746</v>
      </c>
      <c r="AF63" s="455">
        <f t="shared" si="71"/>
        <v>4012</v>
      </c>
      <c r="AG63" s="455">
        <f>AB41-AB37</f>
        <v>3242</v>
      </c>
      <c r="AH63" s="455">
        <f>AF41-AF37</f>
        <v>4450</v>
      </c>
      <c r="AI63" s="455">
        <f t="shared" si="71"/>
        <v>4430</v>
      </c>
      <c r="AJ63" s="455">
        <f t="shared" si="71"/>
        <v>4443</v>
      </c>
      <c r="AK63" s="455">
        <f t="shared" si="71"/>
        <v>4930</v>
      </c>
      <c r="AL63" s="455">
        <f>AG41-AG37</f>
        <v>4450</v>
      </c>
      <c r="AM63" s="455">
        <f>AK41-AK37</f>
        <v>5333</v>
      </c>
      <c r="AN63" s="455">
        <f t="shared" si="71"/>
        <v>5739</v>
      </c>
      <c r="AO63" s="455">
        <f t="shared" si="71"/>
        <v>6180</v>
      </c>
      <c r="AP63" s="455">
        <f t="shared" si="71"/>
        <v>6595</v>
      </c>
      <c r="AQ63" s="455">
        <f>AL41-AL37</f>
        <v>5333</v>
      </c>
      <c r="AR63" s="455">
        <f>AP41-AP37</f>
        <v>6908</v>
      </c>
      <c r="AS63" s="455">
        <f t="shared" si="71"/>
        <v>7277</v>
      </c>
      <c r="AT63" s="455">
        <f t="shared" si="71"/>
        <v>8662</v>
      </c>
      <c r="AU63" s="455">
        <f t="shared" si="71"/>
        <v>8154</v>
      </c>
      <c r="AV63" s="455">
        <f>AQ41-AQ37</f>
        <v>6908</v>
      </c>
      <c r="AW63" s="455">
        <f>AU41-AU37</f>
        <v>9797</v>
      </c>
      <c r="AX63" s="455">
        <f t="shared" si="71"/>
        <v>10484</v>
      </c>
      <c r="AY63" s="455">
        <f t="shared" si="71"/>
        <v>11364</v>
      </c>
      <c r="AZ63" s="455">
        <f t="shared" si="71"/>
        <v>13696</v>
      </c>
      <c r="BA63" s="455">
        <f>AV41-AV37</f>
        <v>9797</v>
      </c>
      <c r="BB63" s="455">
        <f>AZ41-AZ37</f>
        <v>15647</v>
      </c>
      <c r="BC63" s="455">
        <f t="shared" si="71"/>
        <v>18144</v>
      </c>
      <c r="BD63" s="455">
        <f t="shared" si="71"/>
        <v>21598</v>
      </c>
      <c r="BE63" s="455">
        <f t="shared" si="71"/>
        <v>24742</v>
      </c>
      <c r="BF63" s="455">
        <f>BA41-BA37</f>
        <v>15647</v>
      </c>
      <c r="BG63" s="455">
        <f>BE41-BE37</f>
        <v>27458</v>
      </c>
      <c r="BH63" s="455">
        <f t="shared" si="71"/>
        <v>30360</v>
      </c>
      <c r="BI63" s="455">
        <f t="shared" si="71"/>
        <v>34589</v>
      </c>
      <c r="BJ63" s="455">
        <f t="shared" si="71"/>
        <v>39792</v>
      </c>
      <c r="BK63" s="455">
        <f>BF41-BF37</f>
        <v>27458</v>
      </c>
      <c r="BL63" s="455">
        <f>BJ41-BJ37</f>
        <v>41368</v>
      </c>
      <c r="BM63" s="455">
        <f t="shared" si="71"/>
        <v>45343</v>
      </c>
      <c r="BN63" s="455">
        <f t="shared" si="71"/>
        <v>46422</v>
      </c>
      <c r="BO63" s="455">
        <f t="shared" si="71"/>
        <v>48090</v>
      </c>
      <c r="BP63" s="455">
        <f>BK41-BK37</f>
        <v>41368</v>
      </c>
      <c r="BQ63" s="455">
        <f>BO41-BO37</f>
        <v>47289</v>
      </c>
      <c r="BR63" s="455">
        <f t="shared" si="71"/>
        <v>48505</v>
      </c>
      <c r="BS63" s="455">
        <f t="shared" si="71"/>
        <v>51548</v>
      </c>
      <c r="BT63" s="455">
        <f t="shared" si="71"/>
        <v>54300</v>
      </c>
      <c r="BU63" s="455">
        <f>BP41-BP37</f>
        <v>47289</v>
      </c>
      <c r="BV63" s="455">
        <f>BT41-BT37</f>
        <v>52180</v>
      </c>
      <c r="BW63" s="455">
        <f t="shared" si="71"/>
        <v>53516</v>
      </c>
      <c r="BX63" s="455">
        <f t="shared" si="71"/>
        <v>55812</v>
      </c>
      <c r="BY63" s="455">
        <f t="shared" si="71"/>
        <v>58282</v>
      </c>
      <c r="BZ63" s="455">
        <f>BU41-BU37</f>
        <v>52180</v>
      </c>
      <c r="CA63" s="455">
        <f>BY41-BY37</f>
        <v>64912</v>
      </c>
      <c r="CB63" s="455">
        <f t="shared" si="71"/>
        <v>66680</v>
      </c>
      <c r="CC63" s="455">
        <f t="shared" si="71"/>
        <v>69343</v>
      </c>
      <c r="CD63" s="455">
        <f t="shared" si="71"/>
        <v>70580</v>
      </c>
      <c r="CE63" s="455">
        <f>BZ41-BZ37</f>
        <v>64912</v>
      </c>
      <c r="CF63" s="455">
        <f>CD41-CD37</f>
        <v>74825</v>
      </c>
      <c r="CG63" s="455">
        <f t="shared" si="71"/>
        <v>76319</v>
      </c>
      <c r="CH63" s="455">
        <f t="shared" si="71"/>
        <v>47232</v>
      </c>
      <c r="CI63" s="455">
        <f t="shared" si="71"/>
        <v>47373</v>
      </c>
      <c r="CJ63" s="455">
        <f>CE41-CE37</f>
        <v>74825</v>
      </c>
      <c r="CK63" s="455">
        <f>CI41-CI37</f>
        <v>48115</v>
      </c>
      <c r="CL63" s="455">
        <f t="shared" si="71"/>
        <v>48327</v>
      </c>
      <c r="CM63" s="455">
        <f t="shared" si="71"/>
        <v>44208</v>
      </c>
      <c r="CN63" s="455">
        <f t="shared" si="71"/>
        <v>42038</v>
      </c>
      <c r="CO63" s="455">
        <f>CJ41-CJ37</f>
        <v>48115</v>
      </c>
      <c r="CP63" s="455">
        <f>CN41-CN37</f>
        <v>40104</v>
      </c>
      <c r="CQ63" s="455">
        <f t="shared" si="71"/>
        <v>36101</v>
      </c>
      <c r="CR63" s="455">
        <f t="shared" si="71"/>
        <v>36634</v>
      </c>
      <c r="CS63" s="455">
        <f t="shared" si="71"/>
        <v>34973</v>
      </c>
      <c r="CT63" s="455">
        <f>CO41-CO37</f>
        <v>40104</v>
      </c>
      <c r="CU63" s="455">
        <f>CS41-CS37</f>
        <v>31097</v>
      </c>
      <c r="CV63" s="455">
        <f>CU41-CU37</f>
        <v>32135</v>
      </c>
      <c r="CW63" s="455">
        <f>CV41-CV37</f>
        <v>34431</v>
      </c>
      <c r="CX63" s="455">
        <f>CW41-CW37</f>
        <v>37554</v>
      </c>
      <c r="CY63" s="455">
        <f>CT41-CT37</f>
        <v>31097</v>
      </c>
      <c r="CZ63" s="455">
        <f>CX41-CX37</f>
        <v>36286</v>
      </c>
      <c r="DA63" s="455">
        <f>CZ41-CZ37</f>
        <v>33594</v>
      </c>
      <c r="DB63" s="455">
        <f>DA41-DA37</f>
        <v>34478</v>
      </c>
      <c r="DC63" s="455">
        <f>DB41-DB37</f>
        <v>36943</v>
      </c>
      <c r="DD63" s="455">
        <f>CY41-CY37</f>
        <v>36286</v>
      </c>
      <c r="DE63" s="455">
        <f>DC41-DC37</f>
        <v>39558</v>
      </c>
      <c r="DF63" s="455">
        <f>DE41-DE37</f>
        <v>41212</v>
      </c>
      <c r="DG63" s="455">
        <f>DF41-DF37</f>
        <v>44283</v>
      </c>
      <c r="DH63" s="455">
        <f>DG41-DG37</f>
        <v>45710</v>
      </c>
      <c r="DI63" s="455">
        <f>DD41-DD37</f>
        <v>39558</v>
      </c>
      <c r="DJ63" s="455">
        <f>DH41-DH37</f>
        <v>46175</v>
      </c>
      <c r="DK63" s="455">
        <f>DI41-DI37</f>
        <v>46175</v>
      </c>
      <c r="DL63" s="455">
        <f>DJ41-DJ37</f>
        <v>46942</v>
      </c>
      <c r="DM63" s="455">
        <f>DL41-DL37</f>
        <v>53452</v>
      </c>
      <c r="DN63" s="455">
        <f>DI41-DI37</f>
        <v>46175</v>
      </c>
      <c r="DO63" s="455">
        <f>DM41-DM37</f>
        <v>57083</v>
      </c>
      <c r="DP63" s="455">
        <f>DO41-DO37</f>
        <v>59391</v>
      </c>
      <c r="DQ63" s="455">
        <f>DP41-DP37</f>
        <v>64121</v>
      </c>
      <c r="DR63" s="455">
        <f>DQ41-DQ37</f>
        <v>68659</v>
      </c>
      <c r="DS63" s="455">
        <f>DN41-DN37</f>
        <v>57083</v>
      </c>
      <c r="DT63" s="455">
        <f>DR41-DR37</f>
        <v>66363</v>
      </c>
      <c r="DU63" s="455">
        <f>DT41-DT37</f>
        <v>68836</v>
      </c>
      <c r="DV63" s="455">
        <f>DU41-DU37</f>
        <v>72576</v>
      </c>
      <c r="DW63" s="455">
        <f>DV41-DV37</f>
        <v>76688</v>
      </c>
      <c r="DX63" s="455">
        <f>DS41-DS37</f>
        <v>66363</v>
      </c>
      <c r="DY63" s="455">
        <f>DW41-DW37</f>
        <v>78944</v>
      </c>
      <c r="DZ63" s="455">
        <f>DY41-DY37</f>
        <v>81641</v>
      </c>
      <c r="EA63" s="455">
        <f>DZ41-DZ37</f>
        <v>85100</v>
      </c>
      <c r="EB63" s="455">
        <f>EA41-EA37</f>
        <v>87424</v>
      </c>
      <c r="EC63" s="455">
        <f>DX41-DX37</f>
        <v>78944</v>
      </c>
      <c r="ED63" s="455">
        <f>EB41-EB37</f>
        <v>89784</v>
      </c>
      <c r="EE63" s="455">
        <f>ED41-ED37</f>
        <v>90170</v>
      </c>
      <c r="EF63" s="455">
        <f>EE41-EE37</f>
        <v>91879</v>
      </c>
      <c r="EG63" s="455">
        <f>EF41-EF37</f>
        <v>90132</v>
      </c>
      <c r="EH63" s="455">
        <f>EC41-EC37</f>
        <v>89784</v>
      </c>
      <c r="EI63" s="455">
        <f>EG41-EG37</f>
        <v>80083</v>
      </c>
      <c r="EJ63" s="455">
        <f>EI41-EI37</f>
        <v>77445</v>
      </c>
      <c r="EK63" s="455">
        <f>EJ41-EJ37</f>
        <v>76780</v>
      </c>
      <c r="EL63" s="455">
        <f>EK41-EK37</f>
        <v>74806</v>
      </c>
      <c r="EM63" s="455">
        <f>EH41-EH37</f>
        <v>80083</v>
      </c>
      <c r="EN63" s="455">
        <f>EL41-EL37</f>
        <v>83090</v>
      </c>
      <c r="EO63" s="455">
        <f>EN41-EN37</f>
        <v>82462</v>
      </c>
      <c r="EP63" s="455">
        <f>EO41-EO37</f>
        <v>81829</v>
      </c>
      <c r="EQ63" s="455">
        <f>EP41-EP37</f>
        <v>83491</v>
      </c>
      <c r="ER63" s="455">
        <f>EM41-EM37</f>
        <v>83090</v>
      </c>
      <c r="ES63" s="455">
        <f>EQ41-EQ37</f>
        <v>87711</v>
      </c>
      <c r="ET63" s="455">
        <f>ES41-ES37</f>
        <v>89647</v>
      </c>
      <c r="EU63" s="455">
        <f>ET41-ET37</f>
        <v>78360</v>
      </c>
      <c r="EV63" s="455">
        <f>EU41-EU37</f>
        <v>79239</v>
      </c>
      <c r="EW63" s="455">
        <f>ER41-ER37</f>
        <v>87711</v>
      </c>
      <c r="EX63" s="455">
        <f>EV41-EV37</f>
        <v>81785.704157847591</v>
      </c>
      <c r="EY63" s="455">
        <f>EX41-EX37</f>
        <v>81001.59413702719</v>
      </c>
      <c r="EZ63" s="455">
        <f>EY41-EY37</f>
        <v>80794.772686918892</v>
      </c>
      <c r="FA63" s="455">
        <f>EZ41-EZ37</f>
        <v>79902.970288484037</v>
      </c>
      <c r="FB63" s="455">
        <f>EW41-EW37</f>
        <v>81785.704157847591</v>
      </c>
      <c r="FC63" s="455">
        <f>FA41-FA37</f>
        <v>79771.027736395336</v>
      </c>
      <c r="FD63" s="455">
        <f>FC41-FC37</f>
        <v>78534.663146016508</v>
      </c>
      <c r="FE63" s="455">
        <f>FD41-FD37</f>
        <v>77943.262326026059</v>
      </c>
      <c r="FF63" s="455">
        <f>FE41-FE37</f>
        <v>76737.133518973918</v>
      </c>
      <c r="FG63" s="455">
        <f>FB41-FB37</f>
        <v>79771.027736395336</v>
      </c>
      <c r="FH63" s="455">
        <f>FF41-FF37</f>
        <v>76302.428644431944</v>
      </c>
      <c r="FI63" s="455">
        <f>FH41-FH37</f>
        <v>75028.491890487829</v>
      </c>
      <c r="FJ63" s="455">
        <f>FI41-FI37</f>
        <v>74374.026332833018</v>
      </c>
      <c r="FK63" s="455">
        <f>FJ41-FJ37</f>
        <v>73073.72111576215</v>
      </c>
      <c r="FL63" s="455">
        <f>FG41-FG37</f>
        <v>76302.428644431944</v>
      </c>
      <c r="FM63" s="253"/>
      <c r="FO63"/>
      <c r="FP63"/>
      <c r="FQ63"/>
      <c r="FR63"/>
      <c r="FS63"/>
      <c r="FT63"/>
      <c r="FU63" s="261"/>
      <c r="FV63" s="261"/>
      <c r="FW63" s="261"/>
      <c r="FX63" s="261"/>
    </row>
    <row r="64" spans="1:180" s="264" customFormat="1" ht="11.25" customHeight="1">
      <c r="A64" s="509" t="s">
        <v>624</v>
      </c>
      <c r="B64" s="253"/>
      <c r="C64" s="253"/>
      <c r="D64" s="253"/>
      <c r="E64" s="455"/>
      <c r="F64" s="455"/>
      <c r="G64" s="455"/>
      <c r="H64" s="455"/>
      <c r="I64" s="455"/>
      <c r="J64" s="455"/>
      <c r="K64" s="455"/>
      <c r="L64" s="455"/>
      <c r="M64" s="455"/>
      <c r="N64" s="455"/>
      <c r="O64" s="455"/>
      <c r="P64" s="455"/>
      <c r="Q64" s="455"/>
      <c r="R64" s="455"/>
      <c r="S64" s="455">
        <f>S38-Q38</f>
        <v>65.858000000000004</v>
      </c>
      <c r="T64" s="455">
        <f t="shared" ref="T64:CS64" si="72">T38-S38</f>
        <v>61.200000000000045</v>
      </c>
      <c r="U64" s="455">
        <f t="shared" si="72"/>
        <v>102.60000000000002</v>
      </c>
      <c r="V64" s="455">
        <f t="shared" si="72"/>
        <v>32.654999999999973</v>
      </c>
      <c r="W64" s="455">
        <f>W38-R38</f>
        <v>262.31300000000005</v>
      </c>
      <c r="X64" s="455">
        <f>X38-V38</f>
        <v>80.144999999999982</v>
      </c>
      <c r="Y64" s="455">
        <f t="shared" si="72"/>
        <v>170</v>
      </c>
      <c r="Z64" s="455">
        <f t="shared" si="72"/>
        <v>95</v>
      </c>
      <c r="AA64" s="455">
        <f t="shared" si="72"/>
        <v>84</v>
      </c>
      <c r="AB64" s="455">
        <f>AB38-W38</f>
        <v>429.14499999999998</v>
      </c>
      <c r="AC64" s="455">
        <f>AC38-AA38</f>
        <v>63</v>
      </c>
      <c r="AD64" s="455">
        <f t="shared" si="72"/>
        <v>83</v>
      </c>
      <c r="AE64" s="455">
        <f t="shared" si="72"/>
        <v>141</v>
      </c>
      <c r="AF64" s="455">
        <f t="shared" si="72"/>
        <v>127</v>
      </c>
      <c r="AG64" s="455">
        <f>AG38-AB38</f>
        <v>414</v>
      </c>
      <c r="AH64" s="455">
        <f>AH38-AF38</f>
        <v>106</v>
      </c>
      <c r="AI64" s="455">
        <f t="shared" si="72"/>
        <v>93</v>
      </c>
      <c r="AJ64" s="455">
        <f t="shared" si="72"/>
        <v>163</v>
      </c>
      <c r="AK64" s="455">
        <f t="shared" si="72"/>
        <v>143</v>
      </c>
      <c r="AL64" s="455">
        <f>AL38-AG38</f>
        <v>505</v>
      </c>
      <c r="AM64" s="455">
        <f>AM38-AK38</f>
        <v>167</v>
      </c>
      <c r="AN64" s="455">
        <f t="shared" si="72"/>
        <v>113</v>
      </c>
      <c r="AO64" s="455">
        <f t="shared" si="72"/>
        <v>393</v>
      </c>
      <c r="AP64" s="455">
        <f t="shared" si="72"/>
        <v>246</v>
      </c>
      <c r="AQ64" s="455">
        <f>AQ38-AL38</f>
        <v>919</v>
      </c>
      <c r="AR64" s="455">
        <f>AR38-AP38</f>
        <v>296</v>
      </c>
      <c r="AS64" s="455">
        <f t="shared" si="72"/>
        <v>321</v>
      </c>
      <c r="AT64" s="455">
        <f t="shared" si="72"/>
        <v>495</v>
      </c>
      <c r="AU64" s="455">
        <f t="shared" si="72"/>
        <v>473</v>
      </c>
      <c r="AV64" s="455">
        <f>AV38-AQ38</f>
        <v>1585</v>
      </c>
      <c r="AW64" s="455">
        <f>AW38-AU38</f>
        <v>1121</v>
      </c>
      <c r="AX64" s="455">
        <f t="shared" si="72"/>
        <v>474</v>
      </c>
      <c r="AY64" s="455">
        <f t="shared" si="72"/>
        <v>880</v>
      </c>
      <c r="AZ64" s="455">
        <f t="shared" si="72"/>
        <v>1041</v>
      </c>
      <c r="BA64" s="455">
        <f>BA38-AV38</f>
        <v>3516</v>
      </c>
      <c r="BB64" s="455">
        <f>BB38-AZ38</f>
        <v>1136</v>
      </c>
      <c r="BC64" s="455">
        <f t="shared" si="72"/>
        <v>1282</v>
      </c>
      <c r="BD64" s="455">
        <f t="shared" si="72"/>
        <v>1975</v>
      </c>
      <c r="BE64" s="455">
        <f t="shared" si="72"/>
        <v>1426</v>
      </c>
      <c r="BF64" s="455">
        <f>BF38-BA38</f>
        <v>5819</v>
      </c>
      <c r="BG64" s="455">
        <f>BG38-BE38</f>
        <v>2034</v>
      </c>
      <c r="BH64" s="455">
        <f t="shared" si="72"/>
        <v>3000</v>
      </c>
      <c r="BI64" s="455">
        <f t="shared" si="72"/>
        <v>2097</v>
      </c>
      <c r="BJ64" s="455">
        <f t="shared" si="72"/>
        <v>2220</v>
      </c>
      <c r="BK64" s="455">
        <f>BK38-BF38</f>
        <v>9351</v>
      </c>
      <c r="BL64" s="455">
        <f>BL38-BJ38</f>
        <v>3466</v>
      </c>
      <c r="BM64" s="455">
        <f t="shared" si="72"/>
        <v>517</v>
      </c>
      <c r="BN64" s="455">
        <f t="shared" si="72"/>
        <v>469</v>
      </c>
      <c r="BO64" s="455">
        <f t="shared" si="72"/>
        <v>743</v>
      </c>
      <c r="BP64" s="455">
        <f>BP38-BK38</f>
        <v>5195</v>
      </c>
      <c r="BQ64" s="455">
        <f>BQ38-BO38</f>
        <v>906</v>
      </c>
      <c r="BR64" s="455">
        <f t="shared" si="72"/>
        <v>879</v>
      </c>
      <c r="BS64" s="455">
        <f t="shared" si="72"/>
        <v>729</v>
      </c>
      <c r="BT64" s="455">
        <f t="shared" si="72"/>
        <v>743</v>
      </c>
      <c r="BU64" s="455">
        <f>BU38-BP38</f>
        <v>3257</v>
      </c>
      <c r="BV64" s="455">
        <f>BV38-BT38</f>
        <v>1366</v>
      </c>
      <c r="BW64" s="455">
        <f t="shared" si="72"/>
        <v>592</v>
      </c>
      <c r="BX64" s="455">
        <f t="shared" si="72"/>
        <v>727</v>
      </c>
      <c r="BY64" s="455">
        <f t="shared" si="72"/>
        <v>14902</v>
      </c>
      <c r="BZ64" s="455">
        <f>BZ38-BU38</f>
        <v>17587</v>
      </c>
      <c r="CA64" s="455">
        <f>CA38-BY38</f>
        <v>2064</v>
      </c>
      <c r="CB64" s="455">
        <f t="shared" si="72"/>
        <v>1378</v>
      </c>
      <c r="CC64" s="455">
        <f t="shared" si="72"/>
        <v>1299</v>
      </c>
      <c r="CD64" s="455">
        <f t="shared" si="72"/>
        <v>2421</v>
      </c>
      <c r="CE64" s="455">
        <f>CE38-BZ38</f>
        <v>7162</v>
      </c>
      <c r="CF64" s="455">
        <f>CF38-CD38</f>
        <v>751</v>
      </c>
      <c r="CG64" s="455">
        <f t="shared" si="72"/>
        <v>1256</v>
      </c>
      <c r="CH64" s="455">
        <f t="shared" si="72"/>
        <v>426</v>
      </c>
      <c r="CI64" s="455">
        <f t="shared" si="72"/>
        <v>1584</v>
      </c>
      <c r="CJ64" s="455">
        <f>CJ38-CE38</f>
        <v>4017</v>
      </c>
      <c r="CK64" s="455">
        <f>CK38-CI38</f>
        <v>449</v>
      </c>
      <c r="CL64" s="455">
        <f t="shared" si="72"/>
        <v>-722</v>
      </c>
      <c r="CM64" s="455">
        <f t="shared" si="72"/>
        <v>-290</v>
      </c>
      <c r="CN64" s="455">
        <f t="shared" si="72"/>
        <v>-845</v>
      </c>
      <c r="CO64" s="455">
        <f>CO38-CJ38</f>
        <v>-1408</v>
      </c>
      <c r="CP64" s="455">
        <f>CP38-CN38</f>
        <v>-1348</v>
      </c>
      <c r="CQ64" s="455">
        <f t="shared" si="72"/>
        <v>3495</v>
      </c>
      <c r="CR64" s="455">
        <f t="shared" si="72"/>
        <v>-325</v>
      </c>
      <c r="CS64" s="455">
        <f t="shared" si="72"/>
        <v>-270</v>
      </c>
      <c r="CT64" s="455">
        <f>CT38-CO38</f>
        <v>1552</v>
      </c>
      <c r="CU64" s="455">
        <f>CU38-CS38</f>
        <v>142</v>
      </c>
      <c r="CV64" s="455">
        <f>CV38-CU38</f>
        <v>1829</v>
      </c>
      <c r="CW64" s="455">
        <f>CW38-CV38</f>
        <v>847</v>
      </c>
      <c r="CX64" s="455">
        <f>CX38-CW38</f>
        <v>-526</v>
      </c>
      <c r="CY64" s="455">
        <f>CY38-CT38</f>
        <v>2292</v>
      </c>
      <c r="CZ64" s="455">
        <f>CZ38-CX38</f>
        <v>-1194</v>
      </c>
      <c r="DA64" s="455">
        <f>DA38-CZ38</f>
        <v>-263</v>
      </c>
      <c r="DB64" s="455">
        <f>DB38-DA38</f>
        <v>504</v>
      </c>
      <c r="DC64" s="455">
        <f>DC38-DB38</f>
        <v>486</v>
      </c>
      <c r="DD64" s="455">
        <f>DD38-CY38</f>
        <v>-467</v>
      </c>
      <c r="DE64" s="455">
        <f>DE38-DC38</f>
        <v>-89</v>
      </c>
      <c r="DF64" s="455">
        <f>DF38-DE38</f>
        <v>273</v>
      </c>
      <c r="DG64" s="455">
        <f>DG38-DF38</f>
        <v>-49</v>
      </c>
      <c r="DH64" s="455">
        <f>DH38-DG38</f>
        <v>339</v>
      </c>
      <c r="DI64" s="455">
        <f>DI38-DD38</f>
        <v>474</v>
      </c>
      <c r="DJ64" s="455">
        <f>DJ38-DH38</f>
        <v>-921</v>
      </c>
      <c r="DK64" s="455">
        <f>DK38-DI38</f>
        <v>-1210</v>
      </c>
      <c r="DL64" s="455">
        <f>DL38-DJ38</f>
        <v>1299</v>
      </c>
      <c r="DM64" s="455">
        <f>DM38-DL38</f>
        <v>181</v>
      </c>
      <c r="DN64" s="455">
        <f>DN38-DI38</f>
        <v>559</v>
      </c>
      <c r="DO64" s="455">
        <f>DO38-DM38</f>
        <v>77</v>
      </c>
      <c r="DP64" s="455">
        <f>DP38-DO38</f>
        <v>410</v>
      </c>
      <c r="DQ64" s="455">
        <f>DQ38-DP38</f>
        <v>1371</v>
      </c>
      <c r="DR64" s="455">
        <f>DR38-DQ38</f>
        <v>524</v>
      </c>
      <c r="DS64" s="455">
        <f>DS38-DN38</f>
        <v>2382</v>
      </c>
      <c r="DT64" s="455">
        <f>DT38-DR38</f>
        <v>287</v>
      </c>
      <c r="DU64" s="455">
        <f>DU38-DT38</f>
        <v>250</v>
      </c>
      <c r="DV64" s="455">
        <f>DV38-DU38</f>
        <v>492</v>
      </c>
      <c r="DW64" s="455">
        <f>DW38-DV38</f>
        <v>480</v>
      </c>
      <c r="DX64" s="455">
        <f>DX38-DS38</f>
        <v>1509</v>
      </c>
      <c r="DY64" s="455">
        <f>DY38-DW38</f>
        <v>-76</v>
      </c>
      <c r="DZ64" s="455">
        <f>DZ38-DY38</f>
        <v>246</v>
      </c>
      <c r="EA64" s="455">
        <f>EA38-DZ38</f>
        <v>327</v>
      </c>
      <c r="EB64" s="455">
        <f>EB38-EA38</f>
        <v>563</v>
      </c>
      <c r="EC64" s="455">
        <f>EC38-DX38</f>
        <v>1060</v>
      </c>
      <c r="ED64" s="455">
        <f>ED38-EB38</f>
        <v>-4</v>
      </c>
      <c r="EE64" s="455">
        <f>EE38-ED38</f>
        <v>403</v>
      </c>
      <c r="EF64" s="455">
        <f>EF38-EE38</f>
        <v>-290</v>
      </c>
      <c r="EG64" s="455">
        <f>EG38-EF38</f>
        <v>-10</v>
      </c>
      <c r="EH64" s="455">
        <f>EH38-EC38</f>
        <v>99</v>
      </c>
      <c r="EI64" s="455">
        <f>EI38-EG38</f>
        <v>-654</v>
      </c>
      <c r="EJ64" s="455">
        <f>EJ38-EI38</f>
        <v>166</v>
      </c>
      <c r="EK64" s="455">
        <f>EK38-EJ38</f>
        <v>35</v>
      </c>
      <c r="EL64" s="455">
        <f>EL38-EK38</f>
        <v>166</v>
      </c>
      <c r="EM64" s="455">
        <f>EM38-EH38</f>
        <v>-287</v>
      </c>
      <c r="EN64" s="455">
        <f>EN38-EL38</f>
        <v>-431</v>
      </c>
      <c r="EO64" s="455">
        <f>EO38-EN38</f>
        <v>430</v>
      </c>
      <c r="EP64" s="455">
        <f>EP38-EO38</f>
        <v>377</v>
      </c>
      <c r="EQ64" s="455">
        <f>EQ38-EP38</f>
        <v>761</v>
      </c>
      <c r="ER64" s="455">
        <f>ER38-EM38</f>
        <v>1137</v>
      </c>
      <c r="ES64" s="455">
        <f>ES38-EQ38</f>
        <v>104</v>
      </c>
      <c r="ET64" s="455">
        <f>ET38-ES38</f>
        <v>773</v>
      </c>
      <c r="EU64" s="455">
        <f>EU38-ET38</f>
        <v>226</v>
      </c>
      <c r="EV64" s="455">
        <f>EV38-EU38</f>
        <v>-2612.4328690917318</v>
      </c>
      <c r="EW64" s="455">
        <f>EW38-ER38</f>
        <v>-1509.4328690917318</v>
      </c>
      <c r="EX64" s="455">
        <f>EX38-EV38</f>
        <v>-4279.7756838728819</v>
      </c>
      <c r="EY64" s="455">
        <f>EY38-EX38</f>
        <v>-4602.2997637297813</v>
      </c>
      <c r="EZ64" s="455">
        <f>EZ38-EY38</f>
        <v>-4955.9432151392539</v>
      </c>
      <c r="FA64" s="455">
        <f>FA38-EZ38</f>
        <v>-5332.9299650345929</v>
      </c>
      <c r="FB64" s="455">
        <f>FB38-EW38</f>
        <v>-19170.94862777651</v>
      </c>
      <c r="FC64" s="455">
        <f>FC38-FA38</f>
        <v>-5626.2547316241107</v>
      </c>
      <c r="FD64" s="455">
        <f>FD38-FC38</f>
        <v>-6045.2918430077989</v>
      </c>
      <c r="FE64" s="455">
        <f>FE38-FD38</f>
        <v>-6502.384976184494</v>
      </c>
      <c r="FF64" s="455">
        <f>FF38-FE38</f>
        <v>-6991.4703869644109</v>
      </c>
      <c r="FG64" s="455">
        <f>FG38-FB38</f>
        <v>-25165.401937780814</v>
      </c>
      <c r="FH64" s="455">
        <f>FH38-FF38</f>
        <v>-6635.6417502289805</v>
      </c>
      <c r="FI64" s="455">
        <f>FI38-FH38</f>
        <v>-7172.3669221557757</v>
      </c>
      <c r="FJ64" s="455">
        <f>FJ38-FI38</f>
        <v>-7756.7787054357814</v>
      </c>
      <c r="FK64" s="455">
        <f>FK38-FJ38</f>
        <v>-8384.6804739107702</v>
      </c>
      <c r="FL64" s="455">
        <f>FL38-FG38</f>
        <v>-29949.467851731308</v>
      </c>
      <c r="FM64" s="253"/>
      <c r="FO64"/>
      <c r="FP64"/>
      <c r="FQ64"/>
      <c r="FR64"/>
      <c r="FS64"/>
      <c r="FT64"/>
      <c r="FU64" s="261"/>
      <c r="FV64" s="261"/>
      <c r="FW64" s="261"/>
      <c r="FX64" s="261"/>
    </row>
    <row r="65" spans="1:180" s="264" customFormat="1" ht="11.25" customHeight="1">
      <c r="A65" s="509" t="s">
        <v>841</v>
      </c>
      <c r="B65" s="253"/>
      <c r="C65" s="253"/>
      <c r="D65" s="253"/>
      <c r="E65" s="455"/>
      <c r="F65" s="455"/>
      <c r="G65" s="455"/>
      <c r="H65" s="455"/>
      <c r="I65" s="455"/>
      <c r="J65" s="455"/>
      <c r="K65" s="455"/>
      <c r="L65" s="455"/>
      <c r="M65" s="455"/>
      <c r="N65" s="455"/>
      <c r="O65" s="455"/>
      <c r="P65" s="455"/>
      <c r="Q65" s="455"/>
      <c r="R65" s="455"/>
      <c r="S65" s="455">
        <f>IS!S79</f>
        <v>144</v>
      </c>
      <c r="T65" s="455">
        <f>IS!T79</f>
        <v>175</v>
      </c>
      <c r="U65" s="455">
        <f>IS!U79</f>
        <v>179</v>
      </c>
      <c r="V65" s="455">
        <f>IS!V79</f>
        <v>210.2</v>
      </c>
      <c r="W65" s="455">
        <f>IS!W79</f>
        <v>708.2</v>
      </c>
      <c r="X65" s="455">
        <f>IS!X79</f>
        <v>209</v>
      </c>
      <c r="Y65" s="455">
        <f>IS!Y79</f>
        <v>236</v>
      </c>
      <c r="Z65" s="455">
        <f>IS!Z79</f>
        <v>243</v>
      </c>
      <c r="AA65" s="455">
        <f>IS!AA79</f>
        <v>265</v>
      </c>
      <c r="AB65" s="455">
        <f>IS!AB79</f>
        <v>953</v>
      </c>
      <c r="AC65" s="455">
        <f>IS!AC79</f>
        <v>239</v>
      </c>
      <c r="AD65" s="455">
        <f>IS!AD79</f>
        <v>289</v>
      </c>
      <c r="AE65" s="455">
        <f>IS!AE79</f>
        <v>256</v>
      </c>
      <c r="AF65" s="455">
        <f>IS!AF79</f>
        <v>362</v>
      </c>
      <c r="AG65" s="455">
        <f>IS!AG79</f>
        <v>1146</v>
      </c>
      <c r="AH65" s="455">
        <f>IS!AH79</f>
        <v>316</v>
      </c>
      <c r="AI65" s="455">
        <f>IS!AI79</f>
        <v>373</v>
      </c>
      <c r="AJ65" s="455">
        <f>IS!AJ79</f>
        <v>396</v>
      </c>
      <c r="AK65" s="455">
        <f>IS!AK79</f>
        <v>322</v>
      </c>
      <c r="AL65" s="455">
        <f>IS!AL79</f>
        <v>1407</v>
      </c>
      <c r="AM65" s="455">
        <f>IS!AM79</f>
        <v>499</v>
      </c>
      <c r="AN65" s="455">
        <f>IS!AN79</f>
        <v>575</v>
      </c>
      <c r="AO65" s="455">
        <f>IS!AO79</f>
        <v>562</v>
      </c>
      <c r="AP65" s="455">
        <f>IS!AP79</f>
        <v>559</v>
      </c>
      <c r="AQ65" s="455">
        <f>IS!AQ79</f>
        <v>2195</v>
      </c>
      <c r="AR65" s="455">
        <f>IS!AR79</f>
        <v>614</v>
      </c>
      <c r="AS65" s="455">
        <f>IS!AS79</f>
        <v>741</v>
      </c>
      <c r="AT65" s="455">
        <f>IS!AT79</f>
        <v>1042</v>
      </c>
      <c r="AU65" s="455">
        <f>IS!AU79</f>
        <v>1057</v>
      </c>
      <c r="AV65" s="455">
        <f>IS!AV79</f>
        <v>3454</v>
      </c>
      <c r="AW65" s="455">
        <f>IS!AW79</f>
        <v>663</v>
      </c>
      <c r="AX65" s="455">
        <f>IS!AX79</f>
        <v>1133</v>
      </c>
      <c r="AY65" s="455">
        <f>IS!AY79</f>
        <v>1337</v>
      </c>
      <c r="AZ65" s="455">
        <f>IS!AZ79</f>
        <v>1357</v>
      </c>
      <c r="BA65" s="455">
        <f>IS!BA79</f>
        <v>4490</v>
      </c>
      <c r="BB65" s="455">
        <f>IS!BB79</f>
        <v>1683</v>
      </c>
      <c r="BC65" s="455">
        <f>IS!BC79</f>
        <v>1983</v>
      </c>
      <c r="BD65" s="455">
        <f>IS!BD79</f>
        <v>1917</v>
      </c>
      <c r="BE65" s="455">
        <f>IS!BE79</f>
        <v>2202</v>
      </c>
      <c r="BF65" s="455">
        <f>IS!BF79</f>
        <v>7785</v>
      </c>
      <c r="BG65" s="455">
        <f>IS!BG79</f>
        <v>2191</v>
      </c>
      <c r="BH65" s="455">
        <f>IS!BH79</f>
        <v>2436</v>
      </c>
      <c r="BI65" s="455">
        <f>IS!BI79</f>
        <v>2385</v>
      </c>
      <c r="BJ65" s="455">
        <f>IS!BJ79</f>
        <v>2409</v>
      </c>
      <c r="BK65" s="455">
        <f>IS!BK79</f>
        <v>9421</v>
      </c>
      <c r="BL65" s="455">
        <f>IS!BL79</f>
        <v>2206</v>
      </c>
      <c r="BM65" s="455">
        <f>IS!BM79</f>
        <v>2624</v>
      </c>
      <c r="BN65" s="455">
        <f>IS!BN79</f>
        <v>2451</v>
      </c>
      <c r="BO65" s="455">
        <f>IS!BO79</f>
        <v>65</v>
      </c>
      <c r="BP65" s="455">
        <f>IS!BP79</f>
        <v>7346</v>
      </c>
      <c r="BQ65" s="455">
        <f>IS!BQ79</f>
        <v>1283</v>
      </c>
      <c r="BR65" s="455">
        <f>IS!BR79</f>
        <v>2283</v>
      </c>
      <c r="BS65" s="455">
        <f>IS!BS79</f>
        <v>2738</v>
      </c>
      <c r="BT65" s="455">
        <f>IS!BT79</f>
        <v>1525</v>
      </c>
      <c r="BU65" s="455">
        <f>IS!BU79</f>
        <v>7828.9999999999991</v>
      </c>
      <c r="BV65" s="455">
        <f>IS!BV79</f>
        <v>2041</v>
      </c>
      <c r="BW65" s="455">
        <f>IS!BW79</f>
        <v>1865</v>
      </c>
      <c r="BX65" s="455">
        <f>IS!BX79</f>
        <v>2141.9899999999998</v>
      </c>
      <c r="BY65" s="455">
        <f>IS!BY79</f>
        <v>1483.3799999999999</v>
      </c>
      <c r="BZ65" s="455">
        <f>IS!BZ79</f>
        <v>7531.369999999999</v>
      </c>
      <c r="CA65" s="455">
        <f>IS!CA79</f>
        <v>2614</v>
      </c>
      <c r="CB65" s="455">
        <f>IS!CB79</f>
        <v>1549.04</v>
      </c>
      <c r="CC65" s="455">
        <f>IS!CC79</f>
        <v>1315</v>
      </c>
      <c r="CD65" s="455">
        <f>IS!CD79</f>
        <v>2689</v>
      </c>
      <c r="CE65" s="455">
        <f>IS!CE79</f>
        <v>8167.0399999999991</v>
      </c>
      <c r="CF65" s="455">
        <f>IS!CF79</f>
        <v>2528</v>
      </c>
      <c r="CG65" s="455">
        <f>IS!CG79</f>
        <v>3463</v>
      </c>
      <c r="CH65" s="455">
        <f>IS!CH79</f>
        <v>2563</v>
      </c>
      <c r="CI65" s="455">
        <f>IS!CI79</f>
        <v>3700</v>
      </c>
      <c r="CJ65" s="455">
        <f>IS!CJ79</f>
        <v>12254</v>
      </c>
      <c r="CK65" s="455">
        <f>IS!CK79</f>
        <v>3141</v>
      </c>
      <c r="CL65" s="455">
        <f>IS!CL79</f>
        <v>3654</v>
      </c>
      <c r="CM65" s="455">
        <f>IS!CM79</f>
        <v>2978</v>
      </c>
      <c r="CN65" s="455">
        <f>IS!CN79</f>
        <v>2830</v>
      </c>
      <c r="CO65" s="455">
        <f>IS!CO79</f>
        <v>12603</v>
      </c>
      <c r="CP65" s="455">
        <f>IS!CP79</f>
        <v>3478</v>
      </c>
      <c r="CQ65" s="455">
        <f>IS!CQ79</f>
        <v>2626</v>
      </c>
      <c r="CR65" s="455">
        <f>IS!CR79</f>
        <v>4926</v>
      </c>
      <c r="CS65" s="455">
        <f>IS!CS79</f>
        <v>3035</v>
      </c>
      <c r="CT65" s="455">
        <f>IS!CT79</f>
        <v>14065</v>
      </c>
      <c r="CU65" s="455">
        <f>IS!CU79</f>
        <v>4289</v>
      </c>
      <c r="CV65" s="455">
        <f>IS!CV79</f>
        <v>4707</v>
      </c>
      <c r="CW65" s="455">
        <f>IS!CW79</f>
        <v>4388</v>
      </c>
      <c r="CX65" s="455">
        <f>IS!CX79</f>
        <v>4297</v>
      </c>
      <c r="CY65" s="455">
        <f>IS!CY79</f>
        <v>17681</v>
      </c>
      <c r="CZ65" s="455">
        <f>IS!CZ79</f>
        <v>4373</v>
      </c>
      <c r="DA65" s="455">
        <f>IS!DA79</f>
        <v>4174</v>
      </c>
      <c r="DB65" s="455">
        <f>IS!DB79</f>
        <v>2976.9627100840335</v>
      </c>
      <c r="DC65" s="455">
        <f>IS!DC79</f>
        <v>3045</v>
      </c>
      <c r="DD65" s="455">
        <f>IS!DD79</f>
        <v>14568.962710084033</v>
      </c>
      <c r="DE65" s="455">
        <f>IS!DE79</f>
        <v>3574</v>
      </c>
      <c r="DF65" s="455">
        <f>IS!DF79</f>
        <v>6662</v>
      </c>
      <c r="DG65" s="455">
        <f>IS!DG79</f>
        <v>4006</v>
      </c>
      <c r="DH65" s="455">
        <f>IS!DH79</f>
        <v>4518</v>
      </c>
      <c r="DI65" s="455">
        <f>IS!DI79</f>
        <v>18760</v>
      </c>
      <c r="DJ65" s="455">
        <f>IS!DJ79</f>
        <v>5410</v>
      </c>
      <c r="DK65" s="455">
        <f>IS!DK79</f>
        <v>6634</v>
      </c>
      <c r="DL65" s="455">
        <f>IS!DL79</f>
        <v>5232</v>
      </c>
      <c r="DM65" s="455">
        <f>IS!DM79</f>
        <v>5872.4399999999987</v>
      </c>
      <c r="DN65" s="455">
        <f>IS!DN79</f>
        <v>23148.440000000002</v>
      </c>
      <c r="DO65" s="455">
        <f>IS!DO79</f>
        <v>5738</v>
      </c>
      <c r="DP65" s="455">
        <f>IS!DP79</f>
        <v>6624</v>
      </c>
      <c r="DQ65" s="455">
        <f>IS!DQ79</f>
        <v>5108</v>
      </c>
      <c r="DR65" s="455">
        <f>IS!DR79</f>
        <v>-492</v>
      </c>
      <c r="DS65" s="455">
        <f>IS!DS79</f>
        <v>16978</v>
      </c>
      <c r="DT65" s="455">
        <f>IS!DT79</f>
        <v>4466</v>
      </c>
      <c r="DU65" s="455">
        <f>IS!DU79</f>
        <v>6377</v>
      </c>
      <c r="DV65" s="455">
        <f>IS!DV79</f>
        <v>6788</v>
      </c>
      <c r="DW65" s="455">
        <f>IS!DW79</f>
        <v>4965</v>
      </c>
      <c r="DX65" s="455">
        <f>IS!DX79</f>
        <v>21863</v>
      </c>
      <c r="DY65" s="455">
        <f>IS!DY79</f>
        <v>5244</v>
      </c>
      <c r="DZ65" s="455">
        <f>IS!DZ79</f>
        <v>6558</v>
      </c>
      <c r="EA65" s="455">
        <f>IS!EA79</f>
        <v>5660</v>
      </c>
      <c r="EB65" s="455">
        <f>IS!EB79</f>
        <v>4739</v>
      </c>
      <c r="EC65" s="455">
        <f>IS!EC79</f>
        <v>22181.084999999999</v>
      </c>
      <c r="ED65" s="455">
        <f>IS!ED79</f>
        <v>4296</v>
      </c>
      <c r="EE65" s="455">
        <f>IS!EE79</f>
        <v>5537</v>
      </c>
      <c r="EF65" s="455">
        <f>IS!EF79</f>
        <v>4985</v>
      </c>
      <c r="EG65" s="455">
        <f>IS!EG79</f>
        <v>-3195</v>
      </c>
      <c r="EH65" s="455">
        <f>IS!EH79</f>
        <v>11623</v>
      </c>
      <c r="EI65" s="455">
        <f>IS!EI79</f>
        <v>5068.75</v>
      </c>
      <c r="EJ65" s="455">
        <f>IS!EJ79</f>
        <v>5937.75</v>
      </c>
      <c r="EK65" s="455">
        <f>IS!EK79</f>
        <v>4304.51</v>
      </c>
      <c r="EL65" s="455">
        <f>IS!EL79</f>
        <v>5226.75</v>
      </c>
      <c r="EM65" s="455">
        <f>IS!EM79</f>
        <v>20537.760000000002</v>
      </c>
      <c r="EN65" s="455">
        <f>IS!EN79</f>
        <v>5667</v>
      </c>
      <c r="EO65" s="455">
        <f>IS!EO79</f>
        <v>6267</v>
      </c>
      <c r="EP65" s="455">
        <f>IS!EP79</f>
        <v>5486</v>
      </c>
      <c r="EQ65" s="455">
        <f>IS!EQ79</f>
        <v>8069</v>
      </c>
      <c r="ER65" s="455">
        <f>IS!ER79</f>
        <v>25489</v>
      </c>
      <c r="ES65" s="455">
        <f>IS!ES79</f>
        <v>6576</v>
      </c>
      <c r="ET65" s="455">
        <f>IS!ET79</f>
        <v>-6302</v>
      </c>
      <c r="EU65" s="455">
        <f>IS!EU79</f>
        <v>7424</v>
      </c>
      <c r="EV65" s="455">
        <f>IS!EV79</f>
        <v>8388.9370269393221</v>
      </c>
      <c r="EW65" s="455">
        <f>IS!EW79</f>
        <v>16086.937026939315</v>
      </c>
      <c r="EX65" s="455">
        <f>IS!EX79</f>
        <v>7170.6419162524844</v>
      </c>
      <c r="EY65" s="455">
        <f>IS!EY79</f>
        <v>8063.472111940403</v>
      </c>
      <c r="EZ65" s="455">
        <f>IS!EZ79</f>
        <v>7725.1654268065085</v>
      </c>
      <c r="FA65" s="455">
        <f>IS!FA79</f>
        <v>8855.0560762888072</v>
      </c>
      <c r="FB65" s="455">
        <f>IS!FB79</f>
        <v>31814.33553128819</v>
      </c>
      <c r="FC65" s="455">
        <f>IS!FC79</f>
        <v>8402.3315887455719</v>
      </c>
      <c r="FD65" s="455">
        <f>IS!FD79</f>
        <v>9459.3106979844997</v>
      </c>
      <c r="FE65" s="455">
        <f>IS!FE79</f>
        <v>9294.666359668312</v>
      </c>
      <c r="FF65" s="455">
        <f>IS!FF79</f>
        <v>10548.178485124954</v>
      </c>
      <c r="FG65" s="455">
        <f>IS!FG79</f>
        <v>37704.487131523339</v>
      </c>
      <c r="FH65" s="455">
        <f>IS!FH79</f>
        <v>9749.1858782686559</v>
      </c>
      <c r="FI65" s="455">
        <f>IS!FI79</f>
        <v>10902.311009867381</v>
      </c>
      <c r="FJ65" s="455">
        <f>IS!FJ79</f>
        <v>10837.814046979547</v>
      </c>
      <c r="FK65" s="455">
        <f>IS!FK79</f>
        <v>12197.718453533422</v>
      </c>
      <c r="FL65" s="455">
        <f>IS!FL79</f>
        <v>43687.029388649018</v>
      </c>
      <c r="FM65" s="253"/>
      <c r="FO65"/>
      <c r="FP65"/>
      <c r="FQ65"/>
      <c r="FR65"/>
      <c r="FS65"/>
      <c r="FT65"/>
      <c r="FU65" s="261"/>
      <c r="FV65" s="261"/>
      <c r="FW65" s="261"/>
      <c r="FX65" s="261"/>
    </row>
    <row r="66" spans="1:180" s="264" customFormat="1" ht="11.25" customHeight="1">
      <c r="A66" s="509" t="s">
        <v>618</v>
      </c>
      <c r="B66" s="253"/>
      <c r="C66" s="253"/>
      <c r="D66" s="253"/>
      <c r="E66" s="455"/>
      <c r="F66" s="455"/>
      <c r="G66" s="455"/>
      <c r="H66" s="455"/>
      <c r="I66" s="455"/>
      <c r="J66" s="455"/>
      <c r="K66" s="455"/>
      <c r="L66" s="455"/>
      <c r="M66" s="455"/>
      <c r="N66" s="455"/>
      <c r="O66" s="455"/>
      <c r="P66" s="455"/>
      <c r="Q66" s="455"/>
      <c r="R66" s="455"/>
      <c r="S66" s="455">
        <f>CF!S35</f>
        <v>0</v>
      </c>
      <c r="T66" s="455">
        <f>CF!T35</f>
        <v>0</v>
      </c>
      <c r="U66" s="455">
        <f>CF!U35</f>
        <v>0</v>
      </c>
      <c r="V66" s="455">
        <f>CF!V35</f>
        <v>0</v>
      </c>
      <c r="W66" s="455">
        <f>CF!W35</f>
        <v>0</v>
      </c>
      <c r="X66" s="455">
        <f>CF!X35</f>
        <v>0</v>
      </c>
      <c r="Y66" s="455">
        <f>CF!Y35</f>
        <v>0</v>
      </c>
      <c r="Z66" s="455">
        <f>CF!Z35</f>
        <v>0</v>
      </c>
      <c r="AA66" s="455">
        <f>CF!AA35</f>
        <v>0</v>
      </c>
      <c r="AB66" s="455">
        <f>CF!AB35</f>
        <v>0</v>
      </c>
      <c r="AC66" s="455">
        <f>CF!AC35</f>
        <v>0</v>
      </c>
      <c r="AD66" s="455">
        <f>CF!AD35</f>
        <v>0</v>
      </c>
      <c r="AE66" s="455">
        <f>CF!AE35</f>
        <v>0</v>
      </c>
      <c r="AF66" s="455">
        <f>CF!AF35</f>
        <v>0</v>
      </c>
      <c r="AG66" s="455">
        <f>CF!AG35</f>
        <v>0</v>
      </c>
      <c r="AH66" s="455">
        <f>CF!AH35</f>
        <v>0</v>
      </c>
      <c r="AI66" s="455">
        <f>CF!AI35</f>
        <v>0</v>
      </c>
      <c r="AJ66" s="455">
        <f>CF!AJ35</f>
        <v>0</v>
      </c>
      <c r="AK66" s="455">
        <f>CF!AK35</f>
        <v>0</v>
      </c>
      <c r="AL66" s="455">
        <f>CF!AL35</f>
        <v>0</v>
      </c>
      <c r="AM66" s="455">
        <f>CF!AM35</f>
        <v>0</v>
      </c>
      <c r="AN66" s="455">
        <f>CF!AN35</f>
        <v>0</v>
      </c>
      <c r="AO66" s="455">
        <f>CF!AO35</f>
        <v>0</v>
      </c>
      <c r="AP66" s="455">
        <f>CF!AP35</f>
        <v>0</v>
      </c>
      <c r="AQ66" s="455">
        <f>CF!AQ35</f>
        <v>0</v>
      </c>
      <c r="AR66" s="455">
        <f>CF!AR35</f>
        <v>0</v>
      </c>
      <c r="AS66" s="455">
        <f>CF!AS35</f>
        <v>0</v>
      </c>
      <c r="AT66" s="455">
        <f>CF!AT35</f>
        <v>0</v>
      </c>
      <c r="AU66" s="455">
        <f>CF!AU35</f>
        <v>0</v>
      </c>
      <c r="AV66" s="455">
        <f>CF!AV35</f>
        <v>0</v>
      </c>
      <c r="AW66" s="455">
        <f>CF!AW35</f>
        <v>0</v>
      </c>
      <c r="AX66" s="455">
        <f>CF!AX35</f>
        <v>0</v>
      </c>
      <c r="AY66" s="455">
        <f>CF!AY35</f>
        <v>0</v>
      </c>
      <c r="AZ66" s="455">
        <f>CF!AZ35</f>
        <v>0</v>
      </c>
      <c r="BA66" s="455">
        <f>CF!BA35</f>
        <v>0</v>
      </c>
      <c r="BB66" s="455">
        <f>CF!BB35</f>
        <v>0</v>
      </c>
      <c r="BC66" s="455">
        <f>CF!BC35</f>
        <v>0</v>
      </c>
      <c r="BD66" s="455">
        <f>CF!BD35</f>
        <v>0</v>
      </c>
      <c r="BE66" s="455">
        <f>CF!BE35</f>
        <v>0</v>
      </c>
      <c r="BF66" s="455">
        <f>CF!BF35</f>
        <v>0</v>
      </c>
      <c r="BG66" s="455">
        <f>CF!BG35</f>
        <v>0</v>
      </c>
      <c r="BH66" s="455">
        <f>CF!BH35</f>
        <v>0</v>
      </c>
      <c r="BI66" s="455">
        <f>CF!BI35</f>
        <v>0</v>
      </c>
      <c r="BJ66" s="455">
        <f>CF!BJ35</f>
        <v>0</v>
      </c>
      <c r="BK66" s="455">
        <f>CF!BK35</f>
        <v>0</v>
      </c>
      <c r="BL66" s="455">
        <f>CF!BL35</f>
        <v>0</v>
      </c>
      <c r="BM66" s="455">
        <f>CF!BM35</f>
        <v>0</v>
      </c>
      <c r="BN66" s="455">
        <f>CF!BN35</f>
        <v>0</v>
      </c>
      <c r="BO66" s="455">
        <f>CF!BO35</f>
        <v>0</v>
      </c>
      <c r="BP66" s="455">
        <f>CF!BP35</f>
        <v>0</v>
      </c>
      <c r="BQ66" s="455">
        <f>CF!BQ35</f>
        <v>0</v>
      </c>
      <c r="BR66" s="455">
        <f>CF!BR35</f>
        <v>0</v>
      </c>
      <c r="BS66" s="455">
        <f>CF!BS35</f>
        <v>0</v>
      </c>
      <c r="BT66" s="455">
        <f>CF!BT35</f>
        <v>0</v>
      </c>
      <c r="BU66" s="455">
        <f>CF!BU35</f>
        <v>0</v>
      </c>
      <c r="BV66" s="455">
        <f>CF!BV35</f>
        <v>0</v>
      </c>
      <c r="BW66" s="455">
        <f>CF!BW35</f>
        <v>0</v>
      </c>
      <c r="BX66" s="455">
        <f>CF!BX35</f>
        <v>-857</v>
      </c>
      <c r="BY66" s="455">
        <f>CF!BY35</f>
        <v>0</v>
      </c>
      <c r="BZ66" s="455">
        <f>CF!BZ35</f>
        <v>-857</v>
      </c>
      <c r="CA66" s="455">
        <f>CF!CA35</f>
        <v>0</v>
      </c>
      <c r="CB66" s="455">
        <f>CF!CB35</f>
        <v>-1729</v>
      </c>
      <c r="CC66" s="455">
        <f>CF!CC35</f>
        <v>0</v>
      </c>
      <c r="CD66" s="455">
        <f>CF!CD35</f>
        <v>0</v>
      </c>
      <c r="CE66" s="455">
        <f>CF!CE35</f>
        <v>-1729</v>
      </c>
      <c r="CF66" s="455">
        <f>CF!CF35</f>
        <v>-870</v>
      </c>
      <c r="CG66" s="455">
        <f>CF!CG35</f>
        <v>-33498</v>
      </c>
      <c r="CH66" s="455">
        <f>CF!CH35</f>
        <v>-885</v>
      </c>
      <c r="CI66" s="455">
        <f>CF!CI35</f>
        <v>-859</v>
      </c>
      <c r="CJ66" s="455">
        <f>CF!CJ35</f>
        <v>-36112</v>
      </c>
      <c r="CK66" s="455">
        <f>CF!CK35</f>
        <v>-857</v>
      </c>
      <c r="CL66" s="455">
        <f>CF!CL35</f>
        <v>-846</v>
      </c>
      <c r="CM66" s="455">
        <f>CF!CM35</f>
        <v>-925</v>
      </c>
      <c r="CN66" s="455">
        <f>CF!CN35</f>
        <v>-917</v>
      </c>
      <c r="CO66" s="455">
        <f>CF!CO35</f>
        <v>-3545</v>
      </c>
      <c r="CP66" s="455">
        <f>CF!CP35</f>
        <v>-897</v>
      </c>
      <c r="CQ66" s="455">
        <f>CF!CQ35</f>
        <v>-980</v>
      </c>
      <c r="CR66" s="455">
        <f>CF!CR35</f>
        <v>-976</v>
      </c>
      <c r="CS66" s="455">
        <f>CF!CS35</f>
        <v>-952</v>
      </c>
      <c r="CT66" s="455">
        <f>CF!CT35</f>
        <v>-3805</v>
      </c>
      <c r="CU66" s="455">
        <f>CF!CU35</f>
        <v>-938</v>
      </c>
      <c r="CV66" s="455">
        <f>CF!CV35</f>
        <v>-1034</v>
      </c>
      <c r="CW66" s="455">
        <f>CF!CW35</f>
        <v>-1023</v>
      </c>
      <c r="CX66" s="455">
        <f>CF!CX35</f>
        <v>-1020</v>
      </c>
      <c r="CY66" s="455">
        <f>CF!CY35</f>
        <v>-4015</v>
      </c>
      <c r="CZ66" s="455">
        <f>CF!CZ35</f>
        <v>-998</v>
      </c>
      <c r="DA66" s="455">
        <f>CF!DA35</f>
        <v>-1157</v>
      </c>
      <c r="DB66" s="455">
        <f>CF!DB35</f>
        <v>-1155</v>
      </c>
      <c r="DC66" s="455">
        <f>CF!DC35</f>
        <v>-1158</v>
      </c>
      <c r="DD66" s="455">
        <f>CF!DD35</f>
        <v>-4468</v>
      </c>
      <c r="DE66" s="455">
        <f>CF!DE35</f>
        <v>-1157</v>
      </c>
      <c r="DF66" s="455">
        <f>CF!DF35</f>
        <v>-1152</v>
      </c>
      <c r="DG66" s="455">
        <f>CF!DG35</f>
        <v>-1139</v>
      </c>
      <c r="DH66" s="455">
        <f>CF!DH35</f>
        <v>-1130</v>
      </c>
      <c r="DI66" s="455">
        <f>CF!DI35</f>
        <v>-4578</v>
      </c>
      <c r="DJ66" s="455">
        <f>CF!DJ35</f>
        <v>-1118</v>
      </c>
      <c r="DK66" s="455">
        <f>CF!DK35</f>
        <v>-1363</v>
      </c>
      <c r="DL66" s="455">
        <f>CF!DL35</f>
        <v>-1349</v>
      </c>
      <c r="DM66" s="455">
        <f>CF!DM35</f>
        <v>-1350</v>
      </c>
      <c r="DN66" s="455">
        <f>CF!DN35</f>
        <v>-5180</v>
      </c>
      <c r="DO66" s="455">
        <f>CF!DO35</f>
        <v>-1341</v>
      </c>
      <c r="DP66" s="455">
        <f>CF!DP35</f>
        <v>-1683</v>
      </c>
      <c r="DQ66" s="455">
        <f>CF!DQ35</f>
        <v>-1683</v>
      </c>
      <c r="DR66" s="455">
        <f>CF!DR35</f>
        <v>-1678</v>
      </c>
      <c r="DS66" s="455">
        <f>CF!DS35</f>
        <v>-6385</v>
      </c>
      <c r="DT66" s="455">
        <f>CF!DT35</f>
        <v>-1676</v>
      </c>
      <c r="DU66" s="455">
        <f>CF!DU35</f>
        <v>-1933</v>
      </c>
      <c r="DV66" s="455">
        <f>CF!DV35</f>
        <v>-1925</v>
      </c>
      <c r="DW66" s="455">
        <f>CF!DW35</f>
        <v>-1921</v>
      </c>
      <c r="DX66" s="455">
        <f>CF!DX35</f>
        <v>-7455</v>
      </c>
      <c r="DY66" s="455">
        <f>CF!DY35</f>
        <v>-1916</v>
      </c>
      <c r="DZ66" s="455">
        <f>CF!DZ35</f>
        <v>-2332</v>
      </c>
      <c r="EA66" s="455">
        <f>CF!EA35</f>
        <v>-2322</v>
      </c>
      <c r="EB66" s="455">
        <f>CF!EB35</f>
        <v>-2309</v>
      </c>
      <c r="EC66" s="455">
        <f>CF!EC35</f>
        <v>-8879</v>
      </c>
      <c r="ED66" s="455">
        <f>CF!ED35</f>
        <v>-2307</v>
      </c>
      <c r="EE66" s="455">
        <f>CF!EE35</f>
        <v>-2547</v>
      </c>
      <c r="EF66" s="455">
        <f>CF!EF35</f>
        <v>-2532</v>
      </c>
      <c r="EG66" s="455">
        <f>CF!EG35</f>
        <v>-2496</v>
      </c>
      <c r="EH66" s="455">
        <f>CF!EH35</f>
        <v>-9882</v>
      </c>
      <c r="EI66" s="455">
        <f>CF!EI35</f>
        <v>-2475</v>
      </c>
      <c r="EJ66" s="455">
        <f>CF!EJ35</f>
        <v>-2868</v>
      </c>
      <c r="EK66" s="455">
        <f>CF!EK35</f>
        <v>-2842</v>
      </c>
      <c r="EL66" s="455">
        <f>CF!EL35</f>
        <v>-2821</v>
      </c>
      <c r="EM66" s="455">
        <f>CF!EM35</f>
        <v>-11006</v>
      </c>
      <c r="EN66" s="455">
        <f>CF!EN35</f>
        <v>-2800</v>
      </c>
      <c r="EO66" s="455">
        <f>CF!EO35</f>
        <v>-3024</v>
      </c>
      <c r="EP66" s="455">
        <f>CF!EP35</f>
        <v>-3012</v>
      </c>
      <c r="EQ66" s="455">
        <f>CF!EQ35</f>
        <v>-3009</v>
      </c>
      <c r="ER66" s="455">
        <f>CF!ER35</f>
        <v>-11845</v>
      </c>
      <c r="ES66" s="455">
        <f>CF!ES35</f>
        <v>-3003</v>
      </c>
      <c r="ET66" s="455">
        <f>CF!ET35</f>
        <v>-3238</v>
      </c>
      <c r="EU66" s="455">
        <f>CF!EU35</f>
        <v>-3232</v>
      </c>
      <c r="EV66" s="455">
        <f>CF!EV35</f>
        <v>-3229.7999999999997</v>
      </c>
      <c r="EW66" s="455">
        <f>CF!EW35</f>
        <v>-12702.8</v>
      </c>
      <c r="EX66" s="455">
        <f>CF!EX35</f>
        <v>-3674.9762531999995</v>
      </c>
      <c r="EY66" s="455">
        <f>CF!EY35</f>
        <v>-3667.9937983189193</v>
      </c>
      <c r="EZ66" s="455">
        <f>CF!EZ35</f>
        <v>-3661.0246101021135</v>
      </c>
      <c r="FA66" s="455">
        <f>CF!FA35</f>
        <v>-3654.0686633429195</v>
      </c>
      <c r="FB66" s="455">
        <f>CF!FB35</f>
        <v>-14658.063324963952</v>
      </c>
      <c r="FC66" s="455">
        <f>CF!FC35</f>
        <v>-4012.4414475002768</v>
      </c>
      <c r="FD66" s="455">
        <f>CF!FD35</f>
        <v>-4005.419674967151</v>
      </c>
      <c r="FE66" s="455">
        <f>CF!FE35</f>
        <v>-3998.410190535958</v>
      </c>
      <c r="FF66" s="455">
        <f>CF!FF35</f>
        <v>-3991.4129727025197</v>
      </c>
      <c r="FG66" s="455">
        <f>CF!FG35</f>
        <v>-16007.684285705905</v>
      </c>
      <c r="FH66" s="455">
        <f>CF!FH35</f>
        <v>-4387.4808819837908</v>
      </c>
      <c r="FI66" s="455">
        <f>CF!FI35</f>
        <v>-4384.4096453664024</v>
      </c>
      <c r="FJ66" s="455">
        <f>CF!FJ35</f>
        <v>-4381.3405586146455</v>
      </c>
      <c r="FK66" s="455">
        <f>CF!FK35</f>
        <v>-4378.2736202236156</v>
      </c>
      <c r="FL66" s="455">
        <f>CF!FL35</f>
        <v>-17531.504706188454</v>
      </c>
      <c r="FM66" s="253"/>
      <c r="FO66"/>
      <c r="FP66"/>
      <c r="FQ66"/>
      <c r="FR66"/>
      <c r="FS66"/>
      <c r="FT66"/>
      <c r="FU66" s="261"/>
      <c r="FV66" s="261"/>
      <c r="FW66" s="261"/>
      <c r="FX66" s="261"/>
    </row>
    <row r="67" spans="1:180" s="264" customFormat="1" ht="11.25" customHeight="1">
      <c r="A67" s="509" t="s">
        <v>619</v>
      </c>
      <c r="B67" s="253"/>
      <c r="C67" s="253"/>
      <c r="D67" s="253"/>
      <c r="E67" s="455"/>
      <c r="F67" s="455"/>
      <c r="G67" s="455"/>
      <c r="H67" s="455"/>
      <c r="I67" s="455"/>
      <c r="J67" s="455"/>
      <c r="K67" s="455"/>
      <c r="L67" s="455"/>
      <c r="M67" s="455"/>
      <c r="N67" s="455"/>
      <c r="O67" s="455"/>
      <c r="P67" s="455"/>
      <c r="Q67" s="455"/>
      <c r="R67" s="455"/>
      <c r="S67" s="455">
        <f>S40-Q40</f>
        <v>0</v>
      </c>
      <c r="T67" s="455">
        <f t="shared" ref="T67:CS67" si="73">T40-S40</f>
        <v>0</v>
      </c>
      <c r="U67" s="455">
        <f t="shared" si="73"/>
        <v>0</v>
      </c>
      <c r="V67" s="455">
        <f t="shared" si="73"/>
        <v>0</v>
      </c>
      <c r="W67" s="455">
        <f>W40-R40</f>
        <v>0</v>
      </c>
      <c r="X67" s="455">
        <f>X40-V40</f>
        <v>0</v>
      </c>
      <c r="Y67" s="455">
        <f t="shared" si="73"/>
        <v>0</v>
      </c>
      <c r="Z67" s="455">
        <f t="shared" si="73"/>
        <v>0</v>
      </c>
      <c r="AA67" s="455">
        <f t="shared" si="73"/>
        <v>0</v>
      </c>
      <c r="AB67" s="455">
        <f>AB40-W40</f>
        <v>0</v>
      </c>
      <c r="AC67" s="455">
        <f>AC40-AA40</f>
        <v>0</v>
      </c>
      <c r="AD67" s="455">
        <f t="shared" si="73"/>
        <v>0</v>
      </c>
      <c r="AE67" s="455">
        <f t="shared" si="73"/>
        <v>0</v>
      </c>
      <c r="AF67" s="455">
        <f t="shared" si="73"/>
        <v>0</v>
      </c>
      <c r="AG67" s="455">
        <f>AG40-AB40</f>
        <v>0</v>
      </c>
      <c r="AH67" s="455">
        <f>AH40-AF40</f>
        <v>0</v>
      </c>
      <c r="AI67" s="455">
        <f t="shared" si="73"/>
        <v>0</v>
      </c>
      <c r="AJ67" s="455">
        <f t="shared" si="73"/>
        <v>0</v>
      </c>
      <c r="AK67" s="455">
        <f t="shared" si="73"/>
        <v>0</v>
      </c>
      <c r="AL67" s="455">
        <f>AL40-AG40</f>
        <v>0</v>
      </c>
      <c r="AM67" s="455">
        <f>AM40-AK40</f>
        <v>0</v>
      </c>
      <c r="AN67" s="455">
        <f t="shared" si="73"/>
        <v>0</v>
      </c>
      <c r="AO67" s="455">
        <f t="shared" si="73"/>
        <v>0</v>
      </c>
      <c r="AP67" s="455">
        <f t="shared" si="73"/>
        <v>0</v>
      </c>
      <c r="AQ67" s="455">
        <f>AQ40-AL40</f>
        <v>0</v>
      </c>
      <c r="AR67" s="455">
        <f>AR40-AP40</f>
        <v>0</v>
      </c>
      <c r="AS67" s="455">
        <f t="shared" si="73"/>
        <v>0</v>
      </c>
      <c r="AT67" s="455">
        <f t="shared" si="73"/>
        <v>0</v>
      </c>
      <c r="AU67" s="455">
        <f t="shared" si="73"/>
        <v>0</v>
      </c>
      <c r="AV67" s="455">
        <f>AV40-AQ40</f>
        <v>0</v>
      </c>
      <c r="AW67" s="455">
        <f>AW40-AU40</f>
        <v>0</v>
      </c>
      <c r="AX67" s="455">
        <f t="shared" si="73"/>
        <v>0</v>
      </c>
      <c r="AY67" s="455">
        <f t="shared" si="73"/>
        <v>0</v>
      </c>
      <c r="AZ67" s="455">
        <f t="shared" si="73"/>
        <v>0</v>
      </c>
      <c r="BA67" s="455">
        <f>BA40-AV40</f>
        <v>0</v>
      </c>
      <c r="BB67" s="455">
        <f>BB40-AZ40</f>
        <v>0</v>
      </c>
      <c r="BC67" s="455">
        <f t="shared" si="73"/>
        <v>0</v>
      </c>
      <c r="BD67" s="455">
        <f t="shared" si="73"/>
        <v>0</v>
      </c>
      <c r="BE67" s="455">
        <f t="shared" si="73"/>
        <v>0</v>
      </c>
      <c r="BF67" s="455">
        <f>BF40-BA40</f>
        <v>0</v>
      </c>
      <c r="BG67" s="455">
        <f>BG40-BE40</f>
        <v>0</v>
      </c>
      <c r="BH67" s="455">
        <f t="shared" si="73"/>
        <v>0</v>
      </c>
      <c r="BI67" s="455">
        <f t="shared" si="73"/>
        <v>0</v>
      </c>
      <c r="BJ67" s="455">
        <f t="shared" si="73"/>
        <v>0</v>
      </c>
      <c r="BK67" s="455">
        <f>BK40-BF40</f>
        <v>0</v>
      </c>
      <c r="BL67" s="455">
        <f>BL40-BJ40</f>
        <v>1459</v>
      </c>
      <c r="BM67" s="455">
        <f t="shared" si="73"/>
        <v>-686</v>
      </c>
      <c r="BN67" s="455">
        <f t="shared" si="73"/>
        <v>-169</v>
      </c>
      <c r="BO67" s="455">
        <f t="shared" si="73"/>
        <v>-17</v>
      </c>
      <c r="BP67" s="455">
        <f>BP40-BK40</f>
        <v>587</v>
      </c>
      <c r="BQ67" s="455">
        <f>BQ40-BO40</f>
        <v>34</v>
      </c>
      <c r="BR67" s="455">
        <f t="shared" si="73"/>
        <v>133</v>
      </c>
      <c r="BS67" s="455">
        <f t="shared" si="73"/>
        <v>-100</v>
      </c>
      <c r="BT67" s="455">
        <f t="shared" si="73"/>
        <v>-71</v>
      </c>
      <c r="BU67" s="455">
        <f>BU40-BP40</f>
        <v>-4</v>
      </c>
      <c r="BV67" s="455">
        <f>BV40-BT40</f>
        <v>-101</v>
      </c>
      <c r="BW67" s="455">
        <f t="shared" si="73"/>
        <v>38</v>
      </c>
      <c r="BX67" s="455">
        <f t="shared" si="73"/>
        <v>455</v>
      </c>
      <c r="BY67" s="455">
        <f t="shared" si="73"/>
        <v>865</v>
      </c>
      <c r="BZ67" s="455">
        <f>BZ40-BU40</f>
        <v>1257</v>
      </c>
      <c r="CA67" s="455">
        <f>CA40-BY40</f>
        <v>-121</v>
      </c>
      <c r="CB67" s="455">
        <f t="shared" si="73"/>
        <v>476</v>
      </c>
      <c r="CC67" s="455">
        <f t="shared" si="73"/>
        <v>-170</v>
      </c>
      <c r="CD67" s="455">
        <f t="shared" si="73"/>
        <v>-2025</v>
      </c>
      <c r="CE67" s="455">
        <f>CE40-BZ40</f>
        <v>-1840</v>
      </c>
      <c r="CF67" s="455">
        <f>CF40-CD40</f>
        <v>0</v>
      </c>
      <c r="CG67" s="455">
        <f t="shared" si="73"/>
        <v>0</v>
      </c>
      <c r="CH67" s="455">
        <f t="shared" si="73"/>
        <v>0</v>
      </c>
      <c r="CI67" s="455">
        <f t="shared" si="73"/>
        <v>0</v>
      </c>
      <c r="CJ67" s="455">
        <f>CJ40-CE40</f>
        <v>0</v>
      </c>
      <c r="CK67" s="455">
        <f>CK40-CI40</f>
        <v>0</v>
      </c>
      <c r="CL67" s="455">
        <f t="shared" si="73"/>
        <v>0</v>
      </c>
      <c r="CM67" s="455">
        <f t="shared" si="73"/>
        <v>0</v>
      </c>
      <c r="CN67" s="455">
        <f t="shared" si="73"/>
        <v>0</v>
      </c>
      <c r="CO67" s="455">
        <f>CO40-CJ40</f>
        <v>0</v>
      </c>
      <c r="CP67" s="455">
        <f>CP40-CN40</f>
        <v>0</v>
      </c>
      <c r="CQ67" s="455">
        <f t="shared" si="73"/>
        <v>0</v>
      </c>
      <c r="CR67" s="455">
        <f t="shared" si="73"/>
        <v>0</v>
      </c>
      <c r="CS67" s="455">
        <f t="shared" si="73"/>
        <v>0</v>
      </c>
      <c r="CT67" s="455">
        <f>CT40-CO40</f>
        <v>0</v>
      </c>
      <c r="CU67" s="455">
        <f>CU40-CS40</f>
        <v>0</v>
      </c>
      <c r="CV67" s="455">
        <f>CV40-CU40</f>
        <v>0</v>
      </c>
      <c r="CW67" s="455">
        <f>CW40-CV40</f>
        <v>0</v>
      </c>
      <c r="CX67" s="455">
        <f>CX40-CW40</f>
        <v>0</v>
      </c>
      <c r="CY67" s="455">
        <f>CY40-CT40</f>
        <v>0</v>
      </c>
      <c r="CZ67" s="455">
        <f>CZ40-CX40</f>
        <v>0</v>
      </c>
      <c r="DA67" s="455">
        <f>DA40-CZ40</f>
        <v>0</v>
      </c>
      <c r="DB67" s="455">
        <f>DB40-DA40</f>
        <v>0</v>
      </c>
      <c r="DC67" s="455">
        <f>DC40-DB40</f>
        <v>0</v>
      </c>
      <c r="DD67" s="455">
        <f>DD40-CY40</f>
        <v>0</v>
      </c>
      <c r="DE67" s="455">
        <f>DE40-DC40</f>
        <v>0</v>
      </c>
      <c r="DF67" s="455">
        <f>DF40-DE40</f>
        <v>0</v>
      </c>
      <c r="DG67" s="455">
        <f>DG40-DF40</f>
        <v>0</v>
      </c>
      <c r="DH67" s="455">
        <f>DH40-DG40</f>
        <v>0</v>
      </c>
      <c r="DI67" s="455">
        <f>DI40-DD40</f>
        <v>0</v>
      </c>
      <c r="DJ67" s="455">
        <f>DJ40-DH40</f>
        <v>0</v>
      </c>
      <c r="DK67" s="455">
        <f>DK40-DJ40</f>
        <v>0</v>
      </c>
      <c r="DL67" s="455">
        <f>DL40-DJ40</f>
        <v>0</v>
      </c>
      <c r="DM67" s="455">
        <f>DM40-DL40</f>
        <v>0</v>
      </c>
      <c r="DN67" s="455">
        <f>DN40-DI40</f>
        <v>0</v>
      </c>
      <c r="DO67" s="455">
        <f>DO40-DM40</f>
        <v>0</v>
      </c>
      <c r="DP67" s="455">
        <f>DP40-DO40</f>
        <v>0</v>
      </c>
      <c r="DQ67" s="455">
        <f>DQ40-DP40</f>
        <v>0</v>
      </c>
      <c r="DR67" s="455">
        <f>DR40-DQ40</f>
        <v>0</v>
      </c>
      <c r="DS67" s="455">
        <f>DS40-DN40</f>
        <v>0</v>
      </c>
      <c r="DT67" s="455">
        <f>DT40-DR40</f>
        <v>1820</v>
      </c>
      <c r="DU67" s="455">
        <f>DU40-DT40</f>
        <v>186</v>
      </c>
      <c r="DV67" s="455">
        <f>DV40-DU40</f>
        <v>199</v>
      </c>
      <c r="DW67" s="455">
        <f>DW40-DV40</f>
        <v>-462</v>
      </c>
      <c r="DX67" s="455">
        <f>DX40-DS40</f>
        <v>1743</v>
      </c>
      <c r="DY67" s="455">
        <f>DY40-DW40</f>
        <v>988</v>
      </c>
      <c r="DZ67" s="455">
        <f>DZ40-DY40</f>
        <v>546</v>
      </c>
      <c r="EA67" s="455">
        <f>EA40-DZ40</f>
        <v>55</v>
      </c>
      <c r="EB67" s="455">
        <f>EB40-EA40</f>
        <v>376</v>
      </c>
      <c r="EC67" s="455">
        <f>EC40-DX40</f>
        <v>1965</v>
      </c>
      <c r="ED67" s="455">
        <f>ED40-EB40</f>
        <v>49</v>
      </c>
      <c r="EE67" s="455">
        <f>EE40-ED40</f>
        <v>-374</v>
      </c>
      <c r="EF67" s="455">
        <f>EF40-EE40</f>
        <v>88</v>
      </c>
      <c r="EG67" s="455">
        <f>EG40-EF40</f>
        <v>-949</v>
      </c>
      <c r="EH67" s="455">
        <f>EH40-EC40</f>
        <v>-1186</v>
      </c>
      <c r="EI67" s="455">
        <f>EI40-EG40</f>
        <v>-784</v>
      </c>
      <c r="EJ67" s="455">
        <f>EJ40-EI40</f>
        <v>35</v>
      </c>
      <c r="EK67" s="455">
        <f>EK40-EJ40</f>
        <v>67</v>
      </c>
      <c r="EL67" s="455">
        <f>EL40-EK40</f>
        <v>-303</v>
      </c>
      <c r="EM67" s="455">
        <f>EM40-EH40</f>
        <v>-985</v>
      </c>
      <c r="EN67" s="455">
        <f>EN40-EL40</f>
        <v>144</v>
      </c>
      <c r="EO67" s="455">
        <f>EO40-EN40</f>
        <v>-1169</v>
      </c>
      <c r="EP67" s="455">
        <f>EP40-EO40</f>
        <v>132</v>
      </c>
      <c r="EQ67" s="455">
        <f>EQ40-EP40</f>
        <v>-213</v>
      </c>
      <c r="ER67" s="455">
        <f>ER40-EM40</f>
        <v>-1106</v>
      </c>
      <c r="ES67" s="455">
        <f>ES40-EQ40</f>
        <v>95</v>
      </c>
      <c r="ET67" s="455">
        <f>ET40-ES40</f>
        <v>-925</v>
      </c>
      <c r="EU67" s="455">
        <f>EU40-ET40</f>
        <v>-754</v>
      </c>
      <c r="EV67" s="455">
        <f>EV40-EU40</f>
        <v>0</v>
      </c>
      <c r="EW67" s="455">
        <f>EW40-ER40</f>
        <v>-1584</v>
      </c>
      <c r="EX67" s="455">
        <f>EX40-EV40</f>
        <v>0</v>
      </c>
      <c r="EY67" s="455">
        <f>EY40-EX40</f>
        <v>0</v>
      </c>
      <c r="EZ67" s="455">
        <f>EZ40-EY40</f>
        <v>0</v>
      </c>
      <c r="FA67" s="455">
        <f>FA40-EZ40</f>
        <v>0</v>
      </c>
      <c r="FB67" s="455">
        <f>FB40-EW40</f>
        <v>0</v>
      </c>
      <c r="FC67" s="455">
        <f>FC40-FA40</f>
        <v>0</v>
      </c>
      <c r="FD67" s="455">
        <f>FD40-FC40</f>
        <v>0</v>
      </c>
      <c r="FE67" s="455">
        <f>FE40-FD40</f>
        <v>0</v>
      </c>
      <c r="FF67" s="455">
        <f>FF40-FE40</f>
        <v>0</v>
      </c>
      <c r="FG67" s="455">
        <f>FG40-FB40</f>
        <v>0</v>
      </c>
      <c r="FH67" s="455">
        <f>FH40-FF40</f>
        <v>0</v>
      </c>
      <c r="FI67" s="455">
        <f>FI40-FH40</f>
        <v>0</v>
      </c>
      <c r="FJ67" s="455">
        <f>FJ40-FI40</f>
        <v>0</v>
      </c>
      <c r="FK67" s="455">
        <f>FK40-FJ40</f>
        <v>0</v>
      </c>
      <c r="FL67" s="455">
        <f>FL40-FG40</f>
        <v>0</v>
      </c>
      <c r="FM67" s="253"/>
      <c r="FO67"/>
      <c r="FP67"/>
      <c r="FQ67"/>
      <c r="FR67"/>
      <c r="FS67"/>
      <c r="FT67"/>
      <c r="FU67" s="261"/>
      <c r="FV67" s="261"/>
      <c r="FW67" s="261"/>
      <c r="FX67" s="261"/>
    </row>
    <row r="68" spans="1:180" s="264" customFormat="1" ht="11.25" customHeight="1">
      <c r="A68" s="509" t="s">
        <v>623</v>
      </c>
      <c r="B68" s="253"/>
      <c r="C68" s="253"/>
      <c r="D68" s="253"/>
      <c r="E68" s="455"/>
      <c r="F68" s="455"/>
      <c r="G68" s="455"/>
      <c r="H68" s="455"/>
      <c r="I68" s="455"/>
      <c r="J68" s="455"/>
      <c r="K68" s="455"/>
      <c r="L68" s="455"/>
      <c r="M68" s="455"/>
      <c r="N68" s="455"/>
      <c r="O68" s="455"/>
      <c r="P68" s="455"/>
      <c r="Q68" s="455"/>
      <c r="R68" s="455"/>
      <c r="S68" s="455">
        <f>(S39-Q39)-S65-S66</f>
        <v>-5.0889999999999418</v>
      </c>
      <c r="T68" s="455">
        <f>(T39-S39)-T65-T66</f>
        <v>-20.600000000000136</v>
      </c>
      <c r="U68" s="455">
        <f>(U39-T39)-U65-U66</f>
        <v>-50.699999999999818</v>
      </c>
      <c r="V68" s="455">
        <f>(V39-U39)-V65-V66</f>
        <v>-51.997000000000014</v>
      </c>
      <c r="W68" s="455">
        <f>W39-R39-W65-W66</f>
        <v>-128.38599999999997</v>
      </c>
      <c r="X68" s="455">
        <f>(X39-V39)-X65-X66</f>
        <v>-75.103000000000065</v>
      </c>
      <c r="Y68" s="455">
        <f>(Y39-X39)-Y65-Y66</f>
        <v>-63</v>
      </c>
      <c r="Z68" s="455">
        <f>(Z39-Y39)-Z65-Z66</f>
        <v>-77</v>
      </c>
      <c r="AA68" s="455">
        <f>(AA39-Z39)-AA65-AA66</f>
        <v>-118</v>
      </c>
      <c r="AB68" s="455">
        <f>AB39-W39-AB65-AB66</f>
        <v>-333.10300000000007</v>
      </c>
      <c r="AC68" s="455">
        <f>(AC39-AA39)-AC65-AC66</f>
        <v>-77</v>
      </c>
      <c r="AD68" s="455">
        <f>(AD39-AC39)-AD65-AD66</f>
        <v>-93</v>
      </c>
      <c r="AE68" s="455">
        <f>(AE39-AD39)-AE65-AE66</f>
        <v>-131</v>
      </c>
      <c r="AF68" s="455">
        <f>(AF39-AE39)-AF65-AF66</f>
        <v>-51</v>
      </c>
      <c r="AG68" s="455">
        <f>AG39-AB39-AG65-AG66</f>
        <v>-352</v>
      </c>
      <c r="AH68" s="455">
        <f>(AH39-AF39)-AH65-AH66</f>
        <v>-442</v>
      </c>
      <c r="AI68" s="455">
        <f>(AI39-AH39)-AI65-AI66</f>
        <v>-453</v>
      </c>
      <c r="AJ68" s="455">
        <f>(AJ39-AI39)-AJ65-AJ66</f>
        <v>-72</v>
      </c>
      <c r="AK68" s="455">
        <f>(AK39-AJ39)-AK65-AK66</f>
        <v>-62</v>
      </c>
      <c r="AL68" s="455">
        <f>AL39-AG39-AL65-AL66</f>
        <v>-1029</v>
      </c>
      <c r="AM68" s="455">
        <f>(AM39-AK39)-AM65-AM66</f>
        <v>-260</v>
      </c>
      <c r="AN68" s="455">
        <f>(AN39-AM39)-AN65-AN66</f>
        <v>-247</v>
      </c>
      <c r="AO68" s="455">
        <f>(AO39-AN39)-AO65-AO66</f>
        <v>-540</v>
      </c>
      <c r="AP68" s="455">
        <f>(AP39-AO39)-AP65-AP66</f>
        <v>-492</v>
      </c>
      <c r="AQ68" s="455">
        <f>AQ39-AL39-AQ65-AQ66</f>
        <v>-1539</v>
      </c>
      <c r="AR68" s="455">
        <f>(AR39-AP39)-AR65-AR66</f>
        <v>-541</v>
      </c>
      <c r="AS68" s="455">
        <f>(AS39-AR39)-AS65-AS66</f>
        <v>323</v>
      </c>
      <c r="AT68" s="455">
        <f>(AT39-AS39)-AT65-AT66</f>
        <v>-2045</v>
      </c>
      <c r="AU68" s="455">
        <f>(AU39-AT39)-AU65-AU66</f>
        <v>113</v>
      </c>
      <c r="AV68" s="455">
        <f>AV39-AQ39-AV65-AV66</f>
        <v>-2150</v>
      </c>
      <c r="AW68" s="455">
        <f>(AW39-AU39)-AW65-AW66</f>
        <v>-1097</v>
      </c>
      <c r="AX68" s="455">
        <f>(AX39-AW39)-AX65-AX66</f>
        <v>-727</v>
      </c>
      <c r="AY68" s="455">
        <f>(AY39-AX39)-AY65-AY66</f>
        <v>115</v>
      </c>
      <c r="AZ68" s="455">
        <f>(AZ39-AY39)-AZ65-AZ66</f>
        <v>-447</v>
      </c>
      <c r="BA68" s="455">
        <f>BA39-AV39-BA65-BA66</f>
        <v>-2156</v>
      </c>
      <c r="BB68" s="455">
        <f>(BB39-AZ39)-BB65-BB66</f>
        <v>-322</v>
      </c>
      <c r="BC68" s="455">
        <f>(BC39-BB39)-BC65-BC66</f>
        <v>189</v>
      </c>
      <c r="BD68" s="455">
        <f>(BD39-BC39)-BD65-BD66</f>
        <v>-748</v>
      </c>
      <c r="BE68" s="455">
        <f>(BE39-BD39)-BE65-BE66</f>
        <v>-912</v>
      </c>
      <c r="BF68" s="455">
        <f>BF39-BA39-BF65-BF66</f>
        <v>-1793</v>
      </c>
      <c r="BG68" s="455">
        <f>(BG39-BE39)-BG65-BG66</f>
        <v>-1323</v>
      </c>
      <c r="BH68" s="455">
        <f>(BH39-BG39)-BH65-BH66</f>
        <v>-1207</v>
      </c>
      <c r="BI68" s="455">
        <f>(BI39-BH39)-BI65-BI66</f>
        <v>721</v>
      </c>
      <c r="BJ68" s="455">
        <f>(BJ39-BI39)-BJ65-BJ66</f>
        <v>-3053</v>
      </c>
      <c r="BK68" s="455">
        <f>BK39-BF39-BK65-BK66</f>
        <v>-4862</v>
      </c>
      <c r="BL68" s="455">
        <f>(BL39-BJ39)-BL65-BL66</f>
        <v>-3156</v>
      </c>
      <c r="BM68" s="455">
        <f>(BM39-BL39)-BM65-BM66</f>
        <v>-1376</v>
      </c>
      <c r="BN68" s="455">
        <f>(BN39-BM39)-BN65-BN66</f>
        <v>-1083</v>
      </c>
      <c r="BO68" s="455">
        <f>(BO39-BN39)-BO65-BO66</f>
        <v>-1592</v>
      </c>
      <c r="BP68" s="455">
        <f>BP39-BK39-BP65-BP66</f>
        <v>-7207</v>
      </c>
      <c r="BQ68" s="455">
        <f>(BQ39-BO39)-BQ65-BQ66</f>
        <v>-1007</v>
      </c>
      <c r="BR68" s="455">
        <f>(BR39-BQ39)-BR65-BR66</f>
        <v>-252</v>
      </c>
      <c r="BS68" s="455">
        <f>(BS39-BR39)-BS65-BS66</f>
        <v>-615</v>
      </c>
      <c r="BT68" s="455">
        <f>(BT39-BS39)-BT65-BT66</f>
        <v>-4317</v>
      </c>
      <c r="BU68" s="455">
        <f>BU39-BP39-BU65-BU66</f>
        <v>-6190.9999999999991</v>
      </c>
      <c r="BV68" s="455">
        <f>(BV39-BT39)-BV65-BV66</f>
        <v>-1970</v>
      </c>
      <c r="BW68" s="455">
        <f>(BW39-BV39)-BW65-BW66</f>
        <v>-199</v>
      </c>
      <c r="BX68" s="455">
        <f>(BX39-BW39)-BX65-BX66</f>
        <v>3.0100000000002183</v>
      </c>
      <c r="BY68" s="455">
        <f>(BY39-BX39)-BY65-BY66</f>
        <v>-10620.38</v>
      </c>
      <c r="BZ68" s="455">
        <f>BZ39-BU39-BZ65-BZ66</f>
        <v>-12786.369999999999</v>
      </c>
      <c r="CA68" s="455">
        <f>(CA39-BY39)-CA65-CA66</f>
        <v>-2789</v>
      </c>
      <c r="CB68" s="455">
        <f>(CB39-CA39)-CB65-CB66</f>
        <v>988.96</v>
      </c>
      <c r="CC68" s="455">
        <f>(CC39-CB39)-CC65-CC66</f>
        <v>-1207</v>
      </c>
      <c r="CD68" s="455">
        <f>(CD39-CC39)-CD65-CD66</f>
        <v>1160</v>
      </c>
      <c r="CE68" s="455">
        <f>CE39-BZ39-CE65-CE66</f>
        <v>-1847.0399999999991</v>
      </c>
      <c r="CF68" s="455">
        <f>(CF39-CD39)-CF65-CF66</f>
        <v>-915</v>
      </c>
      <c r="CG68" s="455">
        <f>(CG39-CF39)-CG65-CG66</f>
        <v>-308</v>
      </c>
      <c r="CH68" s="455">
        <f>(CH39-CG39)-CH65-CH66</f>
        <v>-1963</v>
      </c>
      <c r="CI68" s="455">
        <f>(CI39-CH39)-CI65-CI66</f>
        <v>-3683</v>
      </c>
      <c r="CJ68" s="455">
        <f>CJ39-CE39-CJ65-CJ66</f>
        <v>-6869</v>
      </c>
      <c r="CK68" s="455">
        <f>(CK39-CI39)-CK65-CK66</f>
        <v>-2521</v>
      </c>
      <c r="CL68" s="455">
        <f>(CL39-CK39)-CL65-CL66</f>
        <v>-6205</v>
      </c>
      <c r="CM68" s="455">
        <f>(CM39-CL39)-CM65-CM66</f>
        <v>-3933</v>
      </c>
      <c r="CN68" s="455">
        <f>(CN39-CM39)-CN65-CN66</f>
        <v>-3002</v>
      </c>
      <c r="CO68" s="455">
        <f>CO39-CJ39-CO65-CO66</f>
        <v>-15661</v>
      </c>
      <c r="CP68" s="455">
        <f>(CP39-CN39)-CP65-CP66</f>
        <v>-5236</v>
      </c>
      <c r="CQ68" s="455">
        <f>(CQ39-CP39)-CQ65-CQ66</f>
        <v>-4608</v>
      </c>
      <c r="CR68" s="455">
        <f>(CR39-CQ39)-CR65-CR66</f>
        <v>-5286</v>
      </c>
      <c r="CS68" s="455">
        <f>(CS39-CR39)-CS65-CS66</f>
        <v>-5689</v>
      </c>
      <c r="CT68" s="455">
        <f>CT39-CO39-CT65-CT66</f>
        <v>-20819</v>
      </c>
      <c r="CU68" s="455">
        <f>(CU39-CS39)-CU65-CU66</f>
        <v>-2455</v>
      </c>
      <c r="CV68" s="455">
        <f>(CV39-CU39)-CV65-CV66</f>
        <v>-3206</v>
      </c>
      <c r="CW68" s="455">
        <f>(CW39-CV39)-CW65-CW66</f>
        <v>-1089</v>
      </c>
      <c r="CX68" s="455">
        <f>(CX39-CW39)-CX65-CX66</f>
        <v>-4019</v>
      </c>
      <c r="CY68" s="455">
        <f>CY39-CT39-CY65-CY66</f>
        <v>-10769</v>
      </c>
      <c r="CZ68" s="455">
        <f>(CZ39-CX39)-CZ65-CZ66</f>
        <v>-4873</v>
      </c>
      <c r="DA68" s="455">
        <f>(DA39-CZ39)-DA65-DA66</f>
        <v>-1870</v>
      </c>
      <c r="DB68" s="455">
        <f>(DB39-DA39)-DB65-DB66</f>
        <v>139.03728991596654</v>
      </c>
      <c r="DC68" s="455">
        <f>(DC39-DB39)-DC65-DC66</f>
        <v>242</v>
      </c>
      <c r="DD68" s="455">
        <f>DD39-CY39-DD65-DD66</f>
        <v>-6361.9627100840335</v>
      </c>
      <c r="DE68" s="455">
        <f>(DE39-DC39)-DE65-DE66</f>
        <v>-674</v>
      </c>
      <c r="DF68" s="455">
        <f>(DF39-DE39)-DF65-DF66</f>
        <v>-2712</v>
      </c>
      <c r="DG68" s="455">
        <f>(DG39-DF39)-DG65-DG66</f>
        <v>-1391</v>
      </c>
      <c r="DH68" s="455">
        <f>(DH39-DG39)-DH65-DH66</f>
        <v>-3262</v>
      </c>
      <c r="DI68" s="455">
        <f>DI39-DD39-DI65-DI66</f>
        <v>-8039</v>
      </c>
      <c r="DJ68" s="455">
        <f>(DJ39-DH39)-DJ65-DJ66</f>
        <v>-2604</v>
      </c>
      <c r="DK68" s="455">
        <f>(DK39-DJ39)-DK65-DK66</f>
        <v>-3443</v>
      </c>
      <c r="DL68" s="455">
        <f>(DL39-DK39)-DL65-DL66</f>
        <v>-500</v>
      </c>
      <c r="DM68" s="455">
        <f>(DM39-DL39)-DM65-DM66</f>
        <v>-1072.4399999999987</v>
      </c>
      <c r="DN68" s="455">
        <f>DN39-DI39-DN65-DN66</f>
        <v>-7619.4400000000023</v>
      </c>
      <c r="DO68" s="455">
        <f>(DO39-DM39)-DO65-DO66</f>
        <v>-2166</v>
      </c>
      <c r="DP68" s="455">
        <f>(DP39-DO39)-DP65-DP66</f>
        <v>-621</v>
      </c>
      <c r="DQ68" s="455">
        <f>(DQ39-DP39)-DQ65-DQ66</f>
        <v>-258</v>
      </c>
      <c r="DR68" s="455">
        <f>(DR39-DQ39)-DR65-DR66</f>
        <v>-650</v>
      </c>
      <c r="DS68" s="455">
        <f>DS39-DN39-DS65-DS66</f>
        <v>-3695</v>
      </c>
      <c r="DT68" s="455">
        <f>(DT39-DR39)-DT65-DT66</f>
        <v>-2424</v>
      </c>
      <c r="DU68" s="455">
        <f>(DU39-DT39)-DU65-DU66</f>
        <v>-1140</v>
      </c>
      <c r="DV68" s="455">
        <f>(DV39-DU39)-DV65-DV66</f>
        <v>-1442</v>
      </c>
      <c r="DW68" s="455">
        <f>(DW39-DV39)-DW65-DW66</f>
        <v>-806</v>
      </c>
      <c r="DX68" s="455">
        <f>DX39-DS39-DX65-DX66</f>
        <v>-5079</v>
      </c>
      <c r="DY68" s="455">
        <f>(DY39-DW39)-DY65-DY66</f>
        <v>-1543</v>
      </c>
      <c r="DZ68" s="455">
        <f>(DZ39-DY39)-DZ65-DZ66</f>
        <v>-1559</v>
      </c>
      <c r="EA68" s="455">
        <f>(EA39-DZ39)-EA65-EA66</f>
        <v>-1396</v>
      </c>
      <c r="EB68" s="455">
        <f>(EB39-EA39)-EB65-EB66</f>
        <v>-1009</v>
      </c>
      <c r="EC68" s="455">
        <f>EC39-DX39-EC65-EC66</f>
        <v>-5487.0849999999991</v>
      </c>
      <c r="ED68" s="455">
        <f>(ED39-EB39)-ED65-ED66</f>
        <v>-1648</v>
      </c>
      <c r="EE68" s="455">
        <f>(EE39-ED39)-EE65-EE66</f>
        <v>-1310</v>
      </c>
      <c r="EF68" s="455">
        <f>(EF39-EE39)-EF65-EF66</f>
        <v>-3998</v>
      </c>
      <c r="EG68" s="455">
        <f>(EG39-EF39)-EG65-EG66</f>
        <v>-3399</v>
      </c>
      <c r="EH68" s="455">
        <f>EH39-EC39-EH65-EH66</f>
        <v>-10355</v>
      </c>
      <c r="EI68" s="455">
        <f>(EI39-EG39)-EI65-EI66</f>
        <v>-3793.75</v>
      </c>
      <c r="EJ68" s="455">
        <f>(EJ39-EI39)-EJ65-EJ66</f>
        <v>-3935.75</v>
      </c>
      <c r="EK68" s="455">
        <f>(EK39-EJ39)-EK65-EK66</f>
        <v>-3538.51</v>
      </c>
      <c r="EL68" s="455">
        <f>(EL39-EK39)-EL65-EL66</f>
        <v>6015.25</v>
      </c>
      <c r="EM68" s="455">
        <f>EM39-EH39-EM65-EM66</f>
        <v>-5252.760000000002</v>
      </c>
      <c r="EN68" s="455">
        <f>(EN39-EL39)-EN65-EN66</f>
        <v>-3208</v>
      </c>
      <c r="EO68" s="455">
        <f>(EO39-EN39)-EO65-EO66</f>
        <v>-3137</v>
      </c>
      <c r="EP68" s="455">
        <f>(EP39-EO39)-EP65-EP66</f>
        <v>-1321</v>
      </c>
      <c r="EQ68" s="455">
        <f>(EQ39-EP39)-EQ65-EQ66</f>
        <v>-1388</v>
      </c>
      <c r="ER68" s="455">
        <f>ER39-EM39-ER65-ER66</f>
        <v>-9054</v>
      </c>
      <c r="ES68" s="455">
        <f>(ES39-EQ39)-ES65-ES66</f>
        <v>-1836</v>
      </c>
      <c r="ET68" s="455">
        <f>(ET39-ES39)-ET65-ET66</f>
        <v>-1595</v>
      </c>
      <c r="EU68" s="455">
        <f>(EU39-ET39)-EU65-EU66</f>
        <v>-2785</v>
      </c>
      <c r="EV68" s="455">
        <f>(EV39-EU39)-EV65-EV66</f>
        <v>0</v>
      </c>
      <c r="EW68" s="455">
        <f>EW39-ER39-EW65-EW66</f>
        <v>-6215.9999999999927</v>
      </c>
      <c r="EX68" s="455">
        <f>(EX39-EV39)-EX65-EX66</f>
        <v>0</v>
      </c>
      <c r="EY68" s="455">
        <f>(EY39-EX39)-EY65-EY66</f>
        <v>0</v>
      </c>
      <c r="EZ68" s="455">
        <f>(EZ39-EY39)-EZ65-EZ66</f>
        <v>0</v>
      </c>
      <c r="FA68" s="455">
        <f>(FA39-EZ39)-FA65-FA66</f>
        <v>-3.637978807091713E-12</v>
      </c>
      <c r="FB68" s="455">
        <f>FB39-EW39-FB65-FB66</f>
        <v>0</v>
      </c>
      <c r="FC68" s="455">
        <f>(FC39-FA39)-FC65-FC66</f>
        <v>-4.5474735088646412E-12</v>
      </c>
      <c r="FD68" s="455">
        <f>(FD39-FC39)-FD65-FD66</f>
        <v>0</v>
      </c>
      <c r="FE68" s="455">
        <f>(FE39-FD39)-FE65-FE66</f>
        <v>0</v>
      </c>
      <c r="FF68" s="455">
        <f>(FF39-FE39)-FF65-FF66</f>
        <v>0</v>
      </c>
      <c r="FG68" s="455">
        <f>FG39-FB39-FG65-FG66</f>
        <v>0</v>
      </c>
      <c r="FH68" s="455">
        <f>(FH39-FF39)-FH65-FH66</f>
        <v>0</v>
      </c>
      <c r="FI68" s="455">
        <f>(FI39-FH39)-FI65-FI66</f>
        <v>0</v>
      </c>
      <c r="FJ68" s="455">
        <f>(FJ39-FI39)-FJ65-FJ66</f>
        <v>0</v>
      </c>
      <c r="FK68" s="455">
        <f>(FK39-FJ39)-FK65-FK66</f>
        <v>0</v>
      </c>
      <c r="FL68" s="455">
        <f>FL39-FG39-FL65-FL66</f>
        <v>0</v>
      </c>
      <c r="FM68" s="253"/>
      <c r="FO68"/>
      <c r="FP68"/>
      <c r="FQ68"/>
      <c r="FR68"/>
      <c r="FS68"/>
      <c r="FT68"/>
      <c r="FU68" s="261"/>
      <c r="FV68" s="261"/>
      <c r="FW68" s="261"/>
      <c r="FX68" s="261"/>
    </row>
    <row r="69" spans="1:180" s="264" customFormat="1" ht="11.25" customHeight="1" thickBot="1">
      <c r="A69" s="509" t="s">
        <v>621</v>
      </c>
      <c r="B69" s="253"/>
      <c r="C69" s="253"/>
      <c r="D69" s="253"/>
      <c r="E69" s="455"/>
      <c r="F69" s="455"/>
      <c r="G69" s="455"/>
      <c r="H69" s="455"/>
      <c r="I69" s="455"/>
      <c r="J69" s="455"/>
      <c r="K69" s="455"/>
      <c r="L69" s="455"/>
      <c r="M69" s="455"/>
      <c r="N69" s="455"/>
      <c r="O69" s="455"/>
      <c r="P69" s="455"/>
      <c r="Q69" s="455"/>
      <c r="R69" s="455"/>
      <c r="S69" s="455">
        <f>SUM(S63:S68)</f>
        <v>1555.6</v>
      </c>
      <c r="T69" s="455">
        <f t="shared" ref="T69:CU69" si="74">SUM(T63:T68)</f>
        <v>1771.1999999999998</v>
      </c>
      <c r="U69" s="455">
        <f t="shared" si="74"/>
        <v>2002.1</v>
      </c>
      <c r="V69" s="455">
        <f t="shared" si="74"/>
        <v>2192.9580000000001</v>
      </c>
      <c r="W69" s="455">
        <f t="shared" si="74"/>
        <v>2192.9580000000001</v>
      </c>
      <c r="X69" s="455">
        <f t="shared" si="74"/>
        <v>2407</v>
      </c>
      <c r="Y69" s="455">
        <f t="shared" si="74"/>
        <v>2750</v>
      </c>
      <c r="Z69" s="455">
        <f t="shared" si="74"/>
        <v>3011</v>
      </c>
      <c r="AA69" s="455">
        <f t="shared" si="74"/>
        <v>3242</v>
      </c>
      <c r="AB69" s="455">
        <f t="shared" si="74"/>
        <v>3242</v>
      </c>
      <c r="AC69" s="455">
        <f t="shared" si="74"/>
        <v>3467</v>
      </c>
      <c r="AD69" s="455">
        <f t="shared" si="74"/>
        <v>3746</v>
      </c>
      <c r="AE69" s="455">
        <f t="shared" si="74"/>
        <v>4012</v>
      </c>
      <c r="AF69" s="455">
        <f t="shared" si="74"/>
        <v>4450</v>
      </c>
      <c r="AG69" s="455">
        <f t="shared" si="74"/>
        <v>4450</v>
      </c>
      <c r="AH69" s="455">
        <f t="shared" si="74"/>
        <v>4430</v>
      </c>
      <c r="AI69" s="455">
        <f t="shared" si="74"/>
        <v>4443</v>
      </c>
      <c r="AJ69" s="455">
        <f t="shared" si="74"/>
        <v>4930</v>
      </c>
      <c r="AK69" s="455">
        <f t="shared" si="74"/>
        <v>5333</v>
      </c>
      <c r="AL69" s="455">
        <f t="shared" si="74"/>
        <v>5333</v>
      </c>
      <c r="AM69" s="455">
        <f t="shared" si="74"/>
        <v>5739</v>
      </c>
      <c r="AN69" s="455">
        <f t="shared" si="74"/>
        <v>6180</v>
      </c>
      <c r="AO69" s="455">
        <f t="shared" si="74"/>
        <v>6595</v>
      </c>
      <c r="AP69" s="455">
        <f t="shared" si="74"/>
        <v>6908</v>
      </c>
      <c r="AQ69" s="455">
        <f t="shared" si="74"/>
        <v>6908</v>
      </c>
      <c r="AR69" s="455">
        <f t="shared" si="74"/>
        <v>7277</v>
      </c>
      <c r="AS69" s="455">
        <f t="shared" si="74"/>
        <v>8662</v>
      </c>
      <c r="AT69" s="455">
        <f t="shared" si="74"/>
        <v>8154</v>
      </c>
      <c r="AU69" s="455">
        <f t="shared" si="74"/>
        <v>9797</v>
      </c>
      <c r="AV69" s="455">
        <f t="shared" si="74"/>
        <v>9797</v>
      </c>
      <c r="AW69" s="455">
        <f t="shared" si="74"/>
        <v>10484</v>
      </c>
      <c r="AX69" s="455">
        <f t="shared" si="74"/>
        <v>11364</v>
      </c>
      <c r="AY69" s="455">
        <f t="shared" si="74"/>
        <v>13696</v>
      </c>
      <c r="AZ69" s="455">
        <f t="shared" si="74"/>
        <v>15647</v>
      </c>
      <c r="BA69" s="455">
        <f t="shared" si="74"/>
        <v>15647</v>
      </c>
      <c r="BB69" s="455">
        <f t="shared" si="74"/>
        <v>18144</v>
      </c>
      <c r="BC69" s="455">
        <f t="shared" si="74"/>
        <v>21598</v>
      </c>
      <c r="BD69" s="455">
        <f t="shared" si="74"/>
        <v>24742</v>
      </c>
      <c r="BE69" s="455">
        <f t="shared" si="74"/>
        <v>27458</v>
      </c>
      <c r="BF69" s="455">
        <f t="shared" si="74"/>
        <v>27458</v>
      </c>
      <c r="BG69" s="455">
        <f t="shared" si="74"/>
        <v>30360</v>
      </c>
      <c r="BH69" s="455">
        <f t="shared" si="74"/>
        <v>34589</v>
      </c>
      <c r="BI69" s="455">
        <f t="shared" si="74"/>
        <v>39792</v>
      </c>
      <c r="BJ69" s="455">
        <f t="shared" si="74"/>
        <v>41368</v>
      </c>
      <c r="BK69" s="455">
        <f t="shared" si="74"/>
        <v>41368</v>
      </c>
      <c r="BL69" s="455">
        <f t="shared" si="74"/>
        <v>45343</v>
      </c>
      <c r="BM69" s="455">
        <f t="shared" si="74"/>
        <v>46422</v>
      </c>
      <c r="BN69" s="455">
        <f t="shared" si="74"/>
        <v>48090</v>
      </c>
      <c r="BO69" s="455">
        <f t="shared" si="74"/>
        <v>47289</v>
      </c>
      <c r="BP69" s="455">
        <f t="shared" si="74"/>
        <v>47289</v>
      </c>
      <c r="BQ69" s="455">
        <f t="shared" si="74"/>
        <v>48505</v>
      </c>
      <c r="BR69" s="455">
        <f t="shared" si="74"/>
        <v>51548</v>
      </c>
      <c r="BS69" s="455">
        <f t="shared" si="74"/>
        <v>54300</v>
      </c>
      <c r="BT69" s="455">
        <f t="shared" si="74"/>
        <v>52180</v>
      </c>
      <c r="BU69" s="455">
        <f t="shared" si="74"/>
        <v>52180</v>
      </c>
      <c r="BV69" s="455">
        <f t="shared" si="74"/>
        <v>53516</v>
      </c>
      <c r="BW69" s="455">
        <f t="shared" si="74"/>
        <v>55812</v>
      </c>
      <c r="BX69" s="455">
        <f t="shared" si="74"/>
        <v>58282</v>
      </c>
      <c r="BY69" s="455">
        <f t="shared" si="74"/>
        <v>64912.000000000007</v>
      </c>
      <c r="BZ69" s="455">
        <f t="shared" si="74"/>
        <v>64912</v>
      </c>
      <c r="CA69" s="455">
        <f t="shared" si="74"/>
        <v>66680</v>
      </c>
      <c r="CB69" s="455">
        <f t="shared" si="74"/>
        <v>69343</v>
      </c>
      <c r="CC69" s="455">
        <f t="shared" si="74"/>
        <v>70580</v>
      </c>
      <c r="CD69" s="455">
        <f t="shared" si="74"/>
        <v>74825</v>
      </c>
      <c r="CE69" s="455">
        <f t="shared" si="74"/>
        <v>74825</v>
      </c>
      <c r="CF69" s="455">
        <f t="shared" si="74"/>
        <v>76319</v>
      </c>
      <c r="CG69" s="455">
        <f t="shared" si="74"/>
        <v>47232</v>
      </c>
      <c r="CH69" s="455">
        <f t="shared" si="74"/>
        <v>47373</v>
      </c>
      <c r="CI69" s="455">
        <f t="shared" si="74"/>
        <v>48115</v>
      </c>
      <c r="CJ69" s="455">
        <f t="shared" si="74"/>
        <v>48115</v>
      </c>
      <c r="CK69" s="455">
        <f t="shared" si="74"/>
        <v>48327</v>
      </c>
      <c r="CL69" s="455">
        <f t="shared" si="74"/>
        <v>44208</v>
      </c>
      <c r="CM69" s="455">
        <f t="shared" si="74"/>
        <v>42038</v>
      </c>
      <c r="CN69" s="455">
        <f t="shared" si="74"/>
        <v>40104</v>
      </c>
      <c r="CO69" s="455">
        <f t="shared" si="74"/>
        <v>40104</v>
      </c>
      <c r="CP69" s="455">
        <f t="shared" si="74"/>
        <v>36101</v>
      </c>
      <c r="CQ69" s="455">
        <f t="shared" si="74"/>
        <v>36634</v>
      </c>
      <c r="CR69" s="455">
        <f t="shared" si="74"/>
        <v>34973</v>
      </c>
      <c r="CS69" s="455">
        <f t="shared" si="74"/>
        <v>31097</v>
      </c>
      <c r="CT69" s="455">
        <f t="shared" si="74"/>
        <v>31097</v>
      </c>
      <c r="CU69" s="455">
        <f t="shared" si="74"/>
        <v>32135</v>
      </c>
      <c r="CV69" s="455">
        <f t="shared" ref="CV69:DO69" si="75">SUM(CV63:CV68)</f>
        <v>34431</v>
      </c>
      <c r="CW69" s="455">
        <f t="shared" si="75"/>
        <v>37554</v>
      </c>
      <c r="CX69" s="455">
        <f t="shared" si="75"/>
        <v>36286</v>
      </c>
      <c r="CY69" s="455">
        <f t="shared" si="75"/>
        <v>36286</v>
      </c>
      <c r="CZ69" s="455">
        <f t="shared" si="75"/>
        <v>33594</v>
      </c>
      <c r="DA69" s="455">
        <f t="shared" si="75"/>
        <v>34478</v>
      </c>
      <c r="DB69" s="455">
        <f t="shared" si="75"/>
        <v>36943</v>
      </c>
      <c r="DC69" s="455">
        <f t="shared" si="75"/>
        <v>39558</v>
      </c>
      <c r="DD69" s="455">
        <f t="shared" si="75"/>
        <v>39558</v>
      </c>
      <c r="DE69" s="455">
        <f t="shared" si="75"/>
        <v>41212</v>
      </c>
      <c r="DF69" s="455">
        <f t="shared" si="75"/>
        <v>44283</v>
      </c>
      <c r="DG69" s="455">
        <f t="shared" si="75"/>
        <v>45710</v>
      </c>
      <c r="DH69" s="455">
        <f t="shared" si="75"/>
        <v>46175</v>
      </c>
      <c r="DI69" s="455">
        <f t="shared" si="75"/>
        <v>46175</v>
      </c>
      <c r="DJ69" s="455">
        <f t="shared" si="75"/>
        <v>46942</v>
      </c>
      <c r="DK69" s="455">
        <f t="shared" si="75"/>
        <v>46793</v>
      </c>
      <c r="DL69" s="455">
        <f t="shared" si="75"/>
        <v>51624</v>
      </c>
      <c r="DM69" s="455">
        <f t="shared" si="75"/>
        <v>57083</v>
      </c>
      <c r="DN69" s="455">
        <f>SUM(DN63:DN68)</f>
        <v>57083</v>
      </c>
      <c r="DO69" s="455">
        <f t="shared" si="75"/>
        <v>59391</v>
      </c>
      <c r="DP69" s="455">
        <f t="shared" ref="DP69:DV69" si="76">SUM(DP63:DP68)</f>
        <v>64121</v>
      </c>
      <c r="DQ69" s="455">
        <f t="shared" si="76"/>
        <v>68659</v>
      </c>
      <c r="DR69" s="455">
        <f t="shared" si="76"/>
        <v>66363</v>
      </c>
      <c r="DS69" s="455">
        <f t="shared" si="76"/>
        <v>66363</v>
      </c>
      <c r="DT69" s="455">
        <f>SUM(DT63:DT68)</f>
        <v>68836</v>
      </c>
      <c r="DU69" s="455">
        <f t="shared" si="76"/>
        <v>72576</v>
      </c>
      <c r="DV69" s="455">
        <f t="shared" si="76"/>
        <v>76688</v>
      </c>
      <c r="DW69" s="455">
        <f t="shared" ref="DW69:EW69" si="77">SUM(DW63:DW68)</f>
        <v>78944</v>
      </c>
      <c r="DX69" s="455">
        <f t="shared" si="77"/>
        <v>78944</v>
      </c>
      <c r="DY69" s="455">
        <f>SUM(DY63:DY68)</f>
        <v>81641</v>
      </c>
      <c r="DZ69" s="455">
        <f>SUM(DZ63:DZ68)</f>
        <v>85100</v>
      </c>
      <c r="EA69" s="455">
        <f t="shared" si="77"/>
        <v>87424</v>
      </c>
      <c r="EB69" s="455">
        <f>SUM(EB63:EB68)</f>
        <v>89784</v>
      </c>
      <c r="EC69" s="455">
        <f>SUM(EC63:EC68)</f>
        <v>89784</v>
      </c>
      <c r="ED69" s="455">
        <f t="shared" si="77"/>
        <v>90170</v>
      </c>
      <c r="EE69" s="455">
        <f t="shared" si="77"/>
        <v>91879</v>
      </c>
      <c r="EF69" s="455">
        <f>SUM(EF63:EF68)</f>
        <v>90132</v>
      </c>
      <c r="EG69" s="455">
        <f t="shared" si="77"/>
        <v>80083</v>
      </c>
      <c r="EH69" s="455">
        <f t="shared" si="77"/>
        <v>80083</v>
      </c>
      <c r="EI69" s="455">
        <f t="shared" ref="EI69:EJ69" si="78">SUM(EI63:EI68)</f>
        <v>77445</v>
      </c>
      <c r="EJ69" s="455">
        <f t="shared" si="78"/>
        <v>76780</v>
      </c>
      <c r="EK69" s="455">
        <f>SUM(EK63:EK68)</f>
        <v>74806</v>
      </c>
      <c r="EL69" s="455">
        <f t="shared" ref="EL69:EO69" si="79">SUM(EL63:EL68)</f>
        <v>83090</v>
      </c>
      <c r="EM69" s="455">
        <f t="shared" si="79"/>
        <v>83090</v>
      </c>
      <c r="EN69" s="455">
        <f t="shared" si="79"/>
        <v>82462</v>
      </c>
      <c r="EO69" s="455">
        <f t="shared" si="79"/>
        <v>81829</v>
      </c>
      <c r="EP69" s="455">
        <f>SUM(EP63:EP68)</f>
        <v>83491</v>
      </c>
      <c r="EQ69" s="455">
        <f t="shared" ref="EQ69:ET69" si="80">SUM(EQ63:EQ68)</f>
        <v>87711</v>
      </c>
      <c r="ER69" s="455">
        <f t="shared" si="80"/>
        <v>87711</v>
      </c>
      <c r="ES69" s="455">
        <f t="shared" si="80"/>
        <v>89647</v>
      </c>
      <c r="ET69" s="455">
        <f t="shared" si="80"/>
        <v>78360</v>
      </c>
      <c r="EU69" s="455">
        <f>SUM(EU63:EU68)</f>
        <v>79239</v>
      </c>
      <c r="EV69" s="455">
        <f t="shared" si="77"/>
        <v>81785.704157847591</v>
      </c>
      <c r="EW69" s="455">
        <f t="shared" si="77"/>
        <v>81785.704157847591</v>
      </c>
      <c r="EX69" s="455">
        <f t="shared" ref="EX69:FG69" si="81">SUM(EX63:EX68)</f>
        <v>81001.59413702719</v>
      </c>
      <c r="EY69" s="455">
        <f t="shared" si="81"/>
        <v>80794.772686918892</v>
      </c>
      <c r="EZ69" s="455">
        <f t="shared" si="81"/>
        <v>79902.970288484023</v>
      </c>
      <c r="FA69" s="455">
        <f t="shared" si="81"/>
        <v>79771.027736395336</v>
      </c>
      <c r="FB69" s="455">
        <f t="shared" si="81"/>
        <v>79771.027736395321</v>
      </c>
      <c r="FC69" s="455">
        <f t="shared" si="81"/>
        <v>78534.663146016523</v>
      </c>
      <c r="FD69" s="455">
        <f t="shared" si="81"/>
        <v>77943.262326026059</v>
      </c>
      <c r="FE69" s="455">
        <f t="shared" si="81"/>
        <v>76737.133518973918</v>
      </c>
      <c r="FF69" s="455">
        <f t="shared" si="81"/>
        <v>76302.428644431944</v>
      </c>
      <c r="FG69" s="455">
        <f t="shared" si="81"/>
        <v>76302.428644431959</v>
      </c>
      <c r="FH69" s="455">
        <f t="shared" ref="FH69:FL69" si="82">SUM(FH63:FH68)</f>
        <v>75028.491890487829</v>
      </c>
      <c r="FI69" s="455">
        <f t="shared" si="82"/>
        <v>74374.026332833018</v>
      </c>
      <c r="FJ69" s="455">
        <f t="shared" si="82"/>
        <v>73073.72111576215</v>
      </c>
      <c r="FK69" s="455">
        <f t="shared" si="82"/>
        <v>72508.485475161186</v>
      </c>
      <c r="FL69" s="455">
        <f t="shared" si="82"/>
        <v>72508.4854751612</v>
      </c>
      <c r="FM69" s="253"/>
      <c r="FO69"/>
      <c r="FP69"/>
      <c r="FQ69"/>
      <c r="FR69"/>
      <c r="FS69"/>
      <c r="FT69"/>
      <c r="FU69" s="261"/>
      <c r="FV69" s="261"/>
      <c r="FW69" s="261"/>
      <c r="FX69" s="261"/>
    </row>
    <row r="70" spans="1:180" s="514" customFormat="1" ht="12.75" hidden="1" customHeight="1" outlineLevel="1" thickBot="1">
      <c r="A70" s="510" t="s">
        <v>622</v>
      </c>
      <c r="B70" s="511"/>
      <c r="C70" s="511"/>
      <c r="D70" s="512"/>
      <c r="E70" s="513"/>
      <c r="F70" s="513"/>
      <c r="G70" s="513"/>
      <c r="H70" s="513"/>
      <c r="I70" s="513"/>
      <c r="J70" s="513"/>
      <c r="K70" s="513"/>
      <c r="L70" s="513"/>
      <c r="M70" s="513"/>
      <c r="N70" s="513"/>
      <c r="O70" s="513"/>
      <c r="P70" s="513"/>
      <c r="Q70" s="513"/>
      <c r="R70" s="513"/>
      <c r="S70" s="513">
        <f>S41-S69-S37</f>
        <v>0</v>
      </c>
      <c r="T70" s="513">
        <f>T41-T69-T37</f>
        <v>0</v>
      </c>
      <c r="U70" s="513">
        <f>U41-U69-U37</f>
        <v>2.2737367544323206E-13</v>
      </c>
      <c r="V70" s="513">
        <f>V41-V69-V37</f>
        <v>0</v>
      </c>
      <c r="W70" s="513"/>
      <c r="X70" s="513">
        <f>X41-X69-X37</f>
        <v>0</v>
      </c>
      <c r="Y70" s="513">
        <f>Y41-Y69-Y37</f>
        <v>0</v>
      </c>
      <c r="Z70" s="513">
        <f>Z41-Z69-Z37</f>
        <v>0</v>
      </c>
      <c r="AA70" s="513">
        <f>AA41-AA69-AA37</f>
        <v>0</v>
      </c>
      <c r="AB70" s="513"/>
      <c r="AC70" s="513">
        <f>AC41-AC69-AC37</f>
        <v>0</v>
      </c>
      <c r="AD70" s="513">
        <f>AD41-AD69-AD37</f>
        <v>0</v>
      </c>
      <c r="AE70" s="513">
        <f>AE41-AE69-AE37</f>
        <v>0</v>
      </c>
      <c r="AF70" s="513">
        <f>AF41-AF69-AF37</f>
        <v>0</v>
      </c>
      <c r="AG70" s="513"/>
      <c r="AH70" s="513">
        <f>AH41-AH69-AH37</f>
        <v>0</v>
      </c>
      <c r="AI70" s="513">
        <f>AI41-AI69-AI37</f>
        <v>0</v>
      </c>
      <c r="AJ70" s="513">
        <f>AJ41-AJ69-AJ37</f>
        <v>0</v>
      </c>
      <c r="AK70" s="513">
        <f>AK41-AK69-AK37</f>
        <v>0</v>
      </c>
      <c r="AL70" s="513"/>
      <c r="AM70" s="513">
        <f>AM41-AM69-AM37</f>
        <v>0</v>
      </c>
      <c r="AN70" s="513">
        <f>AN41-AN69-AN37</f>
        <v>0</v>
      </c>
      <c r="AO70" s="513">
        <f>AO41-AO69-AO37</f>
        <v>0</v>
      </c>
      <c r="AP70" s="513">
        <f>AP41-AP69-AP37</f>
        <v>0</v>
      </c>
      <c r="AQ70" s="513"/>
      <c r="AR70" s="513">
        <f>AR41-AR69-AR37</f>
        <v>0</v>
      </c>
      <c r="AS70" s="513">
        <f>(AS41-AS37)-AS69</f>
        <v>0</v>
      </c>
      <c r="AT70" s="513">
        <f>(AT41-AT37)-AT69</f>
        <v>0</v>
      </c>
      <c r="AU70" s="513">
        <f>(AU41-AU37)-AU69</f>
        <v>0</v>
      </c>
      <c r="AV70" s="513"/>
      <c r="AW70" s="513">
        <f>(AW41-AW37)-AW69</f>
        <v>0</v>
      </c>
      <c r="AX70" s="513">
        <f>(AX41-AX37)-AX69</f>
        <v>0</v>
      </c>
      <c r="AY70" s="513">
        <f>(AY41-AY37)-AY69</f>
        <v>0</v>
      </c>
      <c r="AZ70" s="513">
        <f>(AZ41-AZ37)-AZ69</f>
        <v>0</v>
      </c>
      <c r="BA70" s="513"/>
      <c r="BB70" s="513">
        <f>(BB41-BB37)-BB69</f>
        <v>0</v>
      </c>
      <c r="BC70" s="513">
        <f>(BC41-BC37)-BC69</f>
        <v>0</v>
      </c>
      <c r="BD70" s="513">
        <f>(BD41-BD37)-BD69</f>
        <v>0</v>
      </c>
      <c r="BE70" s="513">
        <f>(BE41-BE37)-BE69</f>
        <v>0</v>
      </c>
      <c r="BF70" s="513"/>
      <c r="BG70" s="513">
        <f>(BG41-BG37)-BG69</f>
        <v>0</v>
      </c>
      <c r="BH70" s="513">
        <f>(BH41-BH37)-BH69</f>
        <v>0</v>
      </c>
      <c r="BI70" s="513">
        <f>(BI41-BI37)-BI69</f>
        <v>0</v>
      </c>
      <c r="BJ70" s="513">
        <f>(BJ41-BJ37)-BJ69</f>
        <v>0</v>
      </c>
      <c r="BK70" s="513"/>
      <c r="BL70" s="513">
        <f>(BL41-BL37)-BL69</f>
        <v>0</v>
      </c>
      <c r="BM70" s="513">
        <f>(BM41-BM37)-BM69</f>
        <v>0</v>
      </c>
      <c r="BN70" s="513">
        <f>(BN41-BN37)-BN69</f>
        <v>0</v>
      </c>
      <c r="BO70" s="513">
        <f>(BO41-BO37)-BO69</f>
        <v>0</v>
      </c>
      <c r="BP70" s="513"/>
      <c r="BQ70" s="513">
        <f>(BQ41-BQ37)-BQ69</f>
        <v>0</v>
      </c>
      <c r="BR70" s="513">
        <f>(BR41-BR37)-BR69</f>
        <v>0</v>
      </c>
      <c r="BS70" s="513">
        <f>(BS41-BS37)-BS69</f>
        <v>0</v>
      </c>
      <c r="BT70" s="513">
        <f>(BT41-BT37)-BT69</f>
        <v>0</v>
      </c>
      <c r="BU70" s="513"/>
      <c r="BV70" s="513">
        <f>(BV41-BV37)-BV69</f>
        <v>0</v>
      </c>
      <c r="BW70" s="513">
        <f>(BW41-BW37)-BW69</f>
        <v>0</v>
      </c>
      <c r="BX70" s="513">
        <f>(BX41-BX37)-BX69</f>
        <v>0</v>
      </c>
      <c r="BY70" s="513">
        <f>(BY41-BY37)-BY69</f>
        <v>0</v>
      </c>
      <c r="BZ70" s="513"/>
      <c r="CA70" s="513">
        <f>(CA41-CA37)-CA69</f>
        <v>0</v>
      </c>
      <c r="CB70" s="513">
        <f>(CB41-CB37)-CB69</f>
        <v>0</v>
      </c>
      <c r="CC70" s="513">
        <f>(CC41-CC37)-CC69</f>
        <v>0</v>
      </c>
      <c r="CD70" s="513">
        <f>(CD41-CD37)-CD69</f>
        <v>0</v>
      </c>
      <c r="CE70" s="513"/>
      <c r="CF70" s="513">
        <f>(CF41-CF37)-CF69</f>
        <v>0</v>
      </c>
      <c r="CG70" s="513">
        <f>(CG41-CG37)-CG69</f>
        <v>0</v>
      </c>
      <c r="CH70" s="513">
        <f>(CH41-CH37)-CH69</f>
        <v>0</v>
      </c>
      <c r="CI70" s="513">
        <f>(CI41-CI37)-CI69</f>
        <v>0</v>
      </c>
      <c r="CJ70" s="513"/>
      <c r="CK70" s="513">
        <f>(CK41-CK37)-CK69</f>
        <v>0</v>
      </c>
      <c r="CL70" s="513">
        <f>(CL41-CL37)-CL69</f>
        <v>0</v>
      </c>
      <c r="CM70" s="513">
        <f>(CM41-CM37)-CM69</f>
        <v>0</v>
      </c>
      <c r="CN70" s="513">
        <f>(CN41-CN37)-CN69</f>
        <v>0</v>
      </c>
      <c r="CO70" s="513"/>
      <c r="CP70" s="513">
        <f>(CP41-CP37)-CP69</f>
        <v>0</v>
      </c>
      <c r="CQ70" s="513">
        <f>(CQ41-CQ37)-CQ69</f>
        <v>0</v>
      </c>
      <c r="CR70" s="513">
        <f>(CR41-CR37)-CR69</f>
        <v>0</v>
      </c>
      <c r="CS70" s="513">
        <f>(CS41-CS37)-CS69</f>
        <v>0</v>
      </c>
      <c r="CT70" s="513"/>
      <c r="CU70" s="513">
        <f t="shared" ref="CU70:DD70" si="83">(CU41-CU37)-CU69</f>
        <v>0</v>
      </c>
      <c r="CV70" s="513">
        <f t="shared" si="83"/>
        <v>0</v>
      </c>
      <c r="CW70" s="513">
        <f t="shared" si="83"/>
        <v>0</v>
      </c>
      <c r="CX70" s="513">
        <f t="shared" si="83"/>
        <v>0</v>
      </c>
      <c r="CY70" s="513">
        <f t="shared" si="83"/>
        <v>0</v>
      </c>
      <c r="CZ70" s="513">
        <f t="shared" si="83"/>
        <v>0</v>
      </c>
      <c r="DA70" s="513">
        <f t="shared" si="83"/>
        <v>0</v>
      </c>
      <c r="DB70" s="513">
        <f t="shared" si="83"/>
        <v>0</v>
      </c>
      <c r="DC70" s="513">
        <f t="shared" si="83"/>
        <v>0</v>
      </c>
      <c r="DD70" s="513">
        <f t="shared" si="83"/>
        <v>0</v>
      </c>
      <c r="DE70" s="513">
        <f t="shared" ref="DE70:DO70" si="84">(DE41-DE37)-DE69</f>
        <v>0</v>
      </c>
      <c r="DF70" s="513">
        <f t="shared" si="84"/>
        <v>0</v>
      </c>
      <c r="DG70" s="513">
        <f t="shared" si="84"/>
        <v>0</v>
      </c>
      <c r="DH70" s="513">
        <f t="shared" si="84"/>
        <v>0</v>
      </c>
      <c r="DI70" s="513">
        <f t="shared" si="84"/>
        <v>0</v>
      </c>
      <c r="DJ70" s="513">
        <f t="shared" si="84"/>
        <v>0</v>
      </c>
      <c r="DK70" s="513">
        <f t="shared" si="84"/>
        <v>1688</v>
      </c>
      <c r="DL70" s="513">
        <f t="shared" si="84"/>
        <v>1828</v>
      </c>
      <c r="DM70" s="513">
        <f t="shared" si="84"/>
        <v>0</v>
      </c>
      <c r="DN70" s="513">
        <f t="shared" si="84"/>
        <v>0</v>
      </c>
      <c r="DO70" s="513">
        <f t="shared" si="84"/>
        <v>0</v>
      </c>
      <c r="DP70" s="513">
        <f>(DP41-DP37)-DP69</f>
        <v>0</v>
      </c>
      <c r="DQ70" s="513">
        <f t="shared" ref="DQ70:DV70" si="85">(DQ41-DQ37)-DQ69</f>
        <v>0</v>
      </c>
      <c r="DR70" s="513">
        <f t="shared" si="85"/>
        <v>0</v>
      </c>
      <c r="DS70" s="513">
        <f t="shared" si="85"/>
        <v>0</v>
      </c>
      <c r="DT70" s="513">
        <f>(DT41-DT37)-DT69</f>
        <v>0</v>
      </c>
      <c r="DU70" s="513">
        <f t="shared" si="85"/>
        <v>0</v>
      </c>
      <c r="DV70" s="513">
        <f t="shared" si="85"/>
        <v>0</v>
      </c>
      <c r="DW70" s="513">
        <f>(DW41-DW37)-DW69</f>
        <v>0</v>
      </c>
      <c r="DX70" s="513">
        <f>(DX41-DX37)-DX69</f>
        <v>0</v>
      </c>
      <c r="DY70" s="513">
        <f>(DY41-DY37)-DY69</f>
        <v>0</v>
      </c>
      <c r="DZ70" s="513">
        <f>(DZ41-DZ37)-DZ69</f>
        <v>0</v>
      </c>
      <c r="EA70" s="513">
        <f t="shared" ref="EA70:EH70" si="86">(EA41-EA37)-EA69</f>
        <v>0</v>
      </c>
      <c r="EB70" s="513">
        <f>(EB41-EB37)-EB69</f>
        <v>0</v>
      </c>
      <c r="EC70" s="513">
        <f>(EC41-EC37)-EC69</f>
        <v>0</v>
      </c>
      <c r="ED70" s="513">
        <f t="shared" si="86"/>
        <v>0</v>
      </c>
      <c r="EE70" s="513">
        <f t="shared" si="86"/>
        <v>0</v>
      </c>
      <c r="EF70" s="513">
        <f>(EF41-EF37)-EF69</f>
        <v>0</v>
      </c>
      <c r="EG70" s="513">
        <f t="shared" si="86"/>
        <v>0</v>
      </c>
      <c r="EH70" s="513">
        <f t="shared" si="86"/>
        <v>0</v>
      </c>
      <c r="EI70" s="513">
        <f t="shared" ref="EI70:EJ70" si="87">(EI41-EI37)-EI69</f>
        <v>0</v>
      </c>
      <c r="EJ70" s="513">
        <f t="shared" si="87"/>
        <v>0</v>
      </c>
      <c r="EK70" s="513">
        <f>(EK41-EK37)-EK69</f>
        <v>0</v>
      </c>
      <c r="EL70" s="513">
        <f t="shared" ref="EL70:EO70" si="88">(EL41-EL37)-EL69</f>
        <v>0</v>
      </c>
      <c r="EM70" s="513">
        <f t="shared" si="88"/>
        <v>0</v>
      </c>
      <c r="EN70" s="513">
        <f t="shared" si="88"/>
        <v>0</v>
      </c>
      <c r="EO70" s="513">
        <f t="shared" si="88"/>
        <v>0</v>
      </c>
      <c r="EP70" s="513">
        <f>(EP41-EP37)-EP69</f>
        <v>0</v>
      </c>
      <c r="EQ70" s="513">
        <f t="shared" ref="EQ70:ET70" si="89">(EQ41-EQ37)-EQ69</f>
        <v>0</v>
      </c>
      <c r="ER70" s="513">
        <f t="shared" si="89"/>
        <v>0</v>
      </c>
      <c r="ES70" s="513">
        <f t="shared" si="89"/>
        <v>0</v>
      </c>
      <c r="ET70" s="513">
        <f t="shared" si="89"/>
        <v>0</v>
      </c>
      <c r="EU70" s="513">
        <f>(EU41-EU37)-EU69</f>
        <v>0</v>
      </c>
      <c r="EV70" s="513">
        <f t="shared" ref="EU70:EW70" si="90">(EV41-EV37)-EV69</f>
        <v>0</v>
      </c>
      <c r="EW70" s="513">
        <f t="shared" si="90"/>
        <v>0</v>
      </c>
      <c r="EX70" s="513">
        <f t="shared" ref="EX70:FG70" si="91">(EX41-EX37)-EX69</f>
        <v>0</v>
      </c>
      <c r="EY70" s="513">
        <f t="shared" si="91"/>
        <v>0</v>
      </c>
      <c r="EZ70" s="513">
        <f t="shared" si="91"/>
        <v>0</v>
      </c>
      <c r="FA70" s="513">
        <f t="shared" si="91"/>
        <v>0</v>
      </c>
      <c r="FB70" s="513">
        <f t="shared" si="91"/>
        <v>0</v>
      </c>
      <c r="FC70" s="513">
        <f t="shared" si="91"/>
        <v>0</v>
      </c>
      <c r="FD70" s="513">
        <f t="shared" si="91"/>
        <v>0</v>
      </c>
      <c r="FE70" s="513">
        <f t="shared" si="91"/>
        <v>0</v>
      </c>
      <c r="FF70" s="513">
        <f t="shared" si="91"/>
        <v>0</v>
      </c>
      <c r="FG70" s="513">
        <f t="shared" si="91"/>
        <v>0</v>
      </c>
      <c r="FH70" s="513">
        <f t="shared" ref="FH70:FL70" si="92">(FH41-FH37)-FH69</f>
        <v>0</v>
      </c>
      <c r="FI70" s="513">
        <f t="shared" si="92"/>
        <v>0</v>
      </c>
      <c r="FJ70" s="513">
        <f t="shared" si="92"/>
        <v>0</v>
      </c>
      <c r="FK70" s="513">
        <f t="shared" si="92"/>
        <v>0</v>
      </c>
      <c r="FL70" s="513">
        <f t="shared" si="92"/>
        <v>0</v>
      </c>
      <c r="FM70" s="511"/>
      <c r="FO70"/>
      <c r="FP70"/>
      <c r="FQ70"/>
      <c r="FR70"/>
      <c r="FS70"/>
      <c r="FT70"/>
      <c r="FU70" s="261"/>
      <c r="FV70" s="261"/>
      <c r="FW70" s="261"/>
      <c r="FX70" s="261"/>
    </row>
    <row r="71" spans="1:180" s="264" customFormat="1" ht="11.25" customHeight="1" collapsed="1" thickBot="1">
      <c r="A71" s="515"/>
      <c r="B71" s="515"/>
      <c r="C71" s="515"/>
      <c r="D71" s="515"/>
      <c r="E71" s="516"/>
      <c r="F71" s="516"/>
      <c r="G71" s="516"/>
      <c r="H71" s="516"/>
      <c r="I71" s="516"/>
      <c r="J71" s="516"/>
      <c r="K71" s="516"/>
      <c r="L71" s="516"/>
      <c r="M71" s="516"/>
      <c r="N71" s="516"/>
      <c r="O71" s="516"/>
      <c r="P71" s="516"/>
      <c r="Q71" s="516"/>
      <c r="R71" s="516"/>
      <c r="S71" s="516"/>
      <c r="T71" s="516"/>
      <c r="U71" s="516"/>
      <c r="V71" s="516"/>
      <c r="W71" s="516"/>
      <c r="X71" s="516"/>
      <c r="Y71" s="516"/>
      <c r="Z71" s="516"/>
      <c r="AA71" s="516"/>
      <c r="AB71" s="516"/>
      <c r="AC71" s="516"/>
      <c r="AD71" s="516"/>
      <c r="AE71" s="516"/>
      <c r="AF71" s="516"/>
      <c r="AG71" s="516"/>
      <c r="AH71" s="516"/>
      <c r="AI71" s="516"/>
      <c r="AJ71" s="516"/>
      <c r="AK71" s="516"/>
      <c r="AL71" s="516"/>
      <c r="AM71" s="516"/>
      <c r="AN71" s="516"/>
      <c r="AO71" s="516"/>
      <c r="AP71" s="516"/>
      <c r="AQ71" s="516"/>
      <c r="AR71" s="516"/>
      <c r="AS71" s="516"/>
      <c r="AT71" s="516"/>
      <c r="AU71" s="516"/>
      <c r="AV71" s="516"/>
      <c r="AW71" s="516"/>
      <c r="AX71" s="516"/>
      <c r="AY71" s="516"/>
      <c r="AZ71" s="516"/>
      <c r="BA71" s="516"/>
      <c r="BB71" s="516"/>
      <c r="BC71" s="516"/>
      <c r="BD71" s="516"/>
      <c r="BE71" s="516"/>
      <c r="BF71" s="516"/>
      <c r="BG71" s="516"/>
      <c r="BH71" s="516"/>
      <c r="BI71" s="516"/>
      <c r="BJ71" s="516"/>
      <c r="BK71" s="516"/>
      <c r="BL71" s="516"/>
      <c r="BM71" s="516"/>
      <c r="BN71" s="516"/>
      <c r="BO71" s="516"/>
      <c r="BP71" s="516"/>
      <c r="BQ71" s="516"/>
      <c r="BR71" s="516"/>
      <c r="BS71" s="516"/>
      <c r="BT71" s="516"/>
      <c r="BU71" s="516"/>
      <c r="BV71" s="516"/>
      <c r="BW71" s="516"/>
      <c r="BX71" s="516"/>
      <c r="BY71" s="516"/>
      <c r="BZ71" s="516"/>
      <c r="CA71" s="516"/>
      <c r="CB71" s="516"/>
      <c r="CC71" s="516"/>
      <c r="CD71" s="516"/>
      <c r="CE71" s="516"/>
      <c r="CF71" s="516"/>
      <c r="CG71" s="516"/>
      <c r="CH71" s="516"/>
      <c r="CI71" s="516"/>
      <c r="CJ71" s="516"/>
      <c r="CK71" s="516"/>
      <c r="CL71" s="516"/>
      <c r="CM71" s="516"/>
      <c r="CN71" s="516"/>
      <c r="CO71" s="516"/>
      <c r="CP71" s="516"/>
      <c r="CQ71" s="516"/>
      <c r="CR71" s="516"/>
      <c r="CS71" s="516"/>
      <c r="CT71" s="516"/>
      <c r="CU71" s="516"/>
      <c r="CV71" s="516"/>
      <c r="CW71" s="516"/>
      <c r="CX71" s="516"/>
      <c r="CY71" s="516"/>
      <c r="CZ71" s="516"/>
      <c r="DA71" s="516"/>
      <c r="DB71" s="516"/>
      <c r="DC71" s="517"/>
      <c r="DD71" s="517"/>
      <c r="DE71" s="517"/>
      <c r="DF71" s="517"/>
      <c r="DG71" s="517"/>
      <c r="DH71" s="517"/>
      <c r="DI71" s="517"/>
      <c r="DJ71" s="517"/>
      <c r="DK71" s="517"/>
      <c r="DL71" s="517"/>
      <c r="DM71" s="517"/>
      <c r="DN71" s="517"/>
      <c r="DO71" s="517"/>
      <c r="DP71" s="517"/>
      <c r="DQ71" s="517"/>
      <c r="DR71" s="517"/>
      <c r="DS71" s="517"/>
      <c r="DT71" s="517"/>
      <c r="DU71" s="517"/>
      <c r="DV71" s="517"/>
      <c r="DW71" s="517"/>
      <c r="DX71" s="517"/>
      <c r="DY71" s="517"/>
      <c r="DZ71" s="517"/>
      <c r="EA71" s="516"/>
      <c r="EB71" s="517"/>
      <c r="EC71" s="517"/>
      <c r="ED71" s="516"/>
      <c r="EE71" s="516"/>
      <c r="EF71" s="516"/>
      <c r="EG71" s="516"/>
      <c r="EH71" s="516"/>
      <c r="EI71" s="2781"/>
      <c r="EJ71" s="2781"/>
      <c r="EK71" s="2781"/>
      <c r="EL71" s="2781"/>
      <c r="EM71" s="2781"/>
      <c r="EN71" s="2781"/>
      <c r="EO71" s="2781"/>
      <c r="EP71" s="2781"/>
      <c r="EQ71" s="2781"/>
      <c r="ER71" s="2781"/>
      <c r="ES71" s="516"/>
      <c r="ET71" s="2781"/>
      <c r="EU71" s="2781"/>
      <c r="EV71" s="516"/>
      <c r="EW71" s="516"/>
      <c r="EX71" s="516"/>
      <c r="EY71" s="516"/>
      <c r="EZ71" s="516"/>
      <c r="FA71" s="516"/>
      <c r="FB71" s="516"/>
      <c r="FC71" s="516"/>
      <c r="FD71" s="516"/>
      <c r="FE71" s="516"/>
      <c r="FF71" s="516"/>
      <c r="FG71" s="516"/>
      <c r="FH71" s="516"/>
      <c r="FI71" s="516"/>
      <c r="FJ71" s="516"/>
      <c r="FK71" s="516"/>
      <c r="FL71" s="516"/>
      <c r="FM71" s="515"/>
      <c r="FO71"/>
      <c r="FP71"/>
      <c r="FQ71"/>
      <c r="FR71"/>
      <c r="FS71"/>
      <c r="FT71"/>
      <c r="FU71" s="261"/>
      <c r="FV71" s="261"/>
      <c r="FW71" s="261"/>
      <c r="FX71" s="261"/>
    </row>
    <row r="72" spans="1:180" s="264" customFormat="1" ht="12.75" customHeight="1">
      <c r="A72" s="518" t="s">
        <v>1461</v>
      </c>
      <c r="B72" s="253"/>
      <c r="C72" s="253"/>
      <c r="D72" s="253"/>
      <c r="E72" s="455"/>
      <c r="F72" s="455"/>
      <c r="G72" s="455"/>
      <c r="H72" s="455"/>
      <c r="I72" s="455"/>
      <c r="J72" s="455"/>
      <c r="K72" s="455"/>
      <c r="L72" s="455"/>
      <c r="M72" s="455"/>
      <c r="N72" s="455"/>
      <c r="O72" s="455"/>
      <c r="P72" s="455"/>
      <c r="Q72" s="455"/>
      <c r="R72" s="455"/>
      <c r="S72" s="455"/>
      <c r="T72" s="455"/>
      <c r="U72" s="455"/>
      <c r="V72" s="455"/>
      <c r="W72" s="455"/>
      <c r="X72" s="455"/>
      <c r="Y72" s="455"/>
      <c r="Z72" s="455"/>
      <c r="AA72" s="455"/>
      <c r="AB72" s="455"/>
      <c r="AC72" s="455"/>
      <c r="AD72" s="455"/>
      <c r="AE72" s="455"/>
      <c r="AF72" s="455"/>
      <c r="AG72" s="455"/>
      <c r="AH72" s="455"/>
      <c r="AI72" s="455"/>
      <c r="AJ72" s="455"/>
      <c r="AK72" s="455"/>
      <c r="AL72" s="455"/>
      <c r="AM72" s="455"/>
      <c r="AN72" s="455"/>
      <c r="AO72" s="455"/>
      <c r="AP72" s="455"/>
      <c r="AQ72" s="455"/>
      <c r="AR72" s="455"/>
      <c r="AS72" s="455"/>
      <c r="AT72" s="455"/>
      <c r="AU72" s="455"/>
      <c r="AV72" s="455"/>
      <c r="AW72" s="455"/>
      <c r="AX72" s="455"/>
      <c r="AY72" s="455"/>
      <c r="AZ72" s="455"/>
      <c r="BA72" s="455"/>
      <c r="BB72" s="455"/>
      <c r="BC72" s="455"/>
      <c r="BD72" s="455"/>
      <c r="BE72" s="455"/>
      <c r="BF72" s="455"/>
      <c r="BG72" s="455"/>
      <c r="BH72" s="455"/>
      <c r="BI72" s="455"/>
      <c r="BJ72" s="455"/>
      <c r="BK72" s="455"/>
      <c r="BL72" s="455"/>
      <c r="BM72" s="455"/>
      <c r="BN72" s="455"/>
      <c r="BO72" s="455"/>
      <c r="BP72" s="455"/>
      <c r="BQ72" s="455"/>
      <c r="BR72" s="455"/>
      <c r="BS72" s="455"/>
      <c r="BT72" s="455"/>
      <c r="BU72" s="455"/>
      <c r="BV72" s="455"/>
      <c r="BW72" s="455"/>
      <c r="BX72" s="455"/>
      <c r="BY72" s="455"/>
      <c r="BZ72" s="455"/>
      <c r="CA72" s="455"/>
      <c r="CB72" s="455"/>
      <c r="CC72" s="455"/>
      <c r="CD72" s="455"/>
      <c r="CE72" s="455"/>
      <c r="CF72" s="455"/>
      <c r="CG72" s="455"/>
      <c r="CH72" s="455"/>
      <c r="CI72" s="455"/>
      <c r="CJ72" s="455"/>
      <c r="CK72" s="455"/>
      <c r="CL72" s="455"/>
      <c r="CM72" s="455"/>
      <c r="CN72" s="455"/>
      <c r="CO72" s="455"/>
      <c r="CP72" s="455"/>
      <c r="CQ72" s="455"/>
      <c r="CR72" s="455"/>
      <c r="CS72" s="455"/>
      <c r="CT72" s="455"/>
      <c r="CU72" s="455"/>
      <c r="CV72" s="455"/>
      <c r="CW72" s="455"/>
      <c r="CX72" s="455"/>
      <c r="CY72" s="455"/>
      <c r="CZ72" s="455"/>
      <c r="DA72" s="455"/>
      <c r="DB72" s="455"/>
      <c r="DC72" s="485"/>
      <c r="DD72" s="485"/>
      <c r="DE72" s="485"/>
      <c r="DF72" s="485"/>
      <c r="DG72" s="485"/>
      <c r="DH72" s="485"/>
      <c r="DI72" s="485"/>
      <c r="DJ72" s="485"/>
      <c r="DK72" s="485"/>
      <c r="DL72" s="485"/>
      <c r="DM72" s="485"/>
      <c r="DN72" s="485"/>
      <c r="DO72" s="485"/>
      <c r="DP72" s="485"/>
      <c r="DQ72" s="485"/>
      <c r="DR72" s="485"/>
      <c r="DS72" s="485"/>
      <c r="DT72" s="485"/>
      <c r="DU72" s="485"/>
      <c r="DV72" s="485"/>
      <c r="DW72" s="485"/>
      <c r="DX72" s="485"/>
      <c r="DY72" s="485"/>
      <c r="DZ72" s="485"/>
      <c r="EA72" s="455"/>
      <c r="EB72" s="485"/>
      <c r="EC72" s="485"/>
      <c r="ED72" s="455"/>
      <c r="EE72" s="455"/>
      <c r="EF72" s="455"/>
      <c r="EG72" s="455"/>
      <c r="EH72" s="455"/>
      <c r="EI72" s="2515"/>
      <c r="EJ72" s="2515"/>
      <c r="EK72" s="2515"/>
      <c r="EL72" s="2515"/>
      <c r="EM72" s="2515"/>
      <c r="EN72" s="2515"/>
      <c r="EO72" s="2515"/>
      <c r="EP72" s="2515"/>
      <c r="EQ72" s="2515"/>
      <c r="ER72" s="2515"/>
      <c r="ES72" s="455"/>
      <c r="ET72" s="2515"/>
      <c r="EU72" s="2515"/>
      <c r="EV72" s="455"/>
      <c r="EW72" s="455"/>
      <c r="EX72" s="455"/>
      <c r="EY72" s="455"/>
      <c r="EZ72" s="455"/>
      <c r="FA72" s="455"/>
      <c r="FB72" s="455"/>
      <c r="FC72" s="455"/>
      <c r="FD72" s="455"/>
      <c r="FE72" s="455"/>
      <c r="FF72" s="455"/>
      <c r="FG72" s="455"/>
      <c r="FH72" s="455"/>
      <c r="FI72" s="455"/>
      <c r="FJ72" s="455"/>
      <c r="FK72" s="455"/>
      <c r="FL72" s="455"/>
      <c r="FM72" s="253"/>
      <c r="FO72"/>
      <c r="FP72"/>
      <c r="FQ72"/>
      <c r="FR72"/>
      <c r="FS72"/>
      <c r="FT72"/>
      <c r="FU72" s="261"/>
      <c r="FV72" s="261"/>
      <c r="FW72" s="261"/>
      <c r="FX72" s="261"/>
    </row>
    <row r="73" spans="1:180" s="264" customFormat="1" ht="12.75" customHeight="1">
      <c r="A73" s="519" t="s">
        <v>241</v>
      </c>
      <c r="B73" s="2514"/>
      <c r="C73" s="2514"/>
      <c r="D73" s="2514"/>
      <c r="E73" s="2515"/>
      <c r="F73" s="2515"/>
      <c r="G73" s="2515"/>
      <c r="H73" s="2515"/>
      <c r="I73" s="2515"/>
      <c r="J73" s="2515"/>
      <c r="K73" s="2515"/>
      <c r="L73" s="2515"/>
      <c r="M73" s="2515"/>
      <c r="N73" s="2515"/>
      <c r="O73" s="2515"/>
      <c r="P73" s="2515"/>
      <c r="Q73" s="2515"/>
      <c r="R73" s="2515"/>
      <c r="S73" s="2515"/>
      <c r="T73" s="2515"/>
      <c r="U73" s="2515"/>
      <c r="V73" s="2515"/>
      <c r="W73" s="2515"/>
      <c r="X73" s="2515"/>
      <c r="Y73" s="2515"/>
      <c r="Z73" s="2515"/>
      <c r="AA73" s="2515"/>
      <c r="AB73" s="2515"/>
      <c r="AC73" s="2515"/>
      <c r="AD73" s="2515"/>
      <c r="AE73" s="2515"/>
      <c r="AF73" s="2515"/>
      <c r="AG73" s="2515"/>
      <c r="AH73" s="2515"/>
      <c r="AI73" s="2515"/>
      <c r="AJ73" s="2515"/>
      <c r="AK73" s="2515"/>
      <c r="AL73" s="2515"/>
      <c r="AM73" s="2515"/>
      <c r="AN73" s="2515"/>
      <c r="AO73" s="2515"/>
      <c r="AP73" s="2515"/>
      <c r="AQ73" s="2515"/>
      <c r="AR73" s="2515"/>
      <c r="AS73" s="2515"/>
      <c r="AT73" s="2515"/>
      <c r="AU73" s="2515"/>
      <c r="AV73" s="2515"/>
      <c r="AW73" s="2515"/>
      <c r="AX73" s="2515"/>
      <c r="AY73" s="2515"/>
      <c r="AZ73" s="2515"/>
      <c r="BA73" s="2515"/>
      <c r="BB73" s="2515"/>
      <c r="BC73" s="2515"/>
      <c r="BD73" s="2515"/>
      <c r="BE73" s="2515"/>
      <c r="BF73" s="2515"/>
      <c r="BG73" s="2515"/>
      <c r="BH73" s="2515"/>
      <c r="BI73" s="2515"/>
      <c r="BJ73" s="2515"/>
      <c r="BK73" s="2515"/>
      <c r="BL73" s="2515"/>
      <c r="BM73" s="2515"/>
      <c r="BN73" s="2515"/>
      <c r="BO73" s="2515"/>
      <c r="BP73" s="2515"/>
      <c r="BQ73" s="2515"/>
      <c r="BR73" s="2515"/>
      <c r="BS73" s="2515"/>
      <c r="BT73" s="2515"/>
      <c r="BU73" s="2515"/>
      <c r="BV73" s="2515"/>
      <c r="BW73" s="2515"/>
      <c r="BX73" s="2515"/>
      <c r="BY73" s="2515"/>
      <c r="BZ73" s="2515"/>
      <c r="CA73" s="2515"/>
      <c r="CB73" s="2515"/>
      <c r="CC73" s="2515"/>
      <c r="CD73" s="2515"/>
      <c r="CE73" s="2515"/>
      <c r="CF73" s="2515"/>
      <c r="CG73" s="2515"/>
      <c r="CH73" s="2515"/>
      <c r="CI73" s="2515"/>
      <c r="CJ73" s="2515"/>
      <c r="CK73" s="2515"/>
      <c r="CL73" s="2515"/>
      <c r="CM73" s="2515"/>
      <c r="CN73" s="2515"/>
      <c r="CO73" s="2515"/>
      <c r="CP73" s="2515"/>
      <c r="CQ73" s="2515"/>
      <c r="CR73" s="2515"/>
      <c r="CS73" s="2515"/>
      <c r="CT73" s="2515"/>
      <c r="CU73" s="2515"/>
      <c r="CV73" s="2515"/>
      <c r="CW73" s="2516"/>
      <c r="CX73" s="2516"/>
      <c r="CY73" s="2515"/>
      <c r="CZ73" s="2515">
        <f>CZ24+CZ34</f>
        <v>1975</v>
      </c>
      <c r="DA73" s="2515">
        <f t="shared" ref="DA73:EW73" si="93">DA24+DA34</f>
        <v>2000</v>
      </c>
      <c r="DB73" s="2515">
        <f t="shared" si="93"/>
        <v>1999</v>
      </c>
      <c r="DC73" s="2515">
        <f t="shared" si="93"/>
        <v>5746</v>
      </c>
      <c r="DD73" s="2515">
        <f t="shared" si="93"/>
        <v>5746</v>
      </c>
      <c r="DE73" s="2515">
        <f t="shared" si="93"/>
        <v>5996</v>
      </c>
      <c r="DF73" s="2515">
        <f t="shared" si="93"/>
        <v>5995</v>
      </c>
      <c r="DG73" s="2515">
        <f t="shared" si="93"/>
        <v>5995</v>
      </c>
      <c r="DH73" s="2515">
        <f t="shared" si="93"/>
        <v>5939</v>
      </c>
      <c r="DI73" s="2515">
        <f t="shared" si="93"/>
        <v>5939</v>
      </c>
      <c r="DJ73" s="2515">
        <f t="shared" si="93"/>
        <v>10665</v>
      </c>
      <c r="DK73" s="2515">
        <f t="shared" si="93"/>
        <v>9671</v>
      </c>
      <c r="DL73" s="2515">
        <f t="shared" si="93"/>
        <v>11915</v>
      </c>
      <c r="DM73" s="2515">
        <f t="shared" si="93"/>
        <v>11921</v>
      </c>
      <c r="DN73" s="2515">
        <f t="shared" si="93"/>
        <v>11921</v>
      </c>
      <c r="DO73" s="2515">
        <f t="shared" si="93"/>
        <v>11927</v>
      </c>
      <c r="DP73" s="2515">
        <f t="shared" si="93"/>
        <v>11932</v>
      </c>
      <c r="DQ73" s="2515">
        <f t="shared" si="93"/>
        <v>11938</v>
      </c>
      <c r="DR73" s="2515">
        <f t="shared" si="93"/>
        <v>11944</v>
      </c>
      <c r="DS73" s="2515">
        <f t="shared" si="93"/>
        <v>11944</v>
      </c>
      <c r="DT73" s="2515">
        <f t="shared" si="93"/>
        <v>11950</v>
      </c>
      <c r="DU73" s="2515">
        <f t="shared" si="93"/>
        <v>14188</v>
      </c>
      <c r="DV73" s="2515">
        <f t="shared" si="93"/>
        <v>14195</v>
      </c>
      <c r="DW73" s="2515">
        <f t="shared" si="93"/>
        <v>15600</v>
      </c>
      <c r="DX73" s="2515">
        <f t="shared" si="93"/>
        <v>15600</v>
      </c>
      <c r="DY73" s="2515">
        <f t="shared" si="93"/>
        <v>15932</v>
      </c>
      <c r="DZ73" s="2515">
        <f t="shared" si="93"/>
        <v>22976</v>
      </c>
      <c r="EA73" s="2515">
        <f t="shared" si="93"/>
        <v>22679</v>
      </c>
      <c r="EB73" s="2515">
        <f t="shared" si="93"/>
        <v>22645</v>
      </c>
      <c r="EC73" s="2515">
        <f t="shared" si="93"/>
        <v>22645</v>
      </c>
      <c r="ED73" s="2515">
        <f t="shared" si="93"/>
        <v>23720</v>
      </c>
      <c r="EE73" s="2515">
        <f t="shared" si="93"/>
        <v>28308</v>
      </c>
      <c r="EF73" s="2515">
        <f t="shared" si="93"/>
        <v>31868</v>
      </c>
      <c r="EG73" s="2515">
        <f t="shared" si="93"/>
        <v>35292</v>
      </c>
      <c r="EH73" s="2515">
        <f t="shared" si="93"/>
        <v>35292</v>
      </c>
      <c r="EI73" s="2515">
        <f t="shared" ref="EI73:ER73" si="94">EI24+EI34</f>
        <v>38567</v>
      </c>
      <c r="EJ73" s="2515">
        <f t="shared" si="94"/>
        <v>44429</v>
      </c>
      <c r="EK73" s="2515">
        <f t="shared" si="94"/>
        <v>46394</v>
      </c>
      <c r="EL73" s="2515">
        <f t="shared" si="94"/>
        <v>53461</v>
      </c>
      <c r="EM73" s="2515">
        <f t="shared" si="94"/>
        <v>53461</v>
      </c>
      <c r="EN73" s="2515">
        <f t="shared" si="94"/>
        <v>74690</v>
      </c>
      <c r="EO73" s="2515">
        <f t="shared" si="94"/>
        <v>84970</v>
      </c>
      <c r="EP73" s="2515">
        <f t="shared" si="94"/>
        <v>84008</v>
      </c>
      <c r="EQ73" s="2515">
        <f t="shared" si="94"/>
        <v>86194</v>
      </c>
      <c r="ER73" s="2515">
        <f t="shared" si="94"/>
        <v>86194</v>
      </c>
      <c r="ES73" s="2515">
        <f t="shared" si="93"/>
        <v>85475</v>
      </c>
      <c r="ET73" s="2515">
        <f t="shared" si="93"/>
        <v>89260</v>
      </c>
      <c r="EU73" s="2515">
        <f t="shared" si="93"/>
        <v>77157</v>
      </c>
      <c r="EV73" s="2515">
        <f t="shared" si="93"/>
        <v>76707</v>
      </c>
      <c r="EW73" s="2515">
        <f t="shared" si="93"/>
        <v>76707</v>
      </c>
      <c r="EX73" s="2515">
        <f t="shared" ref="EX73:FG73" si="95">EX24+EX34</f>
        <v>76707</v>
      </c>
      <c r="EY73" s="2515">
        <f t="shared" si="95"/>
        <v>73707</v>
      </c>
      <c r="EZ73" s="2515">
        <f t="shared" si="95"/>
        <v>73707</v>
      </c>
      <c r="FA73" s="2515">
        <f t="shared" si="95"/>
        <v>72707</v>
      </c>
      <c r="FB73" s="2515">
        <f t="shared" si="95"/>
        <v>72707</v>
      </c>
      <c r="FC73" s="2515">
        <f t="shared" si="95"/>
        <v>70207</v>
      </c>
      <c r="FD73" s="2515">
        <f t="shared" si="95"/>
        <v>70189</v>
      </c>
      <c r="FE73" s="2515">
        <f t="shared" si="95"/>
        <v>67189</v>
      </c>
      <c r="FF73" s="2515">
        <f t="shared" si="95"/>
        <v>67189</v>
      </c>
      <c r="FG73" s="2515">
        <f t="shared" si="95"/>
        <v>67189</v>
      </c>
      <c r="FH73" s="2515">
        <f t="shared" ref="FH73:FL73" si="96">FH24+FH34</f>
        <v>67189</v>
      </c>
      <c r="FI73" s="2515">
        <f t="shared" si="96"/>
        <v>63939</v>
      </c>
      <c r="FJ73" s="2515">
        <f t="shared" si="96"/>
        <v>63439</v>
      </c>
      <c r="FK73" s="2515">
        <f t="shared" si="96"/>
        <v>63439</v>
      </c>
      <c r="FL73" s="2515">
        <f t="shared" si="96"/>
        <v>63439</v>
      </c>
      <c r="FM73" s="253"/>
      <c r="FO73"/>
      <c r="FP73"/>
      <c r="FQ73"/>
      <c r="FR73"/>
      <c r="FS73"/>
      <c r="FT73"/>
      <c r="FU73" s="261"/>
      <c r="FV73" s="261"/>
      <c r="FW73" s="261"/>
      <c r="FX73" s="261"/>
    </row>
    <row r="74" spans="1:180" s="264" customFormat="1" ht="12.75" customHeight="1">
      <c r="A74" s="519" t="s">
        <v>1465</v>
      </c>
      <c r="B74" s="2514"/>
      <c r="C74" s="2514"/>
      <c r="D74" s="2514"/>
      <c r="E74" s="2515"/>
      <c r="F74" s="2515"/>
      <c r="G74" s="2515"/>
      <c r="H74" s="2515"/>
      <c r="I74" s="2515"/>
      <c r="J74" s="2515"/>
      <c r="K74" s="2515"/>
      <c r="L74" s="2515"/>
      <c r="M74" s="2515"/>
      <c r="N74" s="2515"/>
      <c r="O74" s="2515"/>
      <c r="P74" s="2515"/>
      <c r="Q74" s="2515"/>
      <c r="R74" s="2515"/>
      <c r="S74" s="2515"/>
      <c r="T74" s="2515"/>
      <c r="U74" s="2515"/>
      <c r="V74" s="2515"/>
      <c r="W74" s="2515"/>
      <c r="X74" s="2515"/>
      <c r="Y74" s="2515"/>
      <c r="Z74" s="2515"/>
      <c r="AA74" s="2515"/>
      <c r="AB74" s="2515"/>
      <c r="AC74" s="2515"/>
      <c r="AD74" s="2515"/>
      <c r="AE74" s="2515"/>
      <c r="AF74" s="2515"/>
      <c r="AG74" s="2515"/>
      <c r="AH74" s="2515"/>
      <c r="AI74" s="2515"/>
      <c r="AJ74" s="2515"/>
      <c r="AK74" s="2515"/>
      <c r="AL74" s="2515"/>
      <c r="AM74" s="2515"/>
      <c r="AN74" s="2515"/>
      <c r="AO74" s="2515"/>
      <c r="AP74" s="2515"/>
      <c r="AQ74" s="2515"/>
      <c r="AR74" s="2515"/>
      <c r="AS74" s="2515"/>
      <c r="AT74" s="2515"/>
      <c r="AU74" s="2515"/>
      <c r="AV74" s="2515"/>
      <c r="AW74" s="2515"/>
      <c r="AX74" s="2515"/>
      <c r="AY74" s="2515"/>
      <c r="AZ74" s="2515"/>
      <c r="BA74" s="2515"/>
      <c r="BB74" s="2515"/>
      <c r="BC74" s="2515"/>
      <c r="BD74" s="2515"/>
      <c r="BE74" s="2515"/>
      <c r="BF74" s="2515"/>
      <c r="BG74" s="2515"/>
      <c r="BH74" s="2515"/>
      <c r="BI74" s="2515"/>
      <c r="BJ74" s="2515"/>
      <c r="BK74" s="2515"/>
      <c r="BL74" s="2515"/>
      <c r="BM74" s="2515"/>
      <c r="BN74" s="2515"/>
      <c r="BO74" s="2515"/>
      <c r="BP74" s="2515"/>
      <c r="BQ74" s="2515"/>
      <c r="BR74" s="2515"/>
      <c r="BS74" s="2515"/>
      <c r="BT74" s="2515"/>
      <c r="BU74" s="2515"/>
      <c r="BV74" s="2515"/>
      <c r="BW74" s="2515"/>
      <c r="BX74" s="2515"/>
      <c r="BY74" s="2515"/>
      <c r="BZ74" s="2515"/>
      <c r="CA74" s="2515"/>
      <c r="CB74" s="2515"/>
      <c r="CC74" s="2515"/>
      <c r="CD74" s="2515"/>
      <c r="CE74" s="2515"/>
      <c r="CF74" s="2515"/>
      <c r="CG74" s="2515"/>
      <c r="CH74" s="2515"/>
      <c r="CI74" s="2515"/>
      <c r="CJ74" s="2515"/>
      <c r="CK74" s="2515"/>
      <c r="CL74" s="2515"/>
      <c r="CM74" s="2515"/>
      <c r="CN74" s="2515"/>
      <c r="CO74" s="2515"/>
      <c r="CP74" s="2515"/>
      <c r="CQ74" s="2515"/>
      <c r="CR74" s="2515"/>
      <c r="CS74" s="2515"/>
      <c r="CT74" s="2515"/>
      <c r="CU74" s="2515"/>
      <c r="CV74" s="2515"/>
      <c r="CW74" s="2516"/>
      <c r="CX74" s="2516"/>
      <c r="CY74" s="2515"/>
      <c r="CZ74" s="2515"/>
      <c r="DA74" s="2515"/>
      <c r="DB74" s="2515"/>
      <c r="DC74" s="2515"/>
      <c r="DD74" s="2515"/>
      <c r="DE74" s="2515"/>
      <c r="DF74" s="2515"/>
      <c r="DG74" s="2515"/>
      <c r="DH74" s="2515"/>
      <c r="DI74" s="2515"/>
      <c r="DJ74" s="2515"/>
      <c r="DK74" s="2515"/>
      <c r="DL74" s="2515"/>
      <c r="DM74" s="2515"/>
      <c r="DN74" s="2515"/>
      <c r="DO74" s="2515"/>
      <c r="DP74" s="2515"/>
      <c r="DQ74" s="2515"/>
      <c r="DR74" s="2515"/>
      <c r="DS74" s="2515"/>
      <c r="DT74" s="2515"/>
      <c r="DU74" s="2515"/>
      <c r="DV74" s="2515"/>
      <c r="DW74" s="2515"/>
      <c r="DX74" s="2515"/>
      <c r="DY74" s="2515"/>
      <c r="DZ74" s="2515"/>
      <c r="EA74" s="2515"/>
      <c r="EB74" s="2515"/>
      <c r="EC74" s="2515"/>
      <c r="ED74" s="2515"/>
      <c r="EE74" s="2515"/>
      <c r="EF74" s="2515"/>
      <c r="EG74" s="2515"/>
      <c r="EH74" s="2515"/>
      <c r="EI74" s="2515"/>
      <c r="EJ74" s="2515"/>
      <c r="EK74" s="2515"/>
      <c r="EL74" s="2515">
        <f t="shared" ref="EL74:EP74" si="97">EL78+EL79</f>
        <v>786</v>
      </c>
      <c r="EM74" s="2515">
        <f>EL74</f>
        <v>786</v>
      </c>
      <c r="EN74" s="2515">
        <f t="shared" si="97"/>
        <v>1032</v>
      </c>
      <c r="EO74" s="2515">
        <f t="shared" si="97"/>
        <v>1556</v>
      </c>
      <c r="EP74" s="2515">
        <f t="shared" si="97"/>
        <v>1786</v>
      </c>
      <c r="EQ74" s="2515">
        <f>EQ78+EQ79</f>
        <v>2513</v>
      </c>
      <c r="ER74" s="2515">
        <f>EQ74</f>
        <v>2513</v>
      </c>
      <c r="ES74" s="2515">
        <f t="shared" ref="ES74:EU74" si="98">ES78+ES79</f>
        <v>3273</v>
      </c>
      <c r="ET74" s="2515">
        <f t="shared" si="98"/>
        <v>3553</v>
      </c>
      <c r="EU74" s="2515">
        <f t="shared" si="98"/>
        <v>3833</v>
      </c>
      <c r="EV74" s="2515">
        <f>+EU74+200</f>
        <v>4033</v>
      </c>
      <c r="EW74" s="2515">
        <f>EV74</f>
        <v>4033</v>
      </c>
      <c r="EX74" s="2515">
        <f>+EW74+200</f>
        <v>4233</v>
      </c>
      <c r="EY74" s="2515">
        <f t="shared" ref="EY74:FA74" si="99">+EX74+200</f>
        <v>4433</v>
      </c>
      <c r="EZ74" s="2515">
        <f t="shared" si="99"/>
        <v>4633</v>
      </c>
      <c r="FA74" s="2515">
        <f t="shared" si="99"/>
        <v>4833</v>
      </c>
      <c r="FB74" s="2515">
        <f>FA74</f>
        <v>4833</v>
      </c>
      <c r="FC74" s="2515">
        <f>+FB74+100</f>
        <v>4933</v>
      </c>
      <c r="FD74" s="2515">
        <f t="shared" ref="FD74:FF74" si="100">+FC74+100</f>
        <v>5033</v>
      </c>
      <c r="FE74" s="2515">
        <f t="shared" si="100"/>
        <v>5133</v>
      </c>
      <c r="FF74" s="2515">
        <f t="shared" si="100"/>
        <v>5233</v>
      </c>
      <c r="FG74" s="2515">
        <f>FF74</f>
        <v>5233</v>
      </c>
      <c r="FH74" s="2515">
        <f>+FG74+100</f>
        <v>5333</v>
      </c>
      <c r="FI74" s="2515">
        <f t="shared" ref="FI74:FK74" si="101">+FH74+100</f>
        <v>5433</v>
      </c>
      <c r="FJ74" s="2515">
        <f t="shared" si="101"/>
        <v>5533</v>
      </c>
      <c r="FK74" s="2515">
        <f t="shared" si="101"/>
        <v>5633</v>
      </c>
      <c r="FL74" s="2515">
        <f>FK74</f>
        <v>5633</v>
      </c>
      <c r="FM74" s="253"/>
      <c r="FO74"/>
      <c r="FP74"/>
      <c r="FQ74"/>
      <c r="FR74"/>
      <c r="FS74"/>
      <c r="FT74"/>
      <c r="FU74" s="261"/>
      <c r="FV74" s="261"/>
      <c r="FW74" s="261"/>
      <c r="FX74" s="261"/>
    </row>
    <row r="75" spans="1:180" s="264" customFormat="1" ht="12.75" customHeight="1">
      <c r="A75" s="519" t="s">
        <v>1462</v>
      </c>
      <c r="B75" s="2514"/>
      <c r="C75" s="2514"/>
      <c r="D75" s="2514"/>
      <c r="E75" s="2515"/>
      <c r="F75" s="2515"/>
      <c r="G75" s="2515"/>
      <c r="H75" s="2515"/>
      <c r="I75" s="2515"/>
      <c r="J75" s="2515"/>
      <c r="K75" s="2515"/>
      <c r="L75" s="2515"/>
      <c r="M75" s="2515"/>
      <c r="N75" s="2515"/>
      <c r="O75" s="2515"/>
      <c r="P75" s="2515"/>
      <c r="Q75" s="2515"/>
      <c r="R75" s="2515"/>
      <c r="S75" s="2515"/>
      <c r="T75" s="2515"/>
      <c r="U75" s="2515"/>
      <c r="V75" s="2515"/>
      <c r="W75" s="2515"/>
      <c r="X75" s="2515"/>
      <c r="Y75" s="2515"/>
      <c r="Z75" s="2515"/>
      <c r="AA75" s="2515"/>
      <c r="AB75" s="2515"/>
      <c r="AC75" s="2515"/>
      <c r="AD75" s="2515"/>
      <c r="AE75" s="2515"/>
      <c r="AF75" s="2515"/>
      <c r="AG75" s="2515"/>
      <c r="AH75" s="2515"/>
      <c r="AI75" s="2515"/>
      <c r="AJ75" s="2515"/>
      <c r="AK75" s="2515"/>
      <c r="AL75" s="2515"/>
      <c r="AM75" s="2515"/>
      <c r="AN75" s="2515"/>
      <c r="AO75" s="2515"/>
      <c r="AP75" s="2515"/>
      <c r="AQ75" s="2515"/>
      <c r="AR75" s="2515"/>
      <c r="AS75" s="2515"/>
      <c r="AT75" s="2515"/>
      <c r="AU75" s="2515"/>
      <c r="AV75" s="2515"/>
      <c r="AW75" s="2515"/>
      <c r="AX75" s="2515"/>
      <c r="AY75" s="2515"/>
      <c r="AZ75" s="2515"/>
      <c r="BA75" s="2515"/>
      <c r="BB75" s="2515"/>
      <c r="BC75" s="2515"/>
      <c r="BD75" s="2515"/>
      <c r="BE75" s="2515"/>
      <c r="BF75" s="2515"/>
      <c r="BG75" s="2515"/>
      <c r="BH75" s="2515"/>
      <c r="BI75" s="2515"/>
      <c r="BJ75" s="2515"/>
      <c r="BK75" s="2515"/>
      <c r="BL75" s="2515"/>
      <c r="BM75" s="2515"/>
      <c r="BN75" s="2515"/>
      <c r="BO75" s="2515"/>
      <c r="BP75" s="2515"/>
      <c r="BQ75" s="2515"/>
      <c r="BR75" s="2515"/>
      <c r="BS75" s="2515"/>
      <c r="BT75" s="2515"/>
      <c r="BU75" s="2515"/>
      <c r="BV75" s="2515"/>
      <c r="BW75" s="2515"/>
      <c r="BX75" s="2515"/>
      <c r="BY75" s="2515"/>
      <c r="BZ75" s="2515"/>
      <c r="CA75" s="2515"/>
      <c r="CB75" s="2515"/>
      <c r="CC75" s="2515"/>
      <c r="CD75" s="2515"/>
      <c r="CE75" s="2515"/>
      <c r="CF75" s="2515"/>
      <c r="CG75" s="2515"/>
      <c r="CH75" s="2515"/>
      <c r="CI75" s="2515"/>
      <c r="CJ75" s="2515"/>
      <c r="CK75" s="2515"/>
      <c r="CL75" s="2515"/>
      <c r="CM75" s="2515"/>
      <c r="CN75" s="2515"/>
      <c r="CO75" s="2515"/>
      <c r="CP75" s="2515"/>
      <c r="CQ75" s="2515"/>
      <c r="CR75" s="2515"/>
      <c r="CS75" s="2515"/>
      <c r="CT75" s="2515"/>
      <c r="CU75" s="2515"/>
      <c r="CV75" s="2515"/>
      <c r="CW75" s="2516"/>
      <c r="CX75" s="2516"/>
      <c r="CY75" s="2515"/>
      <c r="CZ75" s="2515"/>
      <c r="DA75" s="2515"/>
      <c r="DB75" s="2515"/>
      <c r="DC75" s="2515"/>
      <c r="DD75" s="2515"/>
      <c r="DE75" s="2515"/>
      <c r="DF75" s="2515"/>
      <c r="DG75" s="2515"/>
      <c r="DH75" s="2515"/>
      <c r="DI75" s="2515"/>
      <c r="DJ75" s="2515"/>
      <c r="DK75" s="2515"/>
      <c r="DL75" s="2515"/>
      <c r="DM75" s="2515"/>
      <c r="DN75" s="2515"/>
      <c r="DO75" s="2515"/>
      <c r="DP75" s="2515"/>
      <c r="DQ75" s="2515"/>
      <c r="DR75" s="2515"/>
      <c r="DS75" s="2515"/>
      <c r="DT75" s="2515"/>
      <c r="DU75" s="2515"/>
      <c r="DV75" s="2515"/>
      <c r="DW75" s="2515"/>
      <c r="DX75" s="2515"/>
      <c r="DY75" s="2515"/>
      <c r="DZ75" s="2515"/>
      <c r="EA75" s="2515"/>
      <c r="EB75" s="2515"/>
      <c r="EC75" s="2515">
        <f>SUM(EC73:EC74)</f>
        <v>22645</v>
      </c>
      <c r="ED75" s="2515">
        <f t="shared" ref="ED75:FG75" si="102">SUM(ED73:ED74)</f>
        <v>23720</v>
      </c>
      <c r="EE75" s="2515">
        <f t="shared" si="102"/>
        <v>28308</v>
      </c>
      <c r="EF75" s="2515">
        <f t="shared" si="102"/>
        <v>31868</v>
      </c>
      <c r="EG75" s="2515">
        <f t="shared" si="102"/>
        <v>35292</v>
      </c>
      <c r="EH75" s="2515">
        <f t="shared" si="102"/>
        <v>35292</v>
      </c>
      <c r="EI75" s="2515">
        <f t="shared" si="102"/>
        <v>38567</v>
      </c>
      <c r="EJ75" s="2515">
        <f t="shared" si="102"/>
        <v>44429</v>
      </c>
      <c r="EK75" s="2515">
        <f t="shared" si="102"/>
        <v>46394</v>
      </c>
      <c r="EL75" s="2515">
        <f t="shared" si="102"/>
        <v>54247</v>
      </c>
      <c r="EM75" s="2515">
        <f t="shared" si="102"/>
        <v>54247</v>
      </c>
      <c r="EN75" s="2515">
        <f t="shared" si="102"/>
        <v>75722</v>
      </c>
      <c r="EO75" s="2515">
        <f t="shared" si="102"/>
        <v>86526</v>
      </c>
      <c r="EP75" s="2515">
        <f t="shared" si="102"/>
        <v>85794</v>
      </c>
      <c r="EQ75" s="2515">
        <f t="shared" si="102"/>
        <v>88707</v>
      </c>
      <c r="ER75" s="2515">
        <f t="shared" si="102"/>
        <v>88707</v>
      </c>
      <c r="ES75" s="2515">
        <f t="shared" si="102"/>
        <v>88748</v>
      </c>
      <c r="ET75" s="2515">
        <f t="shared" ref="ET75:EU75" si="103">SUM(ET73:ET74)</f>
        <v>92813</v>
      </c>
      <c r="EU75" s="2515">
        <f t="shared" si="103"/>
        <v>80990</v>
      </c>
      <c r="EV75" s="2515">
        <f t="shared" si="102"/>
        <v>80740</v>
      </c>
      <c r="EW75" s="2515">
        <f t="shared" si="102"/>
        <v>80740</v>
      </c>
      <c r="EX75" s="2515">
        <f t="shared" si="102"/>
        <v>80940</v>
      </c>
      <c r="EY75" s="2515">
        <f t="shared" si="102"/>
        <v>78140</v>
      </c>
      <c r="EZ75" s="2515">
        <f t="shared" si="102"/>
        <v>78340</v>
      </c>
      <c r="FA75" s="2515">
        <f t="shared" si="102"/>
        <v>77540</v>
      </c>
      <c r="FB75" s="2515">
        <f t="shared" si="102"/>
        <v>77540</v>
      </c>
      <c r="FC75" s="2515">
        <f t="shared" si="102"/>
        <v>75140</v>
      </c>
      <c r="FD75" s="2515">
        <f t="shared" si="102"/>
        <v>75222</v>
      </c>
      <c r="FE75" s="2515">
        <f t="shared" si="102"/>
        <v>72322</v>
      </c>
      <c r="FF75" s="2515">
        <f t="shared" si="102"/>
        <v>72422</v>
      </c>
      <c r="FG75" s="2515">
        <f t="shared" si="102"/>
        <v>72422</v>
      </c>
      <c r="FH75" s="2515">
        <f t="shared" ref="FH75:FL75" si="104">SUM(FH73:FH74)</f>
        <v>72522</v>
      </c>
      <c r="FI75" s="2515">
        <f t="shared" si="104"/>
        <v>69372</v>
      </c>
      <c r="FJ75" s="2515">
        <f t="shared" si="104"/>
        <v>68972</v>
      </c>
      <c r="FK75" s="2515">
        <f t="shared" si="104"/>
        <v>69072</v>
      </c>
      <c r="FL75" s="2515">
        <f t="shared" si="104"/>
        <v>69072</v>
      </c>
      <c r="FM75" s="253"/>
      <c r="FO75"/>
      <c r="FP75"/>
      <c r="FQ75"/>
      <c r="FR75"/>
      <c r="FS75"/>
      <c r="FT75"/>
      <c r="FU75" s="261"/>
      <c r="FV75" s="261"/>
      <c r="FW75" s="261"/>
      <c r="FX75" s="261"/>
    </row>
    <row r="76" spans="1:180" s="264" customFormat="1" ht="12.75" customHeight="1">
      <c r="A76" s="518" t="s">
        <v>108</v>
      </c>
      <c r="B76" s="2514"/>
      <c r="C76" s="2514"/>
      <c r="D76" s="2514"/>
      <c r="E76" s="2515"/>
      <c r="F76" s="2515"/>
      <c r="G76" s="2515"/>
      <c r="H76" s="2515"/>
      <c r="I76" s="2515"/>
      <c r="J76" s="2515"/>
      <c r="K76" s="2515"/>
      <c r="L76" s="2515"/>
      <c r="M76" s="2515"/>
      <c r="N76" s="2515"/>
      <c r="O76" s="2515"/>
      <c r="P76" s="2515"/>
      <c r="Q76" s="2515"/>
      <c r="R76" s="2515"/>
      <c r="S76" s="2515"/>
      <c r="T76" s="2515"/>
      <c r="U76" s="2515"/>
      <c r="V76" s="2515"/>
      <c r="W76" s="2515"/>
      <c r="X76" s="2515"/>
      <c r="Y76" s="2515"/>
      <c r="Z76" s="2515"/>
      <c r="AA76" s="2515"/>
      <c r="AB76" s="2515"/>
      <c r="AC76" s="2515"/>
      <c r="AD76" s="2515"/>
      <c r="AE76" s="2515"/>
      <c r="AF76" s="2515"/>
      <c r="AG76" s="2515"/>
      <c r="AH76" s="2515"/>
      <c r="AI76" s="2515"/>
      <c r="AJ76" s="2515"/>
      <c r="AK76" s="2515"/>
      <c r="AL76" s="2515"/>
      <c r="AM76" s="2515"/>
      <c r="AN76" s="2515"/>
      <c r="AO76" s="2515"/>
      <c r="AP76" s="2515"/>
      <c r="AQ76" s="2515"/>
      <c r="AR76" s="2515"/>
      <c r="AS76" s="2515"/>
      <c r="AT76" s="2515"/>
      <c r="AU76" s="2515"/>
      <c r="AV76" s="2515"/>
      <c r="AW76" s="2515"/>
      <c r="AX76" s="2515"/>
      <c r="AY76" s="2515"/>
      <c r="AZ76" s="2515"/>
      <c r="BA76" s="2515"/>
      <c r="BB76" s="2515"/>
      <c r="BC76" s="2515"/>
      <c r="BD76" s="2515"/>
      <c r="BE76" s="2515"/>
      <c r="BF76" s="2515"/>
      <c r="BG76" s="2515"/>
      <c r="BH76" s="2515"/>
      <c r="BI76" s="2515"/>
      <c r="BJ76" s="2515"/>
      <c r="BK76" s="2515"/>
      <c r="BL76" s="2515"/>
      <c r="BM76" s="2515"/>
      <c r="BN76" s="2515"/>
      <c r="BO76" s="2515"/>
      <c r="BP76" s="2515"/>
      <c r="BQ76" s="2515"/>
      <c r="BR76" s="2515"/>
      <c r="BS76" s="2515"/>
      <c r="BT76" s="2515"/>
      <c r="BU76" s="2515"/>
      <c r="BV76" s="2515"/>
      <c r="BW76" s="2515"/>
      <c r="BX76" s="2515"/>
      <c r="BY76" s="2515"/>
      <c r="BZ76" s="2515"/>
      <c r="CA76" s="2515"/>
      <c r="CB76" s="2515"/>
      <c r="CC76" s="2515"/>
      <c r="CD76" s="2515"/>
      <c r="CE76" s="2515"/>
      <c r="CF76" s="2515"/>
      <c r="CG76" s="2515"/>
      <c r="CH76" s="2515"/>
      <c r="CI76" s="2515"/>
      <c r="CJ76" s="2515"/>
      <c r="CK76" s="2515"/>
      <c r="CL76" s="2515"/>
      <c r="CM76" s="2515"/>
      <c r="CN76" s="2515"/>
      <c r="CO76" s="2515"/>
      <c r="CP76" s="2515"/>
      <c r="CQ76" s="2515"/>
      <c r="CR76" s="2515"/>
      <c r="CS76" s="2515"/>
      <c r="CT76" s="2515"/>
      <c r="CU76" s="2515"/>
      <c r="CV76" s="2515"/>
      <c r="CW76" s="1129"/>
      <c r="CX76" s="2516"/>
      <c r="CY76" s="2515"/>
      <c r="CZ76" s="2516"/>
      <c r="DA76" s="2516"/>
      <c r="DB76" s="1129"/>
      <c r="DC76" s="1129"/>
      <c r="DD76" s="2515"/>
      <c r="DE76" s="1129"/>
      <c r="DF76" s="1129"/>
      <c r="DG76" s="1129"/>
      <c r="DH76" s="1129">
        <f>(IS!DH47*4)/AVERAGE(DG73:DH73)</f>
        <v>-2.4803083626613039E-2</v>
      </c>
      <c r="DI76" s="2515"/>
      <c r="DJ76" s="1129">
        <f>(IS!DJ47*4)/AVERAGE(DI73:DJ73)</f>
        <v>-2.1681522524692846E-2</v>
      </c>
      <c r="DK76" s="1129">
        <f>(IS!DK47*4)/AVERAGE(DJ73:DK73)</f>
        <v>-2.8324154209284028E-2</v>
      </c>
      <c r="DL76" s="1129">
        <f>(IS!DL47*4)/AVERAGE(DK73:DL73)</f>
        <v>-3.113128879829519E-2</v>
      </c>
      <c r="DM76" s="1129">
        <f>(IS!DM47*4)/AVERAGE(DL73:DM73)</f>
        <v>-3.1548917603624771E-2</v>
      </c>
      <c r="DN76" s="2515"/>
      <c r="DO76" s="1129">
        <f>(IS!DO47*4)/AVERAGE(DN73:DO73)</f>
        <v>-3.1533042603153302E-2</v>
      </c>
      <c r="DP76" s="1129">
        <f>(IS!DP47*4)/AVERAGE(DO73:DP73)</f>
        <v>-3.1853807787417747E-2</v>
      </c>
      <c r="DQ76" s="1129">
        <f>(IS!DQ47*4)/AVERAGE(DP73:DQ73)</f>
        <v>-3.1839128613322165E-2</v>
      </c>
      <c r="DR76" s="1129">
        <f>(IS!DR47*4)/AVERAGE(DQ73:DR73)</f>
        <v>-3.2158110710995731E-2</v>
      </c>
      <c r="DS76" s="2515"/>
      <c r="DT76" s="1129">
        <f>(IS!DT47*4)/AVERAGE(DS73:DT73)</f>
        <v>-3.1807148238051391E-2</v>
      </c>
      <c r="DU76" s="1129">
        <f>(IS!DU47*4)/AVERAGE(DT73:DU73)</f>
        <v>-3.2137118371719335E-2</v>
      </c>
      <c r="DV76" s="1129">
        <f>(IS!DV47*4)/AVERAGE(DU73:DV73)</f>
        <v>-3.0722615650213156E-2</v>
      </c>
      <c r="DW76" s="1129">
        <f>(IS!DW47*4)/AVERAGE(DV73:DW73)</f>
        <v>-3.2220171169659341E-2</v>
      </c>
      <c r="DX76" s="2515"/>
      <c r="DY76" s="1129">
        <f>(IS!DY47*4)/AVERAGE(DX73:DY73)</f>
        <v>-2.9937840923506279E-2</v>
      </c>
      <c r="DZ76" s="1129">
        <f>(IS!DZ47*4)/AVERAGE(DY73:DZ73)</f>
        <v>-2.7757787601521536E-2</v>
      </c>
      <c r="EA76" s="1129">
        <f>(IS!EA47*4)/AVERAGE(DZ73:EA73)</f>
        <v>-3.6232614171503669E-2</v>
      </c>
      <c r="EB76" s="1129">
        <f>(IS!EB47*4)/AVERAGE(EA73:EB73)</f>
        <v>-3.6439855264319129E-2</v>
      </c>
      <c r="EC76" s="2515"/>
      <c r="ED76" s="1129">
        <f>(IS!ED47*4)/AVERAGE(EC73:ED73)</f>
        <v>-2.7779575110535963E-2</v>
      </c>
      <c r="EE76" s="1129">
        <f>(IS!EE47*4)/AVERAGE(ED73:EE73)</f>
        <v>-2.490966402706235E-2</v>
      </c>
      <c r="EF76" s="1129">
        <f>(IS!EF47*4)/AVERAGE(EE73:EF73)</f>
        <v>-2.8051050252592396E-2</v>
      </c>
      <c r="EG76" s="1129">
        <f>(IS!EG47*4)/AVERAGE(EF73:EG73)</f>
        <v>-2.9422275163787971E-2</v>
      </c>
      <c r="EH76" s="2515"/>
      <c r="EI76" s="1129">
        <f>(IS!EI47*4)/AVERAGE(EH75:EI75)</f>
        <v>-2.6970308290120364E-2</v>
      </c>
      <c r="EJ76" s="1129">
        <f>(IS!EJ47*4)/AVERAGE(EI75:EJ75)</f>
        <v>-2.9784567930984624E-2</v>
      </c>
      <c r="EK76" s="1129">
        <f>(IS!EK47*4)/AVERAGE(EJ75:EK75)</f>
        <v>-2.9948361097959769E-2</v>
      </c>
      <c r="EL76" s="1129">
        <f>(IS!EL47*4)/AVERAGE(EK75:EL75)</f>
        <v>-2.742421080871613E-2</v>
      </c>
      <c r="EM76" s="2515"/>
      <c r="EN76" s="1129">
        <f>(IS!EN47*4)/AVERAGE(EM75:EN75)</f>
        <v>-2.6898722002939163E-2</v>
      </c>
      <c r="EO76" s="1129">
        <f>(IS!EO47*4)/AVERAGE(EN75:EO75)</f>
        <v>-2.5689068586361618E-2</v>
      </c>
      <c r="EP76" s="1129">
        <f>(IS!EP47*4)/AVERAGE(EO75:EP75)</f>
        <v>-2.8272980501392757E-2</v>
      </c>
      <c r="EQ76" s="1129">
        <f>(IS!EQ47*4)/AVERAGE(EP75:EQ75)</f>
        <v>-3.002848121214205E-2</v>
      </c>
      <c r="ER76" s="2515"/>
      <c r="ES76" s="1129">
        <f>(IS!ES47*4)/AVERAGE(ER75:ES75)</f>
        <v>-3.0295004367304389E-2</v>
      </c>
      <c r="ET76" s="1129">
        <f>(IS!ET47*4)/AVERAGE(ES75:ET75)</f>
        <v>-3.0755503659926967E-2</v>
      </c>
      <c r="EU76" s="1129">
        <f>(IS!EU47*4)/AVERAGE(ET75:EU75)</f>
        <v>-3.1806125325799899E-2</v>
      </c>
      <c r="EV76" s="1129">
        <f t="shared" ref="EU76:EV76" si="105">EU76</f>
        <v>-3.1806125325799899E-2</v>
      </c>
      <c r="EW76" s="2515"/>
      <c r="EX76" s="1129">
        <f>EV76</f>
        <v>-3.1806125325799899E-2</v>
      </c>
      <c r="EY76" s="1129">
        <f>EX76</f>
        <v>-3.1806125325799899E-2</v>
      </c>
      <c r="EZ76" s="1129">
        <f t="shared" ref="EZ76:FA76" si="106">EY76</f>
        <v>-3.1806125325799899E-2</v>
      </c>
      <c r="FA76" s="1129">
        <f t="shared" si="106"/>
        <v>-3.1806125325799899E-2</v>
      </c>
      <c r="FB76" s="2515"/>
      <c r="FC76" s="1129">
        <f>FA76</f>
        <v>-3.1806125325799899E-2</v>
      </c>
      <c r="FD76" s="1129">
        <f>FC76</f>
        <v>-3.1806125325799899E-2</v>
      </c>
      <c r="FE76" s="1129">
        <f t="shared" ref="FE76:FF76" si="107">FD76</f>
        <v>-3.1806125325799899E-2</v>
      </c>
      <c r="FF76" s="1129">
        <f t="shared" si="107"/>
        <v>-3.1806125325799899E-2</v>
      </c>
      <c r="FG76" s="2515"/>
      <c r="FH76" s="1129">
        <f>FF76</f>
        <v>-3.1806125325799899E-2</v>
      </c>
      <c r="FI76" s="1129">
        <f>FH76</f>
        <v>-3.1806125325799899E-2</v>
      </c>
      <c r="FJ76" s="1129">
        <f t="shared" ref="FJ76" si="108">FI76</f>
        <v>-3.1806125325799899E-2</v>
      </c>
      <c r="FK76" s="1129">
        <f t="shared" ref="FK76" si="109">FJ76</f>
        <v>-3.1806125325799899E-2</v>
      </c>
      <c r="FL76" s="2515"/>
      <c r="FM76" s="253"/>
      <c r="FO76"/>
      <c r="FP76"/>
      <c r="FQ76"/>
      <c r="FR76"/>
      <c r="FS76"/>
      <c r="FT76"/>
      <c r="FU76" s="261"/>
      <c r="FV76" s="261"/>
      <c r="FW76" s="261"/>
      <c r="FX76" s="261"/>
    </row>
    <row r="77" spans="1:180" s="264" customFormat="1" ht="12.75" customHeight="1">
      <c r="A77" s="518"/>
      <c r="B77" s="2514"/>
      <c r="C77" s="2514"/>
      <c r="D77" s="2514"/>
      <c r="E77" s="2515"/>
      <c r="F77" s="2515"/>
      <c r="G77" s="2515"/>
      <c r="H77" s="2515"/>
      <c r="I77" s="2515"/>
      <c r="J77" s="2515"/>
      <c r="K77" s="2515"/>
      <c r="L77" s="2515"/>
      <c r="M77" s="2515"/>
      <c r="N77" s="2515"/>
      <c r="O77" s="2515"/>
      <c r="P77" s="2515"/>
      <c r="Q77" s="2515"/>
      <c r="R77" s="2515"/>
      <c r="S77" s="2515"/>
      <c r="T77" s="2515"/>
      <c r="U77" s="2515"/>
      <c r="V77" s="2515"/>
      <c r="W77" s="2515"/>
      <c r="X77" s="2515"/>
      <c r="Y77" s="2515"/>
      <c r="Z77" s="2515"/>
      <c r="AA77" s="2515"/>
      <c r="AB77" s="2515"/>
      <c r="AC77" s="2515"/>
      <c r="AD77" s="2515"/>
      <c r="AE77" s="2515"/>
      <c r="AF77" s="2515"/>
      <c r="AG77" s="2515"/>
      <c r="AH77" s="2515"/>
      <c r="AI77" s="2515"/>
      <c r="AJ77" s="2515"/>
      <c r="AK77" s="2515"/>
      <c r="AL77" s="2515"/>
      <c r="AM77" s="2515"/>
      <c r="AN77" s="2515"/>
      <c r="AO77" s="2515"/>
      <c r="AP77" s="2515"/>
      <c r="AQ77" s="2515"/>
      <c r="AR77" s="2515"/>
      <c r="AS77" s="2515"/>
      <c r="AT77" s="2515"/>
      <c r="AU77" s="2515"/>
      <c r="AV77" s="2515"/>
      <c r="AW77" s="2515"/>
      <c r="AX77" s="2515"/>
      <c r="AY77" s="2515"/>
      <c r="AZ77" s="2515"/>
      <c r="BA77" s="2515"/>
      <c r="BB77" s="2515"/>
      <c r="BC77" s="2515"/>
      <c r="BD77" s="2515"/>
      <c r="BE77" s="2515"/>
      <c r="BF77" s="2515"/>
      <c r="BG77" s="2515"/>
      <c r="BH77" s="2515"/>
      <c r="BI77" s="2515"/>
      <c r="BJ77" s="2515"/>
      <c r="BK77" s="2515"/>
      <c r="BL77" s="2515"/>
      <c r="BM77" s="2515"/>
      <c r="BN77" s="2515"/>
      <c r="BO77" s="2515"/>
      <c r="BP77" s="2515"/>
      <c r="BQ77" s="2515"/>
      <c r="BR77" s="2515"/>
      <c r="BS77" s="2515"/>
      <c r="BT77" s="2515"/>
      <c r="BU77" s="2515"/>
      <c r="BV77" s="2515"/>
      <c r="BW77" s="2515"/>
      <c r="BX77" s="2515"/>
      <c r="BY77" s="2515"/>
      <c r="BZ77" s="2515"/>
      <c r="CA77" s="2515"/>
      <c r="CB77" s="2515"/>
      <c r="CC77" s="2515"/>
      <c r="CD77" s="2515"/>
      <c r="CE77" s="2515"/>
      <c r="CF77" s="2515"/>
      <c r="CG77" s="2515"/>
      <c r="CH77" s="2515"/>
      <c r="CI77" s="2515"/>
      <c r="CJ77" s="2515"/>
      <c r="CK77" s="2515"/>
      <c r="CL77" s="2515"/>
      <c r="CM77" s="2515"/>
      <c r="CN77" s="2515"/>
      <c r="CO77" s="2515"/>
      <c r="CP77" s="2515"/>
      <c r="CQ77" s="2515"/>
      <c r="CR77" s="2515"/>
      <c r="CS77" s="2515"/>
      <c r="CT77" s="2515"/>
      <c r="CU77" s="2515"/>
      <c r="CV77" s="2515"/>
      <c r="CW77" s="1129"/>
      <c r="CX77" s="2516"/>
      <c r="CY77" s="2515"/>
      <c r="CZ77" s="2516"/>
      <c r="DA77" s="2516"/>
      <c r="DB77" s="1129"/>
      <c r="DC77" s="1129"/>
      <c r="DD77" s="2515"/>
      <c r="DE77" s="1129"/>
      <c r="DF77" s="1129"/>
      <c r="DG77" s="1129"/>
      <c r="DH77" s="1129"/>
      <c r="DI77" s="2515"/>
      <c r="DJ77" s="1129"/>
      <c r="DK77" s="1129"/>
      <c r="DL77" s="1129"/>
      <c r="DM77" s="1129"/>
      <c r="DN77" s="2515"/>
      <c r="DO77" s="1129"/>
      <c r="DP77" s="1129"/>
      <c r="DQ77" s="1129"/>
      <c r="DR77" s="1129"/>
      <c r="DS77" s="2515"/>
      <c r="DT77" s="1129"/>
      <c r="DU77" s="1129"/>
      <c r="DV77" s="1129"/>
      <c r="DW77" s="1129"/>
      <c r="DX77" s="2515"/>
      <c r="DY77" s="1129"/>
      <c r="DZ77" s="1129"/>
      <c r="EA77" s="1129"/>
      <c r="EB77" s="1129"/>
      <c r="EC77" s="2515"/>
      <c r="ED77" s="1129"/>
      <c r="EE77" s="1129"/>
      <c r="EF77" s="1129"/>
      <c r="EG77" s="1129"/>
      <c r="EH77" s="2515"/>
      <c r="EI77" s="1129"/>
      <c r="EJ77" s="1129"/>
      <c r="EK77" s="1129"/>
      <c r="EL77" s="1129"/>
      <c r="EM77" s="2515"/>
      <c r="EN77" s="1129"/>
      <c r="EO77" s="1129"/>
      <c r="EP77" s="1129"/>
      <c r="EQ77" s="1129"/>
      <c r="ER77" s="2515"/>
      <c r="ES77" s="1129"/>
      <c r="ET77" s="1129"/>
      <c r="EU77" s="1129"/>
      <c r="EV77" s="1129"/>
      <c r="EW77" s="2515"/>
      <c r="EX77" s="1129"/>
      <c r="EY77" s="1129"/>
      <c r="EZ77" s="1129"/>
      <c r="FA77" s="1129"/>
      <c r="FB77" s="2515"/>
      <c r="FC77" s="1129"/>
      <c r="FD77" s="1129"/>
      <c r="FE77" s="1129"/>
      <c r="FF77" s="1129"/>
      <c r="FG77" s="2515"/>
      <c r="FH77" s="1129"/>
      <c r="FI77" s="1129"/>
      <c r="FJ77" s="1129"/>
      <c r="FK77" s="1129"/>
      <c r="FL77" s="2515"/>
      <c r="FM77" s="253"/>
      <c r="FO77"/>
      <c r="FP77"/>
      <c r="FQ77"/>
      <c r="FR77"/>
      <c r="FS77"/>
      <c r="FT77"/>
      <c r="FU77" s="261"/>
      <c r="FV77" s="261"/>
      <c r="FW77" s="261"/>
      <c r="FX77" s="261"/>
    </row>
    <row r="78" spans="1:180" s="264" customFormat="1" ht="12.75" customHeight="1">
      <c r="A78" s="519" t="s">
        <v>1463</v>
      </c>
      <c r="B78" s="2515"/>
      <c r="C78" s="2515"/>
      <c r="D78" s="2515"/>
      <c r="E78" s="2515"/>
      <c r="F78" s="2515"/>
      <c r="G78" s="2515"/>
      <c r="H78" s="2515"/>
      <c r="I78" s="2515"/>
      <c r="J78" s="2515"/>
      <c r="K78" s="2515"/>
      <c r="L78" s="2515"/>
      <c r="M78" s="2515"/>
      <c r="N78" s="2515"/>
      <c r="O78" s="2515"/>
      <c r="P78" s="2515"/>
      <c r="Q78" s="2515"/>
      <c r="R78" s="2515"/>
      <c r="S78" s="2515"/>
      <c r="T78" s="2515"/>
      <c r="U78" s="2515"/>
      <c r="V78" s="2515"/>
      <c r="W78" s="2515"/>
      <c r="X78" s="2515"/>
      <c r="Y78" s="2515"/>
      <c r="Z78" s="2515"/>
      <c r="AA78" s="2515"/>
      <c r="AB78" s="2515"/>
      <c r="AC78" s="2515"/>
      <c r="AD78" s="2515"/>
      <c r="AE78" s="2515"/>
      <c r="AF78" s="2515"/>
      <c r="AG78" s="2515"/>
      <c r="AH78" s="2515"/>
      <c r="AI78" s="2515"/>
      <c r="AJ78" s="2515"/>
      <c r="AK78" s="2515"/>
      <c r="AL78" s="2515"/>
      <c r="AM78" s="2515"/>
      <c r="AN78" s="2515"/>
      <c r="AO78" s="2515"/>
      <c r="AP78" s="2515"/>
      <c r="AQ78" s="2515"/>
      <c r="AR78" s="2515"/>
      <c r="AS78" s="2515"/>
      <c r="AT78" s="2515"/>
      <c r="AU78" s="2515"/>
      <c r="AV78" s="2515"/>
      <c r="AW78" s="2515"/>
      <c r="AX78" s="2515"/>
      <c r="AY78" s="2515"/>
      <c r="AZ78" s="2515"/>
      <c r="BA78" s="2515"/>
      <c r="BB78" s="2515"/>
      <c r="BC78" s="2515"/>
      <c r="BD78" s="2515"/>
      <c r="BE78" s="2515"/>
      <c r="BF78" s="2515"/>
      <c r="BG78" s="2515"/>
      <c r="BH78" s="2515"/>
      <c r="BI78" s="2515"/>
      <c r="BJ78" s="2515"/>
      <c r="BK78" s="2515"/>
      <c r="BL78" s="2515"/>
      <c r="BM78" s="2515"/>
      <c r="BN78" s="2515"/>
      <c r="BO78" s="2515"/>
      <c r="BP78" s="2515"/>
      <c r="BQ78" s="2515"/>
      <c r="BR78" s="2515"/>
      <c r="BS78" s="2515"/>
      <c r="BT78" s="2515"/>
      <c r="BU78" s="2515"/>
      <c r="BV78" s="2515"/>
      <c r="BW78" s="2515"/>
      <c r="BX78" s="2515"/>
      <c r="BY78" s="2515"/>
      <c r="BZ78" s="2515"/>
      <c r="CA78" s="2515"/>
      <c r="CB78" s="2515"/>
      <c r="CC78" s="2515"/>
      <c r="CD78" s="2515"/>
      <c r="CE78" s="2515"/>
      <c r="CF78" s="2515"/>
      <c r="CG78" s="2515"/>
      <c r="CH78" s="2515"/>
      <c r="CI78" s="2515"/>
      <c r="CJ78" s="2515"/>
      <c r="CK78" s="2515"/>
      <c r="CL78" s="2515"/>
      <c r="CM78" s="2515"/>
      <c r="CN78" s="2515"/>
      <c r="CO78" s="2515"/>
      <c r="CP78" s="2515"/>
      <c r="CQ78" s="2515"/>
      <c r="CR78" s="2515"/>
      <c r="CS78" s="2515"/>
      <c r="CT78" s="2515"/>
      <c r="CU78" s="2515"/>
      <c r="CV78" s="2515"/>
      <c r="CW78" s="2515"/>
      <c r="CX78" s="2515"/>
      <c r="CY78" s="2515"/>
      <c r="CZ78" s="2515"/>
      <c r="DA78" s="2515"/>
      <c r="DB78" s="2515"/>
      <c r="DC78" s="2515"/>
      <c r="DD78" s="2515"/>
      <c r="DE78" s="2515"/>
      <c r="DF78" s="2515"/>
      <c r="DG78" s="2515"/>
      <c r="DH78" s="2515"/>
      <c r="DI78" s="2515"/>
      <c r="DJ78" s="2515"/>
      <c r="DK78" s="2515"/>
      <c r="DL78" s="2515"/>
      <c r="DM78" s="2515"/>
      <c r="DN78" s="2515"/>
      <c r="DO78" s="2515"/>
      <c r="DP78" s="2515"/>
      <c r="DQ78" s="2515"/>
      <c r="DR78" s="2515"/>
      <c r="DS78" s="2515"/>
      <c r="DT78" s="2515"/>
      <c r="DU78" s="2515"/>
      <c r="DV78" s="2515"/>
      <c r="DW78" s="2515"/>
      <c r="DX78" s="2515"/>
      <c r="DY78" s="2515"/>
      <c r="DZ78" s="2515"/>
      <c r="EA78" s="2515"/>
      <c r="EB78" s="2515"/>
      <c r="EC78" s="2515"/>
      <c r="ED78" s="2515"/>
      <c r="EE78" s="2515"/>
      <c r="EF78" s="2515"/>
      <c r="EG78" s="2515"/>
      <c r="EH78" s="2515"/>
      <c r="EI78" s="2515"/>
      <c r="EJ78" s="2515"/>
      <c r="EK78" s="2515"/>
      <c r="EL78" s="2515">
        <v>25</v>
      </c>
      <c r="EM78" s="2515">
        <f>EL78</f>
        <v>25</v>
      </c>
      <c r="EN78" s="2515">
        <v>32</v>
      </c>
      <c r="EO78" s="2515">
        <v>56</v>
      </c>
      <c r="EP78" s="2515">
        <v>86</v>
      </c>
      <c r="EQ78" s="2515">
        <v>113</v>
      </c>
      <c r="ER78" s="2515">
        <f>EQ78</f>
        <v>113</v>
      </c>
      <c r="ES78" s="2515">
        <v>146</v>
      </c>
      <c r="ET78" s="2515">
        <f>ES78+30</f>
        <v>176</v>
      </c>
      <c r="EU78" s="2515">
        <f>ET78+30</f>
        <v>206</v>
      </c>
      <c r="EV78" s="2515"/>
      <c r="EW78" s="2515"/>
      <c r="EX78" s="2515"/>
      <c r="EY78" s="2515"/>
      <c r="EZ78" s="2515"/>
      <c r="FA78" s="2515"/>
      <c r="FB78" s="2515"/>
      <c r="FC78" s="2515"/>
      <c r="FD78" s="2515"/>
      <c r="FE78" s="2515"/>
      <c r="FF78" s="2515"/>
      <c r="FG78" s="2515"/>
      <c r="FH78" s="2515"/>
      <c r="FI78" s="2515"/>
      <c r="FJ78" s="2515"/>
      <c r="FK78" s="2515"/>
      <c r="FL78" s="2515"/>
      <c r="FM78" s="2515"/>
      <c r="FN78" s="2515"/>
      <c r="FO78"/>
      <c r="FP78"/>
      <c r="FQ78"/>
      <c r="FR78"/>
      <c r="FS78"/>
      <c r="FT78"/>
      <c r="FU78" s="261"/>
      <c r="FV78" s="261"/>
      <c r="FW78" s="261"/>
      <c r="FX78" s="261"/>
    </row>
    <row r="79" spans="1:180" s="264" customFormat="1" ht="12.75" customHeight="1">
      <c r="A79" s="519" t="s">
        <v>1464</v>
      </c>
      <c r="B79" s="2515"/>
      <c r="C79" s="2515"/>
      <c r="D79" s="2515"/>
      <c r="E79" s="2515"/>
      <c r="F79" s="2515"/>
      <c r="G79" s="2515"/>
      <c r="H79" s="2515"/>
      <c r="I79" s="2515"/>
      <c r="J79" s="2515"/>
      <c r="K79" s="2515"/>
      <c r="L79" s="2515"/>
      <c r="M79" s="2515"/>
      <c r="N79" s="2515"/>
      <c r="O79" s="2515"/>
      <c r="P79" s="2515"/>
      <c r="Q79" s="2515"/>
      <c r="R79" s="2515"/>
      <c r="S79" s="2515"/>
      <c r="T79" s="2515"/>
      <c r="U79" s="2515"/>
      <c r="V79" s="2515"/>
      <c r="W79" s="2515"/>
      <c r="X79" s="2515"/>
      <c r="Y79" s="2515"/>
      <c r="Z79" s="2515"/>
      <c r="AA79" s="2515"/>
      <c r="AB79" s="2515"/>
      <c r="AC79" s="2515"/>
      <c r="AD79" s="2515"/>
      <c r="AE79" s="2515"/>
      <c r="AF79" s="2515"/>
      <c r="AG79" s="2515"/>
      <c r="AH79" s="2515"/>
      <c r="AI79" s="2515"/>
      <c r="AJ79" s="2515"/>
      <c r="AK79" s="2515"/>
      <c r="AL79" s="2515"/>
      <c r="AM79" s="2515"/>
      <c r="AN79" s="2515"/>
      <c r="AO79" s="2515"/>
      <c r="AP79" s="2515"/>
      <c r="AQ79" s="2515"/>
      <c r="AR79" s="2515"/>
      <c r="AS79" s="2515"/>
      <c r="AT79" s="2515"/>
      <c r="AU79" s="2515"/>
      <c r="AV79" s="2515"/>
      <c r="AW79" s="2515"/>
      <c r="AX79" s="2515"/>
      <c r="AY79" s="2515"/>
      <c r="AZ79" s="2515"/>
      <c r="BA79" s="2515"/>
      <c r="BB79" s="2515"/>
      <c r="BC79" s="2515"/>
      <c r="BD79" s="2515"/>
      <c r="BE79" s="2515"/>
      <c r="BF79" s="2515"/>
      <c r="BG79" s="2515"/>
      <c r="BH79" s="2515"/>
      <c r="BI79" s="2515"/>
      <c r="BJ79" s="2515"/>
      <c r="BK79" s="2515"/>
      <c r="BL79" s="2515"/>
      <c r="BM79" s="2515"/>
      <c r="BN79" s="2515"/>
      <c r="BO79" s="2515"/>
      <c r="BP79" s="2515"/>
      <c r="BQ79" s="2515"/>
      <c r="BR79" s="2515"/>
      <c r="BS79" s="2515"/>
      <c r="BT79" s="2515"/>
      <c r="BU79" s="2515"/>
      <c r="BV79" s="2515"/>
      <c r="BW79" s="2515"/>
      <c r="BX79" s="2515"/>
      <c r="BY79" s="2515"/>
      <c r="BZ79" s="2515"/>
      <c r="CA79" s="2515"/>
      <c r="CB79" s="2515"/>
      <c r="CC79" s="2515"/>
      <c r="CD79" s="2515"/>
      <c r="CE79" s="2515"/>
      <c r="CF79" s="2515"/>
      <c r="CG79" s="2515"/>
      <c r="CH79" s="2515"/>
      <c r="CI79" s="2515"/>
      <c r="CJ79" s="2515"/>
      <c r="CK79" s="2515"/>
      <c r="CL79" s="2515"/>
      <c r="CM79" s="2515"/>
      <c r="CN79" s="2515"/>
      <c r="CO79" s="2515"/>
      <c r="CP79" s="2515"/>
      <c r="CQ79" s="2515"/>
      <c r="CR79" s="2515"/>
      <c r="CS79" s="2515"/>
      <c r="CT79" s="2515"/>
      <c r="CU79" s="2515"/>
      <c r="CV79" s="2515"/>
      <c r="CW79" s="2515"/>
      <c r="CX79" s="2515"/>
      <c r="CY79" s="2515"/>
      <c r="CZ79" s="2515"/>
      <c r="DA79" s="2515"/>
      <c r="DB79" s="2515"/>
      <c r="DC79" s="2515"/>
      <c r="DD79" s="2515"/>
      <c r="DE79" s="2515"/>
      <c r="DF79" s="2515"/>
      <c r="DG79" s="2515"/>
      <c r="DH79" s="2515"/>
      <c r="DI79" s="2515"/>
      <c r="DJ79" s="2515"/>
      <c r="DK79" s="2515"/>
      <c r="DL79" s="2515"/>
      <c r="DM79" s="2515"/>
      <c r="DN79" s="2515"/>
      <c r="DO79" s="2515"/>
      <c r="DP79" s="2515"/>
      <c r="DQ79" s="2515"/>
      <c r="DR79" s="2515"/>
      <c r="DS79" s="2515"/>
      <c r="DT79" s="2515"/>
      <c r="DU79" s="2515"/>
      <c r="DV79" s="2515"/>
      <c r="DW79" s="2515"/>
      <c r="DX79" s="2515"/>
      <c r="DY79" s="2515"/>
      <c r="DZ79" s="2515"/>
      <c r="EA79" s="2515"/>
      <c r="EB79" s="2515"/>
      <c r="EC79" s="2515"/>
      <c r="ED79" s="2515"/>
      <c r="EE79" s="2515"/>
      <c r="EF79" s="2515"/>
      <c r="EG79" s="2515"/>
      <c r="EH79" s="2515"/>
      <c r="EI79" s="2515"/>
      <c r="EJ79" s="2515"/>
      <c r="EK79" s="2515"/>
      <c r="EL79" s="2515">
        <v>761</v>
      </c>
      <c r="EM79" s="2515">
        <f>EL79</f>
        <v>761</v>
      </c>
      <c r="EN79" s="2515">
        <v>1000</v>
      </c>
      <c r="EO79" s="2515">
        <v>1500</v>
      </c>
      <c r="EP79" s="2515">
        <v>1700</v>
      </c>
      <c r="EQ79" s="2515">
        <v>2400</v>
      </c>
      <c r="ER79" s="2515">
        <f>EQ79</f>
        <v>2400</v>
      </c>
      <c r="ES79" s="2515">
        <v>3127</v>
      </c>
      <c r="ET79" s="2515">
        <f>ES79+250</f>
        <v>3377</v>
      </c>
      <c r="EU79" s="2515">
        <f>ET79+250</f>
        <v>3627</v>
      </c>
      <c r="EV79" s="2515"/>
      <c r="EW79" s="2515"/>
      <c r="EX79" s="2515"/>
      <c r="EY79" s="2515"/>
      <c r="EZ79" s="2515"/>
      <c r="FA79" s="2515"/>
      <c r="FB79" s="2515"/>
      <c r="FC79" s="2515"/>
      <c r="FD79" s="2515"/>
      <c r="FE79" s="2515"/>
      <c r="FF79" s="2515"/>
      <c r="FG79" s="2515"/>
      <c r="FH79" s="2515"/>
      <c r="FI79" s="2515"/>
      <c r="FJ79" s="2515"/>
      <c r="FK79" s="2515"/>
      <c r="FL79" s="2515"/>
      <c r="FM79" s="2515"/>
      <c r="FN79" s="2515"/>
      <c r="FO79"/>
      <c r="FP79"/>
      <c r="FQ79"/>
      <c r="FR79"/>
      <c r="FS79"/>
      <c r="FT79"/>
      <c r="FU79" s="261"/>
      <c r="FV79" s="261"/>
      <c r="FW79" s="261"/>
      <c r="FX79" s="261"/>
    </row>
    <row r="80" spans="1:180" s="264" customFormat="1" ht="12.75" customHeight="1">
      <c r="A80" s="518"/>
      <c r="B80" s="2515"/>
      <c r="C80" s="2515"/>
      <c r="D80" s="2515"/>
      <c r="E80" s="2515"/>
      <c r="F80" s="2515"/>
      <c r="G80" s="2515"/>
      <c r="H80" s="2515"/>
      <c r="I80" s="2515"/>
      <c r="J80" s="2515"/>
      <c r="K80" s="2515"/>
      <c r="L80" s="2515"/>
      <c r="M80" s="2515"/>
      <c r="N80" s="2515"/>
      <c r="O80" s="2515"/>
      <c r="P80" s="2515"/>
      <c r="Q80" s="2515"/>
      <c r="R80" s="2515"/>
      <c r="S80" s="2515"/>
      <c r="T80" s="2515"/>
      <c r="U80" s="2515"/>
      <c r="V80" s="2515"/>
      <c r="W80" s="2515"/>
      <c r="X80" s="2515"/>
      <c r="Y80" s="2515"/>
      <c r="Z80" s="2515"/>
      <c r="AA80" s="2515"/>
      <c r="AB80" s="2515"/>
      <c r="AC80" s="2515"/>
      <c r="AD80" s="2515"/>
      <c r="AE80" s="2515"/>
      <c r="AF80" s="2515"/>
      <c r="AG80" s="2515"/>
      <c r="AH80" s="2515"/>
      <c r="AI80" s="2515"/>
      <c r="AJ80" s="2515"/>
      <c r="AK80" s="2515"/>
      <c r="AL80" s="2515"/>
      <c r="AM80" s="2515"/>
      <c r="AN80" s="2515"/>
      <c r="AO80" s="2515"/>
      <c r="AP80" s="2515"/>
      <c r="AQ80" s="2515"/>
      <c r="AR80" s="2515"/>
      <c r="AS80" s="2515"/>
      <c r="AT80" s="2515"/>
      <c r="AU80" s="2515"/>
      <c r="AV80" s="2515"/>
      <c r="AW80" s="2515"/>
      <c r="AX80" s="2515"/>
      <c r="AY80" s="2515"/>
      <c r="AZ80" s="2515"/>
      <c r="BA80" s="2515"/>
      <c r="BB80" s="2515"/>
      <c r="BC80" s="2515"/>
      <c r="BD80" s="2515"/>
      <c r="BE80" s="2515"/>
      <c r="BF80" s="2515"/>
      <c r="BG80" s="2515"/>
      <c r="BH80" s="2515"/>
      <c r="BI80" s="2515"/>
      <c r="BJ80" s="2515"/>
      <c r="BK80" s="2515"/>
      <c r="BL80" s="2515"/>
      <c r="BM80" s="2515"/>
      <c r="BN80" s="2515"/>
      <c r="BO80" s="2515"/>
      <c r="BP80" s="2515"/>
      <c r="BQ80" s="2515"/>
      <c r="BR80" s="2515"/>
      <c r="BS80" s="2515"/>
      <c r="BT80" s="2515"/>
      <c r="BU80" s="2515"/>
      <c r="BV80" s="2515"/>
      <c r="BW80" s="2515"/>
      <c r="BX80" s="2515"/>
      <c r="BY80" s="2515"/>
      <c r="BZ80" s="2515"/>
      <c r="CA80" s="2515"/>
      <c r="CB80" s="2515"/>
      <c r="CC80" s="2515"/>
      <c r="CD80" s="2515"/>
      <c r="CE80" s="2515"/>
      <c r="CF80" s="2515"/>
      <c r="CG80" s="2515"/>
      <c r="CH80" s="2515"/>
      <c r="CI80" s="2515"/>
      <c r="CJ80" s="2515"/>
      <c r="CK80" s="2515"/>
      <c r="CL80" s="2515"/>
      <c r="CM80" s="2515"/>
      <c r="CN80" s="2515"/>
      <c r="CO80" s="2515"/>
      <c r="CP80" s="2515"/>
      <c r="CQ80" s="2515"/>
      <c r="CR80" s="2515"/>
      <c r="CS80" s="2515"/>
      <c r="CT80" s="2515"/>
      <c r="CU80" s="2515"/>
      <c r="CV80" s="2515"/>
      <c r="CW80" s="2515"/>
      <c r="CX80" s="2515"/>
      <c r="CY80" s="2515"/>
      <c r="CZ80" s="2515"/>
      <c r="DA80" s="2515"/>
      <c r="DB80" s="2515"/>
      <c r="DC80" s="2515"/>
      <c r="DD80" s="2515"/>
      <c r="DE80" s="2515"/>
      <c r="DF80" s="2515"/>
      <c r="DG80" s="2515"/>
      <c r="DH80" s="2515"/>
      <c r="DI80" s="2515"/>
      <c r="DJ80" s="2515"/>
      <c r="DK80" s="2515"/>
      <c r="DL80" s="2515"/>
      <c r="DM80" s="2515"/>
      <c r="DN80" s="2515"/>
      <c r="DO80" s="2515"/>
      <c r="DP80" s="2515"/>
      <c r="DQ80" s="2515"/>
      <c r="DR80" s="2515"/>
      <c r="DS80" s="2515"/>
      <c r="DT80" s="2515"/>
      <c r="DU80" s="2515"/>
      <c r="DV80" s="2515"/>
      <c r="DW80" s="2515"/>
      <c r="DX80" s="2515"/>
      <c r="DY80" s="2515"/>
      <c r="DZ80" s="2515"/>
      <c r="EA80" s="2515"/>
      <c r="EB80" s="2515"/>
      <c r="EC80" s="2515"/>
      <c r="ED80" s="2515"/>
      <c r="EE80" s="2515"/>
      <c r="EF80" s="2515"/>
      <c r="EG80" s="2515"/>
      <c r="EH80" s="2515"/>
      <c r="EI80" s="2515"/>
      <c r="EJ80" s="2515"/>
      <c r="EK80" s="2515"/>
      <c r="EL80" s="2515"/>
      <c r="EM80" s="2515"/>
      <c r="EN80" s="2515"/>
      <c r="EO80" s="2515"/>
      <c r="EP80" s="2515"/>
      <c r="EQ80" s="2515"/>
      <c r="ER80" s="2515"/>
      <c r="ES80" s="2515"/>
      <c r="ET80" s="2515"/>
      <c r="EU80" s="2515"/>
      <c r="EV80" s="2515"/>
      <c r="EW80" s="2515"/>
      <c r="EX80" s="2515"/>
      <c r="EY80" s="2515"/>
      <c r="EZ80" s="2515"/>
      <c r="FA80" s="2515"/>
      <c r="FB80" s="2515"/>
      <c r="FC80" s="2515"/>
      <c r="FD80" s="2515"/>
      <c r="FE80" s="2515"/>
      <c r="FF80" s="2515"/>
      <c r="FG80" s="2515"/>
      <c r="FH80" s="2515"/>
      <c r="FI80" s="2515"/>
      <c r="FJ80" s="2515"/>
      <c r="FK80" s="2515"/>
      <c r="FL80" s="2515"/>
      <c r="FM80" s="2515"/>
      <c r="FN80" s="2515"/>
      <c r="FO80"/>
      <c r="FP80"/>
      <c r="FQ80"/>
      <c r="FR80"/>
      <c r="FS80"/>
      <c r="FT80"/>
      <c r="FU80" s="261"/>
      <c r="FV80" s="261"/>
      <c r="FW80" s="261"/>
      <c r="FX80" s="261"/>
    </row>
    <row r="81" spans="1:180" s="264" customFormat="1" ht="12.75" customHeight="1">
      <c r="A81" s="519" t="s">
        <v>645</v>
      </c>
      <c r="B81" s="2514"/>
      <c r="C81" s="2514"/>
      <c r="D81" s="2514"/>
      <c r="E81" s="2515"/>
      <c r="F81" s="2515"/>
      <c r="G81" s="2515"/>
      <c r="H81" s="2515"/>
      <c r="I81" s="2515"/>
      <c r="J81" s="2515"/>
      <c r="K81" s="2515"/>
      <c r="L81" s="2515"/>
      <c r="M81" s="2515"/>
      <c r="N81" s="2515"/>
      <c r="O81" s="2515"/>
      <c r="P81" s="2515"/>
      <c r="Q81" s="2515"/>
      <c r="R81" s="2515"/>
      <c r="S81" s="2515"/>
      <c r="T81" s="2515"/>
      <c r="U81" s="2515"/>
      <c r="V81" s="2515"/>
      <c r="W81" s="2515"/>
      <c r="X81" s="2515"/>
      <c r="Y81" s="2515"/>
      <c r="Z81" s="2515"/>
      <c r="AA81" s="2515"/>
      <c r="AB81" s="2515"/>
      <c r="AC81" s="2515"/>
      <c r="AD81" s="2515"/>
      <c r="AE81" s="2515"/>
      <c r="AF81" s="2515"/>
      <c r="AG81" s="2515"/>
      <c r="AH81" s="2515"/>
      <c r="AI81" s="2515"/>
      <c r="AJ81" s="2515"/>
      <c r="AK81" s="2515"/>
      <c r="AL81" s="2515"/>
      <c r="AM81" s="2515"/>
      <c r="AN81" s="2515"/>
      <c r="AO81" s="2515"/>
      <c r="AP81" s="2515"/>
      <c r="AQ81" s="2515"/>
      <c r="AR81" s="2515"/>
      <c r="AS81" s="2515"/>
      <c r="AT81" s="2515"/>
      <c r="AU81" s="2515"/>
      <c r="AV81" s="2515"/>
      <c r="AW81" s="2515"/>
      <c r="AX81" s="2515"/>
      <c r="AY81" s="2515"/>
      <c r="AZ81" s="2515"/>
      <c r="BA81" s="2515"/>
      <c r="BB81" s="2515"/>
      <c r="BC81" s="2515"/>
      <c r="BD81" s="2515"/>
      <c r="BE81" s="2515"/>
      <c r="BF81" s="2515"/>
      <c r="BG81" s="2515"/>
      <c r="BH81" s="2515"/>
      <c r="BI81" s="2515"/>
      <c r="BJ81" s="2515"/>
      <c r="BK81" s="2515"/>
      <c r="BL81" s="2515"/>
      <c r="BM81" s="2515"/>
      <c r="BN81" s="2515"/>
      <c r="BO81" s="2515"/>
      <c r="BP81" s="2515"/>
      <c r="BQ81" s="2515"/>
      <c r="BR81" s="2515"/>
      <c r="BS81" s="2515"/>
      <c r="BT81" s="2515"/>
      <c r="BU81" s="2515"/>
      <c r="BV81" s="2515"/>
      <c r="BW81" s="2515"/>
      <c r="BX81" s="2515"/>
      <c r="BY81" s="2515"/>
      <c r="BZ81" s="2515"/>
      <c r="CA81" s="363">
        <f>-IS!CA48/(BS!BY8+BS!BY9)*4</f>
        <v>-3.9471538085141089E-2</v>
      </c>
      <c r="CB81" s="363">
        <f>-IS!CB48/(BS!CA8+BS!CA9)*4</f>
        <v>-4.0370384719693155E-2</v>
      </c>
      <c r="CC81" s="363">
        <f>-IS!CC48/(BS!CB8+BS!CB9)*4</f>
        <v>-3.7895295299088617E-2</v>
      </c>
      <c r="CD81" s="363">
        <f>-IS!CD48/(BS!CC8+BS!CC9)*4</f>
        <v>-2.7443402414593934E-2</v>
      </c>
      <c r="CE81" s="363"/>
      <c r="CF81" s="363">
        <f>-IS!CF48/(BS!CD8+BS!CD9)*4</f>
        <v>-2.7132294692368629E-2</v>
      </c>
      <c r="CG81" s="363">
        <f>-IS!CG48/(BS!CF8+BS!CF9)*4</f>
        <v>-2.347279360397423E-2</v>
      </c>
      <c r="CH81" s="363">
        <f>-IS!CH48/(BS!CG8+BS!CG9)*4</f>
        <v>-3.6749362392766056E-2</v>
      </c>
      <c r="CI81" s="363">
        <f>-IS!CI48/(BS!CH8+BS!CH9)*4</f>
        <v>-3.7665584933766025E-2</v>
      </c>
      <c r="CJ81" s="363"/>
      <c r="CK81" s="363">
        <f>-IS!CK48/(BS!CI8+BS!CI9)*4</f>
        <v>-3.9840004238298324E-2</v>
      </c>
      <c r="CL81" s="363">
        <f>-IS!CL48/(BS!CK8+BS!CK9)*4</f>
        <v>-3.8146594767325744E-2</v>
      </c>
      <c r="CM81" s="363">
        <f>-IS!CM48/(BS!CL8+BS!CL9)*4</f>
        <v>-4.2534797268090258E-2</v>
      </c>
      <c r="CN81" s="363">
        <f>-IS!CN48/(BS!CM8+BS!CM9)*4</f>
        <v>-4.400275735294118E-2</v>
      </c>
      <c r="CO81" s="363"/>
      <c r="CP81" s="363">
        <f>-IS!CP48/(BS!CN8+BS!CN9)*4</f>
        <v>-4.3207166066567139E-2</v>
      </c>
      <c r="CQ81" s="363">
        <f>-IS!CQ48/(BS!CP8+BS!CP9)*4</f>
        <v>-3.9708469464689623E-2</v>
      </c>
      <c r="CR81" s="363">
        <f>-IS!CR48/(BS!CQ8+BS!CQ9)*4</f>
        <v>-4.6133065493713848E-2</v>
      </c>
      <c r="CS81" s="363">
        <f>-IS!CS48/(BS!CR8+BS!CR9)*4</f>
        <v>-4.2640600651650373E-2</v>
      </c>
      <c r="CT81" s="363"/>
      <c r="CU81" s="363">
        <f>-IS!CU48/(BS!CS8+BS!CS9)*4</f>
        <v>-4.0835504677288456E-2</v>
      </c>
      <c r="CV81" s="363">
        <f>-IS!CV48/(BS!CU8+BS!CU9)*4</f>
        <v>-6.2853434689904508E-2</v>
      </c>
      <c r="CW81" s="363">
        <f>-IS!CW48/(BS!CV8+BS!CV9)*4</f>
        <v>-4.2892389447713036E-2</v>
      </c>
      <c r="CX81" s="363">
        <f>-IS!CX48/(BS!CW8+BS!CW9)*4</f>
        <v>-3.2952431570555406E-2</v>
      </c>
      <c r="CY81" s="363"/>
      <c r="CZ81" s="363">
        <f>IS!CZ48/(BS!CY8+BS!CY9)*4</f>
        <v>3.4992815484743471E-2</v>
      </c>
      <c r="DA81" s="363">
        <f>IS!DA48/(BS!CZ8+BS!CZ9)*4</f>
        <v>3.3780523115529391E-2</v>
      </c>
      <c r="DB81" s="363">
        <f>IS!DB48/(BS!DA8+BS!DA9)*4</f>
        <v>3.1667873521602705E-2</v>
      </c>
      <c r="DC81" s="363">
        <f>IS!DC48/(BS!DB8+BS!DB9)*4</f>
        <v>2.5256511444356748E-2</v>
      </c>
      <c r="DD81" s="363"/>
      <c r="DE81" s="363">
        <f>IS!DE48/(BS!DD8+BS!DD9)*4</f>
        <v>2.0987693579673738E-2</v>
      </c>
      <c r="DF81" s="363">
        <f>IS!DF48/(BS!DE8+BS!DE9)*4</f>
        <v>1.7316488782400347E-2</v>
      </c>
      <c r="DG81" s="363">
        <f>IS!DG48/(BS!DF8+BS!DF9)*4</f>
        <v>1.83938613257985E-2</v>
      </c>
      <c r="DH81" s="363">
        <f>IS!DH48/(BS!DG8+BS!DG9)*4</f>
        <v>2.4101245399082337E-2</v>
      </c>
      <c r="DI81" s="363"/>
      <c r="DJ81" s="363">
        <f>IS!DJ48/(BS!DI8+BS!DI9)*4</f>
        <v>2.2833532673697945E-2</v>
      </c>
      <c r="DK81" s="363">
        <f>IS!DK48/(BS!DJ8+BS!DJ9)*4</f>
        <v>1.8563375817807259E-2</v>
      </c>
      <c r="DL81" s="363">
        <f>IS!DL48/(BS!DK8+BS!DK9)*4</f>
        <v>2.0944439057500243E-2</v>
      </c>
      <c r="DM81" s="363">
        <f>IS!DM48/(BS!DL8+BS!DL9)*4</f>
        <v>2.1455633100697907E-2</v>
      </c>
      <c r="DN81" s="363"/>
      <c r="DO81" s="363">
        <f>IS!DO48/(BS!DN8+BS!DN9)*4</f>
        <v>1.5993329796103996E-2</v>
      </c>
      <c r="DP81" s="363">
        <f>IS!DP48/(BS!DO8+BS!DO9)*4</f>
        <v>1.2682263993171088E-2</v>
      </c>
      <c r="DQ81" s="363">
        <f>IS!DQ48/(BS!DP8+BS!DP9)*4</f>
        <v>1.3916808411937528E-2</v>
      </c>
      <c r="DR81" s="363">
        <f>IS!DR48/(BS!DQ8+BS!DQ9)*4</f>
        <v>1.5253069932301903E-2</v>
      </c>
      <c r="DS81" s="363"/>
      <c r="DT81" s="363">
        <f>IS!DT48/(BS!DS8+BS!DS9)*4</f>
        <v>1.0088832487309645E-2</v>
      </c>
      <c r="DU81" s="363">
        <f>IS!DU48/(BS!DT8+BS!DT9)*4</f>
        <v>9.963387551767601E-3</v>
      </c>
      <c r="DV81" s="363">
        <f>IS!DV48/(BS!DU8+BS!DU9)*4</f>
        <v>8.78322988640356E-3</v>
      </c>
      <c r="DW81" s="363">
        <f>IS!DW48/(BS!DV8+BS!DV9)*4</f>
        <v>1.0848112992226414E-2</v>
      </c>
      <c r="DX81" s="363"/>
      <c r="DY81" s="363">
        <f>IS!DY48/(BS!DX8+BS!DX9)*4</f>
        <v>9.2960452857625102E-3</v>
      </c>
      <c r="DZ81" s="363">
        <f>IS!DZ48/(BS!DY8+BS!DY9)*4</f>
        <v>1.0858786195953986E-2</v>
      </c>
      <c r="EA81" s="363">
        <f>IS!EA48/(BS!DZ8+BS!DZ9)*4</f>
        <v>0.01</v>
      </c>
      <c r="EB81" s="363">
        <f>IS!EB48/(BS!EA8+BS!EA9)*4</f>
        <v>0.01</v>
      </c>
      <c r="EC81" s="363"/>
      <c r="ED81" s="363">
        <f>IS!ED48/(BS!EC8+BS!EC9)*4</f>
        <v>1.0500647539931629E-2</v>
      </c>
      <c r="EE81" s="363">
        <f>IS!EE48/(BS!ED8+BS!ED9)*4</f>
        <v>8.206922067875282E-3</v>
      </c>
      <c r="EF81" s="363">
        <f>IS!EF48/(BS!EE8+BS!EE9)*4</f>
        <v>7.0914913184633626E-3</v>
      </c>
      <c r="EG81" s="363">
        <f>IS!EG48/(BS!EF8+BS!EF9)*4</f>
        <v>8.298581277897692E-3</v>
      </c>
      <c r="EH81" s="363"/>
      <c r="EI81" s="363">
        <f>IS!EI48/(BS!EH8+BS!EH9)*4</f>
        <v>8.2464828129208707E-3</v>
      </c>
      <c r="EJ81" s="363">
        <f>IS!EJ48/(BS!EI8+BS!EI9)*4</f>
        <v>8.051934980625031E-3</v>
      </c>
      <c r="EK81" s="363">
        <f>IS!EK48/(BS!EJ8+BS!EJ9)*4</f>
        <v>8.9633671083398283E-3</v>
      </c>
      <c r="EL81" s="363">
        <f>IS!EL48/(BS!EK8+BS!EK9)*4</f>
        <v>1.0383507654994694E-2</v>
      </c>
      <c r="EM81" s="363"/>
      <c r="EN81" s="363">
        <f>IS!EN48/(BS!EM8+BS!EM9)*4</f>
        <v>1.0349699752737548E-2</v>
      </c>
      <c r="EO81" s="363">
        <f>IS!EO48/(BS!EN8+BS!EN9)*4</f>
        <v>9.0848012152017054E-3</v>
      </c>
      <c r="EP81" s="363">
        <f>IS!EP48/(BS!EO8+BS!EO9)*4</f>
        <v>1.2379765598911885E-2</v>
      </c>
      <c r="EQ81" s="363">
        <f>IS!EQ48/(BS!EP8+BS!EP9)*4</f>
        <v>1.279182339030932E-2</v>
      </c>
      <c r="ER81" s="363"/>
      <c r="ES81" s="363">
        <f>IS!ES48/(BS!ER8+BS!ER9)*4</f>
        <v>1.4227596423549229E-2</v>
      </c>
      <c r="ET81" s="363">
        <f>IS!ET48/(BS!ES8+BS!ES9)*4</f>
        <v>1.531006492334135E-2</v>
      </c>
      <c r="EU81" s="363">
        <f>IS!EU48/(BS!ET8+BS!ET9)*4</f>
        <v>1.6108698697296541E-2</v>
      </c>
      <c r="EV81" s="1129">
        <f>EU81+0.001</f>
        <v>1.7108698697296542E-2</v>
      </c>
      <c r="EW81" s="2515"/>
      <c r="EX81" s="1129">
        <f>EV81+0.0005</f>
        <v>1.7608698697296542E-2</v>
      </c>
      <c r="EY81" s="1129">
        <f>EX81+0.00025</f>
        <v>1.7858698697296543E-2</v>
      </c>
      <c r="EZ81" s="1129">
        <f t="shared" ref="EZ81:FA81" si="110">EY81+0.00025</f>
        <v>1.8108698697296543E-2</v>
      </c>
      <c r="FA81" s="1129">
        <f t="shared" si="110"/>
        <v>1.8358698697296543E-2</v>
      </c>
      <c r="FB81" s="363"/>
      <c r="FC81" s="1129">
        <f>FA81+0.00075</f>
        <v>1.9108698697296544E-2</v>
      </c>
      <c r="FD81" s="1129">
        <f>FC81+0.00075</f>
        <v>1.9858698697296544E-2</v>
      </c>
      <c r="FE81" s="1129">
        <f t="shared" ref="FE81:FF81" si="111">FD81+0.00075</f>
        <v>2.0608698697296545E-2</v>
      </c>
      <c r="FF81" s="1129">
        <f t="shared" si="111"/>
        <v>2.1358698697296546E-2</v>
      </c>
      <c r="FG81" s="363"/>
      <c r="FH81" s="1129">
        <f>FF81+0.00075</f>
        <v>2.2108698697296546E-2</v>
      </c>
      <c r="FI81" s="1129">
        <f>FH81+0.00075</f>
        <v>2.2858698697296547E-2</v>
      </c>
      <c r="FJ81" s="1129">
        <f t="shared" ref="FJ81:FK81" si="112">FI81+0.00075</f>
        <v>2.3608698697296548E-2</v>
      </c>
      <c r="FK81" s="1129">
        <f t="shared" si="112"/>
        <v>2.4358698697296548E-2</v>
      </c>
      <c r="FL81" s="363"/>
      <c r="FM81" s="253"/>
      <c r="FO81"/>
      <c r="FP81"/>
      <c r="FQ81"/>
      <c r="FR81"/>
      <c r="FS81"/>
      <c r="FT81"/>
      <c r="FU81" s="261"/>
      <c r="FV81" s="261"/>
      <c r="FW81" s="261"/>
      <c r="FX81" s="261"/>
    </row>
    <row r="82" spans="1:180" s="264" customFormat="1" ht="12.75" customHeight="1" thickBot="1">
      <c r="A82" s="520" t="s">
        <v>646</v>
      </c>
      <c r="B82" s="2517"/>
      <c r="C82" s="2517"/>
      <c r="D82" s="2517"/>
      <c r="E82" s="2518"/>
      <c r="F82" s="2518"/>
      <c r="G82" s="2518"/>
      <c r="H82" s="2518"/>
      <c r="I82" s="2518"/>
      <c r="J82" s="2518"/>
      <c r="K82" s="2518"/>
      <c r="L82" s="2518"/>
      <c r="M82" s="2518"/>
      <c r="N82" s="2518"/>
      <c r="O82" s="2518"/>
      <c r="P82" s="2518"/>
      <c r="Q82" s="2518"/>
      <c r="R82" s="2518"/>
      <c r="S82" s="2518"/>
      <c r="T82" s="2518"/>
      <c r="U82" s="2518"/>
      <c r="V82" s="2518"/>
      <c r="W82" s="2518"/>
      <c r="X82" s="2518"/>
      <c r="Y82" s="2518"/>
      <c r="Z82" s="2518"/>
      <c r="AA82" s="2518"/>
      <c r="AB82" s="2518"/>
      <c r="AC82" s="2518"/>
      <c r="AD82" s="2518"/>
      <c r="AE82" s="2518"/>
      <c r="AF82" s="2518"/>
      <c r="AG82" s="2518"/>
      <c r="AH82" s="2518"/>
      <c r="AI82" s="2518"/>
      <c r="AJ82" s="2518"/>
      <c r="AK82" s="2518"/>
      <c r="AL82" s="2518"/>
      <c r="AM82" s="2518"/>
      <c r="AN82" s="2518"/>
      <c r="AO82" s="2518"/>
      <c r="AP82" s="2518"/>
      <c r="AQ82" s="2518"/>
      <c r="AR82" s="2518"/>
      <c r="AS82" s="2518"/>
      <c r="AT82" s="2518"/>
      <c r="AU82" s="2518"/>
      <c r="AV82" s="2518"/>
      <c r="AW82" s="2518"/>
      <c r="AX82" s="2518"/>
      <c r="AY82" s="2518"/>
      <c r="AZ82" s="2518"/>
      <c r="BA82" s="2518"/>
      <c r="BB82" s="2518"/>
      <c r="BC82" s="2518"/>
      <c r="BD82" s="2518"/>
      <c r="BE82" s="2518"/>
      <c r="BF82" s="2518"/>
      <c r="BG82" s="2518"/>
      <c r="BH82" s="2518"/>
      <c r="BI82" s="2518"/>
      <c r="BJ82" s="2518"/>
      <c r="BK82" s="2518"/>
      <c r="BL82" s="2518"/>
      <c r="BM82" s="2518"/>
      <c r="BN82" s="2518"/>
      <c r="BO82" s="2518"/>
      <c r="BP82" s="2518"/>
      <c r="BQ82" s="2518"/>
      <c r="BR82" s="2518"/>
      <c r="BS82" s="2518"/>
      <c r="BT82" s="2518"/>
      <c r="BU82" s="2518"/>
      <c r="BV82" s="2518"/>
      <c r="BW82" s="2518"/>
      <c r="BX82" s="2518"/>
      <c r="BY82" s="2518"/>
      <c r="BZ82" s="2518"/>
      <c r="CA82" s="522">
        <f>-IS!CA48/AVERAGE(BS!CA8+BS!CA9,BS!BY8+BS!BY9)*4</f>
        <v>-3.8462302572762494E-2</v>
      </c>
      <c r="CB82" s="522">
        <f>-IS!CB48/AVERAGE(BS!CB8+BS!CB9,BS!CA8+BS!CA9)*4</f>
        <v>-3.9923754058946923E-2</v>
      </c>
      <c r="CC82" s="522">
        <f>-IS!CC48/AVERAGE(BS!CC8+BS!CC9,BS!CB8+BS!CB9)*4</f>
        <v>-3.6635404454865184E-2</v>
      </c>
      <c r="CD82" s="522">
        <f>-IS!CD48/AVERAGE(BS!CD8+BS!CD9,BS!CC8+BS!CC9)*4</f>
        <v>-2.6461764630466927E-2</v>
      </c>
      <c r="CE82" s="522"/>
      <c r="CF82" s="522">
        <f>-IS!CF48/AVERAGE(BS!CF8+BS!CF9,BS!CD8+BS!CD9)*4</f>
        <v>-2.6302527058484723E-2</v>
      </c>
      <c r="CG82" s="522">
        <f>-IS!CG48/AVERAGE(BS!CG8+BS!CG9,BS!CF8+BS!CF9)*4</f>
        <v>-3.0570466745519061E-2</v>
      </c>
      <c r="CH82" s="522">
        <f>-IS!CH48/AVERAGE(BS!CH8+BS!CH9,BS!CG8+BS!CG9)*4</f>
        <v>-3.5174346029016063E-2</v>
      </c>
      <c r="CI82" s="522">
        <f>-IS!CI48/AVERAGE(BS!CI8+BS!CI9,BS!CH8+BS!CH9)*4</f>
        <v>-3.7587099343022096E-2</v>
      </c>
      <c r="CJ82" s="522"/>
      <c r="CK82" s="522">
        <f>-IS!CK48/AVERAGE(BS!CK8+BS!CK9,BS!CI8+BS!CI9)*4</f>
        <v>-3.8659760689912219E-2</v>
      </c>
      <c r="CL82" s="522">
        <f>-IS!CL48/AVERAGE(BS!CL8+BS!CL9,BS!CK8+BS!CK9)*4</f>
        <v>-4.0879114999264284E-2</v>
      </c>
      <c r="CM82" s="522">
        <f>-IS!CM48/AVERAGE(BS!CM8+BS!CM9,BS!CL8+BS!CL9)*4</f>
        <v>-4.246443316023419E-2</v>
      </c>
      <c r="CN82" s="522">
        <f>-IS!CN48/AVERAGE(BS!CN8+BS!CN9,BS!CM8+BS!CM9)*4</f>
        <v>-4.4420603969439088E-2</v>
      </c>
      <c r="CO82" s="522"/>
      <c r="CP82" s="522">
        <f>-IS!CP48/AVERAGE(BS!CP8+BS!CP9,BS!CN8+BS!CN9)*4</f>
        <v>-4.4732017032109467E-2</v>
      </c>
      <c r="CQ82" s="522">
        <f>-IS!CQ48/AVERAGE(BS!CQ8+BS!CQ9,BS!CP8+BS!CP9)*4</f>
        <v>-4.1644016143645497E-2</v>
      </c>
      <c r="CR82" s="522">
        <f>-IS!CR48/AVERAGE(BS!CR8+BS!CR9,BS!CQ8+BS!CQ9)*4</f>
        <v>-4.6647638725945122E-2</v>
      </c>
      <c r="CS82" s="522">
        <f>-IS!CS48/AVERAGE(BS!CS8+BS!CS9,BS!CR8+BS!CR9)*4</f>
        <v>-4.6624198888609213E-2</v>
      </c>
      <c r="CT82" s="522"/>
      <c r="CU82" s="522">
        <f>-IS!CU48/AVERAGE(BS!CU8+BS!CU9,BS!CS8+BS!CS9)*4</f>
        <v>-4.2503056574413695E-2</v>
      </c>
      <c r="CV82" s="522">
        <f>-IS!CV48/AVERAGE(BS!CV8+BS!CV9,BS!CU8+BS!CU9)*4</f>
        <v>-6.3587338804220392E-2</v>
      </c>
      <c r="CW82" s="522">
        <f>-IS!CW48/AVERAGE(BS!CW8+BS!CW9,BS!CV8+BS!CV9)*4</f>
        <v>-3.8129784676381888E-2</v>
      </c>
      <c r="CX82" s="522">
        <f>-IS!CX48/AVERAGE(BS!CX8+BS!CX9,BS!CW8+BS!CW9)*4</f>
        <v>-3.47179169249845E-2</v>
      </c>
      <c r="CY82" s="522"/>
      <c r="CZ82" s="522">
        <f>IS!CZ48/AVERAGE(BS!CZ8+BS!CZ9,BS!CY8+BS!CY9)*4</f>
        <v>3.7310742609949529E-2</v>
      </c>
      <c r="DA82" s="522">
        <f>IS!DA48/AVERAGE(BS!DA8+BS!DA9,BS!CZ8+BS!CZ9)*4</f>
        <v>3.3786229698095901E-2</v>
      </c>
      <c r="DB82" s="522">
        <f>IS!DB48/AVERAGE(BS!DB8+BS!DB9,BS!DA8+BS!DA9)*4</f>
        <v>2.8487677776571491E-2</v>
      </c>
      <c r="DC82" s="522">
        <f>IS!DC48/AVERAGE(BS!DC8+BS!DC9,BS!DB8+BS!DB9)*4</f>
        <v>2.254037015514114E-2</v>
      </c>
      <c r="DD82" s="522"/>
      <c r="DE82" s="522"/>
      <c r="DF82" s="523"/>
      <c r="DG82" s="523"/>
      <c r="DH82" s="522"/>
      <c r="DI82" s="522"/>
      <c r="DJ82" s="522"/>
      <c r="DK82" s="523"/>
      <c r="DL82" s="523"/>
      <c r="DM82" s="522"/>
      <c r="DN82" s="522"/>
      <c r="DO82" s="522"/>
      <c r="DP82" s="523"/>
      <c r="DQ82" s="523"/>
      <c r="DR82" s="523"/>
      <c r="DS82" s="523"/>
      <c r="DT82" s="522"/>
      <c r="DU82" s="523"/>
      <c r="DV82" s="523"/>
      <c r="DW82" s="523"/>
      <c r="DX82" s="523"/>
      <c r="DY82" s="522"/>
      <c r="DZ82" s="523"/>
      <c r="EA82" s="522"/>
      <c r="EB82" s="523"/>
      <c r="EC82" s="523"/>
      <c r="ED82" s="522"/>
      <c r="EE82" s="522"/>
      <c r="EF82" s="522"/>
      <c r="EG82" s="522"/>
      <c r="EH82" s="522"/>
      <c r="EI82" s="522"/>
      <c r="EJ82" s="522"/>
      <c r="EK82" s="522"/>
      <c r="EL82" s="522"/>
      <c r="EM82" s="522"/>
      <c r="EN82" s="522"/>
      <c r="EO82" s="522"/>
      <c r="EP82" s="522"/>
      <c r="EQ82" s="522"/>
      <c r="ER82" s="522"/>
      <c r="ES82" s="522"/>
      <c r="ET82" s="522"/>
      <c r="EU82" s="522"/>
      <c r="EV82" s="522"/>
      <c r="EW82" s="522"/>
      <c r="EX82" s="522"/>
      <c r="EY82" s="522"/>
      <c r="EZ82" s="522"/>
      <c r="FA82" s="522"/>
      <c r="FB82" s="522"/>
      <c r="FC82" s="522"/>
      <c r="FD82" s="522"/>
      <c r="FE82" s="522"/>
      <c r="FF82" s="522"/>
      <c r="FG82" s="522"/>
      <c r="FH82" s="522"/>
      <c r="FI82" s="522"/>
      <c r="FJ82" s="522"/>
      <c r="FK82" s="522"/>
      <c r="FL82" s="522"/>
      <c r="FM82" s="521"/>
      <c r="FO82"/>
      <c r="FP82"/>
      <c r="FQ82"/>
      <c r="FR82"/>
      <c r="FS82"/>
      <c r="FT82"/>
      <c r="FU82" s="261"/>
      <c r="FV82" s="261"/>
      <c r="FW82" s="261"/>
      <c r="FX82" s="261"/>
    </row>
    <row r="83" spans="1:180" s="264" customFormat="1" ht="12.75" customHeight="1">
      <c r="D83" s="253"/>
      <c r="E83" s="242"/>
      <c r="F83" s="242"/>
      <c r="G83" s="242"/>
      <c r="H83" s="242"/>
      <c r="I83" s="242"/>
      <c r="J83" s="242"/>
      <c r="K83" s="242"/>
      <c r="L83" s="242"/>
      <c r="M83" s="242"/>
      <c r="N83" s="242"/>
      <c r="O83" s="242"/>
      <c r="P83" s="242"/>
      <c r="Q83" s="242"/>
      <c r="R83" s="242"/>
      <c r="S83" s="242"/>
      <c r="T83" s="242"/>
      <c r="U83" s="242"/>
      <c r="V83" s="242"/>
      <c r="W83" s="242"/>
      <c r="X83" s="242"/>
      <c r="Y83" s="242"/>
      <c r="Z83" s="242"/>
      <c r="AA83" s="242"/>
      <c r="AB83" s="242"/>
      <c r="AC83" s="242"/>
      <c r="AD83" s="242"/>
      <c r="AE83" s="242"/>
      <c r="AF83" s="242"/>
      <c r="AG83" s="242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2"/>
      <c r="BE83" s="242"/>
      <c r="BF83" s="242"/>
      <c r="BG83" s="242"/>
      <c r="BH83" s="242"/>
      <c r="BI83" s="242"/>
      <c r="BJ83" s="242"/>
      <c r="BK83" s="242"/>
      <c r="BL83" s="242"/>
      <c r="BM83" s="242"/>
      <c r="BN83" s="242"/>
      <c r="BO83" s="242"/>
      <c r="BP83" s="242"/>
      <c r="BQ83" s="242"/>
      <c r="BR83" s="242"/>
      <c r="BS83" s="242"/>
      <c r="BT83" s="242"/>
      <c r="BU83" s="242"/>
      <c r="BV83" s="242"/>
      <c r="BW83" s="242"/>
      <c r="BX83" s="242"/>
      <c r="BY83" s="242"/>
      <c r="BZ83" s="242"/>
      <c r="CA83" s="242"/>
      <c r="CB83" s="242"/>
      <c r="CC83" s="242"/>
      <c r="CD83" s="242"/>
      <c r="CE83" s="242"/>
      <c r="CF83" s="242"/>
      <c r="CG83" s="242"/>
      <c r="CH83" s="242"/>
      <c r="CI83" s="242"/>
      <c r="CJ83" s="242"/>
      <c r="CK83" s="242"/>
      <c r="CL83" s="242"/>
      <c r="CM83" s="242"/>
      <c r="CN83" s="242"/>
      <c r="CO83" s="242"/>
      <c r="CP83" s="242"/>
      <c r="CQ83" s="242"/>
      <c r="CR83" s="242"/>
      <c r="CS83" s="242"/>
      <c r="CT83" s="242"/>
      <c r="CU83" s="242"/>
      <c r="CV83" s="242"/>
      <c r="CW83" s="242"/>
      <c r="CX83" s="242"/>
      <c r="CY83" s="242"/>
      <c r="CZ83" s="242"/>
      <c r="DA83" s="242"/>
      <c r="DB83" s="242"/>
      <c r="DC83" s="484"/>
      <c r="DD83" s="242"/>
      <c r="DE83" s="242"/>
      <c r="DF83" s="484"/>
      <c r="DG83" s="484"/>
      <c r="DH83" s="484"/>
      <c r="DI83" s="242"/>
      <c r="DJ83" s="242"/>
      <c r="DK83" s="484"/>
      <c r="DL83" s="484"/>
      <c r="DM83" s="484"/>
      <c r="DN83" s="242"/>
      <c r="DO83" s="242"/>
      <c r="DP83" s="484"/>
      <c r="DQ83" s="484"/>
      <c r="DR83" s="484"/>
      <c r="DS83" s="484"/>
      <c r="DT83" s="242"/>
      <c r="DU83" s="484"/>
      <c r="DV83" s="484"/>
      <c r="DW83" s="484"/>
      <c r="DX83" s="484"/>
      <c r="DY83" s="242"/>
      <c r="DZ83" s="484"/>
      <c r="EA83" s="242"/>
      <c r="EB83" s="484"/>
      <c r="EC83" s="484"/>
      <c r="ED83" s="242"/>
      <c r="EE83" s="242"/>
      <c r="EF83" s="242"/>
      <c r="EG83" s="242"/>
      <c r="EH83" s="242"/>
      <c r="EI83" s="2562"/>
      <c r="EJ83" s="2562"/>
      <c r="EK83" s="2562"/>
      <c r="EL83" s="2562"/>
      <c r="EM83" s="2562"/>
      <c r="EN83" s="2562"/>
      <c r="EO83" s="2562"/>
      <c r="EP83" s="2562"/>
      <c r="EQ83" s="2562"/>
      <c r="ER83" s="2562"/>
      <c r="ES83" s="242"/>
      <c r="ET83" s="2562"/>
      <c r="EU83" s="2562"/>
      <c r="EV83" s="242"/>
      <c r="EW83" s="242"/>
      <c r="EX83" s="242"/>
      <c r="EY83" s="242"/>
      <c r="EZ83" s="242"/>
      <c r="FA83" s="242"/>
      <c r="FB83" s="242"/>
      <c r="FC83" s="242"/>
      <c r="FD83" s="242"/>
      <c r="FE83" s="242"/>
      <c r="FF83" s="242"/>
      <c r="FG83" s="242"/>
      <c r="FH83" s="242"/>
      <c r="FI83" s="242"/>
      <c r="FJ83" s="242"/>
      <c r="FK83" s="242"/>
      <c r="FL83" s="242"/>
      <c r="FO83"/>
      <c r="FP83"/>
      <c r="FQ83"/>
      <c r="FR83"/>
      <c r="FS83"/>
      <c r="FT83"/>
      <c r="FU83" s="261"/>
      <c r="FV83" s="261"/>
      <c r="FW83" s="261"/>
      <c r="FX83" s="261"/>
    </row>
    <row r="84" spans="1:180" s="264" customFormat="1" ht="11.25" customHeight="1">
      <c r="A84" s="524" t="s">
        <v>625</v>
      </c>
      <c r="D84" s="1130">
        <v>0</v>
      </c>
      <c r="E84" s="1130">
        <v>0</v>
      </c>
      <c r="F84" s="1130">
        <v>0</v>
      </c>
      <c r="G84" s="1130">
        <v>0</v>
      </c>
      <c r="H84" s="525"/>
      <c r="I84" s="1130">
        <v>0</v>
      </c>
      <c r="J84" s="1130">
        <v>0</v>
      </c>
      <c r="K84" s="1130">
        <v>0</v>
      </c>
      <c r="L84" s="1130">
        <v>0</v>
      </c>
      <c r="M84" s="525"/>
      <c r="N84" s="1130">
        <v>0</v>
      </c>
      <c r="O84" s="1130">
        <v>0</v>
      </c>
      <c r="P84" s="1130">
        <v>0</v>
      </c>
      <c r="Q84" s="1130">
        <v>0</v>
      </c>
      <c r="R84" s="525"/>
      <c r="S84" s="1130">
        <v>0</v>
      </c>
      <c r="T84" s="1130">
        <v>0</v>
      </c>
      <c r="U84" s="1130">
        <v>0</v>
      </c>
      <c r="V84" s="1130">
        <v>0</v>
      </c>
      <c r="W84" s="525"/>
      <c r="X84" s="1130">
        <v>0</v>
      </c>
      <c r="Y84" s="1130">
        <v>0</v>
      </c>
      <c r="Z84" s="1130">
        <v>0</v>
      </c>
      <c r="AA84" s="1130">
        <v>0</v>
      </c>
      <c r="AB84" s="525"/>
      <c r="AC84" s="1130">
        <v>0</v>
      </c>
      <c r="AD84" s="1130">
        <v>0</v>
      </c>
      <c r="AE84" s="1130">
        <v>0</v>
      </c>
      <c r="AF84" s="1130">
        <v>57.978499999999997</v>
      </c>
      <c r="AG84" s="525"/>
      <c r="AH84" s="1130">
        <v>57.978499999999997</v>
      </c>
      <c r="AI84" s="1130">
        <v>57.978499999999997</v>
      </c>
      <c r="AJ84" s="1130">
        <v>57.978499999999997</v>
      </c>
      <c r="AK84" s="1130">
        <v>57.978499999999997</v>
      </c>
      <c r="AL84" s="525"/>
      <c r="AM84" s="1130">
        <v>57.978499999999997</v>
      </c>
      <c r="AN84" s="1130">
        <v>57.978499999999997</v>
      </c>
      <c r="AO84" s="1130">
        <v>57.978499999999997</v>
      </c>
      <c r="AP84" s="1130">
        <v>57.978499999999997</v>
      </c>
      <c r="AQ84" s="525"/>
      <c r="AR84" s="1130">
        <v>57.978499999999997</v>
      </c>
      <c r="AS84" s="1130">
        <v>57.978499999999997</v>
      </c>
      <c r="AT84" s="1130">
        <v>57.978499999999997</v>
      </c>
      <c r="AU84" s="1130">
        <v>57.978499999999997</v>
      </c>
      <c r="AV84" s="525"/>
      <c r="AW84" s="1130">
        <v>480.51609999999999</v>
      </c>
      <c r="AX84" s="1130">
        <v>480.51609999999999</v>
      </c>
      <c r="AY84" s="1130">
        <v>480.51609999999999</v>
      </c>
      <c r="AZ84" s="1130">
        <v>480.51609999999999</v>
      </c>
      <c r="BA84" s="525"/>
      <c r="BB84" s="1130">
        <v>480.51609999999999</v>
      </c>
      <c r="BC84" s="1130">
        <v>480.51609999999999</v>
      </c>
      <c r="BD84" s="1130">
        <v>480.51609999999999</v>
      </c>
      <c r="BE84" s="1130">
        <v>480.51609999999999</v>
      </c>
      <c r="BF84" s="525"/>
      <c r="BG84" s="1130">
        <v>600.26610000000005</v>
      </c>
      <c r="BH84" s="1130">
        <v>655.26610000000005</v>
      </c>
      <c r="BI84" s="1130">
        <v>1855.2661000000001</v>
      </c>
      <c r="BJ84" s="1130">
        <v>1915.2661000000001</v>
      </c>
      <c r="BK84" s="525"/>
      <c r="BL84" s="1130">
        <v>1976.2661000000001</v>
      </c>
      <c r="BM84" s="1130">
        <v>2045.2661000000001</v>
      </c>
      <c r="BN84" s="1130">
        <v>2109.2660999999998</v>
      </c>
      <c r="BO84" s="1130">
        <v>2199.2660999999998</v>
      </c>
      <c r="BP84" s="525"/>
      <c r="BQ84" s="1130">
        <v>2199.2660999999998</v>
      </c>
      <c r="BR84" s="1130">
        <v>2199.2660999999998</v>
      </c>
      <c r="BS84" s="1130">
        <v>2199.2660999999998</v>
      </c>
      <c r="BT84" s="1130">
        <v>2199.2660999999998</v>
      </c>
      <c r="BU84" s="525"/>
      <c r="BV84" s="1130">
        <v>2199.2660999999998</v>
      </c>
      <c r="BW84" s="1130">
        <v>2199.2660999999998</v>
      </c>
      <c r="BX84" s="1130">
        <v>2199.2660999999998</v>
      </c>
      <c r="BY84" s="1130">
        <v>2199.2660999999998</v>
      </c>
      <c r="BZ84" s="525"/>
      <c r="CA84" s="1130">
        <v>2199.2660999999998</v>
      </c>
      <c r="CB84" s="1130">
        <v>2199.2660999999998</v>
      </c>
      <c r="CC84" s="1130">
        <v>2199.2660999999998</v>
      </c>
      <c r="CD84" s="1130">
        <v>2199.2660999999998</v>
      </c>
      <c r="CE84" s="525"/>
      <c r="CF84" s="1130">
        <v>2199.2660999999998</v>
      </c>
      <c r="CG84" s="1130">
        <v>2199.2660999999998</v>
      </c>
      <c r="CH84" s="1130">
        <v>2199.2660999999998</v>
      </c>
      <c r="CI84" s="1130">
        <v>2199.2660999999998</v>
      </c>
      <c r="CJ84" s="525"/>
      <c r="CK84" s="1130">
        <v>2199.2660999999998</v>
      </c>
      <c r="CL84" s="1130">
        <v>2199.2660999999998</v>
      </c>
      <c r="CM84" s="1130">
        <v>2199.2660999999998</v>
      </c>
      <c r="CN84" s="1130">
        <v>2199.2660999999998</v>
      </c>
      <c r="CO84" s="525"/>
      <c r="CP84" s="1130">
        <v>2199.2660999999998</v>
      </c>
      <c r="CQ84" s="1130">
        <v>2199.2660999999998</v>
      </c>
      <c r="CR84" s="1130">
        <v>2199.2660999999998</v>
      </c>
      <c r="CS84" s="1130">
        <v>2199.2660999999998</v>
      </c>
      <c r="CT84" s="525"/>
      <c r="CU84" s="1130">
        <v>2199.2660999999998</v>
      </c>
      <c r="CV84" s="1130">
        <v>2199.2660999999998</v>
      </c>
      <c r="CW84" s="1130">
        <v>2199.2660999999998</v>
      </c>
      <c r="CX84" s="1130">
        <v>2199.2660999999998</v>
      </c>
      <c r="CY84" s="525"/>
      <c r="CZ84" s="525">
        <f>CX84</f>
        <v>2199.2660999999998</v>
      </c>
      <c r="DA84" s="525">
        <f>CZ84</f>
        <v>2199.2660999999998</v>
      </c>
      <c r="DB84" s="525">
        <f>DA84</f>
        <v>2199.2660999999998</v>
      </c>
      <c r="DC84" s="525">
        <f>DB84</f>
        <v>2199.2660999999998</v>
      </c>
      <c r="DD84" s="525"/>
      <c r="DE84" s="525">
        <f>DC84</f>
        <v>2199.2660999999998</v>
      </c>
      <c r="DF84" s="525">
        <f>DE84</f>
        <v>2199.2660999999998</v>
      </c>
      <c r="DG84" s="525">
        <f>DF84</f>
        <v>2199.2660999999998</v>
      </c>
      <c r="DH84" s="525">
        <f>DG84</f>
        <v>2199.2660999999998</v>
      </c>
      <c r="DI84" s="525"/>
      <c r="DJ84" s="525">
        <f>DH84</f>
        <v>2199.2660999999998</v>
      </c>
      <c r="DK84" s="525">
        <f>DJ84</f>
        <v>2199.2660999999998</v>
      </c>
      <c r="DL84" s="525">
        <f>DK84</f>
        <v>2199.2660999999998</v>
      </c>
      <c r="DM84" s="525">
        <f>DL84</f>
        <v>2199.2660999999998</v>
      </c>
      <c r="DN84" s="525"/>
      <c r="DO84" s="525">
        <f>DM84</f>
        <v>2199.2660999999998</v>
      </c>
      <c r="DP84" s="525">
        <f>DO84</f>
        <v>2199.2660999999998</v>
      </c>
      <c r="DQ84" s="525">
        <f>DP84</f>
        <v>2199.2660999999998</v>
      </c>
      <c r="DR84" s="525">
        <f>DQ84</f>
        <v>2199.2660999999998</v>
      </c>
      <c r="DS84" s="526"/>
      <c r="DT84" s="525">
        <f>DR84</f>
        <v>2199.2660999999998</v>
      </c>
      <c r="DU84" s="525">
        <f>DT84</f>
        <v>2199.2660999999998</v>
      </c>
      <c r="DV84" s="525">
        <f>DU84</f>
        <v>2199.2660999999998</v>
      </c>
      <c r="DW84" s="525">
        <f>DV84</f>
        <v>2199.2660999999998</v>
      </c>
      <c r="DX84" s="526"/>
      <c r="DY84" s="525">
        <f>DW84</f>
        <v>2199.2660999999998</v>
      </c>
      <c r="DZ84" s="525">
        <f>DY84</f>
        <v>2199.2660999999998</v>
      </c>
      <c r="EA84" s="525">
        <f>DZ84</f>
        <v>2199.2660999999998</v>
      </c>
      <c r="EB84" s="525">
        <f>EA84</f>
        <v>2199.2660999999998</v>
      </c>
      <c r="EC84" s="526"/>
      <c r="ED84" s="525">
        <f>EB84</f>
        <v>2199.2660999999998</v>
      </c>
      <c r="EE84" s="525">
        <f>ED84</f>
        <v>2199.2660999999998</v>
      </c>
      <c r="EF84" s="525">
        <f>EE84</f>
        <v>2199.2660999999998</v>
      </c>
      <c r="EG84" s="525">
        <f>EF84</f>
        <v>2199.2660999999998</v>
      </c>
      <c r="EH84" s="525"/>
      <c r="EI84" s="2782">
        <f>EG84</f>
        <v>2199.2660999999998</v>
      </c>
      <c r="EJ84" s="2782">
        <f>EI84</f>
        <v>2199.2660999999998</v>
      </c>
      <c r="EK84" s="2782">
        <f>EJ84</f>
        <v>2199.2660999999998</v>
      </c>
      <c r="EL84" s="2782">
        <f>EK84</f>
        <v>2199.2660999999998</v>
      </c>
      <c r="EM84" s="2782"/>
      <c r="EN84" s="2782">
        <f>EL84</f>
        <v>2199.2660999999998</v>
      </c>
      <c r="EO84" s="2782">
        <f>EN84</f>
        <v>2199.2660999999998</v>
      </c>
      <c r="EP84" s="2782">
        <f>EO84</f>
        <v>2199.2660999999998</v>
      </c>
      <c r="EQ84" s="2782">
        <f>EP84</f>
        <v>2199.2660999999998</v>
      </c>
      <c r="ER84" s="2782"/>
      <c r="ES84" s="2782">
        <f>EQ84</f>
        <v>2199.2660999999998</v>
      </c>
      <c r="ET84" s="2782">
        <f>ES84</f>
        <v>2199.2660999999998</v>
      </c>
      <c r="EU84" s="2782">
        <f>ET84</f>
        <v>2199.2660999999998</v>
      </c>
      <c r="EV84" s="525">
        <f>EU84</f>
        <v>2199.2660999999998</v>
      </c>
      <c r="EW84" s="525"/>
      <c r="EX84" s="525">
        <f>EV84</f>
        <v>2199.2660999999998</v>
      </c>
      <c r="EY84" s="525">
        <f>EX84</f>
        <v>2199.2660999999998</v>
      </c>
      <c r="EZ84" s="525">
        <f>EY84</f>
        <v>2199.2660999999998</v>
      </c>
      <c r="FA84" s="525">
        <f>EZ84</f>
        <v>2199.2660999999998</v>
      </c>
      <c r="FB84" s="525"/>
      <c r="FC84" s="525">
        <f>FA84</f>
        <v>2199.2660999999998</v>
      </c>
      <c r="FD84" s="525">
        <f>FC84</f>
        <v>2199.2660999999998</v>
      </c>
      <c r="FE84" s="525">
        <f>FD84</f>
        <v>2199.2660999999998</v>
      </c>
      <c r="FF84" s="525">
        <f>FE84</f>
        <v>2199.2660999999998</v>
      </c>
      <c r="FG84" s="525"/>
      <c r="FH84" s="525">
        <f>FF84</f>
        <v>2199.2660999999998</v>
      </c>
      <c r="FI84" s="525">
        <f>FH84</f>
        <v>2199.2660999999998</v>
      </c>
      <c r="FJ84" s="525">
        <f>FI84</f>
        <v>2199.2660999999998</v>
      </c>
      <c r="FK84" s="525">
        <f>FJ84</f>
        <v>2199.2660999999998</v>
      </c>
      <c r="FL84" s="525"/>
      <c r="FO84"/>
      <c r="FP84"/>
      <c r="FQ84"/>
      <c r="FR84"/>
      <c r="FS84"/>
      <c r="FT84"/>
      <c r="FU84" s="261"/>
      <c r="FV84" s="261"/>
      <c r="FW84" s="261"/>
      <c r="FX84" s="261"/>
    </row>
    <row r="85" spans="1:180" s="264" customFormat="1" ht="3" customHeight="1">
      <c r="D85" s="253"/>
      <c r="E85" s="253"/>
      <c r="F85" s="253"/>
      <c r="G85" s="253"/>
      <c r="H85" s="253"/>
      <c r="I85" s="253"/>
      <c r="J85" s="253"/>
      <c r="K85" s="253"/>
      <c r="L85" s="253"/>
      <c r="M85" s="253"/>
      <c r="N85" s="253"/>
      <c r="O85" s="253"/>
      <c r="P85" s="253"/>
      <c r="Q85" s="253"/>
      <c r="R85" s="253"/>
      <c r="S85" s="253"/>
      <c r="T85" s="253"/>
      <c r="U85" s="253"/>
      <c r="V85" s="253"/>
      <c r="W85" s="253"/>
      <c r="X85" s="253"/>
      <c r="Y85" s="253"/>
      <c r="Z85" s="253"/>
      <c r="AA85" s="253"/>
      <c r="AB85" s="253"/>
      <c r="AC85" s="253"/>
      <c r="AD85" s="253"/>
      <c r="AE85" s="253"/>
      <c r="AF85" s="253"/>
      <c r="AG85" s="253"/>
      <c r="AH85" s="253"/>
      <c r="AI85" s="253"/>
      <c r="AJ85" s="253"/>
      <c r="AK85" s="253"/>
      <c r="AL85" s="253"/>
      <c r="AM85" s="253"/>
      <c r="AN85" s="253"/>
      <c r="AO85" s="253"/>
      <c r="AP85" s="253"/>
      <c r="AQ85" s="253"/>
      <c r="AR85" s="455"/>
      <c r="AS85" s="455"/>
      <c r="AT85" s="455"/>
      <c r="AU85" s="455"/>
      <c r="AV85" s="455"/>
      <c r="AW85" s="455"/>
      <c r="AX85" s="455"/>
      <c r="AY85" s="455"/>
      <c r="AZ85" s="455"/>
      <c r="BA85" s="455"/>
      <c r="BB85" s="455"/>
      <c r="BC85" s="455"/>
      <c r="BD85" s="455"/>
      <c r="BE85" s="455"/>
      <c r="BF85" s="455"/>
      <c r="BG85" s="455"/>
      <c r="BH85" s="455"/>
      <c r="BI85" s="455"/>
      <c r="BJ85" s="455"/>
      <c r="BK85" s="455"/>
      <c r="BL85" s="455"/>
      <c r="BM85" s="455"/>
      <c r="BN85" s="455"/>
      <c r="BO85" s="455"/>
      <c r="BP85" s="455"/>
      <c r="BQ85" s="455"/>
      <c r="BR85" s="455"/>
      <c r="BS85" s="455"/>
      <c r="BT85" s="455"/>
      <c r="BU85" s="455"/>
      <c r="BV85" s="455"/>
      <c r="BW85" s="455"/>
      <c r="BX85" s="455"/>
      <c r="BY85" s="455"/>
      <c r="BZ85" s="455"/>
      <c r="CA85" s="455"/>
      <c r="CB85" s="455"/>
      <c r="CC85" s="455"/>
      <c r="CD85" s="455"/>
      <c r="CE85" s="455"/>
      <c r="CF85" s="455"/>
      <c r="CG85" s="455"/>
      <c r="CH85" s="455"/>
      <c r="CI85" s="455"/>
      <c r="CJ85" s="455"/>
      <c r="CK85" s="455"/>
      <c r="CL85" s="455"/>
      <c r="CM85" s="455"/>
      <c r="CN85" s="455"/>
      <c r="CO85" s="455"/>
      <c r="CP85" s="455"/>
      <c r="CQ85" s="455"/>
      <c r="CR85" s="455"/>
      <c r="CS85" s="455"/>
      <c r="CT85" s="455"/>
      <c r="CU85" s="455"/>
      <c r="CV85" s="455"/>
      <c r="CW85" s="455"/>
      <c r="CX85" s="455"/>
      <c r="CY85" s="455"/>
      <c r="CZ85" s="455"/>
      <c r="DA85" s="455"/>
      <c r="DB85" s="455"/>
      <c r="DC85" s="455"/>
      <c r="DD85" s="455"/>
      <c r="DE85" s="455"/>
      <c r="DF85" s="485"/>
      <c r="DG85" s="485"/>
      <c r="DH85" s="455"/>
      <c r="DI85" s="455"/>
      <c r="DJ85" s="455"/>
      <c r="DK85" s="455"/>
      <c r="DL85" s="455"/>
      <c r="DM85" s="455"/>
      <c r="DN85" s="455"/>
      <c r="DO85" s="455"/>
      <c r="DP85" s="455"/>
      <c r="DQ85" s="455"/>
      <c r="DR85" s="455"/>
      <c r="DS85" s="485"/>
      <c r="DT85" s="455"/>
      <c r="DU85" s="455"/>
      <c r="DV85" s="455"/>
      <c r="DW85" s="455"/>
      <c r="DX85" s="485"/>
      <c r="DY85" s="455"/>
      <c r="DZ85" s="455"/>
      <c r="EA85" s="455"/>
      <c r="EB85" s="455"/>
      <c r="EC85" s="485"/>
      <c r="ED85" s="455"/>
      <c r="EE85" s="455"/>
      <c r="EF85" s="455"/>
      <c r="EG85" s="455"/>
      <c r="EH85" s="455"/>
      <c r="EI85" s="2515"/>
      <c r="EJ85" s="2515"/>
      <c r="EK85" s="2515"/>
      <c r="EL85" s="2515"/>
      <c r="EM85" s="2515"/>
      <c r="EN85" s="2515"/>
      <c r="EO85" s="2515"/>
      <c r="EP85" s="2515"/>
      <c r="EQ85" s="2515"/>
      <c r="ER85" s="2515"/>
      <c r="ES85" s="2515"/>
      <c r="ET85" s="2515"/>
      <c r="EU85" s="2515"/>
      <c r="EV85" s="455"/>
      <c r="EW85" s="455"/>
      <c r="EX85" s="455"/>
      <c r="EY85" s="455"/>
      <c r="EZ85" s="455"/>
      <c r="FA85" s="455"/>
      <c r="FB85" s="455"/>
      <c r="FC85" s="455"/>
      <c r="FD85" s="455"/>
      <c r="FE85" s="455"/>
      <c r="FF85" s="455"/>
      <c r="FG85" s="455"/>
      <c r="FH85" s="455"/>
      <c r="FI85" s="455"/>
      <c r="FJ85" s="455"/>
      <c r="FK85" s="455"/>
      <c r="FL85" s="455"/>
      <c r="FO85"/>
      <c r="FP85"/>
      <c r="FQ85"/>
      <c r="FR85"/>
      <c r="FS85"/>
      <c r="FT85"/>
      <c r="FU85" s="261"/>
      <c r="FV85" s="261"/>
      <c r="FW85" s="261"/>
      <c r="FX85" s="261"/>
    </row>
    <row r="86" spans="1:180" s="264" customFormat="1" ht="11.25" customHeight="1">
      <c r="A86" s="524" t="s">
        <v>883</v>
      </c>
      <c r="D86" s="253"/>
      <c r="E86" s="242"/>
      <c r="F86" s="242"/>
      <c r="G86" s="242"/>
      <c r="H86" s="242"/>
      <c r="I86" s="242"/>
      <c r="J86" s="242"/>
      <c r="K86" s="242"/>
      <c r="L86" s="242"/>
      <c r="M86" s="242"/>
      <c r="N86" s="242"/>
      <c r="O86" s="242"/>
      <c r="P86" s="242"/>
      <c r="Q86" s="242"/>
      <c r="R86" s="242"/>
      <c r="S86" s="242"/>
      <c r="T86" s="242"/>
      <c r="U86" s="242"/>
      <c r="V86" s="242"/>
      <c r="W86" s="242"/>
      <c r="X86" s="242"/>
      <c r="Y86" s="242"/>
      <c r="Z86" s="242"/>
      <c r="AA86" s="242"/>
      <c r="AB86" s="242"/>
      <c r="AC86" s="242"/>
      <c r="AD86" s="242"/>
      <c r="AE86" s="242"/>
      <c r="AF86" s="242"/>
      <c r="AG86" s="242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2"/>
      <c r="BE86" s="242"/>
      <c r="BF86" s="242"/>
      <c r="BG86" s="242"/>
      <c r="BH86" s="242"/>
      <c r="BI86" s="242"/>
      <c r="BJ86" s="242"/>
      <c r="BK86" s="242"/>
      <c r="BL86" s="242"/>
      <c r="BM86" s="242"/>
      <c r="BN86" s="242"/>
      <c r="BO86" s="242"/>
      <c r="BP86" s="242"/>
      <c r="BQ86" s="242"/>
      <c r="BR86" s="242"/>
      <c r="BS86" s="242"/>
      <c r="BT86" s="242"/>
      <c r="BU86" s="242"/>
      <c r="BV86" s="242"/>
      <c r="BW86" s="242"/>
      <c r="BX86" s="242"/>
      <c r="BY86" s="242"/>
      <c r="BZ86" s="242"/>
      <c r="CA86" s="242"/>
      <c r="CB86" s="242"/>
      <c r="CC86" s="242"/>
      <c r="CD86" s="242"/>
      <c r="CE86" s="242"/>
      <c r="CF86" s="242"/>
      <c r="CG86" s="242"/>
      <c r="CH86" s="242"/>
      <c r="CI86" s="242"/>
      <c r="CJ86" s="242"/>
      <c r="CK86" s="242"/>
      <c r="CL86" s="242"/>
      <c r="CM86" s="242"/>
      <c r="CN86" s="242"/>
      <c r="CO86" s="242"/>
      <c r="CP86" s="242"/>
      <c r="CQ86" s="242"/>
      <c r="CR86" s="242"/>
      <c r="CS86" s="242"/>
      <c r="CT86" s="242"/>
      <c r="CU86" s="242"/>
      <c r="CV86" s="242"/>
      <c r="CW86" s="242"/>
      <c r="CX86" s="242"/>
      <c r="CY86" s="242"/>
      <c r="CZ86" s="242"/>
      <c r="DA86" s="242"/>
      <c r="DB86" s="242"/>
      <c r="DC86" s="242"/>
      <c r="DD86" s="242"/>
      <c r="DE86" s="242"/>
      <c r="DF86" s="484"/>
      <c r="DG86" s="484"/>
      <c r="DH86" s="242"/>
      <c r="DI86" s="242"/>
      <c r="DJ86" s="242"/>
      <c r="DK86" s="242"/>
      <c r="DL86" s="242"/>
      <c r="DM86" s="242"/>
      <c r="DN86" s="242"/>
      <c r="DO86" s="242"/>
      <c r="DP86" s="242"/>
      <c r="DQ86" s="242"/>
      <c r="DR86" s="242"/>
      <c r="DS86" s="484"/>
      <c r="DT86" s="242"/>
      <c r="DU86" s="242"/>
      <c r="DV86" s="242"/>
      <c r="DW86" s="242"/>
      <c r="DX86" s="484"/>
      <c r="DY86" s="242"/>
      <c r="DZ86" s="242"/>
      <c r="EA86" s="242"/>
      <c r="EB86" s="242"/>
      <c r="EC86" s="484"/>
      <c r="ED86" s="242"/>
      <c r="EE86" s="242"/>
      <c r="EF86" s="242"/>
      <c r="EG86" s="242"/>
      <c r="EH86" s="242"/>
      <c r="EI86" s="2562"/>
      <c r="EJ86" s="2562"/>
      <c r="EK86" s="2562"/>
      <c r="EL86" s="2562"/>
      <c r="EM86" s="2562"/>
      <c r="EN86" s="2562"/>
      <c r="EO86" s="2562"/>
      <c r="EP86" s="2562"/>
      <c r="EQ86" s="2562"/>
      <c r="ER86" s="2562"/>
      <c r="ES86" s="2562"/>
      <c r="ET86" s="2562"/>
      <c r="EU86" s="2562"/>
      <c r="EV86" s="242"/>
      <c r="EW86" s="242"/>
      <c r="EX86" s="242"/>
      <c r="EY86" s="242"/>
      <c r="EZ86" s="242"/>
      <c r="FA86" s="242"/>
      <c r="FB86" s="242"/>
      <c r="FC86" s="242"/>
      <c r="FD86" s="242"/>
      <c r="FE86" s="242"/>
      <c r="FF86" s="242"/>
      <c r="FG86" s="242"/>
      <c r="FH86" s="242"/>
      <c r="FI86" s="242"/>
      <c r="FJ86" s="242"/>
      <c r="FK86" s="242"/>
      <c r="FL86" s="242"/>
      <c r="FO86"/>
      <c r="FP86"/>
      <c r="FQ86"/>
      <c r="FR86"/>
      <c r="FS86"/>
      <c r="FT86"/>
      <c r="FU86" s="261"/>
      <c r="FV86" s="261"/>
      <c r="FW86" s="261"/>
      <c r="FX86" s="261"/>
    </row>
    <row r="87" spans="1:180" s="415" customFormat="1" ht="11.25" customHeight="1">
      <c r="A87" s="415" t="s">
        <v>884</v>
      </c>
      <c r="D87" s="486">
        <f t="shared" ref="D87:AP87" si="113">+D89-D88</f>
        <v>0</v>
      </c>
      <c r="E87" s="486">
        <f t="shared" si="113"/>
        <v>0</v>
      </c>
      <c r="F87" s="486">
        <f t="shared" si="113"/>
        <v>0</v>
      </c>
      <c r="G87" s="486">
        <f t="shared" si="113"/>
        <v>0</v>
      </c>
      <c r="H87" s="486"/>
      <c r="I87" s="486">
        <f t="shared" si="113"/>
        <v>0</v>
      </c>
      <c r="J87" s="486">
        <f t="shared" si="113"/>
        <v>0</v>
      </c>
      <c r="K87" s="486">
        <f t="shared" si="113"/>
        <v>0</v>
      </c>
      <c r="L87" s="486">
        <f t="shared" si="113"/>
        <v>0</v>
      </c>
      <c r="M87" s="486"/>
      <c r="N87" s="486">
        <f t="shared" si="113"/>
        <v>0</v>
      </c>
      <c r="O87" s="486">
        <f t="shared" si="113"/>
        <v>0</v>
      </c>
      <c r="P87" s="486">
        <f t="shared" si="113"/>
        <v>0</v>
      </c>
      <c r="Q87" s="486">
        <f t="shared" si="113"/>
        <v>243.304</v>
      </c>
      <c r="R87" s="486"/>
      <c r="S87" s="486">
        <f t="shared" si="113"/>
        <v>237.7</v>
      </c>
      <c r="T87" s="486">
        <f t="shared" si="113"/>
        <v>259.2</v>
      </c>
      <c r="U87" s="486">
        <f t="shared" si="113"/>
        <v>262.7</v>
      </c>
      <c r="V87" s="486">
        <f t="shared" si="113"/>
        <v>270.21499999999997</v>
      </c>
      <c r="W87" s="486"/>
      <c r="X87" s="486">
        <f t="shared" si="113"/>
        <v>326</v>
      </c>
      <c r="Y87" s="486">
        <f t="shared" si="113"/>
        <v>339</v>
      </c>
      <c r="Z87" s="486">
        <f t="shared" si="113"/>
        <v>439</v>
      </c>
      <c r="AA87" s="486">
        <f t="shared" si="113"/>
        <v>338</v>
      </c>
      <c r="AB87" s="486"/>
      <c r="AC87" s="486">
        <f t="shared" si="113"/>
        <v>364</v>
      </c>
      <c r="AD87" s="486">
        <f t="shared" si="113"/>
        <v>460</v>
      </c>
      <c r="AE87" s="486">
        <f t="shared" si="113"/>
        <v>522</v>
      </c>
      <c r="AF87" s="486">
        <f t="shared" si="113"/>
        <v>475</v>
      </c>
      <c r="AG87" s="486"/>
      <c r="AH87" s="486">
        <f t="shared" si="113"/>
        <v>527</v>
      </c>
      <c r="AI87" s="486">
        <f t="shared" si="113"/>
        <v>591</v>
      </c>
      <c r="AJ87" s="486">
        <f t="shared" si="113"/>
        <v>580</v>
      </c>
      <c r="AK87" s="486">
        <f t="shared" si="113"/>
        <v>581</v>
      </c>
      <c r="AL87" s="486"/>
      <c r="AM87" s="486">
        <f t="shared" si="113"/>
        <v>1052</v>
      </c>
      <c r="AN87" s="486">
        <f t="shared" si="113"/>
        <v>771</v>
      </c>
      <c r="AO87" s="486">
        <f t="shared" si="113"/>
        <v>681</v>
      </c>
      <c r="AP87" s="486">
        <f t="shared" si="113"/>
        <v>639</v>
      </c>
      <c r="AQ87" s="486"/>
      <c r="AR87" s="486">
        <f t="shared" ref="AR87:CB87" si="114">+AR89-AR88</f>
        <v>855</v>
      </c>
      <c r="AS87" s="486">
        <f t="shared" si="114"/>
        <v>975</v>
      </c>
      <c r="AT87" s="486">
        <f t="shared" si="114"/>
        <v>866</v>
      </c>
      <c r="AU87" s="486">
        <f t="shared" si="114"/>
        <v>980</v>
      </c>
      <c r="AV87" s="486"/>
      <c r="AW87" s="486">
        <f t="shared" si="114"/>
        <v>788</v>
      </c>
      <c r="AX87" s="486">
        <f t="shared" si="114"/>
        <v>1081</v>
      </c>
      <c r="AY87" s="486">
        <f t="shared" si="114"/>
        <v>1055</v>
      </c>
      <c r="AZ87" s="486">
        <f t="shared" si="114"/>
        <v>1460</v>
      </c>
      <c r="BA87" s="486"/>
      <c r="BB87" s="486">
        <f t="shared" si="114"/>
        <v>1153</v>
      </c>
      <c r="BC87" s="486">
        <f t="shared" si="114"/>
        <v>2029</v>
      </c>
      <c r="BD87" s="486">
        <f t="shared" si="114"/>
        <v>1689</v>
      </c>
      <c r="BE87" s="486">
        <f t="shared" si="114"/>
        <v>2245</v>
      </c>
      <c r="BF87" s="486"/>
      <c r="BG87" s="486">
        <f t="shared" si="114"/>
        <v>2207</v>
      </c>
      <c r="BH87" s="486">
        <f t="shared" si="114"/>
        <v>3284</v>
      </c>
      <c r="BI87" s="486">
        <f t="shared" si="114"/>
        <v>2902</v>
      </c>
      <c r="BJ87" s="486">
        <f t="shared" si="114"/>
        <v>3250</v>
      </c>
      <c r="BK87" s="486"/>
      <c r="BL87" s="486">
        <f t="shared" si="114"/>
        <v>3172</v>
      </c>
      <c r="BM87" s="486">
        <f t="shared" si="114"/>
        <v>4143</v>
      </c>
      <c r="BN87" s="486">
        <f t="shared" si="114"/>
        <v>3532</v>
      </c>
      <c r="BO87" s="486">
        <f t="shared" si="114"/>
        <v>3671</v>
      </c>
      <c r="BP87" s="486"/>
      <c r="BQ87" s="486">
        <f t="shared" si="114"/>
        <v>3615</v>
      </c>
      <c r="BR87" s="486">
        <f t="shared" si="114"/>
        <v>5095</v>
      </c>
      <c r="BS87" s="486">
        <f t="shared" si="114"/>
        <v>4446</v>
      </c>
      <c r="BT87" s="486">
        <f t="shared" si="114"/>
        <v>5338</v>
      </c>
      <c r="BU87" s="486"/>
      <c r="BV87" s="486">
        <f t="shared" si="114"/>
        <v>4668</v>
      </c>
      <c r="BW87" s="486">
        <f t="shared" si="114"/>
        <v>5148</v>
      </c>
      <c r="BX87" s="486">
        <f t="shared" si="114"/>
        <v>4281</v>
      </c>
      <c r="BY87" s="486">
        <f t="shared" si="114"/>
        <v>5438</v>
      </c>
      <c r="BZ87" s="486"/>
      <c r="CA87" s="486">
        <f t="shared" si="114"/>
        <v>4726</v>
      </c>
      <c r="CB87" s="486">
        <f t="shared" si="114"/>
        <v>5795</v>
      </c>
      <c r="CC87" s="486">
        <f>+CC90*(IS!CC8/(365/4))</f>
        <v>5027.3972602739723</v>
      </c>
      <c r="CD87" s="486">
        <f>+CD90*(IS!CD8/(365/4))</f>
        <v>5804.317808219178</v>
      </c>
      <c r="CE87" s="486"/>
      <c r="CF87" s="486">
        <f>+CF90*(IS!CF8/(365/4))</f>
        <v>5236.4712328767118</v>
      </c>
      <c r="CG87" s="486">
        <f>+CG90*(IS!CG8/(365/4))</f>
        <v>6164.7780821917813</v>
      </c>
      <c r="CH87" s="486">
        <f>+CH90*(IS!CH8/(365/4))</f>
        <v>5482.0821917808216</v>
      </c>
      <c r="CI87" s="486">
        <f>+CI90*(IS!CI8/(365/4))</f>
        <v>6681.2054794520545</v>
      </c>
      <c r="CJ87" s="486"/>
      <c r="CK87" s="486">
        <f>CK89-CK88</f>
        <v>5950</v>
      </c>
      <c r="CL87" s="486">
        <f>CL89-CL88</f>
        <v>7966</v>
      </c>
      <c r="CM87" s="486">
        <f>CM89-CM88</f>
        <v>6990</v>
      </c>
      <c r="CN87" s="486">
        <f>CN89-CN88</f>
        <v>9458</v>
      </c>
      <c r="CO87" s="486"/>
      <c r="CP87" s="486">
        <f>CP89-CP88</f>
        <v>7022</v>
      </c>
      <c r="CQ87" s="486">
        <f>CQ89-CQ88</f>
        <v>10031</v>
      </c>
      <c r="CR87" s="486">
        <f>CR89-CR88</f>
        <v>8595</v>
      </c>
      <c r="CS87" s="486">
        <f>CS89-CS88</f>
        <v>11455</v>
      </c>
      <c r="CT87" s="486"/>
      <c r="CU87" s="486">
        <f>CU89-CU88</f>
        <v>9115</v>
      </c>
      <c r="CV87" s="486">
        <f>CV89-CV88</f>
        <v>11770</v>
      </c>
      <c r="CW87" s="486">
        <f>CW89-CW88</f>
        <v>10018</v>
      </c>
      <c r="CX87" s="486">
        <f>CX89-CX88</f>
        <v>13742</v>
      </c>
      <c r="CY87" s="486"/>
      <c r="CZ87" s="486">
        <f>CZ89-CZ88</f>
        <v>9703</v>
      </c>
      <c r="DA87" s="486">
        <f>DA89-DA88</f>
        <v>11207</v>
      </c>
      <c r="DB87" s="486">
        <f>DB89-DB88</f>
        <v>9424</v>
      </c>
      <c r="DC87" s="486">
        <f>DC89-DC88</f>
        <v>11643</v>
      </c>
      <c r="DD87" s="486"/>
      <c r="DE87" s="486">
        <f>DE89-DE88</f>
        <v>9023</v>
      </c>
      <c r="DF87" s="486">
        <f>DF89-DF88</f>
        <v>11702</v>
      </c>
      <c r="DG87" s="486">
        <f>DG89-DG88</f>
        <v>9642</v>
      </c>
      <c r="DH87" s="486">
        <f>DH89-DH88</f>
        <v>13389</v>
      </c>
      <c r="DI87" s="486"/>
      <c r="DJ87" s="486">
        <f>DJ89-DJ88</f>
        <v>9958</v>
      </c>
      <c r="DK87" s="486">
        <f>DK89-DK88</f>
        <v>13191</v>
      </c>
      <c r="DL87" s="486">
        <f>DL89-DL88</f>
        <v>10337</v>
      </c>
      <c r="DM87" s="486">
        <f>DM89-DM88</f>
        <v>15320</v>
      </c>
      <c r="DN87" s="486"/>
      <c r="DO87" s="486">
        <f>DO89-DO88</f>
        <v>10450</v>
      </c>
      <c r="DP87" s="486">
        <f>DP89-DP88</f>
        <v>13964</v>
      </c>
      <c r="DQ87" s="486">
        <f>DQ89-DQ88</f>
        <v>11283</v>
      </c>
      <c r="DR87" s="486">
        <f>DR89-DR88</f>
        <v>16169</v>
      </c>
      <c r="DS87" s="488"/>
      <c r="DT87" s="486">
        <f>DT89-DT88</f>
        <v>10136</v>
      </c>
      <c r="DU87" s="486">
        <f>DU89-DU88</f>
        <v>14609</v>
      </c>
      <c r="DV87" s="486">
        <f>DV89-DV88</f>
        <v>12258</v>
      </c>
      <c r="DW87" s="486">
        <f>DW89-DW88</f>
        <v>17822</v>
      </c>
      <c r="DX87" s="488"/>
      <c r="DY87" s="486">
        <f>DY89-DY88</f>
        <v>11301</v>
      </c>
      <c r="DZ87" s="486">
        <f>DZ89-DZ88</f>
        <v>16302</v>
      </c>
      <c r="EA87" s="486">
        <f>EA89-EA88</f>
        <v>13752</v>
      </c>
      <c r="EB87" s="486">
        <f>EB89-EB88</f>
        <v>19845</v>
      </c>
      <c r="EC87" s="488"/>
      <c r="ED87" s="486">
        <f>ED89-ED88</f>
        <v>13156</v>
      </c>
      <c r="EE87" s="486">
        <f>EE89-EE88</f>
        <v>16474</v>
      </c>
      <c r="EF87" s="486">
        <f>EF89-EF88</f>
        <v>12695</v>
      </c>
      <c r="EG87" s="486">
        <f>EG89-EG88</f>
        <v>18243</v>
      </c>
      <c r="EH87" s="486"/>
      <c r="EI87" s="2771">
        <f>EI89-EI88</f>
        <v>11694</v>
      </c>
      <c r="EJ87" s="2771">
        <f>EJ89-EJ88</f>
        <v>14891</v>
      </c>
      <c r="EK87" s="2771">
        <f>EK89-EK88</f>
        <v>12608</v>
      </c>
      <c r="EL87" s="2771">
        <f>EL89-EL88</f>
        <v>21062</v>
      </c>
      <c r="EM87" s="2771"/>
      <c r="EN87" s="2771">
        <f>EN89-EN88</f>
        <v>13763</v>
      </c>
      <c r="EO87" s="2771">
        <f>EO89-EO88</f>
        <v>17077</v>
      </c>
      <c r="EP87" s="2771">
        <f>EP89-EP88</f>
        <v>15725</v>
      </c>
      <c r="EQ87" s="2771">
        <f>EQ89-EQ88</f>
        <v>22776</v>
      </c>
      <c r="ER87" s="2771"/>
      <c r="ES87" s="2771">
        <f>ES89-ES88</f>
        <v>14846</v>
      </c>
      <c r="ET87" s="2771">
        <f>ET89-ET88</f>
        <v>18765</v>
      </c>
      <c r="EU87" s="2771">
        <f>EU89-EU88</f>
        <v>17519</v>
      </c>
      <c r="EV87" s="486">
        <f>+EV90*(IS!EV8/(365/4))</f>
        <v>26929.693940343474</v>
      </c>
      <c r="EW87" s="486"/>
      <c r="EX87" s="486">
        <f>+EX90*(IS!EX8/(365/4))</f>
        <v>17996.144460299955</v>
      </c>
      <c r="EY87" s="486">
        <f>+EY90*(IS!EY8/(365/4))</f>
        <v>21953.275755470153</v>
      </c>
      <c r="EZ87" s="486">
        <f>+EZ90*(IS!EZ8/(365/4))</f>
        <v>18583.967563077211</v>
      </c>
      <c r="FA87" s="486">
        <f>+FA90*(IS!FA8/(365/4))</f>
        <v>29393.335260189782</v>
      </c>
      <c r="FB87" s="486"/>
      <c r="FC87" s="486">
        <f>+FC90*(IS!FC8/(365/4))</f>
        <v>19507.775141289603</v>
      </c>
      <c r="FD87" s="486">
        <f>+FD90*(IS!FD8/(365/4))</f>
        <v>23112.452785697307</v>
      </c>
      <c r="FE87" s="486">
        <f>+FE90*(IS!FE8/(365/4))</f>
        <v>20699.558287985823</v>
      </c>
      <c r="FF87" s="486">
        <f>+FF90*(IS!FF8/(365/4))</f>
        <v>33330.163368296977</v>
      </c>
      <c r="FG87" s="486"/>
      <c r="FH87" s="486">
        <f>+FH90*(IS!FH8/(365/4))</f>
        <v>21837.066917038432</v>
      </c>
      <c r="FI87" s="486">
        <f>+FI90*(IS!FI8/(365/4))</f>
        <v>25382.533079628236</v>
      </c>
      <c r="FJ87" s="486">
        <f>+FJ90*(IS!FJ8/(365/4))</f>
        <v>23131.952388464881</v>
      </c>
      <c r="FK87" s="486">
        <f>+FK90*(IS!FK8/(365/4))</f>
        <v>37185.634435522574</v>
      </c>
      <c r="FL87" s="486"/>
      <c r="FM87" s="527"/>
      <c r="FO87"/>
      <c r="FP87"/>
      <c r="FQ87"/>
      <c r="FR87"/>
      <c r="FS87"/>
      <c r="FT87"/>
      <c r="FU87" s="261"/>
      <c r="FV87" s="261"/>
      <c r="FW87" s="261"/>
      <c r="FX87" s="261"/>
    </row>
    <row r="88" spans="1:180" s="264" customFormat="1" ht="11.25" customHeight="1">
      <c r="A88" s="528" t="s">
        <v>885</v>
      </c>
      <c r="D88" s="242"/>
      <c r="E88" s="242"/>
      <c r="F88" s="242"/>
      <c r="G88" s="242"/>
      <c r="H88" s="242"/>
      <c r="I88" s="242"/>
      <c r="J88" s="242"/>
      <c r="K88" s="242"/>
      <c r="L88" s="242"/>
      <c r="M88" s="242"/>
      <c r="N88" s="242"/>
      <c r="O88" s="242"/>
      <c r="P88" s="242"/>
      <c r="Q88" s="242"/>
      <c r="R88" s="242"/>
      <c r="S88" s="242"/>
      <c r="T88" s="242"/>
      <c r="U88" s="242"/>
      <c r="V88" s="242"/>
      <c r="W88" s="242"/>
      <c r="X88" s="242"/>
      <c r="Y88" s="242"/>
      <c r="Z88" s="242"/>
      <c r="AA88" s="1127">
        <v>0</v>
      </c>
      <c r="AB88" s="242"/>
      <c r="AC88" s="1127">
        <v>0</v>
      </c>
      <c r="AD88" s="1127">
        <v>0</v>
      </c>
      <c r="AE88" s="1127">
        <v>0</v>
      </c>
      <c r="AF88" s="1127">
        <v>0</v>
      </c>
      <c r="AG88" s="242"/>
      <c r="AH88" s="1127">
        <v>0</v>
      </c>
      <c r="AI88" s="1127">
        <v>0</v>
      </c>
      <c r="AJ88" s="1127">
        <v>0</v>
      </c>
      <c r="AK88" s="1127">
        <v>0</v>
      </c>
      <c r="AL88" s="242"/>
      <c r="AM88" s="1127">
        <v>0</v>
      </c>
      <c r="AN88" s="1127">
        <v>0</v>
      </c>
      <c r="AO88" s="1127">
        <v>0</v>
      </c>
      <c r="AP88" s="1127">
        <v>0</v>
      </c>
      <c r="AQ88" s="242"/>
      <c r="AR88" s="1127">
        <v>0</v>
      </c>
      <c r="AS88" s="1127">
        <v>0</v>
      </c>
      <c r="AT88" s="1127">
        <v>0</v>
      </c>
      <c r="AU88" s="1127">
        <v>0</v>
      </c>
      <c r="AV88" s="242"/>
      <c r="AW88" s="1127">
        <v>0</v>
      </c>
      <c r="AX88" s="1127">
        <v>0</v>
      </c>
      <c r="AY88" s="1127">
        <v>0</v>
      </c>
      <c r="AZ88" s="1127">
        <v>0</v>
      </c>
      <c r="BA88" s="242"/>
      <c r="BB88" s="1127">
        <v>0</v>
      </c>
      <c r="BC88" s="1127">
        <v>0</v>
      </c>
      <c r="BD88" s="1127">
        <v>0</v>
      </c>
      <c r="BE88" s="1127">
        <v>0</v>
      </c>
      <c r="BF88" s="242"/>
      <c r="BG88" s="1127">
        <v>0</v>
      </c>
      <c r="BH88" s="1127">
        <v>0</v>
      </c>
      <c r="BI88" s="1127">
        <v>0</v>
      </c>
      <c r="BJ88" s="1127">
        <v>0</v>
      </c>
      <c r="BK88" s="242"/>
      <c r="BL88" s="1127">
        <v>0</v>
      </c>
      <c r="BM88" s="1127">
        <v>0</v>
      </c>
      <c r="BN88" s="1127">
        <v>0</v>
      </c>
      <c r="BO88" s="1127">
        <v>0</v>
      </c>
      <c r="BP88" s="242"/>
      <c r="BQ88" s="1127">
        <v>0</v>
      </c>
      <c r="BR88" s="1127">
        <v>0</v>
      </c>
      <c r="BS88" s="1127">
        <v>-216</v>
      </c>
      <c r="BT88" s="1127">
        <v>-209</v>
      </c>
      <c r="BU88" s="242"/>
      <c r="BV88" s="1127">
        <v>-218</v>
      </c>
      <c r="BW88" s="1127">
        <v>-254</v>
      </c>
      <c r="BX88" s="1127">
        <v>-206</v>
      </c>
      <c r="BY88" s="1127">
        <v>-242</v>
      </c>
      <c r="BZ88" s="242"/>
      <c r="CA88" s="1127">
        <v>-193</v>
      </c>
      <c r="CB88" s="1127">
        <v>-187</v>
      </c>
      <c r="CC88" s="242">
        <f>+BX88/BX87*CC87</f>
        <v>-241.91633628041072</v>
      </c>
      <c r="CD88" s="242">
        <f>+BY88/BY87*CD87</f>
        <v>-258.30174872913591</v>
      </c>
      <c r="CE88" s="242"/>
      <c r="CF88" s="242">
        <f>+CA88/CA87*CF87</f>
        <v>-213.8465822990278</v>
      </c>
      <c r="CG88" s="242">
        <f>+CB88/CB87*CG87</f>
        <v>-198.93244199652514</v>
      </c>
      <c r="CH88" s="242">
        <f>+CC88/CC87*CH87</f>
        <v>-263.79559250335183</v>
      </c>
      <c r="CI88" s="242">
        <f>+CD88/CD87*CI87</f>
        <v>-297.32470136583248</v>
      </c>
      <c r="CJ88" s="242"/>
      <c r="CK88" s="1127">
        <v>-151</v>
      </c>
      <c r="CL88" s="1127">
        <v>-208</v>
      </c>
      <c r="CM88" s="1127">
        <v>-172</v>
      </c>
      <c r="CN88" s="1127">
        <v>-142</v>
      </c>
      <c r="CO88" s="242"/>
      <c r="CP88" s="1127">
        <v>-143</v>
      </c>
      <c r="CQ88" s="1127">
        <v>-136</v>
      </c>
      <c r="CR88" s="1127">
        <v>-141</v>
      </c>
      <c r="CS88" s="1127">
        <v>-117</v>
      </c>
      <c r="CT88" s="242"/>
      <c r="CU88" s="1127">
        <v>-133</v>
      </c>
      <c r="CV88" s="1127">
        <v>-149</v>
      </c>
      <c r="CW88" s="1127">
        <v>-147</v>
      </c>
      <c r="CX88" s="1127">
        <v>-153</v>
      </c>
      <c r="CY88" s="242"/>
      <c r="CZ88" s="1127">
        <v>-168</v>
      </c>
      <c r="DA88" s="1127">
        <v>-254</v>
      </c>
      <c r="DB88" s="1127">
        <v>-242</v>
      </c>
      <c r="DC88" s="1127">
        <v>-451</v>
      </c>
      <c r="DD88" s="242"/>
      <c r="DE88" s="1127">
        <v>-436</v>
      </c>
      <c r="DF88" s="1127">
        <v>-506</v>
      </c>
      <c r="DG88" s="1127">
        <v>-505</v>
      </c>
      <c r="DH88" s="1127">
        <v>-375</v>
      </c>
      <c r="DI88" s="242"/>
      <c r="DJ88" s="1127">
        <v>-312</v>
      </c>
      <c r="DK88" s="1127">
        <v>-317</v>
      </c>
      <c r="DL88" s="1127">
        <v>-304</v>
      </c>
      <c r="DM88" s="1127">
        <v>-333</v>
      </c>
      <c r="DN88" s="242"/>
      <c r="DO88" s="1127">
        <v>-297</v>
      </c>
      <c r="DP88" s="1127">
        <v>-321</v>
      </c>
      <c r="DQ88" s="1127">
        <v>-322</v>
      </c>
      <c r="DR88" s="1127">
        <v>-389</v>
      </c>
      <c r="DS88" s="484"/>
      <c r="DT88" s="1127">
        <v>-265</v>
      </c>
      <c r="DU88" s="1127">
        <v>-292</v>
      </c>
      <c r="DV88" s="1127">
        <v>-267</v>
      </c>
      <c r="DW88" s="1127">
        <v>-336</v>
      </c>
      <c r="DX88" s="484"/>
      <c r="DY88" s="1127">
        <v>-294</v>
      </c>
      <c r="DZ88" s="1127">
        <v>-316</v>
      </c>
      <c r="EA88" s="1127">
        <v>-255</v>
      </c>
      <c r="EB88" s="1127">
        <v>-301</v>
      </c>
      <c r="EC88" s="484"/>
      <c r="ED88" s="1127">
        <v>-269</v>
      </c>
      <c r="EE88" s="1127">
        <v>-288</v>
      </c>
      <c r="EF88" s="1127">
        <v>-268</v>
      </c>
      <c r="EG88" s="1127">
        <v>-335</v>
      </c>
      <c r="EH88" s="242"/>
      <c r="EI88" s="2769">
        <v>-250</v>
      </c>
      <c r="EJ88" s="2769">
        <v>-384</v>
      </c>
      <c r="EK88" s="2769">
        <v>-361</v>
      </c>
      <c r="EL88" s="2559">
        <v>-426</v>
      </c>
      <c r="EM88" s="2562"/>
      <c r="EN88" s="2769">
        <v>-284</v>
      </c>
      <c r="EO88" s="2769">
        <v>-340</v>
      </c>
      <c r="EP88" s="2769">
        <v>-361</v>
      </c>
      <c r="EQ88" s="2559">
        <v>-345</v>
      </c>
      <c r="ER88" s="2562"/>
      <c r="ES88" s="2769">
        <v>-285</v>
      </c>
      <c r="ET88" s="2769">
        <v>-337</v>
      </c>
      <c r="EU88" s="2769">
        <v>-311</v>
      </c>
      <c r="EV88" s="242">
        <f>+EQ88/EQ87*EV87</f>
        <v>-407.91817744197834</v>
      </c>
      <c r="EW88" s="242"/>
      <c r="EX88" s="242">
        <f>+ES88/ES87*EX87</f>
        <v>-345.47360711204948</v>
      </c>
      <c r="EY88" s="242">
        <f>+ET88/ET87*EY87</f>
        <v>-394.25813640252818</v>
      </c>
      <c r="EZ88" s="242">
        <f>+EU88/EU87*EZ87</f>
        <v>-329.90546904029981</v>
      </c>
      <c r="FA88" s="242">
        <f>+EV88/EV87*FA87</f>
        <v>-445.23624274523513</v>
      </c>
      <c r="FB88" s="242"/>
      <c r="FC88" s="242">
        <f>+EX88/EX87*FC87</f>
        <v>-374.49251753115561</v>
      </c>
      <c r="FD88" s="242">
        <f>+EY88/EY87*FD87</f>
        <v>-415.07575746229639</v>
      </c>
      <c r="FE88" s="242">
        <f>+EZ88/EZ87*FE87</f>
        <v>-367.46176308942239</v>
      </c>
      <c r="FF88" s="242">
        <f>+FA88/FA87*FF87</f>
        <v>-504.86943985170609</v>
      </c>
      <c r="FG88" s="242"/>
      <c r="FH88" s="242">
        <f>+FC88/FC87*FH87</f>
        <v>-419.208141678294</v>
      </c>
      <c r="FI88" s="242">
        <f>+FD88/FD87*FI87</f>
        <v>-455.84405264240422</v>
      </c>
      <c r="FJ88" s="242">
        <f>+FE88/FE87*FJ87</f>
        <v>-410.6419997038974</v>
      </c>
      <c r="FK88" s="242">
        <f>+FF88/FF87*FK87</f>
        <v>-563.27027925251525</v>
      </c>
      <c r="FL88" s="242"/>
      <c r="FO88"/>
      <c r="FP88"/>
      <c r="FQ88"/>
      <c r="FR88"/>
      <c r="FS88"/>
      <c r="FT88"/>
      <c r="FU88" s="261"/>
      <c r="FV88" s="261"/>
      <c r="FW88" s="261"/>
      <c r="FX88" s="261"/>
    </row>
    <row r="89" spans="1:180" s="486" customFormat="1" ht="11.25" customHeight="1">
      <c r="A89" s="486" t="s">
        <v>886</v>
      </c>
      <c r="D89" s="486">
        <f>+D10</f>
        <v>0</v>
      </c>
      <c r="E89" s="486">
        <f>+E10</f>
        <v>0</v>
      </c>
      <c r="F89" s="486">
        <f>+F10</f>
        <v>0</v>
      </c>
      <c r="G89" s="486">
        <f>+G10</f>
        <v>0</v>
      </c>
      <c r="I89" s="486">
        <f>+I10</f>
        <v>0</v>
      </c>
      <c r="J89" s="486">
        <f>+J10</f>
        <v>0</v>
      </c>
      <c r="K89" s="486">
        <f>+K10</f>
        <v>0</v>
      </c>
      <c r="L89" s="486">
        <f>+L10</f>
        <v>0</v>
      </c>
      <c r="N89" s="486">
        <f>+N10</f>
        <v>0</v>
      </c>
      <c r="O89" s="486">
        <f>+O10</f>
        <v>0</v>
      </c>
      <c r="P89" s="486">
        <f>+P10</f>
        <v>0</v>
      </c>
      <c r="Q89" s="486">
        <f>+Q10</f>
        <v>243.304</v>
      </c>
      <c r="S89" s="486">
        <f>+S10</f>
        <v>237.7</v>
      </c>
      <c r="T89" s="486">
        <f>+T10</f>
        <v>259.2</v>
      </c>
      <c r="U89" s="486">
        <f>+U10</f>
        <v>262.7</v>
      </c>
      <c r="V89" s="486">
        <f>+V10</f>
        <v>270.21499999999997</v>
      </c>
      <c r="X89" s="486">
        <f>+X10</f>
        <v>326</v>
      </c>
      <c r="Y89" s="486">
        <f>+Y10</f>
        <v>339</v>
      </c>
      <c r="Z89" s="486">
        <f>+Z10</f>
        <v>439</v>
      </c>
      <c r="AA89" s="486">
        <f>+AA10</f>
        <v>338</v>
      </c>
      <c r="AC89" s="486">
        <f>+AC10</f>
        <v>364</v>
      </c>
      <c r="AD89" s="486">
        <f>+AD10</f>
        <v>460</v>
      </c>
      <c r="AE89" s="486">
        <f>+AE10</f>
        <v>522</v>
      </c>
      <c r="AF89" s="486">
        <f>+AF10</f>
        <v>475</v>
      </c>
      <c r="AH89" s="486">
        <f>+AH10</f>
        <v>527</v>
      </c>
      <c r="AI89" s="486">
        <f>+AI10</f>
        <v>591</v>
      </c>
      <c r="AJ89" s="486">
        <f>+AJ10</f>
        <v>580</v>
      </c>
      <c r="AK89" s="486">
        <f>+AK10</f>
        <v>581</v>
      </c>
      <c r="AM89" s="486">
        <f>+AM10</f>
        <v>1052</v>
      </c>
      <c r="AN89" s="486">
        <f>+AN10</f>
        <v>771</v>
      </c>
      <c r="AO89" s="486">
        <f>+AO10</f>
        <v>681</v>
      </c>
      <c r="AP89" s="486">
        <f>+AP10</f>
        <v>639</v>
      </c>
      <c r="AR89" s="486">
        <f>+AR10</f>
        <v>855</v>
      </c>
      <c r="AS89" s="486">
        <f>+AS10</f>
        <v>975</v>
      </c>
      <c r="AT89" s="486">
        <f>+AT10</f>
        <v>866</v>
      </c>
      <c r="AU89" s="486">
        <f>+AU10</f>
        <v>980</v>
      </c>
      <c r="AW89" s="486">
        <f>+AW10</f>
        <v>788</v>
      </c>
      <c r="AX89" s="486">
        <f>+AX10</f>
        <v>1081</v>
      </c>
      <c r="AY89" s="486">
        <f>+AY10</f>
        <v>1055</v>
      </c>
      <c r="AZ89" s="486">
        <f>+AZ10</f>
        <v>1460</v>
      </c>
      <c r="BB89" s="486">
        <f>+BB10</f>
        <v>1153</v>
      </c>
      <c r="BC89" s="486">
        <f>+BC10</f>
        <v>2029</v>
      </c>
      <c r="BD89" s="486">
        <f>+BD10</f>
        <v>1689</v>
      </c>
      <c r="BE89" s="486">
        <f>+BE10</f>
        <v>2245</v>
      </c>
      <c r="BG89" s="486">
        <f>+BG10</f>
        <v>2207</v>
      </c>
      <c r="BH89" s="486">
        <f>+BH10</f>
        <v>3284</v>
      </c>
      <c r="BI89" s="486">
        <f>+BI10</f>
        <v>2902</v>
      </c>
      <c r="BJ89" s="486">
        <f>+BJ10</f>
        <v>3250</v>
      </c>
      <c r="BL89" s="486">
        <f>+BL10</f>
        <v>3172</v>
      </c>
      <c r="BM89" s="486">
        <f>+BM10</f>
        <v>4143</v>
      </c>
      <c r="BN89" s="486">
        <f>+BN10</f>
        <v>3532</v>
      </c>
      <c r="BO89" s="486">
        <f>+BO10</f>
        <v>3671</v>
      </c>
      <c r="BQ89" s="486">
        <f>+BQ10</f>
        <v>3615</v>
      </c>
      <c r="BR89" s="486">
        <f>+BR10</f>
        <v>5095</v>
      </c>
      <c r="BS89" s="486">
        <f>+BS10</f>
        <v>4230</v>
      </c>
      <c r="BT89" s="486">
        <f>+BT10</f>
        <v>5129</v>
      </c>
      <c r="BV89" s="486">
        <f>+BV10</f>
        <v>4450</v>
      </c>
      <c r="BW89" s="486">
        <f>+BW10</f>
        <v>4894</v>
      </c>
      <c r="BX89" s="486">
        <f>+BX10</f>
        <v>4075</v>
      </c>
      <c r="BY89" s="486">
        <f>+BY10</f>
        <v>5196</v>
      </c>
      <c r="CA89" s="486">
        <f>+CA10</f>
        <v>4533</v>
      </c>
      <c r="CB89" s="486">
        <f>+CB10</f>
        <v>5608</v>
      </c>
      <c r="CC89" s="486">
        <f t="shared" ref="CC89:CI89" si="115">+CC87+CC88</f>
        <v>4785.4809239935612</v>
      </c>
      <c r="CD89" s="486">
        <f t="shared" si="115"/>
        <v>5546.0160594900417</v>
      </c>
      <c r="CF89" s="486">
        <f t="shared" si="115"/>
        <v>5022.6246505776844</v>
      </c>
      <c r="CG89" s="486">
        <f t="shared" si="115"/>
        <v>5965.8456401952562</v>
      </c>
      <c r="CH89" s="486">
        <f t="shared" si="115"/>
        <v>5218.2865992774696</v>
      </c>
      <c r="CI89" s="486">
        <f t="shared" si="115"/>
        <v>6383.8807780862217</v>
      </c>
      <c r="CK89" s="486">
        <f>CK10</f>
        <v>5799</v>
      </c>
      <c r="CL89" s="486">
        <f>CL10</f>
        <v>7758</v>
      </c>
      <c r="CM89" s="486">
        <f>CM10</f>
        <v>6818</v>
      </c>
      <c r="CN89" s="486">
        <f>CN10</f>
        <v>9316</v>
      </c>
      <c r="CP89" s="486">
        <f>CP10</f>
        <v>6879</v>
      </c>
      <c r="CQ89" s="486">
        <f>CQ10</f>
        <v>9895</v>
      </c>
      <c r="CR89" s="486">
        <f>CR10</f>
        <v>8454</v>
      </c>
      <c r="CS89" s="486">
        <f>CS10</f>
        <v>11338</v>
      </c>
      <c r="CU89" s="486">
        <f>CU10</f>
        <v>8982</v>
      </c>
      <c r="CV89" s="486">
        <f>CV10</f>
        <v>11621</v>
      </c>
      <c r="CW89" s="486">
        <f>CW10</f>
        <v>9871</v>
      </c>
      <c r="CX89" s="486">
        <f>CX10</f>
        <v>13589</v>
      </c>
      <c r="CZ89" s="486">
        <f>CZ10</f>
        <v>9535</v>
      </c>
      <c r="DA89" s="486">
        <f>DA10</f>
        <v>10953</v>
      </c>
      <c r="DB89" s="486">
        <f>DB10</f>
        <v>9182</v>
      </c>
      <c r="DC89" s="486">
        <f>DC10</f>
        <v>11192</v>
      </c>
      <c r="DE89" s="486">
        <f>DE10</f>
        <v>8587</v>
      </c>
      <c r="DF89" s="486">
        <f>DF10</f>
        <v>11196</v>
      </c>
      <c r="DG89" s="486">
        <f>DG10</f>
        <v>9137</v>
      </c>
      <c r="DH89" s="486">
        <f>DH10</f>
        <v>13014</v>
      </c>
      <c r="DJ89" s="486">
        <f>DJ10</f>
        <v>9646</v>
      </c>
      <c r="DK89" s="486">
        <f>DK10</f>
        <v>12874</v>
      </c>
      <c r="DL89" s="486">
        <f>DL10</f>
        <v>10033</v>
      </c>
      <c r="DM89" s="486">
        <f>DM10</f>
        <v>14987</v>
      </c>
      <c r="DO89" s="486">
        <f>DO10</f>
        <v>10153</v>
      </c>
      <c r="DP89" s="486">
        <f>DP10</f>
        <v>13643</v>
      </c>
      <c r="DQ89" s="486">
        <f>DQ10</f>
        <v>10961</v>
      </c>
      <c r="DR89" s="486">
        <f>DR10</f>
        <v>15780</v>
      </c>
      <c r="DS89" s="488"/>
      <c r="DT89" s="486">
        <f>DT10</f>
        <v>9871</v>
      </c>
      <c r="DU89" s="486">
        <f>DU10</f>
        <v>14317</v>
      </c>
      <c r="DV89" s="486">
        <f>DV10</f>
        <v>11991</v>
      </c>
      <c r="DW89" s="486">
        <f>DW10</f>
        <v>17486</v>
      </c>
      <c r="DX89" s="488"/>
      <c r="DY89" s="486">
        <f>DY10</f>
        <v>11007</v>
      </c>
      <c r="DZ89" s="486">
        <f>DZ10</f>
        <v>15986</v>
      </c>
      <c r="EA89" s="486">
        <f>EA10</f>
        <v>13497</v>
      </c>
      <c r="EB89" s="486">
        <f>EB10</f>
        <v>19544</v>
      </c>
      <c r="EC89" s="488"/>
      <c r="ED89" s="486">
        <f>ED10</f>
        <v>12887</v>
      </c>
      <c r="EE89" s="486">
        <f>EE10</f>
        <v>16186</v>
      </c>
      <c r="EF89" s="486">
        <f>EF10</f>
        <v>12427</v>
      </c>
      <c r="EG89" s="486">
        <f>EG10</f>
        <v>17908</v>
      </c>
      <c r="EI89" s="2771">
        <f>EI10</f>
        <v>11444</v>
      </c>
      <c r="EJ89" s="2771">
        <f>EJ10</f>
        <v>14507</v>
      </c>
      <c r="EK89" s="2771">
        <f>EK10</f>
        <v>12247</v>
      </c>
      <c r="EL89" s="2771">
        <f>EL10</f>
        <v>20636</v>
      </c>
      <c r="EM89" s="2771"/>
      <c r="EN89" s="2771">
        <f>EN10</f>
        <v>13479</v>
      </c>
      <c r="EO89" s="2771">
        <f>EO10</f>
        <v>16737</v>
      </c>
      <c r="EP89" s="2771">
        <f>EP10</f>
        <v>15364</v>
      </c>
      <c r="EQ89" s="2771">
        <f>EQ10</f>
        <v>22431</v>
      </c>
      <c r="ER89" s="2771"/>
      <c r="ES89" s="2771">
        <f>ES10</f>
        <v>14561</v>
      </c>
      <c r="ET89" s="2771">
        <f>ET10</f>
        <v>18428</v>
      </c>
      <c r="EU89" s="2771">
        <f>EU10</f>
        <v>17208</v>
      </c>
      <c r="EV89" s="486">
        <f>+EV87+EV88</f>
        <v>26521.775762901496</v>
      </c>
      <c r="EX89" s="486">
        <f>+EX87+EX88</f>
        <v>17650.670853187905</v>
      </c>
      <c r="EY89" s="486">
        <f>+EY87+EY88</f>
        <v>21559.017619067625</v>
      </c>
      <c r="EZ89" s="486">
        <f>+EZ87+EZ88</f>
        <v>18254.062094036912</v>
      </c>
      <c r="FA89" s="486">
        <f>+FA87+FA88</f>
        <v>28948.099017444547</v>
      </c>
      <c r="FC89" s="486">
        <f>+FC87+FC88</f>
        <v>19133.282623758449</v>
      </c>
      <c r="FD89" s="486">
        <f>+FD87+FD88</f>
        <v>22697.377028235012</v>
      </c>
      <c r="FE89" s="486">
        <f>+FE87+FE88</f>
        <v>20332.096524896402</v>
      </c>
      <c r="FF89" s="486">
        <f>+FF87+FF88</f>
        <v>32825.293928445273</v>
      </c>
      <c r="FH89" s="486">
        <f>+FH87+FH88</f>
        <v>21417.858775360139</v>
      </c>
      <c r="FI89" s="486">
        <f>+FI87+FI88</f>
        <v>24926.68902698583</v>
      </c>
      <c r="FJ89" s="486">
        <f>+FJ87+FJ88</f>
        <v>22721.310388760983</v>
      </c>
      <c r="FK89" s="486">
        <f>+FK87+FK88</f>
        <v>36622.364156270058</v>
      </c>
      <c r="FO89"/>
      <c r="FP89"/>
      <c r="FQ89"/>
      <c r="FR89"/>
      <c r="FS89"/>
      <c r="FT89"/>
      <c r="FU89" s="261"/>
      <c r="FV89" s="261"/>
      <c r="FW89" s="261"/>
      <c r="FX89" s="261"/>
    </row>
    <row r="90" spans="1:180" s="264" customFormat="1" ht="11.25" customHeight="1">
      <c r="A90" s="264" t="s">
        <v>890</v>
      </c>
      <c r="D90" s="437">
        <f>+BS!D87/(IS!D8/(365/4))</f>
        <v>0</v>
      </c>
      <c r="E90" s="437">
        <f>+BS!E87/(IS!E8/(365/4))</f>
        <v>0</v>
      </c>
      <c r="F90" s="437">
        <f>+BS!F87/(IS!F8/(365/4))</f>
        <v>0</v>
      </c>
      <c r="G90" s="437">
        <f>+BS!G87/(IS!G8/(365/4))</f>
        <v>0</v>
      </c>
      <c r="H90" s="437"/>
      <c r="I90" s="437">
        <f>+BS!I87/(IS!I8/(365/4))</f>
        <v>0</v>
      </c>
      <c r="J90" s="437">
        <f>+BS!J87/(IS!J8/(365/4))</f>
        <v>0</v>
      </c>
      <c r="K90" s="437">
        <f>+BS!K87/(IS!K8/(365/4))</f>
        <v>0</v>
      </c>
      <c r="L90" s="437">
        <f>+BS!L87/(IS!L8/(365/4))</f>
        <v>0</v>
      </c>
      <c r="M90" s="437"/>
      <c r="N90" s="437">
        <f>+BS!N87/(IS!N8/(365/4))</f>
        <v>0</v>
      </c>
      <c r="O90" s="437">
        <f>+BS!O87/(IS!O8/(365/4))</f>
        <v>0</v>
      </c>
      <c r="P90" s="437">
        <f>+BS!P87/(IS!P8/(365/4))</f>
        <v>0</v>
      </c>
      <c r="Q90" s="437">
        <f>+BS!Q87/(IS!Q8/(365/4))</f>
        <v>42.048276515151514</v>
      </c>
      <c r="R90" s="437"/>
      <c r="S90" s="437">
        <f>+BS!S87/(IS!S8/(365/4))</f>
        <v>37.140624999999993</v>
      </c>
      <c r="T90" s="437">
        <f>+BS!T87/(IS!T8/(365/4))</f>
        <v>34.478134110787167</v>
      </c>
      <c r="U90" s="437">
        <f>+BS!U87/(IS!U8/(365/4))</f>
        <v>34.943695335276963</v>
      </c>
      <c r="V90" s="437">
        <f>+BS!V87/(IS!V8/(365/4))</f>
        <v>30.033031364190006</v>
      </c>
      <c r="W90" s="437"/>
      <c r="X90" s="437">
        <f>+BS!X87/(IS!X8/(365/4))</f>
        <v>36.101334951456309</v>
      </c>
      <c r="Y90" s="437">
        <f>+BS!Y87/(IS!Y8/(365/4))</f>
        <v>32.734126984126981</v>
      </c>
      <c r="Z90" s="437">
        <f>+BS!Z87/(IS!Z8/(365/4))</f>
        <v>41.34029927760578</v>
      </c>
      <c r="AA90" s="437">
        <f>+BS!AA87/(IS!AA8/(365/4))</f>
        <v>29.429866412213737</v>
      </c>
      <c r="AB90" s="437"/>
      <c r="AC90" s="437">
        <f>+BS!AC87/(IS!AC8/(365/4))</f>
        <v>33.348393574297191</v>
      </c>
      <c r="AD90" s="437">
        <f>+BS!AD87/(IS!AD8/(365/4))</f>
        <v>36.627399650959859</v>
      </c>
      <c r="AE90" s="437">
        <f>+BS!AE87/(IS!AE8/(365/4))</f>
        <v>37.773592386994444</v>
      </c>
      <c r="AF90" s="437">
        <f>+BS!AF87/(IS!AF8/(365/4))</f>
        <v>33.061594202898554</v>
      </c>
      <c r="AG90" s="437"/>
      <c r="AH90" s="437">
        <f>+BS!AH87/(IS!AH8/(365/4))</f>
        <v>37.865157480314956</v>
      </c>
      <c r="AI90" s="437">
        <f>+BS!AI87/(IS!AI8/(365/4))</f>
        <v>35.573054089709757</v>
      </c>
      <c r="AJ90" s="437">
        <f>+BS!AJ87/(IS!AJ8/(365/4))</f>
        <v>32.529194837123541</v>
      </c>
      <c r="AK90" s="437">
        <f>+BS!AK87/(IS!AK8/(365/4))</f>
        <v>31.89906738868833</v>
      </c>
      <c r="AL90" s="437"/>
      <c r="AM90" s="437">
        <f>+BS!AM87/(IS!AM8/(365/4))</f>
        <v>46.040767386091126</v>
      </c>
      <c r="AN90" s="437">
        <f>+BS!AN87/(IS!AN8/(365/4))</f>
        <v>30.7624617402711</v>
      </c>
      <c r="AO90" s="437">
        <f>+BS!AO87/(IS!AO8/(365/4))</f>
        <v>26.889333621808742</v>
      </c>
      <c r="AP90" s="437">
        <f>+BS!AP87/(IS!AP8/(365/4))</f>
        <v>24.634030418250951</v>
      </c>
      <c r="AQ90" s="437"/>
      <c r="AR90" s="437">
        <f>+BS!AR87/(IS!AR8/(365/4))</f>
        <v>32.440228690228686</v>
      </c>
      <c r="AS90" s="437">
        <f>+BS!AS87/(IS!AS8/(365/4))</f>
        <v>31.684027777777775</v>
      </c>
      <c r="AT90" s="437">
        <f>+BS!AT87/(IS!AT8/(365/4))</f>
        <v>23.483655274888555</v>
      </c>
      <c r="AU90" s="437">
        <f>+BS!AU87/(IS!AU8/(365/4))</f>
        <v>26.630434782608699</v>
      </c>
      <c r="AV90" s="437"/>
      <c r="AW90" s="437">
        <f>+BS!AW87/(IS!AW8/(365/4))</f>
        <v>21.567186562687461</v>
      </c>
      <c r="AX90" s="437">
        <f>+BS!AX87/(IS!AX8/(365/4))</f>
        <v>26.012987869198312</v>
      </c>
      <c r="AY90" s="437">
        <f>+BS!AY87/(IS!AY8/(365/4))</f>
        <v>24.163842871485944</v>
      </c>
      <c r="AZ90" s="437">
        <f>+BS!AZ87/(IS!AZ8/(365/4))</f>
        <v>32.086946050096337</v>
      </c>
      <c r="BA90" s="437"/>
      <c r="BB90" s="437">
        <f>+BS!BB87/(IS!BB8/(365/4))</f>
        <v>25.092117815406631</v>
      </c>
      <c r="BC90" s="437">
        <f>+BS!BC87/(IS!BC8/(365/4))</f>
        <v>35.639316650625602</v>
      </c>
      <c r="BD90" s="437">
        <f>+BS!BD87/(IS!BD8/(365/4))</f>
        <v>33.541077257889015</v>
      </c>
      <c r="BE90" s="437">
        <f>+BS!BE87/(IS!BE8/(365/4))</f>
        <v>35.540640180430259</v>
      </c>
      <c r="BF90" s="437"/>
      <c r="BG90" s="437">
        <f>+BS!BG87/(IS!BG8/(365/4))</f>
        <v>37.405042719167902</v>
      </c>
      <c r="BH90" s="437">
        <f>+BS!BH87/(IS!BH8/(365/4))</f>
        <v>49.028959424083773</v>
      </c>
      <c r="BI90" s="437">
        <f>+BS!BI87/(IS!BI8/(365/4))</f>
        <v>46.818864922206508</v>
      </c>
      <c r="BJ90" s="437">
        <f>+BS!BJ87/(IS!BJ8/(365/4))</f>
        <v>51.096226740179183</v>
      </c>
      <c r="BK90" s="437"/>
      <c r="BL90" s="437">
        <f>+BS!BL87/(IS!BL8/(365/4))</f>
        <v>50.198577870274022</v>
      </c>
      <c r="BM90" s="437">
        <f>+BS!BM87/(IS!BM8/(365/4))</f>
        <v>57.717366412213735</v>
      </c>
      <c r="BN90" s="437">
        <f>+BS!BN87/(IS!BN8/(365/4))</f>
        <v>50.334999219116035</v>
      </c>
      <c r="BO90" s="437">
        <f>+BS!BO87/(IS!BO8/(365/4))</f>
        <v>50.931845826364601</v>
      </c>
      <c r="BP90" s="437"/>
      <c r="BQ90" s="437">
        <f>+BS!BQ87/(IS!BQ8/(365/4))</f>
        <v>53.847331047992171</v>
      </c>
      <c r="BR90" s="437">
        <f>+BS!BR87/(IS!BR8/(365/4))</f>
        <v>60.059262369202941</v>
      </c>
      <c r="BS90" s="437">
        <f>+BS!BS87/(IS!BS8/(365/4))</f>
        <v>55.996894409937887</v>
      </c>
      <c r="BT90" s="437">
        <f>+BS!BT87/(IS!BT8/(365/4))</f>
        <v>67.157383151799252</v>
      </c>
      <c r="BU90" s="437"/>
      <c r="BV90" s="437">
        <f>+BS!BV87/(IS!BV8/(365/4))</f>
        <v>54.990317583268784</v>
      </c>
      <c r="BW90" s="437">
        <f>+BS!BW87/(IS!BW8/(365/4))</f>
        <v>55</v>
      </c>
      <c r="BX90" s="437">
        <f>+BS!BX87/(IS!BX8/(365/4))</f>
        <v>49.858487555839183</v>
      </c>
      <c r="BY90" s="437">
        <f>+BS!BY87/(IS!BY8/(365/4))</f>
        <v>61.527278363298201</v>
      </c>
      <c r="BZ90" s="437"/>
      <c r="CA90" s="437">
        <f>+BS!CA87/(IS!CA8/(365/4))</f>
        <v>52.495130858186243</v>
      </c>
      <c r="CB90" s="437">
        <f>+BS!CB87/(IS!CB8/(365/4))</f>
        <v>52.082512557864675</v>
      </c>
      <c r="CC90" s="1131">
        <v>50</v>
      </c>
      <c r="CD90" s="1131">
        <v>57</v>
      </c>
      <c r="CE90" s="437"/>
      <c r="CF90" s="1131">
        <v>52</v>
      </c>
      <c r="CG90" s="1131">
        <v>52</v>
      </c>
      <c r="CH90" s="1131">
        <v>52</v>
      </c>
      <c r="CI90" s="1131">
        <v>60</v>
      </c>
      <c r="CJ90" s="437"/>
      <c r="CK90" s="436">
        <f>+BS!CK87/(IS!CK8/(365/4))</f>
        <v>55.737347294938914</v>
      </c>
      <c r="CL90" s="436">
        <f>+BS!CL87/(IS!CL8/(365/4))</f>
        <v>61.403742186180089</v>
      </c>
      <c r="CM90" s="436">
        <f>+BS!CM87/(IS!CM8/(365/4))</f>
        <v>58.511833776717737</v>
      </c>
      <c r="CN90" s="436">
        <f>+BS!CN87/(IS!CN8/(365/4))</f>
        <v>73.102024394375746</v>
      </c>
      <c r="CO90" s="437"/>
      <c r="CP90" s="436">
        <f>+BS!CP87/(IS!CP8/(365/4))</f>
        <v>59.269031541948017</v>
      </c>
      <c r="CQ90" s="436">
        <f>+BS!CQ87/(IS!CQ8/(365/4))</f>
        <v>72.981083559240943</v>
      </c>
      <c r="CR90" s="436">
        <f>+BS!CR87/(IS!CR8/(365/4))</f>
        <v>54.47240936241144</v>
      </c>
      <c r="CS90" s="436">
        <f>+BS!CS87/(IS!CS8/(365/4))</f>
        <v>78.174313813476928</v>
      </c>
      <c r="CT90" s="437"/>
      <c r="CU90" s="436">
        <f>+BS!CU87/(IS!CU8/(365/4))</f>
        <v>60.437708908588867</v>
      </c>
      <c r="CV90" s="436">
        <f>+BS!CV87/(IS!CV8/(365/4))</f>
        <v>65.620608541577553</v>
      </c>
      <c r="CW90" s="436">
        <f>+BS!CW87/(IS!CW8/(365/4))</f>
        <v>63.244949494949495</v>
      </c>
      <c r="CX90" s="436">
        <f>+BS!CX87/(IS!CX8/(365/4))</f>
        <v>79.178979604723111</v>
      </c>
      <c r="CY90" s="437"/>
      <c r="CZ90" s="436">
        <f>+BS!CZ87/(IS!CZ8/(365/4))</f>
        <v>58.787514109288885</v>
      </c>
      <c r="DA90" s="436">
        <f>+BS!DA87/(IS!DA8/(365/4))</f>
        <v>61.497308918155028</v>
      </c>
      <c r="DB90" s="436">
        <f>+BS!DB87/(IS!DB8/(365/4))</f>
        <v>63.008499413833533</v>
      </c>
      <c r="DC90" s="436">
        <f>+BS!DC87/(IS!DC8/(365/4))</f>
        <v>81.107241010764184</v>
      </c>
      <c r="DD90" s="437"/>
      <c r="DE90" s="436">
        <f>+BS!DE87/(IS!DE8/(365/4))</f>
        <v>63.726683436532504</v>
      </c>
      <c r="DF90" s="436">
        <f>+BS!DF87/(IS!DF8/(365/4))</f>
        <v>56.135395857428236</v>
      </c>
      <c r="DG90" s="436">
        <f>+BS!DG87/(IS!DG8/(365/4))</f>
        <v>60.665551954767977</v>
      </c>
      <c r="DH90" s="436">
        <f>+BS!DH87/(IS!DH8/(365/4))</f>
        <v>76.173467797244214</v>
      </c>
      <c r="DI90" s="437"/>
      <c r="DJ90" s="436">
        <f>+BS!DJ87/(IS!DJ8/(365/4))</f>
        <v>56.107903673973453</v>
      </c>
      <c r="DK90" s="436">
        <f>+BS!DK87/(IS!DK8/(365/4))</f>
        <v>60.325702901819277</v>
      </c>
      <c r="DL90" s="436">
        <f>+BS!DL87/(IS!DL8/(365/4))</f>
        <v>57.417290601412219</v>
      </c>
      <c r="DM90" s="436">
        <f>+BS!DM87/(IS!DM8/(365/4))</f>
        <v>80.501847347375019</v>
      </c>
      <c r="DN90" s="437"/>
      <c r="DO90" s="436">
        <f>+BS!DO87/(IS!DO8/(365/4))</f>
        <v>54.890772507483305</v>
      </c>
      <c r="DP90" s="436">
        <f>+BS!DP87/(IS!DP8/(365/4))</f>
        <v>61.011012688532439</v>
      </c>
      <c r="DQ90" s="436">
        <f>+BS!DQ87/(IS!DQ8/(365/4))</f>
        <v>59.147110357901994</v>
      </c>
      <c r="DR90" s="436">
        <f>+BS!DR87/(IS!DR8/(365/4))</f>
        <v>81.700052605349143</v>
      </c>
      <c r="DS90" s="529"/>
      <c r="DT90" s="436">
        <f>+BS!DT87/(IS!DT8/(365/4))</f>
        <v>57.777986006996507</v>
      </c>
      <c r="DU90" s="436">
        <f>+BS!DU87/(IS!DU8/(365/4))</f>
        <v>62.130464671886649</v>
      </c>
      <c r="DV90" s="436">
        <f>+BS!DV87/(IS!DV8/(365/4))</f>
        <v>54.592342232417394</v>
      </c>
      <c r="DW90" s="436">
        <f>+BS!DW87/(IS!DW8/(365/4))</f>
        <v>81.737912143144342</v>
      </c>
      <c r="DX90" s="529"/>
      <c r="DY90" s="436">
        <f>+BS!DY87/(IS!DY8/(365/4))</f>
        <v>55.654177235684607</v>
      </c>
      <c r="DZ90" s="436">
        <f>+BS!DZ87/(IS!DZ8/(365/4))</f>
        <v>60.669582772543734</v>
      </c>
      <c r="EA90" s="436">
        <f>+BS!EA87/(IS!EA8/(365/4))</f>
        <v>61.50419056021174</v>
      </c>
      <c r="EB90" s="436">
        <f>+BS!EB87/(IS!EB8/(365/4))</f>
        <v>77.446593533487288</v>
      </c>
      <c r="EC90" s="529"/>
      <c r="ED90" s="436">
        <f>+BS!ED87/(IS!ED8/(365/4))</f>
        <v>51.742812809792682</v>
      </c>
      <c r="EE90" s="436">
        <f>+BS!EE87/(IS!EE8/(365/4))</f>
        <v>57.498948133414935</v>
      </c>
      <c r="EF90" s="436">
        <f>+BS!EF87/(IS!EF8/(365/4))</f>
        <v>53.312105941368678</v>
      </c>
      <c r="EG90" s="436">
        <f>+BS!EG87/(IS!EG8/(365/4))</f>
        <v>75.05291929666366</v>
      </c>
      <c r="EH90" s="437"/>
      <c r="EI90" s="436">
        <f>+BS!EI87/(IS!EI8/(365/4))</f>
        <v>51.031922525107603</v>
      </c>
      <c r="EJ90" s="436">
        <f>+BS!EJ87/(IS!EJ8/(365/4))</f>
        <v>53.807616916801962</v>
      </c>
      <c r="EK90" s="436">
        <f>+BS!EK87/(IS!EK8/(365/4))</f>
        <v>53.468420318817678</v>
      </c>
      <c r="EL90" s="436">
        <f>+BS!EL87/(IS!EL8/(365/4))</f>
        <v>81.873881741501236</v>
      </c>
      <c r="EM90" s="2783"/>
      <c r="EN90" s="436">
        <f>+BS!EN87/(IS!EN8/(365/4))</f>
        <v>57.272608080992342</v>
      </c>
      <c r="EO90" s="436">
        <f>+BS!EO87/(IS!EO8/(365/4))</f>
        <v>60.337499031983278</v>
      </c>
      <c r="EP90" s="436">
        <f>+BS!EP87/(IS!EP8/(365/4))</f>
        <v>61.817432793382729</v>
      </c>
      <c r="EQ90" s="436">
        <f>+BS!EQ87/(IS!EQ8/(365/4))</f>
        <v>81.168131224370242</v>
      </c>
      <c r="ER90" s="2783"/>
      <c r="ES90" s="436">
        <f>+BS!ES87/(IS!ES8/(365/4))</f>
        <v>55.208146548210934</v>
      </c>
      <c r="ET90" s="436">
        <f>+BS!ET87/(IS!ET8/(365/4))</f>
        <v>59.212471471056091</v>
      </c>
      <c r="EU90" s="436">
        <f>+BS!EU87/(IS!EU8/(365/4))</f>
        <v>59.607321302061976</v>
      </c>
      <c r="EV90" s="437">
        <f>EQ90+3</f>
        <v>84.168131224370242</v>
      </c>
      <c r="EW90" s="437"/>
      <c r="EX90" s="437">
        <f>ES90+4</f>
        <v>59.208146548210934</v>
      </c>
      <c r="EY90" s="437">
        <f>ET90+3</f>
        <v>62.212471471056091</v>
      </c>
      <c r="EZ90" s="437">
        <f>EU90-3</f>
        <v>56.607321302061976</v>
      </c>
      <c r="FA90" s="437">
        <f>EV90-2</f>
        <v>82.168131224370242</v>
      </c>
      <c r="FB90" s="437"/>
      <c r="FC90" s="437">
        <f>EX90-2</f>
        <v>57.208146548210934</v>
      </c>
      <c r="FD90" s="437">
        <f>EY90-3</f>
        <v>59.212471471056091</v>
      </c>
      <c r="FE90" s="437">
        <f>EZ90-1</f>
        <v>55.607321302061976</v>
      </c>
      <c r="FF90" s="437">
        <f>FA90</f>
        <v>82.168131224370242</v>
      </c>
      <c r="FG90" s="437"/>
      <c r="FH90" s="437">
        <f>FC90</f>
        <v>57.208146548210934</v>
      </c>
      <c r="FI90" s="437">
        <f>FD90</f>
        <v>59.212471471056091</v>
      </c>
      <c r="FJ90" s="437">
        <f>FE90</f>
        <v>55.607321302061976</v>
      </c>
      <c r="FK90" s="437">
        <f>FF90</f>
        <v>82.168131224370242</v>
      </c>
      <c r="FL90" s="437"/>
      <c r="FO90"/>
      <c r="FP90"/>
      <c r="FQ90"/>
      <c r="FR90"/>
      <c r="FS90"/>
      <c r="FT90"/>
      <c r="FU90" s="261"/>
      <c r="FV90" s="261"/>
      <c r="FW90" s="261"/>
      <c r="FX90" s="261"/>
    </row>
    <row r="91" spans="1:180" s="264" customFormat="1" ht="11.25" customHeight="1">
      <c r="A91" s="264" t="s">
        <v>87</v>
      </c>
      <c r="D91" s="253"/>
      <c r="E91" s="242"/>
      <c r="F91" s="242"/>
      <c r="G91" s="242"/>
      <c r="H91" s="242"/>
      <c r="I91" s="242"/>
      <c r="J91" s="242"/>
      <c r="K91" s="242"/>
      <c r="L91" s="242"/>
      <c r="M91" s="242"/>
      <c r="N91" s="242"/>
      <c r="O91" s="242"/>
      <c r="P91" s="242"/>
      <c r="Q91" s="242"/>
      <c r="R91" s="242"/>
      <c r="S91" s="242"/>
      <c r="T91" s="242"/>
      <c r="U91" s="242"/>
      <c r="V91" s="242"/>
      <c r="W91" s="242"/>
      <c r="X91" s="242"/>
      <c r="Y91" s="242"/>
      <c r="Z91" s="242"/>
      <c r="AA91" s="242"/>
      <c r="AB91" s="242"/>
      <c r="AC91" s="242"/>
      <c r="AD91" s="242"/>
      <c r="AE91" s="242"/>
      <c r="AF91" s="242"/>
      <c r="AG91" s="242"/>
      <c r="AH91" s="242"/>
      <c r="AI91" s="242"/>
      <c r="AJ91" s="242"/>
      <c r="AK91" s="242"/>
      <c r="AL91" s="242"/>
      <c r="AM91" s="242"/>
      <c r="AN91" s="242"/>
      <c r="AO91" s="242"/>
      <c r="AP91" s="242"/>
      <c r="AQ91" s="242"/>
      <c r="AR91" s="242"/>
      <c r="AS91" s="242"/>
      <c r="AT91" s="242"/>
      <c r="AU91" s="242"/>
      <c r="AV91" s="242"/>
      <c r="AW91" s="242"/>
      <c r="AX91" s="242"/>
      <c r="AY91" s="242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42"/>
      <c r="BU91" s="242"/>
      <c r="BV91" s="242"/>
      <c r="BW91" s="242"/>
      <c r="BX91" s="242"/>
      <c r="BY91" s="242"/>
      <c r="BZ91" s="242"/>
      <c r="CA91" s="242"/>
      <c r="CB91" s="242"/>
      <c r="CC91" s="242"/>
      <c r="CD91" s="242"/>
      <c r="CE91" s="242"/>
      <c r="CF91" s="242"/>
      <c r="CG91" s="242"/>
      <c r="CH91" s="242"/>
      <c r="CI91" s="242"/>
      <c r="CJ91" s="242"/>
      <c r="CK91" s="242"/>
      <c r="CL91" s="242"/>
      <c r="CM91" s="242"/>
      <c r="CN91" s="242"/>
      <c r="CO91" s="242"/>
      <c r="CP91" s="242"/>
      <c r="CQ91" s="242"/>
      <c r="CR91" s="242"/>
      <c r="CS91" s="242"/>
      <c r="CT91" s="242"/>
      <c r="CU91" s="242"/>
      <c r="CV91" s="242"/>
      <c r="CW91" s="242"/>
      <c r="CX91" s="242"/>
      <c r="CY91" s="242"/>
      <c r="CZ91" s="436"/>
      <c r="DA91" s="436"/>
      <c r="DB91" s="436"/>
      <c r="DC91" s="436">
        <f>+BS!DC87/((IS!DC8-'Client Unit Model'!W148)/(365/4))</f>
        <v>81.107241010764184</v>
      </c>
      <c r="DD91" s="484"/>
      <c r="DE91" s="436">
        <f>+BS!DE87/((IS!DE8-'Client Unit Model'!X148)/(365/4))</f>
        <v>63.726683436532504</v>
      </c>
      <c r="DF91" s="436">
        <f>+BS!DF87/((IS!DF8-'Client Unit Model'!Y148)/(365/4))</f>
        <v>56.135395857428236</v>
      </c>
      <c r="DG91" s="436">
        <f>+BS!DG87/((IS!DG8-'Client Unit Model'!Z148)/(365/4))</f>
        <v>60.665551954767977</v>
      </c>
      <c r="DH91" s="436">
        <f>+BS!DH87/((IS!DH8-'Client Unit Model'!AA148)/(365/4))</f>
        <v>76.173467797244214</v>
      </c>
      <c r="DI91" s="484"/>
      <c r="DJ91" s="436">
        <f>+BS!DJ87/((IS!DJ8-'Client Unit Model'!AC148)/(365/4))</f>
        <v>56.107903673973453</v>
      </c>
      <c r="DK91" s="436">
        <f>+BS!DK87/((IS!DK8-'Client Unit Model'!AD148)/(365/4))</f>
        <v>60.325702901819277</v>
      </c>
      <c r="DL91" s="436">
        <f>+BS!DL87/((IS!DL8-'Client Unit Model'!AE148)/(365/4))</f>
        <v>57.417290601412219</v>
      </c>
      <c r="DM91" s="436">
        <f>+BS!DM87/((IS!DM8-'Client Unit Model'!AF148)/(365/4))</f>
        <v>80.501847347375019</v>
      </c>
      <c r="DN91" s="484"/>
      <c r="DO91" s="436">
        <f>+BS!DO87/((IS!DO8-'Client Unit Model'!AH148)/(365/4))</f>
        <v>54.890772507483305</v>
      </c>
      <c r="DP91" s="436">
        <f>+BS!DP87/((IS!DP8-'Client Unit Model'!AI148)/(365/4))</f>
        <v>61.011012688532439</v>
      </c>
      <c r="DQ91" s="436">
        <f>+BS!DQ87/((IS!DQ8-'Client Unit Model'!AJ148)/(365/4))</f>
        <v>59.147110357901994</v>
      </c>
      <c r="DR91" s="436">
        <f>+BS!DR87/((IS!DR8-'Client Unit Model'!AK148)/(365/4))</f>
        <v>81.700052605349143</v>
      </c>
      <c r="DS91" s="484"/>
      <c r="DT91" s="436">
        <f>+BS!DT87/((IS!DT8-'Client Unit Model'!AM148)/(365/4))</f>
        <v>57.777986006996507</v>
      </c>
      <c r="DU91" s="436">
        <f>+BS!DU87/((IS!DU8-'Client Unit Model'!AN148)/(365/4))</f>
        <v>62.130464671886649</v>
      </c>
      <c r="DV91" s="436">
        <f>+BS!DV87/((IS!DV8-'Client Unit Model'!AO148)/(365/4))</f>
        <v>54.592342232417394</v>
      </c>
      <c r="DW91" s="436">
        <f>+BS!DW87/((IS!DW8-'Client Unit Model'!AP148)/(365/4))</f>
        <v>81.737912143144342</v>
      </c>
      <c r="DX91" s="484"/>
      <c r="DY91" s="436"/>
      <c r="DZ91" s="436"/>
      <c r="EA91" s="436"/>
      <c r="EB91" s="436"/>
      <c r="EC91" s="484"/>
      <c r="ED91" s="242"/>
      <c r="EE91" s="242"/>
      <c r="EF91" s="242"/>
      <c r="EG91" s="242"/>
      <c r="EH91" s="242"/>
      <c r="EI91" s="2562"/>
      <c r="EJ91" s="2562"/>
      <c r="EK91" s="2562"/>
      <c r="EL91" s="2562"/>
      <c r="EM91" s="2562"/>
      <c r="EN91" s="2562"/>
      <c r="EO91" s="2562"/>
      <c r="EP91" s="2562"/>
      <c r="EQ91" s="2562"/>
      <c r="ER91" s="2562"/>
      <c r="ES91" s="242"/>
      <c r="ET91" s="2562"/>
      <c r="EU91" s="2562"/>
      <c r="EV91" s="242"/>
      <c r="EW91" s="242"/>
      <c r="EX91" s="242"/>
      <c r="EY91" s="242"/>
      <c r="EZ91" s="242"/>
      <c r="FA91" s="242"/>
      <c r="FB91" s="242"/>
      <c r="FC91" s="242"/>
      <c r="FD91" s="242"/>
      <c r="FE91" s="242"/>
      <c r="FF91" s="242"/>
      <c r="FG91" s="242"/>
      <c r="FH91" s="242"/>
      <c r="FI91" s="242"/>
      <c r="FJ91" s="242"/>
      <c r="FK91" s="242"/>
      <c r="FL91" s="242"/>
      <c r="FO91"/>
      <c r="FP91"/>
      <c r="FQ91"/>
      <c r="FR91"/>
      <c r="FS91"/>
      <c r="FT91"/>
      <c r="FU91" s="261"/>
      <c r="FV91" s="261"/>
      <c r="FW91" s="261"/>
      <c r="FX91" s="261"/>
    </row>
    <row r="92" spans="1:180" s="264" customFormat="1" ht="11.25" customHeight="1">
      <c r="D92" s="253"/>
      <c r="E92" s="253"/>
      <c r="F92" s="253"/>
      <c r="G92" s="253"/>
      <c r="H92" s="253"/>
      <c r="I92" s="253"/>
      <c r="J92" s="253"/>
      <c r="K92" s="253"/>
      <c r="L92" s="253"/>
      <c r="M92" s="253"/>
      <c r="N92" s="253"/>
      <c r="O92" s="253"/>
      <c r="P92" s="253"/>
      <c r="Q92" s="253"/>
      <c r="R92" s="253"/>
      <c r="S92" s="253"/>
      <c r="T92" s="253"/>
      <c r="U92" s="253"/>
      <c r="V92" s="253"/>
      <c r="W92" s="253"/>
      <c r="X92" s="253"/>
      <c r="Y92" s="253"/>
      <c r="Z92" s="253"/>
      <c r="AA92" s="253"/>
      <c r="AB92" s="253"/>
      <c r="AC92" s="253"/>
      <c r="AD92" s="253"/>
      <c r="AE92" s="253"/>
      <c r="AF92" s="253"/>
      <c r="AG92" s="253"/>
      <c r="AH92" s="253"/>
      <c r="AI92" s="253"/>
      <c r="AJ92" s="253"/>
      <c r="AK92" s="253"/>
      <c r="AL92" s="253"/>
      <c r="AM92" s="253"/>
      <c r="AN92" s="253"/>
      <c r="AO92" s="253"/>
      <c r="AP92" s="253"/>
      <c r="AQ92" s="253"/>
      <c r="AR92" s="253"/>
      <c r="AS92" s="253"/>
      <c r="AT92" s="253"/>
      <c r="AU92" s="253"/>
      <c r="AV92" s="253"/>
      <c r="AW92" s="253"/>
      <c r="AX92" s="253"/>
      <c r="AY92" s="253"/>
      <c r="AZ92" s="253"/>
      <c r="BA92" s="253"/>
      <c r="BB92" s="253"/>
      <c r="BC92" s="253"/>
      <c r="BD92" s="253"/>
      <c r="BE92" s="253"/>
      <c r="BF92" s="253"/>
      <c r="BG92" s="253"/>
      <c r="BH92" s="253"/>
      <c r="BI92" s="253"/>
      <c r="BJ92" s="253"/>
      <c r="BK92" s="253"/>
      <c r="BL92" s="253"/>
      <c r="BM92" s="253"/>
      <c r="BN92" s="253"/>
      <c r="BO92" s="253"/>
      <c r="BP92" s="253"/>
      <c r="BQ92" s="253"/>
      <c r="BR92" s="253"/>
      <c r="BS92" s="253"/>
      <c r="BT92" s="253"/>
      <c r="BU92" s="253"/>
      <c r="BV92" s="253"/>
      <c r="BW92" s="253"/>
      <c r="BX92" s="253"/>
      <c r="BY92" s="253"/>
      <c r="BZ92" s="253"/>
      <c r="DC92" s="494"/>
      <c r="DD92" s="494"/>
      <c r="DE92" s="494"/>
      <c r="DF92" s="494"/>
      <c r="DG92" s="494"/>
      <c r="DH92" s="494"/>
      <c r="DI92" s="494"/>
      <c r="DJ92" s="494"/>
      <c r="DK92" s="494"/>
      <c r="DL92" s="494"/>
      <c r="DM92" s="494"/>
      <c r="DN92" s="494"/>
      <c r="DO92" s="494"/>
      <c r="DP92" s="494"/>
      <c r="DQ92" s="494"/>
      <c r="DR92" s="494"/>
      <c r="DS92" s="494"/>
      <c r="DT92" s="494"/>
      <c r="DU92" s="494"/>
      <c r="DV92" s="494"/>
      <c r="DW92" s="494"/>
      <c r="DX92" s="494"/>
      <c r="DY92" s="494"/>
      <c r="DZ92" s="494"/>
      <c r="EB92" s="494"/>
      <c r="EC92" s="494"/>
      <c r="EI92" s="2560"/>
      <c r="EJ92" s="2560"/>
      <c r="EK92" s="2560"/>
      <c r="EL92" s="2560"/>
      <c r="EM92" s="2560"/>
      <c r="EN92" s="2560"/>
      <c r="EO92" s="2560"/>
      <c r="EP92" s="2560"/>
      <c r="EQ92" s="2560"/>
      <c r="ER92" s="2560"/>
      <c r="ET92" s="2560"/>
      <c r="FO92"/>
      <c r="FP92"/>
      <c r="FQ92"/>
      <c r="FR92"/>
      <c r="FS92"/>
      <c r="FT92"/>
      <c r="FU92" s="261"/>
      <c r="FV92" s="261"/>
      <c r="FW92" s="261"/>
      <c r="FX92" s="261"/>
    </row>
    <row r="93" spans="1:180" s="264" customFormat="1" ht="11.25" customHeight="1">
      <c r="A93" s="264" t="s">
        <v>1114</v>
      </c>
      <c r="D93" s="253"/>
      <c r="E93" s="253"/>
      <c r="F93" s="253"/>
      <c r="G93" s="253"/>
      <c r="H93" s="253"/>
      <c r="I93" s="253"/>
      <c r="J93" s="253"/>
      <c r="K93" s="253"/>
      <c r="L93" s="253"/>
      <c r="M93" s="253"/>
      <c r="N93" s="253"/>
      <c r="O93" s="253"/>
      <c r="P93" s="253"/>
      <c r="Q93" s="253"/>
      <c r="R93" s="253"/>
      <c r="S93" s="253"/>
      <c r="T93" s="253"/>
      <c r="U93" s="253"/>
      <c r="V93" s="253"/>
      <c r="W93" s="253"/>
      <c r="X93" s="253"/>
      <c r="Y93" s="253"/>
      <c r="Z93" s="253"/>
      <c r="AA93" s="253"/>
      <c r="AB93" s="253"/>
      <c r="AC93" s="253"/>
      <c r="AD93" s="253"/>
      <c r="AE93" s="253"/>
      <c r="AF93" s="253"/>
      <c r="AG93" s="253"/>
      <c r="AH93" s="253"/>
      <c r="AI93" s="253"/>
      <c r="AJ93" s="253"/>
      <c r="AK93" s="253"/>
      <c r="AL93" s="253"/>
      <c r="AM93" s="253"/>
      <c r="AN93" s="253"/>
      <c r="AO93" s="253"/>
      <c r="AP93" s="253"/>
      <c r="AQ93" s="253"/>
      <c r="AR93" s="253"/>
      <c r="AS93" s="253"/>
      <c r="AT93" s="253"/>
      <c r="AU93" s="253"/>
      <c r="AV93" s="253"/>
      <c r="AW93" s="253"/>
      <c r="AX93" s="253"/>
      <c r="AY93" s="253"/>
      <c r="AZ93" s="253"/>
      <c r="BA93" s="253"/>
      <c r="BB93" s="253"/>
      <c r="BC93" s="253"/>
      <c r="BD93" s="253"/>
      <c r="BE93" s="253"/>
      <c r="BF93" s="253"/>
      <c r="BG93" s="253"/>
      <c r="BH93" s="253"/>
      <c r="BI93" s="253"/>
      <c r="BJ93" s="253"/>
      <c r="BK93" s="253"/>
      <c r="BL93" s="253"/>
      <c r="BM93" s="253"/>
      <c r="BN93" s="253"/>
      <c r="BO93" s="253"/>
      <c r="BP93" s="253"/>
      <c r="BQ93" s="253"/>
      <c r="BR93" s="253"/>
      <c r="BS93" s="253"/>
      <c r="BT93" s="253"/>
      <c r="BU93" s="253"/>
      <c r="BV93" s="253"/>
      <c r="BW93" s="253"/>
      <c r="BX93" s="253"/>
      <c r="BY93" s="253"/>
      <c r="BZ93" s="253"/>
      <c r="DC93" s="494"/>
      <c r="DD93" s="494"/>
      <c r="DE93" s="494"/>
      <c r="DF93" s="494"/>
      <c r="DG93" s="483"/>
      <c r="DH93" s="494"/>
      <c r="DI93" s="494"/>
      <c r="DJ93" s="494"/>
      <c r="DK93" s="494"/>
      <c r="DL93" s="494"/>
      <c r="DM93" s="494"/>
      <c r="DN93" s="494"/>
      <c r="DO93" s="494"/>
      <c r="DP93" s="494"/>
      <c r="DQ93" s="494"/>
      <c r="DR93" s="494"/>
      <c r="DS93" s="2562">
        <v>54000</v>
      </c>
      <c r="DT93" s="494"/>
      <c r="DU93" s="494"/>
      <c r="DV93" s="494"/>
      <c r="DW93" s="494"/>
      <c r="DX93" s="2562">
        <v>69600</v>
      </c>
      <c r="DY93" s="494"/>
      <c r="DZ93" s="494"/>
      <c r="EB93" s="494"/>
      <c r="EC93" s="2562">
        <v>77100</v>
      </c>
      <c r="EE93" s="455"/>
      <c r="EF93" s="455"/>
      <c r="EG93" s="455"/>
      <c r="EH93" s="2562">
        <v>94400</v>
      </c>
      <c r="EI93" s="2515">
        <v>96000</v>
      </c>
      <c r="EJ93" s="2515">
        <v>96300</v>
      </c>
      <c r="EK93" s="2515">
        <v>102800</v>
      </c>
      <c r="EL93" s="2559">
        <v>108900</v>
      </c>
      <c r="EM93" s="2562">
        <f>EL93</f>
        <v>108900</v>
      </c>
      <c r="EN93" s="2515">
        <v>111100</v>
      </c>
      <c r="EO93" s="2515">
        <v>116300</v>
      </c>
      <c r="EP93" s="2563">
        <v>122200</v>
      </c>
      <c r="EQ93" s="2677">
        <v>127900</v>
      </c>
      <c r="ER93" s="2562">
        <f>EQ93</f>
        <v>127900</v>
      </c>
      <c r="ES93" s="2515">
        <v>132100</v>
      </c>
      <c r="ET93" s="2515">
        <v>0</v>
      </c>
      <c r="EU93" s="2560"/>
      <c r="EV93" s="2560"/>
      <c r="EW93" s="1"/>
      <c r="EX93" s="2560"/>
      <c r="EY93" s="2560"/>
      <c r="EZ93" s="2560"/>
      <c r="FA93" s="2560"/>
      <c r="FB93" s="1"/>
      <c r="FC93" s="2560"/>
      <c r="FD93" s="2560"/>
      <c r="FE93" s="2560"/>
      <c r="FF93" s="2560"/>
      <c r="FG93" s="1"/>
      <c r="FH93" s="2560"/>
      <c r="FI93" s="2560"/>
      <c r="FJ93" s="2560"/>
      <c r="FK93" s="2560"/>
      <c r="FL93" s="1"/>
      <c r="FO93"/>
      <c r="FP93"/>
      <c r="FQ93"/>
      <c r="FR93"/>
      <c r="FS93"/>
      <c r="FT93"/>
      <c r="FU93" s="261"/>
      <c r="FV93" s="261"/>
      <c r="FW93" s="261"/>
      <c r="FX93" s="261"/>
    </row>
    <row r="94" spans="1:180" s="264" customFormat="1" ht="11.25" customHeight="1">
      <c r="A94" s="264" t="s">
        <v>9</v>
      </c>
      <c r="D94" s="253"/>
      <c r="E94" s="253"/>
      <c r="F94" s="253"/>
      <c r="G94" s="253"/>
      <c r="H94" s="253"/>
      <c r="I94" s="253"/>
      <c r="J94" s="253"/>
      <c r="K94" s="253"/>
      <c r="L94" s="253"/>
      <c r="M94" s="253"/>
      <c r="N94" s="253"/>
      <c r="O94" s="253"/>
      <c r="P94" s="253"/>
      <c r="Q94" s="253"/>
      <c r="R94" s="253"/>
      <c r="S94" s="253"/>
      <c r="T94" s="253"/>
      <c r="U94" s="253"/>
      <c r="V94" s="253"/>
      <c r="W94" s="253"/>
      <c r="X94" s="253"/>
      <c r="Y94" s="253"/>
      <c r="Z94" s="253"/>
      <c r="AA94" s="253"/>
      <c r="AB94" s="253"/>
      <c r="AC94" s="253"/>
      <c r="AD94" s="253"/>
      <c r="AE94" s="253"/>
      <c r="AF94" s="253"/>
      <c r="AG94" s="253"/>
      <c r="AH94" s="253"/>
      <c r="AI94" s="253"/>
      <c r="AJ94" s="253"/>
      <c r="AK94" s="253"/>
      <c r="AL94" s="253"/>
      <c r="AM94" s="253"/>
      <c r="AN94" s="253"/>
      <c r="AO94" s="253"/>
      <c r="AP94" s="253"/>
      <c r="AQ94" s="253"/>
      <c r="AR94" s="253"/>
      <c r="AS94" s="253"/>
      <c r="AT94" s="253"/>
      <c r="AU94" s="253"/>
      <c r="AV94" s="253"/>
      <c r="AW94" s="253"/>
      <c r="AX94" s="253"/>
      <c r="AY94" s="253"/>
      <c r="AZ94" s="253"/>
      <c r="BA94" s="253"/>
      <c r="BB94" s="253"/>
      <c r="BC94" s="253"/>
      <c r="BD94" s="253"/>
      <c r="BE94" s="253"/>
      <c r="BF94" s="253"/>
      <c r="BG94" s="253"/>
      <c r="BH94" s="253"/>
      <c r="BI94" s="253"/>
      <c r="BJ94" s="253"/>
      <c r="BK94" s="253"/>
      <c r="BL94" s="253"/>
      <c r="BM94" s="253"/>
      <c r="BN94" s="253"/>
      <c r="BO94" s="253"/>
      <c r="BP94" s="253"/>
      <c r="BQ94" s="253"/>
      <c r="BR94" s="253"/>
      <c r="BS94" s="253"/>
      <c r="BT94" s="253"/>
      <c r="BU94" s="253"/>
      <c r="BV94" s="253"/>
      <c r="BW94" s="253"/>
      <c r="BX94" s="253"/>
      <c r="BY94" s="253"/>
      <c r="BZ94" s="253"/>
      <c r="DC94" s="494"/>
      <c r="DD94" s="494"/>
      <c r="DE94" s="494"/>
      <c r="DF94" s="494"/>
      <c r="DG94" s="494"/>
      <c r="DH94" s="494"/>
      <c r="DI94" s="494"/>
      <c r="DJ94" s="494"/>
      <c r="DK94" s="494"/>
      <c r="DL94" s="494"/>
      <c r="DM94" s="494"/>
      <c r="DN94" s="494"/>
      <c r="DO94" s="494"/>
      <c r="DP94" s="208"/>
      <c r="DQ94" s="208"/>
      <c r="DR94" s="494"/>
      <c r="DS94" s="208">
        <f>DS93/(DS8+DS9)</f>
        <v>0.85659898477157359</v>
      </c>
      <c r="DT94" s="240"/>
      <c r="DU94" s="240"/>
      <c r="DV94" s="240"/>
      <c r="DW94" s="208"/>
      <c r="DX94" s="208">
        <f>DX93/(DX8+DX9)</f>
        <v>0.90363792163278023</v>
      </c>
      <c r="DY94" s="240"/>
      <c r="DZ94" s="240"/>
      <c r="EB94" s="208"/>
      <c r="EC94" s="208">
        <f>EC93/(EC8+EC9)</f>
        <v>0.89955547258747626</v>
      </c>
      <c r="EE94" s="208"/>
      <c r="EF94" s="208"/>
      <c r="EG94" s="208"/>
      <c r="EH94" s="208">
        <f t="shared" ref="EH94:ES94" si="116">EH93/(EH8+EH9)</f>
        <v>0.97797484615543995</v>
      </c>
      <c r="EI94" s="208">
        <f t="shared" si="116"/>
        <v>0.96623219767500379</v>
      </c>
      <c r="EJ94" s="208">
        <f t="shared" si="116"/>
        <v>0.93823070927513641</v>
      </c>
      <c r="EK94" s="208">
        <f t="shared" si="116"/>
        <v>0.97392754282249505</v>
      </c>
      <c r="EL94" s="208">
        <f t="shared" si="116"/>
        <v>0.96167432002825859</v>
      </c>
      <c r="EM94" s="208">
        <f t="shared" si="116"/>
        <v>0.96167432002825859</v>
      </c>
      <c r="EN94" s="208">
        <f t="shared" si="116"/>
        <v>0.81135161978208159</v>
      </c>
      <c r="EO94" s="208">
        <f t="shared" si="116"/>
        <v>0.94721495996937632</v>
      </c>
      <c r="EP94" s="208">
        <f t="shared" si="116"/>
        <v>0.96970274087828723</v>
      </c>
      <c r="EQ94" s="208">
        <f t="shared" si="116"/>
        <v>0.9617915341289357</v>
      </c>
      <c r="ER94" s="208">
        <f t="shared" si="116"/>
        <v>0.9617915341289357</v>
      </c>
      <c r="ES94" s="208">
        <f t="shared" si="116"/>
        <v>0.95399036621386424</v>
      </c>
      <c r="ET94" s="208">
        <f t="shared" ref="ET94" si="117">ET93/(ET8+ET9)</f>
        <v>0</v>
      </c>
      <c r="EU94" s="2560"/>
      <c r="EV94" s="2560"/>
      <c r="EW94" s="208"/>
      <c r="EX94" s="2560"/>
      <c r="EY94" s="2560"/>
      <c r="EZ94" s="2560"/>
      <c r="FA94" s="2560"/>
      <c r="FB94" s="208"/>
      <c r="FC94" s="2560"/>
      <c r="FD94" s="2560"/>
      <c r="FE94" s="2560"/>
      <c r="FF94" s="2560"/>
      <c r="FG94" s="208"/>
      <c r="FH94" s="2560"/>
      <c r="FI94" s="2560"/>
      <c r="FJ94" s="2560"/>
      <c r="FK94" s="2560"/>
      <c r="FL94" s="208"/>
      <c r="FO94"/>
      <c r="FP94"/>
      <c r="FQ94"/>
      <c r="FR94"/>
      <c r="FS94"/>
      <c r="FT94"/>
      <c r="FU94" s="261"/>
      <c r="FV94" s="261"/>
      <c r="FW94" s="261"/>
      <c r="FX94" s="261"/>
    </row>
    <row r="95" spans="1:180" s="264" customFormat="1" ht="11.25" customHeight="1">
      <c r="A95" s="264" t="s">
        <v>1414</v>
      </c>
      <c r="D95" s="253"/>
      <c r="E95" s="253"/>
      <c r="F95" s="253"/>
      <c r="G95" s="253"/>
      <c r="H95" s="253"/>
      <c r="I95" s="253"/>
      <c r="J95" s="253"/>
      <c r="K95" s="253"/>
      <c r="L95" s="253"/>
      <c r="M95" s="253"/>
      <c r="N95" s="253"/>
      <c r="O95" s="253"/>
      <c r="P95" s="253"/>
      <c r="Q95" s="253"/>
      <c r="R95" s="253"/>
      <c r="S95" s="253"/>
      <c r="T95" s="253"/>
      <c r="U95" s="253"/>
      <c r="V95" s="253"/>
      <c r="W95" s="253"/>
      <c r="X95" s="253"/>
      <c r="Y95" s="253"/>
      <c r="Z95" s="253"/>
      <c r="AA95" s="253"/>
      <c r="AB95" s="253"/>
      <c r="AC95" s="253"/>
      <c r="AD95" s="253"/>
      <c r="AE95" s="253"/>
      <c r="AF95" s="253"/>
      <c r="AG95" s="253"/>
      <c r="AH95" s="253"/>
      <c r="AI95" s="253"/>
      <c r="AJ95" s="253"/>
      <c r="AK95" s="253"/>
      <c r="AL95" s="253"/>
      <c r="AM95" s="253"/>
      <c r="AN95" s="253"/>
      <c r="AO95" s="253"/>
      <c r="AP95" s="253"/>
      <c r="AQ95" s="253"/>
      <c r="AR95" s="253"/>
      <c r="AS95" s="253"/>
      <c r="AT95" s="253"/>
      <c r="AU95" s="253"/>
      <c r="AV95" s="253"/>
      <c r="AW95" s="253"/>
      <c r="AX95" s="253"/>
      <c r="AY95" s="253"/>
      <c r="AZ95" s="253"/>
      <c r="BA95" s="253"/>
      <c r="BB95" s="253"/>
      <c r="BC95" s="253"/>
      <c r="BD95" s="253"/>
      <c r="BE95" s="253"/>
      <c r="BF95" s="253"/>
      <c r="BG95" s="253"/>
      <c r="BH95" s="253"/>
      <c r="BI95" s="253"/>
      <c r="BJ95" s="253"/>
      <c r="BK95" s="253"/>
      <c r="BL95" s="253"/>
      <c r="BM95" s="253"/>
      <c r="BN95" s="253"/>
      <c r="BO95" s="253"/>
      <c r="BP95" s="253"/>
      <c r="BQ95" s="253"/>
      <c r="BR95" s="253"/>
      <c r="BS95" s="253"/>
      <c r="BT95" s="253"/>
      <c r="BU95" s="253"/>
      <c r="BV95" s="253"/>
      <c r="BW95" s="253"/>
      <c r="BX95" s="253"/>
      <c r="BY95" s="253"/>
      <c r="BZ95" s="253"/>
      <c r="DC95" s="494"/>
      <c r="DD95" s="494"/>
      <c r="DE95" s="494"/>
      <c r="DF95" s="494"/>
      <c r="DG95" s="494"/>
      <c r="DH95" s="494"/>
      <c r="DI95" s="494"/>
      <c r="DJ95" s="494"/>
      <c r="DK95" s="494"/>
      <c r="DL95" s="494"/>
      <c r="DM95" s="494"/>
      <c r="DN95" s="494"/>
      <c r="DO95" s="494"/>
      <c r="DP95" s="208"/>
      <c r="DQ95" s="208"/>
      <c r="DR95" s="494"/>
      <c r="DS95" s="2562">
        <f>DS8+DS9-DS93</f>
        <v>9040</v>
      </c>
      <c r="DT95" s="240"/>
      <c r="DU95" s="240"/>
      <c r="DV95" s="240"/>
      <c r="DW95" s="208"/>
      <c r="DX95" s="2562">
        <f>DX8+DX9-DX93</f>
        <v>7422</v>
      </c>
      <c r="DY95" s="240"/>
      <c r="DZ95" s="240"/>
      <c r="EB95" s="208"/>
      <c r="EC95" s="2562">
        <f>EC8+EC9-EC93</f>
        <v>8609</v>
      </c>
      <c r="EE95" s="208"/>
      <c r="EF95" s="208"/>
      <c r="EG95" s="208"/>
      <c r="EH95" s="2562">
        <f>EH8+EH9-EH93</f>
        <v>2126</v>
      </c>
      <c r="EI95" s="2568">
        <f>EI8+EI9-EI93</f>
        <v>3355</v>
      </c>
      <c r="EJ95" s="2568">
        <f>EJ8+EJ9-EJ93</f>
        <v>6340</v>
      </c>
      <c r="EK95" s="2568">
        <f>EK8+EK9-EK93</f>
        <v>2752</v>
      </c>
      <c r="EL95" s="2568">
        <f>EL8+EL9-EL93</f>
        <v>4340</v>
      </c>
      <c r="EM95" s="2562">
        <f>EL95</f>
        <v>4340</v>
      </c>
      <c r="EN95" s="2568">
        <f>EN8+EN9-EN93</f>
        <v>25832</v>
      </c>
      <c r="EO95" s="2568">
        <f>EO8+EO9-EO93</f>
        <v>6481</v>
      </c>
      <c r="EP95" s="2568">
        <f>EP8+EP9-EP93</f>
        <v>3818</v>
      </c>
      <c r="EQ95" s="2568">
        <f>EQ8+EQ9-EQ93</f>
        <v>5081</v>
      </c>
      <c r="ER95" s="2562">
        <f>EQ95</f>
        <v>5081</v>
      </c>
      <c r="ES95" s="2568">
        <f>ES8+ES9-ES93</f>
        <v>6371</v>
      </c>
      <c r="ET95" s="2568">
        <f>ET8+ET9-ET93</f>
        <v>142780</v>
      </c>
      <c r="EU95" s="2560"/>
      <c r="EV95" s="2560"/>
      <c r="EW95" s="2562"/>
      <c r="EX95" s="2560"/>
      <c r="EY95" s="2560"/>
      <c r="EZ95" s="2560"/>
      <c r="FA95" s="2560"/>
      <c r="FB95" s="2562"/>
      <c r="FC95" s="2560"/>
      <c r="FD95" s="2560"/>
      <c r="FE95" s="2560"/>
      <c r="FF95" s="2560"/>
      <c r="FG95" s="2562"/>
      <c r="FH95" s="2560"/>
      <c r="FI95" s="2560"/>
      <c r="FJ95" s="2560"/>
      <c r="FK95" s="2560"/>
      <c r="FL95" s="2562"/>
      <c r="FO95"/>
      <c r="FP95"/>
      <c r="FQ95"/>
      <c r="FR95"/>
      <c r="FS95"/>
      <c r="FT95"/>
      <c r="FU95" s="261"/>
      <c r="FV95" s="261"/>
      <c r="FW95" s="261"/>
      <c r="FX95" s="261"/>
    </row>
    <row r="96" spans="1:180" s="264" customFormat="1" ht="11.25" customHeight="1">
      <c r="D96" s="253"/>
      <c r="E96" s="253"/>
      <c r="F96" s="253"/>
      <c r="G96" s="253"/>
      <c r="H96" s="253"/>
      <c r="I96" s="253"/>
      <c r="J96" s="253"/>
      <c r="K96" s="253"/>
      <c r="L96" s="253"/>
      <c r="M96" s="253"/>
      <c r="N96" s="253"/>
      <c r="O96" s="253"/>
      <c r="P96" s="253"/>
      <c r="Q96" s="253"/>
      <c r="R96" s="253"/>
      <c r="S96" s="253"/>
      <c r="T96" s="253"/>
      <c r="U96" s="253"/>
      <c r="V96" s="253"/>
      <c r="W96" s="253"/>
      <c r="X96" s="253"/>
      <c r="Y96" s="253"/>
      <c r="Z96" s="253"/>
      <c r="AA96" s="253"/>
      <c r="AB96" s="253"/>
      <c r="AC96" s="253"/>
      <c r="AD96" s="253"/>
      <c r="AE96" s="253"/>
      <c r="AF96" s="253"/>
      <c r="AG96" s="253"/>
      <c r="AH96" s="253"/>
      <c r="AI96" s="253"/>
      <c r="AJ96" s="253"/>
      <c r="AK96" s="253"/>
      <c r="AL96" s="253"/>
      <c r="AM96" s="253"/>
      <c r="AN96" s="253"/>
      <c r="AO96" s="253"/>
      <c r="AP96" s="253"/>
      <c r="AQ96" s="253"/>
      <c r="AR96" s="253"/>
      <c r="AS96" s="253"/>
      <c r="AT96" s="253"/>
      <c r="AU96" s="253"/>
      <c r="AV96" s="253"/>
      <c r="AW96" s="253"/>
      <c r="AX96" s="253"/>
      <c r="AY96" s="253"/>
      <c r="AZ96" s="253"/>
      <c r="BA96" s="253"/>
      <c r="BB96" s="253"/>
      <c r="BC96" s="253"/>
      <c r="BD96" s="253"/>
      <c r="BE96" s="253"/>
      <c r="BF96" s="253"/>
      <c r="BG96" s="253"/>
      <c r="BH96" s="253"/>
      <c r="BI96" s="253"/>
      <c r="BJ96" s="253"/>
      <c r="BK96" s="253"/>
      <c r="BL96" s="253"/>
      <c r="BM96" s="253"/>
      <c r="BN96" s="253"/>
      <c r="BO96" s="253"/>
      <c r="BP96" s="253"/>
      <c r="BQ96" s="253"/>
      <c r="BR96" s="253"/>
      <c r="BS96" s="253"/>
      <c r="BT96" s="253"/>
      <c r="BU96" s="253"/>
      <c r="BV96" s="253"/>
      <c r="BW96" s="253"/>
      <c r="BX96" s="253"/>
      <c r="BY96" s="253"/>
      <c r="BZ96" s="253"/>
      <c r="DC96" s="494"/>
      <c r="DD96" s="494"/>
      <c r="DE96" s="494"/>
      <c r="DF96" s="494"/>
      <c r="DG96" s="494"/>
      <c r="DH96" s="494"/>
      <c r="DI96" s="494"/>
      <c r="DJ96" s="494"/>
      <c r="DK96" s="494"/>
      <c r="DL96" s="494"/>
      <c r="DM96" s="494"/>
      <c r="DN96" s="494"/>
      <c r="DO96" s="494"/>
      <c r="DP96" s="208"/>
      <c r="DQ96" s="208"/>
      <c r="DR96" s="494"/>
      <c r="DS96" s="494"/>
      <c r="DT96" s="240"/>
      <c r="DU96" s="240"/>
      <c r="DV96" s="240"/>
      <c r="DW96" s="208"/>
      <c r="DX96" s="494"/>
      <c r="DY96" s="240"/>
      <c r="DZ96" s="240"/>
      <c r="EB96" s="208"/>
      <c r="EC96" s="494"/>
      <c r="EI96" s="2560"/>
      <c r="EJ96" s="2560"/>
      <c r="EK96" s="2560"/>
      <c r="EL96" s="2560"/>
      <c r="EM96" s="2560"/>
      <c r="EN96" s="2560"/>
      <c r="EO96" s="2560"/>
      <c r="EP96" s="2560"/>
      <c r="EQ96" s="2677"/>
      <c r="ER96" s="2677"/>
      <c r="ES96" s="2677"/>
      <c r="ET96" s="2560"/>
      <c r="EU96" s="2560"/>
      <c r="EV96" s="2560"/>
      <c r="EW96" s="2560"/>
      <c r="EX96" s="2560"/>
      <c r="EY96" s="2560"/>
      <c r="EZ96" s="2560"/>
      <c r="FA96" s="2560"/>
      <c r="FC96" s="2560"/>
      <c r="FD96" s="2560"/>
      <c r="FE96" s="2560"/>
      <c r="FF96" s="2560"/>
      <c r="FH96" s="2560"/>
      <c r="FI96" s="2560"/>
      <c r="FJ96" s="2560"/>
      <c r="FK96" s="2560"/>
      <c r="FO96"/>
      <c r="FP96"/>
      <c r="FQ96"/>
      <c r="FR96"/>
      <c r="FS96"/>
      <c r="FT96"/>
      <c r="FU96" s="261"/>
      <c r="FV96" s="261"/>
      <c r="FW96" s="261"/>
      <c r="FX96" s="261"/>
    </row>
    <row r="97" spans="1:180" s="264" customFormat="1" ht="11.25" customHeight="1">
      <c r="A97" s="264" t="s">
        <v>1109</v>
      </c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  <c r="P97" s="253"/>
      <c r="Q97" s="253"/>
      <c r="R97" s="253"/>
      <c r="S97" s="253"/>
      <c r="T97" s="253"/>
      <c r="U97" s="253"/>
      <c r="V97" s="253"/>
      <c r="W97" s="253"/>
      <c r="X97" s="253"/>
      <c r="Y97" s="253"/>
      <c r="Z97" s="253"/>
      <c r="AA97" s="253"/>
      <c r="AB97" s="253"/>
      <c r="AC97" s="253"/>
      <c r="AD97" s="253"/>
      <c r="AE97" s="253"/>
      <c r="AF97" s="253"/>
      <c r="AG97" s="253"/>
      <c r="AH97" s="253"/>
      <c r="AI97" s="253"/>
      <c r="AJ97" s="253"/>
      <c r="AK97" s="253"/>
      <c r="AL97" s="253"/>
      <c r="AM97" s="253"/>
      <c r="AN97" s="253"/>
      <c r="AO97" s="253"/>
      <c r="AP97" s="253"/>
      <c r="AQ97" s="253"/>
      <c r="AR97" s="253"/>
      <c r="AS97" s="253"/>
      <c r="AT97" s="253"/>
      <c r="AU97" s="253"/>
      <c r="AV97" s="253"/>
      <c r="AW97" s="253"/>
      <c r="AX97" s="253"/>
      <c r="AY97" s="253"/>
      <c r="AZ97" s="253"/>
      <c r="BA97" s="253"/>
      <c r="BB97" s="253"/>
      <c r="BC97" s="253"/>
      <c r="BD97" s="253"/>
      <c r="BE97" s="253"/>
      <c r="BF97" s="253"/>
      <c r="BG97" s="253"/>
      <c r="BH97" s="253"/>
      <c r="BI97" s="253"/>
      <c r="BJ97" s="253"/>
      <c r="BK97" s="253"/>
      <c r="BL97" s="253"/>
      <c r="BM97" s="253"/>
      <c r="BN97" s="253"/>
      <c r="BO97" s="253"/>
      <c r="BP97" s="253"/>
      <c r="BQ97" s="253"/>
      <c r="BR97" s="253"/>
      <c r="BS97" s="253"/>
      <c r="BT97" s="253"/>
      <c r="BU97" s="253"/>
      <c r="BV97" s="253"/>
      <c r="BW97" s="253"/>
      <c r="BX97" s="253"/>
      <c r="BY97" s="253"/>
      <c r="BZ97" s="253"/>
      <c r="DC97" s="494"/>
      <c r="DD97" s="494"/>
      <c r="DE97" s="494"/>
      <c r="DF97" s="494"/>
      <c r="DG97" s="483"/>
      <c r="DH97" s="494"/>
      <c r="DI97" s="494"/>
      <c r="DJ97" s="494"/>
      <c r="DK97" s="494"/>
      <c r="DL97" s="494"/>
      <c r="DM97" s="494"/>
      <c r="DN97" s="494"/>
      <c r="DO97" s="494"/>
      <c r="DP97" s="494"/>
      <c r="DQ97" s="494"/>
      <c r="DR97" s="494"/>
      <c r="DS97" s="494"/>
      <c r="DT97" s="838"/>
      <c r="DU97" s="494"/>
      <c r="DV97" s="494"/>
      <c r="DW97" s="494"/>
      <c r="DX97" s="494"/>
      <c r="DY97" s="838"/>
      <c r="DZ97" s="494"/>
      <c r="EB97" s="494"/>
      <c r="EC97" s="494"/>
      <c r="EF97" s="242"/>
      <c r="EG97" s="242"/>
      <c r="EI97" s="2560"/>
      <c r="EJ97" s="2560"/>
      <c r="EK97" s="2562"/>
      <c r="EL97" s="2561"/>
      <c r="EM97" s="2560"/>
      <c r="EN97" s="2561"/>
      <c r="EO97" s="2561"/>
      <c r="EP97" s="2562"/>
      <c r="EQ97" s="2561"/>
      <c r="ER97" s="2677"/>
      <c r="ES97" s="2561"/>
      <c r="ET97" s="2561"/>
      <c r="EU97" s="2562">
        <f>ET95</f>
        <v>142780</v>
      </c>
      <c r="EV97" s="2562">
        <f>EU104</f>
        <v>140962.29999999999</v>
      </c>
      <c r="EW97" s="2560"/>
      <c r="EX97" s="2562">
        <f>EV104</f>
        <v>139823.77513457011</v>
      </c>
      <c r="EY97" s="2562">
        <f>EX104</f>
        <v>137206.52283855126</v>
      </c>
      <c r="EZ97" s="2562">
        <f>EY104</f>
        <v>131293.51467636073</v>
      </c>
      <c r="FA97" s="2562">
        <f>EZ104</f>
        <v>127969.42597487068</v>
      </c>
      <c r="FC97" s="2562">
        <f>FA104</f>
        <v>124210.35556616365</v>
      </c>
      <c r="FD97" s="2562">
        <f>FC104</f>
        <v>120878.79364940892</v>
      </c>
      <c r="FE97" s="2562">
        <f>FD104</f>
        <v>113790.21989980758</v>
      </c>
      <c r="FF97" s="2562">
        <f>FE104</f>
        <v>109320.88037758056</v>
      </c>
      <c r="FH97" s="2562">
        <f>FF104</f>
        <v>104585.9316272587</v>
      </c>
      <c r="FI97" s="2562">
        <f>FH104</f>
        <v>100939.66080543397</v>
      </c>
      <c r="FJ97" s="2562">
        <f>FI104</f>
        <v>92668.192512228066</v>
      </c>
      <c r="FK97" s="2562">
        <f>FJ104</f>
        <v>87669.915630552336</v>
      </c>
      <c r="FO97"/>
      <c r="FP97"/>
      <c r="FQ97"/>
      <c r="FR97"/>
      <c r="FS97"/>
      <c r="FT97"/>
      <c r="FU97" s="261"/>
      <c r="FV97" s="261"/>
      <c r="FW97" s="261"/>
      <c r="FX97" s="261"/>
    </row>
    <row r="98" spans="1:180" s="264" customFormat="1" ht="11.25" customHeight="1">
      <c r="A98" s="2229" t="s">
        <v>1415</v>
      </c>
      <c r="C98" s="455"/>
      <c r="D98" s="455"/>
      <c r="E98" s="455"/>
      <c r="F98" s="455"/>
      <c r="G98" s="455"/>
      <c r="H98" s="455"/>
      <c r="I98" s="455"/>
      <c r="J98" s="455"/>
      <c r="K98" s="455"/>
      <c r="L98" s="455"/>
      <c r="M98" s="455"/>
      <c r="N98" s="455"/>
      <c r="O98" s="455"/>
      <c r="P98" s="455"/>
      <c r="Q98" s="455"/>
      <c r="R98" s="455"/>
      <c r="S98" s="455"/>
      <c r="T98" s="455"/>
      <c r="U98" s="455"/>
      <c r="V98" s="455"/>
      <c r="W98" s="455"/>
      <c r="X98" s="455"/>
      <c r="Y98" s="455"/>
      <c r="Z98" s="455"/>
      <c r="AA98" s="455"/>
      <c r="AB98" s="455"/>
      <c r="AC98" s="455"/>
      <c r="AD98" s="455"/>
      <c r="AE98" s="455"/>
      <c r="AF98" s="455"/>
      <c r="AG98" s="455"/>
      <c r="AH98" s="455"/>
      <c r="AI98" s="455"/>
      <c r="AJ98" s="455"/>
      <c r="AK98" s="455"/>
      <c r="AL98" s="455"/>
      <c r="AM98" s="455"/>
      <c r="AN98" s="455"/>
      <c r="AO98" s="455"/>
      <c r="AP98" s="455"/>
      <c r="AQ98" s="455"/>
      <c r="AR98" s="455"/>
      <c r="AS98" s="455"/>
      <c r="AT98" s="455"/>
      <c r="AU98" s="455"/>
      <c r="AV98" s="455"/>
      <c r="AW98" s="455"/>
      <c r="AX98" s="455"/>
      <c r="AY98" s="455"/>
      <c r="AZ98" s="455"/>
      <c r="BA98" s="455"/>
      <c r="BB98" s="455"/>
      <c r="BC98" s="455"/>
      <c r="BD98" s="455"/>
      <c r="BE98" s="455"/>
      <c r="BF98" s="455"/>
      <c r="BG98" s="455"/>
      <c r="BH98" s="455"/>
      <c r="BI98" s="455"/>
      <c r="BJ98" s="455"/>
      <c r="BK98" s="455"/>
      <c r="BL98" s="455"/>
      <c r="BM98" s="455"/>
      <c r="BN98" s="455"/>
      <c r="BO98" s="455"/>
      <c r="BP98" s="455"/>
      <c r="BQ98" s="455"/>
      <c r="BR98" s="455"/>
      <c r="BS98" s="455"/>
      <c r="BT98" s="455"/>
      <c r="BU98" s="455"/>
      <c r="BV98" s="455"/>
      <c r="BW98" s="455"/>
      <c r="BX98" s="455"/>
      <c r="BY98" s="455"/>
      <c r="BZ98" s="455"/>
      <c r="CA98" s="455"/>
      <c r="CB98" s="455"/>
      <c r="CC98" s="455"/>
      <c r="CD98" s="455"/>
      <c r="CE98" s="455"/>
      <c r="CF98" s="455"/>
      <c r="CG98" s="455"/>
      <c r="CH98" s="455"/>
      <c r="CI98" s="455"/>
      <c r="CJ98" s="455"/>
      <c r="CK98" s="455"/>
      <c r="CL98" s="455"/>
      <c r="CM98" s="455"/>
      <c r="CN98" s="455"/>
      <c r="CO98" s="455"/>
      <c r="CP98" s="455"/>
      <c r="CQ98" s="455"/>
      <c r="CR98" s="455"/>
      <c r="CS98" s="455"/>
      <c r="CT98" s="455"/>
      <c r="CU98" s="455"/>
      <c r="CV98" s="455"/>
      <c r="CW98" s="455"/>
      <c r="CX98" s="455"/>
      <c r="CY98" s="455"/>
      <c r="CZ98" s="455"/>
      <c r="DA98" s="455"/>
      <c r="DB98" s="455"/>
      <c r="DC98" s="455"/>
      <c r="DD98" s="455"/>
      <c r="DE98" s="455"/>
      <c r="DF98" s="455"/>
      <c r="DG98" s="455"/>
      <c r="DH98" s="455"/>
      <c r="DI98" s="455"/>
      <c r="DJ98" s="455"/>
      <c r="DK98" s="455"/>
      <c r="DL98" s="455"/>
      <c r="DM98" s="455"/>
      <c r="DN98" s="455"/>
      <c r="DO98" s="455"/>
      <c r="DP98" s="455"/>
      <c r="DQ98" s="455"/>
      <c r="DR98" s="455"/>
      <c r="DS98" s="455"/>
      <c r="DT98" s="455"/>
      <c r="DU98" s="455"/>
      <c r="DV98" s="455"/>
      <c r="DW98" s="455"/>
      <c r="DX98" s="455"/>
      <c r="DY98" s="455"/>
      <c r="DZ98" s="455"/>
      <c r="EA98" s="455"/>
      <c r="EB98" s="455"/>
      <c r="EC98" s="455"/>
      <c r="ED98" s="455"/>
      <c r="EE98" s="455"/>
      <c r="EF98" s="455"/>
      <c r="EG98" s="455"/>
      <c r="EH98" s="455"/>
      <c r="EI98" s="2515"/>
      <c r="EJ98" s="2515"/>
      <c r="EK98" s="2515"/>
      <c r="EL98" s="2563"/>
      <c r="EM98" s="2562"/>
      <c r="EN98" s="2515"/>
      <c r="EO98" s="2515"/>
      <c r="EP98" s="2515"/>
      <c r="EQ98" s="2563"/>
      <c r="ER98" s="2677"/>
      <c r="ES98" s="2563"/>
      <c r="ET98" s="2515"/>
      <c r="EU98" s="2515">
        <f>0.5*CF!EU25</f>
        <v>6075.5</v>
      </c>
      <c r="EV98" s="2515">
        <f>0.5*CF!EV25</f>
        <v>6597.0375820373292</v>
      </c>
      <c r="EW98" s="2560"/>
      <c r="EX98" s="2515">
        <f>0.5*CF!EX25</f>
        <v>7205.5218789219707</v>
      </c>
      <c r="EY98" s="2515">
        <f>0.5*CF!EY25</f>
        <v>4190.4773306655316</v>
      </c>
      <c r="EZ98" s="2515">
        <f>0.5*CF!EZ25</f>
        <v>7097.5402352158944</v>
      </c>
      <c r="FA98" s="2515">
        <f>0.5*CF!FA25</f>
        <v>7004.9726866628007</v>
      </c>
      <c r="FC98" s="2515">
        <f>0.5*CF!FC25</f>
        <v>8091.4684263634053</v>
      </c>
      <c r="FD98" s="2515">
        <f>0.5*CF!FD25</f>
        <v>4716.4283153455744</v>
      </c>
      <c r="FE98" s="2515">
        <f>0.5*CF!FE25</f>
        <v>7760.6996523944572</v>
      </c>
      <c r="FF98" s="2515">
        <f>0.5*CF!FF25</f>
        <v>7952.9288785140934</v>
      </c>
      <c r="FH98" s="2515">
        <f>0.5*CF!FH25</f>
        <v>9091.5023755090933</v>
      </c>
      <c r="FI98" s="2515">
        <f>0.5*CF!FI25</f>
        <v>4973.9783139606825</v>
      </c>
      <c r="FJ98" s="2515">
        <f>0.5*CF!FJ25</f>
        <v>8806.5038285643896</v>
      </c>
      <c r="FK98" s="2515">
        <f>0.5*CF!FK25</f>
        <v>9194.5844676561192</v>
      </c>
      <c r="FO98"/>
      <c r="FP98"/>
      <c r="FQ98"/>
      <c r="FR98"/>
      <c r="FS98"/>
      <c r="FT98"/>
      <c r="FU98" s="261"/>
      <c r="FV98" s="261"/>
      <c r="FW98" s="261"/>
      <c r="FX98" s="261"/>
    </row>
    <row r="99" spans="1:180" s="264" customFormat="1" ht="11.25" customHeight="1">
      <c r="A99" s="2229" t="s">
        <v>1110</v>
      </c>
      <c r="C99" s="455"/>
      <c r="D99" s="455"/>
      <c r="E99" s="455"/>
      <c r="F99" s="455"/>
      <c r="G99" s="455"/>
      <c r="H99" s="455"/>
      <c r="I99" s="455"/>
      <c r="J99" s="455"/>
      <c r="K99" s="455"/>
      <c r="L99" s="455"/>
      <c r="M99" s="455"/>
      <c r="N99" s="455"/>
      <c r="O99" s="455"/>
      <c r="P99" s="455"/>
      <c r="Q99" s="455"/>
      <c r="R99" s="455"/>
      <c r="S99" s="455"/>
      <c r="T99" s="455"/>
      <c r="U99" s="455"/>
      <c r="V99" s="455"/>
      <c r="W99" s="455"/>
      <c r="X99" s="455"/>
      <c r="Y99" s="455"/>
      <c r="Z99" s="455"/>
      <c r="AA99" s="455"/>
      <c r="AB99" s="455"/>
      <c r="AC99" s="455"/>
      <c r="AD99" s="455"/>
      <c r="AE99" s="455"/>
      <c r="AF99" s="455"/>
      <c r="AG99" s="455"/>
      <c r="AH99" s="455"/>
      <c r="AI99" s="455"/>
      <c r="AJ99" s="455"/>
      <c r="AK99" s="455"/>
      <c r="AL99" s="455"/>
      <c r="AM99" s="455"/>
      <c r="AN99" s="455"/>
      <c r="AO99" s="455"/>
      <c r="AP99" s="455"/>
      <c r="AQ99" s="455"/>
      <c r="AR99" s="455"/>
      <c r="AS99" s="455"/>
      <c r="AT99" s="455"/>
      <c r="AU99" s="455"/>
      <c r="AV99" s="455"/>
      <c r="AW99" s="455"/>
      <c r="AX99" s="455"/>
      <c r="AY99" s="455"/>
      <c r="AZ99" s="455"/>
      <c r="BA99" s="455"/>
      <c r="BB99" s="455"/>
      <c r="BC99" s="455"/>
      <c r="BD99" s="455"/>
      <c r="BE99" s="455"/>
      <c r="BF99" s="455"/>
      <c r="BG99" s="455"/>
      <c r="BH99" s="455"/>
      <c r="BI99" s="455"/>
      <c r="BJ99" s="455"/>
      <c r="BK99" s="455"/>
      <c r="BL99" s="455"/>
      <c r="BM99" s="455"/>
      <c r="BN99" s="455"/>
      <c r="BO99" s="455"/>
      <c r="BP99" s="455"/>
      <c r="BQ99" s="455"/>
      <c r="BR99" s="455"/>
      <c r="BS99" s="455"/>
      <c r="BT99" s="455"/>
      <c r="BU99" s="455"/>
      <c r="BV99" s="455"/>
      <c r="BW99" s="455"/>
      <c r="BX99" s="455"/>
      <c r="BY99" s="455"/>
      <c r="BZ99" s="455"/>
      <c r="CA99" s="455"/>
      <c r="CB99" s="455"/>
      <c r="CC99" s="455"/>
      <c r="CD99" s="455"/>
      <c r="CE99" s="455"/>
      <c r="CF99" s="455"/>
      <c r="CG99" s="455"/>
      <c r="CH99" s="455"/>
      <c r="CI99" s="455"/>
      <c r="CJ99" s="455"/>
      <c r="CK99" s="455"/>
      <c r="CL99" s="455"/>
      <c r="CM99" s="455"/>
      <c r="CN99" s="455"/>
      <c r="CO99" s="455"/>
      <c r="CP99" s="455"/>
      <c r="CQ99" s="455"/>
      <c r="CR99" s="455"/>
      <c r="CS99" s="455"/>
      <c r="CT99" s="455"/>
      <c r="CU99" s="455"/>
      <c r="CV99" s="455"/>
      <c r="CW99" s="455"/>
      <c r="CX99" s="455"/>
      <c r="CY99" s="455"/>
      <c r="CZ99" s="455"/>
      <c r="DA99" s="455"/>
      <c r="DB99" s="455"/>
      <c r="DC99" s="455"/>
      <c r="DD99" s="455"/>
      <c r="DE99" s="455"/>
      <c r="DF99" s="455"/>
      <c r="DG99" s="455"/>
      <c r="DH99" s="455"/>
      <c r="DI99" s="455"/>
      <c r="DJ99" s="455"/>
      <c r="DK99" s="455"/>
      <c r="DL99" s="455"/>
      <c r="DM99" s="455"/>
      <c r="DN99" s="455"/>
      <c r="DO99" s="455"/>
      <c r="DP99" s="455"/>
      <c r="DQ99" s="455"/>
      <c r="DR99" s="455"/>
      <c r="DS99" s="455"/>
      <c r="DT99" s="455"/>
      <c r="DU99" s="455"/>
      <c r="DV99" s="455"/>
      <c r="DW99" s="455"/>
      <c r="DX99" s="455"/>
      <c r="DY99" s="455"/>
      <c r="DZ99" s="455"/>
      <c r="EA99" s="455"/>
      <c r="EB99" s="455"/>
      <c r="EC99" s="455"/>
      <c r="ED99" s="455"/>
      <c r="EE99" s="455"/>
      <c r="EF99" s="455"/>
      <c r="EG99" s="455"/>
      <c r="EH99" s="455"/>
      <c r="EI99" s="2515"/>
      <c r="EJ99" s="2515"/>
      <c r="EK99" s="2515"/>
      <c r="EL99" s="2563"/>
      <c r="EM99" s="2562"/>
      <c r="EN99" s="2515"/>
      <c r="EO99" s="2515"/>
      <c r="EP99" s="2515"/>
      <c r="EQ99" s="2563"/>
      <c r="ER99" s="2677"/>
      <c r="ES99" s="2563"/>
      <c r="ET99" s="2515"/>
      <c r="EU99" s="2515">
        <f>0.3*CF!EU26</f>
        <v>-880.19999999999993</v>
      </c>
      <c r="EV99" s="2515">
        <f>0.3*CF!EV26</f>
        <v>-915</v>
      </c>
      <c r="EW99" s="2560"/>
      <c r="EX99" s="2515">
        <f>0.3*CF!EX26</f>
        <v>-915</v>
      </c>
      <c r="EY99" s="2515">
        <f>0.3*CF!EY26</f>
        <v>-915</v>
      </c>
      <c r="EZ99" s="2515">
        <f>0.3*CF!EZ26</f>
        <v>-915</v>
      </c>
      <c r="FA99" s="2515">
        <f>0.3*CF!FA26</f>
        <v>-915</v>
      </c>
      <c r="FC99" s="2515">
        <f>0.3*CF!FC26</f>
        <v>-945</v>
      </c>
      <c r="FD99" s="2515">
        <f>0.3*CF!FD26</f>
        <v>-945</v>
      </c>
      <c r="FE99" s="2515">
        <f>0.3*CF!FE26</f>
        <v>-945</v>
      </c>
      <c r="FF99" s="2515">
        <f>0.3*CF!FF26</f>
        <v>-945</v>
      </c>
      <c r="FH99" s="2515">
        <f>0.3*CF!FH26</f>
        <v>-975</v>
      </c>
      <c r="FI99" s="2515">
        <f>0.3*CF!FI26</f>
        <v>-975</v>
      </c>
      <c r="FJ99" s="2515">
        <f>0.3*CF!FJ26</f>
        <v>-975</v>
      </c>
      <c r="FK99" s="2515">
        <f>0.3*CF!FK26</f>
        <v>-975</v>
      </c>
      <c r="FO99"/>
      <c r="FP99"/>
      <c r="FQ99"/>
      <c r="FR99"/>
      <c r="FS99"/>
      <c r="FT99"/>
      <c r="FU99" s="261"/>
      <c r="FV99" s="261"/>
      <c r="FW99" s="261"/>
      <c r="FX99" s="261"/>
    </row>
    <row r="100" spans="1:180" s="264" customFormat="1" ht="11.25" customHeight="1">
      <c r="A100" s="2229" t="s">
        <v>1111</v>
      </c>
      <c r="C100" s="455"/>
      <c r="D100" s="455"/>
      <c r="E100" s="455"/>
      <c r="F100" s="455"/>
      <c r="G100" s="455"/>
      <c r="H100" s="455"/>
      <c r="I100" s="455"/>
      <c r="J100" s="455"/>
      <c r="K100" s="455"/>
      <c r="L100" s="455"/>
      <c r="M100" s="455"/>
      <c r="N100" s="455"/>
      <c r="O100" s="455"/>
      <c r="P100" s="455"/>
      <c r="Q100" s="455"/>
      <c r="R100" s="455"/>
      <c r="S100" s="455"/>
      <c r="T100" s="455"/>
      <c r="U100" s="455"/>
      <c r="V100" s="455"/>
      <c r="W100" s="455"/>
      <c r="X100" s="455"/>
      <c r="Y100" s="455"/>
      <c r="Z100" s="455"/>
      <c r="AA100" s="455"/>
      <c r="AB100" s="455"/>
      <c r="AC100" s="455"/>
      <c r="AD100" s="455"/>
      <c r="AE100" s="455"/>
      <c r="AF100" s="455"/>
      <c r="AG100" s="455"/>
      <c r="AH100" s="455"/>
      <c r="AI100" s="455"/>
      <c r="AJ100" s="455"/>
      <c r="AK100" s="455"/>
      <c r="AL100" s="455"/>
      <c r="AM100" s="455"/>
      <c r="AN100" s="455"/>
      <c r="AO100" s="455"/>
      <c r="AP100" s="455"/>
      <c r="AQ100" s="455"/>
      <c r="AR100" s="455"/>
      <c r="AS100" s="455"/>
      <c r="AT100" s="455"/>
      <c r="AU100" s="455"/>
      <c r="AV100" s="455"/>
      <c r="AW100" s="455"/>
      <c r="AX100" s="455"/>
      <c r="AY100" s="455"/>
      <c r="AZ100" s="455"/>
      <c r="BA100" s="455"/>
      <c r="BB100" s="455"/>
      <c r="BC100" s="455"/>
      <c r="BD100" s="455"/>
      <c r="BE100" s="455"/>
      <c r="BF100" s="455"/>
      <c r="BG100" s="455"/>
      <c r="BH100" s="455"/>
      <c r="BI100" s="455"/>
      <c r="BJ100" s="455"/>
      <c r="BK100" s="455"/>
      <c r="BL100" s="455"/>
      <c r="BM100" s="455"/>
      <c r="BN100" s="455"/>
      <c r="BO100" s="455"/>
      <c r="BP100" s="455"/>
      <c r="BQ100" s="455"/>
      <c r="BR100" s="455"/>
      <c r="BS100" s="455"/>
      <c r="BT100" s="455"/>
      <c r="BU100" s="455"/>
      <c r="BV100" s="455"/>
      <c r="BW100" s="455"/>
      <c r="BX100" s="455"/>
      <c r="BY100" s="455"/>
      <c r="BZ100" s="455"/>
      <c r="CA100" s="455"/>
      <c r="CB100" s="455"/>
      <c r="CC100" s="455"/>
      <c r="CD100" s="455"/>
      <c r="CE100" s="455"/>
      <c r="CF100" s="455"/>
      <c r="CG100" s="455"/>
      <c r="CH100" s="455"/>
      <c r="CI100" s="455"/>
      <c r="CJ100" s="455"/>
      <c r="CK100" s="455"/>
      <c r="CL100" s="455"/>
      <c r="CM100" s="455"/>
      <c r="CN100" s="455"/>
      <c r="CO100" s="455"/>
      <c r="CP100" s="455"/>
      <c r="CQ100" s="455"/>
      <c r="CR100" s="455"/>
      <c r="CS100" s="455"/>
      <c r="CT100" s="455"/>
      <c r="CU100" s="455"/>
      <c r="CV100" s="455"/>
      <c r="CW100" s="455"/>
      <c r="CX100" s="455"/>
      <c r="CY100" s="455"/>
      <c r="CZ100" s="455"/>
      <c r="DA100" s="455"/>
      <c r="DB100" s="455"/>
      <c r="DC100" s="455"/>
      <c r="DD100" s="455"/>
      <c r="DE100" s="455"/>
      <c r="DF100" s="455"/>
      <c r="DG100" s="455"/>
      <c r="DH100" s="455"/>
      <c r="DI100" s="455"/>
      <c r="DJ100" s="455"/>
      <c r="DK100" s="455"/>
      <c r="DL100" s="455"/>
      <c r="DM100" s="455"/>
      <c r="DN100" s="455"/>
      <c r="DO100" s="455"/>
      <c r="DP100" s="455"/>
      <c r="DQ100" s="455"/>
      <c r="DR100" s="455"/>
      <c r="DS100" s="455"/>
      <c r="DT100" s="455"/>
      <c r="DU100" s="455"/>
      <c r="DV100" s="455"/>
      <c r="DW100" s="455"/>
      <c r="DX100" s="455"/>
      <c r="DY100" s="455"/>
      <c r="DZ100" s="455"/>
      <c r="EA100" s="455"/>
      <c r="EB100" s="455"/>
      <c r="EC100" s="455"/>
      <c r="ED100" s="455"/>
      <c r="EE100" s="455"/>
      <c r="EF100" s="455"/>
      <c r="EG100" s="455"/>
      <c r="EH100" s="455"/>
      <c r="EI100" s="2515"/>
      <c r="EJ100" s="2515"/>
      <c r="EK100" s="2515"/>
      <c r="EL100" s="2563"/>
      <c r="EM100" s="2562"/>
      <c r="EN100" s="2515"/>
      <c r="EO100" s="2515"/>
      <c r="EP100" s="2515"/>
      <c r="EQ100" s="2563"/>
      <c r="ER100" s="2677"/>
      <c r="ES100" s="2563"/>
      <c r="ET100" s="2515"/>
      <c r="EU100" s="2515">
        <f>CF!EU35</f>
        <v>-3232</v>
      </c>
      <c r="EV100" s="2515">
        <f>CF!EV35</f>
        <v>-3229.7999999999997</v>
      </c>
      <c r="EW100" s="2560"/>
      <c r="EX100" s="2515">
        <f>CF!EX35</f>
        <v>-3674.9762531999995</v>
      </c>
      <c r="EY100" s="2515">
        <f>CF!EY35</f>
        <v>-3667.9937983189193</v>
      </c>
      <c r="EZ100" s="2515">
        <f>CF!EZ35</f>
        <v>-3661.0246101021135</v>
      </c>
      <c r="FA100" s="2515">
        <f>CF!FA35</f>
        <v>-3654.0686633429195</v>
      </c>
      <c r="FC100" s="2515">
        <f>CF!FC35</f>
        <v>-4012.4414475002768</v>
      </c>
      <c r="FD100" s="2515">
        <f>CF!FD35</f>
        <v>-4005.419674967151</v>
      </c>
      <c r="FE100" s="2515">
        <f>CF!FE35</f>
        <v>-3998.410190535958</v>
      </c>
      <c r="FF100" s="2515">
        <f>CF!FF35</f>
        <v>-3991.4129727025197</v>
      </c>
      <c r="FH100" s="2515">
        <f>CF!FH35</f>
        <v>-4387.4808819837908</v>
      </c>
      <c r="FI100" s="2515">
        <f>CF!FI35</f>
        <v>-4384.4096453664024</v>
      </c>
      <c r="FJ100" s="2515">
        <f>CF!FJ35</f>
        <v>-4381.3405586146455</v>
      </c>
      <c r="FK100" s="2515">
        <f>CF!FK35</f>
        <v>-4378.2736202236156</v>
      </c>
      <c r="FO100"/>
      <c r="FP100"/>
      <c r="FQ100"/>
      <c r="FR100"/>
      <c r="FS100"/>
      <c r="FT100"/>
      <c r="FU100" s="261"/>
      <c r="FV100" s="261"/>
      <c r="FW100" s="261"/>
      <c r="FX100" s="261"/>
    </row>
    <row r="101" spans="1:180" s="264" customFormat="1" ht="11.25" customHeight="1">
      <c r="A101" s="2229" t="s">
        <v>1112</v>
      </c>
      <c r="C101" s="455"/>
      <c r="D101" s="455"/>
      <c r="E101" s="455"/>
      <c r="F101" s="455"/>
      <c r="G101" s="455"/>
      <c r="H101" s="455"/>
      <c r="I101" s="455"/>
      <c r="J101" s="455"/>
      <c r="K101" s="455"/>
      <c r="L101" s="455"/>
      <c r="M101" s="455"/>
      <c r="N101" s="455"/>
      <c r="O101" s="455"/>
      <c r="P101" s="455"/>
      <c r="Q101" s="455"/>
      <c r="R101" s="455"/>
      <c r="S101" s="455"/>
      <c r="T101" s="455"/>
      <c r="U101" s="455"/>
      <c r="V101" s="455"/>
      <c r="W101" s="455"/>
      <c r="X101" s="455"/>
      <c r="Y101" s="455"/>
      <c r="Z101" s="455"/>
      <c r="AA101" s="455"/>
      <c r="AB101" s="455"/>
      <c r="AC101" s="455"/>
      <c r="AD101" s="455"/>
      <c r="AE101" s="455"/>
      <c r="AF101" s="455"/>
      <c r="AG101" s="455"/>
      <c r="AH101" s="455"/>
      <c r="AI101" s="455"/>
      <c r="AJ101" s="455"/>
      <c r="AK101" s="455"/>
      <c r="AL101" s="455"/>
      <c r="AM101" s="455"/>
      <c r="AN101" s="455"/>
      <c r="AO101" s="455"/>
      <c r="AP101" s="455"/>
      <c r="AQ101" s="455"/>
      <c r="AR101" s="455"/>
      <c r="AS101" s="455"/>
      <c r="AT101" s="455"/>
      <c r="AU101" s="455"/>
      <c r="AV101" s="455"/>
      <c r="AW101" s="455"/>
      <c r="AX101" s="455"/>
      <c r="AY101" s="455"/>
      <c r="AZ101" s="455"/>
      <c r="BA101" s="455"/>
      <c r="BB101" s="455"/>
      <c r="BC101" s="455"/>
      <c r="BD101" s="455"/>
      <c r="BE101" s="455"/>
      <c r="BF101" s="455"/>
      <c r="BG101" s="455"/>
      <c r="BH101" s="455"/>
      <c r="BI101" s="455"/>
      <c r="BJ101" s="455"/>
      <c r="BK101" s="455"/>
      <c r="BL101" s="455"/>
      <c r="BM101" s="455"/>
      <c r="BN101" s="455"/>
      <c r="BO101" s="455"/>
      <c r="BP101" s="455"/>
      <c r="BQ101" s="455"/>
      <c r="BR101" s="455"/>
      <c r="BS101" s="455"/>
      <c r="BT101" s="455"/>
      <c r="BU101" s="455"/>
      <c r="BV101" s="455"/>
      <c r="BW101" s="455"/>
      <c r="BX101" s="455"/>
      <c r="BY101" s="455"/>
      <c r="BZ101" s="455"/>
      <c r="CA101" s="455"/>
      <c r="CB101" s="455"/>
      <c r="CC101" s="455"/>
      <c r="CD101" s="455"/>
      <c r="CE101" s="455"/>
      <c r="CF101" s="455"/>
      <c r="CG101" s="455"/>
      <c r="CH101" s="455"/>
      <c r="CI101" s="455"/>
      <c r="CJ101" s="455"/>
      <c r="CK101" s="455"/>
      <c r="CL101" s="455"/>
      <c r="CM101" s="455"/>
      <c r="CN101" s="455"/>
      <c r="CO101" s="455"/>
      <c r="CP101" s="455"/>
      <c r="CQ101" s="455"/>
      <c r="CR101" s="455"/>
      <c r="CS101" s="455"/>
      <c r="CT101" s="455"/>
      <c r="CU101" s="455"/>
      <c r="CV101" s="455"/>
      <c r="CW101" s="455"/>
      <c r="CX101" s="455"/>
      <c r="CY101" s="455"/>
      <c r="CZ101" s="455"/>
      <c r="DA101" s="455"/>
      <c r="DB101" s="455"/>
      <c r="DC101" s="455"/>
      <c r="DD101" s="455"/>
      <c r="DE101" s="455"/>
      <c r="DF101" s="455"/>
      <c r="DG101" s="455"/>
      <c r="DH101" s="455"/>
      <c r="DI101" s="455"/>
      <c r="DJ101" s="455"/>
      <c r="DK101" s="455"/>
      <c r="DL101" s="455"/>
      <c r="DM101" s="455"/>
      <c r="DN101" s="455"/>
      <c r="DO101" s="455"/>
      <c r="DP101" s="455"/>
      <c r="DQ101" s="455"/>
      <c r="DR101" s="455"/>
      <c r="DS101" s="455"/>
      <c r="DT101" s="455"/>
      <c r="DU101" s="455"/>
      <c r="DV101" s="455"/>
      <c r="DW101" s="455"/>
      <c r="DX101" s="455"/>
      <c r="DY101" s="455"/>
      <c r="DZ101" s="455"/>
      <c r="EA101" s="455"/>
      <c r="EB101" s="455"/>
      <c r="EC101" s="455"/>
      <c r="ED101" s="455"/>
      <c r="EE101" s="455"/>
      <c r="EF101" s="455"/>
      <c r="EG101" s="455"/>
      <c r="EH101" s="455"/>
      <c r="EI101" s="2515"/>
      <c r="EJ101" s="2515"/>
      <c r="EK101" s="2515"/>
      <c r="EL101" s="2563"/>
      <c r="EM101" s="2562"/>
      <c r="EN101" s="2515"/>
      <c r="EO101" s="2515"/>
      <c r="EP101" s="2515"/>
      <c r="EQ101" s="2563"/>
      <c r="ER101" s="2677"/>
      <c r="ES101" s="2563"/>
      <c r="ET101" s="2515"/>
      <c r="EU101" s="2515">
        <f>CF!EU37</f>
        <v>-3781</v>
      </c>
      <c r="EV101" s="2515">
        <f>CF!EV37</f>
        <v>-3590.7624474672334</v>
      </c>
      <c r="EW101" s="2560"/>
      <c r="EX101" s="2515">
        <f>CF!EX37</f>
        <v>-5232.7979217408147</v>
      </c>
      <c r="EY101" s="2515">
        <f>CF!EY37</f>
        <v>-5520.4916945371506</v>
      </c>
      <c r="EZ101" s="2515">
        <f>CF!EZ37</f>
        <v>-5845.6043266038132</v>
      </c>
      <c r="FA101" s="2515">
        <f>CF!FA37</f>
        <v>-6194.9744320269301</v>
      </c>
      <c r="FC101" s="2515">
        <f>CF!FC37</f>
        <v>-6465.5888956178705</v>
      </c>
      <c r="FD101" s="2515">
        <f>CF!FD37</f>
        <v>-6854.582389979767</v>
      </c>
      <c r="FE101" s="2515">
        <f>CF!FE37</f>
        <v>-7286.6289840855197</v>
      </c>
      <c r="FF101" s="2515">
        <f>CF!FF37</f>
        <v>-7751.4646561334321</v>
      </c>
      <c r="FH101" s="2515">
        <f>CF!FH37</f>
        <v>-7375.2923153500242</v>
      </c>
      <c r="FI101" s="2515">
        <f>CF!FI37</f>
        <v>-7886.036961800186</v>
      </c>
      <c r="FJ101" s="2515">
        <f>CF!FJ37</f>
        <v>-8448.4401516254838</v>
      </c>
      <c r="FK101" s="2515">
        <f>CF!FK37</f>
        <v>-9055.0289754895512</v>
      </c>
      <c r="FO101"/>
      <c r="FP101"/>
      <c r="FQ101"/>
      <c r="FR101"/>
      <c r="FS101"/>
      <c r="FT101"/>
      <c r="FU101" s="261"/>
      <c r="FV101" s="261"/>
      <c r="FW101" s="261"/>
      <c r="FX101" s="261"/>
    </row>
    <row r="102" spans="1:180" s="264" customFormat="1" ht="11.25" customHeight="1">
      <c r="A102" s="2229" t="s">
        <v>1115</v>
      </c>
      <c r="C102" s="455"/>
      <c r="D102" s="455"/>
      <c r="E102" s="455"/>
      <c r="F102" s="455"/>
      <c r="G102" s="455"/>
      <c r="H102" s="455"/>
      <c r="I102" s="455"/>
      <c r="J102" s="455"/>
      <c r="K102" s="455"/>
      <c r="L102" s="455"/>
      <c r="M102" s="455"/>
      <c r="N102" s="455"/>
      <c r="O102" s="455"/>
      <c r="P102" s="455"/>
      <c r="Q102" s="455"/>
      <c r="R102" s="455"/>
      <c r="S102" s="455"/>
      <c r="T102" s="455"/>
      <c r="U102" s="455"/>
      <c r="V102" s="455"/>
      <c r="W102" s="455"/>
      <c r="X102" s="455"/>
      <c r="Y102" s="455"/>
      <c r="Z102" s="455"/>
      <c r="AA102" s="455"/>
      <c r="AB102" s="455"/>
      <c r="AC102" s="455"/>
      <c r="AD102" s="455"/>
      <c r="AE102" s="455"/>
      <c r="AF102" s="455"/>
      <c r="AG102" s="455"/>
      <c r="AH102" s="455"/>
      <c r="AI102" s="455"/>
      <c r="AJ102" s="455"/>
      <c r="AK102" s="455"/>
      <c r="AL102" s="455"/>
      <c r="AM102" s="455"/>
      <c r="AN102" s="455"/>
      <c r="AO102" s="455"/>
      <c r="AP102" s="455"/>
      <c r="AQ102" s="455"/>
      <c r="AR102" s="455"/>
      <c r="AS102" s="455"/>
      <c r="AT102" s="455"/>
      <c r="AU102" s="455"/>
      <c r="AV102" s="455"/>
      <c r="AW102" s="455"/>
      <c r="AX102" s="455"/>
      <c r="AY102" s="455"/>
      <c r="AZ102" s="455"/>
      <c r="BA102" s="455"/>
      <c r="BB102" s="455"/>
      <c r="BC102" s="455"/>
      <c r="BD102" s="455"/>
      <c r="BE102" s="455"/>
      <c r="BF102" s="455"/>
      <c r="BG102" s="455"/>
      <c r="BH102" s="455"/>
      <c r="BI102" s="455"/>
      <c r="BJ102" s="455"/>
      <c r="BK102" s="455"/>
      <c r="BL102" s="455"/>
      <c r="BM102" s="455"/>
      <c r="BN102" s="455"/>
      <c r="BO102" s="455"/>
      <c r="BP102" s="455"/>
      <c r="BQ102" s="455"/>
      <c r="BR102" s="455"/>
      <c r="BS102" s="455"/>
      <c r="BT102" s="455"/>
      <c r="BU102" s="455"/>
      <c r="BV102" s="455"/>
      <c r="BW102" s="455"/>
      <c r="BX102" s="455"/>
      <c r="BY102" s="455"/>
      <c r="BZ102" s="455"/>
      <c r="CA102" s="455"/>
      <c r="CB102" s="455"/>
      <c r="CC102" s="455"/>
      <c r="CD102" s="455"/>
      <c r="CE102" s="455"/>
      <c r="CF102" s="455"/>
      <c r="CG102" s="455"/>
      <c r="CH102" s="455"/>
      <c r="CI102" s="455"/>
      <c r="CJ102" s="455"/>
      <c r="CK102" s="455"/>
      <c r="CL102" s="455"/>
      <c r="CM102" s="455"/>
      <c r="CN102" s="455"/>
      <c r="CO102" s="455"/>
      <c r="CP102" s="455"/>
      <c r="CQ102" s="455"/>
      <c r="CR102" s="455"/>
      <c r="CS102" s="455"/>
      <c r="CT102" s="455"/>
      <c r="CU102" s="455"/>
      <c r="CV102" s="455"/>
      <c r="CW102" s="455"/>
      <c r="CX102" s="455"/>
      <c r="CY102" s="455"/>
      <c r="CZ102" s="455"/>
      <c r="DA102" s="455"/>
      <c r="DB102" s="455"/>
      <c r="DC102" s="455"/>
      <c r="DD102" s="455"/>
      <c r="DE102" s="455"/>
      <c r="DF102" s="455"/>
      <c r="DG102" s="455"/>
      <c r="DH102" s="455"/>
      <c r="DI102" s="455"/>
      <c r="DJ102" s="455"/>
      <c r="DK102" s="455"/>
      <c r="DL102" s="455"/>
      <c r="DM102" s="455"/>
      <c r="DN102" s="455"/>
      <c r="DO102" s="455"/>
      <c r="DP102" s="455"/>
      <c r="DQ102" s="455"/>
      <c r="DR102" s="455"/>
      <c r="DS102" s="455"/>
      <c r="DT102" s="455"/>
      <c r="DU102" s="455"/>
      <c r="DV102" s="455"/>
      <c r="DW102" s="455"/>
      <c r="DX102" s="455"/>
      <c r="DY102" s="455"/>
      <c r="DZ102" s="455"/>
      <c r="EA102" s="455"/>
      <c r="EB102" s="455"/>
      <c r="EC102" s="455"/>
      <c r="ED102" s="455"/>
      <c r="EE102" s="455"/>
      <c r="EF102" s="2230"/>
      <c r="EG102" s="2230"/>
      <c r="EH102" s="2230"/>
      <c r="EI102" s="2515"/>
      <c r="EJ102" s="2515"/>
      <c r="EK102" s="2566"/>
      <c r="EL102" s="2564"/>
      <c r="EM102" s="2565"/>
      <c r="EN102" s="2566"/>
      <c r="EO102" s="2566"/>
      <c r="EP102" s="2566"/>
      <c r="EQ102" s="2564"/>
      <c r="ER102" s="2678"/>
      <c r="ES102" s="2564"/>
      <c r="ET102" s="2566"/>
      <c r="EU102" s="2566"/>
      <c r="EV102" s="2566"/>
      <c r="EW102" s="2560"/>
      <c r="EX102" s="2566"/>
      <c r="EY102" s="2566"/>
      <c r="EZ102" s="2566"/>
      <c r="FA102" s="2566"/>
      <c r="FC102" s="2566"/>
      <c r="FD102" s="2566"/>
      <c r="FE102" s="2566"/>
      <c r="FF102" s="2566"/>
      <c r="FH102" s="2566"/>
      <c r="FI102" s="2566"/>
      <c r="FJ102" s="2566"/>
      <c r="FK102" s="2566"/>
      <c r="FO102"/>
      <c r="FP102"/>
      <c r="FQ102"/>
      <c r="FR102"/>
      <c r="FS102"/>
      <c r="FT102"/>
      <c r="FU102" s="261"/>
      <c r="FV102" s="261"/>
      <c r="FW102" s="261"/>
      <c r="FX102" s="261"/>
    </row>
    <row r="103" spans="1:180" s="264" customFormat="1" ht="11.25" customHeight="1">
      <c r="A103" s="2229" t="s">
        <v>1417</v>
      </c>
      <c r="C103" s="455"/>
      <c r="D103" s="455"/>
      <c r="E103" s="455"/>
      <c r="F103" s="455"/>
      <c r="G103" s="455"/>
      <c r="H103" s="455"/>
      <c r="I103" s="455"/>
      <c r="J103" s="455"/>
      <c r="K103" s="455"/>
      <c r="L103" s="455"/>
      <c r="M103" s="455"/>
      <c r="N103" s="455"/>
      <c r="O103" s="455"/>
      <c r="P103" s="455"/>
      <c r="Q103" s="455"/>
      <c r="R103" s="455"/>
      <c r="S103" s="455"/>
      <c r="T103" s="455"/>
      <c r="U103" s="455"/>
      <c r="V103" s="455"/>
      <c r="W103" s="455"/>
      <c r="X103" s="455"/>
      <c r="Y103" s="455"/>
      <c r="Z103" s="455"/>
      <c r="AA103" s="455"/>
      <c r="AB103" s="455"/>
      <c r="AC103" s="455"/>
      <c r="AD103" s="455"/>
      <c r="AE103" s="455"/>
      <c r="AF103" s="455"/>
      <c r="AG103" s="455"/>
      <c r="AH103" s="455"/>
      <c r="AI103" s="455"/>
      <c r="AJ103" s="455"/>
      <c r="AK103" s="455"/>
      <c r="AL103" s="455"/>
      <c r="AM103" s="455"/>
      <c r="AN103" s="455"/>
      <c r="AO103" s="455"/>
      <c r="AP103" s="455"/>
      <c r="AQ103" s="455"/>
      <c r="AR103" s="455"/>
      <c r="AS103" s="455"/>
      <c r="AT103" s="455"/>
      <c r="AU103" s="455"/>
      <c r="AV103" s="455"/>
      <c r="AW103" s="455"/>
      <c r="AX103" s="455"/>
      <c r="AY103" s="455"/>
      <c r="AZ103" s="455"/>
      <c r="BA103" s="455"/>
      <c r="BB103" s="455"/>
      <c r="BC103" s="455"/>
      <c r="BD103" s="455"/>
      <c r="BE103" s="455"/>
      <c r="BF103" s="455"/>
      <c r="BG103" s="455"/>
      <c r="BH103" s="455"/>
      <c r="BI103" s="455"/>
      <c r="BJ103" s="455"/>
      <c r="BK103" s="455"/>
      <c r="BL103" s="455"/>
      <c r="BM103" s="455"/>
      <c r="BN103" s="455"/>
      <c r="BO103" s="455"/>
      <c r="BP103" s="455"/>
      <c r="BQ103" s="455"/>
      <c r="BR103" s="455"/>
      <c r="BS103" s="455"/>
      <c r="BT103" s="455"/>
      <c r="BU103" s="455"/>
      <c r="BV103" s="455"/>
      <c r="BW103" s="455"/>
      <c r="BX103" s="455"/>
      <c r="BY103" s="455"/>
      <c r="BZ103" s="455"/>
      <c r="CA103" s="455"/>
      <c r="CB103" s="455"/>
      <c r="CC103" s="455"/>
      <c r="CD103" s="455"/>
      <c r="CE103" s="455"/>
      <c r="CF103" s="455"/>
      <c r="CG103" s="455"/>
      <c r="CH103" s="455"/>
      <c r="CI103" s="455"/>
      <c r="CJ103" s="455"/>
      <c r="CK103" s="455"/>
      <c r="CL103" s="455"/>
      <c r="CM103" s="455"/>
      <c r="CN103" s="455"/>
      <c r="CO103" s="455"/>
      <c r="CP103" s="455"/>
      <c r="CQ103" s="455"/>
      <c r="CR103" s="455"/>
      <c r="CS103" s="455"/>
      <c r="CT103" s="455"/>
      <c r="CU103" s="455"/>
      <c r="CV103" s="455"/>
      <c r="CW103" s="455"/>
      <c r="CX103" s="455"/>
      <c r="CY103" s="455"/>
      <c r="CZ103" s="455"/>
      <c r="DA103" s="455"/>
      <c r="DB103" s="455"/>
      <c r="DC103" s="455"/>
      <c r="DD103" s="455"/>
      <c r="DE103" s="455"/>
      <c r="DF103" s="455"/>
      <c r="DG103" s="455"/>
      <c r="DH103" s="455"/>
      <c r="DI103" s="455"/>
      <c r="DJ103" s="455"/>
      <c r="DK103" s="455"/>
      <c r="DL103" s="455"/>
      <c r="DM103" s="455"/>
      <c r="DN103" s="455"/>
      <c r="DO103" s="455"/>
      <c r="DP103" s="455"/>
      <c r="DQ103" s="455"/>
      <c r="DR103" s="455"/>
      <c r="DS103" s="455"/>
      <c r="DT103" s="455"/>
      <c r="DU103" s="455"/>
      <c r="DV103" s="455"/>
      <c r="DW103" s="455"/>
      <c r="DX103" s="455"/>
      <c r="DY103" s="455"/>
      <c r="DZ103" s="455"/>
      <c r="EA103" s="455"/>
      <c r="EB103" s="455"/>
      <c r="EC103" s="455"/>
      <c r="ED103" s="455"/>
      <c r="EE103" s="455"/>
      <c r="EF103" s="2230"/>
      <c r="EG103" s="2230"/>
      <c r="EH103" s="2230"/>
      <c r="EI103" s="2515"/>
      <c r="EJ103" s="2515"/>
      <c r="EK103" s="2566"/>
      <c r="EL103" s="2564"/>
      <c r="EM103" s="2565"/>
      <c r="EN103" s="2566"/>
      <c r="EO103" s="2566"/>
      <c r="EP103" s="2566"/>
      <c r="EQ103" s="2564"/>
      <c r="ER103" s="2678"/>
      <c r="ES103" s="2564"/>
      <c r="ET103" s="2566"/>
      <c r="EU103" s="2566"/>
      <c r="EV103" s="2566"/>
      <c r="EW103" s="2560"/>
      <c r="EX103" s="2566"/>
      <c r="EY103" s="2566"/>
      <c r="EZ103" s="2566"/>
      <c r="FA103" s="2566"/>
      <c r="FC103" s="2566"/>
      <c r="FD103" s="2566"/>
      <c r="FE103" s="2566"/>
      <c r="FF103" s="2566"/>
      <c r="FH103" s="2566"/>
      <c r="FI103" s="2566"/>
      <c r="FJ103" s="2566"/>
      <c r="FK103" s="2566"/>
      <c r="FO103"/>
      <c r="FP103"/>
      <c r="FQ103"/>
      <c r="FR103"/>
      <c r="FS103"/>
      <c r="FT103"/>
      <c r="FU103" s="261"/>
      <c r="FV103" s="261"/>
      <c r="FW103" s="261"/>
      <c r="FX103" s="261"/>
    </row>
    <row r="104" spans="1:180" s="264" customFormat="1" ht="11.25" customHeight="1">
      <c r="A104" s="264" t="s">
        <v>1113</v>
      </c>
      <c r="C104" s="455"/>
      <c r="D104" s="455"/>
      <c r="E104" s="455"/>
      <c r="F104" s="455"/>
      <c r="G104" s="455"/>
      <c r="H104" s="455"/>
      <c r="I104" s="455"/>
      <c r="J104" s="455"/>
      <c r="K104" s="455"/>
      <c r="L104" s="455"/>
      <c r="M104" s="455"/>
      <c r="N104" s="455"/>
      <c r="O104" s="455"/>
      <c r="P104" s="455"/>
      <c r="Q104" s="455"/>
      <c r="R104" s="455"/>
      <c r="S104" s="455"/>
      <c r="T104" s="455"/>
      <c r="U104" s="455"/>
      <c r="V104" s="455"/>
      <c r="W104" s="455"/>
      <c r="X104" s="455"/>
      <c r="Y104" s="455"/>
      <c r="Z104" s="455"/>
      <c r="AA104" s="455"/>
      <c r="AB104" s="455"/>
      <c r="AC104" s="455"/>
      <c r="AD104" s="455"/>
      <c r="AE104" s="455"/>
      <c r="AF104" s="455"/>
      <c r="AG104" s="455"/>
      <c r="AH104" s="455"/>
      <c r="AI104" s="455"/>
      <c r="AJ104" s="455"/>
      <c r="AK104" s="455"/>
      <c r="AL104" s="455"/>
      <c r="AM104" s="455"/>
      <c r="AN104" s="455"/>
      <c r="AO104" s="455"/>
      <c r="AP104" s="455"/>
      <c r="AQ104" s="455"/>
      <c r="AR104" s="455"/>
      <c r="AS104" s="455"/>
      <c r="AT104" s="455"/>
      <c r="AU104" s="455"/>
      <c r="AV104" s="455"/>
      <c r="AW104" s="455"/>
      <c r="AX104" s="455"/>
      <c r="AY104" s="455"/>
      <c r="AZ104" s="455"/>
      <c r="BA104" s="455"/>
      <c r="BB104" s="455"/>
      <c r="BC104" s="455"/>
      <c r="BD104" s="455"/>
      <c r="BE104" s="455"/>
      <c r="BF104" s="455"/>
      <c r="BG104" s="455"/>
      <c r="BH104" s="455"/>
      <c r="BI104" s="455"/>
      <c r="BJ104" s="455"/>
      <c r="BK104" s="455"/>
      <c r="BL104" s="455"/>
      <c r="BM104" s="455"/>
      <c r="BN104" s="455"/>
      <c r="BO104" s="455"/>
      <c r="BP104" s="455"/>
      <c r="BQ104" s="455"/>
      <c r="BR104" s="455"/>
      <c r="BS104" s="455"/>
      <c r="BT104" s="455"/>
      <c r="BU104" s="455"/>
      <c r="BV104" s="455"/>
      <c r="BW104" s="455"/>
      <c r="BX104" s="455"/>
      <c r="BY104" s="455"/>
      <c r="BZ104" s="455"/>
      <c r="CA104" s="455"/>
      <c r="CB104" s="455"/>
      <c r="CC104" s="455"/>
      <c r="CD104" s="455"/>
      <c r="CE104" s="455"/>
      <c r="CF104" s="455"/>
      <c r="CG104" s="455"/>
      <c r="CH104" s="455"/>
      <c r="CI104" s="455"/>
      <c r="CJ104" s="455"/>
      <c r="CK104" s="455"/>
      <c r="CL104" s="455"/>
      <c r="CM104" s="455"/>
      <c r="CN104" s="455"/>
      <c r="CO104" s="455"/>
      <c r="CP104" s="455"/>
      <c r="CQ104" s="455"/>
      <c r="CR104" s="455"/>
      <c r="CS104" s="455"/>
      <c r="CT104" s="455"/>
      <c r="CU104" s="455"/>
      <c r="CV104" s="455"/>
      <c r="CW104" s="455"/>
      <c r="CX104" s="455"/>
      <c r="CY104" s="455"/>
      <c r="CZ104" s="455"/>
      <c r="DA104" s="455"/>
      <c r="DB104" s="455"/>
      <c r="DC104" s="455"/>
      <c r="DD104" s="455"/>
      <c r="DE104" s="455"/>
      <c r="DF104" s="455"/>
      <c r="DG104" s="455"/>
      <c r="DH104" s="455"/>
      <c r="DI104" s="455"/>
      <c r="DJ104" s="455"/>
      <c r="DK104" s="455"/>
      <c r="DL104" s="455"/>
      <c r="DM104" s="455"/>
      <c r="DN104" s="455"/>
      <c r="DO104" s="455"/>
      <c r="DP104" s="455"/>
      <c r="DQ104" s="455"/>
      <c r="DR104" s="455"/>
      <c r="DS104" s="455"/>
      <c r="DT104" s="455"/>
      <c r="DU104" s="455"/>
      <c r="DV104" s="455"/>
      <c r="DW104" s="455"/>
      <c r="DX104" s="455"/>
      <c r="DY104" s="455"/>
      <c r="DZ104" s="455"/>
      <c r="EA104" s="455"/>
      <c r="EB104" s="455"/>
      <c r="EC104" s="455"/>
      <c r="ED104" s="455"/>
      <c r="EE104" s="455"/>
      <c r="EF104" s="455"/>
      <c r="EG104" s="455"/>
      <c r="EH104" s="455"/>
      <c r="EI104" s="2515"/>
      <c r="EJ104" s="2515"/>
      <c r="EK104" s="2515"/>
      <c r="EL104" s="2563"/>
      <c r="EM104" s="2560"/>
      <c r="EN104" s="2562"/>
      <c r="EO104" s="2562"/>
      <c r="EP104" s="2562"/>
      <c r="EQ104" s="2561"/>
      <c r="ER104" s="2677"/>
      <c r="ES104" s="2561"/>
      <c r="ET104" s="2562"/>
      <c r="EU104" s="2562">
        <f>SUM(EU97:EU103)</f>
        <v>140962.29999999999</v>
      </c>
      <c r="EV104" s="2562">
        <f>SUM(EV97:EV103)</f>
        <v>139823.77513457011</v>
      </c>
      <c r="EW104" s="2560"/>
      <c r="EX104" s="2562">
        <f>SUM(EX97:EX103)</f>
        <v>137206.52283855126</v>
      </c>
      <c r="EY104" s="2562">
        <f>SUM(EY97:EY103)</f>
        <v>131293.51467636073</v>
      </c>
      <c r="EZ104" s="2562">
        <f>SUM(EZ97:EZ103)</f>
        <v>127969.42597487068</v>
      </c>
      <c r="FA104" s="2562">
        <f>SUM(FA97:FA103)</f>
        <v>124210.35556616365</v>
      </c>
      <c r="FC104" s="2562">
        <f>SUM(FC97:FC103)</f>
        <v>120878.79364940892</v>
      </c>
      <c r="FD104" s="2562">
        <f>SUM(FD97:FD103)</f>
        <v>113790.21989980758</v>
      </c>
      <c r="FE104" s="2562">
        <f>SUM(FE97:FE103)</f>
        <v>109320.88037758056</v>
      </c>
      <c r="FF104" s="2562">
        <f>SUM(FF97:FF103)</f>
        <v>104585.9316272587</v>
      </c>
      <c r="FH104" s="2562">
        <f>SUM(FH97:FH103)</f>
        <v>100939.66080543397</v>
      </c>
      <c r="FI104" s="2562">
        <f>SUM(FI97:FI103)</f>
        <v>92668.192512228066</v>
      </c>
      <c r="FJ104" s="2562">
        <f>SUM(FJ97:FJ103)</f>
        <v>87669.915630552336</v>
      </c>
      <c r="FK104" s="2562">
        <f>SUM(FK97:FK103)</f>
        <v>82456.197502495299</v>
      </c>
      <c r="FO104"/>
      <c r="FP104"/>
      <c r="FQ104"/>
      <c r="FR104"/>
      <c r="FS104"/>
      <c r="FT104"/>
      <c r="FU104" s="261"/>
      <c r="FV104" s="261"/>
      <c r="FW104" s="261"/>
      <c r="FX104" s="261"/>
    </row>
    <row r="105" spans="1:180" s="264" customFormat="1" ht="11.25" customHeight="1">
      <c r="D105" s="253"/>
      <c r="E105" s="253"/>
      <c r="F105" s="253"/>
      <c r="G105" s="253"/>
      <c r="H105" s="253"/>
      <c r="I105" s="253"/>
      <c r="J105" s="253"/>
      <c r="K105" s="253"/>
      <c r="L105" s="253"/>
      <c r="M105" s="253"/>
      <c r="N105" s="253"/>
      <c r="O105" s="253"/>
      <c r="P105" s="253"/>
      <c r="Q105" s="253"/>
      <c r="R105" s="253"/>
      <c r="S105" s="253"/>
      <c r="T105" s="253"/>
      <c r="U105" s="253"/>
      <c r="V105" s="253"/>
      <c r="W105" s="253"/>
      <c r="X105" s="253"/>
      <c r="Y105" s="253"/>
      <c r="Z105" s="253"/>
      <c r="AA105" s="253"/>
      <c r="AB105" s="253"/>
      <c r="AC105" s="253"/>
      <c r="AD105" s="253"/>
      <c r="AE105" s="253"/>
      <c r="AF105" s="253"/>
      <c r="AG105" s="253"/>
      <c r="AH105" s="253"/>
      <c r="AI105" s="253"/>
      <c r="AJ105" s="253"/>
      <c r="AK105" s="253"/>
      <c r="AL105" s="253"/>
      <c r="AM105" s="253"/>
      <c r="AN105" s="253"/>
      <c r="AO105" s="253"/>
      <c r="AP105" s="253"/>
      <c r="AQ105" s="253"/>
      <c r="AR105" s="253"/>
      <c r="AS105" s="253"/>
      <c r="AT105" s="253"/>
      <c r="AU105" s="253"/>
      <c r="AV105" s="253"/>
      <c r="AW105" s="253"/>
      <c r="AX105" s="253"/>
      <c r="AY105" s="253"/>
      <c r="AZ105" s="253"/>
      <c r="BA105" s="253"/>
      <c r="BB105" s="253"/>
      <c r="BC105" s="253"/>
      <c r="BD105" s="253"/>
      <c r="BE105" s="253"/>
      <c r="BF105" s="253"/>
      <c r="BG105" s="253"/>
      <c r="BH105" s="253"/>
      <c r="BI105" s="253"/>
      <c r="BJ105" s="253"/>
      <c r="BK105" s="253"/>
      <c r="BL105" s="253"/>
      <c r="BM105" s="253"/>
      <c r="BN105" s="253"/>
      <c r="BO105" s="253"/>
      <c r="BP105" s="253"/>
      <c r="BQ105" s="253"/>
      <c r="BR105" s="253"/>
      <c r="BS105" s="253"/>
      <c r="BT105" s="253"/>
      <c r="BU105" s="253"/>
      <c r="BV105" s="253"/>
      <c r="BW105" s="253"/>
      <c r="BX105" s="253"/>
      <c r="BY105" s="253"/>
      <c r="BZ105" s="253"/>
      <c r="DC105" s="494"/>
      <c r="DD105" s="494"/>
      <c r="DE105" s="494"/>
      <c r="DF105" s="494"/>
      <c r="DG105" s="494"/>
      <c r="DH105" s="494"/>
      <c r="DI105" s="494"/>
      <c r="DJ105" s="494"/>
      <c r="DK105" s="494"/>
      <c r="DL105" s="494"/>
      <c r="DM105" s="494"/>
      <c r="DN105" s="494"/>
      <c r="DO105" s="494"/>
      <c r="DP105" s="494"/>
      <c r="DQ105" s="494"/>
      <c r="DR105" s="494"/>
      <c r="DS105" s="494"/>
      <c r="DT105" s="494"/>
      <c r="DU105" s="494"/>
      <c r="DV105" s="494"/>
      <c r="DW105" s="494"/>
      <c r="DX105" s="494"/>
      <c r="DY105" s="494"/>
      <c r="DZ105" s="494"/>
      <c r="EB105" s="494"/>
      <c r="EC105" s="494"/>
      <c r="EI105" s="2560"/>
      <c r="EJ105" s="2560"/>
      <c r="EK105" s="2560"/>
      <c r="EL105" s="2677"/>
      <c r="EM105" s="2560"/>
      <c r="EN105" s="2560"/>
      <c r="EO105" s="2560"/>
      <c r="EP105" s="2560"/>
      <c r="EQ105" s="2677"/>
      <c r="ER105" s="2677"/>
      <c r="ES105" s="2555"/>
      <c r="ET105" s="2560"/>
      <c r="FO105"/>
      <c r="FP105"/>
      <c r="FQ105"/>
      <c r="FR105"/>
      <c r="FS105"/>
      <c r="FT105"/>
      <c r="FU105" s="261"/>
      <c r="FV105" s="261"/>
      <c r="FW105" s="261"/>
      <c r="FX105" s="261"/>
    </row>
    <row r="106" spans="1:180" s="264" customFormat="1" ht="11.25" customHeight="1">
      <c r="D106" s="253"/>
      <c r="E106" s="253"/>
      <c r="F106" s="253"/>
      <c r="G106" s="253"/>
      <c r="H106" s="253"/>
      <c r="I106" s="253"/>
      <c r="J106" s="253"/>
      <c r="K106" s="253"/>
      <c r="L106" s="253"/>
      <c r="M106" s="253"/>
      <c r="N106" s="253"/>
      <c r="O106" s="253"/>
      <c r="P106" s="253"/>
      <c r="Q106" s="253"/>
      <c r="R106" s="253"/>
      <c r="S106" s="253"/>
      <c r="T106" s="253"/>
      <c r="U106" s="253"/>
      <c r="V106" s="253"/>
      <c r="W106" s="253"/>
      <c r="X106" s="253"/>
      <c r="Y106" s="253"/>
      <c r="Z106" s="253"/>
      <c r="AA106" s="253"/>
      <c r="AB106" s="253"/>
      <c r="AC106" s="253"/>
      <c r="AD106" s="253"/>
      <c r="AE106" s="253"/>
      <c r="AF106" s="253"/>
      <c r="AG106" s="253"/>
      <c r="AH106" s="253"/>
      <c r="AI106" s="253"/>
      <c r="AJ106" s="253"/>
      <c r="AK106" s="253"/>
      <c r="AL106" s="253"/>
      <c r="AM106" s="253"/>
      <c r="AN106" s="253"/>
      <c r="AO106" s="253"/>
      <c r="AP106" s="253"/>
      <c r="AQ106" s="253"/>
      <c r="AR106" s="253"/>
      <c r="AS106" s="253"/>
      <c r="AT106" s="253"/>
      <c r="AU106" s="253"/>
      <c r="AV106" s="253"/>
      <c r="AW106" s="253"/>
      <c r="AX106" s="253"/>
      <c r="AY106" s="253"/>
      <c r="AZ106" s="253"/>
      <c r="BA106" s="253"/>
      <c r="BB106" s="253"/>
      <c r="BC106" s="253"/>
      <c r="BD106" s="253"/>
      <c r="BE106" s="253"/>
      <c r="BF106" s="253"/>
      <c r="BG106" s="253"/>
      <c r="BH106" s="253"/>
      <c r="BI106" s="253"/>
      <c r="BJ106" s="253"/>
      <c r="BK106" s="253"/>
      <c r="BL106" s="253"/>
      <c r="BM106" s="253"/>
      <c r="BN106" s="253"/>
      <c r="BO106" s="253"/>
      <c r="BP106" s="253"/>
      <c r="BQ106" s="253"/>
      <c r="BR106" s="253"/>
      <c r="BS106" s="253"/>
      <c r="BT106" s="253"/>
      <c r="BU106" s="253"/>
      <c r="BV106" s="253"/>
      <c r="BW106" s="253"/>
      <c r="BX106" s="253"/>
      <c r="BY106" s="253"/>
      <c r="BZ106" s="253"/>
      <c r="DC106" s="494"/>
      <c r="DD106" s="494"/>
      <c r="DE106" s="494"/>
      <c r="DF106" s="494"/>
      <c r="DG106" s="494"/>
      <c r="DH106" s="494"/>
      <c r="DI106" s="494"/>
      <c r="DJ106" s="494"/>
      <c r="DK106" s="494"/>
      <c r="DL106" s="494"/>
      <c r="DM106" s="494"/>
      <c r="DN106" s="494"/>
      <c r="DO106" s="494"/>
      <c r="DP106" s="494"/>
      <c r="DQ106" s="494"/>
      <c r="DR106" s="494"/>
      <c r="DS106" s="494"/>
      <c r="DT106" s="494"/>
      <c r="DU106" s="494"/>
      <c r="DV106" s="494"/>
      <c r="DW106" s="494"/>
      <c r="DX106" s="494"/>
      <c r="DY106" s="494"/>
      <c r="DZ106" s="494"/>
      <c r="EB106" s="494"/>
      <c r="EC106" s="494"/>
      <c r="EI106" s="2560"/>
      <c r="EJ106" s="2560"/>
      <c r="EK106" s="2560"/>
      <c r="EL106" s="2677"/>
      <c r="EM106" s="2560"/>
      <c r="EN106" s="2560"/>
      <c r="EO106" s="2560"/>
      <c r="EP106" s="2560"/>
      <c r="EQ106" s="2677"/>
      <c r="ER106" s="2677"/>
      <c r="ES106" s="2555"/>
      <c r="ET106" s="2560"/>
      <c r="FO106"/>
      <c r="FP106"/>
      <c r="FQ106"/>
      <c r="FR106"/>
      <c r="FS106"/>
      <c r="FT106"/>
      <c r="FU106" s="261"/>
      <c r="FV106" s="261"/>
      <c r="FW106" s="261"/>
      <c r="FX106" s="261"/>
    </row>
    <row r="107" spans="1:180" s="264" customFormat="1" ht="11.25" customHeight="1">
      <c r="D107" s="253"/>
      <c r="E107" s="253"/>
      <c r="F107" s="253"/>
      <c r="G107" s="253"/>
      <c r="H107" s="253"/>
      <c r="I107" s="253"/>
      <c r="J107" s="253"/>
      <c r="K107" s="253"/>
      <c r="L107" s="253"/>
      <c r="M107" s="253"/>
      <c r="N107" s="253"/>
      <c r="O107" s="253"/>
      <c r="P107" s="253"/>
      <c r="Q107" s="253"/>
      <c r="R107" s="253"/>
      <c r="S107" s="253"/>
      <c r="T107" s="253"/>
      <c r="U107" s="253"/>
      <c r="V107" s="253"/>
      <c r="W107" s="253"/>
      <c r="X107" s="253"/>
      <c r="Y107" s="253"/>
      <c r="Z107" s="253"/>
      <c r="AA107" s="253"/>
      <c r="AB107" s="253"/>
      <c r="AC107" s="253"/>
      <c r="AD107" s="253"/>
      <c r="AE107" s="253"/>
      <c r="AF107" s="253"/>
      <c r="AG107" s="253"/>
      <c r="AH107" s="253"/>
      <c r="AI107" s="253"/>
      <c r="AJ107" s="253"/>
      <c r="AK107" s="253"/>
      <c r="AL107" s="253"/>
      <c r="AM107" s="253"/>
      <c r="AN107" s="253"/>
      <c r="AO107" s="253"/>
      <c r="AP107" s="253"/>
      <c r="AQ107" s="253"/>
      <c r="AR107" s="253"/>
      <c r="AS107" s="253"/>
      <c r="AT107" s="253"/>
      <c r="AU107" s="253"/>
      <c r="AV107" s="253"/>
      <c r="AW107" s="253"/>
      <c r="AX107" s="253"/>
      <c r="AY107" s="253"/>
      <c r="AZ107" s="253"/>
      <c r="BA107" s="253"/>
      <c r="BB107" s="253"/>
      <c r="BC107" s="253"/>
      <c r="BD107" s="253"/>
      <c r="BE107" s="253"/>
      <c r="BF107" s="253"/>
      <c r="BG107" s="253"/>
      <c r="BH107" s="253"/>
      <c r="BI107" s="253"/>
      <c r="BJ107" s="253"/>
      <c r="BK107" s="253"/>
      <c r="BL107" s="253"/>
      <c r="BM107" s="253"/>
      <c r="BN107" s="253"/>
      <c r="BO107" s="253"/>
      <c r="BP107" s="253"/>
      <c r="BQ107" s="253"/>
      <c r="BR107" s="253"/>
      <c r="BS107" s="253"/>
      <c r="BT107" s="253"/>
      <c r="BU107" s="253"/>
      <c r="BV107" s="253"/>
      <c r="BW107" s="253"/>
      <c r="BX107" s="253"/>
      <c r="BY107" s="253"/>
      <c r="BZ107" s="253"/>
      <c r="DC107" s="494"/>
      <c r="DD107" s="494"/>
      <c r="DE107" s="494"/>
      <c r="DF107" s="494"/>
      <c r="DG107" s="494"/>
      <c r="DH107" s="494"/>
      <c r="DI107" s="494"/>
      <c r="DJ107" s="494"/>
      <c r="DK107" s="494"/>
      <c r="DL107" s="494"/>
      <c r="DM107" s="494"/>
      <c r="DN107" s="494"/>
      <c r="DO107" s="494"/>
      <c r="DP107" s="494"/>
      <c r="DQ107" s="494"/>
      <c r="DR107" s="494"/>
      <c r="DS107" s="494"/>
      <c r="DT107" s="494"/>
      <c r="DU107" s="494"/>
      <c r="DV107" s="494"/>
      <c r="DW107" s="494"/>
      <c r="DX107" s="494"/>
      <c r="DY107" s="494"/>
      <c r="DZ107" s="494"/>
      <c r="EB107" s="494"/>
      <c r="EC107" s="494"/>
      <c r="EI107" s="2560"/>
      <c r="EJ107" s="2560"/>
      <c r="EK107" s="2560"/>
      <c r="EL107" s="2560"/>
      <c r="EM107" s="2560"/>
      <c r="EN107" s="2560"/>
      <c r="EO107" s="2560"/>
      <c r="EP107" s="2560"/>
      <c r="EQ107" s="2677"/>
      <c r="ER107" s="2677"/>
      <c r="ES107" s="2555"/>
      <c r="ET107" s="2560"/>
      <c r="FO107"/>
      <c r="FP107"/>
      <c r="FQ107"/>
      <c r="FR107"/>
      <c r="FS107"/>
      <c r="FT107"/>
      <c r="FU107" s="261"/>
      <c r="FV107" s="261"/>
      <c r="FW107" s="261"/>
      <c r="FX107" s="261"/>
    </row>
    <row r="108" spans="1:180" s="264" customFormat="1" ht="11.25" customHeight="1">
      <c r="A108" s="3048" t="s">
        <v>1470</v>
      </c>
      <c r="B108" s="552"/>
      <c r="C108" s="552"/>
      <c r="D108" s="552"/>
      <c r="E108" s="552"/>
      <c r="F108" s="552"/>
      <c r="G108" s="552"/>
      <c r="H108" s="552"/>
      <c r="I108" s="552"/>
      <c r="J108" s="552"/>
      <c r="K108" s="552"/>
      <c r="L108" s="552"/>
      <c r="M108" s="552"/>
      <c r="N108" s="552"/>
      <c r="O108" s="552"/>
      <c r="P108" s="552"/>
      <c r="Q108" s="552"/>
      <c r="R108" s="552"/>
      <c r="S108" s="552"/>
      <c r="T108" s="552"/>
      <c r="U108" s="552"/>
      <c r="V108" s="552"/>
      <c r="W108" s="552"/>
      <c r="X108" s="552"/>
      <c r="Y108" s="552"/>
      <c r="Z108" s="552"/>
      <c r="AA108" s="552"/>
      <c r="AB108" s="552"/>
      <c r="AC108" s="552"/>
      <c r="AD108" s="552"/>
      <c r="AE108" s="552"/>
      <c r="AF108" s="552"/>
      <c r="AG108" s="552"/>
      <c r="AH108" s="552"/>
      <c r="AI108" s="552"/>
      <c r="AJ108" s="552"/>
      <c r="AK108" s="552"/>
      <c r="AL108" s="552"/>
      <c r="AM108" s="552"/>
      <c r="AN108" s="552"/>
      <c r="AO108" s="552"/>
      <c r="AP108" s="552"/>
      <c r="AQ108" s="552"/>
      <c r="AR108" s="552"/>
      <c r="AS108" s="552"/>
      <c r="AT108" s="552"/>
      <c r="AU108" s="552"/>
      <c r="AV108" s="552"/>
      <c r="AW108" s="552"/>
      <c r="AX108" s="552"/>
      <c r="AY108" s="552"/>
      <c r="AZ108" s="552"/>
      <c r="BA108" s="552"/>
      <c r="BB108" s="552"/>
      <c r="BC108" s="552"/>
      <c r="BD108" s="552"/>
      <c r="BE108" s="552"/>
      <c r="BF108" s="552"/>
      <c r="BG108" s="552"/>
      <c r="BH108" s="552"/>
      <c r="BI108" s="552"/>
      <c r="BJ108" s="552"/>
      <c r="BK108" s="552"/>
      <c r="BL108" s="552"/>
      <c r="BM108" s="552"/>
      <c r="BN108" s="552"/>
      <c r="BO108" s="552"/>
      <c r="BP108" s="552"/>
      <c r="BQ108" s="552"/>
      <c r="BR108" s="552"/>
      <c r="BS108" s="552"/>
      <c r="BT108" s="552"/>
      <c r="BU108" s="552"/>
      <c r="BV108" s="552"/>
      <c r="BW108" s="552"/>
      <c r="BX108" s="552"/>
      <c r="BY108" s="552"/>
      <c r="BZ108" s="552"/>
      <c r="CA108" s="552"/>
      <c r="CB108" s="552"/>
      <c r="CC108" s="552"/>
      <c r="CD108" s="552"/>
      <c r="CE108" s="552"/>
      <c r="CF108" s="552"/>
      <c r="CG108" s="552"/>
      <c r="CH108" s="552"/>
      <c r="CI108" s="552"/>
      <c r="CJ108" s="552"/>
      <c r="CK108" s="552"/>
      <c r="CL108" s="552"/>
      <c r="CM108" s="552"/>
      <c r="CN108" s="552"/>
      <c r="CO108" s="552"/>
      <c r="CP108" s="552"/>
      <c r="CQ108" s="552"/>
      <c r="CR108" s="552"/>
      <c r="CS108" s="552"/>
      <c r="CT108" s="552"/>
      <c r="CU108" s="552"/>
      <c r="CV108" s="552"/>
      <c r="CW108" s="552"/>
      <c r="CX108" s="552"/>
      <c r="CY108" s="552"/>
      <c r="CZ108" s="552"/>
      <c r="DA108" s="552"/>
      <c r="DB108" s="552"/>
      <c r="DC108" s="3049"/>
      <c r="DD108" s="3049"/>
      <c r="DE108" s="3049"/>
      <c r="DF108" s="3049"/>
      <c r="DG108" s="3049"/>
      <c r="DH108" s="3049"/>
      <c r="DI108" s="3049"/>
      <c r="DJ108" s="3049"/>
      <c r="DK108" s="3049"/>
      <c r="DL108" s="3049"/>
      <c r="DM108" s="3049"/>
      <c r="DN108" s="3049"/>
      <c r="DO108" s="3049"/>
      <c r="DP108" s="3049"/>
      <c r="DQ108" s="3049"/>
      <c r="DR108" s="3049"/>
      <c r="DS108" s="3049"/>
      <c r="DT108" s="3049"/>
      <c r="DU108" s="3049"/>
      <c r="DV108" s="3049"/>
      <c r="DW108" s="3049"/>
      <c r="DX108" s="3049"/>
      <c r="DY108" s="3049"/>
      <c r="DZ108" s="3049"/>
      <c r="EA108" s="552"/>
      <c r="EB108" s="3049"/>
      <c r="EC108" s="3049"/>
      <c r="ED108" s="552"/>
      <c r="EE108" s="552"/>
      <c r="EF108" s="552"/>
      <c r="EG108" s="552"/>
      <c r="EH108" s="552"/>
      <c r="EI108" s="3050"/>
      <c r="EJ108" s="3050"/>
      <c r="EK108" s="3050"/>
      <c r="EL108" s="3050"/>
      <c r="EM108" s="3050"/>
      <c r="EN108" s="3050"/>
      <c r="EO108" s="3050"/>
      <c r="EP108" s="3050"/>
      <c r="EQ108" s="3050"/>
      <c r="ER108" s="3050"/>
      <c r="ES108" s="552"/>
      <c r="ET108" s="3050"/>
      <c r="EU108" s="552"/>
      <c r="EV108" s="552">
        <f>SUM(EV109:EV116)</f>
        <v>450</v>
      </c>
      <c r="EW108" s="552"/>
      <c r="EX108" s="552">
        <f t="shared" ref="EX108:FA108" si="118">SUM(EX109:EX116)</f>
        <v>0</v>
      </c>
      <c r="EY108" s="552">
        <f t="shared" si="118"/>
        <v>3000</v>
      </c>
      <c r="EZ108" s="552">
        <f t="shared" si="118"/>
        <v>0</v>
      </c>
      <c r="FA108" s="552">
        <f t="shared" si="118"/>
        <v>1000</v>
      </c>
      <c r="FB108" s="552"/>
      <c r="FC108" s="552">
        <f t="shared" ref="FC108" si="119">SUM(FC109:FC116)</f>
        <v>2500</v>
      </c>
      <c r="FD108" s="552">
        <f t="shared" ref="FD108" si="120">SUM(FD109:FD116)</f>
        <v>18</v>
      </c>
      <c r="FE108" s="552">
        <f t="shared" ref="FE108" si="121">SUM(FE109:FE116)</f>
        <v>3000</v>
      </c>
      <c r="FF108" s="552">
        <f t="shared" ref="FF108" si="122">SUM(FF109:FF116)</f>
        <v>0</v>
      </c>
      <c r="FG108" s="3051"/>
      <c r="FH108" s="553">
        <f>SUM(FH109:FH121)</f>
        <v>0</v>
      </c>
      <c r="FI108" s="553">
        <f t="shared" ref="FI108:FK108" si="123">SUM(FI109:FI121)</f>
        <v>3250</v>
      </c>
      <c r="FJ108" s="553">
        <f t="shared" si="123"/>
        <v>500</v>
      </c>
      <c r="FK108" s="553">
        <f t="shared" si="123"/>
        <v>0</v>
      </c>
      <c r="FL108" s="3051"/>
      <c r="FO108"/>
      <c r="FP108"/>
      <c r="FQ108"/>
      <c r="FR108"/>
      <c r="FS108"/>
      <c r="FT108"/>
      <c r="FU108" s="261"/>
      <c r="FV108" s="261"/>
      <c r="FW108" s="261"/>
      <c r="FX108" s="261"/>
    </row>
    <row r="109" spans="1:180" s="264" customFormat="1" ht="11.25" customHeight="1">
      <c r="A109" s="3046">
        <v>43221</v>
      </c>
      <c r="D109" s="253"/>
      <c r="E109" s="253"/>
      <c r="F109" s="253"/>
      <c r="G109" s="253"/>
      <c r="H109" s="253"/>
      <c r="I109" s="253"/>
      <c r="J109" s="253"/>
      <c r="K109" s="253"/>
      <c r="L109" s="253"/>
      <c r="M109" s="253"/>
      <c r="N109" s="253"/>
      <c r="O109" s="253"/>
      <c r="P109" s="253"/>
      <c r="Q109" s="253"/>
      <c r="R109" s="253"/>
      <c r="S109" s="253"/>
      <c r="T109" s="253"/>
      <c r="U109" s="253"/>
      <c r="V109" s="253"/>
      <c r="W109" s="253"/>
      <c r="X109" s="253"/>
      <c r="Y109" s="253"/>
      <c r="Z109" s="253"/>
      <c r="AA109" s="253"/>
      <c r="AB109" s="253"/>
      <c r="AC109" s="253"/>
      <c r="AD109" s="253"/>
      <c r="AE109" s="253"/>
      <c r="AF109" s="253"/>
      <c r="AG109" s="253"/>
      <c r="AH109" s="253"/>
      <c r="AI109" s="253"/>
      <c r="AJ109" s="253"/>
      <c r="AK109" s="253"/>
      <c r="AL109" s="253"/>
      <c r="AM109" s="253"/>
      <c r="AN109" s="253"/>
      <c r="AO109" s="253"/>
      <c r="AP109" s="253"/>
      <c r="AQ109" s="253"/>
      <c r="AR109" s="253"/>
      <c r="AS109" s="253"/>
      <c r="AT109" s="253"/>
      <c r="AU109" s="253"/>
      <c r="AV109" s="253"/>
      <c r="AW109" s="253"/>
      <c r="AX109" s="253"/>
      <c r="AY109" s="253"/>
      <c r="AZ109" s="253"/>
      <c r="BA109" s="253"/>
      <c r="BB109" s="253"/>
      <c r="BC109" s="253"/>
      <c r="BD109" s="253"/>
      <c r="BE109" s="253"/>
      <c r="BF109" s="253"/>
      <c r="BG109" s="253"/>
      <c r="BH109" s="253"/>
      <c r="BI109" s="253"/>
      <c r="BJ109" s="253"/>
      <c r="BK109" s="253"/>
      <c r="BL109" s="253"/>
      <c r="BM109" s="253"/>
      <c r="BN109" s="253"/>
      <c r="BO109" s="253"/>
      <c r="BP109" s="253"/>
      <c r="BQ109" s="253"/>
      <c r="BR109" s="253"/>
      <c r="BS109" s="253"/>
      <c r="BT109" s="253"/>
      <c r="BU109" s="253"/>
      <c r="BV109" s="253"/>
      <c r="BW109" s="253"/>
      <c r="BX109" s="253"/>
      <c r="BY109" s="253"/>
      <c r="BZ109" s="253"/>
      <c r="DC109" s="494"/>
      <c r="DD109" s="494"/>
      <c r="DE109" s="494"/>
      <c r="DF109" s="494"/>
      <c r="DG109" s="494"/>
      <c r="DH109" s="494"/>
      <c r="DI109" s="494"/>
      <c r="DJ109" s="494"/>
      <c r="DK109" s="494"/>
      <c r="DL109" s="494"/>
      <c r="DM109" s="494"/>
      <c r="DN109" s="494"/>
      <c r="DO109" s="494"/>
      <c r="DP109" s="494"/>
      <c r="DQ109" s="494"/>
      <c r="DR109" s="494"/>
      <c r="DS109" s="494"/>
      <c r="DT109" s="494"/>
      <c r="DU109" s="494"/>
      <c r="DV109" s="494"/>
      <c r="DW109" s="494"/>
      <c r="DX109" s="494"/>
      <c r="DY109" s="494"/>
      <c r="DZ109" s="494"/>
      <c r="EB109" s="494"/>
      <c r="EC109" s="494"/>
      <c r="EH109" s="2562"/>
      <c r="EI109" s="2562"/>
      <c r="EJ109" s="2562"/>
      <c r="EK109" s="2562"/>
      <c r="EL109" s="2562"/>
      <c r="EM109" s="2562"/>
      <c r="EN109" s="2562"/>
      <c r="EO109" s="2562"/>
      <c r="EP109" s="2562"/>
      <c r="EQ109" s="2562"/>
      <c r="ER109" s="2562"/>
      <c r="ES109" s="2562"/>
      <c r="ET109" s="2562"/>
      <c r="EU109" s="2562"/>
      <c r="EV109" s="2562">
        <v>450</v>
      </c>
      <c r="EW109" s="2562"/>
      <c r="EX109" s="2562"/>
      <c r="EY109" s="2562"/>
      <c r="EZ109" s="2562"/>
      <c r="FA109" s="2562"/>
      <c r="FB109" s="2562"/>
      <c r="FC109" s="2562"/>
      <c r="FD109" s="2562"/>
      <c r="FE109" s="2562"/>
      <c r="FF109" s="2562"/>
      <c r="FG109" s="2562"/>
      <c r="FH109" s="2562"/>
      <c r="FI109" s="2562"/>
      <c r="FJ109" s="2562"/>
      <c r="FK109" s="2562"/>
      <c r="FL109" s="2562"/>
      <c r="FO109"/>
      <c r="FP109"/>
      <c r="FQ109"/>
      <c r="FR109"/>
      <c r="FS109"/>
      <c r="FT109"/>
      <c r="FU109" s="261"/>
      <c r="FV109" s="261"/>
      <c r="FW109" s="261"/>
      <c r="FX109" s="261"/>
    </row>
    <row r="110" spans="1:180" s="264" customFormat="1" ht="11.25" customHeight="1">
      <c r="A110" s="3046">
        <v>43407</v>
      </c>
      <c r="D110" s="253"/>
      <c r="E110" s="253"/>
      <c r="F110" s="253"/>
      <c r="G110" s="253"/>
      <c r="H110" s="253"/>
      <c r="I110" s="253"/>
      <c r="J110" s="253"/>
      <c r="K110" s="253"/>
      <c r="L110" s="253"/>
      <c r="M110" s="253"/>
      <c r="N110" s="253"/>
      <c r="O110" s="253"/>
      <c r="P110" s="253"/>
      <c r="Q110" s="253"/>
      <c r="R110" s="253"/>
      <c r="S110" s="253"/>
      <c r="T110" s="253"/>
      <c r="U110" s="253"/>
      <c r="V110" s="253"/>
      <c r="W110" s="253"/>
      <c r="X110" s="253"/>
      <c r="Y110" s="253"/>
      <c r="Z110" s="253"/>
      <c r="AA110" s="253"/>
      <c r="AB110" s="253"/>
      <c r="AC110" s="253"/>
      <c r="AD110" s="253"/>
      <c r="AE110" s="253"/>
      <c r="AF110" s="253"/>
      <c r="AG110" s="253"/>
      <c r="AH110" s="253"/>
      <c r="AI110" s="253"/>
      <c r="AJ110" s="253"/>
      <c r="AK110" s="253"/>
      <c r="AL110" s="253"/>
      <c r="AM110" s="253"/>
      <c r="AN110" s="253"/>
      <c r="AO110" s="253"/>
      <c r="AP110" s="253"/>
      <c r="AQ110" s="253"/>
      <c r="AR110" s="253"/>
      <c r="AS110" s="253"/>
      <c r="AT110" s="253"/>
      <c r="AU110" s="253"/>
      <c r="AV110" s="253"/>
      <c r="AW110" s="253"/>
      <c r="AX110" s="253"/>
      <c r="AY110" s="253"/>
      <c r="AZ110" s="253"/>
      <c r="BA110" s="253"/>
      <c r="BB110" s="253"/>
      <c r="BC110" s="253"/>
      <c r="BD110" s="253"/>
      <c r="BE110" s="253"/>
      <c r="BF110" s="253"/>
      <c r="BG110" s="253"/>
      <c r="BH110" s="253"/>
      <c r="BI110" s="253"/>
      <c r="BJ110" s="253"/>
      <c r="BK110" s="253"/>
      <c r="BL110" s="253"/>
      <c r="BM110" s="253"/>
      <c r="BN110" s="253"/>
      <c r="BO110" s="253"/>
      <c r="BP110" s="253"/>
      <c r="BQ110" s="253"/>
      <c r="BR110" s="253"/>
      <c r="BS110" s="253"/>
      <c r="BT110" s="253"/>
      <c r="BU110" s="253"/>
      <c r="BV110" s="253"/>
      <c r="BW110" s="253"/>
      <c r="BX110" s="253"/>
      <c r="BY110" s="253"/>
      <c r="BZ110" s="253"/>
      <c r="DC110" s="494"/>
      <c r="DD110" s="494"/>
      <c r="DE110" s="494"/>
      <c r="DF110" s="494"/>
      <c r="DG110" s="494"/>
      <c r="DH110" s="494"/>
      <c r="DI110" s="494"/>
      <c r="DJ110" s="494"/>
      <c r="DK110" s="494"/>
      <c r="DL110" s="494"/>
      <c r="DM110" s="494"/>
      <c r="DN110" s="494"/>
      <c r="DO110" s="494"/>
      <c r="DP110" s="494"/>
      <c r="DQ110" s="494"/>
      <c r="DR110" s="494"/>
      <c r="DS110" s="494"/>
      <c r="DT110" s="494"/>
      <c r="DU110" s="494"/>
      <c r="DV110" s="494"/>
      <c r="DW110" s="494"/>
      <c r="DX110" s="494"/>
      <c r="DY110" s="494"/>
      <c r="DZ110" s="494"/>
      <c r="EB110" s="494"/>
      <c r="EC110" s="494"/>
      <c r="EH110" s="2562"/>
      <c r="EI110" s="2562"/>
      <c r="EJ110" s="2562"/>
      <c r="EK110" s="2562"/>
      <c r="EL110" s="2562"/>
      <c r="EM110" s="2562"/>
      <c r="EN110" s="2562"/>
      <c r="EO110" s="2562"/>
      <c r="EP110" s="2562"/>
      <c r="EQ110" s="2562"/>
      <c r="ER110" s="2562"/>
      <c r="ES110" s="2562"/>
      <c r="ET110" s="2562"/>
      <c r="EU110" s="2562"/>
      <c r="EV110" s="2562"/>
      <c r="EW110" s="2562"/>
      <c r="EX110" s="2562"/>
      <c r="EY110" s="2562">
        <v>1750</v>
      </c>
      <c r="EZ110" s="2562"/>
      <c r="FA110" s="2562"/>
      <c r="FB110" s="2562"/>
      <c r="FC110" s="2562"/>
      <c r="FD110" s="2562"/>
      <c r="FE110" s="2562"/>
      <c r="FF110" s="2562"/>
      <c r="FG110" s="2562"/>
      <c r="FH110" s="2562"/>
      <c r="FI110" s="2562"/>
      <c r="FJ110" s="2562"/>
      <c r="FK110" s="2562"/>
      <c r="FL110" s="2562"/>
      <c r="FO110"/>
      <c r="FP110"/>
      <c r="FQ110"/>
      <c r="FR110"/>
      <c r="FS110"/>
      <c r="FT110"/>
      <c r="FU110" s="261"/>
      <c r="FV110" s="261"/>
      <c r="FW110" s="261"/>
      <c r="FX110" s="261"/>
    </row>
    <row r="111" spans="1:180" s="264" customFormat="1" ht="11.25" customHeight="1">
      <c r="A111" s="3047">
        <v>43440</v>
      </c>
      <c r="D111" s="253"/>
      <c r="E111" s="253"/>
      <c r="F111" s="253"/>
      <c r="G111" s="253"/>
      <c r="H111" s="253"/>
      <c r="I111" s="253"/>
      <c r="J111" s="253"/>
      <c r="K111" s="253"/>
      <c r="L111" s="253"/>
      <c r="M111" s="253"/>
      <c r="N111" s="253"/>
      <c r="O111" s="253"/>
      <c r="P111" s="253"/>
      <c r="Q111" s="253"/>
      <c r="R111" s="253"/>
      <c r="S111" s="253"/>
      <c r="T111" s="253"/>
      <c r="U111" s="253"/>
      <c r="V111" s="253"/>
      <c r="W111" s="253"/>
      <c r="X111" s="253"/>
      <c r="Y111" s="253"/>
      <c r="Z111" s="253"/>
      <c r="AA111" s="253"/>
      <c r="AB111" s="253"/>
      <c r="AC111" s="253"/>
      <c r="AD111" s="253"/>
      <c r="AE111" s="253"/>
      <c r="AF111" s="253"/>
      <c r="AG111" s="253"/>
      <c r="AH111" s="253"/>
      <c r="AI111" s="253"/>
      <c r="AJ111" s="253"/>
      <c r="AK111" s="253"/>
      <c r="AL111" s="253"/>
      <c r="AM111" s="253"/>
      <c r="AN111" s="253"/>
      <c r="AO111" s="253"/>
      <c r="AP111" s="253"/>
      <c r="AQ111" s="253"/>
      <c r="AR111" s="253"/>
      <c r="AS111" s="253"/>
      <c r="AT111" s="253"/>
      <c r="AU111" s="253"/>
      <c r="AV111" s="253"/>
      <c r="AW111" s="253"/>
      <c r="AX111" s="253"/>
      <c r="AY111" s="253"/>
      <c r="AZ111" s="253"/>
      <c r="BA111" s="253"/>
      <c r="BB111" s="253"/>
      <c r="BC111" s="253"/>
      <c r="BD111" s="253"/>
      <c r="BE111" s="253"/>
      <c r="BF111" s="253"/>
      <c r="BG111" s="253"/>
      <c r="BH111" s="253"/>
      <c r="BI111" s="253"/>
      <c r="BJ111" s="253"/>
      <c r="BK111" s="253"/>
      <c r="BL111" s="253"/>
      <c r="BM111" s="253"/>
      <c r="BN111" s="253"/>
      <c r="BO111" s="253"/>
      <c r="BP111" s="253"/>
      <c r="BQ111" s="253"/>
      <c r="BR111" s="253"/>
      <c r="BS111" s="253"/>
      <c r="BT111" s="253"/>
      <c r="BU111" s="253"/>
      <c r="BV111" s="253"/>
      <c r="BW111" s="253"/>
      <c r="BX111" s="253"/>
      <c r="BY111" s="253"/>
      <c r="BZ111" s="253"/>
      <c r="DC111" s="494"/>
      <c r="DD111" s="494"/>
      <c r="DE111" s="494"/>
      <c r="DF111" s="494"/>
      <c r="DG111" s="494"/>
      <c r="DH111" s="494"/>
      <c r="DI111" s="494"/>
      <c r="DJ111" s="494"/>
      <c r="DK111" s="494"/>
      <c r="DL111" s="494"/>
      <c r="DM111" s="494"/>
      <c r="DN111" s="494"/>
      <c r="DO111" s="494"/>
      <c r="DP111" s="494"/>
      <c r="DQ111" s="494"/>
      <c r="DR111" s="494"/>
      <c r="DS111" s="494"/>
      <c r="DT111" s="494"/>
      <c r="DU111" s="494"/>
      <c r="DV111" s="494"/>
      <c r="DW111" s="494"/>
      <c r="DX111" s="494"/>
      <c r="DY111" s="494"/>
      <c r="DZ111" s="494"/>
      <c r="EB111" s="494"/>
      <c r="EC111" s="494"/>
      <c r="EH111" s="2562"/>
      <c r="EI111" s="2562"/>
      <c r="EJ111" s="2562"/>
      <c r="EK111" s="2562"/>
      <c r="EL111" s="2562"/>
      <c r="EM111" s="2562"/>
      <c r="EN111" s="2562"/>
      <c r="EO111" s="2562"/>
      <c r="EP111" s="2562"/>
      <c r="EQ111" s="2562"/>
      <c r="ER111" s="2562"/>
      <c r="ES111" s="2562"/>
      <c r="ET111" s="2562"/>
      <c r="EU111" s="2562"/>
      <c r="EV111" s="2562"/>
      <c r="EW111" s="2562"/>
      <c r="EX111" s="2562"/>
      <c r="EY111" s="2562">
        <v>1250</v>
      </c>
      <c r="EZ111" s="2562"/>
      <c r="FA111" s="2562"/>
      <c r="FB111" s="2562"/>
      <c r="FC111" s="2562"/>
      <c r="FD111" s="2562"/>
      <c r="FE111" s="2562"/>
      <c r="FF111" s="2562"/>
      <c r="FG111" s="2562"/>
      <c r="FH111" s="2562"/>
      <c r="FI111" s="2562"/>
      <c r="FJ111" s="2562"/>
      <c r="FK111" s="2562"/>
      <c r="FL111" s="2562"/>
      <c r="FO111"/>
      <c r="FP111"/>
      <c r="FQ111"/>
      <c r="FR111"/>
      <c r="FS111"/>
      <c r="FT111"/>
      <c r="FU111" s="261"/>
      <c r="FV111" s="261"/>
      <c r="FW111" s="261"/>
      <c r="FX111" s="261"/>
    </row>
    <row r="112" spans="1:180" s="264" customFormat="1" ht="11.25" customHeight="1">
      <c r="A112" s="3046">
        <v>43617</v>
      </c>
      <c r="D112" s="253"/>
      <c r="E112" s="253"/>
      <c r="F112" s="253"/>
      <c r="G112" s="253"/>
      <c r="H112" s="253"/>
      <c r="I112" s="253"/>
      <c r="J112" s="253"/>
      <c r="K112" s="253"/>
      <c r="L112" s="253"/>
      <c r="M112" s="253"/>
      <c r="N112" s="253"/>
      <c r="O112" s="253"/>
      <c r="P112" s="253"/>
      <c r="Q112" s="253"/>
      <c r="R112" s="253"/>
      <c r="S112" s="253"/>
      <c r="T112" s="253"/>
      <c r="U112" s="253"/>
      <c r="V112" s="253"/>
      <c r="W112" s="253"/>
      <c r="X112" s="253"/>
      <c r="Y112" s="253"/>
      <c r="Z112" s="253"/>
      <c r="AA112" s="253"/>
      <c r="AB112" s="253"/>
      <c r="AC112" s="253"/>
      <c r="AD112" s="253"/>
      <c r="AE112" s="253"/>
      <c r="AF112" s="253"/>
      <c r="AG112" s="253"/>
      <c r="AH112" s="253"/>
      <c r="AI112" s="253"/>
      <c r="AJ112" s="253"/>
      <c r="AK112" s="253"/>
      <c r="AL112" s="253"/>
      <c r="AM112" s="253"/>
      <c r="AN112" s="253"/>
      <c r="AO112" s="253"/>
      <c r="AP112" s="253"/>
      <c r="AQ112" s="253"/>
      <c r="AR112" s="253"/>
      <c r="AS112" s="253"/>
      <c r="AT112" s="253"/>
      <c r="AU112" s="253"/>
      <c r="AV112" s="253"/>
      <c r="AW112" s="253"/>
      <c r="AX112" s="253"/>
      <c r="AY112" s="253"/>
      <c r="AZ112" s="253"/>
      <c r="BA112" s="253"/>
      <c r="BB112" s="253"/>
      <c r="BC112" s="253"/>
      <c r="BD112" s="253"/>
      <c r="BE112" s="253"/>
      <c r="BF112" s="253"/>
      <c r="BG112" s="253"/>
      <c r="BH112" s="253"/>
      <c r="BI112" s="253"/>
      <c r="BJ112" s="253"/>
      <c r="BK112" s="253"/>
      <c r="BL112" s="253"/>
      <c r="BM112" s="253"/>
      <c r="BN112" s="253"/>
      <c r="BO112" s="253"/>
      <c r="BP112" s="253"/>
      <c r="BQ112" s="253"/>
      <c r="BR112" s="253"/>
      <c r="BS112" s="253"/>
      <c r="BT112" s="253"/>
      <c r="BU112" s="253"/>
      <c r="BV112" s="253"/>
      <c r="BW112" s="253"/>
      <c r="BX112" s="253"/>
      <c r="BY112" s="253"/>
      <c r="BZ112" s="253"/>
      <c r="DC112" s="494"/>
      <c r="DD112" s="494"/>
      <c r="DE112" s="494"/>
      <c r="DF112" s="494"/>
      <c r="DG112" s="494"/>
      <c r="DH112" s="494"/>
      <c r="DI112" s="494"/>
      <c r="DJ112" s="494"/>
      <c r="DK112" s="494"/>
      <c r="DL112" s="494"/>
      <c r="DM112" s="494"/>
      <c r="DN112" s="494"/>
      <c r="DO112" s="494"/>
      <c r="DP112" s="494"/>
      <c r="DQ112" s="494"/>
      <c r="DR112" s="494"/>
      <c r="DS112" s="494"/>
      <c r="DT112" s="494"/>
      <c r="DU112" s="494"/>
      <c r="DV112" s="494"/>
      <c r="DW112" s="494"/>
      <c r="DX112" s="494"/>
      <c r="DY112" s="494"/>
      <c r="DZ112" s="494"/>
      <c r="EB112" s="494"/>
      <c r="EC112" s="494"/>
      <c r="EH112" s="2562"/>
      <c r="EI112" s="2562"/>
      <c r="EJ112" s="2562"/>
      <c r="EK112" s="2562"/>
      <c r="EL112" s="2562"/>
      <c r="EM112" s="2562"/>
      <c r="EN112" s="2562"/>
      <c r="EO112" s="2562"/>
      <c r="EP112" s="2562"/>
      <c r="EQ112" s="2562"/>
      <c r="ER112" s="2562"/>
      <c r="ES112" s="2562"/>
      <c r="ET112" s="2562"/>
      <c r="EU112" s="2562"/>
      <c r="EV112" s="2562"/>
      <c r="EW112" s="2562"/>
      <c r="EX112" s="2562"/>
      <c r="EY112" s="2562"/>
      <c r="EZ112" s="2562"/>
      <c r="FA112" s="2562">
        <v>1000</v>
      </c>
      <c r="FB112" s="2562"/>
      <c r="FC112" s="2562"/>
      <c r="FD112" s="2562"/>
      <c r="FE112" s="2562"/>
      <c r="FF112" s="2562"/>
      <c r="FG112" s="2562"/>
      <c r="FH112" s="2562"/>
      <c r="FI112" s="2562"/>
      <c r="FJ112" s="2562"/>
      <c r="FK112" s="2562"/>
      <c r="FL112" s="2562"/>
      <c r="FO112"/>
      <c r="FP112"/>
      <c r="FQ112"/>
      <c r="FR112"/>
      <c r="FS112"/>
      <c r="FT112"/>
      <c r="FU112" s="261"/>
      <c r="FV112" s="261"/>
      <c r="FW112" s="261"/>
      <c r="FX112" s="261"/>
    </row>
    <row r="113" spans="1:180" s="264" customFormat="1" ht="11.25" customHeight="1">
      <c r="A113" s="3046">
        <v>43685</v>
      </c>
      <c r="D113" s="253"/>
      <c r="E113" s="253"/>
      <c r="F113" s="253"/>
      <c r="G113" s="253"/>
      <c r="H113" s="253"/>
      <c r="I113" s="253"/>
      <c r="J113" s="253"/>
      <c r="K113" s="253"/>
      <c r="L113" s="253"/>
      <c r="M113" s="253"/>
      <c r="N113" s="253"/>
      <c r="O113" s="253"/>
      <c r="P113" s="253"/>
      <c r="Q113" s="253"/>
      <c r="R113" s="253"/>
      <c r="S113" s="253"/>
      <c r="T113" s="253"/>
      <c r="U113" s="253"/>
      <c r="V113" s="253"/>
      <c r="W113" s="253"/>
      <c r="X113" s="253"/>
      <c r="Y113" s="253"/>
      <c r="Z113" s="253"/>
      <c r="AA113" s="253"/>
      <c r="AB113" s="253"/>
      <c r="AC113" s="253"/>
      <c r="AD113" s="253"/>
      <c r="AE113" s="253"/>
      <c r="AF113" s="253"/>
      <c r="AG113" s="253"/>
      <c r="AH113" s="253"/>
      <c r="AI113" s="253"/>
      <c r="AJ113" s="253"/>
      <c r="AK113" s="253"/>
      <c r="AL113" s="253"/>
      <c r="AM113" s="253"/>
      <c r="AN113" s="253"/>
      <c r="AO113" s="253"/>
      <c r="AP113" s="253"/>
      <c r="AQ113" s="253"/>
      <c r="AR113" s="253"/>
      <c r="AS113" s="253"/>
      <c r="AT113" s="253"/>
      <c r="AU113" s="253"/>
      <c r="AV113" s="253"/>
      <c r="AW113" s="253"/>
      <c r="AX113" s="253"/>
      <c r="AY113" s="253"/>
      <c r="AZ113" s="253"/>
      <c r="BA113" s="253"/>
      <c r="BB113" s="253"/>
      <c r="BC113" s="253"/>
      <c r="BD113" s="253"/>
      <c r="BE113" s="253"/>
      <c r="BF113" s="253"/>
      <c r="BG113" s="253"/>
      <c r="BH113" s="253"/>
      <c r="BI113" s="253"/>
      <c r="BJ113" s="253"/>
      <c r="BK113" s="253"/>
      <c r="BL113" s="253"/>
      <c r="BM113" s="253"/>
      <c r="BN113" s="253"/>
      <c r="BO113" s="253"/>
      <c r="BP113" s="253"/>
      <c r="BQ113" s="253"/>
      <c r="BR113" s="253"/>
      <c r="BS113" s="253"/>
      <c r="BT113" s="253"/>
      <c r="BU113" s="253"/>
      <c r="BV113" s="253"/>
      <c r="BW113" s="253"/>
      <c r="BX113" s="253"/>
      <c r="BY113" s="253"/>
      <c r="BZ113" s="253"/>
      <c r="DC113" s="494"/>
      <c r="DD113" s="494"/>
      <c r="DE113" s="494"/>
      <c r="DF113" s="494"/>
      <c r="DG113" s="494"/>
      <c r="DH113" s="494"/>
      <c r="DI113" s="494"/>
      <c r="DJ113" s="494"/>
      <c r="DK113" s="494"/>
      <c r="DL113" s="494"/>
      <c r="DM113" s="494"/>
      <c r="DN113" s="494"/>
      <c r="DO113" s="494"/>
      <c r="DP113" s="494"/>
      <c r="DQ113" s="494"/>
      <c r="DR113" s="494"/>
      <c r="DS113" s="494"/>
      <c r="DT113" s="494"/>
      <c r="DU113" s="494"/>
      <c r="DV113" s="494"/>
      <c r="DW113" s="494"/>
      <c r="DX113" s="494"/>
      <c r="DY113" s="494"/>
      <c r="DZ113" s="494"/>
      <c r="EB113" s="494"/>
      <c r="EC113" s="494"/>
      <c r="EH113" s="2562"/>
      <c r="EI113" s="2562"/>
      <c r="EJ113" s="2562"/>
      <c r="EK113" s="2562"/>
      <c r="EL113" s="2562"/>
      <c r="EM113" s="2562"/>
      <c r="EN113" s="2562"/>
      <c r="EO113" s="2562"/>
      <c r="EP113" s="2562"/>
      <c r="EQ113" s="2562"/>
      <c r="ER113" s="2562"/>
      <c r="ES113" s="2562"/>
      <c r="ET113" s="2562"/>
      <c r="EU113" s="2562"/>
      <c r="EV113" s="2562"/>
      <c r="EW113" s="2562"/>
      <c r="EX113" s="2562"/>
      <c r="EY113" s="2562"/>
      <c r="EZ113" s="2562"/>
      <c r="FA113" s="2562"/>
      <c r="FB113" s="2562"/>
      <c r="FC113" s="2562">
        <v>2500</v>
      </c>
      <c r="FD113" s="2562"/>
      <c r="FE113" s="2562"/>
      <c r="FF113" s="2562"/>
      <c r="FG113" s="2562"/>
      <c r="FH113" s="2562"/>
      <c r="FI113" s="2562"/>
      <c r="FJ113" s="2562"/>
      <c r="FK113" s="2562"/>
      <c r="FL113" s="2562"/>
      <c r="FO113"/>
      <c r="FP113"/>
      <c r="FQ113"/>
      <c r="FR113"/>
      <c r="FS113"/>
      <c r="FT113"/>
      <c r="FU113" s="261"/>
      <c r="FV113" s="261"/>
      <c r="FW113" s="261"/>
      <c r="FX113" s="261"/>
    </row>
    <row r="114" spans="1:180" s="264" customFormat="1" ht="11.25" customHeight="1">
      <c r="A114" s="3046">
        <v>43770</v>
      </c>
      <c r="D114" s="253"/>
      <c r="E114" s="253"/>
      <c r="F114" s="253"/>
      <c r="G114" s="253"/>
      <c r="H114" s="253"/>
      <c r="I114" s="253"/>
      <c r="J114" s="253"/>
      <c r="K114" s="253"/>
      <c r="L114" s="253"/>
      <c r="M114" s="253"/>
      <c r="N114" s="253"/>
      <c r="O114" s="253"/>
      <c r="P114" s="253"/>
      <c r="Q114" s="253"/>
      <c r="R114" s="253"/>
      <c r="S114" s="253"/>
      <c r="T114" s="253"/>
      <c r="U114" s="253"/>
      <c r="V114" s="253"/>
      <c r="W114" s="253"/>
      <c r="X114" s="253"/>
      <c r="Y114" s="253"/>
      <c r="Z114" s="253"/>
      <c r="AA114" s="253"/>
      <c r="AB114" s="253"/>
      <c r="AC114" s="253"/>
      <c r="AD114" s="253"/>
      <c r="AE114" s="253"/>
      <c r="AF114" s="253"/>
      <c r="AG114" s="253"/>
      <c r="AH114" s="253"/>
      <c r="AI114" s="253"/>
      <c r="AJ114" s="253"/>
      <c r="AK114" s="253"/>
      <c r="AL114" s="253"/>
      <c r="AM114" s="253"/>
      <c r="AN114" s="253"/>
      <c r="AO114" s="253"/>
      <c r="AP114" s="253"/>
      <c r="AQ114" s="253"/>
      <c r="AR114" s="253"/>
      <c r="AS114" s="253"/>
      <c r="AT114" s="253"/>
      <c r="AU114" s="253"/>
      <c r="AV114" s="253"/>
      <c r="AW114" s="253"/>
      <c r="AX114" s="253"/>
      <c r="AY114" s="253"/>
      <c r="AZ114" s="253"/>
      <c r="BA114" s="253"/>
      <c r="BB114" s="253"/>
      <c r="BC114" s="253"/>
      <c r="BD114" s="253"/>
      <c r="BE114" s="253"/>
      <c r="BF114" s="253"/>
      <c r="BG114" s="253"/>
      <c r="BH114" s="253"/>
      <c r="BI114" s="253"/>
      <c r="BJ114" s="253"/>
      <c r="BK114" s="253"/>
      <c r="BL114" s="253"/>
      <c r="BM114" s="253"/>
      <c r="BN114" s="253"/>
      <c r="BO114" s="253"/>
      <c r="BP114" s="253"/>
      <c r="BQ114" s="253"/>
      <c r="BR114" s="253"/>
      <c r="BS114" s="253"/>
      <c r="BT114" s="253"/>
      <c r="BU114" s="253"/>
      <c r="BV114" s="253"/>
      <c r="BW114" s="253"/>
      <c r="BX114" s="253"/>
      <c r="BY114" s="253"/>
      <c r="BZ114" s="253"/>
      <c r="DC114" s="494"/>
      <c r="DD114" s="494"/>
      <c r="DE114" s="494"/>
      <c r="DF114" s="494"/>
      <c r="DG114" s="494"/>
      <c r="DH114" s="494"/>
      <c r="DI114" s="494"/>
      <c r="DJ114" s="494"/>
      <c r="DK114" s="494"/>
      <c r="DL114" s="494"/>
      <c r="DM114" s="494"/>
      <c r="DN114" s="494"/>
      <c r="DO114" s="494"/>
      <c r="DP114" s="494"/>
      <c r="DQ114" s="494"/>
      <c r="DR114" s="494"/>
      <c r="DS114" s="494"/>
      <c r="DT114" s="494"/>
      <c r="DU114" s="494"/>
      <c r="DV114" s="494"/>
      <c r="DW114" s="494"/>
      <c r="DX114" s="494"/>
      <c r="DY114" s="494"/>
      <c r="DZ114" s="494"/>
      <c r="EB114" s="494"/>
      <c r="EC114" s="494"/>
      <c r="EH114" s="2562"/>
      <c r="EI114" s="2562"/>
      <c r="EJ114" s="2562"/>
      <c r="EK114" s="2562"/>
      <c r="EL114" s="2562"/>
      <c r="EM114" s="2562"/>
      <c r="EN114" s="2562"/>
      <c r="EO114" s="2562"/>
      <c r="EP114" s="2562"/>
      <c r="EQ114" s="2562"/>
      <c r="ER114" s="2562"/>
      <c r="ES114" s="2562"/>
      <c r="ET114" s="2562"/>
      <c r="EU114" s="2562"/>
      <c r="EV114" s="2562"/>
      <c r="EW114" s="2562"/>
      <c r="EX114" s="2562"/>
      <c r="EY114" s="2562"/>
      <c r="EZ114" s="2562"/>
      <c r="FA114" s="2562"/>
      <c r="FB114" s="2562"/>
      <c r="FC114" s="2562"/>
      <c r="FD114" s="2562">
        <v>18</v>
      </c>
      <c r="FE114" s="2562"/>
      <c r="FF114" s="2562"/>
      <c r="FG114" s="2562"/>
      <c r="FH114" s="2562"/>
      <c r="FI114" s="2562"/>
      <c r="FJ114" s="2562"/>
      <c r="FK114" s="2562"/>
      <c r="FL114" s="2562"/>
      <c r="FO114"/>
      <c r="FP114"/>
      <c r="FQ114"/>
      <c r="FR114"/>
      <c r="FS114"/>
      <c r="FT114"/>
      <c r="FU114" s="261"/>
      <c r="FV114" s="261"/>
      <c r="FW114" s="261"/>
      <c r="FX114" s="261"/>
    </row>
    <row r="115" spans="1:180" s="264" customFormat="1" ht="11.25" customHeight="1">
      <c r="A115" s="3046">
        <v>43867</v>
      </c>
      <c r="D115" s="253"/>
      <c r="E115" s="253"/>
      <c r="F115" s="253"/>
      <c r="G115" s="253"/>
      <c r="H115" s="253"/>
      <c r="I115" s="253"/>
      <c r="J115" s="253"/>
      <c r="K115" s="253"/>
      <c r="L115" s="253"/>
      <c r="M115" s="253"/>
      <c r="N115" s="253"/>
      <c r="O115" s="253"/>
      <c r="P115" s="253"/>
      <c r="Q115" s="253"/>
      <c r="R115" s="253"/>
      <c r="S115" s="253"/>
      <c r="T115" s="253"/>
      <c r="U115" s="253"/>
      <c r="V115" s="253"/>
      <c r="W115" s="253"/>
      <c r="X115" s="253"/>
      <c r="Y115" s="253"/>
      <c r="Z115" s="253"/>
      <c r="AA115" s="253"/>
      <c r="AB115" s="253"/>
      <c r="AC115" s="253"/>
      <c r="AD115" s="253"/>
      <c r="AE115" s="253"/>
      <c r="AF115" s="253"/>
      <c r="AG115" s="253"/>
      <c r="AH115" s="253"/>
      <c r="AI115" s="253"/>
      <c r="AJ115" s="253"/>
      <c r="AK115" s="253"/>
      <c r="AL115" s="253"/>
      <c r="AM115" s="253"/>
      <c r="AN115" s="253"/>
      <c r="AO115" s="253"/>
      <c r="AP115" s="253"/>
      <c r="AQ115" s="253"/>
      <c r="AR115" s="253"/>
      <c r="AS115" s="253"/>
      <c r="AT115" s="253"/>
      <c r="AU115" s="253"/>
      <c r="AV115" s="253"/>
      <c r="AW115" s="253"/>
      <c r="AX115" s="253"/>
      <c r="AY115" s="253"/>
      <c r="AZ115" s="253"/>
      <c r="BA115" s="253"/>
      <c r="BB115" s="253"/>
      <c r="BC115" s="253"/>
      <c r="BD115" s="253"/>
      <c r="BE115" s="253"/>
      <c r="BF115" s="253"/>
      <c r="BG115" s="253"/>
      <c r="BH115" s="253"/>
      <c r="BI115" s="253"/>
      <c r="BJ115" s="253"/>
      <c r="BK115" s="253"/>
      <c r="BL115" s="253"/>
      <c r="BM115" s="253"/>
      <c r="BN115" s="253"/>
      <c r="BO115" s="253"/>
      <c r="BP115" s="253"/>
      <c r="BQ115" s="253"/>
      <c r="BR115" s="253"/>
      <c r="BS115" s="253"/>
      <c r="BT115" s="253"/>
      <c r="BU115" s="253"/>
      <c r="BV115" s="253"/>
      <c r="BW115" s="253"/>
      <c r="BX115" s="253"/>
      <c r="BY115" s="253"/>
      <c r="BZ115" s="253"/>
      <c r="DC115" s="494"/>
      <c r="DD115" s="494"/>
      <c r="DE115" s="494"/>
      <c r="DF115" s="494"/>
      <c r="DG115" s="494"/>
      <c r="DH115" s="494"/>
      <c r="DI115" s="494"/>
      <c r="DJ115" s="494"/>
      <c r="DK115" s="494"/>
      <c r="DL115" s="494"/>
      <c r="DM115" s="494"/>
      <c r="DN115" s="494"/>
      <c r="DO115" s="494"/>
      <c r="DP115" s="494"/>
      <c r="DQ115" s="494"/>
      <c r="DR115" s="494"/>
      <c r="DS115" s="494"/>
      <c r="DT115" s="494"/>
      <c r="DU115" s="494"/>
      <c r="DV115" s="494"/>
      <c r="DW115" s="494"/>
      <c r="DX115" s="494"/>
      <c r="DY115" s="494"/>
      <c r="DZ115" s="494"/>
      <c r="EB115" s="494"/>
      <c r="EC115" s="494"/>
      <c r="EH115" s="2562"/>
      <c r="EI115" s="2562"/>
      <c r="EJ115" s="2562"/>
      <c r="EK115" s="2562"/>
      <c r="EL115" s="2562"/>
      <c r="EM115" s="2562"/>
      <c r="EN115" s="2562"/>
      <c r="EO115" s="2562"/>
      <c r="EP115" s="2562"/>
      <c r="EQ115" s="2562"/>
      <c r="ER115" s="2562"/>
      <c r="ES115" s="2562"/>
      <c r="ET115" s="2562"/>
      <c r="EU115" s="2562"/>
      <c r="EV115" s="2562"/>
      <c r="EW115" s="2562"/>
      <c r="EX115" s="2562"/>
      <c r="EY115" s="2562"/>
      <c r="EZ115" s="2562"/>
      <c r="FA115" s="2562"/>
      <c r="FB115" s="2562"/>
      <c r="FC115" s="2562"/>
      <c r="FD115" s="2562"/>
      <c r="FE115" s="2562">
        <v>1500</v>
      </c>
      <c r="FF115" s="2562"/>
      <c r="FG115" s="2562"/>
      <c r="FH115" s="2562"/>
      <c r="FI115" s="2562"/>
      <c r="FJ115" s="2562"/>
      <c r="FK115" s="2562"/>
      <c r="FL115" s="2562"/>
      <c r="FO115"/>
      <c r="FP115"/>
      <c r="FQ115"/>
      <c r="FR115"/>
      <c r="FS115"/>
      <c r="FT115"/>
      <c r="FU115" s="261"/>
      <c r="FV115" s="261"/>
      <c r="FW115" s="261"/>
      <c r="FX115" s="261"/>
    </row>
    <row r="116" spans="1:180" s="264" customFormat="1" ht="11.25" customHeight="1">
      <c r="A116" s="3046">
        <v>43873</v>
      </c>
      <c r="D116" s="253"/>
      <c r="E116" s="253"/>
      <c r="F116" s="253"/>
      <c r="G116" s="253"/>
      <c r="H116" s="253"/>
      <c r="I116" s="253"/>
      <c r="J116" s="253"/>
      <c r="K116" s="253"/>
      <c r="L116" s="253"/>
      <c r="M116" s="253"/>
      <c r="N116" s="253"/>
      <c r="O116" s="253"/>
      <c r="P116" s="253"/>
      <c r="Q116" s="253"/>
      <c r="R116" s="253"/>
      <c r="S116" s="253"/>
      <c r="T116" s="253"/>
      <c r="U116" s="253"/>
      <c r="V116" s="253"/>
      <c r="W116" s="253"/>
      <c r="X116" s="253"/>
      <c r="Y116" s="253"/>
      <c r="Z116" s="253"/>
      <c r="AA116" s="253"/>
      <c r="AB116" s="253"/>
      <c r="AC116" s="253"/>
      <c r="AD116" s="253"/>
      <c r="AE116" s="253"/>
      <c r="AF116" s="253"/>
      <c r="AG116" s="253"/>
      <c r="AH116" s="253"/>
      <c r="AI116" s="253"/>
      <c r="AJ116" s="253"/>
      <c r="AK116" s="253"/>
      <c r="AL116" s="253"/>
      <c r="AM116" s="253"/>
      <c r="AN116" s="253"/>
      <c r="AO116" s="253"/>
      <c r="AP116" s="253"/>
      <c r="AQ116" s="253"/>
      <c r="AR116" s="253"/>
      <c r="AS116" s="253"/>
      <c r="AT116" s="253"/>
      <c r="AU116" s="253"/>
      <c r="AV116" s="253"/>
      <c r="AW116" s="253"/>
      <c r="AX116" s="253"/>
      <c r="AY116" s="253"/>
      <c r="AZ116" s="253"/>
      <c r="BA116" s="253"/>
      <c r="BB116" s="253"/>
      <c r="BC116" s="253"/>
      <c r="BD116" s="253"/>
      <c r="BE116" s="253"/>
      <c r="BF116" s="253"/>
      <c r="BG116" s="253"/>
      <c r="BH116" s="253"/>
      <c r="BI116" s="253"/>
      <c r="BJ116" s="253"/>
      <c r="BK116" s="253"/>
      <c r="BL116" s="253"/>
      <c r="BM116" s="253"/>
      <c r="BN116" s="253"/>
      <c r="BO116" s="253"/>
      <c r="BP116" s="253"/>
      <c r="BQ116" s="253"/>
      <c r="BR116" s="253"/>
      <c r="BS116" s="253"/>
      <c r="BT116" s="253"/>
      <c r="BU116" s="253"/>
      <c r="BV116" s="253"/>
      <c r="BW116" s="253"/>
      <c r="BX116" s="253"/>
      <c r="BY116" s="253"/>
      <c r="BZ116" s="253"/>
      <c r="DC116" s="494"/>
      <c r="DD116" s="494"/>
      <c r="DE116" s="494"/>
      <c r="DF116" s="494"/>
      <c r="DG116" s="494"/>
      <c r="DH116" s="494"/>
      <c r="DI116" s="494"/>
      <c r="DJ116" s="494"/>
      <c r="DK116" s="494"/>
      <c r="DL116" s="494"/>
      <c r="DM116" s="494"/>
      <c r="DN116" s="494"/>
      <c r="DO116" s="494"/>
      <c r="DP116" s="494"/>
      <c r="DQ116" s="494"/>
      <c r="DR116" s="494"/>
      <c r="DS116" s="494"/>
      <c r="DT116" s="494"/>
      <c r="DU116" s="494"/>
      <c r="DV116" s="494"/>
      <c r="DW116" s="494"/>
      <c r="DX116" s="494"/>
      <c r="DY116" s="494"/>
      <c r="DZ116" s="494"/>
      <c r="EB116" s="494"/>
      <c r="EC116" s="494"/>
      <c r="EH116" s="2562"/>
      <c r="EI116" s="2562"/>
      <c r="EJ116" s="2562"/>
      <c r="EK116" s="2562"/>
      <c r="EL116" s="2562"/>
      <c r="EM116" s="2562"/>
      <c r="EN116" s="2562"/>
      <c r="EO116" s="2562"/>
      <c r="EP116" s="2562"/>
      <c r="EQ116" s="2562"/>
      <c r="ER116" s="2562"/>
      <c r="ES116" s="2562"/>
      <c r="ET116" s="2562"/>
      <c r="EU116" s="2562"/>
      <c r="EV116" s="2562"/>
      <c r="EW116" s="2562"/>
      <c r="EX116" s="2562"/>
      <c r="EY116" s="2562"/>
      <c r="EZ116" s="2562"/>
      <c r="FA116" s="2562"/>
      <c r="FB116" s="2562"/>
      <c r="FC116" s="2562"/>
      <c r="FD116" s="2562"/>
      <c r="FE116" s="2562">
        <v>1500</v>
      </c>
      <c r="FF116" s="2562"/>
      <c r="FG116" s="2562"/>
      <c r="FH116" s="2562"/>
      <c r="FI116" s="2562"/>
      <c r="FJ116" s="2562"/>
      <c r="FK116" s="2562"/>
      <c r="FL116" s="2562"/>
      <c r="FO116"/>
      <c r="FP116"/>
      <c r="FQ116"/>
      <c r="FR116"/>
      <c r="FS116"/>
      <c r="FT116"/>
      <c r="FU116" s="261"/>
      <c r="FV116" s="261"/>
      <c r="FW116" s="261"/>
      <c r="FX116" s="261"/>
    </row>
    <row r="117" spans="1:180" s="264" customFormat="1" ht="11.25" customHeight="1">
      <c r="A117" s="3046">
        <v>44105</v>
      </c>
      <c r="D117" s="253"/>
      <c r="E117" s="253"/>
      <c r="F117" s="253"/>
      <c r="G117" s="253"/>
      <c r="H117" s="253"/>
      <c r="I117" s="253"/>
      <c r="J117" s="253"/>
      <c r="K117" s="253"/>
      <c r="L117" s="253"/>
      <c r="M117" s="253"/>
      <c r="N117" s="253"/>
      <c r="O117" s="253"/>
      <c r="P117" s="253"/>
      <c r="Q117" s="253"/>
      <c r="R117" s="253"/>
      <c r="S117" s="253"/>
      <c r="T117" s="253"/>
      <c r="U117" s="253"/>
      <c r="V117" s="253"/>
      <c r="W117" s="253"/>
      <c r="X117" s="253"/>
      <c r="Y117" s="253"/>
      <c r="Z117" s="253"/>
      <c r="AA117" s="253"/>
      <c r="AB117" s="253"/>
      <c r="AC117" s="253"/>
      <c r="AD117" s="253"/>
      <c r="AE117" s="253"/>
      <c r="AF117" s="253"/>
      <c r="AG117" s="253"/>
      <c r="AH117" s="253"/>
      <c r="AI117" s="253"/>
      <c r="AJ117" s="253"/>
      <c r="AK117" s="253"/>
      <c r="AL117" s="253"/>
      <c r="AM117" s="253"/>
      <c r="AN117" s="253"/>
      <c r="AO117" s="253"/>
      <c r="AP117" s="253"/>
      <c r="AQ117" s="253"/>
      <c r="AR117" s="253"/>
      <c r="AS117" s="253"/>
      <c r="AT117" s="253"/>
      <c r="AU117" s="253"/>
      <c r="AV117" s="253"/>
      <c r="AW117" s="253"/>
      <c r="AX117" s="253"/>
      <c r="AY117" s="253"/>
      <c r="AZ117" s="253"/>
      <c r="BA117" s="253"/>
      <c r="BB117" s="253"/>
      <c r="BC117" s="253"/>
      <c r="BD117" s="253"/>
      <c r="BE117" s="253"/>
      <c r="BF117" s="253"/>
      <c r="BG117" s="253"/>
      <c r="BH117" s="253"/>
      <c r="BI117" s="253"/>
      <c r="BJ117" s="253"/>
      <c r="BK117" s="253"/>
      <c r="BL117" s="253"/>
      <c r="BM117" s="253"/>
      <c r="BN117" s="253"/>
      <c r="BO117" s="253"/>
      <c r="BP117" s="253"/>
      <c r="BQ117" s="253"/>
      <c r="BR117" s="253"/>
      <c r="BS117" s="253"/>
      <c r="BT117" s="253"/>
      <c r="BU117" s="253"/>
      <c r="BV117" s="253"/>
      <c r="BW117" s="253"/>
      <c r="BX117" s="253"/>
      <c r="BY117" s="253"/>
      <c r="BZ117" s="253"/>
      <c r="DC117" s="494"/>
      <c r="DD117" s="494"/>
      <c r="DE117" s="494"/>
      <c r="DF117" s="494"/>
      <c r="DG117" s="494"/>
      <c r="DH117" s="494"/>
      <c r="DI117" s="494"/>
      <c r="DJ117" s="494"/>
      <c r="DK117" s="494"/>
      <c r="DL117" s="494"/>
      <c r="DM117" s="494"/>
      <c r="DN117" s="494"/>
      <c r="DO117" s="494"/>
      <c r="DP117" s="494"/>
      <c r="DQ117" s="494"/>
      <c r="DR117" s="494"/>
      <c r="DS117" s="494"/>
      <c r="DT117" s="494"/>
      <c r="DU117" s="494"/>
      <c r="DV117" s="494"/>
      <c r="DW117" s="494"/>
      <c r="DX117" s="494"/>
      <c r="DY117" s="494"/>
      <c r="DZ117" s="494"/>
      <c r="EB117" s="494"/>
      <c r="EC117" s="494"/>
      <c r="EH117" s="2562"/>
      <c r="EI117" s="2562"/>
      <c r="EJ117" s="2562"/>
      <c r="EK117" s="2562"/>
      <c r="EL117" s="2562"/>
      <c r="EM117" s="2562"/>
      <c r="EN117" s="2562"/>
      <c r="EO117" s="2562"/>
      <c r="EP117" s="2562"/>
      <c r="EQ117" s="2562"/>
      <c r="ER117" s="2562"/>
      <c r="ES117" s="2562"/>
      <c r="ET117" s="2562"/>
      <c r="EU117" s="2562"/>
      <c r="EV117" s="2562"/>
      <c r="EW117" s="2562"/>
      <c r="EX117" s="2562"/>
      <c r="EY117" s="2562"/>
      <c r="EZ117" s="2562"/>
      <c r="FA117" s="2562"/>
      <c r="FB117" s="2562"/>
      <c r="FC117" s="2562"/>
      <c r="FD117" s="2562"/>
      <c r="FE117" s="2562"/>
      <c r="FF117" s="2562"/>
      <c r="FG117" s="2562"/>
      <c r="FH117" s="2562"/>
      <c r="FI117" s="2562">
        <v>1000</v>
      </c>
      <c r="FJ117" s="2562"/>
      <c r="FK117" s="2562"/>
      <c r="FL117" s="2562"/>
      <c r="FO117"/>
      <c r="FP117"/>
      <c r="FQ117"/>
      <c r="FR117"/>
      <c r="FS117"/>
      <c r="FT117"/>
      <c r="FU117" s="261"/>
      <c r="FV117" s="261"/>
      <c r="FW117" s="261"/>
      <c r="FX117" s="261"/>
    </row>
    <row r="118" spans="1:180" s="264" customFormat="1" ht="11.25" customHeight="1">
      <c r="A118" s="3046">
        <v>44138</v>
      </c>
      <c r="D118" s="253"/>
      <c r="E118" s="253"/>
      <c r="F118" s="253"/>
      <c r="G118" s="253"/>
      <c r="H118" s="253"/>
      <c r="I118" s="253"/>
      <c r="J118" s="253"/>
      <c r="K118" s="253"/>
      <c r="L118" s="253"/>
      <c r="M118" s="253"/>
      <c r="N118" s="253"/>
      <c r="O118" s="253"/>
      <c r="P118" s="253"/>
      <c r="Q118" s="253"/>
      <c r="R118" s="253"/>
      <c r="S118" s="253"/>
      <c r="T118" s="253"/>
      <c r="U118" s="253"/>
      <c r="V118" s="253"/>
      <c r="W118" s="253"/>
      <c r="X118" s="253"/>
      <c r="Y118" s="253"/>
      <c r="Z118" s="253"/>
      <c r="AA118" s="253"/>
      <c r="AB118" s="253"/>
      <c r="AC118" s="253"/>
      <c r="AD118" s="253"/>
      <c r="AE118" s="253"/>
      <c r="AF118" s="253"/>
      <c r="AG118" s="253"/>
      <c r="AH118" s="253"/>
      <c r="AI118" s="253"/>
      <c r="AJ118" s="253"/>
      <c r="AK118" s="253"/>
      <c r="AL118" s="253"/>
      <c r="AM118" s="253"/>
      <c r="AN118" s="253"/>
      <c r="AO118" s="253"/>
      <c r="AP118" s="253"/>
      <c r="AQ118" s="253"/>
      <c r="AR118" s="253"/>
      <c r="AS118" s="253"/>
      <c r="AT118" s="253"/>
      <c r="AU118" s="253"/>
      <c r="AV118" s="253"/>
      <c r="AW118" s="253"/>
      <c r="AX118" s="253"/>
      <c r="AY118" s="253"/>
      <c r="AZ118" s="253"/>
      <c r="BA118" s="253"/>
      <c r="BB118" s="253"/>
      <c r="BC118" s="253"/>
      <c r="BD118" s="253"/>
      <c r="BE118" s="253"/>
      <c r="BF118" s="253"/>
      <c r="BG118" s="253"/>
      <c r="BH118" s="253"/>
      <c r="BI118" s="253"/>
      <c r="BJ118" s="253"/>
      <c r="BK118" s="253"/>
      <c r="BL118" s="253"/>
      <c r="BM118" s="253"/>
      <c r="BN118" s="253"/>
      <c r="BO118" s="253"/>
      <c r="BP118" s="253"/>
      <c r="BQ118" s="253"/>
      <c r="BR118" s="253"/>
      <c r="BS118" s="253"/>
      <c r="BT118" s="253"/>
      <c r="BU118" s="253"/>
      <c r="BV118" s="253"/>
      <c r="BW118" s="253"/>
      <c r="BX118" s="253"/>
      <c r="BY118" s="253"/>
      <c r="BZ118" s="253"/>
      <c r="DC118" s="494"/>
      <c r="DD118" s="494"/>
      <c r="DE118" s="494"/>
      <c r="DF118" s="494"/>
      <c r="DG118" s="494"/>
      <c r="DH118" s="494"/>
      <c r="DI118" s="494"/>
      <c r="DJ118" s="494"/>
      <c r="DK118" s="494"/>
      <c r="DL118" s="494"/>
      <c r="DM118" s="494"/>
      <c r="DN118" s="494"/>
      <c r="DO118" s="494"/>
      <c r="DP118" s="494"/>
      <c r="DQ118" s="494"/>
      <c r="DR118" s="494"/>
      <c r="DS118" s="494"/>
      <c r="DT118" s="494"/>
      <c r="DU118" s="494"/>
      <c r="DV118" s="494"/>
      <c r="DW118" s="494"/>
      <c r="DX118" s="494"/>
      <c r="DY118" s="494"/>
      <c r="DZ118" s="494"/>
      <c r="EB118" s="494"/>
      <c r="EC118" s="494"/>
      <c r="EH118" s="2562"/>
      <c r="EI118" s="2562"/>
      <c r="EJ118" s="2562"/>
      <c r="EK118" s="2562"/>
      <c r="EL118" s="2562"/>
      <c r="EM118" s="2562"/>
      <c r="EN118" s="2562"/>
      <c r="EO118" s="2562"/>
      <c r="EP118" s="2562"/>
      <c r="EQ118" s="2562"/>
      <c r="ER118" s="2562"/>
      <c r="ES118" s="2562"/>
      <c r="ET118" s="2562"/>
      <c r="EU118" s="2562"/>
      <c r="EV118" s="2562"/>
      <c r="EW118" s="2562"/>
      <c r="EX118" s="2562"/>
      <c r="EY118" s="2562"/>
      <c r="EZ118" s="2562"/>
      <c r="FA118" s="2562"/>
      <c r="FB118" s="2562"/>
      <c r="FC118" s="2562"/>
      <c r="FD118" s="2562"/>
      <c r="FE118" s="2562"/>
      <c r="FF118" s="2562"/>
      <c r="FG118" s="2562"/>
      <c r="FH118" s="2562"/>
      <c r="FI118" s="2562">
        <v>2250</v>
      </c>
      <c r="FJ118" s="2562"/>
      <c r="FK118" s="2562"/>
      <c r="FL118" s="2562"/>
      <c r="FO118"/>
      <c r="FP118"/>
      <c r="FQ118"/>
      <c r="FR118"/>
      <c r="FS118"/>
      <c r="FT118"/>
      <c r="FU118" s="261"/>
      <c r="FV118" s="261"/>
      <c r="FW118" s="261"/>
      <c r="FX118" s="261"/>
    </row>
    <row r="119" spans="1:180" s="264" customFormat="1" ht="11.25" customHeight="1">
      <c r="A119" s="3046">
        <v>44235</v>
      </c>
      <c r="D119" s="253"/>
      <c r="E119" s="253"/>
      <c r="F119" s="253"/>
      <c r="G119" s="253"/>
      <c r="H119" s="253"/>
      <c r="I119" s="253"/>
      <c r="J119" s="253"/>
      <c r="K119" s="253"/>
      <c r="L119" s="253"/>
      <c r="M119" s="253"/>
      <c r="N119" s="253"/>
      <c r="O119" s="253"/>
      <c r="P119" s="253"/>
      <c r="Q119" s="253"/>
      <c r="R119" s="253"/>
      <c r="S119" s="253"/>
      <c r="T119" s="253"/>
      <c r="U119" s="253"/>
      <c r="V119" s="253"/>
      <c r="W119" s="253"/>
      <c r="X119" s="253"/>
      <c r="Y119" s="253"/>
      <c r="Z119" s="253"/>
      <c r="AA119" s="253"/>
      <c r="AB119" s="253"/>
      <c r="AC119" s="253"/>
      <c r="AD119" s="253"/>
      <c r="AE119" s="253"/>
      <c r="AF119" s="253"/>
      <c r="AG119" s="253"/>
      <c r="AH119" s="253"/>
      <c r="AI119" s="253"/>
      <c r="AJ119" s="253"/>
      <c r="AK119" s="253"/>
      <c r="AL119" s="253"/>
      <c r="AM119" s="253"/>
      <c r="AN119" s="253"/>
      <c r="AO119" s="253"/>
      <c r="AP119" s="253"/>
      <c r="AQ119" s="253"/>
      <c r="AR119" s="253"/>
      <c r="AS119" s="253"/>
      <c r="AT119" s="253"/>
      <c r="AU119" s="253"/>
      <c r="AV119" s="253"/>
      <c r="AW119" s="253"/>
      <c r="AX119" s="253"/>
      <c r="AY119" s="253"/>
      <c r="AZ119" s="253"/>
      <c r="BA119" s="253"/>
      <c r="BB119" s="253"/>
      <c r="BC119" s="253"/>
      <c r="BD119" s="253"/>
      <c r="BE119" s="253"/>
      <c r="BF119" s="253"/>
      <c r="BG119" s="253"/>
      <c r="BH119" s="253"/>
      <c r="BI119" s="253"/>
      <c r="BJ119" s="253"/>
      <c r="BK119" s="253"/>
      <c r="BL119" s="253"/>
      <c r="BM119" s="253"/>
      <c r="BN119" s="253"/>
      <c r="BO119" s="253"/>
      <c r="BP119" s="253"/>
      <c r="BQ119" s="253"/>
      <c r="BR119" s="253"/>
      <c r="BS119" s="253"/>
      <c r="BT119" s="253"/>
      <c r="BU119" s="253"/>
      <c r="BV119" s="253"/>
      <c r="BW119" s="253"/>
      <c r="BX119" s="253"/>
      <c r="BY119" s="253"/>
      <c r="BZ119" s="253"/>
      <c r="DC119" s="494"/>
      <c r="DD119" s="494"/>
      <c r="DE119" s="494"/>
      <c r="DF119" s="494"/>
      <c r="DG119" s="494"/>
      <c r="DH119" s="494"/>
      <c r="DI119" s="494"/>
      <c r="DJ119" s="494"/>
      <c r="DK119" s="494"/>
      <c r="DL119" s="494"/>
      <c r="DM119" s="494"/>
      <c r="DN119" s="494"/>
      <c r="DO119" s="494"/>
      <c r="DP119" s="494"/>
      <c r="DQ119" s="494"/>
      <c r="DR119" s="494"/>
      <c r="DS119" s="494"/>
      <c r="DT119" s="494"/>
      <c r="DU119" s="494"/>
      <c r="DV119" s="494"/>
      <c r="DW119" s="494"/>
      <c r="DX119" s="494"/>
      <c r="DY119" s="494"/>
      <c r="DZ119" s="494"/>
      <c r="EB119" s="494"/>
      <c r="EC119" s="494"/>
      <c r="EH119" s="2562"/>
      <c r="EI119" s="2562"/>
      <c r="EJ119" s="2562"/>
      <c r="EK119" s="2562"/>
      <c r="EL119" s="2562"/>
      <c r="EM119" s="2562"/>
      <c r="EN119" s="2562"/>
      <c r="EO119" s="2562"/>
      <c r="EP119" s="2562"/>
      <c r="EQ119" s="2562"/>
      <c r="ER119" s="2562"/>
      <c r="ES119" s="2562"/>
      <c r="ET119" s="2562"/>
      <c r="EU119" s="2562"/>
      <c r="EV119" s="2562"/>
      <c r="EW119" s="2562"/>
      <c r="EX119" s="2562"/>
      <c r="EY119" s="2562"/>
      <c r="EZ119" s="2562"/>
      <c r="FA119" s="2562"/>
      <c r="FB119" s="2562"/>
      <c r="FC119" s="2562"/>
      <c r="FD119" s="2562"/>
      <c r="FE119" s="2562"/>
      <c r="FF119" s="2562"/>
      <c r="FG119" s="2562"/>
      <c r="FH119" s="2562"/>
      <c r="FI119" s="2562"/>
      <c r="FJ119" s="2562">
        <v>500</v>
      </c>
      <c r="FK119" s="2562"/>
      <c r="FL119" s="2562"/>
      <c r="FO119"/>
      <c r="FP119"/>
      <c r="FQ119"/>
      <c r="FR119"/>
      <c r="FS119"/>
      <c r="FT119"/>
      <c r="FU119" s="261"/>
      <c r="FV119" s="261"/>
      <c r="FW119" s="261"/>
      <c r="FX119" s="261"/>
    </row>
    <row r="120" spans="1:180" s="264" customFormat="1" ht="11.25" customHeight="1">
      <c r="A120" s="3046"/>
      <c r="D120" s="253"/>
      <c r="E120" s="253"/>
      <c r="F120" s="253"/>
      <c r="G120" s="253"/>
      <c r="H120" s="253"/>
      <c r="I120" s="253"/>
      <c r="J120" s="253"/>
      <c r="K120" s="253"/>
      <c r="L120" s="253"/>
      <c r="M120" s="253"/>
      <c r="N120" s="253"/>
      <c r="O120" s="253"/>
      <c r="P120" s="253"/>
      <c r="Q120" s="253"/>
      <c r="R120" s="253"/>
      <c r="S120" s="253"/>
      <c r="T120" s="253"/>
      <c r="U120" s="253"/>
      <c r="V120" s="253"/>
      <c r="W120" s="253"/>
      <c r="X120" s="253"/>
      <c r="Y120" s="253"/>
      <c r="Z120" s="253"/>
      <c r="AA120" s="253"/>
      <c r="AB120" s="253"/>
      <c r="AC120" s="253"/>
      <c r="AD120" s="253"/>
      <c r="AE120" s="253"/>
      <c r="AF120" s="253"/>
      <c r="AG120" s="253"/>
      <c r="AH120" s="253"/>
      <c r="AI120" s="253"/>
      <c r="AJ120" s="253"/>
      <c r="AK120" s="253"/>
      <c r="AL120" s="253"/>
      <c r="AM120" s="253"/>
      <c r="AN120" s="253"/>
      <c r="AO120" s="253"/>
      <c r="AP120" s="253"/>
      <c r="AQ120" s="253"/>
      <c r="AR120" s="253"/>
      <c r="AS120" s="253"/>
      <c r="AT120" s="253"/>
      <c r="AU120" s="253"/>
      <c r="AV120" s="253"/>
      <c r="AW120" s="253"/>
      <c r="AX120" s="253"/>
      <c r="AY120" s="253"/>
      <c r="AZ120" s="253"/>
      <c r="BA120" s="253"/>
      <c r="BB120" s="253"/>
      <c r="BC120" s="253"/>
      <c r="BD120" s="253"/>
      <c r="BE120" s="253"/>
      <c r="BF120" s="253"/>
      <c r="BG120" s="253"/>
      <c r="BH120" s="253"/>
      <c r="BI120" s="253"/>
      <c r="BJ120" s="253"/>
      <c r="BK120" s="253"/>
      <c r="BL120" s="253"/>
      <c r="BM120" s="253"/>
      <c r="BN120" s="253"/>
      <c r="BO120" s="253"/>
      <c r="BP120" s="253"/>
      <c r="BQ120" s="253"/>
      <c r="BR120" s="253"/>
      <c r="BS120" s="253"/>
      <c r="BT120" s="253"/>
      <c r="BU120" s="253"/>
      <c r="BV120" s="253"/>
      <c r="BW120" s="253"/>
      <c r="BX120" s="253"/>
      <c r="BY120" s="253"/>
      <c r="BZ120" s="253"/>
      <c r="DC120" s="494"/>
      <c r="DD120" s="494"/>
      <c r="DE120" s="494"/>
      <c r="DF120" s="494"/>
      <c r="DG120" s="494"/>
      <c r="DH120" s="494"/>
      <c r="DI120" s="494"/>
      <c r="DJ120" s="494"/>
      <c r="DK120" s="494"/>
      <c r="DL120" s="494"/>
      <c r="DM120" s="494"/>
      <c r="DN120" s="494"/>
      <c r="DO120" s="494"/>
      <c r="DP120" s="494"/>
      <c r="DQ120" s="494"/>
      <c r="DR120" s="494"/>
      <c r="DS120" s="494"/>
      <c r="DT120" s="494"/>
      <c r="DU120" s="494"/>
      <c r="DV120" s="494"/>
      <c r="DW120" s="494"/>
      <c r="DX120" s="494"/>
      <c r="DY120" s="494"/>
      <c r="DZ120" s="494"/>
      <c r="EB120" s="494"/>
      <c r="EC120" s="494"/>
      <c r="EH120" s="2562"/>
      <c r="EI120" s="2562"/>
      <c r="EJ120" s="2562"/>
      <c r="EK120" s="2562"/>
      <c r="EL120" s="2562"/>
      <c r="EM120" s="2562"/>
      <c r="EN120" s="2562"/>
      <c r="EO120" s="2562"/>
      <c r="EP120" s="2562"/>
      <c r="EQ120" s="2562"/>
      <c r="ER120" s="2562"/>
      <c r="ES120" s="2562"/>
      <c r="ET120" s="2562"/>
      <c r="EU120" s="2562"/>
      <c r="EV120" s="2562"/>
      <c r="EW120" s="2562"/>
      <c r="EX120" s="2562"/>
      <c r="EY120" s="2562"/>
      <c r="EZ120" s="2562"/>
      <c r="FA120" s="2562"/>
      <c r="FB120" s="2562"/>
      <c r="FC120" s="2562"/>
      <c r="FD120" s="2562"/>
      <c r="FE120" s="2562"/>
      <c r="FF120" s="2562"/>
      <c r="FG120" s="2562"/>
      <c r="FH120" s="2562"/>
      <c r="FI120" s="2562"/>
      <c r="FJ120" s="2562"/>
      <c r="FK120" s="2562"/>
      <c r="FL120" s="2562"/>
      <c r="FO120"/>
      <c r="FP120"/>
      <c r="FQ120"/>
      <c r="FR120"/>
      <c r="FS120"/>
      <c r="FT120"/>
      <c r="FU120" s="261"/>
      <c r="FV120" s="261"/>
      <c r="FW120" s="261"/>
      <c r="FX120" s="261"/>
    </row>
    <row r="121" spans="1:180" s="264" customFormat="1" ht="11.25" customHeight="1"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3"/>
      <c r="P121" s="253"/>
      <c r="Q121" s="253"/>
      <c r="R121" s="253"/>
      <c r="S121" s="253"/>
      <c r="T121" s="253"/>
      <c r="U121" s="253"/>
      <c r="V121" s="253"/>
      <c r="W121" s="253"/>
      <c r="X121" s="253"/>
      <c r="Y121" s="253"/>
      <c r="Z121" s="253"/>
      <c r="AA121" s="253"/>
      <c r="AB121" s="253"/>
      <c r="AC121" s="253"/>
      <c r="AD121" s="253"/>
      <c r="AE121" s="253"/>
      <c r="AF121" s="253"/>
      <c r="AG121" s="253"/>
      <c r="AH121" s="253"/>
      <c r="AI121" s="253"/>
      <c r="AJ121" s="253"/>
      <c r="AK121" s="253"/>
      <c r="AL121" s="253"/>
      <c r="AM121" s="253"/>
      <c r="AN121" s="253"/>
      <c r="AO121" s="253"/>
      <c r="AP121" s="253"/>
      <c r="AQ121" s="253"/>
      <c r="AR121" s="253"/>
      <c r="AS121" s="253"/>
      <c r="AT121" s="253"/>
      <c r="AU121" s="253"/>
      <c r="AV121" s="253"/>
      <c r="AW121" s="253"/>
      <c r="AX121" s="253"/>
      <c r="AY121" s="253"/>
      <c r="AZ121" s="253"/>
      <c r="BA121" s="253"/>
      <c r="BB121" s="253"/>
      <c r="BC121" s="253"/>
      <c r="BD121" s="253"/>
      <c r="BE121" s="253"/>
      <c r="BF121" s="253"/>
      <c r="BG121" s="253"/>
      <c r="BH121" s="253"/>
      <c r="BI121" s="253"/>
      <c r="BJ121" s="253"/>
      <c r="BK121" s="253"/>
      <c r="BL121" s="253"/>
      <c r="BM121" s="253"/>
      <c r="BN121" s="253"/>
      <c r="BO121" s="253"/>
      <c r="BP121" s="253"/>
      <c r="BQ121" s="253"/>
      <c r="BR121" s="253"/>
      <c r="BS121" s="253"/>
      <c r="BT121" s="253"/>
      <c r="BU121" s="253"/>
      <c r="BV121" s="253"/>
      <c r="BW121" s="253"/>
      <c r="BX121" s="253"/>
      <c r="BY121" s="253"/>
      <c r="BZ121" s="253"/>
      <c r="DC121" s="494"/>
      <c r="DD121" s="494"/>
      <c r="DE121" s="494"/>
      <c r="DF121" s="494"/>
      <c r="DG121" s="494"/>
      <c r="DH121" s="494"/>
      <c r="DI121" s="494"/>
      <c r="DJ121" s="494"/>
      <c r="DK121" s="494"/>
      <c r="DL121" s="494"/>
      <c r="DM121" s="494"/>
      <c r="DN121" s="494"/>
      <c r="DO121" s="494"/>
      <c r="DP121" s="494"/>
      <c r="DQ121" s="494"/>
      <c r="DR121" s="494"/>
      <c r="DS121" s="494"/>
      <c r="DT121" s="494"/>
      <c r="DU121" s="494"/>
      <c r="DV121" s="494"/>
      <c r="DW121" s="494"/>
      <c r="DX121" s="494"/>
      <c r="DY121" s="494"/>
      <c r="DZ121" s="494"/>
      <c r="EB121" s="494"/>
      <c r="EC121" s="494"/>
      <c r="EH121" s="2562"/>
      <c r="EI121" s="2562"/>
      <c r="EJ121" s="2562"/>
      <c r="EK121" s="2562"/>
      <c r="EL121" s="2562"/>
      <c r="EM121" s="2562"/>
      <c r="EN121" s="2562"/>
      <c r="EO121" s="2562"/>
      <c r="EP121" s="2562"/>
      <c r="EQ121" s="2562"/>
      <c r="ER121" s="2562"/>
      <c r="ES121" s="2562"/>
      <c r="ET121" s="2562"/>
      <c r="EU121" s="2562"/>
      <c r="EV121" s="2562"/>
      <c r="EW121" s="2562"/>
      <c r="EX121" s="2562"/>
      <c r="EY121" s="2562"/>
      <c r="EZ121" s="2562"/>
      <c r="FA121" s="2562"/>
      <c r="FB121" s="2562"/>
      <c r="FC121" s="2562"/>
      <c r="FD121" s="2562"/>
      <c r="FE121" s="2562"/>
      <c r="FF121" s="2562"/>
      <c r="FG121" s="2562"/>
      <c r="FH121" s="2562"/>
      <c r="FI121" s="2562"/>
      <c r="FJ121" s="2562"/>
      <c r="FK121" s="2562"/>
      <c r="FL121" s="2562"/>
      <c r="FO121"/>
      <c r="FP121"/>
      <c r="FQ121"/>
      <c r="FR121"/>
      <c r="FS121"/>
      <c r="FT121"/>
      <c r="FU121" s="261"/>
      <c r="FV121" s="261"/>
      <c r="FW121" s="261"/>
      <c r="FX121" s="261"/>
    </row>
    <row r="122" spans="1:180" s="264" customFormat="1" ht="11.25" customHeight="1">
      <c r="A122" s="3048" t="s">
        <v>1472</v>
      </c>
      <c r="B122" s="552"/>
      <c r="C122" s="552"/>
      <c r="D122" s="552"/>
      <c r="E122" s="552"/>
      <c r="F122" s="552"/>
      <c r="G122" s="552"/>
      <c r="H122" s="552"/>
      <c r="I122" s="552"/>
      <c r="J122" s="552"/>
      <c r="K122" s="552"/>
      <c r="L122" s="552"/>
      <c r="M122" s="552"/>
      <c r="N122" s="552"/>
      <c r="O122" s="552"/>
      <c r="P122" s="552"/>
      <c r="Q122" s="552"/>
      <c r="R122" s="552"/>
      <c r="S122" s="552"/>
      <c r="T122" s="552"/>
      <c r="U122" s="552"/>
      <c r="V122" s="552"/>
      <c r="W122" s="552"/>
      <c r="X122" s="552"/>
      <c r="Y122" s="552"/>
      <c r="Z122" s="552"/>
      <c r="AA122" s="552"/>
      <c r="AB122" s="552"/>
      <c r="AC122" s="552"/>
      <c r="AD122" s="552"/>
      <c r="AE122" s="552"/>
      <c r="AF122" s="552"/>
      <c r="AG122" s="552"/>
      <c r="AH122" s="552"/>
      <c r="AI122" s="552"/>
      <c r="AJ122" s="552"/>
      <c r="AK122" s="552"/>
      <c r="AL122" s="552"/>
      <c r="AM122" s="552"/>
      <c r="AN122" s="552"/>
      <c r="AO122" s="552"/>
      <c r="AP122" s="552"/>
      <c r="AQ122" s="552"/>
      <c r="AR122" s="552"/>
      <c r="AS122" s="552"/>
      <c r="AT122" s="552"/>
      <c r="AU122" s="552"/>
      <c r="AV122" s="552"/>
      <c r="AW122" s="552"/>
      <c r="AX122" s="552"/>
      <c r="AY122" s="552"/>
      <c r="AZ122" s="552"/>
      <c r="BA122" s="552"/>
      <c r="BB122" s="552"/>
      <c r="BC122" s="552"/>
      <c r="BD122" s="552"/>
      <c r="BE122" s="552"/>
      <c r="BF122" s="552"/>
      <c r="BG122" s="552"/>
      <c r="BH122" s="552"/>
      <c r="BI122" s="552"/>
      <c r="BJ122" s="552"/>
      <c r="BK122" s="552"/>
      <c r="BL122" s="552"/>
      <c r="BM122" s="552"/>
      <c r="BN122" s="552"/>
      <c r="BO122" s="552"/>
      <c r="BP122" s="552"/>
      <c r="BQ122" s="552"/>
      <c r="BR122" s="552"/>
      <c r="BS122" s="552"/>
      <c r="BT122" s="552"/>
      <c r="BU122" s="552"/>
      <c r="BV122" s="552"/>
      <c r="BW122" s="552"/>
      <c r="BX122" s="552"/>
      <c r="BY122" s="552"/>
      <c r="BZ122" s="552"/>
      <c r="CA122" s="552"/>
      <c r="CB122" s="552"/>
      <c r="CC122" s="552"/>
      <c r="CD122" s="552"/>
      <c r="CE122" s="552"/>
      <c r="CF122" s="552"/>
      <c r="CG122" s="552"/>
      <c r="CH122" s="552"/>
      <c r="CI122" s="552"/>
      <c r="CJ122" s="552"/>
      <c r="CK122" s="552"/>
      <c r="CL122" s="552"/>
      <c r="CM122" s="552"/>
      <c r="CN122" s="552"/>
      <c r="CO122" s="552"/>
      <c r="CP122" s="552"/>
      <c r="CQ122" s="552"/>
      <c r="CR122" s="552"/>
      <c r="CS122" s="552"/>
      <c r="CT122" s="552"/>
      <c r="CU122" s="552"/>
      <c r="CV122" s="552"/>
      <c r="CW122" s="552"/>
      <c r="CX122" s="552"/>
      <c r="CY122" s="552"/>
      <c r="CZ122" s="552"/>
      <c r="DA122" s="552"/>
      <c r="DB122" s="552"/>
      <c r="DC122" s="3049"/>
      <c r="DD122" s="3049"/>
      <c r="DE122" s="3049"/>
      <c r="DF122" s="3049"/>
      <c r="DG122" s="3049"/>
      <c r="DH122" s="3049"/>
      <c r="DI122" s="3049"/>
      <c r="DJ122" s="3049"/>
      <c r="DK122" s="3049"/>
      <c r="DL122" s="3049"/>
      <c r="DM122" s="3049"/>
      <c r="DN122" s="3049"/>
      <c r="DO122" s="3049"/>
      <c r="DP122" s="3049"/>
      <c r="DQ122" s="3049"/>
      <c r="DR122" s="3049"/>
      <c r="DS122" s="3049"/>
      <c r="DT122" s="3049"/>
      <c r="DU122" s="3049"/>
      <c r="DV122" s="3049"/>
      <c r="DW122" s="3049"/>
      <c r="DX122" s="3049"/>
      <c r="DY122" s="3049"/>
      <c r="DZ122" s="3049"/>
      <c r="EA122" s="552"/>
      <c r="EB122" s="3049"/>
      <c r="EC122" s="3049"/>
      <c r="ED122" s="552"/>
      <c r="EE122" s="552"/>
      <c r="EF122" s="552"/>
      <c r="EG122" s="552"/>
      <c r="EH122" s="552"/>
      <c r="EI122" s="3050"/>
      <c r="EJ122" s="3050"/>
      <c r="EK122" s="3050"/>
      <c r="EL122" s="3050"/>
      <c r="EM122" s="3050"/>
      <c r="EN122" s="3050"/>
      <c r="EO122" s="3050"/>
      <c r="EP122" s="3050"/>
      <c r="EQ122" s="3050"/>
      <c r="ER122" s="3050"/>
      <c r="ES122" s="552"/>
      <c r="ET122" s="3050">
        <v>15000</v>
      </c>
      <c r="EU122" s="552">
        <f>ET122-EU124</f>
        <v>15000</v>
      </c>
      <c r="EV122" s="552">
        <f>EU122-EV124</f>
        <v>15000</v>
      </c>
      <c r="EW122" s="552"/>
      <c r="EX122" s="552">
        <f>EV122-EX124</f>
        <v>13800</v>
      </c>
      <c r="EY122" s="552">
        <f t="shared" ref="EY122:FA122" si="124">EX122-EY124</f>
        <v>13800</v>
      </c>
      <c r="EZ122" s="552">
        <f t="shared" si="124"/>
        <v>13800</v>
      </c>
      <c r="FA122" s="552">
        <f t="shared" si="124"/>
        <v>13800</v>
      </c>
      <c r="FB122" s="552"/>
      <c r="FC122" s="552">
        <f>FA122-FC124</f>
        <v>12600</v>
      </c>
      <c r="FD122" s="552">
        <f t="shared" ref="FD122:FF122" si="125">FC122-FD124</f>
        <v>12600</v>
      </c>
      <c r="FE122" s="552">
        <f t="shared" si="125"/>
        <v>12600</v>
      </c>
      <c r="FF122" s="552">
        <f t="shared" si="125"/>
        <v>12600</v>
      </c>
      <c r="FG122" s="3051"/>
      <c r="FH122" s="552">
        <f>FF122-FH124</f>
        <v>11400</v>
      </c>
      <c r="FI122" s="552">
        <f t="shared" ref="FI122" si="126">FH122-FI124</f>
        <v>11400</v>
      </c>
      <c r="FJ122" s="552">
        <f t="shared" ref="FJ122" si="127">FI122-FJ124</f>
        <v>11400</v>
      </c>
      <c r="FK122" s="552">
        <f t="shared" ref="FK122" si="128">FJ122-FK124</f>
        <v>11400</v>
      </c>
      <c r="FL122" s="3051"/>
      <c r="FO122"/>
      <c r="FP122"/>
      <c r="FQ122"/>
      <c r="FR122"/>
      <c r="FS122"/>
      <c r="FT122"/>
      <c r="FU122" s="261"/>
      <c r="FV122" s="261"/>
      <c r="FW122" s="261"/>
      <c r="FX122" s="261"/>
    </row>
    <row r="123" spans="1:180" s="264" customFormat="1" ht="11.25" customHeight="1">
      <c r="D123" s="253"/>
      <c r="E123" s="253"/>
      <c r="F123" s="253"/>
      <c r="G123" s="253"/>
      <c r="H123" s="253"/>
      <c r="I123" s="253"/>
      <c r="J123" s="253"/>
      <c r="K123" s="253"/>
      <c r="L123" s="253"/>
      <c r="M123" s="253"/>
      <c r="N123" s="253"/>
      <c r="O123" s="253"/>
      <c r="P123" s="253"/>
      <c r="Q123" s="253"/>
      <c r="R123" s="253"/>
      <c r="S123" s="253"/>
      <c r="T123" s="253"/>
      <c r="U123" s="253"/>
      <c r="V123" s="253"/>
      <c r="W123" s="253"/>
      <c r="X123" s="253"/>
      <c r="Y123" s="253"/>
      <c r="Z123" s="253"/>
      <c r="AA123" s="253"/>
      <c r="AB123" s="253"/>
      <c r="AC123" s="253"/>
      <c r="AD123" s="253"/>
      <c r="AE123" s="253"/>
      <c r="AF123" s="253"/>
      <c r="AG123" s="253"/>
      <c r="AH123" s="253"/>
      <c r="AI123" s="253"/>
      <c r="AJ123" s="253"/>
      <c r="AK123" s="253"/>
      <c r="AL123" s="253"/>
      <c r="AM123" s="253"/>
      <c r="AN123" s="253"/>
      <c r="AO123" s="253"/>
      <c r="AP123" s="253"/>
      <c r="AQ123" s="253"/>
      <c r="AR123" s="253"/>
      <c r="AS123" s="253"/>
      <c r="AT123" s="253"/>
      <c r="AU123" s="253"/>
      <c r="AV123" s="253"/>
      <c r="AW123" s="253"/>
      <c r="AX123" s="253"/>
      <c r="AY123" s="253"/>
      <c r="AZ123" s="253"/>
      <c r="BA123" s="253"/>
      <c r="BB123" s="253"/>
      <c r="BC123" s="253"/>
      <c r="BD123" s="253"/>
      <c r="BE123" s="253"/>
      <c r="BF123" s="253"/>
      <c r="BG123" s="253"/>
      <c r="BH123" s="253"/>
      <c r="BI123" s="253"/>
      <c r="BJ123" s="253"/>
      <c r="BK123" s="253"/>
      <c r="BL123" s="253"/>
      <c r="BM123" s="253"/>
      <c r="BN123" s="253"/>
      <c r="BO123" s="253"/>
      <c r="BP123" s="253"/>
      <c r="BQ123" s="253"/>
      <c r="BR123" s="253"/>
      <c r="BS123" s="253"/>
      <c r="BT123" s="253"/>
      <c r="BU123" s="253"/>
      <c r="BV123" s="253"/>
      <c r="BW123" s="253"/>
      <c r="BX123" s="253"/>
      <c r="BY123" s="253"/>
      <c r="BZ123" s="253"/>
      <c r="DC123" s="494"/>
      <c r="DD123" s="494"/>
      <c r="DE123" s="494"/>
      <c r="DF123" s="494"/>
      <c r="DG123" s="494"/>
      <c r="DH123" s="494"/>
      <c r="DI123" s="494"/>
      <c r="DJ123" s="494"/>
      <c r="DK123" s="494"/>
      <c r="DL123" s="494"/>
      <c r="DM123" s="494"/>
      <c r="DN123" s="494"/>
      <c r="DO123" s="494"/>
      <c r="DP123" s="494"/>
      <c r="DQ123" s="494"/>
      <c r="DR123" s="494"/>
      <c r="DS123" s="494"/>
      <c r="DT123" s="494"/>
      <c r="DU123" s="494"/>
      <c r="DV123" s="494"/>
      <c r="DW123" s="494"/>
      <c r="DX123" s="494"/>
      <c r="DY123" s="494"/>
      <c r="DZ123" s="494"/>
      <c r="EB123" s="494"/>
      <c r="EC123" s="494"/>
      <c r="EI123" s="2560"/>
      <c r="EJ123" s="2560"/>
      <c r="EK123" s="2560"/>
      <c r="EL123" s="2560"/>
      <c r="EM123" s="2560"/>
      <c r="EN123" s="2560"/>
      <c r="EO123" s="2560"/>
      <c r="EP123" s="2560"/>
      <c r="EQ123" s="2560"/>
      <c r="ER123" s="2560"/>
      <c r="ET123" s="2560"/>
      <c r="EU123" s="264">
        <v>0</v>
      </c>
      <c r="EV123" s="264">
        <v>0</v>
      </c>
      <c r="EX123" s="264">
        <v>0.08</v>
      </c>
      <c r="FB123" s="3054">
        <f>SUM(EX124:FA124)/$ET$122</f>
        <v>0.08</v>
      </c>
      <c r="FC123" s="264">
        <v>0.08</v>
      </c>
      <c r="FD123" s="264">
        <v>0</v>
      </c>
      <c r="FE123" s="264">
        <v>0</v>
      </c>
      <c r="FF123" s="264">
        <v>0</v>
      </c>
      <c r="FG123" s="3054">
        <f>SUM(FC124:FF124)/$ET$122</f>
        <v>0.08</v>
      </c>
      <c r="FH123" s="264">
        <v>0.08</v>
      </c>
      <c r="FI123" s="264">
        <v>0</v>
      </c>
      <c r="FJ123" s="264">
        <v>0</v>
      </c>
      <c r="FK123" s="264">
        <v>0</v>
      </c>
      <c r="FL123" s="3054">
        <f>SUM(FH124:FK124)/$ET$122</f>
        <v>0.08</v>
      </c>
      <c r="FO123"/>
      <c r="FP123"/>
      <c r="FQ123"/>
      <c r="FR123"/>
      <c r="FS123"/>
      <c r="FT123"/>
      <c r="FU123" s="261"/>
      <c r="FV123" s="261"/>
      <c r="FW123" s="261"/>
      <c r="FX123" s="261"/>
    </row>
    <row r="124" spans="1:180" s="264" customFormat="1" ht="11.25" customHeight="1">
      <c r="D124" s="253"/>
      <c r="E124" s="253"/>
      <c r="F124" s="253"/>
      <c r="G124" s="253"/>
      <c r="H124" s="253"/>
      <c r="I124" s="253"/>
      <c r="J124" s="253"/>
      <c r="K124" s="253"/>
      <c r="L124" s="253"/>
      <c r="M124" s="253"/>
      <c r="N124" s="253"/>
      <c r="O124" s="253"/>
      <c r="P124" s="253"/>
      <c r="Q124" s="253"/>
      <c r="R124" s="253"/>
      <c r="S124" s="253"/>
      <c r="T124" s="253"/>
      <c r="U124" s="253"/>
      <c r="V124" s="253"/>
      <c r="W124" s="253"/>
      <c r="X124" s="253"/>
      <c r="Y124" s="253"/>
      <c r="Z124" s="253"/>
      <c r="AA124" s="253"/>
      <c r="AB124" s="253"/>
      <c r="AC124" s="253"/>
      <c r="AD124" s="253"/>
      <c r="AE124" s="253"/>
      <c r="AF124" s="253"/>
      <c r="AG124" s="253"/>
      <c r="AH124" s="253"/>
      <c r="AI124" s="253"/>
      <c r="AJ124" s="253"/>
      <c r="AK124" s="253"/>
      <c r="AL124" s="253"/>
      <c r="AM124" s="253"/>
      <c r="AN124" s="253"/>
      <c r="AO124" s="253"/>
      <c r="AP124" s="253"/>
      <c r="AQ124" s="253"/>
      <c r="AR124" s="253"/>
      <c r="AS124" s="253"/>
      <c r="AT124" s="253"/>
      <c r="AU124" s="253"/>
      <c r="AV124" s="253"/>
      <c r="AW124" s="253"/>
      <c r="AX124" s="253"/>
      <c r="AY124" s="253"/>
      <c r="AZ124" s="253"/>
      <c r="BA124" s="253"/>
      <c r="BB124" s="253"/>
      <c r="BC124" s="253"/>
      <c r="BD124" s="253"/>
      <c r="BE124" s="253"/>
      <c r="BF124" s="253"/>
      <c r="BG124" s="253"/>
      <c r="BH124" s="253"/>
      <c r="BI124" s="253"/>
      <c r="BJ124" s="253"/>
      <c r="BK124" s="253"/>
      <c r="BL124" s="253"/>
      <c r="BM124" s="253"/>
      <c r="BN124" s="253"/>
      <c r="BO124" s="253"/>
      <c r="BP124" s="253"/>
      <c r="BQ124" s="253"/>
      <c r="BR124" s="253"/>
      <c r="BS124" s="253"/>
      <c r="BT124" s="253"/>
      <c r="BU124" s="253"/>
      <c r="BV124" s="253"/>
      <c r="BW124" s="253"/>
      <c r="BX124" s="253"/>
      <c r="BY124" s="253"/>
      <c r="BZ124" s="253"/>
      <c r="CA124" s="253"/>
      <c r="CB124" s="253"/>
      <c r="CC124" s="253"/>
      <c r="CD124" s="253"/>
      <c r="CE124" s="253"/>
      <c r="DC124" s="494"/>
      <c r="DD124" s="494"/>
      <c r="DE124" s="494"/>
      <c r="DF124" s="494"/>
      <c r="DG124" s="494"/>
      <c r="DH124" s="494"/>
      <c r="DI124" s="494"/>
      <c r="DJ124" s="494"/>
      <c r="DK124" s="494"/>
      <c r="DL124" s="494"/>
      <c r="DM124" s="494"/>
      <c r="DN124" s="494"/>
      <c r="DO124" s="494"/>
      <c r="DP124" s="494"/>
      <c r="DQ124" s="494"/>
      <c r="DR124" s="494"/>
      <c r="DS124" s="494"/>
      <c r="DT124" s="494"/>
      <c r="DU124" s="494"/>
      <c r="DV124" s="494"/>
      <c r="DW124" s="494"/>
      <c r="DX124" s="494"/>
      <c r="DY124" s="494"/>
      <c r="DZ124" s="494"/>
      <c r="EB124" s="494"/>
      <c r="EC124" s="494"/>
      <c r="EI124" s="2560"/>
      <c r="EJ124" s="2560"/>
      <c r="EK124" s="2560"/>
      <c r="EL124" s="2560"/>
      <c r="EM124" s="2560"/>
      <c r="EN124" s="2560"/>
      <c r="EO124" s="2560"/>
      <c r="EP124" s="2560"/>
      <c r="EQ124" s="2560"/>
      <c r="ER124" s="2560"/>
      <c r="ET124" s="2560"/>
      <c r="EU124" s="264">
        <f>EU123*$ET$122</f>
        <v>0</v>
      </c>
      <c r="EV124" s="264">
        <f>EV123*$ET$122</f>
        <v>0</v>
      </c>
      <c r="EX124" s="264">
        <f t="shared" ref="EX124:FA124" si="129">EX123*$ET$122</f>
        <v>1200</v>
      </c>
      <c r="EY124" s="264">
        <f t="shared" si="129"/>
        <v>0</v>
      </c>
      <c r="EZ124" s="264">
        <f t="shared" si="129"/>
        <v>0</v>
      </c>
      <c r="FA124" s="264">
        <f t="shared" si="129"/>
        <v>0</v>
      </c>
      <c r="FC124" s="264">
        <f t="shared" ref="FC124" si="130">FC123*$ET$122</f>
        <v>1200</v>
      </c>
      <c r="FD124" s="264">
        <f t="shared" ref="FD124" si="131">FD123*$ET$122</f>
        <v>0</v>
      </c>
      <c r="FE124" s="264">
        <f t="shared" ref="FE124" si="132">FE123*$ET$122</f>
        <v>0</v>
      </c>
      <c r="FF124" s="264">
        <f t="shared" ref="FF124" si="133">FF123*$ET$122</f>
        <v>0</v>
      </c>
      <c r="FH124" s="264">
        <f t="shared" ref="FH124:FK124" si="134">FH123*$ET$122</f>
        <v>1200</v>
      </c>
      <c r="FI124" s="264">
        <f t="shared" si="134"/>
        <v>0</v>
      </c>
      <c r="FJ124" s="264">
        <f t="shared" si="134"/>
        <v>0</v>
      </c>
      <c r="FK124" s="264">
        <f t="shared" si="134"/>
        <v>0</v>
      </c>
      <c r="FO124"/>
      <c r="FP124"/>
      <c r="FQ124"/>
      <c r="FR124"/>
      <c r="FS124"/>
      <c r="FT124"/>
      <c r="FU124" s="261"/>
      <c r="FV124" s="261"/>
      <c r="FW124" s="261"/>
      <c r="FX124" s="261"/>
    </row>
    <row r="125" spans="1:180" s="264" customFormat="1" ht="11.25" customHeight="1">
      <c r="D125" s="253"/>
      <c r="E125" s="253"/>
      <c r="F125" s="253"/>
      <c r="G125" s="253"/>
      <c r="H125" s="253"/>
      <c r="I125" s="253"/>
      <c r="J125" s="253"/>
      <c r="K125" s="253"/>
      <c r="L125" s="253"/>
      <c r="M125" s="253"/>
      <c r="N125" s="253"/>
      <c r="O125" s="253"/>
      <c r="P125" s="253"/>
      <c r="Q125" s="253"/>
      <c r="R125" s="253"/>
      <c r="S125" s="253"/>
      <c r="T125" s="253"/>
      <c r="U125" s="253"/>
      <c r="V125" s="253"/>
      <c r="W125" s="253"/>
      <c r="X125" s="253"/>
      <c r="Y125" s="253"/>
      <c r="Z125" s="253"/>
      <c r="AA125" s="253"/>
      <c r="AB125" s="253"/>
      <c r="AC125" s="253"/>
      <c r="AD125" s="253"/>
      <c r="AE125" s="253"/>
      <c r="AF125" s="253"/>
      <c r="AG125" s="253"/>
      <c r="AH125" s="253"/>
      <c r="AI125" s="253"/>
      <c r="AJ125" s="253"/>
      <c r="AK125" s="253"/>
      <c r="AL125" s="253"/>
      <c r="AM125" s="253"/>
      <c r="AN125" s="253"/>
      <c r="AO125" s="253"/>
      <c r="AP125" s="253"/>
      <c r="AQ125" s="253"/>
      <c r="AR125" s="253"/>
      <c r="AS125" s="253"/>
      <c r="AT125" s="253"/>
      <c r="AU125" s="253"/>
      <c r="AV125" s="253"/>
      <c r="AW125" s="253"/>
      <c r="AX125" s="253"/>
      <c r="AY125" s="253"/>
      <c r="AZ125" s="253"/>
      <c r="BA125" s="253"/>
      <c r="BB125" s="253"/>
      <c r="BC125" s="253"/>
      <c r="BD125" s="253"/>
      <c r="BE125" s="253"/>
      <c r="BF125" s="253"/>
      <c r="BG125" s="253"/>
      <c r="BH125" s="253"/>
      <c r="BI125" s="253"/>
      <c r="BJ125" s="253"/>
      <c r="BK125" s="253"/>
      <c r="BL125" s="253"/>
      <c r="BM125" s="253"/>
      <c r="BN125" s="253"/>
      <c r="BO125" s="253"/>
      <c r="BP125" s="253"/>
      <c r="BQ125" s="253"/>
      <c r="BR125" s="253"/>
      <c r="BS125" s="253"/>
      <c r="BT125" s="253"/>
      <c r="BU125" s="253"/>
      <c r="BV125" s="253"/>
      <c r="BW125" s="253"/>
      <c r="BX125" s="253"/>
      <c r="BY125" s="253"/>
      <c r="BZ125" s="253"/>
      <c r="DC125" s="494"/>
      <c r="DD125" s="494"/>
      <c r="DE125" s="494"/>
      <c r="DF125" s="494"/>
      <c r="DG125" s="494"/>
      <c r="DH125" s="494"/>
      <c r="DI125" s="494"/>
      <c r="DJ125" s="494"/>
      <c r="DK125" s="494"/>
      <c r="DL125" s="494"/>
      <c r="DM125" s="494"/>
      <c r="DN125" s="494"/>
      <c r="DP125" s="494"/>
      <c r="DQ125" s="494"/>
      <c r="DR125" s="494"/>
      <c r="DS125" s="494"/>
      <c r="DU125" s="494"/>
      <c r="DV125" s="494"/>
      <c r="DW125" s="494"/>
      <c r="DX125" s="494"/>
      <c r="DZ125" s="494"/>
      <c r="EB125" s="494"/>
      <c r="EC125" s="494"/>
      <c r="EI125" s="2560"/>
      <c r="EJ125" s="2560"/>
      <c r="EK125" s="2560"/>
      <c r="EL125" s="2560"/>
      <c r="EM125" s="2560"/>
      <c r="EN125" s="2560"/>
      <c r="EO125" s="2560"/>
      <c r="EP125" s="2560"/>
      <c r="EQ125" s="2560"/>
      <c r="ER125" s="2560"/>
      <c r="ET125" s="2560"/>
      <c r="FO125"/>
      <c r="FP125"/>
      <c r="FQ125"/>
      <c r="FR125"/>
      <c r="FS125"/>
      <c r="FT125"/>
      <c r="FU125" s="261"/>
      <c r="FV125" s="261"/>
      <c r="FW125" s="261"/>
      <c r="FX125" s="261"/>
    </row>
    <row r="126" spans="1:180" customFormat="1" ht="11.25" customHeight="1"/>
    <row r="127" spans="1:180" ht="11.25" customHeight="1">
      <c r="EI127" s="2765"/>
      <c r="EJ127" s="2765"/>
      <c r="EK127" s="2765"/>
      <c r="EL127" s="2765"/>
      <c r="EM127" s="2765"/>
      <c r="EN127" s="2765"/>
      <c r="EO127" s="2765"/>
      <c r="EP127" s="2765"/>
      <c r="EQ127" s="2765"/>
      <c r="ER127" s="2765"/>
      <c r="ES127" s="757"/>
      <c r="ET127" s="757"/>
      <c r="EU127" s="757"/>
      <c r="EV127" s="757"/>
      <c r="EW127" s="757"/>
      <c r="EX127" s="757"/>
      <c r="EY127" s="757"/>
      <c r="EZ127" s="757"/>
      <c r="FA127" s="757"/>
      <c r="FB127" s="757"/>
      <c r="FC127" s="757"/>
      <c r="FD127" s="757"/>
      <c r="FE127" s="757"/>
      <c r="FF127" s="757"/>
      <c r="FG127" s="757"/>
      <c r="FH127" s="757"/>
      <c r="FI127" s="757"/>
      <c r="FJ127" s="757"/>
      <c r="FK127" s="757"/>
      <c r="FL127" s="757"/>
    </row>
    <row r="128" spans="1:180" ht="11.25" customHeight="1">
      <c r="EI128" s="2765"/>
      <c r="EJ128" s="2765"/>
      <c r="EK128" s="2765"/>
      <c r="EL128" s="2765"/>
      <c r="EM128" s="2765"/>
      <c r="EN128" s="2765"/>
      <c r="EO128" s="2765"/>
      <c r="EP128" s="2765"/>
      <c r="EQ128" s="2765"/>
      <c r="ER128" s="2765"/>
      <c r="ES128" s="757"/>
      <c r="ET128" s="757"/>
      <c r="EU128" s="757"/>
      <c r="EV128" s="757"/>
      <c r="EW128" s="757"/>
      <c r="EX128" s="757"/>
      <c r="EY128" s="757"/>
      <c r="EZ128" s="757"/>
      <c r="FA128" s="757"/>
      <c r="FB128" s="757"/>
      <c r="FC128" s="757"/>
      <c r="FD128" s="757"/>
      <c r="FE128" s="757"/>
      <c r="FF128" s="757"/>
      <c r="FG128" s="757"/>
      <c r="FH128" s="757"/>
      <c r="FI128" s="757"/>
      <c r="FJ128" s="757"/>
      <c r="FK128" s="757"/>
      <c r="FL128" s="757"/>
    </row>
    <row r="129" spans="139:168" ht="11.25" customHeight="1">
      <c r="EI129" s="2765"/>
      <c r="EJ129" s="2765"/>
      <c r="EK129" s="2765"/>
      <c r="EL129" s="2765"/>
      <c r="EM129" s="2765"/>
      <c r="EN129" s="2765"/>
      <c r="EO129" s="2765"/>
      <c r="EP129" s="2765"/>
      <c r="EQ129" s="2765"/>
      <c r="ER129" s="2765"/>
      <c r="ES129" s="757"/>
      <c r="ET129" s="757"/>
      <c r="EU129" s="757"/>
      <c r="EV129" s="757"/>
      <c r="EW129" s="757"/>
      <c r="EX129" s="757"/>
      <c r="EY129" s="757"/>
      <c r="EZ129" s="757"/>
      <c r="FA129" s="757"/>
      <c r="FB129" s="757"/>
      <c r="FC129" s="757"/>
      <c r="FD129" s="757"/>
      <c r="FE129" s="757"/>
      <c r="FF129" s="757"/>
      <c r="FG129" s="757"/>
      <c r="FH129" s="757"/>
      <c r="FI129" s="757"/>
      <c r="FJ129" s="757"/>
      <c r="FK129" s="757"/>
      <c r="FL129" s="757"/>
    </row>
    <row r="130" spans="139:168" ht="11.25" customHeight="1">
      <c r="EI130" s="2765"/>
      <c r="EJ130" s="2765"/>
      <c r="EK130" s="2765"/>
      <c r="EL130" s="2765"/>
      <c r="EM130" s="2765"/>
      <c r="EN130" s="2765"/>
      <c r="EO130" s="2765"/>
      <c r="EP130" s="2765"/>
      <c r="EQ130" s="2765"/>
      <c r="ER130" s="2765"/>
      <c r="ES130" s="757"/>
      <c r="ET130" s="757"/>
      <c r="EU130" s="757"/>
      <c r="EV130" s="757"/>
      <c r="EW130" s="757"/>
      <c r="EX130" s="757"/>
      <c r="EY130" s="757"/>
      <c r="EZ130" s="757"/>
      <c r="FA130" s="757"/>
      <c r="FB130" s="757"/>
      <c r="FC130" s="757"/>
      <c r="FD130" s="757"/>
      <c r="FE130" s="757"/>
      <c r="FF130" s="757"/>
      <c r="FG130" s="757"/>
      <c r="FH130" s="757"/>
      <c r="FI130" s="757"/>
      <c r="FJ130" s="757"/>
      <c r="FK130" s="757"/>
      <c r="FL130" s="757"/>
    </row>
    <row r="131" spans="139:168" ht="11.25" customHeight="1">
      <c r="EI131" s="2765"/>
      <c r="EJ131" s="2765"/>
      <c r="EK131" s="2765"/>
      <c r="EL131" s="2765"/>
      <c r="EM131" s="2765"/>
      <c r="EN131" s="2765"/>
      <c r="EO131" s="2765"/>
      <c r="EP131" s="2765"/>
      <c r="EQ131" s="2765"/>
      <c r="ER131" s="2765"/>
      <c r="ES131" s="757"/>
      <c r="ET131" s="757"/>
      <c r="EU131" s="757"/>
      <c r="EV131" s="757"/>
      <c r="EW131" s="757"/>
      <c r="EX131" s="757"/>
      <c r="EY131" s="757"/>
      <c r="EZ131" s="757"/>
      <c r="FA131" s="757"/>
      <c r="FB131" s="757"/>
      <c r="FC131" s="757"/>
      <c r="FD131" s="757"/>
      <c r="FE131" s="757"/>
      <c r="FF131" s="757"/>
      <c r="FG131" s="757"/>
      <c r="FH131" s="757"/>
      <c r="FI131" s="757"/>
      <c r="FJ131" s="757"/>
      <c r="FK131" s="757"/>
      <c r="FL131" s="757"/>
    </row>
    <row r="132" spans="139:168" ht="11.25" customHeight="1">
      <c r="EI132" s="2765"/>
      <c r="EJ132" s="2765"/>
      <c r="EK132" s="2765"/>
      <c r="EL132" s="2765"/>
      <c r="EM132" s="2765"/>
      <c r="EN132" s="2765"/>
      <c r="EO132" s="2765"/>
      <c r="EP132" s="2765"/>
      <c r="EQ132" s="2765"/>
      <c r="ER132" s="2765"/>
      <c r="ES132" s="757"/>
      <c r="ET132" s="757"/>
      <c r="EU132" s="757"/>
      <c r="EV132" s="757"/>
      <c r="EW132" s="757"/>
      <c r="EX132" s="757"/>
      <c r="EY132" s="757"/>
      <c r="EZ132" s="757"/>
      <c r="FA132" s="757"/>
      <c r="FB132" s="757"/>
      <c r="FC132" s="757"/>
      <c r="FD132" s="757"/>
      <c r="FE132" s="757"/>
      <c r="FF132" s="757"/>
      <c r="FG132" s="757"/>
      <c r="FH132" s="757"/>
      <c r="FI132" s="757"/>
      <c r="FJ132" s="757"/>
      <c r="FK132" s="757"/>
      <c r="FL132" s="757"/>
    </row>
    <row r="133" spans="139:168" ht="11.25" customHeight="1">
      <c r="EI133" s="2765"/>
      <c r="EJ133" s="2765"/>
      <c r="EK133" s="2765"/>
      <c r="EL133" s="2765"/>
      <c r="EM133" s="2765"/>
      <c r="EN133" s="2765"/>
      <c r="EO133" s="2765"/>
      <c r="EP133" s="2765"/>
      <c r="EQ133" s="2765"/>
      <c r="ER133" s="2765"/>
      <c r="ES133" s="757"/>
      <c r="ET133" s="757"/>
      <c r="EU133" s="757"/>
      <c r="EV133" s="757"/>
      <c r="EW133" s="757"/>
      <c r="EX133" s="757"/>
      <c r="EY133" s="757"/>
      <c r="EZ133" s="757"/>
      <c r="FA133" s="757"/>
      <c r="FB133" s="757"/>
      <c r="FC133" s="757"/>
      <c r="FD133" s="757"/>
      <c r="FE133" s="757"/>
      <c r="FF133" s="757"/>
      <c r="FG133" s="757"/>
      <c r="FH133" s="757"/>
      <c r="FI133" s="757"/>
      <c r="FJ133" s="757"/>
      <c r="FK133" s="757"/>
      <c r="FL133" s="757"/>
    </row>
    <row r="134" spans="139:168" ht="11.25" customHeight="1">
      <c r="EI134" s="2765"/>
      <c r="EJ134" s="2765"/>
      <c r="EK134" s="2765"/>
      <c r="EL134" s="2765"/>
      <c r="EM134" s="2765"/>
      <c r="EN134" s="2765"/>
      <c r="EO134" s="2765"/>
      <c r="EP134" s="2765"/>
      <c r="EQ134" s="2765"/>
      <c r="ER134" s="2765"/>
      <c r="ES134" s="757"/>
      <c r="ET134" s="757"/>
      <c r="EU134" s="757"/>
      <c r="EV134" s="757"/>
      <c r="EW134" s="757"/>
      <c r="EX134" s="757"/>
      <c r="EY134" s="757"/>
      <c r="EZ134" s="757"/>
      <c r="FA134" s="757"/>
      <c r="FB134" s="757"/>
      <c r="FC134" s="757"/>
      <c r="FD134" s="757"/>
      <c r="FE134" s="757"/>
      <c r="FF134" s="757"/>
      <c r="FG134" s="757"/>
      <c r="FH134" s="757"/>
      <c r="FI134" s="757"/>
      <c r="FJ134" s="757"/>
      <c r="FK134" s="757"/>
      <c r="FL134" s="757"/>
    </row>
    <row r="135" spans="139:168" ht="11.25" customHeight="1">
      <c r="EI135" s="2765"/>
      <c r="EJ135" s="2765"/>
      <c r="EK135" s="2765"/>
      <c r="EL135" s="2765"/>
      <c r="EM135" s="2765"/>
      <c r="EN135" s="2765"/>
      <c r="EO135" s="2765"/>
      <c r="EP135" s="2765"/>
      <c r="EQ135" s="2765"/>
      <c r="ER135" s="2765"/>
      <c r="ES135" s="757"/>
      <c r="ET135" s="757"/>
      <c r="EU135" s="757"/>
      <c r="EV135" s="757"/>
      <c r="EW135" s="757"/>
      <c r="EX135" s="757"/>
      <c r="EY135" s="757"/>
      <c r="EZ135" s="757"/>
      <c r="FA135" s="757"/>
      <c r="FB135" s="757"/>
      <c r="FC135" s="757"/>
      <c r="FD135" s="757"/>
      <c r="FE135" s="757"/>
      <c r="FF135" s="757"/>
      <c r="FG135" s="757"/>
      <c r="FH135" s="757"/>
      <c r="FI135" s="757"/>
      <c r="FJ135" s="757"/>
      <c r="FK135" s="757"/>
      <c r="FL135" s="757"/>
    </row>
    <row r="136" spans="139:168" ht="11.25" customHeight="1">
      <c r="EI136" s="2765"/>
      <c r="EJ136" s="2765"/>
      <c r="EK136" s="2765"/>
      <c r="EL136" s="2765"/>
      <c r="EM136" s="2765"/>
      <c r="EN136" s="2765"/>
      <c r="EO136" s="2765"/>
      <c r="EP136" s="2765"/>
      <c r="EQ136" s="2765"/>
      <c r="ER136" s="2765"/>
      <c r="ES136" s="757"/>
      <c r="ET136" s="757"/>
      <c r="EU136" s="757"/>
      <c r="EV136" s="757"/>
      <c r="EW136" s="757"/>
      <c r="EX136" s="757"/>
      <c r="EY136" s="757"/>
      <c r="EZ136" s="757"/>
      <c r="FA136" s="757"/>
      <c r="FB136" s="757"/>
      <c r="FC136" s="757"/>
      <c r="FD136" s="757"/>
      <c r="FE136" s="757"/>
      <c r="FF136" s="757"/>
      <c r="FG136" s="757"/>
      <c r="FH136" s="757"/>
      <c r="FI136" s="757"/>
      <c r="FJ136" s="757"/>
      <c r="FK136" s="757"/>
      <c r="FL136" s="757"/>
    </row>
    <row r="137" spans="139:168" ht="11.25" customHeight="1">
      <c r="EI137" s="2765"/>
      <c r="EJ137" s="2765"/>
      <c r="EK137" s="2765"/>
      <c r="EL137" s="2765"/>
      <c r="EM137" s="2765"/>
      <c r="EN137" s="2765"/>
      <c r="EO137" s="2765"/>
      <c r="EP137" s="2765"/>
      <c r="EQ137" s="2765"/>
      <c r="ER137" s="2765"/>
      <c r="ES137" s="757"/>
      <c r="ET137" s="757"/>
      <c r="EU137" s="757"/>
      <c r="EV137" s="757"/>
      <c r="EW137" s="757"/>
      <c r="EX137" s="757"/>
      <c r="EY137" s="757"/>
      <c r="EZ137" s="757"/>
      <c r="FA137" s="757"/>
      <c r="FB137" s="757"/>
      <c r="FC137" s="757"/>
      <c r="FD137" s="757"/>
      <c r="FE137" s="757"/>
      <c r="FF137" s="757"/>
      <c r="FG137" s="757"/>
      <c r="FH137" s="757"/>
      <c r="FI137" s="757"/>
      <c r="FJ137" s="757"/>
      <c r="FK137" s="757"/>
      <c r="FL137" s="757"/>
    </row>
    <row r="138" spans="139:168" ht="11.25" customHeight="1">
      <c r="EI138" s="2765"/>
      <c r="EJ138" s="2765"/>
      <c r="EK138" s="2765"/>
      <c r="EL138" s="2765"/>
      <c r="EM138" s="2765"/>
      <c r="EN138" s="2765"/>
      <c r="EO138" s="2765"/>
      <c r="EP138" s="2765"/>
      <c r="EQ138" s="2765"/>
      <c r="ER138" s="2765"/>
      <c r="ES138" s="757"/>
      <c r="ET138" s="757"/>
      <c r="EU138" s="757"/>
      <c r="EV138" s="757"/>
      <c r="EW138" s="757"/>
      <c r="EX138" s="757"/>
      <c r="EY138" s="757"/>
      <c r="EZ138" s="757"/>
      <c r="FA138" s="757"/>
      <c r="FB138" s="757"/>
      <c r="FC138" s="757"/>
      <c r="FD138" s="757"/>
      <c r="FE138" s="757"/>
      <c r="FF138" s="757"/>
      <c r="FG138" s="757"/>
      <c r="FH138" s="757"/>
      <c r="FI138" s="757"/>
      <c r="FJ138" s="757"/>
      <c r="FK138" s="757"/>
      <c r="FL138" s="757"/>
    </row>
    <row r="139" spans="139:168" ht="11.25" customHeight="1">
      <c r="EI139" s="2765"/>
      <c r="EJ139" s="2765"/>
      <c r="EK139" s="2765"/>
      <c r="EL139" s="2765"/>
      <c r="EM139" s="2765"/>
      <c r="EN139" s="2765"/>
      <c r="EO139" s="2765"/>
      <c r="EP139" s="2765"/>
      <c r="EQ139" s="2765"/>
      <c r="ER139" s="2765"/>
      <c r="ES139" s="757"/>
      <c r="ET139" s="757"/>
      <c r="EU139" s="757"/>
      <c r="EV139" s="757"/>
      <c r="EW139" s="757"/>
      <c r="EX139" s="757"/>
      <c r="EY139" s="757"/>
      <c r="EZ139" s="757"/>
      <c r="FA139" s="757"/>
      <c r="FB139" s="757"/>
      <c r="FC139" s="757"/>
      <c r="FD139" s="757"/>
      <c r="FE139" s="757"/>
      <c r="FF139" s="757"/>
      <c r="FG139" s="757"/>
      <c r="FH139" s="757"/>
      <c r="FI139" s="757"/>
      <c r="FJ139" s="757"/>
      <c r="FK139" s="757"/>
      <c r="FL139" s="757"/>
    </row>
    <row r="140" spans="139:168" ht="11.25" customHeight="1">
      <c r="EI140" s="2765"/>
      <c r="EJ140" s="2765"/>
      <c r="EK140" s="2765"/>
      <c r="EL140" s="2765"/>
      <c r="EM140" s="2765"/>
      <c r="EN140" s="2765"/>
      <c r="EO140" s="2765"/>
      <c r="EP140" s="2765"/>
      <c r="EQ140" s="2765"/>
      <c r="ER140" s="2765"/>
      <c r="ES140" s="757"/>
      <c r="ET140" s="757"/>
      <c r="EU140" s="757"/>
      <c r="EV140" s="757"/>
      <c r="EW140" s="757"/>
      <c r="EX140" s="757"/>
      <c r="EY140" s="757"/>
      <c r="EZ140" s="757"/>
      <c r="FA140" s="757"/>
      <c r="FB140" s="757"/>
      <c r="FC140" s="757"/>
      <c r="FD140" s="757"/>
      <c r="FE140" s="757"/>
      <c r="FF140" s="757"/>
      <c r="FG140" s="757"/>
      <c r="FH140" s="757"/>
      <c r="FI140" s="757"/>
      <c r="FJ140" s="757"/>
      <c r="FK140" s="757"/>
      <c r="FL140" s="757"/>
    </row>
    <row r="141" spans="139:168" ht="11.25" customHeight="1">
      <c r="EI141" s="2765"/>
      <c r="EJ141" s="2765"/>
      <c r="EK141" s="2765"/>
      <c r="EL141" s="2765"/>
      <c r="EM141" s="2765"/>
      <c r="EN141" s="2765"/>
      <c r="EO141" s="2765"/>
      <c r="EP141" s="2765"/>
      <c r="EQ141" s="2765"/>
      <c r="ER141" s="2765"/>
      <c r="ES141" s="757"/>
      <c r="ET141" s="757"/>
      <c r="EU141" s="757"/>
      <c r="EV141" s="757"/>
      <c r="EW141" s="757"/>
      <c r="EX141" s="757"/>
      <c r="EY141" s="757"/>
      <c r="EZ141" s="757"/>
      <c r="FA141" s="757"/>
      <c r="FB141" s="757"/>
      <c r="FC141" s="757"/>
      <c r="FD141" s="757"/>
      <c r="FE141" s="757"/>
      <c r="FF141" s="757"/>
      <c r="FG141" s="757"/>
      <c r="FH141" s="757"/>
      <c r="FI141" s="757"/>
      <c r="FJ141" s="757"/>
      <c r="FK141" s="757"/>
      <c r="FL141" s="757"/>
    </row>
    <row r="142" spans="139:168" ht="11.25" customHeight="1">
      <c r="EI142" s="2765"/>
      <c r="EJ142" s="2765"/>
      <c r="EK142" s="2765"/>
      <c r="EL142" s="2765"/>
      <c r="EM142" s="2765"/>
      <c r="EN142" s="2765"/>
      <c r="EO142" s="2765"/>
      <c r="EP142" s="2765"/>
      <c r="EQ142" s="2765"/>
      <c r="ER142" s="2765"/>
      <c r="ES142" s="757"/>
      <c r="ET142" s="757"/>
      <c r="EU142" s="757"/>
      <c r="EV142" s="757"/>
      <c r="EW142" s="757"/>
      <c r="EX142" s="757"/>
      <c r="EY142" s="757"/>
      <c r="EZ142" s="757"/>
      <c r="FA142" s="757"/>
      <c r="FB142" s="757"/>
      <c r="FC142" s="757"/>
      <c r="FD142" s="757"/>
      <c r="FE142" s="757"/>
      <c r="FF142" s="757"/>
      <c r="FG142" s="757"/>
      <c r="FH142" s="757"/>
      <c r="FI142" s="757"/>
      <c r="FJ142" s="757"/>
      <c r="FK142" s="757"/>
      <c r="FL142" s="757"/>
    </row>
    <row r="143" spans="139:168" ht="11.25" customHeight="1">
      <c r="EI143" s="2765"/>
      <c r="EJ143" s="2765"/>
      <c r="EK143" s="2765"/>
      <c r="EL143" s="2765"/>
      <c r="EM143" s="2765"/>
      <c r="EN143" s="2765"/>
      <c r="EO143" s="2765"/>
      <c r="EP143" s="2765"/>
      <c r="EQ143" s="2765"/>
      <c r="ER143" s="2765"/>
      <c r="ES143" s="757"/>
      <c r="ET143" s="757"/>
      <c r="EU143" s="757"/>
      <c r="EV143" s="757"/>
      <c r="EW143" s="757"/>
      <c r="EX143" s="757"/>
      <c r="EY143" s="757"/>
      <c r="EZ143" s="757"/>
      <c r="FA143" s="757"/>
      <c r="FB143" s="757"/>
      <c r="FC143" s="757"/>
      <c r="FD143" s="757"/>
      <c r="FE143" s="757"/>
      <c r="FF143" s="757"/>
      <c r="FG143" s="757"/>
      <c r="FH143" s="757"/>
      <c r="FI143" s="757"/>
      <c r="FJ143" s="757"/>
      <c r="FK143" s="757"/>
      <c r="FL143" s="757"/>
    </row>
    <row r="144" spans="139:168" ht="11.25" customHeight="1">
      <c r="EI144" s="2765"/>
      <c r="EJ144" s="2765"/>
      <c r="EK144" s="2765"/>
      <c r="EL144" s="2765"/>
      <c r="EM144" s="2765"/>
      <c r="EN144" s="2765"/>
      <c r="EO144" s="2765"/>
      <c r="EP144" s="2765"/>
      <c r="EQ144" s="2765"/>
      <c r="ER144" s="2765"/>
      <c r="ES144" s="757"/>
      <c r="ET144" s="757"/>
      <c r="EU144" s="757"/>
      <c r="EV144" s="757"/>
      <c r="EW144" s="757"/>
      <c r="EX144" s="757"/>
      <c r="EY144" s="757"/>
      <c r="EZ144" s="757"/>
      <c r="FA144" s="757"/>
      <c r="FB144" s="757"/>
      <c r="FC144" s="757"/>
      <c r="FD144" s="757"/>
      <c r="FE144" s="757"/>
      <c r="FF144" s="757"/>
      <c r="FG144" s="757"/>
      <c r="FH144" s="757"/>
      <c r="FI144" s="757"/>
      <c r="FJ144" s="757"/>
      <c r="FK144" s="757"/>
      <c r="FL144" s="757"/>
    </row>
    <row r="145" spans="139:168" ht="11.25" customHeight="1">
      <c r="EI145" s="2765"/>
      <c r="EJ145" s="2765"/>
      <c r="EK145" s="2765"/>
      <c r="EL145" s="2765"/>
      <c r="EM145" s="2765"/>
      <c r="EN145" s="2765"/>
      <c r="EO145" s="2765"/>
      <c r="EP145" s="2765"/>
      <c r="EQ145" s="2765"/>
      <c r="ER145" s="2765"/>
      <c r="ES145" s="757"/>
      <c r="ET145" s="757"/>
      <c r="EU145" s="757"/>
      <c r="EV145" s="757"/>
      <c r="EW145" s="757"/>
      <c r="EX145" s="757"/>
      <c r="EY145" s="757"/>
      <c r="EZ145" s="757"/>
      <c r="FA145" s="757"/>
      <c r="FB145" s="757"/>
      <c r="FC145" s="757"/>
      <c r="FD145" s="757"/>
      <c r="FE145" s="757"/>
      <c r="FF145" s="757"/>
      <c r="FG145" s="757"/>
      <c r="FH145" s="757"/>
      <c r="FI145" s="757"/>
      <c r="FJ145" s="757"/>
      <c r="FK145" s="757"/>
      <c r="FL145" s="757"/>
    </row>
    <row r="146" spans="139:168" ht="11.25" customHeight="1">
      <c r="EI146" s="2765"/>
      <c r="EJ146" s="2765"/>
      <c r="EK146" s="2765"/>
      <c r="EL146" s="2765"/>
      <c r="EM146" s="2765"/>
      <c r="EN146" s="2765"/>
      <c r="EO146" s="2765"/>
      <c r="EP146" s="2765"/>
      <c r="EQ146" s="2765"/>
      <c r="ER146" s="2765"/>
      <c r="ES146" s="757"/>
      <c r="ET146" s="757"/>
      <c r="EU146" s="757"/>
      <c r="EV146" s="757"/>
      <c r="EW146" s="757"/>
      <c r="EX146" s="757"/>
      <c r="EY146" s="757"/>
      <c r="EZ146" s="757"/>
      <c r="FA146" s="757"/>
      <c r="FB146" s="757"/>
      <c r="FC146" s="757"/>
      <c r="FD146" s="757"/>
      <c r="FE146" s="757"/>
      <c r="FF146" s="757"/>
      <c r="FG146" s="757"/>
      <c r="FH146" s="757"/>
      <c r="FI146" s="757"/>
      <c r="FJ146" s="757"/>
      <c r="FK146" s="757"/>
      <c r="FL146" s="757"/>
    </row>
    <row r="147" spans="139:168" ht="11.25" customHeight="1">
      <c r="EI147" s="2765"/>
      <c r="EJ147" s="2765"/>
      <c r="EK147" s="2765"/>
      <c r="EL147" s="2765"/>
      <c r="EM147" s="2765"/>
      <c r="EN147" s="2765"/>
      <c r="EO147" s="2765"/>
      <c r="EP147" s="2765"/>
      <c r="EQ147" s="2765"/>
      <c r="ER147" s="2765"/>
      <c r="ES147" s="757"/>
      <c r="ET147" s="757"/>
      <c r="EU147" s="757"/>
      <c r="EV147" s="757"/>
      <c r="EW147" s="757"/>
      <c r="EX147" s="757"/>
      <c r="EY147" s="757"/>
      <c r="EZ147" s="757"/>
      <c r="FA147" s="757"/>
      <c r="FB147" s="757"/>
      <c r="FC147" s="757"/>
      <c r="FD147" s="757"/>
      <c r="FE147" s="757"/>
      <c r="FF147" s="757"/>
      <c r="FG147" s="757"/>
      <c r="FH147" s="757"/>
      <c r="FI147" s="757"/>
      <c r="FJ147" s="757"/>
      <c r="FK147" s="757"/>
      <c r="FL147" s="757"/>
    </row>
    <row r="148" spans="139:168" ht="11.25" customHeight="1">
      <c r="EI148" s="2765"/>
      <c r="EJ148" s="2765"/>
      <c r="EK148" s="2765"/>
      <c r="EL148" s="2765"/>
      <c r="EM148" s="2765"/>
      <c r="EN148" s="2765"/>
      <c r="EO148" s="2765"/>
      <c r="EP148" s="2765"/>
      <c r="EQ148" s="2765"/>
      <c r="ER148" s="2765"/>
      <c r="ES148" s="757"/>
      <c r="ET148" s="757"/>
      <c r="EU148" s="757"/>
      <c r="EV148" s="757"/>
      <c r="EW148" s="757"/>
      <c r="EX148" s="757"/>
      <c r="EY148" s="757"/>
      <c r="EZ148" s="757"/>
      <c r="FA148" s="757"/>
      <c r="FB148" s="757"/>
      <c r="FC148" s="757"/>
      <c r="FD148" s="757"/>
      <c r="FE148" s="757"/>
      <c r="FF148" s="757"/>
      <c r="FG148" s="757"/>
      <c r="FH148" s="757"/>
      <c r="FI148" s="757"/>
      <c r="FJ148" s="757"/>
      <c r="FK148" s="757"/>
      <c r="FL148" s="757"/>
    </row>
    <row r="149" spans="139:168" ht="11.25" customHeight="1">
      <c r="EI149" s="2765"/>
      <c r="EJ149" s="2765"/>
      <c r="EK149" s="2765"/>
      <c r="EL149" s="2765"/>
      <c r="EM149" s="2765"/>
      <c r="EN149" s="2765"/>
      <c r="EO149" s="2765"/>
      <c r="EP149" s="2765"/>
      <c r="EQ149" s="2765"/>
      <c r="ER149" s="2765"/>
      <c r="ES149" s="757"/>
      <c r="ET149" s="757"/>
      <c r="EU149" s="757"/>
      <c r="EV149" s="757"/>
      <c r="EW149" s="757"/>
      <c r="EX149" s="757"/>
      <c r="EY149" s="757"/>
      <c r="EZ149" s="757"/>
      <c r="FA149" s="757"/>
      <c r="FB149" s="757"/>
      <c r="FC149" s="757"/>
      <c r="FD149" s="757"/>
      <c r="FE149" s="757"/>
      <c r="FF149" s="757"/>
      <c r="FG149" s="757"/>
      <c r="FH149" s="757"/>
      <c r="FI149" s="757"/>
      <c r="FJ149" s="757"/>
      <c r="FK149" s="757"/>
      <c r="FL149" s="757"/>
    </row>
    <row r="150" spans="139:168" ht="11.25" customHeight="1">
      <c r="EI150" s="2765"/>
      <c r="EJ150" s="2765"/>
      <c r="EK150" s="2765"/>
      <c r="EL150" s="2765"/>
      <c r="EM150" s="2765"/>
      <c r="EN150" s="2765"/>
      <c r="EO150" s="2765"/>
      <c r="EP150" s="2765"/>
      <c r="EQ150" s="2765"/>
      <c r="ER150" s="2765"/>
      <c r="ES150" s="757"/>
      <c r="ET150" s="757"/>
      <c r="EU150" s="757"/>
      <c r="EV150" s="757"/>
      <c r="EW150" s="757"/>
      <c r="EX150" s="757"/>
      <c r="EY150" s="757"/>
      <c r="EZ150" s="757"/>
      <c r="FA150" s="757"/>
      <c r="FB150" s="757"/>
      <c r="FC150" s="757"/>
      <c r="FD150" s="757"/>
      <c r="FE150" s="757"/>
      <c r="FF150" s="757"/>
      <c r="FG150" s="757"/>
      <c r="FH150" s="757"/>
      <c r="FI150" s="757"/>
      <c r="FJ150" s="757"/>
      <c r="FK150" s="757"/>
      <c r="FL150" s="757"/>
    </row>
    <row r="151" spans="139:168" ht="11.25" customHeight="1">
      <c r="EI151" s="2765"/>
      <c r="EJ151" s="2765"/>
      <c r="EK151" s="2765"/>
      <c r="EL151" s="2765"/>
      <c r="EM151" s="2765"/>
      <c r="EN151" s="2765"/>
      <c r="EO151" s="2765"/>
      <c r="EP151" s="2765"/>
      <c r="EQ151" s="2765"/>
      <c r="ER151" s="2765"/>
      <c r="ES151" s="757"/>
      <c r="ET151" s="757"/>
      <c r="EU151" s="757"/>
      <c r="EV151" s="757"/>
      <c r="EW151" s="757"/>
      <c r="EX151" s="757"/>
      <c r="EY151" s="757"/>
      <c r="EZ151" s="757"/>
      <c r="FA151" s="757"/>
      <c r="FB151" s="757"/>
      <c r="FC151" s="757"/>
      <c r="FD151" s="757"/>
      <c r="FE151" s="757"/>
      <c r="FF151" s="757"/>
      <c r="FG151" s="757"/>
      <c r="FH151" s="757"/>
      <c r="FI151" s="757"/>
      <c r="FJ151" s="757"/>
      <c r="FK151" s="757"/>
      <c r="FL151" s="757"/>
    </row>
    <row r="152" spans="139:168" ht="11.25" customHeight="1">
      <c r="EI152" s="2765"/>
      <c r="EJ152" s="2765"/>
      <c r="EK152" s="2765"/>
      <c r="EL152" s="2765"/>
      <c r="EM152" s="2765"/>
      <c r="EN152" s="2765"/>
      <c r="EO152" s="2765"/>
      <c r="EP152" s="2765"/>
      <c r="EQ152" s="2765"/>
      <c r="ER152" s="2765"/>
      <c r="ES152" s="757"/>
      <c r="ET152" s="757"/>
      <c r="EU152" s="757"/>
      <c r="EV152" s="757"/>
      <c r="EW152" s="757"/>
      <c r="EX152" s="757"/>
      <c r="EY152" s="757"/>
      <c r="EZ152" s="757"/>
      <c r="FA152" s="757"/>
      <c r="FB152" s="757"/>
      <c r="FC152" s="757"/>
      <c r="FD152" s="757"/>
      <c r="FE152" s="757"/>
      <c r="FF152" s="757"/>
      <c r="FG152" s="757"/>
      <c r="FH152" s="757"/>
      <c r="FI152" s="757"/>
      <c r="FJ152" s="757"/>
      <c r="FK152" s="757"/>
      <c r="FL152" s="757"/>
    </row>
    <row r="153" spans="139:168" ht="11.25" customHeight="1">
      <c r="EI153" s="2765"/>
      <c r="EJ153" s="2765"/>
      <c r="EK153" s="2765"/>
      <c r="EL153" s="2765"/>
      <c r="EM153" s="2765"/>
      <c r="EN153" s="2765"/>
      <c r="EO153" s="2765"/>
      <c r="EP153" s="2765"/>
      <c r="EQ153" s="2765"/>
      <c r="ER153" s="2765"/>
      <c r="ES153" s="757"/>
      <c r="ET153" s="757"/>
      <c r="EU153" s="757"/>
      <c r="EV153" s="757"/>
      <c r="EW153" s="757"/>
      <c r="EX153" s="757"/>
      <c r="EY153" s="757"/>
      <c r="EZ153" s="757"/>
      <c r="FA153" s="757"/>
      <c r="FB153" s="757"/>
      <c r="FC153" s="757"/>
      <c r="FD153" s="757"/>
      <c r="FE153" s="757"/>
      <c r="FF153" s="757"/>
      <c r="FG153" s="757"/>
      <c r="FH153" s="757"/>
      <c r="FI153" s="757"/>
      <c r="FJ153" s="757"/>
      <c r="FK153" s="757"/>
      <c r="FL153" s="757"/>
    </row>
    <row r="154" spans="139:168" ht="11.25" customHeight="1">
      <c r="EI154" s="2765"/>
      <c r="EJ154" s="2765"/>
      <c r="EK154" s="2765"/>
      <c r="EL154" s="2765"/>
      <c r="EM154" s="2765"/>
      <c r="EN154" s="2765"/>
      <c r="EO154" s="2765"/>
      <c r="EP154" s="2765"/>
      <c r="EQ154" s="2765"/>
      <c r="ER154" s="2765"/>
      <c r="ES154" s="757"/>
      <c r="ET154" s="757"/>
      <c r="EU154" s="757"/>
      <c r="EV154" s="757"/>
      <c r="EW154" s="757"/>
      <c r="EX154" s="757"/>
      <c r="EY154" s="757"/>
      <c r="EZ154" s="757"/>
      <c r="FA154" s="757"/>
      <c r="FB154" s="757"/>
      <c r="FC154" s="757"/>
      <c r="FD154" s="757"/>
      <c r="FE154" s="757"/>
      <c r="FF154" s="757"/>
      <c r="FG154" s="757"/>
      <c r="FH154" s="757"/>
      <c r="FI154" s="757"/>
      <c r="FJ154" s="757"/>
      <c r="FK154" s="757"/>
      <c r="FL154" s="757"/>
    </row>
    <row r="155" spans="139:168" ht="11.25" customHeight="1">
      <c r="EI155" s="2765"/>
      <c r="EJ155" s="2765"/>
      <c r="EK155" s="2765"/>
      <c r="EL155" s="2765"/>
      <c r="EM155" s="2765"/>
      <c r="EN155" s="2765"/>
      <c r="EO155" s="2765"/>
      <c r="EP155" s="2765"/>
      <c r="EQ155" s="2765"/>
      <c r="ER155" s="2765"/>
      <c r="ES155" s="757"/>
      <c r="ET155" s="757"/>
      <c r="EU155" s="757"/>
      <c r="EV155" s="757"/>
      <c r="EW155" s="757"/>
      <c r="EX155" s="757"/>
      <c r="EY155" s="757"/>
      <c r="EZ155" s="757"/>
      <c r="FA155" s="757"/>
      <c r="FB155" s="757"/>
      <c r="FC155" s="757"/>
      <c r="FD155" s="757"/>
      <c r="FE155" s="757"/>
      <c r="FF155" s="757"/>
      <c r="FG155" s="757"/>
      <c r="FH155" s="757"/>
      <c r="FI155" s="757"/>
      <c r="FJ155" s="757"/>
      <c r="FK155" s="757"/>
      <c r="FL155" s="757"/>
    </row>
    <row r="156" spans="139:168" ht="11.25" customHeight="1">
      <c r="EI156" s="2765"/>
      <c r="EJ156" s="2765"/>
      <c r="EK156" s="2765"/>
      <c r="EL156" s="2765"/>
      <c r="EM156" s="2765"/>
      <c r="EN156" s="2765"/>
      <c r="EO156" s="2765"/>
      <c r="EP156" s="2765"/>
      <c r="EQ156" s="2765"/>
      <c r="ER156" s="2765"/>
      <c r="ES156" s="757"/>
      <c r="ET156" s="757"/>
      <c r="EU156" s="757"/>
      <c r="EV156" s="757"/>
      <c r="EW156" s="757"/>
      <c r="EX156" s="757"/>
      <c r="EY156" s="757"/>
      <c r="EZ156" s="757"/>
      <c r="FA156" s="757"/>
      <c r="FB156" s="757"/>
      <c r="FC156" s="757"/>
      <c r="FD156" s="757"/>
      <c r="FE156" s="757"/>
      <c r="FF156" s="757"/>
      <c r="FG156" s="757"/>
      <c r="FH156" s="757"/>
      <c r="FI156" s="757"/>
      <c r="FJ156" s="757"/>
      <c r="FK156" s="757"/>
      <c r="FL156" s="757"/>
    </row>
    <row r="157" spans="139:168" ht="11.25" customHeight="1">
      <c r="EI157" s="2765"/>
      <c r="EJ157" s="2765"/>
      <c r="EK157" s="2765"/>
      <c r="EL157" s="2765"/>
      <c r="EM157" s="2765"/>
      <c r="EN157" s="2765"/>
      <c r="EO157" s="2765"/>
      <c r="EP157" s="2765"/>
      <c r="EQ157" s="2765"/>
      <c r="ER157" s="2765"/>
      <c r="ES157" s="757"/>
      <c r="ET157" s="757"/>
      <c r="EU157" s="757"/>
      <c r="EV157" s="757"/>
      <c r="EW157" s="757"/>
      <c r="EX157" s="757"/>
      <c r="EY157" s="757"/>
      <c r="EZ157" s="757"/>
      <c r="FA157" s="757"/>
      <c r="FB157" s="757"/>
      <c r="FC157" s="757"/>
      <c r="FD157" s="757"/>
      <c r="FE157" s="757"/>
      <c r="FF157" s="757"/>
      <c r="FG157" s="757"/>
      <c r="FH157" s="757"/>
      <c r="FI157" s="757"/>
      <c r="FJ157" s="757"/>
      <c r="FK157" s="757"/>
      <c r="FL157" s="757"/>
    </row>
    <row r="158" spans="139:168" ht="11.25" customHeight="1">
      <c r="ES158" s="757"/>
      <c r="ET158" s="757"/>
      <c r="EU158" s="757"/>
      <c r="EV158" s="757"/>
      <c r="EW158" s="757"/>
      <c r="EX158" s="757"/>
      <c r="EY158" s="757"/>
      <c r="EZ158" s="757"/>
      <c r="FA158" s="757"/>
      <c r="FB158" s="757"/>
      <c r="FC158" s="757"/>
      <c r="FD158" s="757"/>
      <c r="FE158" s="757"/>
      <c r="FF158" s="757"/>
      <c r="FG158" s="757"/>
      <c r="FH158" s="757"/>
      <c r="FI158" s="757"/>
      <c r="FJ158" s="757"/>
      <c r="FK158" s="757"/>
      <c r="FL158" s="757"/>
    </row>
    <row r="159" spans="139:168" ht="11.25" customHeight="1">
      <c r="ES159" s="757"/>
      <c r="ET159" s="757"/>
      <c r="EU159" s="757"/>
      <c r="EV159" s="757"/>
      <c r="EW159" s="757"/>
      <c r="EX159" s="757"/>
      <c r="EY159" s="757"/>
      <c r="EZ159" s="757"/>
      <c r="FA159" s="757"/>
      <c r="FB159" s="757"/>
      <c r="FC159" s="757"/>
      <c r="FD159" s="757"/>
      <c r="FE159" s="757"/>
      <c r="FF159" s="757"/>
      <c r="FG159" s="757"/>
      <c r="FH159" s="757"/>
      <c r="FI159" s="757"/>
      <c r="FJ159" s="757"/>
      <c r="FK159" s="757"/>
      <c r="FL159" s="757"/>
    </row>
    <row r="160" spans="139:168" ht="11.25" customHeight="1">
      <c r="ES160" s="757"/>
      <c r="ET160" s="757"/>
      <c r="EU160" s="757"/>
      <c r="EV160" s="757"/>
      <c r="EW160" s="757"/>
      <c r="EX160" s="757"/>
      <c r="EY160" s="757"/>
      <c r="EZ160" s="757"/>
      <c r="FA160" s="757"/>
      <c r="FB160" s="757"/>
      <c r="FC160" s="757"/>
      <c r="FD160" s="757"/>
      <c r="FE160" s="757"/>
      <c r="FF160" s="757"/>
      <c r="FG160" s="757"/>
      <c r="FH160" s="757"/>
      <c r="FI160" s="757"/>
      <c r="FJ160" s="757"/>
      <c r="FK160" s="757"/>
      <c r="FL160" s="757"/>
    </row>
    <row r="161" spans="149:168" ht="11.25" customHeight="1">
      <c r="ES161" s="757"/>
      <c r="ET161" s="757"/>
      <c r="EU161" s="757"/>
      <c r="EV161" s="757"/>
      <c r="EW161" s="757"/>
      <c r="EX161" s="757"/>
      <c r="EY161" s="757"/>
      <c r="EZ161" s="757"/>
      <c r="FA161" s="757"/>
      <c r="FB161" s="757"/>
      <c r="FC161" s="757"/>
      <c r="FD161" s="757"/>
      <c r="FE161" s="757"/>
      <c r="FF161" s="757"/>
      <c r="FG161" s="757"/>
      <c r="FH161" s="757"/>
      <c r="FI161" s="757"/>
      <c r="FJ161" s="757"/>
      <c r="FK161" s="757"/>
      <c r="FL161" s="757"/>
    </row>
    <row r="162" spans="149:168" ht="11.25" customHeight="1">
      <c r="ES162" s="757"/>
      <c r="ET162" s="757"/>
      <c r="EU162" s="757"/>
      <c r="EV162" s="757"/>
      <c r="EW162" s="757"/>
      <c r="EX162" s="757"/>
      <c r="EY162" s="757"/>
      <c r="EZ162" s="757"/>
      <c r="FA162" s="757"/>
      <c r="FB162" s="757"/>
      <c r="FC162" s="757"/>
      <c r="FD162" s="757"/>
      <c r="FE162" s="757"/>
      <c r="FF162" s="757"/>
      <c r="FG162" s="757"/>
      <c r="FH162" s="757"/>
      <c r="FI162" s="757"/>
      <c r="FJ162" s="757"/>
      <c r="FK162" s="757"/>
      <c r="FL162" s="757"/>
    </row>
    <row r="163" spans="149:168" ht="11.25" customHeight="1">
      <c r="ES163" s="757"/>
      <c r="ET163" s="757"/>
      <c r="EU163" s="757"/>
      <c r="EV163" s="757"/>
      <c r="EW163" s="757"/>
      <c r="EX163" s="757"/>
      <c r="EY163" s="757"/>
      <c r="EZ163" s="757"/>
      <c r="FA163" s="757"/>
      <c r="FB163" s="757"/>
      <c r="FC163" s="757"/>
      <c r="FD163" s="757"/>
      <c r="FE163" s="757"/>
      <c r="FF163" s="757"/>
      <c r="FG163" s="757"/>
      <c r="FH163" s="757"/>
      <c r="FI163" s="757"/>
      <c r="FJ163" s="757"/>
      <c r="FK163" s="757"/>
      <c r="FL163" s="757"/>
    </row>
    <row r="164" spans="149:168" ht="11.25" customHeight="1">
      <c r="ES164" s="757"/>
      <c r="ET164" s="757"/>
      <c r="EU164" s="757"/>
      <c r="EV164" s="757"/>
      <c r="EW164" s="757"/>
      <c r="EX164" s="757"/>
      <c r="EY164" s="757"/>
      <c r="EZ164" s="757"/>
      <c r="FA164" s="757"/>
      <c r="FB164" s="757"/>
      <c r="FC164" s="757"/>
      <c r="FD164" s="757"/>
      <c r="FE164" s="757"/>
      <c r="FF164" s="757"/>
      <c r="FG164" s="757"/>
      <c r="FH164" s="757"/>
      <c r="FI164" s="757"/>
      <c r="FJ164" s="757"/>
      <c r="FK164" s="757"/>
      <c r="FL164" s="757"/>
    </row>
    <row r="165" spans="149:168" ht="11.25" customHeight="1">
      <c r="ES165" s="757"/>
      <c r="ET165" s="757"/>
      <c r="EU165" s="757"/>
      <c r="EV165" s="757"/>
      <c r="EW165" s="757"/>
      <c r="EX165" s="757"/>
      <c r="EY165" s="757"/>
      <c r="EZ165" s="757"/>
      <c r="FA165" s="757"/>
      <c r="FB165" s="757"/>
      <c r="FC165" s="757"/>
      <c r="FD165" s="757"/>
      <c r="FE165" s="757"/>
      <c r="FF165" s="757"/>
      <c r="FG165" s="757"/>
      <c r="FH165" s="757"/>
      <c r="FI165" s="757"/>
      <c r="FJ165" s="757"/>
      <c r="FK165" s="757"/>
      <c r="FL165" s="757"/>
    </row>
  </sheetData>
  <phoneticPr fontId="4" type="noConversion"/>
  <pageMargins left="0" right="0" top="0" bottom="0" header="0" footer="0"/>
  <pageSetup paperSize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theme="3" tint="0.39997558519241921"/>
    <pageSetUpPr autoPageBreaks="0" fitToPage="1"/>
  </sheetPr>
  <dimension ref="A1:JT111"/>
  <sheetViews>
    <sheetView zoomScaleNormal="100" workbookViewId="0">
      <pane xSplit="132" ySplit="6" topLeftCell="EM7" activePane="bottomRight" state="frozen"/>
      <selection pane="topRight" activeCell="EC1" sqref="EC1"/>
      <selection pane="bottomLeft" activeCell="A7" sqref="A7"/>
      <selection pane="bottomRight" activeCell="EM7" sqref="EM7"/>
    </sheetView>
  </sheetViews>
  <sheetFormatPr defaultRowHeight="11.25" customHeight="1" outlineLevelRow="1" outlineLevelCol="1"/>
  <cols>
    <col min="1" max="1" width="20.7109375" style="261" customWidth="1"/>
    <col min="2" max="2" width="10.7109375" style="261" customWidth="1"/>
    <col min="3" max="3" width="11.7109375" style="261" customWidth="1"/>
    <col min="4" max="68" width="9.7109375" style="261" hidden="1" customWidth="1" outlineLevel="1"/>
    <col min="69" max="69" width="9.7109375" style="261" hidden="1" customWidth="1" outlineLevel="1" collapsed="1"/>
    <col min="70" max="73" width="9.7109375" style="261" hidden="1" customWidth="1" outlineLevel="1"/>
    <col min="74" max="74" width="9.7109375" style="261" hidden="1" customWidth="1" outlineLevel="1" collapsed="1"/>
    <col min="75" max="78" width="9.7109375" style="261" hidden="1" customWidth="1" outlineLevel="1"/>
    <col min="79" max="79" width="9.7109375" style="261" hidden="1" customWidth="1" outlineLevel="1" collapsed="1"/>
    <col min="80" max="82" width="9.7109375" style="261" hidden="1" customWidth="1" outlineLevel="1"/>
    <col min="83" max="83" width="9.7109375" style="261" hidden="1" customWidth="1" collapsed="1"/>
    <col min="84" max="87" width="9.7109375" style="261" hidden="1" customWidth="1" outlineLevel="1"/>
    <col min="88" max="88" width="9.7109375" style="261" hidden="1" customWidth="1" collapsed="1"/>
    <col min="89" max="92" width="9.7109375" style="261" hidden="1" customWidth="1" outlineLevel="1"/>
    <col min="93" max="93" width="9.7109375" style="261" hidden="1" customWidth="1" collapsed="1"/>
    <col min="94" max="97" width="10.42578125" style="261" hidden="1" customWidth="1" outlineLevel="1"/>
    <col min="98" max="98" width="10.42578125" style="261" hidden="1" customWidth="1" collapsed="1"/>
    <col min="99" max="112" width="10.42578125" style="261" hidden="1" customWidth="1" outlineLevel="1"/>
    <col min="113" max="113" width="9" style="261" hidden="1" customWidth="1" collapsed="1"/>
    <col min="114" max="115" width="9" style="261" hidden="1" customWidth="1" outlineLevel="1"/>
    <col min="116" max="116" width="9" style="459" hidden="1" customWidth="1" outlineLevel="1"/>
    <col min="117" max="117" width="9" style="261" hidden="1" customWidth="1" outlineLevel="1"/>
    <col min="118" max="118" width="9.28515625" style="261" hidden="1" customWidth="1" collapsed="1"/>
    <col min="119" max="119" width="9" style="459" hidden="1" customWidth="1" outlineLevel="1"/>
    <col min="120" max="122" width="9" style="261" hidden="1" customWidth="1" outlineLevel="1"/>
    <col min="123" max="123" width="9" style="261" hidden="1" customWidth="1" collapsed="1"/>
    <col min="124" max="124" width="9" style="459" hidden="1" customWidth="1" outlineLevel="1"/>
    <col min="125" max="127" width="9" style="261" hidden="1" customWidth="1" outlineLevel="1"/>
    <col min="128" max="128" width="9" style="261" hidden="1" customWidth="1" collapsed="1"/>
    <col min="129" max="129" width="9" style="459" hidden="1" customWidth="1" outlineLevel="1"/>
    <col min="130" max="130" width="9" style="261" hidden="1" customWidth="1" outlineLevel="1"/>
    <col min="131" max="131" width="9" style="1111" hidden="1" customWidth="1" outlineLevel="1"/>
    <col min="132" max="132" width="9" style="261" hidden="1" customWidth="1" outlineLevel="1"/>
    <col min="133" max="133" width="9" style="261" hidden="1" customWidth="1" collapsed="1"/>
    <col min="134" max="137" width="9" style="1111" hidden="1" customWidth="1" outlineLevel="1"/>
    <col min="138" max="138" width="9" style="1111" hidden="1" customWidth="1" collapsed="1"/>
    <col min="139" max="142" width="9" style="1111" hidden="1" customWidth="1" outlineLevel="1"/>
    <col min="143" max="143" width="9" style="1111" customWidth="1" collapsed="1"/>
    <col min="144" max="147" width="9" style="1111" hidden="1" customWidth="1" outlineLevel="1"/>
    <col min="148" max="148" width="10.140625" style="1111" bestFit="1" customWidth="1" collapsed="1"/>
    <col min="149" max="149" width="9" style="1111" customWidth="1" outlineLevel="1"/>
    <col min="150" max="152" width="10.140625" style="1111" customWidth="1" outlineLevel="1"/>
    <col min="153" max="153" width="10.140625" style="1111" bestFit="1" customWidth="1"/>
    <col min="154" max="154" width="9" style="1111" customWidth="1" outlineLevel="1"/>
    <col min="155" max="157" width="9.5703125" style="1111" customWidth="1" outlineLevel="1"/>
    <col min="158" max="158" width="10.140625" style="1111" bestFit="1" customWidth="1"/>
    <col min="159" max="162" width="10.140625" style="1111" hidden="1" customWidth="1" outlineLevel="1"/>
    <col min="163" max="163" width="10.140625" style="1111" customWidth="1" collapsed="1"/>
    <col min="164" max="167" width="10.140625" style="1111" hidden="1" customWidth="1" outlineLevel="1"/>
    <col min="168" max="168" width="10.140625" style="1111" customWidth="1" collapsed="1"/>
    <col min="169" max="169" width="10.140625" style="1111" customWidth="1"/>
    <col min="170" max="170" width="2.28515625" style="261" customWidth="1"/>
    <col min="171" max="179" width="10.7109375" style="261" customWidth="1" outlineLevel="1"/>
    <col min="180" max="182" width="10.7109375" style="261" customWidth="1" outlineLevel="1" collapsed="1"/>
    <col min="183" max="183" width="9.7109375" style="261" customWidth="1"/>
    <col min="184" max="195" width="9.7109375" style="1111" customWidth="1"/>
    <col min="196" max="196" width="10.7109375" style="261" customWidth="1"/>
    <col min="197" max="197" width="55" hidden="1" customWidth="1" outlineLevel="1"/>
    <col min="198" max="202" width="9.140625" hidden="1" customWidth="1" outlineLevel="1"/>
    <col min="203" max="203" width="9.140625" style="261" collapsed="1"/>
    <col min="204" max="16384" width="9.140625" style="261"/>
  </cols>
  <sheetData>
    <row r="1" spans="1:280" s="461" customFormat="1" ht="11.25" customHeight="1">
      <c r="A1" s="460"/>
      <c r="DC1" s="530"/>
      <c r="DD1" s="530"/>
      <c r="DE1" s="530"/>
      <c r="DF1" s="530"/>
      <c r="DG1" s="530"/>
      <c r="DH1" s="530"/>
      <c r="DI1" s="530"/>
      <c r="DJ1" s="530"/>
      <c r="DK1" s="530"/>
      <c r="DM1" s="530"/>
      <c r="DN1" s="530"/>
      <c r="DP1" s="530"/>
      <c r="DQ1" s="530"/>
      <c r="DR1" s="530"/>
      <c r="DS1" s="530"/>
      <c r="DU1" s="530"/>
      <c r="DV1" s="530"/>
      <c r="DW1" s="530"/>
      <c r="DX1" s="530"/>
      <c r="DZ1" s="530"/>
      <c r="EA1" s="95"/>
      <c r="EB1" s="530"/>
      <c r="EC1" s="530"/>
      <c r="ED1" s="95"/>
      <c r="EE1" s="95"/>
      <c r="EF1" s="95"/>
      <c r="EG1" s="95"/>
      <c r="EH1" s="95"/>
      <c r="EI1" s="95"/>
      <c r="EJ1" s="95"/>
      <c r="EK1" s="95"/>
      <c r="EL1" s="95"/>
      <c r="EM1" s="95"/>
      <c r="EN1" s="95"/>
      <c r="EO1" s="95"/>
      <c r="EP1" s="95"/>
      <c r="EQ1" s="95"/>
      <c r="ER1" s="95"/>
      <c r="ES1" s="95"/>
      <c r="ET1" s="95"/>
      <c r="EU1" s="95"/>
      <c r="EV1" s="95"/>
      <c r="EW1" s="95"/>
      <c r="EX1" s="95"/>
      <c r="EY1" s="95"/>
      <c r="EZ1" s="95"/>
      <c r="FA1" s="95"/>
      <c r="FB1" s="95"/>
      <c r="FC1" s="95"/>
      <c r="FD1" s="95"/>
      <c r="FE1" s="95"/>
      <c r="FF1" s="95"/>
      <c r="FG1" s="95"/>
      <c r="FH1" s="95"/>
      <c r="FI1" s="95"/>
      <c r="FJ1" s="95"/>
      <c r="FK1" s="95"/>
      <c r="FL1" s="95"/>
      <c r="FM1" s="95"/>
      <c r="GB1" s="95"/>
      <c r="GC1" s="95"/>
      <c r="GD1" s="95"/>
      <c r="GE1" s="95"/>
      <c r="GF1" s="95"/>
      <c r="GG1" s="95"/>
      <c r="GH1" s="95"/>
      <c r="GI1" s="95"/>
      <c r="GJ1" s="95"/>
      <c r="GK1" s="95"/>
      <c r="GL1" s="95"/>
      <c r="GM1" s="95"/>
      <c r="GN1" s="530"/>
      <c r="GO1"/>
      <c r="GP1"/>
      <c r="GQ1"/>
      <c r="GR1"/>
      <c r="GS1"/>
      <c r="GT1"/>
      <c r="GU1" s="261"/>
      <c r="GV1" s="261"/>
      <c r="GW1" s="261"/>
      <c r="GX1" s="261"/>
      <c r="GY1" s="261"/>
      <c r="GZ1" s="261"/>
      <c r="HA1" s="261"/>
      <c r="HB1" s="261"/>
      <c r="HC1" s="261"/>
      <c r="HD1" s="261"/>
      <c r="HE1" s="261"/>
      <c r="HF1" s="261"/>
      <c r="HG1" s="261"/>
      <c r="HH1" s="261"/>
      <c r="HI1" s="261"/>
      <c r="HJ1" s="261"/>
      <c r="HK1" s="261"/>
      <c r="HL1" s="261"/>
      <c r="HM1" s="261"/>
      <c r="HN1" s="261"/>
      <c r="HO1" s="261"/>
      <c r="HP1" s="261"/>
      <c r="HQ1" s="261"/>
      <c r="HR1" s="261"/>
      <c r="HS1" s="261"/>
      <c r="HT1" s="261"/>
      <c r="HU1" s="261"/>
      <c r="HV1" s="261"/>
      <c r="HW1" s="261"/>
      <c r="HX1" s="261"/>
      <c r="HY1" s="261"/>
      <c r="HZ1" s="261"/>
      <c r="IA1" s="261"/>
      <c r="IB1" s="261"/>
      <c r="IC1" s="261"/>
      <c r="ID1" s="261"/>
      <c r="IE1" s="261"/>
      <c r="IF1" s="261"/>
      <c r="IG1" s="261"/>
      <c r="IH1" s="261"/>
      <c r="II1" s="261"/>
      <c r="IJ1" s="261"/>
      <c r="IK1" s="261"/>
      <c r="IL1" s="261"/>
      <c r="IM1" s="261"/>
      <c r="IN1" s="261"/>
      <c r="IO1" s="261"/>
      <c r="IP1" s="261"/>
      <c r="IQ1" s="261"/>
      <c r="IR1" s="261"/>
      <c r="IS1" s="261"/>
      <c r="IT1" s="261"/>
      <c r="IU1" s="261"/>
      <c r="IV1" s="261"/>
      <c r="IW1" s="261"/>
      <c r="IX1" s="261"/>
      <c r="IY1" s="261"/>
      <c r="IZ1" s="261"/>
      <c r="JA1" s="261"/>
      <c r="JB1" s="261"/>
      <c r="JC1" s="261"/>
      <c r="JD1" s="261"/>
      <c r="JE1" s="261"/>
      <c r="JF1" s="261"/>
      <c r="JG1" s="261"/>
      <c r="JH1" s="261"/>
      <c r="JI1" s="261"/>
      <c r="JJ1" s="261"/>
      <c r="JK1" s="261"/>
      <c r="JL1" s="261"/>
      <c r="JM1" s="261"/>
      <c r="JN1" s="261"/>
      <c r="JO1" s="261"/>
      <c r="JP1" s="261"/>
      <c r="JQ1" s="261"/>
      <c r="JR1" s="261"/>
      <c r="JS1" s="261"/>
      <c r="JT1" s="261"/>
    </row>
    <row r="2" spans="1:280" s="243" customFormat="1" ht="20.25">
      <c r="A2" s="262" t="str">
        <f>IS!A2</f>
        <v>Microsoft</v>
      </c>
      <c r="D2" s="461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461"/>
      <c r="Z2" s="461"/>
      <c r="AA2" s="461"/>
      <c r="AB2" s="461"/>
      <c r="AC2" s="461"/>
      <c r="AD2" s="461"/>
      <c r="AE2" s="461"/>
      <c r="AF2" s="461"/>
      <c r="AG2" s="461"/>
      <c r="AH2" s="461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1"/>
      <c r="AV2" s="461"/>
      <c r="AW2" s="461"/>
      <c r="AX2" s="461"/>
      <c r="AY2" s="461"/>
      <c r="AZ2" s="461"/>
      <c r="BA2" s="461"/>
      <c r="BB2" s="461"/>
      <c r="BC2" s="461"/>
      <c r="BD2" s="461"/>
      <c r="BE2" s="461"/>
      <c r="BF2" s="461"/>
      <c r="BG2" s="461"/>
      <c r="BH2" s="461"/>
      <c r="BI2" s="461"/>
      <c r="BJ2" s="461"/>
      <c r="BK2" s="461"/>
      <c r="BL2" s="461"/>
      <c r="BM2" s="461"/>
      <c r="BN2" s="461"/>
      <c r="BO2" s="461"/>
      <c r="BP2" s="461"/>
      <c r="BQ2" s="461"/>
      <c r="BR2" s="461"/>
      <c r="BS2" s="461"/>
      <c r="BT2" s="461"/>
      <c r="BU2" s="461"/>
      <c r="BV2" s="461"/>
      <c r="BW2" s="461"/>
      <c r="BX2" s="461"/>
      <c r="BY2" s="461"/>
      <c r="BZ2" s="461"/>
      <c r="CI2" s="531"/>
      <c r="CJ2" s="531"/>
      <c r="CV2" s="468"/>
      <c r="DA2" s="468"/>
      <c r="DC2" s="532"/>
      <c r="DD2" s="532"/>
      <c r="DE2" s="532"/>
      <c r="DF2" s="471"/>
      <c r="DG2" s="471"/>
      <c r="DH2" s="532"/>
      <c r="DI2" s="532"/>
      <c r="DJ2" s="532"/>
      <c r="DK2" s="471"/>
      <c r="DM2" s="532"/>
      <c r="DN2" s="532"/>
      <c r="DP2" s="471"/>
      <c r="DQ2" s="471"/>
      <c r="DR2" s="814"/>
      <c r="DS2" s="532"/>
      <c r="DU2" s="471"/>
      <c r="DV2" s="814"/>
      <c r="DW2" s="814"/>
      <c r="DX2" s="532"/>
      <c r="DZ2" s="471"/>
      <c r="EA2" s="94"/>
      <c r="EB2" s="814"/>
      <c r="EC2" s="841"/>
      <c r="ED2" s="94"/>
      <c r="EE2" s="1122"/>
      <c r="EF2" s="1122"/>
      <c r="EG2" s="94"/>
      <c r="EH2" s="94"/>
      <c r="EI2" s="94"/>
      <c r="EJ2" s="1122"/>
      <c r="EK2" s="94"/>
      <c r="EL2" s="94"/>
      <c r="EM2" s="94"/>
      <c r="EN2" s="94"/>
      <c r="EO2" s="1122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  <c r="FM2" s="94"/>
      <c r="GB2" s="94"/>
      <c r="GC2" s="94"/>
      <c r="GD2" s="94"/>
      <c r="GE2" s="94"/>
      <c r="GF2" s="94"/>
      <c r="GG2" s="94"/>
      <c r="GH2" s="94"/>
      <c r="GI2" s="94"/>
      <c r="GJ2" s="94"/>
      <c r="GK2" s="94"/>
      <c r="GL2" s="94"/>
      <c r="GM2" s="94"/>
      <c r="GN2" s="532"/>
      <c r="GO2"/>
      <c r="GP2"/>
      <c r="GQ2"/>
      <c r="GR2"/>
      <c r="GS2"/>
      <c r="GT2"/>
      <c r="GU2" s="261"/>
      <c r="GV2" s="261"/>
      <c r="GW2" s="261"/>
      <c r="GX2" s="261"/>
      <c r="GY2" s="261"/>
      <c r="GZ2" s="261"/>
      <c r="HA2" s="261"/>
      <c r="HB2" s="261"/>
      <c r="HC2" s="261"/>
      <c r="HD2" s="261"/>
      <c r="HE2" s="261"/>
      <c r="HF2" s="261"/>
      <c r="HG2" s="261"/>
      <c r="HH2" s="261"/>
      <c r="HI2" s="261"/>
      <c r="HJ2" s="261"/>
      <c r="HK2" s="261"/>
      <c r="HL2" s="261"/>
      <c r="HM2" s="261"/>
      <c r="HN2" s="261"/>
      <c r="HO2" s="261"/>
      <c r="HP2" s="261"/>
      <c r="HQ2" s="261"/>
      <c r="HR2" s="261"/>
      <c r="HS2" s="261"/>
      <c r="HT2" s="261"/>
      <c r="HU2" s="261"/>
      <c r="HV2" s="261"/>
      <c r="HW2" s="261"/>
      <c r="HX2" s="261"/>
      <c r="HY2" s="261"/>
      <c r="HZ2" s="261"/>
      <c r="IA2" s="261"/>
      <c r="IB2" s="261"/>
      <c r="IC2" s="261"/>
      <c r="ID2" s="261"/>
      <c r="IE2" s="261"/>
      <c r="IF2" s="261"/>
      <c r="IG2" s="261"/>
      <c r="IH2" s="261"/>
      <c r="II2" s="261"/>
      <c r="IJ2" s="261"/>
      <c r="IK2" s="261"/>
      <c r="IL2" s="261"/>
      <c r="IM2" s="261"/>
      <c r="IN2" s="261"/>
      <c r="IO2" s="261"/>
      <c r="IP2" s="261"/>
      <c r="IQ2" s="261"/>
      <c r="IR2" s="261"/>
      <c r="IS2" s="261"/>
      <c r="IT2" s="261"/>
      <c r="IU2" s="261"/>
      <c r="IV2" s="261"/>
      <c r="IW2" s="261"/>
      <c r="IX2" s="261"/>
      <c r="IY2" s="261"/>
      <c r="IZ2" s="261"/>
      <c r="JA2" s="261"/>
      <c r="JB2" s="261"/>
      <c r="JC2" s="261"/>
      <c r="JD2" s="261"/>
      <c r="JE2" s="261"/>
      <c r="JF2" s="261"/>
      <c r="JG2" s="261"/>
      <c r="JH2" s="261"/>
      <c r="JI2" s="261"/>
      <c r="JJ2" s="261"/>
      <c r="JK2" s="261"/>
      <c r="JL2" s="261"/>
      <c r="JM2" s="261"/>
      <c r="JN2" s="261"/>
      <c r="JO2" s="261"/>
      <c r="JP2" s="261"/>
      <c r="JQ2" s="261"/>
      <c r="JR2" s="261"/>
      <c r="JS2" s="261"/>
      <c r="JT2" s="261"/>
    </row>
    <row r="3" spans="1:280" s="243" customFormat="1" ht="20.25">
      <c r="A3" s="472" t="s">
        <v>840</v>
      </c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461"/>
      <c r="Z3" s="461"/>
      <c r="AA3" s="461"/>
      <c r="AB3" s="461"/>
      <c r="AC3" s="461"/>
      <c r="AD3" s="461"/>
      <c r="AE3" s="461"/>
      <c r="AF3" s="461"/>
      <c r="AG3" s="461"/>
      <c r="AH3" s="461"/>
      <c r="AI3" s="461"/>
      <c r="AJ3" s="461"/>
      <c r="AK3" s="461"/>
      <c r="AL3" s="461"/>
      <c r="AM3" s="461"/>
      <c r="AN3" s="461"/>
      <c r="AO3" s="461"/>
      <c r="AP3" s="461"/>
      <c r="AQ3" s="461"/>
      <c r="AR3" s="461"/>
      <c r="AS3" s="461"/>
      <c r="AT3" s="461"/>
      <c r="AU3" s="461"/>
      <c r="AV3" s="461"/>
      <c r="AW3" s="461"/>
      <c r="AX3" s="461"/>
      <c r="AY3" s="461"/>
      <c r="AZ3" s="461"/>
      <c r="BA3" s="461"/>
      <c r="BB3" s="461"/>
      <c r="BC3" s="461"/>
      <c r="BD3" s="461"/>
      <c r="BE3" s="461"/>
      <c r="BF3" s="461"/>
      <c r="BG3" s="461"/>
      <c r="BH3" s="461"/>
      <c r="BI3" s="461"/>
      <c r="BJ3" s="461"/>
      <c r="BK3" s="461"/>
      <c r="BL3" s="461"/>
      <c r="BM3" s="461"/>
      <c r="BN3" s="461"/>
      <c r="BO3" s="461"/>
      <c r="BP3" s="461"/>
      <c r="BQ3" s="461"/>
      <c r="BR3" s="461"/>
      <c r="BS3" s="461"/>
      <c r="BT3" s="461"/>
      <c r="BU3" s="461"/>
      <c r="BV3" s="461"/>
      <c r="BW3" s="461"/>
      <c r="BX3" s="461"/>
      <c r="BY3" s="461"/>
      <c r="BZ3" s="461"/>
      <c r="CD3" s="246"/>
      <c r="CE3" s="246"/>
      <c r="CI3" s="246"/>
      <c r="CJ3" s="246"/>
      <c r="DC3" s="532"/>
      <c r="DD3" s="532"/>
      <c r="DE3" s="532"/>
      <c r="DF3" s="532"/>
      <c r="DG3" s="532"/>
      <c r="DH3" s="532"/>
      <c r="DI3" s="532"/>
      <c r="DJ3" s="532"/>
      <c r="DK3" s="532"/>
      <c r="DM3" s="532"/>
      <c r="DN3" s="532"/>
      <c r="DP3" s="532"/>
      <c r="DQ3" s="532"/>
      <c r="DR3" s="532"/>
      <c r="DS3" s="532"/>
      <c r="DU3" s="532"/>
      <c r="DV3" s="814"/>
      <c r="DW3" s="814"/>
      <c r="DX3" s="532"/>
      <c r="DZ3" s="532"/>
      <c r="EA3" s="94"/>
      <c r="EB3" s="814"/>
      <c r="EC3" s="532"/>
      <c r="ED3" s="94"/>
      <c r="EE3" s="94"/>
      <c r="EF3" s="94"/>
      <c r="EG3" s="94"/>
      <c r="EH3" s="94"/>
      <c r="EI3" s="94"/>
      <c r="EJ3" s="94"/>
      <c r="EK3" s="94"/>
      <c r="EL3" s="94"/>
      <c r="EM3" s="94"/>
      <c r="EN3" s="94"/>
      <c r="EO3" s="94"/>
      <c r="EP3" s="94"/>
      <c r="EQ3" s="94"/>
      <c r="ER3" s="94"/>
      <c r="ES3" s="94"/>
      <c r="ET3" s="94"/>
      <c r="EU3" s="94"/>
      <c r="EV3" s="94"/>
      <c r="EW3" s="94"/>
      <c r="EX3" s="94"/>
      <c r="EY3" s="94"/>
      <c r="EZ3" s="94"/>
      <c r="FA3" s="94"/>
      <c r="FB3" s="94"/>
      <c r="FC3" s="94"/>
      <c r="FD3" s="94"/>
      <c r="FE3" s="94"/>
      <c r="FF3" s="94"/>
      <c r="FG3" s="94"/>
      <c r="FH3" s="94"/>
      <c r="FI3" s="94"/>
      <c r="FJ3" s="94"/>
      <c r="FK3" s="94"/>
      <c r="FL3" s="94"/>
      <c r="FM3" s="94"/>
      <c r="GB3" s="94"/>
      <c r="GC3" s="94"/>
      <c r="GD3" s="94"/>
      <c r="GE3" s="94"/>
      <c r="GF3" s="94"/>
      <c r="GG3" s="94"/>
      <c r="GH3" s="94"/>
      <c r="GI3" s="94"/>
      <c r="GJ3" s="94"/>
      <c r="GK3" s="94"/>
      <c r="GL3" s="94"/>
      <c r="GM3" s="94"/>
      <c r="GN3" s="532"/>
      <c r="GO3"/>
      <c r="GP3"/>
      <c r="GQ3"/>
      <c r="GR3"/>
      <c r="GS3"/>
      <c r="GT3"/>
      <c r="GU3" s="261"/>
      <c r="GV3" s="261"/>
      <c r="GW3" s="261"/>
      <c r="GX3" s="261"/>
      <c r="GY3" s="261"/>
      <c r="GZ3" s="261"/>
      <c r="HA3" s="261"/>
      <c r="HB3" s="261"/>
      <c r="HC3" s="261"/>
      <c r="HD3" s="261"/>
      <c r="HE3" s="261"/>
      <c r="HF3" s="261"/>
      <c r="HG3" s="261"/>
      <c r="HH3" s="261"/>
      <c r="HI3" s="261"/>
      <c r="HJ3" s="261"/>
      <c r="HK3" s="261"/>
      <c r="HL3" s="261"/>
      <c r="HM3" s="261"/>
      <c r="HN3" s="261"/>
      <c r="HO3" s="261"/>
      <c r="HP3" s="261"/>
      <c r="HQ3" s="261"/>
      <c r="HR3" s="261"/>
      <c r="HS3" s="261"/>
      <c r="HT3" s="261"/>
      <c r="HU3" s="261"/>
      <c r="HV3" s="261"/>
      <c r="HW3" s="261"/>
      <c r="HX3" s="261"/>
      <c r="HY3" s="261"/>
      <c r="HZ3" s="261"/>
      <c r="IA3" s="261"/>
      <c r="IB3" s="261"/>
      <c r="IC3" s="261"/>
      <c r="ID3" s="261"/>
      <c r="IE3" s="261"/>
      <c r="IF3" s="261"/>
      <c r="IG3" s="261"/>
      <c r="IH3" s="261"/>
      <c r="II3" s="261"/>
      <c r="IJ3" s="261"/>
      <c r="IK3" s="261"/>
      <c r="IL3" s="261"/>
      <c r="IM3" s="261"/>
      <c r="IN3" s="261"/>
      <c r="IO3" s="261"/>
      <c r="IP3" s="261"/>
      <c r="IQ3" s="261"/>
      <c r="IR3" s="261"/>
      <c r="IS3" s="261"/>
      <c r="IT3" s="261"/>
      <c r="IU3" s="261"/>
      <c r="IV3" s="261"/>
      <c r="IW3" s="261"/>
      <c r="IX3" s="261"/>
      <c r="IY3" s="261"/>
      <c r="IZ3" s="261"/>
      <c r="JA3" s="261"/>
      <c r="JB3" s="261"/>
      <c r="JC3" s="261"/>
      <c r="JD3" s="261"/>
      <c r="JE3" s="261"/>
      <c r="JF3" s="261"/>
      <c r="JG3" s="261"/>
      <c r="JH3" s="261"/>
      <c r="JI3" s="261"/>
      <c r="JJ3" s="261"/>
      <c r="JK3" s="261"/>
      <c r="JL3" s="261"/>
      <c r="JM3" s="261"/>
      <c r="JN3" s="261"/>
      <c r="JO3" s="261"/>
      <c r="JP3" s="261"/>
      <c r="JQ3" s="261"/>
      <c r="JR3" s="261"/>
      <c r="JS3" s="261"/>
      <c r="JT3" s="261"/>
    </row>
    <row r="4" spans="1:280" s="243" customFormat="1" ht="9.9499999999999993" customHeight="1">
      <c r="A4" s="460" t="s">
        <v>536</v>
      </c>
      <c r="B4" s="461"/>
      <c r="C4" s="461"/>
      <c r="D4" s="461"/>
      <c r="E4" s="461"/>
      <c r="F4" s="461"/>
      <c r="G4" s="461"/>
      <c r="H4" s="461"/>
      <c r="I4" s="461"/>
      <c r="J4" s="461"/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461"/>
      <c r="Z4" s="461"/>
      <c r="AA4" s="461"/>
      <c r="AB4" s="461"/>
      <c r="AC4" s="461"/>
      <c r="AD4" s="461"/>
      <c r="AE4" s="461"/>
      <c r="AF4" s="461"/>
      <c r="AG4" s="461"/>
      <c r="AH4" s="461"/>
      <c r="AI4" s="461"/>
      <c r="AJ4" s="461"/>
      <c r="AK4" s="461"/>
      <c r="AL4" s="461"/>
      <c r="AM4" s="461"/>
      <c r="AN4" s="461"/>
      <c r="AO4" s="461"/>
      <c r="AP4" s="461"/>
      <c r="AQ4" s="461"/>
      <c r="AR4" s="461"/>
      <c r="AS4" s="461"/>
      <c r="AT4" s="461"/>
      <c r="AU4" s="461"/>
      <c r="AV4" s="461"/>
      <c r="AW4" s="461"/>
      <c r="AX4" s="461"/>
      <c r="AY4" s="461"/>
      <c r="AZ4" s="461"/>
      <c r="BA4" s="461"/>
      <c r="BB4" s="461"/>
      <c r="BC4" s="461"/>
      <c r="BD4" s="461"/>
      <c r="BE4" s="461"/>
      <c r="BF4" s="461"/>
      <c r="BG4" s="461"/>
      <c r="BH4" s="461"/>
      <c r="BI4" s="461"/>
      <c r="BJ4" s="461"/>
      <c r="BK4" s="461"/>
      <c r="BL4" s="461"/>
      <c r="BM4" s="461"/>
      <c r="BN4" s="461"/>
      <c r="BO4" s="461"/>
      <c r="BP4" s="461"/>
      <c r="BQ4" s="461"/>
      <c r="BR4" s="461"/>
      <c r="BS4" s="461"/>
      <c r="BT4" s="461"/>
      <c r="BU4" s="461"/>
      <c r="BV4" s="461"/>
      <c r="BW4" s="533"/>
      <c r="BX4" s="461"/>
      <c r="BY4" s="461"/>
      <c r="BZ4" s="461"/>
      <c r="CI4" s="466"/>
      <c r="CJ4" s="466"/>
      <c r="DC4" s="532"/>
      <c r="DD4" s="532"/>
      <c r="DE4" s="532"/>
      <c r="DF4" s="532"/>
      <c r="DG4" s="532"/>
      <c r="DH4" s="532"/>
      <c r="DI4" s="532"/>
      <c r="DJ4" s="532"/>
      <c r="DK4" s="532"/>
      <c r="DM4" s="532"/>
      <c r="DN4" s="532"/>
      <c r="DP4" s="532"/>
      <c r="DQ4" s="532"/>
      <c r="DR4" s="532"/>
      <c r="DS4" s="532"/>
      <c r="DU4" s="532"/>
      <c r="DV4" s="532"/>
      <c r="DW4" s="532"/>
      <c r="DX4" s="532"/>
      <c r="DZ4" s="532"/>
      <c r="EA4" s="94"/>
      <c r="EB4" s="532"/>
      <c r="EC4" s="532"/>
      <c r="ED4" s="94"/>
      <c r="EE4" s="94"/>
      <c r="EF4" s="94"/>
      <c r="EG4" s="94"/>
      <c r="EH4" s="94"/>
      <c r="EI4" s="94"/>
      <c r="EJ4" s="94"/>
      <c r="EK4" s="94"/>
      <c r="EL4" s="94"/>
      <c r="EM4" s="94"/>
      <c r="EN4" s="94"/>
      <c r="EO4" s="94"/>
      <c r="EP4" s="94"/>
      <c r="EQ4" s="94"/>
      <c r="ER4" s="94"/>
      <c r="ES4" s="94"/>
      <c r="ET4" s="94"/>
      <c r="EU4" s="94"/>
      <c r="EV4" s="94"/>
      <c r="EW4" s="94"/>
      <c r="EX4" s="94"/>
      <c r="EY4" s="94"/>
      <c r="EZ4" s="94"/>
      <c r="FA4" s="94"/>
      <c r="FB4" s="94"/>
      <c r="FC4" s="94"/>
      <c r="FD4" s="94"/>
      <c r="FE4" s="94"/>
      <c r="FF4" s="94"/>
      <c r="FG4" s="94"/>
      <c r="FH4" s="94"/>
      <c r="FI4" s="94"/>
      <c r="FJ4" s="94"/>
      <c r="FK4" s="94"/>
      <c r="FL4" s="94"/>
      <c r="FM4" s="94"/>
      <c r="GB4" s="1122"/>
      <c r="GC4" s="1122"/>
      <c r="GD4" s="1122"/>
      <c r="GE4" s="1122"/>
      <c r="GF4" s="1122"/>
      <c r="GG4" s="1122"/>
      <c r="GH4" s="1122"/>
      <c r="GI4" s="1122"/>
      <c r="GJ4" s="1122"/>
      <c r="GK4" s="1122"/>
      <c r="GL4" s="1122"/>
      <c r="GM4" s="1122"/>
      <c r="GN4" s="471"/>
      <c r="GO4"/>
      <c r="GP4"/>
      <c r="GQ4"/>
      <c r="GR4"/>
      <c r="GS4"/>
      <c r="GT4"/>
      <c r="GU4" s="261"/>
      <c r="GV4" s="261"/>
      <c r="GW4" s="261"/>
      <c r="GX4" s="261"/>
      <c r="GY4" s="261"/>
      <c r="GZ4" s="261"/>
      <c r="HA4" s="261"/>
      <c r="HB4" s="261"/>
      <c r="HC4" s="261"/>
      <c r="HD4" s="261"/>
      <c r="HE4" s="261"/>
      <c r="HF4" s="261"/>
      <c r="HG4" s="261"/>
      <c r="HH4" s="261"/>
      <c r="HI4" s="261"/>
      <c r="HJ4" s="261"/>
      <c r="HK4" s="261"/>
      <c r="HL4" s="261"/>
      <c r="HM4" s="261"/>
      <c r="HN4" s="261"/>
      <c r="HO4" s="261"/>
      <c r="HP4" s="261"/>
      <c r="HQ4" s="261"/>
      <c r="HR4" s="261"/>
      <c r="HS4" s="261"/>
      <c r="HT4" s="261"/>
      <c r="HU4" s="261"/>
      <c r="HV4" s="261"/>
      <c r="HW4" s="261"/>
      <c r="HX4" s="261"/>
      <c r="HY4" s="261"/>
      <c r="HZ4" s="261"/>
      <c r="IA4" s="261"/>
      <c r="IB4" s="261"/>
      <c r="IC4" s="261"/>
      <c r="ID4" s="261"/>
      <c r="IE4" s="261"/>
      <c r="IF4" s="261"/>
      <c r="IG4" s="261"/>
      <c r="IH4" s="261"/>
      <c r="II4" s="261"/>
      <c r="IJ4" s="261"/>
      <c r="IK4" s="261"/>
      <c r="IL4" s="261"/>
      <c r="IM4" s="261"/>
      <c r="IN4" s="261"/>
      <c r="IO4" s="261"/>
      <c r="IP4" s="261"/>
      <c r="IQ4" s="261"/>
      <c r="IR4" s="261"/>
      <c r="IS4" s="261"/>
      <c r="IT4" s="261"/>
      <c r="IU4" s="261"/>
      <c r="IV4" s="261"/>
      <c r="IW4" s="261"/>
      <c r="IX4" s="261"/>
      <c r="IY4" s="261"/>
      <c r="IZ4" s="261"/>
      <c r="JA4" s="261"/>
      <c r="JB4" s="261"/>
      <c r="JC4" s="261"/>
      <c r="JD4" s="261"/>
      <c r="JE4" s="261"/>
      <c r="JF4" s="261"/>
      <c r="JG4" s="261"/>
      <c r="JH4" s="261"/>
      <c r="JI4" s="261"/>
      <c r="JJ4" s="261"/>
      <c r="JK4" s="261"/>
      <c r="JL4" s="261"/>
      <c r="JM4" s="261"/>
      <c r="JN4" s="261"/>
      <c r="JO4" s="261"/>
      <c r="JP4" s="261"/>
      <c r="JQ4" s="261"/>
      <c r="JR4" s="261"/>
      <c r="JS4" s="261"/>
      <c r="JT4" s="261"/>
    </row>
    <row r="5" spans="1:280" s="280" customFormat="1" ht="11.25" customHeight="1">
      <c r="D5" s="473"/>
      <c r="E5" s="473"/>
      <c r="F5" s="473"/>
      <c r="G5" s="473"/>
      <c r="H5" s="475" t="s">
        <v>109</v>
      </c>
      <c r="I5" s="473"/>
      <c r="J5" s="473"/>
      <c r="K5" s="473"/>
      <c r="L5" s="473"/>
      <c r="M5" s="475" t="s">
        <v>109</v>
      </c>
      <c r="N5" s="473"/>
      <c r="O5" s="473"/>
      <c r="P5" s="473"/>
      <c r="Q5" s="473"/>
      <c r="R5" s="475" t="s">
        <v>109</v>
      </c>
      <c r="S5" s="473"/>
      <c r="T5" s="473"/>
      <c r="U5" s="473"/>
      <c r="V5" s="473"/>
      <c r="W5" s="475" t="s">
        <v>109</v>
      </c>
      <c r="X5" s="473"/>
      <c r="Y5" s="473"/>
      <c r="Z5" s="473"/>
      <c r="AA5" s="473"/>
      <c r="AB5" s="475" t="s">
        <v>109</v>
      </c>
      <c r="AC5" s="473"/>
      <c r="AD5" s="473"/>
      <c r="AE5" s="473"/>
      <c r="AF5" s="473"/>
      <c r="AG5" s="475" t="s">
        <v>109</v>
      </c>
      <c r="AH5" s="473"/>
      <c r="AI5" s="473"/>
      <c r="AJ5" s="473"/>
      <c r="AK5" s="473"/>
      <c r="AL5" s="475" t="s">
        <v>109</v>
      </c>
      <c r="AM5" s="473"/>
      <c r="AN5" s="473"/>
      <c r="AO5" s="473"/>
      <c r="AP5" s="473"/>
      <c r="AQ5" s="475" t="s">
        <v>109</v>
      </c>
      <c r="AR5" s="473"/>
      <c r="AS5" s="473"/>
      <c r="AT5" s="473"/>
      <c r="AU5" s="473"/>
      <c r="AV5" s="475" t="s">
        <v>109</v>
      </c>
      <c r="AW5" s="473"/>
      <c r="AX5" s="473"/>
      <c r="AY5" s="473"/>
      <c r="AZ5" s="473"/>
      <c r="BA5" s="475" t="s">
        <v>109</v>
      </c>
      <c r="BB5" s="475"/>
      <c r="BC5" s="473"/>
      <c r="BD5" s="473"/>
      <c r="BE5" s="473"/>
      <c r="BF5" s="475" t="s">
        <v>109</v>
      </c>
      <c r="BG5" s="475"/>
      <c r="BH5" s="473"/>
      <c r="BI5" s="473"/>
      <c r="BJ5" s="473"/>
      <c r="BK5" s="475" t="s">
        <v>109</v>
      </c>
      <c r="BL5" s="473"/>
      <c r="BM5" s="473"/>
      <c r="BN5" s="473"/>
      <c r="BO5" s="473"/>
      <c r="BP5" s="475" t="s">
        <v>109</v>
      </c>
      <c r="BQ5" s="473"/>
      <c r="BR5" s="473"/>
      <c r="BS5" s="473"/>
      <c r="BT5" s="473"/>
      <c r="BU5" s="475" t="s">
        <v>109</v>
      </c>
      <c r="BV5" s="473"/>
      <c r="BW5" s="473"/>
      <c r="BX5" s="473"/>
      <c r="BY5" s="473"/>
      <c r="BZ5" s="475" t="s">
        <v>109</v>
      </c>
      <c r="CA5" s="473"/>
      <c r="CB5" s="473"/>
      <c r="CC5" s="473"/>
      <c r="CD5" s="473"/>
      <c r="CE5" s="475" t="s">
        <v>109</v>
      </c>
      <c r="CF5" s="473"/>
      <c r="CG5" s="473"/>
      <c r="CH5" s="473"/>
      <c r="CI5" s="473"/>
      <c r="CJ5" s="475" t="s">
        <v>109</v>
      </c>
      <c r="CK5" s="473"/>
      <c r="CL5" s="473"/>
      <c r="CM5" s="473"/>
      <c r="CN5" s="473"/>
      <c r="CO5" s="475" t="s">
        <v>109</v>
      </c>
      <c r="CP5" s="473"/>
      <c r="CQ5" s="473"/>
      <c r="CR5" s="473"/>
      <c r="CS5" s="473"/>
      <c r="CT5" s="475" t="s">
        <v>109</v>
      </c>
      <c r="CU5" s="473"/>
      <c r="CV5" s="473"/>
      <c r="CW5" s="473"/>
      <c r="CX5" s="473"/>
      <c r="CY5" s="475" t="s">
        <v>109</v>
      </c>
      <c r="CZ5" s="473"/>
      <c r="DA5" s="473"/>
      <c r="DB5" s="473"/>
      <c r="DC5" s="473"/>
      <c r="DD5" s="475" t="s">
        <v>109</v>
      </c>
      <c r="DE5" s="476"/>
      <c r="DF5" s="476"/>
      <c r="DG5" s="476"/>
      <c r="DH5" s="473"/>
      <c r="DI5" s="475" t="s">
        <v>109</v>
      </c>
      <c r="DJ5" s="476"/>
      <c r="DK5" s="476"/>
      <c r="DL5" s="473"/>
      <c r="DM5" s="473"/>
      <c r="DN5" s="475" t="s">
        <v>109</v>
      </c>
      <c r="DO5" s="473"/>
      <c r="DP5" s="476"/>
      <c r="DQ5" s="476"/>
      <c r="DR5" s="473"/>
      <c r="DS5" s="475" t="s">
        <v>109</v>
      </c>
      <c r="DT5" s="473"/>
      <c r="DU5" s="476"/>
      <c r="DV5" s="476"/>
      <c r="DW5" s="473"/>
      <c r="DX5" s="475" t="s">
        <v>109</v>
      </c>
      <c r="DY5" s="473"/>
      <c r="DZ5" s="476"/>
      <c r="EA5" s="1158"/>
      <c r="EB5" s="473"/>
      <c r="EC5" s="475" t="s">
        <v>109</v>
      </c>
      <c r="ED5" s="1158"/>
      <c r="EE5" s="1158"/>
      <c r="EF5" s="1158"/>
      <c r="EG5" s="473"/>
      <c r="EH5" s="475" t="s">
        <v>109</v>
      </c>
      <c r="EI5" s="1158"/>
      <c r="EJ5" s="1158"/>
      <c r="EK5" s="1158"/>
      <c r="EL5" s="1158"/>
      <c r="EM5" s="1162" t="s">
        <v>109</v>
      </c>
      <c r="EN5" s="1158"/>
      <c r="EO5" s="1158"/>
      <c r="EP5" s="1158"/>
      <c r="EQ5" s="1158"/>
      <c r="ER5" s="1162" t="s">
        <v>109</v>
      </c>
      <c r="ES5" s="1158"/>
      <c r="ET5" s="1158"/>
      <c r="EU5" s="1158"/>
      <c r="EV5" s="1158"/>
      <c r="EW5" s="1162" t="s">
        <v>109</v>
      </c>
      <c r="EX5" s="1158"/>
      <c r="EY5" s="1158"/>
      <c r="EZ5" s="1158"/>
      <c r="FA5" s="1158"/>
      <c r="FB5" s="1162" t="s">
        <v>109</v>
      </c>
      <c r="FC5" s="1158"/>
      <c r="FD5" s="1158"/>
      <c r="FE5" s="1158"/>
      <c r="FF5" s="1158"/>
      <c r="FG5" s="1162" t="s">
        <v>109</v>
      </c>
      <c r="FH5" s="1158"/>
      <c r="FI5" s="1158"/>
      <c r="FJ5" s="1158"/>
      <c r="FK5" s="1158"/>
      <c r="FL5" s="1162" t="s">
        <v>109</v>
      </c>
      <c r="FM5" s="2635"/>
      <c r="FN5" s="473"/>
      <c r="FO5" s="474"/>
      <c r="FP5" s="474"/>
      <c r="FQ5" s="474"/>
      <c r="FR5" s="474"/>
      <c r="FS5" s="474"/>
      <c r="FT5" s="474"/>
      <c r="FU5" s="474"/>
      <c r="FV5" s="474"/>
      <c r="FW5" s="474"/>
      <c r="FX5" s="474"/>
      <c r="FY5" s="474"/>
      <c r="FZ5" s="474"/>
      <c r="GA5" s="474"/>
      <c r="GB5" s="474"/>
      <c r="GC5" s="474"/>
      <c r="GD5" s="1159"/>
      <c r="GE5" s="1159"/>
      <c r="GF5" s="1159"/>
      <c r="GG5" s="1159"/>
      <c r="GH5" s="1159"/>
      <c r="GI5" s="1159"/>
      <c r="GJ5" s="2530"/>
      <c r="GK5" s="2530"/>
      <c r="GL5" s="2530"/>
      <c r="GM5" s="2530"/>
      <c r="GO5"/>
      <c r="GP5"/>
      <c r="GQ5"/>
      <c r="GR5"/>
      <c r="GS5"/>
      <c r="GT5"/>
      <c r="GU5" s="261"/>
      <c r="GV5" s="261"/>
      <c r="GW5" s="261"/>
      <c r="GX5" s="261"/>
      <c r="GY5" s="261"/>
      <c r="GZ5" s="261"/>
      <c r="HA5" s="261"/>
      <c r="HB5" s="261"/>
      <c r="HC5" s="261"/>
      <c r="HD5" s="261"/>
      <c r="HE5" s="261"/>
      <c r="HF5" s="261"/>
      <c r="HG5" s="261"/>
      <c r="HH5" s="261"/>
      <c r="HI5" s="261"/>
      <c r="HJ5" s="261"/>
      <c r="HK5" s="261"/>
      <c r="HL5" s="261"/>
      <c r="HM5" s="261"/>
      <c r="HN5" s="261"/>
      <c r="HO5" s="261"/>
      <c r="HP5" s="261"/>
      <c r="HQ5" s="261"/>
      <c r="HR5" s="261"/>
      <c r="HS5" s="261"/>
      <c r="HT5" s="261"/>
      <c r="HU5" s="261"/>
      <c r="HV5" s="261"/>
      <c r="HW5" s="261"/>
      <c r="HX5" s="261"/>
      <c r="HY5" s="261"/>
      <c r="HZ5" s="261"/>
      <c r="IA5" s="261"/>
      <c r="IB5" s="261"/>
      <c r="IC5" s="261"/>
      <c r="ID5" s="261"/>
      <c r="IE5" s="261"/>
      <c r="IF5" s="261"/>
      <c r="IG5" s="261"/>
      <c r="IH5" s="261"/>
      <c r="II5" s="261"/>
      <c r="IJ5" s="261"/>
      <c r="IK5" s="261"/>
      <c r="IL5" s="261"/>
      <c r="IM5" s="261"/>
      <c r="IN5" s="261"/>
      <c r="IO5" s="261"/>
      <c r="IP5" s="261"/>
      <c r="IQ5" s="261"/>
      <c r="IR5" s="261"/>
      <c r="IS5" s="261"/>
      <c r="IT5" s="261"/>
      <c r="IU5" s="261"/>
      <c r="IV5" s="261"/>
      <c r="IW5" s="261"/>
      <c r="IX5" s="261"/>
      <c r="IY5" s="261"/>
      <c r="IZ5" s="261"/>
      <c r="JA5" s="261"/>
      <c r="JB5" s="261"/>
      <c r="JC5" s="261"/>
      <c r="JD5" s="261"/>
      <c r="JE5" s="261"/>
      <c r="JF5" s="261"/>
      <c r="JG5" s="261"/>
      <c r="JH5" s="261"/>
      <c r="JI5" s="261"/>
      <c r="JJ5" s="261"/>
      <c r="JK5" s="261"/>
      <c r="JL5" s="261"/>
      <c r="JM5" s="261"/>
      <c r="JN5" s="261"/>
      <c r="JO5" s="261"/>
      <c r="JP5" s="261"/>
      <c r="JQ5" s="261"/>
      <c r="JR5" s="261"/>
      <c r="JS5" s="261"/>
      <c r="JT5" s="261"/>
    </row>
    <row r="6" spans="1:280" s="295" customFormat="1" ht="11.25" customHeight="1">
      <c r="D6" s="477">
        <f>IS!D7</f>
        <v>32416</v>
      </c>
      <c r="E6" s="477">
        <f>IS!E7</f>
        <v>32508</v>
      </c>
      <c r="F6" s="477">
        <f>IS!F7</f>
        <v>32598</v>
      </c>
      <c r="G6" s="477">
        <f>IS!G7</f>
        <v>32689</v>
      </c>
      <c r="H6" s="1125">
        <v>1989</v>
      </c>
      <c r="I6" s="477">
        <f>IS!I7</f>
        <v>32781</v>
      </c>
      <c r="J6" s="477">
        <f>IS!J7</f>
        <v>32873</v>
      </c>
      <c r="K6" s="477">
        <f>IS!K7</f>
        <v>32963</v>
      </c>
      <c r="L6" s="477">
        <f>IS!L7</f>
        <v>33054</v>
      </c>
      <c r="M6" s="479" t="str">
        <f>IS!M7</f>
        <v>1990</v>
      </c>
      <c r="N6" s="477">
        <f>IS!N7</f>
        <v>33146</v>
      </c>
      <c r="O6" s="477">
        <f>IS!O7</f>
        <v>33238</v>
      </c>
      <c r="P6" s="477">
        <f>IS!P7</f>
        <v>33328</v>
      </c>
      <c r="Q6" s="477">
        <f>IS!Q7</f>
        <v>33419</v>
      </c>
      <c r="R6" s="479" t="str">
        <f>IS!R7</f>
        <v>1991</v>
      </c>
      <c r="S6" s="477">
        <f>IS!S7</f>
        <v>33511</v>
      </c>
      <c r="T6" s="477">
        <f>IS!T7</f>
        <v>33603</v>
      </c>
      <c r="U6" s="477">
        <f>IS!U7</f>
        <v>33694</v>
      </c>
      <c r="V6" s="477">
        <f>IS!V7</f>
        <v>33785</v>
      </c>
      <c r="W6" s="479" t="str">
        <f>IS!W7</f>
        <v>1992</v>
      </c>
      <c r="X6" s="477">
        <f>IS!X7</f>
        <v>33877</v>
      </c>
      <c r="Y6" s="477">
        <f>IS!Y7</f>
        <v>33969</v>
      </c>
      <c r="Z6" s="477">
        <f>IS!Z7</f>
        <v>34059</v>
      </c>
      <c r="AA6" s="477">
        <f>IS!AA7</f>
        <v>34150</v>
      </c>
      <c r="AB6" s="479" t="str">
        <f>IS!AB7</f>
        <v>1993</v>
      </c>
      <c r="AC6" s="477">
        <f>IS!AC7</f>
        <v>34242</v>
      </c>
      <c r="AD6" s="477">
        <f>IS!AD7</f>
        <v>34334</v>
      </c>
      <c r="AE6" s="477">
        <f>IS!AE7</f>
        <v>34424</v>
      </c>
      <c r="AF6" s="477">
        <f>IS!AF7</f>
        <v>34515</v>
      </c>
      <c r="AG6" s="479" t="str">
        <f>IS!AG7</f>
        <v>1994</v>
      </c>
      <c r="AH6" s="477">
        <f>IS!AH7</f>
        <v>34607</v>
      </c>
      <c r="AI6" s="477">
        <f>IS!AI7</f>
        <v>34699</v>
      </c>
      <c r="AJ6" s="477">
        <f>IS!AJ7</f>
        <v>34789</v>
      </c>
      <c r="AK6" s="477">
        <f>IS!AK7</f>
        <v>34880</v>
      </c>
      <c r="AL6" s="479" t="str">
        <f>IS!AL7</f>
        <v>1995</v>
      </c>
      <c r="AM6" s="477">
        <f>IS!AM7</f>
        <v>34972</v>
      </c>
      <c r="AN6" s="477">
        <f>IS!AN7</f>
        <v>35064</v>
      </c>
      <c r="AO6" s="477">
        <f>IS!AO7</f>
        <v>35155</v>
      </c>
      <c r="AP6" s="477">
        <f>IS!AP7</f>
        <v>35246</v>
      </c>
      <c r="AQ6" s="479" t="str">
        <f>IS!AQ7</f>
        <v>1996</v>
      </c>
      <c r="AR6" s="477">
        <f>IS!AR7</f>
        <v>35338</v>
      </c>
      <c r="AS6" s="477">
        <f>IS!AS7</f>
        <v>35430</v>
      </c>
      <c r="AT6" s="477">
        <f>IS!AT7</f>
        <v>35520</v>
      </c>
      <c r="AU6" s="477">
        <f>IS!AU7</f>
        <v>35611</v>
      </c>
      <c r="AV6" s="479" t="str">
        <f>IS!AV7</f>
        <v>1997</v>
      </c>
      <c r="AW6" s="477">
        <f>IS!AW7</f>
        <v>35703</v>
      </c>
      <c r="AX6" s="477">
        <f>IS!AX7</f>
        <v>35795</v>
      </c>
      <c r="AY6" s="477">
        <f>IS!AY7</f>
        <v>35885</v>
      </c>
      <c r="AZ6" s="477">
        <f>IS!AZ7</f>
        <v>35976</v>
      </c>
      <c r="BA6" s="479" t="str">
        <f>IS!BA7</f>
        <v>1998</v>
      </c>
      <c r="BB6" s="479">
        <f>IS!BB7</f>
        <v>36068</v>
      </c>
      <c r="BC6" s="477">
        <f>IS!BC7</f>
        <v>36160</v>
      </c>
      <c r="BD6" s="477">
        <f>IS!BD7</f>
        <v>36250</v>
      </c>
      <c r="BE6" s="477">
        <f>IS!BE7</f>
        <v>36341</v>
      </c>
      <c r="BF6" s="479" t="str">
        <f>IS!BF7</f>
        <v>1999</v>
      </c>
      <c r="BG6" s="479">
        <f>IS!BG7</f>
        <v>36433</v>
      </c>
      <c r="BH6" s="477">
        <f>IS!BH7</f>
        <v>36525</v>
      </c>
      <c r="BI6" s="477">
        <f>IS!BI7</f>
        <v>36616</v>
      </c>
      <c r="BJ6" s="477">
        <f>IS!BJ7</f>
        <v>36707</v>
      </c>
      <c r="BK6" s="479" t="str">
        <f>IS!BK7</f>
        <v>2000</v>
      </c>
      <c r="BL6" s="477">
        <f>IS!BL7</f>
        <v>36799</v>
      </c>
      <c r="BM6" s="477">
        <f>IS!BM7</f>
        <v>36891</v>
      </c>
      <c r="BN6" s="477">
        <f>IS!BN7</f>
        <v>36981</v>
      </c>
      <c r="BO6" s="477">
        <f>IS!BO7</f>
        <v>37072</v>
      </c>
      <c r="BP6" s="479" t="str">
        <f>IS!BP7</f>
        <v>2001</v>
      </c>
      <c r="BQ6" s="477">
        <f>IS!BQ7</f>
        <v>37164</v>
      </c>
      <c r="BR6" s="477">
        <f>IS!BR7</f>
        <v>37256</v>
      </c>
      <c r="BS6" s="477">
        <f>IS!BS7</f>
        <v>37346</v>
      </c>
      <c r="BT6" s="477">
        <f>IS!BT7</f>
        <v>37437</v>
      </c>
      <c r="BU6" s="479" t="str">
        <f>IS!BU7</f>
        <v>2002</v>
      </c>
      <c r="BV6" s="477">
        <f>IS!BV7</f>
        <v>37529</v>
      </c>
      <c r="BW6" s="477">
        <f>IS!BW7</f>
        <v>37621</v>
      </c>
      <c r="BX6" s="477">
        <f>IS!BX7</f>
        <v>37711</v>
      </c>
      <c r="BY6" s="477">
        <f>IS!BY7</f>
        <v>37802</v>
      </c>
      <c r="BZ6" s="479" t="str">
        <f>IS!BZ7</f>
        <v>2003</v>
      </c>
      <c r="CA6" s="477">
        <f>IS!CA7</f>
        <v>37894</v>
      </c>
      <c r="CB6" s="477">
        <f>IS!CB7</f>
        <v>37986</v>
      </c>
      <c r="CC6" s="477">
        <f>IS!CC7</f>
        <v>38077</v>
      </c>
      <c r="CD6" s="477">
        <f>IS!CD7</f>
        <v>38168</v>
      </c>
      <c r="CE6" s="479" t="str">
        <f>IS!CE7</f>
        <v>2004</v>
      </c>
      <c r="CF6" s="477">
        <f>IS!CF7</f>
        <v>38260</v>
      </c>
      <c r="CG6" s="477">
        <f>IS!CG7</f>
        <v>38352</v>
      </c>
      <c r="CH6" s="477">
        <f>IS!CH7</f>
        <v>38442</v>
      </c>
      <c r="CI6" s="477">
        <f>IS!CI7</f>
        <v>38533</v>
      </c>
      <c r="CJ6" s="479" t="str">
        <f>IS!CJ7</f>
        <v>2005</v>
      </c>
      <c r="CK6" s="480">
        <f>IS!CK7</f>
        <v>38625</v>
      </c>
      <c r="CL6" s="480">
        <f>IS!CL7</f>
        <v>38717</v>
      </c>
      <c r="CM6" s="480">
        <f>IS!CM7</f>
        <v>38807</v>
      </c>
      <c r="CN6" s="480">
        <f>IS!CN7</f>
        <v>38898</v>
      </c>
      <c r="CO6" s="479" t="str">
        <f>IS!CO7</f>
        <v>2006</v>
      </c>
      <c r="CP6" s="480">
        <f>IS!CP7</f>
        <v>38990</v>
      </c>
      <c r="CQ6" s="480">
        <f>IS!CQ7</f>
        <v>39082</v>
      </c>
      <c r="CR6" s="480">
        <f>IS!CR7</f>
        <v>39172</v>
      </c>
      <c r="CS6" s="480">
        <f>IS!CS7</f>
        <v>39263</v>
      </c>
      <c r="CT6" s="479" t="str">
        <f>IS!CT7</f>
        <v>2007</v>
      </c>
      <c r="CU6" s="480">
        <f>IS!CU7</f>
        <v>39355</v>
      </c>
      <c r="CV6" s="480">
        <f>IS!CV7</f>
        <v>39447</v>
      </c>
      <c r="CW6" s="480">
        <f>IS!CW7</f>
        <v>39538</v>
      </c>
      <c r="CX6" s="480">
        <f>IS!CX7</f>
        <v>39607</v>
      </c>
      <c r="CY6" s="479" t="str">
        <f>IS!CY7</f>
        <v>2008</v>
      </c>
      <c r="CZ6" s="480">
        <f>IS!CZ7</f>
        <v>39699</v>
      </c>
      <c r="DA6" s="480">
        <f>IS!DA7</f>
        <v>39790</v>
      </c>
      <c r="DB6" s="480">
        <f>IS!DB7</f>
        <v>39881</v>
      </c>
      <c r="DC6" s="480">
        <f>IS!DC7</f>
        <v>39973</v>
      </c>
      <c r="DD6" s="479" t="str">
        <f>IS!DD7</f>
        <v>2009</v>
      </c>
      <c r="DE6" s="480">
        <f>IS!DE7</f>
        <v>40065</v>
      </c>
      <c r="DF6" s="477" t="str">
        <f>IS!DF7</f>
        <v>Dec-09</v>
      </c>
      <c r="DG6" s="477" t="str">
        <f>IS!DG7</f>
        <v>Mar-10</v>
      </c>
      <c r="DH6" s="480" t="str">
        <f>IS!DH7</f>
        <v>Jun-10</v>
      </c>
      <c r="DI6" s="479" t="str">
        <f>IS!DI7</f>
        <v>2010</v>
      </c>
      <c r="DJ6" s="480" t="str">
        <f>IS!DJ7</f>
        <v>Sep-10</v>
      </c>
      <c r="DK6" s="480" t="str">
        <f>IS!DK7</f>
        <v>Dec-10</v>
      </c>
      <c r="DL6" s="477" t="str">
        <f>IS!DL7</f>
        <v>Mar-11</v>
      </c>
      <c r="DM6" s="480" t="str">
        <f>IS!DM7</f>
        <v>Jun-11</v>
      </c>
      <c r="DN6" s="479" t="str">
        <f>IS!DN7</f>
        <v>2011</v>
      </c>
      <c r="DO6" s="477" t="str">
        <f>IS!DO7</f>
        <v>Sep-11</v>
      </c>
      <c r="DP6" s="480" t="str">
        <f>IS!DP7</f>
        <v>Dec-11</v>
      </c>
      <c r="DQ6" s="480" t="str">
        <f>IS!DQ7</f>
        <v>Mar-12</v>
      </c>
      <c r="DR6" s="480" t="str">
        <f>IS!DR7</f>
        <v>Jun-12</v>
      </c>
      <c r="DS6" s="479" t="str">
        <f>IS!DS7</f>
        <v>2012</v>
      </c>
      <c r="DT6" s="477" t="str">
        <f>IS!DT7</f>
        <v>Sep-12</v>
      </c>
      <c r="DU6" s="480" t="str">
        <f>IS!DU7</f>
        <v>Dec-12</v>
      </c>
      <c r="DV6" s="480" t="str">
        <f>IS!DV7</f>
        <v>Mar-13</v>
      </c>
      <c r="DW6" s="477" t="str">
        <f>IS!DW7</f>
        <v>Jun-13</v>
      </c>
      <c r="DX6" s="479" t="str">
        <f>IS!DX7</f>
        <v>2013</v>
      </c>
      <c r="DY6" s="477" t="str">
        <f>IS!DY7</f>
        <v>Sep-13</v>
      </c>
      <c r="DZ6" s="480" t="str">
        <f>IS!DZ7</f>
        <v>Dec-13</v>
      </c>
      <c r="EA6" s="480" t="str">
        <f>IS!EA7</f>
        <v>Mar-14</v>
      </c>
      <c r="EB6" s="477" t="str">
        <f>IS!EB7</f>
        <v>Jun-14</v>
      </c>
      <c r="EC6" s="479" t="str">
        <f>IS!EC7</f>
        <v>2014</v>
      </c>
      <c r="ED6" s="477" t="str">
        <f>IS!ED7</f>
        <v>Sep-14</v>
      </c>
      <c r="EE6" s="480" t="str">
        <f>IS!EE7</f>
        <v>Dec-14</v>
      </c>
      <c r="EF6" s="480" t="str">
        <f>IS!EF7</f>
        <v>Mar-15</v>
      </c>
      <c r="EG6" s="477" t="str">
        <f>IS!EG7</f>
        <v>Jun-15</v>
      </c>
      <c r="EH6" s="479" t="str">
        <f>IS!EH7</f>
        <v>2015</v>
      </c>
      <c r="EI6" s="477" t="str">
        <f>IS!EI7</f>
        <v>Sep-15</v>
      </c>
      <c r="EJ6" s="480" t="str">
        <f>IS!EJ7</f>
        <v>Dec-15</v>
      </c>
      <c r="EK6" s="480" t="str">
        <f>IS!EK7</f>
        <v>Mar-16</v>
      </c>
      <c r="EL6" s="477" t="str">
        <f>IS!EL7</f>
        <v>Jun-16</v>
      </c>
      <c r="EM6" s="1161" t="str">
        <f>IS!EM7</f>
        <v>2016</v>
      </c>
      <c r="EN6" s="1160" t="str">
        <f>IS!EN7</f>
        <v>Sep-16</v>
      </c>
      <c r="EO6" s="1160" t="str">
        <f>IS!EO7</f>
        <v>Dec-16</v>
      </c>
      <c r="EP6" s="1160" t="str">
        <f>IS!EP7</f>
        <v>Mar-17</v>
      </c>
      <c r="EQ6" s="1160" t="str">
        <f>IS!EQ7</f>
        <v>Jun-17</v>
      </c>
      <c r="ER6" s="1161" t="str">
        <f>IS!ER7</f>
        <v>2017</v>
      </c>
      <c r="ES6" s="1160" t="str">
        <f>IS!ES7</f>
        <v>Sep-17</v>
      </c>
      <c r="ET6" s="1160" t="str">
        <f>IS!ET7</f>
        <v>Dec-17</v>
      </c>
      <c r="EU6" s="1160" t="str">
        <f>IS!EU7</f>
        <v>Mar-18</v>
      </c>
      <c r="EV6" s="1160" t="str">
        <f>IS!EV7</f>
        <v>Jun-18E</v>
      </c>
      <c r="EW6" s="1161" t="str">
        <f>IS!EW7</f>
        <v>2018E</v>
      </c>
      <c r="EX6" s="1160" t="str">
        <f>IS!EX7</f>
        <v>Sep-18E</v>
      </c>
      <c r="EY6" s="1160" t="str">
        <f>IS!EY7</f>
        <v>Dec-18E</v>
      </c>
      <c r="EZ6" s="1160" t="str">
        <f>IS!EZ7</f>
        <v>Mar-19E</v>
      </c>
      <c r="FA6" s="1160" t="str">
        <f>IS!FA7</f>
        <v>Jun-19E</v>
      </c>
      <c r="FB6" s="1161" t="str">
        <f>IS!FB7</f>
        <v>2019E</v>
      </c>
      <c r="FC6" s="1160" t="str">
        <f>IS!FC7</f>
        <v>Sep-19E</v>
      </c>
      <c r="FD6" s="1160" t="str">
        <f>IS!FD7</f>
        <v>Dec-19E</v>
      </c>
      <c r="FE6" s="1160" t="str">
        <f>IS!FE7</f>
        <v>Mar-20E</v>
      </c>
      <c r="FF6" s="1160" t="str">
        <f>IS!FF7</f>
        <v>Jun-20E</v>
      </c>
      <c r="FG6" s="1161" t="str">
        <f>IS!FG7</f>
        <v>2020E</v>
      </c>
      <c r="FH6" s="1160" t="str">
        <f>IS!FH7</f>
        <v>Sep-20E</v>
      </c>
      <c r="FI6" s="1160" t="str">
        <f>IS!FI7</f>
        <v>Dec-20E</v>
      </c>
      <c r="FJ6" s="1160" t="str">
        <f>IS!FJ7</f>
        <v>Mar-21E</v>
      </c>
      <c r="FK6" s="1160" t="str">
        <f>IS!FK7</f>
        <v>Jun-21E</v>
      </c>
      <c r="FL6" s="1161" t="str">
        <f>IS!FL7</f>
        <v>2021E</v>
      </c>
      <c r="FM6" s="1160"/>
      <c r="FN6" s="534"/>
      <c r="FO6" s="535" t="s">
        <v>450</v>
      </c>
      <c r="FP6" s="535" t="s">
        <v>449</v>
      </c>
      <c r="FQ6" s="535" t="s">
        <v>448</v>
      </c>
      <c r="FR6" s="535" t="s">
        <v>447</v>
      </c>
      <c r="FS6" s="535" t="s">
        <v>446</v>
      </c>
      <c r="FT6" s="535" t="s">
        <v>445</v>
      </c>
      <c r="FU6" s="535" t="s">
        <v>444</v>
      </c>
      <c r="FV6" s="535" t="s">
        <v>443</v>
      </c>
      <c r="FW6" s="535" t="s">
        <v>442</v>
      </c>
      <c r="FX6" s="535" t="s">
        <v>132</v>
      </c>
      <c r="FY6" s="535" t="s">
        <v>256</v>
      </c>
      <c r="FZ6" s="535" t="s">
        <v>6</v>
      </c>
      <c r="GA6" s="535" t="s">
        <v>7</v>
      </c>
      <c r="GB6" s="535" t="s">
        <v>982</v>
      </c>
      <c r="GC6" s="535" t="s">
        <v>983</v>
      </c>
      <c r="GD6" s="1163" t="s">
        <v>1423</v>
      </c>
      <c r="GE6" s="1163" t="s">
        <v>1143</v>
      </c>
      <c r="GF6" s="1163" t="s">
        <v>1424</v>
      </c>
      <c r="GG6" s="1163" t="s">
        <v>1020</v>
      </c>
      <c r="GH6" s="1163" t="s">
        <v>1142</v>
      </c>
      <c r="GI6" s="1163" t="s">
        <v>1444</v>
      </c>
      <c r="GJ6" s="2531"/>
      <c r="GK6" s="2531"/>
      <c r="GL6" s="2531"/>
      <c r="GM6" s="2531"/>
      <c r="GO6"/>
      <c r="GP6"/>
      <c r="GQ6"/>
      <c r="GR6"/>
      <c r="GS6"/>
      <c r="GT6"/>
      <c r="GU6" s="261"/>
      <c r="GV6" s="261"/>
      <c r="GW6" s="261"/>
      <c r="GX6" s="261"/>
      <c r="GY6" s="261"/>
      <c r="GZ6" s="261"/>
      <c r="HA6" s="261"/>
      <c r="HB6" s="261"/>
      <c r="HC6" s="261"/>
      <c r="HD6" s="261"/>
      <c r="HE6" s="261"/>
      <c r="HF6" s="261"/>
      <c r="HG6" s="261"/>
      <c r="HH6" s="261"/>
      <c r="HI6" s="261"/>
      <c r="HJ6" s="261"/>
      <c r="HK6" s="261"/>
      <c r="HL6" s="261"/>
      <c r="HM6" s="261"/>
      <c r="HN6" s="261"/>
      <c r="HO6" s="261"/>
      <c r="HP6" s="261"/>
      <c r="HQ6" s="261"/>
      <c r="HR6" s="261"/>
      <c r="HS6" s="261"/>
      <c r="HT6" s="261"/>
      <c r="HU6" s="261"/>
      <c r="HV6" s="261"/>
      <c r="HW6" s="261"/>
      <c r="HX6" s="261"/>
      <c r="HY6" s="261"/>
      <c r="HZ6" s="261"/>
      <c r="IA6" s="261"/>
      <c r="IB6" s="261"/>
      <c r="IC6" s="261"/>
      <c r="ID6" s="261"/>
      <c r="IE6" s="261"/>
      <c r="IF6" s="261"/>
      <c r="IG6" s="261"/>
      <c r="IH6" s="261"/>
      <c r="II6" s="261"/>
      <c r="IJ6" s="261"/>
      <c r="IK6" s="261"/>
      <c r="IL6" s="261"/>
      <c r="IM6" s="261"/>
      <c r="IN6" s="261"/>
      <c r="IO6" s="261"/>
      <c r="IP6" s="261"/>
      <c r="IQ6" s="261"/>
      <c r="IR6" s="261"/>
      <c r="IS6" s="261"/>
      <c r="IT6" s="261"/>
      <c r="IU6" s="261"/>
      <c r="IV6" s="261"/>
      <c r="IW6" s="261"/>
      <c r="IX6" s="261"/>
      <c r="IY6" s="261"/>
      <c r="IZ6" s="261"/>
      <c r="JA6" s="261"/>
      <c r="JB6" s="261"/>
      <c r="JC6" s="261"/>
      <c r="JD6" s="261"/>
      <c r="JE6" s="261"/>
      <c r="JF6" s="261"/>
      <c r="JG6" s="261"/>
      <c r="JH6" s="261"/>
      <c r="JI6" s="261"/>
      <c r="JJ6" s="261"/>
      <c r="JK6" s="261"/>
      <c r="JL6" s="261"/>
      <c r="JM6" s="261"/>
      <c r="JN6" s="261"/>
      <c r="JO6" s="261"/>
      <c r="JP6" s="261"/>
      <c r="JQ6" s="261"/>
      <c r="JR6" s="261"/>
      <c r="JS6" s="261"/>
      <c r="JT6" s="261"/>
    </row>
    <row r="7" spans="1:280" s="264" customFormat="1" ht="11.25" customHeight="1">
      <c r="A7" s="264" t="s">
        <v>841</v>
      </c>
      <c r="D7" s="277">
        <f>+IS!D79</f>
        <v>37</v>
      </c>
      <c r="E7" s="277">
        <f>+IS!E79</f>
        <v>46.705000000000013</v>
      </c>
      <c r="F7" s="277">
        <f>+IS!F79</f>
        <v>41.203000000000003</v>
      </c>
      <c r="G7" s="277">
        <f>+IS!G79</f>
        <v>46.405000000000001</v>
      </c>
      <c r="H7" s="372">
        <f>SUM(D7:G7)</f>
        <v>171.31300000000002</v>
      </c>
      <c r="I7" s="277">
        <f>+IS!I79</f>
        <v>50.122</v>
      </c>
      <c r="J7" s="277">
        <f>+IS!J79</f>
        <v>73.704000000000008</v>
      </c>
      <c r="K7" s="277">
        <f>+IS!K79</f>
        <v>74.873999999999995</v>
      </c>
      <c r="L7" s="277">
        <f>+IS!L79</f>
        <v>80.485000000000014</v>
      </c>
      <c r="M7" s="372">
        <f>SUM(I7:L7)</f>
        <v>279.185</v>
      </c>
      <c r="N7" s="277">
        <f>+IS!N79</f>
        <v>87.399999999999977</v>
      </c>
      <c r="O7" s="277">
        <f>+IS!O79</f>
        <v>112.5</v>
      </c>
      <c r="P7" s="277">
        <f>+IS!P79</f>
        <v>124</v>
      </c>
      <c r="Q7" s="277">
        <f>+IS!Q79</f>
        <v>139</v>
      </c>
      <c r="R7" s="372">
        <f>SUM(N7:Q7)</f>
        <v>462.9</v>
      </c>
      <c r="S7" s="277">
        <f>+IS!S79</f>
        <v>144</v>
      </c>
      <c r="T7" s="277">
        <f>+IS!T79</f>
        <v>175</v>
      </c>
      <c r="U7" s="277">
        <f>+IS!U79</f>
        <v>179</v>
      </c>
      <c r="V7" s="277">
        <f>+IS!V79</f>
        <v>210.2</v>
      </c>
      <c r="W7" s="372">
        <f>SUM(S7:V7)</f>
        <v>708.2</v>
      </c>
      <c r="X7" s="277">
        <f>+IS!X79</f>
        <v>209</v>
      </c>
      <c r="Y7" s="277">
        <f>+IS!Y79</f>
        <v>236</v>
      </c>
      <c r="Z7" s="277">
        <f>+IS!Z79</f>
        <v>243</v>
      </c>
      <c r="AA7" s="277">
        <f>+IS!AA79</f>
        <v>265</v>
      </c>
      <c r="AB7" s="372">
        <f>SUM(X7:AA7)</f>
        <v>953</v>
      </c>
      <c r="AC7" s="277">
        <f>+IS!AC79</f>
        <v>239</v>
      </c>
      <c r="AD7" s="277">
        <f>+IS!AD79</f>
        <v>289</v>
      </c>
      <c r="AE7" s="277">
        <f>+IS!AE79</f>
        <v>256</v>
      </c>
      <c r="AF7" s="277">
        <f>+IS!AF79</f>
        <v>362</v>
      </c>
      <c r="AG7" s="372">
        <f>SUM(AC7:AF7)</f>
        <v>1146</v>
      </c>
      <c r="AH7" s="277">
        <f>+IS!AH79</f>
        <v>316</v>
      </c>
      <c r="AI7" s="277">
        <f>+IS!AI79</f>
        <v>373</v>
      </c>
      <c r="AJ7" s="277">
        <f>+IS!AJ79</f>
        <v>396</v>
      </c>
      <c r="AK7" s="277">
        <f>+IS!AK79</f>
        <v>322</v>
      </c>
      <c r="AL7" s="372">
        <f>SUM(AH7:AK7)</f>
        <v>1407</v>
      </c>
      <c r="AM7" s="277">
        <f>+IS!AM79</f>
        <v>499</v>
      </c>
      <c r="AN7" s="277">
        <f>+IS!AN79</f>
        <v>575</v>
      </c>
      <c r="AO7" s="277">
        <f>+IS!AO79</f>
        <v>562</v>
      </c>
      <c r="AP7" s="277">
        <f>+IS!AP79</f>
        <v>559</v>
      </c>
      <c r="AQ7" s="372">
        <f>SUM(AM7:AP7)</f>
        <v>2195</v>
      </c>
      <c r="AR7" s="277">
        <f>+IS!AR79</f>
        <v>614</v>
      </c>
      <c r="AS7" s="277">
        <f>+IS!AS79</f>
        <v>741</v>
      </c>
      <c r="AT7" s="277">
        <f>+IS!AT79</f>
        <v>1042</v>
      </c>
      <c r="AU7" s="277">
        <f>+IS!AU79</f>
        <v>1057</v>
      </c>
      <c r="AV7" s="372">
        <f>SUM(AR7:AU7)</f>
        <v>3454</v>
      </c>
      <c r="AW7" s="277">
        <f>+IS!AW79</f>
        <v>663</v>
      </c>
      <c r="AX7" s="428">
        <f>+IS!AX79</f>
        <v>1133</v>
      </c>
      <c r="AY7" s="428">
        <f>+IS!AY79</f>
        <v>1337</v>
      </c>
      <c r="AZ7" s="428">
        <f>+IS!AZ79</f>
        <v>1357</v>
      </c>
      <c r="BA7" s="372">
        <f>SUM(AW7:AZ7)</f>
        <v>4490</v>
      </c>
      <c r="BB7" s="372">
        <f>+IS!BB79</f>
        <v>1683</v>
      </c>
      <c r="BC7" s="277">
        <f>+IS!BC79</f>
        <v>1983</v>
      </c>
      <c r="BD7" s="277">
        <f>+IS!BD79</f>
        <v>1917</v>
      </c>
      <c r="BE7" s="277">
        <f>+IS!BE79</f>
        <v>2202</v>
      </c>
      <c r="BF7" s="372">
        <f>SUM(BB7:BE7)</f>
        <v>7785</v>
      </c>
      <c r="BG7" s="372">
        <f>+IS!BG79</f>
        <v>2191</v>
      </c>
      <c r="BH7" s="277">
        <f>+IS!BH79</f>
        <v>2436</v>
      </c>
      <c r="BI7" s="277">
        <f>+IS!BI79</f>
        <v>2385</v>
      </c>
      <c r="BJ7" s="277">
        <f>+IS!BJ79</f>
        <v>2409</v>
      </c>
      <c r="BK7" s="372">
        <f>SUM(BG7:BJ7)</f>
        <v>9421</v>
      </c>
      <c r="BL7" s="277">
        <f>+IS!BL79</f>
        <v>2206</v>
      </c>
      <c r="BM7" s="277">
        <f>+IS!BM79</f>
        <v>2624</v>
      </c>
      <c r="BN7" s="277">
        <f>+IS!BN79</f>
        <v>2451</v>
      </c>
      <c r="BO7" s="277">
        <f>+IS!BO79</f>
        <v>65</v>
      </c>
      <c r="BP7" s="372">
        <f>SUM(BL7:BO7)</f>
        <v>7346</v>
      </c>
      <c r="BQ7" s="277">
        <f>+IS!BQ79</f>
        <v>1283</v>
      </c>
      <c r="BR7" s="277">
        <f>+IS!BR79</f>
        <v>2283</v>
      </c>
      <c r="BS7" s="277">
        <f>+IS!BS79</f>
        <v>2738</v>
      </c>
      <c r="BT7" s="277">
        <f>+IS!BT79</f>
        <v>1525</v>
      </c>
      <c r="BU7" s="372">
        <f>SUM(BQ7:BT7)</f>
        <v>7829</v>
      </c>
      <c r="BV7" s="277">
        <f>+IS!BV79</f>
        <v>2041</v>
      </c>
      <c r="BW7" s="277">
        <f>+IS!BW79</f>
        <v>1865</v>
      </c>
      <c r="BX7" s="277">
        <f>+IS!BX79</f>
        <v>2141.9899999999998</v>
      </c>
      <c r="BY7" s="277">
        <f>+IS!BY79</f>
        <v>1483.3799999999999</v>
      </c>
      <c r="BZ7" s="372">
        <f>SUM(BV7:BY7)</f>
        <v>7531.37</v>
      </c>
      <c r="CA7" s="277">
        <f>+IS!CA79</f>
        <v>2614</v>
      </c>
      <c r="CB7" s="277">
        <f>+IS!CB79</f>
        <v>1549.04</v>
      </c>
      <c r="CC7" s="277">
        <f>+IS!CC79</f>
        <v>1315</v>
      </c>
      <c r="CD7" s="277">
        <f>+IS!CD79</f>
        <v>2689</v>
      </c>
      <c r="CE7" s="372">
        <f>SUM(CA7:CD7)</f>
        <v>8167.04</v>
      </c>
      <c r="CF7" s="277">
        <f>+IS!CF79</f>
        <v>2528</v>
      </c>
      <c r="CG7" s="277">
        <f>+IS!CG79</f>
        <v>3463</v>
      </c>
      <c r="CH7" s="277">
        <f>+IS!CH79</f>
        <v>2563</v>
      </c>
      <c r="CI7" s="277">
        <f>+IS!CI79</f>
        <v>3700</v>
      </c>
      <c r="CJ7" s="372">
        <f>SUM(CF7:CI7)</f>
        <v>12254</v>
      </c>
      <c r="CK7" s="277">
        <f>+IS!CK79</f>
        <v>3141</v>
      </c>
      <c r="CL7" s="277">
        <f>+IS!CL79-1</f>
        <v>3653</v>
      </c>
      <c r="CM7" s="277">
        <f>+IS!CM79-1</f>
        <v>2977</v>
      </c>
      <c r="CN7" s="277">
        <f>+IS!CN79-2</f>
        <v>2828</v>
      </c>
      <c r="CO7" s="372">
        <f>SUM(CK7:CN7)</f>
        <v>12599</v>
      </c>
      <c r="CP7" s="277">
        <f>+IS!CP79</f>
        <v>3478</v>
      </c>
      <c r="CQ7" s="277">
        <f>+IS!CQ79</f>
        <v>2626</v>
      </c>
      <c r="CR7" s="277">
        <f>+IS!CR79</f>
        <v>4926</v>
      </c>
      <c r="CS7" s="277">
        <f>+IS!CS79</f>
        <v>3035</v>
      </c>
      <c r="CT7" s="372">
        <f>SUM(CP7:CS7)</f>
        <v>14065</v>
      </c>
      <c r="CU7" s="277">
        <f>+IS!CU79</f>
        <v>4289</v>
      </c>
      <c r="CV7" s="277">
        <f>+IS!CV79</f>
        <v>4707</v>
      </c>
      <c r="CW7" s="277">
        <f>+IS!CW79</f>
        <v>4388</v>
      </c>
      <c r="CX7" s="277">
        <f>+IS!CX79</f>
        <v>4297</v>
      </c>
      <c r="CY7" s="372">
        <f>SUM(CU7:CX7)</f>
        <v>17681</v>
      </c>
      <c r="CZ7" s="277">
        <f>+IS!CZ79</f>
        <v>4373</v>
      </c>
      <c r="DA7" s="277">
        <f>+IS!DA79</f>
        <v>4174</v>
      </c>
      <c r="DB7" s="277">
        <f>+IS!DB79</f>
        <v>2976.9627100840335</v>
      </c>
      <c r="DC7" s="277">
        <f>+IS!DC79</f>
        <v>3045</v>
      </c>
      <c r="DD7" s="372">
        <f>SUM(CZ7:DC7)</f>
        <v>14568.962710084033</v>
      </c>
      <c r="DE7" s="277">
        <f>+IS!DE79</f>
        <v>3574</v>
      </c>
      <c r="DF7" s="277">
        <f>+IS!DF79</f>
        <v>6662</v>
      </c>
      <c r="DG7" s="1134">
        <v>4006</v>
      </c>
      <c r="DH7" s="1134">
        <v>4518</v>
      </c>
      <c r="DI7" s="372">
        <f>SUM(DE7:DH7)</f>
        <v>18760</v>
      </c>
      <c r="DJ7" s="1134">
        <v>5410</v>
      </c>
      <c r="DK7" s="1134">
        <v>6634</v>
      </c>
      <c r="DL7" s="1134">
        <v>5232</v>
      </c>
      <c r="DM7" s="1134">
        <v>5874</v>
      </c>
      <c r="DN7" s="372">
        <f>SUM(DJ7:DM7)</f>
        <v>23150</v>
      </c>
      <c r="DO7" s="1134">
        <v>5738</v>
      </c>
      <c r="DP7" s="1134">
        <v>6624</v>
      </c>
      <c r="DQ7" s="1134">
        <v>5108</v>
      </c>
      <c r="DR7" s="1134">
        <v>-492</v>
      </c>
      <c r="DS7" s="372">
        <f>SUM(DO7:DR7)</f>
        <v>16978</v>
      </c>
      <c r="DT7" s="1134">
        <v>4466</v>
      </c>
      <c r="DU7" s="1134">
        <v>6377</v>
      </c>
      <c r="DV7" s="1134">
        <v>6055</v>
      </c>
      <c r="DW7" s="1134">
        <v>4965</v>
      </c>
      <c r="DX7" s="372">
        <f>SUM(DT7:DW7)</f>
        <v>21863</v>
      </c>
      <c r="DY7" s="1134">
        <v>5244</v>
      </c>
      <c r="DZ7" s="1134">
        <v>6558</v>
      </c>
      <c r="EA7" s="1134">
        <v>5660</v>
      </c>
      <c r="EB7" s="1134">
        <v>4612</v>
      </c>
      <c r="EC7" s="372">
        <f>SUM(DY7:EB7)</f>
        <v>22074</v>
      </c>
      <c r="ED7" s="1134">
        <v>4540</v>
      </c>
      <c r="EE7" s="1134">
        <v>5863</v>
      </c>
      <c r="EF7" s="1134">
        <v>4985</v>
      </c>
      <c r="EG7" s="1134">
        <v>-3195</v>
      </c>
      <c r="EH7" s="372">
        <f>SUM(ED7:EG7)</f>
        <v>12193</v>
      </c>
      <c r="EI7" s="2784">
        <v>4902</v>
      </c>
      <c r="EJ7" s="2784">
        <v>5018</v>
      </c>
      <c r="EK7" s="2784">
        <v>3756</v>
      </c>
      <c r="EL7" s="2784">
        <v>3122</v>
      </c>
      <c r="EM7" s="2718">
        <f>SUM(EI7:EL7)</f>
        <v>16798</v>
      </c>
      <c r="EN7" s="2784">
        <v>4690</v>
      </c>
      <c r="EO7" s="2784">
        <v>5200</v>
      </c>
      <c r="EP7" s="2784">
        <v>4801</v>
      </c>
      <c r="EQ7" s="2784">
        <v>6513</v>
      </c>
      <c r="ER7" s="2718">
        <f>SUM(EN7:EQ7)</f>
        <v>21204</v>
      </c>
      <c r="ES7" s="2784">
        <v>6576</v>
      </c>
      <c r="ET7" s="2784">
        <v>-6302</v>
      </c>
      <c r="EU7" s="2784">
        <v>7424</v>
      </c>
      <c r="EV7" s="277">
        <f>+IS!EV79</f>
        <v>8388.9370269393221</v>
      </c>
      <c r="EW7" s="372">
        <f>SUM(ES7:EV7)</f>
        <v>16086.937026939322</v>
      </c>
      <c r="EX7" s="277">
        <f>+IS!EX79</f>
        <v>7170.6419162524844</v>
      </c>
      <c r="EY7" s="277">
        <f>+IS!EY79</f>
        <v>8063.472111940403</v>
      </c>
      <c r="EZ7" s="277">
        <f>+IS!EZ79</f>
        <v>7725.1654268065085</v>
      </c>
      <c r="FA7" s="277">
        <f>+IS!FA79</f>
        <v>8855.0560762888072</v>
      </c>
      <c r="FB7" s="372">
        <f>SUM(EX7:FA7)</f>
        <v>31814.335531288205</v>
      </c>
      <c r="FC7" s="277">
        <f>+IS!FC79</f>
        <v>8402.3315887455719</v>
      </c>
      <c r="FD7" s="277">
        <f>+IS!FD79</f>
        <v>9459.3106979844997</v>
      </c>
      <c r="FE7" s="277">
        <f>+IS!FE79</f>
        <v>9294.666359668312</v>
      </c>
      <c r="FF7" s="277">
        <f>+IS!FF79</f>
        <v>10548.178485124954</v>
      </c>
      <c r="FG7" s="372">
        <f>SUM(FC7:FF7)</f>
        <v>37704.487131523339</v>
      </c>
      <c r="FH7" s="277">
        <f>+IS!FH79</f>
        <v>9749.1858782686559</v>
      </c>
      <c r="FI7" s="277">
        <f>+IS!FI79</f>
        <v>10902.311009867381</v>
      </c>
      <c r="FJ7" s="277">
        <f>+IS!FJ79</f>
        <v>10837.814046979547</v>
      </c>
      <c r="FK7" s="277">
        <f>+IS!FK79</f>
        <v>12197.718453533422</v>
      </c>
      <c r="FL7" s="372">
        <f>SUM(FH7:FK7)</f>
        <v>43687.029388649004</v>
      </c>
      <c r="FM7" s="371"/>
      <c r="FN7" s="277"/>
      <c r="FO7" s="372">
        <f t="shared" ref="FO7:FO14" si="0">BD7+BE7+BG7+BH7</f>
        <v>8746</v>
      </c>
      <c r="FP7" s="372">
        <f t="shared" ref="FP7:FP14" si="1">BI7+BJ7+BL7+BM7</f>
        <v>9624</v>
      </c>
      <c r="FQ7" s="372">
        <f t="shared" ref="FQ7:FQ14" si="2">BN7+BO7+BQ7+BR7</f>
        <v>6082</v>
      </c>
      <c r="FR7" s="372">
        <f t="shared" ref="FR7:FR14" si="3">BS7+BT7+BV7+BW7</f>
        <v>8169</v>
      </c>
      <c r="FS7" s="372">
        <f t="shared" ref="FS7:FS14" si="4">BX7+BY7+CA7+CB7</f>
        <v>7788.41</v>
      </c>
      <c r="FT7" s="372">
        <f t="shared" ref="FT7:FT14" si="5">CC7+CD7+CF7+CG7</f>
        <v>9995</v>
      </c>
      <c r="FU7" s="372">
        <f t="shared" ref="FU7:FU14" si="6">CH7+CI7+CK7+CL7</f>
        <v>13057</v>
      </c>
      <c r="FV7" s="372">
        <f t="shared" ref="FV7:FV14" si="7">CM7+CN7+CP7+CQ7</f>
        <v>11909</v>
      </c>
      <c r="FW7" s="372">
        <f t="shared" ref="FW7:FW14" si="8">CR7+CS7+CU7+CV7</f>
        <v>16957</v>
      </c>
      <c r="FX7" s="372">
        <f t="shared" ref="FX7:FX14" si="9">CW7+CX7+CZ7+DA7</f>
        <v>17232</v>
      </c>
      <c r="FY7" s="372">
        <f t="shared" ref="FY7:FY15" si="10">DB7+DC7+DE7+DF7</f>
        <v>16257.962710084033</v>
      </c>
      <c r="FZ7" s="372">
        <f t="shared" ref="FZ7:FZ15" si="11">SUM(DG7:DH7,DJ7:DK7)</f>
        <v>20568</v>
      </c>
      <c r="GA7" s="372">
        <f t="shared" ref="GA7:GA15" si="12">SUM(DL7:DM7,DO7:DP7)</f>
        <v>23468</v>
      </c>
      <c r="GB7" s="372">
        <f t="shared" ref="GB7:GB15" si="13">SUM(DQ7:DR7,DT7:DU7)</f>
        <v>15459</v>
      </c>
      <c r="GC7" s="372">
        <f t="shared" ref="GC7:GC15" si="14">SUM(DV7:DW7,DY7:DZ7)</f>
        <v>22822</v>
      </c>
      <c r="GD7" s="372">
        <f t="shared" ref="GD7:GD15" si="15">SUM(EA7:EB7,ED7:EE7)</f>
        <v>20675</v>
      </c>
      <c r="GE7" s="372">
        <f t="shared" ref="GE7:GE15" si="16">SUM(EF7:EG7,EI7:EJ7)</f>
        <v>11710</v>
      </c>
      <c r="GF7" s="372">
        <f t="shared" ref="GF7:GF15" si="17">SUM(EK7:EL7,EN7:EO7)</f>
        <v>16768</v>
      </c>
      <c r="GG7" s="372">
        <f t="shared" ref="GG7:GG15" si="18">SUM(EP7:EQ7,ES7:ET7)</f>
        <v>11588</v>
      </c>
      <c r="GH7" s="372">
        <f t="shared" ref="GH7:GH15" si="19">SUM(EU7:EV7,EX7:EY7)</f>
        <v>31047.051055132208</v>
      </c>
      <c r="GI7" s="372">
        <f t="shared" ref="GI7:GI15" si="20">SUM(EZ7:FA7,FC7:FD7)</f>
        <v>34441.863789825387</v>
      </c>
      <c r="GJ7" s="371"/>
      <c r="GK7" s="371"/>
      <c r="GL7" s="371"/>
      <c r="GM7" s="371"/>
      <c r="GO7"/>
      <c r="GP7"/>
      <c r="GQ7"/>
      <c r="GR7"/>
      <c r="GS7"/>
      <c r="GT7"/>
      <c r="GU7" s="261"/>
      <c r="GV7" s="261"/>
      <c r="GW7" s="261"/>
      <c r="GX7" s="261"/>
      <c r="GY7" s="261"/>
      <c r="GZ7" s="261"/>
      <c r="HA7" s="261"/>
      <c r="HB7" s="261"/>
      <c r="HC7" s="261"/>
      <c r="HD7" s="261"/>
      <c r="HE7" s="261"/>
      <c r="HF7" s="261"/>
      <c r="HG7" s="261"/>
      <c r="HH7" s="261"/>
      <c r="HI7" s="261"/>
      <c r="HJ7" s="261"/>
      <c r="HK7" s="261"/>
      <c r="HL7" s="261"/>
      <c r="HM7" s="261"/>
      <c r="HN7" s="261"/>
      <c r="HO7" s="261"/>
      <c r="HP7" s="261"/>
      <c r="HQ7" s="261"/>
      <c r="HR7" s="261"/>
      <c r="HS7" s="261"/>
      <c r="HT7" s="261"/>
      <c r="HU7" s="261"/>
      <c r="HV7" s="261"/>
      <c r="HW7" s="261"/>
      <c r="HX7" s="261"/>
      <c r="HY7" s="261"/>
      <c r="HZ7" s="261"/>
      <c r="IA7" s="261"/>
      <c r="IB7" s="261"/>
      <c r="IC7" s="261"/>
      <c r="ID7" s="261"/>
      <c r="IE7" s="261"/>
      <c r="IF7" s="261"/>
      <c r="IG7" s="261"/>
      <c r="IH7" s="261"/>
      <c r="II7" s="261"/>
      <c r="IJ7" s="261"/>
      <c r="IK7" s="261"/>
      <c r="IL7" s="261"/>
      <c r="IM7" s="261"/>
      <c r="IN7" s="261"/>
      <c r="IO7" s="261"/>
      <c r="IP7" s="261"/>
      <c r="IQ7" s="261"/>
      <c r="IR7" s="261"/>
      <c r="IS7" s="261"/>
      <c r="IT7" s="261"/>
      <c r="IU7" s="261"/>
      <c r="IV7" s="261"/>
      <c r="IW7" s="261"/>
      <c r="IX7" s="261"/>
      <c r="IY7" s="261"/>
      <c r="IZ7" s="261"/>
      <c r="JA7" s="261"/>
      <c r="JB7" s="261"/>
      <c r="JC7" s="261"/>
      <c r="JD7" s="261"/>
      <c r="JE7" s="261"/>
      <c r="JF7" s="261"/>
      <c r="JG7" s="261"/>
      <c r="JH7" s="261"/>
      <c r="JI7" s="261"/>
      <c r="JJ7" s="261"/>
      <c r="JK7" s="261"/>
      <c r="JL7" s="261"/>
      <c r="JM7" s="261"/>
      <c r="JN7" s="261"/>
      <c r="JO7" s="261"/>
      <c r="JP7" s="261"/>
      <c r="JQ7" s="261"/>
      <c r="JR7" s="261"/>
      <c r="JS7" s="261"/>
      <c r="JT7" s="261"/>
    </row>
    <row r="8" spans="1:280" s="264" customFormat="1" ht="11.25" customHeight="1">
      <c r="A8" s="528" t="s">
        <v>842</v>
      </c>
      <c r="D8" s="1128">
        <v>0</v>
      </c>
      <c r="E8" s="455">
        <f t="shared" ref="E8:E14" si="21">0-D8</f>
        <v>0</v>
      </c>
      <c r="F8" s="455">
        <f t="shared" ref="F8:F14" si="22">0-SUM(D8:E8)</f>
        <v>0</v>
      </c>
      <c r="G8" s="455">
        <f t="shared" ref="G8:G14" si="23">0-SUM(D8:F8)</f>
        <v>0</v>
      </c>
      <c r="H8" s="327">
        <f>SUM(D8:G8)</f>
        <v>0</v>
      </c>
      <c r="I8" s="1128">
        <v>0</v>
      </c>
      <c r="J8" s="455">
        <f t="shared" ref="J8:J14" si="24">0-I8</f>
        <v>0</v>
      </c>
      <c r="K8" s="455">
        <f t="shared" ref="K8:K14" si="25">0-SUM(I8:J8)</f>
        <v>0</v>
      </c>
      <c r="L8" s="455">
        <f t="shared" ref="L8:L14" si="26">0-SUM(I8:K8)</f>
        <v>0</v>
      </c>
      <c r="M8" s="327">
        <f>SUM(I8:L8)</f>
        <v>0</v>
      </c>
      <c r="N8" s="1128">
        <v>0</v>
      </c>
      <c r="O8" s="455">
        <f t="shared" ref="O8:O14" si="27">0-N8</f>
        <v>0</v>
      </c>
      <c r="P8" s="455">
        <f t="shared" ref="P8:P14" si="28">0-SUM(N8:O8)</f>
        <v>0</v>
      </c>
      <c r="Q8" s="455">
        <f t="shared" ref="Q8:Q14" si="29">0-SUM(N8:P8)</f>
        <v>0</v>
      </c>
      <c r="R8" s="327">
        <f>SUM(N8:Q8)</f>
        <v>0</v>
      </c>
      <c r="S8" s="1128">
        <v>0</v>
      </c>
      <c r="T8" s="455">
        <f t="shared" ref="T8:T14" si="30">0-S8</f>
        <v>0</v>
      </c>
      <c r="U8" s="455">
        <f t="shared" ref="U8:U14" si="31">0-SUM(S8:T8)</f>
        <v>0</v>
      </c>
      <c r="V8" s="455">
        <f t="shared" ref="V8:V14" si="32">0-SUM(S8:U8)</f>
        <v>0</v>
      </c>
      <c r="W8" s="327">
        <f>SUM(S8:V8)</f>
        <v>0</v>
      </c>
      <c r="X8" s="1128">
        <v>0</v>
      </c>
      <c r="Y8" s="455">
        <f t="shared" ref="Y8:Y14" si="33">0-X8</f>
        <v>0</v>
      </c>
      <c r="Z8" s="455">
        <f t="shared" ref="Z8:Z14" si="34">0-SUM(X8:Y8)</f>
        <v>0</v>
      </c>
      <c r="AA8" s="455">
        <f t="shared" ref="AA8:AA14" si="35">0-SUM(X8:Z8)</f>
        <v>0</v>
      </c>
      <c r="AB8" s="327">
        <f>SUM(X8:AA8)</f>
        <v>0</v>
      </c>
      <c r="AC8" s="1128">
        <v>0</v>
      </c>
      <c r="AD8" s="455">
        <f t="shared" ref="AD8:AD14" si="36">0-AC8</f>
        <v>0</v>
      </c>
      <c r="AE8" s="455">
        <f t="shared" ref="AE8:AE14" si="37">0-SUM(AC8:AD8)</f>
        <v>0</v>
      </c>
      <c r="AF8" s="455">
        <f>237-SUM(AC8:AE8)</f>
        <v>237</v>
      </c>
      <c r="AG8" s="327">
        <f>SUM(AC8:AF8)</f>
        <v>237</v>
      </c>
      <c r="AH8" s="1128">
        <v>67</v>
      </c>
      <c r="AI8" s="455">
        <f>133-AH8</f>
        <v>66</v>
      </c>
      <c r="AJ8" s="455">
        <f>203-SUM(AH8:AI8)</f>
        <v>70</v>
      </c>
      <c r="AK8" s="455">
        <f>269-SUM(AH8:AJ8)</f>
        <v>66</v>
      </c>
      <c r="AL8" s="327">
        <f>SUM(AH8:AK8)</f>
        <v>269</v>
      </c>
      <c r="AM8" s="1128">
        <v>69</v>
      </c>
      <c r="AN8" s="455">
        <f>147-AM8</f>
        <v>78</v>
      </c>
      <c r="AO8" s="455">
        <f>336-SUM(AM8:AN8)</f>
        <v>189</v>
      </c>
      <c r="AP8" s="455">
        <f>480-SUM(AM8:AO8)</f>
        <v>144</v>
      </c>
      <c r="AQ8" s="327">
        <f>SUM(AM8:AP8)</f>
        <v>480</v>
      </c>
      <c r="AR8" s="1128">
        <v>162</v>
      </c>
      <c r="AS8" s="455">
        <f>306-AR8</f>
        <v>144</v>
      </c>
      <c r="AT8" s="455">
        <f>414-SUM(AR8:AS8)</f>
        <v>108</v>
      </c>
      <c r="AU8" s="455">
        <f>557-SUM(AR8:AT8)</f>
        <v>143</v>
      </c>
      <c r="AV8" s="327">
        <f>SUM(AR8:AU8)</f>
        <v>557</v>
      </c>
      <c r="AW8" s="1128">
        <v>228</v>
      </c>
      <c r="AX8" s="455">
        <f>497-AW8</f>
        <v>269</v>
      </c>
      <c r="AY8" s="455">
        <f>776-SUM(AW8:AX8)</f>
        <v>279</v>
      </c>
      <c r="AZ8" s="455">
        <f>1024-SUM(AW8:AY8)</f>
        <v>248</v>
      </c>
      <c r="BA8" s="327">
        <f>SUM(AW8:AZ8)</f>
        <v>1024</v>
      </c>
      <c r="BB8" s="1135">
        <v>179</v>
      </c>
      <c r="BC8" s="455">
        <f>356-BB8</f>
        <v>177</v>
      </c>
      <c r="BD8" s="455">
        <f>514-SUM(BB8:BC8)</f>
        <v>158</v>
      </c>
      <c r="BE8" s="455">
        <f>926-SUM(BB8:BD8)</f>
        <v>412</v>
      </c>
      <c r="BF8" s="327">
        <f>SUM(BB8:BE8)</f>
        <v>926</v>
      </c>
      <c r="BG8" s="1135">
        <v>345</v>
      </c>
      <c r="BH8" s="455">
        <f>670-BG8</f>
        <v>325</v>
      </c>
      <c r="BI8" s="455">
        <f>945-SUM(BG8:BH8)</f>
        <v>275</v>
      </c>
      <c r="BJ8" s="455">
        <f>1250-SUM(BG8:BI8)</f>
        <v>305</v>
      </c>
      <c r="BK8" s="327">
        <f>SUM(BG8:BJ8)</f>
        <v>1250</v>
      </c>
      <c r="BL8" s="1128">
        <v>250</v>
      </c>
      <c r="BM8" s="455">
        <f>489-BL8</f>
        <v>239</v>
      </c>
      <c r="BN8" s="455">
        <f>972-SUM(BL8:BM8)</f>
        <v>483</v>
      </c>
      <c r="BO8" s="455">
        <f>1536-SUM(BL8:BN8)</f>
        <v>564</v>
      </c>
      <c r="BP8" s="327">
        <f>SUM(BL8:BO8)</f>
        <v>1536</v>
      </c>
      <c r="BQ8" s="1128">
        <v>282</v>
      </c>
      <c r="BR8" s="455">
        <f>577-BQ8</f>
        <v>295</v>
      </c>
      <c r="BS8" s="455">
        <f>725-SUM(BQ8:BR8)</f>
        <v>148</v>
      </c>
      <c r="BT8" s="455">
        <f>1084-SUM(BQ8:BS8)</f>
        <v>359</v>
      </c>
      <c r="BU8" s="327">
        <f>SUM(BQ8:BT8)</f>
        <v>1084</v>
      </c>
      <c r="BV8" s="1128">
        <v>273</v>
      </c>
      <c r="BW8" s="1128">
        <v>275</v>
      </c>
      <c r="BX8" s="1128">
        <v>383</v>
      </c>
      <c r="BY8" s="1128">
        <v>462</v>
      </c>
      <c r="BZ8" s="327">
        <f>SUM(BV8:BY8)</f>
        <v>1393</v>
      </c>
      <c r="CA8" s="1127">
        <v>328</v>
      </c>
      <c r="CB8" s="1127">
        <v>300</v>
      </c>
      <c r="CC8" s="1127">
        <v>249</v>
      </c>
      <c r="CD8" s="1127">
        <v>309</v>
      </c>
      <c r="CE8" s="327">
        <f>SUM(CA8:CD8)</f>
        <v>1186</v>
      </c>
      <c r="CF8" s="1127">
        <v>183</v>
      </c>
      <c r="CG8" s="1127">
        <v>108</v>
      </c>
      <c r="CH8" s="1127">
        <v>282</v>
      </c>
      <c r="CI8" s="1127">
        <v>282</v>
      </c>
      <c r="CJ8" s="327">
        <f>SUM(CF8:CI8)</f>
        <v>855</v>
      </c>
      <c r="CK8" s="1127">
        <v>234</v>
      </c>
      <c r="CL8" s="1127">
        <v>231</v>
      </c>
      <c r="CM8" s="1127">
        <v>177</v>
      </c>
      <c r="CN8" s="1127">
        <v>261</v>
      </c>
      <c r="CO8" s="327">
        <f>SUM(CK8:CN8)</f>
        <v>903</v>
      </c>
      <c r="CP8" s="1127">
        <v>249</v>
      </c>
      <c r="CQ8" s="1127">
        <v>365</v>
      </c>
      <c r="CR8" s="1127">
        <v>445</v>
      </c>
      <c r="CS8" s="1127">
        <v>381</v>
      </c>
      <c r="CT8" s="327">
        <f>SUM(CP8:CS8)</f>
        <v>1440</v>
      </c>
      <c r="CU8" s="1127">
        <v>435</v>
      </c>
      <c r="CV8" s="1127">
        <v>481</v>
      </c>
      <c r="CW8" s="1127">
        <v>532</v>
      </c>
      <c r="CX8" s="1127">
        <v>608</v>
      </c>
      <c r="CY8" s="327">
        <f>SUM(CU8:CX8)</f>
        <v>2056</v>
      </c>
      <c r="CZ8" s="1127">
        <v>585</v>
      </c>
      <c r="DA8" s="1127">
        <v>632</v>
      </c>
      <c r="DB8" s="1127">
        <v>664</v>
      </c>
      <c r="DC8" s="1127">
        <v>681</v>
      </c>
      <c r="DD8" s="327">
        <f>SUM(CZ8:DC8)</f>
        <v>2562</v>
      </c>
      <c r="DE8" s="1127">
        <v>646</v>
      </c>
      <c r="DF8" s="1127">
        <v>615</v>
      </c>
      <c r="DG8" s="1127">
        <v>694</v>
      </c>
      <c r="DH8" s="1127">
        <v>718</v>
      </c>
      <c r="DI8" s="327">
        <f>SUM(DE8:DH8)</f>
        <v>2673</v>
      </c>
      <c r="DJ8" s="1127">
        <v>694</v>
      </c>
      <c r="DK8" s="1127">
        <v>663</v>
      </c>
      <c r="DL8" s="1127">
        <v>720</v>
      </c>
      <c r="DM8" s="1127">
        <v>689</v>
      </c>
      <c r="DN8" s="327">
        <f>SUM(DJ8:DM8)</f>
        <v>2766</v>
      </c>
      <c r="DO8" s="1127">
        <v>726</v>
      </c>
      <c r="DP8" s="1127">
        <v>678</v>
      </c>
      <c r="DQ8" s="1127">
        <v>766</v>
      </c>
      <c r="DR8" s="1127">
        <v>797</v>
      </c>
      <c r="DS8" s="327">
        <f>SUM(DO8:DR8)</f>
        <v>2967</v>
      </c>
      <c r="DT8" s="1127">
        <v>710</v>
      </c>
      <c r="DU8" s="1127">
        <v>1009</v>
      </c>
      <c r="DV8" s="1127">
        <v>1053</v>
      </c>
      <c r="DW8" s="1127">
        <v>983</v>
      </c>
      <c r="DX8" s="327">
        <f>SUM(DT8:DW8)</f>
        <v>3755</v>
      </c>
      <c r="DY8" s="1127">
        <v>954</v>
      </c>
      <c r="DZ8" s="1127">
        <v>1261</v>
      </c>
      <c r="EA8" s="1127">
        <v>1255</v>
      </c>
      <c r="EB8" s="1127">
        <v>1742</v>
      </c>
      <c r="EC8" s="327">
        <f>SUM(DY8:EB8)</f>
        <v>5212</v>
      </c>
      <c r="ED8" s="1127">
        <v>1428</v>
      </c>
      <c r="EE8" s="1127">
        <v>1521</v>
      </c>
      <c r="EF8" s="1127">
        <v>1515</v>
      </c>
      <c r="EG8" s="1127">
        <v>1493</v>
      </c>
      <c r="EH8" s="327">
        <f>SUM(ED8:EG8)</f>
        <v>5957</v>
      </c>
      <c r="EI8" s="2769">
        <v>1461</v>
      </c>
      <c r="EJ8" s="2769">
        <v>1544</v>
      </c>
      <c r="EK8" s="2769">
        <v>1707</v>
      </c>
      <c r="EL8" s="2769">
        <v>1910</v>
      </c>
      <c r="EM8" s="2770">
        <f>SUM(EI8:EL8)</f>
        <v>6622</v>
      </c>
      <c r="EN8" s="2769">
        <v>1816</v>
      </c>
      <c r="EO8" s="2769">
        <v>2166</v>
      </c>
      <c r="EP8" s="2769">
        <v>2453</v>
      </c>
      <c r="EQ8" s="2769">
        <v>2343</v>
      </c>
      <c r="ER8" s="2770">
        <f>SUM(EN8:EQ8)</f>
        <v>8778</v>
      </c>
      <c r="ES8" s="2769">
        <v>2499</v>
      </c>
      <c r="ET8" s="2769">
        <v>2536</v>
      </c>
      <c r="EU8" s="2769">
        <v>2710</v>
      </c>
      <c r="EV8" s="242">
        <f>-DEPR!EV13-DEPR!EV31</f>
        <v>2734.9229</v>
      </c>
      <c r="EW8" s="327">
        <f>SUM(ES8:EV8)</f>
        <v>10479.9229</v>
      </c>
      <c r="EX8" s="242">
        <f>-DEPR!EX13-DEPR!EX31</f>
        <v>2738.0228999999999</v>
      </c>
      <c r="EY8" s="242">
        <f>-DEPR!EY13-DEPR!EY31</f>
        <v>2765.0640290000001</v>
      </c>
      <c r="EZ8" s="242">
        <f>-DEPR!EZ13-DEPR!EZ31</f>
        <v>2792.3255692900002</v>
      </c>
      <c r="FA8" s="242">
        <f>-DEPR!FA13-DEPR!FA31</f>
        <v>2819.8097249829002</v>
      </c>
      <c r="FB8" s="327">
        <f>SUM(EX8:FA8)</f>
        <v>11115.2222232729</v>
      </c>
      <c r="FC8" s="242">
        <f>-DEPR!FC13-DEPR!FC31</f>
        <v>2824.8097249829002</v>
      </c>
      <c r="FD8" s="242">
        <f>-DEPR!FD13-DEPR!FD31</f>
        <v>2852.518722232729</v>
      </c>
      <c r="FE8" s="242">
        <f>-DEPR!FE13-DEPR!FE31</f>
        <v>2880.4548094550564</v>
      </c>
      <c r="FF8" s="242">
        <f>-DEPR!FF13-DEPR!FF31</f>
        <v>2908.6202575496072</v>
      </c>
      <c r="FG8" s="327">
        <f>SUM(FC8:FF8)</f>
        <v>11466.403514220292</v>
      </c>
      <c r="FH8" s="242">
        <f>-DEPR!FH13-DEPR!FH31</f>
        <v>2913.6202575496072</v>
      </c>
      <c r="FI8" s="242">
        <f>-DEPR!FI13-DEPR!FI31</f>
        <v>2942.0173601251036</v>
      </c>
      <c r="FJ8" s="242">
        <f>-DEPR!FJ13-DEPR!FJ31</f>
        <v>2970.6484337263546</v>
      </c>
      <c r="FK8" s="242">
        <f>-DEPR!FK13-DEPR!FK31</f>
        <v>2999.5158180636181</v>
      </c>
      <c r="FL8" s="327">
        <f>SUM(FH8:FK8)</f>
        <v>11825.801869464682</v>
      </c>
      <c r="FM8" s="455"/>
      <c r="FN8" s="537"/>
      <c r="FO8" s="327">
        <f t="shared" si="0"/>
        <v>1240</v>
      </c>
      <c r="FP8" s="327">
        <f t="shared" si="1"/>
        <v>1069</v>
      </c>
      <c r="FQ8" s="327">
        <f t="shared" si="2"/>
        <v>1624</v>
      </c>
      <c r="FR8" s="327">
        <f t="shared" si="3"/>
        <v>1055</v>
      </c>
      <c r="FS8" s="327">
        <f t="shared" si="4"/>
        <v>1473</v>
      </c>
      <c r="FT8" s="327">
        <f t="shared" si="5"/>
        <v>849</v>
      </c>
      <c r="FU8" s="327">
        <f t="shared" si="6"/>
        <v>1029</v>
      </c>
      <c r="FV8" s="327">
        <f t="shared" si="7"/>
        <v>1052</v>
      </c>
      <c r="FW8" s="327">
        <f t="shared" si="8"/>
        <v>1742</v>
      </c>
      <c r="FX8" s="327">
        <f t="shared" si="9"/>
        <v>2357</v>
      </c>
      <c r="FY8" s="327">
        <f t="shared" si="10"/>
        <v>2606</v>
      </c>
      <c r="FZ8" s="327">
        <f t="shared" si="11"/>
        <v>2769</v>
      </c>
      <c r="GA8" s="327">
        <f t="shared" si="12"/>
        <v>2813</v>
      </c>
      <c r="GB8" s="372">
        <f t="shared" si="13"/>
        <v>3282</v>
      </c>
      <c r="GC8" s="372">
        <f t="shared" si="14"/>
        <v>4251</v>
      </c>
      <c r="GD8" s="372">
        <f t="shared" si="15"/>
        <v>5946</v>
      </c>
      <c r="GE8" s="372">
        <f t="shared" si="16"/>
        <v>6013</v>
      </c>
      <c r="GF8" s="372">
        <f t="shared" si="17"/>
        <v>7599</v>
      </c>
      <c r="GG8" s="372">
        <f t="shared" si="18"/>
        <v>9831</v>
      </c>
      <c r="GH8" s="372">
        <f t="shared" si="19"/>
        <v>10948.009828999999</v>
      </c>
      <c r="GI8" s="372">
        <f t="shared" si="20"/>
        <v>11289.463741488531</v>
      </c>
      <c r="GJ8" s="371"/>
      <c r="GK8" s="371"/>
      <c r="GL8" s="371"/>
      <c r="GM8" s="371"/>
      <c r="GO8"/>
      <c r="GP8"/>
      <c r="GQ8"/>
      <c r="GR8"/>
      <c r="GS8"/>
      <c r="GT8"/>
      <c r="GU8" s="261"/>
      <c r="GV8" s="261"/>
      <c r="GW8" s="261"/>
      <c r="GX8" s="261"/>
      <c r="GY8" s="261"/>
      <c r="GZ8" s="261"/>
      <c r="HA8" s="261"/>
      <c r="HB8" s="261"/>
      <c r="HC8" s="261"/>
      <c r="HD8" s="261"/>
      <c r="HE8" s="261"/>
      <c r="HF8" s="261"/>
      <c r="HG8" s="261"/>
      <c r="HH8" s="261"/>
      <c r="HI8" s="261"/>
      <c r="HJ8" s="261"/>
      <c r="HK8" s="261"/>
      <c r="HL8" s="261"/>
      <c r="HM8" s="261"/>
      <c r="HN8" s="261"/>
      <c r="HO8" s="261"/>
      <c r="HP8" s="261"/>
      <c r="HQ8" s="261"/>
      <c r="HR8" s="261"/>
      <c r="HS8" s="261"/>
      <c r="HT8" s="261"/>
      <c r="HU8" s="261"/>
      <c r="HV8" s="261"/>
      <c r="HW8" s="261"/>
      <c r="HX8" s="261"/>
      <c r="HY8" s="261"/>
      <c r="HZ8" s="261"/>
      <c r="IA8" s="261"/>
      <c r="IB8" s="261"/>
      <c r="IC8" s="261"/>
      <c r="ID8" s="261"/>
      <c r="IE8" s="261"/>
      <c r="IF8" s="261"/>
      <c r="IG8" s="261"/>
      <c r="IH8" s="261"/>
      <c r="II8" s="261"/>
      <c r="IJ8" s="261"/>
      <c r="IK8" s="261"/>
      <c r="IL8" s="261"/>
      <c r="IM8" s="261"/>
      <c r="IN8" s="261"/>
      <c r="IO8" s="261"/>
      <c r="IP8" s="261"/>
      <c r="IQ8" s="261"/>
      <c r="IR8" s="261"/>
      <c r="IS8" s="261"/>
      <c r="IT8" s="261"/>
      <c r="IU8" s="261"/>
      <c r="IV8" s="261"/>
      <c r="IW8" s="261"/>
      <c r="IX8" s="261"/>
      <c r="IY8" s="261"/>
      <c r="IZ8" s="261"/>
      <c r="JA8" s="261"/>
      <c r="JB8" s="261"/>
      <c r="JC8" s="261"/>
      <c r="JD8" s="261"/>
      <c r="JE8" s="261"/>
      <c r="JF8" s="261"/>
      <c r="JG8" s="261"/>
      <c r="JH8" s="261"/>
      <c r="JI8" s="261"/>
      <c r="JJ8" s="261"/>
      <c r="JK8" s="261"/>
      <c r="JL8" s="261"/>
      <c r="JM8" s="261"/>
      <c r="JN8" s="261"/>
      <c r="JO8" s="261"/>
      <c r="JP8" s="261"/>
      <c r="JQ8" s="261"/>
      <c r="JR8" s="261"/>
      <c r="JS8" s="261"/>
      <c r="JT8" s="261"/>
    </row>
    <row r="9" spans="1:280" s="264" customFormat="1" ht="11.25" customHeight="1">
      <c r="A9" s="528" t="s">
        <v>286</v>
      </c>
      <c r="D9" s="1128">
        <v>0</v>
      </c>
      <c r="E9" s="455">
        <f t="shared" si="21"/>
        <v>0</v>
      </c>
      <c r="F9" s="455">
        <f t="shared" si="22"/>
        <v>0</v>
      </c>
      <c r="G9" s="455">
        <f t="shared" si="23"/>
        <v>0</v>
      </c>
      <c r="H9" s="327">
        <f t="shared" ref="H9:H14" si="38">SUM(D9:G9)</f>
        <v>0</v>
      </c>
      <c r="I9" s="1128">
        <v>0</v>
      </c>
      <c r="J9" s="455">
        <f t="shared" si="24"/>
        <v>0</v>
      </c>
      <c r="K9" s="455">
        <f t="shared" si="25"/>
        <v>0</v>
      </c>
      <c r="L9" s="455">
        <f t="shared" si="26"/>
        <v>0</v>
      </c>
      <c r="M9" s="327">
        <f t="shared" ref="M9:M14" si="39">SUM(I9:L9)</f>
        <v>0</v>
      </c>
      <c r="N9" s="1128">
        <v>0</v>
      </c>
      <c r="O9" s="455">
        <f t="shared" si="27"/>
        <v>0</v>
      </c>
      <c r="P9" s="455">
        <f t="shared" si="28"/>
        <v>0</v>
      </c>
      <c r="Q9" s="455">
        <f t="shared" si="29"/>
        <v>0</v>
      </c>
      <c r="R9" s="327">
        <f t="shared" ref="R9:R14" si="40">SUM(N9:Q9)</f>
        <v>0</v>
      </c>
      <c r="S9" s="1128">
        <v>0</v>
      </c>
      <c r="T9" s="455">
        <f t="shared" si="30"/>
        <v>0</v>
      </c>
      <c r="U9" s="455">
        <f t="shared" si="31"/>
        <v>0</v>
      </c>
      <c r="V9" s="455">
        <f t="shared" si="32"/>
        <v>0</v>
      </c>
      <c r="W9" s="327">
        <f t="shared" ref="W9:W14" si="41">SUM(S9:V9)</f>
        <v>0</v>
      </c>
      <c r="X9" s="1128">
        <v>0</v>
      </c>
      <c r="Y9" s="455">
        <f t="shared" si="33"/>
        <v>0</v>
      </c>
      <c r="Z9" s="455">
        <f t="shared" si="34"/>
        <v>0</v>
      </c>
      <c r="AA9" s="455">
        <f t="shared" si="35"/>
        <v>0</v>
      </c>
      <c r="AB9" s="327">
        <f t="shared" ref="AB9:AB14" si="42">SUM(X9:AA9)</f>
        <v>0</v>
      </c>
      <c r="AC9" s="1128">
        <v>0</v>
      </c>
      <c r="AD9" s="455">
        <f t="shared" si="36"/>
        <v>0</v>
      </c>
      <c r="AE9" s="455">
        <f t="shared" si="37"/>
        <v>0</v>
      </c>
      <c r="AF9" s="455">
        <f>0-SUM(AC9:AE9)</f>
        <v>0</v>
      </c>
      <c r="AG9" s="327">
        <f t="shared" ref="AG9:AG14" si="43">SUM(AC9:AF9)</f>
        <v>0</v>
      </c>
      <c r="AH9" s="1128">
        <v>0</v>
      </c>
      <c r="AI9" s="455">
        <f t="shared" ref="AI9:AI14" si="44">0-AH9</f>
        <v>0</v>
      </c>
      <c r="AJ9" s="455">
        <f>0-SUM(AH9:AI9)</f>
        <v>0</v>
      </c>
      <c r="AK9" s="455">
        <f>0-SUM(AH9:AJ9)</f>
        <v>0</v>
      </c>
      <c r="AL9" s="327">
        <f t="shared" ref="AL9:AL14" si="45">SUM(AH9:AK9)</f>
        <v>0</v>
      </c>
      <c r="AM9" s="1128">
        <v>0</v>
      </c>
      <c r="AN9" s="455">
        <f t="shared" ref="AN9:AN14" si="46">0-AM9</f>
        <v>0</v>
      </c>
      <c r="AO9" s="455">
        <f>0-SUM(AM9:AN9)</f>
        <v>0</v>
      </c>
      <c r="AP9" s="455">
        <f>0-SUM(AM9:AO9)</f>
        <v>0</v>
      </c>
      <c r="AQ9" s="327">
        <f t="shared" ref="AQ9:AQ14" si="47">SUM(AM9:AP9)</f>
        <v>0</v>
      </c>
      <c r="AR9" s="1128">
        <v>0</v>
      </c>
      <c r="AS9" s="455">
        <f t="shared" ref="AS9:AS14" si="48">0-AR9</f>
        <v>0</v>
      </c>
      <c r="AT9" s="455">
        <f>0-SUM(AR9:AS9)</f>
        <v>0</v>
      </c>
      <c r="AU9" s="455">
        <f>0-SUM(AR9:AT9)</f>
        <v>0</v>
      </c>
      <c r="AV9" s="327">
        <f t="shared" ref="AV9:AV14" si="49">SUM(AR9:AU9)</f>
        <v>0</v>
      </c>
      <c r="AW9" s="1128">
        <v>0</v>
      </c>
      <c r="AX9" s="455">
        <f t="shared" ref="AX9:AX14" si="50">0-AW9</f>
        <v>0</v>
      </c>
      <c r="AY9" s="455">
        <f>0-SUM(AW9:AX9)</f>
        <v>0</v>
      </c>
      <c r="AZ9" s="455">
        <f>0-SUM(AW9:AY9)</f>
        <v>0</v>
      </c>
      <c r="BA9" s="327">
        <f t="shared" ref="BA9:BA14" si="51">SUM(AW9:AZ9)</f>
        <v>0</v>
      </c>
      <c r="BB9" s="1135">
        <v>0</v>
      </c>
      <c r="BC9" s="455">
        <f>0-BB9</f>
        <v>0</v>
      </c>
      <c r="BD9" s="455">
        <f>0-SUM(BB9:BC9)</f>
        <v>0</v>
      </c>
      <c r="BE9" s="455">
        <f>0-SUM(BB9:BD9)</f>
        <v>0</v>
      </c>
      <c r="BF9" s="327">
        <f t="shared" ref="BF9:BF14" si="52">SUM(BB9:BE9)</f>
        <v>0</v>
      </c>
      <c r="BG9" s="1135">
        <v>0</v>
      </c>
      <c r="BH9" s="455">
        <f>0-BG9</f>
        <v>0</v>
      </c>
      <c r="BI9" s="455">
        <f>0-SUM(BG9:BH9)</f>
        <v>0</v>
      </c>
      <c r="BJ9" s="455">
        <f>0-SUM(BG9:BI9)</f>
        <v>0</v>
      </c>
      <c r="BK9" s="327">
        <f t="shared" ref="BK9:BK14" si="53">SUM(BG9:BJ9)</f>
        <v>0</v>
      </c>
      <c r="BL9" s="1128">
        <v>0</v>
      </c>
      <c r="BM9" s="455">
        <f>0-BL9</f>
        <v>0</v>
      </c>
      <c r="BN9" s="455">
        <f>0-SUM(BL9:BM9)</f>
        <v>0</v>
      </c>
      <c r="BO9" s="455">
        <f>0-SUM(BL9:BN9)</f>
        <v>0</v>
      </c>
      <c r="BP9" s="327">
        <f t="shared" ref="BP9:BP14" si="54">SUM(BL9:BO9)</f>
        <v>0</v>
      </c>
      <c r="BQ9" s="1128">
        <v>0</v>
      </c>
      <c r="BR9" s="455">
        <f>0-BQ9</f>
        <v>0</v>
      </c>
      <c r="BS9" s="455">
        <f>0-SUM(BQ9:BR9)</f>
        <v>0</v>
      </c>
      <c r="BT9" s="455">
        <f>0-SUM(BQ9:BS9)</f>
        <v>0</v>
      </c>
      <c r="BU9" s="327">
        <f t="shared" ref="BU9:BU14" si="55">SUM(BQ9:BT9)</f>
        <v>0</v>
      </c>
      <c r="BV9" s="1128">
        <v>1048</v>
      </c>
      <c r="BW9" s="1128">
        <v>1058</v>
      </c>
      <c r="BX9" s="1128">
        <v>978</v>
      </c>
      <c r="BY9" s="1128">
        <v>665</v>
      </c>
      <c r="BZ9" s="327">
        <f t="shared" ref="BZ9:BZ14" si="56">SUM(BV9:BY9)</f>
        <v>3749</v>
      </c>
      <c r="CA9" s="1127">
        <v>1015</v>
      </c>
      <c r="CB9" s="1127">
        <v>3232</v>
      </c>
      <c r="CC9" s="1127">
        <v>748</v>
      </c>
      <c r="CD9" s="1127">
        <v>739</v>
      </c>
      <c r="CE9" s="327">
        <f t="shared" ref="CE9:CE14" si="57">SUM(CA9:CD9)</f>
        <v>5734</v>
      </c>
      <c r="CF9" s="1127">
        <v>745</v>
      </c>
      <c r="CG9" s="1127">
        <v>551</v>
      </c>
      <c r="CH9" s="1127">
        <v>617</v>
      </c>
      <c r="CI9" s="1127">
        <v>535</v>
      </c>
      <c r="CJ9" s="327">
        <f t="shared" ref="CJ9:CJ14" si="58">SUM(CF9:CI9)</f>
        <v>2448</v>
      </c>
      <c r="CK9" s="1127">
        <v>464</v>
      </c>
      <c r="CL9" s="1127">
        <v>514</v>
      </c>
      <c r="CM9" s="1127">
        <v>374</v>
      </c>
      <c r="CN9" s="1127">
        <v>363</v>
      </c>
      <c r="CO9" s="327">
        <f t="shared" ref="CO9:CO14" si="59">SUM(CK9:CN9)</f>
        <v>1715</v>
      </c>
      <c r="CP9" s="1127">
        <v>456</v>
      </c>
      <c r="CQ9" s="1127">
        <v>437</v>
      </c>
      <c r="CR9" s="1127">
        <v>321</v>
      </c>
      <c r="CS9" s="1127">
        <v>336</v>
      </c>
      <c r="CT9" s="327">
        <f t="shared" ref="CT9:CT14" si="60">SUM(CP9:CS9)</f>
        <v>1550</v>
      </c>
      <c r="CU9" s="1127">
        <v>333</v>
      </c>
      <c r="CV9" s="1127">
        <v>360</v>
      </c>
      <c r="CW9" s="1127">
        <v>373</v>
      </c>
      <c r="CX9" s="1127">
        <v>413</v>
      </c>
      <c r="CY9" s="327">
        <f t="shared" ref="CY9:CY14" si="61">SUM(CU9:CX9)</f>
        <v>1479</v>
      </c>
      <c r="CZ9" s="1127">
        <v>443</v>
      </c>
      <c r="DA9" s="1127">
        <v>417</v>
      </c>
      <c r="DB9" s="1127">
        <v>432</v>
      </c>
      <c r="DC9" s="1127">
        <v>416</v>
      </c>
      <c r="DD9" s="327">
        <f t="shared" ref="DD9:DD14" si="62">SUM(CZ9:DC9)</f>
        <v>1708</v>
      </c>
      <c r="DE9" s="1127">
        <v>443</v>
      </c>
      <c r="DF9" s="1127">
        <v>485</v>
      </c>
      <c r="DG9" s="1127">
        <v>481</v>
      </c>
      <c r="DH9" s="1127">
        <v>482</v>
      </c>
      <c r="DI9" s="327">
        <f t="shared" ref="DI9:DI14" si="63">SUM(DE9:DH9)</f>
        <v>1891</v>
      </c>
      <c r="DJ9" s="1127">
        <v>528</v>
      </c>
      <c r="DK9" s="1127">
        <v>553</v>
      </c>
      <c r="DL9" s="1127">
        <v>541</v>
      </c>
      <c r="DM9" s="1127">
        <v>544</v>
      </c>
      <c r="DN9" s="327">
        <f t="shared" ref="DN9:DN14" si="64">SUM(DJ9:DM9)</f>
        <v>2166</v>
      </c>
      <c r="DO9" s="1127">
        <v>558</v>
      </c>
      <c r="DP9" s="1127">
        <v>575</v>
      </c>
      <c r="DQ9" s="1127">
        <v>591</v>
      </c>
      <c r="DR9" s="1127">
        <v>520</v>
      </c>
      <c r="DS9" s="327">
        <f t="shared" ref="DS9:DS15" si="65">SUM(DO9:DR9)</f>
        <v>2244</v>
      </c>
      <c r="DT9" s="1127">
        <v>603</v>
      </c>
      <c r="DU9" s="1127">
        <v>603</v>
      </c>
      <c r="DV9" s="1127">
        <v>599</v>
      </c>
      <c r="DW9" s="1127">
        <v>601</v>
      </c>
      <c r="DX9" s="327">
        <f t="shared" ref="DX9:DX14" si="66">SUM(DT9:DW9)</f>
        <v>2406</v>
      </c>
      <c r="DY9" s="1127">
        <v>635</v>
      </c>
      <c r="DZ9" s="1127">
        <v>591</v>
      </c>
      <c r="EA9" s="1127">
        <v>602</v>
      </c>
      <c r="EB9" s="1127">
        <v>618</v>
      </c>
      <c r="EC9" s="327">
        <f t="shared" ref="EC9:EC15" si="67">SUM(DY9:EB9)</f>
        <v>2446</v>
      </c>
      <c r="ED9" s="1127">
        <v>646</v>
      </c>
      <c r="EE9" s="1127">
        <v>633</v>
      </c>
      <c r="EF9" s="1127">
        <v>641</v>
      </c>
      <c r="EG9" s="1127">
        <v>654</v>
      </c>
      <c r="EH9" s="327">
        <f t="shared" ref="EH9:EH15" si="68">SUM(ED9:EG9)</f>
        <v>2574</v>
      </c>
      <c r="EI9" s="2769">
        <v>674</v>
      </c>
      <c r="EJ9" s="2769">
        <v>658</v>
      </c>
      <c r="EK9" s="2769">
        <v>672</v>
      </c>
      <c r="EL9" s="2769">
        <v>664</v>
      </c>
      <c r="EM9" s="2770">
        <f t="shared" ref="EM9:EM15" si="69">SUM(EI9:EL9)</f>
        <v>2668</v>
      </c>
      <c r="EN9" s="2769">
        <v>703</v>
      </c>
      <c r="EO9" s="2769">
        <v>767</v>
      </c>
      <c r="EP9" s="2769">
        <v>883</v>
      </c>
      <c r="EQ9" s="2769">
        <v>913</v>
      </c>
      <c r="ER9" s="2770">
        <f t="shared" ref="ER9:ER15" si="70">SUM(EN9:EQ9)</f>
        <v>3266</v>
      </c>
      <c r="ES9" s="2769">
        <v>973</v>
      </c>
      <c r="ET9" s="2769">
        <v>986</v>
      </c>
      <c r="EU9" s="2769">
        <v>969</v>
      </c>
      <c r="EV9" s="242">
        <f>EU9*0.97</f>
        <v>939.93</v>
      </c>
      <c r="EW9" s="327">
        <f t="shared" ref="EW9:EW15" si="71">SUM(ES9:EV9)</f>
        <v>3867.93</v>
      </c>
      <c r="EX9" s="242">
        <f>EV9*0.97</f>
        <v>911.73209999999995</v>
      </c>
      <c r="EY9" s="242">
        <f>EX9*0.97</f>
        <v>884.38013699999988</v>
      </c>
      <c r="EZ9" s="242">
        <f>EY9*0.97</f>
        <v>857.84873288999984</v>
      </c>
      <c r="FA9" s="242">
        <f>EZ9*0.97</f>
        <v>832.11327090329985</v>
      </c>
      <c r="FB9" s="327">
        <f t="shared" ref="FB9:FB15" si="72">SUM(EX9:FA9)</f>
        <v>3486.0742407932994</v>
      </c>
      <c r="FC9" s="242">
        <f>FA9*0.97</f>
        <v>807.14987277620082</v>
      </c>
      <c r="FD9" s="242">
        <f>FC9*0.97</f>
        <v>782.93537659291474</v>
      </c>
      <c r="FE9" s="242">
        <f>FD9*0.97</f>
        <v>759.44731529512728</v>
      </c>
      <c r="FF9" s="242">
        <f>FE9*0.97</f>
        <v>736.66389583627347</v>
      </c>
      <c r="FG9" s="327">
        <f t="shared" ref="FG9:FG15" si="73">SUM(FC9:FF9)</f>
        <v>3086.196460500516</v>
      </c>
      <c r="FH9" s="242">
        <f>FF9*0.97</f>
        <v>714.56397896118528</v>
      </c>
      <c r="FI9" s="242">
        <f>FH9*0.97</f>
        <v>693.12705959234972</v>
      </c>
      <c r="FJ9" s="242">
        <f>FI9*0.97</f>
        <v>672.33324780457917</v>
      </c>
      <c r="FK9" s="242">
        <f>FJ9*0.97</f>
        <v>652.1632503704418</v>
      </c>
      <c r="FL9" s="327">
        <f t="shared" ref="FL9:FL15" si="74">SUM(FH9:FK9)</f>
        <v>2732.1875367285561</v>
      </c>
      <c r="FM9" s="455"/>
      <c r="FN9" s="537"/>
      <c r="FO9" s="327">
        <f t="shared" si="0"/>
        <v>0</v>
      </c>
      <c r="FP9" s="327">
        <f t="shared" si="1"/>
        <v>0</v>
      </c>
      <c r="FQ9" s="327">
        <f t="shared" si="2"/>
        <v>0</v>
      </c>
      <c r="FR9" s="327">
        <f t="shared" si="3"/>
        <v>2106</v>
      </c>
      <c r="FS9" s="327">
        <f t="shared" si="4"/>
        <v>5890</v>
      </c>
      <c r="FT9" s="327">
        <f t="shared" si="5"/>
        <v>2783</v>
      </c>
      <c r="FU9" s="327">
        <f t="shared" si="6"/>
        <v>2130</v>
      </c>
      <c r="FV9" s="327">
        <f t="shared" si="7"/>
        <v>1630</v>
      </c>
      <c r="FW9" s="327">
        <f t="shared" si="8"/>
        <v>1350</v>
      </c>
      <c r="FX9" s="327">
        <f t="shared" si="9"/>
        <v>1646</v>
      </c>
      <c r="FY9" s="327">
        <f t="shared" si="10"/>
        <v>1776</v>
      </c>
      <c r="FZ9" s="327">
        <f t="shared" si="11"/>
        <v>2044</v>
      </c>
      <c r="GA9" s="327">
        <f t="shared" si="12"/>
        <v>2218</v>
      </c>
      <c r="GB9" s="372">
        <f t="shared" si="13"/>
        <v>2317</v>
      </c>
      <c r="GC9" s="372">
        <f t="shared" si="14"/>
        <v>2426</v>
      </c>
      <c r="GD9" s="372">
        <f t="shared" si="15"/>
        <v>2499</v>
      </c>
      <c r="GE9" s="372">
        <f t="shared" si="16"/>
        <v>2627</v>
      </c>
      <c r="GF9" s="372">
        <f t="shared" si="17"/>
        <v>2806</v>
      </c>
      <c r="GG9" s="372">
        <f t="shared" si="18"/>
        <v>3755</v>
      </c>
      <c r="GH9" s="372">
        <f t="shared" si="19"/>
        <v>3705.0422369999997</v>
      </c>
      <c r="GI9" s="372">
        <f t="shared" si="20"/>
        <v>3280.0472531624155</v>
      </c>
      <c r="GJ9" s="371"/>
      <c r="GK9" s="371"/>
      <c r="GL9" s="371"/>
      <c r="GM9" s="371"/>
      <c r="GO9"/>
      <c r="GP9"/>
      <c r="GQ9"/>
      <c r="GR9"/>
      <c r="GS9"/>
      <c r="GT9"/>
      <c r="GU9" s="261"/>
      <c r="GV9" s="261"/>
      <c r="GW9" s="261"/>
      <c r="GX9" s="261"/>
      <c r="GY9" s="261"/>
      <c r="GZ9" s="261"/>
      <c r="HA9" s="261"/>
      <c r="HB9" s="261"/>
      <c r="HC9" s="261"/>
      <c r="HD9" s="261"/>
      <c r="HE9" s="261"/>
      <c r="HF9" s="261"/>
      <c r="HG9" s="261"/>
      <c r="HH9" s="261"/>
      <c r="HI9" s="261"/>
      <c r="HJ9" s="261"/>
      <c r="HK9" s="261"/>
      <c r="HL9" s="261"/>
      <c r="HM9" s="261"/>
      <c r="HN9" s="261"/>
      <c r="HO9" s="261"/>
      <c r="HP9" s="261"/>
      <c r="HQ9" s="261"/>
      <c r="HR9" s="261"/>
      <c r="HS9" s="261"/>
      <c r="HT9" s="261"/>
      <c r="HU9" s="261"/>
      <c r="HV9" s="261"/>
      <c r="HW9" s="261"/>
      <c r="HX9" s="261"/>
      <c r="HY9" s="261"/>
      <c r="HZ9" s="261"/>
      <c r="IA9" s="261"/>
      <c r="IB9" s="261"/>
      <c r="IC9" s="261"/>
      <c r="ID9" s="261"/>
      <c r="IE9" s="261"/>
      <c r="IF9" s="261"/>
      <c r="IG9" s="261"/>
      <c r="IH9" s="261"/>
      <c r="II9" s="261"/>
      <c r="IJ9" s="261"/>
      <c r="IK9" s="261"/>
      <c r="IL9" s="261"/>
      <c r="IM9" s="261"/>
      <c r="IN9" s="261"/>
      <c r="IO9" s="261"/>
      <c r="IP9" s="261"/>
      <c r="IQ9" s="261"/>
      <c r="IR9" s="261"/>
      <c r="IS9" s="261"/>
      <c r="IT9" s="261"/>
      <c r="IU9" s="261"/>
      <c r="IV9" s="261"/>
      <c r="IW9" s="261"/>
      <c r="IX9" s="261"/>
      <c r="IY9" s="261"/>
      <c r="IZ9" s="261"/>
      <c r="JA9" s="261"/>
      <c r="JB9" s="261"/>
      <c r="JC9" s="261"/>
      <c r="JD9" s="261"/>
      <c r="JE9" s="261"/>
      <c r="JF9" s="261"/>
      <c r="JG9" s="261"/>
      <c r="JH9" s="261"/>
      <c r="JI9" s="261"/>
      <c r="JJ9" s="261"/>
      <c r="JK9" s="261"/>
      <c r="JL9" s="261"/>
      <c r="JM9" s="261"/>
      <c r="JN9" s="261"/>
      <c r="JO9" s="261"/>
      <c r="JP9" s="261"/>
      <c r="JQ9" s="261"/>
      <c r="JR9" s="261"/>
      <c r="JS9" s="261"/>
      <c r="JT9" s="261"/>
    </row>
    <row r="10" spans="1:280" s="264" customFormat="1" ht="11.25" customHeight="1">
      <c r="A10" s="528" t="s">
        <v>285</v>
      </c>
      <c r="D10" s="1128">
        <v>0</v>
      </c>
      <c r="E10" s="455">
        <f t="shared" si="21"/>
        <v>0</v>
      </c>
      <c r="F10" s="455">
        <f t="shared" si="22"/>
        <v>0</v>
      </c>
      <c r="G10" s="455">
        <f t="shared" si="23"/>
        <v>0</v>
      </c>
      <c r="H10" s="327">
        <f t="shared" si="38"/>
        <v>0</v>
      </c>
      <c r="I10" s="1128">
        <v>0</v>
      </c>
      <c r="J10" s="455">
        <f t="shared" si="24"/>
        <v>0</v>
      </c>
      <c r="K10" s="455">
        <f t="shared" si="25"/>
        <v>0</v>
      </c>
      <c r="L10" s="455">
        <f t="shared" si="26"/>
        <v>0</v>
      </c>
      <c r="M10" s="327">
        <f t="shared" si="39"/>
        <v>0</v>
      </c>
      <c r="N10" s="1128">
        <v>0</v>
      </c>
      <c r="O10" s="455">
        <f t="shared" si="27"/>
        <v>0</v>
      </c>
      <c r="P10" s="455">
        <f t="shared" si="28"/>
        <v>0</v>
      </c>
      <c r="Q10" s="455">
        <f t="shared" si="29"/>
        <v>0</v>
      </c>
      <c r="R10" s="327">
        <f t="shared" si="40"/>
        <v>0</v>
      </c>
      <c r="S10" s="1128">
        <v>0</v>
      </c>
      <c r="T10" s="455">
        <f t="shared" si="30"/>
        <v>0</v>
      </c>
      <c r="U10" s="455">
        <f t="shared" si="31"/>
        <v>0</v>
      </c>
      <c r="V10" s="455">
        <f t="shared" si="32"/>
        <v>0</v>
      </c>
      <c r="W10" s="327">
        <f t="shared" si="41"/>
        <v>0</v>
      </c>
      <c r="X10" s="1128">
        <v>0</v>
      </c>
      <c r="Y10" s="455">
        <f t="shared" si="33"/>
        <v>0</v>
      </c>
      <c r="Z10" s="455">
        <f t="shared" si="34"/>
        <v>0</v>
      </c>
      <c r="AA10" s="455">
        <f t="shared" si="35"/>
        <v>0</v>
      </c>
      <c r="AB10" s="327">
        <f t="shared" si="42"/>
        <v>0</v>
      </c>
      <c r="AC10" s="1128">
        <v>0</v>
      </c>
      <c r="AD10" s="455">
        <f t="shared" si="36"/>
        <v>0</v>
      </c>
      <c r="AE10" s="455">
        <f t="shared" si="37"/>
        <v>0</v>
      </c>
      <c r="AF10" s="455">
        <f>151-SUM(AC10:AE10)</f>
        <v>151</v>
      </c>
      <c r="AG10" s="327">
        <f t="shared" si="43"/>
        <v>151</v>
      </c>
      <c r="AH10" s="1128">
        <v>39</v>
      </c>
      <c r="AI10" s="455">
        <f>78-AH10</f>
        <v>39</v>
      </c>
      <c r="AJ10" s="455">
        <f>123-SUM(AH10:AI10)</f>
        <v>45</v>
      </c>
      <c r="AK10" s="455">
        <f>179-SUM(AH10:AJ10)</f>
        <v>56</v>
      </c>
      <c r="AL10" s="327">
        <f t="shared" si="45"/>
        <v>179</v>
      </c>
      <c r="AM10" s="1128">
        <v>58</v>
      </c>
      <c r="AN10" s="455">
        <f>71-AM10</f>
        <v>13</v>
      </c>
      <c r="AO10" s="455">
        <f>243-SUM(AM10:AN10)</f>
        <v>172</v>
      </c>
      <c r="AP10" s="455">
        <f>352-SUM(AM10:AO10)</f>
        <v>109</v>
      </c>
      <c r="AQ10" s="327">
        <f t="shared" si="47"/>
        <v>352</v>
      </c>
      <c r="AR10" s="1128">
        <v>106</v>
      </c>
      <c r="AS10" s="455">
        <f>226-AR10</f>
        <v>120</v>
      </c>
      <c r="AT10" s="455">
        <f>482-SUM(AR10:AS10)</f>
        <v>256</v>
      </c>
      <c r="AU10" s="455">
        <f>796-SUM(AR10:AT10)</f>
        <v>314</v>
      </c>
      <c r="AV10" s="327">
        <f t="shared" si="49"/>
        <v>796</v>
      </c>
      <c r="AW10" s="1128">
        <v>199</v>
      </c>
      <c r="AX10" s="455">
        <f>407-AW10</f>
        <v>208</v>
      </c>
      <c r="AY10" s="455">
        <f>910-SUM(AW10:AX10)</f>
        <v>503</v>
      </c>
      <c r="AZ10" s="455">
        <f>1553-SUM(AW10:AY10)</f>
        <v>643</v>
      </c>
      <c r="BA10" s="327">
        <f t="shared" si="51"/>
        <v>1553</v>
      </c>
      <c r="BB10" s="1135">
        <v>591</v>
      </c>
      <c r="BC10" s="455">
        <f>1218-BB10</f>
        <v>627</v>
      </c>
      <c r="BD10" s="455">
        <f>2238-SUM(BB10:BC10)</f>
        <v>1020</v>
      </c>
      <c r="BE10" s="455">
        <f>3107-SUM(BB10:BD10)</f>
        <v>869</v>
      </c>
      <c r="BF10" s="327">
        <f t="shared" si="52"/>
        <v>3107</v>
      </c>
      <c r="BG10" s="1135">
        <v>1215</v>
      </c>
      <c r="BH10" s="455">
        <f>2636-BG10</f>
        <v>1421</v>
      </c>
      <c r="BI10" s="455">
        <f>4002-SUM(BG10:BH10)</f>
        <v>1366</v>
      </c>
      <c r="BJ10" s="455">
        <f>5535-SUM(BG10:BI10)</f>
        <v>1533</v>
      </c>
      <c r="BK10" s="327">
        <f t="shared" si="53"/>
        <v>5535</v>
      </c>
      <c r="BL10" s="1128">
        <v>453</v>
      </c>
      <c r="BM10" s="455">
        <f>897-BL10</f>
        <v>444</v>
      </c>
      <c r="BN10" s="455">
        <f>1271-SUM(BL10:BM10)</f>
        <v>374</v>
      </c>
      <c r="BO10" s="455">
        <f>2066-SUM(BL10:BN10)</f>
        <v>795</v>
      </c>
      <c r="BP10" s="327">
        <f t="shared" si="54"/>
        <v>2066</v>
      </c>
      <c r="BQ10" s="1128">
        <v>415</v>
      </c>
      <c r="BR10" s="455">
        <f>751-BQ10</f>
        <v>336</v>
      </c>
      <c r="BS10" s="455">
        <f>1097-SUM(BQ10:BR10)</f>
        <v>346</v>
      </c>
      <c r="BT10" s="455">
        <f>1596-SUM(BQ10:BS10)</f>
        <v>499</v>
      </c>
      <c r="BU10" s="327">
        <f t="shared" si="55"/>
        <v>1596</v>
      </c>
      <c r="BV10" s="1128">
        <v>365</v>
      </c>
      <c r="BW10" s="1128">
        <v>296</v>
      </c>
      <c r="BX10" s="1128">
        <v>329</v>
      </c>
      <c r="BY10" s="1128">
        <v>375</v>
      </c>
      <c r="BZ10" s="327">
        <f t="shared" si="56"/>
        <v>1365</v>
      </c>
      <c r="CA10" s="1127">
        <v>489</v>
      </c>
      <c r="CB10" s="1127">
        <v>148</v>
      </c>
      <c r="CC10" s="1127">
        <v>135</v>
      </c>
      <c r="CD10" s="1127">
        <v>328</v>
      </c>
      <c r="CE10" s="327">
        <f t="shared" si="57"/>
        <v>1100</v>
      </c>
      <c r="CF10" s="1127">
        <v>128</v>
      </c>
      <c r="CG10" s="1127">
        <v>99</v>
      </c>
      <c r="CH10" s="1127">
        <v>37</v>
      </c>
      <c r="CI10" s="1127">
        <v>404</v>
      </c>
      <c r="CJ10" s="327">
        <f t="shared" si="58"/>
        <v>668</v>
      </c>
      <c r="CK10" s="1127">
        <v>-31</v>
      </c>
      <c r="CL10" s="1127">
        <v>-13</v>
      </c>
      <c r="CM10" s="1127">
        <v>-23</v>
      </c>
      <c r="CN10" s="1127">
        <v>-22</v>
      </c>
      <c r="CO10" s="327">
        <f t="shared" si="59"/>
        <v>-89</v>
      </c>
      <c r="CP10" s="1127">
        <v>-40</v>
      </c>
      <c r="CQ10" s="1127">
        <v>-8</v>
      </c>
      <c r="CR10" s="1127">
        <v>-7</v>
      </c>
      <c r="CS10" s="1127">
        <v>-22</v>
      </c>
      <c r="CT10" s="327">
        <f t="shared" si="60"/>
        <v>-77</v>
      </c>
      <c r="CU10" s="1127">
        <v>-69</v>
      </c>
      <c r="CV10" s="1127">
        <v>-33</v>
      </c>
      <c r="CW10" s="1127">
        <v>-9</v>
      </c>
      <c r="CX10" s="1127">
        <v>-9</v>
      </c>
      <c r="CY10" s="327">
        <f t="shared" si="61"/>
        <v>-120</v>
      </c>
      <c r="CZ10" s="1127">
        <v>-44</v>
      </c>
      <c r="DA10" s="1127">
        <v>-2</v>
      </c>
      <c r="DB10" s="1127">
        <v>-2</v>
      </c>
      <c r="DC10" s="1128">
        <v>-3</v>
      </c>
      <c r="DD10" s="327">
        <f t="shared" si="62"/>
        <v>-51</v>
      </c>
      <c r="DE10" s="1128">
        <v>-9</v>
      </c>
      <c r="DF10" s="1128">
        <v>-15</v>
      </c>
      <c r="DG10" s="1128">
        <v>-14</v>
      </c>
      <c r="DH10" s="1128">
        <v>-7</v>
      </c>
      <c r="DI10" s="327">
        <f t="shared" si="63"/>
        <v>-45</v>
      </c>
      <c r="DJ10" s="1128">
        <v>-5</v>
      </c>
      <c r="DK10" s="1128">
        <v>-4</v>
      </c>
      <c r="DL10" s="1128">
        <v>-5</v>
      </c>
      <c r="DM10" s="1128">
        <v>-3</v>
      </c>
      <c r="DN10" s="327">
        <f t="shared" si="64"/>
        <v>-17</v>
      </c>
      <c r="DO10" s="1128">
        <v>-70</v>
      </c>
      <c r="DP10" s="1128">
        <v>-4</v>
      </c>
      <c r="DQ10" s="1128">
        <v>68</v>
      </c>
      <c r="DR10" s="1128">
        <v>-9</v>
      </c>
      <c r="DS10" s="327">
        <f t="shared" si="65"/>
        <v>-15</v>
      </c>
      <c r="DT10" s="1128">
        <v>-177</v>
      </c>
      <c r="DU10" s="1128">
        <v>-9</v>
      </c>
      <c r="DV10" s="1128">
        <v>-6</v>
      </c>
      <c r="DW10" s="1128">
        <v>-17</v>
      </c>
      <c r="DX10" s="327">
        <f t="shared" si="66"/>
        <v>-209</v>
      </c>
      <c r="DY10" s="1128">
        <v>-205</v>
      </c>
      <c r="DZ10" s="1128">
        <v>-20</v>
      </c>
      <c r="EA10" s="1128">
        <v>-22</v>
      </c>
      <c r="EB10" s="1128">
        <v>-24</v>
      </c>
      <c r="EC10" s="327">
        <f t="shared" si="67"/>
        <v>-271</v>
      </c>
      <c r="ED10" s="1128">
        <v>-502</v>
      </c>
      <c r="EE10" s="1128">
        <v>-22</v>
      </c>
      <c r="EF10" s="1128">
        <v>-31</v>
      </c>
      <c r="EG10" s="1128">
        <v>-33</v>
      </c>
      <c r="EH10" s="327">
        <f t="shared" si="68"/>
        <v>-588</v>
      </c>
      <c r="EI10" s="2516">
        <v>-282</v>
      </c>
      <c r="EJ10" s="2516">
        <v>-20</v>
      </c>
      <c r="EK10" s="2516">
        <v>0</v>
      </c>
      <c r="EL10" s="2516">
        <v>0</v>
      </c>
      <c r="EM10" s="2770">
        <f t="shared" si="69"/>
        <v>-302</v>
      </c>
      <c r="EN10" s="2516">
        <v>0</v>
      </c>
      <c r="EO10" s="2516">
        <v>0</v>
      </c>
      <c r="EP10" s="2516">
        <v>0</v>
      </c>
      <c r="EQ10" s="2516">
        <v>0</v>
      </c>
      <c r="ER10" s="2770">
        <f t="shared" si="70"/>
        <v>0</v>
      </c>
      <c r="ES10" s="2516">
        <v>0</v>
      </c>
      <c r="ET10" s="2516">
        <v>0</v>
      </c>
      <c r="EU10" s="2516">
        <v>0</v>
      </c>
      <c r="EV10" s="1128">
        <v>0</v>
      </c>
      <c r="EW10" s="327">
        <f t="shared" si="71"/>
        <v>0</v>
      </c>
      <c r="EX10" s="1128">
        <v>0</v>
      </c>
      <c r="EY10" s="1128">
        <v>0</v>
      </c>
      <c r="EZ10" s="1128">
        <v>0</v>
      </c>
      <c r="FA10" s="1128">
        <v>0</v>
      </c>
      <c r="FB10" s="327">
        <f t="shared" si="72"/>
        <v>0</v>
      </c>
      <c r="FC10" s="1128">
        <v>0</v>
      </c>
      <c r="FD10" s="1128">
        <v>0</v>
      </c>
      <c r="FE10" s="1128">
        <v>0</v>
      </c>
      <c r="FF10" s="1128">
        <v>0</v>
      </c>
      <c r="FG10" s="327">
        <f t="shared" si="73"/>
        <v>0</v>
      </c>
      <c r="FH10" s="1128">
        <v>0</v>
      </c>
      <c r="FI10" s="1128">
        <v>0</v>
      </c>
      <c r="FJ10" s="1128">
        <v>0</v>
      </c>
      <c r="FK10" s="1128">
        <v>0</v>
      </c>
      <c r="FL10" s="327">
        <f t="shared" si="74"/>
        <v>0</v>
      </c>
      <c r="FM10" s="455"/>
      <c r="FN10" s="537"/>
      <c r="FO10" s="327">
        <f t="shared" si="0"/>
        <v>4525</v>
      </c>
      <c r="FP10" s="327">
        <f t="shared" si="1"/>
        <v>3796</v>
      </c>
      <c r="FQ10" s="327">
        <f t="shared" si="2"/>
        <v>1920</v>
      </c>
      <c r="FR10" s="327">
        <f t="shared" si="3"/>
        <v>1506</v>
      </c>
      <c r="FS10" s="327">
        <f t="shared" si="4"/>
        <v>1341</v>
      </c>
      <c r="FT10" s="327">
        <f t="shared" si="5"/>
        <v>690</v>
      </c>
      <c r="FU10" s="327">
        <f t="shared" si="6"/>
        <v>397</v>
      </c>
      <c r="FV10" s="327">
        <f t="shared" si="7"/>
        <v>-93</v>
      </c>
      <c r="FW10" s="327">
        <f t="shared" si="8"/>
        <v>-131</v>
      </c>
      <c r="FX10" s="327">
        <f t="shared" si="9"/>
        <v>-64</v>
      </c>
      <c r="FY10" s="327">
        <f t="shared" si="10"/>
        <v>-29</v>
      </c>
      <c r="FZ10" s="327">
        <f t="shared" si="11"/>
        <v>-30</v>
      </c>
      <c r="GA10" s="327">
        <f t="shared" si="12"/>
        <v>-82</v>
      </c>
      <c r="GB10" s="372">
        <f t="shared" si="13"/>
        <v>-127</v>
      </c>
      <c r="GC10" s="372">
        <f t="shared" si="14"/>
        <v>-248</v>
      </c>
      <c r="GD10" s="372">
        <f t="shared" si="15"/>
        <v>-570</v>
      </c>
      <c r="GE10" s="372">
        <f t="shared" si="16"/>
        <v>-366</v>
      </c>
      <c r="GF10" s="372">
        <f t="shared" si="17"/>
        <v>0</v>
      </c>
      <c r="GG10" s="372">
        <f t="shared" si="18"/>
        <v>0</v>
      </c>
      <c r="GH10" s="372">
        <f t="shared" si="19"/>
        <v>0</v>
      </c>
      <c r="GI10" s="372">
        <f t="shared" si="20"/>
        <v>0</v>
      </c>
      <c r="GJ10" s="371"/>
      <c r="GK10" s="371"/>
      <c r="GL10" s="371"/>
      <c r="GM10" s="371"/>
      <c r="GO10"/>
      <c r="GP10"/>
      <c r="GQ10"/>
      <c r="GR10"/>
      <c r="GS10"/>
      <c r="GT10"/>
      <c r="GU10" s="261"/>
      <c r="GV10" s="261"/>
      <c r="GW10" s="261"/>
      <c r="GX10" s="261"/>
      <c r="GY10" s="261"/>
      <c r="GZ10" s="261"/>
      <c r="HA10" s="261"/>
      <c r="HB10" s="261"/>
      <c r="HC10" s="261"/>
      <c r="HD10" s="261"/>
      <c r="HE10" s="261"/>
      <c r="HF10" s="261"/>
      <c r="HG10" s="261"/>
      <c r="HH10" s="261"/>
      <c r="HI10" s="261"/>
      <c r="HJ10" s="261"/>
      <c r="HK10" s="261"/>
      <c r="HL10" s="261"/>
      <c r="HM10" s="261"/>
      <c r="HN10" s="261"/>
      <c r="HO10" s="261"/>
      <c r="HP10" s="261"/>
      <c r="HQ10" s="261"/>
      <c r="HR10" s="261"/>
      <c r="HS10" s="261"/>
      <c r="HT10" s="261"/>
      <c r="HU10" s="261"/>
      <c r="HV10" s="261"/>
      <c r="HW10" s="261"/>
      <c r="HX10" s="261"/>
      <c r="HY10" s="261"/>
      <c r="HZ10" s="261"/>
      <c r="IA10" s="261"/>
      <c r="IB10" s="261"/>
      <c r="IC10" s="261"/>
      <c r="ID10" s="261"/>
      <c r="IE10" s="261"/>
      <c r="IF10" s="261"/>
      <c r="IG10" s="261"/>
      <c r="IH10" s="261"/>
      <c r="II10" s="261"/>
      <c r="IJ10" s="261"/>
      <c r="IK10" s="261"/>
      <c r="IL10" s="261"/>
      <c r="IM10" s="261"/>
      <c r="IN10" s="261"/>
      <c r="IO10" s="261"/>
      <c r="IP10" s="261"/>
      <c r="IQ10" s="261"/>
      <c r="IR10" s="261"/>
      <c r="IS10" s="261"/>
      <c r="IT10" s="261"/>
      <c r="IU10" s="261"/>
      <c r="IV10" s="261"/>
      <c r="IW10" s="261"/>
      <c r="IX10" s="261"/>
      <c r="IY10" s="261"/>
      <c r="IZ10" s="261"/>
      <c r="JA10" s="261"/>
      <c r="JB10" s="261"/>
      <c r="JC10" s="261"/>
      <c r="JD10" s="261"/>
      <c r="JE10" s="261"/>
      <c r="JF10" s="261"/>
      <c r="JG10" s="261"/>
      <c r="JH10" s="261"/>
      <c r="JI10" s="261"/>
      <c r="JJ10" s="261"/>
      <c r="JK10" s="261"/>
      <c r="JL10" s="261"/>
      <c r="JM10" s="261"/>
      <c r="JN10" s="261"/>
      <c r="JO10" s="261"/>
      <c r="JP10" s="261"/>
      <c r="JQ10" s="261"/>
      <c r="JR10" s="261"/>
      <c r="JS10" s="261"/>
      <c r="JT10" s="261"/>
    </row>
    <row r="11" spans="1:280" s="264" customFormat="1" ht="11.25" customHeight="1">
      <c r="A11" s="528" t="s">
        <v>631</v>
      </c>
      <c r="D11" s="1128">
        <v>0</v>
      </c>
      <c r="E11" s="455">
        <f t="shared" si="21"/>
        <v>0</v>
      </c>
      <c r="F11" s="455">
        <f t="shared" si="22"/>
        <v>0</v>
      </c>
      <c r="G11" s="455">
        <f t="shared" si="23"/>
        <v>0</v>
      </c>
      <c r="H11" s="327">
        <f t="shared" si="38"/>
        <v>0</v>
      </c>
      <c r="I11" s="1128">
        <v>0</v>
      </c>
      <c r="J11" s="455">
        <f t="shared" si="24"/>
        <v>0</v>
      </c>
      <c r="K11" s="455">
        <f t="shared" si="25"/>
        <v>0</v>
      </c>
      <c r="L11" s="455">
        <f t="shared" si="26"/>
        <v>0</v>
      </c>
      <c r="M11" s="327">
        <f t="shared" si="39"/>
        <v>0</v>
      </c>
      <c r="N11" s="1128">
        <v>0</v>
      </c>
      <c r="O11" s="455">
        <f t="shared" si="27"/>
        <v>0</v>
      </c>
      <c r="P11" s="455">
        <f t="shared" si="28"/>
        <v>0</v>
      </c>
      <c r="Q11" s="455">
        <f t="shared" si="29"/>
        <v>0</v>
      </c>
      <c r="R11" s="327">
        <f t="shared" si="40"/>
        <v>0</v>
      </c>
      <c r="S11" s="1128">
        <v>0</v>
      </c>
      <c r="T11" s="455">
        <f t="shared" si="30"/>
        <v>0</v>
      </c>
      <c r="U11" s="455">
        <f t="shared" si="31"/>
        <v>0</v>
      </c>
      <c r="V11" s="455">
        <f t="shared" si="32"/>
        <v>0</v>
      </c>
      <c r="W11" s="327">
        <f t="shared" si="41"/>
        <v>0</v>
      </c>
      <c r="X11" s="1128">
        <v>0</v>
      </c>
      <c r="Y11" s="455">
        <f t="shared" si="33"/>
        <v>0</v>
      </c>
      <c r="Z11" s="455">
        <f t="shared" si="34"/>
        <v>0</v>
      </c>
      <c r="AA11" s="455">
        <f t="shared" si="35"/>
        <v>0</v>
      </c>
      <c r="AB11" s="327">
        <f t="shared" si="42"/>
        <v>0</v>
      </c>
      <c r="AC11" s="1128">
        <v>0</v>
      </c>
      <c r="AD11" s="455">
        <f t="shared" si="36"/>
        <v>0</v>
      </c>
      <c r="AE11" s="455">
        <f t="shared" si="37"/>
        <v>0</v>
      </c>
      <c r="AF11" s="455">
        <f>0-SUM(AC11:AE11)</f>
        <v>0</v>
      </c>
      <c r="AG11" s="327">
        <f t="shared" si="43"/>
        <v>0</v>
      </c>
      <c r="AH11" s="1128">
        <v>0</v>
      </c>
      <c r="AI11" s="455">
        <f t="shared" si="44"/>
        <v>0</v>
      </c>
      <c r="AJ11" s="455">
        <f>0-SUM(AH11:AI11)</f>
        <v>0</v>
      </c>
      <c r="AK11" s="455">
        <f>0-SUM(AH11:AJ11)</f>
        <v>0</v>
      </c>
      <c r="AL11" s="327">
        <f t="shared" si="45"/>
        <v>0</v>
      </c>
      <c r="AM11" s="1128">
        <v>0</v>
      </c>
      <c r="AN11" s="455">
        <f t="shared" si="46"/>
        <v>0</v>
      </c>
      <c r="AO11" s="455">
        <f>0-SUM(AM11:AN11)</f>
        <v>0</v>
      </c>
      <c r="AP11" s="455">
        <f>0-SUM(AM11:AO11)</f>
        <v>0</v>
      </c>
      <c r="AQ11" s="327">
        <f t="shared" si="47"/>
        <v>0</v>
      </c>
      <c r="AR11" s="1128">
        <v>0</v>
      </c>
      <c r="AS11" s="455">
        <f t="shared" si="48"/>
        <v>0</v>
      </c>
      <c r="AT11" s="455">
        <f>0-SUM(AR11:AS11)</f>
        <v>0</v>
      </c>
      <c r="AU11" s="455">
        <f>0-SUM(AR11:AT11)</f>
        <v>0</v>
      </c>
      <c r="AV11" s="327">
        <f t="shared" si="49"/>
        <v>0</v>
      </c>
      <c r="AW11" s="1128">
        <v>0</v>
      </c>
      <c r="AX11" s="455">
        <f t="shared" si="50"/>
        <v>0</v>
      </c>
      <c r="AY11" s="455">
        <f>0-SUM(AW11:AX11)</f>
        <v>0</v>
      </c>
      <c r="AZ11" s="455">
        <f>0-SUM(AW11:AY11)</f>
        <v>0</v>
      </c>
      <c r="BA11" s="327">
        <f t="shared" si="51"/>
        <v>0</v>
      </c>
      <c r="BB11" s="1135">
        <v>0</v>
      </c>
      <c r="BC11" s="455">
        <f>0-BB11</f>
        <v>0</v>
      </c>
      <c r="BD11" s="455">
        <f>0-SUM(BB11:BC11)</f>
        <v>0</v>
      </c>
      <c r="BE11" s="455">
        <f>0-SUM(BB11:BD11)</f>
        <v>0</v>
      </c>
      <c r="BF11" s="327">
        <f t="shared" si="52"/>
        <v>0</v>
      </c>
      <c r="BG11" s="1135">
        <v>-427</v>
      </c>
      <c r="BH11" s="455">
        <f>-427-BG11</f>
        <v>0</v>
      </c>
      <c r="BI11" s="455">
        <f>449-SUM(BG11:BH11)</f>
        <v>876</v>
      </c>
      <c r="BJ11" s="455">
        <f>-425-SUM(BG11:BI11)</f>
        <v>-874</v>
      </c>
      <c r="BK11" s="327">
        <f t="shared" si="53"/>
        <v>-425</v>
      </c>
      <c r="BL11" s="1128">
        <v>608</v>
      </c>
      <c r="BM11" s="455">
        <f>996-BL11</f>
        <v>388</v>
      </c>
      <c r="BN11" s="455">
        <f>1357-SUM(BL11:BM11)</f>
        <v>361</v>
      </c>
      <c r="BO11" s="455">
        <f>-420-SUM(BL11:BN11)</f>
        <v>-1777</v>
      </c>
      <c r="BP11" s="327">
        <f t="shared" si="54"/>
        <v>-420</v>
      </c>
      <c r="BQ11" s="1128">
        <v>-839</v>
      </c>
      <c r="BR11" s="455">
        <f>-861-BQ11</f>
        <v>-22</v>
      </c>
      <c r="BS11" s="455">
        <f>-717-SUM(BQ11:BR11)</f>
        <v>144</v>
      </c>
      <c r="BT11" s="455">
        <f>-416-SUM(BQ11:BS11)</f>
        <v>301</v>
      </c>
      <c r="BU11" s="327">
        <f t="shared" si="55"/>
        <v>-416</v>
      </c>
      <c r="BV11" s="1128">
        <v>-939</v>
      </c>
      <c r="BW11" s="1128">
        <v>-592</v>
      </c>
      <c r="BX11" s="1128">
        <v>169</v>
      </c>
      <c r="BY11" s="1128">
        <v>468</v>
      </c>
      <c r="BZ11" s="327">
        <f t="shared" si="56"/>
        <v>-894</v>
      </c>
      <c r="CA11" s="1127">
        <v>6</v>
      </c>
      <c r="CB11" s="1127">
        <v>-985</v>
      </c>
      <c r="CC11" s="1127">
        <v>54</v>
      </c>
      <c r="CD11" s="1127">
        <v>-554</v>
      </c>
      <c r="CE11" s="327">
        <f t="shared" si="57"/>
        <v>-1479</v>
      </c>
      <c r="CF11" s="1127">
        <v>293</v>
      </c>
      <c r="CG11" s="1127">
        <v>68</v>
      </c>
      <c r="CH11" s="1127">
        <v>-292</v>
      </c>
      <c r="CI11" s="1127">
        <v>-248</v>
      </c>
      <c r="CJ11" s="327">
        <f t="shared" si="58"/>
        <v>-179</v>
      </c>
      <c r="CK11" s="1127">
        <v>-128</v>
      </c>
      <c r="CL11" s="1127">
        <v>170</v>
      </c>
      <c r="CM11" s="1127">
        <v>-271</v>
      </c>
      <c r="CN11" s="1127">
        <v>448</v>
      </c>
      <c r="CO11" s="327">
        <f t="shared" si="59"/>
        <v>219</v>
      </c>
      <c r="CP11" s="1127">
        <v>166</v>
      </c>
      <c r="CQ11" s="1127">
        <v>-517</v>
      </c>
      <c r="CR11" s="1127">
        <v>981</v>
      </c>
      <c r="CS11" s="1127">
        <v>-209</v>
      </c>
      <c r="CT11" s="327">
        <f t="shared" si="60"/>
        <v>421</v>
      </c>
      <c r="CU11" s="1127">
        <v>357</v>
      </c>
      <c r="CV11" s="1127">
        <v>323</v>
      </c>
      <c r="CW11" s="1127">
        <v>103</v>
      </c>
      <c r="CX11" s="1127">
        <v>152</v>
      </c>
      <c r="CY11" s="327">
        <f t="shared" si="61"/>
        <v>935</v>
      </c>
      <c r="CZ11" s="1127">
        <v>376</v>
      </c>
      <c r="DA11" s="1127">
        <v>454</v>
      </c>
      <c r="DB11" s="1127">
        <v>-368</v>
      </c>
      <c r="DC11" s="1127">
        <v>300</v>
      </c>
      <c r="DD11" s="327">
        <f t="shared" si="62"/>
        <v>762</v>
      </c>
      <c r="DE11" s="1127">
        <v>-46</v>
      </c>
      <c r="DF11" s="1127">
        <v>550</v>
      </c>
      <c r="DG11" s="1127">
        <v>-241</v>
      </c>
      <c r="DH11" s="1127">
        <v>-483</v>
      </c>
      <c r="DI11" s="327">
        <f t="shared" si="63"/>
        <v>-220</v>
      </c>
      <c r="DJ11" s="242">
        <f>-148</f>
        <v>-148</v>
      </c>
      <c r="DK11" s="1127">
        <v>-117</v>
      </c>
      <c r="DL11" s="1127">
        <v>-59</v>
      </c>
      <c r="DM11" s="1127">
        <v>326</v>
      </c>
      <c r="DN11" s="327">
        <f t="shared" si="64"/>
        <v>2</v>
      </c>
      <c r="DO11" s="1127">
        <v>402</v>
      </c>
      <c r="DP11" s="1127">
        <v>14</v>
      </c>
      <c r="DQ11" s="1127">
        <v>-10</v>
      </c>
      <c r="DR11" s="1127">
        <v>672</v>
      </c>
      <c r="DS11" s="327">
        <f t="shared" si="65"/>
        <v>1078</v>
      </c>
      <c r="DT11" s="1127">
        <v>38</v>
      </c>
      <c r="DU11" s="1127">
        <v>140</v>
      </c>
      <c r="DV11" s="1127">
        <v>226</v>
      </c>
      <c r="DW11" s="1127">
        <v>-423</v>
      </c>
      <c r="DX11" s="327">
        <f t="shared" si="66"/>
        <v>-19</v>
      </c>
      <c r="DY11" s="1127">
        <v>404</v>
      </c>
      <c r="DZ11" s="1127">
        <v>-176</v>
      </c>
      <c r="EA11" s="1127">
        <v>-190</v>
      </c>
      <c r="EB11" s="1127">
        <v>-369</v>
      </c>
      <c r="EC11" s="327">
        <f t="shared" si="67"/>
        <v>-331</v>
      </c>
      <c r="ED11" s="1127">
        <v>301</v>
      </c>
      <c r="EE11" s="1127">
        <v>314</v>
      </c>
      <c r="EF11" s="1127">
        <v>253</v>
      </c>
      <c r="EG11" s="1127">
        <v>-644</v>
      </c>
      <c r="EH11" s="327">
        <f t="shared" si="68"/>
        <v>224</v>
      </c>
      <c r="EI11" s="2769">
        <v>73</v>
      </c>
      <c r="EJ11" s="2769">
        <v>-247</v>
      </c>
      <c r="EK11" s="2769">
        <v>351</v>
      </c>
      <c r="EL11" s="2769">
        <v>-625</v>
      </c>
      <c r="EM11" s="2770">
        <f t="shared" si="69"/>
        <v>-448</v>
      </c>
      <c r="EN11" s="2769">
        <v>15</v>
      </c>
      <c r="EO11" s="2769">
        <v>-587</v>
      </c>
      <c r="EP11" s="2769">
        <v>-777</v>
      </c>
      <c r="EQ11" s="2769">
        <v>-1947</v>
      </c>
      <c r="ER11" s="2770">
        <f t="shared" si="70"/>
        <v>-3296</v>
      </c>
      <c r="ES11" s="2769">
        <v>-53</v>
      </c>
      <c r="ET11" s="2769">
        <v>-2305</v>
      </c>
      <c r="EU11" s="2769">
        <v>-396</v>
      </c>
      <c r="EV11" s="1127">
        <v>0</v>
      </c>
      <c r="EW11" s="327">
        <f t="shared" si="71"/>
        <v>-2754</v>
      </c>
      <c r="EX11" s="1127">
        <v>0</v>
      </c>
      <c r="EY11" s="1127">
        <v>0</v>
      </c>
      <c r="EZ11" s="1127">
        <v>0</v>
      </c>
      <c r="FA11" s="1127">
        <v>0</v>
      </c>
      <c r="FB11" s="327">
        <f t="shared" si="72"/>
        <v>0</v>
      </c>
      <c r="FC11" s="1127">
        <v>0</v>
      </c>
      <c r="FD11" s="1127">
        <v>0</v>
      </c>
      <c r="FE11" s="1127">
        <v>0</v>
      </c>
      <c r="FF11" s="1127">
        <v>0</v>
      </c>
      <c r="FG11" s="327">
        <f t="shared" si="73"/>
        <v>0</v>
      </c>
      <c r="FH11" s="1127">
        <v>0</v>
      </c>
      <c r="FI11" s="1127">
        <v>0</v>
      </c>
      <c r="FJ11" s="1127">
        <v>0</v>
      </c>
      <c r="FK11" s="1127">
        <v>0</v>
      </c>
      <c r="FL11" s="327">
        <f t="shared" si="74"/>
        <v>0</v>
      </c>
      <c r="FM11" s="455"/>
      <c r="FN11" s="537"/>
      <c r="FO11" s="327">
        <f t="shared" si="0"/>
        <v>-427</v>
      </c>
      <c r="FP11" s="327">
        <f t="shared" si="1"/>
        <v>998</v>
      </c>
      <c r="FQ11" s="327">
        <f t="shared" si="2"/>
        <v>-2277</v>
      </c>
      <c r="FR11" s="327">
        <f t="shared" si="3"/>
        <v>-1086</v>
      </c>
      <c r="FS11" s="327">
        <f t="shared" si="4"/>
        <v>-342</v>
      </c>
      <c r="FT11" s="327">
        <f t="shared" si="5"/>
        <v>-139</v>
      </c>
      <c r="FU11" s="327">
        <f t="shared" si="6"/>
        <v>-498</v>
      </c>
      <c r="FV11" s="327">
        <f t="shared" si="7"/>
        <v>-174</v>
      </c>
      <c r="FW11" s="327">
        <f t="shared" si="8"/>
        <v>1452</v>
      </c>
      <c r="FX11" s="327">
        <f t="shared" si="9"/>
        <v>1085</v>
      </c>
      <c r="FY11" s="327">
        <f t="shared" si="10"/>
        <v>436</v>
      </c>
      <c r="FZ11" s="327">
        <f t="shared" si="11"/>
        <v>-989</v>
      </c>
      <c r="GA11" s="327">
        <f t="shared" si="12"/>
        <v>683</v>
      </c>
      <c r="GB11" s="372">
        <f t="shared" si="13"/>
        <v>840</v>
      </c>
      <c r="GC11" s="372">
        <f t="shared" si="14"/>
        <v>31</v>
      </c>
      <c r="GD11" s="372">
        <f t="shared" si="15"/>
        <v>56</v>
      </c>
      <c r="GE11" s="372">
        <f t="shared" si="16"/>
        <v>-565</v>
      </c>
      <c r="GF11" s="372">
        <f t="shared" si="17"/>
        <v>-846</v>
      </c>
      <c r="GG11" s="372">
        <f t="shared" si="18"/>
        <v>-5082</v>
      </c>
      <c r="GH11" s="372">
        <f t="shared" si="19"/>
        <v>-396</v>
      </c>
      <c r="GI11" s="372">
        <f t="shared" si="20"/>
        <v>0</v>
      </c>
      <c r="GJ11" s="371"/>
      <c r="GK11" s="371"/>
      <c r="GL11" s="371"/>
      <c r="GM11" s="371"/>
      <c r="GO11"/>
      <c r="GP11"/>
      <c r="GQ11"/>
      <c r="GR11"/>
      <c r="GS11"/>
      <c r="GT11"/>
      <c r="GU11" s="261"/>
      <c r="GV11" s="261"/>
      <c r="GW11" s="261"/>
      <c r="GX11" s="261"/>
      <c r="GY11" s="261"/>
      <c r="GZ11" s="261"/>
      <c r="HA11" s="261"/>
      <c r="HB11" s="261"/>
      <c r="HC11" s="261"/>
      <c r="HD11" s="261"/>
      <c r="HE11" s="261"/>
      <c r="HF11" s="261"/>
      <c r="HG11" s="261"/>
      <c r="HH11" s="261"/>
      <c r="HI11" s="261"/>
      <c r="HJ11" s="261"/>
      <c r="HK11" s="261"/>
      <c r="HL11" s="261"/>
      <c r="HM11" s="261"/>
      <c r="HN11" s="261"/>
      <c r="HO11" s="261"/>
      <c r="HP11" s="261"/>
      <c r="HQ11" s="261"/>
      <c r="HR11" s="261"/>
      <c r="HS11" s="261"/>
      <c r="HT11" s="261"/>
      <c r="HU11" s="261"/>
      <c r="HV11" s="261"/>
      <c r="HW11" s="261"/>
      <c r="HX11" s="261"/>
      <c r="HY11" s="261"/>
      <c r="HZ11" s="261"/>
      <c r="IA11" s="261"/>
      <c r="IB11" s="261"/>
      <c r="IC11" s="261"/>
      <c r="ID11" s="261"/>
      <c r="IE11" s="261"/>
      <c r="IF11" s="261"/>
      <c r="IG11" s="261"/>
      <c r="IH11" s="261"/>
      <c r="II11" s="261"/>
      <c r="IJ11" s="261"/>
      <c r="IK11" s="261"/>
      <c r="IL11" s="261"/>
      <c r="IM11" s="261"/>
      <c r="IN11" s="261"/>
      <c r="IO11" s="261"/>
      <c r="IP11" s="261"/>
      <c r="IQ11" s="261"/>
      <c r="IR11" s="261"/>
      <c r="IS11" s="261"/>
      <c r="IT11" s="261"/>
      <c r="IU11" s="261"/>
      <c r="IV11" s="261"/>
      <c r="IW11" s="261"/>
      <c r="IX11" s="261"/>
      <c r="IY11" s="261"/>
      <c r="IZ11" s="261"/>
      <c r="JA11" s="261"/>
      <c r="JB11" s="261"/>
      <c r="JC11" s="261"/>
      <c r="JD11" s="261"/>
      <c r="JE11" s="261"/>
      <c r="JF11" s="261"/>
      <c r="JG11" s="261"/>
      <c r="JH11" s="261"/>
      <c r="JI11" s="261"/>
      <c r="JJ11" s="261"/>
      <c r="JK11" s="261"/>
      <c r="JL11" s="261"/>
      <c r="JM11" s="261"/>
      <c r="JN11" s="261"/>
      <c r="JO11" s="261"/>
      <c r="JP11" s="261"/>
      <c r="JQ11" s="261"/>
      <c r="JR11" s="261"/>
      <c r="JS11" s="261"/>
      <c r="JT11" s="261"/>
    </row>
    <row r="12" spans="1:280" s="264" customFormat="1" ht="11.25" customHeight="1">
      <c r="A12" s="528" t="s">
        <v>284</v>
      </c>
      <c r="D12" s="1128">
        <v>0</v>
      </c>
      <c r="E12" s="455">
        <f t="shared" si="21"/>
        <v>0</v>
      </c>
      <c r="F12" s="455">
        <f t="shared" si="22"/>
        <v>0</v>
      </c>
      <c r="G12" s="455">
        <f t="shared" si="23"/>
        <v>0</v>
      </c>
      <c r="H12" s="327">
        <f t="shared" si="38"/>
        <v>0</v>
      </c>
      <c r="I12" s="1128">
        <v>0</v>
      </c>
      <c r="J12" s="455">
        <f t="shared" si="24"/>
        <v>0</v>
      </c>
      <c r="K12" s="455">
        <f t="shared" si="25"/>
        <v>0</v>
      </c>
      <c r="L12" s="455">
        <f t="shared" si="26"/>
        <v>0</v>
      </c>
      <c r="M12" s="327">
        <f t="shared" si="39"/>
        <v>0</v>
      </c>
      <c r="N12" s="1128">
        <v>0</v>
      </c>
      <c r="O12" s="455">
        <f t="shared" si="27"/>
        <v>0</v>
      </c>
      <c r="P12" s="455">
        <f t="shared" si="28"/>
        <v>0</v>
      </c>
      <c r="Q12" s="455">
        <f t="shared" si="29"/>
        <v>0</v>
      </c>
      <c r="R12" s="327">
        <f t="shared" si="40"/>
        <v>0</v>
      </c>
      <c r="S12" s="1128">
        <v>0</v>
      </c>
      <c r="T12" s="455">
        <f t="shared" si="30"/>
        <v>0</v>
      </c>
      <c r="U12" s="455">
        <f t="shared" si="31"/>
        <v>0</v>
      </c>
      <c r="V12" s="455">
        <f t="shared" si="32"/>
        <v>0</v>
      </c>
      <c r="W12" s="327">
        <f t="shared" si="41"/>
        <v>0</v>
      </c>
      <c r="X12" s="1128">
        <v>0</v>
      </c>
      <c r="Y12" s="455">
        <f t="shared" si="33"/>
        <v>0</v>
      </c>
      <c r="Z12" s="455">
        <f t="shared" si="34"/>
        <v>0</v>
      </c>
      <c r="AA12" s="455">
        <f t="shared" si="35"/>
        <v>0</v>
      </c>
      <c r="AB12" s="327">
        <f t="shared" si="42"/>
        <v>0</v>
      </c>
      <c r="AC12" s="1128">
        <v>0</v>
      </c>
      <c r="AD12" s="455">
        <f t="shared" si="36"/>
        <v>0</v>
      </c>
      <c r="AE12" s="455">
        <f t="shared" si="37"/>
        <v>0</v>
      </c>
      <c r="AF12" s="455">
        <f>0-SUM(AC12:AE12)</f>
        <v>0</v>
      </c>
      <c r="AG12" s="327">
        <f t="shared" si="43"/>
        <v>0</v>
      </c>
      <c r="AH12" s="1128">
        <v>0</v>
      </c>
      <c r="AI12" s="455">
        <f t="shared" si="44"/>
        <v>0</v>
      </c>
      <c r="AJ12" s="455">
        <f>0-SUM(AH12:AI12)</f>
        <v>0</v>
      </c>
      <c r="AK12" s="455">
        <f>0-SUM(AH12:AJ12)</f>
        <v>0</v>
      </c>
      <c r="AL12" s="327">
        <f t="shared" si="45"/>
        <v>0</v>
      </c>
      <c r="AM12" s="1128">
        <v>0</v>
      </c>
      <c r="AN12" s="455">
        <f t="shared" si="46"/>
        <v>0</v>
      </c>
      <c r="AO12" s="455">
        <f>0-SUM(AM12:AN12)</f>
        <v>0</v>
      </c>
      <c r="AP12" s="455">
        <f>0-SUM(AM12:AO12)</f>
        <v>0</v>
      </c>
      <c r="AQ12" s="327">
        <f t="shared" si="47"/>
        <v>0</v>
      </c>
      <c r="AR12" s="1128">
        <v>0</v>
      </c>
      <c r="AS12" s="455">
        <f t="shared" si="48"/>
        <v>0</v>
      </c>
      <c r="AT12" s="455">
        <f>0-SUM(AR12:AS12)</f>
        <v>0</v>
      </c>
      <c r="AU12" s="455">
        <f>0-SUM(AR12:AT12)</f>
        <v>0</v>
      </c>
      <c r="AV12" s="327">
        <f t="shared" si="49"/>
        <v>0</v>
      </c>
      <c r="AW12" s="1128">
        <v>0</v>
      </c>
      <c r="AX12" s="455">
        <f t="shared" si="50"/>
        <v>0</v>
      </c>
      <c r="AY12" s="455">
        <f>0-SUM(AW12:AX12)</f>
        <v>0</v>
      </c>
      <c r="AZ12" s="455">
        <f>0-SUM(AW12:AY12)</f>
        <v>0</v>
      </c>
      <c r="BA12" s="327">
        <f t="shared" si="51"/>
        <v>0</v>
      </c>
      <c r="BB12" s="1135">
        <v>-160</v>
      </c>
      <c r="BC12" s="455">
        <f>-160-BB12</f>
        <v>0</v>
      </c>
      <c r="BD12" s="455">
        <f>-160-SUM(BB12:BC12)</f>
        <v>0</v>
      </c>
      <c r="BE12" s="455">
        <f>-160-SUM(BB12:BD12)</f>
        <v>0</v>
      </c>
      <c r="BF12" s="327">
        <f t="shared" si="52"/>
        <v>-160</v>
      </c>
      <c r="BG12" s="1135">
        <v>-200</v>
      </c>
      <c r="BH12" s="455">
        <f>-591-BG12</f>
        <v>-391</v>
      </c>
      <c r="BI12" s="455">
        <f>-1078-SUM(BG12:BH12)</f>
        <v>-487</v>
      </c>
      <c r="BJ12" s="455">
        <f>-1732-SUM(BG12:BI12)</f>
        <v>-654</v>
      </c>
      <c r="BK12" s="327">
        <f t="shared" si="53"/>
        <v>-1732</v>
      </c>
      <c r="BL12" s="1128">
        <v>-599</v>
      </c>
      <c r="BM12" s="455">
        <f>-843-BL12</f>
        <v>-244</v>
      </c>
      <c r="BN12" s="455">
        <f>-943-SUM(BL12:BM12)</f>
        <v>-100</v>
      </c>
      <c r="BO12" s="455">
        <f>2221-SUM(BL12:BN12)</f>
        <v>3164</v>
      </c>
      <c r="BP12" s="327">
        <f t="shared" si="54"/>
        <v>2221</v>
      </c>
      <c r="BQ12" s="1128">
        <v>1517</v>
      </c>
      <c r="BR12" s="455">
        <f>1462-BQ12</f>
        <v>-55</v>
      </c>
      <c r="BS12" s="455">
        <f>1252-SUM(BQ12:BR12)</f>
        <v>-210</v>
      </c>
      <c r="BT12" s="455">
        <f>2424-SUM(BQ12:BS12)</f>
        <v>1172</v>
      </c>
      <c r="BU12" s="327">
        <f t="shared" si="55"/>
        <v>2424</v>
      </c>
      <c r="BV12" s="1128">
        <v>475</v>
      </c>
      <c r="BW12" s="1128">
        <v>140</v>
      </c>
      <c r="BX12" s="455">
        <f>598-SUM(BV12:BW12)</f>
        <v>-17</v>
      </c>
      <c r="BY12" s="455">
        <f>380-SUM(BV12:BX12)</f>
        <v>-218</v>
      </c>
      <c r="BZ12" s="327">
        <f t="shared" si="56"/>
        <v>380</v>
      </c>
      <c r="CA12" s="1128">
        <v>-279</v>
      </c>
      <c r="CB12" s="1128">
        <v>-321</v>
      </c>
      <c r="CC12" s="1128">
        <v>-512</v>
      </c>
      <c r="CD12" s="1128">
        <v>-184</v>
      </c>
      <c r="CE12" s="327">
        <f t="shared" si="57"/>
        <v>-1296</v>
      </c>
      <c r="CF12" s="1128">
        <v>165</v>
      </c>
      <c r="CG12" s="1128">
        <v>74</v>
      </c>
      <c r="CH12" s="1128">
        <v>-223</v>
      </c>
      <c r="CI12" s="455">
        <f>-543</f>
        <v>-543</v>
      </c>
      <c r="CJ12" s="327">
        <f t="shared" si="58"/>
        <v>-527</v>
      </c>
      <c r="CK12" s="1128">
        <v>-130</v>
      </c>
      <c r="CL12" s="1128">
        <v>-75</v>
      </c>
      <c r="CM12" s="1128">
        <v>-59</v>
      </c>
      <c r="CN12" s="1128">
        <v>-6</v>
      </c>
      <c r="CO12" s="327">
        <f t="shared" si="59"/>
        <v>-270</v>
      </c>
      <c r="CP12" s="1128">
        <v>-206</v>
      </c>
      <c r="CQ12" s="1128">
        <v>-29</v>
      </c>
      <c r="CR12" s="1128">
        <v>-61</v>
      </c>
      <c r="CS12" s="1128">
        <v>4</v>
      </c>
      <c r="CT12" s="327">
        <f t="shared" si="60"/>
        <v>-292</v>
      </c>
      <c r="CU12" s="1128">
        <v>-187</v>
      </c>
      <c r="CV12" s="1128">
        <v>-134</v>
      </c>
      <c r="CW12" s="1128">
        <v>-179</v>
      </c>
      <c r="CX12" s="1128">
        <v>-72</v>
      </c>
      <c r="CY12" s="327">
        <f t="shared" si="61"/>
        <v>-572</v>
      </c>
      <c r="CZ12" s="1128">
        <v>36</v>
      </c>
      <c r="DA12" s="1128">
        <v>139</v>
      </c>
      <c r="DB12" s="1128">
        <v>507</v>
      </c>
      <c r="DC12" s="1128">
        <v>0</v>
      </c>
      <c r="DD12" s="327">
        <f t="shared" si="62"/>
        <v>682</v>
      </c>
      <c r="DE12" s="1128">
        <v>-66</v>
      </c>
      <c r="DF12" s="1128">
        <v>-188</v>
      </c>
      <c r="DG12" s="1128">
        <v>-68</v>
      </c>
      <c r="DH12" s="1128">
        <v>114</v>
      </c>
      <c r="DI12" s="327">
        <f t="shared" si="63"/>
        <v>-208</v>
      </c>
      <c r="DJ12" s="455">
        <f>-29</f>
        <v>-29</v>
      </c>
      <c r="DK12" s="1128">
        <v>-226</v>
      </c>
      <c r="DL12" s="1128">
        <v>-122</v>
      </c>
      <c r="DM12" s="1128">
        <v>15</v>
      </c>
      <c r="DN12" s="327">
        <f t="shared" si="64"/>
        <v>-362</v>
      </c>
      <c r="DO12" s="1128">
        <f>-30</f>
        <v>-30</v>
      </c>
      <c r="DP12" s="1128">
        <v>-112</v>
      </c>
      <c r="DQ12" s="1128">
        <v>-134</v>
      </c>
      <c r="DR12" s="1128">
        <v>-126</v>
      </c>
      <c r="DS12" s="327">
        <f t="shared" si="65"/>
        <v>-402</v>
      </c>
      <c r="DT12" s="1128">
        <v>11</v>
      </c>
      <c r="DU12" s="1128">
        <v>22</v>
      </c>
      <c r="DV12" s="1128">
        <v>-52</v>
      </c>
      <c r="DW12" s="1128">
        <v>99</v>
      </c>
      <c r="DX12" s="327">
        <f t="shared" si="66"/>
        <v>80</v>
      </c>
      <c r="DY12" s="1128">
        <v>93</v>
      </c>
      <c r="DZ12" s="1128">
        <v>47</v>
      </c>
      <c r="EA12" s="1128">
        <v>-40</v>
      </c>
      <c r="EB12" s="1128">
        <v>-209</v>
      </c>
      <c r="EC12" s="327">
        <f t="shared" si="67"/>
        <v>-109</v>
      </c>
      <c r="ED12" s="1128">
        <v>55</v>
      </c>
      <c r="EE12" s="1128">
        <v>-179</v>
      </c>
      <c r="EF12" s="1128">
        <v>-55</v>
      </c>
      <c r="EG12" s="1128">
        <v>-264</v>
      </c>
      <c r="EH12" s="327">
        <f t="shared" si="68"/>
        <v>-443</v>
      </c>
      <c r="EI12" s="2516">
        <v>101</v>
      </c>
      <c r="EJ12" s="2516">
        <v>50</v>
      </c>
      <c r="EK12" s="2516">
        <v>65</v>
      </c>
      <c r="EL12" s="2516">
        <v>-439</v>
      </c>
      <c r="EM12" s="2770">
        <f t="shared" si="69"/>
        <v>-223</v>
      </c>
      <c r="EN12" s="2516">
        <v>-311</v>
      </c>
      <c r="EO12" s="2516">
        <v>-652</v>
      </c>
      <c r="EP12" s="2516">
        <v>-590</v>
      </c>
      <c r="EQ12" s="2516">
        <v>-520</v>
      </c>
      <c r="ER12" s="2770">
        <f t="shared" si="70"/>
        <v>-2073</v>
      </c>
      <c r="ES12" s="2516">
        <v>-523</v>
      </c>
      <c r="ET12" s="2516">
        <v>-684</v>
      </c>
      <c r="EU12" s="2516">
        <v>-438</v>
      </c>
      <c r="EV12" s="1128">
        <v>0</v>
      </c>
      <c r="EW12" s="327">
        <f t="shared" si="71"/>
        <v>-1645</v>
      </c>
      <c r="EX12" s="1128">
        <v>0</v>
      </c>
      <c r="EY12" s="1128">
        <v>0</v>
      </c>
      <c r="EZ12" s="1128">
        <v>0</v>
      </c>
      <c r="FA12" s="1128">
        <v>0</v>
      </c>
      <c r="FB12" s="327">
        <f t="shared" si="72"/>
        <v>0</v>
      </c>
      <c r="FC12" s="1128">
        <v>0</v>
      </c>
      <c r="FD12" s="1128">
        <v>0</v>
      </c>
      <c r="FE12" s="1128">
        <v>0</v>
      </c>
      <c r="FF12" s="1128">
        <v>0</v>
      </c>
      <c r="FG12" s="327">
        <f t="shared" si="73"/>
        <v>0</v>
      </c>
      <c r="FH12" s="1128">
        <v>0</v>
      </c>
      <c r="FI12" s="1128">
        <v>0</v>
      </c>
      <c r="FJ12" s="1128">
        <v>0</v>
      </c>
      <c r="FK12" s="1128">
        <v>0</v>
      </c>
      <c r="FL12" s="327">
        <f t="shared" si="74"/>
        <v>0</v>
      </c>
      <c r="FM12" s="455"/>
      <c r="FN12" s="538"/>
      <c r="FO12" s="327">
        <f t="shared" si="0"/>
        <v>-591</v>
      </c>
      <c r="FP12" s="327">
        <f t="shared" si="1"/>
        <v>-1984</v>
      </c>
      <c r="FQ12" s="327">
        <f t="shared" si="2"/>
        <v>4526</v>
      </c>
      <c r="FR12" s="327">
        <f t="shared" si="3"/>
        <v>1577</v>
      </c>
      <c r="FS12" s="327">
        <f t="shared" si="4"/>
        <v>-835</v>
      </c>
      <c r="FT12" s="327">
        <f t="shared" si="5"/>
        <v>-457</v>
      </c>
      <c r="FU12" s="327">
        <f t="shared" si="6"/>
        <v>-971</v>
      </c>
      <c r="FV12" s="327">
        <f t="shared" si="7"/>
        <v>-300</v>
      </c>
      <c r="FW12" s="327">
        <f t="shared" si="8"/>
        <v>-378</v>
      </c>
      <c r="FX12" s="327">
        <f t="shared" si="9"/>
        <v>-76</v>
      </c>
      <c r="FY12" s="327">
        <f t="shared" si="10"/>
        <v>253</v>
      </c>
      <c r="FZ12" s="327">
        <f t="shared" si="11"/>
        <v>-209</v>
      </c>
      <c r="GA12" s="327">
        <f t="shared" si="12"/>
        <v>-249</v>
      </c>
      <c r="GB12" s="372">
        <f t="shared" si="13"/>
        <v>-227</v>
      </c>
      <c r="GC12" s="372">
        <f t="shared" si="14"/>
        <v>187</v>
      </c>
      <c r="GD12" s="372">
        <f t="shared" si="15"/>
        <v>-373</v>
      </c>
      <c r="GE12" s="372">
        <f t="shared" si="16"/>
        <v>-168</v>
      </c>
      <c r="GF12" s="372">
        <f t="shared" si="17"/>
        <v>-1337</v>
      </c>
      <c r="GG12" s="372">
        <f t="shared" si="18"/>
        <v>-2317</v>
      </c>
      <c r="GH12" s="372">
        <f t="shared" si="19"/>
        <v>-438</v>
      </c>
      <c r="GI12" s="372">
        <f t="shared" si="20"/>
        <v>0</v>
      </c>
      <c r="GJ12" s="371"/>
      <c r="GK12" s="371"/>
      <c r="GL12" s="371"/>
      <c r="GM12" s="371"/>
      <c r="GO12"/>
      <c r="GP12"/>
      <c r="GQ12"/>
      <c r="GR12"/>
      <c r="GS12"/>
      <c r="GT12"/>
      <c r="GU12" s="261"/>
      <c r="GV12" s="261"/>
      <c r="GW12" s="261"/>
      <c r="GX12" s="261"/>
      <c r="GY12" s="261"/>
      <c r="GZ12" s="261"/>
      <c r="HA12" s="261"/>
      <c r="HB12" s="261"/>
      <c r="HC12" s="261"/>
      <c r="HD12" s="261"/>
      <c r="HE12" s="261"/>
      <c r="HF12" s="261"/>
      <c r="HG12" s="261"/>
      <c r="HH12" s="261"/>
      <c r="HI12" s="261"/>
      <c r="HJ12" s="261"/>
      <c r="HK12" s="261"/>
      <c r="HL12" s="261"/>
      <c r="HM12" s="261"/>
      <c r="HN12" s="261"/>
      <c r="HO12" s="261"/>
      <c r="HP12" s="261"/>
      <c r="HQ12" s="261"/>
      <c r="HR12" s="261"/>
      <c r="HS12" s="261"/>
      <c r="HT12" s="261"/>
      <c r="HU12" s="261"/>
      <c r="HV12" s="261"/>
      <c r="HW12" s="261"/>
      <c r="HX12" s="261"/>
      <c r="HY12" s="261"/>
      <c r="HZ12" s="261"/>
      <c r="IA12" s="261"/>
      <c r="IB12" s="261"/>
      <c r="IC12" s="261"/>
      <c r="ID12" s="261"/>
      <c r="IE12" s="261"/>
      <c r="IF12" s="261"/>
      <c r="IG12" s="261"/>
      <c r="IH12" s="261"/>
      <c r="II12" s="261"/>
      <c r="IJ12" s="261"/>
      <c r="IK12" s="261"/>
      <c r="IL12" s="261"/>
      <c r="IM12" s="261"/>
      <c r="IN12" s="261"/>
      <c r="IO12" s="261"/>
      <c r="IP12" s="261"/>
      <c r="IQ12" s="261"/>
      <c r="IR12" s="261"/>
      <c r="IS12" s="261"/>
      <c r="IT12" s="261"/>
      <c r="IU12" s="261"/>
      <c r="IV12" s="261"/>
      <c r="IW12" s="261"/>
      <c r="IX12" s="261"/>
      <c r="IY12" s="261"/>
      <c r="IZ12" s="261"/>
      <c r="JA12" s="261"/>
      <c r="JB12" s="261"/>
      <c r="JC12" s="261"/>
      <c r="JD12" s="261"/>
      <c r="JE12" s="261"/>
      <c r="JF12" s="261"/>
      <c r="JG12" s="261"/>
      <c r="JH12" s="261"/>
      <c r="JI12" s="261"/>
      <c r="JJ12" s="261"/>
      <c r="JK12" s="261"/>
      <c r="JL12" s="261"/>
      <c r="JM12" s="261"/>
      <c r="JN12" s="261"/>
      <c r="JO12" s="261"/>
      <c r="JP12" s="261"/>
      <c r="JQ12" s="261"/>
      <c r="JR12" s="261"/>
      <c r="JS12" s="261"/>
      <c r="JT12" s="261"/>
    </row>
    <row r="13" spans="1:280" s="264" customFormat="1" ht="11.25" customHeight="1">
      <c r="A13" s="528" t="s">
        <v>333</v>
      </c>
      <c r="D13" s="1128">
        <v>0</v>
      </c>
      <c r="E13" s="455">
        <f t="shared" si="21"/>
        <v>0</v>
      </c>
      <c r="F13" s="455">
        <f t="shared" si="22"/>
        <v>0</v>
      </c>
      <c r="G13" s="455">
        <f t="shared" si="23"/>
        <v>0</v>
      </c>
      <c r="H13" s="327">
        <f t="shared" si="38"/>
        <v>0</v>
      </c>
      <c r="I13" s="1128">
        <v>0</v>
      </c>
      <c r="J13" s="455">
        <f t="shared" si="24"/>
        <v>0</v>
      </c>
      <c r="K13" s="455">
        <f t="shared" si="25"/>
        <v>0</v>
      </c>
      <c r="L13" s="455">
        <f t="shared" si="26"/>
        <v>0</v>
      </c>
      <c r="M13" s="327">
        <f t="shared" si="39"/>
        <v>0</v>
      </c>
      <c r="N13" s="1128">
        <v>0</v>
      </c>
      <c r="O13" s="455">
        <f t="shared" si="27"/>
        <v>0</v>
      </c>
      <c r="P13" s="455">
        <f t="shared" si="28"/>
        <v>0</v>
      </c>
      <c r="Q13" s="455">
        <f t="shared" si="29"/>
        <v>0</v>
      </c>
      <c r="R13" s="327">
        <f t="shared" si="40"/>
        <v>0</v>
      </c>
      <c r="S13" s="1128">
        <v>0</v>
      </c>
      <c r="T13" s="455">
        <f t="shared" si="30"/>
        <v>0</v>
      </c>
      <c r="U13" s="455">
        <f t="shared" si="31"/>
        <v>0</v>
      </c>
      <c r="V13" s="455">
        <f t="shared" si="32"/>
        <v>0</v>
      </c>
      <c r="W13" s="327">
        <f t="shared" si="41"/>
        <v>0</v>
      </c>
      <c r="X13" s="1128">
        <v>0</v>
      </c>
      <c r="Y13" s="455">
        <f t="shared" si="33"/>
        <v>0</v>
      </c>
      <c r="Z13" s="455">
        <f t="shared" si="34"/>
        <v>0</v>
      </c>
      <c r="AA13" s="455">
        <f t="shared" si="35"/>
        <v>0</v>
      </c>
      <c r="AB13" s="327">
        <f t="shared" si="42"/>
        <v>0</v>
      </c>
      <c r="AC13" s="1128">
        <v>0</v>
      </c>
      <c r="AD13" s="455">
        <f t="shared" si="36"/>
        <v>0</v>
      </c>
      <c r="AE13" s="455">
        <f t="shared" si="37"/>
        <v>0</v>
      </c>
      <c r="AF13" s="455">
        <f>0-SUM(AC13:AE13)</f>
        <v>0</v>
      </c>
      <c r="AG13" s="327">
        <f t="shared" si="43"/>
        <v>0</v>
      </c>
      <c r="AH13" s="1128">
        <v>0</v>
      </c>
      <c r="AI13" s="455">
        <f t="shared" si="44"/>
        <v>0</v>
      </c>
      <c r="AJ13" s="455">
        <f>0-SUM(AH13:AI13)</f>
        <v>0</v>
      </c>
      <c r="AK13" s="455">
        <f>0-SUM(AH13:AJ13)</f>
        <v>0</v>
      </c>
      <c r="AL13" s="327">
        <f t="shared" si="45"/>
        <v>0</v>
      </c>
      <c r="AM13" s="1128">
        <v>0</v>
      </c>
      <c r="AN13" s="455">
        <f t="shared" si="46"/>
        <v>0</v>
      </c>
      <c r="AO13" s="455">
        <f>0-SUM(AM13:AN13)</f>
        <v>0</v>
      </c>
      <c r="AP13" s="455">
        <f>0-SUM(AM13:AO13)</f>
        <v>0</v>
      </c>
      <c r="AQ13" s="327">
        <f t="shared" si="47"/>
        <v>0</v>
      </c>
      <c r="AR13" s="1128">
        <v>0</v>
      </c>
      <c r="AS13" s="455">
        <f t="shared" si="48"/>
        <v>0</v>
      </c>
      <c r="AT13" s="455">
        <f>0-SUM(AR13:AS13)</f>
        <v>0</v>
      </c>
      <c r="AU13" s="455">
        <f>0-SUM(AR13:AT13)</f>
        <v>0</v>
      </c>
      <c r="AV13" s="327">
        <f t="shared" si="49"/>
        <v>0</v>
      </c>
      <c r="AW13" s="1128">
        <v>296</v>
      </c>
      <c r="AX13" s="455">
        <f>296-AW13</f>
        <v>0</v>
      </c>
      <c r="AY13" s="455">
        <f>296-SUM(AW13:AX13)</f>
        <v>0</v>
      </c>
      <c r="AZ13" s="455">
        <f>296-SUM(AW13:AY13)</f>
        <v>0</v>
      </c>
      <c r="BA13" s="327">
        <f t="shared" si="51"/>
        <v>296</v>
      </c>
      <c r="BB13" s="1135">
        <v>0</v>
      </c>
      <c r="BC13" s="455">
        <f>0-BB13</f>
        <v>0</v>
      </c>
      <c r="BD13" s="455">
        <f>0-SUM(BB13:BC13)</f>
        <v>0</v>
      </c>
      <c r="BE13" s="455">
        <f>0-SUM(BB13:BD13)</f>
        <v>0</v>
      </c>
      <c r="BF13" s="327">
        <f t="shared" si="52"/>
        <v>0</v>
      </c>
      <c r="BG13" s="1135">
        <v>0</v>
      </c>
      <c r="BH13" s="455">
        <f>0-BG13</f>
        <v>0</v>
      </c>
      <c r="BI13" s="455">
        <f>0-SUM(BG13:BH13)</f>
        <v>0</v>
      </c>
      <c r="BJ13" s="455">
        <f>0-SUM(BG13:BI13)</f>
        <v>0</v>
      </c>
      <c r="BK13" s="327">
        <f t="shared" si="53"/>
        <v>0</v>
      </c>
      <c r="BL13" s="1128">
        <v>0</v>
      </c>
      <c r="BM13" s="455">
        <f>0-BL13</f>
        <v>0</v>
      </c>
      <c r="BN13" s="455">
        <f>0-SUM(BL13:BM13)</f>
        <v>0</v>
      </c>
      <c r="BO13" s="455">
        <f>0-SUM(BL13:BN13)</f>
        <v>0</v>
      </c>
      <c r="BP13" s="327">
        <f t="shared" si="54"/>
        <v>0</v>
      </c>
      <c r="BQ13" s="1128">
        <v>0</v>
      </c>
      <c r="BR13" s="455">
        <f>0-BQ13</f>
        <v>0</v>
      </c>
      <c r="BS13" s="455">
        <f>0-SUM(BQ13:BR13)</f>
        <v>0</v>
      </c>
      <c r="BT13" s="455">
        <f>0-SUM(BQ13:BS13)</f>
        <v>0</v>
      </c>
      <c r="BU13" s="327">
        <f t="shared" si="55"/>
        <v>0</v>
      </c>
      <c r="BV13" s="1128">
        <v>0</v>
      </c>
      <c r="BW13" s="1128">
        <v>0</v>
      </c>
      <c r="BX13" s="1128">
        <v>0</v>
      </c>
      <c r="BY13" s="455">
        <f>0-SUM(BV13:BX13)</f>
        <v>0</v>
      </c>
      <c r="BZ13" s="327">
        <f t="shared" si="56"/>
        <v>0</v>
      </c>
      <c r="CA13" s="1127">
        <v>0</v>
      </c>
      <c r="CB13" s="1127">
        <v>0</v>
      </c>
      <c r="CC13" s="1127">
        <v>0</v>
      </c>
      <c r="CD13" s="1127">
        <v>0</v>
      </c>
      <c r="CE13" s="327">
        <f t="shared" si="57"/>
        <v>0</v>
      </c>
      <c r="CF13" s="1127">
        <v>0</v>
      </c>
      <c r="CG13" s="1127">
        <v>0</v>
      </c>
      <c r="CH13" s="1127">
        <v>0</v>
      </c>
      <c r="CI13" s="1127">
        <v>0</v>
      </c>
      <c r="CJ13" s="327">
        <f t="shared" si="58"/>
        <v>0</v>
      </c>
      <c r="CK13" s="1127">
        <v>0</v>
      </c>
      <c r="CL13" s="1127">
        <v>0</v>
      </c>
      <c r="CM13" s="1127">
        <v>0</v>
      </c>
      <c r="CN13" s="1127">
        <v>0</v>
      </c>
      <c r="CO13" s="327">
        <f t="shared" si="59"/>
        <v>0</v>
      </c>
      <c r="CP13" s="1127">
        <v>0</v>
      </c>
      <c r="CQ13" s="1127">
        <v>0</v>
      </c>
      <c r="CR13" s="1127">
        <v>0</v>
      </c>
      <c r="CS13" s="1127">
        <v>0</v>
      </c>
      <c r="CT13" s="327">
        <f t="shared" si="60"/>
        <v>0</v>
      </c>
      <c r="CU13" s="1127">
        <v>0</v>
      </c>
      <c r="CV13" s="1127">
        <v>0</v>
      </c>
      <c r="CW13" s="1127">
        <v>0</v>
      </c>
      <c r="CX13" s="1127">
        <v>0</v>
      </c>
      <c r="CY13" s="327">
        <f t="shared" si="61"/>
        <v>0</v>
      </c>
      <c r="CZ13" s="1127">
        <v>0</v>
      </c>
      <c r="DA13" s="1127">
        <v>0</v>
      </c>
      <c r="DB13" s="1127">
        <v>0</v>
      </c>
      <c r="DC13" s="1127">
        <v>0</v>
      </c>
      <c r="DD13" s="327">
        <f t="shared" si="62"/>
        <v>0</v>
      </c>
      <c r="DE13" s="1127">
        <v>0</v>
      </c>
      <c r="DF13" s="1127">
        <v>0</v>
      </c>
      <c r="DG13" s="1127">
        <v>0</v>
      </c>
      <c r="DH13" s="1127">
        <v>0</v>
      </c>
      <c r="DI13" s="327">
        <f t="shared" si="63"/>
        <v>0</v>
      </c>
      <c r="DJ13" s="1127">
        <v>0</v>
      </c>
      <c r="DK13" s="1127">
        <v>0</v>
      </c>
      <c r="DL13" s="1127">
        <v>0</v>
      </c>
      <c r="DM13" s="1127">
        <v>0</v>
      </c>
      <c r="DN13" s="327">
        <f t="shared" si="64"/>
        <v>0</v>
      </c>
      <c r="DO13" s="1127">
        <v>0</v>
      </c>
      <c r="DP13" s="1127">
        <v>0</v>
      </c>
      <c r="DQ13" s="1127">
        <v>0</v>
      </c>
      <c r="DR13" s="1127">
        <v>0</v>
      </c>
      <c r="DS13" s="327">
        <f t="shared" si="65"/>
        <v>0</v>
      </c>
      <c r="DT13" s="1127">
        <v>0</v>
      </c>
      <c r="DU13" s="1127">
        <v>0</v>
      </c>
      <c r="DV13" s="1127">
        <v>0</v>
      </c>
      <c r="DW13" s="1127">
        <v>0</v>
      </c>
      <c r="DX13" s="327">
        <f t="shared" si="66"/>
        <v>0</v>
      </c>
      <c r="DY13" s="1127">
        <v>0</v>
      </c>
      <c r="DZ13" s="1127">
        <v>0</v>
      </c>
      <c r="EA13" s="1127">
        <v>0</v>
      </c>
      <c r="EB13" s="1127">
        <v>0</v>
      </c>
      <c r="EC13" s="327">
        <f t="shared" si="67"/>
        <v>0</v>
      </c>
      <c r="ED13" s="1127">
        <v>0</v>
      </c>
      <c r="EE13" s="1127">
        <v>0</v>
      </c>
      <c r="EF13" s="1127">
        <v>0</v>
      </c>
      <c r="EG13" s="1127">
        <v>0</v>
      </c>
      <c r="EH13" s="327">
        <f t="shared" si="68"/>
        <v>0</v>
      </c>
      <c r="EI13" s="2769">
        <v>0</v>
      </c>
      <c r="EJ13" s="2769">
        <v>0</v>
      </c>
      <c r="EK13" s="2769">
        <v>0</v>
      </c>
      <c r="EL13" s="2769">
        <v>0</v>
      </c>
      <c r="EM13" s="2770">
        <f t="shared" si="69"/>
        <v>0</v>
      </c>
      <c r="EN13" s="2769">
        <v>0</v>
      </c>
      <c r="EO13" s="2769">
        <v>0</v>
      </c>
      <c r="EP13" s="2769">
        <v>0</v>
      </c>
      <c r="EQ13" s="2769">
        <v>0</v>
      </c>
      <c r="ER13" s="2770">
        <f t="shared" si="70"/>
        <v>0</v>
      </c>
      <c r="ES13" s="2769">
        <v>0</v>
      </c>
      <c r="ET13" s="2769">
        <v>0</v>
      </c>
      <c r="EU13" s="2769">
        <v>0</v>
      </c>
      <c r="EV13" s="1127">
        <v>0</v>
      </c>
      <c r="EW13" s="327">
        <f t="shared" si="71"/>
        <v>0</v>
      </c>
      <c r="EX13" s="1127">
        <v>0</v>
      </c>
      <c r="EY13" s="1127">
        <v>0</v>
      </c>
      <c r="EZ13" s="1127">
        <v>0</v>
      </c>
      <c r="FA13" s="1127">
        <v>0</v>
      </c>
      <c r="FB13" s="327">
        <f t="shared" si="72"/>
        <v>0</v>
      </c>
      <c r="FC13" s="1127">
        <v>0</v>
      </c>
      <c r="FD13" s="1127">
        <v>0</v>
      </c>
      <c r="FE13" s="1127">
        <v>0</v>
      </c>
      <c r="FF13" s="1127">
        <v>0</v>
      </c>
      <c r="FG13" s="327">
        <f t="shared" si="73"/>
        <v>0</v>
      </c>
      <c r="FH13" s="1127">
        <v>0</v>
      </c>
      <c r="FI13" s="1127">
        <v>0</v>
      </c>
      <c r="FJ13" s="1127">
        <v>0</v>
      </c>
      <c r="FK13" s="1127">
        <v>0</v>
      </c>
      <c r="FL13" s="327">
        <f t="shared" si="74"/>
        <v>0</v>
      </c>
      <c r="FM13" s="455"/>
      <c r="FN13" s="537"/>
      <c r="FO13" s="327">
        <f t="shared" si="0"/>
        <v>0</v>
      </c>
      <c r="FP13" s="327">
        <f t="shared" si="1"/>
        <v>0</v>
      </c>
      <c r="FQ13" s="327">
        <f t="shared" si="2"/>
        <v>0</v>
      </c>
      <c r="FR13" s="327">
        <f t="shared" si="3"/>
        <v>0</v>
      </c>
      <c r="FS13" s="327">
        <f t="shared" si="4"/>
        <v>0</v>
      </c>
      <c r="FT13" s="327">
        <f t="shared" si="5"/>
        <v>0</v>
      </c>
      <c r="FU13" s="327">
        <f t="shared" si="6"/>
        <v>0</v>
      </c>
      <c r="FV13" s="327">
        <f t="shared" si="7"/>
        <v>0</v>
      </c>
      <c r="FW13" s="327">
        <f t="shared" si="8"/>
        <v>0</v>
      </c>
      <c r="FX13" s="327">
        <f t="shared" si="9"/>
        <v>0</v>
      </c>
      <c r="FY13" s="327">
        <f t="shared" si="10"/>
        <v>0</v>
      </c>
      <c r="FZ13" s="327">
        <f t="shared" si="11"/>
        <v>0</v>
      </c>
      <c r="GA13" s="327">
        <f t="shared" si="12"/>
        <v>0</v>
      </c>
      <c r="GB13" s="372">
        <f t="shared" si="13"/>
        <v>0</v>
      </c>
      <c r="GC13" s="372">
        <f t="shared" si="14"/>
        <v>0</v>
      </c>
      <c r="GD13" s="372">
        <f t="shared" si="15"/>
        <v>0</v>
      </c>
      <c r="GE13" s="372">
        <f t="shared" si="16"/>
        <v>0</v>
      </c>
      <c r="GF13" s="372">
        <f t="shared" si="17"/>
        <v>0</v>
      </c>
      <c r="GG13" s="372">
        <f t="shared" si="18"/>
        <v>0</v>
      </c>
      <c r="GH13" s="372">
        <f t="shared" si="19"/>
        <v>0</v>
      </c>
      <c r="GI13" s="372">
        <f t="shared" si="20"/>
        <v>0</v>
      </c>
      <c r="GJ13" s="371"/>
      <c r="GK13" s="371"/>
      <c r="GL13" s="371"/>
      <c r="GM13" s="371"/>
      <c r="GO13"/>
      <c r="GP13"/>
      <c r="GQ13"/>
      <c r="GR13"/>
      <c r="GS13"/>
      <c r="GT13"/>
      <c r="GU13" s="261"/>
      <c r="GV13" s="261"/>
      <c r="GW13" s="261"/>
      <c r="GX13" s="261"/>
      <c r="GY13" s="261"/>
      <c r="GZ13" s="261"/>
      <c r="HA13" s="261"/>
      <c r="HB13" s="261"/>
      <c r="HC13" s="261"/>
      <c r="HD13" s="261"/>
      <c r="HE13" s="261"/>
      <c r="HF13" s="261"/>
      <c r="HG13" s="261"/>
      <c r="HH13" s="261"/>
      <c r="HI13" s="261"/>
      <c r="HJ13" s="261"/>
      <c r="HK13" s="261"/>
      <c r="HL13" s="261"/>
      <c r="HM13" s="261"/>
      <c r="HN13" s="261"/>
      <c r="HO13" s="261"/>
      <c r="HP13" s="261"/>
      <c r="HQ13" s="261"/>
      <c r="HR13" s="261"/>
      <c r="HS13" s="261"/>
      <c r="HT13" s="261"/>
      <c r="HU13" s="261"/>
      <c r="HV13" s="261"/>
      <c r="HW13" s="261"/>
      <c r="HX13" s="261"/>
      <c r="HY13" s="261"/>
      <c r="HZ13" s="261"/>
      <c r="IA13" s="261"/>
      <c r="IB13" s="261"/>
      <c r="IC13" s="261"/>
      <c r="ID13" s="261"/>
      <c r="IE13" s="261"/>
      <c r="IF13" s="261"/>
      <c r="IG13" s="261"/>
      <c r="IH13" s="261"/>
      <c r="II13" s="261"/>
      <c r="IJ13" s="261"/>
      <c r="IK13" s="261"/>
      <c r="IL13" s="261"/>
      <c r="IM13" s="261"/>
      <c r="IN13" s="261"/>
      <c r="IO13" s="261"/>
      <c r="IP13" s="261"/>
      <c r="IQ13" s="261"/>
      <c r="IR13" s="261"/>
      <c r="IS13" s="261"/>
      <c r="IT13" s="261"/>
      <c r="IU13" s="261"/>
      <c r="IV13" s="261"/>
      <c r="IW13" s="261"/>
      <c r="IX13" s="261"/>
      <c r="IY13" s="261"/>
      <c r="IZ13" s="261"/>
      <c r="JA13" s="261"/>
      <c r="JB13" s="261"/>
      <c r="JC13" s="261"/>
      <c r="JD13" s="261"/>
      <c r="JE13" s="261"/>
      <c r="JF13" s="261"/>
      <c r="JG13" s="261"/>
      <c r="JH13" s="261"/>
      <c r="JI13" s="261"/>
      <c r="JJ13" s="261"/>
      <c r="JK13" s="261"/>
      <c r="JL13" s="261"/>
      <c r="JM13" s="261"/>
      <c r="JN13" s="261"/>
      <c r="JO13" s="261"/>
      <c r="JP13" s="261"/>
      <c r="JQ13" s="261"/>
      <c r="JR13" s="261"/>
      <c r="JS13" s="261"/>
      <c r="JT13" s="261"/>
    </row>
    <row r="14" spans="1:280" s="264" customFormat="1" ht="11.25" customHeight="1">
      <c r="A14" s="528" t="s">
        <v>104</v>
      </c>
      <c r="D14" s="1128">
        <v>0</v>
      </c>
      <c r="E14" s="455">
        <f t="shared" si="21"/>
        <v>0</v>
      </c>
      <c r="F14" s="455">
        <f t="shared" si="22"/>
        <v>0</v>
      </c>
      <c r="G14" s="455">
        <f t="shared" si="23"/>
        <v>0</v>
      </c>
      <c r="H14" s="327">
        <f t="shared" si="38"/>
        <v>0</v>
      </c>
      <c r="I14" s="1128">
        <v>0</v>
      </c>
      <c r="J14" s="455">
        <f t="shared" si="24"/>
        <v>0</v>
      </c>
      <c r="K14" s="455">
        <f t="shared" si="25"/>
        <v>0</v>
      </c>
      <c r="L14" s="455">
        <f t="shared" si="26"/>
        <v>0</v>
      </c>
      <c r="M14" s="327">
        <f t="shared" si="39"/>
        <v>0</v>
      </c>
      <c r="N14" s="1128">
        <v>0</v>
      </c>
      <c r="O14" s="455">
        <f t="shared" si="27"/>
        <v>0</v>
      </c>
      <c r="P14" s="455">
        <f t="shared" si="28"/>
        <v>0</v>
      </c>
      <c r="Q14" s="455">
        <f t="shared" si="29"/>
        <v>0</v>
      </c>
      <c r="R14" s="327">
        <f t="shared" si="40"/>
        <v>0</v>
      </c>
      <c r="S14" s="1128">
        <v>0</v>
      </c>
      <c r="T14" s="455">
        <f t="shared" si="30"/>
        <v>0</v>
      </c>
      <c r="U14" s="455">
        <f t="shared" si="31"/>
        <v>0</v>
      </c>
      <c r="V14" s="455">
        <f t="shared" si="32"/>
        <v>0</v>
      </c>
      <c r="W14" s="327">
        <f t="shared" si="41"/>
        <v>0</v>
      </c>
      <c r="X14" s="1128">
        <v>0</v>
      </c>
      <c r="Y14" s="455">
        <f t="shared" si="33"/>
        <v>0</v>
      </c>
      <c r="Z14" s="455">
        <f t="shared" si="34"/>
        <v>0</v>
      </c>
      <c r="AA14" s="455">
        <f t="shared" si="35"/>
        <v>0</v>
      </c>
      <c r="AB14" s="327">
        <f t="shared" si="42"/>
        <v>0</v>
      </c>
      <c r="AC14" s="1128">
        <v>0</v>
      </c>
      <c r="AD14" s="455">
        <f t="shared" si="36"/>
        <v>0</v>
      </c>
      <c r="AE14" s="455">
        <f t="shared" si="37"/>
        <v>0</v>
      </c>
      <c r="AF14" s="455">
        <f>0-SUM(AC14:AE14)</f>
        <v>0</v>
      </c>
      <c r="AG14" s="327">
        <f t="shared" si="43"/>
        <v>0</v>
      </c>
      <c r="AH14" s="1128">
        <v>0</v>
      </c>
      <c r="AI14" s="455">
        <f t="shared" si="44"/>
        <v>0</v>
      </c>
      <c r="AJ14" s="455">
        <f>0-SUM(AH14:AI14)</f>
        <v>0</v>
      </c>
      <c r="AK14" s="455">
        <f>0-SUM(AH14:AJ14)</f>
        <v>0</v>
      </c>
      <c r="AL14" s="327">
        <f t="shared" si="45"/>
        <v>0</v>
      </c>
      <c r="AM14" s="1128">
        <v>0</v>
      </c>
      <c r="AN14" s="455">
        <f t="shared" si="46"/>
        <v>0</v>
      </c>
      <c r="AO14" s="455">
        <f>0-SUM(AM14:AN14)</f>
        <v>0</v>
      </c>
      <c r="AP14" s="455">
        <f>0-SUM(AM14:AO14)</f>
        <v>0</v>
      </c>
      <c r="AQ14" s="327">
        <f t="shared" si="47"/>
        <v>0</v>
      </c>
      <c r="AR14" s="1128">
        <v>0</v>
      </c>
      <c r="AS14" s="455">
        <f t="shared" si="48"/>
        <v>0</v>
      </c>
      <c r="AT14" s="455">
        <f>0-SUM(AR14:AS14)</f>
        <v>0</v>
      </c>
      <c r="AU14" s="455">
        <f>0-SUM(AR14:AT14)</f>
        <v>0</v>
      </c>
      <c r="AV14" s="327">
        <f t="shared" si="49"/>
        <v>0</v>
      </c>
      <c r="AW14" s="1128">
        <v>0</v>
      </c>
      <c r="AX14" s="455">
        <f t="shared" si="50"/>
        <v>0</v>
      </c>
      <c r="AY14" s="455">
        <f>0-SUM(AW14:AX14)</f>
        <v>0</v>
      </c>
      <c r="AZ14" s="455">
        <f>0-SUM(AW14:AY14)</f>
        <v>0</v>
      </c>
      <c r="BA14" s="327">
        <f t="shared" si="51"/>
        <v>0</v>
      </c>
      <c r="BB14" s="1135">
        <v>0</v>
      </c>
      <c r="BC14" s="455">
        <f>0-BB14</f>
        <v>0</v>
      </c>
      <c r="BD14" s="455">
        <f>0-SUM(BB14:BC14)</f>
        <v>0</v>
      </c>
      <c r="BE14" s="455">
        <f>0-SUM(BB14:BD14)</f>
        <v>0</v>
      </c>
      <c r="BF14" s="327">
        <f t="shared" si="52"/>
        <v>0</v>
      </c>
      <c r="BG14" s="1135">
        <v>0</v>
      </c>
      <c r="BH14" s="455">
        <f>0-BG14</f>
        <v>0</v>
      </c>
      <c r="BI14" s="455">
        <f>0-SUM(BG14:BH14)</f>
        <v>0</v>
      </c>
      <c r="BJ14" s="455">
        <f>0-SUM(BG14:BI14)</f>
        <v>0</v>
      </c>
      <c r="BK14" s="327">
        <f t="shared" si="53"/>
        <v>0</v>
      </c>
      <c r="BL14" s="1128">
        <v>375</v>
      </c>
      <c r="BM14" s="455">
        <f>375-BL14</f>
        <v>0</v>
      </c>
      <c r="BN14" s="455">
        <f>375-SUM(BL14:BM14)</f>
        <v>0</v>
      </c>
      <c r="BO14" s="455">
        <f>375-SUM(BL14:BN14)</f>
        <v>0</v>
      </c>
      <c r="BP14" s="327">
        <f t="shared" si="54"/>
        <v>375</v>
      </c>
      <c r="BQ14" s="1128">
        <v>0</v>
      </c>
      <c r="BR14" s="455">
        <f>0-BQ14</f>
        <v>0</v>
      </c>
      <c r="BS14" s="455">
        <f>0-SUM(BQ14:BR14)</f>
        <v>0</v>
      </c>
      <c r="BT14" s="455">
        <f>0-SUM(BQ14:BS14)</f>
        <v>0</v>
      </c>
      <c r="BU14" s="327">
        <f t="shared" si="55"/>
        <v>0</v>
      </c>
      <c r="BV14" s="1128">
        <v>0</v>
      </c>
      <c r="BW14" s="455">
        <f>0-BV14</f>
        <v>0</v>
      </c>
      <c r="BX14" s="455">
        <f>0-SUM(BV14:BW14)</f>
        <v>0</v>
      </c>
      <c r="BY14" s="455">
        <f>0-SUM(BV14:BX14)</f>
        <v>0</v>
      </c>
      <c r="BZ14" s="327">
        <f t="shared" si="56"/>
        <v>0</v>
      </c>
      <c r="CA14" s="1128">
        <v>0</v>
      </c>
      <c r="CB14" s="455">
        <f>0-CA14</f>
        <v>0</v>
      </c>
      <c r="CC14" s="455">
        <f>0-SUM(CA14:CB14)</f>
        <v>0</v>
      </c>
      <c r="CD14" s="1128">
        <v>0</v>
      </c>
      <c r="CE14" s="327">
        <f t="shared" si="57"/>
        <v>0</v>
      </c>
      <c r="CF14" s="455">
        <f>0-SUM(CB14:CD14)</f>
        <v>0</v>
      </c>
      <c r="CG14" s="455">
        <f>0-SUM(CC14:CF14)</f>
        <v>0</v>
      </c>
      <c r="CH14" s="1128">
        <v>0</v>
      </c>
      <c r="CI14" s="455">
        <f>0-SUM(CF14:CH14)</f>
        <v>0</v>
      </c>
      <c r="CJ14" s="327">
        <f t="shared" si="58"/>
        <v>0</v>
      </c>
      <c r="CK14" s="1128">
        <v>0</v>
      </c>
      <c r="CL14" s="455">
        <f>0-SUM(CH14:CK14)</f>
        <v>0</v>
      </c>
      <c r="CM14" s="1128">
        <v>0</v>
      </c>
      <c r="CN14" s="455">
        <f>0-SUM(CK14:CM14)</f>
        <v>0</v>
      </c>
      <c r="CO14" s="327">
        <f t="shared" si="59"/>
        <v>0</v>
      </c>
      <c r="CP14" s="1128">
        <v>0</v>
      </c>
      <c r="CQ14" s="1128">
        <v>0</v>
      </c>
      <c r="CR14" s="1128">
        <v>0</v>
      </c>
      <c r="CS14" s="1128">
        <v>0</v>
      </c>
      <c r="CT14" s="327">
        <f t="shared" si="60"/>
        <v>0</v>
      </c>
      <c r="CU14" s="1128">
        <v>0</v>
      </c>
      <c r="CV14" s="1128">
        <v>0</v>
      </c>
      <c r="CW14" s="1128">
        <v>0</v>
      </c>
      <c r="CX14" s="1128">
        <v>0</v>
      </c>
      <c r="CY14" s="327">
        <f t="shared" si="61"/>
        <v>0</v>
      </c>
      <c r="CZ14" s="1128">
        <v>0</v>
      </c>
      <c r="DA14" s="1128">
        <v>0</v>
      </c>
      <c r="DB14" s="1128">
        <v>0</v>
      </c>
      <c r="DC14" s="1128">
        <v>0</v>
      </c>
      <c r="DD14" s="327">
        <f t="shared" si="62"/>
        <v>0</v>
      </c>
      <c r="DE14" s="1128">
        <v>0</v>
      </c>
      <c r="DF14" s="1128">
        <v>0</v>
      </c>
      <c r="DG14" s="1128">
        <v>0</v>
      </c>
      <c r="DH14" s="1128">
        <v>0</v>
      </c>
      <c r="DI14" s="327">
        <f t="shared" si="63"/>
        <v>0</v>
      </c>
      <c r="DJ14" s="1128">
        <v>0</v>
      </c>
      <c r="DK14" s="1128">
        <v>0</v>
      </c>
      <c r="DL14" s="1128">
        <v>0</v>
      </c>
      <c r="DM14" s="1128">
        <v>0</v>
      </c>
      <c r="DN14" s="327">
        <f t="shared" si="64"/>
        <v>0</v>
      </c>
      <c r="DO14" s="1128">
        <v>0</v>
      </c>
      <c r="DP14" s="1128">
        <v>0</v>
      </c>
      <c r="DQ14" s="1128">
        <v>0</v>
      </c>
      <c r="DR14" s="1128">
        <v>0</v>
      </c>
      <c r="DS14" s="327">
        <f t="shared" si="65"/>
        <v>0</v>
      </c>
      <c r="DT14" s="1128">
        <v>0</v>
      </c>
      <c r="DU14" s="1128">
        <v>0</v>
      </c>
      <c r="DV14" s="1128">
        <v>0</v>
      </c>
      <c r="DW14" s="1128">
        <v>0</v>
      </c>
      <c r="DX14" s="327">
        <f t="shared" si="66"/>
        <v>0</v>
      </c>
      <c r="DY14" s="1128">
        <v>0</v>
      </c>
      <c r="DZ14" s="1128">
        <v>0</v>
      </c>
      <c r="EA14" s="1128">
        <v>0</v>
      </c>
      <c r="EB14" s="1128">
        <v>0</v>
      </c>
      <c r="EC14" s="327">
        <f t="shared" si="67"/>
        <v>0</v>
      </c>
      <c r="ED14" s="1128">
        <v>0</v>
      </c>
      <c r="EE14" s="1128">
        <v>0</v>
      </c>
      <c r="EF14" s="1128">
        <v>0</v>
      </c>
      <c r="EG14" s="1128">
        <v>0</v>
      </c>
      <c r="EH14" s="327">
        <f t="shared" si="68"/>
        <v>0</v>
      </c>
      <c r="EI14" s="2516">
        <v>0</v>
      </c>
      <c r="EJ14" s="2516">
        <v>0</v>
      </c>
      <c r="EK14" s="2516">
        <v>0</v>
      </c>
      <c r="EL14" s="2516">
        <v>0</v>
      </c>
      <c r="EM14" s="2770">
        <f t="shared" si="69"/>
        <v>0</v>
      </c>
      <c r="EN14" s="2516">
        <v>0</v>
      </c>
      <c r="EO14" s="2516">
        <v>0</v>
      </c>
      <c r="EP14" s="2516">
        <v>0</v>
      </c>
      <c r="EQ14" s="2516">
        <v>0</v>
      </c>
      <c r="ER14" s="2770">
        <f t="shared" si="70"/>
        <v>0</v>
      </c>
      <c r="ES14" s="2516">
        <v>0</v>
      </c>
      <c r="ET14" s="2516">
        <v>0</v>
      </c>
      <c r="EU14" s="2516">
        <v>0</v>
      </c>
      <c r="EV14" s="1128">
        <v>0</v>
      </c>
      <c r="EW14" s="327">
        <f t="shared" si="71"/>
        <v>0</v>
      </c>
      <c r="EX14" s="1128">
        <v>0</v>
      </c>
      <c r="EY14" s="1128">
        <v>0</v>
      </c>
      <c r="EZ14" s="1128">
        <v>0</v>
      </c>
      <c r="FA14" s="1128">
        <v>0</v>
      </c>
      <c r="FB14" s="327">
        <f t="shared" si="72"/>
        <v>0</v>
      </c>
      <c r="FC14" s="1128">
        <v>0</v>
      </c>
      <c r="FD14" s="1128">
        <v>0</v>
      </c>
      <c r="FE14" s="1128">
        <v>0</v>
      </c>
      <c r="FF14" s="1128">
        <v>0</v>
      </c>
      <c r="FG14" s="327">
        <f t="shared" si="73"/>
        <v>0</v>
      </c>
      <c r="FH14" s="1128">
        <v>0</v>
      </c>
      <c r="FI14" s="1128">
        <v>0</v>
      </c>
      <c r="FJ14" s="1128">
        <v>0</v>
      </c>
      <c r="FK14" s="1128">
        <v>0</v>
      </c>
      <c r="FL14" s="327">
        <f t="shared" si="74"/>
        <v>0</v>
      </c>
      <c r="FM14" s="455"/>
      <c r="FN14" s="538"/>
      <c r="FO14" s="327">
        <f t="shared" si="0"/>
        <v>0</v>
      </c>
      <c r="FP14" s="327">
        <f t="shared" si="1"/>
        <v>375</v>
      </c>
      <c r="FQ14" s="327">
        <f t="shared" si="2"/>
        <v>0</v>
      </c>
      <c r="FR14" s="327">
        <f t="shared" si="3"/>
        <v>0</v>
      </c>
      <c r="FS14" s="327">
        <f t="shared" si="4"/>
        <v>0</v>
      </c>
      <c r="FT14" s="327">
        <f t="shared" si="5"/>
        <v>0</v>
      </c>
      <c r="FU14" s="327">
        <f t="shared" si="6"/>
        <v>0</v>
      </c>
      <c r="FV14" s="327">
        <f t="shared" si="7"/>
        <v>0</v>
      </c>
      <c r="FW14" s="327">
        <f t="shared" si="8"/>
        <v>0</v>
      </c>
      <c r="FX14" s="327">
        <f t="shared" si="9"/>
        <v>0</v>
      </c>
      <c r="FY14" s="327">
        <f t="shared" si="10"/>
        <v>0</v>
      </c>
      <c r="FZ14" s="327">
        <f t="shared" si="11"/>
        <v>0</v>
      </c>
      <c r="GA14" s="327">
        <f t="shared" si="12"/>
        <v>0</v>
      </c>
      <c r="GB14" s="372">
        <f t="shared" si="13"/>
        <v>0</v>
      </c>
      <c r="GC14" s="372">
        <f t="shared" si="14"/>
        <v>0</v>
      </c>
      <c r="GD14" s="372">
        <f t="shared" si="15"/>
        <v>0</v>
      </c>
      <c r="GE14" s="372">
        <f t="shared" si="16"/>
        <v>0</v>
      </c>
      <c r="GF14" s="372">
        <f t="shared" si="17"/>
        <v>0</v>
      </c>
      <c r="GG14" s="372">
        <f t="shared" si="18"/>
        <v>0</v>
      </c>
      <c r="GH14" s="372">
        <f t="shared" si="19"/>
        <v>0</v>
      </c>
      <c r="GI14" s="372">
        <f t="shared" si="20"/>
        <v>0</v>
      </c>
      <c r="GJ14" s="371"/>
      <c r="GK14" s="371"/>
      <c r="GL14" s="371"/>
      <c r="GM14" s="371"/>
      <c r="GO14"/>
      <c r="GP14"/>
      <c r="GQ14"/>
      <c r="GR14"/>
      <c r="GS14"/>
      <c r="GT14"/>
      <c r="GU14" s="261"/>
      <c r="GV14" s="261"/>
      <c r="GW14" s="261"/>
      <c r="GX14" s="261"/>
      <c r="GY14" s="261"/>
      <c r="GZ14" s="261"/>
      <c r="HA14" s="261"/>
      <c r="HB14" s="261"/>
      <c r="HC14" s="261"/>
      <c r="HD14" s="261"/>
      <c r="HE14" s="261"/>
      <c r="HF14" s="261"/>
      <c r="HG14" s="261"/>
      <c r="HH14" s="261"/>
      <c r="HI14" s="261"/>
      <c r="HJ14" s="261"/>
      <c r="HK14" s="261"/>
      <c r="HL14" s="261"/>
      <c r="HM14" s="261"/>
      <c r="HN14" s="261"/>
      <c r="HO14" s="261"/>
      <c r="HP14" s="261"/>
      <c r="HQ14" s="261"/>
      <c r="HR14" s="261"/>
      <c r="HS14" s="261"/>
      <c r="HT14" s="261"/>
      <c r="HU14" s="261"/>
      <c r="HV14" s="261"/>
      <c r="HW14" s="261"/>
      <c r="HX14" s="261"/>
      <c r="HY14" s="261"/>
      <c r="HZ14" s="261"/>
      <c r="IA14" s="261"/>
      <c r="IB14" s="261"/>
      <c r="IC14" s="261"/>
      <c r="ID14" s="261"/>
      <c r="IE14" s="261"/>
      <c r="IF14" s="261"/>
      <c r="IG14" s="261"/>
      <c r="IH14" s="261"/>
      <c r="II14" s="261"/>
      <c r="IJ14" s="261"/>
      <c r="IK14" s="261"/>
      <c r="IL14" s="261"/>
      <c r="IM14" s="261"/>
      <c r="IN14" s="261"/>
      <c r="IO14" s="261"/>
      <c r="IP14" s="261"/>
      <c r="IQ14" s="261"/>
      <c r="IR14" s="261"/>
      <c r="IS14" s="261"/>
      <c r="IT14" s="261"/>
      <c r="IU14" s="261"/>
      <c r="IV14" s="261"/>
      <c r="IW14" s="261"/>
      <c r="IX14" s="261"/>
      <c r="IY14" s="261"/>
      <c r="IZ14" s="261"/>
      <c r="JA14" s="261"/>
      <c r="JB14" s="261"/>
      <c r="JC14" s="261"/>
      <c r="JD14" s="261"/>
      <c r="JE14" s="261"/>
      <c r="JF14" s="261"/>
      <c r="JG14" s="261"/>
      <c r="JH14" s="261"/>
      <c r="JI14" s="261"/>
      <c r="JJ14" s="261"/>
      <c r="JK14" s="261"/>
      <c r="JL14" s="261"/>
      <c r="JM14" s="261"/>
      <c r="JN14" s="261"/>
      <c r="JO14" s="261"/>
      <c r="JP14" s="261"/>
      <c r="JQ14" s="261"/>
      <c r="JR14" s="261"/>
      <c r="JS14" s="261"/>
      <c r="JT14" s="261"/>
    </row>
    <row r="15" spans="1:280" s="264" customFormat="1" ht="11.25" customHeight="1">
      <c r="A15" s="528" t="s">
        <v>343</v>
      </c>
      <c r="D15" s="455"/>
      <c r="E15" s="455"/>
      <c r="F15" s="455"/>
      <c r="G15" s="455"/>
      <c r="H15" s="327"/>
      <c r="I15" s="455"/>
      <c r="J15" s="455"/>
      <c r="K15" s="455"/>
      <c r="L15" s="455"/>
      <c r="M15" s="327"/>
      <c r="N15" s="455"/>
      <c r="O15" s="455"/>
      <c r="P15" s="455"/>
      <c r="Q15" s="455"/>
      <c r="R15" s="327"/>
      <c r="S15" s="455"/>
      <c r="T15" s="455"/>
      <c r="U15" s="455"/>
      <c r="V15" s="455"/>
      <c r="W15" s="327"/>
      <c r="X15" s="455"/>
      <c r="Y15" s="455"/>
      <c r="Z15" s="455"/>
      <c r="AA15" s="455"/>
      <c r="AB15" s="327"/>
      <c r="AC15" s="455"/>
      <c r="AD15" s="455"/>
      <c r="AE15" s="455"/>
      <c r="AF15" s="455"/>
      <c r="AG15" s="327"/>
      <c r="AH15" s="455"/>
      <c r="AI15" s="455"/>
      <c r="AJ15" s="455"/>
      <c r="AK15" s="455"/>
      <c r="AL15" s="327"/>
      <c r="AM15" s="455"/>
      <c r="AN15" s="455"/>
      <c r="AO15" s="455"/>
      <c r="AP15" s="455"/>
      <c r="AQ15" s="327"/>
      <c r="AR15" s="455"/>
      <c r="AS15" s="455"/>
      <c r="AT15" s="455"/>
      <c r="AU15" s="455"/>
      <c r="AV15" s="327"/>
      <c r="AW15" s="455"/>
      <c r="AX15" s="455"/>
      <c r="AY15" s="455"/>
      <c r="AZ15" s="455"/>
      <c r="BA15" s="327"/>
      <c r="BB15" s="327"/>
      <c r="BC15" s="455"/>
      <c r="BD15" s="455"/>
      <c r="BE15" s="455"/>
      <c r="BF15" s="327"/>
      <c r="BG15" s="327"/>
      <c r="BH15" s="455"/>
      <c r="BI15" s="455"/>
      <c r="BJ15" s="455"/>
      <c r="BK15" s="327"/>
      <c r="BL15" s="455"/>
      <c r="BM15" s="455"/>
      <c r="BN15" s="455"/>
      <c r="BO15" s="455"/>
      <c r="BP15" s="327"/>
      <c r="BQ15" s="455"/>
      <c r="BR15" s="455"/>
      <c r="BS15" s="455"/>
      <c r="BT15" s="455"/>
      <c r="BU15" s="327"/>
      <c r="BV15" s="455"/>
      <c r="BW15" s="455"/>
      <c r="BX15" s="455"/>
      <c r="BY15" s="455"/>
      <c r="BZ15" s="327"/>
      <c r="CA15" s="455"/>
      <c r="CB15" s="455"/>
      <c r="CC15" s="455"/>
      <c r="CD15" s="455"/>
      <c r="CE15" s="327"/>
      <c r="CF15" s="455"/>
      <c r="CG15" s="455"/>
      <c r="CH15" s="455"/>
      <c r="CI15" s="455"/>
      <c r="CJ15" s="327"/>
      <c r="CK15" s="455"/>
      <c r="CL15" s="455"/>
      <c r="CM15" s="455"/>
      <c r="CN15" s="455"/>
      <c r="CO15" s="327"/>
      <c r="CP15" s="455"/>
      <c r="CQ15" s="455"/>
      <c r="CR15" s="455"/>
      <c r="CS15" s="455"/>
      <c r="CT15" s="327"/>
      <c r="CU15" s="455"/>
      <c r="CV15" s="455"/>
      <c r="CW15" s="455"/>
      <c r="CX15" s="455"/>
      <c r="CY15" s="1135">
        <v>0</v>
      </c>
      <c r="CZ15" s="455"/>
      <c r="DA15" s="455"/>
      <c r="DB15" s="455"/>
      <c r="DC15" s="455"/>
      <c r="DD15" s="1135">
        <v>0</v>
      </c>
      <c r="DE15" s="455"/>
      <c r="DF15" s="455"/>
      <c r="DG15" s="455"/>
      <c r="DH15" s="455"/>
      <c r="DI15" s="1135">
        <v>0</v>
      </c>
      <c r="DJ15" s="455"/>
      <c r="DK15" s="455"/>
      <c r="DL15" s="455"/>
      <c r="DM15" s="455"/>
      <c r="DN15" s="1135">
        <v>0</v>
      </c>
      <c r="DO15" s="1128">
        <v>0</v>
      </c>
      <c r="DP15" s="1128">
        <v>0</v>
      </c>
      <c r="DQ15" s="1128">
        <v>0</v>
      </c>
      <c r="DR15" s="1128">
        <v>6193</v>
      </c>
      <c r="DS15" s="327">
        <f t="shared" si="65"/>
        <v>6193</v>
      </c>
      <c r="DT15" s="455">
        <f>0</f>
        <v>0</v>
      </c>
      <c r="DU15" s="1128">
        <v>0</v>
      </c>
      <c r="DV15" s="1128">
        <v>0</v>
      </c>
      <c r="DW15" s="1128">
        <v>0</v>
      </c>
      <c r="DX15" s="1135">
        <v>0</v>
      </c>
      <c r="DY15" s="455"/>
      <c r="DZ15" s="455"/>
      <c r="EA15" s="455"/>
      <c r="EB15" s="1128"/>
      <c r="EC15" s="1135">
        <f t="shared" si="67"/>
        <v>0</v>
      </c>
      <c r="ED15" s="455">
        <v>0</v>
      </c>
      <c r="EE15" s="455">
        <v>0</v>
      </c>
      <c r="EF15" s="455">
        <v>0</v>
      </c>
      <c r="EG15" s="1128">
        <v>7498</v>
      </c>
      <c r="EH15" s="1135">
        <f t="shared" si="68"/>
        <v>7498</v>
      </c>
      <c r="EI15" s="2515">
        <v>0</v>
      </c>
      <c r="EJ15" s="2515">
        <v>0</v>
      </c>
      <c r="EK15" s="2515">
        <v>0</v>
      </c>
      <c r="EL15" s="2516">
        <v>630</v>
      </c>
      <c r="EM15" s="2770">
        <f t="shared" si="69"/>
        <v>630</v>
      </c>
      <c r="EN15" s="2515">
        <v>0</v>
      </c>
      <c r="EO15" s="2515">
        <v>0</v>
      </c>
      <c r="EP15" s="2515">
        <v>0</v>
      </c>
      <c r="EQ15" s="2516">
        <v>0</v>
      </c>
      <c r="ER15" s="2770">
        <f t="shared" si="70"/>
        <v>0</v>
      </c>
      <c r="ES15" s="2515">
        <v>0</v>
      </c>
      <c r="ET15" s="2515">
        <v>0</v>
      </c>
      <c r="EU15" s="2515">
        <v>0</v>
      </c>
      <c r="EV15" s="455"/>
      <c r="EW15" s="327">
        <f t="shared" si="71"/>
        <v>0</v>
      </c>
      <c r="EX15" s="455"/>
      <c r="EY15" s="455"/>
      <c r="EZ15" s="455"/>
      <c r="FA15" s="455"/>
      <c r="FB15" s="327">
        <f t="shared" si="72"/>
        <v>0</v>
      </c>
      <c r="FC15" s="455"/>
      <c r="FD15" s="455"/>
      <c r="FE15" s="455"/>
      <c r="FF15" s="455"/>
      <c r="FG15" s="327">
        <f t="shared" si="73"/>
        <v>0</v>
      </c>
      <c r="FH15" s="455"/>
      <c r="FI15" s="455"/>
      <c r="FJ15" s="455"/>
      <c r="FK15" s="455"/>
      <c r="FL15" s="327">
        <f t="shared" si="74"/>
        <v>0</v>
      </c>
      <c r="FM15" s="455"/>
      <c r="FN15" s="538"/>
      <c r="FO15" s="327"/>
      <c r="FP15" s="327"/>
      <c r="FQ15" s="327"/>
      <c r="FR15" s="327"/>
      <c r="FS15" s="327"/>
      <c r="FT15" s="327"/>
      <c r="FU15" s="327"/>
      <c r="FV15" s="327"/>
      <c r="FW15" s="327"/>
      <c r="FX15" s="327"/>
      <c r="FY15" s="327">
        <f t="shared" si="10"/>
        <v>0</v>
      </c>
      <c r="FZ15" s="327">
        <f t="shared" si="11"/>
        <v>0</v>
      </c>
      <c r="GA15" s="327">
        <f t="shared" si="12"/>
        <v>0</v>
      </c>
      <c r="GB15" s="372">
        <f t="shared" si="13"/>
        <v>6193</v>
      </c>
      <c r="GC15" s="372">
        <f t="shared" si="14"/>
        <v>0</v>
      </c>
      <c r="GD15" s="372">
        <f t="shared" si="15"/>
        <v>0</v>
      </c>
      <c r="GE15" s="372">
        <f t="shared" si="16"/>
        <v>7498</v>
      </c>
      <c r="GF15" s="372">
        <f t="shared" si="17"/>
        <v>630</v>
      </c>
      <c r="GG15" s="372">
        <f t="shared" si="18"/>
        <v>0</v>
      </c>
      <c r="GH15" s="372">
        <f t="shared" si="19"/>
        <v>0</v>
      </c>
      <c r="GI15" s="372">
        <f t="shared" si="20"/>
        <v>0</v>
      </c>
      <c r="GJ15" s="371"/>
      <c r="GK15" s="371"/>
      <c r="GL15" s="371"/>
      <c r="GM15" s="371"/>
      <c r="GO15"/>
      <c r="GP15"/>
      <c r="GQ15"/>
      <c r="GR15"/>
      <c r="GS15"/>
      <c r="GT15"/>
      <c r="GU15" s="261"/>
      <c r="GV15" s="261"/>
      <c r="GW15" s="261"/>
      <c r="GX15" s="261"/>
      <c r="GY15" s="261"/>
      <c r="GZ15" s="261"/>
      <c r="HA15" s="261"/>
      <c r="HB15" s="261"/>
      <c r="HC15" s="261"/>
      <c r="HD15" s="261"/>
      <c r="HE15" s="261"/>
      <c r="HF15" s="261"/>
      <c r="HG15" s="261"/>
      <c r="HH15" s="261"/>
      <c r="HI15" s="261"/>
      <c r="HJ15" s="261"/>
      <c r="HK15" s="261"/>
      <c r="HL15" s="261"/>
      <c r="HM15" s="261"/>
      <c r="HN15" s="261"/>
      <c r="HO15" s="261"/>
      <c r="HP15" s="261"/>
      <c r="HQ15" s="261"/>
      <c r="HR15" s="261"/>
      <c r="HS15" s="261"/>
      <c r="HT15" s="261"/>
      <c r="HU15" s="261"/>
      <c r="HV15" s="261"/>
      <c r="HW15" s="261"/>
      <c r="HX15" s="261"/>
      <c r="HY15" s="261"/>
      <c r="HZ15" s="261"/>
      <c r="IA15" s="261"/>
      <c r="IB15" s="261"/>
      <c r="IC15" s="261"/>
      <c r="ID15" s="261"/>
      <c r="IE15" s="261"/>
      <c r="IF15" s="261"/>
      <c r="IG15" s="261"/>
      <c r="IH15" s="261"/>
      <c r="II15" s="261"/>
      <c r="IJ15" s="261"/>
      <c r="IK15" s="261"/>
      <c r="IL15" s="261"/>
      <c r="IM15" s="261"/>
      <c r="IN15" s="261"/>
      <c r="IO15" s="261"/>
      <c r="IP15" s="261"/>
      <c r="IQ15" s="261"/>
      <c r="IR15" s="261"/>
      <c r="IS15" s="261"/>
      <c r="IT15" s="261"/>
      <c r="IU15" s="261"/>
      <c r="IV15" s="261"/>
      <c r="IW15" s="261"/>
      <c r="IX15" s="261"/>
      <c r="IY15" s="261"/>
      <c r="IZ15" s="261"/>
      <c r="JA15" s="261"/>
      <c r="JB15" s="261"/>
      <c r="JC15" s="261"/>
      <c r="JD15" s="261"/>
      <c r="JE15" s="261"/>
      <c r="JF15" s="261"/>
      <c r="JG15" s="261"/>
      <c r="JH15" s="261"/>
      <c r="JI15" s="261"/>
      <c r="JJ15" s="261"/>
      <c r="JK15" s="261"/>
      <c r="JL15" s="261"/>
      <c r="JM15" s="261"/>
      <c r="JN15" s="261"/>
      <c r="JO15" s="261"/>
      <c r="JP15" s="261"/>
      <c r="JQ15" s="261"/>
      <c r="JR15" s="261"/>
      <c r="JS15" s="261"/>
      <c r="JT15" s="261"/>
    </row>
    <row r="16" spans="1:280" s="264" customFormat="1" ht="11.25" customHeight="1">
      <c r="A16" s="415" t="s">
        <v>530</v>
      </c>
      <c r="D16" s="486">
        <f t="shared" ref="D16:AQ16" si="75">+SUM(D7:D14)</f>
        <v>37</v>
      </c>
      <c r="E16" s="486">
        <f t="shared" si="75"/>
        <v>46.705000000000013</v>
      </c>
      <c r="F16" s="486">
        <f t="shared" si="75"/>
        <v>41.203000000000003</v>
      </c>
      <c r="G16" s="486">
        <f t="shared" si="75"/>
        <v>46.405000000000001</v>
      </c>
      <c r="H16" s="487">
        <f t="shared" si="75"/>
        <v>171.31300000000002</v>
      </c>
      <c r="I16" s="486">
        <f t="shared" si="75"/>
        <v>50.122</v>
      </c>
      <c r="J16" s="486">
        <f t="shared" si="75"/>
        <v>73.704000000000008</v>
      </c>
      <c r="K16" s="486">
        <f t="shared" si="75"/>
        <v>74.873999999999995</v>
      </c>
      <c r="L16" s="486">
        <f t="shared" si="75"/>
        <v>80.485000000000014</v>
      </c>
      <c r="M16" s="487">
        <f t="shared" si="75"/>
        <v>279.185</v>
      </c>
      <c r="N16" s="486">
        <f t="shared" si="75"/>
        <v>87.399999999999977</v>
      </c>
      <c r="O16" s="486">
        <f t="shared" si="75"/>
        <v>112.5</v>
      </c>
      <c r="P16" s="486">
        <f t="shared" si="75"/>
        <v>124</v>
      </c>
      <c r="Q16" s="486">
        <f t="shared" si="75"/>
        <v>139</v>
      </c>
      <c r="R16" s="487">
        <f t="shared" si="75"/>
        <v>462.9</v>
      </c>
      <c r="S16" s="486">
        <f t="shared" si="75"/>
        <v>144</v>
      </c>
      <c r="T16" s="486">
        <f t="shared" si="75"/>
        <v>175</v>
      </c>
      <c r="U16" s="486">
        <f t="shared" si="75"/>
        <v>179</v>
      </c>
      <c r="V16" s="486">
        <f t="shared" si="75"/>
        <v>210.2</v>
      </c>
      <c r="W16" s="487">
        <f t="shared" si="75"/>
        <v>708.2</v>
      </c>
      <c r="X16" s="486">
        <f t="shared" si="75"/>
        <v>209</v>
      </c>
      <c r="Y16" s="486">
        <f t="shared" si="75"/>
        <v>236</v>
      </c>
      <c r="Z16" s="486">
        <f t="shared" si="75"/>
        <v>243</v>
      </c>
      <c r="AA16" s="486">
        <f t="shared" si="75"/>
        <v>265</v>
      </c>
      <c r="AB16" s="487">
        <f t="shared" si="75"/>
        <v>953</v>
      </c>
      <c r="AC16" s="486">
        <f t="shared" si="75"/>
        <v>239</v>
      </c>
      <c r="AD16" s="486">
        <f t="shared" si="75"/>
        <v>289</v>
      </c>
      <c r="AE16" s="486">
        <f t="shared" si="75"/>
        <v>256</v>
      </c>
      <c r="AF16" s="486">
        <f t="shared" si="75"/>
        <v>750</v>
      </c>
      <c r="AG16" s="487">
        <f t="shared" si="75"/>
        <v>1534</v>
      </c>
      <c r="AH16" s="486">
        <f t="shared" si="75"/>
        <v>422</v>
      </c>
      <c r="AI16" s="486">
        <f t="shared" si="75"/>
        <v>478</v>
      </c>
      <c r="AJ16" s="486">
        <f t="shared" si="75"/>
        <v>511</v>
      </c>
      <c r="AK16" s="486">
        <f t="shared" si="75"/>
        <v>444</v>
      </c>
      <c r="AL16" s="487">
        <f t="shared" si="75"/>
        <v>1855</v>
      </c>
      <c r="AM16" s="486">
        <f t="shared" si="75"/>
        <v>626</v>
      </c>
      <c r="AN16" s="486">
        <f t="shared" si="75"/>
        <v>666</v>
      </c>
      <c r="AO16" s="486">
        <f t="shared" si="75"/>
        <v>923</v>
      </c>
      <c r="AP16" s="486">
        <f t="shared" si="75"/>
        <v>812</v>
      </c>
      <c r="AQ16" s="487">
        <f t="shared" si="75"/>
        <v>3027</v>
      </c>
      <c r="AR16" s="486">
        <f t="shared" ref="AR16:CE16" si="76">+SUM(AR7:AR14)</f>
        <v>882</v>
      </c>
      <c r="AS16" s="486">
        <f t="shared" si="76"/>
        <v>1005</v>
      </c>
      <c r="AT16" s="486">
        <f t="shared" si="76"/>
        <v>1406</v>
      </c>
      <c r="AU16" s="486">
        <f t="shared" si="76"/>
        <v>1514</v>
      </c>
      <c r="AV16" s="487">
        <f t="shared" si="76"/>
        <v>4807</v>
      </c>
      <c r="AW16" s="486">
        <f t="shared" si="76"/>
        <v>1386</v>
      </c>
      <c r="AX16" s="486">
        <f t="shared" si="76"/>
        <v>1610</v>
      </c>
      <c r="AY16" s="486">
        <f t="shared" si="76"/>
        <v>2119</v>
      </c>
      <c r="AZ16" s="486">
        <f t="shared" si="76"/>
        <v>2248</v>
      </c>
      <c r="BA16" s="487">
        <f t="shared" si="76"/>
        <v>7363</v>
      </c>
      <c r="BB16" s="487">
        <f t="shared" si="76"/>
        <v>2293</v>
      </c>
      <c r="BC16" s="486">
        <f t="shared" si="76"/>
        <v>2787</v>
      </c>
      <c r="BD16" s="486">
        <f t="shared" si="76"/>
        <v>3095</v>
      </c>
      <c r="BE16" s="486">
        <f t="shared" si="76"/>
        <v>3483</v>
      </c>
      <c r="BF16" s="487">
        <f t="shared" si="76"/>
        <v>11658</v>
      </c>
      <c r="BG16" s="487">
        <f t="shared" si="76"/>
        <v>3124</v>
      </c>
      <c r="BH16" s="486">
        <f t="shared" si="76"/>
        <v>3791</v>
      </c>
      <c r="BI16" s="486">
        <f t="shared" si="76"/>
        <v>4415</v>
      </c>
      <c r="BJ16" s="486">
        <f t="shared" si="76"/>
        <v>2719</v>
      </c>
      <c r="BK16" s="487">
        <f t="shared" si="76"/>
        <v>14049</v>
      </c>
      <c r="BL16" s="486">
        <f t="shared" si="76"/>
        <v>3293</v>
      </c>
      <c r="BM16" s="486">
        <f t="shared" si="76"/>
        <v>3451</v>
      </c>
      <c r="BN16" s="486">
        <f t="shared" si="76"/>
        <v>3569</v>
      </c>
      <c r="BO16" s="486">
        <f t="shared" si="76"/>
        <v>2811</v>
      </c>
      <c r="BP16" s="487">
        <f t="shared" si="76"/>
        <v>13124</v>
      </c>
      <c r="BQ16" s="486">
        <f t="shared" si="76"/>
        <v>2658</v>
      </c>
      <c r="BR16" s="486">
        <f t="shared" si="76"/>
        <v>2837</v>
      </c>
      <c r="BS16" s="486">
        <f t="shared" si="76"/>
        <v>3166</v>
      </c>
      <c r="BT16" s="486">
        <f t="shared" si="76"/>
        <v>3856</v>
      </c>
      <c r="BU16" s="487">
        <f t="shared" si="76"/>
        <v>12517</v>
      </c>
      <c r="BV16" s="486">
        <f t="shared" si="76"/>
        <v>3263</v>
      </c>
      <c r="BW16" s="486">
        <f t="shared" si="76"/>
        <v>3042</v>
      </c>
      <c r="BX16" s="486">
        <f t="shared" si="76"/>
        <v>3983.99</v>
      </c>
      <c r="BY16" s="486">
        <f t="shared" si="76"/>
        <v>3235.38</v>
      </c>
      <c r="BZ16" s="487">
        <f t="shared" si="76"/>
        <v>13524.369999999999</v>
      </c>
      <c r="CA16" s="486">
        <f t="shared" si="76"/>
        <v>4173</v>
      </c>
      <c r="CB16" s="486">
        <f t="shared" si="76"/>
        <v>3923.04</v>
      </c>
      <c r="CC16" s="486">
        <f t="shared" si="76"/>
        <v>1989</v>
      </c>
      <c r="CD16" s="486">
        <f t="shared" si="76"/>
        <v>3327</v>
      </c>
      <c r="CE16" s="487">
        <f t="shared" si="76"/>
        <v>13412.04</v>
      </c>
      <c r="CF16" s="486">
        <f t="shared" ref="CF16:CO16" si="77">+SUM(CF7:CF14)</f>
        <v>4042</v>
      </c>
      <c r="CG16" s="486">
        <f t="shared" si="77"/>
        <v>4363</v>
      </c>
      <c r="CH16" s="486">
        <f t="shared" si="77"/>
        <v>2984</v>
      </c>
      <c r="CI16" s="486">
        <f t="shared" si="77"/>
        <v>4130</v>
      </c>
      <c r="CJ16" s="487">
        <f t="shared" si="77"/>
        <v>15519</v>
      </c>
      <c r="CK16" s="486">
        <f t="shared" si="77"/>
        <v>3550</v>
      </c>
      <c r="CL16" s="486">
        <f t="shared" si="77"/>
        <v>4480</v>
      </c>
      <c r="CM16" s="486">
        <f t="shared" si="77"/>
        <v>3175</v>
      </c>
      <c r="CN16" s="486">
        <f t="shared" si="77"/>
        <v>3872</v>
      </c>
      <c r="CO16" s="487">
        <f t="shared" si="77"/>
        <v>15077</v>
      </c>
      <c r="CP16" s="486">
        <f t="shared" ref="CP16:DD16" si="78">+SUM(CP7:CP14)</f>
        <v>4103</v>
      </c>
      <c r="CQ16" s="486">
        <f t="shared" si="78"/>
        <v>2874</v>
      </c>
      <c r="CR16" s="486">
        <f t="shared" si="78"/>
        <v>6605</v>
      </c>
      <c r="CS16" s="486">
        <f t="shared" si="78"/>
        <v>3525</v>
      </c>
      <c r="CT16" s="487">
        <f t="shared" si="78"/>
        <v>17107</v>
      </c>
      <c r="CU16" s="486">
        <f t="shared" si="78"/>
        <v>5158</v>
      </c>
      <c r="CV16" s="486">
        <f t="shared" si="78"/>
        <v>5704</v>
      </c>
      <c r="CW16" s="486">
        <f t="shared" si="78"/>
        <v>5208</v>
      </c>
      <c r="CX16" s="486">
        <f t="shared" si="78"/>
        <v>5389</v>
      </c>
      <c r="CY16" s="487">
        <f t="shared" si="78"/>
        <v>21459</v>
      </c>
      <c r="CZ16" s="486">
        <f t="shared" si="78"/>
        <v>5769</v>
      </c>
      <c r="DA16" s="486">
        <f t="shared" si="78"/>
        <v>5814</v>
      </c>
      <c r="DB16" s="486">
        <f t="shared" si="78"/>
        <v>4209.9627100840335</v>
      </c>
      <c r="DC16" s="486">
        <f t="shared" si="78"/>
        <v>4439</v>
      </c>
      <c r="DD16" s="487">
        <f t="shared" si="78"/>
        <v>20231.962710084033</v>
      </c>
      <c r="DE16" s="486">
        <f t="shared" ref="DE16:DN16" si="79">+SUM(DE7:DE14)</f>
        <v>4542</v>
      </c>
      <c r="DF16" s="486">
        <f t="shared" si="79"/>
        <v>8109</v>
      </c>
      <c r="DG16" s="486">
        <f t="shared" si="79"/>
        <v>4858</v>
      </c>
      <c r="DH16" s="486">
        <f t="shared" si="79"/>
        <v>5342</v>
      </c>
      <c r="DI16" s="487">
        <f t="shared" si="79"/>
        <v>22851</v>
      </c>
      <c r="DJ16" s="486">
        <f t="shared" si="79"/>
        <v>6450</v>
      </c>
      <c r="DK16" s="486">
        <f t="shared" si="79"/>
        <v>7503</v>
      </c>
      <c r="DL16" s="486">
        <f t="shared" si="79"/>
        <v>6307</v>
      </c>
      <c r="DM16" s="486">
        <f t="shared" si="79"/>
        <v>7445</v>
      </c>
      <c r="DN16" s="487">
        <f t="shared" si="79"/>
        <v>27705</v>
      </c>
      <c r="DO16" s="486">
        <f>+SUM(DO7:DO14)</f>
        <v>7324</v>
      </c>
      <c r="DP16" s="486">
        <f>+SUM(DP7:DP14)</f>
        <v>7775</v>
      </c>
      <c r="DQ16" s="486">
        <f>+SUM(DQ7:DQ14)</f>
        <v>6389</v>
      </c>
      <c r="DR16" s="486">
        <f t="shared" ref="DR16:EC16" si="80">+SUM(DR7:DR15)</f>
        <v>7555</v>
      </c>
      <c r="DS16" s="487">
        <f t="shared" si="80"/>
        <v>29043</v>
      </c>
      <c r="DT16" s="486">
        <f t="shared" si="80"/>
        <v>5651</v>
      </c>
      <c r="DU16" s="486">
        <f t="shared" si="80"/>
        <v>8142</v>
      </c>
      <c r="DV16" s="486">
        <f t="shared" si="80"/>
        <v>7875</v>
      </c>
      <c r="DW16" s="486">
        <f t="shared" si="80"/>
        <v>6208</v>
      </c>
      <c r="DX16" s="487">
        <f t="shared" si="80"/>
        <v>27876</v>
      </c>
      <c r="DY16" s="486">
        <f t="shared" si="80"/>
        <v>7125</v>
      </c>
      <c r="DZ16" s="486">
        <f t="shared" si="80"/>
        <v>8261</v>
      </c>
      <c r="EA16" s="486">
        <f t="shared" si="80"/>
        <v>7265</v>
      </c>
      <c r="EB16" s="486">
        <f t="shared" si="80"/>
        <v>6370</v>
      </c>
      <c r="EC16" s="487">
        <f t="shared" si="80"/>
        <v>29021</v>
      </c>
      <c r="ED16" s="486">
        <f t="shared" ref="ED16:EW16" si="81">+SUM(ED7:ED15)</f>
        <v>6468</v>
      </c>
      <c r="EE16" s="486">
        <f t="shared" si="81"/>
        <v>8130</v>
      </c>
      <c r="EF16" s="486">
        <f t="shared" si="81"/>
        <v>7308</v>
      </c>
      <c r="EG16" s="486">
        <f t="shared" si="81"/>
        <v>5509</v>
      </c>
      <c r="EH16" s="487">
        <f t="shared" si="81"/>
        <v>27415</v>
      </c>
      <c r="EI16" s="2771">
        <f t="shared" si="81"/>
        <v>6929</v>
      </c>
      <c r="EJ16" s="2771">
        <f t="shared" si="81"/>
        <v>7003</v>
      </c>
      <c r="EK16" s="2771">
        <f t="shared" si="81"/>
        <v>6551</v>
      </c>
      <c r="EL16" s="2771">
        <f t="shared" si="81"/>
        <v>5262</v>
      </c>
      <c r="EM16" s="2772">
        <f t="shared" si="81"/>
        <v>25745</v>
      </c>
      <c r="EN16" s="2771">
        <f>+SUM(EN7:EN15)</f>
        <v>6913</v>
      </c>
      <c r="EO16" s="2771">
        <f t="shared" ref="EO16:EQ16" si="82">+SUM(EO7:EO15)</f>
        <v>6894</v>
      </c>
      <c r="EP16" s="2771">
        <f t="shared" si="82"/>
        <v>6770</v>
      </c>
      <c r="EQ16" s="2771">
        <f t="shared" si="82"/>
        <v>7302</v>
      </c>
      <c r="ER16" s="2772">
        <f t="shared" si="81"/>
        <v>27879</v>
      </c>
      <c r="ES16" s="2771">
        <f>+SUM(ES7:ES15)</f>
        <v>9472</v>
      </c>
      <c r="ET16" s="2771">
        <f t="shared" ref="ET16:EU16" si="83">+SUM(ET7:ET15)</f>
        <v>-5769</v>
      </c>
      <c r="EU16" s="2771">
        <f t="shared" si="83"/>
        <v>10269</v>
      </c>
      <c r="EV16" s="486">
        <f t="shared" si="81"/>
        <v>12063.789926939322</v>
      </c>
      <c r="EW16" s="487">
        <f t="shared" si="81"/>
        <v>26035.789926939324</v>
      </c>
      <c r="EX16" s="486">
        <f t="shared" ref="EX16:FG16" si="84">+SUM(EX7:EX15)</f>
        <v>10820.396916252483</v>
      </c>
      <c r="EY16" s="486">
        <f t="shared" si="84"/>
        <v>11712.916277940403</v>
      </c>
      <c r="EZ16" s="486">
        <f t="shared" si="84"/>
        <v>11375.339728986508</v>
      </c>
      <c r="FA16" s="486">
        <f t="shared" si="84"/>
        <v>12506.979072175007</v>
      </c>
      <c r="FB16" s="487">
        <f t="shared" si="84"/>
        <v>46415.631995354401</v>
      </c>
      <c r="FC16" s="486">
        <f t="shared" si="84"/>
        <v>12034.291186504674</v>
      </c>
      <c r="FD16" s="486">
        <f t="shared" si="84"/>
        <v>13094.764796810145</v>
      </c>
      <c r="FE16" s="486">
        <f t="shared" si="84"/>
        <v>12934.568484418496</v>
      </c>
      <c r="FF16" s="486">
        <f t="shared" si="84"/>
        <v>14193.462638510833</v>
      </c>
      <c r="FG16" s="487">
        <f t="shared" si="84"/>
        <v>52257.087106244144</v>
      </c>
      <c r="FH16" s="486">
        <f t="shared" ref="FH16:FL16" si="85">+SUM(FH7:FH15)</f>
        <v>13377.370114779449</v>
      </c>
      <c r="FI16" s="486">
        <f t="shared" si="85"/>
        <v>14537.455429584832</v>
      </c>
      <c r="FJ16" s="486">
        <f t="shared" si="85"/>
        <v>14480.79572851048</v>
      </c>
      <c r="FK16" s="486">
        <f t="shared" si="85"/>
        <v>15849.397521967483</v>
      </c>
      <c r="FL16" s="487">
        <f t="shared" si="85"/>
        <v>58245.018794842239</v>
      </c>
      <c r="FM16" s="898"/>
      <c r="FN16" s="486"/>
      <c r="FO16" s="487">
        <f t="shared" ref="FO16:GA16" si="86">+SUM(FO7:FO14)</f>
        <v>13493</v>
      </c>
      <c r="FP16" s="487">
        <f t="shared" si="86"/>
        <v>13878</v>
      </c>
      <c r="FQ16" s="487">
        <f t="shared" si="86"/>
        <v>11875</v>
      </c>
      <c r="FR16" s="487">
        <f t="shared" si="86"/>
        <v>13327</v>
      </c>
      <c r="FS16" s="487">
        <f t="shared" si="86"/>
        <v>15315.41</v>
      </c>
      <c r="FT16" s="487">
        <f t="shared" si="86"/>
        <v>13721</v>
      </c>
      <c r="FU16" s="487">
        <f t="shared" si="86"/>
        <v>15144</v>
      </c>
      <c r="FV16" s="487">
        <f t="shared" si="86"/>
        <v>14024</v>
      </c>
      <c r="FW16" s="487">
        <f t="shared" si="86"/>
        <v>20992</v>
      </c>
      <c r="FX16" s="487">
        <f t="shared" si="86"/>
        <v>22180</v>
      </c>
      <c r="FY16" s="487">
        <f t="shared" si="86"/>
        <v>21299.962710084033</v>
      </c>
      <c r="FZ16" s="487">
        <f t="shared" si="86"/>
        <v>24153</v>
      </c>
      <c r="GA16" s="487">
        <f t="shared" si="86"/>
        <v>28851</v>
      </c>
      <c r="GB16" s="487">
        <f t="shared" ref="GB16:GG16" si="87">+SUM(GB7:GB15)</f>
        <v>27737</v>
      </c>
      <c r="GC16" s="487">
        <f t="shared" si="87"/>
        <v>29469</v>
      </c>
      <c r="GD16" s="487">
        <f t="shared" si="87"/>
        <v>28233</v>
      </c>
      <c r="GE16" s="487">
        <f t="shared" si="87"/>
        <v>26749</v>
      </c>
      <c r="GF16" s="487">
        <f t="shared" si="87"/>
        <v>25620</v>
      </c>
      <c r="GG16" s="487">
        <f t="shared" si="87"/>
        <v>17775</v>
      </c>
      <c r="GH16" s="487">
        <f>+SUM(GH7:GH15)</f>
        <v>44866.103121132212</v>
      </c>
      <c r="GI16" s="487">
        <f>+SUM(GI7:GI15)</f>
        <v>49011.374784476335</v>
      </c>
      <c r="GJ16" s="898"/>
      <c r="GK16" s="898"/>
      <c r="GL16" s="898"/>
      <c r="GM16" s="898"/>
      <c r="GO16"/>
      <c r="GP16"/>
      <c r="GQ16"/>
      <c r="GR16"/>
      <c r="GS16"/>
      <c r="GT16"/>
      <c r="GU16" s="261"/>
      <c r="GV16" s="261"/>
      <c r="GW16" s="261"/>
      <c r="GX16" s="261"/>
      <c r="GY16" s="261"/>
      <c r="GZ16" s="261"/>
      <c r="HA16" s="261"/>
      <c r="HB16" s="261"/>
      <c r="HC16" s="261"/>
      <c r="HD16" s="261"/>
      <c r="HE16" s="261"/>
      <c r="HF16" s="261"/>
      <c r="HG16" s="261"/>
      <c r="HH16" s="261"/>
      <c r="HI16" s="261"/>
      <c r="HJ16" s="261"/>
      <c r="HK16" s="261"/>
      <c r="HL16" s="261"/>
      <c r="HM16" s="261"/>
      <c r="HN16" s="261"/>
      <c r="HO16" s="261"/>
      <c r="HP16" s="261"/>
      <c r="HQ16" s="261"/>
      <c r="HR16" s="261"/>
      <c r="HS16" s="261"/>
      <c r="HT16" s="261"/>
      <c r="HU16" s="261"/>
      <c r="HV16" s="261"/>
      <c r="HW16" s="261"/>
      <c r="HX16" s="261"/>
      <c r="HY16" s="261"/>
      <c r="HZ16" s="261"/>
      <c r="IA16" s="261"/>
      <c r="IB16" s="261"/>
      <c r="IC16" s="261"/>
      <c r="ID16" s="261"/>
      <c r="IE16" s="261"/>
      <c r="IF16" s="261"/>
      <c r="IG16" s="261"/>
      <c r="IH16" s="261"/>
      <c r="II16" s="261"/>
      <c r="IJ16" s="261"/>
      <c r="IK16" s="261"/>
      <c r="IL16" s="261"/>
      <c r="IM16" s="261"/>
      <c r="IN16" s="261"/>
      <c r="IO16" s="261"/>
      <c r="IP16" s="261"/>
      <c r="IQ16" s="261"/>
      <c r="IR16" s="261"/>
      <c r="IS16" s="261"/>
      <c r="IT16" s="261"/>
      <c r="IU16" s="261"/>
      <c r="IV16" s="261"/>
      <c r="IW16" s="261"/>
      <c r="IX16" s="261"/>
      <c r="IY16" s="261"/>
      <c r="IZ16" s="261"/>
      <c r="JA16" s="261"/>
      <c r="JB16" s="261"/>
      <c r="JC16" s="261"/>
      <c r="JD16" s="261"/>
      <c r="JE16" s="261"/>
      <c r="JF16" s="261"/>
      <c r="JG16" s="261"/>
      <c r="JH16" s="261"/>
      <c r="JI16" s="261"/>
      <c r="JJ16" s="261"/>
      <c r="JK16" s="261"/>
      <c r="JL16" s="261"/>
      <c r="JM16" s="261"/>
      <c r="JN16" s="261"/>
      <c r="JO16" s="261"/>
      <c r="JP16" s="261"/>
      <c r="JQ16" s="261"/>
      <c r="JR16" s="261"/>
      <c r="JS16" s="261"/>
      <c r="JT16" s="261"/>
    </row>
    <row r="17" spans="1:280" s="264" customFormat="1" ht="17.25" customHeight="1">
      <c r="A17" s="528" t="s">
        <v>531</v>
      </c>
      <c r="D17" s="1128">
        <v>0</v>
      </c>
      <c r="E17" s="455">
        <f t="shared" ref="E17:E23" si="88">0-D17</f>
        <v>0</v>
      </c>
      <c r="F17" s="455">
        <f t="shared" ref="F17:F23" si="89">0-SUM(D17:E17)</f>
        <v>0</v>
      </c>
      <c r="G17" s="455">
        <f t="shared" ref="G17:G23" si="90">0-SUM(D17:F17)</f>
        <v>0</v>
      </c>
      <c r="H17" s="327">
        <f t="shared" ref="H17:H23" si="91">SUM(D17:G17)</f>
        <v>0</v>
      </c>
      <c r="I17" s="1128">
        <v>0</v>
      </c>
      <c r="J17" s="455">
        <f t="shared" ref="J17:J23" si="92">0-I17</f>
        <v>0</v>
      </c>
      <c r="K17" s="455">
        <f t="shared" ref="K17:K23" si="93">0-SUM(I17:J17)</f>
        <v>0</v>
      </c>
      <c r="L17" s="455">
        <f t="shared" ref="L17:L23" si="94">0-SUM(I17:K17)</f>
        <v>0</v>
      </c>
      <c r="M17" s="327">
        <f t="shared" ref="M17:M23" si="95">SUM(I17:L17)</f>
        <v>0</v>
      </c>
      <c r="N17" s="1128">
        <v>0</v>
      </c>
      <c r="O17" s="455">
        <f t="shared" ref="O17:O23" si="96">0-N17</f>
        <v>0</v>
      </c>
      <c r="P17" s="455">
        <f t="shared" ref="P17:P23" si="97">0-SUM(N17:O17)</f>
        <v>0</v>
      </c>
      <c r="Q17" s="455">
        <f t="shared" ref="Q17:Q23" si="98">0-SUM(N17:P17)</f>
        <v>0</v>
      </c>
      <c r="R17" s="327">
        <f t="shared" ref="R17:R23" si="99">SUM(N17:Q17)</f>
        <v>0</v>
      </c>
      <c r="S17" s="1128">
        <v>0</v>
      </c>
      <c r="T17" s="455">
        <f t="shared" ref="T17:T23" si="100">0-S17</f>
        <v>0</v>
      </c>
      <c r="U17" s="455">
        <f t="shared" ref="U17:U23" si="101">0-SUM(S17:T17)</f>
        <v>0</v>
      </c>
      <c r="V17" s="455">
        <f t="shared" ref="V17:V23" si="102">0-SUM(S17:U17)</f>
        <v>0</v>
      </c>
      <c r="W17" s="327">
        <f t="shared" ref="W17:W23" si="103">SUM(S17:V17)</f>
        <v>0</v>
      </c>
      <c r="X17" s="1128">
        <v>0</v>
      </c>
      <c r="Y17" s="455">
        <f t="shared" ref="Y17:Y23" si="104">0-X17</f>
        <v>0</v>
      </c>
      <c r="Z17" s="455">
        <f t="shared" ref="Z17:Z23" si="105">0-SUM(X17:Y17)</f>
        <v>0</v>
      </c>
      <c r="AA17" s="455">
        <f t="shared" ref="AA17:AA23" si="106">0-SUM(X17:Z17)</f>
        <v>0</v>
      </c>
      <c r="AB17" s="327">
        <f t="shared" ref="AB17:AB23" si="107">SUM(X17:AA17)</f>
        <v>0</v>
      </c>
      <c r="AC17" s="1128">
        <v>0</v>
      </c>
      <c r="AD17" s="455">
        <f t="shared" ref="AD17:AD23" si="108">0-AC17</f>
        <v>0</v>
      </c>
      <c r="AE17" s="455">
        <f t="shared" ref="AE17:AE23" si="109">0-SUM(AC17:AD17)</f>
        <v>0</v>
      </c>
      <c r="AF17" s="455">
        <f>-146-SUM(AC17:AE17)</f>
        <v>-146</v>
      </c>
      <c r="AG17" s="327">
        <f t="shared" ref="AG17:AG23" si="110">SUM(AC17:AF17)</f>
        <v>-146</v>
      </c>
      <c r="AH17" s="1128">
        <v>-59</v>
      </c>
      <c r="AI17" s="455">
        <f>-134-AH17</f>
        <v>-75</v>
      </c>
      <c r="AJ17" s="455">
        <f>-40-SUM(AH17:AI17)</f>
        <v>94</v>
      </c>
      <c r="AK17" s="455">
        <f>-91-SUM(AH17:AJ17)</f>
        <v>-51</v>
      </c>
      <c r="AL17" s="327">
        <f t="shared" ref="AL17:AL23" si="111">SUM(AH17:AK17)</f>
        <v>-91</v>
      </c>
      <c r="AM17" s="1128">
        <v>-467</v>
      </c>
      <c r="AN17" s="455">
        <f>-187-AM17</f>
        <v>280</v>
      </c>
      <c r="AO17" s="455">
        <f>-154-SUM(AM17:AN17)</f>
        <v>33</v>
      </c>
      <c r="AP17" s="455">
        <f>-71-SUM(AM17:AO17)</f>
        <v>83</v>
      </c>
      <c r="AQ17" s="327">
        <f t="shared" ref="AQ17:AQ23" si="112">SUM(AM17:AP17)</f>
        <v>-71</v>
      </c>
      <c r="AR17" s="1128">
        <v>-205</v>
      </c>
      <c r="AS17" s="455">
        <f>-326-AR17</f>
        <v>-121</v>
      </c>
      <c r="AT17" s="455">
        <f>-252-SUM(AR17:AS17)</f>
        <v>74</v>
      </c>
      <c r="AU17" s="455">
        <f>-336-SUM(AR17:AT17)</f>
        <v>-84</v>
      </c>
      <c r="AV17" s="327">
        <f t="shared" ref="AV17:AV23" si="113">SUM(AR17:AU17)</f>
        <v>-336</v>
      </c>
      <c r="AW17" s="1128">
        <v>180</v>
      </c>
      <c r="AX17" s="455">
        <f>-129-AW17</f>
        <v>-309</v>
      </c>
      <c r="AY17" s="455">
        <f>-123-SUM(AW17:AX17)</f>
        <v>6</v>
      </c>
      <c r="AZ17" s="455">
        <f>-520-SUM(AW17:AY17)</f>
        <v>-397</v>
      </c>
      <c r="BA17" s="327">
        <f t="shared" ref="BA17:BA23" si="114">SUM(AW17:AZ17)</f>
        <v>-520</v>
      </c>
      <c r="BB17" s="1135">
        <v>341</v>
      </c>
      <c r="BC17" s="455">
        <f>-486-BB17</f>
        <v>-827</v>
      </c>
      <c r="BD17" s="455">
        <f>-192-SUM(BB17:BC17)</f>
        <v>294</v>
      </c>
      <c r="BE17" s="455">
        <f>-687-SUM(BB17:BD17)</f>
        <v>-495</v>
      </c>
      <c r="BF17" s="327">
        <f t="shared" ref="BF17:BF23" si="115">SUM(BB17:BE17)</f>
        <v>-687</v>
      </c>
      <c r="BG17" s="1135">
        <v>64</v>
      </c>
      <c r="BH17" s="455">
        <f>-1030-BG17</f>
        <v>-1094</v>
      </c>
      <c r="BI17" s="455">
        <f>-558-SUM(BG17:BH17)</f>
        <v>472</v>
      </c>
      <c r="BJ17" s="455">
        <f>-944-SUM(BG17:BI17)</f>
        <v>-386</v>
      </c>
      <c r="BK17" s="327">
        <f t="shared" ref="BK17:BK23" si="116">SUM(BG17:BJ17)</f>
        <v>-944</v>
      </c>
      <c r="BL17" s="1128">
        <v>116</v>
      </c>
      <c r="BM17" s="455">
        <f>-898-BL17</f>
        <v>-1014</v>
      </c>
      <c r="BN17" s="455">
        <f>-281-SUM(BL17:BM17)</f>
        <v>617</v>
      </c>
      <c r="BO17" s="455">
        <f>-418-SUM(BL17:BN17)</f>
        <v>-137</v>
      </c>
      <c r="BP17" s="327">
        <f t="shared" ref="BP17:BP23" si="117">SUM(BL17:BO17)</f>
        <v>-418</v>
      </c>
      <c r="BQ17" s="1128">
        <v>69</v>
      </c>
      <c r="BR17" s="455">
        <f>-1399-BQ17</f>
        <v>-1468</v>
      </c>
      <c r="BS17" s="455">
        <f>-745-SUM(BQ17:BR17)</f>
        <v>654</v>
      </c>
      <c r="BT17" s="455">
        <f>-1623-SUM(BQ17:BS17)</f>
        <v>-878</v>
      </c>
      <c r="BU17" s="327">
        <f t="shared" ref="BU17:BU23" si="118">SUM(BQ17:BT17)</f>
        <v>-1623</v>
      </c>
      <c r="BV17" s="1127">
        <v>751</v>
      </c>
      <c r="BW17" s="1127">
        <v>-349</v>
      </c>
      <c r="BX17" s="242">
        <f>1225-SUM(BV17:BW17)</f>
        <v>823</v>
      </c>
      <c r="BY17" s="455">
        <f>187-SUM(BV17:BX17)</f>
        <v>-1038</v>
      </c>
      <c r="BZ17" s="327">
        <f t="shared" ref="BZ17:BZ23" si="119">SUM(BV17:BY17)</f>
        <v>187</v>
      </c>
      <c r="CA17" s="1127">
        <v>676</v>
      </c>
      <c r="CB17" s="1127">
        <v>-1004</v>
      </c>
      <c r="CC17" s="1127">
        <v>697</v>
      </c>
      <c r="CD17" s="1127">
        <v>-1056</v>
      </c>
      <c r="CE17" s="327">
        <f t="shared" ref="CE17:CE23" si="120">SUM(CA17:CD17)</f>
        <v>-687</v>
      </c>
      <c r="CF17" s="1127">
        <v>861</v>
      </c>
      <c r="CG17" s="1127">
        <v>-1398</v>
      </c>
      <c r="CH17" s="1127">
        <v>1001</v>
      </c>
      <c r="CI17" s="1127">
        <v>-1707</v>
      </c>
      <c r="CJ17" s="327">
        <f t="shared" ref="CJ17:CJ23" si="121">SUM(CF17:CI17)</f>
        <v>-1243</v>
      </c>
      <c r="CK17" s="1127">
        <v>1408</v>
      </c>
      <c r="CL17" s="1127">
        <v>-2012</v>
      </c>
      <c r="CM17" s="1127">
        <v>972</v>
      </c>
      <c r="CN17" s="1127">
        <v>-2439</v>
      </c>
      <c r="CO17" s="327">
        <f t="shared" ref="CO17:CO23" si="122">SUM(CK17:CN17)</f>
        <v>-2071</v>
      </c>
      <c r="CP17" s="1127">
        <v>2501</v>
      </c>
      <c r="CQ17" s="1127">
        <v>-2945</v>
      </c>
      <c r="CR17" s="1127">
        <v>1455</v>
      </c>
      <c r="CS17" s="1127">
        <v>-2775</v>
      </c>
      <c r="CT17" s="327">
        <f t="shared" ref="CT17:CT23" si="123">SUM(CP17:CS17)</f>
        <v>-1764</v>
      </c>
      <c r="CU17" s="1127">
        <v>2806</v>
      </c>
      <c r="CV17" s="1127">
        <v>-2586</v>
      </c>
      <c r="CW17" s="1127">
        <v>1857</v>
      </c>
      <c r="CX17" s="1127">
        <v>-3646</v>
      </c>
      <c r="CY17" s="327">
        <f t="shared" ref="CY17:CY23" si="124">SUM(CU17:CX17)</f>
        <v>-1569</v>
      </c>
      <c r="CZ17" s="1127">
        <v>3985</v>
      </c>
      <c r="DA17" s="1127">
        <v>-1647</v>
      </c>
      <c r="DB17" s="1127">
        <v>1697</v>
      </c>
      <c r="DC17" s="1127">
        <v>-1820</v>
      </c>
      <c r="DD17" s="327">
        <f t="shared" ref="DD17:DD23" si="125">SUM(CZ17:DC17)</f>
        <v>2215</v>
      </c>
      <c r="DE17" s="1127">
        <v>2748</v>
      </c>
      <c r="DF17" s="1127">
        <v>-2789</v>
      </c>
      <c r="DG17" s="1127">
        <v>1947</v>
      </c>
      <c r="DH17" s="1127">
        <v>-4144</v>
      </c>
      <c r="DI17" s="327">
        <f t="shared" ref="DI17:DI23" si="126">SUM(DE17:DH17)</f>
        <v>-2238</v>
      </c>
      <c r="DJ17" s="1127">
        <v>3674</v>
      </c>
      <c r="DK17" s="1127">
        <v>-3270</v>
      </c>
      <c r="DL17" s="1127">
        <v>3031</v>
      </c>
      <c r="DM17" s="1127">
        <v>-4886</v>
      </c>
      <c r="DN17" s="327">
        <f t="shared" ref="DN17:DN23" si="127">SUM(DJ17:DM17)</f>
        <v>-1451</v>
      </c>
      <c r="DO17" s="1127">
        <v>4733</v>
      </c>
      <c r="DP17" s="1127">
        <v>-3652</v>
      </c>
      <c r="DQ17" s="1127">
        <v>2770</v>
      </c>
      <c r="DR17" s="1127">
        <v>-5007</v>
      </c>
      <c r="DS17" s="327">
        <f t="shared" ref="DS17:DS23" si="128">SUM(DO17:DR17)</f>
        <v>-1156</v>
      </c>
      <c r="DT17" s="1127">
        <v>6156</v>
      </c>
      <c r="DU17" s="1127">
        <v>-4488</v>
      </c>
      <c r="DV17" s="1127">
        <v>2191</v>
      </c>
      <c r="DW17" s="1127">
        <v>-5666</v>
      </c>
      <c r="DX17" s="327">
        <f t="shared" ref="DX17:DX23" si="129">SUM(DT17:DW17)</f>
        <v>-1807</v>
      </c>
      <c r="DY17" s="1127">
        <v>6617</v>
      </c>
      <c r="DZ17" s="1127">
        <v>-4875</v>
      </c>
      <c r="EA17" s="1127">
        <v>2501</v>
      </c>
      <c r="EB17" s="1127">
        <v>-5363</v>
      </c>
      <c r="EC17" s="327">
        <f t="shared" ref="EC17:EC23" si="130">SUM(DY17:EB17)</f>
        <v>-1120</v>
      </c>
      <c r="ED17" s="1127">
        <v>6627</v>
      </c>
      <c r="EE17" s="1127">
        <v>-3378</v>
      </c>
      <c r="EF17" s="1127">
        <v>3655</v>
      </c>
      <c r="EG17" s="1127">
        <v>-5448</v>
      </c>
      <c r="EH17" s="327">
        <f t="shared" ref="EH17:EH23" si="131">SUM(ED17:EG17)</f>
        <v>1456</v>
      </c>
      <c r="EI17" s="2769">
        <v>6376</v>
      </c>
      <c r="EJ17" s="2769">
        <v>-3118</v>
      </c>
      <c r="EK17" s="2769">
        <v>2288</v>
      </c>
      <c r="EL17" s="2769">
        <v>-6076</v>
      </c>
      <c r="EM17" s="2770">
        <f t="shared" ref="EM17:EM23" si="132">SUM(EI17:EL17)</f>
        <v>-530</v>
      </c>
      <c r="EN17" s="2769">
        <v>7174</v>
      </c>
      <c r="EO17" s="2769">
        <v>-2711</v>
      </c>
      <c r="EP17" s="2769">
        <v>1487</v>
      </c>
      <c r="EQ17" s="2769">
        <v>-6875</v>
      </c>
      <c r="ER17" s="2770">
        <f t="shared" ref="ER17:ER23" si="133">SUM(EN17:EQ17)</f>
        <v>-925</v>
      </c>
      <c r="ES17" s="2769">
        <v>7949</v>
      </c>
      <c r="ET17" s="2769">
        <v>-3908</v>
      </c>
      <c r="EU17" s="2769">
        <v>1285</v>
      </c>
      <c r="EV17" s="242">
        <f>+BS!EU10-BS!EV10</f>
        <v>-9313.7757629014959</v>
      </c>
      <c r="EW17" s="327">
        <f t="shared" ref="EW17:EW23" si="134">SUM(ES17:EV17)</f>
        <v>-3987.7757629014959</v>
      </c>
      <c r="EX17" s="242">
        <f>+BS!EW10-BS!EX10</f>
        <v>8871.104909713591</v>
      </c>
      <c r="EY17" s="242">
        <f>+BS!EX10-BS!EY10</f>
        <v>-3908.3467658797199</v>
      </c>
      <c r="EZ17" s="242">
        <f>+BS!EY10-BS!EZ10</f>
        <v>3304.955525030713</v>
      </c>
      <c r="FA17" s="242">
        <f>+BS!EZ10-BS!FA10</f>
        <v>-10694.036923407635</v>
      </c>
      <c r="FB17" s="327">
        <f t="shared" ref="FB17:FB23" si="135">SUM(EX17:FA17)</f>
        <v>-2426.323254543051</v>
      </c>
      <c r="FC17" s="242">
        <f>+BS!FB10-BS!FC10</f>
        <v>9814.8163936860983</v>
      </c>
      <c r="FD17" s="242">
        <f>+BS!FC10-BS!FD10</f>
        <v>-3564.0944044765638</v>
      </c>
      <c r="FE17" s="242">
        <f>+BS!FD10-BS!FE10</f>
        <v>2365.2805033386103</v>
      </c>
      <c r="FF17" s="242">
        <f>+BS!FE10-BS!FF10</f>
        <v>-12493.197403548871</v>
      </c>
      <c r="FG17" s="327">
        <f t="shared" ref="FG17:FG23" si="136">SUM(FC17:FF17)</f>
        <v>-3877.1949110007263</v>
      </c>
      <c r="FH17" s="242">
        <f>+BS!FG10-BS!FH10</f>
        <v>11407.435153085135</v>
      </c>
      <c r="FI17" s="242">
        <f>+BS!FH10-BS!FI10</f>
        <v>-3508.8302516256917</v>
      </c>
      <c r="FJ17" s="242">
        <f>+BS!FI10-BS!FJ10</f>
        <v>2205.3786382248472</v>
      </c>
      <c r="FK17" s="242">
        <f>+BS!FJ10-BS!FK10</f>
        <v>-13901.053767509075</v>
      </c>
      <c r="FL17" s="327">
        <f t="shared" ref="FL17:FL23" si="137">SUM(FH17:FK17)</f>
        <v>-3797.0702278247845</v>
      </c>
      <c r="FM17" s="455"/>
      <c r="FN17" s="486"/>
      <c r="FO17" s="327">
        <f t="shared" ref="FO17:FO23" si="138">BD17+BE17+BG17+BH17</f>
        <v>-1231</v>
      </c>
      <c r="FP17" s="327">
        <f t="shared" ref="FP17:FP23" si="139">BI17+BJ17+BL17+BM17</f>
        <v>-812</v>
      </c>
      <c r="FQ17" s="327">
        <f t="shared" ref="FQ17:FQ23" si="140">BN17+BO17+BQ17+BR17</f>
        <v>-919</v>
      </c>
      <c r="FR17" s="327">
        <f t="shared" ref="FR17:FR23" si="141">BS17+BT17+BV17+BW17</f>
        <v>178</v>
      </c>
      <c r="FS17" s="327">
        <f t="shared" ref="FS17:FS23" si="142">BX17+BY17+CA17+CB17</f>
        <v>-543</v>
      </c>
      <c r="FT17" s="327">
        <f t="shared" ref="FT17:FT23" si="143">CC17+CD17+CF17+CG17</f>
        <v>-896</v>
      </c>
      <c r="FU17" s="327">
        <f t="shared" ref="FU17:FU23" si="144">CH17+CI17+CK17+CL17</f>
        <v>-1310</v>
      </c>
      <c r="FV17" s="327">
        <f t="shared" ref="FV17:FV23" si="145">CM17+CN17+CP17+CQ17</f>
        <v>-1911</v>
      </c>
      <c r="FW17" s="327">
        <f t="shared" ref="FW17:FW23" si="146">CR17+CS17+CU17+CV17</f>
        <v>-1100</v>
      </c>
      <c r="FX17" s="327">
        <f t="shared" ref="FX17:FX23" si="147">CW17+CX17+CZ17+DA17</f>
        <v>549</v>
      </c>
      <c r="FY17" s="327">
        <f t="shared" ref="FY17:FY23" si="148">DB17+DC17+DE17+DF17</f>
        <v>-164</v>
      </c>
      <c r="FZ17" s="327">
        <f t="shared" ref="FZ17:FZ23" si="149">SUM(DG17:DH17,DJ17:DK17)</f>
        <v>-1793</v>
      </c>
      <c r="GA17" s="327">
        <f t="shared" ref="GA17:GA23" si="150">SUM(DL17:DM17,DO17:DP17)</f>
        <v>-774</v>
      </c>
      <c r="GB17" s="372">
        <f t="shared" ref="GB17:GB23" si="151">SUM(DQ17:DR17,DT17:DU17)</f>
        <v>-569</v>
      </c>
      <c r="GC17" s="372">
        <f t="shared" ref="GC17:GC23" si="152">SUM(DV17:DW17,DY17:DZ17)</f>
        <v>-1733</v>
      </c>
      <c r="GD17" s="372">
        <f t="shared" ref="GD17:GD23" si="153">SUM(EA17:EB17,ED17:EE17)</f>
        <v>387</v>
      </c>
      <c r="GE17" s="372">
        <f t="shared" ref="GE17:GE23" si="154">SUM(EF17:EG17,EI17:EJ17)</f>
        <v>1465</v>
      </c>
      <c r="GF17" s="372">
        <f t="shared" ref="GF17:GF23" si="155">SUM(EK17:EL17,EN17:EO17)</f>
        <v>675</v>
      </c>
      <c r="GG17" s="372">
        <f t="shared" ref="GG17:GG23" si="156">SUM(EP17:EQ17,ES17:ET17)</f>
        <v>-1347</v>
      </c>
      <c r="GH17" s="372">
        <f t="shared" ref="GH17:GH23" si="157">SUM(EU17:EV17,EX17:EY17)</f>
        <v>-3066.0176190676248</v>
      </c>
      <c r="GI17" s="372">
        <f t="shared" ref="GI17:GI23" si="158">SUM(EZ17:FA17,FC17:FD17)</f>
        <v>-1138.3594091673876</v>
      </c>
      <c r="GJ17" s="371"/>
      <c r="GK17" s="371"/>
      <c r="GL17" s="371"/>
      <c r="GM17" s="371"/>
      <c r="GO17"/>
      <c r="GP17"/>
      <c r="GQ17"/>
      <c r="GR17"/>
      <c r="GS17"/>
      <c r="GT17"/>
      <c r="GU17" s="261"/>
      <c r="GV17" s="261"/>
      <c r="GW17" s="261"/>
      <c r="GX17" s="261"/>
      <c r="GY17" s="261"/>
      <c r="GZ17" s="261"/>
      <c r="HA17" s="261"/>
      <c r="HB17" s="261"/>
      <c r="HC17" s="261"/>
      <c r="HD17" s="261"/>
      <c r="HE17" s="261"/>
      <c r="HF17" s="261"/>
      <c r="HG17" s="261"/>
      <c r="HH17" s="261"/>
      <c r="HI17" s="261"/>
      <c r="HJ17" s="261"/>
      <c r="HK17" s="261"/>
      <c r="HL17" s="261"/>
      <c r="HM17" s="261"/>
      <c r="HN17" s="261"/>
      <c r="HO17" s="261"/>
      <c r="HP17" s="261"/>
      <c r="HQ17" s="261"/>
      <c r="HR17" s="261"/>
      <c r="HS17" s="261"/>
      <c r="HT17" s="261"/>
      <c r="HU17" s="261"/>
      <c r="HV17" s="261"/>
      <c r="HW17" s="261"/>
      <c r="HX17" s="261"/>
      <c r="HY17" s="261"/>
      <c r="HZ17" s="261"/>
      <c r="IA17" s="261"/>
      <c r="IB17" s="261"/>
      <c r="IC17" s="261"/>
      <c r="ID17" s="261"/>
      <c r="IE17" s="261"/>
      <c r="IF17" s="261"/>
      <c r="IG17" s="261"/>
      <c r="IH17" s="261"/>
      <c r="II17" s="261"/>
      <c r="IJ17" s="261"/>
      <c r="IK17" s="261"/>
      <c r="IL17" s="261"/>
      <c r="IM17" s="261"/>
      <c r="IN17" s="261"/>
      <c r="IO17" s="261"/>
      <c r="IP17" s="261"/>
      <c r="IQ17" s="261"/>
      <c r="IR17" s="261"/>
      <c r="IS17" s="261"/>
      <c r="IT17" s="261"/>
      <c r="IU17" s="261"/>
      <c r="IV17" s="261"/>
      <c r="IW17" s="261"/>
      <c r="IX17" s="261"/>
      <c r="IY17" s="261"/>
      <c r="IZ17" s="261"/>
      <c r="JA17" s="261"/>
      <c r="JB17" s="261"/>
      <c r="JC17" s="261"/>
      <c r="JD17" s="261"/>
      <c r="JE17" s="261"/>
      <c r="JF17" s="261"/>
      <c r="JG17" s="261"/>
      <c r="JH17" s="261"/>
      <c r="JI17" s="261"/>
      <c r="JJ17" s="261"/>
      <c r="JK17" s="261"/>
      <c r="JL17" s="261"/>
      <c r="JM17" s="261"/>
      <c r="JN17" s="261"/>
      <c r="JO17" s="261"/>
      <c r="JP17" s="261"/>
      <c r="JQ17" s="261"/>
      <c r="JR17" s="261"/>
      <c r="JS17" s="261"/>
      <c r="JT17" s="261"/>
    </row>
    <row r="18" spans="1:280" s="264" customFormat="1" ht="11.25" customHeight="1">
      <c r="A18" s="528" t="s">
        <v>745</v>
      </c>
      <c r="D18" s="1128">
        <v>0</v>
      </c>
      <c r="E18" s="455">
        <f t="shared" si="88"/>
        <v>0</v>
      </c>
      <c r="F18" s="455">
        <f t="shared" si="89"/>
        <v>0</v>
      </c>
      <c r="G18" s="455">
        <f t="shared" si="90"/>
        <v>0</v>
      </c>
      <c r="H18" s="327">
        <f t="shared" si="91"/>
        <v>0</v>
      </c>
      <c r="I18" s="1128">
        <v>0</v>
      </c>
      <c r="J18" s="455">
        <f t="shared" si="92"/>
        <v>0</v>
      </c>
      <c r="K18" s="455">
        <f t="shared" si="93"/>
        <v>0</v>
      </c>
      <c r="L18" s="455">
        <f t="shared" si="94"/>
        <v>0</v>
      </c>
      <c r="M18" s="327">
        <f t="shared" si="95"/>
        <v>0</v>
      </c>
      <c r="N18" s="1128">
        <v>0</v>
      </c>
      <c r="O18" s="455">
        <f t="shared" si="96"/>
        <v>0</v>
      </c>
      <c r="P18" s="455">
        <f t="shared" si="97"/>
        <v>0</v>
      </c>
      <c r="Q18" s="455">
        <f t="shared" si="98"/>
        <v>0</v>
      </c>
      <c r="R18" s="327">
        <f t="shared" si="99"/>
        <v>0</v>
      </c>
      <c r="S18" s="1128">
        <v>0</v>
      </c>
      <c r="T18" s="455">
        <f t="shared" si="100"/>
        <v>0</v>
      </c>
      <c r="U18" s="455">
        <f t="shared" si="101"/>
        <v>0</v>
      </c>
      <c r="V18" s="455">
        <f t="shared" si="102"/>
        <v>0</v>
      </c>
      <c r="W18" s="327">
        <f t="shared" si="103"/>
        <v>0</v>
      </c>
      <c r="X18" s="1128">
        <v>0</v>
      </c>
      <c r="Y18" s="455">
        <f t="shared" si="104"/>
        <v>0</v>
      </c>
      <c r="Z18" s="455">
        <f t="shared" si="105"/>
        <v>0</v>
      </c>
      <c r="AA18" s="455">
        <f t="shared" si="106"/>
        <v>0</v>
      </c>
      <c r="AB18" s="327">
        <f t="shared" si="107"/>
        <v>0</v>
      </c>
      <c r="AC18" s="1128">
        <v>0</v>
      </c>
      <c r="AD18" s="455">
        <f t="shared" si="108"/>
        <v>0</v>
      </c>
      <c r="AE18" s="455">
        <f t="shared" si="109"/>
        <v>0</v>
      </c>
      <c r="AF18" s="455">
        <f>-4-SUM(AC18:AE18)</f>
        <v>-4</v>
      </c>
      <c r="AG18" s="327">
        <f t="shared" si="110"/>
        <v>-4</v>
      </c>
      <c r="AH18" s="455">
        <f>-7-23</f>
        <v>-30</v>
      </c>
      <c r="AI18" s="455">
        <f>-30-17-AH18</f>
        <v>-17</v>
      </c>
      <c r="AJ18" s="455">
        <f>17-24-SUM(AH18:AI18)</f>
        <v>40</v>
      </c>
      <c r="AK18" s="455">
        <f>-60-SUM(AH18:AJ18)</f>
        <v>-53</v>
      </c>
      <c r="AL18" s="327">
        <f t="shared" si="111"/>
        <v>-60</v>
      </c>
      <c r="AM18" s="455">
        <f>-37+26</f>
        <v>-11</v>
      </c>
      <c r="AN18" s="455">
        <f>-20-5-AM18</f>
        <v>-14</v>
      </c>
      <c r="AO18" s="455">
        <f>-24+53-SUM(AM18:AN18)</f>
        <v>54</v>
      </c>
      <c r="AP18" s="455">
        <f>25-SUM(AM18:AO18)</f>
        <v>-4</v>
      </c>
      <c r="AQ18" s="327">
        <f t="shared" si="112"/>
        <v>25</v>
      </c>
      <c r="AR18" s="1128">
        <v>-15</v>
      </c>
      <c r="AS18" s="455">
        <f>-43-AR18</f>
        <v>-28</v>
      </c>
      <c r="AT18" s="455">
        <f>-18-SUM(AR18:AS18)</f>
        <v>25</v>
      </c>
      <c r="AU18" s="455">
        <f>-165-SUM(AR18:AT18)</f>
        <v>-147</v>
      </c>
      <c r="AV18" s="327">
        <f t="shared" si="113"/>
        <v>-165</v>
      </c>
      <c r="AW18" s="1128">
        <v>7</v>
      </c>
      <c r="AX18" s="455">
        <f>-33-AW18</f>
        <v>-40</v>
      </c>
      <c r="AY18" s="455">
        <f>53-SUM(AW18:AX18)</f>
        <v>86</v>
      </c>
      <c r="AZ18" s="455">
        <f>-88-SUM(AW18:AY18)</f>
        <v>-141</v>
      </c>
      <c r="BA18" s="327">
        <f t="shared" si="114"/>
        <v>-88</v>
      </c>
      <c r="BB18" s="1135">
        <v>-64</v>
      </c>
      <c r="BC18" s="455">
        <f>-24-BB18</f>
        <v>40</v>
      </c>
      <c r="BD18" s="455">
        <f>-104-SUM(BB18:BC18)</f>
        <v>-80</v>
      </c>
      <c r="BE18" s="455">
        <f>-235-SUM(BB18:BD18)</f>
        <v>-131</v>
      </c>
      <c r="BF18" s="327">
        <f t="shared" si="115"/>
        <v>-235</v>
      </c>
      <c r="BG18" s="1135">
        <v>-94</v>
      </c>
      <c r="BH18" s="455">
        <f>-149-BG18</f>
        <v>-55</v>
      </c>
      <c r="BI18" s="455">
        <f>-328-SUM(BG18:BH18)</f>
        <v>-179</v>
      </c>
      <c r="BJ18" s="455">
        <f>-775-SUM(BG18:BI18)</f>
        <v>-447</v>
      </c>
      <c r="BK18" s="327">
        <f t="shared" si="116"/>
        <v>-775</v>
      </c>
      <c r="BL18" s="1128">
        <v>-211</v>
      </c>
      <c r="BM18" s="455">
        <f>-448-BL18</f>
        <v>-237</v>
      </c>
      <c r="BN18" s="455">
        <f>-557-SUM(BL18:BM18)</f>
        <v>-109</v>
      </c>
      <c r="BO18" s="455">
        <f>-482-SUM(BL18:BN18)</f>
        <v>75</v>
      </c>
      <c r="BP18" s="327">
        <f t="shared" si="117"/>
        <v>-482</v>
      </c>
      <c r="BQ18" s="1128">
        <v>-39</v>
      </c>
      <c r="BR18" s="455">
        <f>97-BQ18</f>
        <v>136</v>
      </c>
      <c r="BS18" s="455">
        <f>-208-SUM(BQ18:BR18)</f>
        <v>-305</v>
      </c>
      <c r="BT18" s="455">
        <f>-264-SUM(BQ18:BS18)</f>
        <v>-56</v>
      </c>
      <c r="BU18" s="327">
        <f t="shared" si="118"/>
        <v>-264</v>
      </c>
      <c r="BV18" s="1127">
        <v>-37</v>
      </c>
      <c r="BW18" s="1127">
        <v>404</v>
      </c>
      <c r="BX18" s="242">
        <f>418-SUM(BV18:BW18)</f>
        <v>51</v>
      </c>
      <c r="BY18" s="455">
        <f>412-SUM(BV18:BX18)</f>
        <v>-6</v>
      </c>
      <c r="BZ18" s="327">
        <f t="shared" si="119"/>
        <v>412</v>
      </c>
      <c r="CA18" s="1127">
        <v>-314</v>
      </c>
      <c r="CB18" s="1127">
        <v>607</v>
      </c>
      <c r="CC18" s="1127">
        <v>63</v>
      </c>
      <c r="CD18" s="1127">
        <v>122</v>
      </c>
      <c r="CE18" s="327">
        <f t="shared" si="120"/>
        <v>478</v>
      </c>
      <c r="CF18" s="1127">
        <v>-202</v>
      </c>
      <c r="CG18" s="1127">
        <v>373</v>
      </c>
      <c r="CH18" s="1127">
        <v>-130</v>
      </c>
      <c r="CI18" s="1127">
        <v>-286</v>
      </c>
      <c r="CJ18" s="327">
        <f t="shared" si="121"/>
        <v>-245</v>
      </c>
      <c r="CK18" s="1127">
        <v>-340</v>
      </c>
      <c r="CL18" s="1127">
        <v>-354</v>
      </c>
      <c r="CM18" s="1127">
        <v>-134</v>
      </c>
      <c r="CN18" s="1127">
        <v>-577</v>
      </c>
      <c r="CO18" s="327">
        <f t="shared" si="122"/>
        <v>-1405</v>
      </c>
      <c r="CP18" s="1127">
        <v>-1080</v>
      </c>
      <c r="CQ18" s="1127">
        <v>723</v>
      </c>
      <c r="CR18" s="1127">
        <v>7</v>
      </c>
      <c r="CS18" s="1127">
        <v>582</v>
      </c>
      <c r="CT18" s="327">
        <f t="shared" si="123"/>
        <v>232</v>
      </c>
      <c r="CU18" s="1127">
        <v>-235</v>
      </c>
      <c r="CV18" s="1127">
        <v>445</v>
      </c>
      <c r="CW18" s="1127">
        <v>-69</v>
      </c>
      <c r="CX18" s="1127">
        <v>12</v>
      </c>
      <c r="CY18" s="327">
        <f t="shared" si="124"/>
        <v>153</v>
      </c>
      <c r="CZ18" s="1127">
        <v>-558</v>
      </c>
      <c r="DA18" s="1127">
        <v>797</v>
      </c>
      <c r="DB18" s="1127">
        <v>106</v>
      </c>
      <c r="DC18" s="1127">
        <v>-767</v>
      </c>
      <c r="DD18" s="327">
        <f t="shared" si="125"/>
        <v>-422</v>
      </c>
      <c r="DE18" s="1127">
        <v>-654</v>
      </c>
      <c r="DF18" s="1127">
        <v>1244</v>
      </c>
      <c r="DG18" s="1127">
        <v>-284</v>
      </c>
      <c r="DH18" s="1127">
        <v>114</v>
      </c>
      <c r="DI18" s="327">
        <f t="shared" si="126"/>
        <v>420</v>
      </c>
      <c r="DJ18" s="242">
        <f>208+-468</f>
        <v>-260</v>
      </c>
      <c r="DK18" s="242">
        <f>380-77</f>
        <v>303</v>
      </c>
      <c r="DL18" s="242">
        <f>-170+-618</f>
        <v>-788</v>
      </c>
      <c r="DM18" s="242">
        <f>-303+-772</f>
        <v>-1075</v>
      </c>
      <c r="DN18" s="327">
        <f t="shared" si="127"/>
        <v>-1820</v>
      </c>
      <c r="DO18" s="1127">
        <f>260-920</f>
        <v>-660</v>
      </c>
      <c r="DP18" s="1127">
        <f>891+605</f>
        <v>1496</v>
      </c>
      <c r="DQ18" s="1127">
        <f>-50+73</f>
        <v>23</v>
      </c>
      <c r="DR18" s="1127">
        <f>-445+263</f>
        <v>-182</v>
      </c>
      <c r="DS18" s="327">
        <f t="shared" si="128"/>
        <v>677</v>
      </c>
      <c r="DT18" s="1127">
        <f>-473+-385</f>
        <v>-858</v>
      </c>
      <c r="DU18" s="1127">
        <f>150-33</f>
        <v>117</v>
      </c>
      <c r="DV18" s="1127">
        <f>139-483</f>
        <v>-344</v>
      </c>
      <c r="DW18" s="1127">
        <f>187-33</f>
        <v>154</v>
      </c>
      <c r="DX18" s="327">
        <f t="shared" si="129"/>
        <v>-931</v>
      </c>
      <c r="DY18" s="1127">
        <f>-667-556</f>
        <v>-1223</v>
      </c>
      <c r="DZ18" s="1127">
        <f>-95+1029</f>
        <v>934</v>
      </c>
      <c r="EA18" s="1127">
        <f>-324+340</f>
        <v>16</v>
      </c>
      <c r="EB18" s="1127">
        <f>-199+282</f>
        <v>83</v>
      </c>
      <c r="EC18" s="327">
        <f t="shared" si="130"/>
        <v>-190</v>
      </c>
      <c r="ED18" s="1127">
        <f>-280-483</f>
        <v>-763</v>
      </c>
      <c r="EE18" s="1127">
        <f>1070-159</f>
        <v>911</v>
      </c>
      <c r="EF18" s="1127">
        <f>-430-111</f>
        <v>-541</v>
      </c>
      <c r="EG18" s="1127">
        <f>-429+612</f>
        <v>183</v>
      </c>
      <c r="EH18" s="327">
        <f t="shared" si="131"/>
        <v>-210</v>
      </c>
      <c r="EI18" s="2769">
        <f>+-937-280</f>
        <v>-1217</v>
      </c>
      <c r="EJ18" s="2769">
        <f>1104-912</f>
        <v>192</v>
      </c>
      <c r="EK18" s="2769">
        <f>-420+241</f>
        <v>-179</v>
      </c>
      <c r="EL18" s="2769">
        <f>192+747</f>
        <v>939</v>
      </c>
      <c r="EM18" s="2770">
        <f t="shared" si="132"/>
        <v>-265</v>
      </c>
      <c r="EN18" s="2769">
        <f>-867-966</f>
        <v>-1833</v>
      </c>
      <c r="EO18" s="2769">
        <f>1132+1309</f>
        <v>2441</v>
      </c>
      <c r="EP18" s="2769">
        <f>-16-25</f>
        <v>-41</v>
      </c>
      <c r="EQ18" s="2769">
        <f>748-199</f>
        <v>549</v>
      </c>
      <c r="ER18" s="2770">
        <f t="shared" si="133"/>
        <v>1116</v>
      </c>
      <c r="ES18" s="2769">
        <f>+-1023-318</f>
        <v>-1341</v>
      </c>
      <c r="ET18" s="2769">
        <f>354+1205</f>
        <v>1559</v>
      </c>
      <c r="EU18" s="2769">
        <f>+-75-149</f>
        <v>-224</v>
      </c>
      <c r="EV18" s="242">
        <f>+BS!EU11-BS!EV11+BS!EU13-BS!EV13</f>
        <v>-810.94811016769745</v>
      </c>
      <c r="EW18" s="327">
        <f t="shared" si="134"/>
        <v>-816.94811016769745</v>
      </c>
      <c r="EX18" s="242">
        <f>+BS!EW11-BS!EX11+BS!EW13-BS!EX13</f>
        <v>-867.20939172007911</v>
      </c>
      <c r="EY18" s="242">
        <f>+BS!EX11-BS!EY11+BS!EX13-BS!EY13</f>
        <v>1860.888529782258</v>
      </c>
      <c r="EZ18" s="242">
        <f>+BS!EY11-BS!EZ11+BS!EY13-BS!EZ13</f>
        <v>-856.28610433988706</v>
      </c>
      <c r="FA18" s="242">
        <f>+BS!EZ11-BS!FA11+BS!EZ13-BS!FA13</f>
        <v>-927.74830628959171</v>
      </c>
      <c r="FB18" s="327">
        <f t="shared" si="135"/>
        <v>-790.35527256729983</v>
      </c>
      <c r="FC18" s="242">
        <f>+BS!FB11-BS!FC11+BS!FB13-BS!FC13</f>
        <v>-981.39801204040305</v>
      </c>
      <c r="FD18" s="242">
        <f>+BS!FC11-BS!FD11+BS!FC13-BS!FD13</f>
        <v>2191.0037672157559</v>
      </c>
      <c r="FE18" s="242">
        <f>+BS!FD11-BS!FE11+BS!FD13-BS!FE13</f>
        <v>-1121.6758904581302</v>
      </c>
      <c r="FF18" s="242">
        <f>+BS!FE11-BS!FF11+BS!FE13-BS!FF13</f>
        <v>-1043.6660414782118</v>
      </c>
      <c r="FG18" s="327">
        <f t="shared" si="136"/>
        <v>-955.73617676098911</v>
      </c>
      <c r="FH18" s="242">
        <f>+BS!FG11-BS!FH11+BS!FG13-BS!FH13</f>
        <v>-1025.5379987174183</v>
      </c>
      <c r="FI18" s="242">
        <f>+BS!FH11-BS!FI11+BS!FH13-BS!FI13</f>
        <v>2609.6191754211623</v>
      </c>
      <c r="FJ18" s="242">
        <f>+BS!FI11-BS!FJ11+BS!FI13-BS!FJ13</f>
        <v>-1383.9577076060314</v>
      </c>
      <c r="FK18" s="242">
        <f>+BS!FJ11-BS!FK11+BS!FJ13-BS!FK13</f>
        <v>-1139.8525144674613</v>
      </c>
      <c r="FL18" s="327">
        <f t="shared" si="137"/>
        <v>-939.72904536974875</v>
      </c>
      <c r="FM18" s="455"/>
      <c r="FN18" s="486"/>
      <c r="FO18" s="327">
        <f t="shared" si="138"/>
        <v>-360</v>
      </c>
      <c r="FP18" s="327">
        <f t="shared" si="139"/>
        <v>-1074</v>
      </c>
      <c r="FQ18" s="327">
        <f t="shared" si="140"/>
        <v>63</v>
      </c>
      <c r="FR18" s="327">
        <f t="shared" si="141"/>
        <v>6</v>
      </c>
      <c r="FS18" s="327">
        <f t="shared" si="142"/>
        <v>338</v>
      </c>
      <c r="FT18" s="327">
        <f t="shared" si="143"/>
        <v>356</v>
      </c>
      <c r="FU18" s="327">
        <f t="shared" si="144"/>
        <v>-1110</v>
      </c>
      <c r="FV18" s="327">
        <f t="shared" si="145"/>
        <v>-1068</v>
      </c>
      <c r="FW18" s="327">
        <f t="shared" si="146"/>
        <v>799</v>
      </c>
      <c r="FX18" s="327">
        <f t="shared" si="147"/>
        <v>182</v>
      </c>
      <c r="FY18" s="327">
        <f t="shared" si="148"/>
        <v>-71</v>
      </c>
      <c r="FZ18" s="327">
        <f t="shared" si="149"/>
        <v>-127</v>
      </c>
      <c r="GA18" s="327">
        <f t="shared" si="150"/>
        <v>-1027</v>
      </c>
      <c r="GB18" s="372">
        <f t="shared" si="151"/>
        <v>-900</v>
      </c>
      <c r="GC18" s="372">
        <f t="shared" si="152"/>
        <v>-479</v>
      </c>
      <c r="GD18" s="372">
        <f t="shared" si="153"/>
        <v>247</v>
      </c>
      <c r="GE18" s="372">
        <f t="shared" si="154"/>
        <v>-1383</v>
      </c>
      <c r="GF18" s="372">
        <f t="shared" si="155"/>
        <v>1368</v>
      </c>
      <c r="GG18" s="372">
        <f t="shared" si="156"/>
        <v>726</v>
      </c>
      <c r="GH18" s="372">
        <f t="shared" si="157"/>
        <v>-41.268972105518515</v>
      </c>
      <c r="GI18" s="372">
        <f t="shared" si="158"/>
        <v>-574.42865545412587</v>
      </c>
      <c r="GJ18" s="371"/>
      <c r="GK18" s="371"/>
      <c r="GL18" s="371"/>
      <c r="GM18" s="371"/>
      <c r="GO18"/>
      <c r="GP18"/>
      <c r="GQ18"/>
      <c r="GR18"/>
      <c r="GS18"/>
      <c r="GT18"/>
      <c r="GU18" s="261"/>
      <c r="GV18" s="261"/>
      <c r="GW18" s="261"/>
      <c r="GX18" s="261"/>
      <c r="GY18" s="261"/>
      <c r="GZ18" s="261"/>
      <c r="HA18" s="261"/>
      <c r="HB18" s="261"/>
      <c r="HC18" s="261"/>
      <c r="HD18" s="261"/>
      <c r="HE18" s="261"/>
      <c r="HF18" s="261"/>
      <c r="HG18" s="261"/>
      <c r="HH18" s="261"/>
      <c r="HI18" s="261"/>
      <c r="HJ18" s="261"/>
      <c r="HK18" s="261"/>
      <c r="HL18" s="261"/>
      <c r="HM18" s="261"/>
      <c r="HN18" s="261"/>
      <c r="HO18" s="261"/>
      <c r="HP18" s="261"/>
      <c r="HQ18" s="261"/>
      <c r="HR18" s="261"/>
      <c r="HS18" s="261"/>
      <c r="HT18" s="261"/>
      <c r="HU18" s="261"/>
      <c r="HV18" s="261"/>
      <c r="HW18" s="261"/>
      <c r="HX18" s="261"/>
      <c r="HY18" s="261"/>
      <c r="HZ18" s="261"/>
      <c r="IA18" s="261"/>
      <c r="IB18" s="261"/>
      <c r="IC18" s="261"/>
      <c r="ID18" s="261"/>
      <c r="IE18" s="261"/>
      <c r="IF18" s="261"/>
      <c r="IG18" s="261"/>
      <c r="IH18" s="261"/>
      <c r="II18" s="261"/>
      <c r="IJ18" s="261"/>
      <c r="IK18" s="261"/>
      <c r="IL18" s="261"/>
      <c r="IM18" s="261"/>
      <c r="IN18" s="261"/>
      <c r="IO18" s="261"/>
      <c r="IP18" s="261"/>
      <c r="IQ18" s="261"/>
      <c r="IR18" s="261"/>
      <c r="IS18" s="261"/>
      <c r="IT18" s="261"/>
      <c r="IU18" s="261"/>
      <c r="IV18" s="261"/>
      <c r="IW18" s="261"/>
      <c r="IX18" s="261"/>
      <c r="IY18" s="261"/>
      <c r="IZ18" s="261"/>
      <c r="JA18" s="261"/>
      <c r="JB18" s="261"/>
      <c r="JC18" s="261"/>
      <c r="JD18" s="261"/>
      <c r="JE18" s="261"/>
      <c r="JF18" s="261"/>
      <c r="JG18" s="261"/>
      <c r="JH18" s="261"/>
      <c r="JI18" s="261"/>
      <c r="JJ18" s="261"/>
      <c r="JK18" s="261"/>
      <c r="JL18" s="261"/>
      <c r="JM18" s="261"/>
      <c r="JN18" s="261"/>
      <c r="JO18" s="261"/>
      <c r="JP18" s="261"/>
      <c r="JQ18" s="261"/>
      <c r="JR18" s="261"/>
      <c r="JS18" s="261"/>
      <c r="JT18" s="261"/>
    </row>
    <row r="19" spans="1:280" s="264" customFormat="1" ht="11.25" customHeight="1">
      <c r="A19" s="528" t="s">
        <v>746</v>
      </c>
      <c r="D19" s="1128">
        <v>0</v>
      </c>
      <c r="E19" s="455">
        <f t="shared" si="88"/>
        <v>0</v>
      </c>
      <c r="F19" s="455">
        <f t="shared" si="89"/>
        <v>0</v>
      </c>
      <c r="G19" s="455">
        <f t="shared" si="90"/>
        <v>0</v>
      </c>
      <c r="H19" s="327">
        <f t="shared" si="91"/>
        <v>0</v>
      </c>
      <c r="I19" s="1128">
        <v>0</v>
      </c>
      <c r="J19" s="455">
        <f t="shared" si="92"/>
        <v>0</v>
      </c>
      <c r="K19" s="455">
        <f t="shared" si="93"/>
        <v>0</v>
      </c>
      <c r="L19" s="455">
        <f t="shared" si="94"/>
        <v>0</v>
      </c>
      <c r="M19" s="327">
        <f t="shared" si="95"/>
        <v>0</v>
      </c>
      <c r="N19" s="1128">
        <v>0</v>
      </c>
      <c r="O19" s="455">
        <f t="shared" si="96"/>
        <v>0</v>
      </c>
      <c r="P19" s="455">
        <f t="shared" si="97"/>
        <v>0</v>
      </c>
      <c r="Q19" s="455">
        <f t="shared" si="98"/>
        <v>0</v>
      </c>
      <c r="R19" s="327">
        <f t="shared" si="99"/>
        <v>0</v>
      </c>
      <c r="S19" s="1128">
        <v>0</v>
      </c>
      <c r="T19" s="455">
        <f t="shared" si="100"/>
        <v>0</v>
      </c>
      <c r="U19" s="455">
        <f t="shared" si="101"/>
        <v>0</v>
      </c>
      <c r="V19" s="455">
        <f t="shared" si="102"/>
        <v>0</v>
      </c>
      <c r="W19" s="327">
        <f t="shared" si="103"/>
        <v>0</v>
      </c>
      <c r="X19" s="1128">
        <v>0</v>
      </c>
      <c r="Y19" s="455">
        <f t="shared" si="104"/>
        <v>0</v>
      </c>
      <c r="Z19" s="455">
        <f t="shared" si="105"/>
        <v>0</v>
      </c>
      <c r="AA19" s="455">
        <f t="shared" si="106"/>
        <v>0</v>
      </c>
      <c r="AB19" s="327">
        <f t="shared" si="107"/>
        <v>0</v>
      </c>
      <c r="AC19" s="1128">
        <v>0</v>
      </c>
      <c r="AD19" s="455">
        <f t="shared" si="108"/>
        <v>0</v>
      </c>
      <c r="AE19" s="455">
        <f t="shared" si="109"/>
        <v>0</v>
      </c>
      <c r="AF19" s="455">
        <f>0-SUM(AC19:AE19)</f>
        <v>0</v>
      </c>
      <c r="AG19" s="327">
        <f t="shared" si="110"/>
        <v>0</v>
      </c>
      <c r="AH19" s="1128">
        <v>0</v>
      </c>
      <c r="AI19" s="455">
        <f>0-AH19</f>
        <v>0</v>
      </c>
      <c r="AJ19" s="455">
        <f>0-SUM(AH19:AI19)</f>
        <v>0</v>
      </c>
      <c r="AK19" s="455">
        <f>0-SUM(AH19:AJ19)</f>
        <v>0</v>
      </c>
      <c r="AL19" s="327">
        <f t="shared" si="111"/>
        <v>0</v>
      </c>
      <c r="AM19" s="1128">
        <v>0</v>
      </c>
      <c r="AN19" s="455">
        <f>0-AM19</f>
        <v>0</v>
      </c>
      <c r="AO19" s="455">
        <f>0-SUM(AM19:AN19)</f>
        <v>0</v>
      </c>
      <c r="AP19" s="455">
        <f>0-SUM(AM19:AO19)</f>
        <v>0</v>
      </c>
      <c r="AQ19" s="327">
        <f t="shared" si="112"/>
        <v>0</v>
      </c>
      <c r="AR19" s="1128">
        <v>0</v>
      </c>
      <c r="AS19" s="455">
        <f>0-AR19</f>
        <v>0</v>
      </c>
      <c r="AT19" s="455">
        <f>0-SUM(AR19:AS19)</f>
        <v>0</v>
      </c>
      <c r="AU19" s="455">
        <f>0-SUM(AR19:AT19)</f>
        <v>0</v>
      </c>
      <c r="AV19" s="327">
        <f t="shared" si="113"/>
        <v>0</v>
      </c>
      <c r="AW19" s="1128">
        <v>0</v>
      </c>
      <c r="AX19" s="455">
        <f>0-AW19</f>
        <v>0</v>
      </c>
      <c r="AY19" s="455">
        <f>0-SUM(AW19:AX19)</f>
        <v>0</v>
      </c>
      <c r="AZ19" s="455">
        <f>0-SUM(AW19:AY19)</f>
        <v>0</v>
      </c>
      <c r="BA19" s="327">
        <f t="shared" si="114"/>
        <v>0</v>
      </c>
      <c r="BB19" s="1135">
        <v>0</v>
      </c>
      <c r="BC19" s="455">
        <f>0-BB19</f>
        <v>0</v>
      </c>
      <c r="BD19" s="455">
        <f>0-SUM(BB19:BC19)</f>
        <v>0</v>
      </c>
      <c r="BE19" s="455">
        <f>0-SUM(BB19:BD19)</f>
        <v>0</v>
      </c>
      <c r="BF19" s="327">
        <f t="shared" si="115"/>
        <v>0</v>
      </c>
      <c r="BG19" s="1135">
        <v>-209</v>
      </c>
      <c r="BH19" s="455">
        <f>-460-BG19</f>
        <v>-251</v>
      </c>
      <c r="BI19" s="455">
        <f>-654-SUM(BG19:BH19)</f>
        <v>-194</v>
      </c>
      <c r="BJ19" s="455">
        <f>-864-SUM(BG19:BI19)</f>
        <v>-210</v>
      </c>
      <c r="BK19" s="327">
        <f t="shared" si="116"/>
        <v>-864</v>
      </c>
      <c r="BL19" s="1128">
        <v>-61</v>
      </c>
      <c r="BM19" s="455">
        <f>-31-BL19</f>
        <v>30</v>
      </c>
      <c r="BN19" s="455">
        <f>-228-SUM(BL19:BM19)</f>
        <v>-197</v>
      </c>
      <c r="BO19" s="455">
        <f>-330-SUM(BL19:BN19)</f>
        <v>-102</v>
      </c>
      <c r="BP19" s="327">
        <f t="shared" si="117"/>
        <v>-330</v>
      </c>
      <c r="BQ19" s="1128">
        <v>122</v>
      </c>
      <c r="BR19" s="455">
        <f>-25-BQ19</f>
        <v>-147</v>
      </c>
      <c r="BS19" s="455">
        <f>-37-SUM(BQ19:BR19)</f>
        <v>-12</v>
      </c>
      <c r="BT19" s="455">
        <f>-9-SUM(BQ19:BS19)</f>
        <v>28</v>
      </c>
      <c r="BU19" s="327">
        <f t="shared" si="118"/>
        <v>-9</v>
      </c>
      <c r="BV19" s="1127">
        <v>28</v>
      </c>
      <c r="BW19" s="1127">
        <v>-50</v>
      </c>
      <c r="BX19" s="242">
        <f>-31-SUM(BV19:BW19)</f>
        <v>-9</v>
      </c>
      <c r="BY19" s="455">
        <f>-28-SUM(BV19:BX19)</f>
        <v>3</v>
      </c>
      <c r="BZ19" s="327">
        <f t="shared" si="119"/>
        <v>-28</v>
      </c>
      <c r="CA19" s="1127">
        <v>-14</v>
      </c>
      <c r="CB19" s="1127">
        <v>55</v>
      </c>
      <c r="CC19" s="1127">
        <v>-6</v>
      </c>
      <c r="CD19" s="1127">
        <v>-1</v>
      </c>
      <c r="CE19" s="327">
        <f t="shared" si="120"/>
        <v>34</v>
      </c>
      <c r="CF19" s="1127">
        <v>18</v>
      </c>
      <c r="CG19" s="1127">
        <v>7</v>
      </c>
      <c r="CH19" s="1127">
        <v>40</v>
      </c>
      <c r="CI19" s="1127">
        <v>-44</v>
      </c>
      <c r="CJ19" s="327">
        <f t="shared" si="121"/>
        <v>21</v>
      </c>
      <c r="CK19" s="1127">
        <v>2</v>
      </c>
      <c r="CL19" s="1127">
        <v>-10</v>
      </c>
      <c r="CM19" s="1127">
        <v>-4</v>
      </c>
      <c r="CN19" s="1127">
        <v>-37</v>
      </c>
      <c r="CO19" s="327">
        <f t="shared" si="122"/>
        <v>-49</v>
      </c>
      <c r="CP19" s="1127">
        <v>-135</v>
      </c>
      <c r="CQ19" s="1127">
        <v>-264</v>
      </c>
      <c r="CR19" s="1127">
        <v>-32</v>
      </c>
      <c r="CS19" s="1127">
        <v>-4</v>
      </c>
      <c r="CT19" s="327">
        <f t="shared" si="123"/>
        <v>-435</v>
      </c>
      <c r="CU19" s="1127">
        <v>-11</v>
      </c>
      <c r="CV19" s="1127">
        <v>-55</v>
      </c>
      <c r="CW19" s="1127">
        <v>-1</v>
      </c>
      <c r="CX19" s="1127">
        <v>-31</v>
      </c>
      <c r="CY19" s="327">
        <f t="shared" si="124"/>
        <v>-98</v>
      </c>
      <c r="CZ19" s="1127">
        <v>-116</v>
      </c>
      <c r="DA19" s="1127">
        <v>-69</v>
      </c>
      <c r="DB19" s="1127">
        <v>26</v>
      </c>
      <c r="DC19" s="1127">
        <v>-114</v>
      </c>
      <c r="DD19" s="327">
        <f t="shared" si="125"/>
        <v>-273</v>
      </c>
      <c r="DE19" s="1127">
        <v>-78</v>
      </c>
      <c r="DF19" s="1127">
        <v>16</v>
      </c>
      <c r="DG19" s="1127">
        <v>-81</v>
      </c>
      <c r="DH19" s="1127">
        <v>-80</v>
      </c>
      <c r="DI19" s="327">
        <f t="shared" si="126"/>
        <v>-223</v>
      </c>
      <c r="DJ19" s="1127">
        <v>62</v>
      </c>
      <c r="DK19" s="1127">
        <v>118</v>
      </c>
      <c r="DL19" s="1127">
        <v>-8</v>
      </c>
      <c r="DM19" s="1127">
        <v>-110</v>
      </c>
      <c r="DN19" s="327">
        <f t="shared" si="127"/>
        <v>62</v>
      </c>
      <c r="DO19" s="1127">
        <v>-75</v>
      </c>
      <c r="DP19" s="1127">
        <v>30</v>
      </c>
      <c r="DQ19" s="1127">
        <v>9</v>
      </c>
      <c r="DR19" s="1127">
        <v>-212</v>
      </c>
      <c r="DS19" s="327">
        <f t="shared" si="128"/>
        <v>-248</v>
      </c>
      <c r="DT19" s="1127">
        <v>-233</v>
      </c>
      <c r="DU19" s="1127">
        <v>-80</v>
      </c>
      <c r="DV19" s="1127">
        <v>-13</v>
      </c>
      <c r="DW19" s="1127">
        <f>-153</f>
        <v>-153</v>
      </c>
      <c r="DX19" s="327">
        <f t="shared" si="129"/>
        <v>-479</v>
      </c>
      <c r="DY19" s="1127">
        <v>-81</v>
      </c>
      <c r="DZ19" s="1127">
        <v>-315</v>
      </c>
      <c r="EA19" s="1127">
        <v>-73</v>
      </c>
      <c r="EB19" s="1127">
        <v>-159</v>
      </c>
      <c r="EC19" s="327">
        <f t="shared" si="130"/>
        <v>-628</v>
      </c>
      <c r="ED19" s="1127">
        <v>279</v>
      </c>
      <c r="EE19" s="1127">
        <v>170</v>
      </c>
      <c r="EF19" s="1127">
        <v>-108</v>
      </c>
      <c r="EG19" s="1127">
        <v>5</v>
      </c>
      <c r="EH19" s="327">
        <f t="shared" si="131"/>
        <v>346</v>
      </c>
      <c r="EI19" s="2769">
        <v>-5</v>
      </c>
      <c r="EJ19" s="2769">
        <v>56</v>
      </c>
      <c r="EK19" s="2769">
        <v>7</v>
      </c>
      <c r="EL19" s="2769">
        <v>-99</v>
      </c>
      <c r="EM19" s="2770">
        <f t="shared" si="132"/>
        <v>-41</v>
      </c>
      <c r="EN19" s="2769">
        <v>-29</v>
      </c>
      <c r="EO19" s="2769">
        <v>-243</v>
      </c>
      <c r="EP19" s="2769">
        <v>-26</v>
      </c>
      <c r="EQ19" s="2769">
        <v>-241</v>
      </c>
      <c r="ER19" s="2770">
        <f t="shared" si="133"/>
        <v>-539</v>
      </c>
      <c r="ES19" s="2769">
        <v>-278</v>
      </c>
      <c r="ET19" s="2769">
        <v>-344</v>
      </c>
      <c r="EU19" s="2769">
        <v>-213</v>
      </c>
      <c r="EV19" s="242">
        <f>+BS!EU20-BS!EV20</f>
        <v>379.19942807617372</v>
      </c>
      <c r="EW19" s="327">
        <f t="shared" si="134"/>
        <v>-455.80057192382628</v>
      </c>
      <c r="EX19" s="242">
        <f>+BS!EW20-BS!EX20</f>
        <v>-543.39580964845845</v>
      </c>
      <c r="EY19" s="242">
        <f>+BS!EX20-BS!EY20</f>
        <v>-789.64287846583466</v>
      </c>
      <c r="EZ19" s="242">
        <f>+BS!EY20-BS!EZ20</f>
        <v>-386.45028913028546</v>
      </c>
      <c r="FA19" s="242">
        <f>+BS!EZ20-BS!FA20</f>
        <v>408.20861135402083</v>
      </c>
      <c r="FB19" s="327">
        <f t="shared" si="135"/>
        <v>-1311.2803658905577</v>
      </c>
      <c r="FC19" s="242">
        <f>+BS!FB20-BS!FC20</f>
        <v>-695.69340684940107</v>
      </c>
      <c r="FD19" s="242">
        <f>+BS!FC20-BS!FD20</f>
        <v>-616.73059435439973</v>
      </c>
      <c r="FE19" s="242">
        <f>+BS!FD20-BS!FE20</f>
        <v>-760.42456312251306</v>
      </c>
      <c r="FF19" s="242">
        <f>+BS!FE20-BS!FF20</f>
        <v>460.34883088167044</v>
      </c>
      <c r="FG19" s="327">
        <f t="shared" si="136"/>
        <v>-1612.4997334446434</v>
      </c>
      <c r="FH19" s="242">
        <f>+BS!FG20-BS!FH20</f>
        <v>-655.44597103798878</v>
      </c>
      <c r="FI19" s="242">
        <f>+BS!FH20-BS!FI20</f>
        <v>-314.94165681501909</v>
      </c>
      <c r="FJ19" s="242">
        <f>+BS!FI20-BS!FJ20</f>
        <v>-1169.1690420740633</v>
      </c>
      <c r="FK19" s="242">
        <f>+BS!FJ20-BS!FK20</f>
        <v>542.96579170093901</v>
      </c>
      <c r="FL19" s="327">
        <f t="shared" si="137"/>
        <v>-1596.5908782261322</v>
      </c>
      <c r="FM19" s="455"/>
      <c r="FN19" s="486"/>
      <c r="FO19" s="327">
        <f t="shared" si="138"/>
        <v>-460</v>
      </c>
      <c r="FP19" s="327">
        <f t="shared" si="139"/>
        <v>-435</v>
      </c>
      <c r="FQ19" s="327">
        <f t="shared" si="140"/>
        <v>-324</v>
      </c>
      <c r="FR19" s="327">
        <f t="shared" si="141"/>
        <v>-6</v>
      </c>
      <c r="FS19" s="327">
        <f t="shared" si="142"/>
        <v>35</v>
      </c>
      <c r="FT19" s="327">
        <f t="shared" si="143"/>
        <v>18</v>
      </c>
      <c r="FU19" s="327">
        <f t="shared" si="144"/>
        <v>-12</v>
      </c>
      <c r="FV19" s="327">
        <f t="shared" si="145"/>
        <v>-440</v>
      </c>
      <c r="FW19" s="327">
        <f t="shared" si="146"/>
        <v>-102</v>
      </c>
      <c r="FX19" s="327">
        <f t="shared" si="147"/>
        <v>-217</v>
      </c>
      <c r="FY19" s="327">
        <f t="shared" si="148"/>
        <v>-150</v>
      </c>
      <c r="FZ19" s="327">
        <f t="shared" si="149"/>
        <v>19</v>
      </c>
      <c r="GA19" s="327">
        <f t="shared" si="150"/>
        <v>-163</v>
      </c>
      <c r="GB19" s="372">
        <f t="shared" si="151"/>
        <v>-516</v>
      </c>
      <c r="GC19" s="372">
        <f t="shared" si="152"/>
        <v>-562</v>
      </c>
      <c r="GD19" s="372">
        <f t="shared" si="153"/>
        <v>217</v>
      </c>
      <c r="GE19" s="372">
        <f t="shared" si="154"/>
        <v>-52</v>
      </c>
      <c r="GF19" s="372">
        <f t="shared" si="155"/>
        <v>-364</v>
      </c>
      <c r="GG19" s="372">
        <f t="shared" si="156"/>
        <v>-889</v>
      </c>
      <c r="GH19" s="372">
        <f t="shared" si="157"/>
        <v>-1166.8392600381194</v>
      </c>
      <c r="GI19" s="372">
        <f t="shared" si="158"/>
        <v>-1290.6656789800654</v>
      </c>
      <c r="GJ19" s="371"/>
      <c r="GK19" s="371"/>
      <c r="GL19" s="371"/>
      <c r="GM19" s="371"/>
      <c r="GO19"/>
      <c r="GP19"/>
      <c r="GQ19"/>
      <c r="GR19"/>
      <c r="GS19"/>
      <c r="GT19"/>
      <c r="GU19" s="261"/>
      <c r="GV19" s="261"/>
      <c r="GW19" s="261"/>
      <c r="GX19" s="261"/>
      <c r="GY19" s="261"/>
      <c r="GZ19" s="261"/>
      <c r="HA19" s="261"/>
      <c r="HB19" s="261"/>
      <c r="HC19" s="261"/>
      <c r="HD19" s="261"/>
      <c r="HE19" s="261"/>
      <c r="HF19" s="261"/>
      <c r="HG19" s="261"/>
      <c r="HH19" s="261"/>
      <c r="HI19" s="261"/>
      <c r="HJ19" s="261"/>
      <c r="HK19" s="261"/>
      <c r="HL19" s="261"/>
      <c r="HM19" s="261"/>
      <c r="HN19" s="261"/>
      <c r="HO19" s="261"/>
      <c r="HP19" s="261"/>
      <c r="HQ19" s="261"/>
      <c r="HR19" s="261"/>
      <c r="HS19" s="261"/>
      <c r="HT19" s="261"/>
      <c r="HU19" s="261"/>
      <c r="HV19" s="261"/>
      <c r="HW19" s="261"/>
      <c r="HX19" s="261"/>
      <c r="HY19" s="261"/>
      <c r="HZ19" s="261"/>
      <c r="IA19" s="261"/>
      <c r="IB19" s="261"/>
      <c r="IC19" s="261"/>
      <c r="ID19" s="261"/>
      <c r="IE19" s="261"/>
      <c r="IF19" s="261"/>
      <c r="IG19" s="261"/>
      <c r="IH19" s="261"/>
      <c r="II19" s="261"/>
      <c r="IJ19" s="261"/>
      <c r="IK19" s="261"/>
      <c r="IL19" s="261"/>
      <c r="IM19" s="261"/>
      <c r="IN19" s="261"/>
      <c r="IO19" s="261"/>
      <c r="IP19" s="261"/>
      <c r="IQ19" s="261"/>
      <c r="IR19" s="261"/>
      <c r="IS19" s="261"/>
      <c r="IT19" s="261"/>
      <c r="IU19" s="261"/>
      <c r="IV19" s="261"/>
      <c r="IW19" s="261"/>
      <c r="IX19" s="261"/>
      <c r="IY19" s="261"/>
      <c r="IZ19" s="261"/>
      <c r="JA19" s="261"/>
      <c r="JB19" s="261"/>
      <c r="JC19" s="261"/>
      <c r="JD19" s="261"/>
      <c r="JE19" s="261"/>
      <c r="JF19" s="261"/>
      <c r="JG19" s="261"/>
      <c r="JH19" s="261"/>
      <c r="JI19" s="261"/>
      <c r="JJ19" s="261"/>
      <c r="JK19" s="261"/>
      <c r="JL19" s="261"/>
      <c r="JM19" s="261"/>
      <c r="JN19" s="261"/>
      <c r="JO19" s="261"/>
      <c r="JP19" s="261"/>
      <c r="JQ19" s="261"/>
      <c r="JR19" s="261"/>
      <c r="JS19" s="261"/>
      <c r="JT19" s="261"/>
    </row>
    <row r="20" spans="1:280" s="264" customFormat="1" ht="11.25" customHeight="1">
      <c r="A20" s="528" t="s">
        <v>747</v>
      </c>
      <c r="D20" s="1128">
        <v>0</v>
      </c>
      <c r="E20" s="455">
        <f t="shared" si="88"/>
        <v>0</v>
      </c>
      <c r="F20" s="455">
        <f t="shared" si="89"/>
        <v>0</v>
      </c>
      <c r="G20" s="455">
        <f t="shared" si="90"/>
        <v>0</v>
      </c>
      <c r="H20" s="327">
        <f t="shared" si="91"/>
        <v>0</v>
      </c>
      <c r="I20" s="1128">
        <v>0</v>
      </c>
      <c r="J20" s="455">
        <f t="shared" si="92"/>
        <v>0</v>
      </c>
      <c r="K20" s="455">
        <f t="shared" si="93"/>
        <v>0</v>
      </c>
      <c r="L20" s="455">
        <f t="shared" si="94"/>
        <v>0</v>
      </c>
      <c r="M20" s="327">
        <f t="shared" si="95"/>
        <v>0</v>
      </c>
      <c r="N20" s="1128">
        <v>0</v>
      </c>
      <c r="O20" s="455">
        <f t="shared" si="96"/>
        <v>0</v>
      </c>
      <c r="P20" s="455">
        <f t="shared" si="97"/>
        <v>0</v>
      </c>
      <c r="Q20" s="455">
        <f t="shared" si="98"/>
        <v>0</v>
      </c>
      <c r="R20" s="327">
        <f t="shared" si="99"/>
        <v>0</v>
      </c>
      <c r="S20" s="1128">
        <v>0</v>
      </c>
      <c r="T20" s="455">
        <f t="shared" si="100"/>
        <v>0</v>
      </c>
      <c r="U20" s="455">
        <f t="shared" si="101"/>
        <v>0</v>
      </c>
      <c r="V20" s="455">
        <f t="shared" si="102"/>
        <v>0</v>
      </c>
      <c r="W20" s="327">
        <f t="shared" si="103"/>
        <v>0</v>
      </c>
      <c r="X20" s="1128">
        <v>0</v>
      </c>
      <c r="Y20" s="455">
        <f t="shared" si="104"/>
        <v>0</v>
      </c>
      <c r="Z20" s="455">
        <f t="shared" si="105"/>
        <v>0</v>
      </c>
      <c r="AA20" s="455">
        <f t="shared" si="106"/>
        <v>0</v>
      </c>
      <c r="AB20" s="327">
        <f t="shared" si="107"/>
        <v>0</v>
      </c>
      <c r="AC20" s="1128">
        <v>0</v>
      </c>
      <c r="AD20" s="455">
        <f t="shared" si="108"/>
        <v>0</v>
      </c>
      <c r="AE20" s="455">
        <f t="shared" si="109"/>
        <v>0</v>
      </c>
      <c r="AF20" s="455">
        <f>360-SUM(AC20:AE20)</f>
        <v>360</v>
      </c>
      <c r="AG20" s="327">
        <f t="shared" si="110"/>
        <v>360</v>
      </c>
      <c r="AH20" s="1128">
        <v>96</v>
      </c>
      <c r="AI20" s="455">
        <f>194-AH20</f>
        <v>98</v>
      </c>
      <c r="AJ20" s="455">
        <f>237-SUM(AH20:AI20)</f>
        <v>43</v>
      </c>
      <c r="AK20" s="455">
        <f>419-SUM(AH20:AJ20)</f>
        <v>182</v>
      </c>
      <c r="AL20" s="327">
        <f t="shared" si="111"/>
        <v>419</v>
      </c>
      <c r="AM20" s="1128">
        <v>410</v>
      </c>
      <c r="AN20" s="455">
        <f>892-AM20</f>
        <v>482</v>
      </c>
      <c r="AO20" s="455">
        <f>959-SUM(AM20:AN20)</f>
        <v>67</v>
      </c>
      <c r="AP20" s="455">
        <f>1090-SUM(AM20:AO20)</f>
        <v>131</v>
      </c>
      <c r="AQ20" s="327">
        <f t="shared" si="112"/>
        <v>1090</v>
      </c>
      <c r="AR20" s="1128">
        <v>136</v>
      </c>
      <c r="AS20" s="455">
        <f>256-AR20</f>
        <v>120</v>
      </c>
      <c r="AT20" s="455">
        <f>377-SUM(AR20:AS20)</f>
        <v>121</v>
      </c>
      <c r="AU20" s="455">
        <f>321-SUM(AR20:AT20)</f>
        <v>-56</v>
      </c>
      <c r="AV20" s="327">
        <f t="shared" si="113"/>
        <v>321</v>
      </c>
      <c r="AW20" s="1128">
        <v>53</v>
      </c>
      <c r="AX20" s="455">
        <f>297-AW20</f>
        <v>244</v>
      </c>
      <c r="AY20" s="455">
        <f>266-SUM(AW20:AX20)</f>
        <v>-31</v>
      </c>
      <c r="AZ20" s="455">
        <f>208-SUM(AW20:AY20)</f>
        <v>-58</v>
      </c>
      <c r="BA20" s="327">
        <f t="shared" si="114"/>
        <v>208</v>
      </c>
      <c r="BB20" s="1135">
        <v>360</v>
      </c>
      <c r="BC20" s="455">
        <f>719-BB20</f>
        <v>359</v>
      </c>
      <c r="BD20" s="455">
        <f>471-SUM(BB20:BC20)</f>
        <v>-248</v>
      </c>
      <c r="BE20" s="455">
        <f>1050-SUM(BB20:BD20)</f>
        <v>579</v>
      </c>
      <c r="BF20" s="327">
        <f t="shared" si="115"/>
        <v>1050</v>
      </c>
      <c r="BG20" s="1135">
        <v>82</v>
      </c>
      <c r="BH20" s="455">
        <f>488-BG20</f>
        <v>406</v>
      </c>
      <c r="BI20" s="455">
        <f>-1272-SUM(BG20:BH20)</f>
        <v>-1760</v>
      </c>
      <c r="BJ20" s="455">
        <f>-992-SUM(BG20:BI20)</f>
        <v>280</v>
      </c>
      <c r="BK20" s="327">
        <f t="shared" si="116"/>
        <v>-992</v>
      </c>
      <c r="BL20" s="1128">
        <v>-127</v>
      </c>
      <c r="BM20" s="455">
        <f>155-BL20</f>
        <v>282</v>
      </c>
      <c r="BN20" s="455">
        <f>142-SUM(BL20:BM20)</f>
        <v>-13</v>
      </c>
      <c r="BO20" s="455">
        <f>774-SUM(BL20:BN20)</f>
        <v>632</v>
      </c>
      <c r="BP20" s="327">
        <f t="shared" si="117"/>
        <v>774</v>
      </c>
      <c r="BQ20" s="1128">
        <v>434</v>
      </c>
      <c r="BR20" s="455">
        <f>1602-BQ20</f>
        <v>1168</v>
      </c>
      <c r="BS20" s="455">
        <f>1731-SUM(BQ20:BR20)</f>
        <v>129</v>
      </c>
      <c r="BT20" s="455">
        <f>1449-SUM(BQ20:BS20)</f>
        <v>-282</v>
      </c>
      <c r="BU20" s="327">
        <f t="shared" si="118"/>
        <v>1449</v>
      </c>
      <c r="BV20" s="1127">
        <v>797</v>
      </c>
      <c r="BW20" s="1127">
        <v>-375</v>
      </c>
      <c r="BX20" s="242">
        <f>38-SUM(BV20:BW20)</f>
        <v>-384</v>
      </c>
      <c r="BY20" s="455">
        <f>35-SUM(BV20:BX20)</f>
        <v>-3</v>
      </c>
      <c r="BZ20" s="327">
        <f t="shared" si="119"/>
        <v>35</v>
      </c>
      <c r="CA20" s="1127">
        <v>-276</v>
      </c>
      <c r="CB20" s="1127">
        <v>1256</v>
      </c>
      <c r="CC20" s="1127">
        <v>1951</v>
      </c>
      <c r="CD20" s="1127">
        <v>-868</v>
      </c>
      <c r="CE20" s="327">
        <f t="shared" si="120"/>
        <v>2063</v>
      </c>
      <c r="CF20" s="1127">
        <v>-345</v>
      </c>
      <c r="CG20" s="1127">
        <v>17</v>
      </c>
      <c r="CH20" s="1127">
        <v>993</v>
      </c>
      <c r="CI20" s="242">
        <f>396-SUM(CF20:CH20)</f>
        <v>-269</v>
      </c>
      <c r="CJ20" s="327">
        <f t="shared" si="121"/>
        <v>396</v>
      </c>
      <c r="CK20" s="1127">
        <v>-209</v>
      </c>
      <c r="CL20" s="1127">
        <v>-89</v>
      </c>
      <c r="CM20" s="1127">
        <v>229</v>
      </c>
      <c r="CN20" s="1127">
        <v>-76</v>
      </c>
      <c r="CO20" s="327">
        <f t="shared" si="122"/>
        <v>-145</v>
      </c>
      <c r="CP20" s="1127">
        <v>-842</v>
      </c>
      <c r="CQ20" s="1127">
        <v>-354</v>
      </c>
      <c r="CR20" s="1127">
        <v>772</v>
      </c>
      <c r="CS20" s="1127">
        <v>-128</v>
      </c>
      <c r="CT20" s="327">
        <f t="shared" si="123"/>
        <v>-552</v>
      </c>
      <c r="CU20" s="1127">
        <v>-1189</v>
      </c>
      <c r="CV20" s="1127">
        <v>325</v>
      </c>
      <c r="CW20" s="1127">
        <v>1389</v>
      </c>
      <c r="CX20" s="1127">
        <v>-1273</v>
      </c>
      <c r="CY20" s="327">
        <f t="shared" si="124"/>
        <v>-748</v>
      </c>
      <c r="CZ20" s="1127">
        <v>-4552</v>
      </c>
      <c r="DA20" s="1127">
        <v>614</v>
      </c>
      <c r="DB20" s="1127">
        <v>114</v>
      </c>
      <c r="DC20" s="1127">
        <v>453</v>
      </c>
      <c r="DD20" s="327">
        <f t="shared" si="125"/>
        <v>-3371</v>
      </c>
      <c r="DE20" s="1127">
        <v>-1239</v>
      </c>
      <c r="DF20" s="1127">
        <v>285</v>
      </c>
      <c r="DG20" s="1127">
        <v>897</v>
      </c>
      <c r="DH20" s="1127">
        <v>1352</v>
      </c>
      <c r="DI20" s="327">
        <f t="shared" si="126"/>
        <v>1295</v>
      </c>
      <c r="DJ20" s="242">
        <f>-911+-400</f>
        <v>-1311</v>
      </c>
      <c r="DK20" s="242">
        <f>-500+216</f>
        <v>-284</v>
      </c>
      <c r="DL20" s="242">
        <f>-51+237</f>
        <v>186</v>
      </c>
      <c r="DM20" s="242">
        <f>293+28</f>
        <v>321</v>
      </c>
      <c r="DN20" s="327">
        <f t="shared" si="127"/>
        <v>-1088</v>
      </c>
      <c r="DO20" s="1127">
        <f>-442-993</f>
        <v>-1435</v>
      </c>
      <c r="DP20" s="1127">
        <f>176+394</f>
        <v>570</v>
      </c>
      <c r="DQ20" s="1127">
        <f>-114+492</f>
        <v>378</v>
      </c>
      <c r="DR20" s="1127">
        <f>517+349</f>
        <v>866</v>
      </c>
      <c r="DS20" s="327">
        <f t="shared" si="128"/>
        <v>379</v>
      </c>
      <c r="DT20" s="1127">
        <f>-567-1287</f>
        <v>-1854</v>
      </c>
      <c r="DU20" s="1127">
        <f>168+685</f>
        <v>853</v>
      </c>
      <c r="DV20" s="1127">
        <f>1238-67</f>
        <v>1171</v>
      </c>
      <c r="DW20" s="1127">
        <f>486+27</f>
        <v>513</v>
      </c>
      <c r="DX20" s="327">
        <f t="shared" si="129"/>
        <v>683</v>
      </c>
      <c r="DY20" s="1127">
        <f>-276-1255</f>
        <v>-1531</v>
      </c>
      <c r="DZ20" s="1127">
        <f>602+388</f>
        <v>990</v>
      </c>
      <c r="EA20" s="1127">
        <f>-716+870</f>
        <v>154</v>
      </c>
      <c r="EB20" s="1127">
        <f>1072+863</f>
        <v>1935</v>
      </c>
      <c r="EC20" s="327">
        <f t="shared" si="130"/>
        <v>1548</v>
      </c>
      <c r="ED20" s="1127">
        <f>-1166-659</f>
        <v>-1825</v>
      </c>
      <c r="EE20" s="1127">
        <f>137-986</f>
        <v>-849</v>
      </c>
      <c r="EF20" s="1127">
        <f>-390+200</f>
        <v>-190</v>
      </c>
      <c r="EG20" s="1127">
        <f>1328-142</f>
        <v>1186</v>
      </c>
      <c r="EH20" s="327">
        <f t="shared" si="131"/>
        <v>-1678</v>
      </c>
      <c r="EI20" s="2769">
        <f>-2024-135</f>
        <v>-2159</v>
      </c>
      <c r="EJ20" s="2769">
        <f>369+105</f>
        <v>474</v>
      </c>
      <c r="EK20" s="2769">
        <f>626-129</f>
        <v>497</v>
      </c>
      <c r="EL20" s="2769">
        <f>+-17+1033</f>
        <v>1016</v>
      </c>
      <c r="EM20" s="2770">
        <f t="shared" si="132"/>
        <v>-172</v>
      </c>
      <c r="EN20" s="2769">
        <f>-361-443</f>
        <v>-804</v>
      </c>
      <c r="EO20" s="2769">
        <f>99+-1529</f>
        <v>-1430</v>
      </c>
      <c r="EP20" s="2769">
        <f>-425+742</f>
        <v>317</v>
      </c>
      <c r="EQ20" s="2769">
        <f>1534+850</f>
        <v>2384</v>
      </c>
      <c r="ER20" s="2770">
        <f t="shared" si="133"/>
        <v>467</v>
      </c>
      <c r="ES20" s="2769">
        <f>-1962-407</f>
        <v>-2369</v>
      </c>
      <c r="ET20" s="2769">
        <f>643+938</f>
        <v>1581</v>
      </c>
      <c r="EU20" s="2769">
        <f>-393+546</f>
        <v>153</v>
      </c>
      <c r="EV20" s="242">
        <f>+BS!EV23-BS!EU23+BS!EV25-BS!EU25+BS!EV26-BS!EU26+BS!EV30-BS!EU30+BS!EV29-BS!EU29</f>
        <v>2682.8062293394014</v>
      </c>
      <c r="EW20" s="327">
        <f t="shared" si="134"/>
        <v>2047.8062293394014</v>
      </c>
      <c r="EX20" s="242">
        <f>+BS!EX23-BS!EW23+BS!EX25-BS!EW25+BS!EX26-BS!EW26+BS!EX30-BS!EW30+BS!EX29-BS!EW29</f>
        <v>-2270.2070698544558</v>
      </c>
      <c r="EY20" s="242">
        <f>+BS!EY23-BS!EX23+BS!EY25-BS!EX25+BS!EY26-BS!EX26+BS!EY30-BS!EX30+BS!EY29-BS!EX29</f>
        <v>1232.3790320836033</v>
      </c>
      <c r="EZ20" s="242">
        <f>+BS!EZ23-BS!EY23+BS!EZ25-BS!EY25+BS!EZ26-BS!EY26+BS!EZ30-BS!EY30+BS!EZ29-BS!EY29</f>
        <v>341.92309683319945</v>
      </c>
      <c r="FA20" s="242">
        <f>+BS!FA23-BS!EZ23+BS!FA25-BS!EZ25+BS!FA26-BS!EZ26+BS!FA30-BS!EZ30+BS!FA29-BS!EZ29</f>
        <v>3067.6341801742874</v>
      </c>
      <c r="FB20" s="327">
        <f t="shared" si="135"/>
        <v>2371.7292392366344</v>
      </c>
      <c r="FC20" s="242">
        <f>+BS!FC23-BS!FB23+BS!FC25-BS!FB25+BS!FC26-BS!FB26+BS!FC30-BS!FB30+BS!FC29-BS!FB29</f>
        <v>-2372.4393743714281</v>
      </c>
      <c r="FD20" s="242">
        <f>+BS!FD23-BS!FC23+BS!FD25-BS!FC25+BS!FD26-BS!FC26+BS!FD30-BS!FC30+BS!FD29-BS!FC29</f>
        <v>883.11352928541783</v>
      </c>
      <c r="FE20" s="242">
        <f>+BS!FE23-BS!FD23+BS!FE25-BS!FD25+BS!FE26-BS!FD26+BS!FE30-BS!FD30+BS!FE29-BS!FD29</f>
        <v>964.4017465363595</v>
      </c>
      <c r="FF20" s="242">
        <f>+BS!FF23-BS!FE23+BS!FF25-BS!FE25+BS!FF26-BS!FE26+BS!FF30-BS!FE30+BS!FF29-BS!FE29</f>
        <v>3451.8142896196732</v>
      </c>
      <c r="FG20" s="327">
        <f t="shared" si="136"/>
        <v>2926.8901910700224</v>
      </c>
      <c r="FH20" s="242">
        <f>+BS!FH23-BS!FG23+BS!FH25-BS!FG25+BS!FH26-BS!FG26+BS!FH30-BS!FG30+BS!FH29-BS!FG29</f>
        <v>-2797.6610453084004</v>
      </c>
      <c r="FI20" s="242">
        <f>+BS!FI23-BS!FH23+BS!FI25-BS!FH25+BS!FI26-BS!FH26+BS!FI30-BS!FH30+BS!FI29-BS!FH29</f>
        <v>341.07049031238785</v>
      </c>
      <c r="FJ20" s="242">
        <f>+BS!FJ23-BS!FI23+BS!FJ25-BS!FI25+BS!FJ26-BS!FI26+BS!FJ30-BS!FI30+BS!FJ29-BS!FI29</f>
        <v>1551.7418619804266</v>
      </c>
      <c r="FK20" s="242">
        <f>+BS!FK23-BS!FJ23+BS!FK25-BS!FJ25+BS!FK26-BS!FJ26+BS!FK30-BS!FJ30+BS!FK29-BS!FJ29</f>
        <v>3777.6459124016819</v>
      </c>
      <c r="FL20" s="327">
        <f t="shared" si="137"/>
        <v>2872.797219386096</v>
      </c>
      <c r="FM20" s="455"/>
      <c r="FN20" s="486"/>
      <c r="FO20" s="327">
        <f t="shared" si="138"/>
        <v>819</v>
      </c>
      <c r="FP20" s="327">
        <f t="shared" si="139"/>
        <v>-1325</v>
      </c>
      <c r="FQ20" s="327">
        <f t="shared" si="140"/>
        <v>2221</v>
      </c>
      <c r="FR20" s="327">
        <f t="shared" si="141"/>
        <v>269</v>
      </c>
      <c r="FS20" s="327">
        <f t="shared" si="142"/>
        <v>593</v>
      </c>
      <c r="FT20" s="327">
        <f t="shared" si="143"/>
        <v>755</v>
      </c>
      <c r="FU20" s="327">
        <f t="shared" si="144"/>
        <v>426</v>
      </c>
      <c r="FV20" s="327">
        <f t="shared" si="145"/>
        <v>-1043</v>
      </c>
      <c r="FW20" s="327">
        <f t="shared" si="146"/>
        <v>-220</v>
      </c>
      <c r="FX20" s="327">
        <f t="shared" si="147"/>
        <v>-3822</v>
      </c>
      <c r="FY20" s="327">
        <f t="shared" si="148"/>
        <v>-387</v>
      </c>
      <c r="FZ20" s="327">
        <f t="shared" si="149"/>
        <v>654</v>
      </c>
      <c r="GA20" s="327">
        <f t="shared" si="150"/>
        <v>-358</v>
      </c>
      <c r="GB20" s="372">
        <f t="shared" si="151"/>
        <v>243</v>
      </c>
      <c r="GC20" s="372">
        <f t="shared" si="152"/>
        <v>1143</v>
      </c>
      <c r="GD20" s="372">
        <f t="shared" si="153"/>
        <v>-585</v>
      </c>
      <c r="GE20" s="372">
        <f t="shared" si="154"/>
        <v>-689</v>
      </c>
      <c r="GF20" s="372">
        <f t="shared" si="155"/>
        <v>-721</v>
      </c>
      <c r="GG20" s="372">
        <f t="shared" si="156"/>
        <v>1913</v>
      </c>
      <c r="GH20" s="372">
        <f t="shared" si="157"/>
        <v>1797.9781915685489</v>
      </c>
      <c r="GI20" s="372">
        <f t="shared" si="158"/>
        <v>1920.2314319214765</v>
      </c>
      <c r="GJ20" s="371"/>
      <c r="GK20" s="371"/>
      <c r="GL20" s="371"/>
      <c r="GM20" s="371"/>
      <c r="GO20"/>
      <c r="GP20"/>
      <c r="GQ20"/>
      <c r="GR20"/>
      <c r="GS20"/>
      <c r="GT20"/>
      <c r="GU20" s="261"/>
      <c r="GV20" s="261"/>
      <c r="GW20" s="261"/>
      <c r="GX20" s="261"/>
      <c r="GY20" s="261"/>
      <c r="GZ20" s="261"/>
      <c r="HA20" s="261"/>
      <c r="HB20" s="261"/>
      <c r="HC20" s="261"/>
      <c r="HD20" s="261"/>
      <c r="HE20" s="261"/>
      <c r="HF20" s="261"/>
      <c r="HG20" s="261"/>
      <c r="HH20" s="261"/>
      <c r="HI20" s="261"/>
      <c r="HJ20" s="261"/>
      <c r="HK20" s="261"/>
      <c r="HL20" s="261"/>
      <c r="HM20" s="261"/>
      <c r="HN20" s="261"/>
      <c r="HO20" s="261"/>
      <c r="HP20" s="261"/>
      <c r="HQ20" s="261"/>
      <c r="HR20" s="261"/>
      <c r="HS20" s="261"/>
      <c r="HT20" s="261"/>
      <c r="HU20" s="261"/>
      <c r="HV20" s="261"/>
      <c r="HW20" s="261"/>
      <c r="HX20" s="261"/>
      <c r="HY20" s="261"/>
      <c r="HZ20" s="261"/>
      <c r="IA20" s="261"/>
      <c r="IB20" s="261"/>
      <c r="IC20" s="261"/>
      <c r="ID20" s="261"/>
      <c r="IE20" s="261"/>
      <c r="IF20" s="261"/>
      <c r="IG20" s="261"/>
      <c r="IH20" s="261"/>
      <c r="II20" s="261"/>
      <c r="IJ20" s="261"/>
      <c r="IK20" s="261"/>
      <c r="IL20" s="261"/>
      <c r="IM20" s="261"/>
      <c r="IN20" s="261"/>
      <c r="IO20" s="261"/>
      <c r="IP20" s="261"/>
      <c r="IQ20" s="261"/>
      <c r="IR20" s="261"/>
      <c r="IS20" s="261"/>
      <c r="IT20" s="261"/>
      <c r="IU20" s="261"/>
      <c r="IV20" s="261"/>
      <c r="IW20" s="261"/>
      <c r="IX20" s="261"/>
      <c r="IY20" s="261"/>
      <c r="IZ20" s="261"/>
      <c r="JA20" s="261"/>
      <c r="JB20" s="261"/>
      <c r="JC20" s="261"/>
      <c r="JD20" s="261"/>
      <c r="JE20" s="261"/>
      <c r="JF20" s="261"/>
      <c r="JG20" s="261"/>
      <c r="JH20" s="261"/>
      <c r="JI20" s="261"/>
      <c r="JJ20" s="261"/>
      <c r="JK20" s="261"/>
      <c r="JL20" s="261"/>
      <c r="JM20" s="261"/>
      <c r="JN20" s="261"/>
      <c r="JO20" s="261"/>
      <c r="JP20" s="261"/>
      <c r="JQ20" s="261"/>
      <c r="JR20" s="261"/>
      <c r="JS20" s="261"/>
      <c r="JT20" s="261"/>
    </row>
    <row r="21" spans="1:280" s="264" customFormat="1" ht="11.25" customHeight="1">
      <c r="A21" s="528" t="s">
        <v>748</v>
      </c>
      <c r="D21" s="1128">
        <v>0</v>
      </c>
      <c r="E21" s="455">
        <f t="shared" si="88"/>
        <v>0</v>
      </c>
      <c r="F21" s="455">
        <f t="shared" si="89"/>
        <v>0</v>
      </c>
      <c r="G21" s="455">
        <f t="shared" si="90"/>
        <v>0</v>
      </c>
      <c r="H21" s="327">
        <f t="shared" si="91"/>
        <v>0</v>
      </c>
      <c r="I21" s="1128">
        <v>0</v>
      </c>
      <c r="J21" s="455">
        <f t="shared" si="92"/>
        <v>0</v>
      </c>
      <c r="K21" s="455">
        <f t="shared" si="93"/>
        <v>0</v>
      </c>
      <c r="L21" s="455">
        <f t="shared" si="94"/>
        <v>0</v>
      </c>
      <c r="M21" s="327">
        <f t="shared" si="95"/>
        <v>0</v>
      </c>
      <c r="N21" s="1128">
        <v>0</v>
      </c>
      <c r="O21" s="455">
        <f t="shared" si="96"/>
        <v>0</v>
      </c>
      <c r="P21" s="455">
        <f t="shared" si="97"/>
        <v>0</v>
      </c>
      <c r="Q21" s="455">
        <f t="shared" si="98"/>
        <v>0</v>
      </c>
      <c r="R21" s="327">
        <f t="shared" si="99"/>
        <v>0</v>
      </c>
      <c r="S21" s="1128">
        <v>0</v>
      </c>
      <c r="T21" s="455">
        <f t="shared" si="100"/>
        <v>0</v>
      </c>
      <c r="U21" s="455">
        <f t="shared" si="101"/>
        <v>0</v>
      </c>
      <c r="V21" s="455">
        <f t="shared" si="102"/>
        <v>0</v>
      </c>
      <c r="W21" s="327">
        <f t="shared" si="103"/>
        <v>0</v>
      </c>
      <c r="X21" s="1128">
        <v>0</v>
      </c>
      <c r="Y21" s="455">
        <f t="shared" si="104"/>
        <v>0</v>
      </c>
      <c r="Z21" s="455">
        <f t="shared" si="105"/>
        <v>0</v>
      </c>
      <c r="AA21" s="455">
        <f t="shared" si="106"/>
        <v>0</v>
      </c>
      <c r="AB21" s="327">
        <f t="shared" si="107"/>
        <v>0</v>
      </c>
      <c r="AC21" s="1128">
        <v>0</v>
      </c>
      <c r="AD21" s="455">
        <f t="shared" si="108"/>
        <v>0</v>
      </c>
      <c r="AE21" s="455">
        <f t="shared" si="109"/>
        <v>0</v>
      </c>
      <c r="AF21" s="455">
        <f>0-SUM(AC21:AE21)</f>
        <v>0</v>
      </c>
      <c r="AG21" s="327">
        <f t="shared" si="110"/>
        <v>0</v>
      </c>
      <c r="AH21" s="1128">
        <v>0</v>
      </c>
      <c r="AI21" s="455">
        <f>0-AH21</f>
        <v>0</v>
      </c>
      <c r="AJ21" s="455">
        <f>0-SUM(AH21:AI21)</f>
        <v>0</v>
      </c>
      <c r="AK21" s="455">
        <f>0-SUM(AH21:AJ21)</f>
        <v>0</v>
      </c>
      <c r="AL21" s="327">
        <f t="shared" si="111"/>
        <v>0</v>
      </c>
      <c r="AM21" s="1128">
        <v>0</v>
      </c>
      <c r="AN21" s="455">
        <f>0-AM21</f>
        <v>0</v>
      </c>
      <c r="AO21" s="455">
        <f>0-SUM(AM21:AN21)</f>
        <v>0</v>
      </c>
      <c r="AP21" s="455">
        <f>0-SUM(AM21:AO21)</f>
        <v>0</v>
      </c>
      <c r="AQ21" s="327">
        <f t="shared" si="112"/>
        <v>0</v>
      </c>
      <c r="AR21" s="1128">
        <v>0</v>
      </c>
      <c r="AS21" s="455">
        <f>0-AR21</f>
        <v>0</v>
      </c>
      <c r="AT21" s="455">
        <f>0-SUM(AR21:AS21)</f>
        <v>0</v>
      </c>
      <c r="AU21" s="455">
        <f>0-SUM(AR21:AT21)</f>
        <v>0</v>
      </c>
      <c r="AV21" s="327">
        <f t="shared" si="113"/>
        <v>0</v>
      </c>
      <c r="AW21" s="1128">
        <v>0</v>
      </c>
      <c r="AX21" s="455">
        <f>0-AW21</f>
        <v>0</v>
      </c>
      <c r="AY21" s="455">
        <f>0-SUM(AW21:AX21)</f>
        <v>0</v>
      </c>
      <c r="AZ21" s="455">
        <f>0-SUM(AW21:AY21)</f>
        <v>0</v>
      </c>
      <c r="BA21" s="327">
        <f t="shared" si="114"/>
        <v>0</v>
      </c>
      <c r="BB21" s="1135">
        <v>0</v>
      </c>
      <c r="BC21" s="455">
        <f>0-BB21</f>
        <v>0</v>
      </c>
      <c r="BD21" s="455">
        <f>0-SUM(BB21:BC21)</f>
        <v>0</v>
      </c>
      <c r="BE21" s="455">
        <f>0-SUM(BB21:BD21)</f>
        <v>0</v>
      </c>
      <c r="BF21" s="327">
        <f t="shared" si="115"/>
        <v>0</v>
      </c>
      <c r="BG21" s="1135">
        <v>0</v>
      </c>
      <c r="BH21" s="455">
        <f>0-BG21</f>
        <v>0</v>
      </c>
      <c r="BI21" s="455">
        <f>0-SUM(BG21:BH21)</f>
        <v>0</v>
      </c>
      <c r="BJ21" s="455">
        <f>375-SUM(BG21:BI21)</f>
        <v>375</v>
      </c>
      <c r="BK21" s="327">
        <f t="shared" si="116"/>
        <v>375</v>
      </c>
      <c r="BL21" s="1128">
        <v>0</v>
      </c>
      <c r="BM21" s="455">
        <f>49-BL21</f>
        <v>49</v>
      </c>
      <c r="BN21" s="455">
        <f>-35-SUM(BL21:BM21)</f>
        <v>-84</v>
      </c>
      <c r="BO21" s="455">
        <f>153-SUM(BL21:BN21)</f>
        <v>188</v>
      </c>
      <c r="BP21" s="327">
        <f t="shared" si="117"/>
        <v>153</v>
      </c>
      <c r="BQ21" s="1128">
        <v>-45</v>
      </c>
      <c r="BR21" s="455">
        <f>222-BQ21</f>
        <v>267</v>
      </c>
      <c r="BS21" s="455">
        <f>279-SUM(BQ21:BR21)</f>
        <v>57</v>
      </c>
      <c r="BT21" s="455">
        <f>216-SUM(BQ21:BS21)</f>
        <v>-63</v>
      </c>
      <c r="BU21" s="327">
        <f t="shared" si="118"/>
        <v>216</v>
      </c>
      <c r="BV21" s="1127">
        <v>20</v>
      </c>
      <c r="BW21" s="1127">
        <v>390</v>
      </c>
      <c r="BX21" s="242">
        <f>421-SUM(BV21:BW21)</f>
        <v>11</v>
      </c>
      <c r="BY21" s="455">
        <f>440-SUM(BV21:BX21)</f>
        <v>19</v>
      </c>
      <c r="BZ21" s="327">
        <f t="shared" si="119"/>
        <v>440</v>
      </c>
      <c r="CA21" s="1127">
        <v>-52</v>
      </c>
      <c r="CB21" s="1127">
        <v>129</v>
      </c>
      <c r="CC21" s="1127">
        <v>602</v>
      </c>
      <c r="CD21" s="1127">
        <v>-604</v>
      </c>
      <c r="CE21" s="327">
        <f t="shared" si="120"/>
        <v>75</v>
      </c>
      <c r="CF21" s="1127">
        <v>96</v>
      </c>
      <c r="CG21" s="1127">
        <v>69</v>
      </c>
      <c r="CH21" s="1127">
        <v>144</v>
      </c>
      <c r="CI21" s="242">
        <f>1245-SUM(CF21:CH21)</f>
        <v>936</v>
      </c>
      <c r="CJ21" s="327">
        <f t="shared" si="121"/>
        <v>1245</v>
      </c>
      <c r="CK21" s="1127">
        <v>305</v>
      </c>
      <c r="CL21" s="1127">
        <v>168</v>
      </c>
      <c r="CM21" s="1127">
        <v>270</v>
      </c>
      <c r="CN21" s="1127">
        <v>530</v>
      </c>
      <c r="CO21" s="327">
        <f t="shared" si="122"/>
        <v>1273</v>
      </c>
      <c r="CP21" s="1127">
        <v>347</v>
      </c>
      <c r="CQ21" s="1127">
        <v>244</v>
      </c>
      <c r="CR21" s="1127">
        <v>54</v>
      </c>
      <c r="CS21" s="1127">
        <v>913</v>
      </c>
      <c r="CT21" s="327">
        <f t="shared" si="123"/>
        <v>1558</v>
      </c>
      <c r="CU21" s="1127">
        <v>493</v>
      </c>
      <c r="CV21" s="1127">
        <v>107</v>
      </c>
      <c r="CW21" s="1127">
        <v>-1162</v>
      </c>
      <c r="CX21" s="1127">
        <v>389</v>
      </c>
      <c r="CY21" s="327">
        <f t="shared" si="124"/>
        <v>-173</v>
      </c>
      <c r="CZ21" s="1127">
        <v>700</v>
      </c>
      <c r="DA21" s="1127">
        <v>668</v>
      </c>
      <c r="DB21" s="1127">
        <v>662</v>
      </c>
      <c r="DC21" s="1127">
        <v>-357</v>
      </c>
      <c r="DD21" s="327">
        <f t="shared" si="125"/>
        <v>1673</v>
      </c>
      <c r="DE21" s="1127">
        <v>346</v>
      </c>
      <c r="DF21" s="1127">
        <v>304</v>
      </c>
      <c r="DG21" s="1127">
        <v>364</v>
      </c>
      <c r="DH21" s="1127">
        <v>393</v>
      </c>
      <c r="DI21" s="327">
        <f t="shared" si="126"/>
        <v>1407</v>
      </c>
      <c r="DJ21" s="1127">
        <v>560</v>
      </c>
      <c r="DK21" s="1127">
        <v>283</v>
      </c>
      <c r="DL21" s="1127">
        <v>354</v>
      </c>
      <c r="DM21" s="1127">
        <v>97</v>
      </c>
      <c r="DN21" s="327">
        <f t="shared" si="127"/>
        <v>1294</v>
      </c>
      <c r="DO21" s="1127">
        <v>120</v>
      </c>
      <c r="DP21" s="1127">
        <v>156</v>
      </c>
      <c r="DQ21" s="1127">
        <v>166</v>
      </c>
      <c r="DR21" s="1127">
        <v>-268</v>
      </c>
      <c r="DS21" s="327">
        <f t="shared" si="128"/>
        <v>174</v>
      </c>
      <c r="DT21" s="1127">
        <v>183</v>
      </c>
      <c r="DU21" s="1127">
        <v>-18</v>
      </c>
      <c r="DV21" s="1127">
        <v>699</v>
      </c>
      <c r="DW21" s="1127">
        <f>295</f>
        <v>295</v>
      </c>
      <c r="DX21" s="327">
        <f t="shared" si="129"/>
        <v>1159</v>
      </c>
      <c r="DY21" s="1127">
        <v>-461</v>
      </c>
      <c r="DZ21" s="1127">
        <v>151</v>
      </c>
      <c r="EA21" s="1127">
        <v>200</v>
      </c>
      <c r="EB21" s="1127">
        <v>1124</v>
      </c>
      <c r="EC21" s="327">
        <f t="shared" si="130"/>
        <v>1014</v>
      </c>
      <c r="ED21" s="1127">
        <v>189</v>
      </c>
      <c r="EE21" s="1127">
        <v>651</v>
      </c>
      <c r="EF21" s="1127">
        <v>492</v>
      </c>
      <c r="EG21" s="1127">
        <v>267</v>
      </c>
      <c r="EH21" s="327">
        <f t="shared" si="131"/>
        <v>1599</v>
      </c>
      <c r="EI21" s="2769">
        <v>-116</v>
      </c>
      <c r="EJ21" s="2769">
        <v>370</v>
      </c>
      <c r="EK21" s="2769">
        <v>340</v>
      </c>
      <c r="EL21" s="2769">
        <v>-580</v>
      </c>
      <c r="EM21" s="2770">
        <f t="shared" si="132"/>
        <v>14</v>
      </c>
      <c r="EN21" s="2769">
        <v>449</v>
      </c>
      <c r="EO21" s="2769">
        <v>846</v>
      </c>
      <c r="EP21" s="2769">
        <v>1099</v>
      </c>
      <c r="EQ21" s="2769">
        <v>-861</v>
      </c>
      <c r="ER21" s="2770">
        <f t="shared" si="133"/>
        <v>1533</v>
      </c>
      <c r="ES21" s="2769">
        <v>813</v>
      </c>
      <c r="ET21" s="2769">
        <f>-153+15974</f>
        <v>15821</v>
      </c>
      <c r="EU21" s="2769">
        <f>645+145</f>
        <v>790</v>
      </c>
      <c r="EV21" s="242">
        <f>+BS!EV33-BS!EU33</f>
        <v>418.87471861173981</v>
      </c>
      <c r="EW21" s="327">
        <f t="shared" si="134"/>
        <v>17842.87471861174</v>
      </c>
      <c r="EX21" s="242">
        <f>+BS!EX33-BS!EV33</f>
        <v>766.52786717101117</v>
      </c>
      <c r="EY21" s="242">
        <f>+BS!EY33-BS!EX33</f>
        <v>-232.87623655164498</v>
      </c>
      <c r="EZ21" s="242">
        <f>+BS!EZ33-BS!EY33</f>
        <v>636.50439182393893</v>
      </c>
      <c r="FA21" s="242">
        <f>+BS!FA33-BS!EZ33</f>
        <v>475.09917046354531</v>
      </c>
      <c r="FB21" s="327">
        <f t="shared" si="135"/>
        <v>1645.2551929068504</v>
      </c>
      <c r="FC21" s="242">
        <f>+BS!FC33-BS!FA33</f>
        <v>1178.5561759016928</v>
      </c>
      <c r="FD21" s="242">
        <f>+BS!FD33-BS!FC33</f>
        <v>-789.88689450209495</v>
      </c>
      <c r="FE21" s="242">
        <f>+BS!FE33-BS!FD33</f>
        <v>1400.208421275056</v>
      </c>
      <c r="FF21" s="242">
        <f>+BS!FF33-BS!FE33</f>
        <v>509.97224542805634</v>
      </c>
      <c r="FG21" s="327">
        <f t="shared" si="136"/>
        <v>2298.8499481027102</v>
      </c>
      <c r="FH21" s="242">
        <f>+BS!FH33-BS!FF33</f>
        <v>1178.8511989864637</v>
      </c>
      <c r="FI21" s="242">
        <f>+BS!FI33-BS!FH33</f>
        <v>-1631.025407447145</v>
      </c>
      <c r="FJ21" s="242">
        <f>+BS!FJ33-BS!FI33</f>
        <v>2236.49339179448</v>
      </c>
      <c r="FK21" s="242">
        <f>+BS!FK33-BS!FJ33</f>
        <v>480.01125688858883</v>
      </c>
      <c r="FL21" s="327">
        <f t="shared" si="137"/>
        <v>2264.3304402223876</v>
      </c>
      <c r="FM21" s="455"/>
      <c r="FN21" s="486"/>
      <c r="FO21" s="327">
        <f t="shared" si="138"/>
        <v>0</v>
      </c>
      <c r="FP21" s="327">
        <f t="shared" si="139"/>
        <v>424</v>
      </c>
      <c r="FQ21" s="327">
        <f t="shared" si="140"/>
        <v>326</v>
      </c>
      <c r="FR21" s="327">
        <f t="shared" si="141"/>
        <v>404</v>
      </c>
      <c r="FS21" s="327">
        <f t="shared" si="142"/>
        <v>107</v>
      </c>
      <c r="FT21" s="327">
        <f t="shared" si="143"/>
        <v>163</v>
      </c>
      <c r="FU21" s="327">
        <f t="shared" si="144"/>
        <v>1553</v>
      </c>
      <c r="FV21" s="327">
        <f t="shared" si="145"/>
        <v>1391</v>
      </c>
      <c r="FW21" s="327">
        <f t="shared" si="146"/>
        <v>1567</v>
      </c>
      <c r="FX21" s="327">
        <f t="shared" si="147"/>
        <v>595</v>
      </c>
      <c r="FY21" s="327">
        <f t="shared" si="148"/>
        <v>955</v>
      </c>
      <c r="FZ21" s="327">
        <f t="shared" si="149"/>
        <v>1600</v>
      </c>
      <c r="GA21" s="327">
        <f t="shared" si="150"/>
        <v>727</v>
      </c>
      <c r="GB21" s="372">
        <f t="shared" si="151"/>
        <v>63</v>
      </c>
      <c r="GC21" s="372">
        <f t="shared" si="152"/>
        <v>684</v>
      </c>
      <c r="GD21" s="372">
        <f t="shared" si="153"/>
        <v>2164</v>
      </c>
      <c r="GE21" s="372">
        <f t="shared" si="154"/>
        <v>1013</v>
      </c>
      <c r="GF21" s="372">
        <f t="shared" si="155"/>
        <v>1055</v>
      </c>
      <c r="GG21" s="372">
        <f t="shared" si="156"/>
        <v>16872</v>
      </c>
      <c r="GH21" s="372">
        <f t="shared" si="157"/>
        <v>1742.526349231106</v>
      </c>
      <c r="GI21" s="372">
        <f t="shared" si="158"/>
        <v>1500.2728436870821</v>
      </c>
      <c r="GJ21" s="371"/>
      <c r="GK21" s="371"/>
      <c r="GL21" s="371"/>
      <c r="GM21" s="371"/>
      <c r="GO21"/>
      <c r="GP21"/>
      <c r="GQ21"/>
      <c r="GR21"/>
      <c r="GS21"/>
      <c r="GT21"/>
      <c r="GU21" s="261"/>
      <c r="GV21" s="261"/>
      <c r="GW21" s="261"/>
      <c r="GX21" s="261"/>
      <c r="GY21" s="261"/>
      <c r="GZ21" s="261"/>
      <c r="HA21" s="261"/>
      <c r="HB21" s="261"/>
      <c r="HC21" s="261"/>
      <c r="HD21" s="261"/>
      <c r="HE21" s="261"/>
      <c r="HF21" s="261"/>
      <c r="HG21" s="261"/>
      <c r="HH21" s="261"/>
      <c r="HI21" s="261"/>
      <c r="HJ21" s="261"/>
      <c r="HK21" s="261"/>
      <c r="HL21" s="261"/>
      <c r="HM21" s="261"/>
      <c r="HN21" s="261"/>
      <c r="HO21" s="261"/>
      <c r="HP21" s="261"/>
      <c r="HQ21" s="261"/>
      <c r="HR21" s="261"/>
      <c r="HS21" s="261"/>
      <c r="HT21" s="261"/>
      <c r="HU21" s="261"/>
      <c r="HV21" s="261"/>
      <c r="HW21" s="261"/>
      <c r="HX21" s="261"/>
      <c r="HY21" s="261"/>
      <c r="HZ21" s="261"/>
      <c r="IA21" s="261"/>
      <c r="IB21" s="261"/>
      <c r="IC21" s="261"/>
      <c r="ID21" s="261"/>
      <c r="IE21" s="261"/>
      <c r="IF21" s="261"/>
      <c r="IG21" s="261"/>
      <c r="IH21" s="261"/>
      <c r="II21" s="261"/>
      <c r="IJ21" s="261"/>
      <c r="IK21" s="261"/>
      <c r="IL21" s="261"/>
      <c r="IM21" s="261"/>
      <c r="IN21" s="261"/>
      <c r="IO21" s="261"/>
      <c r="IP21" s="261"/>
      <c r="IQ21" s="261"/>
      <c r="IR21" s="261"/>
      <c r="IS21" s="261"/>
      <c r="IT21" s="261"/>
      <c r="IU21" s="261"/>
      <c r="IV21" s="261"/>
      <c r="IW21" s="261"/>
      <c r="IX21" s="261"/>
      <c r="IY21" s="261"/>
      <c r="IZ21" s="261"/>
      <c r="JA21" s="261"/>
      <c r="JB21" s="261"/>
      <c r="JC21" s="261"/>
      <c r="JD21" s="261"/>
      <c r="JE21" s="261"/>
      <c r="JF21" s="261"/>
      <c r="JG21" s="261"/>
      <c r="JH21" s="261"/>
      <c r="JI21" s="261"/>
      <c r="JJ21" s="261"/>
      <c r="JK21" s="261"/>
      <c r="JL21" s="261"/>
      <c r="JM21" s="261"/>
      <c r="JN21" s="261"/>
      <c r="JO21" s="261"/>
      <c r="JP21" s="261"/>
      <c r="JQ21" s="261"/>
      <c r="JR21" s="261"/>
      <c r="JS21" s="261"/>
      <c r="JT21" s="261"/>
    </row>
    <row r="22" spans="1:280" s="264" customFormat="1" ht="11.25" customHeight="1">
      <c r="A22" s="528" t="s">
        <v>744</v>
      </c>
      <c r="D22" s="1128">
        <v>0</v>
      </c>
      <c r="E22" s="455">
        <f t="shared" si="88"/>
        <v>0</v>
      </c>
      <c r="F22" s="455">
        <f t="shared" si="89"/>
        <v>0</v>
      </c>
      <c r="G22" s="455">
        <f t="shared" si="90"/>
        <v>0</v>
      </c>
      <c r="H22" s="327">
        <f t="shared" si="91"/>
        <v>0</v>
      </c>
      <c r="I22" s="1128">
        <v>0</v>
      </c>
      <c r="J22" s="455">
        <f t="shared" si="92"/>
        <v>0</v>
      </c>
      <c r="K22" s="455">
        <f t="shared" si="93"/>
        <v>0</v>
      </c>
      <c r="L22" s="455">
        <f t="shared" si="94"/>
        <v>0</v>
      </c>
      <c r="M22" s="327">
        <f t="shared" si="95"/>
        <v>0</v>
      </c>
      <c r="N22" s="1128">
        <v>0</v>
      </c>
      <c r="O22" s="455">
        <f t="shared" si="96"/>
        <v>0</v>
      </c>
      <c r="P22" s="455">
        <f t="shared" si="97"/>
        <v>0</v>
      </c>
      <c r="Q22" s="455">
        <f t="shared" si="98"/>
        <v>0</v>
      </c>
      <c r="R22" s="327">
        <f t="shared" si="99"/>
        <v>0</v>
      </c>
      <c r="S22" s="1128">
        <v>0</v>
      </c>
      <c r="T22" s="455">
        <f t="shared" si="100"/>
        <v>0</v>
      </c>
      <c r="U22" s="455">
        <f t="shared" si="101"/>
        <v>0</v>
      </c>
      <c r="V22" s="455">
        <f t="shared" si="102"/>
        <v>0</v>
      </c>
      <c r="W22" s="327">
        <f t="shared" si="103"/>
        <v>0</v>
      </c>
      <c r="X22" s="1128">
        <v>0</v>
      </c>
      <c r="Y22" s="455">
        <f t="shared" si="104"/>
        <v>0</v>
      </c>
      <c r="Z22" s="455">
        <f t="shared" si="105"/>
        <v>0</v>
      </c>
      <c r="AA22" s="455">
        <f t="shared" si="106"/>
        <v>0</v>
      </c>
      <c r="AB22" s="327">
        <f t="shared" si="107"/>
        <v>0</v>
      </c>
      <c r="AC22" s="1128">
        <v>0</v>
      </c>
      <c r="AD22" s="455">
        <f t="shared" si="108"/>
        <v>0</v>
      </c>
      <c r="AE22" s="455">
        <f t="shared" si="109"/>
        <v>0</v>
      </c>
      <c r="AF22" s="455">
        <f>0-SUM(AC22:AE22)</f>
        <v>0</v>
      </c>
      <c r="AG22" s="327">
        <f t="shared" si="110"/>
        <v>0</v>
      </c>
      <c r="AH22" s="1128">
        <v>0</v>
      </c>
      <c r="AI22" s="455">
        <f>0-AH22</f>
        <v>0</v>
      </c>
      <c r="AJ22" s="455">
        <f>0-SUM(AH22:AI22)</f>
        <v>0</v>
      </c>
      <c r="AK22" s="455">
        <f>0-SUM(AH22:AJ22)</f>
        <v>0</v>
      </c>
      <c r="AL22" s="327">
        <f t="shared" si="111"/>
        <v>0</v>
      </c>
      <c r="AM22" s="1128">
        <v>0</v>
      </c>
      <c r="AN22" s="455">
        <f>0-AM22</f>
        <v>0</v>
      </c>
      <c r="AO22" s="455">
        <f>0-SUM(AM22:AN22)</f>
        <v>0</v>
      </c>
      <c r="AP22" s="455">
        <f>0-SUM(AM22:AO22)</f>
        <v>0</v>
      </c>
      <c r="AQ22" s="327">
        <f t="shared" si="112"/>
        <v>0</v>
      </c>
      <c r="AR22" s="1128">
        <v>194</v>
      </c>
      <c r="AS22" s="455">
        <f>648-AR22</f>
        <v>454</v>
      </c>
      <c r="AT22" s="455">
        <f>1054-SUM(AR22:AS22)</f>
        <v>406</v>
      </c>
      <c r="AU22" s="455">
        <f>1601-SUM(AR22:AT22)</f>
        <v>547</v>
      </c>
      <c r="AV22" s="327">
        <f t="shared" si="113"/>
        <v>1601</v>
      </c>
      <c r="AW22" s="1128">
        <v>533</v>
      </c>
      <c r="AX22" s="455">
        <f>1254-AW22</f>
        <v>721</v>
      </c>
      <c r="AY22" s="455">
        <f>2139-SUM(AW22:AX22)</f>
        <v>885</v>
      </c>
      <c r="AZ22" s="455">
        <f>3268-SUM(AW22:AY22)</f>
        <v>1129</v>
      </c>
      <c r="BA22" s="327">
        <f t="shared" si="114"/>
        <v>3268</v>
      </c>
      <c r="BB22" s="1135">
        <v>1010</v>
      </c>
      <c r="BC22" s="455">
        <f>2371-BB22</f>
        <v>1361</v>
      </c>
      <c r="BD22" s="455">
        <f>4139-SUM(BB22:BC22)</f>
        <v>1768</v>
      </c>
      <c r="BE22" s="455">
        <f>5877-SUM(BB22:BD22)</f>
        <v>1738</v>
      </c>
      <c r="BF22" s="327">
        <f t="shared" si="115"/>
        <v>5877</v>
      </c>
      <c r="BG22" s="1135">
        <v>1253</v>
      </c>
      <c r="BH22" s="455">
        <f>2638-BG22</f>
        <v>1385</v>
      </c>
      <c r="BI22" s="455">
        <f>4278-SUM(BG22:BH22)</f>
        <v>1640</v>
      </c>
      <c r="BJ22" s="455">
        <f>6177-SUM(BG22:BI22)</f>
        <v>1899</v>
      </c>
      <c r="BK22" s="327">
        <f t="shared" si="116"/>
        <v>6177</v>
      </c>
      <c r="BL22" s="1128">
        <v>1457</v>
      </c>
      <c r="BM22" s="455">
        <f>3288-BL22</f>
        <v>1831</v>
      </c>
      <c r="BN22" s="455">
        <f>5141-SUM(BL22:BM22)</f>
        <v>1853</v>
      </c>
      <c r="BO22" s="455">
        <f>6970-SUM(BL22:BN22)</f>
        <v>1829</v>
      </c>
      <c r="BP22" s="327">
        <f t="shared" si="117"/>
        <v>6970</v>
      </c>
      <c r="BQ22" s="1128">
        <v>2069</v>
      </c>
      <c r="BR22" s="455">
        <f>4790-BQ22</f>
        <v>2721</v>
      </c>
      <c r="BS22" s="455">
        <f>7311-SUM(BQ22:BR22)</f>
        <v>2521</v>
      </c>
      <c r="BT22" s="455">
        <f>11152-SUM(BQ22:BS22)</f>
        <v>3841</v>
      </c>
      <c r="BU22" s="327">
        <f t="shared" si="118"/>
        <v>11152</v>
      </c>
      <c r="BV22" s="1127">
        <v>4093</v>
      </c>
      <c r="BW22" s="1127">
        <v>2500</v>
      </c>
      <c r="BX22" s="242">
        <f>9056-SUM(BV22:BW22)</f>
        <v>2463</v>
      </c>
      <c r="BY22" s="455">
        <f>12519-SUM(BV22:BX22)</f>
        <v>3463</v>
      </c>
      <c r="BZ22" s="327">
        <f t="shared" si="119"/>
        <v>12519</v>
      </c>
      <c r="CA22" s="1127">
        <v>2214</v>
      </c>
      <c r="CB22" s="1127">
        <v>2774</v>
      </c>
      <c r="CC22" s="1127">
        <v>2793</v>
      </c>
      <c r="CD22" s="1127">
        <v>3996</v>
      </c>
      <c r="CE22" s="327">
        <f t="shared" si="120"/>
        <v>11777</v>
      </c>
      <c r="CF22" s="1127">
        <v>2599</v>
      </c>
      <c r="CG22" s="1127">
        <v>3354</v>
      </c>
      <c r="CH22" s="1127">
        <v>3212</v>
      </c>
      <c r="CI22" s="1127">
        <v>4666</v>
      </c>
      <c r="CJ22" s="327">
        <f t="shared" si="121"/>
        <v>13831</v>
      </c>
      <c r="CK22" s="1127">
        <v>3032</v>
      </c>
      <c r="CL22" s="1127">
        <v>3670</v>
      </c>
      <c r="CM22" s="1127">
        <v>3670</v>
      </c>
      <c r="CN22" s="1127">
        <v>6081</v>
      </c>
      <c r="CO22" s="327">
        <f t="shared" si="122"/>
        <v>16453</v>
      </c>
      <c r="CP22" s="1127">
        <v>3217</v>
      </c>
      <c r="CQ22" s="1127">
        <v>6029</v>
      </c>
      <c r="CR22" s="1127">
        <v>4551</v>
      </c>
      <c r="CS22" s="1127">
        <v>7235</v>
      </c>
      <c r="CT22" s="327">
        <f t="shared" si="123"/>
        <v>21032</v>
      </c>
      <c r="CU22" s="1127">
        <v>3821</v>
      </c>
      <c r="CV22" s="1127">
        <v>5995</v>
      </c>
      <c r="CW22" s="1127">
        <v>5228</v>
      </c>
      <c r="CX22" s="1127">
        <v>9488</v>
      </c>
      <c r="CY22" s="327">
        <f t="shared" si="124"/>
        <v>24532</v>
      </c>
      <c r="CZ22" s="1127">
        <v>4186</v>
      </c>
      <c r="DA22" s="1127">
        <v>5969</v>
      </c>
      <c r="DB22" s="1127">
        <v>5899</v>
      </c>
      <c r="DC22" s="1127">
        <v>8355</v>
      </c>
      <c r="DD22" s="327">
        <f t="shared" si="125"/>
        <v>24409</v>
      </c>
      <c r="DE22" s="1127">
        <v>6679</v>
      </c>
      <c r="DF22" s="1127">
        <v>6926</v>
      </c>
      <c r="DG22" s="1127">
        <v>6087</v>
      </c>
      <c r="DH22" s="1127">
        <v>9682</v>
      </c>
      <c r="DI22" s="327">
        <f t="shared" si="126"/>
        <v>29374</v>
      </c>
      <c r="DJ22" s="1127">
        <v>5881</v>
      </c>
      <c r="DK22" s="1127">
        <v>6834</v>
      </c>
      <c r="DL22" s="1127">
        <v>6616</v>
      </c>
      <c r="DM22" s="1127">
        <v>11896</v>
      </c>
      <c r="DN22" s="327">
        <f t="shared" si="127"/>
        <v>31227</v>
      </c>
      <c r="DO22" s="1127">
        <v>6139</v>
      </c>
      <c r="DP22" s="1127">
        <v>7544</v>
      </c>
      <c r="DQ22" s="1127">
        <v>8142</v>
      </c>
      <c r="DR22" s="1127">
        <v>14279</v>
      </c>
      <c r="DS22" s="327">
        <f t="shared" si="128"/>
        <v>36104</v>
      </c>
      <c r="DT22" s="1127">
        <v>8209</v>
      </c>
      <c r="DU22" s="1127">
        <v>10737</v>
      </c>
      <c r="DV22" s="1127">
        <v>9686</v>
      </c>
      <c r="DW22" s="1127">
        <v>15621</v>
      </c>
      <c r="DX22" s="327">
        <f t="shared" si="129"/>
        <v>44253</v>
      </c>
      <c r="DY22" s="1127">
        <v>7436</v>
      </c>
      <c r="DZ22" s="1127">
        <v>9845</v>
      </c>
      <c r="EA22" s="1127">
        <v>10175</v>
      </c>
      <c r="EB22" s="1127">
        <v>16869</v>
      </c>
      <c r="EC22" s="327">
        <f t="shared" si="130"/>
        <v>44325</v>
      </c>
      <c r="ED22" s="1127">
        <v>8022</v>
      </c>
      <c r="EE22" s="1127">
        <v>10200</v>
      </c>
      <c r="EF22" s="1127">
        <v>10163</v>
      </c>
      <c r="EG22" s="1127">
        <v>16687</v>
      </c>
      <c r="EH22" s="327">
        <f>SUM(ED22:EG22)</f>
        <v>45072</v>
      </c>
      <c r="EI22" s="2769">
        <v>10423</v>
      </c>
      <c r="EJ22" s="2769">
        <v>12570</v>
      </c>
      <c r="EK22" s="2769">
        <v>13073</v>
      </c>
      <c r="EL22" s="2769">
        <v>21006</v>
      </c>
      <c r="EM22" s="2770">
        <f t="shared" si="132"/>
        <v>57072</v>
      </c>
      <c r="EN22" s="2769">
        <v>12583</v>
      </c>
      <c r="EO22" s="2769">
        <v>14141</v>
      </c>
      <c r="EP22" s="2769">
        <v>15995</v>
      </c>
      <c r="EQ22" s="2769">
        <v>24992</v>
      </c>
      <c r="ER22" s="2770">
        <f t="shared" si="133"/>
        <v>67711</v>
      </c>
      <c r="ES22" s="2769">
        <f>+-ES23-1806</f>
        <v>10934</v>
      </c>
      <c r="ET22" s="2769">
        <f>+-ET23-1065</f>
        <v>12138</v>
      </c>
      <c r="EU22" s="2769">
        <f>37217-ET22-ES22-79</f>
        <v>14066</v>
      </c>
      <c r="EV22" s="242">
        <f>'Unearned Revenue Breakdown'!EV53</f>
        <v>25643.628734177215</v>
      </c>
      <c r="EW22" s="327">
        <f t="shared" si="134"/>
        <v>62781.628734177211</v>
      </c>
      <c r="EX22" s="242">
        <f>'Unearned Revenue Breakdown'!EX53</f>
        <v>11647.826335929853</v>
      </c>
      <c r="EY22" s="242">
        <f>'Unearned Revenue Breakdown'!EY53</f>
        <v>13028.936702421999</v>
      </c>
      <c r="EZ22" s="242">
        <f>'Unearned Revenue Breakdown'!EZ53</f>
        <v>15151.594121227603</v>
      </c>
      <c r="FA22" s="242">
        <f>'Unearned Revenue Breakdown'!FA53</f>
        <v>28830.25956885597</v>
      </c>
      <c r="FB22" s="327">
        <f t="shared" si="135"/>
        <v>68658.616728435431</v>
      </c>
      <c r="FC22" s="242">
        <f>'Unearned Revenue Breakdown'!FC53</f>
        <v>12620.203889895582</v>
      </c>
      <c r="FD22" s="242">
        <f>'Unearned Revenue Breakdown'!FD53</f>
        <v>14210.316430712892</v>
      </c>
      <c r="FE22" s="242">
        <f>'Unearned Revenue Breakdown'!FE53</f>
        <v>16648.79060280104</v>
      </c>
      <c r="FF22" s="242">
        <f>'Unearned Revenue Breakdown'!FF53</f>
        <v>32449.218197615039</v>
      </c>
      <c r="FG22" s="327">
        <f t="shared" si="136"/>
        <v>75928.529121024563</v>
      </c>
      <c r="FH22" s="242">
        <f>'Unearned Revenue Breakdown'!FH53</f>
        <v>13654.933299230954</v>
      </c>
      <c r="FI22" s="242">
        <f>'Unearned Revenue Breakdown'!FI53</f>
        <v>15487.801848490843</v>
      </c>
      <c r="FJ22" s="242">
        <f>'Unearned Revenue Breakdown'!FJ53</f>
        <v>18292.449786298646</v>
      </c>
      <c r="FK22" s="242">
        <f>'Unearned Revenue Breakdown'!FK53</f>
        <v>36564.359234330084</v>
      </c>
      <c r="FL22" s="327">
        <f t="shared" si="137"/>
        <v>83999.54416835052</v>
      </c>
      <c r="FM22" s="455"/>
      <c r="FN22" s="486"/>
      <c r="FO22" s="327">
        <f t="shared" si="138"/>
        <v>6144</v>
      </c>
      <c r="FP22" s="327">
        <f t="shared" si="139"/>
        <v>6827</v>
      </c>
      <c r="FQ22" s="327">
        <f t="shared" si="140"/>
        <v>8472</v>
      </c>
      <c r="FR22" s="327">
        <f t="shared" si="141"/>
        <v>12955</v>
      </c>
      <c r="FS22" s="327">
        <f t="shared" si="142"/>
        <v>10914</v>
      </c>
      <c r="FT22" s="327">
        <f t="shared" si="143"/>
        <v>12742</v>
      </c>
      <c r="FU22" s="327">
        <f t="shared" si="144"/>
        <v>14580</v>
      </c>
      <c r="FV22" s="327">
        <f t="shared" si="145"/>
        <v>18997</v>
      </c>
      <c r="FW22" s="327">
        <f t="shared" si="146"/>
        <v>21602</v>
      </c>
      <c r="FX22" s="327">
        <f t="shared" si="147"/>
        <v>24871</v>
      </c>
      <c r="FY22" s="327">
        <f t="shared" si="148"/>
        <v>27859</v>
      </c>
      <c r="FZ22" s="327">
        <f t="shared" si="149"/>
        <v>28484</v>
      </c>
      <c r="GA22" s="327">
        <f t="shared" si="150"/>
        <v>32195</v>
      </c>
      <c r="GB22" s="372">
        <f t="shared" si="151"/>
        <v>41367</v>
      </c>
      <c r="GC22" s="372">
        <f t="shared" si="152"/>
        <v>42588</v>
      </c>
      <c r="GD22" s="372">
        <f t="shared" si="153"/>
        <v>45266</v>
      </c>
      <c r="GE22" s="372">
        <f t="shared" si="154"/>
        <v>49843</v>
      </c>
      <c r="GF22" s="372">
        <f t="shared" si="155"/>
        <v>60803</v>
      </c>
      <c r="GG22" s="372">
        <f t="shared" si="156"/>
        <v>64059</v>
      </c>
      <c r="GH22" s="372">
        <f t="shared" si="157"/>
        <v>64386.391772529059</v>
      </c>
      <c r="GI22" s="372">
        <f t="shared" si="158"/>
        <v>70812.374010692045</v>
      </c>
      <c r="GJ22" s="371"/>
      <c r="GK22" s="371"/>
      <c r="GL22" s="371"/>
      <c r="GM22" s="371"/>
      <c r="GO22"/>
      <c r="GP22"/>
      <c r="GQ22"/>
      <c r="GR22"/>
      <c r="GS22"/>
      <c r="GT22"/>
      <c r="GU22" s="261"/>
      <c r="GV22" s="261"/>
      <c r="GW22" s="261"/>
      <c r="GX22" s="261"/>
      <c r="GY22" s="261"/>
      <c r="GZ22" s="261"/>
      <c r="HA22" s="261"/>
      <c r="HB22" s="261"/>
      <c r="HC22" s="261"/>
      <c r="HD22" s="261"/>
      <c r="HE22" s="261"/>
      <c r="HF22" s="261"/>
      <c r="HG22" s="261"/>
      <c r="HH22" s="261"/>
      <c r="HI22" s="261"/>
      <c r="HJ22" s="261"/>
      <c r="HK22" s="261"/>
      <c r="HL22" s="261"/>
      <c r="HM22" s="261"/>
      <c r="HN22" s="261"/>
      <c r="HO22" s="261"/>
      <c r="HP22" s="261"/>
      <c r="HQ22" s="261"/>
      <c r="HR22" s="261"/>
      <c r="HS22" s="261"/>
      <c r="HT22" s="261"/>
      <c r="HU22" s="261"/>
      <c r="HV22" s="261"/>
      <c r="HW22" s="261"/>
      <c r="HX22" s="261"/>
      <c r="HY22" s="261"/>
      <c r="HZ22" s="261"/>
      <c r="IA22" s="261"/>
      <c r="IB22" s="261"/>
      <c r="IC22" s="261"/>
      <c r="ID22" s="261"/>
      <c r="IE22" s="261"/>
      <c r="IF22" s="261"/>
      <c r="IG22" s="261"/>
      <c r="IH22" s="261"/>
      <c r="II22" s="261"/>
      <c r="IJ22" s="261"/>
      <c r="IK22" s="261"/>
      <c r="IL22" s="261"/>
      <c r="IM22" s="261"/>
      <c r="IN22" s="261"/>
      <c r="IO22" s="261"/>
      <c r="IP22" s="261"/>
      <c r="IQ22" s="261"/>
      <c r="IR22" s="261"/>
      <c r="IS22" s="261"/>
      <c r="IT22" s="261"/>
      <c r="IU22" s="261"/>
      <c r="IV22" s="261"/>
      <c r="IW22" s="261"/>
      <c r="IX22" s="261"/>
      <c r="IY22" s="261"/>
      <c r="IZ22" s="261"/>
      <c r="JA22" s="261"/>
      <c r="JB22" s="261"/>
      <c r="JC22" s="261"/>
      <c r="JD22" s="261"/>
      <c r="JE22" s="261"/>
      <c r="JF22" s="261"/>
      <c r="JG22" s="261"/>
      <c r="JH22" s="261"/>
      <c r="JI22" s="261"/>
      <c r="JJ22" s="261"/>
      <c r="JK22" s="261"/>
      <c r="JL22" s="261"/>
      <c r="JM22" s="261"/>
      <c r="JN22" s="261"/>
      <c r="JO22" s="261"/>
      <c r="JP22" s="261"/>
      <c r="JQ22" s="261"/>
      <c r="JR22" s="261"/>
      <c r="JS22" s="261"/>
      <c r="JT22" s="261"/>
    </row>
    <row r="23" spans="1:280" s="264" customFormat="1" ht="11.25" customHeight="1">
      <c r="A23" s="528" t="s">
        <v>344</v>
      </c>
      <c r="D23" s="1128">
        <v>0</v>
      </c>
      <c r="E23" s="455">
        <f t="shared" si="88"/>
        <v>0</v>
      </c>
      <c r="F23" s="455">
        <f t="shared" si="89"/>
        <v>0</v>
      </c>
      <c r="G23" s="455">
        <f t="shared" si="90"/>
        <v>0</v>
      </c>
      <c r="H23" s="327">
        <f t="shared" si="91"/>
        <v>0</v>
      </c>
      <c r="I23" s="1128">
        <v>0</v>
      </c>
      <c r="J23" s="455">
        <f t="shared" si="92"/>
        <v>0</v>
      </c>
      <c r="K23" s="455">
        <f t="shared" si="93"/>
        <v>0</v>
      </c>
      <c r="L23" s="455">
        <f t="shared" si="94"/>
        <v>0</v>
      </c>
      <c r="M23" s="327">
        <f t="shared" si="95"/>
        <v>0</v>
      </c>
      <c r="N23" s="1128">
        <v>0</v>
      </c>
      <c r="O23" s="455">
        <f t="shared" si="96"/>
        <v>0</v>
      </c>
      <c r="P23" s="455">
        <f t="shared" si="97"/>
        <v>0</v>
      </c>
      <c r="Q23" s="455">
        <f t="shared" si="98"/>
        <v>0</v>
      </c>
      <c r="R23" s="327">
        <f t="shared" si="99"/>
        <v>0</v>
      </c>
      <c r="S23" s="1128">
        <v>0</v>
      </c>
      <c r="T23" s="455">
        <f t="shared" si="100"/>
        <v>0</v>
      </c>
      <c r="U23" s="455">
        <f t="shared" si="101"/>
        <v>0</v>
      </c>
      <c r="V23" s="455">
        <f t="shared" si="102"/>
        <v>0</v>
      </c>
      <c r="W23" s="327">
        <f t="shared" si="103"/>
        <v>0</v>
      </c>
      <c r="X23" s="1128">
        <v>0</v>
      </c>
      <c r="Y23" s="455">
        <f t="shared" si="104"/>
        <v>0</v>
      </c>
      <c r="Z23" s="455">
        <f t="shared" si="105"/>
        <v>0</v>
      </c>
      <c r="AA23" s="455">
        <f t="shared" si="106"/>
        <v>0</v>
      </c>
      <c r="AB23" s="327">
        <f t="shared" si="107"/>
        <v>0</v>
      </c>
      <c r="AC23" s="1128">
        <v>0</v>
      </c>
      <c r="AD23" s="455">
        <f t="shared" si="108"/>
        <v>0</v>
      </c>
      <c r="AE23" s="455">
        <f t="shared" si="109"/>
        <v>0</v>
      </c>
      <c r="AF23" s="455">
        <f>0-SUM(AC23:AE23)</f>
        <v>0</v>
      </c>
      <c r="AG23" s="327">
        <f t="shared" si="110"/>
        <v>0</v>
      </c>
      <c r="AH23" s="1128">
        <v>0</v>
      </c>
      <c r="AI23" s="455">
        <f>0-AH23</f>
        <v>0</v>
      </c>
      <c r="AJ23" s="455">
        <f>0-SUM(AH23:AI23)</f>
        <v>0</v>
      </c>
      <c r="AK23" s="455">
        <f>0-SUM(AH23:AJ23)</f>
        <v>0</v>
      </c>
      <c r="AL23" s="327">
        <f t="shared" si="111"/>
        <v>0</v>
      </c>
      <c r="AM23" s="1128">
        <v>0</v>
      </c>
      <c r="AN23" s="455">
        <f>0-AM23</f>
        <v>0</v>
      </c>
      <c r="AO23" s="455">
        <f>0-SUM(AM23:AN23)</f>
        <v>0</v>
      </c>
      <c r="AP23" s="455">
        <f>0-SUM(AM23:AO23)</f>
        <v>0</v>
      </c>
      <c r="AQ23" s="327">
        <f t="shared" si="112"/>
        <v>0</v>
      </c>
      <c r="AR23" s="1128">
        <v>-103</v>
      </c>
      <c r="AS23" s="455">
        <f>-195-AR23</f>
        <v>-92</v>
      </c>
      <c r="AT23" s="455">
        <f>-353-SUM(AR23:AS23)</f>
        <v>-158</v>
      </c>
      <c r="AU23" s="455">
        <f>-743-SUM(AR23:AT23)</f>
        <v>-390</v>
      </c>
      <c r="AV23" s="327">
        <f t="shared" si="113"/>
        <v>-743</v>
      </c>
      <c r="AW23" s="1128">
        <v>-280</v>
      </c>
      <c r="AX23" s="455">
        <f>-634-AW23</f>
        <v>-354</v>
      </c>
      <c r="AY23" s="455">
        <f>-1094-SUM(AW23:AX23)</f>
        <v>-460</v>
      </c>
      <c r="AZ23" s="455">
        <f>-1798-SUM(AW23:AY23)</f>
        <v>-704</v>
      </c>
      <c r="BA23" s="327">
        <f t="shared" si="114"/>
        <v>-1798</v>
      </c>
      <c r="BB23" s="1135">
        <v>-765</v>
      </c>
      <c r="BC23" s="455">
        <f>-1707-BB23</f>
        <v>-942</v>
      </c>
      <c r="BD23" s="455">
        <f>-2832-SUM(BB23:BC23)</f>
        <v>-1125</v>
      </c>
      <c r="BE23" s="455">
        <f>-4526-SUM(BB23:BD23)</f>
        <v>-1694</v>
      </c>
      <c r="BF23" s="327">
        <f t="shared" si="115"/>
        <v>-4526</v>
      </c>
      <c r="BG23" s="1135">
        <v>-1363</v>
      </c>
      <c r="BH23" s="455">
        <f>-2618-BG23</f>
        <v>-1255</v>
      </c>
      <c r="BI23" s="455">
        <f>-4058-SUM(BG23:BH23)</f>
        <v>-1440</v>
      </c>
      <c r="BJ23" s="455">
        <f>-5600-SUM(BG23:BI23)</f>
        <v>-1542</v>
      </c>
      <c r="BK23" s="327">
        <f t="shared" si="116"/>
        <v>-5600</v>
      </c>
      <c r="BL23" s="1128">
        <v>-1507</v>
      </c>
      <c r="BM23" s="455">
        <f>-2980-BL23</f>
        <v>-1473</v>
      </c>
      <c r="BN23" s="455">
        <f>-4652-SUM(BL23:BM23)</f>
        <v>-1672</v>
      </c>
      <c r="BO23" s="455">
        <f>-6369-SUM(BL23:BN23)</f>
        <v>-1717</v>
      </c>
      <c r="BP23" s="327">
        <f t="shared" si="117"/>
        <v>-6369</v>
      </c>
      <c r="BQ23" s="1128">
        <v>-1879</v>
      </c>
      <c r="BR23" s="455">
        <f>-3828-BQ23</f>
        <v>-1949</v>
      </c>
      <c r="BS23" s="455">
        <f>-5917-SUM(BQ23:BR23)</f>
        <v>-2089</v>
      </c>
      <c r="BT23" s="455">
        <f>-8929-SUM(BQ23:BS23)</f>
        <v>-3012</v>
      </c>
      <c r="BU23" s="327">
        <f t="shared" si="118"/>
        <v>-8929</v>
      </c>
      <c r="BV23" s="1127">
        <v>-2743</v>
      </c>
      <c r="BW23" s="1127">
        <v>-2795</v>
      </c>
      <c r="BX23" s="242">
        <f>-8308-SUM(BV23:BW23)</f>
        <v>-2770</v>
      </c>
      <c r="BY23" s="455">
        <f>-11292-SUM(BV23:BX23)</f>
        <v>-2984</v>
      </c>
      <c r="BZ23" s="327">
        <f t="shared" si="119"/>
        <v>-11292</v>
      </c>
      <c r="CA23" s="1127">
        <v>-2983</v>
      </c>
      <c r="CB23" s="1127">
        <v>-3166</v>
      </c>
      <c r="CC23" s="1127">
        <v>-3119</v>
      </c>
      <c r="CD23" s="1127">
        <v>-3259</v>
      </c>
      <c r="CE23" s="327">
        <f t="shared" si="120"/>
        <v>-12527</v>
      </c>
      <c r="CF23" s="1127">
        <v>-3062</v>
      </c>
      <c r="CG23" s="1127">
        <v>-3166</v>
      </c>
      <c r="CH23" s="1127">
        <v>-3241</v>
      </c>
      <c r="CI23" s="1127">
        <v>-3450</v>
      </c>
      <c r="CJ23" s="327">
        <f t="shared" si="121"/>
        <v>-12919</v>
      </c>
      <c r="CK23" s="1127">
        <v>-3419</v>
      </c>
      <c r="CL23" s="1127">
        <v>-3622</v>
      </c>
      <c r="CM23" s="1127">
        <v>-3615</v>
      </c>
      <c r="CN23" s="1127">
        <v>-4073</v>
      </c>
      <c r="CO23" s="327">
        <f t="shared" si="122"/>
        <v>-14729</v>
      </c>
      <c r="CP23" s="1127">
        <v>-4050</v>
      </c>
      <c r="CQ23" s="1127">
        <v>-4265</v>
      </c>
      <c r="CR23" s="1127">
        <v>-6121</v>
      </c>
      <c r="CS23" s="1127">
        <v>-4946</v>
      </c>
      <c r="CT23" s="327">
        <f t="shared" si="123"/>
        <v>-19382</v>
      </c>
      <c r="CU23" s="1127">
        <v>-4965</v>
      </c>
      <c r="CV23" s="1127">
        <v>-5368</v>
      </c>
      <c r="CW23" s="1127">
        <v>-5368</v>
      </c>
      <c r="CX23" s="1127">
        <v>-6243</v>
      </c>
      <c r="CY23" s="327">
        <f t="shared" si="124"/>
        <v>-21944</v>
      </c>
      <c r="CZ23" s="1127">
        <v>-6044</v>
      </c>
      <c r="DA23" s="1127">
        <v>-6364</v>
      </c>
      <c r="DB23" s="1127">
        <v>-6670</v>
      </c>
      <c r="DC23" s="1127">
        <v>-6348</v>
      </c>
      <c r="DD23" s="327">
        <f t="shared" si="125"/>
        <v>-25426</v>
      </c>
      <c r="DE23" s="1127">
        <v>-6237</v>
      </c>
      <c r="DF23" s="1127">
        <v>-9126</v>
      </c>
      <c r="DG23" s="1127">
        <v>-6395</v>
      </c>
      <c r="DH23" s="1127">
        <v>-7055</v>
      </c>
      <c r="DI23" s="327">
        <f t="shared" si="126"/>
        <v>-28813</v>
      </c>
      <c r="DJ23" s="1127">
        <v>-6862</v>
      </c>
      <c r="DK23" s="1127">
        <v>-7301</v>
      </c>
      <c r="DL23" s="1127">
        <v>-7026</v>
      </c>
      <c r="DM23" s="1127">
        <v>-7746</v>
      </c>
      <c r="DN23" s="327">
        <f t="shared" si="127"/>
        <v>-28935</v>
      </c>
      <c r="DO23" s="1127">
        <v>-7653</v>
      </c>
      <c r="DP23" s="1127">
        <v>-8057</v>
      </c>
      <c r="DQ23" s="1127">
        <v>-8283</v>
      </c>
      <c r="DR23" s="1127">
        <v>-9354</v>
      </c>
      <c r="DS23" s="327">
        <f t="shared" si="128"/>
        <v>-33347</v>
      </c>
      <c r="DT23" s="1127">
        <v>-8770</v>
      </c>
      <c r="DU23" s="1127">
        <v>-10483</v>
      </c>
      <c r="DV23" s="1127">
        <v>-11599</v>
      </c>
      <c r="DW23" s="1127">
        <v>-11069</v>
      </c>
      <c r="DX23" s="327">
        <f t="shared" si="129"/>
        <v>-41921</v>
      </c>
      <c r="DY23" s="1127">
        <v>-9677</v>
      </c>
      <c r="DZ23" s="1127">
        <v>-10578</v>
      </c>
      <c r="EA23" s="1127">
        <v>-10139</v>
      </c>
      <c r="EB23" s="1127">
        <v>-11345</v>
      </c>
      <c r="EC23" s="327">
        <f t="shared" si="130"/>
        <v>-41739</v>
      </c>
      <c r="ED23" s="1127">
        <v>-10643</v>
      </c>
      <c r="EE23" s="1127">
        <v>-11495</v>
      </c>
      <c r="EF23" s="1127">
        <v>-11209</v>
      </c>
      <c r="EG23" s="1127">
        <v>-11573</v>
      </c>
      <c r="EH23" s="327">
        <f t="shared" si="131"/>
        <v>-44920</v>
      </c>
      <c r="EI23" s="2769">
        <v>-11355</v>
      </c>
      <c r="EJ23" s="2769">
        <v>-11929</v>
      </c>
      <c r="EK23" s="2769">
        <v>-12210</v>
      </c>
      <c r="EL23" s="2769">
        <v>-13004</v>
      </c>
      <c r="EM23" s="2770">
        <f t="shared" si="132"/>
        <v>-48498</v>
      </c>
      <c r="EN23" s="2769">
        <v>-12904</v>
      </c>
      <c r="EO23" s="2769">
        <v>-13645</v>
      </c>
      <c r="EP23" s="2769">
        <v>-14941</v>
      </c>
      <c r="EQ23" s="2769">
        <v>-16245</v>
      </c>
      <c r="ER23" s="2770">
        <f t="shared" si="133"/>
        <v>-57735</v>
      </c>
      <c r="ES23" s="2769">
        <v>-12740</v>
      </c>
      <c r="ET23" s="2769">
        <f>+-25943-ES23</f>
        <v>-13203</v>
      </c>
      <c r="EU23" s="2769">
        <f>-39918-ET23-ES23</f>
        <v>-13975</v>
      </c>
      <c r="EV23" s="242">
        <f>'Unearned Revenue Breakdown'!EV56</f>
        <v>-17869.5</v>
      </c>
      <c r="EW23" s="327">
        <f t="shared" si="134"/>
        <v>-57787.5</v>
      </c>
      <c r="EX23" s="242">
        <f>'Unearned Revenue Breakdown'!EX56</f>
        <v>-14014.000000000002</v>
      </c>
      <c r="EY23" s="242">
        <f>'Unearned Revenue Breakdown'!EY56</f>
        <v>-14523.300000000001</v>
      </c>
      <c r="EZ23" s="242">
        <f>'Unearned Revenue Breakdown'!EZ56</f>
        <v>-15372.500000000002</v>
      </c>
      <c r="FA23" s="242">
        <f>'Unearned Revenue Breakdown'!FA56</f>
        <v>-19656.45</v>
      </c>
      <c r="FB23" s="327">
        <f t="shared" si="135"/>
        <v>-63566.25</v>
      </c>
      <c r="FC23" s="242">
        <f>'Unearned Revenue Breakdown'!FC56</f>
        <v>-15415.400000000003</v>
      </c>
      <c r="FD23" s="242">
        <f>'Unearned Revenue Breakdown'!FD56</f>
        <v>-15975.630000000003</v>
      </c>
      <c r="FE23" s="242">
        <f>'Unearned Revenue Breakdown'!FE56</f>
        <v>-16909.750000000004</v>
      </c>
      <c r="FF23" s="242">
        <f>'Unearned Revenue Breakdown'!FF56</f>
        <v>-21622.095000000001</v>
      </c>
      <c r="FG23" s="327">
        <f t="shared" si="136"/>
        <v>-69922.875000000015</v>
      </c>
      <c r="FH23" s="242">
        <f>'Unearned Revenue Breakdown'!FH56</f>
        <v>-16956.940000000006</v>
      </c>
      <c r="FI23" s="242">
        <f>'Unearned Revenue Breakdown'!FI56</f>
        <v>-17573.193000000003</v>
      </c>
      <c r="FJ23" s="242">
        <f>'Unearned Revenue Breakdown'!FJ56</f>
        <v>-18600.725000000006</v>
      </c>
      <c r="FK23" s="242">
        <f>'Unearned Revenue Breakdown'!FK56</f>
        <v>-23784.304500000002</v>
      </c>
      <c r="FL23" s="327">
        <f t="shared" si="137"/>
        <v>-76915.16250000002</v>
      </c>
      <c r="FM23" s="455"/>
      <c r="FN23" s="486"/>
      <c r="FO23" s="327">
        <f t="shared" si="138"/>
        <v>-5437</v>
      </c>
      <c r="FP23" s="327">
        <f t="shared" si="139"/>
        <v>-5962</v>
      </c>
      <c r="FQ23" s="327">
        <f t="shared" si="140"/>
        <v>-7217</v>
      </c>
      <c r="FR23" s="327">
        <f t="shared" si="141"/>
        <v>-10639</v>
      </c>
      <c r="FS23" s="327">
        <f t="shared" si="142"/>
        <v>-11903</v>
      </c>
      <c r="FT23" s="327">
        <f t="shared" si="143"/>
        <v>-12606</v>
      </c>
      <c r="FU23" s="327">
        <f t="shared" si="144"/>
        <v>-13732</v>
      </c>
      <c r="FV23" s="327">
        <f t="shared" si="145"/>
        <v>-16003</v>
      </c>
      <c r="FW23" s="327">
        <f t="shared" si="146"/>
        <v>-21400</v>
      </c>
      <c r="FX23" s="327">
        <f t="shared" si="147"/>
        <v>-24019</v>
      </c>
      <c r="FY23" s="327">
        <f t="shared" si="148"/>
        <v>-28381</v>
      </c>
      <c r="FZ23" s="327">
        <f t="shared" si="149"/>
        <v>-27613</v>
      </c>
      <c r="GA23" s="327">
        <f t="shared" si="150"/>
        <v>-30482</v>
      </c>
      <c r="GB23" s="372">
        <f t="shared" si="151"/>
        <v>-36890</v>
      </c>
      <c r="GC23" s="372">
        <f t="shared" si="152"/>
        <v>-42923</v>
      </c>
      <c r="GD23" s="372">
        <f t="shared" si="153"/>
        <v>-43622</v>
      </c>
      <c r="GE23" s="372">
        <f t="shared" si="154"/>
        <v>-46066</v>
      </c>
      <c r="GF23" s="372">
        <f t="shared" si="155"/>
        <v>-51763</v>
      </c>
      <c r="GG23" s="372">
        <f t="shared" si="156"/>
        <v>-57129</v>
      </c>
      <c r="GH23" s="372">
        <f t="shared" si="157"/>
        <v>-60381.8</v>
      </c>
      <c r="GI23" s="372">
        <f t="shared" si="158"/>
        <v>-66419.98000000001</v>
      </c>
      <c r="GJ23" s="371"/>
      <c r="GK23" s="371"/>
      <c r="GL23" s="371"/>
      <c r="GM23" s="371"/>
      <c r="GO23"/>
      <c r="GP23"/>
      <c r="GQ23"/>
      <c r="GR23"/>
      <c r="GS23"/>
      <c r="GT23"/>
      <c r="GU23" s="261"/>
      <c r="GV23" s="261"/>
      <c r="GW23" s="261"/>
      <c r="GX23" s="261"/>
      <c r="GY23" s="261"/>
      <c r="GZ23" s="261"/>
      <c r="HA23" s="261"/>
      <c r="HB23" s="261"/>
      <c r="HC23" s="261"/>
      <c r="HD23" s="261"/>
      <c r="HE23" s="261"/>
      <c r="HF23" s="261"/>
      <c r="HG23" s="261"/>
      <c r="HH23" s="261"/>
      <c r="HI23" s="261"/>
      <c r="HJ23" s="261"/>
      <c r="HK23" s="261"/>
      <c r="HL23" s="261"/>
      <c r="HM23" s="261"/>
      <c r="HN23" s="261"/>
      <c r="HO23" s="261"/>
      <c r="HP23" s="261"/>
      <c r="HQ23" s="261"/>
      <c r="HR23" s="261"/>
      <c r="HS23" s="261"/>
      <c r="HT23" s="261"/>
      <c r="HU23" s="261"/>
      <c r="HV23" s="261"/>
      <c r="HW23" s="261"/>
      <c r="HX23" s="261"/>
      <c r="HY23" s="261"/>
      <c r="HZ23" s="261"/>
      <c r="IA23" s="261"/>
      <c r="IB23" s="261"/>
      <c r="IC23" s="261"/>
      <c r="ID23" s="261"/>
      <c r="IE23" s="261"/>
      <c r="IF23" s="261"/>
      <c r="IG23" s="261"/>
      <c r="IH23" s="261"/>
      <c r="II23" s="261"/>
      <c r="IJ23" s="261"/>
      <c r="IK23" s="261"/>
      <c r="IL23" s="261"/>
      <c r="IM23" s="261"/>
      <c r="IN23" s="261"/>
      <c r="IO23" s="261"/>
      <c r="IP23" s="261"/>
      <c r="IQ23" s="261"/>
      <c r="IR23" s="261"/>
      <c r="IS23" s="261"/>
      <c r="IT23" s="261"/>
      <c r="IU23" s="261"/>
      <c r="IV23" s="261"/>
      <c r="IW23" s="261"/>
      <c r="IX23" s="261"/>
      <c r="IY23" s="261"/>
      <c r="IZ23" s="261"/>
      <c r="JA23" s="261"/>
      <c r="JB23" s="261"/>
      <c r="JC23" s="261"/>
      <c r="JD23" s="261"/>
      <c r="JE23" s="261"/>
      <c r="JF23" s="261"/>
      <c r="JG23" s="261"/>
      <c r="JH23" s="261"/>
      <c r="JI23" s="261"/>
      <c r="JJ23" s="261"/>
      <c r="JK23" s="261"/>
      <c r="JL23" s="261"/>
      <c r="JM23" s="261"/>
      <c r="JN23" s="261"/>
      <c r="JO23" s="261"/>
      <c r="JP23" s="261"/>
      <c r="JQ23" s="261"/>
      <c r="JR23" s="261"/>
      <c r="JS23" s="261"/>
      <c r="JT23" s="261"/>
    </row>
    <row r="24" spans="1:280" s="264" customFormat="1" ht="11.25" customHeight="1">
      <c r="A24" s="415" t="s">
        <v>457</v>
      </c>
      <c r="D24" s="486">
        <f t="shared" ref="D24:BK24" si="159">SUM(D17:D23)</f>
        <v>0</v>
      </c>
      <c r="E24" s="486">
        <f t="shared" si="159"/>
        <v>0</v>
      </c>
      <c r="F24" s="486">
        <f t="shared" si="159"/>
        <v>0</v>
      </c>
      <c r="G24" s="486">
        <f t="shared" si="159"/>
        <v>0</v>
      </c>
      <c r="H24" s="487">
        <f t="shared" si="159"/>
        <v>0</v>
      </c>
      <c r="I24" s="486">
        <f t="shared" si="159"/>
        <v>0</v>
      </c>
      <c r="J24" s="486">
        <f t="shared" si="159"/>
        <v>0</v>
      </c>
      <c r="K24" s="486">
        <f t="shared" si="159"/>
        <v>0</v>
      </c>
      <c r="L24" s="486">
        <f t="shared" si="159"/>
        <v>0</v>
      </c>
      <c r="M24" s="487">
        <f t="shared" si="159"/>
        <v>0</v>
      </c>
      <c r="N24" s="486">
        <f t="shared" si="159"/>
        <v>0</v>
      </c>
      <c r="O24" s="486">
        <f t="shared" si="159"/>
        <v>0</v>
      </c>
      <c r="P24" s="486">
        <f t="shared" si="159"/>
        <v>0</v>
      </c>
      <c r="Q24" s="486">
        <f t="shared" si="159"/>
        <v>0</v>
      </c>
      <c r="R24" s="487">
        <f t="shared" si="159"/>
        <v>0</v>
      </c>
      <c r="S24" s="486">
        <f t="shared" si="159"/>
        <v>0</v>
      </c>
      <c r="T24" s="486">
        <f t="shared" si="159"/>
        <v>0</v>
      </c>
      <c r="U24" s="486">
        <f t="shared" si="159"/>
        <v>0</v>
      </c>
      <c r="V24" s="486">
        <f t="shared" si="159"/>
        <v>0</v>
      </c>
      <c r="W24" s="487">
        <f t="shared" si="159"/>
        <v>0</v>
      </c>
      <c r="X24" s="486">
        <f t="shared" si="159"/>
        <v>0</v>
      </c>
      <c r="Y24" s="486">
        <f t="shared" si="159"/>
        <v>0</v>
      </c>
      <c r="Z24" s="486">
        <f t="shared" si="159"/>
        <v>0</v>
      </c>
      <c r="AA24" s="486">
        <f t="shared" si="159"/>
        <v>0</v>
      </c>
      <c r="AB24" s="487">
        <f t="shared" si="159"/>
        <v>0</v>
      </c>
      <c r="AC24" s="486">
        <f t="shared" si="159"/>
        <v>0</v>
      </c>
      <c r="AD24" s="486">
        <f t="shared" si="159"/>
        <v>0</v>
      </c>
      <c r="AE24" s="486">
        <f t="shared" si="159"/>
        <v>0</v>
      </c>
      <c r="AF24" s="486">
        <f t="shared" si="159"/>
        <v>210</v>
      </c>
      <c r="AG24" s="487">
        <f t="shared" si="159"/>
        <v>210</v>
      </c>
      <c r="AH24" s="486">
        <f t="shared" si="159"/>
        <v>7</v>
      </c>
      <c r="AI24" s="486">
        <f t="shared" si="159"/>
        <v>6</v>
      </c>
      <c r="AJ24" s="486">
        <f t="shared" si="159"/>
        <v>177</v>
      </c>
      <c r="AK24" s="486">
        <f t="shared" si="159"/>
        <v>78</v>
      </c>
      <c r="AL24" s="487">
        <f t="shared" si="159"/>
        <v>268</v>
      </c>
      <c r="AM24" s="486">
        <f t="shared" si="159"/>
        <v>-68</v>
      </c>
      <c r="AN24" s="486">
        <f t="shared" si="159"/>
        <v>748</v>
      </c>
      <c r="AO24" s="486">
        <f t="shared" si="159"/>
        <v>154</v>
      </c>
      <c r="AP24" s="486">
        <f t="shared" si="159"/>
        <v>210</v>
      </c>
      <c r="AQ24" s="487">
        <f t="shared" si="159"/>
        <v>1044</v>
      </c>
      <c r="AR24" s="486">
        <f t="shared" si="159"/>
        <v>7</v>
      </c>
      <c r="AS24" s="486">
        <f t="shared" si="159"/>
        <v>333</v>
      </c>
      <c r="AT24" s="486">
        <f t="shared" si="159"/>
        <v>468</v>
      </c>
      <c r="AU24" s="486">
        <f t="shared" si="159"/>
        <v>-130</v>
      </c>
      <c r="AV24" s="487">
        <f t="shared" si="159"/>
        <v>678</v>
      </c>
      <c r="AW24" s="486">
        <f t="shared" si="159"/>
        <v>493</v>
      </c>
      <c r="AX24" s="486">
        <f t="shared" si="159"/>
        <v>262</v>
      </c>
      <c r="AY24" s="486">
        <f t="shared" si="159"/>
        <v>486</v>
      </c>
      <c r="AZ24" s="486">
        <f t="shared" si="159"/>
        <v>-171</v>
      </c>
      <c r="BA24" s="487">
        <f t="shared" si="159"/>
        <v>1070</v>
      </c>
      <c r="BB24" s="487">
        <f t="shared" si="159"/>
        <v>882</v>
      </c>
      <c r="BC24" s="486">
        <f t="shared" si="159"/>
        <v>-9</v>
      </c>
      <c r="BD24" s="486">
        <f t="shared" si="159"/>
        <v>609</v>
      </c>
      <c r="BE24" s="486">
        <f t="shared" si="159"/>
        <v>-3</v>
      </c>
      <c r="BF24" s="487">
        <f t="shared" si="159"/>
        <v>1479</v>
      </c>
      <c r="BG24" s="487">
        <f t="shared" si="159"/>
        <v>-267</v>
      </c>
      <c r="BH24" s="486">
        <f t="shared" si="159"/>
        <v>-864</v>
      </c>
      <c r="BI24" s="486">
        <f t="shared" si="159"/>
        <v>-1461</v>
      </c>
      <c r="BJ24" s="486">
        <f t="shared" si="159"/>
        <v>-31</v>
      </c>
      <c r="BK24" s="487">
        <f t="shared" si="159"/>
        <v>-2623</v>
      </c>
      <c r="BL24" s="486">
        <f t="shared" ref="BL24:CE24" si="160">SUM(BL17:BL23)</f>
        <v>-333</v>
      </c>
      <c r="BM24" s="486">
        <f t="shared" si="160"/>
        <v>-532</v>
      </c>
      <c r="BN24" s="486">
        <f t="shared" si="160"/>
        <v>395</v>
      </c>
      <c r="BO24" s="486">
        <f t="shared" si="160"/>
        <v>768</v>
      </c>
      <c r="BP24" s="487">
        <f t="shared" si="160"/>
        <v>298</v>
      </c>
      <c r="BQ24" s="486">
        <f t="shared" si="160"/>
        <v>731</v>
      </c>
      <c r="BR24" s="486">
        <f t="shared" si="160"/>
        <v>728</v>
      </c>
      <c r="BS24" s="486">
        <f t="shared" si="160"/>
        <v>955</v>
      </c>
      <c r="BT24" s="486">
        <f t="shared" si="160"/>
        <v>-422</v>
      </c>
      <c r="BU24" s="487">
        <f t="shared" si="160"/>
        <v>1992</v>
      </c>
      <c r="BV24" s="486">
        <f t="shared" si="160"/>
        <v>2909</v>
      </c>
      <c r="BW24" s="486">
        <f t="shared" si="160"/>
        <v>-275</v>
      </c>
      <c r="BX24" s="486">
        <f t="shared" si="160"/>
        <v>185</v>
      </c>
      <c r="BY24" s="486">
        <f t="shared" si="160"/>
        <v>-546</v>
      </c>
      <c r="BZ24" s="487">
        <f t="shared" si="160"/>
        <v>2273</v>
      </c>
      <c r="CA24" s="486">
        <f t="shared" si="160"/>
        <v>-749</v>
      </c>
      <c r="CB24" s="486">
        <f t="shared" si="160"/>
        <v>651</v>
      </c>
      <c r="CC24" s="486">
        <f t="shared" si="160"/>
        <v>2981</v>
      </c>
      <c r="CD24" s="486">
        <f t="shared" si="160"/>
        <v>-1670</v>
      </c>
      <c r="CE24" s="487">
        <f t="shared" si="160"/>
        <v>1213</v>
      </c>
      <c r="CF24" s="486">
        <f t="shared" ref="CF24:CO24" si="161">SUM(CF17:CF23)</f>
        <v>-35</v>
      </c>
      <c r="CG24" s="486">
        <f t="shared" si="161"/>
        <v>-744</v>
      </c>
      <c r="CH24" s="486">
        <f t="shared" si="161"/>
        <v>2019</v>
      </c>
      <c r="CI24" s="486">
        <f t="shared" si="161"/>
        <v>-154</v>
      </c>
      <c r="CJ24" s="487">
        <f t="shared" si="161"/>
        <v>1086</v>
      </c>
      <c r="CK24" s="486">
        <f t="shared" si="161"/>
        <v>779</v>
      </c>
      <c r="CL24" s="486">
        <f t="shared" si="161"/>
        <v>-2249</v>
      </c>
      <c r="CM24" s="486">
        <f t="shared" si="161"/>
        <v>1388</v>
      </c>
      <c r="CN24" s="486">
        <f t="shared" si="161"/>
        <v>-591</v>
      </c>
      <c r="CO24" s="487">
        <f t="shared" si="161"/>
        <v>-673</v>
      </c>
      <c r="CP24" s="486">
        <f t="shared" ref="CP24:DD24" si="162">SUM(CP17:CP23)</f>
        <v>-42</v>
      </c>
      <c r="CQ24" s="486">
        <f t="shared" si="162"/>
        <v>-832</v>
      </c>
      <c r="CR24" s="486">
        <f t="shared" si="162"/>
        <v>686</v>
      </c>
      <c r="CS24" s="486">
        <f t="shared" si="162"/>
        <v>877</v>
      </c>
      <c r="CT24" s="487">
        <f t="shared" si="162"/>
        <v>689</v>
      </c>
      <c r="CU24" s="486">
        <f>SUM(CU17:CU23)</f>
        <v>720</v>
      </c>
      <c r="CV24" s="486">
        <f t="shared" si="162"/>
        <v>-1137</v>
      </c>
      <c r="CW24" s="486">
        <f t="shared" si="162"/>
        <v>1874</v>
      </c>
      <c r="CX24" s="486">
        <f t="shared" si="162"/>
        <v>-1304</v>
      </c>
      <c r="CY24" s="487">
        <f t="shared" si="162"/>
        <v>153</v>
      </c>
      <c r="CZ24" s="486">
        <f t="shared" si="162"/>
        <v>-2399</v>
      </c>
      <c r="DA24" s="486">
        <f t="shared" si="162"/>
        <v>-32</v>
      </c>
      <c r="DB24" s="486">
        <f t="shared" si="162"/>
        <v>1834</v>
      </c>
      <c r="DC24" s="486">
        <f t="shared" si="162"/>
        <v>-598</v>
      </c>
      <c r="DD24" s="487">
        <f t="shared" si="162"/>
        <v>-1195</v>
      </c>
      <c r="DE24" s="486">
        <f t="shared" ref="DE24:DN24" si="163">SUM(DE17:DE23)</f>
        <v>1565</v>
      </c>
      <c r="DF24" s="486">
        <f t="shared" si="163"/>
        <v>-3140</v>
      </c>
      <c r="DG24" s="486">
        <f>SUM(DG17:DG23)</f>
        <v>2535</v>
      </c>
      <c r="DH24" s="486">
        <f t="shared" si="163"/>
        <v>262</v>
      </c>
      <c r="DI24" s="487">
        <f t="shared" si="163"/>
        <v>1222</v>
      </c>
      <c r="DJ24" s="486">
        <f t="shared" si="163"/>
        <v>1744</v>
      </c>
      <c r="DK24" s="486">
        <f t="shared" si="163"/>
        <v>-3317</v>
      </c>
      <c r="DL24" s="486">
        <f t="shared" si="163"/>
        <v>2365</v>
      </c>
      <c r="DM24" s="486">
        <f t="shared" si="163"/>
        <v>-1503</v>
      </c>
      <c r="DN24" s="487">
        <f t="shared" si="163"/>
        <v>-711</v>
      </c>
      <c r="DO24" s="486">
        <f t="shared" ref="DO24:DX24" si="164">SUM(DO17:DO23)</f>
        <v>1169</v>
      </c>
      <c r="DP24" s="486">
        <f t="shared" si="164"/>
        <v>-1913</v>
      </c>
      <c r="DQ24" s="486">
        <f t="shared" si="164"/>
        <v>3205</v>
      </c>
      <c r="DR24" s="486">
        <f>SUM(DR17:DR23)</f>
        <v>122</v>
      </c>
      <c r="DS24" s="487">
        <f>SUM(DS17:DS23)</f>
        <v>2583</v>
      </c>
      <c r="DT24" s="486">
        <f t="shared" si="164"/>
        <v>2833</v>
      </c>
      <c r="DU24" s="486">
        <f t="shared" si="164"/>
        <v>-3362</v>
      </c>
      <c r="DV24" s="486">
        <f t="shared" si="164"/>
        <v>1791</v>
      </c>
      <c r="DW24" s="486">
        <f t="shared" si="164"/>
        <v>-305</v>
      </c>
      <c r="DX24" s="487">
        <f t="shared" si="164"/>
        <v>957</v>
      </c>
      <c r="DY24" s="486">
        <f t="shared" ref="DY24:EW24" si="165">SUM(DY17:DY23)</f>
        <v>1080</v>
      </c>
      <c r="DZ24" s="486">
        <f t="shared" si="165"/>
        <v>-3848</v>
      </c>
      <c r="EA24" s="486">
        <f t="shared" si="165"/>
        <v>2834</v>
      </c>
      <c r="EB24" s="486">
        <f t="shared" si="165"/>
        <v>3144</v>
      </c>
      <c r="EC24" s="487">
        <f t="shared" si="165"/>
        <v>3210</v>
      </c>
      <c r="ED24" s="486">
        <f t="shared" si="165"/>
        <v>1886</v>
      </c>
      <c r="EE24" s="486">
        <f t="shared" si="165"/>
        <v>-3790</v>
      </c>
      <c r="EF24" s="486">
        <f t="shared" si="165"/>
        <v>2262</v>
      </c>
      <c r="EG24" s="486">
        <f t="shared" si="165"/>
        <v>1307</v>
      </c>
      <c r="EH24" s="487">
        <f t="shared" si="165"/>
        <v>1665</v>
      </c>
      <c r="EI24" s="2771">
        <f t="shared" si="165"/>
        <v>1947</v>
      </c>
      <c r="EJ24" s="2771">
        <f t="shared" si="165"/>
        <v>-1385</v>
      </c>
      <c r="EK24" s="2771">
        <f t="shared" si="165"/>
        <v>3816</v>
      </c>
      <c r="EL24" s="2771">
        <f t="shared" si="165"/>
        <v>3202</v>
      </c>
      <c r="EM24" s="2772">
        <f t="shared" si="165"/>
        <v>7580</v>
      </c>
      <c r="EN24" s="2771">
        <f>SUM(EN17:EN23)</f>
        <v>4636</v>
      </c>
      <c r="EO24" s="2771">
        <f t="shared" ref="EO24:EQ24" si="166">SUM(EO17:EO23)</f>
        <v>-601</v>
      </c>
      <c r="EP24" s="2771">
        <f t="shared" si="166"/>
        <v>3890</v>
      </c>
      <c r="EQ24" s="2771">
        <f t="shared" si="166"/>
        <v>3703</v>
      </c>
      <c r="ER24" s="2772">
        <f t="shared" si="165"/>
        <v>11628</v>
      </c>
      <c r="ES24" s="2771">
        <f>SUM(ES17:ES23)</f>
        <v>2968</v>
      </c>
      <c r="ET24" s="2771">
        <f t="shared" ref="ET24:EU24" si="167">SUM(ET17:ET23)</f>
        <v>13644</v>
      </c>
      <c r="EU24" s="2771">
        <f t="shared" si="167"/>
        <v>1882</v>
      </c>
      <c r="EV24" s="486">
        <f t="shared" si="165"/>
        <v>1130.2852371353365</v>
      </c>
      <c r="EW24" s="487">
        <f t="shared" si="165"/>
        <v>19624.285237135337</v>
      </c>
      <c r="EX24" s="486">
        <f t="shared" ref="EX24:FG24" si="168">SUM(EX17:EX23)</f>
        <v>3590.6468415914587</v>
      </c>
      <c r="EY24" s="486">
        <f t="shared" si="168"/>
        <v>-3331.9616166093401</v>
      </c>
      <c r="EZ24" s="486">
        <f t="shared" si="168"/>
        <v>2819.7407414452809</v>
      </c>
      <c r="FA24" s="486">
        <f t="shared" si="168"/>
        <v>1502.9663011505945</v>
      </c>
      <c r="FB24" s="487">
        <f t="shared" si="168"/>
        <v>4581.392267578005</v>
      </c>
      <c r="FC24" s="486">
        <f t="shared" si="168"/>
        <v>4148.6456662221372</v>
      </c>
      <c r="FD24" s="486">
        <f t="shared" si="168"/>
        <v>-3661.9081661189957</v>
      </c>
      <c r="FE24" s="486">
        <f t="shared" si="168"/>
        <v>2586.8308203704182</v>
      </c>
      <c r="FF24" s="486">
        <f t="shared" si="168"/>
        <v>1712.3951185173537</v>
      </c>
      <c r="FG24" s="487">
        <f t="shared" si="168"/>
        <v>4785.9634389909188</v>
      </c>
      <c r="FH24" s="486">
        <f t="shared" ref="FH24:FL24" si="169">SUM(FH17:FH23)</f>
        <v>4805.6346362387376</v>
      </c>
      <c r="FI24" s="486">
        <f t="shared" si="169"/>
        <v>-4589.498801663467</v>
      </c>
      <c r="FJ24" s="486">
        <f t="shared" si="169"/>
        <v>3132.2119286183006</v>
      </c>
      <c r="FK24" s="486">
        <f t="shared" si="169"/>
        <v>2539.7714133447553</v>
      </c>
      <c r="FL24" s="487">
        <f t="shared" si="169"/>
        <v>5888.1191765383119</v>
      </c>
      <c r="FM24" s="898"/>
      <c r="FN24" s="486"/>
      <c r="FO24" s="487">
        <f t="shared" ref="FO24:GB24" si="170">SUM(FO17:FO23)</f>
        <v>-525</v>
      </c>
      <c r="FP24" s="487">
        <f t="shared" si="170"/>
        <v>-2357</v>
      </c>
      <c r="FQ24" s="487">
        <f t="shared" si="170"/>
        <v>2622</v>
      </c>
      <c r="FR24" s="487">
        <f t="shared" si="170"/>
        <v>3167</v>
      </c>
      <c r="FS24" s="487">
        <f t="shared" si="170"/>
        <v>-459</v>
      </c>
      <c r="FT24" s="487">
        <f t="shared" si="170"/>
        <v>532</v>
      </c>
      <c r="FU24" s="487">
        <f t="shared" si="170"/>
        <v>395</v>
      </c>
      <c r="FV24" s="487">
        <f t="shared" si="170"/>
        <v>-77</v>
      </c>
      <c r="FW24" s="487">
        <f t="shared" si="170"/>
        <v>1146</v>
      </c>
      <c r="FX24" s="487">
        <f t="shared" si="170"/>
        <v>-1861</v>
      </c>
      <c r="FY24" s="487">
        <f t="shared" si="170"/>
        <v>-339</v>
      </c>
      <c r="FZ24" s="487">
        <f t="shared" si="170"/>
        <v>1224</v>
      </c>
      <c r="GA24" s="487">
        <f t="shared" si="170"/>
        <v>118</v>
      </c>
      <c r="GB24" s="487">
        <f t="shared" si="170"/>
        <v>2798</v>
      </c>
      <c r="GC24" s="487">
        <f t="shared" ref="GC24:GH24" si="171">SUM(GC17:GC23)</f>
        <v>-1282</v>
      </c>
      <c r="GD24" s="487">
        <f t="shared" si="171"/>
        <v>4074</v>
      </c>
      <c r="GE24" s="487">
        <f t="shared" si="171"/>
        <v>4131</v>
      </c>
      <c r="GF24" s="487">
        <f t="shared" si="171"/>
        <v>11053</v>
      </c>
      <c r="GG24" s="487">
        <f t="shared" si="171"/>
        <v>24205</v>
      </c>
      <c r="GH24" s="487">
        <f t="shared" si="171"/>
        <v>3270.970462117446</v>
      </c>
      <c r="GI24" s="487">
        <f t="shared" ref="GI24" si="172">SUM(GI17:GI23)</f>
        <v>4809.4445426990133</v>
      </c>
      <c r="GJ24" s="898"/>
      <c r="GK24" s="898"/>
      <c r="GL24" s="898"/>
      <c r="GM24" s="898"/>
      <c r="GO24"/>
      <c r="GP24"/>
      <c r="GQ24"/>
      <c r="GR24"/>
      <c r="GS24"/>
      <c r="GT24"/>
      <c r="GU24" s="261"/>
      <c r="GV24" s="261"/>
      <c r="GW24" s="261"/>
      <c r="GX24" s="261"/>
      <c r="GY24" s="261"/>
      <c r="GZ24" s="261"/>
      <c r="HA24" s="261"/>
      <c r="HB24" s="261"/>
      <c r="HC24" s="261"/>
      <c r="HD24" s="261"/>
      <c r="HE24" s="261"/>
      <c r="HF24" s="261"/>
      <c r="HG24" s="261"/>
      <c r="HH24" s="261"/>
      <c r="HI24" s="261"/>
      <c r="HJ24" s="261"/>
      <c r="HK24" s="261"/>
      <c r="HL24" s="261"/>
      <c r="HM24" s="261"/>
      <c r="HN24" s="261"/>
      <c r="HO24" s="261"/>
      <c r="HP24" s="261"/>
      <c r="HQ24" s="261"/>
      <c r="HR24" s="261"/>
      <c r="HS24" s="261"/>
      <c r="HT24" s="261"/>
      <c r="HU24" s="261"/>
      <c r="HV24" s="261"/>
      <c r="HW24" s="261"/>
      <c r="HX24" s="261"/>
      <c r="HY24" s="261"/>
      <c r="HZ24" s="261"/>
      <c r="IA24" s="261"/>
      <c r="IB24" s="261"/>
      <c r="IC24" s="261"/>
      <c r="ID24" s="261"/>
      <c r="IE24" s="261"/>
      <c r="IF24" s="261"/>
      <c r="IG24" s="261"/>
      <c r="IH24" s="261"/>
      <c r="II24" s="261"/>
      <c r="IJ24" s="261"/>
      <c r="IK24" s="261"/>
      <c r="IL24" s="261"/>
      <c r="IM24" s="261"/>
      <c r="IN24" s="261"/>
      <c r="IO24" s="261"/>
      <c r="IP24" s="261"/>
      <c r="IQ24" s="261"/>
      <c r="IR24" s="261"/>
      <c r="IS24" s="261"/>
      <c r="IT24" s="261"/>
      <c r="IU24" s="261"/>
      <c r="IV24" s="261"/>
      <c r="IW24" s="261"/>
      <c r="IX24" s="261"/>
      <c r="IY24" s="261"/>
      <c r="IZ24" s="261"/>
      <c r="JA24" s="261"/>
      <c r="JB24" s="261"/>
      <c r="JC24" s="261"/>
      <c r="JD24" s="261"/>
      <c r="JE24" s="261"/>
      <c r="JF24" s="261"/>
      <c r="JG24" s="261"/>
      <c r="JH24" s="261"/>
      <c r="JI24" s="261"/>
      <c r="JJ24" s="261"/>
      <c r="JK24" s="261"/>
      <c r="JL24" s="261"/>
      <c r="JM24" s="261"/>
      <c r="JN24" s="261"/>
      <c r="JO24" s="261"/>
      <c r="JP24" s="261"/>
      <c r="JQ24" s="261"/>
      <c r="JR24" s="261"/>
      <c r="JS24" s="261"/>
      <c r="JT24" s="261"/>
    </row>
    <row r="25" spans="1:280" s="264" customFormat="1" ht="13.5" customHeight="1">
      <c r="A25" s="415" t="s">
        <v>532</v>
      </c>
      <c r="D25" s="486">
        <f t="shared" ref="D25:AI25" si="173">+D16+D24</f>
        <v>37</v>
      </c>
      <c r="E25" s="486">
        <f t="shared" si="173"/>
        <v>46.705000000000013</v>
      </c>
      <c r="F25" s="486">
        <f t="shared" si="173"/>
        <v>41.203000000000003</v>
      </c>
      <c r="G25" s="486">
        <f t="shared" si="173"/>
        <v>46.405000000000001</v>
      </c>
      <c r="H25" s="487">
        <f t="shared" si="173"/>
        <v>171.31300000000002</v>
      </c>
      <c r="I25" s="486">
        <f t="shared" si="173"/>
        <v>50.122</v>
      </c>
      <c r="J25" s="486">
        <f t="shared" si="173"/>
        <v>73.704000000000008</v>
      </c>
      <c r="K25" s="486">
        <f t="shared" si="173"/>
        <v>74.873999999999995</v>
      </c>
      <c r="L25" s="486">
        <f t="shared" si="173"/>
        <v>80.485000000000014</v>
      </c>
      <c r="M25" s="487">
        <f t="shared" si="173"/>
        <v>279.185</v>
      </c>
      <c r="N25" s="486">
        <f t="shared" si="173"/>
        <v>87.399999999999977</v>
      </c>
      <c r="O25" s="486">
        <f t="shared" si="173"/>
        <v>112.5</v>
      </c>
      <c r="P25" s="486">
        <f t="shared" si="173"/>
        <v>124</v>
      </c>
      <c r="Q25" s="486">
        <f t="shared" si="173"/>
        <v>139</v>
      </c>
      <c r="R25" s="487">
        <f t="shared" si="173"/>
        <v>462.9</v>
      </c>
      <c r="S25" s="486">
        <f t="shared" si="173"/>
        <v>144</v>
      </c>
      <c r="T25" s="486">
        <f t="shared" si="173"/>
        <v>175</v>
      </c>
      <c r="U25" s="486">
        <f t="shared" si="173"/>
        <v>179</v>
      </c>
      <c r="V25" s="486">
        <f t="shared" si="173"/>
        <v>210.2</v>
      </c>
      <c r="W25" s="487">
        <f t="shared" si="173"/>
        <v>708.2</v>
      </c>
      <c r="X25" s="486">
        <f t="shared" si="173"/>
        <v>209</v>
      </c>
      <c r="Y25" s="486">
        <f t="shared" si="173"/>
        <v>236</v>
      </c>
      <c r="Z25" s="486">
        <f t="shared" si="173"/>
        <v>243</v>
      </c>
      <c r="AA25" s="486">
        <f t="shared" si="173"/>
        <v>265</v>
      </c>
      <c r="AB25" s="487">
        <f t="shared" si="173"/>
        <v>953</v>
      </c>
      <c r="AC25" s="486">
        <f t="shared" si="173"/>
        <v>239</v>
      </c>
      <c r="AD25" s="486">
        <f t="shared" si="173"/>
        <v>289</v>
      </c>
      <c r="AE25" s="486">
        <f t="shared" si="173"/>
        <v>256</v>
      </c>
      <c r="AF25" s="486">
        <f t="shared" si="173"/>
        <v>960</v>
      </c>
      <c r="AG25" s="487">
        <f t="shared" si="173"/>
        <v>1744</v>
      </c>
      <c r="AH25" s="486">
        <f t="shared" si="173"/>
        <v>429</v>
      </c>
      <c r="AI25" s="486">
        <f t="shared" si="173"/>
        <v>484</v>
      </c>
      <c r="AJ25" s="486">
        <f t="shared" ref="AJ25:BO25" si="174">+AJ16+AJ24</f>
        <v>688</v>
      </c>
      <c r="AK25" s="486">
        <f t="shared" si="174"/>
        <v>522</v>
      </c>
      <c r="AL25" s="487">
        <f t="shared" si="174"/>
        <v>2123</v>
      </c>
      <c r="AM25" s="486">
        <f t="shared" si="174"/>
        <v>558</v>
      </c>
      <c r="AN25" s="486">
        <f t="shared" si="174"/>
        <v>1414</v>
      </c>
      <c r="AO25" s="486">
        <f t="shared" si="174"/>
        <v>1077</v>
      </c>
      <c r="AP25" s="486">
        <f t="shared" si="174"/>
        <v>1022</v>
      </c>
      <c r="AQ25" s="487">
        <f t="shared" si="174"/>
        <v>4071</v>
      </c>
      <c r="AR25" s="486">
        <f t="shared" si="174"/>
        <v>889</v>
      </c>
      <c r="AS25" s="486">
        <f t="shared" si="174"/>
        <v>1338</v>
      </c>
      <c r="AT25" s="486">
        <f t="shared" si="174"/>
        <v>1874</v>
      </c>
      <c r="AU25" s="486">
        <f t="shared" si="174"/>
        <v>1384</v>
      </c>
      <c r="AV25" s="487">
        <f t="shared" si="174"/>
        <v>5485</v>
      </c>
      <c r="AW25" s="486">
        <f t="shared" si="174"/>
        <v>1879</v>
      </c>
      <c r="AX25" s="486">
        <f t="shared" si="174"/>
        <v>1872</v>
      </c>
      <c r="AY25" s="486">
        <f t="shared" si="174"/>
        <v>2605</v>
      </c>
      <c r="AZ25" s="486">
        <f t="shared" si="174"/>
        <v>2077</v>
      </c>
      <c r="BA25" s="487">
        <f t="shared" si="174"/>
        <v>8433</v>
      </c>
      <c r="BB25" s="487">
        <f t="shared" si="174"/>
        <v>3175</v>
      </c>
      <c r="BC25" s="486">
        <f t="shared" si="174"/>
        <v>2778</v>
      </c>
      <c r="BD25" s="486">
        <f t="shared" si="174"/>
        <v>3704</v>
      </c>
      <c r="BE25" s="486">
        <f t="shared" si="174"/>
        <v>3480</v>
      </c>
      <c r="BF25" s="487">
        <f t="shared" si="174"/>
        <v>13137</v>
      </c>
      <c r="BG25" s="487">
        <f t="shared" si="174"/>
        <v>2857</v>
      </c>
      <c r="BH25" s="486">
        <f t="shared" si="174"/>
        <v>2927</v>
      </c>
      <c r="BI25" s="486">
        <f t="shared" si="174"/>
        <v>2954</v>
      </c>
      <c r="BJ25" s="486">
        <f t="shared" si="174"/>
        <v>2688</v>
      </c>
      <c r="BK25" s="487">
        <f t="shared" si="174"/>
        <v>11426</v>
      </c>
      <c r="BL25" s="486">
        <f t="shared" si="174"/>
        <v>2960</v>
      </c>
      <c r="BM25" s="486">
        <f t="shared" si="174"/>
        <v>2919</v>
      </c>
      <c r="BN25" s="486">
        <f t="shared" si="174"/>
        <v>3964</v>
      </c>
      <c r="BO25" s="486">
        <f t="shared" si="174"/>
        <v>3579</v>
      </c>
      <c r="BP25" s="487">
        <f t="shared" ref="BP25:CU25" si="175">+BP16+BP24</f>
        <v>13422</v>
      </c>
      <c r="BQ25" s="486">
        <f t="shared" si="175"/>
        <v>3389</v>
      </c>
      <c r="BR25" s="486">
        <f t="shared" si="175"/>
        <v>3565</v>
      </c>
      <c r="BS25" s="486">
        <f t="shared" si="175"/>
        <v>4121</v>
      </c>
      <c r="BT25" s="486">
        <f t="shared" si="175"/>
        <v>3434</v>
      </c>
      <c r="BU25" s="487">
        <f t="shared" si="175"/>
        <v>14509</v>
      </c>
      <c r="BV25" s="486">
        <f t="shared" si="175"/>
        <v>6172</v>
      </c>
      <c r="BW25" s="486">
        <f t="shared" si="175"/>
        <v>2767</v>
      </c>
      <c r="BX25" s="486">
        <f t="shared" si="175"/>
        <v>4168.99</v>
      </c>
      <c r="BY25" s="486">
        <f t="shared" si="175"/>
        <v>2689.38</v>
      </c>
      <c r="BZ25" s="487">
        <f t="shared" si="175"/>
        <v>15797.369999999999</v>
      </c>
      <c r="CA25" s="486">
        <f t="shared" si="175"/>
        <v>3424</v>
      </c>
      <c r="CB25" s="486">
        <f t="shared" si="175"/>
        <v>4574.04</v>
      </c>
      <c r="CC25" s="486">
        <f t="shared" si="175"/>
        <v>4970</v>
      </c>
      <c r="CD25" s="486">
        <f t="shared" si="175"/>
        <v>1657</v>
      </c>
      <c r="CE25" s="487">
        <f t="shared" si="175"/>
        <v>14625.04</v>
      </c>
      <c r="CF25" s="486">
        <f t="shared" si="175"/>
        <v>4007</v>
      </c>
      <c r="CG25" s="486">
        <f t="shared" si="175"/>
        <v>3619</v>
      </c>
      <c r="CH25" s="486">
        <f t="shared" si="175"/>
        <v>5003</v>
      </c>
      <c r="CI25" s="486">
        <f t="shared" si="175"/>
        <v>3976</v>
      </c>
      <c r="CJ25" s="487">
        <f t="shared" si="175"/>
        <v>16605</v>
      </c>
      <c r="CK25" s="486">
        <f t="shared" si="175"/>
        <v>4329</v>
      </c>
      <c r="CL25" s="486">
        <f t="shared" si="175"/>
        <v>2231</v>
      </c>
      <c r="CM25" s="486">
        <f t="shared" si="175"/>
        <v>4563</v>
      </c>
      <c r="CN25" s="486">
        <f t="shared" si="175"/>
        <v>3281</v>
      </c>
      <c r="CO25" s="487">
        <f t="shared" si="175"/>
        <v>14404</v>
      </c>
      <c r="CP25" s="486">
        <f t="shared" si="175"/>
        <v>4061</v>
      </c>
      <c r="CQ25" s="486">
        <f t="shared" si="175"/>
        <v>2042</v>
      </c>
      <c r="CR25" s="486">
        <f t="shared" si="175"/>
        <v>7291</v>
      </c>
      <c r="CS25" s="486">
        <f t="shared" si="175"/>
        <v>4402</v>
      </c>
      <c r="CT25" s="487">
        <f t="shared" si="175"/>
        <v>17796</v>
      </c>
      <c r="CU25" s="486">
        <f t="shared" si="175"/>
        <v>5878</v>
      </c>
      <c r="CV25" s="486">
        <f t="shared" ref="CV25:DI25" si="176">+CV16+CV24</f>
        <v>4567</v>
      </c>
      <c r="CW25" s="486">
        <f t="shared" si="176"/>
        <v>7082</v>
      </c>
      <c r="CX25" s="486">
        <f t="shared" si="176"/>
        <v>4085</v>
      </c>
      <c r="CY25" s="487">
        <f t="shared" si="176"/>
        <v>21612</v>
      </c>
      <c r="CZ25" s="486">
        <f t="shared" si="176"/>
        <v>3370</v>
      </c>
      <c r="DA25" s="486">
        <f t="shared" si="176"/>
        <v>5782</v>
      </c>
      <c r="DB25" s="486">
        <f t="shared" si="176"/>
        <v>6043.9627100840335</v>
      </c>
      <c r="DC25" s="486">
        <f t="shared" si="176"/>
        <v>3841</v>
      </c>
      <c r="DD25" s="487">
        <f t="shared" si="176"/>
        <v>19036.962710084033</v>
      </c>
      <c r="DE25" s="486">
        <f t="shared" si="176"/>
        <v>6107</v>
      </c>
      <c r="DF25" s="486">
        <f t="shared" si="176"/>
        <v>4969</v>
      </c>
      <c r="DG25" s="486">
        <f>+DG16+DG24</f>
        <v>7393</v>
      </c>
      <c r="DH25" s="486">
        <f t="shared" si="176"/>
        <v>5604</v>
      </c>
      <c r="DI25" s="487">
        <f t="shared" si="176"/>
        <v>24073</v>
      </c>
      <c r="DJ25" s="486">
        <f t="shared" ref="DJ25:DP25" si="177">+DJ16+DJ24</f>
        <v>8194</v>
      </c>
      <c r="DK25" s="486">
        <f t="shared" si="177"/>
        <v>4186</v>
      </c>
      <c r="DL25" s="486">
        <f t="shared" si="177"/>
        <v>8672</v>
      </c>
      <c r="DM25" s="486">
        <f t="shared" si="177"/>
        <v>5942</v>
      </c>
      <c r="DN25" s="487">
        <f t="shared" si="177"/>
        <v>26994</v>
      </c>
      <c r="DO25" s="486">
        <f t="shared" si="177"/>
        <v>8493</v>
      </c>
      <c r="DP25" s="486">
        <f t="shared" si="177"/>
        <v>5862</v>
      </c>
      <c r="DQ25" s="486">
        <f>+DQ16+DQ24</f>
        <v>9594</v>
      </c>
      <c r="DR25" s="486">
        <f>+DR16+DR24</f>
        <v>7677</v>
      </c>
      <c r="DS25" s="487">
        <f>+DS16+DS24</f>
        <v>31626</v>
      </c>
      <c r="DT25" s="486">
        <f t="shared" ref="DT25:EC25" si="178">+DT16+DT24</f>
        <v>8484</v>
      </c>
      <c r="DU25" s="486">
        <f t="shared" si="178"/>
        <v>4780</v>
      </c>
      <c r="DV25" s="486">
        <f t="shared" si="178"/>
        <v>9666</v>
      </c>
      <c r="DW25" s="486">
        <f t="shared" si="178"/>
        <v>5903</v>
      </c>
      <c r="DX25" s="487">
        <f t="shared" si="178"/>
        <v>28833</v>
      </c>
      <c r="DY25" s="486">
        <f t="shared" si="178"/>
        <v>8205</v>
      </c>
      <c r="DZ25" s="486">
        <f t="shared" si="178"/>
        <v>4413</v>
      </c>
      <c r="EA25" s="486">
        <f t="shared" si="178"/>
        <v>10099</v>
      </c>
      <c r="EB25" s="486">
        <f t="shared" si="178"/>
        <v>9514</v>
      </c>
      <c r="EC25" s="487">
        <f t="shared" si="178"/>
        <v>32231</v>
      </c>
      <c r="ED25" s="486">
        <f t="shared" ref="ED25:EM25" si="179">+ED16+ED24</f>
        <v>8354</v>
      </c>
      <c r="EE25" s="486">
        <f t="shared" si="179"/>
        <v>4340</v>
      </c>
      <c r="EF25" s="486">
        <f t="shared" si="179"/>
        <v>9570</v>
      </c>
      <c r="EG25" s="486">
        <f t="shared" si="179"/>
        <v>6816</v>
      </c>
      <c r="EH25" s="487">
        <f t="shared" si="179"/>
        <v>29080</v>
      </c>
      <c r="EI25" s="2771">
        <f t="shared" si="179"/>
        <v>8876</v>
      </c>
      <c r="EJ25" s="2771">
        <f t="shared" si="179"/>
        <v>5618</v>
      </c>
      <c r="EK25" s="2771">
        <f t="shared" si="179"/>
        <v>10367</v>
      </c>
      <c r="EL25" s="2771">
        <f t="shared" si="179"/>
        <v>8464</v>
      </c>
      <c r="EM25" s="2772">
        <f t="shared" si="179"/>
        <v>33325</v>
      </c>
      <c r="EN25" s="2771">
        <f>+EN16+EN24</f>
        <v>11549</v>
      </c>
      <c r="EO25" s="2771">
        <f t="shared" ref="EO25:ER25" si="180">+EO16+EO24</f>
        <v>6293</v>
      </c>
      <c r="EP25" s="2771">
        <f t="shared" si="180"/>
        <v>10660</v>
      </c>
      <c r="EQ25" s="2771">
        <f t="shared" si="180"/>
        <v>11005</v>
      </c>
      <c r="ER25" s="2772">
        <f t="shared" si="180"/>
        <v>39507</v>
      </c>
      <c r="ES25" s="2771">
        <f>+ES16+ES24</f>
        <v>12440</v>
      </c>
      <c r="ET25" s="2771">
        <f t="shared" ref="ET25:EU25" si="181">+ET16+ET24</f>
        <v>7875</v>
      </c>
      <c r="EU25" s="2771">
        <f t="shared" si="181"/>
        <v>12151</v>
      </c>
      <c r="EV25" s="486">
        <f t="shared" ref="EU25:EW25" si="182">+EV16+EV24</f>
        <v>13194.075164074658</v>
      </c>
      <c r="EW25" s="487">
        <f t="shared" si="182"/>
        <v>45660.07516407466</v>
      </c>
      <c r="EX25" s="486">
        <f t="shared" ref="EX25:FG25" si="183">+EX16+EX24</f>
        <v>14411.043757843941</v>
      </c>
      <c r="EY25" s="486">
        <f t="shared" si="183"/>
        <v>8380.9546613310631</v>
      </c>
      <c r="EZ25" s="486">
        <f t="shared" si="183"/>
        <v>14195.080470431789</v>
      </c>
      <c r="FA25" s="486">
        <f t="shared" si="183"/>
        <v>14009.945373325601</v>
      </c>
      <c r="FB25" s="487">
        <f t="shared" si="183"/>
        <v>50997.024262932406</v>
      </c>
      <c r="FC25" s="486">
        <f t="shared" si="183"/>
        <v>16182.936852726811</v>
      </c>
      <c r="FD25" s="486">
        <f t="shared" si="183"/>
        <v>9432.8566306911489</v>
      </c>
      <c r="FE25" s="486">
        <f t="shared" si="183"/>
        <v>15521.399304788914</v>
      </c>
      <c r="FF25" s="486">
        <f t="shared" si="183"/>
        <v>15905.857757028187</v>
      </c>
      <c r="FG25" s="487">
        <f t="shared" si="183"/>
        <v>57043.050545235063</v>
      </c>
      <c r="FH25" s="486">
        <f t="shared" ref="FH25:FL25" si="184">+FH16+FH24</f>
        <v>18183.004751018187</v>
      </c>
      <c r="FI25" s="486">
        <f t="shared" si="184"/>
        <v>9947.956627921365</v>
      </c>
      <c r="FJ25" s="486">
        <f t="shared" si="184"/>
        <v>17613.007657128779</v>
      </c>
      <c r="FK25" s="486">
        <f t="shared" si="184"/>
        <v>18389.168935312238</v>
      </c>
      <c r="FL25" s="487">
        <f t="shared" si="184"/>
        <v>64133.137971380551</v>
      </c>
      <c r="FM25" s="898"/>
      <c r="FN25" s="486"/>
      <c r="FO25" s="487">
        <f t="shared" ref="FO25:GB25" si="185">+FO16+FO24</f>
        <v>12968</v>
      </c>
      <c r="FP25" s="487">
        <f t="shared" si="185"/>
        <v>11521</v>
      </c>
      <c r="FQ25" s="487">
        <f t="shared" si="185"/>
        <v>14497</v>
      </c>
      <c r="FR25" s="487">
        <f t="shared" si="185"/>
        <v>16494</v>
      </c>
      <c r="FS25" s="487">
        <f t="shared" si="185"/>
        <v>14856.41</v>
      </c>
      <c r="FT25" s="487">
        <f t="shared" si="185"/>
        <v>14253</v>
      </c>
      <c r="FU25" s="487">
        <f t="shared" si="185"/>
        <v>15539</v>
      </c>
      <c r="FV25" s="487">
        <f t="shared" si="185"/>
        <v>13947</v>
      </c>
      <c r="FW25" s="487">
        <f t="shared" si="185"/>
        <v>22138</v>
      </c>
      <c r="FX25" s="487">
        <f t="shared" si="185"/>
        <v>20319</v>
      </c>
      <c r="FY25" s="487">
        <f t="shared" si="185"/>
        <v>20960.962710084033</v>
      </c>
      <c r="FZ25" s="487">
        <f t="shared" si="185"/>
        <v>25377</v>
      </c>
      <c r="GA25" s="487">
        <f t="shared" si="185"/>
        <v>28969</v>
      </c>
      <c r="GB25" s="487">
        <f t="shared" si="185"/>
        <v>30535</v>
      </c>
      <c r="GC25" s="487">
        <f t="shared" ref="GC25:GH25" si="186">+GC16+GC24</f>
        <v>28187</v>
      </c>
      <c r="GD25" s="487">
        <f t="shared" si="186"/>
        <v>32307</v>
      </c>
      <c r="GE25" s="487">
        <f t="shared" si="186"/>
        <v>30880</v>
      </c>
      <c r="GF25" s="487">
        <f t="shared" si="186"/>
        <v>36673</v>
      </c>
      <c r="GG25" s="487">
        <f t="shared" si="186"/>
        <v>41980</v>
      </c>
      <c r="GH25" s="487">
        <f t="shared" si="186"/>
        <v>48137.073583249658</v>
      </c>
      <c r="GI25" s="487">
        <f t="shared" ref="GI25" si="187">+GI16+GI24</f>
        <v>53820.819327175348</v>
      </c>
      <c r="GJ25" s="898"/>
      <c r="GK25" s="898"/>
      <c r="GL25" s="898"/>
      <c r="GM25" s="898"/>
      <c r="GO25"/>
      <c r="GP25"/>
      <c r="GQ25"/>
      <c r="GR25"/>
      <c r="GS25"/>
      <c r="GT25"/>
      <c r="GU25" s="261"/>
      <c r="GV25" s="261"/>
      <c r="GW25" s="261"/>
      <c r="GX25" s="261"/>
      <c r="GY25" s="261"/>
      <c r="GZ25" s="261"/>
      <c r="HA25" s="261"/>
      <c r="HB25" s="261"/>
      <c r="HC25" s="261"/>
      <c r="HD25" s="261"/>
      <c r="HE25" s="261"/>
      <c r="HF25" s="261"/>
      <c r="HG25" s="261"/>
      <c r="HH25" s="261"/>
      <c r="HI25" s="261"/>
      <c r="HJ25" s="261"/>
      <c r="HK25" s="261"/>
      <c r="HL25" s="261"/>
      <c r="HM25" s="261"/>
      <c r="HN25" s="261"/>
      <c r="HO25" s="261"/>
      <c r="HP25" s="261"/>
      <c r="HQ25" s="261"/>
      <c r="HR25" s="261"/>
      <c r="HS25" s="261"/>
      <c r="HT25" s="261"/>
      <c r="HU25" s="261"/>
      <c r="HV25" s="261"/>
      <c r="HW25" s="261"/>
      <c r="HX25" s="261"/>
      <c r="HY25" s="261"/>
      <c r="HZ25" s="261"/>
      <c r="IA25" s="261"/>
      <c r="IB25" s="261"/>
      <c r="IC25" s="261"/>
      <c r="ID25" s="261"/>
      <c r="IE25" s="261"/>
      <c r="IF25" s="261"/>
      <c r="IG25" s="261"/>
      <c r="IH25" s="261"/>
      <c r="II25" s="261"/>
      <c r="IJ25" s="261"/>
      <c r="IK25" s="261"/>
      <c r="IL25" s="261"/>
      <c r="IM25" s="261"/>
      <c r="IN25" s="261"/>
      <c r="IO25" s="261"/>
      <c r="IP25" s="261"/>
      <c r="IQ25" s="261"/>
      <c r="IR25" s="261"/>
      <c r="IS25" s="261"/>
      <c r="IT25" s="261"/>
      <c r="IU25" s="261"/>
      <c r="IV25" s="261"/>
      <c r="IW25" s="261"/>
      <c r="IX25" s="261"/>
      <c r="IY25" s="261"/>
      <c r="IZ25" s="261"/>
      <c r="JA25" s="261"/>
      <c r="JB25" s="261"/>
      <c r="JC25" s="261"/>
      <c r="JD25" s="261"/>
      <c r="JE25" s="261"/>
      <c r="JF25" s="261"/>
      <c r="JG25" s="261"/>
      <c r="JH25" s="261"/>
      <c r="JI25" s="261"/>
      <c r="JJ25" s="261"/>
      <c r="JK25" s="261"/>
      <c r="JL25" s="261"/>
      <c r="JM25" s="261"/>
      <c r="JN25" s="261"/>
      <c r="JO25" s="261"/>
      <c r="JP25" s="261"/>
      <c r="JQ25" s="261"/>
      <c r="JR25" s="261"/>
      <c r="JS25" s="261"/>
      <c r="JT25" s="261"/>
    </row>
    <row r="26" spans="1:280" s="264" customFormat="1" ht="14.25" customHeight="1">
      <c r="A26" s="528" t="s">
        <v>456</v>
      </c>
      <c r="D26" s="1128">
        <v>0</v>
      </c>
      <c r="E26" s="455">
        <f t="shared" ref="E26:E32" si="188">0-D26</f>
        <v>0</v>
      </c>
      <c r="F26" s="455">
        <f t="shared" ref="F26:F32" si="189">0-SUM(D26:E26)</f>
        <v>0</v>
      </c>
      <c r="G26" s="455">
        <f t="shared" ref="G26:G32" si="190">0-SUM(D26:F26)</f>
        <v>0</v>
      </c>
      <c r="H26" s="327">
        <f t="shared" ref="H26:H40" si="191">SUM(D26:G26)</f>
        <v>0</v>
      </c>
      <c r="I26" s="1128">
        <v>0</v>
      </c>
      <c r="J26" s="455">
        <f t="shared" ref="J26:J32" si="192">0-I26</f>
        <v>0</v>
      </c>
      <c r="K26" s="455">
        <f t="shared" ref="K26:K32" si="193">0-SUM(I26:J26)</f>
        <v>0</v>
      </c>
      <c r="L26" s="455">
        <f t="shared" ref="L26:L32" si="194">0-SUM(I26:K26)</f>
        <v>0</v>
      </c>
      <c r="M26" s="327">
        <f t="shared" ref="M26:M40" si="195">SUM(I26:L26)</f>
        <v>0</v>
      </c>
      <c r="N26" s="1128">
        <v>0</v>
      </c>
      <c r="O26" s="455">
        <f t="shared" ref="O26:O32" si="196">0-N26</f>
        <v>0</v>
      </c>
      <c r="P26" s="455">
        <f t="shared" ref="P26:P32" si="197">0-SUM(N26:O26)</f>
        <v>0</v>
      </c>
      <c r="Q26" s="455">
        <f t="shared" ref="Q26:Q32" si="198">0-SUM(N26:P26)</f>
        <v>0</v>
      </c>
      <c r="R26" s="327">
        <f t="shared" ref="R26:R40" si="199">SUM(N26:Q26)</f>
        <v>0</v>
      </c>
      <c r="S26" s="1128">
        <v>0</v>
      </c>
      <c r="T26" s="455">
        <f t="shared" ref="T26:T32" si="200">0-S26</f>
        <v>0</v>
      </c>
      <c r="U26" s="455">
        <f t="shared" ref="U26:U32" si="201">0-SUM(S26:T26)</f>
        <v>0</v>
      </c>
      <c r="V26" s="455">
        <f t="shared" ref="V26:V32" si="202">0-SUM(S26:U26)</f>
        <v>0</v>
      </c>
      <c r="W26" s="327">
        <f t="shared" ref="W26:W40" si="203">SUM(S26:V26)</f>
        <v>0</v>
      </c>
      <c r="X26" s="1128">
        <v>0</v>
      </c>
      <c r="Y26" s="455">
        <f t="shared" ref="Y26:Y32" si="204">0-X26</f>
        <v>0</v>
      </c>
      <c r="Z26" s="455">
        <f t="shared" ref="Z26:Z32" si="205">0-SUM(X26:Y26)</f>
        <v>0</v>
      </c>
      <c r="AA26" s="455">
        <f t="shared" ref="AA26:AA32" si="206">0-SUM(X26:Z26)</f>
        <v>0</v>
      </c>
      <c r="AB26" s="327">
        <f t="shared" ref="AB26:AB40" si="207">SUM(X26:AA26)</f>
        <v>0</v>
      </c>
      <c r="AC26" s="1128">
        <v>0</v>
      </c>
      <c r="AD26" s="455">
        <f t="shared" ref="AD26:AD32" si="208">0-AC26</f>
        <v>0</v>
      </c>
      <c r="AE26" s="455">
        <f t="shared" ref="AE26:AE32" si="209">0-SUM(AC26:AD26)</f>
        <v>0</v>
      </c>
      <c r="AF26" s="455">
        <f>-278-SUM(AC26:AE26)</f>
        <v>-278</v>
      </c>
      <c r="AG26" s="327">
        <f t="shared" ref="AG26:AG40" si="210">SUM(AC26:AF26)</f>
        <v>-278</v>
      </c>
      <c r="AH26" s="1128">
        <v>-67</v>
      </c>
      <c r="AI26" s="455">
        <f>-170-AH26</f>
        <v>-103</v>
      </c>
      <c r="AJ26" s="455">
        <f>-272-SUM(AH26:AI26)</f>
        <v>-102</v>
      </c>
      <c r="AK26" s="455">
        <f>-495-SUM(AH26:AJ26)</f>
        <v>-223</v>
      </c>
      <c r="AL26" s="327">
        <f t="shared" ref="AL26:AL40" si="211">SUM(AH26:AK26)</f>
        <v>-495</v>
      </c>
      <c r="AM26" s="1128">
        <v>-116</v>
      </c>
      <c r="AN26" s="455">
        <f>-204-AM26</f>
        <v>-88</v>
      </c>
      <c r="AO26" s="455">
        <f>-336-SUM(AM26:AN26)</f>
        <v>-132</v>
      </c>
      <c r="AP26" s="455">
        <f>-494-SUM(AM26:AO26)</f>
        <v>-158</v>
      </c>
      <c r="AQ26" s="327">
        <f t="shared" ref="AQ26:AQ40" si="212">SUM(AM26:AP26)</f>
        <v>-494</v>
      </c>
      <c r="AR26" s="1128">
        <v>-99</v>
      </c>
      <c r="AS26" s="455">
        <f>-216-AR26</f>
        <v>-117</v>
      </c>
      <c r="AT26" s="455">
        <f>-326-SUM(AR26:AS26)</f>
        <v>-110</v>
      </c>
      <c r="AU26" s="455">
        <f>-499-SUM(AR26:AT26)</f>
        <v>-173</v>
      </c>
      <c r="AV26" s="327">
        <f t="shared" ref="AV26:AV40" si="213">SUM(AR26:AU26)</f>
        <v>-499</v>
      </c>
      <c r="AW26" s="1128">
        <v>-117</v>
      </c>
      <c r="AX26" s="455">
        <f>-268-AW26</f>
        <v>-151</v>
      </c>
      <c r="AY26" s="455">
        <f>-415-SUM(AW26:AX26)</f>
        <v>-147</v>
      </c>
      <c r="AZ26" s="455">
        <f>-656-SUM(AW26:AY26)</f>
        <v>-241</v>
      </c>
      <c r="BA26" s="327">
        <f t="shared" ref="BA26:BA40" si="214">SUM(AW26:AZ26)</f>
        <v>-656</v>
      </c>
      <c r="BB26" s="1135">
        <v>-106</v>
      </c>
      <c r="BC26" s="455">
        <f>-241-BB26</f>
        <v>-135</v>
      </c>
      <c r="BD26" s="455">
        <f>-291-SUM(BB26:BC26)</f>
        <v>-50</v>
      </c>
      <c r="BE26" s="455">
        <f>-583-SUM(BB26:BD26)</f>
        <v>-292</v>
      </c>
      <c r="BF26" s="327">
        <f t="shared" ref="BF26:BF40" si="215">SUM(BB26:BE26)</f>
        <v>-583</v>
      </c>
      <c r="BG26" s="1135">
        <v>-139</v>
      </c>
      <c r="BH26" s="455">
        <f>-371-BG26</f>
        <v>-232</v>
      </c>
      <c r="BI26" s="455">
        <f>-617-SUM(BG26:BH26)</f>
        <v>-246</v>
      </c>
      <c r="BJ26" s="455">
        <f>-879-SUM(BG26:BI26)</f>
        <v>-262</v>
      </c>
      <c r="BK26" s="327">
        <f t="shared" ref="BK26:BK40" si="216">SUM(BG26:BJ26)</f>
        <v>-879</v>
      </c>
      <c r="BL26" s="1128">
        <v>-245</v>
      </c>
      <c r="BM26" s="455">
        <f>-517-BL26</f>
        <v>-272</v>
      </c>
      <c r="BN26" s="455">
        <f>-781-SUM(BL26:BM26)</f>
        <v>-264</v>
      </c>
      <c r="BO26" s="455">
        <f>-1103-SUM(BL26:BN26)</f>
        <v>-322</v>
      </c>
      <c r="BP26" s="327">
        <f t="shared" ref="BP26:BP40" si="217">SUM(BL26:BO26)</f>
        <v>-1103</v>
      </c>
      <c r="BQ26" s="1128">
        <v>-150</v>
      </c>
      <c r="BR26" s="455">
        <f>-322-BQ26</f>
        <v>-172</v>
      </c>
      <c r="BS26" s="455">
        <f>-488-SUM(BQ26:BR26)</f>
        <v>-166</v>
      </c>
      <c r="BT26" s="455">
        <f>-770-SUM(BQ26:BS26)</f>
        <v>-282</v>
      </c>
      <c r="BU26" s="327">
        <f t="shared" ref="BU26:BU40" si="218">SUM(BQ26:BT26)</f>
        <v>-770</v>
      </c>
      <c r="BV26" s="1127">
        <v>-160</v>
      </c>
      <c r="BW26" s="1127">
        <v>-276</v>
      </c>
      <c r="BX26" s="242">
        <f>-618-SUM(BV26:BW26)</f>
        <v>-182</v>
      </c>
      <c r="BY26" s="455">
        <f>-891-SUM(BV26:BX26)</f>
        <v>-273</v>
      </c>
      <c r="BZ26" s="327">
        <f t="shared" ref="BZ26:BZ40" si="219">SUM(BV26:BY26)</f>
        <v>-891</v>
      </c>
      <c r="CA26" s="1127">
        <v>-167</v>
      </c>
      <c r="CB26" s="1127">
        <v>-172</v>
      </c>
      <c r="CC26" s="1127">
        <v>-213</v>
      </c>
      <c r="CD26" s="242">
        <f>-557</f>
        <v>-557</v>
      </c>
      <c r="CE26" s="327">
        <f t="shared" ref="CE26:CE40" si="220">SUM(CA26:CD26)</f>
        <v>-1109</v>
      </c>
      <c r="CF26" s="1127">
        <v>-173</v>
      </c>
      <c r="CG26" s="1127">
        <v>-176</v>
      </c>
      <c r="CH26" s="1127">
        <v>-203</v>
      </c>
      <c r="CI26" s="242">
        <f>-812-SUM(CF26:CH26)</f>
        <v>-260</v>
      </c>
      <c r="CJ26" s="327">
        <f t="shared" ref="CJ26:CJ40" si="221">SUM(CF26:CI26)</f>
        <v>-812</v>
      </c>
      <c r="CK26" s="1127">
        <v>-213</v>
      </c>
      <c r="CL26" s="1127">
        <v>-318</v>
      </c>
      <c r="CM26" s="1127">
        <v>-302</v>
      </c>
      <c r="CN26" s="1127">
        <v>-745</v>
      </c>
      <c r="CO26" s="327">
        <f t="shared" ref="CO26:CO40" si="222">SUM(CK26:CN26)</f>
        <v>-1578</v>
      </c>
      <c r="CP26" s="1127">
        <v>-411</v>
      </c>
      <c r="CQ26" s="1127">
        <v>-572</v>
      </c>
      <c r="CR26" s="1127">
        <v>-461</v>
      </c>
      <c r="CS26" s="1127">
        <v>-820</v>
      </c>
      <c r="CT26" s="327">
        <f t="shared" ref="CT26:CT40" si="223">SUM(CP26:CS26)</f>
        <v>-2264</v>
      </c>
      <c r="CU26" s="1127">
        <v>-510</v>
      </c>
      <c r="CV26" s="1127">
        <v>-695</v>
      </c>
      <c r="CW26" s="1127">
        <v>-759</v>
      </c>
      <c r="CX26" s="1127">
        <v>-1218</v>
      </c>
      <c r="CY26" s="327">
        <f t="shared" ref="CY26:CY40" si="224">SUM(CU26:CX26)</f>
        <v>-3182</v>
      </c>
      <c r="CZ26" s="1127">
        <v>-778</v>
      </c>
      <c r="DA26" s="1127">
        <v>-842</v>
      </c>
      <c r="DB26" s="1127">
        <v>-632</v>
      </c>
      <c r="DC26" s="1127">
        <v>-867</v>
      </c>
      <c r="DD26" s="327">
        <f t="shared" ref="DD26:DD40" si="225">SUM(CZ26:DC26)</f>
        <v>-3119</v>
      </c>
      <c r="DE26" s="1127">
        <v>-435</v>
      </c>
      <c r="DF26" s="1127">
        <v>-376</v>
      </c>
      <c r="DG26" s="1127">
        <v>-408</v>
      </c>
      <c r="DH26" s="1127">
        <v>-758</v>
      </c>
      <c r="DI26" s="327">
        <f t="shared" ref="DI26:DI40" si="226">SUM(DE26:DH26)</f>
        <v>-1977</v>
      </c>
      <c r="DJ26" s="1127">
        <v>-564</v>
      </c>
      <c r="DK26" s="1127">
        <v>-491</v>
      </c>
      <c r="DL26" s="1127">
        <v>-658</v>
      </c>
      <c r="DM26" s="1127">
        <v>-642</v>
      </c>
      <c r="DN26" s="327">
        <f t="shared" ref="DN26:DN32" si="227">SUM(DJ26:DM26)</f>
        <v>-2355</v>
      </c>
      <c r="DO26" s="1127">
        <v>-436</v>
      </c>
      <c r="DP26" s="1127">
        <v>-498</v>
      </c>
      <c r="DQ26" s="1127">
        <v>-749</v>
      </c>
      <c r="DR26" s="1127">
        <v>-622</v>
      </c>
      <c r="DS26" s="327">
        <f t="shared" ref="DS26:DS32" si="228">SUM(DO26:DR26)</f>
        <v>-2305</v>
      </c>
      <c r="DT26" s="1127">
        <v>-603</v>
      </c>
      <c r="DU26" s="1127">
        <v>-930</v>
      </c>
      <c r="DV26" s="1127">
        <v>-930</v>
      </c>
      <c r="DW26" s="1127">
        <v>-1794</v>
      </c>
      <c r="DX26" s="327">
        <f t="shared" ref="DX26:DX32" si="229">SUM(DT26:DW26)</f>
        <v>-4257</v>
      </c>
      <c r="DY26" s="1127">
        <v>-1231</v>
      </c>
      <c r="DZ26" s="1127">
        <v>-1732</v>
      </c>
      <c r="EA26" s="1127">
        <v>-1192</v>
      </c>
      <c r="EB26" s="1127">
        <v>-1330</v>
      </c>
      <c r="EC26" s="327">
        <f t="shared" ref="EC26:EC32" si="230">SUM(DY26:EB26)</f>
        <v>-5485</v>
      </c>
      <c r="ED26" s="1127">
        <v>-1282</v>
      </c>
      <c r="EE26" s="1127">
        <v>-1490</v>
      </c>
      <c r="EF26" s="1127">
        <v>-1391</v>
      </c>
      <c r="EG26" s="1127">
        <v>-1781</v>
      </c>
      <c r="EH26" s="327">
        <f t="shared" ref="EH26:EH32" si="231">SUM(ED26:EG26)</f>
        <v>-5944</v>
      </c>
      <c r="EI26" s="2769">
        <v>-1356</v>
      </c>
      <c r="EJ26" s="2769">
        <v>-2024</v>
      </c>
      <c r="EK26" s="2769">
        <v>-2308</v>
      </c>
      <c r="EL26" s="2769">
        <v>-2655</v>
      </c>
      <c r="EM26" s="2770">
        <f t="shared" ref="EM26:EM32" si="232">SUM(EI26:EL26)</f>
        <v>-8343</v>
      </c>
      <c r="EN26" s="2769">
        <v>-2163</v>
      </c>
      <c r="EO26" s="2769">
        <v>-1988</v>
      </c>
      <c r="EP26" s="2769">
        <v>-1695</v>
      </c>
      <c r="EQ26" s="2769">
        <v>-2283</v>
      </c>
      <c r="ER26" s="2770">
        <f t="shared" ref="ER26:ER32" si="233">SUM(EN26:EQ26)</f>
        <v>-8129</v>
      </c>
      <c r="ES26" s="2769">
        <v>-2132</v>
      </c>
      <c r="ET26" s="2769">
        <v>-2586</v>
      </c>
      <c r="EU26" s="2769">
        <v>-2934</v>
      </c>
      <c r="EV26" s="242">
        <v>-3050</v>
      </c>
      <c r="EW26" s="327">
        <f t="shared" ref="EW26:EW32" si="234">SUM(ES26:EV26)</f>
        <v>-10702</v>
      </c>
      <c r="EX26" s="2562">
        <v>-3050</v>
      </c>
      <c r="EY26" s="2562">
        <v>-3050</v>
      </c>
      <c r="EZ26" s="2562">
        <v>-3050</v>
      </c>
      <c r="FA26" s="2562">
        <v>-3050</v>
      </c>
      <c r="FB26" s="327">
        <f>SUM(EX26:FA26)</f>
        <v>-12200</v>
      </c>
      <c r="FC26" s="2562">
        <v>-3150</v>
      </c>
      <c r="FD26" s="2562">
        <v>-3150</v>
      </c>
      <c r="FE26" s="2562">
        <v>-3150</v>
      </c>
      <c r="FF26" s="2562">
        <v>-3150</v>
      </c>
      <c r="FG26" s="327">
        <f>SUM(FC26:FF26)</f>
        <v>-12600</v>
      </c>
      <c r="FH26" s="2562">
        <v>-3250</v>
      </c>
      <c r="FI26" s="2562">
        <v>-3250</v>
      </c>
      <c r="FJ26" s="2562">
        <v>-3250</v>
      </c>
      <c r="FK26" s="2562">
        <v>-3250</v>
      </c>
      <c r="FL26" s="327">
        <f>SUM(FH26:FK26)</f>
        <v>-13000</v>
      </c>
      <c r="FM26" s="455"/>
      <c r="FN26" s="537"/>
      <c r="FO26" s="327">
        <f t="shared" ref="FO26:FO32" si="235">BD26+BE26+BG26+BH26</f>
        <v>-713</v>
      </c>
      <c r="FP26" s="327">
        <f t="shared" ref="FP26:FP32" si="236">BI26+BJ26+BL26+BM26</f>
        <v>-1025</v>
      </c>
      <c r="FQ26" s="327">
        <f t="shared" ref="FQ26:FQ32" si="237">BN26+BO26+BQ26+BR26</f>
        <v>-908</v>
      </c>
      <c r="FR26" s="327">
        <f t="shared" ref="FR26:FR32" si="238">BS26+BT26+BV26+BW26</f>
        <v>-884</v>
      </c>
      <c r="FS26" s="327">
        <f t="shared" ref="FS26:FS32" si="239">BX26+BY26+CA26+CB26</f>
        <v>-794</v>
      </c>
      <c r="FT26" s="327">
        <f t="shared" ref="FT26:FT32" si="240">CC26+CD26+CF26+CG26</f>
        <v>-1119</v>
      </c>
      <c r="FU26" s="327">
        <f t="shared" ref="FU26:FU32" si="241">CH26+CI26+CK26+CL26</f>
        <v>-994</v>
      </c>
      <c r="FV26" s="327">
        <f t="shared" ref="FV26:FV32" si="242">CM26+CN26+CP26+CQ26</f>
        <v>-2030</v>
      </c>
      <c r="FW26" s="327">
        <f t="shared" ref="FW26:FW32" si="243">CR26+CS26+CU26+CV26</f>
        <v>-2486</v>
      </c>
      <c r="FX26" s="327">
        <f t="shared" ref="FX26:FX32" si="244">CW26+CX26+CZ26+DA26</f>
        <v>-3597</v>
      </c>
      <c r="FY26" s="327">
        <f t="shared" ref="FY26:FY32" si="245">DB26+DC26+DE26+DF26</f>
        <v>-2310</v>
      </c>
      <c r="FZ26" s="327">
        <f t="shared" ref="FZ26:FZ32" si="246">SUM(DG26:DH26,DJ26:DK26)</f>
        <v>-2221</v>
      </c>
      <c r="GA26" s="327">
        <f t="shared" ref="GA26:GA32" si="247">SUM(DL26:DM26,DO26:DP26)</f>
        <v>-2234</v>
      </c>
      <c r="GB26" s="372">
        <f t="shared" ref="GB26:GB32" si="248">SUM(DQ26:DR26,DT26:DU26)</f>
        <v>-2904</v>
      </c>
      <c r="GC26" s="372">
        <f>SUM(DV26:DW26,DY26:DZ26)</f>
        <v>-5687</v>
      </c>
      <c r="GD26" s="372">
        <f>SUM(EA26:EB26,ED26:EE26)</f>
        <v>-5294</v>
      </c>
      <c r="GE26" s="372">
        <f t="shared" ref="GE26:GE32" si="249">SUM(EF26:EG26,EI26:EJ26)</f>
        <v>-6552</v>
      </c>
      <c r="GF26" s="372">
        <f t="shared" ref="GF26:GF32" si="250">SUM(EK26:EL26,EN26:EO26)</f>
        <v>-9114</v>
      </c>
      <c r="GG26" s="372">
        <f t="shared" ref="GG26:GG32" si="251">SUM(EP26:EQ26,ES26:ET26)</f>
        <v>-8696</v>
      </c>
      <c r="GH26" s="372">
        <f t="shared" ref="GH26:GH32" si="252">SUM(EU26:EV26,EX26:EY26)</f>
        <v>-12084</v>
      </c>
      <c r="GI26" s="372">
        <f t="shared" ref="GI26:GI32" si="253">SUM(EZ26:FA26,FC26:FD26)</f>
        <v>-12400</v>
      </c>
      <c r="GJ26" s="371"/>
      <c r="GK26" s="371"/>
      <c r="GL26" s="371"/>
      <c r="GM26" s="371"/>
      <c r="GO26"/>
      <c r="GP26"/>
      <c r="GQ26"/>
      <c r="GR26"/>
      <c r="GS26"/>
      <c r="GT26"/>
      <c r="GU26" s="261"/>
      <c r="GV26" s="261"/>
      <c r="GW26" s="261"/>
      <c r="GX26" s="261"/>
      <c r="GY26" s="261"/>
      <c r="GZ26" s="261"/>
      <c r="HA26" s="261"/>
      <c r="HB26" s="261"/>
      <c r="HC26" s="261"/>
      <c r="HD26" s="261"/>
      <c r="HE26" s="261"/>
      <c r="HF26" s="261"/>
      <c r="HG26" s="261"/>
      <c r="HH26" s="261"/>
      <c r="HI26" s="261"/>
      <c r="HJ26" s="261"/>
      <c r="HK26" s="261"/>
      <c r="HL26" s="261"/>
      <c r="HM26" s="261"/>
      <c r="HN26" s="261"/>
      <c r="HO26" s="261"/>
      <c r="HP26" s="261"/>
      <c r="HQ26" s="261"/>
      <c r="HR26" s="261"/>
      <c r="HS26" s="261"/>
      <c r="HT26" s="261"/>
      <c r="HU26" s="261"/>
      <c r="HV26" s="261"/>
      <c r="HW26" s="261"/>
      <c r="HX26" s="261"/>
      <c r="HY26" s="261"/>
      <c r="HZ26" s="261"/>
      <c r="IA26" s="261"/>
      <c r="IB26" s="261"/>
      <c r="IC26" s="261"/>
      <c r="ID26" s="261"/>
      <c r="IE26" s="261"/>
      <c r="IF26" s="261"/>
      <c r="IG26" s="261"/>
      <c r="IH26" s="261"/>
      <c r="II26" s="261"/>
      <c r="IJ26" s="261"/>
      <c r="IK26" s="261"/>
      <c r="IL26" s="261"/>
      <c r="IM26" s="261"/>
      <c r="IN26" s="261"/>
      <c r="IO26" s="261"/>
      <c r="IP26" s="261"/>
      <c r="IQ26" s="261"/>
      <c r="IR26" s="261"/>
      <c r="IS26" s="261"/>
      <c r="IT26" s="261"/>
      <c r="IU26" s="261"/>
      <c r="IV26" s="261"/>
      <c r="IW26" s="261"/>
      <c r="IX26" s="261"/>
      <c r="IY26" s="261"/>
      <c r="IZ26" s="261"/>
      <c r="JA26" s="261"/>
      <c r="JB26" s="261"/>
      <c r="JC26" s="261"/>
      <c r="JD26" s="261"/>
      <c r="JE26" s="261"/>
      <c r="JF26" s="261"/>
      <c r="JG26" s="261"/>
      <c r="JH26" s="261"/>
      <c r="JI26" s="261"/>
      <c r="JJ26" s="261"/>
      <c r="JK26" s="261"/>
      <c r="JL26" s="261"/>
      <c r="JM26" s="261"/>
      <c r="JN26" s="261"/>
      <c r="JO26" s="261"/>
      <c r="JP26" s="261"/>
      <c r="JQ26" s="261"/>
      <c r="JR26" s="261"/>
      <c r="JS26" s="261"/>
      <c r="JT26" s="261"/>
    </row>
    <row r="27" spans="1:280" s="264" customFormat="1" ht="11.25" hidden="1" customHeight="1" outlineLevel="1">
      <c r="A27" s="539" t="s">
        <v>740</v>
      </c>
      <c r="D27" s="540" t="s">
        <v>106</v>
      </c>
      <c r="E27" s="540" t="s">
        <v>106</v>
      </c>
      <c r="F27" s="540" t="s">
        <v>106</v>
      </c>
      <c r="G27" s="540" t="s">
        <v>106</v>
      </c>
      <c r="H27" s="327">
        <f t="shared" si="191"/>
        <v>0</v>
      </c>
      <c r="I27" s="540" t="s">
        <v>106</v>
      </c>
      <c r="J27" s="540" t="s">
        <v>106</v>
      </c>
      <c r="K27" s="540" t="s">
        <v>106</v>
      </c>
      <c r="L27" s="540" t="s">
        <v>106</v>
      </c>
      <c r="M27" s="327">
        <f t="shared" si="195"/>
        <v>0</v>
      </c>
      <c r="N27" s="540" t="s">
        <v>106</v>
      </c>
      <c r="O27" s="540" t="s">
        <v>106</v>
      </c>
      <c r="P27" s="540" t="s">
        <v>106</v>
      </c>
      <c r="Q27" s="540" t="s">
        <v>106</v>
      </c>
      <c r="R27" s="327">
        <f t="shared" si="199"/>
        <v>0</v>
      </c>
      <c r="S27" s="540" t="s">
        <v>106</v>
      </c>
      <c r="T27" s="540" t="s">
        <v>106</v>
      </c>
      <c r="U27" s="540" t="s">
        <v>106</v>
      </c>
      <c r="V27" s="540" t="s">
        <v>106</v>
      </c>
      <c r="W27" s="327">
        <f t="shared" si="203"/>
        <v>0</v>
      </c>
      <c r="X27" s="540" t="s">
        <v>106</v>
      </c>
      <c r="Y27" s="540" t="s">
        <v>106</v>
      </c>
      <c r="Z27" s="540" t="s">
        <v>106</v>
      </c>
      <c r="AA27" s="540" t="s">
        <v>106</v>
      </c>
      <c r="AB27" s="327">
        <f t="shared" si="207"/>
        <v>0</v>
      </c>
      <c r="AC27" s="540" t="s">
        <v>106</v>
      </c>
      <c r="AD27" s="540" t="s">
        <v>106</v>
      </c>
      <c r="AE27" s="540" t="s">
        <v>106</v>
      </c>
      <c r="AF27" s="540" t="s">
        <v>106</v>
      </c>
      <c r="AG27" s="327">
        <f t="shared" si="210"/>
        <v>0</v>
      </c>
      <c r="AH27" s="540" t="s">
        <v>106</v>
      </c>
      <c r="AI27" s="540" t="s">
        <v>106</v>
      </c>
      <c r="AJ27" s="540" t="s">
        <v>106</v>
      </c>
      <c r="AK27" s="541">
        <f>AK26/AF26-1</f>
        <v>-0.19784172661870503</v>
      </c>
      <c r="AL27" s="327">
        <f t="shared" si="211"/>
        <v>-0.19784172661870503</v>
      </c>
      <c r="AM27" s="541">
        <f>AM26/AH26-1</f>
        <v>0.73134328358208944</v>
      </c>
      <c r="AN27" s="541">
        <f>AN26/AI26-1</f>
        <v>-0.14563106796116509</v>
      </c>
      <c r="AO27" s="541">
        <f>AO26/AJ26-1</f>
        <v>0.29411764705882359</v>
      </c>
      <c r="AP27" s="541">
        <f>AP26/AK26-1</f>
        <v>-0.29147982062780264</v>
      </c>
      <c r="AQ27" s="327">
        <f t="shared" si="212"/>
        <v>0.5883500420519453</v>
      </c>
      <c r="AR27" s="541">
        <f>AR26/AM26-1</f>
        <v>-0.14655172413793105</v>
      </c>
      <c r="AS27" s="541">
        <f>AS26/AN26-1</f>
        <v>0.32954545454545459</v>
      </c>
      <c r="AT27" s="541">
        <f>AT26/AO26-1</f>
        <v>-0.16666666666666663</v>
      </c>
      <c r="AU27" s="541">
        <f>AU26/AP26-1</f>
        <v>9.4936708860759556E-2</v>
      </c>
      <c r="AV27" s="327">
        <f t="shared" si="213"/>
        <v>0.11126377260161646</v>
      </c>
      <c r="AW27" s="541">
        <f>AW26/AR26-1</f>
        <v>0.18181818181818188</v>
      </c>
      <c r="AX27" s="541">
        <f>AX26/AS26-1</f>
        <v>0.29059829059829068</v>
      </c>
      <c r="AY27" s="541">
        <f>AY26/AT26-1</f>
        <v>0.33636363636363642</v>
      </c>
      <c r="AZ27" s="541">
        <f>AZ26/AU26-1</f>
        <v>0.39306358381502893</v>
      </c>
      <c r="BA27" s="327">
        <f t="shared" si="214"/>
        <v>1.2018436925951379</v>
      </c>
      <c r="BB27" s="542">
        <f>BB26/AW26-1</f>
        <v>-9.4017094017094016E-2</v>
      </c>
      <c r="BC27" s="541">
        <f>BC26/AX26-1</f>
        <v>-0.10596026490066224</v>
      </c>
      <c r="BD27" s="541">
        <f>BD26/AY26-1</f>
        <v>-0.65986394557823136</v>
      </c>
      <c r="BE27" s="541">
        <f>BE26/AZ26-1</f>
        <v>0.2116182572614107</v>
      </c>
      <c r="BF27" s="327">
        <f t="shared" si="215"/>
        <v>-0.64822304723457691</v>
      </c>
      <c r="BG27" s="542">
        <f>BG26/BB26-1</f>
        <v>0.31132075471698117</v>
      </c>
      <c r="BH27" s="541">
        <f>BH26/BC26-1</f>
        <v>0.71851851851851856</v>
      </c>
      <c r="BI27" s="541">
        <f>BI26/BD26-1</f>
        <v>3.92</v>
      </c>
      <c r="BJ27" s="541">
        <f>BJ26/BE26-1</f>
        <v>-0.10273972602739723</v>
      </c>
      <c r="BK27" s="327">
        <f t="shared" si="216"/>
        <v>4.8470995472081029</v>
      </c>
      <c r="BL27" s="541">
        <f>BL26/BG26-1</f>
        <v>0.76258992805755388</v>
      </c>
      <c r="BM27" s="541">
        <f>BM26/BH26-1</f>
        <v>0.17241379310344818</v>
      </c>
      <c r="BN27" s="541">
        <f>BN26/BI26-1</f>
        <v>7.3170731707317138E-2</v>
      </c>
      <c r="BO27" s="541">
        <f>BO26/BJ26-1</f>
        <v>0.2290076335877862</v>
      </c>
      <c r="BP27" s="327">
        <f t="shared" si="217"/>
        <v>1.2371820864561054</v>
      </c>
      <c r="BQ27" s="541">
        <f>BQ26/BL26-1</f>
        <v>-0.38775510204081631</v>
      </c>
      <c r="BR27" s="541">
        <f>BR26/BM26-1</f>
        <v>-0.36764705882352944</v>
      </c>
      <c r="BS27" s="541">
        <f>BS26/BN26-1</f>
        <v>-0.37121212121212122</v>
      </c>
      <c r="BT27" s="541">
        <f>BT26/BO26-1</f>
        <v>-0.12422360248447206</v>
      </c>
      <c r="BU27" s="327">
        <f t="shared" si="218"/>
        <v>-1.2508378845609391</v>
      </c>
      <c r="BV27" s="541">
        <f>BV26/BQ26-1</f>
        <v>6.6666666666666652E-2</v>
      </c>
      <c r="BW27" s="541">
        <f>BW26/BR26-1</f>
        <v>0.60465116279069764</v>
      </c>
      <c r="BX27" s="541">
        <f>BX26/BS26-1</f>
        <v>9.6385542168674787E-2</v>
      </c>
      <c r="BY27" s="541">
        <f>BY26/BT26-1</f>
        <v>-3.1914893617021267E-2</v>
      </c>
      <c r="BZ27" s="327">
        <f t="shared" si="219"/>
        <v>0.73578847800901781</v>
      </c>
      <c r="CA27" s="541">
        <f>CA26/BV26-1</f>
        <v>4.3749999999999956E-2</v>
      </c>
      <c r="CB27" s="541">
        <f>CB26/BW26-1</f>
        <v>-0.37681159420289856</v>
      </c>
      <c r="CC27" s="541">
        <f>CC26/BX26-1</f>
        <v>0.17032967032967039</v>
      </c>
      <c r="CD27" s="541">
        <f>CD26/BY26-1</f>
        <v>1.0402930402930401</v>
      </c>
      <c r="CE27" s="327">
        <f t="shared" si="220"/>
        <v>0.87756111641981194</v>
      </c>
      <c r="CF27" s="541">
        <f>CF26/CA26-1</f>
        <v>3.5928143712574911E-2</v>
      </c>
      <c r="CG27" s="541">
        <f>CG26/CB26-1</f>
        <v>2.3255813953488413E-2</v>
      </c>
      <c r="CH27" s="541">
        <f>CH26/CC26-1</f>
        <v>-4.6948356807511749E-2</v>
      </c>
      <c r="CI27" s="541">
        <f>CI26/CD26-1</f>
        <v>-0.53321364452423703</v>
      </c>
      <c r="CJ27" s="327">
        <f t="shared" si="221"/>
        <v>-0.52097804366568545</v>
      </c>
      <c r="CK27" s="541">
        <f>CK26/CF26-1</f>
        <v>0.23121387283237005</v>
      </c>
      <c r="CL27" s="541">
        <f>CL26/CG26-1</f>
        <v>0.80681818181818188</v>
      </c>
      <c r="CM27" s="541">
        <f>CM26/CH26-1</f>
        <v>0.48768472906403937</v>
      </c>
      <c r="CN27" s="541">
        <f>CN26/CI26-1</f>
        <v>1.8653846153846154</v>
      </c>
      <c r="CO27" s="327">
        <f t="shared" si="222"/>
        <v>3.3911013990992069</v>
      </c>
      <c r="CP27" s="541">
        <f>CP26/CK26-1</f>
        <v>0.92957746478873249</v>
      </c>
      <c r="CQ27" s="541">
        <f>CQ26/CL26-1</f>
        <v>0.79874213836477992</v>
      </c>
      <c r="CR27" s="541">
        <f>CR26/CM26-1</f>
        <v>0.52649006622516548</v>
      </c>
      <c r="CS27" s="541">
        <f>CS26/CN26-1</f>
        <v>0.10067114093959728</v>
      </c>
      <c r="CT27" s="327">
        <f t="shared" si="223"/>
        <v>2.3554808103182747</v>
      </c>
      <c r="CU27" s="541">
        <f>CU26/CP26-1</f>
        <v>0.24087591240875916</v>
      </c>
      <c r="CV27" s="541">
        <f>CV26/CQ26-1</f>
        <v>0.215034965034965</v>
      </c>
      <c r="CW27" s="541">
        <f>CW26/CR26-1</f>
        <v>0.64642082429501091</v>
      </c>
      <c r="CX27" s="541">
        <f>CX26/CS26-1</f>
        <v>0.48536585365853657</v>
      </c>
      <c r="CY27" s="327">
        <f t="shared" si="224"/>
        <v>1.5876975553972716</v>
      </c>
      <c r="CZ27" s="541">
        <f>CZ26/CU26-1</f>
        <v>0.52549019607843128</v>
      </c>
      <c r="DA27" s="541">
        <f>DA26/CV26-1</f>
        <v>0.21151079136690654</v>
      </c>
      <c r="DB27" s="541"/>
      <c r="DC27" s="541">
        <f>DC26/CX26-1</f>
        <v>-0.28817733990147787</v>
      </c>
      <c r="DD27" s="327">
        <f t="shared" si="225"/>
        <v>0.44882364754385995</v>
      </c>
      <c r="DE27" s="541">
        <f>DE26/CZ26-1</f>
        <v>-0.44087403598971719</v>
      </c>
      <c r="DF27" s="541">
        <f>DF26/DA26-1</f>
        <v>-0.55344418052256539</v>
      </c>
      <c r="DG27" s="541">
        <f>DG26/DB26-1</f>
        <v>-0.35443037974683544</v>
      </c>
      <c r="DH27" s="541">
        <f>DH26/DC26-1</f>
        <v>-0.12572087658592845</v>
      </c>
      <c r="DI27" s="327">
        <f t="shared" si="226"/>
        <v>-1.4744694728450467</v>
      </c>
      <c r="DJ27" s="541">
        <f>DJ26/DE26-1</f>
        <v>0.29655172413793096</v>
      </c>
      <c r="DK27" s="541">
        <f>DK26/DF26-1</f>
        <v>0.30585106382978733</v>
      </c>
      <c r="DL27" s="541">
        <f>DL26/DG26-1</f>
        <v>0.61274509803921573</v>
      </c>
      <c r="DM27" s="541">
        <f>DM26/DH26-1</f>
        <v>-0.15303430079155678</v>
      </c>
      <c r="DN27" s="327">
        <f t="shared" si="227"/>
        <v>1.0621135852153771</v>
      </c>
      <c r="DO27" s="541">
        <f>DO26/DJ26-1</f>
        <v>-0.22695035460992907</v>
      </c>
      <c r="DP27" s="541">
        <f>DP26/DK26-1</f>
        <v>1.4256619144602745E-2</v>
      </c>
      <c r="DQ27" s="541">
        <f>DQ26/DL26-1</f>
        <v>0.13829787234042556</v>
      </c>
      <c r="DR27" s="541">
        <f>DR26/DM26-1</f>
        <v>-3.1152647975077885E-2</v>
      </c>
      <c r="DS27" s="327">
        <f t="shared" si="228"/>
        <v>-0.10554851109997865</v>
      </c>
      <c r="DT27" s="541">
        <f>DT26/DO26-1</f>
        <v>0.3830275229357798</v>
      </c>
      <c r="DU27" s="541">
        <f>DU26/DP26-1</f>
        <v>0.8674698795180722</v>
      </c>
      <c r="DV27" s="541">
        <f>DV26/DQ26-1</f>
        <v>0.24165554072096129</v>
      </c>
      <c r="DW27" s="541">
        <f>DW26/DR26-1</f>
        <v>1.8842443729903535</v>
      </c>
      <c r="DX27" s="315">
        <f t="shared" ref="DX27:EH27" si="254">DX26/DS26-1</f>
        <v>0.84685466377440344</v>
      </c>
      <c r="DY27" s="541">
        <f t="shared" si="254"/>
        <v>1.0414593698175789</v>
      </c>
      <c r="DZ27" s="541">
        <f t="shared" si="254"/>
        <v>0.86236559139784941</v>
      </c>
      <c r="EA27" s="541">
        <f t="shared" si="254"/>
        <v>0.2817204301075269</v>
      </c>
      <c r="EB27" s="541">
        <f t="shared" si="254"/>
        <v>-0.25863991081382387</v>
      </c>
      <c r="EC27" s="315">
        <f t="shared" si="254"/>
        <v>0.28846605590791641</v>
      </c>
      <c r="ED27" s="541">
        <f t="shared" si="254"/>
        <v>4.1429731925264113E-2</v>
      </c>
      <c r="EE27" s="541">
        <f t="shared" si="254"/>
        <v>-0.13972286374133946</v>
      </c>
      <c r="EF27" s="541">
        <f t="shared" si="254"/>
        <v>0.16694630872483218</v>
      </c>
      <c r="EG27" s="541">
        <f t="shared" si="254"/>
        <v>0.33909774436090223</v>
      </c>
      <c r="EH27" s="315">
        <f t="shared" si="254"/>
        <v>8.3682771194165895E-2</v>
      </c>
      <c r="EI27" s="541">
        <f>EI26/ED26-1</f>
        <v>5.7722308892355745E-2</v>
      </c>
      <c r="EJ27" s="541">
        <f t="shared" ref="EJ27:EU27" si="255">EJ26/EE26-1</f>
        <v>0.35838926174496644</v>
      </c>
      <c r="EK27" s="541">
        <f t="shared" si="255"/>
        <v>0.65923795830337895</v>
      </c>
      <c r="EL27" s="541">
        <f t="shared" si="255"/>
        <v>0.49073554183043244</v>
      </c>
      <c r="EM27" s="315">
        <f t="shared" si="255"/>
        <v>0.40360026917900393</v>
      </c>
      <c r="EN27" s="541">
        <f>EN26/EI26-1</f>
        <v>0.59513274336283195</v>
      </c>
      <c r="EO27" s="541">
        <f t="shared" si="255"/>
        <v>-1.7786561264822143E-2</v>
      </c>
      <c r="EP27" s="541">
        <f t="shared" si="255"/>
        <v>-0.26559792027729634</v>
      </c>
      <c r="EQ27" s="541">
        <f t="shared" si="255"/>
        <v>-0.14011299435028246</v>
      </c>
      <c r="ER27" s="315">
        <f t="shared" si="255"/>
        <v>-2.5650245714970654E-2</v>
      </c>
      <c r="ES27" s="541">
        <f>ES26/EN26-1</f>
        <v>-1.4331946370781279E-2</v>
      </c>
      <c r="ET27" s="541">
        <f t="shared" si="255"/>
        <v>0.30080482897384297</v>
      </c>
      <c r="EU27" s="541">
        <f t="shared" si="255"/>
        <v>0.73097345132743352</v>
      </c>
      <c r="EV27" s="541">
        <f t="shared" ref="EU27:EW27" si="256">EV26/EQ26-1</f>
        <v>0.3359614542268945</v>
      </c>
      <c r="EW27" s="315">
        <f t="shared" si="256"/>
        <v>0.3165210973059418</v>
      </c>
      <c r="EX27" s="541">
        <f t="shared" ref="EX27:FG27" si="257">EX26/ES26-1</f>
        <v>0.43058161350844282</v>
      </c>
      <c r="EY27" s="541">
        <f t="shared" si="257"/>
        <v>0.17942768754833716</v>
      </c>
      <c r="EZ27" s="541">
        <f t="shared" si="257"/>
        <v>3.9536468984321838E-2</v>
      </c>
      <c r="FA27" s="541">
        <f t="shared" si="257"/>
        <v>0</v>
      </c>
      <c r="FB27" s="315">
        <f t="shared" si="257"/>
        <v>0.13997383666604368</v>
      </c>
      <c r="FC27" s="541">
        <f t="shared" si="257"/>
        <v>3.2786885245901676E-2</v>
      </c>
      <c r="FD27" s="541">
        <f t="shared" si="257"/>
        <v>3.2786885245901676E-2</v>
      </c>
      <c r="FE27" s="541">
        <f t="shared" si="257"/>
        <v>3.2786885245901676E-2</v>
      </c>
      <c r="FF27" s="541">
        <f t="shared" si="257"/>
        <v>3.2786885245901676E-2</v>
      </c>
      <c r="FG27" s="315">
        <f t="shared" si="257"/>
        <v>3.2786885245901676E-2</v>
      </c>
      <c r="FH27" s="541">
        <f t="shared" ref="FH27" si="258">FH26/FC26-1</f>
        <v>3.1746031746031855E-2</v>
      </c>
      <c r="FI27" s="541">
        <f t="shared" ref="FI27" si="259">FI26/FD26-1</f>
        <v>3.1746031746031855E-2</v>
      </c>
      <c r="FJ27" s="541">
        <f t="shared" ref="FJ27" si="260">FJ26/FE26-1</f>
        <v>3.1746031746031855E-2</v>
      </c>
      <c r="FK27" s="541">
        <f t="shared" ref="FK27" si="261">FK26/FF26-1</f>
        <v>3.1746031746031855E-2</v>
      </c>
      <c r="FL27" s="315">
        <f t="shared" ref="FL27" si="262">FL26/FG26-1</f>
        <v>3.1746031746031855E-2</v>
      </c>
      <c r="FM27" s="310"/>
      <c r="FN27" s="541"/>
      <c r="FO27" s="327">
        <f t="shared" si="235"/>
        <v>0.58159358491867907</v>
      </c>
      <c r="FP27" s="327">
        <f t="shared" si="236"/>
        <v>4.752263995133605</v>
      </c>
      <c r="FQ27" s="327">
        <f t="shared" si="237"/>
        <v>-0.45322379556924242</v>
      </c>
      <c r="FR27" s="327">
        <f t="shared" si="238"/>
        <v>0.17588210576077101</v>
      </c>
      <c r="FS27" s="327">
        <f t="shared" si="239"/>
        <v>-0.26859094565124508</v>
      </c>
      <c r="FT27" s="327">
        <f t="shared" si="240"/>
        <v>1.2698066682887739</v>
      </c>
      <c r="FU27" s="327">
        <f t="shared" si="241"/>
        <v>0.45787005331880315</v>
      </c>
      <c r="FV27" s="327">
        <f t="shared" si="242"/>
        <v>4.0813889476021679</v>
      </c>
      <c r="FW27" s="327">
        <f t="shared" si="243"/>
        <v>1.0830720846084869</v>
      </c>
      <c r="FX27" s="327">
        <f t="shared" si="244"/>
        <v>1.8687876653988853</v>
      </c>
      <c r="FY27" s="327">
        <f t="shared" si="245"/>
        <v>-1.2824955564137603</v>
      </c>
      <c r="FZ27" s="327">
        <f t="shared" si="246"/>
        <v>0.12225153163495439</v>
      </c>
      <c r="GA27" s="327">
        <f t="shared" si="247"/>
        <v>0.24701706178233263</v>
      </c>
      <c r="GB27" s="372">
        <f t="shared" si="248"/>
        <v>1.3576426268191997</v>
      </c>
      <c r="GC27" s="372">
        <f>SUM(DR27:DS27,DU27:DV27)</f>
        <v>0.97242426116397696</v>
      </c>
      <c r="GD27" s="372">
        <f>SUM(DS27:DT27,DV27:DW27)</f>
        <v>2.4033789255471159</v>
      </c>
      <c r="GE27" s="372">
        <f t="shared" si="249"/>
        <v>0.92215562372305659</v>
      </c>
      <c r="GF27" s="372">
        <f t="shared" si="250"/>
        <v>1.7273196822318213</v>
      </c>
      <c r="GG27" s="372">
        <f t="shared" si="251"/>
        <v>-0.1192380320245171</v>
      </c>
      <c r="GH27" s="372">
        <f t="shared" si="252"/>
        <v>1.676944206611108</v>
      </c>
      <c r="GI27" s="372">
        <f t="shared" si="253"/>
        <v>0.10511023947612519</v>
      </c>
      <c r="GJ27" s="371"/>
      <c r="GK27" s="371"/>
      <c r="GL27" s="371"/>
      <c r="GM27" s="371"/>
      <c r="GO27"/>
      <c r="GP27"/>
      <c r="GQ27"/>
      <c r="GR27"/>
      <c r="GS27"/>
      <c r="GT27"/>
      <c r="GU27" s="261"/>
      <c r="GV27" s="261"/>
      <c r="GW27" s="261"/>
      <c r="GX27" s="261"/>
      <c r="GY27" s="261"/>
      <c r="GZ27" s="261"/>
      <c r="HA27" s="261"/>
      <c r="HB27" s="261"/>
      <c r="HC27" s="261"/>
      <c r="HD27" s="261"/>
      <c r="HE27" s="261"/>
      <c r="HF27" s="261"/>
      <c r="HG27" s="261"/>
      <c r="HH27" s="261"/>
      <c r="HI27" s="261"/>
      <c r="HJ27" s="261"/>
      <c r="HK27" s="261"/>
      <c r="HL27" s="261"/>
      <c r="HM27" s="261"/>
      <c r="HN27" s="261"/>
      <c r="HO27" s="261"/>
      <c r="HP27" s="261"/>
      <c r="HQ27" s="261"/>
      <c r="HR27" s="261"/>
      <c r="HS27" s="261"/>
      <c r="HT27" s="261"/>
      <c r="HU27" s="261"/>
      <c r="HV27" s="261"/>
      <c r="HW27" s="261"/>
      <c r="HX27" s="261"/>
      <c r="HY27" s="261"/>
      <c r="HZ27" s="261"/>
      <c r="IA27" s="261"/>
      <c r="IB27" s="261"/>
      <c r="IC27" s="261"/>
      <c r="ID27" s="261"/>
      <c r="IE27" s="261"/>
      <c r="IF27" s="261"/>
      <c r="IG27" s="261"/>
      <c r="IH27" s="261"/>
      <c r="II27" s="261"/>
      <c r="IJ27" s="261"/>
      <c r="IK27" s="261"/>
      <c r="IL27" s="261"/>
      <c r="IM27" s="261"/>
      <c r="IN27" s="261"/>
      <c r="IO27" s="261"/>
      <c r="IP27" s="261"/>
      <c r="IQ27" s="261"/>
      <c r="IR27" s="261"/>
      <c r="IS27" s="261"/>
      <c r="IT27" s="261"/>
      <c r="IU27" s="261"/>
      <c r="IV27" s="261"/>
      <c r="IW27" s="261"/>
      <c r="IX27" s="261"/>
      <c r="IY27" s="261"/>
      <c r="IZ27" s="261"/>
      <c r="JA27" s="261"/>
      <c r="JB27" s="261"/>
      <c r="JC27" s="261"/>
      <c r="JD27" s="261"/>
      <c r="JE27" s="261"/>
      <c r="JF27" s="261"/>
      <c r="JG27" s="261"/>
      <c r="JH27" s="261"/>
      <c r="JI27" s="261"/>
      <c r="JJ27" s="261"/>
      <c r="JK27" s="261"/>
      <c r="JL27" s="261"/>
      <c r="JM27" s="261"/>
      <c r="JN27" s="261"/>
      <c r="JO27" s="261"/>
      <c r="JP27" s="261"/>
      <c r="JQ27" s="261"/>
      <c r="JR27" s="261"/>
      <c r="JS27" s="261"/>
      <c r="JT27" s="261"/>
    </row>
    <row r="28" spans="1:280" s="264" customFormat="1" ht="11.25" customHeight="1" collapsed="1">
      <c r="A28" s="528" t="s">
        <v>533</v>
      </c>
      <c r="D28" s="1128">
        <v>0</v>
      </c>
      <c r="E28" s="455">
        <f t="shared" si="188"/>
        <v>0</v>
      </c>
      <c r="F28" s="455">
        <f t="shared" si="189"/>
        <v>0</v>
      </c>
      <c r="G28" s="455">
        <f t="shared" si="190"/>
        <v>0</v>
      </c>
      <c r="H28" s="327">
        <f t="shared" si="191"/>
        <v>0</v>
      </c>
      <c r="I28" s="1128">
        <v>0</v>
      </c>
      <c r="J28" s="455">
        <f t="shared" si="192"/>
        <v>0</v>
      </c>
      <c r="K28" s="455">
        <f t="shared" si="193"/>
        <v>0</v>
      </c>
      <c r="L28" s="455">
        <f t="shared" si="194"/>
        <v>0</v>
      </c>
      <c r="M28" s="327">
        <f t="shared" si="195"/>
        <v>0</v>
      </c>
      <c r="N28" s="1128">
        <v>0</v>
      </c>
      <c r="O28" s="455">
        <f t="shared" si="196"/>
        <v>0</v>
      </c>
      <c r="P28" s="455">
        <f t="shared" si="197"/>
        <v>0</v>
      </c>
      <c r="Q28" s="455">
        <f t="shared" si="198"/>
        <v>0</v>
      </c>
      <c r="R28" s="327">
        <f t="shared" si="199"/>
        <v>0</v>
      </c>
      <c r="S28" s="1128">
        <v>0</v>
      </c>
      <c r="T28" s="455">
        <f t="shared" si="200"/>
        <v>0</v>
      </c>
      <c r="U28" s="455">
        <f t="shared" si="201"/>
        <v>0</v>
      </c>
      <c r="V28" s="455">
        <f t="shared" si="202"/>
        <v>0</v>
      </c>
      <c r="W28" s="327">
        <f t="shared" si="203"/>
        <v>0</v>
      </c>
      <c r="X28" s="1128">
        <v>0</v>
      </c>
      <c r="Y28" s="455">
        <f t="shared" si="204"/>
        <v>0</v>
      </c>
      <c r="Z28" s="455">
        <f t="shared" si="205"/>
        <v>0</v>
      </c>
      <c r="AA28" s="455">
        <f t="shared" si="206"/>
        <v>0</v>
      </c>
      <c r="AB28" s="327">
        <f t="shared" si="207"/>
        <v>0</v>
      </c>
      <c r="AC28" s="1128">
        <v>0</v>
      </c>
      <c r="AD28" s="455">
        <f t="shared" si="208"/>
        <v>0</v>
      </c>
      <c r="AE28" s="455">
        <f t="shared" si="209"/>
        <v>0</v>
      </c>
      <c r="AF28" s="455">
        <f>0-SUM(AC28:AE28)</f>
        <v>0</v>
      </c>
      <c r="AG28" s="327">
        <f t="shared" si="210"/>
        <v>0</v>
      </c>
      <c r="AH28" s="1128">
        <v>0</v>
      </c>
      <c r="AI28" s="455">
        <f>0-AH28</f>
        <v>0</v>
      </c>
      <c r="AJ28" s="455">
        <f>0-SUM(AH28:AI28)</f>
        <v>0</v>
      </c>
      <c r="AK28" s="455">
        <f>0-SUM(AH28:AJ28)</f>
        <v>0</v>
      </c>
      <c r="AL28" s="327">
        <f t="shared" si="211"/>
        <v>0</v>
      </c>
      <c r="AM28" s="1128">
        <v>0</v>
      </c>
      <c r="AN28" s="455">
        <f>0-AM28</f>
        <v>0</v>
      </c>
      <c r="AO28" s="455">
        <f>0-SUM(AM28:AN28)</f>
        <v>0</v>
      </c>
      <c r="AP28" s="455">
        <f>0-SUM(AM28:AO28)</f>
        <v>0</v>
      </c>
      <c r="AQ28" s="327">
        <f t="shared" si="212"/>
        <v>0</v>
      </c>
      <c r="AR28" s="1128">
        <v>0</v>
      </c>
      <c r="AS28" s="455">
        <f>0-AR28</f>
        <v>0</v>
      </c>
      <c r="AT28" s="455">
        <f>0-SUM(AR28:AS28)</f>
        <v>0</v>
      </c>
      <c r="AU28" s="455">
        <f>0-SUM(AR28:AT28)</f>
        <v>0</v>
      </c>
      <c r="AV28" s="327">
        <f t="shared" si="213"/>
        <v>0</v>
      </c>
      <c r="AW28" s="1128">
        <v>-190</v>
      </c>
      <c r="AX28" s="455">
        <f>-190-AW28</f>
        <v>0</v>
      </c>
      <c r="AY28" s="455">
        <f>-190-SUM(AW28:AX28)</f>
        <v>0</v>
      </c>
      <c r="AZ28" s="455">
        <f>-190-SUM(AW28:AY28)</f>
        <v>0</v>
      </c>
      <c r="BA28" s="327">
        <f t="shared" si="214"/>
        <v>-190</v>
      </c>
      <c r="BB28" s="1135">
        <v>0</v>
      </c>
      <c r="BC28" s="455">
        <f>0-BB28</f>
        <v>0</v>
      </c>
      <c r="BD28" s="455">
        <f>0-SUM(BB28:BC28)</f>
        <v>0</v>
      </c>
      <c r="BE28" s="455">
        <f>0-SUM(BB28:BD28)</f>
        <v>0</v>
      </c>
      <c r="BF28" s="327">
        <f t="shared" si="215"/>
        <v>0</v>
      </c>
      <c r="BG28" s="1135">
        <v>0</v>
      </c>
      <c r="BH28" s="455">
        <f>0-BG28</f>
        <v>0</v>
      </c>
      <c r="BI28" s="455">
        <f>0-SUM(BG28:BH28)</f>
        <v>0</v>
      </c>
      <c r="BJ28" s="455">
        <f>0-SUM(BG28:BI28)</f>
        <v>0</v>
      </c>
      <c r="BK28" s="327">
        <f t="shared" si="216"/>
        <v>0</v>
      </c>
      <c r="BL28" s="1128">
        <v>0</v>
      </c>
      <c r="BM28" s="455">
        <f>0-BL28</f>
        <v>0</v>
      </c>
      <c r="BN28" s="455">
        <f>0-SUM(BL28:BM28)</f>
        <v>0</v>
      </c>
      <c r="BO28" s="455">
        <f>0-SUM(BL28:BN28)</f>
        <v>0</v>
      </c>
      <c r="BP28" s="327">
        <f t="shared" si="217"/>
        <v>0</v>
      </c>
      <c r="BQ28" s="1128">
        <v>0</v>
      </c>
      <c r="BR28" s="455">
        <f>0-BQ28</f>
        <v>0</v>
      </c>
      <c r="BS28" s="455">
        <f>0-SUM(BQ28:BR28)</f>
        <v>0</v>
      </c>
      <c r="BT28" s="455">
        <f>0-SUM(BQ28:BS28)</f>
        <v>0</v>
      </c>
      <c r="BU28" s="327">
        <f t="shared" si="218"/>
        <v>0</v>
      </c>
      <c r="BV28" s="1127">
        <v>-870</v>
      </c>
      <c r="BW28" s="1127">
        <v>-9</v>
      </c>
      <c r="BX28" s="242">
        <f>-891-SUM(BV28:BW28)</f>
        <v>-12</v>
      </c>
      <c r="BY28" s="455">
        <f>-1063-SUM(BV28:BX28)</f>
        <v>-172</v>
      </c>
      <c r="BZ28" s="327">
        <f t="shared" si="219"/>
        <v>-1063</v>
      </c>
      <c r="CA28" s="1127">
        <v>-4</v>
      </c>
      <c r="CB28" s="1127">
        <v>0</v>
      </c>
      <c r="CC28" s="1127">
        <v>0</v>
      </c>
      <c r="CD28" s="1127">
        <v>0</v>
      </c>
      <c r="CE28" s="327">
        <f t="shared" si="220"/>
        <v>-4</v>
      </c>
      <c r="CF28" s="1127">
        <v>0</v>
      </c>
      <c r="CG28" s="1127">
        <v>-1</v>
      </c>
      <c r="CH28" s="1127">
        <v>-11</v>
      </c>
      <c r="CI28" s="242">
        <f>-207-SUM(CF28:CH28)</f>
        <v>-195</v>
      </c>
      <c r="CJ28" s="327">
        <f t="shared" si="221"/>
        <v>-207</v>
      </c>
      <c r="CK28" s="1127">
        <v>-187</v>
      </c>
      <c r="CL28" s="1127">
        <v>-63</v>
      </c>
      <c r="CM28" s="1127">
        <v>-83</v>
      </c>
      <c r="CN28" s="1127">
        <v>-316</v>
      </c>
      <c r="CO28" s="327">
        <f t="shared" si="222"/>
        <v>-649</v>
      </c>
      <c r="CP28" s="1127">
        <v>-336</v>
      </c>
      <c r="CQ28" s="1127">
        <v>-125</v>
      </c>
      <c r="CR28" s="1127">
        <v>-41</v>
      </c>
      <c r="CS28" s="1127">
        <v>-648</v>
      </c>
      <c r="CT28" s="327">
        <f t="shared" si="223"/>
        <v>-1150</v>
      </c>
      <c r="CU28" s="1127">
        <v>-5396</v>
      </c>
      <c r="CV28" s="1127">
        <v>-433</v>
      </c>
      <c r="CW28" s="1127">
        <v>-138</v>
      </c>
      <c r="CX28" s="1127">
        <v>-5159</v>
      </c>
      <c r="CY28" s="327">
        <f t="shared" si="224"/>
        <v>-11126</v>
      </c>
      <c r="CZ28" s="1127">
        <v>-377</v>
      </c>
      <c r="DA28" s="1127">
        <v>-450</v>
      </c>
      <c r="DB28" s="1127">
        <v>0</v>
      </c>
      <c r="DC28" s="1127">
        <v>-41</v>
      </c>
      <c r="DD28" s="327">
        <f t="shared" si="225"/>
        <v>-868</v>
      </c>
      <c r="DE28" s="1127">
        <v>-39</v>
      </c>
      <c r="DF28" s="1127">
        <v>-63</v>
      </c>
      <c r="DG28" s="1127">
        <v>-143</v>
      </c>
      <c r="DH28" s="1127">
        <v>0</v>
      </c>
      <c r="DI28" s="327">
        <f t="shared" si="226"/>
        <v>-245</v>
      </c>
      <c r="DJ28" s="1127">
        <v>0</v>
      </c>
      <c r="DK28" s="1127">
        <v>-69</v>
      </c>
      <c r="DL28" s="1127">
        <v>0</v>
      </c>
      <c r="DM28" s="1127">
        <v>-2</v>
      </c>
      <c r="DN28" s="327">
        <f t="shared" si="227"/>
        <v>-71</v>
      </c>
      <c r="DO28" s="1127">
        <v>-875</v>
      </c>
      <c r="DP28" s="1127">
        <v>-8627</v>
      </c>
      <c r="DQ28" s="1127">
        <v>-84</v>
      </c>
      <c r="DR28" s="1127">
        <v>-526</v>
      </c>
      <c r="DS28" s="327">
        <f t="shared" si="228"/>
        <v>-10112</v>
      </c>
      <c r="DT28" s="1127">
        <v>-1145</v>
      </c>
      <c r="DU28" s="1127">
        <v>-311</v>
      </c>
      <c r="DV28" s="1127">
        <v>-108</v>
      </c>
      <c r="DW28" s="1127">
        <v>-20</v>
      </c>
      <c r="DX28" s="327">
        <f t="shared" si="229"/>
        <v>-1584</v>
      </c>
      <c r="DY28" s="1127">
        <v>-15</v>
      </c>
      <c r="DZ28" s="1127">
        <v>-139</v>
      </c>
      <c r="EA28" s="1127">
        <v>-157</v>
      </c>
      <c r="EB28" s="1127">
        <v>-5626</v>
      </c>
      <c r="EC28" s="327">
        <f t="shared" si="230"/>
        <v>-5937</v>
      </c>
      <c r="ED28" s="1127">
        <v>-141</v>
      </c>
      <c r="EE28" s="1127">
        <v>-2794</v>
      </c>
      <c r="EF28" s="1127">
        <v>-162</v>
      </c>
      <c r="EG28" s="1127">
        <v>-626</v>
      </c>
      <c r="EH28" s="327">
        <f t="shared" si="231"/>
        <v>-3723</v>
      </c>
      <c r="EI28" s="2769">
        <v>-390</v>
      </c>
      <c r="EJ28" s="2769">
        <v>-381</v>
      </c>
      <c r="EK28" s="2769">
        <v>-559</v>
      </c>
      <c r="EL28" s="2769">
        <v>-63</v>
      </c>
      <c r="EM28" s="2770">
        <f t="shared" si="232"/>
        <v>-1393</v>
      </c>
      <c r="EN28" s="2769">
        <v>-24</v>
      </c>
      <c r="EO28" s="2769">
        <v>-24760</v>
      </c>
      <c r="EP28" s="2769">
        <v>-802</v>
      </c>
      <c r="EQ28" s="2769">
        <v>-358</v>
      </c>
      <c r="ER28" s="2770">
        <f t="shared" si="233"/>
        <v>-25944</v>
      </c>
      <c r="ES28" s="2769">
        <v>-179</v>
      </c>
      <c r="ET28" s="2769">
        <v>-27</v>
      </c>
      <c r="EU28" s="2769">
        <v>-248</v>
      </c>
      <c r="EV28" s="242">
        <f t="shared" ref="EU28:EV28" si="263">EU28</f>
        <v>-248</v>
      </c>
      <c r="EW28" s="327">
        <f t="shared" si="234"/>
        <v>-702</v>
      </c>
      <c r="EX28" s="1127">
        <v>-400</v>
      </c>
      <c r="EY28" s="242">
        <f t="shared" ref="EY28:FA28" si="264">EX28</f>
        <v>-400</v>
      </c>
      <c r="EZ28" s="242">
        <f t="shared" si="264"/>
        <v>-400</v>
      </c>
      <c r="FA28" s="242">
        <f t="shared" si="264"/>
        <v>-400</v>
      </c>
      <c r="FB28" s="327">
        <f>SUM(EX28:FA28)</f>
        <v>-1600</v>
      </c>
      <c r="FC28" s="1127">
        <v>-400</v>
      </c>
      <c r="FD28" s="242">
        <f t="shared" ref="FD28" si="265">FC28</f>
        <v>-400</v>
      </c>
      <c r="FE28" s="242">
        <f t="shared" ref="FE28" si="266">FD28</f>
        <v>-400</v>
      </c>
      <c r="FF28" s="242">
        <f t="shared" ref="FF28" si="267">FE28</f>
        <v>-400</v>
      </c>
      <c r="FG28" s="327">
        <f>SUM(FC28:FF28)</f>
        <v>-1600</v>
      </c>
      <c r="FH28" s="1127">
        <v>-400</v>
      </c>
      <c r="FI28" s="242">
        <f t="shared" ref="FI28" si="268">FH28</f>
        <v>-400</v>
      </c>
      <c r="FJ28" s="242">
        <f t="shared" ref="FJ28" si="269">FI28</f>
        <v>-400</v>
      </c>
      <c r="FK28" s="242">
        <f t="shared" ref="FK28" si="270">FJ28</f>
        <v>-400</v>
      </c>
      <c r="FL28" s="327">
        <f>SUM(FH28:FK28)</f>
        <v>-1600</v>
      </c>
      <c r="FM28" s="455"/>
      <c r="FN28" s="537"/>
      <c r="FO28" s="327">
        <f t="shared" si="235"/>
        <v>0</v>
      </c>
      <c r="FP28" s="327">
        <f t="shared" si="236"/>
        <v>0</v>
      </c>
      <c r="FQ28" s="327">
        <f t="shared" si="237"/>
        <v>0</v>
      </c>
      <c r="FR28" s="327">
        <f t="shared" si="238"/>
        <v>-879</v>
      </c>
      <c r="FS28" s="327">
        <f t="shared" si="239"/>
        <v>-188</v>
      </c>
      <c r="FT28" s="327">
        <f t="shared" si="240"/>
        <v>-1</v>
      </c>
      <c r="FU28" s="327">
        <f t="shared" si="241"/>
        <v>-456</v>
      </c>
      <c r="FV28" s="327">
        <f t="shared" si="242"/>
        <v>-860</v>
      </c>
      <c r="FW28" s="327">
        <f t="shared" si="243"/>
        <v>-6518</v>
      </c>
      <c r="FX28" s="327">
        <f t="shared" si="244"/>
        <v>-6124</v>
      </c>
      <c r="FY28" s="327">
        <f t="shared" si="245"/>
        <v>-143</v>
      </c>
      <c r="FZ28" s="327">
        <f t="shared" si="246"/>
        <v>-212</v>
      </c>
      <c r="GA28" s="327">
        <f t="shared" si="247"/>
        <v>-9504</v>
      </c>
      <c r="GB28" s="372">
        <f t="shared" si="248"/>
        <v>-2066</v>
      </c>
      <c r="GC28" s="372">
        <f>SUM(DV28:DW28,DY28:DZ28)</f>
        <v>-282</v>
      </c>
      <c r="GD28" s="372">
        <f>SUM(EA28:EB28,ED28:EE28)</f>
        <v>-8718</v>
      </c>
      <c r="GE28" s="372">
        <f t="shared" si="249"/>
        <v>-1559</v>
      </c>
      <c r="GF28" s="372">
        <f t="shared" si="250"/>
        <v>-25406</v>
      </c>
      <c r="GG28" s="372">
        <f t="shared" si="251"/>
        <v>-1366</v>
      </c>
      <c r="GH28" s="372">
        <f t="shared" si="252"/>
        <v>-1296</v>
      </c>
      <c r="GI28" s="372">
        <f t="shared" si="253"/>
        <v>-1600</v>
      </c>
      <c r="GJ28" s="371"/>
      <c r="GK28" s="371"/>
      <c r="GL28" s="371"/>
      <c r="GM28" s="371"/>
      <c r="GO28"/>
      <c r="GP28"/>
      <c r="GQ28"/>
      <c r="GR28"/>
      <c r="GS28"/>
      <c r="GT28"/>
      <c r="GU28" s="261"/>
      <c r="GV28" s="261"/>
      <c r="GW28" s="261"/>
      <c r="GX28" s="261"/>
      <c r="GY28" s="261"/>
      <c r="GZ28" s="261"/>
      <c r="HA28" s="261"/>
      <c r="HB28" s="261"/>
      <c r="HC28" s="261"/>
      <c r="HD28" s="261"/>
      <c r="HE28" s="261"/>
      <c r="HF28" s="261"/>
      <c r="HG28" s="261"/>
      <c r="HH28" s="261"/>
      <c r="HI28" s="261"/>
      <c r="HJ28" s="261"/>
      <c r="HK28" s="261"/>
      <c r="HL28" s="261"/>
      <c r="HM28" s="261"/>
      <c r="HN28" s="261"/>
      <c r="HO28" s="261"/>
      <c r="HP28" s="261"/>
      <c r="HQ28" s="261"/>
      <c r="HR28" s="261"/>
      <c r="HS28" s="261"/>
      <c r="HT28" s="261"/>
      <c r="HU28" s="261"/>
      <c r="HV28" s="261"/>
      <c r="HW28" s="261"/>
      <c r="HX28" s="261"/>
      <c r="HY28" s="261"/>
      <c r="HZ28" s="261"/>
      <c r="IA28" s="261"/>
      <c r="IB28" s="261"/>
      <c r="IC28" s="261"/>
      <c r="ID28" s="261"/>
      <c r="IE28" s="261"/>
      <c r="IF28" s="261"/>
      <c r="IG28" s="261"/>
      <c r="IH28" s="261"/>
      <c r="II28" s="261"/>
      <c r="IJ28" s="261"/>
      <c r="IK28" s="261"/>
      <c r="IL28" s="261"/>
      <c r="IM28" s="261"/>
      <c r="IN28" s="261"/>
      <c r="IO28" s="261"/>
      <c r="IP28" s="261"/>
      <c r="IQ28" s="261"/>
      <c r="IR28" s="261"/>
      <c r="IS28" s="261"/>
      <c r="IT28" s="261"/>
      <c r="IU28" s="261"/>
      <c r="IV28" s="261"/>
      <c r="IW28" s="261"/>
      <c r="IX28" s="261"/>
      <c r="IY28" s="261"/>
      <c r="IZ28" s="261"/>
      <c r="JA28" s="261"/>
      <c r="JB28" s="261"/>
      <c r="JC28" s="261"/>
      <c r="JD28" s="261"/>
      <c r="JE28" s="261"/>
      <c r="JF28" s="261"/>
      <c r="JG28" s="261"/>
      <c r="JH28" s="261"/>
      <c r="JI28" s="261"/>
      <c r="JJ28" s="261"/>
      <c r="JK28" s="261"/>
      <c r="JL28" s="261"/>
      <c r="JM28" s="261"/>
      <c r="JN28" s="261"/>
      <c r="JO28" s="261"/>
      <c r="JP28" s="261"/>
      <c r="JQ28" s="261"/>
      <c r="JR28" s="261"/>
      <c r="JS28" s="261"/>
      <c r="JT28" s="261"/>
    </row>
    <row r="29" spans="1:280" s="264" customFormat="1" ht="11.25" customHeight="1">
      <c r="A29" s="528" t="s">
        <v>534</v>
      </c>
      <c r="D29" s="1128">
        <v>0</v>
      </c>
      <c r="E29" s="455">
        <f t="shared" si="188"/>
        <v>0</v>
      </c>
      <c r="F29" s="455">
        <f t="shared" si="189"/>
        <v>0</v>
      </c>
      <c r="G29" s="455">
        <f t="shared" si="190"/>
        <v>0</v>
      </c>
      <c r="H29" s="327">
        <f t="shared" si="191"/>
        <v>0</v>
      </c>
      <c r="I29" s="1128">
        <v>0</v>
      </c>
      <c r="J29" s="455">
        <f t="shared" si="192"/>
        <v>0</v>
      </c>
      <c r="K29" s="455">
        <f t="shared" si="193"/>
        <v>0</v>
      </c>
      <c r="L29" s="455">
        <f t="shared" si="194"/>
        <v>0</v>
      </c>
      <c r="M29" s="327">
        <f t="shared" si="195"/>
        <v>0</v>
      </c>
      <c r="N29" s="1128">
        <v>0</v>
      </c>
      <c r="O29" s="455">
        <f t="shared" si="196"/>
        <v>0</v>
      </c>
      <c r="P29" s="455">
        <f t="shared" si="197"/>
        <v>0</v>
      </c>
      <c r="Q29" s="455">
        <f t="shared" si="198"/>
        <v>0</v>
      </c>
      <c r="R29" s="327">
        <f t="shared" si="199"/>
        <v>0</v>
      </c>
      <c r="S29" s="1128">
        <v>0</v>
      </c>
      <c r="T29" s="455">
        <f t="shared" si="200"/>
        <v>0</v>
      </c>
      <c r="U29" s="455">
        <f t="shared" si="201"/>
        <v>0</v>
      </c>
      <c r="V29" s="455">
        <f t="shared" si="202"/>
        <v>0</v>
      </c>
      <c r="W29" s="327">
        <f t="shared" si="203"/>
        <v>0</v>
      </c>
      <c r="X29" s="1128">
        <v>0</v>
      </c>
      <c r="Y29" s="455">
        <f t="shared" si="204"/>
        <v>0</v>
      </c>
      <c r="Z29" s="455">
        <f t="shared" si="205"/>
        <v>0</v>
      </c>
      <c r="AA29" s="455">
        <f t="shared" si="206"/>
        <v>0</v>
      </c>
      <c r="AB29" s="327">
        <f t="shared" si="207"/>
        <v>0</v>
      </c>
      <c r="AC29" s="1128">
        <v>0</v>
      </c>
      <c r="AD29" s="455">
        <f t="shared" si="208"/>
        <v>0</v>
      </c>
      <c r="AE29" s="455">
        <f t="shared" si="209"/>
        <v>0</v>
      </c>
      <c r="AF29" s="455">
        <f>-860-SUM(AC29:AE29)</f>
        <v>-860</v>
      </c>
      <c r="AG29" s="327">
        <f t="shared" si="210"/>
        <v>-860</v>
      </c>
      <c r="AH29" s="1128">
        <v>-313</v>
      </c>
      <c r="AI29" s="455">
        <f>-785-AH29</f>
        <v>-472</v>
      </c>
      <c r="AJ29" s="455">
        <f>-1123-SUM(AH29:AI29)</f>
        <v>-338</v>
      </c>
      <c r="AK29" s="455">
        <f>-651-SUM(AH29:AJ29)</f>
        <v>472</v>
      </c>
      <c r="AL29" s="327">
        <f t="shared" si="211"/>
        <v>-651</v>
      </c>
      <c r="AM29" s="1128">
        <v>-370</v>
      </c>
      <c r="AN29" s="455">
        <f>-906-AM29</f>
        <v>-536</v>
      </c>
      <c r="AO29" s="455">
        <f>-1045-SUM(AM29:AN29)</f>
        <v>-139</v>
      </c>
      <c r="AP29" s="455">
        <f>-1551-SUM(AM29:AO29)</f>
        <v>-506</v>
      </c>
      <c r="AQ29" s="327">
        <f t="shared" si="212"/>
        <v>-1551</v>
      </c>
      <c r="AR29" s="455">
        <f>-156+259</f>
        <v>103</v>
      </c>
      <c r="AS29" s="455">
        <f>-66-1725-AR29</f>
        <v>-1894</v>
      </c>
      <c r="AT29" s="455">
        <f>-155-895-SUM(AR29:AS29)</f>
        <v>741</v>
      </c>
      <c r="AU29" s="455">
        <f>-18216-SUM(AR29:AT29)</f>
        <v>-17166</v>
      </c>
      <c r="AV29" s="327">
        <f t="shared" si="213"/>
        <v>-18216</v>
      </c>
      <c r="AW29" s="455">
        <f>-455-429</f>
        <v>-884</v>
      </c>
      <c r="AX29" s="455">
        <f>-1164-2263-AW29</f>
        <v>-2543</v>
      </c>
      <c r="AY29" s="455">
        <f>-2952-1756-SUM(AW29:AX29)</f>
        <v>-1281</v>
      </c>
      <c r="AZ29" s="455">
        <f>-19114-SUM(AW29:AY29)</f>
        <v>-14406</v>
      </c>
      <c r="BA29" s="327">
        <f t="shared" si="214"/>
        <v>-19114</v>
      </c>
      <c r="BB29" s="1135">
        <v>-5042</v>
      </c>
      <c r="BC29" s="455">
        <f>-10220-BB29</f>
        <v>-5178</v>
      </c>
      <c r="BD29" s="455">
        <f>-20556-SUM(BB29:BC29)</f>
        <v>-10336</v>
      </c>
      <c r="BE29" s="455">
        <f>-36441-SUM(BB29:BD29)</f>
        <v>-15885</v>
      </c>
      <c r="BF29" s="327">
        <f t="shared" si="215"/>
        <v>-36441</v>
      </c>
      <c r="BG29" s="1135">
        <v>-7035</v>
      </c>
      <c r="BH29" s="455">
        <f>-18316-BG29</f>
        <v>-11281</v>
      </c>
      <c r="BI29" s="455">
        <f>-28607-SUM(BG29:BH29)</f>
        <v>-10291</v>
      </c>
      <c r="BJ29" s="455">
        <f>-42290-SUM(BG29:BI29)</f>
        <v>-13683</v>
      </c>
      <c r="BK29" s="327">
        <f t="shared" si="216"/>
        <v>-42290</v>
      </c>
      <c r="BL29" s="1128">
        <v>-13723</v>
      </c>
      <c r="BM29" s="455">
        <f>-26525-BL29</f>
        <v>-12802</v>
      </c>
      <c r="BN29" s="455">
        <f>-49966-SUM(BL29:BM29)</f>
        <v>-23441</v>
      </c>
      <c r="BO29" s="455">
        <f>-66346-SUM(BL29:BN29)</f>
        <v>-16380</v>
      </c>
      <c r="BP29" s="327">
        <f t="shared" si="217"/>
        <v>-66346</v>
      </c>
      <c r="BQ29" s="1128">
        <v>-16020</v>
      </c>
      <c r="BR29" s="455">
        <f>-32439-BQ29</f>
        <v>-16419</v>
      </c>
      <c r="BS29" s="455">
        <f>-60248-SUM(BQ29:BR29)</f>
        <v>-27809</v>
      </c>
      <c r="BT29" s="455">
        <f>-89386-SUM(BQ29:BS29)</f>
        <v>-29138</v>
      </c>
      <c r="BU29" s="327">
        <f t="shared" si="218"/>
        <v>-89386</v>
      </c>
      <c r="BV29" s="1127">
        <v>-26685</v>
      </c>
      <c r="BW29" s="1127">
        <v>-19406</v>
      </c>
      <c r="BX29" s="242">
        <f>-71197-SUM(BV29:BW29)</f>
        <v>-25106</v>
      </c>
      <c r="BY29" s="455">
        <f>-89621-SUM(BV29:BX29)</f>
        <v>-18424</v>
      </c>
      <c r="BZ29" s="327">
        <f t="shared" si="219"/>
        <v>-89621</v>
      </c>
      <c r="CA29" s="1127">
        <v>-24598</v>
      </c>
      <c r="CB29" s="1127">
        <v>-22377</v>
      </c>
      <c r="CC29" s="1127">
        <v>-20437</v>
      </c>
      <c r="CD29" s="1127">
        <v>-26186</v>
      </c>
      <c r="CE29" s="327">
        <f t="shared" si="220"/>
        <v>-93598</v>
      </c>
      <c r="CF29" s="1127">
        <v>-29650</v>
      </c>
      <c r="CG29" s="1127">
        <v>-16063</v>
      </c>
      <c r="CH29" s="1127">
        <v>-13085</v>
      </c>
      <c r="CI29" s="1127">
        <v>-9247</v>
      </c>
      <c r="CJ29" s="327">
        <f t="shared" si="221"/>
        <v>-68045</v>
      </c>
      <c r="CK29" s="1127">
        <v>-19410</v>
      </c>
      <c r="CL29" s="1127">
        <v>-16151</v>
      </c>
      <c r="CM29" s="1127">
        <v>-10082</v>
      </c>
      <c r="CN29" s="1127">
        <v>-5474</v>
      </c>
      <c r="CO29" s="327">
        <f t="shared" si="222"/>
        <v>-51117</v>
      </c>
      <c r="CP29" s="1127">
        <v>-12855</v>
      </c>
      <c r="CQ29" s="1127">
        <v>-9102</v>
      </c>
      <c r="CR29" s="1127">
        <v>-7257</v>
      </c>
      <c r="CS29" s="1127">
        <v>-7094</v>
      </c>
      <c r="CT29" s="327">
        <f t="shared" si="223"/>
        <v>-36308</v>
      </c>
      <c r="CU29" s="1127">
        <v>-5997</v>
      </c>
      <c r="CV29" s="1127">
        <v>-6317</v>
      </c>
      <c r="CW29" s="1127">
        <v>-3481</v>
      </c>
      <c r="CX29" s="1127">
        <v>-2086</v>
      </c>
      <c r="CY29" s="327">
        <f t="shared" si="224"/>
        <v>-17881</v>
      </c>
      <c r="CZ29" s="1127">
        <v>-4246</v>
      </c>
      <c r="DA29" s="1127">
        <v>-6596</v>
      </c>
      <c r="DB29" s="1127">
        <v>-10683</v>
      </c>
      <c r="DC29" s="1127">
        <v>-15325</v>
      </c>
      <c r="DD29" s="327">
        <f t="shared" si="225"/>
        <v>-36850</v>
      </c>
      <c r="DE29" s="1127">
        <v>-10490</v>
      </c>
      <c r="DF29" s="1127">
        <v>-4287</v>
      </c>
      <c r="DG29" s="1127">
        <v>-11217</v>
      </c>
      <c r="DH29" s="1127">
        <v>-4174</v>
      </c>
      <c r="DI29" s="327">
        <f t="shared" si="226"/>
        <v>-30168</v>
      </c>
      <c r="DJ29" s="1127">
        <v>-7417</v>
      </c>
      <c r="DK29" s="1127">
        <v>-5896</v>
      </c>
      <c r="DL29" s="1127">
        <v>-14394</v>
      </c>
      <c r="DM29" s="1127">
        <v>-8286</v>
      </c>
      <c r="DN29" s="327">
        <f t="shared" si="227"/>
        <v>-35993</v>
      </c>
      <c r="DO29" s="1127">
        <v>-11299</v>
      </c>
      <c r="DP29" s="1127">
        <v>-10047</v>
      </c>
      <c r="DQ29" s="1127">
        <v>-23951</v>
      </c>
      <c r="DR29" s="1127">
        <v>-11953</v>
      </c>
      <c r="DS29" s="327">
        <f t="shared" si="228"/>
        <v>-57250</v>
      </c>
      <c r="DT29" s="1127">
        <v>-20138</v>
      </c>
      <c r="DU29" s="1127">
        <v>-10074</v>
      </c>
      <c r="DV29" s="1127">
        <v>-18160</v>
      </c>
      <c r="DW29" s="1127">
        <f>-27024</f>
        <v>-27024</v>
      </c>
      <c r="DX29" s="327">
        <f t="shared" si="229"/>
        <v>-75396</v>
      </c>
      <c r="DY29" s="1127">
        <f>-14768</f>
        <v>-14768</v>
      </c>
      <c r="DZ29" s="1127">
        <f>-13126</f>
        <v>-13126</v>
      </c>
      <c r="EA29" s="1127">
        <v>-21323</v>
      </c>
      <c r="EB29" s="1127">
        <f>-23473</f>
        <v>-23473</v>
      </c>
      <c r="EC29" s="327">
        <f t="shared" si="230"/>
        <v>-72690</v>
      </c>
      <c r="ED29" s="1127">
        <v>-24085</v>
      </c>
      <c r="EE29" s="1127">
        <v>-19167</v>
      </c>
      <c r="EF29" s="1127">
        <v>-30218</v>
      </c>
      <c r="EG29" s="1127">
        <v>-25259</v>
      </c>
      <c r="EH29" s="327">
        <f t="shared" si="231"/>
        <v>-98729</v>
      </c>
      <c r="EI29" s="2769">
        <v>-37570</v>
      </c>
      <c r="EJ29" s="2769">
        <v>-34750</v>
      </c>
      <c r="EK29" s="2769">
        <v>-27341</v>
      </c>
      <c r="EL29" s="2769">
        <v>-30097</v>
      </c>
      <c r="EM29" s="2770">
        <f t="shared" si="232"/>
        <v>-129758</v>
      </c>
      <c r="EN29" s="2769">
        <v>-57181</v>
      </c>
      <c r="EO29" s="2769">
        <v>-46775</v>
      </c>
      <c r="EP29" s="2769">
        <v>-43918</v>
      </c>
      <c r="EQ29" s="2769">
        <v>-29031</v>
      </c>
      <c r="ER29" s="2770">
        <f t="shared" si="233"/>
        <v>-176905</v>
      </c>
      <c r="ES29" s="2769">
        <v>-32961</v>
      </c>
      <c r="ET29" s="2769">
        <v>-45154</v>
      </c>
      <c r="EU29" s="2769">
        <v>-26885</v>
      </c>
      <c r="EV29" s="1127">
        <f>8000-EV25-EV39-EV42-EV26-EV30-EV28-EV31-EV32</f>
        <v>-48865.91229498294</v>
      </c>
      <c r="EW29" s="327">
        <f t="shared" si="234"/>
        <v>-153865.91229498293</v>
      </c>
      <c r="EX29" s="1127">
        <f>8000-EX25-EX39-EX42-EX26-EX30-EX28-EX31-EX32</f>
        <v>-44575.559720771067</v>
      </c>
      <c r="EY29" s="1127">
        <f>8000-EY25-EY39-EY42-EY26-EY30-EY28-EY31-EY32</f>
        <v>-35257.280962282355</v>
      </c>
      <c r="EZ29" s="1127">
        <f>8000-EZ25-EZ39-EZ42-EZ26-EZ30-EZ28-EZ31-EZ32</f>
        <v>-43751.263912300419</v>
      </c>
      <c r="FA29" s="1127">
        <f>8000-FA25-FA39-FA42-FA26-FA30-FA28-FA31-FA32</f>
        <v>-42221.833474044797</v>
      </c>
      <c r="FB29" s="327">
        <f>SUM(EX29:FA29)</f>
        <v>-165805.93806939863</v>
      </c>
      <c r="FC29" s="1127">
        <f>8000-FC25-FC39-FC42-FC26-FC30-FC28-FC31-FC32</f>
        <v>-42168.090800826219</v>
      </c>
      <c r="FD29" s="1127">
        <f>8000-FD25-FD39-FD42-FD26-FD30-FD28-FD31-FD32</f>
        <v>-37512.209736123288</v>
      </c>
      <c r="FE29" s="1127">
        <f>8000-FE25-FE39-FE42-FE26-FE30-FE28-FE31-FE32</f>
        <v>-40192.156822773337</v>
      </c>
      <c r="FF29" s="1127">
        <f>8000-FF25-FF39-FF42-FF26-FF30-FF28-FF31-FF32</f>
        <v>-43117.310501524982</v>
      </c>
      <c r="FG29" s="327">
        <f>SUM(FC29:FF29)</f>
        <v>-162989.76786124782</v>
      </c>
      <c r="FH29" s="1127">
        <f>8000-FH25-FH39-FH42-FH26-FH30-FH28-FH31-FH32</f>
        <v>-45276.318139844232</v>
      </c>
      <c r="FI29" s="1127">
        <f>8000-FI25-FI39-FI42-FI26-FI30-FI28-FI31-FI32</f>
        <v>-33279.053000806838</v>
      </c>
      <c r="FJ29" s="1127">
        <f>8000-FJ25-FJ39-FJ42-FJ26-FJ30-FJ28-FJ31-FJ32</f>
        <v>-43133.555145273771</v>
      </c>
      <c r="FK29" s="1127">
        <f>8000-FK25-FK39-FK42-FK26-FK30-FK28-FK31-FK32</f>
        <v>-43805.051590807416</v>
      </c>
      <c r="FL29" s="327">
        <f>SUM(FH29:FK29)</f>
        <v>-165493.97787673224</v>
      </c>
      <c r="FM29" s="455"/>
      <c r="FN29" s="537"/>
      <c r="FO29" s="327">
        <f t="shared" si="235"/>
        <v>-44537</v>
      </c>
      <c r="FP29" s="327">
        <f t="shared" si="236"/>
        <v>-50499</v>
      </c>
      <c r="FQ29" s="327">
        <f t="shared" si="237"/>
        <v>-72260</v>
      </c>
      <c r="FR29" s="327">
        <f t="shared" si="238"/>
        <v>-103038</v>
      </c>
      <c r="FS29" s="327">
        <f t="shared" si="239"/>
        <v>-90505</v>
      </c>
      <c r="FT29" s="327">
        <f t="shared" si="240"/>
        <v>-92336</v>
      </c>
      <c r="FU29" s="327">
        <f t="shared" si="241"/>
        <v>-57893</v>
      </c>
      <c r="FV29" s="327">
        <f t="shared" si="242"/>
        <v>-37513</v>
      </c>
      <c r="FW29" s="327">
        <f t="shared" si="243"/>
        <v>-26665</v>
      </c>
      <c r="FX29" s="327">
        <f t="shared" si="244"/>
        <v>-16409</v>
      </c>
      <c r="FY29" s="327">
        <f t="shared" si="245"/>
        <v>-40785</v>
      </c>
      <c r="FZ29" s="327">
        <f t="shared" si="246"/>
        <v>-28704</v>
      </c>
      <c r="GA29" s="327">
        <f t="shared" si="247"/>
        <v>-44026</v>
      </c>
      <c r="GB29" s="372">
        <f t="shared" si="248"/>
        <v>-66116</v>
      </c>
      <c r="GC29" s="372">
        <f>SUM(DV29:DW29,DY29:DZ29)</f>
        <v>-73078</v>
      </c>
      <c r="GD29" s="372">
        <f>SUM(EA29:EB29,ED29:EE29)</f>
        <v>-88048</v>
      </c>
      <c r="GE29" s="372">
        <f t="shared" si="249"/>
        <v>-127797</v>
      </c>
      <c r="GF29" s="372">
        <f t="shared" si="250"/>
        <v>-161394</v>
      </c>
      <c r="GG29" s="372">
        <f t="shared" si="251"/>
        <v>-151064</v>
      </c>
      <c r="GH29" s="372">
        <f t="shared" si="252"/>
        <v>-155583.75297803635</v>
      </c>
      <c r="GI29" s="372">
        <f t="shared" si="253"/>
        <v>-165653.39792329472</v>
      </c>
      <c r="GJ29" s="371"/>
      <c r="GK29" s="371"/>
      <c r="GL29" s="371"/>
      <c r="GM29" s="371"/>
      <c r="GO29"/>
      <c r="GP29"/>
      <c r="GQ29"/>
      <c r="GR29"/>
      <c r="GS29"/>
      <c r="GT29"/>
      <c r="GU29" s="261"/>
      <c r="GV29" s="261"/>
      <c r="GW29" s="261"/>
      <c r="GX29" s="261"/>
      <c r="GY29" s="261"/>
      <c r="GZ29" s="261"/>
      <c r="HA29" s="261"/>
      <c r="HB29" s="261"/>
      <c r="HC29" s="261"/>
      <c r="HD29" s="261"/>
      <c r="HE29" s="261"/>
      <c r="HF29" s="261"/>
      <c r="HG29" s="261"/>
      <c r="HH29" s="261"/>
      <c r="HI29" s="261"/>
      <c r="HJ29" s="261"/>
      <c r="HK29" s="261"/>
      <c r="HL29" s="261"/>
      <c r="HM29" s="261"/>
      <c r="HN29" s="261"/>
      <c r="HO29" s="261"/>
      <c r="HP29" s="261"/>
      <c r="HQ29" s="261"/>
      <c r="HR29" s="261"/>
      <c r="HS29" s="261"/>
      <c r="HT29" s="261"/>
      <c r="HU29" s="261"/>
      <c r="HV29" s="261"/>
      <c r="HW29" s="261"/>
      <c r="HX29" s="261"/>
      <c r="HY29" s="261"/>
      <c r="HZ29" s="261"/>
      <c r="IA29" s="261"/>
      <c r="IB29" s="261"/>
      <c r="IC29" s="261"/>
      <c r="ID29" s="261"/>
      <c r="IE29" s="261"/>
      <c r="IF29" s="261"/>
      <c r="IG29" s="261"/>
      <c r="IH29" s="261"/>
      <c r="II29" s="261"/>
      <c r="IJ29" s="261"/>
      <c r="IK29" s="261"/>
      <c r="IL29" s="261"/>
      <c r="IM29" s="261"/>
      <c r="IN29" s="261"/>
      <c r="IO29" s="261"/>
      <c r="IP29" s="261"/>
      <c r="IQ29" s="261"/>
      <c r="IR29" s="261"/>
      <c r="IS29" s="261"/>
      <c r="IT29" s="261"/>
      <c r="IU29" s="261"/>
      <c r="IV29" s="261"/>
      <c r="IW29" s="261"/>
      <c r="IX29" s="261"/>
      <c r="IY29" s="261"/>
      <c r="IZ29" s="261"/>
      <c r="JA29" s="261"/>
      <c r="JB29" s="261"/>
      <c r="JC29" s="261"/>
      <c r="JD29" s="261"/>
      <c r="JE29" s="261"/>
      <c r="JF29" s="261"/>
      <c r="JG29" s="261"/>
      <c r="JH29" s="261"/>
      <c r="JI29" s="261"/>
      <c r="JJ29" s="261"/>
      <c r="JK29" s="261"/>
      <c r="JL29" s="261"/>
      <c r="JM29" s="261"/>
      <c r="JN29" s="261"/>
      <c r="JO29" s="261"/>
      <c r="JP29" s="261"/>
      <c r="JQ29" s="261"/>
      <c r="JR29" s="261"/>
      <c r="JS29" s="261"/>
      <c r="JT29" s="261"/>
    </row>
    <row r="30" spans="1:280" s="264" customFormat="1" ht="11.25" customHeight="1">
      <c r="A30" s="528" t="s">
        <v>749</v>
      </c>
      <c r="D30" s="1128">
        <v>0</v>
      </c>
      <c r="E30" s="455">
        <f t="shared" si="188"/>
        <v>0</v>
      </c>
      <c r="F30" s="455">
        <f t="shared" si="189"/>
        <v>0</v>
      </c>
      <c r="G30" s="455">
        <f t="shared" si="190"/>
        <v>0</v>
      </c>
      <c r="H30" s="327">
        <f t="shared" si="191"/>
        <v>0</v>
      </c>
      <c r="I30" s="1128">
        <v>0</v>
      </c>
      <c r="J30" s="455">
        <f t="shared" si="192"/>
        <v>0</v>
      </c>
      <c r="K30" s="455">
        <f t="shared" si="193"/>
        <v>0</v>
      </c>
      <c r="L30" s="455">
        <f t="shared" si="194"/>
        <v>0</v>
      </c>
      <c r="M30" s="327">
        <f t="shared" si="195"/>
        <v>0</v>
      </c>
      <c r="N30" s="1128">
        <v>0</v>
      </c>
      <c r="O30" s="455">
        <f t="shared" si="196"/>
        <v>0</v>
      </c>
      <c r="P30" s="455">
        <f t="shared" si="197"/>
        <v>0</v>
      </c>
      <c r="Q30" s="455">
        <f t="shared" si="198"/>
        <v>0</v>
      </c>
      <c r="R30" s="327">
        <f t="shared" si="199"/>
        <v>0</v>
      </c>
      <c r="S30" s="1128">
        <v>0</v>
      </c>
      <c r="T30" s="455">
        <f t="shared" si="200"/>
        <v>0</v>
      </c>
      <c r="U30" s="455">
        <f t="shared" si="201"/>
        <v>0</v>
      </c>
      <c r="V30" s="455">
        <f t="shared" si="202"/>
        <v>0</v>
      </c>
      <c r="W30" s="327">
        <f t="shared" si="203"/>
        <v>0</v>
      </c>
      <c r="X30" s="1128">
        <v>0</v>
      </c>
      <c r="Y30" s="455">
        <f t="shared" si="204"/>
        <v>0</v>
      </c>
      <c r="Z30" s="455">
        <f t="shared" si="205"/>
        <v>0</v>
      </c>
      <c r="AA30" s="455">
        <f t="shared" si="206"/>
        <v>0</v>
      </c>
      <c r="AB30" s="327">
        <f t="shared" si="207"/>
        <v>0</v>
      </c>
      <c r="AC30" s="1128">
        <v>0</v>
      </c>
      <c r="AD30" s="455">
        <f t="shared" si="208"/>
        <v>0</v>
      </c>
      <c r="AE30" s="455">
        <f t="shared" si="209"/>
        <v>0</v>
      </c>
      <c r="AF30" s="455">
        <f>0-SUM(AC30:AE30)</f>
        <v>0</v>
      </c>
      <c r="AG30" s="327">
        <f t="shared" si="210"/>
        <v>0</v>
      </c>
      <c r="AH30" s="1128">
        <v>0</v>
      </c>
      <c r="AI30" s="455">
        <f>0-AH30</f>
        <v>0</v>
      </c>
      <c r="AJ30" s="455">
        <f>0-SUM(AH30:AI30)</f>
        <v>0</v>
      </c>
      <c r="AK30" s="455">
        <f>0-SUM(AH30:AJ30)</f>
        <v>0</v>
      </c>
      <c r="AL30" s="327">
        <f t="shared" si="211"/>
        <v>0</v>
      </c>
      <c r="AM30" s="1128">
        <v>0</v>
      </c>
      <c r="AN30" s="455">
        <f>0-AM30</f>
        <v>0</v>
      </c>
      <c r="AO30" s="455">
        <f>0-SUM(AM30:AN30)</f>
        <v>0</v>
      </c>
      <c r="AP30" s="455">
        <f>0-SUM(AM30:AO30)</f>
        <v>0</v>
      </c>
      <c r="AQ30" s="327">
        <f t="shared" si="212"/>
        <v>0</v>
      </c>
      <c r="AR30" s="1128">
        <v>0</v>
      </c>
      <c r="AS30" s="455">
        <f>0-AR30</f>
        <v>0</v>
      </c>
      <c r="AT30" s="455">
        <f>0-SUM(AR30:AS30)</f>
        <v>0</v>
      </c>
      <c r="AU30" s="455">
        <f>1874+13752-SUM(AR30:AT30)</f>
        <v>15626</v>
      </c>
      <c r="AV30" s="327">
        <f t="shared" si="213"/>
        <v>15626</v>
      </c>
      <c r="AW30" s="1128">
        <v>0</v>
      </c>
      <c r="AX30" s="455">
        <f>0-AW30</f>
        <v>0</v>
      </c>
      <c r="AY30" s="455">
        <f>0-SUM(AW30:AX30)</f>
        <v>0</v>
      </c>
      <c r="AZ30" s="455">
        <f>10798+1890-SUM(AW30:AY30)</f>
        <v>12688</v>
      </c>
      <c r="BA30" s="327">
        <f t="shared" si="214"/>
        <v>12688</v>
      </c>
      <c r="BB30" s="327">
        <f>632+2565</f>
        <v>3197</v>
      </c>
      <c r="BC30" s="455">
        <f>1199+5263-BB30</f>
        <v>3265</v>
      </c>
      <c r="BD30" s="455">
        <f>3175+9950-SUM(BB30:BC30)</f>
        <v>6663</v>
      </c>
      <c r="BE30" s="455">
        <f>4674+21080-SUM(BB30:BD30)</f>
        <v>12629</v>
      </c>
      <c r="BF30" s="327">
        <f t="shared" si="215"/>
        <v>25754</v>
      </c>
      <c r="BG30" s="327">
        <f>786+3616</f>
        <v>4402</v>
      </c>
      <c r="BH30" s="455">
        <f>950+15470-BG30</f>
        <v>12018</v>
      </c>
      <c r="BI30" s="455">
        <f>20216+3086-SUM(BG30:BH30)</f>
        <v>6882</v>
      </c>
      <c r="BJ30" s="455">
        <f>4025+29752-SUM(BG30:BI30)</f>
        <v>10475</v>
      </c>
      <c r="BK30" s="327">
        <f t="shared" si="216"/>
        <v>33777</v>
      </c>
      <c r="BL30" s="455">
        <f>1570+8462</f>
        <v>10032</v>
      </c>
      <c r="BM30" s="455">
        <f>19818+2970-BL30</f>
        <v>12756</v>
      </c>
      <c r="BN30" s="455">
        <f>4443+39719-SUM(BL30:BM30)</f>
        <v>21374</v>
      </c>
      <c r="BO30" s="455">
        <f>52848+5867-SUM(BL30:BN30)</f>
        <v>14553</v>
      </c>
      <c r="BP30" s="327">
        <f t="shared" si="217"/>
        <v>58715</v>
      </c>
      <c r="BQ30" s="455">
        <f>11840+861</f>
        <v>12701</v>
      </c>
      <c r="BR30" s="455">
        <f>25322+2290-BQ30</f>
        <v>14911</v>
      </c>
      <c r="BS30" s="455">
        <f>47500+4091-SUM(BQ30:BR30)</f>
        <v>23979</v>
      </c>
      <c r="BT30" s="455">
        <f>70657+8654-SUM(BQ30:BS30)</f>
        <v>27720</v>
      </c>
      <c r="BU30" s="327">
        <f t="shared" si="218"/>
        <v>79311</v>
      </c>
      <c r="BV30" s="242">
        <f>3230+23588</f>
        <v>26818</v>
      </c>
      <c r="BW30" s="242">
        <f>3302+14370</f>
        <v>17672</v>
      </c>
      <c r="BX30" s="242">
        <f>58341+7242-SUM(BV30:BW30)</f>
        <v>21093</v>
      </c>
      <c r="BY30" s="455">
        <f>9205+75157-SUM(BV30:BX30)</f>
        <v>18779</v>
      </c>
      <c r="BZ30" s="327">
        <f t="shared" si="219"/>
        <v>84362</v>
      </c>
      <c r="CA30" s="242">
        <f>2650+18371</f>
        <v>21021</v>
      </c>
      <c r="CB30" s="242">
        <f>825+19775</f>
        <v>20600</v>
      </c>
      <c r="CC30" s="242">
        <f>19152+361</f>
        <v>19513</v>
      </c>
      <c r="CD30" s="1127">
        <v>28591</v>
      </c>
      <c r="CE30" s="327">
        <f t="shared" si="220"/>
        <v>89725</v>
      </c>
      <c r="CF30" s="1127">
        <v>14508</v>
      </c>
      <c r="CG30" s="1127">
        <v>20799</v>
      </c>
      <c r="CH30" s="242">
        <f>1454+10032</f>
        <v>11486</v>
      </c>
      <c r="CI30" s="1127">
        <v>9599</v>
      </c>
      <c r="CJ30" s="327">
        <f t="shared" si="221"/>
        <v>56392</v>
      </c>
      <c r="CK30" s="1127">
        <v>15600</v>
      </c>
      <c r="CL30" s="1127">
        <v>22481</v>
      </c>
      <c r="CM30" s="1127">
        <v>1208</v>
      </c>
      <c r="CN30" s="1127">
        <v>977</v>
      </c>
      <c r="CO30" s="327">
        <f t="shared" si="222"/>
        <v>40266</v>
      </c>
      <c r="CP30" s="1127">
        <v>18701</v>
      </c>
      <c r="CQ30" s="1127">
        <v>7448</v>
      </c>
      <c r="CR30" s="1127">
        <v>1688</v>
      </c>
      <c r="CS30" s="1127">
        <v>889</v>
      </c>
      <c r="CT30" s="327">
        <f t="shared" si="223"/>
        <v>28726</v>
      </c>
      <c r="CU30" s="1127">
        <v>9120</v>
      </c>
      <c r="CV30" s="1127">
        <v>6696</v>
      </c>
      <c r="CW30" s="1127">
        <v>462</v>
      </c>
      <c r="CX30" s="1127">
        <v>1335</v>
      </c>
      <c r="CY30" s="327">
        <f t="shared" si="224"/>
        <v>17613</v>
      </c>
      <c r="CZ30" s="1127">
        <v>7075</v>
      </c>
      <c r="DA30" s="1127">
        <v>5700</v>
      </c>
      <c r="DB30" s="1127">
        <v>915</v>
      </c>
      <c r="DC30" s="1127">
        <v>4522</v>
      </c>
      <c r="DD30" s="327">
        <f t="shared" si="225"/>
        <v>18212</v>
      </c>
      <c r="DE30" s="242">
        <f>3498+4417</f>
        <v>7915</v>
      </c>
      <c r="DF30" s="242">
        <f>1896+3361</f>
        <v>5257</v>
      </c>
      <c r="DG30" s="242">
        <f>4927+1054</f>
        <v>5981</v>
      </c>
      <c r="DH30" s="242">
        <f>1005+2420</f>
        <v>3425</v>
      </c>
      <c r="DI30" s="327">
        <f t="shared" si="226"/>
        <v>22578</v>
      </c>
      <c r="DJ30" s="1127">
        <v>870</v>
      </c>
      <c r="DK30" s="1127">
        <v>2603</v>
      </c>
      <c r="DL30" s="242">
        <f>2286+5738</f>
        <v>8024</v>
      </c>
      <c r="DM30" s="242">
        <f>1905+6112</f>
        <v>8017</v>
      </c>
      <c r="DN30" s="327">
        <f t="shared" si="227"/>
        <v>19514</v>
      </c>
      <c r="DO30" s="1127">
        <f>7536+2825</f>
        <v>10361</v>
      </c>
      <c r="DP30" s="1127">
        <f>6061+7835</f>
        <v>13896</v>
      </c>
      <c r="DQ30" s="1127">
        <f>4236+7946</f>
        <v>12182</v>
      </c>
      <c r="DR30" s="1127">
        <f>2453+6383</f>
        <v>8836</v>
      </c>
      <c r="DS30" s="327">
        <f t="shared" si="228"/>
        <v>45275</v>
      </c>
      <c r="DT30" s="1127">
        <f>1259+13307</f>
        <v>14566</v>
      </c>
      <c r="DU30" s="1127">
        <f>1989+7126</f>
        <v>9115</v>
      </c>
      <c r="DV30" s="1127">
        <f>9730+1265</f>
        <v>10995</v>
      </c>
      <c r="DW30" s="1127">
        <f>617+22301</f>
        <v>22918</v>
      </c>
      <c r="DX30" s="327">
        <f t="shared" si="229"/>
        <v>57594</v>
      </c>
      <c r="DY30" s="1127">
        <f>347+11117</f>
        <v>11464</v>
      </c>
      <c r="DZ30" s="1127">
        <f>1451+12354</f>
        <v>13805</v>
      </c>
      <c r="EA30" s="1127">
        <f>2336+16006</f>
        <v>18342</v>
      </c>
      <c r="EB30" s="1127">
        <f>20617+1138</f>
        <v>21755</v>
      </c>
      <c r="EC30" s="327">
        <f t="shared" si="230"/>
        <v>65366</v>
      </c>
      <c r="ED30" s="1127">
        <f>1693+16445</f>
        <v>18138</v>
      </c>
      <c r="EE30" s="1127">
        <f>2389+16108</f>
        <v>18497</v>
      </c>
      <c r="EF30" s="1127">
        <f>5561+21063</f>
        <v>26624</v>
      </c>
      <c r="EG30" s="1127">
        <f>5370+17232</f>
        <v>22602</v>
      </c>
      <c r="EH30" s="327">
        <f t="shared" si="231"/>
        <v>85861</v>
      </c>
      <c r="EI30" s="2769">
        <f>5686+28502</f>
        <v>34188</v>
      </c>
      <c r="EJ30" s="2769">
        <f>5351+28191</f>
        <v>33542</v>
      </c>
      <c r="EK30" s="2769">
        <f>5192+19599</f>
        <v>24791</v>
      </c>
      <c r="EL30" s="2769">
        <f>5825+16995</f>
        <v>22820</v>
      </c>
      <c r="EM30" s="2770">
        <f t="shared" si="232"/>
        <v>115341</v>
      </c>
      <c r="EN30" s="2769">
        <f>8659+32323</f>
        <v>40982</v>
      </c>
      <c r="EO30" s="2769">
        <f>8715+48987</f>
        <v>57702</v>
      </c>
      <c r="EP30" s="2769">
        <f>4860+36444</f>
        <v>41304</v>
      </c>
      <c r="EQ30" s="2769">
        <f>5810+18596</f>
        <v>24406</v>
      </c>
      <c r="ER30" s="2770">
        <f t="shared" si="233"/>
        <v>164394</v>
      </c>
      <c r="ES30" s="2769">
        <f>5226+23036</f>
        <v>28262</v>
      </c>
      <c r="ET30" s="2769">
        <f>6352+41261</f>
        <v>47613</v>
      </c>
      <c r="EU30" s="2769">
        <f>7674+26256</f>
        <v>33930</v>
      </c>
      <c r="EV30" s="1127">
        <v>45000</v>
      </c>
      <c r="EW30" s="327">
        <f t="shared" si="234"/>
        <v>154805</v>
      </c>
      <c r="EX30" s="1127">
        <v>42500</v>
      </c>
      <c r="EY30" s="1127">
        <v>42500</v>
      </c>
      <c r="EZ30" s="1127">
        <v>42500</v>
      </c>
      <c r="FA30" s="1127">
        <v>42500</v>
      </c>
      <c r="FB30" s="327">
        <f>SUM(EX30:FA30)</f>
        <v>170000</v>
      </c>
      <c r="FC30" s="1127">
        <v>42500</v>
      </c>
      <c r="FD30" s="1127">
        <v>42500</v>
      </c>
      <c r="FE30" s="1127">
        <v>42500</v>
      </c>
      <c r="FF30" s="1127">
        <v>42500</v>
      </c>
      <c r="FG30" s="327">
        <f>SUM(FC30:FF30)</f>
        <v>170000</v>
      </c>
      <c r="FH30" s="1127">
        <v>42500</v>
      </c>
      <c r="FI30" s="1127">
        <v>42500</v>
      </c>
      <c r="FJ30" s="1127">
        <v>42500</v>
      </c>
      <c r="FK30" s="1127">
        <v>42500</v>
      </c>
      <c r="FL30" s="327">
        <f>SUM(FH30:FK30)</f>
        <v>170000</v>
      </c>
      <c r="FM30" s="455"/>
      <c r="FN30" s="537"/>
      <c r="FO30" s="327">
        <f t="shared" si="235"/>
        <v>35712</v>
      </c>
      <c r="FP30" s="327">
        <f t="shared" si="236"/>
        <v>40145</v>
      </c>
      <c r="FQ30" s="327">
        <f t="shared" si="237"/>
        <v>63539</v>
      </c>
      <c r="FR30" s="327">
        <f t="shared" si="238"/>
        <v>96189</v>
      </c>
      <c r="FS30" s="327">
        <f t="shared" si="239"/>
        <v>81493</v>
      </c>
      <c r="FT30" s="327">
        <f t="shared" si="240"/>
        <v>83411</v>
      </c>
      <c r="FU30" s="327">
        <f t="shared" si="241"/>
        <v>59166</v>
      </c>
      <c r="FV30" s="327">
        <f t="shared" si="242"/>
        <v>28334</v>
      </c>
      <c r="FW30" s="327">
        <f t="shared" si="243"/>
        <v>18393</v>
      </c>
      <c r="FX30" s="327">
        <f t="shared" si="244"/>
        <v>14572</v>
      </c>
      <c r="FY30" s="327">
        <f t="shared" si="245"/>
        <v>18609</v>
      </c>
      <c r="FZ30" s="327">
        <f t="shared" si="246"/>
        <v>12879</v>
      </c>
      <c r="GA30" s="327">
        <f t="shared" si="247"/>
        <v>40298</v>
      </c>
      <c r="GB30" s="372">
        <f t="shared" si="248"/>
        <v>44699</v>
      </c>
      <c r="GC30" s="372">
        <f>SUM(DV30:DW30,DY30:DZ30)</f>
        <v>59182</v>
      </c>
      <c r="GD30" s="372">
        <f>SUM(EA30:EB30,ED30:EE30)</f>
        <v>76732</v>
      </c>
      <c r="GE30" s="372">
        <f t="shared" si="249"/>
        <v>116956</v>
      </c>
      <c r="GF30" s="372">
        <f t="shared" si="250"/>
        <v>146295</v>
      </c>
      <c r="GG30" s="372">
        <f t="shared" si="251"/>
        <v>141585</v>
      </c>
      <c r="GH30" s="372">
        <f t="shared" si="252"/>
        <v>163930</v>
      </c>
      <c r="GI30" s="372">
        <f t="shared" si="253"/>
        <v>170000</v>
      </c>
      <c r="GJ30" s="371"/>
      <c r="GK30" s="371"/>
      <c r="GL30" s="371"/>
      <c r="GM30" s="371"/>
      <c r="GO30"/>
      <c r="GP30"/>
      <c r="GQ30"/>
      <c r="GR30"/>
      <c r="GS30"/>
      <c r="GT30"/>
      <c r="GU30" s="261"/>
      <c r="GV30" s="261"/>
      <c r="GW30" s="261"/>
      <c r="GX30" s="261"/>
      <c r="GY30" s="261"/>
      <c r="GZ30" s="261"/>
      <c r="HA30" s="261"/>
      <c r="HB30" s="261"/>
      <c r="HC30" s="261"/>
      <c r="HD30" s="261"/>
      <c r="HE30" s="261"/>
      <c r="HF30" s="261"/>
      <c r="HG30" s="261"/>
      <c r="HH30" s="261"/>
      <c r="HI30" s="261"/>
      <c r="HJ30" s="261"/>
      <c r="HK30" s="261"/>
      <c r="HL30" s="261"/>
      <c r="HM30" s="261"/>
      <c r="HN30" s="261"/>
      <c r="HO30" s="261"/>
      <c r="HP30" s="261"/>
      <c r="HQ30" s="261"/>
      <c r="HR30" s="261"/>
      <c r="HS30" s="261"/>
      <c r="HT30" s="261"/>
      <c r="HU30" s="261"/>
      <c r="HV30" s="261"/>
      <c r="HW30" s="261"/>
      <c r="HX30" s="261"/>
      <c r="HY30" s="261"/>
      <c r="HZ30" s="261"/>
      <c r="IA30" s="261"/>
      <c r="IB30" s="261"/>
      <c r="IC30" s="261"/>
      <c r="ID30" s="261"/>
      <c r="IE30" s="261"/>
      <c r="IF30" s="261"/>
      <c r="IG30" s="261"/>
      <c r="IH30" s="261"/>
      <c r="II30" s="261"/>
      <c r="IJ30" s="261"/>
      <c r="IK30" s="261"/>
      <c r="IL30" s="261"/>
      <c r="IM30" s="261"/>
      <c r="IN30" s="261"/>
      <c r="IO30" s="261"/>
      <c r="IP30" s="261"/>
      <c r="IQ30" s="261"/>
      <c r="IR30" s="261"/>
      <c r="IS30" s="261"/>
      <c r="IT30" s="261"/>
      <c r="IU30" s="261"/>
      <c r="IV30" s="261"/>
      <c r="IW30" s="261"/>
      <c r="IX30" s="261"/>
      <c r="IY30" s="261"/>
      <c r="IZ30" s="261"/>
      <c r="JA30" s="261"/>
      <c r="JB30" s="261"/>
      <c r="JC30" s="261"/>
      <c r="JD30" s="261"/>
      <c r="JE30" s="261"/>
      <c r="JF30" s="261"/>
      <c r="JG30" s="261"/>
      <c r="JH30" s="261"/>
      <c r="JI30" s="261"/>
      <c r="JJ30" s="261"/>
      <c r="JK30" s="261"/>
      <c r="JL30" s="261"/>
      <c r="JM30" s="261"/>
      <c r="JN30" s="261"/>
      <c r="JO30" s="261"/>
      <c r="JP30" s="261"/>
      <c r="JQ30" s="261"/>
      <c r="JR30" s="261"/>
      <c r="JS30" s="261"/>
      <c r="JT30" s="261"/>
    </row>
    <row r="31" spans="1:280" s="264" customFormat="1" ht="11.25" customHeight="1">
      <c r="A31" s="528" t="s">
        <v>838</v>
      </c>
      <c r="D31" s="1128">
        <v>0</v>
      </c>
      <c r="E31" s="455">
        <f t="shared" si="188"/>
        <v>0</v>
      </c>
      <c r="F31" s="455">
        <f t="shared" si="189"/>
        <v>0</v>
      </c>
      <c r="G31" s="455">
        <f t="shared" si="190"/>
        <v>0</v>
      </c>
      <c r="H31" s="327">
        <f t="shared" si="191"/>
        <v>0</v>
      </c>
      <c r="I31" s="1128">
        <v>0</v>
      </c>
      <c r="J31" s="455">
        <f t="shared" si="192"/>
        <v>0</v>
      </c>
      <c r="K31" s="455">
        <f t="shared" si="193"/>
        <v>0</v>
      </c>
      <c r="L31" s="455">
        <f t="shared" si="194"/>
        <v>0</v>
      </c>
      <c r="M31" s="327">
        <f t="shared" si="195"/>
        <v>0</v>
      </c>
      <c r="N31" s="1128">
        <v>0</v>
      </c>
      <c r="O31" s="455">
        <f t="shared" si="196"/>
        <v>0</v>
      </c>
      <c r="P31" s="455">
        <f t="shared" si="197"/>
        <v>0</v>
      </c>
      <c r="Q31" s="455">
        <f t="shared" si="198"/>
        <v>0</v>
      </c>
      <c r="R31" s="327">
        <f t="shared" si="199"/>
        <v>0</v>
      </c>
      <c r="S31" s="1128">
        <v>0</v>
      </c>
      <c r="T31" s="455">
        <f t="shared" si="200"/>
        <v>0</v>
      </c>
      <c r="U31" s="455">
        <f t="shared" si="201"/>
        <v>0</v>
      </c>
      <c r="V31" s="455">
        <f t="shared" si="202"/>
        <v>0</v>
      </c>
      <c r="W31" s="327">
        <f t="shared" si="203"/>
        <v>0</v>
      </c>
      <c r="X31" s="1128">
        <v>0</v>
      </c>
      <c r="Y31" s="455">
        <f t="shared" si="204"/>
        <v>0</v>
      </c>
      <c r="Z31" s="455">
        <f t="shared" si="205"/>
        <v>0</v>
      </c>
      <c r="AA31" s="455">
        <f t="shared" si="206"/>
        <v>0</v>
      </c>
      <c r="AB31" s="327">
        <f t="shared" si="207"/>
        <v>0</v>
      </c>
      <c r="AC31" s="1128">
        <v>0</v>
      </c>
      <c r="AD31" s="455">
        <f t="shared" si="208"/>
        <v>0</v>
      </c>
      <c r="AE31" s="455">
        <f t="shared" si="209"/>
        <v>0</v>
      </c>
      <c r="AF31" s="455">
        <f>0-SUM(AC31:AE31)</f>
        <v>0</v>
      </c>
      <c r="AG31" s="327">
        <f t="shared" si="210"/>
        <v>0</v>
      </c>
      <c r="AH31" s="1128">
        <v>0</v>
      </c>
      <c r="AI31" s="455">
        <f>0-AH31</f>
        <v>0</v>
      </c>
      <c r="AJ31" s="455">
        <f>0-SUM(AH31:AI31)</f>
        <v>0</v>
      </c>
      <c r="AK31" s="455">
        <f>0-SUM(AH31:AJ31)</f>
        <v>0</v>
      </c>
      <c r="AL31" s="327">
        <f t="shared" si="211"/>
        <v>0</v>
      </c>
      <c r="AM31" s="1128">
        <v>0</v>
      </c>
      <c r="AN31" s="455">
        <f>0-AM31</f>
        <v>0</v>
      </c>
      <c r="AO31" s="455">
        <f>0-SUM(AM31:AN31)</f>
        <v>0</v>
      </c>
      <c r="AP31" s="455">
        <f>0-SUM(AM31:AO31)</f>
        <v>0</v>
      </c>
      <c r="AQ31" s="327">
        <f t="shared" si="212"/>
        <v>0</v>
      </c>
      <c r="AR31" s="1128">
        <v>0</v>
      </c>
      <c r="AS31" s="455">
        <f>0-AR31</f>
        <v>0</v>
      </c>
      <c r="AT31" s="455">
        <f>0-SUM(AR31:AS31)</f>
        <v>0</v>
      </c>
      <c r="AU31" s="455">
        <f>0-SUM(AR31:AT31)</f>
        <v>0</v>
      </c>
      <c r="AV31" s="327">
        <f t="shared" si="213"/>
        <v>0</v>
      </c>
      <c r="AW31" s="1128">
        <v>0</v>
      </c>
      <c r="AX31" s="455">
        <f>0-AW31</f>
        <v>0</v>
      </c>
      <c r="AY31" s="455">
        <f>0-SUM(AW31:AX31)</f>
        <v>0</v>
      </c>
      <c r="AZ31" s="455">
        <f>0-SUM(AW31:AY31)</f>
        <v>0</v>
      </c>
      <c r="BA31" s="327">
        <f t="shared" si="214"/>
        <v>0</v>
      </c>
      <c r="BB31" s="1135">
        <v>0</v>
      </c>
      <c r="BC31" s="455">
        <f>0-BB31</f>
        <v>0</v>
      </c>
      <c r="BD31" s="455">
        <f>0-SUM(BB31:BC31)</f>
        <v>0</v>
      </c>
      <c r="BE31" s="455">
        <f>0-SUM(BB31:BD31)</f>
        <v>0</v>
      </c>
      <c r="BF31" s="327">
        <f t="shared" si="215"/>
        <v>0</v>
      </c>
      <c r="BG31" s="1135">
        <v>0</v>
      </c>
      <c r="BH31" s="455">
        <f>0-BG31</f>
        <v>0</v>
      </c>
      <c r="BI31" s="455">
        <f>0-SUM(BG31:BH31)</f>
        <v>0</v>
      </c>
      <c r="BJ31" s="455">
        <f>0-SUM(BG31:BI31)</f>
        <v>0</v>
      </c>
      <c r="BK31" s="327">
        <f t="shared" si="216"/>
        <v>0</v>
      </c>
      <c r="BL31" s="1128">
        <v>0</v>
      </c>
      <c r="BM31" s="455">
        <f>0-BL31</f>
        <v>0</v>
      </c>
      <c r="BN31" s="455">
        <f>0-SUM(BL31:BM31)</f>
        <v>0</v>
      </c>
      <c r="BO31" s="455">
        <f>0-SUM(BL31:BN31)</f>
        <v>0</v>
      </c>
      <c r="BP31" s="327">
        <f t="shared" si="217"/>
        <v>0</v>
      </c>
      <c r="BQ31" s="1128">
        <v>0</v>
      </c>
      <c r="BR31" s="455">
        <f>0-BQ31</f>
        <v>0</v>
      </c>
      <c r="BS31" s="455">
        <f>0-SUM(BQ31:BR31)</f>
        <v>0</v>
      </c>
      <c r="BT31" s="455">
        <f>0-SUM(BQ31:BS31)</f>
        <v>0</v>
      </c>
      <c r="BU31" s="327">
        <f t="shared" si="218"/>
        <v>0</v>
      </c>
      <c r="BV31" s="1128">
        <v>0</v>
      </c>
      <c r="BW31" s="1128">
        <v>0</v>
      </c>
      <c r="BX31" s="242">
        <f>0-SUM(BV31:BW31)</f>
        <v>0</v>
      </c>
      <c r="BY31" s="455">
        <f>0-SUM(BV31:BX31)</f>
        <v>0</v>
      </c>
      <c r="BZ31" s="327">
        <f t="shared" si="219"/>
        <v>0</v>
      </c>
      <c r="CA31" s="1128">
        <v>0</v>
      </c>
      <c r="CB31" s="1128">
        <v>0</v>
      </c>
      <c r="CC31" s="1127">
        <v>0</v>
      </c>
      <c r="CD31" s="1127">
        <v>1725</v>
      </c>
      <c r="CE31" s="327">
        <f t="shared" si="220"/>
        <v>1725</v>
      </c>
      <c r="CF31" s="1127">
        <v>7201</v>
      </c>
      <c r="CG31" s="1127">
        <v>19536</v>
      </c>
      <c r="CH31" s="1127">
        <v>0</v>
      </c>
      <c r="CI31" s="1127">
        <v>962</v>
      </c>
      <c r="CJ31" s="327">
        <f t="shared" si="221"/>
        <v>27699</v>
      </c>
      <c r="CK31" s="1127">
        <v>949</v>
      </c>
      <c r="CL31" s="1127">
        <v>743</v>
      </c>
      <c r="CM31" s="1127">
        <v>8755</v>
      </c>
      <c r="CN31" s="1127">
        <v>7517</v>
      </c>
      <c r="CO31" s="327">
        <f t="shared" si="222"/>
        <v>17964</v>
      </c>
      <c r="CP31" s="1127">
        <v>834</v>
      </c>
      <c r="CQ31" s="1127">
        <v>1325</v>
      </c>
      <c r="CR31" s="1127">
        <v>6264</v>
      </c>
      <c r="CS31" s="1127">
        <v>9038</v>
      </c>
      <c r="CT31" s="327">
        <f t="shared" si="223"/>
        <v>17461</v>
      </c>
      <c r="CU31" s="1127">
        <v>330</v>
      </c>
      <c r="CV31" s="1127">
        <v>470</v>
      </c>
      <c r="CW31" s="1127">
        <v>2829</v>
      </c>
      <c r="CX31" s="1127">
        <v>6487</v>
      </c>
      <c r="CY31" s="327">
        <f t="shared" si="224"/>
        <v>10116</v>
      </c>
      <c r="CZ31" s="1127">
        <v>464</v>
      </c>
      <c r="DA31" s="1127">
        <v>290</v>
      </c>
      <c r="DB31" s="1127">
        <v>3327</v>
      </c>
      <c r="DC31" s="1127">
        <v>3704</v>
      </c>
      <c r="DD31" s="327">
        <f t="shared" si="225"/>
        <v>7785</v>
      </c>
      <c r="DE31" s="1127">
        <v>0</v>
      </c>
      <c r="DF31" s="1127">
        <v>-623</v>
      </c>
      <c r="DG31" s="1127">
        <v>0</v>
      </c>
      <c r="DH31" s="1127">
        <v>0</v>
      </c>
      <c r="DI31" s="327">
        <f t="shared" si="226"/>
        <v>-623</v>
      </c>
      <c r="DJ31" s="1127">
        <v>1427</v>
      </c>
      <c r="DK31" s="1127">
        <v>1836</v>
      </c>
      <c r="DL31" s="1127">
        <v>0</v>
      </c>
      <c r="DM31" s="1127">
        <v>0</v>
      </c>
      <c r="DN31" s="327">
        <f t="shared" si="227"/>
        <v>3263</v>
      </c>
      <c r="DO31" s="1127">
        <v>0</v>
      </c>
      <c r="DP31" s="1127">
        <v>0</v>
      </c>
      <c r="DQ31" s="1127">
        <v>0</v>
      </c>
      <c r="DR31" s="1127">
        <v>0</v>
      </c>
      <c r="DS31" s="327">
        <f t="shared" si="228"/>
        <v>0</v>
      </c>
      <c r="DT31" s="1127">
        <v>0</v>
      </c>
      <c r="DU31" s="1127">
        <v>0</v>
      </c>
      <c r="DV31" s="1127">
        <v>0</v>
      </c>
      <c r="DW31" s="1127">
        <v>0</v>
      </c>
      <c r="DX31" s="327">
        <f t="shared" si="229"/>
        <v>0</v>
      </c>
      <c r="DY31" s="1127">
        <v>0</v>
      </c>
      <c r="DZ31" s="1127">
        <v>0</v>
      </c>
      <c r="EA31" s="1127">
        <v>0</v>
      </c>
      <c r="EB31" s="1127">
        <v>0</v>
      </c>
      <c r="EC31" s="327">
        <f t="shared" si="230"/>
        <v>0</v>
      </c>
      <c r="ED31" s="1127">
        <v>0</v>
      </c>
      <c r="EE31" s="1127">
        <v>0</v>
      </c>
      <c r="EF31" s="1127">
        <v>0</v>
      </c>
      <c r="EG31" s="1127">
        <v>0</v>
      </c>
      <c r="EH31" s="327">
        <f t="shared" si="231"/>
        <v>0</v>
      </c>
      <c r="EI31" s="2769">
        <v>0</v>
      </c>
      <c r="EJ31" s="2769">
        <v>0</v>
      </c>
      <c r="EK31" s="2769">
        <v>0</v>
      </c>
      <c r="EL31" s="2769">
        <v>0</v>
      </c>
      <c r="EM31" s="2770">
        <f t="shared" si="232"/>
        <v>0</v>
      </c>
      <c r="EN31" s="2769">
        <v>0</v>
      </c>
      <c r="EO31" s="2769">
        <v>0</v>
      </c>
      <c r="EP31" s="2769">
        <v>0</v>
      </c>
      <c r="EQ31" s="2769">
        <v>0</v>
      </c>
      <c r="ER31" s="2770">
        <f t="shared" si="233"/>
        <v>0</v>
      </c>
      <c r="ES31" s="2769">
        <v>0</v>
      </c>
      <c r="ET31" s="2769">
        <v>0</v>
      </c>
      <c r="EU31" s="2769">
        <v>0</v>
      </c>
      <c r="EV31" s="1127">
        <v>0</v>
      </c>
      <c r="EW31" s="327">
        <f t="shared" si="234"/>
        <v>0</v>
      </c>
      <c r="EX31" s="1127">
        <v>0</v>
      </c>
      <c r="EY31" s="1127">
        <v>0</v>
      </c>
      <c r="EZ31" s="1127">
        <v>0</v>
      </c>
      <c r="FA31" s="1127">
        <v>0</v>
      </c>
      <c r="FB31" s="327">
        <f>SUM(EX31:FA31)</f>
        <v>0</v>
      </c>
      <c r="FC31" s="1127">
        <v>0</v>
      </c>
      <c r="FD31" s="1127">
        <v>0</v>
      </c>
      <c r="FE31" s="1127">
        <v>0</v>
      </c>
      <c r="FF31" s="1127">
        <v>0</v>
      </c>
      <c r="FG31" s="327">
        <f>SUM(FC31:FF31)</f>
        <v>0</v>
      </c>
      <c r="FH31" s="1127">
        <v>0</v>
      </c>
      <c r="FI31" s="1127">
        <v>0</v>
      </c>
      <c r="FJ31" s="1127">
        <v>0</v>
      </c>
      <c r="FK31" s="1127">
        <v>0</v>
      </c>
      <c r="FL31" s="327">
        <f>SUM(FH31:FK31)</f>
        <v>0</v>
      </c>
      <c r="FM31" s="455"/>
      <c r="FN31" s="537"/>
      <c r="FO31" s="327">
        <f t="shared" si="235"/>
        <v>0</v>
      </c>
      <c r="FP31" s="327">
        <f t="shared" si="236"/>
        <v>0</v>
      </c>
      <c r="FQ31" s="327">
        <f t="shared" si="237"/>
        <v>0</v>
      </c>
      <c r="FR31" s="327">
        <f t="shared" si="238"/>
        <v>0</v>
      </c>
      <c r="FS31" s="327">
        <f t="shared" si="239"/>
        <v>0</v>
      </c>
      <c r="FT31" s="327">
        <f t="shared" si="240"/>
        <v>28462</v>
      </c>
      <c r="FU31" s="327">
        <f t="shared" si="241"/>
        <v>2654</v>
      </c>
      <c r="FV31" s="327">
        <f t="shared" si="242"/>
        <v>18431</v>
      </c>
      <c r="FW31" s="327">
        <f t="shared" si="243"/>
        <v>16102</v>
      </c>
      <c r="FX31" s="327">
        <f t="shared" si="244"/>
        <v>10070</v>
      </c>
      <c r="FY31" s="327">
        <f t="shared" si="245"/>
        <v>6408</v>
      </c>
      <c r="FZ31" s="327">
        <f t="shared" si="246"/>
        <v>3263</v>
      </c>
      <c r="GA31" s="327">
        <f t="shared" si="247"/>
        <v>0</v>
      </c>
      <c r="GB31" s="372">
        <f t="shared" si="248"/>
        <v>0</v>
      </c>
      <c r="GC31" s="372">
        <f>SUM(DV31:DW31,DY31:DZ31)</f>
        <v>0</v>
      </c>
      <c r="GD31" s="372">
        <f>SUM(EA31:EB31,ED31:EE31)</f>
        <v>0</v>
      </c>
      <c r="GE31" s="372">
        <f t="shared" si="249"/>
        <v>0</v>
      </c>
      <c r="GF31" s="372">
        <f t="shared" si="250"/>
        <v>0</v>
      </c>
      <c r="GG31" s="372">
        <f t="shared" si="251"/>
        <v>0</v>
      </c>
      <c r="GH31" s="372">
        <f t="shared" si="252"/>
        <v>0</v>
      </c>
      <c r="GI31" s="372">
        <f t="shared" si="253"/>
        <v>0</v>
      </c>
      <c r="GJ31" s="371"/>
      <c r="GK31" s="371"/>
      <c r="GL31" s="371"/>
      <c r="GM31" s="371"/>
      <c r="GO31"/>
      <c r="GP31"/>
      <c r="GQ31"/>
      <c r="GR31"/>
      <c r="GS31"/>
      <c r="GT31"/>
      <c r="GU31" s="261"/>
      <c r="GV31" s="261"/>
      <c r="GW31" s="261"/>
      <c r="GX31" s="261"/>
      <c r="GY31" s="261"/>
      <c r="GZ31" s="261"/>
      <c r="HA31" s="261"/>
      <c r="HB31" s="261"/>
      <c r="HC31" s="261"/>
      <c r="HD31" s="261"/>
      <c r="HE31" s="261"/>
      <c r="HF31" s="261"/>
      <c r="HG31" s="261"/>
      <c r="HH31" s="261"/>
      <c r="HI31" s="261"/>
      <c r="HJ31" s="261"/>
      <c r="HK31" s="261"/>
      <c r="HL31" s="261"/>
      <c r="HM31" s="261"/>
      <c r="HN31" s="261"/>
      <c r="HO31" s="261"/>
      <c r="HP31" s="261"/>
      <c r="HQ31" s="261"/>
      <c r="HR31" s="261"/>
      <c r="HS31" s="261"/>
      <c r="HT31" s="261"/>
      <c r="HU31" s="261"/>
      <c r="HV31" s="261"/>
      <c r="HW31" s="261"/>
      <c r="HX31" s="261"/>
      <c r="HY31" s="261"/>
      <c r="HZ31" s="261"/>
      <c r="IA31" s="261"/>
      <c r="IB31" s="261"/>
      <c r="IC31" s="261"/>
      <c r="ID31" s="261"/>
      <c r="IE31" s="261"/>
      <c r="IF31" s="261"/>
      <c r="IG31" s="261"/>
      <c r="IH31" s="261"/>
      <c r="II31" s="261"/>
      <c r="IJ31" s="261"/>
      <c r="IK31" s="261"/>
      <c r="IL31" s="261"/>
      <c r="IM31" s="261"/>
      <c r="IN31" s="261"/>
      <c r="IO31" s="261"/>
      <c r="IP31" s="261"/>
      <c r="IQ31" s="261"/>
      <c r="IR31" s="261"/>
      <c r="IS31" s="261"/>
      <c r="IT31" s="261"/>
      <c r="IU31" s="261"/>
      <c r="IV31" s="261"/>
      <c r="IW31" s="261"/>
      <c r="IX31" s="261"/>
      <c r="IY31" s="261"/>
      <c r="IZ31" s="261"/>
      <c r="JA31" s="261"/>
      <c r="JB31" s="261"/>
      <c r="JC31" s="261"/>
      <c r="JD31" s="261"/>
      <c r="JE31" s="261"/>
      <c r="JF31" s="261"/>
      <c r="JG31" s="261"/>
      <c r="JH31" s="261"/>
      <c r="JI31" s="261"/>
      <c r="JJ31" s="261"/>
      <c r="JK31" s="261"/>
      <c r="JL31" s="261"/>
      <c r="JM31" s="261"/>
      <c r="JN31" s="261"/>
      <c r="JO31" s="261"/>
      <c r="JP31" s="261"/>
      <c r="JQ31" s="261"/>
      <c r="JR31" s="261"/>
      <c r="JS31" s="261"/>
      <c r="JT31" s="261"/>
    </row>
    <row r="32" spans="1:280" s="264" customFormat="1" ht="11.25" customHeight="1">
      <c r="A32" s="528" t="s">
        <v>280</v>
      </c>
      <c r="D32" s="1128">
        <v>0</v>
      </c>
      <c r="E32" s="455">
        <f t="shared" si="188"/>
        <v>0</v>
      </c>
      <c r="F32" s="455">
        <f t="shared" si="189"/>
        <v>0</v>
      </c>
      <c r="G32" s="455">
        <f t="shared" si="190"/>
        <v>0</v>
      </c>
      <c r="H32" s="327">
        <f t="shared" si="191"/>
        <v>0</v>
      </c>
      <c r="I32" s="1128">
        <v>0</v>
      </c>
      <c r="J32" s="455">
        <f t="shared" si="192"/>
        <v>0</v>
      </c>
      <c r="K32" s="455">
        <f t="shared" si="193"/>
        <v>0</v>
      </c>
      <c r="L32" s="455">
        <f t="shared" si="194"/>
        <v>0</v>
      </c>
      <c r="M32" s="327">
        <f t="shared" si="195"/>
        <v>0</v>
      </c>
      <c r="N32" s="1128">
        <v>0</v>
      </c>
      <c r="O32" s="455">
        <f t="shared" si="196"/>
        <v>0</v>
      </c>
      <c r="P32" s="455">
        <f t="shared" si="197"/>
        <v>0</v>
      </c>
      <c r="Q32" s="455">
        <f t="shared" si="198"/>
        <v>0</v>
      </c>
      <c r="R32" s="327">
        <f t="shared" si="199"/>
        <v>0</v>
      </c>
      <c r="S32" s="1128">
        <v>0</v>
      </c>
      <c r="T32" s="455">
        <f t="shared" si="200"/>
        <v>0</v>
      </c>
      <c r="U32" s="455">
        <f t="shared" si="201"/>
        <v>0</v>
      </c>
      <c r="V32" s="455">
        <f t="shared" si="202"/>
        <v>0</v>
      </c>
      <c r="W32" s="327">
        <f t="shared" si="203"/>
        <v>0</v>
      </c>
      <c r="X32" s="1128">
        <v>0</v>
      </c>
      <c r="Y32" s="455">
        <f t="shared" si="204"/>
        <v>0</v>
      </c>
      <c r="Z32" s="455">
        <f t="shared" si="205"/>
        <v>0</v>
      </c>
      <c r="AA32" s="455">
        <f t="shared" si="206"/>
        <v>0</v>
      </c>
      <c r="AB32" s="327">
        <f t="shared" si="207"/>
        <v>0</v>
      </c>
      <c r="AC32" s="1128">
        <v>0</v>
      </c>
      <c r="AD32" s="455">
        <f t="shared" si="208"/>
        <v>0</v>
      </c>
      <c r="AE32" s="455">
        <f t="shared" si="209"/>
        <v>0</v>
      </c>
      <c r="AF32" s="455">
        <f>-64-SUM(AC32:AE32)</f>
        <v>-64</v>
      </c>
      <c r="AG32" s="327">
        <f t="shared" si="210"/>
        <v>-64</v>
      </c>
      <c r="AH32" s="1128">
        <v>-35</v>
      </c>
      <c r="AI32" s="455">
        <f>-90-AH32</f>
        <v>-55</v>
      </c>
      <c r="AJ32" s="455">
        <f>-91-SUM(AH32:AI32)</f>
        <v>-1</v>
      </c>
      <c r="AK32" s="455">
        <f>-230-SUM(AH32:AJ32)</f>
        <v>-139</v>
      </c>
      <c r="AL32" s="327">
        <f t="shared" si="211"/>
        <v>-230</v>
      </c>
      <c r="AM32" s="1128">
        <v>-98</v>
      </c>
      <c r="AN32" s="455">
        <f>-203-AM32</f>
        <v>-105</v>
      </c>
      <c r="AO32" s="455">
        <f>-257-SUM(AM32:AN32)</f>
        <v>-54</v>
      </c>
      <c r="AP32" s="455">
        <f>-625-SUM(AM32:AO32)</f>
        <v>-368</v>
      </c>
      <c r="AQ32" s="327">
        <f t="shared" si="212"/>
        <v>-625</v>
      </c>
      <c r="AR32" s="1128">
        <v>0</v>
      </c>
      <c r="AS32" s="455">
        <f>0-AR32</f>
        <v>0</v>
      </c>
      <c r="AT32" s="455">
        <f>0-SUM(AR32:AS32)</f>
        <v>0</v>
      </c>
      <c r="AU32" s="455">
        <f>0-SUM(AR32:AT32)</f>
        <v>0</v>
      </c>
      <c r="AV32" s="327">
        <f t="shared" si="213"/>
        <v>0</v>
      </c>
      <c r="AW32" s="1128">
        <v>0</v>
      </c>
      <c r="AX32" s="455">
        <f>0-AW32</f>
        <v>0</v>
      </c>
      <c r="AY32" s="455">
        <f>0-SUM(AW32:AX32)</f>
        <v>0</v>
      </c>
      <c r="AZ32" s="455">
        <f>0-SUM(AW32:AY32)</f>
        <v>0</v>
      </c>
      <c r="BA32" s="327">
        <f t="shared" si="214"/>
        <v>0</v>
      </c>
      <c r="BB32" s="1135">
        <v>79</v>
      </c>
      <c r="BC32" s="455">
        <f>79-BB32</f>
        <v>0</v>
      </c>
      <c r="BD32" s="455">
        <f>79-SUM(BB32:BC32)</f>
        <v>0</v>
      </c>
      <c r="BE32" s="455">
        <f>79-SUM(BB32:BD32)</f>
        <v>0</v>
      </c>
      <c r="BF32" s="327">
        <f t="shared" si="215"/>
        <v>79</v>
      </c>
      <c r="BG32" s="1135">
        <v>0</v>
      </c>
      <c r="BH32" s="455">
        <f>0-BG32</f>
        <v>0</v>
      </c>
      <c r="BI32" s="455">
        <f>0-SUM(BG32:BH32)</f>
        <v>0</v>
      </c>
      <c r="BJ32" s="455">
        <f>0-SUM(BG32:BI32)</f>
        <v>0</v>
      </c>
      <c r="BK32" s="327">
        <f t="shared" si="216"/>
        <v>0</v>
      </c>
      <c r="BL32" s="1128">
        <v>0</v>
      </c>
      <c r="BM32" s="455">
        <f>0-BL32</f>
        <v>0</v>
      </c>
      <c r="BN32" s="455">
        <f>0-SUM(BL32:BM32)</f>
        <v>0</v>
      </c>
      <c r="BO32" s="455">
        <f>0-SUM(BL32:BN32)</f>
        <v>0</v>
      </c>
      <c r="BP32" s="327">
        <f t="shared" si="217"/>
        <v>0</v>
      </c>
      <c r="BQ32" s="1128">
        <v>0</v>
      </c>
      <c r="BR32" s="455">
        <f>0-BQ32</f>
        <v>0</v>
      </c>
      <c r="BS32" s="455">
        <f>0-SUM(BQ32:BR32)</f>
        <v>0</v>
      </c>
      <c r="BT32" s="455">
        <f>0-SUM(BQ32:BS32)</f>
        <v>0</v>
      </c>
      <c r="BU32" s="327">
        <f t="shared" si="218"/>
        <v>0</v>
      </c>
      <c r="BV32" s="1128">
        <v>0</v>
      </c>
      <c r="BW32" s="1128">
        <v>0</v>
      </c>
      <c r="BX32" s="242">
        <f>0-SUM(BV32:BW32)</f>
        <v>0</v>
      </c>
      <c r="BY32" s="455">
        <f>0-SUM(BV32:BX32)</f>
        <v>0</v>
      </c>
      <c r="BZ32" s="327">
        <f t="shared" si="219"/>
        <v>0</v>
      </c>
      <c r="CA32" s="1128">
        <v>0</v>
      </c>
      <c r="CB32" s="1128">
        <v>0</v>
      </c>
      <c r="CC32" s="1127">
        <v>0</v>
      </c>
      <c r="CD32" s="1127">
        <v>0</v>
      </c>
      <c r="CE32" s="327">
        <f t="shared" si="220"/>
        <v>0</v>
      </c>
      <c r="CF32" s="1127">
        <v>0</v>
      </c>
      <c r="CG32" s="1127">
        <v>0</v>
      </c>
      <c r="CH32" s="1127">
        <v>0</v>
      </c>
      <c r="CI32" s="1127">
        <v>0</v>
      </c>
      <c r="CJ32" s="327">
        <f t="shared" si="221"/>
        <v>0</v>
      </c>
      <c r="CK32" s="1127">
        <v>0</v>
      </c>
      <c r="CL32" s="1127">
        <v>0</v>
      </c>
      <c r="CM32" s="1127">
        <v>1337</v>
      </c>
      <c r="CN32" s="1127">
        <v>1780</v>
      </c>
      <c r="CO32" s="327">
        <f t="shared" si="222"/>
        <v>3117</v>
      </c>
      <c r="CP32" s="1127">
        <v>528</v>
      </c>
      <c r="CQ32" s="1127">
        <v>-932</v>
      </c>
      <c r="CR32" s="1127">
        <v>318</v>
      </c>
      <c r="CS32" s="1127">
        <v>-290</v>
      </c>
      <c r="CT32" s="327">
        <f t="shared" si="223"/>
        <v>-376</v>
      </c>
      <c r="CU32" s="1127">
        <v>196</v>
      </c>
      <c r="CV32" s="1127">
        <v>-770</v>
      </c>
      <c r="CW32" s="1127">
        <v>309</v>
      </c>
      <c r="CX32" s="1127">
        <v>138</v>
      </c>
      <c r="CY32" s="327">
        <f t="shared" si="224"/>
        <v>-127</v>
      </c>
      <c r="CZ32" s="1127">
        <v>-1543</v>
      </c>
      <c r="DA32" s="1127">
        <v>-601</v>
      </c>
      <c r="DB32" s="1127">
        <v>1064</v>
      </c>
      <c r="DC32" s="1127">
        <v>150</v>
      </c>
      <c r="DD32" s="327">
        <f t="shared" si="225"/>
        <v>-930</v>
      </c>
      <c r="DE32" s="1127">
        <v>1850</v>
      </c>
      <c r="DF32" s="1127">
        <v>0</v>
      </c>
      <c r="DG32" s="1127">
        <v>-117</v>
      </c>
      <c r="DH32" s="1127">
        <v>-2612</v>
      </c>
      <c r="DI32" s="327">
        <f t="shared" si="226"/>
        <v>-879</v>
      </c>
      <c r="DJ32" s="1127">
        <v>727</v>
      </c>
      <c r="DK32" s="1127">
        <v>447</v>
      </c>
      <c r="DL32" s="1127">
        <v>-111</v>
      </c>
      <c r="DM32" s="1127">
        <v>-37</v>
      </c>
      <c r="DN32" s="327">
        <f t="shared" si="227"/>
        <v>1026</v>
      </c>
      <c r="DO32" s="1127">
        <v>-66</v>
      </c>
      <c r="DP32" s="1127">
        <v>-292</v>
      </c>
      <c r="DQ32" s="1127">
        <v>361</v>
      </c>
      <c r="DR32" s="1127">
        <f>-397</f>
        <v>-397</v>
      </c>
      <c r="DS32" s="327">
        <f t="shared" si="228"/>
        <v>-394</v>
      </c>
      <c r="DT32" s="1127">
        <f>-399</f>
        <v>-399</v>
      </c>
      <c r="DU32" s="1127">
        <v>-393</v>
      </c>
      <c r="DV32" s="1127">
        <v>543</v>
      </c>
      <c r="DW32" s="1127">
        <v>81</v>
      </c>
      <c r="DX32" s="327">
        <f t="shared" si="229"/>
        <v>-168</v>
      </c>
      <c r="DY32" s="1127">
        <v>-64</v>
      </c>
      <c r="DZ32" s="1127">
        <v>167</v>
      </c>
      <c r="EA32" s="1127">
        <v>46</v>
      </c>
      <c r="EB32" s="1127">
        <v>-236</v>
      </c>
      <c r="EC32" s="327">
        <f t="shared" si="230"/>
        <v>-87</v>
      </c>
      <c r="ED32" s="1127">
        <v>-367</v>
      </c>
      <c r="EE32" s="1127">
        <v>238</v>
      </c>
      <c r="EF32" s="1127">
        <v>-334</v>
      </c>
      <c r="EG32" s="1127">
        <f>+-3</f>
        <v>-3</v>
      </c>
      <c r="EH32" s="327">
        <f t="shared" si="231"/>
        <v>-466</v>
      </c>
      <c r="EI32" s="2769">
        <v>62</v>
      </c>
      <c r="EJ32" s="2769">
        <v>285</v>
      </c>
      <c r="EK32" s="2769">
        <v>-66</v>
      </c>
      <c r="EL32" s="2769">
        <v>-78</v>
      </c>
      <c r="EM32" s="2770">
        <f t="shared" si="232"/>
        <v>203</v>
      </c>
      <c r="EN32" s="2769">
        <v>-84</v>
      </c>
      <c r="EO32" s="2769">
        <v>1070</v>
      </c>
      <c r="EP32" s="2769">
        <v>-1080</v>
      </c>
      <c r="EQ32" s="2769">
        <v>-103</v>
      </c>
      <c r="ER32" s="2770">
        <f t="shared" si="233"/>
        <v>-197</v>
      </c>
      <c r="ES32" s="2769">
        <v>106</v>
      </c>
      <c r="ET32" s="2769">
        <v>-177</v>
      </c>
      <c r="EU32" s="2769">
        <v>-19</v>
      </c>
      <c r="EV32" s="1127">
        <f>EU32</f>
        <v>-19</v>
      </c>
      <c r="EW32" s="327">
        <f t="shared" si="234"/>
        <v>-109</v>
      </c>
      <c r="EX32" s="1127">
        <f>EV32</f>
        <v>-19</v>
      </c>
      <c r="EY32" s="1127">
        <f>EX32</f>
        <v>-19</v>
      </c>
      <c r="EZ32" s="1127">
        <f>EY32</f>
        <v>-19</v>
      </c>
      <c r="FA32" s="1127">
        <f>EZ32</f>
        <v>-19</v>
      </c>
      <c r="FB32" s="327">
        <f>SUM(EX32:FA32)</f>
        <v>-76</v>
      </c>
      <c r="FC32" s="1127">
        <f>FA32</f>
        <v>-19</v>
      </c>
      <c r="FD32" s="1127">
        <f>FC32</f>
        <v>-19</v>
      </c>
      <c r="FE32" s="1127">
        <f>FD32</f>
        <v>-19</v>
      </c>
      <c r="FF32" s="1127">
        <f>FE32</f>
        <v>-19</v>
      </c>
      <c r="FG32" s="327">
        <f>SUM(FC32:FF32)</f>
        <v>-76</v>
      </c>
      <c r="FH32" s="1127">
        <f>FF32</f>
        <v>-19</v>
      </c>
      <c r="FI32" s="1127">
        <f>FH32</f>
        <v>-19</v>
      </c>
      <c r="FJ32" s="1127">
        <f>FI32</f>
        <v>-19</v>
      </c>
      <c r="FK32" s="1127">
        <f>FJ32</f>
        <v>-19</v>
      </c>
      <c r="FL32" s="327">
        <f>SUM(FH32:FK32)</f>
        <v>-76</v>
      </c>
      <c r="FM32" s="455"/>
      <c r="FN32" s="537"/>
      <c r="FO32" s="327">
        <f t="shared" si="235"/>
        <v>0</v>
      </c>
      <c r="FP32" s="327">
        <f t="shared" si="236"/>
        <v>0</v>
      </c>
      <c r="FQ32" s="327">
        <f t="shared" si="237"/>
        <v>0</v>
      </c>
      <c r="FR32" s="327">
        <f t="shared" si="238"/>
        <v>0</v>
      </c>
      <c r="FS32" s="327">
        <f t="shared" si="239"/>
        <v>0</v>
      </c>
      <c r="FT32" s="327">
        <f t="shared" si="240"/>
        <v>0</v>
      </c>
      <c r="FU32" s="327">
        <f t="shared" si="241"/>
        <v>0</v>
      </c>
      <c r="FV32" s="327">
        <f t="shared" si="242"/>
        <v>2713</v>
      </c>
      <c r="FW32" s="327">
        <f t="shared" si="243"/>
        <v>-546</v>
      </c>
      <c r="FX32" s="327">
        <f t="shared" si="244"/>
        <v>-1697</v>
      </c>
      <c r="FY32" s="327">
        <f t="shared" si="245"/>
        <v>3064</v>
      </c>
      <c r="FZ32" s="327">
        <f t="shared" si="246"/>
        <v>-1555</v>
      </c>
      <c r="GA32" s="327">
        <f t="shared" si="247"/>
        <v>-506</v>
      </c>
      <c r="GB32" s="372">
        <f t="shared" si="248"/>
        <v>-828</v>
      </c>
      <c r="GC32" s="372">
        <f>SUM(DV32:DW32,DY32:DZ32)</f>
        <v>727</v>
      </c>
      <c r="GD32" s="372">
        <f>SUM(EA32:EB32,ED32:EE32)</f>
        <v>-319</v>
      </c>
      <c r="GE32" s="372">
        <f t="shared" si="249"/>
        <v>10</v>
      </c>
      <c r="GF32" s="372">
        <f t="shared" si="250"/>
        <v>842</v>
      </c>
      <c r="GG32" s="372">
        <f t="shared" si="251"/>
        <v>-1254</v>
      </c>
      <c r="GH32" s="372">
        <f t="shared" si="252"/>
        <v>-76</v>
      </c>
      <c r="GI32" s="372">
        <f t="shared" si="253"/>
        <v>-76</v>
      </c>
      <c r="GJ32" s="371"/>
      <c r="GK32" s="371"/>
      <c r="GL32" s="371"/>
      <c r="GM32" s="371"/>
      <c r="GO32"/>
      <c r="GP32"/>
      <c r="GQ32"/>
      <c r="GR32"/>
      <c r="GS32"/>
      <c r="GT32"/>
      <c r="GU32" s="261"/>
      <c r="GV32" s="261"/>
      <c r="GW32" s="261"/>
      <c r="GX32" s="261"/>
      <c r="GY32" s="261"/>
      <c r="GZ32" s="261"/>
      <c r="HA32" s="261"/>
      <c r="HB32" s="261"/>
      <c r="HC32" s="261"/>
      <c r="HD32" s="261"/>
      <c r="HE32" s="261"/>
      <c r="HF32" s="261"/>
      <c r="HG32" s="261"/>
      <c r="HH32" s="261"/>
      <c r="HI32" s="261"/>
      <c r="HJ32" s="261"/>
      <c r="HK32" s="261"/>
      <c r="HL32" s="261"/>
      <c r="HM32" s="261"/>
      <c r="HN32" s="261"/>
      <c r="HO32" s="261"/>
      <c r="HP32" s="261"/>
      <c r="HQ32" s="261"/>
      <c r="HR32" s="261"/>
      <c r="HS32" s="261"/>
      <c r="HT32" s="261"/>
      <c r="HU32" s="261"/>
      <c r="HV32" s="261"/>
      <c r="HW32" s="261"/>
      <c r="HX32" s="261"/>
      <c r="HY32" s="261"/>
      <c r="HZ32" s="261"/>
      <c r="IA32" s="261"/>
      <c r="IB32" s="261"/>
      <c r="IC32" s="261"/>
      <c r="ID32" s="261"/>
      <c r="IE32" s="261"/>
      <c r="IF32" s="261"/>
      <c r="IG32" s="261"/>
      <c r="IH32" s="261"/>
      <c r="II32" s="261"/>
      <c r="IJ32" s="261"/>
      <c r="IK32" s="261"/>
      <c r="IL32" s="261"/>
      <c r="IM32" s="261"/>
      <c r="IN32" s="261"/>
      <c r="IO32" s="261"/>
      <c r="IP32" s="261"/>
      <c r="IQ32" s="261"/>
      <c r="IR32" s="261"/>
      <c r="IS32" s="261"/>
      <c r="IT32" s="261"/>
      <c r="IU32" s="261"/>
      <c r="IV32" s="261"/>
      <c r="IW32" s="261"/>
      <c r="IX32" s="261"/>
      <c r="IY32" s="261"/>
      <c r="IZ32" s="261"/>
      <c r="JA32" s="261"/>
      <c r="JB32" s="261"/>
      <c r="JC32" s="261"/>
      <c r="JD32" s="261"/>
      <c r="JE32" s="261"/>
      <c r="JF32" s="261"/>
      <c r="JG32" s="261"/>
      <c r="JH32" s="261"/>
      <c r="JI32" s="261"/>
      <c r="JJ32" s="261"/>
      <c r="JK32" s="261"/>
      <c r="JL32" s="261"/>
      <c r="JM32" s="261"/>
      <c r="JN32" s="261"/>
      <c r="JO32" s="261"/>
      <c r="JP32" s="261"/>
      <c r="JQ32" s="261"/>
      <c r="JR32" s="261"/>
      <c r="JS32" s="261"/>
      <c r="JT32" s="261"/>
    </row>
    <row r="33" spans="1:280" s="264" customFormat="1" ht="11.25" customHeight="1">
      <c r="A33" s="415" t="s">
        <v>338</v>
      </c>
      <c r="D33" s="486">
        <f t="shared" ref="D33:AQ33" si="271">+SUM(D28:D32)+D26</f>
        <v>0</v>
      </c>
      <c r="E33" s="486">
        <f t="shared" si="271"/>
        <v>0</v>
      </c>
      <c r="F33" s="486">
        <f t="shared" si="271"/>
        <v>0</v>
      </c>
      <c r="G33" s="486">
        <f t="shared" si="271"/>
        <v>0</v>
      </c>
      <c r="H33" s="487">
        <f t="shared" si="271"/>
        <v>0</v>
      </c>
      <c r="I33" s="486">
        <f t="shared" si="271"/>
        <v>0</v>
      </c>
      <c r="J33" s="486">
        <f t="shared" si="271"/>
        <v>0</v>
      </c>
      <c r="K33" s="486">
        <f t="shared" si="271"/>
        <v>0</v>
      </c>
      <c r="L33" s="486">
        <f t="shared" si="271"/>
        <v>0</v>
      </c>
      <c r="M33" s="487">
        <f t="shared" si="271"/>
        <v>0</v>
      </c>
      <c r="N33" s="486">
        <f t="shared" si="271"/>
        <v>0</v>
      </c>
      <c r="O33" s="486">
        <f t="shared" si="271"/>
        <v>0</v>
      </c>
      <c r="P33" s="486">
        <f t="shared" si="271"/>
        <v>0</v>
      </c>
      <c r="Q33" s="486">
        <f t="shared" si="271"/>
        <v>0</v>
      </c>
      <c r="R33" s="487">
        <f t="shared" si="271"/>
        <v>0</v>
      </c>
      <c r="S33" s="486">
        <f t="shared" si="271"/>
        <v>0</v>
      </c>
      <c r="T33" s="486">
        <f t="shared" si="271"/>
        <v>0</v>
      </c>
      <c r="U33" s="486">
        <f t="shared" si="271"/>
        <v>0</v>
      </c>
      <c r="V33" s="486">
        <f t="shared" si="271"/>
        <v>0</v>
      </c>
      <c r="W33" s="487">
        <f t="shared" si="271"/>
        <v>0</v>
      </c>
      <c r="X33" s="486">
        <f t="shared" si="271"/>
        <v>0</v>
      </c>
      <c r="Y33" s="486">
        <f t="shared" si="271"/>
        <v>0</v>
      </c>
      <c r="Z33" s="486">
        <f t="shared" si="271"/>
        <v>0</v>
      </c>
      <c r="AA33" s="486">
        <f t="shared" si="271"/>
        <v>0</v>
      </c>
      <c r="AB33" s="487">
        <f t="shared" si="271"/>
        <v>0</v>
      </c>
      <c r="AC33" s="486">
        <f t="shared" si="271"/>
        <v>0</v>
      </c>
      <c r="AD33" s="486">
        <f t="shared" si="271"/>
        <v>0</v>
      </c>
      <c r="AE33" s="486">
        <f t="shared" si="271"/>
        <v>0</v>
      </c>
      <c r="AF33" s="486">
        <f t="shared" si="271"/>
        <v>-1202</v>
      </c>
      <c r="AG33" s="487">
        <f t="shared" si="271"/>
        <v>-1202</v>
      </c>
      <c r="AH33" s="486">
        <f t="shared" si="271"/>
        <v>-415</v>
      </c>
      <c r="AI33" s="486">
        <f t="shared" si="271"/>
        <v>-630</v>
      </c>
      <c r="AJ33" s="486">
        <f t="shared" si="271"/>
        <v>-441</v>
      </c>
      <c r="AK33" s="486">
        <f t="shared" si="271"/>
        <v>110</v>
      </c>
      <c r="AL33" s="487">
        <f t="shared" si="271"/>
        <v>-1376</v>
      </c>
      <c r="AM33" s="486">
        <f t="shared" si="271"/>
        <v>-584</v>
      </c>
      <c r="AN33" s="486">
        <f t="shared" si="271"/>
        <v>-729</v>
      </c>
      <c r="AO33" s="486">
        <f t="shared" si="271"/>
        <v>-325</v>
      </c>
      <c r="AP33" s="486">
        <f t="shared" si="271"/>
        <v>-1032</v>
      </c>
      <c r="AQ33" s="487">
        <f t="shared" si="271"/>
        <v>-2670</v>
      </c>
      <c r="AR33" s="486">
        <f t="shared" ref="AR33:CE33" si="272">+SUM(AR28:AR32)+AR26</f>
        <v>4</v>
      </c>
      <c r="AS33" s="486">
        <f t="shared" si="272"/>
        <v>-2011</v>
      </c>
      <c r="AT33" s="486">
        <f t="shared" si="272"/>
        <v>631</v>
      </c>
      <c r="AU33" s="486">
        <f t="shared" si="272"/>
        <v>-1713</v>
      </c>
      <c r="AV33" s="487">
        <f t="shared" si="272"/>
        <v>-3089</v>
      </c>
      <c r="AW33" s="486">
        <f t="shared" si="272"/>
        <v>-1191</v>
      </c>
      <c r="AX33" s="486">
        <f t="shared" si="272"/>
        <v>-2694</v>
      </c>
      <c r="AY33" s="486">
        <f t="shared" si="272"/>
        <v>-1428</v>
      </c>
      <c r="AZ33" s="486">
        <f t="shared" si="272"/>
        <v>-1959</v>
      </c>
      <c r="BA33" s="487">
        <f t="shared" si="272"/>
        <v>-7272</v>
      </c>
      <c r="BB33" s="487">
        <f t="shared" si="272"/>
        <v>-1872</v>
      </c>
      <c r="BC33" s="486">
        <f t="shared" si="272"/>
        <v>-2048</v>
      </c>
      <c r="BD33" s="486">
        <f t="shared" si="272"/>
        <v>-3723</v>
      </c>
      <c r="BE33" s="486">
        <f t="shared" si="272"/>
        <v>-3548</v>
      </c>
      <c r="BF33" s="487">
        <f t="shared" si="272"/>
        <v>-11191</v>
      </c>
      <c r="BG33" s="487">
        <f t="shared" si="272"/>
        <v>-2772</v>
      </c>
      <c r="BH33" s="486">
        <f t="shared" si="272"/>
        <v>505</v>
      </c>
      <c r="BI33" s="486">
        <f t="shared" si="272"/>
        <v>-3655</v>
      </c>
      <c r="BJ33" s="486">
        <f t="shared" si="272"/>
        <v>-3470</v>
      </c>
      <c r="BK33" s="487">
        <f t="shared" si="272"/>
        <v>-9392</v>
      </c>
      <c r="BL33" s="486">
        <f t="shared" si="272"/>
        <v>-3936</v>
      </c>
      <c r="BM33" s="486">
        <f t="shared" si="272"/>
        <v>-318</v>
      </c>
      <c r="BN33" s="486">
        <f t="shared" si="272"/>
        <v>-2331</v>
      </c>
      <c r="BO33" s="486">
        <f t="shared" si="272"/>
        <v>-2149</v>
      </c>
      <c r="BP33" s="487">
        <f t="shared" si="272"/>
        <v>-8734</v>
      </c>
      <c r="BQ33" s="486">
        <f t="shared" si="272"/>
        <v>-3469</v>
      </c>
      <c r="BR33" s="486">
        <f t="shared" si="272"/>
        <v>-1680</v>
      </c>
      <c r="BS33" s="486">
        <f t="shared" si="272"/>
        <v>-3996</v>
      </c>
      <c r="BT33" s="486">
        <f t="shared" si="272"/>
        <v>-1700</v>
      </c>
      <c r="BU33" s="487">
        <f t="shared" si="272"/>
        <v>-10845</v>
      </c>
      <c r="BV33" s="486">
        <f t="shared" si="272"/>
        <v>-897</v>
      </c>
      <c r="BW33" s="486">
        <f t="shared" si="272"/>
        <v>-2019</v>
      </c>
      <c r="BX33" s="486">
        <f t="shared" si="272"/>
        <v>-4207</v>
      </c>
      <c r="BY33" s="486">
        <f t="shared" si="272"/>
        <v>-90</v>
      </c>
      <c r="BZ33" s="487">
        <f t="shared" si="272"/>
        <v>-7213</v>
      </c>
      <c r="CA33" s="486">
        <f t="shared" si="272"/>
        <v>-3748</v>
      </c>
      <c r="CB33" s="486">
        <f t="shared" si="272"/>
        <v>-1949</v>
      </c>
      <c r="CC33" s="486">
        <f t="shared" si="272"/>
        <v>-1137</v>
      </c>
      <c r="CD33" s="486">
        <f t="shared" si="272"/>
        <v>3573</v>
      </c>
      <c r="CE33" s="487">
        <f t="shared" si="272"/>
        <v>-3261</v>
      </c>
      <c r="CF33" s="486">
        <f t="shared" ref="CF33:DD33" si="273">+SUM(CF28:CF32)+CF26</f>
        <v>-8114</v>
      </c>
      <c r="CG33" s="486">
        <f t="shared" si="273"/>
        <v>24095</v>
      </c>
      <c r="CH33" s="486">
        <f t="shared" si="273"/>
        <v>-1813</v>
      </c>
      <c r="CI33" s="486">
        <f t="shared" si="273"/>
        <v>859</v>
      </c>
      <c r="CJ33" s="487">
        <f t="shared" si="273"/>
        <v>15027</v>
      </c>
      <c r="CK33" s="486">
        <f t="shared" si="273"/>
        <v>-3261</v>
      </c>
      <c r="CL33" s="486">
        <f t="shared" si="273"/>
        <v>6692</v>
      </c>
      <c r="CM33" s="486">
        <f t="shared" si="273"/>
        <v>833</v>
      </c>
      <c r="CN33" s="486">
        <f t="shared" si="273"/>
        <v>3739</v>
      </c>
      <c r="CO33" s="487">
        <f t="shared" si="273"/>
        <v>8003</v>
      </c>
      <c r="CP33" s="486">
        <f t="shared" si="273"/>
        <v>6461</v>
      </c>
      <c r="CQ33" s="486">
        <f t="shared" si="273"/>
        <v>-1958</v>
      </c>
      <c r="CR33" s="486">
        <f t="shared" si="273"/>
        <v>511</v>
      </c>
      <c r="CS33" s="486">
        <f t="shared" si="273"/>
        <v>1075</v>
      </c>
      <c r="CT33" s="487">
        <f t="shared" si="273"/>
        <v>6089</v>
      </c>
      <c r="CU33" s="486">
        <f t="shared" si="273"/>
        <v>-2257</v>
      </c>
      <c r="CV33" s="486">
        <f t="shared" si="273"/>
        <v>-1049</v>
      </c>
      <c r="CW33" s="486">
        <f t="shared" si="273"/>
        <v>-778</v>
      </c>
      <c r="CX33" s="486">
        <f t="shared" si="273"/>
        <v>-503</v>
      </c>
      <c r="CY33" s="487">
        <f t="shared" si="273"/>
        <v>-4587</v>
      </c>
      <c r="CZ33" s="486">
        <f t="shared" si="273"/>
        <v>595</v>
      </c>
      <c r="DA33" s="486">
        <f t="shared" si="273"/>
        <v>-2499</v>
      </c>
      <c r="DB33" s="486">
        <f t="shared" si="273"/>
        <v>-6009</v>
      </c>
      <c r="DC33" s="486">
        <f t="shared" si="273"/>
        <v>-7857</v>
      </c>
      <c r="DD33" s="487">
        <f t="shared" si="273"/>
        <v>-15770</v>
      </c>
      <c r="DE33" s="486">
        <f t="shared" ref="DE33:DN33" si="274">+SUM(DE28:DE32)+DE26</f>
        <v>-1199</v>
      </c>
      <c r="DF33" s="486">
        <f t="shared" si="274"/>
        <v>-92</v>
      </c>
      <c r="DG33" s="486">
        <f t="shared" si="274"/>
        <v>-5904</v>
      </c>
      <c r="DH33" s="486">
        <f t="shared" si="274"/>
        <v>-4119</v>
      </c>
      <c r="DI33" s="487">
        <f t="shared" si="274"/>
        <v>-11314</v>
      </c>
      <c r="DJ33" s="486">
        <f t="shared" si="274"/>
        <v>-4957</v>
      </c>
      <c r="DK33" s="486">
        <f t="shared" si="274"/>
        <v>-1570</v>
      </c>
      <c r="DL33" s="486">
        <f t="shared" si="274"/>
        <v>-7139</v>
      </c>
      <c r="DM33" s="486">
        <f t="shared" si="274"/>
        <v>-950</v>
      </c>
      <c r="DN33" s="487">
        <f t="shared" si="274"/>
        <v>-14616</v>
      </c>
      <c r="DO33" s="486">
        <f t="shared" ref="DO33:DX33" si="275">+SUM(DO28:DO32)+DO26</f>
        <v>-2315</v>
      </c>
      <c r="DP33" s="486">
        <f t="shared" si="275"/>
        <v>-5568</v>
      </c>
      <c r="DQ33" s="486">
        <f>+SUM(DQ28:DQ32)+DQ26</f>
        <v>-12241</v>
      </c>
      <c r="DR33" s="486">
        <f t="shared" si="275"/>
        <v>-4662</v>
      </c>
      <c r="DS33" s="487">
        <f>+SUM(DS28:DS32)+DS26</f>
        <v>-24786</v>
      </c>
      <c r="DT33" s="486">
        <f t="shared" si="275"/>
        <v>-7719</v>
      </c>
      <c r="DU33" s="486">
        <f t="shared" si="275"/>
        <v>-2593</v>
      </c>
      <c r="DV33" s="486">
        <f t="shared" si="275"/>
        <v>-7660</v>
      </c>
      <c r="DW33" s="486">
        <f t="shared" si="275"/>
        <v>-5839</v>
      </c>
      <c r="DX33" s="487">
        <f t="shared" si="275"/>
        <v>-23811</v>
      </c>
      <c r="DY33" s="486">
        <f t="shared" ref="DY33:EW33" si="276">+SUM(DY28:DY32)+DY26</f>
        <v>-4614</v>
      </c>
      <c r="DZ33" s="486">
        <f t="shared" si="276"/>
        <v>-1025</v>
      </c>
      <c r="EA33" s="486">
        <f t="shared" si="276"/>
        <v>-4284</v>
      </c>
      <c r="EB33" s="486">
        <f t="shared" si="276"/>
        <v>-8910</v>
      </c>
      <c r="EC33" s="487">
        <f t="shared" si="276"/>
        <v>-18833</v>
      </c>
      <c r="ED33" s="486">
        <f t="shared" si="276"/>
        <v>-7737</v>
      </c>
      <c r="EE33" s="486">
        <f t="shared" si="276"/>
        <v>-4716</v>
      </c>
      <c r="EF33" s="486">
        <f t="shared" si="276"/>
        <v>-5481</v>
      </c>
      <c r="EG33" s="486">
        <f t="shared" si="276"/>
        <v>-5067</v>
      </c>
      <c r="EH33" s="487">
        <f t="shared" si="276"/>
        <v>-23001</v>
      </c>
      <c r="EI33" s="2771">
        <f t="shared" si="276"/>
        <v>-5066</v>
      </c>
      <c r="EJ33" s="2771">
        <f t="shared" si="276"/>
        <v>-3328</v>
      </c>
      <c r="EK33" s="2771">
        <f t="shared" si="276"/>
        <v>-5483</v>
      </c>
      <c r="EL33" s="2771">
        <f t="shared" si="276"/>
        <v>-10073</v>
      </c>
      <c r="EM33" s="2772">
        <f t="shared" si="276"/>
        <v>-23950</v>
      </c>
      <c r="EN33" s="2771">
        <f>+SUM(EN28:EN32)+EN26</f>
        <v>-18470</v>
      </c>
      <c r="EO33" s="2771">
        <f t="shared" ref="EO33:EQ33" si="277">+SUM(EO28:EO32)+EO26</f>
        <v>-14751</v>
      </c>
      <c r="EP33" s="2771">
        <f t="shared" si="277"/>
        <v>-6191</v>
      </c>
      <c r="EQ33" s="2771">
        <f t="shared" si="277"/>
        <v>-7369</v>
      </c>
      <c r="ER33" s="2772">
        <f t="shared" si="276"/>
        <v>-46781</v>
      </c>
      <c r="ES33" s="2771">
        <f>+SUM(ES28:ES32)+ES26</f>
        <v>-6904</v>
      </c>
      <c r="ET33" s="2771">
        <f t="shared" ref="ET33:EU33" si="278">+SUM(ET28:ET32)+ET26</f>
        <v>-331</v>
      </c>
      <c r="EU33" s="2771">
        <f t="shared" si="278"/>
        <v>3844</v>
      </c>
      <c r="EV33" s="486">
        <f t="shared" si="276"/>
        <v>-7182.9122949829398</v>
      </c>
      <c r="EW33" s="487">
        <f t="shared" si="276"/>
        <v>-10573.912294982933</v>
      </c>
      <c r="EX33" s="486">
        <f t="shared" ref="EX33:FG33" si="279">+SUM(EX28:EX32)+EX26</f>
        <v>-5544.5597207710671</v>
      </c>
      <c r="EY33" s="486">
        <f t="shared" si="279"/>
        <v>3773.7190377176448</v>
      </c>
      <c r="EZ33" s="486">
        <f t="shared" si="279"/>
        <v>-4720.2639123004192</v>
      </c>
      <c r="FA33" s="486">
        <f t="shared" si="279"/>
        <v>-3190.8334740447972</v>
      </c>
      <c r="FB33" s="487">
        <f t="shared" si="279"/>
        <v>-9681.9380693986313</v>
      </c>
      <c r="FC33" s="486">
        <f t="shared" si="279"/>
        <v>-3237.0908008262195</v>
      </c>
      <c r="FD33" s="486">
        <f t="shared" si="279"/>
        <v>1418.7902638767118</v>
      </c>
      <c r="FE33" s="486">
        <f t="shared" si="279"/>
        <v>-1261.1568227733369</v>
      </c>
      <c r="FF33" s="486">
        <f t="shared" si="279"/>
        <v>-4186.3105015249821</v>
      </c>
      <c r="FG33" s="487">
        <f t="shared" si="279"/>
        <v>-7265.7678612478194</v>
      </c>
      <c r="FH33" s="486">
        <f t="shared" ref="FH33:FL33" si="280">+SUM(FH28:FH32)+FH26</f>
        <v>-6445.3181398442321</v>
      </c>
      <c r="FI33" s="486">
        <f t="shared" si="280"/>
        <v>5551.9469991931619</v>
      </c>
      <c r="FJ33" s="486">
        <f t="shared" si="280"/>
        <v>-4302.5551452737709</v>
      </c>
      <c r="FK33" s="486">
        <f t="shared" si="280"/>
        <v>-4974.0515908074158</v>
      </c>
      <c r="FL33" s="487">
        <f t="shared" si="280"/>
        <v>-10169.977876732242</v>
      </c>
      <c r="FM33" s="898"/>
      <c r="FN33" s="486"/>
      <c r="FO33" s="487">
        <f t="shared" ref="FO33:GF33" si="281">+SUM(FO26:FO32)</f>
        <v>-9537.4184064150832</v>
      </c>
      <c r="FP33" s="487">
        <f t="shared" si="281"/>
        <v>-11374.247736004865</v>
      </c>
      <c r="FQ33" s="487">
        <f t="shared" si="281"/>
        <v>-9629.4532237955718</v>
      </c>
      <c r="FR33" s="487">
        <f t="shared" si="281"/>
        <v>-8611.8241178942408</v>
      </c>
      <c r="FS33" s="487">
        <f t="shared" si="281"/>
        <v>-9994.2685909456486</v>
      </c>
      <c r="FT33" s="487">
        <f t="shared" si="281"/>
        <v>18418.269806668293</v>
      </c>
      <c r="FU33" s="487">
        <f t="shared" si="281"/>
        <v>2477.4578700533166</v>
      </c>
      <c r="FV33" s="487">
        <f t="shared" si="281"/>
        <v>9079.0813889476049</v>
      </c>
      <c r="FW33" s="487">
        <f t="shared" si="281"/>
        <v>-1718.9169279153939</v>
      </c>
      <c r="FX33" s="487">
        <f t="shared" si="281"/>
        <v>-3183.1312123345997</v>
      </c>
      <c r="FY33" s="487">
        <f t="shared" si="281"/>
        <v>-15158.282495556414</v>
      </c>
      <c r="FZ33" s="487">
        <f t="shared" si="281"/>
        <v>-16549.877748468367</v>
      </c>
      <c r="GA33" s="487">
        <f t="shared" si="281"/>
        <v>-15971.752982938218</v>
      </c>
      <c r="GB33" s="487">
        <f t="shared" si="281"/>
        <v>-27213.642357373174</v>
      </c>
      <c r="GC33" s="487">
        <f t="shared" si="281"/>
        <v>-19137.02757573883</v>
      </c>
      <c r="GD33" s="487">
        <f t="shared" si="281"/>
        <v>-25644.596621074452</v>
      </c>
      <c r="GE33" s="487">
        <f t="shared" si="281"/>
        <v>-18941.077844376268</v>
      </c>
      <c r="GF33" s="487">
        <f t="shared" si="281"/>
        <v>-48775.27268031775</v>
      </c>
      <c r="GG33" s="487">
        <f>+SUM(GG26:GG32)</f>
        <v>-20795.119238032028</v>
      </c>
      <c r="GH33" s="487">
        <f>+SUM(GH26:GH32)</f>
        <v>-5108.0760338297405</v>
      </c>
      <c r="GI33" s="487">
        <f>+SUM(GI26:GI32)</f>
        <v>-9729.2928130552464</v>
      </c>
      <c r="GJ33" s="898"/>
      <c r="GK33" s="898"/>
      <c r="GL33" s="898"/>
      <c r="GM33" s="898"/>
      <c r="GO33"/>
      <c r="GP33"/>
      <c r="GQ33"/>
      <c r="GR33"/>
      <c r="GS33"/>
      <c r="GT33"/>
      <c r="GU33" s="261"/>
      <c r="GV33" s="261"/>
      <c r="GW33" s="261"/>
      <c r="GX33" s="261"/>
      <c r="GY33" s="261"/>
      <c r="GZ33" s="261"/>
      <c r="HA33" s="261"/>
      <c r="HB33" s="261"/>
      <c r="HC33" s="261"/>
      <c r="HD33" s="261"/>
      <c r="HE33" s="261"/>
      <c r="HF33" s="261"/>
      <c r="HG33" s="261"/>
      <c r="HH33" s="261"/>
      <c r="HI33" s="261"/>
      <c r="HJ33" s="261"/>
      <c r="HK33" s="261"/>
      <c r="HL33" s="261"/>
      <c r="HM33" s="261"/>
      <c r="HN33" s="261"/>
      <c r="HO33" s="261"/>
      <c r="HP33" s="261"/>
      <c r="HQ33" s="261"/>
      <c r="HR33" s="261"/>
      <c r="HS33" s="261"/>
      <c r="HT33" s="261"/>
      <c r="HU33" s="261"/>
      <c r="HV33" s="261"/>
      <c r="HW33" s="261"/>
      <c r="HX33" s="261"/>
      <c r="HY33" s="261"/>
      <c r="HZ33" s="261"/>
      <c r="IA33" s="261"/>
      <c r="IB33" s="261"/>
      <c r="IC33" s="261"/>
      <c r="ID33" s="261"/>
      <c r="IE33" s="261"/>
      <c r="IF33" s="261"/>
      <c r="IG33" s="261"/>
      <c r="IH33" s="261"/>
      <c r="II33" s="261"/>
      <c r="IJ33" s="261"/>
      <c r="IK33" s="261"/>
      <c r="IL33" s="261"/>
      <c r="IM33" s="261"/>
      <c r="IN33" s="261"/>
      <c r="IO33" s="261"/>
      <c r="IP33" s="261"/>
      <c r="IQ33" s="261"/>
      <c r="IR33" s="261"/>
      <c r="IS33" s="261"/>
      <c r="IT33" s="261"/>
      <c r="IU33" s="261"/>
      <c r="IV33" s="261"/>
      <c r="IW33" s="261"/>
      <c r="IX33" s="261"/>
      <c r="IY33" s="261"/>
      <c r="IZ33" s="261"/>
      <c r="JA33" s="261"/>
      <c r="JB33" s="261"/>
      <c r="JC33" s="261"/>
      <c r="JD33" s="261"/>
      <c r="JE33" s="261"/>
      <c r="JF33" s="261"/>
      <c r="JG33" s="261"/>
      <c r="JH33" s="261"/>
      <c r="JI33" s="261"/>
      <c r="JJ33" s="261"/>
      <c r="JK33" s="261"/>
      <c r="JL33" s="261"/>
      <c r="JM33" s="261"/>
      <c r="JN33" s="261"/>
      <c r="JO33" s="261"/>
      <c r="JP33" s="261"/>
      <c r="JQ33" s="261"/>
      <c r="JR33" s="261"/>
      <c r="JS33" s="261"/>
      <c r="JT33" s="261"/>
    </row>
    <row r="34" spans="1:280" s="264" customFormat="1" ht="15.75" customHeight="1">
      <c r="A34" s="528" t="s">
        <v>766</v>
      </c>
      <c r="D34" s="1127">
        <v>0</v>
      </c>
      <c r="E34" s="1127">
        <v>0</v>
      </c>
      <c r="F34" s="1127">
        <v>0</v>
      </c>
      <c r="G34" s="1127">
        <v>0</v>
      </c>
      <c r="H34" s="327">
        <f t="shared" si="191"/>
        <v>0</v>
      </c>
      <c r="I34" s="1127">
        <v>0</v>
      </c>
      <c r="J34" s="1127">
        <v>0</v>
      </c>
      <c r="K34" s="1127">
        <v>0</v>
      </c>
      <c r="L34" s="1127">
        <v>0</v>
      </c>
      <c r="M34" s="327">
        <f t="shared" si="195"/>
        <v>0</v>
      </c>
      <c r="N34" s="1127">
        <v>0</v>
      </c>
      <c r="O34" s="1127">
        <v>0</v>
      </c>
      <c r="P34" s="1127">
        <v>0</v>
      </c>
      <c r="Q34" s="1127">
        <v>0</v>
      </c>
      <c r="R34" s="327">
        <f t="shared" si="199"/>
        <v>0</v>
      </c>
      <c r="S34" s="1127">
        <v>0</v>
      </c>
      <c r="T34" s="1127">
        <v>0</v>
      </c>
      <c r="U34" s="1127">
        <v>0</v>
      </c>
      <c r="V34" s="1127">
        <v>0</v>
      </c>
      <c r="W34" s="327">
        <f t="shared" si="203"/>
        <v>0</v>
      </c>
      <c r="X34" s="1127">
        <v>0</v>
      </c>
      <c r="Y34" s="1127">
        <v>0</v>
      </c>
      <c r="Z34" s="1127">
        <v>0</v>
      </c>
      <c r="AA34" s="1127">
        <v>0</v>
      </c>
      <c r="AB34" s="327">
        <f t="shared" si="207"/>
        <v>0</v>
      </c>
      <c r="AC34" s="1127">
        <v>0</v>
      </c>
      <c r="AD34" s="1127">
        <v>0</v>
      </c>
      <c r="AE34" s="1127">
        <v>0</v>
      </c>
      <c r="AF34" s="1127">
        <v>0</v>
      </c>
      <c r="AG34" s="327">
        <f t="shared" si="210"/>
        <v>0</v>
      </c>
      <c r="AH34" s="1127">
        <v>0</v>
      </c>
      <c r="AI34" s="1127">
        <v>0</v>
      </c>
      <c r="AJ34" s="1127">
        <v>0</v>
      </c>
      <c r="AK34" s="1127">
        <v>0</v>
      </c>
      <c r="AL34" s="327">
        <f t="shared" si="211"/>
        <v>0</v>
      </c>
      <c r="AM34" s="1127">
        <v>0</v>
      </c>
      <c r="AN34" s="1127">
        <v>0</v>
      </c>
      <c r="AO34" s="1127">
        <v>0</v>
      </c>
      <c r="AP34" s="1127">
        <v>0</v>
      </c>
      <c r="AQ34" s="327">
        <f t="shared" si="212"/>
        <v>0</v>
      </c>
      <c r="AR34" s="1127">
        <v>0</v>
      </c>
      <c r="AS34" s="1127">
        <v>0</v>
      </c>
      <c r="AT34" s="1127">
        <v>0</v>
      </c>
      <c r="AU34" s="1127">
        <v>0</v>
      </c>
      <c r="AV34" s="327">
        <f t="shared" si="213"/>
        <v>0</v>
      </c>
      <c r="AW34" s="1127">
        <v>0</v>
      </c>
      <c r="AX34" s="1127">
        <v>0</v>
      </c>
      <c r="AY34" s="1127">
        <v>0</v>
      </c>
      <c r="AZ34" s="1127">
        <v>0</v>
      </c>
      <c r="BA34" s="327">
        <f t="shared" si="214"/>
        <v>0</v>
      </c>
      <c r="BB34" s="1135">
        <v>0</v>
      </c>
      <c r="BC34" s="1127">
        <v>0</v>
      </c>
      <c r="BD34" s="1127">
        <v>0</v>
      </c>
      <c r="BE34" s="1127">
        <v>0</v>
      </c>
      <c r="BF34" s="327">
        <f t="shared" si="215"/>
        <v>0</v>
      </c>
      <c r="BG34" s="1135">
        <v>0</v>
      </c>
      <c r="BH34" s="1127">
        <v>0</v>
      </c>
      <c r="BI34" s="1127">
        <v>0</v>
      </c>
      <c r="BJ34" s="1127">
        <v>0</v>
      </c>
      <c r="BK34" s="327">
        <f t="shared" si="216"/>
        <v>0</v>
      </c>
      <c r="BL34" s="1127">
        <v>0</v>
      </c>
      <c r="BM34" s="1127">
        <v>0</v>
      </c>
      <c r="BN34" s="1127">
        <v>0</v>
      </c>
      <c r="BO34" s="1127">
        <v>0</v>
      </c>
      <c r="BP34" s="327">
        <f t="shared" si="217"/>
        <v>0</v>
      </c>
      <c r="BQ34" s="1127">
        <v>0</v>
      </c>
      <c r="BR34" s="1127">
        <v>0</v>
      </c>
      <c r="BS34" s="1127">
        <v>0</v>
      </c>
      <c r="BT34" s="1127">
        <v>0</v>
      </c>
      <c r="BU34" s="327">
        <f t="shared" si="218"/>
        <v>0</v>
      </c>
      <c r="BV34" s="1127">
        <v>0</v>
      </c>
      <c r="BW34" s="1127">
        <v>0</v>
      </c>
      <c r="BX34" s="1127">
        <v>0</v>
      </c>
      <c r="BY34" s="1127">
        <v>0</v>
      </c>
      <c r="BZ34" s="327">
        <f t="shared" si="219"/>
        <v>0</v>
      </c>
      <c r="CA34" s="1127">
        <v>0</v>
      </c>
      <c r="CB34" s="1127">
        <v>0</v>
      </c>
      <c r="CC34" s="1127">
        <v>0</v>
      </c>
      <c r="CD34" s="1127">
        <v>0</v>
      </c>
      <c r="CE34" s="327">
        <f t="shared" si="220"/>
        <v>0</v>
      </c>
      <c r="CF34" s="1127">
        <v>0</v>
      </c>
      <c r="CG34" s="1127">
        <v>0</v>
      </c>
      <c r="CH34" s="1127">
        <v>0</v>
      </c>
      <c r="CI34" s="1127">
        <v>0</v>
      </c>
      <c r="CJ34" s="327">
        <f t="shared" si="221"/>
        <v>0</v>
      </c>
      <c r="CK34" s="1127">
        <v>0</v>
      </c>
      <c r="CL34" s="1127">
        <v>0</v>
      </c>
      <c r="CM34" s="1127">
        <v>0</v>
      </c>
      <c r="CN34" s="1127">
        <v>0</v>
      </c>
      <c r="CO34" s="327">
        <f t="shared" si="222"/>
        <v>0</v>
      </c>
      <c r="CP34" s="1127">
        <v>0</v>
      </c>
      <c r="CQ34" s="1127">
        <v>0</v>
      </c>
      <c r="CR34" s="1127">
        <v>0</v>
      </c>
      <c r="CS34" s="1127">
        <v>0</v>
      </c>
      <c r="CT34" s="327">
        <f t="shared" si="223"/>
        <v>0</v>
      </c>
      <c r="CU34" s="1127">
        <v>0</v>
      </c>
      <c r="CV34" s="1127">
        <v>0</v>
      </c>
      <c r="CW34" s="1127">
        <v>0</v>
      </c>
      <c r="CX34" s="1127">
        <v>0</v>
      </c>
      <c r="CY34" s="327">
        <f t="shared" si="224"/>
        <v>0</v>
      </c>
      <c r="CZ34" s="1127">
        <v>1975</v>
      </c>
      <c r="DA34" s="1127">
        <v>21</v>
      </c>
      <c r="DB34" s="242">
        <f>-329+328</f>
        <v>-1</v>
      </c>
      <c r="DC34" s="242">
        <f>4468-489-228</f>
        <v>3751</v>
      </c>
      <c r="DD34" s="327">
        <f t="shared" si="225"/>
        <v>5746</v>
      </c>
      <c r="DE34" s="242">
        <f>378+695-823</f>
        <v>250</v>
      </c>
      <c r="DF34" s="242">
        <f>1046+-475-573</f>
        <v>-2</v>
      </c>
      <c r="DG34" s="242">
        <f>-349+851-502</f>
        <v>0</v>
      </c>
      <c r="DH34" s="242">
        <f>-545+1575-1088</f>
        <v>-58</v>
      </c>
      <c r="DI34" s="327">
        <f t="shared" si="226"/>
        <v>190</v>
      </c>
      <c r="DJ34" s="242">
        <f>4721</f>
        <v>4721</v>
      </c>
      <c r="DK34" s="1127">
        <v>-1000</v>
      </c>
      <c r="DL34" s="1127">
        <v>2239</v>
      </c>
      <c r="DM34" s="1127">
        <v>0</v>
      </c>
      <c r="DN34" s="327">
        <f>SUM(DJ34:DM34)</f>
        <v>5960</v>
      </c>
      <c r="DO34" s="1127">
        <v>0</v>
      </c>
      <c r="DP34" s="1127">
        <v>0</v>
      </c>
      <c r="DQ34" s="1127">
        <v>0</v>
      </c>
      <c r="DR34" s="1127">
        <v>0</v>
      </c>
      <c r="DS34" s="327">
        <f>SUM(DO34:DR34)</f>
        <v>0</v>
      </c>
      <c r="DT34" s="1127">
        <v>0</v>
      </c>
      <c r="DU34" s="1127">
        <v>2232</v>
      </c>
      <c r="DV34" s="1127">
        <v>0</v>
      </c>
      <c r="DW34" s="1127">
        <f>2651-1346</f>
        <v>1305</v>
      </c>
      <c r="DX34" s="327">
        <f>SUM(DT34:DW34)</f>
        <v>3537</v>
      </c>
      <c r="DY34" s="1127">
        <f>712+588-1000</f>
        <v>300</v>
      </c>
      <c r="DZ34" s="1127">
        <f>8262-712-588</f>
        <v>6962</v>
      </c>
      <c r="EA34" s="1127">
        <v>-300</v>
      </c>
      <c r="EB34" s="1127">
        <f>500+1500-2000</f>
        <v>0</v>
      </c>
      <c r="EC34" s="327">
        <f>SUM(DY34:EB34)</f>
        <v>6962</v>
      </c>
      <c r="ED34" s="1127">
        <f>-1500+2999</f>
        <v>1499</v>
      </c>
      <c r="EE34" s="1127">
        <v>4798</v>
      </c>
      <c r="EF34" s="1127">
        <f>10680-6575</f>
        <v>4105</v>
      </c>
      <c r="EG34" s="1127">
        <v>3259</v>
      </c>
      <c r="EH34" s="327">
        <f>SUM(ED34:EG34)</f>
        <v>13661</v>
      </c>
      <c r="EI34" s="2769">
        <f>+-1750+121+4890</f>
        <v>3261</v>
      </c>
      <c r="EJ34" s="2769">
        <f>+-7031+13128-121</f>
        <v>5976</v>
      </c>
      <c r="EK34" s="2769">
        <f>2622+25-900</f>
        <v>1747</v>
      </c>
      <c r="EL34" s="2769">
        <f>6714+610-25</f>
        <v>7299</v>
      </c>
      <c r="EM34" s="2770">
        <f>SUM(EI34:EL34)</f>
        <v>18283</v>
      </c>
      <c r="EN34" s="2769">
        <f>24977-225-3390</f>
        <v>21362</v>
      </c>
      <c r="EO34" s="2769">
        <f>+-3755+17069-4118</f>
        <v>9196</v>
      </c>
      <c r="EP34" s="2769">
        <f>+-1302+547-211</f>
        <v>-966</v>
      </c>
      <c r="EQ34" s="2769">
        <f>3484+1751-3368</f>
        <v>1867</v>
      </c>
      <c r="ER34" s="2770">
        <f>SUM(EN34:EQ34)</f>
        <v>31459</v>
      </c>
      <c r="ES34" s="2769">
        <f>3954-3710-1169</f>
        <v>-925</v>
      </c>
      <c r="ET34" s="2769">
        <f>3759+3229-3327</f>
        <v>3661</v>
      </c>
      <c r="EU34" s="2769">
        <f>-7373-4883</f>
        <v>-12256</v>
      </c>
      <c r="EV34" s="242">
        <f>BS!EV34-BS!EU34+BS!EV24-BS!EU24</f>
        <v>-450</v>
      </c>
      <c r="EW34" s="327">
        <f>SUM(ES34:EV34)</f>
        <v>-9970</v>
      </c>
      <c r="EX34" s="242">
        <f>BS!EX34-BS!EW34+BS!EX24-BS!EW24</f>
        <v>0</v>
      </c>
      <c r="EY34" s="242">
        <f>BS!EY34-BS!EX34+BS!EY24-BS!EX24</f>
        <v>-3000</v>
      </c>
      <c r="EZ34" s="242">
        <f>BS!EZ34-BS!EY34+BS!EZ24-BS!EY24</f>
        <v>0</v>
      </c>
      <c r="FA34" s="242">
        <f>BS!FA34-BS!EZ34+BS!FA24-BS!EZ24</f>
        <v>-1000</v>
      </c>
      <c r="FB34" s="327">
        <f>SUM(EX34:FA34)</f>
        <v>-4000</v>
      </c>
      <c r="FC34" s="242">
        <f>BS!FC34-BS!FB34+BS!FC24-BS!FB24</f>
        <v>-2500</v>
      </c>
      <c r="FD34" s="242">
        <f>BS!FD34-BS!FC34+BS!FD24-BS!FC24</f>
        <v>-18</v>
      </c>
      <c r="FE34" s="242">
        <f>BS!FE34-BS!FD34+BS!FE24-BS!FD24</f>
        <v>-3000</v>
      </c>
      <c r="FF34" s="242">
        <f>BS!FF34-BS!FE34+BS!FF24-BS!FE24</f>
        <v>0</v>
      </c>
      <c r="FG34" s="327">
        <f>SUM(FC34:FF34)</f>
        <v>-5518</v>
      </c>
      <c r="FH34" s="242">
        <f>BS!FH34-BS!FG34+BS!FH24-BS!FG24</f>
        <v>0</v>
      </c>
      <c r="FI34" s="242">
        <f>BS!FI34-BS!FH34+BS!FI24-BS!FH24</f>
        <v>-3250</v>
      </c>
      <c r="FJ34" s="242">
        <f>BS!FJ34-BS!FI34+BS!FJ24-BS!FI24</f>
        <v>-500</v>
      </c>
      <c r="FK34" s="242">
        <f>BS!FK34-BS!FJ34+BS!FK24-BS!FJ24</f>
        <v>0</v>
      </c>
      <c r="FL34" s="327">
        <f>SUM(FH34:FK34)</f>
        <v>-3750</v>
      </c>
      <c r="FM34" s="455"/>
      <c r="FN34" s="537"/>
      <c r="FO34" s="327">
        <f>BD34+BE34+BG34+BH34</f>
        <v>0</v>
      </c>
      <c r="FP34" s="327">
        <f>BI34+BJ34+BL34+BM34</f>
        <v>0</v>
      </c>
      <c r="FQ34" s="327">
        <f>BN34+BO34+BQ34+BR34</f>
        <v>0</v>
      </c>
      <c r="FR34" s="327">
        <f>BS34+BT34+BV34+BW34</f>
        <v>0</v>
      </c>
      <c r="FS34" s="327">
        <f>BX34+BY34+CA34+CB34</f>
        <v>0</v>
      </c>
      <c r="FT34" s="327">
        <f>CC34+CD34+CF34+CG34</f>
        <v>0</v>
      </c>
      <c r="FU34" s="327">
        <f>CH34+CI34+CK34+CL34</f>
        <v>0</v>
      </c>
      <c r="FV34" s="327">
        <f>CM34+CN34+CP34+CQ34</f>
        <v>0</v>
      </c>
      <c r="FW34" s="327">
        <f>CR34+CS34+CU34+CV34</f>
        <v>0</v>
      </c>
      <c r="FX34" s="327">
        <f>CW34+CX34+CZ34+DA34</f>
        <v>1996</v>
      </c>
      <c r="FY34" s="327">
        <f>DB34+DC34+DE34+DF34</f>
        <v>3998</v>
      </c>
      <c r="FZ34" s="327">
        <f>SUM(DG34:DH34,DJ34:DK34)</f>
        <v>3663</v>
      </c>
      <c r="GA34" s="327">
        <f>SUM(DL34:DM34,DO34:DP34)</f>
        <v>2239</v>
      </c>
      <c r="GB34" s="372">
        <f>SUM(DQ34:DR34,DT34:DU34)</f>
        <v>2232</v>
      </c>
      <c r="GC34" s="372">
        <f>SUM(DV34:DW34,DY34:DZ34)</f>
        <v>8567</v>
      </c>
      <c r="GD34" s="372">
        <f>SUM(EA34:EB34,ED34:EE34)</f>
        <v>5997</v>
      </c>
      <c r="GE34" s="372">
        <f>SUM(EF34:EG34,EI34:EJ34)</f>
        <v>16601</v>
      </c>
      <c r="GF34" s="372">
        <f>SUM(EK34:EL34,EN34:EO34)</f>
        <v>39604</v>
      </c>
      <c r="GG34" s="372">
        <f>SUM(EP34:EQ34,ES34:ET34)</f>
        <v>3637</v>
      </c>
      <c r="GH34" s="372">
        <f>SUM(EU34:EV34,EX34:EY34)</f>
        <v>-15706</v>
      </c>
      <c r="GI34" s="372">
        <f>SUM(EZ34:FA34,FC34:FD34)</f>
        <v>-3518</v>
      </c>
      <c r="GJ34" s="371"/>
      <c r="GK34" s="371"/>
      <c r="GL34" s="371"/>
      <c r="GM34" s="371"/>
      <c r="GO34"/>
      <c r="GP34"/>
      <c r="GQ34"/>
      <c r="GR34"/>
      <c r="GS34"/>
      <c r="GT34"/>
      <c r="GU34" s="261"/>
      <c r="GV34" s="261"/>
      <c r="GW34" s="261"/>
      <c r="GX34" s="261"/>
      <c r="GY34" s="261"/>
      <c r="GZ34" s="261"/>
      <c r="HA34" s="261"/>
      <c r="HB34" s="261"/>
      <c r="HC34" s="261"/>
      <c r="HD34" s="261"/>
      <c r="HE34" s="261"/>
      <c r="HF34" s="261"/>
      <c r="HG34" s="261"/>
      <c r="HH34" s="261"/>
      <c r="HI34" s="261"/>
      <c r="HJ34" s="261"/>
      <c r="HK34" s="261"/>
      <c r="HL34" s="261"/>
      <c r="HM34" s="261"/>
      <c r="HN34" s="261"/>
      <c r="HO34" s="261"/>
      <c r="HP34" s="261"/>
      <c r="HQ34" s="261"/>
      <c r="HR34" s="261"/>
      <c r="HS34" s="261"/>
      <c r="HT34" s="261"/>
      <c r="HU34" s="261"/>
      <c r="HV34" s="261"/>
      <c r="HW34" s="261"/>
      <c r="HX34" s="261"/>
      <c r="HY34" s="261"/>
      <c r="HZ34" s="261"/>
      <c r="IA34" s="261"/>
      <c r="IB34" s="261"/>
      <c r="IC34" s="261"/>
      <c r="ID34" s="261"/>
      <c r="IE34" s="261"/>
      <c r="IF34" s="261"/>
      <c r="IG34" s="261"/>
      <c r="IH34" s="261"/>
      <c r="II34" s="261"/>
      <c r="IJ34" s="261"/>
      <c r="IK34" s="261"/>
      <c r="IL34" s="261"/>
      <c r="IM34" s="261"/>
      <c r="IN34" s="261"/>
      <c r="IO34" s="261"/>
      <c r="IP34" s="261"/>
      <c r="IQ34" s="261"/>
      <c r="IR34" s="261"/>
      <c r="IS34" s="261"/>
      <c r="IT34" s="261"/>
      <c r="IU34" s="261"/>
      <c r="IV34" s="261"/>
      <c r="IW34" s="261"/>
      <c r="IX34" s="261"/>
      <c r="IY34" s="261"/>
      <c r="IZ34" s="261"/>
      <c r="JA34" s="261"/>
      <c r="JB34" s="261"/>
      <c r="JC34" s="261"/>
      <c r="JD34" s="261"/>
      <c r="JE34" s="261"/>
      <c r="JF34" s="261"/>
      <c r="JG34" s="261"/>
      <c r="JH34" s="261"/>
      <c r="JI34" s="261"/>
      <c r="JJ34" s="261"/>
      <c r="JK34" s="261"/>
      <c r="JL34" s="261"/>
      <c r="JM34" s="261"/>
      <c r="JN34" s="261"/>
      <c r="JO34" s="261"/>
      <c r="JP34" s="261"/>
      <c r="JQ34" s="261"/>
      <c r="JR34" s="261"/>
      <c r="JS34" s="261"/>
      <c r="JT34" s="261"/>
    </row>
    <row r="35" spans="1:280" s="264" customFormat="1" ht="11.25" customHeight="1">
      <c r="A35" s="528" t="s">
        <v>729</v>
      </c>
      <c r="D35" s="1128">
        <v>0</v>
      </c>
      <c r="E35" s="455">
        <f>0-D35</f>
        <v>0</v>
      </c>
      <c r="F35" s="455">
        <f>0-SUM(D35:E35)</f>
        <v>0</v>
      </c>
      <c r="G35" s="455">
        <f>0-SUM(D35:F35)</f>
        <v>0</v>
      </c>
      <c r="H35" s="327">
        <f t="shared" si="191"/>
        <v>0</v>
      </c>
      <c r="I35" s="1128">
        <v>0</v>
      </c>
      <c r="J35" s="455">
        <f>0-I35</f>
        <v>0</v>
      </c>
      <c r="K35" s="455">
        <f>0-SUM(I35:J35)</f>
        <v>0</v>
      </c>
      <c r="L35" s="455">
        <f>0-SUM(I35:K35)</f>
        <v>0</v>
      </c>
      <c r="M35" s="327">
        <f t="shared" si="195"/>
        <v>0</v>
      </c>
      <c r="N35" s="1128">
        <v>0</v>
      </c>
      <c r="O35" s="455">
        <f>0-N35</f>
        <v>0</v>
      </c>
      <c r="P35" s="455">
        <f>0-SUM(N35:O35)</f>
        <v>0</v>
      </c>
      <c r="Q35" s="455">
        <f>0-SUM(N35:P35)</f>
        <v>0</v>
      </c>
      <c r="R35" s="327">
        <f t="shared" si="199"/>
        <v>0</v>
      </c>
      <c r="S35" s="1128">
        <v>0</v>
      </c>
      <c r="T35" s="455">
        <f>0-S35</f>
        <v>0</v>
      </c>
      <c r="U35" s="455">
        <f>0-SUM(S35:T35)</f>
        <v>0</v>
      </c>
      <c r="V35" s="455">
        <f>0-SUM(S35:U35)</f>
        <v>0</v>
      </c>
      <c r="W35" s="327">
        <f t="shared" si="203"/>
        <v>0</v>
      </c>
      <c r="X35" s="1128">
        <v>0</v>
      </c>
      <c r="Y35" s="455">
        <f>0-X35</f>
        <v>0</v>
      </c>
      <c r="Z35" s="455">
        <f>0-SUM(X35:Y35)</f>
        <v>0</v>
      </c>
      <c r="AA35" s="455">
        <f>0-SUM(X35:Z35)</f>
        <v>0</v>
      </c>
      <c r="AB35" s="327">
        <f t="shared" si="207"/>
        <v>0</v>
      </c>
      <c r="AC35" s="1128">
        <v>0</v>
      </c>
      <c r="AD35" s="455">
        <f>0-AC35</f>
        <v>0</v>
      </c>
      <c r="AE35" s="455">
        <f>0-SUM(AC35:AD35)</f>
        <v>0</v>
      </c>
      <c r="AF35" s="455">
        <f>0-SUM(AC35:AE35)</f>
        <v>0</v>
      </c>
      <c r="AG35" s="327">
        <f t="shared" si="210"/>
        <v>0</v>
      </c>
      <c r="AH35" s="1128">
        <v>0</v>
      </c>
      <c r="AI35" s="455">
        <f>0-AH35</f>
        <v>0</v>
      </c>
      <c r="AJ35" s="455">
        <f>0-SUM(AH35:AI35)</f>
        <v>0</v>
      </c>
      <c r="AK35" s="455">
        <f>0-SUM(AH35:AJ35)</f>
        <v>0</v>
      </c>
      <c r="AL35" s="327">
        <f t="shared" si="211"/>
        <v>0</v>
      </c>
      <c r="AM35" s="1128">
        <v>0</v>
      </c>
      <c r="AN35" s="455">
        <f>0-AM35</f>
        <v>0</v>
      </c>
      <c r="AO35" s="455">
        <f>0-SUM(AM35:AN35)</f>
        <v>0</v>
      </c>
      <c r="AP35" s="455">
        <f>0-SUM(AM35:AO35)</f>
        <v>0</v>
      </c>
      <c r="AQ35" s="327">
        <f t="shared" si="212"/>
        <v>0</v>
      </c>
      <c r="AR35" s="1128">
        <v>0</v>
      </c>
      <c r="AS35" s="455">
        <f>0-AR35</f>
        <v>0</v>
      </c>
      <c r="AT35" s="455">
        <f>0-SUM(AR35:AS35)</f>
        <v>0</v>
      </c>
      <c r="AU35" s="455">
        <f>0-SUM(AR35:AT35)</f>
        <v>0</v>
      </c>
      <c r="AV35" s="327">
        <f t="shared" si="213"/>
        <v>0</v>
      </c>
      <c r="AW35" s="1128">
        <v>0</v>
      </c>
      <c r="AX35" s="455">
        <f>0-AW35</f>
        <v>0</v>
      </c>
      <c r="AY35" s="455">
        <f>0-SUM(AW35:AX35)</f>
        <v>0</v>
      </c>
      <c r="AZ35" s="455">
        <f>0-SUM(AW35:AY35)</f>
        <v>0</v>
      </c>
      <c r="BA35" s="327">
        <f t="shared" si="214"/>
        <v>0</v>
      </c>
      <c r="BB35" s="1135">
        <v>0</v>
      </c>
      <c r="BC35" s="455">
        <f>0-BB35</f>
        <v>0</v>
      </c>
      <c r="BD35" s="455">
        <f>0-SUM(BB35:BC35)</f>
        <v>0</v>
      </c>
      <c r="BE35" s="455">
        <f>0-SUM(BB35:BD35)</f>
        <v>0</v>
      </c>
      <c r="BF35" s="327">
        <f t="shared" si="215"/>
        <v>0</v>
      </c>
      <c r="BG35" s="1135">
        <v>0</v>
      </c>
      <c r="BH35" s="455">
        <f>0-BG35</f>
        <v>0</v>
      </c>
      <c r="BI35" s="455">
        <f>0-SUM(BG35:BH35)</f>
        <v>0</v>
      </c>
      <c r="BJ35" s="455">
        <f>0-SUM(BG35:BI35)</f>
        <v>0</v>
      </c>
      <c r="BK35" s="327">
        <f t="shared" si="216"/>
        <v>0</v>
      </c>
      <c r="BL35" s="1128">
        <v>0</v>
      </c>
      <c r="BM35" s="455">
        <f>0-BL35</f>
        <v>0</v>
      </c>
      <c r="BN35" s="455">
        <f>0-SUM(BL35:BM35)</f>
        <v>0</v>
      </c>
      <c r="BO35" s="455">
        <f>0-SUM(BL35:BN35)</f>
        <v>0</v>
      </c>
      <c r="BP35" s="327">
        <f t="shared" si="217"/>
        <v>0</v>
      </c>
      <c r="BQ35" s="1128">
        <v>0</v>
      </c>
      <c r="BR35" s="455">
        <f>0-BQ35</f>
        <v>0</v>
      </c>
      <c r="BS35" s="455">
        <f>0-SUM(BQ35:BR35)</f>
        <v>0</v>
      </c>
      <c r="BT35" s="455">
        <f>0-SUM(BQ35:BS35)</f>
        <v>0</v>
      </c>
      <c r="BU35" s="327">
        <f t="shared" si="218"/>
        <v>0</v>
      </c>
      <c r="BV35" s="1127">
        <v>0</v>
      </c>
      <c r="BW35" s="1127">
        <v>0</v>
      </c>
      <c r="BX35" s="242">
        <f>-857-SUM(BV35:BW35)</f>
        <v>-857</v>
      </c>
      <c r="BY35" s="455">
        <f>-857-SUM(BV35:BX35)</f>
        <v>0</v>
      </c>
      <c r="BZ35" s="327">
        <f t="shared" si="219"/>
        <v>-857</v>
      </c>
      <c r="CA35" s="1127">
        <v>0</v>
      </c>
      <c r="CB35" s="1127">
        <v>-1729</v>
      </c>
      <c r="CC35" s="1127">
        <v>0</v>
      </c>
      <c r="CD35" s="1127">
        <v>0</v>
      </c>
      <c r="CE35" s="327">
        <f t="shared" si="220"/>
        <v>-1729</v>
      </c>
      <c r="CF35" s="1127">
        <v>-870</v>
      </c>
      <c r="CG35" s="1127">
        <v>-33498</v>
      </c>
      <c r="CH35" s="1127">
        <v>-885</v>
      </c>
      <c r="CI35" s="242">
        <f>-36112-SUM(CF35:CH35)</f>
        <v>-859</v>
      </c>
      <c r="CJ35" s="327">
        <f t="shared" si="221"/>
        <v>-36112</v>
      </c>
      <c r="CK35" s="1127">
        <v>-857</v>
      </c>
      <c r="CL35" s="1127">
        <v>-846</v>
      </c>
      <c r="CM35" s="1127">
        <v>-925</v>
      </c>
      <c r="CN35" s="1127">
        <v>-917</v>
      </c>
      <c r="CO35" s="327">
        <f t="shared" si="222"/>
        <v>-3545</v>
      </c>
      <c r="CP35" s="1127">
        <v>-897</v>
      </c>
      <c r="CQ35" s="1127">
        <v>-980</v>
      </c>
      <c r="CR35" s="1127">
        <v>-976</v>
      </c>
      <c r="CS35" s="1127">
        <v>-952</v>
      </c>
      <c r="CT35" s="327">
        <f t="shared" si="223"/>
        <v>-3805</v>
      </c>
      <c r="CU35" s="1127">
        <v>-938</v>
      </c>
      <c r="CV35" s="1127">
        <v>-1034</v>
      </c>
      <c r="CW35" s="1127">
        <v>-1023</v>
      </c>
      <c r="CX35" s="1127">
        <v>-1020</v>
      </c>
      <c r="CY35" s="327">
        <f t="shared" si="224"/>
        <v>-4015</v>
      </c>
      <c r="CZ35" s="1127">
        <v>-998</v>
      </c>
      <c r="DA35" s="1127">
        <v>-1157</v>
      </c>
      <c r="DB35" s="1127">
        <v>-1155</v>
      </c>
      <c r="DC35" s="1127">
        <v>-1158</v>
      </c>
      <c r="DD35" s="327">
        <f t="shared" si="225"/>
        <v>-4468</v>
      </c>
      <c r="DE35" s="1127">
        <v>-1157</v>
      </c>
      <c r="DF35" s="1127">
        <v>-1152</v>
      </c>
      <c r="DG35" s="1127">
        <v>-1139</v>
      </c>
      <c r="DH35" s="1127">
        <v>-1130</v>
      </c>
      <c r="DI35" s="327">
        <f t="shared" si="226"/>
        <v>-4578</v>
      </c>
      <c r="DJ35" s="1127">
        <v>-1118</v>
      </c>
      <c r="DK35" s="242">
        <f>-1363</f>
        <v>-1363</v>
      </c>
      <c r="DL35" s="1127">
        <v>-1349</v>
      </c>
      <c r="DM35" s="1127">
        <v>-1350</v>
      </c>
      <c r="DN35" s="327">
        <f>SUM(DJ35:DM35)</f>
        <v>-5180</v>
      </c>
      <c r="DO35" s="1127">
        <v>-1341</v>
      </c>
      <c r="DP35" s="1127">
        <v>-1683</v>
      </c>
      <c r="DQ35" s="1127">
        <v>-1683</v>
      </c>
      <c r="DR35" s="1127">
        <v>-1678</v>
      </c>
      <c r="DS35" s="327">
        <f>SUM(DO35:DR35)</f>
        <v>-6385</v>
      </c>
      <c r="DT35" s="1127">
        <v>-1676</v>
      </c>
      <c r="DU35" s="1127">
        <v>-1933</v>
      </c>
      <c r="DV35" s="1127">
        <v>-1925</v>
      </c>
      <c r="DW35" s="1127">
        <f>-1921</f>
        <v>-1921</v>
      </c>
      <c r="DX35" s="327">
        <f>SUM(DT35:DW35)</f>
        <v>-7455</v>
      </c>
      <c r="DY35" s="1127">
        <f>-1916</f>
        <v>-1916</v>
      </c>
      <c r="DZ35" s="1127">
        <v>-2332</v>
      </c>
      <c r="EA35" s="1127">
        <v>-2322</v>
      </c>
      <c r="EB35" s="1127">
        <v>-2309</v>
      </c>
      <c r="EC35" s="327">
        <f>SUM(DY35:EB35)</f>
        <v>-8879</v>
      </c>
      <c r="ED35" s="1127">
        <v>-2307</v>
      </c>
      <c r="EE35" s="1127">
        <v>-2547</v>
      </c>
      <c r="EF35" s="1127">
        <v>-2532</v>
      </c>
      <c r="EG35" s="1127">
        <v>-2496</v>
      </c>
      <c r="EH35" s="327">
        <f>SUM(ED35:EG35)</f>
        <v>-9882</v>
      </c>
      <c r="EI35" s="2769">
        <v>-2475</v>
      </c>
      <c r="EJ35" s="2769">
        <v>-2868</v>
      </c>
      <c r="EK35" s="2769">
        <v>-2842</v>
      </c>
      <c r="EL35" s="2769">
        <v>-2821</v>
      </c>
      <c r="EM35" s="2770">
        <f>SUM(EI35:EL35)</f>
        <v>-11006</v>
      </c>
      <c r="EN35" s="2769">
        <v>-2800</v>
      </c>
      <c r="EO35" s="2769">
        <v>-3024</v>
      </c>
      <c r="EP35" s="2769">
        <v>-3012</v>
      </c>
      <c r="EQ35" s="2769">
        <v>-3009</v>
      </c>
      <c r="ER35" s="2770">
        <f>SUM(EN35:EQ35)</f>
        <v>-11845</v>
      </c>
      <c r="ES35" s="2769">
        <v>-3003</v>
      </c>
      <c r="ET35" s="2769">
        <v>-3238</v>
      </c>
      <c r="EU35" s="2769">
        <v>-3232</v>
      </c>
      <c r="EV35" s="242">
        <f>-IS!EV92*IS!EV88-IS!EV152</f>
        <v>-3229.7999999999997</v>
      </c>
      <c r="EW35" s="327">
        <f>SUM(ES35:EV35)</f>
        <v>-12702.8</v>
      </c>
      <c r="EX35" s="242">
        <f>-IS!EX92*IS!EX88-IS!EX152</f>
        <v>-3674.9762531999995</v>
      </c>
      <c r="EY35" s="242">
        <f>-IS!EY92*IS!EY88-IS!EY152</f>
        <v>-3667.9937983189193</v>
      </c>
      <c r="EZ35" s="242">
        <f>-IS!EZ92*IS!EZ88-IS!EZ152</f>
        <v>-3661.0246101021135</v>
      </c>
      <c r="FA35" s="242">
        <f>-IS!FA92*IS!FA88-IS!FA152</f>
        <v>-3654.0686633429195</v>
      </c>
      <c r="FB35" s="327">
        <f>SUM(EX35:FA35)</f>
        <v>-14658.063324963952</v>
      </c>
      <c r="FC35" s="242">
        <f>-IS!FC92*IS!FC88-IS!FC152</f>
        <v>-4012.4414475002768</v>
      </c>
      <c r="FD35" s="242">
        <f>-IS!FD92*IS!FD88-IS!FD152</f>
        <v>-4005.419674967151</v>
      </c>
      <c r="FE35" s="242">
        <f>-IS!FE92*IS!FE88-IS!FE152</f>
        <v>-3998.410190535958</v>
      </c>
      <c r="FF35" s="242">
        <f>-IS!FF92*IS!FF88-IS!FF152</f>
        <v>-3991.4129727025197</v>
      </c>
      <c r="FG35" s="327">
        <f>SUM(FC35:FF35)</f>
        <v>-16007.684285705905</v>
      </c>
      <c r="FH35" s="242">
        <f>-IS!FH92*IS!FH88-IS!FH152</f>
        <v>-4387.4808819837908</v>
      </c>
      <c r="FI35" s="242">
        <f>-IS!FI92*IS!FI88-IS!FI152</f>
        <v>-4384.4096453664024</v>
      </c>
      <c r="FJ35" s="242">
        <f>-IS!FJ92*IS!FJ88-IS!FJ152</f>
        <v>-4381.3405586146455</v>
      </c>
      <c r="FK35" s="242">
        <f>-IS!FK92*IS!FK88-IS!FK152</f>
        <v>-4378.2736202236156</v>
      </c>
      <c r="FL35" s="327">
        <f>SUM(FH35:FK35)</f>
        <v>-17531.504706188454</v>
      </c>
      <c r="FM35" s="455"/>
      <c r="FN35" s="537"/>
      <c r="FO35" s="327">
        <f>BD35+BE35+BG35+BH35</f>
        <v>0</v>
      </c>
      <c r="FP35" s="327">
        <f>BI35+BJ35+BL35+BM35</f>
        <v>0</v>
      </c>
      <c r="FQ35" s="327">
        <f>BN35+BO35+BQ35+BR35</f>
        <v>0</v>
      </c>
      <c r="FR35" s="327">
        <f>BS35+BT35+BV35+BW35</f>
        <v>0</v>
      </c>
      <c r="FS35" s="327">
        <f>BX35+BY35+CA35+CB35</f>
        <v>-2586</v>
      </c>
      <c r="FT35" s="327">
        <f>CC35+CD35+CF35+CG35</f>
        <v>-34368</v>
      </c>
      <c r="FU35" s="327">
        <f>CH35+CI35+CK35+CL35</f>
        <v>-3447</v>
      </c>
      <c r="FV35" s="327">
        <f>CM35+CN35+CP35+CQ35</f>
        <v>-3719</v>
      </c>
      <c r="FW35" s="327">
        <f>CR35+CS35+CU35+CV35</f>
        <v>-3900</v>
      </c>
      <c r="FX35" s="327">
        <f>CW35+CX35+CZ35+DA35</f>
        <v>-4198</v>
      </c>
      <c r="FY35" s="327">
        <f>DB35+DC35+DE35+DF35</f>
        <v>-4622</v>
      </c>
      <c r="FZ35" s="327">
        <f>SUM(DG35:DH35,DJ35:DK35)</f>
        <v>-4750</v>
      </c>
      <c r="GA35" s="327">
        <f>SUM(DL35:DM35,DO35:DP35)</f>
        <v>-5723</v>
      </c>
      <c r="GB35" s="372">
        <f>SUM(DQ35:DR35,DT35:DU35)</f>
        <v>-6970</v>
      </c>
      <c r="GC35" s="372">
        <f>SUM(DV35:DW35,DY35:DZ35)</f>
        <v>-8094</v>
      </c>
      <c r="GD35" s="372">
        <f>SUM(EA35:EB35,ED35:EE35)</f>
        <v>-9485</v>
      </c>
      <c r="GE35" s="372">
        <f>SUM(EF35:EG35,EI35:EJ35)</f>
        <v>-10371</v>
      </c>
      <c r="GF35" s="372">
        <f>SUM(EK35:EL35,EN35:EO35)</f>
        <v>-11487</v>
      </c>
      <c r="GG35" s="372">
        <f>SUM(EP35:EQ35,ES35:ET35)</f>
        <v>-12262</v>
      </c>
      <c r="GH35" s="372">
        <f>SUM(EU35:EV35,EX35:EY35)</f>
        <v>-13804.770051518917</v>
      </c>
      <c r="GI35" s="372">
        <f>SUM(EZ35:FA35,FC35:FD35)</f>
        <v>-15332.95439591246</v>
      </c>
      <c r="GJ35" s="371"/>
      <c r="GK35" s="371"/>
      <c r="GL35" s="371"/>
      <c r="GM35" s="371"/>
      <c r="GO35"/>
      <c r="GP35"/>
      <c r="GQ35"/>
      <c r="GR35"/>
      <c r="GS35"/>
      <c r="GT35"/>
      <c r="GU35" s="261"/>
      <c r="GV35" s="261"/>
      <c r="GW35" s="261"/>
      <c r="GX35" s="261"/>
      <c r="GY35" s="261"/>
      <c r="GZ35" s="261"/>
      <c r="HA35" s="261"/>
      <c r="HB35" s="261"/>
      <c r="HC35" s="261"/>
      <c r="HD35" s="261"/>
      <c r="HE35" s="261"/>
      <c r="HF35" s="261"/>
      <c r="HG35" s="261"/>
      <c r="HH35" s="261"/>
      <c r="HI35" s="261"/>
      <c r="HJ35" s="261"/>
      <c r="HK35" s="261"/>
      <c r="HL35" s="261"/>
      <c r="HM35" s="261"/>
      <c r="HN35" s="261"/>
      <c r="HO35" s="261"/>
      <c r="HP35" s="261"/>
      <c r="HQ35" s="261"/>
      <c r="HR35" s="261"/>
      <c r="HS35" s="261"/>
      <c r="HT35" s="261"/>
      <c r="HU35" s="261"/>
      <c r="HV35" s="261"/>
      <c r="HW35" s="261"/>
      <c r="HX35" s="261"/>
      <c r="HY35" s="261"/>
      <c r="HZ35" s="261"/>
      <c r="IA35" s="261"/>
      <c r="IB35" s="261"/>
      <c r="IC35" s="261"/>
      <c r="ID35" s="261"/>
      <c r="IE35" s="261"/>
      <c r="IF35" s="261"/>
      <c r="IG35" s="261"/>
      <c r="IH35" s="261"/>
      <c r="II35" s="261"/>
      <c r="IJ35" s="261"/>
      <c r="IK35" s="261"/>
      <c r="IL35" s="261"/>
      <c r="IM35" s="261"/>
      <c r="IN35" s="261"/>
      <c r="IO35" s="261"/>
      <c r="IP35" s="261"/>
      <c r="IQ35" s="261"/>
      <c r="IR35" s="261"/>
      <c r="IS35" s="261"/>
      <c r="IT35" s="261"/>
      <c r="IU35" s="261"/>
      <c r="IV35" s="261"/>
      <c r="IW35" s="261"/>
      <c r="IX35" s="261"/>
      <c r="IY35" s="261"/>
      <c r="IZ35" s="261"/>
      <c r="JA35" s="261"/>
      <c r="JB35" s="261"/>
      <c r="JC35" s="261"/>
      <c r="JD35" s="261"/>
      <c r="JE35" s="261"/>
      <c r="JF35" s="261"/>
      <c r="JG35" s="261"/>
      <c r="JH35" s="261"/>
      <c r="JI35" s="261"/>
      <c r="JJ35" s="261"/>
      <c r="JK35" s="261"/>
      <c r="JL35" s="261"/>
      <c r="JM35" s="261"/>
      <c r="JN35" s="261"/>
      <c r="JO35" s="261"/>
      <c r="JP35" s="261"/>
      <c r="JQ35" s="261"/>
      <c r="JR35" s="261"/>
      <c r="JS35" s="261"/>
      <c r="JT35" s="261"/>
    </row>
    <row r="36" spans="1:280" s="264" customFormat="1" ht="11.25" customHeight="1">
      <c r="A36" s="528" t="s">
        <v>730</v>
      </c>
      <c r="D36" s="1128">
        <v>0</v>
      </c>
      <c r="E36" s="455">
        <f>0-D36</f>
        <v>0</v>
      </c>
      <c r="F36" s="455">
        <f>0-SUM(D36:E36)</f>
        <v>0</v>
      </c>
      <c r="G36" s="455">
        <f>0-SUM(D36:F36)</f>
        <v>0</v>
      </c>
      <c r="H36" s="327">
        <f t="shared" si="191"/>
        <v>0</v>
      </c>
      <c r="I36" s="1128">
        <v>0</v>
      </c>
      <c r="J36" s="455">
        <f>0-I36</f>
        <v>0</v>
      </c>
      <c r="K36" s="455">
        <f>0-SUM(I36:J36)</f>
        <v>0</v>
      </c>
      <c r="L36" s="455">
        <f>0-SUM(I36:K36)</f>
        <v>0</v>
      </c>
      <c r="M36" s="327">
        <f t="shared" si="195"/>
        <v>0</v>
      </c>
      <c r="N36" s="1128">
        <v>0</v>
      </c>
      <c r="O36" s="455">
        <f>0-N36</f>
        <v>0</v>
      </c>
      <c r="P36" s="455">
        <f>0-SUM(N36:O36)</f>
        <v>0</v>
      </c>
      <c r="Q36" s="455">
        <f>0-SUM(N36:P36)</f>
        <v>0</v>
      </c>
      <c r="R36" s="327">
        <f t="shared" si="199"/>
        <v>0</v>
      </c>
      <c r="S36" s="1128">
        <v>0</v>
      </c>
      <c r="T36" s="455">
        <f>0-S36</f>
        <v>0</v>
      </c>
      <c r="U36" s="455">
        <f>0-SUM(S36:T36)</f>
        <v>0</v>
      </c>
      <c r="V36" s="455">
        <f>0-SUM(S36:U36)</f>
        <v>0</v>
      </c>
      <c r="W36" s="327">
        <f t="shared" si="203"/>
        <v>0</v>
      </c>
      <c r="X36" s="1128">
        <v>0</v>
      </c>
      <c r="Y36" s="455">
        <f>0-X36</f>
        <v>0</v>
      </c>
      <c r="Z36" s="455">
        <f>0-SUM(X36:Y36)</f>
        <v>0</v>
      </c>
      <c r="AA36" s="455">
        <f>0-SUM(X36:Z36)</f>
        <v>0</v>
      </c>
      <c r="AB36" s="327">
        <f t="shared" si="207"/>
        <v>0</v>
      </c>
      <c r="AC36" s="1128">
        <v>0</v>
      </c>
      <c r="AD36" s="455">
        <f>0-AC36</f>
        <v>0</v>
      </c>
      <c r="AE36" s="455">
        <f>0-SUM(AC36:AD36)</f>
        <v>0</v>
      </c>
      <c r="AF36" s="455">
        <f>280-SUM(AC36:AE36)</f>
        <v>280</v>
      </c>
      <c r="AG36" s="327">
        <f t="shared" si="210"/>
        <v>280</v>
      </c>
      <c r="AH36" s="1128">
        <v>81</v>
      </c>
      <c r="AI36" s="455">
        <f>140-AH36</f>
        <v>59</v>
      </c>
      <c r="AJ36" s="455">
        <f>259-SUM(AH36:AI36)</f>
        <v>119</v>
      </c>
      <c r="AK36" s="455">
        <f>332-SUM(AH36:AJ36)</f>
        <v>73</v>
      </c>
      <c r="AL36" s="327">
        <f t="shared" si="211"/>
        <v>332</v>
      </c>
      <c r="AM36" s="1128">
        <v>98</v>
      </c>
      <c r="AN36" s="455">
        <f>173-AM36</f>
        <v>75</v>
      </c>
      <c r="AO36" s="455">
        <f>384-SUM(AM36:AN36)</f>
        <v>211</v>
      </c>
      <c r="AP36" s="455">
        <f>504-SUM(AM36:AO36)</f>
        <v>120</v>
      </c>
      <c r="AQ36" s="327">
        <f t="shared" si="212"/>
        <v>504</v>
      </c>
      <c r="AR36" s="1128">
        <v>215</v>
      </c>
      <c r="AS36" s="455">
        <f>314-AR36</f>
        <v>99</v>
      </c>
      <c r="AT36" s="455">
        <f>553-SUM(AR36:AS36)</f>
        <v>239</v>
      </c>
      <c r="AU36" s="455">
        <f>744-SUM(AR36:AT36)</f>
        <v>191</v>
      </c>
      <c r="AV36" s="327">
        <f t="shared" si="213"/>
        <v>744</v>
      </c>
      <c r="AW36" s="1128">
        <v>207</v>
      </c>
      <c r="AX36" s="455">
        <f>328-AW36</f>
        <v>121</v>
      </c>
      <c r="AY36" s="455">
        <f>650-SUM(AW36:AX36)</f>
        <v>322</v>
      </c>
      <c r="AZ36" s="455">
        <f>959-SUM(AW36:AY36)</f>
        <v>309</v>
      </c>
      <c r="BA36" s="327">
        <f t="shared" si="214"/>
        <v>959</v>
      </c>
      <c r="BB36" s="1135">
        <v>316</v>
      </c>
      <c r="BC36" s="455">
        <f>614-BB36</f>
        <v>298</v>
      </c>
      <c r="BD36" s="455">
        <f>1102-SUM(BB36:BC36)</f>
        <v>488</v>
      </c>
      <c r="BE36" s="455">
        <f>1350-SUM(BB36:BD36)</f>
        <v>248</v>
      </c>
      <c r="BF36" s="327">
        <f t="shared" si="215"/>
        <v>1350</v>
      </c>
      <c r="BG36" s="1135">
        <v>461</v>
      </c>
      <c r="BH36" s="455">
        <f>913-BG36</f>
        <v>452</v>
      </c>
      <c r="BI36" s="455">
        <f>1750-SUM(BG36:BH36)</f>
        <v>837</v>
      </c>
      <c r="BJ36" s="455">
        <f>2245-SUM(BG36:BI36)</f>
        <v>495</v>
      </c>
      <c r="BK36" s="327">
        <f t="shared" si="216"/>
        <v>2245</v>
      </c>
      <c r="BL36" s="1128">
        <v>375</v>
      </c>
      <c r="BM36" s="455">
        <f>698-BL36</f>
        <v>323</v>
      </c>
      <c r="BN36" s="455">
        <f>1095-SUM(BL36:BM36)</f>
        <v>397</v>
      </c>
      <c r="BO36" s="455">
        <f>1620-SUM(BL36:BN36)</f>
        <v>525</v>
      </c>
      <c r="BP36" s="327">
        <f t="shared" si="217"/>
        <v>1620</v>
      </c>
      <c r="BQ36" s="1128">
        <v>391</v>
      </c>
      <c r="BR36" s="455">
        <f>786-BQ36</f>
        <v>395</v>
      </c>
      <c r="BS36" s="455">
        <f>1211-SUM(BQ36:BR36)</f>
        <v>425</v>
      </c>
      <c r="BT36" s="455">
        <f>1497-SUM(BQ36:BS36)</f>
        <v>286</v>
      </c>
      <c r="BU36" s="327">
        <f t="shared" si="218"/>
        <v>1497</v>
      </c>
      <c r="BV36" s="1127">
        <v>539</v>
      </c>
      <c r="BW36" s="1127">
        <v>365</v>
      </c>
      <c r="BX36" s="242">
        <f>1389-SUM(BV36:BW36)</f>
        <v>485</v>
      </c>
      <c r="BY36" s="455">
        <f>2120-SUM(BV36:BX36)</f>
        <v>731</v>
      </c>
      <c r="BZ36" s="327">
        <f t="shared" si="219"/>
        <v>2120</v>
      </c>
      <c r="CA36" s="1127">
        <v>695</v>
      </c>
      <c r="CB36" s="1127">
        <v>189</v>
      </c>
      <c r="CC36" s="1127">
        <v>568</v>
      </c>
      <c r="CD36" s="1127">
        <v>1296</v>
      </c>
      <c r="CE36" s="327">
        <f t="shared" si="220"/>
        <v>2748</v>
      </c>
      <c r="CF36" s="242">
        <f>-355+487</f>
        <v>132</v>
      </c>
      <c r="CG36" s="242">
        <f>795-969</f>
        <v>-174</v>
      </c>
      <c r="CH36" s="1127">
        <v>354</v>
      </c>
      <c r="CI36" s="242">
        <f>3109-SUM(CF36:CH36)</f>
        <v>2797</v>
      </c>
      <c r="CJ36" s="327">
        <f t="shared" si="221"/>
        <v>3109</v>
      </c>
      <c r="CK36" s="242">
        <f>-3116+1001</f>
        <v>-2115</v>
      </c>
      <c r="CL36" s="242">
        <f>466-7435</f>
        <v>-6969</v>
      </c>
      <c r="CM36" s="1127">
        <v>442</v>
      </c>
      <c r="CN36" s="1127">
        <v>192</v>
      </c>
      <c r="CO36" s="327">
        <f t="shared" si="222"/>
        <v>-8450</v>
      </c>
      <c r="CP36" s="1127">
        <v>385</v>
      </c>
      <c r="CQ36" s="1127">
        <v>4449</v>
      </c>
      <c r="CR36" s="1127">
        <v>784</v>
      </c>
      <c r="CS36" s="1127">
        <v>1164</v>
      </c>
      <c r="CT36" s="327">
        <f t="shared" si="223"/>
        <v>6782</v>
      </c>
      <c r="CU36" s="1127">
        <v>646</v>
      </c>
      <c r="CV36" s="1127">
        <v>2335</v>
      </c>
      <c r="CW36" s="1127">
        <v>268</v>
      </c>
      <c r="CX36" s="1127">
        <v>245</v>
      </c>
      <c r="CY36" s="327">
        <f t="shared" si="224"/>
        <v>3494</v>
      </c>
      <c r="CZ36" s="1127">
        <v>228</v>
      </c>
      <c r="DA36" s="1127">
        <v>96</v>
      </c>
      <c r="DB36" s="1127">
        <v>112</v>
      </c>
      <c r="DC36" s="1127">
        <v>143</v>
      </c>
      <c r="DD36" s="327">
        <f t="shared" si="225"/>
        <v>579</v>
      </c>
      <c r="DE36" s="1127">
        <v>248</v>
      </c>
      <c r="DF36" s="1127">
        <v>729</v>
      </c>
      <c r="DG36" s="1127">
        <v>422</v>
      </c>
      <c r="DH36" s="1127">
        <v>912</v>
      </c>
      <c r="DI36" s="327">
        <f t="shared" si="226"/>
        <v>2311</v>
      </c>
      <c r="DJ36" s="242">
        <f>177</f>
        <v>177</v>
      </c>
      <c r="DK36" s="1127">
        <v>660</v>
      </c>
      <c r="DL36" s="1127">
        <v>1405</v>
      </c>
      <c r="DM36" s="1127">
        <v>180</v>
      </c>
      <c r="DN36" s="327">
        <f>SUM(DJ36:DM36)</f>
        <v>2422</v>
      </c>
      <c r="DO36" s="1127">
        <v>336</v>
      </c>
      <c r="DP36" s="1127">
        <v>208</v>
      </c>
      <c r="DQ36" s="1127">
        <v>1091</v>
      </c>
      <c r="DR36" s="1127">
        <v>278</v>
      </c>
      <c r="DS36" s="327">
        <f>SUM(DO36:DR36)</f>
        <v>1913</v>
      </c>
      <c r="DT36" s="1127">
        <v>417</v>
      </c>
      <c r="DU36" s="1127">
        <v>145</v>
      </c>
      <c r="DV36" s="1127">
        <v>203</v>
      </c>
      <c r="DW36" s="1127">
        <f>166</f>
        <v>166</v>
      </c>
      <c r="DX36" s="327">
        <f>SUM(DT36:DW36)</f>
        <v>931</v>
      </c>
      <c r="DY36" s="1127">
        <v>203</v>
      </c>
      <c r="DZ36" s="1127">
        <f>117</f>
        <v>117</v>
      </c>
      <c r="EA36" s="1127">
        <v>141</v>
      </c>
      <c r="EB36" s="1127">
        <v>146</v>
      </c>
      <c r="EC36" s="327">
        <f>SUM(DY36:EB36)</f>
        <v>607</v>
      </c>
      <c r="ED36" s="1127">
        <v>216</v>
      </c>
      <c r="EE36" s="1127">
        <v>121</v>
      </c>
      <c r="EF36" s="1127">
        <v>146</v>
      </c>
      <c r="EG36" s="1127">
        <v>151</v>
      </c>
      <c r="EH36" s="327">
        <f>SUM(ED36:EG36)</f>
        <v>634</v>
      </c>
      <c r="EI36" s="2769">
        <v>219</v>
      </c>
      <c r="EJ36" s="2769">
        <v>117</v>
      </c>
      <c r="EK36" s="2769">
        <v>159</v>
      </c>
      <c r="EL36" s="2769">
        <v>173</v>
      </c>
      <c r="EM36" s="2770">
        <f>SUM(EI36:EL36)</f>
        <v>668</v>
      </c>
      <c r="EN36" s="2769">
        <v>241</v>
      </c>
      <c r="EO36" s="2769">
        <v>131</v>
      </c>
      <c r="EP36" s="2769">
        <v>179</v>
      </c>
      <c r="EQ36" s="2769">
        <v>221</v>
      </c>
      <c r="ER36" s="2770">
        <f>SUM(EN36:EQ36)</f>
        <v>772</v>
      </c>
      <c r="ES36" s="2769">
        <v>307</v>
      </c>
      <c r="ET36" s="2769">
        <v>189</v>
      </c>
      <c r="EU36" s="2769">
        <v>251</v>
      </c>
      <c r="EV36" s="242">
        <f>OPT!EV18</f>
        <v>38.399578375512704</v>
      </c>
      <c r="EW36" s="327">
        <f>SUM(ES36:EV36)</f>
        <v>785.39957837551265</v>
      </c>
      <c r="EX36" s="242">
        <f>OPT!EX18</f>
        <v>41.290137867938142</v>
      </c>
      <c r="EY36" s="242">
        <f>OPT!EY18</f>
        <v>33.811793807370393</v>
      </c>
      <c r="EZ36" s="242">
        <f>OPT!EZ18</f>
        <v>31.812378574553378</v>
      </c>
      <c r="FA36" s="242">
        <f>OPT!FA18</f>
        <v>29.931196089043269</v>
      </c>
      <c r="FB36" s="327">
        <f>SUM(EX36:FA36)</f>
        <v>136.84550633890518</v>
      </c>
      <c r="FC36" s="242">
        <f>OPT!FC18</f>
        <v>32.184291217556535</v>
      </c>
      <c r="FD36" s="242">
        <f>OPT!FD18</f>
        <v>26.355170379059921</v>
      </c>
      <c r="FE36" s="242">
        <f>OPT!FE18</f>
        <v>24.796692605902145</v>
      </c>
      <c r="FF36" s="242">
        <f>OPT!FF18</f>
        <v>23.330373332746206</v>
      </c>
      <c r="FG36" s="327">
        <f>SUM(FC36:FF36)</f>
        <v>106.66652753526481</v>
      </c>
      <c r="FH36" s="242">
        <f>OPT!FH18</f>
        <v>25.086586159858999</v>
      </c>
      <c r="FI36" s="242">
        <f>OPT!FI18</f>
        <v>20.542980052063012</v>
      </c>
      <c r="FJ36" s="242">
        <f>OPT!FJ18</f>
        <v>19.328198385122928</v>
      </c>
      <c r="FK36" s="242">
        <f>OPT!FK18</f>
        <v>18.185251208339309</v>
      </c>
      <c r="FL36" s="327">
        <f>SUM(FH36:FK36)</f>
        <v>83.143015805384252</v>
      </c>
      <c r="FM36" s="455"/>
      <c r="FN36" s="537"/>
      <c r="FO36" s="327">
        <f>BD36+BE36+BG36+BH36</f>
        <v>1649</v>
      </c>
      <c r="FP36" s="327">
        <f>BI36+BJ36+BL36+BM36</f>
        <v>2030</v>
      </c>
      <c r="FQ36" s="327">
        <f>BN36+BO36+BQ36+BR36</f>
        <v>1708</v>
      </c>
      <c r="FR36" s="327">
        <f>BS36+BT36+BV36+BW36</f>
        <v>1615</v>
      </c>
      <c r="FS36" s="327">
        <f>BX36+BY36+CA36+CB36</f>
        <v>2100</v>
      </c>
      <c r="FT36" s="327">
        <f>CC36+CD36+CF36+CG36</f>
        <v>1822</v>
      </c>
      <c r="FU36" s="327">
        <f>CH36+CI36+CK36+CL36</f>
        <v>-5933</v>
      </c>
      <c r="FV36" s="327">
        <f>CM36+CN36+CP36+CQ36</f>
        <v>5468</v>
      </c>
      <c r="FW36" s="327">
        <f>CR36+CS36+CU36+CV36</f>
        <v>4929</v>
      </c>
      <c r="FX36" s="327">
        <f>CW36+CX36+CZ36+DA36</f>
        <v>837</v>
      </c>
      <c r="FY36" s="327">
        <f>DB36+DC36+DE36+DF36</f>
        <v>1232</v>
      </c>
      <c r="FZ36" s="327">
        <f>SUM(DG36:DH36,DJ36:DK36)</f>
        <v>2171</v>
      </c>
      <c r="GA36" s="327">
        <f>SUM(DL36:DM36,DO36:DP36)</f>
        <v>2129</v>
      </c>
      <c r="GB36" s="372">
        <f>SUM(DQ36:DR36,DT36:DU36)</f>
        <v>1931</v>
      </c>
      <c r="GC36" s="372">
        <f>SUM(DV36:DW36,DY36:DZ36)</f>
        <v>689</v>
      </c>
      <c r="GD36" s="372">
        <f>SUM(EA36:EB36,ED36:EE36)</f>
        <v>624</v>
      </c>
      <c r="GE36" s="372">
        <f>SUM(EF36:EG36,EI36:EJ36)</f>
        <v>633</v>
      </c>
      <c r="GF36" s="372">
        <f>SUM(EK36:EL36,EN36:EO36)</f>
        <v>704</v>
      </c>
      <c r="GG36" s="372">
        <f>SUM(EP36:EQ36,ES36:ET36)</f>
        <v>896</v>
      </c>
      <c r="GH36" s="372">
        <f>SUM(EU36:EV36,EX36:EY36)</f>
        <v>364.50151005082125</v>
      </c>
      <c r="GI36" s="372">
        <f>SUM(EZ36:FA36,FC36:FD36)</f>
        <v>120.28303626021309</v>
      </c>
      <c r="GJ36" s="371"/>
      <c r="GK36" s="371"/>
      <c r="GL36" s="371"/>
      <c r="GM36" s="371"/>
      <c r="GO36"/>
      <c r="GP36"/>
      <c r="GQ36"/>
      <c r="GR36"/>
      <c r="GS36"/>
      <c r="GT36"/>
      <c r="GU36" s="261"/>
      <c r="GV36" s="261"/>
      <c r="GW36" s="261"/>
      <c r="GX36" s="261"/>
      <c r="GY36" s="261"/>
      <c r="GZ36" s="261"/>
      <c r="HA36" s="261"/>
      <c r="HB36" s="261"/>
      <c r="HC36" s="261"/>
      <c r="HD36" s="261"/>
      <c r="HE36" s="261"/>
      <c r="HF36" s="261"/>
      <c r="HG36" s="261"/>
      <c r="HH36" s="261"/>
      <c r="HI36" s="261"/>
      <c r="HJ36" s="261"/>
      <c r="HK36" s="261"/>
      <c r="HL36" s="261"/>
      <c r="HM36" s="261"/>
      <c r="HN36" s="261"/>
      <c r="HO36" s="261"/>
      <c r="HP36" s="261"/>
      <c r="HQ36" s="261"/>
      <c r="HR36" s="261"/>
      <c r="HS36" s="261"/>
      <c r="HT36" s="261"/>
      <c r="HU36" s="261"/>
      <c r="HV36" s="261"/>
      <c r="HW36" s="261"/>
      <c r="HX36" s="261"/>
      <c r="HY36" s="261"/>
      <c r="HZ36" s="261"/>
      <c r="IA36" s="261"/>
      <c r="IB36" s="261"/>
      <c r="IC36" s="261"/>
      <c r="ID36" s="261"/>
      <c r="IE36" s="261"/>
      <c r="IF36" s="261"/>
      <c r="IG36" s="261"/>
      <c r="IH36" s="261"/>
      <c r="II36" s="261"/>
      <c r="IJ36" s="261"/>
      <c r="IK36" s="261"/>
      <c r="IL36" s="261"/>
      <c r="IM36" s="261"/>
      <c r="IN36" s="261"/>
      <c r="IO36" s="261"/>
      <c r="IP36" s="261"/>
      <c r="IQ36" s="261"/>
      <c r="IR36" s="261"/>
      <c r="IS36" s="261"/>
      <c r="IT36" s="261"/>
      <c r="IU36" s="261"/>
      <c r="IV36" s="261"/>
      <c r="IW36" s="261"/>
      <c r="IX36" s="261"/>
      <c r="IY36" s="261"/>
      <c r="IZ36" s="261"/>
      <c r="JA36" s="261"/>
      <c r="JB36" s="261"/>
      <c r="JC36" s="261"/>
      <c r="JD36" s="261"/>
      <c r="JE36" s="261"/>
      <c r="JF36" s="261"/>
      <c r="JG36" s="261"/>
      <c r="JH36" s="261"/>
      <c r="JI36" s="261"/>
      <c r="JJ36" s="261"/>
      <c r="JK36" s="261"/>
      <c r="JL36" s="261"/>
      <c r="JM36" s="261"/>
      <c r="JN36" s="261"/>
      <c r="JO36" s="261"/>
      <c r="JP36" s="261"/>
      <c r="JQ36" s="261"/>
      <c r="JR36" s="261"/>
      <c r="JS36" s="261"/>
      <c r="JT36" s="261"/>
    </row>
    <row r="37" spans="1:280" s="264" customFormat="1" ht="11.25" customHeight="1">
      <c r="A37" s="528" t="s">
        <v>731</v>
      </c>
      <c r="D37" s="1128">
        <v>0</v>
      </c>
      <c r="E37" s="455">
        <f>0-D37</f>
        <v>0</v>
      </c>
      <c r="F37" s="455">
        <f>0-SUM(D37:E37)</f>
        <v>0</v>
      </c>
      <c r="G37" s="455">
        <f>0-SUM(D37:F37)</f>
        <v>0</v>
      </c>
      <c r="H37" s="327">
        <f t="shared" si="191"/>
        <v>0</v>
      </c>
      <c r="I37" s="1128">
        <v>0</v>
      </c>
      <c r="J37" s="455">
        <f>0-I37</f>
        <v>0</v>
      </c>
      <c r="K37" s="455">
        <f>0-SUM(I37:J37)</f>
        <v>0</v>
      </c>
      <c r="L37" s="455">
        <f>0-SUM(I37:K37)</f>
        <v>0</v>
      </c>
      <c r="M37" s="327">
        <f t="shared" si="195"/>
        <v>0</v>
      </c>
      <c r="N37" s="1128">
        <v>0</v>
      </c>
      <c r="O37" s="455">
        <f>0-N37</f>
        <v>0</v>
      </c>
      <c r="P37" s="455">
        <f>0-SUM(N37:O37)</f>
        <v>0</v>
      </c>
      <c r="Q37" s="455">
        <f>0-SUM(N37:P37)</f>
        <v>0</v>
      </c>
      <c r="R37" s="327">
        <f t="shared" si="199"/>
        <v>0</v>
      </c>
      <c r="S37" s="1128">
        <v>0</v>
      </c>
      <c r="T37" s="455">
        <f>0-S37</f>
        <v>0</v>
      </c>
      <c r="U37" s="455">
        <f>0-SUM(S37:T37)</f>
        <v>0</v>
      </c>
      <c r="V37" s="455">
        <f>0-SUM(S37:U37)</f>
        <v>0</v>
      </c>
      <c r="W37" s="327">
        <f t="shared" si="203"/>
        <v>0</v>
      </c>
      <c r="X37" s="1128">
        <v>0</v>
      </c>
      <c r="Y37" s="455">
        <f>0-X37</f>
        <v>0</v>
      </c>
      <c r="Z37" s="455">
        <f>0-SUM(X37:Y37)</f>
        <v>0</v>
      </c>
      <c r="AA37" s="455">
        <f>0-SUM(X37:Z37)</f>
        <v>0</v>
      </c>
      <c r="AB37" s="327">
        <f t="shared" si="207"/>
        <v>0</v>
      </c>
      <c r="AC37" s="1128">
        <v>0</v>
      </c>
      <c r="AD37" s="455">
        <f>0-AC37</f>
        <v>0</v>
      </c>
      <c r="AE37" s="455">
        <f>0-SUM(AC37:AD37)</f>
        <v>0</v>
      </c>
      <c r="AF37" s="455">
        <f>-348-SUM(AC37:AE37)</f>
        <v>-348</v>
      </c>
      <c r="AG37" s="327">
        <f t="shared" si="210"/>
        <v>-348</v>
      </c>
      <c r="AH37" s="1128">
        <v>-242</v>
      </c>
      <c r="AI37" s="455">
        <f>-560-AH37</f>
        <v>-318</v>
      </c>
      <c r="AJ37" s="455">
        <f>-664-SUM(AH37:AI37)</f>
        <v>-104</v>
      </c>
      <c r="AK37" s="455">
        <f>-649-SUM(AH37:AJ37)</f>
        <v>15</v>
      </c>
      <c r="AL37" s="327">
        <f t="shared" si="211"/>
        <v>-649</v>
      </c>
      <c r="AM37" s="1128">
        <v>-129</v>
      </c>
      <c r="AN37" s="455">
        <f>-472-AM37</f>
        <v>-343</v>
      </c>
      <c r="AO37" s="455">
        <f>-800-SUM(AM37:AN37)</f>
        <v>-328</v>
      </c>
      <c r="AP37" s="455">
        <f>-1261-SUM(AM37:AO37)</f>
        <v>-461</v>
      </c>
      <c r="AQ37" s="327">
        <f t="shared" si="212"/>
        <v>-1261</v>
      </c>
      <c r="AR37" s="1128">
        <v>-729</v>
      </c>
      <c r="AS37" s="455">
        <f>-1101-AR37</f>
        <v>-372</v>
      </c>
      <c r="AT37" s="455">
        <f>-3101-SUM(AR37:AS37)</f>
        <v>-2000</v>
      </c>
      <c r="AU37" s="455">
        <f>-3101-SUM(AR37:AT37)</f>
        <v>0</v>
      </c>
      <c r="AV37" s="327">
        <f t="shared" si="213"/>
        <v>-3101</v>
      </c>
      <c r="AW37" s="1128">
        <v>-913</v>
      </c>
      <c r="AX37" s="455">
        <f>-1596-AW37</f>
        <v>-683</v>
      </c>
      <c r="AY37" s="455">
        <f>-1605-SUM(AW37:AX37)</f>
        <v>-9</v>
      </c>
      <c r="AZ37" s="455">
        <f>-2468-SUM(AW37:AY37)</f>
        <v>-863</v>
      </c>
      <c r="BA37" s="327">
        <f t="shared" si="214"/>
        <v>-2468</v>
      </c>
      <c r="BB37" s="1135">
        <v>-504</v>
      </c>
      <c r="BC37" s="455">
        <f>-772-BB37</f>
        <v>-268</v>
      </c>
      <c r="BD37" s="455">
        <f>-1527-SUM(BB37:BC37)</f>
        <v>-755</v>
      </c>
      <c r="BE37" s="455">
        <f>-2950-SUM(BB37:BD37)</f>
        <v>-1423</v>
      </c>
      <c r="BF37" s="327">
        <f t="shared" si="215"/>
        <v>-2950</v>
      </c>
      <c r="BG37" s="1135">
        <v>-1034</v>
      </c>
      <c r="BH37" s="455">
        <f>-4852-BG37</f>
        <v>-3818</v>
      </c>
      <c r="BI37" s="455">
        <f>-4872-SUM(BG37:BH37)</f>
        <v>-20</v>
      </c>
      <c r="BJ37" s="455">
        <f>-4896-SUM(BG37:BI37)</f>
        <v>-24</v>
      </c>
      <c r="BK37" s="327">
        <f t="shared" si="216"/>
        <v>-4896</v>
      </c>
      <c r="BL37" s="1128">
        <v>-1752</v>
      </c>
      <c r="BM37" s="455">
        <f>-3225-BL37</f>
        <v>-1473</v>
      </c>
      <c r="BN37" s="455">
        <f>-4381-SUM(BL37:BM37)</f>
        <v>-1156</v>
      </c>
      <c r="BO37" s="455">
        <f>-6074-SUM(BL37:BN37)</f>
        <v>-1693</v>
      </c>
      <c r="BP37" s="327">
        <f t="shared" si="217"/>
        <v>-6074</v>
      </c>
      <c r="BQ37" s="1128">
        <v>-1125</v>
      </c>
      <c r="BR37" s="455">
        <f>-1266-BQ37</f>
        <v>-141</v>
      </c>
      <c r="BS37" s="455">
        <f>-1942-SUM(BQ37:BR37)</f>
        <v>-676</v>
      </c>
      <c r="BT37" s="455">
        <f>-6069-SUM(BQ37:BS37)</f>
        <v>-4127</v>
      </c>
      <c r="BU37" s="327">
        <f t="shared" si="218"/>
        <v>-6069</v>
      </c>
      <c r="BV37" s="1127">
        <v>-3497</v>
      </c>
      <c r="BW37" s="1127">
        <v>-936</v>
      </c>
      <c r="BX37" s="242">
        <f>-5272-SUM(BV37:BW37)</f>
        <v>-839</v>
      </c>
      <c r="BY37" s="455">
        <f>-6486-SUM(BV37:BX37)</f>
        <v>-1214</v>
      </c>
      <c r="BZ37" s="327">
        <f t="shared" si="219"/>
        <v>-6486</v>
      </c>
      <c r="CA37" s="1127">
        <v>-1045</v>
      </c>
      <c r="CB37" s="1127">
        <v>-730</v>
      </c>
      <c r="CC37" s="1127">
        <v>-1608</v>
      </c>
      <c r="CD37" s="1127">
        <v>0</v>
      </c>
      <c r="CE37" s="327">
        <f t="shared" si="220"/>
        <v>-3383</v>
      </c>
      <c r="CF37" s="1127">
        <v>0</v>
      </c>
      <c r="CG37" s="1127">
        <v>0</v>
      </c>
      <c r="CH37" s="1127">
        <v>-2427</v>
      </c>
      <c r="CI37" s="242">
        <f>-8057-SUM(CF37:CH37)</f>
        <v>-5630</v>
      </c>
      <c r="CJ37" s="327">
        <f t="shared" si="221"/>
        <v>-8057</v>
      </c>
      <c r="CK37" s="1127">
        <v>0</v>
      </c>
      <c r="CL37" s="1127">
        <v>0</v>
      </c>
      <c r="CM37" s="1127">
        <v>-4675</v>
      </c>
      <c r="CN37" s="1127">
        <v>-3981</v>
      </c>
      <c r="CO37" s="327">
        <f t="shared" si="222"/>
        <v>-8656</v>
      </c>
      <c r="CP37" s="1127">
        <v>-7683</v>
      </c>
      <c r="CQ37" s="1127">
        <v>-5797</v>
      </c>
      <c r="CR37" s="1127">
        <v>-6878</v>
      </c>
      <c r="CS37" s="1127">
        <v>-7217</v>
      </c>
      <c r="CT37" s="327">
        <f t="shared" si="223"/>
        <v>-27575</v>
      </c>
      <c r="CU37" s="1127">
        <v>-2930</v>
      </c>
      <c r="CV37" s="1127">
        <v>-4057</v>
      </c>
      <c r="CW37" s="1127">
        <v>-1240</v>
      </c>
      <c r="CX37" s="1127">
        <v>-4306</v>
      </c>
      <c r="CY37" s="327">
        <f t="shared" si="224"/>
        <v>-12533</v>
      </c>
      <c r="CZ37" s="1127">
        <v>-6493</v>
      </c>
      <c r="DA37" s="1127">
        <v>-2820</v>
      </c>
      <c r="DB37" s="1127">
        <v>-18</v>
      </c>
      <c r="DC37" s="1127">
        <v>-22</v>
      </c>
      <c r="DD37" s="327">
        <f t="shared" si="225"/>
        <v>-9353</v>
      </c>
      <c r="DE37" s="1127">
        <v>-1540</v>
      </c>
      <c r="DF37" s="1127">
        <v>-3867</v>
      </c>
      <c r="DG37" s="1127">
        <v>-2023</v>
      </c>
      <c r="DH37" s="1127">
        <v>-3839</v>
      </c>
      <c r="DI37" s="327">
        <f t="shared" si="226"/>
        <v>-11269</v>
      </c>
      <c r="DJ37" s="242">
        <f>-4399</f>
        <v>-4399</v>
      </c>
      <c r="DK37" s="1127">
        <v>-5052</v>
      </c>
      <c r="DL37" s="1127">
        <v>-848</v>
      </c>
      <c r="DM37" s="1127">
        <v>-1256</v>
      </c>
      <c r="DN37" s="327">
        <f>SUM(DJ37:DM37)</f>
        <v>-11555</v>
      </c>
      <c r="DO37" s="1127">
        <v>-1934</v>
      </c>
      <c r="DP37" s="1127">
        <v>-1042</v>
      </c>
      <c r="DQ37" s="1127">
        <v>-1023</v>
      </c>
      <c r="DR37" s="1127">
        <v>-1030</v>
      </c>
      <c r="DS37" s="327">
        <f>SUM(DO37:DR37)</f>
        <v>-5029</v>
      </c>
      <c r="DT37" s="1127">
        <v>-1632</v>
      </c>
      <c r="DU37" s="1127">
        <v>-1658</v>
      </c>
      <c r="DV37" s="1127">
        <v>-1028</v>
      </c>
      <c r="DW37" s="1127">
        <f>-1042</f>
        <v>-1042</v>
      </c>
      <c r="DX37" s="327">
        <f>SUM(DT37:DW37)</f>
        <v>-5360</v>
      </c>
      <c r="DY37" s="1127">
        <f>-2188</f>
        <v>-2188</v>
      </c>
      <c r="DZ37" s="1127">
        <f>-2113</f>
        <v>-2113</v>
      </c>
      <c r="EA37" s="1127">
        <v>-1845</v>
      </c>
      <c r="EB37" s="1127">
        <f>-1170</f>
        <v>-1170</v>
      </c>
      <c r="EC37" s="327">
        <f>SUM(DY37:EB37)</f>
        <v>-7316</v>
      </c>
      <c r="ED37" s="1127">
        <f>-2888</f>
        <v>-2888</v>
      </c>
      <c r="EE37" s="1127">
        <v>-2145</v>
      </c>
      <c r="EF37" s="1127">
        <v>-5131</v>
      </c>
      <c r="EG37" s="1127">
        <v>-4279</v>
      </c>
      <c r="EH37" s="327">
        <f>SUM(ED37:EG37)</f>
        <v>-14443</v>
      </c>
      <c r="EI37" s="2769">
        <f>+-4757-282</f>
        <v>-5039</v>
      </c>
      <c r="EJ37" s="2769">
        <f>-3678-20</f>
        <v>-3698</v>
      </c>
      <c r="EK37" s="2769">
        <v>-3857</v>
      </c>
      <c r="EL37" s="2769">
        <v>-3677</v>
      </c>
      <c r="EM37" s="2770">
        <f>SUM(EI37:EL37)</f>
        <v>-16271</v>
      </c>
      <c r="EN37" s="2769">
        <v>-4362</v>
      </c>
      <c r="EO37" s="2769">
        <v>-3599</v>
      </c>
      <c r="EP37" s="2769">
        <v>-2062</v>
      </c>
      <c r="EQ37" s="2769">
        <v>-1765</v>
      </c>
      <c r="ER37" s="2770">
        <f>SUM(EN37:EQ37)</f>
        <v>-11788</v>
      </c>
      <c r="ES37" s="2769">
        <v>-2570</v>
      </c>
      <c r="ET37" s="2769">
        <v>-2008</v>
      </c>
      <c r="EU37" s="2769">
        <v>-3781</v>
      </c>
      <c r="EV37" s="242">
        <f>OPT!EV53</f>
        <v>-3590.7624474672334</v>
      </c>
      <c r="EW37" s="327">
        <f>SUM(ES37:EV37)</f>
        <v>-11949.762447467234</v>
      </c>
      <c r="EX37" s="242">
        <f>OPT!EX53</f>
        <v>-5232.7979217408147</v>
      </c>
      <c r="EY37" s="242">
        <f>OPT!EY53</f>
        <v>-5520.4916945371506</v>
      </c>
      <c r="EZ37" s="242">
        <f>OPT!EZ53</f>
        <v>-5845.6043266038132</v>
      </c>
      <c r="FA37" s="242">
        <f>OPT!FA53</f>
        <v>-6194.9744320269301</v>
      </c>
      <c r="FB37" s="327">
        <f>SUM(EX37:FA37)</f>
        <v>-22793.86837490871</v>
      </c>
      <c r="FC37" s="242">
        <f>OPT!FC53</f>
        <v>-6465.5888956178705</v>
      </c>
      <c r="FD37" s="242">
        <f>OPT!FD53</f>
        <v>-6854.582389979767</v>
      </c>
      <c r="FE37" s="242">
        <f>OPT!FE53</f>
        <v>-7286.6289840855197</v>
      </c>
      <c r="FF37" s="242">
        <f>OPT!FF53</f>
        <v>-7751.4646561334321</v>
      </c>
      <c r="FG37" s="327">
        <f>SUM(FC37:FF37)</f>
        <v>-28358.264925816591</v>
      </c>
      <c r="FH37" s="242">
        <f>OPT!FH53</f>
        <v>-7375.2923153500242</v>
      </c>
      <c r="FI37" s="242">
        <f>OPT!FI53</f>
        <v>-7886.036961800186</v>
      </c>
      <c r="FJ37" s="242">
        <f>OPT!FJ53</f>
        <v>-8448.4401516254838</v>
      </c>
      <c r="FK37" s="242">
        <f>OPT!FK53</f>
        <v>-9055.0289754895512</v>
      </c>
      <c r="FL37" s="327">
        <f>SUM(FH37:FK37)</f>
        <v>-32764.798404265246</v>
      </c>
      <c r="FM37" s="455"/>
      <c r="FN37" s="537"/>
      <c r="FO37" s="327">
        <f>BD37+BE37+BG37+BH37</f>
        <v>-7030</v>
      </c>
      <c r="FP37" s="327">
        <f>BI37+BJ37+BL37+BM37</f>
        <v>-3269</v>
      </c>
      <c r="FQ37" s="327">
        <f>BN37+BO37+BQ37+BR37</f>
        <v>-4115</v>
      </c>
      <c r="FR37" s="327">
        <f>BS37+BT37+BV37+BW37</f>
        <v>-9236</v>
      </c>
      <c r="FS37" s="327">
        <f>BX37+BY37+CA37+CB37</f>
        <v>-3828</v>
      </c>
      <c r="FT37" s="327">
        <f>CC37+CD37+CF37+CG37</f>
        <v>-1608</v>
      </c>
      <c r="FU37" s="327">
        <f>CH37+CI37+CK37+CL37</f>
        <v>-8057</v>
      </c>
      <c r="FV37" s="327">
        <f>CM37+CN37+CP37+CQ37</f>
        <v>-22136</v>
      </c>
      <c r="FW37" s="327">
        <f>CR37+CS37+CU37+CV37</f>
        <v>-21082</v>
      </c>
      <c r="FX37" s="327">
        <f>CW37+CX37+CZ37+DA37</f>
        <v>-14859</v>
      </c>
      <c r="FY37" s="327">
        <f>DB37+DC37+DE37+DF37</f>
        <v>-5447</v>
      </c>
      <c r="FZ37" s="327">
        <f>SUM(DG37:DH37,DJ37:DK37)</f>
        <v>-15313</v>
      </c>
      <c r="GA37" s="327">
        <f>SUM(DL37:DM37,DO37:DP37)</f>
        <v>-5080</v>
      </c>
      <c r="GB37" s="372">
        <f>SUM(DQ37:DR37,DT37:DU37)</f>
        <v>-5343</v>
      </c>
      <c r="GC37" s="372">
        <f>SUM(DV37:DW37,DY37:DZ37)</f>
        <v>-6371</v>
      </c>
      <c r="GD37" s="372">
        <f>SUM(EA37:EB37,ED37:EE37)</f>
        <v>-8048</v>
      </c>
      <c r="GE37" s="372">
        <f>SUM(EF37:EG37,EI37:EJ37)</f>
        <v>-18147</v>
      </c>
      <c r="GF37" s="372">
        <f>SUM(EK37:EL37,EN37:EO37)</f>
        <v>-15495</v>
      </c>
      <c r="GG37" s="372">
        <f>SUM(EP37:EQ37,ES37:ET37)</f>
        <v>-8405</v>
      </c>
      <c r="GH37" s="372">
        <f>SUM(EU37:EV37,EX37:EY37)</f>
        <v>-18125.052063745199</v>
      </c>
      <c r="GI37" s="372">
        <f>SUM(EZ37:FA37,FC37:FD37)</f>
        <v>-25360.750044228378</v>
      </c>
      <c r="GJ37" s="371"/>
      <c r="GK37" s="371"/>
      <c r="GL37" s="371"/>
      <c r="GM37" s="371"/>
      <c r="GO37"/>
      <c r="GP37"/>
      <c r="GQ37"/>
      <c r="GR37"/>
      <c r="GS37"/>
      <c r="GT37"/>
      <c r="GU37" s="261"/>
      <c r="GV37" s="261"/>
      <c r="GW37" s="261"/>
      <c r="GX37" s="261"/>
      <c r="GY37" s="261"/>
      <c r="GZ37" s="261"/>
      <c r="HA37" s="261"/>
      <c r="HB37" s="261"/>
      <c r="HC37" s="261"/>
      <c r="HD37" s="261"/>
      <c r="HE37" s="261"/>
      <c r="HF37" s="261"/>
      <c r="HG37" s="261"/>
      <c r="HH37" s="261"/>
      <c r="HI37" s="261"/>
      <c r="HJ37" s="261"/>
      <c r="HK37" s="261"/>
      <c r="HL37" s="261"/>
      <c r="HM37" s="261"/>
      <c r="HN37" s="261"/>
      <c r="HO37" s="261"/>
      <c r="HP37" s="261"/>
      <c r="HQ37" s="261"/>
      <c r="HR37" s="261"/>
      <c r="HS37" s="261"/>
      <c r="HT37" s="261"/>
      <c r="HU37" s="261"/>
      <c r="HV37" s="261"/>
      <c r="HW37" s="261"/>
      <c r="HX37" s="261"/>
      <c r="HY37" s="261"/>
      <c r="HZ37" s="261"/>
      <c r="IA37" s="261"/>
      <c r="IB37" s="261"/>
      <c r="IC37" s="261"/>
      <c r="ID37" s="261"/>
      <c r="IE37" s="261"/>
      <c r="IF37" s="261"/>
      <c r="IG37" s="261"/>
      <c r="IH37" s="261"/>
      <c r="II37" s="261"/>
      <c r="IJ37" s="261"/>
      <c r="IK37" s="261"/>
      <c r="IL37" s="261"/>
      <c r="IM37" s="261"/>
      <c r="IN37" s="261"/>
      <c r="IO37" s="261"/>
      <c r="IP37" s="261"/>
      <c r="IQ37" s="261"/>
      <c r="IR37" s="261"/>
      <c r="IS37" s="261"/>
      <c r="IT37" s="261"/>
      <c r="IU37" s="261"/>
      <c r="IV37" s="261"/>
      <c r="IW37" s="261"/>
      <c r="IX37" s="261"/>
      <c r="IY37" s="261"/>
      <c r="IZ37" s="261"/>
      <c r="JA37" s="261"/>
      <c r="JB37" s="261"/>
      <c r="JC37" s="261"/>
      <c r="JD37" s="261"/>
      <c r="JE37" s="261"/>
      <c r="JF37" s="261"/>
      <c r="JG37" s="261"/>
      <c r="JH37" s="261"/>
      <c r="JI37" s="261"/>
      <c r="JJ37" s="261"/>
      <c r="JK37" s="261"/>
      <c r="JL37" s="261"/>
      <c r="JM37" s="261"/>
      <c r="JN37" s="261"/>
      <c r="JO37" s="261"/>
      <c r="JP37" s="261"/>
      <c r="JQ37" s="261"/>
      <c r="JR37" s="261"/>
      <c r="JS37" s="261"/>
      <c r="JT37" s="261"/>
    </row>
    <row r="38" spans="1:280" s="264" customFormat="1" ht="11.25" customHeight="1">
      <c r="A38" s="528" t="s">
        <v>280</v>
      </c>
      <c r="D38" s="1128">
        <v>0</v>
      </c>
      <c r="E38" s="455">
        <f>0-D38</f>
        <v>0</v>
      </c>
      <c r="F38" s="455">
        <f>0-SUM(D38:E38)</f>
        <v>0</v>
      </c>
      <c r="G38" s="455">
        <f>0-SUM(D38:F38)</f>
        <v>0</v>
      </c>
      <c r="H38" s="327">
        <f t="shared" si="191"/>
        <v>0</v>
      </c>
      <c r="I38" s="1128">
        <v>0</v>
      </c>
      <c r="J38" s="455">
        <f>0-I38</f>
        <v>0</v>
      </c>
      <c r="K38" s="455">
        <f>0-SUM(I38:J38)</f>
        <v>0</v>
      </c>
      <c r="L38" s="455">
        <f>0-SUM(I38:K38)</f>
        <v>0</v>
      </c>
      <c r="M38" s="327">
        <f t="shared" si="195"/>
        <v>0</v>
      </c>
      <c r="N38" s="1128">
        <v>0</v>
      </c>
      <c r="O38" s="455">
        <f>0-N38</f>
        <v>0</v>
      </c>
      <c r="P38" s="455">
        <f>0-SUM(N38:O38)</f>
        <v>0</v>
      </c>
      <c r="Q38" s="455">
        <f>0-SUM(N38:P38)</f>
        <v>0</v>
      </c>
      <c r="R38" s="327">
        <f t="shared" si="199"/>
        <v>0</v>
      </c>
      <c r="S38" s="1128">
        <v>0</v>
      </c>
      <c r="T38" s="455">
        <f>0-S38</f>
        <v>0</v>
      </c>
      <c r="U38" s="455">
        <f>0-SUM(S38:T38)</f>
        <v>0</v>
      </c>
      <c r="V38" s="455">
        <f>0-SUM(S38:U38)</f>
        <v>0</v>
      </c>
      <c r="W38" s="327">
        <f t="shared" si="203"/>
        <v>0</v>
      </c>
      <c r="X38" s="1128">
        <v>0</v>
      </c>
      <c r="Y38" s="455">
        <f>0-X38</f>
        <v>0</v>
      </c>
      <c r="Z38" s="455">
        <f>0-SUM(X38:Y38)</f>
        <v>0</v>
      </c>
      <c r="AA38" s="455">
        <f>0-SUM(X38:Z38)</f>
        <v>0</v>
      </c>
      <c r="AB38" s="327">
        <f t="shared" si="207"/>
        <v>0</v>
      </c>
      <c r="AC38" s="1128">
        <v>0</v>
      </c>
      <c r="AD38" s="455">
        <f>0-AC38</f>
        <v>0</v>
      </c>
      <c r="AE38" s="455">
        <f>0-SUM(AC38:AD38)</f>
        <v>0</v>
      </c>
      <c r="AF38" s="455">
        <f>0-SUM(AC38:AE38)</f>
        <v>0</v>
      </c>
      <c r="AG38" s="327">
        <f t="shared" si="210"/>
        <v>0</v>
      </c>
      <c r="AH38" s="1128">
        <v>0</v>
      </c>
      <c r="AI38" s="455">
        <f>0-AH38</f>
        <v>0</v>
      </c>
      <c r="AJ38" s="455">
        <f>0-SUM(AH38:AI38)</f>
        <v>0</v>
      </c>
      <c r="AK38" s="455">
        <f>0-SUM(AH38:AJ38)</f>
        <v>0</v>
      </c>
      <c r="AL38" s="327">
        <f t="shared" si="211"/>
        <v>0</v>
      </c>
      <c r="AM38" s="1128">
        <v>0</v>
      </c>
      <c r="AN38" s="455">
        <f>0-AM38</f>
        <v>0</v>
      </c>
      <c r="AO38" s="455">
        <f>0-SUM(AM38:AN38)</f>
        <v>0</v>
      </c>
      <c r="AP38" s="455">
        <f>0-SUM(AM38:AO38)</f>
        <v>0</v>
      </c>
      <c r="AQ38" s="327">
        <f t="shared" si="212"/>
        <v>0</v>
      </c>
      <c r="AR38" s="1128">
        <v>32</v>
      </c>
      <c r="AS38" s="455">
        <f>77+980-AR38</f>
        <v>1025</v>
      </c>
      <c r="AT38" s="455">
        <f>126+980-7-SUM(AR38:AS38)</f>
        <v>42</v>
      </c>
      <c r="AU38" s="455">
        <f>95+980-15-SUM(AR38:AT38)</f>
        <v>-39</v>
      </c>
      <c r="AV38" s="327">
        <f t="shared" si="213"/>
        <v>1060</v>
      </c>
      <c r="AW38" s="455">
        <f>280-7</f>
        <v>273</v>
      </c>
      <c r="AX38" s="455">
        <f>325-14-AW38</f>
        <v>38</v>
      </c>
      <c r="AY38" s="455">
        <f>388-21-SUM(AW38:AX38)</f>
        <v>56</v>
      </c>
      <c r="AZ38" s="455">
        <f>538-28-SUM(AW38:AY38)</f>
        <v>143</v>
      </c>
      <c r="BA38" s="327">
        <f t="shared" si="214"/>
        <v>510</v>
      </c>
      <c r="BB38" s="327">
        <f>225-7</f>
        <v>218</v>
      </c>
      <c r="BC38" s="455">
        <f>355-14-BB38</f>
        <v>123</v>
      </c>
      <c r="BD38" s="455">
        <f>757-21-SUM(BB38:BC38)</f>
        <v>395</v>
      </c>
      <c r="BE38" s="455">
        <f>766-28-SUM(BB38:BD38)</f>
        <v>2</v>
      </c>
      <c r="BF38" s="327">
        <f t="shared" si="215"/>
        <v>738</v>
      </c>
      <c r="BG38" s="327">
        <f>290-7</f>
        <v>283</v>
      </c>
      <c r="BH38" s="455">
        <f>472-13-BG38</f>
        <v>176</v>
      </c>
      <c r="BI38" s="455">
        <f>472-13-SUM(BG38:BH38)</f>
        <v>0</v>
      </c>
      <c r="BJ38" s="455">
        <f>472-13-SUM(BG38:BI38)</f>
        <v>0</v>
      </c>
      <c r="BK38" s="327">
        <f t="shared" si="216"/>
        <v>459</v>
      </c>
      <c r="BL38" s="1128">
        <v>81</v>
      </c>
      <c r="BM38" s="455">
        <f>-405-BL38</f>
        <v>-486</v>
      </c>
      <c r="BN38" s="455">
        <f>-405-264-SUM(BL38:BM38)</f>
        <v>-264</v>
      </c>
      <c r="BO38" s="455">
        <f>235-1367-SUM(BL38:BN38)</f>
        <v>-463</v>
      </c>
      <c r="BP38" s="327">
        <f t="shared" si="217"/>
        <v>-1132</v>
      </c>
      <c r="BQ38" s="1128">
        <v>0</v>
      </c>
      <c r="BR38" s="455">
        <f>0-BQ38</f>
        <v>0</v>
      </c>
      <c r="BS38" s="455">
        <f>0-SUM(BQ38:BR38)</f>
        <v>0</v>
      </c>
      <c r="BT38" s="455">
        <f>0-SUM(BQ38:BS38)</f>
        <v>0</v>
      </c>
      <c r="BU38" s="327">
        <f t="shared" si="218"/>
        <v>0</v>
      </c>
      <c r="BV38" s="1128">
        <v>0</v>
      </c>
      <c r="BW38" s="1128">
        <v>0</v>
      </c>
      <c r="BX38" s="242">
        <f>0-SUM(BV38:BW38)</f>
        <v>0</v>
      </c>
      <c r="BY38" s="455">
        <f>0-SUM(BV38:BX38)</f>
        <v>0</v>
      </c>
      <c r="BZ38" s="327">
        <f t="shared" si="219"/>
        <v>0</v>
      </c>
      <c r="CA38" s="1128">
        <v>0</v>
      </c>
      <c r="CB38" s="1128">
        <v>0</v>
      </c>
      <c r="CC38" s="1127">
        <v>0</v>
      </c>
      <c r="CD38" s="1127">
        <v>0</v>
      </c>
      <c r="CE38" s="327">
        <f t="shared" si="220"/>
        <v>0</v>
      </c>
      <c r="CF38" s="1127">
        <v>0</v>
      </c>
      <c r="CG38" s="1127">
        <v>0</v>
      </c>
      <c r="CH38" s="1127">
        <v>0</v>
      </c>
      <c r="CI38" s="242">
        <f>-18-SUM(CF38:CH38)</f>
        <v>-18</v>
      </c>
      <c r="CJ38" s="327">
        <f t="shared" si="221"/>
        <v>-18</v>
      </c>
      <c r="CK38" s="1127">
        <v>31</v>
      </c>
      <c r="CL38" s="1127">
        <v>13</v>
      </c>
      <c r="CM38" s="1127">
        <v>23</v>
      </c>
      <c r="CN38" s="1127">
        <v>22</v>
      </c>
      <c r="CO38" s="327">
        <f t="shared" si="222"/>
        <v>89</v>
      </c>
      <c r="CP38" s="242">
        <f>40-20</f>
        <v>20</v>
      </c>
      <c r="CQ38" s="242">
        <f>8-3</f>
        <v>5</v>
      </c>
      <c r="CR38" s="1127">
        <v>7</v>
      </c>
      <c r="CS38" s="1127">
        <v>22</v>
      </c>
      <c r="CT38" s="327">
        <f t="shared" si="223"/>
        <v>54</v>
      </c>
      <c r="CU38" s="1127">
        <v>69</v>
      </c>
      <c r="CV38" s="1127">
        <v>33</v>
      </c>
      <c r="CW38" s="1127">
        <v>9</v>
      </c>
      <c r="CX38" s="1127">
        <v>9</v>
      </c>
      <c r="CY38" s="327">
        <f t="shared" si="224"/>
        <v>120</v>
      </c>
      <c r="CZ38" s="1127">
        <v>44</v>
      </c>
      <c r="DA38" s="1127">
        <v>2</v>
      </c>
      <c r="DB38" s="1127">
        <v>2</v>
      </c>
      <c r="DC38" s="242">
        <f>4-19</f>
        <v>-15</v>
      </c>
      <c r="DD38" s="327">
        <f t="shared" si="225"/>
        <v>33</v>
      </c>
      <c r="DE38" s="1127">
        <v>9</v>
      </c>
      <c r="DF38" s="1127">
        <v>15</v>
      </c>
      <c r="DG38" s="1127">
        <v>14</v>
      </c>
      <c r="DH38" s="242">
        <f>7+10</f>
        <v>17</v>
      </c>
      <c r="DI38" s="327">
        <f t="shared" si="226"/>
        <v>55</v>
      </c>
      <c r="DJ38" s="242">
        <f>5-25</f>
        <v>-20</v>
      </c>
      <c r="DK38" s="1127">
        <v>4</v>
      </c>
      <c r="DL38" s="242">
        <f>5+-15</f>
        <v>-10</v>
      </c>
      <c r="DM38" s="1127">
        <v>3</v>
      </c>
      <c r="DN38" s="327">
        <f>SUM(DJ38:DM38)</f>
        <v>-23</v>
      </c>
      <c r="DO38" s="1127">
        <v>70</v>
      </c>
      <c r="DP38" s="1127">
        <v>4</v>
      </c>
      <c r="DQ38" s="1127">
        <v>10</v>
      </c>
      <c r="DR38" s="1127">
        <v>9</v>
      </c>
      <c r="DS38" s="327">
        <f>SUM(DO38:DR38)</f>
        <v>93</v>
      </c>
      <c r="DT38" s="1127">
        <v>177</v>
      </c>
      <c r="DU38" s="1127">
        <f>9-16</f>
        <v>-7</v>
      </c>
      <c r="DV38" s="1127">
        <v>6</v>
      </c>
      <c r="DW38" s="1127">
        <f>17+6</f>
        <v>23</v>
      </c>
      <c r="DX38" s="327">
        <f>SUM(DT38:DW38)</f>
        <v>199</v>
      </c>
      <c r="DY38" s="1127">
        <v>205</v>
      </c>
      <c r="DZ38" s="1127">
        <f>20-39</f>
        <v>-19</v>
      </c>
      <c r="EA38" s="1127">
        <v>22</v>
      </c>
      <c r="EB38" s="1127">
        <v>24</v>
      </c>
      <c r="EC38" s="327">
        <f>SUM(DY38:EB38)</f>
        <v>232</v>
      </c>
      <c r="ED38" s="1127">
        <v>502</v>
      </c>
      <c r="EE38" s="1127">
        <f>22+285</f>
        <v>307</v>
      </c>
      <c r="EF38" s="1127">
        <f>31+316</f>
        <v>347</v>
      </c>
      <c r="EG38" s="1127">
        <f>33-239</f>
        <v>-206</v>
      </c>
      <c r="EH38" s="327">
        <f>SUM(ED38:EG38)</f>
        <v>950</v>
      </c>
      <c r="EI38" s="2769">
        <f>282-178</f>
        <v>104</v>
      </c>
      <c r="EJ38" s="2769">
        <f>20-65</f>
        <v>-45</v>
      </c>
      <c r="EK38" s="2769">
        <v>-123</v>
      </c>
      <c r="EL38" s="2769">
        <v>-3</v>
      </c>
      <c r="EM38" s="2770">
        <f>SUM(EI38:EL38)</f>
        <v>-67</v>
      </c>
      <c r="EN38" s="2769">
        <v>-112</v>
      </c>
      <c r="EO38" s="2769">
        <v>312</v>
      </c>
      <c r="EP38" s="2769">
        <v>-375</v>
      </c>
      <c r="EQ38" s="2769">
        <v>-15</v>
      </c>
      <c r="ER38" s="2770">
        <f>SUM(EN38:EQ38)</f>
        <v>-190</v>
      </c>
      <c r="ES38" s="2769">
        <v>-150</v>
      </c>
      <c r="ET38" s="2769">
        <v>-156</v>
      </c>
      <c r="EU38" s="2769">
        <v>-640</v>
      </c>
      <c r="EV38" s="1127">
        <v>0</v>
      </c>
      <c r="EW38" s="327">
        <f>SUM(ES38:EV38)</f>
        <v>-946</v>
      </c>
      <c r="EX38" s="1127">
        <v>0</v>
      </c>
      <c r="EY38" s="1127">
        <v>0</v>
      </c>
      <c r="EZ38" s="1127">
        <v>0</v>
      </c>
      <c r="FA38" s="1127">
        <v>0</v>
      </c>
      <c r="FB38" s="327">
        <f>SUM(EX38:FA38)</f>
        <v>0</v>
      </c>
      <c r="FC38" s="1127">
        <v>0</v>
      </c>
      <c r="FD38" s="1127">
        <v>0</v>
      </c>
      <c r="FE38" s="1127">
        <v>0</v>
      </c>
      <c r="FF38" s="1127">
        <v>0</v>
      </c>
      <c r="FG38" s="327">
        <f>SUM(FC38:FF38)</f>
        <v>0</v>
      </c>
      <c r="FH38" s="1127">
        <v>0</v>
      </c>
      <c r="FI38" s="1127">
        <v>0</v>
      </c>
      <c r="FJ38" s="1127">
        <v>0</v>
      </c>
      <c r="FK38" s="1127">
        <v>0</v>
      </c>
      <c r="FL38" s="327">
        <f>SUM(FH38:FK38)</f>
        <v>0</v>
      </c>
      <c r="FM38" s="455"/>
      <c r="FN38" s="537"/>
      <c r="FO38" s="327">
        <f>BD38+BE38+BG38+BH38</f>
        <v>856</v>
      </c>
      <c r="FP38" s="327">
        <f>BI38+BJ38+BL38+BM38</f>
        <v>-405</v>
      </c>
      <c r="FQ38" s="327">
        <f>BN38+BO38+BQ38+BR38</f>
        <v>-727</v>
      </c>
      <c r="FR38" s="327">
        <f>BS38+BT38+BV38+BW38</f>
        <v>0</v>
      </c>
      <c r="FS38" s="327">
        <f>BX38+BY38+CA38+CB38</f>
        <v>0</v>
      </c>
      <c r="FT38" s="327">
        <f>CC38+CD38+CF38+CG38</f>
        <v>0</v>
      </c>
      <c r="FU38" s="327">
        <f>CH38+CI38+CK38+CL38</f>
        <v>26</v>
      </c>
      <c r="FV38" s="327">
        <f>CM38+CN38+CP38+CQ38</f>
        <v>70</v>
      </c>
      <c r="FW38" s="327">
        <f>CR38+CS38+CU38+CV38</f>
        <v>131</v>
      </c>
      <c r="FX38" s="327">
        <f>CW38+CX38+CZ38+DA38</f>
        <v>64</v>
      </c>
      <c r="FY38" s="327">
        <f>DB38+DC38+DE38+DF38</f>
        <v>11</v>
      </c>
      <c r="FZ38" s="327">
        <f>SUM(DG38:DH38,DJ38:DK38)</f>
        <v>15</v>
      </c>
      <c r="GA38" s="327">
        <f>SUM(DL38:DM38,DO38:DP38)</f>
        <v>67</v>
      </c>
      <c r="GB38" s="372">
        <f>SUM(DQ38:DR38,DT38:DU38)</f>
        <v>189</v>
      </c>
      <c r="GC38" s="372">
        <f>SUM(DV38:DW38,DY38:DZ38)</f>
        <v>215</v>
      </c>
      <c r="GD38" s="372">
        <f>SUM(EA38:EB38,ED38:EE38)</f>
        <v>855</v>
      </c>
      <c r="GE38" s="372">
        <f>SUM(EF38:EG38,EI38:EJ38)</f>
        <v>200</v>
      </c>
      <c r="GF38" s="372">
        <f>SUM(EK38:EL38,EN38:EO38)</f>
        <v>74</v>
      </c>
      <c r="GG38" s="372">
        <f>SUM(EP38:EQ38,ES38:ET38)</f>
        <v>-696</v>
      </c>
      <c r="GH38" s="372">
        <f>SUM(EU38:EV38,EX38:EY38)</f>
        <v>-640</v>
      </c>
      <c r="GI38" s="372">
        <f>SUM(EZ38:FA38,FC38:FD38)</f>
        <v>0</v>
      </c>
      <c r="GJ38" s="371"/>
      <c r="GK38" s="371"/>
      <c r="GL38" s="371"/>
      <c r="GM38" s="371"/>
      <c r="GO38"/>
      <c r="GP38"/>
      <c r="GQ38"/>
      <c r="GR38"/>
      <c r="GS38"/>
      <c r="GT38"/>
      <c r="GU38" s="261"/>
      <c r="GV38" s="261"/>
      <c r="GW38" s="261"/>
      <c r="GX38" s="261"/>
      <c r="GY38" s="261"/>
      <c r="GZ38" s="261"/>
      <c r="HA38" s="261"/>
      <c r="HB38" s="261"/>
      <c r="HC38" s="261"/>
      <c r="HD38" s="261"/>
      <c r="HE38" s="261"/>
      <c r="HF38" s="261"/>
      <c r="HG38" s="261"/>
      <c r="HH38" s="261"/>
      <c r="HI38" s="261"/>
      <c r="HJ38" s="261"/>
      <c r="HK38" s="261"/>
      <c r="HL38" s="261"/>
      <c r="HM38" s="261"/>
      <c r="HN38" s="261"/>
      <c r="HO38" s="261"/>
      <c r="HP38" s="261"/>
      <c r="HQ38" s="261"/>
      <c r="HR38" s="261"/>
      <c r="HS38" s="261"/>
      <c r="HT38" s="261"/>
      <c r="HU38" s="261"/>
      <c r="HV38" s="261"/>
      <c r="HW38" s="261"/>
      <c r="HX38" s="261"/>
      <c r="HY38" s="261"/>
      <c r="HZ38" s="261"/>
      <c r="IA38" s="261"/>
      <c r="IB38" s="261"/>
      <c r="IC38" s="261"/>
      <c r="ID38" s="261"/>
      <c r="IE38" s="261"/>
      <c r="IF38" s="261"/>
      <c r="IG38" s="261"/>
      <c r="IH38" s="261"/>
      <c r="II38" s="261"/>
      <c r="IJ38" s="261"/>
      <c r="IK38" s="261"/>
      <c r="IL38" s="261"/>
      <c r="IM38" s="261"/>
      <c r="IN38" s="261"/>
      <c r="IO38" s="261"/>
      <c r="IP38" s="261"/>
      <c r="IQ38" s="261"/>
      <c r="IR38" s="261"/>
      <c r="IS38" s="261"/>
      <c r="IT38" s="261"/>
      <c r="IU38" s="261"/>
      <c r="IV38" s="261"/>
      <c r="IW38" s="261"/>
      <c r="IX38" s="261"/>
      <c r="IY38" s="261"/>
      <c r="IZ38" s="261"/>
      <c r="JA38" s="261"/>
      <c r="JB38" s="261"/>
      <c r="JC38" s="261"/>
      <c r="JD38" s="261"/>
      <c r="JE38" s="261"/>
      <c r="JF38" s="261"/>
      <c r="JG38" s="261"/>
      <c r="JH38" s="261"/>
      <c r="JI38" s="261"/>
      <c r="JJ38" s="261"/>
      <c r="JK38" s="261"/>
      <c r="JL38" s="261"/>
      <c r="JM38" s="261"/>
      <c r="JN38" s="261"/>
      <c r="JO38" s="261"/>
      <c r="JP38" s="261"/>
      <c r="JQ38" s="261"/>
      <c r="JR38" s="261"/>
      <c r="JS38" s="261"/>
      <c r="JT38" s="261"/>
    </row>
    <row r="39" spans="1:280" s="264" customFormat="1" ht="11.25" customHeight="1">
      <c r="A39" s="415" t="s">
        <v>732</v>
      </c>
      <c r="D39" s="486">
        <f t="shared" ref="D39:CE39" si="282">+SUM(D34:D38)</f>
        <v>0</v>
      </c>
      <c r="E39" s="486">
        <f t="shared" si="282"/>
        <v>0</v>
      </c>
      <c r="F39" s="486">
        <f t="shared" si="282"/>
        <v>0</v>
      </c>
      <c r="G39" s="486">
        <f t="shared" si="282"/>
        <v>0</v>
      </c>
      <c r="H39" s="487">
        <f t="shared" si="282"/>
        <v>0</v>
      </c>
      <c r="I39" s="486">
        <f t="shared" si="282"/>
        <v>0</v>
      </c>
      <c r="J39" s="486">
        <f t="shared" si="282"/>
        <v>0</v>
      </c>
      <c r="K39" s="486">
        <f t="shared" si="282"/>
        <v>0</v>
      </c>
      <c r="L39" s="486">
        <f t="shared" si="282"/>
        <v>0</v>
      </c>
      <c r="M39" s="487">
        <f t="shared" si="282"/>
        <v>0</v>
      </c>
      <c r="N39" s="486">
        <f t="shared" si="282"/>
        <v>0</v>
      </c>
      <c r="O39" s="486">
        <f t="shared" si="282"/>
        <v>0</v>
      </c>
      <c r="P39" s="486">
        <f t="shared" si="282"/>
        <v>0</v>
      </c>
      <c r="Q39" s="486">
        <f t="shared" si="282"/>
        <v>0</v>
      </c>
      <c r="R39" s="487">
        <f t="shared" si="282"/>
        <v>0</v>
      </c>
      <c r="S39" s="486">
        <f t="shared" si="282"/>
        <v>0</v>
      </c>
      <c r="T39" s="486">
        <f t="shared" si="282"/>
        <v>0</v>
      </c>
      <c r="U39" s="486">
        <f t="shared" si="282"/>
        <v>0</v>
      </c>
      <c r="V39" s="486">
        <f t="shared" si="282"/>
        <v>0</v>
      </c>
      <c r="W39" s="487">
        <f t="shared" si="282"/>
        <v>0</v>
      </c>
      <c r="X39" s="486">
        <f t="shared" si="282"/>
        <v>0</v>
      </c>
      <c r="Y39" s="486">
        <f t="shared" si="282"/>
        <v>0</v>
      </c>
      <c r="Z39" s="486">
        <f t="shared" si="282"/>
        <v>0</v>
      </c>
      <c r="AA39" s="486">
        <f t="shared" si="282"/>
        <v>0</v>
      </c>
      <c r="AB39" s="487">
        <f t="shared" si="282"/>
        <v>0</v>
      </c>
      <c r="AC39" s="486">
        <f t="shared" si="282"/>
        <v>0</v>
      </c>
      <c r="AD39" s="486">
        <f t="shared" si="282"/>
        <v>0</v>
      </c>
      <c r="AE39" s="486">
        <f t="shared" si="282"/>
        <v>0</v>
      </c>
      <c r="AF39" s="486">
        <f t="shared" si="282"/>
        <v>-68</v>
      </c>
      <c r="AG39" s="487">
        <f t="shared" si="282"/>
        <v>-68</v>
      </c>
      <c r="AH39" s="486">
        <f t="shared" si="282"/>
        <v>-161</v>
      </c>
      <c r="AI39" s="486">
        <f t="shared" si="282"/>
        <v>-259</v>
      </c>
      <c r="AJ39" s="486">
        <f t="shared" si="282"/>
        <v>15</v>
      </c>
      <c r="AK39" s="486">
        <f t="shared" si="282"/>
        <v>88</v>
      </c>
      <c r="AL39" s="487">
        <f t="shared" si="282"/>
        <v>-317</v>
      </c>
      <c r="AM39" s="486">
        <f t="shared" si="282"/>
        <v>-31</v>
      </c>
      <c r="AN39" s="486">
        <f t="shared" si="282"/>
        <v>-268</v>
      </c>
      <c r="AO39" s="486">
        <f t="shared" si="282"/>
        <v>-117</v>
      </c>
      <c r="AP39" s="486">
        <f t="shared" si="282"/>
        <v>-341</v>
      </c>
      <c r="AQ39" s="487">
        <f t="shared" si="282"/>
        <v>-757</v>
      </c>
      <c r="AR39" s="486">
        <f t="shared" si="282"/>
        <v>-482</v>
      </c>
      <c r="AS39" s="486">
        <f t="shared" si="282"/>
        <v>752</v>
      </c>
      <c r="AT39" s="486">
        <f t="shared" si="282"/>
        <v>-1719</v>
      </c>
      <c r="AU39" s="486">
        <f t="shared" si="282"/>
        <v>152</v>
      </c>
      <c r="AV39" s="487">
        <f t="shared" si="282"/>
        <v>-1297</v>
      </c>
      <c r="AW39" s="486">
        <f t="shared" si="282"/>
        <v>-433</v>
      </c>
      <c r="AX39" s="486">
        <f t="shared" si="282"/>
        <v>-524</v>
      </c>
      <c r="AY39" s="486">
        <f t="shared" si="282"/>
        <v>369</v>
      </c>
      <c r="AZ39" s="486">
        <f t="shared" si="282"/>
        <v>-411</v>
      </c>
      <c r="BA39" s="487">
        <f t="shared" si="282"/>
        <v>-999</v>
      </c>
      <c r="BB39" s="487">
        <f t="shared" si="282"/>
        <v>30</v>
      </c>
      <c r="BC39" s="486">
        <f t="shared" si="282"/>
        <v>153</v>
      </c>
      <c r="BD39" s="486">
        <f t="shared" si="282"/>
        <v>128</v>
      </c>
      <c r="BE39" s="486">
        <f t="shared" si="282"/>
        <v>-1173</v>
      </c>
      <c r="BF39" s="487">
        <f t="shared" si="282"/>
        <v>-862</v>
      </c>
      <c r="BG39" s="487">
        <f t="shared" si="282"/>
        <v>-290</v>
      </c>
      <c r="BH39" s="486">
        <f t="shared" si="282"/>
        <v>-3190</v>
      </c>
      <c r="BI39" s="486">
        <f t="shared" si="282"/>
        <v>817</v>
      </c>
      <c r="BJ39" s="486">
        <f t="shared" si="282"/>
        <v>471</v>
      </c>
      <c r="BK39" s="487">
        <f t="shared" si="282"/>
        <v>-2192</v>
      </c>
      <c r="BL39" s="486">
        <f t="shared" si="282"/>
        <v>-1296</v>
      </c>
      <c r="BM39" s="486">
        <f t="shared" si="282"/>
        <v>-1636</v>
      </c>
      <c r="BN39" s="486">
        <f t="shared" si="282"/>
        <v>-1023</v>
      </c>
      <c r="BO39" s="486">
        <f t="shared" si="282"/>
        <v>-1631</v>
      </c>
      <c r="BP39" s="487">
        <f t="shared" si="282"/>
        <v>-5586</v>
      </c>
      <c r="BQ39" s="486">
        <f t="shared" si="282"/>
        <v>-734</v>
      </c>
      <c r="BR39" s="486">
        <f t="shared" si="282"/>
        <v>254</v>
      </c>
      <c r="BS39" s="486">
        <f t="shared" si="282"/>
        <v>-251</v>
      </c>
      <c r="BT39" s="486">
        <f t="shared" si="282"/>
        <v>-3841</v>
      </c>
      <c r="BU39" s="487">
        <f t="shared" si="282"/>
        <v>-4572</v>
      </c>
      <c r="BV39" s="486">
        <f t="shared" si="282"/>
        <v>-2958</v>
      </c>
      <c r="BW39" s="486">
        <f t="shared" si="282"/>
        <v>-571</v>
      </c>
      <c r="BX39" s="486">
        <f t="shared" si="282"/>
        <v>-1211</v>
      </c>
      <c r="BY39" s="486">
        <f t="shared" si="282"/>
        <v>-483</v>
      </c>
      <c r="BZ39" s="487">
        <f t="shared" si="282"/>
        <v>-5223</v>
      </c>
      <c r="CA39" s="486">
        <f t="shared" si="282"/>
        <v>-350</v>
      </c>
      <c r="CB39" s="486">
        <f t="shared" si="282"/>
        <v>-2270</v>
      </c>
      <c r="CC39" s="486">
        <f t="shared" si="282"/>
        <v>-1040</v>
      </c>
      <c r="CD39" s="486">
        <f t="shared" si="282"/>
        <v>1296</v>
      </c>
      <c r="CE39" s="487">
        <f t="shared" si="282"/>
        <v>-2364</v>
      </c>
      <c r="CF39" s="486">
        <f t="shared" ref="CF39:CU39" si="283">+SUM(CF34:CF38)</f>
        <v>-738</v>
      </c>
      <c r="CG39" s="486">
        <f t="shared" si="283"/>
        <v>-33672</v>
      </c>
      <c r="CH39" s="486">
        <f t="shared" si="283"/>
        <v>-2958</v>
      </c>
      <c r="CI39" s="486">
        <f t="shared" si="283"/>
        <v>-3710</v>
      </c>
      <c r="CJ39" s="487">
        <f t="shared" si="283"/>
        <v>-41078</v>
      </c>
      <c r="CK39" s="486">
        <f t="shared" si="283"/>
        <v>-2941</v>
      </c>
      <c r="CL39" s="486">
        <f t="shared" si="283"/>
        <v>-7802</v>
      </c>
      <c r="CM39" s="486">
        <f t="shared" si="283"/>
        <v>-5135</v>
      </c>
      <c r="CN39" s="486">
        <f t="shared" si="283"/>
        <v>-4684</v>
      </c>
      <c r="CO39" s="487">
        <f t="shared" si="283"/>
        <v>-20562</v>
      </c>
      <c r="CP39" s="486">
        <f t="shared" si="283"/>
        <v>-8175</v>
      </c>
      <c r="CQ39" s="486">
        <f t="shared" si="283"/>
        <v>-2323</v>
      </c>
      <c r="CR39" s="486">
        <f t="shared" si="283"/>
        <v>-7063</v>
      </c>
      <c r="CS39" s="486">
        <f t="shared" si="283"/>
        <v>-6983</v>
      </c>
      <c r="CT39" s="487">
        <f t="shared" si="283"/>
        <v>-24544</v>
      </c>
      <c r="CU39" s="486">
        <f t="shared" si="283"/>
        <v>-3153</v>
      </c>
      <c r="CV39" s="486">
        <f t="shared" ref="CV39:DI39" si="284">+SUM(CV34:CV38)</f>
        <v>-2723</v>
      </c>
      <c r="CW39" s="486">
        <f t="shared" si="284"/>
        <v>-1986</v>
      </c>
      <c r="CX39" s="486">
        <f t="shared" si="284"/>
        <v>-5072</v>
      </c>
      <c r="CY39" s="487">
        <f t="shared" si="284"/>
        <v>-12934</v>
      </c>
      <c r="CZ39" s="486">
        <f t="shared" si="284"/>
        <v>-5244</v>
      </c>
      <c r="DA39" s="486">
        <f t="shared" si="284"/>
        <v>-3858</v>
      </c>
      <c r="DB39" s="486">
        <f t="shared" si="284"/>
        <v>-1060</v>
      </c>
      <c r="DC39" s="486">
        <f t="shared" si="284"/>
        <v>2699</v>
      </c>
      <c r="DD39" s="487">
        <f t="shared" si="284"/>
        <v>-7463</v>
      </c>
      <c r="DE39" s="486">
        <f t="shared" si="284"/>
        <v>-2190</v>
      </c>
      <c r="DF39" s="486">
        <f t="shared" si="284"/>
        <v>-4277</v>
      </c>
      <c r="DG39" s="486">
        <f t="shared" si="284"/>
        <v>-2726</v>
      </c>
      <c r="DH39" s="486">
        <f t="shared" si="284"/>
        <v>-4098</v>
      </c>
      <c r="DI39" s="487">
        <f t="shared" si="284"/>
        <v>-13291</v>
      </c>
      <c r="DJ39" s="486">
        <f t="shared" ref="DJ39:DR39" si="285">+SUM(DJ34:DJ38)</f>
        <v>-639</v>
      </c>
      <c r="DK39" s="486">
        <f t="shared" si="285"/>
        <v>-6751</v>
      </c>
      <c r="DL39" s="486">
        <f t="shared" si="285"/>
        <v>1437</v>
      </c>
      <c r="DM39" s="486">
        <f t="shared" si="285"/>
        <v>-2423</v>
      </c>
      <c r="DN39" s="487">
        <f t="shared" si="285"/>
        <v>-8376</v>
      </c>
      <c r="DO39" s="486">
        <f t="shared" si="285"/>
        <v>-2869</v>
      </c>
      <c r="DP39" s="486">
        <f t="shared" si="285"/>
        <v>-2513</v>
      </c>
      <c r="DQ39" s="486">
        <f>+SUM(DQ34:DQ38)</f>
        <v>-1605</v>
      </c>
      <c r="DR39" s="486">
        <f t="shared" si="285"/>
        <v>-2421</v>
      </c>
      <c r="DS39" s="487">
        <f>+SUM(DS34:DS38)</f>
        <v>-9408</v>
      </c>
      <c r="DT39" s="486">
        <f t="shared" ref="DT39:EC39" si="286">+SUM(DT34:DT38)</f>
        <v>-2714</v>
      </c>
      <c r="DU39" s="486">
        <f t="shared" si="286"/>
        <v>-1221</v>
      </c>
      <c r="DV39" s="486">
        <f t="shared" si="286"/>
        <v>-2744</v>
      </c>
      <c r="DW39" s="486">
        <f t="shared" si="286"/>
        <v>-1469</v>
      </c>
      <c r="DX39" s="487">
        <f t="shared" si="286"/>
        <v>-8148</v>
      </c>
      <c r="DY39" s="486">
        <f t="shared" si="286"/>
        <v>-3396</v>
      </c>
      <c r="DZ39" s="486">
        <f t="shared" si="286"/>
        <v>2615</v>
      </c>
      <c r="EA39" s="486">
        <f t="shared" si="286"/>
        <v>-4304</v>
      </c>
      <c r="EB39" s="486">
        <f t="shared" si="286"/>
        <v>-3309</v>
      </c>
      <c r="EC39" s="487">
        <f t="shared" si="286"/>
        <v>-8394</v>
      </c>
      <c r="ED39" s="486">
        <f t="shared" ref="ED39:EW39" si="287">+SUM(ED34:ED38)</f>
        <v>-2978</v>
      </c>
      <c r="EE39" s="486">
        <f t="shared" si="287"/>
        <v>534</v>
      </c>
      <c r="EF39" s="486">
        <f t="shared" si="287"/>
        <v>-3065</v>
      </c>
      <c r="EG39" s="486">
        <f t="shared" si="287"/>
        <v>-3571</v>
      </c>
      <c r="EH39" s="487">
        <f t="shared" si="287"/>
        <v>-9080</v>
      </c>
      <c r="EI39" s="2771">
        <f t="shared" si="287"/>
        <v>-3930</v>
      </c>
      <c r="EJ39" s="2771">
        <f t="shared" si="287"/>
        <v>-518</v>
      </c>
      <c r="EK39" s="2771">
        <f t="shared" si="287"/>
        <v>-4916</v>
      </c>
      <c r="EL39" s="2771">
        <f t="shared" si="287"/>
        <v>971</v>
      </c>
      <c r="EM39" s="2772">
        <f t="shared" si="287"/>
        <v>-8393</v>
      </c>
      <c r="EN39" s="2771">
        <f>+SUM(EN34:EN38)</f>
        <v>14329</v>
      </c>
      <c r="EO39" s="2771">
        <f t="shared" ref="EO39:EQ39" si="288">+SUM(EO34:EO38)</f>
        <v>3016</v>
      </c>
      <c r="EP39" s="2771">
        <f t="shared" si="288"/>
        <v>-6236</v>
      </c>
      <c r="EQ39" s="2771">
        <f t="shared" si="288"/>
        <v>-2701</v>
      </c>
      <c r="ER39" s="2772">
        <f t="shared" si="287"/>
        <v>8408</v>
      </c>
      <c r="ES39" s="2771">
        <f>+SUM(ES34:ES38)</f>
        <v>-6341</v>
      </c>
      <c r="ET39" s="2771">
        <f t="shared" ref="ET39:EU39" si="289">+SUM(ET34:ET38)</f>
        <v>-1552</v>
      </c>
      <c r="EU39" s="2771">
        <f t="shared" si="289"/>
        <v>-19658</v>
      </c>
      <c r="EV39" s="486">
        <f t="shared" si="287"/>
        <v>-7232.1628690917205</v>
      </c>
      <c r="EW39" s="487">
        <f t="shared" si="287"/>
        <v>-34783.16286909172</v>
      </c>
      <c r="EX39" s="486">
        <f t="shared" ref="EX39:FG39" si="290">+SUM(EX34:EX38)</f>
        <v>-8866.4840370728762</v>
      </c>
      <c r="EY39" s="486">
        <f t="shared" si="290"/>
        <v>-12154.673699048701</v>
      </c>
      <c r="EZ39" s="486">
        <f t="shared" si="290"/>
        <v>-9474.8165581313733</v>
      </c>
      <c r="FA39" s="486">
        <f t="shared" si="290"/>
        <v>-10819.111899280806</v>
      </c>
      <c r="FB39" s="487">
        <f t="shared" si="290"/>
        <v>-41315.08619353376</v>
      </c>
      <c r="FC39" s="486">
        <f t="shared" si="290"/>
        <v>-12945.846051900591</v>
      </c>
      <c r="FD39" s="486">
        <f t="shared" si="290"/>
        <v>-10851.646894567857</v>
      </c>
      <c r="FE39" s="486">
        <f t="shared" si="290"/>
        <v>-14260.242482015576</v>
      </c>
      <c r="FF39" s="486">
        <f t="shared" si="290"/>
        <v>-11719.547255503207</v>
      </c>
      <c r="FG39" s="487">
        <f t="shared" si="290"/>
        <v>-49777.282683987229</v>
      </c>
      <c r="FH39" s="486">
        <f t="shared" ref="FH39:FL39" si="291">+SUM(FH34:FH38)</f>
        <v>-11737.686611173956</v>
      </c>
      <c r="FI39" s="486">
        <f t="shared" si="291"/>
        <v>-15499.903627114525</v>
      </c>
      <c r="FJ39" s="486">
        <f t="shared" si="291"/>
        <v>-13310.452511855006</v>
      </c>
      <c r="FK39" s="486">
        <f t="shared" si="291"/>
        <v>-13415.117344504826</v>
      </c>
      <c r="FL39" s="487">
        <f t="shared" si="291"/>
        <v>-53963.160094648316</v>
      </c>
      <c r="FM39" s="898"/>
      <c r="FN39" s="486"/>
      <c r="FO39" s="487">
        <f t="shared" ref="FO39:GF39" si="292">+SUM(FO34:FO38)</f>
        <v>-4525</v>
      </c>
      <c r="FP39" s="487">
        <f t="shared" si="292"/>
        <v>-1644</v>
      </c>
      <c r="FQ39" s="487">
        <f t="shared" si="292"/>
        <v>-3134</v>
      </c>
      <c r="FR39" s="487">
        <f t="shared" si="292"/>
        <v>-7621</v>
      </c>
      <c r="FS39" s="487">
        <f t="shared" si="292"/>
        <v>-4314</v>
      </c>
      <c r="FT39" s="487">
        <f t="shared" si="292"/>
        <v>-34154</v>
      </c>
      <c r="FU39" s="487">
        <f t="shared" si="292"/>
        <v>-17411</v>
      </c>
      <c r="FV39" s="487">
        <f t="shared" si="292"/>
        <v>-20317</v>
      </c>
      <c r="FW39" s="487">
        <f t="shared" si="292"/>
        <v>-19922</v>
      </c>
      <c r="FX39" s="487">
        <f t="shared" si="292"/>
        <v>-16160</v>
      </c>
      <c r="FY39" s="487">
        <f t="shared" si="292"/>
        <v>-4828</v>
      </c>
      <c r="FZ39" s="487">
        <f t="shared" si="292"/>
        <v>-14214</v>
      </c>
      <c r="GA39" s="487">
        <f t="shared" si="292"/>
        <v>-6368</v>
      </c>
      <c r="GB39" s="487">
        <f t="shared" si="292"/>
        <v>-7961</v>
      </c>
      <c r="GC39" s="487">
        <f t="shared" si="292"/>
        <v>-4994</v>
      </c>
      <c r="GD39" s="487">
        <f t="shared" si="292"/>
        <v>-10057</v>
      </c>
      <c r="GE39" s="487">
        <f t="shared" si="292"/>
        <v>-11084</v>
      </c>
      <c r="GF39" s="487">
        <f t="shared" si="292"/>
        <v>13400</v>
      </c>
      <c r="GG39" s="487">
        <f>+SUM(GG34:GG38)</f>
        <v>-16830</v>
      </c>
      <c r="GH39" s="487">
        <f>+SUM(GH34:GH38)</f>
        <v>-47911.320605213295</v>
      </c>
      <c r="GI39" s="487">
        <f>+SUM(GI34:GI38)</f>
        <v>-44091.421403880624</v>
      </c>
      <c r="GJ39" s="898"/>
      <c r="GK39" s="898"/>
      <c r="GL39" s="898"/>
      <c r="GM39" s="898"/>
      <c r="GO39"/>
      <c r="GP39"/>
      <c r="GQ39"/>
      <c r="GR39"/>
      <c r="GS39"/>
      <c r="GT39"/>
      <c r="GU39" s="261"/>
      <c r="GV39" s="261"/>
      <c r="GW39" s="261"/>
      <c r="GX39" s="261"/>
      <c r="GY39" s="261"/>
      <c r="GZ39" s="261"/>
      <c r="HA39" s="261"/>
      <c r="HB39" s="261"/>
      <c r="HC39" s="261"/>
      <c r="HD39" s="261"/>
      <c r="HE39" s="261"/>
      <c r="HF39" s="261"/>
      <c r="HG39" s="261"/>
      <c r="HH39" s="261"/>
      <c r="HI39" s="261"/>
      <c r="HJ39" s="261"/>
      <c r="HK39" s="261"/>
      <c r="HL39" s="261"/>
      <c r="HM39" s="261"/>
      <c r="HN39" s="261"/>
      <c r="HO39" s="261"/>
      <c r="HP39" s="261"/>
      <c r="HQ39" s="261"/>
      <c r="HR39" s="261"/>
      <c r="HS39" s="261"/>
      <c r="HT39" s="261"/>
      <c r="HU39" s="261"/>
      <c r="HV39" s="261"/>
      <c r="HW39" s="261"/>
      <c r="HX39" s="261"/>
      <c r="HY39" s="261"/>
      <c r="HZ39" s="261"/>
      <c r="IA39" s="261"/>
      <c r="IB39" s="261"/>
      <c r="IC39" s="261"/>
      <c r="ID39" s="261"/>
      <c r="IE39" s="261"/>
      <c r="IF39" s="261"/>
      <c r="IG39" s="261"/>
      <c r="IH39" s="261"/>
      <c r="II39" s="261"/>
      <c r="IJ39" s="261"/>
      <c r="IK39" s="261"/>
      <c r="IL39" s="261"/>
      <c r="IM39" s="261"/>
      <c r="IN39" s="261"/>
      <c r="IO39" s="261"/>
      <c r="IP39" s="261"/>
      <c r="IQ39" s="261"/>
      <c r="IR39" s="261"/>
      <c r="IS39" s="261"/>
      <c r="IT39" s="261"/>
      <c r="IU39" s="261"/>
      <c r="IV39" s="261"/>
      <c r="IW39" s="261"/>
      <c r="IX39" s="261"/>
      <c r="IY39" s="261"/>
      <c r="IZ39" s="261"/>
      <c r="JA39" s="261"/>
      <c r="JB39" s="261"/>
      <c r="JC39" s="261"/>
      <c r="JD39" s="261"/>
      <c r="JE39" s="261"/>
      <c r="JF39" s="261"/>
      <c r="JG39" s="261"/>
      <c r="JH39" s="261"/>
      <c r="JI39" s="261"/>
      <c r="JJ39" s="261"/>
      <c r="JK39" s="261"/>
      <c r="JL39" s="261"/>
      <c r="JM39" s="261"/>
      <c r="JN39" s="261"/>
      <c r="JO39" s="261"/>
      <c r="JP39" s="261"/>
      <c r="JQ39" s="261"/>
      <c r="JR39" s="261"/>
      <c r="JS39" s="261"/>
      <c r="JT39" s="261"/>
    </row>
    <row r="40" spans="1:280" s="264" customFormat="1" ht="15" customHeight="1">
      <c r="A40" s="528" t="s">
        <v>733</v>
      </c>
      <c r="D40" s="1128">
        <v>0</v>
      </c>
      <c r="E40" s="455">
        <f>0-D40</f>
        <v>0</v>
      </c>
      <c r="F40" s="455">
        <f>0-SUM(D40:E40)</f>
        <v>0</v>
      </c>
      <c r="G40" s="455">
        <f>0-SUM(D40:F40)</f>
        <v>0</v>
      </c>
      <c r="H40" s="327">
        <f t="shared" si="191"/>
        <v>0</v>
      </c>
      <c r="I40" s="1128">
        <v>0</v>
      </c>
      <c r="J40" s="455">
        <f>0-I40</f>
        <v>0</v>
      </c>
      <c r="K40" s="455">
        <f>0-SUM(I40:J40)</f>
        <v>0</v>
      </c>
      <c r="L40" s="455">
        <f>0-SUM(I40:K40)</f>
        <v>0</v>
      </c>
      <c r="M40" s="327">
        <f t="shared" si="195"/>
        <v>0</v>
      </c>
      <c r="N40" s="1128">
        <v>0</v>
      </c>
      <c r="O40" s="455">
        <f>0-N40</f>
        <v>0</v>
      </c>
      <c r="P40" s="455">
        <f>0-SUM(N40:O40)</f>
        <v>0</v>
      </c>
      <c r="Q40" s="455">
        <f>0-SUM(N40:P40)</f>
        <v>0</v>
      </c>
      <c r="R40" s="327">
        <f t="shared" si="199"/>
        <v>0</v>
      </c>
      <c r="S40" s="1128">
        <v>0</v>
      </c>
      <c r="T40" s="455">
        <f>0-S40</f>
        <v>0</v>
      </c>
      <c r="U40" s="455">
        <f>0-SUM(S40:T40)</f>
        <v>0</v>
      </c>
      <c r="V40" s="455">
        <f>0-SUM(S40:U40)</f>
        <v>0</v>
      </c>
      <c r="W40" s="327">
        <f t="shared" si="203"/>
        <v>0</v>
      </c>
      <c r="X40" s="1128">
        <v>0</v>
      </c>
      <c r="Y40" s="455">
        <f>0-X40</f>
        <v>0</v>
      </c>
      <c r="Z40" s="455">
        <f>0-SUM(X40:Y40)</f>
        <v>0</v>
      </c>
      <c r="AA40" s="455">
        <f>0-SUM(X40:Z40)</f>
        <v>0</v>
      </c>
      <c r="AB40" s="327">
        <f t="shared" si="207"/>
        <v>0</v>
      </c>
      <c r="AC40" s="1128">
        <v>0</v>
      </c>
      <c r="AD40" s="455">
        <f>0-AC40</f>
        <v>0</v>
      </c>
      <c r="AE40" s="455">
        <f>0-SUM(AC40:AD40)</f>
        <v>0</v>
      </c>
      <c r="AF40" s="455">
        <f>-10-SUM(AC40:AE40)</f>
        <v>-10</v>
      </c>
      <c r="AG40" s="327">
        <f t="shared" si="210"/>
        <v>-10</v>
      </c>
      <c r="AH40" s="1128">
        <v>-4</v>
      </c>
      <c r="AI40" s="455">
        <f>-8-AH40</f>
        <v>-4</v>
      </c>
      <c r="AJ40" s="455">
        <f>18-SUM(AH40:AI40)</f>
        <v>26</v>
      </c>
      <c r="AK40" s="455">
        <f>9-SUM(AH40:AJ40)</f>
        <v>-9</v>
      </c>
      <c r="AL40" s="327">
        <f t="shared" si="211"/>
        <v>9</v>
      </c>
      <c r="AM40" s="1128">
        <v>1</v>
      </c>
      <c r="AN40" s="455">
        <f>1-AM40</f>
        <v>0</v>
      </c>
      <c r="AO40" s="455">
        <f>-20-SUM(AM40:AN40)</f>
        <v>-21</v>
      </c>
      <c r="AP40" s="455">
        <f>-5-SUM(AM40:AO40)</f>
        <v>15</v>
      </c>
      <c r="AQ40" s="327">
        <f t="shared" si="212"/>
        <v>-5</v>
      </c>
      <c r="AR40" s="1128">
        <v>6</v>
      </c>
      <c r="AS40" s="455">
        <f>5-AR40</f>
        <v>-1</v>
      </c>
      <c r="AT40" s="455">
        <f>-25-SUM(AR40:AS40)</f>
        <v>-30</v>
      </c>
      <c r="AU40" s="455">
        <f>6-SUM(AR40:AT40)</f>
        <v>31</v>
      </c>
      <c r="AV40" s="327">
        <f t="shared" si="213"/>
        <v>6</v>
      </c>
      <c r="AW40" s="1128">
        <v>-16</v>
      </c>
      <c r="AX40" s="455">
        <f>-33-AW40</f>
        <v>-17</v>
      </c>
      <c r="AY40" s="455">
        <f>-51-SUM(AW40:AX40)</f>
        <v>-18</v>
      </c>
      <c r="AZ40" s="455">
        <f>-29-SUM(AW40:AY40)</f>
        <v>22</v>
      </c>
      <c r="BA40" s="327">
        <f t="shared" si="214"/>
        <v>-29</v>
      </c>
      <c r="BB40" s="1135">
        <v>19</v>
      </c>
      <c r="BC40" s="455">
        <f>58-BB40</f>
        <v>39</v>
      </c>
      <c r="BD40" s="455">
        <f>39-SUM(BB40:BC40)</f>
        <v>-19</v>
      </c>
      <c r="BE40" s="455">
        <f>52-SUM(BB40:BD40)</f>
        <v>13</v>
      </c>
      <c r="BF40" s="327">
        <f t="shared" si="215"/>
        <v>52</v>
      </c>
      <c r="BG40" s="1135">
        <v>19</v>
      </c>
      <c r="BH40" s="455">
        <f>20-BG40</f>
        <v>1</v>
      </c>
      <c r="BI40" s="455">
        <f>64-SUM(BG40:BH40)</f>
        <v>44</v>
      </c>
      <c r="BJ40" s="455">
        <f>29-SUM(BG40:BI40)</f>
        <v>-35</v>
      </c>
      <c r="BK40" s="327">
        <f t="shared" si="216"/>
        <v>29</v>
      </c>
      <c r="BL40" s="1128">
        <v>67</v>
      </c>
      <c r="BM40" s="455">
        <f>-8-BL40</f>
        <v>-75</v>
      </c>
      <c r="BN40" s="455">
        <f>0-SUM(BL40:BM40)</f>
        <v>8</v>
      </c>
      <c r="BO40" s="455">
        <f>-26-SUM(BL40:BN40)</f>
        <v>-26</v>
      </c>
      <c r="BP40" s="327">
        <f t="shared" si="217"/>
        <v>-26</v>
      </c>
      <c r="BQ40" s="1128">
        <v>5</v>
      </c>
      <c r="BR40" s="455">
        <f>9-BQ40</f>
        <v>4</v>
      </c>
      <c r="BS40" s="455">
        <f>-5-SUM(BQ40:BR40)</f>
        <v>-14</v>
      </c>
      <c r="BT40" s="455">
        <f>2-SUM(BQ40:BS40)</f>
        <v>7</v>
      </c>
      <c r="BU40" s="327">
        <f t="shared" si="218"/>
        <v>2</v>
      </c>
      <c r="BV40" s="1127">
        <v>5</v>
      </c>
      <c r="BW40" s="1127">
        <v>37</v>
      </c>
      <c r="BX40" s="242">
        <f>39-SUM(BV40:BW40)</f>
        <v>-3</v>
      </c>
      <c r="BY40" s="455">
        <f>61-SUM(BV40:BX40)-0.2</f>
        <v>21.8</v>
      </c>
      <c r="BZ40" s="327">
        <f t="shared" si="219"/>
        <v>60.8</v>
      </c>
      <c r="CA40" s="1127">
        <v>4</v>
      </c>
      <c r="CB40" s="1127">
        <v>26</v>
      </c>
      <c r="CC40" s="1127">
        <v>7</v>
      </c>
      <c r="CD40" s="1127">
        <v>-10</v>
      </c>
      <c r="CE40" s="327">
        <f t="shared" si="220"/>
        <v>27</v>
      </c>
      <c r="CF40" s="1127">
        <v>3</v>
      </c>
      <c r="CG40" s="1127">
        <v>54</v>
      </c>
      <c r="CH40" s="1127">
        <v>-8</v>
      </c>
      <c r="CI40" s="1127">
        <v>-56</v>
      </c>
      <c r="CJ40" s="327">
        <f t="shared" si="221"/>
        <v>-7</v>
      </c>
      <c r="CK40" s="1127">
        <v>-4</v>
      </c>
      <c r="CL40" s="1127">
        <v>-12</v>
      </c>
      <c r="CM40" s="1127">
        <v>7</v>
      </c>
      <c r="CN40" s="1127">
        <v>27</v>
      </c>
      <c r="CO40" s="327">
        <f t="shared" si="222"/>
        <v>18</v>
      </c>
      <c r="CP40" s="1127">
        <v>15</v>
      </c>
      <c r="CQ40" s="1127">
        <v>22</v>
      </c>
      <c r="CR40" s="1127">
        <v>13</v>
      </c>
      <c r="CS40" s="1127">
        <v>6</v>
      </c>
      <c r="CT40" s="327">
        <f t="shared" si="223"/>
        <v>56</v>
      </c>
      <c r="CU40" s="1127">
        <v>58</v>
      </c>
      <c r="CV40" s="1127">
        <v>28</v>
      </c>
      <c r="CW40" s="1127">
        <v>42</v>
      </c>
      <c r="CX40" s="1127">
        <v>9</v>
      </c>
      <c r="CY40" s="327">
        <f t="shared" si="224"/>
        <v>137</v>
      </c>
      <c r="CZ40" s="1127">
        <v>-56</v>
      </c>
      <c r="DA40" s="1127">
        <v>-83</v>
      </c>
      <c r="DB40" s="1127">
        <v>-36</v>
      </c>
      <c r="DC40" s="1127">
        <v>108</v>
      </c>
      <c r="DD40" s="327">
        <f t="shared" si="225"/>
        <v>-67</v>
      </c>
      <c r="DE40" s="1127">
        <v>29</v>
      </c>
      <c r="DF40" s="1127">
        <v>-1</v>
      </c>
      <c r="DG40" s="1127">
        <v>-30</v>
      </c>
      <c r="DH40" s="1127">
        <v>-37</v>
      </c>
      <c r="DI40" s="327">
        <f t="shared" si="226"/>
        <v>-39</v>
      </c>
      <c r="DJ40" s="1127">
        <v>58</v>
      </c>
      <c r="DK40" s="1127">
        <v>-3</v>
      </c>
      <c r="DL40" s="1127">
        <v>28</v>
      </c>
      <c r="DM40" s="1127">
        <v>20</v>
      </c>
      <c r="DN40" s="327">
        <f>SUM(DJ40:DM40)</f>
        <v>103</v>
      </c>
      <c r="DO40" s="1127">
        <v>-38</v>
      </c>
      <c r="DP40" s="1127">
        <v>-52</v>
      </c>
      <c r="DQ40" s="1127">
        <v>30</v>
      </c>
      <c r="DR40" s="1127">
        <v>-44</v>
      </c>
      <c r="DS40" s="327">
        <f>SUM(DO40:DR40)</f>
        <v>-104</v>
      </c>
      <c r="DT40" s="1127">
        <v>47</v>
      </c>
      <c r="DU40" s="1127">
        <v>15</v>
      </c>
      <c r="DV40" s="1127">
        <v>-39</v>
      </c>
      <c r="DW40" s="1127">
        <v>-31</v>
      </c>
      <c r="DX40" s="327">
        <f>SUM(DT40:DW40)</f>
        <v>-8</v>
      </c>
      <c r="DY40" s="1127">
        <v>24</v>
      </c>
      <c r="DZ40" s="1127">
        <v>33</v>
      </c>
      <c r="EA40" s="1127">
        <v>2</v>
      </c>
      <c r="EB40" s="1127">
        <v>-198</v>
      </c>
      <c r="EC40" s="327">
        <f>SUM(DY40:EB40)</f>
        <v>-139</v>
      </c>
      <c r="ED40" s="1127">
        <v>-6</v>
      </c>
      <c r="EE40" s="1127">
        <v>-34</v>
      </c>
      <c r="EF40" s="1127">
        <v>-36</v>
      </c>
      <c r="EG40" s="1127">
        <v>3</v>
      </c>
      <c r="EH40" s="327">
        <f>SUM(ED40:EG40)</f>
        <v>-73</v>
      </c>
      <c r="EI40" s="2769">
        <v>-44</v>
      </c>
      <c r="EJ40" s="2769">
        <v>-18</v>
      </c>
      <c r="EK40" s="2769">
        <v>17</v>
      </c>
      <c r="EL40" s="2769">
        <v>-22</v>
      </c>
      <c r="EM40" s="2770">
        <f>SUM(EI40:EL40)</f>
        <v>-67</v>
      </c>
      <c r="EN40" s="2769">
        <v>10</v>
      </c>
      <c r="EO40" s="2769">
        <v>-18</v>
      </c>
      <c r="EP40" s="2769">
        <v>12</v>
      </c>
      <c r="EQ40" s="2769">
        <v>15</v>
      </c>
      <c r="ER40" s="2770">
        <f>SUM(EN40:EQ40)</f>
        <v>19</v>
      </c>
      <c r="ES40" s="2769">
        <v>26</v>
      </c>
      <c r="ET40" s="2769">
        <v>-17</v>
      </c>
      <c r="EU40" s="2769">
        <v>25</v>
      </c>
      <c r="EV40" s="1127">
        <v>0</v>
      </c>
      <c r="EW40" s="327">
        <f>SUM(ES40:EV40)</f>
        <v>34</v>
      </c>
      <c r="EX40" s="1127">
        <v>0</v>
      </c>
      <c r="EY40" s="1127">
        <v>0</v>
      </c>
      <c r="EZ40" s="1127">
        <v>0</v>
      </c>
      <c r="FA40" s="1127">
        <v>0</v>
      </c>
      <c r="FB40" s="327">
        <f>SUM(EX40:FA40)</f>
        <v>0</v>
      </c>
      <c r="FC40" s="1127">
        <v>0</v>
      </c>
      <c r="FD40" s="1127">
        <v>0</v>
      </c>
      <c r="FE40" s="1127">
        <v>0</v>
      </c>
      <c r="FF40" s="1127">
        <v>0</v>
      </c>
      <c r="FG40" s="327">
        <f>SUM(FC40:FF40)</f>
        <v>0</v>
      </c>
      <c r="FH40" s="1127">
        <v>0</v>
      </c>
      <c r="FI40" s="1127">
        <v>0</v>
      </c>
      <c r="FJ40" s="1127">
        <v>0</v>
      </c>
      <c r="FK40" s="1127">
        <v>0</v>
      </c>
      <c r="FL40" s="327">
        <f>SUM(FH40:FK40)</f>
        <v>0</v>
      </c>
      <c r="FM40" s="455"/>
      <c r="FN40" s="537"/>
      <c r="FO40" s="327">
        <f>BD40+BE40+BG40+BH40</f>
        <v>14</v>
      </c>
      <c r="FP40" s="327">
        <f>BI40+BJ40+BL40+BM40</f>
        <v>1</v>
      </c>
      <c r="FQ40" s="327">
        <f>BN40+BO40+BQ40+BR40</f>
        <v>-9</v>
      </c>
      <c r="FR40" s="327">
        <f>BS40+BT40+BV40+BW40</f>
        <v>35</v>
      </c>
      <c r="FS40" s="327">
        <f>BX40+BY40+CA40+CB40</f>
        <v>48.8</v>
      </c>
      <c r="FT40" s="327">
        <f>CC40+CD40+CF40+CG40</f>
        <v>54</v>
      </c>
      <c r="FU40" s="327">
        <f>CH40+CI40+CK40+CL40</f>
        <v>-80</v>
      </c>
      <c r="FV40" s="327">
        <f>CM40+CN40+CP40+CQ40</f>
        <v>71</v>
      </c>
      <c r="FW40" s="327">
        <f>CR40+CS40+CU40+CV40</f>
        <v>105</v>
      </c>
      <c r="FX40" s="327">
        <f>CW40+CX40+CZ40+DA40</f>
        <v>-88</v>
      </c>
      <c r="FY40" s="327">
        <f>DB40+DC40+DE40+DF40</f>
        <v>100</v>
      </c>
      <c r="FZ40" s="327">
        <f>SUM(DG40:DH40,DJ40:DK40)</f>
        <v>-12</v>
      </c>
      <c r="GA40" s="327">
        <f>SUM(DL40:DM40,DO40:DP40)</f>
        <v>-42</v>
      </c>
      <c r="GB40" s="372">
        <f>SUM(DQ40:DR40,DT40:DU40)</f>
        <v>48</v>
      </c>
      <c r="GC40" s="372">
        <f>SUM(DV40:DW40,DY40:DZ40)</f>
        <v>-13</v>
      </c>
      <c r="GD40" s="372">
        <f>SUM(EA40:EB40,ED40:EE40)</f>
        <v>-236</v>
      </c>
      <c r="GE40" s="372">
        <f>SUM(EF40:EG40,EI40:EJ40)</f>
        <v>-95</v>
      </c>
      <c r="GF40" s="372">
        <f>SUM(EK40:EL40,EN40:EO40)</f>
        <v>-13</v>
      </c>
      <c r="GG40" s="372">
        <f>SUM(EP40:EQ40,ES40:ET40)</f>
        <v>36</v>
      </c>
      <c r="GH40" s="372">
        <f>SUM(EU40:EV40,EX40:EY40)</f>
        <v>25</v>
      </c>
      <c r="GI40" s="372">
        <f>SUM(EZ40:FA40,FC40:FD40)</f>
        <v>0</v>
      </c>
      <c r="GJ40" s="371"/>
      <c r="GK40" s="371"/>
      <c r="GL40" s="371"/>
      <c r="GM40" s="371"/>
      <c r="GO40"/>
      <c r="GP40"/>
      <c r="GQ40"/>
      <c r="GR40"/>
      <c r="GS40"/>
      <c r="GT40"/>
      <c r="GU40" s="261"/>
      <c r="GV40" s="261"/>
      <c r="GW40" s="261"/>
      <c r="GX40" s="261"/>
      <c r="GY40" s="261"/>
      <c r="GZ40" s="261"/>
      <c r="HA40" s="261"/>
      <c r="HB40" s="261"/>
      <c r="HC40" s="261"/>
      <c r="HD40" s="261"/>
      <c r="HE40" s="261"/>
      <c r="HF40" s="261"/>
      <c r="HG40" s="261"/>
      <c r="HH40" s="261"/>
      <c r="HI40" s="261"/>
      <c r="HJ40" s="261"/>
      <c r="HK40" s="261"/>
      <c r="HL40" s="261"/>
      <c r="HM40" s="261"/>
      <c r="HN40" s="261"/>
      <c r="HO40" s="261"/>
      <c r="HP40" s="261"/>
      <c r="HQ40" s="261"/>
      <c r="HR40" s="261"/>
      <c r="HS40" s="261"/>
      <c r="HT40" s="261"/>
      <c r="HU40" s="261"/>
      <c r="HV40" s="261"/>
      <c r="HW40" s="261"/>
      <c r="HX40" s="261"/>
      <c r="HY40" s="261"/>
      <c r="HZ40" s="261"/>
      <c r="IA40" s="261"/>
      <c r="IB40" s="261"/>
      <c r="IC40" s="261"/>
      <c r="ID40" s="261"/>
      <c r="IE40" s="261"/>
      <c r="IF40" s="261"/>
      <c r="IG40" s="261"/>
      <c r="IH40" s="261"/>
      <c r="II40" s="261"/>
      <c r="IJ40" s="261"/>
      <c r="IK40" s="261"/>
      <c r="IL40" s="261"/>
      <c r="IM40" s="261"/>
      <c r="IN40" s="261"/>
      <c r="IO40" s="261"/>
      <c r="IP40" s="261"/>
      <c r="IQ40" s="261"/>
      <c r="IR40" s="261"/>
      <c r="IS40" s="261"/>
      <c r="IT40" s="261"/>
      <c r="IU40" s="261"/>
      <c r="IV40" s="261"/>
      <c r="IW40" s="261"/>
      <c r="IX40" s="261"/>
      <c r="IY40" s="261"/>
      <c r="IZ40" s="261"/>
      <c r="JA40" s="261"/>
      <c r="JB40" s="261"/>
      <c r="JC40" s="261"/>
      <c r="JD40" s="261"/>
      <c r="JE40" s="261"/>
      <c r="JF40" s="261"/>
      <c r="JG40" s="261"/>
      <c r="JH40" s="261"/>
      <c r="JI40" s="261"/>
      <c r="JJ40" s="261"/>
      <c r="JK40" s="261"/>
      <c r="JL40" s="261"/>
      <c r="JM40" s="261"/>
      <c r="JN40" s="261"/>
      <c r="JO40" s="261"/>
      <c r="JP40" s="261"/>
      <c r="JQ40" s="261"/>
      <c r="JR40" s="261"/>
      <c r="JS40" s="261"/>
      <c r="JT40" s="261"/>
    </row>
    <row r="41" spans="1:280" s="264" customFormat="1" ht="11.25" customHeight="1">
      <c r="A41" s="415" t="s">
        <v>734</v>
      </c>
      <c r="D41" s="486">
        <f t="shared" ref="D41:AI41" si="293">+D25+D33+D39+D40</f>
        <v>37</v>
      </c>
      <c r="E41" s="486">
        <f t="shared" si="293"/>
        <v>46.705000000000013</v>
      </c>
      <c r="F41" s="486">
        <f t="shared" si="293"/>
        <v>41.203000000000003</v>
      </c>
      <c r="G41" s="486">
        <f t="shared" si="293"/>
        <v>46.405000000000001</v>
      </c>
      <c r="H41" s="487">
        <f t="shared" si="293"/>
        <v>171.31300000000002</v>
      </c>
      <c r="I41" s="486">
        <f t="shared" si="293"/>
        <v>50.122</v>
      </c>
      <c r="J41" s="486">
        <f t="shared" si="293"/>
        <v>73.704000000000008</v>
      </c>
      <c r="K41" s="486">
        <f t="shared" si="293"/>
        <v>74.873999999999995</v>
      </c>
      <c r="L41" s="486">
        <f t="shared" si="293"/>
        <v>80.485000000000014</v>
      </c>
      <c r="M41" s="487">
        <f t="shared" si="293"/>
        <v>279.185</v>
      </c>
      <c r="N41" s="486">
        <f t="shared" si="293"/>
        <v>87.399999999999977</v>
      </c>
      <c r="O41" s="486">
        <f t="shared" si="293"/>
        <v>112.5</v>
      </c>
      <c r="P41" s="486">
        <f t="shared" si="293"/>
        <v>124</v>
      </c>
      <c r="Q41" s="486">
        <f t="shared" si="293"/>
        <v>139</v>
      </c>
      <c r="R41" s="487">
        <f t="shared" si="293"/>
        <v>462.9</v>
      </c>
      <c r="S41" s="486">
        <f t="shared" si="293"/>
        <v>144</v>
      </c>
      <c r="T41" s="486">
        <f t="shared" si="293"/>
        <v>175</v>
      </c>
      <c r="U41" s="486">
        <f t="shared" si="293"/>
        <v>179</v>
      </c>
      <c r="V41" s="486">
        <f t="shared" si="293"/>
        <v>210.2</v>
      </c>
      <c r="W41" s="487">
        <f t="shared" si="293"/>
        <v>708.2</v>
      </c>
      <c r="X41" s="486">
        <f t="shared" si="293"/>
        <v>209</v>
      </c>
      <c r="Y41" s="486">
        <f t="shared" si="293"/>
        <v>236</v>
      </c>
      <c r="Z41" s="486">
        <f t="shared" si="293"/>
        <v>243</v>
      </c>
      <c r="AA41" s="486">
        <f t="shared" si="293"/>
        <v>265</v>
      </c>
      <c r="AB41" s="487">
        <f t="shared" si="293"/>
        <v>953</v>
      </c>
      <c r="AC41" s="486">
        <f t="shared" si="293"/>
        <v>239</v>
      </c>
      <c r="AD41" s="486">
        <f t="shared" si="293"/>
        <v>289</v>
      </c>
      <c r="AE41" s="486">
        <f t="shared" si="293"/>
        <v>256</v>
      </c>
      <c r="AF41" s="486">
        <f t="shared" si="293"/>
        <v>-320</v>
      </c>
      <c r="AG41" s="487">
        <f t="shared" si="293"/>
        <v>464</v>
      </c>
      <c r="AH41" s="486">
        <f t="shared" si="293"/>
        <v>-151</v>
      </c>
      <c r="AI41" s="486">
        <f t="shared" si="293"/>
        <v>-409</v>
      </c>
      <c r="AJ41" s="486">
        <f t="shared" ref="AJ41:BO41" si="294">+AJ25+AJ33+AJ39+AJ40</f>
        <v>288</v>
      </c>
      <c r="AK41" s="486">
        <f t="shared" si="294"/>
        <v>711</v>
      </c>
      <c r="AL41" s="487">
        <f t="shared" si="294"/>
        <v>439</v>
      </c>
      <c r="AM41" s="486">
        <f t="shared" si="294"/>
        <v>-56</v>
      </c>
      <c r="AN41" s="486">
        <f t="shared" si="294"/>
        <v>417</v>
      </c>
      <c r="AO41" s="486">
        <f t="shared" si="294"/>
        <v>614</v>
      </c>
      <c r="AP41" s="486">
        <f t="shared" si="294"/>
        <v>-336</v>
      </c>
      <c r="AQ41" s="487">
        <f t="shared" si="294"/>
        <v>639</v>
      </c>
      <c r="AR41" s="486">
        <f t="shared" si="294"/>
        <v>417</v>
      </c>
      <c r="AS41" s="486">
        <f t="shared" si="294"/>
        <v>78</v>
      </c>
      <c r="AT41" s="486">
        <f t="shared" si="294"/>
        <v>756</v>
      </c>
      <c r="AU41" s="486">
        <f t="shared" si="294"/>
        <v>-146</v>
      </c>
      <c r="AV41" s="487">
        <f t="shared" si="294"/>
        <v>1105</v>
      </c>
      <c r="AW41" s="486">
        <f t="shared" si="294"/>
        <v>239</v>
      </c>
      <c r="AX41" s="486">
        <f t="shared" si="294"/>
        <v>-1363</v>
      </c>
      <c r="AY41" s="486">
        <f t="shared" si="294"/>
        <v>1528</v>
      </c>
      <c r="AZ41" s="486">
        <f t="shared" si="294"/>
        <v>-271</v>
      </c>
      <c r="BA41" s="487">
        <f t="shared" si="294"/>
        <v>133</v>
      </c>
      <c r="BB41" s="487">
        <f t="shared" si="294"/>
        <v>1352</v>
      </c>
      <c r="BC41" s="486">
        <f t="shared" si="294"/>
        <v>922</v>
      </c>
      <c r="BD41" s="486">
        <f t="shared" si="294"/>
        <v>90</v>
      </c>
      <c r="BE41" s="486">
        <f t="shared" si="294"/>
        <v>-1228</v>
      </c>
      <c r="BF41" s="487">
        <f t="shared" si="294"/>
        <v>1136</v>
      </c>
      <c r="BG41" s="487">
        <f t="shared" si="294"/>
        <v>-186</v>
      </c>
      <c r="BH41" s="486">
        <f t="shared" si="294"/>
        <v>243</v>
      </c>
      <c r="BI41" s="486">
        <f t="shared" si="294"/>
        <v>160</v>
      </c>
      <c r="BJ41" s="486">
        <f t="shared" si="294"/>
        <v>-346</v>
      </c>
      <c r="BK41" s="487">
        <f t="shared" si="294"/>
        <v>-129</v>
      </c>
      <c r="BL41" s="486">
        <f t="shared" si="294"/>
        <v>-2205</v>
      </c>
      <c r="BM41" s="486">
        <f t="shared" si="294"/>
        <v>890</v>
      </c>
      <c r="BN41" s="486">
        <f t="shared" si="294"/>
        <v>618</v>
      </c>
      <c r="BO41" s="486">
        <f t="shared" si="294"/>
        <v>-227</v>
      </c>
      <c r="BP41" s="487">
        <f t="shared" ref="BP41:CU41" si="295">+BP25+BP33+BP39+BP40</f>
        <v>-924</v>
      </c>
      <c r="BQ41" s="486">
        <f t="shared" si="295"/>
        <v>-809</v>
      </c>
      <c r="BR41" s="486">
        <f t="shared" si="295"/>
        <v>2143</v>
      </c>
      <c r="BS41" s="486">
        <f t="shared" si="295"/>
        <v>-140</v>
      </c>
      <c r="BT41" s="486">
        <f t="shared" si="295"/>
        <v>-2100</v>
      </c>
      <c r="BU41" s="487">
        <f t="shared" si="295"/>
        <v>-906</v>
      </c>
      <c r="BV41" s="486">
        <f t="shared" si="295"/>
        <v>2322</v>
      </c>
      <c r="BW41" s="486">
        <f t="shared" si="295"/>
        <v>214</v>
      </c>
      <c r="BX41" s="486">
        <f t="shared" si="295"/>
        <v>-1252.0100000000002</v>
      </c>
      <c r="BY41" s="486">
        <f t="shared" si="295"/>
        <v>2138.1800000000003</v>
      </c>
      <c r="BZ41" s="487">
        <f t="shared" si="295"/>
        <v>3422.1699999999992</v>
      </c>
      <c r="CA41" s="486">
        <f t="shared" si="295"/>
        <v>-670</v>
      </c>
      <c r="CB41" s="486">
        <f t="shared" si="295"/>
        <v>381.03999999999996</v>
      </c>
      <c r="CC41" s="486">
        <f t="shared" si="295"/>
        <v>2800</v>
      </c>
      <c r="CD41" s="486">
        <f t="shared" si="295"/>
        <v>6516</v>
      </c>
      <c r="CE41" s="487">
        <f t="shared" si="295"/>
        <v>9027.0400000000009</v>
      </c>
      <c r="CF41" s="486">
        <f t="shared" si="295"/>
        <v>-4842</v>
      </c>
      <c r="CG41" s="486">
        <f t="shared" si="295"/>
        <v>-5904</v>
      </c>
      <c r="CH41" s="486">
        <f t="shared" si="295"/>
        <v>224</v>
      </c>
      <c r="CI41" s="486">
        <f t="shared" si="295"/>
        <v>1069</v>
      </c>
      <c r="CJ41" s="487">
        <f t="shared" si="295"/>
        <v>-9453</v>
      </c>
      <c r="CK41" s="486">
        <f t="shared" si="295"/>
        <v>-1877</v>
      </c>
      <c r="CL41" s="486">
        <f t="shared" si="295"/>
        <v>1109</v>
      </c>
      <c r="CM41" s="486">
        <f t="shared" si="295"/>
        <v>268</v>
      </c>
      <c r="CN41" s="486">
        <f t="shared" si="295"/>
        <v>2363</v>
      </c>
      <c r="CO41" s="487">
        <f t="shared" si="295"/>
        <v>1863</v>
      </c>
      <c r="CP41" s="486">
        <f t="shared" si="295"/>
        <v>2362</v>
      </c>
      <c r="CQ41" s="486">
        <f t="shared" si="295"/>
        <v>-2217</v>
      </c>
      <c r="CR41" s="486">
        <f t="shared" si="295"/>
        <v>752</v>
      </c>
      <c r="CS41" s="486">
        <f t="shared" si="295"/>
        <v>-1500</v>
      </c>
      <c r="CT41" s="487">
        <f t="shared" si="295"/>
        <v>-603</v>
      </c>
      <c r="CU41" s="486">
        <f t="shared" si="295"/>
        <v>526</v>
      </c>
      <c r="CV41" s="486">
        <f t="shared" ref="CV41:DI41" si="296">+CV25+CV33+CV39+CV40</f>
        <v>823</v>
      </c>
      <c r="CW41" s="486">
        <f t="shared" si="296"/>
        <v>4360</v>
      </c>
      <c r="CX41" s="486">
        <f t="shared" si="296"/>
        <v>-1481</v>
      </c>
      <c r="CY41" s="487">
        <f t="shared" si="296"/>
        <v>4228</v>
      </c>
      <c r="CZ41" s="486">
        <f t="shared" si="296"/>
        <v>-1335</v>
      </c>
      <c r="DA41" s="486">
        <f t="shared" si="296"/>
        <v>-658</v>
      </c>
      <c r="DB41" s="486">
        <f t="shared" si="296"/>
        <v>-1061.0372899159665</v>
      </c>
      <c r="DC41" s="486">
        <f t="shared" si="296"/>
        <v>-1209</v>
      </c>
      <c r="DD41" s="487">
        <f t="shared" si="296"/>
        <v>-4263.0372899159665</v>
      </c>
      <c r="DE41" s="486">
        <f t="shared" si="296"/>
        <v>2747</v>
      </c>
      <c r="DF41" s="486">
        <f t="shared" si="296"/>
        <v>599</v>
      </c>
      <c r="DG41" s="486">
        <f t="shared" si="296"/>
        <v>-1267</v>
      </c>
      <c r="DH41" s="486">
        <f t="shared" si="296"/>
        <v>-2650</v>
      </c>
      <c r="DI41" s="487">
        <f t="shared" si="296"/>
        <v>-571</v>
      </c>
      <c r="DJ41" s="486">
        <f t="shared" ref="DJ41:DR41" si="297">+DJ25+DJ33+DJ39+DJ40</f>
        <v>2656</v>
      </c>
      <c r="DK41" s="486">
        <f t="shared" si="297"/>
        <v>-4138</v>
      </c>
      <c r="DL41" s="486">
        <f t="shared" si="297"/>
        <v>2998</v>
      </c>
      <c r="DM41" s="486">
        <f t="shared" si="297"/>
        <v>2589</v>
      </c>
      <c r="DN41" s="487">
        <f t="shared" si="297"/>
        <v>4105</v>
      </c>
      <c r="DO41" s="486">
        <f t="shared" si="297"/>
        <v>3271</v>
      </c>
      <c r="DP41" s="486">
        <f t="shared" si="297"/>
        <v>-2271</v>
      </c>
      <c r="DQ41" s="486">
        <f>+DQ25+DQ33+DQ39+DQ40</f>
        <v>-4222</v>
      </c>
      <c r="DR41" s="486">
        <f t="shared" si="297"/>
        <v>550</v>
      </c>
      <c r="DS41" s="487">
        <f>+DS25+DS33+DS39+DS40</f>
        <v>-2672</v>
      </c>
      <c r="DT41" s="486">
        <f t="shared" ref="DT41:EC41" si="298">+DT25+DT33+DT39+DT40</f>
        <v>-1902</v>
      </c>
      <c r="DU41" s="486">
        <f t="shared" si="298"/>
        <v>981</v>
      </c>
      <c r="DV41" s="486">
        <f t="shared" si="298"/>
        <v>-777</v>
      </c>
      <c r="DW41" s="486">
        <f t="shared" si="298"/>
        <v>-1436</v>
      </c>
      <c r="DX41" s="487">
        <f t="shared" si="298"/>
        <v>-3134</v>
      </c>
      <c r="DY41" s="486">
        <f t="shared" si="298"/>
        <v>219</v>
      </c>
      <c r="DZ41" s="486">
        <f t="shared" si="298"/>
        <v>6036</v>
      </c>
      <c r="EA41" s="486">
        <f t="shared" si="298"/>
        <v>1513</v>
      </c>
      <c r="EB41" s="486">
        <f t="shared" si="298"/>
        <v>-2903</v>
      </c>
      <c r="EC41" s="487">
        <f t="shared" si="298"/>
        <v>4865</v>
      </c>
      <c r="ED41" s="486">
        <f t="shared" ref="ED41:EH41" si="299">+ED25+ED33+ED39+ED40</f>
        <v>-2367</v>
      </c>
      <c r="EE41" s="486">
        <f t="shared" si="299"/>
        <v>124</v>
      </c>
      <c r="EF41" s="486">
        <f t="shared" si="299"/>
        <v>988</v>
      </c>
      <c r="EG41" s="486">
        <f t="shared" si="299"/>
        <v>-1819</v>
      </c>
      <c r="EH41" s="487">
        <f t="shared" si="299"/>
        <v>-3074</v>
      </c>
      <c r="EI41" s="2771">
        <f>+EI25+EI33+EI39+EI40</f>
        <v>-164</v>
      </c>
      <c r="EJ41" s="2771">
        <f t="shared" ref="EJ41:EM41" si="300">+EJ25+EJ33+EJ39+EJ40</f>
        <v>1754</v>
      </c>
      <c r="EK41" s="2771">
        <f t="shared" si="300"/>
        <v>-15</v>
      </c>
      <c r="EL41" s="2771">
        <f t="shared" si="300"/>
        <v>-660</v>
      </c>
      <c r="EM41" s="2772">
        <f t="shared" si="300"/>
        <v>915</v>
      </c>
      <c r="EN41" s="2771">
        <f>+EN25+EN33+EN39+EN40</f>
        <v>7418</v>
      </c>
      <c r="EO41" s="2771">
        <f t="shared" ref="EO41:ER41" si="301">+EO25+EO33+EO39+EO40</f>
        <v>-5460</v>
      </c>
      <c r="EP41" s="2771">
        <f t="shared" si="301"/>
        <v>-1755</v>
      </c>
      <c r="EQ41" s="2771">
        <f t="shared" si="301"/>
        <v>950</v>
      </c>
      <c r="ER41" s="2772">
        <f t="shared" si="301"/>
        <v>1153</v>
      </c>
      <c r="ES41" s="2771">
        <f>+ES25+ES33+ES39+ES40</f>
        <v>-779</v>
      </c>
      <c r="ET41" s="2771">
        <f t="shared" ref="ET41:EU41" si="302">+ET25+ET33+ET39+ET40</f>
        <v>5975</v>
      </c>
      <c r="EU41" s="2771">
        <f t="shared" si="302"/>
        <v>-3638</v>
      </c>
      <c r="EV41" s="486">
        <f t="shared" ref="EU41:EW41" si="303">+EV25+EV33+EV39+EV40</f>
        <v>-1221.0000000000018</v>
      </c>
      <c r="EW41" s="487">
        <f t="shared" si="303"/>
        <v>337.00000000000728</v>
      </c>
      <c r="EX41" s="486">
        <f t="shared" ref="EX41:FG41" si="304">+EX25+EX33+EX39+EX40</f>
        <v>-1.8189894035458565E-12</v>
      </c>
      <c r="EY41" s="486">
        <f t="shared" si="304"/>
        <v>7.2759576141834259E-12</v>
      </c>
      <c r="EZ41" s="486">
        <f t="shared" si="304"/>
        <v>-3.637978807091713E-12</v>
      </c>
      <c r="FA41" s="486">
        <f t="shared" si="304"/>
        <v>-1.8189894035458565E-12</v>
      </c>
      <c r="FB41" s="487">
        <f t="shared" si="304"/>
        <v>1.4551915228366852E-11</v>
      </c>
      <c r="FC41" s="486">
        <f t="shared" si="304"/>
        <v>0</v>
      </c>
      <c r="FD41" s="486">
        <f t="shared" si="304"/>
        <v>3.637978807091713E-12</v>
      </c>
      <c r="FE41" s="486">
        <f t="shared" si="304"/>
        <v>1.8189894035458565E-12</v>
      </c>
      <c r="FF41" s="486">
        <f t="shared" si="304"/>
        <v>-1.8189894035458565E-12</v>
      </c>
      <c r="FG41" s="487">
        <f t="shared" si="304"/>
        <v>1.4551915228366852E-11</v>
      </c>
      <c r="FH41" s="486">
        <f t="shared" ref="FH41:FL41" si="305">+FH25+FH33+FH39+FH40</f>
        <v>-1.8189894035458565E-12</v>
      </c>
      <c r="FI41" s="486">
        <f t="shared" si="305"/>
        <v>1.8189894035458565E-12</v>
      </c>
      <c r="FJ41" s="486">
        <f t="shared" si="305"/>
        <v>1.8189894035458565E-12</v>
      </c>
      <c r="FK41" s="486">
        <f t="shared" si="305"/>
        <v>-3.637978807091713E-12</v>
      </c>
      <c r="FL41" s="487">
        <f t="shared" si="305"/>
        <v>-7.2759576141834259E-12</v>
      </c>
      <c r="FM41" s="898"/>
      <c r="FN41" s="486"/>
      <c r="FO41" s="487">
        <f t="shared" ref="FO41:GF41" si="306">+FO25+FO33+FO39+FO40</f>
        <v>-1080.4184064150832</v>
      </c>
      <c r="FP41" s="487">
        <f t="shared" si="306"/>
        <v>-1496.2477360048651</v>
      </c>
      <c r="FQ41" s="487">
        <f t="shared" si="306"/>
        <v>1724.5467762044282</v>
      </c>
      <c r="FR41" s="487">
        <f t="shared" si="306"/>
        <v>296.17588210575923</v>
      </c>
      <c r="FS41" s="487">
        <f t="shared" si="306"/>
        <v>596.9414090543512</v>
      </c>
      <c r="FT41" s="487">
        <f t="shared" si="306"/>
        <v>-1428.7301933317067</v>
      </c>
      <c r="FU41" s="487">
        <f t="shared" si="306"/>
        <v>525.45787005331658</v>
      </c>
      <c r="FV41" s="487">
        <f t="shared" si="306"/>
        <v>2780.0813889476049</v>
      </c>
      <c r="FW41" s="487">
        <f t="shared" si="306"/>
        <v>602.0830720846061</v>
      </c>
      <c r="FX41" s="487">
        <f t="shared" si="306"/>
        <v>887.8687876654003</v>
      </c>
      <c r="FY41" s="487">
        <f t="shared" si="306"/>
        <v>1074.6802145276197</v>
      </c>
      <c r="FZ41" s="487">
        <f t="shared" si="306"/>
        <v>-5398.8777484683669</v>
      </c>
      <c r="GA41" s="487">
        <f t="shared" si="306"/>
        <v>6587.2470170617817</v>
      </c>
      <c r="GB41" s="487">
        <f t="shared" si="306"/>
        <v>-4591.6423573731736</v>
      </c>
      <c r="GC41" s="487">
        <f t="shared" si="306"/>
        <v>4042.9724242611701</v>
      </c>
      <c r="GD41" s="487">
        <f t="shared" si="306"/>
        <v>-3630.5966210744518</v>
      </c>
      <c r="GE41" s="487">
        <f t="shared" si="306"/>
        <v>759.92215562373167</v>
      </c>
      <c r="GF41" s="487">
        <f t="shared" si="306"/>
        <v>1284.7273196822498</v>
      </c>
      <c r="GG41" s="487">
        <f>+GG25+GG33+GG39+GG40</f>
        <v>4390.8807619679719</v>
      </c>
      <c r="GH41" s="487">
        <f>+GH25+GH33+GH39+GH40</f>
        <v>-4857.3230557933784</v>
      </c>
      <c r="GI41" s="487">
        <f>+GI25+GI33+GI39+GI40</f>
        <v>0.10511023947765352</v>
      </c>
      <c r="GJ41" s="898"/>
      <c r="GK41" s="898"/>
      <c r="GL41" s="898"/>
      <c r="GM41" s="898"/>
      <c r="GO41"/>
      <c r="GP41"/>
      <c r="GQ41"/>
      <c r="GR41"/>
      <c r="GS41"/>
      <c r="GT41"/>
      <c r="GU41" s="261"/>
      <c r="GV41" s="261"/>
      <c r="GW41" s="261"/>
      <c r="GX41" s="261"/>
      <c r="GY41" s="261"/>
      <c r="GZ41" s="261"/>
      <c r="HA41" s="261"/>
      <c r="HB41" s="261"/>
      <c r="HC41" s="261"/>
      <c r="HD41" s="261"/>
      <c r="HE41" s="261"/>
      <c r="HF41" s="261"/>
      <c r="HG41" s="261"/>
      <c r="HH41" s="261"/>
      <c r="HI41" s="261"/>
      <c r="HJ41" s="261"/>
      <c r="HK41" s="261"/>
      <c r="HL41" s="261"/>
      <c r="HM41" s="261"/>
      <c r="HN41" s="261"/>
      <c r="HO41" s="261"/>
      <c r="HP41" s="261"/>
      <c r="HQ41" s="261"/>
      <c r="HR41" s="261"/>
      <c r="HS41" s="261"/>
      <c r="HT41" s="261"/>
      <c r="HU41" s="261"/>
      <c r="HV41" s="261"/>
      <c r="HW41" s="261"/>
      <c r="HX41" s="261"/>
      <c r="HY41" s="261"/>
      <c r="HZ41" s="261"/>
      <c r="IA41" s="261"/>
      <c r="IB41" s="261"/>
      <c r="IC41" s="261"/>
      <c r="ID41" s="261"/>
      <c r="IE41" s="261"/>
      <c r="IF41" s="261"/>
      <c r="IG41" s="261"/>
      <c r="IH41" s="261"/>
      <c r="II41" s="261"/>
      <c r="IJ41" s="261"/>
      <c r="IK41" s="261"/>
      <c r="IL41" s="261"/>
      <c r="IM41" s="261"/>
      <c r="IN41" s="261"/>
      <c r="IO41" s="261"/>
      <c r="IP41" s="261"/>
      <c r="IQ41" s="261"/>
      <c r="IR41" s="261"/>
      <c r="IS41" s="261"/>
      <c r="IT41" s="261"/>
      <c r="IU41" s="261"/>
      <c r="IV41" s="261"/>
      <c r="IW41" s="261"/>
      <c r="IX41" s="261"/>
      <c r="IY41" s="261"/>
      <c r="IZ41" s="261"/>
      <c r="JA41" s="261"/>
      <c r="JB41" s="261"/>
      <c r="JC41" s="261"/>
      <c r="JD41" s="261"/>
      <c r="JE41" s="261"/>
      <c r="JF41" s="261"/>
      <c r="JG41" s="261"/>
      <c r="JH41" s="261"/>
      <c r="JI41" s="261"/>
      <c r="JJ41" s="261"/>
      <c r="JK41" s="261"/>
      <c r="JL41" s="261"/>
      <c r="JM41" s="261"/>
      <c r="JN41" s="261"/>
      <c r="JO41" s="261"/>
      <c r="JP41" s="261"/>
      <c r="JQ41" s="261"/>
      <c r="JR41" s="261"/>
      <c r="JS41" s="261"/>
      <c r="JT41" s="261"/>
    </row>
    <row r="42" spans="1:280" s="264" customFormat="1" ht="11.25" customHeight="1">
      <c r="A42" s="264" t="s">
        <v>736</v>
      </c>
      <c r="D42" s="325">
        <f>+BS!C8</f>
        <v>0</v>
      </c>
      <c r="E42" s="325">
        <f>+BS!D8</f>
        <v>0</v>
      </c>
      <c r="F42" s="325">
        <f>+BS!E8</f>
        <v>0</v>
      </c>
      <c r="G42" s="325">
        <f>+BS!F8</f>
        <v>0</v>
      </c>
      <c r="H42" s="324">
        <f>SUM(D42:G42)</f>
        <v>0</v>
      </c>
      <c r="I42" s="325">
        <f>+BS!G8</f>
        <v>0</v>
      </c>
      <c r="J42" s="325">
        <f>+BS!I8</f>
        <v>0</v>
      </c>
      <c r="K42" s="325">
        <f>+BS!J8</f>
        <v>0</v>
      </c>
      <c r="L42" s="325">
        <f>+BS!K8</f>
        <v>0</v>
      </c>
      <c r="M42" s="324">
        <f>BS!H8</f>
        <v>0</v>
      </c>
      <c r="N42" s="325">
        <f>+BS!L8</f>
        <v>0</v>
      </c>
      <c r="O42" s="325">
        <f>+BS!N8</f>
        <v>0</v>
      </c>
      <c r="P42" s="325">
        <f>+BS!O8</f>
        <v>0</v>
      </c>
      <c r="Q42" s="325">
        <f>+BS!P8</f>
        <v>0</v>
      </c>
      <c r="R42" s="324">
        <f>BS!M8</f>
        <v>0</v>
      </c>
      <c r="S42" s="325">
        <f>+BS!Q8</f>
        <v>417.17099999999999</v>
      </c>
      <c r="T42" s="325">
        <f>+BS!S8</f>
        <v>486.9</v>
      </c>
      <c r="U42" s="325">
        <f>+BS!T8</f>
        <v>613.6</v>
      </c>
      <c r="V42" s="325">
        <f>+BS!U8</f>
        <v>632.4</v>
      </c>
      <c r="W42" s="324">
        <f>BS!R8</f>
        <v>417.17099999999999</v>
      </c>
      <c r="X42" s="325">
        <f>+BS!V8</f>
        <v>791.43799999999999</v>
      </c>
      <c r="Y42" s="325">
        <f>+BS!X8</f>
        <v>813</v>
      </c>
      <c r="Z42" s="325">
        <f>+BS!Y8</f>
        <v>840</v>
      </c>
      <c r="AA42" s="325">
        <f>+BS!Z8</f>
        <v>855</v>
      </c>
      <c r="AB42" s="324">
        <f>BS!W8</f>
        <v>791.43799999999999</v>
      </c>
      <c r="AC42" s="325">
        <f>+BS!AA8</f>
        <v>1013</v>
      </c>
      <c r="AD42" s="325">
        <f>+BS!AC8</f>
        <v>843</v>
      </c>
      <c r="AE42" s="325">
        <f>+BS!AD8</f>
        <v>951</v>
      </c>
      <c r="AF42" s="325">
        <f>+BS!AE8</f>
        <v>1152</v>
      </c>
      <c r="AG42" s="324">
        <f>BS!AB8</f>
        <v>1013</v>
      </c>
      <c r="AH42" s="325">
        <f>+BS!AF8</f>
        <v>1477</v>
      </c>
      <c r="AI42" s="325">
        <f>+BS!AH8</f>
        <v>1326</v>
      </c>
      <c r="AJ42" s="325">
        <f>+BS!AI8</f>
        <v>917</v>
      </c>
      <c r="AK42" s="325">
        <f>+BS!AJ8</f>
        <v>1205</v>
      </c>
      <c r="AL42" s="324">
        <f>BS!AG8</f>
        <v>1477</v>
      </c>
      <c r="AM42" s="325">
        <f>+BS!AK8</f>
        <v>1962</v>
      </c>
      <c r="AN42" s="325">
        <f>+BS!AM8</f>
        <v>1906</v>
      </c>
      <c r="AO42" s="325">
        <f>+BS!AN8</f>
        <v>2323</v>
      </c>
      <c r="AP42" s="325">
        <f>+BS!AO8</f>
        <v>2937</v>
      </c>
      <c r="AQ42" s="324">
        <f>BS!AL8</f>
        <v>1962</v>
      </c>
      <c r="AR42" s="325">
        <f>+BS!AP8</f>
        <v>2601</v>
      </c>
      <c r="AS42" s="325">
        <f>+BS!AR8</f>
        <v>3018</v>
      </c>
      <c r="AT42" s="325">
        <f>+BS!AS8</f>
        <v>3096</v>
      </c>
      <c r="AU42" s="325">
        <f>+BS!AT8</f>
        <v>3852</v>
      </c>
      <c r="AV42" s="324">
        <f>BS!AQ8</f>
        <v>2601</v>
      </c>
      <c r="AW42" s="325">
        <f>+BS!AU8</f>
        <v>3706</v>
      </c>
      <c r="AX42" s="325">
        <f>+BS!AW8</f>
        <v>3945</v>
      </c>
      <c r="AY42" s="325">
        <f>+BS!AX8</f>
        <v>2582</v>
      </c>
      <c r="AZ42" s="325">
        <f>+BS!AY8</f>
        <v>4110</v>
      </c>
      <c r="BA42" s="324">
        <f>BS!AV8</f>
        <v>3706</v>
      </c>
      <c r="BB42" s="324">
        <f>+BS!AZ8</f>
        <v>3839</v>
      </c>
      <c r="BC42" s="325">
        <f>+BS!BB8</f>
        <v>5191</v>
      </c>
      <c r="BD42" s="325">
        <f>+BS!BC8</f>
        <v>6113</v>
      </c>
      <c r="BE42" s="325">
        <f>+BS!BD8</f>
        <v>6203</v>
      </c>
      <c r="BF42" s="324">
        <f>BS!BA8</f>
        <v>3839</v>
      </c>
      <c r="BG42" s="324">
        <f>+BS!BE8</f>
        <v>4975</v>
      </c>
      <c r="BH42" s="325">
        <f>+BS!BG8</f>
        <v>4789</v>
      </c>
      <c r="BI42" s="325">
        <f>+BS!BH8</f>
        <v>5032</v>
      </c>
      <c r="BJ42" s="325">
        <f>+BS!BI8</f>
        <v>5192</v>
      </c>
      <c r="BK42" s="324">
        <f>BS!BF8</f>
        <v>4975</v>
      </c>
      <c r="BL42" s="325">
        <f>+BS!BJ8</f>
        <v>4846</v>
      </c>
      <c r="BM42" s="325">
        <f>+BS!BL8</f>
        <v>2641</v>
      </c>
      <c r="BN42" s="325">
        <f>+BS!BM8</f>
        <v>3531</v>
      </c>
      <c r="BO42" s="325">
        <f>+BS!BN8</f>
        <v>4149</v>
      </c>
      <c r="BP42" s="324">
        <f>BS!BK8</f>
        <v>4846</v>
      </c>
      <c r="BQ42" s="325">
        <f>+BS!BO8</f>
        <v>3922</v>
      </c>
      <c r="BR42" s="325">
        <f>+BS!BQ8</f>
        <v>3113</v>
      </c>
      <c r="BS42" s="325">
        <f>+BS!BR8</f>
        <v>5256</v>
      </c>
      <c r="BT42" s="325">
        <f>+BS!BS8</f>
        <v>5116</v>
      </c>
      <c r="BU42" s="324">
        <f>BS!BP8</f>
        <v>3922</v>
      </c>
      <c r="BV42" s="325">
        <f>+BS!BT8</f>
        <v>3016</v>
      </c>
      <c r="BW42" s="325">
        <f>+BS!BV8</f>
        <v>5338</v>
      </c>
      <c r="BX42" s="325">
        <f>+BS!BW8</f>
        <v>5552</v>
      </c>
      <c r="BY42" s="325">
        <f>+BS!BX8</f>
        <v>4300</v>
      </c>
      <c r="BZ42" s="324">
        <f>BS!BU8</f>
        <v>3016</v>
      </c>
      <c r="CA42" s="325">
        <f>+BS!BY8</f>
        <v>6438</v>
      </c>
      <c r="CB42" s="325">
        <f>+BS!CA8</f>
        <v>5768</v>
      </c>
      <c r="CC42" s="325">
        <f>+BS!CB8</f>
        <v>6149</v>
      </c>
      <c r="CD42" s="325">
        <f>+BS!CC8</f>
        <v>7787</v>
      </c>
      <c r="CE42" s="324">
        <f>BS!BZ8</f>
        <v>6438</v>
      </c>
      <c r="CF42" s="325">
        <f>+BS!CD8</f>
        <v>14304</v>
      </c>
      <c r="CG42" s="325">
        <f>+BS!CF8</f>
        <v>9462</v>
      </c>
      <c r="CH42" s="325">
        <f>+BS!CG8</f>
        <v>3558</v>
      </c>
      <c r="CI42" s="325">
        <f>+BS!CH8</f>
        <v>3782</v>
      </c>
      <c r="CJ42" s="324">
        <f>BS!CE8</f>
        <v>14304</v>
      </c>
      <c r="CK42" s="325">
        <f>+BS!CI8</f>
        <v>4851</v>
      </c>
      <c r="CL42" s="325">
        <f>+BS!CK8</f>
        <v>2974</v>
      </c>
      <c r="CM42" s="325">
        <f>+BS!CL8</f>
        <v>4083</v>
      </c>
      <c r="CN42" s="325">
        <f>+BS!CM8</f>
        <v>4351</v>
      </c>
      <c r="CO42" s="324">
        <f>BS!CJ8</f>
        <v>4851</v>
      </c>
      <c r="CP42" s="325">
        <f>+BS!CN8</f>
        <v>6714</v>
      </c>
      <c r="CQ42" s="325">
        <f>+BS!CP8</f>
        <v>9076</v>
      </c>
      <c r="CR42" s="325">
        <f>+BS!CQ8</f>
        <v>6859</v>
      </c>
      <c r="CS42" s="325">
        <f>+BS!CR8</f>
        <v>7611</v>
      </c>
      <c r="CT42" s="324">
        <f>BS!CO8</f>
        <v>6714</v>
      </c>
      <c r="CU42" s="325">
        <f>+BS!CS8</f>
        <v>6111</v>
      </c>
      <c r="CV42" s="325">
        <f>+BS!CU8</f>
        <v>6637</v>
      </c>
      <c r="CW42" s="325">
        <f>+BS!CV8</f>
        <v>7460</v>
      </c>
      <c r="CX42" s="325">
        <f>+BS!CW8</f>
        <v>11820</v>
      </c>
      <c r="CY42" s="324">
        <f>BS!CT8</f>
        <v>6111</v>
      </c>
      <c r="CZ42" s="325">
        <f>+BS!CX8</f>
        <v>10339</v>
      </c>
      <c r="DA42" s="325">
        <f>+BS!CZ8</f>
        <v>9004</v>
      </c>
      <c r="DB42" s="325">
        <f>+BS!DA8</f>
        <v>8346</v>
      </c>
      <c r="DC42" s="325">
        <f>+BS!DB8</f>
        <v>7285</v>
      </c>
      <c r="DD42" s="324">
        <f>BS!CY8</f>
        <v>10339</v>
      </c>
      <c r="DE42" s="325">
        <f>+BS!DD8</f>
        <v>6076</v>
      </c>
      <c r="DF42" s="325">
        <f>+BS!DE8</f>
        <v>8823</v>
      </c>
      <c r="DG42" s="325">
        <f>+BS!DF8</f>
        <v>9422</v>
      </c>
      <c r="DH42" s="325">
        <f>+BS!DG8</f>
        <v>8155</v>
      </c>
      <c r="DI42" s="324">
        <f>BS!DD8</f>
        <v>6076</v>
      </c>
      <c r="DJ42" s="325">
        <f>+BS!DI8</f>
        <v>5505</v>
      </c>
      <c r="DK42" s="325">
        <f>+BS!DJ8</f>
        <v>8161</v>
      </c>
      <c r="DL42" s="325">
        <f>+BS!DK8</f>
        <v>4023</v>
      </c>
      <c r="DM42" s="325">
        <f>+BS!DL8</f>
        <v>7021</v>
      </c>
      <c r="DN42" s="324">
        <f>BS!DI8</f>
        <v>5505</v>
      </c>
      <c r="DO42" s="325">
        <f>+BS!DN8</f>
        <v>9610</v>
      </c>
      <c r="DP42" s="325">
        <f>+BS!DO8</f>
        <v>12881</v>
      </c>
      <c r="DQ42" s="325">
        <f>+BS!DP8</f>
        <v>10610</v>
      </c>
      <c r="DR42" s="325">
        <f>+BS!DQ8</f>
        <v>6388</v>
      </c>
      <c r="DS42" s="372">
        <f>BS!DN8</f>
        <v>9610</v>
      </c>
      <c r="DT42" s="325">
        <f>+BS!DS8</f>
        <v>6938</v>
      </c>
      <c r="DU42" s="325">
        <f>+BS!DT8</f>
        <v>5036</v>
      </c>
      <c r="DV42" s="325">
        <f>+BS!DU8</f>
        <v>6017</v>
      </c>
      <c r="DW42" s="325">
        <f>+BS!DV8</f>
        <v>5240</v>
      </c>
      <c r="DX42" s="324">
        <f>BS!DS8</f>
        <v>6938</v>
      </c>
      <c r="DY42" s="325">
        <f>+BS!DX8</f>
        <v>3804</v>
      </c>
      <c r="DZ42" s="325">
        <f>+BS!DY8</f>
        <v>4023</v>
      </c>
      <c r="EA42" s="325">
        <f>+BS!DZ8</f>
        <v>10059</v>
      </c>
      <c r="EB42" s="325">
        <f>+BS!EA8</f>
        <v>11572</v>
      </c>
      <c r="EC42" s="324">
        <f>BS!DX8</f>
        <v>3804</v>
      </c>
      <c r="ED42" s="325">
        <f>+BS!EC8</f>
        <v>8669</v>
      </c>
      <c r="EE42" s="325">
        <f>+BS!ED8</f>
        <v>6302</v>
      </c>
      <c r="EF42" s="325">
        <f>+BS!EE8</f>
        <v>6426</v>
      </c>
      <c r="EG42" s="325">
        <f>+BS!EF8</f>
        <v>7414</v>
      </c>
      <c r="EH42" s="324">
        <f>BS!EC8</f>
        <v>8669</v>
      </c>
      <c r="EI42" s="325">
        <f>+BS!EH8</f>
        <v>5595</v>
      </c>
      <c r="EJ42" s="325">
        <f>+BS!EI8</f>
        <v>5431</v>
      </c>
      <c r="EK42" s="325">
        <f>+BS!EJ8</f>
        <v>7185</v>
      </c>
      <c r="EL42" s="325">
        <f>+BS!EK8</f>
        <v>7170</v>
      </c>
      <c r="EM42" s="324">
        <f>BS!EH8</f>
        <v>5595</v>
      </c>
      <c r="EN42" s="325">
        <f>+BS!EM8</f>
        <v>6510</v>
      </c>
      <c r="EO42" s="325">
        <f>+BS!EN8</f>
        <v>13928</v>
      </c>
      <c r="EP42" s="325">
        <f>+BS!EO8</f>
        <v>8468</v>
      </c>
      <c r="EQ42" s="325">
        <f>+BS!EP8</f>
        <v>6713</v>
      </c>
      <c r="ER42" s="324">
        <f>BS!EM8</f>
        <v>6510</v>
      </c>
      <c r="ES42" s="325">
        <f>+BS!ER8</f>
        <v>7663</v>
      </c>
      <c r="ET42" s="325">
        <f>+BS!ES8</f>
        <v>6884</v>
      </c>
      <c r="EU42" s="325">
        <f>+BS!ET8</f>
        <v>12859</v>
      </c>
      <c r="EV42" s="325">
        <f>+BS!EU8</f>
        <v>9221</v>
      </c>
      <c r="EW42" s="324">
        <f>BS!ER8</f>
        <v>7663</v>
      </c>
      <c r="EX42" s="325">
        <f>+BS!EW8</f>
        <v>7999.9999999999982</v>
      </c>
      <c r="EY42" s="325">
        <f>+BS!EX8</f>
        <v>7999.9999999999964</v>
      </c>
      <c r="EZ42" s="325">
        <f>+BS!EY8</f>
        <v>8000.0000000000036</v>
      </c>
      <c r="FA42" s="325">
        <f>+BS!EZ8</f>
        <v>8000</v>
      </c>
      <c r="FB42" s="324">
        <f>BS!EW8</f>
        <v>7999.9999999999982</v>
      </c>
      <c r="FC42" s="325">
        <f>+BS!FB8</f>
        <v>7999.9999999999982</v>
      </c>
      <c r="FD42" s="325">
        <f>+BS!FC8</f>
        <v>7999.9999999999982</v>
      </c>
      <c r="FE42" s="325">
        <f>+BS!FD8</f>
        <v>8000.0000000000018</v>
      </c>
      <c r="FF42" s="325">
        <f>+BS!FE8</f>
        <v>8000.0000000000036</v>
      </c>
      <c r="FG42" s="324">
        <f>BS!FB8</f>
        <v>7999.9999999999982</v>
      </c>
      <c r="FH42" s="325">
        <f>+BS!FG8</f>
        <v>8000.0000000000018</v>
      </c>
      <c r="FI42" s="325">
        <f>+BS!FH8</f>
        <v>8000</v>
      </c>
      <c r="FJ42" s="325">
        <f>+BS!FI8</f>
        <v>8000.0000000000018</v>
      </c>
      <c r="FK42" s="325">
        <f>+BS!FJ8</f>
        <v>8000.0000000000036</v>
      </c>
      <c r="FL42" s="324">
        <f>BS!FG8</f>
        <v>8000.0000000000018</v>
      </c>
      <c r="FM42" s="377"/>
      <c r="FN42" s="325"/>
      <c r="FO42" s="339"/>
      <c r="FP42" s="339"/>
      <c r="FQ42" s="339"/>
      <c r="FR42" s="324"/>
      <c r="FS42" s="324"/>
      <c r="FT42" s="324"/>
      <c r="FU42" s="324"/>
      <c r="FV42" s="324"/>
      <c r="FW42" s="324"/>
      <c r="FX42" s="324"/>
      <c r="FY42" s="324"/>
      <c r="FZ42" s="324"/>
      <c r="GA42" s="324"/>
      <c r="GB42" s="324"/>
      <c r="GC42" s="324"/>
      <c r="GD42" s="324"/>
      <c r="GE42" s="324"/>
      <c r="GF42" s="324"/>
      <c r="GG42" s="324"/>
      <c r="GH42" s="324"/>
      <c r="GI42" s="324"/>
      <c r="GJ42" s="377"/>
      <c r="GK42" s="377"/>
      <c r="GL42" s="377"/>
      <c r="GM42" s="377"/>
      <c r="GO42"/>
      <c r="GP42"/>
      <c r="GQ42"/>
      <c r="GR42"/>
      <c r="GS42"/>
      <c r="GT42"/>
      <c r="GU42" s="261"/>
      <c r="GV42" s="261"/>
      <c r="GW42" s="261"/>
      <c r="GX42" s="261"/>
      <c r="GY42" s="261"/>
      <c r="GZ42" s="261"/>
      <c r="HA42" s="261"/>
      <c r="HB42" s="261"/>
      <c r="HC42" s="261"/>
      <c r="HD42" s="261"/>
      <c r="HE42" s="261"/>
      <c r="HF42" s="261"/>
      <c r="HG42" s="261"/>
      <c r="HH42" s="261"/>
      <c r="HI42" s="261"/>
      <c r="HJ42" s="261"/>
      <c r="HK42" s="261"/>
      <c r="HL42" s="261"/>
      <c r="HM42" s="261"/>
      <c r="HN42" s="261"/>
      <c r="HO42" s="261"/>
      <c r="HP42" s="261"/>
      <c r="HQ42" s="261"/>
      <c r="HR42" s="261"/>
      <c r="HS42" s="261"/>
      <c r="HT42" s="261"/>
      <c r="HU42" s="261"/>
      <c r="HV42" s="261"/>
      <c r="HW42" s="261"/>
      <c r="HX42" s="261"/>
      <c r="HY42" s="261"/>
      <c r="HZ42" s="261"/>
      <c r="IA42" s="261"/>
      <c r="IB42" s="261"/>
      <c r="IC42" s="261"/>
      <c r="ID42" s="261"/>
      <c r="IE42" s="261"/>
      <c r="IF42" s="261"/>
      <c r="IG42" s="261"/>
      <c r="IH42" s="261"/>
      <c r="II42" s="261"/>
      <c r="IJ42" s="261"/>
      <c r="IK42" s="261"/>
      <c r="IL42" s="261"/>
      <c r="IM42" s="261"/>
      <c r="IN42" s="261"/>
      <c r="IO42" s="261"/>
      <c r="IP42" s="261"/>
      <c r="IQ42" s="261"/>
      <c r="IR42" s="261"/>
      <c r="IS42" s="261"/>
      <c r="IT42" s="261"/>
      <c r="IU42" s="261"/>
      <c r="IV42" s="261"/>
      <c r="IW42" s="261"/>
      <c r="IX42" s="261"/>
      <c r="IY42" s="261"/>
      <c r="IZ42" s="261"/>
      <c r="JA42" s="261"/>
      <c r="JB42" s="261"/>
      <c r="JC42" s="261"/>
      <c r="JD42" s="261"/>
      <c r="JE42" s="261"/>
      <c r="JF42" s="261"/>
      <c r="JG42" s="261"/>
      <c r="JH42" s="261"/>
      <c r="JI42" s="261"/>
      <c r="JJ42" s="261"/>
      <c r="JK42" s="261"/>
      <c r="JL42" s="261"/>
      <c r="JM42" s="261"/>
      <c r="JN42" s="261"/>
      <c r="JO42" s="261"/>
      <c r="JP42" s="261"/>
      <c r="JQ42" s="261"/>
      <c r="JR42" s="261"/>
      <c r="JS42" s="261"/>
      <c r="JT42" s="261"/>
    </row>
    <row r="43" spans="1:280" s="287" customFormat="1" ht="11.25" customHeight="1">
      <c r="A43" s="489" t="s">
        <v>737</v>
      </c>
      <c r="B43" s="379"/>
      <c r="C43" s="379"/>
      <c r="D43" s="490">
        <f t="shared" ref="D43:AQ43" si="307">+SUM(D41:D42)</f>
        <v>37</v>
      </c>
      <c r="E43" s="490">
        <f t="shared" si="307"/>
        <v>46.705000000000013</v>
      </c>
      <c r="F43" s="490">
        <f t="shared" si="307"/>
        <v>41.203000000000003</v>
      </c>
      <c r="G43" s="490">
        <f t="shared" si="307"/>
        <v>46.405000000000001</v>
      </c>
      <c r="H43" s="491">
        <f t="shared" si="307"/>
        <v>171.31300000000002</v>
      </c>
      <c r="I43" s="490">
        <f t="shared" si="307"/>
        <v>50.122</v>
      </c>
      <c r="J43" s="490">
        <f t="shared" si="307"/>
        <v>73.704000000000008</v>
      </c>
      <c r="K43" s="490">
        <f t="shared" si="307"/>
        <v>74.873999999999995</v>
      </c>
      <c r="L43" s="490">
        <f t="shared" si="307"/>
        <v>80.485000000000014</v>
      </c>
      <c r="M43" s="491">
        <f t="shared" si="307"/>
        <v>279.185</v>
      </c>
      <c r="N43" s="490">
        <f t="shared" si="307"/>
        <v>87.399999999999977</v>
      </c>
      <c r="O43" s="490">
        <f t="shared" si="307"/>
        <v>112.5</v>
      </c>
      <c r="P43" s="490">
        <f t="shared" si="307"/>
        <v>124</v>
      </c>
      <c r="Q43" s="490">
        <f t="shared" si="307"/>
        <v>139</v>
      </c>
      <c r="R43" s="491">
        <f t="shared" si="307"/>
        <v>462.9</v>
      </c>
      <c r="S43" s="490">
        <f t="shared" si="307"/>
        <v>561.17100000000005</v>
      </c>
      <c r="T43" s="490">
        <f t="shared" si="307"/>
        <v>661.9</v>
      </c>
      <c r="U43" s="490">
        <f t="shared" si="307"/>
        <v>792.6</v>
      </c>
      <c r="V43" s="490">
        <f t="shared" si="307"/>
        <v>842.59999999999991</v>
      </c>
      <c r="W43" s="491">
        <f t="shared" si="307"/>
        <v>1125.3710000000001</v>
      </c>
      <c r="X43" s="490">
        <f t="shared" si="307"/>
        <v>1000.438</v>
      </c>
      <c r="Y43" s="490">
        <f t="shared" si="307"/>
        <v>1049</v>
      </c>
      <c r="Z43" s="490">
        <f t="shared" si="307"/>
        <v>1083</v>
      </c>
      <c r="AA43" s="490">
        <f t="shared" si="307"/>
        <v>1120</v>
      </c>
      <c r="AB43" s="491">
        <f t="shared" si="307"/>
        <v>1744.4380000000001</v>
      </c>
      <c r="AC43" s="490">
        <f t="shared" si="307"/>
        <v>1252</v>
      </c>
      <c r="AD43" s="490">
        <f t="shared" si="307"/>
        <v>1132</v>
      </c>
      <c r="AE43" s="490">
        <f t="shared" si="307"/>
        <v>1207</v>
      </c>
      <c r="AF43" s="490">
        <f t="shared" si="307"/>
        <v>832</v>
      </c>
      <c r="AG43" s="491">
        <f t="shared" si="307"/>
        <v>1477</v>
      </c>
      <c r="AH43" s="490">
        <f t="shared" si="307"/>
        <v>1326</v>
      </c>
      <c r="AI43" s="490">
        <f t="shared" si="307"/>
        <v>917</v>
      </c>
      <c r="AJ43" s="490">
        <f t="shared" si="307"/>
        <v>1205</v>
      </c>
      <c r="AK43" s="490">
        <f t="shared" si="307"/>
        <v>1916</v>
      </c>
      <c r="AL43" s="491">
        <f t="shared" si="307"/>
        <v>1916</v>
      </c>
      <c r="AM43" s="490">
        <f t="shared" si="307"/>
        <v>1906</v>
      </c>
      <c r="AN43" s="490">
        <f t="shared" si="307"/>
        <v>2323</v>
      </c>
      <c r="AO43" s="490">
        <f t="shared" si="307"/>
        <v>2937</v>
      </c>
      <c r="AP43" s="490">
        <f t="shared" si="307"/>
        <v>2601</v>
      </c>
      <c r="AQ43" s="491">
        <f t="shared" si="307"/>
        <v>2601</v>
      </c>
      <c r="AR43" s="490">
        <f t="shared" ref="AR43:BZ43" si="308">+SUM(AR41:AR42)</f>
        <v>3018</v>
      </c>
      <c r="AS43" s="490">
        <f t="shared" si="308"/>
        <v>3096</v>
      </c>
      <c r="AT43" s="490">
        <f t="shared" si="308"/>
        <v>3852</v>
      </c>
      <c r="AU43" s="490">
        <f t="shared" si="308"/>
        <v>3706</v>
      </c>
      <c r="AV43" s="491">
        <f t="shared" si="308"/>
        <v>3706</v>
      </c>
      <c r="AW43" s="490">
        <f t="shared" si="308"/>
        <v>3945</v>
      </c>
      <c r="AX43" s="490">
        <f t="shared" si="308"/>
        <v>2582</v>
      </c>
      <c r="AY43" s="490">
        <f t="shared" si="308"/>
        <v>4110</v>
      </c>
      <c r="AZ43" s="490">
        <f t="shared" si="308"/>
        <v>3839</v>
      </c>
      <c r="BA43" s="491">
        <f t="shared" si="308"/>
        <v>3839</v>
      </c>
      <c r="BB43" s="491">
        <f t="shared" si="308"/>
        <v>5191</v>
      </c>
      <c r="BC43" s="490">
        <f t="shared" si="308"/>
        <v>6113</v>
      </c>
      <c r="BD43" s="490">
        <f t="shared" si="308"/>
        <v>6203</v>
      </c>
      <c r="BE43" s="490">
        <f t="shared" si="308"/>
        <v>4975</v>
      </c>
      <c r="BF43" s="491">
        <f t="shared" si="308"/>
        <v>4975</v>
      </c>
      <c r="BG43" s="491">
        <f t="shared" si="308"/>
        <v>4789</v>
      </c>
      <c r="BH43" s="490">
        <f t="shared" si="308"/>
        <v>5032</v>
      </c>
      <c r="BI43" s="490">
        <f t="shared" si="308"/>
        <v>5192</v>
      </c>
      <c r="BJ43" s="490">
        <f t="shared" si="308"/>
        <v>4846</v>
      </c>
      <c r="BK43" s="491">
        <f t="shared" si="308"/>
        <v>4846</v>
      </c>
      <c r="BL43" s="490">
        <f t="shared" si="308"/>
        <v>2641</v>
      </c>
      <c r="BM43" s="490">
        <f t="shared" si="308"/>
        <v>3531</v>
      </c>
      <c r="BN43" s="490">
        <f t="shared" si="308"/>
        <v>4149</v>
      </c>
      <c r="BO43" s="490">
        <f t="shared" si="308"/>
        <v>3922</v>
      </c>
      <c r="BP43" s="491">
        <f t="shared" si="308"/>
        <v>3922</v>
      </c>
      <c r="BQ43" s="490">
        <f t="shared" si="308"/>
        <v>3113</v>
      </c>
      <c r="BR43" s="490">
        <f t="shared" si="308"/>
        <v>5256</v>
      </c>
      <c r="BS43" s="490">
        <f t="shared" si="308"/>
        <v>5116</v>
      </c>
      <c r="BT43" s="490">
        <f t="shared" si="308"/>
        <v>3016</v>
      </c>
      <c r="BU43" s="491">
        <f t="shared" si="308"/>
        <v>3016</v>
      </c>
      <c r="BV43" s="490">
        <f t="shared" si="308"/>
        <v>5338</v>
      </c>
      <c r="BW43" s="490">
        <f t="shared" si="308"/>
        <v>5552</v>
      </c>
      <c r="BX43" s="490">
        <f t="shared" si="308"/>
        <v>4299.99</v>
      </c>
      <c r="BY43" s="490">
        <f>+SUM(BY41:BY42)</f>
        <v>6438.18</v>
      </c>
      <c r="BZ43" s="491">
        <f t="shared" si="308"/>
        <v>6438.1699999999992</v>
      </c>
      <c r="CA43" s="490">
        <f>+SUM(CA41:CA42)</f>
        <v>5768</v>
      </c>
      <c r="CB43" s="490">
        <f>+SUM(CB41:CB42)</f>
        <v>6149.04</v>
      </c>
      <c r="CC43" s="490">
        <f>+SUM(CC41:CC42)-1162</f>
        <v>7787</v>
      </c>
      <c r="CD43" s="490">
        <f>+SUM(CD41:CD42)+1</f>
        <v>14304</v>
      </c>
      <c r="CE43" s="491">
        <f>CD43</f>
        <v>14304</v>
      </c>
      <c r="CF43" s="490">
        <f t="shared" ref="CF43:CO43" si="309">+SUM(CF41:CF42)</f>
        <v>9462</v>
      </c>
      <c r="CG43" s="490">
        <f t="shared" si="309"/>
        <v>3558</v>
      </c>
      <c r="CH43" s="490">
        <f t="shared" si="309"/>
        <v>3782</v>
      </c>
      <c r="CI43" s="490">
        <f>+SUM(CI41:CI42)</f>
        <v>4851</v>
      </c>
      <c r="CJ43" s="491">
        <f>+SUM(CJ41:CJ42)</f>
        <v>4851</v>
      </c>
      <c r="CK43" s="490">
        <f t="shared" si="309"/>
        <v>2974</v>
      </c>
      <c r="CL43" s="490">
        <f t="shared" si="309"/>
        <v>4083</v>
      </c>
      <c r="CM43" s="490">
        <f t="shared" si="309"/>
        <v>4351</v>
      </c>
      <c r="CN43" s="490">
        <f t="shared" si="309"/>
        <v>6714</v>
      </c>
      <c r="CO43" s="491">
        <f t="shared" si="309"/>
        <v>6714</v>
      </c>
      <c r="CP43" s="490">
        <f t="shared" ref="CP43:DD43" si="310">+SUM(CP41:CP42)</f>
        <v>9076</v>
      </c>
      <c r="CQ43" s="490">
        <f t="shared" si="310"/>
        <v>6859</v>
      </c>
      <c r="CR43" s="490">
        <f t="shared" si="310"/>
        <v>7611</v>
      </c>
      <c r="CS43" s="490">
        <f t="shared" si="310"/>
        <v>6111</v>
      </c>
      <c r="CT43" s="491">
        <f t="shared" si="310"/>
        <v>6111</v>
      </c>
      <c r="CU43" s="490">
        <f>+SUM(CU41:CU42)</f>
        <v>6637</v>
      </c>
      <c r="CV43" s="490">
        <f t="shared" si="310"/>
        <v>7460</v>
      </c>
      <c r="CW43" s="490">
        <f t="shared" si="310"/>
        <v>11820</v>
      </c>
      <c r="CX43" s="490">
        <f t="shared" si="310"/>
        <v>10339</v>
      </c>
      <c r="CY43" s="491">
        <f t="shared" si="310"/>
        <v>10339</v>
      </c>
      <c r="CZ43" s="490">
        <f t="shared" si="310"/>
        <v>9004</v>
      </c>
      <c r="DA43" s="490">
        <f t="shared" si="310"/>
        <v>8346</v>
      </c>
      <c r="DB43" s="490">
        <f t="shared" si="310"/>
        <v>7284.9627100840335</v>
      </c>
      <c r="DC43" s="490">
        <f t="shared" si="310"/>
        <v>6076</v>
      </c>
      <c r="DD43" s="491">
        <f t="shared" si="310"/>
        <v>6075.9627100840335</v>
      </c>
      <c r="DE43" s="490">
        <f t="shared" ref="DE43:DM43" si="311">+SUM(DE41:DE42)</f>
        <v>8823</v>
      </c>
      <c r="DF43" s="490">
        <f t="shared" si="311"/>
        <v>9422</v>
      </c>
      <c r="DG43" s="490">
        <f t="shared" si="311"/>
        <v>8155</v>
      </c>
      <c r="DH43" s="490">
        <f t="shared" si="311"/>
        <v>5505</v>
      </c>
      <c r="DI43" s="491">
        <f t="shared" si="311"/>
        <v>5505</v>
      </c>
      <c r="DJ43" s="490">
        <f t="shared" si="311"/>
        <v>8161</v>
      </c>
      <c r="DK43" s="490">
        <f t="shared" si="311"/>
        <v>4023</v>
      </c>
      <c r="DL43" s="490">
        <f t="shared" si="311"/>
        <v>7021</v>
      </c>
      <c r="DM43" s="490">
        <f t="shared" si="311"/>
        <v>9610</v>
      </c>
      <c r="DN43" s="491">
        <f>+SUM(DN41:DN42)</f>
        <v>9610</v>
      </c>
      <c r="DO43" s="490">
        <f t="shared" ref="DO43:DW43" si="312">+SUM(DO41:DO42)</f>
        <v>12881</v>
      </c>
      <c r="DP43" s="490">
        <f t="shared" si="312"/>
        <v>10610</v>
      </c>
      <c r="DQ43" s="490">
        <f>+SUM(DQ41:DQ42)</f>
        <v>6388</v>
      </c>
      <c r="DR43" s="490">
        <f t="shared" si="312"/>
        <v>6938</v>
      </c>
      <c r="DS43" s="491">
        <f>+SUM(DS41:DS42)</f>
        <v>6938</v>
      </c>
      <c r="DT43" s="490">
        <f t="shared" si="312"/>
        <v>5036</v>
      </c>
      <c r="DU43" s="490">
        <f t="shared" si="312"/>
        <v>6017</v>
      </c>
      <c r="DV43" s="490">
        <f t="shared" si="312"/>
        <v>5240</v>
      </c>
      <c r="DW43" s="490">
        <f t="shared" si="312"/>
        <v>3804</v>
      </c>
      <c r="DX43" s="491">
        <f t="shared" ref="DX43:EC43" si="313">+SUM(DX41:DX42)</f>
        <v>3804</v>
      </c>
      <c r="DY43" s="490">
        <f t="shared" si="313"/>
        <v>4023</v>
      </c>
      <c r="DZ43" s="490">
        <f t="shared" si="313"/>
        <v>10059</v>
      </c>
      <c r="EA43" s="490">
        <f t="shared" si="313"/>
        <v>11572</v>
      </c>
      <c r="EB43" s="490">
        <f t="shared" si="313"/>
        <v>8669</v>
      </c>
      <c r="EC43" s="491">
        <f t="shared" si="313"/>
        <v>8669</v>
      </c>
      <c r="ED43" s="490">
        <f t="shared" ref="ED43:EW43" si="314">+SUM(ED41:ED42)</f>
        <v>6302</v>
      </c>
      <c r="EE43" s="490">
        <f t="shared" si="314"/>
        <v>6426</v>
      </c>
      <c r="EF43" s="490">
        <f t="shared" si="314"/>
        <v>7414</v>
      </c>
      <c r="EG43" s="490">
        <f t="shared" si="314"/>
        <v>5595</v>
      </c>
      <c r="EH43" s="491">
        <f t="shared" si="314"/>
        <v>5595</v>
      </c>
      <c r="EI43" s="2773">
        <f t="shared" si="314"/>
        <v>5431</v>
      </c>
      <c r="EJ43" s="2773">
        <f t="shared" si="314"/>
        <v>7185</v>
      </c>
      <c r="EK43" s="2773">
        <f t="shared" si="314"/>
        <v>7170</v>
      </c>
      <c r="EL43" s="2773">
        <f t="shared" si="314"/>
        <v>6510</v>
      </c>
      <c r="EM43" s="2774">
        <f t="shared" si="314"/>
        <v>6510</v>
      </c>
      <c r="EN43" s="2773">
        <f>+SUM(EN41:EN42)</f>
        <v>13928</v>
      </c>
      <c r="EO43" s="2773">
        <f t="shared" ref="EO43:EQ43" si="315">+SUM(EO41:EO42)</f>
        <v>8468</v>
      </c>
      <c r="EP43" s="2773">
        <f t="shared" si="315"/>
        <v>6713</v>
      </c>
      <c r="EQ43" s="2773">
        <f t="shared" si="315"/>
        <v>7663</v>
      </c>
      <c r="ER43" s="2774">
        <f t="shared" si="314"/>
        <v>7663</v>
      </c>
      <c r="ES43" s="2773">
        <f>+SUM(ES41:ES42)</f>
        <v>6884</v>
      </c>
      <c r="ET43" s="2773">
        <f t="shared" ref="ET43:EU43" si="316">+SUM(ET41:ET42)</f>
        <v>12859</v>
      </c>
      <c r="EU43" s="2773">
        <f t="shared" si="316"/>
        <v>9221</v>
      </c>
      <c r="EV43" s="490">
        <f t="shared" si="314"/>
        <v>7999.9999999999982</v>
      </c>
      <c r="EW43" s="491">
        <f t="shared" si="314"/>
        <v>8000.0000000000073</v>
      </c>
      <c r="EX43" s="490">
        <f t="shared" ref="EX43:FG43" si="317">+SUM(EX41:EX42)</f>
        <v>7999.9999999999964</v>
      </c>
      <c r="EY43" s="490">
        <f t="shared" si="317"/>
        <v>8000.0000000000036</v>
      </c>
      <c r="EZ43" s="490">
        <f t="shared" si="317"/>
        <v>8000</v>
      </c>
      <c r="FA43" s="490">
        <f t="shared" si="317"/>
        <v>7999.9999999999982</v>
      </c>
      <c r="FB43" s="491">
        <f t="shared" si="317"/>
        <v>8000.0000000000127</v>
      </c>
      <c r="FC43" s="490">
        <f t="shared" si="317"/>
        <v>7999.9999999999982</v>
      </c>
      <c r="FD43" s="490">
        <f t="shared" si="317"/>
        <v>8000.0000000000018</v>
      </c>
      <c r="FE43" s="490">
        <f t="shared" si="317"/>
        <v>8000.0000000000036</v>
      </c>
      <c r="FF43" s="490">
        <f t="shared" si="317"/>
        <v>8000.0000000000018</v>
      </c>
      <c r="FG43" s="491">
        <f t="shared" si="317"/>
        <v>8000.0000000000127</v>
      </c>
      <c r="FH43" s="490">
        <f t="shared" ref="FH43:FL43" si="318">+SUM(FH41:FH42)</f>
        <v>8000</v>
      </c>
      <c r="FI43" s="490">
        <f t="shared" si="318"/>
        <v>8000.0000000000018</v>
      </c>
      <c r="FJ43" s="490">
        <f t="shared" si="318"/>
        <v>8000.0000000000036</v>
      </c>
      <c r="FK43" s="490">
        <f t="shared" si="318"/>
        <v>8000</v>
      </c>
      <c r="FL43" s="491">
        <f t="shared" si="318"/>
        <v>7999.9999999999945</v>
      </c>
      <c r="FM43" s="490"/>
      <c r="FN43" s="490"/>
      <c r="FO43" s="543"/>
      <c r="FP43" s="543"/>
      <c r="FQ43" s="543"/>
      <c r="FR43" s="491"/>
      <c r="FS43" s="491"/>
      <c r="FT43" s="491"/>
      <c r="FU43" s="491"/>
      <c r="FV43" s="491"/>
      <c r="FW43" s="491"/>
      <c r="FX43" s="491"/>
      <c r="FY43" s="491"/>
      <c r="FZ43" s="491"/>
      <c r="GA43" s="491"/>
      <c r="GB43" s="491"/>
      <c r="GC43" s="491"/>
      <c r="GD43" s="491"/>
      <c r="GE43" s="491"/>
      <c r="GF43" s="491"/>
      <c r="GG43" s="491"/>
      <c r="GH43" s="491"/>
      <c r="GI43" s="491"/>
      <c r="GJ43" s="898"/>
      <c r="GK43" s="898"/>
      <c r="GL43" s="898"/>
      <c r="GM43" s="898"/>
      <c r="GO43"/>
      <c r="GP43"/>
      <c r="GQ43"/>
      <c r="GR43"/>
      <c r="GS43"/>
      <c r="GT43"/>
      <c r="GU43" s="261"/>
      <c r="GV43" s="261"/>
      <c r="GW43" s="261"/>
      <c r="GX43" s="261"/>
      <c r="GY43" s="261"/>
      <c r="GZ43" s="261"/>
      <c r="HA43" s="261"/>
      <c r="HB43" s="261"/>
      <c r="HC43" s="261"/>
      <c r="HD43" s="261"/>
      <c r="HE43" s="261"/>
      <c r="HF43" s="261"/>
      <c r="HG43" s="261"/>
      <c r="HH43" s="261"/>
      <c r="HI43" s="261"/>
      <c r="HJ43" s="261"/>
      <c r="HK43" s="261"/>
      <c r="HL43" s="261"/>
      <c r="HM43" s="261"/>
      <c r="HN43" s="261"/>
      <c r="HO43" s="261"/>
      <c r="HP43" s="261"/>
      <c r="HQ43" s="261"/>
      <c r="HR43" s="261"/>
      <c r="HS43" s="261"/>
      <c r="HT43" s="261"/>
      <c r="HU43" s="261"/>
      <c r="HV43" s="261"/>
      <c r="HW43" s="261"/>
      <c r="HX43" s="261"/>
      <c r="HY43" s="261"/>
      <c r="HZ43" s="261"/>
      <c r="IA43" s="261"/>
      <c r="IB43" s="261"/>
      <c r="IC43" s="261"/>
      <c r="ID43" s="261"/>
      <c r="IE43" s="261"/>
      <c r="IF43" s="261"/>
      <c r="IG43" s="261"/>
      <c r="IH43" s="261"/>
      <c r="II43" s="261"/>
      <c r="IJ43" s="261"/>
      <c r="IK43" s="261"/>
      <c r="IL43" s="261"/>
      <c r="IM43" s="261"/>
      <c r="IN43" s="261"/>
      <c r="IO43" s="261"/>
      <c r="IP43" s="261"/>
      <c r="IQ43" s="261"/>
      <c r="IR43" s="261"/>
      <c r="IS43" s="261"/>
      <c r="IT43" s="261"/>
      <c r="IU43" s="261"/>
      <c r="IV43" s="261"/>
      <c r="IW43" s="261"/>
      <c r="IX43" s="261"/>
      <c r="IY43" s="261"/>
      <c r="IZ43" s="261"/>
      <c r="JA43" s="261"/>
      <c r="JB43" s="261"/>
      <c r="JC43" s="261"/>
      <c r="JD43" s="261"/>
      <c r="JE43" s="261"/>
      <c r="JF43" s="261"/>
      <c r="JG43" s="261"/>
      <c r="JH43" s="261"/>
      <c r="JI43" s="261"/>
      <c r="JJ43" s="261"/>
      <c r="JK43" s="261"/>
      <c r="JL43" s="261"/>
      <c r="JM43" s="261"/>
      <c r="JN43" s="261"/>
      <c r="JO43" s="261"/>
      <c r="JP43" s="261"/>
      <c r="JQ43" s="261"/>
      <c r="JR43" s="261"/>
      <c r="JS43" s="261"/>
      <c r="JT43" s="261"/>
    </row>
    <row r="44" spans="1:280" s="264" customFormat="1" ht="11.25" customHeight="1">
      <c r="D44" s="280" t="str">
        <f>IF(ABS(D43-E42)&gt;0.4,"CASH OFF","")</f>
        <v>CASH OFF</v>
      </c>
      <c r="E44" s="280" t="str">
        <f t="shared" ref="E44:CF44" si="319">IF(ABS(E43-F42)&gt;0.4,"CASH OFF","")</f>
        <v>CASH OFF</v>
      </c>
      <c r="F44" s="280" t="str">
        <f t="shared" si="319"/>
        <v>CASH OFF</v>
      </c>
      <c r="G44" s="280" t="str">
        <f>IF(ABS(G43-I42)&gt;0.4,"CASH OFF","")</f>
        <v>CASH OFF</v>
      </c>
      <c r="H44" s="280"/>
      <c r="I44" s="280" t="str">
        <f t="shared" si="319"/>
        <v>CASH OFF</v>
      </c>
      <c r="J44" s="280" t="str">
        <f t="shared" si="319"/>
        <v>CASH OFF</v>
      </c>
      <c r="K44" s="280" t="str">
        <f t="shared" si="319"/>
        <v>CASH OFF</v>
      </c>
      <c r="L44" s="280" t="str">
        <f>IF(ABS(L43-N42)&gt;0.4,"CASH OFF","")</f>
        <v>CASH OFF</v>
      </c>
      <c r="M44" s="280" t="str">
        <f>IF(ABS(M42-H43)&gt;0.4,"CASH OFF","")</f>
        <v>CASH OFF</v>
      </c>
      <c r="N44" s="280" t="str">
        <f t="shared" si="319"/>
        <v>CASH OFF</v>
      </c>
      <c r="O44" s="280" t="str">
        <f t="shared" si="319"/>
        <v>CASH OFF</v>
      </c>
      <c r="P44" s="280" t="str">
        <f t="shared" si="319"/>
        <v>CASH OFF</v>
      </c>
      <c r="Q44" s="280" t="str">
        <f>IF(ABS(Q43-S42)&gt;0.4,"CASH OFF","")</f>
        <v>CASH OFF</v>
      </c>
      <c r="R44" s="280" t="str">
        <f>IF(ABS(R42-M43)&gt;0.4,"CASH OFF","")</f>
        <v>CASH OFF</v>
      </c>
      <c r="S44" s="280" t="str">
        <f t="shared" si="319"/>
        <v>CASH OFF</v>
      </c>
      <c r="T44" s="280" t="str">
        <f t="shared" si="319"/>
        <v>CASH OFF</v>
      </c>
      <c r="U44" s="280" t="str">
        <f t="shared" si="319"/>
        <v>CASH OFF</v>
      </c>
      <c r="V44" s="280" t="str">
        <f>IF(ABS(V43-X42)&gt;0.4,"CASH OFF","")</f>
        <v>CASH OFF</v>
      </c>
      <c r="W44" s="280" t="str">
        <f>IF(ABS(W42-R43)&gt;0.4,"CASH OFF","")</f>
        <v>CASH OFF</v>
      </c>
      <c r="X44" s="280" t="str">
        <f t="shared" si="319"/>
        <v>CASH OFF</v>
      </c>
      <c r="Y44" s="280" t="str">
        <f t="shared" si="319"/>
        <v>CASH OFF</v>
      </c>
      <c r="Z44" s="280" t="str">
        <f t="shared" si="319"/>
        <v>CASH OFF</v>
      </c>
      <c r="AA44" s="280" t="str">
        <f>IF(ABS(AA43-AC42)&gt;0.4,"CASH OFF","")</f>
        <v>CASH OFF</v>
      </c>
      <c r="AB44" s="280" t="str">
        <f>IF(ABS(AB42-W43)&gt;0.4,"CASH OFF","")</f>
        <v>CASH OFF</v>
      </c>
      <c r="AC44" s="280" t="str">
        <f t="shared" si="319"/>
        <v>CASH OFF</v>
      </c>
      <c r="AD44" s="280" t="str">
        <f t="shared" si="319"/>
        <v>CASH OFF</v>
      </c>
      <c r="AE44" s="280" t="str">
        <f t="shared" si="319"/>
        <v>CASH OFF</v>
      </c>
      <c r="AF44" s="280" t="str">
        <f>IF(ABS(AF43-AH42)&gt;0.4,"CASH OFF","")</f>
        <v>CASH OFF</v>
      </c>
      <c r="AG44" s="280" t="str">
        <f>IF(ABS(AG42-AB43)&gt;0.4,"CASH OFF","")</f>
        <v>CASH OFF</v>
      </c>
      <c r="AH44" s="280" t="str">
        <f t="shared" si="319"/>
        <v/>
      </c>
      <c r="AI44" s="280" t="str">
        <f t="shared" si="319"/>
        <v/>
      </c>
      <c r="AJ44" s="280" t="str">
        <f t="shared" si="319"/>
        <v/>
      </c>
      <c r="AK44" s="280" t="str">
        <f>IF(ABS(AK43-AM42)&gt;0.4,"CASH OFF","")</f>
        <v>CASH OFF</v>
      </c>
      <c r="AL44" s="280" t="str">
        <f>IF(ABS(AL42-AG43)&gt;0.4,"CASH OFF","")</f>
        <v/>
      </c>
      <c r="AM44" s="280" t="str">
        <f t="shared" si="319"/>
        <v/>
      </c>
      <c r="AN44" s="280" t="str">
        <f t="shared" si="319"/>
        <v/>
      </c>
      <c r="AO44" s="280" t="str">
        <f t="shared" si="319"/>
        <v/>
      </c>
      <c r="AP44" s="280" t="str">
        <f>IF(ABS(AP43-AR42)&gt;0.4,"CASH OFF","")</f>
        <v/>
      </c>
      <c r="AQ44" s="280" t="str">
        <f>IF(ABS(AQ42-AL43)&gt;0.4,"CASH OFF","")</f>
        <v>CASH OFF</v>
      </c>
      <c r="AR44" s="280" t="str">
        <f t="shared" si="319"/>
        <v/>
      </c>
      <c r="AS44" s="280" t="str">
        <f t="shared" si="319"/>
        <v/>
      </c>
      <c r="AT44" s="280" t="str">
        <f t="shared" si="319"/>
        <v/>
      </c>
      <c r="AU44" s="280" t="str">
        <f>IF(ABS(AU43-AW42)&gt;0.4,"CASH OFF","")</f>
        <v/>
      </c>
      <c r="AV44" s="280" t="str">
        <f>IF(ABS(AV42-AQ43)&gt;0.4,"CASH OFF","")</f>
        <v/>
      </c>
      <c r="AW44" s="280" t="str">
        <f t="shared" si="319"/>
        <v/>
      </c>
      <c r="AX44" s="280" t="str">
        <f t="shared" si="319"/>
        <v/>
      </c>
      <c r="AY44" s="280" t="str">
        <f t="shared" si="319"/>
        <v/>
      </c>
      <c r="AZ44" s="280" t="str">
        <f>IF(ABS(AZ43-BB42)&gt;0.4,"CASH OFF","")</f>
        <v/>
      </c>
      <c r="BA44" s="280" t="str">
        <f>IF(ABS(BA42-AV43)&gt;0.4,"CASH OFF","")</f>
        <v/>
      </c>
      <c r="BB44" s="280" t="str">
        <f t="shared" si="319"/>
        <v/>
      </c>
      <c r="BC44" s="280" t="str">
        <f t="shared" si="319"/>
        <v/>
      </c>
      <c r="BD44" s="280" t="str">
        <f t="shared" si="319"/>
        <v/>
      </c>
      <c r="BE44" s="280" t="str">
        <f>IF(ABS(BE43-BG42)&gt;0.4,"CASH OFF","")</f>
        <v/>
      </c>
      <c r="BF44" s="280" t="str">
        <f>IF(ABS(BF42-BA43)&gt;0.4,"CASH OFF","")</f>
        <v/>
      </c>
      <c r="BG44" s="280" t="str">
        <f t="shared" si="319"/>
        <v/>
      </c>
      <c r="BH44" s="280" t="str">
        <f t="shared" si="319"/>
        <v/>
      </c>
      <c r="BI44" s="280" t="str">
        <f t="shared" si="319"/>
        <v/>
      </c>
      <c r="BJ44" s="280" t="str">
        <f>IF(ABS(BJ43-BL42)&gt;0.4,"CASH OFF","")</f>
        <v/>
      </c>
      <c r="BK44" s="280" t="str">
        <f>IF(ABS(BK42-BF43)&gt;0.4,"CASH OFF","")</f>
        <v/>
      </c>
      <c r="BL44" s="280" t="str">
        <f t="shared" si="319"/>
        <v/>
      </c>
      <c r="BM44" s="280" t="str">
        <f t="shared" si="319"/>
        <v/>
      </c>
      <c r="BN44" s="280" t="str">
        <f t="shared" si="319"/>
        <v/>
      </c>
      <c r="BO44" s="280" t="str">
        <f>IF(ABS(BO43-BQ42)&gt;0.4,"CASH OFF","")</f>
        <v/>
      </c>
      <c r="BP44" s="280" t="str">
        <f>IF(ABS(BP42-BK43)&gt;0.4,"CASH OFF","")</f>
        <v/>
      </c>
      <c r="BQ44" s="280" t="str">
        <f t="shared" si="319"/>
        <v/>
      </c>
      <c r="BR44" s="280" t="str">
        <f t="shared" si="319"/>
        <v/>
      </c>
      <c r="BS44" s="280" t="str">
        <f t="shared" si="319"/>
        <v/>
      </c>
      <c r="BT44" s="280" t="str">
        <f>IF(ABS(BT43-BV42)&gt;0.4,"CASH OFF","")</f>
        <v/>
      </c>
      <c r="BU44" s="280" t="str">
        <f>IF(ABS(BU42-BP43)&gt;0.4,"CASH OFF","")</f>
        <v/>
      </c>
      <c r="BV44" s="280" t="str">
        <f t="shared" si="319"/>
        <v/>
      </c>
      <c r="BW44" s="280" t="str">
        <f t="shared" si="319"/>
        <v/>
      </c>
      <c r="BX44" s="280" t="str">
        <f t="shared" si="319"/>
        <v/>
      </c>
      <c r="BY44" s="280" t="str">
        <f>IF(ABS(BY43-CA42)&gt;0.4,"CASH OFF","")</f>
        <v/>
      </c>
      <c r="BZ44" s="280" t="str">
        <f>IF(ABS(BZ42-BU43)&gt;0.4,"CASH OFF","")</f>
        <v/>
      </c>
      <c r="CA44" s="280" t="str">
        <f t="shared" si="319"/>
        <v/>
      </c>
      <c r="CB44" s="280" t="str">
        <f t="shared" si="319"/>
        <v/>
      </c>
      <c r="CC44" s="280" t="str">
        <f t="shared" si="319"/>
        <v/>
      </c>
      <c r="CD44" s="280" t="str">
        <f>IF(ABS(CD43-CF42)&gt;0.4,"CASH OFF","")</f>
        <v/>
      </c>
      <c r="CE44" s="280" t="str">
        <f>IF(ABS(CE42-BZ43)&gt;0.4,"CASH OFF","")</f>
        <v/>
      </c>
      <c r="CF44" s="280" t="str">
        <f t="shared" si="319"/>
        <v/>
      </c>
      <c r="CG44" s="280" t="str">
        <f t="shared" ref="CG44:CR44" si="320">IF(ABS(CG43-CH42)&gt;0.4,"CASH OFF","")</f>
        <v/>
      </c>
      <c r="CH44" s="280" t="str">
        <f t="shared" si="320"/>
        <v/>
      </c>
      <c r="CI44" s="280" t="str">
        <f>IF(ABS(CI43-CK42)&gt;0.4,"CASH OFF","")</f>
        <v/>
      </c>
      <c r="CJ44" s="280" t="str">
        <f>IF(ABS(CJ42-CE43)&gt;0.4,"CASH OFF","")</f>
        <v/>
      </c>
      <c r="CK44" s="280" t="str">
        <f t="shared" si="320"/>
        <v/>
      </c>
      <c r="CL44" s="280" t="str">
        <f t="shared" si="320"/>
        <v/>
      </c>
      <c r="CM44" s="280" t="str">
        <f t="shared" si="320"/>
        <v/>
      </c>
      <c r="CN44" s="280" t="str">
        <f>IF(ABS(CN43-CP42)&gt;0.4,"CASH OFF","")</f>
        <v/>
      </c>
      <c r="CO44" s="280" t="str">
        <f>IF(ABS(CO42-CJ43)&gt;0.4,"CASH OFF","")</f>
        <v/>
      </c>
      <c r="CP44" s="280" t="str">
        <f t="shared" si="320"/>
        <v/>
      </c>
      <c r="CQ44" s="280" t="str">
        <f t="shared" si="320"/>
        <v/>
      </c>
      <c r="CR44" s="280" t="str">
        <f t="shared" si="320"/>
        <v/>
      </c>
      <c r="CS44" s="280" t="str">
        <f>IF(ABS(CS43-CU42)&gt;0.4,"CASH OFF","")</f>
        <v/>
      </c>
      <c r="CT44" s="280" t="str">
        <f>IF(ABS(CT42-CO43)&gt;0.4,"CASH OFF","")</f>
        <v/>
      </c>
      <c r="CU44" s="280" t="str">
        <f>IF(ABS(CU43-CV42)&gt;0.4,"CASH OFF","")</f>
        <v/>
      </c>
      <c r="CV44" s="280" t="str">
        <f>IF(ABS(CV43-CW42)&gt;0.4,"CASH OFF","")</f>
        <v/>
      </c>
      <c r="CW44" s="280" t="str">
        <f>IF(ABS(CW43-CX42)&gt;0.4,"CASH OFF","")</f>
        <v/>
      </c>
      <c r="CX44" s="280" t="str">
        <f>IF(ABS(CX43-CZ42)&gt;0.4,"CASH OFF","")</f>
        <v/>
      </c>
      <c r="CY44" s="280" t="str">
        <f>IF(ABS(CY42-CT43)&gt;0.4,"CASH OFF","")</f>
        <v/>
      </c>
      <c r="CZ44" s="280" t="str">
        <f>IF(ABS(CZ43-DA42)&gt;0.4,"CASH OFF","")</f>
        <v/>
      </c>
      <c r="DA44" s="280" t="str">
        <f>IF(ABS(DA43-DB42)&gt;0.4,"CASH OFF","")</f>
        <v/>
      </c>
      <c r="DB44" s="280" t="str">
        <f>IF(ABS(DB43-DC42)&gt;0.4,"CASH OFF","")</f>
        <v/>
      </c>
      <c r="DC44" s="284" t="str">
        <f>IF(ABS(DC43-DE42)&gt;0.4,"CASH OFF","")</f>
        <v/>
      </c>
      <c r="DD44" s="284" t="str">
        <f>IF(ABS(DD42-CY43)&gt;0.4,"CASH OFF","")</f>
        <v/>
      </c>
      <c r="DE44" s="284"/>
      <c r="DF44" s="284"/>
      <c r="DG44" s="284"/>
      <c r="DH44" s="284"/>
      <c r="DI44" s="284"/>
      <c r="DJ44" s="284"/>
      <c r="DK44" s="284"/>
      <c r="DL44" s="280"/>
      <c r="DM44" s="284"/>
      <c r="DN44" s="284" t="str">
        <f>IF(ABS(DN42-DI43)&gt;0.4,"CASH OFF","")</f>
        <v/>
      </c>
      <c r="DO44" s="280"/>
      <c r="DP44" s="284"/>
      <c r="DQ44" s="284"/>
      <c r="DR44" s="284"/>
      <c r="DS44" s="284" t="str">
        <f>IF(ABS(DS42-DN43)&gt;0.4,"CASH OFF","")</f>
        <v/>
      </c>
      <c r="DT44" s="280"/>
      <c r="DU44" s="284"/>
      <c r="DV44" s="284"/>
      <c r="DW44" s="280"/>
      <c r="DX44" s="280" t="str">
        <f>IF(ABS(DX42-DS43)&gt;0.4,"CASH OFF","")</f>
        <v/>
      </c>
      <c r="DY44" s="280"/>
      <c r="DZ44" s="284"/>
      <c r="EA44" s="280"/>
      <c r="EB44" s="280"/>
      <c r="EC44" s="280" t="str">
        <f>IF(ABS(EC42-DX43)&gt;0.4,"CASH OFF","")</f>
        <v/>
      </c>
      <c r="ED44" s="280"/>
      <c r="EE44" s="284"/>
      <c r="EF44" s="284"/>
      <c r="EG44" s="280"/>
      <c r="EH44" s="280" t="str">
        <f>IF(ABS(EH42-EC43)&gt;0.4,"CASH OFF","")</f>
        <v/>
      </c>
      <c r="EI44" s="2785"/>
      <c r="EJ44" s="2786"/>
      <c r="EK44" s="2786"/>
      <c r="EL44" s="2785"/>
      <c r="EM44" s="2785" t="str">
        <f>IF(ABS(EM42-EH43)&gt;0.4,"CASH OFF","")</f>
        <v/>
      </c>
      <c r="EN44" s="2785"/>
      <c r="EO44" s="2786"/>
      <c r="EP44" s="2786"/>
      <c r="EQ44" s="2785"/>
      <c r="ER44" s="2785"/>
      <c r="ES44" s="2785"/>
      <c r="ET44" s="2786"/>
      <c r="EU44" s="2786"/>
      <c r="EV44" s="280"/>
      <c r="EW44" s="280" t="str">
        <f>IF(ABS(EW42-ER43)&gt;0.4,"CASH OFF","")</f>
        <v/>
      </c>
      <c r="EX44" s="280"/>
      <c r="EY44" s="280"/>
      <c r="EZ44" s="280"/>
      <c r="FA44" s="280"/>
      <c r="FB44" s="280" t="str">
        <f>IF(ABS(FB42-EW43)&gt;0.4,"CASH OFF","")</f>
        <v/>
      </c>
      <c r="FC44" s="280"/>
      <c r="FD44" s="280"/>
      <c r="FE44" s="280"/>
      <c r="FF44" s="280"/>
      <c r="FG44" s="280" t="str">
        <f>IF(ABS(FG42-FB43)&gt;0.4,"CASH OFF","")</f>
        <v/>
      </c>
      <c r="FH44" s="280"/>
      <c r="FI44" s="280"/>
      <c r="FJ44" s="280"/>
      <c r="FK44" s="280"/>
      <c r="FL44" s="280" t="str">
        <f>IF(ABS(FL42-FG43)&gt;0.4,"CASH OFF","")</f>
        <v/>
      </c>
      <c r="FM44" s="280"/>
      <c r="FN44" s="544"/>
      <c r="GO44"/>
      <c r="GP44"/>
      <c r="GQ44"/>
      <c r="GR44"/>
      <c r="GS44"/>
      <c r="GT44"/>
      <c r="GU44" s="261"/>
      <c r="GV44" s="261"/>
      <c r="GW44" s="261"/>
      <c r="GX44" s="261"/>
      <c r="GY44" s="261"/>
      <c r="GZ44" s="261"/>
      <c r="HA44" s="261"/>
      <c r="HB44" s="261"/>
      <c r="HC44" s="261"/>
      <c r="HD44" s="261"/>
      <c r="HE44" s="261"/>
      <c r="HF44" s="261"/>
      <c r="HG44" s="261"/>
      <c r="HH44" s="261"/>
      <c r="HI44" s="261"/>
      <c r="HJ44" s="261"/>
      <c r="HK44" s="261"/>
      <c r="HL44" s="261"/>
      <c r="HM44" s="261"/>
      <c r="HN44" s="261"/>
      <c r="HO44" s="261"/>
      <c r="HP44" s="261"/>
      <c r="HQ44" s="261"/>
      <c r="HR44" s="261"/>
      <c r="HS44" s="261"/>
      <c r="HT44" s="261"/>
      <c r="HU44" s="261"/>
      <c r="HV44" s="261"/>
      <c r="HW44" s="261"/>
      <c r="HX44" s="261"/>
      <c r="HY44" s="261"/>
      <c r="HZ44" s="261"/>
      <c r="IA44" s="261"/>
      <c r="IB44" s="261"/>
      <c r="IC44" s="261"/>
      <c r="ID44" s="261"/>
      <c r="IE44" s="261"/>
      <c r="IF44" s="261"/>
      <c r="IG44" s="261"/>
      <c r="IH44" s="261"/>
      <c r="II44" s="261"/>
      <c r="IJ44" s="261"/>
      <c r="IK44" s="261"/>
      <c r="IL44" s="261"/>
      <c r="IM44" s="261"/>
      <c r="IN44" s="261"/>
      <c r="IO44" s="261"/>
      <c r="IP44" s="261"/>
      <c r="IQ44" s="261"/>
      <c r="IR44" s="261"/>
      <c r="IS44" s="261"/>
      <c r="IT44" s="261"/>
      <c r="IU44" s="261"/>
      <c r="IV44" s="261"/>
      <c r="IW44" s="261"/>
      <c r="IX44" s="261"/>
      <c r="IY44" s="261"/>
      <c r="IZ44" s="261"/>
      <c r="JA44" s="261"/>
      <c r="JB44" s="261"/>
      <c r="JC44" s="261"/>
      <c r="JD44" s="261"/>
      <c r="JE44" s="261"/>
      <c r="JF44" s="261"/>
      <c r="JG44" s="261"/>
      <c r="JH44" s="261"/>
      <c r="JI44" s="261"/>
      <c r="JJ44" s="261"/>
      <c r="JK44" s="261"/>
      <c r="JL44" s="261"/>
      <c r="JM44" s="261"/>
      <c r="JN44" s="261"/>
      <c r="JO44" s="261"/>
      <c r="JP44" s="261"/>
      <c r="JQ44" s="261"/>
      <c r="JR44" s="261"/>
      <c r="JS44" s="261"/>
      <c r="JT44" s="261"/>
    </row>
    <row r="45" spans="1:280" s="287" customFormat="1" ht="11.25" customHeight="1">
      <c r="A45" s="432" t="s">
        <v>868</v>
      </c>
      <c r="B45" s="433"/>
      <c r="CY45" s="545"/>
      <c r="DC45" s="546"/>
      <c r="DD45" s="546">
        <f t="shared" ref="DD45:DI45" si="321">DD25/CY25-1</f>
        <v>-0.11914849573921737</v>
      </c>
      <c r="DE45" s="546">
        <f t="shared" si="321"/>
        <v>0.81216617210682496</v>
      </c>
      <c r="DF45" s="546">
        <f t="shared" si="321"/>
        <v>-0.14060878588723624</v>
      </c>
      <c r="DG45" s="546">
        <f t="shared" si="321"/>
        <v>0.2232041054232794</v>
      </c>
      <c r="DH45" s="547">
        <f t="shared" si="321"/>
        <v>0.45899505337151791</v>
      </c>
      <c r="DI45" s="547">
        <f t="shared" si="321"/>
        <v>0.26453995664173546</v>
      </c>
      <c r="DJ45" s="547">
        <f t="shared" ref="DJ45:DQ45" si="322">DJ25/DE25-1</f>
        <v>0.34173898804650404</v>
      </c>
      <c r="DK45" s="547">
        <f>DK25/DF25-1</f>
        <v>-0.15757697725900588</v>
      </c>
      <c r="DL45" s="547">
        <f t="shared" si="322"/>
        <v>0.17300148789395364</v>
      </c>
      <c r="DM45" s="547">
        <f t="shared" si="322"/>
        <v>6.0314061384725282E-2</v>
      </c>
      <c r="DN45" s="547">
        <f>DN25/DI25-1</f>
        <v>0.12133925975158899</v>
      </c>
      <c r="DO45" s="547">
        <f>DO25/DJ25-1</f>
        <v>3.6490114718086497E-2</v>
      </c>
      <c r="DP45" s="547">
        <f>DP25/DK25-1</f>
        <v>0.40038222646918298</v>
      </c>
      <c r="DQ45" s="547">
        <f t="shared" si="322"/>
        <v>0.10631918819188191</v>
      </c>
      <c r="DR45" s="547">
        <f>DR25/DM25-1</f>
        <v>0.29198922921575221</v>
      </c>
      <c r="DS45" s="547">
        <f t="shared" ref="DS45:DX45" si="323">DS25/DN25-1</f>
        <v>0.17159368748610793</v>
      </c>
      <c r="DT45" s="547">
        <f t="shared" si="323"/>
        <v>-1.0596962204167948E-3</v>
      </c>
      <c r="DU45" s="547">
        <f t="shared" si="323"/>
        <v>-0.18457864210167174</v>
      </c>
      <c r="DV45" s="547">
        <f t="shared" si="323"/>
        <v>7.5046904315196894E-3</v>
      </c>
      <c r="DW45" s="547">
        <f t="shared" si="323"/>
        <v>-0.23107984889930966</v>
      </c>
      <c r="DX45" s="547">
        <f t="shared" si="323"/>
        <v>-8.8313413014608266E-2</v>
      </c>
      <c r="DY45" s="547">
        <f t="shared" ref="DY45:EG45" si="324">DY25/DT25-1</f>
        <v>-3.2885431400282883E-2</v>
      </c>
      <c r="DZ45" s="547">
        <f t="shared" si="324"/>
        <v>-7.6778242677824293E-2</v>
      </c>
      <c r="EA45" s="547">
        <f t="shared" si="324"/>
        <v>4.479619284088554E-2</v>
      </c>
      <c r="EB45" s="547">
        <f t="shared" si="324"/>
        <v>0.61172285278671867</v>
      </c>
      <c r="EC45" s="547">
        <f t="shared" si="324"/>
        <v>0.1178510734228142</v>
      </c>
      <c r="ED45" s="547">
        <f t="shared" si="324"/>
        <v>1.8159658744667961E-2</v>
      </c>
      <c r="EE45" s="547">
        <f t="shared" si="324"/>
        <v>-1.6542034896895541E-2</v>
      </c>
      <c r="EF45" s="547">
        <f t="shared" si="324"/>
        <v>-5.2381423903356761E-2</v>
      </c>
      <c r="EG45" s="547">
        <f t="shared" si="324"/>
        <v>-0.28358208955223885</v>
      </c>
      <c r="EH45" s="547">
        <f>EH25/EC25-1</f>
        <v>-9.776302317644503E-2</v>
      </c>
      <c r="EI45" s="547">
        <f t="shared" ref="EI45:EU45" si="325">EI25/ED25-1</f>
        <v>6.2485037107972152E-2</v>
      </c>
      <c r="EJ45" s="547">
        <f t="shared" si="325"/>
        <v>0.29447004608294924</v>
      </c>
      <c r="EK45" s="547">
        <f t="shared" si="325"/>
        <v>8.3281086729362519E-2</v>
      </c>
      <c r="EL45" s="547">
        <f t="shared" si="325"/>
        <v>0.24178403755868549</v>
      </c>
      <c r="EM45" s="547">
        <f t="shared" si="325"/>
        <v>0.14597661623108671</v>
      </c>
      <c r="EN45" s="547">
        <f t="shared" si="325"/>
        <v>0.30114916629112209</v>
      </c>
      <c r="EO45" s="547">
        <f t="shared" si="325"/>
        <v>0.12014951940192242</v>
      </c>
      <c r="EP45" s="547">
        <f t="shared" si="325"/>
        <v>2.8262756824539492E-2</v>
      </c>
      <c r="EQ45" s="547">
        <f t="shared" si="325"/>
        <v>0.30021266540642721</v>
      </c>
      <c r="ER45" s="547">
        <f>ER25/EM25-1</f>
        <v>0.18550637659414848</v>
      </c>
      <c r="ES45" s="547">
        <f t="shared" si="325"/>
        <v>7.7149536756429216E-2</v>
      </c>
      <c r="ET45" s="547">
        <f t="shared" si="325"/>
        <v>0.25139043381535031</v>
      </c>
      <c r="EU45" s="547">
        <f t="shared" si="325"/>
        <v>0.13986866791744834</v>
      </c>
      <c r="EV45" s="547">
        <f t="shared" ref="EU45:EW45" si="326">EV25/EQ25-1</f>
        <v>0.19891641654472125</v>
      </c>
      <c r="EW45" s="547">
        <f t="shared" si="326"/>
        <v>0.15574645414925614</v>
      </c>
      <c r="EX45" s="547">
        <f t="shared" ref="EX45:FG45" si="327">EX25/ES25-1</f>
        <v>0.1584440319810243</v>
      </c>
      <c r="EY45" s="547">
        <f t="shared" si="327"/>
        <v>6.4248210962674746E-2</v>
      </c>
      <c r="EZ45" s="547">
        <f t="shared" si="327"/>
        <v>0.16822323022235119</v>
      </c>
      <c r="FA45" s="547">
        <f t="shared" si="327"/>
        <v>6.1836104395738722E-2</v>
      </c>
      <c r="FB45" s="547">
        <f t="shared" si="327"/>
        <v>0.11688436954341364</v>
      </c>
      <c r="FC45" s="547">
        <f t="shared" si="327"/>
        <v>0.12295383489613143</v>
      </c>
      <c r="FD45" s="547">
        <f t="shared" si="327"/>
        <v>0.12551099628464324</v>
      </c>
      <c r="FE45" s="547">
        <f t="shared" si="327"/>
        <v>9.3435105008374819E-2</v>
      </c>
      <c r="FF45" s="547">
        <f t="shared" si="327"/>
        <v>0.13532617959469917</v>
      </c>
      <c r="FG45" s="547">
        <f t="shared" si="327"/>
        <v>0.1185564524535847</v>
      </c>
      <c r="FH45" s="547">
        <f t="shared" ref="FH45" si="328">FH25/FC25-1</f>
        <v>0.12359115755644612</v>
      </c>
      <c r="FI45" s="547">
        <f t="shared" ref="FI45" si="329">FI25/FD25-1</f>
        <v>5.4606999490935282E-2</v>
      </c>
      <c r="FJ45" s="547">
        <f t="shared" ref="FJ45" si="330">FJ25/FE25-1</f>
        <v>0.13475642957619982</v>
      </c>
      <c r="FK45" s="547">
        <f t="shared" ref="FK45" si="331">FK25/FF25-1</f>
        <v>0.15612557437757624</v>
      </c>
      <c r="FL45" s="547">
        <f t="shared" ref="FL45" si="332">FL25/FG25-1</f>
        <v>0.12429362312106806</v>
      </c>
      <c r="FM45" s="547"/>
      <c r="FX45" s="287">
        <f t="shared" ref="FX45:GI45" si="333">FX16/FW16-1</f>
        <v>5.6592987804878092E-2</v>
      </c>
      <c r="FY45" s="287">
        <f t="shared" si="333"/>
        <v>-3.9677064468709E-2</v>
      </c>
      <c r="FZ45" s="287">
        <f t="shared" si="333"/>
        <v>0.13394564717079316</v>
      </c>
      <c r="GA45" s="287">
        <f t="shared" si="333"/>
        <v>0.19450999875791819</v>
      </c>
      <c r="GB45" s="547">
        <f t="shared" si="333"/>
        <v>-3.8612179820456838E-2</v>
      </c>
      <c r="GC45" s="547">
        <f t="shared" si="333"/>
        <v>6.2443667303601735E-2</v>
      </c>
      <c r="GD45" s="547">
        <f t="shared" si="333"/>
        <v>-4.194238012827034E-2</v>
      </c>
      <c r="GE45" s="547">
        <f t="shared" si="333"/>
        <v>-5.2562604044911976E-2</v>
      </c>
      <c r="GF45" s="547">
        <f t="shared" si="333"/>
        <v>-4.2207185315338847E-2</v>
      </c>
      <c r="GG45" s="547">
        <f t="shared" si="333"/>
        <v>-0.30620608899297419</v>
      </c>
      <c r="GH45" s="547">
        <f t="shared" si="333"/>
        <v>1.524112693171995</v>
      </c>
      <c r="GI45" s="547">
        <f t="shared" si="333"/>
        <v>9.2392059371692481E-2</v>
      </c>
      <c r="GJ45" s="363"/>
      <c r="GK45" s="363"/>
      <c r="GL45" s="363"/>
      <c r="GM45" s="363"/>
      <c r="GO45"/>
      <c r="GP45"/>
      <c r="GQ45"/>
      <c r="GR45"/>
      <c r="GS45"/>
      <c r="GT45"/>
      <c r="GU45" s="261"/>
      <c r="GV45" s="261"/>
      <c r="GW45" s="261"/>
      <c r="GX45" s="261"/>
      <c r="GY45" s="261"/>
      <c r="GZ45" s="261"/>
      <c r="HA45" s="261"/>
      <c r="HB45" s="261"/>
      <c r="HC45" s="261"/>
      <c r="HD45" s="261"/>
      <c r="HE45" s="261"/>
      <c r="HF45" s="261"/>
      <c r="HG45" s="261"/>
      <c r="HH45" s="261"/>
      <c r="HI45" s="261"/>
      <c r="HJ45" s="261"/>
      <c r="HK45" s="261"/>
      <c r="HL45" s="261"/>
      <c r="HM45" s="261"/>
      <c r="HN45" s="261"/>
      <c r="HO45" s="261"/>
      <c r="HP45" s="261"/>
      <c r="HQ45" s="261"/>
      <c r="HR45" s="261"/>
      <c r="HS45" s="261"/>
      <c r="HT45" s="261"/>
      <c r="HU45" s="261"/>
      <c r="HV45" s="261"/>
      <c r="HW45" s="261"/>
      <c r="HX45" s="261"/>
      <c r="HY45" s="261"/>
      <c r="HZ45" s="261"/>
      <c r="IA45" s="261"/>
      <c r="IB45" s="261"/>
      <c r="IC45" s="261"/>
      <c r="ID45" s="261"/>
      <c r="IE45" s="261"/>
      <c r="IF45" s="261"/>
      <c r="IG45" s="261"/>
      <c r="IH45" s="261"/>
      <c r="II45" s="261"/>
      <c r="IJ45" s="261"/>
      <c r="IK45" s="261"/>
      <c r="IL45" s="261"/>
      <c r="IM45" s="261"/>
      <c r="IN45" s="261"/>
      <c r="IO45" s="261"/>
      <c r="IP45" s="261"/>
      <c r="IQ45" s="261"/>
      <c r="IR45" s="261"/>
      <c r="IS45" s="261"/>
      <c r="IT45" s="261"/>
      <c r="IU45" s="261"/>
      <c r="IV45" s="261"/>
      <c r="IW45" s="261"/>
      <c r="IX45" s="261"/>
      <c r="IY45" s="261"/>
      <c r="IZ45" s="261"/>
      <c r="JA45" s="261"/>
      <c r="JB45" s="261"/>
      <c r="JC45" s="261"/>
      <c r="JD45" s="261"/>
      <c r="JE45" s="261"/>
      <c r="JF45" s="261"/>
      <c r="JG45" s="261"/>
      <c r="JH45" s="261"/>
      <c r="JI45" s="261"/>
      <c r="JJ45" s="261"/>
      <c r="JK45" s="261"/>
      <c r="JL45" s="261"/>
      <c r="JM45" s="261"/>
      <c r="JN45" s="261"/>
      <c r="JO45" s="261"/>
      <c r="JP45" s="261"/>
      <c r="JQ45" s="261"/>
      <c r="JR45" s="261"/>
      <c r="JS45" s="261"/>
      <c r="JT45" s="261"/>
    </row>
    <row r="46" spans="1:280" s="264" customFormat="1" ht="3" customHeight="1">
      <c r="D46" s="253"/>
      <c r="E46" s="253"/>
      <c r="F46" s="253"/>
      <c r="G46" s="253"/>
      <c r="H46" s="253"/>
      <c r="I46" s="253"/>
      <c r="J46" s="253"/>
      <c r="K46" s="253"/>
      <c r="L46" s="253"/>
      <c r="M46" s="253"/>
      <c r="N46" s="253"/>
      <c r="O46" s="253"/>
      <c r="P46" s="253"/>
      <c r="Q46" s="253"/>
      <c r="R46" s="253"/>
      <c r="S46" s="253"/>
      <c r="T46" s="253"/>
      <c r="U46" s="253"/>
      <c r="V46" s="253"/>
      <c r="W46" s="253"/>
      <c r="X46" s="253"/>
      <c r="Y46" s="253"/>
      <c r="Z46" s="253"/>
      <c r="AA46" s="253"/>
      <c r="AB46" s="253"/>
      <c r="AC46" s="253"/>
      <c r="AD46" s="253"/>
      <c r="AE46" s="253"/>
      <c r="AF46" s="253"/>
      <c r="AG46" s="253"/>
      <c r="AH46" s="253"/>
      <c r="AI46" s="253"/>
      <c r="AJ46" s="253"/>
      <c r="AK46" s="253"/>
      <c r="AL46" s="253"/>
      <c r="AM46" s="253"/>
      <c r="AN46" s="253"/>
      <c r="AO46" s="253"/>
      <c r="AP46" s="253"/>
      <c r="AQ46" s="253"/>
      <c r="AR46" s="280"/>
      <c r="AS46" s="253"/>
      <c r="AT46" s="253"/>
      <c r="AU46" s="253"/>
      <c r="AV46" s="253"/>
      <c r="AW46" s="253"/>
      <c r="AX46" s="253"/>
      <c r="AY46" s="253"/>
      <c r="AZ46" s="253"/>
      <c r="BA46" s="253"/>
      <c r="BB46" s="253"/>
      <c r="BC46" s="253"/>
      <c r="BD46" s="253"/>
      <c r="BE46" s="253"/>
      <c r="BF46" s="253"/>
      <c r="BG46" s="253"/>
      <c r="BH46" s="253"/>
      <c r="BI46" s="253"/>
      <c r="BJ46" s="253"/>
      <c r="BK46" s="253"/>
      <c r="BL46" s="253"/>
      <c r="BM46" s="253"/>
      <c r="BN46" s="253"/>
      <c r="BO46" s="253"/>
      <c r="BP46" s="253"/>
      <c r="BQ46" s="253"/>
      <c r="BR46" s="253"/>
      <c r="BS46" s="253"/>
      <c r="BT46" s="253"/>
      <c r="BU46" s="253"/>
      <c r="BV46" s="253"/>
      <c r="BW46" s="253"/>
      <c r="BX46" s="253"/>
      <c r="BY46" s="253"/>
      <c r="BZ46" s="253"/>
      <c r="DC46" s="494"/>
      <c r="DD46" s="494"/>
      <c r="DE46" s="494"/>
      <c r="DF46" s="494"/>
      <c r="DG46" s="494"/>
      <c r="DM46" s="494"/>
      <c r="DN46" s="494"/>
      <c r="DR46" s="494"/>
      <c r="DS46" s="494"/>
      <c r="DW46" s="494"/>
      <c r="DX46" s="494"/>
      <c r="EB46" s="494"/>
      <c r="EC46" s="494"/>
      <c r="EI46" s="2560"/>
      <c r="EJ46" s="2560"/>
      <c r="EK46" s="2560"/>
      <c r="EL46" s="2560"/>
      <c r="EM46" s="2560"/>
      <c r="EN46" s="2560"/>
      <c r="EO46" s="2560"/>
      <c r="EP46" s="2560"/>
      <c r="EQ46" s="2560"/>
      <c r="ER46" s="2560"/>
      <c r="ES46" s="2560"/>
      <c r="ET46" s="2560"/>
      <c r="EU46" s="2560"/>
      <c r="GO46"/>
      <c r="GP46"/>
      <c r="GQ46"/>
      <c r="GR46"/>
      <c r="GS46"/>
      <c r="GT46"/>
      <c r="GU46" s="261"/>
      <c r="GV46" s="261"/>
      <c r="GW46" s="261"/>
      <c r="GX46" s="261"/>
      <c r="GY46" s="261"/>
      <c r="GZ46" s="261"/>
      <c r="HA46" s="261"/>
      <c r="HB46" s="261"/>
      <c r="HC46" s="261"/>
      <c r="HD46" s="261"/>
      <c r="HE46" s="261"/>
      <c r="HF46" s="261"/>
      <c r="HG46" s="261"/>
      <c r="HH46" s="261"/>
      <c r="HI46" s="261"/>
      <c r="HJ46" s="261"/>
      <c r="HK46" s="261"/>
      <c r="HL46" s="261"/>
      <c r="HM46" s="261"/>
      <c r="HN46" s="261"/>
      <c r="HO46" s="261"/>
      <c r="HP46" s="261"/>
      <c r="HQ46" s="261"/>
      <c r="HR46" s="261"/>
      <c r="HS46" s="261"/>
      <c r="HT46" s="261"/>
      <c r="HU46" s="261"/>
      <c r="HV46" s="261"/>
      <c r="HW46" s="261"/>
      <c r="HX46" s="261"/>
      <c r="HY46" s="261"/>
      <c r="HZ46" s="261"/>
      <c r="IA46" s="261"/>
      <c r="IB46" s="261"/>
      <c r="IC46" s="261"/>
      <c r="ID46" s="261"/>
      <c r="IE46" s="261"/>
      <c r="IF46" s="261"/>
      <c r="IG46" s="261"/>
      <c r="IH46" s="261"/>
      <c r="II46" s="261"/>
      <c r="IJ46" s="261"/>
      <c r="IK46" s="261"/>
      <c r="IL46" s="261"/>
      <c r="IM46" s="261"/>
      <c r="IN46" s="261"/>
      <c r="IO46" s="261"/>
      <c r="IP46" s="261"/>
      <c r="IQ46" s="261"/>
      <c r="IR46" s="261"/>
      <c r="IS46" s="261"/>
      <c r="IT46" s="261"/>
      <c r="IU46" s="261"/>
      <c r="IV46" s="261"/>
      <c r="IW46" s="261"/>
      <c r="IX46" s="261"/>
      <c r="IY46" s="261"/>
      <c r="IZ46" s="261"/>
      <c r="JA46" s="261"/>
      <c r="JB46" s="261"/>
      <c r="JC46" s="261"/>
      <c r="JD46" s="261"/>
      <c r="JE46" s="261"/>
      <c r="JF46" s="261"/>
      <c r="JG46" s="261"/>
      <c r="JH46" s="261"/>
      <c r="JI46" s="261"/>
      <c r="JJ46" s="261"/>
      <c r="JK46" s="261"/>
      <c r="JL46" s="261"/>
      <c r="JM46" s="261"/>
      <c r="JN46" s="261"/>
      <c r="JO46" s="261"/>
      <c r="JP46" s="261"/>
      <c r="JQ46" s="261"/>
      <c r="JR46" s="261"/>
      <c r="JS46" s="261"/>
      <c r="JT46" s="261"/>
    </row>
    <row r="47" spans="1:280" s="264" customFormat="1" ht="11.25" customHeight="1">
      <c r="A47" s="253" t="str">
        <f>"("&amp;ROWS(CF_FootnoteStart:A47)-1&amp;") FQ4:04A includes $266MM IP expenditure related to InterTrust legal settlement that was a part of capital expenditures according to filings."</f>
        <v>(1) FQ4:04A includes $266MM IP expenditure related to InterTrust legal settlement that was a part of capital expenditures according to filings.</v>
      </c>
      <c r="D47" s="253"/>
      <c r="E47" s="253"/>
      <c r="F47" s="253"/>
      <c r="G47" s="253"/>
      <c r="H47" s="253"/>
      <c r="I47" s="253"/>
      <c r="J47" s="253"/>
      <c r="K47" s="253"/>
      <c r="L47" s="253"/>
      <c r="M47" s="253"/>
      <c r="N47" s="253"/>
      <c r="O47" s="253"/>
      <c r="P47" s="253"/>
      <c r="Q47" s="253"/>
      <c r="R47" s="253"/>
      <c r="S47" s="253"/>
      <c r="T47" s="253"/>
      <c r="U47" s="253"/>
      <c r="V47" s="253"/>
      <c r="W47" s="253"/>
      <c r="X47" s="253"/>
      <c r="Y47" s="253"/>
      <c r="Z47" s="253"/>
      <c r="AA47" s="253"/>
      <c r="AB47" s="253"/>
      <c r="AC47" s="253"/>
      <c r="AD47" s="253"/>
      <c r="AE47" s="253"/>
      <c r="AF47" s="253"/>
      <c r="AG47" s="253"/>
      <c r="AH47" s="253"/>
      <c r="AI47" s="253"/>
      <c r="AJ47" s="253"/>
      <c r="AK47" s="253"/>
      <c r="AL47" s="253"/>
      <c r="AM47" s="253"/>
      <c r="AN47" s="253"/>
      <c r="AO47" s="253"/>
      <c r="AP47" s="253"/>
      <c r="AQ47" s="253"/>
      <c r="AR47" s="280"/>
      <c r="AS47" s="253"/>
      <c r="AT47" s="253"/>
      <c r="AU47" s="253"/>
      <c r="AV47" s="253"/>
      <c r="AW47" s="253"/>
      <c r="AX47" s="253"/>
      <c r="AY47" s="253"/>
      <c r="AZ47" s="253"/>
      <c r="BA47" s="253"/>
      <c r="BB47" s="253"/>
      <c r="BC47" s="253"/>
      <c r="BD47" s="253"/>
      <c r="BE47" s="253"/>
      <c r="BF47" s="253"/>
      <c r="BG47" s="253"/>
      <c r="BH47" s="253"/>
      <c r="BI47" s="253"/>
      <c r="BJ47" s="253"/>
      <c r="BK47" s="253"/>
      <c r="BL47" s="253"/>
      <c r="BM47" s="253"/>
      <c r="BN47" s="253"/>
      <c r="BO47" s="253"/>
      <c r="BP47" s="253"/>
      <c r="BQ47" s="253"/>
      <c r="BR47" s="253"/>
      <c r="BS47" s="253"/>
      <c r="BT47" s="253"/>
      <c r="BU47" s="253"/>
      <c r="BV47" s="253"/>
      <c r="BW47" s="253"/>
      <c r="BX47" s="253"/>
      <c r="BY47" s="253"/>
      <c r="BZ47" s="253"/>
      <c r="DB47" s="154"/>
      <c r="DC47" s="494"/>
      <c r="DD47" s="494"/>
      <c r="DE47" s="494"/>
      <c r="DF47" s="494"/>
      <c r="DG47" s="494"/>
      <c r="DK47" s="548"/>
      <c r="DM47" s="494"/>
      <c r="DN47" s="494"/>
      <c r="DP47" s="548"/>
      <c r="DQ47" s="548"/>
      <c r="DR47" s="494"/>
      <c r="DS47" s="494"/>
      <c r="DU47" s="548"/>
      <c r="DV47" s="548"/>
      <c r="DW47" s="494"/>
      <c r="DX47" s="494"/>
      <c r="DZ47" s="548"/>
      <c r="EB47" s="494"/>
      <c r="EC47" s="494"/>
      <c r="EE47" s="548"/>
      <c r="EF47" s="548"/>
      <c r="EI47" s="2560"/>
      <c r="EJ47" s="548"/>
      <c r="EK47" s="548"/>
      <c r="EL47" s="2560"/>
      <c r="EM47" s="2560"/>
      <c r="EN47" s="2560"/>
      <c r="EO47" s="548"/>
      <c r="EP47" s="548"/>
      <c r="EQ47" s="2560"/>
      <c r="ER47" s="2560"/>
      <c r="ES47" s="2560"/>
      <c r="ET47" s="548"/>
      <c r="EU47" s="548"/>
      <c r="GO47"/>
      <c r="GP47"/>
      <c r="GQ47"/>
      <c r="GR47"/>
      <c r="GS47"/>
      <c r="GT47"/>
      <c r="GU47" s="261"/>
      <c r="GV47" s="261"/>
      <c r="GW47" s="261"/>
      <c r="GX47" s="261"/>
      <c r="GY47" s="261"/>
      <c r="GZ47" s="261"/>
      <c r="HA47" s="261"/>
      <c r="HB47" s="261"/>
      <c r="HC47" s="261"/>
      <c r="HD47" s="261"/>
      <c r="HE47" s="261"/>
      <c r="HF47" s="261"/>
      <c r="HG47" s="261"/>
      <c r="HH47" s="261"/>
      <c r="HI47" s="261"/>
      <c r="HJ47" s="261"/>
      <c r="HK47" s="261"/>
      <c r="HL47" s="261"/>
      <c r="HM47" s="261"/>
      <c r="HN47" s="261"/>
      <c r="HO47" s="261"/>
      <c r="HP47" s="261"/>
      <c r="HQ47" s="261"/>
      <c r="HR47" s="261"/>
      <c r="HS47" s="261"/>
      <c r="HT47" s="261"/>
      <c r="HU47" s="261"/>
      <c r="HV47" s="261"/>
      <c r="HW47" s="261"/>
      <c r="HX47" s="261"/>
      <c r="HY47" s="261"/>
      <c r="HZ47" s="261"/>
      <c r="IA47" s="261"/>
      <c r="IB47" s="261"/>
      <c r="IC47" s="261"/>
      <c r="ID47" s="261"/>
      <c r="IE47" s="261"/>
      <c r="IF47" s="261"/>
      <c r="IG47" s="261"/>
      <c r="IH47" s="261"/>
      <c r="II47" s="261"/>
      <c r="IJ47" s="261"/>
      <c r="IK47" s="261"/>
      <c r="IL47" s="261"/>
      <c r="IM47" s="261"/>
      <c r="IN47" s="261"/>
      <c r="IO47" s="261"/>
      <c r="IP47" s="261"/>
      <c r="IQ47" s="261"/>
      <c r="IR47" s="261"/>
      <c r="IS47" s="261"/>
      <c r="IT47" s="261"/>
      <c r="IU47" s="261"/>
      <c r="IV47" s="261"/>
      <c r="IW47" s="261"/>
      <c r="IX47" s="261"/>
      <c r="IY47" s="261"/>
      <c r="IZ47" s="261"/>
      <c r="JA47" s="261"/>
      <c r="JB47" s="261"/>
      <c r="JC47" s="261"/>
      <c r="JD47" s="261"/>
      <c r="JE47" s="261"/>
      <c r="JF47" s="261"/>
      <c r="JG47" s="261"/>
      <c r="JH47" s="261"/>
      <c r="JI47" s="261"/>
      <c r="JJ47" s="261"/>
      <c r="JK47" s="261"/>
      <c r="JL47" s="261"/>
      <c r="JM47" s="261"/>
      <c r="JN47" s="261"/>
      <c r="JO47" s="261"/>
      <c r="JP47" s="261"/>
      <c r="JQ47" s="261"/>
      <c r="JR47" s="261"/>
      <c r="JS47" s="261"/>
      <c r="JT47" s="261"/>
    </row>
    <row r="48" spans="1:280" s="264" customFormat="1" ht="11.25" customHeight="1">
      <c r="A48" s="253" t="s">
        <v>455</v>
      </c>
      <c r="D48" s="253"/>
      <c r="E48" s="253"/>
      <c r="F48" s="253"/>
      <c r="G48" s="253"/>
      <c r="H48" s="253"/>
      <c r="I48" s="253"/>
      <c r="J48" s="253"/>
      <c r="K48" s="253"/>
      <c r="L48" s="253"/>
      <c r="M48" s="253"/>
      <c r="N48" s="253"/>
      <c r="O48" s="253"/>
      <c r="P48" s="253"/>
      <c r="Q48" s="253"/>
      <c r="R48" s="253"/>
      <c r="S48" s="253"/>
      <c r="T48" s="253"/>
      <c r="U48" s="253"/>
      <c r="V48" s="253"/>
      <c r="W48" s="253"/>
      <c r="X48" s="253"/>
      <c r="Y48" s="253"/>
      <c r="Z48" s="253"/>
      <c r="AA48" s="253"/>
      <c r="AB48" s="253"/>
      <c r="AC48" s="253"/>
      <c r="AD48" s="253"/>
      <c r="AE48" s="253"/>
      <c r="AF48" s="253"/>
      <c r="AG48" s="253"/>
      <c r="AH48" s="253"/>
      <c r="AI48" s="253"/>
      <c r="AJ48" s="253"/>
      <c r="AK48" s="253"/>
      <c r="AL48" s="253"/>
      <c r="AM48" s="253"/>
      <c r="AN48" s="253"/>
      <c r="AO48" s="253"/>
      <c r="AP48" s="253"/>
      <c r="AQ48" s="253"/>
      <c r="AR48" s="280"/>
      <c r="AS48" s="253"/>
      <c r="AT48" s="253"/>
      <c r="AU48" s="253"/>
      <c r="AV48" s="253"/>
      <c r="AW48" s="253"/>
      <c r="AX48" s="253"/>
      <c r="AY48" s="253"/>
      <c r="AZ48" s="253"/>
      <c r="BA48" s="253"/>
      <c r="BB48" s="253"/>
      <c r="BC48" s="253"/>
      <c r="BD48" s="253"/>
      <c r="BE48" s="253"/>
      <c r="BF48" s="253"/>
      <c r="BG48" s="253"/>
      <c r="BH48" s="253"/>
      <c r="BI48" s="253"/>
      <c r="BJ48" s="253"/>
      <c r="BK48" s="253"/>
      <c r="BL48" s="253"/>
      <c r="BM48" s="253"/>
      <c r="BN48" s="253"/>
      <c r="BO48" s="253"/>
      <c r="BP48" s="253"/>
      <c r="BQ48" s="253"/>
      <c r="BR48" s="253"/>
      <c r="BS48" s="253"/>
      <c r="BT48" s="525"/>
      <c r="BU48" s="525"/>
      <c r="BV48" s="253"/>
      <c r="BW48" s="253"/>
      <c r="BX48" s="253"/>
      <c r="BY48" s="253"/>
      <c r="BZ48" s="253"/>
      <c r="DC48" s="494"/>
      <c r="DD48" s="494"/>
      <c r="DE48" s="494"/>
      <c r="DF48" s="494"/>
      <c r="DG48" s="494"/>
      <c r="DM48" s="494"/>
      <c r="DN48" s="494"/>
      <c r="DR48" s="494"/>
      <c r="DS48" s="494"/>
      <c r="DW48" s="494"/>
      <c r="DX48" s="494"/>
      <c r="EB48" s="494"/>
      <c r="EC48" s="494"/>
      <c r="EI48" s="2560"/>
      <c r="EJ48" s="2560"/>
      <c r="EK48" s="2560"/>
      <c r="EL48" s="2560"/>
      <c r="EM48" s="2560"/>
      <c r="EN48" s="2560"/>
      <c r="EO48" s="2560"/>
      <c r="EP48" s="2560"/>
      <c r="EQ48" s="2560"/>
      <c r="ER48" s="2560"/>
      <c r="ES48" s="2560"/>
      <c r="ET48" s="2560"/>
      <c r="EU48" s="2560"/>
      <c r="GO48"/>
      <c r="GP48"/>
      <c r="GQ48"/>
      <c r="GR48"/>
      <c r="GS48"/>
      <c r="GT48"/>
      <c r="GU48" s="261"/>
      <c r="GV48" s="261"/>
      <c r="GW48" s="261"/>
      <c r="GX48" s="261"/>
      <c r="GY48" s="261"/>
      <c r="GZ48" s="261"/>
      <c r="HA48" s="261"/>
      <c r="HB48" s="261"/>
      <c r="HC48" s="261"/>
      <c r="HD48" s="261"/>
      <c r="HE48" s="261"/>
      <c r="HF48" s="261"/>
      <c r="HG48" s="261"/>
      <c r="HH48" s="261"/>
      <c r="HI48" s="261"/>
      <c r="HJ48" s="261"/>
      <c r="HK48" s="261"/>
      <c r="HL48" s="261"/>
      <c r="HM48" s="261"/>
      <c r="HN48" s="261"/>
      <c r="HO48" s="261"/>
      <c r="HP48" s="261"/>
      <c r="HQ48" s="261"/>
      <c r="HR48" s="261"/>
      <c r="HS48" s="261"/>
      <c r="HT48" s="261"/>
      <c r="HU48" s="261"/>
      <c r="HV48" s="261"/>
      <c r="HW48" s="261"/>
      <c r="HX48" s="261"/>
      <c r="HY48" s="261"/>
      <c r="HZ48" s="261"/>
      <c r="IA48" s="261"/>
      <c r="IB48" s="261"/>
      <c r="IC48" s="261"/>
      <c r="ID48" s="261"/>
      <c r="IE48" s="261"/>
      <c r="IF48" s="261"/>
      <c r="IG48" s="261"/>
      <c r="IH48" s="261"/>
      <c r="II48" s="261"/>
      <c r="IJ48" s="261"/>
      <c r="IK48" s="261"/>
      <c r="IL48" s="261"/>
      <c r="IM48" s="261"/>
      <c r="IN48" s="261"/>
      <c r="IO48" s="261"/>
      <c r="IP48" s="261"/>
      <c r="IQ48" s="261"/>
      <c r="IR48" s="261"/>
      <c r="IS48" s="261"/>
      <c r="IT48" s="261"/>
      <c r="IU48" s="261"/>
      <c r="IV48" s="261"/>
      <c r="IW48" s="261"/>
      <c r="IX48" s="261"/>
      <c r="IY48" s="261"/>
      <c r="IZ48" s="261"/>
      <c r="JA48" s="261"/>
      <c r="JB48" s="261"/>
      <c r="JC48" s="261"/>
      <c r="JD48" s="261"/>
      <c r="JE48" s="261"/>
      <c r="JF48" s="261"/>
      <c r="JG48" s="261"/>
      <c r="JH48" s="261"/>
      <c r="JI48" s="261"/>
      <c r="JJ48" s="261"/>
      <c r="JK48" s="261"/>
      <c r="JL48" s="261"/>
      <c r="JM48" s="261"/>
      <c r="JN48" s="261"/>
      <c r="JO48" s="261"/>
      <c r="JP48" s="261"/>
      <c r="JQ48" s="261"/>
      <c r="JR48" s="261"/>
      <c r="JS48" s="261"/>
      <c r="JT48" s="261"/>
    </row>
    <row r="49" spans="1:280" s="287" customFormat="1" ht="3" customHeight="1">
      <c r="A49" s="549"/>
      <c r="AR49" s="550"/>
      <c r="DC49" s="286"/>
      <c r="DD49" s="286"/>
      <c r="DE49" s="286"/>
      <c r="DF49" s="286"/>
      <c r="DG49" s="286"/>
      <c r="DM49" s="286"/>
      <c r="DN49" s="286"/>
      <c r="DR49" s="286"/>
      <c r="DS49" s="286"/>
      <c r="DW49" s="286"/>
      <c r="DX49" s="286"/>
      <c r="EB49" s="286"/>
      <c r="EC49" s="286"/>
      <c r="EI49" s="2775"/>
      <c r="EJ49" s="2775"/>
      <c r="EK49" s="2775"/>
      <c r="EL49" s="2775"/>
      <c r="EM49" s="2775"/>
      <c r="EN49" s="2775"/>
      <c r="EO49" s="2775"/>
      <c r="EP49" s="2775"/>
      <c r="EQ49" s="2775"/>
      <c r="ER49" s="2775"/>
      <c r="ES49" s="2775"/>
      <c r="ET49" s="2775"/>
      <c r="EU49" s="2775"/>
      <c r="GO49"/>
      <c r="GP49"/>
      <c r="GQ49"/>
      <c r="GR49"/>
      <c r="GS49"/>
      <c r="GT49"/>
      <c r="GU49" s="261"/>
      <c r="GV49" s="261"/>
      <c r="GW49" s="261"/>
      <c r="GX49" s="261"/>
      <c r="GY49" s="261"/>
      <c r="GZ49" s="261"/>
      <c r="HA49" s="261"/>
      <c r="HB49" s="261"/>
      <c r="HC49" s="261"/>
      <c r="HD49" s="261"/>
      <c r="HE49" s="261"/>
      <c r="HF49" s="261"/>
      <c r="HG49" s="261"/>
      <c r="HH49" s="261"/>
      <c r="HI49" s="261"/>
      <c r="HJ49" s="261"/>
      <c r="HK49" s="261"/>
      <c r="HL49" s="261"/>
      <c r="HM49" s="261"/>
      <c r="HN49" s="261"/>
      <c r="HO49" s="261"/>
      <c r="HP49" s="261"/>
      <c r="HQ49" s="261"/>
      <c r="HR49" s="261"/>
      <c r="HS49" s="261"/>
      <c r="HT49" s="261"/>
      <c r="HU49" s="261"/>
      <c r="HV49" s="261"/>
      <c r="HW49" s="261"/>
      <c r="HX49" s="261"/>
      <c r="HY49" s="261"/>
      <c r="HZ49" s="261"/>
      <c r="IA49" s="261"/>
      <c r="IB49" s="261"/>
      <c r="IC49" s="261"/>
      <c r="ID49" s="261"/>
      <c r="IE49" s="261"/>
      <c r="IF49" s="261"/>
      <c r="IG49" s="261"/>
      <c r="IH49" s="261"/>
      <c r="II49" s="261"/>
      <c r="IJ49" s="261"/>
      <c r="IK49" s="261"/>
      <c r="IL49" s="261"/>
      <c r="IM49" s="261"/>
      <c r="IN49" s="261"/>
      <c r="IO49" s="261"/>
      <c r="IP49" s="261"/>
      <c r="IQ49" s="261"/>
      <c r="IR49" s="261"/>
      <c r="IS49" s="261"/>
      <c r="IT49" s="261"/>
      <c r="IU49" s="261"/>
      <c r="IV49" s="261"/>
      <c r="IW49" s="261"/>
      <c r="IX49" s="261"/>
      <c r="IY49" s="261"/>
      <c r="IZ49" s="261"/>
      <c r="JA49" s="261"/>
      <c r="JB49" s="261"/>
      <c r="JC49" s="261"/>
      <c r="JD49" s="261"/>
      <c r="JE49" s="261"/>
      <c r="JF49" s="261"/>
      <c r="JG49" s="261"/>
      <c r="JH49" s="261"/>
      <c r="JI49" s="261"/>
      <c r="JJ49" s="261"/>
      <c r="JK49" s="261"/>
      <c r="JL49" s="261"/>
      <c r="JM49" s="261"/>
      <c r="JN49" s="261"/>
      <c r="JO49" s="261"/>
      <c r="JP49" s="261"/>
      <c r="JQ49" s="261"/>
      <c r="JR49" s="261"/>
      <c r="JS49" s="261"/>
      <c r="JT49" s="261"/>
    </row>
    <row r="50" spans="1:280" s="264" customFormat="1" ht="11.25" customHeight="1">
      <c r="D50" s="253"/>
      <c r="E50" s="253"/>
      <c r="F50" s="253"/>
      <c r="G50" s="253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  <c r="AF50" s="253"/>
      <c r="AG50" s="253"/>
      <c r="AH50" s="253"/>
      <c r="AI50" s="253"/>
      <c r="AJ50" s="253"/>
      <c r="AK50" s="253"/>
      <c r="AL50" s="253"/>
      <c r="AM50" s="253"/>
      <c r="AN50" s="253"/>
      <c r="AO50" s="253"/>
      <c r="AP50" s="253"/>
      <c r="AQ50" s="253"/>
      <c r="AR50" s="280"/>
      <c r="AS50" s="253"/>
      <c r="AT50" s="253"/>
      <c r="AU50" s="253"/>
      <c r="AV50" s="253"/>
      <c r="AW50" s="253"/>
      <c r="AX50" s="253"/>
      <c r="AY50" s="253"/>
      <c r="AZ50" s="253"/>
      <c r="BA50" s="253"/>
      <c r="BB50" s="253"/>
      <c r="BC50" s="253"/>
      <c r="BD50" s="253"/>
      <c r="BE50" s="253"/>
      <c r="BF50" s="253"/>
      <c r="BG50" s="253"/>
      <c r="BH50" s="253"/>
      <c r="BI50" s="253"/>
      <c r="BJ50" s="253"/>
      <c r="BK50" s="253"/>
      <c r="BL50" s="253"/>
      <c r="BM50" s="253"/>
      <c r="BN50" s="253"/>
      <c r="BO50" s="253"/>
      <c r="BP50" s="253"/>
      <c r="BQ50" s="253"/>
      <c r="BR50" s="253"/>
      <c r="BS50" s="253"/>
      <c r="BT50" s="253"/>
      <c r="BU50" s="253"/>
      <c r="BV50" s="253"/>
      <c r="BW50" s="253"/>
      <c r="BX50" s="253"/>
      <c r="BY50" s="253"/>
      <c r="BZ50" s="253"/>
      <c r="DC50" s="494"/>
      <c r="DD50" s="494"/>
      <c r="DE50" s="494"/>
      <c r="DF50" s="494"/>
      <c r="DG50" s="494"/>
      <c r="DM50" s="494"/>
      <c r="DN50" s="494"/>
      <c r="DR50" s="494"/>
      <c r="DS50" s="494"/>
      <c r="DW50" s="494"/>
      <c r="DX50" s="494"/>
      <c r="EB50" s="494"/>
      <c r="EC50" s="494"/>
      <c r="EI50" s="2560"/>
      <c r="EJ50" s="2560"/>
      <c r="EK50" s="2560"/>
      <c r="EL50" s="2560"/>
      <c r="EM50" s="2560"/>
      <c r="EN50" s="2560"/>
      <c r="EO50" s="2560"/>
      <c r="EP50" s="2560"/>
      <c r="EQ50" s="2560"/>
      <c r="ER50" s="2560"/>
      <c r="ES50" s="2560"/>
      <c r="ET50" s="2560"/>
      <c r="EU50" s="2560"/>
      <c r="GO50"/>
      <c r="GP50"/>
      <c r="GQ50"/>
      <c r="GR50"/>
      <c r="GS50"/>
      <c r="GT50"/>
      <c r="GU50" s="261"/>
      <c r="GV50" s="261"/>
      <c r="GW50" s="261"/>
      <c r="GX50" s="261"/>
      <c r="GY50" s="261"/>
      <c r="GZ50" s="261"/>
      <c r="HA50" s="261"/>
      <c r="HB50" s="261"/>
      <c r="HC50" s="261"/>
      <c r="HD50" s="261"/>
      <c r="HE50" s="261"/>
      <c r="HF50" s="261"/>
      <c r="HG50" s="261"/>
      <c r="HH50" s="261"/>
      <c r="HI50" s="261"/>
      <c r="HJ50" s="261"/>
      <c r="HK50" s="261"/>
      <c r="HL50" s="261"/>
      <c r="HM50" s="261"/>
      <c r="HN50" s="261"/>
      <c r="HO50" s="261"/>
      <c r="HP50" s="261"/>
      <c r="HQ50" s="261"/>
      <c r="HR50" s="261"/>
      <c r="HS50" s="261"/>
      <c r="HT50" s="261"/>
      <c r="HU50" s="261"/>
      <c r="HV50" s="261"/>
      <c r="HW50" s="261"/>
      <c r="HX50" s="261"/>
      <c r="HY50" s="261"/>
      <c r="HZ50" s="261"/>
      <c r="IA50" s="261"/>
      <c r="IB50" s="261"/>
      <c r="IC50" s="261"/>
      <c r="ID50" s="261"/>
      <c r="IE50" s="261"/>
      <c r="IF50" s="261"/>
      <c r="IG50" s="261"/>
      <c r="IH50" s="261"/>
      <c r="II50" s="261"/>
      <c r="IJ50" s="261"/>
      <c r="IK50" s="261"/>
      <c r="IL50" s="261"/>
      <c r="IM50" s="261"/>
      <c r="IN50" s="261"/>
      <c r="IO50" s="261"/>
      <c r="IP50" s="261"/>
      <c r="IQ50" s="261"/>
      <c r="IR50" s="261"/>
      <c r="IS50" s="261"/>
      <c r="IT50" s="261"/>
      <c r="IU50" s="261"/>
      <c r="IV50" s="261"/>
      <c r="IW50" s="261"/>
      <c r="IX50" s="261"/>
      <c r="IY50" s="261"/>
      <c r="IZ50" s="261"/>
      <c r="JA50" s="261"/>
      <c r="JB50" s="261"/>
      <c r="JC50" s="261"/>
      <c r="JD50" s="261"/>
      <c r="JE50" s="261"/>
      <c r="JF50" s="261"/>
      <c r="JG50" s="261"/>
      <c r="JH50" s="261"/>
      <c r="JI50" s="261"/>
      <c r="JJ50" s="261"/>
      <c r="JK50" s="261"/>
      <c r="JL50" s="261"/>
      <c r="JM50" s="261"/>
      <c r="JN50" s="261"/>
      <c r="JO50" s="261"/>
      <c r="JP50" s="261"/>
      <c r="JQ50" s="261"/>
      <c r="JR50" s="261"/>
      <c r="JS50" s="261"/>
      <c r="JT50" s="261"/>
    </row>
    <row r="51" spans="1:280" s="264" customFormat="1" ht="11.25" customHeight="1">
      <c r="D51" s="253"/>
      <c r="E51" s="253"/>
      <c r="F51" s="253"/>
      <c r="G51" s="253"/>
      <c r="H51" s="253"/>
      <c r="I51" s="253"/>
      <c r="J51" s="253"/>
      <c r="K51" s="253"/>
      <c r="L51" s="253"/>
      <c r="M51" s="253"/>
      <c r="N51" s="253"/>
      <c r="O51" s="253"/>
      <c r="P51" s="253"/>
      <c r="Q51" s="253"/>
      <c r="R51" s="253"/>
      <c r="S51" s="253"/>
      <c r="T51" s="253"/>
      <c r="U51" s="253"/>
      <c r="V51" s="253"/>
      <c r="W51" s="253"/>
      <c r="X51" s="253"/>
      <c r="Y51" s="253"/>
      <c r="Z51" s="253"/>
      <c r="AA51" s="253"/>
      <c r="AB51" s="253"/>
      <c r="AC51" s="253"/>
      <c r="AD51" s="253"/>
      <c r="AE51" s="253"/>
      <c r="AF51" s="253"/>
      <c r="AG51" s="253"/>
      <c r="AH51" s="253"/>
      <c r="AI51" s="253"/>
      <c r="AJ51" s="253"/>
      <c r="AK51" s="253"/>
      <c r="AL51" s="253"/>
      <c r="AM51" s="253"/>
      <c r="AN51" s="253"/>
      <c r="AO51" s="253"/>
      <c r="AP51" s="253"/>
      <c r="AQ51" s="253"/>
      <c r="AR51" s="253"/>
      <c r="AS51" s="253"/>
      <c r="AT51" s="253"/>
      <c r="AU51" s="253"/>
      <c r="AV51" s="253"/>
      <c r="AW51" s="253"/>
      <c r="AX51" s="253"/>
      <c r="AY51" s="253"/>
      <c r="AZ51" s="253"/>
      <c r="BA51" s="253"/>
      <c r="BB51" s="253"/>
      <c r="BC51" s="253"/>
      <c r="BD51" s="253"/>
      <c r="BE51" s="253"/>
      <c r="BF51" s="253"/>
      <c r="BG51" s="253"/>
      <c r="BH51" s="253"/>
      <c r="BI51" s="253"/>
      <c r="BJ51" s="253"/>
      <c r="BK51" s="253"/>
      <c r="BL51" s="253"/>
      <c r="BM51" s="253"/>
      <c r="BN51" s="253"/>
      <c r="BO51" s="253"/>
      <c r="BP51" s="253"/>
      <c r="BQ51" s="253"/>
      <c r="BR51" s="253"/>
      <c r="BS51" s="253"/>
      <c r="BT51" s="253"/>
      <c r="BU51" s="253"/>
      <c r="BV51" s="253"/>
      <c r="BW51" s="253"/>
      <c r="BX51" s="253"/>
      <c r="BY51" s="253"/>
      <c r="BZ51" s="253"/>
      <c r="DC51" s="494"/>
      <c r="DD51" s="494"/>
      <c r="DE51" s="494"/>
      <c r="DF51" s="494"/>
      <c r="DG51" s="494"/>
      <c r="DM51" s="494"/>
      <c r="DN51" s="494"/>
      <c r="DR51" s="494"/>
      <c r="DS51" s="494"/>
      <c r="DW51" s="494"/>
      <c r="DX51" s="494"/>
      <c r="EB51" s="494"/>
      <c r="EC51" s="494"/>
      <c r="EI51" s="2560"/>
      <c r="EJ51" s="2560"/>
      <c r="EK51" s="2560"/>
      <c r="EL51" s="2560"/>
      <c r="EM51" s="2560"/>
      <c r="EN51" s="2560"/>
      <c r="EO51" s="2560"/>
      <c r="EP51" s="2560"/>
      <c r="EQ51" s="2560"/>
      <c r="ER51" s="2560"/>
      <c r="ES51" s="2560"/>
      <c r="ET51" s="2560"/>
      <c r="EU51" s="2560"/>
      <c r="GO51"/>
      <c r="GP51"/>
      <c r="GQ51"/>
      <c r="GR51"/>
      <c r="GS51"/>
      <c r="GT51"/>
      <c r="GU51" s="261"/>
      <c r="GV51" s="261"/>
      <c r="GW51" s="261"/>
      <c r="GX51" s="261"/>
      <c r="GY51" s="261"/>
      <c r="GZ51" s="261"/>
      <c r="HA51" s="261"/>
      <c r="HB51" s="261"/>
      <c r="HC51" s="261"/>
      <c r="HD51" s="261"/>
      <c r="HE51" s="261"/>
      <c r="HF51" s="261"/>
      <c r="HG51" s="261"/>
      <c r="HH51" s="261"/>
      <c r="HI51" s="261"/>
      <c r="HJ51" s="261"/>
      <c r="HK51" s="261"/>
      <c r="HL51" s="261"/>
      <c r="HM51" s="261"/>
      <c r="HN51" s="261"/>
      <c r="HO51" s="261"/>
      <c r="HP51" s="261"/>
      <c r="HQ51" s="261"/>
      <c r="HR51" s="261"/>
      <c r="HS51" s="261"/>
      <c r="HT51" s="261"/>
      <c r="HU51" s="261"/>
      <c r="HV51" s="261"/>
      <c r="HW51" s="261"/>
      <c r="HX51" s="261"/>
      <c r="HY51" s="261"/>
      <c r="HZ51" s="261"/>
      <c r="IA51" s="261"/>
      <c r="IB51" s="261"/>
      <c r="IC51" s="261"/>
      <c r="ID51" s="261"/>
      <c r="IE51" s="261"/>
      <c r="IF51" s="261"/>
      <c r="IG51" s="261"/>
      <c r="IH51" s="261"/>
      <c r="II51" s="261"/>
      <c r="IJ51" s="261"/>
      <c r="IK51" s="261"/>
      <c r="IL51" s="261"/>
      <c r="IM51" s="261"/>
      <c r="IN51" s="261"/>
      <c r="IO51" s="261"/>
      <c r="IP51" s="261"/>
      <c r="IQ51" s="261"/>
      <c r="IR51" s="261"/>
      <c r="IS51" s="261"/>
      <c r="IT51" s="261"/>
      <c r="IU51" s="261"/>
      <c r="IV51" s="261"/>
      <c r="IW51" s="261"/>
      <c r="IX51" s="261"/>
      <c r="IY51" s="261"/>
      <c r="IZ51" s="261"/>
      <c r="JA51" s="261"/>
      <c r="JB51" s="261"/>
      <c r="JC51" s="261"/>
      <c r="JD51" s="261"/>
      <c r="JE51" s="261"/>
      <c r="JF51" s="261"/>
      <c r="JG51" s="261"/>
      <c r="JH51" s="261"/>
      <c r="JI51" s="261"/>
      <c r="JJ51" s="261"/>
      <c r="JK51" s="261"/>
      <c r="JL51" s="261"/>
      <c r="JM51" s="261"/>
      <c r="JN51" s="261"/>
      <c r="JO51" s="261"/>
      <c r="JP51" s="261"/>
      <c r="JQ51" s="261"/>
      <c r="JR51" s="261"/>
      <c r="JS51" s="261"/>
      <c r="JT51" s="261"/>
    </row>
    <row r="52" spans="1:280" customFormat="1" ht="11.25" hidden="1" customHeight="1" outlineLevel="1"/>
    <row r="53" spans="1:280" s="264" customFormat="1" ht="11.25" customHeight="1" collapsed="1">
      <c r="D53" s="253"/>
      <c r="E53" s="253"/>
      <c r="F53" s="253"/>
      <c r="G53" s="253"/>
      <c r="H53" s="253"/>
      <c r="I53" s="253"/>
      <c r="J53" s="253"/>
      <c r="K53" s="253"/>
      <c r="L53" s="253"/>
      <c r="M53" s="253"/>
      <c r="N53" s="253"/>
      <c r="O53" s="253"/>
      <c r="P53" s="253"/>
      <c r="Q53" s="253"/>
      <c r="R53" s="253"/>
      <c r="S53" s="253"/>
      <c r="T53" s="253"/>
      <c r="U53" s="253"/>
      <c r="V53" s="253"/>
      <c r="W53" s="253"/>
      <c r="X53" s="253"/>
      <c r="Y53" s="253"/>
      <c r="Z53" s="253"/>
      <c r="AA53" s="253"/>
      <c r="AB53" s="253"/>
      <c r="AC53" s="253"/>
      <c r="AD53" s="253"/>
      <c r="AE53" s="253"/>
      <c r="AF53" s="253"/>
      <c r="AG53" s="253"/>
      <c r="AH53" s="253"/>
      <c r="AI53" s="253"/>
      <c r="AJ53" s="253"/>
      <c r="AK53" s="253"/>
      <c r="AL53" s="253"/>
      <c r="AM53" s="253"/>
      <c r="AN53" s="253"/>
      <c r="AO53" s="253"/>
      <c r="AP53" s="253"/>
      <c r="AQ53" s="253"/>
      <c r="AR53" s="253"/>
      <c r="AS53" s="253"/>
      <c r="AT53" s="253"/>
      <c r="AU53" s="253"/>
      <c r="AV53" s="253"/>
      <c r="AW53" s="253"/>
      <c r="AX53" s="253"/>
      <c r="AY53" s="253"/>
      <c r="AZ53" s="253"/>
      <c r="BA53" s="253"/>
      <c r="BB53" s="253"/>
      <c r="BC53" s="253"/>
      <c r="BD53" s="253"/>
      <c r="BE53" s="253"/>
      <c r="BF53" s="253"/>
      <c r="BG53" s="253"/>
      <c r="BH53" s="253"/>
      <c r="BI53" s="253"/>
      <c r="BJ53" s="253"/>
      <c r="BK53" s="253"/>
      <c r="BL53" s="253"/>
      <c r="BM53" s="253"/>
      <c r="BN53" s="253"/>
      <c r="BO53" s="253"/>
      <c r="BP53" s="253"/>
      <c r="BQ53" s="253"/>
      <c r="BR53" s="253"/>
      <c r="BS53" s="253"/>
      <c r="BT53" s="253"/>
      <c r="BU53" s="253"/>
      <c r="BV53" s="253"/>
      <c r="BW53" s="253"/>
      <c r="BX53" s="253"/>
      <c r="BY53" s="253"/>
      <c r="BZ53" s="253"/>
      <c r="DE53" s="494"/>
      <c r="DF53" s="494"/>
      <c r="DG53" s="494"/>
      <c r="EI53" s="2560"/>
      <c r="EJ53" s="2560"/>
      <c r="EK53" s="2560"/>
      <c r="EL53" s="2560"/>
      <c r="EM53" s="2560"/>
      <c r="EN53" s="2560"/>
      <c r="EO53" s="2560"/>
      <c r="EP53" s="2560"/>
      <c r="EQ53" s="2560"/>
      <c r="ER53" s="2560"/>
      <c r="ES53" s="2560"/>
      <c r="ET53" s="2560"/>
      <c r="EU53" s="2560"/>
      <c r="GO53"/>
      <c r="GP53"/>
      <c r="GQ53"/>
      <c r="GR53"/>
      <c r="GS53"/>
      <c r="GT53"/>
      <c r="GU53" s="261"/>
      <c r="GV53" s="261"/>
      <c r="GW53" s="261"/>
      <c r="GX53" s="261"/>
      <c r="GY53" s="261"/>
      <c r="GZ53" s="261"/>
      <c r="HA53" s="261"/>
      <c r="HB53" s="261"/>
      <c r="HC53" s="261"/>
      <c r="HD53" s="261"/>
      <c r="HE53" s="261"/>
      <c r="HF53" s="261"/>
      <c r="HG53" s="261"/>
      <c r="HH53" s="261"/>
      <c r="HI53" s="261"/>
      <c r="HJ53" s="261"/>
      <c r="HK53" s="261"/>
      <c r="HL53" s="261"/>
      <c r="HM53" s="261"/>
      <c r="HN53" s="261"/>
      <c r="HO53" s="261"/>
      <c r="HP53" s="261"/>
      <c r="HQ53" s="261"/>
      <c r="HR53" s="261"/>
      <c r="HS53" s="261"/>
      <c r="HT53" s="261"/>
      <c r="HU53" s="261"/>
      <c r="HV53" s="261"/>
      <c r="HW53" s="261"/>
      <c r="HX53" s="261"/>
      <c r="HY53" s="261"/>
      <c r="HZ53" s="261"/>
      <c r="IA53" s="261"/>
      <c r="IB53" s="261"/>
      <c r="IC53" s="261"/>
      <c r="ID53" s="261"/>
      <c r="IE53" s="261"/>
      <c r="IF53" s="261"/>
      <c r="IG53" s="261"/>
      <c r="IH53" s="261"/>
      <c r="II53" s="261"/>
      <c r="IJ53" s="261"/>
      <c r="IK53" s="261"/>
      <c r="IL53" s="261"/>
      <c r="IM53" s="261"/>
      <c r="IN53" s="261"/>
      <c r="IO53" s="261"/>
      <c r="IP53" s="261"/>
      <c r="IQ53" s="261"/>
      <c r="IR53" s="261"/>
      <c r="IS53" s="261"/>
      <c r="IT53" s="261"/>
      <c r="IU53" s="261"/>
      <c r="IV53" s="261"/>
      <c r="IW53" s="261"/>
      <c r="IX53" s="261"/>
      <c r="IY53" s="261"/>
      <c r="IZ53" s="261"/>
      <c r="JA53" s="261"/>
      <c r="JB53" s="261"/>
      <c r="JC53" s="261"/>
      <c r="JD53" s="261"/>
      <c r="JE53" s="261"/>
      <c r="JF53" s="261"/>
      <c r="JG53" s="261"/>
      <c r="JH53" s="261"/>
      <c r="JI53" s="261"/>
      <c r="JJ53" s="261"/>
      <c r="JK53" s="261"/>
      <c r="JL53" s="261"/>
      <c r="JM53" s="261"/>
      <c r="JN53" s="261"/>
      <c r="JO53" s="261"/>
      <c r="JP53" s="261"/>
      <c r="JQ53" s="261"/>
      <c r="JR53" s="261"/>
      <c r="JS53" s="261"/>
      <c r="JT53" s="261"/>
    </row>
    <row r="54" spans="1:280" s="552" customFormat="1" ht="11.25" customHeight="1">
      <c r="A54" s="551" t="s">
        <v>52</v>
      </c>
      <c r="D54" s="553"/>
      <c r="E54" s="553"/>
      <c r="F54" s="553"/>
      <c r="G54" s="553"/>
      <c r="H54" s="554"/>
      <c r="I54" s="553"/>
      <c r="J54" s="553"/>
      <c r="K54" s="553"/>
      <c r="L54" s="553"/>
      <c r="M54" s="554"/>
      <c r="N54" s="553"/>
      <c r="O54" s="553"/>
      <c r="P54" s="553"/>
      <c r="Q54" s="553"/>
      <c r="R54" s="554"/>
      <c r="S54" s="553"/>
      <c r="T54" s="553"/>
      <c r="U54" s="553"/>
      <c r="V54" s="553"/>
      <c r="W54" s="554"/>
      <c r="X54" s="553"/>
      <c r="Y54" s="553"/>
      <c r="Z54" s="553"/>
      <c r="AA54" s="553"/>
      <c r="AB54" s="554"/>
      <c r="AC54" s="553"/>
      <c r="AD54" s="553"/>
      <c r="AE54" s="553"/>
      <c r="AF54" s="553"/>
      <c r="AG54" s="554"/>
      <c r="AH54" s="553"/>
      <c r="AI54" s="553"/>
      <c r="AJ54" s="553"/>
      <c r="AK54" s="553"/>
      <c r="AL54" s="554"/>
      <c r="AM54" s="553">
        <f>AM25+AM26</f>
        <v>442</v>
      </c>
      <c r="AN54" s="553">
        <f t="shared" ref="AN54:CY54" si="334">AN25+AN26</f>
        <v>1326</v>
      </c>
      <c r="AO54" s="553">
        <f t="shared" si="334"/>
        <v>945</v>
      </c>
      <c r="AP54" s="553">
        <f t="shared" si="334"/>
        <v>864</v>
      </c>
      <c r="AQ54" s="554">
        <f t="shared" si="334"/>
        <v>3577</v>
      </c>
      <c r="AR54" s="553">
        <f t="shared" si="334"/>
        <v>790</v>
      </c>
      <c r="AS54" s="553">
        <f t="shared" si="334"/>
        <v>1221</v>
      </c>
      <c r="AT54" s="553">
        <f t="shared" si="334"/>
        <v>1764</v>
      </c>
      <c r="AU54" s="553">
        <f t="shared" si="334"/>
        <v>1211</v>
      </c>
      <c r="AV54" s="554">
        <f t="shared" si="334"/>
        <v>4986</v>
      </c>
      <c r="AW54" s="553">
        <f t="shared" si="334"/>
        <v>1762</v>
      </c>
      <c r="AX54" s="553">
        <f t="shared" si="334"/>
        <v>1721</v>
      </c>
      <c r="AY54" s="553">
        <f t="shared" si="334"/>
        <v>2458</v>
      </c>
      <c r="AZ54" s="553">
        <f t="shared" si="334"/>
        <v>1836</v>
      </c>
      <c r="BA54" s="554">
        <f t="shared" si="334"/>
        <v>7777</v>
      </c>
      <c r="BB54" s="554">
        <f t="shared" si="334"/>
        <v>3069</v>
      </c>
      <c r="BC54" s="553">
        <f t="shared" si="334"/>
        <v>2643</v>
      </c>
      <c r="BD54" s="553">
        <f t="shared" si="334"/>
        <v>3654</v>
      </c>
      <c r="BE54" s="553">
        <f t="shared" si="334"/>
        <v>3188</v>
      </c>
      <c r="BF54" s="554">
        <f t="shared" si="334"/>
        <v>12554</v>
      </c>
      <c r="BG54" s="554">
        <f t="shared" si="334"/>
        <v>2718</v>
      </c>
      <c r="BH54" s="553">
        <f t="shared" si="334"/>
        <v>2695</v>
      </c>
      <c r="BI54" s="553">
        <f t="shared" si="334"/>
        <v>2708</v>
      </c>
      <c r="BJ54" s="553">
        <f t="shared" si="334"/>
        <v>2426</v>
      </c>
      <c r="BK54" s="554">
        <f t="shared" si="334"/>
        <v>10547</v>
      </c>
      <c r="BL54" s="553">
        <f t="shared" si="334"/>
        <v>2715</v>
      </c>
      <c r="BM54" s="553">
        <f t="shared" si="334"/>
        <v>2647</v>
      </c>
      <c r="BN54" s="553">
        <f t="shared" si="334"/>
        <v>3700</v>
      </c>
      <c r="BO54" s="553">
        <f t="shared" si="334"/>
        <v>3257</v>
      </c>
      <c r="BP54" s="554">
        <f t="shared" si="334"/>
        <v>12319</v>
      </c>
      <c r="BQ54" s="553">
        <f t="shared" si="334"/>
        <v>3239</v>
      </c>
      <c r="BR54" s="553">
        <f t="shared" si="334"/>
        <v>3393</v>
      </c>
      <c r="BS54" s="553">
        <f t="shared" si="334"/>
        <v>3955</v>
      </c>
      <c r="BT54" s="553">
        <f t="shared" si="334"/>
        <v>3152</v>
      </c>
      <c r="BU54" s="554">
        <f t="shared" si="334"/>
        <v>13739</v>
      </c>
      <c r="BV54" s="553">
        <f t="shared" si="334"/>
        <v>6012</v>
      </c>
      <c r="BW54" s="553">
        <f t="shared" si="334"/>
        <v>2491</v>
      </c>
      <c r="BX54" s="553">
        <f t="shared" si="334"/>
        <v>3986.99</v>
      </c>
      <c r="BY54" s="553">
        <f t="shared" si="334"/>
        <v>2416.38</v>
      </c>
      <c r="BZ54" s="554">
        <f t="shared" si="334"/>
        <v>14906.369999999999</v>
      </c>
      <c r="CA54" s="553">
        <f t="shared" si="334"/>
        <v>3257</v>
      </c>
      <c r="CB54" s="553">
        <f t="shared" si="334"/>
        <v>4402.04</v>
      </c>
      <c r="CC54" s="553">
        <f t="shared" si="334"/>
        <v>4757</v>
      </c>
      <c r="CD54" s="553">
        <f t="shared" si="334"/>
        <v>1100</v>
      </c>
      <c r="CE54" s="554">
        <f t="shared" si="334"/>
        <v>13516.04</v>
      </c>
      <c r="CF54" s="553">
        <f t="shared" si="334"/>
        <v>3834</v>
      </c>
      <c r="CG54" s="553">
        <f t="shared" si="334"/>
        <v>3443</v>
      </c>
      <c r="CH54" s="553">
        <f t="shared" si="334"/>
        <v>4800</v>
      </c>
      <c r="CI54" s="553">
        <f t="shared" si="334"/>
        <v>3716</v>
      </c>
      <c r="CJ54" s="554">
        <f t="shared" si="334"/>
        <v>15793</v>
      </c>
      <c r="CK54" s="553">
        <f t="shared" si="334"/>
        <v>4116</v>
      </c>
      <c r="CL54" s="553">
        <f t="shared" si="334"/>
        <v>1913</v>
      </c>
      <c r="CM54" s="553">
        <f t="shared" si="334"/>
        <v>4261</v>
      </c>
      <c r="CN54" s="553">
        <f t="shared" si="334"/>
        <v>2536</v>
      </c>
      <c r="CO54" s="554">
        <f t="shared" si="334"/>
        <v>12826</v>
      </c>
      <c r="CP54" s="553">
        <f t="shared" si="334"/>
        <v>3650</v>
      </c>
      <c r="CQ54" s="553">
        <f t="shared" si="334"/>
        <v>1470</v>
      </c>
      <c r="CR54" s="553">
        <f t="shared" si="334"/>
        <v>6830</v>
      </c>
      <c r="CS54" s="553">
        <f t="shared" si="334"/>
        <v>3582</v>
      </c>
      <c r="CT54" s="554">
        <f t="shared" si="334"/>
        <v>15532</v>
      </c>
      <c r="CU54" s="553">
        <f t="shared" si="334"/>
        <v>5368</v>
      </c>
      <c r="CV54" s="553">
        <f t="shared" si="334"/>
        <v>3872</v>
      </c>
      <c r="CW54" s="553">
        <f t="shared" si="334"/>
        <v>6323</v>
      </c>
      <c r="CX54" s="553">
        <f t="shared" si="334"/>
        <v>2867</v>
      </c>
      <c r="CY54" s="555">
        <f t="shared" si="334"/>
        <v>18430</v>
      </c>
      <c r="CZ54" s="553">
        <f t="shared" ref="CZ54:DN54" si="335">CZ25+CZ26</f>
        <v>2592</v>
      </c>
      <c r="DA54" s="553">
        <f t="shared" si="335"/>
        <v>4940</v>
      </c>
      <c r="DB54" s="553">
        <f t="shared" si="335"/>
        <v>5411.9627100840335</v>
      </c>
      <c r="DC54" s="553">
        <f t="shared" si="335"/>
        <v>2974</v>
      </c>
      <c r="DD54" s="554">
        <f t="shared" si="335"/>
        <v>15917.962710084033</v>
      </c>
      <c r="DE54" s="553">
        <f t="shared" si="335"/>
        <v>5672</v>
      </c>
      <c r="DF54" s="553">
        <f t="shared" si="335"/>
        <v>4593</v>
      </c>
      <c r="DG54" s="553">
        <f t="shared" si="335"/>
        <v>6985</v>
      </c>
      <c r="DH54" s="553">
        <f t="shared" si="335"/>
        <v>4846</v>
      </c>
      <c r="DI54" s="554">
        <f t="shared" si="335"/>
        <v>22096</v>
      </c>
      <c r="DJ54" s="553">
        <f t="shared" si="335"/>
        <v>7630</v>
      </c>
      <c r="DK54" s="553">
        <f t="shared" si="335"/>
        <v>3695</v>
      </c>
      <c r="DL54" s="553">
        <f t="shared" si="335"/>
        <v>8014</v>
      </c>
      <c r="DM54" s="553">
        <f t="shared" si="335"/>
        <v>5300</v>
      </c>
      <c r="DN54" s="554">
        <f t="shared" si="335"/>
        <v>24639</v>
      </c>
      <c r="DO54" s="553">
        <f t="shared" ref="DO54:DX54" si="336">DO25+DO26</f>
        <v>8057</v>
      </c>
      <c r="DP54" s="553">
        <f t="shared" si="336"/>
        <v>5364</v>
      </c>
      <c r="DQ54" s="553">
        <f t="shared" si="336"/>
        <v>8845</v>
      </c>
      <c r="DR54" s="553">
        <f>DR25+DR26</f>
        <v>7055</v>
      </c>
      <c r="DS54" s="554">
        <f t="shared" si="336"/>
        <v>29321</v>
      </c>
      <c r="DT54" s="553">
        <f t="shared" si="336"/>
        <v>7881</v>
      </c>
      <c r="DU54" s="553">
        <f t="shared" si="336"/>
        <v>3850</v>
      </c>
      <c r="DV54" s="553">
        <f t="shared" si="336"/>
        <v>8736</v>
      </c>
      <c r="DW54" s="553">
        <f t="shared" si="336"/>
        <v>4109</v>
      </c>
      <c r="DX54" s="554">
        <f t="shared" si="336"/>
        <v>24576</v>
      </c>
      <c r="DY54" s="553">
        <f t="shared" ref="DY54:EH54" si="337">DY25+DY26</f>
        <v>6974</v>
      </c>
      <c r="DZ54" s="553">
        <f t="shared" si="337"/>
        <v>2681</v>
      </c>
      <c r="EA54" s="553">
        <f t="shared" si="337"/>
        <v>8907</v>
      </c>
      <c r="EB54" s="553">
        <f t="shared" si="337"/>
        <v>8184</v>
      </c>
      <c r="EC54" s="554">
        <f t="shared" si="337"/>
        <v>26746</v>
      </c>
      <c r="ED54" s="553">
        <f t="shared" si="337"/>
        <v>7072</v>
      </c>
      <c r="EE54" s="553">
        <f t="shared" si="337"/>
        <v>2850</v>
      </c>
      <c r="EF54" s="553">
        <f t="shared" si="337"/>
        <v>8179</v>
      </c>
      <c r="EG54" s="553">
        <f t="shared" si="337"/>
        <v>5035</v>
      </c>
      <c r="EH54" s="554">
        <f t="shared" si="337"/>
        <v>23136</v>
      </c>
      <c r="EI54" s="2787">
        <f>EI25+EI26</f>
        <v>7520</v>
      </c>
      <c r="EJ54" s="2787">
        <f t="shared" ref="EJ54:ER54" si="338">EJ25+EJ26</f>
        <v>3594</v>
      </c>
      <c r="EK54" s="2787">
        <f t="shared" si="338"/>
        <v>8059</v>
      </c>
      <c r="EL54" s="2787">
        <f t="shared" si="338"/>
        <v>5809</v>
      </c>
      <c r="EM54" s="2788">
        <f t="shared" si="338"/>
        <v>24982</v>
      </c>
      <c r="EN54" s="2787">
        <f>EN25+EN26</f>
        <v>9386</v>
      </c>
      <c r="EO54" s="2787">
        <f t="shared" ref="EO54:EQ54" si="339">EO25+EO26</f>
        <v>4305</v>
      </c>
      <c r="EP54" s="2787">
        <f t="shared" si="339"/>
        <v>8965</v>
      </c>
      <c r="EQ54" s="2787">
        <f t="shared" si="339"/>
        <v>8722</v>
      </c>
      <c r="ER54" s="2788">
        <f t="shared" si="338"/>
        <v>31378</v>
      </c>
      <c r="ES54" s="2787">
        <f>ES25+ES26</f>
        <v>10308</v>
      </c>
      <c r="ET54" s="2787">
        <f t="shared" ref="ET54:EU54" si="340">ET25+ET26</f>
        <v>5289</v>
      </c>
      <c r="EU54" s="2787">
        <f t="shared" si="340"/>
        <v>9217</v>
      </c>
      <c r="EV54" s="553">
        <f t="shared" ref="EU54:EW54" si="341">EV25+EV26</f>
        <v>10144.075164074658</v>
      </c>
      <c r="EW54" s="554">
        <f t="shared" si="341"/>
        <v>34958.07516407466</v>
      </c>
      <c r="EX54" s="553">
        <f t="shared" ref="EX54:FG54" si="342">EX25+EX26</f>
        <v>11361.043757843941</v>
      </c>
      <c r="EY54" s="553">
        <f t="shared" si="342"/>
        <v>5330.9546613310631</v>
      </c>
      <c r="EZ54" s="553">
        <f t="shared" si="342"/>
        <v>11145.080470431789</v>
      </c>
      <c r="FA54" s="553">
        <f t="shared" si="342"/>
        <v>10959.945373325601</v>
      </c>
      <c r="FB54" s="554">
        <f t="shared" si="342"/>
        <v>38797.024262932406</v>
      </c>
      <c r="FC54" s="553">
        <f t="shared" si="342"/>
        <v>13032.936852726811</v>
      </c>
      <c r="FD54" s="553">
        <f t="shared" si="342"/>
        <v>6282.8566306911489</v>
      </c>
      <c r="FE54" s="553">
        <f t="shared" si="342"/>
        <v>12371.399304788914</v>
      </c>
      <c r="FF54" s="553">
        <f t="shared" si="342"/>
        <v>12755.857757028187</v>
      </c>
      <c r="FG54" s="554">
        <f t="shared" si="342"/>
        <v>44443.050545235063</v>
      </c>
      <c r="FH54" s="553">
        <f t="shared" ref="FH54:FL54" si="343">FH25+FH26</f>
        <v>14933.004751018187</v>
      </c>
      <c r="FI54" s="553">
        <f t="shared" si="343"/>
        <v>6697.956627921365</v>
      </c>
      <c r="FJ54" s="553">
        <f t="shared" si="343"/>
        <v>14363.007657128779</v>
      </c>
      <c r="FK54" s="553">
        <f t="shared" si="343"/>
        <v>15139.168935312238</v>
      </c>
      <c r="FL54" s="554">
        <f t="shared" si="343"/>
        <v>51133.137971380551</v>
      </c>
      <c r="FM54" s="553"/>
      <c r="FN54" s="556"/>
      <c r="FO54" s="554"/>
      <c r="FP54" s="554"/>
      <c r="FQ54" s="554"/>
      <c r="FR54" s="554"/>
      <c r="FS54" s="554"/>
      <c r="FT54" s="554"/>
      <c r="FU54" s="554"/>
      <c r="FV54" s="554"/>
      <c r="FW54" s="557">
        <f>CR54+CS54+CU54+CV54</f>
        <v>19652</v>
      </c>
      <c r="FX54" s="557">
        <f>CW54+CX54+CZ54+DA54</f>
        <v>16722</v>
      </c>
      <c r="FY54" s="557">
        <f>DB54+DC54+DE54+DF54</f>
        <v>18650.962710084033</v>
      </c>
      <c r="FZ54" s="557">
        <f>SUM(DG54:DH54,DJ54:DK54)</f>
        <v>23156</v>
      </c>
      <c r="GA54" s="557">
        <f>SUM(DL54:DM54,DO54:DP54)</f>
        <v>26735</v>
      </c>
      <c r="GB54" s="557">
        <f>SUM(DQ54:DR54,DT54:DU54)</f>
        <v>27631</v>
      </c>
      <c r="GC54" s="557">
        <f>SUM(DV54:DW54,DY54:DZ54)</f>
        <v>22500</v>
      </c>
      <c r="GD54" s="557">
        <f>SUM(EA54:EB54,ED54:EE54)</f>
        <v>27013</v>
      </c>
      <c r="GE54" s="557">
        <f>SUM(EF54:EG54,EI54:EJ54)</f>
        <v>24328</v>
      </c>
      <c r="GF54" s="557">
        <f>SUM(EK54:EL54,EN54:EO54)</f>
        <v>27559</v>
      </c>
      <c r="GG54" s="557">
        <f>SUM(EP54:EQ54,ES54:ET54)</f>
        <v>33284</v>
      </c>
      <c r="GH54" s="557">
        <f>SUM(EU54:EV54,EX54:EY54)</f>
        <v>36053.073583249665</v>
      </c>
      <c r="GI54" s="557">
        <f>SUM(EZ54:FA54,FC54:FD54)</f>
        <v>41420.819327175355</v>
      </c>
      <c r="GJ54" s="2532"/>
      <c r="GK54" s="2532"/>
      <c r="GL54" s="2532"/>
      <c r="GM54" s="2532"/>
      <c r="GO54"/>
      <c r="GP54"/>
      <c r="GQ54"/>
      <c r="GR54"/>
      <c r="GS54"/>
      <c r="GT54"/>
      <c r="GU54" s="261"/>
      <c r="GV54" s="261"/>
      <c r="GW54" s="261"/>
      <c r="GX54" s="261"/>
      <c r="GY54" s="261"/>
      <c r="GZ54" s="261"/>
      <c r="HA54" s="261"/>
      <c r="HB54" s="261"/>
      <c r="HC54" s="261"/>
      <c r="HD54" s="261"/>
      <c r="HE54" s="261"/>
      <c r="HF54" s="261"/>
      <c r="HG54" s="261"/>
      <c r="HH54" s="261"/>
      <c r="HI54" s="261"/>
      <c r="HJ54" s="261"/>
      <c r="HK54" s="261"/>
      <c r="HL54" s="261"/>
      <c r="HM54" s="261"/>
      <c r="HN54" s="261"/>
      <c r="HO54" s="261"/>
      <c r="HP54" s="261"/>
      <c r="HQ54" s="261"/>
      <c r="HR54" s="261"/>
      <c r="HS54" s="261"/>
      <c r="HT54" s="261"/>
      <c r="HU54" s="261"/>
      <c r="HV54" s="261"/>
      <c r="HW54" s="261"/>
      <c r="HX54" s="261"/>
      <c r="HY54" s="261"/>
      <c r="HZ54" s="261"/>
      <c r="IA54" s="261"/>
      <c r="IB54" s="261"/>
      <c r="IC54" s="261"/>
      <c r="ID54" s="261"/>
      <c r="IE54" s="261"/>
      <c r="IF54" s="261"/>
      <c r="IG54" s="261"/>
      <c r="IH54" s="261"/>
      <c r="II54" s="261"/>
      <c r="IJ54" s="261"/>
      <c r="IK54" s="261"/>
      <c r="IL54" s="261"/>
      <c r="IM54" s="261"/>
      <c r="IN54" s="261"/>
      <c r="IO54" s="261"/>
      <c r="IP54" s="261"/>
      <c r="IQ54" s="261"/>
      <c r="IR54" s="261"/>
      <c r="IS54" s="261"/>
      <c r="IT54" s="261"/>
      <c r="IU54" s="261"/>
      <c r="IV54" s="261"/>
      <c r="IW54" s="261"/>
      <c r="IX54" s="261"/>
      <c r="IY54" s="261"/>
      <c r="IZ54" s="261"/>
      <c r="JA54" s="261"/>
      <c r="JB54" s="261"/>
      <c r="JC54" s="261"/>
      <c r="JD54" s="261"/>
      <c r="JE54" s="261"/>
      <c r="JF54" s="261"/>
      <c r="JG54" s="261"/>
      <c r="JH54" s="261"/>
      <c r="JI54" s="261"/>
      <c r="JJ54" s="261"/>
      <c r="JK54" s="261"/>
      <c r="JL54" s="261"/>
      <c r="JM54" s="261"/>
      <c r="JN54" s="261"/>
      <c r="JO54" s="261"/>
      <c r="JP54" s="261"/>
      <c r="JQ54" s="261"/>
      <c r="JR54" s="261"/>
      <c r="JS54" s="261"/>
      <c r="JT54" s="261"/>
    </row>
    <row r="55" spans="1:280" s="253" customFormat="1" ht="11.25" customHeight="1">
      <c r="A55" s="323" t="s">
        <v>169</v>
      </c>
      <c r="D55" s="455"/>
      <c r="E55" s="455"/>
      <c r="F55" s="455"/>
      <c r="G55" s="455"/>
      <c r="H55" s="455"/>
      <c r="I55" s="455"/>
      <c r="J55" s="455"/>
      <c r="K55" s="455"/>
      <c r="L55" s="455"/>
      <c r="M55" s="455"/>
      <c r="N55" s="455"/>
      <c r="O55" s="455"/>
      <c r="P55" s="455"/>
      <c r="Q55" s="455"/>
      <c r="R55" s="455"/>
      <c r="S55" s="455"/>
      <c r="T55" s="455"/>
      <c r="U55" s="455"/>
      <c r="V55" s="455"/>
      <c r="W55" s="455"/>
      <c r="X55" s="455"/>
      <c r="Y55" s="455"/>
      <c r="Z55" s="455"/>
      <c r="AA55" s="455"/>
      <c r="AB55" s="455"/>
      <c r="AC55" s="455"/>
      <c r="AD55" s="455"/>
      <c r="AE55" s="455"/>
      <c r="AF55" s="455"/>
      <c r="AG55" s="455"/>
      <c r="AH55" s="455"/>
      <c r="AI55" s="455"/>
      <c r="AJ55" s="455"/>
      <c r="AK55" s="455"/>
      <c r="AL55" s="455"/>
      <c r="AM55" s="455"/>
      <c r="AN55" s="455"/>
      <c r="AO55" s="455"/>
      <c r="AP55" s="455"/>
      <c r="AQ55" s="455"/>
      <c r="AR55" s="455"/>
      <c r="AS55" s="455"/>
      <c r="AT55" s="455"/>
      <c r="AU55" s="455"/>
      <c r="AV55" s="455"/>
      <c r="AW55" s="455"/>
      <c r="AX55" s="455"/>
      <c r="AY55" s="455"/>
      <c r="AZ55" s="455"/>
      <c r="BA55" s="455"/>
      <c r="BB55" s="455"/>
      <c r="BC55" s="455"/>
      <c r="BD55" s="455"/>
      <c r="BE55" s="455"/>
      <c r="BF55" s="455"/>
      <c r="BG55" s="455"/>
      <c r="BH55" s="455"/>
      <c r="BI55" s="455"/>
      <c r="BJ55" s="455"/>
      <c r="BK55" s="455"/>
      <c r="BL55" s="455"/>
      <c r="BM55" s="455"/>
      <c r="BN55" s="455"/>
      <c r="BO55" s="455"/>
      <c r="BP55" s="455"/>
      <c r="BQ55" s="455"/>
      <c r="BR55" s="455"/>
      <c r="BS55" s="455"/>
      <c r="BT55" s="455"/>
      <c r="BU55" s="455"/>
      <c r="BV55" s="455"/>
      <c r="BW55" s="455"/>
      <c r="BX55" s="455"/>
      <c r="BY55" s="455"/>
      <c r="BZ55" s="455"/>
      <c r="CA55" s="455"/>
      <c r="CB55" s="455"/>
      <c r="CC55" s="455"/>
      <c r="CD55" s="455"/>
      <c r="CE55" s="455"/>
      <c r="CF55" s="455"/>
      <c r="CG55" s="455"/>
      <c r="CH55" s="455"/>
      <c r="CI55" s="455"/>
      <c r="CJ55" s="455"/>
      <c r="CK55" s="455"/>
      <c r="CL55" s="455"/>
      <c r="CM55" s="455"/>
      <c r="CN55" s="455"/>
      <c r="CO55" s="455"/>
      <c r="CP55" s="455"/>
      <c r="CQ55" s="455"/>
      <c r="CR55" s="455"/>
      <c r="CS55" s="455"/>
      <c r="CT55" s="455"/>
      <c r="CU55" s="455"/>
      <c r="CV55" s="455"/>
      <c r="CW55" s="455"/>
      <c r="CX55" s="455"/>
      <c r="CY55" s="377"/>
      <c r="CZ55" s="455"/>
      <c r="DA55" s="455"/>
      <c r="DB55" s="455"/>
      <c r="DC55" s="455"/>
      <c r="DD55" s="455"/>
      <c r="DE55" s="455"/>
      <c r="DF55" s="455"/>
      <c r="DG55" s="455"/>
      <c r="DH55" s="455"/>
      <c r="DI55" s="455"/>
      <c r="DJ55" s="455"/>
      <c r="DK55" s="455"/>
      <c r="DL55" s="455"/>
      <c r="DM55" s="455"/>
      <c r="DN55" s="455"/>
      <c r="DO55" s="455"/>
      <c r="DP55" s="455"/>
      <c r="DQ55" s="455"/>
      <c r="DR55" s="455"/>
      <c r="DS55" s="455"/>
      <c r="DT55" s="310">
        <f>DT54/DO54-1</f>
        <v>-2.1844358942534448E-2</v>
      </c>
      <c r="DU55" s="310">
        <f t="shared" ref="DU55:EW55" si="344">DU54/DP54-1</f>
        <v>-0.28225205070842652</v>
      </c>
      <c r="DV55" s="310">
        <f t="shared" si="344"/>
        <v>-1.2323346523459566E-2</v>
      </c>
      <c r="DW55" s="310">
        <f t="shared" si="344"/>
        <v>-0.41757618710134659</v>
      </c>
      <c r="DX55" s="310">
        <f t="shared" si="344"/>
        <v>-0.1618294055455135</v>
      </c>
      <c r="DY55" s="310">
        <f t="shared" si="344"/>
        <v>-0.11508691790381931</v>
      </c>
      <c r="DZ55" s="310">
        <f t="shared" si="344"/>
        <v>-0.30363636363636359</v>
      </c>
      <c r="EA55" s="310">
        <f t="shared" si="344"/>
        <v>1.9574175824175866E-2</v>
      </c>
      <c r="EB55" s="310">
        <f t="shared" si="344"/>
        <v>0.99172548065222688</v>
      </c>
      <c r="EC55" s="310">
        <f t="shared" si="344"/>
        <v>8.8297526041666741E-2</v>
      </c>
      <c r="ED55" s="310">
        <f t="shared" si="344"/>
        <v>1.4052193862919449E-2</v>
      </c>
      <c r="EE55" s="310">
        <f t="shared" si="344"/>
        <v>6.3036180529653096E-2</v>
      </c>
      <c r="EF55" s="310">
        <f t="shared" si="344"/>
        <v>-8.1733468058830083E-2</v>
      </c>
      <c r="EG55" s="310">
        <f t="shared" si="344"/>
        <v>-0.38477517106549364</v>
      </c>
      <c r="EH55" s="310">
        <f t="shared" si="344"/>
        <v>-0.13497345397442606</v>
      </c>
      <c r="EI55" s="310">
        <f t="shared" si="344"/>
        <v>6.3348416289592757E-2</v>
      </c>
      <c r="EJ55" s="310">
        <f t="shared" si="344"/>
        <v>0.26105263157894742</v>
      </c>
      <c r="EK55" s="310">
        <f t="shared" si="344"/>
        <v>-1.4671720259200383E-2</v>
      </c>
      <c r="EL55" s="310">
        <f t="shared" si="344"/>
        <v>0.15372393247269112</v>
      </c>
      <c r="EM55" s="310">
        <f t="shared" si="344"/>
        <v>7.9789073305670755E-2</v>
      </c>
      <c r="EN55" s="310">
        <f t="shared" si="344"/>
        <v>0.24813829787234032</v>
      </c>
      <c r="EO55" s="310">
        <f t="shared" si="344"/>
        <v>0.19782971619365619</v>
      </c>
      <c r="EP55" s="310">
        <f t="shared" si="344"/>
        <v>0.11242089589279058</v>
      </c>
      <c r="EQ55" s="310">
        <f t="shared" si="344"/>
        <v>0.50146324668617659</v>
      </c>
      <c r="ER55" s="310">
        <f t="shared" si="344"/>
        <v>0.25602433752301668</v>
      </c>
      <c r="ES55" s="310">
        <f t="shared" si="344"/>
        <v>9.8231408480715876E-2</v>
      </c>
      <c r="ET55" s="310">
        <f t="shared" si="344"/>
        <v>0.22857142857142865</v>
      </c>
      <c r="EU55" s="310">
        <f t="shared" si="344"/>
        <v>2.8109313998884611E-2</v>
      </c>
      <c r="EV55" s="310">
        <f t="shared" si="344"/>
        <v>0.16304461867400355</v>
      </c>
      <c r="EW55" s="310">
        <f t="shared" si="344"/>
        <v>0.1140950718361482</v>
      </c>
      <c r="EX55" s="310">
        <f t="shared" ref="EX55:FG55" si="345">EX54/ES54-1</f>
        <v>0.10215791209196179</v>
      </c>
      <c r="EY55" s="310">
        <f t="shared" si="345"/>
        <v>7.9324373853399965E-3</v>
      </c>
      <c r="EZ55" s="310">
        <f t="shared" si="345"/>
        <v>0.20918742220156106</v>
      </c>
      <c r="FA55" s="310">
        <f t="shared" si="345"/>
        <v>8.0428249599367563E-2</v>
      </c>
      <c r="FB55" s="310">
        <f t="shared" si="345"/>
        <v>0.10981580309670247</v>
      </c>
      <c r="FC55" s="310">
        <f t="shared" si="345"/>
        <v>0.14716016684017719</v>
      </c>
      <c r="FD55" s="310">
        <f t="shared" si="345"/>
        <v>0.17856125775461185</v>
      </c>
      <c r="FE55" s="310">
        <f t="shared" si="345"/>
        <v>0.11003229968689632</v>
      </c>
      <c r="FF55" s="310">
        <f t="shared" si="345"/>
        <v>0.16386143566677713</v>
      </c>
      <c r="FG55" s="310">
        <f t="shared" si="345"/>
        <v>0.14552730240440126</v>
      </c>
      <c r="FH55" s="310">
        <f t="shared" ref="FH55" si="346">FH54/FC54-1</f>
        <v>0.14578969573491296</v>
      </c>
      <c r="FI55" s="310">
        <f t="shared" ref="FI55" si="347">FI54/FD54-1</f>
        <v>6.6068672521109706E-2</v>
      </c>
      <c r="FJ55" s="310">
        <f t="shared" ref="FJ55" si="348">FJ54/FE54-1</f>
        <v>0.16098488968575464</v>
      </c>
      <c r="FK55" s="310">
        <f t="shared" ref="FK55" si="349">FK54/FF54-1</f>
        <v>0.18684052642174542</v>
      </c>
      <c r="FL55" s="310">
        <f t="shared" ref="FL55" si="350">FL54/FG54-1</f>
        <v>0.15053168817329898</v>
      </c>
      <c r="FM55" s="310"/>
      <c r="FN55" s="538"/>
      <c r="FO55" s="455"/>
      <c r="FP55" s="455"/>
      <c r="FQ55" s="455"/>
      <c r="FR55" s="455"/>
      <c r="FS55" s="455"/>
      <c r="FT55" s="455"/>
      <c r="FU55" s="455"/>
      <c r="FV55" s="455"/>
      <c r="FW55" s="898"/>
      <c r="FX55" s="898"/>
      <c r="FY55" s="898"/>
      <c r="FZ55" s="898"/>
      <c r="GA55" s="898"/>
      <c r="GB55" s="898"/>
      <c r="GC55" s="898"/>
      <c r="GD55" s="898"/>
      <c r="GE55" s="898"/>
      <c r="GF55" s="898"/>
      <c r="GG55" s="898"/>
      <c r="GH55" s="898"/>
      <c r="GI55" s="898"/>
      <c r="GJ55" s="898"/>
      <c r="GK55" s="898"/>
      <c r="GL55" s="898"/>
      <c r="GM55" s="898"/>
      <c r="GO55"/>
      <c r="GP55"/>
      <c r="GQ55"/>
      <c r="GR55"/>
      <c r="GS55"/>
      <c r="GT55"/>
      <c r="GU55" s="261"/>
      <c r="GV55" s="261"/>
      <c r="GW55" s="261"/>
      <c r="GX55" s="261"/>
      <c r="GY55" s="261"/>
      <c r="GZ55" s="261"/>
      <c r="HA55" s="261"/>
      <c r="HB55" s="261"/>
      <c r="HC55" s="261"/>
      <c r="HD55" s="261"/>
      <c r="HE55" s="261"/>
      <c r="HF55" s="261"/>
      <c r="HG55" s="261"/>
      <c r="HH55" s="261"/>
      <c r="HI55" s="261"/>
      <c r="HJ55" s="261"/>
      <c r="HK55" s="261"/>
      <c r="HL55" s="261"/>
      <c r="HM55" s="261"/>
      <c r="HN55" s="261"/>
      <c r="HO55" s="261"/>
      <c r="HP55" s="261"/>
      <c r="HQ55" s="261"/>
      <c r="HR55" s="261"/>
      <c r="HS55" s="261"/>
      <c r="HT55" s="261"/>
      <c r="HU55" s="261"/>
      <c r="HV55" s="261"/>
      <c r="HW55" s="261"/>
      <c r="HX55" s="261"/>
      <c r="HY55" s="261"/>
      <c r="HZ55" s="261"/>
      <c r="IA55" s="261"/>
      <c r="IB55" s="261"/>
      <c r="IC55" s="261"/>
      <c r="ID55" s="261"/>
      <c r="IE55" s="261"/>
      <c r="IF55" s="261"/>
      <c r="IG55" s="261"/>
      <c r="IH55" s="261"/>
      <c r="II55" s="261"/>
      <c r="IJ55" s="261"/>
      <c r="IK55" s="261"/>
      <c r="IL55" s="261"/>
      <c r="IM55" s="261"/>
      <c r="IN55" s="261"/>
      <c r="IO55" s="261"/>
      <c r="IP55" s="261"/>
      <c r="IQ55" s="261"/>
      <c r="IR55" s="261"/>
      <c r="IS55" s="261"/>
      <c r="IT55" s="261"/>
      <c r="IU55" s="261"/>
      <c r="IV55" s="261"/>
      <c r="IW55" s="261"/>
      <c r="IX55" s="261"/>
      <c r="IY55" s="261"/>
      <c r="IZ55" s="261"/>
      <c r="JA55" s="261"/>
      <c r="JB55" s="261"/>
      <c r="JC55" s="261"/>
      <c r="JD55" s="261"/>
      <c r="JE55" s="261"/>
      <c r="JF55" s="261"/>
      <c r="JG55" s="261"/>
      <c r="JH55" s="261"/>
      <c r="JI55" s="261"/>
      <c r="JJ55" s="261"/>
      <c r="JK55" s="261"/>
      <c r="JL55" s="261"/>
      <c r="JM55" s="261"/>
      <c r="JN55" s="261"/>
      <c r="JO55" s="261"/>
      <c r="JP55" s="261"/>
      <c r="JQ55" s="261"/>
      <c r="JR55" s="261"/>
      <c r="JS55" s="261"/>
      <c r="JT55" s="261"/>
    </row>
    <row r="56" spans="1:280" s="264" customFormat="1" ht="11.25" customHeight="1">
      <c r="D56" s="253"/>
      <c r="E56" s="253"/>
      <c r="F56" s="253"/>
      <c r="G56" s="253"/>
      <c r="H56" s="253"/>
      <c r="I56" s="253"/>
      <c r="J56" s="253"/>
      <c r="K56" s="253"/>
      <c r="L56" s="253"/>
      <c r="M56" s="253"/>
      <c r="N56" s="253"/>
      <c r="O56" s="253"/>
      <c r="P56" s="253"/>
      <c r="Q56" s="253"/>
      <c r="R56" s="253"/>
      <c r="S56" s="253"/>
      <c r="T56" s="253"/>
      <c r="U56" s="253"/>
      <c r="V56" s="253"/>
      <c r="W56" s="253"/>
      <c r="X56" s="253"/>
      <c r="Y56" s="253"/>
      <c r="Z56" s="253"/>
      <c r="AA56" s="253"/>
      <c r="AB56" s="253"/>
      <c r="AC56" s="253"/>
      <c r="AD56" s="253"/>
      <c r="AE56" s="253"/>
      <c r="AF56" s="253"/>
      <c r="AG56" s="253"/>
      <c r="AH56" s="253"/>
      <c r="AI56" s="253"/>
      <c r="AJ56" s="253"/>
      <c r="AK56" s="253"/>
      <c r="AL56" s="253"/>
      <c r="AM56" s="253"/>
      <c r="AN56" s="253"/>
      <c r="AO56" s="253"/>
      <c r="AP56" s="253"/>
      <c r="AQ56" s="253"/>
      <c r="AR56" s="253"/>
      <c r="AS56" s="253"/>
      <c r="AT56" s="253"/>
      <c r="AU56" s="253"/>
      <c r="AV56" s="253"/>
      <c r="AW56" s="253"/>
      <c r="AX56" s="253"/>
      <c r="AY56" s="253"/>
      <c r="AZ56" s="253"/>
      <c r="BA56" s="253"/>
      <c r="BB56" s="253"/>
      <c r="BC56" s="253"/>
      <c r="BD56" s="253"/>
      <c r="BE56" s="253"/>
      <c r="BF56" s="253"/>
      <c r="BG56" s="253"/>
      <c r="BH56" s="253"/>
      <c r="BI56" s="253"/>
      <c r="BJ56" s="253"/>
      <c r="BK56" s="253"/>
      <c r="BL56" s="253"/>
      <c r="BM56" s="253"/>
      <c r="BN56" s="253"/>
      <c r="BO56" s="253"/>
      <c r="BP56" s="253"/>
      <c r="BQ56" s="253"/>
      <c r="BR56" s="253"/>
      <c r="BS56" s="253"/>
      <c r="BT56" s="253"/>
      <c r="BU56" s="253"/>
      <c r="BV56" s="253"/>
      <c r="BW56" s="253"/>
      <c r="BX56" s="253"/>
      <c r="BY56" s="253"/>
      <c r="BZ56" s="253"/>
      <c r="EI56" s="2560"/>
      <c r="EJ56" s="2560"/>
      <c r="EK56" s="2560"/>
      <c r="EL56" s="2560"/>
      <c r="EM56" s="2560"/>
      <c r="EN56" s="2560"/>
      <c r="EO56" s="2560"/>
      <c r="EP56" s="2560"/>
      <c r="EQ56" s="2560"/>
      <c r="ER56" s="2560"/>
      <c r="ES56" s="2560"/>
      <c r="ET56" s="2560"/>
      <c r="EU56" s="2560"/>
      <c r="GO56"/>
      <c r="GP56"/>
      <c r="GQ56"/>
      <c r="GR56"/>
      <c r="GS56"/>
      <c r="GT56"/>
      <c r="GU56" s="261"/>
      <c r="GV56" s="261"/>
      <c r="GW56" s="261"/>
      <c r="GX56" s="261"/>
      <c r="GY56" s="261"/>
      <c r="GZ56" s="261"/>
      <c r="HA56" s="261"/>
      <c r="HB56" s="261"/>
      <c r="HC56" s="261"/>
      <c r="HD56" s="261"/>
      <c r="HE56" s="261"/>
      <c r="HF56" s="261"/>
      <c r="HG56" s="261"/>
      <c r="HH56" s="261"/>
      <c r="HI56" s="261"/>
      <c r="HJ56" s="261"/>
      <c r="HK56" s="261"/>
      <c r="HL56" s="261"/>
      <c r="HM56" s="261"/>
      <c r="HN56" s="261"/>
      <c r="HO56" s="261"/>
      <c r="HP56" s="261"/>
      <c r="HQ56" s="261"/>
      <c r="HR56" s="261"/>
      <c r="HS56" s="261"/>
      <c r="HT56" s="261"/>
      <c r="HU56" s="261"/>
      <c r="HV56" s="261"/>
      <c r="HW56" s="261"/>
      <c r="HX56" s="261"/>
      <c r="HY56" s="261"/>
      <c r="HZ56" s="261"/>
      <c r="IA56" s="261"/>
      <c r="IB56" s="261"/>
      <c r="IC56" s="261"/>
      <c r="ID56" s="261"/>
      <c r="IE56" s="261"/>
      <c r="IF56" s="261"/>
      <c r="IG56" s="261"/>
      <c r="IH56" s="261"/>
      <c r="II56" s="261"/>
      <c r="IJ56" s="261"/>
      <c r="IK56" s="261"/>
      <c r="IL56" s="261"/>
      <c r="IM56" s="261"/>
      <c r="IN56" s="261"/>
      <c r="IO56" s="261"/>
      <c r="IP56" s="261"/>
      <c r="IQ56" s="261"/>
      <c r="IR56" s="261"/>
      <c r="IS56" s="261"/>
      <c r="IT56" s="261"/>
      <c r="IU56" s="261"/>
      <c r="IV56" s="261"/>
      <c r="IW56" s="261"/>
      <c r="IX56" s="261"/>
      <c r="IY56" s="261"/>
      <c r="IZ56" s="261"/>
      <c r="JA56" s="261"/>
      <c r="JB56" s="261"/>
      <c r="JC56" s="261"/>
      <c r="JD56" s="261"/>
      <c r="JE56" s="261"/>
      <c r="JF56" s="261"/>
      <c r="JG56" s="261"/>
      <c r="JH56" s="261"/>
      <c r="JI56" s="261"/>
      <c r="JJ56" s="261"/>
      <c r="JK56" s="261"/>
      <c r="JL56" s="261"/>
      <c r="JM56" s="261"/>
      <c r="JN56" s="261"/>
      <c r="JO56" s="261"/>
      <c r="JP56" s="261"/>
      <c r="JQ56" s="261"/>
      <c r="JR56" s="261"/>
      <c r="JS56" s="261"/>
      <c r="JT56" s="261"/>
    </row>
    <row r="57" spans="1:280" s="552" customFormat="1" ht="11.25" customHeight="1">
      <c r="A57" s="551" t="s">
        <v>168</v>
      </c>
      <c r="D57" s="553"/>
      <c r="E57" s="553"/>
      <c r="F57" s="553"/>
      <c r="G57" s="553"/>
      <c r="H57" s="554"/>
      <c r="I57" s="553"/>
      <c r="J57" s="553"/>
      <c r="K57" s="553"/>
      <c r="L57" s="553"/>
      <c r="M57" s="554"/>
      <c r="N57" s="553"/>
      <c r="O57" s="553"/>
      <c r="P57" s="553"/>
      <c r="Q57" s="553"/>
      <c r="R57" s="554"/>
      <c r="S57" s="553"/>
      <c r="T57" s="553"/>
      <c r="U57" s="553"/>
      <c r="V57" s="553"/>
      <c r="W57" s="554"/>
      <c r="X57" s="553"/>
      <c r="Y57" s="553"/>
      <c r="Z57" s="553"/>
      <c r="AA57" s="553"/>
      <c r="AB57" s="554"/>
      <c r="AC57" s="553"/>
      <c r="AD57" s="553"/>
      <c r="AE57" s="553"/>
      <c r="AF57" s="553"/>
      <c r="AG57" s="554"/>
      <c r="AH57" s="553"/>
      <c r="AI57" s="553"/>
      <c r="AJ57" s="553"/>
      <c r="AK57" s="553"/>
      <c r="AL57" s="554"/>
      <c r="AM57" s="553">
        <f>CF!AM54-IS!AM51*(1-IS!AM55)</f>
        <v>401.82077922077923</v>
      </c>
      <c r="AN57" s="553">
        <f>CF!AN54-IS!AN51*(1-IS!AN55)</f>
        <v>1261.6779661016949</v>
      </c>
      <c r="AO57" s="553">
        <f>CF!AO54-IS!AO51*(1-IS!AO55)</f>
        <v>886.45833333333337</v>
      </c>
      <c r="AP57" s="553">
        <f>CF!AP54-IS!AP51*(1-IS!AP55)</f>
        <v>831.5</v>
      </c>
      <c r="AQ57" s="554">
        <f>CF!AQ54-IS!AQ51*(1-IS!AQ55)</f>
        <v>3381.4702574726252</v>
      </c>
      <c r="AR57" s="553">
        <f>CF!AR54-IS!AR51*(1-IS!AR55)</f>
        <v>762.06137566137568</v>
      </c>
      <c r="AS57" s="553">
        <f>CF!AS54-IS!AS51*(1-IS!AS55)</f>
        <v>1182.6500000000001</v>
      </c>
      <c r="AT57" s="553">
        <f>CF!AT54-IS!AT51*(1-IS!AT55)</f>
        <v>1741.2489082969432</v>
      </c>
      <c r="AU57" s="553">
        <f>CF!AU54-IS!AU51*(1-IS!AU55)</f>
        <v>1180.4471094710948</v>
      </c>
      <c r="AV57" s="554">
        <f>CF!AV54-IS!AV51*(1-IS!AV55)</f>
        <v>4866.4034625517497</v>
      </c>
      <c r="AW57" s="553">
        <f>CF!AW54-IS!AW51*(1-IS!AW55)</f>
        <v>1716.5467289719627</v>
      </c>
      <c r="AX57" s="553">
        <f>CF!AX54-IS!AX51*(1-IS!AX55)</f>
        <v>1651.2276836158192</v>
      </c>
      <c r="AY57" s="553">
        <f>CF!AY54-IS!AY51*(1-IS!AY55)</f>
        <v>2373.5031599416625</v>
      </c>
      <c r="AZ57" s="553">
        <f>CF!AZ54-IS!AZ51*(1-IS!AZ55)</f>
        <v>1728.7658045977012</v>
      </c>
      <c r="BA57" s="554">
        <f>CF!BA54-IS!BA51*(1-IS!BA55)</f>
        <v>7470.3292863887764</v>
      </c>
      <c r="BB57" s="554">
        <f>CF!BB54-IS!BB51*(1-IS!BB55)</f>
        <v>2802.0599280862966</v>
      </c>
      <c r="BC57" s="553">
        <f>CF!BC54-IS!BC51*(1-IS!BC55)</f>
        <v>2446.7148475909539</v>
      </c>
      <c r="BD57" s="553">
        <f>CF!BD54-IS!BD51*(1-IS!BD55)</f>
        <v>3186.6134282807734</v>
      </c>
      <c r="BE57" s="553">
        <f>CF!BE54-IS!BE51*(1-IS!BE55)</f>
        <v>2908.5253837072019</v>
      </c>
      <c r="BF57" s="554">
        <f>CF!BF54-IS!BF51*(1-IS!BF55)</f>
        <v>11344.120259019426</v>
      </c>
      <c r="BG57" s="554">
        <f>CF!BG54-IS!BG51*(1-IS!BG55)</f>
        <v>2364.7873665480429</v>
      </c>
      <c r="BH57" s="553">
        <f>CF!BH54-IS!BH51*(1-IS!BH55)</f>
        <v>2188.8004460966545</v>
      </c>
      <c r="BI57" s="553">
        <f>CF!BI54-IS!BI51*(1-IS!BI55)</f>
        <v>2123.7030781803323</v>
      </c>
      <c r="BJ57" s="553">
        <f>CF!BJ54-IS!BJ51*(1-IS!BJ55)</f>
        <v>1694.1487469684721</v>
      </c>
      <c r="BK57" s="554">
        <f>CF!BK54-IS!BK51*(1-IS!BK55)</f>
        <v>8371.3831307052533</v>
      </c>
      <c r="BL57" s="553">
        <f>CF!BL54-IS!BL51*(1-IS!BL55)</f>
        <v>1989.1758241758243</v>
      </c>
      <c r="BM57" s="553">
        <f>CF!BM54-IS!BM51*(1-IS!BM55)</f>
        <v>2158.5306071249374</v>
      </c>
      <c r="BN57" s="553">
        <f>CF!BN54-IS!BN51*(1-IS!BN55)</f>
        <v>3254.0300913487372</v>
      </c>
      <c r="BO57" s="553">
        <f>CF!BO54-IS!BO51*(1-IS!BO55)</f>
        <v>-13183.132978723403</v>
      </c>
      <c r="BP57" s="554">
        <f>CF!BP54-IS!BP51*(1-IS!BP55)</f>
        <v>12429.388263189094</v>
      </c>
      <c r="BQ57" s="553">
        <f>CF!BQ54-IS!BQ51*(1-IS!BQ55)</f>
        <v>3925.7143614202437</v>
      </c>
      <c r="BR57" s="553">
        <f>CF!BR54-IS!BR51*(1-IS!BR55)</f>
        <v>3042.0891710231517</v>
      </c>
      <c r="BS57" s="553">
        <f>CF!BS54-IS!BS51*(1-IS!BS55)</f>
        <v>3459.9021361152509</v>
      </c>
      <c r="BT57" s="553">
        <f>CF!BT54-IS!BT51*(1-IS!BT55)</f>
        <v>3581.0124832813199</v>
      </c>
      <c r="BU57" s="554">
        <f>CF!BU54-IS!BU51*(1-IS!BU55)</f>
        <v>14008.965218105644</v>
      </c>
      <c r="BV57" s="553">
        <f>CF!BV54-IS!BV51*(1-IS!BV55)</f>
        <v>5999.2730554643913</v>
      </c>
      <c r="BW57" s="553">
        <f>CF!BW54-IS!BW51*(1-IS!BW55)</f>
        <v>2247.8313970064146</v>
      </c>
      <c r="BX57" s="553">
        <f>CF!BX54-IS!BX51*(1-IS!BX55)</f>
        <v>3683.4799999999996</v>
      </c>
      <c r="BY57" s="553">
        <f>CF!BY54-IS!BY51*(1-IS!BY55)</f>
        <v>1964.8000000000002</v>
      </c>
      <c r="BZ57" s="554">
        <f>CF!BZ54-IS!BZ51*(1-IS!BZ55)</f>
        <v>13895.441350746267</v>
      </c>
      <c r="CA57" s="553">
        <f>CF!CA54-IS!CA51*(1-IS!CA55)</f>
        <v>2752.4263009484748</v>
      </c>
      <c r="CB57" s="553">
        <f>CF!CB54-IS!CB51*(1-IS!CB55)</f>
        <v>3841.25</v>
      </c>
      <c r="CC57" s="553">
        <f>CF!CC54-IS!CC51*(1-IS!CC55)</f>
        <v>4082.1231568016615</v>
      </c>
      <c r="CD57" s="553">
        <f>CF!CD54-IS!CD51*(1-IS!CD55)</f>
        <v>718.10153929246553</v>
      </c>
      <c r="CE57" s="554">
        <f>CF!CE54-IS!CE51*(1-IS!CE55)</f>
        <v>11393.558830892773</v>
      </c>
      <c r="CF57" s="553">
        <f>CF!CF54-IS!CF51*(1-IS!CF55)</f>
        <v>3647.0719424460431</v>
      </c>
      <c r="CG57" s="553">
        <f>CF!CG54-IS!CG51*(1-IS!CG55)</f>
        <v>3161.6186883343007</v>
      </c>
      <c r="CH57" s="553">
        <f>CF!CH54-IS!CH51*(1-IS!CH55)</f>
        <v>4467.653002394949</v>
      </c>
      <c r="CI57" s="553">
        <f>CF!CI54-IS!CI51*(1-IS!CI55)</f>
        <v>3114.32</v>
      </c>
      <c r="CJ57" s="554">
        <f>CF!CJ54-IS!CJ51*(1-IS!CJ55)</f>
        <v>14389.784841609589</v>
      </c>
      <c r="CK57" s="553">
        <f>CF!CK54-IS!CK51*(1-IS!CK55)</f>
        <v>3766.86</v>
      </c>
      <c r="CL57" s="553">
        <f>CF!CL54-IS!CL51*(1-IS!CL55)</f>
        <v>1581.7271311794473</v>
      </c>
      <c r="CM57" s="553">
        <f>CF!CM54-IS!CM51*(1-IS!CM55)</f>
        <v>3966.37</v>
      </c>
      <c r="CN57" s="553">
        <f>CF!CN54-IS!CN51*(1-IS!CN55)</f>
        <v>2275.9182389937105</v>
      </c>
      <c r="CO57" s="554">
        <f>CF!CO54-IS!CO51*(1-IS!CO55)</f>
        <v>11590.882446451613</v>
      </c>
      <c r="CP57" s="553">
        <f>CF!CP54-IS!CP51*(1-IS!CP55)</f>
        <v>3258.8026185280696</v>
      </c>
      <c r="CQ57" s="553">
        <f>CF!CQ54-IS!CQ51*(1-IS!CQ55)</f>
        <v>1240.1818659658345</v>
      </c>
      <c r="CR57" s="553">
        <f>CF!CR54-IS!CR51*(1-IS!CR55)</f>
        <v>6568.0954385964915</v>
      </c>
      <c r="CS57" s="553">
        <f>CF!CS54-IS!CS51*(1-IS!CS55)</f>
        <v>3355.9861449166824</v>
      </c>
      <c r="CT57" s="554">
        <f>CF!CT54-IS!CT51*(1-IS!CT55)</f>
        <v>14416.068271396396</v>
      </c>
      <c r="CU57" s="553">
        <f>CF!CU54-IS!CU51*(1-IS!CU55)</f>
        <v>5114.7723616473613</v>
      </c>
      <c r="CV57" s="553">
        <f>CF!CV54-IS!CV51*(1-IS!CV55)</f>
        <v>3638.0303519061586</v>
      </c>
      <c r="CW57" s="553">
        <f>CF!CW54-IS!CW51*(1-IS!CW55)</f>
        <v>6038.5585354103096</v>
      </c>
      <c r="CX57" s="553">
        <f>CF!CX54-IS!CX51*(1-IS!CX55)</f>
        <v>2662.5180965147451</v>
      </c>
      <c r="CY57" s="554">
        <f>CF!CY54-IS!CY51*(1-IS!CY55)</f>
        <v>17453.637192342754</v>
      </c>
      <c r="CZ57" s="553">
        <f>CF!CZ54-IS!CZ51*(1-IS!CZ55)</f>
        <v>2597.8394258053745</v>
      </c>
      <c r="DA57" s="553">
        <f>CF!DA54-IS!DA51*(1-IS!DA55)</f>
        <v>5162.8403689251509</v>
      </c>
      <c r="DB57" s="553">
        <f>CF!DB54-IS!DB51*(1-IS!DB55)</f>
        <v>5388.4410294117642</v>
      </c>
      <c r="DC57" s="553">
        <f>CF!DC54-IS!DC51*(1-IS!DC55)</f>
        <v>2780.6950000000002</v>
      </c>
      <c r="DD57" s="554">
        <f>CF!DD54-IS!DD51*(1-IS!DD55)</f>
        <v>15928.252666264512</v>
      </c>
      <c r="DE57" s="553">
        <f>CF!DE54-IS!DE51*(1-IS!DE55)</f>
        <v>5459.7351521511018</v>
      </c>
      <c r="DF57" s="553">
        <f>CF!DF54-IS!DF51*(1-IS!DF55)</f>
        <v>4315.5104131487115</v>
      </c>
      <c r="DG57" s="553">
        <f>CF!DG54-IS!DG51*(1-IS!DG55)</f>
        <v>6858.992136304063</v>
      </c>
      <c r="DH57" s="553">
        <f>CF!DH54-IS!DH51*(1-IS!DH55)</f>
        <v>4775.5</v>
      </c>
      <c r="DI57" s="554">
        <f>CF!DI54-IS!DI51*(1-IS!DI55)</f>
        <v>21409.740854755528</v>
      </c>
      <c r="DJ57" s="553">
        <f>CF!DJ54-IS!DJ51*(1-IS!DJ55)</f>
        <v>7544.6970954356848</v>
      </c>
      <c r="DK57" s="553">
        <f>CF!DK54-IS!DK51*(1-IS!DK55)</f>
        <v>3435.7922796281041</v>
      </c>
      <c r="DL57" s="553">
        <f>CF!DL54-IS!DL51*(1-IS!DL55)</f>
        <v>7739.591369294606</v>
      </c>
      <c r="DM57" s="553">
        <f>CF!DM54-IS!DM51*(1-IS!DM55)</f>
        <v>5162.425108904873</v>
      </c>
      <c r="DN57" s="554">
        <f>CF!DN54-IS!DN51*(1-IS!DN55)</f>
        <v>23888.536848615433</v>
      </c>
      <c r="DO57" s="553">
        <f>CF!DO54-IS!DO51*(1-IS!DO55)</f>
        <v>7976.1056665754177</v>
      </c>
      <c r="DP57" s="553">
        <f>CF!DP54-IS!DP51*(1-IS!DP55)</f>
        <v>5167.0246389124895</v>
      </c>
      <c r="DQ57" s="553">
        <f>CF!DQ54-IS!DQ51*(1-IS!DQ55)</f>
        <v>8853.8304258997323</v>
      </c>
      <c r="DR57" s="553">
        <f>CF!DR54-IS!DR51*(1-IS!DR55)</f>
        <v>6909.6906288156288</v>
      </c>
      <c r="DS57" s="554">
        <f>CF!DS54-IS!DS51*(1-IS!DS55)</f>
        <v>28910.663246661981</v>
      </c>
      <c r="DT57" s="553">
        <f>CF!DT54-IS!DT51*(1-IS!DT55)</f>
        <v>7698.6154680159016</v>
      </c>
      <c r="DU57" s="553">
        <f>CF!DU54-IS!DU51*(1-IS!DU55)</f>
        <v>3850.8207207207206</v>
      </c>
      <c r="DV57" s="553">
        <f>CF!DV54-IS!DV51*(1-IS!DV55)</f>
        <v>8743.3286948176592</v>
      </c>
      <c r="DW57" s="553">
        <f>CF!DW54-IS!DW51*(1-IS!DW55)</f>
        <v>4050.8258746948741</v>
      </c>
      <c r="DX57" s="554">
        <f>CF!DX54-IS!DX51*(1-IS!DX55)</f>
        <v>24343.24293952388</v>
      </c>
      <c r="DY57" s="553">
        <f>CF!DY54-IS!DY51*(1-IS!DY55)</f>
        <v>6913.4419475655432</v>
      </c>
      <c r="DZ57" s="553">
        <f>CF!DZ54-IS!DZ51*(1-IS!DZ55)</f>
        <v>2756.7524752475247</v>
      </c>
      <c r="EA57" s="553">
        <f>CF!EA54-IS!EA51*(1-IS!EA55)</f>
        <v>8920.8306741411525</v>
      </c>
      <c r="EB57" s="553">
        <f>CF!EB54-IS!EB51*(1-IS!EB55)</f>
        <v>8116.8453162291171</v>
      </c>
      <c r="EC57" s="554">
        <f>CF!EC54-IS!EC51*(1-IS!EC55)</f>
        <v>26713.368242076642</v>
      </c>
      <c r="ED57" s="553">
        <f>CF!ED54-IS!ED51*(1-IS!ED55)</f>
        <v>7031.8249005116541</v>
      </c>
      <c r="EE57" s="553">
        <f>CF!EE54-IS!EE51*(1-IS!EE55)</f>
        <v>2794.9311188361016</v>
      </c>
      <c r="EF57" s="553">
        <f>CF!EF54-IS!EF51*(1-IS!EF55)</f>
        <v>8238.4118085582231</v>
      </c>
      <c r="EG57" s="553">
        <f>CF!EG54-IS!EG51*(1-IS!EG55)</f>
        <v>4801.9603412152046</v>
      </c>
      <c r="EH57" s="554">
        <f>CF!EH54-IS!EH51*(1-IS!EH55)</f>
        <v>22870.48623723042</v>
      </c>
      <c r="EI57" s="553">
        <f>CF!EI54-IS!EI51*(1-IS!EI55)</f>
        <v>7768.3443364889554</v>
      </c>
      <c r="EJ57" s="553">
        <f>CF!EJ54-IS!EJ51*(1-IS!EJ55)</f>
        <v>3736.9022289074251</v>
      </c>
      <c r="EK57" s="553">
        <f>CF!EK54-IS!EK51*(1-IS!EK55)</f>
        <v>8209.4626743610879</v>
      </c>
      <c r="EL57" s="553">
        <f>CF!EL54-IS!EL51*(1-IS!EL55)</f>
        <v>5605.7745578231288</v>
      </c>
      <c r="EM57" s="554">
        <f>CF!EM54-IS!EM51*(1-IS!EM55)</f>
        <v>25333.750780963775</v>
      </c>
      <c r="EN57" s="553">
        <f>CF!EN54-IS!EN51*(1-IS!EN55)</f>
        <v>9293.0303207851175</v>
      </c>
      <c r="EO57" s="553">
        <f>CF!EO54-IS!EO51*(1-IS!EO55)</f>
        <v>4213.596484667165</v>
      </c>
      <c r="EP57" s="553">
        <f>CF!EP54-IS!EP51*(1-IS!EP55)</f>
        <v>8678.0947279391039</v>
      </c>
      <c r="EQ57" s="553">
        <f>CF!EQ54-IS!EQ51*(1-IS!EQ55)</f>
        <v>8444.3969022265246</v>
      </c>
      <c r="ER57" s="554">
        <f>CF!ER54-IS!ER51*(1-IS!ER55)</f>
        <v>30631.77455556659</v>
      </c>
      <c r="ES57" s="553">
        <f>CF!ES54-IS!ES51*(1-IS!ES55)</f>
        <v>10080.673346693387</v>
      </c>
      <c r="ET57" s="553">
        <f>CF!ET54-IS!ET51*(1-IS!ET55)</f>
        <v>4888.2998145926495</v>
      </c>
      <c r="EU57" s="553">
        <f>CF!EU54-IS!EU51*(1-IS!EU55)</f>
        <v>8917.1532230065968</v>
      </c>
      <c r="EV57" s="553">
        <f>CF!EV54-IS!EV51*(1-IS!EV55)</f>
        <v>9850.0751640746585</v>
      </c>
      <c r="EW57" s="554">
        <f>CF!EW54-IS!EW51*(1-IS!EW55)</f>
        <v>33734.393013700428</v>
      </c>
      <c r="EX57" s="553">
        <f>CF!EX54-IS!EX51*(1-IS!EX55)</f>
        <v>11400.027777079713</v>
      </c>
      <c r="EY57" s="553">
        <f>CF!EY54-IS!EY51*(1-IS!EY55)</f>
        <v>5347.580072910253</v>
      </c>
      <c r="EZ57" s="553">
        <f>CF!EZ54-IS!EZ51*(1-IS!EZ55)</f>
        <v>11172.783283788702</v>
      </c>
      <c r="FA57" s="553">
        <f>CF!FA54-IS!FA51*(1-IS!FA55)</f>
        <v>10974.698710053344</v>
      </c>
      <c r="FB57" s="554">
        <f>CF!FB54-IS!FB51*(1-IS!FB55)</f>
        <v>38895.089843832022</v>
      </c>
      <c r="FC57" s="553">
        <f>CF!FC54-IS!FC51*(1-IS!FC55)</f>
        <v>13019.015346672462</v>
      </c>
      <c r="FD57" s="553">
        <f>CF!FD54-IS!FD51*(1-IS!FD55)</f>
        <v>6243.3527895955267</v>
      </c>
      <c r="FE57" s="553">
        <f>CF!FE54-IS!FE51*(1-IS!FE55)</f>
        <v>12323.957413913</v>
      </c>
      <c r="FF57" s="553">
        <f>CF!FF54-IS!FF51*(1-IS!FF55)</f>
        <v>12690.614288158178</v>
      </c>
      <c r="FG57" s="554">
        <f>CF!FG54-IS!FG51*(1-IS!FG55)</f>
        <v>44276.939838339167</v>
      </c>
      <c r="FH57" s="553">
        <f>CF!FH54-IS!FH51*(1-IS!FH55)</f>
        <v>14847.268064182488</v>
      </c>
      <c r="FI57" s="553">
        <f>CF!FI54-IS!FI51*(1-IS!FI55)</f>
        <v>6571.3978451110443</v>
      </c>
      <c r="FJ57" s="553">
        <f>CF!FJ54-IS!FJ51*(1-IS!FJ55)</f>
        <v>14249.682087826592</v>
      </c>
      <c r="FK57" s="553">
        <f>CF!FK54-IS!FK51*(1-IS!FK55)</f>
        <v>15004.280363685537</v>
      </c>
      <c r="FL57" s="554">
        <f>CF!FL54-IS!FL51*(1-IS!FL55)</f>
        <v>50672.62836080564</v>
      </c>
      <c r="FM57" s="553"/>
      <c r="FN57" s="556"/>
      <c r="FO57" s="554"/>
      <c r="FP57" s="554"/>
      <c r="FQ57" s="554"/>
      <c r="FR57" s="554"/>
      <c r="FS57" s="554"/>
      <c r="FT57" s="554"/>
      <c r="FU57" s="554"/>
      <c r="FV57" s="554"/>
      <c r="FW57" s="557">
        <f>CR57+CS57+CU57+CV57</f>
        <v>18676.884297066696</v>
      </c>
      <c r="FX57" s="557">
        <f>CW57+CX57+CZ57+DA57</f>
        <v>16461.756426655578</v>
      </c>
      <c r="FY57" s="557">
        <f>DB57+DC57+DE57+DF57</f>
        <v>17944.38159471158</v>
      </c>
      <c r="FZ57" s="557">
        <f>SUM(DG57:DH57,DJ57:DK57)</f>
        <v>22614.981511367852</v>
      </c>
      <c r="GA57" s="557">
        <f>SUM(DL57:DM57,DO57:DP57)</f>
        <v>26045.146783687385</v>
      </c>
      <c r="GB57" s="557">
        <f>SUM(DQ57:DR57,DT57:DU57)</f>
        <v>27312.957243451983</v>
      </c>
      <c r="GC57" s="557">
        <f>SUM(DV57:DW57,DY57:DZ57)</f>
        <v>22464.348992325602</v>
      </c>
      <c r="GD57" s="557">
        <f>SUM(EA57:EB57,ED57:EE57)</f>
        <v>26864.432009718024</v>
      </c>
      <c r="GE57" s="557">
        <f>SUM(EF57:EG57,EI57:EJ57)</f>
        <v>24545.618715169807</v>
      </c>
      <c r="GF57" s="557">
        <f>SUM(EK57:EL57,EN57:EO57)</f>
        <v>27321.8640376365</v>
      </c>
      <c r="GG57" s="557">
        <f>SUM(EP57:EQ57,ES57:ET57)</f>
        <v>32091.464791451664</v>
      </c>
      <c r="GH57" s="557">
        <f>SUM(EU57:EV57,EX57:EY57)</f>
        <v>35514.83623707122</v>
      </c>
      <c r="GI57" s="557">
        <f>SUM(EZ57:FA57,FC57:FD57)</f>
        <v>41409.85013011004</v>
      </c>
      <c r="GJ57" s="2532"/>
      <c r="GK57" s="2532"/>
      <c r="GL57" s="2532"/>
      <c r="GM57" s="2532"/>
      <c r="GO57"/>
      <c r="GP57"/>
      <c r="GQ57"/>
      <c r="GR57"/>
      <c r="GS57"/>
      <c r="GT57"/>
      <c r="GU57" s="261"/>
      <c r="GV57" s="261"/>
      <c r="GW57" s="261"/>
      <c r="GX57" s="261"/>
      <c r="GY57" s="261"/>
      <c r="GZ57" s="261"/>
      <c r="HA57" s="261"/>
      <c r="HB57" s="261"/>
      <c r="HC57" s="261"/>
      <c r="HD57" s="261"/>
      <c r="HE57" s="261"/>
      <c r="HF57" s="261"/>
      <c r="HG57" s="261"/>
      <c r="HH57" s="261"/>
      <c r="HI57" s="261"/>
      <c r="HJ57" s="261"/>
      <c r="HK57" s="261"/>
      <c r="HL57" s="261"/>
      <c r="HM57" s="261"/>
      <c r="HN57" s="261"/>
      <c r="HO57" s="261"/>
      <c r="HP57" s="261"/>
      <c r="HQ57" s="261"/>
      <c r="HR57" s="261"/>
      <c r="HS57" s="261"/>
      <c r="HT57" s="261"/>
      <c r="HU57" s="261"/>
      <c r="HV57" s="261"/>
      <c r="HW57" s="261"/>
      <c r="HX57" s="261"/>
      <c r="HY57" s="261"/>
      <c r="HZ57" s="261"/>
      <c r="IA57" s="261"/>
      <c r="IB57" s="261"/>
      <c r="IC57" s="261"/>
      <c r="ID57" s="261"/>
      <c r="IE57" s="261"/>
      <c r="IF57" s="261"/>
      <c r="IG57" s="261"/>
      <c r="IH57" s="261"/>
      <c r="II57" s="261"/>
      <c r="IJ57" s="261"/>
      <c r="IK57" s="261"/>
      <c r="IL57" s="261"/>
      <c r="IM57" s="261"/>
      <c r="IN57" s="261"/>
      <c r="IO57" s="261"/>
      <c r="IP57" s="261"/>
      <c r="IQ57" s="261"/>
      <c r="IR57" s="261"/>
      <c r="IS57" s="261"/>
      <c r="IT57" s="261"/>
      <c r="IU57" s="261"/>
      <c r="IV57" s="261"/>
      <c r="IW57" s="261"/>
      <c r="IX57" s="261"/>
      <c r="IY57" s="261"/>
      <c r="IZ57" s="261"/>
      <c r="JA57" s="261"/>
      <c r="JB57" s="261"/>
      <c r="JC57" s="261"/>
      <c r="JD57" s="261"/>
      <c r="JE57" s="261"/>
      <c r="JF57" s="261"/>
      <c r="JG57" s="261"/>
      <c r="JH57" s="261"/>
      <c r="JI57" s="261"/>
      <c r="JJ57" s="261"/>
      <c r="JK57" s="261"/>
      <c r="JL57" s="261"/>
      <c r="JM57" s="261"/>
      <c r="JN57" s="261"/>
      <c r="JO57" s="261"/>
      <c r="JP57" s="261"/>
      <c r="JQ57" s="261"/>
      <c r="JR57" s="261"/>
      <c r="JS57" s="261"/>
      <c r="JT57" s="261"/>
    </row>
    <row r="58" spans="1:280" s="264" customFormat="1" ht="11.25" customHeight="1">
      <c r="D58" s="253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253"/>
      <c r="P58" s="253"/>
      <c r="Q58" s="253"/>
      <c r="R58" s="253"/>
      <c r="S58" s="253"/>
      <c r="T58" s="253"/>
      <c r="U58" s="253"/>
      <c r="V58" s="253"/>
      <c r="W58" s="253"/>
      <c r="X58" s="253"/>
      <c r="Y58" s="253"/>
      <c r="Z58" s="253"/>
      <c r="AA58" s="253"/>
      <c r="AB58" s="253"/>
      <c r="AC58" s="253"/>
      <c r="AD58" s="253"/>
      <c r="AE58" s="253"/>
      <c r="AF58" s="253"/>
      <c r="AG58" s="253"/>
      <c r="AH58" s="253"/>
      <c r="AI58" s="253"/>
      <c r="AJ58" s="253"/>
      <c r="AK58" s="253"/>
      <c r="AL58" s="253"/>
      <c r="AM58" s="253"/>
      <c r="AN58" s="253"/>
      <c r="AO58" s="253"/>
      <c r="AP58" s="253"/>
      <c r="AQ58" s="253"/>
      <c r="AR58" s="253"/>
      <c r="AS58" s="253"/>
      <c r="AT58" s="253"/>
      <c r="AU58" s="253"/>
      <c r="AV58" s="253"/>
      <c r="AW58" s="253"/>
      <c r="AX58" s="253"/>
      <c r="AY58" s="253"/>
      <c r="AZ58" s="253"/>
      <c r="BA58" s="253"/>
      <c r="BB58" s="253"/>
      <c r="BC58" s="253"/>
      <c r="BD58" s="253"/>
      <c r="BE58" s="253"/>
      <c r="BF58" s="253"/>
      <c r="BG58" s="253"/>
      <c r="BH58" s="253"/>
      <c r="BI58" s="253"/>
      <c r="BJ58" s="253"/>
      <c r="BK58" s="253"/>
      <c r="BL58" s="253"/>
      <c r="BM58" s="253"/>
      <c r="BN58" s="253"/>
      <c r="BO58" s="253"/>
      <c r="BP58" s="253"/>
      <c r="BQ58" s="253"/>
      <c r="BR58" s="253"/>
      <c r="BS58" s="253"/>
      <c r="BT58" s="253"/>
      <c r="BU58" s="253"/>
      <c r="BV58" s="253"/>
      <c r="BW58" s="253"/>
      <c r="BX58" s="253"/>
      <c r="BY58" s="253"/>
      <c r="BZ58" s="253"/>
      <c r="EI58" s="2560"/>
      <c r="EJ58" s="2560"/>
      <c r="EK58" s="2560"/>
      <c r="EL58" s="2560"/>
      <c r="EM58" s="2560"/>
      <c r="EN58" s="2560"/>
      <c r="EO58" s="2560"/>
      <c r="EP58" s="2560"/>
      <c r="EQ58" s="2560"/>
      <c r="ER58" s="2560"/>
      <c r="ES58" s="2560"/>
      <c r="ET58" s="2560"/>
      <c r="EU58" s="2560"/>
      <c r="GO58"/>
      <c r="GP58"/>
      <c r="GQ58"/>
      <c r="GR58"/>
      <c r="GS58"/>
      <c r="GT58"/>
      <c r="GU58" s="261"/>
      <c r="GV58" s="261"/>
      <c r="GW58" s="261"/>
      <c r="GX58" s="261"/>
      <c r="GY58" s="261"/>
      <c r="GZ58" s="261"/>
      <c r="HA58" s="261"/>
      <c r="HB58" s="261"/>
      <c r="HC58" s="261"/>
      <c r="HD58" s="261"/>
      <c r="HE58" s="261"/>
      <c r="HF58" s="261"/>
      <c r="HG58" s="261"/>
      <c r="HH58" s="261"/>
      <c r="HI58" s="261"/>
      <c r="HJ58" s="261"/>
      <c r="HK58" s="261"/>
      <c r="HL58" s="261"/>
      <c r="HM58" s="261"/>
      <c r="HN58" s="261"/>
      <c r="HO58" s="261"/>
      <c r="HP58" s="261"/>
      <c r="HQ58" s="261"/>
      <c r="HR58" s="261"/>
      <c r="HS58" s="261"/>
      <c r="HT58" s="261"/>
      <c r="HU58" s="261"/>
      <c r="HV58" s="261"/>
      <c r="HW58" s="261"/>
      <c r="HX58" s="261"/>
      <c r="HY58" s="261"/>
      <c r="HZ58" s="261"/>
      <c r="IA58" s="261"/>
      <c r="IB58" s="261"/>
      <c r="IC58" s="261"/>
      <c r="ID58" s="261"/>
      <c r="IE58" s="261"/>
      <c r="IF58" s="261"/>
      <c r="IG58" s="261"/>
      <c r="IH58" s="261"/>
      <c r="II58" s="261"/>
      <c r="IJ58" s="261"/>
      <c r="IK58" s="261"/>
      <c r="IL58" s="261"/>
      <c r="IM58" s="261"/>
      <c r="IN58" s="261"/>
      <c r="IO58" s="261"/>
      <c r="IP58" s="261"/>
      <c r="IQ58" s="261"/>
      <c r="IR58" s="261"/>
      <c r="IS58" s="261"/>
      <c r="IT58" s="261"/>
      <c r="IU58" s="261"/>
      <c r="IV58" s="261"/>
      <c r="IW58" s="261"/>
      <c r="IX58" s="261"/>
      <c r="IY58" s="261"/>
      <c r="IZ58" s="261"/>
      <c r="JA58" s="261"/>
      <c r="JB58" s="261"/>
      <c r="JC58" s="261"/>
      <c r="JD58" s="261"/>
      <c r="JE58" s="261"/>
      <c r="JF58" s="261"/>
      <c r="JG58" s="261"/>
      <c r="JH58" s="261"/>
      <c r="JI58" s="261"/>
      <c r="JJ58" s="261"/>
      <c r="JK58" s="261"/>
      <c r="JL58" s="261"/>
      <c r="JM58" s="261"/>
      <c r="JN58" s="261"/>
      <c r="JO58" s="261"/>
      <c r="JP58" s="261"/>
      <c r="JQ58" s="261"/>
      <c r="JR58" s="261"/>
      <c r="JS58" s="261"/>
      <c r="JT58" s="261"/>
    </row>
    <row r="59" spans="1:280" s="559" customFormat="1" ht="11.25" customHeight="1">
      <c r="A59" s="558" t="s">
        <v>170</v>
      </c>
      <c r="H59" s="560"/>
      <c r="M59" s="560"/>
      <c r="R59" s="560"/>
      <c r="W59" s="560"/>
      <c r="AB59" s="560"/>
      <c r="AG59" s="560"/>
      <c r="AL59" s="560"/>
      <c r="AM59" s="559">
        <f>-AM37/AM57</f>
        <v>0.32103864874823046</v>
      </c>
      <c r="AN59" s="559">
        <f t="shared" ref="AN59:CY59" si="351">-AN37/AN57</f>
        <v>0.27186018081919422</v>
      </c>
      <c r="AO59" s="559">
        <f t="shared" si="351"/>
        <v>0.3700117508813161</v>
      </c>
      <c r="AP59" s="559">
        <f t="shared" si="351"/>
        <v>0.55441972339146117</v>
      </c>
      <c r="AQ59" s="560">
        <f t="shared" si="351"/>
        <v>0.37291470987016612</v>
      </c>
      <c r="AR59" s="559">
        <f t="shared" si="351"/>
        <v>0.95661586229497264</v>
      </c>
      <c r="AS59" s="559">
        <f t="shared" si="351"/>
        <v>0.31454783748361725</v>
      </c>
      <c r="AT59" s="559">
        <f t="shared" si="351"/>
        <v>1.1486008637077236</v>
      </c>
      <c r="AU59" s="559">
        <f t="shared" si="351"/>
        <v>0</v>
      </c>
      <c r="AV59" s="560">
        <f t="shared" si="351"/>
        <v>0.63722624395264549</v>
      </c>
      <c r="AW59" s="559">
        <f t="shared" si="351"/>
        <v>0.53188182097832803</v>
      </c>
      <c r="AX59" s="559">
        <f t="shared" si="351"/>
        <v>0.41363163104459516</v>
      </c>
      <c r="AY59" s="559">
        <f t="shared" si="351"/>
        <v>3.79186350028757E-3</v>
      </c>
      <c r="AZ59" s="559">
        <f t="shared" si="351"/>
        <v>0.49920006382867321</v>
      </c>
      <c r="BA59" s="560">
        <f t="shared" si="351"/>
        <v>0.33037365628537818</v>
      </c>
      <c r="BB59" s="560">
        <f t="shared" si="351"/>
        <v>0.17986767340276458</v>
      </c>
      <c r="BC59" s="559">
        <f t="shared" si="351"/>
        <v>0.1095346277331312</v>
      </c>
      <c r="BD59" s="559">
        <f t="shared" si="351"/>
        <v>0.23692864446608888</v>
      </c>
      <c r="BE59" s="559">
        <f t="shared" si="351"/>
        <v>0.48925136014671683</v>
      </c>
      <c r="BF59" s="560">
        <f t="shared" si="351"/>
        <v>0.26004660851990957</v>
      </c>
      <c r="BG59" s="560">
        <f t="shared" si="351"/>
        <v>0.43724861466482012</v>
      </c>
      <c r="BH59" s="559">
        <f t="shared" si="351"/>
        <v>1.7443344398109659</v>
      </c>
      <c r="BI59" s="559">
        <f t="shared" si="351"/>
        <v>9.4175123657760772E-3</v>
      </c>
      <c r="BJ59" s="559">
        <f t="shared" si="351"/>
        <v>1.4166406605645375E-2</v>
      </c>
      <c r="BK59" s="560">
        <f t="shared" si="351"/>
        <v>0.58484959098838107</v>
      </c>
      <c r="BL59" s="559">
        <f t="shared" si="351"/>
        <v>0.88076678728282176</v>
      </c>
      <c r="BM59" s="559">
        <f t="shared" si="351"/>
        <v>0.68240866964678704</v>
      </c>
      <c r="BN59" s="559">
        <f t="shared" si="351"/>
        <v>0.35525178549312636</v>
      </c>
      <c r="BO59" s="559">
        <f t="shared" si="351"/>
        <v>-0.12842167356821602</v>
      </c>
      <c r="BP59" s="560">
        <f t="shared" si="351"/>
        <v>0.48868052645750659</v>
      </c>
      <c r="BQ59" s="559">
        <f t="shared" si="351"/>
        <v>0.28657204687531007</v>
      </c>
      <c r="BR59" s="559">
        <f t="shared" si="351"/>
        <v>4.6349726149735843E-2</v>
      </c>
      <c r="BS59" s="559">
        <f t="shared" si="351"/>
        <v>0.1953812487768822</v>
      </c>
      <c r="BT59" s="559">
        <f t="shared" si="351"/>
        <v>1.1524673592364543</v>
      </c>
      <c r="BU59" s="560">
        <f t="shared" si="351"/>
        <v>0.43322257607979681</v>
      </c>
      <c r="BV59" s="559">
        <f t="shared" si="351"/>
        <v>0.58290395647432391</v>
      </c>
      <c r="BW59" s="559">
        <f t="shared" si="351"/>
        <v>0.41640133741637964</v>
      </c>
      <c r="BX59" s="559">
        <f t="shared" si="351"/>
        <v>0.22777373570645154</v>
      </c>
      <c r="BY59" s="559">
        <f t="shared" si="351"/>
        <v>0.61787459283387614</v>
      </c>
      <c r="BZ59" s="560">
        <f t="shared" si="351"/>
        <v>0.46677178768788541</v>
      </c>
      <c r="CA59" s="559">
        <f t="shared" si="351"/>
        <v>0.37966502486911174</v>
      </c>
      <c r="CB59" s="559">
        <f t="shared" si="351"/>
        <v>0.19004230393752033</v>
      </c>
      <c r="CC59" s="559">
        <f t="shared" si="351"/>
        <v>0.39391266216962106</v>
      </c>
      <c r="CD59" s="559">
        <f t="shared" si="351"/>
        <v>0</v>
      </c>
      <c r="CE59" s="560">
        <f t="shared" si="351"/>
        <v>0.29692215138497829</v>
      </c>
      <c r="CF59" s="559">
        <f t="shared" si="351"/>
        <v>0</v>
      </c>
      <c r="CG59" s="559">
        <f t="shared" si="351"/>
        <v>0</v>
      </c>
      <c r="CH59" s="559">
        <f t="shared" si="351"/>
        <v>0.54323825030703421</v>
      </c>
      <c r="CI59" s="559">
        <f t="shared" si="351"/>
        <v>1.8077782629915999</v>
      </c>
      <c r="CJ59" s="560">
        <f t="shared" si="351"/>
        <v>0.55991108197131134</v>
      </c>
      <c r="CK59" s="559">
        <f t="shared" si="351"/>
        <v>0</v>
      </c>
      <c r="CL59" s="559">
        <f t="shared" si="351"/>
        <v>0</v>
      </c>
      <c r="CM59" s="559">
        <f t="shared" si="351"/>
        <v>1.1786595804224014</v>
      </c>
      <c r="CN59" s="559">
        <f t="shared" si="351"/>
        <v>1.749184101516839</v>
      </c>
      <c r="CO59" s="560">
        <f t="shared" si="351"/>
        <v>0.74679387354583293</v>
      </c>
      <c r="CP59" s="559">
        <f t="shared" si="351"/>
        <v>2.3576144060760096</v>
      </c>
      <c r="CQ59" s="559">
        <f t="shared" si="351"/>
        <v>4.6743144365245062</v>
      </c>
      <c r="CR59" s="559">
        <f t="shared" si="351"/>
        <v>1.0471833219082656</v>
      </c>
      <c r="CS59" s="559">
        <f t="shared" si="351"/>
        <v>2.1504856362209961</v>
      </c>
      <c r="CT59" s="560">
        <f t="shared" si="351"/>
        <v>1.9127961577924033</v>
      </c>
      <c r="CU59" s="559">
        <f t="shared" si="351"/>
        <v>0.5728505186213817</v>
      </c>
      <c r="CV59" s="559">
        <f t="shared" si="351"/>
        <v>1.1151638682382956</v>
      </c>
      <c r="CW59" s="559">
        <f t="shared" si="351"/>
        <v>0.20534701994335211</v>
      </c>
      <c r="CX59" s="559">
        <f t="shared" si="351"/>
        <v>1.6172660030504897</v>
      </c>
      <c r="CY59" s="560">
        <f t="shared" si="351"/>
        <v>0.71807382391897479</v>
      </c>
      <c r="CZ59" s="559">
        <f t="shared" ref="CZ59:DN59" si="352">-CZ37/CZ57</f>
        <v>2.4993846561502004</v>
      </c>
      <c r="DA59" s="559">
        <f t="shared" si="352"/>
        <v>0.54621096111617617</v>
      </c>
      <c r="DB59" s="559">
        <f t="shared" si="352"/>
        <v>3.3404838063088153E-3</v>
      </c>
      <c r="DC59" s="559">
        <f t="shared" si="352"/>
        <v>7.9116911419627109E-3</v>
      </c>
      <c r="DD59" s="560">
        <f t="shared" si="352"/>
        <v>0.58719560745098742</v>
      </c>
      <c r="DE59" s="559">
        <f t="shared" si="352"/>
        <v>0.28206496415732724</v>
      </c>
      <c r="DF59" s="559">
        <f t="shared" si="352"/>
        <v>0.89607013534663993</v>
      </c>
      <c r="DG59" s="559">
        <f t="shared" si="352"/>
        <v>0.29494129163560823</v>
      </c>
      <c r="DH59" s="559">
        <f t="shared" si="352"/>
        <v>0.80389488011726518</v>
      </c>
      <c r="DI59" s="560">
        <f t="shared" si="352"/>
        <v>0.52634920134948437</v>
      </c>
      <c r="DJ59" s="559">
        <f t="shared" si="352"/>
        <v>0.58305853029689725</v>
      </c>
      <c r="DK59" s="559">
        <f t="shared" si="352"/>
        <v>1.4704032109143794</v>
      </c>
      <c r="DL59" s="559">
        <f t="shared" si="352"/>
        <v>0.10956650804127499</v>
      </c>
      <c r="DM59" s="559">
        <f t="shared" si="352"/>
        <v>0.24329650764976241</v>
      </c>
      <c r="DN59" s="560">
        <f t="shared" si="352"/>
        <v>0.48370480256808701</v>
      </c>
      <c r="DO59" s="559">
        <f t="shared" ref="DO59:DX59" si="353">-DO37/DO57</f>
        <v>0.2424742199823906</v>
      </c>
      <c r="DP59" s="559">
        <f t="shared" si="353"/>
        <v>0.20166344711282644</v>
      </c>
      <c r="DQ59" s="559">
        <f t="shared" si="353"/>
        <v>0.11554321133229091</v>
      </c>
      <c r="DR59" s="559">
        <f>-DR37/DR57</f>
        <v>0.14906600820948035</v>
      </c>
      <c r="DS59" s="560">
        <f t="shared" si="353"/>
        <v>0.17394965854270558</v>
      </c>
      <c r="DT59" s="559">
        <f t="shared" si="353"/>
        <v>0.21198616904301643</v>
      </c>
      <c r="DU59" s="559">
        <f t="shared" si="353"/>
        <v>0.43055756687880509</v>
      </c>
      <c r="DV59" s="559">
        <f t="shared" si="353"/>
        <v>0.11757535783932217</v>
      </c>
      <c r="DW59" s="559">
        <f t="shared" si="353"/>
        <v>0.25723149605350243</v>
      </c>
      <c r="DX59" s="560">
        <f t="shared" si="353"/>
        <v>0.22018430384628263</v>
      </c>
      <c r="DY59" s="559">
        <f t="shared" ref="DY59:ER59" si="354">-DY37/DY57</f>
        <v>0.31648490239662297</v>
      </c>
      <c r="DZ59" s="559">
        <f t="shared" si="354"/>
        <v>0.76648158257671539</v>
      </c>
      <c r="EA59" s="559">
        <f t="shared" si="354"/>
        <v>0.20681930499455717</v>
      </c>
      <c r="EB59" s="559">
        <f t="shared" si="354"/>
        <v>0.14414467128758254</v>
      </c>
      <c r="EC59" s="560">
        <f t="shared" si="354"/>
        <v>0.27387036833776934</v>
      </c>
      <c r="ED59" s="559">
        <f t="shared" si="354"/>
        <v>0.41070419711245393</v>
      </c>
      <c r="EE59" s="559">
        <f t="shared" si="354"/>
        <v>0.76746077409351199</v>
      </c>
      <c r="EF59" s="559">
        <f t="shared" si="354"/>
        <v>0.62281421701568951</v>
      </c>
      <c r="EG59" s="559">
        <f t="shared" si="354"/>
        <v>0.89109440643925397</v>
      </c>
      <c r="EH59" s="560">
        <f t="shared" si="354"/>
        <v>0.63151259007727267</v>
      </c>
      <c r="EI59" s="2789">
        <f t="shared" si="354"/>
        <v>0.64865816726623982</v>
      </c>
      <c r="EJ59" s="2789">
        <f t="shared" si="354"/>
        <v>0.98958971187244604</v>
      </c>
      <c r="EK59" s="2789">
        <f t="shared" si="354"/>
        <v>0.46982368432537835</v>
      </c>
      <c r="EL59" s="2789">
        <f t="shared" si="354"/>
        <v>0.65593076604705214</v>
      </c>
      <c r="EM59" s="2790">
        <f t="shared" si="354"/>
        <v>0.64226573240889051</v>
      </c>
      <c r="EN59" s="2789">
        <f>-EN37/EN57</f>
        <v>0.4693840275376911</v>
      </c>
      <c r="EO59" s="2789">
        <f t="shared" ref="EO59:EQ59" si="355">-EO37/EO57</f>
        <v>0.85413969113947741</v>
      </c>
      <c r="EP59" s="2789">
        <f t="shared" si="355"/>
        <v>0.23760975935897499</v>
      </c>
      <c r="EQ59" s="2789">
        <f t="shared" si="355"/>
        <v>0.20901433464533439</v>
      </c>
      <c r="ER59" s="2790">
        <f t="shared" si="354"/>
        <v>0.38482915766490627</v>
      </c>
      <c r="ES59" s="2789">
        <f>-ES37/ES57</f>
        <v>0.25494328718061265</v>
      </c>
      <c r="ET59" s="2789">
        <f t="shared" ref="ET59:EU59" si="356">-ET37/ET57</f>
        <v>0.41077676823456666</v>
      </c>
      <c r="EU59" s="2789">
        <f t="shared" si="356"/>
        <v>0.4240142459641576</v>
      </c>
      <c r="EV59" s="559">
        <f t="shared" ref="EU59:EW59" si="357">-EV37/EV57</f>
        <v>0.36454162914040655</v>
      </c>
      <c r="EW59" s="560">
        <f t="shared" si="357"/>
        <v>0.35423084217386452</v>
      </c>
      <c r="EX59" s="559">
        <f t="shared" ref="EX59:FG59" si="358">-EX37/EX57</f>
        <v>0.45901624312368772</v>
      </c>
      <c r="EY59" s="559">
        <f t="shared" si="358"/>
        <v>1.0323345549331431</v>
      </c>
      <c r="EZ59" s="559">
        <f t="shared" si="358"/>
        <v>0.52320036808425086</v>
      </c>
      <c r="FA59" s="559">
        <f t="shared" si="358"/>
        <v>0.56447785909166148</v>
      </c>
      <c r="FB59" s="560">
        <f t="shared" si="358"/>
        <v>0.58603459887683895</v>
      </c>
      <c r="FC59" s="559">
        <f t="shared" si="358"/>
        <v>0.49662656686785567</v>
      </c>
      <c r="FD59" s="559">
        <f t="shared" si="358"/>
        <v>1.0979008588787178</v>
      </c>
      <c r="FE59" s="559">
        <f t="shared" si="358"/>
        <v>0.59125723494137994</v>
      </c>
      <c r="FF59" s="559">
        <f t="shared" si="358"/>
        <v>0.61080295091518555</v>
      </c>
      <c r="FG59" s="560">
        <f t="shared" si="358"/>
        <v>0.64047481667333572</v>
      </c>
      <c r="FH59" s="559">
        <f t="shared" ref="FH59:FL59" si="359">-FH37/FH57</f>
        <v>0.49674406654933112</v>
      </c>
      <c r="FI59" s="559">
        <f t="shared" si="359"/>
        <v>1.2000547140312317</v>
      </c>
      <c r="FJ59" s="559">
        <f t="shared" si="359"/>
        <v>0.59288622016647863</v>
      </c>
      <c r="FK59" s="559">
        <f t="shared" si="359"/>
        <v>0.60349638609827627</v>
      </c>
      <c r="FL59" s="560">
        <f t="shared" si="359"/>
        <v>0.64659757080231162</v>
      </c>
      <c r="FN59" s="561"/>
      <c r="FO59" s="560"/>
      <c r="FP59" s="560"/>
      <c r="FQ59" s="560"/>
      <c r="FR59" s="560"/>
      <c r="FS59" s="560"/>
      <c r="FT59" s="560"/>
      <c r="FU59" s="560"/>
      <c r="FV59" s="560"/>
      <c r="FW59" s="560"/>
      <c r="FX59" s="560"/>
      <c r="FY59" s="560"/>
      <c r="FZ59" s="560"/>
      <c r="GA59" s="560"/>
      <c r="GO59"/>
      <c r="GP59"/>
      <c r="GQ59"/>
      <c r="GR59"/>
      <c r="GS59"/>
      <c r="GT59"/>
      <c r="GU59" s="261"/>
      <c r="GV59" s="261"/>
      <c r="GW59" s="261"/>
      <c r="GX59" s="261"/>
      <c r="GY59" s="261"/>
      <c r="GZ59" s="261"/>
      <c r="HA59" s="261"/>
      <c r="HB59" s="261"/>
      <c r="HC59" s="261"/>
      <c r="HD59" s="261"/>
      <c r="HE59" s="261"/>
      <c r="HF59" s="261"/>
      <c r="HG59" s="261"/>
      <c r="HH59" s="261"/>
      <c r="HI59" s="261"/>
      <c r="HJ59" s="261"/>
      <c r="HK59" s="261"/>
      <c r="HL59" s="261"/>
      <c r="HM59" s="261"/>
      <c r="HN59" s="261"/>
      <c r="HO59" s="261"/>
      <c r="HP59" s="261"/>
      <c r="HQ59" s="261"/>
      <c r="HR59" s="261"/>
      <c r="HS59" s="261"/>
      <c r="HT59" s="261"/>
      <c r="HU59" s="261"/>
      <c r="HV59" s="261"/>
      <c r="HW59" s="261"/>
      <c r="HX59" s="261"/>
      <c r="HY59" s="261"/>
      <c r="HZ59" s="261"/>
      <c r="IA59" s="261"/>
      <c r="IB59" s="261"/>
      <c r="IC59" s="261"/>
      <c r="ID59" s="261"/>
      <c r="IE59" s="261"/>
      <c r="IF59" s="261"/>
      <c r="IG59" s="261"/>
      <c r="IH59" s="261"/>
      <c r="II59" s="261"/>
      <c r="IJ59" s="261"/>
      <c r="IK59" s="261"/>
      <c r="IL59" s="261"/>
      <c r="IM59" s="261"/>
      <c r="IN59" s="261"/>
      <c r="IO59" s="261"/>
      <c r="IP59" s="261"/>
      <c r="IQ59" s="261"/>
      <c r="IR59" s="261"/>
      <c r="IS59" s="261"/>
      <c r="IT59" s="261"/>
      <c r="IU59" s="261"/>
      <c r="IV59" s="261"/>
      <c r="IW59" s="261"/>
      <c r="IX59" s="261"/>
      <c r="IY59" s="261"/>
      <c r="IZ59" s="261"/>
      <c r="JA59" s="261"/>
      <c r="JB59" s="261"/>
      <c r="JC59" s="261"/>
      <c r="JD59" s="261"/>
      <c r="JE59" s="261"/>
      <c r="JF59" s="261"/>
      <c r="JG59" s="261"/>
      <c r="JH59" s="261"/>
      <c r="JI59" s="261"/>
      <c r="JJ59" s="261"/>
      <c r="JK59" s="261"/>
      <c r="JL59" s="261"/>
      <c r="JM59" s="261"/>
      <c r="JN59" s="261"/>
      <c r="JO59" s="261"/>
      <c r="JP59" s="261"/>
      <c r="JQ59" s="261"/>
      <c r="JR59" s="261"/>
      <c r="JS59" s="261"/>
      <c r="JT59" s="261"/>
    </row>
    <row r="60" spans="1:280" ht="11.25" customHeight="1">
      <c r="EE60" s="261"/>
      <c r="EF60" s="261"/>
      <c r="EI60" s="2765"/>
      <c r="EJ60" s="2766"/>
      <c r="EK60" s="2766"/>
      <c r="EL60" s="2765"/>
      <c r="EM60" s="2765"/>
      <c r="EN60" s="2765"/>
      <c r="EO60" s="2766"/>
      <c r="EP60" s="2766"/>
      <c r="EQ60" s="2765"/>
      <c r="ER60" s="2765"/>
      <c r="ES60" s="2765"/>
      <c r="ET60" s="2766"/>
      <c r="EU60" s="2766"/>
      <c r="EV60" s="757"/>
      <c r="EW60" s="757"/>
      <c r="EX60" s="757"/>
      <c r="EY60" s="757"/>
      <c r="EZ60" s="757"/>
      <c r="FA60" s="757"/>
      <c r="FB60" s="757"/>
      <c r="FC60" s="757"/>
      <c r="FD60" s="757"/>
      <c r="FE60" s="757"/>
      <c r="FF60" s="757"/>
      <c r="FG60" s="757"/>
      <c r="FH60" s="757"/>
      <c r="FI60" s="757"/>
      <c r="FJ60" s="757"/>
      <c r="FK60" s="757"/>
      <c r="FL60" s="757"/>
      <c r="FM60" s="757"/>
      <c r="GH60" s="2676"/>
      <c r="GI60" s="2676"/>
      <c r="GJ60" s="2676"/>
      <c r="GK60" s="2676"/>
      <c r="GL60" s="2676"/>
    </row>
    <row r="61" spans="1:280" ht="11.25" customHeight="1">
      <c r="A61" s="757" t="s">
        <v>1471</v>
      </c>
      <c r="DO61" s="562"/>
      <c r="DR61" s="563"/>
      <c r="DS61" s="563"/>
      <c r="DT61" s="562"/>
      <c r="DV61" s="563"/>
      <c r="DW61" s="563"/>
      <c r="DX61" s="563"/>
      <c r="DY61" s="562"/>
      <c r="EA61" s="1132"/>
      <c r="EB61" s="563"/>
      <c r="EC61" s="563"/>
      <c r="ED61" s="3053">
        <f>-(ED35+ED37+EB35+EB37+EA35+EA37+DZ35+DZ37)/(ED54+EB54+EA54+DZ54)</f>
        <v>0.64394278050961107</v>
      </c>
      <c r="EE61" s="3053">
        <f>-(EE35+EE37+ED35+ED37+EB35+EB37+EA35+EA37)/(EE54+ED54+EB54+EA54)</f>
        <v>0.64905786102987451</v>
      </c>
      <c r="EF61" s="3053">
        <f>-(EF35+EF37+EE35+EE37+ED35+ED37+EB35+EB37)/(EF54+EE54+ED54+EB54)</f>
        <v>0.80003804451207916</v>
      </c>
      <c r="EG61" s="3053">
        <f>-(EG35+EG37+EF35+EF37+EE35+EE37+ED35+ED37)/(EG54+EF54+EE54+ED54)</f>
        <v>1.0513917704011064</v>
      </c>
      <c r="EH61" s="3053">
        <f>-(EG35+EG37+EF35+EF37+EE35+EE37+ED35+ED37)/(EG54+EF54+EE54+ED54)</f>
        <v>1.0513917704011064</v>
      </c>
      <c r="EI61" s="3053">
        <f>-(EI35+EI37+EG35+EG37+EF35+EF37+EE35+EE37)/(EI54+EG54+EF54+EE54)</f>
        <v>1.1297489823609226</v>
      </c>
      <c r="EJ61" s="3053">
        <f>-(EJ35+EJ37+EI35+EI37+EG35+EG37+EF35+EF37)/(EJ54+EI54+EG54+EF54)</f>
        <v>1.1722295297599474</v>
      </c>
      <c r="EK61" s="3053">
        <f>-(EK35+EK37+EJ35+EJ37+EI35+EI37+EG35+EG37)/(EK54+EJ54+EI54+EG54)</f>
        <v>1.1382187706543292</v>
      </c>
      <c r="EL61" s="3053">
        <f>-(EL35+EL37+EK35+EK37+EJ35+EJ37+EI35+EI37)/(EL54+EK54+EJ54+EI54)</f>
        <v>1.0918661436234089</v>
      </c>
      <c r="EM61" s="3053">
        <f>-(EL35+EL37+EK35+EK37+EJ35+EJ37+EI35+EI37)/(EL54+EK54+EJ54+EI54)</f>
        <v>1.0918661436234089</v>
      </c>
      <c r="EN61" s="3053">
        <f>-(EN35+EN37+EL35+EL37+EK35+EK37+EJ35+EJ37)/(EN54+EL54+EK54+EJ54)</f>
        <v>1.0028679976162098</v>
      </c>
      <c r="EO61" s="3053">
        <f>-(EO35+EO37+EN35+EN37+EL35+EL37+EK35+EK37)/(EO54+EN54+EL54+EK54)</f>
        <v>0.97906310098334481</v>
      </c>
      <c r="EP61" s="3053">
        <f>-(EP35+EP37+EO35+EO37+EN35+EN37+EL35+EL37)/(EP54+EO54+EN54+EL54)</f>
        <v>0.89081327946601085</v>
      </c>
      <c r="EQ61" s="3053">
        <f>-(EQ35+EQ37+EP35+EP37+EO35+EO37+EN35+EN37)/(EQ54+EP54+EO54+EN54)</f>
        <v>0.75317101153674548</v>
      </c>
      <c r="ER61" s="3053">
        <f>-(EQ35+EQ37+EP35+EP37+EO35+EO37+EN35+EN37)/(EQ54+EP54+EO54+EN54)</f>
        <v>0.75317101153674548</v>
      </c>
      <c r="ES61" s="3053">
        <f>-(ES35+ES37+EQ35+EQ37+EP35+EP37+EO35+EO37)/(ES54+EQ54+EP54+EO54)</f>
        <v>0.68247678018575852</v>
      </c>
      <c r="ET61" s="3053">
        <f>-(ET35+ET37+ES35+ES37+EQ35+EQ37+EP35+EP37)/(ET54+ES54+EQ54+EP54)</f>
        <v>0.62092897488282661</v>
      </c>
      <c r="EU61" s="3053">
        <f>-(EU35+EU37+ET35+ET37+ES35+ES37+EQ35+EQ37)/(EU54+ET54+ES54+EQ54)</f>
        <v>0.6740815839694656</v>
      </c>
      <c r="EV61" s="3053">
        <f>-(EV35+EV37+EU35+EU37+ET35+ET37+ES35+ES37)/(EV54+EU54+ET54+ES54)</f>
        <v>0.70520365700231447</v>
      </c>
      <c r="EW61" s="3053">
        <f>-(EV35+EV37+EU35+EU37+ET35+ET37+ES35+ES37)/(EV54+EU54+ET54+ES54)</f>
        <v>0.70520365700231447</v>
      </c>
      <c r="EX61" s="3053">
        <f>-(EX35+EX37+EV35+EV37+EU35+EU37+ET35+ET37)/(EX54+EV54+EU54+ET54)</f>
        <v>0.77718597645054621</v>
      </c>
      <c r="EY61" s="3053">
        <f>-(EY35+EY37+EX35+EX37+EV35+EV37+EU35+EU37)/(EY54+EX54+EV54+EU54)</f>
        <v>0.88563384316001226</v>
      </c>
      <c r="EZ61" s="3053">
        <f>-(EZ35+EZ37+EY35+EY37+EX35+EX37+EV35+EV37)/(EZ54+EY54+EX54+EV54)</f>
        <v>0.90632978143099452</v>
      </c>
      <c r="FA61" s="3053">
        <f>-(FA35+FA37+EZ35+EZ37+EY35+EY37+EX35+EX37)/(FA54+EZ54+EY54+EX54)</f>
        <v>0.96533000691125515</v>
      </c>
      <c r="FB61" s="3053">
        <f>-(FA35+FA37+EZ35+EZ37+EY35+EY37+EX35+EX37)/(FA54+EZ54+EY54+EX54)</f>
        <v>0.96533000691125515</v>
      </c>
      <c r="FC61" s="3053">
        <f>-(FC35+FC37+FA35+FA37+EZ35+EZ37+EY35+EY37)/(FC54+FA54+EZ54+EY54)</f>
        <v>0.96425084770680458</v>
      </c>
      <c r="FD61" s="3053">
        <f>-(FD35+FD37+FC35+FC37+FA35+FA37+EZ35+EZ37)/(FD54+FC54+FA54+EZ54)</f>
        <v>0.98244566624114393</v>
      </c>
      <c r="FE61" s="3053">
        <f>-(FE35+FE37+FD35+FD37+FC35+FC37+FA35+FA37)/(FE54+FD54+FC54+FA54)</f>
        <v>0.99589600871192929</v>
      </c>
      <c r="FF61" s="3053">
        <f>-(FF35+FF37+FE35+FE37+FD35+FD37+FC35+FC37)/(FF54+FE54+FD54+FC54)</f>
        <v>0.99826516558231992</v>
      </c>
      <c r="FG61" s="3053">
        <f>-(FF35+FF37+FE35+FE37+FD35+FD37+FC35+FC37)/(FF54+FE54+FD54+FC54)</f>
        <v>0.99826516558231992</v>
      </c>
      <c r="FH61" s="3053">
        <f>-(FH35+FH37+FF35+FF37+FE35+FE37+FD35+FD37)/(FH54+FF54+FE54+FD54)</f>
        <v>0.98505870124747719</v>
      </c>
      <c r="FI61" s="3053">
        <f>-(FI35+FI37+FH35+FH37+FF35+FF37+FE35+FE37)/(FI54+FH54+FF54+FE54)</f>
        <v>1.0064783941155708</v>
      </c>
      <c r="FJ61" s="3053">
        <f>-(FJ35+FJ37+FI35+FI37+FH35+FH37+FF35+FF37)/(FJ54+FI54+FH54+FF54)</f>
        <v>0.99704719669813435</v>
      </c>
      <c r="FK61" s="3053">
        <f>-(FK35+FK37+FJ35+FJ37+FI35+FI37+FH35+FH37)/(FK54+FJ54+FI54+FH54)</f>
        <v>0.98363419703685606</v>
      </c>
      <c r="FL61" s="3053">
        <f>-(FK35+FK37+FJ35+FJ37+FI35+FI37+FH35+FH37)/(FK54+FJ54+FI54+FH54)</f>
        <v>0.98363419703685606</v>
      </c>
      <c r="FM61" s="1189"/>
      <c r="GD61" s="1133"/>
      <c r="GE61" s="1133"/>
      <c r="GF61" s="1133"/>
      <c r="GG61" s="1133"/>
      <c r="GH61" s="1133"/>
      <c r="GI61" s="1133"/>
      <c r="GJ61" s="1133"/>
      <c r="GK61" s="1133"/>
      <c r="GL61" s="1133"/>
      <c r="GM61" s="1133"/>
    </row>
    <row r="62" spans="1:280" ht="11.25" customHeight="1">
      <c r="EE62" s="261"/>
      <c r="EF62" s="261"/>
      <c r="EI62" s="2765"/>
      <c r="EJ62" s="2766"/>
      <c r="EK62" s="2766"/>
      <c r="EL62" s="2765"/>
      <c r="EM62" s="2765"/>
      <c r="EN62" s="2765"/>
      <c r="EO62" s="2766"/>
      <c r="EP62" s="2766"/>
      <c r="EQ62" s="2765"/>
      <c r="ER62" s="2765"/>
      <c r="ES62" s="2765"/>
      <c r="ET62" s="2766"/>
      <c r="EU62" s="2766"/>
      <c r="EV62" s="757"/>
      <c r="EW62" s="757"/>
      <c r="EX62" s="757"/>
      <c r="EY62" s="757"/>
      <c r="EZ62" s="757"/>
      <c r="FA62" s="757"/>
      <c r="FB62" s="757"/>
      <c r="FC62" s="757"/>
      <c r="FD62" s="757"/>
      <c r="FE62" s="757"/>
      <c r="FF62" s="757"/>
      <c r="FG62" s="757"/>
      <c r="FH62" s="757"/>
      <c r="FI62" s="757"/>
      <c r="FJ62" s="757"/>
      <c r="FK62" s="757"/>
      <c r="FL62" s="757"/>
      <c r="FM62" s="757"/>
      <c r="GD62" s="1136"/>
      <c r="GE62" s="1136"/>
      <c r="GF62" s="1136"/>
      <c r="GG62" s="1136"/>
      <c r="GH62" s="1136"/>
      <c r="GI62" s="1136"/>
      <c r="GJ62" s="1136"/>
      <c r="GK62" s="1136"/>
      <c r="GL62" s="1136"/>
      <c r="GM62" s="1136"/>
    </row>
    <row r="63" spans="1:280" ht="11.25" customHeight="1">
      <c r="EE63" s="261"/>
      <c r="EF63" s="261"/>
      <c r="EI63" s="2765"/>
      <c r="EJ63" s="2766"/>
      <c r="EK63" s="2766"/>
      <c r="EL63" s="2765"/>
      <c r="EM63" s="2765"/>
      <c r="EN63" s="2765"/>
      <c r="EO63" s="2766"/>
      <c r="EP63" s="2766"/>
      <c r="EQ63" s="2765"/>
      <c r="ER63" s="2765"/>
      <c r="ES63" s="2765"/>
      <c r="ET63" s="2766"/>
      <c r="EU63" s="2766"/>
      <c r="EV63" s="757"/>
      <c r="EW63" s="757"/>
      <c r="EX63" s="757"/>
      <c r="EY63" s="757"/>
      <c r="EZ63" s="757"/>
      <c r="FA63" s="757"/>
      <c r="FB63" s="757"/>
      <c r="FC63" s="757"/>
      <c r="FD63" s="757"/>
      <c r="FE63" s="757"/>
      <c r="FF63" s="757"/>
      <c r="FG63" s="757"/>
      <c r="FH63" s="757"/>
      <c r="FI63" s="757"/>
      <c r="FJ63" s="757"/>
      <c r="FK63" s="757"/>
      <c r="FL63" s="757"/>
      <c r="FM63" s="757"/>
    </row>
    <row r="64" spans="1:280" ht="11.25" customHeight="1">
      <c r="EE64" s="261"/>
      <c r="EF64" s="261"/>
      <c r="EI64" s="2765"/>
      <c r="EJ64" s="2766"/>
      <c r="EK64" s="2766"/>
      <c r="EL64" s="2765"/>
      <c r="EM64" s="2765"/>
      <c r="EN64" s="2765"/>
      <c r="EO64" s="2766"/>
      <c r="EP64" s="2766"/>
      <c r="EQ64" s="2765"/>
      <c r="ER64" s="2765"/>
      <c r="ES64" s="2765"/>
      <c r="ET64" s="2766"/>
      <c r="EU64" s="2766"/>
      <c r="EV64" s="757"/>
      <c r="EW64" s="757"/>
      <c r="EX64" s="757"/>
      <c r="EY64" s="757"/>
      <c r="EZ64" s="757"/>
      <c r="FA64" s="757"/>
      <c r="FB64" s="757"/>
      <c r="FC64" s="757"/>
      <c r="FD64" s="757"/>
      <c r="FE64" s="757"/>
      <c r="FF64" s="757"/>
      <c r="FG64" s="757"/>
      <c r="FH64" s="757"/>
      <c r="FI64" s="757"/>
      <c r="FJ64" s="757"/>
      <c r="FK64" s="757"/>
      <c r="FL64" s="757"/>
      <c r="FM64" s="757"/>
    </row>
    <row r="65" spans="135:169" ht="11.25" customHeight="1">
      <c r="EE65" s="261"/>
      <c r="EF65" s="261"/>
      <c r="EI65" s="2765"/>
      <c r="EJ65" s="2766"/>
      <c r="EK65" s="2766"/>
      <c r="EL65" s="2765"/>
      <c r="EM65" s="2765"/>
      <c r="EN65" s="2765"/>
      <c r="EO65" s="2766"/>
      <c r="EP65" s="2766"/>
      <c r="EQ65" s="2765"/>
      <c r="ER65" s="2765"/>
      <c r="ES65" s="2765"/>
      <c r="ET65" s="2766"/>
      <c r="EU65" s="2766"/>
      <c r="EV65" s="757"/>
      <c r="EW65" s="757"/>
      <c r="EX65" s="757"/>
      <c r="EY65" s="757"/>
      <c r="EZ65" s="757"/>
      <c r="FA65" s="757"/>
      <c r="FB65" s="757"/>
      <c r="FC65" s="757"/>
      <c r="FD65" s="757"/>
      <c r="FE65" s="757"/>
      <c r="FF65" s="757"/>
      <c r="FG65" s="757"/>
      <c r="FH65" s="757"/>
      <c r="FI65" s="757"/>
      <c r="FJ65" s="757"/>
      <c r="FK65" s="757"/>
      <c r="FL65" s="757"/>
      <c r="FM65" s="757"/>
    </row>
    <row r="66" spans="135:169" ht="11.25" customHeight="1">
      <c r="EE66" s="261"/>
      <c r="EF66" s="261"/>
      <c r="EI66" s="2765"/>
      <c r="EJ66" s="2766"/>
      <c r="EK66" s="2766"/>
      <c r="EL66" s="2765"/>
      <c r="EM66" s="2765"/>
      <c r="EN66" s="2765"/>
      <c r="EO66" s="2766"/>
      <c r="EP66" s="2766"/>
      <c r="EQ66" s="2765"/>
      <c r="ER66" s="2765"/>
      <c r="ES66" s="2765"/>
      <c r="ET66" s="2766"/>
      <c r="EU66" s="2766"/>
      <c r="EV66" s="757"/>
      <c r="EW66" s="757"/>
      <c r="EX66" s="757"/>
      <c r="EY66" s="757"/>
      <c r="EZ66" s="757"/>
      <c r="FA66" s="757"/>
      <c r="FB66" s="757"/>
      <c r="FC66" s="757"/>
      <c r="FD66" s="757"/>
      <c r="FE66" s="757"/>
      <c r="FF66" s="757"/>
      <c r="FG66" s="757"/>
      <c r="FH66" s="757"/>
      <c r="FI66" s="757"/>
      <c r="FJ66" s="757"/>
      <c r="FK66" s="757"/>
      <c r="FL66" s="757"/>
      <c r="FM66" s="757"/>
    </row>
    <row r="67" spans="135:169" ht="11.25" customHeight="1">
      <c r="EE67" s="261"/>
      <c r="EF67" s="261"/>
      <c r="EI67" s="2765"/>
      <c r="EJ67" s="2766"/>
      <c r="EK67" s="2766"/>
      <c r="EL67" s="2765"/>
      <c r="EM67" s="2765"/>
      <c r="EN67" s="2765"/>
      <c r="EO67" s="2766"/>
      <c r="EP67" s="2766"/>
      <c r="EQ67" s="2765"/>
      <c r="ER67" s="2765"/>
      <c r="ES67" s="2765"/>
      <c r="ET67" s="2766"/>
      <c r="EU67" s="2766"/>
      <c r="EV67" s="757"/>
      <c r="EW67" s="757"/>
      <c r="EX67" s="757"/>
      <c r="EY67" s="757"/>
      <c r="EZ67" s="757"/>
      <c r="FA67" s="757"/>
      <c r="FB67" s="757"/>
      <c r="FC67" s="757"/>
      <c r="FD67" s="757"/>
      <c r="FE67" s="757"/>
      <c r="FF67" s="757"/>
      <c r="FG67" s="757"/>
      <c r="FH67" s="757"/>
      <c r="FI67" s="757"/>
      <c r="FJ67" s="757"/>
      <c r="FK67" s="757"/>
      <c r="FL67" s="757"/>
      <c r="FM67" s="757"/>
    </row>
    <row r="68" spans="135:169" ht="11.25" customHeight="1">
      <c r="EE68" s="261"/>
      <c r="EF68" s="261"/>
      <c r="EI68" s="2765"/>
      <c r="EJ68" s="2766"/>
      <c r="EK68" s="2766"/>
      <c r="EL68" s="2765"/>
      <c r="EM68" s="2765"/>
      <c r="EN68" s="2765"/>
      <c r="EO68" s="2766"/>
      <c r="EP68" s="2766"/>
      <c r="EQ68" s="2765"/>
      <c r="ER68" s="2765"/>
      <c r="ES68" s="2765"/>
      <c r="ET68" s="2766"/>
      <c r="EU68" s="2766"/>
      <c r="EV68" s="757"/>
      <c r="EW68" s="757"/>
      <c r="EX68" s="757"/>
      <c r="EY68" s="757"/>
      <c r="EZ68" s="757"/>
      <c r="FA68" s="757"/>
      <c r="FB68" s="757"/>
      <c r="FC68" s="757"/>
      <c r="FD68" s="757"/>
      <c r="FE68" s="757"/>
      <c r="FF68" s="757"/>
      <c r="FG68" s="757"/>
      <c r="FH68" s="757"/>
      <c r="FI68" s="757"/>
      <c r="FJ68" s="757"/>
      <c r="FK68" s="757"/>
      <c r="FL68" s="757"/>
      <c r="FM68" s="757"/>
    </row>
    <row r="69" spans="135:169" ht="11.25" customHeight="1">
      <c r="EE69" s="261"/>
      <c r="EF69" s="261"/>
      <c r="EI69" s="2765"/>
      <c r="EJ69" s="2766"/>
      <c r="EK69" s="2766"/>
      <c r="EL69" s="2765"/>
      <c r="EM69" s="2765"/>
      <c r="EN69" s="2765"/>
      <c r="EO69" s="2766"/>
      <c r="EP69" s="2766"/>
      <c r="EQ69" s="2765"/>
      <c r="ER69" s="2765"/>
      <c r="ES69" s="2765"/>
      <c r="ET69" s="2766"/>
      <c r="EU69" s="2766"/>
      <c r="EV69" s="757"/>
      <c r="EW69" s="757"/>
      <c r="EX69" s="757"/>
      <c r="EY69" s="757"/>
      <c r="EZ69" s="757"/>
      <c r="FA69" s="757"/>
      <c r="FB69" s="757"/>
      <c r="FC69" s="757"/>
      <c r="FD69" s="757"/>
      <c r="FE69" s="757"/>
      <c r="FF69" s="757"/>
      <c r="FG69" s="757"/>
      <c r="FH69" s="757"/>
      <c r="FI69" s="757"/>
      <c r="FJ69" s="757"/>
      <c r="FK69" s="757"/>
      <c r="FL69" s="757"/>
      <c r="FM69" s="757"/>
    </row>
    <row r="70" spans="135:169" ht="11.25" customHeight="1">
      <c r="EE70" s="261"/>
      <c r="EF70" s="261"/>
      <c r="EI70" s="2765"/>
      <c r="EJ70" s="2766"/>
      <c r="EK70" s="2766"/>
      <c r="EL70" s="2765"/>
      <c r="EM70" s="2765"/>
      <c r="EN70" s="2765"/>
      <c r="EO70" s="2766"/>
      <c r="EP70" s="2766"/>
      <c r="EQ70" s="2765"/>
      <c r="ER70" s="2765"/>
      <c r="ES70" s="2765"/>
      <c r="ET70" s="2766"/>
      <c r="EU70" s="2766"/>
      <c r="EV70" s="757"/>
      <c r="EW70" s="757"/>
      <c r="EX70" s="757"/>
      <c r="EY70" s="757"/>
      <c r="EZ70" s="757"/>
      <c r="FA70" s="757"/>
      <c r="FB70" s="757"/>
      <c r="FC70" s="757"/>
      <c r="FD70" s="757"/>
      <c r="FE70" s="757"/>
      <c r="FF70" s="757"/>
      <c r="FG70" s="757"/>
      <c r="FH70" s="757"/>
      <c r="FI70" s="757"/>
      <c r="FJ70" s="757"/>
      <c r="FK70" s="757"/>
      <c r="FL70" s="757"/>
      <c r="FM70" s="757"/>
    </row>
    <row r="71" spans="135:169" ht="11.25" customHeight="1">
      <c r="EE71" s="261"/>
      <c r="EF71" s="261"/>
      <c r="EI71" s="2765"/>
      <c r="EJ71" s="2766"/>
      <c r="EK71" s="2766"/>
      <c r="EL71" s="2765"/>
      <c r="EM71" s="2765"/>
      <c r="EN71" s="2765"/>
      <c r="EO71" s="2766"/>
      <c r="EP71" s="2766"/>
      <c r="EQ71" s="2765"/>
      <c r="ER71" s="2765"/>
      <c r="ES71" s="2765"/>
      <c r="ET71" s="2766"/>
      <c r="EU71" s="2766"/>
      <c r="EV71" s="757"/>
      <c r="EW71" s="757"/>
      <c r="EX71" s="757"/>
      <c r="EY71" s="757"/>
      <c r="EZ71" s="757"/>
      <c r="FA71" s="757"/>
      <c r="FB71" s="757"/>
      <c r="FC71" s="757"/>
      <c r="FD71" s="757"/>
      <c r="FE71" s="757"/>
      <c r="FF71" s="757"/>
      <c r="FG71" s="757"/>
      <c r="FH71" s="757"/>
      <c r="FI71" s="757"/>
      <c r="FJ71" s="757"/>
      <c r="FK71" s="757"/>
      <c r="FL71" s="757"/>
      <c r="FM71" s="757"/>
    </row>
    <row r="72" spans="135:169" ht="11.25" customHeight="1">
      <c r="EE72" s="261"/>
      <c r="EF72" s="261"/>
      <c r="EI72" s="2765"/>
      <c r="EJ72" s="2766"/>
      <c r="EK72" s="2766"/>
      <c r="EL72" s="2765"/>
      <c r="EM72" s="2765"/>
      <c r="EN72" s="2765"/>
      <c r="EO72" s="2766"/>
      <c r="EP72" s="2766"/>
      <c r="EQ72" s="2765"/>
      <c r="ER72" s="2765"/>
      <c r="ES72" s="2765"/>
      <c r="ET72" s="2766"/>
      <c r="EU72" s="2766"/>
      <c r="EV72" s="757"/>
      <c r="EW72" s="757"/>
      <c r="EX72" s="757"/>
      <c r="EY72" s="757"/>
      <c r="EZ72" s="757"/>
      <c r="FA72" s="757"/>
      <c r="FB72" s="757"/>
      <c r="FC72" s="757"/>
      <c r="FD72" s="757"/>
      <c r="FE72" s="757"/>
      <c r="FF72" s="757"/>
      <c r="FG72" s="757"/>
      <c r="FH72" s="757"/>
      <c r="FI72" s="757"/>
      <c r="FJ72" s="757"/>
      <c r="FK72" s="757"/>
      <c r="FL72" s="757"/>
      <c r="FM72" s="757"/>
    </row>
    <row r="73" spans="135:169" ht="11.25" customHeight="1">
      <c r="EE73" s="261"/>
      <c r="EF73" s="261"/>
      <c r="EI73" s="2765"/>
      <c r="EJ73" s="2766"/>
      <c r="EK73" s="2766"/>
      <c r="EL73" s="2765"/>
      <c r="EM73" s="2765"/>
      <c r="EN73" s="2765"/>
      <c r="EO73" s="2766"/>
      <c r="EP73" s="2766"/>
      <c r="EQ73" s="2765"/>
      <c r="ER73" s="2765"/>
      <c r="ES73" s="2765"/>
      <c r="ET73" s="2766"/>
      <c r="EU73" s="2766"/>
      <c r="EV73" s="757"/>
      <c r="EW73" s="757"/>
      <c r="EX73" s="757"/>
      <c r="EY73" s="757"/>
      <c r="EZ73" s="757"/>
      <c r="FA73" s="757"/>
      <c r="FB73" s="757"/>
      <c r="FC73" s="757"/>
      <c r="FD73" s="757"/>
      <c r="FE73" s="757"/>
      <c r="FF73" s="757"/>
      <c r="FG73" s="757"/>
      <c r="FH73" s="757"/>
      <c r="FI73" s="757"/>
      <c r="FJ73" s="757"/>
      <c r="FK73" s="757"/>
      <c r="FL73" s="757"/>
      <c r="FM73" s="757"/>
    </row>
    <row r="74" spans="135:169" ht="11.25" customHeight="1">
      <c r="EE74" s="261"/>
      <c r="EF74" s="261"/>
      <c r="EJ74" s="261"/>
      <c r="EK74" s="261"/>
      <c r="EO74" s="261"/>
      <c r="EP74" s="261"/>
      <c r="ET74" s="261"/>
      <c r="EU74" s="261"/>
      <c r="EV74" s="757"/>
      <c r="EW74" s="757"/>
      <c r="EX74" s="757"/>
      <c r="EY74" s="757"/>
      <c r="EZ74" s="757"/>
      <c r="FA74" s="757"/>
      <c r="FB74" s="757"/>
      <c r="FC74" s="757"/>
      <c r="FD74" s="757"/>
      <c r="FE74" s="757"/>
      <c r="FF74" s="757"/>
      <c r="FG74" s="757"/>
      <c r="FH74" s="757"/>
      <c r="FI74" s="757"/>
      <c r="FJ74" s="757"/>
      <c r="FK74" s="757"/>
      <c r="FL74" s="757"/>
      <c r="FM74" s="757"/>
    </row>
    <row r="75" spans="135:169" ht="11.25" customHeight="1">
      <c r="EE75" s="261"/>
      <c r="EF75" s="261"/>
      <c r="EJ75" s="261"/>
      <c r="EK75" s="261"/>
      <c r="EO75" s="261"/>
      <c r="EP75" s="261"/>
      <c r="ET75" s="261"/>
      <c r="EU75" s="261"/>
      <c r="EV75" s="757"/>
      <c r="EW75" s="757"/>
      <c r="EX75" s="757"/>
      <c r="EY75" s="757"/>
      <c r="EZ75" s="757"/>
      <c r="FA75" s="757"/>
      <c r="FB75" s="757"/>
      <c r="FC75" s="757"/>
      <c r="FD75" s="757"/>
      <c r="FE75" s="757"/>
      <c r="FF75" s="757"/>
      <c r="FG75" s="757"/>
      <c r="FH75" s="757"/>
      <c r="FI75" s="757"/>
      <c r="FJ75" s="757"/>
      <c r="FK75" s="757"/>
      <c r="FL75" s="757"/>
      <c r="FM75" s="757"/>
    </row>
    <row r="76" spans="135:169" ht="11.25" customHeight="1">
      <c r="EE76" s="261"/>
      <c r="EF76" s="261"/>
      <c r="EJ76" s="261"/>
      <c r="EK76" s="261"/>
      <c r="EO76" s="261"/>
      <c r="EP76" s="261"/>
      <c r="ET76" s="261"/>
      <c r="EU76" s="261"/>
      <c r="EV76" s="757"/>
      <c r="EW76" s="757"/>
      <c r="EX76" s="757"/>
      <c r="EY76" s="757"/>
      <c r="EZ76" s="757"/>
      <c r="FA76" s="757"/>
      <c r="FB76" s="757"/>
      <c r="FC76" s="757"/>
      <c r="FD76" s="757"/>
      <c r="FE76" s="757"/>
      <c r="FF76" s="757"/>
      <c r="FG76" s="757"/>
      <c r="FH76" s="757"/>
      <c r="FI76" s="757"/>
      <c r="FJ76" s="757"/>
      <c r="FK76" s="757"/>
      <c r="FL76" s="757"/>
      <c r="FM76" s="757"/>
    </row>
    <row r="77" spans="135:169" ht="11.25" customHeight="1">
      <c r="EE77" s="261"/>
      <c r="EF77" s="261"/>
      <c r="EJ77" s="261"/>
      <c r="EK77" s="261"/>
      <c r="EO77" s="261"/>
      <c r="EP77" s="261"/>
      <c r="ET77" s="261"/>
      <c r="EU77" s="261"/>
      <c r="EV77" s="757"/>
      <c r="EW77" s="757"/>
      <c r="EX77" s="757"/>
      <c r="EY77" s="757"/>
      <c r="EZ77" s="757"/>
      <c r="FA77" s="757"/>
      <c r="FB77" s="757"/>
      <c r="FC77" s="757"/>
      <c r="FD77" s="757"/>
      <c r="FE77" s="757"/>
      <c r="FF77" s="757"/>
      <c r="FG77" s="757"/>
      <c r="FH77" s="757"/>
      <c r="FI77" s="757"/>
      <c r="FJ77" s="757"/>
      <c r="FK77" s="757"/>
      <c r="FL77" s="757"/>
      <c r="FM77" s="757"/>
    </row>
    <row r="78" spans="135:169" ht="11.25" customHeight="1">
      <c r="EE78" s="261"/>
      <c r="EF78" s="261"/>
      <c r="EJ78" s="261"/>
      <c r="EK78" s="261"/>
      <c r="EO78" s="261"/>
      <c r="EP78" s="261"/>
      <c r="ET78" s="261"/>
      <c r="EU78" s="261"/>
      <c r="EV78" s="757"/>
      <c r="EW78" s="757"/>
      <c r="EX78" s="757"/>
      <c r="EY78" s="757"/>
      <c r="EZ78" s="757"/>
      <c r="FA78" s="757"/>
      <c r="FB78" s="757"/>
      <c r="FC78" s="757"/>
      <c r="FD78" s="757"/>
      <c r="FE78" s="757"/>
      <c r="FF78" s="757"/>
      <c r="FG78" s="757"/>
      <c r="FH78" s="757"/>
      <c r="FI78" s="757"/>
      <c r="FJ78" s="757"/>
      <c r="FK78" s="757"/>
      <c r="FL78" s="757"/>
      <c r="FM78" s="757"/>
    </row>
    <row r="79" spans="135:169" ht="11.25" customHeight="1">
      <c r="EE79" s="261"/>
      <c r="EF79" s="261"/>
      <c r="EJ79" s="261"/>
      <c r="EK79" s="261"/>
      <c r="EO79" s="261"/>
      <c r="EP79" s="261"/>
      <c r="ET79" s="261"/>
      <c r="EU79" s="261"/>
      <c r="EV79" s="757"/>
      <c r="EW79" s="757"/>
      <c r="EX79" s="757"/>
      <c r="EY79" s="757"/>
      <c r="EZ79" s="757"/>
      <c r="FA79" s="757"/>
      <c r="FB79" s="757"/>
      <c r="FC79" s="757"/>
      <c r="FD79" s="757"/>
      <c r="FE79" s="757"/>
      <c r="FF79" s="757"/>
      <c r="FG79" s="757"/>
      <c r="FH79" s="757"/>
      <c r="FI79" s="757"/>
      <c r="FJ79" s="757"/>
      <c r="FK79" s="757"/>
      <c r="FL79" s="757"/>
      <c r="FM79" s="757"/>
    </row>
    <row r="80" spans="135:169" ht="11.25" customHeight="1">
      <c r="EE80" s="261"/>
      <c r="EF80" s="261"/>
      <c r="EJ80" s="261"/>
      <c r="EK80" s="261"/>
      <c r="EO80" s="261"/>
      <c r="EP80" s="261"/>
      <c r="ET80" s="261"/>
      <c r="EU80" s="261"/>
      <c r="EV80" s="757"/>
      <c r="EW80" s="757"/>
      <c r="EX80" s="757"/>
      <c r="EY80" s="757"/>
      <c r="EZ80" s="757"/>
      <c r="FA80" s="757"/>
      <c r="FB80" s="757"/>
      <c r="FC80" s="757"/>
      <c r="FD80" s="757"/>
      <c r="FE80" s="757"/>
      <c r="FF80" s="757"/>
      <c r="FG80" s="757"/>
      <c r="FH80" s="757"/>
      <c r="FI80" s="757"/>
      <c r="FJ80" s="757"/>
      <c r="FK80" s="757"/>
      <c r="FL80" s="757"/>
      <c r="FM80" s="757"/>
    </row>
    <row r="81" spans="135:169" ht="11.25" customHeight="1">
      <c r="EE81" s="261"/>
      <c r="EF81" s="261"/>
      <c r="EJ81" s="261"/>
      <c r="EK81" s="261"/>
      <c r="EO81" s="261"/>
      <c r="EP81" s="261"/>
      <c r="ET81" s="261"/>
      <c r="EU81" s="261"/>
      <c r="EV81" s="757"/>
      <c r="EW81" s="757"/>
      <c r="EX81" s="757"/>
      <c r="EY81" s="757"/>
      <c r="EZ81" s="757"/>
      <c r="FA81" s="757"/>
      <c r="FB81" s="757"/>
      <c r="FC81" s="757"/>
      <c r="FD81" s="757"/>
      <c r="FE81" s="757"/>
      <c r="FF81" s="757"/>
      <c r="FG81" s="757"/>
      <c r="FH81" s="757"/>
      <c r="FI81" s="757"/>
      <c r="FJ81" s="757"/>
      <c r="FK81" s="757"/>
      <c r="FL81" s="757"/>
      <c r="FM81" s="757"/>
    </row>
    <row r="82" spans="135:169" ht="11.25" customHeight="1">
      <c r="EE82" s="261"/>
      <c r="EF82" s="261"/>
      <c r="EJ82" s="261"/>
      <c r="EK82" s="261"/>
      <c r="EO82" s="261"/>
      <c r="EP82" s="261"/>
      <c r="ET82" s="261"/>
      <c r="EU82" s="261"/>
      <c r="EV82" s="757"/>
      <c r="EW82" s="757"/>
      <c r="EX82" s="757"/>
      <c r="EY82" s="757"/>
      <c r="EZ82" s="757"/>
      <c r="FA82" s="757"/>
      <c r="FB82" s="757"/>
      <c r="FC82" s="757"/>
      <c r="FD82" s="757"/>
      <c r="FE82" s="757"/>
      <c r="FF82" s="757"/>
      <c r="FG82" s="757"/>
      <c r="FH82" s="757"/>
      <c r="FI82" s="757"/>
      <c r="FJ82" s="757"/>
      <c r="FK82" s="757"/>
      <c r="FL82" s="757"/>
      <c r="FM82" s="757"/>
    </row>
    <row r="83" spans="135:169" ht="11.25" customHeight="1">
      <c r="EE83" s="261"/>
      <c r="EF83" s="261"/>
      <c r="EJ83" s="261"/>
      <c r="EK83" s="261"/>
      <c r="EO83" s="261"/>
      <c r="EP83" s="261"/>
      <c r="ET83" s="261"/>
      <c r="EU83" s="261"/>
      <c r="EV83" s="757"/>
      <c r="EW83" s="757"/>
      <c r="EX83" s="757"/>
      <c r="EY83" s="757"/>
      <c r="EZ83" s="757"/>
      <c r="FA83" s="757"/>
      <c r="FB83" s="757"/>
      <c r="FC83" s="757"/>
      <c r="FD83" s="757"/>
      <c r="FE83" s="757"/>
      <c r="FF83" s="757"/>
      <c r="FG83" s="757"/>
      <c r="FH83" s="757"/>
      <c r="FI83" s="757"/>
      <c r="FJ83" s="757"/>
      <c r="FK83" s="757"/>
      <c r="FL83" s="757"/>
      <c r="FM83" s="757"/>
    </row>
    <row r="84" spans="135:169" ht="11.25" customHeight="1">
      <c r="EE84" s="261"/>
      <c r="EF84" s="261"/>
      <c r="EJ84" s="261"/>
      <c r="EK84" s="261"/>
      <c r="EO84" s="261"/>
      <c r="EP84" s="261"/>
      <c r="ET84" s="261"/>
      <c r="EU84" s="261"/>
      <c r="EV84" s="757"/>
      <c r="EW84" s="757"/>
      <c r="EX84" s="757"/>
      <c r="EY84" s="757"/>
      <c r="EZ84" s="757"/>
      <c r="FA84" s="757"/>
      <c r="FB84" s="757"/>
      <c r="FC84" s="757"/>
      <c r="FD84" s="757"/>
      <c r="FE84" s="757"/>
      <c r="FF84" s="757"/>
      <c r="FG84" s="757"/>
      <c r="FH84" s="757"/>
      <c r="FI84" s="757"/>
      <c r="FJ84" s="757"/>
      <c r="FK84" s="757"/>
      <c r="FL84" s="757"/>
      <c r="FM84" s="757"/>
    </row>
    <row r="85" spans="135:169" ht="11.25" customHeight="1">
      <c r="EV85" s="757"/>
      <c r="EW85" s="757"/>
      <c r="EX85" s="757"/>
      <c r="EY85" s="757"/>
      <c r="EZ85" s="757"/>
      <c r="FA85" s="757"/>
      <c r="FB85" s="757"/>
      <c r="FC85" s="757"/>
      <c r="FD85" s="757"/>
      <c r="FE85" s="757"/>
      <c r="FF85" s="757"/>
      <c r="FG85" s="757"/>
      <c r="FH85" s="757"/>
      <c r="FI85" s="757"/>
      <c r="FJ85" s="757"/>
      <c r="FK85" s="757"/>
      <c r="FL85" s="757"/>
      <c r="FM85" s="757"/>
    </row>
    <row r="86" spans="135:169" ht="11.25" customHeight="1">
      <c r="EV86" s="757"/>
      <c r="EW86" s="757"/>
      <c r="EX86" s="757"/>
      <c r="EY86" s="757"/>
      <c r="EZ86" s="757"/>
      <c r="FA86" s="757"/>
      <c r="FB86" s="757"/>
      <c r="FC86" s="757"/>
      <c r="FD86" s="757"/>
      <c r="FE86" s="757"/>
      <c r="FF86" s="757"/>
      <c r="FG86" s="757"/>
      <c r="FH86" s="757"/>
      <c r="FI86" s="757"/>
      <c r="FJ86" s="757"/>
      <c r="FK86" s="757"/>
      <c r="FL86" s="757"/>
      <c r="FM86" s="757"/>
    </row>
    <row r="87" spans="135:169" ht="11.25" customHeight="1">
      <c r="EV87" s="757"/>
      <c r="EW87" s="757"/>
      <c r="EX87" s="757"/>
      <c r="EY87" s="757"/>
      <c r="EZ87" s="757"/>
      <c r="FA87" s="757"/>
      <c r="FB87" s="757"/>
      <c r="FC87" s="757"/>
      <c r="FD87" s="757"/>
      <c r="FE87" s="757"/>
      <c r="FF87" s="757"/>
      <c r="FG87" s="757"/>
      <c r="FH87" s="757"/>
      <c r="FI87" s="757"/>
      <c r="FJ87" s="757"/>
      <c r="FK87" s="757"/>
      <c r="FL87" s="757"/>
      <c r="FM87" s="757"/>
    </row>
    <row r="88" spans="135:169" ht="11.25" customHeight="1">
      <c r="EV88" s="757"/>
      <c r="EW88" s="757"/>
      <c r="EX88" s="757"/>
      <c r="EY88" s="757"/>
      <c r="EZ88" s="757"/>
      <c r="FA88" s="757"/>
      <c r="FB88" s="757"/>
      <c r="FC88" s="757"/>
      <c r="FD88" s="757"/>
      <c r="FE88" s="757"/>
      <c r="FF88" s="757"/>
      <c r="FG88" s="757"/>
      <c r="FH88" s="757"/>
      <c r="FI88" s="757"/>
      <c r="FJ88" s="757"/>
      <c r="FK88" s="757"/>
      <c r="FL88" s="757"/>
      <c r="FM88" s="757"/>
    </row>
    <row r="89" spans="135:169" ht="11.25" customHeight="1">
      <c r="ET89" s="757"/>
      <c r="EV89" s="757"/>
      <c r="EW89" s="757"/>
      <c r="EX89" s="757"/>
      <c r="EY89" s="757"/>
      <c r="EZ89" s="757"/>
      <c r="FA89" s="757"/>
      <c r="FB89" s="757"/>
      <c r="FC89" s="757"/>
      <c r="FD89" s="757"/>
      <c r="FE89" s="757"/>
      <c r="FF89" s="757"/>
      <c r="FG89" s="757"/>
      <c r="FH89" s="757"/>
      <c r="FI89" s="757"/>
      <c r="FJ89" s="757"/>
      <c r="FK89" s="757"/>
      <c r="FL89" s="757"/>
      <c r="FM89" s="757"/>
    </row>
    <row r="90" spans="135:169" ht="11.25" customHeight="1">
      <c r="ET90" s="757"/>
      <c r="EV90" s="757"/>
      <c r="EW90" s="757"/>
      <c r="EX90" s="757"/>
      <c r="EY90" s="757"/>
      <c r="EZ90" s="757"/>
      <c r="FA90" s="757"/>
      <c r="FB90" s="757"/>
      <c r="FC90" s="757"/>
      <c r="FD90" s="757"/>
      <c r="FE90" s="757"/>
      <c r="FF90" s="757"/>
      <c r="FG90" s="757"/>
      <c r="FH90" s="757"/>
      <c r="FI90" s="757"/>
      <c r="FJ90" s="757"/>
      <c r="FK90" s="757"/>
      <c r="FL90" s="757"/>
      <c r="FM90" s="757"/>
    </row>
    <row r="91" spans="135:169" ht="11.25" customHeight="1">
      <c r="ET91" s="757"/>
      <c r="EV91" s="757"/>
      <c r="EW91" s="757"/>
      <c r="EX91" s="757"/>
      <c r="EY91" s="757"/>
      <c r="EZ91" s="757"/>
      <c r="FA91" s="757"/>
      <c r="FB91" s="757"/>
      <c r="FC91" s="757"/>
      <c r="FD91" s="757"/>
      <c r="FE91" s="757"/>
      <c r="FF91" s="757"/>
      <c r="FG91" s="757"/>
      <c r="FH91" s="757"/>
      <c r="FI91" s="757"/>
      <c r="FJ91" s="757"/>
      <c r="FK91" s="757"/>
      <c r="FL91" s="757"/>
      <c r="FM91" s="757"/>
    </row>
    <row r="92" spans="135:169" ht="11.25" customHeight="1">
      <c r="ET92" s="757"/>
      <c r="EU92" s="757"/>
      <c r="EV92" s="757"/>
      <c r="EW92" s="757"/>
      <c r="EX92" s="757"/>
      <c r="EY92" s="757"/>
      <c r="EZ92" s="757"/>
      <c r="FA92" s="757"/>
      <c r="FB92" s="757"/>
      <c r="FC92" s="757"/>
      <c r="FD92" s="757"/>
      <c r="FE92" s="757"/>
      <c r="FF92" s="757"/>
      <c r="FG92" s="757"/>
      <c r="FH92" s="757"/>
      <c r="FI92" s="757"/>
      <c r="FJ92" s="757"/>
      <c r="FK92" s="757"/>
      <c r="FL92" s="757"/>
      <c r="FM92" s="757"/>
    </row>
    <row r="93" spans="135:169" ht="11.25" customHeight="1">
      <c r="ET93" s="757"/>
      <c r="EU93" s="757"/>
      <c r="EV93" s="757"/>
      <c r="EW93" s="757"/>
      <c r="EX93" s="757"/>
      <c r="EY93" s="757"/>
      <c r="EZ93" s="757"/>
      <c r="FA93" s="757"/>
      <c r="FB93" s="757"/>
      <c r="FC93" s="757"/>
      <c r="FD93" s="757"/>
      <c r="FE93" s="757"/>
      <c r="FF93" s="757"/>
      <c r="FG93" s="757"/>
      <c r="FH93" s="757"/>
      <c r="FI93" s="757"/>
      <c r="FJ93" s="757"/>
      <c r="FK93" s="757"/>
      <c r="FL93" s="757"/>
      <c r="FM93" s="757"/>
    </row>
    <row r="94" spans="135:169" ht="11.25" customHeight="1">
      <c r="ET94" s="757"/>
      <c r="EU94" s="757"/>
      <c r="EV94" s="757"/>
      <c r="EW94" s="757"/>
      <c r="EX94" s="757"/>
      <c r="EY94" s="757"/>
      <c r="EZ94" s="757"/>
      <c r="FA94" s="757"/>
      <c r="FB94" s="757"/>
      <c r="FC94" s="757"/>
      <c r="FD94" s="757"/>
      <c r="FE94" s="757"/>
      <c r="FF94" s="757"/>
      <c r="FG94" s="757"/>
      <c r="FH94" s="757"/>
      <c r="FI94" s="757"/>
      <c r="FJ94" s="757"/>
      <c r="FK94" s="757"/>
      <c r="FL94" s="757"/>
      <c r="FM94" s="757"/>
    </row>
    <row r="95" spans="135:169" ht="11.25" customHeight="1">
      <c r="ET95" s="757"/>
      <c r="EU95" s="757"/>
      <c r="EV95" s="757"/>
      <c r="EW95" s="757"/>
      <c r="EX95" s="757"/>
      <c r="EY95" s="757"/>
      <c r="EZ95" s="757"/>
      <c r="FA95" s="757"/>
      <c r="FB95" s="757"/>
      <c r="FC95" s="757"/>
      <c r="FD95" s="757"/>
      <c r="FE95" s="757"/>
      <c r="FF95" s="757"/>
      <c r="FG95" s="757"/>
      <c r="FH95" s="757"/>
      <c r="FI95" s="757"/>
      <c r="FJ95" s="757"/>
      <c r="FK95" s="757"/>
      <c r="FL95" s="757"/>
      <c r="FM95" s="757"/>
    </row>
    <row r="96" spans="135:169" ht="11.25" customHeight="1">
      <c r="ET96" s="757"/>
      <c r="EU96" s="757"/>
      <c r="EV96" s="757"/>
      <c r="EW96" s="757"/>
      <c r="EX96" s="757"/>
      <c r="EY96" s="757"/>
      <c r="EZ96" s="757"/>
      <c r="FA96" s="757"/>
      <c r="FB96" s="757"/>
      <c r="FC96" s="757"/>
      <c r="FD96" s="757"/>
      <c r="FE96" s="757"/>
      <c r="FF96" s="757"/>
      <c r="FG96" s="757"/>
      <c r="FH96" s="757"/>
      <c r="FI96" s="757"/>
      <c r="FJ96" s="757"/>
      <c r="FK96" s="757"/>
      <c r="FL96" s="757"/>
      <c r="FM96" s="757"/>
    </row>
    <row r="97" spans="150:169" ht="11.25" customHeight="1">
      <c r="ET97" s="757"/>
      <c r="EU97" s="757"/>
      <c r="EV97" s="757"/>
      <c r="EW97" s="757"/>
      <c r="EX97" s="757"/>
      <c r="EY97" s="757"/>
      <c r="EZ97" s="757"/>
      <c r="FA97" s="757"/>
      <c r="FB97" s="757"/>
      <c r="FC97" s="757"/>
      <c r="FD97" s="757"/>
      <c r="FE97" s="757"/>
      <c r="FF97" s="757"/>
      <c r="FG97" s="757"/>
      <c r="FH97" s="757"/>
      <c r="FI97" s="757"/>
      <c r="FJ97" s="757"/>
      <c r="FK97" s="757"/>
      <c r="FL97" s="757"/>
      <c r="FM97" s="757"/>
    </row>
    <row r="98" spans="150:169" ht="11.25" customHeight="1">
      <c r="ET98" s="757"/>
      <c r="EU98" s="757"/>
      <c r="EV98" s="757"/>
      <c r="EW98" s="757"/>
      <c r="EX98" s="757"/>
      <c r="EY98" s="757"/>
      <c r="EZ98" s="757"/>
      <c r="FA98" s="757"/>
      <c r="FB98" s="757"/>
      <c r="FC98" s="757"/>
      <c r="FD98" s="757"/>
      <c r="FE98" s="757"/>
      <c r="FF98" s="757"/>
      <c r="FG98" s="757"/>
      <c r="FH98" s="757"/>
      <c r="FI98" s="757"/>
      <c r="FJ98" s="757"/>
      <c r="FK98" s="757"/>
      <c r="FL98" s="757"/>
      <c r="FM98" s="757"/>
    </row>
    <row r="99" spans="150:169" ht="11.25" customHeight="1">
      <c r="ET99" s="757"/>
      <c r="EU99" s="757"/>
      <c r="EV99" s="757"/>
      <c r="EW99" s="757"/>
      <c r="EX99" s="757"/>
      <c r="EY99" s="757"/>
      <c r="EZ99" s="757"/>
      <c r="FA99" s="757"/>
      <c r="FB99" s="757"/>
      <c r="FC99" s="757"/>
      <c r="FD99" s="757"/>
      <c r="FE99" s="757"/>
      <c r="FF99" s="757"/>
      <c r="FG99" s="757"/>
      <c r="FH99" s="757"/>
      <c r="FI99" s="757"/>
      <c r="FJ99" s="757"/>
      <c r="FK99" s="757"/>
      <c r="FL99" s="757"/>
      <c r="FM99" s="757"/>
    </row>
    <row r="100" spans="150:169" ht="11.25" customHeight="1">
      <c r="ET100" s="757"/>
      <c r="EU100" s="757"/>
      <c r="EV100" s="757"/>
      <c r="EW100" s="757"/>
      <c r="EX100" s="757"/>
      <c r="EY100" s="757"/>
      <c r="EZ100" s="757"/>
      <c r="FA100" s="757"/>
      <c r="FB100" s="757"/>
      <c r="FC100" s="757"/>
      <c r="FD100" s="757"/>
      <c r="FE100" s="757"/>
      <c r="FF100" s="757"/>
      <c r="FG100" s="757"/>
      <c r="FH100" s="757"/>
      <c r="FI100" s="757"/>
      <c r="FJ100" s="757"/>
      <c r="FK100" s="757"/>
      <c r="FL100" s="757"/>
      <c r="FM100" s="757"/>
    </row>
    <row r="101" spans="150:169" ht="11.25" customHeight="1">
      <c r="ET101" s="757"/>
      <c r="EU101" s="757"/>
      <c r="EV101" s="757"/>
      <c r="EW101" s="757"/>
      <c r="EX101" s="757"/>
      <c r="EY101" s="757"/>
      <c r="EZ101" s="757"/>
      <c r="FA101" s="757"/>
      <c r="FB101" s="757"/>
      <c r="FC101" s="757"/>
      <c r="FD101" s="757"/>
      <c r="FE101" s="757"/>
      <c r="FF101" s="757"/>
      <c r="FG101" s="757"/>
      <c r="FH101" s="757"/>
      <c r="FI101" s="757"/>
      <c r="FJ101" s="757"/>
      <c r="FK101" s="757"/>
      <c r="FL101" s="757"/>
      <c r="FM101" s="757"/>
    </row>
    <row r="102" spans="150:169" ht="11.25" customHeight="1">
      <c r="ET102" s="757"/>
      <c r="EU102" s="757"/>
      <c r="EV102" s="757"/>
      <c r="EW102" s="757"/>
      <c r="EX102" s="757"/>
      <c r="EY102" s="757"/>
      <c r="EZ102" s="757"/>
      <c r="FA102" s="757"/>
      <c r="FB102" s="757"/>
      <c r="FC102" s="757"/>
      <c r="FD102" s="757"/>
      <c r="FE102" s="757"/>
      <c r="FF102" s="757"/>
      <c r="FG102" s="757"/>
      <c r="FH102" s="757"/>
      <c r="FI102" s="757"/>
      <c r="FJ102" s="757"/>
      <c r="FK102" s="757"/>
      <c r="FL102" s="757"/>
      <c r="FM102" s="757"/>
    </row>
    <row r="103" spans="150:169" ht="11.25" customHeight="1">
      <c r="ET103" s="757"/>
      <c r="EU103" s="757"/>
      <c r="EV103" s="757"/>
      <c r="EW103" s="757"/>
      <c r="EX103" s="757"/>
      <c r="EY103" s="757"/>
      <c r="EZ103" s="757"/>
      <c r="FA103" s="757"/>
      <c r="FB103" s="757"/>
      <c r="FC103" s="757"/>
      <c r="FD103" s="757"/>
      <c r="FE103" s="757"/>
      <c r="FF103" s="757"/>
      <c r="FG103" s="757"/>
      <c r="FH103" s="757"/>
      <c r="FI103" s="757"/>
      <c r="FJ103" s="757"/>
      <c r="FK103" s="757"/>
      <c r="FL103" s="757"/>
      <c r="FM103" s="757"/>
    </row>
    <row r="104" spans="150:169" ht="11.25" customHeight="1">
      <c r="ET104" s="757"/>
      <c r="EU104" s="757"/>
      <c r="EV104" s="757"/>
      <c r="EW104" s="757"/>
      <c r="EX104" s="757"/>
      <c r="EY104" s="757"/>
      <c r="EZ104" s="757"/>
      <c r="FA104" s="757"/>
      <c r="FB104" s="757"/>
      <c r="FC104" s="757"/>
      <c r="FD104" s="757"/>
      <c r="FE104" s="757"/>
      <c r="FF104" s="757"/>
      <c r="FG104" s="757"/>
      <c r="FH104" s="757"/>
      <c r="FI104" s="757"/>
      <c r="FJ104" s="757"/>
      <c r="FK104" s="757"/>
      <c r="FL104" s="757"/>
      <c r="FM104" s="757"/>
    </row>
    <row r="105" spans="150:169" ht="11.25" customHeight="1">
      <c r="ET105" s="757"/>
      <c r="EU105" s="757"/>
      <c r="EV105" s="757"/>
      <c r="EW105" s="757"/>
      <c r="EX105" s="757"/>
      <c r="EY105" s="757"/>
      <c r="EZ105" s="757"/>
      <c r="FA105" s="757"/>
      <c r="FB105" s="757"/>
      <c r="FC105" s="757"/>
      <c r="FD105" s="757"/>
      <c r="FE105" s="757"/>
      <c r="FF105" s="757"/>
      <c r="FG105" s="757"/>
      <c r="FH105" s="757"/>
      <c r="FI105" s="757"/>
      <c r="FJ105" s="757"/>
      <c r="FK105" s="757"/>
      <c r="FL105" s="757"/>
      <c r="FM105" s="757"/>
    </row>
    <row r="106" spans="150:169" ht="11.25" customHeight="1">
      <c r="ET106" s="757"/>
      <c r="EU106" s="757"/>
      <c r="EV106" s="757"/>
      <c r="EW106" s="757"/>
      <c r="EX106" s="757"/>
      <c r="EY106" s="757"/>
      <c r="EZ106" s="757"/>
      <c r="FA106" s="757"/>
      <c r="FB106" s="757"/>
      <c r="FC106" s="757"/>
      <c r="FD106" s="757"/>
      <c r="FE106" s="757"/>
      <c r="FF106" s="757"/>
      <c r="FG106" s="757"/>
      <c r="FH106" s="757"/>
      <c r="FI106" s="757"/>
      <c r="FJ106" s="757"/>
      <c r="FK106" s="757"/>
      <c r="FL106" s="757"/>
      <c r="FM106" s="757"/>
    </row>
    <row r="107" spans="150:169" ht="11.25" customHeight="1">
      <c r="ET107" s="757"/>
      <c r="EU107" s="757"/>
      <c r="EV107" s="757"/>
      <c r="EW107" s="757"/>
      <c r="EX107" s="757"/>
      <c r="EY107" s="757"/>
      <c r="EZ107" s="757"/>
      <c r="FA107" s="757"/>
      <c r="FB107" s="757"/>
      <c r="FC107" s="757"/>
      <c r="FD107" s="757"/>
      <c r="FE107" s="757"/>
      <c r="FF107" s="757"/>
      <c r="FG107" s="757"/>
      <c r="FH107" s="757"/>
      <c r="FI107" s="757"/>
      <c r="FJ107" s="757"/>
      <c r="FK107" s="757"/>
      <c r="FL107" s="757"/>
      <c r="FM107" s="757"/>
    </row>
    <row r="108" spans="150:169" ht="11.25" customHeight="1">
      <c r="ET108" s="757"/>
      <c r="EU108" s="757"/>
      <c r="EV108" s="757"/>
      <c r="EW108" s="757"/>
      <c r="EX108" s="757"/>
      <c r="EY108" s="757"/>
      <c r="EZ108" s="757"/>
      <c r="FA108" s="757"/>
      <c r="FB108" s="757"/>
      <c r="FC108" s="757"/>
      <c r="FD108" s="757"/>
      <c r="FE108" s="757"/>
      <c r="FF108" s="757"/>
      <c r="FG108" s="757"/>
      <c r="FH108" s="757"/>
      <c r="FI108" s="757"/>
      <c r="FJ108" s="757"/>
      <c r="FK108" s="757"/>
      <c r="FL108" s="757"/>
      <c r="FM108" s="757"/>
    </row>
    <row r="109" spans="150:169" ht="11.25" customHeight="1">
      <c r="ET109" s="757"/>
      <c r="EU109" s="757"/>
      <c r="EV109" s="757"/>
      <c r="EW109" s="757"/>
      <c r="EX109" s="757"/>
      <c r="EY109" s="757"/>
      <c r="EZ109" s="757"/>
      <c r="FA109" s="757"/>
      <c r="FB109" s="757"/>
      <c r="FC109" s="757"/>
      <c r="FD109" s="757"/>
      <c r="FE109" s="757"/>
      <c r="FF109" s="757"/>
      <c r="FG109" s="757"/>
      <c r="FH109" s="757"/>
      <c r="FI109" s="757"/>
      <c r="FJ109" s="757"/>
      <c r="FK109" s="757"/>
      <c r="FL109" s="757"/>
      <c r="FM109" s="757"/>
    </row>
    <row r="110" spans="150:169" ht="11.25" customHeight="1">
      <c r="ET110" s="757"/>
      <c r="EU110" s="757"/>
      <c r="EV110" s="757"/>
      <c r="EW110" s="757"/>
      <c r="EX110" s="757"/>
      <c r="EY110" s="757"/>
      <c r="EZ110" s="757"/>
      <c r="FA110" s="757"/>
      <c r="FB110" s="757"/>
      <c r="FC110" s="757"/>
      <c r="FD110" s="757"/>
      <c r="FE110" s="757"/>
      <c r="FF110" s="757"/>
      <c r="FG110" s="757"/>
      <c r="FH110" s="757"/>
      <c r="FI110" s="757"/>
      <c r="FJ110" s="757"/>
      <c r="FK110" s="757"/>
      <c r="FL110" s="757"/>
      <c r="FM110" s="757"/>
    </row>
    <row r="111" spans="150:169" ht="11.25" customHeight="1">
      <c r="ET111" s="757"/>
      <c r="EU111" s="757"/>
      <c r="EV111" s="757"/>
      <c r="EW111" s="757"/>
      <c r="EX111" s="757"/>
      <c r="EY111" s="757"/>
      <c r="EZ111" s="757"/>
      <c r="FA111" s="757"/>
      <c r="FB111" s="757"/>
      <c r="FC111" s="757"/>
      <c r="FD111" s="757"/>
      <c r="FE111" s="757"/>
      <c r="FF111" s="757"/>
      <c r="FG111" s="757"/>
      <c r="FH111" s="757"/>
      <c r="FI111" s="757"/>
      <c r="FJ111" s="757"/>
      <c r="FK111" s="757"/>
      <c r="FL111" s="757"/>
      <c r="FM111" s="757"/>
    </row>
  </sheetData>
  <phoneticPr fontId="4" type="noConversion"/>
  <pageMargins left="0" right="0" top="0" bottom="0" header="0" footer="0"/>
  <pageSetup paperSize="5" orientation="landscape" r:id="rId1"/>
  <headerFooter alignWithMargins="0"/>
  <ignoredErrors>
    <ignoredError sqref="FS25:FW25 FS24 FW16 CI26 FW33 FW24 FV33 CI35:CI38 CI20:CI24 CI28:CI32 CI25 FU33 FV16 FV24 FT33 FU16 FU24 FS33 FT16 FT24 FS16" formulaRange="1"/>
    <ignoredError sqref="BC16:BE20 BC10:BE14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  <pageSetUpPr fitToPage="1"/>
  </sheetPr>
  <dimension ref="A1:JT1450"/>
  <sheetViews>
    <sheetView showGridLines="0" zoomScaleNormal="100" workbookViewId="0">
      <pane xSplit="1" ySplit="7" topLeftCell="BJ8" activePane="bottomRight" state="frozen"/>
      <selection activeCell="EF49" sqref="EF49"/>
      <selection pane="topRight" activeCell="EF49" sqref="EF49"/>
      <selection pane="bottomLeft" activeCell="EF49" sqref="EF49"/>
      <selection pane="bottomRight" activeCell="BY8" sqref="BY8"/>
    </sheetView>
  </sheetViews>
  <sheetFormatPr defaultColWidth="8" defaultRowHeight="12.75" outlineLevelRow="3" outlineLevelCol="2"/>
  <cols>
    <col min="1" max="1" width="42.42578125" style="251" customWidth="1"/>
    <col min="2" max="2" width="12" style="251" hidden="1" customWidth="1" outlineLevel="1"/>
    <col min="3" max="4" width="11" style="251" hidden="1" customWidth="1" outlineLevel="2"/>
    <col min="5" max="6" width="11.5703125" style="251" hidden="1" customWidth="1" outlineLevel="2"/>
    <col min="7" max="7" width="11.85546875" style="251" hidden="1" customWidth="1" outlineLevel="1"/>
    <col min="8" max="8" width="11.5703125" style="251" hidden="1" customWidth="1" outlineLevel="2"/>
    <col min="9" max="9" width="11" style="251" hidden="1" customWidth="1" outlineLevel="2"/>
    <col min="10" max="11" width="11.5703125" style="251" hidden="1" customWidth="1" outlineLevel="2"/>
    <col min="12" max="12" width="11.5703125" style="251" hidden="1" customWidth="1" outlineLevel="1"/>
    <col min="13" max="13" width="11" style="251" hidden="1" customWidth="1" outlineLevel="1"/>
    <col min="14" max="14" width="11.28515625" style="251" hidden="1" customWidth="1" outlineLevel="1"/>
    <col min="15" max="16" width="11" style="251" hidden="1" customWidth="1" outlineLevel="1"/>
    <col min="17" max="17" width="11.85546875" style="251" hidden="1" customWidth="1" outlineLevel="1"/>
    <col min="18" max="18" width="11" style="251" hidden="1" customWidth="1" outlineLevel="1"/>
    <col min="19" max="19" width="11.28515625" style="251" hidden="1" customWidth="1" outlineLevel="1"/>
    <col min="20" max="21" width="11" style="251" hidden="1" customWidth="1" outlineLevel="1"/>
    <col min="22" max="22" width="12.28515625" style="251" hidden="1" customWidth="1" outlineLevel="1"/>
    <col min="23" max="23" width="12.42578125" style="251" hidden="1" customWidth="1" outlineLevel="1"/>
    <col min="24" max="25" width="11.5703125" style="251" hidden="1" customWidth="1" outlineLevel="1"/>
    <col min="26" max="26" width="11.85546875" style="251" hidden="1" customWidth="1" outlineLevel="1"/>
    <col min="27" max="27" width="12.28515625" style="251" hidden="1" customWidth="1" outlineLevel="1"/>
    <col min="28" max="28" width="12.42578125" style="251" hidden="1" customWidth="1" outlineLevel="1"/>
    <col min="29" max="30" width="11.5703125" style="251" hidden="1" customWidth="1" outlineLevel="1"/>
    <col min="31" max="31" width="11.85546875" style="251" hidden="1" customWidth="1" outlineLevel="1"/>
    <col min="32" max="32" width="12.28515625" style="251" hidden="1" customWidth="1" outlineLevel="1"/>
    <col min="33" max="33" width="11.85546875" style="251" hidden="1" customWidth="1" outlineLevel="1"/>
    <col min="34" max="35" width="11.5703125" style="251" hidden="1" customWidth="1" outlineLevel="1"/>
    <col min="36" max="36" width="11.85546875" style="251" hidden="1" customWidth="1" outlineLevel="1"/>
    <col min="37" max="37" width="12.28515625" style="251" hidden="1" customWidth="1" outlineLevel="1"/>
    <col min="38" max="46" width="10.28515625" style="251" hidden="1" customWidth="1" outlineLevel="1"/>
    <col min="47" max="47" width="9.85546875" style="251" hidden="1" customWidth="1" collapsed="1"/>
    <col min="48" max="50" width="9.85546875" style="251" hidden="1" customWidth="1" outlineLevel="1"/>
    <col min="51" max="51" width="9.85546875" style="918" hidden="1" customWidth="1" outlineLevel="1"/>
    <col min="52" max="52" width="9.85546875" style="918" hidden="1" customWidth="1" collapsed="1"/>
    <col min="53" max="55" width="9.85546875" style="918" hidden="1" customWidth="1" outlineLevel="1"/>
    <col min="56" max="56" width="7.85546875" style="918" hidden="1" customWidth="1" outlineLevel="1"/>
    <col min="57" max="57" width="9.85546875" style="251" hidden="1" customWidth="1" collapsed="1"/>
    <col min="58" max="61" width="9.85546875" style="918" hidden="1" customWidth="1" outlineLevel="1"/>
    <col min="62" max="62" width="1.28515625" style="918" hidden="1" customWidth="1" collapsed="1"/>
    <col min="63" max="66" width="9.85546875" style="918" hidden="1" customWidth="1" outlineLevel="1"/>
    <col min="67" max="67" width="9.85546875" style="918" hidden="1" customWidth="1" collapsed="1"/>
    <col min="68" max="71" width="9.85546875" style="918" hidden="1" customWidth="1" outlineLevel="1"/>
    <col min="72" max="72" width="9.85546875" style="918" hidden="1" customWidth="1" collapsed="1"/>
    <col min="73" max="76" width="9.85546875" style="918" hidden="1" customWidth="1" outlineLevel="1"/>
    <col min="77" max="77" width="9.85546875" style="918" customWidth="1" collapsed="1"/>
    <col min="78" max="81" width="9.85546875" style="918" hidden="1" customWidth="1" outlineLevel="1"/>
    <col min="82" max="82" width="9.85546875" style="918" customWidth="1" collapsed="1"/>
    <col min="83" max="86" width="9.85546875" style="918" customWidth="1" outlineLevel="1"/>
    <col min="87" max="87" width="9.85546875" style="918" customWidth="1"/>
    <col min="88" max="91" width="9.85546875" style="918" customWidth="1" outlineLevel="1"/>
    <col min="92" max="92" width="9.85546875" style="918" customWidth="1"/>
    <col min="93" max="96" width="9.85546875" style="918" hidden="1" customWidth="1" outlineLevel="1"/>
    <col min="97" max="97" width="9.85546875" style="918" customWidth="1" collapsed="1"/>
    <col min="98" max="101" width="9.85546875" style="918" hidden="1" customWidth="1" outlineLevel="1"/>
    <col min="102" max="102" width="9.85546875" style="918" customWidth="1" collapsed="1"/>
    <col min="103" max="103" width="4.42578125" style="918" customWidth="1"/>
    <col min="104" max="111" width="8" style="918" hidden="1" customWidth="1" outlineLevel="1"/>
    <col min="112" max="112" width="9" style="918" hidden="1" customWidth="1" outlineLevel="1"/>
    <col min="113" max="114" width="9" style="918" hidden="1" customWidth="1" outlineLevel="1" collapsed="1"/>
    <col min="115" max="115" width="9" style="918" customWidth="1" collapsed="1"/>
    <col min="116" max="122" width="9" style="918" customWidth="1"/>
    <col min="123" max="148" width="8" style="918" customWidth="1"/>
    <col min="149" max="16384" width="8" style="251"/>
  </cols>
  <sheetData>
    <row r="1" spans="1:148" ht="20.25">
      <c r="A1" s="90" t="str">
        <f>IS!A2</f>
        <v>Microsoft</v>
      </c>
      <c r="B1" s="911"/>
      <c r="C1" s="911"/>
      <c r="D1" s="911"/>
      <c r="E1" s="911"/>
      <c r="F1" s="911"/>
      <c r="G1" s="911"/>
      <c r="H1" s="911"/>
      <c r="I1" s="911"/>
      <c r="J1" s="911"/>
      <c r="K1" s="911"/>
      <c r="L1" s="911"/>
      <c r="M1" s="911"/>
      <c r="N1" s="911"/>
      <c r="O1" s="911"/>
      <c r="P1" s="912"/>
      <c r="Q1" s="912"/>
      <c r="R1" s="912"/>
      <c r="S1" s="913"/>
      <c r="T1" s="913"/>
      <c r="U1" s="913"/>
      <c r="V1" s="913"/>
      <c r="W1" s="912"/>
      <c r="X1" s="911"/>
      <c r="Y1" s="911"/>
      <c r="Z1" s="913"/>
      <c r="AA1" s="913"/>
      <c r="AB1" s="912"/>
      <c r="AC1" s="911"/>
      <c r="AD1" s="914"/>
      <c r="AE1" s="913"/>
      <c r="AF1" s="913"/>
      <c r="AG1" s="913"/>
      <c r="AH1" s="911"/>
      <c r="AI1" s="911"/>
      <c r="AJ1" s="913"/>
      <c r="AK1" s="913"/>
      <c r="AL1" s="913"/>
      <c r="AM1" s="911"/>
      <c r="AN1" s="911"/>
      <c r="AO1" s="915"/>
      <c r="AP1" s="915"/>
      <c r="AQ1" s="915"/>
      <c r="AR1" s="915"/>
      <c r="AS1" s="915"/>
      <c r="AT1" s="915"/>
      <c r="AU1" s="915"/>
      <c r="AV1" s="915"/>
      <c r="AW1" s="916"/>
      <c r="AX1" s="915"/>
      <c r="AY1" s="915"/>
      <c r="AZ1" s="915"/>
      <c r="BA1" s="915"/>
      <c r="BB1" s="916"/>
      <c r="BC1" s="916"/>
      <c r="BD1" s="915"/>
      <c r="BE1" s="915"/>
      <c r="BF1" s="915"/>
      <c r="BG1" s="916"/>
      <c r="BH1" s="917"/>
      <c r="BI1" s="948"/>
      <c r="BJ1" s="947"/>
      <c r="BK1" s="949"/>
      <c r="BL1" s="988"/>
      <c r="BM1" s="988"/>
      <c r="BN1" s="948"/>
      <c r="BO1" s="1238"/>
      <c r="BP1" s="946"/>
      <c r="BQ1" s="946"/>
      <c r="BR1" s="1239"/>
      <c r="BS1" s="1239"/>
      <c r="BT1" s="1240"/>
      <c r="BU1" s="1239"/>
      <c r="BV1" s="1239"/>
      <c r="BW1" s="1239"/>
      <c r="BX1" s="1239"/>
      <c r="BY1" s="1240"/>
      <c r="BZ1" s="1239"/>
      <c r="CA1" s="1239"/>
      <c r="CB1" s="1239"/>
      <c r="CC1" s="1239"/>
      <c r="CD1" s="1240"/>
      <c r="CE1" s="1239"/>
      <c r="CF1" s="1239"/>
      <c r="CG1" s="1239"/>
      <c r="CH1" s="1239"/>
      <c r="CI1" s="1240"/>
      <c r="CJ1" s="1240"/>
      <c r="CK1" s="1240"/>
      <c r="CL1" s="1240"/>
      <c r="CM1" s="1240"/>
      <c r="CN1" s="1240"/>
      <c r="CO1" s="1240"/>
      <c r="CP1" s="1240"/>
      <c r="CQ1" s="1240"/>
      <c r="CR1" s="1240"/>
      <c r="CS1" s="1240"/>
      <c r="CT1" s="1240"/>
      <c r="CU1" s="1240"/>
      <c r="CV1" s="1240"/>
      <c r="CW1" s="1240"/>
      <c r="CX1" s="1240"/>
      <c r="CY1" s="919"/>
      <c r="CZ1" s="919"/>
      <c r="DA1" s="919"/>
      <c r="DB1" s="919"/>
      <c r="DC1" s="919"/>
      <c r="DD1" s="919"/>
      <c r="DE1" s="919"/>
      <c r="DF1" s="919"/>
      <c r="DG1" s="919"/>
      <c r="DH1" s="919"/>
      <c r="DI1" s="919"/>
      <c r="DJ1" s="911"/>
      <c r="DK1" s="915"/>
      <c r="DL1" s="915"/>
      <c r="DM1" s="915"/>
    </row>
    <row r="2" spans="1:148" ht="20.25">
      <c r="A2" s="91" t="s">
        <v>151</v>
      </c>
      <c r="B2" s="919"/>
      <c r="C2" s="919"/>
      <c r="D2" s="919"/>
      <c r="E2" s="919"/>
      <c r="F2" s="919"/>
      <c r="G2" s="919"/>
      <c r="H2" s="919"/>
      <c r="I2" s="919"/>
      <c r="J2" s="919"/>
      <c r="K2" s="919"/>
      <c r="L2" s="919"/>
      <c r="M2" s="919"/>
      <c r="N2" s="919"/>
      <c r="O2" s="919"/>
      <c r="P2" s="920"/>
      <c r="Q2" s="920"/>
      <c r="R2" s="920"/>
      <c r="S2" s="921"/>
      <c r="T2" s="921"/>
      <c r="U2" s="921"/>
      <c r="V2" s="921"/>
      <c r="W2" s="920"/>
      <c r="X2" s="919"/>
      <c r="Y2" s="922"/>
      <c r="Z2" s="921"/>
      <c r="AA2" s="921"/>
      <c r="AB2" s="923"/>
      <c r="AC2" s="919"/>
      <c r="AD2" s="922"/>
      <c r="AE2" s="921"/>
      <c r="AF2" s="921">
        <f>2013-2005</f>
        <v>8</v>
      </c>
      <c r="AG2" s="921"/>
      <c r="AH2" s="919"/>
      <c r="AI2" s="919"/>
      <c r="AJ2" s="921"/>
      <c r="AK2" s="921"/>
      <c r="AL2" s="921"/>
      <c r="AM2" s="919"/>
      <c r="AN2" s="919"/>
      <c r="AO2" s="916"/>
      <c r="AP2" s="916"/>
      <c r="AQ2" s="916"/>
      <c r="AR2" s="916"/>
      <c r="AS2" s="916"/>
      <c r="AT2" s="915"/>
      <c r="AU2" s="924"/>
      <c r="AV2" s="916"/>
      <c r="AW2" s="916"/>
      <c r="AX2" s="916"/>
      <c r="AY2" s="915"/>
      <c r="AZ2" s="924"/>
      <c r="BA2" s="916"/>
      <c r="BB2" s="924"/>
      <c r="BC2" s="924"/>
      <c r="BD2" s="916"/>
      <c r="BE2" s="924"/>
      <c r="BF2" s="916"/>
      <c r="BG2" s="924"/>
      <c r="BH2" s="916"/>
      <c r="BI2" s="916"/>
      <c r="BJ2" s="924"/>
      <c r="BK2" s="950"/>
      <c r="BL2" s="924"/>
      <c r="BM2" s="924"/>
      <c r="BN2" s="916"/>
      <c r="BO2" s="924"/>
      <c r="BP2" s="946"/>
      <c r="BQ2" s="946"/>
      <c r="BR2" s="1241"/>
      <c r="BS2" s="1239"/>
      <c r="BT2" s="1240"/>
      <c r="BU2" s="1239"/>
      <c r="BV2" s="1239"/>
      <c r="BW2" s="1239"/>
      <c r="BX2" s="1239"/>
      <c r="BY2" s="1240"/>
      <c r="BZ2" s="1239"/>
      <c r="CA2" s="1239"/>
      <c r="CB2" s="1239"/>
      <c r="CC2" s="1239"/>
      <c r="CD2" s="1240"/>
      <c r="CE2" s="1239"/>
      <c r="CF2" s="1239"/>
      <c r="CG2" s="1239"/>
      <c r="CH2" s="1239"/>
      <c r="CI2" s="1240"/>
      <c r="CJ2" s="1240"/>
      <c r="CK2" s="1240"/>
      <c r="CL2" s="1240"/>
      <c r="CM2" s="1240"/>
      <c r="CN2" s="1240"/>
      <c r="CO2" s="1240"/>
      <c r="CP2" s="1240"/>
      <c r="CQ2" s="1240"/>
      <c r="CR2" s="1240"/>
      <c r="CS2" s="1240"/>
      <c r="CT2" s="1240"/>
      <c r="CU2" s="1240"/>
      <c r="CV2" s="1240"/>
      <c r="CW2" s="1240"/>
      <c r="CX2" s="1240"/>
      <c r="CY2" s="919"/>
      <c r="CZ2" s="919"/>
      <c r="DA2" s="919"/>
      <c r="DB2" s="919"/>
      <c r="DC2" s="919"/>
      <c r="DD2" s="919"/>
      <c r="DE2" s="919"/>
      <c r="DF2" s="919"/>
      <c r="DG2" s="919"/>
      <c r="DH2" s="919"/>
      <c r="DI2" s="919"/>
      <c r="DJ2" s="919"/>
      <c r="DK2" s="916"/>
      <c r="DL2" s="925"/>
      <c r="DM2" s="916"/>
    </row>
    <row r="3" spans="1:148">
      <c r="A3" s="92" t="s">
        <v>681</v>
      </c>
      <c r="B3" s="919"/>
      <c r="C3" s="919"/>
      <c r="D3" s="919"/>
      <c r="E3" s="919"/>
      <c r="F3" s="919"/>
      <c r="G3" s="919"/>
      <c r="H3" s="919"/>
      <c r="I3" s="919"/>
      <c r="J3" s="919"/>
      <c r="K3" s="919"/>
      <c r="L3" s="919"/>
      <c r="M3" s="926"/>
      <c r="N3" s="926"/>
      <c r="O3" s="926"/>
      <c r="P3" s="923"/>
      <c r="Q3" s="920"/>
      <c r="R3" s="923"/>
      <c r="S3" s="927"/>
      <c r="T3" s="927"/>
      <c r="U3" s="927"/>
      <c r="V3" s="921"/>
      <c r="W3" s="923"/>
      <c r="X3" s="919"/>
      <c r="Y3" s="919"/>
      <c r="Z3" s="927"/>
      <c r="AA3" s="921"/>
      <c r="AB3" s="928"/>
      <c r="AC3" s="928"/>
      <c r="AD3" s="919"/>
      <c r="AE3" s="927"/>
      <c r="AF3" s="921"/>
      <c r="AG3" s="927"/>
      <c r="AH3" s="919"/>
      <c r="AI3" s="919"/>
      <c r="AJ3" s="927"/>
      <c r="AK3" s="921"/>
      <c r="AL3" s="927"/>
      <c r="AM3" s="919"/>
      <c r="AN3" s="919"/>
      <c r="AO3" s="929"/>
      <c r="AP3" s="916"/>
      <c r="AQ3" s="916"/>
      <c r="AR3" s="927"/>
      <c r="AS3" s="916"/>
      <c r="AT3" s="916"/>
      <c r="AU3" s="916"/>
      <c r="AV3" s="916"/>
      <c r="AW3" s="916"/>
      <c r="AX3" s="924"/>
      <c r="AY3" s="916"/>
      <c r="AZ3" s="916"/>
      <c r="BA3" s="916"/>
      <c r="BB3" s="921"/>
      <c r="BC3" s="921"/>
      <c r="BD3" s="916"/>
      <c r="BE3" s="916"/>
      <c r="BF3" s="916"/>
      <c r="BG3" s="921"/>
      <c r="BH3" s="916"/>
      <c r="BI3" s="916"/>
      <c r="BJ3" s="916"/>
      <c r="BK3" s="916"/>
      <c r="BL3" s="916"/>
      <c r="BM3" s="916"/>
      <c r="BN3" s="916"/>
      <c r="BO3" s="916"/>
      <c r="BP3" s="916"/>
      <c r="BQ3" s="916"/>
      <c r="BR3" s="916"/>
      <c r="BS3" s="916"/>
      <c r="BT3" s="916"/>
      <c r="BU3" s="916"/>
      <c r="BV3" s="916"/>
      <c r="BW3" s="916"/>
      <c r="BX3" s="916"/>
      <c r="BY3" s="916"/>
      <c r="BZ3" s="916"/>
      <c r="CA3" s="916"/>
      <c r="CB3" s="916"/>
      <c r="CC3" s="916"/>
      <c r="CD3" s="916"/>
      <c r="CE3" s="916"/>
      <c r="CF3" s="916"/>
      <c r="CG3" s="916"/>
      <c r="CH3" s="916"/>
      <c r="CI3" s="916"/>
      <c r="CJ3" s="916"/>
      <c r="CK3" s="916"/>
      <c r="CL3" s="916"/>
      <c r="CM3" s="916"/>
      <c r="CN3" s="916"/>
      <c r="CO3" s="916"/>
      <c r="CP3" s="916"/>
      <c r="CQ3" s="916"/>
      <c r="CR3" s="916"/>
      <c r="CS3" s="916"/>
      <c r="CT3" s="916"/>
      <c r="CU3" s="916"/>
      <c r="CV3" s="916"/>
      <c r="CW3" s="916"/>
      <c r="CX3" s="916"/>
      <c r="CY3" s="919"/>
      <c r="CZ3" s="919"/>
      <c r="DA3" s="919"/>
      <c r="DB3" s="919"/>
      <c r="DC3" s="919"/>
      <c r="DD3" s="919"/>
      <c r="DE3" s="919"/>
      <c r="DF3" s="919"/>
      <c r="DG3" s="919"/>
      <c r="DH3" s="919"/>
      <c r="DI3" s="919"/>
      <c r="DJ3" s="919"/>
      <c r="DK3" s="916"/>
      <c r="DL3" s="916"/>
      <c r="DM3" s="916"/>
    </row>
    <row r="4" spans="1:148" ht="24">
      <c r="A4" s="3020" t="s">
        <v>1458</v>
      </c>
      <c r="B4" s="919"/>
      <c r="C4" s="919"/>
      <c r="D4" s="919"/>
      <c r="E4" s="919"/>
      <c r="F4" s="919"/>
      <c r="G4" s="919"/>
      <c r="H4" s="919"/>
      <c r="I4" s="919"/>
      <c r="J4" s="919"/>
      <c r="K4" s="919"/>
      <c r="L4" s="919"/>
      <c r="M4" s="919"/>
      <c r="N4" s="919"/>
      <c r="O4" s="919"/>
      <c r="P4" s="920"/>
      <c r="Q4" s="920"/>
      <c r="R4" s="920"/>
      <c r="S4" s="921"/>
      <c r="T4" s="921"/>
      <c r="U4" s="921"/>
      <c r="V4" s="921"/>
      <c r="W4" s="920"/>
      <c r="X4" s="919"/>
      <c r="Y4" s="919"/>
      <c r="Z4" s="921"/>
      <c r="AA4" s="921"/>
      <c r="AB4" s="920"/>
      <c r="AC4" s="919"/>
      <c r="AD4" s="919"/>
      <c r="AE4" s="921"/>
      <c r="AF4" s="921"/>
      <c r="AG4" s="921"/>
      <c r="AH4" s="919"/>
      <c r="AI4" s="919"/>
      <c r="AJ4" s="921"/>
      <c r="AK4" s="921"/>
      <c r="AL4" s="921"/>
      <c r="AM4" s="919"/>
      <c r="AN4" s="919"/>
      <c r="AO4" s="916"/>
      <c r="AP4" s="916"/>
      <c r="AQ4" s="916"/>
      <c r="AR4" s="916"/>
      <c r="AS4" s="916"/>
      <c r="AT4" s="916"/>
      <c r="AU4" s="916"/>
      <c r="AV4" s="916"/>
      <c r="AW4" s="916"/>
      <c r="AX4" s="916"/>
      <c r="AY4" s="916"/>
      <c r="AZ4" s="916"/>
      <c r="BA4" s="916"/>
      <c r="BB4" s="916"/>
      <c r="BC4" s="916"/>
      <c r="BD4" s="916"/>
      <c r="BE4" s="916"/>
      <c r="BF4" s="916"/>
      <c r="BG4" s="916"/>
      <c r="BH4" s="916"/>
      <c r="BI4" s="916"/>
      <c r="BJ4" s="916"/>
      <c r="BK4" s="916"/>
      <c r="BL4" s="916"/>
      <c r="BM4" s="916"/>
      <c r="BN4" s="916"/>
      <c r="BO4" s="916"/>
      <c r="BP4" s="916"/>
      <c r="BQ4" s="916"/>
      <c r="BR4" s="916"/>
      <c r="BS4" s="916"/>
      <c r="BT4" s="916"/>
      <c r="BU4" s="916"/>
      <c r="BV4" s="916"/>
      <c r="BW4" s="916"/>
      <c r="BX4" s="916"/>
      <c r="BY4" s="916"/>
      <c r="BZ4" s="916"/>
      <c r="CA4" s="916"/>
      <c r="CB4" s="916"/>
      <c r="CC4" s="916"/>
      <c r="CD4" s="916"/>
      <c r="CE4" s="916"/>
      <c r="CF4" s="916"/>
      <c r="CG4" s="916"/>
      <c r="CH4" s="916"/>
      <c r="CI4" s="916"/>
      <c r="CJ4" s="916"/>
      <c r="CK4" s="916"/>
      <c r="CL4" s="916"/>
      <c r="CM4" s="916"/>
      <c r="CN4" s="916"/>
      <c r="CO4" s="916"/>
      <c r="CP4" s="916"/>
      <c r="CQ4" s="916"/>
      <c r="CR4" s="916"/>
      <c r="CS4" s="916"/>
      <c r="CT4" s="916"/>
      <c r="CU4" s="916"/>
      <c r="CV4" s="916"/>
      <c r="CW4" s="916"/>
      <c r="CX4" s="916"/>
      <c r="CY4" s="919"/>
      <c r="CZ4" s="919"/>
      <c r="DA4" s="919"/>
      <c r="DB4" s="919"/>
      <c r="DC4" s="919"/>
      <c r="DD4" s="919"/>
      <c r="DE4" s="919"/>
      <c r="DF4" s="919"/>
      <c r="DG4" s="919"/>
      <c r="DH4" s="919"/>
      <c r="DI4" s="919"/>
      <c r="DJ4" s="919"/>
      <c r="DK4" s="916"/>
      <c r="DL4" s="916"/>
      <c r="DM4" s="916"/>
    </row>
    <row r="5" spans="1:148" ht="6" customHeight="1">
      <c r="A5" s="911"/>
      <c r="B5" s="911"/>
      <c r="C5" s="911"/>
      <c r="D5" s="911"/>
      <c r="E5" s="911"/>
      <c r="F5" s="911"/>
      <c r="G5" s="911"/>
      <c r="H5" s="911"/>
      <c r="I5" s="911"/>
      <c r="J5" s="911"/>
      <c r="K5" s="911"/>
      <c r="L5" s="911"/>
      <c r="M5" s="911"/>
      <c r="N5" s="911"/>
      <c r="O5" s="911"/>
      <c r="P5" s="912"/>
      <c r="Q5" s="912"/>
      <c r="R5" s="912"/>
      <c r="S5" s="913"/>
      <c r="T5" s="913"/>
      <c r="U5" s="913"/>
      <c r="V5" s="913"/>
      <c r="W5" s="912"/>
      <c r="X5" s="911"/>
      <c r="Y5" s="911"/>
      <c r="Z5" s="913"/>
      <c r="AA5" s="913"/>
      <c r="AB5" s="912"/>
      <c r="AC5" s="911"/>
      <c r="AD5" s="911"/>
      <c r="AE5" s="913"/>
      <c r="AF5" s="913"/>
      <c r="AG5" s="913"/>
      <c r="AH5" s="911"/>
      <c r="AI5" s="911"/>
      <c r="AJ5" s="913"/>
      <c r="AK5" s="913"/>
      <c r="AL5" s="913"/>
      <c r="AM5" s="911"/>
      <c r="AN5" s="911"/>
      <c r="AO5" s="915"/>
      <c r="AP5" s="915"/>
      <c r="AQ5" s="915"/>
      <c r="AR5" s="915"/>
      <c r="AS5" s="915"/>
      <c r="AT5" s="915"/>
      <c r="AU5" s="915"/>
      <c r="AV5" s="915"/>
      <c r="AW5" s="915"/>
      <c r="AX5" s="915"/>
      <c r="AY5" s="915"/>
      <c r="AZ5" s="915"/>
      <c r="BA5" s="915"/>
      <c r="BB5" s="915"/>
      <c r="BC5" s="915"/>
      <c r="BD5" s="915"/>
      <c r="BE5" s="915"/>
      <c r="BF5" s="915"/>
      <c r="BG5" s="915"/>
      <c r="BH5" s="915"/>
      <c r="BI5" s="915"/>
      <c r="BJ5" s="915"/>
      <c r="BK5" s="915"/>
      <c r="BL5" s="915"/>
      <c r="BM5" s="915"/>
      <c r="BN5" s="915"/>
      <c r="BO5" s="915"/>
      <c r="BP5" s="915"/>
      <c r="BQ5" s="915"/>
      <c r="BR5" s="915"/>
      <c r="BS5" s="915"/>
      <c r="BT5" s="915"/>
      <c r="BU5" s="915"/>
      <c r="BV5" s="915"/>
      <c r="BW5" s="915"/>
      <c r="BX5" s="915"/>
      <c r="BY5" s="915"/>
      <c r="BZ5" s="915"/>
      <c r="CA5" s="915"/>
      <c r="CB5" s="915"/>
      <c r="CC5" s="915"/>
      <c r="CD5" s="915"/>
      <c r="CE5" s="915"/>
      <c r="CF5" s="915"/>
      <c r="CG5" s="915"/>
      <c r="CH5" s="915"/>
      <c r="CI5" s="915"/>
      <c r="CJ5" s="915"/>
      <c r="CK5" s="915"/>
      <c r="CL5" s="915"/>
      <c r="CM5" s="915"/>
      <c r="CN5" s="915"/>
      <c r="CO5" s="915"/>
      <c r="CP5" s="915"/>
      <c r="CQ5" s="915"/>
      <c r="CR5" s="915"/>
      <c r="CS5" s="915"/>
      <c r="CT5" s="915"/>
      <c r="CU5" s="915"/>
      <c r="CV5" s="915"/>
      <c r="CW5" s="915"/>
      <c r="CX5" s="915"/>
      <c r="CY5" s="911"/>
      <c r="CZ5" s="911"/>
      <c r="DA5" s="911"/>
      <c r="DB5" s="911"/>
      <c r="DC5" s="911"/>
      <c r="DD5" s="911"/>
      <c r="DE5" s="911"/>
      <c r="DF5" s="911"/>
      <c r="DG5" s="911"/>
      <c r="DH5" s="911"/>
      <c r="DI5" s="911"/>
      <c r="DJ5" s="911"/>
      <c r="DK5" s="915"/>
      <c r="DL5" s="915"/>
      <c r="DM5" s="915"/>
    </row>
    <row r="6" spans="1:148" s="934" customFormat="1" ht="12">
      <c r="A6" s="80" t="s">
        <v>161</v>
      </c>
      <c r="B6" s="10" t="s">
        <v>109</v>
      </c>
      <c r="C6" s="11"/>
      <c r="D6" s="11"/>
      <c r="E6" s="11"/>
      <c r="F6" s="11"/>
      <c r="G6" s="10" t="s">
        <v>109</v>
      </c>
      <c r="H6" s="11"/>
      <c r="I6" s="11"/>
      <c r="J6" s="11"/>
      <c r="K6" s="11"/>
      <c r="L6" s="10" t="s">
        <v>109</v>
      </c>
      <c r="M6" s="11"/>
      <c r="N6" s="11"/>
      <c r="O6" s="11"/>
      <c r="P6" s="12"/>
      <c r="Q6" s="13" t="s">
        <v>109</v>
      </c>
      <c r="R6" s="14"/>
      <c r="S6" s="14"/>
      <c r="T6" s="15"/>
      <c r="U6" s="15"/>
      <c r="V6" s="16" t="s">
        <v>109</v>
      </c>
      <c r="W6" s="14">
        <f>'Client Unit Model'!H187</f>
        <v>3209.0281340459733</v>
      </c>
      <c r="X6" s="14">
        <f>'Client Unit Model'!I187</f>
        <v>3498.213055276613</v>
      </c>
      <c r="Y6" s="14">
        <f>'Client Unit Model'!J187</f>
        <v>3208.409853812142</v>
      </c>
      <c r="Z6" s="14">
        <f>'Client Unit Model'!K187</f>
        <v>3403.4621386923627</v>
      </c>
      <c r="AA6" s="14">
        <f>SUM(W6:Z6)</f>
        <v>13319.113181827091</v>
      </c>
      <c r="AB6" s="14">
        <f>'Client Unit Model'!L187</f>
        <v>3415.0423701462514</v>
      </c>
      <c r="AC6" s="14">
        <f>'Client Unit Model'!M187</f>
        <v>3716.9558890871444</v>
      </c>
      <c r="AD6" s="14">
        <f>'Client Unit Model'!N187</f>
        <v>4227.3071616770012</v>
      </c>
      <c r="AE6" s="14">
        <f>'Client Unit Model'!O187</f>
        <v>3892.8701608668375</v>
      </c>
      <c r="AF6" s="14">
        <f>SUM(AB6:AE6)</f>
        <v>15252.175581777235</v>
      </c>
      <c r="AG6" s="15"/>
      <c r="AH6" s="14"/>
      <c r="AI6" s="14"/>
      <c r="AJ6" s="15"/>
      <c r="AK6" s="16" t="s">
        <v>109</v>
      </c>
      <c r="AL6" s="15"/>
      <c r="AM6" s="14"/>
      <c r="AN6" s="14"/>
      <c r="AO6" s="15"/>
      <c r="AP6" s="16" t="s">
        <v>109</v>
      </c>
      <c r="AQ6" s="17"/>
      <c r="AR6" s="17"/>
      <c r="AS6" s="17"/>
      <c r="AT6" s="17"/>
      <c r="AU6" s="16" t="s">
        <v>109</v>
      </c>
      <c r="AV6" s="17"/>
      <c r="AW6" s="17"/>
      <c r="AX6" s="17"/>
      <c r="AY6" s="17"/>
      <c r="AZ6" s="16" t="s">
        <v>109</v>
      </c>
      <c r="BA6" s="17"/>
      <c r="BB6" s="17"/>
      <c r="BC6" s="17"/>
      <c r="BD6" s="17"/>
      <c r="BE6" s="16" t="s">
        <v>109</v>
      </c>
      <c r="BF6" s="17"/>
      <c r="BG6" s="17"/>
      <c r="BH6" s="17"/>
      <c r="BI6" s="17"/>
      <c r="BJ6" s="10" t="s">
        <v>109</v>
      </c>
      <c r="BK6" s="17"/>
      <c r="BL6" s="17"/>
      <c r="BM6" s="17"/>
      <c r="BN6" s="17"/>
      <c r="BO6" s="10" t="s">
        <v>109</v>
      </c>
      <c r="BP6" s="17"/>
      <c r="BQ6" s="17"/>
      <c r="BR6" s="17"/>
      <c r="BS6" s="17"/>
      <c r="BT6" s="10" t="s">
        <v>109</v>
      </c>
      <c r="BU6" s="17"/>
      <c r="BV6" s="17"/>
      <c r="BW6" s="17"/>
      <c r="BX6" s="17"/>
      <c r="BY6" s="18" t="s">
        <v>109</v>
      </c>
      <c r="BZ6" s="17"/>
      <c r="CA6" s="17"/>
      <c r="CB6" s="17"/>
      <c r="CC6" s="17"/>
      <c r="CD6" s="18" t="s">
        <v>109</v>
      </c>
      <c r="CE6" s="17"/>
      <c r="CF6" s="17"/>
      <c r="CG6" s="17"/>
      <c r="CH6" s="17"/>
      <c r="CI6" s="18" t="s">
        <v>109</v>
      </c>
      <c r="CJ6" s="17"/>
      <c r="CK6" s="17"/>
      <c r="CL6" s="17"/>
      <c r="CM6" s="17"/>
      <c r="CN6" s="18" t="s">
        <v>109</v>
      </c>
      <c r="CO6" s="17"/>
      <c r="CP6" s="17"/>
      <c r="CQ6" s="17"/>
      <c r="CR6" s="17"/>
      <c r="CS6" s="18" t="s">
        <v>109</v>
      </c>
      <c r="CT6" s="17"/>
      <c r="CU6" s="17"/>
      <c r="CV6" s="17"/>
      <c r="CW6" s="17"/>
      <c r="CX6" s="18" t="s">
        <v>109</v>
      </c>
      <c r="CY6" s="15"/>
      <c r="CZ6" s="15"/>
      <c r="DA6" s="16" t="s">
        <v>820</v>
      </c>
      <c r="DB6" s="16" t="s">
        <v>820</v>
      </c>
      <c r="DC6" s="16" t="s">
        <v>820</v>
      </c>
      <c r="DD6" s="16" t="s">
        <v>820</v>
      </c>
      <c r="DE6" s="16" t="s">
        <v>820</v>
      </c>
      <c r="DF6" s="16" t="s">
        <v>820</v>
      </c>
      <c r="DG6" s="16" t="s">
        <v>820</v>
      </c>
      <c r="DH6" s="10" t="s">
        <v>820</v>
      </c>
      <c r="DI6" s="10" t="s">
        <v>820</v>
      </c>
      <c r="DJ6" s="10" t="s">
        <v>820</v>
      </c>
      <c r="DK6" s="18" t="s">
        <v>820</v>
      </c>
      <c r="DL6" s="18" t="s">
        <v>820</v>
      </c>
      <c r="DM6" s="18" t="s">
        <v>820</v>
      </c>
      <c r="DN6" s="18" t="s">
        <v>820</v>
      </c>
      <c r="DO6" s="18" t="s">
        <v>820</v>
      </c>
      <c r="DP6" s="18" t="s">
        <v>820</v>
      </c>
      <c r="DQ6" s="18" t="s">
        <v>820</v>
      </c>
      <c r="DR6" s="3071"/>
      <c r="DS6" s="264"/>
      <c r="DT6" s="264"/>
      <c r="DU6" s="264"/>
      <c r="DV6" s="264"/>
      <c r="DW6" s="264"/>
      <c r="DX6" s="264"/>
      <c r="DY6" s="264"/>
      <c r="DZ6" s="264"/>
      <c r="EA6" s="264"/>
      <c r="EB6" s="264"/>
      <c r="EC6" s="264"/>
      <c r="ED6" s="264"/>
      <c r="EE6" s="264"/>
      <c r="EF6" s="264"/>
      <c r="EG6" s="264"/>
      <c r="EH6" s="264"/>
      <c r="EI6" s="264"/>
      <c r="EJ6" s="264"/>
      <c r="EK6" s="264"/>
      <c r="EL6" s="264"/>
      <c r="EM6" s="264"/>
      <c r="EN6" s="264"/>
      <c r="EO6" s="264"/>
      <c r="EP6" s="264"/>
      <c r="EQ6" s="264"/>
      <c r="ER6" s="264"/>
    </row>
    <row r="7" spans="1:148" s="934" customFormat="1" ht="12">
      <c r="A7" s="82"/>
      <c r="B7" s="20">
        <v>2001</v>
      </c>
      <c r="C7" s="21">
        <v>37164</v>
      </c>
      <c r="D7" s="21">
        <v>37256</v>
      </c>
      <c r="E7" s="21">
        <v>37316</v>
      </c>
      <c r="F7" s="21">
        <v>37408</v>
      </c>
      <c r="G7" s="20">
        <v>2002</v>
      </c>
      <c r="H7" s="21">
        <v>37529</v>
      </c>
      <c r="I7" s="21">
        <v>37621</v>
      </c>
      <c r="J7" s="21">
        <v>37681</v>
      </c>
      <c r="K7" s="21">
        <v>37773</v>
      </c>
      <c r="L7" s="20">
        <v>2003</v>
      </c>
      <c r="M7" s="21">
        <v>37894</v>
      </c>
      <c r="N7" s="21">
        <v>37986</v>
      </c>
      <c r="O7" s="21">
        <v>38047</v>
      </c>
      <c r="P7" s="22">
        <v>38139</v>
      </c>
      <c r="Q7" s="23">
        <v>2004</v>
      </c>
      <c r="R7" s="21">
        <v>38260</v>
      </c>
      <c r="S7" s="24">
        <v>38352</v>
      </c>
      <c r="T7" s="21">
        <v>38412</v>
      </c>
      <c r="U7" s="21">
        <v>38504</v>
      </c>
      <c r="V7" s="25">
        <v>2005</v>
      </c>
      <c r="W7" s="21">
        <v>38625</v>
      </c>
      <c r="X7" s="24">
        <v>38717</v>
      </c>
      <c r="Y7" s="24">
        <v>38777</v>
      </c>
      <c r="Z7" s="21">
        <v>38869</v>
      </c>
      <c r="AA7" s="25">
        <v>2006</v>
      </c>
      <c r="AB7" s="21">
        <v>38990</v>
      </c>
      <c r="AC7" s="24">
        <v>39082</v>
      </c>
      <c r="AD7" s="24">
        <v>39142</v>
      </c>
      <c r="AE7" s="21">
        <v>39234</v>
      </c>
      <c r="AF7" s="180">
        <v>2007</v>
      </c>
      <c r="AG7" s="21">
        <v>39355</v>
      </c>
      <c r="AH7" s="24">
        <v>39447</v>
      </c>
      <c r="AI7" s="24">
        <v>39508</v>
      </c>
      <c r="AJ7" s="21">
        <v>39600</v>
      </c>
      <c r="AK7" s="180">
        <v>2008</v>
      </c>
      <c r="AL7" s="21">
        <v>39692</v>
      </c>
      <c r="AM7" s="24">
        <v>39783</v>
      </c>
      <c r="AN7" s="24">
        <v>39873</v>
      </c>
      <c r="AO7" s="21">
        <v>39965</v>
      </c>
      <c r="AP7" s="180">
        <v>2009</v>
      </c>
      <c r="AQ7" s="21">
        <v>40057</v>
      </c>
      <c r="AR7" s="199" t="str">
        <f>IS!DF7</f>
        <v>Dec-09</v>
      </c>
      <c r="AS7" s="199" t="str">
        <f>IS!DG7</f>
        <v>Mar-10</v>
      </c>
      <c r="AT7" s="199" t="str">
        <f>IS!DH7</f>
        <v>Jun-10</v>
      </c>
      <c r="AU7" s="180">
        <v>2010</v>
      </c>
      <c r="AV7" s="21">
        <v>40422</v>
      </c>
      <c r="AW7" s="21">
        <v>40513</v>
      </c>
      <c r="AX7" s="21">
        <v>40603</v>
      </c>
      <c r="AY7" s="199" t="str">
        <f>IS!DM7</f>
        <v>Jun-11</v>
      </c>
      <c r="AZ7" s="180">
        <v>2011</v>
      </c>
      <c r="BA7" s="21">
        <v>40787</v>
      </c>
      <c r="BB7" s="21">
        <v>40878</v>
      </c>
      <c r="BC7" s="21">
        <v>40969</v>
      </c>
      <c r="BD7" s="21">
        <v>41061</v>
      </c>
      <c r="BE7" s="180">
        <v>2012</v>
      </c>
      <c r="BF7" s="21">
        <v>41153</v>
      </c>
      <c r="BG7" s="21">
        <v>41244</v>
      </c>
      <c r="BH7" s="21">
        <v>41334</v>
      </c>
      <c r="BI7" s="21">
        <v>41426</v>
      </c>
      <c r="BJ7" s="180">
        <v>2013</v>
      </c>
      <c r="BK7" s="21" t="str">
        <f>IS!DY7</f>
        <v>Sep-13</v>
      </c>
      <c r="BL7" s="21" t="str">
        <f>IS!DZ7</f>
        <v>Dec-13</v>
      </c>
      <c r="BM7" s="21" t="str">
        <f>IS!EA7</f>
        <v>Mar-14</v>
      </c>
      <c r="BN7" s="21" t="str">
        <f>IS!EB7</f>
        <v>Jun-14</v>
      </c>
      <c r="BO7" s="180" t="str">
        <f>IS!EC7</f>
        <v>2014</v>
      </c>
      <c r="BP7" s="21" t="str">
        <f>IS!ED7</f>
        <v>Sep-14</v>
      </c>
      <c r="BQ7" s="21" t="str">
        <f>IS!EE7</f>
        <v>Dec-14</v>
      </c>
      <c r="BR7" s="21" t="str">
        <f>IS!EF7</f>
        <v>Mar-15</v>
      </c>
      <c r="BS7" s="21" t="str">
        <f>IS!EG7</f>
        <v>Jun-15</v>
      </c>
      <c r="BT7" s="199" t="str">
        <f>IS!EH7</f>
        <v>2015</v>
      </c>
      <c r="BU7" s="21" t="str">
        <f>IS!EI7</f>
        <v>Sep-15</v>
      </c>
      <c r="BV7" s="21" t="str">
        <f>IS!EJ7</f>
        <v>Dec-15</v>
      </c>
      <c r="BW7" s="26" t="str">
        <f>IS!EK7</f>
        <v>Mar-16</v>
      </c>
      <c r="BX7" s="26" t="str">
        <f>IS!EL7</f>
        <v>Jun-16</v>
      </c>
      <c r="BY7" s="26" t="str">
        <f>IS!EM7</f>
        <v>2016</v>
      </c>
      <c r="BZ7" s="26" t="str">
        <f>IS!EN7</f>
        <v>Sep-16</v>
      </c>
      <c r="CA7" s="26" t="str">
        <f>IS!EO7</f>
        <v>Dec-16</v>
      </c>
      <c r="CB7" s="26" t="str">
        <f>IS!EP7</f>
        <v>Mar-17</v>
      </c>
      <c r="CC7" s="26" t="str">
        <f>IS!EQ7</f>
        <v>Jun-17</v>
      </c>
      <c r="CD7" s="26" t="str">
        <f>IS!ER7</f>
        <v>2017</v>
      </c>
      <c r="CE7" s="26" t="str">
        <f>IS!ES7</f>
        <v>Sep-17</v>
      </c>
      <c r="CF7" s="26" t="str">
        <f>IS!ET7</f>
        <v>Dec-17</v>
      </c>
      <c r="CG7" s="26" t="str">
        <f>IS!EU7</f>
        <v>Mar-18</v>
      </c>
      <c r="CH7" s="26" t="str">
        <f>IS!EV7</f>
        <v>Jun-18E</v>
      </c>
      <c r="CI7" s="26" t="str">
        <f>IS!EW7</f>
        <v>2018E</v>
      </c>
      <c r="CJ7" s="26" t="str">
        <f>IS!EX7</f>
        <v>Sep-18E</v>
      </c>
      <c r="CK7" s="26" t="str">
        <f>IS!EY7</f>
        <v>Dec-18E</v>
      </c>
      <c r="CL7" s="26" t="str">
        <f>IS!EZ7</f>
        <v>Mar-19E</v>
      </c>
      <c r="CM7" s="26" t="str">
        <f>IS!FA7</f>
        <v>Jun-19E</v>
      </c>
      <c r="CN7" s="26" t="str">
        <f>IS!FB7</f>
        <v>2019E</v>
      </c>
      <c r="CO7" s="26" t="str">
        <f>IS!FC7</f>
        <v>Sep-19E</v>
      </c>
      <c r="CP7" s="26" t="str">
        <f>IS!FD7</f>
        <v>Dec-19E</v>
      </c>
      <c r="CQ7" s="26" t="str">
        <f>IS!FE7</f>
        <v>Mar-20E</v>
      </c>
      <c r="CR7" s="26" t="str">
        <f>IS!FF7</f>
        <v>Jun-20E</v>
      </c>
      <c r="CS7" s="26" t="str">
        <f>IS!FG7</f>
        <v>2020E</v>
      </c>
      <c r="CT7" s="26" t="str">
        <f>IS!FH7</f>
        <v>Sep-20E</v>
      </c>
      <c r="CU7" s="26" t="str">
        <f>IS!FI7</f>
        <v>Dec-20E</v>
      </c>
      <c r="CV7" s="26" t="str">
        <f>IS!FJ7</f>
        <v>Mar-21E</v>
      </c>
      <c r="CW7" s="26" t="str">
        <f>IS!FK7</f>
        <v>Jun-21E</v>
      </c>
      <c r="CX7" s="26" t="str">
        <f>IS!FL7</f>
        <v>2021E</v>
      </c>
      <c r="CY7" s="19"/>
      <c r="CZ7" s="19"/>
      <c r="DA7" s="180">
        <v>2004</v>
      </c>
      <c r="DB7" s="180">
        <v>2005</v>
      </c>
      <c r="DC7" s="180">
        <v>2006</v>
      </c>
      <c r="DD7" s="180">
        <v>2007</v>
      </c>
      <c r="DE7" s="180">
        <v>2008</v>
      </c>
      <c r="DF7" s="180">
        <v>2009</v>
      </c>
      <c r="DG7" s="180">
        <v>2010</v>
      </c>
      <c r="DH7" s="839">
        <v>2011</v>
      </c>
      <c r="DI7" s="839">
        <v>2012</v>
      </c>
      <c r="DJ7" s="839">
        <v>2013</v>
      </c>
      <c r="DK7" s="839">
        <v>2014</v>
      </c>
      <c r="DL7" s="27" t="s">
        <v>1425</v>
      </c>
      <c r="DM7" s="27" t="s">
        <v>1426</v>
      </c>
      <c r="DN7" s="27">
        <v>2017</v>
      </c>
      <c r="DO7" s="27">
        <v>2018</v>
      </c>
      <c r="DP7" s="27">
        <v>2019</v>
      </c>
      <c r="DQ7" s="27">
        <v>2020</v>
      </c>
      <c r="DR7" s="3072"/>
      <c r="DS7" s="264"/>
      <c r="DT7" s="264"/>
      <c r="DU7" s="264"/>
      <c r="DV7" s="264"/>
      <c r="DW7" s="264"/>
      <c r="DX7" s="264"/>
      <c r="DY7" s="264"/>
      <c r="DZ7" s="264"/>
      <c r="EA7" s="264"/>
      <c r="EB7" s="264"/>
      <c r="EC7" s="264"/>
      <c r="ED7" s="264"/>
      <c r="EE7" s="264"/>
      <c r="EF7" s="264"/>
      <c r="EG7" s="264"/>
      <c r="EH7" s="264"/>
      <c r="EI7" s="264"/>
      <c r="EJ7" s="264"/>
      <c r="EK7" s="264"/>
      <c r="EL7" s="264"/>
      <c r="EM7" s="264"/>
      <c r="EN7" s="264"/>
      <c r="EO7" s="264"/>
      <c r="EP7" s="264"/>
      <c r="EQ7" s="264"/>
      <c r="ER7" s="264"/>
    </row>
    <row r="8" spans="1:148" s="934" customFormat="1" ht="12">
      <c r="A8" s="1255" t="s">
        <v>1042</v>
      </c>
      <c r="B8" s="1256"/>
      <c r="C8" s="1257"/>
      <c r="D8" s="1257"/>
      <c r="E8" s="1257"/>
      <c r="F8" s="1257"/>
      <c r="G8" s="1256"/>
      <c r="H8" s="1257"/>
      <c r="I8" s="1257"/>
      <c r="J8" s="1257"/>
      <c r="K8" s="1257"/>
      <c r="L8" s="1256"/>
      <c r="M8" s="1257"/>
      <c r="N8" s="1257"/>
      <c r="O8" s="1257"/>
      <c r="P8" s="1258"/>
      <c r="Q8" s="1259"/>
      <c r="R8" s="1257"/>
      <c r="S8" s="1260"/>
      <c r="T8" s="1257"/>
      <c r="U8" s="1257"/>
      <c r="V8" s="1261"/>
      <c r="W8" s="1257"/>
      <c r="X8" s="1260"/>
      <c r="Y8" s="1260"/>
      <c r="Z8" s="1257"/>
      <c r="AA8" s="1261"/>
      <c r="AB8" s="1257"/>
      <c r="AC8" s="1260"/>
      <c r="AD8" s="1260"/>
      <c r="AE8" s="1257"/>
      <c r="AF8" s="1262"/>
      <c r="AG8" s="1257"/>
      <c r="AH8" s="1260"/>
      <c r="AI8" s="1260"/>
      <c r="AJ8" s="1257"/>
      <c r="AK8" s="1262"/>
      <c r="AL8" s="1257"/>
      <c r="AM8" s="1260"/>
      <c r="AN8" s="1260"/>
      <c r="AO8" s="1257"/>
      <c r="AP8" s="1262"/>
      <c r="AQ8" s="1257"/>
      <c r="AR8" s="1263"/>
      <c r="AS8" s="1263"/>
      <c r="AT8" s="1263"/>
      <c r="AU8" s="1262"/>
      <c r="AV8" s="1257"/>
      <c r="AW8" s="1257"/>
      <c r="AX8" s="1257"/>
      <c r="AY8" s="1263"/>
      <c r="AZ8" s="1262"/>
      <c r="BA8" s="1257"/>
      <c r="BB8" s="1257"/>
      <c r="BC8" s="1257"/>
      <c r="BD8" s="1257"/>
      <c r="BE8" s="1262"/>
      <c r="BF8" s="1257"/>
      <c r="BG8" s="1257"/>
      <c r="BH8" s="1257"/>
      <c r="BI8" s="1257"/>
      <c r="BJ8" s="1262"/>
      <c r="BK8" s="1257"/>
      <c r="BL8" s="1257"/>
      <c r="BM8" s="1257"/>
      <c r="BN8" s="1257"/>
      <c r="BO8" s="1262"/>
      <c r="BP8" s="1257"/>
      <c r="BQ8" s="1257"/>
      <c r="BR8" s="1257"/>
      <c r="BS8" s="1257"/>
      <c r="BT8" s="1263"/>
      <c r="BU8" s="1257"/>
      <c r="BV8" s="1257"/>
      <c r="BW8" s="1264"/>
      <c r="BX8" s="1264"/>
      <c r="BY8" s="1264"/>
      <c r="BZ8" s="1264"/>
      <c r="CA8" s="1264"/>
      <c r="CB8" s="1264"/>
      <c r="CC8" s="1264"/>
      <c r="CD8" s="1264"/>
      <c r="CE8" s="1264"/>
      <c r="CF8" s="1264"/>
      <c r="CG8" s="1264"/>
      <c r="CH8" s="1264"/>
      <c r="CI8" s="1264"/>
      <c r="CJ8" s="1264"/>
      <c r="CK8" s="1264"/>
      <c r="CL8" s="1264"/>
      <c r="CM8" s="1264"/>
      <c r="CN8" s="1264"/>
      <c r="CO8" s="1264"/>
      <c r="CP8" s="1264"/>
      <c r="CQ8" s="1264"/>
      <c r="CR8" s="1264"/>
      <c r="CS8" s="1264"/>
      <c r="CT8" s="1264"/>
      <c r="CU8" s="1264"/>
      <c r="CV8" s="1264"/>
      <c r="CW8" s="1264"/>
      <c r="CX8" s="1264"/>
      <c r="CY8" s="1265"/>
      <c r="CZ8" s="1265"/>
      <c r="DA8" s="1262"/>
      <c r="DB8" s="1262"/>
      <c r="DC8" s="1262"/>
      <c r="DD8" s="1262"/>
      <c r="DE8" s="1262"/>
      <c r="DF8" s="1262"/>
      <c r="DG8" s="1262"/>
      <c r="DH8" s="1266"/>
      <c r="DI8" s="1266"/>
      <c r="DJ8" s="1266"/>
      <c r="DK8" s="1267"/>
      <c r="DL8" s="1267"/>
      <c r="DM8" s="1267"/>
      <c r="DN8" s="1267"/>
      <c r="DO8" s="1267"/>
      <c r="DP8" s="1267"/>
      <c r="DQ8" s="1267"/>
      <c r="DR8" s="1267"/>
      <c r="DS8" s="264"/>
      <c r="DT8" s="264"/>
      <c r="DU8" s="264"/>
      <c r="DV8" s="264"/>
      <c r="DW8" s="264"/>
      <c r="DX8" s="264"/>
      <c r="DY8" s="264"/>
      <c r="DZ8" s="264"/>
      <c r="EA8" s="264"/>
      <c r="EB8" s="264"/>
      <c r="EC8" s="264"/>
      <c r="ED8" s="264"/>
      <c r="EE8" s="264"/>
      <c r="EF8" s="264"/>
      <c r="EG8" s="264"/>
      <c r="EH8" s="264"/>
      <c r="EI8" s="264"/>
      <c r="EJ8" s="264"/>
      <c r="EK8" s="264"/>
      <c r="EL8" s="264"/>
      <c r="EM8" s="264"/>
      <c r="EN8" s="264"/>
      <c r="EO8" s="264"/>
      <c r="EP8" s="264"/>
      <c r="EQ8" s="264"/>
      <c r="ER8" s="264"/>
    </row>
    <row r="9" spans="1:148" s="934" customFormat="1">
      <c r="A9" s="1050" t="s">
        <v>1043</v>
      </c>
      <c r="B9" s="1268"/>
      <c r="C9" s="1269"/>
      <c r="D9" s="1269"/>
      <c r="E9" s="1269"/>
      <c r="F9" s="1269"/>
      <c r="G9" s="1268"/>
      <c r="H9" s="1269"/>
      <c r="I9" s="1269"/>
      <c r="J9" s="1269"/>
      <c r="K9" s="1269"/>
      <c r="L9" s="1268"/>
      <c r="M9" s="1269"/>
      <c r="N9" s="1269"/>
      <c r="O9" s="1269"/>
      <c r="P9" s="1270"/>
      <c r="Q9" s="1271"/>
      <c r="R9" s="1269"/>
      <c r="S9" s="1272"/>
      <c r="T9" s="1269"/>
      <c r="U9" s="1269"/>
      <c r="V9" s="1273"/>
      <c r="W9" s="1269"/>
      <c r="X9" s="1272"/>
      <c r="Y9" s="1272"/>
      <c r="Z9" s="1269"/>
      <c r="AA9" s="1273"/>
      <c r="AB9" s="1269"/>
      <c r="AC9" s="1272"/>
      <c r="AD9" s="1272"/>
      <c r="AE9" s="1269"/>
      <c r="AF9" s="1274"/>
      <c r="AG9" s="1269"/>
      <c r="AH9" s="1272"/>
      <c r="AI9" s="1272"/>
      <c r="AJ9" s="1269"/>
      <c r="AK9" s="1274"/>
      <c r="AL9" s="1269"/>
      <c r="AM9" s="1272"/>
      <c r="AN9" s="1272"/>
      <c r="AO9" s="1269"/>
      <c r="AP9" s="1274"/>
      <c r="AQ9" s="1269"/>
      <c r="AR9" s="1275"/>
      <c r="AS9" s="1275"/>
      <c r="AT9" s="1275"/>
      <c r="AU9" s="1274"/>
      <c r="AV9" s="1269"/>
      <c r="AW9" s="1269"/>
      <c r="AX9" s="1269"/>
      <c r="AY9" s="1275"/>
      <c r="AZ9" s="1274"/>
      <c r="BA9" s="1269"/>
      <c r="BB9" s="1269"/>
      <c r="BC9" s="1269"/>
      <c r="BD9" s="1269"/>
      <c r="BE9" s="1274"/>
      <c r="BF9" s="1269"/>
      <c r="BG9" s="1269"/>
      <c r="BH9" s="1269"/>
      <c r="BI9" s="1269"/>
      <c r="BJ9" s="1274"/>
      <c r="BK9" s="1269"/>
      <c r="BL9" s="1269"/>
      <c r="BM9" s="1269"/>
      <c r="BN9" s="1269"/>
      <c r="BO9" s="1353"/>
      <c r="BP9" s="1269"/>
      <c r="BQ9" s="1269"/>
      <c r="BR9" s="1269"/>
      <c r="BS9" s="1269"/>
      <c r="BT9" s="1369"/>
      <c r="BU9" s="1269"/>
      <c r="BV9" s="1269"/>
      <c r="BW9" s="1276"/>
      <c r="BX9" s="1276"/>
      <c r="BY9" s="1376"/>
      <c r="BZ9" s="1276"/>
      <c r="CA9" s="1276"/>
      <c r="CB9" s="1276"/>
      <c r="CC9" s="1276"/>
      <c r="CD9" s="1376"/>
      <c r="CE9" s="1276"/>
      <c r="CF9" s="1276"/>
      <c r="CG9" s="1276"/>
      <c r="CH9" s="1276"/>
      <c r="CI9" s="1376"/>
      <c r="CJ9" s="1276"/>
      <c r="CK9" s="1276"/>
      <c r="CL9" s="1276"/>
      <c r="CM9" s="1276"/>
      <c r="CN9" s="1376"/>
      <c r="CO9" s="1276"/>
      <c r="CP9" s="1276"/>
      <c r="CQ9" s="1276"/>
      <c r="CR9" s="1276"/>
      <c r="CS9" s="1376"/>
      <c r="CT9" s="1276"/>
      <c r="CU9" s="1276"/>
      <c r="CV9" s="1276"/>
      <c r="CW9" s="1276"/>
      <c r="CX9" s="1376"/>
      <c r="CY9" s="1277"/>
      <c r="CZ9" s="1277"/>
      <c r="DA9" s="1274"/>
      <c r="DB9" s="1274"/>
      <c r="DC9" s="1274"/>
      <c r="DD9" s="1274"/>
      <c r="DE9" s="1274"/>
      <c r="DF9" s="1274"/>
      <c r="DG9" s="1274"/>
      <c r="DH9" s="1391"/>
      <c r="DI9" s="1386"/>
      <c r="DJ9" s="1391"/>
      <c r="DK9" s="1406"/>
      <c r="DL9" s="1406"/>
      <c r="DM9" s="1402"/>
      <c r="DN9" s="1402"/>
      <c r="DO9" s="1402"/>
      <c r="DP9" s="1402"/>
      <c r="DQ9" s="1402"/>
      <c r="DR9" s="3073"/>
      <c r="DS9" s="264"/>
      <c r="DT9" s="264"/>
      <c r="DU9" s="264"/>
      <c r="DV9" s="264"/>
      <c r="DW9" s="264"/>
      <c r="DX9" s="264"/>
      <c r="DY9" s="264"/>
      <c r="DZ9" s="264"/>
      <c r="EA9" s="264"/>
      <c r="EB9" s="264"/>
      <c r="EC9" s="264"/>
      <c r="ED9" s="264"/>
      <c r="EE9" s="264"/>
      <c r="EF9" s="264"/>
      <c r="EG9" s="264"/>
      <c r="EH9" s="264"/>
      <c r="EI9" s="264"/>
      <c r="EJ9" s="264"/>
      <c r="EK9" s="264"/>
      <c r="EL9" s="264"/>
      <c r="EM9" s="264"/>
      <c r="EN9" s="264"/>
      <c r="EO9" s="264"/>
      <c r="EP9" s="264"/>
      <c r="EQ9" s="264"/>
      <c r="ER9" s="264"/>
    </row>
    <row r="10" spans="1:148" s="934" customFormat="1" ht="12">
      <c r="A10" s="1278" t="s">
        <v>1044</v>
      </c>
      <c r="B10" s="1279"/>
      <c r="C10" s="1279"/>
      <c r="D10" s="1279"/>
      <c r="E10" s="1279"/>
      <c r="F10" s="1279"/>
      <c r="G10" s="1279"/>
      <c r="H10" s="1279"/>
      <c r="I10" s="1279"/>
      <c r="J10" s="1279"/>
      <c r="K10" s="1279"/>
      <c r="L10" s="1279"/>
      <c r="M10" s="1279"/>
      <c r="N10" s="1279"/>
      <c r="O10" s="1279"/>
      <c r="P10" s="1279"/>
      <c r="Q10" s="1279"/>
      <c r="R10" s="1279"/>
      <c r="S10" s="1279"/>
      <c r="T10" s="1279"/>
      <c r="U10" s="1279"/>
      <c r="V10" s="1279"/>
      <c r="W10" s="1279"/>
      <c r="X10" s="1279"/>
      <c r="Y10" s="1279"/>
      <c r="Z10" s="1279"/>
      <c r="AA10" s="1279"/>
      <c r="AB10" s="1279"/>
      <c r="AC10" s="1279"/>
      <c r="AD10" s="1279"/>
      <c r="AE10" s="1279"/>
      <c r="AF10" s="1279"/>
      <c r="AG10" s="1279"/>
      <c r="AH10" s="1279"/>
      <c r="AI10" s="1279"/>
      <c r="AJ10" s="1279"/>
      <c r="AK10" s="1279"/>
      <c r="AL10" s="1279"/>
      <c r="AM10" s="1279"/>
      <c r="AN10" s="1279"/>
      <c r="AO10" s="1279"/>
      <c r="AP10" s="1279"/>
      <c r="AQ10" s="1279"/>
      <c r="AR10" s="1279"/>
      <c r="AS10" s="1279"/>
      <c r="AT10" s="1279"/>
      <c r="AU10" s="1280"/>
      <c r="AV10" s="1279"/>
      <c r="AW10" s="1279"/>
      <c r="AX10" s="1279"/>
      <c r="AY10" s="1281"/>
      <c r="AZ10" s="1280"/>
      <c r="BA10" s="1282"/>
      <c r="BB10" s="1282"/>
      <c r="BC10" s="1282"/>
      <c r="BD10" s="1282"/>
      <c r="BE10" s="1280"/>
      <c r="BF10" s="1282"/>
      <c r="BG10" s="1282"/>
      <c r="BH10" s="1282"/>
      <c r="BI10" s="1282"/>
      <c r="BJ10" s="1280">
        <v>25776</v>
      </c>
      <c r="BK10" s="1283">
        <v>6183</v>
      </c>
      <c r="BL10" s="1283">
        <v>6943</v>
      </c>
      <c r="BM10" s="1283">
        <v>6768</v>
      </c>
      <c r="BN10" s="1282">
        <v>7078</v>
      </c>
      <c r="BO10" s="1280">
        <f>SUM(BK10:BN10)</f>
        <v>26972</v>
      </c>
      <c r="BP10" s="1283">
        <v>6490</v>
      </c>
      <c r="BQ10" s="1283">
        <v>6822</v>
      </c>
      <c r="BR10" s="1283">
        <v>6457</v>
      </c>
      <c r="BS10" s="1282">
        <v>6662</v>
      </c>
      <c r="BT10" s="1280">
        <f>SUM(BP10:BS10)</f>
        <v>26431</v>
      </c>
      <c r="BU10" s="2569">
        <v>5998</v>
      </c>
      <c r="BV10" s="2569">
        <v>6480</v>
      </c>
      <c r="BW10" s="2791">
        <v>6207</v>
      </c>
      <c r="BX10" s="2791">
        <v>7107</v>
      </c>
      <c r="BY10" s="1280">
        <f>SUM(BU10:BX10)</f>
        <v>25792</v>
      </c>
      <c r="BZ10" s="2791">
        <v>6436</v>
      </c>
      <c r="CA10" s="2569">
        <v>7179</v>
      </c>
      <c r="CB10" s="2791">
        <v>7707</v>
      </c>
      <c r="CC10" s="2791">
        <v>8548</v>
      </c>
      <c r="CD10" s="1280">
        <f>SUM(BZ10:CC10)</f>
        <v>29870</v>
      </c>
      <c r="CE10" s="2791">
        <v>8238</v>
      </c>
      <c r="CF10" s="2569">
        <v>8953</v>
      </c>
      <c r="CG10" s="2791">
        <v>9006</v>
      </c>
      <c r="CH10" s="990">
        <f>'Rev Detail - NEW'!BH17</f>
        <v>9740.5372326124998</v>
      </c>
      <c r="CI10" s="1280">
        <f>SUM(CE10:CH10)</f>
        <v>35937.5372326125</v>
      </c>
      <c r="CJ10" s="990">
        <f>'Rev Detail - NEW'!BJ17</f>
        <v>9433.3785286372186</v>
      </c>
      <c r="CK10" s="990">
        <f>'Rev Detail - NEW'!BK17</f>
        <v>10015.188066799999</v>
      </c>
      <c r="CL10" s="990">
        <f>'Rev Detail - NEW'!BL17</f>
        <v>10426.458287359999</v>
      </c>
      <c r="CM10" s="990">
        <f>'Rev Detail - NEW'!BM17</f>
        <v>10973.02295279825</v>
      </c>
      <c r="CN10" s="1280">
        <f>SUM(CJ10:CM10)</f>
        <v>40848.047835595469</v>
      </c>
      <c r="CO10" s="990">
        <f>'Rev Detail - NEW'!BO17</f>
        <v>10719.815935344199</v>
      </c>
      <c r="CP10" s="990">
        <f>'Rev Detail - NEW'!BP17</f>
        <v>11309.372027561249</v>
      </c>
      <c r="CQ10" s="990">
        <f>'Rev Detail - NEW'!BQ17</f>
        <v>11975.589581085424</v>
      </c>
      <c r="CR10" s="990">
        <f>'Rev Detail - NEW'!BR17</f>
        <v>12394.235327120305</v>
      </c>
      <c r="CS10" s="1280">
        <f>SUM(CO10:CR10)</f>
        <v>46399.012871111176</v>
      </c>
      <c r="CT10" s="990">
        <f>'Rev Detail - NEW'!BT17</f>
        <v>12007.883142882451</v>
      </c>
      <c r="CU10" s="990">
        <f>'Rev Detail - NEW'!BU17</f>
        <v>12535.049258524437</v>
      </c>
      <c r="CV10" s="990">
        <f>'Rev Detail - NEW'!BV17</f>
        <v>13484.458782004735</v>
      </c>
      <c r="CW10" s="990">
        <f>'Rev Detail - NEW'!BW17</f>
        <v>13687.792269805979</v>
      </c>
      <c r="CX10" s="1280">
        <f>SUM(CT10:CW10)</f>
        <v>51715.1834532176</v>
      </c>
      <c r="CY10" s="1281"/>
      <c r="CZ10" s="1281"/>
      <c r="DA10" s="1280"/>
      <c r="DB10" s="1280"/>
      <c r="DC10" s="1280"/>
      <c r="DD10" s="1280"/>
      <c r="DE10" s="1280"/>
      <c r="DF10" s="1280"/>
      <c r="DG10" s="1380"/>
      <c r="DH10" s="1380"/>
      <c r="DI10" s="1280"/>
      <c r="DJ10" s="1380"/>
      <c r="DK10" s="1380">
        <f>BM10+BN10+BP10+BQ10</f>
        <v>27158</v>
      </c>
      <c r="DL10" s="1380">
        <f>BR10+BS10+BU10+BV10</f>
        <v>25597</v>
      </c>
      <c r="DM10" s="1280">
        <f>BW10+BX10+BZ10+CA10</f>
        <v>26929</v>
      </c>
      <c r="DN10" s="1280">
        <f>CB10+CC10+CE10+CF10</f>
        <v>33446</v>
      </c>
      <c r="DO10" s="1280">
        <f>CG10+CH10+CJ10+CK10</f>
        <v>38195.103828049716</v>
      </c>
      <c r="DP10" s="1280">
        <f>CL10+CM10+CO10+CP10</f>
        <v>43428.669203063699</v>
      </c>
      <c r="DQ10" s="1280">
        <f>CQ10+CR10+CT10+CU10</f>
        <v>48912.757309612614</v>
      </c>
      <c r="DR10" s="3056"/>
      <c r="DS10" s="264"/>
      <c r="DT10" s="264"/>
      <c r="DU10" s="264"/>
      <c r="DV10" s="264"/>
      <c r="DW10" s="264"/>
      <c r="DX10" s="264"/>
      <c r="DY10" s="264"/>
      <c r="DZ10" s="264"/>
      <c r="EA10" s="264"/>
      <c r="EB10" s="264"/>
      <c r="EC10" s="264"/>
      <c r="ED10" s="264"/>
      <c r="EE10" s="264"/>
      <c r="EF10" s="264"/>
      <c r="EG10" s="264"/>
      <c r="EH10" s="264"/>
      <c r="EI10" s="264"/>
      <c r="EJ10" s="264"/>
      <c r="EK10" s="264"/>
      <c r="EL10" s="264"/>
      <c r="EM10" s="264"/>
      <c r="EN10" s="264"/>
      <c r="EO10" s="264"/>
      <c r="EP10" s="264"/>
      <c r="EQ10" s="264"/>
      <c r="ER10" s="264"/>
    </row>
    <row r="11" spans="1:148" s="934" customFormat="1" ht="12">
      <c r="A11" s="1284" t="s">
        <v>717</v>
      </c>
      <c r="B11" s="1285"/>
      <c r="C11" s="1286"/>
      <c r="D11" s="1286"/>
      <c r="E11" s="1286"/>
      <c r="F11" s="1286"/>
      <c r="G11" s="1285"/>
      <c r="H11" s="1286"/>
      <c r="I11" s="1286"/>
      <c r="J11" s="1286"/>
      <c r="K11" s="1286"/>
      <c r="L11" s="1285"/>
      <c r="M11" s="1286"/>
      <c r="N11" s="1286"/>
      <c r="O11" s="1286"/>
      <c r="P11" s="1287"/>
      <c r="Q11" s="1288"/>
      <c r="R11" s="1286"/>
      <c r="S11" s="1289"/>
      <c r="T11" s="1286"/>
      <c r="U11" s="1286"/>
      <c r="V11" s="1290"/>
      <c r="W11" s="1286"/>
      <c r="X11" s="1289"/>
      <c r="Y11" s="1289"/>
      <c r="Z11" s="1286"/>
      <c r="AA11" s="1290"/>
      <c r="AB11" s="1286"/>
      <c r="AC11" s="1289"/>
      <c r="AD11" s="1289"/>
      <c r="AE11" s="1286"/>
      <c r="AF11" s="1291"/>
      <c r="AG11" s="1286"/>
      <c r="AH11" s="1289"/>
      <c r="AI11" s="1289"/>
      <c r="AJ11" s="1286"/>
      <c r="AK11" s="1291"/>
      <c r="AL11" s="1286"/>
      <c r="AM11" s="1289"/>
      <c r="AN11" s="1289"/>
      <c r="AO11" s="1286"/>
      <c r="AP11" s="1291"/>
      <c r="AQ11" s="1286"/>
      <c r="AR11" s="1292"/>
      <c r="AS11" s="1292"/>
      <c r="AT11" s="1292"/>
      <c r="AU11" s="1291"/>
      <c r="AV11" s="1286"/>
      <c r="AW11" s="1286"/>
      <c r="AX11" s="1286"/>
      <c r="AY11" s="1292"/>
      <c r="AZ11" s="1352"/>
      <c r="BA11" s="1286"/>
      <c r="BB11" s="1286"/>
      <c r="BC11" s="1286"/>
      <c r="BD11" s="1286"/>
      <c r="BE11" s="1352"/>
      <c r="BF11" s="1286"/>
      <c r="BG11" s="1286"/>
      <c r="BH11" s="1286"/>
      <c r="BI11" s="1286"/>
      <c r="BJ11" s="1352"/>
      <c r="BK11" s="1293"/>
      <c r="BL11" s="1293"/>
      <c r="BM11" s="1293"/>
      <c r="BN11" s="1293"/>
      <c r="BO11" s="1294">
        <f t="shared" ref="BO11:BT11" si="0">BO10/BJ10-1</f>
        <v>4.639975170701427E-2</v>
      </c>
      <c r="BP11" s="1293">
        <f t="shared" si="0"/>
        <v>4.9652272359695937E-2</v>
      </c>
      <c r="BQ11" s="1293">
        <f t="shared" si="0"/>
        <v>-1.7427624945988818E-2</v>
      </c>
      <c r="BR11" s="1293">
        <f t="shared" si="0"/>
        <v>-4.5951536643025981E-2</v>
      </c>
      <c r="BS11" s="1293">
        <f t="shared" si="0"/>
        <v>-5.8773664877083909E-2</v>
      </c>
      <c r="BT11" s="1294">
        <f t="shared" si="0"/>
        <v>-2.0057837757674668E-2</v>
      </c>
      <c r="BU11" s="1293"/>
      <c r="BV11" s="1293"/>
      <c r="BW11" s="1293"/>
      <c r="BX11" s="1293"/>
      <c r="BY11" s="1294"/>
      <c r="BZ11" s="1293">
        <f t="shared" ref="BZ11:CG11" si="1">BZ10/BU10-1</f>
        <v>7.3024341447148977E-2</v>
      </c>
      <c r="CA11" s="1293">
        <f t="shared" si="1"/>
        <v>0.10787037037037028</v>
      </c>
      <c r="CB11" s="1293">
        <f t="shared" si="1"/>
        <v>0.24166263895601747</v>
      </c>
      <c r="CC11" s="1293">
        <f t="shared" si="1"/>
        <v>0.20275784437878142</v>
      </c>
      <c r="CD11" s="1294">
        <f t="shared" si="1"/>
        <v>0.15811104218362293</v>
      </c>
      <c r="CE11" s="1293">
        <f t="shared" si="1"/>
        <v>0.27998756991920448</v>
      </c>
      <c r="CF11" s="1293">
        <f t="shared" si="1"/>
        <v>0.24710962529600233</v>
      </c>
      <c r="CG11" s="1293">
        <f t="shared" si="1"/>
        <v>0.1685480731802258</v>
      </c>
      <c r="CH11" s="1293">
        <f t="shared" ref="CG11:CI11" si="2">CH10/CC10-1</f>
        <v>0.13951067297759701</v>
      </c>
      <c r="CI11" s="1294">
        <f t="shared" si="2"/>
        <v>0.20313147748953808</v>
      </c>
      <c r="CJ11" s="1293">
        <f t="shared" ref="CJ11:CS11" si="3">CJ10/CE10-1</f>
        <v>0.1451054295505243</v>
      </c>
      <c r="CK11" s="1293">
        <f t="shared" si="3"/>
        <v>0.11864046317435495</v>
      </c>
      <c r="CL11" s="1293">
        <f t="shared" si="3"/>
        <v>0.15772354956251378</v>
      </c>
      <c r="CM11" s="1293">
        <f t="shared" si="3"/>
        <v>0.12653159581991424</v>
      </c>
      <c r="CN11" s="1294">
        <f t="shared" si="3"/>
        <v>0.13664015347514669</v>
      </c>
      <c r="CO11" s="1293">
        <f t="shared" si="3"/>
        <v>0.13637080318591055</v>
      </c>
      <c r="CP11" s="1293">
        <f t="shared" si="3"/>
        <v>0.12922213263787063</v>
      </c>
      <c r="CQ11" s="1293">
        <f t="shared" si="3"/>
        <v>0.14857694252740039</v>
      </c>
      <c r="CR11" s="1293">
        <f t="shared" si="3"/>
        <v>0.1295187643765594</v>
      </c>
      <c r="CS11" s="1294">
        <f t="shared" si="3"/>
        <v>0.13589303111514983</v>
      </c>
      <c r="CT11" s="1293">
        <f t="shared" ref="CT11" si="4">CT10/CO10-1</f>
        <v>0.120157586222295</v>
      </c>
      <c r="CU11" s="1293">
        <f t="shared" ref="CU11" si="5">CU10/CP10-1</f>
        <v>0.10837712544747657</v>
      </c>
      <c r="CV11" s="1293">
        <f t="shared" ref="CV11" si="6">CV10/CQ10-1</f>
        <v>0.12599540011812538</v>
      </c>
      <c r="CW11" s="1293">
        <f t="shared" ref="CW11" si="7">CW10/CR10-1</f>
        <v>0.10436762805811761</v>
      </c>
      <c r="CX11" s="1294">
        <f t="shared" ref="CX11" si="8">CX10/CS10-1</f>
        <v>0.11457507936373279</v>
      </c>
      <c r="CY11" s="1296"/>
      <c r="CZ11" s="1296"/>
      <c r="DA11" s="1291"/>
      <c r="DB11" s="1291"/>
      <c r="DC11" s="1291"/>
      <c r="DD11" s="1291"/>
      <c r="DE11" s="1291"/>
      <c r="DF11" s="1291"/>
      <c r="DG11" s="1291"/>
      <c r="DH11" s="1392"/>
      <c r="DI11" s="1387"/>
      <c r="DJ11" s="1392"/>
      <c r="DK11" s="1407"/>
      <c r="DL11" s="3089">
        <f t="shared" ref="DL11:DQ11" si="9">DL10/DK10-1</f>
        <v>-5.7478459385816305E-2</v>
      </c>
      <c r="DM11" s="3090">
        <f t="shared" si="9"/>
        <v>5.2037348126733551E-2</v>
      </c>
      <c r="DN11" s="3090">
        <f t="shared" si="9"/>
        <v>0.24200675851312714</v>
      </c>
      <c r="DO11" s="3090">
        <f t="shared" si="9"/>
        <v>0.14199317790018884</v>
      </c>
      <c r="DP11" s="3090">
        <f t="shared" si="9"/>
        <v>0.13702189156429401</v>
      </c>
      <c r="DQ11" s="3090">
        <f t="shared" si="9"/>
        <v>0.12627806025799293</v>
      </c>
      <c r="DR11" s="3074"/>
      <c r="DS11" s="264"/>
      <c r="DT11" s="264"/>
      <c r="DU11" s="264"/>
      <c r="DV11" s="264"/>
      <c r="DW11" s="264"/>
      <c r="DX11" s="264"/>
      <c r="DY11" s="264"/>
      <c r="DZ11" s="264"/>
      <c r="EA11" s="264"/>
      <c r="EB11" s="264"/>
      <c r="EC11" s="264"/>
      <c r="ED11" s="264"/>
      <c r="EE11" s="264"/>
      <c r="EF11" s="264"/>
      <c r="EG11" s="264"/>
      <c r="EH11" s="264"/>
      <c r="EI11" s="264"/>
      <c r="EJ11" s="264"/>
      <c r="EK11" s="264"/>
      <c r="EL11" s="264"/>
      <c r="EM11" s="264"/>
      <c r="EN11" s="264"/>
      <c r="EO11" s="264"/>
      <c r="EP11" s="264"/>
      <c r="EQ11" s="264"/>
      <c r="ER11" s="264"/>
    </row>
    <row r="12" spans="1:148" s="934" customFormat="1" ht="12" hidden="1" outlineLevel="1">
      <c r="A12" s="1284" t="s">
        <v>1027</v>
      </c>
      <c r="B12" s="1285"/>
      <c r="C12" s="1286"/>
      <c r="D12" s="1286"/>
      <c r="E12" s="1286"/>
      <c r="F12" s="1286"/>
      <c r="G12" s="1285"/>
      <c r="H12" s="1286"/>
      <c r="I12" s="1286"/>
      <c r="J12" s="1286"/>
      <c r="K12" s="1286"/>
      <c r="L12" s="1285"/>
      <c r="M12" s="1286"/>
      <c r="N12" s="1286"/>
      <c r="O12" s="1286"/>
      <c r="P12" s="1287"/>
      <c r="Q12" s="1288"/>
      <c r="R12" s="1286"/>
      <c r="S12" s="1289"/>
      <c r="T12" s="1286"/>
      <c r="U12" s="1286"/>
      <c r="V12" s="1290"/>
      <c r="W12" s="1286"/>
      <c r="X12" s="1289"/>
      <c r="Y12" s="1289"/>
      <c r="Z12" s="1286"/>
      <c r="AA12" s="1290"/>
      <c r="AB12" s="1286"/>
      <c r="AC12" s="1289"/>
      <c r="AD12" s="1289"/>
      <c r="AE12" s="1286"/>
      <c r="AF12" s="1291"/>
      <c r="AG12" s="1286"/>
      <c r="AH12" s="1289"/>
      <c r="AI12" s="1289"/>
      <c r="AJ12" s="1286"/>
      <c r="AK12" s="1291"/>
      <c r="AL12" s="1286"/>
      <c r="AM12" s="1289"/>
      <c r="AN12" s="1289"/>
      <c r="AO12" s="1286"/>
      <c r="AP12" s="1291"/>
      <c r="AQ12" s="1286"/>
      <c r="AR12" s="1292"/>
      <c r="AS12" s="1292"/>
      <c r="AT12" s="1292"/>
      <c r="AU12" s="1291"/>
      <c r="AV12" s="1286"/>
      <c r="AW12" s="1286"/>
      <c r="AX12" s="1286"/>
      <c r="AY12" s="1292"/>
      <c r="AZ12" s="1352"/>
      <c r="BA12" s="1286"/>
      <c r="BB12" s="1286"/>
      <c r="BC12" s="1286"/>
      <c r="BD12" s="1286"/>
      <c r="BE12" s="1352"/>
      <c r="BF12" s="1286"/>
      <c r="BG12" s="1286"/>
      <c r="BH12" s="1286"/>
      <c r="BI12" s="1286"/>
      <c r="BJ12" s="1352"/>
      <c r="BK12" s="1293"/>
      <c r="BL12" s="1293"/>
      <c r="BM12" s="1293"/>
      <c r="BN12" s="1293"/>
      <c r="BO12" s="1294"/>
      <c r="BP12" s="1293"/>
      <c r="BQ12" s="1293"/>
      <c r="BR12" s="1293"/>
      <c r="BS12" s="1293"/>
      <c r="BT12" s="1294"/>
      <c r="BU12" s="1293">
        <f>(BU10+437)/BP10-1</f>
        <v>-8.4745762711864181E-3</v>
      </c>
      <c r="BV12" s="1293">
        <f>(BV10+439)/BQ10-1</f>
        <v>1.4218704192318965E-2</v>
      </c>
      <c r="BW12" s="1293">
        <f>(BW10+339)/BR10-1</f>
        <v>1.3783490785194363E-2</v>
      </c>
      <c r="BX12" s="1293">
        <f>(BX10+249)/BS10-1</f>
        <v>0.1041729210447313</v>
      </c>
      <c r="BY12" s="1377"/>
      <c r="BZ12" s="1293">
        <f>(BZ10+125)/BU10-1</f>
        <v>9.3864621540513449E-2</v>
      </c>
      <c r="CA12" s="1293">
        <f>(CA10+108)/BV10-1</f>
        <v>0.12453703703703711</v>
      </c>
      <c r="CB12" s="1293">
        <f>(CB10+82)/BW10-1</f>
        <v>0.25487352988561307</v>
      </c>
      <c r="CC12" s="1293">
        <f>(CC10+98)/BX10-1</f>
        <v>0.21654706627268894</v>
      </c>
      <c r="CD12" s="1377"/>
      <c r="CE12" s="1293">
        <f>(CE10-24)/BZ10-1</f>
        <v>0.27625854568054686</v>
      </c>
      <c r="CF12" s="1293">
        <f>(CF10-34)/CA10-1</f>
        <v>0.24237358963643962</v>
      </c>
      <c r="CG12" s="1293">
        <f>(CG10-193)/CB10-1</f>
        <v>0.14350590372388727</v>
      </c>
      <c r="CH12" s="1295"/>
      <c r="CI12" s="1377"/>
      <c r="CJ12" s="1295"/>
      <c r="CK12" s="1295"/>
      <c r="CL12" s="1295"/>
      <c r="CM12" s="1295"/>
      <c r="CN12" s="1377"/>
      <c r="CO12" s="1295"/>
      <c r="CP12" s="1295"/>
      <c r="CQ12" s="1295"/>
      <c r="CR12" s="1295"/>
      <c r="CS12" s="1377"/>
      <c r="CT12" s="1295"/>
      <c r="CU12" s="1295"/>
      <c r="CV12" s="1295"/>
      <c r="CW12" s="1295"/>
      <c r="CX12" s="1377"/>
      <c r="CY12" s="1296"/>
      <c r="CZ12" s="1296"/>
      <c r="DA12" s="1291"/>
      <c r="DB12" s="1291"/>
      <c r="DC12" s="1291"/>
      <c r="DD12" s="1291"/>
      <c r="DE12" s="1291"/>
      <c r="DF12" s="1291"/>
      <c r="DG12" s="1291"/>
      <c r="DH12" s="1392"/>
      <c r="DI12" s="1387"/>
      <c r="DJ12" s="1392"/>
      <c r="DK12" s="1407"/>
      <c r="DL12" s="1407"/>
      <c r="DM12" s="1403"/>
      <c r="DN12" s="1403"/>
      <c r="DO12" s="1403"/>
      <c r="DP12" s="1403"/>
      <c r="DQ12" s="1403"/>
      <c r="DR12" s="3075"/>
      <c r="DS12" s="264"/>
      <c r="DT12" s="264"/>
      <c r="DU12" s="264"/>
      <c r="DV12" s="264"/>
      <c r="DW12" s="264"/>
      <c r="DX12" s="264"/>
      <c r="DY12" s="264"/>
      <c r="DZ12" s="264"/>
      <c r="EA12" s="264"/>
      <c r="EB12" s="264"/>
      <c r="EC12" s="264"/>
      <c r="ED12" s="264"/>
      <c r="EE12" s="264"/>
      <c r="EF12" s="264"/>
      <c r="EG12" s="264"/>
      <c r="EH12" s="264"/>
      <c r="EI12" s="264"/>
      <c r="EJ12" s="264"/>
      <c r="EK12" s="264"/>
      <c r="EL12" s="264"/>
      <c r="EM12" s="264"/>
      <c r="EN12" s="264"/>
      <c r="EO12" s="264"/>
      <c r="EP12" s="264"/>
      <c r="EQ12" s="264"/>
      <c r="ER12" s="264"/>
    </row>
    <row r="13" spans="1:148" s="934" customFormat="1" ht="12" collapsed="1">
      <c r="A13" s="1284" t="s">
        <v>718</v>
      </c>
      <c r="B13" s="1285"/>
      <c r="C13" s="1286"/>
      <c r="D13" s="1286"/>
      <c r="E13" s="1286"/>
      <c r="F13" s="1286"/>
      <c r="G13" s="1285"/>
      <c r="H13" s="1286"/>
      <c r="I13" s="1286"/>
      <c r="J13" s="1286"/>
      <c r="K13" s="1286"/>
      <c r="L13" s="1285"/>
      <c r="M13" s="1286"/>
      <c r="N13" s="1286"/>
      <c r="O13" s="1286"/>
      <c r="P13" s="1287"/>
      <c r="Q13" s="1288"/>
      <c r="R13" s="1286"/>
      <c r="S13" s="1289"/>
      <c r="T13" s="1286"/>
      <c r="U13" s="1286"/>
      <c r="V13" s="1290"/>
      <c r="W13" s="1286"/>
      <c r="X13" s="1289"/>
      <c r="Y13" s="1289"/>
      <c r="Z13" s="1286"/>
      <c r="AA13" s="1290"/>
      <c r="AB13" s="1286"/>
      <c r="AC13" s="1289"/>
      <c r="AD13" s="1289"/>
      <c r="AE13" s="1286"/>
      <c r="AF13" s="1291"/>
      <c r="AG13" s="1286"/>
      <c r="AH13" s="1289"/>
      <c r="AI13" s="1289"/>
      <c r="AJ13" s="1286"/>
      <c r="AK13" s="1291"/>
      <c r="AL13" s="1286"/>
      <c r="AM13" s="1289"/>
      <c r="AN13" s="1289"/>
      <c r="AO13" s="1286"/>
      <c r="AP13" s="1291"/>
      <c r="AQ13" s="1286"/>
      <c r="AR13" s="1292"/>
      <c r="AS13" s="1292"/>
      <c r="AT13" s="1292"/>
      <c r="AU13" s="1291"/>
      <c r="AV13" s="1286"/>
      <c r="AW13" s="1286"/>
      <c r="AX13" s="1286"/>
      <c r="AY13" s="1292"/>
      <c r="AZ13" s="1352"/>
      <c r="BA13" s="1286"/>
      <c r="BB13" s="1286"/>
      <c r="BC13" s="1286"/>
      <c r="BD13" s="1286"/>
      <c r="BE13" s="1352"/>
      <c r="BF13" s="1286"/>
      <c r="BG13" s="1286"/>
      <c r="BH13" s="1286"/>
      <c r="BI13" s="1286"/>
      <c r="BJ13" s="1352"/>
      <c r="BK13" s="1293"/>
      <c r="BL13" s="1293">
        <f>BL10/BK10-1</f>
        <v>0.12291767750283045</v>
      </c>
      <c r="BM13" s="1293">
        <f>BM10/BL10-1</f>
        <v>-2.5205242690479635E-2</v>
      </c>
      <c r="BN13" s="1293">
        <f>BN10/BM10-1</f>
        <v>4.5803782505910107E-2</v>
      </c>
      <c r="BO13" s="1294"/>
      <c r="BP13" s="1293">
        <f>BP10/BN10-1</f>
        <v>-8.3074314778185943E-2</v>
      </c>
      <c r="BQ13" s="1293">
        <f>BQ10/BP10-1</f>
        <v>5.115562403697993E-2</v>
      </c>
      <c r="BR13" s="1293">
        <f>BR10/BQ10-1</f>
        <v>-5.3503371445323911E-2</v>
      </c>
      <c r="BS13" s="1293">
        <f>BS10/BR10-1</f>
        <v>3.1748490010840902E-2</v>
      </c>
      <c r="BT13" s="1294"/>
      <c r="BU13" s="1293"/>
      <c r="BV13" s="1293">
        <f>BV10/BU10-1</f>
        <v>8.036012004001325E-2</v>
      </c>
      <c r="BW13" s="1293">
        <f>BW10/BV10-1</f>
        <v>-4.2129629629629628E-2</v>
      </c>
      <c r="BX13" s="1293">
        <f>BX10/BW10-1</f>
        <v>0.14499758337361035</v>
      </c>
      <c r="BY13" s="1294"/>
      <c r="BZ13" s="1293">
        <f>BZ10/BX10-1</f>
        <v>-9.4413958069508919E-2</v>
      </c>
      <c r="CA13" s="1293">
        <f>CA10/BZ10-1</f>
        <v>0.11544437538843999</v>
      </c>
      <c r="CB13" s="1293">
        <f>CB10/CA10-1</f>
        <v>7.3547847889678275E-2</v>
      </c>
      <c r="CC13" s="1293">
        <f>CC10/CB10-1</f>
        <v>0.10912157778642784</v>
      </c>
      <c r="CD13" s="1294"/>
      <c r="CE13" s="1293">
        <f>CE10/CC10-1</f>
        <v>-3.6265793167992499E-2</v>
      </c>
      <c r="CF13" s="1293">
        <f>CF10/CE10-1</f>
        <v>8.6792910900703957E-2</v>
      </c>
      <c r="CG13" s="1293">
        <f>CG10/CF10-1</f>
        <v>5.9198034178487013E-3</v>
      </c>
      <c r="CH13" s="1293">
        <f>CH10/CG10-1</f>
        <v>8.1560874151954232E-2</v>
      </c>
      <c r="CI13" s="1294"/>
      <c r="CJ13" s="1293">
        <f>CJ10/CH10-1</f>
        <v>-3.1534061894130105E-2</v>
      </c>
      <c r="CK13" s="1293">
        <f>CK10/CJ10-1</f>
        <v>6.1675627284176304E-2</v>
      </c>
      <c r="CL13" s="1293">
        <f>CL10/CK10-1</f>
        <v>4.1064652787035083E-2</v>
      </c>
      <c r="CM13" s="1293">
        <f>CM10/CL10-1</f>
        <v>5.2420932436938017E-2</v>
      </c>
      <c r="CN13" s="1294"/>
      <c r="CO13" s="1293">
        <f>CO10/CM10-1</f>
        <v>-2.3075411264812939E-2</v>
      </c>
      <c r="CP13" s="1293">
        <f>CP10/CO10-1</f>
        <v>5.4996848432185219E-2</v>
      </c>
      <c r="CQ13" s="1293">
        <f>CQ10/CP10-1</f>
        <v>5.8908447958081478E-2</v>
      </c>
      <c r="CR13" s="1293">
        <f>CR10/CQ10-1</f>
        <v>3.4958257645711477E-2</v>
      </c>
      <c r="CS13" s="1294"/>
      <c r="CT13" s="1293">
        <f>CT10/CR10-1</f>
        <v>-3.1171925822036095E-2</v>
      </c>
      <c r="CU13" s="1293">
        <f>CU10/CT10-1</f>
        <v>4.3901669375793206E-2</v>
      </c>
      <c r="CV13" s="1293">
        <f>CV10/CU10-1</f>
        <v>7.5740390316747508E-2</v>
      </c>
      <c r="CW13" s="1293">
        <f>CW10/CV10-1</f>
        <v>1.5079098915901312E-2</v>
      </c>
      <c r="CX13" s="1294"/>
      <c r="CY13" s="1296"/>
      <c r="CZ13" s="1296"/>
      <c r="DA13" s="1291"/>
      <c r="DB13" s="1291"/>
      <c r="DC13" s="1291"/>
      <c r="DD13" s="1291"/>
      <c r="DE13" s="1291"/>
      <c r="DF13" s="1291"/>
      <c r="DG13" s="1291"/>
      <c r="DH13" s="1392"/>
      <c r="DI13" s="1387"/>
      <c r="DJ13" s="1392"/>
      <c r="DK13" s="1407"/>
      <c r="DL13" s="1407"/>
      <c r="DM13" s="1403"/>
      <c r="DN13" s="1403"/>
      <c r="DO13" s="1403"/>
      <c r="DP13" s="1403"/>
      <c r="DQ13" s="1403"/>
      <c r="DR13" s="3075"/>
      <c r="DS13" s="264"/>
      <c r="DT13" s="264"/>
      <c r="DU13" s="264"/>
      <c r="DV13" s="264"/>
      <c r="DW13" s="264"/>
      <c r="DX13" s="264"/>
      <c r="DY13" s="264"/>
      <c r="DZ13" s="264"/>
      <c r="EA13" s="264"/>
      <c r="EB13" s="264"/>
      <c r="EC13" s="264"/>
      <c r="ED13" s="264"/>
      <c r="EE13" s="264"/>
      <c r="EF13" s="264"/>
      <c r="EG13" s="264"/>
      <c r="EH13" s="264"/>
      <c r="EI13" s="264"/>
      <c r="EJ13" s="264"/>
      <c r="EK13" s="264"/>
      <c r="EL13" s="264"/>
      <c r="EM13" s="264"/>
      <c r="EN13" s="264"/>
      <c r="EO13" s="264"/>
      <c r="EP13" s="264"/>
      <c r="EQ13" s="264"/>
      <c r="ER13" s="264"/>
    </row>
    <row r="14" spans="1:148" s="934" customFormat="1" ht="12">
      <c r="A14" s="1284" t="s">
        <v>482</v>
      </c>
      <c r="B14" s="1285"/>
      <c r="C14" s="1286"/>
      <c r="D14" s="1286"/>
      <c r="E14" s="1286"/>
      <c r="F14" s="1286"/>
      <c r="G14" s="1285"/>
      <c r="H14" s="1286"/>
      <c r="I14" s="1286"/>
      <c r="J14" s="1286"/>
      <c r="K14" s="1286"/>
      <c r="L14" s="1285"/>
      <c r="M14" s="1286"/>
      <c r="N14" s="1286"/>
      <c r="O14" s="1286"/>
      <c r="P14" s="1287"/>
      <c r="Q14" s="1288"/>
      <c r="R14" s="1286"/>
      <c r="S14" s="1289"/>
      <c r="T14" s="1286"/>
      <c r="U14" s="1286"/>
      <c r="V14" s="1290"/>
      <c r="W14" s="1286"/>
      <c r="X14" s="1289"/>
      <c r="Y14" s="1289"/>
      <c r="Z14" s="1286"/>
      <c r="AA14" s="1290"/>
      <c r="AB14" s="1286"/>
      <c r="AC14" s="1289"/>
      <c r="AD14" s="1289"/>
      <c r="AE14" s="1286"/>
      <c r="AF14" s="1291"/>
      <c r="AG14" s="1286"/>
      <c r="AH14" s="1289"/>
      <c r="AI14" s="1289"/>
      <c r="AJ14" s="1286"/>
      <c r="AK14" s="1291"/>
      <c r="AL14" s="1286"/>
      <c r="AM14" s="1289"/>
      <c r="AN14" s="1289"/>
      <c r="AO14" s="1286"/>
      <c r="AP14" s="1291"/>
      <c r="AQ14" s="1286"/>
      <c r="AR14" s="1292"/>
      <c r="AS14" s="1292"/>
      <c r="AT14" s="1292"/>
      <c r="AU14" s="1291"/>
      <c r="AV14" s="1286"/>
      <c r="AW14" s="1286"/>
      <c r="AX14" s="1286"/>
      <c r="AY14" s="1292"/>
      <c r="AZ14" s="1352"/>
      <c r="BA14" s="1286"/>
      <c r="BB14" s="1286"/>
      <c r="BC14" s="1286"/>
      <c r="BD14" s="1286"/>
      <c r="BE14" s="1352"/>
      <c r="BF14" s="1286"/>
      <c r="BG14" s="1286"/>
      <c r="BH14" s="1286"/>
      <c r="BI14" s="1286"/>
      <c r="BJ14" s="1352"/>
      <c r="BK14" s="1293">
        <f>(BK10/(BK$32-BK$30))</f>
        <v>0.331777205408886</v>
      </c>
      <c r="BL14" s="1293">
        <f t="shared" ref="BL14:BU14" si="10">(BL10/(BL$32-BL$30))</f>
        <v>0.28299502730904053</v>
      </c>
      <c r="BM14" s="1293">
        <f t="shared" si="10"/>
        <v>0.33004974153906175</v>
      </c>
      <c r="BN14" s="1293">
        <f t="shared" si="10"/>
        <v>0.30202688286750584</v>
      </c>
      <c r="BO14" s="1294">
        <f t="shared" si="10"/>
        <v>0.30962794595401272</v>
      </c>
      <c r="BP14" s="1293">
        <f t="shared" si="10"/>
        <v>0.27972932201198225</v>
      </c>
      <c r="BQ14" s="1293">
        <f t="shared" si="10"/>
        <v>0.26172024859970844</v>
      </c>
      <c r="BR14" s="1293">
        <f t="shared" si="10"/>
        <v>0.29798329410678848</v>
      </c>
      <c r="BS14" s="1293">
        <f t="shared" si="10"/>
        <v>0.3005910752154492</v>
      </c>
      <c r="BT14" s="1294">
        <f t="shared" si="10"/>
        <v>0.28390208272913781</v>
      </c>
      <c r="BU14" s="1293">
        <f t="shared" si="10"/>
        <v>0.28684839789574368</v>
      </c>
      <c r="BV14" s="1293">
        <f>(BV10/(BV$32))</f>
        <v>0.25660317586029385</v>
      </c>
      <c r="BW14" s="1293">
        <f t="shared" ref="BW14:BZ14" si="11">(BW10/(BW$32))</f>
        <v>0.28846958219082586</v>
      </c>
      <c r="BX14" s="1293">
        <f t="shared" si="11"/>
        <v>0.30276050097980745</v>
      </c>
      <c r="BY14" s="1294">
        <f t="shared" si="11"/>
        <v>0.28294973341817142</v>
      </c>
      <c r="BZ14" s="1293">
        <f t="shared" si="11"/>
        <v>0.29350601970083912</v>
      </c>
      <c r="CA14" s="1293">
        <f>(CA10/(CA$32))</f>
        <v>0.27797568341980949</v>
      </c>
      <c r="CB14" s="1293">
        <f t="shared" ref="CB14:CE14" si="12">(CB10/(CB$32))</f>
        <v>0.33202653799758747</v>
      </c>
      <c r="CC14" s="1293">
        <f t="shared" si="12"/>
        <v>0.33384104667057213</v>
      </c>
      <c r="CD14" s="1294">
        <f t="shared" si="12"/>
        <v>0.30930610638804612</v>
      </c>
      <c r="CE14" s="1293">
        <f t="shared" si="12"/>
        <v>0.33572418289999184</v>
      </c>
      <c r="CF14" s="1293">
        <f>(CF10/(CF$32))</f>
        <v>0.30959955736911265</v>
      </c>
      <c r="CG14" s="1293">
        <f t="shared" ref="CG14" si="13">(CG10/(CG$32))</f>
        <v>0.33580670420224468</v>
      </c>
      <c r="CH14" s="1293">
        <f t="shared" ref="CG14:CI14" si="14">(CH10/(CH$32))</f>
        <v>0.33363092893953539</v>
      </c>
      <c r="CI14" s="1294">
        <f t="shared" si="14"/>
        <v>0.32828499032493225</v>
      </c>
      <c r="CJ14" s="1293">
        <f t="shared" ref="CJ14:CS14" si="15">(CJ10/(CJ$32))</f>
        <v>0.34012329976655697</v>
      </c>
      <c r="CK14" s="1293">
        <f t="shared" si="15"/>
        <v>0.31103148781497197</v>
      </c>
      <c r="CL14" s="1293">
        <f t="shared" si="15"/>
        <v>0.34804716650600853</v>
      </c>
      <c r="CM14" s="1293">
        <f t="shared" si="15"/>
        <v>0.33616148692409648</v>
      </c>
      <c r="CN14" s="1294">
        <f t="shared" si="15"/>
        <v>0.33336028856009997</v>
      </c>
      <c r="CO14" s="1293">
        <f t="shared" si="15"/>
        <v>0.34451218878841966</v>
      </c>
      <c r="CP14" s="1293">
        <f t="shared" si="15"/>
        <v>0.3175212305579167</v>
      </c>
      <c r="CQ14" s="1293">
        <f t="shared" si="15"/>
        <v>0.35256153426789105</v>
      </c>
      <c r="CR14" s="1293">
        <f t="shared" si="15"/>
        <v>0.33485194975178273</v>
      </c>
      <c r="CS14" s="1294">
        <f t="shared" si="15"/>
        <v>0.33692038889605641</v>
      </c>
      <c r="CT14" s="1293">
        <f t="shared" ref="CT14:CX14" si="16">(CT10/(CT$32))</f>
        <v>0.34474434606131665</v>
      </c>
      <c r="CU14" s="1293">
        <f t="shared" si="16"/>
        <v>0.32045820774496903</v>
      </c>
      <c r="CV14" s="1293">
        <f t="shared" si="16"/>
        <v>0.35523874911053532</v>
      </c>
      <c r="CW14" s="1293">
        <f t="shared" si="16"/>
        <v>0.33145818410063527</v>
      </c>
      <c r="CX14" s="1294">
        <f t="shared" si="16"/>
        <v>0.33756243085684529</v>
      </c>
      <c r="CY14" s="1296"/>
      <c r="CZ14" s="1296"/>
      <c r="DA14" s="1291"/>
      <c r="DB14" s="1291"/>
      <c r="DC14" s="1291"/>
      <c r="DD14" s="1291"/>
      <c r="DE14" s="1291"/>
      <c r="DF14" s="1291"/>
      <c r="DG14" s="1291"/>
      <c r="DH14" s="1392"/>
      <c r="DI14" s="1387"/>
      <c r="DJ14" s="1392"/>
      <c r="DK14" s="1407"/>
      <c r="DL14" s="1407"/>
      <c r="DM14" s="1403"/>
      <c r="DN14" s="1403"/>
      <c r="DO14" s="1403"/>
      <c r="DP14" s="1403"/>
      <c r="DQ14" s="1403"/>
      <c r="DR14" s="3075"/>
      <c r="DS14" s="264"/>
      <c r="DT14" s="264"/>
      <c r="DU14" s="264"/>
      <c r="DV14" s="264"/>
      <c r="DW14" s="264"/>
      <c r="DX14" s="264"/>
      <c r="DY14" s="264"/>
      <c r="DZ14" s="264"/>
      <c r="EA14" s="264"/>
      <c r="EB14" s="264"/>
      <c r="EC14" s="264"/>
      <c r="ED14" s="264"/>
      <c r="EE14" s="264"/>
      <c r="EF14" s="264"/>
      <c r="EG14" s="264"/>
      <c r="EH14" s="264"/>
      <c r="EI14" s="264"/>
      <c r="EJ14" s="264"/>
      <c r="EK14" s="264"/>
      <c r="EL14" s="264"/>
      <c r="EM14" s="264"/>
      <c r="EN14" s="264"/>
      <c r="EO14" s="264"/>
      <c r="EP14" s="264"/>
      <c r="EQ14" s="264"/>
      <c r="ER14" s="264"/>
    </row>
    <row r="15" spans="1:148" s="934" customFormat="1" ht="12">
      <c r="A15" s="1297"/>
      <c r="B15" s="1285"/>
      <c r="C15" s="1286"/>
      <c r="D15" s="1286"/>
      <c r="E15" s="1286"/>
      <c r="F15" s="1286"/>
      <c r="G15" s="1285"/>
      <c r="H15" s="1286"/>
      <c r="I15" s="1286"/>
      <c r="J15" s="1286"/>
      <c r="K15" s="1286"/>
      <c r="L15" s="1285"/>
      <c r="M15" s="1286"/>
      <c r="N15" s="1286"/>
      <c r="O15" s="1286"/>
      <c r="P15" s="1287"/>
      <c r="Q15" s="1288"/>
      <c r="R15" s="1286"/>
      <c r="S15" s="1289"/>
      <c r="T15" s="1286"/>
      <c r="U15" s="1286"/>
      <c r="V15" s="1290"/>
      <c r="W15" s="1286"/>
      <c r="X15" s="1289"/>
      <c r="Y15" s="1289"/>
      <c r="Z15" s="1286"/>
      <c r="AA15" s="1290"/>
      <c r="AB15" s="1286"/>
      <c r="AC15" s="1289"/>
      <c r="AD15" s="1289"/>
      <c r="AE15" s="1286"/>
      <c r="AF15" s="1291"/>
      <c r="AG15" s="1286"/>
      <c r="AH15" s="1289"/>
      <c r="AI15" s="1289"/>
      <c r="AJ15" s="1286"/>
      <c r="AK15" s="1291"/>
      <c r="AL15" s="1286"/>
      <c r="AM15" s="1289"/>
      <c r="AN15" s="1289"/>
      <c r="AO15" s="1286"/>
      <c r="AP15" s="1291"/>
      <c r="AQ15" s="1286"/>
      <c r="AR15" s="1292"/>
      <c r="AS15" s="1292"/>
      <c r="AT15" s="1292"/>
      <c r="AU15" s="1291"/>
      <c r="AV15" s="1286"/>
      <c r="AW15" s="1286"/>
      <c r="AX15" s="1286"/>
      <c r="AY15" s="1292"/>
      <c r="AZ15" s="1352"/>
      <c r="BA15" s="1286"/>
      <c r="BB15" s="1286"/>
      <c r="BC15" s="1286"/>
      <c r="BD15" s="1286"/>
      <c r="BE15" s="1352"/>
      <c r="BF15" s="1286"/>
      <c r="BG15" s="1286"/>
      <c r="BH15" s="1286"/>
      <c r="BI15" s="1286"/>
      <c r="BJ15" s="1352"/>
      <c r="BK15" s="1293"/>
      <c r="BL15" s="1293"/>
      <c r="BM15" s="1293"/>
      <c r="BN15" s="1293"/>
      <c r="BO15" s="1294"/>
      <c r="BP15" s="1293"/>
      <c r="BQ15" s="1293"/>
      <c r="BR15" s="1293"/>
      <c r="BS15" s="1293"/>
      <c r="BT15" s="1294"/>
      <c r="BU15" s="1293"/>
      <c r="BV15" s="1293"/>
      <c r="BW15" s="1295"/>
      <c r="BX15" s="1295"/>
      <c r="BY15" s="1377"/>
      <c r="BZ15" s="1295"/>
      <c r="CA15" s="1293"/>
      <c r="CB15" s="1295"/>
      <c r="CC15" s="1295"/>
      <c r="CD15" s="1377"/>
      <c r="CE15" s="1295"/>
      <c r="CF15" s="1293"/>
      <c r="CG15" s="1295"/>
      <c r="CH15" s="1295"/>
      <c r="CI15" s="1377"/>
      <c r="CJ15" s="1295"/>
      <c r="CK15" s="1295"/>
      <c r="CL15" s="1295"/>
      <c r="CM15" s="1295"/>
      <c r="CN15" s="1377"/>
      <c r="CO15" s="1295"/>
      <c r="CP15" s="1295"/>
      <c r="CQ15" s="1295"/>
      <c r="CR15" s="1295"/>
      <c r="CS15" s="1377"/>
      <c r="CT15" s="1295"/>
      <c r="CU15" s="1295"/>
      <c r="CV15" s="1295"/>
      <c r="CW15" s="1295"/>
      <c r="CX15" s="1377"/>
      <c r="CY15" s="1296"/>
      <c r="CZ15" s="1296"/>
      <c r="DA15" s="1291"/>
      <c r="DB15" s="1291"/>
      <c r="DC15" s="1291"/>
      <c r="DD15" s="1291"/>
      <c r="DE15" s="1291"/>
      <c r="DF15" s="1291"/>
      <c r="DG15" s="1291"/>
      <c r="DH15" s="1392"/>
      <c r="DI15" s="1387"/>
      <c r="DJ15" s="1392"/>
      <c r="DK15" s="1407"/>
      <c r="DL15" s="1407"/>
      <c r="DM15" s="1403"/>
      <c r="DN15" s="1403"/>
      <c r="DO15" s="1403"/>
      <c r="DP15" s="1403"/>
      <c r="DQ15" s="1403"/>
      <c r="DR15" s="3075"/>
      <c r="DS15" s="264"/>
      <c r="DT15" s="264"/>
      <c r="DU15" s="264"/>
      <c r="DV15" s="264"/>
      <c r="DW15" s="264"/>
      <c r="DX15" s="264"/>
      <c r="DY15" s="264"/>
      <c r="DZ15" s="264"/>
      <c r="EA15" s="264"/>
      <c r="EB15" s="264"/>
      <c r="EC15" s="264"/>
      <c r="ED15" s="264"/>
      <c r="EE15" s="264"/>
      <c r="EF15" s="264"/>
      <c r="EG15" s="264"/>
      <c r="EH15" s="264"/>
      <c r="EI15" s="264"/>
      <c r="EJ15" s="264"/>
      <c r="EK15" s="264"/>
      <c r="EL15" s="264"/>
      <c r="EM15" s="264"/>
      <c r="EN15" s="264"/>
      <c r="EO15" s="264"/>
      <c r="EP15" s="264"/>
      <c r="EQ15" s="264"/>
      <c r="ER15" s="264"/>
    </row>
    <row r="16" spans="1:148" s="934" customFormat="1">
      <c r="A16" s="1050" t="s">
        <v>1045</v>
      </c>
      <c r="B16" s="1268"/>
      <c r="C16" s="1269"/>
      <c r="D16" s="1269"/>
      <c r="E16" s="1269"/>
      <c r="F16" s="1269"/>
      <c r="G16" s="1268"/>
      <c r="H16" s="1269"/>
      <c r="I16" s="1269"/>
      <c r="J16" s="1269"/>
      <c r="K16" s="1269"/>
      <c r="L16" s="1268"/>
      <c r="M16" s="1269"/>
      <c r="N16" s="1269"/>
      <c r="O16" s="1269"/>
      <c r="P16" s="1270"/>
      <c r="Q16" s="1271"/>
      <c r="R16" s="1269"/>
      <c r="S16" s="1272"/>
      <c r="T16" s="1269"/>
      <c r="U16" s="1269"/>
      <c r="V16" s="1273"/>
      <c r="W16" s="1269"/>
      <c r="X16" s="1272"/>
      <c r="Y16" s="1272"/>
      <c r="Z16" s="1269"/>
      <c r="AA16" s="1273"/>
      <c r="AB16" s="1269"/>
      <c r="AC16" s="1272"/>
      <c r="AD16" s="1272"/>
      <c r="AE16" s="1269"/>
      <c r="AF16" s="1274"/>
      <c r="AG16" s="1269"/>
      <c r="AH16" s="1272"/>
      <c r="AI16" s="1272"/>
      <c r="AJ16" s="1269"/>
      <c r="AK16" s="1274"/>
      <c r="AL16" s="1269"/>
      <c r="AM16" s="1272"/>
      <c r="AN16" s="1272"/>
      <c r="AO16" s="1269"/>
      <c r="AP16" s="1274"/>
      <c r="AQ16" s="1269"/>
      <c r="AR16" s="1275"/>
      <c r="AS16" s="1275"/>
      <c r="AT16" s="1275"/>
      <c r="AU16" s="1274"/>
      <c r="AV16" s="1269"/>
      <c r="AW16" s="1269"/>
      <c r="AX16" s="1269"/>
      <c r="AY16" s="1275"/>
      <c r="AZ16" s="1353"/>
      <c r="BA16" s="1269"/>
      <c r="BB16" s="1269"/>
      <c r="BC16" s="1269"/>
      <c r="BD16" s="1269"/>
      <c r="BE16" s="1353"/>
      <c r="BF16" s="1269"/>
      <c r="BG16" s="1269"/>
      <c r="BH16" s="1269"/>
      <c r="BI16" s="1269"/>
      <c r="BJ16" s="1353"/>
      <c r="BK16" s="1269"/>
      <c r="BL16" s="1269"/>
      <c r="BM16" s="1269"/>
      <c r="BN16" s="1269"/>
      <c r="BO16" s="1353"/>
      <c r="BP16" s="1269"/>
      <c r="BQ16" s="1269"/>
      <c r="BR16" s="1269"/>
      <c r="BS16" s="1269"/>
      <c r="BT16" s="1369"/>
      <c r="BU16" s="1269"/>
      <c r="BV16" s="1269"/>
      <c r="BW16" s="1276"/>
      <c r="BX16" s="1276"/>
      <c r="BY16" s="1376"/>
      <c r="BZ16" s="1276"/>
      <c r="CA16" s="1269"/>
      <c r="CB16" s="1276"/>
      <c r="CC16" s="1276"/>
      <c r="CD16" s="1376"/>
      <c r="CE16" s="1276"/>
      <c r="CF16" s="1269"/>
      <c r="CG16" s="1276"/>
      <c r="CH16" s="1276"/>
      <c r="CI16" s="1376"/>
      <c r="CJ16" s="1276"/>
      <c r="CK16" s="1276"/>
      <c r="CL16" s="1276"/>
      <c r="CM16" s="1276"/>
      <c r="CN16" s="1376"/>
      <c r="CO16" s="1276"/>
      <c r="CP16" s="1276"/>
      <c r="CQ16" s="1276"/>
      <c r="CR16" s="1276"/>
      <c r="CS16" s="1376"/>
      <c r="CT16" s="1276"/>
      <c r="CU16" s="1276"/>
      <c r="CV16" s="1276"/>
      <c r="CW16" s="1276"/>
      <c r="CX16" s="1376"/>
      <c r="CY16" s="1277"/>
      <c r="CZ16" s="1277"/>
      <c r="DA16" s="1274"/>
      <c r="DB16" s="1274"/>
      <c r="DC16" s="1274"/>
      <c r="DD16" s="1274"/>
      <c r="DE16" s="1274"/>
      <c r="DF16" s="1274"/>
      <c r="DG16" s="1274"/>
      <c r="DH16" s="1391"/>
      <c r="DI16" s="1386"/>
      <c r="DJ16" s="1391"/>
      <c r="DK16" s="1406"/>
      <c r="DL16" s="1406"/>
      <c r="DM16" s="1402"/>
      <c r="DN16" s="1402"/>
      <c r="DO16" s="1402"/>
      <c r="DP16" s="1402"/>
      <c r="DQ16" s="1402"/>
      <c r="DR16" s="3073"/>
      <c r="DS16" s="264"/>
      <c r="DT16" s="264"/>
      <c r="DU16" s="264"/>
      <c r="DV16" s="264"/>
      <c r="DW16" s="264"/>
      <c r="DX16" s="264"/>
      <c r="DY16" s="264"/>
      <c r="DZ16" s="264"/>
      <c r="EA16" s="264"/>
      <c r="EB16" s="264"/>
      <c r="EC16" s="264"/>
      <c r="ED16" s="264"/>
      <c r="EE16" s="264"/>
      <c r="EF16" s="264"/>
      <c r="EG16" s="264"/>
      <c r="EH16" s="264"/>
      <c r="EI16" s="264"/>
      <c r="EJ16" s="264"/>
      <c r="EK16" s="264"/>
      <c r="EL16" s="264"/>
      <c r="EM16" s="264"/>
      <c r="EN16" s="264"/>
      <c r="EO16" s="264"/>
      <c r="EP16" s="264"/>
      <c r="EQ16" s="264"/>
      <c r="ER16" s="264"/>
    </row>
    <row r="17" spans="1:148" s="934" customFormat="1" ht="12">
      <c r="A17" s="1278" t="s">
        <v>1046</v>
      </c>
      <c r="B17" s="1279"/>
      <c r="C17" s="1279"/>
      <c r="D17" s="1279"/>
      <c r="E17" s="1279"/>
      <c r="F17" s="1279"/>
      <c r="G17" s="1279"/>
      <c r="H17" s="1279"/>
      <c r="I17" s="1279"/>
      <c r="J17" s="1279"/>
      <c r="K17" s="1279"/>
      <c r="L17" s="1279"/>
      <c r="M17" s="1279"/>
      <c r="N17" s="1279"/>
      <c r="O17" s="1279"/>
      <c r="P17" s="1279"/>
      <c r="Q17" s="1279"/>
      <c r="R17" s="1279"/>
      <c r="S17" s="1279"/>
      <c r="T17" s="1279"/>
      <c r="U17" s="1279"/>
      <c r="V17" s="1279"/>
      <c r="W17" s="1279"/>
      <c r="X17" s="1279"/>
      <c r="Y17" s="1279"/>
      <c r="Z17" s="1279"/>
      <c r="AA17" s="1279"/>
      <c r="AB17" s="1279"/>
      <c r="AC17" s="1279"/>
      <c r="AD17" s="1279"/>
      <c r="AE17" s="1279"/>
      <c r="AF17" s="1279"/>
      <c r="AG17" s="1279"/>
      <c r="AH17" s="1279"/>
      <c r="AI17" s="1279"/>
      <c r="AJ17" s="1279"/>
      <c r="AK17" s="1279"/>
      <c r="AL17" s="1279"/>
      <c r="AM17" s="1279"/>
      <c r="AN17" s="1279"/>
      <c r="AO17" s="1279"/>
      <c r="AP17" s="1279"/>
      <c r="AQ17" s="1279"/>
      <c r="AR17" s="1279"/>
      <c r="AS17" s="1279"/>
      <c r="AT17" s="1279"/>
      <c r="AU17" s="1280"/>
      <c r="AV17" s="1279"/>
      <c r="AW17" s="1279"/>
      <c r="AX17" s="1279"/>
      <c r="AY17" s="1281"/>
      <c r="AZ17" s="1280"/>
      <c r="BA17" s="1282"/>
      <c r="BB17" s="1282"/>
      <c r="BC17" s="1282"/>
      <c r="BD17" s="1282"/>
      <c r="BE17" s="1280"/>
      <c r="BF17" s="1282"/>
      <c r="BG17" s="1282"/>
      <c r="BH17" s="1282"/>
      <c r="BI17" s="1282"/>
      <c r="BJ17" s="1280">
        <v>19747</v>
      </c>
      <c r="BK17" s="1283">
        <v>4859</v>
      </c>
      <c r="BL17" s="1283">
        <v>5521</v>
      </c>
      <c r="BM17" s="1283">
        <v>5287</v>
      </c>
      <c r="BN17" s="1282">
        <v>6065</v>
      </c>
      <c r="BO17" s="1280">
        <f>SUM(BK17:BN17)</f>
        <v>21732</v>
      </c>
      <c r="BP17" s="1283">
        <v>5475</v>
      </c>
      <c r="BQ17" s="1283">
        <v>6041</v>
      </c>
      <c r="BR17" s="1283">
        <v>5903</v>
      </c>
      <c r="BS17" s="1282">
        <v>6296</v>
      </c>
      <c r="BT17" s="1280">
        <f>SUM(BP17:BS17)</f>
        <v>23715</v>
      </c>
      <c r="BU17" s="2569">
        <v>5583</v>
      </c>
      <c r="BV17" s="2569">
        <v>6260</v>
      </c>
      <c r="BW17" s="2791">
        <v>5923</v>
      </c>
      <c r="BX17" s="2791">
        <v>7186</v>
      </c>
      <c r="BY17" s="1280">
        <f>SUM(BU17:BX17)</f>
        <v>24952</v>
      </c>
      <c r="BZ17" s="2791">
        <v>6097</v>
      </c>
      <c r="CA17" s="2569">
        <v>6758</v>
      </c>
      <c r="CB17" s="2791">
        <v>6730</v>
      </c>
      <c r="CC17" s="2791">
        <v>7822</v>
      </c>
      <c r="CD17" s="1280">
        <f>SUM(BZ17:CC17)</f>
        <v>27407</v>
      </c>
      <c r="CE17" s="2791">
        <v>6922</v>
      </c>
      <c r="CF17" s="2569">
        <v>7795</v>
      </c>
      <c r="CG17" s="2791">
        <v>7896</v>
      </c>
      <c r="CH17" s="990">
        <f>'Rev Detail - NEW'!BH28</f>
        <v>9138.2275178499985</v>
      </c>
      <c r="CI17" s="1280">
        <f>SUM(CE17:CH17)</f>
        <v>31751.227517849999</v>
      </c>
      <c r="CJ17" s="990">
        <f>'Rev Detail - NEW'!BJ28</f>
        <v>8270.1219999999994</v>
      </c>
      <c r="CK17" s="990">
        <f>'Rev Detail - NEW'!BK28</f>
        <v>9167.8235999999997</v>
      </c>
      <c r="CL17" s="990">
        <f>'Rev Detail - NEW'!BL28</f>
        <v>9473.450350000001</v>
      </c>
      <c r="CM17" s="990">
        <f>'Rev Detail - NEW'!BM28</f>
        <v>11091.7320046595</v>
      </c>
      <c r="CN17" s="1280">
        <f>SUM(CJ17:CM17)</f>
        <v>38003.127954659496</v>
      </c>
      <c r="CO17" s="990">
        <f>'Rev Detail - NEW'!BO28</f>
        <v>10161.66784</v>
      </c>
      <c r="CP17" s="990">
        <f>'Rev Detail - NEW'!BP28</f>
        <v>11056.984032</v>
      </c>
      <c r="CQ17" s="990">
        <f>'Rev Detail - NEW'!BQ28</f>
        <v>11660.038019500002</v>
      </c>
      <c r="CR17" s="990">
        <f>'Rev Detail - NEW'!BR28</f>
        <v>13735.783021028314</v>
      </c>
      <c r="CS17" s="1280">
        <f>SUM(CO17:CR17)</f>
        <v>46614.472912528319</v>
      </c>
      <c r="CT17" s="990">
        <f>'Rev Detail - NEW'!BT28</f>
        <v>12449.1545824</v>
      </c>
      <c r="CU17" s="990">
        <f>'Rev Detail - NEW'!BU28</f>
        <v>13190.426155200001</v>
      </c>
      <c r="CV17" s="990">
        <f>'Rev Detail - NEW'!BV28</f>
        <v>13955.672712695001</v>
      </c>
      <c r="CW17" s="990">
        <f>'Rev Detail - NEW'!BW28</f>
        <v>16516.130236805344</v>
      </c>
      <c r="CX17" s="1280">
        <f>SUM(CT17:CW17)</f>
        <v>56111.383687100344</v>
      </c>
      <c r="CY17" s="1281"/>
      <c r="CZ17" s="1281"/>
      <c r="DA17" s="1280"/>
      <c r="DB17" s="1280"/>
      <c r="DC17" s="1280"/>
      <c r="DD17" s="1280"/>
      <c r="DE17" s="1280"/>
      <c r="DF17" s="1280"/>
      <c r="DG17" s="1380"/>
      <c r="DH17" s="1380"/>
      <c r="DI17" s="1280"/>
      <c r="DJ17" s="1380"/>
      <c r="DK17" s="1380">
        <f>BM17+BN17+BP17+BQ17</f>
        <v>22868</v>
      </c>
      <c r="DL17" s="1380">
        <f>BR17+BS17+BU17+BV17</f>
        <v>24042</v>
      </c>
      <c r="DM17" s="1280">
        <f>BW17+BX17+BZ17+CA17</f>
        <v>25964</v>
      </c>
      <c r="DN17" s="1280">
        <f>CB17+CC17+CE17+CF17</f>
        <v>29269</v>
      </c>
      <c r="DO17" s="1280">
        <f>CG17+CH17+CJ17+CK17</f>
        <v>34472.173117849998</v>
      </c>
      <c r="DP17" s="1280">
        <f>CL17+CM17+CO17+CP17</f>
        <v>41783.834226659499</v>
      </c>
      <c r="DQ17" s="1280">
        <f>CQ17+CR17+CT17+CU17</f>
        <v>51035.401778128318</v>
      </c>
      <c r="DR17" s="3056"/>
      <c r="DS17" s="264"/>
      <c r="DT17" s="264"/>
      <c r="DU17" s="264"/>
      <c r="DV17" s="264"/>
      <c r="DW17" s="264"/>
      <c r="DX17" s="264"/>
      <c r="DY17" s="264"/>
      <c r="DZ17" s="264"/>
      <c r="EA17" s="264"/>
      <c r="EB17" s="264"/>
      <c r="EC17" s="264"/>
      <c r="ED17" s="264"/>
      <c r="EE17" s="264"/>
      <c r="EF17" s="264"/>
      <c r="EG17" s="264"/>
      <c r="EH17" s="264"/>
      <c r="EI17" s="264"/>
      <c r="EJ17" s="264"/>
      <c r="EK17" s="264"/>
      <c r="EL17" s="264"/>
      <c r="EM17" s="264"/>
      <c r="EN17" s="264"/>
      <c r="EO17" s="264"/>
      <c r="EP17" s="264"/>
      <c r="EQ17" s="264"/>
      <c r="ER17" s="264"/>
    </row>
    <row r="18" spans="1:148" s="934" customFormat="1" ht="12">
      <c r="A18" s="1284" t="s">
        <v>717</v>
      </c>
      <c r="B18" s="1285"/>
      <c r="C18" s="1286"/>
      <c r="D18" s="1286"/>
      <c r="E18" s="1286"/>
      <c r="F18" s="1286"/>
      <c r="G18" s="1285"/>
      <c r="H18" s="1286"/>
      <c r="I18" s="1286"/>
      <c r="J18" s="1286"/>
      <c r="K18" s="1286"/>
      <c r="L18" s="1285"/>
      <c r="M18" s="1286"/>
      <c r="N18" s="1286"/>
      <c r="O18" s="1286"/>
      <c r="P18" s="1287"/>
      <c r="Q18" s="1288"/>
      <c r="R18" s="1286"/>
      <c r="S18" s="1289"/>
      <c r="T18" s="1286"/>
      <c r="U18" s="1286"/>
      <c r="V18" s="1290"/>
      <c r="W18" s="1286"/>
      <c r="X18" s="1289"/>
      <c r="Y18" s="1289"/>
      <c r="Z18" s="1286"/>
      <c r="AA18" s="1290"/>
      <c r="AB18" s="1286"/>
      <c r="AC18" s="1289"/>
      <c r="AD18" s="1289"/>
      <c r="AE18" s="1286"/>
      <c r="AF18" s="1291"/>
      <c r="AG18" s="1286"/>
      <c r="AH18" s="1289"/>
      <c r="AI18" s="1289"/>
      <c r="AJ18" s="1286"/>
      <c r="AK18" s="1291"/>
      <c r="AL18" s="1286"/>
      <c r="AM18" s="1289"/>
      <c r="AN18" s="1289"/>
      <c r="AO18" s="1286"/>
      <c r="AP18" s="1291"/>
      <c r="AQ18" s="1286"/>
      <c r="AR18" s="1292"/>
      <c r="AS18" s="1292"/>
      <c r="AT18" s="1292"/>
      <c r="AU18" s="1291"/>
      <c r="AV18" s="1286"/>
      <c r="AW18" s="1286"/>
      <c r="AX18" s="1286"/>
      <c r="AY18" s="1292"/>
      <c r="AZ18" s="1352"/>
      <c r="BA18" s="1286"/>
      <c r="BB18" s="1286"/>
      <c r="BC18" s="1286"/>
      <c r="BD18" s="1286"/>
      <c r="BE18" s="1352"/>
      <c r="BF18" s="1286"/>
      <c r="BG18" s="1286"/>
      <c r="BH18" s="1286"/>
      <c r="BI18" s="1286"/>
      <c r="BJ18" s="1352"/>
      <c r="BK18" s="1293"/>
      <c r="BL18" s="1293"/>
      <c r="BM18" s="1293"/>
      <c r="BN18" s="1293"/>
      <c r="BO18" s="1294">
        <f t="shared" ref="BO18:CG18" si="17">BO17/BJ17-1</f>
        <v>0.10052159821745077</v>
      </c>
      <c r="BP18" s="1293">
        <f t="shared" si="17"/>
        <v>0.12677505659600752</v>
      </c>
      <c r="BQ18" s="1293">
        <f t="shared" si="17"/>
        <v>9.4185835899293524E-2</v>
      </c>
      <c r="BR18" s="1293">
        <f t="shared" si="17"/>
        <v>0.11651219973519944</v>
      </c>
      <c r="BS18" s="1293">
        <f t="shared" si="17"/>
        <v>3.8087386644682697E-2</v>
      </c>
      <c r="BT18" s="1294">
        <f t="shared" si="17"/>
        <v>9.1247929320817267E-2</v>
      </c>
      <c r="BU18" s="1293"/>
      <c r="BV18" s="1293"/>
      <c r="BW18" s="1293"/>
      <c r="BX18" s="1293"/>
      <c r="BY18" s="1294"/>
      <c r="BZ18" s="1293">
        <f t="shared" si="17"/>
        <v>9.2065197922263975E-2</v>
      </c>
      <c r="CA18" s="1293">
        <f t="shared" si="17"/>
        <v>7.9552715654952033E-2</v>
      </c>
      <c r="CB18" s="1293">
        <f t="shared" si="17"/>
        <v>0.13624852270808718</v>
      </c>
      <c r="CC18" s="1293">
        <f t="shared" si="17"/>
        <v>8.8505427219593757E-2</v>
      </c>
      <c r="CD18" s="1294">
        <f t="shared" si="17"/>
        <v>9.8388906700865641E-2</v>
      </c>
      <c r="CE18" s="1293">
        <f t="shared" si="17"/>
        <v>0.13531244874528459</v>
      </c>
      <c r="CF18" s="1293">
        <f t="shared" si="17"/>
        <v>0.1534477656111275</v>
      </c>
      <c r="CG18" s="1293">
        <f t="shared" si="17"/>
        <v>0.17325408618127791</v>
      </c>
      <c r="CH18" s="1293">
        <f t="shared" ref="CG18:CN18" si="18">CH17/CC17-1</f>
        <v>0.16827250292124751</v>
      </c>
      <c r="CI18" s="1294">
        <f t="shared" si="18"/>
        <v>0.15850795482358526</v>
      </c>
      <c r="CJ18" s="1293">
        <f t="shared" si="18"/>
        <v>0.19475902918231713</v>
      </c>
      <c r="CK18" s="1293">
        <f t="shared" si="18"/>
        <v>0.17611592046183455</v>
      </c>
      <c r="CL18" s="1293">
        <f t="shared" si="18"/>
        <v>0.19977841312056754</v>
      </c>
      <c r="CM18" s="1293">
        <f t="shared" si="18"/>
        <v>0.21377280035911306</v>
      </c>
      <c r="CN18" s="1294">
        <f t="shared" si="18"/>
        <v>0.19690263733251845</v>
      </c>
      <c r="CO18" s="1293">
        <f t="shared" ref="CO18" si="19">CO17/CJ17-1</f>
        <v>0.22872042758256783</v>
      </c>
      <c r="CP18" s="1293">
        <f t="shared" ref="CP18" si="20">CP17/CK17-1</f>
        <v>0.2060642213927415</v>
      </c>
      <c r="CQ18" s="1293">
        <f t="shared" ref="CQ18" si="21">CQ17/CL17-1</f>
        <v>0.23081217388762698</v>
      </c>
      <c r="CR18" s="1293">
        <f t="shared" ref="CR18" si="22">CR17/CM17-1</f>
        <v>0.23838035531854551</v>
      </c>
      <c r="CS18" s="1294">
        <f t="shared" ref="CS18" si="23">CS17/CN17-1</f>
        <v>0.22659568886389536</v>
      </c>
      <c r="CT18" s="1293">
        <f t="shared" ref="CT18" si="24">CT17/CO17-1</f>
        <v>0.22510937952484777</v>
      </c>
      <c r="CU18" s="1293">
        <f t="shared" ref="CU18" si="25">CU17/CP17-1</f>
        <v>0.1929497335824677</v>
      </c>
      <c r="CV18" s="1293">
        <f t="shared" ref="CV18" si="26">CV17/CQ17-1</f>
        <v>0.19688054956217371</v>
      </c>
      <c r="CW18" s="1293">
        <f t="shared" ref="CW18" si="27">CW17/CR17-1</f>
        <v>0.20241636108553518</v>
      </c>
      <c r="CX18" s="1294">
        <f t="shared" ref="CX18" si="28">CX17/CS17-1</f>
        <v>0.20373309363366388</v>
      </c>
      <c r="CY18" s="1296"/>
      <c r="CZ18" s="1296"/>
      <c r="DA18" s="1291"/>
      <c r="DB18" s="1291"/>
      <c r="DC18" s="1291"/>
      <c r="DD18" s="1291"/>
      <c r="DE18" s="1291"/>
      <c r="DF18" s="1291"/>
      <c r="DG18" s="1291"/>
      <c r="DH18" s="1392"/>
      <c r="DI18" s="1387"/>
      <c r="DJ18" s="1392"/>
      <c r="DK18" s="1407"/>
      <c r="DL18" s="1413">
        <f t="shared" ref="DL18:DQ18" si="29">DL17/DK17-1</f>
        <v>5.133811439566216E-2</v>
      </c>
      <c r="DM18" s="1412">
        <f t="shared" si="29"/>
        <v>7.9943432326761599E-2</v>
      </c>
      <c r="DN18" s="1412">
        <f t="shared" si="29"/>
        <v>0.12729163457094428</v>
      </c>
      <c r="DO18" s="1412">
        <f t="shared" si="29"/>
        <v>0.17777078539922786</v>
      </c>
      <c r="DP18" s="1412">
        <f t="shared" si="29"/>
        <v>0.21210328353286956</v>
      </c>
      <c r="DQ18" s="1412">
        <f t="shared" si="29"/>
        <v>0.2214149975151396</v>
      </c>
      <c r="DR18" s="3074"/>
      <c r="DS18" s="264"/>
      <c r="DT18" s="264"/>
      <c r="DU18" s="264"/>
      <c r="DV18" s="264"/>
      <c r="DW18" s="264"/>
      <c r="DX18" s="264"/>
      <c r="DY18" s="264"/>
      <c r="DZ18" s="264"/>
      <c r="EA18" s="264"/>
      <c r="EB18" s="264"/>
      <c r="EC18" s="264"/>
      <c r="ED18" s="264"/>
      <c r="EE18" s="264"/>
      <c r="EF18" s="264"/>
      <c r="EG18" s="264"/>
      <c r="EH18" s="264"/>
      <c r="EI18" s="264"/>
      <c r="EJ18" s="264"/>
      <c r="EK18" s="264"/>
      <c r="EL18" s="264"/>
      <c r="EM18" s="264"/>
      <c r="EN18" s="264"/>
      <c r="EO18" s="264"/>
      <c r="EP18" s="264"/>
      <c r="EQ18" s="264"/>
      <c r="ER18" s="264"/>
    </row>
    <row r="19" spans="1:148" s="934" customFormat="1" ht="12" hidden="1" outlineLevel="1">
      <c r="A19" s="1284" t="s">
        <v>1027</v>
      </c>
      <c r="B19" s="1285"/>
      <c r="C19" s="1286"/>
      <c r="D19" s="1286"/>
      <c r="E19" s="1286"/>
      <c r="F19" s="1286"/>
      <c r="G19" s="1285"/>
      <c r="H19" s="1286"/>
      <c r="I19" s="1286"/>
      <c r="J19" s="1286"/>
      <c r="K19" s="1286"/>
      <c r="L19" s="1285"/>
      <c r="M19" s="1286"/>
      <c r="N19" s="1286"/>
      <c r="O19" s="1286"/>
      <c r="P19" s="1287"/>
      <c r="Q19" s="1288"/>
      <c r="R19" s="1286"/>
      <c r="S19" s="1289"/>
      <c r="T19" s="1286"/>
      <c r="U19" s="1286"/>
      <c r="V19" s="1290"/>
      <c r="W19" s="1286"/>
      <c r="X19" s="1289"/>
      <c r="Y19" s="1289"/>
      <c r="Z19" s="1286"/>
      <c r="AA19" s="1290"/>
      <c r="AB19" s="1286"/>
      <c r="AC19" s="1289"/>
      <c r="AD19" s="1289"/>
      <c r="AE19" s="1286"/>
      <c r="AF19" s="1291"/>
      <c r="AG19" s="1286"/>
      <c r="AH19" s="1289"/>
      <c r="AI19" s="1289"/>
      <c r="AJ19" s="1286"/>
      <c r="AK19" s="1291"/>
      <c r="AL19" s="1286"/>
      <c r="AM19" s="1289"/>
      <c r="AN19" s="1289"/>
      <c r="AO19" s="1286"/>
      <c r="AP19" s="1291"/>
      <c r="AQ19" s="1286"/>
      <c r="AR19" s="1292"/>
      <c r="AS19" s="1292"/>
      <c r="AT19" s="1292"/>
      <c r="AU19" s="1291"/>
      <c r="AV19" s="1286"/>
      <c r="AW19" s="1286"/>
      <c r="AX19" s="1286"/>
      <c r="AY19" s="1292"/>
      <c r="AZ19" s="1352"/>
      <c r="BA19" s="1286"/>
      <c r="BB19" s="1286"/>
      <c r="BC19" s="1286"/>
      <c r="BD19" s="1286"/>
      <c r="BE19" s="1352"/>
      <c r="BF19" s="1286"/>
      <c r="BG19" s="1286"/>
      <c r="BH19" s="1286"/>
      <c r="BI19" s="1286"/>
      <c r="BJ19" s="1352"/>
      <c r="BK19" s="1293"/>
      <c r="BL19" s="1293"/>
      <c r="BM19" s="1293"/>
      <c r="BN19" s="1293"/>
      <c r="BO19" s="1294"/>
      <c r="BP19" s="1293"/>
      <c r="BQ19" s="1293"/>
      <c r="BR19" s="1293"/>
      <c r="BS19" s="1293"/>
      <c r="BT19" s="1294"/>
      <c r="BU19" s="1293">
        <f>+(BU17+351)/BP17-1</f>
        <v>8.3835616438356242E-2</v>
      </c>
      <c r="BV19" s="1293">
        <f>+(BV17+369)/BQ17-1</f>
        <v>9.7334878331402086E-2</v>
      </c>
      <c r="BW19" s="1293">
        <f>+(BW17+282)/BR17-1</f>
        <v>5.1160426901575518E-2</v>
      </c>
      <c r="BX19" s="1293">
        <f>+(BX17+215)/BS17-1</f>
        <v>0.17550825921219815</v>
      </c>
      <c r="BY19" s="1377"/>
      <c r="BZ19" s="1293">
        <f>+(BZ17+119)/BU17-1</f>
        <v>0.11337990327780756</v>
      </c>
      <c r="CA19" s="1293">
        <f>+(CA17+112)/BV17-1</f>
        <v>9.744408945686911E-2</v>
      </c>
      <c r="CB19" s="1293">
        <f>+(CB17+74)/BW17-1</f>
        <v>0.14874219145703194</v>
      </c>
      <c r="CC19" s="1293">
        <f>+(CC17+91)/BX17-1</f>
        <v>0.10116893960478701</v>
      </c>
      <c r="CD19" s="1377"/>
      <c r="CE19" s="1293">
        <f>+(CE17-32)/BZ17-1</f>
        <v>0.13006396588486147</v>
      </c>
      <c r="CF19" s="1293">
        <f>+(CF17-49)/CA17-1</f>
        <v>0.14619709973364903</v>
      </c>
      <c r="CG19" s="1293">
        <f>+(CG17-162)/CB17-1</f>
        <v>0.14918276374442785</v>
      </c>
      <c r="CH19" s="1295"/>
      <c r="CI19" s="1377"/>
      <c r="CJ19" s="1295"/>
      <c r="CK19" s="1295"/>
      <c r="CL19" s="1295"/>
      <c r="CM19" s="1295"/>
      <c r="CN19" s="1377"/>
      <c r="CO19" s="1295"/>
      <c r="CP19" s="1295"/>
      <c r="CQ19" s="1295"/>
      <c r="CR19" s="1295"/>
      <c r="CS19" s="1377"/>
      <c r="CT19" s="1295"/>
      <c r="CU19" s="1295"/>
      <c r="CV19" s="1295"/>
      <c r="CW19" s="1295"/>
      <c r="CX19" s="1377"/>
      <c r="CY19" s="1296"/>
      <c r="CZ19" s="1296"/>
      <c r="DA19" s="1291"/>
      <c r="DB19" s="1291"/>
      <c r="DC19" s="1291"/>
      <c r="DD19" s="1291"/>
      <c r="DE19" s="1291"/>
      <c r="DF19" s="1291"/>
      <c r="DG19" s="1291"/>
      <c r="DH19" s="1392"/>
      <c r="DI19" s="1387"/>
      <c r="DJ19" s="1392"/>
      <c r="DK19" s="1407"/>
      <c r="DL19" s="1407"/>
      <c r="DM19" s="1403"/>
      <c r="DN19" s="1403"/>
      <c r="DO19" s="1403"/>
      <c r="DP19" s="1403"/>
      <c r="DQ19" s="1403"/>
      <c r="DR19" s="3075"/>
      <c r="DS19" s="264"/>
      <c r="DT19" s="264"/>
      <c r="DU19" s="264"/>
      <c r="DV19" s="264"/>
      <c r="DW19" s="264"/>
      <c r="DX19" s="264"/>
      <c r="DY19" s="264"/>
      <c r="DZ19" s="264"/>
      <c r="EA19" s="264"/>
      <c r="EB19" s="264"/>
      <c r="EC19" s="264"/>
      <c r="ED19" s="264"/>
      <c r="EE19" s="264"/>
      <c r="EF19" s="264"/>
      <c r="EG19" s="264"/>
      <c r="EH19" s="264"/>
      <c r="EI19" s="264"/>
      <c r="EJ19" s="264"/>
      <c r="EK19" s="264"/>
      <c r="EL19" s="264"/>
      <c r="EM19" s="264"/>
      <c r="EN19" s="264"/>
      <c r="EO19" s="264"/>
      <c r="EP19" s="264"/>
      <c r="EQ19" s="264"/>
      <c r="ER19" s="264"/>
    </row>
    <row r="20" spans="1:148" s="934" customFormat="1" ht="12" collapsed="1">
      <c r="A20" s="1284" t="s">
        <v>718</v>
      </c>
      <c r="B20" s="1285"/>
      <c r="C20" s="1286"/>
      <c r="D20" s="1286"/>
      <c r="E20" s="1286"/>
      <c r="F20" s="1286"/>
      <c r="G20" s="1285"/>
      <c r="H20" s="1286"/>
      <c r="I20" s="1286"/>
      <c r="J20" s="1286"/>
      <c r="K20" s="1286"/>
      <c r="L20" s="1285"/>
      <c r="M20" s="1286"/>
      <c r="N20" s="1286"/>
      <c r="O20" s="1286"/>
      <c r="P20" s="1287"/>
      <c r="Q20" s="1288"/>
      <c r="R20" s="1286"/>
      <c r="S20" s="1289"/>
      <c r="T20" s="1286"/>
      <c r="U20" s="1286"/>
      <c r="V20" s="1290"/>
      <c r="W20" s="1286"/>
      <c r="X20" s="1289"/>
      <c r="Y20" s="1289"/>
      <c r="Z20" s="1286"/>
      <c r="AA20" s="1290"/>
      <c r="AB20" s="1286"/>
      <c r="AC20" s="1289"/>
      <c r="AD20" s="1289"/>
      <c r="AE20" s="1286"/>
      <c r="AF20" s="1291"/>
      <c r="AG20" s="1286"/>
      <c r="AH20" s="1289"/>
      <c r="AI20" s="1289"/>
      <c r="AJ20" s="1286"/>
      <c r="AK20" s="1291"/>
      <c r="AL20" s="1286"/>
      <c r="AM20" s="1289"/>
      <c r="AN20" s="1289"/>
      <c r="AO20" s="1286"/>
      <c r="AP20" s="1291"/>
      <c r="AQ20" s="1286"/>
      <c r="AR20" s="1292"/>
      <c r="AS20" s="1292"/>
      <c r="AT20" s="1292"/>
      <c r="AU20" s="1291"/>
      <c r="AV20" s="1286"/>
      <c r="AW20" s="1286"/>
      <c r="AX20" s="1286"/>
      <c r="AY20" s="1292"/>
      <c r="AZ20" s="1352"/>
      <c r="BA20" s="1286"/>
      <c r="BB20" s="1286"/>
      <c r="BC20" s="1286"/>
      <c r="BD20" s="1286"/>
      <c r="BE20" s="1352"/>
      <c r="BF20" s="1286"/>
      <c r="BG20" s="1286"/>
      <c r="BH20" s="1286"/>
      <c r="BI20" s="1286"/>
      <c r="BJ20" s="1352"/>
      <c r="BK20" s="1293"/>
      <c r="BL20" s="1293">
        <f>BL17/BK17-1</f>
        <v>0.13624202510804695</v>
      </c>
      <c r="BM20" s="1293">
        <f>BM17/BL17-1</f>
        <v>-4.2383626154682164E-2</v>
      </c>
      <c r="BN20" s="1293">
        <f>BN17/BM17-1</f>
        <v>0.14715339512010583</v>
      </c>
      <c r="BO20" s="1294"/>
      <c r="BP20" s="1293">
        <f>BP17/BN17-1</f>
        <v>-9.7279472382522658E-2</v>
      </c>
      <c r="BQ20" s="1293">
        <f>BQ17/BP17-1</f>
        <v>0.10337899543379003</v>
      </c>
      <c r="BR20" s="1293">
        <f>BR17/BQ17-1</f>
        <v>-2.2843900016553564E-2</v>
      </c>
      <c r="BS20" s="1293">
        <f>BS17/BR17-1</f>
        <v>6.6576317126884721E-2</v>
      </c>
      <c r="BT20" s="1294"/>
      <c r="BU20" s="1293"/>
      <c r="BV20" s="1293">
        <f>BV17/BU17-1</f>
        <v>0.12126097080422715</v>
      </c>
      <c r="BW20" s="1293">
        <f>BW17/BV17-1</f>
        <v>-5.3833865814696513E-2</v>
      </c>
      <c r="BX20" s="1293">
        <f>BX17/BW17-1</f>
        <v>0.21323653553942257</v>
      </c>
      <c r="BY20" s="1294"/>
      <c r="BZ20" s="1293">
        <f>BZ17/BX17-1</f>
        <v>-0.1515446701920401</v>
      </c>
      <c r="CA20" s="1293">
        <f>CA17/BZ17-1</f>
        <v>0.10841397408561582</v>
      </c>
      <c r="CB20" s="1293">
        <f>CB17/CA17-1</f>
        <v>-4.1432376442734897E-3</v>
      </c>
      <c r="CC20" s="1293">
        <f>CC17/CB17-1</f>
        <v>0.16225854383358107</v>
      </c>
      <c r="CD20" s="1294"/>
      <c r="CE20" s="1293">
        <f>CE17/CC17-1</f>
        <v>-0.11506008693428793</v>
      </c>
      <c r="CF20" s="1293">
        <f>CF17/CE17-1</f>
        <v>0.126119618607339</v>
      </c>
      <c r="CG20" s="1293">
        <f>CG17/CF17-1</f>
        <v>1.295702373316221E-2</v>
      </c>
      <c r="CH20" s="1293">
        <f>CH17/CG17-1</f>
        <v>0.1573236471441235</v>
      </c>
      <c r="CI20" s="1294"/>
      <c r="CJ20" s="1293">
        <f>CJ17/CH17-1</f>
        <v>-9.4997144266139144E-2</v>
      </c>
      <c r="CK20" s="1293">
        <f>CK17/CJ17-1</f>
        <v>0.10854756435273871</v>
      </c>
      <c r="CL20" s="1293">
        <f>CL17/CK17-1</f>
        <v>3.3336892520488881E-2</v>
      </c>
      <c r="CM20" s="1293">
        <f>CM17/CL17-1</f>
        <v>0.17082283591210223</v>
      </c>
      <c r="CN20" s="1294"/>
      <c r="CO20" s="1293">
        <f>CO17/CM17-1</f>
        <v>-8.3852022774152046E-2</v>
      </c>
      <c r="CP20" s="1293">
        <f>CP17/CO17-1</f>
        <v>8.8107208983520646E-2</v>
      </c>
      <c r="CQ20" s="1293">
        <f>CQ17/CP17-1</f>
        <v>5.4540549733517185E-2</v>
      </c>
      <c r="CR20" s="1293">
        <f>CR17/CQ17-1</f>
        <v>0.17802214693098595</v>
      </c>
      <c r="CS20" s="1294"/>
      <c r="CT20" s="1293">
        <f>CT17/CR17-1</f>
        <v>-9.3669828407932365E-2</v>
      </c>
      <c r="CU20" s="1293">
        <f>CU17/CT17-1</f>
        <v>5.9543928697614046E-2</v>
      </c>
      <c r="CV20" s="1293">
        <f>CV17/CU17-1</f>
        <v>5.8015302044909234E-2</v>
      </c>
      <c r="CW20" s="1293">
        <f>CW17/CV17-1</f>
        <v>0.18347073457671326</v>
      </c>
      <c r="CX20" s="1294"/>
      <c r="CY20" s="1296"/>
      <c r="CZ20" s="1296"/>
      <c r="DA20" s="1291"/>
      <c r="DB20" s="1291"/>
      <c r="DC20" s="1291"/>
      <c r="DD20" s="1291"/>
      <c r="DE20" s="1291"/>
      <c r="DF20" s="1291"/>
      <c r="DG20" s="1291"/>
      <c r="DH20" s="1392"/>
      <c r="DI20" s="1387"/>
      <c r="DJ20" s="1392"/>
      <c r="DK20" s="1407"/>
      <c r="DL20" s="1407"/>
      <c r="DM20" s="1403"/>
      <c r="DN20" s="1403"/>
      <c r="DO20" s="1403"/>
      <c r="DP20" s="1403"/>
      <c r="DQ20" s="1403"/>
      <c r="DR20" s="3075"/>
      <c r="DS20" s="264"/>
      <c r="DT20" s="264"/>
      <c r="DU20" s="264"/>
      <c r="DV20" s="264"/>
      <c r="DW20" s="264"/>
      <c r="DX20" s="264"/>
      <c r="DY20" s="264"/>
      <c r="DZ20" s="264"/>
      <c r="EA20" s="264"/>
      <c r="EB20" s="264"/>
      <c r="EC20" s="264"/>
      <c r="ED20" s="264"/>
      <c r="EE20" s="264"/>
      <c r="EF20" s="264"/>
      <c r="EG20" s="264"/>
      <c r="EH20" s="264"/>
      <c r="EI20" s="264"/>
      <c r="EJ20" s="264"/>
      <c r="EK20" s="264"/>
      <c r="EL20" s="264"/>
      <c r="EM20" s="264"/>
      <c r="EN20" s="264"/>
      <c r="EO20" s="264"/>
      <c r="EP20" s="264"/>
      <c r="EQ20" s="264"/>
      <c r="ER20" s="264"/>
    </row>
    <row r="21" spans="1:148" s="934" customFormat="1" ht="12">
      <c r="A21" s="1284" t="s">
        <v>482</v>
      </c>
      <c r="B21" s="1285"/>
      <c r="C21" s="1286"/>
      <c r="D21" s="1286"/>
      <c r="E21" s="1286"/>
      <c r="F21" s="1286"/>
      <c r="G21" s="1285"/>
      <c r="H21" s="1286"/>
      <c r="I21" s="1286"/>
      <c r="J21" s="1286"/>
      <c r="K21" s="1286"/>
      <c r="L21" s="1285"/>
      <c r="M21" s="1286"/>
      <c r="N21" s="1286"/>
      <c r="O21" s="1286"/>
      <c r="P21" s="1287"/>
      <c r="Q21" s="1288"/>
      <c r="R21" s="1286"/>
      <c r="S21" s="1289"/>
      <c r="T21" s="1286"/>
      <c r="U21" s="1286"/>
      <c r="V21" s="1290"/>
      <c r="W21" s="1286"/>
      <c r="X21" s="1289"/>
      <c r="Y21" s="1289"/>
      <c r="Z21" s="1286"/>
      <c r="AA21" s="1290"/>
      <c r="AB21" s="1286"/>
      <c r="AC21" s="1289"/>
      <c r="AD21" s="1289"/>
      <c r="AE21" s="1286"/>
      <c r="AF21" s="1291"/>
      <c r="AG21" s="1286"/>
      <c r="AH21" s="1289"/>
      <c r="AI21" s="1289"/>
      <c r="AJ21" s="1286"/>
      <c r="AK21" s="1291"/>
      <c r="AL21" s="1286"/>
      <c r="AM21" s="1289"/>
      <c r="AN21" s="1289"/>
      <c r="AO21" s="1286"/>
      <c r="AP21" s="1291"/>
      <c r="AQ21" s="1286"/>
      <c r="AR21" s="1292"/>
      <c r="AS21" s="1292"/>
      <c r="AT21" s="1292"/>
      <c r="AU21" s="1291"/>
      <c r="AV21" s="1286"/>
      <c r="AW21" s="1286"/>
      <c r="AX21" s="1286"/>
      <c r="AY21" s="1292"/>
      <c r="AZ21" s="1352"/>
      <c r="BA21" s="1286"/>
      <c r="BB21" s="1286"/>
      <c r="BC21" s="1286"/>
      <c r="BD21" s="1286"/>
      <c r="BE21" s="1352"/>
      <c r="BF21" s="1286"/>
      <c r="BG21" s="1286"/>
      <c r="BH21" s="1286"/>
      <c r="BI21" s="1286"/>
      <c r="BJ21" s="1352"/>
      <c r="BK21" s="1293">
        <f>(BK17/(BK$32-BK$30))</f>
        <v>0.26073191672032625</v>
      </c>
      <c r="BL21" s="1293">
        <f t="shared" ref="BL21:BU21" si="30">(BL17/(BL$32-BL$30))</f>
        <v>0.22503464579766855</v>
      </c>
      <c r="BM21" s="1293">
        <f t="shared" si="30"/>
        <v>0.25782697747000877</v>
      </c>
      <c r="BN21" s="1293">
        <f t="shared" si="30"/>
        <v>0.25880093876680177</v>
      </c>
      <c r="BO21" s="1294">
        <f t="shared" si="30"/>
        <v>0.24947480800358163</v>
      </c>
      <c r="BP21" s="1293">
        <f t="shared" si="30"/>
        <v>0.23598120770656436</v>
      </c>
      <c r="BQ21" s="1293">
        <f t="shared" si="30"/>
        <v>0.23175784546919359</v>
      </c>
      <c r="BR21" s="1293">
        <f t="shared" si="30"/>
        <v>0.27241681665051454</v>
      </c>
      <c r="BS21" s="1293">
        <f t="shared" si="30"/>
        <v>0.28407706537923566</v>
      </c>
      <c r="BT21" s="1294">
        <f t="shared" si="30"/>
        <v>0.25472883704443655</v>
      </c>
      <c r="BU21" s="1293">
        <f t="shared" si="30"/>
        <v>0.26700143472022958</v>
      </c>
      <c r="BV21" s="1293">
        <f>(BV17/(BV$32))</f>
        <v>0.24789133964281471</v>
      </c>
      <c r="BW21" s="1293">
        <f t="shared" ref="BW21:BZ21" si="31">(BW17/(BW$32))</f>
        <v>0.27527071617790583</v>
      </c>
      <c r="BX21" s="1293">
        <f t="shared" si="31"/>
        <v>0.30612592655704185</v>
      </c>
      <c r="BY21" s="1294">
        <f t="shared" si="31"/>
        <v>0.27373455909779054</v>
      </c>
      <c r="BZ21" s="1293">
        <f t="shared" si="31"/>
        <v>0.27804633345494345</v>
      </c>
      <c r="CA21" s="1293">
        <f>(CA17/(CA$32))</f>
        <v>0.2616742817315883</v>
      </c>
      <c r="CB21" s="1293">
        <f t="shared" ref="CB21:CE21" si="32">(CB17/(CB$32))</f>
        <v>0.28993623987592626</v>
      </c>
      <c r="CC21" s="1293">
        <f t="shared" si="32"/>
        <v>0.30548720952938879</v>
      </c>
      <c r="CD21" s="1294">
        <f t="shared" si="32"/>
        <v>0.28380155533234613</v>
      </c>
      <c r="CE21" s="1293">
        <f t="shared" si="32"/>
        <v>0.28209308012062922</v>
      </c>
      <c r="CF21" s="1293">
        <f>(CF17/(CF$32))</f>
        <v>0.269555294280379</v>
      </c>
      <c r="CG21" s="1293">
        <f t="shared" ref="CG21" si="33">(CG17/(CG$32))</f>
        <v>0.29441813639583875</v>
      </c>
      <c r="CH21" s="1293">
        <f t="shared" ref="CG21:CI21" si="34">(CH17/(CH$32))</f>
        <v>0.313000737313891</v>
      </c>
      <c r="CI21" s="1294">
        <f t="shared" si="34"/>
        <v>0.29004356506218976</v>
      </c>
      <c r="CJ21" s="1293">
        <f t="shared" ref="CJ21:CS21" si="35">(CJ17/(CJ$32))</f>
        <v>0.29818173579835711</v>
      </c>
      <c r="CK21" s="1293">
        <f t="shared" si="35"/>
        <v>0.28471575324539089</v>
      </c>
      <c r="CL21" s="1293">
        <f t="shared" si="35"/>
        <v>0.31623466573976144</v>
      </c>
      <c r="CM21" s="1293">
        <f t="shared" si="35"/>
        <v>0.33979817041201821</v>
      </c>
      <c r="CN21" s="1294">
        <f t="shared" si="35"/>
        <v>0.31014294127691477</v>
      </c>
      <c r="CO21" s="1293">
        <f t="shared" si="35"/>
        <v>0.32657449068288369</v>
      </c>
      <c r="CP21" s="1293">
        <f t="shared" si="35"/>
        <v>0.31043520078249204</v>
      </c>
      <c r="CQ21" s="1293">
        <f t="shared" si="35"/>
        <v>0.34327169163092408</v>
      </c>
      <c r="CR21" s="1293">
        <f t="shared" si="35"/>
        <v>0.37109620759697221</v>
      </c>
      <c r="CS21" s="1294">
        <f t="shared" si="35"/>
        <v>0.33848492392501223</v>
      </c>
      <c r="CT21" s="1293">
        <f t="shared" ref="CT21:CX21" si="36">(CT17/(CT$32))</f>
        <v>0.35741317636569753</v>
      </c>
      <c r="CU21" s="1293">
        <f t="shared" si="36"/>
        <v>0.33721290103532736</v>
      </c>
      <c r="CV21" s="1293">
        <f t="shared" si="36"/>
        <v>0.36765255451481732</v>
      </c>
      <c r="CW21" s="1293">
        <f t="shared" si="36"/>
        <v>0.39994810183795204</v>
      </c>
      <c r="CX21" s="1294">
        <f t="shared" si="36"/>
        <v>0.36625791134035429</v>
      </c>
      <c r="CY21" s="1296"/>
      <c r="CZ21" s="1296"/>
      <c r="DA21" s="1291"/>
      <c r="DB21" s="1291"/>
      <c r="DC21" s="1291"/>
      <c r="DD21" s="1291"/>
      <c r="DE21" s="1291"/>
      <c r="DF21" s="1291"/>
      <c r="DG21" s="1291"/>
      <c r="DH21" s="1392"/>
      <c r="DI21" s="1387"/>
      <c r="DJ21" s="1392"/>
      <c r="DK21" s="1407"/>
      <c r="DL21" s="1407"/>
      <c r="DM21" s="1403"/>
      <c r="DN21" s="1403"/>
      <c r="DO21" s="1403"/>
      <c r="DP21" s="1403"/>
      <c r="DQ21" s="1403"/>
      <c r="DR21" s="3075"/>
      <c r="DS21" s="264"/>
      <c r="DT21" s="264"/>
      <c r="DU21" s="264"/>
      <c r="DV21" s="264"/>
      <c r="DW21" s="264"/>
      <c r="DX21" s="264"/>
      <c r="DY21" s="264"/>
      <c r="DZ21" s="264"/>
      <c r="EA21" s="264"/>
      <c r="EB21" s="264"/>
      <c r="EC21" s="264"/>
      <c r="ED21" s="264"/>
      <c r="EE21" s="264"/>
      <c r="EF21" s="264"/>
      <c r="EG21" s="264"/>
      <c r="EH21" s="264"/>
      <c r="EI21" s="264"/>
      <c r="EJ21" s="264"/>
      <c r="EK21" s="264"/>
      <c r="EL21" s="264"/>
      <c r="EM21" s="264"/>
      <c r="EN21" s="264"/>
      <c r="EO21" s="264"/>
      <c r="EP21" s="264"/>
      <c r="EQ21" s="264"/>
      <c r="ER21" s="264"/>
    </row>
    <row r="22" spans="1:148" s="934" customFormat="1" ht="12">
      <c r="A22" s="1297"/>
      <c r="B22" s="1285"/>
      <c r="C22" s="1286"/>
      <c r="D22" s="1286"/>
      <c r="E22" s="1286"/>
      <c r="F22" s="1286"/>
      <c r="G22" s="1285"/>
      <c r="H22" s="1286"/>
      <c r="I22" s="1286"/>
      <c r="J22" s="1286"/>
      <c r="K22" s="1286"/>
      <c r="L22" s="1285"/>
      <c r="M22" s="1286"/>
      <c r="N22" s="1286"/>
      <c r="O22" s="1286"/>
      <c r="P22" s="1287"/>
      <c r="Q22" s="1288"/>
      <c r="R22" s="1286"/>
      <c r="S22" s="1289"/>
      <c r="T22" s="1286"/>
      <c r="U22" s="1286"/>
      <c r="V22" s="1290"/>
      <c r="W22" s="1286"/>
      <c r="X22" s="1289"/>
      <c r="Y22" s="1289"/>
      <c r="Z22" s="1286"/>
      <c r="AA22" s="1290"/>
      <c r="AB22" s="1286"/>
      <c r="AC22" s="1289"/>
      <c r="AD22" s="1289"/>
      <c r="AE22" s="1286"/>
      <c r="AF22" s="1291"/>
      <c r="AG22" s="1286"/>
      <c r="AH22" s="1289"/>
      <c r="AI22" s="1289"/>
      <c r="AJ22" s="1286"/>
      <c r="AK22" s="1291"/>
      <c r="AL22" s="1286"/>
      <c r="AM22" s="1289"/>
      <c r="AN22" s="1289"/>
      <c r="AO22" s="1286"/>
      <c r="AP22" s="1291"/>
      <c r="AQ22" s="1286"/>
      <c r="AR22" s="1292"/>
      <c r="AS22" s="1292"/>
      <c r="AT22" s="1292"/>
      <c r="AU22" s="1291"/>
      <c r="AV22" s="1286"/>
      <c r="AW22" s="1286"/>
      <c r="AX22" s="1286"/>
      <c r="AY22" s="1292"/>
      <c r="AZ22" s="1352"/>
      <c r="BA22" s="1286"/>
      <c r="BB22" s="1286"/>
      <c r="BC22" s="1286"/>
      <c r="BD22" s="1286"/>
      <c r="BE22" s="1352"/>
      <c r="BF22" s="1286"/>
      <c r="BG22" s="1286"/>
      <c r="BH22" s="1286"/>
      <c r="BI22" s="1286"/>
      <c r="BJ22" s="1352"/>
      <c r="BK22" s="1293"/>
      <c r="BL22" s="1293"/>
      <c r="BM22" s="1293"/>
      <c r="BN22" s="1293"/>
      <c r="BO22" s="1294"/>
      <c r="BP22" s="1293"/>
      <c r="BQ22" s="1293"/>
      <c r="BR22" s="1293"/>
      <c r="BS22" s="1293"/>
      <c r="BT22" s="1294"/>
      <c r="BU22" s="1293"/>
      <c r="BV22" s="1293"/>
      <c r="BW22" s="1295"/>
      <c r="BX22" s="1295"/>
      <c r="BY22" s="1377"/>
      <c r="BZ22" s="1295"/>
      <c r="CA22" s="1293"/>
      <c r="CB22" s="1295"/>
      <c r="CC22" s="1295"/>
      <c r="CD22" s="1377"/>
      <c r="CE22" s="1295"/>
      <c r="CF22" s="1293"/>
      <c r="CG22" s="1295"/>
      <c r="CH22" s="1295"/>
      <c r="CI22" s="1377"/>
      <c r="CJ22" s="1295"/>
      <c r="CK22" s="1295"/>
      <c r="CL22" s="1295"/>
      <c r="CM22" s="1295"/>
      <c r="CN22" s="1377"/>
      <c r="CO22" s="1295"/>
      <c r="CP22" s="1295"/>
      <c r="CQ22" s="1295"/>
      <c r="CR22" s="1295"/>
      <c r="CS22" s="1377"/>
      <c r="CT22" s="1295"/>
      <c r="CU22" s="1295"/>
      <c r="CV22" s="1295"/>
      <c r="CW22" s="1295"/>
      <c r="CX22" s="1377"/>
      <c r="CY22" s="1296"/>
      <c r="CZ22" s="1296"/>
      <c r="DA22" s="1291"/>
      <c r="DB22" s="1291"/>
      <c r="DC22" s="1291"/>
      <c r="DD22" s="1291"/>
      <c r="DE22" s="1291"/>
      <c r="DF22" s="1291"/>
      <c r="DG22" s="1291"/>
      <c r="DH22" s="1392"/>
      <c r="DI22" s="1387"/>
      <c r="DJ22" s="1392"/>
      <c r="DK22" s="1407"/>
      <c r="DL22" s="1407"/>
      <c r="DM22" s="1403"/>
      <c r="DN22" s="1403"/>
      <c r="DO22" s="1403"/>
      <c r="DP22" s="1403"/>
      <c r="DQ22" s="1403"/>
      <c r="DR22" s="3075"/>
      <c r="DS22" s="264"/>
      <c r="DT22" s="264"/>
      <c r="DU22" s="264"/>
      <c r="DV22" s="264"/>
      <c r="DW22" s="264"/>
      <c r="DX22" s="264"/>
      <c r="DY22" s="264"/>
      <c r="DZ22" s="264"/>
      <c r="EA22" s="264"/>
      <c r="EB22" s="264"/>
      <c r="EC22" s="264"/>
      <c r="ED22" s="264"/>
      <c r="EE22" s="264"/>
      <c r="EF22" s="264"/>
      <c r="EG22" s="264"/>
      <c r="EH22" s="264"/>
      <c r="EI22" s="264"/>
      <c r="EJ22" s="264"/>
      <c r="EK22" s="264"/>
      <c r="EL22" s="264"/>
      <c r="EM22" s="264"/>
      <c r="EN22" s="264"/>
      <c r="EO22" s="264"/>
      <c r="EP22" s="264"/>
      <c r="EQ22" s="264"/>
      <c r="ER22" s="264"/>
    </row>
    <row r="23" spans="1:148" s="934" customFormat="1">
      <c r="A23" s="1050" t="s">
        <v>1047</v>
      </c>
      <c r="B23" s="1268"/>
      <c r="C23" s="1269"/>
      <c r="D23" s="1269"/>
      <c r="E23" s="1269"/>
      <c r="F23" s="1269"/>
      <c r="G23" s="1268"/>
      <c r="H23" s="1269"/>
      <c r="I23" s="1269"/>
      <c r="J23" s="1269"/>
      <c r="K23" s="1269"/>
      <c r="L23" s="1268"/>
      <c r="M23" s="1269"/>
      <c r="N23" s="1269"/>
      <c r="O23" s="1269"/>
      <c r="P23" s="1270"/>
      <c r="Q23" s="1271"/>
      <c r="R23" s="1269"/>
      <c r="S23" s="1272"/>
      <c r="T23" s="1269"/>
      <c r="U23" s="1269"/>
      <c r="V23" s="1273"/>
      <c r="W23" s="1269"/>
      <c r="X23" s="1272"/>
      <c r="Y23" s="1272"/>
      <c r="Z23" s="1269"/>
      <c r="AA23" s="1273"/>
      <c r="AB23" s="1269"/>
      <c r="AC23" s="1272"/>
      <c r="AD23" s="1272"/>
      <c r="AE23" s="1269"/>
      <c r="AF23" s="1274"/>
      <c r="AG23" s="1269"/>
      <c r="AH23" s="1272"/>
      <c r="AI23" s="1272"/>
      <c r="AJ23" s="1269"/>
      <c r="AK23" s="1274"/>
      <c r="AL23" s="1269"/>
      <c r="AM23" s="1272"/>
      <c r="AN23" s="1272"/>
      <c r="AO23" s="1269"/>
      <c r="AP23" s="1274"/>
      <c r="AQ23" s="1269"/>
      <c r="AR23" s="1275"/>
      <c r="AS23" s="1275"/>
      <c r="AT23" s="1275"/>
      <c r="AU23" s="1274"/>
      <c r="AV23" s="1269"/>
      <c r="AW23" s="1269"/>
      <c r="AX23" s="1269"/>
      <c r="AY23" s="1275"/>
      <c r="AZ23" s="1353"/>
      <c r="BA23" s="1269"/>
      <c r="BB23" s="1269"/>
      <c r="BC23" s="1269"/>
      <c r="BD23" s="1269"/>
      <c r="BE23" s="1353"/>
      <c r="BF23" s="1269"/>
      <c r="BG23" s="1269"/>
      <c r="BH23" s="1269"/>
      <c r="BI23" s="1269"/>
      <c r="BJ23" s="1353"/>
      <c r="BK23" s="1269"/>
      <c r="BL23" s="1269"/>
      <c r="BM23" s="1269"/>
      <c r="BN23" s="1269"/>
      <c r="BO23" s="1353"/>
      <c r="BP23" s="1269"/>
      <c r="BQ23" s="1269"/>
      <c r="BR23" s="1269"/>
      <c r="BS23" s="1269"/>
      <c r="BT23" s="1369"/>
      <c r="BU23" s="1269"/>
      <c r="BV23" s="1269"/>
      <c r="BW23" s="1276"/>
      <c r="BX23" s="1276"/>
      <c r="BY23" s="1376"/>
      <c r="BZ23" s="1276"/>
      <c r="CA23" s="1269"/>
      <c r="CB23" s="1276"/>
      <c r="CC23" s="1276"/>
      <c r="CD23" s="1376"/>
      <c r="CE23" s="1276"/>
      <c r="CF23" s="1269"/>
      <c r="CG23" s="1276"/>
      <c r="CH23" s="1276"/>
      <c r="CI23" s="1376"/>
      <c r="CJ23" s="1276"/>
      <c r="CK23" s="1276"/>
      <c r="CL23" s="1276"/>
      <c r="CM23" s="1276"/>
      <c r="CN23" s="1376"/>
      <c r="CO23" s="1276"/>
      <c r="CP23" s="1276"/>
      <c r="CQ23" s="1276"/>
      <c r="CR23" s="1276"/>
      <c r="CS23" s="1376"/>
      <c r="CT23" s="1276"/>
      <c r="CU23" s="1276"/>
      <c r="CV23" s="1276"/>
      <c r="CW23" s="1276"/>
      <c r="CX23" s="1376"/>
      <c r="CY23" s="1277"/>
      <c r="CZ23" s="1277"/>
      <c r="DA23" s="1274"/>
      <c r="DB23" s="1274"/>
      <c r="DC23" s="1274"/>
      <c r="DD23" s="1274"/>
      <c r="DE23" s="1274"/>
      <c r="DF23" s="1274"/>
      <c r="DG23" s="1274"/>
      <c r="DH23" s="1391"/>
      <c r="DI23" s="1386"/>
      <c r="DJ23" s="1391"/>
      <c r="DK23" s="1406"/>
      <c r="DL23" s="1406"/>
      <c r="DM23" s="1402"/>
      <c r="DN23" s="1402"/>
      <c r="DO23" s="1402"/>
      <c r="DP23" s="1402"/>
      <c r="DQ23" s="1402"/>
      <c r="DR23" s="3073"/>
      <c r="DS23" s="264"/>
      <c r="DT23" s="264"/>
      <c r="DU23" s="264"/>
      <c r="DV23" s="264"/>
      <c r="DW23" s="264"/>
      <c r="DX23" s="264"/>
      <c r="DY23" s="264"/>
      <c r="DZ23" s="264"/>
      <c r="EA23" s="264"/>
      <c r="EB23" s="264"/>
      <c r="EC23" s="264"/>
      <c r="ED23" s="264"/>
      <c r="EE23" s="264"/>
      <c r="EF23" s="264"/>
      <c r="EG23" s="264"/>
      <c r="EH23" s="264"/>
      <c r="EI23" s="264"/>
      <c r="EJ23" s="264"/>
      <c r="EK23" s="264"/>
      <c r="EL23" s="264"/>
      <c r="EM23" s="264"/>
      <c r="EN23" s="264"/>
      <c r="EO23" s="264"/>
      <c r="EP23" s="264"/>
      <c r="EQ23" s="264"/>
      <c r="ER23" s="264"/>
    </row>
    <row r="24" spans="1:148" s="934" customFormat="1" ht="12">
      <c r="A24" s="1278" t="s">
        <v>1048</v>
      </c>
      <c r="B24" s="1279"/>
      <c r="C24" s="1279"/>
      <c r="D24" s="1279"/>
      <c r="E24" s="1279"/>
      <c r="F24" s="1279"/>
      <c r="G24" s="1279"/>
      <c r="H24" s="1279"/>
      <c r="I24" s="1279"/>
      <c r="J24" s="1279"/>
      <c r="K24" s="1279"/>
      <c r="L24" s="1279"/>
      <c r="M24" s="1279"/>
      <c r="N24" s="1279"/>
      <c r="O24" s="1279"/>
      <c r="P24" s="1279"/>
      <c r="Q24" s="1279"/>
      <c r="R24" s="1279"/>
      <c r="S24" s="1279"/>
      <c r="T24" s="1279"/>
      <c r="U24" s="1279"/>
      <c r="V24" s="1279"/>
      <c r="W24" s="1279"/>
      <c r="X24" s="1279"/>
      <c r="Y24" s="1279"/>
      <c r="Z24" s="1279"/>
      <c r="AA24" s="1279"/>
      <c r="AB24" s="1279"/>
      <c r="AC24" s="1279"/>
      <c r="AD24" s="1279"/>
      <c r="AE24" s="1279"/>
      <c r="AF24" s="1279"/>
      <c r="AG24" s="1279"/>
      <c r="AH24" s="1279"/>
      <c r="AI24" s="1279"/>
      <c r="AJ24" s="1279"/>
      <c r="AK24" s="1279"/>
      <c r="AL24" s="1279"/>
      <c r="AM24" s="1279"/>
      <c r="AN24" s="1279"/>
      <c r="AO24" s="1279"/>
      <c r="AP24" s="1279"/>
      <c r="AQ24" s="1279"/>
      <c r="AR24" s="1279"/>
      <c r="AS24" s="1279"/>
      <c r="AT24" s="1279"/>
      <c r="AU24" s="1280"/>
      <c r="AV24" s="1279"/>
      <c r="AW24" s="1279"/>
      <c r="AX24" s="1279"/>
      <c r="AY24" s="1281"/>
      <c r="AZ24" s="1280"/>
      <c r="BA24" s="1282"/>
      <c r="BB24" s="1282"/>
      <c r="BC24" s="1282"/>
      <c r="BD24" s="1282"/>
      <c r="BE24" s="1280"/>
      <c r="BF24" s="1282"/>
      <c r="BG24" s="1282"/>
      <c r="BH24" s="1282"/>
      <c r="BI24" s="1282"/>
      <c r="BJ24" s="1280">
        <v>31951</v>
      </c>
      <c r="BK24" s="1283">
        <v>7594</v>
      </c>
      <c r="BL24" s="1283">
        <v>12070</v>
      </c>
      <c r="BM24" s="1283">
        <v>8451</v>
      </c>
      <c r="BN24" s="1282">
        <v>10292</v>
      </c>
      <c r="BO24" s="1280">
        <f>SUM(BK24:BN24)</f>
        <v>38407</v>
      </c>
      <c r="BP24" s="1283">
        <v>11236</v>
      </c>
      <c r="BQ24" s="1283">
        <v>13203</v>
      </c>
      <c r="BR24" s="1283">
        <v>9309</v>
      </c>
      <c r="BS24" s="1282">
        <v>9205</v>
      </c>
      <c r="BT24" s="1280">
        <f>SUM(BP24:BS24)</f>
        <v>42953</v>
      </c>
      <c r="BU24" s="2569">
        <v>9329</v>
      </c>
      <c r="BV24" s="2569">
        <v>12513</v>
      </c>
      <c r="BW24" s="2791">
        <v>9387</v>
      </c>
      <c r="BX24" s="2792">
        <v>9181</v>
      </c>
      <c r="BY24" s="1280">
        <f>SUM(BU24:BX24)</f>
        <v>40410</v>
      </c>
      <c r="BZ24" s="2791">
        <v>9395</v>
      </c>
      <c r="CA24" s="2569">
        <v>11889</v>
      </c>
      <c r="CB24" s="2791">
        <v>8775</v>
      </c>
      <c r="CC24" s="2791">
        <v>9235</v>
      </c>
      <c r="CD24" s="1280">
        <f>SUM(BZ24:CC24)</f>
        <v>39294</v>
      </c>
      <c r="CE24" s="2791">
        <v>9378</v>
      </c>
      <c r="CF24" s="2569">
        <v>12170</v>
      </c>
      <c r="CG24" s="2791">
        <v>9917</v>
      </c>
      <c r="CH24" s="990">
        <f>'Rev Detail - NEW'!BH40</f>
        <v>10316.781548477304</v>
      </c>
      <c r="CI24" s="1280">
        <f>SUM(CE24:CH24)</f>
        <v>41781.781548477302</v>
      </c>
      <c r="CJ24" s="990">
        <f>'Rev Detail - NEW'!BJ40</f>
        <v>10031.672378105135</v>
      </c>
      <c r="CK24" s="990">
        <f>'Rev Detail - NEW'!BK40</f>
        <v>13016.905252087286</v>
      </c>
      <c r="CL24" s="990">
        <f>'Rev Detail - NEW'!BL40</f>
        <v>10057.118141595263</v>
      </c>
      <c r="CM24" s="990">
        <f>'Rev Detail - NEW'!BM40</f>
        <v>10577.363130495323</v>
      </c>
      <c r="CN24" s="1280">
        <f>SUM(CJ24:CM24)</f>
        <v>43683.058902283003</v>
      </c>
      <c r="CO24" s="990">
        <f>'Rev Detail - NEW'!BO40</f>
        <v>10234.442697514844</v>
      </c>
      <c r="CP24" s="990">
        <f>'Rev Detail - NEW'!BP40</f>
        <v>13251.331638642572</v>
      </c>
      <c r="CQ24" s="990">
        <f>'Rev Detail - NEW'!BQ40</f>
        <v>10331.746650701636</v>
      </c>
      <c r="CR24" s="990">
        <f>'Rev Detail - NEW'!BR40</f>
        <v>10884.057085211818</v>
      </c>
      <c r="CS24" s="1280">
        <f>SUM(CO24:CR24)</f>
        <v>44701.578072070872</v>
      </c>
      <c r="CT24" s="990">
        <f>'Rev Detail - NEW'!BT40</f>
        <v>10374.23153285562</v>
      </c>
      <c r="CU24" s="990">
        <f>'Rev Detail - NEW'!BU40</f>
        <v>13390.543323109523</v>
      </c>
      <c r="CV24" s="990">
        <f>'Rev Detail - NEW'!BV40</f>
        <v>10518.730864116134</v>
      </c>
      <c r="CW24" s="990">
        <f>'Rev Detail - NEW'!BW40</f>
        <v>11091.761010589684</v>
      </c>
      <c r="CX24" s="1280">
        <f>SUM(CT24:CW24)</f>
        <v>45375.266730670963</v>
      </c>
      <c r="CY24" s="1281"/>
      <c r="CZ24" s="1281"/>
      <c r="DA24" s="1280"/>
      <c r="DB24" s="1280"/>
      <c r="DC24" s="1280"/>
      <c r="DD24" s="1280"/>
      <c r="DE24" s="1280"/>
      <c r="DF24" s="1280"/>
      <c r="DG24" s="1380"/>
      <c r="DH24" s="1380"/>
      <c r="DI24" s="1280"/>
      <c r="DJ24" s="1380"/>
      <c r="DK24" s="1380">
        <f>BM24+BN24+BP24+BQ24</f>
        <v>43182</v>
      </c>
      <c r="DL24" s="1380">
        <f>BR24+BS24+BU24+BV24</f>
        <v>40356</v>
      </c>
      <c r="DM24" s="1280">
        <f>BW24+BX24+BZ24+CA24</f>
        <v>39852</v>
      </c>
      <c r="DN24" s="1280">
        <f>CB24+CC24+CE24+CF24</f>
        <v>39558</v>
      </c>
      <c r="DO24" s="1280">
        <f>CG24+CH24+CJ24+CK24</f>
        <v>43282.359178669722</v>
      </c>
      <c r="DP24" s="1280">
        <f>CL24+CM24+CO24+CP24</f>
        <v>44120.255608248</v>
      </c>
      <c r="DQ24" s="1280">
        <f>CQ24+CR24+CT24+CU24</f>
        <v>44980.578591878599</v>
      </c>
      <c r="DR24" s="3056"/>
      <c r="DS24" s="264"/>
      <c r="DT24" s="264"/>
      <c r="DU24" s="264"/>
      <c r="DV24" s="264"/>
      <c r="DW24" s="264"/>
      <c r="DX24" s="264"/>
      <c r="DY24" s="264"/>
      <c r="DZ24" s="264"/>
      <c r="EA24" s="264"/>
      <c r="EB24" s="264"/>
      <c r="EC24" s="264"/>
      <c r="ED24" s="264"/>
      <c r="EE24" s="264"/>
      <c r="EF24" s="264"/>
      <c r="EG24" s="264"/>
      <c r="EH24" s="264"/>
      <c r="EI24" s="264"/>
      <c r="EJ24" s="264"/>
      <c r="EK24" s="264"/>
      <c r="EL24" s="264"/>
      <c r="EM24" s="264"/>
      <c r="EN24" s="264"/>
      <c r="EO24" s="264"/>
      <c r="EP24" s="264"/>
      <c r="EQ24" s="264"/>
      <c r="ER24" s="264"/>
    </row>
    <row r="25" spans="1:148" s="934" customFormat="1" ht="12">
      <c r="A25" s="1284" t="s">
        <v>717</v>
      </c>
      <c r="B25" s="1285"/>
      <c r="C25" s="1286"/>
      <c r="D25" s="1286"/>
      <c r="E25" s="1286"/>
      <c r="F25" s="1286"/>
      <c r="G25" s="1285"/>
      <c r="H25" s="1286"/>
      <c r="I25" s="1286"/>
      <c r="J25" s="1286"/>
      <c r="K25" s="1286"/>
      <c r="L25" s="1285"/>
      <c r="M25" s="1286"/>
      <c r="N25" s="1286"/>
      <c r="O25" s="1286"/>
      <c r="P25" s="1287"/>
      <c r="Q25" s="1288"/>
      <c r="R25" s="1286"/>
      <c r="S25" s="1289"/>
      <c r="T25" s="1286"/>
      <c r="U25" s="1286"/>
      <c r="V25" s="1290"/>
      <c r="W25" s="1286"/>
      <c r="X25" s="1289"/>
      <c r="Y25" s="1289"/>
      <c r="Z25" s="1286"/>
      <c r="AA25" s="1290"/>
      <c r="AB25" s="1286"/>
      <c r="AC25" s="1289"/>
      <c r="AD25" s="1289"/>
      <c r="AE25" s="1286"/>
      <c r="AF25" s="1291"/>
      <c r="AG25" s="1286"/>
      <c r="AH25" s="1289"/>
      <c r="AI25" s="1289"/>
      <c r="AJ25" s="1286"/>
      <c r="AK25" s="1291"/>
      <c r="AL25" s="1286"/>
      <c r="AM25" s="1289"/>
      <c r="AN25" s="1289"/>
      <c r="AO25" s="1286"/>
      <c r="AP25" s="1291"/>
      <c r="AQ25" s="1286"/>
      <c r="AR25" s="1292"/>
      <c r="AS25" s="1292"/>
      <c r="AT25" s="1292"/>
      <c r="AU25" s="1291"/>
      <c r="AV25" s="1286"/>
      <c r="AW25" s="1286"/>
      <c r="AX25" s="1286"/>
      <c r="AY25" s="1292"/>
      <c r="AZ25" s="1352"/>
      <c r="BA25" s="1286"/>
      <c r="BB25" s="1286"/>
      <c r="BC25" s="1286"/>
      <c r="BD25" s="1286"/>
      <c r="BE25" s="1352"/>
      <c r="BF25" s="1286"/>
      <c r="BG25" s="1286"/>
      <c r="BH25" s="1286"/>
      <c r="BI25" s="1286"/>
      <c r="BJ25" s="1352"/>
      <c r="BK25" s="1293"/>
      <c r="BL25" s="1293"/>
      <c r="BM25" s="1293"/>
      <c r="BN25" s="1293"/>
      <c r="BO25" s="1294">
        <f t="shared" ref="BO25:CG25" si="37">BO24/BJ24-1</f>
        <v>0.2020594034615506</v>
      </c>
      <c r="BP25" s="1293">
        <f t="shared" si="37"/>
        <v>0.47958914932841723</v>
      </c>
      <c r="BQ25" s="1293">
        <f t="shared" si="37"/>
        <v>9.3869096934548368E-2</v>
      </c>
      <c r="BR25" s="1293">
        <f t="shared" si="37"/>
        <v>0.10152644657436993</v>
      </c>
      <c r="BS25" s="1293">
        <f t="shared" si="37"/>
        <v>-0.10561601243684415</v>
      </c>
      <c r="BT25" s="1294">
        <f t="shared" si="37"/>
        <v>0.11836383992501376</v>
      </c>
      <c r="BU25" s="1293"/>
      <c r="BV25" s="1293"/>
      <c r="BW25" s="1293"/>
      <c r="BX25" s="1578"/>
      <c r="BY25" s="1294"/>
      <c r="BZ25" s="1293">
        <f t="shared" si="37"/>
        <v>7.0747132597277496E-3</v>
      </c>
      <c r="CA25" s="1293">
        <f t="shared" si="37"/>
        <v>-4.9868137137377144E-2</v>
      </c>
      <c r="CB25" s="1293">
        <f t="shared" si="37"/>
        <v>-6.5196548418024913E-2</v>
      </c>
      <c r="CC25" s="1293">
        <f t="shared" si="37"/>
        <v>5.8817122317831316E-3</v>
      </c>
      <c r="CD25" s="1294">
        <f t="shared" si="37"/>
        <v>-2.76169265033408E-2</v>
      </c>
      <c r="CE25" s="1293">
        <f t="shared" si="37"/>
        <v>-1.8094731240021478E-3</v>
      </c>
      <c r="CF25" s="1293">
        <f t="shared" si="37"/>
        <v>2.3635293128101642E-2</v>
      </c>
      <c r="CG25" s="1293">
        <f t="shared" si="37"/>
        <v>0.13014245014245018</v>
      </c>
      <c r="CH25" s="1293">
        <f t="shared" ref="CG25:CN25" si="38">CH24/CC24-1</f>
        <v>0.11713931223360086</v>
      </c>
      <c r="CI25" s="1294">
        <f t="shared" si="38"/>
        <v>6.3311995431294843E-2</v>
      </c>
      <c r="CJ25" s="1293">
        <f t="shared" si="38"/>
        <v>6.9702748784936652E-2</v>
      </c>
      <c r="CK25" s="1293">
        <f t="shared" si="38"/>
        <v>6.9589585216703886E-2</v>
      </c>
      <c r="CL25" s="1293">
        <f t="shared" si="38"/>
        <v>1.412908556975534E-2</v>
      </c>
      <c r="CM25" s="1293">
        <f t="shared" si="38"/>
        <v>2.5258030403530141E-2</v>
      </c>
      <c r="CN25" s="1294">
        <f t="shared" si="38"/>
        <v>4.5504937399563516E-2</v>
      </c>
      <c r="CO25" s="1293">
        <f t="shared" ref="CO25" si="39">CO24/CJ24-1</f>
        <v>2.021301252344232E-2</v>
      </c>
      <c r="CP25" s="1293">
        <f t="shared" ref="CP25" si="40">CP24/CK24-1</f>
        <v>1.8009379496535471E-2</v>
      </c>
      <c r="CQ25" s="1293">
        <f t="shared" ref="CQ25" si="41">CQ24/CL24-1</f>
        <v>2.7306879091987257E-2</v>
      </c>
      <c r="CR25" s="1293">
        <f t="shared" ref="CR25" si="42">CR24/CM24-1</f>
        <v>2.8995313003131518E-2</v>
      </c>
      <c r="CS25" s="1294">
        <f t="shared" ref="CS25" si="43">CS24/CN24-1</f>
        <v>2.3316113737965383E-2</v>
      </c>
      <c r="CT25" s="1293">
        <f t="shared" ref="CT25" si="44">CT24/CO24-1</f>
        <v>1.3658666082005722E-2</v>
      </c>
      <c r="CU25" s="1293">
        <f t="shared" ref="CU25" si="45">CU24/CP24-1</f>
        <v>1.0505486411719778E-2</v>
      </c>
      <c r="CV25" s="1293">
        <f t="shared" ref="CV25" si="46">CV24/CQ24-1</f>
        <v>1.8098025410040464E-2</v>
      </c>
      <c r="CW25" s="1293">
        <f t="shared" ref="CW25" si="47">CW24/CR24-1</f>
        <v>1.9083318265582516E-2</v>
      </c>
      <c r="CX25" s="1294">
        <f t="shared" ref="CX25" si="48">CX24/CS24-1</f>
        <v>1.5070802590323007E-2</v>
      </c>
      <c r="CY25" s="1296"/>
      <c r="CZ25" s="1296"/>
      <c r="DA25" s="1291"/>
      <c r="DB25" s="1291"/>
      <c r="DC25" s="1291"/>
      <c r="DD25" s="1291"/>
      <c r="DE25" s="1291"/>
      <c r="DF25" s="1291"/>
      <c r="DG25" s="1291"/>
      <c r="DH25" s="1392"/>
      <c r="DI25" s="1387"/>
      <c r="DJ25" s="1392"/>
      <c r="DK25" s="1407"/>
      <c r="DL25" s="1413">
        <f t="shared" ref="DL25:DQ25" si="49">DL24/DK24-1</f>
        <v>-6.5443934972905349E-2</v>
      </c>
      <c r="DM25" s="1412">
        <f t="shared" si="49"/>
        <v>-1.2488849241748423E-2</v>
      </c>
      <c r="DN25" s="1412">
        <f t="shared" si="49"/>
        <v>-7.3772959951822203E-3</v>
      </c>
      <c r="DO25" s="1412">
        <f t="shared" si="49"/>
        <v>9.414932955836286E-2</v>
      </c>
      <c r="DP25" s="1412">
        <f t="shared" si="49"/>
        <v>1.935884377557695E-2</v>
      </c>
      <c r="DQ25" s="1412">
        <f t="shared" si="49"/>
        <v>1.9499501346265324E-2</v>
      </c>
      <c r="DR25" s="3074"/>
      <c r="DS25" s="264"/>
      <c r="DT25" s="264"/>
      <c r="DU25" s="264"/>
      <c r="DV25" s="264"/>
      <c r="DW25" s="264"/>
      <c r="DX25" s="264"/>
      <c r="DY25" s="264"/>
      <c r="DZ25" s="264"/>
      <c r="EA25" s="264"/>
      <c r="EB25" s="264"/>
      <c r="EC25" s="264"/>
      <c r="ED25" s="264"/>
      <c r="EE25" s="264"/>
      <c r="EF25" s="264"/>
      <c r="EG25" s="264"/>
      <c r="EH25" s="264"/>
      <c r="EI25" s="264"/>
      <c r="EJ25" s="264"/>
      <c r="EK25" s="264"/>
      <c r="EL25" s="264"/>
      <c r="EM25" s="264"/>
      <c r="EN25" s="264"/>
      <c r="EO25" s="264"/>
      <c r="EP25" s="264"/>
      <c r="EQ25" s="264"/>
      <c r="ER25" s="264"/>
    </row>
    <row r="26" spans="1:148" s="934" customFormat="1" ht="12" hidden="1" outlineLevel="1">
      <c r="A26" s="1284" t="s">
        <v>1027</v>
      </c>
      <c r="B26" s="1285"/>
      <c r="C26" s="1286"/>
      <c r="D26" s="1286"/>
      <c r="E26" s="1286"/>
      <c r="F26" s="1286"/>
      <c r="G26" s="1285"/>
      <c r="H26" s="1286"/>
      <c r="I26" s="1286"/>
      <c r="J26" s="1286"/>
      <c r="K26" s="1286"/>
      <c r="L26" s="1285"/>
      <c r="M26" s="1286"/>
      <c r="N26" s="1286"/>
      <c r="O26" s="1286"/>
      <c r="P26" s="1287"/>
      <c r="Q26" s="1288"/>
      <c r="R26" s="1286"/>
      <c r="S26" s="1289"/>
      <c r="T26" s="1286"/>
      <c r="U26" s="1286"/>
      <c r="V26" s="1290"/>
      <c r="W26" s="1286"/>
      <c r="X26" s="1289"/>
      <c r="Y26" s="1289"/>
      <c r="Z26" s="1286"/>
      <c r="AA26" s="1290"/>
      <c r="AB26" s="1286"/>
      <c r="AC26" s="1289"/>
      <c r="AD26" s="1289"/>
      <c r="AE26" s="1286"/>
      <c r="AF26" s="1291"/>
      <c r="AG26" s="1286"/>
      <c r="AH26" s="1289"/>
      <c r="AI26" s="1289"/>
      <c r="AJ26" s="1286"/>
      <c r="AK26" s="1291"/>
      <c r="AL26" s="1286"/>
      <c r="AM26" s="1289"/>
      <c r="AN26" s="1289"/>
      <c r="AO26" s="1286"/>
      <c r="AP26" s="1291"/>
      <c r="AQ26" s="1286"/>
      <c r="AR26" s="1292"/>
      <c r="AS26" s="1292"/>
      <c r="AT26" s="1292"/>
      <c r="AU26" s="1291"/>
      <c r="AV26" s="1286"/>
      <c r="AW26" s="1286"/>
      <c r="AX26" s="1286"/>
      <c r="AY26" s="1292"/>
      <c r="AZ26" s="1352"/>
      <c r="BA26" s="1286"/>
      <c r="BB26" s="1286"/>
      <c r="BC26" s="1286"/>
      <c r="BD26" s="1286"/>
      <c r="BE26" s="1352"/>
      <c r="BF26" s="1286"/>
      <c r="BG26" s="1286"/>
      <c r="BH26" s="1286"/>
      <c r="BI26" s="1286"/>
      <c r="BJ26" s="1352"/>
      <c r="BK26" s="1293"/>
      <c r="BL26" s="1293"/>
      <c r="BM26" s="1293"/>
      <c r="BN26" s="1293"/>
      <c r="BO26" s="1294"/>
      <c r="BP26" s="1293"/>
      <c r="BQ26" s="1293"/>
      <c r="BR26" s="1293"/>
      <c r="BS26" s="1293"/>
      <c r="BT26" s="1294"/>
      <c r="BU26" s="1293">
        <f>(BU24+371)/BP24-1</f>
        <v>-0.13670345318618726</v>
      </c>
      <c r="BV26" s="1293">
        <f>(BV24+404)/BQ24-1</f>
        <v>-2.1661743543134104E-2</v>
      </c>
      <c r="BW26" s="1293">
        <f>(BW24+217)/BR24-1</f>
        <v>3.1689762595337845E-2</v>
      </c>
      <c r="BX26" s="1578">
        <f>(BX24+217)/BS24-1</f>
        <v>2.0966865833786041E-2</v>
      </c>
      <c r="BY26" s="1377"/>
      <c r="BZ26" s="1293">
        <f>+(BZ24+97)/BU24-1</f>
        <v>1.747239789902455E-2</v>
      </c>
      <c r="CA26" s="1293">
        <f>(CA24+119)/BV24-1</f>
        <v>-4.0358027651242745E-2</v>
      </c>
      <c r="CB26" s="1293">
        <f>(CB24+67)/BW24-1</f>
        <v>-5.805901779056144E-2</v>
      </c>
      <c r="CC26" s="1293">
        <f>(CC24+67)/BX24-1</f>
        <v>1.3179392223069408E-2</v>
      </c>
      <c r="CD26" s="1377"/>
      <c r="CE26" s="1293">
        <f>+(CE24-39)/BZ24-1</f>
        <v>-5.9606173496540293E-3</v>
      </c>
      <c r="CF26" s="1293">
        <f>(CF24-41)/CA24-1</f>
        <v>2.0186727226848333E-2</v>
      </c>
      <c r="CG26" s="1293">
        <f>(CG24+151)/CB24-1</f>
        <v>0.14735042735042736</v>
      </c>
      <c r="CH26" s="1295"/>
      <c r="CI26" s="1377"/>
      <c r="CJ26" s="1295"/>
      <c r="CK26" s="1295"/>
      <c r="CL26" s="1295"/>
      <c r="CM26" s="1295"/>
      <c r="CN26" s="1377"/>
      <c r="CO26" s="1295"/>
      <c r="CP26" s="1295"/>
      <c r="CQ26" s="1295"/>
      <c r="CR26" s="1295"/>
      <c r="CS26" s="1377"/>
      <c r="CT26" s="1295"/>
      <c r="CU26" s="1295"/>
      <c r="CV26" s="1295"/>
      <c r="CW26" s="1295"/>
      <c r="CX26" s="1377"/>
      <c r="CY26" s="1296"/>
      <c r="CZ26" s="1296"/>
      <c r="DA26" s="1291"/>
      <c r="DB26" s="1291"/>
      <c r="DC26" s="1291"/>
      <c r="DD26" s="1291"/>
      <c r="DE26" s="1291"/>
      <c r="DF26" s="1291"/>
      <c r="DG26" s="1291"/>
      <c r="DH26" s="1392"/>
      <c r="DI26" s="1387"/>
      <c r="DJ26" s="1392"/>
      <c r="DK26" s="1407"/>
      <c r="DL26" s="1407"/>
      <c r="DM26" s="1403"/>
      <c r="DN26" s="1403"/>
      <c r="DO26" s="1403"/>
      <c r="DP26" s="1403"/>
      <c r="DQ26" s="1403"/>
      <c r="DR26" s="3075"/>
      <c r="DS26" s="264"/>
      <c r="DT26" s="264"/>
      <c r="DU26" s="264"/>
      <c r="DV26" s="264"/>
      <c r="DW26" s="264"/>
      <c r="DX26" s="264"/>
      <c r="DY26" s="264"/>
      <c r="DZ26" s="264"/>
      <c r="EA26" s="264"/>
      <c r="EB26" s="264"/>
      <c r="EC26" s="264"/>
      <c r="ED26" s="264"/>
      <c r="EE26" s="264"/>
      <c r="EF26" s="264"/>
      <c r="EG26" s="264"/>
      <c r="EH26" s="264"/>
      <c r="EI26" s="264"/>
      <c r="EJ26" s="264"/>
      <c r="EK26" s="264"/>
      <c r="EL26" s="264"/>
      <c r="EM26" s="264"/>
      <c r="EN26" s="264"/>
      <c r="EO26" s="264"/>
      <c r="EP26" s="264"/>
      <c r="EQ26" s="264"/>
      <c r="ER26" s="264"/>
    </row>
    <row r="27" spans="1:148" s="934" customFormat="1" ht="12" collapsed="1">
      <c r="A27" s="1284" t="s">
        <v>718</v>
      </c>
      <c r="B27" s="1285"/>
      <c r="C27" s="1286"/>
      <c r="D27" s="1286"/>
      <c r="E27" s="1286"/>
      <c r="F27" s="1286"/>
      <c r="G27" s="1285"/>
      <c r="H27" s="1286"/>
      <c r="I27" s="1286"/>
      <c r="J27" s="1286"/>
      <c r="K27" s="1286"/>
      <c r="L27" s="1285"/>
      <c r="M27" s="1286"/>
      <c r="N27" s="1286"/>
      <c r="O27" s="1286"/>
      <c r="P27" s="1287"/>
      <c r="Q27" s="1288"/>
      <c r="R27" s="1286"/>
      <c r="S27" s="1289"/>
      <c r="T27" s="1286"/>
      <c r="U27" s="1286"/>
      <c r="V27" s="1290"/>
      <c r="W27" s="1286"/>
      <c r="X27" s="1289"/>
      <c r="Y27" s="1289"/>
      <c r="Z27" s="1286"/>
      <c r="AA27" s="1290"/>
      <c r="AB27" s="1286"/>
      <c r="AC27" s="1289"/>
      <c r="AD27" s="1289"/>
      <c r="AE27" s="1286"/>
      <c r="AF27" s="1291"/>
      <c r="AG27" s="1286"/>
      <c r="AH27" s="1289"/>
      <c r="AI27" s="1289"/>
      <c r="AJ27" s="1286"/>
      <c r="AK27" s="1291"/>
      <c r="AL27" s="1286"/>
      <c r="AM27" s="1289"/>
      <c r="AN27" s="1289"/>
      <c r="AO27" s="1286"/>
      <c r="AP27" s="1291"/>
      <c r="AQ27" s="1286"/>
      <c r="AR27" s="1292"/>
      <c r="AS27" s="1292"/>
      <c r="AT27" s="1292"/>
      <c r="AU27" s="1291"/>
      <c r="AV27" s="1286"/>
      <c r="AW27" s="1286"/>
      <c r="AX27" s="1286"/>
      <c r="AY27" s="1292"/>
      <c r="AZ27" s="1352"/>
      <c r="BA27" s="1286"/>
      <c r="BB27" s="1286"/>
      <c r="BC27" s="1286"/>
      <c r="BD27" s="1286"/>
      <c r="BE27" s="1352"/>
      <c r="BF27" s="1286"/>
      <c r="BG27" s="1286"/>
      <c r="BH27" s="1286"/>
      <c r="BI27" s="1286"/>
      <c r="BJ27" s="1352"/>
      <c r="BK27" s="1293"/>
      <c r="BL27" s="1293">
        <f>BL24/BK24-1</f>
        <v>0.58941269423228859</v>
      </c>
      <c r="BM27" s="1293">
        <f>BM24/BL24-1</f>
        <v>-0.29983429991714994</v>
      </c>
      <c r="BN27" s="1293">
        <f>BN24/BM24-1</f>
        <v>0.21784404212519237</v>
      </c>
      <c r="BO27" s="1294"/>
      <c r="BP27" s="1293">
        <f>BP24/BN24-1</f>
        <v>9.1721725612125882E-2</v>
      </c>
      <c r="BQ27" s="1293">
        <f>BQ24/BP24-1</f>
        <v>0.1750622997508009</v>
      </c>
      <c r="BR27" s="1293">
        <f>BR24/BQ24-1</f>
        <v>-0.2949329697795956</v>
      </c>
      <c r="BS27" s="1293">
        <f>BS24/BR24-1</f>
        <v>-1.1171984101407295E-2</v>
      </c>
      <c r="BT27" s="1294"/>
      <c r="BU27" s="1293"/>
      <c r="BV27" s="1293">
        <f>BV24/BU24-1</f>
        <v>0.34130131846928924</v>
      </c>
      <c r="BW27" s="1293">
        <f>BW24/BV24-1</f>
        <v>-0.24982018700551423</v>
      </c>
      <c r="BX27" s="1293">
        <f>BX24/BW24-1</f>
        <v>-2.1945243421753524E-2</v>
      </c>
      <c r="BY27" s="1294"/>
      <c r="BZ27" s="1293">
        <f>BZ24/BX24-1</f>
        <v>2.3309007733362419E-2</v>
      </c>
      <c r="CA27" s="1293">
        <f>CA24/BZ24-1</f>
        <v>0.26546035125066525</v>
      </c>
      <c r="CB27" s="1293">
        <f>CB24/CA24-1</f>
        <v>-0.26192278576835726</v>
      </c>
      <c r="CC27" s="1293">
        <f>CC24/CB24-1</f>
        <v>5.2421652421652531E-2</v>
      </c>
      <c r="CD27" s="1294"/>
      <c r="CE27" s="1293">
        <f>CE24/CC24-1</f>
        <v>1.5484569572279394E-2</v>
      </c>
      <c r="CF27" s="1293">
        <f>CF24/CE24-1</f>
        <v>0.29771806355299635</v>
      </c>
      <c r="CG27" s="1293">
        <f>CG24/CF24-1</f>
        <v>-0.18512736236647498</v>
      </c>
      <c r="CH27" s="1293">
        <f>CH24/CG24-1</f>
        <v>4.0312750678360709E-2</v>
      </c>
      <c r="CI27" s="1294"/>
      <c r="CJ27" s="1293">
        <f>CJ24/CH24-1</f>
        <v>-2.7635476144616922E-2</v>
      </c>
      <c r="CK27" s="1293">
        <f>CK24/CJ24-1</f>
        <v>0.29758077830548402</v>
      </c>
      <c r="CL27" s="1293">
        <f>CL24/CK24-1</f>
        <v>-0.22738024539415125</v>
      </c>
      <c r="CM27" s="1293">
        <f>CM24/CL24-1</f>
        <v>5.1729032271021769E-2</v>
      </c>
      <c r="CN27" s="1294"/>
      <c r="CO27" s="1293">
        <f>CO24/CM24-1</f>
        <v>-3.2420219363729186E-2</v>
      </c>
      <c r="CP27" s="1293">
        <f>CP24/CO24-1</f>
        <v>0.29477803826683191</v>
      </c>
      <c r="CQ27" s="1293">
        <f>CQ24/CP24-1</f>
        <v>-0.22032389404752761</v>
      </c>
      <c r="CR27" s="1293">
        <f>CR24/CQ24-1</f>
        <v>5.3457605299746191E-2</v>
      </c>
      <c r="CS27" s="1294"/>
      <c r="CT27" s="1293">
        <f>CT24/CR24-1</f>
        <v>-4.6841499301661926E-2</v>
      </c>
      <c r="CU27" s="1293">
        <f>CU24/CT24-1</f>
        <v>0.29075038287907096</v>
      </c>
      <c r="CV27" s="1293">
        <f>CV24/CU24-1</f>
        <v>-0.21446571581880391</v>
      </c>
      <c r="CW27" s="1293">
        <f>CW24/CV24-1</f>
        <v>5.4477118378263523E-2</v>
      </c>
      <c r="CX27" s="1294"/>
      <c r="CY27" s="1296"/>
      <c r="CZ27" s="1296"/>
      <c r="DA27" s="1291"/>
      <c r="DB27" s="1291"/>
      <c r="DC27" s="1291"/>
      <c r="DD27" s="1291"/>
      <c r="DE27" s="1291"/>
      <c r="DF27" s="1291"/>
      <c r="DG27" s="1291"/>
      <c r="DH27" s="1392"/>
      <c r="DI27" s="1387"/>
      <c r="DJ27" s="1392"/>
      <c r="DK27" s="1407"/>
      <c r="DL27" s="1407"/>
      <c r="DM27" s="1403"/>
      <c r="DN27" s="1403"/>
      <c r="DO27" s="1403"/>
      <c r="DP27" s="1403"/>
      <c r="DQ27" s="1403"/>
      <c r="DR27" s="3075"/>
      <c r="DS27" s="264"/>
      <c r="DT27" s="264"/>
      <c r="DU27" s="264"/>
      <c r="DV27" s="264"/>
      <c r="DW27" s="264"/>
      <c r="DX27" s="264"/>
      <c r="DY27" s="264"/>
      <c r="DZ27" s="264"/>
      <c r="EA27" s="264"/>
      <c r="EB27" s="264"/>
      <c r="EC27" s="264"/>
      <c r="ED27" s="264"/>
      <c r="EE27" s="264"/>
      <c r="EF27" s="264"/>
      <c r="EG27" s="264"/>
      <c r="EH27" s="264"/>
      <c r="EI27" s="264"/>
      <c r="EJ27" s="264"/>
      <c r="EK27" s="264"/>
      <c r="EL27" s="264"/>
      <c r="EM27" s="264"/>
      <c r="EN27" s="264"/>
      <c r="EO27" s="264"/>
      <c r="EP27" s="264"/>
      <c r="EQ27" s="264"/>
      <c r="ER27" s="264"/>
    </row>
    <row r="28" spans="1:148" s="934" customFormat="1" ht="12">
      <c r="A28" s="1284" t="s">
        <v>482</v>
      </c>
      <c r="B28" s="1285"/>
      <c r="C28" s="1286"/>
      <c r="D28" s="1286"/>
      <c r="E28" s="1286"/>
      <c r="F28" s="1286"/>
      <c r="G28" s="1285"/>
      <c r="H28" s="1286"/>
      <c r="I28" s="1286"/>
      <c r="J28" s="1286"/>
      <c r="K28" s="1286"/>
      <c r="L28" s="1285"/>
      <c r="M28" s="1286"/>
      <c r="N28" s="1286"/>
      <c r="O28" s="1286"/>
      <c r="P28" s="1287"/>
      <c r="Q28" s="1288"/>
      <c r="R28" s="1286"/>
      <c r="S28" s="1289"/>
      <c r="T28" s="1286"/>
      <c r="U28" s="1286"/>
      <c r="V28" s="1290"/>
      <c r="W28" s="1286"/>
      <c r="X28" s="1289"/>
      <c r="Y28" s="1289"/>
      <c r="Z28" s="1286"/>
      <c r="AA28" s="1290"/>
      <c r="AB28" s="1286"/>
      <c r="AC28" s="1289"/>
      <c r="AD28" s="1289"/>
      <c r="AE28" s="1286"/>
      <c r="AF28" s="1291"/>
      <c r="AG28" s="1286"/>
      <c r="AH28" s="1289"/>
      <c r="AI28" s="1289"/>
      <c r="AJ28" s="1286"/>
      <c r="AK28" s="1291"/>
      <c r="AL28" s="1286"/>
      <c r="AM28" s="1289"/>
      <c r="AN28" s="1289"/>
      <c r="AO28" s="1286"/>
      <c r="AP28" s="1291"/>
      <c r="AQ28" s="1286"/>
      <c r="AR28" s="1292"/>
      <c r="AS28" s="1292"/>
      <c r="AT28" s="1292"/>
      <c r="AU28" s="1291"/>
      <c r="AV28" s="1286"/>
      <c r="AW28" s="1286"/>
      <c r="AX28" s="1286"/>
      <c r="AY28" s="1292"/>
      <c r="AZ28" s="1352"/>
      <c r="BA28" s="1286"/>
      <c r="BB28" s="1286"/>
      <c r="BC28" s="1286"/>
      <c r="BD28" s="1286"/>
      <c r="BE28" s="1352"/>
      <c r="BF28" s="1286"/>
      <c r="BG28" s="1286"/>
      <c r="BH28" s="1286"/>
      <c r="BI28" s="1286"/>
      <c r="BJ28" s="1352"/>
      <c r="BK28" s="1293">
        <f>(BK24/(BK$32-BK$30))</f>
        <v>0.40749087787078775</v>
      </c>
      <c r="BL28" s="1293">
        <f t="shared" ref="BL28:BU28" si="50">(BL24/(BL$32-BL$30))</f>
        <v>0.49197032689329095</v>
      </c>
      <c r="BM28" s="1293">
        <f t="shared" si="50"/>
        <v>0.41212328099092949</v>
      </c>
      <c r="BN28" s="1293">
        <f t="shared" si="50"/>
        <v>0.43917217836569233</v>
      </c>
      <c r="BO28" s="1294">
        <f t="shared" si="50"/>
        <v>0.44089724604240565</v>
      </c>
      <c r="BP28" s="1293">
        <f t="shared" si="50"/>
        <v>0.48428947028145336</v>
      </c>
      <c r="BQ28" s="1293">
        <f t="shared" si="50"/>
        <v>0.50652190593109803</v>
      </c>
      <c r="BR28" s="1293">
        <f t="shared" si="50"/>
        <v>0.42959988924269693</v>
      </c>
      <c r="BS28" s="1293">
        <f t="shared" si="50"/>
        <v>0.41533185940531514</v>
      </c>
      <c r="BT28" s="1294">
        <f t="shared" si="50"/>
        <v>0.46136908022642564</v>
      </c>
      <c r="BU28" s="1293">
        <f t="shared" si="50"/>
        <v>0.4461501673840268</v>
      </c>
      <c r="BV28" s="1293">
        <f>(BV24/(BV$32))</f>
        <v>0.49550548449689147</v>
      </c>
      <c r="BW28" s="1293">
        <f t="shared" ref="BW28:BZ28" si="51">(BW24/(BW$32))</f>
        <v>0.43625970163126832</v>
      </c>
      <c r="BX28" s="1293">
        <f t="shared" si="51"/>
        <v>0.3911135724631507</v>
      </c>
      <c r="BY28" s="1294">
        <f t="shared" si="51"/>
        <v>0.44331570748403798</v>
      </c>
      <c r="BZ28" s="1293">
        <f t="shared" si="51"/>
        <v>0.42844764684421743</v>
      </c>
      <c r="CA28" s="1293">
        <f>(CA24/(CA$32))</f>
        <v>0.46035003484860221</v>
      </c>
      <c r="CB28" s="1293">
        <f t="shared" ref="CB28:CE28" si="52">(CB24/(CB$32))</f>
        <v>0.37803722212648633</v>
      </c>
      <c r="CC28" s="1293">
        <f t="shared" si="52"/>
        <v>0.36067174380003908</v>
      </c>
      <c r="CD28" s="1294">
        <f t="shared" si="52"/>
        <v>0.40689233827960775</v>
      </c>
      <c r="CE28" s="1293">
        <f t="shared" si="52"/>
        <v>0.38218273697937893</v>
      </c>
      <c r="CF28" s="1293">
        <f>(CF24/(CF$32))</f>
        <v>0.42084514835050835</v>
      </c>
      <c r="CG28" s="1293">
        <f t="shared" ref="CG28" si="53">(CG24/(CG$32))</f>
        <v>0.36977515940191658</v>
      </c>
      <c r="CH28" s="1293">
        <f t="shared" ref="CG28:CI28" si="54">(CH24/(CH$32))</f>
        <v>0.35336833374657367</v>
      </c>
      <c r="CI28" s="1294">
        <f t="shared" si="54"/>
        <v>0.38167144461287805</v>
      </c>
      <c r="CJ28" s="1293">
        <f t="shared" ref="CJ28:CS28" si="55">(CJ24/(CJ$32))</f>
        <v>0.36169496443508597</v>
      </c>
      <c r="CK28" s="1293">
        <f t="shared" si="55"/>
        <v>0.40425275893963719</v>
      </c>
      <c r="CL28" s="1293">
        <f t="shared" si="55"/>
        <v>0.33571816775422997</v>
      </c>
      <c r="CM28" s="1293">
        <f t="shared" si="55"/>
        <v>0.32404034266388532</v>
      </c>
      <c r="CN28" s="1294">
        <f t="shared" si="55"/>
        <v>0.35649677016298525</v>
      </c>
      <c r="CO28" s="1293">
        <f t="shared" si="55"/>
        <v>0.32891332052869665</v>
      </c>
      <c r="CP28" s="1293">
        <f t="shared" si="55"/>
        <v>0.37204356865959126</v>
      </c>
      <c r="CQ28" s="1293">
        <f t="shared" si="55"/>
        <v>0.30416677410118492</v>
      </c>
      <c r="CR28" s="1293">
        <f t="shared" si="55"/>
        <v>0.29405184265124507</v>
      </c>
      <c r="CS28" s="1294">
        <f t="shared" si="55"/>
        <v>0.32459468717893147</v>
      </c>
      <c r="CT28" s="1293">
        <f t="shared" ref="CT28:CX28" si="56">(CT24/(CT$32))</f>
        <v>0.29784247757298588</v>
      </c>
      <c r="CU28" s="1293">
        <f t="shared" si="56"/>
        <v>0.34232889121970367</v>
      </c>
      <c r="CV28" s="1293">
        <f t="shared" si="56"/>
        <v>0.27710869637464725</v>
      </c>
      <c r="CW28" s="1293">
        <f t="shared" si="56"/>
        <v>0.2685937140614128</v>
      </c>
      <c r="CX28" s="1294">
        <f t="shared" si="56"/>
        <v>0.29617965780280031</v>
      </c>
      <c r="CY28" s="1296"/>
      <c r="CZ28" s="1296"/>
      <c r="DA28" s="1291"/>
      <c r="DB28" s="1291"/>
      <c r="DC28" s="1291"/>
      <c r="DD28" s="1291"/>
      <c r="DE28" s="1291"/>
      <c r="DF28" s="1291"/>
      <c r="DG28" s="1291"/>
      <c r="DH28" s="1392"/>
      <c r="DI28" s="1387"/>
      <c r="DJ28" s="1392"/>
      <c r="DK28" s="1407"/>
      <c r="DL28" s="1407"/>
      <c r="DM28" s="1403"/>
      <c r="DN28" s="1403"/>
      <c r="DO28" s="1403"/>
      <c r="DP28" s="1403"/>
      <c r="DQ28" s="1403"/>
      <c r="DR28" s="3075"/>
      <c r="DS28" s="264"/>
      <c r="DT28" s="264"/>
      <c r="DU28" s="264"/>
      <c r="DV28" s="264"/>
      <c r="DW28" s="264"/>
      <c r="DX28" s="264"/>
      <c r="DY28" s="264"/>
      <c r="DZ28" s="264"/>
      <c r="EA28" s="264"/>
      <c r="EB28" s="264"/>
      <c r="EC28" s="264"/>
      <c r="ED28" s="264"/>
      <c r="EE28" s="264"/>
      <c r="EF28" s="264"/>
      <c r="EG28" s="264"/>
      <c r="EH28" s="264"/>
      <c r="EI28" s="264"/>
      <c r="EJ28" s="264"/>
      <c r="EK28" s="264"/>
      <c r="EL28" s="264"/>
      <c r="EM28" s="264"/>
      <c r="EN28" s="264"/>
      <c r="EO28" s="264"/>
      <c r="EP28" s="264"/>
      <c r="EQ28" s="264"/>
      <c r="ER28" s="264"/>
    </row>
    <row r="29" spans="1:148" s="934" customFormat="1" ht="12">
      <c r="A29" s="1297"/>
      <c r="B29" s="1285"/>
      <c r="C29" s="1286"/>
      <c r="D29" s="1286"/>
      <c r="E29" s="1286"/>
      <c r="F29" s="1286"/>
      <c r="G29" s="1285"/>
      <c r="H29" s="1286"/>
      <c r="I29" s="1286"/>
      <c r="J29" s="1286"/>
      <c r="K29" s="1286"/>
      <c r="L29" s="1285"/>
      <c r="M29" s="1286"/>
      <c r="N29" s="1286"/>
      <c r="O29" s="1286"/>
      <c r="P29" s="1287"/>
      <c r="Q29" s="1288"/>
      <c r="R29" s="1286"/>
      <c r="S29" s="1289"/>
      <c r="T29" s="1286"/>
      <c r="U29" s="1286"/>
      <c r="V29" s="1290"/>
      <c r="W29" s="1286"/>
      <c r="X29" s="1289"/>
      <c r="Y29" s="1289"/>
      <c r="Z29" s="1286"/>
      <c r="AA29" s="1290"/>
      <c r="AB29" s="1286"/>
      <c r="AC29" s="1289"/>
      <c r="AD29" s="1289"/>
      <c r="AE29" s="1286"/>
      <c r="AF29" s="1291"/>
      <c r="AG29" s="1286"/>
      <c r="AH29" s="1289"/>
      <c r="AI29" s="1289"/>
      <c r="AJ29" s="1286"/>
      <c r="AK29" s="1291"/>
      <c r="AL29" s="1286"/>
      <c r="AM29" s="1289"/>
      <c r="AN29" s="1289"/>
      <c r="AO29" s="1286"/>
      <c r="AP29" s="1291"/>
      <c r="AQ29" s="1286"/>
      <c r="AR29" s="1292"/>
      <c r="AS29" s="1292"/>
      <c r="AT29" s="1292"/>
      <c r="AU29" s="1291"/>
      <c r="AV29" s="1286"/>
      <c r="AW29" s="1286"/>
      <c r="AX29" s="1286"/>
      <c r="AY29" s="1292"/>
      <c r="AZ29" s="1352"/>
      <c r="BA29" s="1286"/>
      <c r="BB29" s="1286"/>
      <c r="BC29" s="1286"/>
      <c r="BD29" s="1286"/>
      <c r="BE29" s="1352"/>
      <c r="BF29" s="1286"/>
      <c r="BG29" s="1286"/>
      <c r="BH29" s="1286"/>
      <c r="BI29" s="1286"/>
      <c r="BJ29" s="1352"/>
      <c r="BK29" s="1293"/>
      <c r="BL29" s="1293"/>
      <c r="BM29" s="1293"/>
      <c r="BN29" s="1293"/>
      <c r="BO29" s="1294"/>
      <c r="BP29" s="1293"/>
      <c r="BQ29" s="1293"/>
      <c r="BR29" s="1293"/>
      <c r="BS29" s="1293"/>
      <c r="BT29" s="1294"/>
      <c r="BU29" s="1293"/>
      <c r="BV29" s="1293"/>
      <c r="BW29" s="1295"/>
      <c r="BX29" s="1295"/>
      <c r="BY29" s="1377"/>
      <c r="BZ29" s="1295"/>
      <c r="CA29" s="1293"/>
      <c r="CB29" s="1295"/>
      <c r="CC29" s="1295"/>
      <c r="CD29" s="1377"/>
      <c r="CE29" s="1295"/>
      <c r="CF29" s="1293"/>
      <c r="CG29" s="1295"/>
      <c r="CH29" s="1295"/>
      <c r="CI29" s="1377"/>
      <c r="CJ29" s="1295"/>
      <c r="CK29" s="1295"/>
      <c r="CL29" s="1295"/>
      <c r="CM29" s="1295"/>
      <c r="CN29" s="1377"/>
      <c r="CO29" s="1295"/>
      <c r="CP29" s="1295"/>
      <c r="CQ29" s="1295"/>
      <c r="CR29" s="1295"/>
      <c r="CS29" s="1377"/>
      <c r="CT29" s="1295"/>
      <c r="CU29" s="1295"/>
      <c r="CV29" s="1295"/>
      <c r="CW29" s="1295"/>
      <c r="CX29" s="1377"/>
      <c r="CY29" s="1296"/>
      <c r="CZ29" s="1296"/>
      <c r="DA29" s="1291"/>
      <c r="DB29" s="1291"/>
      <c r="DC29" s="1291"/>
      <c r="DD29" s="1291"/>
      <c r="DE29" s="1291"/>
      <c r="DF29" s="1291"/>
      <c r="DG29" s="1291"/>
      <c r="DH29" s="1392"/>
      <c r="DI29" s="1387"/>
      <c r="DJ29" s="1392"/>
      <c r="DK29" s="1407"/>
      <c r="DL29" s="1407"/>
      <c r="DM29" s="1403"/>
      <c r="DN29" s="1403"/>
      <c r="DO29" s="1403"/>
      <c r="DP29" s="1403"/>
      <c r="DQ29" s="1403"/>
      <c r="DR29" s="3075"/>
      <c r="DS29" s="264"/>
      <c r="DT29" s="264"/>
      <c r="DU29" s="264"/>
      <c r="DV29" s="264"/>
      <c r="DW29" s="264"/>
      <c r="DX29" s="264"/>
      <c r="DY29" s="264"/>
      <c r="DZ29" s="264"/>
      <c r="EA29" s="264"/>
      <c r="EB29" s="264"/>
      <c r="EC29" s="264"/>
      <c r="ED29" s="264"/>
      <c r="EE29" s="264"/>
      <c r="EF29" s="264"/>
      <c r="EG29" s="264"/>
      <c r="EH29" s="264"/>
      <c r="EI29" s="264"/>
      <c r="EJ29" s="264"/>
      <c r="EK29" s="264"/>
      <c r="EL29" s="264"/>
      <c r="EM29" s="264"/>
      <c r="EN29" s="264"/>
      <c r="EO29" s="264"/>
      <c r="EP29" s="264"/>
      <c r="EQ29" s="264"/>
      <c r="ER29" s="264"/>
    </row>
    <row r="30" spans="1:148" s="934" customFormat="1" ht="12">
      <c r="A30" s="1298" t="s">
        <v>722</v>
      </c>
      <c r="B30" s="1279"/>
      <c r="C30" s="1279"/>
      <c r="D30" s="1279"/>
      <c r="E30" s="1279"/>
      <c r="F30" s="1279"/>
      <c r="G30" s="1279"/>
      <c r="H30" s="1279"/>
      <c r="I30" s="1279"/>
      <c r="J30" s="1279"/>
      <c r="K30" s="1279"/>
      <c r="L30" s="1279"/>
      <c r="M30" s="1279"/>
      <c r="N30" s="1279"/>
      <c r="O30" s="1279"/>
      <c r="P30" s="1279"/>
      <c r="Q30" s="1279"/>
      <c r="R30" s="1279"/>
      <c r="S30" s="1279"/>
      <c r="T30" s="1279"/>
      <c r="U30" s="1279"/>
      <c r="V30" s="1279"/>
      <c r="W30" s="1279"/>
      <c r="X30" s="1279"/>
      <c r="Y30" s="1279"/>
      <c r="Z30" s="1279"/>
      <c r="AA30" s="1279"/>
      <c r="AB30" s="1279"/>
      <c r="AC30" s="1279"/>
      <c r="AD30" s="1279"/>
      <c r="AE30" s="1279"/>
      <c r="AF30" s="1279"/>
      <c r="AG30" s="1279"/>
      <c r="AH30" s="1279"/>
      <c r="AI30" s="1279"/>
      <c r="AJ30" s="1279"/>
      <c r="AK30" s="1279"/>
      <c r="AL30" s="1279"/>
      <c r="AM30" s="1279"/>
      <c r="AN30" s="1279"/>
      <c r="AO30" s="1279"/>
      <c r="AP30" s="1279"/>
      <c r="AQ30" s="1279"/>
      <c r="AR30" s="1279"/>
      <c r="AS30" s="1279"/>
      <c r="AT30" s="1279"/>
      <c r="AU30" s="1299"/>
      <c r="AV30" s="1279"/>
      <c r="AW30" s="1279"/>
      <c r="AX30" s="1279"/>
      <c r="AY30" s="1281"/>
      <c r="AZ30" s="1299"/>
      <c r="BA30" s="1300"/>
      <c r="BB30" s="1300"/>
      <c r="BC30" s="1300"/>
      <c r="BD30" s="1300"/>
      <c r="BE30" s="1299"/>
      <c r="BF30" s="1300"/>
      <c r="BG30" s="1300"/>
      <c r="BH30" s="1300"/>
      <c r="BI30" s="1300"/>
      <c r="BJ30" s="1299">
        <v>375</v>
      </c>
      <c r="BK30" s="1301">
        <v>-107</v>
      </c>
      <c r="BL30" s="1301">
        <v>-15</v>
      </c>
      <c r="BM30" s="1301">
        <v>-103</v>
      </c>
      <c r="BN30" s="1300">
        <v>-53</v>
      </c>
      <c r="BO30" s="1299">
        <f>SUM(BK30:BN30)</f>
        <v>-278</v>
      </c>
      <c r="BP30" s="1301">
        <v>0</v>
      </c>
      <c r="BQ30" s="1301">
        <f>404-326</f>
        <v>78</v>
      </c>
      <c r="BR30" s="1301">
        <v>60</v>
      </c>
      <c r="BS30" s="1300">
        <v>17</v>
      </c>
      <c r="BT30" s="1299">
        <f>SUM(BP30:BS30)</f>
        <v>155</v>
      </c>
      <c r="BU30" s="1301"/>
      <c r="BV30" s="1301"/>
      <c r="BW30" s="1303"/>
      <c r="BX30" s="1303"/>
      <c r="BY30" s="1299"/>
      <c r="BZ30" s="1303"/>
      <c r="CA30" s="1303"/>
      <c r="CB30" s="1303"/>
      <c r="CC30" s="1303"/>
      <c r="CD30" s="1299"/>
      <c r="CE30" s="1303"/>
      <c r="CF30" s="1303"/>
      <c r="CG30" s="1303"/>
      <c r="CH30" s="1303"/>
      <c r="CI30" s="1299"/>
      <c r="CJ30" s="1303"/>
      <c r="CK30" s="1303"/>
      <c r="CL30" s="1303"/>
      <c r="CM30" s="1303"/>
      <c r="CN30" s="1299"/>
      <c r="CO30" s="1303"/>
      <c r="CP30" s="1303"/>
      <c r="CQ30" s="1303"/>
      <c r="CR30" s="1303"/>
      <c r="CS30" s="1299"/>
      <c r="CT30" s="1303"/>
      <c r="CU30" s="1303"/>
      <c r="CV30" s="1303"/>
      <c r="CW30" s="1303"/>
      <c r="CX30" s="1299"/>
      <c r="CY30" s="1281"/>
      <c r="CZ30" s="1281"/>
      <c r="DA30" s="1299"/>
      <c r="DB30" s="1299"/>
      <c r="DC30" s="1299"/>
      <c r="DD30" s="1299"/>
      <c r="DE30" s="1299"/>
      <c r="DF30" s="1299"/>
      <c r="DG30" s="1302"/>
      <c r="DH30" s="1302"/>
      <c r="DI30" s="1299"/>
      <c r="DJ30" s="1302"/>
      <c r="DK30" s="1302">
        <f>BM30+BN30+BP30+BQ30</f>
        <v>-78</v>
      </c>
      <c r="DL30" s="1302">
        <f>BR30+BS30+BU30+BV30</f>
        <v>77</v>
      </c>
      <c r="DM30" s="1299">
        <f>BW30+BX30+BZ30+CA30</f>
        <v>0</v>
      </c>
      <c r="DN30" s="1299">
        <f>CB30+CC30+CE30+CF30</f>
        <v>0</v>
      </c>
      <c r="DO30" s="1299">
        <f>CG30+CH30+CJ30+CK30</f>
        <v>0</v>
      </c>
      <c r="DP30" s="1299">
        <f>CL30+CM30+CO30+CP30</f>
        <v>0</v>
      </c>
      <c r="DQ30" s="1299">
        <f>CM30+CN30+CP30+CQ30</f>
        <v>0</v>
      </c>
      <c r="DR30" s="1303"/>
      <c r="DS30" s="264"/>
      <c r="DT30" s="264"/>
      <c r="DU30" s="264"/>
      <c r="DV30" s="264"/>
      <c r="DW30" s="264"/>
      <c r="DX30" s="264"/>
      <c r="DY30" s="264"/>
      <c r="DZ30" s="264"/>
      <c r="EA30" s="264"/>
      <c r="EB30" s="264"/>
      <c r="EC30" s="264"/>
      <c r="ED30" s="264"/>
      <c r="EE30" s="264"/>
      <c r="EF30" s="264"/>
      <c r="EG30" s="264"/>
      <c r="EH30" s="264"/>
      <c r="EI30" s="264"/>
      <c r="EJ30" s="264"/>
      <c r="EK30" s="264"/>
      <c r="EL30" s="264"/>
      <c r="EM30" s="264"/>
      <c r="EN30" s="264"/>
      <c r="EO30" s="264"/>
      <c r="EP30" s="264"/>
      <c r="EQ30" s="264"/>
      <c r="ER30" s="264"/>
    </row>
    <row r="31" spans="1:148" s="934" customFormat="1" thickBot="1">
      <c r="A31" s="1278"/>
      <c r="B31" s="1279"/>
      <c r="C31" s="1279"/>
      <c r="D31" s="1279"/>
      <c r="E31" s="1279"/>
      <c r="F31" s="1279"/>
      <c r="G31" s="1279"/>
      <c r="H31" s="1279"/>
      <c r="I31" s="1279"/>
      <c r="J31" s="1279"/>
      <c r="K31" s="1279"/>
      <c r="L31" s="1279"/>
      <c r="M31" s="1279"/>
      <c r="N31" s="1279"/>
      <c r="O31" s="1279"/>
      <c r="P31" s="1279"/>
      <c r="Q31" s="1279"/>
      <c r="R31" s="1279"/>
      <c r="S31" s="1279"/>
      <c r="T31" s="1279"/>
      <c r="U31" s="1279"/>
      <c r="V31" s="1279"/>
      <c r="W31" s="1279"/>
      <c r="X31" s="1279"/>
      <c r="Y31" s="1279"/>
      <c r="Z31" s="1279"/>
      <c r="AA31" s="1279"/>
      <c r="AB31" s="1279"/>
      <c r="AC31" s="1279"/>
      <c r="AD31" s="1279"/>
      <c r="AE31" s="1279"/>
      <c r="AF31" s="1279"/>
      <c r="AG31" s="1279"/>
      <c r="AH31" s="1279"/>
      <c r="AI31" s="1279"/>
      <c r="AJ31" s="1279"/>
      <c r="AK31" s="1279"/>
      <c r="AL31" s="1279"/>
      <c r="AM31" s="1279"/>
      <c r="AN31" s="1279"/>
      <c r="AO31" s="1279"/>
      <c r="AP31" s="1279"/>
      <c r="AQ31" s="1279"/>
      <c r="AR31" s="1279"/>
      <c r="AS31" s="1279"/>
      <c r="AT31" s="1279"/>
      <c r="AU31" s="1279"/>
      <c r="AV31" s="1279"/>
      <c r="AW31" s="1279"/>
      <c r="AX31" s="1279"/>
      <c r="AY31" s="1281"/>
      <c r="AZ31" s="1354"/>
      <c r="BA31" s="1304"/>
      <c r="BB31" s="1304"/>
      <c r="BC31" s="1304"/>
      <c r="BD31" s="1304"/>
      <c r="BE31" s="1305"/>
      <c r="BF31" s="1304"/>
      <c r="BG31" s="1304"/>
      <c r="BH31" s="1304"/>
      <c r="BI31" s="1304"/>
      <c r="BJ31" s="1305"/>
      <c r="BK31" s="1281"/>
      <c r="BL31" s="1281"/>
      <c r="BM31" s="1281"/>
      <c r="BN31" s="1304"/>
      <c r="BO31" s="1305"/>
      <c r="BP31" s="1281"/>
      <c r="BQ31" s="1281"/>
      <c r="BR31" s="1281"/>
      <c r="BS31" s="1304"/>
      <c r="BT31" s="1305"/>
      <c r="BU31" s="2793"/>
      <c r="BV31" s="2793"/>
      <c r="BW31" s="2794"/>
      <c r="BX31" s="2794"/>
      <c r="BY31" s="2795"/>
      <c r="BZ31" s="2794"/>
      <c r="CA31" s="2793"/>
      <c r="CB31" s="2794"/>
      <c r="CC31" s="2794"/>
      <c r="CD31" s="2795"/>
      <c r="CE31" s="2794"/>
      <c r="CF31" s="2793"/>
      <c r="CG31" s="2794"/>
      <c r="CH31" s="1281"/>
      <c r="CI31" s="1305"/>
      <c r="CJ31" s="1281"/>
      <c r="CK31" s="1281"/>
      <c r="CL31" s="1281"/>
      <c r="CM31" s="1281"/>
      <c r="CN31" s="1305"/>
      <c r="CO31" s="1281"/>
      <c r="CP31" s="1281"/>
      <c r="CQ31" s="1281"/>
      <c r="CR31" s="1281"/>
      <c r="CS31" s="1305"/>
      <c r="CT31" s="1281"/>
      <c r="CU31" s="1281"/>
      <c r="CV31" s="1281"/>
      <c r="CW31" s="1281"/>
      <c r="CX31" s="1305"/>
      <c r="CY31" s="1281"/>
      <c r="CZ31" s="1281"/>
      <c r="DA31" s="1305"/>
      <c r="DB31" s="1305"/>
      <c r="DC31" s="1305"/>
      <c r="DD31" s="1305"/>
      <c r="DE31" s="1305"/>
      <c r="DF31" s="1305"/>
      <c r="DG31" s="1381"/>
      <c r="DH31" s="1381"/>
      <c r="DI31" s="1305"/>
      <c r="DJ31" s="1381"/>
      <c r="DK31" s="1381"/>
      <c r="DL31" s="1381"/>
      <c r="DM31" s="1305"/>
      <c r="DN31" s="1305"/>
      <c r="DO31" s="1305"/>
      <c r="DP31" s="1305"/>
      <c r="DQ31" s="1305"/>
      <c r="DR31" s="1304"/>
      <c r="DS31" s="264"/>
      <c r="DT31" s="264"/>
      <c r="DU31" s="264"/>
      <c r="DV31" s="264"/>
      <c r="DW31" s="264"/>
      <c r="DX31" s="264"/>
      <c r="DY31" s="264"/>
      <c r="DZ31" s="264"/>
      <c r="EA31" s="264"/>
      <c r="EB31" s="264"/>
      <c r="EC31" s="264"/>
      <c r="ED31" s="264"/>
      <c r="EE31" s="264"/>
      <c r="EF31" s="264"/>
      <c r="EG31" s="264"/>
      <c r="EH31" s="264"/>
      <c r="EI31" s="264"/>
      <c r="EJ31" s="264"/>
      <c r="EK31" s="264"/>
      <c r="EL31" s="264"/>
      <c r="EM31" s="264"/>
      <c r="EN31" s="264"/>
      <c r="EO31" s="264"/>
      <c r="EP31" s="264"/>
      <c r="EQ31" s="264"/>
      <c r="ER31" s="264"/>
    </row>
    <row r="32" spans="1:148" s="934" customFormat="1" ht="12">
      <c r="A32" s="1306" t="s">
        <v>743</v>
      </c>
      <c r="B32" s="1307"/>
      <c r="C32" s="1307"/>
      <c r="D32" s="1307"/>
      <c r="E32" s="1307"/>
      <c r="F32" s="1307"/>
      <c r="G32" s="1307"/>
      <c r="H32" s="1307"/>
      <c r="I32" s="1307"/>
      <c r="J32" s="1307"/>
      <c r="K32" s="1307"/>
      <c r="L32" s="1307"/>
      <c r="M32" s="1307"/>
      <c r="N32" s="1307"/>
      <c r="O32" s="1307"/>
      <c r="P32" s="1307"/>
      <c r="Q32" s="1307"/>
      <c r="R32" s="1307"/>
      <c r="S32" s="1307"/>
      <c r="T32" s="1307"/>
      <c r="U32" s="1307"/>
      <c r="V32" s="1307"/>
      <c r="W32" s="1307"/>
      <c r="X32" s="1307"/>
      <c r="Y32" s="1307"/>
      <c r="Z32" s="1307"/>
      <c r="AA32" s="1307"/>
      <c r="AB32" s="1307"/>
      <c r="AC32" s="1307"/>
      <c r="AD32" s="1307"/>
      <c r="AE32" s="1307"/>
      <c r="AF32" s="1307"/>
      <c r="AG32" s="1307"/>
      <c r="AH32" s="1307"/>
      <c r="AI32" s="1307"/>
      <c r="AJ32" s="1307"/>
      <c r="AK32" s="1307"/>
      <c r="AL32" s="1307"/>
      <c r="AM32" s="1307"/>
      <c r="AN32" s="1307"/>
      <c r="AO32" s="1307"/>
      <c r="AP32" s="1307"/>
      <c r="AQ32" s="1307"/>
      <c r="AR32" s="1307"/>
      <c r="AS32" s="1307"/>
      <c r="AT32" s="1307"/>
      <c r="AU32" s="1308"/>
      <c r="AV32" s="1309"/>
      <c r="AW32" s="1309"/>
      <c r="AX32" s="1309"/>
      <c r="AY32" s="1309"/>
      <c r="AZ32" s="1308"/>
      <c r="BA32" s="1309">
        <f t="shared" ref="BA32:BJ32" si="57">BA142</f>
        <v>17372</v>
      </c>
      <c r="BB32" s="1309">
        <f t="shared" si="57"/>
        <v>20885</v>
      </c>
      <c r="BC32" s="1309">
        <f t="shared" si="57"/>
        <v>17407</v>
      </c>
      <c r="BD32" s="1309">
        <f t="shared" si="57"/>
        <v>18059</v>
      </c>
      <c r="BE32" s="1308">
        <f t="shared" si="57"/>
        <v>73723</v>
      </c>
      <c r="BF32" s="1309">
        <f t="shared" si="57"/>
        <v>16008</v>
      </c>
      <c r="BG32" s="1309">
        <f t="shared" si="57"/>
        <v>21456</v>
      </c>
      <c r="BH32" s="1309">
        <f t="shared" si="57"/>
        <v>20489</v>
      </c>
      <c r="BI32" s="1309">
        <f t="shared" si="57"/>
        <v>19896</v>
      </c>
      <c r="BJ32" s="1308">
        <f t="shared" si="57"/>
        <v>77849</v>
      </c>
      <c r="BK32" s="1309">
        <f>BK10+BK17+BK24+BK30</f>
        <v>18529</v>
      </c>
      <c r="BL32" s="1309">
        <f t="shared" ref="BL32:BT32" si="58">BL10+BL17+BL24+BL30</f>
        <v>24519</v>
      </c>
      <c r="BM32" s="1309">
        <f t="shared" si="58"/>
        <v>20403</v>
      </c>
      <c r="BN32" s="1309">
        <f t="shared" si="58"/>
        <v>23382</v>
      </c>
      <c r="BO32" s="1308">
        <f t="shared" si="58"/>
        <v>86833</v>
      </c>
      <c r="BP32" s="1309">
        <f t="shared" si="58"/>
        <v>23201</v>
      </c>
      <c r="BQ32" s="1309">
        <f t="shared" si="58"/>
        <v>26144</v>
      </c>
      <c r="BR32" s="1309">
        <f t="shared" si="58"/>
        <v>21729</v>
      </c>
      <c r="BS32" s="1309">
        <f t="shared" si="58"/>
        <v>22180</v>
      </c>
      <c r="BT32" s="1308">
        <f t="shared" si="58"/>
        <v>93254</v>
      </c>
      <c r="BU32" s="1309">
        <f>BU10+BU17+BU24</f>
        <v>20910</v>
      </c>
      <c r="BV32" s="1309">
        <f>BV10+BV17+BV24</f>
        <v>25253</v>
      </c>
      <c r="BW32" s="1309">
        <f t="shared" ref="BW32:BX32" si="59">BW10+BW17+BW24</f>
        <v>21517</v>
      </c>
      <c r="BX32" s="1309">
        <f t="shared" si="59"/>
        <v>23474</v>
      </c>
      <c r="BY32" s="1308">
        <f>SUM(BU32:BX32)</f>
        <v>91154</v>
      </c>
      <c r="BZ32" s="1309">
        <f>BZ10+BZ17+BZ24</f>
        <v>21928</v>
      </c>
      <c r="CA32" s="1309">
        <f t="shared" ref="CA32:CC32" si="60">CA10+CA17+CA24</f>
        <v>25826</v>
      </c>
      <c r="CB32" s="1309">
        <f t="shared" si="60"/>
        <v>23212</v>
      </c>
      <c r="CC32" s="1309">
        <f t="shared" si="60"/>
        <v>25605</v>
      </c>
      <c r="CD32" s="1308">
        <f>SUM(BZ32:CC32)</f>
        <v>96571</v>
      </c>
      <c r="CE32" s="1309">
        <f>CE10+CE17+CE24</f>
        <v>24538</v>
      </c>
      <c r="CF32" s="1309">
        <f t="shared" ref="CF32:CG32" si="61">CF10+CF17+CF24</f>
        <v>28918</v>
      </c>
      <c r="CG32" s="1309">
        <f t="shared" si="61"/>
        <v>26819</v>
      </c>
      <c r="CH32" s="1309">
        <f t="shared" ref="CH32" si="62">CH10+CH17+CH24</f>
        <v>29195.5462989398</v>
      </c>
      <c r="CI32" s="1308">
        <f>SUM(CE32:CH32)</f>
        <v>109470.54629893979</v>
      </c>
      <c r="CJ32" s="1309">
        <f>CJ10+CJ17+CJ24</f>
        <v>27735.172906742351</v>
      </c>
      <c r="CK32" s="1309">
        <f t="shared" ref="CK32:CM32" si="63">CK10+CK17+CK24</f>
        <v>32199.916918887284</v>
      </c>
      <c r="CL32" s="1309">
        <f t="shared" si="63"/>
        <v>29957.026778955264</v>
      </c>
      <c r="CM32" s="1309">
        <f t="shared" si="63"/>
        <v>32642.118087953073</v>
      </c>
      <c r="CN32" s="1308">
        <f>SUM(CJ32:CM32)</f>
        <v>122534.23469253797</v>
      </c>
      <c r="CO32" s="1309">
        <f>CO10+CO17+CO24</f>
        <v>31115.926472859042</v>
      </c>
      <c r="CP32" s="1309">
        <f t="shared" ref="CP32:CR32" si="64">CP10+CP17+CP24</f>
        <v>35617.687698203823</v>
      </c>
      <c r="CQ32" s="1309">
        <f t="shared" si="64"/>
        <v>33967.374251287059</v>
      </c>
      <c r="CR32" s="1309">
        <f t="shared" si="64"/>
        <v>37014.075433360435</v>
      </c>
      <c r="CS32" s="1308">
        <f>SUM(CO32:CR32)</f>
        <v>137715.06385571035</v>
      </c>
      <c r="CT32" s="1309">
        <f>CT10+CT17+CT24</f>
        <v>34831.269258138069</v>
      </c>
      <c r="CU32" s="1309">
        <f t="shared" ref="CU32:CW32" si="65">CU10+CU17+CU24</f>
        <v>39116.018736833961</v>
      </c>
      <c r="CV32" s="1309">
        <f t="shared" si="65"/>
        <v>37958.862358815873</v>
      </c>
      <c r="CW32" s="1309">
        <f t="shared" si="65"/>
        <v>41295.683517201003</v>
      </c>
      <c r="CX32" s="1308">
        <f>SUM(CT32:CW32)</f>
        <v>153201.83387098892</v>
      </c>
      <c r="CY32" s="1307"/>
      <c r="CZ32" s="1307"/>
      <c r="DA32" s="1308"/>
      <c r="DB32" s="1308"/>
      <c r="DC32" s="1308"/>
      <c r="DD32" s="1308"/>
      <c r="DE32" s="1308"/>
      <c r="DF32" s="1308"/>
      <c r="DG32" s="1382"/>
      <c r="DH32" s="1382"/>
      <c r="DI32" s="1308">
        <f>SUM(BC32:BD32,BF32:BG32)</f>
        <v>72930</v>
      </c>
      <c r="DJ32" s="1382">
        <f>SUM(BH32:BI32,BK32:BL32)</f>
        <v>83433</v>
      </c>
      <c r="DK32" s="1382">
        <f>BM32+BN32+BP32+BQ32</f>
        <v>93130</v>
      </c>
      <c r="DL32" s="1382">
        <f>BR32+BS32+BU32+BV32</f>
        <v>90072</v>
      </c>
      <c r="DM32" s="1308">
        <f>BW32+BX32+BZ32+CA32</f>
        <v>92745</v>
      </c>
      <c r="DN32" s="1308">
        <f>CB32+CC32+CE32+CF32</f>
        <v>102273</v>
      </c>
      <c r="DO32" s="1308">
        <f>CG32+CH32+CJ32+CK32</f>
        <v>115949.63612456943</v>
      </c>
      <c r="DP32" s="1308">
        <f>CL32+CM32+CO32+CP32</f>
        <v>129332.75903797119</v>
      </c>
      <c r="DQ32" s="1308">
        <f>CQ32+CR32+CT32+CU32</f>
        <v>144928.73767961952</v>
      </c>
      <c r="DR32" s="3057"/>
      <c r="DS32" s="264"/>
      <c r="DT32" s="264"/>
      <c r="DU32" s="264"/>
      <c r="DV32" s="264"/>
      <c r="DW32" s="264"/>
      <c r="DX32" s="264"/>
      <c r="DY32" s="264"/>
      <c r="DZ32" s="264"/>
      <c r="EA32" s="264"/>
      <c r="EB32" s="264"/>
      <c r="EC32" s="264"/>
      <c r="ED32" s="264"/>
      <c r="EE32" s="264"/>
      <c r="EF32" s="264"/>
      <c r="EG32" s="264"/>
      <c r="EH32" s="264"/>
      <c r="EI32" s="264"/>
      <c r="EJ32" s="264"/>
      <c r="EK32" s="264"/>
      <c r="EL32" s="264"/>
      <c r="EM32" s="264"/>
      <c r="EN32" s="264"/>
      <c r="EO32" s="264"/>
      <c r="EP32" s="264"/>
      <c r="EQ32" s="264"/>
      <c r="ER32" s="264"/>
    </row>
    <row r="33" spans="1:148" s="934" customFormat="1" ht="12">
      <c r="A33" s="1310" t="s">
        <v>717</v>
      </c>
      <c r="B33" s="1311"/>
      <c r="C33" s="1311"/>
      <c r="D33" s="1311"/>
      <c r="E33" s="1311"/>
      <c r="F33" s="1311"/>
      <c r="G33" s="1311"/>
      <c r="H33" s="1311"/>
      <c r="I33" s="1311"/>
      <c r="J33" s="1311"/>
      <c r="K33" s="1311"/>
      <c r="L33" s="1311"/>
      <c r="M33" s="1311"/>
      <c r="N33" s="1311"/>
      <c r="O33" s="1311"/>
      <c r="P33" s="1311"/>
      <c r="Q33" s="1311"/>
      <c r="R33" s="1311"/>
      <c r="S33" s="1311"/>
      <c r="T33" s="1311"/>
      <c r="U33" s="1311"/>
      <c r="V33" s="1311"/>
      <c r="W33" s="1311"/>
      <c r="X33" s="1311"/>
      <c r="Y33" s="1311"/>
      <c r="Z33" s="1311"/>
      <c r="AA33" s="1311"/>
      <c r="AB33" s="1311"/>
      <c r="AC33" s="1311"/>
      <c r="AD33" s="1311"/>
      <c r="AE33" s="1311"/>
      <c r="AF33" s="1311"/>
      <c r="AG33" s="1311"/>
      <c r="AH33" s="1311"/>
      <c r="AI33" s="1311"/>
      <c r="AJ33" s="1311"/>
      <c r="AK33" s="1311"/>
      <c r="AL33" s="1311"/>
      <c r="AM33" s="1311"/>
      <c r="AN33" s="1311"/>
      <c r="AO33" s="1311"/>
      <c r="AP33" s="1311"/>
      <c r="AQ33" s="1311"/>
      <c r="AR33" s="1311"/>
      <c r="AS33" s="1311"/>
      <c r="AT33" s="1311"/>
      <c r="AU33" s="1312"/>
      <c r="AV33" s="1311"/>
      <c r="AW33" s="1311"/>
      <c r="AX33" s="1311"/>
      <c r="AY33" s="1311"/>
      <c r="AZ33" s="1312"/>
      <c r="BA33" s="1314">
        <f t="shared" ref="BA33:BJ33" si="66">BA143</f>
        <v>7.2676752083976615E-2</v>
      </c>
      <c r="BB33" s="1314">
        <f t="shared" si="66"/>
        <v>4.6709767954693504E-2</v>
      </c>
      <c r="BC33" s="1314">
        <f t="shared" si="66"/>
        <v>5.9593377160944705E-2</v>
      </c>
      <c r="BD33" s="1314">
        <f t="shared" si="66"/>
        <v>3.9939097425691461E-2</v>
      </c>
      <c r="BE33" s="1312">
        <f t="shared" si="66"/>
        <v>0</v>
      </c>
      <c r="BF33" s="1314">
        <f t="shared" si="66"/>
        <v>-7.8517154040985471E-2</v>
      </c>
      <c r="BG33" s="1314">
        <f t="shared" si="66"/>
        <v>2.7340196313143439E-2</v>
      </c>
      <c r="BH33" s="1314">
        <f t="shared" si="66"/>
        <v>0.17705520767507332</v>
      </c>
      <c r="BI33" s="1314">
        <f t="shared" si="66"/>
        <v>0.10172213300847233</v>
      </c>
      <c r="BJ33" s="1312">
        <f t="shared" si="66"/>
        <v>5.5966252051598442E-2</v>
      </c>
      <c r="BK33" s="1314">
        <f>IF(ISERROR(BK32/BF32-1),"",(BK32/BF32-1))</f>
        <v>0.15748375812093962</v>
      </c>
      <c r="BL33" s="1314">
        <f>IF(ISERROR(BL32/BG32-1),"",(BL32/BG32-1))</f>
        <v>0.14275727069351229</v>
      </c>
      <c r="BM33" s="1314">
        <f>IF(ISERROR(BM32/BH32-1),"",(BM32/BH32-1))</f>
        <v>-4.1973742007906933E-3</v>
      </c>
      <c r="BN33" s="1314">
        <f>IF(ISERROR(BN32/BI32-1),"",(BN32/BI32-1))</f>
        <v>0.17521109770808208</v>
      </c>
      <c r="BO33" s="1312">
        <f>BO32/BJ32-1</f>
        <v>0.11540289534868786</v>
      </c>
      <c r="BP33" s="1314">
        <f>IF(ISERROR(BP32/BK32-1),"",(BP32/BK32-1))</f>
        <v>0.25214528576825512</v>
      </c>
      <c r="BQ33" s="1314">
        <f>IF(ISERROR(BQ32/BL32-1),"",(BQ32/BL32-1))</f>
        <v>6.627513356988457E-2</v>
      </c>
      <c r="BR33" s="1314">
        <f>IF(ISERROR(BR32/BM32-1),"",(BR32/BM32-1))</f>
        <v>6.4990442581973173E-2</v>
      </c>
      <c r="BS33" s="1314">
        <f>IF(ISERROR(BS32/BN32-1),"",(BS32/BN32-1))</f>
        <v>-5.1407065263878171E-2</v>
      </c>
      <c r="BT33" s="1312">
        <f>BT32/BO32-1</f>
        <v>7.3946541061578053E-2</v>
      </c>
      <c r="BU33" s="1314"/>
      <c r="BV33" s="1314"/>
      <c r="BW33" s="1314"/>
      <c r="BX33" s="1314"/>
      <c r="BY33" s="1312"/>
      <c r="BZ33" s="1314">
        <f>IF(ISERROR(BZ32/BU32-1),"",(BZ32/BU32-1))</f>
        <v>4.8684839789574275E-2</v>
      </c>
      <c r="CA33" s="1314">
        <f>IF(ISERROR(CA32/BV32-1),"",(CA32/BV32-1))</f>
        <v>2.2690373420979792E-2</v>
      </c>
      <c r="CB33" s="1314">
        <f>IF(ISERROR(CB32/BW32-1),"",(CB32/BW32-1))</f>
        <v>7.8774922154575489E-2</v>
      </c>
      <c r="CC33" s="1314">
        <f>IF(ISERROR(CC32/BX32-1),"",(CC32/BX32-1))</f>
        <v>9.0781289937803544E-2</v>
      </c>
      <c r="CD33" s="1312">
        <f>CD32/BY32-1</f>
        <v>5.9426903920837271E-2</v>
      </c>
      <c r="CE33" s="1314">
        <f>IF(ISERROR(CE32/BZ32-1),"",(CE32/BZ32-1))</f>
        <v>0.11902590295512594</v>
      </c>
      <c r="CF33" s="1314">
        <f>IF(ISERROR(CF32/CA32-1),"",(CF32/CA32-1))</f>
        <v>0.11972430883605667</v>
      </c>
      <c r="CG33" s="1314">
        <f>IF(ISERROR(CG32/CB32-1),"",(CG32/CB32-1))</f>
        <v>0.15539376184732046</v>
      </c>
      <c r="CH33" s="1314">
        <f>IF(ISERROR(CH32/CC32-1),"",(CH32/CC32-1))</f>
        <v>0.14022832645732475</v>
      </c>
      <c r="CI33" s="1312">
        <f>CI32/CD32-1</f>
        <v>0.13357577636081008</v>
      </c>
      <c r="CJ33" s="1314">
        <f>IF(ISERROR(CJ32/CE32-1),"",(CJ32/CE32-1))</f>
        <v>0.13029476349915847</v>
      </c>
      <c r="CK33" s="1314">
        <f>IF(ISERROR(CK32/CF32-1),"",(CK32/CF32-1))</f>
        <v>0.11349045296657034</v>
      </c>
      <c r="CL33" s="1314">
        <f>IF(ISERROR(CL32/CG32-1),"",(CL32/CG32-1))</f>
        <v>0.11700759830550211</v>
      </c>
      <c r="CM33" s="1314">
        <f>IF(ISERROR(CM32/CH32-1),"",(CM32/CH32-1))</f>
        <v>0.11805128610107318</v>
      </c>
      <c r="CN33" s="1312">
        <f>CN32/CI32-1</f>
        <v>0.11933518955796685</v>
      </c>
      <c r="CO33" s="1314">
        <f>IF(ISERROR(CO32/CJ32-1),"",(CO32/CJ32-1))</f>
        <v>0.12189408652631251</v>
      </c>
      <c r="CP33" s="1314">
        <f>IF(ISERROR(CP32/CK32-1),"",(CP32/CK32-1))</f>
        <v>0.10614222353200553</v>
      </c>
      <c r="CQ33" s="1314">
        <f>IF(ISERROR(CQ32/CL32-1),"",(CQ32/CL32-1))</f>
        <v>0.13387000992865739</v>
      </c>
      <c r="CR33" s="1314">
        <f>IF(ISERROR(CR32/CM32-1),"",(CR32/CM32-1))</f>
        <v>0.13393608017798564</v>
      </c>
      <c r="CS33" s="1312">
        <f>CS32/CN32-1</f>
        <v>0.12389051273110741</v>
      </c>
      <c r="CT33" s="1314">
        <f>IF(ISERROR(CT32/CO32-1),"",(CT32/CO32-1))</f>
        <v>0.11940325121026829</v>
      </c>
      <c r="CU33" s="1314">
        <f>IF(ISERROR(CU32/CP32-1),"",(CU32/CP32-1))</f>
        <v>9.8218926177135124E-2</v>
      </c>
      <c r="CV33" s="1314">
        <f>IF(ISERROR(CV32/CQ32-1),"",(CV32/CQ32-1))</f>
        <v>0.11750946888034997</v>
      </c>
      <c r="CW33" s="1314">
        <f>IF(ISERROR(CW32/CR32-1),"",(CW32/CR32-1))</f>
        <v>0.11567513260054563</v>
      </c>
      <c r="CX33" s="1312">
        <f>CX32/CS32-1</f>
        <v>0.112455163448965</v>
      </c>
      <c r="CY33" s="1311"/>
      <c r="CZ33" s="1311"/>
      <c r="DA33" s="1312"/>
      <c r="DB33" s="1312"/>
      <c r="DC33" s="1312"/>
      <c r="DD33" s="1312"/>
      <c r="DE33" s="1312"/>
      <c r="DF33" s="1312"/>
      <c r="DG33" s="1313"/>
      <c r="DH33" s="1313"/>
      <c r="DI33" s="1312"/>
      <c r="DJ33" s="3091">
        <f t="shared" ref="DJ33:DQ33" si="67">DJ32/DI32-1</f>
        <v>0.14401480872069117</v>
      </c>
      <c r="DK33" s="3091">
        <f t="shared" si="67"/>
        <v>0.11622499490609228</v>
      </c>
      <c r="DL33" s="3091">
        <f t="shared" si="67"/>
        <v>-3.2835820895522394E-2</v>
      </c>
      <c r="DM33" s="3092">
        <f t="shared" si="67"/>
        <v>2.9676258992805682E-2</v>
      </c>
      <c r="DN33" s="3092">
        <f t="shared" si="67"/>
        <v>0.10273330098657607</v>
      </c>
      <c r="DO33" s="3092">
        <f t="shared" si="67"/>
        <v>0.13372675216889518</v>
      </c>
      <c r="DP33" s="3092">
        <f t="shared" si="67"/>
        <v>0.11542186211799521</v>
      </c>
      <c r="DQ33" s="3092">
        <f t="shared" si="67"/>
        <v>0.12058799918642005</v>
      </c>
      <c r="DR33" s="1314"/>
      <c r="DS33" s="264"/>
      <c r="DT33" s="264"/>
      <c r="DU33" s="264"/>
      <c r="DV33" s="264"/>
      <c r="DW33" s="264"/>
      <c r="DX33" s="264"/>
      <c r="DY33" s="264"/>
      <c r="DZ33" s="264"/>
      <c r="EA33" s="264"/>
      <c r="EB33" s="264"/>
      <c r="EC33" s="264"/>
      <c r="ED33" s="264"/>
      <c r="EE33" s="264"/>
      <c r="EF33" s="264"/>
      <c r="EG33" s="264"/>
      <c r="EH33" s="264"/>
      <c r="EI33" s="264"/>
      <c r="EJ33" s="264"/>
      <c r="EK33" s="264"/>
      <c r="EL33" s="264"/>
      <c r="EM33" s="264"/>
      <c r="EN33" s="264"/>
      <c r="EO33" s="264"/>
      <c r="EP33" s="264"/>
      <c r="EQ33" s="264"/>
      <c r="ER33" s="264"/>
    </row>
    <row r="34" spans="1:148" s="934" customFormat="1" ht="12" hidden="1">
      <c r="A34" s="1310" t="s">
        <v>764</v>
      </c>
      <c r="B34" s="1311"/>
      <c r="C34" s="1311"/>
      <c r="D34" s="1311"/>
      <c r="E34" s="1311"/>
      <c r="F34" s="1311"/>
      <c r="G34" s="1311"/>
      <c r="H34" s="1311"/>
      <c r="I34" s="1311"/>
      <c r="J34" s="1311"/>
      <c r="K34" s="1311"/>
      <c r="L34" s="1311"/>
      <c r="M34" s="1311"/>
      <c r="N34" s="1311"/>
      <c r="O34" s="1311"/>
      <c r="P34" s="1311"/>
      <c r="Q34" s="1311"/>
      <c r="R34" s="1311"/>
      <c r="S34" s="1311"/>
      <c r="T34" s="1311"/>
      <c r="U34" s="1311"/>
      <c r="V34" s="1311"/>
      <c r="W34" s="1311"/>
      <c r="X34" s="1311"/>
      <c r="Y34" s="1311"/>
      <c r="Z34" s="1311"/>
      <c r="AA34" s="1311"/>
      <c r="AB34" s="1311"/>
      <c r="AC34" s="1311"/>
      <c r="AD34" s="1311"/>
      <c r="AE34" s="1311"/>
      <c r="AF34" s="1311"/>
      <c r="AG34" s="1311"/>
      <c r="AH34" s="1311"/>
      <c r="AI34" s="1311"/>
      <c r="AJ34" s="1311"/>
      <c r="AK34" s="1311"/>
      <c r="AL34" s="1311"/>
      <c r="AM34" s="1311"/>
      <c r="AN34" s="1311"/>
      <c r="AO34" s="1311"/>
      <c r="AP34" s="1311"/>
      <c r="AQ34" s="1311"/>
      <c r="AR34" s="1311"/>
      <c r="AS34" s="1311"/>
      <c r="AT34" s="1311"/>
      <c r="AU34" s="1312"/>
      <c r="AV34" s="1311"/>
      <c r="AW34" s="1311"/>
      <c r="AX34" s="1311"/>
      <c r="AY34" s="1311"/>
      <c r="AZ34" s="1312"/>
      <c r="BA34" s="1314">
        <f t="shared" ref="BA34:BJ34" si="68">BA144</f>
        <v>0</v>
      </c>
      <c r="BB34" s="1314">
        <f t="shared" si="68"/>
        <v>0</v>
      </c>
      <c r="BC34" s="1314">
        <f t="shared" si="68"/>
        <v>0</v>
      </c>
      <c r="BD34" s="1314">
        <f t="shared" si="68"/>
        <v>0</v>
      </c>
      <c r="BE34" s="1312">
        <f t="shared" si="68"/>
        <v>0</v>
      </c>
      <c r="BF34" s="1314">
        <f t="shared" si="68"/>
        <v>5.7653502450283334E-4</v>
      </c>
      <c r="BG34" s="1314">
        <f t="shared" si="68"/>
        <v>5.6279961649089216E-2</v>
      </c>
      <c r="BH34" s="1314">
        <f t="shared" si="68"/>
        <v>8.2643678160919443E-2</v>
      </c>
      <c r="BI34" s="1314">
        <f t="shared" si="68"/>
        <v>3.3112938773316225E-2</v>
      </c>
      <c r="BJ34" s="1312">
        <f t="shared" si="68"/>
        <v>4.3634109529969711E-2</v>
      </c>
      <c r="BK34" s="1314">
        <f>BK144</f>
        <v>7.5194468452895347E-2</v>
      </c>
      <c r="BL34" s="1314">
        <f>BL144</f>
        <v>0.11527639103204135</v>
      </c>
      <c r="BM34" s="1314">
        <f>BM144</f>
        <v>8.9818452064974963E-2</v>
      </c>
      <c r="BN34" s="1314">
        <f>BN144</f>
        <v>0.22191581247723602</v>
      </c>
      <c r="BO34" s="1312">
        <f>BO144</f>
        <v>0.12656560700358965</v>
      </c>
      <c r="BP34" s="1314">
        <f>(BP10+BP17+BP24)/(BK10+BK17+BK24)-1</f>
        <v>0.24495599914144672</v>
      </c>
      <c r="BQ34" s="1314">
        <f>(BQ10+BQ17+BQ24)/(BL10+BL17+BL24)-1</f>
        <v>6.2443955327300849E-2</v>
      </c>
      <c r="BR34" s="1314">
        <f>(BR10+BR17+BR24)/(BM10+BM17+BM24)-1</f>
        <v>5.671510777333455E-2</v>
      </c>
      <c r="BS34" s="1314">
        <f>(BS10+BS17+BS24)/(BN10+BN17+BN24)-1</f>
        <v>-5.4277789630893913E-2</v>
      </c>
      <c r="BT34" s="1312">
        <f>(BT10+BT17+BT24)/(BO10+BO17+BO24)-1</f>
        <v>6.8739883596790285E-2</v>
      </c>
      <c r="BU34" s="1314">
        <f t="shared" ref="BU34:CG34" si="69">(BU10+BU17+BU24)/(BP10+BP17+BP24)-1</f>
        <v>-9.8745743717943202E-2</v>
      </c>
      <c r="BV34" s="1314">
        <f t="shared" si="69"/>
        <v>-3.1190056011662692E-2</v>
      </c>
      <c r="BW34" s="1314">
        <f t="shared" si="69"/>
        <v>-7.0146291937791538E-3</v>
      </c>
      <c r="BX34" s="1314">
        <f t="shared" si="69"/>
        <v>5.9152641790371385E-2</v>
      </c>
      <c r="BY34" s="1312">
        <f t="shared" si="69"/>
        <v>-2.0891738901599344E-2</v>
      </c>
      <c r="BZ34" s="1314">
        <f t="shared" si="69"/>
        <v>4.8684839789574275E-2</v>
      </c>
      <c r="CA34" s="1314">
        <f t="shared" si="69"/>
        <v>2.2690373420979792E-2</v>
      </c>
      <c r="CB34" s="1314">
        <f t="shared" si="69"/>
        <v>7.8774922154575489E-2</v>
      </c>
      <c r="CC34" s="1314">
        <f t="shared" si="69"/>
        <v>9.0781289937803544E-2</v>
      </c>
      <c r="CD34" s="1312">
        <f t="shared" si="69"/>
        <v>5.9426903920837271E-2</v>
      </c>
      <c r="CE34" s="1314">
        <f t="shared" si="69"/>
        <v>0.11902590295512594</v>
      </c>
      <c r="CF34" s="1314">
        <f t="shared" si="69"/>
        <v>0.11972430883605667</v>
      </c>
      <c r="CG34" s="1314">
        <f t="shared" si="69"/>
        <v>0.15539376184732046</v>
      </c>
      <c r="CH34" s="1314">
        <f t="shared" ref="CG34:CI34" si="70">(CH10+CH17+CH24)/(CC10+CC17+CC24)-1</f>
        <v>0.14022832645732475</v>
      </c>
      <c r="CI34" s="1312">
        <f t="shared" si="70"/>
        <v>0.13357577636081008</v>
      </c>
      <c r="CJ34" s="1314">
        <f t="shared" ref="CJ34:CS34" si="71">(CJ10+CJ17+CJ24)/(CE10+CE17+CE24)-1</f>
        <v>0.13029476349915847</v>
      </c>
      <c r="CK34" s="1314">
        <f t="shared" si="71"/>
        <v>0.11349045296657034</v>
      </c>
      <c r="CL34" s="1314">
        <f t="shared" si="71"/>
        <v>0.11700759830550211</v>
      </c>
      <c r="CM34" s="1314">
        <f t="shared" si="71"/>
        <v>0.11805128610107318</v>
      </c>
      <c r="CN34" s="1312">
        <f t="shared" si="71"/>
        <v>0.11933518955796685</v>
      </c>
      <c r="CO34" s="1314">
        <f t="shared" si="71"/>
        <v>0.12189408652631251</v>
      </c>
      <c r="CP34" s="1314">
        <f t="shared" si="71"/>
        <v>0.10614222353200553</v>
      </c>
      <c r="CQ34" s="1314">
        <f t="shared" si="71"/>
        <v>0.13387000992865739</v>
      </c>
      <c r="CR34" s="1314">
        <f t="shared" si="71"/>
        <v>0.13393608017798564</v>
      </c>
      <c r="CS34" s="1312">
        <f t="shared" si="71"/>
        <v>0.12389051273110785</v>
      </c>
      <c r="CT34" s="1314">
        <f t="shared" ref="CT34" si="72">(CT10+CT17+CT24)/(CO10+CO17+CO24)-1</f>
        <v>0.11940325121026829</v>
      </c>
      <c r="CU34" s="1314">
        <f t="shared" ref="CU34" si="73">(CU10+CU17+CU24)/(CP10+CP17+CP24)-1</f>
        <v>9.8218926177135124E-2</v>
      </c>
      <c r="CV34" s="1314">
        <f t="shared" ref="CV34" si="74">(CV10+CV17+CV24)/(CQ10+CQ17+CQ24)-1</f>
        <v>0.11750946888034997</v>
      </c>
      <c r="CW34" s="1314">
        <f t="shared" ref="CW34" si="75">(CW10+CW17+CW24)/(CR10+CR17+CR24)-1</f>
        <v>0.11567513260054563</v>
      </c>
      <c r="CX34" s="1312">
        <f t="shared" ref="CX34" si="76">(CX10+CX17+CX24)/(CS10+CS17+CS24)-1</f>
        <v>0.11245516344896478</v>
      </c>
      <c r="CY34" s="1311"/>
      <c r="CZ34" s="1311"/>
      <c r="DA34" s="1312"/>
      <c r="DB34" s="1312"/>
      <c r="DC34" s="1312"/>
      <c r="DD34" s="1312"/>
      <c r="DE34" s="1312"/>
      <c r="DF34" s="1312"/>
      <c r="DG34" s="1313"/>
      <c r="DH34" s="1313"/>
      <c r="DI34" s="1312"/>
      <c r="DJ34" s="1313"/>
      <c r="DK34" s="1313"/>
      <c r="DL34" s="1313"/>
      <c r="DM34" s="1312"/>
      <c r="DN34" s="1312"/>
      <c r="DO34" s="1312"/>
      <c r="DP34" s="1312"/>
      <c r="DQ34" s="1312"/>
      <c r="DR34" s="1314"/>
      <c r="DS34" s="264"/>
      <c r="DT34" s="264"/>
      <c r="DU34" s="264"/>
      <c r="DV34" s="264"/>
      <c r="DW34" s="264"/>
      <c r="DX34" s="264"/>
      <c r="DY34" s="264"/>
      <c r="DZ34" s="264"/>
      <c r="EA34" s="264"/>
      <c r="EB34" s="264"/>
      <c r="EC34" s="264"/>
      <c r="ED34" s="264"/>
      <c r="EE34" s="264"/>
      <c r="EF34" s="264"/>
      <c r="EG34" s="264"/>
      <c r="EH34" s="264"/>
      <c r="EI34" s="264"/>
      <c r="EJ34" s="264"/>
      <c r="EK34" s="264"/>
      <c r="EL34" s="264"/>
      <c r="EM34" s="264"/>
      <c r="EN34" s="264"/>
      <c r="EO34" s="264"/>
      <c r="EP34" s="264"/>
      <c r="EQ34" s="264"/>
      <c r="ER34" s="264"/>
    </row>
    <row r="35" spans="1:148" s="934" customFormat="1" ht="12">
      <c r="A35" s="1310" t="s">
        <v>1027</v>
      </c>
      <c r="B35" s="1311"/>
      <c r="C35" s="1311"/>
      <c r="D35" s="1311"/>
      <c r="E35" s="1311"/>
      <c r="F35" s="1311"/>
      <c r="G35" s="1311"/>
      <c r="H35" s="1311"/>
      <c r="I35" s="1311"/>
      <c r="J35" s="1311"/>
      <c r="K35" s="1311"/>
      <c r="L35" s="1311"/>
      <c r="M35" s="1311"/>
      <c r="N35" s="1311"/>
      <c r="O35" s="1311"/>
      <c r="P35" s="1311"/>
      <c r="Q35" s="1311"/>
      <c r="R35" s="1311"/>
      <c r="S35" s="1311"/>
      <c r="T35" s="1311"/>
      <c r="U35" s="1311"/>
      <c r="V35" s="1311"/>
      <c r="W35" s="1311"/>
      <c r="X35" s="1311"/>
      <c r="Y35" s="1311"/>
      <c r="Z35" s="1311"/>
      <c r="AA35" s="1311"/>
      <c r="AB35" s="1311"/>
      <c r="AC35" s="1311"/>
      <c r="AD35" s="1311"/>
      <c r="AE35" s="1311"/>
      <c r="AF35" s="1311"/>
      <c r="AG35" s="1311"/>
      <c r="AH35" s="1311"/>
      <c r="AI35" s="1311"/>
      <c r="AJ35" s="1311"/>
      <c r="AK35" s="1311"/>
      <c r="AL35" s="1311"/>
      <c r="AM35" s="1311"/>
      <c r="AN35" s="1311"/>
      <c r="AO35" s="1311"/>
      <c r="AP35" s="1311"/>
      <c r="AQ35" s="1311"/>
      <c r="AR35" s="1311"/>
      <c r="AS35" s="1311"/>
      <c r="AT35" s="1311"/>
      <c r="AU35" s="1312"/>
      <c r="AV35" s="1311"/>
      <c r="AW35" s="1311"/>
      <c r="AX35" s="1311"/>
      <c r="AY35" s="1311"/>
      <c r="AZ35" s="1312"/>
      <c r="BA35" s="1314">
        <f t="shared" ref="BA35:BJ36" si="77">BA146</f>
        <v>0</v>
      </c>
      <c r="BB35" s="1314">
        <f t="shared" si="77"/>
        <v>0</v>
      </c>
      <c r="BC35" s="1314">
        <f t="shared" si="77"/>
        <v>0</v>
      </c>
      <c r="BD35" s="1314">
        <f t="shared" si="77"/>
        <v>0</v>
      </c>
      <c r="BE35" s="1312">
        <f t="shared" si="77"/>
        <v>0</v>
      </c>
      <c r="BF35" s="1314">
        <f t="shared" si="77"/>
        <v>0</v>
      </c>
      <c r="BG35" s="1314">
        <f t="shared" si="77"/>
        <v>0</v>
      </c>
      <c r="BH35" s="1314">
        <f t="shared" si="77"/>
        <v>0</v>
      </c>
      <c r="BI35" s="1314">
        <f t="shared" si="77"/>
        <v>0</v>
      </c>
      <c r="BJ35" s="1312">
        <f t="shared" si="77"/>
        <v>0</v>
      </c>
      <c r="BK35" s="1314"/>
      <c r="BL35" s="1314"/>
      <c r="BM35" s="1314"/>
      <c r="BN35" s="1314"/>
      <c r="BO35" s="1312"/>
      <c r="BP35" s="1314"/>
      <c r="BQ35" s="1314">
        <f>BQ33+1%</f>
        <v>7.6275133569884565E-2</v>
      </c>
      <c r="BR35" s="910">
        <v>0.09</v>
      </c>
      <c r="BS35" s="910">
        <v>-0.02</v>
      </c>
      <c r="BT35" s="909"/>
      <c r="BU35" s="1314"/>
      <c r="BV35" s="1314">
        <f>(BV32+1212)/BQ32-1</f>
        <v>1.2278151774785862E-2</v>
      </c>
      <c r="BW35" s="1314">
        <f>(BW32+838)/BR32-1</f>
        <v>2.8809425192139582E-2</v>
      </c>
      <c r="BX35" s="1314">
        <f>(BX32+596)/BS32-1</f>
        <v>8.5211902614968471E-2</v>
      </c>
      <c r="BY35" s="1312"/>
      <c r="BZ35" s="1314">
        <f>(BZ32+341)/BU32-1</f>
        <v>6.4992826398852177E-2</v>
      </c>
      <c r="CA35" s="1314">
        <f>(CA32+339)/BV32-1</f>
        <v>3.6114521047004411E-2</v>
      </c>
      <c r="CB35" s="1314">
        <f>(CB32+222)/BW32-1</f>
        <v>8.9092345587210131E-2</v>
      </c>
      <c r="CC35" s="1314">
        <f>(CC32+256)/BX32-1</f>
        <v>0.10168697282099348</v>
      </c>
      <c r="CD35" s="1312"/>
      <c r="CE35" s="1314">
        <f>(CE32-95)/BZ32-1</f>
        <v>0.11469354250273622</v>
      </c>
      <c r="CF35" s="1314">
        <f>(CF32-124)/CA32-1</f>
        <v>0.1149229458685046</v>
      </c>
      <c r="CG35" s="1314">
        <f>(CG32-506)/CB32-1</f>
        <v>0.1335946924004825</v>
      </c>
      <c r="CH35" s="1314"/>
      <c r="CI35" s="1312"/>
      <c r="CJ35" s="1314"/>
      <c r="CK35" s="1314"/>
      <c r="CL35" s="1314"/>
      <c r="CM35" s="1314"/>
      <c r="CN35" s="1312"/>
      <c r="CO35" s="1314"/>
      <c r="CP35" s="1314"/>
      <c r="CQ35" s="1314"/>
      <c r="CR35" s="1314"/>
      <c r="CS35" s="1312"/>
      <c r="CT35" s="1314"/>
      <c r="CU35" s="1314"/>
      <c r="CV35" s="1314"/>
      <c r="CW35" s="1314"/>
      <c r="CX35" s="1312"/>
      <c r="CY35" s="1311"/>
      <c r="CZ35" s="1311"/>
      <c r="DA35" s="1312"/>
      <c r="DB35" s="1312"/>
      <c r="DC35" s="1312"/>
      <c r="DD35" s="1312"/>
      <c r="DE35" s="1312"/>
      <c r="DF35" s="1312"/>
      <c r="DG35" s="1313"/>
      <c r="DH35" s="1313"/>
      <c r="DI35" s="1312"/>
      <c r="DJ35" s="1313"/>
      <c r="DK35" s="1313"/>
      <c r="DL35" s="1313"/>
      <c r="DM35" s="1312"/>
      <c r="DN35" s="1312"/>
      <c r="DO35" s="1312"/>
      <c r="DP35" s="1312"/>
      <c r="DQ35" s="1312"/>
      <c r="DR35" s="1314"/>
      <c r="DS35" s="264"/>
      <c r="DT35" s="264"/>
      <c r="DU35" s="264"/>
      <c r="DV35" s="264"/>
      <c r="DW35" s="264"/>
      <c r="DX35" s="264"/>
      <c r="DY35" s="264"/>
      <c r="DZ35" s="264"/>
      <c r="EA35" s="264"/>
      <c r="EB35" s="264"/>
      <c r="EC35" s="264"/>
      <c r="ED35" s="264"/>
      <c r="EE35" s="264"/>
      <c r="EF35" s="264"/>
      <c r="EG35" s="264"/>
      <c r="EH35" s="264"/>
      <c r="EI35" s="264"/>
      <c r="EJ35" s="264"/>
      <c r="EK35" s="264"/>
      <c r="EL35" s="264"/>
      <c r="EM35" s="264"/>
      <c r="EN35" s="264"/>
      <c r="EO35" s="264"/>
      <c r="EP35" s="264"/>
      <c r="EQ35" s="264"/>
      <c r="ER35" s="264"/>
    </row>
    <row r="36" spans="1:148" s="934" customFormat="1" thickBot="1">
      <c r="A36" s="1315" t="s">
        <v>718</v>
      </c>
      <c r="B36" s="1316"/>
      <c r="C36" s="1316"/>
      <c r="D36" s="1316"/>
      <c r="E36" s="1316"/>
      <c r="F36" s="1316"/>
      <c r="G36" s="1316"/>
      <c r="H36" s="1316"/>
      <c r="I36" s="1316"/>
      <c r="J36" s="1316"/>
      <c r="K36" s="1316"/>
      <c r="L36" s="1316"/>
      <c r="M36" s="1316"/>
      <c r="N36" s="1316"/>
      <c r="O36" s="1316"/>
      <c r="P36" s="1316"/>
      <c r="Q36" s="1316"/>
      <c r="R36" s="1316"/>
      <c r="S36" s="1316"/>
      <c r="T36" s="1316"/>
      <c r="U36" s="1316"/>
      <c r="V36" s="1316"/>
      <c r="W36" s="1316"/>
      <c r="X36" s="1316"/>
      <c r="Y36" s="1316"/>
      <c r="Z36" s="1316"/>
      <c r="AA36" s="1316"/>
      <c r="AB36" s="1316"/>
      <c r="AC36" s="1316"/>
      <c r="AD36" s="1316"/>
      <c r="AE36" s="1316"/>
      <c r="AF36" s="1316"/>
      <c r="AG36" s="1316"/>
      <c r="AH36" s="1316"/>
      <c r="AI36" s="1316"/>
      <c r="AJ36" s="1316"/>
      <c r="AK36" s="1316"/>
      <c r="AL36" s="1316"/>
      <c r="AM36" s="1316"/>
      <c r="AN36" s="1316"/>
      <c r="AO36" s="1316"/>
      <c r="AP36" s="1316"/>
      <c r="AQ36" s="1316"/>
      <c r="AR36" s="1316"/>
      <c r="AS36" s="1316"/>
      <c r="AT36" s="1316"/>
      <c r="AU36" s="1317"/>
      <c r="AV36" s="1316"/>
      <c r="AW36" s="1316"/>
      <c r="AX36" s="1316"/>
      <c r="AY36" s="1316"/>
      <c r="AZ36" s="1317"/>
      <c r="BA36" s="1319">
        <f t="shared" si="77"/>
        <v>3.7776180735993314E-4</v>
      </c>
      <c r="BB36" s="1319">
        <f t="shared" si="77"/>
        <v>0.20222196638268475</v>
      </c>
      <c r="BC36" s="1319">
        <f t="shared" si="77"/>
        <v>-0.16653100311228153</v>
      </c>
      <c r="BD36" s="1319">
        <f t="shared" si="77"/>
        <v>3.7456195783305501E-2</v>
      </c>
      <c r="BE36" s="1317">
        <f t="shared" si="77"/>
        <v>0</v>
      </c>
      <c r="BF36" s="1319">
        <f t="shared" si="77"/>
        <v>-0.11357218007641623</v>
      </c>
      <c r="BG36" s="1319">
        <f t="shared" si="77"/>
        <v>0.34032983508245884</v>
      </c>
      <c r="BH36" s="1319">
        <f t="shared" si="77"/>
        <v>-4.5068978374347535E-2</v>
      </c>
      <c r="BI36" s="1319">
        <f t="shared" si="77"/>
        <v>-2.8942359314754307E-2</v>
      </c>
      <c r="BJ36" s="1320">
        <f t="shared" si="77"/>
        <v>0</v>
      </c>
      <c r="BK36" s="1319">
        <f>IF(ISERROR(BK32/BI32-1),"",(BK32/BI32-1))</f>
        <v>-6.8707277844792913E-2</v>
      </c>
      <c r="BL36" s="1319">
        <f>IF(ISERROR(BL32/BK32-1),"",(BL32/BK32-1))</f>
        <v>0.32327702520373469</v>
      </c>
      <c r="BM36" s="1319">
        <f>IF(ISERROR(BM32/BL32-1),"",(BM32/BL32-1))</f>
        <v>-0.16786981524531996</v>
      </c>
      <c r="BN36" s="1319">
        <f>IF(ISERROR(BN32/BM32-1),"",(BN32/BM32-1))</f>
        <v>0.14600794000882233</v>
      </c>
      <c r="BO36" s="1320"/>
      <c r="BP36" s="1319">
        <f>IF(ISERROR(BP32/BN32-1),"",(BP32/BN32-1))</f>
        <v>-7.7409973483876238E-3</v>
      </c>
      <c r="BQ36" s="1319">
        <f>IF(ISERROR(BQ32/BP32-1),"",(BQ32/BP32-1))</f>
        <v>0.12684798069048742</v>
      </c>
      <c r="BR36" s="1319">
        <f>IF(ISERROR(BR32/BQ32-1),"",(BR32/BQ32-1))</f>
        <v>-0.16887239902080786</v>
      </c>
      <c r="BS36" s="1319">
        <f>IF(ISERROR(BS32/BR32-1),"",(BS32/BR32-1))</f>
        <v>2.0755672143218717E-2</v>
      </c>
      <c r="BT36" s="1320"/>
      <c r="BU36" s="1319">
        <f>IF(ISERROR(BU32/BS32-1),"",(BU32/BS32-1))</f>
        <v>-5.7258791704238088E-2</v>
      </c>
      <c r="BV36" s="1319">
        <f>IF(ISERROR(BV32/BU32-1),"",(BV32/BU32-1))</f>
        <v>0.2076996652319465</v>
      </c>
      <c r="BW36" s="1319">
        <f>IF(ISERROR(BW32/BV32-1),"",(BW32/BV32-1))</f>
        <v>-0.14794281867500891</v>
      </c>
      <c r="BX36" s="1319">
        <f>IF(ISERROR(BX32/BW32-1),"",(BX32/BW32-1))</f>
        <v>9.0951340800297542E-2</v>
      </c>
      <c r="BY36" s="1317"/>
      <c r="BZ36" s="1319">
        <f>IF(ISERROR(BZ32/BX32-1),"",(BZ32/BX32-1))</f>
        <v>-6.5860100536764055E-2</v>
      </c>
      <c r="CA36" s="1319">
        <f>IF(ISERROR(CA32/BZ32-1),"",(CA32/BZ32-1))</f>
        <v>0.1777635899306822</v>
      </c>
      <c r="CB36" s="1319">
        <f>IF(ISERROR(CB32/CA32-1),"",(CB32/CA32-1))</f>
        <v>-0.1012158290095253</v>
      </c>
      <c r="CC36" s="1319">
        <f>IF(ISERROR(CC32/CB32-1),"",(CC32/CB32-1))</f>
        <v>0.10309322764087536</v>
      </c>
      <c r="CD36" s="1317"/>
      <c r="CE36" s="1319">
        <f>IF(ISERROR(CE32/CC32-1),"",(CE32/CC32-1))</f>
        <v>-4.1671548525678559E-2</v>
      </c>
      <c r="CF36" s="1319">
        <f>IF(ISERROR(CF32/CE32-1),"",(CF32/CE32-1))</f>
        <v>0.17849865514711882</v>
      </c>
      <c r="CG36" s="1319">
        <f>IF(ISERROR(CG32/CF32-1),"",(CG32/CF32-1))</f>
        <v>-7.2584549415588895E-2</v>
      </c>
      <c r="CH36" s="1319">
        <f>IF(ISERROR(CH32/CG32-1),"",(CH32/CG32-1))</f>
        <v>8.8614277152011534E-2</v>
      </c>
      <c r="CI36" s="1317"/>
      <c r="CJ36" s="1319">
        <f>IF(ISERROR(CJ32/CH32-1),"",(CJ32/CH32-1))</f>
        <v>-5.0020416718507543E-2</v>
      </c>
      <c r="CK36" s="1319">
        <f>IF(ISERROR(CK32/CJ32-1),"",(CK32/CJ32-1))</f>
        <v>0.16097768804821699</v>
      </c>
      <c r="CL36" s="1319">
        <f>IF(ISERROR(CL32/CK32-1),"",(CL32/CK32-1))</f>
        <v>-6.9655153011168869E-2</v>
      </c>
      <c r="CM36" s="1319">
        <f>IF(ISERROR(CM32/CL32-1),"",(CM32/CL32-1))</f>
        <v>8.9631435349387889E-2</v>
      </c>
      <c r="CN36" s="1317"/>
      <c r="CO36" s="1319">
        <f>IF(ISERROR(CO32/CM32-1),"",(CO32/CM32-1))</f>
        <v>-4.6755287478029484E-2</v>
      </c>
      <c r="CP36" s="1319">
        <f>IF(ISERROR(CP32/CO32-1),"",(CP32/CO32-1))</f>
        <v>0.14467707491439974</v>
      </c>
      <c r="CQ36" s="1319">
        <f>IF(ISERROR(CQ32/CP32-1),"",(CQ32/CP32-1))</f>
        <v>-4.6334098409200997E-2</v>
      </c>
      <c r="CR36" s="1319">
        <f>IF(ISERROR(CR32/CQ32-1),"",(CR32/CQ32-1))</f>
        <v>8.9694927830870963E-2</v>
      </c>
      <c r="CS36" s="1317"/>
      <c r="CT36" s="1319">
        <f>IF(ISERROR(CT32/CR32-1),"",(CT32/CR32-1))</f>
        <v>-5.8972327409670289E-2</v>
      </c>
      <c r="CU36" s="1319">
        <f>IF(ISERROR(CU32/CT32-1),"",(CU32/CT32-1))</f>
        <v>0.1230144513810616</v>
      </c>
      <c r="CV36" s="1319">
        <f>IF(ISERROR(CV32/CU32-1),"",(CV32/CU32-1))</f>
        <v>-2.9582672659077103E-2</v>
      </c>
      <c r="CW36" s="1319">
        <f>IF(ISERROR(CW32/CV32-1),"",(CW32/CV32-1))</f>
        <v>8.7906247738485321E-2</v>
      </c>
      <c r="CX36" s="1317"/>
      <c r="CY36" s="1316"/>
      <c r="CZ36" s="1316"/>
      <c r="DA36" s="1317"/>
      <c r="DB36" s="1317"/>
      <c r="DC36" s="1317"/>
      <c r="DD36" s="1317"/>
      <c r="DE36" s="1317"/>
      <c r="DF36" s="1317"/>
      <c r="DG36" s="1318"/>
      <c r="DH36" s="1318"/>
      <c r="DI36" s="1317"/>
      <c r="DJ36" s="1318"/>
      <c r="DK36" s="1318"/>
      <c r="DL36" s="1318"/>
      <c r="DM36" s="1317"/>
      <c r="DN36" s="1317"/>
      <c r="DO36" s="1317"/>
      <c r="DP36" s="1317"/>
      <c r="DQ36" s="1317"/>
      <c r="DR36" s="1314"/>
      <c r="DS36" s="264"/>
      <c r="DT36" s="264"/>
      <c r="DU36" s="264"/>
      <c r="DV36" s="264"/>
      <c r="DW36" s="264"/>
      <c r="DX36" s="264"/>
      <c r="DY36" s="264"/>
      <c r="DZ36" s="264"/>
      <c r="EA36" s="264"/>
      <c r="EB36" s="264"/>
      <c r="EC36" s="264"/>
      <c r="ED36" s="264"/>
      <c r="EE36" s="264"/>
      <c r="EF36" s="264"/>
      <c r="EG36" s="264"/>
      <c r="EH36" s="264"/>
      <c r="EI36" s="264"/>
      <c r="EJ36" s="264"/>
      <c r="EK36" s="264"/>
      <c r="EL36" s="264"/>
      <c r="EM36" s="264"/>
      <c r="EN36" s="264"/>
      <c r="EO36" s="264"/>
      <c r="EP36" s="264"/>
      <c r="EQ36" s="264"/>
      <c r="ER36" s="264"/>
    </row>
    <row r="37" spans="1:148" s="934" customFormat="1" ht="12">
      <c r="A37" s="1278"/>
      <c r="B37" s="1279"/>
      <c r="C37" s="1279"/>
      <c r="D37" s="1279"/>
      <c r="E37" s="1279"/>
      <c r="F37" s="1279"/>
      <c r="G37" s="1279"/>
      <c r="H37" s="1279"/>
      <c r="I37" s="1279"/>
      <c r="J37" s="1279"/>
      <c r="K37" s="1279"/>
      <c r="L37" s="1279"/>
      <c r="M37" s="1279"/>
      <c r="N37" s="1279"/>
      <c r="O37" s="1279"/>
      <c r="P37" s="1279"/>
      <c r="Q37" s="1279"/>
      <c r="R37" s="1279"/>
      <c r="S37" s="1279"/>
      <c r="T37" s="1279"/>
      <c r="U37" s="1279"/>
      <c r="V37" s="1279"/>
      <c r="W37" s="1279"/>
      <c r="X37" s="1279"/>
      <c r="Y37" s="1279"/>
      <c r="Z37" s="1279"/>
      <c r="AA37" s="1279"/>
      <c r="AB37" s="1279"/>
      <c r="AC37" s="1279"/>
      <c r="AD37" s="1279"/>
      <c r="AE37" s="1279"/>
      <c r="AF37" s="1279"/>
      <c r="AG37" s="1279"/>
      <c r="AH37" s="1279"/>
      <c r="AI37" s="1279"/>
      <c r="AJ37" s="1279"/>
      <c r="AK37" s="1279"/>
      <c r="AL37" s="1279"/>
      <c r="AM37" s="1279"/>
      <c r="AN37" s="1279"/>
      <c r="AO37" s="1279"/>
      <c r="AP37" s="1279"/>
      <c r="AQ37" s="1279"/>
      <c r="AR37" s="1279"/>
      <c r="AS37" s="1279"/>
      <c r="AT37" s="1279"/>
      <c r="AU37" s="1321"/>
      <c r="AV37" s="1279"/>
      <c r="AW37" s="1279"/>
      <c r="AX37" s="1279"/>
      <c r="AY37" s="1281"/>
      <c r="AZ37" s="1321"/>
      <c r="BA37" s="1323"/>
      <c r="BB37" s="1323"/>
      <c r="BC37" s="1323"/>
      <c r="BD37" s="1323"/>
      <c r="BE37" s="1321"/>
      <c r="BF37" s="1323"/>
      <c r="BG37" s="1323"/>
      <c r="BH37" s="1323"/>
      <c r="BI37" s="1323"/>
      <c r="BJ37" s="1321"/>
      <c r="BK37" s="1281"/>
      <c r="BL37" s="1281"/>
      <c r="BM37" s="1281"/>
      <c r="BN37" s="1323"/>
      <c r="BO37" s="1324"/>
      <c r="BP37" s="1281"/>
      <c r="BQ37" s="1281"/>
      <c r="BR37" s="1281"/>
      <c r="BS37" s="1323"/>
      <c r="BT37" s="1324"/>
      <c r="BU37" s="2793"/>
      <c r="BV37" s="2793"/>
      <c r="BW37" s="1325"/>
      <c r="BX37" s="1325"/>
      <c r="BY37" s="1321"/>
      <c r="BZ37" s="2793"/>
      <c r="CA37" s="2793"/>
      <c r="CB37" s="1325"/>
      <c r="CC37" s="1325"/>
      <c r="CD37" s="1321"/>
      <c r="CE37" s="2793"/>
      <c r="CF37" s="2793"/>
      <c r="CG37" s="1325"/>
      <c r="CH37" s="1281"/>
      <c r="CI37" s="1321"/>
      <c r="CJ37" s="1281"/>
      <c r="CK37" s="1281"/>
      <c r="CL37" s="1281"/>
      <c r="CM37" s="1281"/>
      <c r="CN37" s="1321"/>
      <c r="CO37" s="1281"/>
      <c r="CP37" s="1281"/>
      <c r="CQ37" s="1281"/>
      <c r="CR37" s="1281"/>
      <c r="CS37" s="1321"/>
      <c r="CT37" s="1281"/>
      <c r="CU37" s="1281"/>
      <c r="CV37" s="1281"/>
      <c r="CW37" s="1281"/>
      <c r="CX37" s="1321"/>
      <c r="CY37" s="1281"/>
      <c r="CZ37" s="1281"/>
      <c r="DA37" s="1321"/>
      <c r="DB37" s="1321"/>
      <c r="DC37" s="1321"/>
      <c r="DD37" s="1321"/>
      <c r="DE37" s="1321"/>
      <c r="DF37" s="1321"/>
      <c r="DG37" s="1322"/>
      <c r="DH37" s="1322"/>
      <c r="DI37" s="1321"/>
      <c r="DJ37" s="1322"/>
      <c r="DK37" s="1322"/>
      <c r="DL37" s="1322"/>
      <c r="DM37" s="1321"/>
      <c r="DN37" s="1321"/>
      <c r="DO37" s="1321"/>
      <c r="DP37" s="1321"/>
      <c r="DQ37" s="1321"/>
      <c r="DR37" s="1323"/>
      <c r="DS37" s="264"/>
      <c r="DT37" s="264"/>
      <c r="DU37" s="264"/>
      <c r="DV37" s="264"/>
      <c r="DW37" s="264"/>
      <c r="DX37" s="264"/>
      <c r="DY37" s="264"/>
      <c r="DZ37" s="264"/>
      <c r="EA37" s="264"/>
      <c r="EB37" s="264"/>
      <c r="EC37" s="264"/>
      <c r="ED37" s="264"/>
      <c r="EE37" s="264"/>
      <c r="EF37" s="264"/>
      <c r="EG37" s="264"/>
      <c r="EH37" s="264"/>
      <c r="EI37" s="264"/>
      <c r="EJ37" s="264"/>
      <c r="EK37" s="264"/>
      <c r="EL37" s="264"/>
      <c r="EM37" s="264"/>
      <c r="EN37" s="264"/>
      <c r="EO37" s="264"/>
      <c r="EP37" s="264"/>
      <c r="EQ37" s="264"/>
      <c r="ER37" s="264"/>
    </row>
    <row r="38" spans="1:148" s="934" customFormat="1" ht="12" hidden="1" outlineLevel="1">
      <c r="A38" s="1306" t="s">
        <v>1033</v>
      </c>
      <c r="B38" s="1307"/>
      <c r="C38" s="1307"/>
      <c r="D38" s="1307"/>
      <c r="E38" s="1307"/>
      <c r="F38" s="1307"/>
      <c r="G38" s="1307"/>
      <c r="H38" s="1307"/>
      <c r="I38" s="1307"/>
      <c r="J38" s="1307"/>
      <c r="K38" s="1307"/>
      <c r="L38" s="1307"/>
      <c r="M38" s="1307"/>
      <c r="N38" s="1307"/>
      <c r="O38" s="1307"/>
      <c r="P38" s="1307"/>
      <c r="Q38" s="1307"/>
      <c r="R38" s="1307"/>
      <c r="S38" s="1307"/>
      <c r="T38" s="1307"/>
      <c r="U38" s="1307"/>
      <c r="V38" s="1307"/>
      <c r="W38" s="1307"/>
      <c r="X38" s="1307"/>
      <c r="Y38" s="1307"/>
      <c r="Z38" s="1307"/>
      <c r="AA38" s="1307"/>
      <c r="AB38" s="1307"/>
      <c r="AC38" s="1307"/>
      <c r="AD38" s="1307"/>
      <c r="AE38" s="1307"/>
      <c r="AF38" s="1307"/>
      <c r="AG38" s="1307"/>
      <c r="AH38" s="1307"/>
      <c r="AI38" s="1307"/>
      <c r="AJ38" s="1307"/>
      <c r="AK38" s="1307"/>
      <c r="AL38" s="1307"/>
      <c r="AM38" s="1307"/>
      <c r="AN38" s="1307"/>
      <c r="AO38" s="1307"/>
      <c r="AP38" s="1307"/>
      <c r="AQ38" s="1307"/>
      <c r="AR38" s="1307"/>
      <c r="AS38" s="1307"/>
      <c r="AT38" s="1307"/>
      <c r="AU38" s="1308"/>
      <c r="AV38" s="1309"/>
      <c r="AW38" s="1309"/>
      <c r="AX38" s="1309"/>
      <c r="AY38" s="1309"/>
      <c r="AZ38" s="1308"/>
      <c r="BA38" s="1309"/>
      <c r="BB38" s="1309"/>
      <c r="BC38" s="1309"/>
      <c r="BD38" s="1309"/>
      <c r="BE38" s="1308"/>
      <c r="BF38" s="1309"/>
      <c r="BG38" s="1309"/>
      <c r="BH38" s="1309"/>
      <c r="BI38" s="1309"/>
      <c r="BJ38" s="1308">
        <f t="shared" ref="BJ38:BT38" si="78">BJ32</f>
        <v>77849</v>
      </c>
      <c r="BK38" s="1309">
        <f t="shared" si="78"/>
        <v>18529</v>
      </c>
      <c r="BL38" s="1309">
        <f t="shared" si="78"/>
        <v>24519</v>
      </c>
      <c r="BM38" s="1309">
        <f t="shared" si="78"/>
        <v>20403</v>
      </c>
      <c r="BN38" s="1309">
        <f t="shared" si="78"/>
        <v>23382</v>
      </c>
      <c r="BO38" s="1308">
        <f t="shared" si="78"/>
        <v>86833</v>
      </c>
      <c r="BP38" s="1309">
        <f t="shared" si="78"/>
        <v>23201</v>
      </c>
      <c r="BQ38" s="1309">
        <f>BQ32+326</f>
        <v>26470</v>
      </c>
      <c r="BR38" s="1309">
        <f t="shared" si="78"/>
        <v>21729</v>
      </c>
      <c r="BS38" s="1309">
        <f t="shared" si="78"/>
        <v>22180</v>
      </c>
      <c r="BT38" s="1308">
        <f t="shared" si="78"/>
        <v>93254</v>
      </c>
      <c r="BU38" s="1309">
        <f>BU32</f>
        <v>20910</v>
      </c>
      <c r="BV38" s="1309">
        <f t="shared" ref="BV38:BX38" si="79">BV32</f>
        <v>25253</v>
      </c>
      <c r="BW38" s="1309">
        <f t="shared" si="79"/>
        <v>21517</v>
      </c>
      <c r="BX38" s="1309">
        <f t="shared" si="79"/>
        <v>23474</v>
      </c>
      <c r="BY38" s="1308">
        <f>SUM(BU38:BX38)</f>
        <v>91154</v>
      </c>
      <c r="BZ38" s="1309">
        <f>BZ32</f>
        <v>21928</v>
      </c>
      <c r="CA38" s="1309">
        <f t="shared" ref="CA38:CC38" si="80">CA32</f>
        <v>25826</v>
      </c>
      <c r="CB38" s="1309">
        <f t="shared" si="80"/>
        <v>23212</v>
      </c>
      <c r="CC38" s="1309">
        <f t="shared" si="80"/>
        <v>25605</v>
      </c>
      <c r="CD38" s="1308">
        <f>SUM(BZ38:CC38)</f>
        <v>96571</v>
      </c>
      <c r="CE38" s="1309">
        <f>CE32</f>
        <v>24538</v>
      </c>
      <c r="CF38" s="1309">
        <f t="shared" ref="CF38:CG38" si="81">CF32</f>
        <v>28918</v>
      </c>
      <c r="CG38" s="1309">
        <f t="shared" si="81"/>
        <v>26819</v>
      </c>
      <c r="CH38" s="1309">
        <f t="shared" ref="CG38:CH38" si="82">CH32</f>
        <v>29195.5462989398</v>
      </c>
      <c r="CI38" s="1308">
        <f>SUM(CE38:CH38)</f>
        <v>109470.54629893979</v>
      </c>
      <c r="CJ38" s="1309">
        <f>CJ32</f>
        <v>27735.172906742351</v>
      </c>
      <c r="CK38" s="1309">
        <f t="shared" ref="CK38:CM38" si="83">CK32</f>
        <v>32199.916918887284</v>
      </c>
      <c r="CL38" s="1309">
        <f t="shared" si="83"/>
        <v>29957.026778955264</v>
      </c>
      <c r="CM38" s="1309">
        <f t="shared" si="83"/>
        <v>32642.118087953073</v>
      </c>
      <c r="CN38" s="1308">
        <f>SUM(CJ38:CM38)</f>
        <v>122534.23469253797</v>
      </c>
      <c r="CO38" s="1309">
        <f>CO32</f>
        <v>31115.926472859042</v>
      </c>
      <c r="CP38" s="1309">
        <f t="shared" ref="CP38:CR38" si="84">CP32</f>
        <v>35617.687698203823</v>
      </c>
      <c r="CQ38" s="1309">
        <f t="shared" si="84"/>
        <v>33967.374251287059</v>
      </c>
      <c r="CR38" s="1309">
        <f t="shared" si="84"/>
        <v>37014.075433360435</v>
      </c>
      <c r="CS38" s="1308">
        <f>SUM(CO38:CR38)</f>
        <v>137715.06385571035</v>
      </c>
      <c r="CT38" s="1309">
        <f>CT32</f>
        <v>34831.269258138069</v>
      </c>
      <c r="CU38" s="1309">
        <f t="shared" ref="CU38:CW38" si="85">CU32</f>
        <v>39116.018736833961</v>
      </c>
      <c r="CV38" s="1309">
        <f t="shared" si="85"/>
        <v>37958.862358815873</v>
      </c>
      <c r="CW38" s="1309">
        <f t="shared" si="85"/>
        <v>41295.683517201003</v>
      </c>
      <c r="CX38" s="1308">
        <f>SUM(CT38:CW38)</f>
        <v>153201.83387098892</v>
      </c>
      <c r="CY38" s="1307"/>
      <c r="CZ38" s="1307"/>
      <c r="DA38" s="1308"/>
      <c r="DB38" s="1308"/>
      <c r="DC38" s="1308"/>
      <c r="DD38" s="1308"/>
      <c r="DE38" s="1308"/>
      <c r="DF38" s="1308"/>
      <c r="DG38" s="1382"/>
      <c r="DH38" s="1382"/>
      <c r="DI38" s="1308"/>
      <c r="DJ38" s="1382"/>
      <c r="DK38" s="1382">
        <f>BM38+BN38+BP38+BQ38</f>
        <v>93456</v>
      </c>
      <c r="DL38" s="1382">
        <f>BR38+BS38+BU38+BV38</f>
        <v>90072</v>
      </c>
      <c r="DM38" s="1308">
        <f>BW38+BX38+BZ38+CA38</f>
        <v>92745</v>
      </c>
      <c r="DN38" s="1308">
        <f>CB38+CC38+CE38+CF38</f>
        <v>102273</v>
      </c>
      <c r="DO38" s="1308">
        <f>CG38+CH38+CJ38+CK38</f>
        <v>115949.63612456943</v>
      </c>
      <c r="DP38" s="1308">
        <f>CL38+CM38+CO38+CP38</f>
        <v>129332.75903797119</v>
      </c>
      <c r="DQ38" s="1308">
        <f>CM38+CN38+CP38+CQ38</f>
        <v>224761.41472998195</v>
      </c>
      <c r="DR38" s="3057"/>
      <c r="DS38" s="264"/>
      <c r="DT38" s="264"/>
      <c r="DU38" s="264"/>
      <c r="DV38" s="264"/>
      <c r="DW38" s="264"/>
      <c r="DX38" s="264"/>
      <c r="DY38" s="264"/>
      <c r="DZ38" s="264"/>
      <c r="EA38" s="264"/>
      <c r="EB38" s="264"/>
      <c r="EC38" s="264"/>
      <c r="ED38" s="264"/>
      <c r="EE38" s="264"/>
      <c r="EF38" s="264"/>
      <c r="EG38" s="264"/>
      <c r="EH38" s="264"/>
      <c r="EI38" s="264"/>
      <c r="EJ38" s="264"/>
      <c r="EK38" s="264"/>
      <c r="EL38" s="264"/>
      <c r="EM38" s="264"/>
      <c r="EN38" s="264"/>
      <c r="EO38" s="264"/>
      <c r="EP38" s="264"/>
      <c r="EQ38" s="264"/>
      <c r="ER38" s="264"/>
    </row>
    <row r="39" spans="1:148" s="934" customFormat="1" ht="12" hidden="1" outlineLevel="1">
      <c r="A39" s="1310" t="s">
        <v>717</v>
      </c>
      <c r="B39" s="1311"/>
      <c r="C39" s="1311"/>
      <c r="D39" s="1311"/>
      <c r="E39" s="1311"/>
      <c r="F39" s="1311"/>
      <c r="G39" s="1311"/>
      <c r="H39" s="1311"/>
      <c r="I39" s="1311"/>
      <c r="J39" s="1311"/>
      <c r="K39" s="1311"/>
      <c r="L39" s="1311"/>
      <c r="M39" s="1311"/>
      <c r="N39" s="1311"/>
      <c r="O39" s="1311"/>
      <c r="P39" s="1311"/>
      <c r="Q39" s="1311"/>
      <c r="R39" s="1311"/>
      <c r="S39" s="1311"/>
      <c r="T39" s="1311"/>
      <c r="U39" s="1311"/>
      <c r="V39" s="1311"/>
      <c r="W39" s="1311"/>
      <c r="X39" s="1311"/>
      <c r="Y39" s="1311"/>
      <c r="Z39" s="1311"/>
      <c r="AA39" s="1311"/>
      <c r="AB39" s="1311"/>
      <c r="AC39" s="1311"/>
      <c r="AD39" s="1311"/>
      <c r="AE39" s="1311"/>
      <c r="AF39" s="1311"/>
      <c r="AG39" s="1311"/>
      <c r="AH39" s="1311"/>
      <c r="AI39" s="1311"/>
      <c r="AJ39" s="1311"/>
      <c r="AK39" s="1311"/>
      <c r="AL39" s="1311"/>
      <c r="AM39" s="1311"/>
      <c r="AN39" s="1311"/>
      <c r="AO39" s="1311"/>
      <c r="AP39" s="1311"/>
      <c r="AQ39" s="1311"/>
      <c r="AR39" s="1311"/>
      <c r="AS39" s="1311"/>
      <c r="AT39" s="1311"/>
      <c r="AU39" s="1312"/>
      <c r="AV39" s="1311"/>
      <c r="AW39" s="1311"/>
      <c r="AX39" s="1311"/>
      <c r="AY39" s="1311"/>
      <c r="AZ39" s="1312"/>
      <c r="BA39" s="1314"/>
      <c r="BB39" s="1314"/>
      <c r="BC39" s="1314"/>
      <c r="BD39" s="1314"/>
      <c r="BE39" s="1312"/>
      <c r="BF39" s="1314"/>
      <c r="BG39" s="1314"/>
      <c r="BH39" s="1314"/>
      <c r="BI39" s="1314"/>
      <c r="BJ39" s="1312"/>
      <c r="BK39" s="1314" t="str">
        <f t="shared" ref="BK39:BS39" si="86">IF(ISERROR(BK38/BF38-1),"",(BK38/BF38-1))</f>
        <v/>
      </c>
      <c r="BL39" s="1314" t="str">
        <f t="shared" si="86"/>
        <v/>
      </c>
      <c r="BM39" s="1314" t="str">
        <f t="shared" si="86"/>
        <v/>
      </c>
      <c r="BN39" s="1314" t="str">
        <f t="shared" si="86"/>
        <v/>
      </c>
      <c r="BO39" s="1312">
        <f t="shared" si="86"/>
        <v>0.11540289534868786</v>
      </c>
      <c r="BP39" s="1314">
        <f t="shared" si="86"/>
        <v>0.25214528576825512</v>
      </c>
      <c r="BQ39" s="1314">
        <f t="shared" si="86"/>
        <v>7.9570944981443015E-2</v>
      </c>
      <c r="BR39" s="1314">
        <f t="shared" si="86"/>
        <v>6.4990442581973173E-2</v>
      </c>
      <c r="BS39" s="1314">
        <f t="shared" si="86"/>
        <v>-5.1407065263878171E-2</v>
      </c>
      <c r="BT39" s="1312">
        <f>BT38/BO38-1</f>
        <v>7.3946541061578053E-2</v>
      </c>
      <c r="BU39" s="1314"/>
      <c r="BV39" s="1314"/>
      <c r="BW39" s="1314"/>
      <c r="BX39" s="1314"/>
      <c r="BY39" s="1312"/>
      <c r="BZ39" s="1314">
        <f>IF(ISERROR(BZ38/BU38-1),"",(BZ38/BU38-1))</f>
        <v>4.8684839789574275E-2</v>
      </c>
      <c r="CA39" s="1314">
        <f>IF(ISERROR(CA38/BV38-1),"",(CA38/BV38-1))</f>
        <v>2.2690373420979792E-2</v>
      </c>
      <c r="CB39" s="1314">
        <f>IF(ISERROR(CB38/BW38-1),"",(CB38/BW38-1))</f>
        <v>7.8774922154575489E-2</v>
      </c>
      <c r="CC39" s="1314">
        <f>IF(ISERROR(CC38/BX38-1),"",(CC38/BX38-1))</f>
        <v>9.0781289937803544E-2</v>
      </c>
      <c r="CD39" s="1312">
        <f>CD38/BY38-1</f>
        <v>5.9426903920837271E-2</v>
      </c>
      <c r="CE39" s="1314">
        <f>IF(ISERROR(CE38/BZ38-1),"",(CE38/BZ38-1))</f>
        <v>0.11902590295512594</v>
      </c>
      <c r="CF39" s="1314">
        <f>IF(ISERROR(CF38/CA38-1),"",(CF38/CA38-1))</f>
        <v>0.11972430883605667</v>
      </c>
      <c r="CG39" s="1314">
        <f>IF(ISERROR(CG38/CB38-1),"",(CG38/CB38-1))</f>
        <v>0.15539376184732046</v>
      </c>
      <c r="CH39" s="1314">
        <f>IF(ISERROR(CH38/CC38-1),"",(CH38/CC38-1))</f>
        <v>0.14022832645732475</v>
      </c>
      <c r="CI39" s="1312">
        <f>CI38/CD38-1</f>
        <v>0.13357577636081008</v>
      </c>
      <c r="CJ39" s="1314">
        <f>IF(ISERROR(CJ38/CE38-1),"",(CJ38/CE38-1))</f>
        <v>0.13029476349915847</v>
      </c>
      <c r="CK39" s="1314">
        <f>IF(ISERROR(CK38/CF38-1),"",(CK38/CF38-1))</f>
        <v>0.11349045296657034</v>
      </c>
      <c r="CL39" s="1314">
        <f>IF(ISERROR(CL38/CG38-1),"",(CL38/CG38-1))</f>
        <v>0.11700759830550211</v>
      </c>
      <c r="CM39" s="1314">
        <f>IF(ISERROR(CM38/CH38-1),"",(CM38/CH38-1))</f>
        <v>0.11805128610107318</v>
      </c>
      <c r="CN39" s="1312">
        <f>CN38/CI38-1</f>
        <v>0.11933518955796685</v>
      </c>
      <c r="CO39" s="1314">
        <f>IF(ISERROR(CO38/CJ38-1),"",(CO38/CJ38-1))</f>
        <v>0.12189408652631251</v>
      </c>
      <c r="CP39" s="1314">
        <f>IF(ISERROR(CP38/CK38-1),"",(CP38/CK38-1))</f>
        <v>0.10614222353200553</v>
      </c>
      <c r="CQ39" s="1314">
        <f>IF(ISERROR(CQ38/CL38-1),"",(CQ38/CL38-1))</f>
        <v>0.13387000992865739</v>
      </c>
      <c r="CR39" s="1314">
        <f>IF(ISERROR(CR38/CM38-1),"",(CR38/CM38-1))</f>
        <v>0.13393608017798564</v>
      </c>
      <c r="CS39" s="1312">
        <f>CS38/CN38-1</f>
        <v>0.12389051273110741</v>
      </c>
      <c r="CT39" s="1314">
        <f>IF(ISERROR(CT38/CO38-1),"",(CT38/CO38-1))</f>
        <v>0.11940325121026829</v>
      </c>
      <c r="CU39" s="1314">
        <f>IF(ISERROR(CU38/CP38-1),"",(CU38/CP38-1))</f>
        <v>9.8218926177135124E-2</v>
      </c>
      <c r="CV39" s="1314">
        <f>IF(ISERROR(CV38/CQ38-1),"",(CV38/CQ38-1))</f>
        <v>0.11750946888034997</v>
      </c>
      <c r="CW39" s="1314">
        <f>IF(ISERROR(CW38/CR38-1),"",(CW38/CR38-1))</f>
        <v>0.11567513260054563</v>
      </c>
      <c r="CX39" s="1312">
        <f>CX38/CS38-1</f>
        <v>0.112455163448965</v>
      </c>
      <c r="CY39" s="1311"/>
      <c r="CZ39" s="1311"/>
      <c r="DA39" s="1312"/>
      <c r="DB39" s="1312"/>
      <c r="DC39" s="1312"/>
      <c r="DD39" s="1312"/>
      <c r="DE39" s="1312"/>
      <c r="DF39" s="1312"/>
      <c r="DG39" s="1313"/>
      <c r="DH39" s="1313"/>
      <c r="DI39" s="1312"/>
      <c r="DJ39" s="1313"/>
      <c r="DK39" s="1313"/>
      <c r="DL39" s="1313">
        <f t="shared" ref="DL39:DQ39" si="87">DL38/DK38-1</f>
        <v>-3.6209553158705665E-2</v>
      </c>
      <c r="DM39" s="1312">
        <f t="shared" si="87"/>
        <v>2.9676258992805682E-2</v>
      </c>
      <c r="DN39" s="1312">
        <f t="shared" si="87"/>
        <v>0.10273330098657607</v>
      </c>
      <c r="DO39" s="1312">
        <f t="shared" si="87"/>
        <v>0.13372675216889518</v>
      </c>
      <c r="DP39" s="1312">
        <f t="shared" si="87"/>
        <v>0.11542186211799521</v>
      </c>
      <c r="DQ39" s="1312">
        <f t="shared" si="87"/>
        <v>0.7378537069946336</v>
      </c>
      <c r="DR39" s="1314"/>
      <c r="DS39" s="264"/>
      <c r="DT39" s="264"/>
      <c r="DU39" s="264"/>
      <c r="DV39" s="264"/>
      <c r="DW39" s="264"/>
      <c r="DX39" s="264"/>
      <c r="DY39" s="264"/>
      <c r="DZ39" s="264"/>
      <c r="EA39" s="264"/>
      <c r="EB39" s="264"/>
      <c r="EC39" s="264"/>
      <c r="ED39" s="264"/>
      <c r="EE39" s="264"/>
      <c r="EF39" s="264"/>
      <c r="EG39" s="264"/>
      <c r="EH39" s="264"/>
      <c r="EI39" s="264"/>
      <c r="EJ39" s="264"/>
      <c r="EK39" s="264"/>
      <c r="EL39" s="264"/>
      <c r="EM39" s="264"/>
      <c r="EN39" s="264"/>
      <c r="EO39" s="264"/>
      <c r="EP39" s="264"/>
      <c r="EQ39" s="264"/>
      <c r="ER39" s="264"/>
    </row>
    <row r="40" spans="1:148" s="934" customFormat="1" hidden="1" outlineLevel="1" thickBot="1">
      <c r="A40" s="1315" t="s">
        <v>718</v>
      </c>
      <c r="B40" s="1316"/>
      <c r="C40" s="1316"/>
      <c r="D40" s="1316"/>
      <c r="E40" s="1316"/>
      <c r="F40" s="1316"/>
      <c r="G40" s="1316"/>
      <c r="H40" s="1316"/>
      <c r="I40" s="1316"/>
      <c r="J40" s="1316"/>
      <c r="K40" s="1316"/>
      <c r="L40" s="1316"/>
      <c r="M40" s="1316"/>
      <c r="N40" s="1316"/>
      <c r="O40" s="1316"/>
      <c r="P40" s="1316"/>
      <c r="Q40" s="1316"/>
      <c r="R40" s="1316"/>
      <c r="S40" s="1316"/>
      <c r="T40" s="1316"/>
      <c r="U40" s="1316"/>
      <c r="V40" s="1316"/>
      <c r="W40" s="1316"/>
      <c r="X40" s="1316"/>
      <c r="Y40" s="1316"/>
      <c r="Z40" s="1316"/>
      <c r="AA40" s="1316"/>
      <c r="AB40" s="1316"/>
      <c r="AC40" s="1316"/>
      <c r="AD40" s="1316"/>
      <c r="AE40" s="1316"/>
      <c r="AF40" s="1316"/>
      <c r="AG40" s="1316"/>
      <c r="AH40" s="1316"/>
      <c r="AI40" s="1316"/>
      <c r="AJ40" s="1316"/>
      <c r="AK40" s="1316"/>
      <c r="AL40" s="1316"/>
      <c r="AM40" s="1316"/>
      <c r="AN40" s="1316"/>
      <c r="AO40" s="1316"/>
      <c r="AP40" s="1316"/>
      <c r="AQ40" s="1316"/>
      <c r="AR40" s="1316"/>
      <c r="AS40" s="1316"/>
      <c r="AT40" s="1316"/>
      <c r="AU40" s="1317"/>
      <c r="AV40" s="1316"/>
      <c r="AW40" s="1316"/>
      <c r="AX40" s="1316"/>
      <c r="AY40" s="1316"/>
      <c r="AZ40" s="1317"/>
      <c r="BA40" s="1319"/>
      <c r="BB40" s="1319"/>
      <c r="BC40" s="1319"/>
      <c r="BD40" s="1319"/>
      <c r="BE40" s="1317"/>
      <c r="BF40" s="1319"/>
      <c r="BG40" s="1319"/>
      <c r="BH40" s="1319"/>
      <c r="BI40" s="1319"/>
      <c r="BJ40" s="1320"/>
      <c r="BK40" s="1319"/>
      <c r="BL40" s="1319"/>
      <c r="BM40" s="1319"/>
      <c r="BN40" s="1319"/>
      <c r="BO40" s="1320"/>
      <c r="BP40" s="1319">
        <f>BP38/BN38-1</f>
        <v>-7.7409973483876238E-3</v>
      </c>
      <c r="BQ40" s="1319">
        <f>BQ38/BP38-1</f>
        <v>0.14089909917675958</v>
      </c>
      <c r="BR40" s="1319">
        <f>BR38/BQ38-1</f>
        <v>-0.17910842463165844</v>
      </c>
      <c r="BS40" s="1319">
        <f>BS38/BR38-1</f>
        <v>2.0755672143218717E-2</v>
      </c>
      <c r="BT40" s="1320"/>
      <c r="BU40" s="1319"/>
      <c r="BV40" s="1319">
        <f>BV38/BU38-1</f>
        <v>0.2076996652319465</v>
      </c>
      <c r="BW40" s="1319">
        <f>BW38/BV38-1</f>
        <v>-0.14794281867500891</v>
      </c>
      <c r="BX40" s="1319">
        <f>BX38/BW38-1</f>
        <v>9.0951340800297542E-2</v>
      </c>
      <c r="BY40" s="1317"/>
      <c r="BZ40" s="1319">
        <f>BZ38/BX38-1</f>
        <v>-6.5860100536764055E-2</v>
      </c>
      <c r="CA40" s="1319">
        <f>CA38/BZ38-1</f>
        <v>0.1777635899306822</v>
      </c>
      <c r="CB40" s="1319">
        <f>CB38/CA38-1</f>
        <v>-0.1012158290095253</v>
      </c>
      <c r="CC40" s="1319">
        <f>CC38/CB38-1</f>
        <v>0.10309322764087536</v>
      </c>
      <c r="CD40" s="1317"/>
      <c r="CE40" s="1319">
        <f>CE38/CC38-1</f>
        <v>-4.1671548525678559E-2</v>
      </c>
      <c r="CF40" s="1319">
        <f>CF38/CE38-1</f>
        <v>0.17849865514711882</v>
      </c>
      <c r="CG40" s="1319">
        <f>CG38/CF38-1</f>
        <v>-7.2584549415588895E-2</v>
      </c>
      <c r="CH40" s="1319">
        <f>CH38/CG38-1</f>
        <v>8.8614277152011534E-2</v>
      </c>
      <c r="CI40" s="1317"/>
      <c r="CJ40" s="1319">
        <f>CJ38/CH38-1</f>
        <v>-5.0020416718507543E-2</v>
      </c>
      <c r="CK40" s="1319">
        <f>CK38/CJ38-1</f>
        <v>0.16097768804821699</v>
      </c>
      <c r="CL40" s="1319">
        <f>CL38/CK38-1</f>
        <v>-6.9655153011168869E-2</v>
      </c>
      <c r="CM40" s="1319">
        <f>CM38/CL38-1</f>
        <v>8.9631435349387889E-2</v>
      </c>
      <c r="CN40" s="1317"/>
      <c r="CO40" s="1319">
        <f>CO38/CM38-1</f>
        <v>-4.6755287478029484E-2</v>
      </c>
      <c r="CP40" s="1319">
        <f>CP38/CO38-1</f>
        <v>0.14467707491439974</v>
      </c>
      <c r="CQ40" s="1319">
        <f>CQ38/CP38-1</f>
        <v>-4.6334098409200997E-2</v>
      </c>
      <c r="CR40" s="1319">
        <f>CR38/CQ38-1</f>
        <v>8.9694927830870963E-2</v>
      </c>
      <c r="CS40" s="1317"/>
      <c r="CT40" s="1319">
        <f>CT38/CR38-1</f>
        <v>-5.8972327409670289E-2</v>
      </c>
      <c r="CU40" s="1319">
        <f>CU38/CT38-1</f>
        <v>0.1230144513810616</v>
      </c>
      <c r="CV40" s="1319">
        <f>CV38/CU38-1</f>
        <v>-2.9582672659077103E-2</v>
      </c>
      <c r="CW40" s="1319">
        <f>CW38/CV38-1</f>
        <v>8.7906247738485321E-2</v>
      </c>
      <c r="CX40" s="1317"/>
      <c r="CY40" s="1316"/>
      <c r="CZ40" s="1316"/>
      <c r="DA40" s="1317"/>
      <c r="DB40" s="1317"/>
      <c r="DC40" s="1317"/>
      <c r="DD40" s="1317"/>
      <c r="DE40" s="1317"/>
      <c r="DF40" s="1317"/>
      <c r="DG40" s="1318"/>
      <c r="DH40" s="1318"/>
      <c r="DI40" s="1317"/>
      <c r="DJ40" s="1318"/>
      <c r="DK40" s="1318"/>
      <c r="DL40" s="1318"/>
      <c r="DM40" s="1317"/>
      <c r="DN40" s="1317"/>
      <c r="DO40" s="1317"/>
      <c r="DP40" s="1317"/>
      <c r="DQ40" s="1317"/>
      <c r="DR40" s="1314"/>
      <c r="DS40" s="264"/>
      <c r="DT40" s="264"/>
      <c r="DU40" s="264"/>
      <c r="DV40" s="264"/>
      <c r="DW40" s="264"/>
      <c r="DX40" s="264"/>
      <c r="DY40" s="264"/>
      <c r="DZ40" s="264"/>
      <c r="EA40" s="264"/>
      <c r="EB40" s="264"/>
      <c r="EC40" s="264"/>
      <c r="ED40" s="264"/>
      <c r="EE40" s="264"/>
      <c r="EF40" s="264"/>
      <c r="EG40" s="264"/>
      <c r="EH40" s="264"/>
      <c r="EI40" s="264"/>
      <c r="EJ40" s="264"/>
      <c r="EK40" s="264"/>
      <c r="EL40" s="264"/>
      <c r="EM40" s="264"/>
      <c r="EN40" s="264"/>
      <c r="EO40" s="264"/>
      <c r="EP40" s="264"/>
      <c r="EQ40" s="264"/>
      <c r="ER40" s="264"/>
    </row>
    <row r="41" spans="1:148" s="934" customFormat="1" ht="12" hidden="1" outlineLevel="1">
      <c r="A41" s="1297"/>
      <c r="B41" s="1285"/>
      <c r="C41" s="1286"/>
      <c r="D41" s="1286"/>
      <c r="E41" s="1286"/>
      <c r="F41" s="1286"/>
      <c r="G41" s="1285"/>
      <c r="H41" s="1286"/>
      <c r="I41" s="1286"/>
      <c r="J41" s="1286"/>
      <c r="K41" s="1286"/>
      <c r="L41" s="1285"/>
      <c r="M41" s="1286"/>
      <c r="N41" s="1286"/>
      <c r="O41" s="1286"/>
      <c r="P41" s="1287"/>
      <c r="Q41" s="1288"/>
      <c r="R41" s="1286"/>
      <c r="S41" s="1289"/>
      <c r="T41" s="1286"/>
      <c r="U41" s="1286"/>
      <c r="V41" s="1290"/>
      <c r="W41" s="1286"/>
      <c r="X41" s="1289"/>
      <c r="Y41" s="1289"/>
      <c r="Z41" s="1286"/>
      <c r="AA41" s="1290"/>
      <c r="AB41" s="1286"/>
      <c r="AC41" s="1289"/>
      <c r="AD41" s="1289"/>
      <c r="AE41" s="1286"/>
      <c r="AF41" s="1291"/>
      <c r="AG41" s="1286"/>
      <c r="AH41" s="1289"/>
      <c r="AI41" s="1289"/>
      <c r="AJ41" s="1286"/>
      <c r="AK41" s="1291"/>
      <c r="AL41" s="1286"/>
      <c r="AM41" s="1289"/>
      <c r="AN41" s="1289"/>
      <c r="AO41" s="1286"/>
      <c r="AP41" s="1291"/>
      <c r="AQ41" s="1286"/>
      <c r="AR41" s="1292"/>
      <c r="AS41" s="1292"/>
      <c r="AT41" s="1292"/>
      <c r="AU41" s="1291"/>
      <c r="AV41" s="1286"/>
      <c r="AW41" s="1286"/>
      <c r="AX41" s="1286"/>
      <c r="AY41" s="1292"/>
      <c r="AZ41" s="1352"/>
      <c r="BA41" s="1286"/>
      <c r="BB41" s="1286"/>
      <c r="BC41" s="1286"/>
      <c r="BD41" s="1286"/>
      <c r="BE41" s="1352"/>
      <c r="BF41" s="1286"/>
      <c r="BG41" s="1286"/>
      <c r="BH41" s="1286"/>
      <c r="BI41" s="1286"/>
      <c r="BJ41" s="1352"/>
      <c r="BK41" s="1286"/>
      <c r="BL41" s="1286"/>
      <c r="BM41" s="1286"/>
      <c r="BN41" s="1286"/>
      <c r="BO41" s="1352"/>
      <c r="BP41" s="1286"/>
      <c r="BQ41" s="1286"/>
      <c r="BR41" s="1286"/>
      <c r="BS41" s="1286"/>
      <c r="BT41" s="1370"/>
      <c r="BU41" s="1286"/>
      <c r="BV41" s="1286"/>
      <c r="BW41" s="1295"/>
      <c r="BX41" s="1295"/>
      <c r="BY41" s="1377"/>
      <c r="BZ41" s="1295"/>
      <c r="CA41" s="1286"/>
      <c r="CB41" s="1295"/>
      <c r="CC41" s="1295"/>
      <c r="CD41" s="1377"/>
      <c r="CE41" s="1295"/>
      <c r="CF41" s="1286"/>
      <c r="CG41" s="1295"/>
      <c r="CH41" s="1295"/>
      <c r="CI41" s="1377"/>
      <c r="CJ41" s="1295"/>
      <c r="CK41" s="1295"/>
      <c r="CL41" s="1295"/>
      <c r="CM41" s="1295"/>
      <c r="CN41" s="1377"/>
      <c r="CO41" s="1295"/>
      <c r="CP41" s="1295"/>
      <c r="CQ41" s="1295"/>
      <c r="CR41" s="1295"/>
      <c r="CS41" s="1377"/>
      <c r="CT41" s="1295"/>
      <c r="CU41" s="1295"/>
      <c r="CV41" s="1295"/>
      <c r="CW41" s="1295"/>
      <c r="CX41" s="1377"/>
      <c r="CY41" s="1296"/>
      <c r="CZ41" s="1296"/>
      <c r="DA41" s="1291"/>
      <c r="DB41" s="1291"/>
      <c r="DC41" s="1291"/>
      <c r="DD41" s="1291"/>
      <c r="DE41" s="1291"/>
      <c r="DF41" s="1291"/>
      <c r="DG41" s="1291"/>
      <c r="DH41" s="1392"/>
      <c r="DI41" s="1387"/>
      <c r="DJ41" s="1392"/>
      <c r="DK41" s="1407"/>
      <c r="DL41" s="1407"/>
      <c r="DM41" s="1403"/>
      <c r="DN41" s="1403"/>
      <c r="DO41" s="1403"/>
      <c r="DP41" s="1403"/>
      <c r="DQ41" s="1403"/>
      <c r="DR41" s="3075"/>
      <c r="DS41" s="264"/>
      <c r="DT41" s="264"/>
      <c r="DU41" s="264"/>
      <c r="DV41" s="264"/>
      <c r="DW41" s="264"/>
      <c r="DX41" s="264"/>
      <c r="DY41" s="264"/>
      <c r="DZ41" s="264"/>
      <c r="EA41" s="264"/>
      <c r="EB41" s="264"/>
      <c r="EC41" s="264"/>
      <c r="ED41" s="264"/>
      <c r="EE41" s="264"/>
      <c r="EF41" s="264"/>
      <c r="EG41" s="264"/>
      <c r="EH41" s="264"/>
      <c r="EI41" s="264"/>
      <c r="EJ41" s="264"/>
      <c r="EK41" s="264"/>
      <c r="EL41" s="264"/>
      <c r="EM41" s="264"/>
      <c r="EN41" s="264"/>
      <c r="EO41" s="264"/>
      <c r="EP41" s="264"/>
      <c r="EQ41" s="264"/>
      <c r="ER41" s="264"/>
    </row>
    <row r="42" spans="1:148" s="934" customFormat="1" ht="12" collapsed="1">
      <c r="A42" s="1255" t="s">
        <v>761</v>
      </c>
      <c r="B42" s="1256"/>
      <c r="C42" s="1257"/>
      <c r="D42" s="1257"/>
      <c r="E42" s="1257"/>
      <c r="F42" s="1257"/>
      <c r="G42" s="1256"/>
      <c r="H42" s="1257"/>
      <c r="I42" s="1257"/>
      <c r="J42" s="1257"/>
      <c r="K42" s="1257"/>
      <c r="L42" s="1256"/>
      <c r="M42" s="1257"/>
      <c r="N42" s="1257"/>
      <c r="O42" s="1257"/>
      <c r="P42" s="1258"/>
      <c r="Q42" s="1259"/>
      <c r="R42" s="1257"/>
      <c r="S42" s="1260"/>
      <c r="T42" s="1257"/>
      <c r="U42" s="1257"/>
      <c r="V42" s="1261"/>
      <c r="W42" s="1257"/>
      <c r="X42" s="1260"/>
      <c r="Y42" s="1260"/>
      <c r="Z42" s="1257"/>
      <c r="AA42" s="1261"/>
      <c r="AB42" s="1257"/>
      <c r="AC42" s="1260"/>
      <c r="AD42" s="1260"/>
      <c r="AE42" s="1257"/>
      <c r="AF42" s="1262"/>
      <c r="AG42" s="1257"/>
      <c r="AH42" s="1260"/>
      <c r="AI42" s="1260"/>
      <c r="AJ42" s="1257"/>
      <c r="AK42" s="1262"/>
      <c r="AL42" s="1257"/>
      <c r="AM42" s="1260"/>
      <c r="AN42" s="1260"/>
      <c r="AO42" s="1257"/>
      <c r="AP42" s="1262"/>
      <c r="AQ42" s="1257"/>
      <c r="AR42" s="1263"/>
      <c r="AS42" s="1263"/>
      <c r="AT42" s="1263"/>
      <c r="AU42" s="1262"/>
      <c r="AV42" s="1257"/>
      <c r="AW42" s="1257"/>
      <c r="AX42" s="1257"/>
      <c r="AY42" s="1263"/>
      <c r="AZ42" s="1355"/>
      <c r="BA42" s="1257"/>
      <c r="BB42" s="1257"/>
      <c r="BC42" s="1257"/>
      <c r="BD42" s="1257"/>
      <c r="BE42" s="1355"/>
      <c r="BF42" s="1257"/>
      <c r="BG42" s="1257"/>
      <c r="BH42" s="1257"/>
      <c r="BI42" s="1257"/>
      <c r="BJ42" s="1355"/>
      <c r="BK42" s="1257"/>
      <c r="BL42" s="1257"/>
      <c r="BM42" s="1257"/>
      <c r="BN42" s="1257"/>
      <c r="BO42" s="1355"/>
      <c r="BP42" s="1257"/>
      <c r="BQ42" s="1257"/>
      <c r="BR42" s="1257"/>
      <c r="BS42" s="1257"/>
      <c r="BT42" s="1371"/>
      <c r="BU42" s="1257"/>
      <c r="BV42" s="1257"/>
      <c r="BW42" s="1264"/>
      <c r="BX42" s="1264"/>
      <c r="BY42" s="1378"/>
      <c r="BZ42" s="1264"/>
      <c r="CA42" s="1257"/>
      <c r="CB42" s="1264"/>
      <c r="CC42" s="1264"/>
      <c r="CD42" s="1378"/>
      <c r="CE42" s="1264"/>
      <c r="CF42" s="1257"/>
      <c r="CG42" s="1264"/>
      <c r="CH42" s="1264"/>
      <c r="CI42" s="1378"/>
      <c r="CJ42" s="1264"/>
      <c r="CK42" s="1264"/>
      <c r="CL42" s="1264"/>
      <c r="CM42" s="1264"/>
      <c r="CN42" s="1378"/>
      <c r="CO42" s="1264"/>
      <c r="CP42" s="1264"/>
      <c r="CQ42" s="1264"/>
      <c r="CR42" s="1264"/>
      <c r="CS42" s="1378"/>
      <c r="CT42" s="1264"/>
      <c r="CU42" s="1264"/>
      <c r="CV42" s="1264"/>
      <c r="CW42" s="1264"/>
      <c r="CX42" s="1378"/>
      <c r="CY42" s="1265"/>
      <c r="CZ42" s="1265"/>
      <c r="DA42" s="1262"/>
      <c r="DB42" s="1262"/>
      <c r="DC42" s="1262"/>
      <c r="DD42" s="1262"/>
      <c r="DE42" s="1262"/>
      <c r="DF42" s="1262"/>
      <c r="DG42" s="1262"/>
      <c r="DH42" s="1393"/>
      <c r="DI42" s="1388"/>
      <c r="DJ42" s="1393"/>
      <c r="DK42" s="1408"/>
      <c r="DL42" s="1408"/>
      <c r="DM42" s="1404"/>
      <c r="DN42" s="1404"/>
      <c r="DO42" s="1404"/>
      <c r="DP42" s="1404"/>
      <c r="DQ42" s="1404"/>
      <c r="DR42" s="1267"/>
      <c r="DS42" s="264"/>
      <c r="DT42" s="264"/>
      <c r="DU42" s="264"/>
      <c r="DV42" s="264"/>
      <c r="DW42" s="264"/>
      <c r="DX42" s="264"/>
      <c r="DY42" s="264"/>
      <c r="DZ42" s="264"/>
      <c r="EA42" s="264"/>
      <c r="EB42" s="264"/>
      <c r="EC42" s="264"/>
      <c r="ED42" s="264"/>
      <c r="EE42" s="264"/>
      <c r="EF42" s="264"/>
      <c r="EG42" s="264"/>
      <c r="EH42" s="264"/>
      <c r="EI42" s="264"/>
      <c r="EJ42" s="264"/>
      <c r="EK42" s="264"/>
      <c r="EL42" s="264"/>
      <c r="EM42" s="264"/>
      <c r="EN42" s="264"/>
      <c r="EO42" s="264"/>
      <c r="EP42" s="264"/>
      <c r="EQ42" s="264"/>
      <c r="ER42" s="264"/>
    </row>
    <row r="43" spans="1:148" s="934" customFormat="1" ht="12">
      <c r="A43" s="1278" t="s">
        <v>1072</v>
      </c>
      <c r="B43" s="1279"/>
      <c r="C43" s="1279"/>
      <c r="D43" s="1279"/>
      <c r="E43" s="1279"/>
      <c r="F43" s="1279"/>
      <c r="G43" s="1279"/>
      <c r="H43" s="1279"/>
      <c r="I43" s="1279"/>
      <c r="J43" s="1279"/>
      <c r="K43" s="1279"/>
      <c r="L43" s="1279"/>
      <c r="M43" s="1279"/>
      <c r="N43" s="1279"/>
      <c r="O43" s="1279"/>
      <c r="P43" s="1279"/>
      <c r="Q43" s="1279"/>
      <c r="R43" s="1279"/>
      <c r="S43" s="1279"/>
      <c r="T43" s="1279"/>
      <c r="U43" s="1279"/>
      <c r="V43" s="1279"/>
      <c r="W43" s="1279"/>
      <c r="X43" s="1279"/>
      <c r="Y43" s="1279"/>
      <c r="Z43" s="1279"/>
      <c r="AA43" s="1279"/>
      <c r="AB43" s="1279"/>
      <c r="AC43" s="1279"/>
      <c r="AD43" s="1279"/>
      <c r="AE43" s="1279"/>
      <c r="AF43" s="1279"/>
      <c r="AG43" s="1279"/>
      <c r="AH43" s="1279"/>
      <c r="AI43" s="1279"/>
      <c r="AJ43" s="1279"/>
      <c r="AK43" s="1279"/>
      <c r="AL43" s="1279"/>
      <c r="AM43" s="1279"/>
      <c r="AN43" s="1279"/>
      <c r="AO43" s="1279"/>
      <c r="AP43" s="1279"/>
      <c r="AQ43" s="1279"/>
      <c r="AR43" s="1279"/>
      <c r="AS43" s="1279"/>
      <c r="AT43" s="1279"/>
      <c r="AU43" s="1280"/>
      <c r="AV43" s="1279"/>
      <c r="AW43" s="1279"/>
      <c r="AX43" s="1279"/>
      <c r="AY43" s="1281"/>
      <c r="AZ43" s="1280"/>
      <c r="BA43" s="1282"/>
      <c r="BB43" s="1282"/>
      <c r="BC43" s="1282"/>
      <c r="BD43" s="1282"/>
      <c r="BE43" s="1280"/>
      <c r="BF43" s="1282"/>
      <c r="BG43" s="1282"/>
      <c r="BH43" s="1282"/>
      <c r="BI43" s="1282"/>
      <c r="BJ43" s="1280"/>
      <c r="BK43" s="1283">
        <f>BK$10-BK44</f>
        <v>643.03200000000015</v>
      </c>
      <c r="BL43" s="1283">
        <f>BL$10-BL44</f>
        <v>687.35699999999997</v>
      </c>
      <c r="BM43" s="1283">
        <f>BM$10-BM44</f>
        <v>839.23199999999997</v>
      </c>
      <c r="BN43" s="1282">
        <f>BN$10-BN44</f>
        <v>886.87339999999949</v>
      </c>
      <c r="BO43" s="1280">
        <f>SUM(BK43:BN43)</f>
        <v>3056.4943999999996</v>
      </c>
      <c r="BP43" s="1283">
        <f>BP$10-BP44</f>
        <v>811.25</v>
      </c>
      <c r="BQ43" s="1283">
        <f>BQ$10-BQ44</f>
        <v>811.81800000000021</v>
      </c>
      <c r="BR43" s="1283">
        <f>BR$10-BR44</f>
        <v>913.66550000000007</v>
      </c>
      <c r="BS43" s="1282">
        <f>BS$10-BS44</f>
        <v>1104.5596000000005</v>
      </c>
      <c r="BT43" s="1280">
        <f>SUM(BP43:BS43)</f>
        <v>3641.2931000000008</v>
      </c>
      <c r="BU43" s="1283">
        <f>BU$10-BU44</f>
        <v>935.6880000000001</v>
      </c>
      <c r="BV43" s="1283">
        <f>BV$10-BV44</f>
        <v>972</v>
      </c>
      <c r="BW43" s="1283">
        <f>BW$10-BW44</f>
        <v>1070.7074999999995</v>
      </c>
      <c r="BX43" s="1282">
        <f>BX$10-BX44</f>
        <v>1398.6576000000005</v>
      </c>
      <c r="BY43" s="1280">
        <f>SUM(BU43:BX43)</f>
        <v>4377.0531000000001</v>
      </c>
      <c r="BZ43" s="1283">
        <f>BZ$10-BZ44</f>
        <v>1232.4939999999997</v>
      </c>
      <c r="CA43" s="1283">
        <f>CA$10-CA44</f>
        <v>1331.7044999999998</v>
      </c>
      <c r="CB43" s="1283">
        <f>CB$10-CB44</f>
        <v>1603.0559999999996</v>
      </c>
      <c r="CC43" s="1282">
        <f>CC$10-CC44</f>
        <v>1985.7004000000006</v>
      </c>
      <c r="CD43" s="1280">
        <f>SUM(BZ43:CC43)</f>
        <v>6152.9548999999997</v>
      </c>
      <c r="CE43" s="1283">
        <f>CE$10-CE44</f>
        <v>1733.6174999999994</v>
      </c>
      <c r="CF43" s="1283">
        <f>CF$10-CF44</f>
        <v>1702.3535800000018</v>
      </c>
      <c r="CG43" s="1283">
        <f>CG$10-CG44</f>
        <v>1803.3460799999993</v>
      </c>
      <c r="CH43" s="1282">
        <f>CH$10-CH44</f>
        <v>2360.132171462009</v>
      </c>
      <c r="CI43" s="1280">
        <f>SUM(CE43:CH43)</f>
        <v>7599.4493314620095</v>
      </c>
      <c r="CJ43" s="1283">
        <f>CJ$10-CJ44</f>
        <v>2013.4749475997169</v>
      </c>
      <c r="CK43" s="1283">
        <f>CK$10-CK44</f>
        <v>1934.367161418123</v>
      </c>
      <c r="CL43" s="1283">
        <f>CL$10-CL44</f>
        <v>2119.0555996893236</v>
      </c>
      <c r="CM43" s="1282">
        <f>CM$10-CM44</f>
        <v>2691.6825303214118</v>
      </c>
      <c r="CN43" s="1280">
        <f>SUM(CJ43:CM43)</f>
        <v>8758.5802390285753</v>
      </c>
      <c r="CO43" s="1283">
        <f>CO$10-CO44</f>
        <v>2288.0541433986</v>
      </c>
      <c r="CP43" s="1283">
        <f>CP$10-CP44</f>
        <v>2184.3302113212376</v>
      </c>
      <c r="CQ43" s="1283">
        <f>CQ$10-CQ44</f>
        <v>2433.8984017367311</v>
      </c>
      <c r="CR43" s="1282">
        <f>CR$10-CR44</f>
        <v>3040.3059257426121</v>
      </c>
      <c r="CS43" s="1280">
        <f>SUM(CO43:CR43)</f>
        <v>9946.5886821991808</v>
      </c>
      <c r="CT43" s="1283">
        <f>CT$10-CT44</f>
        <v>2562.9812064152957</v>
      </c>
      <c r="CU43" s="1283">
        <f>CU$10-CU44</f>
        <v>2421.0616406523113</v>
      </c>
      <c r="CV43" s="1283">
        <f>CV$10-CV44</f>
        <v>2740.5584047104167</v>
      </c>
      <c r="CW43" s="1282">
        <f>CW$10-CW44</f>
        <v>3357.6154437834084</v>
      </c>
      <c r="CX43" s="1280">
        <f>SUM(CT43:CW43)</f>
        <v>11082.216695561432</v>
      </c>
      <c r="CY43" s="1281"/>
      <c r="CZ43" s="1281"/>
      <c r="DA43" s="1280"/>
      <c r="DB43" s="1280"/>
      <c r="DC43" s="1280"/>
      <c r="DD43" s="1280"/>
      <c r="DE43" s="1280"/>
      <c r="DF43" s="1280"/>
      <c r="DG43" s="1380"/>
      <c r="DH43" s="1380"/>
      <c r="DI43" s="1280"/>
      <c r="DJ43" s="1380"/>
      <c r="DK43" s="1380"/>
      <c r="DL43" s="1380"/>
      <c r="DM43" s="1280"/>
      <c r="DN43" s="1280"/>
      <c r="DO43" s="1280"/>
      <c r="DP43" s="1280"/>
      <c r="DQ43" s="1280"/>
      <c r="DR43" s="3056"/>
      <c r="DS43" s="264"/>
      <c r="DT43" s="264"/>
      <c r="DU43" s="264"/>
      <c r="DV43" s="264"/>
      <c r="DW43" s="264"/>
      <c r="DX43" s="264"/>
      <c r="DY43" s="264"/>
      <c r="DZ43" s="264"/>
      <c r="EA43" s="264"/>
      <c r="EB43" s="264"/>
      <c r="EC43" s="264"/>
      <c r="ED43" s="264"/>
      <c r="EE43" s="264"/>
      <c r="EF43" s="264"/>
      <c r="EG43" s="264"/>
      <c r="EH43" s="264"/>
      <c r="EI43" s="264"/>
      <c r="EJ43" s="264"/>
      <c r="EK43" s="264"/>
      <c r="EL43" s="264"/>
      <c r="EM43" s="264"/>
      <c r="EN43" s="264"/>
      <c r="EO43" s="264"/>
      <c r="EP43" s="264"/>
      <c r="EQ43" s="264"/>
      <c r="ER43" s="264"/>
    </row>
    <row r="44" spans="1:148" s="934" customFormat="1" ht="12">
      <c r="A44" s="1278" t="s">
        <v>1073</v>
      </c>
      <c r="B44" s="1279"/>
      <c r="C44" s="1279"/>
      <c r="D44" s="1279"/>
      <c r="E44" s="1279"/>
      <c r="F44" s="1279"/>
      <c r="G44" s="1279"/>
      <c r="H44" s="1279"/>
      <c r="I44" s="1279"/>
      <c r="J44" s="1279"/>
      <c r="K44" s="1279"/>
      <c r="L44" s="1279"/>
      <c r="M44" s="1279"/>
      <c r="N44" s="1279"/>
      <c r="O44" s="1279"/>
      <c r="P44" s="1279"/>
      <c r="Q44" s="1279"/>
      <c r="R44" s="1279"/>
      <c r="S44" s="1279"/>
      <c r="T44" s="1279"/>
      <c r="U44" s="1279"/>
      <c r="V44" s="1279"/>
      <c r="W44" s="1279"/>
      <c r="X44" s="1279"/>
      <c r="Y44" s="1279"/>
      <c r="Z44" s="1279"/>
      <c r="AA44" s="1279"/>
      <c r="AB44" s="1279"/>
      <c r="AC44" s="1279"/>
      <c r="AD44" s="1279"/>
      <c r="AE44" s="1279"/>
      <c r="AF44" s="1279"/>
      <c r="AG44" s="1279"/>
      <c r="AH44" s="1279"/>
      <c r="AI44" s="1279"/>
      <c r="AJ44" s="1279"/>
      <c r="AK44" s="1279"/>
      <c r="AL44" s="1279"/>
      <c r="AM44" s="1279"/>
      <c r="AN44" s="1279"/>
      <c r="AO44" s="1279"/>
      <c r="AP44" s="1279"/>
      <c r="AQ44" s="1279"/>
      <c r="AR44" s="1279"/>
      <c r="AS44" s="1279"/>
      <c r="AT44" s="1279"/>
      <c r="AU44" s="1280"/>
      <c r="AV44" s="1279"/>
      <c r="AW44" s="1279"/>
      <c r="AX44" s="1279"/>
      <c r="AY44" s="1281"/>
      <c r="AZ44" s="1280"/>
      <c r="BA44" s="1282"/>
      <c r="BB44" s="1282"/>
      <c r="BC44" s="1282"/>
      <c r="BD44" s="1282"/>
      <c r="BE44" s="1280"/>
      <c r="BF44" s="1282"/>
      <c r="BG44" s="1282"/>
      <c r="BH44" s="1282"/>
      <c r="BI44" s="1282"/>
      <c r="BJ44" s="1280"/>
      <c r="BK44" s="1283">
        <f>BK10*BK45</f>
        <v>5539.9679999999998</v>
      </c>
      <c r="BL44" s="1283">
        <f>BL10*BL45</f>
        <v>6255.643</v>
      </c>
      <c r="BM44" s="1283">
        <f>BM10*BM45</f>
        <v>5928.768</v>
      </c>
      <c r="BN44" s="1282">
        <f>BN10*BN45</f>
        <v>6191.1266000000005</v>
      </c>
      <c r="BO44" s="1280">
        <f>SUM(BK44:BN44)</f>
        <v>23915.5056</v>
      </c>
      <c r="BP44" s="1283">
        <f>BP10*BP45</f>
        <v>5678.75</v>
      </c>
      <c r="BQ44" s="1283">
        <f>BQ10*BQ45</f>
        <v>6010.1819999999998</v>
      </c>
      <c r="BR44" s="1283">
        <f>BR10*BR45</f>
        <v>5543.3344999999999</v>
      </c>
      <c r="BS44" s="1282">
        <f>BS10*BS45</f>
        <v>5557.4403999999995</v>
      </c>
      <c r="BT44" s="1280">
        <f>SUM(BP44:BS44)</f>
        <v>22789.706900000001</v>
      </c>
      <c r="BU44" s="1283">
        <f>BU10*BU45</f>
        <v>5062.3119999999999</v>
      </c>
      <c r="BV44" s="1283">
        <f>BV10*BV45</f>
        <v>5508</v>
      </c>
      <c r="BW44" s="1283">
        <f>BW10*BW45</f>
        <v>5136.2925000000005</v>
      </c>
      <c r="BX44" s="1282">
        <f>BX10*BX45</f>
        <v>5708.3423999999995</v>
      </c>
      <c r="BY44" s="1280">
        <f>SUM(BU44:BX44)</f>
        <v>21414.946900000003</v>
      </c>
      <c r="BZ44" s="1283">
        <f>BZ10*BZ45</f>
        <v>5203.5060000000003</v>
      </c>
      <c r="CA44" s="1283">
        <f>CA10*CA45</f>
        <v>5847.2955000000002</v>
      </c>
      <c r="CB44" s="1283">
        <f>CB10*CB45</f>
        <v>6103.9440000000004</v>
      </c>
      <c r="CC44" s="1282">
        <f>CC10*CC45</f>
        <v>6562.2995999999994</v>
      </c>
      <c r="CD44" s="1280">
        <f>SUM(BZ44:CC44)</f>
        <v>23717.045099999999</v>
      </c>
      <c r="CE44" s="1283">
        <f>CE10*CE45</f>
        <v>6504.3825000000006</v>
      </c>
      <c r="CF44" s="1283">
        <f>CF10*CF45</f>
        <v>7250.6464199999982</v>
      </c>
      <c r="CG44" s="1283">
        <f>CG10*CG45</f>
        <v>7202.6539200000007</v>
      </c>
      <c r="CH44" s="1282">
        <f>CH10*CH45</f>
        <v>7380.4050611504908</v>
      </c>
      <c r="CI44" s="1280">
        <f>SUM(CE44:CH44)</f>
        <v>28338.087901150491</v>
      </c>
      <c r="CJ44" s="1283">
        <f>CJ10*CJ45</f>
        <v>7419.9035810375017</v>
      </c>
      <c r="CK44" s="1283">
        <f>CK10*CK45</f>
        <v>8080.8209053818764</v>
      </c>
      <c r="CL44" s="1283">
        <f>CL10*CL45</f>
        <v>8307.4026876706757</v>
      </c>
      <c r="CM44" s="1282">
        <f>CM10*CM45</f>
        <v>8281.3404224768383</v>
      </c>
      <c r="CN44" s="1280">
        <f>SUM(CJ44:CM44)</f>
        <v>32089.467596566894</v>
      </c>
      <c r="CO44" s="1283">
        <f>CO10*CO45</f>
        <v>8431.7617919455988</v>
      </c>
      <c r="CP44" s="1283">
        <f>CP10*CP45</f>
        <v>9125.041816240011</v>
      </c>
      <c r="CQ44" s="1283">
        <f>CQ10*CQ45</f>
        <v>9541.6911793486925</v>
      </c>
      <c r="CR44" s="1282">
        <f>CR10*CR45</f>
        <v>9353.9294013776926</v>
      </c>
      <c r="CS44" s="1280">
        <f>SUM(CO44:CR44)</f>
        <v>36452.424188912002</v>
      </c>
      <c r="CT44" s="1283">
        <f>CT10*CT45</f>
        <v>9444.9019364671549</v>
      </c>
      <c r="CU44" s="1283">
        <f>CU10*CU45</f>
        <v>10113.987617872126</v>
      </c>
      <c r="CV44" s="1283">
        <f>CV10*CV45</f>
        <v>10743.900377294318</v>
      </c>
      <c r="CW44" s="1282">
        <f>CW10*CW45</f>
        <v>10330.176826022571</v>
      </c>
      <c r="CX44" s="1280">
        <f>SUM(CT44:CW44)</f>
        <v>40632.96675765617</v>
      </c>
      <c r="CY44" s="1281"/>
      <c r="CZ44" s="1281"/>
      <c r="DA44" s="1280"/>
      <c r="DB44" s="1280"/>
      <c r="DC44" s="1280"/>
      <c r="DD44" s="1280"/>
      <c r="DE44" s="1280"/>
      <c r="DF44" s="1280"/>
      <c r="DG44" s="1380"/>
      <c r="DH44" s="1380"/>
      <c r="DI44" s="1280"/>
      <c r="DJ44" s="1380"/>
      <c r="DK44" s="1380">
        <f>BM44+BN44+BP44+BQ44</f>
        <v>23808.8266</v>
      </c>
      <c r="DL44" s="1380">
        <f>BR44+BS44+BU44+BV44</f>
        <v>21671.086900000002</v>
      </c>
      <c r="DM44" s="1280">
        <f>BW44+BX44+BZ44+CA44</f>
        <v>21895.436400000002</v>
      </c>
      <c r="DN44" s="1280">
        <f>CB44+CC44+CE44+CF44</f>
        <v>26421.272519999999</v>
      </c>
      <c r="DO44" s="1280">
        <f>CG44+CH44+CJ44+CK44</f>
        <v>30083.783467569869</v>
      </c>
      <c r="DP44" s="1280">
        <f>CL44+CM44+CO44+CP44</f>
        <v>34145.546718333128</v>
      </c>
      <c r="DQ44" s="1280">
        <f>CQ44+CR44+CT44+CU44</f>
        <v>38454.510135065662</v>
      </c>
      <c r="DR44" s="3056"/>
      <c r="DS44" s="264"/>
      <c r="DT44" s="264"/>
      <c r="DU44" s="264"/>
      <c r="DV44" s="264"/>
      <c r="DW44" s="264"/>
      <c r="DX44" s="264"/>
      <c r="DY44" s="264"/>
      <c r="DZ44" s="264"/>
      <c r="EA44" s="264"/>
      <c r="EB44" s="264"/>
      <c r="EC44" s="264"/>
      <c r="ED44" s="264"/>
      <c r="EE44" s="264"/>
      <c r="EF44" s="264"/>
      <c r="EG44" s="264"/>
      <c r="EH44" s="264"/>
      <c r="EI44" s="264"/>
      <c r="EJ44" s="264"/>
      <c r="EK44" s="264"/>
      <c r="EL44" s="264"/>
      <c r="EM44" s="264"/>
      <c r="EN44" s="264"/>
      <c r="EO44" s="264"/>
      <c r="EP44" s="264"/>
      <c r="EQ44" s="264"/>
      <c r="ER44" s="264"/>
    </row>
    <row r="45" spans="1:148" s="934" customFormat="1" ht="12">
      <c r="A45" s="1284" t="s">
        <v>1074</v>
      </c>
      <c r="B45" s="1285"/>
      <c r="C45" s="1286"/>
      <c r="D45" s="1286"/>
      <c r="E45" s="1286"/>
      <c r="F45" s="1286"/>
      <c r="G45" s="1285"/>
      <c r="H45" s="1286"/>
      <c r="I45" s="1286"/>
      <c r="J45" s="1286"/>
      <c r="K45" s="1286"/>
      <c r="L45" s="1285"/>
      <c r="M45" s="1286"/>
      <c r="N45" s="1286"/>
      <c r="O45" s="1286"/>
      <c r="P45" s="1287"/>
      <c r="Q45" s="1288"/>
      <c r="R45" s="1286"/>
      <c r="S45" s="1289"/>
      <c r="T45" s="1286"/>
      <c r="U45" s="1286"/>
      <c r="V45" s="1290"/>
      <c r="W45" s="1286"/>
      <c r="X45" s="1289"/>
      <c r="Y45" s="1289"/>
      <c r="Z45" s="1286"/>
      <c r="AA45" s="1290"/>
      <c r="AB45" s="1286"/>
      <c r="AC45" s="1289"/>
      <c r="AD45" s="1289"/>
      <c r="AE45" s="1286"/>
      <c r="AF45" s="1291"/>
      <c r="AG45" s="1286"/>
      <c r="AH45" s="1289"/>
      <c r="AI45" s="1289"/>
      <c r="AJ45" s="1286"/>
      <c r="AK45" s="1291"/>
      <c r="AL45" s="1286"/>
      <c r="AM45" s="1289"/>
      <c r="AN45" s="1289"/>
      <c r="AO45" s="1286"/>
      <c r="AP45" s="1291"/>
      <c r="AQ45" s="1286"/>
      <c r="AR45" s="1292"/>
      <c r="AS45" s="1292"/>
      <c r="AT45" s="1292"/>
      <c r="AU45" s="1291"/>
      <c r="AV45" s="1286"/>
      <c r="AW45" s="1286"/>
      <c r="AX45" s="1286"/>
      <c r="AY45" s="1292"/>
      <c r="AZ45" s="1352"/>
      <c r="BA45" s="1286"/>
      <c r="BB45" s="1286"/>
      <c r="BC45" s="1286"/>
      <c r="BD45" s="1286"/>
      <c r="BE45" s="1352"/>
      <c r="BF45" s="1286"/>
      <c r="BG45" s="1286"/>
      <c r="BH45" s="1286"/>
      <c r="BI45" s="1286"/>
      <c r="BJ45" s="1352"/>
      <c r="BK45" s="3028">
        <v>0.89600000000000002</v>
      </c>
      <c r="BL45" s="3028">
        <v>0.90100000000000002</v>
      </c>
      <c r="BM45" s="3028">
        <v>0.876</v>
      </c>
      <c r="BN45" s="3028">
        <v>0.87470000000000003</v>
      </c>
      <c r="BO45" s="3029">
        <f>BO44/BO10</f>
        <v>0.88667898561471159</v>
      </c>
      <c r="BP45" s="3028">
        <v>0.875</v>
      </c>
      <c r="BQ45" s="3028">
        <v>0.88100000000000001</v>
      </c>
      <c r="BR45" s="3028">
        <v>0.85850000000000004</v>
      </c>
      <c r="BS45" s="3028">
        <v>0.83419999999999994</v>
      </c>
      <c r="BT45" s="3029">
        <f>BT44/BT10</f>
        <v>0.86223400174038067</v>
      </c>
      <c r="BU45" s="3028">
        <f>BP45-0.031</f>
        <v>0.84399999999999997</v>
      </c>
      <c r="BV45" s="3028">
        <f t="shared" ref="BV45:BX45" si="88">BQ45-0.031</f>
        <v>0.85</v>
      </c>
      <c r="BW45" s="3028">
        <f t="shared" si="88"/>
        <v>0.82750000000000001</v>
      </c>
      <c r="BX45" s="3028">
        <f t="shared" si="88"/>
        <v>0.80319999999999991</v>
      </c>
      <c r="BY45" s="3029">
        <f>BY44/BY10</f>
        <v>0.83029415710297771</v>
      </c>
      <c r="BZ45" s="3028">
        <f>BU45-0.0355</f>
        <v>0.8085</v>
      </c>
      <c r="CA45" s="3028">
        <f t="shared" ref="CA45:CC45" si="89">BV45-0.0355</f>
        <v>0.8145</v>
      </c>
      <c r="CB45" s="3028">
        <f t="shared" si="89"/>
        <v>0.79200000000000004</v>
      </c>
      <c r="CC45" s="3028">
        <f t="shared" si="89"/>
        <v>0.76769999999999994</v>
      </c>
      <c r="CD45" s="3029">
        <f>CD44/CD10</f>
        <v>0.79400887512554397</v>
      </c>
      <c r="CE45" s="3028">
        <v>0.78955844865258562</v>
      </c>
      <c r="CF45" s="3028">
        <v>0.80985663129677188</v>
      </c>
      <c r="CG45" s="3028">
        <v>0.79976170552964698</v>
      </c>
      <c r="CH45" s="3028">
        <f>CC45-0.01</f>
        <v>0.75769999999999993</v>
      </c>
      <c r="CI45" s="3029">
        <f>CI44/CI10</f>
        <v>0.7885372811644511</v>
      </c>
      <c r="CJ45" s="3028">
        <f>CE45-0.003</f>
        <v>0.78655844865258562</v>
      </c>
      <c r="CK45" s="3028">
        <f t="shared" ref="CK45:CM45" si="90">CF45-0.003</f>
        <v>0.80685663129677188</v>
      </c>
      <c r="CL45" s="3028">
        <f t="shared" si="90"/>
        <v>0.79676170552964698</v>
      </c>
      <c r="CM45" s="3028">
        <f t="shared" si="90"/>
        <v>0.75469999999999993</v>
      </c>
      <c r="CN45" s="3029">
        <f>CN44/CN10</f>
        <v>0.78558142425116717</v>
      </c>
      <c r="CO45" s="3028">
        <f>CJ45</f>
        <v>0.78655844865258562</v>
      </c>
      <c r="CP45" s="3028">
        <f t="shared" ref="CP45:CR45" si="91">CK45</f>
        <v>0.80685663129677188</v>
      </c>
      <c r="CQ45" s="3028">
        <f t="shared" si="91"/>
        <v>0.79676170552964698</v>
      </c>
      <c r="CR45" s="3028">
        <f t="shared" si="91"/>
        <v>0.75469999999999993</v>
      </c>
      <c r="CS45" s="3029">
        <f>CS44/CS10</f>
        <v>0.78562930401495479</v>
      </c>
      <c r="CT45" s="3028">
        <f>CO45</f>
        <v>0.78655844865258562</v>
      </c>
      <c r="CU45" s="3028">
        <f t="shared" ref="CU45" si="92">CP45</f>
        <v>0.80685663129677188</v>
      </c>
      <c r="CV45" s="3028">
        <f t="shared" ref="CV45" si="93">CQ45</f>
        <v>0.79676170552964698</v>
      </c>
      <c r="CW45" s="3028">
        <f t="shared" ref="CW45" si="94">CR45</f>
        <v>0.75469999999999993</v>
      </c>
      <c r="CX45" s="3029">
        <f>CX44/CX10</f>
        <v>0.78570671211895471</v>
      </c>
      <c r="CY45" s="1296"/>
      <c r="CZ45" s="1296"/>
      <c r="DA45" s="1291"/>
      <c r="DB45" s="1291"/>
      <c r="DC45" s="1291"/>
      <c r="DD45" s="1291"/>
      <c r="DE45" s="1291"/>
      <c r="DF45" s="1291"/>
      <c r="DG45" s="1291"/>
      <c r="DH45" s="1392"/>
      <c r="DI45" s="1387"/>
      <c r="DJ45" s="1392"/>
      <c r="DK45" s="1407"/>
      <c r="DL45" s="1413"/>
      <c r="DM45" s="3090">
        <f>DM44/DM10</f>
        <v>0.81308018864421261</v>
      </c>
      <c r="DN45" s="3090">
        <f>DN44/DN10</f>
        <v>0.78996808347784486</v>
      </c>
      <c r="DO45" s="3090">
        <f>DO44/DO10</f>
        <v>0.78763455135516458</v>
      </c>
      <c r="DP45" s="3090">
        <f>DP44/DP10</f>
        <v>0.78624437140073156</v>
      </c>
      <c r="DQ45" s="3090">
        <f>DQ44/DQ10</f>
        <v>0.7861856957204979</v>
      </c>
      <c r="DR45" s="3074"/>
      <c r="DS45" s="264"/>
      <c r="DT45" s="264"/>
      <c r="DU45" s="264"/>
      <c r="DV45" s="264"/>
      <c r="DW45" s="264"/>
      <c r="DX45" s="264"/>
      <c r="DY45" s="264"/>
      <c r="DZ45" s="264"/>
      <c r="EA45" s="264"/>
      <c r="EB45" s="264"/>
      <c r="EC45" s="264"/>
      <c r="ED45" s="264"/>
      <c r="EE45" s="264"/>
      <c r="EF45" s="264"/>
      <c r="EG45" s="264"/>
      <c r="EH45" s="264"/>
      <c r="EI45" s="264"/>
      <c r="EJ45" s="264"/>
      <c r="EK45" s="264"/>
      <c r="EL45" s="264"/>
      <c r="EM45" s="264"/>
      <c r="EN45" s="264"/>
      <c r="EO45" s="264"/>
      <c r="EP45" s="264"/>
      <c r="EQ45" s="264"/>
      <c r="ER45" s="264"/>
    </row>
    <row r="46" spans="1:148" s="934" customFormat="1" ht="12">
      <c r="A46" s="1284" t="s">
        <v>1092</v>
      </c>
      <c r="B46" s="1285"/>
      <c r="C46" s="1286"/>
      <c r="D46" s="1286"/>
      <c r="E46" s="1286"/>
      <c r="F46" s="1286"/>
      <c r="G46" s="1285"/>
      <c r="H46" s="1286"/>
      <c r="I46" s="1286"/>
      <c r="J46" s="1286"/>
      <c r="K46" s="1286"/>
      <c r="L46" s="1285"/>
      <c r="M46" s="1286"/>
      <c r="N46" s="1286"/>
      <c r="O46" s="1286"/>
      <c r="P46" s="1287"/>
      <c r="Q46" s="1288"/>
      <c r="R46" s="1286"/>
      <c r="S46" s="1289"/>
      <c r="T46" s="1286"/>
      <c r="U46" s="1286"/>
      <c r="V46" s="1290"/>
      <c r="W46" s="1286"/>
      <c r="X46" s="1289"/>
      <c r="Y46" s="1289"/>
      <c r="Z46" s="1286"/>
      <c r="AA46" s="1290"/>
      <c r="AB46" s="1286"/>
      <c r="AC46" s="1289"/>
      <c r="AD46" s="1289"/>
      <c r="AE46" s="1286"/>
      <c r="AF46" s="1291"/>
      <c r="AG46" s="1286"/>
      <c r="AH46" s="1289"/>
      <c r="AI46" s="1289"/>
      <c r="AJ46" s="1286"/>
      <c r="AK46" s="1291"/>
      <c r="AL46" s="1286"/>
      <c r="AM46" s="1289"/>
      <c r="AN46" s="1289"/>
      <c r="AO46" s="1286"/>
      <c r="AP46" s="1291"/>
      <c r="AQ46" s="1286"/>
      <c r="AR46" s="1292"/>
      <c r="AS46" s="1292"/>
      <c r="AT46" s="1292"/>
      <c r="AU46" s="1291"/>
      <c r="AV46" s="1286"/>
      <c r="AW46" s="1286"/>
      <c r="AX46" s="1286"/>
      <c r="AY46" s="1292"/>
      <c r="AZ46" s="1352"/>
      <c r="BA46" s="1286"/>
      <c r="BB46" s="1286"/>
      <c r="BC46" s="1286"/>
      <c r="BD46" s="1286"/>
      <c r="BE46" s="1352"/>
      <c r="BF46" s="1286"/>
      <c r="BG46" s="1286"/>
      <c r="BH46" s="1286"/>
      <c r="BI46" s="1286"/>
      <c r="BJ46" s="1352"/>
      <c r="BK46" s="1293"/>
      <c r="BL46" s="1293"/>
      <c r="BM46" s="1293"/>
      <c r="BN46" s="1293"/>
      <c r="BO46" s="1294"/>
      <c r="BP46" s="1293">
        <f>BP44/BK44-1</f>
        <v>2.5051047226265499E-2</v>
      </c>
      <c r="BQ46" s="1293">
        <f>BQ44/BL44-1</f>
        <v>-3.9238332494357486E-2</v>
      </c>
      <c r="BR46" s="1293">
        <f>BR44/BM44-1</f>
        <v>-6.5010723981778318E-2</v>
      </c>
      <c r="BS46" s="1293">
        <f>BS44/BN44-1</f>
        <v>-0.10235393991135655</v>
      </c>
      <c r="BT46" s="1294"/>
      <c r="BU46" s="1293"/>
      <c r="BV46" s="1293"/>
      <c r="BW46" s="1293"/>
      <c r="BX46" s="1293"/>
      <c r="BY46" s="1294"/>
      <c r="BZ46" s="1293">
        <f>BZ44/BU44-1</f>
        <v>2.7891208601919626E-2</v>
      </c>
      <c r="CA46" s="1293">
        <f>CA44/BV44-1</f>
        <v>6.1600490196078495E-2</v>
      </c>
      <c r="CB46" s="1293">
        <f>CB44/BW44-1</f>
        <v>0.18839493662013984</v>
      </c>
      <c r="CC46" s="1293">
        <f>CC44/BX44-1</f>
        <v>0.14959810399600415</v>
      </c>
      <c r="CD46" s="1294"/>
      <c r="CE46" s="1293">
        <f>CE44/BZ44-1</f>
        <v>0.25</v>
      </c>
      <c r="CF46" s="1293">
        <f>CF44/CA44-1</f>
        <v>0.23999999999999955</v>
      </c>
      <c r="CG46" s="1293">
        <f>CG44/CB44-1</f>
        <v>0.17999999999999994</v>
      </c>
      <c r="CH46" s="1293">
        <f>CH44/CC44-1</f>
        <v>0.12466749630731444</v>
      </c>
      <c r="CI46" s="1294"/>
      <c r="CJ46" s="1293">
        <f>CJ44/CE44-1</f>
        <v>0.14075449607053403</v>
      </c>
      <c r="CK46" s="1293">
        <f>CK44/CF44-1</f>
        <v>0.11449661689362567</v>
      </c>
      <c r="CL46" s="1293">
        <f>CL44/CG44-1</f>
        <v>0.15338079268296645</v>
      </c>
      <c r="CM46" s="1293">
        <f>CM44/CH44-1</f>
        <v>0.12207126219518161</v>
      </c>
      <c r="CN46" s="1294"/>
      <c r="CO46" s="1293">
        <f>CO44/CJ44-1</f>
        <v>0.13637080318591033</v>
      </c>
      <c r="CP46" s="1293">
        <f>CP44/CK44-1</f>
        <v>0.12922213263787063</v>
      </c>
      <c r="CQ46" s="1293">
        <f>CQ44/CL44-1</f>
        <v>0.14857694252740039</v>
      </c>
      <c r="CR46" s="1293">
        <f>CR44/CM44-1</f>
        <v>0.1295187643765594</v>
      </c>
      <c r="CS46" s="1294"/>
      <c r="CT46" s="1293">
        <f>CT44/CO44-1</f>
        <v>0.120157586222295</v>
      </c>
      <c r="CU46" s="1293">
        <f>CU44/CP44-1</f>
        <v>0.1083771254474768</v>
      </c>
      <c r="CV46" s="1293">
        <f>CV44/CQ44-1</f>
        <v>0.12599540011812538</v>
      </c>
      <c r="CW46" s="1293">
        <f>CW44/CR44-1</f>
        <v>0.10436762805811761</v>
      </c>
      <c r="CX46" s="1294"/>
      <c r="CY46" s="1296"/>
      <c r="CZ46" s="1296"/>
      <c r="DA46" s="1291"/>
      <c r="DB46" s="1291"/>
      <c r="DC46" s="1291"/>
      <c r="DD46" s="1291"/>
      <c r="DE46" s="1291"/>
      <c r="DF46" s="1291"/>
      <c r="DG46" s="1291"/>
      <c r="DH46" s="1392"/>
      <c r="DI46" s="1387"/>
      <c r="DJ46" s="1392"/>
      <c r="DK46" s="1407"/>
      <c r="DL46" s="1407"/>
      <c r="DM46" s="1403"/>
      <c r="DN46" s="1403"/>
      <c r="DO46" s="1403"/>
      <c r="DP46" s="1403"/>
      <c r="DQ46" s="1403"/>
      <c r="DR46" s="3075"/>
      <c r="DS46" s="264"/>
      <c r="DT46" s="264"/>
      <c r="DU46" s="264"/>
      <c r="DV46" s="264"/>
      <c r="DW46" s="264"/>
      <c r="DX46" s="264"/>
      <c r="DY46" s="264"/>
      <c r="DZ46" s="264"/>
      <c r="EA46" s="264"/>
      <c r="EB46" s="264"/>
      <c r="EC46" s="264"/>
      <c r="ED46" s="264"/>
      <c r="EE46" s="264"/>
      <c r="EF46" s="264"/>
      <c r="EG46" s="264"/>
      <c r="EH46" s="264"/>
      <c r="EI46" s="264"/>
      <c r="EJ46" s="264"/>
      <c r="EK46" s="264"/>
      <c r="EL46" s="264"/>
      <c r="EM46" s="264"/>
      <c r="EN46" s="264"/>
      <c r="EO46" s="264"/>
      <c r="EP46" s="264"/>
      <c r="EQ46" s="264"/>
      <c r="ER46" s="264"/>
    </row>
    <row r="47" spans="1:148" s="934" customFormat="1" ht="12">
      <c r="A47" s="1284"/>
      <c r="B47" s="1285"/>
      <c r="C47" s="1286"/>
      <c r="D47" s="1286"/>
      <c r="E47" s="1286"/>
      <c r="F47" s="1286"/>
      <c r="G47" s="1285"/>
      <c r="H47" s="1286"/>
      <c r="I47" s="1286"/>
      <c r="J47" s="1286"/>
      <c r="K47" s="1286"/>
      <c r="L47" s="1285"/>
      <c r="M47" s="1286"/>
      <c r="N47" s="1286"/>
      <c r="O47" s="1286"/>
      <c r="P47" s="1287"/>
      <c r="Q47" s="1288"/>
      <c r="R47" s="1286"/>
      <c r="S47" s="1289"/>
      <c r="T47" s="1286"/>
      <c r="U47" s="1286"/>
      <c r="V47" s="1290"/>
      <c r="W47" s="1286"/>
      <c r="X47" s="1289"/>
      <c r="Y47" s="1289"/>
      <c r="Z47" s="1286"/>
      <c r="AA47" s="1290"/>
      <c r="AB47" s="1286"/>
      <c r="AC47" s="1289"/>
      <c r="AD47" s="1289"/>
      <c r="AE47" s="1286"/>
      <c r="AF47" s="1291"/>
      <c r="AG47" s="1286"/>
      <c r="AH47" s="1289"/>
      <c r="AI47" s="1289"/>
      <c r="AJ47" s="1286"/>
      <c r="AK47" s="1291"/>
      <c r="AL47" s="1286"/>
      <c r="AM47" s="1289"/>
      <c r="AN47" s="1289"/>
      <c r="AO47" s="1286"/>
      <c r="AP47" s="1291"/>
      <c r="AQ47" s="1286"/>
      <c r="AR47" s="1292"/>
      <c r="AS47" s="1292"/>
      <c r="AT47" s="1292"/>
      <c r="AU47" s="1291"/>
      <c r="AV47" s="1286"/>
      <c r="AW47" s="1286"/>
      <c r="AX47" s="1286"/>
      <c r="AY47" s="1292"/>
      <c r="AZ47" s="1352"/>
      <c r="BA47" s="1286"/>
      <c r="BB47" s="1286"/>
      <c r="BC47" s="1286"/>
      <c r="BD47" s="1286"/>
      <c r="BE47" s="1352"/>
      <c r="BF47" s="1286"/>
      <c r="BG47" s="1286"/>
      <c r="BH47" s="1286"/>
      <c r="BI47" s="1286"/>
      <c r="BJ47" s="1352"/>
      <c r="BK47" s="1293"/>
      <c r="BL47" s="1293"/>
      <c r="BM47" s="1293"/>
      <c r="BN47" s="1293"/>
      <c r="BO47" s="1294"/>
      <c r="BP47" s="1293"/>
      <c r="BQ47" s="1293"/>
      <c r="BR47" s="1293"/>
      <c r="BS47" s="1293"/>
      <c r="BT47" s="1294">
        <f>BT44/BT$62</f>
        <v>0.3784659708383154</v>
      </c>
      <c r="BU47" s="1293"/>
      <c r="BV47" s="1577"/>
      <c r="BW47" s="1293"/>
      <c r="BX47" s="2670"/>
      <c r="BY47" s="1294"/>
      <c r="BZ47" s="1293"/>
      <c r="CA47" s="1577"/>
      <c r="CB47" s="1293"/>
      <c r="CC47" s="2670"/>
      <c r="CD47" s="1294"/>
      <c r="CE47" s="1293"/>
      <c r="CF47" s="1577"/>
      <c r="CG47" s="1293"/>
      <c r="CH47" s="1293"/>
      <c r="CI47" s="1294">
        <f>CI44/CI$62</f>
        <v>0.39826232960688118</v>
      </c>
      <c r="CJ47" s="1293"/>
      <c r="CK47" s="1293"/>
      <c r="CL47" s="1293"/>
      <c r="CM47" s="1293"/>
      <c r="CN47" s="1294">
        <f>CN44/CN$62</f>
        <v>0.39965180024947361</v>
      </c>
      <c r="CO47" s="1293"/>
      <c r="CP47" s="1293"/>
      <c r="CQ47" s="1293"/>
      <c r="CR47" s="1293"/>
      <c r="CS47" s="1294">
        <f>CS44/CS$62</f>
        <v>0.39859293725993972</v>
      </c>
      <c r="CT47" s="1293"/>
      <c r="CU47" s="1293"/>
      <c r="CV47" s="1293"/>
      <c r="CW47" s="1293"/>
      <c r="CX47" s="1294">
        <f>CX44/CX$62</f>
        <v>0.39546848502651932</v>
      </c>
      <c r="CY47" s="1296"/>
      <c r="CZ47" s="1296"/>
      <c r="DA47" s="1291"/>
      <c r="DB47" s="1291"/>
      <c r="DC47" s="1291"/>
      <c r="DD47" s="1291"/>
      <c r="DE47" s="1291"/>
      <c r="DF47" s="1291"/>
      <c r="DG47" s="1291"/>
      <c r="DH47" s="1392"/>
      <c r="DI47" s="1387"/>
      <c r="DJ47" s="1392"/>
      <c r="DK47" s="1407"/>
      <c r="DL47" s="1407"/>
      <c r="DM47" s="1403"/>
      <c r="DN47" s="1403"/>
      <c r="DO47" s="1403"/>
      <c r="DP47" s="1403"/>
      <c r="DQ47" s="1403"/>
      <c r="DR47" s="3075"/>
      <c r="DS47" s="264"/>
      <c r="DT47" s="264"/>
      <c r="DU47" s="264"/>
      <c r="DV47" s="264"/>
      <c r="DW47" s="264"/>
      <c r="DX47" s="264"/>
      <c r="DY47" s="264"/>
      <c r="DZ47" s="264"/>
      <c r="EA47" s="264"/>
      <c r="EB47" s="264"/>
      <c r="EC47" s="264"/>
      <c r="ED47" s="264"/>
      <c r="EE47" s="264"/>
      <c r="EF47" s="264"/>
      <c r="EG47" s="264"/>
      <c r="EH47" s="264"/>
      <c r="EI47" s="264"/>
      <c r="EJ47" s="264"/>
      <c r="EK47" s="264"/>
      <c r="EL47" s="264"/>
      <c r="EM47" s="264"/>
      <c r="EN47" s="264"/>
      <c r="EO47" s="264"/>
      <c r="EP47" s="264"/>
      <c r="EQ47" s="264"/>
      <c r="ER47" s="264"/>
    </row>
    <row r="48" spans="1:148" s="934" customFormat="1" ht="12">
      <c r="A48" s="1278" t="s">
        <v>1075</v>
      </c>
      <c r="B48" s="1279"/>
      <c r="C48" s="1279"/>
      <c r="D48" s="1279"/>
      <c r="E48" s="1279"/>
      <c r="F48" s="1279"/>
      <c r="G48" s="1279"/>
      <c r="H48" s="1279"/>
      <c r="I48" s="1279"/>
      <c r="J48" s="1279"/>
      <c r="K48" s="1279"/>
      <c r="L48" s="1279"/>
      <c r="M48" s="1279"/>
      <c r="N48" s="1279"/>
      <c r="O48" s="1279"/>
      <c r="P48" s="1279"/>
      <c r="Q48" s="1279"/>
      <c r="R48" s="1279"/>
      <c r="S48" s="1279"/>
      <c r="T48" s="1279"/>
      <c r="U48" s="1279"/>
      <c r="V48" s="1279"/>
      <c r="W48" s="1279"/>
      <c r="X48" s="1279"/>
      <c r="Y48" s="1279"/>
      <c r="Z48" s="1279"/>
      <c r="AA48" s="1279"/>
      <c r="AB48" s="1279"/>
      <c r="AC48" s="1279"/>
      <c r="AD48" s="1279"/>
      <c r="AE48" s="1279"/>
      <c r="AF48" s="1279"/>
      <c r="AG48" s="1279"/>
      <c r="AH48" s="1279"/>
      <c r="AI48" s="1279"/>
      <c r="AJ48" s="1279"/>
      <c r="AK48" s="1279"/>
      <c r="AL48" s="1279"/>
      <c r="AM48" s="1279"/>
      <c r="AN48" s="1279"/>
      <c r="AO48" s="1279"/>
      <c r="AP48" s="1279"/>
      <c r="AQ48" s="1279"/>
      <c r="AR48" s="1279"/>
      <c r="AS48" s="1279"/>
      <c r="AT48" s="1279"/>
      <c r="AU48" s="1280"/>
      <c r="AV48" s="1279"/>
      <c r="AW48" s="1279"/>
      <c r="AX48" s="1279"/>
      <c r="AY48" s="1281"/>
      <c r="AZ48" s="1280"/>
      <c r="BA48" s="1282"/>
      <c r="BB48" s="1282"/>
      <c r="BC48" s="1282"/>
      <c r="BD48" s="1282"/>
      <c r="BE48" s="1280"/>
      <c r="BF48" s="1282"/>
      <c r="BG48" s="1282"/>
      <c r="BH48" s="1282"/>
      <c r="BI48" s="1282"/>
      <c r="BJ48" s="1280"/>
      <c r="BK48" s="1283">
        <f>BK$17-BK49</f>
        <v>1447.9820000000004</v>
      </c>
      <c r="BL48" s="1283">
        <f>BL$17-BL49</f>
        <v>1490.67</v>
      </c>
      <c r="BM48" s="1283">
        <f>BM$17-BM49</f>
        <v>1469.7860000000001</v>
      </c>
      <c r="BN48" s="1282">
        <f>BN$17-BN49</f>
        <v>1657.2612499999996</v>
      </c>
      <c r="BO48" s="1280">
        <f>SUM(BK48:BN48)</f>
        <v>6065.6992499999997</v>
      </c>
      <c r="BP48" s="1283">
        <f>BP$17-BP49</f>
        <v>1500.15</v>
      </c>
      <c r="BQ48" s="1283">
        <f>BQ$17-BQ49</f>
        <v>1585.7624999999998</v>
      </c>
      <c r="BR48" s="1283">
        <f>BR$17-BR49</f>
        <v>1432.9532500000005</v>
      </c>
      <c r="BS48" s="1282">
        <f>BS$17-BS49</f>
        <v>1511.04</v>
      </c>
      <c r="BT48" s="1280">
        <f>SUM(BP48:BS48)</f>
        <v>6029.9057500000008</v>
      </c>
      <c r="BU48" s="1283">
        <f>BU$17-BU49</f>
        <v>1792.1430000000005</v>
      </c>
      <c r="BV48" s="1283">
        <f>BV$17-BV49</f>
        <v>1937.4700000000003</v>
      </c>
      <c r="BW48" s="1283">
        <f>BW$17-BW49</f>
        <v>1716.1892500000004</v>
      </c>
      <c r="BX48" s="1282">
        <f>BX$17-BX49</f>
        <v>2062.3820000000005</v>
      </c>
      <c r="BY48" s="1280">
        <f>SUM(BU48:BX48)</f>
        <v>7508.1842500000012</v>
      </c>
      <c r="BZ48" s="1283">
        <f>BZ$17-BZ49</f>
        <v>2190.0424000000003</v>
      </c>
      <c r="CA48" s="1283">
        <f>CA$17-CA49</f>
        <v>2349.7565999999997</v>
      </c>
      <c r="CB48" s="1283">
        <f>CB$17-CB49</f>
        <v>2207.1035000000002</v>
      </c>
      <c r="CC48" s="1282">
        <f>CC$17-CC49</f>
        <v>2543.7144000000008</v>
      </c>
      <c r="CD48" s="1280">
        <f>SUM(BZ48:CC48)</f>
        <v>9290.6169000000009</v>
      </c>
      <c r="CE48" s="1283">
        <f>CE$17-CE49</f>
        <v>2624.3466400000007</v>
      </c>
      <c r="CF48" s="1283">
        <f>CF$17-CF49</f>
        <v>2813.6849579999989</v>
      </c>
      <c r="CG48" s="1283">
        <f>CG$17-CG49</f>
        <v>2649.4400600000008</v>
      </c>
      <c r="CH48" s="2570">
        <f>CH$17-CH49</f>
        <v>2971.7515888048201</v>
      </c>
      <c r="CI48" s="1280">
        <f>SUM(CE48:CH48)</f>
        <v>11059.223246804821</v>
      </c>
      <c r="CJ48" s="2569">
        <f>CJ$17-CJ49</f>
        <v>3164.4072708442764</v>
      </c>
      <c r="CK48" s="2569">
        <f>CK$17-CK49</f>
        <v>3341.3070568677867</v>
      </c>
      <c r="CL48" s="2569">
        <f>CL$17-CL49</f>
        <v>3211.8980670698611</v>
      </c>
      <c r="CM48" s="2570">
        <f>CM$17-CM49</f>
        <v>3645.8523099315771</v>
      </c>
      <c r="CN48" s="1280">
        <f>SUM(CJ48:CM48)</f>
        <v>13363.464704713502</v>
      </c>
      <c r="CO48" s="2569">
        <f>CO$17-CO49</f>
        <v>3862.7676852771665</v>
      </c>
      <c r="CP48" s="2569">
        <f>CP$17-CP49</f>
        <v>4002.1884338953205</v>
      </c>
      <c r="CQ48" s="2569">
        <f>CQ$17-CQ49</f>
        <v>3924.0931471869735</v>
      </c>
      <c r="CR48" s="2570">
        <f>CR$17-CR49</f>
        <v>4480.6124214594365</v>
      </c>
      <c r="CS48" s="1280">
        <f>SUM(CO48:CR48)</f>
        <v>16269.661687818896</v>
      </c>
      <c r="CT48" s="2569">
        <f>CT$17-CT49</f>
        <v>4607.821376334542</v>
      </c>
      <c r="CU48" s="2569">
        <f>CU$17-CU49</f>
        <v>4642.5053644102572</v>
      </c>
      <c r="CV48" s="2569">
        <f>CV$17-CV49</f>
        <v>4557.1140354113541</v>
      </c>
      <c r="CW48" s="2570">
        <f>CW$17-CW49</f>
        <v>5222.4003808778507</v>
      </c>
      <c r="CX48" s="1280">
        <f>SUM(CT48:CW48)</f>
        <v>19029.841157034003</v>
      </c>
      <c r="CY48" s="1281"/>
      <c r="CZ48" s="1281"/>
      <c r="DA48" s="1280"/>
      <c r="DB48" s="1280"/>
      <c r="DC48" s="1280"/>
      <c r="DD48" s="1280"/>
      <c r="DE48" s="1280"/>
      <c r="DF48" s="1280"/>
      <c r="DG48" s="1380"/>
      <c r="DH48" s="1380"/>
      <c r="DI48" s="1280"/>
      <c r="DJ48" s="1380"/>
      <c r="DK48" s="1380"/>
      <c r="DL48" s="1380"/>
      <c r="DM48" s="1280"/>
      <c r="DN48" s="1280"/>
      <c r="DO48" s="1280"/>
      <c r="DP48" s="1280"/>
      <c r="DQ48" s="1280"/>
      <c r="DR48" s="3056"/>
      <c r="DS48" s="264"/>
      <c r="DT48" s="264"/>
      <c r="DU48" s="264"/>
      <c r="DV48" s="264"/>
      <c r="DW48" s="264"/>
      <c r="DX48" s="264"/>
      <c r="DY48" s="264"/>
      <c r="DZ48" s="264"/>
      <c r="EA48" s="264"/>
      <c r="EB48" s="264"/>
      <c r="EC48" s="264"/>
      <c r="ED48" s="264"/>
      <c r="EE48" s="264"/>
      <c r="EF48" s="264"/>
      <c r="EG48" s="264"/>
      <c r="EH48" s="264"/>
      <c r="EI48" s="264"/>
      <c r="EJ48" s="264"/>
      <c r="EK48" s="264"/>
      <c r="EL48" s="264"/>
      <c r="EM48" s="264"/>
      <c r="EN48" s="264"/>
      <c r="EO48" s="264"/>
      <c r="EP48" s="264"/>
      <c r="EQ48" s="264"/>
      <c r="ER48" s="264"/>
    </row>
    <row r="49" spans="1:148" s="934" customFormat="1" ht="12">
      <c r="A49" s="1278" t="s">
        <v>1077</v>
      </c>
      <c r="B49" s="1279"/>
      <c r="C49" s="1279"/>
      <c r="D49" s="1279"/>
      <c r="E49" s="1279"/>
      <c r="F49" s="1279"/>
      <c r="G49" s="1279"/>
      <c r="H49" s="1279"/>
      <c r="I49" s="1279"/>
      <c r="J49" s="1279"/>
      <c r="K49" s="1279"/>
      <c r="L49" s="1279"/>
      <c r="M49" s="1279"/>
      <c r="N49" s="1279"/>
      <c r="O49" s="1279"/>
      <c r="P49" s="1279"/>
      <c r="Q49" s="1279"/>
      <c r="R49" s="1279"/>
      <c r="S49" s="1279"/>
      <c r="T49" s="1279"/>
      <c r="U49" s="1279"/>
      <c r="V49" s="1279"/>
      <c r="W49" s="1279"/>
      <c r="X49" s="1279"/>
      <c r="Y49" s="1279"/>
      <c r="Z49" s="1279"/>
      <c r="AA49" s="1279"/>
      <c r="AB49" s="1279"/>
      <c r="AC49" s="1279"/>
      <c r="AD49" s="1279"/>
      <c r="AE49" s="1279"/>
      <c r="AF49" s="1279"/>
      <c r="AG49" s="1279"/>
      <c r="AH49" s="1279"/>
      <c r="AI49" s="1279"/>
      <c r="AJ49" s="1279"/>
      <c r="AK49" s="1279"/>
      <c r="AL49" s="1279"/>
      <c r="AM49" s="1279"/>
      <c r="AN49" s="1279"/>
      <c r="AO49" s="1279"/>
      <c r="AP49" s="1279"/>
      <c r="AQ49" s="1279"/>
      <c r="AR49" s="1279"/>
      <c r="AS49" s="1279"/>
      <c r="AT49" s="1279"/>
      <c r="AU49" s="1280"/>
      <c r="AV49" s="1279"/>
      <c r="AW49" s="1279"/>
      <c r="AX49" s="1279"/>
      <c r="AY49" s="1281"/>
      <c r="AZ49" s="1280"/>
      <c r="BA49" s="1282"/>
      <c r="BB49" s="1282"/>
      <c r="BC49" s="1282"/>
      <c r="BD49" s="1282"/>
      <c r="BE49" s="1280"/>
      <c r="BF49" s="1282"/>
      <c r="BG49" s="1282"/>
      <c r="BH49" s="1282"/>
      <c r="BI49" s="1282"/>
      <c r="BJ49" s="1280"/>
      <c r="BK49" s="1283">
        <f>BK17*BK50</f>
        <v>3411.0179999999996</v>
      </c>
      <c r="BL49" s="1283">
        <f>BL17*BL50</f>
        <v>4030.33</v>
      </c>
      <c r="BM49" s="1283">
        <f>BM17*BM50</f>
        <v>3817.2139999999999</v>
      </c>
      <c r="BN49" s="1282">
        <f>BN17*BN50</f>
        <v>4407.7387500000004</v>
      </c>
      <c r="BO49" s="1280">
        <f>SUM(BK49:BN49)</f>
        <v>15666.30075</v>
      </c>
      <c r="BP49" s="1283">
        <f>BP17*BP50</f>
        <v>3974.85</v>
      </c>
      <c r="BQ49" s="1283">
        <f>BQ17*BQ50</f>
        <v>4455.2375000000002</v>
      </c>
      <c r="BR49" s="1283">
        <f>BR17*BR50</f>
        <v>4470.0467499999995</v>
      </c>
      <c r="BS49" s="1282">
        <f>BS17*BS50</f>
        <v>4784.96</v>
      </c>
      <c r="BT49" s="1280">
        <f>SUM(BP49:BS49)</f>
        <v>17685.094249999998</v>
      </c>
      <c r="BU49" s="1283">
        <f>BU17*BU50</f>
        <v>3790.8569999999995</v>
      </c>
      <c r="BV49" s="1283">
        <f>BV17*BV50</f>
        <v>4322.53</v>
      </c>
      <c r="BW49" s="1283">
        <f>BW17*BW50</f>
        <v>4206.8107499999996</v>
      </c>
      <c r="BX49" s="1282">
        <f>BX17*BX50</f>
        <v>5123.6179999999995</v>
      </c>
      <c r="BY49" s="1280">
        <f>SUM(BU49:BX49)</f>
        <v>17443.815749999998</v>
      </c>
      <c r="BZ49" s="1283">
        <f>BZ17*BZ50</f>
        <v>3906.9575999999997</v>
      </c>
      <c r="CA49" s="1283">
        <f>CA17*CA50</f>
        <v>4408.2434000000003</v>
      </c>
      <c r="CB49" s="1283">
        <f>CB17*CB50</f>
        <v>4522.8964999999998</v>
      </c>
      <c r="CC49" s="1282">
        <f>CC17*CC50</f>
        <v>5278.2855999999992</v>
      </c>
      <c r="CD49" s="1280">
        <f>SUM(BZ49:CC49)</f>
        <v>18116.383099999999</v>
      </c>
      <c r="CE49" s="1283">
        <f>CE17*CE50</f>
        <v>4297.6533599999993</v>
      </c>
      <c r="CF49" s="1283">
        <f>CF17*CF50</f>
        <v>4981.3150420000011</v>
      </c>
      <c r="CG49" s="1283">
        <f>CG17*CG50</f>
        <v>5246.5599399999992</v>
      </c>
      <c r="CH49" s="2570">
        <f>CH17*CH50</f>
        <v>6166.4759290451784</v>
      </c>
      <c r="CI49" s="1280">
        <f>SUM(CE49:CH49)</f>
        <v>20692.004271045178</v>
      </c>
      <c r="CJ49" s="2569">
        <f>CJ17*CJ50</f>
        <v>5105.714729155723</v>
      </c>
      <c r="CK49" s="2569">
        <f>CK17*CK50</f>
        <v>5826.516543132213</v>
      </c>
      <c r="CL49" s="2569">
        <f>CL17*CL50</f>
        <v>6261.5522829301399</v>
      </c>
      <c r="CM49" s="2570">
        <f>CM17*CM50</f>
        <v>7445.8796947279225</v>
      </c>
      <c r="CN49" s="1280">
        <f>SUM(CJ49:CM49)</f>
        <v>24639.663249945999</v>
      </c>
      <c r="CO49" s="2569">
        <f>CO17*CO50</f>
        <v>6298.9001547228336</v>
      </c>
      <c r="CP49" s="2569">
        <f>CP17*CP50</f>
        <v>7054.7955981046798</v>
      </c>
      <c r="CQ49" s="2569">
        <f>CQ17*CQ50</f>
        <v>7735.9448723130281</v>
      </c>
      <c r="CR49" s="2570">
        <f>CR17*CR50</f>
        <v>9255.1705995688772</v>
      </c>
      <c r="CS49" s="1280">
        <f>SUM(CO49:CR49)</f>
        <v>30344.811224709418</v>
      </c>
      <c r="CT49" s="2569">
        <f>CT17*CT50</f>
        <v>7841.3332060654584</v>
      </c>
      <c r="CU49" s="2569">
        <f>CU17*CU50</f>
        <v>8547.9207907897435</v>
      </c>
      <c r="CV49" s="2569">
        <f>CV17*CV50</f>
        <v>9398.5586772836468</v>
      </c>
      <c r="CW49" s="2570">
        <f>CW17*CW50</f>
        <v>11293.729855927493</v>
      </c>
      <c r="CX49" s="1280">
        <f>SUM(CT49:CW49)</f>
        <v>37081.542530066341</v>
      </c>
      <c r="CY49" s="1281"/>
      <c r="CZ49" s="1281"/>
      <c r="DA49" s="1280"/>
      <c r="DB49" s="1280"/>
      <c r="DC49" s="1280"/>
      <c r="DD49" s="1280"/>
      <c r="DE49" s="1280"/>
      <c r="DF49" s="1280"/>
      <c r="DG49" s="1380"/>
      <c r="DH49" s="1380"/>
      <c r="DI49" s="1280"/>
      <c r="DJ49" s="1380"/>
      <c r="DK49" s="1380">
        <f>BM49+BN49+BP49+BQ49</f>
        <v>16655.040250000002</v>
      </c>
      <c r="DL49" s="1380">
        <f>BR49+BS49+BU49+BV49</f>
        <v>17368.393749999999</v>
      </c>
      <c r="DM49" s="1280">
        <f>BW49+BX49+BZ49+CA49</f>
        <v>17645.62975</v>
      </c>
      <c r="DN49" s="1280">
        <f>CB49+CC49+CE49+CF49</f>
        <v>19080.150502</v>
      </c>
      <c r="DO49" s="1280">
        <f>CG49+CH49+CJ49+CK49</f>
        <v>22345.267141333115</v>
      </c>
      <c r="DP49" s="1280">
        <f>CL49+CM49+CO49+CP49</f>
        <v>27061.127730485576</v>
      </c>
      <c r="DQ49" s="1280">
        <f>CQ49+CR49+CT49+CU49</f>
        <v>33380.369468737103</v>
      </c>
      <c r="DR49" s="3056"/>
      <c r="DS49" s="264"/>
      <c r="DT49" s="264"/>
      <c r="DU49" s="264"/>
      <c r="DV49" s="264"/>
      <c r="DW49" s="264"/>
      <c r="DX49" s="264"/>
      <c r="DY49" s="264"/>
      <c r="DZ49" s="264"/>
      <c r="EA49" s="264"/>
      <c r="EB49" s="264"/>
      <c r="EC49" s="264"/>
      <c r="ED49" s="264"/>
      <c r="EE49" s="264"/>
      <c r="EF49" s="264"/>
      <c r="EG49" s="264"/>
      <c r="EH49" s="264"/>
      <c r="EI49" s="264"/>
      <c r="EJ49" s="264"/>
      <c r="EK49" s="264"/>
      <c r="EL49" s="264"/>
      <c r="EM49" s="264"/>
      <c r="EN49" s="264"/>
      <c r="EO49" s="264"/>
      <c r="EP49" s="264"/>
      <c r="EQ49" s="264"/>
      <c r="ER49" s="264"/>
    </row>
    <row r="50" spans="1:148" s="934" customFormat="1" ht="12">
      <c r="A50" s="1284" t="s">
        <v>1079</v>
      </c>
      <c r="B50" s="1285"/>
      <c r="C50" s="1286"/>
      <c r="D50" s="1286"/>
      <c r="E50" s="1286"/>
      <c r="F50" s="1286"/>
      <c r="G50" s="1285"/>
      <c r="H50" s="1286"/>
      <c r="I50" s="1286"/>
      <c r="J50" s="1286"/>
      <c r="K50" s="1286"/>
      <c r="L50" s="1285"/>
      <c r="M50" s="1286"/>
      <c r="N50" s="1286"/>
      <c r="O50" s="1286"/>
      <c r="P50" s="1287"/>
      <c r="Q50" s="1288"/>
      <c r="R50" s="1286"/>
      <c r="S50" s="1289"/>
      <c r="T50" s="1286"/>
      <c r="U50" s="1286"/>
      <c r="V50" s="1290"/>
      <c r="W50" s="1286"/>
      <c r="X50" s="1289"/>
      <c r="Y50" s="1289"/>
      <c r="Z50" s="1286"/>
      <c r="AA50" s="1290"/>
      <c r="AB50" s="1286"/>
      <c r="AC50" s="1289"/>
      <c r="AD50" s="1289"/>
      <c r="AE50" s="1286"/>
      <c r="AF50" s="1291"/>
      <c r="AG50" s="1286"/>
      <c r="AH50" s="1289"/>
      <c r="AI50" s="1289"/>
      <c r="AJ50" s="1286"/>
      <c r="AK50" s="1291"/>
      <c r="AL50" s="1286"/>
      <c r="AM50" s="1289"/>
      <c r="AN50" s="1289"/>
      <c r="AO50" s="1286"/>
      <c r="AP50" s="1291"/>
      <c r="AQ50" s="1286"/>
      <c r="AR50" s="1292"/>
      <c r="AS50" s="1292"/>
      <c r="AT50" s="1292"/>
      <c r="AU50" s="1291"/>
      <c r="AV50" s="1286"/>
      <c r="AW50" s="1286"/>
      <c r="AX50" s="1286"/>
      <c r="AY50" s="1292"/>
      <c r="AZ50" s="1352"/>
      <c r="BA50" s="1286"/>
      <c r="BB50" s="1286"/>
      <c r="BC50" s="1286"/>
      <c r="BD50" s="1286"/>
      <c r="BE50" s="1352"/>
      <c r="BF50" s="1286"/>
      <c r="BG50" s="1286"/>
      <c r="BH50" s="1286"/>
      <c r="BI50" s="1286"/>
      <c r="BJ50" s="1352"/>
      <c r="BK50" s="3028">
        <v>0.70199999999999996</v>
      </c>
      <c r="BL50" s="3028">
        <v>0.73</v>
      </c>
      <c r="BM50" s="3028">
        <v>0.72199999999999998</v>
      </c>
      <c r="BN50" s="3028">
        <v>0.72675000000000001</v>
      </c>
      <c r="BO50" s="3029">
        <f>BO49/BO17</f>
        <v>0.72088628520154607</v>
      </c>
      <c r="BP50" s="3028">
        <v>0.72599999999999998</v>
      </c>
      <c r="BQ50" s="3028">
        <v>0.73750000000000004</v>
      </c>
      <c r="BR50" s="3028">
        <v>0.75724999999999998</v>
      </c>
      <c r="BS50" s="3028">
        <v>0.76</v>
      </c>
      <c r="BT50" s="3029">
        <f>BT49/BT17</f>
        <v>0.7457345245625131</v>
      </c>
      <c r="BU50" s="3028">
        <f>BP50-0.047</f>
        <v>0.67899999999999994</v>
      </c>
      <c r="BV50" s="3028">
        <f t="shared" ref="BV50:BX50" si="95">BQ50-0.047</f>
        <v>0.6905</v>
      </c>
      <c r="BW50" s="3028">
        <f t="shared" si="95"/>
        <v>0.71024999999999994</v>
      </c>
      <c r="BX50" s="3028">
        <f t="shared" si="95"/>
        <v>0.71299999999999997</v>
      </c>
      <c r="BY50" s="3029">
        <f>BY49/BY17</f>
        <v>0.69909489219301046</v>
      </c>
      <c r="BZ50" s="3028">
        <f>BU50-0.0382</f>
        <v>0.64079999999999993</v>
      </c>
      <c r="CA50" s="3028">
        <f t="shared" ref="CA50:CC50" si="96">BV50-0.0382</f>
        <v>0.65229999999999999</v>
      </c>
      <c r="CB50" s="3028">
        <f t="shared" si="96"/>
        <v>0.67204999999999993</v>
      </c>
      <c r="CC50" s="3028">
        <f t="shared" si="96"/>
        <v>0.67479999999999996</v>
      </c>
      <c r="CD50" s="3029">
        <f>CD49/CD17</f>
        <v>0.66101299303097749</v>
      </c>
      <c r="CE50" s="3028">
        <v>0.62086873158046796</v>
      </c>
      <c r="CF50" s="3028">
        <v>0.63903977447081473</v>
      </c>
      <c r="CG50" s="3028">
        <v>0.66445794579533934</v>
      </c>
      <c r="CH50" s="3028">
        <f>CC50</f>
        <v>0.67479999999999996</v>
      </c>
      <c r="CI50" s="3029">
        <f>CI49/CI17</f>
        <v>0.65169147427174223</v>
      </c>
      <c r="CJ50" s="3028">
        <f>CE50-0.0035</f>
        <v>0.61736873158046801</v>
      </c>
      <c r="CK50" s="3028">
        <f t="shared" ref="CK50:CM50" si="97">CF50-0.0035</f>
        <v>0.63553977447081478</v>
      </c>
      <c r="CL50" s="3028">
        <f t="shared" si="97"/>
        <v>0.6609579457953394</v>
      </c>
      <c r="CM50" s="3028">
        <f t="shared" si="97"/>
        <v>0.67130000000000001</v>
      </c>
      <c r="CN50" s="3029">
        <f>CN49/CN17</f>
        <v>0.64835882139341039</v>
      </c>
      <c r="CO50" s="3028">
        <f>CJ50+0.0025</f>
        <v>0.61986873158046796</v>
      </c>
      <c r="CP50" s="3028">
        <f t="shared" ref="CP50:CR50" si="98">CK50+0.0025</f>
        <v>0.63803977447081472</v>
      </c>
      <c r="CQ50" s="3028">
        <f t="shared" si="98"/>
        <v>0.66345794579533934</v>
      </c>
      <c r="CR50" s="3028">
        <f t="shared" si="98"/>
        <v>0.67379999999999995</v>
      </c>
      <c r="CS50" s="3029">
        <f>CS49/CS17</f>
        <v>0.6509740286380844</v>
      </c>
      <c r="CT50" s="3028">
        <f>CO50+0.01</f>
        <v>0.62986873158046797</v>
      </c>
      <c r="CU50" s="3028">
        <f>CP50+0.01</f>
        <v>0.64803977447081473</v>
      </c>
      <c r="CV50" s="3028">
        <f>CQ50+0.01</f>
        <v>0.67345794579533935</v>
      </c>
      <c r="CW50" s="3028">
        <f>CR50+0.01</f>
        <v>0.68379999999999996</v>
      </c>
      <c r="CX50" s="3029">
        <f>CX49/CX17</f>
        <v>0.66085596350373299</v>
      </c>
      <c r="CY50" s="1296"/>
      <c r="CZ50" s="1296"/>
      <c r="DA50" s="1291"/>
      <c r="DB50" s="1291"/>
      <c r="DC50" s="1291"/>
      <c r="DD50" s="1291"/>
      <c r="DE50" s="1291"/>
      <c r="DF50" s="1291"/>
      <c r="DG50" s="1291"/>
      <c r="DH50" s="1392"/>
      <c r="DI50" s="1387"/>
      <c r="DJ50" s="1392"/>
      <c r="DK50" s="1407"/>
      <c r="DL50" s="1413"/>
      <c r="DM50" s="3090">
        <f>DM49/DM17</f>
        <v>0.67961907833923896</v>
      </c>
      <c r="DN50" s="3090">
        <f t="shared" ref="DN50:DQ50" si="99">DN49/DN17</f>
        <v>0.65188938815811948</v>
      </c>
      <c r="DO50" s="3090">
        <f t="shared" si="99"/>
        <v>0.64821173486630401</v>
      </c>
      <c r="DP50" s="3090">
        <f t="shared" si="99"/>
        <v>0.64764587145570429</v>
      </c>
      <c r="DQ50" s="3090">
        <f t="shared" si="99"/>
        <v>0.65406302891187507</v>
      </c>
      <c r="DR50" s="3074"/>
      <c r="DS50" s="264"/>
      <c r="DT50" s="264"/>
      <c r="DU50" s="264"/>
      <c r="DV50" s="264"/>
      <c r="DW50" s="264"/>
      <c r="DX50" s="264"/>
      <c r="DY50" s="264"/>
      <c r="DZ50" s="264"/>
      <c r="EA50" s="264"/>
      <c r="EB50" s="264"/>
      <c r="EC50" s="264"/>
      <c r="ED50" s="264"/>
      <c r="EE50" s="264"/>
      <c r="EF50" s="264"/>
      <c r="EG50" s="264"/>
      <c r="EH50" s="264"/>
      <c r="EI50" s="264"/>
      <c r="EJ50" s="264"/>
      <c r="EK50" s="264"/>
      <c r="EL50" s="264"/>
      <c r="EM50" s="264"/>
      <c r="EN50" s="264"/>
      <c r="EO50" s="264"/>
      <c r="EP50" s="264"/>
      <c r="EQ50" s="264"/>
      <c r="ER50" s="264"/>
    </row>
    <row r="51" spans="1:148" s="934" customFormat="1" ht="12">
      <c r="A51" s="1284" t="s">
        <v>1092</v>
      </c>
      <c r="B51" s="1285"/>
      <c r="C51" s="1286"/>
      <c r="D51" s="1286"/>
      <c r="E51" s="1286"/>
      <c r="F51" s="1286"/>
      <c r="G51" s="1285"/>
      <c r="H51" s="1286"/>
      <c r="I51" s="1286"/>
      <c r="J51" s="1286"/>
      <c r="K51" s="1286"/>
      <c r="L51" s="1285"/>
      <c r="M51" s="1286"/>
      <c r="N51" s="1286"/>
      <c r="O51" s="1286"/>
      <c r="P51" s="1287"/>
      <c r="Q51" s="1288"/>
      <c r="R51" s="1286"/>
      <c r="S51" s="1289"/>
      <c r="T51" s="1286"/>
      <c r="U51" s="1286"/>
      <c r="V51" s="1290"/>
      <c r="W51" s="1286"/>
      <c r="X51" s="1289"/>
      <c r="Y51" s="1289"/>
      <c r="Z51" s="1286"/>
      <c r="AA51" s="1290"/>
      <c r="AB51" s="1286"/>
      <c r="AC51" s="1289"/>
      <c r="AD51" s="1289"/>
      <c r="AE51" s="1286"/>
      <c r="AF51" s="1291"/>
      <c r="AG51" s="1286"/>
      <c r="AH51" s="1289"/>
      <c r="AI51" s="1289"/>
      <c r="AJ51" s="1286"/>
      <c r="AK51" s="1291"/>
      <c r="AL51" s="1286"/>
      <c r="AM51" s="1289"/>
      <c r="AN51" s="1289"/>
      <c r="AO51" s="1286"/>
      <c r="AP51" s="1291"/>
      <c r="AQ51" s="1286"/>
      <c r="AR51" s="1292"/>
      <c r="AS51" s="1292"/>
      <c r="AT51" s="1292"/>
      <c r="AU51" s="1291"/>
      <c r="AV51" s="1286"/>
      <c r="AW51" s="1286"/>
      <c r="AX51" s="1286"/>
      <c r="AY51" s="1292"/>
      <c r="AZ51" s="1352"/>
      <c r="BA51" s="1286"/>
      <c r="BB51" s="1286"/>
      <c r="BC51" s="1286"/>
      <c r="BD51" s="1286"/>
      <c r="BE51" s="1352"/>
      <c r="BF51" s="1286"/>
      <c r="BG51" s="1286"/>
      <c r="BH51" s="1286"/>
      <c r="BI51" s="1286"/>
      <c r="BJ51" s="1352"/>
      <c r="BK51" s="1293"/>
      <c r="BL51" s="1293"/>
      <c r="BM51" s="1293"/>
      <c r="BN51" s="1293"/>
      <c r="BO51" s="1294"/>
      <c r="BP51" s="1293">
        <f>BP49/BK49-1</f>
        <v>0.16529728075313588</v>
      </c>
      <c r="BQ51" s="1293">
        <f>BQ49/BL49-1</f>
        <v>0.10542747119962881</v>
      </c>
      <c r="BR51" s="1293">
        <f>BR49/BM49-1</f>
        <v>0.17102335630121845</v>
      </c>
      <c r="BS51" s="1293">
        <f>BS49/BN49-1</f>
        <v>8.5581580804896751E-2</v>
      </c>
      <c r="BT51" s="1294"/>
      <c r="BU51" s="1293"/>
      <c r="BV51" s="1293"/>
      <c r="BW51" s="1293"/>
      <c r="BX51" s="1293"/>
      <c r="BY51" s="1294"/>
      <c r="BZ51" s="1293">
        <f>BZ49/BU49-1</f>
        <v>3.0626478392616896E-2</v>
      </c>
      <c r="CA51" s="1293">
        <f>CA49/BV49-1</f>
        <v>1.9829451733128556E-2</v>
      </c>
      <c r="CB51" s="1293">
        <f>CB49/BW49-1</f>
        <v>7.513666974441402E-2</v>
      </c>
      <c r="CC51" s="1293">
        <f>CC49/BX49-1</f>
        <v>3.0187184134336187E-2</v>
      </c>
      <c r="CD51" s="1294"/>
      <c r="CE51" s="1293">
        <f>CE49/BZ49-1</f>
        <v>9.9999999999999867E-2</v>
      </c>
      <c r="CF51" s="1293">
        <f>CF49/CA49-1</f>
        <v>0.13000000000000012</v>
      </c>
      <c r="CG51" s="1293">
        <f>CG49/CB49-1</f>
        <v>0.15999999999999992</v>
      </c>
      <c r="CH51" s="1293">
        <f>CH49/CC49-1</f>
        <v>0.16827250292124774</v>
      </c>
      <c r="CI51" s="1294"/>
      <c r="CJ51" s="1293">
        <f>CJ49/CE49-1</f>
        <v>0.18802385894513463</v>
      </c>
      <c r="CK51" s="1293">
        <f>CK49/CF49-1</f>
        <v>0.16967437192907653</v>
      </c>
      <c r="CL51" s="1293">
        <f>CL49/CG49-1</f>
        <v>0.19345863852460643</v>
      </c>
      <c r="CM51" s="1293">
        <f>CM49/CH49-1</f>
        <v>0.20747729828256189</v>
      </c>
      <c r="CN51" s="1294"/>
      <c r="CO51" s="1293">
        <f>CO49/CJ49-1</f>
        <v>0.23369606193497905</v>
      </c>
      <c r="CP51" s="1293">
        <f>CP49/CK49-1</f>
        <v>0.21080847293229676</v>
      </c>
      <c r="CQ51" s="1293">
        <f>CQ49/CL49-1</f>
        <v>0.23546758419669933</v>
      </c>
      <c r="CR51" s="1293">
        <f>CR49/CM49-1</f>
        <v>0.24299222912801399</v>
      </c>
      <c r="CS51" s="1294"/>
      <c r="CT51" s="1293">
        <f>CT49/CO49-1</f>
        <v>0.24487339272811437</v>
      </c>
      <c r="CU51" s="1293">
        <f>CU49/CP49-1</f>
        <v>0.21164683964567343</v>
      </c>
      <c r="CV51" s="1293">
        <f>CV49/CQ49-1</f>
        <v>0.21492058596760666</v>
      </c>
      <c r="CW51" s="1293">
        <f>CW49/CR49-1</f>
        <v>0.22026166178434092</v>
      </c>
      <c r="CX51" s="1294"/>
      <c r="CY51" s="1296"/>
      <c r="CZ51" s="1296"/>
      <c r="DA51" s="1291"/>
      <c r="DB51" s="1291"/>
      <c r="DC51" s="1291"/>
      <c r="DD51" s="1291"/>
      <c r="DE51" s="1291"/>
      <c r="DF51" s="1291"/>
      <c r="DG51" s="1291"/>
      <c r="DH51" s="1392"/>
      <c r="DI51" s="1387"/>
      <c r="DJ51" s="1392"/>
      <c r="DK51" s="1407"/>
      <c r="DL51" s="1407"/>
      <c r="DM51" s="1403"/>
      <c r="DN51" s="1403"/>
      <c r="DO51" s="1403"/>
      <c r="DP51" s="1403"/>
      <c r="DQ51" s="1403"/>
      <c r="DR51" s="3075"/>
      <c r="DS51" s="264"/>
      <c r="DT51" s="264"/>
      <c r="DU51" s="264"/>
      <c r="DV51" s="264"/>
      <c r="DW51" s="264"/>
      <c r="DX51" s="264"/>
      <c r="DY51" s="264"/>
      <c r="DZ51" s="264"/>
      <c r="EA51" s="264"/>
      <c r="EB51" s="264"/>
      <c r="EC51" s="264"/>
      <c r="ED51" s="264"/>
      <c r="EE51" s="264"/>
      <c r="EF51" s="264"/>
      <c r="EG51" s="264"/>
      <c r="EH51" s="264"/>
      <c r="EI51" s="264"/>
      <c r="EJ51" s="264"/>
      <c r="EK51" s="264"/>
      <c r="EL51" s="264"/>
      <c r="EM51" s="264"/>
      <c r="EN51" s="264"/>
      <c r="EO51" s="264"/>
      <c r="EP51" s="264"/>
      <c r="EQ51" s="264"/>
      <c r="ER51" s="264"/>
    </row>
    <row r="52" spans="1:148" s="934" customFormat="1" ht="12">
      <c r="A52" s="1284"/>
      <c r="B52" s="1285"/>
      <c r="C52" s="1286"/>
      <c r="D52" s="1286"/>
      <c r="E52" s="1286"/>
      <c r="F52" s="1286"/>
      <c r="G52" s="1285"/>
      <c r="H52" s="1286"/>
      <c r="I52" s="1286"/>
      <c r="J52" s="1286"/>
      <c r="K52" s="1286"/>
      <c r="L52" s="1285"/>
      <c r="M52" s="1286"/>
      <c r="N52" s="1286"/>
      <c r="O52" s="1286"/>
      <c r="P52" s="1287"/>
      <c r="Q52" s="1288"/>
      <c r="R52" s="1286"/>
      <c r="S52" s="1289"/>
      <c r="T52" s="1286"/>
      <c r="U52" s="1286"/>
      <c r="V52" s="1290"/>
      <c r="W52" s="1286"/>
      <c r="X52" s="1289"/>
      <c r="Y52" s="1289"/>
      <c r="Z52" s="1286"/>
      <c r="AA52" s="1290"/>
      <c r="AB52" s="1286"/>
      <c r="AC52" s="1289"/>
      <c r="AD52" s="1289"/>
      <c r="AE52" s="1286"/>
      <c r="AF52" s="1291"/>
      <c r="AG52" s="1286"/>
      <c r="AH52" s="1289"/>
      <c r="AI52" s="1289"/>
      <c r="AJ52" s="1286"/>
      <c r="AK52" s="1291"/>
      <c r="AL52" s="1286"/>
      <c r="AM52" s="1289"/>
      <c r="AN52" s="1289"/>
      <c r="AO52" s="1286"/>
      <c r="AP52" s="1291"/>
      <c r="AQ52" s="1286"/>
      <c r="AR52" s="1292"/>
      <c r="AS52" s="1292"/>
      <c r="AT52" s="1292"/>
      <c r="AU52" s="1291"/>
      <c r="AV52" s="1286"/>
      <c r="AW52" s="1286"/>
      <c r="AX52" s="1286"/>
      <c r="AY52" s="1292"/>
      <c r="AZ52" s="1352"/>
      <c r="BA52" s="1286"/>
      <c r="BB52" s="1286"/>
      <c r="BC52" s="1286"/>
      <c r="BD52" s="1286"/>
      <c r="BE52" s="1352"/>
      <c r="BF52" s="1286"/>
      <c r="BG52" s="1286"/>
      <c r="BH52" s="1286"/>
      <c r="BI52" s="1286"/>
      <c r="BJ52" s="1352"/>
      <c r="BK52" s="1283"/>
      <c r="BL52" s="1283"/>
      <c r="BM52" s="1283"/>
      <c r="BN52" s="1282"/>
      <c r="BO52" s="1280"/>
      <c r="BP52" s="1293"/>
      <c r="BQ52" s="1293"/>
      <c r="BR52" s="1293"/>
      <c r="BS52" s="1293"/>
      <c r="BT52" s="1294">
        <f>BT49/BT$62</f>
        <v>0.29369427145609139</v>
      </c>
      <c r="BU52" s="1293"/>
      <c r="BV52" s="1293"/>
      <c r="BW52" s="1293"/>
      <c r="BX52" s="2670"/>
      <c r="BY52" s="1294"/>
      <c r="BZ52" s="1293"/>
      <c r="CA52" s="1293"/>
      <c r="CB52" s="1293"/>
      <c r="CC52" s="2670"/>
      <c r="CD52" s="1294"/>
      <c r="CE52" s="1293"/>
      <c r="CF52" s="1293"/>
      <c r="CG52" s="1293"/>
      <c r="CH52" s="1293"/>
      <c r="CI52" s="1294">
        <f>CI49/CI$62</f>
        <v>0.29080458265101999</v>
      </c>
      <c r="CJ52" s="1293"/>
      <c r="CK52" s="1293"/>
      <c r="CL52" s="1293"/>
      <c r="CM52" s="1293"/>
      <c r="CN52" s="1294">
        <f>CN49/CN$62</f>
        <v>0.30686971498508842</v>
      </c>
      <c r="CO52" s="1293"/>
      <c r="CP52" s="1293"/>
      <c r="CQ52" s="1293"/>
      <c r="CR52" s="1293"/>
      <c r="CS52" s="1294">
        <f>CS49/CS$62</f>
        <v>0.33180858902477078</v>
      </c>
      <c r="CT52" s="1293"/>
      <c r="CU52" s="1293"/>
      <c r="CV52" s="1293"/>
      <c r="CW52" s="1293"/>
      <c r="CX52" s="1294">
        <f>CX49/CX$62</f>
        <v>0.36090353761945382</v>
      </c>
      <c r="CY52" s="1296"/>
      <c r="CZ52" s="1296"/>
      <c r="DA52" s="1291"/>
      <c r="DB52" s="1291"/>
      <c r="DC52" s="1291"/>
      <c r="DD52" s="1291"/>
      <c r="DE52" s="1291"/>
      <c r="DF52" s="1291"/>
      <c r="DG52" s="1291"/>
      <c r="DH52" s="1392"/>
      <c r="DI52" s="1387"/>
      <c r="DJ52" s="1392"/>
      <c r="DK52" s="1407"/>
      <c r="DL52" s="1407"/>
      <c r="DM52" s="1403"/>
      <c r="DN52" s="1403"/>
      <c r="DO52" s="1403"/>
      <c r="DP52" s="1403"/>
      <c r="DQ52" s="1403"/>
      <c r="DR52" s="3075"/>
      <c r="DS52" s="264"/>
      <c r="DT52" s="264"/>
      <c r="DU52" s="264"/>
      <c r="DV52" s="264"/>
      <c r="DW52" s="264"/>
      <c r="DX52" s="264"/>
      <c r="DY52" s="264"/>
      <c r="DZ52" s="264"/>
      <c r="EA52" s="264"/>
      <c r="EB52" s="264"/>
      <c r="EC52" s="264"/>
      <c r="ED52" s="264"/>
      <c r="EE52" s="264"/>
      <c r="EF52" s="264"/>
      <c r="EG52" s="264"/>
      <c r="EH52" s="264"/>
      <c r="EI52" s="264"/>
      <c r="EJ52" s="264"/>
      <c r="EK52" s="264"/>
      <c r="EL52" s="264"/>
      <c r="EM52" s="264"/>
      <c r="EN52" s="264"/>
      <c r="EO52" s="264"/>
      <c r="EP52" s="264"/>
      <c r="EQ52" s="264"/>
      <c r="ER52" s="264"/>
    </row>
    <row r="53" spans="1:148" s="934" customFormat="1" ht="12">
      <c r="A53" s="1278" t="s">
        <v>1076</v>
      </c>
      <c r="B53" s="1279"/>
      <c r="C53" s="1279"/>
      <c r="D53" s="1279"/>
      <c r="E53" s="1279"/>
      <c r="F53" s="1279"/>
      <c r="G53" s="1279"/>
      <c r="H53" s="1279"/>
      <c r="I53" s="1279"/>
      <c r="J53" s="1279"/>
      <c r="K53" s="1279"/>
      <c r="L53" s="1279"/>
      <c r="M53" s="1279"/>
      <c r="N53" s="1279"/>
      <c r="O53" s="1279"/>
      <c r="P53" s="1279"/>
      <c r="Q53" s="1279"/>
      <c r="R53" s="1279"/>
      <c r="S53" s="1279"/>
      <c r="T53" s="1279"/>
      <c r="U53" s="1279"/>
      <c r="V53" s="1279"/>
      <c r="W53" s="1279"/>
      <c r="X53" s="1279"/>
      <c r="Y53" s="1279"/>
      <c r="Z53" s="1279"/>
      <c r="AA53" s="1279"/>
      <c r="AB53" s="1279"/>
      <c r="AC53" s="1279"/>
      <c r="AD53" s="1279"/>
      <c r="AE53" s="1279"/>
      <c r="AF53" s="1279"/>
      <c r="AG53" s="1279"/>
      <c r="AH53" s="1279"/>
      <c r="AI53" s="1279"/>
      <c r="AJ53" s="1279"/>
      <c r="AK53" s="1279"/>
      <c r="AL53" s="1279"/>
      <c r="AM53" s="1279"/>
      <c r="AN53" s="1279"/>
      <c r="AO53" s="1279"/>
      <c r="AP53" s="1279"/>
      <c r="AQ53" s="1279"/>
      <c r="AR53" s="1279"/>
      <c r="AS53" s="1279"/>
      <c r="AT53" s="1279"/>
      <c r="AU53" s="1280"/>
      <c r="AV53" s="1279"/>
      <c r="AW53" s="1279"/>
      <c r="AX53" s="1279"/>
      <c r="AY53" s="1281"/>
      <c r="AZ53" s="1280"/>
      <c r="BA53" s="1282"/>
      <c r="BB53" s="1282"/>
      <c r="BC53" s="1282"/>
      <c r="BD53" s="1282"/>
      <c r="BE53" s="1280"/>
      <c r="BF53" s="1282"/>
      <c r="BG53" s="1282"/>
      <c r="BH53" s="1282"/>
      <c r="BI53" s="1282"/>
      <c r="BJ53" s="1280"/>
      <c r="BK53" s="1283">
        <f>BK$24-BK54</f>
        <v>3129.9859999999999</v>
      </c>
      <c r="BL53" s="1283">
        <f>BL$24-BL54</f>
        <v>6120.973</v>
      </c>
      <c r="BM53" s="1283">
        <f>BM$24-BM54</f>
        <v>3734.982</v>
      </c>
      <c r="BN53" s="1282">
        <f>BN$24-BN54</f>
        <v>5103.8653500000019</v>
      </c>
      <c r="BO53" s="1280">
        <f>SUM(BK53:BN53)</f>
        <v>18089.806349999999</v>
      </c>
      <c r="BP53" s="1283">
        <f>BP$24-BP54</f>
        <v>5961.6</v>
      </c>
      <c r="BQ53" s="1283">
        <f>BQ$24-BQ54</f>
        <v>7660.4194999999991</v>
      </c>
      <c r="BR53" s="1283">
        <f>BR$24-BR54</f>
        <v>4754.3812499999995</v>
      </c>
      <c r="BS53" s="1282">
        <f>BS$24-BS54</f>
        <v>4835.4003999999986</v>
      </c>
      <c r="BT53" s="1280">
        <f>SUM(BP53:BS53)</f>
        <v>23211.801149999996</v>
      </c>
      <c r="BU53" s="1283">
        <f>BU$24-BU54</f>
        <v>4474.4535999999989</v>
      </c>
      <c r="BV53" s="1283">
        <f>BV$24-BV54</f>
        <v>6957.39</v>
      </c>
      <c r="BW53" s="1283">
        <f>BW$24-BW54</f>
        <v>4929.5737500000005</v>
      </c>
      <c r="BX53" s="1282">
        <f>BX$24-BX54</f>
        <v>4511.5483000000004</v>
      </c>
      <c r="BY53" s="1280">
        <f>SUM(BU53:BX53)</f>
        <v>20872.965649999998</v>
      </c>
      <c r="BZ53" s="1283">
        <f>BZ$24-BZ54</f>
        <v>4413.1646000000001</v>
      </c>
      <c r="CA53" s="1283">
        <f>CA$24-CA54</f>
        <v>6210.2904000000017</v>
      </c>
      <c r="CB53" s="1283">
        <f>CB$24-CB54</f>
        <v>4239.2460999999994</v>
      </c>
      <c r="CC53" s="1282">
        <f>CC$24-CC54</f>
        <v>3914.7631999999994</v>
      </c>
      <c r="CD53" s="1280">
        <f>SUM(BZ53:CC53)</f>
        <v>18777.4643</v>
      </c>
      <c r="CE53" s="1283">
        <f>CE$24-CE54</f>
        <v>3897.9810600000019</v>
      </c>
      <c r="CF53" s="1283">
        <f>CF$24-CF54</f>
        <v>6491.2904000000017</v>
      </c>
      <c r="CG53" s="1283">
        <f>CG$24-CG54</f>
        <v>4790.9519742108259</v>
      </c>
      <c r="CH53" s="2570">
        <f>CH$24-CH54</f>
        <v>4373.3358688054095</v>
      </c>
      <c r="CI53" s="1280">
        <f>SUM(CE53:CH53)</f>
        <v>19553.559303016238</v>
      </c>
      <c r="CJ53" s="2569">
        <f>CJ$24-CJ54</f>
        <v>4169.6810545936223</v>
      </c>
      <c r="CK53" s="2569">
        <f>CK$24-CK54</f>
        <v>6812.8475539363008</v>
      </c>
      <c r="CL53" s="2569">
        <f>CL$24-CL54</f>
        <v>4758.0725631990863</v>
      </c>
      <c r="CM53" s="2570">
        <f>CM$24-CM54</f>
        <v>4378.0240878395934</v>
      </c>
      <c r="CN53" s="1280">
        <f>SUM(CJ53:CM53)</f>
        <v>20118.625259568602</v>
      </c>
      <c r="CO53" s="2569">
        <f>CO$24-CO54</f>
        <v>4131.1495575987046</v>
      </c>
      <c r="CP53" s="2569">
        <f>CP$24-CP54</f>
        <v>6776.5267313234717</v>
      </c>
      <c r="CQ53" s="2569">
        <f>CQ$24-CQ54</f>
        <v>4764.0197155848455</v>
      </c>
      <c r="CR53" s="2570">
        <f>CR$24-CR54</f>
        <v>4374.3575815792092</v>
      </c>
      <c r="CS53" s="1280">
        <f>SUM(CO53:CR53)</f>
        <v>20046.053586086229</v>
      </c>
      <c r="CT53" s="2569">
        <f>CT$24-CT54</f>
        <v>4187.5755499407705</v>
      </c>
      <c r="CU53" s="2569">
        <f>CU$24-CU54</f>
        <v>6847.7174408180454</v>
      </c>
      <c r="CV53" s="2569">
        <f>CV$24-CV54</f>
        <v>4850.2390654514338</v>
      </c>
      <c r="CW53" s="2570">
        <f>CW$24-CW54</f>
        <v>4457.8348395159492</v>
      </c>
      <c r="CX53" s="1280">
        <f>SUM(CT53:CW53)</f>
        <v>20343.366895726198</v>
      </c>
      <c r="CY53" s="1281"/>
      <c r="CZ53" s="1281"/>
      <c r="DA53" s="1280"/>
      <c r="DB53" s="1280"/>
      <c r="DC53" s="1280"/>
      <c r="DD53" s="1280"/>
      <c r="DE53" s="1280"/>
      <c r="DF53" s="1280"/>
      <c r="DG53" s="1380"/>
      <c r="DH53" s="1380"/>
      <c r="DI53" s="1280"/>
      <c r="DJ53" s="1380"/>
      <c r="DK53" s="1380"/>
      <c r="DL53" s="1380"/>
      <c r="DM53" s="1280"/>
      <c r="DN53" s="1280"/>
      <c r="DO53" s="1280"/>
      <c r="DP53" s="1280"/>
      <c r="DQ53" s="1280"/>
      <c r="DR53" s="3056"/>
      <c r="DS53" s="264"/>
      <c r="DT53" s="264"/>
      <c r="DU53" s="264"/>
      <c r="DV53" s="264"/>
      <c r="DW53" s="264"/>
      <c r="DX53" s="264"/>
      <c r="DY53" s="264"/>
      <c r="DZ53" s="264"/>
      <c r="EA53" s="264"/>
      <c r="EB53" s="264"/>
      <c r="EC53" s="264"/>
      <c r="ED53" s="264"/>
      <c r="EE53" s="264"/>
      <c r="EF53" s="264"/>
      <c r="EG53" s="264"/>
      <c r="EH53" s="264"/>
      <c r="EI53" s="264"/>
      <c r="EJ53" s="264"/>
      <c r="EK53" s="264"/>
      <c r="EL53" s="264"/>
      <c r="EM53" s="264"/>
      <c r="EN53" s="264"/>
      <c r="EO53" s="264"/>
      <c r="EP53" s="264"/>
      <c r="EQ53" s="264"/>
      <c r="ER53" s="264"/>
    </row>
    <row r="54" spans="1:148" s="934" customFormat="1" ht="12">
      <c r="A54" s="1278" t="s">
        <v>1078</v>
      </c>
      <c r="B54" s="1279"/>
      <c r="C54" s="1279"/>
      <c r="D54" s="1279"/>
      <c r="E54" s="1279"/>
      <c r="F54" s="1279"/>
      <c r="G54" s="1279"/>
      <c r="H54" s="1279"/>
      <c r="I54" s="1279"/>
      <c r="J54" s="1279"/>
      <c r="K54" s="1279"/>
      <c r="L54" s="1279"/>
      <c r="M54" s="1279"/>
      <c r="N54" s="1279"/>
      <c r="O54" s="1279"/>
      <c r="P54" s="1279"/>
      <c r="Q54" s="1279"/>
      <c r="R54" s="1279"/>
      <c r="S54" s="1279"/>
      <c r="T54" s="1279"/>
      <c r="U54" s="1279"/>
      <c r="V54" s="1279"/>
      <c r="W54" s="1279"/>
      <c r="X54" s="1279"/>
      <c r="Y54" s="1279"/>
      <c r="Z54" s="1279"/>
      <c r="AA54" s="1279"/>
      <c r="AB54" s="1279"/>
      <c r="AC54" s="1279"/>
      <c r="AD54" s="1279"/>
      <c r="AE54" s="1279"/>
      <c r="AF54" s="1279"/>
      <c r="AG54" s="1279"/>
      <c r="AH54" s="1279"/>
      <c r="AI54" s="1279"/>
      <c r="AJ54" s="1279"/>
      <c r="AK54" s="1279"/>
      <c r="AL54" s="1279"/>
      <c r="AM54" s="1279"/>
      <c r="AN54" s="1279"/>
      <c r="AO54" s="1279"/>
      <c r="AP54" s="1279"/>
      <c r="AQ54" s="1279"/>
      <c r="AR54" s="1279"/>
      <c r="AS54" s="1279"/>
      <c r="AT54" s="1279"/>
      <c r="AU54" s="1280"/>
      <c r="AV54" s="1279"/>
      <c r="AW54" s="1279"/>
      <c r="AX54" s="1279"/>
      <c r="AY54" s="1281"/>
      <c r="AZ54" s="1280"/>
      <c r="BA54" s="1282"/>
      <c r="BB54" s="1282"/>
      <c r="BC54" s="1282"/>
      <c r="BD54" s="1282"/>
      <c r="BE54" s="1280"/>
      <c r="BF54" s="1282"/>
      <c r="BG54" s="1282"/>
      <c r="BH54" s="1282"/>
      <c r="BI54" s="1282"/>
      <c r="BJ54" s="1280"/>
      <c r="BK54" s="1283">
        <f>BK55*BK24</f>
        <v>4464.0140000000001</v>
      </c>
      <c r="BL54" s="1283">
        <f>BL55*BL24</f>
        <v>5949.027</v>
      </c>
      <c r="BM54" s="1283">
        <f>BM55*BM24</f>
        <v>4716.018</v>
      </c>
      <c r="BN54" s="1282">
        <f>BN55*BN24</f>
        <v>5188.1346499999981</v>
      </c>
      <c r="BO54" s="1280">
        <f>SUM(BK54:BN54)</f>
        <v>20317.193650000001</v>
      </c>
      <c r="BP54" s="1283">
        <f>BP55*BP24</f>
        <v>5274.4</v>
      </c>
      <c r="BQ54" s="1283">
        <f>BQ55*BQ24</f>
        <v>5542.5805000000009</v>
      </c>
      <c r="BR54" s="1283">
        <f>BR55*BR24</f>
        <v>4554.6187500000005</v>
      </c>
      <c r="BS54" s="1282">
        <f>BS55*BS24</f>
        <v>4369.5996000000014</v>
      </c>
      <c r="BT54" s="1280">
        <f>SUM(BP54:BS54)</f>
        <v>19741.198850000004</v>
      </c>
      <c r="BU54" s="1283">
        <f>BU55*BU24</f>
        <v>4854.5464000000011</v>
      </c>
      <c r="BV54" s="1283">
        <f>BV55*BV24</f>
        <v>5555.61</v>
      </c>
      <c r="BW54" s="1283">
        <f>BW55*BW24</f>
        <v>4457.4262499999995</v>
      </c>
      <c r="BX54" s="1282">
        <f>BX55*BX24</f>
        <v>4669.4516999999996</v>
      </c>
      <c r="BY54" s="1280">
        <f>SUM(BU54:BX54)</f>
        <v>19537.034350000002</v>
      </c>
      <c r="BZ54" s="1283">
        <f>BZ55*BZ24</f>
        <v>4981.8353999999999</v>
      </c>
      <c r="CA54" s="1283">
        <f>CA55*CA24</f>
        <v>5678.7095999999983</v>
      </c>
      <c r="CB54" s="1283">
        <f>CB55*CB24</f>
        <v>4535.7539000000006</v>
      </c>
      <c r="CC54" s="1282">
        <f>CC55*CC24</f>
        <v>5320.2368000000006</v>
      </c>
      <c r="CD54" s="1280">
        <f>SUM(BZ54:CC54)</f>
        <v>20516.5357</v>
      </c>
      <c r="CE54" s="1283">
        <f>CE55*CE24</f>
        <v>5480.0189399999981</v>
      </c>
      <c r="CF54" s="1283">
        <f>CF55*CF24</f>
        <v>5678.7095999999983</v>
      </c>
      <c r="CG54" s="1283">
        <f>CG55*CG24</f>
        <v>5126.0480257891741</v>
      </c>
      <c r="CH54" s="2570">
        <f>CH55*CH24</f>
        <v>5943.4456796718941</v>
      </c>
      <c r="CI54" s="1280">
        <f>SUM(CE54:CH54)</f>
        <v>22228.222245461064</v>
      </c>
      <c r="CJ54" s="2569">
        <f>CJ55*CJ24</f>
        <v>5861.9913235115127</v>
      </c>
      <c r="CK54" s="2569">
        <f>CK55*CK24</f>
        <v>6204.0576981509857</v>
      </c>
      <c r="CL54" s="2569">
        <f>CL55*CL24</f>
        <v>5299.045578396177</v>
      </c>
      <c r="CM54" s="2570">
        <f>CM55*CM24</f>
        <v>6199.3390426557298</v>
      </c>
      <c r="CN54" s="1280">
        <f>SUM(CJ54:CM54)</f>
        <v>23564.433642714408</v>
      </c>
      <c r="CO54" s="2569">
        <f>CO55*CO24</f>
        <v>6103.2931399161389</v>
      </c>
      <c r="CP54" s="2569">
        <f>CP55*CP24</f>
        <v>6474.8049073191005</v>
      </c>
      <c r="CQ54" s="2569">
        <f>CQ55*CQ24</f>
        <v>5567.7269351167906</v>
      </c>
      <c r="CR54" s="2570">
        <f>CR55*CR24</f>
        <v>6509.6995036326089</v>
      </c>
      <c r="CS54" s="1280">
        <f>SUM(CO54:CR54)</f>
        <v>24655.524485984639</v>
      </c>
      <c r="CT54" s="2569">
        <f>CT55*CT24</f>
        <v>6186.6559829148491</v>
      </c>
      <c r="CU54" s="2569">
        <f>CU55*CU24</f>
        <v>6542.8258822914777</v>
      </c>
      <c r="CV54" s="2569">
        <f>CV55*CV24</f>
        <v>5668.4917986647006</v>
      </c>
      <c r="CW54" s="2570">
        <f>CW55*CW24</f>
        <v>6633.9261710737346</v>
      </c>
      <c r="CX54" s="1280">
        <f>SUM(CT54:CW54)</f>
        <v>25031.899834944761</v>
      </c>
      <c r="CY54" s="1281"/>
      <c r="CZ54" s="1281"/>
      <c r="DA54" s="1280"/>
      <c r="DB54" s="1280"/>
      <c r="DC54" s="1280"/>
      <c r="DD54" s="1280"/>
      <c r="DE54" s="1280"/>
      <c r="DF54" s="1280"/>
      <c r="DG54" s="1380"/>
      <c r="DH54" s="1380"/>
      <c r="DI54" s="1280"/>
      <c r="DJ54" s="1380"/>
      <c r="DK54" s="1380">
        <f>BM54+BN54+BP54+BQ54</f>
        <v>20721.133149999998</v>
      </c>
      <c r="DL54" s="1380">
        <f>BR54+BS54+BU54+BV54</f>
        <v>19334.374750000003</v>
      </c>
      <c r="DM54" s="1280">
        <f>BW54+BX54+BZ54+CA54</f>
        <v>19787.422949999996</v>
      </c>
      <c r="DN54" s="1280">
        <f>CB54+CC54+CE54+CF54</f>
        <v>21014.719239999999</v>
      </c>
      <c r="DO54" s="1280">
        <f>CG54+CH54+CJ54+CK54</f>
        <v>23135.542727123568</v>
      </c>
      <c r="DP54" s="1280">
        <f>CL54+CM54+CO54+CP54</f>
        <v>24076.482668287146</v>
      </c>
      <c r="DQ54" s="1280">
        <f>CQ54+CR54+CT54+CU54</f>
        <v>24806.90830395573</v>
      </c>
      <c r="DR54" s="3056"/>
      <c r="DS54" s="264"/>
      <c r="DT54" s="264"/>
      <c r="DU54" s="264"/>
      <c r="DV54" s="264"/>
      <c r="DW54" s="264"/>
      <c r="DX54" s="264"/>
      <c r="DY54" s="264"/>
      <c r="DZ54" s="264"/>
      <c r="EA54" s="264"/>
      <c r="EB54" s="264"/>
      <c r="EC54" s="264"/>
      <c r="ED54" s="264"/>
      <c r="EE54" s="264"/>
      <c r="EF54" s="264"/>
      <c r="EG54" s="264"/>
      <c r="EH54" s="264"/>
      <c r="EI54" s="264"/>
      <c r="EJ54" s="264"/>
      <c r="EK54" s="264"/>
      <c r="EL54" s="264"/>
      <c r="EM54" s="264"/>
      <c r="EN54" s="264"/>
      <c r="EO54" s="264"/>
      <c r="EP54" s="264"/>
      <c r="EQ54" s="264"/>
      <c r="ER54" s="264"/>
    </row>
    <row r="55" spans="1:148" s="934" customFormat="1" ht="12">
      <c r="A55" s="1284" t="s">
        <v>1080</v>
      </c>
      <c r="B55" s="1285"/>
      <c r="C55" s="1286"/>
      <c r="D55" s="1286"/>
      <c r="E55" s="1286"/>
      <c r="F55" s="1286"/>
      <c r="G55" s="1285"/>
      <c r="H55" s="1286"/>
      <c r="I55" s="1286"/>
      <c r="J55" s="1286"/>
      <c r="K55" s="1286"/>
      <c r="L55" s="1285"/>
      <c r="M55" s="1286"/>
      <c r="N55" s="1286"/>
      <c r="O55" s="1286"/>
      <c r="P55" s="1287"/>
      <c r="Q55" s="1288"/>
      <c r="R55" s="1286"/>
      <c r="S55" s="1289"/>
      <c r="T55" s="1286"/>
      <c r="U55" s="1286"/>
      <c r="V55" s="1290"/>
      <c r="W55" s="1286"/>
      <c r="X55" s="1289"/>
      <c r="Y55" s="1289"/>
      <c r="Z55" s="1286"/>
      <c r="AA55" s="1290"/>
      <c r="AB55" s="1286"/>
      <c r="AC55" s="1289"/>
      <c r="AD55" s="1289"/>
      <c r="AE55" s="1286"/>
      <c r="AF55" s="1291"/>
      <c r="AG55" s="1286"/>
      <c r="AH55" s="1289"/>
      <c r="AI55" s="1289"/>
      <c r="AJ55" s="1286"/>
      <c r="AK55" s="1291"/>
      <c r="AL55" s="1286"/>
      <c r="AM55" s="1289"/>
      <c r="AN55" s="1289"/>
      <c r="AO55" s="1286"/>
      <c r="AP55" s="1291"/>
      <c r="AQ55" s="1286"/>
      <c r="AR55" s="1292"/>
      <c r="AS55" s="1292"/>
      <c r="AT55" s="1292"/>
      <c r="AU55" s="1291"/>
      <c r="AV55" s="1286"/>
      <c r="AW55" s="1286"/>
      <c r="AX55" s="1286"/>
      <c r="AY55" s="1292"/>
      <c r="AZ55" s="1352"/>
      <c r="BA55" s="1286"/>
      <c r="BB55" s="1286"/>
      <c r="BC55" s="1286"/>
      <c r="BD55" s="1286"/>
      <c r="BE55" s="1352"/>
      <c r="BF55" s="1286"/>
      <c r="BG55" s="1286"/>
      <c r="BH55" s="1286"/>
      <c r="BI55" s="1286"/>
      <c r="BJ55" s="1352"/>
      <c r="BK55" s="3028">
        <v>0.58783434290229131</v>
      </c>
      <c r="BL55" s="3028">
        <v>0.4928771333885667</v>
      </c>
      <c r="BM55" s="3028">
        <v>0.55804259850905213</v>
      </c>
      <c r="BN55" s="3028">
        <v>0.5040939224640496</v>
      </c>
      <c r="BO55" s="3029">
        <f>BO54/BO24</f>
        <v>0.52899715286275939</v>
      </c>
      <c r="BP55" s="3028">
        <v>0.46941972232111068</v>
      </c>
      <c r="BQ55" s="3028">
        <v>0.41979705369991677</v>
      </c>
      <c r="BR55" s="3028">
        <v>0.48927046406703195</v>
      </c>
      <c r="BS55" s="3028">
        <v>0.47469848995111369</v>
      </c>
      <c r="BT55" s="3029">
        <f>BT54/BT24</f>
        <v>0.45960000116406313</v>
      </c>
      <c r="BU55" s="3028">
        <v>0.52037157251581101</v>
      </c>
      <c r="BV55" s="3028">
        <v>0.44398705346439699</v>
      </c>
      <c r="BW55" s="3028">
        <v>0.47485099073186315</v>
      </c>
      <c r="BX55" s="3028">
        <v>0.50859946628907526</v>
      </c>
      <c r="BY55" s="3029">
        <f>BY54/BY24</f>
        <v>0.48347028829497651</v>
      </c>
      <c r="BZ55" s="3028">
        <v>0.53026454497072906</v>
      </c>
      <c r="CA55" s="3028">
        <v>0.47764400706535437</v>
      </c>
      <c r="CB55" s="3028">
        <v>0.51689503133903136</v>
      </c>
      <c r="CC55" s="3028">
        <v>0.5760949431510558</v>
      </c>
      <c r="CD55" s="3029">
        <f>CD54/CD24</f>
        <v>0.52212896879930781</v>
      </c>
      <c r="CE55" s="3028">
        <v>0.58434836212412011</v>
      </c>
      <c r="CF55" s="3028">
        <v>0.4666154149548068</v>
      </c>
      <c r="CG55" s="3028">
        <v>0.51689503133903136</v>
      </c>
      <c r="CH55" s="3028">
        <f>CC55</f>
        <v>0.5760949431510558</v>
      </c>
      <c r="CI55" s="3029">
        <f>CI54/CI24</f>
        <v>0.53200752628680459</v>
      </c>
      <c r="CJ55" s="3028">
        <f>CE55</f>
        <v>0.58434836212412011</v>
      </c>
      <c r="CK55" s="3028">
        <f t="shared" ref="CK55:CM55" si="100">CF55+0.01</f>
        <v>0.4766154149548068</v>
      </c>
      <c r="CL55" s="3028">
        <f t="shared" si="100"/>
        <v>0.52689503133903137</v>
      </c>
      <c r="CM55" s="3028">
        <f t="shared" si="100"/>
        <v>0.58609494315105581</v>
      </c>
      <c r="CN55" s="3029">
        <f>CN54/CN24</f>
        <v>0.53944101523263199</v>
      </c>
      <c r="CO55" s="3028">
        <f>CJ55+0.012</f>
        <v>0.59634836212412012</v>
      </c>
      <c r="CP55" s="3028">
        <f>CK55+0.012</f>
        <v>0.48861541495480681</v>
      </c>
      <c r="CQ55" s="3028">
        <f>CL55+0.012</f>
        <v>0.53889503133903138</v>
      </c>
      <c r="CR55" s="3028">
        <f>CM55+0.012</f>
        <v>0.59809494315105582</v>
      </c>
      <c r="CS55" s="3029">
        <f>CS54/CS24</f>
        <v>0.55155825698666283</v>
      </c>
      <c r="CT55" s="3028">
        <f>CO55</f>
        <v>0.59634836212412012</v>
      </c>
      <c r="CU55" s="3028">
        <f t="shared" ref="CU55:CW55" si="101">CP55</f>
        <v>0.48861541495480681</v>
      </c>
      <c r="CV55" s="3028">
        <f t="shared" si="101"/>
        <v>0.53889503133903138</v>
      </c>
      <c r="CW55" s="3028">
        <f t="shared" si="101"/>
        <v>0.59809494315105582</v>
      </c>
      <c r="CX55" s="3029">
        <f>CX54/CX24</f>
        <v>0.55166397111280663</v>
      </c>
      <c r="CY55" s="1296"/>
      <c r="CZ55" s="1296"/>
      <c r="DA55" s="1291"/>
      <c r="DB55" s="1291"/>
      <c r="DC55" s="1291"/>
      <c r="DD55" s="1291"/>
      <c r="DE55" s="1291"/>
      <c r="DF55" s="1291"/>
      <c r="DG55" s="1291"/>
      <c r="DH55" s="1392"/>
      <c r="DI55" s="1387"/>
      <c r="DJ55" s="1392"/>
      <c r="DK55" s="1407"/>
      <c r="DL55" s="1413"/>
      <c r="DM55" s="3090">
        <f>DM54/DM24</f>
        <v>0.49652270776874424</v>
      </c>
      <c r="DN55" s="3090">
        <f t="shared" ref="DN55:DQ55" si="102">DN54/DN24</f>
        <v>0.53123816269781077</v>
      </c>
      <c r="DO55" s="3090">
        <f t="shared" si="102"/>
        <v>0.53452591693581142</v>
      </c>
      <c r="DP55" s="3090">
        <f t="shared" si="102"/>
        <v>0.54570134139898774</v>
      </c>
      <c r="DQ55" s="3090">
        <f t="shared" si="102"/>
        <v>0.55150265026681322</v>
      </c>
      <c r="DR55" s="3074"/>
      <c r="DS55" s="264"/>
      <c r="DT55" s="264"/>
      <c r="DU55" s="264"/>
      <c r="DV55" s="264"/>
      <c r="DW55" s="264"/>
      <c r="DX55" s="264"/>
      <c r="DY55" s="264"/>
      <c r="DZ55" s="264"/>
      <c r="EA55" s="264"/>
      <c r="EB55" s="264"/>
      <c r="EC55" s="264"/>
      <c r="ED55" s="264"/>
      <c r="EE55" s="264"/>
      <c r="EF55" s="264"/>
      <c r="EG55" s="264"/>
      <c r="EH55" s="264"/>
      <c r="EI55" s="264"/>
      <c r="EJ55" s="264"/>
      <c r="EK55" s="264"/>
      <c r="EL55" s="264"/>
      <c r="EM55" s="264"/>
      <c r="EN55" s="264"/>
      <c r="EO55" s="264"/>
      <c r="EP55" s="264"/>
      <c r="EQ55" s="264"/>
      <c r="ER55" s="264"/>
    </row>
    <row r="56" spans="1:148" s="934" customFormat="1" ht="12">
      <c r="A56" s="1284" t="s">
        <v>1092</v>
      </c>
      <c r="B56" s="1285"/>
      <c r="C56" s="1286"/>
      <c r="D56" s="1286"/>
      <c r="E56" s="1286"/>
      <c r="F56" s="1286"/>
      <c r="G56" s="1285"/>
      <c r="H56" s="1286"/>
      <c r="I56" s="1286"/>
      <c r="J56" s="1286"/>
      <c r="K56" s="1286"/>
      <c r="L56" s="1285"/>
      <c r="M56" s="1286"/>
      <c r="N56" s="1286"/>
      <c r="O56" s="1286"/>
      <c r="P56" s="1287"/>
      <c r="Q56" s="1288"/>
      <c r="R56" s="1286"/>
      <c r="S56" s="1289"/>
      <c r="T56" s="1286"/>
      <c r="U56" s="1286"/>
      <c r="V56" s="1290"/>
      <c r="W56" s="1286"/>
      <c r="X56" s="1289"/>
      <c r="Y56" s="1289"/>
      <c r="Z56" s="1286"/>
      <c r="AA56" s="1290"/>
      <c r="AB56" s="1286"/>
      <c r="AC56" s="1289"/>
      <c r="AD56" s="1289"/>
      <c r="AE56" s="1286"/>
      <c r="AF56" s="1291"/>
      <c r="AG56" s="1286"/>
      <c r="AH56" s="1289"/>
      <c r="AI56" s="1289"/>
      <c r="AJ56" s="1286"/>
      <c r="AK56" s="1291"/>
      <c r="AL56" s="1286"/>
      <c r="AM56" s="1289"/>
      <c r="AN56" s="1289"/>
      <c r="AO56" s="1286"/>
      <c r="AP56" s="1291"/>
      <c r="AQ56" s="1286"/>
      <c r="AR56" s="1292"/>
      <c r="AS56" s="1292"/>
      <c r="AT56" s="1292"/>
      <c r="AU56" s="1291"/>
      <c r="AV56" s="1286"/>
      <c r="AW56" s="1286"/>
      <c r="AX56" s="1286"/>
      <c r="AY56" s="1292"/>
      <c r="AZ56" s="1352"/>
      <c r="BA56" s="1286"/>
      <c r="BB56" s="1286"/>
      <c r="BC56" s="1286"/>
      <c r="BD56" s="1286"/>
      <c r="BE56" s="1352"/>
      <c r="BF56" s="1286"/>
      <c r="BG56" s="1286"/>
      <c r="BH56" s="1286"/>
      <c r="BI56" s="1286"/>
      <c r="BJ56" s="1352"/>
      <c r="BK56" s="1293"/>
      <c r="BL56" s="1293"/>
      <c r="BM56" s="1293"/>
      <c r="BN56" s="1293"/>
      <c r="BO56" s="1294"/>
      <c r="BP56" s="1293">
        <f>BP54/BK54-1</f>
        <v>0.18153751309919719</v>
      </c>
      <c r="BQ56" s="1293">
        <f>BQ54/BL54-1</f>
        <v>-6.8321508710583956E-2</v>
      </c>
      <c r="BR56" s="1293">
        <f>BR54/BM54-1</f>
        <v>-3.4223628917446791E-2</v>
      </c>
      <c r="BS56" s="1293">
        <f>BS54/BN54-1</f>
        <v>-0.15777058716083958</v>
      </c>
      <c r="BT56" s="1294"/>
      <c r="BU56" s="1293"/>
      <c r="BV56" s="1293"/>
      <c r="BW56" s="1293"/>
      <c r="BX56" s="1293"/>
      <c r="BY56" s="1294"/>
      <c r="BZ56" s="1293">
        <f>BZ54/BU54-1</f>
        <v>2.6220575417715386E-2</v>
      </c>
      <c r="CA56" s="1293">
        <f>CA54/BV54-1</f>
        <v>2.2157710854433299E-2</v>
      </c>
      <c r="CB56" s="1293">
        <f>CB54/BW54-1</f>
        <v>1.7572393934728758E-2</v>
      </c>
      <c r="CC56" s="1293">
        <f>CC54/BX54-1</f>
        <v>0.13937077451727387</v>
      </c>
      <c r="CD56" s="1294"/>
      <c r="CE56" s="1293">
        <f>CE54/BZ54-1</f>
        <v>9.9999999999999645E-2</v>
      </c>
      <c r="CF56" s="1293">
        <f>CF54/CA54-1</f>
        <v>0</v>
      </c>
      <c r="CG56" s="1293">
        <f>CG54/CB54-1</f>
        <v>0.13014245014244996</v>
      </c>
      <c r="CH56" s="1293">
        <f>CH54/CC54-1</f>
        <v>0.11713931223360086</v>
      </c>
      <c r="CI56" s="1294"/>
      <c r="CJ56" s="1293">
        <f>CJ54/CE54-1</f>
        <v>6.9702748784936652E-2</v>
      </c>
      <c r="CK56" s="1293">
        <f>CK54/CF54-1</f>
        <v>9.2511879485964066E-2</v>
      </c>
      <c r="CL56" s="1293">
        <f>CL54/CG54-1</f>
        <v>3.3748718649659892E-2</v>
      </c>
      <c r="CM56" s="1293">
        <f>CM54/CH54-1</f>
        <v>4.305471552622353E-2</v>
      </c>
      <c r="CN56" s="1294"/>
      <c r="CO56" s="1293">
        <f>CO54/CJ54-1</f>
        <v>4.116379624050337E-2</v>
      </c>
      <c r="CP56" s="1293">
        <f>CP54/CK54-1</f>
        <v>4.3640343520468194E-2</v>
      </c>
      <c r="CQ56" s="1293">
        <f>CQ54/CL54-1</f>
        <v>5.0703726311773556E-2</v>
      </c>
      <c r="CR56" s="1293">
        <f>CR54/CM54-1</f>
        <v>5.0063475935319124E-2</v>
      </c>
      <c r="CS56" s="1294"/>
      <c r="CT56" s="1293">
        <f>CT54/CO54-1</f>
        <v>1.3658666082005722E-2</v>
      </c>
      <c r="CU56" s="1293">
        <f>CU54/CP54-1</f>
        <v>1.0505486411719778E-2</v>
      </c>
      <c r="CV56" s="1293">
        <f>CV54/CQ54-1</f>
        <v>1.8098025410040464E-2</v>
      </c>
      <c r="CW56" s="1293">
        <f>CW54/CR54-1</f>
        <v>1.9083318265582516E-2</v>
      </c>
      <c r="CX56" s="1294"/>
      <c r="CY56" s="1296"/>
      <c r="CZ56" s="1296"/>
      <c r="DA56" s="1291"/>
      <c r="DB56" s="1291"/>
      <c r="DC56" s="1291"/>
      <c r="DD56" s="1291"/>
      <c r="DE56" s="1291"/>
      <c r="DF56" s="1291"/>
      <c r="DG56" s="1291"/>
      <c r="DH56" s="1392"/>
      <c r="DI56" s="1387"/>
      <c r="DJ56" s="1392"/>
      <c r="DK56" s="1407"/>
      <c r="DL56" s="1413"/>
      <c r="DM56" s="1412"/>
      <c r="DN56" s="1412"/>
      <c r="DO56" s="1412"/>
      <c r="DP56" s="1412"/>
      <c r="DQ56" s="1412"/>
      <c r="DR56" s="3074"/>
      <c r="DS56" s="264"/>
      <c r="DT56" s="264"/>
      <c r="DU56" s="264"/>
      <c r="DV56" s="264"/>
      <c r="DW56" s="264"/>
      <c r="DX56" s="264"/>
      <c r="DY56" s="264"/>
      <c r="DZ56" s="264"/>
      <c r="EA56" s="264"/>
      <c r="EB56" s="264"/>
      <c r="EC56" s="264"/>
      <c r="ED56" s="264"/>
      <c r="EE56" s="264"/>
      <c r="EF56" s="264"/>
      <c r="EG56" s="264"/>
      <c r="EH56" s="264"/>
      <c r="EI56" s="264"/>
      <c r="EJ56" s="264"/>
      <c r="EK56" s="264"/>
      <c r="EL56" s="264"/>
      <c r="EM56" s="264"/>
      <c r="EN56" s="264"/>
      <c r="EO56" s="264"/>
      <c r="EP56" s="264"/>
      <c r="EQ56" s="264"/>
      <c r="ER56" s="264"/>
    </row>
    <row r="57" spans="1:148" s="934" customFormat="1" ht="12">
      <c r="A57" s="1284"/>
      <c r="B57" s="1285"/>
      <c r="C57" s="1286"/>
      <c r="D57" s="1286"/>
      <c r="E57" s="1286"/>
      <c r="F57" s="1286"/>
      <c r="G57" s="1285"/>
      <c r="H57" s="1286"/>
      <c r="I57" s="1286"/>
      <c r="J57" s="1286"/>
      <c r="K57" s="1286"/>
      <c r="L57" s="1285"/>
      <c r="M57" s="1286"/>
      <c r="N57" s="1286"/>
      <c r="O57" s="1286"/>
      <c r="P57" s="1287"/>
      <c r="Q57" s="1288"/>
      <c r="R57" s="1286"/>
      <c r="S57" s="1289"/>
      <c r="T57" s="1286"/>
      <c r="U57" s="1286"/>
      <c r="V57" s="1290"/>
      <c r="W57" s="1286"/>
      <c r="X57" s="1289"/>
      <c r="Y57" s="1289"/>
      <c r="Z57" s="1286"/>
      <c r="AA57" s="1290"/>
      <c r="AB57" s="1286"/>
      <c r="AC57" s="1289"/>
      <c r="AD57" s="1289"/>
      <c r="AE57" s="1286"/>
      <c r="AF57" s="1291"/>
      <c r="AG57" s="1286"/>
      <c r="AH57" s="1289"/>
      <c r="AI57" s="1289"/>
      <c r="AJ57" s="1286"/>
      <c r="AK57" s="1291"/>
      <c r="AL57" s="1286"/>
      <c r="AM57" s="1289"/>
      <c r="AN57" s="1289"/>
      <c r="AO57" s="1286"/>
      <c r="AP57" s="1291"/>
      <c r="AQ57" s="1286"/>
      <c r="AR57" s="1292"/>
      <c r="AS57" s="1292"/>
      <c r="AT57" s="1292"/>
      <c r="AU57" s="1291"/>
      <c r="AV57" s="1286"/>
      <c r="AW57" s="1286"/>
      <c r="AX57" s="1286"/>
      <c r="AY57" s="1292"/>
      <c r="AZ57" s="1352"/>
      <c r="BA57" s="1286"/>
      <c r="BB57" s="1286"/>
      <c r="BC57" s="1286"/>
      <c r="BD57" s="1286"/>
      <c r="BE57" s="1352"/>
      <c r="BF57" s="1286"/>
      <c r="BG57" s="1286"/>
      <c r="BH57" s="1286"/>
      <c r="BI57" s="1286"/>
      <c r="BJ57" s="1352"/>
      <c r="BK57" s="1293"/>
      <c r="BL57" s="1293"/>
      <c r="BM57" s="1293"/>
      <c r="BN57" s="1293"/>
      <c r="BO57" s="1294"/>
      <c r="BP57" s="1293"/>
      <c r="BQ57" s="1293"/>
      <c r="BR57" s="1293"/>
      <c r="BS57" s="1293"/>
      <c r="BT57" s="1294"/>
      <c r="BU57" s="1293"/>
      <c r="BV57" s="1293"/>
      <c r="BW57" s="1293"/>
      <c r="BX57" s="1293"/>
      <c r="BY57" s="1294"/>
      <c r="BZ57" s="1293"/>
      <c r="CA57" s="1293"/>
      <c r="CB57" s="1293"/>
      <c r="CC57" s="1293"/>
      <c r="CD57" s="1294"/>
      <c r="CE57" s="1293"/>
      <c r="CF57" s="1293"/>
      <c r="CG57" s="1293"/>
      <c r="CH57" s="1293"/>
      <c r="CI57" s="1294"/>
      <c r="CJ57" s="1293"/>
      <c r="CK57" s="1293"/>
      <c r="CL57" s="1293"/>
      <c r="CM57" s="1293"/>
      <c r="CN57" s="1294">
        <f>CN54/CN$62</f>
        <v>0.29347848476543803</v>
      </c>
      <c r="CO57" s="1293"/>
      <c r="CP57" s="1293"/>
      <c r="CQ57" s="1293"/>
      <c r="CR57" s="1293"/>
      <c r="CS57" s="1294">
        <f>CS54/CS$62</f>
        <v>0.26959847371528972</v>
      </c>
      <c r="CT57" s="1293"/>
      <c r="CU57" s="1293"/>
      <c r="CV57" s="1293"/>
      <c r="CW57" s="1293"/>
      <c r="CX57" s="1294">
        <f>CX54/CX$62</f>
        <v>0.24362797735402686</v>
      </c>
      <c r="CY57" s="1296"/>
      <c r="CZ57" s="1296"/>
      <c r="DA57" s="1291"/>
      <c r="DB57" s="1291"/>
      <c r="DC57" s="1291"/>
      <c r="DD57" s="1291"/>
      <c r="DE57" s="1291"/>
      <c r="DF57" s="1291"/>
      <c r="DG57" s="1291"/>
      <c r="DH57" s="1392"/>
      <c r="DI57" s="1387"/>
      <c r="DJ57" s="1392"/>
      <c r="DK57" s="1407"/>
      <c r="DL57" s="1413"/>
      <c r="DM57" s="1412"/>
      <c r="DN57" s="1412"/>
      <c r="DO57" s="1412"/>
      <c r="DP57" s="1412"/>
      <c r="DQ57" s="1412"/>
      <c r="DR57" s="3074"/>
      <c r="DS57" s="264"/>
      <c r="DT57" s="264"/>
      <c r="DU57" s="264"/>
      <c r="DV57" s="264"/>
      <c r="DW57" s="264"/>
      <c r="DX57" s="264"/>
      <c r="DY57" s="264"/>
      <c r="DZ57" s="264"/>
      <c r="EA57" s="264"/>
      <c r="EB57" s="264"/>
      <c r="EC57" s="264"/>
      <c r="ED57" s="264"/>
      <c r="EE57" s="264"/>
      <c r="EF57" s="264"/>
      <c r="EG57" s="264"/>
      <c r="EH57" s="264"/>
      <c r="EI57" s="264"/>
      <c r="EJ57" s="264"/>
      <c r="EK57" s="264"/>
      <c r="EL57" s="264"/>
      <c r="EM57" s="264"/>
      <c r="EN57" s="264"/>
      <c r="EO57" s="264"/>
      <c r="EP57" s="264"/>
      <c r="EQ57" s="264"/>
      <c r="ER57" s="264"/>
    </row>
    <row r="58" spans="1:148" s="934" customFormat="1" ht="12">
      <c r="A58" s="1284" t="s">
        <v>1090</v>
      </c>
      <c r="B58" s="1285"/>
      <c r="C58" s="1286"/>
      <c r="D58" s="1286"/>
      <c r="E58" s="1286"/>
      <c r="F58" s="1286"/>
      <c r="G58" s="1285"/>
      <c r="H58" s="1286"/>
      <c r="I58" s="1286"/>
      <c r="J58" s="1286"/>
      <c r="K58" s="1286"/>
      <c r="L58" s="1285"/>
      <c r="M58" s="1286"/>
      <c r="N58" s="1286"/>
      <c r="O58" s="1286"/>
      <c r="P58" s="1287"/>
      <c r="Q58" s="1288"/>
      <c r="R58" s="1286"/>
      <c r="S58" s="1289"/>
      <c r="T58" s="1286"/>
      <c r="U58" s="1286"/>
      <c r="V58" s="1290"/>
      <c r="W58" s="1286"/>
      <c r="X58" s="1289"/>
      <c r="Y58" s="1289"/>
      <c r="Z58" s="1286"/>
      <c r="AA58" s="1290"/>
      <c r="AB58" s="1286"/>
      <c r="AC58" s="1289"/>
      <c r="AD58" s="1289"/>
      <c r="AE58" s="1286"/>
      <c r="AF58" s="1291"/>
      <c r="AG58" s="1286"/>
      <c r="AH58" s="1289"/>
      <c r="AI58" s="1289"/>
      <c r="AJ58" s="1286"/>
      <c r="AK58" s="1291"/>
      <c r="AL58" s="1286"/>
      <c r="AM58" s="1289"/>
      <c r="AN58" s="1289"/>
      <c r="AO58" s="1286"/>
      <c r="AP58" s="1291"/>
      <c r="AQ58" s="1286"/>
      <c r="AR58" s="1292"/>
      <c r="AS58" s="1292"/>
      <c r="AT58" s="1292"/>
      <c r="AU58" s="1291"/>
      <c r="AV58" s="1286"/>
      <c r="AW58" s="1286"/>
      <c r="AX58" s="1286"/>
      <c r="AY58" s="1292"/>
      <c r="AZ58" s="1352"/>
      <c r="BA58" s="1286"/>
      <c r="BB58" s="1286"/>
      <c r="BC58" s="1286"/>
      <c r="BD58" s="1286"/>
      <c r="BE58" s="1352"/>
      <c r="BF58" s="1286"/>
      <c r="BG58" s="1286"/>
      <c r="BH58" s="1286"/>
      <c r="BI58" s="1286"/>
      <c r="BJ58" s="1352"/>
      <c r="BK58" s="1577">
        <f t="shared" ref="BK58:BN59" si="103">BK61-BK43-BK48-BK53</f>
        <v>-107.00000000000045</v>
      </c>
      <c r="BL58" s="1577">
        <f t="shared" si="103"/>
        <v>-15</v>
      </c>
      <c r="BM58" s="1577">
        <f t="shared" si="103"/>
        <v>-103</v>
      </c>
      <c r="BN58" s="1577">
        <f t="shared" si="103"/>
        <v>-53.000000000000909</v>
      </c>
      <c r="BO58" s="1294"/>
      <c r="BP58" s="1577">
        <f t="shared" ref="BP58:BS59" si="104">BP61-BP43-BP48-BP53</f>
        <v>0</v>
      </c>
      <c r="BQ58" s="1577">
        <f t="shared" si="104"/>
        <v>78.000000000001819</v>
      </c>
      <c r="BR58" s="1577">
        <f t="shared" si="104"/>
        <v>60</v>
      </c>
      <c r="BS58" s="1577">
        <f t="shared" si="104"/>
        <v>17.000000000000909</v>
      </c>
      <c r="BT58" s="1294"/>
      <c r="BU58" s="1577">
        <f t="shared" ref="BU58:BX59" si="105">BU61-BU43-BU48-BU53</f>
        <v>4.7154000000009546</v>
      </c>
      <c r="BV58" s="1577">
        <f>BV61-BV43-BV48-BV53</f>
        <v>5.1399999999994179</v>
      </c>
      <c r="BW58" s="1577">
        <f t="shared" si="105"/>
        <v>5.5294999999996435</v>
      </c>
      <c r="BX58" s="1577">
        <f t="shared" si="105"/>
        <v>6.4120999999986452</v>
      </c>
      <c r="BY58" s="1294"/>
      <c r="BZ58" s="1577">
        <f t="shared" ref="BZ58:BZ59" si="106">BZ61-BZ43-BZ48-BZ53</f>
        <v>8.2989999999999782</v>
      </c>
      <c r="CA58" s="1577">
        <f>CA61-CA43-CA48-CA53</f>
        <v>9.2484999999987849</v>
      </c>
      <c r="CB58" s="1577">
        <f t="shared" ref="CB58:CC59" si="107">CB61-CB43-CB48-CB53</f>
        <v>10.59440000000086</v>
      </c>
      <c r="CC58" s="1577">
        <f t="shared" si="107"/>
        <v>11.821999999999207</v>
      </c>
      <c r="CD58" s="1294"/>
      <c r="CE58" s="1577">
        <f t="shared" ref="CE58:CE59" si="108">CE61-CE43-CE48-CE53</f>
        <v>22.054799999998068</v>
      </c>
      <c r="CF58" s="1577">
        <f>CF61-CF43-CF48-CF53</f>
        <v>56.671061999996709</v>
      </c>
      <c r="CG58" s="1577">
        <f t="shared" ref="CG58" si="109">CG61-CG43-CG48-CG53</f>
        <v>25.261885789173903</v>
      </c>
      <c r="CH58" s="1577">
        <f t="shared" ref="CG58:CH59" si="110">CH61-CH43-CH48-CH53</f>
        <v>0</v>
      </c>
      <c r="CI58" s="1294"/>
      <c r="CJ58" s="1577">
        <f t="shared" ref="CJ58:CM59" si="111">CJ61-CJ43-CJ48-CJ53</f>
        <v>0</v>
      </c>
      <c r="CK58" s="1577">
        <f t="shared" si="111"/>
        <v>0</v>
      </c>
      <c r="CL58" s="1577">
        <f t="shared" si="111"/>
        <v>0</v>
      </c>
      <c r="CM58" s="1577">
        <f t="shared" si="111"/>
        <v>0</v>
      </c>
      <c r="CN58" s="1294"/>
      <c r="CO58" s="1577">
        <f t="shared" ref="CO58:CR58" si="112">CO61-CO43-CO48-CO53</f>
        <v>0</v>
      </c>
      <c r="CP58" s="1577">
        <f t="shared" si="112"/>
        <v>0</v>
      </c>
      <c r="CQ58" s="1577">
        <f t="shared" si="112"/>
        <v>0</v>
      </c>
      <c r="CR58" s="1577">
        <f t="shared" si="112"/>
        <v>0</v>
      </c>
      <c r="CS58" s="1294"/>
      <c r="CT58" s="1577">
        <f t="shared" ref="CT58:CW58" si="113">CT61-CT43-CT48-CT53</f>
        <v>0</v>
      </c>
      <c r="CU58" s="1577">
        <f t="shared" si="113"/>
        <v>0</v>
      </c>
      <c r="CV58" s="1577">
        <f t="shared" si="113"/>
        <v>0</v>
      </c>
      <c r="CW58" s="1577">
        <f t="shared" si="113"/>
        <v>0</v>
      </c>
      <c r="CX58" s="1294"/>
      <c r="CY58" s="1296"/>
      <c r="CZ58" s="1296"/>
      <c r="DA58" s="1291"/>
      <c r="DB58" s="1291"/>
      <c r="DC58" s="1291"/>
      <c r="DD58" s="1291"/>
      <c r="DE58" s="1291"/>
      <c r="DF58" s="1291"/>
      <c r="DG58" s="1291"/>
      <c r="DH58" s="1392"/>
      <c r="DI58" s="1387"/>
      <c r="DJ58" s="1392"/>
      <c r="DK58" s="1407"/>
      <c r="DL58" s="1413"/>
      <c r="DM58" s="1412"/>
      <c r="DN58" s="1412"/>
      <c r="DO58" s="1412"/>
      <c r="DP58" s="1412"/>
      <c r="DQ58" s="1412"/>
      <c r="DR58" s="3074"/>
      <c r="DS58" s="264"/>
      <c r="DT58" s="264"/>
      <c r="DU58" s="264"/>
      <c r="DV58" s="264"/>
      <c r="DW58" s="264"/>
      <c r="DX58" s="264"/>
      <c r="DY58" s="264"/>
      <c r="DZ58" s="264"/>
      <c r="EA58" s="264"/>
      <c r="EB58" s="264"/>
      <c r="EC58" s="264"/>
      <c r="ED58" s="264"/>
      <c r="EE58" s="264"/>
      <c r="EF58" s="264"/>
      <c r="EG58" s="264"/>
      <c r="EH58" s="264"/>
      <c r="EI58" s="264"/>
      <c r="EJ58" s="264"/>
      <c r="EK58" s="264"/>
      <c r="EL58" s="264"/>
      <c r="EM58" s="264"/>
      <c r="EN58" s="264"/>
      <c r="EO58" s="264"/>
      <c r="EP58" s="264"/>
      <c r="EQ58" s="264"/>
      <c r="ER58" s="264"/>
    </row>
    <row r="59" spans="1:148" s="934" customFormat="1" ht="12">
      <c r="A59" s="1284" t="s">
        <v>1091</v>
      </c>
      <c r="B59" s="1285"/>
      <c r="C59" s="1286"/>
      <c r="D59" s="1286"/>
      <c r="E59" s="1286"/>
      <c r="F59" s="1286"/>
      <c r="G59" s="1285"/>
      <c r="H59" s="1286"/>
      <c r="I59" s="1286"/>
      <c r="J59" s="1286"/>
      <c r="K59" s="1286"/>
      <c r="L59" s="1285"/>
      <c r="M59" s="1286"/>
      <c r="N59" s="1286"/>
      <c r="O59" s="1286"/>
      <c r="P59" s="1287"/>
      <c r="Q59" s="1288"/>
      <c r="R59" s="1286"/>
      <c r="S59" s="1289"/>
      <c r="T59" s="1286"/>
      <c r="U59" s="1286"/>
      <c r="V59" s="1290"/>
      <c r="W59" s="1286"/>
      <c r="X59" s="1289"/>
      <c r="Y59" s="1289"/>
      <c r="Z59" s="1286"/>
      <c r="AA59" s="1290"/>
      <c r="AB59" s="1286"/>
      <c r="AC59" s="1289"/>
      <c r="AD59" s="1289"/>
      <c r="AE59" s="1286"/>
      <c r="AF59" s="1291"/>
      <c r="AG59" s="1286"/>
      <c r="AH59" s="1289"/>
      <c r="AI59" s="1289"/>
      <c r="AJ59" s="1286"/>
      <c r="AK59" s="1291"/>
      <c r="AL59" s="1286"/>
      <c r="AM59" s="1289"/>
      <c r="AN59" s="1289"/>
      <c r="AO59" s="1286"/>
      <c r="AP59" s="1291"/>
      <c r="AQ59" s="1286"/>
      <c r="AR59" s="1292"/>
      <c r="AS59" s="1292"/>
      <c r="AT59" s="1292"/>
      <c r="AU59" s="1291"/>
      <c r="AV59" s="1286"/>
      <c r="AW59" s="1286"/>
      <c r="AX59" s="1286"/>
      <c r="AY59" s="1292"/>
      <c r="AZ59" s="1352"/>
      <c r="BA59" s="1286"/>
      <c r="BB59" s="1286"/>
      <c r="BC59" s="1286"/>
      <c r="BD59" s="1286"/>
      <c r="BE59" s="1352"/>
      <c r="BF59" s="1286"/>
      <c r="BG59" s="1286"/>
      <c r="BH59" s="1286"/>
      <c r="BI59" s="1286"/>
      <c r="BJ59" s="1352"/>
      <c r="BK59" s="1577">
        <f t="shared" si="103"/>
        <v>0</v>
      </c>
      <c r="BL59" s="1577">
        <f t="shared" si="103"/>
        <v>0</v>
      </c>
      <c r="BM59" s="1577">
        <f t="shared" si="103"/>
        <v>0</v>
      </c>
      <c r="BN59" s="1577">
        <f t="shared" si="103"/>
        <v>0</v>
      </c>
      <c r="BO59" s="1294"/>
      <c r="BP59" s="1577">
        <f t="shared" si="104"/>
        <v>0</v>
      </c>
      <c r="BQ59" s="1577">
        <f t="shared" si="104"/>
        <v>0</v>
      </c>
      <c r="BR59" s="1577">
        <f t="shared" si="104"/>
        <v>0</v>
      </c>
      <c r="BS59" s="1577">
        <f t="shared" si="104"/>
        <v>0</v>
      </c>
      <c r="BT59" s="1294"/>
      <c r="BU59" s="1577">
        <f t="shared" si="105"/>
        <v>-4.7154000000009546</v>
      </c>
      <c r="BV59" s="1577">
        <f>BV62-BV44-BV49-BV54</f>
        <v>-5.1399999999994179</v>
      </c>
      <c r="BW59" s="1577">
        <f t="shared" si="105"/>
        <v>-5.529499999998734</v>
      </c>
      <c r="BX59" s="1577">
        <f t="shared" si="105"/>
        <v>-6.4120999999986452</v>
      </c>
      <c r="BY59" s="1294"/>
      <c r="BZ59" s="1577">
        <f t="shared" si="106"/>
        <v>-8.2990000000008877</v>
      </c>
      <c r="CA59" s="1577">
        <f>CA62-CA44-CA49-CA54</f>
        <v>-9.2484999999987849</v>
      </c>
      <c r="CB59" s="1577">
        <f t="shared" si="107"/>
        <v>-10.594399999999951</v>
      </c>
      <c r="CC59" s="1577">
        <f t="shared" si="107"/>
        <v>-11.821999999998297</v>
      </c>
      <c r="CD59" s="1294"/>
      <c r="CE59" s="1577">
        <f t="shared" si="108"/>
        <v>-22.054799999997158</v>
      </c>
      <c r="CF59" s="1577">
        <f>CF62-CF44-CF49-CF54</f>
        <v>-56.671061999996709</v>
      </c>
      <c r="CG59" s="1577">
        <f t="shared" ref="CG59" si="114">CG62-CG44-CG49-CG54</f>
        <v>-25.261885789173903</v>
      </c>
      <c r="CH59" s="1577">
        <f t="shared" si="110"/>
        <v>0</v>
      </c>
      <c r="CI59" s="1294"/>
      <c r="CJ59" s="1577">
        <f t="shared" si="111"/>
        <v>0</v>
      </c>
      <c r="CK59" s="1577">
        <f t="shared" si="111"/>
        <v>0</v>
      </c>
      <c r="CL59" s="1577">
        <f t="shared" si="111"/>
        <v>0</v>
      </c>
      <c r="CM59" s="1577">
        <f t="shared" si="111"/>
        <v>0</v>
      </c>
      <c r="CN59" s="1294"/>
      <c r="CO59" s="1577">
        <f t="shared" ref="CO59:CR59" si="115">CO62-CO44-CO49-CO54</f>
        <v>0</v>
      </c>
      <c r="CP59" s="1577">
        <f t="shared" si="115"/>
        <v>0</v>
      </c>
      <c r="CQ59" s="1577">
        <f t="shared" si="115"/>
        <v>0</v>
      </c>
      <c r="CR59" s="1577">
        <f t="shared" si="115"/>
        <v>0</v>
      </c>
      <c r="CS59" s="1294"/>
      <c r="CT59" s="1577">
        <f t="shared" ref="CT59:CW59" si="116">CT62-CT44-CT49-CT54</f>
        <v>0</v>
      </c>
      <c r="CU59" s="1577">
        <f t="shared" si="116"/>
        <v>0</v>
      </c>
      <c r="CV59" s="1577">
        <f t="shared" si="116"/>
        <v>0</v>
      </c>
      <c r="CW59" s="1577">
        <f t="shared" si="116"/>
        <v>0</v>
      </c>
      <c r="CX59" s="1294"/>
      <c r="CY59" s="1296"/>
      <c r="CZ59" s="1296"/>
      <c r="DA59" s="1291"/>
      <c r="DB59" s="1291"/>
      <c r="DC59" s="1291"/>
      <c r="DD59" s="1291"/>
      <c r="DE59" s="1291"/>
      <c r="DF59" s="1291"/>
      <c r="DG59" s="1291"/>
      <c r="DH59" s="1392"/>
      <c r="DI59" s="1387"/>
      <c r="DJ59" s="1392"/>
      <c r="DK59" s="1407"/>
      <c r="DL59" s="1413"/>
      <c r="DM59" s="1412"/>
      <c r="DN59" s="1412"/>
      <c r="DO59" s="1412"/>
      <c r="DP59" s="1412"/>
      <c r="DQ59" s="1412"/>
      <c r="DR59" s="3074"/>
      <c r="DS59" s="264"/>
      <c r="DT59" s="264"/>
      <c r="DU59" s="264"/>
      <c r="DV59" s="264"/>
      <c r="DW59" s="264"/>
      <c r="DX59" s="264"/>
      <c r="DY59" s="264"/>
      <c r="DZ59" s="264"/>
      <c r="EA59" s="264"/>
      <c r="EB59" s="264"/>
      <c r="EC59" s="264"/>
      <c r="ED59" s="264"/>
      <c r="EE59" s="264"/>
      <c r="EF59" s="264"/>
      <c r="EG59" s="264"/>
      <c r="EH59" s="264"/>
      <c r="EI59" s="264"/>
      <c r="EJ59" s="264"/>
      <c r="EK59" s="264"/>
      <c r="EL59" s="264"/>
      <c r="EM59" s="264"/>
      <c r="EN59" s="264"/>
      <c r="EO59" s="264"/>
      <c r="EP59" s="264"/>
      <c r="EQ59" s="264"/>
      <c r="ER59" s="264"/>
    </row>
    <row r="60" spans="1:148" s="934" customFormat="1" ht="12">
      <c r="A60" s="1284"/>
      <c r="B60" s="1285"/>
      <c r="C60" s="1286"/>
      <c r="D60" s="1286"/>
      <c r="E60" s="1286"/>
      <c r="F60" s="1286"/>
      <c r="G60" s="1285"/>
      <c r="H60" s="1286"/>
      <c r="I60" s="1286"/>
      <c r="J60" s="1286"/>
      <c r="K60" s="1286"/>
      <c r="L60" s="1285"/>
      <c r="M60" s="1286"/>
      <c r="N60" s="1286"/>
      <c r="O60" s="1286"/>
      <c r="P60" s="1287"/>
      <c r="Q60" s="1288"/>
      <c r="R60" s="1286"/>
      <c r="S60" s="1289"/>
      <c r="T60" s="1286"/>
      <c r="U60" s="1286"/>
      <c r="V60" s="1290"/>
      <c r="W60" s="1286"/>
      <c r="X60" s="1289"/>
      <c r="Y60" s="1289"/>
      <c r="Z60" s="1286"/>
      <c r="AA60" s="1290"/>
      <c r="AB60" s="1286"/>
      <c r="AC60" s="1289"/>
      <c r="AD60" s="1289"/>
      <c r="AE60" s="1286"/>
      <c r="AF60" s="1291"/>
      <c r="AG60" s="1286"/>
      <c r="AH60" s="1289"/>
      <c r="AI60" s="1289"/>
      <c r="AJ60" s="1286"/>
      <c r="AK60" s="1291"/>
      <c r="AL60" s="1286"/>
      <c r="AM60" s="1289"/>
      <c r="AN60" s="1289"/>
      <c r="AO60" s="1286"/>
      <c r="AP60" s="1291"/>
      <c r="AQ60" s="1286"/>
      <c r="AR60" s="1292"/>
      <c r="AS60" s="1292"/>
      <c r="AT60" s="1292"/>
      <c r="AU60" s="1291"/>
      <c r="AV60" s="1286"/>
      <c r="AW60" s="1286"/>
      <c r="AX60" s="1286"/>
      <c r="AY60" s="1292"/>
      <c r="AZ60" s="1352"/>
      <c r="BA60" s="1286"/>
      <c r="BB60" s="1286"/>
      <c r="BC60" s="1286"/>
      <c r="BD60" s="1286"/>
      <c r="BE60" s="1352"/>
      <c r="BF60" s="1286"/>
      <c r="BG60" s="1286"/>
      <c r="BH60" s="1286"/>
      <c r="BI60" s="1286"/>
      <c r="BJ60" s="1352"/>
      <c r="BK60" s="1293"/>
      <c r="BL60" s="1293"/>
      <c r="BM60" s="1293"/>
      <c r="BN60" s="1293"/>
      <c r="BO60" s="1294"/>
      <c r="BP60" s="1293"/>
      <c r="BQ60" s="1293"/>
      <c r="BR60" s="1293"/>
      <c r="BS60" s="1293"/>
      <c r="BT60" s="1294"/>
      <c r="BU60" s="1293"/>
      <c r="BV60" s="1293"/>
      <c r="BW60" s="1295"/>
      <c r="BX60" s="1295"/>
      <c r="BY60" s="1377"/>
      <c r="BZ60" s="1293"/>
      <c r="CA60" s="1293"/>
      <c r="CB60" s="1295"/>
      <c r="CC60" s="1295"/>
      <c r="CD60" s="1377"/>
      <c r="CE60" s="1293"/>
      <c r="CF60" s="1293"/>
      <c r="CG60" s="1295"/>
      <c r="CH60" s="1295"/>
      <c r="CI60" s="1377"/>
      <c r="CJ60" s="1295"/>
      <c r="CK60" s="1295"/>
      <c r="CL60" s="1295"/>
      <c r="CM60" s="1295"/>
      <c r="CN60" s="1377"/>
      <c r="CO60" s="1295"/>
      <c r="CP60" s="1295"/>
      <c r="CQ60" s="1295"/>
      <c r="CR60" s="1295"/>
      <c r="CS60" s="1377"/>
      <c r="CT60" s="1295"/>
      <c r="CU60" s="1295"/>
      <c r="CV60" s="1295"/>
      <c r="CW60" s="1295"/>
      <c r="CX60" s="1377"/>
      <c r="CY60" s="1296"/>
      <c r="CZ60" s="1296"/>
      <c r="DA60" s="1291"/>
      <c r="DB60" s="1291"/>
      <c r="DC60" s="1291"/>
      <c r="DD60" s="1291"/>
      <c r="DE60" s="1291"/>
      <c r="DF60" s="1291"/>
      <c r="DG60" s="1291"/>
      <c r="DH60" s="1392"/>
      <c r="DI60" s="1387"/>
      <c r="DJ60" s="1392"/>
      <c r="DK60" s="1407"/>
      <c r="DL60" s="1407"/>
      <c r="DM60" s="1403"/>
      <c r="DN60" s="1403"/>
      <c r="DO60" s="1403"/>
      <c r="DP60" s="1403"/>
      <c r="DQ60" s="1403"/>
      <c r="DR60" s="3075"/>
      <c r="DS60" s="264"/>
      <c r="DT60" s="264"/>
      <c r="DU60" s="264"/>
      <c r="DV60" s="264"/>
      <c r="DW60" s="264"/>
      <c r="DX60" s="264"/>
      <c r="DY60" s="264"/>
      <c r="DZ60" s="264"/>
      <c r="EA60" s="264"/>
      <c r="EB60" s="264"/>
      <c r="EC60" s="264"/>
      <c r="ED60" s="264"/>
      <c r="EE60" s="264"/>
      <c r="EF60" s="264"/>
      <c r="EG60" s="264"/>
      <c r="EH60" s="264"/>
      <c r="EI60" s="264"/>
      <c r="EJ60" s="264"/>
      <c r="EK60" s="264"/>
      <c r="EL60" s="264"/>
      <c r="EM60" s="264"/>
      <c r="EN60" s="264"/>
      <c r="EO60" s="264"/>
      <c r="EP60" s="264"/>
      <c r="EQ60" s="264"/>
      <c r="ER60" s="264"/>
    </row>
    <row r="61" spans="1:148" s="934" customFormat="1" ht="12">
      <c r="A61" s="1326" t="s">
        <v>1081</v>
      </c>
      <c r="B61" s="1327"/>
      <c r="C61" s="1327"/>
      <c r="D61" s="1327"/>
      <c r="E61" s="1327"/>
      <c r="F61" s="1327"/>
      <c r="G61" s="1327"/>
      <c r="H61" s="1327"/>
      <c r="I61" s="1327"/>
      <c r="J61" s="1327"/>
      <c r="K61" s="1327"/>
      <c r="L61" s="1327"/>
      <c r="M61" s="1327"/>
      <c r="N61" s="1327"/>
      <c r="O61" s="1327"/>
      <c r="P61" s="1327"/>
      <c r="Q61" s="1327"/>
      <c r="R61" s="1327"/>
      <c r="S61" s="1327"/>
      <c r="T61" s="1327"/>
      <c r="U61" s="1327"/>
      <c r="V61" s="1327"/>
      <c r="W61" s="1327"/>
      <c r="X61" s="1327"/>
      <c r="Y61" s="1327"/>
      <c r="Z61" s="1327"/>
      <c r="AA61" s="1327"/>
      <c r="AB61" s="1327"/>
      <c r="AC61" s="1327"/>
      <c r="AD61" s="1327"/>
      <c r="AE61" s="1327"/>
      <c r="AF61" s="1327"/>
      <c r="AG61" s="1327"/>
      <c r="AH61" s="1327"/>
      <c r="AI61" s="1327"/>
      <c r="AJ61" s="1327"/>
      <c r="AK61" s="1327"/>
      <c r="AL61" s="1327"/>
      <c r="AM61" s="1327"/>
      <c r="AN61" s="1327"/>
      <c r="AO61" s="1327"/>
      <c r="AP61" s="1327"/>
      <c r="AQ61" s="1327"/>
      <c r="AR61" s="1327"/>
      <c r="AS61" s="1327"/>
      <c r="AT61" s="1327"/>
      <c r="AU61" s="1328"/>
      <c r="AV61" s="1327"/>
      <c r="AW61" s="1327"/>
      <c r="AX61" s="1327"/>
      <c r="AY61" s="1327"/>
      <c r="AZ61" s="1328"/>
      <c r="BA61" s="1329"/>
      <c r="BB61" s="1329"/>
      <c r="BC61" s="1329"/>
      <c r="BD61" s="1329"/>
      <c r="BE61" s="1328"/>
      <c r="BF61" s="1329"/>
      <c r="BG61" s="1329"/>
      <c r="BH61" s="1329"/>
      <c r="BI61" s="1329"/>
      <c r="BJ61" s="1328"/>
      <c r="BK61" s="1330">
        <f>BK32-BK62</f>
        <v>5114</v>
      </c>
      <c r="BL61" s="1330">
        <f>BL32-BL62</f>
        <v>8284</v>
      </c>
      <c r="BM61" s="1330">
        <f>BM32-BM62</f>
        <v>5941</v>
      </c>
      <c r="BN61" s="1329">
        <f>BN32-BN62</f>
        <v>7595</v>
      </c>
      <c r="BO61" s="1328">
        <f>SUM(BK61:BN61)</f>
        <v>26934</v>
      </c>
      <c r="BP61" s="1330">
        <f>BP32-BP62</f>
        <v>8273</v>
      </c>
      <c r="BQ61" s="1330">
        <f>BQ32-BQ62</f>
        <v>10136</v>
      </c>
      <c r="BR61" s="1330">
        <f>BR32-BR62</f>
        <v>7161</v>
      </c>
      <c r="BS61" s="1329">
        <f>BS32-BS62</f>
        <v>7468</v>
      </c>
      <c r="BT61" s="1328">
        <f>SUM(BP61:BS61)</f>
        <v>33038</v>
      </c>
      <c r="BU61" s="1330">
        <f>BU32-BU62</f>
        <v>7207</v>
      </c>
      <c r="BV61" s="1330">
        <f>BV32-BV62</f>
        <v>9872</v>
      </c>
      <c r="BW61" s="1330">
        <f>BW32-BW62</f>
        <v>7722</v>
      </c>
      <c r="BX61" s="1329">
        <f>BX32-BX62</f>
        <v>7979</v>
      </c>
      <c r="BY61" s="1328">
        <f>SUM(BU61:BX61)</f>
        <v>32780</v>
      </c>
      <c r="BZ61" s="1330">
        <f>BZ32-BZ62</f>
        <v>7844</v>
      </c>
      <c r="CA61" s="1330">
        <f>CA32-CA62</f>
        <v>9901</v>
      </c>
      <c r="CB61" s="1330">
        <f>CB32-CB62</f>
        <v>8060</v>
      </c>
      <c r="CC61" s="1329">
        <f>CC32-CC62</f>
        <v>8456</v>
      </c>
      <c r="CD61" s="1328">
        <f>SUM(BZ61:CC61)</f>
        <v>34261</v>
      </c>
      <c r="CE61" s="1330">
        <f>CE32-CE62</f>
        <v>8278</v>
      </c>
      <c r="CF61" s="1330">
        <f>CF32-CF62</f>
        <v>11064</v>
      </c>
      <c r="CG61" s="1330">
        <f>CG32-CG62</f>
        <v>9269</v>
      </c>
      <c r="CH61" s="1329">
        <f t="shared" ref="CG61:CH62" si="117">CH43+CH48+CH53</f>
        <v>9705.2196290722386</v>
      </c>
      <c r="CI61" s="1328">
        <f>SUM(CE61:CH61)</f>
        <v>38316.219629072235</v>
      </c>
      <c r="CJ61" s="1330">
        <f t="shared" ref="CJ61:CM62" si="118">CJ43+CJ48+CJ53</f>
        <v>9347.5632730376165</v>
      </c>
      <c r="CK61" s="1330">
        <f t="shared" si="118"/>
        <v>12088.521772222211</v>
      </c>
      <c r="CL61" s="1330">
        <f t="shared" si="118"/>
        <v>10089.026229958272</v>
      </c>
      <c r="CM61" s="1329">
        <f t="shared" si="118"/>
        <v>10715.558928092581</v>
      </c>
      <c r="CN61" s="1328">
        <f>SUM(CJ61:CM61)</f>
        <v>42240.670203310685</v>
      </c>
      <c r="CO61" s="1330">
        <f t="shared" ref="CO61:CR61" si="119">CO43+CO48+CO53</f>
        <v>10281.971386274472</v>
      </c>
      <c r="CP61" s="1330">
        <f t="shared" si="119"/>
        <v>12963.045376540031</v>
      </c>
      <c r="CQ61" s="1330">
        <f t="shared" si="119"/>
        <v>11122.01126450855</v>
      </c>
      <c r="CR61" s="1329">
        <f t="shared" si="119"/>
        <v>11895.275928781259</v>
      </c>
      <c r="CS61" s="1328">
        <f>SUM(CO61:CR61)</f>
        <v>46262.303956104312</v>
      </c>
      <c r="CT61" s="1330">
        <f t="shared" ref="CT61:CW61" si="120">CT43+CT48+CT53</f>
        <v>11358.378132690608</v>
      </c>
      <c r="CU61" s="1330">
        <f t="shared" si="120"/>
        <v>13911.284445880614</v>
      </c>
      <c r="CV61" s="1330">
        <f t="shared" si="120"/>
        <v>12147.911505573204</v>
      </c>
      <c r="CW61" s="1329">
        <f t="shared" si="120"/>
        <v>13037.850664177207</v>
      </c>
      <c r="CX61" s="1328">
        <f>SUM(CT61:CW61)</f>
        <v>50455.424748321631</v>
      </c>
      <c r="CY61" s="1327"/>
      <c r="CZ61" s="1327"/>
      <c r="DA61" s="1328"/>
      <c r="DB61" s="1328"/>
      <c r="DC61" s="1328"/>
      <c r="DD61" s="1328"/>
      <c r="DE61" s="1328"/>
      <c r="DF61" s="1328"/>
      <c r="DG61" s="1383"/>
      <c r="DH61" s="1383"/>
      <c r="DI61" s="1328"/>
      <c r="DJ61" s="1383"/>
      <c r="DK61" s="1383"/>
      <c r="DL61" s="1383"/>
      <c r="DM61" s="1328"/>
      <c r="DN61" s="1328"/>
      <c r="DO61" s="1328"/>
      <c r="DP61" s="1328"/>
      <c r="DQ61" s="1328"/>
      <c r="DR61" s="3057"/>
      <c r="DS61" s="264"/>
      <c r="DT61" s="264"/>
      <c r="DU61" s="264"/>
      <c r="DV61" s="264"/>
      <c r="DW61" s="264"/>
      <c r="DX61" s="264"/>
      <c r="DY61" s="264"/>
      <c r="DZ61" s="264"/>
      <c r="EA61" s="264"/>
      <c r="EB61" s="264"/>
      <c r="EC61" s="264"/>
      <c r="ED61" s="264"/>
      <c r="EE61" s="264"/>
      <c r="EF61" s="264"/>
      <c r="EG61" s="264"/>
      <c r="EH61" s="264"/>
      <c r="EI61" s="264"/>
      <c r="EJ61" s="264"/>
      <c r="EK61" s="264"/>
      <c r="EL61" s="264"/>
      <c r="EM61" s="264"/>
      <c r="EN61" s="264"/>
      <c r="EO61" s="264"/>
      <c r="EP61" s="264"/>
      <c r="EQ61" s="264"/>
      <c r="ER61" s="264"/>
    </row>
    <row r="62" spans="1:148" s="934" customFormat="1" ht="12">
      <c r="A62" s="1331" t="s">
        <v>1082</v>
      </c>
      <c r="B62" s="1332"/>
      <c r="C62" s="1332"/>
      <c r="D62" s="1332"/>
      <c r="E62" s="1332"/>
      <c r="F62" s="1332"/>
      <c r="G62" s="1332"/>
      <c r="H62" s="1332"/>
      <c r="I62" s="1332"/>
      <c r="J62" s="1332"/>
      <c r="K62" s="1332"/>
      <c r="L62" s="1332"/>
      <c r="M62" s="1332"/>
      <c r="N62" s="1332"/>
      <c r="O62" s="1332"/>
      <c r="P62" s="1332"/>
      <c r="Q62" s="1332"/>
      <c r="R62" s="1332"/>
      <c r="S62" s="1332"/>
      <c r="T62" s="1332"/>
      <c r="U62" s="1332"/>
      <c r="V62" s="1332"/>
      <c r="W62" s="1332"/>
      <c r="X62" s="1332"/>
      <c r="Y62" s="1332"/>
      <c r="Z62" s="1332"/>
      <c r="AA62" s="1332"/>
      <c r="AB62" s="1332"/>
      <c r="AC62" s="1332"/>
      <c r="AD62" s="1332"/>
      <c r="AE62" s="1332"/>
      <c r="AF62" s="1332"/>
      <c r="AG62" s="1332"/>
      <c r="AH62" s="1332"/>
      <c r="AI62" s="1332"/>
      <c r="AJ62" s="1332"/>
      <c r="AK62" s="1332"/>
      <c r="AL62" s="1332"/>
      <c r="AM62" s="1332"/>
      <c r="AN62" s="1332"/>
      <c r="AO62" s="1332"/>
      <c r="AP62" s="1332"/>
      <c r="AQ62" s="1332"/>
      <c r="AR62" s="1332"/>
      <c r="AS62" s="1332"/>
      <c r="AT62" s="1332"/>
      <c r="AU62" s="1333"/>
      <c r="AV62" s="1332"/>
      <c r="AW62" s="1332"/>
      <c r="AX62" s="1332"/>
      <c r="AY62" s="1332"/>
      <c r="AZ62" s="1333"/>
      <c r="BA62" s="1334"/>
      <c r="BB62" s="1334"/>
      <c r="BC62" s="1334"/>
      <c r="BD62" s="1334"/>
      <c r="BE62" s="1333"/>
      <c r="BF62" s="1334"/>
      <c r="BG62" s="1334"/>
      <c r="BH62" s="1334"/>
      <c r="BI62" s="1334"/>
      <c r="BJ62" s="1333"/>
      <c r="BK62" s="1335">
        <f>IS!DY18</f>
        <v>13415</v>
      </c>
      <c r="BL62" s="1335">
        <f>IS!DZ18</f>
        <v>16235</v>
      </c>
      <c r="BM62" s="1335">
        <f>IS!EA18</f>
        <v>14462</v>
      </c>
      <c r="BN62" s="1334">
        <f>IS!EB18</f>
        <v>15787</v>
      </c>
      <c r="BO62" s="1333">
        <f>SUM(BK62:BN62)</f>
        <v>59899</v>
      </c>
      <c r="BP62" s="1335">
        <f>IS!ED18</f>
        <v>14928</v>
      </c>
      <c r="BQ62" s="1335">
        <f>IS!EE18</f>
        <v>16008</v>
      </c>
      <c r="BR62" s="1335">
        <f>IS!EF18</f>
        <v>14568</v>
      </c>
      <c r="BS62" s="1334">
        <f>IS!EG18</f>
        <v>14712</v>
      </c>
      <c r="BT62" s="1333">
        <f>SUM(BP62:BS62)</f>
        <v>60216</v>
      </c>
      <c r="BU62" s="1335">
        <f>IS!EI18</f>
        <v>13703</v>
      </c>
      <c r="BV62" s="1335">
        <f>IS!EJ18</f>
        <v>15381</v>
      </c>
      <c r="BW62" s="1335">
        <f>IS!EK18</f>
        <v>13795</v>
      </c>
      <c r="BX62" s="1334">
        <f>IS!EL18</f>
        <v>15495</v>
      </c>
      <c r="BY62" s="1333">
        <f>SUM(BU62:BX62)</f>
        <v>58374</v>
      </c>
      <c r="BZ62" s="1335">
        <f>IS!EN18</f>
        <v>14084</v>
      </c>
      <c r="CA62" s="1335">
        <f>IS!EO18</f>
        <v>15925</v>
      </c>
      <c r="CB62" s="1335">
        <f>IS!EP18</f>
        <v>15152</v>
      </c>
      <c r="CC62" s="1334">
        <f>IS!EQ18</f>
        <v>17149</v>
      </c>
      <c r="CD62" s="1333">
        <f>SUM(BZ62:CC62)</f>
        <v>62310</v>
      </c>
      <c r="CE62" s="1335">
        <f>IS!ES18</f>
        <v>16260</v>
      </c>
      <c r="CF62" s="1335">
        <f>IS!ET18</f>
        <v>17854</v>
      </c>
      <c r="CG62" s="1335">
        <f>IS!EU18</f>
        <v>17550</v>
      </c>
      <c r="CH62" s="1334">
        <f t="shared" si="117"/>
        <v>19490.326669867565</v>
      </c>
      <c r="CI62" s="1333">
        <f>SUM(CE62:CH62)</f>
        <v>71154.326669867558</v>
      </c>
      <c r="CJ62" s="1335">
        <f t="shared" si="118"/>
        <v>18387.609633704738</v>
      </c>
      <c r="CK62" s="1335">
        <f t="shared" si="118"/>
        <v>20111.395146665076</v>
      </c>
      <c r="CL62" s="1335">
        <f t="shared" si="118"/>
        <v>19868.000548996992</v>
      </c>
      <c r="CM62" s="1334">
        <f t="shared" si="118"/>
        <v>21926.559159860491</v>
      </c>
      <c r="CN62" s="1333">
        <f>SUM(CJ62:CM62)</f>
        <v>80293.564489227298</v>
      </c>
      <c r="CO62" s="1335">
        <f t="shared" ref="CO62:CR62" si="121">CO44+CO49+CO54</f>
        <v>20833.95508658457</v>
      </c>
      <c r="CP62" s="1335">
        <f t="shared" si="121"/>
        <v>22654.642321663792</v>
      </c>
      <c r="CQ62" s="1335">
        <f t="shared" si="121"/>
        <v>22845.362986778513</v>
      </c>
      <c r="CR62" s="1334">
        <f t="shared" si="121"/>
        <v>25118.799504579179</v>
      </c>
      <c r="CS62" s="1333">
        <f>SUM(CO62:CR62)</f>
        <v>91452.759899606041</v>
      </c>
      <c r="CT62" s="1335">
        <f t="shared" ref="CT62:CW62" si="122">CT44+CT49+CT54</f>
        <v>23472.891125447462</v>
      </c>
      <c r="CU62" s="1335">
        <f t="shared" si="122"/>
        <v>25204.734290953347</v>
      </c>
      <c r="CV62" s="1335">
        <f t="shared" si="122"/>
        <v>25810.950853242666</v>
      </c>
      <c r="CW62" s="1334">
        <f t="shared" si="122"/>
        <v>28257.8328530238</v>
      </c>
      <c r="CX62" s="1333">
        <f>SUM(CT62:CW62)</f>
        <v>102746.40912266728</v>
      </c>
      <c r="CY62" s="1332"/>
      <c r="CZ62" s="1332"/>
      <c r="DA62" s="1333"/>
      <c r="DB62" s="1333"/>
      <c r="DC62" s="1333"/>
      <c r="DD62" s="1333"/>
      <c r="DE62" s="1333"/>
      <c r="DF62" s="1333"/>
      <c r="DG62" s="1384"/>
      <c r="DH62" s="1384"/>
      <c r="DI62" s="1333"/>
      <c r="DJ62" s="1384"/>
      <c r="DK62" s="1384">
        <f>BM62+BN62+BP62+BQ62</f>
        <v>61185</v>
      </c>
      <c r="DL62" s="1384">
        <f>BR62+BS62+BU62+BV62</f>
        <v>58364</v>
      </c>
      <c r="DM62" s="1333">
        <f>BW62+BX62+BZ62+CA62</f>
        <v>59299</v>
      </c>
      <c r="DN62" s="1333">
        <f>CB62+CC62+CE62+CF62</f>
        <v>66415</v>
      </c>
      <c r="DO62" s="1333">
        <f>CG62+CH62+CJ62+CK62</f>
        <v>75539.331450237383</v>
      </c>
      <c r="DP62" s="1333">
        <f>CL62+CM62+CO62+CP62</f>
        <v>85283.157117105846</v>
      </c>
      <c r="DQ62" s="1333">
        <f>CQ62+CR62+CT62+CU62</f>
        <v>96641.787907758509</v>
      </c>
      <c r="DR62" s="3057"/>
      <c r="DS62" s="264"/>
      <c r="DT62" s="264"/>
      <c r="DU62" s="264"/>
      <c r="DV62" s="264"/>
      <c r="DW62" s="264"/>
      <c r="DX62" s="264"/>
      <c r="DY62" s="264"/>
      <c r="DZ62" s="264"/>
      <c r="EA62" s="264"/>
      <c r="EB62" s="264"/>
      <c r="EC62" s="264"/>
      <c r="ED62" s="264"/>
      <c r="EE62" s="264"/>
      <c r="EF62" s="264"/>
      <c r="EG62" s="264"/>
      <c r="EH62" s="264"/>
      <c r="EI62" s="264"/>
      <c r="EJ62" s="264"/>
      <c r="EK62" s="264"/>
      <c r="EL62" s="264"/>
      <c r="EM62" s="264"/>
      <c r="EN62" s="264"/>
      <c r="EO62" s="264"/>
      <c r="EP62" s="264"/>
      <c r="EQ62" s="264"/>
      <c r="ER62" s="264"/>
    </row>
    <row r="63" spans="1:148" s="934" customFormat="1" ht="12">
      <c r="A63" s="1336" t="s">
        <v>1083</v>
      </c>
      <c r="B63" s="1337"/>
      <c r="C63" s="1337"/>
      <c r="D63" s="1337"/>
      <c r="E63" s="1337"/>
      <c r="F63" s="1337"/>
      <c r="G63" s="1337"/>
      <c r="H63" s="1337"/>
      <c r="I63" s="1337"/>
      <c r="J63" s="1337"/>
      <c r="K63" s="1337"/>
      <c r="L63" s="1337"/>
      <c r="M63" s="1337"/>
      <c r="N63" s="1337"/>
      <c r="O63" s="1337"/>
      <c r="P63" s="1337"/>
      <c r="Q63" s="1337"/>
      <c r="R63" s="1337"/>
      <c r="S63" s="1337"/>
      <c r="T63" s="1337"/>
      <c r="U63" s="1337"/>
      <c r="V63" s="1337"/>
      <c r="W63" s="1337"/>
      <c r="X63" s="1337"/>
      <c r="Y63" s="1337"/>
      <c r="Z63" s="1337"/>
      <c r="AA63" s="1337"/>
      <c r="AB63" s="1337"/>
      <c r="AC63" s="1337"/>
      <c r="AD63" s="1337"/>
      <c r="AE63" s="1337"/>
      <c r="AF63" s="1337"/>
      <c r="AG63" s="1337"/>
      <c r="AH63" s="1337"/>
      <c r="AI63" s="1337"/>
      <c r="AJ63" s="1337"/>
      <c r="AK63" s="1337"/>
      <c r="AL63" s="1337"/>
      <c r="AM63" s="1337"/>
      <c r="AN63" s="1337"/>
      <c r="AO63" s="1337"/>
      <c r="AP63" s="1337"/>
      <c r="AQ63" s="1337"/>
      <c r="AR63" s="1337"/>
      <c r="AS63" s="1337"/>
      <c r="AT63" s="1337"/>
      <c r="AU63" s="1338"/>
      <c r="AV63" s="1337"/>
      <c r="AW63" s="1337"/>
      <c r="AX63" s="1337"/>
      <c r="AY63" s="1337"/>
      <c r="AZ63" s="1338"/>
      <c r="BA63" s="1339"/>
      <c r="BB63" s="1339"/>
      <c r="BC63" s="1339"/>
      <c r="BD63" s="1339"/>
      <c r="BE63" s="1338"/>
      <c r="BF63" s="1339"/>
      <c r="BG63" s="1339"/>
      <c r="BH63" s="1339"/>
      <c r="BI63" s="1339"/>
      <c r="BJ63" s="1338"/>
      <c r="BK63" s="1543">
        <f t="shared" ref="BK63:BN63" si="123">BK62/BK32</f>
        <v>0.72400021587781316</v>
      </c>
      <c r="BL63" s="1543">
        <f t="shared" si="123"/>
        <v>0.66213956523512374</v>
      </c>
      <c r="BM63" s="1543">
        <f t="shared" si="123"/>
        <v>0.70881733078468856</v>
      </c>
      <c r="BN63" s="1543">
        <f t="shared" si="123"/>
        <v>0.67517748695577795</v>
      </c>
      <c r="BO63" s="1544">
        <f t="shared" ref="BO63:BT63" si="124">BO62/BO32</f>
        <v>0.68981838701876019</v>
      </c>
      <c r="BP63" s="1543">
        <f t="shared" si="124"/>
        <v>0.64342054221800782</v>
      </c>
      <c r="BQ63" s="1543">
        <f t="shared" si="124"/>
        <v>0.61230110159118722</v>
      </c>
      <c r="BR63" s="1543">
        <f t="shared" si="124"/>
        <v>0.67044042523816094</v>
      </c>
      <c r="BS63" s="1543">
        <f t="shared" si="124"/>
        <v>0.66330027051397655</v>
      </c>
      <c r="BT63" s="1544">
        <f t="shared" si="124"/>
        <v>0.64572029081862437</v>
      </c>
      <c r="BU63" s="1543">
        <f t="shared" ref="BU63:CD63" si="125">BU62/BU32</f>
        <v>0.65533237685318024</v>
      </c>
      <c r="BV63" s="1543">
        <f t="shared" si="125"/>
        <v>0.60907614936839183</v>
      </c>
      <c r="BW63" s="1543">
        <f t="shared" si="125"/>
        <v>0.64112097411349167</v>
      </c>
      <c r="BX63" s="1543">
        <f t="shared" si="125"/>
        <v>0.66009201669932693</v>
      </c>
      <c r="BY63" s="1544">
        <f t="shared" si="125"/>
        <v>0.64038879259275516</v>
      </c>
      <c r="BZ63" s="1543">
        <f t="shared" si="125"/>
        <v>0.64228383801532285</v>
      </c>
      <c r="CA63" s="1543">
        <f t="shared" si="125"/>
        <v>0.61662665530860372</v>
      </c>
      <c r="CB63" s="1543">
        <f t="shared" si="125"/>
        <v>0.65276581078752371</v>
      </c>
      <c r="CC63" s="1543">
        <f t="shared" si="125"/>
        <v>0.66975200156219483</v>
      </c>
      <c r="CD63" s="1544">
        <f t="shared" si="125"/>
        <v>0.64522475691460168</v>
      </c>
      <c r="CE63" s="1543">
        <f t="shared" ref="CE63:CG63" si="126">CE62/CE32</f>
        <v>0.66264569239546822</v>
      </c>
      <c r="CF63" s="1543">
        <f t="shared" si="126"/>
        <v>0.6174009267584204</v>
      </c>
      <c r="CG63" s="1543">
        <f t="shared" si="126"/>
        <v>0.65438681531749876</v>
      </c>
      <c r="CH63" s="1543">
        <f t="shared" ref="CG63:CI63" si="127">CH62/CH32</f>
        <v>0.66757876253801529</v>
      </c>
      <c r="CI63" s="1544">
        <f t="shared" si="127"/>
        <v>0.64998603803036537</v>
      </c>
      <c r="CJ63" s="1543">
        <f>CJ62/CJ32</f>
        <v>0.66297079508145973</v>
      </c>
      <c r="CK63" s="1543">
        <f t="shared" ref="CK63:CS63" si="128">CK62/CK32</f>
        <v>0.62457910054011578</v>
      </c>
      <c r="CL63" s="1543">
        <f t="shared" si="128"/>
        <v>0.66321670356666407</v>
      </c>
      <c r="CM63" s="1543">
        <f t="shared" si="128"/>
        <v>0.67172599219144191</v>
      </c>
      <c r="CN63" s="1544">
        <f t="shared" si="128"/>
        <v>0.65527454176948463</v>
      </c>
      <c r="CO63" s="1543">
        <f t="shared" si="128"/>
        <v>0.66955920803955649</v>
      </c>
      <c r="CP63" s="1543">
        <f t="shared" si="128"/>
        <v>0.63605033863010296</v>
      </c>
      <c r="CQ63" s="1543">
        <f t="shared" si="128"/>
        <v>0.6725678239881282</v>
      </c>
      <c r="CR63" s="1543">
        <f t="shared" si="128"/>
        <v>0.67862831127046996</v>
      </c>
      <c r="CS63" s="1544">
        <f t="shared" si="128"/>
        <v>0.66407230508511983</v>
      </c>
      <c r="CT63" s="1543">
        <f t="shared" ref="CT63:CX63" si="129">CT62/CT32</f>
        <v>0.67390283573898746</v>
      </c>
      <c r="CU63" s="1543">
        <f t="shared" si="129"/>
        <v>0.64435837554242392</v>
      </c>
      <c r="CV63" s="1543">
        <f t="shared" si="129"/>
        <v>0.67997166535862008</v>
      </c>
      <c r="CW63" s="1543">
        <f t="shared" si="129"/>
        <v>0.68428054571983266</v>
      </c>
      <c r="CX63" s="1544">
        <f t="shared" si="129"/>
        <v>0.67066043875943349</v>
      </c>
      <c r="CY63" s="1337"/>
      <c r="CZ63" s="1337"/>
      <c r="DA63" s="1338"/>
      <c r="DB63" s="1338"/>
      <c r="DC63" s="1338"/>
      <c r="DD63" s="1338"/>
      <c r="DE63" s="1338"/>
      <c r="DF63" s="1338"/>
      <c r="DG63" s="1385"/>
      <c r="DH63" s="1385"/>
      <c r="DI63" s="1338"/>
      <c r="DJ63" s="1385"/>
      <c r="DK63" s="1385"/>
      <c r="DL63" s="1385"/>
      <c r="DM63" s="1544">
        <f>DM62/DM32</f>
        <v>0.63937678581055579</v>
      </c>
      <c r="DN63" s="1544">
        <f t="shared" ref="DN63:DQ63" si="130">DN62/DN32</f>
        <v>0.64938937940609931</v>
      </c>
      <c r="DO63" s="1544">
        <f t="shared" si="130"/>
        <v>0.65148398886808401</v>
      </c>
      <c r="DP63" s="1544">
        <f t="shared" si="130"/>
        <v>0.65940878205549847</v>
      </c>
      <c r="DQ63" s="1544">
        <f t="shared" si="130"/>
        <v>0.66682280860953558</v>
      </c>
      <c r="DR63" s="3076"/>
      <c r="DS63" s="264"/>
      <c r="DT63" s="264"/>
      <c r="DU63" s="264"/>
      <c r="DV63" s="264"/>
      <c r="DW63" s="264"/>
      <c r="DX63" s="264"/>
      <c r="DY63" s="264"/>
      <c r="DZ63" s="264"/>
      <c r="EA63" s="264"/>
      <c r="EB63" s="264"/>
      <c r="EC63" s="264"/>
      <c r="ED63" s="264"/>
      <c r="EE63" s="264"/>
      <c r="EF63" s="264"/>
      <c r="EG63" s="264"/>
      <c r="EH63" s="264"/>
      <c r="EI63" s="264"/>
      <c r="EJ63" s="264"/>
      <c r="EK63" s="264"/>
      <c r="EL63" s="264"/>
      <c r="EM63" s="264"/>
      <c r="EN63" s="264"/>
      <c r="EO63" s="264"/>
      <c r="EP63" s="264"/>
      <c r="EQ63" s="264"/>
      <c r="ER63" s="264"/>
    </row>
    <row r="64" spans="1:148" s="934" customFormat="1" ht="12">
      <c r="A64" s="1297"/>
      <c r="B64" s="1285"/>
      <c r="C64" s="1286"/>
      <c r="D64" s="1286"/>
      <c r="E64" s="1286"/>
      <c r="F64" s="1286"/>
      <c r="G64" s="1285"/>
      <c r="H64" s="1286"/>
      <c r="I64" s="1286"/>
      <c r="J64" s="1286"/>
      <c r="K64" s="1286"/>
      <c r="L64" s="1285"/>
      <c r="M64" s="1286"/>
      <c r="N64" s="1286"/>
      <c r="O64" s="1286"/>
      <c r="P64" s="1287"/>
      <c r="Q64" s="1288"/>
      <c r="R64" s="1286"/>
      <c r="S64" s="1289"/>
      <c r="T64" s="1286"/>
      <c r="U64" s="1286"/>
      <c r="V64" s="1290"/>
      <c r="W64" s="1286"/>
      <c r="X64" s="1289"/>
      <c r="Y64" s="1289"/>
      <c r="Z64" s="1286"/>
      <c r="AA64" s="1290"/>
      <c r="AB64" s="1286"/>
      <c r="AC64" s="1289"/>
      <c r="AD64" s="1289"/>
      <c r="AE64" s="1286"/>
      <c r="AF64" s="1291"/>
      <c r="AG64" s="1286"/>
      <c r="AH64" s="1289"/>
      <c r="AI64" s="1289"/>
      <c r="AJ64" s="1286"/>
      <c r="AK64" s="1291"/>
      <c r="AL64" s="1286"/>
      <c r="AM64" s="1289"/>
      <c r="AN64" s="1289"/>
      <c r="AO64" s="1286"/>
      <c r="AP64" s="1291"/>
      <c r="AQ64" s="1286"/>
      <c r="AR64" s="1292"/>
      <c r="AS64" s="1292"/>
      <c r="AT64" s="1292"/>
      <c r="AU64" s="1291"/>
      <c r="AV64" s="1286"/>
      <c r="AW64" s="1286"/>
      <c r="AX64" s="1286"/>
      <c r="AY64" s="1292"/>
      <c r="AZ64" s="1352"/>
      <c r="BA64" s="1286"/>
      <c r="BB64" s="1286"/>
      <c r="BC64" s="1286"/>
      <c r="BD64" s="1286"/>
      <c r="BE64" s="1352"/>
      <c r="BF64" s="1286"/>
      <c r="BG64" s="1286"/>
      <c r="BH64" s="1286"/>
      <c r="BI64" s="1286"/>
      <c r="BJ64" s="1352"/>
      <c r="BK64" s="3021"/>
      <c r="BL64" s="3021"/>
      <c r="BM64" s="3021"/>
      <c r="BN64" s="3021"/>
      <c r="BO64" s="3022"/>
      <c r="BP64" s="3021"/>
      <c r="BQ64" s="3021"/>
      <c r="BR64" s="3021"/>
      <c r="BS64" s="3021"/>
      <c r="BT64" s="3023"/>
      <c r="BU64" s="3021"/>
      <c r="BV64" s="3021"/>
      <c r="BW64" s="3024"/>
      <c r="BX64" s="3024"/>
      <c r="BY64" s="3025"/>
      <c r="BZ64" s="3021"/>
      <c r="CA64" s="3024"/>
      <c r="CB64" s="3024"/>
      <c r="CC64" s="3024"/>
      <c r="CD64" s="3026"/>
      <c r="CE64" s="3021"/>
      <c r="CF64" s="3024"/>
      <c r="CG64" s="3024"/>
      <c r="CH64" s="2633"/>
      <c r="CI64" s="2634"/>
      <c r="CJ64" s="2633"/>
      <c r="CK64" s="2633"/>
      <c r="CL64" s="2633"/>
      <c r="CM64" s="2633"/>
      <c r="CN64" s="2634"/>
      <c r="CO64" s="2633"/>
      <c r="CP64" s="2633"/>
      <c r="CQ64" s="2633"/>
      <c r="CR64" s="2633"/>
      <c r="CS64" s="2634"/>
      <c r="CT64" s="2633"/>
      <c r="CU64" s="2633"/>
      <c r="CV64" s="2633"/>
      <c r="CW64" s="2633"/>
      <c r="CX64" s="2634"/>
      <c r="CY64" s="1296"/>
      <c r="CZ64" s="1296"/>
      <c r="DA64" s="1291"/>
      <c r="DB64" s="1291"/>
      <c r="DC64" s="1291"/>
      <c r="DD64" s="1291"/>
      <c r="DE64" s="1291"/>
      <c r="DF64" s="1291"/>
      <c r="DG64" s="1291"/>
      <c r="DH64" s="1392"/>
      <c r="DI64" s="1387"/>
      <c r="DJ64" s="1392"/>
      <c r="DK64" s="1407"/>
      <c r="DL64" s="1407"/>
      <c r="DM64" s="1403"/>
      <c r="DN64" s="1403"/>
      <c r="DO64" s="1403"/>
      <c r="DP64" s="1403"/>
      <c r="DQ64" s="1403"/>
      <c r="DR64" s="3075"/>
      <c r="DS64" s="264"/>
      <c r="DT64" s="264"/>
      <c r="DU64" s="264"/>
      <c r="DV64" s="264"/>
      <c r="DW64" s="264"/>
      <c r="DX64" s="264"/>
      <c r="DY64" s="264"/>
      <c r="DZ64" s="264"/>
      <c r="EA64" s="264"/>
      <c r="EB64" s="264"/>
      <c r="EC64" s="264"/>
      <c r="ED64" s="264"/>
      <c r="EE64" s="264"/>
      <c r="EF64" s="264"/>
      <c r="EG64" s="264"/>
      <c r="EH64" s="264"/>
      <c r="EI64" s="264"/>
      <c r="EJ64" s="264"/>
      <c r="EK64" s="264"/>
      <c r="EL64" s="264"/>
      <c r="EM64" s="264"/>
      <c r="EN64" s="264"/>
      <c r="EO64" s="264"/>
      <c r="EP64" s="264"/>
      <c r="EQ64" s="264"/>
      <c r="ER64" s="264"/>
    </row>
    <row r="65" spans="1:148" s="934" customFormat="1" ht="12">
      <c r="A65" s="1297"/>
      <c r="B65" s="1285"/>
      <c r="C65" s="1286"/>
      <c r="D65" s="1286"/>
      <c r="E65" s="1286"/>
      <c r="F65" s="1286"/>
      <c r="G65" s="1285"/>
      <c r="H65" s="1286"/>
      <c r="I65" s="1286"/>
      <c r="J65" s="1286"/>
      <c r="K65" s="1286"/>
      <c r="L65" s="1285"/>
      <c r="M65" s="1286"/>
      <c r="N65" s="1286"/>
      <c r="O65" s="1286"/>
      <c r="P65" s="1287"/>
      <c r="Q65" s="1288"/>
      <c r="R65" s="1286"/>
      <c r="S65" s="1289"/>
      <c r="T65" s="1286"/>
      <c r="U65" s="1286"/>
      <c r="V65" s="1290"/>
      <c r="W65" s="1286"/>
      <c r="X65" s="1289"/>
      <c r="Y65" s="1289"/>
      <c r="Z65" s="1286"/>
      <c r="AA65" s="1290"/>
      <c r="AB65" s="1286"/>
      <c r="AC65" s="1289"/>
      <c r="AD65" s="1289"/>
      <c r="AE65" s="1286"/>
      <c r="AF65" s="1291"/>
      <c r="AG65" s="1286"/>
      <c r="AH65" s="1289"/>
      <c r="AI65" s="1289"/>
      <c r="AJ65" s="1286"/>
      <c r="AK65" s="1291"/>
      <c r="AL65" s="1286"/>
      <c r="AM65" s="1289"/>
      <c r="AN65" s="1289"/>
      <c r="AO65" s="1286"/>
      <c r="AP65" s="1291"/>
      <c r="AQ65" s="1286"/>
      <c r="AR65" s="1292"/>
      <c r="AS65" s="1292"/>
      <c r="AT65" s="1292"/>
      <c r="AU65" s="1291"/>
      <c r="AV65" s="1286"/>
      <c r="AW65" s="1286"/>
      <c r="AX65" s="1286"/>
      <c r="AY65" s="1292"/>
      <c r="AZ65" s="1352"/>
      <c r="BA65" s="1286"/>
      <c r="BB65" s="1286"/>
      <c r="BC65" s="1286"/>
      <c r="BD65" s="1286"/>
      <c r="BE65" s="1352"/>
      <c r="BF65" s="1286"/>
      <c r="BG65" s="1286"/>
      <c r="BH65" s="1286"/>
      <c r="BI65" s="1286"/>
      <c r="BJ65" s="1352"/>
      <c r="BK65" s="3027"/>
      <c r="BL65" s="3027"/>
      <c r="BM65" s="3027"/>
      <c r="BN65" s="3027"/>
      <c r="BO65" s="3027"/>
      <c r="BP65" s="3027"/>
      <c r="BQ65" s="3027"/>
      <c r="BR65" s="3027"/>
      <c r="BS65" s="3027"/>
      <c r="BT65" s="3027"/>
      <c r="BU65" s="3027"/>
      <c r="BV65" s="3027"/>
      <c r="BW65" s="3027"/>
      <c r="BX65" s="3027"/>
      <c r="BY65" s="3027"/>
      <c r="BZ65" s="3027"/>
      <c r="CA65" s="3027"/>
      <c r="CB65" s="3027"/>
      <c r="CC65" s="3027"/>
      <c r="CD65" s="3027"/>
      <c r="CE65" s="3027"/>
      <c r="CF65" s="3027"/>
      <c r="CG65" s="3027"/>
      <c r="CH65" s="1295"/>
      <c r="CI65" s="1377"/>
      <c r="CJ65" s="1295"/>
      <c r="CK65" s="1295"/>
      <c r="CL65" s="1295"/>
      <c r="CM65" s="1295"/>
      <c r="CN65" s="1377"/>
      <c r="CO65" s="1295"/>
      <c r="CP65" s="1295"/>
      <c r="CQ65" s="1295"/>
      <c r="CR65" s="1295"/>
      <c r="CS65" s="1377"/>
      <c r="CT65" s="1295"/>
      <c r="CU65" s="1295"/>
      <c r="CV65" s="1295"/>
      <c r="CW65" s="1295"/>
      <c r="CX65" s="1377"/>
      <c r="CY65" s="1296"/>
      <c r="CZ65" s="1296"/>
      <c r="DA65" s="1291"/>
      <c r="DB65" s="1291"/>
      <c r="DC65" s="1291"/>
      <c r="DD65" s="1291"/>
      <c r="DE65" s="1291"/>
      <c r="DF65" s="1291"/>
      <c r="DG65" s="1291"/>
      <c r="DH65" s="1392"/>
      <c r="DI65" s="1387"/>
      <c r="DJ65" s="1392"/>
      <c r="DK65" s="1407"/>
      <c r="DL65" s="1407"/>
      <c r="DM65" s="1403"/>
      <c r="DN65" s="1403"/>
      <c r="DO65" s="1403"/>
      <c r="DP65" s="1403"/>
      <c r="DQ65" s="1403"/>
      <c r="DR65" s="3075"/>
      <c r="DS65" s="264"/>
      <c r="DT65" s="264"/>
      <c r="DU65" s="264"/>
      <c r="DV65" s="264"/>
      <c r="DW65" s="264"/>
      <c r="DX65" s="264"/>
      <c r="DY65" s="264"/>
      <c r="DZ65" s="264"/>
      <c r="EA65" s="264"/>
      <c r="EB65" s="264"/>
      <c r="EC65" s="264"/>
      <c r="ED65" s="264"/>
      <c r="EE65" s="264"/>
      <c r="EF65" s="264"/>
      <c r="EG65" s="264"/>
      <c r="EH65" s="264"/>
      <c r="EI65" s="264"/>
      <c r="EJ65" s="264"/>
      <c r="EK65" s="264"/>
      <c r="EL65" s="264"/>
      <c r="EM65" s="264"/>
      <c r="EN65" s="264"/>
      <c r="EO65" s="264"/>
      <c r="EP65" s="264"/>
      <c r="EQ65" s="264"/>
      <c r="ER65" s="264"/>
    </row>
    <row r="66" spans="1:148" s="934" customFormat="1" ht="12">
      <c r="A66" s="1255" t="s">
        <v>1049</v>
      </c>
      <c r="B66" s="1256"/>
      <c r="C66" s="1257"/>
      <c r="D66" s="1257"/>
      <c r="E66" s="1257"/>
      <c r="F66" s="1257"/>
      <c r="G66" s="1256"/>
      <c r="H66" s="1257"/>
      <c r="I66" s="1257"/>
      <c r="J66" s="1257"/>
      <c r="K66" s="1257"/>
      <c r="L66" s="1256"/>
      <c r="M66" s="1257"/>
      <c r="N66" s="1257"/>
      <c r="O66" s="1257"/>
      <c r="P66" s="1258"/>
      <c r="Q66" s="1259"/>
      <c r="R66" s="1257"/>
      <c r="S66" s="1260"/>
      <c r="T66" s="1257"/>
      <c r="U66" s="1257"/>
      <c r="V66" s="1261"/>
      <c r="W66" s="1257"/>
      <c r="X66" s="1260"/>
      <c r="Y66" s="1260"/>
      <c r="Z66" s="1257"/>
      <c r="AA66" s="1261"/>
      <c r="AB66" s="1257"/>
      <c r="AC66" s="1260"/>
      <c r="AD66" s="1260"/>
      <c r="AE66" s="1257"/>
      <c r="AF66" s="1262"/>
      <c r="AG66" s="1257"/>
      <c r="AH66" s="1260"/>
      <c r="AI66" s="1260"/>
      <c r="AJ66" s="1257"/>
      <c r="AK66" s="1262"/>
      <c r="AL66" s="1257"/>
      <c r="AM66" s="1260"/>
      <c r="AN66" s="1260"/>
      <c r="AO66" s="1257"/>
      <c r="AP66" s="1262"/>
      <c r="AQ66" s="1257"/>
      <c r="AR66" s="1263"/>
      <c r="AS66" s="1263"/>
      <c r="AT66" s="1263"/>
      <c r="AU66" s="1262"/>
      <c r="AV66" s="1257"/>
      <c r="AW66" s="1257"/>
      <c r="AX66" s="1257"/>
      <c r="AY66" s="1263"/>
      <c r="AZ66" s="1355"/>
      <c r="BA66" s="1257"/>
      <c r="BB66" s="1257"/>
      <c r="BC66" s="1257"/>
      <c r="BD66" s="1257"/>
      <c r="BE66" s="1355"/>
      <c r="BF66" s="1257"/>
      <c r="BG66" s="1257"/>
      <c r="BH66" s="1257"/>
      <c r="BI66" s="1257"/>
      <c r="BJ66" s="1355"/>
      <c r="BK66" s="1257"/>
      <c r="BL66" s="1257"/>
      <c r="BM66" s="1257"/>
      <c r="BN66" s="1257"/>
      <c r="BO66" s="1355"/>
      <c r="BP66" s="1257"/>
      <c r="BQ66" s="1257"/>
      <c r="BR66" s="1257"/>
      <c r="BS66" s="1257"/>
      <c r="BT66" s="1371"/>
      <c r="BU66" s="1257"/>
      <c r="BV66" s="1257"/>
      <c r="BW66" s="1257"/>
      <c r="BX66" s="1257"/>
      <c r="BY66" s="1371"/>
      <c r="BZ66" s="1257"/>
      <c r="CA66" s="1257"/>
      <c r="CB66" s="1257"/>
      <c r="CC66" s="1257"/>
      <c r="CD66" s="1371"/>
      <c r="CE66" s="1257"/>
      <c r="CF66" s="1257"/>
      <c r="CG66" s="1257"/>
      <c r="CH66" s="1257"/>
      <c r="CI66" s="1371"/>
      <c r="CJ66" s="1257"/>
      <c r="CK66" s="1257"/>
      <c r="CL66" s="1257"/>
      <c r="CM66" s="1257"/>
      <c r="CN66" s="1371"/>
      <c r="CO66" s="1257"/>
      <c r="CP66" s="1257"/>
      <c r="CQ66" s="1257"/>
      <c r="CR66" s="1257"/>
      <c r="CS66" s="1371"/>
      <c r="CT66" s="1257"/>
      <c r="CU66" s="1257"/>
      <c r="CV66" s="1257"/>
      <c r="CW66" s="1257"/>
      <c r="CX66" s="1371"/>
      <c r="CY66" s="1265"/>
      <c r="CZ66" s="1265"/>
      <c r="DA66" s="1262"/>
      <c r="DB66" s="1262"/>
      <c r="DC66" s="1262"/>
      <c r="DD66" s="1262"/>
      <c r="DE66" s="1262"/>
      <c r="DF66" s="1262"/>
      <c r="DG66" s="1262"/>
      <c r="DH66" s="1393"/>
      <c r="DI66" s="1388"/>
      <c r="DJ66" s="1393"/>
      <c r="DK66" s="1408"/>
      <c r="DL66" s="1408"/>
      <c r="DM66" s="1404"/>
      <c r="DN66" s="1404"/>
      <c r="DO66" s="1404"/>
      <c r="DP66" s="1404"/>
      <c r="DQ66" s="1404"/>
      <c r="DR66" s="1267"/>
      <c r="DS66" s="264"/>
      <c r="DT66" s="264"/>
      <c r="DU66" s="264"/>
      <c r="DV66" s="264"/>
      <c r="DW66" s="264"/>
      <c r="DX66" s="264"/>
      <c r="DY66" s="264"/>
      <c r="DZ66" s="264"/>
      <c r="EA66" s="264"/>
      <c r="EB66" s="264"/>
      <c r="EC66" s="264"/>
      <c r="ED66" s="264"/>
      <c r="EE66" s="264"/>
      <c r="EF66" s="264"/>
      <c r="EG66" s="264"/>
      <c r="EH66" s="264"/>
      <c r="EI66" s="264"/>
      <c r="EJ66" s="264"/>
      <c r="EK66" s="264"/>
      <c r="EL66" s="264"/>
      <c r="EM66" s="264"/>
      <c r="EN66" s="264"/>
      <c r="EO66" s="264"/>
      <c r="EP66" s="264"/>
      <c r="EQ66" s="264"/>
      <c r="ER66" s="264"/>
    </row>
    <row r="67" spans="1:148" s="934" customFormat="1" ht="12">
      <c r="A67" s="1278" t="s">
        <v>1050</v>
      </c>
      <c r="B67" s="1279"/>
      <c r="C67" s="1279"/>
      <c r="D67" s="1279"/>
      <c r="E67" s="1279"/>
      <c r="F67" s="1279"/>
      <c r="G67" s="1279"/>
      <c r="H67" s="1279"/>
      <c r="I67" s="1279"/>
      <c r="J67" s="1279"/>
      <c r="K67" s="1279"/>
      <c r="L67" s="1279"/>
      <c r="M67" s="1279"/>
      <c r="N67" s="1279"/>
      <c r="O67" s="1279"/>
      <c r="P67" s="1279"/>
      <c r="Q67" s="1279"/>
      <c r="R67" s="1279"/>
      <c r="S67" s="1279"/>
      <c r="T67" s="1279"/>
      <c r="U67" s="1279"/>
      <c r="V67" s="1279"/>
      <c r="W67" s="1279"/>
      <c r="X67" s="1279"/>
      <c r="Y67" s="1279"/>
      <c r="Z67" s="1279"/>
      <c r="AA67" s="1279"/>
      <c r="AB67" s="1279"/>
      <c r="AC67" s="1279"/>
      <c r="AD67" s="1279"/>
      <c r="AE67" s="1279"/>
      <c r="AF67" s="1279"/>
      <c r="AG67" s="1279"/>
      <c r="AH67" s="1279"/>
      <c r="AI67" s="1279"/>
      <c r="AJ67" s="1279"/>
      <c r="AK67" s="1279"/>
      <c r="AL67" s="1279"/>
      <c r="AM67" s="1279"/>
      <c r="AN67" s="1279"/>
      <c r="AO67" s="1279"/>
      <c r="AP67" s="1279"/>
      <c r="AQ67" s="1279"/>
      <c r="AR67" s="1279"/>
      <c r="AS67" s="1279"/>
      <c r="AT67" s="1279"/>
      <c r="AU67" s="1280"/>
      <c r="AV67" s="1279"/>
      <c r="AW67" s="1279"/>
      <c r="AX67" s="1279"/>
      <c r="AY67" s="1281"/>
      <c r="AZ67" s="1280"/>
      <c r="BA67" s="1282"/>
      <c r="BB67" s="1282"/>
      <c r="BC67" s="1282"/>
      <c r="BD67" s="1282"/>
      <c r="BE67" s="1280"/>
      <c r="BF67" s="1282"/>
      <c r="BG67" s="1282"/>
      <c r="BH67" s="1282"/>
      <c r="BI67" s="1282"/>
      <c r="BJ67" s="1280"/>
      <c r="BK67" s="1283">
        <f>BK44-BK68</f>
        <v>2305.9679999999998</v>
      </c>
      <c r="BL67" s="1283">
        <f t="shared" ref="BL67:BX67" si="131">BL44-BL68</f>
        <v>2510.643</v>
      </c>
      <c r="BM67" s="1283">
        <f t="shared" si="131"/>
        <v>2421.768</v>
      </c>
      <c r="BN67" s="1282">
        <f t="shared" si="131"/>
        <v>2737.1266000000005</v>
      </c>
      <c r="BO67" s="1280">
        <f t="shared" si="131"/>
        <v>9975.5056000000004</v>
      </c>
      <c r="BP67" s="1283">
        <f t="shared" si="131"/>
        <v>2340.75</v>
      </c>
      <c r="BQ67" s="1283">
        <f t="shared" si="131"/>
        <v>2499.1819999999998</v>
      </c>
      <c r="BR67" s="1283">
        <f t="shared" si="131"/>
        <v>2406.3344999999999</v>
      </c>
      <c r="BS67" s="1282">
        <f t="shared" si="131"/>
        <v>2456.4403999999995</v>
      </c>
      <c r="BT67" s="1280">
        <f t="shared" si="131"/>
        <v>9702.706900000001</v>
      </c>
      <c r="BU67" s="2569">
        <f t="shared" si="131"/>
        <v>2218.3119999999999</v>
      </c>
      <c r="BV67" s="2569">
        <f t="shared" si="131"/>
        <v>2422</v>
      </c>
      <c r="BW67" s="2569">
        <f t="shared" si="131"/>
        <v>2464.2925000000005</v>
      </c>
      <c r="BX67" s="2569">
        <f t="shared" si="131"/>
        <v>2554.3423999999995</v>
      </c>
      <c r="BY67" s="1280">
        <f>SUM(BU67:BX67)</f>
        <v>9658.946899999999</v>
      </c>
      <c r="BZ67" s="2569">
        <f>BZ44-BZ68</f>
        <v>2298.5060000000003</v>
      </c>
      <c r="CA67" s="2569">
        <f>CA44-CA68</f>
        <v>2794.2955000000002</v>
      </c>
      <c r="CB67" s="2569">
        <f t="shared" ref="CB67:CC67" si="132">CB44-CB68</f>
        <v>3563.9440000000004</v>
      </c>
      <c r="CC67" s="2569">
        <f t="shared" si="132"/>
        <v>3671.2995999999994</v>
      </c>
      <c r="CD67" s="1280">
        <f>SUM(BZ67:CC67)</f>
        <v>12328.045099999999</v>
      </c>
      <c r="CE67" s="2569">
        <f>CE44-CE68</f>
        <v>3498.3825000000006</v>
      </c>
      <c r="CF67" s="2569">
        <f>CF44-CF68</f>
        <v>3913.6464199999982</v>
      </c>
      <c r="CG67" s="2569">
        <f t="shared" ref="CG67" si="133">CG44-CG68</f>
        <v>4087.6539200000007</v>
      </c>
      <c r="CH67" s="1282"/>
      <c r="CI67" s="1280"/>
      <c r="CJ67" s="1282"/>
      <c r="CK67" s="1282"/>
      <c r="CL67" s="1282"/>
      <c r="CM67" s="1282"/>
      <c r="CN67" s="1280"/>
      <c r="CO67" s="1282"/>
      <c r="CP67" s="1282"/>
      <c r="CQ67" s="1282"/>
      <c r="CR67" s="1282"/>
      <c r="CS67" s="1280"/>
      <c r="CT67" s="1282"/>
      <c r="CU67" s="1282"/>
      <c r="CV67" s="1282"/>
      <c r="CW67" s="1282"/>
      <c r="CX67" s="1280"/>
      <c r="CY67" s="1281"/>
      <c r="CZ67" s="1281"/>
      <c r="DA67" s="1280"/>
      <c r="DB67" s="1280"/>
      <c r="DC67" s="1280"/>
      <c r="DD67" s="1280"/>
      <c r="DE67" s="1280"/>
      <c r="DF67" s="1280"/>
      <c r="DG67" s="1380"/>
      <c r="DH67" s="1380"/>
      <c r="DI67" s="1280"/>
      <c r="DJ67" s="1380"/>
      <c r="DK67" s="1380"/>
      <c r="DL67" s="1380"/>
      <c r="DM67" s="1280"/>
      <c r="DN67" s="1280"/>
      <c r="DO67" s="1280"/>
      <c r="DP67" s="1280"/>
      <c r="DQ67" s="1280"/>
      <c r="DR67" s="3056"/>
      <c r="DS67" s="264"/>
      <c r="DT67" s="264"/>
      <c r="DU67" s="264"/>
      <c r="DV67" s="264"/>
      <c r="DW67" s="264"/>
      <c r="DX67" s="264"/>
      <c r="DY67" s="264"/>
      <c r="DZ67" s="264"/>
      <c r="EA67" s="264"/>
      <c r="EB67" s="264"/>
      <c r="EC67" s="264"/>
      <c r="ED67" s="264"/>
      <c r="EE67" s="264"/>
      <c r="EF67" s="264"/>
      <c r="EG67" s="264"/>
      <c r="EH67" s="264"/>
      <c r="EI67" s="264"/>
      <c r="EJ67" s="264"/>
      <c r="EK67" s="264"/>
      <c r="EL67" s="264"/>
      <c r="EM67" s="264"/>
      <c r="EN67" s="264"/>
      <c r="EO67" s="264"/>
      <c r="EP67" s="264"/>
      <c r="EQ67" s="264"/>
      <c r="ER67" s="264"/>
    </row>
    <row r="68" spans="1:148" s="934" customFormat="1" ht="12">
      <c r="A68" s="1278" t="s">
        <v>1051</v>
      </c>
      <c r="B68" s="1279"/>
      <c r="C68" s="1279"/>
      <c r="D68" s="1279"/>
      <c r="E68" s="1279"/>
      <c r="F68" s="1279"/>
      <c r="G68" s="1279"/>
      <c r="H68" s="1279"/>
      <c r="I68" s="1279"/>
      <c r="J68" s="1279"/>
      <c r="K68" s="1279"/>
      <c r="L68" s="1279"/>
      <c r="M68" s="1279"/>
      <c r="N68" s="1279"/>
      <c r="O68" s="1279"/>
      <c r="P68" s="1279"/>
      <c r="Q68" s="1279"/>
      <c r="R68" s="1279"/>
      <c r="S68" s="1279"/>
      <c r="T68" s="1279"/>
      <c r="U68" s="1279"/>
      <c r="V68" s="1279"/>
      <c r="W68" s="1279"/>
      <c r="X68" s="1279"/>
      <c r="Y68" s="1279"/>
      <c r="Z68" s="1279"/>
      <c r="AA68" s="1279"/>
      <c r="AB68" s="1279"/>
      <c r="AC68" s="1279"/>
      <c r="AD68" s="1279"/>
      <c r="AE68" s="1279"/>
      <c r="AF68" s="1279"/>
      <c r="AG68" s="1279"/>
      <c r="AH68" s="1279"/>
      <c r="AI68" s="1279"/>
      <c r="AJ68" s="1279"/>
      <c r="AK68" s="1279"/>
      <c r="AL68" s="1279"/>
      <c r="AM68" s="1279"/>
      <c r="AN68" s="1279"/>
      <c r="AO68" s="1279"/>
      <c r="AP68" s="1279"/>
      <c r="AQ68" s="1279"/>
      <c r="AR68" s="1279"/>
      <c r="AS68" s="1279"/>
      <c r="AT68" s="1279"/>
      <c r="AU68" s="1280"/>
      <c r="AV68" s="1279"/>
      <c r="AW68" s="1279"/>
      <c r="AX68" s="1279"/>
      <c r="AY68" s="1281"/>
      <c r="AZ68" s="1280"/>
      <c r="BA68" s="1282"/>
      <c r="BB68" s="1282"/>
      <c r="BC68" s="1282"/>
      <c r="BD68" s="1282"/>
      <c r="BE68" s="1280"/>
      <c r="BF68" s="1282"/>
      <c r="BG68" s="1282"/>
      <c r="BH68" s="1282"/>
      <c r="BI68" s="1282"/>
      <c r="BJ68" s="1280">
        <v>13151</v>
      </c>
      <c r="BK68" s="1283">
        <v>3234</v>
      </c>
      <c r="BL68" s="1283">
        <v>3745</v>
      </c>
      <c r="BM68" s="1283">
        <v>3507</v>
      </c>
      <c r="BN68" s="1282">
        <v>3454</v>
      </c>
      <c r="BO68" s="1280">
        <f>SUM(BK68:BN68)</f>
        <v>13940</v>
      </c>
      <c r="BP68" s="1283">
        <v>3338</v>
      </c>
      <c r="BQ68" s="1283">
        <v>3511</v>
      </c>
      <c r="BR68" s="1283">
        <v>3137</v>
      </c>
      <c r="BS68" s="1282">
        <v>3101</v>
      </c>
      <c r="BT68" s="1280">
        <f>SUM(BP68:BS68)</f>
        <v>13087</v>
      </c>
      <c r="BU68" s="2569">
        <v>2844</v>
      </c>
      <c r="BV68" s="2569">
        <v>3086</v>
      </c>
      <c r="BW68" s="2570">
        <v>2672</v>
      </c>
      <c r="BX68" s="2570">
        <v>3154</v>
      </c>
      <c r="BY68" s="1280">
        <f t="shared" ref="BY68" si="134">BY44-BY67</f>
        <v>11756.000000000004</v>
      </c>
      <c r="BZ68" s="2569">
        <v>2905</v>
      </c>
      <c r="CA68" s="2569">
        <v>3053</v>
      </c>
      <c r="CB68" s="2570">
        <v>2540</v>
      </c>
      <c r="CC68" s="2570">
        <v>2891</v>
      </c>
      <c r="CD68" s="1280">
        <f t="shared" ref="CD68" si="135">CD44-CD67</f>
        <v>11389</v>
      </c>
      <c r="CE68" s="2569">
        <v>3006</v>
      </c>
      <c r="CF68" s="2569">
        <v>3337</v>
      </c>
      <c r="CG68" s="2570">
        <v>3115</v>
      </c>
      <c r="CH68" s="1283"/>
      <c r="CI68" s="1280"/>
      <c r="CJ68" s="1282"/>
      <c r="CK68" s="1283"/>
      <c r="CL68" s="1283"/>
      <c r="CM68" s="1283"/>
      <c r="CN68" s="1280"/>
      <c r="CO68" s="1282"/>
      <c r="CP68" s="1283"/>
      <c r="CQ68" s="1283"/>
      <c r="CR68" s="1283"/>
      <c r="CS68" s="1280"/>
      <c r="CT68" s="1282"/>
      <c r="CU68" s="1283"/>
      <c r="CV68" s="1283"/>
      <c r="CW68" s="1283"/>
      <c r="CX68" s="1280"/>
      <c r="CY68" s="1281"/>
      <c r="CZ68" s="1281"/>
      <c r="DA68" s="1280"/>
      <c r="DB68" s="1280"/>
      <c r="DC68" s="1280"/>
      <c r="DD68" s="1280"/>
      <c r="DE68" s="1280"/>
      <c r="DF68" s="1280"/>
      <c r="DG68" s="1380"/>
      <c r="DH68" s="1380"/>
      <c r="DI68" s="1280"/>
      <c r="DJ68" s="1380"/>
      <c r="DK68" s="1380">
        <f>BM68+BN68+BP68+BQ68</f>
        <v>13810</v>
      </c>
      <c r="DL68" s="1380">
        <f>BR68+BS68+BU68+BV68</f>
        <v>12168</v>
      </c>
      <c r="DM68" s="1280">
        <f>BW68+BX68+BZ68+CA68</f>
        <v>11784</v>
      </c>
      <c r="DN68" s="1280"/>
      <c r="DO68" s="1280"/>
      <c r="DP68" s="1280"/>
      <c r="DQ68" s="1280"/>
      <c r="DR68" s="3056"/>
      <c r="DS68" s="264"/>
      <c r="DT68" s="264"/>
      <c r="DU68" s="264"/>
      <c r="DV68" s="264"/>
      <c r="DW68" s="264"/>
      <c r="DX68" s="264"/>
      <c r="DY68" s="264"/>
      <c r="DZ68" s="264"/>
      <c r="EA68" s="264"/>
      <c r="EB68" s="264"/>
      <c r="EC68" s="264"/>
      <c r="ED68" s="264"/>
      <c r="EE68" s="264"/>
      <c r="EF68" s="264"/>
      <c r="EG68" s="264"/>
      <c r="EH68" s="264"/>
      <c r="EI68" s="264"/>
      <c r="EJ68" s="264"/>
      <c r="EK68" s="264"/>
      <c r="EL68" s="264"/>
      <c r="EM68" s="264"/>
      <c r="EN68" s="264"/>
      <c r="EO68" s="264"/>
      <c r="EP68" s="264"/>
      <c r="EQ68" s="264"/>
      <c r="ER68" s="264"/>
    </row>
    <row r="69" spans="1:148" s="934" customFormat="1" ht="12">
      <c r="A69" s="1284" t="s">
        <v>1052</v>
      </c>
      <c r="B69" s="1285"/>
      <c r="C69" s="1286"/>
      <c r="D69" s="1286"/>
      <c r="E69" s="1286"/>
      <c r="F69" s="1286"/>
      <c r="G69" s="1285"/>
      <c r="H69" s="1286"/>
      <c r="I69" s="1286"/>
      <c r="J69" s="1286"/>
      <c r="K69" s="1286"/>
      <c r="L69" s="1285"/>
      <c r="M69" s="1286"/>
      <c r="N69" s="1286"/>
      <c r="O69" s="1286"/>
      <c r="P69" s="1287"/>
      <c r="Q69" s="1288"/>
      <c r="R69" s="1286"/>
      <c r="S69" s="1289"/>
      <c r="T69" s="1286"/>
      <c r="U69" s="1286"/>
      <c r="V69" s="1290"/>
      <c r="W69" s="1286"/>
      <c r="X69" s="1289"/>
      <c r="Y69" s="1289"/>
      <c r="Z69" s="1286"/>
      <c r="AA69" s="1290"/>
      <c r="AB69" s="1286"/>
      <c r="AC69" s="1289"/>
      <c r="AD69" s="1289"/>
      <c r="AE69" s="1286"/>
      <c r="AF69" s="1291"/>
      <c r="AG69" s="1286"/>
      <c r="AH69" s="1289"/>
      <c r="AI69" s="1289"/>
      <c r="AJ69" s="1286"/>
      <c r="AK69" s="1291"/>
      <c r="AL69" s="1286"/>
      <c r="AM69" s="1289"/>
      <c r="AN69" s="1289"/>
      <c r="AO69" s="1286"/>
      <c r="AP69" s="1291"/>
      <c r="AQ69" s="1286"/>
      <c r="AR69" s="1292"/>
      <c r="AS69" s="1292"/>
      <c r="AT69" s="1292"/>
      <c r="AU69" s="1291"/>
      <c r="AV69" s="1286"/>
      <c r="AW69" s="1286"/>
      <c r="AX69" s="1286"/>
      <c r="AY69" s="1292"/>
      <c r="AZ69" s="1352"/>
      <c r="BA69" s="1286"/>
      <c r="BB69" s="1286"/>
      <c r="BC69" s="1286"/>
      <c r="BD69" s="1286"/>
      <c r="BE69" s="1352"/>
      <c r="BF69" s="1286"/>
      <c r="BG69" s="1286"/>
      <c r="BH69" s="1286"/>
      <c r="BI69" s="1286"/>
      <c r="BJ69" s="1352"/>
      <c r="BK69" s="1293">
        <f t="shared" ref="BK69:BT69" si="136">BK68/BK10</f>
        <v>0.52304706453178074</v>
      </c>
      <c r="BL69" s="1293">
        <f t="shared" si="136"/>
        <v>0.53939219357626389</v>
      </c>
      <c r="BM69" s="1293">
        <f t="shared" si="136"/>
        <v>0.51817375886524819</v>
      </c>
      <c r="BN69" s="1293">
        <f t="shared" si="136"/>
        <v>0.48799095789771124</v>
      </c>
      <c r="BO69" s="1294">
        <f t="shared" si="136"/>
        <v>0.51683227050274361</v>
      </c>
      <c r="BP69" s="1293">
        <f t="shared" si="136"/>
        <v>0.51432973805855164</v>
      </c>
      <c r="BQ69" s="1293">
        <f t="shared" si="136"/>
        <v>0.51465845793022569</v>
      </c>
      <c r="BR69" s="1293">
        <f t="shared" si="136"/>
        <v>0.48582933250735638</v>
      </c>
      <c r="BS69" s="1293">
        <f t="shared" si="136"/>
        <v>0.46547583308315821</v>
      </c>
      <c r="BT69" s="1294">
        <f t="shared" si="136"/>
        <v>0.4951382845900647</v>
      </c>
      <c r="BU69" s="1293">
        <f>BU68/BU10</f>
        <v>0.47415805268422806</v>
      </c>
      <c r="BV69" s="1293">
        <f>BV68/BV10</f>
        <v>0.47623456790123458</v>
      </c>
      <c r="BW69" s="1293">
        <f>BW68/BW10</f>
        <v>0.43048171419365233</v>
      </c>
      <c r="BX69" s="1293">
        <f>BX68/BX10</f>
        <v>0.44378781483044888</v>
      </c>
      <c r="BY69" s="1294">
        <f t="shared" ref="BY69" si="137">BY68/BY10</f>
        <v>0.45580024813895798</v>
      </c>
      <c r="BZ69" s="1293">
        <f>BZ68/BZ10</f>
        <v>0.45136730888750776</v>
      </c>
      <c r="CA69" s="1293">
        <f>CA68/CA10</f>
        <v>0.4252681431954311</v>
      </c>
      <c r="CB69" s="1293">
        <f>CB68/CB10</f>
        <v>0.32957052030621514</v>
      </c>
      <c r="CC69" s="1293">
        <f>CC68/CC10</f>
        <v>0.33820776789892371</v>
      </c>
      <c r="CD69" s="1294">
        <f t="shared" ref="CD69" si="138">CD68/CD10</f>
        <v>0.38128557080682962</v>
      </c>
      <c r="CE69" s="1293">
        <f>CE68/CE10</f>
        <v>0.36489439184268024</v>
      </c>
      <c r="CF69" s="1293">
        <f>CF68/CF10</f>
        <v>0.37272422651625153</v>
      </c>
      <c r="CG69" s="1293">
        <f>CG68/CG10</f>
        <v>0.34588052409504777</v>
      </c>
      <c r="CH69" s="1542"/>
      <c r="CI69" s="1294"/>
      <c r="CJ69" s="1542"/>
      <c r="CK69" s="1542"/>
      <c r="CL69" s="1542"/>
      <c r="CM69" s="1542"/>
      <c r="CN69" s="1294"/>
      <c r="CO69" s="1542"/>
      <c r="CP69" s="1542"/>
      <c r="CQ69" s="1542"/>
      <c r="CR69" s="1542"/>
      <c r="CS69" s="1294"/>
      <c r="CT69" s="1542"/>
      <c r="CU69" s="1542"/>
      <c r="CV69" s="1542"/>
      <c r="CW69" s="1542"/>
      <c r="CX69" s="1294"/>
      <c r="CY69" s="1294"/>
      <c r="CZ69" s="1296"/>
      <c r="DA69" s="1291"/>
      <c r="DB69" s="1291"/>
      <c r="DC69" s="1291"/>
      <c r="DD69" s="1291"/>
      <c r="DE69" s="1291"/>
      <c r="DF69" s="1291"/>
      <c r="DG69" s="1291"/>
      <c r="DH69" s="1392"/>
      <c r="DI69" s="1387"/>
      <c r="DJ69" s="1392"/>
      <c r="DK69" s="1407"/>
      <c r="DL69" s="1413"/>
      <c r="DM69" s="1412"/>
      <c r="DN69" s="1412"/>
      <c r="DO69" s="1412"/>
      <c r="DP69" s="1412"/>
      <c r="DQ69" s="1412"/>
      <c r="DR69" s="3074"/>
      <c r="DS69" s="264"/>
      <c r="DT69" s="264"/>
      <c r="DU69" s="264"/>
      <c r="DV69" s="264"/>
      <c r="DW69" s="264"/>
      <c r="DX69" s="264"/>
      <c r="DY69" s="264"/>
      <c r="DZ69" s="264"/>
      <c r="EA69" s="264"/>
      <c r="EB69" s="264"/>
      <c r="EC69" s="264"/>
      <c r="ED69" s="264"/>
      <c r="EE69" s="264"/>
      <c r="EF69" s="264"/>
      <c r="EG69" s="264"/>
      <c r="EH69" s="264"/>
      <c r="EI69" s="264"/>
      <c r="EJ69" s="264"/>
      <c r="EK69" s="264"/>
      <c r="EL69" s="264"/>
      <c r="EM69" s="264"/>
      <c r="EN69" s="264"/>
      <c r="EO69" s="264"/>
      <c r="EP69" s="264"/>
      <c r="EQ69" s="264"/>
      <c r="ER69" s="264"/>
    </row>
    <row r="70" spans="1:148" s="934" customFormat="1" ht="12">
      <c r="A70" s="1284" t="s">
        <v>1093</v>
      </c>
      <c r="B70" s="1285"/>
      <c r="C70" s="1286"/>
      <c r="D70" s="1286"/>
      <c r="E70" s="1286"/>
      <c r="F70" s="1286"/>
      <c r="G70" s="1285"/>
      <c r="H70" s="1286"/>
      <c r="I70" s="1286"/>
      <c r="J70" s="1286"/>
      <c r="K70" s="1286"/>
      <c r="L70" s="1285"/>
      <c r="M70" s="1286"/>
      <c r="N70" s="1286"/>
      <c r="O70" s="1286"/>
      <c r="P70" s="1287"/>
      <c r="Q70" s="1288"/>
      <c r="R70" s="1286"/>
      <c r="S70" s="1289"/>
      <c r="T70" s="1286"/>
      <c r="U70" s="1286"/>
      <c r="V70" s="1290"/>
      <c r="W70" s="1286"/>
      <c r="X70" s="1289"/>
      <c r="Y70" s="1289"/>
      <c r="Z70" s="1286"/>
      <c r="AA70" s="1290"/>
      <c r="AB70" s="1286"/>
      <c r="AC70" s="1289"/>
      <c r="AD70" s="1289"/>
      <c r="AE70" s="1286"/>
      <c r="AF70" s="1291"/>
      <c r="AG70" s="1286"/>
      <c r="AH70" s="1289"/>
      <c r="AI70" s="1289"/>
      <c r="AJ70" s="1286"/>
      <c r="AK70" s="1291"/>
      <c r="AL70" s="1286"/>
      <c r="AM70" s="1289"/>
      <c r="AN70" s="1289"/>
      <c r="AO70" s="1286"/>
      <c r="AP70" s="1291"/>
      <c r="AQ70" s="1286"/>
      <c r="AR70" s="1292"/>
      <c r="AS70" s="1292"/>
      <c r="AT70" s="1292"/>
      <c r="AU70" s="1291"/>
      <c r="AV70" s="1286"/>
      <c r="AW70" s="1286"/>
      <c r="AX70" s="1286"/>
      <c r="AY70" s="1292"/>
      <c r="AZ70" s="1352"/>
      <c r="BA70" s="1286"/>
      <c r="BB70" s="1286"/>
      <c r="BC70" s="1286"/>
      <c r="BD70" s="1286"/>
      <c r="BE70" s="1352"/>
      <c r="BF70" s="1286"/>
      <c r="BG70" s="1286"/>
      <c r="BH70" s="1286"/>
      <c r="BI70" s="1286"/>
      <c r="BJ70" s="1352"/>
      <c r="BK70" s="1293"/>
      <c r="BL70" s="1293"/>
      <c r="BM70" s="1293"/>
      <c r="BN70" s="1293"/>
      <c r="BO70" s="1294">
        <f t="shared" ref="BO70:CG70" si="139">BO68/BJ68-1</f>
        <v>5.9995437609307256E-2</v>
      </c>
      <c r="BP70" s="1293">
        <f t="shared" si="139"/>
        <v>3.2158317872603481E-2</v>
      </c>
      <c r="BQ70" s="1293">
        <f t="shared" si="139"/>
        <v>-6.2483311081441895E-2</v>
      </c>
      <c r="BR70" s="1293">
        <f t="shared" si="139"/>
        <v>-0.10550327915597379</v>
      </c>
      <c r="BS70" s="1293">
        <f t="shared" si="139"/>
        <v>-0.10220034742327733</v>
      </c>
      <c r="BT70" s="1294">
        <f t="shared" si="139"/>
        <v>-6.1190817790530816E-2</v>
      </c>
      <c r="BU70" s="1293"/>
      <c r="BV70" s="1293"/>
      <c r="BW70" s="1293"/>
      <c r="BX70" s="1293"/>
      <c r="BY70" s="1294"/>
      <c r="BZ70" s="1293">
        <f t="shared" si="139"/>
        <v>2.1448663853727234E-2</v>
      </c>
      <c r="CA70" s="1293">
        <f t="shared" si="139"/>
        <v>-1.0693454309786077E-2</v>
      </c>
      <c r="CB70" s="1293">
        <f t="shared" si="139"/>
        <v>-4.9401197604790448E-2</v>
      </c>
      <c r="CC70" s="1293">
        <f t="shared" si="139"/>
        <v>-8.3386176284083735E-2</v>
      </c>
      <c r="CD70" s="1294">
        <f t="shared" si="139"/>
        <v>-3.1218101395032671E-2</v>
      </c>
      <c r="CE70" s="1293">
        <f t="shared" si="139"/>
        <v>3.4767641996557686E-2</v>
      </c>
      <c r="CF70" s="1293">
        <f t="shared" si="139"/>
        <v>9.3023255813953432E-2</v>
      </c>
      <c r="CG70" s="1293">
        <f t="shared" si="139"/>
        <v>0.22637795275590555</v>
      </c>
      <c r="CH70" s="1293"/>
      <c r="CI70" s="1294"/>
      <c r="CJ70" s="1293"/>
      <c r="CK70" s="1293"/>
      <c r="CL70" s="1293"/>
      <c r="CM70" s="1293"/>
      <c r="CN70" s="1294"/>
      <c r="CO70" s="1293"/>
      <c r="CP70" s="1293"/>
      <c r="CQ70" s="1293"/>
      <c r="CR70" s="1293"/>
      <c r="CS70" s="1294"/>
      <c r="CT70" s="1293"/>
      <c r="CU70" s="1293"/>
      <c r="CV70" s="1293"/>
      <c r="CW70" s="1293"/>
      <c r="CX70" s="1294"/>
      <c r="CY70" s="1296"/>
      <c r="CZ70" s="1296"/>
      <c r="DA70" s="1291"/>
      <c r="DB70" s="1291"/>
      <c r="DC70" s="1291"/>
      <c r="DD70" s="1291"/>
      <c r="DE70" s="1291"/>
      <c r="DF70" s="1291"/>
      <c r="DG70" s="1291"/>
      <c r="DH70" s="1392"/>
      <c r="DI70" s="1387"/>
      <c r="DJ70" s="1392"/>
      <c r="DK70" s="1407"/>
      <c r="DL70" s="1407"/>
      <c r="DM70" s="1403"/>
      <c r="DN70" s="1403"/>
      <c r="DO70" s="1403"/>
      <c r="DP70" s="1403"/>
      <c r="DQ70" s="1403"/>
      <c r="DR70" s="3075"/>
      <c r="DS70" s="264"/>
      <c r="DT70" s="1551"/>
      <c r="DU70" s="264"/>
      <c r="DV70" s="264"/>
      <c r="DW70" s="264"/>
      <c r="DX70" s="264"/>
      <c r="DY70" s="264"/>
      <c r="DZ70" s="264"/>
      <c r="EA70" s="264"/>
      <c r="EB70" s="264"/>
      <c r="EC70" s="264"/>
      <c r="ED70" s="264"/>
      <c r="EE70" s="264"/>
      <c r="EF70" s="264"/>
      <c r="EG70" s="264"/>
      <c r="EH70" s="264"/>
      <c r="EI70" s="264"/>
      <c r="EJ70" s="264"/>
      <c r="EK70" s="264"/>
      <c r="EL70" s="264"/>
      <c r="EM70" s="264"/>
      <c r="EN70" s="264"/>
      <c r="EO70" s="264"/>
      <c r="EP70" s="264"/>
      <c r="EQ70" s="264"/>
      <c r="ER70" s="264"/>
    </row>
    <row r="71" spans="1:148" s="934" customFormat="1" ht="12">
      <c r="A71" s="1284"/>
      <c r="B71" s="1285"/>
      <c r="C71" s="1286"/>
      <c r="D71" s="1286"/>
      <c r="E71" s="1286"/>
      <c r="F71" s="1286"/>
      <c r="G71" s="1285"/>
      <c r="H71" s="1286"/>
      <c r="I71" s="1286"/>
      <c r="J71" s="1286"/>
      <c r="K71" s="1286"/>
      <c r="L71" s="1285"/>
      <c r="M71" s="1286"/>
      <c r="N71" s="1286"/>
      <c r="O71" s="1286"/>
      <c r="P71" s="1287"/>
      <c r="Q71" s="1288"/>
      <c r="R71" s="1286"/>
      <c r="S71" s="1289"/>
      <c r="T71" s="1286"/>
      <c r="U71" s="1286"/>
      <c r="V71" s="1290"/>
      <c r="W71" s="1286"/>
      <c r="X71" s="1289"/>
      <c r="Y71" s="1289"/>
      <c r="Z71" s="1286"/>
      <c r="AA71" s="1290"/>
      <c r="AB71" s="1286"/>
      <c r="AC71" s="1289"/>
      <c r="AD71" s="1289"/>
      <c r="AE71" s="1286"/>
      <c r="AF71" s="1291"/>
      <c r="AG71" s="1286"/>
      <c r="AH71" s="1289"/>
      <c r="AI71" s="1289"/>
      <c r="AJ71" s="1286"/>
      <c r="AK71" s="1291"/>
      <c r="AL71" s="1286"/>
      <c r="AM71" s="1289"/>
      <c r="AN71" s="1289"/>
      <c r="AO71" s="1286"/>
      <c r="AP71" s="1291"/>
      <c r="AQ71" s="1286"/>
      <c r="AR71" s="1292"/>
      <c r="AS71" s="1292"/>
      <c r="AT71" s="1292"/>
      <c r="AU71" s="1291"/>
      <c r="AV71" s="1286"/>
      <c r="AW71" s="1286"/>
      <c r="AX71" s="1286"/>
      <c r="AY71" s="1292"/>
      <c r="AZ71" s="1352"/>
      <c r="BA71" s="1286"/>
      <c r="BB71" s="1286"/>
      <c r="BC71" s="1286"/>
      <c r="BD71" s="1286"/>
      <c r="BE71" s="1352"/>
      <c r="BF71" s="1286"/>
      <c r="BG71" s="1286"/>
      <c r="BH71" s="1286"/>
      <c r="BI71" s="1286"/>
      <c r="BJ71" s="1352"/>
      <c r="BK71" s="1293"/>
      <c r="BL71" s="1293"/>
      <c r="BM71" s="1293"/>
      <c r="BN71" s="1293"/>
      <c r="BO71" s="1294"/>
      <c r="BP71" s="1293"/>
      <c r="BQ71" s="1293"/>
      <c r="BR71" s="1293"/>
      <c r="BS71" s="1293"/>
      <c r="BT71" s="1294"/>
      <c r="BU71" s="1293"/>
      <c r="BV71" s="1293"/>
      <c r="BW71" s="1293"/>
      <c r="BX71" s="1293"/>
      <c r="BY71" s="1294"/>
      <c r="BZ71" s="1293"/>
      <c r="CA71" s="1293"/>
      <c r="CB71" s="1293"/>
      <c r="CC71" s="1293"/>
      <c r="CD71" s="1294"/>
      <c r="CE71" s="1293"/>
      <c r="CF71" s="1293"/>
      <c r="CG71" s="1293"/>
      <c r="CH71" s="1293"/>
      <c r="CI71" s="1294"/>
      <c r="CJ71" s="1293"/>
      <c r="CK71" s="1293"/>
      <c r="CL71" s="1293"/>
      <c r="CM71" s="1293"/>
      <c r="CN71" s="1294"/>
      <c r="CO71" s="1293"/>
      <c r="CP71" s="1293"/>
      <c r="CQ71" s="1293"/>
      <c r="CR71" s="1293"/>
      <c r="CS71" s="1294"/>
      <c r="CT71" s="1293"/>
      <c r="CU71" s="1293"/>
      <c r="CV71" s="1293"/>
      <c r="CW71" s="1293"/>
      <c r="CX71" s="1294"/>
      <c r="CY71" s="1296"/>
      <c r="CZ71" s="1296"/>
      <c r="DA71" s="1291"/>
      <c r="DB71" s="1291"/>
      <c r="DC71" s="1291"/>
      <c r="DD71" s="1291"/>
      <c r="DE71" s="1291"/>
      <c r="DF71" s="1291"/>
      <c r="DG71" s="1291"/>
      <c r="DH71" s="1392"/>
      <c r="DI71" s="1387"/>
      <c r="DJ71" s="1392"/>
      <c r="DK71" s="1407"/>
      <c r="DL71" s="1407"/>
      <c r="DM71" s="1403"/>
      <c r="DN71" s="1403"/>
      <c r="DO71" s="1403"/>
      <c r="DP71" s="1403"/>
      <c r="DQ71" s="1403"/>
      <c r="DR71" s="3075"/>
      <c r="DS71" s="264"/>
      <c r="DT71" s="1551"/>
      <c r="DU71" s="264"/>
      <c r="DV71" s="264"/>
      <c r="DW71" s="264"/>
      <c r="DX71" s="264"/>
      <c r="DY71" s="264"/>
      <c r="DZ71" s="264"/>
      <c r="EA71" s="264"/>
      <c r="EB71" s="264"/>
      <c r="EC71" s="264"/>
      <c r="ED71" s="264"/>
      <c r="EE71" s="264"/>
      <c r="EF71" s="264"/>
      <c r="EG71" s="264"/>
      <c r="EH71" s="264"/>
      <c r="EI71" s="264"/>
      <c r="EJ71" s="264"/>
      <c r="EK71" s="264"/>
      <c r="EL71" s="264"/>
      <c r="EM71" s="264"/>
      <c r="EN71" s="264"/>
      <c r="EO71" s="264"/>
      <c r="EP71" s="264"/>
      <c r="EQ71" s="264"/>
      <c r="ER71" s="264"/>
    </row>
    <row r="72" spans="1:148" s="934" customFormat="1" ht="12">
      <c r="A72" s="1278" t="s">
        <v>1053</v>
      </c>
      <c r="B72" s="1279"/>
      <c r="C72" s="1279"/>
      <c r="D72" s="1279"/>
      <c r="E72" s="1279"/>
      <c r="F72" s="1279"/>
      <c r="G72" s="1279"/>
      <c r="H72" s="1279"/>
      <c r="I72" s="1279"/>
      <c r="J72" s="1279"/>
      <c r="K72" s="1279"/>
      <c r="L72" s="1279"/>
      <c r="M72" s="1279"/>
      <c r="N72" s="1279"/>
      <c r="O72" s="1279"/>
      <c r="P72" s="1279"/>
      <c r="Q72" s="1279"/>
      <c r="R72" s="1279"/>
      <c r="S72" s="1279"/>
      <c r="T72" s="1279"/>
      <c r="U72" s="1279"/>
      <c r="V72" s="1279"/>
      <c r="W72" s="1279"/>
      <c r="X72" s="1279"/>
      <c r="Y72" s="1279"/>
      <c r="Z72" s="1279"/>
      <c r="AA72" s="1279"/>
      <c r="AB72" s="1279"/>
      <c r="AC72" s="1279"/>
      <c r="AD72" s="1279"/>
      <c r="AE72" s="1279"/>
      <c r="AF72" s="1279"/>
      <c r="AG72" s="1279"/>
      <c r="AH72" s="1279"/>
      <c r="AI72" s="1279"/>
      <c r="AJ72" s="1279"/>
      <c r="AK72" s="1279"/>
      <c r="AL72" s="1279"/>
      <c r="AM72" s="1279"/>
      <c r="AN72" s="1279"/>
      <c r="AO72" s="1279"/>
      <c r="AP72" s="1279"/>
      <c r="AQ72" s="1279"/>
      <c r="AR72" s="1279"/>
      <c r="AS72" s="1279"/>
      <c r="AT72" s="1279"/>
      <c r="AU72" s="1280"/>
      <c r="AV72" s="1279"/>
      <c r="AW72" s="1279"/>
      <c r="AX72" s="1279"/>
      <c r="AY72" s="1281"/>
      <c r="AZ72" s="1280"/>
      <c r="BA72" s="1282"/>
      <c r="BB72" s="1282"/>
      <c r="BC72" s="1282"/>
      <c r="BD72" s="1282"/>
      <c r="BE72" s="1280"/>
      <c r="BF72" s="1282"/>
      <c r="BG72" s="1282"/>
      <c r="BH72" s="1282"/>
      <c r="BI72" s="1282"/>
      <c r="BJ72" s="1280"/>
      <c r="BK72" s="1283">
        <f t="shared" ref="BK72:BR72" si="140">BK49-BK73</f>
        <v>1584.0179999999996</v>
      </c>
      <c r="BL72" s="1283">
        <f t="shared" si="140"/>
        <v>1782.33</v>
      </c>
      <c r="BM72" s="1283">
        <f t="shared" si="140"/>
        <v>1851.2139999999999</v>
      </c>
      <c r="BN72" s="1282">
        <f t="shared" si="140"/>
        <v>2005.7387500000004</v>
      </c>
      <c r="BO72" s="1280">
        <f t="shared" si="140"/>
        <v>7223.3007500000003</v>
      </c>
      <c r="BP72" s="1283">
        <f t="shared" si="140"/>
        <v>1868.85</v>
      </c>
      <c r="BQ72" s="1283">
        <f t="shared" si="140"/>
        <v>1850.2375000000002</v>
      </c>
      <c r="BR72" s="1283">
        <f t="shared" si="140"/>
        <v>1940.0467499999995</v>
      </c>
      <c r="BS72" s="1282">
        <f t="shared" ref="BS72" si="141">BS49-BS73</f>
        <v>2154.96</v>
      </c>
      <c r="BT72" s="1280">
        <f>BT49-BT73</f>
        <v>7814.0942499999983</v>
      </c>
      <c r="BU72" s="2569">
        <f t="shared" ref="BU72:BX72" si="142">BU49-BU73</f>
        <v>1711.8569999999995</v>
      </c>
      <c r="BV72" s="2569">
        <f t="shared" si="142"/>
        <v>1834.5299999999997</v>
      </c>
      <c r="BW72" s="2569">
        <f t="shared" si="142"/>
        <v>2201.8107499999996</v>
      </c>
      <c r="BX72" s="2569">
        <f t="shared" si="142"/>
        <v>2446.6179999999995</v>
      </c>
      <c r="BY72" s="1280">
        <f>SUM(BU72:BX72)</f>
        <v>8194.8157499999979</v>
      </c>
      <c r="BZ72" s="2569">
        <f>BZ49-BZ73</f>
        <v>2129.9575999999997</v>
      </c>
      <c r="CA72" s="2569">
        <f t="shared" ref="CA72:CC72" si="143">CA49-CA73</f>
        <v>2117.2434000000003</v>
      </c>
      <c r="CB72" s="2569">
        <f t="shared" si="143"/>
        <v>2374.8964999999998</v>
      </c>
      <c r="CC72" s="2569">
        <f t="shared" si="143"/>
        <v>2367.2855999999992</v>
      </c>
      <c r="CD72" s="1280">
        <f>SUM(BZ72:CC72)</f>
        <v>8989.3830999999991</v>
      </c>
      <c r="CE72" s="2569">
        <f>CE49-CE73</f>
        <v>2160.6533599999993</v>
      </c>
      <c r="CF72" s="2569">
        <f t="shared" ref="CF72:CG72" si="144">CF49-CF73</f>
        <v>2149.3150420000011</v>
      </c>
      <c r="CG72" s="2569">
        <f t="shared" si="144"/>
        <v>2592.5599399999992</v>
      </c>
      <c r="CH72" s="1282"/>
      <c r="CI72" s="1280"/>
      <c r="CJ72" s="1282"/>
      <c r="CK72" s="1282"/>
      <c r="CL72" s="1282"/>
      <c r="CM72" s="1282"/>
      <c r="CN72" s="1280"/>
      <c r="CO72" s="1282"/>
      <c r="CP72" s="1282"/>
      <c r="CQ72" s="1282"/>
      <c r="CR72" s="1282"/>
      <c r="CS72" s="1280"/>
      <c r="CT72" s="1282"/>
      <c r="CU72" s="1282"/>
      <c r="CV72" s="1282"/>
      <c r="CW72" s="1282"/>
      <c r="CX72" s="1280"/>
      <c r="CY72" s="1281"/>
      <c r="CZ72" s="1281"/>
      <c r="DA72" s="1280"/>
      <c r="DB72" s="1280"/>
      <c r="DC72" s="1280"/>
      <c r="DD72" s="1280"/>
      <c r="DE72" s="1280"/>
      <c r="DF72" s="1280"/>
      <c r="DG72" s="1380"/>
      <c r="DH72" s="1380"/>
      <c r="DI72" s="1280"/>
      <c r="DJ72" s="1380"/>
      <c r="DK72" s="1380"/>
      <c r="DL72" s="1380"/>
      <c r="DM72" s="1280"/>
      <c r="DN72" s="1280"/>
      <c r="DO72" s="1280"/>
      <c r="DP72" s="1280"/>
      <c r="DQ72" s="1280"/>
      <c r="DR72" s="3056"/>
      <c r="DS72" s="264"/>
      <c r="DT72" s="253"/>
      <c r="DU72" s="264"/>
      <c r="DV72" s="264"/>
      <c r="DW72" s="264"/>
      <c r="DX72" s="264"/>
      <c r="DY72" s="264"/>
      <c r="DZ72" s="264"/>
      <c r="EA72" s="264"/>
      <c r="EB72" s="264"/>
      <c r="EC72" s="264"/>
      <c r="ED72" s="264"/>
      <c r="EE72" s="264"/>
      <c r="EF72" s="264"/>
      <c r="EG72" s="264"/>
      <c r="EH72" s="264"/>
      <c r="EI72" s="264"/>
      <c r="EJ72" s="264"/>
      <c r="EK72" s="264"/>
      <c r="EL72" s="264"/>
      <c r="EM72" s="264"/>
      <c r="EN72" s="264"/>
      <c r="EO72" s="264"/>
      <c r="EP72" s="264"/>
      <c r="EQ72" s="264"/>
      <c r="ER72" s="264"/>
    </row>
    <row r="73" spans="1:148" s="934" customFormat="1" ht="12">
      <c r="A73" s="1278" t="s">
        <v>1054</v>
      </c>
      <c r="B73" s="1279"/>
      <c r="C73" s="1279"/>
      <c r="D73" s="1279"/>
      <c r="E73" s="1279"/>
      <c r="F73" s="1279"/>
      <c r="G73" s="1279"/>
      <c r="H73" s="1279"/>
      <c r="I73" s="1279"/>
      <c r="J73" s="1279"/>
      <c r="K73" s="1279"/>
      <c r="L73" s="1279"/>
      <c r="M73" s="1279"/>
      <c r="N73" s="1279"/>
      <c r="O73" s="1279"/>
      <c r="P73" s="1279"/>
      <c r="Q73" s="1279"/>
      <c r="R73" s="1279"/>
      <c r="S73" s="1279"/>
      <c r="T73" s="1279"/>
      <c r="U73" s="1279"/>
      <c r="V73" s="1279"/>
      <c r="W73" s="1279"/>
      <c r="X73" s="1279"/>
      <c r="Y73" s="1279"/>
      <c r="Z73" s="1279"/>
      <c r="AA73" s="1279"/>
      <c r="AB73" s="1279"/>
      <c r="AC73" s="1279"/>
      <c r="AD73" s="1279"/>
      <c r="AE73" s="1279"/>
      <c r="AF73" s="1279"/>
      <c r="AG73" s="1279"/>
      <c r="AH73" s="1279"/>
      <c r="AI73" s="1279"/>
      <c r="AJ73" s="1279"/>
      <c r="AK73" s="1279"/>
      <c r="AL73" s="1279"/>
      <c r="AM73" s="1279"/>
      <c r="AN73" s="1279"/>
      <c r="AO73" s="1279"/>
      <c r="AP73" s="1279"/>
      <c r="AQ73" s="1279"/>
      <c r="AR73" s="1279"/>
      <c r="AS73" s="1279"/>
      <c r="AT73" s="1279"/>
      <c r="AU73" s="1280"/>
      <c r="AV73" s="1279"/>
      <c r="AW73" s="1279"/>
      <c r="AX73" s="1279"/>
      <c r="AY73" s="1281"/>
      <c r="AZ73" s="1280"/>
      <c r="BA73" s="1282"/>
      <c r="BB73" s="1282"/>
      <c r="BC73" s="1282"/>
      <c r="BD73" s="1282"/>
      <c r="BE73" s="1280"/>
      <c r="BF73" s="1282"/>
      <c r="BG73" s="1282"/>
      <c r="BH73" s="1282"/>
      <c r="BI73" s="1282"/>
      <c r="BJ73" s="1280">
        <v>7300</v>
      </c>
      <c r="BK73" s="1283">
        <v>1827</v>
      </c>
      <c r="BL73" s="1283">
        <v>2248</v>
      </c>
      <c r="BM73" s="1283">
        <v>1966</v>
      </c>
      <c r="BN73" s="1282">
        <v>2402</v>
      </c>
      <c r="BO73" s="1280">
        <f>SUM(BK73:BN73)</f>
        <v>8443</v>
      </c>
      <c r="BP73" s="1283">
        <v>2106</v>
      </c>
      <c r="BQ73" s="1283">
        <v>2605</v>
      </c>
      <c r="BR73" s="1283">
        <v>2530</v>
      </c>
      <c r="BS73" s="1282">
        <v>2630</v>
      </c>
      <c r="BT73" s="1280">
        <f>SUM(BP73:BS73)</f>
        <v>9871</v>
      </c>
      <c r="BU73" s="2569">
        <v>2079</v>
      </c>
      <c r="BV73" s="2569">
        <v>2488</v>
      </c>
      <c r="BW73" s="2569">
        <v>2005</v>
      </c>
      <c r="BX73" s="2569">
        <v>2677</v>
      </c>
      <c r="BY73" s="1280">
        <f t="shared" ref="BY73" si="145">BY49-BY72</f>
        <v>9249</v>
      </c>
      <c r="BZ73" s="2569">
        <v>1777</v>
      </c>
      <c r="CA73" s="2569">
        <v>2291</v>
      </c>
      <c r="CB73" s="2569">
        <v>2148</v>
      </c>
      <c r="CC73" s="2569">
        <v>2911</v>
      </c>
      <c r="CD73" s="1280">
        <f t="shared" ref="CD73" si="146">CD49-CD72</f>
        <v>9127</v>
      </c>
      <c r="CE73" s="2569">
        <v>2137</v>
      </c>
      <c r="CF73" s="2569">
        <v>2832</v>
      </c>
      <c r="CG73" s="2569">
        <v>2654</v>
      </c>
      <c r="CH73" s="1283"/>
      <c r="CI73" s="1280"/>
      <c r="CJ73" s="1282"/>
      <c r="CK73" s="1283"/>
      <c r="CL73" s="1283"/>
      <c r="CM73" s="1283"/>
      <c r="CN73" s="1280"/>
      <c r="CO73" s="1282"/>
      <c r="CP73" s="1283"/>
      <c r="CQ73" s="1283"/>
      <c r="CR73" s="1283"/>
      <c r="CS73" s="1280"/>
      <c r="CT73" s="1282"/>
      <c r="CU73" s="1283"/>
      <c r="CV73" s="1283"/>
      <c r="CW73" s="1283"/>
      <c r="CX73" s="1280"/>
      <c r="CY73" s="1281"/>
      <c r="CZ73" s="1281"/>
      <c r="DA73" s="1280"/>
      <c r="DB73" s="1280"/>
      <c r="DC73" s="1280"/>
      <c r="DD73" s="1280"/>
      <c r="DE73" s="1280"/>
      <c r="DF73" s="1280"/>
      <c r="DG73" s="1380"/>
      <c r="DH73" s="1380"/>
      <c r="DI73" s="1280"/>
      <c r="DJ73" s="1380"/>
      <c r="DK73" s="1380">
        <f>BM73+BN73+BP73+BQ73</f>
        <v>9079</v>
      </c>
      <c r="DL73" s="1380">
        <f>BR73+BS73+BU73+BV73</f>
        <v>9727</v>
      </c>
      <c r="DM73" s="1280">
        <f>BW73+BX73+BZ73+CA73</f>
        <v>8750</v>
      </c>
      <c r="DN73" s="1280"/>
      <c r="DO73" s="1280"/>
      <c r="DP73" s="1280"/>
      <c r="DQ73" s="1280"/>
      <c r="DR73" s="3056"/>
      <c r="DS73" s="264"/>
      <c r="DT73" s="253"/>
      <c r="DU73" s="264"/>
      <c r="DV73" s="264"/>
      <c r="DW73" s="264"/>
      <c r="DX73" s="264"/>
      <c r="DY73" s="264"/>
      <c r="DZ73" s="264"/>
      <c r="EA73" s="264"/>
      <c r="EB73" s="264"/>
      <c r="EC73" s="264"/>
      <c r="ED73" s="264"/>
      <c r="EE73" s="264"/>
      <c r="EF73" s="264"/>
      <c r="EG73" s="264"/>
      <c r="EH73" s="264"/>
      <c r="EI73" s="264"/>
      <c r="EJ73" s="264"/>
      <c r="EK73" s="264"/>
      <c r="EL73" s="264"/>
      <c r="EM73" s="264"/>
      <c r="EN73" s="264"/>
      <c r="EO73" s="264"/>
      <c r="EP73" s="264"/>
      <c r="EQ73" s="264"/>
      <c r="ER73" s="264"/>
    </row>
    <row r="74" spans="1:148" s="934" customFormat="1" ht="12">
      <c r="A74" s="1284" t="s">
        <v>1055</v>
      </c>
      <c r="B74" s="1285"/>
      <c r="C74" s="1286"/>
      <c r="D74" s="1286"/>
      <c r="E74" s="1286"/>
      <c r="F74" s="1286"/>
      <c r="G74" s="1285"/>
      <c r="H74" s="1286"/>
      <c r="I74" s="1286"/>
      <c r="J74" s="1286"/>
      <c r="K74" s="1286"/>
      <c r="L74" s="1285"/>
      <c r="M74" s="1286"/>
      <c r="N74" s="1286"/>
      <c r="O74" s="1286"/>
      <c r="P74" s="1287"/>
      <c r="Q74" s="1288"/>
      <c r="R74" s="1286"/>
      <c r="S74" s="1289"/>
      <c r="T74" s="1286"/>
      <c r="U74" s="1286"/>
      <c r="V74" s="1290"/>
      <c r="W74" s="1286"/>
      <c r="X74" s="1289"/>
      <c r="Y74" s="1289"/>
      <c r="Z74" s="1286"/>
      <c r="AA74" s="1290"/>
      <c r="AB74" s="1286"/>
      <c r="AC74" s="1289"/>
      <c r="AD74" s="1289"/>
      <c r="AE74" s="1286"/>
      <c r="AF74" s="1291"/>
      <c r="AG74" s="1286"/>
      <c r="AH74" s="1289"/>
      <c r="AI74" s="1289"/>
      <c r="AJ74" s="1286"/>
      <c r="AK74" s="1291"/>
      <c r="AL74" s="1286"/>
      <c r="AM74" s="1289"/>
      <c r="AN74" s="1289"/>
      <c r="AO74" s="1286"/>
      <c r="AP74" s="1291"/>
      <c r="AQ74" s="1286"/>
      <c r="AR74" s="1292"/>
      <c r="AS74" s="1292"/>
      <c r="AT74" s="1292"/>
      <c r="AU74" s="1291"/>
      <c r="AV74" s="1286"/>
      <c r="AW74" s="1286"/>
      <c r="AX74" s="1286"/>
      <c r="AY74" s="1292"/>
      <c r="AZ74" s="1352"/>
      <c r="BA74" s="1286"/>
      <c r="BB74" s="1286"/>
      <c r="BC74" s="1286"/>
      <c r="BD74" s="1286"/>
      <c r="BE74" s="1352"/>
      <c r="BF74" s="1286"/>
      <c r="BG74" s="1286"/>
      <c r="BH74" s="1286"/>
      <c r="BI74" s="1286"/>
      <c r="BJ74" s="1352"/>
      <c r="BK74" s="1293">
        <f t="shared" ref="BK74:BT74" si="147">BK73/BK17</f>
        <v>0.37600329285861289</v>
      </c>
      <c r="BL74" s="1293">
        <f t="shared" si="147"/>
        <v>0.40717261365694618</v>
      </c>
      <c r="BM74" s="1293">
        <f t="shared" si="147"/>
        <v>0.37185549460941936</v>
      </c>
      <c r="BN74" s="1293">
        <f t="shared" si="147"/>
        <v>0.39604286892003299</v>
      </c>
      <c r="BO74" s="1294">
        <f t="shared" si="147"/>
        <v>0.38850542978096814</v>
      </c>
      <c r="BP74" s="1293">
        <f t="shared" si="147"/>
        <v>0.38465753424657534</v>
      </c>
      <c r="BQ74" s="1293">
        <f t="shared" si="147"/>
        <v>0.43121999668928984</v>
      </c>
      <c r="BR74" s="1293">
        <f t="shared" si="147"/>
        <v>0.42859562934101303</v>
      </c>
      <c r="BS74" s="1293">
        <f t="shared" si="147"/>
        <v>0.41772554002541296</v>
      </c>
      <c r="BT74" s="1294">
        <f t="shared" si="147"/>
        <v>0.41623445076955512</v>
      </c>
      <c r="BU74" s="1293">
        <f>BU73/BU17</f>
        <v>0.37238044062332082</v>
      </c>
      <c r="BV74" s="1293">
        <f>BV73/BV17</f>
        <v>0.39744408945686899</v>
      </c>
      <c r="BW74" s="1293">
        <f>BW73/BW17</f>
        <v>0.33851088975181498</v>
      </c>
      <c r="BX74" s="1293">
        <f>BX73/BX17</f>
        <v>0.37252991928750345</v>
      </c>
      <c r="BY74" s="1294">
        <f t="shared" ref="BY74" si="148">BY73/BY17</f>
        <v>0.37067168964411673</v>
      </c>
      <c r="BZ74" s="1293">
        <f>BZ73/BZ17</f>
        <v>0.29145481384287353</v>
      </c>
      <c r="CA74" s="1293">
        <f>CA73/CA17</f>
        <v>0.3390056229653744</v>
      </c>
      <c r="CB74" s="1293">
        <f>CB73/CB17</f>
        <v>0.31916790490341751</v>
      </c>
      <c r="CC74" s="1293">
        <f>CC73/CC17</f>
        <v>0.37215545896190233</v>
      </c>
      <c r="CD74" s="1294">
        <f t="shared" ref="CD74" si="149">CD73/CD17</f>
        <v>0.33301711241653592</v>
      </c>
      <c r="CE74" s="1293">
        <f>CE73/CE17</f>
        <v>0.30872580179138975</v>
      </c>
      <c r="CF74" s="1293">
        <f>CF73/CF17</f>
        <v>0.36330981398332263</v>
      </c>
      <c r="CG74" s="1293">
        <f>CG73/CG17</f>
        <v>0.33611955420466061</v>
      </c>
      <c r="CH74" s="1542"/>
      <c r="CI74" s="1294"/>
      <c r="CJ74" s="1542"/>
      <c r="CK74" s="1542"/>
      <c r="CL74" s="1542"/>
      <c r="CM74" s="1542"/>
      <c r="CN74" s="1294"/>
      <c r="CO74" s="1542"/>
      <c r="CP74" s="1542"/>
      <c r="CQ74" s="1542"/>
      <c r="CR74" s="1542"/>
      <c r="CS74" s="1294"/>
      <c r="CT74" s="1542"/>
      <c r="CU74" s="1542"/>
      <c r="CV74" s="1542"/>
      <c r="CW74" s="1542"/>
      <c r="CX74" s="1294"/>
      <c r="CY74" s="1296"/>
      <c r="CZ74" s="1296"/>
      <c r="DA74" s="1291"/>
      <c r="DB74" s="1291"/>
      <c r="DC74" s="1291"/>
      <c r="DD74" s="1291"/>
      <c r="DE74" s="1291"/>
      <c r="DF74" s="1291"/>
      <c r="DG74" s="1291"/>
      <c r="DH74" s="1392"/>
      <c r="DI74" s="1387"/>
      <c r="DJ74" s="1392"/>
      <c r="DK74" s="1407"/>
      <c r="DL74" s="1413"/>
      <c r="DM74" s="1412"/>
      <c r="DN74" s="1412"/>
      <c r="DO74" s="1412"/>
      <c r="DP74" s="1412"/>
      <c r="DQ74" s="1412"/>
      <c r="DR74" s="3074"/>
      <c r="DS74" s="264"/>
      <c r="DT74" s="253"/>
      <c r="DU74" s="264"/>
      <c r="DV74" s="264"/>
      <c r="DW74" s="264"/>
      <c r="DX74" s="264"/>
      <c r="DY74" s="264"/>
      <c r="DZ74" s="264"/>
      <c r="EA74" s="264"/>
      <c r="EB74" s="264"/>
      <c r="EC74" s="264"/>
      <c r="ED74" s="264"/>
      <c r="EE74" s="264"/>
      <c r="EF74" s="264"/>
      <c r="EG74" s="264"/>
      <c r="EH74" s="264"/>
      <c r="EI74" s="264"/>
      <c r="EJ74" s="264"/>
      <c r="EK74" s="264"/>
      <c r="EL74" s="264"/>
      <c r="EM74" s="264"/>
      <c r="EN74" s="264"/>
      <c r="EO74" s="264"/>
      <c r="EP74" s="264"/>
      <c r="EQ74" s="264"/>
      <c r="ER74" s="264"/>
    </row>
    <row r="75" spans="1:148" s="934" customFormat="1" ht="12">
      <c r="A75" s="1284" t="s">
        <v>1093</v>
      </c>
      <c r="B75" s="1285"/>
      <c r="C75" s="1286"/>
      <c r="D75" s="1286"/>
      <c r="E75" s="1286"/>
      <c r="F75" s="1286"/>
      <c r="G75" s="1285"/>
      <c r="H75" s="1286"/>
      <c r="I75" s="1286"/>
      <c r="J75" s="1286"/>
      <c r="K75" s="1286"/>
      <c r="L75" s="1285"/>
      <c r="M75" s="1286"/>
      <c r="N75" s="1286"/>
      <c r="O75" s="1286"/>
      <c r="P75" s="1287"/>
      <c r="Q75" s="1288"/>
      <c r="R75" s="1286"/>
      <c r="S75" s="1289"/>
      <c r="T75" s="1286"/>
      <c r="U75" s="1286"/>
      <c r="V75" s="1290"/>
      <c r="W75" s="1286"/>
      <c r="X75" s="1289"/>
      <c r="Y75" s="1289"/>
      <c r="Z75" s="1286"/>
      <c r="AA75" s="1290"/>
      <c r="AB75" s="1286"/>
      <c r="AC75" s="1289"/>
      <c r="AD75" s="1289"/>
      <c r="AE75" s="1286"/>
      <c r="AF75" s="1291"/>
      <c r="AG75" s="1286"/>
      <c r="AH75" s="1289"/>
      <c r="AI75" s="1289"/>
      <c r="AJ75" s="1286"/>
      <c r="AK75" s="1291"/>
      <c r="AL75" s="1286"/>
      <c r="AM75" s="1289"/>
      <c r="AN75" s="1289"/>
      <c r="AO75" s="1286"/>
      <c r="AP75" s="1291"/>
      <c r="AQ75" s="1286"/>
      <c r="AR75" s="1292"/>
      <c r="AS75" s="1292"/>
      <c r="AT75" s="1292"/>
      <c r="AU75" s="1291"/>
      <c r="AV75" s="1286"/>
      <c r="AW75" s="1286"/>
      <c r="AX75" s="1286"/>
      <c r="AY75" s="1292"/>
      <c r="AZ75" s="1352"/>
      <c r="BA75" s="1286"/>
      <c r="BB75" s="1286"/>
      <c r="BC75" s="1286"/>
      <c r="BD75" s="1286"/>
      <c r="BE75" s="1352"/>
      <c r="BF75" s="1286"/>
      <c r="BG75" s="1286"/>
      <c r="BH75" s="1286"/>
      <c r="BI75" s="1286"/>
      <c r="BJ75" s="1352"/>
      <c r="BK75" s="1293"/>
      <c r="BL75" s="1293"/>
      <c r="BM75" s="1293"/>
      <c r="BN75" s="1293"/>
      <c r="BO75" s="1294">
        <f t="shared" ref="BO75:CG75" si="150">BO73/BJ73-1</f>
        <v>0.15657534246575344</v>
      </c>
      <c r="BP75" s="1293">
        <f t="shared" si="150"/>
        <v>0.15270935960591125</v>
      </c>
      <c r="BQ75" s="1293">
        <f t="shared" si="150"/>
        <v>0.15880782918149472</v>
      </c>
      <c r="BR75" s="1293">
        <f t="shared" si="150"/>
        <v>0.28687690742624627</v>
      </c>
      <c r="BS75" s="1293">
        <f t="shared" si="150"/>
        <v>9.4920899250624524E-2</v>
      </c>
      <c r="BT75" s="1294">
        <f t="shared" si="150"/>
        <v>0.16913419400686958</v>
      </c>
      <c r="BU75" s="1293"/>
      <c r="BV75" s="1293"/>
      <c r="BW75" s="1293"/>
      <c r="BX75" s="1293"/>
      <c r="BY75" s="1294"/>
      <c r="BZ75" s="1293">
        <f t="shared" si="150"/>
        <v>-0.14526214526214531</v>
      </c>
      <c r="CA75" s="1293">
        <f t="shared" si="150"/>
        <v>-7.918006430868163E-2</v>
      </c>
      <c r="CB75" s="1293">
        <f t="shared" si="150"/>
        <v>7.1321695760598436E-2</v>
      </c>
      <c r="CC75" s="1293">
        <f t="shared" si="150"/>
        <v>8.7411281285020515E-2</v>
      </c>
      <c r="CD75" s="1294">
        <f t="shared" si="150"/>
        <v>-1.3190615201643441E-2</v>
      </c>
      <c r="CE75" s="1293">
        <f t="shared" si="150"/>
        <v>0.20258863252673054</v>
      </c>
      <c r="CF75" s="1293">
        <f t="shared" si="150"/>
        <v>0.23614142295940632</v>
      </c>
      <c r="CG75" s="1293">
        <f t="shared" si="150"/>
        <v>0.23556797020484166</v>
      </c>
      <c r="CH75" s="1293"/>
      <c r="CI75" s="1294"/>
      <c r="CJ75" s="1293"/>
      <c r="CK75" s="1293"/>
      <c r="CL75" s="1293"/>
      <c r="CM75" s="1293"/>
      <c r="CN75" s="1294"/>
      <c r="CO75" s="1293"/>
      <c r="CP75" s="1293"/>
      <c r="CQ75" s="1293"/>
      <c r="CR75" s="1293"/>
      <c r="CS75" s="1294"/>
      <c r="CT75" s="1293"/>
      <c r="CU75" s="1293"/>
      <c r="CV75" s="1293"/>
      <c r="CW75" s="1293"/>
      <c r="CX75" s="1294"/>
      <c r="CY75" s="1296"/>
      <c r="CZ75" s="1296"/>
      <c r="DA75" s="1291"/>
      <c r="DB75" s="1291"/>
      <c r="DC75" s="1291"/>
      <c r="DD75" s="1291"/>
      <c r="DE75" s="1291"/>
      <c r="DF75" s="1291"/>
      <c r="DG75" s="1291"/>
      <c r="DH75" s="1392"/>
      <c r="DI75" s="1387"/>
      <c r="DJ75" s="1392"/>
      <c r="DK75" s="1407"/>
      <c r="DL75" s="1407"/>
      <c r="DM75" s="1403"/>
      <c r="DN75" s="1403"/>
      <c r="DO75" s="1403"/>
      <c r="DP75" s="1403"/>
      <c r="DQ75" s="1403"/>
      <c r="DR75" s="3075"/>
      <c r="DS75" s="264"/>
      <c r="DT75" s="1551"/>
      <c r="DU75" s="264"/>
      <c r="DV75" s="264"/>
      <c r="DW75" s="264"/>
      <c r="DX75" s="264"/>
      <c r="DY75" s="264"/>
      <c r="DZ75" s="264"/>
      <c r="EA75" s="264"/>
      <c r="EB75" s="264"/>
      <c r="EC75" s="264"/>
      <c r="ED75" s="264"/>
      <c r="EE75" s="264"/>
      <c r="EF75" s="264"/>
      <c r="EG75" s="264"/>
      <c r="EH75" s="264"/>
      <c r="EI75" s="264"/>
      <c r="EJ75" s="264"/>
      <c r="EK75" s="264"/>
      <c r="EL75" s="264"/>
      <c r="EM75" s="264"/>
      <c r="EN75" s="264"/>
      <c r="EO75" s="264"/>
      <c r="EP75" s="264"/>
      <c r="EQ75" s="264"/>
      <c r="ER75" s="264"/>
    </row>
    <row r="76" spans="1:148" s="934" customFormat="1" ht="12">
      <c r="A76" s="1284"/>
      <c r="B76" s="1285"/>
      <c r="C76" s="1286"/>
      <c r="D76" s="1286"/>
      <c r="E76" s="1286"/>
      <c r="F76" s="1286"/>
      <c r="G76" s="1285"/>
      <c r="H76" s="1286"/>
      <c r="I76" s="1286"/>
      <c r="J76" s="1286"/>
      <c r="K76" s="1286"/>
      <c r="L76" s="1285"/>
      <c r="M76" s="1286"/>
      <c r="N76" s="1286"/>
      <c r="O76" s="1286"/>
      <c r="P76" s="1287"/>
      <c r="Q76" s="1288"/>
      <c r="R76" s="1286"/>
      <c r="S76" s="1289"/>
      <c r="T76" s="1286"/>
      <c r="U76" s="1286"/>
      <c r="V76" s="1290"/>
      <c r="W76" s="1286"/>
      <c r="X76" s="1289"/>
      <c r="Y76" s="1289"/>
      <c r="Z76" s="1286"/>
      <c r="AA76" s="1290"/>
      <c r="AB76" s="1286"/>
      <c r="AC76" s="1289"/>
      <c r="AD76" s="1289"/>
      <c r="AE76" s="1286"/>
      <c r="AF76" s="1291"/>
      <c r="AG76" s="1286"/>
      <c r="AH76" s="1289"/>
      <c r="AI76" s="1289"/>
      <c r="AJ76" s="1286"/>
      <c r="AK76" s="1291"/>
      <c r="AL76" s="1286"/>
      <c r="AM76" s="1289"/>
      <c r="AN76" s="1289"/>
      <c r="AO76" s="1286"/>
      <c r="AP76" s="1291"/>
      <c r="AQ76" s="1286"/>
      <c r="AR76" s="1292"/>
      <c r="AS76" s="1292"/>
      <c r="AT76" s="1292"/>
      <c r="AU76" s="1291"/>
      <c r="AV76" s="1286"/>
      <c r="AW76" s="1286"/>
      <c r="AX76" s="1286"/>
      <c r="AY76" s="1292"/>
      <c r="AZ76" s="1352"/>
      <c r="BA76" s="1286"/>
      <c r="BB76" s="1286"/>
      <c r="BC76" s="1286"/>
      <c r="BD76" s="1286"/>
      <c r="BE76" s="1352"/>
      <c r="BF76" s="1286"/>
      <c r="BG76" s="1286"/>
      <c r="BH76" s="1286"/>
      <c r="BI76" s="1286"/>
      <c r="BJ76" s="1352"/>
      <c r="BK76" s="1293"/>
      <c r="BL76" s="1293"/>
      <c r="BM76" s="1293"/>
      <c r="BN76" s="1293"/>
      <c r="BO76" s="1294"/>
      <c r="BP76" s="1293"/>
      <c r="BQ76" s="1293"/>
      <c r="BR76" s="1293"/>
      <c r="BS76" s="1293"/>
      <c r="BT76" s="1294"/>
      <c r="BU76" s="1293"/>
      <c r="BV76" s="1293"/>
      <c r="BW76" s="1293"/>
      <c r="BX76" s="1293"/>
      <c r="BY76" s="1294"/>
      <c r="BZ76" s="1293"/>
      <c r="CA76" s="1293"/>
      <c r="CB76" s="1293"/>
      <c r="CC76" s="1293"/>
      <c r="CD76" s="1294"/>
      <c r="CE76" s="1293"/>
      <c r="CF76" s="1293"/>
      <c r="CG76" s="1293"/>
      <c r="CH76" s="1293"/>
      <c r="CI76" s="1294"/>
      <c r="CJ76" s="1293"/>
      <c r="CK76" s="1293"/>
      <c r="CL76" s="1293"/>
      <c r="CM76" s="1293"/>
      <c r="CN76" s="1294"/>
      <c r="CO76" s="1293"/>
      <c r="CP76" s="1293"/>
      <c r="CQ76" s="1293"/>
      <c r="CR76" s="1293"/>
      <c r="CS76" s="1294"/>
      <c r="CT76" s="1293"/>
      <c r="CU76" s="1293"/>
      <c r="CV76" s="1293"/>
      <c r="CW76" s="1293"/>
      <c r="CX76" s="1294"/>
      <c r="CY76" s="1296"/>
      <c r="CZ76" s="1296"/>
      <c r="DA76" s="1291"/>
      <c r="DB76" s="1291"/>
      <c r="DC76" s="1291"/>
      <c r="DD76" s="1291"/>
      <c r="DE76" s="1291"/>
      <c r="DF76" s="1291"/>
      <c r="DG76" s="1291"/>
      <c r="DH76" s="1392"/>
      <c r="DI76" s="1387"/>
      <c r="DJ76" s="1392"/>
      <c r="DK76" s="1407"/>
      <c r="DL76" s="1407"/>
      <c r="DM76" s="1403"/>
      <c r="DN76" s="1403"/>
      <c r="DO76" s="1403"/>
      <c r="DP76" s="1403"/>
      <c r="DQ76" s="1403"/>
      <c r="DR76" s="3075"/>
      <c r="DS76" s="264"/>
      <c r="DT76" s="1551"/>
      <c r="DU76" s="264"/>
      <c r="DV76" s="264"/>
      <c r="DW76" s="264"/>
      <c r="DX76" s="264"/>
      <c r="DY76" s="264"/>
      <c r="DZ76" s="264"/>
      <c r="EA76" s="264"/>
      <c r="EB76" s="264"/>
      <c r="EC76" s="264"/>
      <c r="ED76" s="264"/>
      <c r="EE76" s="264"/>
      <c r="EF76" s="264"/>
      <c r="EG76" s="264"/>
      <c r="EH76" s="264"/>
      <c r="EI76" s="264"/>
      <c r="EJ76" s="264"/>
      <c r="EK76" s="264"/>
      <c r="EL76" s="264"/>
      <c r="EM76" s="264"/>
      <c r="EN76" s="264"/>
      <c r="EO76" s="264"/>
      <c r="EP76" s="264"/>
      <c r="EQ76" s="264"/>
      <c r="ER76" s="264"/>
    </row>
    <row r="77" spans="1:148" s="934" customFormat="1" ht="12">
      <c r="A77" s="1278" t="s">
        <v>1056</v>
      </c>
      <c r="B77" s="1279"/>
      <c r="C77" s="1279"/>
      <c r="D77" s="1279"/>
      <c r="E77" s="1279"/>
      <c r="F77" s="1279"/>
      <c r="G77" s="1279"/>
      <c r="H77" s="1279"/>
      <c r="I77" s="1279"/>
      <c r="J77" s="1279"/>
      <c r="K77" s="1279"/>
      <c r="L77" s="1279"/>
      <c r="M77" s="1279"/>
      <c r="N77" s="1279"/>
      <c r="O77" s="1279"/>
      <c r="P77" s="1279"/>
      <c r="Q77" s="1279"/>
      <c r="R77" s="1279"/>
      <c r="S77" s="1279"/>
      <c r="T77" s="1279"/>
      <c r="U77" s="1279"/>
      <c r="V77" s="1279"/>
      <c r="W77" s="1279"/>
      <c r="X77" s="1279"/>
      <c r="Y77" s="1279"/>
      <c r="Z77" s="1279"/>
      <c r="AA77" s="1279"/>
      <c r="AB77" s="1279"/>
      <c r="AC77" s="1279"/>
      <c r="AD77" s="1279"/>
      <c r="AE77" s="1279"/>
      <c r="AF77" s="1279"/>
      <c r="AG77" s="1279"/>
      <c r="AH77" s="1279"/>
      <c r="AI77" s="1279"/>
      <c r="AJ77" s="1279"/>
      <c r="AK77" s="1279"/>
      <c r="AL77" s="1279"/>
      <c r="AM77" s="1279"/>
      <c r="AN77" s="1279"/>
      <c r="AO77" s="1279"/>
      <c r="AP77" s="1279"/>
      <c r="AQ77" s="1279"/>
      <c r="AR77" s="1279"/>
      <c r="AS77" s="1279"/>
      <c r="AT77" s="1279"/>
      <c r="AU77" s="1280"/>
      <c r="AV77" s="1279"/>
      <c r="AW77" s="1279"/>
      <c r="AX77" s="1279"/>
      <c r="AY77" s="1281"/>
      <c r="AZ77" s="1280"/>
      <c r="BA77" s="1282"/>
      <c r="BB77" s="1282"/>
      <c r="BC77" s="1282"/>
      <c r="BD77" s="1282"/>
      <c r="BE77" s="1280"/>
      <c r="BF77" s="1282"/>
      <c r="BG77" s="1282"/>
      <c r="BH77" s="1282"/>
      <c r="BI77" s="1282"/>
      <c r="BJ77" s="1280"/>
      <c r="BK77" s="1283">
        <f t="shared" ref="BK77:BX77" si="151">BK54-BK78</f>
        <v>2976.0140000000001</v>
      </c>
      <c r="BL77" s="1283">
        <f t="shared" si="151"/>
        <v>3882.027</v>
      </c>
      <c r="BM77" s="1283">
        <f t="shared" si="151"/>
        <v>3013.018</v>
      </c>
      <c r="BN77" s="1282">
        <f t="shared" si="151"/>
        <v>4296.1346499999981</v>
      </c>
      <c r="BO77" s="1280">
        <f t="shared" si="151"/>
        <v>14167.193650000001</v>
      </c>
      <c r="BP77" s="1283">
        <f t="shared" si="151"/>
        <v>3655.3999999999996</v>
      </c>
      <c r="BQ77" s="1283">
        <f t="shared" si="151"/>
        <v>3946.5805000000009</v>
      </c>
      <c r="BR77" s="1283">
        <f t="shared" si="151"/>
        <v>3352.6187500000005</v>
      </c>
      <c r="BS77" s="1282">
        <f t="shared" si="151"/>
        <v>3607.5996000000014</v>
      </c>
      <c r="BT77" s="1280">
        <f t="shared" si="151"/>
        <v>14562.198850000004</v>
      </c>
      <c r="BU77" s="2569">
        <f t="shared" si="151"/>
        <v>3461.5464000000011</v>
      </c>
      <c r="BV77" s="2569">
        <f t="shared" si="151"/>
        <v>3640.6099999999997</v>
      </c>
      <c r="BW77" s="2569">
        <f t="shared" si="151"/>
        <v>2857.4262499999995</v>
      </c>
      <c r="BX77" s="2569">
        <f t="shared" si="151"/>
        <v>3394.4516999999996</v>
      </c>
      <c r="BY77" s="1280">
        <f>SUM(BU77:BX77)</f>
        <v>13354.03435</v>
      </c>
      <c r="BZ77" s="2569">
        <f>BZ54-BZ78</f>
        <v>2948.8353999999999</v>
      </c>
      <c r="CA77" s="2569">
        <f t="shared" ref="CA77:CC77" si="152">CA54-CA78</f>
        <v>3117.7095999999983</v>
      </c>
      <c r="CB77" s="2569">
        <f>CB54-CB78</f>
        <v>2500.7539000000006</v>
      </c>
      <c r="CC77" s="2569">
        <f t="shared" si="152"/>
        <v>3134.2368000000006</v>
      </c>
      <c r="CD77" s="1280">
        <f>SUM(BZ77:CC77)</f>
        <v>11701.535699999999</v>
      </c>
      <c r="CE77" s="2569">
        <f>CE54-CE78</f>
        <v>2915.0189399999981</v>
      </c>
      <c r="CF77" s="2569">
        <f t="shared" ref="CF77" si="153">CF54-CF78</f>
        <v>3168.7095999999983</v>
      </c>
      <c r="CG77" s="2569">
        <f>CG54-CG78</f>
        <v>2603.0480257891741</v>
      </c>
      <c r="CH77" s="1282"/>
      <c r="CI77" s="1280"/>
      <c r="CJ77" s="1282"/>
      <c r="CK77" s="1282"/>
      <c r="CL77" s="1282"/>
      <c r="CM77" s="1282"/>
      <c r="CN77" s="1280"/>
      <c r="CO77" s="1282"/>
      <c r="CP77" s="1282"/>
      <c r="CQ77" s="1282"/>
      <c r="CR77" s="1282"/>
      <c r="CS77" s="1280"/>
      <c r="CT77" s="1282"/>
      <c r="CU77" s="1282"/>
      <c r="CV77" s="1282"/>
      <c r="CW77" s="1282"/>
      <c r="CX77" s="1280"/>
      <c r="CY77" s="1281"/>
      <c r="CZ77" s="1281"/>
      <c r="DA77" s="1280"/>
      <c r="DB77" s="1280"/>
      <c r="DC77" s="1280"/>
      <c r="DD77" s="1280"/>
      <c r="DE77" s="1280"/>
      <c r="DF77" s="1280"/>
      <c r="DG77" s="1380"/>
      <c r="DH77" s="1380"/>
      <c r="DI77" s="1280"/>
      <c r="DJ77" s="1380"/>
      <c r="DK77" s="1380"/>
      <c r="DL77" s="1380"/>
      <c r="DM77" s="1280"/>
      <c r="DN77" s="1280"/>
      <c r="DO77" s="1280"/>
      <c r="DP77" s="1280"/>
      <c r="DQ77" s="1280"/>
      <c r="DR77" s="3056"/>
      <c r="DS77" s="264"/>
      <c r="DT77" s="253"/>
      <c r="DU77" s="264"/>
      <c r="DV77" s="264"/>
      <c r="DW77" s="264"/>
      <c r="DX77" s="264"/>
      <c r="DY77" s="264"/>
      <c r="DZ77" s="264"/>
      <c r="EA77" s="264"/>
      <c r="EB77" s="264"/>
      <c r="EC77" s="264"/>
      <c r="ED77" s="264"/>
      <c r="EE77" s="264"/>
      <c r="EF77" s="264"/>
      <c r="EG77" s="264"/>
      <c r="EH77" s="264"/>
      <c r="EI77" s="264"/>
      <c r="EJ77" s="264"/>
      <c r="EK77" s="264"/>
      <c r="EL77" s="264"/>
      <c r="EM77" s="264"/>
      <c r="EN77" s="264"/>
      <c r="EO77" s="264"/>
      <c r="EP77" s="264"/>
      <c r="EQ77" s="264"/>
      <c r="ER77" s="264"/>
    </row>
    <row r="78" spans="1:148" s="934" customFormat="1" ht="12">
      <c r="A78" s="1278" t="s">
        <v>1057</v>
      </c>
      <c r="B78" s="1279"/>
      <c r="C78" s="1279"/>
      <c r="D78" s="1279"/>
      <c r="E78" s="1279"/>
      <c r="F78" s="1279"/>
      <c r="G78" s="1279"/>
      <c r="H78" s="1279"/>
      <c r="I78" s="1279"/>
      <c r="J78" s="1279"/>
      <c r="K78" s="1279"/>
      <c r="L78" s="1279"/>
      <c r="M78" s="1279"/>
      <c r="N78" s="1279"/>
      <c r="O78" s="1279"/>
      <c r="P78" s="1279"/>
      <c r="Q78" s="1279"/>
      <c r="R78" s="1279"/>
      <c r="S78" s="1279"/>
      <c r="T78" s="1279"/>
      <c r="U78" s="1279"/>
      <c r="V78" s="1279"/>
      <c r="W78" s="1279"/>
      <c r="X78" s="1279"/>
      <c r="Y78" s="1279"/>
      <c r="Z78" s="1279"/>
      <c r="AA78" s="1279"/>
      <c r="AB78" s="1279"/>
      <c r="AC78" s="1279"/>
      <c r="AD78" s="1279"/>
      <c r="AE78" s="1279"/>
      <c r="AF78" s="1279"/>
      <c r="AG78" s="1279"/>
      <c r="AH78" s="1279"/>
      <c r="AI78" s="1279"/>
      <c r="AJ78" s="1279"/>
      <c r="AK78" s="1279"/>
      <c r="AL78" s="1279"/>
      <c r="AM78" s="1279"/>
      <c r="AN78" s="1279"/>
      <c r="AO78" s="1279"/>
      <c r="AP78" s="1279"/>
      <c r="AQ78" s="1279"/>
      <c r="AR78" s="1279"/>
      <c r="AS78" s="1279"/>
      <c r="AT78" s="1279"/>
      <c r="AU78" s="1280"/>
      <c r="AV78" s="1279"/>
      <c r="AW78" s="1279"/>
      <c r="AX78" s="1279"/>
      <c r="AY78" s="1281"/>
      <c r="AZ78" s="1280"/>
      <c r="BA78" s="1282"/>
      <c r="BB78" s="1282"/>
      <c r="BC78" s="1282"/>
      <c r="BD78" s="1282"/>
      <c r="BE78" s="1280"/>
      <c r="BF78" s="1282"/>
      <c r="BG78" s="1282"/>
      <c r="BH78" s="1282"/>
      <c r="BI78" s="1282"/>
      <c r="BJ78" s="1280">
        <v>6144</v>
      </c>
      <c r="BK78" s="1283">
        <v>1488</v>
      </c>
      <c r="BL78" s="1283">
        <v>2067</v>
      </c>
      <c r="BM78" s="1283">
        <v>1703</v>
      </c>
      <c r="BN78" s="1282">
        <v>892</v>
      </c>
      <c r="BO78" s="1280">
        <f>SUM(BK78:BN78)</f>
        <v>6150</v>
      </c>
      <c r="BP78" s="1283">
        <v>1619</v>
      </c>
      <c r="BQ78" s="1283">
        <v>1596</v>
      </c>
      <c r="BR78" s="1283">
        <v>1202</v>
      </c>
      <c r="BS78" s="1282">
        <v>762</v>
      </c>
      <c r="BT78" s="1280">
        <f>SUM(BP78:BS78)</f>
        <v>5179</v>
      </c>
      <c r="BU78" s="2569">
        <v>1393</v>
      </c>
      <c r="BV78" s="2569">
        <v>1915</v>
      </c>
      <c r="BW78" s="2569">
        <v>1600</v>
      </c>
      <c r="BX78" s="2569">
        <v>1275</v>
      </c>
      <c r="BY78" s="1280">
        <f t="shared" ref="BY78" si="154">BY54-BY77</f>
        <v>6183.0000000000018</v>
      </c>
      <c r="BZ78" s="2569">
        <v>2033</v>
      </c>
      <c r="CA78" s="2569">
        <v>2561</v>
      </c>
      <c r="CB78" s="2569">
        <v>2035</v>
      </c>
      <c r="CC78" s="2569">
        <v>2186</v>
      </c>
      <c r="CD78" s="1280">
        <f t="shared" ref="CD78" si="155">CD54-CD77</f>
        <v>8815.0000000000018</v>
      </c>
      <c r="CE78" s="2569">
        <v>2565</v>
      </c>
      <c r="CF78" s="2569">
        <v>2510</v>
      </c>
      <c r="CG78" s="2569">
        <v>2523</v>
      </c>
      <c r="CH78" s="1283"/>
      <c r="CI78" s="1280"/>
      <c r="CJ78" s="1283"/>
      <c r="CK78" s="1283"/>
      <c r="CL78" s="1283"/>
      <c r="CM78" s="1283"/>
      <c r="CN78" s="1280"/>
      <c r="CO78" s="1283"/>
      <c r="CP78" s="1283"/>
      <c r="CQ78" s="1283"/>
      <c r="CR78" s="1283"/>
      <c r="CS78" s="1280"/>
      <c r="CT78" s="1283"/>
      <c r="CU78" s="1283"/>
      <c r="CV78" s="1283"/>
      <c r="CW78" s="1283"/>
      <c r="CX78" s="1280"/>
      <c r="CY78" s="1281"/>
      <c r="CZ78" s="1281"/>
      <c r="DA78" s="1280"/>
      <c r="DB78" s="1280"/>
      <c r="DC78" s="1280"/>
      <c r="DD78" s="1280"/>
      <c r="DE78" s="1280"/>
      <c r="DF78" s="1280"/>
      <c r="DG78" s="1380"/>
      <c r="DH78" s="1380"/>
      <c r="DI78" s="1280"/>
      <c r="DJ78" s="1380"/>
      <c r="DK78" s="1380">
        <f>BM78+BN78+BP78+BQ78</f>
        <v>5810</v>
      </c>
      <c r="DL78" s="1380">
        <f>BR78+BS78+BU78+BV78</f>
        <v>5272</v>
      </c>
      <c r="DM78" s="1280">
        <f>BW78+BX78+BZ78+CA78</f>
        <v>7469</v>
      </c>
      <c r="DN78" s="1280"/>
      <c r="DO78" s="1280"/>
      <c r="DP78" s="1280"/>
      <c r="DQ78" s="1280"/>
      <c r="DR78" s="3056"/>
      <c r="DS78" s="264"/>
      <c r="DT78" s="253"/>
      <c r="DU78" s="264"/>
      <c r="DV78" s="264"/>
      <c r="DW78" s="264"/>
      <c r="DX78" s="264"/>
      <c r="DY78" s="264"/>
      <c r="DZ78" s="264"/>
      <c r="EA78" s="264"/>
      <c r="EB78" s="264"/>
      <c r="EC78" s="264"/>
      <c r="ED78" s="264"/>
      <c r="EE78" s="264"/>
      <c r="EF78" s="264"/>
      <c r="EG78" s="264"/>
      <c r="EH78" s="264"/>
      <c r="EI78" s="264"/>
      <c r="EJ78" s="264"/>
      <c r="EK78" s="264"/>
      <c r="EL78" s="264"/>
      <c r="EM78" s="264"/>
      <c r="EN78" s="264"/>
      <c r="EO78" s="264"/>
      <c r="EP78" s="264"/>
      <c r="EQ78" s="264"/>
      <c r="ER78" s="264"/>
    </row>
    <row r="79" spans="1:148" s="934" customFormat="1" ht="12">
      <c r="A79" s="1284" t="s">
        <v>1058</v>
      </c>
      <c r="B79" s="1285"/>
      <c r="C79" s="1286"/>
      <c r="D79" s="1286"/>
      <c r="E79" s="1286"/>
      <c r="F79" s="1286"/>
      <c r="G79" s="1285"/>
      <c r="H79" s="1286"/>
      <c r="I79" s="1286"/>
      <c r="J79" s="1286"/>
      <c r="K79" s="1286"/>
      <c r="L79" s="1285"/>
      <c r="M79" s="1286"/>
      <c r="N79" s="1286"/>
      <c r="O79" s="1286"/>
      <c r="P79" s="1287"/>
      <c r="Q79" s="1288"/>
      <c r="R79" s="1286"/>
      <c r="S79" s="1289"/>
      <c r="T79" s="1286"/>
      <c r="U79" s="1286"/>
      <c r="V79" s="1290"/>
      <c r="W79" s="1286"/>
      <c r="X79" s="1289"/>
      <c r="Y79" s="1289"/>
      <c r="Z79" s="1286"/>
      <c r="AA79" s="1290"/>
      <c r="AB79" s="1286"/>
      <c r="AC79" s="1289"/>
      <c r="AD79" s="1289"/>
      <c r="AE79" s="1286"/>
      <c r="AF79" s="1291"/>
      <c r="AG79" s="1286"/>
      <c r="AH79" s="1289"/>
      <c r="AI79" s="1289"/>
      <c r="AJ79" s="1286"/>
      <c r="AK79" s="1291"/>
      <c r="AL79" s="1286"/>
      <c r="AM79" s="1289"/>
      <c r="AN79" s="1289"/>
      <c r="AO79" s="1286"/>
      <c r="AP79" s="1291"/>
      <c r="AQ79" s="1286"/>
      <c r="AR79" s="1292"/>
      <c r="AS79" s="1292"/>
      <c r="AT79" s="1292"/>
      <c r="AU79" s="1291"/>
      <c r="AV79" s="1286"/>
      <c r="AW79" s="1286"/>
      <c r="AX79" s="1286"/>
      <c r="AY79" s="1292"/>
      <c r="AZ79" s="1352"/>
      <c r="BA79" s="1286"/>
      <c r="BB79" s="1286"/>
      <c r="BC79" s="1286"/>
      <c r="BD79" s="1286"/>
      <c r="BE79" s="1352"/>
      <c r="BF79" s="1286"/>
      <c r="BG79" s="1286"/>
      <c r="BH79" s="1286"/>
      <c r="BI79" s="1286"/>
      <c r="BJ79" s="1352"/>
      <c r="BK79" s="1293">
        <f t="shared" ref="BK79:BT79" si="156">BK78/BK24</f>
        <v>0.19594416644719514</v>
      </c>
      <c r="BL79" s="1293">
        <f t="shared" si="156"/>
        <v>0.1712510356255178</v>
      </c>
      <c r="BM79" s="1293">
        <f t="shared" si="156"/>
        <v>0.20151461365518875</v>
      </c>
      <c r="BN79" s="1293">
        <f t="shared" si="156"/>
        <v>8.6669257675864753E-2</v>
      </c>
      <c r="BO79" s="1294">
        <f t="shared" si="156"/>
        <v>0.16012706017132294</v>
      </c>
      <c r="BP79" s="1293">
        <f t="shared" si="156"/>
        <v>0.14409042363830546</v>
      </c>
      <c r="BQ79" s="1293">
        <f t="shared" si="156"/>
        <v>0.12088161781413315</v>
      </c>
      <c r="BR79" s="1293">
        <f t="shared" si="156"/>
        <v>0.12912235471049521</v>
      </c>
      <c r="BS79" s="1293">
        <f t="shared" si="156"/>
        <v>8.2781097229766426E-2</v>
      </c>
      <c r="BT79" s="1294">
        <f t="shared" si="156"/>
        <v>0.12057365026889856</v>
      </c>
      <c r="BU79" s="1293">
        <f>BU78/BU24</f>
        <v>0.14931932683031407</v>
      </c>
      <c r="BV79" s="1293">
        <f>BV78/BV24</f>
        <v>0.15304083752896988</v>
      </c>
      <c r="BW79" s="1293">
        <f>BW78/BW24</f>
        <v>0.17044849259614361</v>
      </c>
      <c r="BX79" s="1293">
        <f>BX78/BX24</f>
        <v>0.13887376102821045</v>
      </c>
      <c r="BY79" s="1294">
        <f t="shared" ref="BY79" si="157">BY78/BY24</f>
        <v>0.15300668151447666</v>
      </c>
      <c r="BZ79" s="1293">
        <f>BZ78/BZ24</f>
        <v>0.2163916977115487</v>
      </c>
      <c r="CA79" s="1293">
        <f>CA78/CA24</f>
        <v>0.21540920178316089</v>
      </c>
      <c r="CB79" s="1293">
        <f>CB78/CB24</f>
        <v>0.23190883190883191</v>
      </c>
      <c r="CC79" s="1293">
        <f>CC78/CC24</f>
        <v>0.23670817541959935</v>
      </c>
      <c r="CD79" s="1294">
        <f t="shared" ref="CD79" si="158">CD78/CD24</f>
        <v>0.22433450399552099</v>
      </c>
      <c r="CE79" s="1293">
        <f>CE78/CE24</f>
        <v>0.27351247600767753</v>
      </c>
      <c r="CF79" s="1293">
        <f>CF78/CF24</f>
        <v>0.20624486442070666</v>
      </c>
      <c r="CG79" s="1293">
        <f>CG78/CG24</f>
        <v>0.25441161641625493</v>
      </c>
      <c r="CH79" s="1542"/>
      <c r="CI79" s="1294"/>
      <c r="CJ79" s="1542"/>
      <c r="CK79" s="1542"/>
      <c r="CL79" s="1542"/>
      <c r="CM79" s="1542"/>
      <c r="CN79" s="1294"/>
      <c r="CO79" s="1542"/>
      <c r="CP79" s="1542"/>
      <c r="CQ79" s="1542"/>
      <c r="CR79" s="1542"/>
      <c r="CS79" s="1294"/>
      <c r="CT79" s="1542"/>
      <c r="CU79" s="1542"/>
      <c r="CV79" s="1542"/>
      <c r="CW79" s="1542"/>
      <c r="CX79" s="1294"/>
      <c r="CY79" s="1296"/>
      <c r="CZ79" s="1296"/>
      <c r="DA79" s="1291"/>
      <c r="DB79" s="1291"/>
      <c r="DC79" s="1291"/>
      <c r="DD79" s="1291"/>
      <c r="DE79" s="1291"/>
      <c r="DF79" s="1291"/>
      <c r="DG79" s="1291"/>
      <c r="DH79" s="1392"/>
      <c r="DI79" s="1387"/>
      <c r="DJ79" s="1392"/>
      <c r="DK79" s="1407"/>
      <c r="DL79" s="1407"/>
      <c r="DM79" s="1403"/>
      <c r="DN79" s="1403"/>
      <c r="DO79" s="1403"/>
      <c r="DP79" s="1403"/>
      <c r="DQ79" s="1403"/>
      <c r="DR79" s="3075"/>
      <c r="DS79" s="264"/>
      <c r="DT79" s="253"/>
      <c r="DU79" s="264"/>
      <c r="DV79" s="264"/>
      <c r="DW79" s="264"/>
      <c r="DX79" s="264"/>
      <c r="DY79" s="264"/>
      <c r="DZ79" s="264"/>
      <c r="EA79" s="264"/>
      <c r="EB79" s="264"/>
      <c r="EC79" s="264"/>
      <c r="ED79" s="264"/>
      <c r="EE79" s="264"/>
      <c r="EF79" s="264"/>
      <c r="EG79" s="264"/>
      <c r="EH79" s="264"/>
      <c r="EI79" s="264"/>
      <c r="EJ79" s="264"/>
      <c r="EK79" s="264"/>
      <c r="EL79" s="264"/>
      <c r="EM79" s="264"/>
      <c r="EN79" s="264"/>
      <c r="EO79" s="264"/>
      <c r="EP79" s="264"/>
      <c r="EQ79" s="264"/>
      <c r="ER79" s="264"/>
    </row>
    <row r="80" spans="1:148" s="934" customFormat="1" ht="12">
      <c r="A80" s="1284" t="s">
        <v>1093</v>
      </c>
      <c r="B80" s="1285"/>
      <c r="C80" s="1286"/>
      <c r="D80" s="1286"/>
      <c r="E80" s="1286"/>
      <c r="F80" s="1286"/>
      <c r="G80" s="1285"/>
      <c r="H80" s="1286"/>
      <c r="I80" s="1286"/>
      <c r="J80" s="1286"/>
      <c r="K80" s="1286"/>
      <c r="L80" s="1285"/>
      <c r="M80" s="1286"/>
      <c r="N80" s="1286"/>
      <c r="O80" s="1286"/>
      <c r="P80" s="1287"/>
      <c r="Q80" s="1288"/>
      <c r="R80" s="1286"/>
      <c r="S80" s="1289"/>
      <c r="T80" s="1286"/>
      <c r="U80" s="1286"/>
      <c r="V80" s="1290"/>
      <c r="W80" s="1286"/>
      <c r="X80" s="1289"/>
      <c r="Y80" s="1289"/>
      <c r="Z80" s="1286"/>
      <c r="AA80" s="1290"/>
      <c r="AB80" s="1286"/>
      <c r="AC80" s="1289"/>
      <c r="AD80" s="1289"/>
      <c r="AE80" s="1286"/>
      <c r="AF80" s="1291"/>
      <c r="AG80" s="1286"/>
      <c r="AH80" s="1289"/>
      <c r="AI80" s="1289"/>
      <c r="AJ80" s="1286"/>
      <c r="AK80" s="1291"/>
      <c r="AL80" s="1286"/>
      <c r="AM80" s="1289"/>
      <c r="AN80" s="1289"/>
      <c r="AO80" s="1286"/>
      <c r="AP80" s="1291"/>
      <c r="AQ80" s="1286"/>
      <c r="AR80" s="1292"/>
      <c r="AS80" s="1292"/>
      <c r="AT80" s="1292"/>
      <c r="AU80" s="1291"/>
      <c r="AV80" s="1286"/>
      <c r="AW80" s="1286"/>
      <c r="AX80" s="1286"/>
      <c r="AY80" s="1292"/>
      <c r="AZ80" s="1352"/>
      <c r="BA80" s="1286"/>
      <c r="BB80" s="1286"/>
      <c r="BC80" s="1286"/>
      <c r="BD80" s="1286"/>
      <c r="BE80" s="1352"/>
      <c r="BF80" s="1286"/>
      <c r="BG80" s="1286"/>
      <c r="BH80" s="1286"/>
      <c r="BI80" s="1286"/>
      <c r="BJ80" s="1352"/>
      <c r="BK80" s="1293"/>
      <c r="BL80" s="1293"/>
      <c r="BM80" s="1293"/>
      <c r="BN80" s="1293"/>
      <c r="BO80" s="1294">
        <f t="shared" ref="BO80:CG80" si="159">BO78/BJ78-1</f>
        <v>9.765625E-4</v>
      </c>
      <c r="BP80" s="1293">
        <f t="shared" si="159"/>
        <v>8.8037634408602239E-2</v>
      </c>
      <c r="BQ80" s="1293">
        <f t="shared" si="159"/>
        <v>-0.22786647314949204</v>
      </c>
      <c r="BR80" s="1293">
        <f t="shared" si="159"/>
        <v>-0.29418672930123313</v>
      </c>
      <c r="BS80" s="1293">
        <f t="shared" si="159"/>
        <v>-0.14573991031390132</v>
      </c>
      <c r="BT80" s="1294">
        <f t="shared" si="159"/>
        <v>-0.15788617886178857</v>
      </c>
      <c r="BU80" s="1293"/>
      <c r="BV80" s="1293"/>
      <c r="BW80" s="1293"/>
      <c r="BX80" s="1293"/>
      <c r="BY80" s="1294"/>
      <c r="BZ80" s="1293">
        <f t="shared" si="159"/>
        <v>0.45944005743000726</v>
      </c>
      <c r="CA80" s="1293">
        <f t="shared" si="159"/>
        <v>0.33733681462140996</v>
      </c>
      <c r="CB80" s="1293">
        <f t="shared" si="159"/>
        <v>0.27187500000000009</v>
      </c>
      <c r="CC80" s="1293">
        <f t="shared" si="159"/>
        <v>0.71450980392156871</v>
      </c>
      <c r="CD80" s="1294">
        <f t="shared" si="159"/>
        <v>0.42568332524664387</v>
      </c>
      <c r="CE80" s="1293">
        <f t="shared" si="159"/>
        <v>0.26168224299065423</v>
      </c>
      <c r="CF80" s="1293">
        <f t="shared" si="159"/>
        <v>-1.991409605622807E-2</v>
      </c>
      <c r="CG80" s="1293">
        <f t="shared" si="159"/>
        <v>0.23980343980343988</v>
      </c>
      <c r="CH80" s="1293"/>
      <c r="CI80" s="1294"/>
      <c r="CJ80" s="1293"/>
      <c r="CK80" s="1293"/>
      <c r="CL80" s="1293"/>
      <c r="CM80" s="1293"/>
      <c r="CN80" s="1294"/>
      <c r="CO80" s="1293"/>
      <c r="CP80" s="1293"/>
      <c r="CQ80" s="1293"/>
      <c r="CR80" s="1293"/>
      <c r="CS80" s="1294"/>
      <c r="CT80" s="1293"/>
      <c r="CU80" s="1293"/>
      <c r="CV80" s="1293"/>
      <c r="CW80" s="1293"/>
      <c r="CX80" s="1294"/>
      <c r="CY80" s="1296"/>
      <c r="CZ80" s="1296"/>
      <c r="DA80" s="1291"/>
      <c r="DB80" s="1291"/>
      <c r="DC80" s="1291"/>
      <c r="DD80" s="1291"/>
      <c r="DE80" s="1291"/>
      <c r="DF80" s="1291"/>
      <c r="DG80" s="1291"/>
      <c r="DH80" s="1392"/>
      <c r="DI80" s="1387"/>
      <c r="DJ80" s="1392"/>
      <c r="DK80" s="1407"/>
      <c r="DL80" s="1407"/>
      <c r="DM80" s="1403"/>
      <c r="DN80" s="1403"/>
      <c r="DO80" s="1403"/>
      <c r="DP80" s="1403"/>
      <c r="DQ80" s="1403"/>
      <c r="DR80" s="3075"/>
      <c r="DS80" s="264"/>
      <c r="DT80" s="253"/>
      <c r="DU80" s="264"/>
      <c r="DV80" s="264"/>
      <c r="DW80" s="264"/>
      <c r="DX80" s="264"/>
      <c r="DY80" s="264"/>
      <c r="DZ80" s="264"/>
      <c r="EA80" s="264"/>
      <c r="EB80" s="264"/>
      <c r="EC80" s="264"/>
      <c r="ED80" s="264"/>
      <c r="EE80" s="264"/>
      <c r="EF80" s="264"/>
      <c r="EG80" s="264"/>
      <c r="EH80" s="264"/>
      <c r="EI80" s="264"/>
      <c r="EJ80" s="264"/>
      <c r="EK80" s="264"/>
      <c r="EL80" s="264"/>
      <c r="EM80" s="264"/>
      <c r="EN80" s="264"/>
      <c r="EO80" s="264"/>
      <c r="EP80" s="264"/>
      <c r="EQ80" s="264"/>
      <c r="ER80" s="264"/>
    </row>
    <row r="81" spans="1:148" s="934" customFormat="1" ht="12">
      <c r="A81" s="1284"/>
      <c r="B81" s="1285"/>
      <c r="C81" s="1286"/>
      <c r="D81" s="1286"/>
      <c r="E81" s="1286"/>
      <c r="F81" s="1286"/>
      <c r="G81" s="1285"/>
      <c r="H81" s="1286"/>
      <c r="I81" s="1286"/>
      <c r="J81" s="1286"/>
      <c r="K81" s="1286"/>
      <c r="L81" s="1285"/>
      <c r="M81" s="1286"/>
      <c r="N81" s="1286"/>
      <c r="O81" s="1286"/>
      <c r="P81" s="1287"/>
      <c r="Q81" s="1288"/>
      <c r="R81" s="1286"/>
      <c r="S81" s="1289"/>
      <c r="T81" s="1286"/>
      <c r="U81" s="1286"/>
      <c r="V81" s="1290"/>
      <c r="W81" s="1286"/>
      <c r="X81" s="1289"/>
      <c r="Y81" s="1289"/>
      <c r="Z81" s="1286"/>
      <c r="AA81" s="1290"/>
      <c r="AB81" s="1286"/>
      <c r="AC81" s="1289"/>
      <c r="AD81" s="1289"/>
      <c r="AE81" s="1286"/>
      <c r="AF81" s="1291"/>
      <c r="AG81" s="1286"/>
      <c r="AH81" s="1289"/>
      <c r="AI81" s="1289"/>
      <c r="AJ81" s="1286"/>
      <c r="AK81" s="1291"/>
      <c r="AL81" s="1286"/>
      <c r="AM81" s="1289"/>
      <c r="AN81" s="1289"/>
      <c r="AO81" s="1286"/>
      <c r="AP81" s="1291"/>
      <c r="AQ81" s="1286"/>
      <c r="AR81" s="1292"/>
      <c r="AS81" s="1292"/>
      <c r="AT81" s="1292"/>
      <c r="AU81" s="1291"/>
      <c r="AV81" s="1286"/>
      <c r="AW81" s="1286"/>
      <c r="AX81" s="1286"/>
      <c r="AY81" s="1292"/>
      <c r="AZ81" s="1352"/>
      <c r="BA81" s="1286"/>
      <c r="BB81" s="1286"/>
      <c r="BC81" s="1286"/>
      <c r="BD81" s="1286"/>
      <c r="BE81" s="1352"/>
      <c r="BF81" s="1286"/>
      <c r="BG81" s="1286"/>
      <c r="BH81" s="1286"/>
      <c r="BI81" s="1286"/>
      <c r="BJ81" s="1352"/>
      <c r="BK81" s="1293"/>
      <c r="BL81" s="1293"/>
      <c r="BM81" s="1293"/>
      <c r="BN81" s="1293"/>
      <c r="BO81" s="1294"/>
      <c r="BP81" s="1293"/>
      <c r="BQ81" s="1293"/>
      <c r="BR81" s="1293"/>
      <c r="BS81" s="1293"/>
      <c r="BT81" s="1294"/>
      <c r="BU81" s="1293"/>
      <c r="BV81" s="1293"/>
      <c r="BW81" s="1293"/>
      <c r="BX81" s="1293"/>
      <c r="BY81" s="1294"/>
      <c r="BZ81" s="1293"/>
      <c r="CA81" s="1293"/>
      <c r="CB81" s="1293"/>
      <c r="CC81" s="1293"/>
      <c r="CD81" s="1294"/>
      <c r="CE81" s="1293"/>
      <c r="CF81" s="1293"/>
      <c r="CG81" s="1293"/>
      <c r="CH81" s="1542"/>
      <c r="CI81" s="1294"/>
      <c r="CJ81" s="1542"/>
      <c r="CK81" s="1542"/>
      <c r="CL81" s="1542"/>
      <c r="CM81" s="1542"/>
      <c r="CN81" s="1294"/>
      <c r="CO81" s="1542"/>
      <c r="CP81" s="1542"/>
      <c r="CQ81" s="1542"/>
      <c r="CR81" s="1542"/>
      <c r="CS81" s="1294"/>
      <c r="CT81" s="1542"/>
      <c r="CU81" s="1542"/>
      <c r="CV81" s="1542"/>
      <c r="CW81" s="1542"/>
      <c r="CX81" s="1294"/>
      <c r="CY81" s="1296"/>
      <c r="CZ81" s="1296"/>
      <c r="DA81" s="1291"/>
      <c r="DB81" s="1291"/>
      <c r="DC81" s="1291"/>
      <c r="DD81" s="1291"/>
      <c r="DE81" s="1291"/>
      <c r="DF81" s="1291"/>
      <c r="DG81" s="1291"/>
      <c r="DH81" s="1392"/>
      <c r="DI81" s="1387"/>
      <c r="DJ81" s="1392"/>
      <c r="DK81" s="1407"/>
      <c r="DL81" s="1407"/>
      <c r="DM81" s="1403"/>
      <c r="DN81" s="1403"/>
      <c r="DO81" s="1403"/>
      <c r="DP81" s="1403"/>
      <c r="DQ81" s="1403"/>
      <c r="DR81" s="3075"/>
      <c r="DS81" s="264"/>
      <c r="DT81" s="253"/>
      <c r="DU81" s="264"/>
      <c r="DV81" s="264"/>
      <c r="DW81" s="264"/>
      <c r="DX81" s="264"/>
      <c r="DY81" s="264"/>
      <c r="DZ81" s="264"/>
      <c r="EA81" s="264"/>
      <c r="EB81" s="264"/>
      <c r="EC81" s="264"/>
      <c r="ED81" s="264"/>
      <c r="EE81" s="264"/>
      <c r="EF81" s="264"/>
      <c r="EG81" s="264"/>
      <c r="EH81" s="264"/>
      <c r="EI81" s="264"/>
      <c r="EJ81" s="264"/>
      <c r="EK81" s="264"/>
      <c r="EL81" s="264"/>
      <c r="EM81" s="264"/>
      <c r="EN81" s="264"/>
      <c r="EO81" s="264"/>
      <c r="EP81" s="264"/>
      <c r="EQ81" s="264"/>
      <c r="ER81" s="264"/>
    </row>
    <row r="82" spans="1:148" s="934" customFormat="1" ht="12">
      <c r="A82" s="1284"/>
      <c r="B82" s="1285"/>
      <c r="C82" s="1286"/>
      <c r="D82" s="1286"/>
      <c r="E82" s="1286"/>
      <c r="F82" s="1286"/>
      <c r="G82" s="1285"/>
      <c r="H82" s="1286"/>
      <c r="I82" s="1286"/>
      <c r="J82" s="1286"/>
      <c r="K82" s="1286"/>
      <c r="L82" s="1285"/>
      <c r="M82" s="1286"/>
      <c r="N82" s="1286"/>
      <c r="O82" s="1286"/>
      <c r="P82" s="1287"/>
      <c r="Q82" s="1288"/>
      <c r="R82" s="1286"/>
      <c r="S82" s="1289"/>
      <c r="T82" s="1286"/>
      <c r="U82" s="1286"/>
      <c r="V82" s="1290"/>
      <c r="W82" s="1286"/>
      <c r="X82" s="1289"/>
      <c r="Y82" s="1289"/>
      <c r="Z82" s="1286"/>
      <c r="AA82" s="1290"/>
      <c r="AB82" s="1286"/>
      <c r="AC82" s="1289"/>
      <c r="AD82" s="1289"/>
      <c r="AE82" s="1286"/>
      <c r="AF82" s="1291"/>
      <c r="AG82" s="1286"/>
      <c r="AH82" s="1289"/>
      <c r="AI82" s="1289"/>
      <c r="AJ82" s="1286"/>
      <c r="AK82" s="1291"/>
      <c r="AL82" s="1286"/>
      <c r="AM82" s="1289"/>
      <c r="AN82" s="1289"/>
      <c r="AO82" s="1286"/>
      <c r="AP82" s="1291"/>
      <c r="AQ82" s="1286"/>
      <c r="AR82" s="1292"/>
      <c r="AS82" s="1292"/>
      <c r="AT82" s="1292"/>
      <c r="AU82" s="1291"/>
      <c r="AV82" s="1286"/>
      <c r="AW82" s="1286"/>
      <c r="AX82" s="1286"/>
      <c r="AY82" s="1292"/>
      <c r="AZ82" s="1352"/>
      <c r="BA82" s="1286"/>
      <c r="BB82" s="1286"/>
      <c r="BC82" s="1286"/>
      <c r="BD82" s="1286"/>
      <c r="BE82" s="1352"/>
      <c r="BF82" s="1286"/>
      <c r="BG82" s="1286"/>
      <c r="BH82" s="1286"/>
      <c r="BI82" s="1286"/>
      <c r="BJ82" s="1352"/>
      <c r="BK82" s="1293"/>
      <c r="BL82" s="1293"/>
      <c r="BM82" s="1293"/>
      <c r="BN82" s="1293"/>
      <c r="BO82" s="1294"/>
      <c r="BP82" s="1578"/>
      <c r="BQ82" s="1578"/>
      <c r="BR82" s="1578"/>
      <c r="BS82" s="1578"/>
      <c r="BT82" s="1294"/>
      <c r="BU82" s="1578"/>
      <c r="BV82" s="1578"/>
      <c r="BW82" s="1578"/>
      <c r="BX82" s="1578"/>
      <c r="BY82" s="1294"/>
      <c r="BZ82" s="1578"/>
      <c r="CA82" s="1578"/>
      <c r="CB82" s="1578"/>
      <c r="CC82" s="1578"/>
      <c r="CD82" s="1294"/>
      <c r="CE82" s="1578"/>
      <c r="CF82" s="1578"/>
      <c r="CG82" s="1578"/>
      <c r="CH82" s="1293"/>
      <c r="CI82" s="1294"/>
      <c r="CJ82" s="1293"/>
      <c r="CK82" s="1293"/>
      <c r="CL82" s="1293"/>
      <c r="CM82" s="1293"/>
      <c r="CN82" s="1294"/>
      <c r="CO82" s="1293"/>
      <c r="CP82" s="1293"/>
      <c r="CQ82" s="1293"/>
      <c r="CR82" s="1293"/>
      <c r="CS82" s="1294"/>
      <c r="CT82" s="1293"/>
      <c r="CU82" s="1293"/>
      <c r="CV82" s="1293"/>
      <c r="CW82" s="1293"/>
      <c r="CX82" s="1294"/>
      <c r="CY82" s="1296"/>
      <c r="CZ82" s="1296"/>
      <c r="DA82" s="1291"/>
      <c r="DB82" s="1291"/>
      <c r="DC82" s="1291"/>
      <c r="DD82" s="1291"/>
      <c r="DE82" s="1291"/>
      <c r="DF82" s="1291"/>
      <c r="DG82" s="1291"/>
      <c r="DH82" s="1392"/>
      <c r="DI82" s="1387"/>
      <c r="DJ82" s="1392"/>
      <c r="DK82" s="1407"/>
      <c r="DL82" s="1407"/>
      <c r="DM82" s="1403"/>
      <c r="DN82" s="1403"/>
      <c r="DO82" s="1403"/>
      <c r="DP82" s="1403"/>
      <c r="DQ82" s="1403"/>
      <c r="DR82" s="3075"/>
      <c r="DS82" s="264"/>
      <c r="DT82" s="1551"/>
      <c r="DU82" s="264"/>
      <c r="DV82" s="264"/>
      <c r="DW82" s="264"/>
      <c r="DX82" s="264"/>
      <c r="DY82" s="264"/>
      <c r="DZ82" s="264"/>
      <c r="EA82" s="264"/>
      <c r="EB82" s="264"/>
      <c r="EC82" s="264"/>
      <c r="ED82" s="264"/>
      <c r="EE82" s="264"/>
      <c r="EF82" s="264"/>
      <c r="EG82" s="264"/>
      <c r="EH82" s="264"/>
      <c r="EI82" s="264"/>
      <c r="EJ82" s="264"/>
      <c r="EK82" s="264"/>
      <c r="EL82" s="264"/>
      <c r="EM82" s="264"/>
      <c r="EN82" s="264"/>
      <c r="EO82" s="264"/>
      <c r="EP82" s="264"/>
      <c r="EQ82" s="264"/>
      <c r="ER82" s="264"/>
    </row>
    <row r="83" spans="1:148" s="934" customFormat="1" ht="12">
      <c r="A83" s="1326" t="s">
        <v>1059</v>
      </c>
      <c r="B83" s="1327"/>
      <c r="C83" s="1327"/>
      <c r="D83" s="1327"/>
      <c r="E83" s="1327"/>
      <c r="F83" s="1327"/>
      <c r="G83" s="1327"/>
      <c r="H83" s="1327"/>
      <c r="I83" s="1327"/>
      <c r="J83" s="1327"/>
      <c r="K83" s="1327"/>
      <c r="L83" s="1327"/>
      <c r="M83" s="1327"/>
      <c r="N83" s="1327"/>
      <c r="O83" s="1327"/>
      <c r="P83" s="1327"/>
      <c r="Q83" s="1327"/>
      <c r="R83" s="1327"/>
      <c r="S83" s="1327"/>
      <c r="T83" s="1327"/>
      <c r="U83" s="1327"/>
      <c r="V83" s="1327"/>
      <c r="W83" s="1327"/>
      <c r="X83" s="1327"/>
      <c r="Y83" s="1327"/>
      <c r="Z83" s="1327"/>
      <c r="AA83" s="1327"/>
      <c r="AB83" s="1327"/>
      <c r="AC83" s="1327"/>
      <c r="AD83" s="1327"/>
      <c r="AE83" s="1327"/>
      <c r="AF83" s="1327"/>
      <c r="AG83" s="1327"/>
      <c r="AH83" s="1327"/>
      <c r="AI83" s="1327"/>
      <c r="AJ83" s="1327"/>
      <c r="AK83" s="1327"/>
      <c r="AL83" s="1327"/>
      <c r="AM83" s="1327"/>
      <c r="AN83" s="1327"/>
      <c r="AO83" s="1327"/>
      <c r="AP83" s="1327"/>
      <c r="AQ83" s="1327"/>
      <c r="AR83" s="1327"/>
      <c r="AS83" s="1327"/>
      <c r="AT83" s="1327"/>
      <c r="AU83" s="1328"/>
      <c r="AV83" s="1327"/>
      <c r="AW83" s="1327"/>
      <c r="AX83" s="1327"/>
      <c r="AY83" s="1327"/>
      <c r="AZ83" s="1328"/>
      <c r="BA83" s="1329"/>
      <c r="BB83" s="1329"/>
      <c r="BC83" s="1329"/>
      <c r="BD83" s="1329"/>
      <c r="BE83" s="1328"/>
      <c r="BF83" s="1329"/>
      <c r="BG83" s="1329"/>
      <c r="BH83" s="1329"/>
      <c r="BI83" s="1329"/>
      <c r="BJ83" s="1328"/>
      <c r="BK83" s="1330">
        <f>IS!DY34</f>
        <v>7081</v>
      </c>
      <c r="BL83" s="1330">
        <f>IS!DZ34</f>
        <v>8266</v>
      </c>
      <c r="BM83" s="1330">
        <f>IS!EA34</f>
        <v>7488</v>
      </c>
      <c r="BN83" s="1329">
        <f>IS!EB34</f>
        <v>9178</v>
      </c>
      <c r="BO83" s="1328">
        <f>IS!EC34</f>
        <v>32013</v>
      </c>
      <c r="BP83" s="1330">
        <f>IS!ED34</f>
        <v>7944</v>
      </c>
      <c r="BQ83" s="1330">
        <f>IS!EE34</f>
        <v>8315</v>
      </c>
      <c r="BR83" s="1330">
        <f>IS!EF34</f>
        <v>7784</v>
      </c>
      <c r="BS83" s="1329">
        <f>IS!EG34</f>
        <v>8327</v>
      </c>
      <c r="BT83" s="1328">
        <f>IS!EH34</f>
        <v>32370</v>
      </c>
      <c r="BU83" s="2796">
        <f>IS!EI34</f>
        <v>7387</v>
      </c>
      <c r="BV83" s="2796">
        <f>IS!EJ34</f>
        <v>7892</v>
      </c>
      <c r="BW83" s="2796">
        <f>IS!EK34</f>
        <v>7518</v>
      </c>
      <c r="BX83" s="2798">
        <f>IS!EL34</f>
        <v>8389</v>
      </c>
      <c r="BY83" s="1328">
        <f>IS!EM34</f>
        <v>31186</v>
      </c>
      <c r="BZ83" s="2796">
        <f>IS!EN34</f>
        <v>7369</v>
      </c>
      <c r="CA83" s="2796">
        <f>IS!EO34</f>
        <v>8020</v>
      </c>
      <c r="CB83" s="2796">
        <f>IS!EP34</f>
        <v>8429</v>
      </c>
      <c r="CC83" s="2798">
        <f>IS!EQ34</f>
        <v>9161</v>
      </c>
      <c r="CD83" s="1328">
        <f>IS!ER34</f>
        <v>32979</v>
      </c>
      <c r="CE83" s="2796">
        <f>IS!ES34</f>
        <v>8552</v>
      </c>
      <c r="CF83" s="2796">
        <f>IS!ET34</f>
        <v>9175</v>
      </c>
      <c r="CG83" s="2796">
        <f>IS!EU34</f>
        <v>9258</v>
      </c>
      <c r="CH83" s="1329">
        <f>IS!EV34</f>
        <v>9853.4968758921823</v>
      </c>
      <c r="CI83" s="1328">
        <f>IS!EW34</f>
        <v>36838.496875892182</v>
      </c>
      <c r="CJ83" s="1330">
        <f>IS!EX34</f>
        <v>9347.3263290172654</v>
      </c>
      <c r="CK83" s="1330">
        <f>IS!EY34</f>
        <v>9979.6114181138619</v>
      </c>
      <c r="CL83" s="1330">
        <f>IS!EZ34</f>
        <v>10146.535671049129</v>
      </c>
      <c r="CM83" s="1329">
        <f>IS!FA34</f>
        <v>10804.541087112466</v>
      </c>
      <c r="CN83" s="1328">
        <f>IS!FB34</f>
        <v>40278.014505292726</v>
      </c>
      <c r="CO83" s="1330">
        <f>IS!FC34</f>
        <v>10315.57253775545</v>
      </c>
      <c r="CP83" s="1330">
        <f>IS!FD34</f>
        <v>10842.972281677738</v>
      </c>
      <c r="CQ83" s="1330">
        <f>IS!FE34</f>
        <v>11250.097195189301</v>
      </c>
      <c r="CR83" s="1329">
        <f>IS!FF34</f>
        <v>11974.053402692101</v>
      </c>
      <c r="CS83" s="1328">
        <f>IS!FG34</f>
        <v>44382.695417314586</v>
      </c>
      <c r="CT83" s="1330">
        <f>IS!FH34</f>
        <v>11355.713455939051</v>
      </c>
      <c r="CU83" s="1330">
        <f>IS!FI34</f>
        <v>11692.819272699981</v>
      </c>
      <c r="CV83" s="1330">
        <f>IS!FJ34</f>
        <v>12363.316398474823</v>
      </c>
      <c r="CW83" s="1329">
        <f>IS!FK34</f>
        <v>13132.027358469917</v>
      </c>
      <c r="CX83" s="1328">
        <f>IS!FL34</f>
        <v>48543.87648558378</v>
      </c>
      <c r="CY83" s="1327"/>
      <c r="CZ83" s="1327"/>
      <c r="DA83" s="1328"/>
      <c r="DB83" s="1328"/>
      <c r="DC83" s="1328"/>
      <c r="DD83" s="1328"/>
      <c r="DE83" s="1328"/>
      <c r="DF83" s="1328"/>
      <c r="DG83" s="1383"/>
      <c r="DH83" s="1383"/>
      <c r="DI83" s="1328"/>
      <c r="DJ83" s="1383"/>
      <c r="DK83" s="1383"/>
      <c r="DL83" s="1383"/>
      <c r="DM83" s="1328"/>
      <c r="DN83" s="1328"/>
      <c r="DO83" s="1328"/>
      <c r="DP83" s="1328"/>
      <c r="DQ83" s="1328"/>
      <c r="DR83" s="3057"/>
      <c r="DS83" s="264"/>
      <c r="DT83" s="264"/>
      <c r="DU83" s="264"/>
      <c r="DV83" s="264"/>
      <c r="DW83" s="264"/>
      <c r="DX83" s="264"/>
      <c r="DY83" s="264"/>
      <c r="DZ83" s="264"/>
      <c r="EA83" s="264"/>
      <c r="EB83" s="264"/>
      <c r="EC83" s="264"/>
      <c r="ED83" s="264"/>
      <c r="EE83" s="264"/>
      <c r="EF83" s="264"/>
      <c r="EG83" s="264"/>
      <c r="EH83" s="264"/>
      <c r="EI83" s="264"/>
      <c r="EJ83" s="264"/>
      <c r="EK83" s="264"/>
      <c r="EL83" s="264"/>
      <c r="EM83" s="264"/>
      <c r="EN83" s="264"/>
      <c r="EO83" s="264"/>
      <c r="EP83" s="264"/>
      <c r="EQ83" s="264"/>
      <c r="ER83" s="264"/>
    </row>
    <row r="84" spans="1:148" s="934" customFormat="1" ht="12">
      <c r="A84" s="1331" t="s">
        <v>1060</v>
      </c>
      <c r="B84" s="1332"/>
      <c r="C84" s="1332"/>
      <c r="D84" s="1332"/>
      <c r="E84" s="1332"/>
      <c r="F84" s="1332"/>
      <c r="G84" s="1332"/>
      <c r="H84" s="1332"/>
      <c r="I84" s="1332"/>
      <c r="J84" s="1332"/>
      <c r="K84" s="1332"/>
      <c r="L84" s="1332"/>
      <c r="M84" s="1332"/>
      <c r="N84" s="1332"/>
      <c r="O84" s="1332"/>
      <c r="P84" s="1332"/>
      <c r="Q84" s="1332"/>
      <c r="R84" s="1332"/>
      <c r="S84" s="1332"/>
      <c r="T84" s="1332"/>
      <c r="U84" s="1332"/>
      <c r="V84" s="1332"/>
      <c r="W84" s="1332"/>
      <c r="X84" s="1332"/>
      <c r="Y84" s="1332"/>
      <c r="Z84" s="1332"/>
      <c r="AA84" s="1332"/>
      <c r="AB84" s="1332"/>
      <c r="AC84" s="1332"/>
      <c r="AD84" s="1332"/>
      <c r="AE84" s="1332"/>
      <c r="AF84" s="1332"/>
      <c r="AG84" s="1332"/>
      <c r="AH84" s="1332"/>
      <c r="AI84" s="1332"/>
      <c r="AJ84" s="1332"/>
      <c r="AK84" s="1332"/>
      <c r="AL84" s="1332"/>
      <c r="AM84" s="1332"/>
      <c r="AN84" s="1332"/>
      <c r="AO84" s="1332"/>
      <c r="AP84" s="1332"/>
      <c r="AQ84" s="1332"/>
      <c r="AR84" s="1332"/>
      <c r="AS84" s="1332"/>
      <c r="AT84" s="1332"/>
      <c r="AU84" s="1333"/>
      <c r="AV84" s="1332"/>
      <c r="AW84" s="1332"/>
      <c r="AX84" s="1332"/>
      <c r="AY84" s="1332"/>
      <c r="AZ84" s="1333"/>
      <c r="BA84" s="1334"/>
      <c r="BB84" s="1334"/>
      <c r="BC84" s="1334"/>
      <c r="BD84" s="1334"/>
      <c r="BE84" s="1333"/>
      <c r="BF84" s="1334"/>
      <c r="BG84" s="1334"/>
      <c r="BH84" s="1334"/>
      <c r="BI84" s="1334"/>
      <c r="BJ84" s="1333">
        <f>BJ88+BJ89</f>
        <v>26764</v>
      </c>
      <c r="BK84" s="1335">
        <f>BK88+BK89</f>
        <v>6334</v>
      </c>
      <c r="BL84" s="1335">
        <f t="shared" ref="BL84:BT84" si="160">BL88+BL89</f>
        <v>7969</v>
      </c>
      <c r="BM84" s="1335">
        <f t="shared" si="160"/>
        <v>6974</v>
      </c>
      <c r="BN84" s="1334">
        <f t="shared" si="160"/>
        <v>6609</v>
      </c>
      <c r="BO84" s="1333">
        <f t="shared" si="160"/>
        <v>27886</v>
      </c>
      <c r="BP84" s="1335">
        <f t="shared" si="160"/>
        <v>6984</v>
      </c>
      <c r="BQ84" s="1335">
        <f t="shared" si="160"/>
        <v>8019</v>
      </c>
      <c r="BR84" s="1335">
        <f t="shared" si="160"/>
        <v>6784</v>
      </c>
      <c r="BS84" s="1334">
        <f t="shared" si="160"/>
        <v>6385</v>
      </c>
      <c r="BT84" s="1333">
        <f t="shared" si="160"/>
        <v>28172</v>
      </c>
      <c r="BU84" s="2797">
        <f>IS!EI37</f>
        <v>6316</v>
      </c>
      <c r="BV84" s="2797">
        <f>IS!EJ37</f>
        <v>7489</v>
      </c>
      <c r="BW84" s="2797">
        <f>IS!EK37</f>
        <v>6277</v>
      </c>
      <c r="BX84" s="2799">
        <f>IS!EL37</f>
        <v>7106</v>
      </c>
      <c r="BY84" s="1333">
        <f>IS!EM37</f>
        <v>27188</v>
      </c>
      <c r="BZ84" s="2797">
        <f>BZ78+BZ73+BZ68</f>
        <v>6715</v>
      </c>
      <c r="CA84" s="2797">
        <f t="shared" ref="CA84:CC84" si="161">CA78+CA73+CA68</f>
        <v>7905</v>
      </c>
      <c r="CB84" s="2797">
        <f t="shared" si="161"/>
        <v>6723</v>
      </c>
      <c r="CC84" s="2797">
        <f t="shared" si="161"/>
        <v>7988</v>
      </c>
      <c r="CD84" s="1333">
        <f>IS!ER37</f>
        <v>29331</v>
      </c>
      <c r="CE84" s="2797">
        <f>CE78+CE73+CE68</f>
        <v>7708</v>
      </c>
      <c r="CF84" s="2797">
        <f t="shared" ref="CF84:CG84" si="162">CF78+CF73+CF68</f>
        <v>8679</v>
      </c>
      <c r="CG84" s="2797">
        <f t="shared" si="162"/>
        <v>8292</v>
      </c>
      <c r="CH84" s="1334">
        <f>IS!EV37</f>
        <v>9636.8297939753829</v>
      </c>
      <c r="CI84" s="1333">
        <f>IS!EW37</f>
        <v>34315.829793975376</v>
      </c>
      <c r="CJ84" s="1335">
        <f>IS!EX37</f>
        <v>9040.2833046874694</v>
      </c>
      <c r="CK84" s="1335">
        <f>IS!EY37</f>
        <v>10131.783728551214</v>
      </c>
      <c r="CL84" s="1335">
        <f>IS!EZ37</f>
        <v>9721.464877947863</v>
      </c>
      <c r="CM84" s="1334">
        <f>IS!FA37</f>
        <v>11122.018072748026</v>
      </c>
      <c r="CN84" s="1333">
        <f>IS!FB37</f>
        <v>40015.549983934558</v>
      </c>
      <c r="CO84" s="1335">
        <f>IS!FC37</f>
        <v>10518.38254882912</v>
      </c>
      <c r="CP84" s="1335">
        <f>IS!FD37</f>
        <v>11811.670039986055</v>
      </c>
      <c r="CQ84" s="1335">
        <f>IS!FE37</f>
        <v>11595.265791589212</v>
      </c>
      <c r="CR84" s="1334">
        <f>IS!FF37</f>
        <v>13144.746101887078</v>
      </c>
      <c r="CS84" s="1333">
        <f>IS!FG37</f>
        <v>47070.064482291469</v>
      </c>
      <c r="CT84" s="1335">
        <f>IS!FH37</f>
        <v>12117.177669508412</v>
      </c>
      <c r="CU84" s="1335">
        <f>IS!FI37</f>
        <v>13511.915018253367</v>
      </c>
      <c r="CV84" s="1335">
        <f>IS!FJ37</f>
        <v>13447.634454767847</v>
      </c>
      <c r="CW84" s="1334">
        <f>IS!FK37</f>
        <v>15125.805494553882</v>
      </c>
      <c r="CX84" s="1333">
        <f>IS!FL37</f>
        <v>54202.532637083525</v>
      </c>
      <c r="CY84" s="1332"/>
      <c r="CZ84" s="1332"/>
      <c r="DA84" s="1333"/>
      <c r="DB84" s="1333"/>
      <c r="DC84" s="1333"/>
      <c r="DD84" s="1333"/>
      <c r="DE84" s="1333"/>
      <c r="DF84" s="1333"/>
      <c r="DG84" s="1384"/>
      <c r="DH84" s="1384"/>
      <c r="DI84" s="1333"/>
      <c r="DJ84" s="1384"/>
      <c r="DK84" s="1384">
        <f>BM84+BN84+BP84+BQ84</f>
        <v>28586</v>
      </c>
      <c r="DL84" s="1384">
        <f>BR84+BS84+BU84+BV84</f>
        <v>26974</v>
      </c>
      <c r="DM84" s="1333">
        <f>BW84+BX84+BZ84+CA84</f>
        <v>28003</v>
      </c>
      <c r="DN84" s="1333">
        <f>CB84+CC84+CE84+CF84</f>
        <v>31098</v>
      </c>
      <c r="DO84" s="1333">
        <f>CG84+CH84+CJ84+CK84</f>
        <v>37100.896827214063</v>
      </c>
      <c r="DP84" s="1333">
        <f>CL84+CM84+CO84+CP84</f>
        <v>43173.535539511067</v>
      </c>
      <c r="DQ84" s="1333">
        <f>CQ84+CR84+CT84+CU84</f>
        <v>50369.104581238062</v>
      </c>
      <c r="DR84" s="3057"/>
      <c r="DS84" s="264"/>
      <c r="DT84" s="264"/>
      <c r="DU84" s="264"/>
      <c r="DV84" s="264"/>
      <c r="DW84" s="264"/>
      <c r="DX84" s="264"/>
      <c r="DY84" s="264"/>
      <c r="DZ84" s="264"/>
      <c r="EA84" s="264"/>
      <c r="EB84" s="264"/>
      <c r="EC84" s="264"/>
      <c r="ED84" s="264"/>
      <c r="EE84" s="264"/>
      <c r="EF84" s="264"/>
      <c r="EG84" s="264"/>
      <c r="EH84" s="264"/>
      <c r="EI84" s="264"/>
      <c r="EJ84" s="264"/>
      <c r="EK84" s="264"/>
      <c r="EL84" s="264"/>
      <c r="EM84" s="264"/>
      <c r="EN84" s="264"/>
      <c r="EO84" s="264"/>
      <c r="EP84" s="264"/>
      <c r="EQ84" s="264"/>
      <c r="ER84" s="264"/>
    </row>
    <row r="85" spans="1:148" s="934" customFormat="1" ht="12">
      <c r="A85" s="1336" t="s">
        <v>1061</v>
      </c>
      <c r="B85" s="1337"/>
      <c r="C85" s="1337"/>
      <c r="D85" s="1337"/>
      <c r="E85" s="1337"/>
      <c r="F85" s="1337"/>
      <c r="G85" s="1337"/>
      <c r="H85" s="1337"/>
      <c r="I85" s="1337"/>
      <c r="J85" s="1337"/>
      <c r="K85" s="1337"/>
      <c r="L85" s="1337"/>
      <c r="M85" s="1337"/>
      <c r="N85" s="1337"/>
      <c r="O85" s="1337"/>
      <c r="P85" s="1337"/>
      <c r="Q85" s="1337"/>
      <c r="R85" s="1337"/>
      <c r="S85" s="1337"/>
      <c r="T85" s="1337"/>
      <c r="U85" s="1337"/>
      <c r="V85" s="1337"/>
      <c r="W85" s="1337"/>
      <c r="X85" s="1337"/>
      <c r="Y85" s="1337"/>
      <c r="Z85" s="1337"/>
      <c r="AA85" s="1337"/>
      <c r="AB85" s="1337"/>
      <c r="AC85" s="1337"/>
      <c r="AD85" s="1337"/>
      <c r="AE85" s="1337"/>
      <c r="AF85" s="1337"/>
      <c r="AG85" s="1337"/>
      <c r="AH85" s="1337"/>
      <c r="AI85" s="1337"/>
      <c r="AJ85" s="1337"/>
      <c r="AK85" s="1337"/>
      <c r="AL85" s="1337"/>
      <c r="AM85" s="1337"/>
      <c r="AN85" s="1337"/>
      <c r="AO85" s="1337"/>
      <c r="AP85" s="1337"/>
      <c r="AQ85" s="1337"/>
      <c r="AR85" s="1337"/>
      <c r="AS85" s="1337"/>
      <c r="AT85" s="1337"/>
      <c r="AU85" s="1338"/>
      <c r="AV85" s="1337"/>
      <c r="AW85" s="1337"/>
      <c r="AX85" s="1337"/>
      <c r="AY85" s="1337"/>
      <c r="AZ85" s="1338"/>
      <c r="BA85" s="1339"/>
      <c r="BB85" s="1339"/>
      <c r="BC85" s="1339"/>
      <c r="BD85" s="1339"/>
      <c r="BE85" s="1338"/>
      <c r="BF85" s="1339"/>
      <c r="BG85" s="1339"/>
      <c r="BH85" s="1339"/>
      <c r="BI85" s="1339"/>
      <c r="BJ85" s="1338"/>
      <c r="BK85" s="1543">
        <f t="shared" ref="BK85:BT85" si="163">BK84/BK32</f>
        <v>0.34184251713530139</v>
      </c>
      <c r="BL85" s="1543">
        <f t="shared" si="163"/>
        <v>0.32501325502671397</v>
      </c>
      <c r="BM85" s="1543">
        <f t="shared" si="163"/>
        <v>0.34181247855707492</v>
      </c>
      <c r="BN85" s="1543">
        <f t="shared" si="163"/>
        <v>0.28265332306902746</v>
      </c>
      <c r="BO85" s="1544">
        <f t="shared" si="163"/>
        <v>0.32114518673776099</v>
      </c>
      <c r="BP85" s="1543">
        <f t="shared" si="163"/>
        <v>0.30102150769363389</v>
      </c>
      <c r="BQ85" s="1543">
        <f t="shared" si="163"/>
        <v>0.30672429620563035</v>
      </c>
      <c r="BR85" s="1543">
        <f t="shared" si="163"/>
        <v>0.31220948962216394</v>
      </c>
      <c r="BS85" s="1543">
        <f t="shared" si="163"/>
        <v>0.28787195671776378</v>
      </c>
      <c r="BT85" s="1544">
        <f t="shared" si="163"/>
        <v>0.30209964183841981</v>
      </c>
      <c r="BU85" s="1543">
        <f>BU84/BU$32</f>
        <v>0.30205643232902918</v>
      </c>
      <c r="BV85" s="1543">
        <f t="shared" ref="BV85:BY85" si="164">BV84/BV$32</f>
        <v>0.29655882469409572</v>
      </c>
      <c r="BW85" s="1543">
        <f t="shared" si="164"/>
        <v>0.29172282381372866</v>
      </c>
      <c r="BX85" s="1543">
        <f t="shared" si="164"/>
        <v>0.30271790065604498</v>
      </c>
      <c r="BY85" s="1544">
        <f t="shared" si="164"/>
        <v>0.29826447550299495</v>
      </c>
      <c r="BZ85" s="1543">
        <f>BZ84/BZ$32</f>
        <v>0.30622947829259395</v>
      </c>
      <c r="CA85" s="1543">
        <f t="shared" ref="CA85:CD85" si="165">CA84/CA$32</f>
        <v>0.30608688918144505</v>
      </c>
      <c r="CB85" s="1543">
        <f t="shared" si="165"/>
        <v>0.28963467172152335</v>
      </c>
      <c r="CC85" s="1543">
        <f t="shared" si="165"/>
        <v>0.31197031829720756</v>
      </c>
      <c r="CD85" s="1544">
        <f t="shared" si="165"/>
        <v>0.30372472067183731</v>
      </c>
      <c r="CE85" s="1543">
        <f>CE84/CE$32</f>
        <v>0.3141250305648382</v>
      </c>
      <c r="CF85" s="1543">
        <f t="shared" ref="CF85:CG85" si="166">CF84/CF$32</f>
        <v>0.30012448993706342</v>
      </c>
      <c r="CG85" s="1543">
        <f t="shared" si="166"/>
        <v>0.30918378761325926</v>
      </c>
      <c r="CH85" s="1543">
        <f t="shared" ref="CG85:CI85" si="167">CH84/CH$32</f>
        <v>0.33007876253801532</v>
      </c>
      <c r="CI85" s="1544">
        <f t="shared" si="167"/>
        <v>0.31347089198099415</v>
      </c>
      <c r="CJ85" s="1543">
        <f t="shared" ref="CJ85:CS85" si="168">CJ84/CJ$32</f>
        <v>0.32595013325082967</v>
      </c>
      <c r="CK85" s="1543">
        <f t="shared" si="168"/>
        <v>0.31465248044190708</v>
      </c>
      <c r="CL85" s="1543">
        <f t="shared" si="168"/>
        <v>0.32451367586242463</v>
      </c>
      <c r="CM85" s="1543">
        <f t="shared" si="168"/>
        <v>0.34072599219144195</v>
      </c>
      <c r="CN85" s="1544">
        <f t="shared" si="168"/>
        <v>0.32656628642877877</v>
      </c>
      <c r="CO85" s="1543">
        <f t="shared" si="168"/>
        <v>0.33803854620892648</v>
      </c>
      <c r="CP85" s="1543">
        <f t="shared" si="168"/>
        <v>0.33162371853189421</v>
      </c>
      <c r="CQ85" s="1543">
        <f t="shared" si="168"/>
        <v>0.34136479628388866</v>
      </c>
      <c r="CR85" s="1543">
        <f t="shared" si="168"/>
        <v>0.3551283112704699</v>
      </c>
      <c r="CS85" s="1544">
        <f t="shared" si="168"/>
        <v>0.34179314277201134</v>
      </c>
      <c r="CT85" s="1543">
        <f t="shared" ref="CT85:CX85" si="169">CT84/CT$32</f>
        <v>0.34788217390835746</v>
      </c>
      <c r="CU85" s="1543">
        <f t="shared" si="169"/>
        <v>0.34543175544421517</v>
      </c>
      <c r="CV85" s="1543">
        <f t="shared" si="169"/>
        <v>0.3542686376543806</v>
      </c>
      <c r="CW85" s="1543">
        <f t="shared" si="169"/>
        <v>0.36628054571983265</v>
      </c>
      <c r="CX85" s="1544">
        <f t="shared" si="169"/>
        <v>0.35379819723781775</v>
      </c>
      <c r="CY85" s="1337"/>
      <c r="CZ85" s="1337"/>
      <c r="DA85" s="1338"/>
      <c r="DB85" s="1338"/>
      <c r="DC85" s="1338"/>
      <c r="DD85" s="1338"/>
      <c r="DE85" s="1338"/>
      <c r="DF85" s="1338"/>
      <c r="DG85" s="1385"/>
      <c r="DH85" s="1385"/>
      <c r="DI85" s="1338"/>
      <c r="DJ85" s="1385"/>
      <c r="DK85" s="2228">
        <f t="shared" ref="DK85:DP85" si="170">DK84/DK$32</f>
        <v>0.30694727799849675</v>
      </c>
      <c r="DL85" s="2228">
        <f t="shared" si="170"/>
        <v>0.29947153388400388</v>
      </c>
      <c r="DM85" s="1544">
        <f t="shared" si="170"/>
        <v>0.30193541430804893</v>
      </c>
      <c r="DN85" s="1544">
        <f t="shared" si="170"/>
        <v>0.30406852248394006</v>
      </c>
      <c r="DO85" s="1544">
        <f t="shared" si="170"/>
        <v>0.31997424112099027</v>
      </c>
      <c r="DP85" s="1544">
        <f t="shared" si="170"/>
        <v>0.33381747873201728</v>
      </c>
      <c r="DQ85" s="1544">
        <f t="shared" ref="DQ85" si="171">DQ84/DQ$32</f>
        <v>0.34754394047496884</v>
      </c>
      <c r="DR85" s="3077"/>
      <c r="DS85" s="264"/>
      <c r="DT85" s="264"/>
      <c r="DU85" s="264"/>
      <c r="DV85" s="264"/>
      <c r="DW85" s="264"/>
      <c r="DX85" s="264"/>
      <c r="DY85" s="264"/>
      <c r="DZ85" s="264"/>
      <c r="EA85" s="264"/>
      <c r="EB85" s="264"/>
      <c r="EC85" s="264"/>
      <c r="ED85" s="264"/>
      <c r="EE85" s="264"/>
      <c r="EF85" s="264"/>
      <c r="EG85" s="264"/>
      <c r="EH85" s="264"/>
      <c r="EI85" s="264"/>
      <c r="EJ85" s="264"/>
      <c r="EK85" s="264"/>
      <c r="EL85" s="264"/>
      <c r="EM85" s="264"/>
      <c r="EN85" s="264"/>
      <c r="EO85" s="264"/>
      <c r="EP85" s="264"/>
      <c r="EQ85" s="264"/>
      <c r="ER85" s="264"/>
    </row>
    <row r="86" spans="1:148" s="934" customFormat="1" ht="12">
      <c r="A86" s="1297"/>
      <c r="B86" s="1285"/>
      <c r="C86" s="1286"/>
      <c r="D86" s="1286"/>
      <c r="E86" s="1286"/>
      <c r="F86" s="1286"/>
      <c r="G86" s="1285"/>
      <c r="H86" s="1286"/>
      <c r="I86" s="1286"/>
      <c r="J86" s="1286"/>
      <c r="K86" s="1286"/>
      <c r="L86" s="1285"/>
      <c r="M86" s="1286"/>
      <c r="N86" s="1286"/>
      <c r="O86" s="1286"/>
      <c r="P86" s="1287"/>
      <c r="Q86" s="1288"/>
      <c r="R86" s="1286"/>
      <c r="S86" s="1289"/>
      <c r="T86" s="1286"/>
      <c r="U86" s="1286"/>
      <c r="V86" s="1290"/>
      <c r="W86" s="1286"/>
      <c r="X86" s="1289"/>
      <c r="Y86" s="1289"/>
      <c r="Z86" s="1286"/>
      <c r="AA86" s="1290"/>
      <c r="AB86" s="1286"/>
      <c r="AC86" s="1289"/>
      <c r="AD86" s="1289"/>
      <c r="AE86" s="1286"/>
      <c r="AF86" s="1291"/>
      <c r="AG86" s="1286"/>
      <c r="AH86" s="1289"/>
      <c r="AI86" s="1289"/>
      <c r="AJ86" s="1286"/>
      <c r="AK86" s="1291"/>
      <c r="AL86" s="1286"/>
      <c r="AM86" s="1289"/>
      <c r="AN86" s="1289"/>
      <c r="AO86" s="1286"/>
      <c r="AP86" s="1291"/>
      <c r="AQ86" s="1286"/>
      <c r="AR86" s="1292"/>
      <c r="AS86" s="1292"/>
      <c r="AT86" s="1292"/>
      <c r="AU86" s="1291"/>
      <c r="AV86" s="1286"/>
      <c r="AW86" s="1286"/>
      <c r="AX86" s="1286"/>
      <c r="AY86" s="1292"/>
      <c r="AZ86" s="1352"/>
      <c r="BA86" s="1286"/>
      <c r="BB86" s="1286"/>
      <c r="BC86" s="1286"/>
      <c r="BD86" s="1286"/>
      <c r="BE86" s="1352"/>
      <c r="BF86" s="1286"/>
      <c r="BG86" s="1286"/>
      <c r="BH86" s="1286"/>
      <c r="BI86" s="1286"/>
      <c r="BJ86" s="1352"/>
      <c r="BK86" s="1286"/>
      <c r="BL86" s="1286"/>
      <c r="BM86" s="1286"/>
      <c r="BN86" s="1286"/>
      <c r="BO86" s="1352"/>
      <c r="BP86" s="1286"/>
      <c r="BQ86" s="1286"/>
      <c r="BR86" s="1286"/>
      <c r="BS86" s="1549"/>
      <c r="BT86" s="1370"/>
      <c r="BU86" s="1286"/>
      <c r="BV86" s="1286"/>
      <c r="BW86" s="1549"/>
      <c r="BX86" s="1549"/>
      <c r="BY86" s="1550"/>
      <c r="BZ86" s="1286"/>
      <c r="CA86" s="1286"/>
      <c r="CB86" s="1549"/>
      <c r="CC86" s="1549"/>
      <c r="CD86" s="1294">
        <f>CD84/BY84-1</f>
        <v>7.882153891422683E-2</v>
      </c>
      <c r="CE86" s="1286"/>
      <c r="CF86" s="1286"/>
      <c r="CG86" s="1549"/>
      <c r="CH86" s="1549"/>
      <c r="CI86" s="1545"/>
      <c r="CJ86" s="1549"/>
      <c r="CK86" s="1549"/>
      <c r="CL86" s="1549"/>
      <c r="CM86" s="1549"/>
      <c r="CN86" s="1545"/>
      <c r="CO86" s="1549"/>
      <c r="CP86" s="1549"/>
      <c r="CQ86" s="1549"/>
      <c r="CR86" s="1549"/>
      <c r="CS86" s="1545"/>
      <c r="CT86" s="1549"/>
      <c r="CU86" s="1549"/>
      <c r="CV86" s="1549"/>
      <c r="CW86" s="1549"/>
      <c r="CX86" s="1545"/>
      <c r="CY86" s="1296"/>
      <c r="CZ86" s="1296"/>
      <c r="DA86" s="1291"/>
      <c r="DB86" s="1291"/>
      <c r="DC86" s="1291"/>
      <c r="DD86" s="1291"/>
      <c r="DE86" s="1291"/>
      <c r="DF86" s="1291"/>
      <c r="DG86" s="1291"/>
      <c r="DH86" s="1392"/>
      <c r="DI86" s="1387"/>
      <c r="DJ86" s="1392"/>
      <c r="DK86" s="1407"/>
      <c r="DL86" s="1407"/>
      <c r="DM86" s="1403"/>
      <c r="DN86" s="1403"/>
      <c r="DO86" s="1403"/>
      <c r="DP86" s="1403"/>
      <c r="DQ86" s="1403"/>
      <c r="DR86" s="3075"/>
      <c r="DS86" s="264"/>
      <c r="DT86" s="264"/>
      <c r="DU86" s="264"/>
      <c r="DV86" s="264"/>
      <c r="DW86" s="264"/>
      <c r="DX86" s="264"/>
      <c r="DY86" s="264"/>
      <c r="DZ86" s="264"/>
      <c r="EA86" s="264"/>
      <c r="EB86" s="264"/>
      <c r="EC86" s="264"/>
      <c r="ED86" s="264"/>
      <c r="EE86" s="264"/>
      <c r="EF86" s="264"/>
      <c r="EG86" s="264"/>
      <c r="EH86" s="264"/>
      <c r="EI86" s="264"/>
      <c r="EJ86" s="264"/>
      <c r="EK86" s="264"/>
      <c r="EL86" s="264"/>
      <c r="EM86" s="264"/>
      <c r="EN86" s="264"/>
      <c r="EO86" s="264"/>
      <c r="EP86" s="264"/>
      <c r="EQ86" s="264"/>
      <c r="ER86" s="264"/>
    </row>
    <row r="87" spans="1:148" s="934" customFormat="1" ht="12">
      <c r="A87" s="1297" t="s">
        <v>1087</v>
      </c>
      <c r="B87" s="1285"/>
      <c r="C87" s="1286"/>
      <c r="D87" s="1286"/>
      <c r="E87" s="1286"/>
      <c r="F87" s="1286"/>
      <c r="G87" s="1285"/>
      <c r="H87" s="1286"/>
      <c r="I87" s="1286"/>
      <c r="J87" s="1286"/>
      <c r="K87" s="1286"/>
      <c r="L87" s="1285"/>
      <c r="M87" s="1286"/>
      <c r="N87" s="1286"/>
      <c r="O87" s="1286"/>
      <c r="P87" s="1287"/>
      <c r="Q87" s="1288"/>
      <c r="R87" s="1286"/>
      <c r="S87" s="1289"/>
      <c r="T87" s="1286"/>
      <c r="U87" s="1286"/>
      <c r="V87" s="1290"/>
      <c r="W87" s="1286"/>
      <c r="X87" s="1289"/>
      <c r="Y87" s="1289"/>
      <c r="Z87" s="1286"/>
      <c r="AA87" s="1290"/>
      <c r="AB87" s="1286"/>
      <c r="AC87" s="1289"/>
      <c r="AD87" s="1289"/>
      <c r="AE87" s="1286"/>
      <c r="AF87" s="1291"/>
      <c r="AG87" s="1286"/>
      <c r="AH87" s="1289"/>
      <c r="AI87" s="1289"/>
      <c r="AJ87" s="1286"/>
      <c r="AK87" s="1291"/>
      <c r="AL87" s="1286"/>
      <c r="AM87" s="1289"/>
      <c r="AN87" s="1289"/>
      <c r="AO87" s="1286"/>
      <c r="AP87" s="1291"/>
      <c r="AQ87" s="1286"/>
      <c r="AR87" s="1292"/>
      <c r="AS87" s="1292"/>
      <c r="AT87" s="1292"/>
      <c r="AU87" s="1291"/>
      <c r="AV87" s="1286"/>
      <c r="AW87" s="1286"/>
      <c r="AX87" s="1286"/>
      <c r="AY87" s="1292"/>
      <c r="AZ87" s="1352"/>
      <c r="BA87" s="1286"/>
      <c r="BB87" s="1286"/>
      <c r="BC87" s="1286"/>
      <c r="BD87" s="1286"/>
      <c r="BE87" s="1352"/>
      <c r="BF87" s="1286"/>
      <c r="BG87" s="1286"/>
      <c r="BH87" s="1286"/>
      <c r="BI87" s="1286"/>
      <c r="BJ87" s="1352">
        <v>169</v>
      </c>
      <c r="BK87" s="1282">
        <v>-215</v>
      </c>
      <c r="BL87" s="1282">
        <v>-91</v>
      </c>
      <c r="BM87" s="1282">
        <v>-202</v>
      </c>
      <c r="BN87" s="1282">
        <v>-266</v>
      </c>
      <c r="BO87" s="1280">
        <f>SUM(BK87:BN87)</f>
        <v>-774</v>
      </c>
      <c r="BP87" s="1282">
        <v>-1219</v>
      </c>
      <c r="BQ87" s="1282">
        <v>64</v>
      </c>
      <c r="BR87" s="1282">
        <v>-275</v>
      </c>
      <c r="BS87" s="1282">
        <v>-8546</v>
      </c>
      <c r="BT87" s="1280">
        <f>SUM(BP87:BS87)</f>
        <v>-9976</v>
      </c>
      <c r="BU87" s="2570"/>
      <c r="BV87" s="2570"/>
      <c r="BW87" s="2570"/>
      <c r="BX87" s="2570">
        <v>-1110</v>
      </c>
      <c r="BY87" s="1280"/>
      <c r="BZ87" s="2570"/>
      <c r="CA87" s="2570"/>
      <c r="CB87" s="2570"/>
      <c r="CC87" s="2570">
        <v>-306</v>
      </c>
      <c r="CD87" s="1280"/>
      <c r="CE87" s="2570"/>
      <c r="CF87" s="2570"/>
      <c r="CG87" s="2570"/>
      <c r="CH87" s="1282"/>
      <c r="CI87" s="1280"/>
      <c r="CJ87" s="1283"/>
      <c r="CK87" s="1283"/>
      <c r="CL87" s="1283"/>
      <c r="CM87" s="1282"/>
      <c r="CN87" s="1280"/>
      <c r="CO87" s="1283"/>
      <c r="CP87" s="1283"/>
      <c r="CQ87" s="1283"/>
      <c r="CR87" s="1282"/>
      <c r="CS87" s="1280"/>
      <c r="CT87" s="1283"/>
      <c r="CU87" s="1283"/>
      <c r="CV87" s="1283"/>
      <c r="CW87" s="1282"/>
      <c r="CX87" s="1280"/>
      <c r="CY87" s="1296"/>
      <c r="CZ87" s="1296"/>
      <c r="DA87" s="1291"/>
      <c r="DB87" s="1291"/>
      <c r="DC87" s="1291"/>
      <c r="DD87" s="1291"/>
      <c r="DE87" s="1291"/>
      <c r="DF87" s="1291"/>
      <c r="DG87" s="1291"/>
      <c r="DH87" s="1392"/>
      <c r="DI87" s="1387"/>
      <c r="DJ87" s="1392"/>
      <c r="DK87" s="1407"/>
      <c r="DL87" s="1407"/>
      <c r="DM87" s="1403"/>
      <c r="DN87" s="1403"/>
      <c r="DO87" s="1403"/>
      <c r="DP87" s="1403"/>
      <c r="DQ87" s="1403"/>
      <c r="DR87" s="3075"/>
      <c r="DS87" s="264"/>
      <c r="DT87" s="264"/>
      <c r="DU87" s="264"/>
      <c r="DV87" s="264"/>
      <c r="DW87" s="264"/>
      <c r="DX87" s="264"/>
      <c r="DY87" s="264"/>
      <c r="DZ87" s="264"/>
      <c r="EA87" s="264"/>
      <c r="EB87" s="264"/>
      <c r="EC87" s="264"/>
      <c r="ED87" s="264"/>
      <c r="EE87" s="264"/>
      <c r="EF87" s="264"/>
      <c r="EG87" s="264"/>
      <c r="EH87" s="264"/>
      <c r="EI87" s="264"/>
      <c r="EJ87" s="264"/>
      <c r="EK87" s="264"/>
      <c r="EL87" s="264"/>
      <c r="EM87" s="264"/>
      <c r="EN87" s="264"/>
      <c r="EO87" s="264"/>
      <c r="EP87" s="264"/>
      <c r="EQ87" s="264"/>
      <c r="ER87" s="264"/>
    </row>
    <row r="88" spans="1:148" s="934" customFormat="1" ht="12">
      <c r="A88" s="1297" t="s">
        <v>1062</v>
      </c>
      <c r="B88" s="1285"/>
      <c r="C88" s="1286"/>
      <c r="D88" s="1286"/>
      <c r="E88" s="1286"/>
      <c r="F88" s="1286"/>
      <c r="G88" s="1285"/>
      <c r="H88" s="1286"/>
      <c r="I88" s="1286"/>
      <c r="J88" s="1286"/>
      <c r="K88" s="1286"/>
      <c r="L88" s="1285"/>
      <c r="M88" s="1286"/>
      <c r="N88" s="1286"/>
      <c r="O88" s="1286"/>
      <c r="P88" s="1287"/>
      <c r="Q88" s="1288"/>
      <c r="R88" s="1286"/>
      <c r="S88" s="1289"/>
      <c r="T88" s="1286"/>
      <c r="U88" s="1286"/>
      <c r="V88" s="1290"/>
      <c r="W88" s="1286"/>
      <c r="X88" s="1289"/>
      <c r="Y88" s="1289"/>
      <c r="Z88" s="1286"/>
      <c r="AA88" s="1290"/>
      <c r="AB88" s="1286"/>
      <c r="AC88" s="1289"/>
      <c r="AD88" s="1289"/>
      <c r="AE88" s="1286"/>
      <c r="AF88" s="1291"/>
      <c r="AG88" s="1286"/>
      <c r="AH88" s="1289"/>
      <c r="AI88" s="1289"/>
      <c r="AJ88" s="1286"/>
      <c r="AK88" s="1291"/>
      <c r="AL88" s="1286"/>
      <c r="AM88" s="1289"/>
      <c r="AN88" s="1289"/>
      <c r="AO88" s="1286"/>
      <c r="AP88" s="1291"/>
      <c r="AQ88" s="1286"/>
      <c r="AR88" s="1292"/>
      <c r="AS88" s="1292"/>
      <c r="AT88" s="1292"/>
      <c r="AU88" s="1291"/>
      <c r="AV88" s="1286"/>
      <c r="AW88" s="1286"/>
      <c r="AX88" s="1286"/>
      <c r="AY88" s="1292"/>
      <c r="AZ88" s="1352"/>
      <c r="BA88" s="1286"/>
      <c r="BB88" s="1286"/>
      <c r="BC88" s="1286"/>
      <c r="BD88" s="1286"/>
      <c r="BE88" s="1352"/>
      <c r="BF88" s="1286"/>
      <c r="BG88" s="1286"/>
      <c r="BH88" s="1286"/>
      <c r="BI88" s="1286"/>
      <c r="BJ88" s="1280">
        <f>BJ68+BJ73+BJ78+BJ87</f>
        <v>26764</v>
      </c>
      <c r="BK88" s="1282">
        <f>BK68+BK73+BK78+BK87</f>
        <v>6334</v>
      </c>
      <c r="BL88" s="1282">
        <f t="shared" ref="BL88:BT88" si="172">BL68+BL73+BL78+BL87</f>
        <v>7969</v>
      </c>
      <c r="BM88" s="1282">
        <f t="shared" si="172"/>
        <v>6974</v>
      </c>
      <c r="BN88" s="1282">
        <f t="shared" si="172"/>
        <v>6482</v>
      </c>
      <c r="BO88" s="1280">
        <f t="shared" si="172"/>
        <v>27759</v>
      </c>
      <c r="BP88" s="1283">
        <f t="shared" si="172"/>
        <v>5844</v>
      </c>
      <c r="BQ88" s="1283">
        <f t="shared" si="172"/>
        <v>7776</v>
      </c>
      <c r="BR88" s="1283">
        <f t="shared" si="172"/>
        <v>6594</v>
      </c>
      <c r="BS88" s="1282">
        <f t="shared" si="172"/>
        <v>-2053</v>
      </c>
      <c r="BT88" s="1280">
        <f t="shared" si="172"/>
        <v>18161</v>
      </c>
      <c r="BU88" s="2569">
        <f>BU68+BU73+BU78+BU87</f>
        <v>6316</v>
      </c>
      <c r="BV88" s="2569">
        <f>BV68+BV73+BV78+BV87</f>
        <v>7489</v>
      </c>
      <c r="BW88" s="2569">
        <f>BW68+BW73+BW78+BW87</f>
        <v>6277</v>
      </c>
      <c r="BX88" s="2569">
        <f>BX68+BX73+BX78+BX87</f>
        <v>5996</v>
      </c>
      <c r="BY88" s="1280"/>
      <c r="BZ88" s="2569">
        <f>BZ68+BZ73+BZ78+BZ87</f>
        <v>6715</v>
      </c>
      <c r="CA88" s="2569">
        <f>CA68+CA73+CA78+CA87</f>
        <v>7905</v>
      </c>
      <c r="CB88" s="2569">
        <f>CB68+CB73+CB78+CB87</f>
        <v>6723</v>
      </c>
      <c r="CC88" s="2569">
        <f>CC68+CC73+CC78+CC87</f>
        <v>7682</v>
      </c>
      <c r="CD88" s="1280"/>
      <c r="CE88" s="2569">
        <f>CE68+CE73+CE78+CE87</f>
        <v>7708</v>
      </c>
      <c r="CF88" s="2569">
        <f>CF68+CF73+CF78+CF87</f>
        <v>8679</v>
      </c>
      <c r="CG88" s="2569">
        <f>CG68+CG73+CG78+CG87</f>
        <v>8292</v>
      </c>
      <c r="CH88" s="1282"/>
      <c r="CI88" s="1280"/>
      <c r="CJ88" s="1283"/>
      <c r="CK88" s="1283"/>
      <c r="CL88" s="1283"/>
      <c r="CM88" s="1282"/>
      <c r="CN88" s="1280"/>
      <c r="CO88" s="1283"/>
      <c r="CP88" s="1283"/>
      <c r="CQ88" s="1283"/>
      <c r="CR88" s="1282"/>
      <c r="CS88" s="1280"/>
      <c r="CT88" s="1283"/>
      <c r="CU88" s="1283"/>
      <c r="CV88" s="1283"/>
      <c r="CW88" s="1282"/>
      <c r="CX88" s="1280"/>
      <c r="CY88" s="1296"/>
      <c r="CZ88" s="1296"/>
      <c r="DA88" s="1291"/>
      <c r="DB88" s="1291"/>
      <c r="DC88" s="1291"/>
      <c r="DD88" s="1291"/>
      <c r="DE88" s="1291"/>
      <c r="DF88" s="1291"/>
      <c r="DG88" s="1291"/>
      <c r="DH88" s="1392"/>
      <c r="DI88" s="1387"/>
      <c r="DJ88" s="1392"/>
      <c r="DK88" s="1407"/>
      <c r="DL88" s="1407"/>
      <c r="DM88" s="1403"/>
      <c r="DN88" s="1403"/>
      <c r="DO88" s="1403"/>
      <c r="DP88" s="1403"/>
      <c r="DQ88" s="1403"/>
      <c r="DR88" s="3075"/>
      <c r="DS88" s="264"/>
      <c r="DT88" s="264"/>
      <c r="DU88" s="264"/>
      <c r="DV88" s="264"/>
      <c r="DW88" s="264"/>
      <c r="DX88" s="264"/>
      <c r="DY88" s="264"/>
      <c r="DZ88" s="264"/>
      <c r="EA88" s="264"/>
      <c r="EB88" s="264"/>
      <c r="EC88" s="264"/>
      <c r="ED88" s="264"/>
      <c r="EE88" s="264"/>
      <c r="EF88" s="264"/>
      <c r="EG88" s="264"/>
      <c r="EH88" s="264"/>
      <c r="EI88" s="264"/>
      <c r="EJ88" s="264"/>
      <c r="EK88" s="264"/>
      <c r="EL88" s="264"/>
      <c r="EM88" s="264"/>
      <c r="EN88" s="264"/>
      <c r="EO88" s="264"/>
      <c r="EP88" s="264"/>
      <c r="EQ88" s="264"/>
      <c r="ER88" s="264"/>
    </row>
    <row r="89" spans="1:148" s="934" customFormat="1" ht="12">
      <c r="A89" s="1297" t="s">
        <v>1063</v>
      </c>
      <c r="B89" s="1285"/>
      <c r="C89" s="1286"/>
      <c r="D89" s="1286"/>
      <c r="E89" s="1286"/>
      <c r="F89" s="1286"/>
      <c r="G89" s="1285"/>
      <c r="H89" s="1286"/>
      <c r="I89" s="1286"/>
      <c r="J89" s="1286"/>
      <c r="K89" s="1286"/>
      <c r="L89" s="1285"/>
      <c r="M89" s="1286"/>
      <c r="N89" s="1286"/>
      <c r="O89" s="1286"/>
      <c r="P89" s="1287"/>
      <c r="Q89" s="1288"/>
      <c r="R89" s="1286"/>
      <c r="S89" s="1289"/>
      <c r="T89" s="1286"/>
      <c r="U89" s="1286"/>
      <c r="V89" s="1290"/>
      <c r="W89" s="1286"/>
      <c r="X89" s="1289"/>
      <c r="Y89" s="1289"/>
      <c r="Z89" s="1286"/>
      <c r="AA89" s="1290"/>
      <c r="AB89" s="1286"/>
      <c r="AC89" s="1289"/>
      <c r="AD89" s="1289"/>
      <c r="AE89" s="1286"/>
      <c r="AF89" s="1291"/>
      <c r="AG89" s="1286"/>
      <c r="AH89" s="1289"/>
      <c r="AI89" s="1289"/>
      <c r="AJ89" s="1286"/>
      <c r="AK89" s="1291"/>
      <c r="AL89" s="1286"/>
      <c r="AM89" s="1289"/>
      <c r="AN89" s="1289"/>
      <c r="AO89" s="1286"/>
      <c r="AP89" s="1291"/>
      <c r="AQ89" s="1286"/>
      <c r="AR89" s="1292"/>
      <c r="AS89" s="1292"/>
      <c r="AT89" s="1292"/>
      <c r="AU89" s="1291"/>
      <c r="AV89" s="1286"/>
      <c r="AW89" s="1286"/>
      <c r="AX89" s="1286"/>
      <c r="AY89" s="1292"/>
      <c r="AZ89" s="1352"/>
      <c r="BA89" s="1286"/>
      <c r="BB89" s="1286"/>
      <c r="BC89" s="1286"/>
      <c r="BD89" s="1286"/>
      <c r="BE89" s="1352"/>
      <c r="BF89" s="1286"/>
      <c r="BG89" s="1286"/>
      <c r="BH89" s="1286"/>
      <c r="BI89" s="1286"/>
      <c r="BJ89" s="1352"/>
      <c r="BK89" s="1286"/>
      <c r="BL89" s="1286"/>
      <c r="BM89" s="1286"/>
      <c r="BN89" s="1282">
        <v>127</v>
      </c>
      <c r="BO89" s="1280">
        <f>SUM(BK89:BN89)</f>
        <v>127</v>
      </c>
      <c r="BP89" s="1283">
        <v>1140</v>
      </c>
      <c r="BQ89" s="1283">
        <v>243</v>
      </c>
      <c r="BR89" s="1283">
        <v>190</v>
      </c>
      <c r="BS89" s="1282">
        <v>8438</v>
      </c>
      <c r="BT89" s="1280">
        <f>SUM(BP89:BS89)</f>
        <v>10011</v>
      </c>
      <c r="BU89" s="2569"/>
      <c r="BV89" s="2569"/>
      <c r="BW89" s="2569"/>
      <c r="BX89" s="2570"/>
      <c r="BY89" s="1280"/>
      <c r="BZ89" s="2569"/>
      <c r="CA89" s="2569"/>
      <c r="CB89" s="2569"/>
      <c r="CC89" s="2570"/>
      <c r="CD89" s="1280"/>
      <c r="CE89" s="2569"/>
      <c r="CF89" s="1283"/>
      <c r="CG89" s="1283"/>
      <c r="CH89" s="1282"/>
      <c r="CI89" s="1280"/>
      <c r="CJ89" s="1283"/>
      <c r="CK89" s="1283"/>
      <c r="CL89" s="1283"/>
      <c r="CM89" s="1282"/>
      <c r="CN89" s="1280"/>
      <c r="CO89" s="1283"/>
      <c r="CP89" s="1283"/>
      <c r="CQ89" s="1283"/>
      <c r="CR89" s="1282"/>
      <c r="CS89" s="1280"/>
      <c r="CT89" s="1283"/>
      <c r="CU89" s="1283"/>
      <c r="CV89" s="1283"/>
      <c r="CW89" s="1282"/>
      <c r="CX89" s="1280"/>
      <c r="CY89" s="1281"/>
      <c r="CZ89" s="1281"/>
      <c r="DA89" s="1280"/>
      <c r="DB89" s="1280"/>
      <c r="DC89" s="1280"/>
      <c r="DD89" s="1280"/>
      <c r="DE89" s="1280"/>
      <c r="DF89" s="1280"/>
      <c r="DG89" s="1380"/>
      <c r="DH89" s="1380"/>
      <c r="DI89" s="1280"/>
      <c r="DJ89" s="1380"/>
      <c r="DK89" s="1380"/>
      <c r="DL89" s="1380"/>
      <c r="DM89" s="1280"/>
      <c r="DN89" s="1280"/>
      <c r="DO89" s="1280"/>
      <c r="DP89" s="1280"/>
      <c r="DQ89" s="1280"/>
      <c r="DR89" s="3056"/>
      <c r="DS89" s="264"/>
      <c r="DT89" s="264"/>
      <c r="DU89" s="264"/>
      <c r="DV89" s="264"/>
      <c r="DW89" s="264"/>
      <c r="DX89" s="264"/>
      <c r="DY89" s="264"/>
      <c r="DZ89" s="264"/>
      <c r="EA89" s="264"/>
      <c r="EB89" s="264"/>
      <c r="EC89" s="264"/>
      <c r="ED89" s="264"/>
      <c r="EE89" s="264"/>
      <c r="EF89" s="264"/>
      <c r="EG89" s="264"/>
      <c r="EH89" s="264"/>
      <c r="EI89" s="264"/>
      <c r="EJ89" s="264"/>
      <c r="EK89" s="264"/>
      <c r="EL89" s="264"/>
      <c r="EM89" s="264"/>
      <c r="EN89" s="264"/>
      <c r="EO89" s="264"/>
      <c r="EP89" s="264"/>
      <c r="EQ89" s="264"/>
      <c r="ER89" s="264"/>
    </row>
    <row r="90" spans="1:148" s="934" customFormat="1" ht="12">
      <c r="A90" s="1107"/>
      <c r="B90" s="1246"/>
      <c r="C90" s="1247"/>
      <c r="D90" s="1247"/>
      <c r="E90" s="1247"/>
      <c r="F90" s="1247"/>
      <c r="G90" s="1246"/>
      <c r="H90" s="1247"/>
      <c r="I90" s="1247"/>
      <c r="J90" s="1247"/>
      <c r="K90" s="1247"/>
      <c r="L90" s="1246"/>
      <c r="M90" s="1247"/>
      <c r="N90" s="1247"/>
      <c r="O90" s="1247"/>
      <c r="P90" s="1248"/>
      <c r="Q90" s="1249"/>
      <c r="R90" s="1247"/>
      <c r="S90" s="1250"/>
      <c r="T90" s="1247"/>
      <c r="U90" s="1247"/>
      <c r="V90" s="1251"/>
      <c r="W90" s="1247"/>
      <c r="X90" s="1250"/>
      <c r="Y90" s="1250"/>
      <c r="Z90" s="1247"/>
      <c r="AA90" s="1251"/>
      <c r="AB90" s="1247"/>
      <c r="AC90" s="1250"/>
      <c r="AD90" s="1250"/>
      <c r="AE90" s="1247"/>
      <c r="AF90" s="1252"/>
      <c r="AG90" s="1247"/>
      <c r="AH90" s="1250"/>
      <c r="AI90" s="1250"/>
      <c r="AJ90" s="1247"/>
      <c r="AK90" s="1252"/>
      <c r="AL90" s="1247"/>
      <c r="AM90" s="1250"/>
      <c r="AN90" s="1250"/>
      <c r="AO90" s="1247"/>
      <c r="AP90" s="1252"/>
      <c r="AQ90" s="1247"/>
      <c r="AR90" s="1253"/>
      <c r="AS90" s="1253"/>
      <c r="AT90" s="1253"/>
      <c r="AU90" s="1252"/>
      <c r="AV90" s="1247"/>
      <c r="AW90" s="1247"/>
      <c r="AX90" s="1247"/>
      <c r="AY90" s="1253"/>
      <c r="AZ90" s="1356"/>
      <c r="BA90" s="1247"/>
      <c r="BB90" s="1247"/>
      <c r="BC90" s="1247"/>
      <c r="BD90" s="1247"/>
      <c r="BE90" s="1356"/>
      <c r="BF90" s="1247"/>
      <c r="BG90" s="1247"/>
      <c r="BH90" s="1247"/>
      <c r="BI90" s="1247"/>
      <c r="BJ90" s="1356"/>
      <c r="BK90" s="1247"/>
      <c r="BL90" s="1247"/>
      <c r="BM90" s="1247"/>
      <c r="BN90" s="1247"/>
      <c r="BO90" s="1356"/>
      <c r="BP90" s="1247"/>
      <c r="BQ90" s="1247"/>
      <c r="BR90" s="1247"/>
      <c r="BS90" s="1247"/>
      <c r="BT90" s="1372"/>
      <c r="BU90" s="1247"/>
      <c r="BV90" s="1247"/>
      <c r="BW90" s="1247"/>
      <c r="BX90" s="1247"/>
      <c r="BY90" s="1372"/>
      <c r="BZ90" s="1247"/>
      <c r="CA90" s="1247"/>
      <c r="CB90" s="1247"/>
      <c r="CC90" s="1247"/>
      <c r="CD90" s="1372"/>
      <c r="CE90" s="1247"/>
      <c r="CF90" s="1247"/>
      <c r="CG90" s="1247"/>
      <c r="CH90" s="1247"/>
      <c r="CI90" s="1372"/>
      <c r="CJ90" s="1247"/>
      <c r="CK90" s="1247"/>
      <c r="CL90" s="1247"/>
      <c r="CM90" s="1247"/>
      <c r="CN90" s="1372"/>
      <c r="CO90" s="1247"/>
      <c r="CP90" s="1247"/>
      <c r="CQ90" s="1247"/>
      <c r="CR90" s="1247"/>
      <c r="CS90" s="1372"/>
      <c r="CT90" s="1247"/>
      <c r="CU90" s="1247"/>
      <c r="CV90" s="1247"/>
      <c r="CW90" s="1247"/>
      <c r="CX90" s="1372"/>
      <c r="CY90" s="92"/>
      <c r="CZ90" s="92"/>
      <c r="DA90" s="1252"/>
      <c r="DB90" s="1252"/>
      <c r="DC90" s="1252"/>
      <c r="DD90" s="1252"/>
      <c r="DE90" s="1252"/>
      <c r="DF90" s="1252"/>
      <c r="DG90" s="1252"/>
      <c r="DH90" s="1394"/>
      <c r="DI90" s="1389"/>
      <c r="DJ90" s="1394"/>
      <c r="DK90" s="1409"/>
      <c r="DL90" s="1409"/>
      <c r="DM90" s="1405"/>
      <c r="DN90" s="1405"/>
      <c r="DO90" s="1405"/>
      <c r="DP90" s="1405"/>
      <c r="DQ90" s="1405"/>
      <c r="DR90" s="3072"/>
      <c r="DS90" s="264"/>
      <c r="DT90" s="264"/>
      <c r="DU90" s="264"/>
      <c r="DV90" s="264"/>
      <c r="DW90" s="264"/>
      <c r="DX90" s="264"/>
      <c r="DY90" s="264"/>
      <c r="DZ90" s="264"/>
      <c r="EA90" s="264"/>
      <c r="EB90" s="264"/>
      <c r="EC90" s="264"/>
      <c r="ED90" s="264"/>
      <c r="EE90" s="264"/>
      <c r="EF90" s="264"/>
      <c r="EG90" s="264"/>
      <c r="EH90" s="264"/>
      <c r="EI90" s="264"/>
      <c r="EJ90" s="264"/>
      <c r="EK90" s="264"/>
      <c r="EL90" s="264"/>
      <c r="EM90" s="264"/>
      <c r="EN90" s="264"/>
      <c r="EO90" s="264"/>
      <c r="EP90" s="264"/>
      <c r="EQ90" s="264"/>
      <c r="ER90" s="264"/>
    </row>
    <row r="91" spans="1:148" s="934" customFormat="1" ht="12">
      <c r="A91" s="1107"/>
      <c r="B91" s="1246"/>
      <c r="C91" s="1247"/>
      <c r="D91" s="1247"/>
      <c r="E91" s="1247"/>
      <c r="F91" s="1247"/>
      <c r="G91" s="1246"/>
      <c r="H91" s="1247"/>
      <c r="I91" s="1247"/>
      <c r="J91" s="1247"/>
      <c r="K91" s="1247"/>
      <c r="L91" s="1246"/>
      <c r="M91" s="1247"/>
      <c r="N91" s="1247"/>
      <c r="O91" s="1247"/>
      <c r="P91" s="1248"/>
      <c r="Q91" s="1249"/>
      <c r="R91" s="1247"/>
      <c r="S91" s="1250"/>
      <c r="T91" s="1247"/>
      <c r="U91" s="1247"/>
      <c r="V91" s="1251"/>
      <c r="W91" s="1247"/>
      <c r="X91" s="1250"/>
      <c r="Y91" s="1250"/>
      <c r="Z91" s="1247"/>
      <c r="AA91" s="1251"/>
      <c r="AB91" s="1247"/>
      <c r="AC91" s="1250"/>
      <c r="AD91" s="1250"/>
      <c r="AE91" s="1247"/>
      <c r="AF91" s="1252"/>
      <c r="AG91" s="1247"/>
      <c r="AH91" s="1250"/>
      <c r="AI91" s="1250"/>
      <c r="AJ91" s="1247"/>
      <c r="AK91" s="1252"/>
      <c r="AL91" s="1247"/>
      <c r="AM91" s="1250"/>
      <c r="AN91" s="1250"/>
      <c r="AO91" s="1247"/>
      <c r="AP91" s="1252"/>
      <c r="AQ91" s="1247"/>
      <c r="AR91" s="1253"/>
      <c r="AS91" s="1253"/>
      <c r="AT91" s="1253"/>
      <c r="AU91" s="1252"/>
      <c r="AV91" s="1247"/>
      <c r="AW91" s="1247"/>
      <c r="AX91" s="1247"/>
      <c r="AY91" s="1253"/>
      <c r="AZ91" s="1356"/>
      <c r="BA91" s="1247"/>
      <c r="BB91" s="1247"/>
      <c r="BC91" s="1247"/>
      <c r="BD91" s="1247"/>
      <c r="BE91" s="1356"/>
      <c r="BF91" s="1247"/>
      <c r="BG91" s="1247"/>
      <c r="BH91" s="1247"/>
      <c r="BI91" s="1247"/>
      <c r="BJ91" s="1356"/>
      <c r="BK91" s="1247"/>
      <c r="BL91" s="1247"/>
      <c r="BM91" s="1247"/>
      <c r="BN91" s="1247"/>
      <c r="BO91" s="1356"/>
      <c r="BP91" s="1247"/>
      <c r="BQ91" s="1247"/>
      <c r="BR91" s="1247"/>
      <c r="BS91" s="1247"/>
      <c r="BT91" s="1372"/>
      <c r="BU91" s="1247"/>
      <c r="BV91" s="1247"/>
      <c r="BW91" s="1247"/>
      <c r="BX91" s="1247"/>
      <c r="BY91" s="1372"/>
      <c r="BZ91" s="1247"/>
      <c r="CA91" s="1247"/>
      <c r="CB91" s="1247"/>
      <c r="CC91" s="1247"/>
      <c r="CD91" s="1372"/>
      <c r="CE91" s="1247"/>
      <c r="CF91" s="1247"/>
      <c r="CG91" s="1247"/>
      <c r="CH91" s="1247"/>
      <c r="CI91" s="1372"/>
      <c r="CJ91" s="1247"/>
      <c r="CK91" s="1247"/>
      <c r="CL91" s="1247"/>
      <c r="CM91" s="1247"/>
      <c r="CN91" s="1372"/>
      <c r="CO91" s="1247"/>
      <c r="CP91" s="1247"/>
      <c r="CQ91" s="1247"/>
      <c r="CR91" s="1247"/>
      <c r="CS91" s="1372"/>
      <c r="CT91" s="1247"/>
      <c r="CU91" s="1247"/>
      <c r="CV91" s="1247"/>
      <c r="CW91" s="1247"/>
      <c r="CX91" s="1372"/>
      <c r="CY91" s="92"/>
      <c r="CZ91" s="92"/>
      <c r="DA91" s="1252"/>
      <c r="DB91" s="1252"/>
      <c r="DC91" s="1252"/>
      <c r="DD91" s="1252"/>
      <c r="DE91" s="1252"/>
      <c r="DF91" s="1252"/>
      <c r="DG91" s="1252"/>
      <c r="DH91" s="1394"/>
      <c r="DI91" s="1389"/>
      <c r="DJ91" s="1394"/>
      <c r="DK91" s="1409"/>
      <c r="DL91" s="1409"/>
      <c r="DM91" s="1405"/>
      <c r="DN91" s="1405"/>
      <c r="DO91" s="1405"/>
      <c r="DP91" s="1405"/>
      <c r="DQ91" s="1405"/>
      <c r="DR91" s="3072"/>
      <c r="DS91" s="264"/>
      <c r="DT91" s="264"/>
      <c r="DU91" s="264"/>
      <c r="DV91" s="264"/>
      <c r="DW91" s="264"/>
      <c r="DX91" s="264"/>
      <c r="DY91" s="264"/>
      <c r="DZ91" s="264"/>
      <c r="EA91" s="264"/>
      <c r="EB91" s="264"/>
      <c r="EC91" s="264"/>
      <c r="ED91" s="264"/>
      <c r="EE91" s="264"/>
      <c r="EF91" s="264"/>
      <c r="EG91" s="264"/>
      <c r="EH91" s="264"/>
      <c r="EI91" s="264"/>
      <c r="EJ91" s="264"/>
      <c r="EK91" s="264"/>
      <c r="EL91" s="264"/>
      <c r="EM91" s="264"/>
      <c r="EN91" s="264"/>
      <c r="EO91" s="264"/>
      <c r="EP91" s="264"/>
      <c r="EQ91" s="264"/>
      <c r="ER91" s="264"/>
    </row>
    <row r="92" spans="1:148" s="934" customFormat="1" ht="12">
      <c r="A92" s="1107"/>
      <c r="B92" s="1246"/>
      <c r="C92" s="1247"/>
      <c r="D92" s="1247"/>
      <c r="E92" s="1247"/>
      <c r="F92" s="1247"/>
      <c r="G92" s="1246"/>
      <c r="H92" s="1247"/>
      <c r="I92" s="1247"/>
      <c r="J92" s="1247"/>
      <c r="K92" s="1247"/>
      <c r="L92" s="1246"/>
      <c r="M92" s="1247"/>
      <c r="N92" s="1247"/>
      <c r="O92" s="1247"/>
      <c r="P92" s="1248"/>
      <c r="Q92" s="1249"/>
      <c r="R92" s="1247"/>
      <c r="S92" s="1250"/>
      <c r="T92" s="1247"/>
      <c r="U92" s="1247"/>
      <c r="V92" s="1251"/>
      <c r="W92" s="1247"/>
      <c r="X92" s="1250"/>
      <c r="Y92" s="1250"/>
      <c r="Z92" s="1247"/>
      <c r="AA92" s="1251"/>
      <c r="AB92" s="1247"/>
      <c r="AC92" s="1250"/>
      <c r="AD92" s="1250"/>
      <c r="AE92" s="1247"/>
      <c r="AF92" s="1252"/>
      <c r="AG92" s="1247"/>
      <c r="AH92" s="1250"/>
      <c r="AI92" s="1250"/>
      <c r="AJ92" s="1247"/>
      <c r="AK92" s="1252"/>
      <c r="AL92" s="1247"/>
      <c r="AM92" s="1250"/>
      <c r="AN92" s="1250"/>
      <c r="AO92" s="1247"/>
      <c r="AP92" s="1252"/>
      <c r="AQ92" s="1247"/>
      <c r="AR92" s="1253"/>
      <c r="AS92" s="1253"/>
      <c r="AT92" s="1253"/>
      <c r="AU92" s="1252"/>
      <c r="AV92" s="1247"/>
      <c r="AW92" s="1247"/>
      <c r="AX92" s="1247"/>
      <c r="AY92" s="1253"/>
      <c r="AZ92" s="1356"/>
      <c r="BA92" s="1247"/>
      <c r="BB92" s="1247"/>
      <c r="BC92" s="1247"/>
      <c r="BD92" s="1247"/>
      <c r="BE92" s="1356"/>
      <c r="BF92" s="1247"/>
      <c r="BG92" s="1247"/>
      <c r="BH92" s="1247"/>
      <c r="BI92" s="1247"/>
      <c r="BJ92" s="1356"/>
      <c r="BK92" s="1247"/>
      <c r="BL92" s="1247"/>
      <c r="BM92" s="1247"/>
      <c r="BN92" s="1247"/>
      <c r="BO92" s="1356"/>
      <c r="BP92" s="1247"/>
      <c r="BQ92" s="1247"/>
      <c r="BR92" s="1247"/>
      <c r="BS92" s="1247"/>
      <c r="BT92" s="1372"/>
      <c r="BU92" s="1247"/>
      <c r="BV92" s="1247"/>
      <c r="BW92" s="2791"/>
      <c r="BX92" s="1254"/>
      <c r="BY92" s="1379"/>
      <c r="BZ92" s="1254"/>
      <c r="CA92" s="1254"/>
      <c r="CB92" s="1254"/>
      <c r="CC92" s="1254"/>
      <c r="CD92" s="1379"/>
      <c r="CE92" s="1254"/>
      <c r="CF92" s="1254"/>
      <c r="CG92" s="1254"/>
      <c r="CH92" s="1254"/>
      <c r="CI92" s="1379"/>
      <c r="CJ92" s="1254"/>
      <c r="CK92" s="1254"/>
      <c r="CL92" s="1254"/>
      <c r="CM92" s="1254"/>
      <c r="CN92" s="1379"/>
      <c r="CO92" s="1254"/>
      <c r="CP92" s="1254"/>
      <c r="CQ92" s="1254"/>
      <c r="CR92" s="1254"/>
      <c r="CS92" s="1379"/>
      <c r="CT92" s="1254"/>
      <c r="CU92" s="1254"/>
      <c r="CV92" s="1254"/>
      <c r="CW92" s="1254"/>
      <c r="CX92" s="1379"/>
      <c r="CY92" s="92"/>
      <c r="CZ92" s="92"/>
      <c r="DA92" s="1252"/>
      <c r="DB92" s="1252"/>
      <c r="DC92" s="1252"/>
      <c r="DD92" s="1252"/>
      <c r="DE92" s="1252"/>
      <c r="DF92" s="1252"/>
      <c r="DG92" s="1252"/>
      <c r="DH92" s="1394"/>
      <c r="DI92" s="1389"/>
      <c r="DJ92" s="1394"/>
      <c r="DK92" s="1409"/>
      <c r="DL92" s="1409"/>
      <c r="DM92" s="1405"/>
      <c r="DN92" s="1405"/>
      <c r="DO92" s="1405"/>
      <c r="DP92" s="1405"/>
      <c r="DQ92" s="1405"/>
      <c r="DR92" s="3072"/>
      <c r="DS92" s="264"/>
      <c r="DT92" s="264"/>
      <c r="DU92" s="264"/>
      <c r="DV92" s="264"/>
      <c r="DW92" s="264"/>
      <c r="DX92" s="264"/>
      <c r="DY92" s="264"/>
      <c r="DZ92" s="264"/>
      <c r="EA92" s="264"/>
      <c r="EB92" s="264"/>
      <c r="EC92" s="264"/>
      <c r="ED92" s="264"/>
      <c r="EE92" s="264"/>
      <c r="EF92" s="264"/>
      <c r="EG92" s="264"/>
      <c r="EH92" s="264"/>
      <c r="EI92" s="264"/>
      <c r="EJ92" s="264"/>
      <c r="EK92" s="264"/>
      <c r="EL92" s="264"/>
      <c r="EM92" s="264"/>
      <c r="EN92" s="264"/>
      <c r="EO92" s="264"/>
      <c r="EP92" s="264"/>
      <c r="EQ92" s="264"/>
      <c r="ER92" s="264"/>
    </row>
    <row r="93" spans="1:148" s="934" customFormat="1" ht="12">
      <c r="A93" s="1107"/>
      <c r="B93" s="1246"/>
      <c r="C93" s="1247"/>
      <c r="D93" s="1247"/>
      <c r="E93" s="1247"/>
      <c r="F93" s="1247"/>
      <c r="G93" s="1246"/>
      <c r="H93" s="1247"/>
      <c r="I93" s="1247"/>
      <c r="J93" s="1247"/>
      <c r="K93" s="1247"/>
      <c r="L93" s="1246"/>
      <c r="M93" s="1247"/>
      <c r="N93" s="1247"/>
      <c r="O93" s="1247"/>
      <c r="P93" s="1248"/>
      <c r="Q93" s="1249"/>
      <c r="R93" s="1247"/>
      <c r="S93" s="1250"/>
      <c r="T93" s="1247"/>
      <c r="U93" s="1247"/>
      <c r="V93" s="1251"/>
      <c r="W93" s="1247"/>
      <c r="X93" s="1250"/>
      <c r="Y93" s="1250"/>
      <c r="Z93" s="1247"/>
      <c r="AA93" s="1251"/>
      <c r="AB93" s="1247"/>
      <c r="AC93" s="1250"/>
      <c r="AD93" s="1250"/>
      <c r="AE93" s="1247"/>
      <c r="AF93" s="1252"/>
      <c r="AG93" s="1247"/>
      <c r="AH93" s="1250"/>
      <c r="AI93" s="1250"/>
      <c r="AJ93" s="1247"/>
      <c r="AK93" s="1252"/>
      <c r="AL93" s="1247"/>
      <c r="AM93" s="1250"/>
      <c r="AN93" s="1250"/>
      <c r="AO93" s="1247"/>
      <c r="AP93" s="1252"/>
      <c r="AQ93" s="1247"/>
      <c r="AR93" s="1253"/>
      <c r="AS93" s="1253"/>
      <c r="AT93" s="1253"/>
      <c r="AU93" s="1252"/>
      <c r="AV93" s="1247"/>
      <c r="AW93" s="1247"/>
      <c r="AX93" s="1247"/>
      <c r="AY93" s="1253"/>
      <c r="AZ93" s="1356"/>
      <c r="BA93" s="1247"/>
      <c r="BB93" s="1247"/>
      <c r="BC93" s="1247"/>
      <c r="BD93" s="1247"/>
      <c r="BE93" s="1356"/>
      <c r="BF93" s="1247"/>
      <c r="BG93" s="1247"/>
      <c r="BH93" s="1247"/>
      <c r="BI93" s="1247"/>
      <c r="BJ93" s="1356"/>
      <c r="BK93" s="1247"/>
      <c r="BL93" s="1247"/>
      <c r="BM93" s="1247"/>
      <c r="BN93" s="1247"/>
      <c r="BO93" s="1356"/>
      <c r="BP93" s="1247"/>
      <c r="BQ93" s="1247"/>
      <c r="BR93" s="1247"/>
      <c r="BS93" s="1247"/>
      <c r="BT93" s="1372"/>
      <c r="BU93" s="1247"/>
      <c r="BV93" s="1247"/>
      <c r="BW93" s="2791"/>
      <c r="BX93" s="1254"/>
      <c r="BY93" s="1379"/>
      <c r="BZ93" s="1254"/>
      <c r="CA93" s="1254"/>
      <c r="CB93" s="1254"/>
      <c r="CC93" s="1254"/>
      <c r="CD93" s="1379"/>
      <c r="CE93" s="1254"/>
      <c r="CF93" s="1254"/>
      <c r="CG93" s="1254"/>
      <c r="CH93" s="1254"/>
      <c r="CI93" s="1379"/>
      <c r="CJ93" s="1254"/>
      <c r="CK93" s="1254"/>
      <c r="CL93" s="1254"/>
      <c r="CM93" s="1254"/>
      <c r="CN93" s="1379"/>
      <c r="CO93" s="1254"/>
      <c r="CP93" s="1254"/>
      <c r="CQ93" s="1254"/>
      <c r="CR93" s="1254"/>
      <c r="CS93" s="1379"/>
      <c r="CT93" s="1254"/>
      <c r="CU93" s="1254"/>
      <c r="CV93" s="1254"/>
      <c r="CW93" s="1254"/>
      <c r="CX93" s="1379"/>
      <c r="CY93" s="92"/>
      <c r="CZ93" s="92"/>
      <c r="DA93" s="1252"/>
      <c r="DB93" s="1252"/>
      <c r="DC93" s="1252"/>
      <c r="DD93" s="1252"/>
      <c r="DE93" s="1252"/>
      <c r="DF93" s="1252"/>
      <c r="DG93" s="1252"/>
      <c r="DH93" s="1394"/>
      <c r="DI93" s="1389"/>
      <c r="DJ93" s="1394"/>
      <c r="DK93" s="1409"/>
      <c r="DL93" s="1409"/>
      <c r="DM93" s="1405"/>
      <c r="DN93" s="1405"/>
      <c r="DO93" s="1405"/>
      <c r="DP93" s="1405"/>
      <c r="DQ93" s="1405"/>
      <c r="DR93" s="3072"/>
      <c r="DS93" s="264"/>
      <c r="DT93" s="264"/>
      <c r="DU93" s="264"/>
      <c r="DV93" s="264"/>
      <c r="DW93" s="264"/>
      <c r="DX93" s="264"/>
      <c r="DY93" s="264"/>
      <c r="DZ93" s="264"/>
      <c r="EA93" s="264"/>
      <c r="EB93" s="264"/>
      <c r="EC93" s="264"/>
      <c r="ED93" s="264"/>
      <c r="EE93" s="264"/>
      <c r="EF93" s="264"/>
      <c r="EG93" s="264"/>
      <c r="EH93" s="264"/>
      <c r="EI93" s="264"/>
      <c r="EJ93" s="264"/>
      <c r="EK93" s="264"/>
      <c r="EL93" s="264"/>
      <c r="EM93" s="264"/>
      <c r="EN93" s="264"/>
      <c r="EO93" s="264"/>
      <c r="EP93" s="264"/>
      <c r="EQ93" s="264"/>
      <c r="ER93" s="264"/>
    </row>
    <row r="94" spans="1:148" s="934" customFormat="1" ht="12" hidden="1" outlineLevel="1">
      <c r="A94" s="1736" t="s">
        <v>1041</v>
      </c>
      <c r="B94" s="1737"/>
      <c r="C94" s="1738"/>
      <c r="D94" s="1738"/>
      <c r="E94" s="1738"/>
      <c r="F94" s="1738"/>
      <c r="G94" s="1737"/>
      <c r="H94" s="1738"/>
      <c r="I94" s="1738"/>
      <c r="J94" s="1738"/>
      <c r="K94" s="1738"/>
      <c r="L94" s="1737"/>
      <c r="M94" s="1738"/>
      <c r="N94" s="1738"/>
      <c r="O94" s="1738"/>
      <c r="P94" s="1739"/>
      <c r="Q94" s="1740"/>
      <c r="R94" s="1738"/>
      <c r="S94" s="1741"/>
      <c r="T94" s="1738"/>
      <c r="U94" s="1738"/>
      <c r="V94" s="1742"/>
      <c r="W94" s="1738"/>
      <c r="X94" s="1741"/>
      <c r="Y94" s="1741"/>
      <c r="Z94" s="1738"/>
      <c r="AA94" s="1742"/>
      <c r="AB94" s="1738"/>
      <c r="AC94" s="1741"/>
      <c r="AD94" s="1741"/>
      <c r="AE94" s="1738"/>
      <c r="AF94" s="1743"/>
      <c r="AG94" s="1738"/>
      <c r="AH94" s="1741"/>
      <c r="AI94" s="1741"/>
      <c r="AJ94" s="1738"/>
      <c r="AK94" s="1743"/>
      <c r="AL94" s="1738"/>
      <c r="AM94" s="1741"/>
      <c r="AN94" s="1741"/>
      <c r="AO94" s="1738"/>
      <c r="AP94" s="1743"/>
      <c r="AQ94" s="1738"/>
      <c r="AR94" s="1744"/>
      <c r="AS94" s="1744"/>
      <c r="AT94" s="1744"/>
      <c r="AU94" s="1743"/>
      <c r="AV94" s="1738"/>
      <c r="AW94" s="1738"/>
      <c r="AX94" s="1738"/>
      <c r="AY94" s="1744"/>
      <c r="AZ94" s="1745"/>
      <c r="BA94" s="1738"/>
      <c r="BB94" s="1738"/>
      <c r="BC94" s="1738"/>
      <c r="BD94" s="1738"/>
      <c r="BE94" s="1745"/>
      <c r="BF94" s="1738"/>
      <c r="BG94" s="1738"/>
      <c r="BH94" s="1738"/>
      <c r="BI94" s="1738"/>
      <c r="BJ94" s="1745"/>
      <c r="BK94" s="1738"/>
      <c r="BL94" s="1738"/>
      <c r="BM94" s="1738"/>
      <c r="BN94" s="1738"/>
      <c r="BO94" s="1745"/>
      <c r="BP94" s="1738"/>
      <c r="BQ94" s="1738"/>
      <c r="BR94" s="1738"/>
      <c r="BS94" s="1738"/>
      <c r="BT94" s="1746"/>
      <c r="BU94" s="1738"/>
      <c r="BV94" s="1738"/>
      <c r="BW94" s="1747"/>
      <c r="BX94" s="1747"/>
      <c r="BY94" s="1748"/>
      <c r="BZ94" s="1747"/>
      <c r="CA94" s="1747"/>
      <c r="CB94" s="1747"/>
      <c r="CC94" s="1747"/>
      <c r="CD94" s="1748"/>
      <c r="CE94" s="1747"/>
      <c r="CF94" s="1747"/>
      <c r="CG94" s="1747"/>
      <c r="CH94" s="1747"/>
      <c r="CI94" s="1748"/>
      <c r="CJ94" s="1747"/>
      <c r="CK94" s="1747"/>
      <c r="CL94" s="1747"/>
      <c r="CM94" s="1747"/>
      <c r="CN94" s="1748"/>
      <c r="CO94" s="1747"/>
      <c r="CP94" s="1747"/>
      <c r="CQ94" s="1747"/>
      <c r="CR94" s="1747"/>
      <c r="CS94" s="1748"/>
      <c r="CT94" s="1747"/>
      <c r="CU94" s="1747"/>
      <c r="CV94" s="1747"/>
      <c r="CW94" s="1747"/>
      <c r="CX94" s="1748"/>
      <c r="CY94" s="1749"/>
      <c r="CZ94" s="1749"/>
      <c r="DA94" s="1743"/>
      <c r="DB94" s="1743"/>
      <c r="DC94" s="1743"/>
      <c r="DD94" s="1743"/>
      <c r="DE94" s="1743"/>
      <c r="DF94" s="1743"/>
      <c r="DG94" s="1743"/>
      <c r="DH94" s="1750"/>
      <c r="DI94" s="1751"/>
      <c r="DJ94" s="1750"/>
      <c r="DK94" s="1752"/>
      <c r="DL94" s="1752"/>
      <c r="DM94" s="1753"/>
      <c r="DN94" s="1753"/>
      <c r="DO94" s="1753"/>
      <c r="DP94" s="1753"/>
      <c r="DQ94" s="1753"/>
      <c r="DR94" s="3078"/>
      <c r="DS94" s="264"/>
      <c r="DT94" s="264"/>
      <c r="DU94" s="264"/>
      <c r="DV94" s="264"/>
      <c r="DW94" s="264"/>
      <c r="DX94" s="264"/>
      <c r="DY94" s="264"/>
      <c r="DZ94" s="264"/>
      <c r="EA94" s="264"/>
      <c r="EB94" s="264"/>
      <c r="EC94" s="264"/>
      <c r="ED94" s="264"/>
      <c r="EE94" s="264"/>
      <c r="EF94" s="264"/>
      <c r="EG94" s="264"/>
      <c r="EH94" s="264"/>
      <c r="EI94" s="264"/>
      <c r="EJ94" s="264"/>
      <c r="EK94" s="264"/>
      <c r="EL94" s="264"/>
      <c r="EM94" s="264"/>
      <c r="EN94" s="264"/>
      <c r="EO94" s="264"/>
      <c r="EP94" s="264"/>
      <c r="EQ94" s="264"/>
      <c r="ER94" s="264"/>
    </row>
    <row r="95" spans="1:148" s="935" customFormat="1" ht="12" hidden="1" outlineLevel="1">
      <c r="A95" s="1754" t="s">
        <v>716</v>
      </c>
      <c r="B95" s="1755"/>
      <c r="C95" s="1755"/>
      <c r="D95" s="1755"/>
      <c r="E95" s="1755"/>
      <c r="F95" s="1755"/>
      <c r="G95" s="1755"/>
      <c r="H95" s="1755"/>
      <c r="I95" s="1755"/>
      <c r="J95" s="1755"/>
      <c r="K95" s="1755"/>
      <c r="L95" s="1755"/>
      <c r="M95" s="1755"/>
      <c r="N95" s="1755"/>
      <c r="O95" s="1755"/>
      <c r="P95" s="1755"/>
      <c r="Q95" s="1755"/>
      <c r="R95" s="1755"/>
      <c r="S95" s="1755"/>
      <c r="T95" s="1755"/>
      <c r="U95" s="1755"/>
      <c r="V95" s="1755"/>
      <c r="W95" s="1755"/>
      <c r="X95" s="1755"/>
      <c r="Y95" s="1755"/>
      <c r="Z95" s="1755"/>
      <c r="AA95" s="1755"/>
      <c r="AB95" s="1755"/>
      <c r="AC95" s="1755"/>
      <c r="AD95" s="1755"/>
      <c r="AE95" s="1755"/>
      <c r="AF95" s="1755"/>
      <c r="AG95" s="1755"/>
      <c r="AH95" s="1755"/>
      <c r="AI95" s="1755"/>
      <c r="AJ95" s="1755"/>
      <c r="AK95" s="1755"/>
      <c r="AL95" s="1755"/>
      <c r="AM95" s="1755"/>
      <c r="AN95" s="1755"/>
      <c r="AO95" s="1755"/>
      <c r="AP95" s="1755"/>
      <c r="AQ95" s="1755"/>
      <c r="AR95" s="1755"/>
      <c r="AS95" s="1755"/>
      <c r="AT95" s="1755"/>
      <c r="AU95" s="1755"/>
      <c r="AV95" s="1755"/>
      <c r="AW95" s="1755"/>
      <c r="AX95" s="1755"/>
      <c r="AY95" s="1755"/>
      <c r="AZ95" s="1756"/>
      <c r="BA95" s="1755"/>
      <c r="BB95" s="1755"/>
      <c r="BC95" s="1755"/>
      <c r="BD95" s="1755"/>
      <c r="BE95" s="1757"/>
      <c r="BF95" s="1758"/>
      <c r="BG95" s="1758"/>
      <c r="BH95" s="1758"/>
      <c r="BI95" s="1758"/>
      <c r="BJ95" s="1757"/>
      <c r="BK95" s="1755"/>
      <c r="BL95" s="1755"/>
      <c r="BM95" s="1755"/>
      <c r="BN95" s="1758"/>
      <c r="BO95" s="1757"/>
      <c r="BP95" s="1755"/>
      <c r="BQ95" s="1755"/>
      <c r="BR95" s="1755"/>
      <c r="BS95" s="1755"/>
      <c r="BT95" s="1757"/>
      <c r="BU95" s="2800"/>
      <c r="BV95" s="2800"/>
      <c r="BW95" s="2800"/>
      <c r="BX95" s="2800"/>
      <c r="BY95" s="2801"/>
      <c r="BZ95" s="2800"/>
      <c r="CA95" s="2800"/>
      <c r="CB95" s="2800"/>
      <c r="CC95" s="2800"/>
      <c r="CD95" s="2801"/>
      <c r="CE95" s="1755"/>
      <c r="CF95" s="1755"/>
      <c r="CG95" s="1755"/>
      <c r="CH95" s="1755"/>
      <c r="CI95" s="1757"/>
      <c r="CJ95" s="1755"/>
      <c r="CK95" s="1755"/>
      <c r="CL95" s="1755"/>
      <c r="CM95" s="1755"/>
      <c r="CN95" s="1757"/>
      <c r="CO95" s="1755"/>
      <c r="CP95" s="1755"/>
      <c r="CQ95" s="1755"/>
      <c r="CR95" s="1755"/>
      <c r="CS95" s="1757"/>
      <c r="CT95" s="1755"/>
      <c r="CU95" s="1755"/>
      <c r="CV95" s="1755"/>
      <c r="CW95" s="1755"/>
      <c r="CX95" s="1757"/>
      <c r="CY95" s="1755"/>
      <c r="CZ95" s="1755"/>
      <c r="DA95" s="1757"/>
      <c r="DB95" s="1757"/>
      <c r="DC95" s="1757"/>
      <c r="DD95" s="1757"/>
      <c r="DE95" s="1757"/>
      <c r="DF95" s="1757"/>
      <c r="DG95" s="1759"/>
      <c r="DH95" s="1759"/>
      <c r="DI95" s="1757"/>
      <c r="DJ95" s="1759"/>
      <c r="DK95" s="1759"/>
      <c r="DL95" s="1759"/>
      <c r="DM95" s="1757"/>
      <c r="DN95" s="1757"/>
      <c r="DO95" s="1757"/>
      <c r="DP95" s="1757"/>
      <c r="DQ95" s="1757"/>
      <c r="DR95" s="1825"/>
      <c r="DS95" s="415"/>
      <c r="DT95" s="415"/>
      <c r="DU95" s="415"/>
      <c r="DV95" s="415"/>
      <c r="DW95" s="415"/>
      <c r="DX95" s="415"/>
      <c r="DY95" s="415"/>
      <c r="DZ95" s="415"/>
      <c r="EA95" s="415"/>
      <c r="EB95" s="415"/>
      <c r="EC95" s="415"/>
      <c r="ED95" s="415"/>
      <c r="EE95" s="415"/>
      <c r="EF95" s="415"/>
      <c r="EG95" s="415"/>
      <c r="EH95" s="415"/>
      <c r="EI95" s="415"/>
      <c r="EJ95" s="415"/>
      <c r="EK95" s="415"/>
      <c r="EL95" s="415"/>
      <c r="EM95" s="415"/>
      <c r="EN95" s="415"/>
      <c r="EO95" s="415"/>
      <c r="EP95" s="415"/>
      <c r="EQ95" s="415"/>
      <c r="ER95" s="415"/>
    </row>
    <row r="96" spans="1:148" s="934" customFormat="1" ht="12" hidden="1" outlineLevel="1">
      <c r="A96" s="1760" t="s">
        <v>212</v>
      </c>
      <c r="B96" s="1761"/>
      <c r="C96" s="1761"/>
      <c r="D96" s="1761"/>
      <c r="E96" s="1761"/>
      <c r="F96" s="1761"/>
      <c r="G96" s="1761"/>
      <c r="H96" s="1761"/>
      <c r="I96" s="1761"/>
      <c r="J96" s="1761"/>
      <c r="K96" s="1761"/>
      <c r="L96" s="1761"/>
      <c r="M96" s="1761"/>
      <c r="N96" s="1761"/>
      <c r="O96" s="1761"/>
      <c r="P96" s="1761"/>
      <c r="Q96" s="1761"/>
      <c r="R96" s="1761"/>
      <c r="S96" s="1761"/>
      <c r="T96" s="1761"/>
      <c r="U96" s="1761"/>
      <c r="V96" s="1761"/>
      <c r="W96" s="1761"/>
      <c r="X96" s="1761"/>
      <c r="Y96" s="1761"/>
      <c r="Z96" s="1761"/>
      <c r="AA96" s="1761"/>
      <c r="AB96" s="1761"/>
      <c r="AC96" s="1761"/>
      <c r="AD96" s="1761"/>
      <c r="AE96" s="1761"/>
      <c r="AF96" s="1761"/>
      <c r="AG96" s="1761"/>
      <c r="AH96" s="1761"/>
      <c r="AI96" s="1761"/>
      <c r="AJ96" s="1761"/>
      <c r="AK96" s="1761"/>
      <c r="AL96" s="1761"/>
      <c r="AM96" s="1761"/>
      <c r="AN96" s="1761"/>
      <c r="AO96" s="1761"/>
      <c r="AP96" s="1761"/>
      <c r="AQ96" s="1761"/>
      <c r="AR96" s="1761"/>
      <c r="AS96" s="1761"/>
      <c r="AT96" s="1761"/>
      <c r="AU96" s="1762"/>
      <c r="AV96" s="1761"/>
      <c r="AW96" s="1761"/>
      <c r="AX96" s="1761"/>
      <c r="AY96" s="1761"/>
      <c r="AZ96" s="1762"/>
      <c r="BA96" s="1763">
        <v>5093</v>
      </c>
      <c r="BB96" s="1763">
        <v>4956</v>
      </c>
      <c r="BC96" s="1763">
        <v>4763</v>
      </c>
      <c r="BD96" s="1763">
        <v>4683</v>
      </c>
      <c r="BE96" s="1762">
        <f>SUM(BA96:BD96)</f>
        <v>19495</v>
      </c>
      <c r="BF96" s="1763">
        <v>4678</v>
      </c>
      <c r="BG96" s="1763">
        <v>5703</v>
      </c>
      <c r="BH96" s="1763">
        <v>4352</v>
      </c>
      <c r="BI96" s="1763">
        <v>4288</v>
      </c>
      <c r="BJ96" s="1762">
        <f>SUM(BF96:BI96)</f>
        <v>19021</v>
      </c>
      <c r="BK96" s="1764">
        <v>4484</v>
      </c>
      <c r="BL96" s="1764">
        <v>5544</v>
      </c>
      <c r="BM96" s="1764">
        <v>4597</v>
      </c>
      <c r="BN96" s="1763">
        <v>4903</v>
      </c>
      <c r="BO96" s="1762">
        <f>SUM(BK96:BN96)</f>
        <v>19528</v>
      </c>
      <c r="BP96" s="1764">
        <v>4093</v>
      </c>
      <c r="BQ96" s="1764">
        <v>4167</v>
      </c>
      <c r="BR96" s="1764">
        <v>3476</v>
      </c>
      <c r="BS96" s="1763">
        <v>3233</v>
      </c>
      <c r="BT96" s="1762">
        <f>SUM(BP96:BS96)</f>
        <v>14969</v>
      </c>
      <c r="BU96" s="2802" t="e">
        <f>#REF!</f>
        <v>#REF!</v>
      </c>
      <c r="BV96" s="2802" t="e">
        <f>#REF!</f>
        <v>#REF!</v>
      </c>
      <c r="BW96" s="2803" t="e">
        <f>#REF!</f>
        <v>#REF!</v>
      </c>
      <c r="BX96" s="2803" t="e">
        <f>#REF!</f>
        <v>#REF!</v>
      </c>
      <c r="BY96" s="1762" t="e">
        <f>SUM(BU96:BX96)</f>
        <v>#REF!</v>
      </c>
      <c r="BZ96" s="2803" t="e">
        <f>#REF!</f>
        <v>#REF!</v>
      </c>
      <c r="CA96" s="2803" t="e">
        <f>#REF!</f>
        <v>#REF!</v>
      </c>
      <c r="CB96" s="2803" t="e">
        <f>#REF!</f>
        <v>#REF!</v>
      </c>
      <c r="CC96" s="2803" t="e">
        <f>#REF!</f>
        <v>#REF!</v>
      </c>
      <c r="CD96" s="1762" t="e">
        <f>SUM(BZ96:CC96)</f>
        <v>#REF!</v>
      </c>
      <c r="CE96" s="1765">
        <f>'Rev Detail - OLD'!BE297</f>
        <v>0</v>
      </c>
      <c r="CF96" s="1765">
        <f>'Rev Detail - OLD'!BF297</f>
        <v>0</v>
      </c>
      <c r="CG96" s="1765">
        <f>'Rev Detail - OLD'!BG297</f>
        <v>0</v>
      </c>
      <c r="CH96" s="1765">
        <f>'Rev Detail - OLD'!BH297</f>
        <v>0</v>
      </c>
      <c r="CI96" s="1762">
        <f>SUM(CE96:CH96)</f>
        <v>0</v>
      </c>
      <c r="CJ96" s="1765">
        <f>'Rev Detail - OLD'!BJ297</f>
        <v>0</v>
      </c>
      <c r="CK96" s="1765">
        <f>'Rev Detail - OLD'!BK297</f>
        <v>0</v>
      </c>
      <c r="CL96" s="1765">
        <f>'Rev Detail - OLD'!BL297</f>
        <v>0</v>
      </c>
      <c r="CM96" s="1765">
        <f>'Rev Detail - OLD'!BM297</f>
        <v>0</v>
      </c>
      <c r="CN96" s="1762">
        <f>SUM(CJ96:CM96)</f>
        <v>0</v>
      </c>
      <c r="CO96" s="1765">
        <f>'Rev Detail - OLD'!BO297</f>
        <v>0</v>
      </c>
      <c r="CP96" s="1765">
        <f>'Rev Detail - OLD'!BP297</f>
        <v>0</v>
      </c>
      <c r="CQ96" s="1765">
        <f>'Rev Detail - OLD'!BQ297</f>
        <v>0</v>
      </c>
      <c r="CR96" s="1765">
        <f>'Rev Detail - OLD'!BR297</f>
        <v>0</v>
      </c>
      <c r="CS96" s="1762">
        <f>SUM(CO96:CR96)</f>
        <v>0</v>
      </c>
      <c r="CT96" s="1765">
        <f>'Rev Detail - OLD'!BT297</f>
        <v>0</v>
      </c>
      <c r="CU96" s="1765">
        <f>'Rev Detail - OLD'!BU297</f>
        <v>0</v>
      </c>
      <c r="CV96" s="1765">
        <f>'Rev Detail - OLD'!BV297</f>
        <v>0</v>
      </c>
      <c r="CW96" s="1765">
        <f>'Rev Detail - OLD'!BW297</f>
        <v>17760</v>
      </c>
      <c r="CX96" s="1762">
        <f>SUM(CT96:CW96)</f>
        <v>17760</v>
      </c>
      <c r="CY96" s="1761"/>
      <c r="CZ96" s="1761"/>
      <c r="DA96" s="1762"/>
      <c r="DB96" s="1762"/>
      <c r="DC96" s="1762"/>
      <c r="DD96" s="1762"/>
      <c r="DE96" s="1762"/>
      <c r="DF96" s="1762"/>
      <c r="DG96" s="1766"/>
      <c r="DH96" s="1766"/>
      <c r="DI96" s="1762">
        <f>SUM(BC96:BD96,BF96:BG96)</f>
        <v>19827</v>
      </c>
      <c r="DJ96" s="1766">
        <f>SUM(BH96:BI96,BK96:BL96)</f>
        <v>18668</v>
      </c>
      <c r="DK96" s="1766">
        <f>SUM(BM96:BN96,BP96:BQ96)</f>
        <v>17760</v>
      </c>
      <c r="DL96" s="1766" t="e">
        <f>SUM(BU96:BV96,BR96:BS96)</f>
        <v>#REF!</v>
      </c>
      <c r="DM96" s="1762" t="e">
        <f>SUM(BW96:BX96,BZ96:CA96)</f>
        <v>#REF!</v>
      </c>
      <c r="DN96" s="1762" t="e">
        <f>SUM(CB96:CC96,CE96:CF96)</f>
        <v>#REF!</v>
      </c>
      <c r="DO96" s="1762"/>
      <c r="DP96" s="1762"/>
      <c r="DQ96" s="1762"/>
      <c r="DR96" s="1795"/>
      <c r="DS96" s="264"/>
      <c r="DT96" s="264"/>
      <c r="DU96" s="264"/>
      <c r="DV96" s="264"/>
      <c r="DW96" s="264"/>
      <c r="DX96" s="264"/>
      <c r="DY96" s="264"/>
      <c r="DZ96" s="264"/>
      <c r="EA96" s="264"/>
      <c r="EB96" s="264"/>
      <c r="EC96" s="264"/>
      <c r="ED96" s="264"/>
      <c r="EE96" s="264"/>
      <c r="EF96" s="264"/>
      <c r="EG96" s="264"/>
      <c r="EH96" s="264"/>
      <c r="EI96" s="264"/>
      <c r="EJ96" s="264"/>
      <c r="EK96" s="264"/>
      <c r="EL96" s="264"/>
      <c r="EM96" s="264"/>
      <c r="EN96" s="264"/>
      <c r="EO96" s="264"/>
      <c r="EP96" s="264"/>
      <c r="EQ96" s="264"/>
      <c r="ER96" s="264"/>
    </row>
    <row r="97" spans="1:148" s="937" customFormat="1" ht="12" hidden="1" outlineLevel="1">
      <c r="A97" s="1767" t="s">
        <v>717</v>
      </c>
      <c r="B97" s="1768"/>
      <c r="C97" s="1768"/>
      <c r="D97" s="1768"/>
      <c r="E97" s="1768"/>
      <c r="F97" s="1768"/>
      <c r="G97" s="1768"/>
      <c r="H97" s="1768"/>
      <c r="I97" s="1768"/>
      <c r="J97" s="1768"/>
      <c r="K97" s="1768"/>
      <c r="L97" s="1768"/>
      <c r="M97" s="1768"/>
      <c r="N97" s="1768"/>
      <c r="O97" s="1768"/>
      <c r="P97" s="1768"/>
      <c r="Q97" s="1768"/>
      <c r="R97" s="1768"/>
      <c r="S97" s="1768"/>
      <c r="T97" s="1768"/>
      <c r="U97" s="1768"/>
      <c r="V97" s="1768"/>
      <c r="W97" s="1768"/>
      <c r="X97" s="1768"/>
      <c r="Y97" s="1768"/>
      <c r="Z97" s="1768"/>
      <c r="AA97" s="1768"/>
      <c r="AB97" s="1768"/>
      <c r="AC97" s="1768"/>
      <c r="AD97" s="1768"/>
      <c r="AE97" s="1768"/>
      <c r="AF97" s="1768"/>
      <c r="AG97" s="1768"/>
      <c r="AH97" s="1768"/>
      <c r="AI97" s="1768"/>
      <c r="AJ97" s="1768"/>
      <c r="AK97" s="1768"/>
      <c r="AL97" s="1768"/>
      <c r="AM97" s="1768"/>
      <c r="AN97" s="1768"/>
      <c r="AO97" s="1768"/>
      <c r="AP97" s="1768"/>
      <c r="AQ97" s="1768"/>
      <c r="AR97" s="1768"/>
      <c r="AS97" s="1768"/>
      <c r="AT97" s="1768"/>
      <c r="AU97" s="1769"/>
      <c r="AV97" s="1768"/>
      <c r="AW97" s="1768"/>
      <c r="AX97" s="1768"/>
      <c r="AY97" s="1770"/>
      <c r="AZ97" s="1769"/>
      <c r="BA97" s="1771"/>
      <c r="BB97" s="1771"/>
      <c r="BC97" s="1771"/>
      <c r="BD97" s="1771"/>
      <c r="BE97" s="1769"/>
      <c r="BF97" s="1771">
        <f>IF(ISERROR(BF96/BA96-1),"",(BF96/BA96-1))</f>
        <v>-8.1484390339681911E-2</v>
      </c>
      <c r="BG97" s="1771">
        <f>IF(ISERROR(BG96/BB96-1),"",(BG96/BB96-1))</f>
        <v>0.15072639225181605</v>
      </c>
      <c r="BH97" s="1771">
        <f>IF(ISERROR(BH96/BC96-1),"",(BH96/BC96-1))</f>
        <v>-8.6290153264749092E-2</v>
      </c>
      <c r="BI97" s="1771">
        <f>IF(ISERROR(BI96/BD96-1),"",(BI96/BD96-1))</f>
        <v>-8.434764040145204E-2</v>
      </c>
      <c r="BJ97" s="1769">
        <f>BJ96/BE96-1</f>
        <v>-2.4313926647858475E-2</v>
      </c>
      <c r="BK97" s="1771">
        <f>IF(ISERROR(BK96/BF96-1),"",(BK96/BF96-1))</f>
        <v>-4.1470713980333529E-2</v>
      </c>
      <c r="BL97" s="1771">
        <f>IF(ISERROR(BL96/BG96-1),"",(BL96/BG96-1))</f>
        <v>-2.7880063124671173E-2</v>
      </c>
      <c r="BM97" s="1771">
        <f>IF(ISERROR(BM96/BH96-1),"",(BM96/BH96-1))</f>
        <v>5.6295955882353033E-2</v>
      </c>
      <c r="BN97" s="1771">
        <f>IF(ISERROR(BN96/BI96-1),"",(BN96/BI96-1))</f>
        <v>0.14342350746268662</v>
      </c>
      <c r="BO97" s="1769">
        <f>BO96/BJ96-1</f>
        <v>2.6654750013143325E-2</v>
      </c>
      <c r="BP97" s="1771">
        <f>IF(ISERROR(BP96/BK96-1),"",(BP96/BK96-1))</f>
        <v>-8.7198929527207869E-2</v>
      </c>
      <c r="BQ97" s="1771">
        <f>IF(ISERROR(BQ96/BL96-1),"",(BQ96/BL96-1))</f>
        <v>-0.24837662337662336</v>
      </c>
      <c r="BR97" s="1771">
        <f>IF(ISERROR(BR96/BM96-1),"",(BR96/BM96-1))</f>
        <v>-0.24385468783989561</v>
      </c>
      <c r="BS97" s="1771">
        <f>IF(ISERROR(BS96/BN96-1),"",(BS96/BN96-1))</f>
        <v>-0.34060779114827655</v>
      </c>
      <c r="BT97" s="1769">
        <f>BT96/BO96-1</f>
        <v>-0.23345964768537486</v>
      </c>
      <c r="BU97" s="1771" t="str">
        <f>IF(ISERROR(BU96/BP96-1),"",(BU96/BP96-1))</f>
        <v/>
      </c>
      <c r="BV97" s="1771" t="str">
        <f>IF(ISERROR(BV96/BQ96-1),"",(BV96/BQ96-1))</f>
        <v/>
      </c>
      <c r="BW97" s="1771" t="str">
        <f>IF(ISERROR(BW96/BR96-1),"",(BW96/BR96-1))</f>
        <v/>
      </c>
      <c r="BX97" s="1771" t="str">
        <f>IF(ISERROR(BX96/BS96-1),"",(BX96/BS96-1))</f>
        <v/>
      </c>
      <c r="BY97" s="1769" t="e">
        <f>BY96/BT96-1</f>
        <v>#REF!</v>
      </c>
      <c r="BZ97" s="1771" t="str">
        <f>IF(ISERROR(BZ96/BU96-1),"",(BZ96/BU96-1))</f>
        <v/>
      </c>
      <c r="CA97" s="1771" t="str">
        <f>IF(ISERROR(CA96/BV96-1),"",(CA96/BV96-1))</f>
        <v/>
      </c>
      <c r="CB97" s="1771" t="str">
        <f>IF(ISERROR(CB96/BW96-1),"",(CB96/BW96-1))</f>
        <v/>
      </c>
      <c r="CC97" s="1771" t="str">
        <f>IF(ISERROR(CC96/BX96-1),"",(CC96/BX96-1))</f>
        <v/>
      </c>
      <c r="CD97" s="1769" t="e">
        <f>CD96/BY96-1</f>
        <v>#REF!</v>
      </c>
      <c r="CE97" s="1771" t="str">
        <f>IF(ISERROR(CE96/BZ96-1),"",(CE96/BZ96-1))</f>
        <v/>
      </c>
      <c r="CF97" s="1771" t="str">
        <f>IF(ISERROR(CF96/CA96-1),"",(CF96/CA96-1))</f>
        <v/>
      </c>
      <c r="CG97" s="1771" t="str">
        <f>IF(ISERROR(CG96/CB96-1),"",(CG96/CB96-1))</f>
        <v/>
      </c>
      <c r="CH97" s="1771" t="str">
        <f>IF(ISERROR(CH96/CC96-1),"",(CH96/CC96-1))</f>
        <v/>
      </c>
      <c r="CI97" s="1769" t="e">
        <f>CI96/CD96-1</f>
        <v>#REF!</v>
      </c>
      <c r="CJ97" s="1771" t="str">
        <f>IF(ISERROR(CJ96/CE96-1),"",(CJ96/CE96-1))</f>
        <v/>
      </c>
      <c r="CK97" s="1771" t="str">
        <f>IF(ISERROR(CK96/CF96-1),"",(CK96/CF96-1))</f>
        <v/>
      </c>
      <c r="CL97" s="1771" t="str">
        <f>IF(ISERROR(CL96/CG96-1),"",(CL96/CG96-1))</f>
        <v/>
      </c>
      <c r="CM97" s="1771" t="str">
        <f>IF(ISERROR(CM96/CH96-1),"",(CM96/CH96-1))</f>
        <v/>
      </c>
      <c r="CN97" s="1769" t="e">
        <f>CN96/CI96-1</f>
        <v>#DIV/0!</v>
      </c>
      <c r="CO97" s="1771" t="str">
        <f>IF(ISERROR(CO96/CJ96-1),"",(CO96/CJ96-1))</f>
        <v/>
      </c>
      <c r="CP97" s="1771" t="str">
        <f>IF(ISERROR(CP96/CK96-1),"",(CP96/CK96-1))</f>
        <v/>
      </c>
      <c r="CQ97" s="1771" t="str">
        <f>IF(ISERROR(CQ96/CL96-1),"",(CQ96/CL96-1))</f>
        <v/>
      </c>
      <c r="CR97" s="1771" t="str">
        <f>IF(ISERROR(CR96/CM96-1),"",(CR96/CM96-1))</f>
        <v/>
      </c>
      <c r="CS97" s="1769" t="e">
        <f>CS96/CN96-1</f>
        <v>#DIV/0!</v>
      </c>
      <c r="CT97" s="1771" t="str">
        <f>IF(ISERROR(CT96/CO96-1),"",(CT96/CO96-1))</f>
        <v/>
      </c>
      <c r="CU97" s="1771" t="str">
        <f>IF(ISERROR(CU96/CP96-1),"",(CU96/CP96-1))</f>
        <v/>
      </c>
      <c r="CV97" s="1771" t="str">
        <f>IF(ISERROR(CV96/CQ96-1),"",(CV96/CQ96-1))</f>
        <v/>
      </c>
      <c r="CW97" s="1771" t="str">
        <f>IF(ISERROR(CW96/CR96-1),"",(CW96/CR96-1))</f>
        <v/>
      </c>
      <c r="CX97" s="1769" t="e">
        <f>CX96/CS96-1</f>
        <v>#DIV/0!</v>
      </c>
      <c r="CY97" s="1768"/>
      <c r="CZ97" s="1768"/>
      <c r="DA97" s="1769"/>
      <c r="DB97" s="1769"/>
      <c r="DC97" s="1769"/>
      <c r="DD97" s="1769"/>
      <c r="DE97" s="1769"/>
      <c r="DF97" s="1769"/>
      <c r="DG97" s="1772"/>
      <c r="DH97" s="1772"/>
      <c r="DI97" s="1769"/>
      <c r="DJ97" s="1772">
        <f>DJ96/DI96-1</f>
        <v>-5.8455641297220917E-2</v>
      </c>
      <c r="DK97" s="1773">
        <f>DK96/DJ96-1</f>
        <v>-4.8639382901221384E-2</v>
      </c>
      <c r="DL97" s="1773" t="e">
        <f>DL96/DK96-1</f>
        <v>#REF!</v>
      </c>
      <c r="DM97" s="1774" t="e">
        <f>DM96/DL96-1</f>
        <v>#REF!</v>
      </c>
      <c r="DN97" s="1774" t="e">
        <f>DN96/DM96-1</f>
        <v>#REF!</v>
      </c>
      <c r="DO97" s="1774"/>
      <c r="DP97" s="1774"/>
      <c r="DQ97" s="1774"/>
      <c r="DR97" s="1785"/>
      <c r="DS97" s="429"/>
      <c r="DT97" s="429"/>
      <c r="DU97" s="429"/>
      <c r="DV97" s="429"/>
      <c r="DW97" s="429"/>
      <c r="DX97" s="429"/>
      <c r="DY97" s="429"/>
      <c r="DZ97" s="429"/>
      <c r="EA97" s="429"/>
      <c r="EB97" s="429"/>
      <c r="EC97" s="429"/>
      <c r="ED97" s="429"/>
      <c r="EE97" s="429"/>
      <c r="EF97" s="429"/>
      <c r="EG97" s="429"/>
      <c r="EH97" s="429"/>
      <c r="EI97" s="429"/>
      <c r="EJ97" s="429"/>
      <c r="EK97" s="429"/>
      <c r="EL97" s="429"/>
      <c r="EM97" s="429"/>
      <c r="EN97" s="429"/>
      <c r="EO97" s="429"/>
      <c r="EP97" s="429"/>
      <c r="EQ97" s="429"/>
      <c r="ER97" s="429"/>
    </row>
    <row r="98" spans="1:148" s="937" customFormat="1" ht="12" hidden="1" outlineLevel="1">
      <c r="A98" s="1767" t="s">
        <v>1027</v>
      </c>
      <c r="B98" s="1768"/>
      <c r="C98" s="1768"/>
      <c r="D98" s="1768"/>
      <c r="E98" s="1768"/>
      <c r="F98" s="1768"/>
      <c r="G98" s="1768"/>
      <c r="H98" s="1768"/>
      <c r="I98" s="1768"/>
      <c r="J98" s="1768"/>
      <c r="K98" s="1768"/>
      <c r="L98" s="1768"/>
      <c r="M98" s="1768"/>
      <c r="N98" s="1768"/>
      <c r="O98" s="1768"/>
      <c r="P98" s="1768"/>
      <c r="Q98" s="1768"/>
      <c r="R98" s="1768"/>
      <c r="S98" s="1768"/>
      <c r="T98" s="1768"/>
      <c r="U98" s="1768"/>
      <c r="V98" s="1768"/>
      <c r="W98" s="1768"/>
      <c r="X98" s="1768"/>
      <c r="Y98" s="1768"/>
      <c r="Z98" s="1768"/>
      <c r="AA98" s="1768"/>
      <c r="AB98" s="1768"/>
      <c r="AC98" s="1768"/>
      <c r="AD98" s="1768"/>
      <c r="AE98" s="1768"/>
      <c r="AF98" s="1768"/>
      <c r="AG98" s="1768"/>
      <c r="AH98" s="1768"/>
      <c r="AI98" s="1768"/>
      <c r="AJ98" s="1768"/>
      <c r="AK98" s="1768"/>
      <c r="AL98" s="1768"/>
      <c r="AM98" s="1768"/>
      <c r="AN98" s="1768"/>
      <c r="AO98" s="1768"/>
      <c r="AP98" s="1768"/>
      <c r="AQ98" s="1768"/>
      <c r="AR98" s="1768"/>
      <c r="AS98" s="1768"/>
      <c r="AT98" s="1768"/>
      <c r="AU98" s="1769"/>
      <c r="AV98" s="1768"/>
      <c r="AW98" s="1768"/>
      <c r="AX98" s="1768"/>
      <c r="AY98" s="1770"/>
      <c r="AZ98" s="1769"/>
      <c r="BA98" s="1771"/>
      <c r="BB98" s="1771"/>
      <c r="BC98" s="1771"/>
      <c r="BD98" s="1771"/>
      <c r="BE98" s="1769"/>
      <c r="BF98" s="1771"/>
      <c r="BG98" s="1771"/>
      <c r="BH98" s="1771"/>
      <c r="BI98" s="1771"/>
      <c r="BJ98" s="1769"/>
      <c r="BK98" s="1771"/>
      <c r="BL98" s="1771"/>
      <c r="BM98" s="1771"/>
      <c r="BN98" s="1771"/>
      <c r="BO98" s="1769"/>
      <c r="BP98" s="1771"/>
      <c r="BQ98" s="1771">
        <f>BQ97+1%</f>
        <v>-0.23837662337662335</v>
      </c>
      <c r="BR98" s="1771">
        <v>-0.22</v>
      </c>
      <c r="BS98" s="1771">
        <v>-0.33</v>
      </c>
      <c r="BT98" s="1769"/>
      <c r="BU98" s="1771"/>
      <c r="BV98" s="1771"/>
      <c r="BW98" s="1771"/>
      <c r="BX98" s="1771"/>
      <c r="BY98" s="1769"/>
      <c r="BZ98" s="1771"/>
      <c r="CA98" s="1771"/>
      <c r="CB98" s="1771"/>
      <c r="CC98" s="1771"/>
      <c r="CD98" s="1769"/>
      <c r="CE98" s="1771"/>
      <c r="CF98" s="1771"/>
      <c r="CG98" s="1771"/>
      <c r="CH98" s="1771"/>
      <c r="CI98" s="1769"/>
      <c r="CJ98" s="1771"/>
      <c r="CK98" s="1771"/>
      <c r="CL98" s="1771"/>
      <c r="CM98" s="1771"/>
      <c r="CN98" s="1769"/>
      <c r="CO98" s="1771"/>
      <c r="CP98" s="1771"/>
      <c r="CQ98" s="1771"/>
      <c r="CR98" s="1771"/>
      <c r="CS98" s="1769"/>
      <c r="CT98" s="1771"/>
      <c r="CU98" s="1771"/>
      <c r="CV98" s="1771"/>
      <c r="CW98" s="1771"/>
      <c r="CX98" s="1769"/>
      <c r="CY98" s="1768"/>
      <c r="CZ98" s="1768"/>
      <c r="DA98" s="1769"/>
      <c r="DB98" s="1769"/>
      <c r="DC98" s="1769"/>
      <c r="DD98" s="1769"/>
      <c r="DE98" s="1769"/>
      <c r="DF98" s="1769"/>
      <c r="DG98" s="1772"/>
      <c r="DH98" s="1772"/>
      <c r="DI98" s="1769"/>
      <c r="DJ98" s="1772"/>
      <c r="DK98" s="1773"/>
      <c r="DL98" s="1773"/>
      <c r="DM98" s="1774"/>
      <c r="DN98" s="1774"/>
      <c r="DO98" s="1774"/>
      <c r="DP98" s="1774"/>
      <c r="DQ98" s="1774"/>
      <c r="DR98" s="1785"/>
      <c r="DS98" s="429"/>
      <c r="DT98" s="429"/>
      <c r="DU98" s="429"/>
      <c r="DV98" s="429"/>
      <c r="DW98" s="429"/>
      <c r="DX98" s="429"/>
      <c r="DY98" s="429"/>
      <c r="DZ98" s="429"/>
      <c r="EA98" s="429"/>
      <c r="EB98" s="429"/>
      <c r="EC98" s="429"/>
      <c r="ED98" s="429"/>
      <c r="EE98" s="429"/>
      <c r="EF98" s="429"/>
      <c r="EG98" s="429"/>
      <c r="EH98" s="429"/>
      <c r="EI98" s="429"/>
      <c r="EJ98" s="429"/>
      <c r="EK98" s="429"/>
      <c r="EL98" s="429"/>
      <c r="EM98" s="429"/>
      <c r="EN98" s="429"/>
      <c r="EO98" s="429"/>
      <c r="EP98" s="429"/>
      <c r="EQ98" s="429"/>
      <c r="ER98" s="429"/>
    </row>
    <row r="99" spans="1:148" s="937" customFormat="1" ht="12" hidden="1" outlineLevel="1">
      <c r="A99" s="1767" t="s">
        <v>718</v>
      </c>
      <c r="B99" s="1768"/>
      <c r="C99" s="1768"/>
      <c r="D99" s="1768"/>
      <c r="E99" s="1768"/>
      <c r="F99" s="1768"/>
      <c r="G99" s="1768"/>
      <c r="H99" s="1768"/>
      <c r="I99" s="1768"/>
      <c r="J99" s="1768"/>
      <c r="K99" s="1768"/>
      <c r="L99" s="1768"/>
      <c r="M99" s="1768"/>
      <c r="N99" s="1768"/>
      <c r="O99" s="1768"/>
      <c r="P99" s="1768"/>
      <c r="Q99" s="1768"/>
      <c r="R99" s="1768"/>
      <c r="S99" s="1768"/>
      <c r="T99" s="1768"/>
      <c r="U99" s="1768"/>
      <c r="V99" s="1768"/>
      <c r="W99" s="1768"/>
      <c r="X99" s="1768"/>
      <c r="Y99" s="1768"/>
      <c r="Z99" s="1768"/>
      <c r="AA99" s="1768"/>
      <c r="AB99" s="1768"/>
      <c r="AC99" s="1768"/>
      <c r="AD99" s="1768"/>
      <c r="AE99" s="1768"/>
      <c r="AF99" s="1768"/>
      <c r="AG99" s="1768"/>
      <c r="AH99" s="1768"/>
      <c r="AI99" s="1768"/>
      <c r="AJ99" s="1768"/>
      <c r="AK99" s="1768"/>
      <c r="AL99" s="1768"/>
      <c r="AM99" s="1768"/>
      <c r="AN99" s="1768"/>
      <c r="AO99" s="1768"/>
      <c r="AP99" s="1768"/>
      <c r="AQ99" s="1768"/>
      <c r="AR99" s="1768"/>
      <c r="AS99" s="1768"/>
      <c r="AT99" s="1768"/>
      <c r="AU99" s="1769"/>
      <c r="AV99" s="1768"/>
      <c r="AW99" s="1768"/>
      <c r="AX99" s="1768"/>
      <c r="AY99" s="1770"/>
      <c r="AZ99" s="1769"/>
      <c r="BA99" s="1775" t="str">
        <f>IF(ISERROR(BA96/AY96-1),"",(BA96/AY96-1))</f>
        <v/>
      </c>
      <c r="BB99" s="1775">
        <f>IF(ISERROR(BB96/BA96-1),"",(BB96/BA96-1))</f>
        <v>-2.6899666208521467E-2</v>
      </c>
      <c r="BC99" s="1775">
        <f>IF(ISERROR(BC96/BB96-1),"",(BC96/BB96-1))</f>
        <v>-3.8942695722356757E-2</v>
      </c>
      <c r="BD99" s="1775">
        <f>IF(ISERROR(BD96/BC96-1),"",(BD96/BC96-1))</f>
        <v>-1.6796136888515667E-2</v>
      </c>
      <c r="BE99" s="1769"/>
      <c r="BF99" s="1775">
        <f>IF(ISERROR(BF96/BD96-1),"",(BF96/BD96-1))</f>
        <v>-1.0676916506512368E-3</v>
      </c>
      <c r="BG99" s="1775">
        <f>IF(ISERROR(BG96/BF96-1),"",(BG96/BF96-1))</f>
        <v>0.2191107310816589</v>
      </c>
      <c r="BH99" s="1775">
        <f>IF(ISERROR(BH96/BG96-1),"",(BH96/BG96-1))</f>
        <v>-0.23689286340522531</v>
      </c>
      <c r="BI99" s="1775">
        <f>IF(ISERROR(BI96/BH96-1),"",(BI96/BH96-1))</f>
        <v>-1.4705882352941124E-2</v>
      </c>
      <c r="BJ99" s="1769"/>
      <c r="BK99" s="1775">
        <f>IF(ISERROR(BK96/BI96-1),"",(BK96/BI96-1))</f>
        <v>4.5708955223880521E-2</v>
      </c>
      <c r="BL99" s="1775">
        <f>IF(ISERROR(BL96/BK96-1),"",(BL96/BK96-1))</f>
        <v>0.23639607493309556</v>
      </c>
      <c r="BM99" s="1775">
        <f>IF(ISERROR(BM96/BL96-1),"",(BM96/BL96-1))</f>
        <v>-0.17081529581529586</v>
      </c>
      <c r="BN99" s="1775">
        <f>IF(ISERROR(BN96/BM96-1),"",(BN96/BM96-1))</f>
        <v>6.6565151185555838E-2</v>
      </c>
      <c r="BO99" s="1769"/>
      <c r="BP99" s="1775">
        <f>IF(ISERROR(BP96/BN96-1),"",(BP96/BN96-1))</f>
        <v>-0.16520497654497246</v>
      </c>
      <c r="BQ99" s="1775">
        <f>IF(ISERROR(BQ96/BP96-1),"",(BQ96/BP96-1))</f>
        <v>1.8079648179819108E-2</v>
      </c>
      <c r="BR99" s="1775">
        <f>IF(ISERROR(BR96/BQ96-1),"",(BR96/BQ96-1))</f>
        <v>-0.1658267338612911</v>
      </c>
      <c r="BS99" s="1775">
        <f>IF(ISERROR(BS96/BR96-1),"",(BS96/BR96-1))</f>
        <v>-6.9907940161104687E-2</v>
      </c>
      <c r="BT99" s="1769"/>
      <c r="BU99" s="1775" t="str">
        <f>IF(ISERROR(BU96/BS96-1),"",(BU96/BS96-1))</f>
        <v/>
      </c>
      <c r="BV99" s="1775" t="str">
        <f>IF(ISERROR(BV96/BU96-1),"",(BV96/BU96-1))</f>
        <v/>
      </c>
      <c r="BW99" s="1775" t="str">
        <f>IF(ISERROR(BW96/BV96-1),"",(BW96/BV96-1))</f>
        <v/>
      </c>
      <c r="BX99" s="1775" t="str">
        <f>IF(ISERROR(BX96/BW96-1),"",(BX96/BW96-1))</f>
        <v/>
      </c>
      <c r="BY99" s="1769"/>
      <c r="BZ99" s="1775" t="str">
        <f>IF(ISERROR(BZ96/BX96-1),"",(BZ96/BX96-1))</f>
        <v/>
      </c>
      <c r="CA99" s="1775" t="str">
        <f>IF(ISERROR(CA96/BZ96-1),"",(CA96/BZ96-1))</f>
        <v/>
      </c>
      <c r="CB99" s="1775" t="str">
        <f>IF(ISERROR(CB96/CA96-1),"",(CB96/CA96-1))</f>
        <v/>
      </c>
      <c r="CC99" s="1775" t="str">
        <f>IF(ISERROR(CC96/CB96-1),"",(CC96/CB96-1))</f>
        <v/>
      </c>
      <c r="CD99" s="1769"/>
      <c r="CE99" s="1775" t="str">
        <f>IF(ISERROR(CE96/CC96-1),"",(CE96/CC96-1))</f>
        <v/>
      </c>
      <c r="CF99" s="1775" t="str">
        <f>IF(ISERROR(CF96/CE96-1),"",(CF96/CE96-1))</f>
        <v/>
      </c>
      <c r="CG99" s="1775" t="str">
        <f>IF(ISERROR(CG96/CF96-1),"",(CG96/CF96-1))</f>
        <v/>
      </c>
      <c r="CH99" s="1775" t="str">
        <f>IF(ISERROR(CH96/CG96-1),"",(CH96/CG96-1))</f>
        <v/>
      </c>
      <c r="CI99" s="1769"/>
      <c r="CJ99" s="1775" t="str">
        <f>IF(ISERROR(CJ96/CH96-1),"",(CJ96/CH96-1))</f>
        <v/>
      </c>
      <c r="CK99" s="1775" t="str">
        <f>IF(ISERROR(CK96/CJ96-1),"",(CK96/CJ96-1))</f>
        <v/>
      </c>
      <c r="CL99" s="1775" t="str">
        <f>IF(ISERROR(CL96/CK96-1),"",(CL96/CK96-1))</f>
        <v/>
      </c>
      <c r="CM99" s="1775" t="str">
        <f>IF(ISERROR(CM96/CL96-1),"",(CM96/CL96-1))</f>
        <v/>
      </c>
      <c r="CN99" s="1769"/>
      <c r="CO99" s="1775" t="str">
        <f>IF(ISERROR(CO96/CM96-1),"",(CO96/CM96-1))</f>
        <v/>
      </c>
      <c r="CP99" s="1775" t="str">
        <f>IF(ISERROR(CP96/CO96-1),"",(CP96/CO96-1))</f>
        <v/>
      </c>
      <c r="CQ99" s="1775" t="str">
        <f>IF(ISERROR(CQ96/CP96-1),"",(CQ96/CP96-1))</f>
        <v/>
      </c>
      <c r="CR99" s="1775" t="str">
        <f>IF(ISERROR(CR96/CQ96-1),"",(CR96/CQ96-1))</f>
        <v/>
      </c>
      <c r="CS99" s="1769"/>
      <c r="CT99" s="1775" t="str">
        <f>IF(ISERROR(CT96/CR96-1),"",(CT96/CR96-1))</f>
        <v/>
      </c>
      <c r="CU99" s="1775" t="str">
        <f>IF(ISERROR(CU96/CT96-1),"",(CU96/CT96-1))</f>
        <v/>
      </c>
      <c r="CV99" s="1775" t="str">
        <f>IF(ISERROR(CV96/CU96-1),"",(CV96/CU96-1))</f>
        <v/>
      </c>
      <c r="CW99" s="1775" t="str">
        <f>IF(ISERROR(CW96/CV96-1),"",(CW96/CV96-1))</f>
        <v/>
      </c>
      <c r="CX99" s="1769"/>
      <c r="CY99" s="1768"/>
      <c r="CZ99" s="1768"/>
      <c r="DA99" s="1769"/>
      <c r="DB99" s="1769"/>
      <c r="DC99" s="1769"/>
      <c r="DD99" s="1769"/>
      <c r="DE99" s="1769"/>
      <c r="DF99" s="1769"/>
      <c r="DG99" s="1772"/>
      <c r="DH99" s="1772"/>
      <c r="DI99" s="1769"/>
      <c r="DJ99" s="1772"/>
      <c r="DK99" s="1772"/>
      <c r="DL99" s="1772"/>
      <c r="DM99" s="1769"/>
      <c r="DN99" s="1769"/>
      <c r="DO99" s="1769"/>
      <c r="DP99" s="1769"/>
      <c r="DQ99" s="1769"/>
      <c r="DR99" s="1775"/>
      <c r="DS99" s="429"/>
      <c r="DT99" s="429"/>
      <c r="DU99" s="429"/>
      <c r="DV99" s="429"/>
      <c r="DW99" s="429"/>
      <c r="DX99" s="429"/>
      <c r="DY99" s="429"/>
      <c r="DZ99" s="429"/>
      <c r="EA99" s="429"/>
      <c r="EB99" s="429"/>
      <c r="EC99" s="429"/>
      <c r="ED99" s="429"/>
      <c r="EE99" s="429"/>
      <c r="EF99" s="429"/>
      <c r="EG99" s="429"/>
      <c r="EH99" s="429"/>
      <c r="EI99" s="429"/>
      <c r="EJ99" s="429"/>
      <c r="EK99" s="429"/>
      <c r="EL99" s="429"/>
      <c r="EM99" s="429"/>
      <c r="EN99" s="429"/>
      <c r="EO99" s="429"/>
      <c r="EP99" s="429"/>
      <c r="EQ99" s="429"/>
      <c r="ER99" s="429"/>
    </row>
    <row r="100" spans="1:148" s="937" customFormat="1" ht="12" hidden="1" outlineLevel="1">
      <c r="A100" s="1767" t="s">
        <v>482</v>
      </c>
      <c r="B100" s="1768"/>
      <c r="C100" s="1768"/>
      <c r="D100" s="1768"/>
      <c r="E100" s="1768"/>
      <c r="F100" s="1768"/>
      <c r="G100" s="1768"/>
      <c r="H100" s="1768"/>
      <c r="I100" s="1768"/>
      <c r="J100" s="1768"/>
      <c r="K100" s="1768"/>
      <c r="L100" s="1768"/>
      <c r="M100" s="1768"/>
      <c r="N100" s="1768"/>
      <c r="O100" s="1768"/>
      <c r="P100" s="1768"/>
      <c r="Q100" s="1768"/>
      <c r="R100" s="1768"/>
      <c r="S100" s="1768"/>
      <c r="T100" s="1768"/>
      <c r="U100" s="1768"/>
      <c r="V100" s="1768"/>
      <c r="W100" s="1768"/>
      <c r="X100" s="1768"/>
      <c r="Y100" s="1768"/>
      <c r="Z100" s="1768"/>
      <c r="AA100" s="1768"/>
      <c r="AB100" s="1768"/>
      <c r="AC100" s="1768"/>
      <c r="AD100" s="1768"/>
      <c r="AE100" s="1768"/>
      <c r="AF100" s="1768"/>
      <c r="AG100" s="1768"/>
      <c r="AH100" s="1768"/>
      <c r="AI100" s="1768"/>
      <c r="AJ100" s="1768"/>
      <c r="AK100" s="1768"/>
      <c r="AL100" s="1768"/>
      <c r="AM100" s="1768"/>
      <c r="AN100" s="1768"/>
      <c r="AO100" s="1768"/>
      <c r="AP100" s="1768"/>
      <c r="AQ100" s="1768"/>
      <c r="AR100" s="1768"/>
      <c r="AS100" s="1768"/>
      <c r="AT100" s="1768"/>
      <c r="AU100" s="1769"/>
      <c r="AV100" s="1768"/>
      <c r="AW100" s="1768"/>
      <c r="AX100" s="1768"/>
      <c r="AY100" s="1770"/>
      <c r="AZ100" s="1769"/>
      <c r="BA100" s="1771">
        <f t="shared" ref="BA100:CI100" si="173">BA96/BA$142</f>
        <v>0.29317292194335715</v>
      </c>
      <c r="BB100" s="1771">
        <f t="shared" si="173"/>
        <v>0.23729949724682786</v>
      </c>
      <c r="BC100" s="1771">
        <f t="shared" si="173"/>
        <v>0.27362555293847302</v>
      </c>
      <c r="BD100" s="1771">
        <f t="shared" si="173"/>
        <v>0.25931668420178305</v>
      </c>
      <c r="BE100" s="1776">
        <f t="shared" si="173"/>
        <v>0.2644357934430232</v>
      </c>
      <c r="BF100" s="1771">
        <f t="shared" si="173"/>
        <v>0.29222888555722137</v>
      </c>
      <c r="BG100" s="1771">
        <f t="shared" si="173"/>
        <v>0.26579977628635348</v>
      </c>
      <c r="BH100" s="1771">
        <f t="shared" si="173"/>
        <v>0.21240665723070917</v>
      </c>
      <c r="BI100" s="1771">
        <f t="shared" si="173"/>
        <v>0.21552070767993567</v>
      </c>
      <c r="BJ100" s="1776">
        <f t="shared" si="173"/>
        <v>0.24433197600482987</v>
      </c>
      <c r="BK100" s="1771">
        <f t="shared" si="173"/>
        <v>0.24199902854984079</v>
      </c>
      <c r="BL100" s="1771">
        <f t="shared" si="173"/>
        <v>0.22611036339165544</v>
      </c>
      <c r="BM100" s="1771">
        <f t="shared" si="173"/>
        <v>0.22531000343086802</v>
      </c>
      <c r="BN100" s="1771">
        <f t="shared" si="173"/>
        <v>0.20969121546488753</v>
      </c>
      <c r="BO100" s="1776">
        <f t="shared" si="173"/>
        <v>0.22489145831653864</v>
      </c>
      <c r="BP100" s="1771">
        <f t="shared" si="173"/>
        <v>0.17641480970647816</v>
      </c>
      <c r="BQ100" s="1771">
        <f t="shared" si="173"/>
        <v>0.15742349829996222</v>
      </c>
      <c r="BR100" s="1771">
        <f t="shared" si="173"/>
        <v>0.15997054627456395</v>
      </c>
      <c r="BS100" s="1771">
        <f t="shared" si="173"/>
        <v>0.14576194770063119</v>
      </c>
      <c r="BT100" s="1776">
        <f t="shared" si="173"/>
        <v>0.15995939303269929</v>
      </c>
      <c r="BU100" s="1771" t="e">
        <f>BU96/BU$142</f>
        <v>#REF!</v>
      </c>
      <c r="BV100" s="1771" t="e">
        <f>BV96/BV$142</f>
        <v>#REF!</v>
      </c>
      <c r="BW100" s="1771" t="e">
        <f>BW96/BW$142</f>
        <v>#REF!</v>
      </c>
      <c r="BX100" s="1771" t="e">
        <f>BX96/BX$142</f>
        <v>#REF!</v>
      </c>
      <c r="BY100" s="1776" t="e">
        <f t="shared" ref="BY100:CD100" si="174">BY96/BY$142</f>
        <v>#REF!</v>
      </c>
      <c r="BZ100" s="1771" t="e">
        <f t="shared" si="174"/>
        <v>#REF!</v>
      </c>
      <c r="CA100" s="1771" t="e">
        <f t="shared" si="174"/>
        <v>#REF!</v>
      </c>
      <c r="CB100" s="1771" t="e">
        <f t="shared" si="174"/>
        <v>#REF!</v>
      </c>
      <c r="CC100" s="1771" t="e">
        <f t="shared" si="174"/>
        <v>#REF!</v>
      </c>
      <c r="CD100" s="1776" t="e">
        <f t="shared" si="174"/>
        <v>#REF!</v>
      </c>
      <c r="CE100" s="1771" t="e">
        <f t="shared" si="173"/>
        <v>#DIV/0!</v>
      </c>
      <c r="CF100" s="1771" t="e">
        <f t="shared" si="173"/>
        <v>#DIV/0!</v>
      </c>
      <c r="CG100" s="1771" t="e">
        <f t="shared" si="173"/>
        <v>#DIV/0!</v>
      </c>
      <c r="CH100" s="1771" t="e">
        <f t="shared" si="173"/>
        <v>#DIV/0!</v>
      </c>
      <c r="CI100" s="1776" t="e">
        <f t="shared" si="173"/>
        <v>#DIV/0!</v>
      </c>
      <c r="CJ100" s="1771" t="e">
        <f t="shared" ref="CJ100:CS100" si="175">CJ96/CJ$142</f>
        <v>#DIV/0!</v>
      </c>
      <c r="CK100" s="1771" t="e">
        <f t="shared" si="175"/>
        <v>#DIV/0!</v>
      </c>
      <c r="CL100" s="1771" t="e">
        <f t="shared" si="175"/>
        <v>#DIV/0!</v>
      </c>
      <c r="CM100" s="1771" t="e">
        <f t="shared" si="175"/>
        <v>#DIV/0!</v>
      </c>
      <c r="CN100" s="1776" t="e">
        <f t="shared" si="175"/>
        <v>#DIV/0!</v>
      </c>
      <c r="CO100" s="1771" t="e">
        <f t="shared" si="175"/>
        <v>#DIV/0!</v>
      </c>
      <c r="CP100" s="1771" t="e">
        <f t="shared" si="175"/>
        <v>#DIV/0!</v>
      </c>
      <c r="CQ100" s="1771" t="e">
        <f t="shared" si="175"/>
        <v>#DIV/0!</v>
      </c>
      <c r="CR100" s="1771" t="e">
        <f t="shared" si="175"/>
        <v>#DIV/0!</v>
      </c>
      <c r="CS100" s="1776" t="e">
        <f t="shared" si="175"/>
        <v>#DIV/0!</v>
      </c>
      <c r="CT100" s="1771" t="e">
        <f t="shared" ref="CT100:CX100" si="176">CT96/CT$142</f>
        <v>#DIV/0!</v>
      </c>
      <c r="CU100" s="1771" t="e">
        <f t="shared" si="176"/>
        <v>#DIV/0!</v>
      </c>
      <c r="CV100" s="1771" t="e">
        <f t="shared" si="176"/>
        <v>#DIV/0!</v>
      </c>
      <c r="CW100" s="1771">
        <f t="shared" si="176"/>
        <v>0.19011461113569214</v>
      </c>
      <c r="CX100" s="1776">
        <f t="shared" si="176"/>
        <v>0.19011461113569214</v>
      </c>
      <c r="CY100" s="1768"/>
      <c r="CZ100" s="1768"/>
      <c r="DA100" s="1769"/>
      <c r="DB100" s="1769"/>
      <c r="DC100" s="1769"/>
      <c r="DD100" s="1769"/>
      <c r="DE100" s="1769"/>
      <c r="DF100" s="1769"/>
      <c r="DG100" s="1772"/>
      <c r="DH100" s="1772"/>
      <c r="DI100" s="1769"/>
      <c r="DJ100" s="1772"/>
      <c r="DK100" s="1772"/>
      <c r="DL100" s="1777"/>
      <c r="DM100" s="1769"/>
      <c r="DN100" s="1769"/>
      <c r="DO100" s="1769"/>
      <c r="DP100" s="1769"/>
      <c r="DQ100" s="1769"/>
      <c r="DR100" s="1775"/>
      <c r="DS100" s="429"/>
      <c r="DT100" s="429"/>
      <c r="DU100" s="429"/>
      <c r="DV100" s="429"/>
      <c r="DW100" s="429"/>
      <c r="DX100" s="429"/>
      <c r="DY100" s="429"/>
      <c r="DZ100" s="429"/>
      <c r="EA100" s="429"/>
      <c r="EB100" s="429"/>
      <c r="EC100" s="429"/>
      <c r="ED100" s="429"/>
      <c r="EE100" s="429"/>
      <c r="EF100" s="429"/>
      <c r="EG100" s="429"/>
      <c r="EH100" s="429"/>
      <c r="EI100" s="429"/>
      <c r="EJ100" s="429"/>
      <c r="EK100" s="429"/>
      <c r="EL100" s="429"/>
      <c r="EM100" s="429"/>
      <c r="EN100" s="429"/>
      <c r="EO100" s="429"/>
      <c r="EP100" s="429"/>
      <c r="EQ100" s="429"/>
      <c r="ER100" s="429"/>
    </row>
    <row r="101" spans="1:148" s="934" customFormat="1" ht="12" hidden="1" outlineLevel="1">
      <c r="A101" s="1760" t="s">
        <v>994</v>
      </c>
      <c r="B101" s="1761"/>
      <c r="C101" s="1761"/>
      <c r="D101" s="1761"/>
      <c r="E101" s="1761"/>
      <c r="F101" s="1761"/>
      <c r="G101" s="1761"/>
      <c r="H101" s="1761"/>
      <c r="I101" s="1761"/>
      <c r="J101" s="1761"/>
      <c r="K101" s="1761"/>
      <c r="L101" s="1761"/>
      <c r="M101" s="1761"/>
      <c r="N101" s="1761"/>
      <c r="O101" s="1761"/>
      <c r="P101" s="1761"/>
      <c r="Q101" s="1761"/>
      <c r="R101" s="1761"/>
      <c r="S101" s="1761"/>
      <c r="T101" s="1761"/>
      <c r="U101" s="1761"/>
      <c r="V101" s="1761"/>
      <c r="W101" s="1761"/>
      <c r="X101" s="1761"/>
      <c r="Y101" s="1761"/>
      <c r="Z101" s="1761"/>
      <c r="AA101" s="1761"/>
      <c r="AB101" s="1761"/>
      <c r="AC101" s="1761"/>
      <c r="AD101" s="1761"/>
      <c r="AE101" s="1761"/>
      <c r="AF101" s="1761"/>
      <c r="AG101" s="1761"/>
      <c r="AH101" s="1761"/>
      <c r="AI101" s="1761"/>
      <c r="AJ101" s="1761"/>
      <c r="AK101" s="1761"/>
      <c r="AL101" s="1761"/>
      <c r="AM101" s="1761"/>
      <c r="AN101" s="1761"/>
      <c r="AO101" s="1761"/>
      <c r="AP101" s="1761"/>
      <c r="AQ101" s="1761"/>
      <c r="AR101" s="1761"/>
      <c r="AS101" s="1761"/>
      <c r="AT101" s="1761"/>
      <c r="AU101" s="1762"/>
      <c r="AV101" s="1761"/>
      <c r="AW101" s="1761"/>
      <c r="AX101" s="1761"/>
      <c r="AY101" s="1778"/>
      <c r="AZ101" s="1762"/>
      <c r="BA101" s="1763">
        <v>1366</v>
      </c>
      <c r="BB101" s="1763">
        <v>3415</v>
      </c>
      <c r="BC101" s="1763">
        <v>953</v>
      </c>
      <c r="BD101" s="1763">
        <v>1006</v>
      </c>
      <c r="BE101" s="1762">
        <f>SUM(BA101:BD101)</f>
        <v>6740</v>
      </c>
      <c r="BF101" s="1763">
        <v>1084</v>
      </c>
      <c r="BG101" s="1763">
        <v>2808</v>
      </c>
      <c r="BH101" s="1763">
        <v>1402</v>
      </c>
      <c r="BI101" s="1763">
        <v>1167</v>
      </c>
      <c r="BJ101" s="1762">
        <f>SUM(BF101:BI101)</f>
        <v>6461</v>
      </c>
      <c r="BK101" s="1764">
        <v>1409</v>
      </c>
      <c r="BL101" s="1764">
        <v>4470</v>
      </c>
      <c r="BM101" s="1764">
        <v>1872</v>
      </c>
      <c r="BN101" s="1763">
        <v>1342</v>
      </c>
      <c r="BO101" s="1762">
        <f>SUM(BK101:BN101)</f>
        <v>9093</v>
      </c>
      <c r="BP101" s="1764">
        <v>2453</v>
      </c>
      <c r="BQ101" s="1764">
        <v>3997</v>
      </c>
      <c r="BR101" s="1764">
        <v>1800</v>
      </c>
      <c r="BS101" s="1763">
        <v>1933</v>
      </c>
      <c r="BT101" s="1762">
        <f>SUM(BP101:BS101)</f>
        <v>10183</v>
      </c>
      <c r="BU101" s="2802" t="e">
        <f>#REF!</f>
        <v>#REF!</v>
      </c>
      <c r="BV101" s="2802" t="e">
        <f>#REF!</f>
        <v>#REF!</v>
      </c>
      <c r="BW101" s="2803" t="e">
        <f>#REF!</f>
        <v>#REF!</v>
      </c>
      <c r="BX101" s="2803" t="e">
        <f>#REF!</f>
        <v>#REF!</v>
      </c>
      <c r="BY101" s="1762" t="e">
        <f>SUM(BU101:BX101)</f>
        <v>#REF!</v>
      </c>
      <c r="BZ101" s="2803" t="e">
        <f>#REF!</f>
        <v>#REF!</v>
      </c>
      <c r="CA101" s="2803" t="e">
        <f>#REF!</f>
        <v>#REF!</v>
      </c>
      <c r="CB101" s="2803" t="e">
        <f>#REF!</f>
        <v>#REF!</v>
      </c>
      <c r="CC101" s="2803" t="e">
        <f>#REF!</f>
        <v>#REF!</v>
      </c>
      <c r="CD101" s="1762" t="e">
        <f>SUM(BZ101:CC101)</f>
        <v>#REF!</v>
      </c>
      <c r="CE101" s="1765">
        <f>'Rev Detail - OLD'!BE304</f>
        <v>0</v>
      </c>
      <c r="CF101" s="1765">
        <f>'Rev Detail - OLD'!BF304</f>
        <v>0</v>
      </c>
      <c r="CG101" s="1765">
        <f>'Rev Detail - OLD'!BG304</f>
        <v>0</v>
      </c>
      <c r="CH101" s="1765">
        <f>'Rev Detail - OLD'!BH304</f>
        <v>0</v>
      </c>
      <c r="CI101" s="1762">
        <f>SUM(CE101:CH101)</f>
        <v>0</v>
      </c>
      <c r="CJ101" s="1765">
        <f>'Rev Detail - OLD'!BJ304</f>
        <v>0</v>
      </c>
      <c r="CK101" s="1765">
        <f>'Rev Detail - OLD'!BK304</f>
        <v>0</v>
      </c>
      <c r="CL101" s="1765">
        <f>'Rev Detail - OLD'!BL304</f>
        <v>0</v>
      </c>
      <c r="CM101" s="1765">
        <f>'Rev Detail - OLD'!BM304</f>
        <v>0</v>
      </c>
      <c r="CN101" s="1762">
        <f>SUM(CJ101:CM101)</f>
        <v>0</v>
      </c>
      <c r="CO101" s="1765">
        <f>'Rev Detail - OLD'!BO304</f>
        <v>0</v>
      </c>
      <c r="CP101" s="1765">
        <f>'Rev Detail - OLD'!BP304</f>
        <v>0</v>
      </c>
      <c r="CQ101" s="1765">
        <f>'Rev Detail - OLD'!BQ304</f>
        <v>0</v>
      </c>
      <c r="CR101" s="1765">
        <f>'Rev Detail - OLD'!BR304</f>
        <v>0</v>
      </c>
      <c r="CS101" s="1762">
        <f>SUM(CO101:CR101)</f>
        <v>0</v>
      </c>
      <c r="CT101" s="1765">
        <f>'Rev Detail - OLD'!BT304</f>
        <v>0</v>
      </c>
      <c r="CU101" s="1765">
        <f>'Rev Detail - OLD'!BU304</f>
        <v>0</v>
      </c>
      <c r="CV101" s="1765">
        <f>'Rev Detail - OLD'!BV304</f>
        <v>0</v>
      </c>
      <c r="CW101" s="1765">
        <f>'Rev Detail - OLD'!BW304</f>
        <v>9664</v>
      </c>
      <c r="CX101" s="1762">
        <f>SUM(CT101:CW101)</f>
        <v>9664</v>
      </c>
      <c r="CY101" s="1761"/>
      <c r="CZ101" s="1761"/>
      <c r="DA101" s="1762"/>
      <c r="DB101" s="1762"/>
      <c r="DC101" s="1762"/>
      <c r="DD101" s="1762"/>
      <c r="DE101" s="1762"/>
      <c r="DF101" s="1762"/>
      <c r="DG101" s="1766"/>
      <c r="DH101" s="1766"/>
      <c r="DI101" s="1762">
        <f>SUM(BC101:BD101,BF101:BG101)</f>
        <v>5851</v>
      </c>
      <c r="DJ101" s="1766">
        <f>SUM(BH101:BI101,BK101:BL101)</f>
        <v>8448</v>
      </c>
      <c r="DK101" s="1766">
        <f>SUM(BM101:BN101,BP101:BQ101)</f>
        <v>9664</v>
      </c>
      <c r="DL101" s="1766" t="e">
        <f>SUM(BU101:BV101,BR101:BS101)</f>
        <v>#REF!</v>
      </c>
      <c r="DM101" s="1762" t="e">
        <f>SUM(BW101:BX101,BZ101:CA101)</f>
        <v>#REF!</v>
      </c>
      <c r="DN101" s="1762" t="e">
        <f>SUM(CB101:CC101,CE101:CF101)</f>
        <v>#REF!</v>
      </c>
      <c r="DO101" s="1762"/>
      <c r="DP101" s="1762"/>
      <c r="DQ101" s="1762"/>
      <c r="DR101" s="1795"/>
      <c r="DS101" s="264"/>
      <c r="DT101" s="264"/>
      <c r="DU101" s="264"/>
      <c r="DV101" s="264"/>
      <c r="DW101" s="264"/>
      <c r="DX101" s="264"/>
      <c r="DY101" s="264"/>
      <c r="DZ101" s="264"/>
      <c r="EA101" s="264"/>
      <c r="EB101" s="264"/>
      <c r="EC101" s="264"/>
      <c r="ED101" s="264"/>
      <c r="EE101" s="264"/>
      <c r="EF101" s="264"/>
      <c r="EG101" s="264"/>
      <c r="EH101" s="264"/>
      <c r="EI101" s="264"/>
      <c r="EJ101" s="264"/>
      <c r="EK101" s="264"/>
      <c r="EL101" s="264"/>
      <c r="EM101" s="264"/>
      <c r="EN101" s="264"/>
      <c r="EO101" s="264"/>
      <c r="EP101" s="264"/>
      <c r="EQ101" s="264"/>
      <c r="ER101" s="264"/>
    </row>
    <row r="102" spans="1:148" s="937" customFormat="1" ht="12" hidden="1" outlineLevel="1">
      <c r="A102" s="1767" t="s">
        <v>717</v>
      </c>
      <c r="B102" s="1768"/>
      <c r="C102" s="1768"/>
      <c r="D102" s="1768"/>
      <c r="E102" s="1768"/>
      <c r="F102" s="1768"/>
      <c r="G102" s="1768"/>
      <c r="H102" s="1768"/>
      <c r="I102" s="1768"/>
      <c r="J102" s="1768"/>
      <c r="K102" s="1768"/>
      <c r="L102" s="1768"/>
      <c r="M102" s="1768"/>
      <c r="N102" s="1768"/>
      <c r="O102" s="1768"/>
      <c r="P102" s="1768"/>
      <c r="Q102" s="1768"/>
      <c r="R102" s="1768"/>
      <c r="S102" s="1768"/>
      <c r="T102" s="1768"/>
      <c r="U102" s="1768"/>
      <c r="V102" s="1768"/>
      <c r="W102" s="1768"/>
      <c r="X102" s="1768"/>
      <c r="Y102" s="1768"/>
      <c r="Z102" s="1768"/>
      <c r="AA102" s="1768"/>
      <c r="AB102" s="1768"/>
      <c r="AC102" s="1768"/>
      <c r="AD102" s="1768"/>
      <c r="AE102" s="1768"/>
      <c r="AF102" s="1768"/>
      <c r="AG102" s="1768"/>
      <c r="AH102" s="1768"/>
      <c r="AI102" s="1768"/>
      <c r="AJ102" s="1768"/>
      <c r="AK102" s="1768"/>
      <c r="AL102" s="1768"/>
      <c r="AM102" s="1768"/>
      <c r="AN102" s="1768"/>
      <c r="AO102" s="1768"/>
      <c r="AP102" s="1768"/>
      <c r="AQ102" s="1768"/>
      <c r="AR102" s="1768"/>
      <c r="AS102" s="1768"/>
      <c r="AT102" s="1768"/>
      <c r="AU102" s="1769"/>
      <c r="AV102" s="1768"/>
      <c r="AW102" s="1768"/>
      <c r="AX102" s="1768"/>
      <c r="AY102" s="1770"/>
      <c r="AZ102" s="1769"/>
      <c r="BA102" s="1771"/>
      <c r="BB102" s="1771"/>
      <c r="BC102" s="1771"/>
      <c r="BD102" s="1771"/>
      <c r="BE102" s="1769"/>
      <c r="BF102" s="1771">
        <f>IF(ISERROR(BF101/BA101-1),"",(BF101/BA101-1))</f>
        <v>-0.20644216691068817</v>
      </c>
      <c r="BG102" s="1771">
        <f>IF(ISERROR(BG101/BB101-1),"",(BG101/BB101-1))</f>
        <v>-0.17774524158125915</v>
      </c>
      <c r="BH102" s="1771">
        <f>IF(ISERROR(BH101/BC101-1),"",(BH101/BC101-1))</f>
        <v>0.47114375655823704</v>
      </c>
      <c r="BI102" s="1771">
        <f>IF(ISERROR(BI101/BD101-1),"",(BI101/BD101-1))</f>
        <v>0.16003976143141152</v>
      </c>
      <c r="BJ102" s="1769">
        <f>BJ101/BE101-1</f>
        <v>-4.1394658753709179E-2</v>
      </c>
      <c r="BK102" s="1771">
        <f>IF(ISERROR(BK101/BF101-1),"",(BK101/BF101-1))</f>
        <v>0.29981549815498165</v>
      </c>
      <c r="BL102" s="1771">
        <f>IF(ISERROR(BL101/BG101-1),"",(BL101/BG101-1))</f>
        <v>0.59188034188034178</v>
      </c>
      <c r="BM102" s="1771">
        <f>IF(ISERROR(BM101/BH101-1),"",(BM101/BH101-1))</f>
        <v>0.3352353780313837</v>
      </c>
      <c r="BN102" s="1771">
        <f>IF(ISERROR(BN101/BI101-1),"",(BN101/BI101-1))</f>
        <v>0.14995715509854324</v>
      </c>
      <c r="BO102" s="1769">
        <f>BO101/BJ101-1</f>
        <v>0.40736728060671723</v>
      </c>
      <c r="BP102" s="1771">
        <f>IF(ISERROR(BP101/BK101-1),"",(BP101/BK101-1))</f>
        <v>0.74095102909865163</v>
      </c>
      <c r="BQ102" s="1771">
        <f>IF(ISERROR(BQ101/BL101-1),"",(BQ101/BL101-1))</f>
        <v>-0.10581655480984342</v>
      </c>
      <c r="BR102" s="1771">
        <f>IF(ISERROR(BR101/BM101-1),"",(BR101/BM101-1))</f>
        <v>-3.8461538461538436E-2</v>
      </c>
      <c r="BS102" s="1771">
        <f>IF(ISERROR(BS101/BN101-1),"",(BS101/BN101-1))</f>
        <v>0.44038748137108796</v>
      </c>
      <c r="BT102" s="1769">
        <f>BT101/BO101-1</f>
        <v>0.11987242934125142</v>
      </c>
      <c r="BU102" s="1771" t="str">
        <f>IF(ISERROR(BU101/BP101-1),"",(BU101/BP101-1))</f>
        <v/>
      </c>
      <c r="BV102" s="1771" t="str">
        <f>IF(ISERROR(BV101/BQ101-1),"",(BV101/BQ101-1))</f>
        <v/>
      </c>
      <c r="BW102" s="1771" t="str">
        <f>IF(ISERROR(BW101/BR101-1),"",(BW101/BR101-1))</f>
        <v/>
      </c>
      <c r="BX102" s="1771" t="str">
        <f>IF(ISERROR(BX101/BS101-1),"",(BX101/BS101-1))</f>
        <v/>
      </c>
      <c r="BY102" s="1769" t="e">
        <f>BY101/BT101-1</f>
        <v>#REF!</v>
      </c>
      <c r="BZ102" s="1771" t="str">
        <f>IF(ISERROR(BZ101/BU101-1),"",(BZ101/BU101-1))</f>
        <v/>
      </c>
      <c r="CA102" s="1771" t="str">
        <f>IF(ISERROR(CA101/BV101-1),"",(CA101/BV101-1))</f>
        <v/>
      </c>
      <c r="CB102" s="1771" t="str">
        <f>IF(ISERROR(CB101/BW101-1),"",(CB101/BW101-1))</f>
        <v/>
      </c>
      <c r="CC102" s="1771" t="str">
        <f>IF(ISERROR(CC101/BX101-1),"",(CC101/BX101-1))</f>
        <v/>
      </c>
      <c r="CD102" s="1769" t="e">
        <f>CD101/BY101-1</f>
        <v>#REF!</v>
      </c>
      <c r="CE102" s="1771" t="str">
        <f>IF(ISERROR(CE101/BZ101-1),"",(CE101/BZ101-1))</f>
        <v/>
      </c>
      <c r="CF102" s="1771" t="str">
        <f>IF(ISERROR(CF101/CA101-1),"",(CF101/CA101-1))</f>
        <v/>
      </c>
      <c r="CG102" s="1771" t="str">
        <f>IF(ISERROR(CG101/CB101-1),"",(CG101/CB101-1))</f>
        <v/>
      </c>
      <c r="CH102" s="1771" t="str">
        <f>IF(ISERROR(CH101/CC101-1),"",(CH101/CC101-1))</f>
        <v/>
      </c>
      <c r="CI102" s="1769" t="e">
        <f>CI101/CD101-1</f>
        <v>#REF!</v>
      </c>
      <c r="CJ102" s="1771" t="str">
        <f>IF(ISERROR(CJ101/CE101-1),"",(CJ101/CE101-1))</f>
        <v/>
      </c>
      <c r="CK102" s="1771" t="str">
        <f>IF(ISERROR(CK101/CF101-1),"",(CK101/CF101-1))</f>
        <v/>
      </c>
      <c r="CL102" s="1771" t="str">
        <f>IF(ISERROR(CL101/CG101-1),"",(CL101/CG101-1))</f>
        <v/>
      </c>
      <c r="CM102" s="1771" t="str">
        <f>IF(ISERROR(CM101/CH101-1),"",(CM101/CH101-1))</f>
        <v/>
      </c>
      <c r="CN102" s="1769" t="e">
        <f>CN101/CI101-1</f>
        <v>#DIV/0!</v>
      </c>
      <c r="CO102" s="1771" t="str">
        <f>IF(ISERROR(CO101/CJ101-1),"",(CO101/CJ101-1))</f>
        <v/>
      </c>
      <c r="CP102" s="1771" t="str">
        <f>IF(ISERROR(CP101/CK101-1),"",(CP101/CK101-1))</f>
        <v/>
      </c>
      <c r="CQ102" s="1771" t="str">
        <f>IF(ISERROR(CQ101/CL101-1),"",(CQ101/CL101-1))</f>
        <v/>
      </c>
      <c r="CR102" s="1771" t="str">
        <f>IF(ISERROR(CR101/CM101-1),"",(CR101/CM101-1))</f>
        <v/>
      </c>
      <c r="CS102" s="1769" t="e">
        <f>CS101/CN101-1</f>
        <v>#DIV/0!</v>
      </c>
      <c r="CT102" s="1771" t="str">
        <f>IF(ISERROR(CT101/CO101-1),"",(CT101/CO101-1))</f>
        <v/>
      </c>
      <c r="CU102" s="1771" t="str">
        <f>IF(ISERROR(CU101/CP101-1),"",(CU101/CP101-1))</f>
        <v/>
      </c>
      <c r="CV102" s="1771" t="str">
        <f>IF(ISERROR(CV101/CQ101-1),"",(CV101/CQ101-1))</f>
        <v/>
      </c>
      <c r="CW102" s="1771" t="str">
        <f>IF(ISERROR(CW101/CR101-1),"",(CW101/CR101-1))</f>
        <v/>
      </c>
      <c r="CX102" s="1769" t="e">
        <f>CX101/CS101-1</f>
        <v>#DIV/0!</v>
      </c>
      <c r="CY102" s="1768"/>
      <c r="CZ102" s="1768"/>
      <c r="DA102" s="1769"/>
      <c r="DB102" s="1769"/>
      <c r="DC102" s="1769"/>
      <c r="DD102" s="1769"/>
      <c r="DE102" s="1769"/>
      <c r="DF102" s="1769"/>
      <c r="DG102" s="1772"/>
      <c r="DH102" s="1772"/>
      <c r="DI102" s="1769"/>
      <c r="DJ102" s="1772">
        <f>DJ101/DI101-1</f>
        <v>0.44385575115364895</v>
      </c>
      <c r="DK102" s="1773">
        <f>DK101/DJ101-1</f>
        <v>0.14393939393939403</v>
      </c>
      <c r="DL102" s="1773" t="e">
        <f>DL101/DK101-1</f>
        <v>#REF!</v>
      </c>
      <c r="DM102" s="1774" t="e">
        <f>DM101/DL101-1</f>
        <v>#REF!</v>
      </c>
      <c r="DN102" s="1774" t="e">
        <f>DN101/DM101-1</f>
        <v>#REF!</v>
      </c>
      <c r="DO102" s="1774"/>
      <c r="DP102" s="1774"/>
      <c r="DQ102" s="1774"/>
      <c r="DR102" s="1785"/>
      <c r="DS102" s="429"/>
      <c r="DT102" s="429"/>
      <c r="DU102" s="429"/>
      <c r="DV102" s="429"/>
      <c r="DW102" s="429"/>
      <c r="DX102" s="429"/>
      <c r="DY102" s="429"/>
      <c r="DZ102" s="429"/>
      <c r="EA102" s="429"/>
      <c r="EB102" s="429"/>
      <c r="EC102" s="429"/>
      <c r="ED102" s="429"/>
      <c r="EE102" s="429"/>
      <c r="EF102" s="429"/>
      <c r="EG102" s="429"/>
      <c r="EH102" s="429"/>
      <c r="EI102" s="429"/>
      <c r="EJ102" s="429"/>
      <c r="EK102" s="429"/>
      <c r="EL102" s="429"/>
      <c r="EM102" s="429"/>
      <c r="EN102" s="429"/>
      <c r="EO102" s="429"/>
      <c r="EP102" s="429"/>
      <c r="EQ102" s="429"/>
      <c r="ER102" s="429"/>
    </row>
    <row r="103" spans="1:148" s="937" customFormat="1" ht="12" hidden="1" outlineLevel="1">
      <c r="A103" s="1767" t="s">
        <v>1027</v>
      </c>
      <c r="B103" s="1768"/>
      <c r="C103" s="1768"/>
      <c r="D103" s="1768"/>
      <c r="E103" s="1768"/>
      <c r="F103" s="1768"/>
      <c r="G103" s="1768"/>
      <c r="H103" s="1768"/>
      <c r="I103" s="1768"/>
      <c r="J103" s="1768"/>
      <c r="K103" s="1768"/>
      <c r="L103" s="1768"/>
      <c r="M103" s="1768"/>
      <c r="N103" s="1768"/>
      <c r="O103" s="1768"/>
      <c r="P103" s="1768"/>
      <c r="Q103" s="1768"/>
      <c r="R103" s="1768"/>
      <c r="S103" s="1768"/>
      <c r="T103" s="1768"/>
      <c r="U103" s="1768"/>
      <c r="V103" s="1768"/>
      <c r="W103" s="1768"/>
      <c r="X103" s="1768"/>
      <c r="Y103" s="1768"/>
      <c r="Z103" s="1768"/>
      <c r="AA103" s="1768"/>
      <c r="AB103" s="1768"/>
      <c r="AC103" s="1768"/>
      <c r="AD103" s="1768"/>
      <c r="AE103" s="1768"/>
      <c r="AF103" s="1768"/>
      <c r="AG103" s="1768"/>
      <c r="AH103" s="1768"/>
      <c r="AI103" s="1768"/>
      <c r="AJ103" s="1768"/>
      <c r="AK103" s="1768"/>
      <c r="AL103" s="1768"/>
      <c r="AM103" s="1768"/>
      <c r="AN103" s="1768"/>
      <c r="AO103" s="1768"/>
      <c r="AP103" s="1768"/>
      <c r="AQ103" s="1768"/>
      <c r="AR103" s="1768"/>
      <c r="AS103" s="1768"/>
      <c r="AT103" s="1768"/>
      <c r="AU103" s="1769"/>
      <c r="AV103" s="1768"/>
      <c r="AW103" s="1768"/>
      <c r="AX103" s="1768"/>
      <c r="AY103" s="1770"/>
      <c r="AZ103" s="1769"/>
      <c r="BA103" s="1771"/>
      <c r="BB103" s="1771"/>
      <c r="BC103" s="1771"/>
      <c r="BD103" s="1771"/>
      <c r="BE103" s="1769"/>
      <c r="BF103" s="1771"/>
      <c r="BG103" s="1771"/>
      <c r="BH103" s="1771"/>
      <c r="BI103" s="1771"/>
      <c r="BJ103" s="1769"/>
      <c r="BK103" s="1771"/>
      <c r="BL103" s="1771"/>
      <c r="BM103" s="1771"/>
      <c r="BN103" s="1771"/>
      <c r="BO103" s="1769"/>
      <c r="BP103" s="1771"/>
      <c r="BQ103" s="1771">
        <f>BQ102+1%</f>
        <v>-9.5816554809843427E-2</v>
      </c>
      <c r="BR103" s="1771">
        <v>0</v>
      </c>
      <c r="BS103" s="1771">
        <v>0.5</v>
      </c>
      <c r="BT103" s="1769"/>
      <c r="BU103" s="1771"/>
      <c r="BV103" s="1771"/>
      <c r="BW103" s="1771"/>
      <c r="BX103" s="1771"/>
      <c r="BY103" s="1769"/>
      <c r="BZ103" s="1771"/>
      <c r="CA103" s="1771"/>
      <c r="CB103" s="1771"/>
      <c r="CC103" s="1771"/>
      <c r="CD103" s="1769"/>
      <c r="CE103" s="1771"/>
      <c r="CF103" s="1771"/>
      <c r="CG103" s="1771"/>
      <c r="CH103" s="1771"/>
      <c r="CI103" s="1769"/>
      <c r="CJ103" s="1771"/>
      <c r="CK103" s="1771"/>
      <c r="CL103" s="1771"/>
      <c r="CM103" s="1771"/>
      <c r="CN103" s="1769"/>
      <c r="CO103" s="1771"/>
      <c r="CP103" s="1771"/>
      <c r="CQ103" s="1771"/>
      <c r="CR103" s="1771"/>
      <c r="CS103" s="1769"/>
      <c r="CT103" s="1771"/>
      <c r="CU103" s="1771"/>
      <c r="CV103" s="1771"/>
      <c r="CW103" s="1771"/>
      <c r="CX103" s="1769"/>
      <c r="CY103" s="1768"/>
      <c r="CZ103" s="1768"/>
      <c r="DA103" s="1769"/>
      <c r="DB103" s="1769"/>
      <c r="DC103" s="1769"/>
      <c r="DD103" s="1769"/>
      <c r="DE103" s="1769"/>
      <c r="DF103" s="1769"/>
      <c r="DG103" s="1772"/>
      <c r="DH103" s="1772"/>
      <c r="DI103" s="1769"/>
      <c r="DJ103" s="1772"/>
      <c r="DK103" s="1773"/>
      <c r="DL103" s="1773"/>
      <c r="DM103" s="1774"/>
      <c r="DN103" s="1774"/>
      <c r="DO103" s="1774"/>
      <c r="DP103" s="1774"/>
      <c r="DQ103" s="1774"/>
      <c r="DR103" s="1785"/>
      <c r="DS103" s="429"/>
      <c r="DT103" s="429"/>
      <c r="DU103" s="429"/>
      <c r="DV103" s="429"/>
      <c r="DW103" s="429"/>
      <c r="DX103" s="429"/>
      <c r="DY103" s="429"/>
      <c r="DZ103" s="429"/>
      <c r="EA103" s="429"/>
      <c r="EB103" s="429"/>
      <c r="EC103" s="429"/>
      <c r="ED103" s="429"/>
      <c r="EE103" s="429"/>
      <c r="EF103" s="429"/>
      <c r="EG103" s="429"/>
      <c r="EH103" s="429"/>
      <c r="EI103" s="429"/>
      <c r="EJ103" s="429"/>
      <c r="EK103" s="429"/>
      <c r="EL103" s="429"/>
      <c r="EM103" s="429"/>
      <c r="EN103" s="429"/>
      <c r="EO103" s="429"/>
      <c r="EP103" s="429"/>
      <c r="EQ103" s="429"/>
      <c r="ER103" s="429"/>
    </row>
    <row r="104" spans="1:148" s="937" customFormat="1" ht="12" hidden="1" outlineLevel="1">
      <c r="A104" s="1767" t="s">
        <v>718</v>
      </c>
      <c r="B104" s="1768"/>
      <c r="C104" s="1768"/>
      <c r="D104" s="1768"/>
      <c r="E104" s="1768"/>
      <c r="F104" s="1768"/>
      <c r="G104" s="1768"/>
      <c r="H104" s="1768"/>
      <c r="I104" s="1768"/>
      <c r="J104" s="1768"/>
      <c r="K104" s="1768"/>
      <c r="L104" s="1768"/>
      <c r="M104" s="1768"/>
      <c r="N104" s="1768"/>
      <c r="O104" s="1768"/>
      <c r="P104" s="1768"/>
      <c r="Q104" s="1768"/>
      <c r="R104" s="1768"/>
      <c r="S104" s="1768"/>
      <c r="T104" s="1768"/>
      <c r="U104" s="1768"/>
      <c r="V104" s="1768"/>
      <c r="W104" s="1768"/>
      <c r="X104" s="1768"/>
      <c r="Y104" s="1768"/>
      <c r="Z104" s="1768"/>
      <c r="AA104" s="1768"/>
      <c r="AB104" s="1768"/>
      <c r="AC104" s="1768"/>
      <c r="AD104" s="1768"/>
      <c r="AE104" s="1768"/>
      <c r="AF104" s="1768"/>
      <c r="AG104" s="1768"/>
      <c r="AH104" s="1768"/>
      <c r="AI104" s="1768"/>
      <c r="AJ104" s="1768"/>
      <c r="AK104" s="1768"/>
      <c r="AL104" s="1768"/>
      <c r="AM104" s="1768"/>
      <c r="AN104" s="1768"/>
      <c r="AO104" s="1768"/>
      <c r="AP104" s="1768"/>
      <c r="AQ104" s="1768"/>
      <c r="AR104" s="1768"/>
      <c r="AS104" s="1768"/>
      <c r="AT104" s="1768"/>
      <c r="AU104" s="1769"/>
      <c r="AV104" s="1768"/>
      <c r="AW104" s="1768"/>
      <c r="AX104" s="1768"/>
      <c r="AY104" s="1770"/>
      <c r="AZ104" s="1769"/>
      <c r="BA104" s="1775" t="str">
        <f>IF(ISERROR(BA101/AY101-1),"",(BA101/AY101-1))</f>
        <v/>
      </c>
      <c r="BB104" s="1775">
        <f>IF(ISERROR(BB101/BA101-1),"",(BB101/BA101-1))</f>
        <v>1.5</v>
      </c>
      <c r="BC104" s="1775">
        <f>IF(ISERROR(BC101/BB101-1),"",(BC101/BB101-1))</f>
        <v>-0.72093704245973644</v>
      </c>
      <c r="BD104" s="1775">
        <f>IF(ISERROR(BD101/BC101-1),"",(BD101/BC101-1))</f>
        <v>5.561385099685201E-2</v>
      </c>
      <c r="BE104" s="1769"/>
      <c r="BF104" s="1775">
        <f>IF(ISERROR(BF101/BD101-1),"",(BF101/BD101-1))</f>
        <v>7.753479125248508E-2</v>
      </c>
      <c r="BG104" s="1775">
        <f>IF(ISERROR(BG101/BF101-1),"",(BG101/BF101-1))</f>
        <v>1.5904059040590406</v>
      </c>
      <c r="BH104" s="1775">
        <f>IF(ISERROR(BH101/BG101-1),"",(BH101/BG101-1))</f>
        <v>-0.50071225071225078</v>
      </c>
      <c r="BI104" s="1775">
        <f>IF(ISERROR(BI101/BH101-1),"",(BI101/BH101-1))</f>
        <v>-0.16761768901569185</v>
      </c>
      <c r="BJ104" s="1769"/>
      <c r="BK104" s="1775">
        <f>IF(ISERROR(BK101/BI101-1),"",(BK101/BI101-1))</f>
        <v>0.20736932305055689</v>
      </c>
      <c r="BL104" s="1775">
        <f>IF(ISERROR(BL101/BK101-1),"",(BL101/BK101-1))</f>
        <v>2.1724627395315825</v>
      </c>
      <c r="BM104" s="1775">
        <f>IF(ISERROR(BM101/BL101-1),"",(BM101/BL101-1))</f>
        <v>-0.58120805369127515</v>
      </c>
      <c r="BN104" s="1775">
        <f>IF(ISERROR(BN101/BM101-1),"",(BN101/BM101-1))</f>
        <v>-0.28311965811965811</v>
      </c>
      <c r="BO104" s="1769"/>
      <c r="BP104" s="1775">
        <f>IF(ISERROR(BP101/BN101-1),"",(BP101/BN101-1))</f>
        <v>0.82786885245901631</v>
      </c>
      <c r="BQ104" s="1775">
        <f>IF(ISERROR(BQ101/BP101-1),"",(BQ101/BP101-1))</f>
        <v>0.62943334692213626</v>
      </c>
      <c r="BR104" s="1775">
        <f>IF(ISERROR(BR101/BQ101-1),"",(BR101/BQ101-1))</f>
        <v>-0.54966224668501373</v>
      </c>
      <c r="BS104" s="1775">
        <f>IF(ISERROR(BS101/BR101-1),"",(BS101/BR101-1))</f>
        <v>7.3888888888888893E-2</v>
      </c>
      <c r="BT104" s="1769"/>
      <c r="BU104" s="1775" t="str">
        <f>IF(ISERROR(BU101/BS101-1),"",(BU101/BS101-1))</f>
        <v/>
      </c>
      <c r="BV104" s="1775" t="str">
        <f>IF(ISERROR(BV101/BU101-1),"",(BV101/BU101-1))</f>
        <v/>
      </c>
      <c r="BW104" s="1775" t="str">
        <f>IF(ISERROR(BW101/BV101-1),"",(BW101/BV101-1))</f>
        <v/>
      </c>
      <c r="BX104" s="1775" t="str">
        <f>IF(ISERROR(BX101/BW101-1),"",(BX101/BW101-1))</f>
        <v/>
      </c>
      <c r="BY104" s="1769"/>
      <c r="BZ104" s="1775" t="str">
        <f>IF(ISERROR(BZ101/BX101-1),"",(BZ101/BX101-1))</f>
        <v/>
      </c>
      <c r="CA104" s="1775" t="str">
        <f>IF(ISERROR(CA101/BZ101-1),"",(CA101/BZ101-1))</f>
        <v/>
      </c>
      <c r="CB104" s="1775" t="str">
        <f>IF(ISERROR(CB101/CA101-1),"",(CB101/CA101-1))</f>
        <v/>
      </c>
      <c r="CC104" s="1775" t="str">
        <f>IF(ISERROR(CC101/CB101-1),"",(CC101/CB101-1))</f>
        <v/>
      </c>
      <c r="CD104" s="1769"/>
      <c r="CE104" s="1775" t="str">
        <f>IF(ISERROR(CE101/CC101-1),"",(CE101/CC101-1))</f>
        <v/>
      </c>
      <c r="CF104" s="1775" t="str">
        <f>IF(ISERROR(CF101/CE101-1),"",(CF101/CE101-1))</f>
        <v/>
      </c>
      <c r="CG104" s="1775" t="str">
        <f>IF(ISERROR(CG101/CF101-1),"",(CG101/CF101-1))</f>
        <v/>
      </c>
      <c r="CH104" s="1775" t="str">
        <f>IF(ISERROR(CH101/CG101-1),"",(CH101/CG101-1))</f>
        <v/>
      </c>
      <c r="CI104" s="1769"/>
      <c r="CJ104" s="1775" t="str">
        <f>IF(ISERROR(CJ101/CH101-1),"",(CJ101/CH101-1))</f>
        <v/>
      </c>
      <c r="CK104" s="1775" t="str">
        <f>IF(ISERROR(CK101/CJ101-1),"",(CK101/CJ101-1))</f>
        <v/>
      </c>
      <c r="CL104" s="1775" t="str">
        <f>IF(ISERROR(CL101/CK101-1),"",(CL101/CK101-1))</f>
        <v/>
      </c>
      <c r="CM104" s="1775" t="str">
        <f>IF(ISERROR(CM101/CL101-1),"",(CM101/CL101-1))</f>
        <v/>
      </c>
      <c r="CN104" s="1769"/>
      <c r="CO104" s="1775" t="str">
        <f>IF(ISERROR(CO101/CM101-1),"",(CO101/CM101-1))</f>
        <v/>
      </c>
      <c r="CP104" s="1775" t="str">
        <f>IF(ISERROR(CP101/CO101-1),"",(CP101/CO101-1))</f>
        <v/>
      </c>
      <c r="CQ104" s="1775" t="str">
        <f>IF(ISERROR(CQ101/CP101-1),"",(CQ101/CP101-1))</f>
        <v/>
      </c>
      <c r="CR104" s="1775" t="str">
        <f>IF(ISERROR(CR101/CQ101-1),"",(CR101/CQ101-1))</f>
        <v/>
      </c>
      <c r="CS104" s="1769"/>
      <c r="CT104" s="1775" t="str">
        <f>IF(ISERROR(CT101/CR101-1),"",(CT101/CR101-1))</f>
        <v/>
      </c>
      <c r="CU104" s="1775" t="str">
        <f>IF(ISERROR(CU101/CT101-1),"",(CU101/CT101-1))</f>
        <v/>
      </c>
      <c r="CV104" s="1775" t="str">
        <f>IF(ISERROR(CV101/CU101-1),"",(CV101/CU101-1))</f>
        <v/>
      </c>
      <c r="CW104" s="1775" t="str">
        <f>IF(ISERROR(CW101/CV101-1),"",(CW101/CV101-1))</f>
        <v/>
      </c>
      <c r="CX104" s="1769"/>
      <c r="CY104" s="1768"/>
      <c r="CZ104" s="1768"/>
      <c r="DA104" s="1769"/>
      <c r="DB104" s="1769"/>
      <c r="DC104" s="1769"/>
      <c r="DD104" s="1769"/>
      <c r="DE104" s="1769"/>
      <c r="DF104" s="1769"/>
      <c r="DG104" s="1772"/>
      <c r="DH104" s="1772"/>
      <c r="DI104" s="1769"/>
      <c r="DJ104" s="1772"/>
      <c r="DK104" s="1772"/>
      <c r="DL104" s="1772"/>
      <c r="DM104" s="1769"/>
      <c r="DN104" s="1769"/>
      <c r="DO104" s="1769"/>
      <c r="DP104" s="1769"/>
      <c r="DQ104" s="1769"/>
      <c r="DR104" s="1775"/>
      <c r="DS104" s="429"/>
      <c r="DT104" s="429"/>
      <c r="DU104" s="429"/>
      <c r="DV104" s="429"/>
      <c r="DW104" s="429"/>
      <c r="DX104" s="429"/>
      <c r="DY104" s="429"/>
      <c r="DZ104" s="429"/>
      <c r="EA104" s="429"/>
      <c r="EB104" s="429"/>
      <c r="EC104" s="429"/>
      <c r="ED104" s="429"/>
      <c r="EE104" s="429"/>
      <c r="EF104" s="429"/>
      <c r="EG104" s="429"/>
      <c r="EH104" s="429"/>
      <c r="EI104" s="429"/>
      <c r="EJ104" s="429"/>
      <c r="EK104" s="429"/>
      <c r="EL104" s="429"/>
      <c r="EM104" s="429"/>
      <c r="EN104" s="429"/>
      <c r="EO104" s="429"/>
      <c r="EP104" s="429"/>
      <c r="EQ104" s="429"/>
      <c r="ER104" s="429"/>
    </row>
    <row r="105" spans="1:148" s="937" customFormat="1" ht="12" hidden="1" outlineLevel="1">
      <c r="A105" s="1767" t="s">
        <v>482</v>
      </c>
      <c r="B105" s="1768"/>
      <c r="C105" s="1768"/>
      <c r="D105" s="1768"/>
      <c r="E105" s="1768"/>
      <c r="F105" s="1768"/>
      <c r="G105" s="1768"/>
      <c r="H105" s="1768"/>
      <c r="I105" s="1768"/>
      <c r="J105" s="1768"/>
      <c r="K105" s="1768"/>
      <c r="L105" s="1768"/>
      <c r="M105" s="1768"/>
      <c r="N105" s="1768"/>
      <c r="O105" s="1768"/>
      <c r="P105" s="1768"/>
      <c r="Q105" s="1768"/>
      <c r="R105" s="1768"/>
      <c r="S105" s="1768"/>
      <c r="T105" s="1768"/>
      <c r="U105" s="1768"/>
      <c r="V105" s="1768"/>
      <c r="W105" s="1768"/>
      <c r="X105" s="1768"/>
      <c r="Y105" s="1768"/>
      <c r="Z105" s="1768"/>
      <c r="AA105" s="1768"/>
      <c r="AB105" s="1768"/>
      <c r="AC105" s="1768"/>
      <c r="AD105" s="1768"/>
      <c r="AE105" s="1768"/>
      <c r="AF105" s="1768"/>
      <c r="AG105" s="1768"/>
      <c r="AH105" s="1768"/>
      <c r="AI105" s="1768"/>
      <c r="AJ105" s="1768"/>
      <c r="AK105" s="1768"/>
      <c r="AL105" s="1768"/>
      <c r="AM105" s="1768"/>
      <c r="AN105" s="1768"/>
      <c r="AO105" s="1768"/>
      <c r="AP105" s="1768"/>
      <c r="AQ105" s="1768"/>
      <c r="AR105" s="1768"/>
      <c r="AS105" s="1768"/>
      <c r="AT105" s="1768"/>
      <c r="AU105" s="1769"/>
      <c r="AV105" s="1768"/>
      <c r="AW105" s="1768"/>
      <c r="AX105" s="1768"/>
      <c r="AY105" s="1770"/>
      <c r="AZ105" s="1769"/>
      <c r="BA105" s="1771">
        <f t="shared" ref="BA105:CI105" si="177">BA101/BA$142</f>
        <v>7.8632281832834452E-2</v>
      </c>
      <c r="BB105" s="1771">
        <f t="shared" si="177"/>
        <v>0.16351448407948288</v>
      </c>
      <c r="BC105" s="1771">
        <f t="shared" si="177"/>
        <v>5.4748089848911358E-2</v>
      </c>
      <c r="BD105" s="1771">
        <f t="shared" si="177"/>
        <v>5.570629602968049E-2</v>
      </c>
      <c r="BE105" s="1769">
        <f t="shared" si="177"/>
        <v>9.1423300733827983E-2</v>
      </c>
      <c r="BF105" s="1771">
        <f t="shared" si="177"/>
        <v>6.7716141929035481E-2</v>
      </c>
      <c r="BG105" s="1771">
        <f t="shared" si="177"/>
        <v>0.13087248322147652</v>
      </c>
      <c r="BH105" s="1771">
        <f t="shared" si="177"/>
        <v>6.8426960808238568E-2</v>
      </c>
      <c r="BI105" s="1771">
        <f t="shared" si="177"/>
        <v>5.8655006031363088E-2</v>
      </c>
      <c r="BJ105" s="1769">
        <f t="shared" si="177"/>
        <v>8.2994001207465737E-2</v>
      </c>
      <c r="BK105" s="1771">
        <f t="shared" si="177"/>
        <v>7.604295968481839E-2</v>
      </c>
      <c r="BL105" s="1771">
        <f t="shared" si="177"/>
        <v>0.18230759818915943</v>
      </c>
      <c r="BM105" s="1771">
        <f t="shared" si="177"/>
        <v>9.1751213056903397E-2</v>
      </c>
      <c r="BN105" s="1771">
        <f t="shared" si="177"/>
        <v>5.739457702506201E-2</v>
      </c>
      <c r="BO105" s="1769">
        <f t="shared" si="177"/>
        <v>0.10471825227735999</v>
      </c>
      <c r="BP105" s="1771">
        <f t="shared" si="177"/>
        <v>0.10572820137063058</v>
      </c>
      <c r="BQ105" s="1771">
        <f t="shared" si="177"/>
        <v>0.15100113335851909</v>
      </c>
      <c r="BR105" s="1771">
        <f t="shared" si="177"/>
        <v>8.2838602788899623E-2</v>
      </c>
      <c r="BS105" s="1771">
        <f t="shared" si="177"/>
        <v>8.7150586113615869E-2</v>
      </c>
      <c r="BT105" s="1776">
        <f t="shared" si="177"/>
        <v>0.10881598632186365</v>
      </c>
      <c r="BU105" s="1771" t="e">
        <f>BU101/BU$142</f>
        <v>#REF!</v>
      </c>
      <c r="BV105" s="1771" t="e">
        <f>BV101/BV$142</f>
        <v>#REF!</v>
      </c>
      <c r="BW105" s="1771" t="e">
        <f>BW101/BW$142</f>
        <v>#REF!</v>
      </c>
      <c r="BX105" s="1771" t="e">
        <f>BX101/BX$142</f>
        <v>#REF!</v>
      </c>
      <c r="BY105" s="1776" t="e">
        <f t="shared" ref="BY105:CD105" si="178">BY101/BY$142</f>
        <v>#REF!</v>
      </c>
      <c r="BZ105" s="1771" t="e">
        <f t="shared" si="178"/>
        <v>#REF!</v>
      </c>
      <c r="CA105" s="1771" t="e">
        <f t="shared" si="178"/>
        <v>#REF!</v>
      </c>
      <c r="CB105" s="1771" t="e">
        <f t="shared" si="178"/>
        <v>#REF!</v>
      </c>
      <c r="CC105" s="1771" t="e">
        <f t="shared" si="178"/>
        <v>#REF!</v>
      </c>
      <c r="CD105" s="1776" t="e">
        <f t="shared" si="178"/>
        <v>#REF!</v>
      </c>
      <c r="CE105" s="1771" t="e">
        <f t="shared" si="177"/>
        <v>#DIV/0!</v>
      </c>
      <c r="CF105" s="1771" t="e">
        <f t="shared" si="177"/>
        <v>#DIV/0!</v>
      </c>
      <c r="CG105" s="1771" t="e">
        <f t="shared" si="177"/>
        <v>#DIV/0!</v>
      </c>
      <c r="CH105" s="1771" t="e">
        <f t="shared" si="177"/>
        <v>#DIV/0!</v>
      </c>
      <c r="CI105" s="1776" t="e">
        <f t="shared" si="177"/>
        <v>#DIV/0!</v>
      </c>
      <c r="CJ105" s="1771" t="e">
        <f t="shared" ref="CJ105:CS105" si="179">CJ101/CJ$142</f>
        <v>#DIV/0!</v>
      </c>
      <c r="CK105" s="1771" t="e">
        <f t="shared" si="179"/>
        <v>#DIV/0!</v>
      </c>
      <c r="CL105" s="1771" t="e">
        <f t="shared" si="179"/>
        <v>#DIV/0!</v>
      </c>
      <c r="CM105" s="1771" t="e">
        <f t="shared" si="179"/>
        <v>#DIV/0!</v>
      </c>
      <c r="CN105" s="1776" t="e">
        <f t="shared" si="179"/>
        <v>#DIV/0!</v>
      </c>
      <c r="CO105" s="1771" t="e">
        <f t="shared" si="179"/>
        <v>#DIV/0!</v>
      </c>
      <c r="CP105" s="1771" t="e">
        <f t="shared" si="179"/>
        <v>#DIV/0!</v>
      </c>
      <c r="CQ105" s="1771" t="e">
        <f t="shared" si="179"/>
        <v>#DIV/0!</v>
      </c>
      <c r="CR105" s="1771" t="e">
        <f t="shared" si="179"/>
        <v>#DIV/0!</v>
      </c>
      <c r="CS105" s="1776" t="e">
        <f t="shared" si="179"/>
        <v>#DIV/0!</v>
      </c>
      <c r="CT105" s="1771" t="e">
        <f t="shared" ref="CT105:CX105" si="180">CT101/CT$142</f>
        <v>#DIV/0!</v>
      </c>
      <c r="CU105" s="1771" t="e">
        <f t="shared" si="180"/>
        <v>#DIV/0!</v>
      </c>
      <c r="CV105" s="1771" t="e">
        <f t="shared" si="180"/>
        <v>#DIV/0!</v>
      </c>
      <c r="CW105" s="1771">
        <f t="shared" si="180"/>
        <v>0.10344975236572798</v>
      </c>
      <c r="CX105" s="1776">
        <f t="shared" si="180"/>
        <v>0.10344975236572798</v>
      </c>
      <c r="CY105" s="1768"/>
      <c r="CZ105" s="1768"/>
      <c r="DA105" s="1769"/>
      <c r="DB105" s="1769"/>
      <c r="DC105" s="1769"/>
      <c r="DD105" s="1769"/>
      <c r="DE105" s="1769"/>
      <c r="DF105" s="1769"/>
      <c r="DG105" s="1772"/>
      <c r="DH105" s="1772"/>
      <c r="DI105" s="1769"/>
      <c r="DJ105" s="1772"/>
      <c r="DK105" s="1772"/>
      <c r="DL105" s="1772"/>
      <c r="DM105" s="1769"/>
      <c r="DN105" s="1769"/>
      <c r="DO105" s="1769"/>
      <c r="DP105" s="1769"/>
      <c r="DQ105" s="1769"/>
      <c r="DR105" s="1775"/>
      <c r="DS105" s="429"/>
      <c r="DT105" s="429"/>
      <c r="DU105" s="429"/>
      <c r="DV105" s="429"/>
      <c r="DW105" s="429"/>
      <c r="DX105" s="429"/>
      <c r="DY105" s="429"/>
      <c r="DZ105" s="429"/>
      <c r="EA105" s="429"/>
      <c r="EB105" s="429"/>
      <c r="EC105" s="429"/>
      <c r="ED105" s="429"/>
      <c r="EE105" s="429"/>
      <c r="EF105" s="429"/>
      <c r="EG105" s="429"/>
      <c r="EH105" s="429"/>
      <c r="EI105" s="429"/>
      <c r="EJ105" s="429"/>
      <c r="EK105" s="429"/>
      <c r="EL105" s="429"/>
      <c r="EM105" s="429"/>
      <c r="EN105" s="429"/>
      <c r="EO105" s="429"/>
      <c r="EP105" s="429"/>
      <c r="EQ105" s="429"/>
      <c r="ER105" s="429"/>
    </row>
    <row r="106" spans="1:148" s="937" customFormat="1" ht="3.75" hidden="1" customHeight="1" outlineLevel="1">
      <c r="A106" s="1767"/>
      <c r="B106" s="1768"/>
      <c r="C106" s="1768"/>
      <c r="D106" s="1768"/>
      <c r="E106" s="1768"/>
      <c r="F106" s="1768"/>
      <c r="G106" s="1768"/>
      <c r="H106" s="1768"/>
      <c r="I106" s="1768"/>
      <c r="J106" s="1768"/>
      <c r="K106" s="1768"/>
      <c r="L106" s="1768"/>
      <c r="M106" s="1768"/>
      <c r="N106" s="1768"/>
      <c r="O106" s="1768"/>
      <c r="P106" s="1768"/>
      <c r="Q106" s="1768"/>
      <c r="R106" s="1768"/>
      <c r="S106" s="1768"/>
      <c r="T106" s="1768"/>
      <c r="U106" s="1768"/>
      <c r="V106" s="1768"/>
      <c r="W106" s="1768"/>
      <c r="X106" s="1768"/>
      <c r="Y106" s="1768"/>
      <c r="Z106" s="1768"/>
      <c r="AA106" s="1768"/>
      <c r="AB106" s="1768"/>
      <c r="AC106" s="1768"/>
      <c r="AD106" s="1768"/>
      <c r="AE106" s="1768"/>
      <c r="AF106" s="1768"/>
      <c r="AG106" s="1768"/>
      <c r="AH106" s="1768"/>
      <c r="AI106" s="1768"/>
      <c r="AJ106" s="1768"/>
      <c r="AK106" s="1768"/>
      <c r="AL106" s="1768"/>
      <c r="AM106" s="1768"/>
      <c r="AN106" s="1768"/>
      <c r="AO106" s="1768"/>
      <c r="AP106" s="1768"/>
      <c r="AQ106" s="1768"/>
      <c r="AR106" s="1768"/>
      <c r="AS106" s="1768"/>
      <c r="AT106" s="1768"/>
      <c r="AU106" s="1769"/>
      <c r="AV106" s="1768"/>
      <c r="AW106" s="1768"/>
      <c r="AX106" s="1768"/>
      <c r="AY106" s="1770"/>
      <c r="AZ106" s="1769"/>
      <c r="BA106" s="1771"/>
      <c r="BB106" s="1771"/>
      <c r="BC106" s="1771"/>
      <c r="BD106" s="1771"/>
      <c r="BE106" s="1769"/>
      <c r="BF106" s="1771"/>
      <c r="BG106" s="1771"/>
      <c r="BH106" s="1771"/>
      <c r="BI106" s="1771"/>
      <c r="BJ106" s="1769"/>
      <c r="BK106" s="1771"/>
      <c r="BL106" s="1771"/>
      <c r="BM106" s="1771"/>
      <c r="BN106" s="1771"/>
      <c r="BO106" s="1769"/>
      <c r="BP106" s="1771"/>
      <c r="BQ106" s="1771"/>
      <c r="BR106" s="1771"/>
      <c r="BS106" s="1771"/>
      <c r="BT106" s="1776"/>
      <c r="BU106" s="1771"/>
      <c r="BV106" s="1771"/>
      <c r="BW106" s="1771"/>
      <c r="BX106" s="1771"/>
      <c r="BY106" s="1776"/>
      <c r="BZ106" s="1771"/>
      <c r="CA106" s="1771"/>
      <c r="CB106" s="1771"/>
      <c r="CC106" s="1771"/>
      <c r="CD106" s="1776"/>
      <c r="CE106" s="1771"/>
      <c r="CF106" s="1771"/>
      <c r="CG106" s="1771"/>
      <c r="CH106" s="1771"/>
      <c r="CI106" s="1776"/>
      <c r="CJ106" s="1771"/>
      <c r="CK106" s="1771"/>
      <c r="CL106" s="1771"/>
      <c r="CM106" s="1771"/>
      <c r="CN106" s="1776"/>
      <c r="CO106" s="1771"/>
      <c r="CP106" s="1771"/>
      <c r="CQ106" s="1771"/>
      <c r="CR106" s="1771"/>
      <c r="CS106" s="1776"/>
      <c r="CT106" s="1771"/>
      <c r="CU106" s="1771"/>
      <c r="CV106" s="1771"/>
      <c r="CW106" s="1771"/>
      <c r="CX106" s="1776"/>
      <c r="CY106" s="1768"/>
      <c r="CZ106" s="1768"/>
      <c r="DA106" s="1769"/>
      <c r="DB106" s="1769"/>
      <c r="DC106" s="1769"/>
      <c r="DD106" s="1769"/>
      <c r="DE106" s="1769"/>
      <c r="DF106" s="1769"/>
      <c r="DG106" s="1772"/>
      <c r="DH106" s="1772"/>
      <c r="DI106" s="1769"/>
      <c r="DJ106" s="1772"/>
      <c r="DK106" s="1772"/>
      <c r="DL106" s="1772"/>
      <c r="DM106" s="1769"/>
      <c r="DN106" s="1769"/>
      <c r="DO106" s="1769"/>
      <c r="DP106" s="1769"/>
      <c r="DQ106" s="1769"/>
      <c r="DR106" s="1775"/>
      <c r="DS106" s="429"/>
      <c r="DT106" s="429"/>
      <c r="DU106" s="429"/>
      <c r="DV106" s="429"/>
      <c r="DW106" s="429"/>
      <c r="DX106" s="429"/>
      <c r="DY106" s="429"/>
      <c r="DZ106" s="429"/>
      <c r="EA106" s="429"/>
      <c r="EB106" s="429"/>
      <c r="EC106" s="429"/>
      <c r="ED106" s="429"/>
      <c r="EE106" s="429"/>
      <c r="EF106" s="429"/>
      <c r="EG106" s="429"/>
      <c r="EH106" s="429"/>
      <c r="EI106" s="429"/>
      <c r="EJ106" s="429"/>
      <c r="EK106" s="429"/>
      <c r="EL106" s="429"/>
      <c r="EM106" s="429"/>
      <c r="EN106" s="429"/>
      <c r="EO106" s="429"/>
      <c r="EP106" s="429"/>
      <c r="EQ106" s="429"/>
      <c r="ER106" s="429"/>
    </row>
    <row r="107" spans="1:148" s="934" customFormat="1" ht="12" hidden="1" outlineLevel="1">
      <c r="A107" s="1760" t="s">
        <v>997</v>
      </c>
      <c r="B107" s="1761"/>
      <c r="C107" s="1761"/>
      <c r="D107" s="1761"/>
      <c r="E107" s="1761"/>
      <c r="F107" s="1761"/>
      <c r="G107" s="1761"/>
      <c r="H107" s="1761"/>
      <c r="I107" s="1761"/>
      <c r="J107" s="1761"/>
      <c r="K107" s="1761"/>
      <c r="L107" s="1761"/>
      <c r="M107" s="1761"/>
      <c r="N107" s="1761"/>
      <c r="O107" s="1761"/>
      <c r="P107" s="1761"/>
      <c r="Q107" s="1761"/>
      <c r="R107" s="1761"/>
      <c r="S107" s="1761"/>
      <c r="T107" s="1761"/>
      <c r="U107" s="1761"/>
      <c r="V107" s="1761"/>
      <c r="W107" s="1761"/>
      <c r="X107" s="1761"/>
      <c r="Y107" s="1761"/>
      <c r="Z107" s="1761"/>
      <c r="AA107" s="1761"/>
      <c r="AB107" s="1761"/>
      <c r="AC107" s="1761"/>
      <c r="AD107" s="1761"/>
      <c r="AE107" s="1761"/>
      <c r="AF107" s="1761"/>
      <c r="AG107" s="1761"/>
      <c r="AH107" s="1761"/>
      <c r="AI107" s="1761"/>
      <c r="AJ107" s="1761"/>
      <c r="AK107" s="1761"/>
      <c r="AL107" s="1761"/>
      <c r="AM107" s="1761"/>
      <c r="AN107" s="1761"/>
      <c r="AO107" s="1761"/>
      <c r="AP107" s="1761"/>
      <c r="AQ107" s="1761"/>
      <c r="AR107" s="1761"/>
      <c r="AS107" s="1761"/>
      <c r="AT107" s="1761"/>
      <c r="AU107" s="1762"/>
      <c r="AV107" s="1761"/>
      <c r="AW107" s="1761"/>
      <c r="AX107" s="1761"/>
      <c r="AY107" s="1778"/>
      <c r="AZ107" s="1762"/>
      <c r="BA107" s="1763"/>
      <c r="BB107" s="1763"/>
      <c r="BC107" s="1763"/>
      <c r="BD107" s="1763"/>
      <c r="BE107" s="1762"/>
      <c r="BF107" s="1763"/>
      <c r="BG107" s="1763"/>
      <c r="BH107" s="1763"/>
      <c r="BI107" s="1763"/>
      <c r="BJ107" s="1762"/>
      <c r="BK107" s="1764"/>
      <c r="BL107" s="1764"/>
      <c r="BM107" s="1764"/>
      <c r="BN107" s="1763">
        <v>1982</v>
      </c>
      <c r="BO107" s="1762">
        <f>SUM(BK107:BN107)</f>
        <v>1982</v>
      </c>
      <c r="BP107" s="1764">
        <v>2609</v>
      </c>
      <c r="BQ107" s="1764">
        <v>2284</v>
      </c>
      <c r="BR107" s="1764">
        <v>1397</v>
      </c>
      <c r="BS107" s="1763">
        <v>1234</v>
      </c>
      <c r="BT107" s="1762">
        <f>SUM(BP107:BS107)</f>
        <v>7524</v>
      </c>
      <c r="BU107" s="2802" t="e">
        <f>#REF!</f>
        <v>#REF!</v>
      </c>
      <c r="BV107" s="2802" t="e">
        <f>#REF!</f>
        <v>#REF!</v>
      </c>
      <c r="BW107" s="2803" t="e">
        <f>#REF!</f>
        <v>#REF!</v>
      </c>
      <c r="BX107" s="2803" t="e">
        <f>#REF!</f>
        <v>#REF!</v>
      </c>
      <c r="BY107" s="1762" t="e">
        <f>SUM(BU107:BX107)</f>
        <v>#REF!</v>
      </c>
      <c r="BZ107" s="2803" t="e">
        <f>#REF!</f>
        <v>#REF!</v>
      </c>
      <c r="CA107" s="2803" t="e">
        <f>#REF!</f>
        <v>#REF!</v>
      </c>
      <c r="CB107" s="2803" t="e">
        <f>#REF!</f>
        <v>#REF!</v>
      </c>
      <c r="CC107" s="2803" t="e">
        <f>#REF!</f>
        <v>#REF!</v>
      </c>
      <c r="CD107" s="1762" t="e">
        <f>SUM(BZ107:CC107)</f>
        <v>#REF!</v>
      </c>
      <c r="CE107" s="1765">
        <f>'Rev Detail - OLD'!BE366</f>
        <v>0</v>
      </c>
      <c r="CF107" s="1765">
        <f>'Rev Detail - OLD'!BF366</f>
        <v>0</v>
      </c>
      <c r="CG107" s="1765">
        <f>'Rev Detail - OLD'!BG366</f>
        <v>0</v>
      </c>
      <c r="CH107" s="1765">
        <f>'Rev Detail - OLD'!BH366</f>
        <v>0</v>
      </c>
      <c r="CI107" s="1762">
        <f>SUM(CE107:CH107)</f>
        <v>0</v>
      </c>
      <c r="CJ107" s="1765">
        <f>'Rev Detail - OLD'!BJ366</f>
        <v>0</v>
      </c>
      <c r="CK107" s="1765">
        <f>'Rev Detail - OLD'!BK366</f>
        <v>0</v>
      </c>
      <c r="CL107" s="1765">
        <f>'Rev Detail - OLD'!BL366</f>
        <v>0</v>
      </c>
      <c r="CM107" s="1765">
        <f>'Rev Detail - OLD'!BM366</f>
        <v>0</v>
      </c>
      <c r="CN107" s="1762">
        <f>SUM(CJ107:CM107)</f>
        <v>0</v>
      </c>
      <c r="CO107" s="1765">
        <f>'Rev Detail - OLD'!BO366</f>
        <v>0</v>
      </c>
      <c r="CP107" s="1765">
        <f>'Rev Detail - OLD'!BP366</f>
        <v>0</v>
      </c>
      <c r="CQ107" s="1765">
        <f>'Rev Detail - OLD'!BQ366</f>
        <v>0</v>
      </c>
      <c r="CR107" s="1765">
        <f>'Rev Detail - OLD'!BR366</f>
        <v>0</v>
      </c>
      <c r="CS107" s="1762">
        <f>SUM(CO107:CR107)</f>
        <v>0</v>
      </c>
      <c r="CT107" s="1765">
        <f>'Rev Detail - OLD'!BT366</f>
        <v>0</v>
      </c>
      <c r="CU107" s="1765">
        <f>'Rev Detail - OLD'!BU366</f>
        <v>0</v>
      </c>
      <c r="CV107" s="1765">
        <f>'Rev Detail - OLD'!BV366</f>
        <v>0</v>
      </c>
      <c r="CW107" s="1765">
        <f>'Rev Detail - OLD'!BW366</f>
        <v>6878.333333333333</v>
      </c>
      <c r="CX107" s="1762">
        <f>SUM(CT107:CW107)</f>
        <v>6878.333333333333</v>
      </c>
      <c r="CY107" s="1761"/>
      <c r="CZ107" s="1761"/>
      <c r="DA107" s="1762"/>
      <c r="DB107" s="1762"/>
      <c r="DC107" s="1762"/>
      <c r="DD107" s="1762"/>
      <c r="DE107" s="1762"/>
      <c r="DF107" s="1762"/>
      <c r="DG107" s="1766"/>
      <c r="DH107" s="1766"/>
      <c r="DI107" s="1762"/>
      <c r="DJ107" s="1766"/>
      <c r="DK107" s="1766">
        <f>SUM(BM107:BN107,BP107:BQ107)</f>
        <v>6875</v>
      </c>
      <c r="DL107" s="1766" t="e">
        <f>SUM(BU107:BV107,BR107:BS107)</f>
        <v>#REF!</v>
      </c>
      <c r="DM107" s="1762" t="e">
        <f>SUM(BW107:BX107,BZ107:CA107)</f>
        <v>#REF!</v>
      </c>
      <c r="DN107" s="1762" t="e">
        <f>SUM(CB107:CC107,CE107:CF107)</f>
        <v>#REF!</v>
      </c>
      <c r="DO107" s="1762"/>
      <c r="DP107" s="1762"/>
      <c r="DQ107" s="1762"/>
      <c r="DR107" s="1795"/>
      <c r="DS107" s="264"/>
      <c r="DT107" s="264"/>
      <c r="DU107" s="264"/>
      <c r="DV107" s="264"/>
      <c r="DW107" s="264"/>
      <c r="DX107" s="264"/>
      <c r="DY107" s="264"/>
      <c r="DZ107" s="264"/>
      <c r="EA107" s="264"/>
      <c r="EB107" s="264"/>
      <c r="EC107" s="264"/>
      <c r="ED107" s="264"/>
      <c r="EE107" s="264"/>
      <c r="EF107" s="264"/>
      <c r="EG107" s="264"/>
      <c r="EH107" s="264"/>
      <c r="EI107" s="264"/>
      <c r="EJ107" s="264"/>
      <c r="EK107" s="264"/>
      <c r="EL107" s="264"/>
      <c r="EM107" s="264"/>
      <c r="EN107" s="264"/>
      <c r="EO107" s="264"/>
      <c r="EP107" s="264"/>
      <c r="EQ107" s="264"/>
      <c r="ER107" s="264"/>
    </row>
    <row r="108" spans="1:148" s="937" customFormat="1" ht="12" hidden="1" outlineLevel="1">
      <c r="A108" s="1767" t="s">
        <v>717</v>
      </c>
      <c r="B108" s="1768"/>
      <c r="C108" s="1768"/>
      <c r="D108" s="1768"/>
      <c r="E108" s="1768"/>
      <c r="F108" s="1768"/>
      <c r="G108" s="1768"/>
      <c r="H108" s="1768"/>
      <c r="I108" s="1768"/>
      <c r="J108" s="1768"/>
      <c r="K108" s="1768"/>
      <c r="L108" s="1768"/>
      <c r="M108" s="1768"/>
      <c r="N108" s="1768"/>
      <c r="O108" s="1768"/>
      <c r="P108" s="1768"/>
      <c r="Q108" s="1768"/>
      <c r="R108" s="1768"/>
      <c r="S108" s="1768"/>
      <c r="T108" s="1768"/>
      <c r="U108" s="1768"/>
      <c r="V108" s="1768"/>
      <c r="W108" s="1768"/>
      <c r="X108" s="1768"/>
      <c r="Y108" s="1768"/>
      <c r="Z108" s="1768"/>
      <c r="AA108" s="1768"/>
      <c r="AB108" s="1768"/>
      <c r="AC108" s="1768"/>
      <c r="AD108" s="1768"/>
      <c r="AE108" s="1768"/>
      <c r="AF108" s="1768"/>
      <c r="AG108" s="1768"/>
      <c r="AH108" s="1768"/>
      <c r="AI108" s="1768"/>
      <c r="AJ108" s="1768"/>
      <c r="AK108" s="1768"/>
      <c r="AL108" s="1768"/>
      <c r="AM108" s="1768"/>
      <c r="AN108" s="1768"/>
      <c r="AO108" s="1768"/>
      <c r="AP108" s="1768"/>
      <c r="AQ108" s="1768"/>
      <c r="AR108" s="1768"/>
      <c r="AS108" s="1768"/>
      <c r="AT108" s="1768"/>
      <c r="AU108" s="1769"/>
      <c r="AV108" s="1768"/>
      <c r="AW108" s="1768"/>
      <c r="AX108" s="1768"/>
      <c r="AY108" s="1770"/>
      <c r="AZ108" s="1769"/>
      <c r="BA108" s="1771"/>
      <c r="BB108" s="1771"/>
      <c r="BC108" s="1771"/>
      <c r="BD108" s="1771"/>
      <c r="BE108" s="1769"/>
      <c r="BF108" s="1771"/>
      <c r="BG108" s="1771"/>
      <c r="BH108" s="1771"/>
      <c r="BI108" s="1771"/>
      <c r="BJ108" s="1769"/>
      <c r="BK108" s="1771"/>
      <c r="BL108" s="1771"/>
      <c r="BM108" s="1771"/>
      <c r="BN108" s="1771"/>
      <c r="BO108" s="1769"/>
      <c r="BP108" s="1771" t="str">
        <f>IF(ISERROR(BP107/BK107-1),"",(BP107/BK107-1))</f>
        <v/>
      </c>
      <c r="BQ108" s="1771" t="str">
        <f>IF(ISERROR(BQ107/BL107-1),"",(BQ107/BL107-1))</f>
        <v/>
      </c>
      <c r="BR108" s="1771" t="str">
        <f>IF(ISERROR(BR107/BM107-1),"",(BR107/BM107-1))</f>
        <v/>
      </c>
      <c r="BS108" s="1771">
        <f>IF(ISERROR(BS107/BN107-1),"",(BS107/BN107-1))</f>
        <v>-0.37739656912209885</v>
      </c>
      <c r="BT108" s="1769">
        <f>BT107/BO107-1</f>
        <v>2.7961654894046419</v>
      </c>
      <c r="BU108" s="1771" t="str">
        <f>IF(ISERROR(BU107/BP107-1),"",(BU107/BP107-1))</f>
        <v/>
      </c>
      <c r="BV108" s="1771" t="str">
        <f>IF(ISERROR(BV107/BQ107-1),"",(BV107/BQ107-1))</f>
        <v/>
      </c>
      <c r="BW108" s="1771" t="str">
        <f>IF(ISERROR(BW107/BR107-1),"",(BW107/BR107-1))</f>
        <v/>
      </c>
      <c r="BX108" s="1771" t="str">
        <f>IF(ISERROR(BX107/BS107-1),"",(BX107/BS107-1))</f>
        <v/>
      </c>
      <c r="BY108" s="1769" t="e">
        <f>BY107/BT107-1</f>
        <v>#REF!</v>
      </c>
      <c r="BZ108" s="1771" t="str">
        <f>IF(ISERROR(BZ107/BU107-1),"",(BZ107/BU107-1))</f>
        <v/>
      </c>
      <c r="CA108" s="1771" t="str">
        <f>IF(ISERROR(CA107/BV107-1),"",(CA107/BV107-1))</f>
        <v/>
      </c>
      <c r="CB108" s="1771" t="str">
        <f>IF(ISERROR(CB107/BW107-1),"",(CB107/BW107-1))</f>
        <v/>
      </c>
      <c r="CC108" s="1771" t="str">
        <f>IF(ISERROR(CC107/BX107-1),"",(CC107/BX107-1))</f>
        <v/>
      </c>
      <c r="CD108" s="1769" t="e">
        <f>CD107/BY107-1</f>
        <v>#REF!</v>
      </c>
      <c r="CE108" s="1771" t="str">
        <f>IF(ISERROR(CE107/BZ107-1),"",(CE107/BZ107-1))</f>
        <v/>
      </c>
      <c r="CF108" s="1771" t="str">
        <f>IF(ISERROR(CF107/CA107-1),"",(CF107/CA107-1))</f>
        <v/>
      </c>
      <c r="CG108" s="1771" t="str">
        <f>IF(ISERROR(CG107/CB107-1),"",(CG107/CB107-1))</f>
        <v/>
      </c>
      <c r="CH108" s="1771" t="str">
        <f>IF(ISERROR(CH107/CC107-1),"",(CH107/CC107-1))</f>
        <v/>
      </c>
      <c r="CI108" s="1769" t="e">
        <f>CI107/CD107-1</f>
        <v>#REF!</v>
      </c>
      <c r="CJ108" s="1771" t="str">
        <f>IF(ISERROR(CJ107/CE107-1),"",(CJ107/CE107-1))</f>
        <v/>
      </c>
      <c r="CK108" s="1771" t="str">
        <f>IF(ISERROR(CK107/CF107-1),"",(CK107/CF107-1))</f>
        <v/>
      </c>
      <c r="CL108" s="1771" t="str">
        <f>IF(ISERROR(CL107/CG107-1),"",(CL107/CG107-1))</f>
        <v/>
      </c>
      <c r="CM108" s="1771" t="str">
        <f>IF(ISERROR(CM107/CH107-1),"",(CM107/CH107-1))</f>
        <v/>
      </c>
      <c r="CN108" s="1769" t="e">
        <f>CN107/CI107-1</f>
        <v>#DIV/0!</v>
      </c>
      <c r="CO108" s="1771" t="str">
        <f>IF(ISERROR(CO107/CJ107-1),"",(CO107/CJ107-1))</f>
        <v/>
      </c>
      <c r="CP108" s="1771" t="str">
        <f>IF(ISERROR(CP107/CK107-1),"",(CP107/CK107-1))</f>
        <v/>
      </c>
      <c r="CQ108" s="1771" t="str">
        <f>IF(ISERROR(CQ107/CL107-1),"",(CQ107/CL107-1))</f>
        <v/>
      </c>
      <c r="CR108" s="1771" t="str">
        <f>IF(ISERROR(CR107/CM107-1),"",(CR107/CM107-1))</f>
        <v/>
      </c>
      <c r="CS108" s="1769" t="e">
        <f>CS107/CN107-1</f>
        <v>#DIV/0!</v>
      </c>
      <c r="CT108" s="1771" t="str">
        <f>IF(ISERROR(CT107/CO107-1),"",(CT107/CO107-1))</f>
        <v/>
      </c>
      <c r="CU108" s="1771" t="str">
        <f>IF(ISERROR(CU107/CP107-1),"",(CU107/CP107-1))</f>
        <v/>
      </c>
      <c r="CV108" s="1771" t="str">
        <f>IF(ISERROR(CV107/CQ107-1),"",(CV107/CQ107-1))</f>
        <v/>
      </c>
      <c r="CW108" s="1771" t="str">
        <f>IF(ISERROR(CW107/CR107-1),"",(CW107/CR107-1))</f>
        <v/>
      </c>
      <c r="CX108" s="1769" t="e">
        <f>CX107/CS107-1</f>
        <v>#DIV/0!</v>
      </c>
      <c r="CY108" s="1768"/>
      <c r="CZ108" s="1768"/>
      <c r="DA108" s="1769"/>
      <c r="DB108" s="1769"/>
      <c r="DC108" s="1769"/>
      <c r="DD108" s="1769"/>
      <c r="DE108" s="1769"/>
      <c r="DF108" s="1769"/>
      <c r="DG108" s="1772"/>
      <c r="DH108" s="1772"/>
      <c r="DI108" s="1769"/>
      <c r="DJ108" s="1772"/>
      <c r="DK108" s="1773"/>
      <c r="DL108" s="1773" t="e">
        <f>DL107/DK107-1</f>
        <v>#REF!</v>
      </c>
      <c r="DM108" s="1774" t="e">
        <f>DM107/DL107-1</f>
        <v>#REF!</v>
      </c>
      <c r="DN108" s="1774" t="e">
        <f>DN107/DM107-1</f>
        <v>#REF!</v>
      </c>
      <c r="DO108" s="1774"/>
      <c r="DP108" s="1774"/>
      <c r="DQ108" s="1774"/>
      <c r="DR108" s="1785"/>
      <c r="DS108" s="429"/>
      <c r="DT108" s="429"/>
      <c r="DU108" s="429"/>
      <c r="DV108" s="429"/>
      <c r="DW108" s="429"/>
      <c r="DX108" s="429"/>
      <c r="DY108" s="429"/>
      <c r="DZ108" s="429"/>
      <c r="EA108" s="429"/>
      <c r="EB108" s="429"/>
      <c r="EC108" s="429"/>
      <c r="ED108" s="429"/>
      <c r="EE108" s="429"/>
      <c r="EF108" s="429"/>
      <c r="EG108" s="429"/>
      <c r="EH108" s="429"/>
      <c r="EI108" s="429"/>
      <c r="EJ108" s="429"/>
      <c r="EK108" s="429"/>
      <c r="EL108" s="429"/>
      <c r="EM108" s="429"/>
      <c r="EN108" s="429"/>
      <c r="EO108" s="429"/>
      <c r="EP108" s="429"/>
      <c r="EQ108" s="429"/>
      <c r="ER108" s="429"/>
    </row>
    <row r="109" spans="1:148" s="937" customFormat="1" ht="12" hidden="1" outlineLevel="1">
      <c r="A109" s="1767" t="s">
        <v>1027</v>
      </c>
      <c r="B109" s="1768"/>
      <c r="C109" s="1768"/>
      <c r="D109" s="1768"/>
      <c r="E109" s="1768"/>
      <c r="F109" s="1768"/>
      <c r="G109" s="1768"/>
      <c r="H109" s="1768"/>
      <c r="I109" s="1768"/>
      <c r="J109" s="1768"/>
      <c r="K109" s="1768"/>
      <c r="L109" s="1768"/>
      <c r="M109" s="1768"/>
      <c r="N109" s="1768"/>
      <c r="O109" s="1768"/>
      <c r="P109" s="1768"/>
      <c r="Q109" s="1768"/>
      <c r="R109" s="1768"/>
      <c r="S109" s="1768"/>
      <c r="T109" s="1768"/>
      <c r="U109" s="1768"/>
      <c r="V109" s="1768"/>
      <c r="W109" s="1768"/>
      <c r="X109" s="1768"/>
      <c r="Y109" s="1768"/>
      <c r="Z109" s="1768"/>
      <c r="AA109" s="1768"/>
      <c r="AB109" s="1768"/>
      <c r="AC109" s="1768"/>
      <c r="AD109" s="1768"/>
      <c r="AE109" s="1768"/>
      <c r="AF109" s="1768"/>
      <c r="AG109" s="1768"/>
      <c r="AH109" s="1768"/>
      <c r="AI109" s="1768"/>
      <c r="AJ109" s="1768"/>
      <c r="AK109" s="1768"/>
      <c r="AL109" s="1768"/>
      <c r="AM109" s="1768"/>
      <c r="AN109" s="1768"/>
      <c r="AO109" s="1768"/>
      <c r="AP109" s="1768"/>
      <c r="AQ109" s="1768"/>
      <c r="AR109" s="1768"/>
      <c r="AS109" s="1768"/>
      <c r="AT109" s="1768"/>
      <c r="AU109" s="1769"/>
      <c r="AV109" s="1768"/>
      <c r="AW109" s="1768"/>
      <c r="AX109" s="1768"/>
      <c r="AY109" s="1770"/>
      <c r="AZ109" s="1769"/>
      <c r="BA109" s="1771"/>
      <c r="BB109" s="1771"/>
      <c r="BC109" s="1771"/>
      <c r="BD109" s="1771"/>
      <c r="BE109" s="1769"/>
      <c r="BF109" s="1771"/>
      <c r="BG109" s="1771"/>
      <c r="BH109" s="1771"/>
      <c r="BI109" s="1771"/>
      <c r="BJ109" s="1769"/>
      <c r="BK109" s="1771"/>
      <c r="BL109" s="1771"/>
      <c r="BM109" s="1771"/>
      <c r="BN109" s="1771"/>
      <c r="BO109" s="1769"/>
      <c r="BP109" s="1771"/>
      <c r="BQ109" s="1771"/>
      <c r="BR109" s="1771"/>
      <c r="BS109" s="1771">
        <v>-0.34</v>
      </c>
      <c r="BT109" s="1769"/>
      <c r="BU109" s="1771"/>
      <c r="BV109" s="1771"/>
      <c r="BW109" s="1771"/>
      <c r="BX109" s="1771"/>
      <c r="BY109" s="1769"/>
      <c r="BZ109" s="1771"/>
      <c r="CA109" s="1771"/>
      <c r="CB109" s="1771"/>
      <c r="CC109" s="1771"/>
      <c r="CD109" s="1769"/>
      <c r="CE109" s="1771"/>
      <c r="CF109" s="1771"/>
      <c r="CG109" s="1771"/>
      <c r="CH109" s="1771"/>
      <c r="CI109" s="1769"/>
      <c r="CJ109" s="1771"/>
      <c r="CK109" s="1771"/>
      <c r="CL109" s="1771"/>
      <c r="CM109" s="1771"/>
      <c r="CN109" s="1769"/>
      <c r="CO109" s="1771"/>
      <c r="CP109" s="1771"/>
      <c r="CQ109" s="1771"/>
      <c r="CR109" s="1771"/>
      <c r="CS109" s="1769"/>
      <c r="CT109" s="1771"/>
      <c r="CU109" s="1771"/>
      <c r="CV109" s="1771"/>
      <c r="CW109" s="1771"/>
      <c r="CX109" s="1769"/>
      <c r="CY109" s="1768"/>
      <c r="CZ109" s="1768"/>
      <c r="DA109" s="1769"/>
      <c r="DB109" s="1769"/>
      <c r="DC109" s="1769"/>
      <c r="DD109" s="1769"/>
      <c r="DE109" s="1769"/>
      <c r="DF109" s="1769"/>
      <c r="DG109" s="1772"/>
      <c r="DH109" s="1772"/>
      <c r="DI109" s="1769"/>
      <c r="DJ109" s="1772"/>
      <c r="DK109" s="1773"/>
      <c r="DL109" s="1773"/>
      <c r="DM109" s="1774"/>
      <c r="DN109" s="1774"/>
      <c r="DO109" s="1774"/>
      <c r="DP109" s="1774"/>
      <c r="DQ109" s="1774"/>
      <c r="DR109" s="1785"/>
      <c r="DS109" s="429"/>
      <c r="DT109" s="429"/>
      <c r="DU109" s="429"/>
      <c r="DV109" s="429"/>
      <c r="DW109" s="429"/>
      <c r="DX109" s="429"/>
      <c r="DY109" s="429"/>
      <c r="DZ109" s="429"/>
      <c r="EA109" s="429"/>
      <c r="EB109" s="429"/>
      <c r="EC109" s="429"/>
      <c r="ED109" s="429"/>
      <c r="EE109" s="429"/>
      <c r="EF109" s="429"/>
      <c r="EG109" s="429"/>
      <c r="EH109" s="429"/>
      <c r="EI109" s="429"/>
      <c r="EJ109" s="429"/>
      <c r="EK109" s="429"/>
      <c r="EL109" s="429"/>
      <c r="EM109" s="429"/>
      <c r="EN109" s="429"/>
      <c r="EO109" s="429"/>
      <c r="EP109" s="429"/>
      <c r="EQ109" s="429"/>
      <c r="ER109" s="429"/>
    </row>
    <row r="110" spans="1:148" s="937" customFormat="1" ht="12" hidden="1" outlineLevel="1">
      <c r="A110" s="1767" t="s">
        <v>718</v>
      </c>
      <c r="B110" s="1768"/>
      <c r="C110" s="1768"/>
      <c r="D110" s="1768"/>
      <c r="E110" s="1768"/>
      <c r="F110" s="1768"/>
      <c r="G110" s="1768"/>
      <c r="H110" s="1768"/>
      <c r="I110" s="1768"/>
      <c r="J110" s="1768"/>
      <c r="K110" s="1768"/>
      <c r="L110" s="1768"/>
      <c r="M110" s="1768"/>
      <c r="N110" s="1768"/>
      <c r="O110" s="1768"/>
      <c r="P110" s="1768"/>
      <c r="Q110" s="1768"/>
      <c r="R110" s="1768"/>
      <c r="S110" s="1768"/>
      <c r="T110" s="1768"/>
      <c r="U110" s="1768"/>
      <c r="V110" s="1768"/>
      <c r="W110" s="1768"/>
      <c r="X110" s="1768"/>
      <c r="Y110" s="1768"/>
      <c r="Z110" s="1768"/>
      <c r="AA110" s="1768"/>
      <c r="AB110" s="1768"/>
      <c r="AC110" s="1768"/>
      <c r="AD110" s="1768"/>
      <c r="AE110" s="1768"/>
      <c r="AF110" s="1768"/>
      <c r="AG110" s="1768"/>
      <c r="AH110" s="1768"/>
      <c r="AI110" s="1768"/>
      <c r="AJ110" s="1768"/>
      <c r="AK110" s="1768"/>
      <c r="AL110" s="1768"/>
      <c r="AM110" s="1768"/>
      <c r="AN110" s="1768"/>
      <c r="AO110" s="1768"/>
      <c r="AP110" s="1768"/>
      <c r="AQ110" s="1768"/>
      <c r="AR110" s="1768"/>
      <c r="AS110" s="1768"/>
      <c r="AT110" s="1768"/>
      <c r="AU110" s="1769"/>
      <c r="AV110" s="1768"/>
      <c r="AW110" s="1768"/>
      <c r="AX110" s="1768"/>
      <c r="AY110" s="1770"/>
      <c r="AZ110" s="1769"/>
      <c r="BA110" s="1775" t="str">
        <f>IF(ISERROR(BA107/AY107-1),"",(BA107/AY107-1))</f>
        <v/>
      </c>
      <c r="BB110" s="1775" t="str">
        <f>IF(ISERROR(BB107/BA107-1),"",(BB107/BA107-1))</f>
        <v/>
      </c>
      <c r="BC110" s="1775" t="str">
        <f>IF(ISERROR(BC107/BB107-1),"",(BC107/BB107-1))</f>
        <v/>
      </c>
      <c r="BD110" s="1775" t="str">
        <f>IF(ISERROR(BD107/BC107-1),"",(BD107/BC107-1))</f>
        <v/>
      </c>
      <c r="BE110" s="1769"/>
      <c r="BF110" s="1775" t="str">
        <f>IF(ISERROR(BF107/BD107-1),"",(BF107/BD107-1))</f>
        <v/>
      </c>
      <c r="BG110" s="1775" t="str">
        <f>IF(ISERROR(BG107/BF107-1),"",(BG107/BF107-1))</f>
        <v/>
      </c>
      <c r="BH110" s="1775" t="str">
        <f>IF(ISERROR(BH107/BG107-1),"",(BH107/BG107-1))</f>
        <v/>
      </c>
      <c r="BI110" s="1775" t="str">
        <f>IF(ISERROR(BI107/BH107-1),"",(BI107/BH107-1))</f>
        <v/>
      </c>
      <c r="BJ110" s="1769"/>
      <c r="BK110" s="1775" t="str">
        <f>IF(ISERROR(BK107/BI107-1),"",(BK107/BI107-1))</f>
        <v/>
      </c>
      <c r="BL110" s="1775" t="str">
        <f>IF(ISERROR(BL107/BK107-1),"",(BL107/BK107-1))</f>
        <v/>
      </c>
      <c r="BM110" s="1775" t="str">
        <f>IF(ISERROR(BM107/BL107-1),"",(BM107/BL107-1))</f>
        <v/>
      </c>
      <c r="BN110" s="1775" t="str">
        <f>IF(ISERROR(BN107/BM107-1),"",(BN107/BM107-1))</f>
        <v/>
      </c>
      <c r="BO110" s="1769"/>
      <c r="BP110" s="1775">
        <f>IF(ISERROR(BP107/BN107-1),"",(BP107/BN107-1))</f>
        <v>0.31634712411705346</v>
      </c>
      <c r="BQ110" s="1775">
        <f>IF(ISERROR(BQ107/BP107-1),"",(BQ107/BP107-1))</f>
        <v>-0.12456880030663087</v>
      </c>
      <c r="BR110" s="1775">
        <f>IF(ISERROR(BR107/BQ107-1),"",(BR107/BQ107-1))</f>
        <v>-0.38835376532399302</v>
      </c>
      <c r="BS110" s="1775">
        <f>IF(ISERROR(BS107/BR107-1),"",(BS107/BR107-1))</f>
        <v>-0.11667859699355765</v>
      </c>
      <c r="BT110" s="1769"/>
      <c r="BU110" s="1775" t="str">
        <f>IF(ISERROR(BU107/BS107-1),"",(BU107/BS107-1))</f>
        <v/>
      </c>
      <c r="BV110" s="1775" t="str">
        <f>IF(ISERROR(BV107/BU107-1),"",(BV107/BU107-1))</f>
        <v/>
      </c>
      <c r="BW110" s="1775" t="str">
        <f>IF(ISERROR(BW107/BV107-1),"",(BW107/BV107-1))</f>
        <v/>
      </c>
      <c r="BX110" s="1775" t="str">
        <f>IF(ISERROR(BX107/BW107-1),"",(BX107/BW107-1))</f>
        <v/>
      </c>
      <c r="BY110" s="1769"/>
      <c r="BZ110" s="1775" t="str">
        <f>IF(ISERROR(BZ107/BX107-1),"",(BZ107/BX107-1))</f>
        <v/>
      </c>
      <c r="CA110" s="1775" t="str">
        <f>IF(ISERROR(CA107/BZ107-1),"",(CA107/BZ107-1))</f>
        <v/>
      </c>
      <c r="CB110" s="1775" t="str">
        <f>IF(ISERROR(CB107/CA107-1),"",(CB107/CA107-1))</f>
        <v/>
      </c>
      <c r="CC110" s="1775" t="str">
        <f>IF(ISERROR(CC107/CB107-1),"",(CC107/CB107-1))</f>
        <v/>
      </c>
      <c r="CD110" s="1769"/>
      <c r="CE110" s="1775" t="str">
        <f>IF(ISERROR(CE107/CC107-1),"",(CE107/CC107-1))</f>
        <v/>
      </c>
      <c r="CF110" s="1775" t="str">
        <f>IF(ISERROR(CF107/CE107-1),"",(CF107/CE107-1))</f>
        <v/>
      </c>
      <c r="CG110" s="1775" t="str">
        <f>IF(ISERROR(CG107/CF107-1),"",(CG107/CF107-1))</f>
        <v/>
      </c>
      <c r="CH110" s="1775" t="str">
        <f>IF(ISERROR(CH107/CG107-1),"",(CH107/CG107-1))</f>
        <v/>
      </c>
      <c r="CI110" s="1769"/>
      <c r="CJ110" s="1775" t="str">
        <f>IF(ISERROR(CJ107/CH107-1),"",(CJ107/CH107-1))</f>
        <v/>
      </c>
      <c r="CK110" s="1775" t="str">
        <f>IF(ISERROR(CK107/CJ107-1),"",(CK107/CJ107-1))</f>
        <v/>
      </c>
      <c r="CL110" s="1775" t="str">
        <f>IF(ISERROR(CL107/CK107-1),"",(CL107/CK107-1))</f>
        <v/>
      </c>
      <c r="CM110" s="1775" t="str">
        <f>IF(ISERROR(CM107/CL107-1),"",(CM107/CL107-1))</f>
        <v/>
      </c>
      <c r="CN110" s="1769"/>
      <c r="CO110" s="1775" t="str">
        <f>IF(ISERROR(CO107/CM107-1),"",(CO107/CM107-1))</f>
        <v/>
      </c>
      <c r="CP110" s="1775" t="str">
        <f>IF(ISERROR(CP107/CO107-1),"",(CP107/CO107-1))</f>
        <v/>
      </c>
      <c r="CQ110" s="1775" t="str">
        <f>IF(ISERROR(CQ107/CP107-1),"",(CQ107/CP107-1))</f>
        <v/>
      </c>
      <c r="CR110" s="1775" t="str">
        <f>IF(ISERROR(CR107/CQ107-1),"",(CR107/CQ107-1))</f>
        <v/>
      </c>
      <c r="CS110" s="1769"/>
      <c r="CT110" s="1775" t="str">
        <f>IF(ISERROR(CT107/CR107-1),"",(CT107/CR107-1))</f>
        <v/>
      </c>
      <c r="CU110" s="1775" t="str">
        <f>IF(ISERROR(CU107/CT107-1),"",(CU107/CT107-1))</f>
        <v/>
      </c>
      <c r="CV110" s="1775" t="str">
        <f>IF(ISERROR(CV107/CU107-1),"",(CV107/CU107-1))</f>
        <v/>
      </c>
      <c r="CW110" s="1775" t="str">
        <f>IF(ISERROR(CW107/CV107-1),"",(CW107/CV107-1))</f>
        <v/>
      </c>
      <c r="CX110" s="1769"/>
      <c r="CY110" s="1768"/>
      <c r="CZ110" s="1768"/>
      <c r="DA110" s="1769"/>
      <c r="DB110" s="1769"/>
      <c r="DC110" s="1769"/>
      <c r="DD110" s="1769"/>
      <c r="DE110" s="1769"/>
      <c r="DF110" s="1769"/>
      <c r="DG110" s="1772"/>
      <c r="DH110" s="1772"/>
      <c r="DI110" s="1769"/>
      <c r="DJ110" s="1772"/>
      <c r="DK110" s="1772"/>
      <c r="DL110" s="1772"/>
      <c r="DM110" s="1769"/>
      <c r="DN110" s="1769"/>
      <c r="DO110" s="1769"/>
      <c r="DP110" s="1769"/>
      <c r="DQ110" s="1769"/>
      <c r="DR110" s="1775"/>
      <c r="DS110" s="429"/>
      <c r="DT110" s="429"/>
      <c r="DU110" s="429"/>
      <c r="DV110" s="429"/>
      <c r="DW110" s="429"/>
      <c r="DX110" s="429"/>
      <c r="DY110" s="429"/>
      <c r="DZ110" s="429"/>
      <c r="EA110" s="429"/>
      <c r="EB110" s="429"/>
      <c r="EC110" s="429"/>
      <c r="ED110" s="429"/>
      <c r="EE110" s="429"/>
      <c r="EF110" s="429"/>
      <c r="EG110" s="429"/>
      <c r="EH110" s="429"/>
      <c r="EI110" s="429"/>
      <c r="EJ110" s="429"/>
      <c r="EK110" s="429"/>
      <c r="EL110" s="429"/>
      <c r="EM110" s="429"/>
      <c r="EN110" s="429"/>
      <c r="EO110" s="429"/>
      <c r="EP110" s="429"/>
      <c r="EQ110" s="429"/>
      <c r="ER110" s="429"/>
    </row>
    <row r="111" spans="1:148" s="937" customFormat="1" ht="12" hidden="1" outlineLevel="1">
      <c r="A111" s="1767" t="s">
        <v>482</v>
      </c>
      <c r="B111" s="1768"/>
      <c r="C111" s="1768"/>
      <c r="D111" s="1768"/>
      <c r="E111" s="1768"/>
      <c r="F111" s="1768"/>
      <c r="G111" s="1768"/>
      <c r="H111" s="1768"/>
      <c r="I111" s="1768"/>
      <c r="J111" s="1768"/>
      <c r="K111" s="1768"/>
      <c r="L111" s="1768"/>
      <c r="M111" s="1768"/>
      <c r="N111" s="1768"/>
      <c r="O111" s="1768"/>
      <c r="P111" s="1768"/>
      <c r="Q111" s="1768"/>
      <c r="R111" s="1768"/>
      <c r="S111" s="1768"/>
      <c r="T111" s="1768"/>
      <c r="U111" s="1768"/>
      <c r="V111" s="1768"/>
      <c r="W111" s="1768"/>
      <c r="X111" s="1768"/>
      <c r="Y111" s="1768"/>
      <c r="Z111" s="1768"/>
      <c r="AA111" s="1768"/>
      <c r="AB111" s="1768"/>
      <c r="AC111" s="1768"/>
      <c r="AD111" s="1768"/>
      <c r="AE111" s="1768"/>
      <c r="AF111" s="1768"/>
      <c r="AG111" s="1768"/>
      <c r="AH111" s="1768"/>
      <c r="AI111" s="1768"/>
      <c r="AJ111" s="1768"/>
      <c r="AK111" s="1768"/>
      <c r="AL111" s="1768"/>
      <c r="AM111" s="1768"/>
      <c r="AN111" s="1768"/>
      <c r="AO111" s="1768"/>
      <c r="AP111" s="1768"/>
      <c r="AQ111" s="1768"/>
      <c r="AR111" s="1768"/>
      <c r="AS111" s="1768"/>
      <c r="AT111" s="1768"/>
      <c r="AU111" s="1769"/>
      <c r="AV111" s="1768"/>
      <c r="AW111" s="1768"/>
      <c r="AX111" s="1768"/>
      <c r="AY111" s="1770"/>
      <c r="AZ111" s="1769"/>
      <c r="BA111" s="1771">
        <f t="shared" ref="BA111:CD111" si="181">BA107/BA$142</f>
        <v>0</v>
      </c>
      <c r="BB111" s="1771">
        <f t="shared" si="181"/>
        <v>0</v>
      </c>
      <c r="BC111" s="1771">
        <f t="shared" si="181"/>
        <v>0</v>
      </c>
      <c r="BD111" s="1771">
        <f t="shared" si="181"/>
        <v>0</v>
      </c>
      <c r="BE111" s="1769">
        <f t="shared" si="181"/>
        <v>0</v>
      </c>
      <c r="BF111" s="1771">
        <f t="shared" si="181"/>
        <v>0</v>
      </c>
      <c r="BG111" s="1771">
        <f t="shared" si="181"/>
        <v>0</v>
      </c>
      <c r="BH111" s="1771">
        <f t="shared" si="181"/>
        <v>0</v>
      </c>
      <c r="BI111" s="1771">
        <f t="shared" si="181"/>
        <v>0</v>
      </c>
      <c r="BJ111" s="1769">
        <f t="shared" si="181"/>
        <v>0</v>
      </c>
      <c r="BK111" s="1771">
        <f t="shared" si="181"/>
        <v>0</v>
      </c>
      <c r="BL111" s="1771">
        <f t="shared" si="181"/>
        <v>0</v>
      </c>
      <c r="BM111" s="1771">
        <f t="shared" si="181"/>
        <v>0</v>
      </c>
      <c r="BN111" s="1771">
        <f t="shared" si="181"/>
        <v>8.4766059361902318E-2</v>
      </c>
      <c r="BO111" s="1769">
        <f t="shared" si="181"/>
        <v>2.2825423514101783E-2</v>
      </c>
      <c r="BP111" s="1771">
        <f t="shared" si="181"/>
        <v>0.11245204948062583</v>
      </c>
      <c r="BQ111" s="1771">
        <f t="shared" si="181"/>
        <v>8.6286361919153759E-2</v>
      </c>
      <c r="BR111" s="1771">
        <f t="shared" si="181"/>
        <v>6.4291960053384875E-2</v>
      </c>
      <c r="BS111" s="1771">
        <f t="shared" si="181"/>
        <v>5.5635707844905319E-2</v>
      </c>
      <c r="BT111" s="1776">
        <f t="shared" si="181"/>
        <v>8.0401795255396452E-2</v>
      </c>
      <c r="BU111" s="1771" t="e">
        <f t="shared" si="181"/>
        <v>#REF!</v>
      </c>
      <c r="BV111" s="1771" t="e">
        <f t="shared" si="181"/>
        <v>#REF!</v>
      </c>
      <c r="BW111" s="1771" t="e">
        <f t="shared" si="181"/>
        <v>#REF!</v>
      </c>
      <c r="BX111" s="1771" t="e">
        <f t="shared" si="181"/>
        <v>#REF!</v>
      </c>
      <c r="BY111" s="1776" t="e">
        <f t="shared" si="181"/>
        <v>#REF!</v>
      </c>
      <c r="BZ111" s="1771" t="e">
        <f t="shared" si="181"/>
        <v>#REF!</v>
      </c>
      <c r="CA111" s="1771" t="e">
        <f t="shared" si="181"/>
        <v>#REF!</v>
      </c>
      <c r="CB111" s="1771" t="e">
        <f t="shared" si="181"/>
        <v>#REF!</v>
      </c>
      <c r="CC111" s="1771" t="e">
        <f t="shared" si="181"/>
        <v>#REF!</v>
      </c>
      <c r="CD111" s="1776" t="e">
        <f t="shared" si="181"/>
        <v>#REF!</v>
      </c>
      <c r="CE111" s="1771" t="e">
        <f t="shared" ref="CE111:CI111" si="182">CE107/CE$142</f>
        <v>#DIV/0!</v>
      </c>
      <c r="CF111" s="1771" t="e">
        <f t="shared" si="182"/>
        <v>#DIV/0!</v>
      </c>
      <c r="CG111" s="1771" t="e">
        <f t="shared" si="182"/>
        <v>#DIV/0!</v>
      </c>
      <c r="CH111" s="1771" t="e">
        <f t="shared" si="182"/>
        <v>#DIV/0!</v>
      </c>
      <c r="CI111" s="1776" t="e">
        <f t="shared" si="182"/>
        <v>#DIV/0!</v>
      </c>
      <c r="CJ111" s="1771" t="e">
        <f t="shared" ref="CJ111:CS111" si="183">CJ107/CJ$142</f>
        <v>#DIV/0!</v>
      </c>
      <c r="CK111" s="1771" t="e">
        <f t="shared" si="183"/>
        <v>#DIV/0!</v>
      </c>
      <c r="CL111" s="1771" t="e">
        <f t="shared" si="183"/>
        <v>#DIV/0!</v>
      </c>
      <c r="CM111" s="1771" t="e">
        <f t="shared" si="183"/>
        <v>#DIV/0!</v>
      </c>
      <c r="CN111" s="1776" t="e">
        <f t="shared" si="183"/>
        <v>#DIV/0!</v>
      </c>
      <c r="CO111" s="1771" t="e">
        <f t="shared" si="183"/>
        <v>#DIV/0!</v>
      </c>
      <c r="CP111" s="1771" t="e">
        <f t="shared" si="183"/>
        <v>#DIV/0!</v>
      </c>
      <c r="CQ111" s="1771" t="e">
        <f t="shared" si="183"/>
        <v>#DIV/0!</v>
      </c>
      <c r="CR111" s="1771" t="e">
        <f t="shared" si="183"/>
        <v>#DIV/0!</v>
      </c>
      <c r="CS111" s="1776" t="e">
        <f t="shared" si="183"/>
        <v>#DIV/0!</v>
      </c>
      <c r="CT111" s="1771" t="e">
        <f t="shared" ref="CT111:CX111" si="184">CT107/CT$142</f>
        <v>#DIV/0!</v>
      </c>
      <c r="CU111" s="1771" t="e">
        <f t="shared" si="184"/>
        <v>#DIV/0!</v>
      </c>
      <c r="CV111" s="1771" t="e">
        <f t="shared" si="184"/>
        <v>#DIV/0!</v>
      </c>
      <c r="CW111" s="1771">
        <f t="shared" si="184"/>
        <v>7.3630161426145035E-2</v>
      </c>
      <c r="CX111" s="1776">
        <f t="shared" si="184"/>
        <v>7.3630161426145035E-2</v>
      </c>
      <c r="CY111" s="1768"/>
      <c r="CZ111" s="1768"/>
      <c r="DA111" s="1769"/>
      <c r="DB111" s="1769"/>
      <c r="DC111" s="1769"/>
      <c r="DD111" s="1769"/>
      <c r="DE111" s="1769"/>
      <c r="DF111" s="1769"/>
      <c r="DG111" s="1772"/>
      <c r="DH111" s="1772"/>
      <c r="DI111" s="1769"/>
      <c r="DJ111" s="1772"/>
      <c r="DK111" s="1772"/>
      <c r="DL111" s="1772"/>
      <c r="DM111" s="1769"/>
      <c r="DN111" s="1769"/>
      <c r="DO111" s="1769"/>
      <c r="DP111" s="1769"/>
      <c r="DQ111" s="1769"/>
      <c r="DR111" s="1775"/>
      <c r="DS111" s="429"/>
      <c r="DT111" s="429"/>
      <c r="DU111" s="429"/>
      <c r="DV111" s="429"/>
      <c r="DW111" s="429"/>
      <c r="DX111" s="429"/>
      <c r="DY111" s="429"/>
      <c r="DZ111" s="429"/>
      <c r="EA111" s="429"/>
      <c r="EB111" s="429"/>
      <c r="EC111" s="429"/>
      <c r="ED111" s="429"/>
      <c r="EE111" s="429"/>
      <c r="EF111" s="429"/>
      <c r="EG111" s="429"/>
      <c r="EH111" s="429"/>
      <c r="EI111" s="429"/>
      <c r="EJ111" s="429"/>
      <c r="EK111" s="429"/>
      <c r="EL111" s="429"/>
      <c r="EM111" s="429"/>
      <c r="EN111" s="429"/>
      <c r="EO111" s="429"/>
      <c r="EP111" s="429"/>
      <c r="EQ111" s="429"/>
      <c r="ER111" s="429"/>
    </row>
    <row r="112" spans="1:148" s="937" customFormat="1" ht="12" hidden="1" outlineLevel="1">
      <c r="A112" s="1767" t="s">
        <v>987</v>
      </c>
      <c r="B112" s="1768"/>
      <c r="C112" s="1768"/>
      <c r="D112" s="1768"/>
      <c r="E112" s="1768"/>
      <c r="F112" s="1768"/>
      <c r="G112" s="1768"/>
      <c r="H112" s="1768"/>
      <c r="I112" s="1768"/>
      <c r="J112" s="1768"/>
      <c r="K112" s="1768"/>
      <c r="L112" s="1768"/>
      <c r="M112" s="1768"/>
      <c r="N112" s="1768"/>
      <c r="O112" s="1768"/>
      <c r="P112" s="1768"/>
      <c r="Q112" s="1768"/>
      <c r="R112" s="1768"/>
      <c r="S112" s="1768"/>
      <c r="T112" s="1768"/>
      <c r="U112" s="1768"/>
      <c r="V112" s="1768"/>
      <c r="W112" s="1768"/>
      <c r="X112" s="1768"/>
      <c r="Y112" s="1768"/>
      <c r="Z112" s="1768"/>
      <c r="AA112" s="1768"/>
      <c r="AB112" s="1768"/>
      <c r="AC112" s="1768"/>
      <c r="AD112" s="1768"/>
      <c r="AE112" s="1768"/>
      <c r="AF112" s="1768"/>
      <c r="AG112" s="1768"/>
      <c r="AH112" s="1768"/>
      <c r="AI112" s="1768"/>
      <c r="AJ112" s="1768"/>
      <c r="AK112" s="1768"/>
      <c r="AL112" s="1768"/>
      <c r="AM112" s="1768"/>
      <c r="AN112" s="1768"/>
      <c r="AO112" s="1768"/>
      <c r="AP112" s="1768"/>
      <c r="AQ112" s="1768"/>
      <c r="AR112" s="1768"/>
      <c r="AS112" s="1768"/>
      <c r="AT112" s="1768"/>
      <c r="AU112" s="1769"/>
      <c r="AV112" s="1768"/>
      <c r="AW112" s="1768"/>
      <c r="AX112" s="1768"/>
      <c r="AY112" s="1770"/>
      <c r="AZ112" s="1769"/>
      <c r="BA112" s="1771"/>
      <c r="BB112" s="1771"/>
      <c r="BC112" s="1771"/>
      <c r="BD112" s="1771"/>
      <c r="BE112" s="1769"/>
      <c r="BF112" s="1771"/>
      <c r="BG112" s="1771"/>
      <c r="BH112" s="1771"/>
      <c r="BI112" s="1771"/>
      <c r="BJ112" s="1769"/>
      <c r="BK112" s="1771"/>
      <c r="BL112" s="1771"/>
      <c r="BM112" s="1779">
        <f>BT101-BT107</f>
        <v>2659</v>
      </c>
      <c r="BN112" s="1771">
        <f>(BN101-BN107)/BI101-1</f>
        <v>-1.5484147386461011</v>
      </c>
      <c r="BO112" s="1769">
        <f>(BO101-BO107)/BJ101-1</f>
        <v>0.10060362173038229</v>
      </c>
      <c r="BP112" s="1771">
        <f>(BP101-BP107)/BK101-1</f>
        <v>-1.1107168204400284</v>
      </c>
      <c r="BQ112" s="1771">
        <f>(BQ101-BQ107)/BL101-1</f>
        <v>-0.61677852348993289</v>
      </c>
      <c r="BR112" s="1771">
        <f>(BR101-BR107)/BM101-1</f>
        <v>-0.78472222222222221</v>
      </c>
      <c r="BS112" s="1771">
        <f>(BS101-BS107)/(BN101-BN107)-1</f>
        <v>-2.0921875000000001</v>
      </c>
      <c r="BT112" s="1776">
        <f>(BT101-BT107)/(BO101-BO107)-1</f>
        <v>-0.62607228237941226</v>
      </c>
      <c r="BU112" s="1771"/>
      <c r="BV112" s="1771"/>
      <c r="BW112" s="1771"/>
      <c r="BX112" s="1771"/>
      <c r="BY112" s="1776"/>
      <c r="BZ112" s="1771"/>
      <c r="CA112" s="1771"/>
      <c r="CB112" s="1771"/>
      <c r="CC112" s="1771"/>
      <c r="CD112" s="1776"/>
      <c r="CE112" s="1771"/>
      <c r="CF112" s="1771"/>
      <c r="CG112" s="1771"/>
      <c r="CH112" s="1771"/>
      <c r="CI112" s="1776"/>
      <c r="CJ112" s="1771"/>
      <c r="CK112" s="1771"/>
      <c r="CL112" s="1771"/>
      <c r="CM112" s="1771"/>
      <c r="CN112" s="1776"/>
      <c r="CO112" s="1771"/>
      <c r="CP112" s="1771"/>
      <c r="CQ112" s="1771"/>
      <c r="CR112" s="1771"/>
      <c r="CS112" s="1776"/>
      <c r="CT112" s="1771"/>
      <c r="CU112" s="1771"/>
      <c r="CV112" s="1771"/>
      <c r="CW112" s="1771"/>
      <c r="CX112" s="1776"/>
      <c r="CY112" s="1768"/>
      <c r="CZ112" s="1768"/>
      <c r="DA112" s="1769"/>
      <c r="DB112" s="1769"/>
      <c r="DC112" s="1769"/>
      <c r="DD112" s="1769"/>
      <c r="DE112" s="1769"/>
      <c r="DF112" s="1769"/>
      <c r="DG112" s="1772"/>
      <c r="DH112" s="1772"/>
      <c r="DI112" s="1769"/>
      <c r="DJ112" s="1772"/>
      <c r="DK112" s="1772">
        <f>(DK101-DK107)/DJ101-1</f>
        <v>-0.66986268939393945</v>
      </c>
      <c r="DL112" s="1772" t="e">
        <f>(DL101-DL107)/(DK101-DK107)-1</f>
        <v>#REF!</v>
      </c>
      <c r="DM112" s="1769"/>
      <c r="DN112" s="1769"/>
      <c r="DO112" s="1769"/>
      <c r="DP112" s="1769"/>
      <c r="DQ112" s="1769"/>
      <c r="DR112" s="1775"/>
      <c r="DS112" s="429"/>
      <c r="DT112" s="429"/>
      <c r="DU112" s="429"/>
      <c r="DV112" s="429"/>
      <c r="DW112" s="429"/>
      <c r="DX112" s="429"/>
      <c r="DY112" s="429"/>
      <c r="DZ112" s="429"/>
      <c r="EA112" s="429"/>
      <c r="EB112" s="429"/>
      <c r="EC112" s="429"/>
      <c r="ED112" s="429"/>
      <c r="EE112" s="429"/>
      <c r="EF112" s="429"/>
      <c r="EG112" s="429"/>
      <c r="EH112" s="429"/>
      <c r="EI112" s="429"/>
      <c r="EJ112" s="429"/>
      <c r="EK112" s="429"/>
      <c r="EL112" s="429"/>
      <c r="EM112" s="429"/>
      <c r="EN112" s="429"/>
      <c r="EO112" s="429"/>
      <c r="EP112" s="429"/>
      <c r="EQ112" s="429"/>
      <c r="ER112" s="429"/>
    </row>
    <row r="113" spans="1:148" s="937" customFormat="1" ht="3.75" hidden="1" customHeight="1" outlineLevel="1">
      <c r="A113" s="1767"/>
      <c r="B113" s="1768"/>
      <c r="C113" s="1768"/>
      <c r="D113" s="1768"/>
      <c r="E113" s="1768"/>
      <c r="F113" s="1768"/>
      <c r="G113" s="1768"/>
      <c r="H113" s="1768"/>
      <c r="I113" s="1768"/>
      <c r="J113" s="1768"/>
      <c r="K113" s="1768"/>
      <c r="L113" s="1768"/>
      <c r="M113" s="1768"/>
      <c r="N113" s="1768"/>
      <c r="O113" s="1768"/>
      <c r="P113" s="1768"/>
      <c r="Q113" s="1768"/>
      <c r="R113" s="1768"/>
      <c r="S113" s="1768"/>
      <c r="T113" s="1768"/>
      <c r="U113" s="1768"/>
      <c r="V113" s="1768"/>
      <c r="W113" s="1768"/>
      <c r="X113" s="1768"/>
      <c r="Y113" s="1768"/>
      <c r="Z113" s="1768"/>
      <c r="AA113" s="1768"/>
      <c r="AB113" s="1768"/>
      <c r="AC113" s="1768"/>
      <c r="AD113" s="1768"/>
      <c r="AE113" s="1768"/>
      <c r="AF113" s="1768"/>
      <c r="AG113" s="1768"/>
      <c r="AH113" s="1768"/>
      <c r="AI113" s="1768"/>
      <c r="AJ113" s="1768"/>
      <c r="AK113" s="1768"/>
      <c r="AL113" s="1768"/>
      <c r="AM113" s="1768"/>
      <c r="AN113" s="1768"/>
      <c r="AO113" s="1768"/>
      <c r="AP113" s="1768"/>
      <c r="AQ113" s="1768"/>
      <c r="AR113" s="1768"/>
      <c r="AS113" s="1768"/>
      <c r="AT113" s="1768"/>
      <c r="AU113" s="1769"/>
      <c r="AV113" s="1768"/>
      <c r="AW113" s="1768"/>
      <c r="AX113" s="1768"/>
      <c r="AY113" s="1770"/>
      <c r="AZ113" s="1769"/>
      <c r="BA113" s="1771"/>
      <c r="BB113" s="1771"/>
      <c r="BC113" s="1771"/>
      <c r="BD113" s="1771"/>
      <c r="BE113" s="1769"/>
      <c r="BF113" s="1771"/>
      <c r="BG113" s="1771"/>
      <c r="BH113" s="1771"/>
      <c r="BI113" s="1771"/>
      <c r="BJ113" s="1769"/>
      <c r="BK113" s="1771"/>
      <c r="BL113" s="1771"/>
      <c r="BM113" s="1771"/>
      <c r="BN113" s="1771"/>
      <c r="BO113" s="1769"/>
      <c r="BP113" s="1771"/>
      <c r="BQ113" s="1771"/>
      <c r="BR113" s="1771"/>
      <c r="BS113" s="1771"/>
      <c r="BT113" s="1776"/>
      <c r="BU113" s="1771"/>
      <c r="BV113" s="1771"/>
      <c r="BW113" s="1771"/>
      <c r="BX113" s="1771"/>
      <c r="BY113" s="1776"/>
      <c r="BZ113" s="1771"/>
      <c r="CA113" s="1771"/>
      <c r="CB113" s="1771"/>
      <c r="CC113" s="1771"/>
      <c r="CD113" s="1776"/>
      <c r="CE113" s="1771"/>
      <c r="CF113" s="1771"/>
      <c r="CG113" s="1771"/>
      <c r="CH113" s="1771"/>
      <c r="CI113" s="1776"/>
      <c r="CJ113" s="1771"/>
      <c r="CK113" s="1771"/>
      <c r="CL113" s="1771"/>
      <c r="CM113" s="1771"/>
      <c r="CN113" s="1776"/>
      <c r="CO113" s="1771"/>
      <c r="CP113" s="1771"/>
      <c r="CQ113" s="1771"/>
      <c r="CR113" s="1771"/>
      <c r="CS113" s="1776"/>
      <c r="CT113" s="1771"/>
      <c r="CU113" s="1771"/>
      <c r="CV113" s="1771"/>
      <c r="CW113" s="1771"/>
      <c r="CX113" s="1776"/>
      <c r="CY113" s="1768"/>
      <c r="CZ113" s="1768"/>
      <c r="DA113" s="1769"/>
      <c r="DB113" s="1769"/>
      <c r="DC113" s="1769"/>
      <c r="DD113" s="1769"/>
      <c r="DE113" s="1769"/>
      <c r="DF113" s="1769"/>
      <c r="DG113" s="1772"/>
      <c r="DH113" s="1772"/>
      <c r="DI113" s="1769"/>
      <c r="DJ113" s="1772"/>
      <c r="DK113" s="1772"/>
      <c r="DL113" s="1772"/>
      <c r="DM113" s="1769"/>
      <c r="DN113" s="1769"/>
      <c r="DO113" s="1769"/>
      <c r="DP113" s="1769"/>
      <c r="DQ113" s="1769"/>
      <c r="DR113" s="1775"/>
      <c r="DS113" s="429"/>
      <c r="DT113" s="429"/>
      <c r="DU113" s="429"/>
      <c r="DV113" s="429"/>
      <c r="DW113" s="429"/>
      <c r="DX113" s="429"/>
      <c r="DY113" s="429"/>
      <c r="DZ113" s="429"/>
      <c r="EA113" s="429"/>
      <c r="EB113" s="429"/>
      <c r="EC113" s="429"/>
      <c r="ED113" s="429"/>
      <c r="EE113" s="429"/>
      <c r="EF113" s="429"/>
      <c r="EG113" s="429"/>
      <c r="EH113" s="429"/>
      <c r="EI113" s="429"/>
      <c r="EJ113" s="429"/>
      <c r="EK113" s="429"/>
      <c r="EL113" s="429"/>
      <c r="EM113" s="429"/>
      <c r="EN113" s="429"/>
      <c r="EO113" s="429"/>
      <c r="EP113" s="429"/>
      <c r="EQ113" s="429"/>
      <c r="ER113" s="429"/>
    </row>
    <row r="114" spans="1:148" s="934" customFormat="1" ht="12" hidden="1" outlineLevel="1">
      <c r="A114" s="1760" t="s">
        <v>213</v>
      </c>
      <c r="B114" s="1761"/>
      <c r="C114" s="1761"/>
      <c r="D114" s="1761"/>
      <c r="E114" s="1761"/>
      <c r="F114" s="1761"/>
      <c r="G114" s="1761"/>
      <c r="H114" s="1761"/>
      <c r="I114" s="1761"/>
      <c r="J114" s="1761"/>
      <c r="K114" s="1761"/>
      <c r="L114" s="1761"/>
      <c r="M114" s="1761"/>
      <c r="N114" s="1761"/>
      <c r="O114" s="1761"/>
      <c r="P114" s="1761"/>
      <c r="Q114" s="1761"/>
      <c r="R114" s="1761"/>
      <c r="S114" s="1761"/>
      <c r="T114" s="1761"/>
      <c r="U114" s="1761"/>
      <c r="V114" s="1761"/>
      <c r="W114" s="1761"/>
      <c r="X114" s="1761"/>
      <c r="Y114" s="1761"/>
      <c r="Z114" s="1761"/>
      <c r="AA114" s="1761"/>
      <c r="AB114" s="1761"/>
      <c r="AC114" s="1761"/>
      <c r="AD114" s="1761"/>
      <c r="AE114" s="1761"/>
      <c r="AF114" s="1761"/>
      <c r="AG114" s="1761"/>
      <c r="AH114" s="1761"/>
      <c r="AI114" s="1761"/>
      <c r="AJ114" s="1761"/>
      <c r="AK114" s="1761"/>
      <c r="AL114" s="1761"/>
      <c r="AM114" s="1761"/>
      <c r="AN114" s="1761"/>
      <c r="AO114" s="1761"/>
      <c r="AP114" s="1761"/>
      <c r="AQ114" s="1761"/>
      <c r="AR114" s="1761"/>
      <c r="AS114" s="1761"/>
      <c r="AT114" s="1761"/>
      <c r="AU114" s="1762"/>
      <c r="AV114" s="1761"/>
      <c r="AW114" s="1761"/>
      <c r="AX114" s="1761"/>
      <c r="AY114" s="1778"/>
      <c r="AZ114" s="1762"/>
      <c r="BA114" s="1763">
        <v>1515</v>
      </c>
      <c r="BB114" s="1763">
        <v>1738</v>
      </c>
      <c r="BC114" s="1763">
        <v>1437</v>
      </c>
      <c r="BD114" s="1763">
        <v>1513</v>
      </c>
      <c r="BE114" s="1762">
        <f>SUM(BA114:BD114)</f>
        <v>6203</v>
      </c>
      <c r="BF114" s="1763">
        <v>1400</v>
      </c>
      <c r="BG114" s="1763">
        <v>1999</v>
      </c>
      <c r="BH114" s="1763">
        <v>1656</v>
      </c>
      <c r="BI114" s="1763">
        <v>1563</v>
      </c>
      <c r="BJ114" s="1762">
        <f>SUM(BF114:BI114)</f>
        <v>6618</v>
      </c>
      <c r="BK114" s="1764">
        <v>1554</v>
      </c>
      <c r="BL114" s="1764">
        <v>1874</v>
      </c>
      <c r="BM114" s="1764">
        <v>1824</v>
      </c>
      <c r="BN114" s="1763">
        <v>1762</v>
      </c>
      <c r="BO114" s="1762">
        <f>SUM(BK114:BN114)</f>
        <v>7014</v>
      </c>
      <c r="BP114" s="1764">
        <v>1809</v>
      </c>
      <c r="BQ114" s="1764">
        <v>2436</v>
      </c>
      <c r="BR114" s="1764">
        <v>2280</v>
      </c>
      <c r="BS114" s="1763">
        <v>2300</v>
      </c>
      <c r="BT114" s="1762">
        <f>SUM(BP114:BS114)</f>
        <v>8825</v>
      </c>
      <c r="BU114" s="2802" t="e">
        <f>#REF!</f>
        <v>#REF!</v>
      </c>
      <c r="BV114" s="2802" t="e">
        <f>#REF!</f>
        <v>#REF!</v>
      </c>
      <c r="BW114" s="2803" t="e">
        <f>#REF!</f>
        <v>#REF!</v>
      </c>
      <c r="BX114" s="2803" t="e">
        <f>#REF!</f>
        <v>#REF!</v>
      </c>
      <c r="BY114" s="1762" t="e">
        <f>SUM(BU114:BX114)</f>
        <v>#REF!</v>
      </c>
      <c r="BZ114" s="2803" t="e">
        <f>#REF!</f>
        <v>#REF!</v>
      </c>
      <c r="CA114" s="2803" t="e">
        <f>#REF!</f>
        <v>#REF!</v>
      </c>
      <c r="CB114" s="2803" t="e">
        <f>#REF!</f>
        <v>#REF!</v>
      </c>
      <c r="CC114" s="2803" t="e">
        <f>#REF!</f>
        <v>#REF!</v>
      </c>
      <c r="CD114" s="1762" t="e">
        <f>SUM(BZ114:CC114)</f>
        <v>#REF!</v>
      </c>
      <c r="CE114" s="1765">
        <f>'Rev Detail - OLD'!BE318</f>
        <v>0</v>
      </c>
      <c r="CF114" s="1765">
        <f>'Rev Detail - OLD'!BF318</f>
        <v>0</v>
      </c>
      <c r="CG114" s="1765">
        <f>'Rev Detail - OLD'!BG318</f>
        <v>0</v>
      </c>
      <c r="CH114" s="1765">
        <f>'Rev Detail - OLD'!BH318</f>
        <v>0</v>
      </c>
      <c r="CI114" s="1762">
        <f>SUM(CE114:CH114)</f>
        <v>0</v>
      </c>
      <c r="CJ114" s="1765">
        <f>'Rev Detail - OLD'!BJ318</f>
        <v>0</v>
      </c>
      <c r="CK114" s="1765">
        <f>'Rev Detail - OLD'!BK318</f>
        <v>0</v>
      </c>
      <c r="CL114" s="1765">
        <f>'Rev Detail - OLD'!BL318</f>
        <v>0</v>
      </c>
      <c r="CM114" s="1765">
        <f>'Rev Detail - OLD'!BM318</f>
        <v>0</v>
      </c>
      <c r="CN114" s="1762">
        <f>SUM(CJ114:CM114)</f>
        <v>0</v>
      </c>
      <c r="CO114" s="1765">
        <f>'Rev Detail - OLD'!BO318</f>
        <v>0</v>
      </c>
      <c r="CP114" s="1765">
        <f>'Rev Detail - OLD'!BP318</f>
        <v>0</v>
      </c>
      <c r="CQ114" s="1765">
        <f>'Rev Detail - OLD'!BQ318</f>
        <v>0</v>
      </c>
      <c r="CR114" s="1765">
        <f>'Rev Detail - OLD'!BR318</f>
        <v>0</v>
      </c>
      <c r="CS114" s="1762">
        <f>SUM(CO114:CR114)</f>
        <v>0</v>
      </c>
      <c r="CT114" s="1765">
        <f>'Rev Detail - OLD'!BT318</f>
        <v>0</v>
      </c>
      <c r="CU114" s="1765">
        <f>'Rev Detail - OLD'!BU318</f>
        <v>0</v>
      </c>
      <c r="CV114" s="1765">
        <f>'Rev Detail - OLD'!BV318</f>
        <v>0</v>
      </c>
      <c r="CW114" s="1765">
        <f>'Rev Detail - OLD'!BW318</f>
        <v>7831</v>
      </c>
      <c r="CX114" s="1762">
        <f>SUM(CT114:CW114)</f>
        <v>7831</v>
      </c>
      <c r="CY114" s="1761"/>
      <c r="CZ114" s="1761"/>
      <c r="DA114" s="1762"/>
      <c r="DB114" s="1762"/>
      <c r="DC114" s="1762"/>
      <c r="DD114" s="1762"/>
      <c r="DE114" s="1762"/>
      <c r="DF114" s="1762"/>
      <c r="DG114" s="1766"/>
      <c r="DH114" s="1766"/>
      <c r="DI114" s="1762">
        <f>SUM(BC114:BD114,BF114:BG114)</f>
        <v>6349</v>
      </c>
      <c r="DJ114" s="1766">
        <f>SUM(BH114:BI114,BK114:BL114)</f>
        <v>6647</v>
      </c>
      <c r="DK114" s="1766">
        <f>SUM(BM114:BN114,BP114:BQ114)</f>
        <v>7831</v>
      </c>
      <c r="DL114" s="1766" t="e">
        <f>SUM(BU114:BV114,BR114:BS114)</f>
        <v>#REF!</v>
      </c>
      <c r="DM114" s="1762" t="e">
        <f>SUM(BW114:BX114,BZ114:CA114)</f>
        <v>#REF!</v>
      </c>
      <c r="DN114" s="1762" t="e">
        <f>SUM(CB114:CC114,CE114:CF114)</f>
        <v>#REF!</v>
      </c>
      <c r="DO114" s="1762"/>
      <c r="DP114" s="1762"/>
      <c r="DQ114" s="1762"/>
      <c r="DR114" s="1795"/>
      <c r="DS114" s="264"/>
      <c r="DT114" s="264"/>
      <c r="DU114" s="264"/>
      <c r="DV114" s="264"/>
      <c r="DW114" s="264"/>
      <c r="DX114" s="264"/>
      <c r="DY114" s="264"/>
      <c r="DZ114" s="264"/>
      <c r="EA114" s="264"/>
      <c r="EB114" s="264"/>
      <c r="EC114" s="264"/>
      <c r="ED114" s="264"/>
      <c r="EE114" s="264"/>
      <c r="EF114" s="264"/>
      <c r="EG114" s="264"/>
      <c r="EH114" s="264"/>
      <c r="EI114" s="264"/>
      <c r="EJ114" s="264"/>
      <c r="EK114" s="264"/>
      <c r="EL114" s="264"/>
      <c r="EM114" s="264"/>
      <c r="EN114" s="264"/>
      <c r="EO114" s="264"/>
      <c r="EP114" s="264"/>
      <c r="EQ114" s="264"/>
      <c r="ER114" s="264"/>
    </row>
    <row r="115" spans="1:148" s="937" customFormat="1" ht="12" hidden="1" outlineLevel="1">
      <c r="A115" s="1767" t="s">
        <v>717</v>
      </c>
      <c r="B115" s="1768"/>
      <c r="C115" s="1768"/>
      <c r="D115" s="1768"/>
      <c r="E115" s="1768"/>
      <c r="F115" s="1768"/>
      <c r="G115" s="1768"/>
      <c r="H115" s="1768"/>
      <c r="I115" s="1768"/>
      <c r="J115" s="1768"/>
      <c r="K115" s="1768"/>
      <c r="L115" s="1768"/>
      <c r="M115" s="1768"/>
      <c r="N115" s="1768"/>
      <c r="O115" s="1768"/>
      <c r="P115" s="1768"/>
      <c r="Q115" s="1768"/>
      <c r="R115" s="1768"/>
      <c r="S115" s="1768"/>
      <c r="T115" s="1768"/>
      <c r="U115" s="1768"/>
      <c r="V115" s="1768"/>
      <c r="W115" s="1768"/>
      <c r="X115" s="1768"/>
      <c r="Y115" s="1768"/>
      <c r="Z115" s="1768"/>
      <c r="AA115" s="1768"/>
      <c r="AB115" s="1768"/>
      <c r="AC115" s="1768"/>
      <c r="AD115" s="1768"/>
      <c r="AE115" s="1768"/>
      <c r="AF115" s="1768"/>
      <c r="AG115" s="1768"/>
      <c r="AH115" s="1768"/>
      <c r="AI115" s="1768"/>
      <c r="AJ115" s="1768"/>
      <c r="AK115" s="1768"/>
      <c r="AL115" s="1768"/>
      <c r="AM115" s="1768"/>
      <c r="AN115" s="1768"/>
      <c r="AO115" s="1768"/>
      <c r="AP115" s="1768"/>
      <c r="AQ115" s="1768"/>
      <c r="AR115" s="1768"/>
      <c r="AS115" s="1768"/>
      <c r="AT115" s="1768"/>
      <c r="AU115" s="1769"/>
      <c r="AV115" s="1768"/>
      <c r="AW115" s="1768"/>
      <c r="AX115" s="1768"/>
      <c r="AY115" s="1770"/>
      <c r="AZ115" s="1769"/>
      <c r="BA115" s="1771"/>
      <c r="BB115" s="1771"/>
      <c r="BC115" s="1771"/>
      <c r="BD115" s="1771"/>
      <c r="BE115" s="1769"/>
      <c r="BF115" s="1771">
        <f>IF(ISERROR(BF114/BA114-1),"",(BF114/BA114-1))</f>
        <v>-7.5907590759075938E-2</v>
      </c>
      <c r="BG115" s="1771">
        <f>IF(ISERROR(BG114/BB114-1),"",(BG114/BB114-1))</f>
        <v>0.15017261219792855</v>
      </c>
      <c r="BH115" s="1771">
        <f>IF(ISERROR(BH114/BC114-1),"",(BH114/BC114-1))</f>
        <v>0.15240083507306879</v>
      </c>
      <c r="BI115" s="1771">
        <f>IF(ISERROR(BI114/BD114-1),"",(BI114/BD114-1))</f>
        <v>3.3046926635822871E-2</v>
      </c>
      <c r="BJ115" s="1769">
        <f>BJ114/BE114-1</f>
        <v>6.6903111397710768E-2</v>
      </c>
      <c r="BK115" s="1771">
        <f>IF(ISERROR(BK114/BF114-1),"",(BK114/BF114-1))</f>
        <v>0.1100000000000001</v>
      </c>
      <c r="BL115" s="1771">
        <f>IF(ISERROR(BL114/BG114-1),"",(BL114/BG114-1))</f>
        <v>-6.2531265632816413E-2</v>
      </c>
      <c r="BM115" s="1771">
        <f>IF(ISERROR(BM114/BH114-1),"",(BM114/BH114-1))</f>
        <v>0.10144927536231885</v>
      </c>
      <c r="BN115" s="1771">
        <f>IF(ISERROR(BN114/BI114-1),"",(BN114/BI114-1))</f>
        <v>0.12731925783749198</v>
      </c>
      <c r="BO115" s="1769">
        <f>BO114/BJ114-1</f>
        <v>5.9836808703535915E-2</v>
      </c>
      <c r="BP115" s="1771">
        <f>IF(ISERROR(BP114/BK114-1),"",(BP114/BK114-1))</f>
        <v>0.1640926640926641</v>
      </c>
      <c r="BQ115" s="1771">
        <f>IF(ISERROR(BQ114/BL114-1),"",(BQ114/BL114-1))</f>
        <v>0.29989327641408758</v>
      </c>
      <c r="BR115" s="1771">
        <f>IF(ISERROR(BR114/BM114-1),"",(BR114/BM114-1))</f>
        <v>0.25</v>
      </c>
      <c r="BS115" s="1771">
        <f>IF(ISERROR(BS114/BN114-1),"",(BS114/BN114-1))</f>
        <v>0.30533484676503964</v>
      </c>
      <c r="BT115" s="1769">
        <f>BT114/BO114-1</f>
        <v>0.25819788993441684</v>
      </c>
      <c r="BU115" s="1771" t="str">
        <f>IF(ISERROR(BU114/BP114-1),"",(BU114/BP114-1))</f>
        <v/>
      </c>
      <c r="BV115" s="1771" t="str">
        <f>IF(ISERROR(BV114/BQ114-1),"",(BV114/BQ114-1))</f>
        <v/>
      </c>
      <c r="BW115" s="1771" t="str">
        <f>IF(ISERROR(BW114/BR114-1),"",(BW114/BR114-1))</f>
        <v/>
      </c>
      <c r="BX115" s="1771" t="str">
        <f>IF(ISERROR(BX114/BS114-1),"",(BX114/BS114-1))</f>
        <v/>
      </c>
      <c r="BY115" s="1769" t="e">
        <f>BY114/BT114-1</f>
        <v>#REF!</v>
      </c>
      <c r="BZ115" s="1771" t="str">
        <f>IF(ISERROR(BZ114/BU114-1),"",(BZ114/BU114-1))</f>
        <v/>
      </c>
      <c r="CA115" s="1771" t="str">
        <f>IF(ISERROR(CA114/BV114-1),"",(CA114/BV114-1))</f>
        <v/>
      </c>
      <c r="CB115" s="1771" t="str">
        <f>IF(ISERROR(CB114/BW114-1),"",(CB114/BW114-1))</f>
        <v/>
      </c>
      <c r="CC115" s="1771" t="str">
        <f>IF(ISERROR(CC114/BX114-1),"",(CC114/BX114-1))</f>
        <v/>
      </c>
      <c r="CD115" s="1769" t="e">
        <f>CD114/BY114-1</f>
        <v>#REF!</v>
      </c>
      <c r="CE115" s="1771" t="str">
        <f>IF(ISERROR(CE114/BZ114-1),"",(CE114/BZ114-1))</f>
        <v/>
      </c>
      <c r="CF115" s="1771" t="str">
        <f>IF(ISERROR(CF114/CA114-1),"",(CF114/CA114-1))</f>
        <v/>
      </c>
      <c r="CG115" s="1771" t="str">
        <f>IF(ISERROR(CG114/CB114-1),"",(CG114/CB114-1))</f>
        <v/>
      </c>
      <c r="CH115" s="1771" t="str">
        <f>IF(ISERROR(CH114/CC114-1),"",(CH114/CC114-1))</f>
        <v/>
      </c>
      <c r="CI115" s="1769" t="e">
        <f>CI114/CD114-1</f>
        <v>#REF!</v>
      </c>
      <c r="CJ115" s="1771" t="str">
        <f>IF(ISERROR(CJ114/CE114-1),"",(CJ114/CE114-1))</f>
        <v/>
      </c>
      <c r="CK115" s="1771" t="str">
        <f>IF(ISERROR(CK114/CF114-1),"",(CK114/CF114-1))</f>
        <v/>
      </c>
      <c r="CL115" s="1771" t="str">
        <f>IF(ISERROR(CL114/CG114-1),"",(CL114/CG114-1))</f>
        <v/>
      </c>
      <c r="CM115" s="1771" t="str">
        <f>IF(ISERROR(CM114/CH114-1),"",(CM114/CH114-1))</f>
        <v/>
      </c>
      <c r="CN115" s="1769" t="e">
        <f>CN114/CI114-1</f>
        <v>#DIV/0!</v>
      </c>
      <c r="CO115" s="1771" t="str">
        <f>IF(ISERROR(CO114/CJ114-1),"",(CO114/CJ114-1))</f>
        <v/>
      </c>
      <c r="CP115" s="1771" t="str">
        <f>IF(ISERROR(CP114/CK114-1),"",(CP114/CK114-1))</f>
        <v/>
      </c>
      <c r="CQ115" s="1771" t="str">
        <f>IF(ISERROR(CQ114/CL114-1),"",(CQ114/CL114-1))</f>
        <v/>
      </c>
      <c r="CR115" s="1771" t="str">
        <f>IF(ISERROR(CR114/CM114-1),"",(CR114/CM114-1))</f>
        <v/>
      </c>
      <c r="CS115" s="1769" t="e">
        <f>CS114/CN114-1</f>
        <v>#DIV/0!</v>
      </c>
      <c r="CT115" s="1771" t="str">
        <f>IF(ISERROR(CT114/CO114-1),"",(CT114/CO114-1))</f>
        <v/>
      </c>
      <c r="CU115" s="1771" t="str">
        <f>IF(ISERROR(CU114/CP114-1),"",(CU114/CP114-1))</f>
        <v/>
      </c>
      <c r="CV115" s="1771" t="str">
        <f>IF(ISERROR(CV114/CQ114-1),"",(CV114/CQ114-1))</f>
        <v/>
      </c>
      <c r="CW115" s="1771" t="str">
        <f>IF(ISERROR(CW114/CR114-1),"",(CW114/CR114-1))</f>
        <v/>
      </c>
      <c r="CX115" s="1769" t="e">
        <f>CX114/CS114-1</f>
        <v>#DIV/0!</v>
      </c>
      <c r="CY115" s="1768"/>
      <c r="CZ115" s="1768"/>
      <c r="DA115" s="1769"/>
      <c r="DB115" s="1769"/>
      <c r="DC115" s="1769"/>
      <c r="DD115" s="1769"/>
      <c r="DE115" s="1769"/>
      <c r="DF115" s="1769"/>
      <c r="DG115" s="1772"/>
      <c r="DH115" s="1772"/>
      <c r="DI115" s="1769"/>
      <c r="DJ115" s="1772">
        <f>DJ114/DI114-1</f>
        <v>4.6936525437076604E-2</v>
      </c>
      <c r="DK115" s="1773">
        <f>DK114/DJ114-1</f>
        <v>0.17812547013690394</v>
      </c>
      <c r="DL115" s="1773" t="e">
        <f>DL114/DK114-1</f>
        <v>#REF!</v>
      </c>
      <c r="DM115" s="1774" t="e">
        <f>DM114/DL114-1</f>
        <v>#REF!</v>
      </c>
      <c r="DN115" s="1774" t="e">
        <f>DN114/DM114-1</f>
        <v>#REF!</v>
      </c>
      <c r="DO115" s="1774"/>
      <c r="DP115" s="1774"/>
      <c r="DQ115" s="1774"/>
      <c r="DR115" s="1785"/>
      <c r="DS115" s="429"/>
      <c r="DT115" s="429"/>
      <c r="DU115" s="429"/>
      <c r="DV115" s="429"/>
      <c r="DW115" s="429"/>
      <c r="DX115" s="429"/>
      <c r="DY115" s="429"/>
      <c r="DZ115" s="429"/>
      <c r="EA115" s="429"/>
      <c r="EB115" s="429"/>
      <c r="EC115" s="429"/>
      <c r="ED115" s="429"/>
      <c r="EE115" s="429"/>
      <c r="EF115" s="429"/>
      <c r="EG115" s="429"/>
      <c r="EH115" s="429"/>
      <c r="EI115" s="429"/>
      <c r="EJ115" s="429"/>
      <c r="EK115" s="429"/>
      <c r="EL115" s="429"/>
      <c r="EM115" s="429"/>
      <c r="EN115" s="429"/>
      <c r="EO115" s="429"/>
      <c r="EP115" s="429"/>
      <c r="EQ115" s="429"/>
      <c r="ER115" s="429"/>
    </row>
    <row r="116" spans="1:148" s="937" customFormat="1" ht="12" hidden="1" outlineLevel="1">
      <c r="A116" s="1767" t="s">
        <v>1027</v>
      </c>
      <c r="B116" s="1768"/>
      <c r="C116" s="1768"/>
      <c r="D116" s="1768"/>
      <c r="E116" s="1768"/>
      <c r="F116" s="1768"/>
      <c r="G116" s="1768"/>
      <c r="H116" s="1768"/>
      <c r="I116" s="1768"/>
      <c r="J116" s="1768"/>
      <c r="K116" s="1768"/>
      <c r="L116" s="1768"/>
      <c r="M116" s="1768"/>
      <c r="N116" s="1768"/>
      <c r="O116" s="1768"/>
      <c r="P116" s="1768"/>
      <c r="Q116" s="1768"/>
      <c r="R116" s="1768"/>
      <c r="S116" s="1768"/>
      <c r="T116" s="1768"/>
      <c r="U116" s="1768"/>
      <c r="V116" s="1768"/>
      <c r="W116" s="1768"/>
      <c r="X116" s="1768"/>
      <c r="Y116" s="1768"/>
      <c r="Z116" s="1768"/>
      <c r="AA116" s="1768"/>
      <c r="AB116" s="1768"/>
      <c r="AC116" s="1768"/>
      <c r="AD116" s="1768"/>
      <c r="AE116" s="1768"/>
      <c r="AF116" s="1768"/>
      <c r="AG116" s="1768"/>
      <c r="AH116" s="1768"/>
      <c r="AI116" s="1768"/>
      <c r="AJ116" s="1768"/>
      <c r="AK116" s="1768"/>
      <c r="AL116" s="1768"/>
      <c r="AM116" s="1768"/>
      <c r="AN116" s="1768"/>
      <c r="AO116" s="1768"/>
      <c r="AP116" s="1768"/>
      <c r="AQ116" s="1768"/>
      <c r="AR116" s="1768"/>
      <c r="AS116" s="1768"/>
      <c r="AT116" s="1768"/>
      <c r="AU116" s="1769"/>
      <c r="AV116" s="1768"/>
      <c r="AW116" s="1768"/>
      <c r="AX116" s="1768"/>
      <c r="AY116" s="1770"/>
      <c r="AZ116" s="1769"/>
      <c r="BA116" s="1771"/>
      <c r="BB116" s="1771"/>
      <c r="BC116" s="1771"/>
      <c r="BD116" s="1771"/>
      <c r="BE116" s="1769"/>
      <c r="BF116" s="1771"/>
      <c r="BG116" s="1771"/>
      <c r="BH116" s="1771"/>
      <c r="BI116" s="1771"/>
      <c r="BJ116" s="1769"/>
      <c r="BK116" s="1771"/>
      <c r="BL116" s="1771"/>
      <c r="BM116" s="1771"/>
      <c r="BN116" s="1771"/>
      <c r="BO116" s="1769"/>
      <c r="BP116" s="1771"/>
      <c r="BQ116" s="1771">
        <f>BQ115+1%</f>
        <v>0.30989327641408759</v>
      </c>
      <c r="BR116" s="1771">
        <v>0.28000000000000003</v>
      </c>
      <c r="BS116" s="1771">
        <v>0.35</v>
      </c>
      <c r="BT116" s="1769"/>
      <c r="BU116" s="1771"/>
      <c r="BV116" s="1771"/>
      <c r="BW116" s="1771"/>
      <c r="BX116" s="1771"/>
      <c r="BY116" s="1769"/>
      <c r="BZ116" s="1771"/>
      <c r="CA116" s="1771"/>
      <c r="CB116" s="1771"/>
      <c r="CC116" s="1771"/>
      <c r="CD116" s="1769"/>
      <c r="CE116" s="1771"/>
      <c r="CF116" s="1771"/>
      <c r="CG116" s="1771"/>
      <c r="CH116" s="1771"/>
      <c r="CI116" s="1769"/>
      <c r="CJ116" s="1771"/>
      <c r="CK116" s="1771"/>
      <c r="CL116" s="1771"/>
      <c r="CM116" s="1771"/>
      <c r="CN116" s="1769"/>
      <c r="CO116" s="1771"/>
      <c r="CP116" s="1771"/>
      <c r="CQ116" s="1771"/>
      <c r="CR116" s="1771"/>
      <c r="CS116" s="1769"/>
      <c r="CT116" s="1771"/>
      <c r="CU116" s="1771"/>
      <c r="CV116" s="1771"/>
      <c r="CW116" s="1771"/>
      <c r="CX116" s="1769"/>
      <c r="CY116" s="1768"/>
      <c r="CZ116" s="1768"/>
      <c r="DA116" s="1769"/>
      <c r="DB116" s="1769"/>
      <c r="DC116" s="1769"/>
      <c r="DD116" s="1769"/>
      <c r="DE116" s="1769"/>
      <c r="DF116" s="1769"/>
      <c r="DG116" s="1772"/>
      <c r="DH116" s="1772"/>
      <c r="DI116" s="1769"/>
      <c r="DJ116" s="1772"/>
      <c r="DK116" s="1773"/>
      <c r="DL116" s="1773"/>
      <c r="DM116" s="1774"/>
      <c r="DN116" s="1774"/>
      <c r="DO116" s="1774"/>
      <c r="DP116" s="1774"/>
      <c r="DQ116" s="1774"/>
      <c r="DR116" s="1785"/>
      <c r="DS116" s="429"/>
      <c r="DT116" s="429"/>
      <c r="DU116" s="429"/>
      <c r="DV116" s="429"/>
      <c r="DW116" s="429"/>
      <c r="DX116" s="429"/>
      <c r="DY116" s="429"/>
      <c r="DZ116" s="429"/>
      <c r="EA116" s="429"/>
      <c r="EB116" s="429"/>
      <c r="EC116" s="429"/>
      <c r="ED116" s="429"/>
      <c r="EE116" s="429"/>
      <c r="EF116" s="429"/>
      <c r="EG116" s="429"/>
      <c r="EH116" s="429"/>
      <c r="EI116" s="429"/>
      <c r="EJ116" s="429"/>
      <c r="EK116" s="429"/>
      <c r="EL116" s="429"/>
      <c r="EM116" s="429"/>
      <c r="EN116" s="429"/>
      <c r="EO116" s="429"/>
      <c r="EP116" s="429"/>
      <c r="EQ116" s="429"/>
      <c r="ER116" s="429"/>
    </row>
    <row r="117" spans="1:148" s="937" customFormat="1" ht="12" hidden="1" outlineLevel="1">
      <c r="A117" s="1767" t="s">
        <v>718</v>
      </c>
      <c r="B117" s="1768"/>
      <c r="C117" s="1768"/>
      <c r="D117" s="1768"/>
      <c r="E117" s="1768"/>
      <c r="F117" s="1768"/>
      <c r="G117" s="1768"/>
      <c r="H117" s="1768"/>
      <c r="I117" s="1768"/>
      <c r="J117" s="1768"/>
      <c r="K117" s="1768"/>
      <c r="L117" s="1768"/>
      <c r="M117" s="1768"/>
      <c r="N117" s="1768"/>
      <c r="O117" s="1768"/>
      <c r="P117" s="1768"/>
      <c r="Q117" s="1768"/>
      <c r="R117" s="1768"/>
      <c r="S117" s="1768"/>
      <c r="T117" s="1768"/>
      <c r="U117" s="1768"/>
      <c r="V117" s="1768"/>
      <c r="W117" s="1768"/>
      <c r="X117" s="1768"/>
      <c r="Y117" s="1768"/>
      <c r="Z117" s="1768"/>
      <c r="AA117" s="1768"/>
      <c r="AB117" s="1768"/>
      <c r="AC117" s="1768"/>
      <c r="AD117" s="1768"/>
      <c r="AE117" s="1768"/>
      <c r="AF117" s="1768"/>
      <c r="AG117" s="1768"/>
      <c r="AH117" s="1768"/>
      <c r="AI117" s="1768"/>
      <c r="AJ117" s="1768"/>
      <c r="AK117" s="1768"/>
      <c r="AL117" s="1768"/>
      <c r="AM117" s="1768"/>
      <c r="AN117" s="1768"/>
      <c r="AO117" s="1768"/>
      <c r="AP117" s="1768"/>
      <c r="AQ117" s="1768"/>
      <c r="AR117" s="1768"/>
      <c r="AS117" s="1768"/>
      <c r="AT117" s="1768"/>
      <c r="AU117" s="1769"/>
      <c r="AV117" s="1768"/>
      <c r="AW117" s="1768"/>
      <c r="AX117" s="1768"/>
      <c r="AY117" s="1770"/>
      <c r="AZ117" s="1769"/>
      <c r="BA117" s="1775" t="str">
        <f>IF(ISERROR(BA114/AY114-1),"",(BA114/AY114-1))</f>
        <v/>
      </c>
      <c r="BB117" s="1775">
        <f>IF(ISERROR(BB114/BA114-1),"",(BB114/BA114-1))</f>
        <v>0.14719471947194718</v>
      </c>
      <c r="BC117" s="1775">
        <f>IF(ISERROR(BC114/BB114-1),"",(BC114/BB114-1))</f>
        <v>-0.17318757192174916</v>
      </c>
      <c r="BD117" s="1775">
        <f>IF(ISERROR(BD114/BC114-1),"",(BD114/BC114-1))</f>
        <v>5.2887961029923547E-2</v>
      </c>
      <c r="BE117" s="1769"/>
      <c r="BF117" s="1775">
        <f>IF(ISERROR(BF114/BD114-1),"",(BF114/BD114-1))</f>
        <v>-7.4686054196959728E-2</v>
      </c>
      <c r="BG117" s="1775">
        <f>IF(ISERROR(BG114/BF114-1),"",(BG114/BF114-1))</f>
        <v>0.42785714285714294</v>
      </c>
      <c r="BH117" s="1775">
        <f>IF(ISERROR(BH114/BG114-1),"",(BH114/BG114-1))</f>
        <v>-0.17158579289644826</v>
      </c>
      <c r="BI117" s="1775">
        <f>IF(ISERROR(BI114/BH114-1),"",(BI114/BH114-1))</f>
        <v>-5.61594202898551E-2</v>
      </c>
      <c r="BJ117" s="1769"/>
      <c r="BK117" s="1775">
        <f>IF(ISERROR(BK114/BI114-1),"",(BK114/BI114-1))</f>
        <v>-5.7581573896353655E-3</v>
      </c>
      <c r="BL117" s="1775">
        <f>IF(ISERROR(BL114/BK114-1),"",(BL114/BK114-1))</f>
        <v>0.20592020592020588</v>
      </c>
      <c r="BM117" s="1775">
        <f>IF(ISERROR(BM114/BL114-1),"",(BM114/BL114-1))</f>
        <v>-2.6680896478121663E-2</v>
      </c>
      <c r="BN117" s="1775">
        <f>IF(ISERROR(BN114/BM114-1),"",(BN114/BM114-1))</f>
        <v>-3.3991228070175405E-2</v>
      </c>
      <c r="BO117" s="1769"/>
      <c r="BP117" s="1775">
        <f>IF(ISERROR(BP114/BN114-1),"",(BP114/BN114-1))</f>
        <v>2.6674233825198623E-2</v>
      </c>
      <c r="BQ117" s="1775">
        <f>IF(ISERROR(BQ114/BP114-1),"",(BQ114/BP114-1))</f>
        <v>0.34660033167495863</v>
      </c>
      <c r="BR117" s="1775">
        <f>IF(ISERROR(BR114/BQ114-1),"",(BR114/BQ114-1))</f>
        <v>-6.4039408866995107E-2</v>
      </c>
      <c r="BS117" s="1775">
        <f>IF(ISERROR(BS114/BR114-1),"",(BS114/BR114-1))</f>
        <v>8.7719298245614308E-3</v>
      </c>
      <c r="BT117" s="1769"/>
      <c r="BU117" s="1775" t="str">
        <f>IF(ISERROR(BU114/BS114-1),"",(BU114/BS114-1))</f>
        <v/>
      </c>
      <c r="BV117" s="1775" t="str">
        <f>IF(ISERROR(BV114/BU114-1),"",(BV114/BU114-1))</f>
        <v/>
      </c>
      <c r="BW117" s="1775" t="str">
        <f>IF(ISERROR(BW114/BV114-1),"",(BW114/BV114-1))</f>
        <v/>
      </c>
      <c r="BX117" s="1775" t="str">
        <f>IF(ISERROR(BX114/BW114-1),"",(BX114/BW114-1))</f>
        <v/>
      </c>
      <c r="BY117" s="1769"/>
      <c r="BZ117" s="1775" t="str">
        <f>IF(ISERROR(BZ114/BX114-1),"",(BZ114/BX114-1))</f>
        <v/>
      </c>
      <c r="CA117" s="1775" t="str">
        <f>IF(ISERROR(CA114/BZ114-1),"",(CA114/BZ114-1))</f>
        <v/>
      </c>
      <c r="CB117" s="1775" t="str">
        <f>IF(ISERROR(CB114/CA114-1),"",(CB114/CA114-1))</f>
        <v/>
      </c>
      <c r="CC117" s="1775" t="str">
        <f>IF(ISERROR(CC114/CB114-1),"",(CC114/CB114-1))</f>
        <v/>
      </c>
      <c r="CD117" s="1769"/>
      <c r="CE117" s="1775" t="str">
        <f>IF(ISERROR(CE114/CC114-1),"",(CE114/CC114-1))</f>
        <v/>
      </c>
      <c r="CF117" s="1775" t="str">
        <f>IF(ISERROR(CF114/CE114-1),"",(CF114/CE114-1))</f>
        <v/>
      </c>
      <c r="CG117" s="1775" t="str">
        <f>IF(ISERROR(CG114/CF114-1),"",(CG114/CF114-1))</f>
        <v/>
      </c>
      <c r="CH117" s="1775" t="str">
        <f>IF(ISERROR(CH114/CG114-1),"",(CH114/CG114-1))</f>
        <v/>
      </c>
      <c r="CI117" s="1769"/>
      <c r="CJ117" s="1775" t="str">
        <f>IF(ISERROR(CJ114/CH114-1),"",(CJ114/CH114-1))</f>
        <v/>
      </c>
      <c r="CK117" s="1775" t="str">
        <f>IF(ISERROR(CK114/CJ114-1),"",(CK114/CJ114-1))</f>
        <v/>
      </c>
      <c r="CL117" s="1775" t="str">
        <f>IF(ISERROR(CL114/CK114-1),"",(CL114/CK114-1))</f>
        <v/>
      </c>
      <c r="CM117" s="1775" t="str">
        <f>IF(ISERROR(CM114/CL114-1),"",(CM114/CL114-1))</f>
        <v/>
      </c>
      <c r="CN117" s="1769"/>
      <c r="CO117" s="1775" t="str">
        <f>IF(ISERROR(CO114/CM114-1),"",(CO114/CM114-1))</f>
        <v/>
      </c>
      <c r="CP117" s="1775" t="str">
        <f>IF(ISERROR(CP114/CO114-1),"",(CP114/CO114-1))</f>
        <v/>
      </c>
      <c r="CQ117" s="1775" t="str">
        <f>IF(ISERROR(CQ114/CP114-1),"",(CQ114/CP114-1))</f>
        <v/>
      </c>
      <c r="CR117" s="1775" t="str">
        <f>IF(ISERROR(CR114/CQ114-1),"",(CR114/CQ114-1))</f>
        <v/>
      </c>
      <c r="CS117" s="1769"/>
      <c r="CT117" s="1775" t="str">
        <f>IF(ISERROR(CT114/CR114-1),"",(CT114/CR114-1))</f>
        <v/>
      </c>
      <c r="CU117" s="1775" t="str">
        <f>IF(ISERROR(CU114/CT114-1),"",(CU114/CT114-1))</f>
        <v/>
      </c>
      <c r="CV117" s="1775" t="str">
        <f>IF(ISERROR(CV114/CU114-1),"",(CV114/CU114-1))</f>
        <v/>
      </c>
      <c r="CW117" s="1775" t="str">
        <f>IF(ISERROR(CW114/CV114-1),"",(CW114/CV114-1))</f>
        <v/>
      </c>
      <c r="CX117" s="1769"/>
      <c r="CY117" s="1768"/>
      <c r="CZ117" s="1768"/>
      <c r="DA117" s="1769"/>
      <c r="DB117" s="1769"/>
      <c r="DC117" s="1769"/>
      <c r="DD117" s="1769"/>
      <c r="DE117" s="1769"/>
      <c r="DF117" s="1769"/>
      <c r="DG117" s="1772"/>
      <c r="DH117" s="1772"/>
      <c r="DI117" s="1769"/>
      <c r="DJ117" s="1772"/>
      <c r="DK117" s="1772"/>
      <c r="DL117" s="1772"/>
      <c r="DM117" s="1769"/>
      <c r="DN117" s="1769"/>
      <c r="DO117" s="1769"/>
      <c r="DP117" s="1769"/>
      <c r="DQ117" s="1769"/>
      <c r="DR117" s="1775"/>
      <c r="DS117" s="429"/>
      <c r="DT117" s="429"/>
      <c r="DU117" s="429"/>
      <c r="DV117" s="429"/>
      <c r="DW117" s="429"/>
      <c r="DX117" s="429"/>
      <c r="DY117" s="429"/>
      <c r="DZ117" s="429"/>
      <c r="EA117" s="429"/>
      <c r="EB117" s="429"/>
      <c r="EC117" s="429"/>
      <c r="ED117" s="429"/>
      <c r="EE117" s="429"/>
      <c r="EF117" s="429"/>
      <c r="EG117" s="429"/>
      <c r="EH117" s="429"/>
      <c r="EI117" s="429"/>
      <c r="EJ117" s="429"/>
      <c r="EK117" s="429"/>
      <c r="EL117" s="429"/>
      <c r="EM117" s="429"/>
      <c r="EN117" s="429"/>
      <c r="EO117" s="429"/>
      <c r="EP117" s="429"/>
      <c r="EQ117" s="429"/>
      <c r="ER117" s="429"/>
    </row>
    <row r="118" spans="1:148" s="937" customFormat="1" ht="12" hidden="1" outlineLevel="1">
      <c r="A118" s="1767" t="s">
        <v>482</v>
      </c>
      <c r="B118" s="1768"/>
      <c r="C118" s="1768"/>
      <c r="D118" s="1768"/>
      <c r="E118" s="1768"/>
      <c r="F118" s="1768"/>
      <c r="G118" s="1768"/>
      <c r="H118" s="1768"/>
      <c r="I118" s="1768"/>
      <c r="J118" s="1768"/>
      <c r="K118" s="1768"/>
      <c r="L118" s="1768"/>
      <c r="M118" s="1768"/>
      <c r="N118" s="1768"/>
      <c r="O118" s="1768"/>
      <c r="P118" s="1768"/>
      <c r="Q118" s="1768"/>
      <c r="R118" s="1768"/>
      <c r="S118" s="1768"/>
      <c r="T118" s="1768"/>
      <c r="U118" s="1768"/>
      <c r="V118" s="1768"/>
      <c r="W118" s="1768"/>
      <c r="X118" s="1768"/>
      <c r="Y118" s="1768"/>
      <c r="Z118" s="1768"/>
      <c r="AA118" s="1768"/>
      <c r="AB118" s="1768"/>
      <c r="AC118" s="1768"/>
      <c r="AD118" s="1768"/>
      <c r="AE118" s="1768"/>
      <c r="AF118" s="1768"/>
      <c r="AG118" s="1768"/>
      <c r="AH118" s="1768"/>
      <c r="AI118" s="1768"/>
      <c r="AJ118" s="1768"/>
      <c r="AK118" s="1768"/>
      <c r="AL118" s="1768"/>
      <c r="AM118" s="1768"/>
      <c r="AN118" s="1768"/>
      <c r="AO118" s="1768"/>
      <c r="AP118" s="1768"/>
      <c r="AQ118" s="1768"/>
      <c r="AR118" s="1768"/>
      <c r="AS118" s="1768"/>
      <c r="AT118" s="1768"/>
      <c r="AU118" s="1769"/>
      <c r="AV118" s="1768"/>
      <c r="AW118" s="1768"/>
      <c r="AX118" s="1768"/>
      <c r="AY118" s="1780"/>
      <c r="AZ118" s="1769"/>
      <c r="BA118" s="1771">
        <f t="shared" ref="BA118:CI118" si="185">BA114/BA$142</f>
        <v>8.7209302325581398E-2</v>
      </c>
      <c r="BB118" s="1771">
        <f t="shared" si="185"/>
        <v>8.3217620301651904E-2</v>
      </c>
      <c r="BC118" s="1771">
        <f t="shared" si="185"/>
        <v>8.2552995921181135E-2</v>
      </c>
      <c r="BD118" s="1771">
        <f t="shared" si="185"/>
        <v>8.3780940251398192E-2</v>
      </c>
      <c r="BE118" s="1769">
        <f t="shared" si="185"/>
        <v>8.4139278108595686E-2</v>
      </c>
      <c r="BF118" s="1771">
        <f t="shared" si="185"/>
        <v>8.7456271864067972E-2</v>
      </c>
      <c r="BG118" s="1771">
        <f t="shared" si="185"/>
        <v>9.3167412378821771E-2</v>
      </c>
      <c r="BH118" s="1771">
        <f t="shared" si="185"/>
        <v>8.0823856703597055E-2</v>
      </c>
      <c r="BI118" s="1771">
        <f t="shared" si="185"/>
        <v>7.8558504221954165E-2</v>
      </c>
      <c r="BJ118" s="1769">
        <f t="shared" si="185"/>
        <v>8.501072589243279E-2</v>
      </c>
      <c r="BK118" s="1771">
        <f t="shared" si="185"/>
        <v>8.3868530411786935E-2</v>
      </c>
      <c r="BL118" s="1771">
        <f t="shared" si="185"/>
        <v>7.643052326766997E-2</v>
      </c>
      <c r="BM118" s="1771">
        <f t="shared" si="185"/>
        <v>8.9398617850316137E-2</v>
      </c>
      <c r="BN118" s="1771">
        <f t="shared" si="185"/>
        <v>7.5357112308613458E-2</v>
      </c>
      <c r="BO118" s="1769">
        <f t="shared" si="185"/>
        <v>8.0775741941427795E-2</v>
      </c>
      <c r="BP118" s="1771">
        <f t="shared" si="185"/>
        <v>7.7970777121675786E-2</v>
      </c>
      <c r="BQ118" s="1771">
        <f t="shared" si="185"/>
        <v>9.2028711749149977E-2</v>
      </c>
      <c r="BR118" s="1771">
        <f t="shared" si="185"/>
        <v>0.10492889686593952</v>
      </c>
      <c r="BS118" s="1771">
        <f t="shared" si="185"/>
        <v>0.1036970243462579</v>
      </c>
      <c r="BT118" s="1776">
        <f t="shared" si="185"/>
        <v>9.4304338533874765E-2</v>
      </c>
      <c r="BU118" s="1771" t="e">
        <f>BU114/BU$142</f>
        <v>#REF!</v>
      </c>
      <c r="BV118" s="1771" t="e">
        <f>BV114/BV$142</f>
        <v>#REF!</v>
      </c>
      <c r="BW118" s="1771" t="e">
        <f>BW114/BW$142</f>
        <v>#REF!</v>
      </c>
      <c r="BX118" s="1771" t="e">
        <f>BX114/BX$142</f>
        <v>#REF!</v>
      </c>
      <c r="BY118" s="1776" t="e">
        <f t="shared" ref="BY118:CD118" si="186">BY114/BY$142</f>
        <v>#REF!</v>
      </c>
      <c r="BZ118" s="1771" t="e">
        <f t="shared" si="186"/>
        <v>#REF!</v>
      </c>
      <c r="CA118" s="1771" t="e">
        <f t="shared" si="186"/>
        <v>#REF!</v>
      </c>
      <c r="CB118" s="1771" t="e">
        <f t="shared" si="186"/>
        <v>#REF!</v>
      </c>
      <c r="CC118" s="1771" t="e">
        <f t="shared" si="186"/>
        <v>#REF!</v>
      </c>
      <c r="CD118" s="1776" t="e">
        <f t="shared" si="186"/>
        <v>#REF!</v>
      </c>
      <c r="CE118" s="1771" t="e">
        <f t="shared" si="185"/>
        <v>#DIV/0!</v>
      </c>
      <c r="CF118" s="1771" t="e">
        <f t="shared" si="185"/>
        <v>#DIV/0!</v>
      </c>
      <c r="CG118" s="1771" t="e">
        <f t="shared" si="185"/>
        <v>#DIV/0!</v>
      </c>
      <c r="CH118" s="1771" t="e">
        <f t="shared" si="185"/>
        <v>#DIV/0!</v>
      </c>
      <c r="CI118" s="1776" t="e">
        <f t="shared" si="185"/>
        <v>#DIV/0!</v>
      </c>
      <c r="CJ118" s="1771" t="e">
        <f t="shared" ref="CJ118:CS118" si="187">CJ114/CJ$142</f>
        <v>#DIV/0!</v>
      </c>
      <c r="CK118" s="1771" t="e">
        <f t="shared" si="187"/>
        <v>#DIV/0!</v>
      </c>
      <c r="CL118" s="1771" t="e">
        <f t="shared" si="187"/>
        <v>#DIV/0!</v>
      </c>
      <c r="CM118" s="1771" t="e">
        <f t="shared" si="187"/>
        <v>#DIV/0!</v>
      </c>
      <c r="CN118" s="1776" t="e">
        <f t="shared" si="187"/>
        <v>#DIV/0!</v>
      </c>
      <c r="CO118" s="1771" t="e">
        <f t="shared" si="187"/>
        <v>#DIV/0!</v>
      </c>
      <c r="CP118" s="1771" t="e">
        <f t="shared" si="187"/>
        <v>#DIV/0!</v>
      </c>
      <c r="CQ118" s="1771" t="e">
        <f t="shared" si="187"/>
        <v>#DIV/0!</v>
      </c>
      <c r="CR118" s="1771" t="e">
        <f t="shared" si="187"/>
        <v>#DIV/0!</v>
      </c>
      <c r="CS118" s="1776" t="e">
        <f t="shared" si="187"/>
        <v>#DIV/0!</v>
      </c>
      <c r="CT118" s="1771" t="e">
        <f t="shared" ref="CT118:CX118" si="188">CT114/CT$142</f>
        <v>#DIV/0!</v>
      </c>
      <c r="CU118" s="1771" t="e">
        <f t="shared" si="188"/>
        <v>#DIV/0!</v>
      </c>
      <c r="CV118" s="1771" t="e">
        <f t="shared" si="188"/>
        <v>#DIV/0!</v>
      </c>
      <c r="CW118" s="1771">
        <f t="shared" si="188"/>
        <v>8.3828126115067861E-2</v>
      </c>
      <c r="CX118" s="1776">
        <f t="shared" si="188"/>
        <v>8.3828126115067861E-2</v>
      </c>
      <c r="CY118" s="1768"/>
      <c r="CZ118" s="1768"/>
      <c r="DA118" s="1769"/>
      <c r="DB118" s="1769"/>
      <c r="DC118" s="1769"/>
      <c r="DD118" s="1769"/>
      <c r="DE118" s="1769"/>
      <c r="DF118" s="1769"/>
      <c r="DG118" s="1772"/>
      <c r="DH118" s="1772"/>
      <c r="DI118" s="1769"/>
      <c r="DJ118" s="1772"/>
      <c r="DK118" s="1772"/>
      <c r="DL118" s="1772"/>
      <c r="DM118" s="1769"/>
      <c r="DN118" s="1769"/>
      <c r="DO118" s="1769"/>
      <c r="DP118" s="1769"/>
      <c r="DQ118" s="1769"/>
      <c r="DR118" s="1775"/>
      <c r="DS118" s="429"/>
      <c r="DT118" s="429"/>
      <c r="DU118" s="429"/>
      <c r="DV118" s="429"/>
      <c r="DW118" s="429"/>
      <c r="DX118" s="429"/>
      <c r="DY118" s="429"/>
      <c r="DZ118" s="429"/>
      <c r="EA118" s="429"/>
      <c r="EB118" s="429"/>
      <c r="EC118" s="429"/>
      <c r="ED118" s="429"/>
      <c r="EE118" s="429"/>
      <c r="EF118" s="429"/>
      <c r="EG118" s="429"/>
      <c r="EH118" s="429"/>
      <c r="EI118" s="429"/>
      <c r="EJ118" s="429"/>
      <c r="EK118" s="429"/>
      <c r="EL118" s="429"/>
      <c r="EM118" s="429"/>
      <c r="EN118" s="429"/>
      <c r="EO118" s="429"/>
      <c r="EP118" s="429"/>
      <c r="EQ118" s="429"/>
      <c r="ER118" s="429"/>
    </row>
    <row r="119" spans="1:148" s="938" customFormat="1" ht="12" hidden="1" outlineLevel="1">
      <c r="A119" s="1781" t="s">
        <v>721</v>
      </c>
      <c r="B119" s="1758"/>
      <c r="C119" s="1758"/>
      <c r="D119" s="1758"/>
      <c r="E119" s="1758"/>
      <c r="F119" s="1758"/>
      <c r="G119" s="1758"/>
      <c r="H119" s="1758"/>
      <c r="I119" s="1758"/>
      <c r="J119" s="1758"/>
      <c r="K119" s="1758"/>
      <c r="L119" s="1758"/>
      <c r="M119" s="1758"/>
      <c r="N119" s="1758"/>
      <c r="O119" s="1758"/>
      <c r="P119" s="1758"/>
      <c r="Q119" s="1758"/>
      <c r="R119" s="1758"/>
      <c r="S119" s="1758"/>
      <c r="T119" s="1758"/>
      <c r="U119" s="1758"/>
      <c r="V119" s="1758"/>
      <c r="W119" s="1758"/>
      <c r="X119" s="1758"/>
      <c r="Y119" s="1758"/>
      <c r="Z119" s="1758"/>
      <c r="AA119" s="1758"/>
      <c r="AB119" s="1758"/>
      <c r="AC119" s="1758"/>
      <c r="AD119" s="1758"/>
      <c r="AE119" s="1758"/>
      <c r="AF119" s="1758"/>
      <c r="AG119" s="1758"/>
      <c r="AH119" s="1758"/>
      <c r="AI119" s="1758"/>
      <c r="AJ119" s="1758"/>
      <c r="AK119" s="1758"/>
      <c r="AL119" s="1758"/>
      <c r="AM119" s="1758"/>
      <c r="AN119" s="1758"/>
      <c r="AO119" s="1758"/>
      <c r="AP119" s="1758"/>
      <c r="AQ119" s="1758"/>
      <c r="AR119" s="1758"/>
      <c r="AS119" s="1758"/>
      <c r="AT119" s="1758"/>
      <c r="AU119" s="1782"/>
      <c r="AV119" s="1758"/>
      <c r="AW119" s="1758"/>
      <c r="AX119" s="1758"/>
      <c r="AY119" s="1778"/>
      <c r="AZ119" s="1782"/>
      <c r="BA119" s="1783">
        <f>BA114+BA101+BA96</f>
        <v>7974</v>
      </c>
      <c r="BB119" s="1783">
        <f>BB114+BB101+BB96</f>
        <v>10109</v>
      </c>
      <c r="BC119" s="1783">
        <f>BC114+BC101+BC96</f>
        <v>7153</v>
      </c>
      <c r="BD119" s="1783">
        <f>BD114+BD101+BD96</f>
        <v>7202</v>
      </c>
      <c r="BE119" s="1782">
        <f>BE114+BE101+BE96</f>
        <v>32438</v>
      </c>
      <c r="BF119" s="1783">
        <f>BF114+BF101+BF96+BF107</f>
        <v>7162</v>
      </c>
      <c r="BG119" s="1783">
        <f>BG114+BG101+BG96+BG107</f>
        <v>10510</v>
      </c>
      <c r="BH119" s="1783">
        <f>BH114+BH101+BH96+BH107</f>
        <v>7410</v>
      </c>
      <c r="BI119" s="1783">
        <f>BI114+BI101+BI96+BI107</f>
        <v>7018</v>
      </c>
      <c r="BJ119" s="1782">
        <f>SUM(BF119:BI119)</f>
        <v>32100</v>
      </c>
      <c r="BK119" s="1783">
        <f>BK114+BK101+BK96+BK107</f>
        <v>7447</v>
      </c>
      <c r="BL119" s="1783">
        <f>BL114+BL101+BL96+BL107</f>
        <v>11888</v>
      </c>
      <c r="BM119" s="1783">
        <f>BM114+BM101+BM96+BM107</f>
        <v>8293</v>
      </c>
      <c r="BN119" s="1783">
        <f>BN114+BN101+BN96+BN107</f>
        <v>9989</v>
      </c>
      <c r="BO119" s="1782">
        <f>SUM(BK119:BN119)</f>
        <v>37617</v>
      </c>
      <c r="BP119" s="1783">
        <f>BP114+BP101+BP96+BP107</f>
        <v>10964</v>
      </c>
      <c r="BQ119" s="1783">
        <f>BQ114+BQ101+BQ96+BQ107</f>
        <v>12884</v>
      </c>
      <c r="BR119" s="1783">
        <f>BR114+BR101+BR96+BR107</f>
        <v>8953</v>
      </c>
      <c r="BS119" s="1783">
        <f>BS114+BS101+BS96+BS107</f>
        <v>8700</v>
      </c>
      <c r="BT119" s="1782">
        <f>SUM(BP119:BS119)</f>
        <v>41501</v>
      </c>
      <c r="BU119" s="1783" t="e">
        <f>BU114+BU101+BU96+BU107</f>
        <v>#REF!</v>
      </c>
      <c r="BV119" s="1783" t="e">
        <f>BV114+BV101+BV96+BV107</f>
        <v>#REF!</v>
      </c>
      <c r="BW119" s="1783" t="e">
        <f>BW114+BW101+BW96+BW107</f>
        <v>#REF!</v>
      </c>
      <c r="BX119" s="1783" t="e">
        <f>BX114+BX101+BX96+BX107</f>
        <v>#REF!</v>
      </c>
      <c r="BY119" s="1782" t="e">
        <f>SUM(BU119:BX119)</f>
        <v>#REF!</v>
      </c>
      <c r="BZ119" s="1783" t="e">
        <f>BZ114+BZ101+BZ96+BZ107</f>
        <v>#REF!</v>
      </c>
      <c r="CA119" s="1783" t="e">
        <f>CA114+CA101+CA96+CA107</f>
        <v>#REF!</v>
      </c>
      <c r="CB119" s="1783" t="e">
        <f>CB114+CB101+CB96+CB107</f>
        <v>#REF!</v>
      </c>
      <c r="CC119" s="1783" t="e">
        <f>CC114+CC101+CC96+CC107</f>
        <v>#REF!</v>
      </c>
      <c r="CD119" s="1782" t="e">
        <f>SUM(BZ119:CC119)</f>
        <v>#REF!</v>
      </c>
      <c r="CE119" s="1783">
        <f>CE114+CE101+CE96+CE107</f>
        <v>0</v>
      </c>
      <c r="CF119" s="1783">
        <f>CF114+CF101+CF96+CF107</f>
        <v>0</v>
      </c>
      <c r="CG119" s="1783">
        <f>CG114+CG101+CG96+CG107</f>
        <v>0</v>
      </c>
      <c r="CH119" s="1783">
        <f>CH114+CH101+CH96+CH107</f>
        <v>0</v>
      </c>
      <c r="CI119" s="1782">
        <f>SUM(CE119:CH119)</f>
        <v>0</v>
      </c>
      <c r="CJ119" s="1783">
        <f>CJ114+CJ101+CJ96+CJ107</f>
        <v>0</v>
      </c>
      <c r="CK119" s="1783">
        <f>CK114+CK101+CK96+CK107</f>
        <v>0</v>
      </c>
      <c r="CL119" s="1783">
        <f>CL114+CL101+CL96+CL107</f>
        <v>0</v>
      </c>
      <c r="CM119" s="1783">
        <f>CM114+CM101+CM96+CM107</f>
        <v>0</v>
      </c>
      <c r="CN119" s="1782">
        <f>SUM(CJ119:CM119)</f>
        <v>0</v>
      </c>
      <c r="CO119" s="1783">
        <f>CO114+CO101+CO96+CO107</f>
        <v>0</v>
      </c>
      <c r="CP119" s="1783">
        <f>CP114+CP101+CP96+CP107</f>
        <v>0</v>
      </c>
      <c r="CQ119" s="1783">
        <f>CQ114+CQ101+CQ96+CQ107</f>
        <v>0</v>
      </c>
      <c r="CR119" s="1783">
        <f>CR114+CR101+CR96+CR107</f>
        <v>0</v>
      </c>
      <c r="CS119" s="1782">
        <f>SUM(CO119:CR119)</f>
        <v>0</v>
      </c>
      <c r="CT119" s="1783">
        <f>CT114+CT101+CT96+CT107</f>
        <v>0</v>
      </c>
      <c r="CU119" s="1783">
        <f>CU114+CU101+CU96+CU107</f>
        <v>0</v>
      </c>
      <c r="CV119" s="1783">
        <f>CV114+CV101+CV96+CV107</f>
        <v>0</v>
      </c>
      <c r="CW119" s="1783">
        <f>CW114+CW101+CW96+CW107</f>
        <v>42133.333333333336</v>
      </c>
      <c r="CX119" s="1782">
        <f>SUM(CT119:CW119)</f>
        <v>42133.333333333336</v>
      </c>
      <c r="CY119" s="1758"/>
      <c r="CZ119" s="1758"/>
      <c r="DA119" s="1782"/>
      <c r="DB119" s="1782"/>
      <c r="DC119" s="1782"/>
      <c r="DD119" s="1782"/>
      <c r="DE119" s="1782"/>
      <c r="DF119" s="1782"/>
      <c r="DG119" s="1784"/>
      <c r="DH119" s="1784"/>
      <c r="DI119" s="1782">
        <f>SUM(BC119:BD119,BF119:BG119)</f>
        <v>32027</v>
      </c>
      <c r="DJ119" s="1784">
        <f>SUM(BH119:BI119,BK119:BL119)</f>
        <v>33763</v>
      </c>
      <c r="DK119" s="1784">
        <f>SUM(BM119:BN119,BP119:BQ119)</f>
        <v>42130</v>
      </c>
      <c r="DL119" s="1784" t="e">
        <f>SUM(BU119:BV119,BR119:BS119)</f>
        <v>#REF!</v>
      </c>
      <c r="DM119" s="1782" t="e">
        <f>SUM(BW119:BX119,BZ119:CA119)</f>
        <v>#REF!</v>
      </c>
      <c r="DN119" s="1782" t="e">
        <f>SUM(CB119:CC119,CE119:CF119)</f>
        <v>#REF!</v>
      </c>
      <c r="DO119" s="1782"/>
      <c r="DP119" s="1782"/>
      <c r="DQ119" s="1782"/>
      <c r="DR119" s="1783"/>
      <c r="DS119" s="936"/>
      <c r="DT119" s="936"/>
      <c r="DU119" s="936"/>
      <c r="DV119" s="936"/>
      <c r="DW119" s="936"/>
      <c r="DX119" s="936"/>
      <c r="DY119" s="936"/>
      <c r="DZ119" s="936"/>
      <c r="EA119" s="936"/>
      <c r="EB119" s="936"/>
      <c r="EC119" s="936"/>
      <c r="ED119" s="936"/>
      <c r="EE119" s="936"/>
      <c r="EF119" s="936"/>
      <c r="EG119" s="936"/>
      <c r="EH119" s="936"/>
      <c r="EI119" s="936"/>
      <c r="EJ119" s="936"/>
      <c r="EK119" s="936"/>
      <c r="EL119" s="936"/>
      <c r="EM119" s="936"/>
      <c r="EN119" s="936"/>
      <c r="EO119" s="936"/>
      <c r="EP119" s="936"/>
      <c r="EQ119" s="936"/>
      <c r="ER119" s="936"/>
    </row>
    <row r="120" spans="1:148" s="939" customFormat="1" ht="12" hidden="1" outlineLevel="1">
      <c r="A120" s="1760" t="s">
        <v>717</v>
      </c>
      <c r="B120" s="1778"/>
      <c r="C120" s="1778"/>
      <c r="D120" s="1778"/>
      <c r="E120" s="1778"/>
      <c r="F120" s="1778"/>
      <c r="G120" s="1778"/>
      <c r="H120" s="1778"/>
      <c r="I120" s="1778"/>
      <c r="J120" s="1778"/>
      <c r="K120" s="1778"/>
      <c r="L120" s="1778"/>
      <c r="M120" s="1778"/>
      <c r="N120" s="1778"/>
      <c r="O120" s="1778"/>
      <c r="P120" s="1778"/>
      <c r="Q120" s="1778"/>
      <c r="R120" s="1778"/>
      <c r="S120" s="1778"/>
      <c r="T120" s="1778"/>
      <c r="U120" s="1778"/>
      <c r="V120" s="1778"/>
      <c r="W120" s="1778"/>
      <c r="X120" s="1778"/>
      <c r="Y120" s="1778"/>
      <c r="Z120" s="1778"/>
      <c r="AA120" s="1778"/>
      <c r="AB120" s="1778"/>
      <c r="AC120" s="1778"/>
      <c r="AD120" s="1778"/>
      <c r="AE120" s="1778"/>
      <c r="AF120" s="1778"/>
      <c r="AG120" s="1778"/>
      <c r="AH120" s="1778"/>
      <c r="AI120" s="1778"/>
      <c r="AJ120" s="1778"/>
      <c r="AK120" s="1778"/>
      <c r="AL120" s="1778"/>
      <c r="AM120" s="1778"/>
      <c r="AN120" s="1778"/>
      <c r="AO120" s="1778"/>
      <c r="AP120" s="1778"/>
      <c r="AQ120" s="1778"/>
      <c r="AR120" s="1778"/>
      <c r="AS120" s="1778"/>
      <c r="AT120" s="1778"/>
      <c r="AU120" s="1774"/>
      <c r="AV120" s="1778"/>
      <c r="AW120" s="1778"/>
      <c r="AX120" s="1778"/>
      <c r="AY120" s="1778"/>
      <c r="AZ120" s="1774"/>
      <c r="BA120" s="1785" t="str">
        <f>IF(ISERROR(BA119/AV119-1),"",(BA119/AV119-1))</f>
        <v/>
      </c>
      <c r="BB120" s="1785" t="str">
        <f>IF(ISERROR(BB119/AW119-1),"",(BB119/AW119-1))</f>
        <v/>
      </c>
      <c r="BC120" s="1785" t="str">
        <f>IF(ISERROR(BC119/AX119-1),"",(BC119/AX119-1))</f>
        <v/>
      </c>
      <c r="BD120" s="1785" t="str">
        <f>IF(ISERROR(BD119/AY119-1),"",(BD119/AY119-1))</f>
        <v/>
      </c>
      <c r="BE120" s="1774"/>
      <c r="BF120" s="1785">
        <f>IF(ISERROR(BF119/BA119-1),"",(BF119/BA119-1))</f>
        <v>-0.1018309505894156</v>
      </c>
      <c r="BG120" s="1785">
        <f>IF(ISERROR(BG119/BB119-1),"",(BG119/BB119-1))</f>
        <v>3.9667622910277922E-2</v>
      </c>
      <c r="BH120" s="1785">
        <f>IF(ISERROR(BH119/BC119-1),"",(BH119/BC119-1))</f>
        <v>3.5928980847196978E-2</v>
      </c>
      <c r="BI120" s="1785">
        <f>IF(ISERROR(BI119/BD119-1),"",(BI119/BD119-1))</f>
        <v>-2.5548458761455173E-2</v>
      </c>
      <c r="BJ120" s="1774">
        <f>BJ119/BE119-1</f>
        <v>-1.0419877920956888E-2</v>
      </c>
      <c r="BK120" s="1785">
        <f>IF(ISERROR(BK119/BF119-1),"",(BK119/BF119-1))</f>
        <v>3.9793353811784504E-2</v>
      </c>
      <c r="BL120" s="1785">
        <f>IF(ISERROR(BL119/BG119-1),"",(BL119/BG119-1))</f>
        <v>0.1311132254995242</v>
      </c>
      <c r="BM120" s="1785">
        <f>IF(ISERROR(BM119/BH119-1),"",(BM119/BH119-1))</f>
        <v>0.11916329284750327</v>
      </c>
      <c r="BN120" s="1785">
        <f>IF(ISERROR(BN119/BI119-1),"",(BN119/BI119-1))</f>
        <v>0.42333998290111152</v>
      </c>
      <c r="BO120" s="1774">
        <f>BO119/BJ119-1</f>
        <v>0.17186915887850462</v>
      </c>
      <c r="BP120" s="1785">
        <f>IF(ISERROR(BP119/BK119-1),"",(BP119/BK119-1))</f>
        <v>0.47227071303880752</v>
      </c>
      <c r="BQ120" s="1785">
        <f>IF(ISERROR(BQ119/BL119-1),"",(BQ119/BL119-1))</f>
        <v>8.378196500672952E-2</v>
      </c>
      <c r="BR120" s="1785">
        <f>IF(ISERROR(BR119/BM119-1),"",(BR119/BM119-1))</f>
        <v>7.958519233088146E-2</v>
      </c>
      <c r="BS120" s="1785">
        <f>IF(ISERROR(BS119/BN119-1),"",(BS119/BN119-1))</f>
        <v>-0.12904194614075482</v>
      </c>
      <c r="BT120" s="1774">
        <f>BT119/BO119-1</f>
        <v>0.10325118962171365</v>
      </c>
      <c r="BU120" s="1785" t="str">
        <f>IF(ISERROR(BU119/BP119-1),"",(BU119/BP119-1))</f>
        <v/>
      </c>
      <c r="BV120" s="1785" t="str">
        <f>IF(ISERROR(BV119/BQ119-1),"",(BV119/BQ119-1))</f>
        <v/>
      </c>
      <c r="BW120" s="1785" t="str">
        <f>IF(ISERROR(BW119/BR119-1),"",(BW119/BR119-1))</f>
        <v/>
      </c>
      <c r="BX120" s="1785" t="str">
        <f>IF(ISERROR(BX119/BS119-1),"",(BX119/BS119-1))</f>
        <v/>
      </c>
      <c r="BY120" s="1774" t="e">
        <f>BY119/BT119-1</f>
        <v>#REF!</v>
      </c>
      <c r="BZ120" s="1785" t="str">
        <f>IF(ISERROR(BZ119/BU119-1),"",(BZ119/BU119-1))</f>
        <v/>
      </c>
      <c r="CA120" s="1785" t="str">
        <f>IF(ISERROR(CA119/BV119-1),"",(CA119/BV119-1))</f>
        <v/>
      </c>
      <c r="CB120" s="1785" t="str">
        <f>IF(ISERROR(CB119/BW119-1),"",(CB119/BW119-1))</f>
        <v/>
      </c>
      <c r="CC120" s="1785" t="str">
        <f>IF(ISERROR(CC119/BX119-1),"",(CC119/BX119-1))</f>
        <v/>
      </c>
      <c r="CD120" s="1774" t="e">
        <f>CD119/BY119-1</f>
        <v>#REF!</v>
      </c>
      <c r="CE120" s="1785" t="str">
        <f>IF(ISERROR(CE119/BZ119-1),"",(CE119/BZ119-1))</f>
        <v/>
      </c>
      <c r="CF120" s="1785" t="str">
        <f>IF(ISERROR(CF119/CA119-1),"",(CF119/CA119-1))</f>
        <v/>
      </c>
      <c r="CG120" s="1785" t="str">
        <f>IF(ISERROR(CG119/CB119-1),"",(CG119/CB119-1))</f>
        <v/>
      </c>
      <c r="CH120" s="1785" t="str">
        <f>IF(ISERROR(CH119/CC119-1),"",(CH119/CC119-1))</f>
        <v/>
      </c>
      <c r="CI120" s="1774" t="e">
        <f>CI119/CD119-1</f>
        <v>#REF!</v>
      </c>
      <c r="CJ120" s="1785" t="str">
        <f>IF(ISERROR(CJ119/CE119-1),"",(CJ119/CE119-1))</f>
        <v/>
      </c>
      <c r="CK120" s="1785" t="str">
        <f>IF(ISERROR(CK119/CF119-1),"",(CK119/CF119-1))</f>
        <v/>
      </c>
      <c r="CL120" s="1785" t="str">
        <f>IF(ISERROR(CL119/CG119-1),"",(CL119/CG119-1))</f>
        <v/>
      </c>
      <c r="CM120" s="1785" t="str">
        <f>IF(ISERROR(CM119/CH119-1),"",(CM119/CH119-1))</f>
        <v/>
      </c>
      <c r="CN120" s="1774" t="e">
        <f>CN119/CI119-1</f>
        <v>#DIV/0!</v>
      </c>
      <c r="CO120" s="1785" t="str">
        <f>IF(ISERROR(CO119/CJ119-1),"",(CO119/CJ119-1))</f>
        <v/>
      </c>
      <c r="CP120" s="1785" t="str">
        <f>IF(ISERROR(CP119/CK119-1),"",(CP119/CK119-1))</f>
        <v/>
      </c>
      <c r="CQ120" s="1785" t="str">
        <f>IF(ISERROR(CQ119/CL119-1),"",(CQ119/CL119-1))</f>
        <v/>
      </c>
      <c r="CR120" s="1785" t="str">
        <f>IF(ISERROR(CR119/CM119-1),"",(CR119/CM119-1))</f>
        <v/>
      </c>
      <c r="CS120" s="1774" t="e">
        <f>CS119/CN119-1</f>
        <v>#DIV/0!</v>
      </c>
      <c r="CT120" s="1785" t="str">
        <f>IF(ISERROR(CT119/CO119-1),"",(CT119/CO119-1))</f>
        <v/>
      </c>
      <c r="CU120" s="1785" t="str">
        <f>IF(ISERROR(CU119/CP119-1),"",(CU119/CP119-1))</f>
        <v/>
      </c>
      <c r="CV120" s="1785" t="str">
        <f>IF(ISERROR(CV119/CQ119-1),"",(CV119/CQ119-1))</f>
        <v/>
      </c>
      <c r="CW120" s="1785" t="str">
        <f>IF(ISERROR(CW119/CR119-1),"",(CW119/CR119-1))</f>
        <v/>
      </c>
      <c r="CX120" s="1774" t="e">
        <f>CX119/CS119-1</f>
        <v>#DIV/0!</v>
      </c>
      <c r="CY120" s="1778"/>
      <c r="CZ120" s="1778"/>
      <c r="DA120" s="1774"/>
      <c r="DB120" s="1774"/>
      <c r="DC120" s="1774"/>
      <c r="DD120" s="1774"/>
      <c r="DE120" s="1774"/>
      <c r="DF120" s="1774"/>
      <c r="DG120" s="1773"/>
      <c r="DH120" s="1773"/>
      <c r="DI120" s="1774"/>
      <c r="DJ120" s="1773">
        <f>DJ119/DI119-1</f>
        <v>5.420426515127863E-2</v>
      </c>
      <c r="DK120" s="1773">
        <f>DK119/DJ119-1</f>
        <v>0.2478156561916891</v>
      </c>
      <c r="DL120" s="1773" t="e">
        <f>DL119/DK119-1</f>
        <v>#REF!</v>
      </c>
      <c r="DM120" s="1774" t="e">
        <f>DM119/DL119-1</f>
        <v>#REF!</v>
      </c>
      <c r="DN120" s="1774" t="e">
        <f>DN119/DM119-1</f>
        <v>#REF!</v>
      </c>
      <c r="DO120" s="1774"/>
      <c r="DP120" s="1774"/>
      <c r="DQ120" s="1774"/>
      <c r="DR120" s="1785"/>
      <c r="DS120" s="253"/>
      <c r="DT120" s="253"/>
      <c r="DU120" s="253"/>
      <c r="DV120" s="253"/>
      <c r="DW120" s="253"/>
      <c r="DX120" s="253"/>
      <c r="DY120" s="253"/>
      <c r="DZ120" s="253"/>
      <c r="EA120" s="253"/>
      <c r="EB120" s="253"/>
      <c r="EC120" s="253"/>
      <c r="ED120" s="253"/>
      <c r="EE120" s="253"/>
      <c r="EF120" s="253"/>
      <c r="EG120" s="253"/>
      <c r="EH120" s="253"/>
      <c r="EI120" s="253"/>
      <c r="EJ120" s="253"/>
      <c r="EK120" s="253"/>
      <c r="EL120" s="253"/>
      <c r="EM120" s="253"/>
      <c r="EN120" s="253"/>
      <c r="EO120" s="253"/>
      <c r="EP120" s="253"/>
      <c r="EQ120" s="253"/>
      <c r="ER120" s="253"/>
    </row>
    <row r="121" spans="1:148" s="934" customFormat="1" ht="12" hidden="1" outlineLevel="1">
      <c r="A121" s="1760" t="s">
        <v>1027</v>
      </c>
      <c r="B121" s="1761"/>
      <c r="C121" s="1761"/>
      <c r="D121" s="1761"/>
      <c r="E121" s="1761"/>
      <c r="F121" s="1761"/>
      <c r="G121" s="1761"/>
      <c r="H121" s="1761"/>
      <c r="I121" s="1761"/>
      <c r="J121" s="1761"/>
      <c r="K121" s="1761"/>
      <c r="L121" s="1761"/>
      <c r="M121" s="1761"/>
      <c r="N121" s="1761"/>
      <c r="O121" s="1761"/>
      <c r="P121" s="1761"/>
      <c r="Q121" s="1761"/>
      <c r="R121" s="1761"/>
      <c r="S121" s="1761"/>
      <c r="T121" s="1761"/>
      <c r="U121" s="1761"/>
      <c r="V121" s="1761"/>
      <c r="W121" s="1761"/>
      <c r="X121" s="1761"/>
      <c r="Y121" s="1761"/>
      <c r="Z121" s="1761"/>
      <c r="AA121" s="1761"/>
      <c r="AB121" s="1761"/>
      <c r="AC121" s="1761"/>
      <c r="AD121" s="1761"/>
      <c r="AE121" s="1761"/>
      <c r="AF121" s="1761"/>
      <c r="AG121" s="1761"/>
      <c r="AH121" s="1761"/>
      <c r="AI121" s="1761"/>
      <c r="AJ121" s="1761"/>
      <c r="AK121" s="1761"/>
      <c r="AL121" s="1761"/>
      <c r="AM121" s="1761"/>
      <c r="AN121" s="1761"/>
      <c r="AO121" s="1761"/>
      <c r="AP121" s="1761"/>
      <c r="AQ121" s="1761"/>
      <c r="AR121" s="1761"/>
      <c r="AS121" s="1761"/>
      <c r="AT121" s="1761"/>
      <c r="AU121" s="1774"/>
      <c r="AV121" s="1761"/>
      <c r="AW121" s="1761"/>
      <c r="AX121" s="1761"/>
      <c r="AY121" s="1778"/>
      <c r="AZ121" s="1774"/>
      <c r="BA121" s="1786"/>
      <c r="BB121" s="1786"/>
      <c r="BC121" s="1786"/>
      <c r="BD121" s="1786"/>
      <c r="BE121" s="1774"/>
      <c r="BF121" s="1786"/>
      <c r="BG121" s="1786"/>
      <c r="BH121" s="1786"/>
      <c r="BI121" s="1786"/>
      <c r="BJ121" s="1774"/>
      <c r="BK121" s="1786"/>
      <c r="BL121" s="1786"/>
      <c r="BM121" s="1786"/>
      <c r="BN121" s="1786"/>
      <c r="BO121" s="1774"/>
      <c r="BP121" s="1786"/>
      <c r="BQ121" s="1786">
        <f>BQ120+1%</f>
        <v>9.3781965006729515E-2</v>
      </c>
      <c r="BR121" s="1786">
        <v>0.11</v>
      </c>
      <c r="BS121" s="1786">
        <v>-0.1</v>
      </c>
      <c r="BT121" s="1774"/>
      <c r="BU121" s="1786"/>
      <c r="BV121" s="1786"/>
      <c r="BW121" s="1786"/>
      <c r="BX121" s="1786"/>
      <c r="BY121" s="1774"/>
      <c r="BZ121" s="1786"/>
      <c r="CA121" s="1786"/>
      <c r="CB121" s="1786"/>
      <c r="CC121" s="1786"/>
      <c r="CD121" s="1774"/>
      <c r="CE121" s="1786"/>
      <c r="CF121" s="1786"/>
      <c r="CG121" s="1786"/>
      <c r="CH121" s="1786"/>
      <c r="CI121" s="1774"/>
      <c r="CJ121" s="1786"/>
      <c r="CK121" s="1786"/>
      <c r="CL121" s="1786"/>
      <c r="CM121" s="1786"/>
      <c r="CN121" s="1774"/>
      <c r="CO121" s="1786"/>
      <c r="CP121" s="1786"/>
      <c r="CQ121" s="1786"/>
      <c r="CR121" s="1786"/>
      <c r="CS121" s="1774"/>
      <c r="CT121" s="1786"/>
      <c r="CU121" s="1786"/>
      <c r="CV121" s="1786"/>
      <c r="CW121" s="1786"/>
      <c r="CX121" s="1774"/>
      <c r="CY121" s="1761"/>
      <c r="CZ121" s="1761"/>
      <c r="DA121" s="1774"/>
      <c r="DB121" s="1774"/>
      <c r="DC121" s="1774"/>
      <c r="DD121" s="1774"/>
      <c r="DE121" s="1774"/>
      <c r="DF121" s="1774"/>
      <c r="DG121" s="1773"/>
      <c r="DH121" s="1773"/>
      <c r="DI121" s="1774"/>
      <c r="DJ121" s="1773"/>
      <c r="DK121" s="1773"/>
      <c r="DL121" s="1773"/>
      <c r="DM121" s="1774"/>
      <c r="DN121" s="1774"/>
      <c r="DO121" s="1774"/>
      <c r="DP121" s="1774"/>
      <c r="DQ121" s="1774"/>
      <c r="DR121" s="1785"/>
      <c r="DS121" s="264"/>
      <c r="DT121" s="264"/>
      <c r="DU121" s="264"/>
      <c r="DV121" s="264"/>
      <c r="DW121" s="264"/>
      <c r="DX121" s="264"/>
      <c r="DY121" s="264"/>
      <c r="DZ121" s="264"/>
      <c r="EA121" s="264"/>
      <c r="EB121" s="264"/>
      <c r="EC121" s="264"/>
      <c r="ED121" s="264"/>
      <c r="EE121" s="264"/>
      <c r="EF121" s="264"/>
      <c r="EG121" s="264"/>
      <c r="EH121" s="264"/>
      <c r="EI121" s="264"/>
      <c r="EJ121" s="264"/>
      <c r="EK121" s="264"/>
      <c r="EL121" s="264"/>
      <c r="EM121" s="264"/>
      <c r="EN121" s="264"/>
      <c r="EO121" s="264"/>
      <c r="EP121" s="264"/>
      <c r="EQ121" s="264"/>
      <c r="ER121" s="264"/>
    </row>
    <row r="122" spans="1:148" s="940" customFormat="1" ht="12" hidden="1" outlineLevel="1">
      <c r="A122" s="1787" t="s">
        <v>718</v>
      </c>
      <c r="B122" s="1788"/>
      <c r="C122" s="1788"/>
      <c r="D122" s="1788"/>
      <c r="E122" s="1788"/>
      <c r="F122" s="1788"/>
      <c r="G122" s="1788"/>
      <c r="H122" s="1788"/>
      <c r="I122" s="1788"/>
      <c r="J122" s="1788"/>
      <c r="K122" s="1788"/>
      <c r="L122" s="1788"/>
      <c r="M122" s="1788"/>
      <c r="N122" s="1788"/>
      <c r="O122" s="1788"/>
      <c r="P122" s="1788"/>
      <c r="Q122" s="1788"/>
      <c r="R122" s="1788"/>
      <c r="S122" s="1788"/>
      <c r="T122" s="1788"/>
      <c r="U122" s="1788"/>
      <c r="V122" s="1788"/>
      <c r="W122" s="1788"/>
      <c r="X122" s="1788"/>
      <c r="Y122" s="1788"/>
      <c r="Z122" s="1788"/>
      <c r="AA122" s="1788"/>
      <c r="AB122" s="1788"/>
      <c r="AC122" s="1788"/>
      <c r="AD122" s="1788"/>
      <c r="AE122" s="1788"/>
      <c r="AF122" s="1788"/>
      <c r="AG122" s="1788"/>
      <c r="AH122" s="1788"/>
      <c r="AI122" s="1788"/>
      <c r="AJ122" s="1788"/>
      <c r="AK122" s="1788"/>
      <c r="AL122" s="1788"/>
      <c r="AM122" s="1788"/>
      <c r="AN122" s="1788"/>
      <c r="AO122" s="1788"/>
      <c r="AP122" s="1788"/>
      <c r="AQ122" s="1788"/>
      <c r="AR122" s="1788"/>
      <c r="AS122" s="1788"/>
      <c r="AT122" s="1788"/>
      <c r="AU122" s="1789"/>
      <c r="AV122" s="1788"/>
      <c r="AW122" s="1788"/>
      <c r="AX122" s="1788"/>
      <c r="AY122" s="1788"/>
      <c r="AZ122" s="1789"/>
      <c r="BA122" s="1790" t="str">
        <f>IF(ISERROR(BA119/AY119-1),"",(BA119/AY119-1))</f>
        <v/>
      </c>
      <c r="BB122" s="1790">
        <f>IF(ISERROR(BB119/BA119-1),"",(BB119/BA119-1))</f>
        <v>0.2677451718083772</v>
      </c>
      <c r="BC122" s="1790">
        <f>IF(ISERROR(BC119/BB119-1),"",(BC119/BB119-1))</f>
        <v>-0.29241270155307153</v>
      </c>
      <c r="BD122" s="1790">
        <f>IF(ISERROR(BD119/BC119-1),"",(BD119/BC119-1))</f>
        <v>6.8502726128896185E-3</v>
      </c>
      <c r="BE122" s="1789"/>
      <c r="BF122" s="1790">
        <f>IF(ISERROR(BF119/BD119-1),"",(BF119/BD119-1))</f>
        <v>-5.5540127742293999E-3</v>
      </c>
      <c r="BG122" s="1790">
        <f>IF(ISERROR(BG119/BF119-1),"",(BG119/BF119-1))</f>
        <v>0.46746718793633057</v>
      </c>
      <c r="BH122" s="1790">
        <f>IF(ISERROR(BH119/BG119-1),"",(BH119/BG119-1))</f>
        <v>-0.29495718363463364</v>
      </c>
      <c r="BI122" s="1790">
        <f>IF(ISERROR(BI119/BH119-1),"",(BI119/BH119-1))</f>
        <v>-5.290148448043186E-2</v>
      </c>
      <c r="BJ122" s="1789"/>
      <c r="BK122" s="1790">
        <f>IF(ISERROR(BK119/BI119-1),"",(BK119/BI119-1))</f>
        <v>6.1128526645767955E-2</v>
      </c>
      <c r="BL122" s="1790">
        <f>IF(ISERROR(BL119/BK119-1),"",(BL119/BK119-1))</f>
        <v>0.59634752249227874</v>
      </c>
      <c r="BM122" s="1790">
        <f>IF(ISERROR(BM119/BL119-1),"",(BM119/BL119-1))</f>
        <v>-0.30240578734858681</v>
      </c>
      <c r="BN122" s="1790">
        <f>IF(ISERROR(BN119/BM119-1),"",(BN119/BM119-1))</f>
        <v>0.20450982756541669</v>
      </c>
      <c r="BO122" s="1789"/>
      <c r="BP122" s="1790">
        <f>IF(ISERROR(BP119/BN119-1),"",(BP119/BN119-1))</f>
        <v>9.7607368104915437E-2</v>
      </c>
      <c r="BQ122" s="1790">
        <f>IF(ISERROR(BQ119/BP119-1),"",(BQ119/BP119-1))</f>
        <v>0.17511856986501284</v>
      </c>
      <c r="BR122" s="1790">
        <f>IF(ISERROR(BR119/BQ119-1),"",(BR119/BQ119-1))</f>
        <v>-0.30510710959329401</v>
      </c>
      <c r="BS122" s="1790">
        <f>IF(ISERROR(BS119/BR119-1),"",(BS119/BR119-1))</f>
        <v>-2.8258684239919618E-2</v>
      </c>
      <c r="BT122" s="1791"/>
      <c r="BU122" s="1790" t="str">
        <f>IF(ISERROR(BU119/BS119-1),"",(BU119/BS119-1))</f>
        <v/>
      </c>
      <c r="BV122" s="1790" t="str">
        <f>IF(ISERROR(BV119/BU119-1),"",(BV119/BU119-1))</f>
        <v/>
      </c>
      <c r="BW122" s="1790" t="str">
        <f>IF(ISERROR(BW119/BV119-1),"",(BW119/BV119-1))</f>
        <v/>
      </c>
      <c r="BX122" s="1790" t="str">
        <f>IF(ISERROR(BX119/BW119-1),"",(BX119/BW119-1))</f>
        <v/>
      </c>
      <c r="BY122" s="1791"/>
      <c r="BZ122" s="1790" t="str">
        <f>IF(ISERROR(BZ119/BX119-1),"",(BZ119/BX119-1))</f>
        <v/>
      </c>
      <c r="CA122" s="1790" t="str">
        <f>IF(ISERROR(CA119/BZ119-1),"",(CA119/BZ119-1))</f>
        <v/>
      </c>
      <c r="CB122" s="1790" t="str">
        <f>IF(ISERROR(CB119/CA119-1),"",(CB119/CA119-1))</f>
        <v/>
      </c>
      <c r="CC122" s="1790" t="str">
        <f>IF(ISERROR(CC119/CB119-1),"",(CC119/CB119-1))</f>
        <v/>
      </c>
      <c r="CD122" s="1791"/>
      <c r="CE122" s="1790" t="str">
        <f>IF(ISERROR(CE119/CC119-1),"",(CE119/CC119-1))</f>
        <v/>
      </c>
      <c r="CF122" s="1790" t="str">
        <f>IF(ISERROR(CF119/CE119-1),"",(CF119/CE119-1))</f>
        <v/>
      </c>
      <c r="CG122" s="1790" t="str">
        <f>IF(ISERROR(CG119/CF119-1),"",(CG119/CF119-1))</f>
        <v/>
      </c>
      <c r="CH122" s="1790" t="str">
        <f>IF(ISERROR(CH119/CG119-1),"",(CH119/CG119-1))</f>
        <v/>
      </c>
      <c r="CI122" s="1791"/>
      <c r="CJ122" s="1790" t="str">
        <f>IF(ISERROR(CJ119/CH119-1),"",(CJ119/CH119-1))</f>
        <v/>
      </c>
      <c r="CK122" s="1790" t="str">
        <f>IF(ISERROR(CK119/CJ119-1),"",(CK119/CJ119-1))</f>
        <v/>
      </c>
      <c r="CL122" s="1790" t="str">
        <f>IF(ISERROR(CL119/CK119-1),"",(CL119/CK119-1))</f>
        <v/>
      </c>
      <c r="CM122" s="1790" t="str">
        <f>IF(ISERROR(CM119/CL119-1),"",(CM119/CL119-1))</f>
        <v/>
      </c>
      <c r="CN122" s="1791"/>
      <c r="CO122" s="1790" t="str">
        <f>IF(ISERROR(CO119/CM119-1),"",(CO119/CM119-1))</f>
        <v/>
      </c>
      <c r="CP122" s="1790" t="str">
        <f>IF(ISERROR(CP119/CO119-1),"",(CP119/CO119-1))</f>
        <v/>
      </c>
      <c r="CQ122" s="1790" t="str">
        <f>IF(ISERROR(CQ119/CP119-1),"",(CQ119/CP119-1))</f>
        <v/>
      </c>
      <c r="CR122" s="1790" t="str">
        <f>IF(ISERROR(CR119/CQ119-1),"",(CR119/CQ119-1))</f>
        <v/>
      </c>
      <c r="CS122" s="1791"/>
      <c r="CT122" s="1790" t="str">
        <f>IF(ISERROR(CT119/CR119-1),"",(CT119/CR119-1))</f>
        <v/>
      </c>
      <c r="CU122" s="1790" t="str">
        <f>IF(ISERROR(CU119/CT119-1),"",(CU119/CT119-1))</f>
        <v/>
      </c>
      <c r="CV122" s="1790" t="str">
        <f>IF(ISERROR(CV119/CU119-1),"",(CV119/CU119-1))</f>
        <v/>
      </c>
      <c r="CW122" s="1790" t="str">
        <f>IF(ISERROR(CW119/CV119-1),"",(CW119/CV119-1))</f>
        <v/>
      </c>
      <c r="CX122" s="1791"/>
      <c r="CY122" s="1788"/>
      <c r="CZ122" s="1788"/>
      <c r="DA122" s="1789"/>
      <c r="DB122" s="1789"/>
      <c r="DC122" s="1789"/>
      <c r="DD122" s="1789"/>
      <c r="DE122" s="1789"/>
      <c r="DF122" s="1789"/>
      <c r="DG122" s="1792"/>
      <c r="DH122" s="1792"/>
      <c r="DI122" s="1789"/>
      <c r="DJ122" s="1792"/>
      <c r="DK122" s="1792"/>
      <c r="DL122" s="1792"/>
      <c r="DM122" s="1789"/>
      <c r="DN122" s="1789"/>
      <c r="DO122" s="1789"/>
      <c r="DP122" s="1789"/>
      <c r="DQ122" s="1789"/>
      <c r="DR122" s="1799"/>
      <c r="DS122" s="287"/>
      <c r="DT122" s="287"/>
      <c r="DU122" s="287"/>
      <c r="DV122" s="287"/>
      <c r="DW122" s="287"/>
      <c r="DX122" s="287"/>
      <c r="DY122" s="287"/>
      <c r="DZ122" s="287"/>
      <c r="EA122" s="287"/>
      <c r="EB122" s="287"/>
      <c r="EC122" s="287"/>
      <c r="ED122" s="287"/>
      <c r="EE122" s="287"/>
      <c r="EF122" s="287"/>
      <c r="EG122" s="287"/>
      <c r="EH122" s="287"/>
      <c r="EI122" s="287"/>
      <c r="EJ122" s="287"/>
      <c r="EK122" s="287"/>
      <c r="EL122" s="287"/>
      <c r="EM122" s="287"/>
      <c r="EN122" s="287"/>
      <c r="EO122" s="287"/>
      <c r="EP122" s="287"/>
      <c r="EQ122" s="287"/>
      <c r="ER122" s="287"/>
    </row>
    <row r="123" spans="1:148" s="934" customFormat="1" ht="4.5" hidden="1" customHeight="1" outlineLevel="1">
      <c r="A123" s="1760"/>
      <c r="B123" s="1761"/>
      <c r="C123" s="1761"/>
      <c r="D123" s="1761"/>
      <c r="E123" s="1761"/>
      <c r="F123" s="1761"/>
      <c r="G123" s="1761"/>
      <c r="H123" s="1761"/>
      <c r="I123" s="1761"/>
      <c r="J123" s="1761"/>
      <c r="K123" s="1761"/>
      <c r="L123" s="1761"/>
      <c r="M123" s="1761"/>
      <c r="N123" s="1761"/>
      <c r="O123" s="1761"/>
      <c r="P123" s="1761"/>
      <c r="Q123" s="1761"/>
      <c r="R123" s="1761"/>
      <c r="S123" s="1761"/>
      <c r="T123" s="1761"/>
      <c r="U123" s="1761"/>
      <c r="V123" s="1761"/>
      <c r="W123" s="1761"/>
      <c r="X123" s="1761"/>
      <c r="Y123" s="1761"/>
      <c r="Z123" s="1761"/>
      <c r="AA123" s="1761"/>
      <c r="AB123" s="1761"/>
      <c r="AC123" s="1761"/>
      <c r="AD123" s="1761"/>
      <c r="AE123" s="1761"/>
      <c r="AF123" s="1761"/>
      <c r="AG123" s="1761"/>
      <c r="AH123" s="1761"/>
      <c r="AI123" s="1761"/>
      <c r="AJ123" s="1761"/>
      <c r="AK123" s="1761"/>
      <c r="AL123" s="1761"/>
      <c r="AM123" s="1761"/>
      <c r="AN123" s="1761"/>
      <c r="AO123" s="1761"/>
      <c r="AP123" s="1761"/>
      <c r="AQ123" s="1761"/>
      <c r="AR123" s="1761"/>
      <c r="AS123" s="1761"/>
      <c r="AT123" s="1761"/>
      <c r="AU123" s="1761"/>
      <c r="AV123" s="1761"/>
      <c r="AW123" s="1761"/>
      <c r="AX123" s="1761"/>
      <c r="AY123" s="1761"/>
      <c r="AZ123" s="1793"/>
      <c r="BA123" s="1778"/>
      <c r="BB123" s="1778"/>
      <c r="BC123" s="1778"/>
      <c r="BD123" s="1778"/>
      <c r="BE123" s="1793"/>
      <c r="BF123" s="1778"/>
      <c r="BG123" s="1778"/>
      <c r="BH123" s="1778"/>
      <c r="BI123" s="1778"/>
      <c r="BJ123" s="1793"/>
      <c r="BK123" s="1761"/>
      <c r="BL123" s="1761"/>
      <c r="BM123" s="1761"/>
      <c r="BN123" s="1778"/>
      <c r="BO123" s="1793"/>
      <c r="BP123" s="1761"/>
      <c r="BQ123" s="1761"/>
      <c r="BR123" s="1761"/>
      <c r="BS123" s="1778"/>
      <c r="BT123" s="1793"/>
      <c r="BU123" s="2804"/>
      <c r="BV123" s="2804"/>
      <c r="BW123" s="2804"/>
      <c r="BX123" s="2804"/>
      <c r="BY123" s="2805"/>
      <c r="BZ123" s="2804"/>
      <c r="CA123" s="2804"/>
      <c r="CB123" s="2804"/>
      <c r="CC123" s="2804"/>
      <c r="CD123" s="2805"/>
      <c r="CE123" s="1761"/>
      <c r="CF123" s="1761"/>
      <c r="CG123" s="1761"/>
      <c r="CH123" s="1761"/>
      <c r="CI123" s="1793"/>
      <c r="CJ123" s="1761"/>
      <c r="CK123" s="1761"/>
      <c r="CL123" s="1761"/>
      <c r="CM123" s="1761"/>
      <c r="CN123" s="1793"/>
      <c r="CO123" s="1761"/>
      <c r="CP123" s="1761"/>
      <c r="CQ123" s="1761"/>
      <c r="CR123" s="1761"/>
      <c r="CS123" s="1793"/>
      <c r="CT123" s="1761"/>
      <c r="CU123" s="1761"/>
      <c r="CV123" s="1761"/>
      <c r="CW123" s="1761"/>
      <c r="CX123" s="1793"/>
      <c r="CY123" s="1761"/>
      <c r="CZ123" s="1761"/>
      <c r="DA123" s="1793"/>
      <c r="DB123" s="1793"/>
      <c r="DC123" s="1793"/>
      <c r="DD123" s="1793"/>
      <c r="DE123" s="1793"/>
      <c r="DF123" s="1793"/>
      <c r="DG123" s="1794"/>
      <c r="DH123" s="1794"/>
      <c r="DI123" s="1793"/>
      <c r="DJ123" s="1794"/>
      <c r="DK123" s="1794"/>
      <c r="DL123" s="1794"/>
      <c r="DM123" s="1793"/>
      <c r="DN123" s="1793"/>
      <c r="DO123" s="1793"/>
      <c r="DP123" s="1793"/>
      <c r="DQ123" s="1793"/>
      <c r="DR123" s="1778"/>
      <c r="DS123" s="264"/>
      <c r="DT123" s="264"/>
      <c r="DU123" s="264"/>
      <c r="DV123" s="264"/>
      <c r="DW123" s="264"/>
      <c r="DX123" s="264"/>
      <c r="DY123" s="264"/>
      <c r="DZ123" s="264"/>
      <c r="EA123" s="264"/>
      <c r="EB123" s="264"/>
      <c r="EC123" s="264"/>
      <c r="ED123" s="264"/>
      <c r="EE123" s="264"/>
      <c r="EF123" s="264"/>
      <c r="EG123" s="264"/>
      <c r="EH123" s="264"/>
      <c r="EI123" s="264"/>
      <c r="EJ123" s="264"/>
      <c r="EK123" s="264"/>
      <c r="EL123" s="264"/>
      <c r="EM123" s="264"/>
      <c r="EN123" s="264"/>
      <c r="EO123" s="264"/>
      <c r="EP123" s="264"/>
      <c r="EQ123" s="264"/>
      <c r="ER123" s="264"/>
    </row>
    <row r="124" spans="1:148" s="934" customFormat="1" ht="12" hidden="1" outlineLevel="1">
      <c r="A124" s="1754" t="s">
        <v>719</v>
      </c>
      <c r="B124" s="1761"/>
      <c r="C124" s="1761"/>
      <c r="D124" s="1761"/>
      <c r="E124" s="1761"/>
      <c r="F124" s="1761"/>
      <c r="G124" s="1761"/>
      <c r="H124" s="1761"/>
      <c r="I124" s="1761"/>
      <c r="J124" s="1761"/>
      <c r="K124" s="1761"/>
      <c r="L124" s="1761"/>
      <c r="M124" s="1761"/>
      <c r="N124" s="1761"/>
      <c r="O124" s="1761"/>
      <c r="P124" s="1761"/>
      <c r="Q124" s="1761"/>
      <c r="R124" s="1761"/>
      <c r="S124" s="1761"/>
      <c r="T124" s="1761"/>
      <c r="U124" s="1761"/>
      <c r="V124" s="1761"/>
      <c r="W124" s="1761"/>
      <c r="X124" s="1761"/>
      <c r="Y124" s="1761"/>
      <c r="Z124" s="1761"/>
      <c r="AA124" s="1761"/>
      <c r="AB124" s="1761"/>
      <c r="AC124" s="1761"/>
      <c r="AD124" s="1761"/>
      <c r="AE124" s="1761"/>
      <c r="AF124" s="1761"/>
      <c r="AG124" s="1761"/>
      <c r="AH124" s="1761"/>
      <c r="AI124" s="1761"/>
      <c r="AJ124" s="1761"/>
      <c r="AK124" s="1761"/>
      <c r="AL124" s="1761"/>
      <c r="AM124" s="1761"/>
      <c r="AN124" s="1761"/>
      <c r="AO124" s="1761"/>
      <c r="AP124" s="1761"/>
      <c r="AQ124" s="1761"/>
      <c r="AR124" s="1761"/>
      <c r="AS124" s="1761"/>
      <c r="AT124" s="1761"/>
      <c r="AU124" s="1762"/>
      <c r="AV124" s="1761"/>
      <c r="AW124" s="1761"/>
      <c r="AX124" s="1761"/>
      <c r="AY124" s="1778"/>
      <c r="AZ124" s="1762"/>
      <c r="BA124" s="1795"/>
      <c r="BB124" s="1795"/>
      <c r="BC124" s="1795"/>
      <c r="BD124" s="1795"/>
      <c r="BE124" s="1762"/>
      <c r="BF124" s="1795"/>
      <c r="BG124" s="1795"/>
      <c r="BH124" s="1795"/>
      <c r="BI124" s="1795"/>
      <c r="BJ124" s="1762"/>
      <c r="BK124" s="1761"/>
      <c r="BL124" s="1796"/>
      <c r="BM124" s="1796"/>
      <c r="BN124" s="1795"/>
      <c r="BO124" s="1762"/>
      <c r="BP124" s="1761"/>
      <c r="BQ124" s="1796"/>
      <c r="BR124" s="1796"/>
      <c r="BS124" s="1795"/>
      <c r="BT124" s="1762"/>
      <c r="BU124" s="2804"/>
      <c r="BV124" s="2806"/>
      <c r="BW124" s="2804"/>
      <c r="BX124" s="2804"/>
      <c r="BY124" s="1762"/>
      <c r="BZ124" s="2804"/>
      <c r="CA124" s="2804"/>
      <c r="CB124" s="2804"/>
      <c r="CC124" s="2804"/>
      <c r="CD124" s="1762"/>
      <c r="CE124" s="1761"/>
      <c r="CF124" s="1761"/>
      <c r="CG124" s="1761"/>
      <c r="CH124" s="1761"/>
      <c r="CI124" s="1762"/>
      <c r="CJ124" s="1761"/>
      <c r="CK124" s="1761"/>
      <c r="CL124" s="1761"/>
      <c r="CM124" s="1761"/>
      <c r="CN124" s="1762"/>
      <c r="CO124" s="1761"/>
      <c r="CP124" s="1761"/>
      <c r="CQ124" s="1761"/>
      <c r="CR124" s="1761"/>
      <c r="CS124" s="1762"/>
      <c r="CT124" s="1761"/>
      <c r="CU124" s="1761"/>
      <c r="CV124" s="1761"/>
      <c r="CW124" s="1761"/>
      <c r="CX124" s="1762"/>
      <c r="CY124" s="1761"/>
      <c r="CZ124" s="1761"/>
      <c r="DA124" s="1762"/>
      <c r="DB124" s="1762"/>
      <c r="DC124" s="1762"/>
      <c r="DD124" s="1762"/>
      <c r="DE124" s="1762"/>
      <c r="DF124" s="1762"/>
      <c r="DG124" s="1766"/>
      <c r="DH124" s="1766"/>
      <c r="DI124" s="1762"/>
      <c r="DJ124" s="1766"/>
      <c r="DK124" s="1766"/>
      <c r="DL124" s="1766"/>
      <c r="DM124" s="1762"/>
      <c r="DN124" s="1762"/>
      <c r="DO124" s="1762"/>
      <c r="DP124" s="1762"/>
      <c r="DQ124" s="1762"/>
      <c r="DR124" s="1795"/>
      <c r="DS124" s="264"/>
      <c r="DT124" s="264"/>
      <c r="DU124" s="264"/>
      <c r="DV124" s="264"/>
      <c r="DW124" s="264"/>
      <c r="DX124" s="264"/>
      <c r="DY124" s="264"/>
      <c r="DZ124" s="264"/>
      <c r="EA124" s="264"/>
      <c r="EB124" s="264"/>
      <c r="EC124" s="264"/>
      <c r="ED124" s="264"/>
      <c r="EE124" s="264"/>
      <c r="EF124" s="264"/>
      <c r="EG124" s="264"/>
      <c r="EH124" s="264"/>
      <c r="EI124" s="264"/>
      <c r="EJ124" s="264"/>
      <c r="EK124" s="264"/>
      <c r="EL124" s="264"/>
      <c r="EM124" s="264"/>
      <c r="EN124" s="264"/>
      <c r="EO124" s="264"/>
      <c r="EP124" s="264"/>
      <c r="EQ124" s="264"/>
      <c r="ER124" s="264"/>
    </row>
    <row r="125" spans="1:148" s="934" customFormat="1" ht="12" hidden="1" outlineLevel="1">
      <c r="A125" s="1760" t="s">
        <v>214</v>
      </c>
      <c r="B125" s="1761"/>
      <c r="C125" s="1761"/>
      <c r="D125" s="1761"/>
      <c r="E125" s="1761"/>
      <c r="F125" s="1761"/>
      <c r="G125" s="1761"/>
      <c r="H125" s="1761"/>
      <c r="I125" s="1761"/>
      <c r="J125" s="1761"/>
      <c r="K125" s="1761"/>
      <c r="L125" s="1761"/>
      <c r="M125" s="1761"/>
      <c r="N125" s="1761"/>
      <c r="O125" s="1761"/>
      <c r="P125" s="1761"/>
      <c r="Q125" s="1761"/>
      <c r="R125" s="1761"/>
      <c r="S125" s="1761"/>
      <c r="T125" s="1761"/>
      <c r="U125" s="1761"/>
      <c r="V125" s="1761"/>
      <c r="W125" s="1761"/>
      <c r="X125" s="1761"/>
      <c r="Y125" s="1761"/>
      <c r="Z125" s="1761"/>
      <c r="AA125" s="1761"/>
      <c r="AB125" s="1761"/>
      <c r="AC125" s="1761"/>
      <c r="AD125" s="1761"/>
      <c r="AE125" s="1761"/>
      <c r="AF125" s="1761"/>
      <c r="AG125" s="1761"/>
      <c r="AH125" s="1761"/>
      <c r="AI125" s="1761"/>
      <c r="AJ125" s="1761"/>
      <c r="AK125" s="1761"/>
      <c r="AL125" s="1761"/>
      <c r="AM125" s="1761"/>
      <c r="AN125" s="1761"/>
      <c r="AO125" s="1761"/>
      <c r="AP125" s="1761"/>
      <c r="AQ125" s="1761"/>
      <c r="AR125" s="1761"/>
      <c r="AS125" s="1761"/>
      <c r="AT125" s="1761"/>
      <c r="AU125" s="1762"/>
      <c r="AV125" s="1761"/>
      <c r="AW125" s="1761"/>
      <c r="AX125" s="1761"/>
      <c r="AY125" s="1778"/>
      <c r="AZ125" s="1762"/>
      <c r="BA125" s="1763">
        <v>8332</v>
      </c>
      <c r="BB125" s="1763">
        <v>9585</v>
      </c>
      <c r="BC125" s="1763">
        <v>9090</v>
      </c>
      <c r="BD125" s="1763">
        <v>10119</v>
      </c>
      <c r="BE125" s="1762">
        <f>SUM(BA125:BD125)</f>
        <v>37126</v>
      </c>
      <c r="BF125" s="1763">
        <v>8945</v>
      </c>
      <c r="BG125" s="1763">
        <v>10135</v>
      </c>
      <c r="BH125" s="1763">
        <v>9979</v>
      </c>
      <c r="BI125" s="1763">
        <v>10627</v>
      </c>
      <c r="BJ125" s="1762">
        <f>SUM(BF125:BI125)</f>
        <v>39686</v>
      </c>
      <c r="BK125" s="1764">
        <v>9611</v>
      </c>
      <c r="BL125" s="1764">
        <v>10906</v>
      </c>
      <c r="BM125" s="1764">
        <v>10335</v>
      </c>
      <c r="BN125" s="1763">
        <v>11233</v>
      </c>
      <c r="BO125" s="1762">
        <f>SUM(BK125:BN125)</f>
        <v>42085</v>
      </c>
      <c r="BP125" s="1764">
        <v>9873</v>
      </c>
      <c r="BQ125" s="1764">
        <v>10679</v>
      </c>
      <c r="BR125" s="1764">
        <v>10036</v>
      </c>
      <c r="BS125" s="1763">
        <v>10451</v>
      </c>
      <c r="BT125" s="1762">
        <f>SUM(BP125:BS125)</f>
        <v>41039</v>
      </c>
      <c r="BU125" s="2802" t="e">
        <f>#REF!</f>
        <v>#REF!</v>
      </c>
      <c r="BV125" s="2802" t="e">
        <f>#REF!</f>
        <v>#REF!</v>
      </c>
      <c r="BW125" s="2803" t="e">
        <f>#REF!</f>
        <v>#REF!</v>
      </c>
      <c r="BX125" s="2803" t="e">
        <f>#REF!</f>
        <v>#REF!</v>
      </c>
      <c r="BY125" s="1762" t="e">
        <f>SUM(BU125:BX125)</f>
        <v>#REF!</v>
      </c>
      <c r="BZ125" s="2803" t="e">
        <f>#REF!</f>
        <v>#REF!</v>
      </c>
      <c r="CA125" s="2803" t="e">
        <f>#REF!</f>
        <v>#REF!</v>
      </c>
      <c r="CB125" s="2803" t="e">
        <f>#REF!</f>
        <v>#REF!</v>
      </c>
      <c r="CC125" s="2803" t="e">
        <f>#REF!</f>
        <v>#REF!</v>
      </c>
      <c r="CD125" s="1762" t="e">
        <f>SUM(BZ125:CC125)</f>
        <v>#REF!</v>
      </c>
      <c r="CE125" s="1765">
        <f>'Rev Detail - OLD'!BE325</f>
        <v>0</v>
      </c>
      <c r="CF125" s="1765">
        <f>'Rev Detail - OLD'!BF325</f>
        <v>0</v>
      </c>
      <c r="CG125" s="1765">
        <f>'Rev Detail - OLD'!BG325</f>
        <v>0</v>
      </c>
      <c r="CH125" s="1765">
        <f>'Rev Detail - OLD'!BH325</f>
        <v>0</v>
      </c>
      <c r="CI125" s="1762">
        <f>SUM(CE125:CH125)</f>
        <v>0</v>
      </c>
      <c r="CJ125" s="1765">
        <f>'Rev Detail - OLD'!BJ325</f>
        <v>0</v>
      </c>
      <c r="CK125" s="1765">
        <f>'Rev Detail - OLD'!BK325</f>
        <v>0</v>
      </c>
      <c r="CL125" s="1765">
        <f>'Rev Detail - OLD'!BL325</f>
        <v>0</v>
      </c>
      <c r="CM125" s="1765">
        <f>'Rev Detail - OLD'!BM325</f>
        <v>0</v>
      </c>
      <c r="CN125" s="1762">
        <f>SUM(CJ125:CM125)</f>
        <v>0</v>
      </c>
      <c r="CO125" s="1765">
        <f>'Rev Detail - OLD'!BO325</f>
        <v>0</v>
      </c>
      <c r="CP125" s="1765">
        <f>'Rev Detail - OLD'!BP325</f>
        <v>0</v>
      </c>
      <c r="CQ125" s="1765">
        <f>'Rev Detail - OLD'!BQ325</f>
        <v>0</v>
      </c>
      <c r="CR125" s="1765">
        <f>'Rev Detail - OLD'!BR325</f>
        <v>0</v>
      </c>
      <c r="CS125" s="1762">
        <f>SUM(CO125:CR125)</f>
        <v>0</v>
      </c>
      <c r="CT125" s="1765">
        <f>'Rev Detail - OLD'!BT325</f>
        <v>0</v>
      </c>
      <c r="CU125" s="1765">
        <f>'Rev Detail - OLD'!BU325</f>
        <v>0</v>
      </c>
      <c r="CV125" s="1765">
        <f>'Rev Detail - OLD'!BV325</f>
        <v>0</v>
      </c>
      <c r="CW125" s="1765">
        <f>'Rev Detail - OLD'!BW325</f>
        <v>42120</v>
      </c>
      <c r="CX125" s="1762">
        <f>SUM(CT125:CW125)</f>
        <v>42120</v>
      </c>
      <c r="CY125" s="1761"/>
      <c r="CZ125" s="1761"/>
      <c r="DA125" s="1762"/>
      <c r="DB125" s="1762"/>
      <c r="DC125" s="1762"/>
      <c r="DD125" s="1762"/>
      <c r="DE125" s="1762"/>
      <c r="DF125" s="1762"/>
      <c r="DG125" s="1766"/>
      <c r="DH125" s="1766"/>
      <c r="DI125" s="1762">
        <f>SUM(BC125:BD125,BF125:BG125)</f>
        <v>38289</v>
      </c>
      <c r="DJ125" s="1766">
        <f>SUM(BH125:BI125,BK125:BL125)</f>
        <v>41123</v>
      </c>
      <c r="DK125" s="1766">
        <f>SUM(BM125:BN125,BP125:BQ125)</f>
        <v>42120</v>
      </c>
      <c r="DL125" s="1766" t="e">
        <f>SUM(BU125:BV125,BR125:BS125)</f>
        <v>#REF!</v>
      </c>
      <c r="DM125" s="1762" t="e">
        <f>SUM(BW125:BX125,BZ125:CA125)</f>
        <v>#REF!</v>
      </c>
      <c r="DN125" s="1762" t="e">
        <f>SUM(CB125:CC125,CE125:CF125)</f>
        <v>#REF!</v>
      </c>
      <c r="DO125" s="1762"/>
      <c r="DP125" s="1762"/>
      <c r="DQ125" s="1762"/>
      <c r="DR125" s="1795"/>
      <c r="DS125" s="264"/>
      <c r="DT125" s="264"/>
      <c r="DU125" s="264"/>
      <c r="DV125" s="264"/>
      <c r="DW125" s="264"/>
      <c r="DX125" s="264"/>
      <c r="DY125" s="264"/>
      <c r="DZ125" s="264"/>
      <c r="EA125" s="264"/>
      <c r="EB125" s="264"/>
      <c r="EC125" s="264"/>
      <c r="ED125" s="264"/>
      <c r="EE125" s="264"/>
      <c r="EF125" s="264"/>
      <c r="EG125" s="264"/>
      <c r="EH125" s="264"/>
      <c r="EI125" s="264"/>
      <c r="EJ125" s="264"/>
      <c r="EK125" s="264"/>
      <c r="EL125" s="264"/>
      <c r="EM125" s="264"/>
      <c r="EN125" s="264"/>
      <c r="EO125" s="264"/>
      <c r="EP125" s="264"/>
      <c r="EQ125" s="264"/>
      <c r="ER125" s="264"/>
    </row>
    <row r="126" spans="1:148" s="937" customFormat="1" ht="12" hidden="1" outlineLevel="1">
      <c r="A126" s="1767" t="s">
        <v>717</v>
      </c>
      <c r="B126" s="1768"/>
      <c r="C126" s="1768"/>
      <c r="D126" s="1768"/>
      <c r="E126" s="1768"/>
      <c r="F126" s="1768"/>
      <c r="G126" s="1768"/>
      <c r="H126" s="1768"/>
      <c r="I126" s="1768"/>
      <c r="J126" s="1768"/>
      <c r="K126" s="1768"/>
      <c r="L126" s="1768"/>
      <c r="M126" s="1768"/>
      <c r="N126" s="1768"/>
      <c r="O126" s="1768"/>
      <c r="P126" s="1768"/>
      <c r="Q126" s="1768"/>
      <c r="R126" s="1768"/>
      <c r="S126" s="1768"/>
      <c r="T126" s="1768"/>
      <c r="U126" s="1768"/>
      <c r="V126" s="1768"/>
      <c r="W126" s="1768"/>
      <c r="X126" s="1768"/>
      <c r="Y126" s="1768"/>
      <c r="Z126" s="1768"/>
      <c r="AA126" s="1768"/>
      <c r="AB126" s="1768"/>
      <c r="AC126" s="1768"/>
      <c r="AD126" s="1768"/>
      <c r="AE126" s="1768"/>
      <c r="AF126" s="1768"/>
      <c r="AG126" s="1768"/>
      <c r="AH126" s="1768"/>
      <c r="AI126" s="1768"/>
      <c r="AJ126" s="1768"/>
      <c r="AK126" s="1768"/>
      <c r="AL126" s="1768"/>
      <c r="AM126" s="1768"/>
      <c r="AN126" s="1768"/>
      <c r="AO126" s="1768"/>
      <c r="AP126" s="1768"/>
      <c r="AQ126" s="1768"/>
      <c r="AR126" s="1768"/>
      <c r="AS126" s="1768"/>
      <c r="AT126" s="1768"/>
      <c r="AU126" s="1769"/>
      <c r="AV126" s="1768"/>
      <c r="AW126" s="1768"/>
      <c r="AX126" s="1768"/>
      <c r="AY126" s="1770"/>
      <c r="AZ126" s="1769"/>
      <c r="BA126" s="1771" t="str">
        <f>IF(ISERROR(BA125/AV125-1),"",(BA125/AV125-1))</f>
        <v/>
      </c>
      <c r="BB126" s="1771" t="str">
        <f>IF(ISERROR(BB125/AW125-1),"",(BB125/AW125-1))</f>
        <v/>
      </c>
      <c r="BC126" s="1771" t="str">
        <f>IF(ISERROR(BC125/AX125-1),"",(BC125/AX125-1))</f>
        <v/>
      </c>
      <c r="BD126" s="1771" t="str">
        <f>IF(ISERROR(BD125/AY125-1),"",(BD125/AY125-1))</f>
        <v/>
      </c>
      <c r="BE126" s="1769"/>
      <c r="BF126" s="1771">
        <f>IF(ISERROR(BF125/BA125-1),"",(BF125/BA125-1))</f>
        <v>7.3571771483437409E-2</v>
      </c>
      <c r="BG126" s="1771">
        <f>IF(ISERROR(BG125/BB125-1),"",(BG125/BB125-1))</f>
        <v>5.7381324986958804E-2</v>
      </c>
      <c r="BH126" s="1771">
        <f>IF(ISERROR(BH125/BC125-1),"",(BH125/BC125-1))</f>
        <v>9.7799779977997714E-2</v>
      </c>
      <c r="BI126" s="1771">
        <f>IF(ISERROR(BI125/BD125-1),"",(BI125/BD125-1))</f>
        <v>5.0202589188655056E-2</v>
      </c>
      <c r="BJ126" s="1769">
        <f>BJ125/BE125-1</f>
        <v>6.8954371599418307E-2</v>
      </c>
      <c r="BK126" s="1771">
        <f>IF(ISERROR(BK125/BF125-1),"",(BK125/BF125-1))</f>
        <v>7.4455002794857394E-2</v>
      </c>
      <c r="BL126" s="1771">
        <f>IF(ISERROR(BL125/BG125-1),"",(BL125/BG125-1))</f>
        <v>7.6073014306857534E-2</v>
      </c>
      <c r="BM126" s="1771">
        <f>IF(ISERROR(BM125/BH125-1),"",(BM125/BH125-1))</f>
        <v>3.5674917326385502E-2</v>
      </c>
      <c r="BN126" s="1771">
        <f>IF(ISERROR(BN125/BI125-1),"",(BN125/BI125-1))</f>
        <v>5.7024560082807874E-2</v>
      </c>
      <c r="BO126" s="1769">
        <f>BO125/BJ125-1</f>
        <v>6.0449528801088448E-2</v>
      </c>
      <c r="BP126" s="1771">
        <f>IF(ISERROR(BP125/BK125-1),"",(BP125/BK125-1))</f>
        <v>2.7260430756425036E-2</v>
      </c>
      <c r="BQ126" s="1771">
        <f>IF(ISERROR(BQ125/BL125-1),"",(BQ125/BL125-1))</f>
        <v>-2.0814230698697922E-2</v>
      </c>
      <c r="BR126" s="1771">
        <f>IF(ISERROR(BR125/BM125-1),"",(BR125/BM125-1))</f>
        <v>-2.8930817610062887E-2</v>
      </c>
      <c r="BS126" s="1771">
        <f>IF(ISERROR(BS125/BN125-1),"",(BS125/BN125-1))</f>
        <v>-6.9616309089290507E-2</v>
      </c>
      <c r="BT126" s="1769">
        <f>BT125/BO125-1</f>
        <v>-2.4854461209457002E-2</v>
      </c>
      <c r="BU126" s="1771" t="str">
        <f>IF(ISERROR(BU125/BP125-1),"",(BU125/BP125-1))</f>
        <v/>
      </c>
      <c r="BV126" s="1771" t="str">
        <f>IF(ISERROR(BV125/BQ125-1),"",(BV125/BQ125-1))</f>
        <v/>
      </c>
      <c r="BW126" s="1771" t="str">
        <f>IF(ISERROR(BW125/BR125-1),"",(BW125/BR125-1))</f>
        <v/>
      </c>
      <c r="BX126" s="1771" t="str">
        <f>IF(ISERROR(BX125/BS125-1),"",(BX125/BS125-1))</f>
        <v/>
      </c>
      <c r="BY126" s="1769" t="e">
        <f>BY125/BT125-1</f>
        <v>#REF!</v>
      </c>
      <c r="BZ126" s="1771" t="str">
        <f>IF(ISERROR(BZ125/BU125-1),"",(BZ125/BU125-1))</f>
        <v/>
      </c>
      <c r="CA126" s="1771" t="str">
        <f>IF(ISERROR(CA125/BV125-1),"",(CA125/BV125-1))</f>
        <v/>
      </c>
      <c r="CB126" s="1771" t="str">
        <f>IF(ISERROR(CB125/BW125-1),"",(CB125/BW125-1))</f>
        <v/>
      </c>
      <c r="CC126" s="1771" t="str">
        <f>IF(ISERROR(CC125/BX125-1),"",(CC125/BX125-1))</f>
        <v/>
      </c>
      <c r="CD126" s="1769" t="e">
        <f>CD125/BY125-1</f>
        <v>#REF!</v>
      </c>
      <c r="CE126" s="1771" t="str">
        <f>IF(ISERROR(CE125/BZ125-1),"",(CE125/BZ125-1))</f>
        <v/>
      </c>
      <c r="CF126" s="1771" t="str">
        <f>IF(ISERROR(CF125/CA125-1),"",(CF125/CA125-1))</f>
        <v/>
      </c>
      <c r="CG126" s="1771" t="str">
        <f>IF(ISERROR(CG125/CB125-1),"",(CG125/CB125-1))</f>
        <v/>
      </c>
      <c r="CH126" s="1771" t="str">
        <f>IF(ISERROR(CH125/CC125-1),"",(CH125/CC125-1))</f>
        <v/>
      </c>
      <c r="CI126" s="1769" t="e">
        <f>CI125/CD125-1</f>
        <v>#REF!</v>
      </c>
      <c r="CJ126" s="1771" t="str">
        <f>IF(ISERROR(CJ125/CE125-1),"",(CJ125/CE125-1))</f>
        <v/>
      </c>
      <c r="CK126" s="1771" t="str">
        <f>IF(ISERROR(CK125/CF125-1),"",(CK125/CF125-1))</f>
        <v/>
      </c>
      <c r="CL126" s="1771" t="str">
        <f>IF(ISERROR(CL125/CG125-1),"",(CL125/CG125-1))</f>
        <v/>
      </c>
      <c r="CM126" s="1771" t="str">
        <f>IF(ISERROR(CM125/CH125-1),"",(CM125/CH125-1))</f>
        <v/>
      </c>
      <c r="CN126" s="1769" t="e">
        <f>CN125/CI125-1</f>
        <v>#DIV/0!</v>
      </c>
      <c r="CO126" s="1771" t="str">
        <f>IF(ISERROR(CO125/CJ125-1),"",(CO125/CJ125-1))</f>
        <v/>
      </c>
      <c r="CP126" s="1771" t="str">
        <f>IF(ISERROR(CP125/CK125-1),"",(CP125/CK125-1))</f>
        <v/>
      </c>
      <c r="CQ126" s="1771" t="str">
        <f>IF(ISERROR(CQ125/CL125-1),"",(CQ125/CL125-1))</f>
        <v/>
      </c>
      <c r="CR126" s="1771" t="str">
        <f>IF(ISERROR(CR125/CM125-1),"",(CR125/CM125-1))</f>
        <v/>
      </c>
      <c r="CS126" s="1769" t="e">
        <f>CS125/CN125-1</f>
        <v>#DIV/0!</v>
      </c>
      <c r="CT126" s="1771" t="str">
        <f>IF(ISERROR(CT125/CO125-1),"",(CT125/CO125-1))</f>
        <v/>
      </c>
      <c r="CU126" s="1771" t="str">
        <f>IF(ISERROR(CU125/CP125-1),"",(CU125/CP125-1))</f>
        <v/>
      </c>
      <c r="CV126" s="1771" t="str">
        <f>IF(ISERROR(CV125/CQ125-1),"",(CV125/CQ125-1))</f>
        <v/>
      </c>
      <c r="CW126" s="1771" t="str">
        <f>IF(ISERROR(CW125/CR125-1),"",(CW125/CR125-1))</f>
        <v/>
      </c>
      <c r="CX126" s="1769" t="e">
        <f>CX125/CS125-1</f>
        <v>#DIV/0!</v>
      </c>
      <c r="CY126" s="1768"/>
      <c r="CZ126" s="1768"/>
      <c r="DA126" s="1769"/>
      <c r="DB126" s="1769"/>
      <c r="DC126" s="1769"/>
      <c r="DD126" s="1769"/>
      <c r="DE126" s="1769"/>
      <c r="DF126" s="1769"/>
      <c r="DG126" s="1772"/>
      <c r="DH126" s="1772"/>
      <c r="DI126" s="1769"/>
      <c r="DJ126" s="1772">
        <f>DJ125/DI125-1</f>
        <v>7.4016035937214397E-2</v>
      </c>
      <c r="DK126" s="1773">
        <f>DK125/DJ125-1</f>
        <v>2.4244340150280763E-2</v>
      </c>
      <c r="DL126" s="1773" t="e">
        <f>DL125/DK125-1</f>
        <v>#REF!</v>
      </c>
      <c r="DM126" s="1774" t="e">
        <f>DM125/DL125-1</f>
        <v>#REF!</v>
      </c>
      <c r="DN126" s="1774" t="e">
        <f>DN125/DM125-1</f>
        <v>#REF!</v>
      </c>
      <c r="DO126" s="1774"/>
      <c r="DP126" s="1774"/>
      <c r="DQ126" s="1774"/>
      <c r="DR126" s="1785"/>
      <c r="DS126" s="429"/>
      <c r="DT126" s="429"/>
      <c r="DU126" s="429"/>
      <c r="DV126" s="429"/>
      <c r="DW126" s="429"/>
      <c r="DX126" s="429"/>
      <c r="DY126" s="429"/>
      <c r="DZ126" s="429"/>
      <c r="EA126" s="429"/>
      <c r="EB126" s="429"/>
      <c r="EC126" s="429"/>
      <c r="ED126" s="429"/>
      <c r="EE126" s="429"/>
      <c r="EF126" s="429"/>
      <c r="EG126" s="429"/>
      <c r="EH126" s="429"/>
      <c r="EI126" s="429"/>
      <c r="EJ126" s="429"/>
      <c r="EK126" s="429"/>
      <c r="EL126" s="429"/>
      <c r="EM126" s="429"/>
      <c r="EN126" s="429"/>
      <c r="EO126" s="429"/>
      <c r="EP126" s="429"/>
      <c r="EQ126" s="429"/>
      <c r="ER126" s="429"/>
    </row>
    <row r="127" spans="1:148" s="937" customFormat="1" ht="12" hidden="1" outlineLevel="1">
      <c r="A127" s="1767" t="s">
        <v>1027</v>
      </c>
      <c r="B127" s="1768"/>
      <c r="C127" s="1768"/>
      <c r="D127" s="1768"/>
      <c r="E127" s="1768"/>
      <c r="F127" s="1768"/>
      <c r="G127" s="1768"/>
      <c r="H127" s="1768"/>
      <c r="I127" s="1768"/>
      <c r="J127" s="1768"/>
      <c r="K127" s="1768"/>
      <c r="L127" s="1768"/>
      <c r="M127" s="1768"/>
      <c r="N127" s="1768"/>
      <c r="O127" s="1768"/>
      <c r="P127" s="1768"/>
      <c r="Q127" s="1768"/>
      <c r="R127" s="1768"/>
      <c r="S127" s="1768"/>
      <c r="T127" s="1768"/>
      <c r="U127" s="1768"/>
      <c r="V127" s="1768"/>
      <c r="W127" s="1768"/>
      <c r="X127" s="1768"/>
      <c r="Y127" s="1768"/>
      <c r="Z127" s="1768"/>
      <c r="AA127" s="1768"/>
      <c r="AB127" s="1768"/>
      <c r="AC127" s="1768"/>
      <c r="AD127" s="1768"/>
      <c r="AE127" s="1768"/>
      <c r="AF127" s="1768"/>
      <c r="AG127" s="1768"/>
      <c r="AH127" s="1768"/>
      <c r="AI127" s="1768"/>
      <c r="AJ127" s="1768"/>
      <c r="AK127" s="1768"/>
      <c r="AL127" s="1768"/>
      <c r="AM127" s="1768"/>
      <c r="AN127" s="1768"/>
      <c r="AO127" s="1768"/>
      <c r="AP127" s="1768"/>
      <c r="AQ127" s="1768"/>
      <c r="AR127" s="1768"/>
      <c r="AS127" s="1768"/>
      <c r="AT127" s="1768"/>
      <c r="AU127" s="1769"/>
      <c r="AV127" s="1768"/>
      <c r="AW127" s="1768"/>
      <c r="AX127" s="1768"/>
      <c r="AY127" s="1770"/>
      <c r="AZ127" s="1769"/>
      <c r="BA127" s="1771"/>
      <c r="BB127" s="1771"/>
      <c r="BC127" s="1771"/>
      <c r="BD127" s="1771"/>
      <c r="BE127" s="1769"/>
      <c r="BF127" s="1771"/>
      <c r="BG127" s="1771"/>
      <c r="BH127" s="1771"/>
      <c r="BI127" s="1771"/>
      <c r="BJ127" s="1769"/>
      <c r="BK127" s="1771"/>
      <c r="BL127" s="1771"/>
      <c r="BM127" s="1771"/>
      <c r="BN127" s="1771"/>
      <c r="BO127" s="1769"/>
      <c r="BP127" s="1771"/>
      <c r="BQ127" s="1771">
        <f>BQ126+1%</f>
        <v>-1.0814230698697922E-2</v>
      </c>
      <c r="BR127" s="1771">
        <v>-0.01</v>
      </c>
      <c r="BS127" s="1771">
        <v>-0.04</v>
      </c>
      <c r="BT127" s="1769"/>
      <c r="BU127" s="1771"/>
      <c r="BV127" s="1771"/>
      <c r="BW127" s="1771"/>
      <c r="BX127" s="1771"/>
      <c r="BY127" s="1769"/>
      <c r="BZ127" s="1771"/>
      <c r="CA127" s="1771"/>
      <c r="CB127" s="1771"/>
      <c r="CC127" s="1771"/>
      <c r="CD127" s="1769"/>
      <c r="CE127" s="1771"/>
      <c r="CF127" s="1771"/>
      <c r="CG127" s="1771"/>
      <c r="CH127" s="1771"/>
      <c r="CI127" s="1769"/>
      <c r="CJ127" s="1771"/>
      <c r="CK127" s="1771"/>
      <c r="CL127" s="1771"/>
      <c r="CM127" s="1771"/>
      <c r="CN127" s="1769"/>
      <c r="CO127" s="1771"/>
      <c r="CP127" s="1771"/>
      <c r="CQ127" s="1771"/>
      <c r="CR127" s="1771"/>
      <c r="CS127" s="1769"/>
      <c r="CT127" s="1771"/>
      <c r="CU127" s="1771"/>
      <c r="CV127" s="1771"/>
      <c r="CW127" s="1771"/>
      <c r="CX127" s="1769"/>
      <c r="CY127" s="1768"/>
      <c r="CZ127" s="1768"/>
      <c r="DA127" s="1769"/>
      <c r="DB127" s="1769"/>
      <c r="DC127" s="1769"/>
      <c r="DD127" s="1769"/>
      <c r="DE127" s="1769"/>
      <c r="DF127" s="1769"/>
      <c r="DG127" s="1772"/>
      <c r="DH127" s="1772"/>
      <c r="DI127" s="1769"/>
      <c r="DJ127" s="1772"/>
      <c r="DK127" s="1773"/>
      <c r="DL127" s="1773"/>
      <c r="DM127" s="1774"/>
      <c r="DN127" s="1774"/>
      <c r="DO127" s="1774"/>
      <c r="DP127" s="1774"/>
      <c r="DQ127" s="1774"/>
      <c r="DR127" s="1785"/>
      <c r="DS127" s="429"/>
      <c r="DT127" s="429"/>
      <c r="DU127" s="429"/>
      <c r="DV127" s="429"/>
      <c r="DW127" s="429"/>
      <c r="DX127" s="429"/>
      <c r="DY127" s="429"/>
      <c r="DZ127" s="429"/>
      <c r="EA127" s="429"/>
      <c r="EB127" s="429"/>
      <c r="EC127" s="429"/>
      <c r="ED127" s="429"/>
      <c r="EE127" s="429"/>
      <c r="EF127" s="429"/>
      <c r="EG127" s="429"/>
      <c r="EH127" s="429"/>
      <c r="EI127" s="429"/>
      <c r="EJ127" s="429"/>
      <c r="EK127" s="429"/>
      <c r="EL127" s="429"/>
      <c r="EM127" s="429"/>
      <c r="EN127" s="429"/>
      <c r="EO127" s="429"/>
      <c r="EP127" s="429"/>
      <c r="EQ127" s="429"/>
      <c r="ER127" s="429"/>
    </row>
    <row r="128" spans="1:148" s="937" customFormat="1" ht="12" hidden="1" outlineLevel="1">
      <c r="A128" s="1767" t="s">
        <v>718</v>
      </c>
      <c r="B128" s="1768"/>
      <c r="C128" s="1768"/>
      <c r="D128" s="1768"/>
      <c r="E128" s="1768"/>
      <c r="F128" s="1768"/>
      <c r="G128" s="1768"/>
      <c r="H128" s="1768"/>
      <c r="I128" s="1768"/>
      <c r="J128" s="1768"/>
      <c r="K128" s="1768"/>
      <c r="L128" s="1768"/>
      <c r="M128" s="1768"/>
      <c r="N128" s="1768"/>
      <c r="O128" s="1768"/>
      <c r="P128" s="1768"/>
      <c r="Q128" s="1768"/>
      <c r="R128" s="1768"/>
      <c r="S128" s="1768"/>
      <c r="T128" s="1768"/>
      <c r="U128" s="1768"/>
      <c r="V128" s="1768"/>
      <c r="W128" s="1768"/>
      <c r="X128" s="1768"/>
      <c r="Y128" s="1768"/>
      <c r="Z128" s="1768"/>
      <c r="AA128" s="1768"/>
      <c r="AB128" s="1768"/>
      <c r="AC128" s="1768"/>
      <c r="AD128" s="1768"/>
      <c r="AE128" s="1768"/>
      <c r="AF128" s="1768"/>
      <c r="AG128" s="1768"/>
      <c r="AH128" s="1768"/>
      <c r="AI128" s="1768"/>
      <c r="AJ128" s="1768"/>
      <c r="AK128" s="1768"/>
      <c r="AL128" s="1768"/>
      <c r="AM128" s="1768"/>
      <c r="AN128" s="1768"/>
      <c r="AO128" s="1768"/>
      <c r="AP128" s="1768"/>
      <c r="AQ128" s="1768"/>
      <c r="AR128" s="1768"/>
      <c r="AS128" s="1768"/>
      <c r="AT128" s="1768"/>
      <c r="AU128" s="1769"/>
      <c r="AV128" s="1768"/>
      <c r="AW128" s="1768"/>
      <c r="AX128" s="1768"/>
      <c r="AY128" s="1770"/>
      <c r="AZ128" s="1769"/>
      <c r="BA128" s="1775" t="str">
        <f>IF(ISERROR(BA125/AY125-1),"",(BA125/AY125-1))</f>
        <v/>
      </c>
      <c r="BB128" s="1775">
        <f>IF(ISERROR(BB125/BA125-1),"",(BB125/BA125-1))</f>
        <v>0.15038406144983196</v>
      </c>
      <c r="BC128" s="1775">
        <f>IF(ISERROR(BC125/BB125-1),"",(BC125/BB125-1))</f>
        <v>-5.1643192488262879E-2</v>
      </c>
      <c r="BD128" s="1775">
        <f>IF(ISERROR(BD125/BC125-1),"",(BD125/BC125-1))</f>
        <v>0.11320132013201323</v>
      </c>
      <c r="BE128" s="1769"/>
      <c r="BF128" s="1775">
        <f>IF(ISERROR(BF125/BD125-1),"",(BF125/BD125-1))</f>
        <v>-0.11601936950291536</v>
      </c>
      <c r="BG128" s="1775">
        <f>IF(ISERROR(BG125/BF125-1),"",(BG125/BF125-1))</f>
        <v>0.13303521520402461</v>
      </c>
      <c r="BH128" s="1775">
        <f>IF(ISERROR(BH125/BG125-1),"",(BH125/BG125-1))</f>
        <v>-1.53922052294031E-2</v>
      </c>
      <c r="BI128" s="1775">
        <f>IF(ISERROR(BI125/BH125-1),"",(BI125/BH125-1))</f>
        <v>6.4936366369375609E-2</v>
      </c>
      <c r="BJ128" s="1769"/>
      <c r="BK128" s="1775">
        <f>IF(ISERROR(BK125/BI125-1),"",(BK125/BI125-1))</f>
        <v>-9.5605533076126847E-2</v>
      </c>
      <c r="BL128" s="1775">
        <f>IF(ISERROR(BL125/BK125-1),"",(BL125/BK125-1))</f>
        <v>0.13474144209759653</v>
      </c>
      <c r="BM128" s="1775">
        <f>IF(ISERROR(BM125/BL125-1),"",(BM125/BL125-1))</f>
        <v>-5.2356501008619105E-2</v>
      </c>
      <c r="BN128" s="1775">
        <f>IF(ISERROR(BN125/BM125-1),"",(BN125/BM125-1))</f>
        <v>8.6889211417513268E-2</v>
      </c>
      <c r="BO128" s="1769"/>
      <c r="BP128" s="1775">
        <f>IF(ISERROR(BP125/BN125-1),"",(BP125/BN125-1))</f>
        <v>-0.12107184189441822</v>
      </c>
      <c r="BQ128" s="1775">
        <f>IF(ISERROR(BQ125/BP125-1),"",(BQ125/BP125-1))</f>
        <v>8.1636787197407079E-2</v>
      </c>
      <c r="BR128" s="1775">
        <f>IF(ISERROR(BR125/BQ125-1),"",(BR125/BQ125-1))</f>
        <v>-6.0211630302462793E-2</v>
      </c>
      <c r="BS128" s="1775">
        <f>IF(ISERROR(BS125/BR125-1),"",(BS125/BR125-1))</f>
        <v>4.1351135910721482E-2</v>
      </c>
      <c r="BT128" s="1769"/>
      <c r="BU128" s="1775" t="str">
        <f>IF(ISERROR(BU125/BS125-1),"",(BU125/BS125-1))</f>
        <v/>
      </c>
      <c r="BV128" s="1775" t="str">
        <f>IF(ISERROR(BV125/BU125-1),"",(BV125/BU125-1))</f>
        <v/>
      </c>
      <c r="BW128" s="1775" t="str">
        <f>IF(ISERROR(BW125/BV125-1),"",(BW125/BV125-1))</f>
        <v/>
      </c>
      <c r="BX128" s="1775" t="str">
        <f>IF(ISERROR(BX125/BW125-1),"",(BX125/BW125-1))</f>
        <v/>
      </c>
      <c r="BY128" s="1769"/>
      <c r="BZ128" s="1775" t="str">
        <f>IF(ISERROR(BZ125/BX125-1),"",(BZ125/BX125-1))</f>
        <v/>
      </c>
      <c r="CA128" s="1775" t="str">
        <f>IF(ISERROR(CA125/BZ125-1),"",(CA125/BZ125-1))</f>
        <v/>
      </c>
      <c r="CB128" s="1775" t="str">
        <f>IF(ISERROR(CB125/CA125-1),"",(CB125/CA125-1))</f>
        <v/>
      </c>
      <c r="CC128" s="1775" t="str">
        <f>IF(ISERROR(CC125/CB125-1),"",(CC125/CB125-1))</f>
        <v/>
      </c>
      <c r="CD128" s="1769"/>
      <c r="CE128" s="1775" t="str">
        <f>IF(ISERROR(CE125/CC125-1),"",(CE125/CC125-1))</f>
        <v/>
      </c>
      <c r="CF128" s="1775" t="str">
        <f>IF(ISERROR(CF125/CE125-1),"",(CF125/CE125-1))</f>
        <v/>
      </c>
      <c r="CG128" s="1775" t="str">
        <f>IF(ISERROR(CG125/CF125-1),"",(CG125/CF125-1))</f>
        <v/>
      </c>
      <c r="CH128" s="1775" t="str">
        <f>IF(ISERROR(CH125/CG125-1),"",(CH125/CG125-1))</f>
        <v/>
      </c>
      <c r="CI128" s="1769"/>
      <c r="CJ128" s="1775" t="str">
        <f>IF(ISERROR(CJ125/CH125-1),"",(CJ125/CH125-1))</f>
        <v/>
      </c>
      <c r="CK128" s="1775" t="str">
        <f>IF(ISERROR(CK125/CJ125-1),"",(CK125/CJ125-1))</f>
        <v/>
      </c>
      <c r="CL128" s="1775" t="str">
        <f>IF(ISERROR(CL125/CK125-1),"",(CL125/CK125-1))</f>
        <v/>
      </c>
      <c r="CM128" s="1775" t="str">
        <f>IF(ISERROR(CM125/CL125-1),"",(CM125/CL125-1))</f>
        <v/>
      </c>
      <c r="CN128" s="1769"/>
      <c r="CO128" s="1775" t="str">
        <f>IF(ISERROR(CO125/CM125-1),"",(CO125/CM125-1))</f>
        <v/>
      </c>
      <c r="CP128" s="1775" t="str">
        <f>IF(ISERROR(CP125/CO125-1),"",(CP125/CO125-1))</f>
        <v/>
      </c>
      <c r="CQ128" s="1775" t="str">
        <f>IF(ISERROR(CQ125/CP125-1),"",(CQ125/CP125-1))</f>
        <v/>
      </c>
      <c r="CR128" s="1775" t="str">
        <f>IF(ISERROR(CR125/CQ125-1),"",(CR125/CQ125-1))</f>
        <v/>
      </c>
      <c r="CS128" s="1769"/>
      <c r="CT128" s="1775" t="str">
        <f>IF(ISERROR(CT125/CR125-1),"",(CT125/CR125-1))</f>
        <v/>
      </c>
      <c r="CU128" s="1775" t="str">
        <f>IF(ISERROR(CU125/CT125-1),"",(CU125/CT125-1))</f>
        <v/>
      </c>
      <c r="CV128" s="1775" t="str">
        <f>IF(ISERROR(CV125/CU125-1),"",(CV125/CU125-1))</f>
        <v/>
      </c>
      <c r="CW128" s="1775" t="str">
        <f>IF(ISERROR(CW125/CV125-1),"",(CW125/CV125-1))</f>
        <v/>
      </c>
      <c r="CX128" s="1769"/>
      <c r="CY128" s="1768"/>
      <c r="CZ128" s="1768"/>
      <c r="DA128" s="1769"/>
      <c r="DB128" s="1769"/>
      <c r="DC128" s="1769"/>
      <c r="DD128" s="1769"/>
      <c r="DE128" s="1769"/>
      <c r="DF128" s="1769"/>
      <c r="DG128" s="1772"/>
      <c r="DH128" s="1772"/>
      <c r="DI128" s="1769"/>
      <c r="DJ128" s="1772"/>
      <c r="DK128" s="1772"/>
      <c r="DL128" s="1772"/>
      <c r="DM128" s="1769"/>
      <c r="DN128" s="1769"/>
      <c r="DO128" s="1769"/>
      <c r="DP128" s="1769"/>
      <c r="DQ128" s="1769"/>
      <c r="DR128" s="1775"/>
      <c r="DS128" s="429"/>
      <c r="DT128" s="429"/>
      <c r="DU128" s="429"/>
      <c r="DV128" s="429"/>
      <c r="DW128" s="429"/>
      <c r="DX128" s="429"/>
      <c r="DY128" s="429"/>
      <c r="DZ128" s="429"/>
      <c r="EA128" s="429"/>
      <c r="EB128" s="429"/>
      <c r="EC128" s="429"/>
      <c r="ED128" s="429"/>
      <c r="EE128" s="429"/>
      <c r="EF128" s="429"/>
      <c r="EG128" s="429"/>
      <c r="EH128" s="429"/>
      <c r="EI128" s="429"/>
      <c r="EJ128" s="429"/>
      <c r="EK128" s="429"/>
      <c r="EL128" s="429"/>
      <c r="EM128" s="429"/>
      <c r="EN128" s="429"/>
      <c r="EO128" s="429"/>
      <c r="EP128" s="429"/>
      <c r="EQ128" s="429"/>
      <c r="ER128" s="429"/>
    </row>
    <row r="129" spans="1:148" s="937" customFormat="1" ht="12" hidden="1" outlineLevel="1">
      <c r="A129" s="1767" t="s">
        <v>482</v>
      </c>
      <c r="B129" s="1768"/>
      <c r="C129" s="1768"/>
      <c r="D129" s="1768"/>
      <c r="E129" s="1768"/>
      <c r="F129" s="1768"/>
      <c r="G129" s="1768"/>
      <c r="H129" s="1768"/>
      <c r="I129" s="1768"/>
      <c r="J129" s="1768"/>
      <c r="K129" s="1768"/>
      <c r="L129" s="1768"/>
      <c r="M129" s="1768"/>
      <c r="N129" s="1768"/>
      <c r="O129" s="1768"/>
      <c r="P129" s="1768"/>
      <c r="Q129" s="1768"/>
      <c r="R129" s="1768"/>
      <c r="S129" s="1768"/>
      <c r="T129" s="1768"/>
      <c r="U129" s="1768"/>
      <c r="V129" s="1768"/>
      <c r="W129" s="1768"/>
      <c r="X129" s="1768"/>
      <c r="Y129" s="1768"/>
      <c r="Z129" s="1768"/>
      <c r="AA129" s="1768"/>
      <c r="AB129" s="1768"/>
      <c r="AC129" s="1768"/>
      <c r="AD129" s="1768"/>
      <c r="AE129" s="1768"/>
      <c r="AF129" s="1768"/>
      <c r="AG129" s="1768"/>
      <c r="AH129" s="1768"/>
      <c r="AI129" s="1768"/>
      <c r="AJ129" s="1768"/>
      <c r="AK129" s="1768"/>
      <c r="AL129" s="1768"/>
      <c r="AM129" s="1768"/>
      <c r="AN129" s="1768"/>
      <c r="AO129" s="1768"/>
      <c r="AP129" s="1768"/>
      <c r="AQ129" s="1768"/>
      <c r="AR129" s="1768"/>
      <c r="AS129" s="1768"/>
      <c r="AT129" s="1768"/>
      <c r="AU129" s="1769"/>
      <c r="AV129" s="1768"/>
      <c r="AW129" s="1768"/>
      <c r="AX129" s="1768"/>
      <c r="AY129" s="1770"/>
      <c r="AZ129" s="1769"/>
      <c r="BA129" s="1797">
        <f t="shared" ref="BA129:CI129" si="189">BA125/BA$142</f>
        <v>0.47962238084273545</v>
      </c>
      <c r="BB129" s="1771">
        <f t="shared" si="189"/>
        <v>0.45894182427579605</v>
      </c>
      <c r="BC129" s="1771">
        <f t="shared" si="189"/>
        <v>0.52220371115068653</v>
      </c>
      <c r="BD129" s="1771">
        <f t="shared" si="189"/>
        <v>0.56033002934824738</v>
      </c>
      <c r="BE129" s="1769">
        <f t="shared" si="189"/>
        <v>0.50358775416084534</v>
      </c>
      <c r="BF129" s="1797">
        <f t="shared" si="189"/>
        <v>0.55878310844577717</v>
      </c>
      <c r="BG129" s="1771">
        <f t="shared" si="189"/>
        <v>0.47236204325130499</v>
      </c>
      <c r="BH129" s="1771">
        <f t="shared" si="189"/>
        <v>0.48704182732197765</v>
      </c>
      <c r="BI129" s="1771">
        <f t="shared" si="189"/>
        <v>0.53412746280659429</v>
      </c>
      <c r="BJ129" s="1769">
        <f t="shared" si="189"/>
        <v>0.50978175699109818</v>
      </c>
      <c r="BK129" s="1771">
        <f t="shared" si="189"/>
        <v>0.5187004155647903</v>
      </c>
      <c r="BL129" s="1771">
        <f t="shared" si="189"/>
        <v>0.44479791182348383</v>
      </c>
      <c r="BM129" s="1771">
        <f t="shared" si="189"/>
        <v>0.50654315541832085</v>
      </c>
      <c r="BN129" s="1771">
        <f t="shared" si="189"/>
        <v>0.48041228295269867</v>
      </c>
      <c r="BO129" s="1769">
        <f t="shared" si="189"/>
        <v>0.48466596800755474</v>
      </c>
      <c r="BP129" s="1771">
        <f>BP125/BP$142</f>
        <v>0.42554200249989227</v>
      </c>
      <c r="BQ129" s="1771">
        <f>BQ125/BQ$142</f>
        <v>0.4034378541745372</v>
      </c>
      <c r="BR129" s="1771">
        <f>BR125/BR$142</f>
        <v>0.46187123199410923</v>
      </c>
      <c r="BS129" s="1771">
        <f>BS125/BS$142</f>
        <v>0.47119026149684401</v>
      </c>
      <c r="BT129" s="1776">
        <f t="shared" si="189"/>
        <v>0.4385445608035905</v>
      </c>
      <c r="BU129" s="1771" t="e">
        <f t="shared" si="189"/>
        <v>#REF!</v>
      </c>
      <c r="BV129" s="1771" t="e">
        <f t="shared" si="189"/>
        <v>#REF!</v>
      </c>
      <c r="BW129" s="1771" t="e">
        <f t="shared" si="189"/>
        <v>#REF!</v>
      </c>
      <c r="BX129" s="1771" t="e">
        <f t="shared" si="189"/>
        <v>#REF!</v>
      </c>
      <c r="BY129" s="1776" t="e">
        <f t="shared" si="189"/>
        <v>#REF!</v>
      </c>
      <c r="BZ129" s="1771" t="e">
        <f t="shared" si="189"/>
        <v>#REF!</v>
      </c>
      <c r="CA129" s="1771" t="e">
        <f t="shared" si="189"/>
        <v>#REF!</v>
      </c>
      <c r="CB129" s="1771" t="e">
        <f t="shared" si="189"/>
        <v>#REF!</v>
      </c>
      <c r="CC129" s="1771" t="e">
        <f t="shared" si="189"/>
        <v>#REF!</v>
      </c>
      <c r="CD129" s="1776" t="e">
        <f t="shared" si="189"/>
        <v>#REF!</v>
      </c>
      <c r="CE129" s="1771" t="e">
        <f t="shared" si="189"/>
        <v>#DIV/0!</v>
      </c>
      <c r="CF129" s="1771" t="e">
        <f t="shared" si="189"/>
        <v>#DIV/0!</v>
      </c>
      <c r="CG129" s="1771" t="e">
        <f t="shared" si="189"/>
        <v>#DIV/0!</v>
      </c>
      <c r="CH129" s="1771" t="e">
        <f t="shared" si="189"/>
        <v>#DIV/0!</v>
      </c>
      <c r="CI129" s="1776" t="e">
        <f t="shared" si="189"/>
        <v>#DIV/0!</v>
      </c>
      <c r="CJ129" s="1771" t="e">
        <f t="shared" ref="CJ129:CS129" si="190">CJ125/CJ$142</f>
        <v>#DIV/0!</v>
      </c>
      <c r="CK129" s="1771" t="e">
        <f t="shared" si="190"/>
        <v>#DIV/0!</v>
      </c>
      <c r="CL129" s="1771" t="e">
        <f t="shared" si="190"/>
        <v>#DIV/0!</v>
      </c>
      <c r="CM129" s="1771" t="e">
        <f t="shared" si="190"/>
        <v>#DIV/0!</v>
      </c>
      <c r="CN129" s="1776" t="e">
        <f t="shared" si="190"/>
        <v>#DIV/0!</v>
      </c>
      <c r="CO129" s="1771" t="e">
        <f t="shared" si="190"/>
        <v>#DIV/0!</v>
      </c>
      <c r="CP129" s="1771" t="e">
        <f t="shared" si="190"/>
        <v>#DIV/0!</v>
      </c>
      <c r="CQ129" s="1771" t="e">
        <f t="shared" si="190"/>
        <v>#DIV/0!</v>
      </c>
      <c r="CR129" s="1771" t="e">
        <f t="shared" si="190"/>
        <v>#DIV/0!</v>
      </c>
      <c r="CS129" s="1776" t="e">
        <f t="shared" si="190"/>
        <v>#DIV/0!</v>
      </c>
      <c r="CT129" s="1771" t="e">
        <f t="shared" ref="CT129:CX129" si="191">CT125/CT$142</f>
        <v>#DIV/0!</v>
      </c>
      <c r="CU129" s="1771" t="e">
        <f t="shared" si="191"/>
        <v>#DIV/0!</v>
      </c>
      <c r="CV129" s="1771" t="e">
        <f t="shared" si="191"/>
        <v>#DIV/0!</v>
      </c>
      <c r="CW129" s="1771">
        <f t="shared" si="191"/>
        <v>0.45087992235559421</v>
      </c>
      <c r="CX129" s="1776">
        <f t="shared" si="191"/>
        <v>0.45087992235559421</v>
      </c>
      <c r="CY129" s="1768"/>
      <c r="CZ129" s="1768"/>
      <c r="DA129" s="1769"/>
      <c r="DB129" s="1769"/>
      <c r="DC129" s="1769"/>
      <c r="DD129" s="1769"/>
      <c r="DE129" s="1769"/>
      <c r="DF129" s="1769"/>
      <c r="DG129" s="1772"/>
      <c r="DH129" s="1772"/>
      <c r="DI129" s="1769"/>
      <c r="DJ129" s="1772"/>
      <c r="DK129" s="1772"/>
      <c r="DL129" s="1772"/>
      <c r="DM129" s="1769"/>
      <c r="DN129" s="1769"/>
      <c r="DO129" s="1769"/>
      <c r="DP129" s="1769"/>
      <c r="DQ129" s="1769"/>
      <c r="DR129" s="1775"/>
      <c r="DS129" s="429"/>
      <c r="DT129" s="429"/>
      <c r="DU129" s="429"/>
      <c r="DV129" s="429"/>
      <c r="DW129" s="429"/>
      <c r="DX129" s="429"/>
      <c r="DY129" s="429"/>
      <c r="DZ129" s="429"/>
      <c r="EA129" s="429"/>
      <c r="EB129" s="429"/>
      <c r="EC129" s="429"/>
      <c r="ED129" s="429"/>
      <c r="EE129" s="429"/>
      <c r="EF129" s="429"/>
      <c r="EG129" s="429"/>
      <c r="EH129" s="429"/>
      <c r="EI129" s="429"/>
      <c r="EJ129" s="429"/>
      <c r="EK129" s="429"/>
      <c r="EL129" s="429"/>
      <c r="EM129" s="429"/>
      <c r="EN129" s="429"/>
      <c r="EO129" s="429"/>
      <c r="EP129" s="429"/>
      <c r="EQ129" s="429"/>
      <c r="ER129" s="429"/>
    </row>
    <row r="130" spans="1:148" s="934" customFormat="1" ht="12" hidden="1" outlineLevel="1">
      <c r="A130" s="1760" t="s">
        <v>215</v>
      </c>
      <c r="B130" s="1761"/>
      <c r="C130" s="1761"/>
      <c r="D130" s="1761"/>
      <c r="E130" s="1761"/>
      <c r="F130" s="1761"/>
      <c r="G130" s="1761"/>
      <c r="H130" s="1761"/>
      <c r="I130" s="1761"/>
      <c r="J130" s="1761"/>
      <c r="K130" s="1761"/>
      <c r="L130" s="1761"/>
      <c r="M130" s="1761"/>
      <c r="N130" s="1761"/>
      <c r="O130" s="1761"/>
      <c r="P130" s="1761"/>
      <c r="Q130" s="1761"/>
      <c r="R130" s="1761"/>
      <c r="S130" s="1761"/>
      <c r="T130" s="1761"/>
      <c r="U130" s="1761"/>
      <c r="V130" s="1761"/>
      <c r="W130" s="1761"/>
      <c r="X130" s="1761"/>
      <c r="Y130" s="1761"/>
      <c r="Z130" s="1761"/>
      <c r="AA130" s="1761"/>
      <c r="AB130" s="1761"/>
      <c r="AC130" s="1761"/>
      <c r="AD130" s="1761"/>
      <c r="AE130" s="1761"/>
      <c r="AF130" s="1761"/>
      <c r="AG130" s="1761"/>
      <c r="AH130" s="1761"/>
      <c r="AI130" s="1761"/>
      <c r="AJ130" s="1761"/>
      <c r="AK130" s="1761"/>
      <c r="AL130" s="1761"/>
      <c r="AM130" s="1761"/>
      <c r="AN130" s="1761"/>
      <c r="AO130" s="1761"/>
      <c r="AP130" s="1761"/>
      <c r="AQ130" s="1761"/>
      <c r="AR130" s="1761"/>
      <c r="AS130" s="1761"/>
      <c r="AT130" s="1761"/>
      <c r="AU130" s="1762"/>
      <c r="AV130" s="1761"/>
      <c r="AW130" s="1761"/>
      <c r="AX130" s="1761"/>
      <c r="AY130" s="1778"/>
      <c r="AZ130" s="1762"/>
      <c r="BA130" s="1763">
        <v>1039</v>
      </c>
      <c r="BB130" s="1763">
        <v>1166</v>
      </c>
      <c r="BC130" s="1763">
        <v>1157</v>
      </c>
      <c r="BD130" s="1763">
        <v>1282</v>
      </c>
      <c r="BE130" s="1762">
        <f>SUM(BA130:BD130)</f>
        <v>4644</v>
      </c>
      <c r="BF130" s="1763">
        <v>1248</v>
      </c>
      <c r="BG130" s="1763">
        <v>1389</v>
      </c>
      <c r="BH130" s="1763">
        <v>1449</v>
      </c>
      <c r="BI130" s="1763">
        <v>1574</v>
      </c>
      <c r="BJ130" s="1762">
        <f>SUM(BF130:BI130)</f>
        <v>5660</v>
      </c>
      <c r="BK130" s="1764">
        <v>1602</v>
      </c>
      <c r="BL130" s="1764">
        <v>1780</v>
      </c>
      <c r="BM130" s="1764">
        <v>1902</v>
      </c>
      <c r="BN130" s="1763">
        <v>2262</v>
      </c>
      <c r="BO130" s="1762">
        <f>SUM(BK130:BN130)</f>
        <v>7546</v>
      </c>
      <c r="BP130" s="1764">
        <v>2407</v>
      </c>
      <c r="BQ130" s="1764">
        <v>2593</v>
      </c>
      <c r="BR130" s="1764">
        <v>2760</v>
      </c>
      <c r="BS130" s="1763">
        <v>3076</v>
      </c>
      <c r="BT130" s="1762">
        <f>SUM(BP130:BS130)</f>
        <v>10836</v>
      </c>
      <c r="BU130" s="2802" t="e">
        <f>#REF!</f>
        <v>#REF!</v>
      </c>
      <c r="BV130" s="2802" t="e">
        <f>#REF!</f>
        <v>#REF!</v>
      </c>
      <c r="BW130" s="2803" t="e">
        <f>#REF!</f>
        <v>#REF!</v>
      </c>
      <c r="BX130" s="2803" t="e">
        <f>#REF!</f>
        <v>#REF!</v>
      </c>
      <c r="BY130" s="1762" t="e">
        <f>SUM(BU130:BX130)</f>
        <v>#REF!</v>
      </c>
      <c r="BZ130" s="2803" t="e">
        <f>#REF!</f>
        <v>#REF!</v>
      </c>
      <c r="CA130" s="2803" t="e">
        <f>#REF!</f>
        <v>#REF!</v>
      </c>
      <c r="CB130" s="2803" t="e">
        <f>#REF!</f>
        <v>#REF!</v>
      </c>
      <c r="CC130" s="2803" t="e">
        <f>#REF!</f>
        <v>#REF!</v>
      </c>
      <c r="CD130" s="1762" t="e">
        <f>SUM(BZ130:CC130)</f>
        <v>#REF!</v>
      </c>
      <c r="CE130" s="1765">
        <f>'Rev Detail - OLD'!BE332</f>
        <v>0</v>
      </c>
      <c r="CF130" s="1765">
        <f>'Rev Detail - OLD'!BF332</f>
        <v>0</v>
      </c>
      <c r="CG130" s="1765">
        <f>'Rev Detail - OLD'!BG332</f>
        <v>0</v>
      </c>
      <c r="CH130" s="1765">
        <f>'Rev Detail - OLD'!BH332</f>
        <v>0</v>
      </c>
      <c r="CI130" s="1762">
        <f>SUM(CE130:CH130)</f>
        <v>0</v>
      </c>
      <c r="CJ130" s="1765">
        <f>'Rev Detail - OLD'!BJ332</f>
        <v>0</v>
      </c>
      <c r="CK130" s="1765">
        <f>'Rev Detail - OLD'!BK332</f>
        <v>0</v>
      </c>
      <c r="CL130" s="1765">
        <f>'Rev Detail - OLD'!BL332</f>
        <v>0</v>
      </c>
      <c r="CM130" s="1765">
        <f>'Rev Detail - OLD'!BM332</f>
        <v>0</v>
      </c>
      <c r="CN130" s="1762">
        <f>SUM(CJ130:CM130)</f>
        <v>0</v>
      </c>
      <c r="CO130" s="1765">
        <f>'Rev Detail - OLD'!BO332</f>
        <v>0</v>
      </c>
      <c r="CP130" s="1765">
        <f>'Rev Detail - OLD'!BP332</f>
        <v>0</v>
      </c>
      <c r="CQ130" s="1765">
        <f>'Rev Detail - OLD'!BQ332</f>
        <v>0</v>
      </c>
      <c r="CR130" s="1765">
        <f>'Rev Detail - OLD'!BR332</f>
        <v>0</v>
      </c>
      <c r="CS130" s="1762">
        <f>SUM(CO130:CR130)</f>
        <v>0</v>
      </c>
      <c r="CT130" s="1765">
        <f>'Rev Detail - OLD'!BT332</f>
        <v>0</v>
      </c>
      <c r="CU130" s="1765">
        <f>'Rev Detail - OLD'!BU332</f>
        <v>0</v>
      </c>
      <c r="CV130" s="1765">
        <f>'Rev Detail - OLD'!BV332</f>
        <v>0</v>
      </c>
      <c r="CW130" s="1765">
        <f>'Rev Detail - OLD'!BW332</f>
        <v>9164</v>
      </c>
      <c r="CX130" s="1762">
        <f>SUM(CT130:CW130)</f>
        <v>9164</v>
      </c>
      <c r="CY130" s="1761"/>
      <c r="CZ130" s="1761"/>
      <c r="DA130" s="1762"/>
      <c r="DB130" s="1762"/>
      <c r="DC130" s="1762"/>
      <c r="DD130" s="1762"/>
      <c r="DE130" s="1762"/>
      <c r="DF130" s="1762"/>
      <c r="DG130" s="1766"/>
      <c r="DH130" s="1766"/>
      <c r="DI130" s="1762">
        <f>SUM(BC130:BD130,BF130:BG130)</f>
        <v>5076</v>
      </c>
      <c r="DJ130" s="1766">
        <f>SUM(BH130:BI130,BK130:BL130)</f>
        <v>6405</v>
      </c>
      <c r="DK130" s="1766">
        <f>SUM(BM130:BN130,BP130:BQ130)</f>
        <v>9164</v>
      </c>
      <c r="DL130" s="1766" t="e">
        <f>SUM(BU130:BV130,BR130:BS130)</f>
        <v>#REF!</v>
      </c>
      <c r="DM130" s="1762" t="e">
        <f>SUM(BW130:BX130,BZ130:CA130)</f>
        <v>#REF!</v>
      </c>
      <c r="DN130" s="1762" t="e">
        <f>SUM(CB130:CC130,CE130:CF130)</f>
        <v>#REF!</v>
      </c>
      <c r="DO130" s="1762"/>
      <c r="DP130" s="1762"/>
      <c r="DQ130" s="1762"/>
      <c r="DR130" s="1795"/>
      <c r="DS130" s="264"/>
      <c r="DT130" s="264"/>
      <c r="DU130" s="264"/>
      <c r="DV130" s="264"/>
      <c r="DW130" s="264"/>
      <c r="DX130" s="264"/>
      <c r="DY130" s="264"/>
      <c r="DZ130" s="264"/>
      <c r="EA130" s="264"/>
      <c r="EB130" s="264"/>
      <c r="EC130" s="264"/>
      <c r="ED130" s="264"/>
      <c r="EE130" s="264"/>
      <c r="EF130" s="264"/>
      <c r="EG130" s="264"/>
      <c r="EH130" s="264"/>
      <c r="EI130" s="264"/>
      <c r="EJ130" s="264"/>
      <c r="EK130" s="264"/>
      <c r="EL130" s="264"/>
      <c r="EM130" s="264"/>
      <c r="EN130" s="264"/>
      <c r="EO130" s="264"/>
      <c r="EP130" s="264"/>
      <c r="EQ130" s="264"/>
      <c r="ER130" s="264"/>
    </row>
    <row r="131" spans="1:148" s="937" customFormat="1" ht="12" hidden="1" outlineLevel="1">
      <c r="A131" s="1767" t="s">
        <v>717</v>
      </c>
      <c r="B131" s="1768"/>
      <c r="C131" s="1768"/>
      <c r="D131" s="1768"/>
      <c r="E131" s="1768"/>
      <c r="F131" s="1768"/>
      <c r="G131" s="1768"/>
      <c r="H131" s="1768"/>
      <c r="I131" s="1768"/>
      <c r="J131" s="1768"/>
      <c r="K131" s="1768"/>
      <c r="L131" s="1768"/>
      <c r="M131" s="1768"/>
      <c r="N131" s="1768"/>
      <c r="O131" s="1768"/>
      <c r="P131" s="1768"/>
      <c r="Q131" s="1768"/>
      <c r="R131" s="1768"/>
      <c r="S131" s="1768"/>
      <c r="T131" s="1768"/>
      <c r="U131" s="1768"/>
      <c r="V131" s="1768"/>
      <c r="W131" s="1768"/>
      <c r="X131" s="1768"/>
      <c r="Y131" s="1768"/>
      <c r="Z131" s="1768"/>
      <c r="AA131" s="1768"/>
      <c r="AB131" s="1768"/>
      <c r="AC131" s="1768"/>
      <c r="AD131" s="1768"/>
      <c r="AE131" s="1768"/>
      <c r="AF131" s="1768"/>
      <c r="AG131" s="1768"/>
      <c r="AH131" s="1768"/>
      <c r="AI131" s="1768"/>
      <c r="AJ131" s="1768"/>
      <c r="AK131" s="1768"/>
      <c r="AL131" s="1768"/>
      <c r="AM131" s="1768"/>
      <c r="AN131" s="1768"/>
      <c r="AO131" s="1768"/>
      <c r="AP131" s="1768"/>
      <c r="AQ131" s="1768"/>
      <c r="AR131" s="1768"/>
      <c r="AS131" s="1768"/>
      <c r="AT131" s="1768"/>
      <c r="AU131" s="1769"/>
      <c r="AV131" s="1768"/>
      <c r="AW131" s="1768"/>
      <c r="AX131" s="1768"/>
      <c r="AY131" s="1770"/>
      <c r="AZ131" s="1769"/>
      <c r="BA131" s="1771" t="str">
        <f>IF(ISERROR(BA130/AV130-1),"",(BA130/AV130-1))</f>
        <v/>
      </c>
      <c r="BB131" s="1771" t="str">
        <f>IF(ISERROR(BB130/AW130-1),"",(BB130/AW130-1))</f>
        <v/>
      </c>
      <c r="BC131" s="1771" t="str">
        <f>IF(ISERROR(BC130/AX130-1),"",(BC130/AX130-1))</f>
        <v/>
      </c>
      <c r="BD131" s="1771" t="str">
        <f>IF(ISERROR(BD130/AY130-1),"",(BD130/AY130-1))</f>
        <v/>
      </c>
      <c r="BE131" s="1769"/>
      <c r="BF131" s="1771">
        <f>IF(ISERROR(BF130/BA130-1),"",(BF130/BA130-1))</f>
        <v>0.2011549566891242</v>
      </c>
      <c r="BG131" s="1771">
        <f>IF(ISERROR(BG130/BB130-1),"",(BG130/BB130-1))</f>
        <v>0.19125214408233271</v>
      </c>
      <c r="BH131" s="1771">
        <f>IF(ISERROR(BH130/BC130-1),"",(BH130/BC130-1))</f>
        <v>0.25237683664649957</v>
      </c>
      <c r="BI131" s="1771">
        <f>IF(ISERROR(BI130/BD130-1),"",(BI130/BD130-1))</f>
        <v>0.22776911076443063</v>
      </c>
      <c r="BJ131" s="1769">
        <f>BJ130/BE130-1</f>
        <v>0.21877691645133512</v>
      </c>
      <c r="BK131" s="1771">
        <f>IF(ISERROR(BK130/BF130-1),"",(BK130/BF130-1))</f>
        <v>0.28365384615384626</v>
      </c>
      <c r="BL131" s="1771">
        <f>IF(ISERROR(BL130/BG130-1),"",(BL130/BG130-1))</f>
        <v>0.28149748020158394</v>
      </c>
      <c r="BM131" s="1771">
        <f>IF(ISERROR(BM130/BH130-1),"",(BM130/BH130-1))</f>
        <v>0.31262939958592129</v>
      </c>
      <c r="BN131" s="1771">
        <f>IF(ISERROR(BN130/BI130-1),"",(BN130/BI130-1))</f>
        <v>0.43710292249047011</v>
      </c>
      <c r="BO131" s="1769">
        <f>BO130/BJ130-1</f>
        <v>0.33321554770318018</v>
      </c>
      <c r="BP131" s="1771">
        <f>IF(ISERROR(BP130/BK130-1),"",(BP130/BK130-1))</f>
        <v>0.50249687890137329</v>
      </c>
      <c r="BQ131" s="1771">
        <f>IF(ISERROR(BQ130/BL130-1),"",(BQ130/BL130-1))</f>
        <v>0.45674157303370788</v>
      </c>
      <c r="BR131" s="1771">
        <f>IF(ISERROR(BR130/BM130-1),"",(BR130/BM130-1))</f>
        <v>0.45110410094637232</v>
      </c>
      <c r="BS131" s="1771">
        <f>IF(ISERROR(BS130/BN130-1),"",(BS130/BN130-1))</f>
        <v>0.35985853227232534</v>
      </c>
      <c r="BT131" s="1769">
        <f>BT130/BO130-1</f>
        <v>0.43599257884972165</v>
      </c>
      <c r="BU131" s="1771" t="str">
        <f>IF(ISERROR(BU130/BP130-1),"",(BU130/BP130-1))</f>
        <v/>
      </c>
      <c r="BV131" s="1771" t="str">
        <f>IF(ISERROR(BV130/BQ130-1),"",(BV130/BQ130-1))</f>
        <v/>
      </c>
      <c r="BW131" s="1771" t="str">
        <f>IF(ISERROR(BW130/BR130-1),"",(BW130/BR130-1))</f>
        <v/>
      </c>
      <c r="BX131" s="1771" t="str">
        <f>IF(ISERROR(BX130/BS130-1),"",(BX130/BS130-1))</f>
        <v/>
      </c>
      <c r="BY131" s="1769" t="e">
        <f>BY130/BT130-1</f>
        <v>#REF!</v>
      </c>
      <c r="BZ131" s="1771" t="str">
        <f>IF(ISERROR(BZ130/BU130-1),"",(BZ130/BU130-1))</f>
        <v/>
      </c>
      <c r="CA131" s="1771" t="str">
        <f>IF(ISERROR(CA130/BV130-1),"",(CA130/BV130-1))</f>
        <v/>
      </c>
      <c r="CB131" s="1771" t="str">
        <f>IF(ISERROR(CB130/BW130-1),"",(CB130/BW130-1))</f>
        <v/>
      </c>
      <c r="CC131" s="1771" t="str">
        <f>IF(ISERROR(CC130/BX130-1),"",(CC130/BX130-1))</f>
        <v/>
      </c>
      <c r="CD131" s="1769" t="e">
        <f>CD130/BY130-1</f>
        <v>#REF!</v>
      </c>
      <c r="CE131" s="1771" t="str">
        <f>IF(ISERROR(CE130/BZ130-1),"",(CE130/BZ130-1))</f>
        <v/>
      </c>
      <c r="CF131" s="1771" t="str">
        <f>IF(ISERROR(CF130/CA130-1),"",(CF130/CA130-1))</f>
        <v/>
      </c>
      <c r="CG131" s="1771" t="str">
        <f>IF(ISERROR(CG130/CB130-1),"",(CG130/CB130-1))</f>
        <v/>
      </c>
      <c r="CH131" s="1771" t="str">
        <f>IF(ISERROR(CH130/CC130-1),"",(CH130/CC130-1))</f>
        <v/>
      </c>
      <c r="CI131" s="1769" t="e">
        <f>CI130/CD130-1</f>
        <v>#REF!</v>
      </c>
      <c r="CJ131" s="1771" t="str">
        <f>IF(ISERROR(CJ130/CE130-1),"",(CJ130/CE130-1))</f>
        <v/>
      </c>
      <c r="CK131" s="1771" t="str">
        <f>IF(ISERROR(CK130/CF130-1),"",(CK130/CF130-1))</f>
        <v/>
      </c>
      <c r="CL131" s="1771" t="str">
        <f>IF(ISERROR(CL130/CG130-1),"",(CL130/CG130-1))</f>
        <v/>
      </c>
      <c r="CM131" s="1771" t="str">
        <f>IF(ISERROR(CM130/CH130-1),"",(CM130/CH130-1))</f>
        <v/>
      </c>
      <c r="CN131" s="1769" t="e">
        <f>CN130/CI130-1</f>
        <v>#DIV/0!</v>
      </c>
      <c r="CO131" s="1771" t="str">
        <f>IF(ISERROR(CO130/CJ130-1),"",(CO130/CJ130-1))</f>
        <v/>
      </c>
      <c r="CP131" s="1771" t="str">
        <f>IF(ISERROR(CP130/CK130-1),"",(CP130/CK130-1))</f>
        <v/>
      </c>
      <c r="CQ131" s="1771" t="str">
        <f>IF(ISERROR(CQ130/CL130-1),"",(CQ130/CL130-1))</f>
        <v/>
      </c>
      <c r="CR131" s="1771" t="str">
        <f>IF(ISERROR(CR130/CM130-1),"",(CR130/CM130-1))</f>
        <v/>
      </c>
      <c r="CS131" s="1769" t="e">
        <f>CS130/CN130-1</f>
        <v>#DIV/0!</v>
      </c>
      <c r="CT131" s="1771" t="str">
        <f>IF(ISERROR(CT130/CO130-1),"",(CT130/CO130-1))</f>
        <v/>
      </c>
      <c r="CU131" s="1771" t="str">
        <f>IF(ISERROR(CU130/CP130-1),"",(CU130/CP130-1))</f>
        <v/>
      </c>
      <c r="CV131" s="1771" t="str">
        <f>IF(ISERROR(CV130/CQ130-1),"",(CV130/CQ130-1))</f>
        <v/>
      </c>
      <c r="CW131" s="1771" t="str">
        <f>IF(ISERROR(CW130/CR130-1),"",(CW130/CR130-1))</f>
        <v/>
      </c>
      <c r="CX131" s="1769" t="e">
        <f>CX130/CS130-1</f>
        <v>#DIV/0!</v>
      </c>
      <c r="CY131" s="1768"/>
      <c r="CZ131" s="1768"/>
      <c r="DA131" s="1769"/>
      <c r="DB131" s="1769"/>
      <c r="DC131" s="1769"/>
      <c r="DD131" s="1769"/>
      <c r="DE131" s="1769"/>
      <c r="DF131" s="1769"/>
      <c r="DG131" s="1772"/>
      <c r="DH131" s="1772"/>
      <c r="DI131" s="1769"/>
      <c r="DJ131" s="1772">
        <f>DJ130/DI130-1</f>
        <v>0.26182033096926705</v>
      </c>
      <c r="DK131" s="1773">
        <f>DK130/DJ130-1</f>
        <v>0.43075722092115543</v>
      </c>
      <c r="DL131" s="1773" t="e">
        <f>DL130/DK130-1</f>
        <v>#REF!</v>
      </c>
      <c r="DM131" s="1774" t="e">
        <f>DM130/DL130-1</f>
        <v>#REF!</v>
      </c>
      <c r="DN131" s="1774" t="e">
        <f>DN130/DM130-1</f>
        <v>#REF!</v>
      </c>
      <c r="DO131" s="1774"/>
      <c r="DP131" s="1774"/>
      <c r="DQ131" s="1774"/>
      <c r="DR131" s="1785"/>
      <c r="DS131" s="429"/>
      <c r="DT131" s="429"/>
      <c r="DU131" s="429"/>
      <c r="DV131" s="429"/>
      <c r="DW131" s="429"/>
      <c r="DX131" s="429"/>
      <c r="DY131" s="429"/>
      <c r="DZ131" s="429"/>
      <c r="EA131" s="429"/>
      <c r="EB131" s="429"/>
      <c r="EC131" s="429"/>
      <c r="ED131" s="429"/>
      <c r="EE131" s="429"/>
      <c r="EF131" s="429"/>
      <c r="EG131" s="429"/>
      <c r="EH131" s="429"/>
      <c r="EI131" s="429"/>
      <c r="EJ131" s="429"/>
      <c r="EK131" s="429"/>
      <c r="EL131" s="429"/>
      <c r="EM131" s="429"/>
      <c r="EN131" s="429"/>
      <c r="EO131" s="429"/>
      <c r="EP131" s="429"/>
      <c r="EQ131" s="429"/>
      <c r="ER131" s="429"/>
    </row>
    <row r="132" spans="1:148" s="937" customFormat="1" ht="12" hidden="1" outlineLevel="1">
      <c r="A132" s="1767" t="s">
        <v>1027</v>
      </c>
      <c r="B132" s="1768"/>
      <c r="C132" s="1768"/>
      <c r="D132" s="1768"/>
      <c r="E132" s="1768"/>
      <c r="F132" s="1768"/>
      <c r="G132" s="1768"/>
      <c r="H132" s="1768"/>
      <c r="I132" s="1768"/>
      <c r="J132" s="1768"/>
      <c r="K132" s="1768"/>
      <c r="L132" s="1768"/>
      <c r="M132" s="1768"/>
      <c r="N132" s="1768"/>
      <c r="O132" s="1768"/>
      <c r="P132" s="1768"/>
      <c r="Q132" s="1768"/>
      <c r="R132" s="1768"/>
      <c r="S132" s="1768"/>
      <c r="T132" s="1768"/>
      <c r="U132" s="1768"/>
      <c r="V132" s="1768"/>
      <c r="W132" s="1768"/>
      <c r="X132" s="1768"/>
      <c r="Y132" s="1768"/>
      <c r="Z132" s="1768"/>
      <c r="AA132" s="1768"/>
      <c r="AB132" s="1768"/>
      <c r="AC132" s="1768"/>
      <c r="AD132" s="1768"/>
      <c r="AE132" s="1768"/>
      <c r="AF132" s="1768"/>
      <c r="AG132" s="1768"/>
      <c r="AH132" s="1768"/>
      <c r="AI132" s="1768"/>
      <c r="AJ132" s="1768"/>
      <c r="AK132" s="1768"/>
      <c r="AL132" s="1768"/>
      <c r="AM132" s="1768"/>
      <c r="AN132" s="1768"/>
      <c r="AO132" s="1768"/>
      <c r="AP132" s="1768"/>
      <c r="AQ132" s="1768"/>
      <c r="AR132" s="1768"/>
      <c r="AS132" s="1768"/>
      <c r="AT132" s="1768"/>
      <c r="AU132" s="1769"/>
      <c r="AV132" s="1768"/>
      <c r="AW132" s="1768"/>
      <c r="AX132" s="1768"/>
      <c r="AY132" s="1770"/>
      <c r="AZ132" s="1769"/>
      <c r="BA132" s="1771"/>
      <c r="BB132" s="1771"/>
      <c r="BC132" s="1771"/>
      <c r="BD132" s="1771"/>
      <c r="BE132" s="1769"/>
      <c r="BF132" s="1771"/>
      <c r="BG132" s="1771"/>
      <c r="BH132" s="1771"/>
      <c r="BI132" s="1771"/>
      <c r="BJ132" s="1769"/>
      <c r="BK132" s="1771"/>
      <c r="BL132" s="1771"/>
      <c r="BM132" s="1771"/>
      <c r="BN132" s="1771"/>
      <c r="BO132" s="1769"/>
      <c r="BP132" s="1771"/>
      <c r="BQ132" s="1771">
        <f>BQ131+1%</f>
        <v>0.46674157303370789</v>
      </c>
      <c r="BR132" s="1771">
        <v>0.49</v>
      </c>
      <c r="BS132" s="1771">
        <v>0.41</v>
      </c>
      <c r="BT132" s="1769"/>
      <c r="BU132" s="1771"/>
      <c r="BV132" s="1771"/>
      <c r="BW132" s="1771"/>
      <c r="BX132" s="1771"/>
      <c r="BY132" s="1769"/>
      <c r="BZ132" s="1771"/>
      <c r="CA132" s="1771"/>
      <c r="CB132" s="1771"/>
      <c r="CC132" s="1771"/>
      <c r="CD132" s="1769"/>
      <c r="CE132" s="1771"/>
      <c r="CF132" s="1771"/>
      <c r="CG132" s="1771"/>
      <c r="CH132" s="1771"/>
      <c r="CI132" s="1769"/>
      <c r="CJ132" s="1771"/>
      <c r="CK132" s="1771"/>
      <c r="CL132" s="1771"/>
      <c r="CM132" s="1771"/>
      <c r="CN132" s="1769"/>
      <c r="CO132" s="1771"/>
      <c r="CP132" s="1771"/>
      <c r="CQ132" s="1771"/>
      <c r="CR132" s="1771"/>
      <c r="CS132" s="1769"/>
      <c r="CT132" s="1771"/>
      <c r="CU132" s="1771"/>
      <c r="CV132" s="1771"/>
      <c r="CW132" s="1771"/>
      <c r="CX132" s="1769"/>
      <c r="CY132" s="1768"/>
      <c r="CZ132" s="1768"/>
      <c r="DA132" s="1769"/>
      <c r="DB132" s="1769"/>
      <c r="DC132" s="1769"/>
      <c r="DD132" s="1769"/>
      <c r="DE132" s="1769"/>
      <c r="DF132" s="1769"/>
      <c r="DG132" s="1772"/>
      <c r="DH132" s="1772"/>
      <c r="DI132" s="1769"/>
      <c r="DJ132" s="1772"/>
      <c r="DK132" s="1773"/>
      <c r="DL132" s="1773"/>
      <c r="DM132" s="1774"/>
      <c r="DN132" s="1774"/>
      <c r="DO132" s="1774"/>
      <c r="DP132" s="1774"/>
      <c r="DQ132" s="1774"/>
      <c r="DR132" s="1785"/>
      <c r="DS132" s="429"/>
      <c r="DT132" s="429"/>
      <c r="DU132" s="429"/>
      <c r="DV132" s="429"/>
      <c r="DW132" s="429"/>
      <c r="DX132" s="429"/>
      <c r="DY132" s="429"/>
      <c r="DZ132" s="429"/>
      <c r="EA132" s="429"/>
      <c r="EB132" s="429"/>
      <c r="EC132" s="429"/>
      <c r="ED132" s="429"/>
      <c r="EE132" s="429"/>
      <c r="EF132" s="429"/>
      <c r="EG132" s="429"/>
      <c r="EH132" s="429"/>
      <c r="EI132" s="429"/>
      <c r="EJ132" s="429"/>
      <c r="EK132" s="429"/>
      <c r="EL132" s="429"/>
      <c r="EM132" s="429"/>
      <c r="EN132" s="429"/>
      <c r="EO132" s="429"/>
      <c r="EP132" s="429"/>
      <c r="EQ132" s="429"/>
      <c r="ER132" s="429"/>
    </row>
    <row r="133" spans="1:148" s="937" customFormat="1" ht="12" hidden="1" outlineLevel="1">
      <c r="A133" s="1767" t="s">
        <v>718</v>
      </c>
      <c r="B133" s="1768"/>
      <c r="C133" s="1768"/>
      <c r="D133" s="1768"/>
      <c r="E133" s="1768"/>
      <c r="F133" s="1768"/>
      <c r="G133" s="1768"/>
      <c r="H133" s="1768"/>
      <c r="I133" s="1768"/>
      <c r="J133" s="1768"/>
      <c r="K133" s="1768"/>
      <c r="L133" s="1768"/>
      <c r="M133" s="1768"/>
      <c r="N133" s="1768"/>
      <c r="O133" s="1768"/>
      <c r="P133" s="1768"/>
      <c r="Q133" s="1768"/>
      <c r="R133" s="1768"/>
      <c r="S133" s="1768"/>
      <c r="T133" s="1768"/>
      <c r="U133" s="1768"/>
      <c r="V133" s="1768"/>
      <c r="W133" s="1768"/>
      <c r="X133" s="1768"/>
      <c r="Y133" s="1768"/>
      <c r="Z133" s="1768"/>
      <c r="AA133" s="1768"/>
      <c r="AB133" s="1768"/>
      <c r="AC133" s="1768"/>
      <c r="AD133" s="1768"/>
      <c r="AE133" s="1768"/>
      <c r="AF133" s="1768"/>
      <c r="AG133" s="1768"/>
      <c r="AH133" s="1768"/>
      <c r="AI133" s="1768"/>
      <c r="AJ133" s="1768"/>
      <c r="AK133" s="1768"/>
      <c r="AL133" s="1768"/>
      <c r="AM133" s="1768"/>
      <c r="AN133" s="1768"/>
      <c r="AO133" s="1768"/>
      <c r="AP133" s="1768"/>
      <c r="AQ133" s="1768"/>
      <c r="AR133" s="1768"/>
      <c r="AS133" s="1768"/>
      <c r="AT133" s="1768"/>
      <c r="AU133" s="1769"/>
      <c r="AV133" s="1768"/>
      <c r="AW133" s="1768"/>
      <c r="AX133" s="1768"/>
      <c r="AY133" s="1770"/>
      <c r="AZ133" s="1769"/>
      <c r="BA133" s="1775" t="str">
        <f>IF(ISERROR(BA130/AY130-1),"",(BA130/AY130-1))</f>
        <v/>
      </c>
      <c r="BB133" s="1775">
        <f>IF(ISERROR(BB130/BA130-1),"",(BB130/BA130-1))</f>
        <v>0.12223291626564015</v>
      </c>
      <c r="BC133" s="1775">
        <f>IF(ISERROR(BC130/BB130-1),"",(BC130/BB130-1))</f>
        <v>-7.718696397941649E-3</v>
      </c>
      <c r="BD133" s="1775">
        <f>IF(ISERROR(BD130/BC130-1),"",(BD130/BC130-1))</f>
        <v>0.1080380293863441</v>
      </c>
      <c r="BE133" s="1769"/>
      <c r="BF133" s="1775">
        <f>IF(ISERROR(BF130/BD130-1),"",(BF130/BD130-1))</f>
        <v>-2.6521060842433664E-2</v>
      </c>
      <c r="BG133" s="1775">
        <f>IF(ISERROR(BG130/BF130-1),"",(BG130/BF130-1))</f>
        <v>0.11298076923076916</v>
      </c>
      <c r="BH133" s="1775">
        <f>IF(ISERROR(BH130/BG130-1),"",(BH130/BG130-1))</f>
        <v>4.3196544276457916E-2</v>
      </c>
      <c r="BI133" s="1775">
        <f>IF(ISERROR(BI130/BH130-1),"",(BI130/BH130-1))</f>
        <v>8.6266390614216704E-2</v>
      </c>
      <c r="BJ133" s="1769"/>
      <c r="BK133" s="1775">
        <f>IF(ISERROR(BK130/BI130-1),"",(BK130/BI130-1))</f>
        <v>1.7789072426937835E-2</v>
      </c>
      <c r="BL133" s="1775">
        <f>IF(ISERROR(BL130/BK130-1),"",(BL130/BK130-1))</f>
        <v>0.11111111111111116</v>
      </c>
      <c r="BM133" s="1775">
        <f>IF(ISERROR(BM130/BL130-1),"",(BM130/BL130-1))</f>
        <v>6.853932584269673E-2</v>
      </c>
      <c r="BN133" s="1775">
        <f>IF(ISERROR(BN130/BM130-1),"",(BN130/BM130-1))</f>
        <v>0.18927444794952675</v>
      </c>
      <c r="BO133" s="1769"/>
      <c r="BP133" s="1775">
        <f>IF(ISERROR(BP130/BN130-1),"",(BP130/BN130-1))</f>
        <v>6.4102564102564097E-2</v>
      </c>
      <c r="BQ133" s="1775">
        <f>IF(ISERROR(BQ130/BP130-1),"",(BQ130/BP130-1))</f>
        <v>7.7274615704196137E-2</v>
      </c>
      <c r="BR133" s="1775">
        <f>IF(ISERROR(BR130/BQ130-1),"",(BR130/BQ130-1))</f>
        <v>6.4404165059776419E-2</v>
      </c>
      <c r="BS133" s="1775">
        <f>IF(ISERROR(BS130/BR130-1),"",(BS130/BR130-1))</f>
        <v>0.11449275362318834</v>
      </c>
      <c r="BT133" s="1769"/>
      <c r="BU133" s="1775" t="str">
        <f>IF(ISERROR(BU130/BS130-1),"",(BU130/BS130-1))</f>
        <v/>
      </c>
      <c r="BV133" s="1775" t="str">
        <f>IF(ISERROR(BV130/BU130-1),"",(BV130/BU130-1))</f>
        <v/>
      </c>
      <c r="BW133" s="1775" t="str">
        <f>IF(ISERROR(BW130/BV130-1),"",(BW130/BV130-1))</f>
        <v/>
      </c>
      <c r="BX133" s="1775" t="str">
        <f>IF(ISERROR(BX130/BW130-1),"",(BX130/BW130-1))</f>
        <v/>
      </c>
      <c r="BY133" s="1769"/>
      <c r="BZ133" s="1775" t="str">
        <f>IF(ISERROR(BZ130/BX130-1),"",(BZ130/BX130-1))</f>
        <v/>
      </c>
      <c r="CA133" s="1775" t="str">
        <f>IF(ISERROR(CA130/BZ130-1),"",(CA130/BZ130-1))</f>
        <v/>
      </c>
      <c r="CB133" s="1775" t="str">
        <f>IF(ISERROR(CB130/CA130-1),"",(CB130/CA130-1))</f>
        <v/>
      </c>
      <c r="CC133" s="1775" t="str">
        <f>IF(ISERROR(CC130/CB130-1),"",(CC130/CB130-1))</f>
        <v/>
      </c>
      <c r="CD133" s="1769"/>
      <c r="CE133" s="1775" t="str">
        <f>IF(ISERROR(CE130/CC130-1),"",(CE130/CC130-1))</f>
        <v/>
      </c>
      <c r="CF133" s="1775" t="str">
        <f>IF(ISERROR(CF130/CE130-1),"",(CF130/CE130-1))</f>
        <v/>
      </c>
      <c r="CG133" s="1775" t="str">
        <f>IF(ISERROR(CG130/CF130-1),"",(CG130/CF130-1))</f>
        <v/>
      </c>
      <c r="CH133" s="1775" t="str">
        <f>IF(ISERROR(CH130/CG130-1),"",(CH130/CG130-1))</f>
        <v/>
      </c>
      <c r="CI133" s="1769"/>
      <c r="CJ133" s="1775" t="str">
        <f>IF(ISERROR(CJ130/CH130-1),"",(CJ130/CH130-1))</f>
        <v/>
      </c>
      <c r="CK133" s="1775" t="str">
        <f>IF(ISERROR(CK130/CJ130-1),"",(CK130/CJ130-1))</f>
        <v/>
      </c>
      <c r="CL133" s="1775" t="str">
        <f>IF(ISERROR(CL130/CK130-1),"",(CL130/CK130-1))</f>
        <v/>
      </c>
      <c r="CM133" s="1775" t="str">
        <f>IF(ISERROR(CM130/CL130-1),"",(CM130/CL130-1))</f>
        <v/>
      </c>
      <c r="CN133" s="1769"/>
      <c r="CO133" s="1775" t="str">
        <f>IF(ISERROR(CO130/CM130-1),"",(CO130/CM130-1))</f>
        <v/>
      </c>
      <c r="CP133" s="1775" t="str">
        <f>IF(ISERROR(CP130/CO130-1),"",(CP130/CO130-1))</f>
        <v/>
      </c>
      <c r="CQ133" s="1775" t="str">
        <f>IF(ISERROR(CQ130/CP130-1),"",(CQ130/CP130-1))</f>
        <v/>
      </c>
      <c r="CR133" s="1775" t="str">
        <f>IF(ISERROR(CR130/CQ130-1),"",(CR130/CQ130-1))</f>
        <v/>
      </c>
      <c r="CS133" s="1769"/>
      <c r="CT133" s="1775" t="str">
        <f>IF(ISERROR(CT130/CR130-1),"",(CT130/CR130-1))</f>
        <v/>
      </c>
      <c r="CU133" s="1775" t="str">
        <f>IF(ISERROR(CU130/CT130-1),"",(CU130/CT130-1))</f>
        <v/>
      </c>
      <c r="CV133" s="1775" t="str">
        <f>IF(ISERROR(CV130/CU130-1),"",(CV130/CU130-1))</f>
        <v/>
      </c>
      <c r="CW133" s="1775" t="str">
        <f>IF(ISERROR(CW130/CV130-1),"",(CW130/CV130-1))</f>
        <v/>
      </c>
      <c r="CX133" s="1769"/>
      <c r="CY133" s="1768"/>
      <c r="CZ133" s="1768"/>
      <c r="DA133" s="1769"/>
      <c r="DB133" s="1769"/>
      <c r="DC133" s="1769"/>
      <c r="DD133" s="1769"/>
      <c r="DE133" s="1769"/>
      <c r="DF133" s="1769"/>
      <c r="DG133" s="1772"/>
      <c r="DH133" s="1772"/>
      <c r="DI133" s="1769"/>
      <c r="DJ133" s="1772"/>
      <c r="DK133" s="1772"/>
      <c r="DL133" s="1772"/>
      <c r="DM133" s="1769"/>
      <c r="DN133" s="1769"/>
      <c r="DO133" s="1769"/>
      <c r="DP133" s="1769"/>
      <c r="DQ133" s="1769"/>
      <c r="DR133" s="1775"/>
      <c r="DS133" s="429"/>
      <c r="DT133" s="429"/>
      <c r="DU133" s="429"/>
      <c r="DV133" s="429"/>
      <c r="DW133" s="429"/>
      <c r="DX133" s="429"/>
      <c r="DY133" s="429"/>
      <c r="DZ133" s="429"/>
      <c r="EA133" s="429"/>
      <c r="EB133" s="429"/>
      <c r="EC133" s="429"/>
      <c r="ED133" s="429"/>
      <c r="EE133" s="429"/>
      <c r="EF133" s="429"/>
      <c r="EG133" s="429"/>
      <c r="EH133" s="429"/>
      <c r="EI133" s="429"/>
      <c r="EJ133" s="429"/>
      <c r="EK133" s="429"/>
      <c r="EL133" s="429"/>
      <c r="EM133" s="429"/>
      <c r="EN133" s="429"/>
      <c r="EO133" s="429"/>
      <c r="EP133" s="429"/>
      <c r="EQ133" s="429"/>
      <c r="ER133" s="429"/>
    </row>
    <row r="134" spans="1:148" s="937" customFormat="1" ht="12" hidden="1" outlineLevel="1">
      <c r="A134" s="1767" t="s">
        <v>482</v>
      </c>
      <c r="B134" s="1768"/>
      <c r="C134" s="1768"/>
      <c r="D134" s="1768"/>
      <c r="E134" s="1768"/>
      <c r="F134" s="1768"/>
      <c r="G134" s="1768"/>
      <c r="H134" s="1768"/>
      <c r="I134" s="1768"/>
      <c r="J134" s="1768"/>
      <c r="K134" s="1768"/>
      <c r="L134" s="1768"/>
      <c r="M134" s="1768"/>
      <c r="N134" s="1768"/>
      <c r="O134" s="1768"/>
      <c r="P134" s="1768"/>
      <c r="Q134" s="1768"/>
      <c r="R134" s="1768"/>
      <c r="S134" s="1768"/>
      <c r="T134" s="1768"/>
      <c r="U134" s="1768"/>
      <c r="V134" s="1768"/>
      <c r="W134" s="1768"/>
      <c r="X134" s="1768"/>
      <c r="Y134" s="1768"/>
      <c r="Z134" s="1768"/>
      <c r="AA134" s="1768"/>
      <c r="AB134" s="1768"/>
      <c r="AC134" s="1768"/>
      <c r="AD134" s="1768"/>
      <c r="AE134" s="1768"/>
      <c r="AF134" s="1768"/>
      <c r="AG134" s="1768"/>
      <c r="AH134" s="1768"/>
      <c r="AI134" s="1768"/>
      <c r="AJ134" s="1768"/>
      <c r="AK134" s="1768"/>
      <c r="AL134" s="1768"/>
      <c r="AM134" s="1768"/>
      <c r="AN134" s="1768"/>
      <c r="AO134" s="1768"/>
      <c r="AP134" s="1768"/>
      <c r="AQ134" s="1768"/>
      <c r="AR134" s="1768"/>
      <c r="AS134" s="1768"/>
      <c r="AT134" s="1768"/>
      <c r="AU134" s="1769"/>
      <c r="AV134" s="1768"/>
      <c r="AW134" s="1768"/>
      <c r="AX134" s="1768"/>
      <c r="AY134" s="1768"/>
      <c r="AZ134" s="1769"/>
      <c r="BA134" s="1771">
        <f t="shared" ref="BA134:CI134" si="192">BA130/BA$142</f>
        <v>5.9808887865530742E-2</v>
      </c>
      <c r="BB134" s="1771">
        <f t="shared" si="192"/>
        <v>5.5829542734019633E-2</v>
      </c>
      <c r="BC134" s="1771">
        <f t="shared" si="192"/>
        <v>6.6467513069454823E-2</v>
      </c>
      <c r="BD134" s="1771">
        <f t="shared" si="192"/>
        <v>7.0989534304225041E-2</v>
      </c>
      <c r="BE134" s="1769">
        <f t="shared" si="192"/>
        <v>6.2992553205919455E-2</v>
      </c>
      <c r="BF134" s="1771">
        <f t="shared" si="192"/>
        <v>7.7961019490254871E-2</v>
      </c>
      <c r="BG134" s="1771">
        <f t="shared" si="192"/>
        <v>6.4737136465324391E-2</v>
      </c>
      <c r="BH134" s="1771">
        <f t="shared" si="192"/>
        <v>7.0720874615647425E-2</v>
      </c>
      <c r="BI134" s="1771">
        <f t="shared" si="192"/>
        <v>7.9111379171692808E-2</v>
      </c>
      <c r="BJ134" s="1769">
        <f t="shared" si="192"/>
        <v>7.2704851700086059E-2</v>
      </c>
      <c r="BK134" s="1771">
        <f t="shared" si="192"/>
        <v>8.6459064169679967E-2</v>
      </c>
      <c r="BL134" s="1771">
        <f t="shared" si="192"/>
        <v>7.259676169501203E-2</v>
      </c>
      <c r="BM134" s="1771">
        <f t="shared" si="192"/>
        <v>9.3221585061020434E-2</v>
      </c>
      <c r="BN134" s="1771">
        <f t="shared" si="192"/>
        <v>9.6741082884269955E-2</v>
      </c>
      <c r="BO134" s="1769">
        <f t="shared" si="192"/>
        <v>8.6902444923013134E-2</v>
      </c>
      <c r="BP134" s="1771">
        <f>BP130/BP$142</f>
        <v>0.10374552820999094</v>
      </c>
      <c r="BQ134" s="1771">
        <f>BQ130/BQ$142</f>
        <v>9.7959954665659238E-2</v>
      </c>
      <c r="BR134" s="1771">
        <f>BR130/BR$142</f>
        <v>0.12701919094297942</v>
      </c>
      <c r="BS134" s="1771">
        <f>BS130/BS$142</f>
        <v>0.13868349864743013</v>
      </c>
      <c r="BT134" s="1776">
        <f t="shared" si="192"/>
        <v>0.11579397307116905</v>
      </c>
      <c r="BU134" s="1771" t="e">
        <f t="shared" si="192"/>
        <v>#REF!</v>
      </c>
      <c r="BV134" s="1771" t="e">
        <f t="shared" si="192"/>
        <v>#REF!</v>
      </c>
      <c r="BW134" s="1771" t="e">
        <f t="shared" si="192"/>
        <v>#REF!</v>
      </c>
      <c r="BX134" s="1771" t="e">
        <f t="shared" si="192"/>
        <v>#REF!</v>
      </c>
      <c r="BY134" s="1776" t="e">
        <f t="shared" si="192"/>
        <v>#REF!</v>
      </c>
      <c r="BZ134" s="1771" t="e">
        <f t="shared" si="192"/>
        <v>#REF!</v>
      </c>
      <c r="CA134" s="1771" t="e">
        <f t="shared" si="192"/>
        <v>#REF!</v>
      </c>
      <c r="CB134" s="1771" t="e">
        <f t="shared" si="192"/>
        <v>#REF!</v>
      </c>
      <c r="CC134" s="1771" t="e">
        <f t="shared" si="192"/>
        <v>#REF!</v>
      </c>
      <c r="CD134" s="1776" t="e">
        <f t="shared" si="192"/>
        <v>#REF!</v>
      </c>
      <c r="CE134" s="1771" t="e">
        <f t="shared" si="192"/>
        <v>#DIV/0!</v>
      </c>
      <c r="CF134" s="1771" t="e">
        <f t="shared" si="192"/>
        <v>#DIV/0!</v>
      </c>
      <c r="CG134" s="1771" t="e">
        <f t="shared" si="192"/>
        <v>#DIV/0!</v>
      </c>
      <c r="CH134" s="1771" t="e">
        <f t="shared" si="192"/>
        <v>#DIV/0!</v>
      </c>
      <c r="CI134" s="1776" t="e">
        <f t="shared" si="192"/>
        <v>#DIV/0!</v>
      </c>
      <c r="CJ134" s="1771" t="e">
        <f t="shared" ref="CJ134:CS134" si="193">CJ130/CJ$142</f>
        <v>#DIV/0!</v>
      </c>
      <c r="CK134" s="1771" t="e">
        <f t="shared" si="193"/>
        <v>#DIV/0!</v>
      </c>
      <c r="CL134" s="1771" t="e">
        <f t="shared" si="193"/>
        <v>#DIV/0!</v>
      </c>
      <c r="CM134" s="1771" t="e">
        <f t="shared" si="193"/>
        <v>#DIV/0!</v>
      </c>
      <c r="CN134" s="1776" t="e">
        <f t="shared" si="193"/>
        <v>#DIV/0!</v>
      </c>
      <c r="CO134" s="1771" t="e">
        <f t="shared" si="193"/>
        <v>#DIV/0!</v>
      </c>
      <c r="CP134" s="1771" t="e">
        <f t="shared" si="193"/>
        <v>#DIV/0!</v>
      </c>
      <c r="CQ134" s="1771" t="e">
        <f t="shared" si="193"/>
        <v>#DIV/0!</v>
      </c>
      <c r="CR134" s="1771" t="e">
        <f t="shared" si="193"/>
        <v>#DIV/0!</v>
      </c>
      <c r="CS134" s="1776" t="e">
        <f t="shared" si="193"/>
        <v>#DIV/0!</v>
      </c>
      <c r="CT134" s="1771" t="e">
        <f t="shared" ref="CT134:CX134" si="194">CT130/CT$142</f>
        <v>#DIV/0!</v>
      </c>
      <c r="CU134" s="1771" t="e">
        <f t="shared" si="194"/>
        <v>#DIV/0!</v>
      </c>
      <c r="CV134" s="1771" t="e">
        <f t="shared" si="194"/>
        <v>#DIV/0!</v>
      </c>
      <c r="CW134" s="1771">
        <f t="shared" si="194"/>
        <v>9.8097426601772675E-2</v>
      </c>
      <c r="CX134" s="1776">
        <f t="shared" si="194"/>
        <v>9.8097426601772675E-2</v>
      </c>
      <c r="CY134" s="1768"/>
      <c r="CZ134" s="1768"/>
      <c r="DA134" s="1769"/>
      <c r="DB134" s="1769"/>
      <c r="DC134" s="1769"/>
      <c r="DD134" s="1769"/>
      <c r="DE134" s="1769"/>
      <c r="DF134" s="1769"/>
      <c r="DG134" s="1772"/>
      <c r="DH134" s="1772"/>
      <c r="DI134" s="1769"/>
      <c r="DJ134" s="1772"/>
      <c r="DK134" s="1772"/>
      <c r="DL134" s="1772"/>
      <c r="DM134" s="1769"/>
      <c r="DN134" s="1769"/>
      <c r="DO134" s="1769"/>
      <c r="DP134" s="1769"/>
      <c r="DQ134" s="1769"/>
      <c r="DR134" s="1775"/>
      <c r="DS134" s="429"/>
      <c r="DT134" s="429"/>
      <c r="DU134" s="429"/>
      <c r="DV134" s="429"/>
      <c r="DW134" s="429"/>
      <c r="DX134" s="429"/>
      <c r="DY134" s="429"/>
      <c r="DZ134" s="429"/>
      <c r="EA134" s="429"/>
      <c r="EB134" s="429"/>
      <c r="EC134" s="429"/>
      <c r="ED134" s="429"/>
      <c r="EE134" s="429"/>
      <c r="EF134" s="429"/>
      <c r="EG134" s="429"/>
      <c r="EH134" s="429"/>
      <c r="EI134" s="429"/>
      <c r="EJ134" s="429"/>
      <c r="EK134" s="429"/>
      <c r="EL134" s="429"/>
      <c r="EM134" s="429"/>
      <c r="EN134" s="429"/>
      <c r="EO134" s="429"/>
      <c r="EP134" s="429"/>
      <c r="EQ134" s="429"/>
      <c r="ER134" s="429"/>
    </row>
    <row r="135" spans="1:148" s="938" customFormat="1" ht="12" hidden="1" outlineLevel="1">
      <c r="A135" s="1781" t="s">
        <v>720</v>
      </c>
      <c r="B135" s="1758"/>
      <c r="C135" s="1758"/>
      <c r="D135" s="1758"/>
      <c r="E135" s="1758"/>
      <c r="F135" s="1758"/>
      <c r="G135" s="1758"/>
      <c r="H135" s="1758"/>
      <c r="I135" s="1758"/>
      <c r="J135" s="1758"/>
      <c r="K135" s="1758"/>
      <c r="L135" s="1758"/>
      <c r="M135" s="1758"/>
      <c r="N135" s="1758"/>
      <c r="O135" s="1758"/>
      <c r="P135" s="1758"/>
      <c r="Q135" s="1758"/>
      <c r="R135" s="1758"/>
      <c r="S135" s="1758"/>
      <c r="T135" s="1758"/>
      <c r="U135" s="1758"/>
      <c r="V135" s="1758"/>
      <c r="W135" s="1758"/>
      <c r="X135" s="1758"/>
      <c r="Y135" s="1758"/>
      <c r="Z135" s="1758"/>
      <c r="AA135" s="1758"/>
      <c r="AB135" s="1758"/>
      <c r="AC135" s="1758"/>
      <c r="AD135" s="1758"/>
      <c r="AE135" s="1758"/>
      <c r="AF135" s="1758"/>
      <c r="AG135" s="1758"/>
      <c r="AH135" s="1758"/>
      <c r="AI135" s="1758"/>
      <c r="AJ135" s="1758"/>
      <c r="AK135" s="1758"/>
      <c r="AL135" s="1758"/>
      <c r="AM135" s="1758"/>
      <c r="AN135" s="1758"/>
      <c r="AO135" s="1758"/>
      <c r="AP135" s="1758"/>
      <c r="AQ135" s="1758"/>
      <c r="AR135" s="1758"/>
      <c r="AS135" s="1758"/>
      <c r="AT135" s="1758"/>
      <c r="AU135" s="1782"/>
      <c r="AV135" s="1758"/>
      <c r="AW135" s="1758"/>
      <c r="AX135" s="1758"/>
      <c r="AY135" s="1758"/>
      <c r="AZ135" s="1782"/>
      <c r="BA135" s="1783">
        <f t="shared" ref="BA135:CI135" si="195">BA130+BA125</f>
        <v>9371</v>
      </c>
      <c r="BB135" s="1783">
        <f t="shared" si="195"/>
        <v>10751</v>
      </c>
      <c r="BC135" s="1783">
        <f t="shared" si="195"/>
        <v>10247</v>
      </c>
      <c r="BD135" s="1783">
        <f t="shared" si="195"/>
        <v>11401</v>
      </c>
      <c r="BE135" s="1782">
        <f t="shared" si="195"/>
        <v>41770</v>
      </c>
      <c r="BF135" s="1783">
        <f t="shared" si="195"/>
        <v>10193</v>
      </c>
      <c r="BG135" s="1783">
        <f t="shared" si="195"/>
        <v>11524</v>
      </c>
      <c r="BH135" s="1783">
        <f t="shared" si="195"/>
        <v>11428</v>
      </c>
      <c r="BI135" s="1783">
        <f t="shared" si="195"/>
        <v>12201</v>
      </c>
      <c r="BJ135" s="1782">
        <f t="shared" si="195"/>
        <v>45346</v>
      </c>
      <c r="BK135" s="1783">
        <f t="shared" si="195"/>
        <v>11213</v>
      </c>
      <c r="BL135" s="1783">
        <f t="shared" si="195"/>
        <v>12686</v>
      </c>
      <c r="BM135" s="1783">
        <f t="shared" si="195"/>
        <v>12237</v>
      </c>
      <c r="BN135" s="1783">
        <f t="shared" si="195"/>
        <v>13495</v>
      </c>
      <c r="BO135" s="1782">
        <f t="shared" si="195"/>
        <v>49631</v>
      </c>
      <c r="BP135" s="1783">
        <f t="shared" si="195"/>
        <v>12280</v>
      </c>
      <c r="BQ135" s="1783">
        <f t="shared" si="195"/>
        <v>13272</v>
      </c>
      <c r="BR135" s="1783">
        <f t="shared" si="195"/>
        <v>12796</v>
      </c>
      <c r="BS135" s="1783">
        <f t="shared" si="195"/>
        <v>13527</v>
      </c>
      <c r="BT135" s="1782">
        <f t="shared" si="195"/>
        <v>51875</v>
      </c>
      <c r="BU135" s="1783" t="e">
        <f t="shared" si="195"/>
        <v>#REF!</v>
      </c>
      <c r="BV135" s="1783" t="e">
        <f t="shared" si="195"/>
        <v>#REF!</v>
      </c>
      <c r="BW135" s="1783" t="e">
        <f t="shared" si="195"/>
        <v>#REF!</v>
      </c>
      <c r="BX135" s="1783" t="e">
        <f t="shared" si="195"/>
        <v>#REF!</v>
      </c>
      <c r="BY135" s="1782" t="e">
        <f t="shared" si="195"/>
        <v>#REF!</v>
      </c>
      <c r="BZ135" s="1783" t="e">
        <f t="shared" si="195"/>
        <v>#REF!</v>
      </c>
      <c r="CA135" s="1783" t="e">
        <f t="shared" si="195"/>
        <v>#REF!</v>
      </c>
      <c r="CB135" s="1783" t="e">
        <f t="shared" si="195"/>
        <v>#REF!</v>
      </c>
      <c r="CC135" s="1783" t="e">
        <f t="shared" si="195"/>
        <v>#REF!</v>
      </c>
      <c r="CD135" s="1782" t="e">
        <f t="shared" si="195"/>
        <v>#REF!</v>
      </c>
      <c r="CE135" s="1783">
        <f t="shared" si="195"/>
        <v>0</v>
      </c>
      <c r="CF135" s="1783">
        <f t="shared" si="195"/>
        <v>0</v>
      </c>
      <c r="CG135" s="1783">
        <f t="shared" si="195"/>
        <v>0</v>
      </c>
      <c r="CH135" s="1783">
        <f t="shared" si="195"/>
        <v>0</v>
      </c>
      <c r="CI135" s="1782">
        <f t="shared" si="195"/>
        <v>0</v>
      </c>
      <c r="CJ135" s="1783">
        <f t="shared" ref="CJ135:CS135" si="196">CJ130+CJ125</f>
        <v>0</v>
      </c>
      <c r="CK135" s="1783">
        <f t="shared" si="196"/>
        <v>0</v>
      </c>
      <c r="CL135" s="1783">
        <f t="shared" si="196"/>
        <v>0</v>
      </c>
      <c r="CM135" s="1783">
        <f t="shared" si="196"/>
        <v>0</v>
      </c>
      <c r="CN135" s="1782">
        <f t="shared" si="196"/>
        <v>0</v>
      </c>
      <c r="CO135" s="1783">
        <f t="shared" si="196"/>
        <v>0</v>
      </c>
      <c r="CP135" s="1783">
        <f t="shared" si="196"/>
        <v>0</v>
      </c>
      <c r="CQ135" s="1783">
        <f t="shared" si="196"/>
        <v>0</v>
      </c>
      <c r="CR135" s="1783">
        <f t="shared" si="196"/>
        <v>0</v>
      </c>
      <c r="CS135" s="1782">
        <f t="shared" si="196"/>
        <v>0</v>
      </c>
      <c r="CT135" s="1783">
        <f t="shared" ref="CT135:CX135" si="197">CT130+CT125</f>
        <v>0</v>
      </c>
      <c r="CU135" s="1783">
        <f t="shared" si="197"/>
        <v>0</v>
      </c>
      <c r="CV135" s="1783">
        <f t="shared" si="197"/>
        <v>0</v>
      </c>
      <c r="CW135" s="1783">
        <f t="shared" si="197"/>
        <v>51284</v>
      </c>
      <c r="CX135" s="1782">
        <f t="shared" si="197"/>
        <v>51284</v>
      </c>
      <c r="CY135" s="1758"/>
      <c r="CZ135" s="1758"/>
      <c r="DA135" s="1782"/>
      <c r="DB135" s="1782"/>
      <c r="DC135" s="1782"/>
      <c r="DD135" s="1782"/>
      <c r="DE135" s="1782"/>
      <c r="DF135" s="1782"/>
      <c r="DG135" s="1784"/>
      <c r="DH135" s="1784"/>
      <c r="DI135" s="1782">
        <f>SUM(BC135:BD135,BF135:BG135)</f>
        <v>43365</v>
      </c>
      <c r="DJ135" s="1784">
        <f>SUM(BH135:BI135,BK135:BL135)</f>
        <v>47528</v>
      </c>
      <c r="DK135" s="1784">
        <f>SUM(BM135:BN135,BP135:BQ135)</f>
        <v>51284</v>
      </c>
      <c r="DL135" s="1784" t="e">
        <f>SUM(BU135:BV135,BR135:BS135)</f>
        <v>#REF!</v>
      </c>
      <c r="DM135" s="1782" t="e">
        <f>SUM(BW135:BX135,BZ135:CA135)</f>
        <v>#REF!</v>
      </c>
      <c r="DN135" s="1782" t="e">
        <f>SUM(CB135:CC135,CE135:CF135)</f>
        <v>#REF!</v>
      </c>
      <c r="DO135" s="1782"/>
      <c r="DP135" s="1782"/>
      <c r="DQ135" s="1782"/>
      <c r="DR135" s="1783"/>
      <c r="DS135" s="936"/>
      <c r="DT135" s="936"/>
      <c r="DU135" s="936"/>
      <c r="DV135" s="936"/>
      <c r="DW135" s="936"/>
      <c r="DX135" s="936"/>
      <c r="DY135" s="936"/>
      <c r="DZ135" s="936"/>
      <c r="EA135" s="936"/>
      <c r="EB135" s="936"/>
      <c r="EC135" s="936"/>
      <c r="ED135" s="936"/>
      <c r="EE135" s="936"/>
      <c r="EF135" s="936"/>
      <c r="EG135" s="936"/>
      <c r="EH135" s="936"/>
      <c r="EI135" s="936"/>
      <c r="EJ135" s="936"/>
      <c r="EK135" s="936"/>
      <c r="EL135" s="936"/>
      <c r="EM135" s="936"/>
      <c r="EN135" s="936"/>
      <c r="EO135" s="936"/>
      <c r="EP135" s="936"/>
      <c r="EQ135" s="936"/>
      <c r="ER135" s="936"/>
    </row>
    <row r="136" spans="1:148" s="939" customFormat="1" ht="12" hidden="1" outlineLevel="1">
      <c r="A136" s="1760" t="s">
        <v>717</v>
      </c>
      <c r="B136" s="1778"/>
      <c r="C136" s="1778"/>
      <c r="D136" s="1778"/>
      <c r="E136" s="1778"/>
      <c r="F136" s="1778"/>
      <c r="G136" s="1778"/>
      <c r="H136" s="1778"/>
      <c r="I136" s="1778"/>
      <c r="J136" s="1778"/>
      <c r="K136" s="1778"/>
      <c r="L136" s="1778"/>
      <c r="M136" s="1778"/>
      <c r="N136" s="1778"/>
      <c r="O136" s="1778"/>
      <c r="P136" s="1778"/>
      <c r="Q136" s="1778"/>
      <c r="R136" s="1778"/>
      <c r="S136" s="1778"/>
      <c r="T136" s="1778"/>
      <c r="U136" s="1778"/>
      <c r="V136" s="1778"/>
      <c r="W136" s="1778"/>
      <c r="X136" s="1778"/>
      <c r="Y136" s="1778"/>
      <c r="Z136" s="1778"/>
      <c r="AA136" s="1778"/>
      <c r="AB136" s="1778"/>
      <c r="AC136" s="1778"/>
      <c r="AD136" s="1778"/>
      <c r="AE136" s="1778"/>
      <c r="AF136" s="1778"/>
      <c r="AG136" s="1778"/>
      <c r="AH136" s="1778"/>
      <c r="AI136" s="1778"/>
      <c r="AJ136" s="1778"/>
      <c r="AK136" s="1778"/>
      <c r="AL136" s="1778"/>
      <c r="AM136" s="1778"/>
      <c r="AN136" s="1778"/>
      <c r="AO136" s="1778"/>
      <c r="AP136" s="1778"/>
      <c r="AQ136" s="1778"/>
      <c r="AR136" s="1778"/>
      <c r="AS136" s="1778"/>
      <c r="AT136" s="1778"/>
      <c r="AU136" s="1774"/>
      <c r="AV136" s="1778"/>
      <c r="AW136" s="1778"/>
      <c r="AX136" s="1778"/>
      <c r="AY136" s="1778"/>
      <c r="AZ136" s="1774"/>
      <c r="BA136" s="1798" t="str">
        <f>IF(ISERROR(BA135/AV135-1),"",(BA135/AV135-1))</f>
        <v/>
      </c>
      <c r="BB136" s="1798" t="str">
        <f>IF(ISERROR(BB135/AW135-1),"",(BB135/AW135-1))</f>
        <v/>
      </c>
      <c r="BC136" s="1798" t="str">
        <f>IF(ISERROR(BC135/AX135-1),"",(BC135/AX135-1))</f>
        <v/>
      </c>
      <c r="BD136" s="1798" t="str">
        <f>IF(ISERROR(BD135/AY135-1),"",(BD135/AY135-1))</f>
        <v/>
      </c>
      <c r="BE136" s="1774"/>
      <c r="BF136" s="1798">
        <f>IF(ISERROR(BF135/BA135-1),"",(BF135/BA135-1))</f>
        <v>8.7717426101803442E-2</v>
      </c>
      <c r="BG136" s="1798">
        <f>IF(ISERROR(BG135/BB135-1),"",(BG135/BB135-1))</f>
        <v>7.190028834527018E-2</v>
      </c>
      <c r="BH136" s="1798">
        <f>IF(ISERROR(BH135/BC135-1),"",(BH135/BC135-1))</f>
        <v>0.11525324485215194</v>
      </c>
      <c r="BI136" s="1798">
        <f>IF(ISERROR(BI135/BD135-1),"",(BI135/BD135-1))</f>
        <v>7.0169283396193327E-2</v>
      </c>
      <c r="BJ136" s="1774">
        <f>BJ135/BE135-1</f>
        <v>8.5611683026095342E-2</v>
      </c>
      <c r="BK136" s="1785">
        <f>IF(ISERROR(BK135/BF135-1),"",(BK135/BF135-1))</f>
        <v>0.10006867458059454</v>
      </c>
      <c r="BL136" s="1785">
        <f>IF(ISERROR(BL135/BG135-1),"",(BL135/BG135-1))</f>
        <v>0.10083304408191607</v>
      </c>
      <c r="BM136" s="1785">
        <f>IF(ISERROR(BM135/BH135-1),"",(BM135/BH135-1))</f>
        <v>7.0791039551977519E-2</v>
      </c>
      <c r="BN136" s="1798">
        <f>IF(ISERROR(BN135/BI135-1),"",(BN135/BI135-1))</f>
        <v>0.10605688058355867</v>
      </c>
      <c r="BO136" s="1774">
        <f>BO135/BJ135-1</f>
        <v>9.4495655625634001E-2</v>
      </c>
      <c r="BP136" s="1785">
        <f>IF(ISERROR(BP135/BK135-1),"",(BP135/BK135-1))</f>
        <v>9.5157406581646287E-2</v>
      </c>
      <c r="BQ136" s="1785">
        <f>IF(ISERROR(BQ135/BL135-1),"",(BQ135/BL135-1))</f>
        <v>4.6192653318618992E-2</v>
      </c>
      <c r="BR136" s="1785">
        <f>IF(ISERROR(BR135/BM135-1),"",(BR135/BM135-1))</f>
        <v>4.5681130996159114E-2</v>
      </c>
      <c r="BS136" s="1798">
        <f>IF(ISERROR(BS135/BN135-1),"",(BS135/BN135-1))</f>
        <v>2.3712486105964548E-3</v>
      </c>
      <c r="BT136" s="1774">
        <f>BT135/BO135-1</f>
        <v>4.521367693578604E-2</v>
      </c>
      <c r="BU136" s="1785" t="str">
        <f>IF(ISERROR(BU135/BP135-1),"",(BU135/BP135-1))</f>
        <v/>
      </c>
      <c r="BV136" s="1785" t="str">
        <f>IF(ISERROR(BV135/BQ135-1),"",(BV135/BQ135-1))</f>
        <v/>
      </c>
      <c r="BW136" s="1785" t="str">
        <f>IF(ISERROR(BW135/BR135-1),"",(BW135/BR135-1))</f>
        <v/>
      </c>
      <c r="BX136" s="1785" t="str">
        <f>IF(ISERROR(BX135/BS135-1),"",(BX135/BS135-1))</f>
        <v/>
      </c>
      <c r="BY136" s="1774" t="e">
        <f>BY135/BT135-1</f>
        <v>#REF!</v>
      </c>
      <c r="BZ136" s="1785" t="str">
        <f>IF(ISERROR(BZ135/BU135-1),"",(BZ135/BU135-1))</f>
        <v/>
      </c>
      <c r="CA136" s="1785" t="str">
        <f>IF(ISERROR(CA135/BV135-1),"",(CA135/BV135-1))</f>
        <v/>
      </c>
      <c r="CB136" s="1785" t="str">
        <f>IF(ISERROR(CB135/BW135-1),"",(CB135/BW135-1))</f>
        <v/>
      </c>
      <c r="CC136" s="1785" t="str">
        <f>IF(ISERROR(CC135/BX135-1),"",(CC135/BX135-1))</f>
        <v/>
      </c>
      <c r="CD136" s="1774" t="e">
        <f>CD135/BY135-1</f>
        <v>#REF!</v>
      </c>
      <c r="CE136" s="1785" t="str">
        <f>IF(ISERROR(CE135/BZ135-1),"",(CE135/BZ135-1))</f>
        <v/>
      </c>
      <c r="CF136" s="1785" t="str">
        <f>IF(ISERROR(CF135/CA135-1),"",(CF135/CA135-1))</f>
        <v/>
      </c>
      <c r="CG136" s="1785" t="str">
        <f>IF(ISERROR(CG135/CB135-1),"",(CG135/CB135-1))</f>
        <v/>
      </c>
      <c r="CH136" s="1785" t="str">
        <f>IF(ISERROR(CH135/CC135-1),"",(CH135/CC135-1))</f>
        <v/>
      </c>
      <c r="CI136" s="1774" t="e">
        <f>CI135/CD135-1</f>
        <v>#REF!</v>
      </c>
      <c r="CJ136" s="1785" t="str">
        <f>IF(ISERROR(CJ135/CE135-1),"",(CJ135/CE135-1))</f>
        <v/>
      </c>
      <c r="CK136" s="1785" t="str">
        <f>IF(ISERROR(CK135/CF135-1),"",(CK135/CF135-1))</f>
        <v/>
      </c>
      <c r="CL136" s="1785" t="str">
        <f>IF(ISERROR(CL135/CG135-1),"",(CL135/CG135-1))</f>
        <v/>
      </c>
      <c r="CM136" s="1785" t="str">
        <f>IF(ISERROR(CM135/CH135-1),"",(CM135/CH135-1))</f>
        <v/>
      </c>
      <c r="CN136" s="1774" t="e">
        <f>CN135/CI135-1</f>
        <v>#DIV/0!</v>
      </c>
      <c r="CO136" s="1785" t="str">
        <f>IF(ISERROR(CO135/CJ135-1),"",(CO135/CJ135-1))</f>
        <v/>
      </c>
      <c r="CP136" s="1785" t="str">
        <f>IF(ISERROR(CP135/CK135-1),"",(CP135/CK135-1))</f>
        <v/>
      </c>
      <c r="CQ136" s="1785" t="str">
        <f>IF(ISERROR(CQ135/CL135-1),"",(CQ135/CL135-1))</f>
        <v/>
      </c>
      <c r="CR136" s="1785" t="str">
        <f>IF(ISERROR(CR135/CM135-1),"",(CR135/CM135-1))</f>
        <v/>
      </c>
      <c r="CS136" s="1774" t="e">
        <f>CS135/CN135-1</f>
        <v>#DIV/0!</v>
      </c>
      <c r="CT136" s="1785" t="str">
        <f>IF(ISERROR(CT135/CO135-1),"",(CT135/CO135-1))</f>
        <v/>
      </c>
      <c r="CU136" s="1785" t="str">
        <f>IF(ISERROR(CU135/CP135-1),"",(CU135/CP135-1))</f>
        <v/>
      </c>
      <c r="CV136" s="1785" t="str">
        <f>IF(ISERROR(CV135/CQ135-1),"",(CV135/CQ135-1))</f>
        <v/>
      </c>
      <c r="CW136" s="1785" t="str">
        <f>IF(ISERROR(CW135/CR135-1),"",(CW135/CR135-1))</f>
        <v/>
      </c>
      <c r="CX136" s="1774" t="e">
        <f>CX135/CS135-1</f>
        <v>#DIV/0!</v>
      </c>
      <c r="CY136" s="1778"/>
      <c r="CZ136" s="1778"/>
      <c r="DA136" s="1774"/>
      <c r="DB136" s="1774"/>
      <c r="DC136" s="1774"/>
      <c r="DD136" s="1774"/>
      <c r="DE136" s="1774"/>
      <c r="DF136" s="1774"/>
      <c r="DG136" s="1773"/>
      <c r="DH136" s="1773"/>
      <c r="DI136" s="1774"/>
      <c r="DJ136" s="1773">
        <f>DJ135/DI135-1</f>
        <v>9.5999077597140658E-2</v>
      </c>
      <c r="DK136" s="1773">
        <f>DK135/DJ135-1</f>
        <v>7.9027099814845903E-2</v>
      </c>
      <c r="DL136" s="1773" t="e">
        <f>DL135/DK135-1</f>
        <v>#REF!</v>
      </c>
      <c r="DM136" s="1774" t="e">
        <f>DM135/DL135-1</f>
        <v>#REF!</v>
      </c>
      <c r="DN136" s="1774" t="e">
        <f>DN135/DM135-1</f>
        <v>#REF!</v>
      </c>
      <c r="DO136" s="1774"/>
      <c r="DP136" s="1774"/>
      <c r="DQ136" s="1774"/>
      <c r="DR136" s="1785"/>
      <c r="DS136" s="253"/>
      <c r="DT136" s="253"/>
      <c r="DU136" s="253"/>
      <c r="DV136" s="253"/>
      <c r="DW136" s="253"/>
      <c r="DX136" s="253"/>
      <c r="DY136" s="253"/>
      <c r="DZ136" s="253"/>
      <c r="EA136" s="253"/>
      <c r="EB136" s="253"/>
      <c r="EC136" s="253"/>
      <c r="ED136" s="253"/>
      <c r="EE136" s="253"/>
      <c r="EF136" s="253"/>
      <c r="EG136" s="253"/>
      <c r="EH136" s="253"/>
      <c r="EI136" s="253"/>
      <c r="EJ136" s="253"/>
      <c r="EK136" s="253"/>
      <c r="EL136" s="253"/>
      <c r="EM136" s="253"/>
      <c r="EN136" s="253"/>
      <c r="EO136" s="253"/>
      <c r="EP136" s="253"/>
      <c r="EQ136" s="253"/>
      <c r="ER136" s="253"/>
    </row>
    <row r="137" spans="1:148" s="934" customFormat="1" ht="12" hidden="1" outlineLevel="1">
      <c r="A137" s="1760" t="s">
        <v>1027</v>
      </c>
      <c r="B137" s="1761"/>
      <c r="C137" s="1761"/>
      <c r="D137" s="1761"/>
      <c r="E137" s="1761"/>
      <c r="F137" s="1761"/>
      <c r="G137" s="1761"/>
      <c r="H137" s="1761"/>
      <c r="I137" s="1761"/>
      <c r="J137" s="1761"/>
      <c r="K137" s="1761"/>
      <c r="L137" s="1761"/>
      <c r="M137" s="1761"/>
      <c r="N137" s="1761"/>
      <c r="O137" s="1761"/>
      <c r="P137" s="1761"/>
      <c r="Q137" s="1761"/>
      <c r="R137" s="1761"/>
      <c r="S137" s="1761"/>
      <c r="T137" s="1761"/>
      <c r="U137" s="1761"/>
      <c r="V137" s="1761"/>
      <c r="W137" s="1761"/>
      <c r="X137" s="1761"/>
      <c r="Y137" s="1761"/>
      <c r="Z137" s="1761"/>
      <c r="AA137" s="1761"/>
      <c r="AB137" s="1761"/>
      <c r="AC137" s="1761"/>
      <c r="AD137" s="1761"/>
      <c r="AE137" s="1761"/>
      <c r="AF137" s="1761"/>
      <c r="AG137" s="1761"/>
      <c r="AH137" s="1761"/>
      <c r="AI137" s="1761"/>
      <c r="AJ137" s="1761"/>
      <c r="AK137" s="1761"/>
      <c r="AL137" s="1761"/>
      <c r="AM137" s="1761"/>
      <c r="AN137" s="1761"/>
      <c r="AO137" s="1761"/>
      <c r="AP137" s="1761"/>
      <c r="AQ137" s="1761"/>
      <c r="AR137" s="1761"/>
      <c r="AS137" s="1761"/>
      <c r="AT137" s="1761"/>
      <c r="AU137" s="1774"/>
      <c r="AV137" s="1761"/>
      <c r="AW137" s="1761"/>
      <c r="AX137" s="1761"/>
      <c r="AY137" s="1778"/>
      <c r="AZ137" s="1774"/>
      <c r="BA137" s="1786"/>
      <c r="BB137" s="1786"/>
      <c r="BC137" s="1786"/>
      <c r="BD137" s="1786"/>
      <c r="BE137" s="1774"/>
      <c r="BF137" s="1786"/>
      <c r="BG137" s="1786"/>
      <c r="BH137" s="1786"/>
      <c r="BI137" s="1786"/>
      <c r="BJ137" s="1774"/>
      <c r="BK137" s="1786"/>
      <c r="BL137" s="1786"/>
      <c r="BM137" s="1786"/>
      <c r="BN137" s="1786"/>
      <c r="BO137" s="1774"/>
      <c r="BP137" s="1786"/>
      <c r="BQ137" s="1786">
        <f>BQ136+1%</f>
        <v>5.6192653318618994E-2</v>
      </c>
      <c r="BR137" s="1786">
        <v>7.0000000000000007E-2</v>
      </c>
      <c r="BS137" s="1786">
        <v>0.04</v>
      </c>
      <c r="BT137" s="1774"/>
      <c r="BU137" s="1786"/>
      <c r="BV137" s="1786"/>
      <c r="BW137" s="1786"/>
      <c r="BX137" s="1786"/>
      <c r="BY137" s="1774"/>
      <c r="BZ137" s="1786"/>
      <c r="CA137" s="1786"/>
      <c r="CB137" s="1786"/>
      <c r="CC137" s="1786"/>
      <c r="CD137" s="1774"/>
      <c r="CE137" s="1786"/>
      <c r="CF137" s="1786"/>
      <c r="CG137" s="1786"/>
      <c r="CH137" s="1786"/>
      <c r="CI137" s="1774"/>
      <c r="CJ137" s="1786"/>
      <c r="CK137" s="1786"/>
      <c r="CL137" s="1786"/>
      <c r="CM137" s="1786"/>
      <c r="CN137" s="1774"/>
      <c r="CO137" s="1786"/>
      <c r="CP137" s="1786"/>
      <c r="CQ137" s="1786"/>
      <c r="CR137" s="1786"/>
      <c r="CS137" s="1774"/>
      <c r="CT137" s="1786"/>
      <c r="CU137" s="1786"/>
      <c r="CV137" s="1786"/>
      <c r="CW137" s="1786"/>
      <c r="CX137" s="1774"/>
      <c r="CY137" s="1761"/>
      <c r="CZ137" s="1761"/>
      <c r="DA137" s="1774"/>
      <c r="DB137" s="1774"/>
      <c r="DC137" s="1774"/>
      <c r="DD137" s="1774"/>
      <c r="DE137" s="1774"/>
      <c r="DF137" s="1774"/>
      <c r="DG137" s="1773"/>
      <c r="DH137" s="1773"/>
      <c r="DI137" s="1774"/>
      <c r="DJ137" s="1773"/>
      <c r="DK137" s="1773"/>
      <c r="DL137" s="1773"/>
      <c r="DM137" s="1774"/>
      <c r="DN137" s="1774"/>
      <c r="DO137" s="1774"/>
      <c r="DP137" s="1774"/>
      <c r="DQ137" s="1774"/>
      <c r="DR137" s="1785"/>
      <c r="DS137" s="264"/>
      <c r="DT137" s="264"/>
      <c r="DU137" s="264"/>
      <c r="DV137" s="264"/>
      <c r="DW137" s="264"/>
      <c r="DX137" s="264"/>
      <c r="DY137" s="264"/>
      <c r="DZ137" s="264"/>
      <c r="EA137" s="264"/>
      <c r="EB137" s="264"/>
      <c r="EC137" s="264"/>
      <c r="ED137" s="264"/>
      <c r="EE137" s="264"/>
      <c r="EF137" s="264"/>
      <c r="EG137" s="264"/>
      <c r="EH137" s="264"/>
      <c r="EI137" s="264"/>
      <c r="EJ137" s="264"/>
      <c r="EK137" s="264"/>
      <c r="EL137" s="264"/>
      <c r="EM137" s="264"/>
      <c r="EN137" s="264"/>
      <c r="EO137" s="264"/>
      <c r="EP137" s="264"/>
      <c r="EQ137" s="264"/>
      <c r="ER137" s="264"/>
    </row>
    <row r="138" spans="1:148" s="940" customFormat="1" ht="12" hidden="1" outlineLevel="1">
      <c r="A138" s="1787" t="s">
        <v>718</v>
      </c>
      <c r="B138" s="1788"/>
      <c r="C138" s="1788"/>
      <c r="D138" s="1788"/>
      <c r="E138" s="1788"/>
      <c r="F138" s="1788"/>
      <c r="G138" s="1788"/>
      <c r="H138" s="1788"/>
      <c r="I138" s="1788"/>
      <c r="J138" s="1788"/>
      <c r="K138" s="1788"/>
      <c r="L138" s="1788"/>
      <c r="M138" s="1788"/>
      <c r="N138" s="1788"/>
      <c r="O138" s="1788"/>
      <c r="P138" s="1788"/>
      <c r="Q138" s="1788"/>
      <c r="R138" s="1788"/>
      <c r="S138" s="1788"/>
      <c r="T138" s="1788"/>
      <c r="U138" s="1788"/>
      <c r="V138" s="1788"/>
      <c r="W138" s="1788"/>
      <c r="X138" s="1788"/>
      <c r="Y138" s="1788"/>
      <c r="Z138" s="1788"/>
      <c r="AA138" s="1788"/>
      <c r="AB138" s="1788"/>
      <c r="AC138" s="1788"/>
      <c r="AD138" s="1788"/>
      <c r="AE138" s="1788"/>
      <c r="AF138" s="1788"/>
      <c r="AG138" s="1788"/>
      <c r="AH138" s="1788"/>
      <c r="AI138" s="1788"/>
      <c r="AJ138" s="1788"/>
      <c r="AK138" s="1788"/>
      <c r="AL138" s="1788"/>
      <c r="AM138" s="1788"/>
      <c r="AN138" s="1788"/>
      <c r="AO138" s="1788"/>
      <c r="AP138" s="1788"/>
      <c r="AQ138" s="1788"/>
      <c r="AR138" s="1788"/>
      <c r="AS138" s="1788"/>
      <c r="AT138" s="1788"/>
      <c r="AU138" s="1789"/>
      <c r="AV138" s="1788"/>
      <c r="AW138" s="1788"/>
      <c r="AX138" s="1788"/>
      <c r="AY138" s="1788"/>
      <c r="AZ138" s="1789"/>
      <c r="BA138" s="1790" t="str">
        <f>IF(ISERROR(BA135/AY135-1),"",(BA135/AY135-1))</f>
        <v/>
      </c>
      <c r="BB138" s="1790">
        <f>IF(ISERROR(BB135/BA135-1),"",(BB135/BA135-1))</f>
        <v>0.14726283214171376</v>
      </c>
      <c r="BC138" s="1790">
        <f>IF(ISERROR(BC135/BB135-1),"",(BC135/BB135-1))</f>
        <v>-4.6879360059529307E-2</v>
      </c>
      <c r="BD138" s="1790">
        <f>IF(ISERROR(BD135/BC135-1),"",(BD135/BC135-1))</f>
        <v>0.11261832731531185</v>
      </c>
      <c r="BE138" s="1789"/>
      <c r="BF138" s="1790">
        <f>IF(ISERROR(BF135/BD135-1),"",(BF135/BD135-1))</f>
        <v>-0.10595561792825192</v>
      </c>
      <c r="BG138" s="1790">
        <f>IF(ISERROR(BG135/BF135-1),"",(BG135/BF135-1))</f>
        <v>0.13057980967330529</v>
      </c>
      <c r="BH138" s="1790">
        <f>IF(ISERROR(BH135/BG135-1),"",(BH135/BG135-1))</f>
        <v>-8.3304408191600121E-3</v>
      </c>
      <c r="BI138" s="1790">
        <f>IF(ISERROR(BI135/BH135-1),"",(BI135/BH135-1))</f>
        <v>6.7640882044102124E-2</v>
      </c>
      <c r="BJ138" s="1789"/>
      <c r="BK138" s="1799">
        <f>IF(ISERROR(BK135/BI135-1),"",(BK135/BI135-1))</f>
        <v>-8.0976969100893359E-2</v>
      </c>
      <c r="BL138" s="1790">
        <f>IF(ISERROR(BL135/BK135-1),"",(BL135/BK135-1))</f>
        <v>0.13136537947025784</v>
      </c>
      <c r="BM138" s="1790">
        <f>IF(ISERROR(BM135/BL135-1),"",(BM135/BL135-1))</f>
        <v>-3.5393346996689279E-2</v>
      </c>
      <c r="BN138" s="1790">
        <f>IF(ISERROR(BN135/BM135-1),"",(BN135/BM135-1))</f>
        <v>0.1028029745852741</v>
      </c>
      <c r="BO138" s="1789"/>
      <c r="BP138" s="1799">
        <f>IF(ISERROR(BP135/BN135-1),"",(BP135/BN135-1))</f>
        <v>-9.0033345683586563E-2</v>
      </c>
      <c r="BQ138" s="1790">
        <f>IF(ISERROR(BQ135/BP135-1),"",(BQ135/BP135-1))</f>
        <v>8.0781758957654715E-2</v>
      </c>
      <c r="BR138" s="1790">
        <f>IF(ISERROR(BR135/BQ135-1),"",(BR135/BQ135-1))</f>
        <v>-3.5864978902953593E-2</v>
      </c>
      <c r="BS138" s="1790">
        <f>IF(ISERROR(BS135/BR135-1),"",(BS135/BR135-1))</f>
        <v>5.7127227258518376E-2</v>
      </c>
      <c r="BT138" s="1789"/>
      <c r="BU138" s="1799" t="str">
        <f>IF(ISERROR(BU135/BS135-1),"",(BU135/BS135-1))</f>
        <v/>
      </c>
      <c r="BV138" s="1790" t="str">
        <f>IF(ISERROR(BV135/BU135-1),"",(BV135/BU135-1))</f>
        <v/>
      </c>
      <c r="BW138" s="1790" t="str">
        <f>IF(ISERROR(BW135/BV135-1),"",(BW135/BV135-1))</f>
        <v/>
      </c>
      <c r="BX138" s="1790" t="str">
        <f>IF(ISERROR(BX135/BW135-1),"",(BX135/BW135-1))</f>
        <v/>
      </c>
      <c r="BY138" s="1789"/>
      <c r="BZ138" s="1799" t="str">
        <f>IF(ISERROR(BZ135/BX135-1),"",(BZ135/BX135-1))</f>
        <v/>
      </c>
      <c r="CA138" s="1790" t="str">
        <f>IF(ISERROR(CA135/BZ135-1),"",(CA135/BZ135-1))</f>
        <v/>
      </c>
      <c r="CB138" s="1790" t="str">
        <f>IF(ISERROR(CB135/CA135-1),"",(CB135/CA135-1))</f>
        <v/>
      </c>
      <c r="CC138" s="1790" t="str">
        <f>IF(ISERROR(CC135/CB135-1),"",(CC135/CB135-1))</f>
        <v/>
      </c>
      <c r="CD138" s="1789"/>
      <c r="CE138" s="1799" t="str">
        <f>IF(ISERROR(CE135/CC135-1),"",(CE135/CC135-1))</f>
        <v/>
      </c>
      <c r="CF138" s="1790" t="str">
        <f>IF(ISERROR(CF135/CE135-1),"",(CF135/CE135-1))</f>
        <v/>
      </c>
      <c r="CG138" s="1790" t="str">
        <f>IF(ISERROR(CG135/CF135-1),"",(CG135/CF135-1))</f>
        <v/>
      </c>
      <c r="CH138" s="1790" t="str">
        <f>IF(ISERROR(CH135/CG135-1),"",(CH135/CG135-1))</f>
        <v/>
      </c>
      <c r="CI138" s="1789"/>
      <c r="CJ138" s="1799" t="str">
        <f>IF(ISERROR(CJ135/CH135-1),"",(CJ135/CH135-1))</f>
        <v/>
      </c>
      <c r="CK138" s="1790" t="str">
        <f>IF(ISERROR(CK135/CJ135-1),"",(CK135/CJ135-1))</f>
        <v/>
      </c>
      <c r="CL138" s="1790" t="str">
        <f>IF(ISERROR(CL135/CK135-1),"",(CL135/CK135-1))</f>
        <v/>
      </c>
      <c r="CM138" s="1790" t="str">
        <f>IF(ISERROR(CM135/CL135-1),"",(CM135/CL135-1))</f>
        <v/>
      </c>
      <c r="CN138" s="1789"/>
      <c r="CO138" s="1799" t="str">
        <f>IF(ISERROR(CO135/CM135-1),"",(CO135/CM135-1))</f>
        <v/>
      </c>
      <c r="CP138" s="1790" t="str">
        <f>IF(ISERROR(CP135/CO135-1),"",(CP135/CO135-1))</f>
        <v/>
      </c>
      <c r="CQ138" s="1790" t="str">
        <f>IF(ISERROR(CQ135/CP135-1),"",(CQ135/CP135-1))</f>
        <v/>
      </c>
      <c r="CR138" s="1790" t="str">
        <f>IF(ISERROR(CR135/CQ135-1),"",(CR135/CQ135-1))</f>
        <v/>
      </c>
      <c r="CS138" s="1789"/>
      <c r="CT138" s="1799" t="str">
        <f>IF(ISERROR(CT135/CR135-1),"",(CT135/CR135-1))</f>
        <v/>
      </c>
      <c r="CU138" s="1790" t="str">
        <f>IF(ISERROR(CU135/CT135-1),"",(CU135/CT135-1))</f>
        <v/>
      </c>
      <c r="CV138" s="1790" t="str">
        <f>IF(ISERROR(CV135/CU135-1),"",(CV135/CU135-1))</f>
        <v/>
      </c>
      <c r="CW138" s="1790" t="str">
        <f>IF(ISERROR(CW135/CV135-1),"",(CW135/CV135-1))</f>
        <v/>
      </c>
      <c r="CX138" s="1789"/>
      <c r="CY138" s="1788"/>
      <c r="CZ138" s="1788"/>
      <c r="DA138" s="1789"/>
      <c r="DB138" s="1789"/>
      <c r="DC138" s="1789"/>
      <c r="DD138" s="1789"/>
      <c r="DE138" s="1789"/>
      <c r="DF138" s="1789"/>
      <c r="DG138" s="1792"/>
      <c r="DH138" s="1792"/>
      <c r="DI138" s="1789"/>
      <c r="DJ138" s="1792"/>
      <c r="DK138" s="1792"/>
      <c r="DL138" s="1792"/>
      <c r="DM138" s="1789"/>
      <c r="DN138" s="1789"/>
      <c r="DO138" s="1789"/>
      <c r="DP138" s="1789"/>
      <c r="DQ138" s="1789"/>
      <c r="DR138" s="1799"/>
      <c r="DS138" s="287"/>
      <c r="DT138" s="287"/>
      <c r="DU138" s="287"/>
      <c r="DV138" s="287"/>
      <c r="DW138" s="287"/>
      <c r="DX138" s="287"/>
      <c r="DY138" s="287"/>
      <c r="DZ138" s="287"/>
      <c r="EA138" s="287"/>
      <c r="EB138" s="287"/>
      <c r="EC138" s="287"/>
      <c r="ED138" s="287"/>
      <c r="EE138" s="287"/>
      <c r="EF138" s="287"/>
      <c r="EG138" s="287"/>
      <c r="EH138" s="287"/>
      <c r="EI138" s="287"/>
      <c r="EJ138" s="287"/>
      <c r="EK138" s="287"/>
      <c r="EL138" s="287"/>
      <c r="EM138" s="287"/>
      <c r="EN138" s="287"/>
      <c r="EO138" s="287"/>
      <c r="EP138" s="287"/>
      <c r="EQ138" s="287"/>
      <c r="ER138" s="287"/>
    </row>
    <row r="139" spans="1:148" s="934" customFormat="1" ht="4.5" hidden="1" customHeight="1" outlineLevel="1">
      <c r="A139" s="1760"/>
      <c r="B139" s="1761"/>
      <c r="C139" s="1761"/>
      <c r="D139" s="1761"/>
      <c r="E139" s="1761"/>
      <c r="F139" s="1761"/>
      <c r="G139" s="1761"/>
      <c r="H139" s="1761"/>
      <c r="I139" s="1761"/>
      <c r="J139" s="1761"/>
      <c r="K139" s="1761"/>
      <c r="L139" s="1761"/>
      <c r="M139" s="1761"/>
      <c r="N139" s="1761"/>
      <c r="O139" s="1761"/>
      <c r="P139" s="1761"/>
      <c r="Q139" s="1761"/>
      <c r="R139" s="1761"/>
      <c r="S139" s="1761"/>
      <c r="T139" s="1761"/>
      <c r="U139" s="1761"/>
      <c r="V139" s="1761"/>
      <c r="W139" s="1761"/>
      <c r="X139" s="1761"/>
      <c r="Y139" s="1761"/>
      <c r="Z139" s="1761"/>
      <c r="AA139" s="1761"/>
      <c r="AB139" s="1761"/>
      <c r="AC139" s="1761"/>
      <c r="AD139" s="1761"/>
      <c r="AE139" s="1761"/>
      <c r="AF139" s="1761"/>
      <c r="AG139" s="1761"/>
      <c r="AH139" s="1761"/>
      <c r="AI139" s="1761"/>
      <c r="AJ139" s="1761"/>
      <c r="AK139" s="1761"/>
      <c r="AL139" s="1761"/>
      <c r="AM139" s="1761"/>
      <c r="AN139" s="1761"/>
      <c r="AO139" s="1761"/>
      <c r="AP139" s="1761"/>
      <c r="AQ139" s="1761"/>
      <c r="AR139" s="1761"/>
      <c r="AS139" s="1761"/>
      <c r="AT139" s="1761"/>
      <c r="AU139" s="1761"/>
      <c r="AV139" s="1761"/>
      <c r="AW139" s="1761"/>
      <c r="AX139" s="1761"/>
      <c r="AY139" s="1761"/>
      <c r="AZ139" s="1793"/>
      <c r="BA139" s="1778"/>
      <c r="BB139" s="1778"/>
      <c r="BC139" s="1778"/>
      <c r="BD139" s="1778"/>
      <c r="BE139" s="1793"/>
      <c r="BF139" s="1778"/>
      <c r="BG139" s="1778"/>
      <c r="BH139" s="1778"/>
      <c r="BI139" s="1778"/>
      <c r="BJ139" s="1793"/>
      <c r="BK139" s="1761"/>
      <c r="BL139" s="1761"/>
      <c r="BM139" s="1761"/>
      <c r="BN139" s="1778"/>
      <c r="BO139" s="1793"/>
      <c r="BP139" s="1761"/>
      <c r="BQ139" s="1761"/>
      <c r="BR139" s="1761"/>
      <c r="BS139" s="1778"/>
      <c r="BT139" s="1793"/>
      <c r="BU139" s="2804"/>
      <c r="BV139" s="2804"/>
      <c r="BW139" s="2804"/>
      <c r="BX139" s="2804"/>
      <c r="BY139" s="2805"/>
      <c r="BZ139" s="2804"/>
      <c r="CA139" s="2804"/>
      <c r="CB139" s="2804"/>
      <c r="CC139" s="2804"/>
      <c r="CD139" s="2805"/>
      <c r="CE139" s="1761"/>
      <c r="CF139" s="1761"/>
      <c r="CG139" s="1761"/>
      <c r="CH139" s="1761"/>
      <c r="CI139" s="1793"/>
      <c r="CJ139" s="1761"/>
      <c r="CK139" s="1761"/>
      <c r="CL139" s="1761"/>
      <c r="CM139" s="1761"/>
      <c r="CN139" s="1793"/>
      <c r="CO139" s="1761"/>
      <c r="CP139" s="1761"/>
      <c r="CQ139" s="1761"/>
      <c r="CR139" s="1761"/>
      <c r="CS139" s="1793"/>
      <c r="CT139" s="1761"/>
      <c r="CU139" s="1761"/>
      <c r="CV139" s="1761"/>
      <c r="CW139" s="1761"/>
      <c r="CX139" s="1793"/>
      <c r="CY139" s="1761"/>
      <c r="CZ139" s="1761"/>
      <c r="DA139" s="1793"/>
      <c r="DB139" s="1793"/>
      <c r="DC139" s="1793"/>
      <c r="DD139" s="1793"/>
      <c r="DE139" s="1793"/>
      <c r="DF139" s="1793"/>
      <c r="DG139" s="1794"/>
      <c r="DH139" s="1794"/>
      <c r="DI139" s="1793"/>
      <c r="DJ139" s="1794"/>
      <c r="DK139" s="1794"/>
      <c r="DL139" s="1794"/>
      <c r="DM139" s="1793"/>
      <c r="DN139" s="1793"/>
      <c r="DO139" s="1793"/>
      <c r="DP139" s="1793"/>
      <c r="DQ139" s="1793"/>
      <c r="DR139" s="1778"/>
      <c r="DS139" s="264"/>
      <c r="DT139" s="264"/>
      <c r="DU139" s="264"/>
      <c r="DV139" s="264"/>
      <c r="DW139" s="264"/>
      <c r="DX139" s="264"/>
      <c r="DY139" s="264"/>
      <c r="DZ139" s="264"/>
      <c r="EA139" s="264"/>
      <c r="EB139" s="264"/>
      <c r="EC139" s="264"/>
      <c r="ED139" s="264"/>
      <c r="EE139" s="264"/>
      <c r="EF139" s="264"/>
      <c r="EG139" s="264"/>
      <c r="EH139" s="264"/>
      <c r="EI139" s="264"/>
      <c r="EJ139" s="264"/>
      <c r="EK139" s="264"/>
      <c r="EL139" s="264"/>
      <c r="EM139" s="264"/>
      <c r="EN139" s="264"/>
      <c r="EO139" s="264"/>
      <c r="EP139" s="264"/>
      <c r="EQ139" s="264"/>
      <c r="ER139" s="264"/>
    </row>
    <row r="140" spans="1:148" s="934" customFormat="1" ht="12" hidden="1" outlineLevel="1">
      <c r="A140" s="1800" t="s">
        <v>722</v>
      </c>
      <c r="B140" s="1761"/>
      <c r="C140" s="1761"/>
      <c r="D140" s="1761"/>
      <c r="E140" s="1761"/>
      <c r="F140" s="1761"/>
      <c r="G140" s="1761"/>
      <c r="H140" s="1761"/>
      <c r="I140" s="1761"/>
      <c r="J140" s="1761"/>
      <c r="K140" s="1761"/>
      <c r="L140" s="1761"/>
      <c r="M140" s="1761"/>
      <c r="N140" s="1761"/>
      <c r="O140" s="1761"/>
      <c r="P140" s="1761"/>
      <c r="Q140" s="1761"/>
      <c r="R140" s="1761"/>
      <c r="S140" s="1761"/>
      <c r="T140" s="1761"/>
      <c r="U140" s="1761"/>
      <c r="V140" s="1761"/>
      <c r="W140" s="1761"/>
      <c r="X140" s="1761"/>
      <c r="Y140" s="1761"/>
      <c r="Z140" s="1761"/>
      <c r="AA140" s="1761"/>
      <c r="AB140" s="1761"/>
      <c r="AC140" s="1761"/>
      <c r="AD140" s="1761"/>
      <c r="AE140" s="1761"/>
      <c r="AF140" s="1761"/>
      <c r="AG140" s="1761"/>
      <c r="AH140" s="1761"/>
      <c r="AI140" s="1761"/>
      <c r="AJ140" s="1761"/>
      <c r="AK140" s="1761"/>
      <c r="AL140" s="1761"/>
      <c r="AM140" s="1761"/>
      <c r="AN140" s="1761"/>
      <c r="AO140" s="1761"/>
      <c r="AP140" s="1761"/>
      <c r="AQ140" s="1761"/>
      <c r="AR140" s="1761"/>
      <c r="AS140" s="1761"/>
      <c r="AT140" s="1761"/>
      <c r="AU140" s="1801"/>
      <c r="AV140" s="1761"/>
      <c r="AW140" s="1761"/>
      <c r="AX140" s="1761"/>
      <c r="AY140" s="1761"/>
      <c r="AZ140" s="1801"/>
      <c r="BA140" s="1796">
        <f>BA142-BA135-BA119</f>
        <v>27</v>
      </c>
      <c r="BB140" s="1796">
        <f>BB142-BB135-BB119</f>
        <v>25</v>
      </c>
      <c r="BC140" s="1796">
        <f>BC142-BC135-BC119</f>
        <v>7</v>
      </c>
      <c r="BD140" s="1796">
        <f>BD142-BD135-BD119</f>
        <v>-544</v>
      </c>
      <c r="BE140" s="1801">
        <v>-485</v>
      </c>
      <c r="BF140" s="1796">
        <f>BF142-BF135-BF119</f>
        <v>-1347</v>
      </c>
      <c r="BG140" s="1796">
        <f>BG142-BG135-BG119</f>
        <v>-578</v>
      </c>
      <c r="BH140" s="1796">
        <f>BH142-BH135-BH119</f>
        <v>1651</v>
      </c>
      <c r="BI140" s="1796">
        <f>BI142-BI135-BI119</f>
        <v>677</v>
      </c>
      <c r="BJ140" s="1801">
        <f>SUM(BF140:BI140)</f>
        <v>403</v>
      </c>
      <c r="BK140" s="1802">
        <v>-131</v>
      </c>
      <c r="BL140" s="1802">
        <v>-55</v>
      </c>
      <c r="BM140" s="1802">
        <v>-127</v>
      </c>
      <c r="BN140" s="1796">
        <v>-102</v>
      </c>
      <c r="BO140" s="1801">
        <f>SUM(BK140:BN140)</f>
        <v>-415</v>
      </c>
      <c r="BP140" s="1802">
        <v>-43</v>
      </c>
      <c r="BQ140" s="1802">
        <v>314</v>
      </c>
      <c r="BR140" s="1802">
        <v>-20</v>
      </c>
      <c r="BS140" s="1796">
        <v>-47</v>
      </c>
      <c r="BT140" s="1801">
        <f>SUM(BP140:BS140)</f>
        <v>204</v>
      </c>
      <c r="BU140" s="1802">
        <v>0</v>
      </c>
      <c r="BV140" s="1802">
        <f>-'Client Unit Model'!AW43</f>
        <v>0</v>
      </c>
      <c r="BW140" s="1803">
        <f>-'Client Unit Model'!AX43</f>
        <v>0</v>
      </c>
      <c r="BX140" s="1803">
        <f>-'Client Unit Model'!AY43</f>
        <v>0</v>
      </c>
      <c r="BY140" s="1801">
        <f>SUM(BU140:BX140)</f>
        <v>0</v>
      </c>
      <c r="BZ140" s="1803">
        <f>-'Client Unit Model'!BA43</f>
        <v>0</v>
      </c>
      <c r="CA140" s="1803">
        <f>-'Client Unit Model'!BB43</f>
        <v>0</v>
      </c>
      <c r="CB140" s="1803">
        <f>-'Client Unit Model'!BC43</f>
        <v>0</v>
      </c>
      <c r="CC140" s="1803">
        <f>-'Client Unit Model'!BD43</f>
        <v>0</v>
      </c>
      <c r="CD140" s="1801">
        <f>SUM(BZ140:CC140)</f>
        <v>0</v>
      </c>
      <c r="CE140" s="1803">
        <f>-'Client Unit Model'!BF46</f>
        <v>-21.501944021285453</v>
      </c>
      <c r="CF140" s="1803">
        <f>-'Client Unit Model'!BG46</f>
        <v>-32.569198428993786</v>
      </c>
      <c r="CG140" s="1803">
        <f>-'Client Unit Model'!BH46</f>
        <v>-9.6385426098090647</v>
      </c>
      <c r="CH140" s="1803">
        <f>-'Client Unit Model'!BI46</f>
        <v>-15.383365236881673</v>
      </c>
      <c r="CI140" s="1801">
        <f>SUM(CE140:CH140)</f>
        <v>-79.093050296969977</v>
      </c>
      <c r="CJ140" s="1803">
        <f>-'Client Unit Model'!BL46</f>
        <v>-33.752485586971488</v>
      </c>
      <c r="CK140" s="1803">
        <f>-'Client Unit Model'!BM46</f>
        <v>-6.1508101760491627</v>
      </c>
      <c r="CL140" s="1803">
        <f>-'Client Unit Model'!BN46</f>
        <v>-12.070382738433182</v>
      </c>
      <c r="CM140" s="1803">
        <f>-'Client Unit Model'!BY46</f>
        <v>0</v>
      </c>
      <c r="CN140" s="1801">
        <f>SUM(CJ140:CM140)</f>
        <v>-51.973678501453833</v>
      </c>
      <c r="CO140" s="1803">
        <f>-'Client Unit Model'!BQ46</f>
        <v>-29.710345658623737</v>
      </c>
      <c r="CP140" s="1803">
        <f>-'Client Unit Model'!BR46</f>
        <v>-3.4465543280530255</v>
      </c>
      <c r="CQ140" s="1803">
        <f>-'Client Unit Model'!BS46</f>
        <v>-9.7956117677372276</v>
      </c>
      <c r="CR140" s="1803">
        <f>-'Client Unit Model'!CD46</f>
        <v>0</v>
      </c>
      <c r="CS140" s="1801">
        <f>SUM(CO140:CR140)</f>
        <v>-42.95251175441399</v>
      </c>
      <c r="CT140" s="1803">
        <f>-'Client Unit Model'!BV46</f>
        <v>-28.46817367680751</v>
      </c>
      <c r="CU140" s="1803">
        <f>-'Client Unit Model'!BW46</f>
        <v>-3.2637649890161811</v>
      </c>
      <c r="CV140" s="1803">
        <f>-'Client Unit Model'!BX46</f>
        <v>-9.4731153490038196</v>
      </c>
      <c r="CW140" s="1803">
        <f>-'Client Unit Model'!CI46</f>
        <v>0</v>
      </c>
      <c r="CX140" s="1801">
        <f>SUM(CT140:CW140)</f>
        <v>-41.20505401482751</v>
      </c>
      <c r="CY140" s="1761"/>
      <c r="CZ140" s="1761"/>
      <c r="DA140" s="1801"/>
      <c r="DB140" s="1801"/>
      <c r="DC140" s="1801"/>
      <c r="DD140" s="1801"/>
      <c r="DE140" s="1801"/>
      <c r="DF140" s="1801"/>
      <c r="DG140" s="1804"/>
      <c r="DH140" s="1804"/>
      <c r="DI140" s="1801">
        <f>SUM(BC140:BD140,BF140:BG140)</f>
        <v>-2462</v>
      </c>
      <c r="DJ140" s="1804">
        <f>SUM(BH140:BI140,BK140:BL140)</f>
        <v>2142</v>
      </c>
      <c r="DK140" s="1804">
        <f>SUM(BM140:BN140,BP140:BQ140)</f>
        <v>42</v>
      </c>
      <c r="DL140" s="1804">
        <f>SUM(BU140:BV140,BR140:BS140)</f>
        <v>-67</v>
      </c>
      <c r="DM140" s="1801">
        <f>SUM(BW140:BX140,BZ140:CA140)</f>
        <v>0</v>
      </c>
      <c r="DN140" s="1801">
        <f>SUM(CC140:CD140,CE140:CF140)</f>
        <v>-54.07114245027924</v>
      </c>
      <c r="DO140" s="1801"/>
      <c r="DP140" s="1801"/>
      <c r="DQ140" s="1801"/>
      <c r="DR140" s="1803"/>
      <c r="DS140" s="264"/>
      <c r="DT140" s="264"/>
      <c r="DU140" s="264"/>
      <c r="DV140" s="264"/>
      <c r="DW140" s="264"/>
      <c r="DX140" s="264"/>
      <c r="DY140" s="264"/>
      <c r="DZ140" s="264"/>
      <c r="EA140" s="264"/>
      <c r="EB140" s="264"/>
      <c r="EC140" s="264"/>
      <c r="ED140" s="264"/>
      <c r="EE140" s="264"/>
      <c r="EF140" s="264"/>
      <c r="EG140" s="264"/>
      <c r="EH140" s="264"/>
      <c r="EI140" s="264"/>
      <c r="EJ140" s="264"/>
      <c r="EK140" s="264"/>
      <c r="EL140" s="264"/>
      <c r="EM140" s="264"/>
      <c r="EN140" s="264"/>
      <c r="EO140" s="264"/>
      <c r="EP140" s="264"/>
      <c r="EQ140" s="264"/>
      <c r="ER140" s="264"/>
    </row>
    <row r="141" spans="1:148" s="934" customFormat="1" hidden="1" outlineLevel="1" thickBot="1">
      <c r="A141" s="1760"/>
      <c r="B141" s="1761"/>
      <c r="C141" s="1761"/>
      <c r="D141" s="1761"/>
      <c r="E141" s="1761"/>
      <c r="F141" s="1761"/>
      <c r="G141" s="1761"/>
      <c r="H141" s="1761"/>
      <c r="I141" s="1761"/>
      <c r="J141" s="1761"/>
      <c r="K141" s="1761"/>
      <c r="L141" s="1761"/>
      <c r="M141" s="1761"/>
      <c r="N141" s="1761"/>
      <c r="O141" s="1761"/>
      <c r="P141" s="1761"/>
      <c r="Q141" s="1761"/>
      <c r="R141" s="1761"/>
      <c r="S141" s="1761"/>
      <c r="T141" s="1761"/>
      <c r="U141" s="1761"/>
      <c r="V141" s="1761"/>
      <c r="W141" s="1761"/>
      <c r="X141" s="1761"/>
      <c r="Y141" s="1761"/>
      <c r="Z141" s="1761"/>
      <c r="AA141" s="1761"/>
      <c r="AB141" s="1761"/>
      <c r="AC141" s="1761"/>
      <c r="AD141" s="1761"/>
      <c r="AE141" s="1761"/>
      <c r="AF141" s="1761"/>
      <c r="AG141" s="1761"/>
      <c r="AH141" s="1761"/>
      <c r="AI141" s="1761"/>
      <c r="AJ141" s="1761"/>
      <c r="AK141" s="1761"/>
      <c r="AL141" s="1761"/>
      <c r="AM141" s="1761"/>
      <c r="AN141" s="1761"/>
      <c r="AO141" s="1761"/>
      <c r="AP141" s="1761"/>
      <c r="AQ141" s="1761"/>
      <c r="AR141" s="1761"/>
      <c r="AS141" s="1761"/>
      <c r="AT141" s="1761"/>
      <c r="AU141" s="1761"/>
      <c r="AV141" s="1761"/>
      <c r="AW141" s="1761"/>
      <c r="AX141" s="1761"/>
      <c r="AY141" s="1761"/>
      <c r="AZ141" s="1793"/>
      <c r="BA141" s="1778"/>
      <c r="BB141" s="1778"/>
      <c r="BC141" s="1778"/>
      <c r="BD141" s="1778"/>
      <c r="BE141" s="1793"/>
      <c r="BF141" s="1778"/>
      <c r="BG141" s="1778"/>
      <c r="BH141" s="1778"/>
      <c r="BI141" s="1778"/>
      <c r="BJ141" s="1793"/>
      <c r="BK141" s="1761"/>
      <c r="BL141" s="1761"/>
      <c r="BM141" s="1761"/>
      <c r="BN141" s="1778"/>
      <c r="BO141" s="1793"/>
      <c r="BP141" s="1761"/>
      <c r="BQ141" s="1761"/>
      <c r="BR141" s="1761"/>
      <c r="BS141" s="1778"/>
      <c r="BT141" s="1793"/>
      <c r="BU141" s="2804"/>
      <c r="BV141" s="2804"/>
      <c r="BW141" s="2806"/>
      <c r="BX141" s="2806"/>
      <c r="BY141" s="2805"/>
      <c r="BZ141" s="2806"/>
      <c r="CA141" s="2806"/>
      <c r="CB141" s="2806"/>
      <c r="CC141" s="2806"/>
      <c r="CD141" s="2805"/>
      <c r="CE141" s="1761"/>
      <c r="CF141" s="1761"/>
      <c r="CG141" s="1761"/>
      <c r="CH141" s="1761"/>
      <c r="CI141" s="1793"/>
      <c r="CJ141" s="1761"/>
      <c r="CK141" s="1761"/>
      <c r="CL141" s="1761"/>
      <c r="CM141" s="1761"/>
      <c r="CN141" s="1793"/>
      <c r="CO141" s="1761"/>
      <c r="CP141" s="1761"/>
      <c r="CQ141" s="1761"/>
      <c r="CR141" s="1761"/>
      <c r="CS141" s="1793"/>
      <c r="CT141" s="1761"/>
      <c r="CU141" s="1761"/>
      <c r="CV141" s="1761"/>
      <c r="CW141" s="1761"/>
      <c r="CX141" s="1793"/>
      <c r="CY141" s="1761"/>
      <c r="CZ141" s="1761"/>
      <c r="DA141" s="1793"/>
      <c r="DB141" s="1793"/>
      <c r="DC141" s="1793"/>
      <c r="DD141" s="1793"/>
      <c r="DE141" s="1793"/>
      <c r="DF141" s="1793"/>
      <c r="DG141" s="1794"/>
      <c r="DH141" s="1794"/>
      <c r="DI141" s="1793"/>
      <c r="DJ141" s="1794"/>
      <c r="DK141" s="1794"/>
      <c r="DL141" s="1794"/>
      <c r="DM141" s="1793"/>
      <c r="DN141" s="1793"/>
      <c r="DO141" s="1793"/>
      <c r="DP141" s="1793"/>
      <c r="DQ141" s="1793"/>
      <c r="DR141" s="1778"/>
      <c r="DS141" s="264"/>
      <c r="DT141" s="264"/>
      <c r="DU141" s="264"/>
      <c r="DV141" s="264"/>
      <c r="DW141" s="264"/>
      <c r="DX141" s="264"/>
      <c r="DY141" s="264"/>
      <c r="DZ141" s="264"/>
      <c r="EA141" s="264"/>
      <c r="EB141" s="264"/>
      <c r="EC141" s="264"/>
      <c r="ED141" s="264"/>
      <c r="EE141" s="264"/>
      <c r="EF141" s="264"/>
      <c r="EG141" s="264"/>
      <c r="EH141" s="264"/>
      <c r="EI141" s="264"/>
      <c r="EJ141" s="264"/>
      <c r="EK141" s="264"/>
      <c r="EL141" s="264"/>
      <c r="EM141" s="264"/>
      <c r="EN141" s="264"/>
      <c r="EO141" s="264"/>
      <c r="EP141" s="264"/>
      <c r="EQ141" s="264"/>
      <c r="ER141" s="264"/>
    </row>
    <row r="142" spans="1:148" s="942" customFormat="1" ht="12" hidden="1" outlineLevel="1">
      <c r="A142" s="1805" t="s">
        <v>1032</v>
      </c>
      <c r="B142" s="1806"/>
      <c r="C142" s="1806"/>
      <c r="D142" s="1806"/>
      <c r="E142" s="1806"/>
      <c r="F142" s="1806"/>
      <c r="G142" s="1806"/>
      <c r="H142" s="1806"/>
      <c r="I142" s="1806"/>
      <c r="J142" s="1806"/>
      <c r="K142" s="1806"/>
      <c r="L142" s="1806"/>
      <c r="M142" s="1806"/>
      <c r="N142" s="1806"/>
      <c r="O142" s="1806"/>
      <c r="P142" s="1806"/>
      <c r="Q142" s="1806"/>
      <c r="R142" s="1806"/>
      <c r="S142" s="1806"/>
      <c r="T142" s="1806"/>
      <c r="U142" s="1806"/>
      <c r="V142" s="1806"/>
      <c r="W142" s="1806"/>
      <c r="X142" s="1806"/>
      <c r="Y142" s="1806"/>
      <c r="Z142" s="1806"/>
      <c r="AA142" s="1806"/>
      <c r="AB142" s="1806"/>
      <c r="AC142" s="1806"/>
      <c r="AD142" s="1806"/>
      <c r="AE142" s="1806"/>
      <c r="AF142" s="1806"/>
      <c r="AG142" s="1806"/>
      <c r="AH142" s="1806"/>
      <c r="AI142" s="1806"/>
      <c r="AJ142" s="1806"/>
      <c r="AK142" s="1806"/>
      <c r="AL142" s="1806"/>
      <c r="AM142" s="1806"/>
      <c r="AN142" s="1806"/>
      <c r="AO142" s="1806"/>
      <c r="AP142" s="1806"/>
      <c r="AQ142" s="1806"/>
      <c r="AR142" s="1806"/>
      <c r="AS142" s="1806"/>
      <c r="AT142" s="1806"/>
      <c r="AU142" s="1807"/>
      <c r="AV142" s="1808">
        <f>IS!DJ8</f>
        <v>16195</v>
      </c>
      <c r="AW142" s="1808">
        <f>IS!DK8</f>
        <v>19953</v>
      </c>
      <c r="AX142" s="1808">
        <f>IS!DL8</f>
        <v>16428</v>
      </c>
      <c r="AY142" s="1808">
        <f>IS!DM8</f>
        <v>17365.439999999999</v>
      </c>
      <c r="AZ142" s="1807">
        <f>AZ140+AZ135+AZ119</f>
        <v>0</v>
      </c>
      <c r="BA142" s="1808">
        <f>IS!DO8</f>
        <v>17372</v>
      </c>
      <c r="BB142" s="1808">
        <f>IS!DP8</f>
        <v>20885</v>
      </c>
      <c r="BC142" s="1808">
        <f>IS!DQ8</f>
        <v>17407</v>
      </c>
      <c r="BD142" s="1808">
        <f>IS!DR8</f>
        <v>18059</v>
      </c>
      <c r="BE142" s="1807">
        <f>BE140+BE135+BE119</f>
        <v>73723</v>
      </c>
      <c r="BF142" s="1808">
        <f>IS!DT8</f>
        <v>16008</v>
      </c>
      <c r="BG142" s="1808">
        <f>IS!DU8</f>
        <v>21456</v>
      </c>
      <c r="BH142" s="1808">
        <f>IS!DV8</f>
        <v>20489</v>
      </c>
      <c r="BI142" s="1808">
        <f>IS!DW8</f>
        <v>19896</v>
      </c>
      <c r="BJ142" s="1807">
        <f t="shared" ref="BJ142:BS142" si="198">BJ140+BJ135+BJ119</f>
        <v>77849</v>
      </c>
      <c r="BK142" s="1808">
        <f t="shared" si="198"/>
        <v>18529</v>
      </c>
      <c r="BL142" s="1808">
        <f t="shared" si="198"/>
        <v>24519</v>
      </c>
      <c r="BM142" s="1808">
        <f t="shared" si="198"/>
        <v>20403</v>
      </c>
      <c r="BN142" s="1808">
        <f t="shared" si="198"/>
        <v>23382</v>
      </c>
      <c r="BO142" s="1807">
        <f t="shared" si="198"/>
        <v>86833</v>
      </c>
      <c r="BP142" s="1808">
        <f>BP140+BP135+BP119</f>
        <v>23201</v>
      </c>
      <c r="BQ142" s="1808">
        <f>BQ140+BQ135+BQ119</f>
        <v>26470</v>
      </c>
      <c r="BR142" s="1808">
        <f t="shared" si="198"/>
        <v>21729</v>
      </c>
      <c r="BS142" s="1808">
        <f t="shared" si="198"/>
        <v>22180</v>
      </c>
      <c r="BT142" s="1807">
        <f>SUM(BP142:BS142)</f>
        <v>93580</v>
      </c>
      <c r="BU142" s="1808" t="e">
        <f>BU140+BU135+BU119+'Client Unit Model'!AV43</f>
        <v>#REF!</v>
      </c>
      <c r="BV142" s="1808" t="e">
        <f>BV140+BV135+BV119+'Client Unit Model'!AW43</f>
        <v>#REF!</v>
      </c>
      <c r="BW142" s="1808" t="e">
        <f>BW140+BW135+BW119+'Client Unit Model'!AX43</f>
        <v>#REF!</v>
      </c>
      <c r="BX142" s="1808" t="e">
        <f>BX140+BX135+BX119+'Client Unit Model'!AY43</f>
        <v>#REF!</v>
      </c>
      <c r="BY142" s="1807" t="e">
        <f>SUM(BU142:BX142)</f>
        <v>#REF!</v>
      </c>
      <c r="BZ142" s="1808" t="e">
        <f>BZ140+BZ135+BZ119+'Client Unit Model'!BA43</f>
        <v>#REF!</v>
      </c>
      <c r="CA142" s="1808" t="e">
        <f>CA140+CA135+CA119+'Client Unit Model'!BB43</f>
        <v>#REF!</v>
      </c>
      <c r="CB142" s="1808" t="e">
        <f>CB140+CB135+CB119+'Client Unit Model'!BC43</f>
        <v>#REF!</v>
      </c>
      <c r="CC142" s="1808" t="e">
        <f>CC140+CC135+CC119+'Client Unit Model'!BD43</f>
        <v>#REF!</v>
      </c>
      <c r="CD142" s="1807" t="e">
        <f>SUM(BZ142:CC142)</f>
        <v>#REF!</v>
      </c>
      <c r="CE142" s="1808">
        <f>CE140+CE135+CE119+'Client Unit Model'!BF46</f>
        <v>0</v>
      </c>
      <c r="CF142" s="1808">
        <f>CF140+CF135+CF119+'Client Unit Model'!BG46</f>
        <v>0</v>
      </c>
      <c r="CG142" s="1808">
        <f>CG140+CG135+CG119+'Client Unit Model'!BH46</f>
        <v>0</v>
      </c>
      <c r="CH142" s="1808">
        <f>CH140+CH135+CH119+'Client Unit Model'!BI46</f>
        <v>0</v>
      </c>
      <c r="CI142" s="1807">
        <f>SUM(CE142:CH142)</f>
        <v>0</v>
      </c>
      <c r="CJ142" s="1808">
        <f>CJ140+CJ135+CJ119+'Client Unit Model'!BL46</f>
        <v>0</v>
      </c>
      <c r="CK142" s="1808">
        <f>CK140+CK135+CK119+'Client Unit Model'!BM46</f>
        <v>0</v>
      </c>
      <c r="CL142" s="1808">
        <f>CL140+CL135+CL119+'Client Unit Model'!BN46</f>
        <v>0</v>
      </c>
      <c r="CM142" s="1808">
        <f>CM140+CM135+CM119+'Client Unit Model'!BY46</f>
        <v>0</v>
      </c>
      <c r="CN142" s="1807">
        <f>SUM(CJ142:CM142)</f>
        <v>0</v>
      </c>
      <c r="CO142" s="1808">
        <f>CO140+CO135+CO119+'Client Unit Model'!BQ46</f>
        <v>0</v>
      </c>
      <c r="CP142" s="1808">
        <f>CP140+CP135+CP119+'Client Unit Model'!BR46</f>
        <v>0</v>
      </c>
      <c r="CQ142" s="1808">
        <f>CQ140+CQ135+CQ119+'Client Unit Model'!BS46</f>
        <v>0</v>
      </c>
      <c r="CR142" s="1808">
        <f>CR140+CR135+CR119+'Client Unit Model'!CD46</f>
        <v>0</v>
      </c>
      <c r="CS142" s="1807">
        <f>SUM(CO142:CR142)</f>
        <v>0</v>
      </c>
      <c r="CT142" s="1808">
        <f>CT140+CT135+CT119+'Client Unit Model'!BV46</f>
        <v>0</v>
      </c>
      <c r="CU142" s="1808">
        <f>CU140+CU135+CU119+'Client Unit Model'!BW46</f>
        <v>0</v>
      </c>
      <c r="CV142" s="1808">
        <f>CV140+CV135+CV119+'Client Unit Model'!BX46</f>
        <v>0</v>
      </c>
      <c r="CW142" s="1808">
        <f>CW140+CW135+CW119+'Client Unit Model'!CI46</f>
        <v>93417.333333333343</v>
      </c>
      <c r="CX142" s="1807">
        <f>SUM(CT142:CW142)</f>
        <v>93417.333333333343</v>
      </c>
      <c r="CY142" s="1806"/>
      <c r="CZ142" s="1806"/>
      <c r="DA142" s="1807"/>
      <c r="DB142" s="1807"/>
      <c r="DC142" s="1807"/>
      <c r="DD142" s="1807"/>
      <c r="DE142" s="1807"/>
      <c r="DF142" s="1807"/>
      <c r="DG142" s="1809"/>
      <c r="DH142" s="1809"/>
      <c r="DI142" s="1807">
        <f>SUM(BC142:BD142,BF142:BG142)</f>
        <v>72930</v>
      </c>
      <c r="DJ142" s="1809">
        <f>SUM(BH142:BI142,BK142:BL142)</f>
        <v>83433</v>
      </c>
      <c r="DK142" s="1809">
        <f>SUM(BM142:BN142,BP142:BQ142)</f>
        <v>93456</v>
      </c>
      <c r="DL142" s="1809" t="e">
        <f>SUM(BU142:BV142,BR142:BS142)</f>
        <v>#REF!</v>
      </c>
      <c r="DM142" s="1807" t="e">
        <f>SUM(BW142:BX142,BZ142:CA142)</f>
        <v>#REF!</v>
      </c>
      <c r="DN142" s="1807" t="e">
        <f>SUM(CB142:CC142,CE142:CF142)</f>
        <v>#REF!</v>
      </c>
      <c r="DO142" s="1807"/>
      <c r="DP142" s="1807"/>
      <c r="DQ142" s="1807"/>
      <c r="DR142" s="1808"/>
      <c r="DS142" s="941"/>
      <c r="DT142" s="941"/>
      <c r="DU142" s="941"/>
      <c r="DV142" s="941"/>
      <c r="DW142" s="941"/>
      <c r="DX142" s="941"/>
      <c r="DY142" s="941"/>
      <c r="DZ142" s="941"/>
      <c r="EA142" s="941"/>
      <c r="EB142" s="941"/>
      <c r="EC142" s="941"/>
      <c r="ED142" s="941"/>
      <c r="EE142" s="941"/>
      <c r="EF142" s="941"/>
      <c r="EG142" s="941"/>
      <c r="EH142" s="941"/>
      <c r="EI142" s="941"/>
      <c r="EJ142" s="941"/>
      <c r="EK142" s="941"/>
      <c r="EL142" s="941"/>
      <c r="EM142" s="941"/>
      <c r="EN142" s="941"/>
      <c r="EO142" s="941"/>
      <c r="EP142" s="941"/>
      <c r="EQ142" s="941"/>
      <c r="ER142" s="941"/>
    </row>
    <row r="143" spans="1:148" s="939" customFormat="1" ht="12" hidden="1" outlineLevel="1">
      <c r="A143" s="1810" t="s">
        <v>717</v>
      </c>
      <c r="B143" s="1778"/>
      <c r="C143" s="1778"/>
      <c r="D143" s="1778"/>
      <c r="E143" s="1778"/>
      <c r="F143" s="1778"/>
      <c r="G143" s="1778"/>
      <c r="H143" s="1778"/>
      <c r="I143" s="1778"/>
      <c r="J143" s="1778"/>
      <c r="K143" s="1778"/>
      <c r="L143" s="1778"/>
      <c r="M143" s="1778"/>
      <c r="N143" s="1778"/>
      <c r="O143" s="1778"/>
      <c r="P143" s="1778"/>
      <c r="Q143" s="1778"/>
      <c r="R143" s="1778"/>
      <c r="S143" s="1778"/>
      <c r="T143" s="1778"/>
      <c r="U143" s="1778"/>
      <c r="V143" s="1778"/>
      <c r="W143" s="1778"/>
      <c r="X143" s="1778"/>
      <c r="Y143" s="1778"/>
      <c r="Z143" s="1778"/>
      <c r="AA143" s="1778"/>
      <c r="AB143" s="1778"/>
      <c r="AC143" s="1778"/>
      <c r="AD143" s="1778"/>
      <c r="AE143" s="1778"/>
      <c r="AF143" s="1778"/>
      <c r="AG143" s="1778"/>
      <c r="AH143" s="1778"/>
      <c r="AI143" s="1778"/>
      <c r="AJ143" s="1778"/>
      <c r="AK143" s="1778"/>
      <c r="AL143" s="1778"/>
      <c r="AM143" s="1778"/>
      <c r="AN143" s="1778"/>
      <c r="AO143" s="1778"/>
      <c r="AP143" s="1778"/>
      <c r="AQ143" s="1778"/>
      <c r="AR143" s="1778"/>
      <c r="AS143" s="1778"/>
      <c r="AT143" s="1778"/>
      <c r="AU143" s="1774"/>
      <c r="AV143" s="1778"/>
      <c r="AW143" s="1778"/>
      <c r="AX143" s="1778"/>
      <c r="AY143" s="1778"/>
      <c r="AZ143" s="1774"/>
      <c r="BA143" s="1785">
        <f>IF(ISERROR(BA142/AV142-1),"",(BA142/AV142-1))</f>
        <v>7.2676752083976615E-2</v>
      </c>
      <c r="BB143" s="1785">
        <f>IF(ISERROR(BB142/AW142-1),"",(BB142/AW142-1))</f>
        <v>4.6709767954693504E-2</v>
      </c>
      <c r="BC143" s="1785">
        <f>IF(ISERROR(BC142/AX142-1),"",(BC142/AX142-1))</f>
        <v>5.9593377160944705E-2</v>
      </c>
      <c r="BD143" s="1785">
        <f>IF(ISERROR(BD142/AY142-1),"",(BD142/AY142-1))</f>
        <v>3.9939097425691461E-2</v>
      </c>
      <c r="BE143" s="1774"/>
      <c r="BF143" s="1785">
        <f>IF(ISERROR(BF142/BA142-1),"",(BF142/BA142-1))</f>
        <v>-7.8517154040985471E-2</v>
      </c>
      <c r="BG143" s="1785">
        <f>IF(ISERROR(BG142/BB142-1),"",(BG142/BB142-1))</f>
        <v>2.7340196313143439E-2</v>
      </c>
      <c r="BH143" s="1785">
        <f>IF(ISERROR(BH142/BC142-1),"",(BH142/BC142-1))</f>
        <v>0.17705520767507332</v>
      </c>
      <c r="BI143" s="1785">
        <f>IF(ISERROR(BI142/BD142-1),"",(BI142/BD142-1))</f>
        <v>0.10172213300847233</v>
      </c>
      <c r="BJ143" s="1774">
        <f>BJ142/BE142-1</f>
        <v>5.5966252051598442E-2</v>
      </c>
      <c r="BK143" s="1785">
        <f>IF(ISERROR(BK142/BF142-1),"",(BK142/BF142-1))</f>
        <v>0.15748375812093962</v>
      </c>
      <c r="BL143" s="1785">
        <f>IF(ISERROR(BL142/BG142-1),"",(BL142/BG142-1))</f>
        <v>0.14275727069351229</v>
      </c>
      <c r="BM143" s="1785">
        <f>IF(ISERROR(BM142/BH142-1),"",(BM142/BH142-1))</f>
        <v>-4.1973742007906933E-3</v>
      </c>
      <c r="BN143" s="1785">
        <f>IF(ISERROR(BN142/BI142-1),"",(BN142/BI142-1))</f>
        <v>0.17521109770808208</v>
      </c>
      <c r="BO143" s="1774">
        <f>BO142/BJ142-1</f>
        <v>0.11540289534868786</v>
      </c>
      <c r="BP143" s="1785">
        <f>IF(ISERROR(BP142/BK142-1),"",(BP142/BK142-1))</f>
        <v>0.25214528576825512</v>
      </c>
      <c r="BQ143" s="1785">
        <f>IF(ISERROR(BQ142/BL142-1),"",(BQ142/BL142-1))</f>
        <v>7.9570944981443015E-2</v>
      </c>
      <c r="BR143" s="1785">
        <f>IF(ISERROR(BR142/BM142-1),"",(BR142/BM142-1))</f>
        <v>6.4990442581973173E-2</v>
      </c>
      <c r="BS143" s="1785">
        <f>IF(ISERROR(BS142/BN142-1),"",(BS142/BN142-1))</f>
        <v>-5.1407065263878171E-2</v>
      </c>
      <c r="BT143" s="1774">
        <f>BT142/BO142-1</f>
        <v>7.7700874091647165E-2</v>
      </c>
      <c r="BU143" s="1785" t="str">
        <f>IF(ISERROR(BU142/BP142-1),"",(BU142/BP142-1))</f>
        <v/>
      </c>
      <c r="BV143" s="1785" t="str">
        <f>IF(ISERROR(BV142/BQ142-1),"",(BV142/BQ142-1))</f>
        <v/>
      </c>
      <c r="BW143" s="1785" t="str">
        <f>IF(ISERROR(BW142/BR142-1),"",(BW142/BR142-1))</f>
        <v/>
      </c>
      <c r="BX143" s="1785" t="str">
        <f>IF(ISERROR(BX142/BS142-1),"",(BX142/BS142-1))</f>
        <v/>
      </c>
      <c r="BY143" s="1774" t="e">
        <f>BY142/BT142-1</f>
        <v>#REF!</v>
      </c>
      <c r="BZ143" s="1785" t="str">
        <f>IF(ISERROR(BZ142/BU142-1),"",(BZ142/BU142-1))</f>
        <v/>
      </c>
      <c r="CA143" s="1785" t="str">
        <f>IF(ISERROR(CA142/BV142-1),"",(CA142/BV142-1))</f>
        <v/>
      </c>
      <c r="CB143" s="1785" t="str">
        <f>IF(ISERROR(CB142/BW142-1),"",(CB142/BW142-1))</f>
        <v/>
      </c>
      <c r="CC143" s="1785" t="str">
        <f>IF(ISERROR(CC142/BX142-1),"",(CC142/BX142-1))</f>
        <v/>
      </c>
      <c r="CD143" s="1774" t="e">
        <f>CD142/BY142-1</f>
        <v>#REF!</v>
      </c>
      <c r="CE143" s="1785" t="str">
        <f>IF(ISERROR(CE142/BZ142-1),"",(CE142/BZ142-1))</f>
        <v/>
      </c>
      <c r="CF143" s="1785" t="str">
        <f>IF(ISERROR(CF142/CA142-1),"",(CF142/CA142-1))</f>
        <v/>
      </c>
      <c r="CG143" s="1785" t="str">
        <f>IF(ISERROR(CG142/CB142-1),"",(CG142/CB142-1))</f>
        <v/>
      </c>
      <c r="CH143" s="1785" t="str">
        <f>IF(ISERROR(CH142/CC142-1),"",(CH142/CC142-1))</f>
        <v/>
      </c>
      <c r="CI143" s="1774" t="e">
        <f>CI142/CD142-1</f>
        <v>#REF!</v>
      </c>
      <c r="CJ143" s="1785" t="str">
        <f>IF(ISERROR(CJ142/CE142-1),"",(CJ142/CE142-1))</f>
        <v/>
      </c>
      <c r="CK143" s="1785" t="str">
        <f>IF(ISERROR(CK142/CF142-1),"",(CK142/CF142-1))</f>
        <v/>
      </c>
      <c r="CL143" s="1785" t="str">
        <f>IF(ISERROR(CL142/CG142-1),"",(CL142/CG142-1))</f>
        <v/>
      </c>
      <c r="CM143" s="1785" t="str">
        <f>IF(ISERROR(CM142/CH142-1),"",(CM142/CH142-1))</f>
        <v/>
      </c>
      <c r="CN143" s="1774" t="e">
        <f>CN142/CI142-1</f>
        <v>#DIV/0!</v>
      </c>
      <c r="CO143" s="1785" t="str">
        <f>IF(ISERROR(CO142/CJ142-1),"",(CO142/CJ142-1))</f>
        <v/>
      </c>
      <c r="CP143" s="1785" t="str">
        <f>IF(ISERROR(CP142/CK142-1),"",(CP142/CK142-1))</f>
        <v/>
      </c>
      <c r="CQ143" s="1785" t="str">
        <f>IF(ISERROR(CQ142/CL142-1),"",(CQ142/CL142-1))</f>
        <v/>
      </c>
      <c r="CR143" s="1785" t="str">
        <f>IF(ISERROR(CR142/CM142-1),"",(CR142/CM142-1))</f>
        <v/>
      </c>
      <c r="CS143" s="1774" t="e">
        <f>CS142/CN142-1</f>
        <v>#DIV/0!</v>
      </c>
      <c r="CT143" s="1785" t="str">
        <f>IF(ISERROR(CT142/CO142-1),"",(CT142/CO142-1))</f>
        <v/>
      </c>
      <c r="CU143" s="1785" t="str">
        <f>IF(ISERROR(CU142/CP142-1),"",(CU142/CP142-1))</f>
        <v/>
      </c>
      <c r="CV143" s="1785" t="str">
        <f>IF(ISERROR(CV142/CQ142-1),"",(CV142/CQ142-1))</f>
        <v/>
      </c>
      <c r="CW143" s="1785" t="str">
        <f>IF(ISERROR(CW142/CR142-1),"",(CW142/CR142-1))</f>
        <v/>
      </c>
      <c r="CX143" s="1774" t="e">
        <f>CX142/CS142-1</f>
        <v>#DIV/0!</v>
      </c>
      <c r="CY143" s="1778"/>
      <c r="CZ143" s="1778"/>
      <c r="DA143" s="1774"/>
      <c r="DB143" s="1774"/>
      <c r="DC143" s="1774"/>
      <c r="DD143" s="1774"/>
      <c r="DE143" s="1774"/>
      <c r="DF143" s="1774"/>
      <c r="DG143" s="1773"/>
      <c r="DH143" s="1773"/>
      <c r="DI143" s="1774"/>
      <c r="DJ143" s="1773">
        <f>DJ142/DI142-1</f>
        <v>0.14401480872069117</v>
      </c>
      <c r="DK143" s="1773">
        <f>DK142/DJ142-1</f>
        <v>0.1201323217431951</v>
      </c>
      <c r="DL143" s="1773" t="e">
        <f>DL142/DK142-1</f>
        <v>#REF!</v>
      </c>
      <c r="DM143" s="1774" t="e">
        <f>DM142/DL142-1</f>
        <v>#REF!</v>
      </c>
      <c r="DN143" s="1774" t="e">
        <f>DN142/DM142-1</f>
        <v>#REF!</v>
      </c>
      <c r="DO143" s="1774"/>
      <c r="DP143" s="1774"/>
      <c r="DQ143" s="1774"/>
      <c r="DR143" s="1785"/>
      <c r="DS143" s="253"/>
      <c r="DT143" s="253"/>
      <c r="DU143" s="253"/>
      <c r="DV143" s="253"/>
      <c r="DW143" s="253"/>
      <c r="DX143" s="253"/>
      <c r="DY143" s="253"/>
      <c r="DZ143" s="253"/>
      <c r="EA143" s="253"/>
      <c r="EB143" s="253"/>
      <c r="EC143" s="253"/>
      <c r="ED143" s="253"/>
      <c r="EE143" s="253"/>
      <c r="EF143" s="253"/>
      <c r="EG143" s="253"/>
      <c r="EH143" s="253"/>
      <c r="EI143" s="253"/>
      <c r="EJ143" s="253"/>
      <c r="EK143" s="253"/>
      <c r="EL143" s="253"/>
      <c r="EM143" s="253"/>
      <c r="EN143" s="253"/>
      <c r="EO143" s="253"/>
      <c r="EP143" s="253"/>
      <c r="EQ143" s="253"/>
      <c r="ER143" s="253"/>
    </row>
    <row r="144" spans="1:148" s="939" customFormat="1" ht="12" hidden="1" outlineLevel="1">
      <c r="A144" s="1810" t="s">
        <v>764</v>
      </c>
      <c r="B144" s="1778"/>
      <c r="C144" s="1778"/>
      <c r="D144" s="1778"/>
      <c r="E144" s="1778"/>
      <c r="F144" s="1778"/>
      <c r="G144" s="1778"/>
      <c r="H144" s="1778"/>
      <c r="I144" s="1778"/>
      <c r="J144" s="1778"/>
      <c r="K144" s="1778"/>
      <c r="L144" s="1778"/>
      <c r="M144" s="1778"/>
      <c r="N144" s="1778"/>
      <c r="O144" s="1778"/>
      <c r="P144" s="1778"/>
      <c r="Q144" s="1778"/>
      <c r="R144" s="1778"/>
      <c r="S144" s="1778"/>
      <c r="T144" s="1778"/>
      <c r="U144" s="1778"/>
      <c r="V144" s="1778"/>
      <c r="W144" s="1778"/>
      <c r="X144" s="1778"/>
      <c r="Y144" s="1778"/>
      <c r="Z144" s="1778"/>
      <c r="AA144" s="1778"/>
      <c r="AB144" s="1778"/>
      <c r="AC144" s="1778"/>
      <c r="AD144" s="1778"/>
      <c r="AE144" s="1778"/>
      <c r="AF144" s="1778"/>
      <c r="AG144" s="1778"/>
      <c r="AH144" s="1778"/>
      <c r="AI144" s="1778"/>
      <c r="AJ144" s="1778"/>
      <c r="AK144" s="1778"/>
      <c r="AL144" s="1778"/>
      <c r="AM144" s="1778"/>
      <c r="AN144" s="1778"/>
      <c r="AO144" s="1778"/>
      <c r="AP144" s="1778"/>
      <c r="AQ144" s="1778"/>
      <c r="AR144" s="1778"/>
      <c r="AS144" s="1778"/>
      <c r="AT144" s="1778"/>
      <c r="AU144" s="1774"/>
      <c r="AV144" s="1778"/>
      <c r="AW144" s="1778"/>
      <c r="AX144" s="1778"/>
      <c r="AY144" s="1778"/>
      <c r="AZ144" s="1774"/>
      <c r="BA144" s="1785"/>
      <c r="BB144" s="1785"/>
      <c r="BC144" s="1785"/>
      <c r="BD144" s="1785"/>
      <c r="BE144" s="1774"/>
      <c r="BF144" s="1785">
        <f t="shared" ref="BF144:CI144" si="199">(BF135+BF119)/SUM(BA119,BA135)-1</f>
        <v>5.7653502450283334E-4</v>
      </c>
      <c r="BG144" s="1785">
        <f t="shared" si="199"/>
        <v>5.6279961649089216E-2</v>
      </c>
      <c r="BH144" s="1785">
        <f t="shared" si="199"/>
        <v>8.2643678160919443E-2</v>
      </c>
      <c r="BI144" s="1785">
        <f t="shared" si="199"/>
        <v>3.3112938773316225E-2</v>
      </c>
      <c r="BJ144" s="1774">
        <f t="shared" si="199"/>
        <v>4.3634109529969711E-2</v>
      </c>
      <c r="BK144" s="1785">
        <f t="shared" si="199"/>
        <v>7.5194468452895347E-2</v>
      </c>
      <c r="BL144" s="1785">
        <f t="shared" si="199"/>
        <v>0.11527639103204135</v>
      </c>
      <c r="BM144" s="1785">
        <f t="shared" si="199"/>
        <v>8.9818452064974963E-2</v>
      </c>
      <c r="BN144" s="1785">
        <f t="shared" si="199"/>
        <v>0.22191581247723602</v>
      </c>
      <c r="BO144" s="1774">
        <f t="shared" si="199"/>
        <v>0.12656560700358965</v>
      </c>
      <c r="BP144" s="1785">
        <f t="shared" si="199"/>
        <v>0.24565916398713816</v>
      </c>
      <c r="BQ144" s="1785">
        <f t="shared" si="199"/>
        <v>6.437698380402046E-2</v>
      </c>
      <c r="BR144" s="1785">
        <f t="shared" si="199"/>
        <v>5.9376522162688739E-2</v>
      </c>
      <c r="BS144" s="1785">
        <f t="shared" si="199"/>
        <v>-5.3525804803270294E-2</v>
      </c>
      <c r="BT144" s="1774">
        <f t="shared" si="199"/>
        <v>7.0236567027324392E-2</v>
      </c>
      <c r="BU144" s="1785" t="e">
        <f t="shared" si="199"/>
        <v>#REF!</v>
      </c>
      <c r="BV144" s="1785" t="e">
        <f t="shared" si="199"/>
        <v>#REF!</v>
      </c>
      <c r="BW144" s="1785" t="e">
        <f t="shared" si="199"/>
        <v>#REF!</v>
      </c>
      <c r="BX144" s="1785" t="e">
        <f t="shared" si="199"/>
        <v>#REF!</v>
      </c>
      <c r="BY144" s="1774" t="e">
        <f t="shared" si="199"/>
        <v>#REF!</v>
      </c>
      <c r="BZ144" s="1785" t="e">
        <f t="shared" si="199"/>
        <v>#REF!</v>
      </c>
      <c r="CA144" s="1785" t="e">
        <f t="shared" si="199"/>
        <v>#REF!</v>
      </c>
      <c r="CB144" s="1785" t="e">
        <f t="shared" si="199"/>
        <v>#REF!</v>
      </c>
      <c r="CC144" s="1785" t="e">
        <f t="shared" si="199"/>
        <v>#REF!</v>
      </c>
      <c r="CD144" s="1774" t="e">
        <f t="shared" si="199"/>
        <v>#REF!</v>
      </c>
      <c r="CE144" s="1785" t="e">
        <f t="shared" si="199"/>
        <v>#REF!</v>
      </c>
      <c r="CF144" s="1785" t="e">
        <f t="shared" si="199"/>
        <v>#REF!</v>
      </c>
      <c r="CG144" s="1785" t="e">
        <f t="shared" si="199"/>
        <v>#REF!</v>
      </c>
      <c r="CH144" s="1785" t="e">
        <f t="shared" si="199"/>
        <v>#REF!</v>
      </c>
      <c r="CI144" s="1774" t="e">
        <f t="shared" si="199"/>
        <v>#REF!</v>
      </c>
      <c r="CJ144" s="1785" t="e">
        <f t="shared" ref="CJ144:CS144" si="200">(CJ135+CJ119)/SUM(CE119,CE135)-1</f>
        <v>#DIV/0!</v>
      </c>
      <c r="CK144" s="1785" t="e">
        <f t="shared" si="200"/>
        <v>#DIV/0!</v>
      </c>
      <c r="CL144" s="1785" t="e">
        <f t="shared" si="200"/>
        <v>#DIV/0!</v>
      </c>
      <c r="CM144" s="1785" t="e">
        <f t="shared" si="200"/>
        <v>#DIV/0!</v>
      </c>
      <c r="CN144" s="1774" t="e">
        <f t="shared" si="200"/>
        <v>#DIV/0!</v>
      </c>
      <c r="CO144" s="1785" t="e">
        <f t="shared" si="200"/>
        <v>#DIV/0!</v>
      </c>
      <c r="CP144" s="1785" t="e">
        <f t="shared" si="200"/>
        <v>#DIV/0!</v>
      </c>
      <c r="CQ144" s="1785" t="e">
        <f t="shared" si="200"/>
        <v>#DIV/0!</v>
      </c>
      <c r="CR144" s="1785" t="e">
        <f t="shared" si="200"/>
        <v>#DIV/0!</v>
      </c>
      <c r="CS144" s="1774" t="e">
        <f t="shared" si="200"/>
        <v>#DIV/0!</v>
      </c>
      <c r="CT144" s="1785" t="e">
        <f t="shared" ref="CT144" si="201">(CT135+CT119)/SUM(CO119,CO135)-1</f>
        <v>#DIV/0!</v>
      </c>
      <c r="CU144" s="1785" t="e">
        <f t="shared" ref="CU144" si="202">(CU135+CU119)/SUM(CP119,CP135)-1</f>
        <v>#DIV/0!</v>
      </c>
      <c r="CV144" s="1785" t="e">
        <f t="shared" ref="CV144" si="203">(CV135+CV119)/SUM(CQ119,CQ135)-1</f>
        <v>#DIV/0!</v>
      </c>
      <c r="CW144" s="1785" t="e">
        <f t="shared" ref="CW144" si="204">(CW135+CW119)/SUM(CR119,CR135)-1</f>
        <v>#DIV/0!</v>
      </c>
      <c r="CX144" s="1774" t="e">
        <f t="shared" ref="CX144" si="205">(CX135+CX119)/SUM(CS119,CS135)-1</f>
        <v>#DIV/0!</v>
      </c>
      <c r="CY144" s="1778"/>
      <c r="CZ144" s="1778"/>
      <c r="DA144" s="1774"/>
      <c r="DB144" s="1774"/>
      <c r="DC144" s="1774"/>
      <c r="DD144" s="1774"/>
      <c r="DE144" s="1774"/>
      <c r="DF144" s="1774"/>
      <c r="DG144" s="1773"/>
      <c r="DH144" s="1773"/>
      <c r="DI144" s="1774"/>
      <c r="DJ144" s="1773"/>
      <c r="DK144" s="1773"/>
      <c r="DL144" s="1773"/>
      <c r="DM144" s="1774"/>
      <c r="DN144" s="1774"/>
      <c r="DO144" s="1774"/>
      <c r="DP144" s="1774"/>
      <c r="DQ144" s="1774"/>
      <c r="DR144" s="1785"/>
      <c r="DS144" s="253"/>
      <c r="DT144" s="253"/>
      <c r="DU144" s="253"/>
      <c r="DV144" s="253"/>
      <c r="DW144" s="253"/>
      <c r="DX144" s="253"/>
      <c r="DY144" s="253"/>
      <c r="DZ144" s="253"/>
      <c r="EA144" s="253"/>
      <c r="EB144" s="253"/>
      <c r="EC144" s="253"/>
      <c r="ED144" s="253"/>
      <c r="EE144" s="253"/>
      <c r="EF144" s="253"/>
      <c r="EG144" s="253"/>
      <c r="EH144" s="253"/>
      <c r="EI144" s="253"/>
      <c r="EJ144" s="253"/>
      <c r="EK144" s="253"/>
      <c r="EL144" s="253"/>
      <c r="EM144" s="253"/>
      <c r="EN144" s="253"/>
      <c r="EO144" s="253"/>
      <c r="EP144" s="253"/>
      <c r="EQ144" s="253"/>
      <c r="ER144" s="253"/>
    </row>
    <row r="145" spans="1:148" s="939" customFormat="1" ht="12" hidden="1" outlineLevel="1">
      <c r="A145" s="1810" t="s">
        <v>988</v>
      </c>
      <c r="B145" s="1778"/>
      <c r="C145" s="1778"/>
      <c r="D145" s="1778"/>
      <c r="E145" s="1778"/>
      <c r="F145" s="1778"/>
      <c r="G145" s="1778"/>
      <c r="H145" s="1778"/>
      <c r="I145" s="1778"/>
      <c r="J145" s="1778"/>
      <c r="K145" s="1778"/>
      <c r="L145" s="1778"/>
      <c r="M145" s="1778"/>
      <c r="N145" s="1778"/>
      <c r="O145" s="1778"/>
      <c r="P145" s="1778"/>
      <c r="Q145" s="1778"/>
      <c r="R145" s="1778"/>
      <c r="S145" s="1778"/>
      <c r="T145" s="1778"/>
      <c r="U145" s="1778"/>
      <c r="V145" s="1778"/>
      <c r="W145" s="1778"/>
      <c r="X145" s="1778"/>
      <c r="Y145" s="1778"/>
      <c r="Z145" s="1778"/>
      <c r="AA145" s="1778"/>
      <c r="AB145" s="1778"/>
      <c r="AC145" s="1778"/>
      <c r="AD145" s="1778"/>
      <c r="AE145" s="1778"/>
      <c r="AF145" s="1778"/>
      <c r="AG145" s="1778"/>
      <c r="AH145" s="1778"/>
      <c r="AI145" s="1778"/>
      <c r="AJ145" s="1778"/>
      <c r="AK145" s="1778"/>
      <c r="AL145" s="1778"/>
      <c r="AM145" s="1778"/>
      <c r="AN145" s="1778"/>
      <c r="AO145" s="1778"/>
      <c r="AP145" s="1778"/>
      <c r="AQ145" s="1778"/>
      <c r="AR145" s="1778"/>
      <c r="AS145" s="1778"/>
      <c r="AT145" s="1778"/>
      <c r="AU145" s="1774"/>
      <c r="AV145" s="1778"/>
      <c r="AW145" s="1778"/>
      <c r="AX145" s="1778"/>
      <c r="AY145" s="1778"/>
      <c r="AZ145" s="1774"/>
      <c r="BA145" s="1785"/>
      <c r="BB145" s="1785"/>
      <c r="BC145" s="1785"/>
      <c r="BD145" s="1785"/>
      <c r="BE145" s="1774"/>
      <c r="BF145" s="1785">
        <f>IF(ISERROR(BF142/BA142-1),"",(BF142/BA142-1))</f>
        <v>-7.8517154040985471E-2</v>
      </c>
      <c r="BG145" s="1785">
        <f t="shared" ref="BG145:BM145" si="206">IF(ISERROR(BG142/BB142-1),"",(BG142/BB142-1))</f>
        <v>2.7340196313143439E-2</v>
      </c>
      <c r="BH145" s="1785">
        <f t="shared" si="206"/>
        <v>0.17705520767507332</v>
      </c>
      <c r="BI145" s="1785">
        <f t="shared" si="206"/>
        <v>0.10172213300847233</v>
      </c>
      <c r="BJ145" s="1774">
        <f t="shared" si="206"/>
        <v>5.5966252051598442E-2</v>
      </c>
      <c r="BK145" s="1785">
        <f>IF(ISERROR(BK142/BF142-1),"",(BK142/BF142-1))</f>
        <v>0.15748375812093962</v>
      </c>
      <c r="BL145" s="1785">
        <f t="shared" si="206"/>
        <v>0.14275727069351229</v>
      </c>
      <c r="BM145" s="1785">
        <f t="shared" si="206"/>
        <v>-4.1973742007906933E-3</v>
      </c>
      <c r="BN145" s="1785">
        <f>IF(ISERROR((BN142-BN107)/BI142-1),"",((BN142-BN107)/BI142-1))</f>
        <v>7.5593084036992275E-2</v>
      </c>
      <c r="BO145" s="1774">
        <f>IF(ISERROR((BO142-BO107)/BJ142-1),"",((BO142-BO107)/BJ142-1))</f>
        <v>8.9943351873498667E-2</v>
      </c>
      <c r="BP145" s="1785">
        <f>IF(ISERROR((BP142-BP107)/BK142-1),"",((BP142-BP107)/BK142-1))</f>
        <v>0.11133898213611104</v>
      </c>
      <c r="BQ145" s="1785">
        <f>IF(ISERROR((BQ142-BQ107)/BL142-1),"",((BQ142-BQ107)/BL142-1))</f>
        <v>-1.3581304294628671E-2</v>
      </c>
      <c r="BR145" s="1785">
        <f>IF(ISERROR((BR142-BR107)/BM142-1),"",((BR142-BR107)/BM142-1))</f>
        <v>-3.4798804097436742E-3</v>
      </c>
      <c r="BS145" s="1785">
        <f>IF(ISERROR((BS142-BS107)/(BN142-BN107)-1),"",((BS142-BS107)/(BN142-BN107)-1))</f>
        <v>-2.121495327102807E-2</v>
      </c>
      <c r="BT145" s="1774">
        <f>IF(ISERROR((BT142-BT107)/(BO142-BO107)-1),"",((BT142-BT107)/(BO142-BO107)-1))</f>
        <v>1.4201364745259237E-2</v>
      </c>
      <c r="BU145" s="1785" t="str">
        <f t="shared" ref="BU145:CD145" si="207">IF(ISERROR(BU142/BP142-1),"",(BU142/BP142-1))</f>
        <v/>
      </c>
      <c r="BV145" s="1785" t="str">
        <f t="shared" si="207"/>
        <v/>
      </c>
      <c r="BW145" s="1785" t="str">
        <f t="shared" si="207"/>
        <v/>
      </c>
      <c r="BX145" s="1785" t="str">
        <f t="shared" si="207"/>
        <v/>
      </c>
      <c r="BY145" s="1774" t="str">
        <f t="shared" si="207"/>
        <v/>
      </c>
      <c r="BZ145" s="1785" t="str">
        <f t="shared" si="207"/>
        <v/>
      </c>
      <c r="CA145" s="1785" t="str">
        <f t="shared" si="207"/>
        <v/>
      </c>
      <c r="CB145" s="1785" t="str">
        <f t="shared" si="207"/>
        <v/>
      </c>
      <c r="CC145" s="1785" t="str">
        <f t="shared" si="207"/>
        <v/>
      </c>
      <c r="CD145" s="1774" t="str">
        <f t="shared" si="207"/>
        <v/>
      </c>
      <c r="CE145" s="1785" t="str">
        <f t="shared" ref="CE145:CI145" si="208">IF(ISERROR(CE142/BZ142-1),"",(CE142/BZ142-1))</f>
        <v/>
      </c>
      <c r="CF145" s="1785" t="str">
        <f t="shared" si="208"/>
        <v/>
      </c>
      <c r="CG145" s="1785" t="str">
        <f t="shared" si="208"/>
        <v/>
      </c>
      <c r="CH145" s="1785" t="str">
        <f t="shared" si="208"/>
        <v/>
      </c>
      <c r="CI145" s="1774" t="str">
        <f t="shared" si="208"/>
        <v/>
      </c>
      <c r="CJ145" s="1785" t="str">
        <f t="shared" ref="CJ145:CS145" si="209">IF(ISERROR(CJ142/CE142-1),"",(CJ142/CE142-1))</f>
        <v/>
      </c>
      <c r="CK145" s="1785" t="str">
        <f t="shared" si="209"/>
        <v/>
      </c>
      <c r="CL145" s="1785" t="str">
        <f t="shared" si="209"/>
        <v/>
      </c>
      <c r="CM145" s="1785" t="str">
        <f t="shared" si="209"/>
        <v/>
      </c>
      <c r="CN145" s="1774" t="str">
        <f t="shared" si="209"/>
        <v/>
      </c>
      <c r="CO145" s="1785" t="str">
        <f t="shared" si="209"/>
        <v/>
      </c>
      <c r="CP145" s="1785" t="str">
        <f t="shared" si="209"/>
        <v/>
      </c>
      <c r="CQ145" s="1785" t="str">
        <f t="shared" si="209"/>
        <v/>
      </c>
      <c r="CR145" s="1785" t="str">
        <f t="shared" si="209"/>
        <v/>
      </c>
      <c r="CS145" s="1774" t="str">
        <f t="shared" si="209"/>
        <v/>
      </c>
      <c r="CT145" s="1785" t="str">
        <f t="shared" ref="CT145" si="210">IF(ISERROR(CT142/CO142-1),"",(CT142/CO142-1))</f>
        <v/>
      </c>
      <c r="CU145" s="1785" t="str">
        <f t="shared" ref="CU145" si="211">IF(ISERROR(CU142/CP142-1),"",(CU142/CP142-1))</f>
        <v/>
      </c>
      <c r="CV145" s="1785" t="str">
        <f t="shared" ref="CV145" si="212">IF(ISERROR(CV142/CQ142-1),"",(CV142/CQ142-1))</f>
        <v/>
      </c>
      <c r="CW145" s="1785" t="str">
        <f t="shared" ref="CW145" si="213">IF(ISERROR(CW142/CR142-1),"",(CW142/CR142-1))</f>
        <v/>
      </c>
      <c r="CX145" s="1774" t="str">
        <f t="shared" ref="CX145" si="214">IF(ISERROR(CX142/CS142-1),"",(CX142/CS142-1))</f>
        <v/>
      </c>
      <c r="CY145" s="1778"/>
      <c r="CZ145" s="1778"/>
      <c r="DA145" s="1774"/>
      <c r="DB145" s="1774"/>
      <c r="DC145" s="1774"/>
      <c r="DD145" s="1774"/>
      <c r="DE145" s="1774"/>
      <c r="DF145" s="1774"/>
      <c r="DG145" s="1773"/>
      <c r="DH145" s="1773"/>
      <c r="DI145" s="1774"/>
      <c r="DJ145" s="1773"/>
      <c r="DK145" s="1773"/>
      <c r="DL145" s="1773"/>
      <c r="DM145" s="1774"/>
      <c r="DN145" s="1774"/>
      <c r="DO145" s="1774"/>
      <c r="DP145" s="1774"/>
      <c r="DQ145" s="1774"/>
      <c r="DR145" s="1785"/>
      <c r="DS145" s="253"/>
      <c r="DT145" s="253"/>
      <c r="DU145" s="253"/>
      <c r="DV145" s="253"/>
      <c r="DW145" s="253"/>
      <c r="DX145" s="253"/>
      <c r="DY145" s="253"/>
      <c r="DZ145" s="253"/>
      <c r="EA145" s="253"/>
      <c r="EB145" s="253"/>
      <c r="EC145" s="253"/>
      <c r="ED145" s="253"/>
      <c r="EE145" s="253"/>
      <c r="EF145" s="253"/>
      <c r="EG145" s="253"/>
      <c r="EH145" s="253"/>
      <c r="EI145" s="253"/>
      <c r="EJ145" s="253"/>
      <c r="EK145" s="253"/>
      <c r="EL145" s="253"/>
      <c r="EM145" s="253"/>
      <c r="EN145" s="253"/>
      <c r="EO145" s="253"/>
      <c r="EP145" s="253"/>
      <c r="EQ145" s="253"/>
      <c r="ER145" s="253"/>
    </row>
    <row r="146" spans="1:148" s="939" customFormat="1" ht="12" hidden="1" outlineLevel="1">
      <c r="A146" s="1810" t="s">
        <v>1027</v>
      </c>
      <c r="B146" s="1778"/>
      <c r="C146" s="1778"/>
      <c r="D146" s="1778"/>
      <c r="E146" s="1778"/>
      <c r="F146" s="1778"/>
      <c r="G146" s="1778"/>
      <c r="H146" s="1778"/>
      <c r="I146" s="1778"/>
      <c r="J146" s="1778"/>
      <c r="K146" s="1778"/>
      <c r="L146" s="1778"/>
      <c r="M146" s="1778"/>
      <c r="N146" s="1778"/>
      <c r="O146" s="1778"/>
      <c r="P146" s="1778"/>
      <c r="Q146" s="1778"/>
      <c r="R146" s="1778"/>
      <c r="S146" s="1778"/>
      <c r="T146" s="1778"/>
      <c r="U146" s="1778"/>
      <c r="V146" s="1778"/>
      <c r="W146" s="1778"/>
      <c r="X146" s="1778"/>
      <c r="Y146" s="1778"/>
      <c r="Z146" s="1778"/>
      <c r="AA146" s="1778"/>
      <c r="AB146" s="1778"/>
      <c r="AC146" s="1778"/>
      <c r="AD146" s="1778"/>
      <c r="AE146" s="1778"/>
      <c r="AF146" s="1778"/>
      <c r="AG146" s="1778"/>
      <c r="AH146" s="1778"/>
      <c r="AI146" s="1778"/>
      <c r="AJ146" s="1778"/>
      <c r="AK146" s="1778"/>
      <c r="AL146" s="1778"/>
      <c r="AM146" s="1778"/>
      <c r="AN146" s="1778"/>
      <c r="AO146" s="1778"/>
      <c r="AP146" s="1778"/>
      <c r="AQ146" s="1778"/>
      <c r="AR146" s="1778"/>
      <c r="AS146" s="1778"/>
      <c r="AT146" s="1778"/>
      <c r="AU146" s="1774"/>
      <c r="AV146" s="1778"/>
      <c r="AW146" s="1778"/>
      <c r="AX146" s="1778"/>
      <c r="AY146" s="1778"/>
      <c r="AZ146" s="1774"/>
      <c r="BA146" s="1785"/>
      <c r="BB146" s="1785"/>
      <c r="BC146" s="1785"/>
      <c r="BD146" s="1785"/>
      <c r="BE146" s="1774"/>
      <c r="BF146" s="1785"/>
      <c r="BG146" s="1785"/>
      <c r="BH146" s="1785"/>
      <c r="BI146" s="1785"/>
      <c r="BJ146" s="1774"/>
      <c r="BK146" s="1785"/>
      <c r="BL146" s="1785"/>
      <c r="BM146" s="1785"/>
      <c r="BN146" s="1785"/>
      <c r="BO146" s="1774"/>
      <c r="BP146" s="1785"/>
      <c r="BQ146" s="1798">
        <f>BQ143+1%</f>
        <v>8.957094498144301E-2</v>
      </c>
      <c r="BR146" s="1785">
        <v>0.09</v>
      </c>
      <c r="BS146" s="1785">
        <v>-0.02</v>
      </c>
      <c r="BT146" s="1774"/>
      <c r="BU146" s="1785" t="e">
        <f>+BU143+0.035</f>
        <v>#VALUE!</v>
      </c>
      <c r="BV146" s="1798" t="e">
        <f>+BV143+0.022</f>
        <v>#VALUE!</v>
      </c>
      <c r="BW146" s="1785" t="e">
        <f>+BW143+0.006</f>
        <v>#VALUE!</v>
      </c>
      <c r="BX146" s="1785"/>
      <c r="BY146" s="1774"/>
      <c r="BZ146" s="1785"/>
      <c r="CA146" s="1785"/>
      <c r="CB146" s="1785"/>
      <c r="CC146" s="1785"/>
      <c r="CD146" s="1774"/>
      <c r="CE146" s="1785"/>
      <c r="CF146" s="1785"/>
      <c r="CG146" s="1785"/>
      <c r="CH146" s="1785"/>
      <c r="CI146" s="1774"/>
      <c r="CJ146" s="1785"/>
      <c r="CK146" s="1785"/>
      <c r="CL146" s="1785"/>
      <c r="CM146" s="1785"/>
      <c r="CN146" s="1774"/>
      <c r="CO146" s="1785"/>
      <c r="CP146" s="1785"/>
      <c r="CQ146" s="1785"/>
      <c r="CR146" s="1785"/>
      <c r="CS146" s="1774"/>
      <c r="CT146" s="1785"/>
      <c r="CU146" s="1785"/>
      <c r="CV146" s="1785"/>
      <c r="CW146" s="1785"/>
      <c r="CX146" s="1774"/>
      <c r="CY146" s="1778"/>
      <c r="CZ146" s="1778"/>
      <c r="DA146" s="1774"/>
      <c r="DB146" s="1774"/>
      <c r="DC146" s="1774"/>
      <c r="DD146" s="1774"/>
      <c r="DE146" s="1774"/>
      <c r="DF146" s="1774"/>
      <c r="DG146" s="1773"/>
      <c r="DH146" s="1773"/>
      <c r="DI146" s="1774"/>
      <c r="DJ146" s="1773"/>
      <c r="DK146" s="1773"/>
      <c r="DL146" s="1773"/>
      <c r="DM146" s="1774"/>
      <c r="DN146" s="1774"/>
      <c r="DO146" s="1774"/>
      <c r="DP146" s="1774"/>
      <c r="DQ146" s="1774"/>
      <c r="DR146" s="1785"/>
      <c r="DS146" s="253"/>
      <c r="DT146" s="253"/>
      <c r="DU146" s="253"/>
      <c r="DV146" s="253"/>
      <c r="DW146" s="253"/>
      <c r="DX146" s="253"/>
      <c r="DY146" s="253"/>
      <c r="DZ146" s="253"/>
      <c r="EA146" s="253"/>
      <c r="EB146" s="253"/>
      <c r="EC146" s="253"/>
      <c r="ED146" s="253"/>
      <c r="EE146" s="253"/>
      <c r="EF146" s="253"/>
      <c r="EG146" s="253"/>
      <c r="EH146" s="253"/>
      <c r="EI146" s="253"/>
      <c r="EJ146" s="253"/>
      <c r="EK146" s="253"/>
      <c r="EL146" s="253"/>
      <c r="EM146" s="253"/>
      <c r="EN146" s="253"/>
      <c r="EO146" s="253"/>
      <c r="EP146" s="253"/>
      <c r="EQ146" s="253"/>
      <c r="ER146" s="253"/>
    </row>
    <row r="147" spans="1:148" s="943" customFormat="1" hidden="1" outlineLevel="1" thickBot="1">
      <c r="A147" s="1811" t="s">
        <v>718</v>
      </c>
      <c r="B147" s="1812"/>
      <c r="C147" s="1812"/>
      <c r="D147" s="1812"/>
      <c r="E147" s="1812"/>
      <c r="F147" s="1812"/>
      <c r="G147" s="1812"/>
      <c r="H147" s="1812"/>
      <c r="I147" s="1812"/>
      <c r="J147" s="1812"/>
      <c r="K147" s="1812"/>
      <c r="L147" s="1812"/>
      <c r="M147" s="1812"/>
      <c r="N147" s="1812"/>
      <c r="O147" s="1812"/>
      <c r="P147" s="1812"/>
      <c r="Q147" s="1812"/>
      <c r="R147" s="1812"/>
      <c r="S147" s="1812"/>
      <c r="T147" s="1812"/>
      <c r="U147" s="1812"/>
      <c r="V147" s="1812"/>
      <c r="W147" s="1812"/>
      <c r="X147" s="1812"/>
      <c r="Y147" s="1812"/>
      <c r="Z147" s="1812"/>
      <c r="AA147" s="1812"/>
      <c r="AB147" s="1812"/>
      <c r="AC147" s="1812"/>
      <c r="AD147" s="1812"/>
      <c r="AE147" s="1812"/>
      <c r="AF147" s="1812"/>
      <c r="AG147" s="1812"/>
      <c r="AH147" s="1812"/>
      <c r="AI147" s="1812"/>
      <c r="AJ147" s="1812"/>
      <c r="AK147" s="1812"/>
      <c r="AL147" s="1812"/>
      <c r="AM147" s="1812"/>
      <c r="AN147" s="1812"/>
      <c r="AO147" s="1812"/>
      <c r="AP147" s="1812"/>
      <c r="AQ147" s="1812"/>
      <c r="AR147" s="1812"/>
      <c r="AS147" s="1812"/>
      <c r="AT147" s="1812"/>
      <c r="AU147" s="1813"/>
      <c r="AV147" s="1812"/>
      <c r="AW147" s="1812"/>
      <c r="AX147" s="1812"/>
      <c r="AY147" s="1812"/>
      <c r="AZ147" s="1813"/>
      <c r="BA147" s="1814">
        <f>IF(ISERROR(BA142/AY142-1),"",(BA142/AY142-1))</f>
        <v>3.7776180735993314E-4</v>
      </c>
      <c r="BB147" s="1814">
        <f>IF(ISERROR(BB142/BA142-1),"",(BB142/BA142-1))</f>
        <v>0.20222196638268475</v>
      </c>
      <c r="BC147" s="1814">
        <f>IF(ISERROR(BC142/BB142-1),"",(BC142/BB142-1))</f>
        <v>-0.16653100311228153</v>
      </c>
      <c r="BD147" s="1814">
        <f>IF(ISERROR(BD142/BC142-1),"",(BD142/BC142-1))</f>
        <v>3.7456195783305501E-2</v>
      </c>
      <c r="BE147" s="1813"/>
      <c r="BF147" s="1814">
        <f>IF(ISERROR(BF142/BD142-1),"",(BF142/BD142-1))</f>
        <v>-0.11357218007641623</v>
      </c>
      <c r="BG147" s="1814">
        <f>IF(ISERROR(BG142/BF142-1),"",(BG142/BF142-1))</f>
        <v>0.34032983508245884</v>
      </c>
      <c r="BH147" s="1814">
        <f>IF(ISERROR(BH142/BG142-1),"",(BH142/BG142-1))</f>
        <v>-4.5068978374347535E-2</v>
      </c>
      <c r="BI147" s="1814">
        <f>IF(ISERROR(BI142/BH142-1),"",(BI142/BH142-1))</f>
        <v>-2.8942359314754307E-2</v>
      </c>
      <c r="BJ147" s="1815"/>
      <c r="BK147" s="1814">
        <f>IF(ISERROR(BK142/BI142-1),"",(BK142/BI142-1))</f>
        <v>-6.8707277844792913E-2</v>
      </c>
      <c r="BL147" s="1814">
        <f>IF(ISERROR(BL142/BK142-1),"",(BL142/BK142-1))</f>
        <v>0.32327702520373469</v>
      </c>
      <c r="BM147" s="1814">
        <f>IF(ISERROR(BM142/BL142-1),"",(BM142/BL142-1))</f>
        <v>-0.16786981524531996</v>
      </c>
      <c r="BN147" s="1814">
        <f>IF(ISERROR(BN142/BM142-1),"",(BN142/BM142-1))</f>
        <v>0.14600794000882233</v>
      </c>
      <c r="BO147" s="1815"/>
      <c r="BP147" s="1814">
        <f>IF(ISERROR(BP142/BN142-1),"",(BP142/BN142-1))</f>
        <v>-7.7409973483876238E-3</v>
      </c>
      <c r="BQ147" s="1814">
        <f>IF(ISERROR(BQ142/BP142-1),"",(BQ142/BP142-1))</f>
        <v>0.14089909917675958</v>
      </c>
      <c r="BR147" s="1814">
        <f>IF(ISERROR(BR142/BQ142-1),"",(BR142/BQ142-1))</f>
        <v>-0.17910842463165844</v>
      </c>
      <c r="BS147" s="1814">
        <f>IF(ISERROR(BS142/BR142-1),"",(BS142/BR142-1))</f>
        <v>2.0755672143218717E-2</v>
      </c>
      <c r="BT147" s="1815"/>
      <c r="BU147" s="1814" t="str">
        <f>IF(ISERROR(BU142/BS142-1),"",(BU142/BS142-1))</f>
        <v/>
      </c>
      <c r="BV147" s="1814" t="str">
        <f>IF(ISERROR(BV142/BU142-1),"",(BV142/BU142-1))</f>
        <v/>
      </c>
      <c r="BW147" s="1814" t="str">
        <f>IF(ISERROR(BW142/BV142-1),"",(BW142/BV142-1))</f>
        <v/>
      </c>
      <c r="BX147" s="1814" t="str">
        <f>IF(ISERROR(BX142/BW142-1),"",(BX142/BW142-1))</f>
        <v/>
      </c>
      <c r="BY147" s="1813"/>
      <c r="BZ147" s="1814" t="str">
        <f>IF(ISERROR(BZ142/BX142-1),"",(BZ142/BX142-1))</f>
        <v/>
      </c>
      <c r="CA147" s="1814" t="str">
        <f>IF(ISERROR(CA142/BZ142-1),"",(CA142/BZ142-1))</f>
        <v/>
      </c>
      <c r="CB147" s="1814" t="str">
        <f>IF(ISERROR(CB142/CA142-1),"",(CB142/CA142-1))</f>
        <v/>
      </c>
      <c r="CC147" s="1814" t="str">
        <f>IF(ISERROR(CC142/CB142-1),"",(CC142/CB142-1))</f>
        <v/>
      </c>
      <c r="CD147" s="1813"/>
      <c r="CE147" s="1814" t="str">
        <f>IF(ISERROR(CE142/CC142-1),"",(CE142/CC142-1))</f>
        <v/>
      </c>
      <c r="CF147" s="1814" t="str">
        <f>IF(ISERROR(CF142/CE142-1),"",(CF142/CE142-1))</f>
        <v/>
      </c>
      <c r="CG147" s="1814" t="str">
        <f>IF(ISERROR(CG142/CF142-1),"",(CG142/CF142-1))</f>
        <v/>
      </c>
      <c r="CH147" s="1814" t="str">
        <f>IF(ISERROR(CH142/CG142-1),"",(CH142/CG142-1))</f>
        <v/>
      </c>
      <c r="CI147" s="1813"/>
      <c r="CJ147" s="1814" t="str">
        <f>IF(ISERROR(CJ142/CH142-1),"",(CJ142/CH142-1))</f>
        <v/>
      </c>
      <c r="CK147" s="1814" t="str">
        <f>IF(ISERROR(CK142/CJ142-1),"",(CK142/CJ142-1))</f>
        <v/>
      </c>
      <c r="CL147" s="1814" t="str">
        <f>IF(ISERROR(CL142/CK142-1),"",(CL142/CK142-1))</f>
        <v/>
      </c>
      <c r="CM147" s="1814" t="str">
        <f>IF(ISERROR(CM142/CL142-1),"",(CM142/CL142-1))</f>
        <v/>
      </c>
      <c r="CN147" s="1813"/>
      <c r="CO147" s="1814" t="str">
        <f>IF(ISERROR(CO142/CM142-1),"",(CO142/CM142-1))</f>
        <v/>
      </c>
      <c r="CP147" s="1814" t="str">
        <f>IF(ISERROR(CP142/CO142-1),"",(CP142/CO142-1))</f>
        <v/>
      </c>
      <c r="CQ147" s="1814" t="str">
        <f>IF(ISERROR(CQ142/CP142-1),"",(CQ142/CP142-1))</f>
        <v/>
      </c>
      <c r="CR147" s="1814" t="str">
        <f>IF(ISERROR(CR142/CQ142-1),"",(CR142/CQ142-1))</f>
        <v/>
      </c>
      <c r="CS147" s="1813"/>
      <c r="CT147" s="1814" t="str">
        <f>IF(ISERROR(CT142/CR142-1),"",(CT142/CR142-1))</f>
        <v/>
      </c>
      <c r="CU147" s="1814" t="str">
        <f>IF(ISERROR(CU142/CT142-1),"",(CU142/CT142-1))</f>
        <v/>
      </c>
      <c r="CV147" s="1814" t="str">
        <f>IF(ISERROR(CV142/CU142-1),"",(CV142/CU142-1))</f>
        <v/>
      </c>
      <c r="CW147" s="1814" t="str">
        <f>IF(ISERROR(CW142/CV142-1),"",(CW142/CV142-1))</f>
        <v/>
      </c>
      <c r="CX147" s="1813"/>
      <c r="CY147" s="1812"/>
      <c r="CZ147" s="1812"/>
      <c r="DA147" s="1813"/>
      <c r="DB147" s="1813"/>
      <c r="DC147" s="1813"/>
      <c r="DD147" s="1813"/>
      <c r="DE147" s="1813"/>
      <c r="DF147" s="1813"/>
      <c r="DG147" s="1816"/>
      <c r="DH147" s="1816"/>
      <c r="DI147" s="1813"/>
      <c r="DJ147" s="1816"/>
      <c r="DK147" s="1816"/>
      <c r="DL147" s="1816"/>
      <c r="DM147" s="1813"/>
      <c r="DN147" s="1813"/>
      <c r="DO147" s="1813"/>
      <c r="DP147" s="1813"/>
      <c r="DQ147" s="1813"/>
      <c r="DR147" s="1814"/>
      <c r="DS147" s="521"/>
      <c r="DT147" s="521"/>
      <c r="DU147" s="521"/>
      <c r="DV147" s="521"/>
      <c r="DW147" s="521"/>
      <c r="DX147" s="521"/>
      <c r="DY147" s="521"/>
      <c r="DZ147" s="521"/>
      <c r="EA147" s="521"/>
      <c r="EB147" s="521"/>
      <c r="EC147" s="521"/>
      <c r="ED147" s="521"/>
      <c r="EE147" s="521"/>
      <c r="EF147" s="521"/>
      <c r="EG147" s="521"/>
      <c r="EH147" s="521"/>
      <c r="EI147" s="521"/>
      <c r="EJ147" s="521"/>
      <c r="EK147" s="521"/>
      <c r="EL147" s="521"/>
      <c r="EM147" s="521"/>
      <c r="EN147" s="521"/>
      <c r="EO147" s="521"/>
      <c r="EP147" s="521"/>
      <c r="EQ147" s="521"/>
      <c r="ER147" s="521"/>
    </row>
    <row r="148" spans="1:148" s="934" customFormat="1" hidden="1" outlineLevel="1" thickBot="1">
      <c r="A148" s="1760"/>
      <c r="B148" s="1761"/>
      <c r="C148" s="1761"/>
      <c r="D148" s="1761"/>
      <c r="E148" s="1761"/>
      <c r="F148" s="1761"/>
      <c r="G148" s="1761"/>
      <c r="H148" s="1761"/>
      <c r="I148" s="1761"/>
      <c r="J148" s="1761"/>
      <c r="K148" s="1761"/>
      <c r="L148" s="1761"/>
      <c r="M148" s="1761"/>
      <c r="N148" s="1761"/>
      <c r="O148" s="1761"/>
      <c r="P148" s="1761"/>
      <c r="Q148" s="1761"/>
      <c r="R148" s="1761"/>
      <c r="S148" s="1761"/>
      <c r="T148" s="1761"/>
      <c r="U148" s="1761"/>
      <c r="V148" s="1761"/>
      <c r="W148" s="1761"/>
      <c r="X148" s="1761"/>
      <c r="Y148" s="1761"/>
      <c r="Z148" s="1761"/>
      <c r="AA148" s="1761"/>
      <c r="AB148" s="1761"/>
      <c r="AC148" s="1761"/>
      <c r="AD148" s="1761"/>
      <c r="AE148" s="1761"/>
      <c r="AF148" s="1761"/>
      <c r="AG148" s="1761"/>
      <c r="AH148" s="1761"/>
      <c r="AI148" s="1761"/>
      <c r="AJ148" s="1761"/>
      <c r="AK148" s="1761"/>
      <c r="AL148" s="1761"/>
      <c r="AM148" s="1761"/>
      <c r="AN148" s="1761"/>
      <c r="AO148" s="1761"/>
      <c r="AP148" s="1761"/>
      <c r="AQ148" s="1761"/>
      <c r="AR148" s="1761"/>
      <c r="AS148" s="1761"/>
      <c r="AT148" s="1761"/>
      <c r="AU148" s="1774"/>
      <c r="AV148" s="1761"/>
      <c r="AW148" s="1761"/>
      <c r="AX148" s="1761"/>
      <c r="AY148" s="1761"/>
      <c r="AZ148" s="1774"/>
      <c r="BA148" s="1785"/>
      <c r="BB148" s="1785"/>
      <c r="BC148" s="1785"/>
      <c r="BD148" s="1785"/>
      <c r="BE148" s="1774"/>
      <c r="BF148" s="1785"/>
      <c r="BG148" s="1785"/>
      <c r="BH148" s="1785"/>
      <c r="BI148" s="1785"/>
      <c r="BJ148" s="1774"/>
      <c r="BK148" s="1761"/>
      <c r="BL148" s="1761"/>
      <c r="BM148" s="1761"/>
      <c r="BN148" s="1785"/>
      <c r="BO148" s="1817"/>
      <c r="BP148" s="1761"/>
      <c r="BQ148" s="1761"/>
      <c r="BR148" s="1761"/>
      <c r="BS148" s="1785"/>
      <c r="BT148" s="1817"/>
      <c r="BU148" s="2804"/>
      <c r="BV148" s="2804"/>
      <c r="BW148" s="1818"/>
      <c r="BX148" s="1818"/>
      <c r="BY148" s="1774"/>
      <c r="BZ148" s="2804"/>
      <c r="CA148" s="2804"/>
      <c r="CB148" s="2804"/>
      <c r="CC148" s="2804"/>
      <c r="CD148" s="1774"/>
      <c r="CE148" s="1761"/>
      <c r="CF148" s="1761"/>
      <c r="CG148" s="1761"/>
      <c r="CH148" s="1761"/>
      <c r="CI148" s="1774"/>
      <c r="CJ148" s="1761"/>
      <c r="CK148" s="1761"/>
      <c r="CL148" s="1761"/>
      <c r="CM148" s="1761"/>
      <c r="CN148" s="1774"/>
      <c r="CO148" s="1761"/>
      <c r="CP148" s="1761"/>
      <c r="CQ148" s="1761"/>
      <c r="CR148" s="1761"/>
      <c r="CS148" s="1774"/>
      <c r="CT148" s="1761"/>
      <c r="CU148" s="1761"/>
      <c r="CV148" s="1761"/>
      <c r="CW148" s="1761"/>
      <c r="CX148" s="1774"/>
      <c r="CY148" s="1761"/>
      <c r="CZ148" s="1761"/>
      <c r="DA148" s="1774"/>
      <c r="DB148" s="1774"/>
      <c r="DC148" s="1774"/>
      <c r="DD148" s="1774"/>
      <c r="DE148" s="1774"/>
      <c r="DF148" s="1774"/>
      <c r="DG148" s="1773"/>
      <c r="DH148" s="1773"/>
      <c r="DI148" s="1774"/>
      <c r="DJ148" s="1773"/>
      <c r="DK148" s="1773"/>
      <c r="DL148" s="1773"/>
      <c r="DM148" s="1774"/>
      <c r="DN148" s="1774"/>
      <c r="DO148" s="1774"/>
      <c r="DP148" s="1774"/>
      <c r="DQ148" s="1774"/>
      <c r="DR148" s="1785"/>
      <c r="DS148" s="264"/>
      <c r="DT148" s="264"/>
      <c r="DU148" s="264"/>
      <c r="DV148" s="264"/>
      <c r="DW148" s="264"/>
      <c r="DX148" s="264"/>
      <c r="DY148" s="264"/>
      <c r="DZ148" s="264"/>
      <c r="EA148" s="264"/>
      <c r="EB148" s="264"/>
      <c r="EC148" s="264"/>
      <c r="ED148" s="264"/>
      <c r="EE148" s="264"/>
      <c r="EF148" s="264"/>
      <c r="EG148" s="264"/>
      <c r="EH148" s="264"/>
      <c r="EI148" s="264"/>
      <c r="EJ148" s="264"/>
      <c r="EK148" s="264"/>
      <c r="EL148" s="264"/>
      <c r="EM148" s="264"/>
      <c r="EN148" s="264"/>
      <c r="EO148" s="264"/>
      <c r="EP148" s="264"/>
      <c r="EQ148" s="264"/>
      <c r="ER148" s="264"/>
    </row>
    <row r="149" spans="1:148" s="942" customFormat="1" ht="12" hidden="1" outlineLevel="1">
      <c r="A149" s="1805" t="s">
        <v>1033</v>
      </c>
      <c r="B149" s="1806"/>
      <c r="C149" s="1806"/>
      <c r="D149" s="1806"/>
      <c r="E149" s="1806"/>
      <c r="F149" s="1806"/>
      <c r="G149" s="1806"/>
      <c r="H149" s="1806"/>
      <c r="I149" s="1806"/>
      <c r="J149" s="1806"/>
      <c r="K149" s="1806"/>
      <c r="L149" s="1806"/>
      <c r="M149" s="1806"/>
      <c r="N149" s="1806"/>
      <c r="O149" s="1806"/>
      <c r="P149" s="1806"/>
      <c r="Q149" s="1806"/>
      <c r="R149" s="1806"/>
      <c r="S149" s="1806"/>
      <c r="T149" s="1806"/>
      <c r="U149" s="1806"/>
      <c r="V149" s="1806"/>
      <c r="W149" s="1806"/>
      <c r="X149" s="1806"/>
      <c r="Y149" s="1806"/>
      <c r="Z149" s="1806"/>
      <c r="AA149" s="1806"/>
      <c r="AB149" s="1806"/>
      <c r="AC149" s="1806"/>
      <c r="AD149" s="1806"/>
      <c r="AE149" s="1806"/>
      <c r="AF149" s="1806"/>
      <c r="AG149" s="1806"/>
      <c r="AH149" s="1806"/>
      <c r="AI149" s="1806"/>
      <c r="AJ149" s="1806"/>
      <c r="AK149" s="1806"/>
      <c r="AL149" s="1806"/>
      <c r="AM149" s="1806"/>
      <c r="AN149" s="1806"/>
      <c r="AO149" s="1806"/>
      <c r="AP149" s="1806"/>
      <c r="AQ149" s="1806"/>
      <c r="AR149" s="1806"/>
      <c r="AS149" s="1806"/>
      <c r="AT149" s="1806"/>
      <c r="AU149" s="1807"/>
      <c r="AV149" s="1808"/>
      <c r="AW149" s="1808"/>
      <c r="AX149" s="1808"/>
      <c r="AY149" s="1808"/>
      <c r="AZ149" s="1807"/>
      <c r="BA149" s="1808"/>
      <c r="BB149" s="1808"/>
      <c r="BC149" s="1808"/>
      <c r="BD149" s="1808"/>
      <c r="BE149" s="1807"/>
      <c r="BF149" s="1808">
        <f>BF142</f>
        <v>16008</v>
      </c>
      <c r="BG149" s="1808">
        <f>BG142</f>
        <v>21456</v>
      </c>
      <c r="BH149" s="1808">
        <f>BH142</f>
        <v>20489</v>
      </c>
      <c r="BI149" s="1808">
        <f>BI142</f>
        <v>19896</v>
      </c>
      <c r="BJ149" s="1807"/>
      <c r="BK149" s="1808">
        <f>BK142</f>
        <v>18529</v>
      </c>
      <c r="BL149" s="1808">
        <f t="shared" ref="BL149:BT149" si="215">BL142</f>
        <v>24519</v>
      </c>
      <c r="BM149" s="1808">
        <f t="shared" si="215"/>
        <v>20403</v>
      </c>
      <c r="BN149" s="1808">
        <f t="shared" si="215"/>
        <v>23382</v>
      </c>
      <c r="BO149" s="1807">
        <f t="shared" si="215"/>
        <v>86833</v>
      </c>
      <c r="BP149" s="1808">
        <f t="shared" si="215"/>
        <v>23201</v>
      </c>
      <c r="BQ149" s="1808">
        <f t="shared" si="215"/>
        <v>26470</v>
      </c>
      <c r="BR149" s="1808">
        <f t="shared" si="215"/>
        <v>21729</v>
      </c>
      <c r="BS149" s="1808">
        <f t="shared" si="215"/>
        <v>22180</v>
      </c>
      <c r="BT149" s="1807">
        <f t="shared" si="215"/>
        <v>93580</v>
      </c>
      <c r="BU149" s="1808" t="e">
        <f>BU142-'Client Unit Model'!AV43</f>
        <v>#REF!</v>
      </c>
      <c r="BV149" s="1808" t="e">
        <f>BV142-'Client Unit Model'!AW43</f>
        <v>#REF!</v>
      </c>
      <c r="BW149" s="1808" t="e">
        <f>BW142-'Client Unit Model'!AX43</f>
        <v>#REF!</v>
      </c>
      <c r="BX149" s="1808" t="e">
        <f>BX142-'Client Unit Model'!AY43</f>
        <v>#REF!</v>
      </c>
      <c r="BY149" s="1807" t="e">
        <f>SUM(BU149:BX149)</f>
        <v>#REF!</v>
      </c>
      <c r="BZ149" s="1808" t="e">
        <f>BZ142-'Client Unit Model'!BA43</f>
        <v>#REF!</v>
      </c>
      <c r="CA149" s="1808" t="e">
        <f>CA142-'Client Unit Model'!BB43</f>
        <v>#REF!</v>
      </c>
      <c r="CB149" s="1808" t="e">
        <f>CB142-'Client Unit Model'!BC43</f>
        <v>#REF!</v>
      </c>
      <c r="CC149" s="1808" t="e">
        <f>CC142-'Client Unit Model'!BD43</f>
        <v>#REF!</v>
      </c>
      <c r="CD149" s="1807" t="e">
        <f>SUM(BZ149:CC149)</f>
        <v>#REF!</v>
      </c>
      <c r="CE149" s="1808">
        <f>CE142-'Client Unit Model'!BF46</f>
        <v>-21.501944021285453</v>
      </c>
      <c r="CF149" s="1808">
        <f>CF142-'Client Unit Model'!BG46</f>
        <v>-32.569198428993786</v>
      </c>
      <c r="CG149" s="1808">
        <f>CG142-'Client Unit Model'!BH46</f>
        <v>-9.6385426098090647</v>
      </c>
      <c r="CH149" s="1808">
        <f>CH142-'Client Unit Model'!BI46</f>
        <v>-15.383365236881673</v>
      </c>
      <c r="CI149" s="1807">
        <f>SUM(CE149:CH149)</f>
        <v>-79.093050296969977</v>
      </c>
      <c r="CJ149" s="1808">
        <f>CJ142-'Client Unit Model'!BL46</f>
        <v>-33.752485586971488</v>
      </c>
      <c r="CK149" s="1808">
        <f>CK142-'Client Unit Model'!BM46</f>
        <v>-6.1508101760491627</v>
      </c>
      <c r="CL149" s="1808">
        <f>CL142-'Client Unit Model'!BN46</f>
        <v>-12.070382738433182</v>
      </c>
      <c r="CM149" s="1808">
        <f>CM142-'Client Unit Model'!BY46</f>
        <v>0</v>
      </c>
      <c r="CN149" s="1807">
        <f>SUM(CJ149:CM149)</f>
        <v>-51.973678501453833</v>
      </c>
      <c r="CO149" s="1808">
        <f>CO142-'Client Unit Model'!BQ46</f>
        <v>-29.710345658623737</v>
      </c>
      <c r="CP149" s="1808">
        <f>CP142-'Client Unit Model'!BR46</f>
        <v>-3.4465543280530255</v>
      </c>
      <c r="CQ149" s="1808">
        <f>CQ142-'Client Unit Model'!BS46</f>
        <v>-9.7956117677372276</v>
      </c>
      <c r="CR149" s="1808">
        <f>CR142-'Client Unit Model'!CD46</f>
        <v>0</v>
      </c>
      <c r="CS149" s="1807">
        <f>SUM(CO149:CR149)</f>
        <v>-42.95251175441399</v>
      </c>
      <c r="CT149" s="1808">
        <f>CT142-'Client Unit Model'!BV46</f>
        <v>-28.46817367680751</v>
      </c>
      <c r="CU149" s="1808">
        <f>CU142-'Client Unit Model'!BW46</f>
        <v>-3.2637649890161811</v>
      </c>
      <c r="CV149" s="1808">
        <f>CV142-'Client Unit Model'!BX46</f>
        <v>-9.4731153490038196</v>
      </c>
      <c r="CW149" s="1808">
        <f>CW142-'Client Unit Model'!CI46</f>
        <v>93417.333333333343</v>
      </c>
      <c r="CX149" s="1807">
        <f>SUM(CT149:CW149)</f>
        <v>93376.128279318509</v>
      </c>
      <c r="CY149" s="1806"/>
      <c r="CZ149" s="1806"/>
      <c r="DA149" s="1807"/>
      <c r="DB149" s="1807"/>
      <c r="DC149" s="1807"/>
      <c r="DD149" s="1807"/>
      <c r="DE149" s="1807"/>
      <c r="DF149" s="1807"/>
      <c r="DG149" s="1809"/>
      <c r="DH149" s="1809"/>
      <c r="DI149" s="1807"/>
      <c r="DJ149" s="1809"/>
      <c r="DK149" s="1809"/>
      <c r="DL149" s="1809"/>
      <c r="DM149" s="1807"/>
      <c r="DN149" s="1807"/>
      <c r="DO149" s="1807"/>
      <c r="DP149" s="1807"/>
      <c r="DQ149" s="1807"/>
      <c r="DR149" s="1808"/>
      <c r="DS149" s="941"/>
      <c r="DT149" s="941"/>
      <c r="DU149" s="941"/>
      <c r="DV149" s="941"/>
      <c r="DW149" s="941"/>
      <c r="DX149" s="941"/>
      <c r="DY149" s="941"/>
      <c r="DZ149" s="941"/>
      <c r="EA149" s="941"/>
      <c r="EB149" s="941"/>
      <c r="EC149" s="941"/>
      <c r="ED149" s="941"/>
      <c r="EE149" s="941"/>
      <c r="EF149" s="941"/>
      <c r="EG149" s="941"/>
      <c r="EH149" s="941"/>
      <c r="EI149" s="941"/>
      <c r="EJ149" s="941"/>
      <c r="EK149" s="941"/>
      <c r="EL149" s="941"/>
      <c r="EM149" s="941"/>
      <c r="EN149" s="941"/>
      <c r="EO149" s="941"/>
      <c r="EP149" s="941"/>
      <c r="EQ149" s="941"/>
      <c r="ER149" s="941"/>
    </row>
    <row r="150" spans="1:148" s="939" customFormat="1" ht="12" hidden="1" outlineLevel="1">
      <c r="A150" s="1810" t="s">
        <v>717</v>
      </c>
      <c r="B150" s="1778"/>
      <c r="C150" s="1778"/>
      <c r="D150" s="1778"/>
      <c r="E150" s="1778"/>
      <c r="F150" s="1778"/>
      <c r="G150" s="1778"/>
      <c r="H150" s="1778"/>
      <c r="I150" s="1778"/>
      <c r="J150" s="1778"/>
      <c r="K150" s="1778"/>
      <c r="L150" s="1778"/>
      <c r="M150" s="1778"/>
      <c r="N150" s="1778"/>
      <c r="O150" s="1778"/>
      <c r="P150" s="1778"/>
      <c r="Q150" s="1778"/>
      <c r="R150" s="1778"/>
      <c r="S150" s="1778"/>
      <c r="T150" s="1778"/>
      <c r="U150" s="1778"/>
      <c r="V150" s="1778"/>
      <c r="W150" s="1778"/>
      <c r="X150" s="1778"/>
      <c r="Y150" s="1778"/>
      <c r="Z150" s="1778"/>
      <c r="AA150" s="1778"/>
      <c r="AB150" s="1778"/>
      <c r="AC150" s="1778"/>
      <c r="AD150" s="1778"/>
      <c r="AE150" s="1778"/>
      <c r="AF150" s="1778"/>
      <c r="AG150" s="1778"/>
      <c r="AH150" s="1778"/>
      <c r="AI150" s="1778"/>
      <c r="AJ150" s="1778"/>
      <c r="AK150" s="1778"/>
      <c r="AL150" s="1778"/>
      <c r="AM150" s="1778"/>
      <c r="AN150" s="1778"/>
      <c r="AO150" s="1778"/>
      <c r="AP150" s="1778"/>
      <c r="AQ150" s="1778"/>
      <c r="AR150" s="1778"/>
      <c r="AS150" s="1778"/>
      <c r="AT150" s="1778"/>
      <c r="AU150" s="1774"/>
      <c r="AV150" s="1778"/>
      <c r="AW150" s="1778"/>
      <c r="AX150" s="1778"/>
      <c r="AY150" s="1778"/>
      <c r="AZ150" s="1774"/>
      <c r="BA150" s="1785" t="str">
        <f>IF(ISERROR(BA149/AV149-1),"",(BA149/AV149-1))</f>
        <v/>
      </c>
      <c r="BB150" s="1785" t="str">
        <f>IF(ISERROR(BB149/AW149-1),"",(BB149/AW149-1))</f>
        <v/>
      </c>
      <c r="BC150" s="1785" t="str">
        <f>IF(ISERROR(BC149/AX149-1),"",(BC149/AX149-1))</f>
        <v/>
      </c>
      <c r="BD150" s="1785" t="str">
        <f>IF(ISERROR(BD149/AY149-1),"",(BD149/AY149-1))</f>
        <v/>
      </c>
      <c r="BE150" s="1774"/>
      <c r="BF150" s="1785" t="str">
        <f>IF(ISERROR(BF149/BA149-1),"",(BF149/BA149-1))</f>
        <v/>
      </c>
      <c r="BG150" s="1785" t="str">
        <f>IF(ISERROR(BG149/BB149-1),"",(BG149/BB149-1))</f>
        <v/>
      </c>
      <c r="BH150" s="1785" t="str">
        <f>IF(ISERROR(BH149/BC149-1),"",(BH149/BC149-1))</f>
        <v/>
      </c>
      <c r="BI150" s="1785" t="str">
        <f>IF(ISERROR(BI149/BD149-1),"",(BI149/BD149-1))</f>
        <v/>
      </c>
      <c r="BJ150" s="1774"/>
      <c r="BK150" s="1785">
        <f>IF(ISERROR(BK149/BF149-1),"",(BK149/BF149-1))</f>
        <v>0.15748375812093962</v>
      </c>
      <c r="BL150" s="1785">
        <f>IF(ISERROR(BL149/BG149-1),"",(BL149/BG149-1))</f>
        <v>0.14275727069351229</v>
      </c>
      <c r="BM150" s="1785">
        <f>IF(ISERROR(BM149/BH149-1),"",(BM149/BH149-1))</f>
        <v>-4.1973742007906933E-3</v>
      </c>
      <c r="BN150" s="1785">
        <f>IF(ISERROR(BN149/BI149-1),"",(BN149/BI149-1))</f>
        <v>0.17521109770808208</v>
      </c>
      <c r="BO150" s="1774"/>
      <c r="BP150" s="1785">
        <f>IF(ISERROR(BP149/BK149-1),"",(BP149/BK149-1))</f>
        <v>0.25214528576825512</v>
      </c>
      <c r="BQ150" s="1785">
        <f>IF(ISERROR(BQ149/BL149-1),"",(BQ149/BL149-1))</f>
        <v>7.9570944981443015E-2</v>
      </c>
      <c r="BR150" s="1785">
        <f>IF(ISERROR(BR149/BM149-1),"",(BR149/BM149-1))</f>
        <v>6.4990442581973173E-2</v>
      </c>
      <c r="BS150" s="1785">
        <f>IF(ISERROR(BS149/BN149-1),"",(BS149/BN149-1))</f>
        <v>-5.1407065263878171E-2</v>
      </c>
      <c r="BT150" s="1774">
        <f>BT149/BO149-1</f>
        <v>7.7700874091647165E-2</v>
      </c>
      <c r="BU150" s="1785" t="str">
        <f>IF(ISERROR(BU149/BP149-1),"",(BU149/BP149-1))</f>
        <v/>
      </c>
      <c r="BV150" s="1785" t="str">
        <f>IF(ISERROR(BV149/BQ149-1),"",(BV149/BQ149-1))</f>
        <v/>
      </c>
      <c r="BW150" s="1785" t="str">
        <f>IF(ISERROR(BW149/BR149-1),"",(BW149/BR149-1))</f>
        <v/>
      </c>
      <c r="BX150" s="1785" t="str">
        <f>IF(ISERROR(BX149/BS149-1),"",(BX149/BS149-1))</f>
        <v/>
      </c>
      <c r="BY150" s="1774" t="e">
        <f>BY149/BT149-1</f>
        <v>#REF!</v>
      </c>
      <c r="BZ150" s="1785" t="str">
        <f>IF(ISERROR(BZ149/BU149-1),"",(BZ149/BU149-1))</f>
        <v/>
      </c>
      <c r="CA150" s="1785" t="str">
        <f>IF(ISERROR(CA149/BV149-1),"",(CA149/BV149-1))</f>
        <v/>
      </c>
      <c r="CB150" s="1785" t="str">
        <f>IF(ISERROR(CB149/BW149-1),"",(CB149/BW149-1))</f>
        <v/>
      </c>
      <c r="CC150" s="1785" t="str">
        <f>IF(ISERROR(CC149/BX149-1),"",(CC149/BX149-1))</f>
        <v/>
      </c>
      <c r="CD150" s="1774" t="e">
        <f>CD149/BY149-1</f>
        <v>#REF!</v>
      </c>
      <c r="CE150" s="1785" t="str">
        <f>IF(ISERROR(CE149/BZ149-1),"",(CE149/BZ149-1))</f>
        <v/>
      </c>
      <c r="CF150" s="1785" t="str">
        <f>IF(ISERROR(CF149/CA149-1),"",(CF149/CA149-1))</f>
        <v/>
      </c>
      <c r="CG150" s="1785" t="str">
        <f>IF(ISERROR(CG149/CB149-1),"",(CG149/CB149-1))</f>
        <v/>
      </c>
      <c r="CH150" s="1785" t="str">
        <f>IF(ISERROR(CH149/CC149-1),"",(CH149/CC149-1))</f>
        <v/>
      </c>
      <c r="CI150" s="1774" t="e">
        <f>CI149/CD149-1</f>
        <v>#REF!</v>
      </c>
      <c r="CJ150" s="1785">
        <f>IF(ISERROR(CJ149/CE149-1),"",(CJ149/CE149-1))</f>
        <v>0.56974111520143644</v>
      </c>
      <c r="CK150" s="1785">
        <f>IF(ISERROR(CK149/CF149-1),"",(CK149/CF149-1))</f>
        <v>-0.81114640602964361</v>
      </c>
      <c r="CL150" s="1785">
        <f>IF(ISERROR(CL149/CG149-1),"",(CL149/CG149-1))</f>
        <v>0.25230371717704014</v>
      </c>
      <c r="CM150" s="1785">
        <f>IF(ISERROR(CM149/CH149-1),"",(CM149/CH149-1))</f>
        <v>-1</v>
      </c>
      <c r="CN150" s="1774">
        <f>CN149/CI149-1</f>
        <v>-0.34287932623272566</v>
      </c>
      <c r="CO150" s="1785">
        <f>IF(ISERROR(CO149/CJ149-1),"",(CO149/CJ149-1))</f>
        <v>-0.11975828914680064</v>
      </c>
      <c r="CP150" s="1785">
        <f>IF(ISERROR(CP149/CK149-1),"",(CP149/CK149-1))</f>
        <v>-0.4396584792238144</v>
      </c>
      <c r="CQ150" s="1785">
        <f>IF(ISERROR(CQ149/CL149-1),"",(CQ149/CL149-1))</f>
        <v>-0.18845889314287267</v>
      </c>
      <c r="CR150" s="1785" t="str">
        <f>IF(ISERROR(CR149/CM149-1),"",(CR149/CM149-1))</f>
        <v/>
      </c>
      <c r="CS150" s="1774">
        <f>CS149/CN149-1</f>
        <v>-0.1735718349584876</v>
      </c>
      <c r="CT150" s="1785">
        <f>IF(ISERROR(CT149/CO149-1),"",(CT149/CO149-1))</f>
        <v>-4.1809408617757837E-2</v>
      </c>
      <c r="CU150" s="1785">
        <f>IF(ISERROR(CU149/CP149-1),"",(CU149/CP149-1))</f>
        <v>-5.3035385964771087E-2</v>
      </c>
      <c r="CV150" s="1785">
        <f>IF(ISERROR(CV149/CQ149-1),"",(CV149/CQ149-1))</f>
        <v>-3.2922539845401055E-2</v>
      </c>
      <c r="CW150" s="1785" t="str">
        <f>IF(ISERROR(CW149/CR149-1),"",(CW149/CR149-1))</f>
        <v/>
      </c>
      <c r="CX150" s="1774">
        <f>CX149/CS149-1</f>
        <v>-2174.9387166275037</v>
      </c>
      <c r="CY150" s="1778"/>
      <c r="CZ150" s="1778"/>
      <c r="DA150" s="1774"/>
      <c r="DB150" s="1774"/>
      <c r="DC150" s="1774"/>
      <c r="DD150" s="1774"/>
      <c r="DE150" s="1774"/>
      <c r="DF150" s="1774"/>
      <c r="DG150" s="1773"/>
      <c r="DH150" s="1773"/>
      <c r="DI150" s="1774"/>
      <c r="DJ150" s="1773"/>
      <c r="DK150" s="1773"/>
      <c r="DL150" s="1773"/>
      <c r="DM150" s="1774"/>
      <c r="DN150" s="1774"/>
      <c r="DO150" s="1774"/>
      <c r="DP150" s="1774"/>
      <c r="DQ150" s="1774"/>
      <c r="DR150" s="1785"/>
      <c r="DS150" s="253"/>
      <c r="DT150" s="253"/>
      <c r="DU150" s="253"/>
      <c r="DV150" s="253"/>
      <c r="DW150" s="253"/>
      <c r="DX150" s="253"/>
      <c r="DY150" s="253"/>
      <c r="DZ150" s="253"/>
      <c r="EA150" s="253"/>
      <c r="EB150" s="253"/>
      <c r="EC150" s="253"/>
      <c r="ED150" s="253"/>
      <c r="EE150" s="253"/>
      <c r="EF150" s="253"/>
      <c r="EG150" s="253"/>
      <c r="EH150" s="253"/>
      <c r="EI150" s="253"/>
      <c r="EJ150" s="253"/>
      <c r="EK150" s="253"/>
      <c r="EL150" s="253"/>
      <c r="EM150" s="253"/>
      <c r="EN150" s="253"/>
      <c r="EO150" s="253"/>
      <c r="EP150" s="253"/>
      <c r="EQ150" s="253"/>
      <c r="ER150" s="253"/>
    </row>
    <row r="151" spans="1:148" s="943" customFormat="1" hidden="1" outlineLevel="1" thickBot="1">
      <c r="A151" s="1811" t="s">
        <v>718</v>
      </c>
      <c r="B151" s="1812"/>
      <c r="C151" s="1812"/>
      <c r="D151" s="1812"/>
      <c r="E151" s="1812"/>
      <c r="F151" s="1812"/>
      <c r="G151" s="1812"/>
      <c r="H151" s="1812"/>
      <c r="I151" s="1812"/>
      <c r="J151" s="1812"/>
      <c r="K151" s="1812"/>
      <c r="L151" s="1812"/>
      <c r="M151" s="1812"/>
      <c r="N151" s="1812"/>
      <c r="O151" s="1812"/>
      <c r="P151" s="1812"/>
      <c r="Q151" s="1812"/>
      <c r="R151" s="1812"/>
      <c r="S151" s="1812"/>
      <c r="T151" s="1812"/>
      <c r="U151" s="1812"/>
      <c r="V151" s="1812"/>
      <c r="W151" s="1812"/>
      <c r="X151" s="1812"/>
      <c r="Y151" s="1812"/>
      <c r="Z151" s="1812"/>
      <c r="AA151" s="1812"/>
      <c r="AB151" s="1812"/>
      <c r="AC151" s="1812"/>
      <c r="AD151" s="1812"/>
      <c r="AE151" s="1812"/>
      <c r="AF151" s="1812"/>
      <c r="AG151" s="1812"/>
      <c r="AH151" s="1812"/>
      <c r="AI151" s="1812"/>
      <c r="AJ151" s="1812"/>
      <c r="AK151" s="1812"/>
      <c r="AL151" s="1812"/>
      <c r="AM151" s="1812"/>
      <c r="AN151" s="1812"/>
      <c r="AO151" s="1812"/>
      <c r="AP151" s="1812"/>
      <c r="AQ151" s="1812"/>
      <c r="AR151" s="1812"/>
      <c r="AS151" s="1812"/>
      <c r="AT151" s="1812"/>
      <c r="AU151" s="1813"/>
      <c r="AV151" s="1812"/>
      <c r="AW151" s="1812"/>
      <c r="AX151" s="1812"/>
      <c r="AY151" s="1812"/>
      <c r="AZ151" s="1813"/>
      <c r="BA151" s="1814"/>
      <c r="BB151" s="1814"/>
      <c r="BC151" s="1814"/>
      <c r="BD151" s="1814"/>
      <c r="BE151" s="1813"/>
      <c r="BF151" s="1814"/>
      <c r="BG151" s="1814"/>
      <c r="BH151" s="1814"/>
      <c r="BI151" s="1814"/>
      <c r="BJ151" s="1815"/>
      <c r="BK151" s="1814"/>
      <c r="BL151" s="1814"/>
      <c r="BM151" s="1814"/>
      <c r="BN151" s="1814"/>
      <c r="BO151" s="1815"/>
      <c r="BP151" s="1814">
        <f>BP149/BN149-1</f>
        <v>-7.7409973483876238E-3</v>
      </c>
      <c r="BQ151" s="1814">
        <f>BQ149/BP149-1</f>
        <v>0.14089909917675958</v>
      </c>
      <c r="BR151" s="1814">
        <f>BR149/BQ149-1</f>
        <v>-0.17910842463165844</v>
      </c>
      <c r="BS151" s="1814">
        <f>BS149/BR149-1</f>
        <v>2.0755672143218717E-2</v>
      </c>
      <c r="BT151" s="1815"/>
      <c r="BU151" s="1814" t="e">
        <f>BU149/BS149-1</f>
        <v>#REF!</v>
      </c>
      <c r="BV151" s="1814" t="e">
        <f>BV149/BU149-1</f>
        <v>#REF!</v>
      </c>
      <c r="BW151" s="1814" t="e">
        <f>BW149/BV149-1</f>
        <v>#REF!</v>
      </c>
      <c r="BX151" s="1814" t="e">
        <f>BX149/BW149-1</f>
        <v>#REF!</v>
      </c>
      <c r="BY151" s="1813"/>
      <c r="BZ151" s="1814" t="e">
        <f>BZ149/BX149-1</f>
        <v>#REF!</v>
      </c>
      <c r="CA151" s="1814" t="e">
        <f>CA149/BZ149-1</f>
        <v>#REF!</v>
      </c>
      <c r="CB151" s="1814" t="e">
        <f>CB149/CA149-1</f>
        <v>#REF!</v>
      </c>
      <c r="CC151" s="1814" t="e">
        <f>CC149/CB149-1</f>
        <v>#REF!</v>
      </c>
      <c r="CD151" s="1813"/>
      <c r="CE151" s="1814" t="e">
        <f>CE149/CC149-1</f>
        <v>#REF!</v>
      </c>
      <c r="CF151" s="1814">
        <f>CF149/CE149-1</f>
        <v>0.51470947914070031</v>
      </c>
      <c r="CG151" s="1814">
        <f>CG149/CF149-1</f>
        <v>-0.70405956932521152</v>
      </c>
      <c r="CH151" s="1814">
        <f>CH149/CG149-1</f>
        <v>0.59602606531262836</v>
      </c>
      <c r="CI151" s="1813"/>
      <c r="CJ151" s="1814">
        <f>CJ149/CH149-1</f>
        <v>1.1940898540229536</v>
      </c>
      <c r="CK151" s="1814">
        <f>CK149/CJ149-1</f>
        <v>-0.8177671934649049</v>
      </c>
      <c r="CL151" s="1814">
        <f>CL149/CK149-1</f>
        <v>0.96240534058983518</v>
      </c>
      <c r="CM151" s="1814">
        <f>CM149/CL149-1</f>
        <v>-1</v>
      </c>
      <c r="CN151" s="1813"/>
      <c r="CO151" s="1814" t="e">
        <f>CO149/CM149-1</f>
        <v>#DIV/0!</v>
      </c>
      <c r="CP151" s="1814">
        <f>CP149/CO149-1</f>
        <v>-0.88399480882334913</v>
      </c>
      <c r="CQ151" s="1814">
        <f>CQ149/CP149-1</f>
        <v>1.8421463396083513</v>
      </c>
      <c r="CR151" s="1814">
        <f>CR149/CQ149-1</f>
        <v>-1</v>
      </c>
      <c r="CS151" s="1813"/>
      <c r="CT151" s="1814" t="e">
        <f>CT149/CR149-1</f>
        <v>#DIV/0!</v>
      </c>
      <c r="CU151" s="1814">
        <f>CU149/CT149-1</f>
        <v>-0.88535390341266917</v>
      </c>
      <c r="CV151" s="1814">
        <f>CV149/CU149-1</f>
        <v>1.9025114801110008</v>
      </c>
      <c r="CW151" s="1814">
        <f>CW149/CV149-1</f>
        <v>-9862.3106556500425</v>
      </c>
      <c r="CX151" s="1813"/>
      <c r="CY151" s="1812"/>
      <c r="CZ151" s="1812"/>
      <c r="DA151" s="1813"/>
      <c r="DB151" s="1813"/>
      <c r="DC151" s="1813"/>
      <c r="DD151" s="1813"/>
      <c r="DE151" s="1813"/>
      <c r="DF151" s="1813"/>
      <c r="DG151" s="1816"/>
      <c r="DH151" s="1816"/>
      <c r="DI151" s="1813"/>
      <c r="DJ151" s="1816"/>
      <c r="DK151" s="1816"/>
      <c r="DL151" s="1816"/>
      <c r="DM151" s="1813"/>
      <c r="DN151" s="1813"/>
      <c r="DO151" s="1813"/>
      <c r="DP151" s="1813"/>
      <c r="DQ151" s="1813"/>
      <c r="DR151" s="1814"/>
      <c r="DS151" s="521"/>
      <c r="DT151" s="521"/>
      <c r="DU151" s="521"/>
      <c r="DV151" s="521"/>
      <c r="DW151" s="521"/>
      <c r="DX151" s="521"/>
      <c r="DY151" s="521"/>
      <c r="DZ151" s="521"/>
      <c r="EA151" s="521"/>
      <c r="EB151" s="521"/>
      <c r="EC151" s="521"/>
      <c r="ED151" s="521"/>
      <c r="EE151" s="521"/>
      <c r="EF151" s="521"/>
      <c r="EG151" s="521"/>
      <c r="EH151" s="521"/>
      <c r="EI151" s="521"/>
      <c r="EJ151" s="521"/>
      <c r="EK151" s="521"/>
      <c r="EL151" s="521"/>
      <c r="EM151" s="521"/>
      <c r="EN151" s="521"/>
      <c r="EO151" s="521"/>
      <c r="EP151" s="521"/>
      <c r="EQ151" s="521"/>
      <c r="ER151" s="521"/>
    </row>
    <row r="152" spans="1:148" s="934" customFormat="1" ht="12" hidden="1" outlineLevel="1">
      <c r="A152" s="1760"/>
      <c r="B152" s="1761"/>
      <c r="C152" s="1761"/>
      <c r="D152" s="1761"/>
      <c r="E152" s="1761"/>
      <c r="F152" s="1761"/>
      <c r="G152" s="1761"/>
      <c r="H152" s="1761"/>
      <c r="I152" s="1761"/>
      <c r="J152" s="1761"/>
      <c r="K152" s="1761"/>
      <c r="L152" s="1761"/>
      <c r="M152" s="1761"/>
      <c r="N152" s="1761"/>
      <c r="O152" s="1761"/>
      <c r="P152" s="1761"/>
      <c r="Q152" s="1761"/>
      <c r="R152" s="1761"/>
      <c r="S152" s="1761"/>
      <c r="T152" s="1761"/>
      <c r="U152" s="1761"/>
      <c r="V152" s="1761"/>
      <c r="W152" s="1761"/>
      <c r="X152" s="1761"/>
      <c r="Y152" s="1761"/>
      <c r="Z152" s="1761"/>
      <c r="AA152" s="1761"/>
      <c r="AB152" s="1761"/>
      <c r="AC152" s="1761"/>
      <c r="AD152" s="1761"/>
      <c r="AE152" s="1761"/>
      <c r="AF152" s="1761"/>
      <c r="AG152" s="1761"/>
      <c r="AH152" s="1761"/>
      <c r="AI152" s="1761"/>
      <c r="AJ152" s="1761"/>
      <c r="AK152" s="1761"/>
      <c r="AL152" s="1761"/>
      <c r="AM152" s="1761"/>
      <c r="AN152" s="1761"/>
      <c r="AO152" s="1761"/>
      <c r="AP152" s="1761"/>
      <c r="AQ152" s="1761"/>
      <c r="AR152" s="1761"/>
      <c r="AS152" s="1761"/>
      <c r="AT152" s="1761"/>
      <c r="AU152" s="1774"/>
      <c r="AV152" s="1761"/>
      <c r="AW152" s="1761"/>
      <c r="AX152" s="1761"/>
      <c r="AY152" s="1761"/>
      <c r="AZ152" s="1774"/>
      <c r="BA152" s="1785"/>
      <c r="BB152" s="1785"/>
      <c r="BC152" s="1785"/>
      <c r="BD152" s="1785"/>
      <c r="BE152" s="1774"/>
      <c r="BF152" s="1785"/>
      <c r="BG152" s="1785"/>
      <c r="BH152" s="1785"/>
      <c r="BI152" s="1785"/>
      <c r="BJ152" s="1774"/>
      <c r="BK152" s="1761"/>
      <c r="BL152" s="1761"/>
      <c r="BM152" s="1761"/>
      <c r="BN152" s="1785"/>
      <c r="BO152" s="1817"/>
      <c r="BP152" s="1761"/>
      <c r="BQ152" s="1761"/>
      <c r="BR152" s="1761"/>
      <c r="BS152" s="1785"/>
      <c r="BT152" s="1817"/>
      <c r="BU152" s="2804"/>
      <c r="BV152" s="2804"/>
      <c r="BW152" s="1818"/>
      <c r="BX152" s="1818"/>
      <c r="BY152" s="1774"/>
      <c r="BZ152" s="2804"/>
      <c r="CA152" s="2804"/>
      <c r="CB152" s="2804"/>
      <c r="CC152" s="2804"/>
      <c r="CD152" s="1774"/>
      <c r="CE152" s="1761"/>
      <c r="CF152" s="1761"/>
      <c r="CG152" s="1761"/>
      <c r="CH152" s="1761"/>
      <c r="CI152" s="1774"/>
      <c r="CJ152" s="1761"/>
      <c r="CK152" s="1761"/>
      <c r="CL152" s="1761"/>
      <c r="CM152" s="1761"/>
      <c r="CN152" s="1774"/>
      <c r="CO152" s="1761"/>
      <c r="CP152" s="1761"/>
      <c r="CQ152" s="1761"/>
      <c r="CR152" s="1761"/>
      <c r="CS152" s="1774"/>
      <c r="CT152" s="1761"/>
      <c r="CU152" s="1761"/>
      <c r="CV152" s="1761"/>
      <c r="CW152" s="1761"/>
      <c r="CX152" s="1774"/>
      <c r="CY152" s="1761"/>
      <c r="CZ152" s="1761"/>
      <c r="DA152" s="1774"/>
      <c r="DB152" s="1774"/>
      <c r="DC152" s="1774"/>
      <c r="DD152" s="1774"/>
      <c r="DE152" s="1774"/>
      <c r="DF152" s="1774"/>
      <c r="DG152" s="1773"/>
      <c r="DH152" s="1773"/>
      <c r="DI152" s="1774"/>
      <c r="DJ152" s="1773"/>
      <c r="DK152" s="1773"/>
      <c r="DL152" s="1773"/>
      <c r="DM152" s="1774"/>
      <c r="DN152" s="1774"/>
      <c r="DO152" s="1774"/>
      <c r="DP152" s="1774"/>
      <c r="DQ152" s="1774"/>
      <c r="DR152" s="1785"/>
      <c r="DS152" s="264"/>
      <c r="DT152" s="264"/>
      <c r="DU152" s="264"/>
      <c r="DV152" s="264"/>
      <c r="DW152" s="264"/>
      <c r="DX152" s="264"/>
      <c r="DY152" s="264"/>
      <c r="DZ152" s="264"/>
      <c r="EA152" s="264"/>
      <c r="EB152" s="264"/>
      <c r="EC152" s="264"/>
      <c r="ED152" s="264"/>
      <c r="EE152" s="264"/>
      <c r="EF152" s="264"/>
      <c r="EG152" s="264"/>
      <c r="EH152" s="264"/>
      <c r="EI152" s="264"/>
      <c r="EJ152" s="264"/>
      <c r="EK152" s="264"/>
      <c r="EL152" s="264"/>
      <c r="EM152" s="264"/>
      <c r="EN152" s="264"/>
      <c r="EO152" s="264"/>
      <c r="EP152" s="264"/>
      <c r="EQ152" s="264"/>
      <c r="ER152" s="264"/>
    </row>
    <row r="153" spans="1:148" s="934" customFormat="1" ht="12" hidden="1" outlineLevel="1">
      <c r="A153" s="1760"/>
      <c r="B153" s="1761"/>
      <c r="C153" s="1761"/>
      <c r="D153" s="1761"/>
      <c r="E153" s="1761"/>
      <c r="F153" s="1761"/>
      <c r="G153" s="1761"/>
      <c r="H153" s="1761"/>
      <c r="I153" s="1761"/>
      <c r="J153" s="1761"/>
      <c r="K153" s="1761"/>
      <c r="L153" s="1761"/>
      <c r="M153" s="1761"/>
      <c r="N153" s="1761"/>
      <c r="O153" s="1761"/>
      <c r="P153" s="1761"/>
      <c r="Q153" s="1761"/>
      <c r="R153" s="1761"/>
      <c r="S153" s="1761"/>
      <c r="T153" s="1761"/>
      <c r="U153" s="1761"/>
      <c r="V153" s="1761"/>
      <c r="W153" s="1761"/>
      <c r="X153" s="1761"/>
      <c r="Y153" s="1761"/>
      <c r="Z153" s="1761"/>
      <c r="AA153" s="1761"/>
      <c r="AB153" s="1761"/>
      <c r="AC153" s="1761"/>
      <c r="AD153" s="1761"/>
      <c r="AE153" s="1761"/>
      <c r="AF153" s="1761"/>
      <c r="AG153" s="1761"/>
      <c r="AH153" s="1761"/>
      <c r="AI153" s="1761"/>
      <c r="AJ153" s="1761"/>
      <c r="AK153" s="1761"/>
      <c r="AL153" s="1761"/>
      <c r="AM153" s="1761"/>
      <c r="AN153" s="1761"/>
      <c r="AO153" s="1761"/>
      <c r="AP153" s="1761"/>
      <c r="AQ153" s="1761"/>
      <c r="AR153" s="1761"/>
      <c r="AS153" s="1761"/>
      <c r="AT153" s="1761"/>
      <c r="AU153" s="1774"/>
      <c r="AV153" s="1761"/>
      <c r="AW153" s="1761"/>
      <c r="AX153" s="1761"/>
      <c r="AY153" s="1761"/>
      <c r="AZ153" s="1774"/>
      <c r="BA153" s="1785"/>
      <c r="BB153" s="1785"/>
      <c r="BC153" s="1785"/>
      <c r="BD153" s="1785"/>
      <c r="BE153" s="1774"/>
      <c r="BF153" s="1785"/>
      <c r="BG153" s="1785"/>
      <c r="BH153" s="1785"/>
      <c r="BI153" s="1785"/>
      <c r="BJ153" s="1774"/>
      <c r="BK153" s="1761"/>
      <c r="BL153" s="1761"/>
      <c r="BM153" s="1761"/>
      <c r="BN153" s="1785"/>
      <c r="BO153" s="1817"/>
      <c r="BP153" s="1761"/>
      <c r="BQ153" s="1761"/>
      <c r="BR153" s="1761"/>
      <c r="BS153" s="1785"/>
      <c r="BT153" s="1817"/>
      <c r="BU153" s="2804"/>
      <c r="BV153" s="2804"/>
      <c r="BW153" s="1818"/>
      <c r="BX153" s="1818"/>
      <c r="BY153" s="1774"/>
      <c r="BZ153" s="2804"/>
      <c r="CA153" s="2804"/>
      <c r="CB153" s="2804"/>
      <c r="CC153" s="2804"/>
      <c r="CD153" s="1774"/>
      <c r="CE153" s="1761"/>
      <c r="CF153" s="1761"/>
      <c r="CG153" s="1761"/>
      <c r="CH153" s="1761"/>
      <c r="CI153" s="1774"/>
      <c r="CJ153" s="1761"/>
      <c r="CK153" s="1761"/>
      <c r="CL153" s="1761"/>
      <c r="CM153" s="1761"/>
      <c r="CN153" s="1774"/>
      <c r="CO153" s="1761"/>
      <c r="CP153" s="1761"/>
      <c r="CQ153" s="1761"/>
      <c r="CR153" s="1761"/>
      <c r="CS153" s="1774"/>
      <c r="CT153" s="1761"/>
      <c r="CU153" s="1761"/>
      <c r="CV153" s="1761"/>
      <c r="CW153" s="1761"/>
      <c r="CX153" s="1774"/>
      <c r="CY153" s="1761"/>
      <c r="CZ153" s="1761"/>
      <c r="DA153" s="1774"/>
      <c r="DB153" s="1774"/>
      <c r="DC153" s="1774"/>
      <c r="DD153" s="1774"/>
      <c r="DE153" s="1774"/>
      <c r="DF153" s="1774"/>
      <c r="DG153" s="1773"/>
      <c r="DH153" s="1773"/>
      <c r="DI153" s="1774"/>
      <c r="DJ153" s="1773"/>
      <c r="DK153" s="1773"/>
      <c r="DL153" s="1773"/>
      <c r="DM153" s="1774"/>
      <c r="DN153" s="1774"/>
      <c r="DO153" s="1774"/>
      <c r="DP153" s="1774"/>
      <c r="DQ153" s="1774"/>
      <c r="DR153" s="1785"/>
      <c r="DS153" s="264"/>
      <c r="DT153" s="264"/>
      <c r="DU153" s="264"/>
      <c r="DV153" s="264"/>
      <c r="DW153" s="264"/>
      <c r="DX153" s="264"/>
      <c r="DY153" s="264"/>
      <c r="DZ153" s="264"/>
      <c r="EA153" s="264"/>
      <c r="EB153" s="264"/>
      <c r="EC153" s="264"/>
      <c r="ED153" s="264"/>
      <c r="EE153" s="264"/>
      <c r="EF153" s="264"/>
      <c r="EG153" s="264"/>
      <c r="EH153" s="264"/>
      <c r="EI153" s="264"/>
      <c r="EJ153" s="264"/>
      <c r="EK153" s="264"/>
      <c r="EL153" s="264"/>
      <c r="EM153" s="264"/>
      <c r="EN153" s="264"/>
      <c r="EO153" s="264"/>
      <c r="EP153" s="264"/>
      <c r="EQ153" s="264"/>
      <c r="ER153" s="264"/>
    </row>
    <row r="154" spans="1:148" s="934" customFormat="1" ht="12" hidden="1" outlineLevel="1">
      <c r="A154" s="1819" t="s">
        <v>761</v>
      </c>
      <c r="B154" s="1820"/>
      <c r="C154" s="1820"/>
      <c r="D154" s="1820"/>
      <c r="E154" s="1820"/>
      <c r="F154" s="1820"/>
      <c r="G154" s="1820"/>
      <c r="H154" s="1820"/>
      <c r="I154" s="1820"/>
      <c r="J154" s="1820"/>
      <c r="K154" s="1820"/>
      <c r="L154" s="1820"/>
      <c r="M154" s="1820"/>
      <c r="N154" s="1820"/>
      <c r="O154" s="1820"/>
      <c r="P154" s="1820"/>
      <c r="Q154" s="1820"/>
      <c r="R154" s="1820"/>
      <c r="S154" s="1820"/>
      <c r="T154" s="1820"/>
      <c r="U154" s="1820"/>
      <c r="V154" s="1820"/>
      <c r="W154" s="1820"/>
      <c r="X154" s="1820"/>
      <c r="Y154" s="1820"/>
      <c r="Z154" s="1820"/>
      <c r="AA154" s="1820"/>
      <c r="AB154" s="1820"/>
      <c r="AC154" s="1820"/>
      <c r="AD154" s="1820"/>
      <c r="AE154" s="1820"/>
      <c r="AF154" s="1820"/>
      <c r="AG154" s="1820"/>
      <c r="AH154" s="1820"/>
      <c r="AI154" s="1820"/>
      <c r="AJ154" s="1820"/>
      <c r="AK154" s="1820"/>
      <c r="AL154" s="1820"/>
      <c r="AM154" s="1820"/>
      <c r="AN154" s="1820"/>
      <c r="AO154" s="1820"/>
      <c r="AP154" s="1820"/>
      <c r="AQ154" s="1820"/>
      <c r="AR154" s="1820"/>
      <c r="AS154" s="1820"/>
      <c r="AT154" s="1820"/>
      <c r="AU154" s="1821"/>
      <c r="AV154" s="1820"/>
      <c r="AW154" s="1820"/>
      <c r="AX154" s="1820"/>
      <c r="AY154" s="1820"/>
      <c r="AZ154" s="1821"/>
      <c r="BA154" s="1822"/>
      <c r="BB154" s="1822"/>
      <c r="BC154" s="1822"/>
      <c r="BD154" s="1822"/>
      <c r="BE154" s="1821"/>
      <c r="BF154" s="1822"/>
      <c r="BG154" s="1822"/>
      <c r="BH154" s="1822"/>
      <c r="BI154" s="1822"/>
      <c r="BJ154" s="1821"/>
      <c r="BK154" s="1820"/>
      <c r="BL154" s="1820"/>
      <c r="BM154" s="1820"/>
      <c r="BN154" s="1822"/>
      <c r="BO154" s="1821"/>
      <c r="BP154" s="1820"/>
      <c r="BQ154" s="1820"/>
      <c r="BR154" s="1820"/>
      <c r="BS154" s="1822"/>
      <c r="BT154" s="1821"/>
      <c r="BU154" s="2807"/>
      <c r="BV154" s="2807"/>
      <c r="BW154" s="2807"/>
      <c r="BX154" s="2807"/>
      <c r="BY154" s="1821"/>
      <c r="BZ154" s="2807"/>
      <c r="CA154" s="2807"/>
      <c r="CB154" s="2807"/>
      <c r="CC154" s="2807"/>
      <c r="CD154" s="1821"/>
      <c r="CE154" s="1820"/>
      <c r="CF154" s="1820"/>
      <c r="CG154" s="1820"/>
      <c r="CH154" s="1820"/>
      <c r="CI154" s="1821"/>
      <c r="CJ154" s="1820"/>
      <c r="CK154" s="1820"/>
      <c r="CL154" s="1820"/>
      <c r="CM154" s="1820"/>
      <c r="CN154" s="1821"/>
      <c r="CO154" s="1820"/>
      <c r="CP154" s="1820"/>
      <c r="CQ154" s="1820"/>
      <c r="CR154" s="1820"/>
      <c r="CS154" s="1821"/>
      <c r="CT154" s="1820"/>
      <c r="CU154" s="1820"/>
      <c r="CV154" s="1820"/>
      <c r="CW154" s="1820"/>
      <c r="CX154" s="1821"/>
      <c r="CY154" s="1820"/>
      <c r="CZ154" s="1820"/>
      <c r="DA154" s="1821"/>
      <c r="DB154" s="1821"/>
      <c r="DC154" s="1821"/>
      <c r="DD154" s="1821"/>
      <c r="DE154" s="1821"/>
      <c r="DF154" s="1821"/>
      <c r="DG154" s="1823"/>
      <c r="DH154" s="1823"/>
      <c r="DI154" s="1821"/>
      <c r="DJ154" s="1823"/>
      <c r="DK154" s="1823"/>
      <c r="DL154" s="1823"/>
      <c r="DM154" s="1821"/>
      <c r="DN154" s="1821"/>
      <c r="DO154" s="1821"/>
      <c r="DP154" s="1821"/>
      <c r="DQ154" s="1821"/>
      <c r="DR154" s="1822"/>
      <c r="DS154" s="264"/>
      <c r="DT154" s="264"/>
      <c r="DU154" s="264"/>
      <c r="DV154" s="264"/>
      <c r="DW154" s="264"/>
      <c r="DX154" s="264"/>
      <c r="DY154" s="264"/>
      <c r="DZ154" s="264"/>
      <c r="EA154" s="264"/>
      <c r="EB154" s="264"/>
      <c r="EC154" s="264"/>
      <c r="ED154" s="264"/>
      <c r="EE154" s="264"/>
      <c r="EF154" s="264"/>
      <c r="EG154" s="264"/>
      <c r="EH154" s="264"/>
      <c r="EI154" s="264"/>
      <c r="EJ154" s="264"/>
      <c r="EK154" s="264"/>
      <c r="EL154" s="264"/>
      <c r="EM154" s="264"/>
      <c r="EN154" s="264"/>
      <c r="EO154" s="264"/>
      <c r="EP154" s="264"/>
      <c r="EQ154" s="264"/>
      <c r="ER154" s="264"/>
    </row>
    <row r="155" spans="1:148" s="934" customFormat="1" ht="4.5" hidden="1" customHeight="1" outlineLevel="1">
      <c r="A155" s="1824"/>
      <c r="B155" s="1761"/>
      <c r="C155" s="1761"/>
      <c r="D155" s="1761"/>
      <c r="E155" s="1761"/>
      <c r="F155" s="1761"/>
      <c r="G155" s="1761"/>
      <c r="H155" s="1761"/>
      <c r="I155" s="1761"/>
      <c r="J155" s="1761"/>
      <c r="K155" s="1761"/>
      <c r="L155" s="1761"/>
      <c r="M155" s="1761"/>
      <c r="N155" s="1761"/>
      <c r="O155" s="1761"/>
      <c r="P155" s="1761"/>
      <c r="Q155" s="1761"/>
      <c r="R155" s="1761"/>
      <c r="S155" s="1761"/>
      <c r="T155" s="1761"/>
      <c r="U155" s="1761"/>
      <c r="V155" s="1761"/>
      <c r="W155" s="1761"/>
      <c r="X155" s="1761"/>
      <c r="Y155" s="1761"/>
      <c r="Z155" s="1761"/>
      <c r="AA155" s="1761"/>
      <c r="AB155" s="1761"/>
      <c r="AC155" s="1761"/>
      <c r="AD155" s="1761"/>
      <c r="AE155" s="1761"/>
      <c r="AF155" s="1761"/>
      <c r="AG155" s="1761"/>
      <c r="AH155" s="1761"/>
      <c r="AI155" s="1761"/>
      <c r="AJ155" s="1761"/>
      <c r="AK155" s="1761"/>
      <c r="AL155" s="1761"/>
      <c r="AM155" s="1761"/>
      <c r="AN155" s="1761"/>
      <c r="AO155" s="1761"/>
      <c r="AP155" s="1761"/>
      <c r="AQ155" s="1761"/>
      <c r="AR155" s="1761"/>
      <c r="AS155" s="1761"/>
      <c r="AT155" s="1761"/>
      <c r="AU155" s="1785"/>
      <c r="AV155" s="1761"/>
      <c r="AW155" s="1761"/>
      <c r="AX155" s="1761"/>
      <c r="AY155" s="1761"/>
      <c r="AZ155" s="1774"/>
      <c r="BA155" s="1785"/>
      <c r="BB155" s="1785"/>
      <c r="BC155" s="1785"/>
      <c r="BD155" s="1785"/>
      <c r="BE155" s="1774"/>
      <c r="BF155" s="1785"/>
      <c r="BG155" s="1785"/>
      <c r="BH155" s="1785"/>
      <c r="BI155" s="1785"/>
      <c r="BJ155" s="1774"/>
      <c r="BK155" s="1761"/>
      <c r="BL155" s="1761"/>
      <c r="BM155" s="1761"/>
      <c r="BN155" s="1785"/>
      <c r="BO155" s="1774"/>
      <c r="BP155" s="1761"/>
      <c r="BQ155" s="1761"/>
      <c r="BR155" s="1761"/>
      <c r="BS155" s="1785"/>
      <c r="BT155" s="1774"/>
      <c r="BU155" s="2804"/>
      <c r="BV155" s="2804"/>
      <c r="BW155" s="2804"/>
      <c r="BX155" s="2804"/>
      <c r="BY155" s="1774"/>
      <c r="BZ155" s="2804"/>
      <c r="CA155" s="2804"/>
      <c r="CB155" s="2804"/>
      <c r="CC155" s="2804"/>
      <c r="CD155" s="1774"/>
      <c r="CE155" s="1761"/>
      <c r="CF155" s="1761"/>
      <c r="CG155" s="1761"/>
      <c r="CH155" s="1761"/>
      <c r="CI155" s="1774"/>
      <c r="CJ155" s="1761"/>
      <c r="CK155" s="1761"/>
      <c r="CL155" s="1761"/>
      <c r="CM155" s="1761"/>
      <c r="CN155" s="1774"/>
      <c r="CO155" s="1761"/>
      <c r="CP155" s="1761"/>
      <c r="CQ155" s="1761"/>
      <c r="CR155" s="1761"/>
      <c r="CS155" s="1774"/>
      <c r="CT155" s="1761"/>
      <c r="CU155" s="1761"/>
      <c r="CV155" s="1761"/>
      <c r="CW155" s="1761"/>
      <c r="CX155" s="1774"/>
      <c r="CY155" s="1761"/>
      <c r="CZ155" s="1761"/>
      <c r="DA155" s="1774"/>
      <c r="DB155" s="1774"/>
      <c r="DC155" s="1774"/>
      <c r="DD155" s="1774"/>
      <c r="DE155" s="1774"/>
      <c r="DF155" s="1774"/>
      <c r="DG155" s="1773"/>
      <c r="DH155" s="1773"/>
      <c r="DI155" s="1774"/>
      <c r="DJ155" s="1773"/>
      <c r="DK155" s="1773"/>
      <c r="DL155" s="1773"/>
      <c r="DM155" s="1774"/>
      <c r="DN155" s="1774"/>
      <c r="DO155" s="1774"/>
      <c r="DP155" s="1774"/>
      <c r="DQ155" s="1774"/>
      <c r="DR155" s="1785"/>
      <c r="DS155" s="264"/>
      <c r="DT155" s="264"/>
      <c r="DU155" s="264"/>
      <c r="DV155" s="264"/>
      <c r="DW155" s="264"/>
      <c r="DX155" s="264"/>
      <c r="DY155" s="264"/>
      <c r="DZ155" s="264"/>
      <c r="EA155" s="264"/>
      <c r="EB155" s="264"/>
      <c r="EC155" s="264"/>
      <c r="ED155" s="264"/>
      <c r="EE155" s="264"/>
      <c r="EF155" s="264"/>
      <c r="EG155" s="264"/>
      <c r="EH155" s="264"/>
      <c r="EI155" s="264"/>
      <c r="EJ155" s="264"/>
      <c r="EK155" s="264"/>
      <c r="EL155" s="264"/>
      <c r="EM155" s="264"/>
      <c r="EN155" s="264"/>
      <c r="EO155" s="264"/>
      <c r="EP155" s="264"/>
      <c r="EQ155" s="264"/>
      <c r="ER155" s="264"/>
    </row>
    <row r="156" spans="1:148" s="935" customFormat="1" ht="12" hidden="1" outlineLevel="1">
      <c r="A156" s="1754" t="s">
        <v>716</v>
      </c>
      <c r="B156" s="1755"/>
      <c r="C156" s="1755"/>
      <c r="D156" s="1755"/>
      <c r="E156" s="1755"/>
      <c r="F156" s="1755"/>
      <c r="G156" s="1755"/>
      <c r="H156" s="1755"/>
      <c r="I156" s="1755"/>
      <c r="J156" s="1755"/>
      <c r="K156" s="1755"/>
      <c r="L156" s="1755"/>
      <c r="M156" s="1755"/>
      <c r="N156" s="1755"/>
      <c r="O156" s="1755"/>
      <c r="P156" s="1755"/>
      <c r="Q156" s="1755"/>
      <c r="R156" s="1755"/>
      <c r="S156" s="1755"/>
      <c r="T156" s="1755"/>
      <c r="U156" s="1755"/>
      <c r="V156" s="1755"/>
      <c r="W156" s="1755"/>
      <c r="X156" s="1755"/>
      <c r="Y156" s="1755"/>
      <c r="Z156" s="1755"/>
      <c r="AA156" s="1755"/>
      <c r="AB156" s="1755"/>
      <c r="AC156" s="1755"/>
      <c r="AD156" s="1755"/>
      <c r="AE156" s="1755"/>
      <c r="AF156" s="1755"/>
      <c r="AG156" s="1755"/>
      <c r="AH156" s="1755"/>
      <c r="AI156" s="1755"/>
      <c r="AJ156" s="1755"/>
      <c r="AK156" s="1755"/>
      <c r="AL156" s="1755"/>
      <c r="AM156" s="1755"/>
      <c r="AN156" s="1755"/>
      <c r="AO156" s="1755"/>
      <c r="AP156" s="1755"/>
      <c r="AQ156" s="1755"/>
      <c r="AR156" s="1755"/>
      <c r="AS156" s="1755"/>
      <c r="AT156" s="1755"/>
      <c r="AU156" s="1755"/>
      <c r="AV156" s="1755"/>
      <c r="AW156" s="1755"/>
      <c r="AX156" s="1755"/>
      <c r="AY156" s="1755"/>
      <c r="AZ156" s="1756"/>
      <c r="BA156" s="1825"/>
      <c r="BB156" s="1825"/>
      <c r="BC156" s="1825"/>
      <c r="BD156" s="1825"/>
      <c r="BE156" s="1756"/>
      <c r="BF156" s="1825"/>
      <c r="BG156" s="1825"/>
      <c r="BH156" s="1825"/>
      <c r="BI156" s="1825"/>
      <c r="BJ156" s="1756"/>
      <c r="BK156" s="1755"/>
      <c r="BL156" s="1755"/>
      <c r="BM156" s="1755"/>
      <c r="BN156" s="1825"/>
      <c r="BO156" s="1756"/>
      <c r="BP156" s="1755"/>
      <c r="BQ156" s="1755"/>
      <c r="BR156" s="1755"/>
      <c r="BS156" s="1825"/>
      <c r="BT156" s="1826"/>
      <c r="BU156" s="2800"/>
      <c r="BV156" s="2800"/>
      <c r="BW156" s="2808"/>
      <c r="BX156" s="2808"/>
      <c r="BY156" s="2809"/>
      <c r="BZ156" s="2800"/>
      <c r="CA156" s="2800"/>
      <c r="CB156" s="2800"/>
      <c r="CC156" s="2800"/>
      <c r="CD156" s="2809"/>
      <c r="CE156" s="1755"/>
      <c r="CF156" s="1755"/>
      <c r="CG156" s="1755"/>
      <c r="CH156" s="1755"/>
      <c r="CI156" s="1756"/>
      <c r="CJ156" s="1755"/>
      <c r="CK156" s="1755"/>
      <c r="CL156" s="1755"/>
      <c r="CM156" s="1755"/>
      <c r="CN156" s="1756"/>
      <c r="CO156" s="1755"/>
      <c r="CP156" s="1755"/>
      <c r="CQ156" s="1755"/>
      <c r="CR156" s="1755"/>
      <c r="CS156" s="1756"/>
      <c r="CT156" s="1755"/>
      <c r="CU156" s="1755"/>
      <c r="CV156" s="1755"/>
      <c r="CW156" s="1755"/>
      <c r="CX156" s="1756"/>
      <c r="CY156" s="1755"/>
      <c r="CZ156" s="1755"/>
      <c r="DA156" s="1756"/>
      <c r="DB156" s="1756"/>
      <c r="DC156" s="1756"/>
      <c r="DD156" s="1756"/>
      <c r="DE156" s="1756"/>
      <c r="DF156" s="1756"/>
      <c r="DG156" s="1827"/>
      <c r="DH156" s="1827"/>
      <c r="DI156" s="1756"/>
      <c r="DJ156" s="1827"/>
      <c r="DK156" s="1827"/>
      <c r="DL156" s="1827"/>
      <c r="DM156" s="1756"/>
      <c r="DN156" s="1756"/>
      <c r="DO156" s="1756"/>
      <c r="DP156" s="1756"/>
      <c r="DQ156" s="1756"/>
      <c r="DR156" s="1825"/>
      <c r="DS156" s="415"/>
      <c r="DT156" s="415"/>
      <c r="DU156" s="415"/>
      <c r="DV156" s="415"/>
      <c r="DW156" s="415"/>
      <c r="DX156" s="415"/>
      <c r="DY156" s="415"/>
      <c r="DZ156" s="415"/>
      <c r="EA156" s="415"/>
      <c r="EB156" s="415"/>
      <c r="EC156" s="415"/>
      <c r="ED156" s="415"/>
      <c r="EE156" s="415"/>
      <c r="EF156" s="415"/>
      <c r="EG156" s="415"/>
      <c r="EH156" s="415"/>
      <c r="EI156" s="415"/>
      <c r="EJ156" s="415"/>
      <c r="EK156" s="415"/>
      <c r="EL156" s="415"/>
      <c r="EM156" s="415"/>
      <c r="EN156" s="415"/>
      <c r="EO156" s="415"/>
      <c r="EP156" s="415"/>
      <c r="EQ156" s="415"/>
      <c r="ER156" s="415"/>
    </row>
    <row r="157" spans="1:148" s="934" customFormat="1" ht="12" hidden="1" outlineLevel="2">
      <c r="A157" s="1760" t="s">
        <v>216</v>
      </c>
      <c r="B157" s="1761"/>
      <c r="C157" s="1761"/>
      <c r="D157" s="1761"/>
      <c r="E157" s="1761"/>
      <c r="F157" s="1761"/>
      <c r="G157" s="1761"/>
      <c r="H157" s="1761"/>
      <c r="I157" s="1761"/>
      <c r="J157" s="1761"/>
      <c r="K157" s="1761"/>
      <c r="L157" s="1761"/>
      <c r="M157" s="1761"/>
      <c r="N157" s="1761"/>
      <c r="O157" s="1761"/>
      <c r="P157" s="1761"/>
      <c r="Q157" s="1761"/>
      <c r="R157" s="1761"/>
      <c r="S157" s="1761"/>
      <c r="T157" s="1761"/>
      <c r="U157" s="1761"/>
      <c r="V157" s="1761"/>
      <c r="W157" s="1761"/>
      <c r="X157" s="1761"/>
      <c r="Y157" s="1761"/>
      <c r="Z157" s="1761"/>
      <c r="AA157" s="1761"/>
      <c r="AB157" s="1761"/>
      <c r="AC157" s="1761"/>
      <c r="AD157" s="1761"/>
      <c r="AE157" s="1761"/>
      <c r="AF157" s="1761"/>
      <c r="AG157" s="1761"/>
      <c r="AH157" s="1761"/>
      <c r="AI157" s="1761"/>
      <c r="AJ157" s="1761"/>
      <c r="AK157" s="1761"/>
      <c r="AL157" s="1761"/>
      <c r="AM157" s="1761"/>
      <c r="AN157" s="1761"/>
      <c r="AO157" s="1761"/>
      <c r="AP157" s="1761"/>
      <c r="AQ157" s="1761"/>
      <c r="AR157" s="1761"/>
      <c r="AS157" s="1761"/>
      <c r="AT157" s="1761"/>
      <c r="AU157" s="1801"/>
      <c r="AV157" s="1761"/>
      <c r="AW157" s="1761"/>
      <c r="AX157" s="1761"/>
      <c r="AY157" s="1761"/>
      <c r="AZ157" s="1801"/>
      <c r="BA157" s="1828">
        <f t="shared" ref="BA157:CI157" si="216">BA96-BA158</f>
        <v>428</v>
      </c>
      <c r="BB157" s="1828">
        <f t="shared" si="216"/>
        <v>567</v>
      </c>
      <c r="BC157" s="1828">
        <f t="shared" si="216"/>
        <v>622</v>
      </c>
      <c r="BD157" s="1828">
        <f t="shared" si="216"/>
        <v>638</v>
      </c>
      <c r="BE157" s="1801">
        <f t="shared" si="216"/>
        <v>2255</v>
      </c>
      <c r="BF157" s="1828">
        <f t="shared" si="216"/>
        <v>575</v>
      </c>
      <c r="BG157" s="1828">
        <f t="shared" si="216"/>
        <v>572</v>
      </c>
      <c r="BH157" s="1828">
        <f t="shared" si="216"/>
        <v>423</v>
      </c>
      <c r="BI157" s="1828">
        <f t="shared" si="216"/>
        <v>407</v>
      </c>
      <c r="BJ157" s="1801">
        <f t="shared" si="216"/>
        <v>1977</v>
      </c>
      <c r="BK157" s="1765">
        <f t="shared" si="216"/>
        <v>564</v>
      </c>
      <c r="BL157" s="1765">
        <f t="shared" si="216"/>
        <v>563</v>
      </c>
      <c r="BM157" s="1765">
        <f t="shared" si="216"/>
        <v>580</v>
      </c>
      <c r="BN157" s="1828">
        <f t="shared" si="216"/>
        <v>382</v>
      </c>
      <c r="BO157" s="1801">
        <f t="shared" si="216"/>
        <v>2089</v>
      </c>
      <c r="BP157" s="1765">
        <f t="shared" si="216"/>
        <v>275</v>
      </c>
      <c r="BQ157" s="1765">
        <f t="shared" si="216"/>
        <v>291</v>
      </c>
      <c r="BR157" s="1765">
        <f t="shared" si="216"/>
        <v>266</v>
      </c>
      <c r="BS157" s="1828">
        <f t="shared" si="216"/>
        <v>267</v>
      </c>
      <c r="BT157" s="1829">
        <f t="shared" si="216"/>
        <v>1099</v>
      </c>
      <c r="BU157" s="2803" t="e">
        <f t="shared" si="216"/>
        <v>#REF!</v>
      </c>
      <c r="BV157" s="2803" t="e">
        <f t="shared" si="216"/>
        <v>#REF!</v>
      </c>
      <c r="BW157" s="2803" t="e">
        <f t="shared" si="216"/>
        <v>#REF!</v>
      </c>
      <c r="BX157" s="2803" t="e">
        <f t="shared" si="216"/>
        <v>#REF!</v>
      </c>
      <c r="BY157" s="1829" t="e">
        <f t="shared" si="216"/>
        <v>#REF!</v>
      </c>
      <c r="BZ157" s="2803" t="e">
        <f t="shared" si="216"/>
        <v>#REF!</v>
      </c>
      <c r="CA157" s="2803" t="e">
        <f t="shared" si="216"/>
        <v>#REF!</v>
      </c>
      <c r="CB157" s="2803" t="e">
        <f t="shared" si="216"/>
        <v>#REF!</v>
      </c>
      <c r="CC157" s="2803" t="e">
        <f t="shared" si="216"/>
        <v>#REF!</v>
      </c>
      <c r="CD157" s="1829" t="e">
        <f t="shared" si="216"/>
        <v>#REF!</v>
      </c>
      <c r="CE157" s="1765">
        <f t="shared" si="216"/>
        <v>0</v>
      </c>
      <c r="CF157" s="1765">
        <f t="shared" si="216"/>
        <v>0</v>
      </c>
      <c r="CG157" s="1765">
        <f t="shared" si="216"/>
        <v>0</v>
      </c>
      <c r="CH157" s="1765">
        <f t="shared" si="216"/>
        <v>0</v>
      </c>
      <c r="CI157" s="1829">
        <f t="shared" si="216"/>
        <v>0</v>
      </c>
      <c r="CJ157" s="1765">
        <f t="shared" ref="CJ157:CS157" si="217">CJ96-CJ158</f>
        <v>0</v>
      </c>
      <c r="CK157" s="1765">
        <f t="shared" si="217"/>
        <v>0</v>
      </c>
      <c r="CL157" s="1765">
        <f t="shared" si="217"/>
        <v>0</v>
      </c>
      <c r="CM157" s="1765">
        <f t="shared" si="217"/>
        <v>0</v>
      </c>
      <c r="CN157" s="1829">
        <f t="shared" si="217"/>
        <v>0</v>
      </c>
      <c r="CO157" s="1765">
        <f t="shared" si="217"/>
        <v>0</v>
      </c>
      <c r="CP157" s="1765">
        <f t="shared" si="217"/>
        <v>0</v>
      </c>
      <c r="CQ157" s="1765">
        <f t="shared" si="217"/>
        <v>0</v>
      </c>
      <c r="CR157" s="1765">
        <f t="shared" si="217"/>
        <v>0</v>
      </c>
      <c r="CS157" s="1829">
        <f t="shared" si="217"/>
        <v>0</v>
      </c>
      <c r="CT157" s="1765">
        <f t="shared" ref="CT157:CX157" si="218">CT96-CT158</f>
        <v>0</v>
      </c>
      <c r="CU157" s="1765">
        <f t="shared" si="218"/>
        <v>0</v>
      </c>
      <c r="CV157" s="1765">
        <f t="shared" si="218"/>
        <v>0</v>
      </c>
      <c r="CW157" s="1765">
        <f t="shared" si="218"/>
        <v>1420.7999999999993</v>
      </c>
      <c r="CX157" s="1829">
        <f t="shared" si="218"/>
        <v>1420.7999999999993</v>
      </c>
      <c r="CY157" s="1761"/>
      <c r="CZ157" s="1761"/>
      <c r="DA157" s="1801"/>
      <c r="DB157" s="1801"/>
      <c r="DC157" s="1801"/>
      <c r="DD157" s="1801"/>
      <c r="DE157" s="1801"/>
      <c r="DF157" s="1801"/>
      <c r="DG157" s="1804"/>
      <c r="DH157" s="1804"/>
      <c r="DI157" s="1762">
        <f>SUM(BC157:BD157,BF157:BG157)</f>
        <v>2407</v>
      </c>
      <c r="DJ157" s="1766">
        <f>SUM(BH157:BI157,BK157:BL157)</f>
        <v>1957</v>
      </c>
      <c r="DK157" s="1766">
        <f>SUM(BM157:BN157,BP157:BQ157)</f>
        <v>1528</v>
      </c>
      <c r="DL157" s="1766" t="e">
        <f>SUM(BU157:BV157,BR157:BS157)</f>
        <v>#REF!</v>
      </c>
      <c r="DM157" s="1762" t="e">
        <f>SUM(BW157:BX157,BZ157:CA157)</f>
        <v>#REF!</v>
      </c>
      <c r="DN157" s="1762" t="e">
        <f>SUM(CB157:CC157,CE157:CF157)</f>
        <v>#REF!</v>
      </c>
      <c r="DO157" s="1762"/>
      <c r="DP157" s="1762"/>
      <c r="DQ157" s="1762"/>
      <c r="DR157" s="1795"/>
      <c r="DS157" s="264"/>
      <c r="DT157" s="264"/>
      <c r="DU157" s="264"/>
      <c r="DV157" s="264"/>
      <c r="DW157" s="264"/>
      <c r="DX157" s="264"/>
      <c r="DY157" s="264"/>
      <c r="DZ157" s="264"/>
      <c r="EA157" s="264"/>
      <c r="EB157" s="264"/>
      <c r="EC157" s="264"/>
      <c r="ED157" s="264"/>
      <c r="EE157" s="264"/>
      <c r="EF157" s="264"/>
      <c r="EG157" s="264"/>
      <c r="EH157" s="264"/>
      <c r="EI157" s="264"/>
      <c r="EJ157" s="264"/>
      <c r="EK157" s="264"/>
      <c r="EL157" s="264"/>
      <c r="EM157" s="264"/>
      <c r="EN157" s="264"/>
      <c r="EO157" s="264"/>
      <c r="EP157" s="264"/>
      <c r="EQ157" s="264"/>
      <c r="ER157" s="264"/>
    </row>
    <row r="158" spans="1:148" s="934" customFormat="1" ht="12" hidden="1" outlineLevel="1">
      <c r="A158" s="1760" t="s">
        <v>217</v>
      </c>
      <c r="B158" s="1761"/>
      <c r="C158" s="1761"/>
      <c r="D158" s="1761"/>
      <c r="E158" s="1761"/>
      <c r="F158" s="1761"/>
      <c r="G158" s="1761"/>
      <c r="H158" s="1761"/>
      <c r="I158" s="1761"/>
      <c r="J158" s="1761"/>
      <c r="K158" s="1761"/>
      <c r="L158" s="1761"/>
      <c r="M158" s="1761"/>
      <c r="N158" s="1761"/>
      <c r="O158" s="1761"/>
      <c r="P158" s="1761"/>
      <c r="Q158" s="1761"/>
      <c r="R158" s="1761"/>
      <c r="S158" s="1761"/>
      <c r="T158" s="1761"/>
      <c r="U158" s="1761"/>
      <c r="V158" s="1761"/>
      <c r="W158" s="1761"/>
      <c r="X158" s="1761"/>
      <c r="Y158" s="1761"/>
      <c r="Z158" s="1761"/>
      <c r="AA158" s="1761"/>
      <c r="AB158" s="1761"/>
      <c r="AC158" s="1761"/>
      <c r="AD158" s="1761"/>
      <c r="AE158" s="1761"/>
      <c r="AF158" s="1761"/>
      <c r="AG158" s="1761"/>
      <c r="AH158" s="1761"/>
      <c r="AI158" s="1761"/>
      <c r="AJ158" s="1761"/>
      <c r="AK158" s="1761"/>
      <c r="AL158" s="1761"/>
      <c r="AM158" s="1761"/>
      <c r="AN158" s="1761"/>
      <c r="AO158" s="1761"/>
      <c r="AP158" s="1761"/>
      <c r="AQ158" s="1761"/>
      <c r="AR158" s="1761"/>
      <c r="AS158" s="1761"/>
      <c r="AT158" s="1761"/>
      <c r="AU158" s="1801"/>
      <c r="AV158" s="1761"/>
      <c r="AW158" s="1761"/>
      <c r="AX158" s="1761"/>
      <c r="AY158" s="1761"/>
      <c r="AZ158" s="1801"/>
      <c r="BA158" s="1830">
        <v>4665</v>
      </c>
      <c r="BB158" s="1830">
        <v>4389</v>
      </c>
      <c r="BC158" s="1830">
        <v>4141</v>
      </c>
      <c r="BD158" s="1830">
        <v>4045</v>
      </c>
      <c r="BE158" s="1801">
        <f>SUM(BA158:BD158)</f>
        <v>17240</v>
      </c>
      <c r="BF158" s="1830">
        <v>4103</v>
      </c>
      <c r="BG158" s="1830">
        <v>5131</v>
      </c>
      <c r="BH158" s="1830">
        <v>3929</v>
      </c>
      <c r="BI158" s="1830">
        <v>3881</v>
      </c>
      <c r="BJ158" s="1801">
        <f>SUM(BF158:BI158)</f>
        <v>17044</v>
      </c>
      <c r="BK158" s="1764">
        <v>3920</v>
      </c>
      <c r="BL158" s="1764">
        <v>4981</v>
      </c>
      <c r="BM158" s="1764">
        <v>4017</v>
      </c>
      <c r="BN158" s="1830">
        <v>4521</v>
      </c>
      <c r="BO158" s="1801">
        <f>SUM(BK158:BN158)</f>
        <v>17439</v>
      </c>
      <c r="BP158" s="1764">
        <v>3818</v>
      </c>
      <c r="BQ158" s="1764">
        <v>3876</v>
      </c>
      <c r="BR158" s="1764">
        <v>3210</v>
      </c>
      <c r="BS158" s="1830">
        <v>2966</v>
      </c>
      <c r="BT158" s="1829">
        <f>SUM(BP158:BS158)</f>
        <v>13870</v>
      </c>
      <c r="BU158" s="2802" t="e">
        <f>BU159*BU96</f>
        <v>#REF!</v>
      </c>
      <c r="BV158" s="2802" t="e">
        <f>BV159*BV96</f>
        <v>#REF!</v>
      </c>
      <c r="BW158" s="2803" t="e">
        <f>BW159*BW96</f>
        <v>#REF!</v>
      </c>
      <c r="BX158" s="2803" t="e">
        <f>BX159*BX96</f>
        <v>#REF!</v>
      </c>
      <c r="BY158" s="1829" t="e">
        <f>SUM(BU158:BX158)</f>
        <v>#REF!</v>
      </c>
      <c r="BZ158" s="2803" t="e">
        <f>BZ159*BZ96</f>
        <v>#REF!</v>
      </c>
      <c r="CA158" s="2803" t="e">
        <f>CA159*CA96</f>
        <v>#REF!</v>
      </c>
      <c r="CB158" s="2803" t="e">
        <f>CB159*CB96</f>
        <v>#REF!</v>
      </c>
      <c r="CC158" s="2803" t="e">
        <f>CC159*CC96</f>
        <v>#REF!</v>
      </c>
      <c r="CD158" s="1829" t="e">
        <f>SUM(BZ158:CC158)</f>
        <v>#REF!</v>
      </c>
      <c r="CE158" s="1765">
        <f>CE159*CE96</f>
        <v>0</v>
      </c>
      <c r="CF158" s="1765">
        <f>CF159*CF96</f>
        <v>0</v>
      </c>
      <c r="CG158" s="1765">
        <f>CG159*CG96</f>
        <v>0</v>
      </c>
      <c r="CH158" s="1765">
        <f>CH159*CH96</f>
        <v>0</v>
      </c>
      <c r="CI158" s="1829">
        <f>SUM(CE158:CH158)</f>
        <v>0</v>
      </c>
      <c r="CJ158" s="1765">
        <f>CJ159*CJ96</f>
        <v>0</v>
      </c>
      <c r="CK158" s="1765">
        <f>CK159*CK96</f>
        <v>0</v>
      </c>
      <c r="CL158" s="1765">
        <f>CL159*CL96</f>
        <v>0</v>
      </c>
      <c r="CM158" s="1765">
        <f>CM159*CM96</f>
        <v>0</v>
      </c>
      <c r="CN158" s="1829">
        <f>SUM(CJ158:CM158)</f>
        <v>0</v>
      </c>
      <c r="CO158" s="1765">
        <f>CO159*CO96</f>
        <v>0</v>
      </c>
      <c r="CP158" s="1765">
        <f>CP159*CP96</f>
        <v>0</v>
      </c>
      <c r="CQ158" s="1765">
        <f>CQ159*CQ96</f>
        <v>0</v>
      </c>
      <c r="CR158" s="1765">
        <f>CR159*CR96</f>
        <v>0</v>
      </c>
      <c r="CS158" s="1829">
        <f>SUM(CO158:CR158)</f>
        <v>0</v>
      </c>
      <c r="CT158" s="1765">
        <f>CT159*CT96</f>
        <v>0</v>
      </c>
      <c r="CU158" s="1765">
        <f>CU159*CU96</f>
        <v>0</v>
      </c>
      <c r="CV158" s="1765">
        <f>CV159*CV96</f>
        <v>0</v>
      </c>
      <c r="CW158" s="1765">
        <f>CW159*CW96</f>
        <v>16339.2</v>
      </c>
      <c r="CX158" s="1829">
        <f>SUM(CT158:CW158)</f>
        <v>16339.2</v>
      </c>
      <c r="CY158" s="1761"/>
      <c r="CZ158" s="1761"/>
      <c r="DA158" s="1801"/>
      <c r="DB158" s="1801"/>
      <c r="DC158" s="1801"/>
      <c r="DD158" s="1801"/>
      <c r="DE158" s="1801"/>
      <c r="DF158" s="1801"/>
      <c r="DG158" s="1804"/>
      <c r="DH158" s="1804"/>
      <c r="DI158" s="1762">
        <f>SUM(BC158:BD158,BF158:BG158)</f>
        <v>17420</v>
      </c>
      <c r="DJ158" s="1766">
        <f>SUM(BH158:BI158,BK158:BL158)</f>
        <v>16711</v>
      </c>
      <c r="DK158" s="1766">
        <f>SUM(BM158:BN158,BP158:BQ158)</f>
        <v>16232</v>
      </c>
      <c r="DL158" s="1766" t="e">
        <f>SUM(BU158:BV158,BR158:BS158)</f>
        <v>#REF!</v>
      </c>
      <c r="DM158" s="1762" t="e">
        <f>SUM(BW158:BX158,BZ158:CA158)</f>
        <v>#REF!</v>
      </c>
      <c r="DN158" s="1762" t="e">
        <f>SUM(CB158:CC158,CE158:CF158)</f>
        <v>#REF!</v>
      </c>
      <c r="DO158" s="1762"/>
      <c r="DP158" s="1762"/>
      <c r="DQ158" s="1762"/>
      <c r="DR158" s="1795"/>
      <c r="DS158" s="264"/>
      <c r="DT158" s="264"/>
      <c r="DU158" s="264"/>
      <c r="DV158" s="264"/>
      <c r="DW158" s="264"/>
      <c r="DX158" s="264"/>
      <c r="DY158" s="264"/>
      <c r="DZ158" s="264"/>
      <c r="EA158" s="264"/>
      <c r="EB158" s="264"/>
      <c r="EC158" s="264"/>
      <c r="ED158" s="264"/>
      <c r="EE158" s="264"/>
      <c r="EF158" s="264"/>
      <c r="EG158" s="264"/>
      <c r="EH158" s="264"/>
      <c r="EI158" s="264"/>
      <c r="EJ158" s="264"/>
      <c r="EK158" s="264"/>
      <c r="EL158" s="264"/>
      <c r="EM158" s="264"/>
      <c r="EN158" s="264"/>
      <c r="EO158" s="264"/>
      <c r="EP158" s="264"/>
      <c r="EQ158" s="264"/>
      <c r="ER158" s="264"/>
    </row>
    <row r="159" spans="1:148" s="934" customFormat="1" ht="12" hidden="1" outlineLevel="1">
      <c r="A159" s="1760" t="s">
        <v>218</v>
      </c>
      <c r="B159" s="1761"/>
      <c r="C159" s="1761"/>
      <c r="D159" s="1761"/>
      <c r="E159" s="1761"/>
      <c r="F159" s="1761"/>
      <c r="G159" s="1761"/>
      <c r="H159" s="1761"/>
      <c r="I159" s="1761"/>
      <c r="J159" s="1761"/>
      <c r="K159" s="1761"/>
      <c r="L159" s="1761"/>
      <c r="M159" s="1761"/>
      <c r="N159" s="1761"/>
      <c r="O159" s="1761"/>
      <c r="P159" s="1761"/>
      <c r="Q159" s="1761"/>
      <c r="R159" s="1761"/>
      <c r="S159" s="1761"/>
      <c r="T159" s="1761"/>
      <c r="U159" s="1761"/>
      <c r="V159" s="1761"/>
      <c r="W159" s="1761"/>
      <c r="X159" s="1761"/>
      <c r="Y159" s="1761"/>
      <c r="Z159" s="1761"/>
      <c r="AA159" s="1761"/>
      <c r="AB159" s="1761"/>
      <c r="AC159" s="1761"/>
      <c r="AD159" s="1761"/>
      <c r="AE159" s="1761"/>
      <c r="AF159" s="1761"/>
      <c r="AG159" s="1761"/>
      <c r="AH159" s="1761"/>
      <c r="AI159" s="1761"/>
      <c r="AJ159" s="1761"/>
      <c r="AK159" s="1761"/>
      <c r="AL159" s="1761"/>
      <c r="AM159" s="1761"/>
      <c r="AN159" s="1761"/>
      <c r="AO159" s="1761"/>
      <c r="AP159" s="1761"/>
      <c r="AQ159" s="1761"/>
      <c r="AR159" s="1761"/>
      <c r="AS159" s="1761"/>
      <c r="AT159" s="1761"/>
      <c r="AU159" s="1774"/>
      <c r="AV159" s="1761"/>
      <c r="AW159" s="1761"/>
      <c r="AX159" s="1761"/>
      <c r="AY159" s="1761"/>
      <c r="AZ159" s="1774"/>
      <c r="BA159" s="1786">
        <f t="shared" ref="BA159:BT159" si="219">BA158/BA96</f>
        <v>0.91596308658943648</v>
      </c>
      <c r="BB159" s="1786">
        <f t="shared" si="219"/>
        <v>0.88559322033898302</v>
      </c>
      <c r="BC159" s="1786">
        <f t="shared" si="219"/>
        <v>0.86941003569179087</v>
      </c>
      <c r="BD159" s="1786">
        <f t="shared" si="219"/>
        <v>0.86376254537689512</v>
      </c>
      <c r="BE159" s="1774">
        <f t="shared" si="219"/>
        <v>0.88432931520902791</v>
      </c>
      <c r="BF159" s="1786">
        <f t="shared" si="219"/>
        <v>0.87708422402736208</v>
      </c>
      <c r="BG159" s="1786">
        <f t="shared" si="219"/>
        <v>0.89970191127476762</v>
      </c>
      <c r="BH159" s="1786">
        <f t="shared" si="219"/>
        <v>0.90280330882352944</v>
      </c>
      <c r="BI159" s="1786">
        <f t="shared" si="219"/>
        <v>0.90508395522388063</v>
      </c>
      <c r="BJ159" s="1774">
        <f t="shared" si="219"/>
        <v>0.89606224699016879</v>
      </c>
      <c r="BK159" s="1786">
        <f t="shared" si="219"/>
        <v>0.87421944692239073</v>
      </c>
      <c r="BL159" s="1786">
        <f t="shared" si="219"/>
        <v>0.8984487734487735</v>
      </c>
      <c r="BM159" s="1786">
        <f t="shared" si="219"/>
        <v>0.87383075919077657</v>
      </c>
      <c r="BN159" s="1786">
        <f t="shared" si="219"/>
        <v>0.92208851723434637</v>
      </c>
      <c r="BO159" s="1774">
        <f t="shared" si="219"/>
        <v>0.89302539942646453</v>
      </c>
      <c r="BP159" s="1786">
        <f t="shared" si="219"/>
        <v>0.9328121182506719</v>
      </c>
      <c r="BQ159" s="1786">
        <f t="shared" si="219"/>
        <v>0.93016558675305971</v>
      </c>
      <c r="BR159" s="1786">
        <f t="shared" si="219"/>
        <v>0.92347525891829685</v>
      </c>
      <c r="BS159" s="1786">
        <f t="shared" si="219"/>
        <v>0.91741416640890816</v>
      </c>
      <c r="BT159" s="1774">
        <f t="shared" si="219"/>
        <v>0.92658160197742001</v>
      </c>
      <c r="BU159" s="1786">
        <v>0.92</v>
      </c>
      <c r="BV159" s="1786">
        <v>0.92</v>
      </c>
      <c r="BW159" s="1831">
        <v>0.92</v>
      </c>
      <c r="BX159" s="1831">
        <v>0.92</v>
      </c>
      <c r="BY159" s="1774" t="e">
        <f>BY158/BY96</f>
        <v>#REF!</v>
      </c>
      <c r="BZ159" s="1831">
        <f>BX159</f>
        <v>0.92</v>
      </c>
      <c r="CA159" s="1831">
        <f>BZ159</f>
        <v>0.92</v>
      </c>
      <c r="CB159" s="1831">
        <f>CA159</f>
        <v>0.92</v>
      </c>
      <c r="CC159" s="1831">
        <f>CB159</f>
        <v>0.92</v>
      </c>
      <c r="CD159" s="1774" t="e">
        <f>CD158/CD96</f>
        <v>#REF!</v>
      </c>
      <c r="CE159" s="1831">
        <f>CC159</f>
        <v>0.92</v>
      </c>
      <c r="CF159" s="1831">
        <f>CE159</f>
        <v>0.92</v>
      </c>
      <c r="CG159" s="1831">
        <f>CF159</f>
        <v>0.92</v>
      </c>
      <c r="CH159" s="1831">
        <f>CG159</f>
        <v>0.92</v>
      </c>
      <c r="CI159" s="1774" t="e">
        <f>CI158/CI96</f>
        <v>#DIV/0!</v>
      </c>
      <c r="CJ159" s="1831">
        <f>CH159</f>
        <v>0.92</v>
      </c>
      <c r="CK159" s="1831">
        <f>CJ159</f>
        <v>0.92</v>
      </c>
      <c r="CL159" s="1831">
        <f>CK159</f>
        <v>0.92</v>
      </c>
      <c r="CM159" s="1831">
        <f>CL159</f>
        <v>0.92</v>
      </c>
      <c r="CN159" s="1774" t="e">
        <f>CN158/CN96</f>
        <v>#DIV/0!</v>
      </c>
      <c r="CO159" s="1831">
        <f>CM159</f>
        <v>0.92</v>
      </c>
      <c r="CP159" s="1831">
        <f>CO159</f>
        <v>0.92</v>
      </c>
      <c r="CQ159" s="1831">
        <f>CP159</f>
        <v>0.92</v>
      </c>
      <c r="CR159" s="1831">
        <f>CQ159</f>
        <v>0.92</v>
      </c>
      <c r="CS159" s="1774" t="e">
        <f>CS158/CS96</f>
        <v>#DIV/0!</v>
      </c>
      <c r="CT159" s="1831">
        <f>CR159</f>
        <v>0.92</v>
      </c>
      <c r="CU159" s="1831">
        <f>CT159</f>
        <v>0.92</v>
      </c>
      <c r="CV159" s="1831">
        <f>CU159</f>
        <v>0.92</v>
      </c>
      <c r="CW159" s="1831">
        <f>CV159</f>
        <v>0.92</v>
      </c>
      <c r="CX159" s="1774">
        <f>CX158/CX96</f>
        <v>0.92</v>
      </c>
      <c r="CY159" s="1761"/>
      <c r="CZ159" s="1761"/>
      <c r="DA159" s="1774"/>
      <c r="DB159" s="1774"/>
      <c r="DC159" s="1774"/>
      <c r="DD159" s="1774"/>
      <c r="DE159" s="1774"/>
      <c r="DF159" s="1774"/>
      <c r="DG159" s="1773"/>
      <c r="DH159" s="1773"/>
      <c r="DI159" s="1774">
        <f t="shared" ref="DI159:DN159" si="220">DI158/DI96</f>
        <v>0.8785998890401977</v>
      </c>
      <c r="DJ159" s="1773">
        <f t="shared" si="220"/>
        <v>0.89516820227126637</v>
      </c>
      <c r="DK159" s="1773">
        <f t="shared" si="220"/>
        <v>0.91396396396396395</v>
      </c>
      <c r="DL159" s="1773" t="e">
        <f t="shared" si="220"/>
        <v>#REF!</v>
      </c>
      <c r="DM159" s="1774" t="e">
        <f t="shared" si="220"/>
        <v>#REF!</v>
      </c>
      <c r="DN159" s="1774" t="e">
        <f t="shared" si="220"/>
        <v>#REF!</v>
      </c>
      <c r="DO159" s="1774"/>
      <c r="DP159" s="1774"/>
      <c r="DQ159" s="1774"/>
      <c r="DR159" s="1785"/>
      <c r="DS159" s="264"/>
      <c r="DT159" s="264"/>
      <c r="DU159" s="264"/>
      <c r="DV159" s="264"/>
      <c r="DW159" s="264"/>
      <c r="DX159" s="264"/>
      <c r="DY159" s="264"/>
      <c r="DZ159" s="264"/>
      <c r="EA159" s="264"/>
      <c r="EB159" s="264"/>
      <c r="EC159" s="264"/>
      <c r="ED159" s="264"/>
      <c r="EE159" s="264"/>
      <c r="EF159" s="264"/>
      <c r="EG159" s="264"/>
      <c r="EH159" s="264"/>
      <c r="EI159" s="264"/>
      <c r="EJ159" s="264"/>
      <c r="EK159" s="264"/>
      <c r="EL159" s="264"/>
      <c r="EM159" s="264"/>
      <c r="EN159" s="264"/>
      <c r="EO159" s="264"/>
      <c r="EP159" s="264"/>
      <c r="EQ159" s="264"/>
      <c r="ER159" s="264"/>
    </row>
    <row r="160" spans="1:148" s="934" customFormat="1" ht="3.75" hidden="1" customHeight="1" outlineLevel="1">
      <c r="A160" s="1760"/>
      <c r="B160" s="1761"/>
      <c r="C160" s="1761"/>
      <c r="D160" s="1761"/>
      <c r="E160" s="1761"/>
      <c r="F160" s="1761"/>
      <c r="G160" s="1761"/>
      <c r="H160" s="1761"/>
      <c r="I160" s="1761"/>
      <c r="J160" s="1761"/>
      <c r="K160" s="1761"/>
      <c r="L160" s="1761"/>
      <c r="M160" s="1761"/>
      <c r="N160" s="1761"/>
      <c r="O160" s="1761"/>
      <c r="P160" s="1761"/>
      <c r="Q160" s="1761"/>
      <c r="R160" s="1761"/>
      <c r="S160" s="1761"/>
      <c r="T160" s="1761"/>
      <c r="U160" s="1761"/>
      <c r="V160" s="1761"/>
      <c r="W160" s="1761"/>
      <c r="X160" s="1761"/>
      <c r="Y160" s="1761"/>
      <c r="Z160" s="1761"/>
      <c r="AA160" s="1761"/>
      <c r="AB160" s="1761"/>
      <c r="AC160" s="1761"/>
      <c r="AD160" s="1761"/>
      <c r="AE160" s="1761"/>
      <c r="AF160" s="1761"/>
      <c r="AG160" s="1761"/>
      <c r="AH160" s="1761"/>
      <c r="AI160" s="1761"/>
      <c r="AJ160" s="1761"/>
      <c r="AK160" s="1761"/>
      <c r="AL160" s="1761"/>
      <c r="AM160" s="1761"/>
      <c r="AN160" s="1761"/>
      <c r="AO160" s="1761"/>
      <c r="AP160" s="1761"/>
      <c r="AQ160" s="1761"/>
      <c r="AR160" s="1761"/>
      <c r="AS160" s="1761"/>
      <c r="AT160" s="1761"/>
      <c r="AU160" s="1774"/>
      <c r="AV160" s="1761"/>
      <c r="AW160" s="1761"/>
      <c r="AX160" s="1761"/>
      <c r="AY160" s="1761"/>
      <c r="AZ160" s="1774"/>
      <c r="BA160" s="1785"/>
      <c r="BB160" s="1785"/>
      <c r="BC160" s="1785"/>
      <c r="BD160" s="1785"/>
      <c r="BE160" s="1774"/>
      <c r="BF160" s="1785"/>
      <c r="BG160" s="1785"/>
      <c r="BH160" s="1785"/>
      <c r="BI160" s="1785"/>
      <c r="BJ160" s="1774"/>
      <c r="BK160" s="1761"/>
      <c r="BL160" s="1761"/>
      <c r="BM160" s="1761"/>
      <c r="BN160" s="1785"/>
      <c r="BO160" s="1774"/>
      <c r="BP160" s="1761"/>
      <c r="BQ160" s="1761"/>
      <c r="BR160" s="1761"/>
      <c r="BS160" s="1785"/>
      <c r="BT160" s="1774"/>
      <c r="BU160" s="2804"/>
      <c r="BV160" s="2804"/>
      <c r="BW160" s="2804"/>
      <c r="BX160" s="2804"/>
      <c r="BY160" s="1774"/>
      <c r="BZ160" s="2804"/>
      <c r="CA160" s="2804"/>
      <c r="CB160" s="2804"/>
      <c r="CC160" s="2804"/>
      <c r="CD160" s="1774"/>
      <c r="CE160" s="1761"/>
      <c r="CF160" s="1761"/>
      <c r="CG160" s="1761"/>
      <c r="CH160" s="1761"/>
      <c r="CI160" s="1774"/>
      <c r="CJ160" s="1761"/>
      <c r="CK160" s="1761"/>
      <c r="CL160" s="1761"/>
      <c r="CM160" s="1761"/>
      <c r="CN160" s="1774"/>
      <c r="CO160" s="1761"/>
      <c r="CP160" s="1761"/>
      <c r="CQ160" s="1761"/>
      <c r="CR160" s="1761"/>
      <c r="CS160" s="1774"/>
      <c r="CT160" s="1761"/>
      <c r="CU160" s="1761"/>
      <c r="CV160" s="1761"/>
      <c r="CW160" s="1761"/>
      <c r="CX160" s="1774"/>
      <c r="CY160" s="1761"/>
      <c r="CZ160" s="1761"/>
      <c r="DA160" s="1774"/>
      <c r="DB160" s="1774"/>
      <c r="DC160" s="1774"/>
      <c r="DD160" s="1774"/>
      <c r="DE160" s="1774"/>
      <c r="DF160" s="1774"/>
      <c r="DG160" s="1773"/>
      <c r="DH160" s="1773"/>
      <c r="DI160" s="1774"/>
      <c r="DJ160" s="1773"/>
      <c r="DK160" s="1773"/>
      <c r="DL160" s="1773"/>
      <c r="DM160" s="1774"/>
      <c r="DN160" s="1774"/>
      <c r="DO160" s="1774"/>
      <c r="DP160" s="1774"/>
      <c r="DQ160" s="1774"/>
      <c r="DR160" s="1785"/>
      <c r="DS160" s="264"/>
      <c r="DT160" s="264"/>
      <c r="DU160" s="264"/>
      <c r="DV160" s="264"/>
      <c r="DW160" s="264"/>
      <c r="DX160" s="264"/>
      <c r="DY160" s="264"/>
      <c r="DZ160" s="264"/>
      <c r="EA160" s="264"/>
      <c r="EB160" s="264"/>
      <c r="EC160" s="264"/>
      <c r="ED160" s="264"/>
      <c r="EE160" s="264"/>
      <c r="EF160" s="264"/>
      <c r="EG160" s="264"/>
      <c r="EH160" s="264"/>
      <c r="EI160" s="264"/>
      <c r="EJ160" s="264"/>
      <c r="EK160" s="264"/>
      <c r="EL160" s="264"/>
      <c r="EM160" s="264"/>
      <c r="EN160" s="264"/>
      <c r="EO160" s="264"/>
      <c r="EP160" s="264"/>
      <c r="EQ160" s="264"/>
      <c r="ER160" s="264"/>
    </row>
    <row r="161" spans="1:148" s="934" customFormat="1" ht="12" hidden="1" outlineLevel="2">
      <c r="A161" s="1760" t="s">
        <v>999</v>
      </c>
      <c r="B161" s="1761"/>
      <c r="C161" s="1761"/>
      <c r="D161" s="1761"/>
      <c r="E161" s="1761"/>
      <c r="F161" s="1761"/>
      <c r="G161" s="1761"/>
      <c r="H161" s="1761"/>
      <c r="I161" s="1761"/>
      <c r="J161" s="1761"/>
      <c r="K161" s="1761"/>
      <c r="L161" s="1761"/>
      <c r="M161" s="1761"/>
      <c r="N161" s="1761"/>
      <c r="O161" s="1761"/>
      <c r="P161" s="1761"/>
      <c r="Q161" s="1761"/>
      <c r="R161" s="1761"/>
      <c r="S161" s="1761"/>
      <c r="T161" s="1761"/>
      <c r="U161" s="1761"/>
      <c r="V161" s="1761"/>
      <c r="W161" s="1761"/>
      <c r="X161" s="1761"/>
      <c r="Y161" s="1761"/>
      <c r="Z161" s="1761"/>
      <c r="AA161" s="1761"/>
      <c r="AB161" s="1761"/>
      <c r="AC161" s="1761"/>
      <c r="AD161" s="1761"/>
      <c r="AE161" s="1761"/>
      <c r="AF161" s="1761"/>
      <c r="AG161" s="1761"/>
      <c r="AH161" s="1761"/>
      <c r="AI161" s="1761"/>
      <c r="AJ161" s="1761"/>
      <c r="AK161" s="1761"/>
      <c r="AL161" s="1761"/>
      <c r="AM161" s="1761"/>
      <c r="AN161" s="1761"/>
      <c r="AO161" s="1761"/>
      <c r="AP161" s="1761"/>
      <c r="AQ161" s="1761"/>
      <c r="AR161" s="1761"/>
      <c r="AS161" s="1761"/>
      <c r="AT161" s="1761"/>
      <c r="AU161" s="1801"/>
      <c r="AV161" s="1761"/>
      <c r="AW161" s="1761"/>
      <c r="AX161" s="1761"/>
      <c r="AY161" s="1761"/>
      <c r="AZ161" s="1801"/>
      <c r="BA161" s="1828">
        <f t="shared" ref="BA161:CI161" si="221">BA101-BA162</f>
        <v>772</v>
      </c>
      <c r="BB161" s="1828">
        <f t="shared" si="221"/>
        <v>2370</v>
      </c>
      <c r="BC161" s="1828">
        <f t="shared" si="221"/>
        <v>558</v>
      </c>
      <c r="BD161" s="1828">
        <f t="shared" si="221"/>
        <v>545</v>
      </c>
      <c r="BE161" s="1801">
        <f t="shared" si="221"/>
        <v>4245</v>
      </c>
      <c r="BF161" s="1828">
        <f t="shared" si="221"/>
        <v>636</v>
      </c>
      <c r="BG161" s="1828">
        <f t="shared" si="221"/>
        <v>2046</v>
      </c>
      <c r="BH161" s="1828">
        <f t="shared" si="221"/>
        <v>1009</v>
      </c>
      <c r="BI161" s="1828">
        <f t="shared" si="221"/>
        <v>1814</v>
      </c>
      <c r="BJ161" s="1801">
        <f t="shared" si="221"/>
        <v>5505</v>
      </c>
      <c r="BK161" s="1765">
        <f t="shared" si="221"/>
        <v>1204</v>
      </c>
      <c r="BL161" s="1765">
        <f t="shared" si="221"/>
        <v>4059</v>
      </c>
      <c r="BM161" s="1765">
        <f t="shared" si="221"/>
        <v>1614</v>
      </c>
      <c r="BN161" s="1828">
        <f t="shared" si="221"/>
        <v>1324</v>
      </c>
      <c r="BO161" s="1801">
        <f t="shared" si="221"/>
        <v>8201</v>
      </c>
      <c r="BP161" s="1765">
        <f t="shared" si="221"/>
        <v>1974</v>
      </c>
      <c r="BQ161" s="1765">
        <f t="shared" si="221"/>
        <v>3537</v>
      </c>
      <c r="BR161" s="1765">
        <f t="shared" si="221"/>
        <v>1386</v>
      </c>
      <c r="BS161" s="1828">
        <f t="shared" si="221"/>
        <v>1498</v>
      </c>
      <c r="BT161" s="1829">
        <f t="shared" si="221"/>
        <v>8395</v>
      </c>
      <c r="BU161" s="2803" t="e">
        <f t="shared" si="221"/>
        <v>#REF!</v>
      </c>
      <c r="BV161" s="2803" t="e">
        <f t="shared" si="221"/>
        <v>#REF!</v>
      </c>
      <c r="BW161" s="2803" t="e">
        <f t="shared" si="221"/>
        <v>#REF!</v>
      </c>
      <c r="BX161" s="2803" t="e">
        <f t="shared" si="221"/>
        <v>#REF!</v>
      </c>
      <c r="BY161" s="1829" t="e">
        <f t="shared" si="221"/>
        <v>#REF!</v>
      </c>
      <c r="BZ161" s="2803" t="e">
        <f t="shared" si="221"/>
        <v>#REF!</v>
      </c>
      <c r="CA161" s="2803" t="e">
        <f t="shared" si="221"/>
        <v>#REF!</v>
      </c>
      <c r="CB161" s="2803" t="e">
        <f t="shared" si="221"/>
        <v>#REF!</v>
      </c>
      <c r="CC161" s="2803" t="e">
        <f t="shared" si="221"/>
        <v>#REF!</v>
      </c>
      <c r="CD161" s="1829" t="e">
        <f t="shared" si="221"/>
        <v>#REF!</v>
      </c>
      <c r="CE161" s="1765">
        <f t="shared" si="221"/>
        <v>0</v>
      </c>
      <c r="CF161" s="1765">
        <f t="shared" si="221"/>
        <v>0</v>
      </c>
      <c r="CG161" s="1765">
        <f t="shared" si="221"/>
        <v>0</v>
      </c>
      <c r="CH161" s="1765">
        <f t="shared" si="221"/>
        <v>0</v>
      </c>
      <c r="CI161" s="1829">
        <f t="shared" si="221"/>
        <v>0</v>
      </c>
      <c r="CJ161" s="1765">
        <f t="shared" ref="CJ161:CS161" si="222">CJ101-CJ162</f>
        <v>0</v>
      </c>
      <c r="CK161" s="1765">
        <f t="shared" si="222"/>
        <v>0</v>
      </c>
      <c r="CL161" s="1765">
        <f t="shared" si="222"/>
        <v>0</v>
      </c>
      <c r="CM161" s="1765">
        <f t="shared" si="222"/>
        <v>0</v>
      </c>
      <c r="CN161" s="1829">
        <f t="shared" si="222"/>
        <v>0</v>
      </c>
      <c r="CO161" s="1765">
        <f t="shared" si="222"/>
        <v>0</v>
      </c>
      <c r="CP161" s="1765">
        <f t="shared" si="222"/>
        <v>0</v>
      </c>
      <c r="CQ161" s="1765">
        <f t="shared" si="222"/>
        <v>0</v>
      </c>
      <c r="CR161" s="1765">
        <f t="shared" si="222"/>
        <v>0</v>
      </c>
      <c r="CS161" s="1829">
        <f t="shared" si="222"/>
        <v>0</v>
      </c>
      <c r="CT161" s="1765">
        <f t="shared" ref="CT161:CX161" si="223">CT101-CT162</f>
        <v>0</v>
      </c>
      <c r="CU161" s="1765">
        <f t="shared" si="223"/>
        <v>0</v>
      </c>
      <c r="CV161" s="1765">
        <f t="shared" si="223"/>
        <v>0</v>
      </c>
      <c r="CW161" s="1765">
        <f t="shared" si="223"/>
        <v>6764.7999999999993</v>
      </c>
      <c r="CX161" s="1829">
        <f t="shared" si="223"/>
        <v>6764.7999999999993</v>
      </c>
      <c r="CY161" s="1761"/>
      <c r="CZ161" s="1761"/>
      <c r="DA161" s="1801"/>
      <c r="DB161" s="1801"/>
      <c r="DC161" s="1801"/>
      <c r="DD161" s="1801"/>
      <c r="DE161" s="1801"/>
      <c r="DF161" s="1801"/>
      <c r="DG161" s="1804"/>
      <c r="DH161" s="1804"/>
      <c r="DI161" s="1762">
        <f>SUM(BC161:BD161,BF161:BG161)</f>
        <v>3785</v>
      </c>
      <c r="DJ161" s="1766">
        <f>SUM(BH161:BI161,BK161:BL161)</f>
        <v>8086</v>
      </c>
      <c r="DK161" s="1766">
        <f>SUM(BM161:BN161,BP161:BQ161)</f>
        <v>8449</v>
      </c>
      <c r="DL161" s="1766" t="e">
        <f>SUM(BU161:BV161,BR161:BS161)</f>
        <v>#REF!</v>
      </c>
      <c r="DM161" s="1762" t="e">
        <f>SUM(BW161:BX161,BZ161:CA161)</f>
        <v>#REF!</v>
      </c>
      <c r="DN161" s="1762" t="e">
        <f>SUM(CB161:CC161,CE161:CF161)</f>
        <v>#REF!</v>
      </c>
      <c r="DO161" s="1762"/>
      <c r="DP161" s="1762"/>
      <c r="DQ161" s="1762"/>
      <c r="DR161" s="1795"/>
      <c r="DS161" s="264"/>
      <c r="DT161" s="264"/>
      <c r="DU161" s="264"/>
      <c r="DV161" s="264"/>
      <c r="DW161" s="264"/>
      <c r="DX161" s="264"/>
      <c r="DY161" s="264"/>
      <c r="DZ161" s="264"/>
      <c r="EA161" s="264"/>
      <c r="EB161" s="264"/>
      <c r="EC161" s="264"/>
      <c r="ED161" s="264"/>
      <c r="EE161" s="264"/>
      <c r="EF161" s="264"/>
      <c r="EG161" s="264"/>
      <c r="EH161" s="264"/>
      <c r="EI161" s="264"/>
      <c r="EJ161" s="264"/>
      <c r="EK161" s="264"/>
      <c r="EL161" s="264"/>
      <c r="EM161" s="264"/>
      <c r="EN161" s="264"/>
      <c r="EO161" s="264"/>
      <c r="EP161" s="264"/>
      <c r="EQ161" s="264"/>
      <c r="ER161" s="264"/>
    </row>
    <row r="162" spans="1:148" s="934" customFormat="1" ht="12" hidden="1" outlineLevel="1">
      <c r="A162" s="1760" t="s">
        <v>1000</v>
      </c>
      <c r="B162" s="1761"/>
      <c r="C162" s="1761"/>
      <c r="D162" s="1761"/>
      <c r="E162" s="1761"/>
      <c r="F162" s="1761"/>
      <c r="G162" s="1761"/>
      <c r="H162" s="1761"/>
      <c r="I162" s="1761"/>
      <c r="J162" s="1761"/>
      <c r="K162" s="1761"/>
      <c r="L162" s="1761"/>
      <c r="M162" s="1761"/>
      <c r="N162" s="1761"/>
      <c r="O162" s="1761"/>
      <c r="P162" s="1761"/>
      <c r="Q162" s="1761"/>
      <c r="R162" s="1761"/>
      <c r="S162" s="1761"/>
      <c r="T162" s="1761"/>
      <c r="U162" s="1761"/>
      <c r="V162" s="1761"/>
      <c r="W162" s="1761"/>
      <c r="X162" s="1761"/>
      <c r="Y162" s="1761"/>
      <c r="Z162" s="1761"/>
      <c r="AA162" s="1761"/>
      <c r="AB162" s="1761"/>
      <c r="AC162" s="1761"/>
      <c r="AD162" s="1761"/>
      <c r="AE162" s="1761"/>
      <c r="AF162" s="1761"/>
      <c r="AG162" s="1761"/>
      <c r="AH162" s="1761"/>
      <c r="AI162" s="1761"/>
      <c r="AJ162" s="1761"/>
      <c r="AK162" s="1761"/>
      <c r="AL162" s="1761"/>
      <c r="AM162" s="1761"/>
      <c r="AN162" s="1761"/>
      <c r="AO162" s="1761"/>
      <c r="AP162" s="1761"/>
      <c r="AQ162" s="1761"/>
      <c r="AR162" s="1761"/>
      <c r="AS162" s="1761"/>
      <c r="AT162" s="1761"/>
      <c r="AU162" s="1801"/>
      <c r="AV162" s="1761"/>
      <c r="AW162" s="1761"/>
      <c r="AX162" s="1761"/>
      <c r="AY162" s="1761"/>
      <c r="AZ162" s="1801"/>
      <c r="BA162" s="1802">
        <v>594</v>
      </c>
      <c r="BB162" s="1802">
        <v>1045</v>
      </c>
      <c r="BC162" s="1802">
        <v>395</v>
      </c>
      <c r="BD162" s="1802">
        <v>461</v>
      </c>
      <c r="BE162" s="1801">
        <f>SUM(BA162:BD162)</f>
        <v>2495</v>
      </c>
      <c r="BF162" s="1802">
        <v>448</v>
      </c>
      <c r="BG162" s="1802">
        <v>762</v>
      </c>
      <c r="BH162" s="1802">
        <v>393</v>
      </c>
      <c r="BI162" s="1802">
        <v>-647</v>
      </c>
      <c r="BJ162" s="1801">
        <f>SUM(BF162:BI162)</f>
        <v>956</v>
      </c>
      <c r="BK162" s="1764">
        <v>205</v>
      </c>
      <c r="BL162" s="1764">
        <v>411</v>
      </c>
      <c r="BM162" s="1764">
        <v>258</v>
      </c>
      <c r="BN162" s="1802">
        <v>18</v>
      </c>
      <c r="BO162" s="1801">
        <f>SUM(BK162:BN162)</f>
        <v>892</v>
      </c>
      <c r="BP162" s="1764">
        <v>479</v>
      </c>
      <c r="BQ162" s="1764">
        <v>460</v>
      </c>
      <c r="BR162" s="1764">
        <v>414</v>
      </c>
      <c r="BS162" s="1802">
        <v>435</v>
      </c>
      <c r="BT162" s="1829">
        <f>SUM(BP162:BS162)</f>
        <v>1788</v>
      </c>
      <c r="BU162" s="2802" t="e">
        <f>BU163*BU101</f>
        <v>#REF!</v>
      </c>
      <c r="BV162" s="2802" t="e">
        <f>BV163*BV101</f>
        <v>#REF!</v>
      </c>
      <c r="BW162" s="2803" t="e">
        <f>BW163*BW101</f>
        <v>#REF!</v>
      </c>
      <c r="BX162" s="2803" t="e">
        <f>BX163*BX101</f>
        <v>#REF!</v>
      </c>
      <c r="BY162" s="1829" t="e">
        <f>SUM(BU162:BX162)</f>
        <v>#REF!</v>
      </c>
      <c r="BZ162" s="2803" t="e">
        <f>BZ163*BZ101</f>
        <v>#REF!</v>
      </c>
      <c r="CA162" s="2803" t="e">
        <f>CA163*CA101</f>
        <v>#REF!</v>
      </c>
      <c r="CB162" s="2803" t="e">
        <f>CB163*CB101</f>
        <v>#REF!</v>
      </c>
      <c r="CC162" s="2803" t="e">
        <f>CC163*CC101</f>
        <v>#REF!</v>
      </c>
      <c r="CD162" s="1829" t="e">
        <f>SUM(BZ162:CC162)</f>
        <v>#REF!</v>
      </c>
      <c r="CE162" s="1765">
        <f>CE163*CE101</f>
        <v>0</v>
      </c>
      <c r="CF162" s="1765">
        <f>CF163*CF101</f>
        <v>0</v>
      </c>
      <c r="CG162" s="1765">
        <f>CG163*CG101</f>
        <v>0</v>
      </c>
      <c r="CH162" s="1765">
        <f>CH163*CH101</f>
        <v>0</v>
      </c>
      <c r="CI162" s="1829">
        <f>SUM(CE162:CH162)</f>
        <v>0</v>
      </c>
      <c r="CJ162" s="1765">
        <f>CJ163*CJ101</f>
        <v>0</v>
      </c>
      <c r="CK162" s="1765">
        <f>CK163*CK101</f>
        <v>0</v>
      </c>
      <c r="CL162" s="1765">
        <f>CL163*CL101</f>
        <v>0</v>
      </c>
      <c r="CM162" s="1765">
        <f>CM163*CM101</f>
        <v>0</v>
      </c>
      <c r="CN162" s="1829">
        <f>SUM(CJ162:CM162)</f>
        <v>0</v>
      </c>
      <c r="CO162" s="1765">
        <f>CO163*CO101</f>
        <v>0</v>
      </c>
      <c r="CP162" s="1765">
        <f>CP163*CP101</f>
        <v>0</v>
      </c>
      <c r="CQ162" s="1765">
        <f>CQ163*CQ101</f>
        <v>0</v>
      </c>
      <c r="CR162" s="1765">
        <f>CR163*CR101</f>
        <v>0</v>
      </c>
      <c r="CS162" s="1829">
        <f>SUM(CO162:CR162)</f>
        <v>0</v>
      </c>
      <c r="CT162" s="1765">
        <f>CT163*CT101</f>
        <v>0</v>
      </c>
      <c r="CU162" s="1765">
        <f>CU163*CU101</f>
        <v>0</v>
      </c>
      <c r="CV162" s="1765">
        <f>CV163*CV101</f>
        <v>0</v>
      </c>
      <c r="CW162" s="1765">
        <f>CW163*CW101</f>
        <v>2899.2000000000003</v>
      </c>
      <c r="CX162" s="1829">
        <f>SUM(CT162:CW162)</f>
        <v>2899.2000000000003</v>
      </c>
      <c r="CY162" s="1761"/>
      <c r="CZ162" s="1761"/>
      <c r="DA162" s="1801"/>
      <c r="DB162" s="1801"/>
      <c r="DC162" s="1801"/>
      <c r="DD162" s="1801"/>
      <c r="DE162" s="1801"/>
      <c r="DF162" s="1801"/>
      <c r="DG162" s="1804"/>
      <c r="DH162" s="1804"/>
      <c r="DI162" s="1762">
        <f>SUM(BC162:BD162,BF162:BG162)</f>
        <v>2066</v>
      </c>
      <c r="DJ162" s="1766">
        <f>SUM(BH162:BI162,BK162:BL162)</f>
        <v>362</v>
      </c>
      <c r="DK162" s="1766">
        <f>SUM(BM162:BN162,BP162:BQ162)</f>
        <v>1215</v>
      </c>
      <c r="DL162" s="1766" t="e">
        <f>SUM(BU162:BV162,BR162:BS162)</f>
        <v>#REF!</v>
      </c>
      <c r="DM162" s="1762" t="e">
        <f>SUM(BW162:BX162,BZ162:CA162)</f>
        <v>#REF!</v>
      </c>
      <c r="DN162" s="1762" t="e">
        <f>SUM(CB162:CC162,CE162:CF162)</f>
        <v>#REF!</v>
      </c>
      <c r="DO162" s="1762"/>
      <c r="DP162" s="1762"/>
      <c r="DQ162" s="1762"/>
      <c r="DR162" s="1795"/>
      <c r="DS162" s="264"/>
      <c r="DT162" s="264"/>
      <c r="DU162" s="264"/>
      <c r="DV162" s="264"/>
      <c r="DW162" s="264"/>
      <c r="DX162" s="264"/>
      <c r="DY162" s="264"/>
      <c r="DZ162" s="264"/>
      <c r="EA162" s="264"/>
      <c r="EB162" s="264"/>
      <c r="EC162" s="264"/>
      <c r="ED162" s="264"/>
      <c r="EE162" s="264"/>
      <c r="EF162" s="264"/>
      <c r="EG162" s="264"/>
      <c r="EH162" s="264"/>
      <c r="EI162" s="264"/>
      <c r="EJ162" s="264"/>
      <c r="EK162" s="264"/>
      <c r="EL162" s="264"/>
      <c r="EM162" s="264"/>
      <c r="EN162" s="264"/>
      <c r="EO162" s="264"/>
      <c r="EP162" s="264"/>
      <c r="EQ162" s="264"/>
      <c r="ER162" s="264"/>
    </row>
    <row r="163" spans="1:148" s="934" customFormat="1" ht="12" hidden="1" outlineLevel="1">
      <c r="A163" s="1760" t="s">
        <v>1001</v>
      </c>
      <c r="B163" s="1761"/>
      <c r="C163" s="1761"/>
      <c r="D163" s="1761"/>
      <c r="E163" s="1761"/>
      <c r="F163" s="1761"/>
      <c r="G163" s="1761"/>
      <c r="H163" s="1761"/>
      <c r="I163" s="1761"/>
      <c r="J163" s="1761"/>
      <c r="K163" s="1761"/>
      <c r="L163" s="1761"/>
      <c r="M163" s="1761"/>
      <c r="N163" s="1761"/>
      <c r="O163" s="1761"/>
      <c r="P163" s="1761"/>
      <c r="Q163" s="1761"/>
      <c r="R163" s="1761"/>
      <c r="S163" s="1761"/>
      <c r="T163" s="1761"/>
      <c r="U163" s="1761"/>
      <c r="V163" s="1761"/>
      <c r="W163" s="1761"/>
      <c r="X163" s="1761"/>
      <c r="Y163" s="1761"/>
      <c r="Z163" s="1761"/>
      <c r="AA163" s="1761"/>
      <c r="AB163" s="1761"/>
      <c r="AC163" s="1761"/>
      <c r="AD163" s="1761"/>
      <c r="AE163" s="1761"/>
      <c r="AF163" s="1761"/>
      <c r="AG163" s="1761"/>
      <c r="AH163" s="1761"/>
      <c r="AI163" s="1761"/>
      <c r="AJ163" s="1761"/>
      <c r="AK163" s="1761"/>
      <c r="AL163" s="1761"/>
      <c r="AM163" s="1761"/>
      <c r="AN163" s="1761"/>
      <c r="AO163" s="1761"/>
      <c r="AP163" s="1761"/>
      <c r="AQ163" s="1761"/>
      <c r="AR163" s="1761"/>
      <c r="AS163" s="1761"/>
      <c r="AT163" s="1761"/>
      <c r="AU163" s="1774"/>
      <c r="AV163" s="1761"/>
      <c r="AW163" s="1761"/>
      <c r="AX163" s="1761"/>
      <c r="AY163" s="1761"/>
      <c r="AZ163" s="1774"/>
      <c r="BA163" s="1786">
        <f t="shared" ref="BA163:BT163" si="224">BA162/BA101</f>
        <v>0.43484626647144947</v>
      </c>
      <c r="BB163" s="1786">
        <f t="shared" si="224"/>
        <v>0.30600292825768666</v>
      </c>
      <c r="BC163" s="1786">
        <f t="shared" si="224"/>
        <v>0.41448058761804829</v>
      </c>
      <c r="BD163" s="1786">
        <f t="shared" si="224"/>
        <v>0.45825049701789267</v>
      </c>
      <c r="BE163" s="1774">
        <f t="shared" si="224"/>
        <v>0.37017804154302669</v>
      </c>
      <c r="BF163" s="1786">
        <f t="shared" si="224"/>
        <v>0.41328413284132842</v>
      </c>
      <c r="BG163" s="1786">
        <f t="shared" si="224"/>
        <v>0.27136752136752135</v>
      </c>
      <c r="BH163" s="1786">
        <f t="shared" si="224"/>
        <v>0.28031383737517834</v>
      </c>
      <c r="BI163" s="1786">
        <f t="shared" si="224"/>
        <v>-0.55441302485004285</v>
      </c>
      <c r="BJ163" s="1774">
        <f t="shared" si="224"/>
        <v>0.14796471134499303</v>
      </c>
      <c r="BK163" s="1786">
        <f t="shared" si="224"/>
        <v>0.14549325762952448</v>
      </c>
      <c r="BL163" s="1786">
        <f t="shared" si="224"/>
        <v>9.1946308724832213E-2</v>
      </c>
      <c r="BM163" s="1786">
        <f t="shared" si="224"/>
        <v>0.13782051282051283</v>
      </c>
      <c r="BN163" s="1786">
        <f t="shared" si="224"/>
        <v>1.3412816691505217E-2</v>
      </c>
      <c r="BO163" s="1774">
        <f t="shared" si="224"/>
        <v>9.809743758935445E-2</v>
      </c>
      <c r="BP163" s="1786">
        <f t="shared" si="224"/>
        <v>0.19527109661638808</v>
      </c>
      <c r="BQ163" s="1786">
        <f t="shared" si="224"/>
        <v>0.11508631473605203</v>
      </c>
      <c r="BR163" s="1786">
        <f t="shared" si="224"/>
        <v>0.23</v>
      </c>
      <c r="BS163" s="1786">
        <f t="shared" si="224"/>
        <v>0.22503879979306776</v>
      </c>
      <c r="BT163" s="1774">
        <f t="shared" si="224"/>
        <v>0.17558676225081019</v>
      </c>
      <c r="BU163" s="1786">
        <v>0.21</v>
      </c>
      <c r="BV163" s="1786">
        <v>0.14000000000000001</v>
      </c>
      <c r="BW163" s="1831">
        <v>0.25</v>
      </c>
      <c r="BX163" s="1831">
        <v>0.27</v>
      </c>
      <c r="BY163" s="1774" t="e">
        <f>BY162/BY101</f>
        <v>#REF!</v>
      </c>
      <c r="BZ163" s="1832">
        <f>BU163+1%</f>
        <v>0.22</v>
      </c>
      <c r="CA163" s="1832">
        <f>BV163+1%</f>
        <v>0.15000000000000002</v>
      </c>
      <c r="CB163" s="1832">
        <f>BW163+1%</f>
        <v>0.26</v>
      </c>
      <c r="CC163" s="1832">
        <f>BX163+1%</f>
        <v>0.28000000000000003</v>
      </c>
      <c r="CD163" s="1774" t="e">
        <f>CD162/CD101</f>
        <v>#REF!</v>
      </c>
      <c r="CE163" s="1832">
        <f>BZ163+0.5%</f>
        <v>0.22500000000000001</v>
      </c>
      <c r="CF163" s="1832">
        <f>CA163+0.5%</f>
        <v>0.15500000000000003</v>
      </c>
      <c r="CG163" s="1832">
        <f>CB163+0.5%</f>
        <v>0.26500000000000001</v>
      </c>
      <c r="CH163" s="1832">
        <f>CC163+0.5%</f>
        <v>0.28500000000000003</v>
      </c>
      <c r="CI163" s="1774" t="e">
        <f>CI162/CI101</f>
        <v>#DIV/0!</v>
      </c>
      <c r="CJ163" s="1832">
        <f>CE163+0.5%</f>
        <v>0.23</v>
      </c>
      <c r="CK163" s="1832">
        <f>CF163+0.5%</f>
        <v>0.16000000000000003</v>
      </c>
      <c r="CL163" s="1832">
        <f>CG163+0.5%</f>
        <v>0.27</v>
      </c>
      <c r="CM163" s="1832">
        <f>CH163+0.5%</f>
        <v>0.29000000000000004</v>
      </c>
      <c r="CN163" s="1774" t="e">
        <f>CN162/CN101</f>
        <v>#DIV/0!</v>
      </c>
      <c r="CO163" s="1832">
        <f>CJ163+0.5%</f>
        <v>0.23500000000000001</v>
      </c>
      <c r="CP163" s="1832">
        <f>CK163+0.5%</f>
        <v>0.16500000000000004</v>
      </c>
      <c r="CQ163" s="1832">
        <f>CL163+0.5%</f>
        <v>0.27500000000000002</v>
      </c>
      <c r="CR163" s="1832">
        <f>CM163+0.5%</f>
        <v>0.29500000000000004</v>
      </c>
      <c r="CS163" s="1774" t="e">
        <f>CS162/CS101</f>
        <v>#DIV/0!</v>
      </c>
      <c r="CT163" s="1832">
        <f>CO163+0.5%</f>
        <v>0.24000000000000002</v>
      </c>
      <c r="CU163" s="1832">
        <f>CP163+0.5%</f>
        <v>0.17000000000000004</v>
      </c>
      <c r="CV163" s="1832">
        <f>CQ163+0.5%</f>
        <v>0.28000000000000003</v>
      </c>
      <c r="CW163" s="1832">
        <f>CR163+0.5%</f>
        <v>0.30000000000000004</v>
      </c>
      <c r="CX163" s="1774">
        <f>CX162/CX101</f>
        <v>0.30000000000000004</v>
      </c>
      <c r="CY163" s="1761"/>
      <c r="CZ163" s="1761"/>
      <c r="DA163" s="1774"/>
      <c r="DB163" s="1774"/>
      <c r="DC163" s="1774"/>
      <c r="DD163" s="1774"/>
      <c r="DE163" s="1774"/>
      <c r="DF163" s="1774"/>
      <c r="DG163" s="1773"/>
      <c r="DH163" s="1773"/>
      <c r="DI163" s="1774">
        <f t="shared" ref="DI163:DN163" si="225">DI162/DI101</f>
        <v>0.35310203384036914</v>
      </c>
      <c r="DJ163" s="1773">
        <f t="shared" si="225"/>
        <v>4.2850378787878785E-2</v>
      </c>
      <c r="DK163" s="1773">
        <f t="shared" si="225"/>
        <v>0.12572433774834438</v>
      </c>
      <c r="DL163" s="1773" t="e">
        <f t="shared" si="225"/>
        <v>#REF!</v>
      </c>
      <c r="DM163" s="1774" t="e">
        <f t="shared" si="225"/>
        <v>#REF!</v>
      </c>
      <c r="DN163" s="1774" t="e">
        <f t="shared" si="225"/>
        <v>#REF!</v>
      </c>
      <c r="DO163" s="1774"/>
      <c r="DP163" s="1774"/>
      <c r="DQ163" s="1774"/>
      <c r="DR163" s="1785"/>
      <c r="DS163" s="264"/>
      <c r="DT163" s="264"/>
      <c r="DU163" s="264"/>
      <c r="DV163" s="264"/>
      <c r="DW163" s="264"/>
      <c r="DX163" s="264"/>
      <c r="DY163" s="264"/>
      <c r="DZ163" s="264"/>
      <c r="EA163" s="264"/>
      <c r="EB163" s="264"/>
      <c r="EC163" s="264"/>
      <c r="ED163" s="264"/>
      <c r="EE163" s="264"/>
      <c r="EF163" s="264"/>
      <c r="EG163" s="264"/>
      <c r="EH163" s="264"/>
      <c r="EI163" s="264"/>
      <c r="EJ163" s="264"/>
      <c r="EK163" s="264"/>
      <c r="EL163" s="264"/>
      <c r="EM163" s="264"/>
      <c r="EN163" s="264"/>
      <c r="EO163" s="264"/>
      <c r="EP163" s="264"/>
      <c r="EQ163" s="264"/>
      <c r="ER163" s="264"/>
    </row>
    <row r="164" spans="1:148" s="934" customFormat="1" ht="3.75" hidden="1" customHeight="1" outlineLevel="1">
      <c r="A164" s="1760"/>
      <c r="B164" s="1761"/>
      <c r="C164" s="1761"/>
      <c r="D164" s="1761"/>
      <c r="E164" s="1761"/>
      <c r="F164" s="1761"/>
      <c r="G164" s="1761"/>
      <c r="H164" s="1761"/>
      <c r="I164" s="1761"/>
      <c r="J164" s="1761"/>
      <c r="K164" s="1761"/>
      <c r="L164" s="1761"/>
      <c r="M164" s="1761"/>
      <c r="N164" s="1761"/>
      <c r="O164" s="1761"/>
      <c r="P164" s="1761"/>
      <c r="Q164" s="1761"/>
      <c r="R164" s="1761"/>
      <c r="S164" s="1761"/>
      <c r="T164" s="1761"/>
      <c r="U164" s="1761"/>
      <c r="V164" s="1761"/>
      <c r="W164" s="1761"/>
      <c r="X164" s="1761"/>
      <c r="Y164" s="1761"/>
      <c r="Z164" s="1761"/>
      <c r="AA164" s="1761"/>
      <c r="AB164" s="1761"/>
      <c r="AC164" s="1761"/>
      <c r="AD164" s="1761"/>
      <c r="AE164" s="1761"/>
      <c r="AF164" s="1761"/>
      <c r="AG164" s="1761"/>
      <c r="AH164" s="1761"/>
      <c r="AI164" s="1761"/>
      <c r="AJ164" s="1761"/>
      <c r="AK164" s="1761"/>
      <c r="AL164" s="1761"/>
      <c r="AM164" s="1761"/>
      <c r="AN164" s="1761"/>
      <c r="AO164" s="1761"/>
      <c r="AP164" s="1761"/>
      <c r="AQ164" s="1761"/>
      <c r="AR164" s="1761"/>
      <c r="AS164" s="1761"/>
      <c r="AT164" s="1761"/>
      <c r="AU164" s="1774"/>
      <c r="AV164" s="1761"/>
      <c r="AW164" s="1761"/>
      <c r="AX164" s="1761"/>
      <c r="AY164" s="1761"/>
      <c r="AZ164" s="1774"/>
      <c r="BA164" s="1785"/>
      <c r="BB164" s="1785"/>
      <c r="BC164" s="1785"/>
      <c r="BD164" s="1785"/>
      <c r="BE164" s="1774"/>
      <c r="BF164" s="1785"/>
      <c r="BG164" s="1785"/>
      <c r="BH164" s="1785"/>
      <c r="BI164" s="1785"/>
      <c r="BJ164" s="1774"/>
      <c r="BK164" s="1761"/>
      <c r="BL164" s="1761"/>
      <c r="BM164" s="1761"/>
      <c r="BN164" s="1785"/>
      <c r="BO164" s="1774"/>
      <c r="BP164" s="1761"/>
      <c r="BQ164" s="1761"/>
      <c r="BR164" s="1761"/>
      <c r="BS164" s="1785"/>
      <c r="BT164" s="1774"/>
      <c r="BU164" s="2804"/>
      <c r="BV164" s="2804"/>
      <c r="BW164" s="2804"/>
      <c r="BX164" s="2804"/>
      <c r="BY164" s="1774"/>
      <c r="BZ164" s="2804"/>
      <c r="CA164" s="2804"/>
      <c r="CB164" s="2804"/>
      <c r="CC164" s="2804"/>
      <c r="CD164" s="1774"/>
      <c r="CE164" s="1761"/>
      <c r="CF164" s="1761"/>
      <c r="CG164" s="1761"/>
      <c r="CH164" s="1761"/>
      <c r="CI164" s="1774"/>
      <c r="CJ164" s="1761"/>
      <c r="CK164" s="1761"/>
      <c r="CL164" s="1761"/>
      <c r="CM164" s="1761"/>
      <c r="CN164" s="1774"/>
      <c r="CO164" s="1761"/>
      <c r="CP164" s="1761"/>
      <c r="CQ164" s="1761"/>
      <c r="CR164" s="1761"/>
      <c r="CS164" s="1774"/>
      <c r="CT164" s="1761"/>
      <c r="CU164" s="1761"/>
      <c r="CV164" s="1761"/>
      <c r="CW164" s="1761"/>
      <c r="CX164" s="1774"/>
      <c r="CY164" s="1761"/>
      <c r="CZ164" s="1761"/>
      <c r="DA164" s="1774"/>
      <c r="DB164" s="1774"/>
      <c r="DC164" s="1774"/>
      <c r="DD164" s="1774"/>
      <c r="DE164" s="1774"/>
      <c r="DF164" s="1774"/>
      <c r="DG164" s="1773"/>
      <c r="DH164" s="1773"/>
      <c r="DI164" s="1774"/>
      <c r="DJ164" s="1773"/>
      <c r="DK164" s="1773"/>
      <c r="DL164" s="1773"/>
      <c r="DM164" s="1774"/>
      <c r="DN164" s="1774"/>
      <c r="DO164" s="1774"/>
      <c r="DP164" s="1774"/>
      <c r="DQ164" s="1774"/>
      <c r="DR164" s="1785"/>
      <c r="DS164" s="264"/>
      <c r="DT164" s="264"/>
      <c r="DU164" s="264"/>
      <c r="DV164" s="264"/>
      <c r="DW164" s="264"/>
      <c r="DX164" s="264"/>
      <c r="DY164" s="264"/>
      <c r="DZ164" s="264"/>
      <c r="EA164" s="264"/>
      <c r="EB164" s="264"/>
      <c r="EC164" s="264"/>
      <c r="ED164" s="264"/>
      <c r="EE164" s="264"/>
      <c r="EF164" s="264"/>
      <c r="EG164" s="264"/>
      <c r="EH164" s="264"/>
      <c r="EI164" s="264"/>
      <c r="EJ164" s="264"/>
      <c r="EK164" s="264"/>
      <c r="EL164" s="264"/>
      <c r="EM164" s="264"/>
      <c r="EN164" s="264"/>
      <c r="EO164" s="264"/>
      <c r="EP164" s="264"/>
      <c r="EQ164" s="264"/>
      <c r="ER164" s="264"/>
    </row>
    <row r="165" spans="1:148" s="934" customFormat="1" ht="12" hidden="1" outlineLevel="2">
      <c r="A165" s="1760" t="s">
        <v>1002</v>
      </c>
      <c r="B165" s="1761"/>
      <c r="C165" s="1761"/>
      <c r="D165" s="1761"/>
      <c r="E165" s="1761"/>
      <c r="F165" s="1761"/>
      <c r="G165" s="1761"/>
      <c r="H165" s="1761"/>
      <c r="I165" s="1761"/>
      <c r="J165" s="1761"/>
      <c r="K165" s="1761"/>
      <c r="L165" s="1761"/>
      <c r="M165" s="1761"/>
      <c r="N165" s="1761"/>
      <c r="O165" s="1761"/>
      <c r="P165" s="1761"/>
      <c r="Q165" s="1761"/>
      <c r="R165" s="1761"/>
      <c r="S165" s="1761"/>
      <c r="T165" s="1761"/>
      <c r="U165" s="1761"/>
      <c r="V165" s="1761"/>
      <c r="W165" s="1761"/>
      <c r="X165" s="1761"/>
      <c r="Y165" s="1761"/>
      <c r="Z165" s="1761"/>
      <c r="AA165" s="1761"/>
      <c r="AB165" s="1761"/>
      <c r="AC165" s="1761"/>
      <c r="AD165" s="1761"/>
      <c r="AE165" s="1761"/>
      <c r="AF165" s="1761"/>
      <c r="AG165" s="1761"/>
      <c r="AH165" s="1761"/>
      <c r="AI165" s="1761"/>
      <c r="AJ165" s="1761"/>
      <c r="AK165" s="1761"/>
      <c r="AL165" s="1761"/>
      <c r="AM165" s="1761"/>
      <c r="AN165" s="1761"/>
      <c r="AO165" s="1761"/>
      <c r="AP165" s="1761"/>
      <c r="AQ165" s="1761"/>
      <c r="AR165" s="1761"/>
      <c r="AS165" s="1761"/>
      <c r="AT165" s="1761"/>
      <c r="AU165" s="1801"/>
      <c r="AV165" s="1761"/>
      <c r="AW165" s="1761"/>
      <c r="AX165" s="1761"/>
      <c r="AY165" s="1761"/>
      <c r="AZ165" s="1801"/>
      <c r="BA165" s="1828">
        <f>BA106-BA166</f>
        <v>-594</v>
      </c>
      <c r="BB165" s="1828">
        <f>BB106-BB166</f>
        <v>-1045</v>
      </c>
      <c r="BC165" s="1828">
        <f>BC106-BC166</f>
        <v>-395</v>
      </c>
      <c r="BD165" s="1828">
        <f>BD106-BD166</f>
        <v>-461</v>
      </c>
      <c r="BE165" s="1801"/>
      <c r="BF165" s="1828"/>
      <c r="BG165" s="1828"/>
      <c r="BH165" s="1828"/>
      <c r="BI165" s="1828"/>
      <c r="BJ165" s="1801"/>
      <c r="BK165" s="1765"/>
      <c r="BL165" s="1765"/>
      <c r="BM165" s="1765"/>
      <c r="BN165" s="1828">
        <f>BN107-BN166</f>
        <v>1928</v>
      </c>
      <c r="BO165" s="1801">
        <f>SUM(BK165:BN165)</f>
        <v>1928</v>
      </c>
      <c r="BP165" s="1765">
        <f>BP107-BP166</f>
        <v>2131</v>
      </c>
      <c r="BQ165" s="1765">
        <f>BQ107-BQ166</f>
        <v>1953</v>
      </c>
      <c r="BR165" s="1765">
        <f>BR107-BR166</f>
        <v>1401</v>
      </c>
      <c r="BS165" s="1828">
        <f>BS107-BS166</f>
        <v>1338</v>
      </c>
      <c r="BT165" s="1829">
        <f>SUM(BP165:BS165)</f>
        <v>6823</v>
      </c>
      <c r="BU165" s="2803" t="e">
        <f>BU107-BU166</f>
        <v>#REF!</v>
      </c>
      <c r="BV165" s="2803" t="e">
        <f>BV107-BV166</f>
        <v>#REF!</v>
      </c>
      <c r="BW165" s="2803" t="e">
        <f>BW107-BW166</f>
        <v>#REF!</v>
      </c>
      <c r="BX165" s="2803" t="e">
        <f>BX107-BX166</f>
        <v>#REF!</v>
      </c>
      <c r="BY165" s="1829" t="e">
        <f>SUM(BU165:BX165)</f>
        <v>#REF!</v>
      </c>
      <c r="BZ165" s="2803" t="e">
        <f>BZ107-BZ166</f>
        <v>#REF!</v>
      </c>
      <c r="CA165" s="2803" t="e">
        <f>CA107-CA166</f>
        <v>#REF!</v>
      </c>
      <c r="CB165" s="2803" t="e">
        <f>CB107-CB166</f>
        <v>#REF!</v>
      </c>
      <c r="CC165" s="2803" t="e">
        <f>CC107-CC166</f>
        <v>#REF!</v>
      </c>
      <c r="CD165" s="1829" t="e">
        <f>SUM(BZ165:CC165)</f>
        <v>#REF!</v>
      </c>
      <c r="CE165" s="1765">
        <f>CE107-CE166</f>
        <v>0</v>
      </c>
      <c r="CF165" s="1765">
        <f>CF107-CF166</f>
        <v>0</v>
      </c>
      <c r="CG165" s="1765">
        <f>CG107-CG166</f>
        <v>0</v>
      </c>
      <c r="CH165" s="1765">
        <f>CH107-CH166</f>
        <v>0</v>
      </c>
      <c r="CI165" s="1829">
        <f>SUM(CE165:CH165)</f>
        <v>0</v>
      </c>
      <c r="CJ165" s="1765">
        <f>CJ107-CJ166</f>
        <v>0</v>
      </c>
      <c r="CK165" s="1765">
        <f>CK107-CK166</f>
        <v>0</v>
      </c>
      <c r="CL165" s="1765">
        <f>CL107-CL166</f>
        <v>0</v>
      </c>
      <c r="CM165" s="1765">
        <f>CM107-CM166</f>
        <v>0</v>
      </c>
      <c r="CN165" s="1829">
        <f>SUM(CJ165:CM165)</f>
        <v>0</v>
      </c>
      <c r="CO165" s="1765">
        <f>CO107-CO166</f>
        <v>0</v>
      </c>
      <c r="CP165" s="1765">
        <f>CP107-CP166</f>
        <v>0</v>
      </c>
      <c r="CQ165" s="1765">
        <f>CQ107-CQ166</f>
        <v>0</v>
      </c>
      <c r="CR165" s="1765">
        <f>CR107-CR166</f>
        <v>0</v>
      </c>
      <c r="CS165" s="1829">
        <f>SUM(CO165:CR165)</f>
        <v>0</v>
      </c>
      <c r="CT165" s="1765">
        <f>CT107-CT166</f>
        <v>0</v>
      </c>
      <c r="CU165" s="1765">
        <f>CU107-CU166</f>
        <v>0</v>
      </c>
      <c r="CV165" s="1765">
        <f>CV107-CV166</f>
        <v>0</v>
      </c>
      <c r="CW165" s="1765">
        <f>CW107-CW166</f>
        <v>6396.8499999999995</v>
      </c>
      <c r="CX165" s="1829">
        <f>SUM(CT165:CW165)</f>
        <v>6396.8499999999995</v>
      </c>
      <c r="CY165" s="1761"/>
      <c r="CZ165" s="1761"/>
      <c r="DA165" s="1801"/>
      <c r="DB165" s="1801"/>
      <c r="DC165" s="1801"/>
      <c r="DD165" s="1801"/>
      <c r="DE165" s="1801"/>
      <c r="DF165" s="1801"/>
      <c r="DG165" s="1804"/>
      <c r="DH165" s="1804"/>
      <c r="DI165" s="1762">
        <f>SUM(BC165:BD165,BF165:BG165)</f>
        <v>-856</v>
      </c>
      <c r="DJ165" s="1766">
        <f>SUM(BH165:BI165,BK165:BL165)</f>
        <v>0</v>
      </c>
      <c r="DK165" s="1766">
        <f>SUM(BM165:BN165,BP165:BQ165)</f>
        <v>6012</v>
      </c>
      <c r="DL165" s="1766" t="e">
        <f>SUM(BU165:BV165,BR165:BS165)</f>
        <v>#REF!</v>
      </c>
      <c r="DM165" s="1762" t="e">
        <f>SUM(BW165:BX165,BZ165:CA165)</f>
        <v>#REF!</v>
      </c>
      <c r="DN165" s="1762" t="e">
        <f>SUM(CB165:CC165,CE165:CF165)</f>
        <v>#REF!</v>
      </c>
      <c r="DO165" s="1762"/>
      <c r="DP165" s="1762"/>
      <c r="DQ165" s="1762"/>
      <c r="DR165" s="1795"/>
      <c r="DS165" s="264"/>
      <c r="DT165" s="264"/>
      <c r="DU165" s="264"/>
      <c r="DV165" s="264"/>
      <c r="DW165" s="264"/>
      <c r="DX165" s="264"/>
      <c r="DY165" s="264"/>
      <c r="DZ165" s="264"/>
      <c r="EA165" s="264"/>
      <c r="EB165" s="264"/>
      <c r="EC165" s="264"/>
      <c r="ED165" s="264"/>
      <c r="EE165" s="264"/>
      <c r="EF165" s="264"/>
      <c r="EG165" s="264"/>
      <c r="EH165" s="264"/>
      <c r="EI165" s="264"/>
      <c r="EJ165" s="264"/>
      <c r="EK165" s="264"/>
      <c r="EL165" s="264"/>
      <c r="EM165" s="264"/>
      <c r="EN165" s="264"/>
      <c r="EO165" s="264"/>
      <c r="EP165" s="264"/>
      <c r="EQ165" s="264"/>
      <c r="ER165" s="264"/>
    </row>
    <row r="166" spans="1:148" s="934" customFormat="1" ht="12" hidden="1" outlineLevel="1">
      <c r="A166" s="1760" t="s">
        <v>1003</v>
      </c>
      <c r="B166" s="1761"/>
      <c r="C166" s="1761"/>
      <c r="D166" s="1761"/>
      <c r="E166" s="1761"/>
      <c r="F166" s="1761"/>
      <c r="G166" s="1761"/>
      <c r="H166" s="1761"/>
      <c r="I166" s="1761"/>
      <c r="J166" s="1761"/>
      <c r="K166" s="1761"/>
      <c r="L166" s="1761"/>
      <c r="M166" s="1761"/>
      <c r="N166" s="1761"/>
      <c r="O166" s="1761"/>
      <c r="P166" s="1761"/>
      <c r="Q166" s="1761"/>
      <c r="R166" s="1761"/>
      <c r="S166" s="1761"/>
      <c r="T166" s="1761"/>
      <c r="U166" s="1761"/>
      <c r="V166" s="1761"/>
      <c r="W166" s="1761"/>
      <c r="X166" s="1761"/>
      <c r="Y166" s="1761"/>
      <c r="Z166" s="1761"/>
      <c r="AA166" s="1761"/>
      <c r="AB166" s="1761"/>
      <c r="AC166" s="1761"/>
      <c r="AD166" s="1761"/>
      <c r="AE166" s="1761"/>
      <c r="AF166" s="1761"/>
      <c r="AG166" s="1761"/>
      <c r="AH166" s="1761"/>
      <c r="AI166" s="1761"/>
      <c r="AJ166" s="1761"/>
      <c r="AK166" s="1761"/>
      <c r="AL166" s="1761"/>
      <c r="AM166" s="1761"/>
      <c r="AN166" s="1761"/>
      <c r="AO166" s="1761"/>
      <c r="AP166" s="1761"/>
      <c r="AQ166" s="1761"/>
      <c r="AR166" s="1761"/>
      <c r="AS166" s="1761"/>
      <c r="AT166" s="1761"/>
      <c r="AU166" s="1801"/>
      <c r="AV166" s="1761"/>
      <c r="AW166" s="1761"/>
      <c r="AX166" s="1761"/>
      <c r="AY166" s="1761"/>
      <c r="AZ166" s="1801"/>
      <c r="BA166" s="1802">
        <v>594</v>
      </c>
      <c r="BB166" s="1802">
        <v>1045</v>
      </c>
      <c r="BC166" s="1802">
        <v>395</v>
      </c>
      <c r="BD166" s="1802">
        <v>461</v>
      </c>
      <c r="BE166" s="1801"/>
      <c r="BF166" s="1802"/>
      <c r="BG166" s="1802"/>
      <c r="BH166" s="1802"/>
      <c r="BI166" s="1802"/>
      <c r="BJ166" s="1801"/>
      <c r="BK166" s="1764"/>
      <c r="BL166" s="1764"/>
      <c r="BM166" s="1764"/>
      <c r="BN166" s="1802">
        <v>54</v>
      </c>
      <c r="BO166" s="1801">
        <f>SUM(BK166:BN166)</f>
        <v>54</v>
      </c>
      <c r="BP166" s="1764">
        <v>478</v>
      </c>
      <c r="BQ166" s="1764">
        <v>331</v>
      </c>
      <c r="BR166" s="1764">
        <v>-4</v>
      </c>
      <c r="BS166" s="1802">
        <v>-104</v>
      </c>
      <c r="BT166" s="1829">
        <f>SUM(BP166:BS166)</f>
        <v>701</v>
      </c>
      <c r="BU166" s="2802" t="e">
        <f>BU167*BU107</f>
        <v>#REF!</v>
      </c>
      <c r="BV166" s="2802" t="e">
        <f>BV167*BV107</f>
        <v>#REF!</v>
      </c>
      <c r="BW166" s="2803" t="e">
        <f>BW167*BW107</f>
        <v>#REF!</v>
      </c>
      <c r="BX166" s="2803" t="e">
        <f>BX167*BX107</f>
        <v>#REF!</v>
      </c>
      <c r="BY166" s="1829" t="e">
        <f>SUM(BU166:BX166)</f>
        <v>#REF!</v>
      </c>
      <c r="BZ166" s="2803" t="e">
        <f>BZ167*BZ107</f>
        <v>#REF!</v>
      </c>
      <c r="CA166" s="2803" t="e">
        <f>CA167*CA107</f>
        <v>#REF!</v>
      </c>
      <c r="CB166" s="2803" t="e">
        <f>CB167*CB107</f>
        <v>#REF!</v>
      </c>
      <c r="CC166" s="2803" t="e">
        <f>CC167*CC107</f>
        <v>#REF!</v>
      </c>
      <c r="CD166" s="1829" t="e">
        <f>SUM(BZ166:CC166)</f>
        <v>#REF!</v>
      </c>
      <c r="CE166" s="1765">
        <f>CE167*CE107</f>
        <v>0</v>
      </c>
      <c r="CF166" s="1765">
        <f>CF167*CF107</f>
        <v>0</v>
      </c>
      <c r="CG166" s="1765">
        <f>CG167*CG107</f>
        <v>0</v>
      </c>
      <c r="CH166" s="1765">
        <f>CH167*CH107</f>
        <v>0</v>
      </c>
      <c r="CI166" s="1829">
        <f>SUM(CE166:CH166)</f>
        <v>0</v>
      </c>
      <c r="CJ166" s="1765">
        <f>CJ167*CJ107</f>
        <v>0</v>
      </c>
      <c r="CK166" s="1765">
        <f>CK167*CK107</f>
        <v>0</v>
      </c>
      <c r="CL166" s="1765">
        <f>CL167*CL107</f>
        <v>0</v>
      </c>
      <c r="CM166" s="1765">
        <f>CM167*CM107</f>
        <v>0</v>
      </c>
      <c r="CN166" s="1829">
        <f>SUM(CJ166:CM166)</f>
        <v>0</v>
      </c>
      <c r="CO166" s="1765">
        <f>CO167*CO107</f>
        <v>0</v>
      </c>
      <c r="CP166" s="1765">
        <f>CP167*CP107</f>
        <v>0</v>
      </c>
      <c r="CQ166" s="1765">
        <f>CQ167*CQ107</f>
        <v>0</v>
      </c>
      <c r="CR166" s="1765">
        <f>CR167*CR107</f>
        <v>0</v>
      </c>
      <c r="CS166" s="1829">
        <f>SUM(CO166:CR166)</f>
        <v>0</v>
      </c>
      <c r="CT166" s="1765">
        <f>CT167*CT107</f>
        <v>0</v>
      </c>
      <c r="CU166" s="1765">
        <f>CU167*CU107</f>
        <v>0</v>
      </c>
      <c r="CV166" s="1765">
        <f>CV167*CV107</f>
        <v>0</v>
      </c>
      <c r="CW166" s="1765">
        <f>CW167*CW107</f>
        <v>481.48333333333335</v>
      </c>
      <c r="CX166" s="1829">
        <f>SUM(CT166:CW166)</f>
        <v>481.48333333333335</v>
      </c>
      <c r="CY166" s="1761"/>
      <c r="CZ166" s="1761"/>
      <c r="DA166" s="1801"/>
      <c r="DB166" s="1801"/>
      <c r="DC166" s="1801"/>
      <c r="DD166" s="1801"/>
      <c r="DE166" s="1801"/>
      <c r="DF166" s="1801"/>
      <c r="DG166" s="1804"/>
      <c r="DH166" s="1804"/>
      <c r="DI166" s="1762">
        <f>SUM(BC166:BD166,BF166:BG166)</f>
        <v>856</v>
      </c>
      <c r="DJ166" s="1766">
        <f>SUM(BH166:BI166,BK166:BL166)</f>
        <v>0</v>
      </c>
      <c r="DK166" s="1766">
        <f>SUM(BM166:BN166,BP166:BQ166)</f>
        <v>863</v>
      </c>
      <c r="DL166" s="1766" t="e">
        <f>SUM(BU166:BV166,BR166:BS166)</f>
        <v>#REF!</v>
      </c>
      <c r="DM166" s="1762" t="e">
        <f>SUM(BW166:BX166,BZ166:CA166)</f>
        <v>#REF!</v>
      </c>
      <c r="DN166" s="1762" t="e">
        <f>SUM(CB166:CC166,CE166:CF166)</f>
        <v>#REF!</v>
      </c>
      <c r="DO166" s="1762"/>
      <c r="DP166" s="1762"/>
      <c r="DQ166" s="1762"/>
      <c r="DR166" s="1795"/>
      <c r="DS166" s="264"/>
      <c r="DT166" s="264"/>
      <c r="DU166" s="264"/>
      <c r="DV166" s="264"/>
      <c r="DW166" s="264"/>
      <c r="DX166" s="264"/>
      <c r="DY166" s="264"/>
      <c r="DZ166" s="264"/>
      <c r="EA166" s="264"/>
      <c r="EB166" s="264"/>
      <c r="EC166" s="264"/>
      <c r="ED166" s="264"/>
      <c r="EE166" s="264"/>
      <c r="EF166" s="264"/>
      <c r="EG166" s="264"/>
      <c r="EH166" s="264"/>
      <c r="EI166" s="264"/>
      <c r="EJ166" s="264"/>
      <c r="EK166" s="264"/>
      <c r="EL166" s="264"/>
      <c r="EM166" s="264"/>
      <c r="EN166" s="264"/>
      <c r="EO166" s="264"/>
      <c r="EP166" s="264"/>
      <c r="EQ166" s="264"/>
      <c r="ER166" s="264"/>
    </row>
    <row r="167" spans="1:148" s="934" customFormat="1" ht="12" hidden="1" outlineLevel="1">
      <c r="A167" s="1760" t="s">
        <v>1004</v>
      </c>
      <c r="B167" s="1761"/>
      <c r="C167" s="1761"/>
      <c r="D167" s="1761"/>
      <c r="E167" s="1761"/>
      <c r="F167" s="1761"/>
      <c r="G167" s="1761"/>
      <c r="H167" s="1761"/>
      <c r="I167" s="1761"/>
      <c r="J167" s="1761"/>
      <c r="K167" s="1761"/>
      <c r="L167" s="1761"/>
      <c r="M167" s="1761"/>
      <c r="N167" s="1761"/>
      <c r="O167" s="1761"/>
      <c r="P167" s="1761"/>
      <c r="Q167" s="1761"/>
      <c r="R167" s="1761"/>
      <c r="S167" s="1761"/>
      <c r="T167" s="1761"/>
      <c r="U167" s="1761"/>
      <c r="V167" s="1761"/>
      <c r="W167" s="1761"/>
      <c r="X167" s="1761"/>
      <c r="Y167" s="1761"/>
      <c r="Z167" s="1761"/>
      <c r="AA167" s="1761"/>
      <c r="AB167" s="1761"/>
      <c r="AC167" s="1761"/>
      <c r="AD167" s="1761"/>
      <c r="AE167" s="1761"/>
      <c r="AF167" s="1761"/>
      <c r="AG167" s="1761"/>
      <c r="AH167" s="1761"/>
      <c r="AI167" s="1761"/>
      <c r="AJ167" s="1761"/>
      <c r="AK167" s="1761"/>
      <c r="AL167" s="1761"/>
      <c r="AM167" s="1761"/>
      <c r="AN167" s="1761"/>
      <c r="AO167" s="1761"/>
      <c r="AP167" s="1761"/>
      <c r="AQ167" s="1761"/>
      <c r="AR167" s="1761"/>
      <c r="AS167" s="1761"/>
      <c r="AT167" s="1761"/>
      <c r="AU167" s="1774"/>
      <c r="AV167" s="1761"/>
      <c r="AW167" s="1761"/>
      <c r="AX167" s="1761"/>
      <c r="AY167" s="1761"/>
      <c r="AZ167" s="1774"/>
      <c r="BA167" s="1786"/>
      <c r="BB167" s="1786"/>
      <c r="BC167" s="1786"/>
      <c r="BD167" s="1786"/>
      <c r="BE167" s="1774"/>
      <c r="BF167" s="1786"/>
      <c r="BG167" s="1786"/>
      <c r="BH167" s="1786"/>
      <c r="BI167" s="1786"/>
      <c r="BJ167" s="1774"/>
      <c r="BK167" s="1786"/>
      <c r="BL167" s="1786"/>
      <c r="BM167" s="1786"/>
      <c r="BN167" s="1833">
        <f t="shared" ref="BN167:BT167" si="226">BN166/BN107</f>
        <v>2.7245206861755803E-2</v>
      </c>
      <c r="BO167" s="1774">
        <f t="shared" si="226"/>
        <v>2.7245206861755803E-2</v>
      </c>
      <c r="BP167" s="1786">
        <f t="shared" si="226"/>
        <v>0.18321195860482944</v>
      </c>
      <c r="BQ167" s="1786">
        <f t="shared" si="226"/>
        <v>0.14492119089316988</v>
      </c>
      <c r="BR167" s="1786">
        <f t="shared" si="226"/>
        <v>-2.8632784538296348E-3</v>
      </c>
      <c r="BS167" s="1833">
        <f t="shared" si="226"/>
        <v>-8.4278768233387355E-2</v>
      </c>
      <c r="BT167" s="1774">
        <f t="shared" si="226"/>
        <v>9.3168527379053692E-2</v>
      </c>
      <c r="BU167" s="1786">
        <v>0</v>
      </c>
      <c r="BV167" s="1786">
        <v>0.02</v>
      </c>
      <c r="BW167" s="1831">
        <v>0.05</v>
      </c>
      <c r="BX167" s="1831">
        <v>7.0000000000000007E-2</v>
      </c>
      <c r="BY167" s="1774" t="e">
        <f>BY166/BY107</f>
        <v>#REF!</v>
      </c>
      <c r="BZ167" s="1831">
        <f>BX167</f>
        <v>7.0000000000000007E-2</v>
      </c>
      <c r="CA167" s="1831">
        <f>BV167</f>
        <v>0.02</v>
      </c>
      <c r="CB167" s="1831">
        <f>BW167</f>
        <v>0.05</v>
      </c>
      <c r="CC167" s="1831">
        <f>BX167</f>
        <v>7.0000000000000007E-2</v>
      </c>
      <c r="CD167" s="1774" t="e">
        <f>CD166/CD107</f>
        <v>#REF!</v>
      </c>
      <c r="CE167" s="1831">
        <f>CC167</f>
        <v>7.0000000000000007E-2</v>
      </c>
      <c r="CF167" s="1831">
        <f>CA167</f>
        <v>0.02</v>
      </c>
      <c r="CG167" s="1831">
        <f>CB167</f>
        <v>0.05</v>
      </c>
      <c r="CH167" s="1831">
        <f>CC167</f>
        <v>7.0000000000000007E-2</v>
      </c>
      <c r="CI167" s="1774" t="e">
        <f>CI166/CI107</f>
        <v>#DIV/0!</v>
      </c>
      <c r="CJ167" s="1831">
        <f>CH167</f>
        <v>7.0000000000000007E-2</v>
      </c>
      <c r="CK167" s="1831">
        <f>CF167</f>
        <v>0.02</v>
      </c>
      <c r="CL167" s="1831">
        <f>CG167</f>
        <v>0.05</v>
      </c>
      <c r="CM167" s="1831">
        <f>CH167</f>
        <v>7.0000000000000007E-2</v>
      </c>
      <c r="CN167" s="1774" t="e">
        <f>CN166/CN107</f>
        <v>#DIV/0!</v>
      </c>
      <c r="CO167" s="1831">
        <f>CM167</f>
        <v>7.0000000000000007E-2</v>
      </c>
      <c r="CP167" s="1831">
        <f>CK167</f>
        <v>0.02</v>
      </c>
      <c r="CQ167" s="1831">
        <f>CL167</f>
        <v>0.05</v>
      </c>
      <c r="CR167" s="1831">
        <f>CM167</f>
        <v>7.0000000000000007E-2</v>
      </c>
      <c r="CS167" s="1774" t="e">
        <f>CS166/CS107</f>
        <v>#DIV/0!</v>
      </c>
      <c r="CT167" s="1831">
        <f>CR167</f>
        <v>7.0000000000000007E-2</v>
      </c>
      <c r="CU167" s="1831">
        <f>CP167</f>
        <v>0.02</v>
      </c>
      <c r="CV167" s="1831">
        <f>CQ167</f>
        <v>0.05</v>
      </c>
      <c r="CW167" s="1831">
        <f>CR167</f>
        <v>7.0000000000000007E-2</v>
      </c>
      <c r="CX167" s="1774">
        <f>CX166/CX107</f>
        <v>7.0000000000000007E-2</v>
      </c>
      <c r="CY167" s="1761"/>
      <c r="CZ167" s="1761"/>
      <c r="DA167" s="1774"/>
      <c r="DB167" s="1774"/>
      <c r="DC167" s="1774"/>
      <c r="DD167" s="1774"/>
      <c r="DE167" s="1774"/>
      <c r="DF167" s="1774"/>
      <c r="DG167" s="1773"/>
      <c r="DH167" s="1773"/>
      <c r="DI167" s="1774"/>
      <c r="DJ167" s="1773"/>
      <c r="DK167" s="1773"/>
      <c r="DL167" s="1773"/>
      <c r="DM167" s="1774"/>
      <c r="DN167" s="1774"/>
      <c r="DO167" s="1774"/>
      <c r="DP167" s="1774"/>
      <c r="DQ167" s="1774"/>
      <c r="DR167" s="1785"/>
      <c r="DS167" s="264"/>
      <c r="DT167" s="264"/>
      <c r="DU167" s="264"/>
      <c r="DV167" s="264"/>
      <c r="DW167" s="264"/>
      <c r="DX167" s="264"/>
      <c r="DY167" s="264"/>
      <c r="DZ167" s="264"/>
      <c r="EA167" s="264"/>
      <c r="EB167" s="264"/>
      <c r="EC167" s="264"/>
      <c r="ED167" s="264"/>
      <c r="EE167" s="264"/>
      <c r="EF167" s="264"/>
      <c r="EG167" s="264"/>
      <c r="EH167" s="264"/>
      <c r="EI167" s="264"/>
      <c r="EJ167" s="264"/>
      <c r="EK167" s="264"/>
      <c r="EL167" s="264"/>
      <c r="EM167" s="264"/>
      <c r="EN167" s="264"/>
      <c r="EO167" s="264"/>
      <c r="EP167" s="264"/>
      <c r="EQ167" s="264"/>
      <c r="ER167" s="264"/>
    </row>
    <row r="168" spans="1:148" s="934" customFormat="1" ht="3.75" hidden="1" customHeight="1" outlineLevel="1">
      <c r="A168" s="1760"/>
      <c r="B168" s="1761"/>
      <c r="C168" s="1761"/>
      <c r="D168" s="1761"/>
      <c r="E168" s="1761"/>
      <c r="F168" s="1761"/>
      <c r="G168" s="1761"/>
      <c r="H168" s="1761"/>
      <c r="I168" s="1761"/>
      <c r="J168" s="1761"/>
      <c r="K168" s="1761"/>
      <c r="L168" s="1761"/>
      <c r="M168" s="1761"/>
      <c r="N168" s="1761"/>
      <c r="O168" s="1761"/>
      <c r="P168" s="1761"/>
      <c r="Q168" s="1761"/>
      <c r="R168" s="1761"/>
      <c r="S168" s="1761"/>
      <c r="T168" s="1761"/>
      <c r="U168" s="1761"/>
      <c r="V168" s="1761"/>
      <c r="W168" s="1761"/>
      <c r="X168" s="1761"/>
      <c r="Y168" s="1761"/>
      <c r="Z168" s="1761"/>
      <c r="AA168" s="1761"/>
      <c r="AB168" s="1761"/>
      <c r="AC168" s="1761"/>
      <c r="AD168" s="1761"/>
      <c r="AE168" s="1761"/>
      <c r="AF168" s="1761"/>
      <c r="AG168" s="1761"/>
      <c r="AH168" s="1761"/>
      <c r="AI168" s="1761"/>
      <c r="AJ168" s="1761"/>
      <c r="AK168" s="1761"/>
      <c r="AL168" s="1761"/>
      <c r="AM168" s="1761"/>
      <c r="AN168" s="1761"/>
      <c r="AO168" s="1761"/>
      <c r="AP168" s="1761"/>
      <c r="AQ168" s="1761"/>
      <c r="AR168" s="1761"/>
      <c r="AS168" s="1761"/>
      <c r="AT168" s="1761"/>
      <c r="AU168" s="1774"/>
      <c r="AV168" s="1761"/>
      <c r="AW168" s="1761"/>
      <c r="AX168" s="1761"/>
      <c r="AY168" s="1761"/>
      <c r="AZ168" s="1774"/>
      <c r="BA168" s="1785"/>
      <c r="BB168" s="1785"/>
      <c r="BC168" s="1785"/>
      <c r="BD168" s="1785"/>
      <c r="BE168" s="1774"/>
      <c r="BF168" s="1785"/>
      <c r="BG168" s="1785"/>
      <c r="BH168" s="1785"/>
      <c r="BI168" s="1785"/>
      <c r="BJ168" s="1774"/>
      <c r="BK168" s="1761"/>
      <c r="BL168" s="1761"/>
      <c r="BM168" s="1761"/>
      <c r="BN168" s="1785"/>
      <c r="BO168" s="1774"/>
      <c r="BP168" s="1761"/>
      <c r="BQ168" s="1761"/>
      <c r="BR168" s="1761"/>
      <c r="BS168" s="1785"/>
      <c r="BT168" s="1774"/>
      <c r="BU168" s="2804"/>
      <c r="BV168" s="2804"/>
      <c r="BW168" s="2804"/>
      <c r="BX168" s="2804"/>
      <c r="BY168" s="1774"/>
      <c r="BZ168" s="2804"/>
      <c r="CA168" s="2804"/>
      <c r="CB168" s="2804"/>
      <c r="CC168" s="2804"/>
      <c r="CD168" s="1774"/>
      <c r="CE168" s="1761"/>
      <c r="CF168" s="1761"/>
      <c r="CG168" s="1761"/>
      <c r="CH168" s="1761"/>
      <c r="CI168" s="1774"/>
      <c r="CJ168" s="1761"/>
      <c r="CK168" s="1761"/>
      <c r="CL168" s="1761"/>
      <c r="CM168" s="1761"/>
      <c r="CN168" s="1774"/>
      <c r="CO168" s="1761"/>
      <c r="CP168" s="1761"/>
      <c r="CQ168" s="1761"/>
      <c r="CR168" s="1761"/>
      <c r="CS168" s="1774"/>
      <c r="CT168" s="1761"/>
      <c r="CU168" s="1761"/>
      <c r="CV168" s="1761"/>
      <c r="CW168" s="1761"/>
      <c r="CX168" s="1774"/>
      <c r="CY168" s="1761"/>
      <c r="CZ168" s="1761"/>
      <c r="DA168" s="1774"/>
      <c r="DB168" s="1774"/>
      <c r="DC168" s="1774"/>
      <c r="DD168" s="1774"/>
      <c r="DE168" s="1774"/>
      <c r="DF168" s="1774"/>
      <c r="DG168" s="1773"/>
      <c r="DH168" s="1773"/>
      <c r="DI168" s="1774"/>
      <c r="DJ168" s="1773"/>
      <c r="DK168" s="1773"/>
      <c r="DL168" s="1773"/>
      <c r="DM168" s="1774"/>
      <c r="DN168" s="1774"/>
      <c r="DO168" s="1774"/>
      <c r="DP168" s="1774"/>
      <c r="DQ168" s="1774"/>
      <c r="DR168" s="1785"/>
      <c r="DS168" s="264"/>
      <c r="DT168" s="264"/>
      <c r="DU168" s="264"/>
      <c r="DV168" s="264"/>
      <c r="DW168" s="264"/>
      <c r="DX168" s="264"/>
      <c r="DY168" s="264"/>
      <c r="DZ168" s="264"/>
      <c r="EA168" s="264"/>
      <c r="EB168" s="264"/>
      <c r="EC168" s="264"/>
      <c r="ED168" s="264"/>
      <c r="EE168" s="264"/>
      <c r="EF168" s="264"/>
      <c r="EG168" s="264"/>
      <c r="EH168" s="264"/>
      <c r="EI168" s="264"/>
      <c r="EJ168" s="264"/>
      <c r="EK168" s="264"/>
      <c r="EL168" s="264"/>
      <c r="EM168" s="264"/>
      <c r="EN168" s="264"/>
      <c r="EO168" s="264"/>
      <c r="EP168" s="264"/>
      <c r="EQ168" s="264"/>
      <c r="ER168" s="264"/>
    </row>
    <row r="169" spans="1:148" s="934" customFormat="1" ht="12" hidden="1" outlineLevel="2">
      <c r="A169" s="1760" t="s">
        <v>219</v>
      </c>
      <c r="B169" s="1761"/>
      <c r="C169" s="1761"/>
      <c r="D169" s="1761"/>
      <c r="E169" s="1761"/>
      <c r="F169" s="1761"/>
      <c r="G169" s="1761"/>
      <c r="H169" s="1761"/>
      <c r="I169" s="1761"/>
      <c r="J169" s="1761"/>
      <c r="K169" s="1761"/>
      <c r="L169" s="1761"/>
      <c r="M169" s="1761"/>
      <c r="N169" s="1761"/>
      <c r="O169" s="1761"/>
      <c r="P169" s="1761"/>
      <c r="Q169" s="1761"/>
      <c r="R169" s="1761"/>
      <c r="S169" s="1761"/>
      <c r="T169" s="1761"/>
      <c r="U169" s="1761"/>
      <c r="V169" s="1761"/>
      <c r="W169" s="1761"/>
      <c r="X169" s="1761"/>
      <c r="Y169" s="1761"/>
      <c r="Z169" s="1761"/>
      <c r="AA169" s="1761"/>
      <c r="AB169" s="1761"/>
      <c r="AC169" s="1761"/>
      <c r="AD169" s="1761"/>
      <c r="AE169" s="1761"/>
      <c r="AF169" s="1761"/>
      <c r="AG169" s="1761"/>
      <c r="AH169" s="1761"/>
      <c r="AI169" s="1761"/>
      <c r="AJ169" s="1761"/>
      <c r="AK169" s="1761"/>
      <c r="AL169" s="1761"/>
      <c r="AM169" s="1761"/>
      <c r="AN169" s="1761"/>
      <c r="AO169" s="1761"/>
      <c r="AP169" s="1761"/>
      <c r="AQ169" s="1761"/>
      <c r="AR169" s="1761"/>
      <c r="AS169" s="1761"/>
      <c r="AT169" s="1761"/>
      <c r="AU169" s="1801"/>
      <c r="AV169" s="1761"/>
      <c r="AW169" s="1761"/>
      <c r="AX169" s="1761"/>
      <c r="AY169" s="1761"/>
      <c r="AZ169" s="1801"/>
      <c r="BA169" s="1828">
        <f t="shared" ref="BA169:CI169" si="227">BA114-BA170</f>
        <v>1045</v>
      </c>
      <c r="BB169" s="1828">
        <f t="shared" si="227"/>
        <v>1046</v>
      </c>
      <c r="BC169" s="1828">
        <f t="shared" si="227"/>
        <v>1009</v>
      </c>
      <c r="BD169" s="1828">
        <f t="shared" si="227"/>
        <v>1105</v>
      </c>
      <c r="BE169" s="1801">
        <f t="shared" si="227"/>
        <v>4205</v>
      </c>
      <c r="BF169" s="1828">
        <f t="shared" si="227"/>
        <v>1038</v>
      </c>
      <c r="BG169" s="1828">
        <f t="shared" si="227"/>
        <v>1113</v>
      </c>
      <c r="BH169" s="1828">
        <f t="shared" si="227"/>
        <v>1226</v>
      </c>
      <c r="BI169" s="1828">
        <f t="shared" si="227"/>
        <v>1195</v>
      </c>
      <c r="BJ169" s="1801">
        <f t="shared" si="227"/>
        <v>4572</v>
      </c>
      <c r="BK169" s="1765">
        <f t="shared" si="227"/>
        <v>1230</v>
      </c>
      <c r="BL169" s="1765">
        <f t="shared" si="227"/>
        <v>1487</v>
      </c>
      <c r="BM169" s="1765">
        <f t="shared" si="227"/>
        <v>1433</v>
      </c>
      <c r="BN169" s="1828">
        <f t="shared" si="227"/>
        <v>1471</v>
      </c>
      <c r="BO169" s="1801">
        <f t="shared" si="227"/>
        <v>5621</v>
      </c>
      <c r="BP169" s="1765">
        <f t="shared" si="227"/>
        <v>1497</v>
      </c>
      <c r="BQ169" s="1765">
        <f t="shared" si="227"/>
        <v>1886</v>
      </c>
      <c r="BR169" s="1765">
        <f t="shared" si="227"/>
        <v>1714</v>
      </c>
      <c r="BS169" s="1828">
        <f t="shared" si="227"/>
        <v>1706</v>
      </c>
      <c r="BT169" s="1829">
        <f t="shared" si="227"/>
        <v>6803</v>
      </c>
      <c r="BU169" s="2803" t="e">
        <f t="shared" si="227"/>
        <v>#REF!</v>
      </c>
      <c r="BV169" s="2803" t="e">
        <f t="shared" si="227"/>
        <v>#REF!</v>
      </c>
      <c r="BW169" s="2803" t="e">
        <f t="shared" si="227"/>
        <v>#REF!</v>
      </c>
      <c r="BX169" s="2803" t="e">
        <f t="shared" si="227"/>
        <v>#REF!</v>
      </c>
      <c r="BY169" s="1829" t="e">
        <f t="shared" si="227"/>
        <v>#REF!</v>
      </c>
      <c r="BZ169" s="2803" t="e">
        <f t="shared" si="227"/>
        <v>#REF!</v>
      </c>
      <c r="CA169" s="2803" t="e">
        <f t="shared" si="227"/>
        <v>#REF!</v>
      </c>
      <c r="CB169" s="2803" t="e">
        <f t="shared" si="227"/>
        <v>#REF!</v>
      </c>
      <c r="CC169" s="2803" t="e">
        <f t="shared" si="227"/>
        <v>#REF!</v>
      </c>
      <c r="CD169" s="1829" t="e">
        <f t="shared" si="227"/>
        <v>#REF!</v>
      </c>
      <c r="CE169" s="1765" t="e">
        <f t="shared" si="227"/>
        <v>#REF!</v>
      </c>
      <c r="CF169" s="1765" t="e">
        <f t="shared" si="227"/>
        <v>#REF!</v>
      </c>
      <c r="CG169" s="1765" t="e">
        <f t="shared" si="227"/>
        <v>#REF!</v>
      </c>
      <c r="CH169" s="1765" t="e">
        <f t="shared" si="227"/>
        <v>#REF!</v>
      </c>
      <c r="CI169" s="1829" t="e">
        <f t="shared" si="227"/>
        <v>#REF!</v>
      </c>
      <c r="CJ169" s="1765" t="e">
        <f t="shared" ref="CJ169:CS169" si="228">CJ114-CJ170</f>
        <v>#REF!</v>
      </c>
      <c r="CK169" s="1765" t="e">
        <f t="shared" si="228"/>
        <v>#REF!</v>
      </c>
      <c r="CL169" s="1765" t="e">
        <f t="shared" si="228"/>
        <v>#REF!</v>
      </c>
      <c r="CM169" s="1765" t="e">
        <f t="shared" si="228"/>
        <v>#REF!</v>
      </c>
      <c r="CN169" s="1829" t="e">
        <f t="shared" si="228"/>
        <v>#REF!</v>
      </c>
      <c r="CO169" s="1765" t="e">
        <f t="shared" si="228"/>
        <v>#REF!</v>
      </c>
      <c r="CP169" s="1765" t="e">
        <f t="shared" si="228"/>
        <v>#REF!</v>
      </c>
      <c r="CQ169" s="1765" t="e">
        <f t="shared" si="228"/>
        <v>#REF!</v>
      </c>
      <c r="CR169" s="1765" t="e">
        <f t="shared" si="228"/>
        <v>#REF!</v>
      </c>
      <c r="CS169" s="1829" t="e">
        <f t="shared" si="228"/>
        <v>#REF!</v>
      </c>
      <c r="CT169" s="1765" t="e">
        <f t="shared" ref="CT169:CX169" si="229">CT114-CT170</f>
        <v>#REF!</v>
      </c>
      <c r="CU169" s="1765" t="e">
        <f t="shared" si="229"/>
        <v>#REF!</v>
      </c>
      <c r="CV169" s="1765" t="e">
        <f t="shared" si="229"/>
        <v>#REF!</v>
      </c>
      <c r="CW169" s="1765" t="e">
        <f t="shared" si="229"/>
        <v>#REF!</v>
      </c>
      <c r="CX169" s="1829" t="e">
        <f t="shared" si="229"/>
        <v>#REF!</v>
      </c>
      <c r="CY169" s="1761"/>
      <c r="CZ169" s="1761"/>
      <c r="DA169" s="1801"/>
      <c r="DB169" s="1801"/>
      <c r="DC169" s="1801"/>
      <c r="DD169" s="1801"/>
      <c r="DE169" s="1801"/>
      <c r="DF169" s="1801"/>
      <c r="DG169" s="1804"/>
      <c r="DH169" s="1804"/>
      <c r="DI169" s="1762">
        <f>SUM(BC169:BD169,BF169:BG169)</f>
        <v>4265</v>
      </c>
      <c r="DJ169" s="1766">
        <f>SUM(BH169:BI169,BK169:BL169)</f>
        <v>5138</v>
      </c>
      <c r="DK169" s="1766">
        <f>SUM(BM169:BN169,BP169:BQ169)</f>
        <v>6287</v>
      </c>
      <c r="DL169" s="1766" t="e">
        <f>SUM(BU169:BV169,BR169:BS169)</f>
        <v>#REF!</v>
      </c>
      <c r="DM169" s="1762" t="e">
        <f>SUM(BW169:BX169,BZ169:CA169)</f>
        <v>#REF!</v>
      </c>
      <c r="DN169" s="1762" t="e">
        <f>SUM(CB169:CC169,CE169:CF169)</f>
        <v>#REF!</v>
      </c>
      <c r="DO169" s="1762"/>
      <c r="DP169" s="1762"/>
      <c r="DQ169" s="1762"/>
      <c r="DR169" s="1795"/>
      <c r="DS169" s="264"/>
      <c r="DT169" s="264"/>
      <c r="DU169" s="264"/>
      <c r="DV169" s="264"/>
      <c r="DW169" s="264"/>
      <c r="DX169" s="264"/>
      <c r="DY169" s="264"/>
      <c r="DZ169" s="264"/>
      <c r="EA169" s="264"/>
      <c r="EB169" s="264"/>
      <c r="EC169" s="264"/>
      <c r="ED169" s="264"/>
      <c r="EE169" s="264"/>
      <c r="EF169" s="264"/>
      <c r="EG169" s="264"/>
      <c r="EH169" s="264"/>
      <c r="EI169" s="264"/>
      <c r="EJ169" s="264"/>
      <c r="EK169" s="264"/>
      <c r="EL169" s="264"/>
      <c r="EM169" s="264"/>
      <c r="EN169" s="264"/>
      <c r="EO169" s="264"/>
      <c r="EP169" s="264"/>
      <c r="EQ169" s="264"/>
      <c r="ER169" s="264"/>
    </row>
    <row r="170" spans="1:148" s="934" customFormat="1" ht="12" hidden="1" outlineLevel="1">
      <c r="A170" s="1760" t="s">
        <v>221</v>
      </c>
      <c r="B170" s="1761"/>
      <c r="C170" s="1761"/>
      <c r="D170" s="1761"/>
      <c r="E170" s="1761"/>
      <c r="F170" s="1761"/>
      <c r="G170" s="1761"/>
      <c r="H170" s="1761"/>
      <c r="I170" s="1761"/>
      <c r="J170" s="1761"/>
      <c r="K170" s="1761"/>
      <c r="L170" s="1761"/>
      <c r="M170" s="1761"/>
      <c r="N170" s="1761"/>
      <c r="O170" s="1761"/>
      <c r="P170" s="1761"/>
      <c r="Q170" s="1761"/>
      <c r="R170" s="1761"/>
      <c r="S170" s="1761"/>
      <c r="T170" s="1761"/>
      <c r="U170" s="1761"/>
      <c r="V170" s="1761"/>
      <c r="W170" s="1761"/>
      <c r="X170" s="1761"/>
      <c r="Y170" s="1761"/>
      <c r="Z170" s="1761"/>
      <c r="AA170" s="1761"/>
      <c r="AB170" s="1761"/>
      <c r="AC170" s="1761"/>
      <c r="AD170" s="1761"/>
      <c r="AE170" s="1761"/>
      <c r="AF170" s="1761"/>
      <c r="AG170" s="1761"/>
      <c r="AH170" s="1761"/>
      <c r="AI170" s="1761"/>
      <c r="AJ170" s="1761"/>
      <c r="AK170" s="1761"/>
      <c r="AL170" s="1761"/>
      <c r="AM170" s="1761"/>
      <c r="AN170" s="1761"/>
      <c r="AO170" s="1761"/>
      <c r="AP170" s="1761"/>
      <c r="AQ170" s="1761"/>
      <c r="AR170" s="1761"/>
      <c r="AS170" s="1761"/>
      <c r="AT170" s="1761"/>
      <c r="AU170" s="1801"/>
      <c r="AV170" s="1761"/>
      <c r="AW170" s="1761"/>
      <c r="AX170" s="1761"/>
      <c r="AY170" s="1761"/>
      <c r="AZ170" s="1801"/>
      <c r="BA170" s="1802">
        <v>470</v>
      </c>
      <c r="BB170" s="1802">
        <v>692</v>
      </c>
      <c r="BC170" s="1802">
        <v>428</v>
      </c>
      <c r="BD170" s="1802">
        <v>408</v>
      </c>
      <c r="BE170" s="1801">
        <f>SUM(BA170:BD170)</f>
        <v>1998</v>
      </c>
      <c r="BF170" s="1802">
        <v>362</v>
      </c>
      <c r="BG170" s="1802">
        <v>886</v>
      </c>
      <c r="BH170" s="1802">
        <v>430</v>
      </c>
      <c r="BI170" s="1802">
        <v>368</v>
      </c>
      <c r="BJ170" s="1801">
        <f>SUM(BF170:BI170)</f>
        <v>2046</v>
      </c>
      <c r="BK170" s="1764">
        <v>324</v>
      </c>
      <c r="BL170" s="1764">
        <v>387</v>
      </c>
      <c r="BM170" s="1764">
        <v>391</v>
      </c>
      <c r="BN170" s="1802">
        <v>291</v>
      </c>
      <c r="BO170" s="1801">
        <f>SUM(BK170:BN170)</f>
        <v>1393</v>
      </c>
      <c r="BP170" s="1764">
        <v>312</v>
      </c>
      <c r="BQ170" s="1764">
        <v>550</v>
      </c>
      <c r="BR170" s="1764">
        <v>566</v>
      </c>
      <c r="BS170" s="1802">
        <v>594</v>
      </c>
      <c r="BT170" s="1829">
        <f>SUM(BP170:BS170)</f>
        <v>2022</v>
      </c>
      <c r="BU170" s="2802" t="e">
        <f>BU171*BU114</f>
        <v>#REF!</v>
      </c>
      <c r="BV170" s="2802" t="e">
        <f>BV171*BV114</f>
        <v>#REF!</v>
      </c>
      <c r="BW170" s="2803" t="e">
        <f>BW171*BW114</f>
        <v>#REF!</v>
      </c>
      <c r="BX170" s="2803" t="e">
        <f>BX171*BX114</f>
        <v>#REF!</v>
      </c>
      <c r="BY170" s="1829" t="e">
        <f>SUM(BU170:BX170)</f>
        <v>#REF!</v>
      </c>
      <c r="BZ170" s="2803" t="e">
        <f>BZ171*BZ114</f>
        <v>#REF!</v>
      </c>
      <c r="CA170" s="2803" t="e">
        <f>CA171*CA114</f>
        <v>#REF!</v>
      </c>
      <c r="CB170" s="2803" t="e">
        <f>CB171*CB114</f>
        <v>#REF!</v>
      </c>
      <c r="CC170" s="2803" t="e">
        <f>CC171*CC114</f>
        <v>#REF!</v>
      </c>
      <c r="CD170" s="1829" t="e">
        <f>SUM(BZ170:CC170)</f>
        <v>#REF!</v>
      </c>
      <c r="CE170" s="1765" t="e">
        <f>CE171*CE114</f>
        <v>#REF!</v>
      </c>
      <c r="CF170" s="1765" t="e">
        <f>CF171*CF114</f>
        <v>#REF!</v>
      </c>
      <c r="CG170" s="1765" t="e">
        <f>CG171*CG114</f>
        <v>#REF!</v>
      </c>
      <c r="CH170" s="1765" t="e">
        <f>CH171*CH114</f>
        <v>#REF!</v>
      </c>
      <c r="CI170" s="1829" t="e">
        <f>SUM(CE170:CH170)</f>
        <v>#REF!</v>
      </c>
      <c r="CJ170" s="1765" t="e">
        <f>CJ171*CJ114</f>
        <v>#REF!</v>
      </c>
      <c r="CK170" s="1765" t="e">
        <f>CK171*CK114</f>
        <v>#REF!</v>
      </c>
      <c r="CL170" s="1765" t="e">
        <f>CL171*CL114</f>
        <v>#REF!</v>
      </c>
      <c r="CM170" s="1765" t="e">
        <f>CM171*CM114</f>
        <v>#REF!</v>
      </c>
      <c r="CN170" s="1829" t="e">
        <f>SUM(CJ170:CM170)</f>
        <v>#REF!</v>
      </c>
      <c r="CO170" s="1765" t="e">
        <f>CO171*CO114</f>
        <v>#REF!</v>
      </c>
      <c r="CP170" s="1765" t="e">
        <f>CP171*CP114</f>
        <v>#REF!</v>
      </c>
      <c r="CQ170" s="1765" t="e">
        <f>CQ171*CQ114</f>
        <v>#REF!</v>
      </c>
      <c r="CR170" s="1765" t="e">
        <f>CR171*CR114</f>
        <v>#REF!</v>
      </c>
      <c r="CS170" s="1829" t="e">
        <f>SUM(CO170:CR170)</f>
        <v>#REF!</v>
      </c>
      <c r="CT170" s="1765" t="e">
        <f>CT171*CT114</f>
        <v>#REF!</v>
      </c>
      <c r="CU170" s="1765" t="e">
        <f>CU171*CU114</f>
        <v>#REF!</v>
      </c>
      <c r="CV170" s="1765" t="e">
        <f>CV171*CV114</f>
        <v>#REF!</v>
      </c>
      <c r="CW170" s="1765" t="e">
        <f>CW171*CW114</f>
        <v>#REF!</v>
      </c>
      <c r="CX170" s="1829" t="e">
        <f>SUM(CT170:CW170)</f>
        <v>#REF!</v>
      </c>
      <c r="CY170" s="1761"/>
      <c r="CZ170" s="1761"/>
      <c r="DA170" s="1801"/>
      <c r="DB170" s="1801"/>
      <c r="DC170" s="1801"/>
      <c r="DD170" s="1801"/>
      <c r="DE170" s="1801"/>
      <c r="DF170" s="1801"/>
      <c r="DG170" s="1804"/>
      <c r="DH170" s="1804"/>
      <c r="DI170" s="1762">
        <f>SUM(BC170:BD170,BF170:BG170)</f>
        <v>2084</v>
      </c>
      <c r="DJ170" s="1766">
        <f>SUM(BH170:BI170,BK170:BL170)</f>
        <v>1509</v>
      </c>
      <c r="DK170" s="1766">
        <f>SUM(BM170:BN170,BP170:BQ170)</f>
        <v>1544</v>
      </c>
      <c r="DL170" s="1766" t="e">
        <f>SUM(BU170:BV170,BR170:BS170)</f>
        <v>#REF!</v>
      </c>
      <c r="DM170" s="1762" t="e">
        <f>SUM(BW170:BX170,BZ170:CA170)</f>
        <v>#REF!</v>
      </c>
      <c r="DN170" s="1762" t="e">
        <f>SUM(CB170:CC170,CE170:CF170)</f>
        <v>#REF!</v>
      </c>
      <c r="DO170" s="1762"/>
      <c r="DP170" s="1762"/>
      <c r="DQ170" s="1762"/>
      <c r="DR170" s="1795"/>
      <c r="DS170" s="264"/>
      <c r="DT170" s="264"/>
      <c r="DU170" s="264"/>
      <c r="DV170" s="264"/>
      <c r="DW170" s="264"/>
      <c r="DX170" s="264"/>
      <c r="DY170" s="264"/>
      <c r="DZ170" s="264"/>
      <c r="EA170" s="264"/>
      <c r="EB170" s="264"/>
      <c r="EC170" s="264"/>
      <c r="ED170" s="264"/>
      <c r="EE170" s="264"/>
      <c r="EF170" s="264"/>
      <c r="EG170" s="264"/>
      <c r="EH170" s="264"/>
      <c r="EI170" s="264"/>
      <c r="EJ170" s="264"/>
      <c r="EK170" s="264"/>
      <c r="EL170" s="264"/>
      <c r="EM170" s="264"/>
      <c r="EN170" s="264"/>
      <c r="EO170" s="264"/>
      <c r="EP170" s="264"/>
      <c r="EQ170" s="264"/>
      <c r="ER170" s="264"/>
    </row>
    <row r="171" spans="1:148" s="934" customFormat="1" ht="12" hidden="1" outlineLevel="1">
      <c r="A171" s="1760" t="s">
        <v>220</v>
      </c>
      <c r="B171" s="1761"/>
      <c r="C171" s="1761"/>
      <c r="D171" s="1761"/>
      <c r="E171" s="1761"/>
      <c r="F171" s="1761"/>
      <c r="G171" s="1761"/>
      <c r="H171" s="1761"/>
      <c r="I171" s="1761"/>
      <c r="J171" s="1761"/>
      <c r="K171" s="1761"/>
      <c r="L171" s="1761"/>
      <c r="M171" s="1761"/>
      <c r="N171" s="1761"/>
      <c r="O171" s="1761"/>
      <c r="P171" s="1761"/>
      <c r="Q171" s="1761"/>
      <c r="R171" s="1761"/>
      <c r="S171" s="1761"/>
      <c r="T171" s="1761"/>
      <c r="U171" s="1761"/>
      <c r="V171" s="1761"/>
      <c r="W171" s="1761"/>
      <c r="X171" s="1761"/>
      <c r="Y171" s="1761"/>
      <c r="Z171" s="1761"/>
      <c r="AA171" s="1761"/>
      <c r="AB171" s="1761"/>
      <c r="AC171" s="1761"/>
      <c r="AD171" s="1761"/>
      <c r="AE171" s="1761"/>
      <c r="AF171" s="1761"/>
      <c r="AG171" s="1761"/>
      <c r="AH171" s="1761"/>
      <c r="AI171" s="1761"/>
      <c r="AJ171" s="1761"/>
      <c r="AK171" s="1761"/>
      <c r="AL171" s="1761"/>
      <c r="AM171" s="1761"/>
      <c r="AN171" s="1761"/>
      <c r="AO171" s="1761"/>
      <c r="AP171" s="1761"/>
      <c r="AQ171" s="1761"/>
      <c r="AR171" s="1761"/>
      <c r="AS171" s="1761"/>
      <c r="AT171" s="1761"/>
      <c r="AU171" s="1774"/>
      <c r="AV171" s="1761"/>
      <c r="AW171" s="1761"/>
      <c r="AX171" s="1761"/>
      <c r="AY171" s="1761"/>
      <c r="AZ171" s="1774"/>
      <c r="BA171" s="1786">
        <f t="shared" ref="BA171:BT171" si="230">BA170/BA114</f>
        <v>0.31023102310231021</v>
      </c>
      <c r="BB171" s="1786">
        <f t="shared" si="230"/>
        <v>0.39815880322209435</v>
      </c>
      <c r="BC171" s="1786">
        <f t="shared" si="230"/>
        <v>0.29784272790535837</v>
      </c>
      <c r="BD171" s="1786">
        <f t="shared" si="230"/>
        <v>0.2696629213483146</v>
      </c>
      <c r="BE171" s="1774">
        <f t="shared" si="230"/>
        <v>0.32210220860873773</v>
      </c>
      <c r="BF171" s="1786">
        <f t="shared" si="230"/>
        <v>0.25857142857142856</v>
      </c>
      <c r="BG171" s="1786">
        <f t="shared" si="230"/>
        <v>0.44322161080540268</v>
      </c>
      <c r="BH171" s="1786">
        <f t="shared" si="230"/>
        <v>0.25966183574879226</v>
      </c>
      <c r="BI171" s="1786">
        <f t="shared" si="230"/>
        <v>0.23544465770953296</v>
      </c>
      <c r="BJ171" s="1774">
        <f t="shared" si="230"/>
        <v>0.30915684496826834</v>
      </c>
      <c r="BK171" s="1786">
        <f t="shared" si="230"/>
        <v>0.20849420849420849</v>
      </c>
      <c r="BL171" s="1786">
        <f t="shared" si="230"/>
        <v>0.20651013874066168</v>
      </c>
      <c r="BM171" s="1786">
        <f t="shared" si="230"/>
        <v>0.21436403508771928</v>
      </c>
      <c r="BN171" s="1786">
        <f t="shared" si="230"/>
        <v>0.16515323496027243</v>
      </c>
      <c r="BO171" s="1774">
        <f t="shared" si="230"/>
        <v>0.19860279441117765</v>
      </c>
      <c r="BP171" s="1786">
        <f t="shared" si="230"/>
        <v>0.17247097844112769</v>
      </c>
      <c r="BQ171" s="1786">
        <f t="shared" si="230"/>
        <v>0.22577996715927751</v>
      </c>
      <c r="BR171" s="1786">
        <f t="shared" si="230"/>
        <v>0.24824561403508771</v>
      </c>
      <c r="BS171" s="1786">
        <f t="shared" si="230"/>
        <v>0.25826086956521738</v>
      </c>
      <c r="BT171" s="1774">
        <f t="shared" si="230"/>
        <v>0.22912181303116147</v>
      </c>
      <c r="BU171" s="1786">
        <v>0.28000000000000003</v>
      </c>
      <c r="BV171" s="1786">
        <f>BU171+0.005</f>
        <v>0.28500000000000003</v>
      </c>
      <c r="BW171" s="1831">
        <f>BU171+0.015</f>
        <v>0.29500000000000004</v>
      </c>
      <c r="BX171" s="1831">
        <f>BV171+0.025</f>
        <v>0.31000000000000005</v>
      </c>
      <c r="BY171" s="1774" t="e">
        <f>BY170/BY114</f>
        <v>#REF!</v>
      </c>
      <c r="BZ171" s="1831">
        <f>BX171+0.015</f>
        <v>0.32500000000000007</v>
      </c>
      <c r="CA171" s="1831" t="e">
        <f>BY171+0.025</f>
        <v>#REF!</v>
      </c>
      <c r="CB171" s="1831">
        <f>BZ171+0.025</f>
        <v>0.35000000000000009</v>
      </c>
      <c r="CC171" s="1831" t="e">
        <f>CA171+0.025</f>
        <v>#REF!</v>
      </c>
      <c r="CD171" s="1774" t="e">
        <f>CD170/CD114</f>
        <v>#REF!</v>
      </c>
      <c r="CE171" s="1831" t="e">
        <f>CC171+0.015</f>
        <v>#REF!</v>
      </c>
      <c r="CF171" s="1831" t="e">
        <f>CD171+0.025</f>
        <v>#REF!</v>
      </c>
      <c r="CG171" s="1831" t="e">
        <f>CE171+0.025</f>
        <v>#REF!</v>
      </c>
      <c r="CH171" s="1831" t="e">
        <f>CF171+0.025</f>
        <v>#REF!</v>
      </c>
      <c r="CI171" s="1774" t="e">
        <f>CI170/CI114</f>
        <v>#REF!</v>
      </c>
      <c r="CJ171" s="1831" t="e">
        <f>CH171+0.015</f>
        <v>#REF!</v>
      </c>
      <c r="CK171" s="1831" t="e">
        <f>CI171+0.025</f>
        <v>#REF!</v>
      </c>
      <c r="CL171" s="1831" t="e">
        <f>CJ171+0.025</f>
        <v>#REF!</v>
      </c>
      <c r="CM171" s="1831" t="e">
        <f>CK171+0.025</f>
        <v>#REF!</v>
      </c>
      <c r="CN171" s="1774" t="e">
        <f>CN170/CN114</f>
        <v>#REF!</v>
      </c>
      <c r="CO171" s="1831" t="e">
        <f>CM171+0.015</f>
        <v>#REF!</v>
      </c>
      <c r="CP171" s="1831" t="e">
        <f>CN171+0.025</f>
        <v>#REF!</v>
      </c>
      <c r="CQ171" s="1831" t="e">
        <f>CO171+0.025</f>
        <v>#REF!</v>
      </c>
      <c r="CR171" s="1831" t="e">
        <f>CP171+0.025</f>
        <v>#REF!</v>
      </c>
      <c r="CS171" s="1774" t="e">
        <f>CS170/CS114</f>
        <v>#REF!</v>
      </c>
      <c r="CT171" s="1831" t="e">
        <f>CR171+0.015</f>
        <v>#REF!</v>
      </c>
      <c r="CU171" s="1831" t="e">
        <f>CS171+0.025</f>
        <v>#REF!</v>
      </c>
      <c r="CV171" s="1831" t="e">
        <f>CT171+0.025</f>
        <v>#REF!</v>
      </c>
      <c r="CW171" s="1831" t="e">
        <f>CU171+0.025</f>
        <v>#REF!</v>
      </c>
      <c r="CX171" s="1774" t="e">
        <f>CX170/CX114</f>
        <v>#REF!</v>
      </c>
      <c r="CY171" s="1761"/>
      <c r="CZ171" s="1761"/>
      <c r="DA171" s="1774"/>
      <c r="DB171" s="1774"/>
      <c r="DC171" s="1774"/>
      <c r="DD171" s="1774"/>
      <c r="DE171" s="1774"/>
      <c r="DF171" s="1774"/>
      <c r="DG171" s="1773"/>
      <c r="DH171" s="1773"/>
      <c r="DI171" s="1774">
        <f t="shared" ref="DI171:DN171" si="231">DI170/DI114</f>
        <v>0.32824066782170419</v>
      </c>
      <c r="DJ171" s="1773">
        <f t="shared" si="231"/>
        <v>0.22701970813901007</v>
      </c>
      <c r="DK171" s="1773">
        <f t="shared" si="231"/>
        <v>0.19716511301238668</v>
      </c>
      <c r="DL171" s="1773" t="e">
        <f t="shared" si="231"/>
        <v>#REF!</v>
      </c>
      <c r="DM171" s="1774" t="e">
        <f t="shared" si="231"/>
        <v>#REF!</v>
      </c>
      <c r="DN171" s="1774" t="e">
        <f t="shared" si="231"/>
        <v>#REF!</v>
      </c>
      <c r="DO171" s="1774"/>
      <c r="DP171" s="1774"/>
      <c r="DQ171" s="1774"/>
      <c r="DR171" s="1785"/>
      <c r="DS171" s="264"/>
      <c r="DT171" s="264"/>
      <c r="DU171" s="264"/>
      <c r="DV171" s="264"/>
      <c r="DW171" s="264"/>
      <c r="DX171" s="264"/>
      <c r="DY171" s="264"/>
      <c r="DZ171" s="264"/>
      <c r="EA171" s="264"/>
      <c r="EB171" s="264"/>
      <c r="EC171" s="264"/>
      <c r="ED171" s="264"/>
      <c r="EE171" s="264"/>
      <c r="EF171" s="264"/>
      <c r="EG171" s="264"/>
      <c r="EH171" s="264"/>
      <c r="EI171" s="264"/>
      <c r="EJ171" s="264"/>
      <c r="EK171" s="264"/>
      <c r="EL171" s="264"/>
      <c r="EM171" s="264"/>
      <c r="EN171" s="264"/>
      <c r="EO171" s="264"/>
      <c r="EP171" s="264"/>
      <c r="EQ171" s="264"/>
      <c r="ER171" s="264"/>
    </row>
    <row r="172" spans="1:148" s="934" customFormat="1" ht="3.75" hidden="1" customHeight="1" outlineLevel="1" thickBot="1">
      <c r="A172" s="1760"/>
      <c r="B172" s="1761"/>
      <c r="C172" s="1761"/>
      <c r="D172" s="1761"/>
      <c r="E172" s="1761"/>
      <c r="F172" s="1761"/>
      <c r="G172" s="1761"/>
      <c r="H172" s="1761"/>
      <c r="I172" s="1761"/>
      <c r="J172" s="1761"/>
      <c r="K172" s="1761"/>
      <c r="L172" s="1761"/>
      <c r="M172" s="1761"/>
      <c r="N172" s="1761"/>
      <c r="O172" s="1761"/>
      <c r="P172" s="1761"/>
      <c r="Q172" s="1761"/>
      <c r="R172" s="1761"/>
      <c r="S172" s="1761"/>
      <c r="T172" s="1761"/>
      <c r="U172" s="1761"/>
      <c r="V172" s="1761"/>
      <c r="W172" s="1761"/>
      <c r="X172" s="1761"/>
      <c r="Y172" s="1761"/>
      <c r="Z172" s="1761"/>
      <c r="AA172" s="1761"/>
      <c r="AB172" s="1761"/>
      <c r="AC172" s="1761"/>
      <c r="AD172" s="1761"/>
      <c r="AE172" s="1761"/>
      <c r="AF172" s="1761"/>
      <c r="AG172" s="1761"/>
      <c r="AH172" s="1761"/>
      <c r="AI172" s="1761"/>
      <c r="AJ172" s="1761"/>
      <c r="AK172" s="1761"/>
      <c r="AL172" s="1761"/>
      <c r="AM172" s="1761"/>
      <c r="AN172" s="1761"/>
      <c r="AO172" s="1761"/>
      <c r="AP172" s="1761"/>
      <c r="AQ172" s="1761"/>
      <c r="AR172" s="1761"/>
      <c r="AS172" s="1761"/>
      <c r="AT172" s="1761"/>
      <c r="AU172" s="1774"/>
      <c r="AV172" s="1761"/>
      <c r="AW172" s="1761"/>
      <c r="AX172" s="1761"/>
      <c r="AY172" s="1761"/>
      <c r="AZ172" s="1774"/>
      <c r="BA172" s="1785"/>
      <c r="BB172" s="1785"/>
      <c r="BC172" s="1785"/>
      <c r="BD172" s="1785"/>
      <c r="BE172" s="1774"/>
      <c r="BF172" s="1785"/>
      <c r="BG172" s="1785"/>
      <c r="BH172" s="1785"/>
      <c r="BI172" s="1785"/>
      <c r="BJ172" s="1774"/>
      <c r="BK172" s="1761"/>
      <c r="BL172" s="1761"/>
      <c r="BM172" s="1761"/>
      <c r="BN172" s="1785"/>
      <c r="BO172" s="1774"/>
      <c r="BP172" s="1761"/>
      <c r="BQ172" s="1761"/>
      <c r="BR172" s="1761"/>
      <c r="BS172" s="1785"/>
      <c r="BT172" s="1774"/>
      <c r="BU172" s="2804"/>
      <c r="BV172" s="2804"/>
      <c r="BW172" s="2804"/>
      <c r="BX172" s="2804"/>
      <c r="BY172" s="1774"/>
      <c r="BZ172" s="2804"/>
      <c r="CA172" s="2804"/>
      <c r="CB172" s="2804"/>
      <c r="CC172" s="2804"/>
      <c r="CD172" s="1774"/>
      <c r="CE172" s="1761"/>
      <c r="CF172" s="1761"/>
      <c r="CG172" s="1761"/>
      <c r="CH172" s="1761"/>
      <c r="CI172" s="1774"/>
      <c r="CJ172" s="1761"/>
      <c r="CK172" s="1761"/>
      <c r="CL172" s="1761"/>
      <c r="CM172" s="1761"/>
      <c r="CN172" s="1774"/>
      <c r="CO172" s="1761"/>
      <c r="CP172" s="1761"/>
      <c r="CQ172" s="1761"/>
      <c r="CR172" s="1761"/>
      <c r="CS172" s="1774"/>
      <c r="CT172" s="1761"/>
      <c r="CU172" s="1761"/>
      <c r="CV172" s="1761"/>
      <c r="CW172" s="1761"/>
      <c r="CX172" s="1774"/>
      <c r="CY172" s="1761"/>
      <c r="CZ172" s="1761"/>
      <c r="DA172" s="1774"/>
      <c r="DB172" s="1774"/>
      <c r="DC172" s="1774"/>
      <c r="DD172" s="1774"/>
      <c r="DE172" s="1774"/>
      <c r="DF172" s="1774"/>
      <c r="DG172" s="1773"/>
      <c r="DH172" s="1773"/>
      <c r="DI172" s="1774"/>
      <c r="DJ172" s="1773"/>
      <c r="DK172" s="1773"/>
      <c r="DL172" s="1773"/>
      <c r="DM172" s="1774"/>
      <c r="DN172" s="1774"/>
      <c r="DO172" s="1774"/>
      <c r="DP172" s="1774"/>
      <c r="DQ172" s="1774"/>
      <c r="DR172" s="1785"/>
      <c r="DS172" s="264"/>
      <c r="DT172" s="264"/>
      <c r="DU172" s="264"/>
      <c r="DV172" s="264"/>
      <c r="DW172" s="264"/>
      <c r="DX172" s="264"/>
      <c r="DY172" s="264"/>
      <c r="DZ172" s="264"/>
      <c r="EA172" s="264"/>
      <c r="EB172" s="264"/>
      <c r="EC172" s="264"/>
      <c r="ED172" s="264"/>
      <c r="EE172" s="264"/>
      <c r="EF172" s="264"/>
      <c r="EG172" s="264"/>
      <c r="EH172" s="264"/>
      <c r="EI172" s="264"/>
      <c r="EJ172" s="264"/>
      <c r="EK172" s="264"/>
      <c r="EL172" s="264"/>
      <c r="EM172" s="264"/>
      <c r="EN172" s="264"/>
      <c r="EO172" s="264"/>
      <c r="EP172" s="264"/>
      <c r="EQ172" s="264"/>
      <c r="ER172" s="264"/>
    </row>
    <row r="173" spans="1:148" s="934" customFormat="1" ht="12" hidden="1" outlineLevel="1">
      <c r="A173" s="1834" t="s">
        <v>486</v>
      </c>
      <c r="B173" s="1835"/>
      <c r="C173" s="1835"/>
      <c r="D173" s="1835"/>
      <c r="E173" s="1835"/>
      <c r="F173" s="1835"/>
      <c r="G173" s="1835"/>
      <c r="H173" s="1835"/>
      <c r="I173" s="1835"/>
      <c r="J173" s="1835"/>
      <c r="K173" s="1835"/>
      <c r="L173" s="1835"/>
      <c r="M173" s="1835"/>
      <c r="N173" s="1835"/>
      <c r="O173" s="1835"/>
      <c r="P173" s="1835"/>
      <c r="Q173" s="1835"/>
      <c r="R173" s="1835"/>
      <c r="S173" s="1835"/>
      <c r="T173" s="1835"/>
      <c r="U173" s="1835"/>
      <c r="V173" s="1835"/>
      <c r="W173" s="1835"/>
      <c r="X173" s="1835"/>
      <c r="Y173" s="1835"/>
      <c r="Z173" s="1835"/>
      <c r="AA173" s="1835"/>
      <c r="AB173" s="1835"/>
      <c r="AC173" s="1835"/>
      <c r="AD173" s="1835"/>
      <c r="AE173" s="1835"/>
      <c r="AF173" s="1835"/>
      <c r="AG173" s="1835"/>
      <c r="AH173" s="1835"/>
      <c r="AI173" s="1835"/>
      <c r="AJ173" s="1835"/>
      <c r="AK173" s="1835"/>
      <c r="AL173" s="1835"/>
      <c r="AM173" s="1835"/>
      <c r="AN173" s="1835"/>
      <c r="AO173" s="1835"/>
      <c r="AP173" s="1835"/>
      <c r="AQ173" s="1835"/>
      <c r="AR173" s="1835"/>
      <c r="AS173" s="1835"/>
      <c r="AT173" s="1835"/>
      <c r="AU173" s="1836"/>
      <c r="AV173" s="1835"/>
      <c r="AW173" s="1835"/>
      <c r="AX173" s="1835"/>
      <c r="AY173" s="1835"/>
      <c r="AZ173" s="1836"/>
      <c r="BA173" s="1837">
        <f>BA170+BA162+BA158</f>
        <v>5729</v>
      </c>
      <c r="BB173" s="1837">
        <f>BB170+BB162+BB158</f>
        <v>6126</v>
      </c>
      <c r="BC173" s="1837">
        <f>BC170+BC162+BC158</f>
        <v>4964</v>
      </c>
      <c r="BD173" s="1837">
        <f>BD170+BD162+BD158</f>
        <v>4914</v>
      </c>
      <c r="BE173" s="1838">
        <f>BE170+BE162+BE158+BE166</f>
        <v>21733</v>
      </c>
      <c r="BF173" s="1837">
        <f t="shared" ref="BF173:CI173" si="232">BF170+BF162+BF158+BF166</f>
        <v>4913</v>
      </c>
      <c r="BG173" s="1837">
        <f t="shared" si="232"/>
        <v>6779</v>
      </c>
      <c r="BH173" s="1837">
        <f t="shared" si="232"/>
        <v>4752</v>
      </c>
      <c r="BI173" s="1837">
        <f t="shared" si="232"/>
        <v>3602</v>
      </c>
      <c r="BJ173" s="1838">
        <f t="shared" si="232"/>
        <v>20046</v>
      </c>
      <c r="BK173" s="1839">
        <f t="shared" si="232"/>
        <v>4449</v>
      </c>
      <c r="BL173" s="1839">
        <f t="shared" si="232"/>
        <v>5779</v>
      </c>
      <c r="BM173" s="1839">
        <f t="shared" si="232"/>
        <v>4666</v>
      </c>
      <c r="BN173" s="1837">
        <f>BN170+BN162+BN158+BN166</f>
        <v>4884</v>
      </c>
      <c r="BO173" s="1838">
        <f t="shared" si="232"/>
        <v>19778</v>
      </c>
      <c r="BP173" s="1839">
        <f t="shared" si="232"/>
        <v>5087</v>
      </c>
      <c r="BQ173" s="1839">
        <f t="shared" si="232"/>
        <v>5217</v>
      </c>
      <c r="BR173" s="1839">
        <f t="shared" si="232"/>
        <v>4186</v>
      </c>
      <c r="BS173" s="1837">
        <f>BS170+BS162+BS158+BS166</f>
        <v>3891</v>
      </c>
      <c r="BT173" s="1840">
        <f t="shared" si="232"/>
        <v>18381</v>
      </c>
      <c r="BU173" s="2810" t="e">
        <f t="shared" si="232"/>
        <v>#REF!</v>
      </c>
      <c r="BV173" s="2810" t="e">
        <f t="shared" si="232"/>
        <v>#REF!</v>
      </c>
      <c r="BW173" s="2810" t="e">
        <f t="shared" si="232"/>
        <v>#REF!</v>
      </c>
      <c r="BX173" s="2810" t="e">
        <f t="shared" si="232"/>
        <v>#REF!</v>
      </c>
      <c r="BY173" s="1840" t="e">
        <f t="shared" si="232"/>
        <v>#REF!</v>
      </c>
      <c r="BZ173" s="2810" t="e">
        <f t="shared" si="232"/>
        <v>#REF!</v>
      </c>
      <c r="CA173" s="2810" t="e">
        <f t="shared" si="232"/>
        <v>#REF!</v>
      </c>
      <c r="CB173" s="2810" t="e">
        <f t="shared" si="232"/>
        <v>#REF!</v>
      </c>
      <c r="CC173" s="2810" t="e">
        <f t="shared" si="232"/>
        <v>#REF!</v>
      </c>
      <c r="CD173" s="1840" t="e">
        <f t="shared" si="232"/>
        <v>#REF!</v>
      </c>
      <c r="CE173" s="1839" t="e">
        <f t="shared" si="232"/>
        <v>#REF!</v>
      </c>
      <c r="CF173" s="1839" t="e">
        <f t="shared" si="232"/>
        <v>#REF!</v>
      </c>
      <c r="CG173" s="1839" t="e">
        <f t="shared" si="232"/>
        <v>#REF!</v>
      </c>
      <c r="CH173" s="1839" t="e">
        <f t="shared" si="232"/>
        <v>#REF!</v>
      </c>
      <c r="CI173" s="1840" t="e">
        <f t="shared" si="232"/>
        <v>#REF!</v>
      </c>
      <c r="CJ173" s="1839" t="e">
        <f t="shared" ref="CJ173:CS173" si="233">CJ170+CJ162+CJ158+CJ166</f>
        <v>#REF!</v>
      </c>
      <c r="CK173" s="1839" t="e">
        <f t="shared" si="233"/>
        <v>#REF!</v>
      </c>
      <c r="CL173" s="1839" t="e">
        <f t="shared" si="233"/>
        <v>#REF!</v>
      </c>
      <c r="CM173" s="1839" t="e">
        <f t="shared" si="233"/>
        <v>#REF!</v>
      </c>
      <c r="CN173" s="1840" t="e">
        <f t="shared" si="233"/>
        <v>#REF!</v>
      </c>
      <c r="CO173" s="1839" t="e">
        <f t="shared" si="233"/>
        <v>#REF!</v>
      </c>
      <c r="CP173" s="1839" t="e">
        <f t="shared" si="233"/>
        <v>#REF!</v>
      </c>
      <c r="CQ173" s="1839" t="e">
        <f t="shared" si="233"/>
        <v>#REF!</v>
      </c>
      <c r="CR173" s="1839" t="e">
        <f t="shared" si="233"/>
        <v>#REF!</v>
      </c>
      <c r="CS173" s="1840" t="e">
        <f t="shared" si="233"/>
        <v>#REF!</v>
      </c>
      <c r="CT173" s="1839" t="e">
        <f t="shared" ref="CT173:CX173" si="234">CT170+CT162+CT158+CT166</f>
        <v>#REF!</v>
      </c>
      <c r="CU173" s="1839" t="e">
        <f t="shared" si="234"/>
        <v>#REF!</v>
      </c>
      <c r="CV173" s="1839" t="e">
        <f t="shared" si="234"/>
        <v>#REF!</v>
      </c>
      <c r="CW173" s="1839" t="e">
        <f t="shared" si="234"/>
        <v>#REF!</v>
      </c>
      <c r="CX173" s="1840" t="e">
        <f t="shared" si="234"/>
        <v>#REF!</v>
      </c>
      <c r="CY173" s="1835"/>
      <c r="CZ173" s="1835"/>
      <c r="DA173" s="1836"/>
      <c r="DB173" s="1836"/>
      <c r="DC173" s="1836"/>
      <c r="DD173" s="1836"/>
      <c r="DE173" s="1836"/>
      <c r="DF173" s="1836"/>
      <c r="DG173" s="1841"/>
      <c r="DH173" s="1841"/>
      <c r="DI173" s="1842">
        <f>SUM(BC173:BD173,BF173:BG173)</f>
        <v>21570</v>
      </c>
      <c r="DJ173" s="1843">
        <f>SUM(BH173:BI173,BK173:BL173)</f>
        <v>18582</v>
      </c>
      <c r="DK173" s="1843">
        <f>SUM(BM173:BN173,BP173:BQ173)</f>
        <v>19854</v>
      </c>
      <c r="DL173" s="1843" t="e">
        <f>SUM(BU173:BV173,BR173:BS173)</f>
        <v>#REF!</v>
      </c>
      <c r="DM173" s="1842" t="e">
        <f>SUM(BW173:BX173,BZ173:CA173)</f>
        <v>#REF!</v>
      </c>
      <c r="DN173" s="1842" t="e">
        <f>SUM(CB173:CC173,CE173:CF173)</f>
        <v>#REF!</v>
      </c>
      <c r="DO173" s="1842"/>
      <c r="DP173" s="1842"/>
      <c r="DQ173" s="1842"/>
      <c r="DR173" s="3079"/>
      <c r="DS173" s="264"/>
      <c r="DT173" s="264"/>
      <c r="DU173" s="264"/>
      <c r="DV173" s="264"/>
      <c r="DW173" s="264"/>
      <c r="DX173" s="264"/>
      <c r="DY173" s="264"/>
      <c r="DZ173" s="264"/>
      <c r="EA173" s="264"/>
      <c r="EB173" s="264"/>
      <c r="EC173" s="264"/>
      <c r="ED173" s="264"/>
      <c r="EE173" s="264"/>
      <c r="EF173" s="264"/>
      <c r="EG173" s="264"/>
      <c r="EH173" s="264"/>
      <c r="EI173" s="264"/>
      <c r="EJ173" s="264"/>
      <c r="EK173" s="264"/>
      <c r="EL173" s="264"/>
      <c r="EM173" s="264"/>
      <c r="EN173" s="264"/>
      <c r="EO173" s="264"/>
      <c r="EP173" s="264"/>
      <c r="EQ173" s="264"/>
      <c r="ER173" s="264"/>
    </row>
    <row r="174" spans="1:148" s="934" customFormat="1" ht="12" hidden="1" outlineLevel="1">
      <c r="A174" s="1844" t="s">
        <v>491</v>
      </c>
      <c r="B174" s="1845"/>
      <c r="C174" s="1845"/>
      <c r="D174" s="1845"/>
      <c r="E174" s="1845"/>
      <c r="F174" s="1845"/>
      <c r="G174" s="1845"/>
      <c r="H174" s="1845"/>
      <c r="I174" s="1845"/>
      <c r="J174" s="1845"/>
      <c r="K174" s="1845"/>
      <c r="L174" s="1845"/>
      <c r="M174" s="1845"/>
      <c r="N174" s="1845"/>
      <c r="O174" s="1845"/>
      <c r="P174" s="1845"/>
      <c r="Q174" s="1845"/>
      <c r="R174" s="1845"/>
      <c r="S174" s="1845"/>
      <c r="T174" s="1845"/>
      <c r="U174" s="1845"/>
      <c r="V174" s="1845"/>
      <c r="W174" s="1845"/>
      <c r="X174" s="1845"/>
      <c r="Y174" s="1845"/>
      <c r="Z174" s="1845"/>
      <c r="AA174" s="1845"/>
      <c r="AB174" s="1845"/>
      <c r="AC174" s="1845"/>
      <c r="AD174" s="1845"/>
      <c r="AE174" s="1845"/>
      <c r="AF174" s="1845"/>
      <c r="AG174" s="1845"/>
      <c r="AH174" s="1845"/>
      <c r="AI174" s="1845"/>
      <c r="AJ174" s="1845"/>
      <c r="AK174" s="1845"/>
      <c r="AL174" s="1845"/>
      <c r="AM174" s="1845"/>
      <c r="AN174" s="1845"/>
      <c r="AO174" s="1845"/>
      <c r="AP174" s="1845"/>
      <c r="AQ174" s="1845"/>
      <c r="AR174" s="1845"/>
      <c r="AS174" s="1845"/>
      <c r="AT174" s="1845"/>
      <c r="AU174" s="1846"/>
      <c r="AV174" s="1845"/>
      <c r="AW174" s="1845"/>
      <c r="AX174" s="1845"/>
      <c r="AY174" s="1845"/>
      <c r="AZ174" s="1846"/>
      <c r="BA174" s="1847">
        <f>SUM(BA170,BA162,BA158)/BA119</f>
        <v>0.71845999498369706</v>
      </c>
      <c r="BB174" s="1847">
        <f>SUM(BB170,BB162,BB158)/BB119</f>
        <v>0.60599465822534371</v>
      </c>
      <c r="BC174" s="1847">
        <f>SUM(BC170,BC162,BC158)/BC119</f>
        <v>0.69397455613029502</v>
      </c>
      <c r="BD174" s="1847">
        <f>SUM(BD170,BD162,BD158)/BD119</f>
        <v>0.68231046931407946</v>
      </c>
      <c r="BE174" s="1846">
        <f t="shared" ref="BE174:CI174" si="235">SUM(BE170,BE162,BE158,BE166)/BE119</f>
        <v>0.66998581910105437</v>
      </c>
      <c r="BF174" s="1847">
        <f t="shared" si="235"/>
        <v>0.68598156939402399</v>
      </c>
      <c r="BG174" s="1847">
        <f t="shared" si="235"/>
        <v>0.64500475737392959</v>
      </c>
      <c r="BH174" s="1847">
        <f t="shared" si="235"/>
        <v>0.64129554655870447</v>
      </c>
      <c r="BI174" s="1847">
        <f t="shared" si="235"/>
        <v>0.51325163864348822</v>
      </c>
      <c r="BJ174" s="1846">
        <f t="shared" si="235"/>
        <v>0.62448598130841126</v>
      </c>
      <c r="BK174" s="1848">
        <f t="shared" si="235"/>
        <v>0.59742178058278506</v>
      </c>
      <c r="BL174" s="1848">
        <f t="shared" si="235"/>
        <v>0.48612045760430689</v>
      </c>
      <c r="BM174" s="1848">
        <f t="shared" si="235"/>
        <v>0.56264319305438326</v>
      </c>
      <c r="BN174" s="1847">
        <f t="shared" si="235"/>
        <v>0.48893783161477627</v>
      </c>
      <c r="BO174" s="1846">
        <f t="shared" si="235"/>
        <v>0.52577292181726343</v>
      </c>
      <c r="BP174" s="1848">
        <f t="shared" si="235"/>
        <v>0.46397300255381246</v>
      </c>
      <c r="BQ174" s="1848">
        <f t="shared" si="235"/>
        <v>0.40492083203973922</v>
      </c>
      <c r="BR174" s="1848">
        <f t="shared" si="235"/>
        <v>0.46755277560594216</v>
      </c>
      <c r="BS174" s="1847">
        <f t="shared" si="235"/>
        <v>0.4472413793103448</v>
      </c>
      <c r="BT174" s="1846">
        <f t="shared" si="235"/>
        <v>0.442904990241199</v>
      </c>
      <c r="BU174" s="1848" t="e">
        <f t="shared" si="235"/>
        <v>#REF!</v>
      </c>
      <c r="BV174" s="1848" t="e">
        <f t="shared" si="235"/>
        <v>#REF!</v>
      </c>
      <c r="BW174" s="1848" t="e">
        <f t="shared" si="235"/>
        <v>#REF!</v>
      </c>
      <c r="BX174" s="1848" t="e">
        <f t="shared" si="235"/>
        <v>#REF!</v>
      </c>
      <c r="BY174" s="1846" t="e">
        <f t="shared" si="235"/>
        <v>#REF!</v>
      </c>
      <c r="BZ174" s="1848" t="e">
        <f t="shared" si="235"/>
        <v>#REF!</v>
      </c>
      <c r="CA174" s="1848" t="e">
        <f t="shared" si="235"/>
        <v>#REF!</v>
      </c>
      <c r="CB174" s="1848" t="e">
        <f t="shared" si="235"/>
        <v>#REF!</v>
      </c>
      <c r="CC174" s="1848" t="e">
        <f t="shared" si="235"/>
        <v>#REF!</v>
      </c>
      <c r="CD174" s="1846" t="e">
        <f t="shared" si="235"/>
        <v>#REF!</v>
      </c>
      <c r="CE174" s="1848" t="e">
        <f t="shared" si="235"/>
        <v>#REF!</v>
      </c>
      <c r="CF174" s="1848" t="e">
        <f t="shared" si="235"/>
        <v>#REF!</v>
      </c>
      <c r="CG174" s="1848" t="e">
        <f t="shared" si="235"/>
        <v>#REF!</v>
      </c>
      <c r="CH174" s="1848" t="e">
        <f t="shared" si="235"/>
        <v>#REF!</v>
      </c>
      <c r="CI174" s="1846" t="e">
        <f t="shared" si="235"/>
        <v>#REF!</v>
      </c>
      <c r="CJ174" s="1848" t="e">
        <f t="shared" ref="CJ174:CS174" si="236">SUM(CJ170,CJ162,CJ158,CJ166)/CJ119</f>
        <v>#REF!</v>
      </c>
      <c r="CK174" s="1848" t="e">
        <f t="shared" si="236"/>
        <v>#REF!</v>
      </c>
      <c r="CL174" s="1848" t="e">
        <f t="shared" si="236"/>
        <v>#REF!</v>
      </c>
      <c r="CM174" s="1848" t="e">
        <f t="shared" si="236"/>
        <v>#REF!</v>
      </c>
      <c r="CN174" s="1846" t="e">
        <f t="shared" si="236"/>
        <v>#REF!</v>
      </c>
      <c r="CO174" s="1848" t="e">
        <f t="shared" si="236"/>
        <v>#REF!</v>
      </c>
      <c r="CP174" s="1848" t="e">
        <f t="shared" si="236"/>
        <v>#REF!</v>
      </c>
      <c r="CQ174" s="1848" t="e">
        <f t="shared" si="236"/>
        <v>#REF!</v>
      </c>
      <c r="CR174" s="1848" t="e">
        <f t="shared" si="236"/>
        <v>#REF!</v>
      </c>
      <c r="CS174" s="1846" t="e">
        <f t="shared" si="236"/>
        <v>#REF!</v>
      </c>
      <c r="CT174" s="1848" t="e">
        <f t="shared" ref="CT174:CX174" si="237">SUM(CT170,CT162,CT158,CT166)/CT119</f>
        <v>#REF!</v>
      </c>
      <c r="CU174" s="1848" t="e">
        <f t="shared" si="237"/>
        <v>#REF!</v>
      </c>
      <c r="CV174" s="1848" t="e">
        <f t="shared" si="237"/>
        <v>#REF!</v>
      </c>
      <c r="CW174" s="1848" t="e">
        <f t="shared" si="237"/>
        <v>#REF!</v>
      </c>
      <c r="CX174" s="1846" t="e">
        <f t="shared" si="237"/>
        <v>#REF!</v>
      </c>
      <c r="CY174" s="1849"/>
      <c r="CZ174" s="1849"/>
      <c r="DA174" s="1846"/>
      <c r="DB174" s="1846"/>
      <c r="DC174" s="1846"/>
      <c r="DD174" s="1846"/>
      <c r="DE174" s="1846"/>
      <c r="DF174" s="1846"/>
      <c r="DG174" s="1850"/>
      <c r="DH174" s="1850"/>
      <c r="DI174" s="1851">
        <f t="shared" ref="DI174:DN174" si="238">DI173/DI119</f>
        <v>0.67349423923564489</v>
      </c>
      <c r="DJ174" s="1852">
        <f t="shared" si="238"/>
        <v>0.55036578503095102</v>
      </c>
      <c r="DK174" s="1852">
        <f t="shared" si="238"/>
        <v>0.47125563731307857</v>
      </c>
      <c r="DL174" s="1852" t="e">
        <f t="shared" si="238"/>
        <v>#REF!</v>
      </c>
      <c r="DM174" s="1851" t="e">
        <f t="shared" si="238"/>
        <v>#REF!</v>
      </c>
      <c r="DN174" s="1851" t="e">
        <f t="shared" si="238"/>
        <v>#REF!</v>
      </c>
      <c r="DO174" s="1851"/>
      <c r="DP174" s="1851"/>
      <c r="DQ174" s="1851"/>
      <c r="DR174" s="1785"/>
      <c r="DS174" s="264"/>
      <c r="DT174" s="264"/>
      <c r="DU174" s="264"/>
      <c r="DV174" s="264"/>
      <c r="DW174" s="264"/>
      <c r="DX174" s="264"/>
      <c r="DY174" s="264"/>
      <c r="DZ174" s="264"/>
      <c r="EA174" s="264"/>
      <c r="EB174" s="264"/>
      <c r="EC174" s="264"/>
      <c r="ED174" s="264"/>
      <c r="EE174" s="264"/>
      <c r="EF174" s="264"/>
      <c r="EG174" s="264"/>
      <c r="EH174" s="264"/>
      <c r="EI174" s="264"/>
      <c r="EJ174" s="264"/>
      <c r="EK174" s="264"/>
      <c r="EL174" s="264"/>
      <c r="EM174" s="264"/>
      <c r="EN174" s="264"/>
      <c r="EO174" s="264"/>
      <c r="EP174" s="264"/>
      <c r="EQ174" s="264"/>
      <c r="ER174" s="264"/>
    </row>
    <row r="175" spans="1:148" s="934" customFormat="1" ht="5.25" hidden="1" customHeight="1" outlineLevel="1">
      <c r="A175" s="1853"/>
      <c r="B175" s="1825"/>
      <c r="C175" s="1825"/>
      <c r="D175" s="1825"/>
      <c r="E175" s="1825"/>
      <c r="F175" s="1825"/>
      <c r="G175" s="1825"/>
      <c r="H175" s="1825"/>
      <c r="I175" s="1825"/>
      <c r="J175" s="1825"/>
      <c r="K175" s="1825"/>
      <c r="L175" s="1825"/>
      <c r="M175" s="1825"/>
      <c r="N175" s="1825"/>
      <c r="O175" s="1825"/>
      <c r="P175" s="1825"/>
      <c r="Q175" s="1825"/>
      <c r="R175" s="1825"/>
      <c r="S175" s="1825"/>
      <c r="T175" s="1825"/>
      <c r="U175" s="1825"/>
      <c r="V175" s="1825"/>
      <c r="W175" s="1825"/>
      <c r="X175" s="1825"/>
      <c r="Y175" s="1825"/>
      <c r="Z175" s="1825"/>
      <c r="AA175" s="1825"/>
      <c r="AB175" s="1825"/>
      <c r="AC175" s="1825"/>
      <c r="AD175" s="1825"/>
      <c r="AE175" s="1825"/>
      <c r="AF175" s="1825"/>
      <c r="AG175" s="1825"/>
      <c r="AH175" s="1825"/>
      <c r="AI175" s="1825"/>
      <c r="AJ175" s="1825"/>
      <c r="AK175" s="1825"/>
      <c r="AL175" s="1825"/>
      <c r="AM175" s="1825"/>
      <c r="AN175" s="1825"/>
      <c r="AO175" s="1825"/>
      <c r="AP175" s="1825"/>
      <c r="AQ175" s="1825"/>
      <c r="AR175" s="1825"/>
      <c r="AS175" s="1825"/>
      <c r="AT175" s="1825"/>
      <c r="AU175" s="1826"/>
      <c r="AV175" s="1825"/>
      <c r="AW175" s="1825"/>
      <c r="AX175" s="1825"/>
      <c r="AY175" s="1825"/>
      <c r="AZ175" s="1826"/>
      <c r="BA175" s="1795"/>
      <c r="BB175" s="1795"/>
      <c r="BC175" s="1795"/>
      <c r="BD175" s="1795"/>
      <c r="BE175" s="1826"/>
      <c r="BF175" s="1795"/>
      <c r="BG175" s="1795"/>
      <c r="BH175" s="1795"/>
      <c r="BI175" s="1795"/>
      <c r="BJ175" s="1826"/>
      <c r="BK175" s="1778"/>
      <c r="BL175" s="1778"/>
      <c r="BM175" s="1778"/>
      <c r="BN175" s="1795"/>
      <c r="BO175" s="1826"/>
      <c r="BP175" s="1778"/>
      <c r="BQ175" s="1778"/>
      <c r="BR175" s="1778"/>
      <c r="BS175" s="1795"/>
      <c r="BT175" s="1826"/>
      <c r="BU175" s="2811"/>
      <c r="BV175" s="2811"/>
      <c r="BW175" s="2811"/>
      <c r="BX175" s="2811"/>
      <c r="BY175" s="1826"/>
      <c r="BZ175" s="2811"/>
      <c r="CA175" s="2811"/>
      <c r="CB175" s="2811"/>
      <c r="CC175" s="2811"/>
      <c r="CD175" s="1826"/>
      <c r="CE175" s="1778"/>
      <c r="CF175" s="1778"/>
      <c r="CG175" s="1778"/>
      <c r="CH175" s="1778"/>
      <c r="CI175" s="1826"/>
      <c r="CJ175" s="1778"/>
      <c r="CK175" s="1778"/>
      <c r="CL175" s="1778"/>
      <c r="CM175" s="1778"/>
      <c r="CN175" s="1826"/>
      <c r="CO175" s="1778"/>
      <c r="CP175" s="1778"/>
      <c r="CQ175" s="1778"/>
      <c r="CR175" s="1778"/>
      <c r="CS175" s="1826"/>
      <c r="CT175" s="1778"/>
      <c r="CU175" s="1778"/>
      <c r="CV175" s="1778"/>
      <c r="CW175" s="1778"/>
      <c r="CX175" s="1826"/>
      <c r="CY175" s="1778"/>
      <c r="CZ175" s="1778"/>
      <c r="DA175" s="1826"/>
      <c r="DB175" s="1826"/>
      <c r="DC175" s="1826"/>
      <c r="DD175" s="1826"/>
      <c r="DE175" s="1826"/>
      <c r="DF175" s="1826"/>
      <c r="DG175" s="1854"/>
      <c r="DH175" s="1854"/>
      <c r="DI175" s="1826"/>
      <c r="DJ175" s="1854"/>
      <c r="DK175" s="1854"/>
      <c r="DL175" s="1854"/>
      <c r="DM175" s="1826"/>
      <c r="DN175" s="1826"/>
      <c r="DO175" s="1826"/>
      <c r="DP175" s="1826"/>
      <c r="DQ175" s="1826"/>
      <c r="DR175" s="3058"/>
      <c r="DS175" s="264"/>
      <c r="DT175" s="264"/>
      <c r="DU175" s="264"/>
      <c r="DV175" s="264"/>
      <c r="DW175" s="264"/>
      <c r="DX175" s="264"/>
      <c r="DY175" s="264"/>
      <c r="DZ175" s="264"/>
      <c r="EA175" s="264"/>
      <c r="EB175" s="264"/>
      <c r="EC175" s="264"/>
      <c r="ED175" s="264"/>
      <c r="EE175" s="264"/>
      <c r="EF175" s="264"/>
      <c r="EG175" s="264"/>
      <c r="EH175" s="264"/>
      <c r="EI175" s="264"/>
      <c r="EJ175" s="264"/>
      <c r="EK175" s="264"/>
      <c r="EL175" s="264"/>
      <c r="EM175" s="264"/>
      <c r="EN175" s="264"/>
      <c r="EO175" s="264"/>
      <c r="EP175" s="264"/>
      <c r="EQ175" s="264"/>
      <c r="ER175" s="264"/>
    </row>
    <row r="176" spans="1:148" s="934" customFormat="1" ht="12" hidden="1" outlineLevel="2">
      <c r="A176" s="1810" t="s">
        <v>222</v>
      </c>
      <c r="B176" s="1778"/>
      <c r="C176" s="1778"/>
      <c r="D176" s="1778"/>
      <c r="E176" s="1778"/>
      <c r="F176" s="1778"/>
      <c r="G176" s="1778"/>
      <c r="H176" s="1778"/>
      <c r="I176" s="1778"/>
      <c r="J176" s="1778"/>
      <c r="K176" s="1778"/>
      <c r="L176" s="1778"/>
      <c r="M176" s="1778"/>
      <c r="N176" s="1778"/>
      <c r="O176" s="1778"/>
      <c r="P176" s="1778"/>
      <c r="Q176" s="1778"/>
      <c r="R176" s="1778"/>
      <c r="S176" s="1778"/>
      <c r="T176" s="1778"/>
      <c r="U176" s="1778"/>
      <c r="V176" s="1778"/>
      <c r="W176" s="1778"/>
      <c r="X176" s="1778"/>
      <c r="Y176" s="1778"/>
      <c r="Z176" s="1778"/>
      <c r="AA176" s="1778"/>
      <c r="AB176" s="1778"/>
      <c r="AC176" s="1778"/>
      <c r="AD176" s="1778"/>
      <c r="AE176" s="1778"/>
      <c r="AF176" s="1778"/>
      <c r="AG176" s="1778"/>
      <c r="AH176" s="1778"/>
      <c r="AI176" s="1778"/>
      <c r="AJ176" s="1778"/>
      <c r="AK176" s="1778"/>
      <c r="AL176" s="1778"/>
      <c r="AM176" s="1778"/>
      <c r="AN176" s="1778"/>
      <c r="AO176" s="1778"/>
      <c r="AP176" s="1778"/>
      <c r="AQ176" s="1778"/>
      <c r="AR176" s="1778"/>
      <c r="AS176" s="1778"/>
      <c r="AT176" s="1778"/>
      <c r="AU176" s="1801"/>
      <c r="AV176" s="1778"/>
      <c r="AW176" s="1778"/>
      <c r="AX176" s="1778"/>
      <c r="AY176" s="1778"/>
      <c r="AZ176" s="1801"/>
      <c r="BA176" s="1803"/>
      <c r="BB176" s="1803"/>
      <c r="BC176" s="1803"/>
      <c r="BD176" s="1803"/>
      <c r="BE176" s="1817">
        <f>(BE173-BE177)/IS!DS34</f>
        <v>0.55537061302546309</v>
      </c>
      <c r="BF176" s="1803"/>
      <c r="BG176" s="1803"/>
      <c r="BH176" s="1803"/>
      <c r="BI176" s="1803"/>
      <c r="BJ176" s="1817">
        <f>(BJ173-BJ177)/IS!DX34</f>
        <v>0.34456479439616033</v>
      </c>
      <c r="BK176" s="1798">
        <f>(BK173-BK177)/IS!DY34</f>
        <v>0.31831662194605281</v>
      </c>
      <c r="BL176" s="1798">
        <f>(BL173-BL177)/IS!DZ34</f>
        <v>0.3795064118074038</v>
      </c>
      <c r="BM176" s="1798">
        <f>(BM173-BM177)/IS!EA34</f>
        <v>0.4570045405982906</v>
      </c>
      <c r="BN176" s="1798">
        <f>(BN173-BN177)/IS!EB34</f>
        <v>0.36888755720200478</v>
      </c>
      <c r="BO176" s="1817">
        <f>(BO173-BO177)/IS!EC34</f>
        <v>0.38105457158029554</v>
      </c>
      <c r="BP176" s="1798">
        <f>(BP173-BP177)/IS!ED34</f>
        <v>0.36227431574949742</v>
      </c>
      <c r="BQ176" s="1798">
        <f>(BQ173-BQ177)/IS!EE34</f>
        <v>0.31521996226453763</v>
      </c>
      <c r="BR176" s="1798">
        <f>(BR173-BR177)/IS!EF34</f>
        <v>0.30602461088789074</v>
      </c>
      <c r="BS176" s="1798">
        <f>(BS173-BS177)/IS!EG34</f>
        <v>0.25676372484750426</v>
      </c>
      <c r="BT176" s="1817">
        <f>(BT173-BT177)/IS!EH34</f>
        <v>0.3095189452734059</v>
      </c>
      <c r="BU176" s="1798" t="e">
        <f>(BU173-BU177)/IS!EI34</f>
        <v>#REF!</v>
      </c>
      <c r="BV176" s="1798" t="e">
        <f>(BV173-BV177)/IS!EJ34</f>
        <v>#REF!</v>
      </c>
      <c r="BW176" s="1798" t="e">
        <f>(BW173-BW177)/IS!EK34</f>
        <v>#REF!</v>
      </c>
      <c r="BX176" s="1798" t="e">
        <f>(BX173-BX177)/IS!EL34</f>
        <v>#REF!</v>
      </c>
      <c r="BY176" s="1817" t="e">
        <f>(BY173-BY177)/IS!EM34</f>
        <v>#REF!</v>
      </c>
      <c r="BZ176" s="1798" t="e">
        <f>(BZ173-BZ177)/IS!EN34</f>
        <v>#REF!</v>
      </c>
      <c r="CA176" s="1798" t="e">
        <f>(CA173-CA177)/IS!EO34</f>
        <v>#REF!</v>
      </c>
      <c r="CB176" s="1798" t="e">
        <f>(CB173-CB177)/IS!EP34</f>
        <v>#REF!</v>
      </c>
      <c r="CC176" s="1798" t="e">
        <f>(CC173-CC177)/IS!EQ34</f>
        <v>#REF!</v>
      </c>
      <c r="CD176" s="1817" t="e">
        <f>(CD173-CD177)/IS!ER34</f>
        <v>#REF!</v>
      </c>
      <c r="CE176" s="1855" t="e">
        <f>(CE173-CE177)/IS!ES34</f>
        <v>#REF!</v>
      </c>
      <c r="CF176" s="1855" t="e">
        <f>(CF173-CF177)/IS!ET34</f>
        <v>#REF!</v>
      </c>
      <c r="CG176" s="1855" t="e">
        <f>(CG173-CG177)/IS!EU34</f>
        <v>#REF!</v>
      </c>
      <c r="CH176" s="1855" t="e">
        <f>(CH173-CH177)/IS!EV34</f>
        <v>#REF!</v>
      </c>
      <c r="CI176" s="1856" t="e">
        <f>(CI173-CI177)/IS!EW34</f>
        <v>#REF!</v>
      </c>
      <c r="CJ176" s="1855" t="e">
        <f>(CJ173-CJ177)/IS!EX34</f>
        <v>#REF!</v>
      </c>
      <c r="CK176" s="1855" t="e">
        <f>(CK173-CK177)/IS!EY34</f>
        <v>#REF!</v>
      </c>
      <c r="CL176" s="1855" t="e">
        <f>(CL173-CL177)/IS!EZ34</f>
        <v>#REF!</v>
      </c>
      <c r="CM176" s="1855" t="e">
        <f>(CM173-CM177)/IS!FA34</f>
        <v>#REF!</v>
      </c>
      <c r="CN176" s="1856" t="e">
        <f>(CN173-CN177)/IS!FB34</f>
        <v>#REF!</v>
      </c>
      <c r="CO176" s="1855" t="e">
        <f>(CO173-CO177)/IS!FC34</f>
        <v>#REF!</v>
      </c>
      <c r="CP176" s="1855" t="e">
        <f>(CP173-CP177)/IS!FD34</f>
        <v>#REF!</v>
      </c>
      <c r="CQ176" s="1855" t="e">
        <f>(CQ173-CQ177)/IS!FE34</f>
        <v>#REF!</v>
      </c>
      <c r="CR176" s="1855" t="e">
        <f>(CR173-CR177)/IS!FF34</f>
        <v>#REF!</v>
      </c>
      <c r="CS176" s="1856" t="e">
        <f>(CS173-CS177)/IS!FG34</f>
        <v>#REF!</v>
      </c>
      <c r="CT176" s="1855" t="e">
        <f>(CT173-CT177)/IS!FH34</f>
        <v>#REF!</v>
      </c>
      <c r="CU176" s="1855" t="e">
        <f>(CU173-CU177)/IS!FI34</f>
        <v>#REF!</v>
      </c>
      <c r="CV176" s="1855" t="e">
        <f>(CV173-CV177)/IS!FJ34</f>
        <v>#REF!</v>
      </c>
      <c r="CW176" s="1855" t="e">
        <f>(CW173-CW177)/IS!FK34</f>
        <v>#REF!</v>
      </c>
      <c r="CX176" s="1856" t="e">
        <f>(CX173-CX177)/IS!FL34</f>
        <v>#REF!</v>
      </c>
      <c r="CY176" s="1778"/>
      <c r="CZ176" s="1778"/>
      <c r="DA176" s="1801"/>
      <c r="DB176" s="1801"/>
      <c r="DC176" s="1801"/>
      <c r="DD176" s="1801"/>
      <c r="DE176" s="1801"/>
      <c r="DF176" s="1801"/>
      <c r="DG176" s="1804"/>
      <c r="DH176" s="1804"/>
      <c r="DI176" s="1801"/>
      <c r="DJ176" s="1804"/>
      <c r="DK176" s="1804"/>
      <c r="DL176" s="1804"/>
      <c r="DM176" s="1801"/>
      <c r="DN176" s="1801"/>
      <c r="DO176" s="1801"/>
      <c r="DP176" s="1801"/>
      <c r="DQ176" s="1801"/>
      <c r="DR176" s="1803"/>
      <c r="DS176" s="264"/>
      <c r="DT176" s="264"/>
      <c r="DU176" s="264"/>
      <c r="DV176" s="264"/>
      <c r="DW176" s="264"/>
      <c r="DX176" s="264"/>
      <c r="DY176" s="264"/>
      <c r="DZ176" s="264"/>
      <c r="EA176" s="264"/>
      <c r="EB176" s="264"/>
      <c r="EC176" s="264"/>
      <c r="ED176" s="264"/>
      <c r="EE176" s="264"/>
      <c r="EF176" s="264"/>
      <c r="EG176" s="264"/>
      <c r="EH176" s="264"/>
      <c r="EI176" s="264"/>
      <c r="EJ176" s="264"/>
      <c r="EK176" s="264"/>
      <c r="EL176" s="264"/>
      <c r="EM176" s="264"/>
      <c r="EN176" s="264"/>
      <c r="EO176" s="264"/>
      <c r="EP176" s="264"/>
      <c r="EQ176" s="264"/>
      <c r="ER176" s="264"/>
    </row>
    <row r="177" spans="1:280" s="934" customFormat="1" ht="12" hidden="1" outlineLevel="2">
      <c r="A177" s="1810" t="s">
        <v>492</v>
      </c>
      <c r="B177" s="1778"/>
      <c r="C177" s="1778"/>
      <c r="D177" s="1778"/>
      <c r="E177" s="1778"/>
      <c r="F177" s="1778"/>
      <c r="G177" s="1778"/>
      <c r="H177" s="1778"/>
      <c r="I177" s="1778"/>
      <c r="J177" s="1778"/>
      <c r="K177" s="1778"/>
      <c r="L177" s="1778"/>
      <c r="M177" s="1778"/>
      <c r="N177" s="1778"/>
      <c r="O177" s="1778"/>
      <c r="P177" s="1778"/>
      <c r="Q177" s="1778"/>
      <c r="R177" s="1778"/>
      <c r="S177" s="1778"/>
      <c r="T177" s="1778"/>
      <c r="U177" s="1778"/>
      <c r="V177" s="1778"/>
      <c r="W177" s="1778"/>
      <c r="X177" s="1778"/>
      <c r="Y177" s="1778"/>
      <c r="Z177" s="1778"/>
      <c r="AA177" s="1778"/>
      <c r="AB177" s="1778"/>
      <c r="AC177" s="1778"/>
      <c r="AD177" s="1778"/>
      <c r="AE177" s="1778"/>
      <c r="AF177" s="1778"/>
      <c r="AG177" s="1778"/>
      <c r="AH177" s="1778"/>
      <c r="AI177" s="1778"/>
      <c r="AJ177" s="1778"/>
      <c r="AK177" s="1778"/>
      <c r="AL177" s="1778"/>
      <c r="AM177" s="1778"/>
      <c r="AN177" s="1778"/>
      <c r="AO177" s="1778"/>
      <c r="AP177" s="1778"/>
      <c r="AQ177" s="1778"/>
      <c r="AR177" s="1778"/>
      <c r="AS177" s="1778"/>
      <c r="AT177" s="1778"/>
      <c r="AU177" s="1801"/>
      <c r="AV177" s="1778"/>
      <c r="AW177" s="1778"/>
      <c r="AX177" s="1778"/>
      <c r="AY177" s="1778"/>
      <c r="AZ177" s="1801"/>
      <c r="BA177" s="1857"/>
      <c r="BB177" s="1803"/>
      <c r="BC177" s="1803"/>
      <c r="BD177" s="1803"/>
      <c r="BE177" s="1858">
        <v>6051</v>
      </c>
      <c r="BF177" s="1857">
        <v>2851</v>
      </c>
      <c r="BG177" s="1803"/>
      <c r="BH177" s="1803"/>
      <c r="BI177" s="1803"/>
      <c r="BJ177" s="1858">
        <v>9421</v>
      </c>
      <c r="BK177" s="1857">
        <v>2195</v>
      </c>
      <c r="BL177" s="1857">
        <v>2642</v>
      </c>
      <c r="BM177" s="1857">
        <f>BM178*BM119</f>
        <v>1243.95</v>
      </c>
      <c r="BN177" s="1803">
        <f>BN178*BN119</f>
        <v>1498.35</v>
      </c>
      <c r="BO177" s="1858">
        <f>SUM(BK177:BN177)</f>
        <v>7579.2999999999993</v>
      </c>
      <c r="BP177" s="1857">
        <f>BP178*BP119</f>
        <v>2209.0928356859927</v>
      </c>
      <c r="BQ177" s="1857">
        <f>BQ178*BQ119</f>
        <v>2595.9460137703695</v>
      </c>
      <c r="BR177" s="1857">
        <f>BR178*BR119</f>
        <v>1803.9044288486587</v>
      </c>
      <c r="BS177" s="1803">
        <f>BS178*BS119</f>
        <v>1752.9284631948319</v>
      </c>
      <c r="BT177" s="1801">
        <f>SUM(BP177:BS177)</f>
        <v>8361.8717414998519</v>
      </c>
      <c r="BU177" s="2812" t="e">
        <f>BU178*BU119</f>
        <v>#REF!</v>
      </c>
      <c r="BV177" s="2812" t="e">
        <f>BV178*BV119</f>
        <v>#REF!</v>
      </c>
      <c r="BW177" s="2813" t="e">
        <f>BW178*BW119</f>
        <v>#REF!</v>
      </c>
      <c r="BX177" s="2813" t="e">
        <f>BX178*BX119</f>
        <v>#REF!</v>
      </c>
      <c r="BY177" s="1801" t="e">
        <f>SUM(BU177:BX177)</f>
        <v>#REF!</v>
      </c>
      <c r="BZ177" s="2813" t="e">
        <f>BZ178*BZ119</f>
        <v>#REF!</v>
      </c>
      <c r="CA177" s="2813" t="e">
        <f>CA178*CA119</f>
        <v>#REF!</v>
      </c>
      <c r="CB177" s="2813" t="e">
        <f>CB178*CB119</f>
        <v>#REF!</v>
      </c>
      <c r="CC177" s="2813" t="e">
        <f>CC178*CC119</f>
        <v>#REF!</v>
      </c>
      <c r="CD177" s="1801" t="e">
        <f>SUM(BZ177:CC177)</f>
        <v>#REF!</v>
      </c>
      <c r="CE177" s="1859" t="e">
        <f>CE178*CE119</f>
        <v>#REF!</v>
      </c>
      <c r="CF177" s="1859" t="e">
        <f>CF178*CF119</f>
        <v>#REF!</v>
      </c>
      <c r="CG177" s="1859" t="e">
        <f>CG178*CG119</f>
        <v>#REF!</v>
      </c>
      <c r="CH177" s="1859" t="e">
        <f>CH178*CH119</f>
        <v>#REF!</v>
      </c>
      <c r="CI177" s="1801" t="e">
        <f>SUM(CE177:CH177)</f>
        <v>#REF!</v>
      </c>
      <c r="CJ177" s="1859" t="e">
        <f>CJ178*CJ119</f>
        <v>#REF!</v>
      </c>
      <c r="CK177" s="1859" t="e">
        <f>CK178*CK119</f>
        <v>#REF!</v>
      </c>
      <c r="CL177" s="1859" t="e">
        <f>CL178*CL119</f>
        <v>#REF!</v>
      </c>
      <c r="CM177" s="1859" t="e">
        <f>CM178*CM119</f>
        <v>#REF!</v>
      </c>
      <c r="CN177" s="1801" t="e">
        <f>SUM(CJ177:CM177)</f>
        <v>#REF!</v>
      </c>
      <c r="CO177" s="1859" t="e">
        <f>CO178*CO119</f>
        <v>#REF!</v>
      </c>
      <c r="CP177" s="1859" t="e">
        <f>CP178*CP119</f>
        <v>#REF!</v>
      </c>
      <c r="CQ177" s="1859" t="e">
        <f>CQ178*CQ119</f>
        <v>#REF!</v>
      </c>
      <c r="CR177" s="1859" t="e">
        <f>CR178*CR119</f>
        <v>#REF!</v>
      </c>
      <c r="CS177" s="1801" t="e">
        <f>SUM(CO177:CR177)</f>
        <v>#REF!</v>
      </c>
      <c r="CT177" s="1859" t="e">
        <f>CT178*CT119</f>
        <v>#REF!</v>
      </c>
      <c r="CU177" s="1859" t="e">
        <f>CU178*CU119</f>
        <v>#REF!</v>
      </c>
      <c r="CV177" s="1859" t="e">
        <f>CV178*CV119</f>
        <v>#REF!</v>
      </c>
      <c r="CW177" s="1859" t="e">
        <f>CW178*CW119</f>
        <v>#REF!</v>
      </c>
      <c r="CX177" s="1801" t="e">
        <f>SUM(CT177:CW177)</f>
        <v>#REF!</v>
      </c>
      <c r="CY177" s="1778"/>
      <c r="CZ177" s="1778"/>
      <c r="DA177" s="1801"/>
      <c r="DB177" s="1801"/>
      <c r="DC177" s="1801"/>
      <c r="DD177" s="1801"/>
      <c r="DE177" s="1801"/>
      <c r="DF177" s="1801"/>
      <c r="DG177" s="1804"/>
      <c r="DH177" s="1804"/>
      <c r="DI177" s="1801">
        <f>SUM(BC177:BD177,BF177:BG177)</f>
        <v>2851</v>
      </c>
      <c r="DJ177" s="1804">
        <f>SUM(BH177:BI177,BK177:BL177)</f>
        <v>4837</v>
      </c>
      <c r="DK177" s="1804">
        <f>SUM(BM177:BN177,BP177:BQ177)</f>
        <v>7547.3388494563624</v>
      </c>
      <c r="DL177" s="1804" t="e">
        <f>SUM(BU177:BV177,BR177:BS177)</f>
        <v>#REF!</v>
      </c>
      <c r="DM177" s="1801" t="e">
        <f>SUM(BW177:BX177,BZ177:CA177)</f>
        <v>#REF!</v>
      </c>
      <c r="DN177" s="1801" t="e">
        <f>SUM(CB177:CC177,CE177:CF177)</f>
        <v>#REF!</v>
      </c>
      <c r="DO177" s="1801"/>
      <c r="DP177" s="1801"/>
      <c r="DQ177" s="1801"/>
      <c r="DR177" s="1803"/>
      <c r="DS177" s="264"/>
      <c r="DT177" s="264"/>
      <c r="DU177" s="264"/>
      <c r="DV177" s="264"/>
      <c r="DW177" s="264"/>
      <c r="DX177" s="264"/>
      <c r="DY177" s="264"/>
      <c r="DZ177" s="264"/>
      <c r="EA177" s="264"/>
      <c r="EB177" s="264"/>
      <c r="EC177" s="264"/>
      <c r="ED177" s="264"/>
      <c r="EE177" s="264"/>
      <c r="EF177" s="264"/>
      <c r="EG177" s="264"/>
      <c r="EH177" s="264"/>
      <c r="EI177" s="264"/>
      <c r="EJ177" s="264"/>
      <c r="EK177" s="264"/>
      <c r="EL177" s="264"/>
      <c r="EM177" s="264"/>
      <c r="EN177" s="264"/>
      <c r="EO177" s="264"/>
      <c r="EP177" s="264"/>
      <c r="EQ177" s="264"/>
      <c r="ER177" s="264"/>
    </row>
    <row r="178" spans="1:280" s="934" customFormat="1" hidden="1" outlineLevel="2" thickBot="1">
      <c r="A178" s="1860" t="s">
        <v>496</v>
      </c>
      <c r="B178" s="1861"/>
      <c r="C178" s="1861"/>
      <c r="D178" s="1861"/>
      <c r="E178" s="1861"/>
      <c r="F178" s="1861"/>
      <c r="G178" s="1861"/>
      <c r="H178" s="1861"/>
      <c r="I178" s="1861"/>
      <c r="J178" s="1861"/>
      <c r="K178" s="1861"/>
      <c r="L178" s="1861"/>
      <c r="M178" s="1861"/>
      <c r="N178" s="1861"/>
      <c r="O178" s="1861"/>
      <c r="P178" s="1861"/>
      <c r="Q178" s="1861"/>
      <c r="R178" s="1861"/>
      <c r="S178" s="1861"/>
      <c r="T178" s="1861"/>
      <c r="U178" s="1861"/>
      <c r="V178" s="1861"/>
      <c r="W178" s="1861"/>
      <c r="X178" s="1861"/>
      <c r="Y178" s="1861"/>
      <c r="Z178" s="1861"/>
      <c r="AA178" s="1861"/>
      <c r="AB178" s="1861"/>
      <c r="AC178" s="1861"/>
      <c r="AD178" s="1861"/>
      <c r="AE178" s="1861"/>
      <c r="AF178" s="1861"/>
      <c r="AG178" s="1861"/>
      <c r="AH178" s="1861"/>
      <c r="AI178" s="1861"/>
      <c r="AJ178" s="1861"/>
      <c r="AK178" s="1861"/>
      <c r="AL178" s="1861"/>
      <c r="AM178" s="1861"/>
      <c r="AN178" s="1861"/>
      <c r="AO178" s="1861"/>
      <c r="AP178" s="1861"/>
      <c r="AQ178" s="1861"/>
      <c r="AR178" s="1861"/>
      <c r="AS178" s="1861"/>
      <c r="AT178" s="1861"/>
      <c r="AU178" s="1862"/>
      <c r="AV178" s="1861"/>
      <c r="AW178" s="1861"/>
      <c r="AX178" s="1861"/>
      <c r="AY178" s="1861"/>
      <c r="AZ178" s="1863"/>
      <c r="BA178" s="1864"/>
      <c r="BB178" s="1865"/>
      <c r="BC178" s="1865"/>
      <c r="BD178" s="1865"/>
      <c r="BE178" s="1863">
        <f>BE177/BE119</f>
        <v>0.18654047721807757</v>
      </c>
      <c r="BF178" s="1864">
        <f>BF177/BF119</f>
        <v>0.39807316392069253</v>
      </c>
      <c r="BG178" s="1865"/>
      <c r="BH178" s="1865"/>
      <c r="BI178" s="1865"/>
      <c r="BJ178" s="1863">
        <f>BJ177/BJ119</f>
        <v>0.29348909657320871</v>
      </c>
      <c r="BK178" s="1864">
        <f>BK177/BK119</f>
        <v>0.29474956358265075</v>
      </c>
      <c r="BL178" s="1864">
        <f>BL177/BL119</f>
        <v>0.22224091520861372</v>
      </c>
      <c r="BM178" s="1864">
        <v>0.15</v>
      </c>
      <c r="BN178" s="1862">
        <f>BM178</f>
        <v>0.15</v>
      </c>
      <c r="BO178" s="1863">
        <f>BO177/BO119</f>
        <v>0.20148603025227954</v>
      </c>
      <c r="BP178" s="1864">
        <f>BO178</f>
        <v>0.20148603025227954</v>
      </c>
      <c r="BQ178" s="1864">
        <f>BP178</f>
        <v>0.20148603025227954</v>
      </c>
      <c r="BR178" s="1864">
        <f>BQ178</f>
        <v>0.20148603025227954</v>
      </c>
      <c r="BS178" s="1862">
        <f>BR178</f>
        <v>0.20148603025227954</v>
      </c>
      <c r="BT178" s="1863">
        <f>BT177/BT119</f>
        <v>0.20148603025227951</v>
      </c>
      <c r="BU178" s="2814">
        <f>BT178</f>
        <v>0.20148603025227951</v>
      </c>
      <c r="BV178" s="2814">
        <f>BU178</f>
        <v>0.20148603025227951</v>
      </c>
      <c r="BW178" s="2815">
        <f>BV178</f>
        <v>0.20148603025227951</v>
      </c>
      <c r="BX178" s="2815">
        <f>BW178</f>
        <v>0.20148603025227951</v>
      </c>
      <c r="BY178" s="1863" t="e">
        <f>BY177/BY119</f>
        <v>#REF!</v>
      </c>
      <c r="BZ178" s="2815" t="e">
        <f>BY178</f>
        <v>#REF!</v>
      </c>
      <c r="CA178" s="2815" t="e">
        <f>BZ178</f>
        <v>#REF!</v>
      </c>
      <c r="CB178" s="2815" t="e">
        <f>CA178</f>
        <v>#REF!</v>
      </c>
      <c r="CC178" s="2815" t="e">
        <f>CB178</f>
        <v>#REF!</v>
      </c>
      <c r="CD178" s="1863" t="e">
        <f>CD177/CD119</f>
        <v>#REF!</v>
      </c>
      <c r="CE178" s="1866" t="e">
        <f>CD178</f>
        <v>#REF!</v>
      </c>
      <c r="CF178" s="1866" t="e">
        <f>CE178</f>
        <v>#REF!</v>
      </c>
      <c r="CG178" s="1866" t="e">
        <f>CF178</f>
        <v>#REF!</v>
      </c>
      <c r="CH178" s="1866" t="e">
        <f>CG178</f>
        <v>#REF!</v>
      </c>
      <c r="CI178" s="1863" t="e">
        <f>CI177/CI119</f>
        <v>#REF!</v>
      </c>
      <c r="CJ178" s="1866" t="e">
        <f>CI178</f>
        <v>#REF!</v>
      </c>
      <c r="CK178" s="1866" t="e">
        <f>CJ178</f>
        <v>#REF!</v>
      </c>
      <c r="CL178" s="1866" t="e">
        <f>CK178</f>
        <v>#REF!</v>
      </c>
      <c r="CM178" s="1866" t="e">
        <f>CL178</f>
        <v>#REF!</v>
      </c>
      <c r="CN178" s="1863" t="e">
        <f>CN177/CN119</f>
        <v>#REF!</v>
      </c>
      <c r="CO178" s="1866" t="e">
        <f>CN178</f>
        <v>#REF!</v>
      </c>
      <c r="CP178" s="1866" t="e">
        <f>CO178</f>
        <v>#REF!</v>
      </c>
      <c r="CQ178" s="1866" t="e">
        <f>CP178</f>
        <v>#REF!</v>
      </c>
      <c r="CR178" s="1866" t="e">
        <f>CQ178</f>
        <v>#REF!</v>
      </c>
      <c r="CS178" s="1863" t="e">
        <f>CS177/CS119</f>
        <v>#REF!</v>
      </c>
      <c r="CT178" s="1866" t="e">
        <f>CS178</f>
        <v>#REF!</v>
      </c>
      <c r="CU178" s="1866" t="e">
        <f>CT178</f>
        <v>#REF!</v>
      </c>
      <c r="CV178" s="1866" t="e">
        <f>CU178</f>
        <v>#REF!</v>
      </c>
      <c r="CW178" s="1866" t="e">
        <f>CV178</f>
        <v>#REF!</v>
      </c>
      <c r="CX178" s="1863" t="e">
        <f>CX177/CX119</f>
        <v>#REF!</v>
      </c>
      <c r="CY178" s="1867"/>
      <c r="CZ178" s="1867"/>
      <c r="DA178" s="1863"/>
      <c r="DB178" s="1863"/>
      <c r="DC178" s="1863"/>
      <c r="DD178" s="1863"/>
      <c r="DE178" s="1863"/>
      <c r="DF178" s="1863"/>
      <c r="DG178" s="1868"/>
      <c r="DH178" s="1868"/>
      <c r="DI178" s="1863">
        <f t="shared" ref="DI178:DN178" si="239">DI177/DI119</f>
        <v>8.9018640522059517E-2</v>
      </c>
      <c r="DJ178" s="1868">
        <f t="shared" si="239"/>
        <v>0.14326333560406362</v>
      </c>
      <c r="DK178" s="1868">
        <f t="shared" si="239"/>
        <v>0.17914405054489349</v>
      </c>
      <c r="DL178" s="1868" t="e">
        <f t="shared" si="239"/>
        <v>#REF!</v>
      </c>
      <c r="DM178" s="1863" t="e">
        <f t="shared" si="239"/>
        <v>#REF!</v>
      </c>
      <c r="DN178" s="1863" t="e">
        <f t="shared" si="239"/>
        <v>#REF!</v>
      </c>
      <c r="DO178" s="1863"/>
      <c r="DP178" s="1863"/>
      <c r="DQ178" s="1863"/>
      <c r="DR178" s="3058"/>
      <c r="DS178" s="264"/>
      <c r="DT178" s="264"/>
      <c r="DU178" s="264"/>
      <c r="DV178" s="264"/>
      <c r="DW178" s="264"/>
      <c r="DX178" s="264"/>
      <c r="DY178" s="264"/>
      <c r="DZ178" s="264"/>
      <c r="EA178" s="264"/>
      <c r="EB178" s="264"/>
      <c r="EC178" s="264"/>
      <c r="ED178" s="264"/>
      <c r="EE178" s="264"/>
      <c r="EF178" s="264"/>
      <c r="EG178" s="264"/>
      <c r="EH178" s="264"/>
      <c r="EI178" s="264"/>
      <c r="EJ178" s="264"/>
      <c r="EK178" s="264"/>
      <c r="EL178" s="264"/>
      <c r="EM178" s="264"/>
      <c r="EN178" s="264"/>
      <c r="EO178" s="264"/>
      <c r="EP178" s="264"/>
      <c r="EQ178" s="264"/>
      <c r="ER178" s="264"/>
    </row>
    <row r="179" spans="1:280" s="934" customFormat="1" ht="12" hidden="1" outlineLevel="1">
      <c r="A179" s="1760"/>
      <c r="B179" s="1761"/>
      <c r="C179" s="1761"/>
      <c r="D179" s="1761"/>
      <c r="E179" s="1761"/>
      <c r="F179" s="1761"/>
      <c r="G179" s="1761"/>
      <c r="H179" s="1761"/>
      <c r="I179" s="1761"/>
      <c r="J179" s="1761"/>
      <c r="K179" s="1761"/>
      <c r="L179" s="1761"/>
      <c r="M179" s="1761"/>
      <c r="N179" s="1761"/>
      <c r="O179" s="1761"/>
      <c r="P179" s="1761"/>
      <c r="Q179" s="1761"/>
      <c r="R179" s="1761"/>
      <c r="S179" s="1761"/>
      <c r="T179" s="1761"/>
      <c r="U179" s="1761"/>
      <c r="V179" s="1761"/>
      <c r="W179" s="1761"/>
      <c r="X179" s="1761"/>
      <c r="Y179" s="1761"/>
      <c r="Z179" s="1761"/>
      <c r="AA179" s="1761"/>
      <c r="AB179" s="1761"/>
      <c r="AC179" s="1761"/>
      <c r="AD179" s="1761"/>
      <c r="AE179" s="1761"/>
      <c r="AF179" s="1761"/>
      <c r="AG179" s="1761"/>
      <c r="AH179" s="1761"/>
      <c r="AI179" s="1761"/>
      <c r="AJ179" s="1761"/>
      <c r="AK179" s="1761"/>
      <c r="AL179" s="1761"/>
      <c r="AM179" s="1761"/>
      <c r="AN179" s="1761"/>
      <c r="AO179" s="1761"/>
      <c r="AP179" s="1761"/>
      <c r="AQ179" s="1761"/>
      <c r="AR179" s="1761"/>
      <c r="AS179" s="1761"/>
      <c r="AT179" s="1761"/>
      <c r="AU179" s="1761"/>
      <c r="AV179" s="1761"/>
      <c r="AW179" s="1761"/>
      <c r="AX179" s="1761"/>
      <c r="AY179" s="1761"/>
      <c r="AZ179" s="1793"/>
      <c r="BA179" s="1778"/>
      <c r="BB179" s="1778"/>
      <c r="BC179" s="1778"/>
      <c r="BD179" s="1778"/>
      <c r="BE179" s="1793"/>
      <c r="BF179" s="1778"/>
      <c r="BG179" s="1778"/>
      <c r="BH179" s="1778"/>
      <c r="BI179" s="1778"/>
      <c r="BJ179" s="1793"/>
      <c r="BK179" s="1761"/>
      <c r="BL179" s="1761"/>
      <c r="BM179" s="1761"/>
      <c r="BN179" s="1778"/>
      <c r="BO179" s="1793"/>
      <c r="BP179" s="1761"/>
      <c r="BQ179" s="1761"/>
      <c r="BR179" s="1761"/>
      <c r="BS179" s="1778"/>
      <c r="BT179" s="1793"/>
      <c r="BU179" s="2804"/>
      <c r="BV179" s="2804"/>
      <c r="BW179" s="2804"/>
      <c r="BX179" s="2804"/>
      <c r="BY179" s="2805"/>
      <c r="BZ179" s="2804"/>
      <c r="CA179" s="2804"/>
      <c r="CB179" s="2804"/>
      <c r="CC179" s="2804"/>
      <c r="CD179" s="2805"/>
      <c r="CE179" s="1761"/>
      <c r="CF179" s="1761"/>
      <c r="CG179" s="1761"/>
      <c r="CH179" s="1761"/>
      <c r="CI179" s="1793"/>
      <c r="CJ179" s="1761"/>
      <c r="CK179" s="1761"/>
      <c r="CL179" s="1761"/>
      <c r="CM179" s="1761"/>
      <c r="CN179" s="1793"/>
      <c r="CO179" s="1761"/>
      <c r="CP179" s="1761"/>
      <c r="CQ179" s="1761"/>
      <c r="CR179" s="1761"/>
      <c r="CS179" s="1793"/>
      <c r="CT179" s="1761"/>
      <c r="CU179" s="1761"/>
      <c r="CV179" s="1761"/>
      <c r="CW179" s="1761"/>
      <c r="CX179" s="1793"/>
      <c r="CY179" s="1761"/>
      <c r="CZ179" s="1761"/>
      <c r="DA179" s="1793"/>
      <c r="DB179" s="1793"/>
      <c r="DC179" s="1793"/>
      <c r="DD179" s="1793"/>
      <c r="DE179" s="1793"/>
      <c r="DF179" s="1793"/>
      <c r="DG179" s="1794"/>
      <c r="DH179" s="1794"/>
      <c r="DI179" s="1793"/>
      <c r="DJ179" s="1794"/>
      <c r="DK179" s="1794"/>
      <c r="DL179" s="1794"/>
      <c r="DM179" s="1793"/>
      <c r="DN179" s="1793"/>
      <c r="DO179" s="1793"/>
      <c r="DP179" s="1793"/>
      <c r="DQ179" s="1793"/>
      <c r="DR179" s="1778"/>
      <c r="DS179" s="264"/>
      <c r="DT179" s="264"/>
      <c r="DU179" s="264"/>
      <c r="DV179" s="264"/>
      <c r="DW179" s="264"/>
      <c r="DX179" s="264"/>
      <c r="DY179" s="264"/>
      <c r="DZ179" s="264"/>
      <c r="EA179" s="264"/>
      <c r="EB179" s="264"/>
      <c r="EC179" s="264"/>
      <c r="ED179" s="264"/>
      <c r="EE179" s="264"/>
      <c r="EF179" s="264"/>
      <c r="EG179" s="264"/>
      <c r="EH179" s="264"/>
      <c r="EI179" s="264"/>
      <c r="EJ179" s="264"/>
      <c r="EK179" s="264"/>
      <c r="EL179" s="264"/>
      <c r="EM179" s="264"/>
      <c r="EN179" s="264"/>
      <c r="EO179" s="264"/>
      <c r="EP179" s="264"/>
      <c r="EQ179" s="264"/>
      <c r="ER179" s="264"/>
    </row>
    <row r="180" spans="1:280" s="934" customFormat="1" ht="12" hidden="1" outlineLevel="1">
      <c r="A180" s="1754" t="s">
        <v>719</v>
      </c>
      <c r="B180" s="1761"/>
      <c r="C180" s="1761"/>
      <c r="D180" s="1761"/>
      <c r="E180" s="1761"/>
      <c r="F180" s="1761"/>
      <c r="G180" s="1761"/>
      <c r="H180" s="1761"/>
      <c r="I180" s="1761"/>
      <c r="J180" s="1761"/>
      <c r="K180" s="1761"/>
      <c r="L180" s="1761"/>
      <c r="M180" s="1761"/>
      <c r="N180" s="1761"/>
      <c r="O180" s="1761"/>
      <c r="P180" s="1761"/>
      <c r="Q180" s="1761"/>
      <c r="R180" s="1761"/>
      <c r="S180" s="1761"/>
      <c r="T180" s="1761"/>
      <c r="U180" s="1761"/>
      <c r="V180" s="1761"/>
      <c r="W180" s="1761"/>
      <c r="X180" s="1761"/>
      <c r="Y180" s="1761"/>
      <c r="Z180" s="1761"/>
      <c r="AA180" s="1761"/>
      <c r="AB180" s="1761"/>
      <c r="AC180" s="1761"/>
      <c r="AD180" s="1761"/>
      <c r="AE180" s="1761"/>
      <c r="AF180" s="1761"/>
      <c r="AG180" s="1761"/>
      <c r="AH180" s="1761"/>
      <c r="AI180" s="1761"/>
      <c r="AJ180" s="1761"/>
      <c r="AK180" s="1761"/>
      <c r="AL180" s="1761"/>
      <c r="AM180" s="1761"/>
      <c r="AN180" s="1761"/>
      <c r="AO180" s="1761"/>
      <c r="AP180" s="1761"/>
      <c r="AQ180" s="1761"/>
      <c r="AR180" s="1761"/>
      <c r="AS180" s="1761"/>
      <c r="AT180" s="1761"/>
      <c r="AU180" s="1762"/>
      <c r="AV180" s="1761"/>
      <c r="AW180" s="1761"/>
      <c r="AX180" s="1761"/>
      <c r="AY180" s="1761"/>
      <c r="AZ180" s="1762"/>
      <c r="BA180" s="1795"/>
      <c r="BB180" s="1795"/>
      <c r="BC180" s="1795"/>
      <c r="BD180" s="1795"/>
      <c r="BE180" s="1826"/>
      <c r="BF180" s="1795"/>
      <c r="BG180" s="1795"/>
      <c r="BH180" s="1795"/>
      <c r="BI180" s="1795"/>
      <c r="BJ180" s="1826"/>
      <c r="BK180" s="1761"/>
      <c r="BL180" s="1761"/>
      <c r="BM180" s="1761"/>
      <c r="BN180" s="1795"/>
      <c r="BO180" s="1869"/>
      <c r="BP180" s="1761"/>
      <c r="BQ180" s="1761"/>
      <c r="BR180" s="1761"/>
      <c r="BS180" s="1795"/>
      <c r="BT180" s="1869"/>
      <c r="BU180" s="2804"/>
      <c r="BV180" s="2804"/>
      <c r="BW180" s="2804"/>
      <c r="BX180" s="2804"/>
      <c r="BY180" s="1869"/>
      <c r="BZ180" s="2804"/>
      <c r="CA180" s="2804"/>
      <c r="CB180" s="2804"/>
      <c r="CC180" s="2804"/>
      <c r="CD180" s="1762"/>
      <c r="CE180" s="1761"/>
      <c r="CF180" s="1761"/>
      <c r="CG180" s="1761"/>
      <c r="CH180" s="1761"/>
      <c r="CI180" s="1762"/>
      <c r="CJ180" s="1761"/>
      <c r="CK180" s="1761"/>
      <c r="CL180" s="1761"/>
      <c r="CM180" s="1761"/>
      <c r="CN180" s="1762"/>
      <c r="CO180" s="1761"/>
      <c r="CP180" s="1761"/>
      <c r="CQ180" s="1761"/>
      <c r="CR180" s="1761"/>
      <c r="CS180" s="1762"/>
      <c r="CT180" s="1761"/>
      <c r="CU180" s="1761"/>
      <c r="CV180" s="1761"/>
      <c r="CW180" s="1761"/>
      <c r="CX180" s="1762"/>
      <c r="CY180" s="1761"/>
      <c r="CZ180" s="1761"/>
      <c r="DA180" s="1762"/>
      <c r="DB180" s="1762"/>
      <c r="DC180" s="1762"/>
      <c r="DD180" s="1762"/>
      <c r="DE180" s="1762"/>
      <c r="DF180" s="1762"/>
      <c r="DG180" s="1766"/>
      <c r="DH180" s="1766"/>
      <c r="DI180" s="1762"/>
      <c r="DJ180" s="1766"/>
      <c r="DK180" s="1766"/>
      <c r="DL180" s="1766"/>
      <c r="DM180" s="1762"/>
      <c r="DN180" s="1762"/>
      <c r="DO180" s="1762"/>
      <c r="DP180" s="1762"/>
      <c r="DQ180" s="1762"/>
      <c r="DR180" s="1795"/>
      <c r="DS180" s="264"/>
      <c r="DT180" s="264"/>
      <c r="DU180" s="264"/>
      <c r="DV180" s="264"/>
      <c r="DW180" s="264"/>
      <c r="DX180" s="264"/>
      <c r="DY180" s="264"/>
      <c r="DZ180" s="264"/>
      <c r="EA180" s="264"/>
      <c r="EB180" s="264"/>
      <c r="EC180" s="264"/>
      <c r="ED180" s="264"/>
      <c r="EE180" s="264"/>
      <c r="EF180" s="264"/>
      <c r="EG180" s="264"/>
      <c r="EH180" s="264"/>
      <c r="EI180" s="264"/>
      <c r="EJ180" s="264"/>
      <c r="EK180" s="264"/>
      <c r="EL180" s="264"/>
      <c r="EM180" s="264"/>
      <c r="EN180" s="264"/>
      <c r="EO180" s="264"/>
      <c r="EP180" s="264"/>
      <c r="EQ180" s="264"/>
      <c r="ER180" s="264"/>
    </row>
    <row r="181" spans="1:280" s="934" customFormat="1" ht="12" hidden="1" outlineLevel="2">
      <c r="A181" s="1760" t="s">
        <v>483</v>
      </c>
      <c r="B181" s="1761"/>
      <c r="C181" s="1761"/>
      <c r="D181" s="1761"/>
      <c r="E181" s="1761"/>
      <c r="F181" s="1761"/>
      <c r="G181" s="1761"/>
      <c r="H181" s="1761"/>
      <c r="I181" s="1761"/>
      <c r="J181" s="1761"/>
      <c r="K181" s="1761"/>
      <c r="L181" s="1761"/>
      <c r="M181" s="1761"/>
      <c r="N181" s="1761"/>
      <c r="O181" s="1761"/>
      <c r="P181" s="1761"/>
      <c r="Q181" s="1761"/>
      <c r="R181" s="1761"/>
      <c r="S181" s="1761"/>
      <c r="T181" s="1761"/>
      <c r="U181" s="1761"/>
      <c r="V181" s="1761"/>
      <c r="W181" s="1761"/>
      <c r="X181" s="1761"/>
      <c r="Y181" s="1761"/>
      <c r="Z181" s="1761"/>
      <c r="AA181" s="1761"/>
      <c r="AB181" s="1761"/>
      <c r="AC181" s="1761"/>
      <c r="AD181" s="1761"/>
      <c r="AE181" s="1761"/>
      <c r="AF181" s="1761"/>
      <c r="AG181" s="1761"/>
      <c r="AH181" s="1761"/>
      <c r="AI181" s="1761"/>
      <c r="AJ181" s="1761"/>
      <c r="AK181" s="1761"/>
      <c r="AL181" s="1761"/>
      <c r="AM181" s="1761"/>
      <c r="AN181" s="1761"/>
      <c r="AO181" s="1761"/>
      <c r="AP181" s="1761"/>
      <c r="AQ181" s="1761"/>
      <c r="AR181" s="1761"/>
      <c r="AS181" s="1761"/>
      <c r="AT181" s="1761"/>
      <c r="AU181" s="1801"/>
      <c r="AV181" s="1761"/>
      <c r="AW181" s="1761"/>
      <c r="AX181" s="1761"/>
      <c r="AY181" s="1761"/>
      <c r="AZ181" s="1801"/>
      <c r="BA181" s="1828">
        <f t="shared" ref="BA181:CI181" si="240">BA125-BA182</f>
        <v>523</v>
      </c>
      <c r="BB181" s="1828">
        <f t="shared" si="240"/>
        <v>630</v>
      </c>
      <c r="BC181" s="1828">
        <f t="shared" si="240"/>
        <v>695</v>
      </c>
      <c r="BD181" s="1828">
        <f t="shared" si="240"/>
        <v>815</v>
      </c>
      <c r="BE181" s="1801">
        <f t="shared" si="240"/>
        <v>2663</v>
      </c>
      <c r="BF181" s="1828">
        <f t="shared" si="240"/>
        <v>762</v>
      </c>
      <c r="BG181" s="1828">
        <f t="shared" si="240"/>
        <v>809</v>
      </c>
      <c r="BH181" s="1828">
        <f t="shared" si="240"/>
        <v>894</v>
      </c>
      <c r="BI181" s="1828">
        <f t="shared" si="240"/>
        <v>960</v>
      </c>
      <c r="BJ181" s="1801">
        <f t="shared" si="240"/>
        <v>3425</v>
      </c>
      <c r="BK181" s="1765">
        <f t="shared" si="240"/>
        <v>806</v>
      </c>
      <c r="BL181" s="1765">
        <f t="shared" si="240"/>
        <v>826</v>
      </c>
      <c r="BM181" s="1765">
        <f t="shared" si="240"/>
        <v>903</v>
      </c>
      <c r="BN181" s="1828">
        <f t="shared" si="240"/>
        <v>935</v>
      </c>
      <c r="BO181" s="1801">
        <f t="shared" si="240"/>
        <v>3470</v>
      </c>
      <c r="BP181" s="1765">
        <f t="shared" si="240"/>
        <v>773</v>
      </c>
      <c r="BQ181" s="1765">
        <f t="shared" si="240"/>
        <v>753</v>
      </c>
      <c r="BR181" s="1765">
        <f t="shared" si="240"/>
        <v>761</v>
      </c>
      <c r="BS181" s="1828">
        <f t="shared" si="240"/>
        <v>922</v>
      </c>
      <c r="BT181" s="1801">
        <f t="shared" si="240"/>
        <v>3209</v>
      </c>
      <c r="BU181" s="2803" t="e">
        <f t="shared" si="240"/>
        <v>#REF!</v>
      </c>
      <c r="BV181" s="2803" t="e">
        <f t="shared" si="240"/>
        <v>#REF!</v>
      </c>
      <c r="BW181" s="2803" t="e">
        <f t="shared" si="240"/>
        <v>#REF!</v>
      </c>
      <c r="BX181" s="2803" t="e">
        <f t="shared" si="240"/>
        <v>#REF!</v>
      </c>
      <c r="BY181" s="1801" t="e">
        <f t="shared" si="240"/>
        <v>#REF!</v>
      </c>
      <c r="BZ181" s="2803" t="e">
        <f t="shared" si="240"/>
        <v>#REF!</v>
      </c>
      <c r="CA181" s="2803" t="e">
        <f t="shared" si="240"/>
        <v>#REF!</v>
      </c>
      <c r="CB181" s="2803" t="e">
        <f t="shared" si="240"/>
        <v>#REF!</v>
      </c>
      <c r="CC181" s="2803" t="e">
        <f t="shared" si="240"/>
        <v>#REF!</v>
      </c>
      <c r="CD181" s="1801" t="e">
        <f t="shared" si="240"/>
        <v>#REF!</v>
      </c>
      <c r="CE181" s="1765">
        <f t="shared" si="240"/>
        <v>0</v>
      </c>
      <c r="CF181" s="1765">
        <f t="shared" si="240"/>
        <v>0</v>
      </c>
      <c r="CG181" s="1765">
        <f t="shared" si="240"/>
        <v>0</v>
      </c>
      <c r="CH181" s="1765">
        <f t="shared" si="240"/>
        <v>0</v>
      </c>
      <c r="CI181" s="1801">
        <f t="shared" si="240"/>
        <v>0</v>
      </c>
      <c r="CJ181" s="1765">
        <f t="shared" ref="CJ181:CS181" si="241">CJ125-CJ182</f>
        <v>0</v>
      </c>
      <c r="CK181" s="1765">
        <f t="shared" si="241"/>
        <v>0</v>
      </c>
      <c r="CL181" s="1765">
        <f t="shared" si="241"/>
        <v>0</v>
      </c>
      <c r="CM181" s="1765">
        <f t="shared" si="241"/>
        <v>0</v>
      </c>
      <c r="CN181" s="1801">
        <f t="shared" si="241"/>
        <v>0</v>
      </c>
      <c r="CO181" s="1765">
        <f t="shared" si="241"/>
        <v>0</v>
      </c>
      <c r="CP181" s="1765">
        <f t="shared" si="241"/>
        <v>0</v>
      </c>
      <c r="CQ181" s="1765">
        <f t="shared" si="241"/>
        <v>0</v>
      </c>
      <c r="CR181" s="1765">
        <f t="shared" si="241"/>
        <v>0</v>
      </c>
      <c r="CS181" s="1801">
        <f t="shared" si="241"/>
        <v>0</v>
      </c>
      <c r="CT181" s="1765">
        <f t="shared" ref="CT181:CX181" si="242">CT125-CT182</f>
        <v>0</v>
      </c>
      <c r="CU181" s="1765">
        <f t="shared" si="242"/>
        <v>0</v>
      </c>
      <c r="CV181" s="1765">
        <f t="shared" si="242"/>
        <v>0</v>
      </c>
      <c r="CW181" s="1765">
        <f t="shared" si="242"/>
        <v>3369.5999999999985</v>
      </c>
      <c r="CX181" s="1801">
        <f t="shared" si="242"/>
        <v>3369.5999999999985</v>
      </c>
      <c r="CY181" s="1761"/>
      <c r="CZ181" s="1761"/>
      <c r="DA181" s="1801"/>
      <c r="DB181" s="1801"/>
      <c r="DC181" s="1801"/>
      <c r="DD181" s="1801"/>
      <c r="DE181" s="1801"/>
      <c r="DF181" s="1801"/>
      <c r="DG181" s="1804"/>
      <c r="DH181" s="1804"/>
      <c r="DI181" s="1762">
        <f>SUM(BC181:BD181,BF181:BG181)</f>
        <v>3081</v>
      </c>
      <c r="DJ181" s="1766">
        <f>SUM(BH181:BI181,BK181:BL181)</f>
        <v>3486</v>
      </c>
      <c r="DK181" s="1766">
        <f>SUM(BM181:BN181,BP181:BQ181)</f>
        <v>3364</v>
      </c>
      <c r="DL181" s="1766" t="e">
        <f>SUM(BU181:BV181,BR181:BS181)</f>
        <v>#REF!</v>
      </c>
      <c r="DM181" s="1762" t="e">
        <f>SUM(BW181:BX181,BZ181:CA181)</f>
        <v>#REF!</v>
      </c>
      <c r="DN181" s="1762" t="e">
        <f>SUM(CB181:CC181,CE181:CF181)</f>
        <v>#REF!</v>
      </c>
      <c r="DO181" s="1762"/>
      <c r="DP181" s="1762"/>
      <c r="DQ181" s="1762"/>
      <c r="DR181" s="1795"/>
      <c r="DS181" s="264"/>
      <c r="DT181" s="264"/>
      <c r="DU181" s="264"/>
      <c r="DV181" s="264"/>
      <c r="DW181" s="264"/>
      <c r="DX181" s="264"/>
      <c r="DY181" s="264"/>
      <c r="DZ181" s="264"/>
      <c r="EA181" s="264"/>
      <c r="EB181" s="264"/>
      <c r="EC181" s="264"/>
      <c r="ED181" s="264"/>
      <c r="EE181" s="264"/>
      <c r="EF181" s="264"/>
      <c r="EG181" s="264"/>
      <c r="EH181" s="264"/>
      <c r="EI181" s="264"/>
      <c r="EJ181" s="264"/>
      <c r="EK181" s="264"/>
      <c r="EL181" s="264"/>
      <c r="EM181" s="264"/>
      <c r="EN181" s="264"/>
      <c r="EO181" s="264"/>
      <c r="EP181" s="264"/>
      <c r="EQ181" s="264"/>
      <c r="ER181" s="264"/>
    </row>
    <row r="182" spans="1:280" s="934" customFormat="1" ht="12" hidden="1" outlineLevel="1">
      <c r="A182" s="1760" t="s">
        <v>487</v>
      </c>
      <c r="B182" s="1761"/>
      <c r="C182" s="1761"/>
      <c r="D182" s="1761"/>
      <c r="E182" s="1761"/>
      <c r="F182" s="1761"/>
      <c r="G182" s="1761"/>
      <c r="H182" s="1761"/>
      <c r="I182" s="1761"/>
      <c r="J182" s="1761"/>
      <c r="K182" s="1761"/>
      <c r="L182" s="1761"/>
      <c r="M182" s="1761"/>
      <c r="N182" s="1761"/>
      <c r="O182" s="1761"/>
      <c r="P182" s="1761"/>
      <c r="Q182" s="1761"/>
      <c r="R182" s="1761"/>
      <c r="S182" s="1761"/>
      <c r="T182" s="1761"/>
      <c r="U182" s="1761"/>
      <c r="V182" s="1761"/>
      <c r="W182" s="1761"/>
      <c r="X182" s="1761"/>
      <c r="Y182" s="1761"/>
      <c r="Z182" s="1761"/>
      <c r="AA182" s="1761"/>
      <c r="AB182" s="1761"/>
      <c r="AC182" s="1761"/>
      <c r="AD182" s="1761"/>
      <c r="AE182" s="1761"/>
      <c r="AF182" s="1761"/>
      <c r="AG182" s="1761"/>
      <c r="AH182" s="1761"/>
      <c r="AI182" s="1761"/>
      <c r="AJ182" s="1761"/>
      <c r="AK182" s="1761"/>
      <c r="AL182" s="1761"/>
      <c r="AM182" s="1761"/>
      <c r="AN182" s="1761"/>
      <c r="AO182" s="1761"/>
      <c r="AP182" s="1761"/>
      <c r="AQ182" s="1761"/>
      <c r="AR182" s="1761"/>
      <c r="AS182" s="1761"/>
      <c r="AT182" s="1761"/>
      <c r="AU182" s="1801"/>
      <c r="AV182" s="1761"/>
      <c r="AW182" s="1761"/>
      <c r="AX182" s="1761"/>
      <c r="AY182" s="1761"/>
      <c r="AZ182" s="1801"/>
      <c r="BA182" s="1830">
        <v>7809</v>
      </c>
      <c r="BB182" s="1830">
        <v>8955</v>
      </c>
      <c r="BC182" s="1830">
        <v>8395</v>
      </c>
      <c r="BD182" s="1830">
        <v>9304</v>
      </c>
      <c r="BE182" s="1801">
        <f>SUM(BA182:BD182)</f>
        <v>34463</v>
      </c>
      <c r="BF182" s="1830">
        <v>8183</v>
      </c>
      <c r="BG182" s="1830">
        <v>9326</v>
      </c>
      <c r="BH182" s="1830">
        <v>9085</v>
      </c>
      <c r="BI182" s="1830">
        <v>9667</v>
      </c>
      <c r="BJ182" s="1801">
        <f>SUM(BF182:BI182)</f>
        <v>36261</v>
      </c>
      <c r="BK182" s="1764">
        <v>8805</v>
      </c>
      <c r="BL182" s="1764">
        <v>10080</v>
      </c>
      <c r="BM182" s="1764">
        <v>9432</v>
      </c>
      <c r="BN182" s="1830">
        <v>10298</v>
      </c>
      <c r="BO182" s="1801">
        <f>SUM(BK182:BN182)</f>
        <v>38615</v>
      </c>
      <c r="BP182" s="1764">
        <v>9100</v>
      </c>
      <c r="BQ182" s="1764">
        <v>9926</v>
      </c>
      <c r="BR182" s="1764">
        <v>9275</v>
      </c>
      <c r="BS182" s="1830">
        <v>9529</v>
      </c>
      <c r="BT182" s="1801">
        <f>SUM(BP182:BS182)</f>
        <v>37830</v>
      </c>
      <c r="BU182" s="2802" t="e">
        <f>BU183*BU125</f>
        <v>#REF!</v>
      </c>
      <c r="BV182" s="2802" t="e">
        <f>BV183*BV125</f>
        <v>#REF!</v>
      </c>
      <c r="BW182" s="2803" t="e">
        <f>BW183*BW125</f>
        <v>#REF!</v>
      </c>
      <c r="BX182" s="2803" t="e">
        <f>BX183*BX125</f>
        <v>#REF!</v>
      </c>
      <c r="BY182" s="1801" t="e">
        <f>SUM(BU182:BX182)</f>
        <v>#REF!</v>
      </c>
      <c r="BZ182" s="2803" t="e">
        <f>BZ183*BZ125</f>
        <v>#REF!</v>
      </c>
      <c r="CA182" s="2803" t="e">
        <f>CA183*CA125</f>
        <v>#REF!</v>
      </c>
      <c r="CB182" s="2803" t="e">
        <f>CB183*CB125</f>
        <v>#REF!</v>
      </c>
      <c r="CC182" s="2803" t="e">
        <f>CC183*CC125</f>
        <v>#REF!</v>
      </c>
      <c r="CD182" s="1801" t="e">
        <f>SUM(BZ182:CC182)</f>
        <v>#REF!</v>
      </c>
      <c r="CE182" s="1765">
        <f>CE183*CE125</f>
        <v>0</v>
      </c>
      <c r="CF182" s="1765">
        <f>CF183*CF125</f>
        <v>0</v>
      </c>
      <c r="CG182" s="1765">
        <f>CG183*CG125</f>
        <v>0</v>
      </c>
      <c r="CH182" s="1765">
        <f>CH183*CH125</f>
        <v>0</v>
      </c>
      <c r="CI182" s="1801">
        <f>SUM(CE182:CH182)</f>
        <v>0</v>
      </c>
      <c r="CJ182" s="1765">
        <f>CJ183*CJ125</f>
        <v>0</v>
      </c>
      <c r="CK182" s="1765">
        <f>CK183*CK125</f>
        <v>0</v>
      </c>
      <c r="CL182" s="1765">
        <f>CL183*CL125</f>
        <v>0</v>
      </c>
      <c r="CM182" s="1765">
        <f>CM183*CM125</f>
        <v>0</v>
      </c>
      <c r="CN182" s="1801">
        <f>SUM(CJ182:CM182)</f>
        <v>0</v>
      </c>
      <c r="CO182" s="1765">
        <f>CO183*CO125</f>
        <v>0</v>
      </c>
      <c r="CP182" s="1765">
        <f>CP183*CP125</f>
        <v>0</v>
      </c>
      <c r="CQ182" s="1765">
        <f>CQ183*CQ125</f>
        <v>0</v>
      </c>
      <c r="CR182" s="1765">
        <f>CR183*CR125</f>
        <v>0</v>
      </c>
      <c r="CS182" s="1801">
        <f>SUM(CO182:CR182)</f>
        <v>0</v>
      </c>
      <c r="CT182" s="1765">
        <f>CT183*CT125</f>
        <v>0</v>
      </c>
      <c r="CU182" s="1765">
        <f>CU183*CU125</f>
        <v>0</v>
      </c>
      <c r="CV182" s="1765">
        <f>CV183*CV125</f>
        <v>0</v>
      </c>
      <c r="CW182" s="1765">
        <f>CW183*CW125</f>
        <v>38750.400000000001</v>
      </c>
      <c r="CX182" s="1801">
        <f>SUM(CT182:CW182)</f>
        <v>38750.400000000001</v>
      </c>
      <c r="CY182" s="1761"/>
      <c r="CZ182" s="1761"/>
      <c r="DA182" s="1801"/>
      <c r="DB182" s="1801"/>
      <c r="DC182" s="1801"/>
      <c r="DD182" s="1801"/>
      <c r="DE182" s="1801"/>
      <c r="DF182" s="1801"/>
      <c r="DG182" s="1804"/>
      <c r="DH182" s="1804"/>
      <c r="DI182" s="1762">
        <f>SUM(BC182:BD182,BF182:BG182)</f>
        <v>35208</v>
      </c>
      <c r="DJ182" s="1766">
        <f>SUM(BH182:BI182,BK182:BL182)</f>
        <v>37637</v>
      </c>
      <c r="DK182" s="1766">
        <f>SUM(BM182:BN182,BP182:BQ182)</f>
        <v>38756</v>
      </c>
      <c r="DL182" s="1766" t="e">
        <f>SUM(BU182:BV182,BR182:BS182)</f>
        <v>#REF!</v>
      </c>
      <c r="DM182" s="1762" t="e">
        <f>SUM(BW182:BX182,BZ182:CA182)</f>
        <v>#REF!</v>
      </c>
      <c r="DN182" s="1762" t="e">
        <f>SUM(CB182:CC182,CE182:CF182)</f>
        <v>#REF!</v>
      </c>
      <c r="DO182" s="1762"/>
      <c r="DP182" s="1762"/>
      <c r="DQ182" s="1762"/>
      <c r="DR182" s="1795"/>
      <c r="DS182" s="264"/>
      <c r="DT182" s="264"/>
      <c r="DU182" s="264"/>
      <c r="DV182" s="264"/>
      <c r="DW182" s="264"/>
      <c r="DX182" s="264"/>
      <c r="DY182" s="264"/>
      <c r="DZ182" s="264"/>
      <c r="EA182" s="264"/>
      <c r="EB182" s="264"/>
      <c r="EC182" s="264"/>
      <c r="ED182" s="264"/>
      <c r="EE182" s="264"/>
      <c r="EF182" s="264"/>
      <c r="EG182" s="264"/>
      <c r="EH182" s="264"/>
      <c r="EI182" s="264"/>
      <c r="EJ182" s="264"/>
      <c r="EK182" s="264"/>
      <c r="EL182" s="264"/>
      <c r="EM182" s="264"/>
      <c r="EN182" s="264"/>
      <c r="EO182" s="264"/>
      <c r="EP182" s="264"/>
      <c r="EQ182" s="264"/>
      <c r="ER182" s="264"/>
    </row>
    <row r="183" spans="1:280" s="934" customFormat="1" ht="12" hidden="1" outlineLevel="1">
      <c r="A183" s="1760" t="s">
        <v>726</v>
      </c>
      <c r="B183" s="1761"/>
      <c r="C183" s="1761"/>
      <c r="D183" s="1761"/>
      <c r="E183" s="1761"/>
      <c r="F183" s="1761"/>
      <c r="G183" s="1761"/>
      <c r="H183" s="1761"/>
      <c r="I183" s="1761"/>
      <c r="J183" s="1761"/>
      <c r="K183" s="1761"/>
      <c r="L183" s="1761"/>
      <c r="M183" s="1761"/>
      <c r="N183" s="1761"/>
      <c r="O183" s="1761"/>
      <c r="P183" s="1761"/>
      <c r="Q183" s="1761"/>
      <c r="R183" s="1761"/>
      <c r="S183" s="1761"/>
      <c r="T183" s="1761"/>
      <c r="U183" s="1761"/>
      <c r="V183" s="1761"/>
      <c r="W183" s="1761"/>
      <c r="X183" s="1761"/>
      <c r="Y183" s="1761"/>
      <c r="Z183" s="1761"/>
      <c r="AA183" s="1761"/>
      <c r="AB183" s="1761"/>
      <c r="AC183" s="1761"/>
      <c r="AD183" s="1761"/>
      <c r="AE183" s="1761"/>
      <c r="AF183" s="1761"/>
      <c r="AG183" s="1761"/>
      <c r="AH183" s="1761"/>
      <c r="AI183" s="1761"/>
      <c r="AJ183" s="1761"/>
      <c r="AK183" s="1761"/>
      <c r="AL183" s="1761"/>
      <c r="AM183" s="1761"/>
      <c r="AN183" s="1761"/>
      <c r="AO183" s="1761"/>
      <c r="AP183" s="1761"/>
      <c r="AQ183" s="1761"/>
      <c r="AR183" s="1761"/>
      <c r="AS183" s="1761"/>
      <c r="AT183" s="1761"/>
      <c r="AU183" s="1774"/>
      <c r="AV183" s="1761"/>
      <c r="AW183" s="1761"/>
      <c r="AX183" s="1761"/>
      <c r="AY183" s="1761"/>
      <c r="AZ183" s="1774"/>
      <c r="BA183" s="1786">
        <f t="shared" ref="BA183:BT183" si="243">BA182/BA125</f>
        <v>0.93722995679308685</v>
      </c>
      <c r="BB183" s="1786">
        <f t="shared" si="243"/>
        <v>0.93427230046948362</v>
      </c>
      <c r="BC183" s="1786">
        <f t="shared" si="243"/>
        <v>0.92354235423542352</v>
      </c>
      <c r="BD183" s="1786">
        <f t="shared" si="243"/>
        <v>0.9194584445103271</v>
      </c>
      <c r="BE183" s="1774">
        <f t="shared" si="243"/>
        <v>0.92827129235576145</v>
      </c>
      <c r="BF183" s="1786">
        <f t="shared" si="243"/>
        <v>0.91481274455002792</v>
      </c>
      <c r="BG183" s="1786">
        <f t="shared" si="243"/>
        <v>0.92017760236803159</v>
      </c>
      <c r="BH183" s="1786">
        <f t="shared" si="243"/>
        <v>0.91041186491632431</v>
      </c>
      <c r="BI183" s="1786">
        <f t="shared" si="243"/>
        <v>0.9096640632351557</v>
      </c>
      <c r="BJ183" s="1774">
        <f t="shared" si="243"/>
        <v>0.91369752557576978</v>
      </c>
      <c r="BK183" s="1786">
        <f t="shared" si="243"/>
        <v>0.91613775881802106</v>
      </c>
      <c r="BL183" s="1786">
        <f t="shared" si="243"/>
        <v>0.92426187419768935</v>
      </c>
      <c r="BM183" s="1786">
        <f t="shared" si="243"/>
        <v>0.91262699564586358</v>
      </c>
      <c r="BN183" s="1786">
        <f t="shared" si="243"/>
        <v>0.91676310869758748</v>
      </c>
      <c r="BO183" s="1774">
        <f t="shared" si="243"/>
        <v>0.91754781988832124</v>
      </c>
      <c r="BP183" s="1786">
        <f t="shared" si="243"/>
        <v>0.92170566190620884</v>
      </c>
      <c r="BQ183" s="1786">
        <f t="shared" si="243"/>
        <v>0.92948777975465868</v>
      </c>
      <c r="BR183" s="1786">
        <f t="shared" si="243"/>
        <v>0.9241729772817856</v>
      </c>
      <c r="BS183" s="1786">
        <f t="shared" si="243"/>
        <v>0.91177877715051192</v>
      </c>
      <c r="BT183" s="1774">
        <f t="shared" si="243"/>
        <v>0.92180608689295551</v>
      </c>
      <c r="BU183" s="1786">
        <v>0.91</v>
      </c>
      <c r="BV183" s="1786">
        <f>BU183</f>
        <v>0.91</v>
      </c>
      <c r="BW183" s="1831">
        <f>BV183</f>
        <v>0.91</v>
      </c>
      <c r="BX183" s="1831">
        <f>BW183</f>
        <v>0.91</v>
      </c>
      <c r="BY183" s="1774" t="e">
        <f>BY182/BY125</f>
        <v>#REF!</v>
      </c>
      <c r="BZ183" s="1831">
        <v>0.92</v>
      </c>
      <c r="CA183" s="1831">
        <f>BZ183</f>
        <v>0.92</v>
      </c>
      <c r="CB183" s="1831">
        <f>CA183</f>
        <v>0.92</v>
      </c>
      <c r="CC183" s="1831">
        <f>CB183</f>
        <v>0.92</v>
      </c>
      <c r="CD183" s="1774" t="e">
        <f>CD182/CD125</f>
        <v>#REF!</v>
      </c>
      <c r="CE183" s="1831">
        <v>0.92</v>
      </c>
      <c r="CF183" s="1831">
        <f>CE183</f>
        <v>0.92</v>
      </c>
      <c r="CG183" s="1831">
        <f>CF183</f>
        <v>0.92</v>
      </c>
      <c r="CH183" s="1831">
        <f>CG183</f>
        <v>0.92</v>
      </c>
      <c r="CI183" s="1774" t="e">
        <f>CI182/CI125</f>
        <v>#DIV/0!</v>
      </c>
      <c r="CJ183" s="1831">
        <v>0.92</v>
      </c>
      <c r="CK183" s="1831">
        <f>CJ183</f>
        <v>0.92</v>
      </c>
      <c r="CL183" s="1831">
        <f>CK183</f>
        <v>0.92</v>
      </c>
      <c r="CM183" s="1831">
        <f>CL183</f>
        <v>0.92</v>
      </c>
      <c r="CN183" s="1774" t="e">
        <f>CN182/CN125</f>
        <v>#DIV/0!</v>
      </c>
      <c r="CO183" s="1831">
        <v>0.92</v>
      </c>
      <c r="CP183" s="1831">
        <f>CO183</f>
        <v>0.92</v>
      </c>
      <c r="CQ183" s="1831">
        <f>CP183</f>
        <v>0.92</v>
      </c>
      <c r="CR183" s="1831">
        <f>CQ183</f>
        <v>0.92</v>
      </c>
      <c r="CS183" s="1774" t="e">
        <f>CS182/CS125</f>
        <v>#DIV/0!</v>
      </c>
      <c r="CT183" s="1831">
        <v>0.92</v>
      </c>
      <c r="CU183" s="1831">
        <f>CT183</f>
        <v>0.92</v>
      </c>
      <c r="CV183" s="1831">
        <f>CU183</f>
        <v>0.92</v>
      </c>
      <c r="CW183" s="1831">
        <f>CV183</f>
        <v>0.92</v>
      </c>
      <c r="CX183" s="1774">
        <f>CX182/CX125</f>
        <v>0.92</v>
      </c>
      <c r="CY183" s="1761"/>
      <c r="CZ183" s="1761"/>
      <c r="DA183" s="1774"/>
      <c r="DB183" s="1774"/>
      <c r="DC183" s="1774"/>
      <c r="DD183" s="1774"/>
      <c r="DE183" s="1774"/>
      <c r="DF183" s="1774"/>
      <c r="DG183" s="1773"/>
      <c r="DH183" s="1773"/>
      <c r="DI183" s="1774">
        <f t="shared" ref="DI183:DN183" si="244">DI182/DI135</f>
        <v>0.81189899688689038</v>
      </c>
      <c r="DJ183" s="1773">
        <f t="shared" si="244"/>
        <v>0.79189109577512207</v>
      </c>
      <c r="DK183" s="1773">
        <f t="shared" si="244"/>
        <v>0.75571328289524997</v>
      </c>
      <c r="DL183" s="1773" t="e">
        <f t="shared" si="244"/>
        <v>#REF!</v>
      </c>
      <c r="DM183" s="1774" t="e">
        <f t="shared" si="244"/>
        <v>#REF!</v>
      </c>
      <c r="DN183" s="1774" t="e">
        <f t="shared" si="244"/>
        <v>#REF!</v>
      </c>
      <c r="DO183" s="1774"/>
      <c r="DP183" s="1774"/>
      <c r="DQ183" s="1774"/>
      <c r="DR183" s="1785"/>
      <c r="DS183" s="264"/>
      <c r="DT183" s="264"/>
      <c r="DU183" s="264"/>
      <c r="DV183" s="264"/>
      <c r="DW183" s="264"/>
      <c r="DX183" s="264"/>
      <c r="DY183" s="264"/>
      <c r="DZ183" s="264"/>
      <c r="EA183" s="264"/>
      <c r="EB183" s="264"/>
      <c r="EC183" s="264"/>
      <c r="ED183" s="264"/>
      <c r="EE183" s="264"/>
      <c r="EF183" s="264"/>
      <c r="EG183" s="264"/>
      <c r="EH183" s="264"/>
      <c r="EI183" s="264"/>
      <c r="EJ183" s="264"/>
      <c r="EK183" s="264"/>
      <c r="EL183" s="264"/>
      <c r="EM183" s="264"/>
      <c r="EN183" s="264"/>
      <c r="EO183" s="264"/>
      <c r="EP183" s="264"/>
      <c r="EQ183" s="264"/>
      <c r="ER183" s="264"/>
    </row>
    <row r="184" spans="1:280" s="934" customFormat="1" ht="3.75" hidden="1" customHeight="1" outlineLevel="1">
      <c r="A184" s="1760"/>
      <c r="B184" s="1761"/>
      <c r="C184" s="1761"/>
      <c r="D184" s="1761"/>
      <c r="E184" s="1761"/>
      <c r="F184" s="1761"/>
      <c r="G184" s="1761"/>
      <c r="H184" s="1761"/>
      <c r="I184" s="1761"/>
      <c r="J184" s="1761"/>
      <c r="K184" s="1761"/>
      <c r="L184" s="1761"/>
      <c r="M184" s="1761"/>
      <c r="N184" s="1761"/>
      <c r="O184" s="1761"/>
      <c r="P184" s="1761"/>
      <c r="Q184" s="1761"/>
      <c r="R184" s="1761"/>
      <c r="S184" s="1761"/>
      <c r="T184" s="1761"/>
      <c r="U184" s="1761"/>
      <c r="V184" s="1761"/>
      <c r="W184" s="1761"/>
      <c r="X184" s="1761"/>
      <c r="Y184" s="1761"/>
      <c r="Z184" s="1761"/>
      <c r="AA184" s="1761"/>
      <c r="AB184" s="1761"/>
      <c r="AC184" s="1761"/>
      <c r="AD184" s="1761"/>
      <c r="AE184" s="1761"/>
      <c r="AF184" s="1761"/>
      <c r="AG184" s="1761"/>
      <c r="AH184" s="1761"/>
      <c r="AI184" s="1761"/>
      <c r="AJ184" s="1761"/>
      <c r="AK184" s="1761"/>
      <c r="AL184" s="1761"/>
      <c r="AM184" s="1761"/>
      <c r="AN184" s="1761"/>
      <c r="AO184" s="1761"/>
      <c r="AP184" s="1761"/>
      <c r="AQ184" s="1761"/>
      <c r="AR184" s="1761"/>
      <c r="AS184" s="1761"/>
      <c r="AT184" s="1761"/>
      <c r="AU184" s="1774"/>
      <c r="AV184" s="1761"/>
      <c r="AW184" s="1761"/>
      <c r="AX184" s="1761"/>
      <c r="AY184" s="1761"/>
      <c r="AZ184" s="1774"/>
      <c r="BA184" s="1761"/>
      <c r="BB184" s="1761"/>
      <c r="BC184" s="1761"/>
      <c r="BD184" s="1761"/>
      <c r="BE184" s="1774"/>
      <c r="BF184" s="1761"/>
      <c r="BG184" s="1761"/>
      <c r="BH184" s="1761"/>
      <c r="BI184" s="1761"/>
      <c r="BJ184" s="1774"/>
      <c r="BK184" s="1761"/>
      <c r="BL184" s="1761"/>
      <c r="BM184" s="1761"/>
      <c r="BN184" s="1761"/>
      <c r="BO184" s="1774"/>
      <c r="BP184" s="1761"/>
      <c r="BQ184" s="1761"/>
      <c r="BR184" s="1761"/>
      <c r="BS184" s="1761"/>
      <c r="BT184" s="1774"/>
      <c r="BU184" s="2804"/>
      <c r="BV184" s="2804"/>
      <c r="BW184" s="2804"/>
      <c r="BX184" s="2804"/>
      <c r="BY184" s="1774"/>
      <c r="BZ184" s="2804"/>
      <c r="CA184" s="2804"/>
      <c r="CB184" s="2804"/>
      <c r="CC184" s="2804"/>
      <c r="CD184" s="1774"/>
      <c r="CE184" s="1761"/>
      <c r="CF184" s="1761"/>
      <c r="CG184" s="1761"/>
      <c r="CH184" s="1761"/>
      <c r="CI184" s="1774"/>
      <c r="CJ184" s="1761"/>
      <c r="CK184" s="1761"/>
      <c r="CL184" s="1761"/>
      <c r="CM184" s="1761"/>
      <c r="CN184" s="1774"/>
      <c r="CO184" s="1761"/>
      <c r="CP184" s="1761"/>
      <c r="CQ184" s="1761"/>
      <c r="CR184" s="1761"/>
      <c r="CS184" s="1774"/>
      <c r="CT184" s="1761"/>
      <c r="CU184" s="1761"/>
      <c r="CV184" s="1761"/>
      <c r="CW184" s="1761"/>
      <c r="CX184" s="1774"/>
      <c r="CY184" s="1761"/>
      <c r="CZ184" s="1761"/>
      <c r="DA184" s="1774"/>
      <c r="DB184" s="1774"/>
      <c r="DC184" s="1774"/>
      <c r="DD184" s="1774"/>
      <c r="DE184" s="1774"/>
      <c r="DF184" s="1774"/>
      <c r="DG184" s="1773"/>
      <c r="DH184" s="1773"/>
      <c r="DI184" s="1774"/>
      <c r="DJ184" s="1773"/>
      <c r="DK184" s="1773"/>
      <c r="DL184" s="1773"/>
      <c r="DM184" s="1774"/>
      <c r="DN184" s="1774"/>
      <c r="DO184" s="1774"/>
      <c r="DP184" s="1774"/>
      <c r="DQ184" s="1774"/>
      <c r="DR184" s="1785"/>
      <c r="DS184" s="264"/>
      <c r="DT184" s="264"/>
      <c r="DU184" s="264"/>
      <c r="DV184" s="264"/>
      <c r="DW184" s="264"/>
      <c r="DX184" s="264"/>
      <c r="DY184" s="264"/>
      <c r="DZ184" s="264"/>
      <c r="EA184" s="264"/>
      <c r="EB184" s="264"/>
      <c r="EC184" s="264"/>
      <c r="ED184" s="264"/>
      <c r="EE184" s="264"/>
      <c r="EF184" s="264"/>
      <c r="EG184" s="264"/>
      <c r="EH184" s="264"/>
      <c r="EI184" s="264"/>
      <c r="EJ184" s="264"/>
      <c r="EK184" s="264"/>
      <c r="EL184" s="264"/>
      <c r="EM184" s="264"/>
      <c r="EN184" s="264"/>
      <c r="EO184" s="264"/>
      <c r="EP184" s="264"/>
      <c r="EQ184" s="264"/>
      <c r="ER184" s="264"/>
    </row>
    <row r="185" spans="1:280" s="934" customFormat="1" ht="12" hidden="1" outlineLevel="2">
      <c r="A185" s="1760" t="s">
        <v>484</v>
      </c>
      <c r="B185" s="1761"/>
      <c r="C185" s="1761"/>
      <c r="D185" s="1761"/>
      <c r="E185" s="1761"/>
      <c r="F185" s="1761"/>
      <c r="G185" s="1761"/>
      <c r="H185" s="1761"/>
      <c r="I185" s="1761"/>
      <c r="J185" s="1761"/>
      <c r="K185" s="1761"/>
      <c r="L185" s="1761"/>
      <c r="M185" s="1761"/>
      <c r="N185" s="1761"/>
      <c r="O185" s="1761"/>
      <c r="P185" s="1761"/>
      <c r="Q185" s="1761"/>
      <c r="R185" s="1761"/>
      <c r="S185" s="1761"/>
      <c r="T185" s="1761"/>
      <c r="U185" s="1761"/>
      <c r="V185" s="1761"/>
      <c r="W185" s="1761"/>
      <c r="X185" s="1761"/>
      <c r="Y185" s="1761"/>
      <c r="Z185" s="1761"/>
      <c r="AA185" s="1761"/>
      <c r="AB185" s="1761"/>
      <c r="AC185" s="1761"/>
      <c r="AD185" s="1761"/>
      <c r="AE185" s="1761"/>
      <c r="AF185" s="1761"/>
      <c r="AG185" s="1761"/>
      <c r="AH185" s="1761"/>
      <c r="AI185" s="1761"/>
      <c r="AJ185" s="1761"/>
      <c r="AK185" s="1761"/>
      <c r="AL185" s="1761"/>
      <c r="AM185" s="1761"/>
      <c r="AN185" s="1761"/>
      <c r="AO185" s="1761"/>
      <c r="AP185" s="1761"/>
      <c r="AQ185" s="1761"/>
      <c r="AR185" s="1761"/>
      <c r="AS185" s="1761"/>
      <c r="AT185" s="1761"/>
      <c r="AU185" s="1801"/>
      <c r="AV185" s="1761"/>
      <c r="AW185" s="1761"/>
      <c r="AX185" s="1761"/>
      <c r="AY185" s="1761"/>
      <c r="AZ185" s="1801"/>
      <c r="BA185" s="1828">
        <f t="shared" ref="BA185:CI185" si="245">BA130-BA186</f>
        <v>986</v>
      </c>
      <c r="BB185" s="1828">
        <f t="shared" si="245"/>
        <v>995</v>
      </c>
      <c r="BC185" s="1828">
        <f t="shared" si="245"/>
        <v>1043</v>
      </c>
      <c r="BD185" s="1828">
        <f t="shared" si="245"/>
        <v>1041</v>
      </c>
      <c r="BE185" s="1801">
        <f t="shared" si="245"/>
        <v>4065</v>
      </c>
      <c r="BF185" s="1828">
        <f t="shared" si="245"/>
        <v>1143</v>
      </c>
      <c r="BG185" s="1828">
        <f t="shared" si="245"/>
        <v>1173</v>
      </c>
      <c r="BH185" s="1828">
        <f t="shared" si="245"/>
        <v>1185</v>
      </c>
      <c r="BI185" s="1828">
        <f t="shared" si="245"/>
        <v>1238</v>
      </c>
      <c r="BJ185" s="1801">
        <f t="shared" si="245"/>
        <v>4739</v>
      </c>
      <c r="BK185" s="1765">
        <f t="shared" si="245"/>
        <v>1328</v>
      </c>
      <c r="BL185" s="1765">
        <f t="shared" si="245"/>
        <v>1365</v>
      </c>
      <c r="BM185" s="1765">
        <f t="shared" si="245"/>
        <v>1427</v>
      </c>
      <c r="BN185" s="1828">
        <f t="shared" si="245"/>
        <v>1571</v>
      </c>
      <c r="BO185" s="1801">
        <f t="shared" si="245"/>
        <v>5691</v>
      </c>
      <c r="BP185" s="1765">
        <f t="shared" si="245"/>
        <v>1602</v>
      </c>
      <c r="BQ185" s="1765">
        <f t="shared" si="245"/>
        <v>1693</v>
      </c>
      <c r="BR185" s="1765">
        <f t="shared" si="245"/>
        <v>1616</v>
      </c>
      <c r="BS185" s="1828">
        <f t="shared" si="245"/>
        <v>1726</v>
      </c>
      <c r="BT185" s="1801">
        <f t="shared" si="245"/>
        <v>6637</v>
      </c>
      <c r="BU185" s="2803" t="e">
        <f t="shared" si="245"/>
        <v>#REF!</v>
      </c>
      <c r="BV185" s="2803" t="e">
        <f t="shared" si="245"/>
        <v>#REF!</v>
      </c>
      <c r="BW185" s="2803" t="e">
        <f t="shared" si="245"/>
        <v>#REF!</v>
      </c>
      <c r="BX185" s="2803" t="e">
        <f t="shared" si="245"/>
        <v>#REF!</v>
      </c>
      <c r="BY185" s="1801" t="e">
        <f t="shared" si="245"/>
        <v>#REF!</v>
      </c>
      <c r="BZ185" s="2803" t="e">
        <f t="shared" si="245"/>
        <v>#REF!</v>
      </c>
      <c r="CA185" s="2803" t="e">
        <f t="shared" si="245"/>
        <v>#REF!</v>
      </c>
      <c r="CB185" s="2803" t="e">
        <f t="shared" si="245"/>
        <v>#REF!</v>
      </c>
      <c r="CC185" s="2803" t="e">
        <f t="shared" si="245"/>
        <v>#REF!</v>
      </c>
      <c r="CD185" s="1801" t="e">
        <f t="shared" si="245"/>
        <v>#REF!</v>
      </c>
      <c r="CE185" s="1765">
        <f t="shared" si="245"/>
        <v>0</v>
      </c>
      <c r="CF185" s="1765">
        <f t="shared" si="245"/>
        <v>0</v>
      </c>
      <c r="CG185" s="1765">
        <f t="shared" si="245"/>
        <v>0</v>
      </c>
      <c r="CH185" s="1765">
        <f t="shared" si="245"/>
        <v>0</v>
      </c>
      <c r="CI185" s="1801">
        <f t="shared" si="245"/>
        <v>0</v>
      </c>
      <c r="CJ185" s="1765">
        <f t="shared" ref="CJ185:CS185" si="246">CJ130-CJ186</f>
        <v>0</v>
      </c>
      <c r="CK185" s="1765">
        <f t="shared" si="246"/>
        <v>0</v>
      </c>
      <c r="CL185" s="1765">
        <f t="shared" si="246"/>
        <v>0</v>
      </c>
      <c r="CM185" s="1765">
        <f t="shared" si="246"/>
        <v>0</v>
      </c>
      <c r="CN185" s="1801">
        <f t="shared" si="246"/>
        <v>0</v>
      </c>
      <c r="CO185" s="1765">
        <f t="shared" si="246"/>
        <v>0</v>
      </c>
      <c r="CP185" s="1765">
        <f t="shared" si="246"/>
        <v>0</v>
      </c>
      <c r="CQ185" s="1765">
        <f t="shared" si="246"/>
        <v>0</v>
      </c>
      <c r="CR185" s="1765">
        <f t="shared" si="246"/>
        <v>0</v>
      </c>
      <c r="CS185" s="1801">
        <f t="shared" si="246"/>
        <v>0</v>
      </c>
      <c r="CT185" s="1765">
        <f t="shared" ref="CT185:CX185" si="247">CT130-CT186</f>
        <v>0</v>
      </c>
      <c r="CU185" s="1765">
        <f t="shared" si="247"/>
        <v>0</v>
      </c>
      <c r="CV185" s="1765">
        <f t="shared" si="247"/>
        <v>0</v>
      </c>
      <c r="CW185" s="1765">
        <f t="shared" si="247"/>
        <v>2749.199999999998</v>
      </c>
      <c r="CX185" s="1801">
        <f t="shared" si="247"/>
        <v>2749.199999999998</v>
      </c>
      <c r="CY185" s="1761"/>
      <c r="CZ185" s="1761"/>
      <c r="DA185" s="1801"/>
      <c r="DB185" s="1801"/>
      <c r="DC185" s="1801"/>
      <c r="DD185" s="1801"/>
      <c r="DE185" s="1801"/>
      <c r="DF185" s="1801"/>
      <c r="DG185" s="1804"/>
      <c r="DH185" s="1804"/>
      <c r="DI185" s="1762">
        <f>SUM(BC185:BD185,BF185:BG185)</f>
        <v>4400</v>
      </c>
      <c r="DJ185" s="1766">
        <f>SUM(BH185:BI185,BK185:BL185)</f>
        <v>5116</v>
      </c>
      <c r="DK185" s="1766">
        <f>SUM(BM185:BN185,BP185:BQ185)</f>
        <v>6293</v>
      </c>
      <c r="DL185" s="1766" t="e">
        <f>SUM(BU185:BV185,BR185:BS185)</f>
        <v>#REF!</v>
      </c>
      <c r="DM185" s="1762" t="e">
        <f>SUM(BW185:BX185,BZ185:CA185)</f>
        <v>#REF!</v>
      </c>
      <c r="DN185" s="1762" t="e">
        <f>SUM(CB185:CC185,CE185:CF185)</f>
        <v>#REF!</v>
      </c>
      <c r="DO185" s="1762"/>
      <c r="DP185" s="1762"/>
      <c r="DQ185" s="1762"/>
      <c r="DR185" s="1795"/>
      <c r="DS185" s="264"/>
      <c r="DT185" s="264"/>
      <c r="DU185" s="264"/>
      <c r="DV185" s="264"/>
      <c r="DW185" s="264"/>
      <c r="DX185" s="264"/>
      <c r="DY185" s="264"/>
      <c r="DZ185" s="264"/>
      <c r="EA185" s="264"/>
      <c r="EB185" s="264"/>
      <c r="EC185" s="264"/>
      <c r="ED185" s="264"/>
      <c r="EE185" s="264"/>
      <c r="EF185" s="264"/>
      <c r="EG185" s="264"/>
      <c r="EH185" s="264"/>
      <c r="EI185" s="264"/>
      <c r="EJ185" s="264"/>
      <c r="EK185" s="264"/>
      <c r="EL185" s="264"/>
      <c r="EM185" s="264"/>
      <c r="EN185" s="264"/>
      <c r="EO185" s="264"/>
      <c r="EP185" s="264"/>
      <c r="EQ185" s="264"/>
      <c r="ER185" s="264"/>
    </row>
    <row r="186" spans="1:280" s="934" customFormat="1" ht="12" hidden="1" outlineLevel="1">
      <c r="A186" s="1760" t="s">
        <v>485</v>
      </c>
      <c r="B186" s="1761"/>
      <c r="C186" s="1761"/>
      <c r="D186" s="1761"/>
      <c r="E186" s="1761"/>
      <c r="F186" s="1761"/>
      <c r="G186" s="1761"/>
      <c r="H186" s="1761"/>
      <c r="I186" s="1761"/>
      <c r="J186" s="1761"/>
      <c r="K186" s="1761"/>
      <c r="L186" s="1761"/>
      <c r="M186" s="1761"/>
      <c r="N186" s="1761"/>
      <c r="O186" s="1761"/>
      <c r="P186" s="1761"/>
      <c r="Q186" s="1761"/>
      <c r="R186" s="1761"/>
      <c r="S186" s="1761"/>
      <c r="T186" s="1761"/>
      <c r="U186" s="1761"/>
      <c r="V186" s="1761"/>
      <c r="W186" s="1761"/>
      <c r="X186" s="1761"/>
      <c r="Y186" s="1761"/>
      <c r="Z186" s="1761"/>
      <c r="AA186" s="1761"/>
      <c r="AB186" s="1761"/>
      <c r="AC186" s="1761"/>
      <c r="AD186" s="1761"/>
      <c r="AE186" s="1761"/>
      <c r="AF186" s="1761"/>
      <c r="AG186" s="1761"/>
      <c r="AH186" s="1761"/>
      <c r="AI186" s="1761"/>
      <c r="AJ186" s="1761"/>
      <c r="AK186" s="1761"/>
      <c r="AL186" s="1761"/>
      <c r="AM186" s="1761"/>
      <c r="AN186" s="1761"/>
      <c r="AO186" s="1761"/>
      <c r="AP186" s="1761"/>
      <c r="AQ186" s="1761"/>
      <c r="AR186" s="1761"/>
      <c r="AS186" s="1761"/>
      <c r="AT186" s="1761"/>
      <c r="AU186" s="1801"/>
      <c r="AV186" s="1761"/>
      <c r="AW186" s="1761"/>
      <c r="AX186" s="1761"/>
      <c r="AY186" s="1761"/>
      <c r="AZ186" s="1801"/>
      <c r="BA186" s="1830">
        <v>53</v>
      </c>
      <c r="BB186" s="1830">
        <v>171</v>
      </c>
      <c r="BC186" s="1830">
        <v>114</v>
      </c>
      <c r="BD186" s="1830">
        <v>241</v>
      </c>
      <c r="BE186" s="1801">
        <f>SUM(BA186:BD186)</f>
        <v>579</v>
      </c>
      <c r="BF186" s="1830">
        <v>105</v>
      </c>
      <c r="BG186" s="1830">
        <v>216</v>
      </c>
      <c r="BH186" s="1830">
        <v>264</v>
      </c>
      <c r="BI186" s="1830">
        <v>336</v>
      </c>
      <c r="BJ186" s="1801">
        <f>SUM(BF186:BI186)</f>
        <v>921</v>
      </c>
      <c r="BK186" s="1764">
        <v>274</v>
      </c>
      <c r="BL186" s="1764">
        <v>415</v>
      </c>
      <c r="BM186" s="1764">
        <v>475</v>
      </c>
      <c r="BN186" s="1830">
        <v>691</v>
      </c>
      <c r="BO186" s="1801">
        <f>SUM(BK186:BN186)</f>
        <v>1855</v>
      </c>
      <c r="BP186" s="1764">
        <v>805</v>
      </c>
      <c r="BQ186" s="1764">
        <v>900</v>
      </c>
      <c r="BR186" s="1764">
        <v>1144</v>
      </c>
      <c r="BS186" s="1830">
        <v>1350</v>
      </c>
      <c r="BT186" s="1801">
        <f>SUM(BP186:BS186)</f>
        <v>4199</v>
      </c>
      <c r="BU186" s="2802" t="e">
        <f>BU187*BU130</f>
        <v>#REF!</v>
      </c>
      <c r="BV186" s="2802" t="e">
        <f>BV187*BV130</f>
        <v>#REF!</v>
      </c>
      <c r="BW186" s="2803" t="e">
        <f>BW187*BW130</f>
        <v>#REF!</v>
      </c>
      <c r="BX186" s="2803" t="e">
        <f>BX187*BX130</f>
        <v>#REF!</v>
      </c>
      <c r="BY186" s="1801" t="e">
        <f>SUM(BU186:BX186)</f>
        <v>#REF!</v>
      </c>
      <c r="BZ186" s="2803" t="e">
        <f>BZ187*BZ130</f>
        <v>#REF!</v>
      </c>
      <c r="CA186" s="2803" t="e">
        <f>CA187*CA130</f>
        <v>#REF!</v>
      </c>
      <c r="CB186" s="2803" t="e">
        <f>CB187*CB130</f>
        <v>#REF!</v>
      </c>
      <c r="CC186" s="2803" t="e">
        <f>CC187*CC130</f>
        <v>#REF!</v>
      </c>
      <c r="CD186" s="1801" t="e">
        <f>SUM(BZ186:CC186)</f>
        <v>#REF!</v>
      </c>
      <c r="CE186" s="1765">
        <f>CE187*CE130</f>
        <v>0</v>
      </c>
      <c r="CF186" s="1765">
        <f>CF187*CF130</f>
        <v>0</v>
      </c>
      <c r="CG186" s="1765">
        <f>CG187*CG130</f>
        <v>0</v>
      </c>
      <c r="CH186" s="1765">
        <f>CH187*CH130</f>
        <v>0</v>
      </c>
      <c r="CI186" s="1801">
        <f>SUM(CE186:CH186)</f>
        <v>0</v>
      </c>
      <c r="CJ186" s="1765">
        <f>CJ187*CJ130</f>
        <v>0</v>
      </c>
      <c r="CK186" s="1765">
        <f>CK187*CK130</f>
        <v>0</v>
      </c>
      <c r="CL186" s="1765">
        <f>CL187*CL130</f>
        <v>0</v>
      </c>
      <c r="CM186" s="1765">
        <f>CM187*CM130</f>
        <v>0</v>
      </c>
      <c r="CN186" s="1801">
        <f>SUM(CJ186:CM186)</f>
        <v>0</v>
      </c>
      <c r="CO186" s="1765">
        <f>CO187*CO130</f>
        <v>0</v>
      </c>
      <c r="CP186" s="1765">
        <f>CP187*CP130</f>
        <v>0</v>
      </c>
      <c r="CQ186" s="1765">
        <f>CQ187*CQ130</f>
        <v>0</v>
      </c>
      <c r="CR186" s="1765">
        <f>CR187*CR130</f>
        <v>0</v>
      </c>
      <c r="CS186" s="1801">
        <f>SUM(CO186:CR186)</f>
        <v>0</v>
      </c>
      <c r="CT186" s="1765">
        <f>CT187*CT130</f>
        <v>0</v>
      </c>
      <c r="CU186" s="1765">
        <f>CU187*CU130</f>
        <v>0</v>
      </c>
      <c r="CV186" s="1765">
        <f>CV187*CV130</f>
        <v>0</v>
      </c>
      <c r="CW186" s="1765">
        <f>CW187*CW130</f>
        <v>6414.800000000002</v>
      </c>
      <c r="CX186" s="1801">
        <f>SUM(CT186:CW186)</f>
        <v>6414.800000000002</v>
      </c>
      <c r="CY186" s="1761"/>
      <c r="CZ186" s="1761"/>
      <c r="DA186" s="1801"/>
      <c r="DB186" s="1801"/>
      <c r="DC186" s="1801"/>
      <c r="DD186" s="1801"/>
      <c r="DE186" s="1801"/>
      <c r="DF186" s="1801"/>
      <c r="DG186" s="1804"/>
      <c r="DH186" s="1804"/>
      <c r="DI186" s="1762">
        <f>SUM(BC186:BD186,BF186:BG186)</f>
        <v>676</v>
      </c>
      <c r="DJ186" s="1766">
        <f>SUM(BH186:BI186,BK186:BL186)</f>
        <v>1289</v>
      </c>
      <c r="DK186" s="1766">
        <f>SUM(BM186:BN186,BP186:BQ186)</f>
        <v>2871</v>
      </c>
      <c r="DL186" s="1766" t="e">
        <f>SUM(BU186:BV186,BR186:BS186)</f>
        <v>#REF!</v>
      </c>
      <c r="DM186" s="1762" t="e">
        <f>SUM(BW186:BX186,BZ186:CA186)</f>
        <v>#REF!</v>
      </c>
      <c r="DN186" s="1762" t="e">
        <f>SUM(CB186:CC186,CE186:CF186)</f>
        <v>#REF!</v>
      </c>
      <c r="DO186" s="1762"/>
      <c r="DP186" s="1762"/>
      <c r="DQ186" s="1762"/>
      <c r="DR186" s="1795"/>
      <c r="DS186" s="264"/>
      <c r="DT186" s="264"/>
      <c r="DU186" s="264"/>
      <c r="DV186" s="264"/>
      <c r="DW186" s="264"/>
      <c r="DX186" s="264"/>
      <c r="DY186" s="264"/>
      <c r="DZ186" s="264"/>
      <c r="EA186" s="264"/>
      <c r="EB186" s="264"/>
      <c r="EC186" s="264"/>
      <c r="ED186" s="264"/>
      <c r="EE186" s="264"/>
      <c r="EF186" s="264"/>
      <c r="EG186" s="264"/>
      <c r="EH186" s="264"/>
      <c r="EI186" s="264"/>
      <c r="EJ186" s="264"/>
      <c r="EK186" s="264"/>
      <c r="EL186" s="264"/>
      <c r="EM186" s="264"/>
      <c r="EN186" s="264"/>
      <c r="EO186" s="264"/>
      <c r="EP186" s="264"/>
      <c r="EQ186" s="264"/>
      <c r="ER186" s="264"/>
    </row>
    <row r="187" spans="1:280" s="934" customFormat="1" ht="12" hidden="1" outlineLevel="1">
      <c r="A187" s="1760" t="s">
        <v>727</v>
      </c>
      <c r="B187" s="1761"/>
      <c r="C187" s="1761"/>
      <c r="D187" s="1761"/>
      <c r="E187" s="1761"/>
      <c r="F187" s="1761"/>
      <c r="G187" s="1761"/>
      <c r="H187" s="1761"/>
      <c r="I187" s="1761"/>
      <c r="J187" s="1761"/>
      <c r="K187" s="1761"/>
      <c r="L187" s="1761"/>
      <c r="M187" s="1761"/>
      <c r="N187" s="1761"/>
      <c r="O187" s="1761"/>
      <c r="P187" s="1761"/>
      <c r="Q187" s="1761"/>
      <c r="R187" s="1761"/>
      <c r="S187" s="1761"/>
      <c r="T187" s="1761"/>
      <c r="U187" s="1761"/>
      <c r="V187" s="1761"/>
      <c r="W187" s="1761"/>
      <c r="X187" s="1761"/>
      <c r="Y187" s="1761"/>
      <c r="Z187" s="1761"/>
      <c r="AA187" s="1761"/>
      <c r="AB187" s="1761"/>
      <c r="AC187" s="1761"/>
      <c r="AD187" s="1761"/>
      <c r="AE187" s="1761"/>
      <c r="AF187" s="1761"/>
      <c r="AG187" s="1761"/>
      <c r="AH187" s="1761"/>
      <c r="AI187" s="1761"/>
      <c r="AJ187" s="1761"/>
      <c r="AK187" s="1761"/>
      <c r="AL187" s="1761"/>
      <c r="AM187" s="1761"/>
      <c r="AN187" s="1761"/>
      <c r="AO187" s="1761"/>
      <c r="AP187" s="1761"/>
      <c r="AQ187" s="1761"/>
      <c r="AR187" s="1761"/>
      <c r="AS187" s="1761"/>
      <c r="AT187" s="1761"/>
      <c r="AU187" s="1774"/>
      <c r="AV187" s="1761"/>
      <c r="AW187" s="1761"/>
      <c r="AX187" s="1761"/>
      <c r="AY187" s="1761"/>
      <c r="AZ187" s="1774"/>
      <c r="BA187" s="1786">
        <f t="shared" ref="BA187:BT187" si="248">BA186/BA130</f>
        <v>5.1010587102983639E-2</v>
      </c>
      <c r="BB187" s="1786">
        <f t="shared" si="248"/>
        <v>0.14665523156089194</v>
      </c>
      <c r="BC187" s="1786">
        <f t="shared" si="248"/>
        <v>9.8530682800345729E-2</v>
      </c>
      <c r="BD187" s="1786">
        <f t="shared" si="248"/>
        <v>0.18798751950078002</v>
      </c>
      <c r="BE187" s="1774">
        <f t="shared" si="248"/>
        <v>0.12467700258397933</v>
      </c>
      <c r="BF187" s="1786">
        <f t="shared" si="248"/>
        <v>8.4134615384615391E-2</v>
      </c>
      <c r="BG187" s="1786">
        <f t="shared" si="248"/>
        <v>0.15550755939524838</v>
      </c>
      <c r="BH187" s="1786">
        <f t="shared" si="248"/>
        <v>0.18219461697722567</v>
      </c>
      <c r="BI187" s="1786">
        <f t="shared" si="248"/>
        <v>0.21346886912325286</v>
      </c>
      <c r="BJ187" s="1774">
        <f t="shared" si="248"/>
        <v>0.16272084805653711</v>
      </c>
      <c r="BK187" s="1786">
        <f t="shared" si="248"/>
        <v>0.17103620474406991</v>
      </c>
      <c r="BL187" s="1786">
        <f t="shared" si="248"/>
        <v>0.23314606741573032</v>
      </c>
      <c r="BM187" s="1786">
        <f t="shared" si="248"/>
        <v>0.24973711882229233</v>
      </c>
      <c r="BN187" s="1786">
        <f t="shared" si="248"/>
        <v>0.30548187444739167</v>
      </c>
      <c r="BO187" s="1774">
        <f t="shared" si="248"/>
        <v>0.24582560296846012</v>
      </c>
      <c r="BP187" s="1786">
        <f t="shared" si="248"/>
        <v>0.33444121312837555</v>
      </c>
      <c r="BQ187" s="1786">
        <f t="shared" si="248"/>
        <v>0.34708831469340534</v>
      </c>
      <c r="BR187" s="1786">
        <f t="shared" si="248"/>
        <v>0.41449275362318838</v>
      </c>
      <c r="BS187" s="1786">
        <f t="shared" si="248"/>
        <v>0.43888166449934979</v>
      </c>
      <c r="BT187" s="1774">
        <f t="shared" si="248"/>
        <v>0.38750461424880028</v>
      </c>
      <c r="BU187" s="1786">
        <v>0.42</v>
      </c>
      <c r="BV187" s="1786">
        <v>0.43</v>
      </c>
      <c r="BW187" s="1831">
        <v>0.44</v>
      </c>
      <c r="BX187" s="1831">
        <v>0.45</v>
      </c>
      <c r="BY187" s="1774" t="e">
        <f>BY186/BY130</f>
        <v>#REF!</v>
      </c>
      <c r="BZ187" s="1831">
        <f>BU187+0.025</f>
        <v>0.44500000000000001</v>
      </c>
      <c r="CA187" s="1831">
        <f>BV187+0.035</f>
        <v>0.46499999999999997</v>
      </c>
      <c r="CB187" s="1831">
        <f>BW187+0.05</f>
        <v>0.49</v>
      </c>
      <c r="CC187" s="1831">
        <f>BX187+0.05</f>
        <v>0.5</v>
      </c>
      <c r="CD187" s="1774" t="e">
        <f>CD186/CD130</f>
        <v>#REF!</v>
      </c>
      <c r="CE187" s="1831">
        <f>BZ187+0.025</f>
        <v>0.47000000000000003</v>
      </c>
      <c r="CF187" s="1831">
        <f>CA187+0.035</f>
        <v>0.5</v>
      </c>
      <c r="CG187" s="1831">
        <f>CB187+0.05</f>
        <v>0.54</v>
      </c>
      <c r="CH187" s="1831">
        <f>CC187+0.05</f>
        <v>0.55000000000000004</v>
      </c>
      <c r="CI187" s="1774" t="e">
        <f>CI186/CI130</f>
        <v>#DIV/0!</v>
      </c>
      <c r="CJ187" s="1831">
        <f>CE187+0.025</f>
        <v>0.49500000000000005</v>
      </c>
      <c r="CK187" s="1831">
        <f>CF187+0.035</f>
        <v>0.53500000000000003</v>
      </c>
      <c r="CL187" s="1831">
        <f>CG187+0.05</f>
        <v>0.59000000000000008</v>
      </c>
      <c r="CM187" s="1831">
        <f>CH187+0.05</f>
        <v>0.60000000000000009</v>
      </c>
      <c r="CN187" s="1774" t="e">
        <f>CN186/CN130</f>
        <v>#DIV/0!</v>
      </c>
      <c r="CO187" s="1831">
        <f>CJ187+0.025</f>
        <v>0.52</v>
      </c>
      <c r="CP187" s="1831">
        <f>CK187+0.035</f>
        <v>0.57000000000000006</v>
      </c>
      <c r="CQ187" s="1831">
        <f>CL187+0.05</f>
        <v>0.64000000000000012</v>
      </c>
      <c r="CR187" s="1831">
        <f>CM187+0.05</f>
        <v>0.65000000000000013</v>
      </c>
      <c r="CS187" s="1774" t="e">
        <f>CS186/CS130</f>
        <v>#DIV/0!</v>
      </c>
      <c r="CT187" s="1831">
        <f>CO187+0.025</f>
        <v>0.54500000000000004</v>
      </c>
      <c r="CU187" s="1831">
        <f>CP187+0.035</f>
        <v>0.60500000000000009</v>
      </c>
      <c r="CV187" s="1831">
        <f>CQ187+0.05</f>
        <v>0.69000000000000017</v>
      </c>
      <c r="CW187" s="1831">
        <f>CR187+0.05</f>
        <v>0.70000000000000018</v>
      </c>
      <c r="CX187" s="1774">
        <f>CX186/CX130</f>
        <v>0.70000000000000018</v>
      </c>
      <c r="CY187" s="1761"/>
      <c r="CZ187" s="1761"/>
      <c r="DA187" s="1774"/>
      <c r="DB187" s="1774"/>
      <c r="DC187" s="1774"/>
      <c r="DD187" s="1774"/>
      <c r="DE187" s="1774"/>
      <c r="DF187" s="1774"/>
      <c r="DG187" s="1773"/>
      <c r="DH187" s="1773"/>
      <c r="DI187" s="1774">
        <f t="shared" ref="DI187:DN187" si="249">DI186/DI130</f>
        <v>0.13317572892040977</v>
      </c>
      <c r="DJ187" s="1773">
        <f t="shared" si="249"/>
        <v>0.20124902419984386</v>
      </c>
      <c r="DK187" s="1773">
        <f t="shared" si="249"/>
        <v>0.31329113924050633</v>
      </c>
      <c r="DL187" s="1773" t="e">
        <f t="shared" si="249"/>
        <v>#REF!</v>
      </c>
      <c r="DM187" s="1774" t="e">
        <f t="shared" si="249"/>
        <v>#REF!</v>
      </c>
      <c r="DN187" s="1774" t="e">
        <f t="shared" si="249"/>
        <v>#REF!</v>
      </c>
      <c r="DO187" s="1774"/>
      <c r="DP187" s="1774"/>
      <c r="DQ187" s="1774"/>
      <c r="DR187" s="1785"/>
      <c r="DS187" s="264"/>
      <c r="DT187" s="264"/>
      <c r="DU187" s="264"/>
      <c r="DV187" s="264"/>
      <c r="DW187" s="264"/>
      <c r="DX187" s="264"/>
      <c r="DY187" s="264"/>
      <c r="DZ187" s="264"/>
      <c r="EA187" s="264"/>
      <c r="EB187" s="264"/>
      <c r="EC187" s="264"/>
      <c r="ED187" s="264"/>
      <c r="EE187" s="264"/>
      <c r="EF187" s="264"/>
      <c r="EG187" s="264"/>
      <c r="EH187" s="264"/>
      <c r="EI187" s="264"/>
      <c r="EJ187" s="264"/>
      <c r="EK187" s="264"/>
      <c r="EL187" s="264"/>
      <c r="EM187" s="264"/>
      <c r="EN187" s="264"/>
      <c r="EO187" s="264"/>
      <c r="EP187" s="264"/>
      <c r="EQ187" s="264"/>
      <c r="ER187" s="264"/>
    </row>
    <row r="188" spans="1:280" s="934" customFormat="1" ht="3.75" hidden="1" customHeight="1" outlineLevel="1" thickBot="1">
      <c r="A188" s="1760"/>
      <c r="B188" s="1761"/>
      <c r="C188" s="1761"/>
      <c r="D188" s="1761"/>
      <c r="E188" s="1761"/>
      <c r="F188" s="1761"/>
      <c r="G188" s="1761"/>
      <c r="H188" s="1761"/>
      <c r="I188" s="1761"/>
      <c r="J188" s="1761"/>
      <c r="K188" s="1761"/>
      <c r="L188" s="1761"/>
      <c r="M188" s="1761"/>
      <c r="N188" s="1761"/>
      <c r="O188" s="1761"/>
      <c r="P188" s="1761"/>
      <c r="Q188" s="1761"/>
      <c r="R188" s="1761"/>
      <c r="S188" s="1761"/>
      <c r="T188" s="1761"/>
      <c r="U188" s="1761"/>
      <c r="V188" s="1761"/>
      <c r="W188" s="1761"/>
      <c r="X188" s="1761"/>
      <c r="Y188" s="1761"/>
      <c r="Z188" s="1761"/>
      <c r="AA188" s="1761"/>
      <c r="AB188" s="1761"/>
      <c r="AC188" s="1761"/>
      <c r="AD188" s="1761"/>
      <c r="AE188" s="1761"/>
      <c r="AF188" s="1761"/>
      <c r="AG188" s="1761"/>
      <c r="AH188" s="1761"/>
      <c r="AI188" s="1761"/>
      <c r="AJ188" s="1761"/>
      <c r="AK188" s="1761"/>
      <c r="AL188" s="1761"/>
      <c r="AM188" s="1761"/>
      <c r="AN188" s="1761"/>
      <c r="AO188" s="1761"/>
      <c r="AP188" s="1761"/>
      <c r="AQ188" s="1761"/>
      <c r="AR188" s="1761"/>
      <c r="AS188" s="1761"/>
      <c r="AT188" s="1761"/>
      <c r="AU188" s="1774"/>
      <c r="AV188" s="1761"/>
      <c r="AW188" s="1761"/>
      <c r="AX188" s="1761"/>
      <c r="AY188" s="1761"/>
      <c r="AZ188" s="1774"/>
      <c r="BA188" s="1761"/>
      <c r="BB188" s="1761"/>
      <c r="BC188" s="1761"/>
      <c r="BD188" s="1761"/>
      <c r="BE188" s="1774"/>
      <c r="BF188" s="1761"/>
      <c r="BG188" s="1761"/>
      <c r="BH188" s="1761"/>
      <c r="BI188" s="1761"/>
      <c r="BJ188" s="1774"/>
      <c r="BK188" s="1761"/>
      <c r="BL188" s="1761"/>
      <c r="BM188" s="1761"/>
      <c r="BN188" s="1761"/>
      <c r="BO188" s="1774"/>
      <c r="BP188" s="1761"/>
      <c r="BQ188" s="1761"/>
      <c r="BR188" s="1761"/>
      <c r="BS188" s="1761"/>
      <c r="BT188" s="1774"/>
      <c r="BU188" s="2804"/>
      <c r="BV188" s="2804"/>
      <c r="BW188" s="2804"/>
      <c r="BX188" s="2804"/>
      <c r="BY188" s="1774"/>
      <c r="BZ188" s="2804"/>
      <c r="CA188" s="2804"/>
      <c r="CB188" s="2804"/>
      <c r="CC188" s="2804"/>
      <c r="CD188" s="1774"/>
      <c r="CE188" s="1761"/>
      <c r="CF188" s="1761"/>
      <c r="CG188" s="1761"/>
      <c r="CH188" s="1761"/>
      <c r="CI188" s="1774"/>
      <c r="CJ188" s="1761"/>
      <c r="CK188" s="1761"/>
      <c r="CL188" s="1761"/>
      <c r="CM188" s="1761"/>
      <c r="CN188" s="1774"/>
      <c r="CO188" s="1761"/>
      <c r="CP188" s="1761"/>
      <c r="CQ188" s="1761"/>
      <c r="CR188" s="1761"/>
      <c r="CS188" s="1774"/>
      <c r="CT188" s="1761"/>
      <c r="CU188" s="1761"/>
      <c r="CV188" s="1761"/>
      <c r="CW188" s="1761"/>
      <c r="CX188" s="1774"/>
      <c r="CY188" s="1761"/>
      <c r="CZ188" s="1761"/>
      <c r="DA188" s="1774"/>
      <c r="DB188" s="1774"/>
      <c r="DC188" s="1774"/>
      <c r="DD188" s="1774"/>
      <c r="DE188" s="1774"/>
      <c r="DF188" s="1774"/>
      <c r="DG188" s="1773"/>
      <c r="DH188" s="1773"/>
      <c r="DI188" s="1774"/>
      <c r="DJ188" s="1773"/>
      <c r="DK188" s="1773"/>
      <c r="DL188" s="1773"/>
      <c r="DM188" s="1774"/>
      <c r="DN188" s="1774"/>
      <c r="DO188" s="1774"/>
      <c r="DP188" s="1774"/>
      <c r="DQ188" s="1774"/>
      <c r="DR188" s="1785"/>
      <c r="DS188" s="264"/>
      <c r="DT188" s="264"/>
      <c r="DU188" s="264"/>
      <c r="DV188" s="264"/>
      <c r="DW188" s="264"/>
      <c r="DX188" s="264"/>
      <c r="DY188" s="264"/>
      <c r="DZ188" s="264"/>
      <c r="EA188" s="264"/>
      <c r="EB188" s="264"/>
      <c r="EC188" s="264"/>
      <c r="ED188" s="264"/>
      <c r="EE188" s="264"/>
      <c r="EF188" s="264"/>
      <c r="EG188" s="264"/>
      <c r="EH188" s="264"/>
      <c r="EI188" s="264"/>
      <c r="EJ188" s="264"/>
      <c r="EK188" s="264"/>
      <c r="EL188" s="264"/>
      <c r="EM188" s="264"/>
      <c r="EN188" s="264"/>
      <c r="EO188" s="264"/>
      <c r="EP188" s="264"/>
      <c r="EQ188" s="264"/>
      <c r="ER188" s="264"/>
    </row>
    <row r="189" spans="1:280" s="934" customFormat="1" ht="12" hidden="1" outlineLevel="1">
      <c r="A189" s="1834" t="s">
        <v>493</v>
      </c>
      <c r="B189" s="1835"/>
      <c r="C189" s="1835"/>
      <c r="D189" s="1835"/>
      <c r="E189" s="1835"/>
      <c r="F189" s="1835"/>
      <c r="G189" s="1835"/>
      <c r="H189" s="1835"/>
      <c r="I189" s="1835"/>
      <c r="J189" s="1835"/>
      <c r="K189" s="1835"/>
      <c r="L189" s="1835"/>
      <c r="M189" s="1835"/>
      <c r="N189" s="1835"/>
      <c r="O189" s="1835"/>
      <c r="P189" s="1835"/>
      <c r="Q189" s="1835"/>
      <c r="R189" s="1835"/>
      <c r="S189" s="1835"/>
      <c r="T189" s="1835"/>
      <c r="U189" s="1835"/>
      <c r="V189" s="1835"/>
      <c r="W189" s="1835"/>
      <c r="X189" s="1835"/>
      <c r="Y189" s="1835"/>
      <c r="Z189" s="1835"/>
      <c r="AA189" s="1835"/>
      <c r="AB189" s="1835"/>
      <c r="AC189" s="1835"/>
      <c r="AD189" s="1835"/>
      <c r="AE189" s="1835"/>
      <c r="AF189" s="1835"/>
      <c r="AG189" s="1835"/>
      <c r="AH189" s="1835"/>
      <c r="AI189" s="1835"/>
      <c r="AJ189" s="1835"/>
      <c r="AK189" s="1835"/>
      <c r="AL189" s="1835"/>
      <c r="AM189" s="1835"/>
      <c r="AN189" s="1835"/>
      <c r="AO189" s="1835"/>
      <c r="AP189" s="1835"/>
      <c r="AQ189" s="1835"/>
      <c r="AR189" s="1835"/>
      <c r="AS189" s="1835"/>
      <c r="AT189" s="1835"/>
      <c r="AU189" s="1836"/>
      <c r="AV189" s="1835"/>
      <c r="AW189" s="1835"/>
      <c r="AX189" s="1835"/>
      <c r="AY189" s="1835"/>
      <c r="AZ189" s="1836"/>
      <c r="BA189" s="1837">
        <f>BA186+BA182</f>
        <v>7862</v>
      </c>
      <c r="BB189" s="1837">
        <f>BB186+BB182</f>
        <v>9126</v>
      </c>
      <c r="BC189" s="1837">
        <f>BC186+BC182</f>
        <v>8509</v>
      </c>
      <c r="BD189" s="1837">
        <f>BD186+BD182</f>
        <v>9545</v>
      </c>
      <c r="BE189" s="1838">
        <f>BE186+BE182+BE174</f>
        <v>35042.669985819099</v>
      </c>
      <c r="BF189" s="1837">
        <f>BF186+BF182</f>
        <v>8288</v>
      </c>
      <c r="BG189" s="1837">
        <f>BG186+BG182</f>
        <v>9542</v>
      </c>
      <c r="BH189" s="1837">
        <f>BH186+BH182</f>
        <v>9349</v>
      </c>
      <c r="BI189" s="1837">
        <f>BI186+BI182</f>
        <v>10003</v>
      </c>
      <c r="BJ189" s="1838">
        <f t="shared" ref="BJ189:CD189" si="250">BJ186+BJ182+BJ174</f>
        <v>37182.624485981309</v>
      </c>
      <c r="BK189" s="1839">
        <f t="shared" si="250"/>
        <v>9079.5974217805833</v>
      </c>
      <c r="BL189" s="1839">
        <f>BL186+BL182+BL174</f>
        <v>10495.486120457605</v>
      </c>
      <c r="BM189" s="1839">
        <f t="shared" si="250"/>
        <v>9907.5626431930541</v>
      </c>
      <c r="BN189" s="1837">
        <f t="shared" si="250"/>
        <v>10989.488937831615</v>
      </c>
      <c r="BO189" s="1838">
        <f t="shared" si="250"/>
        <v>40470.525772921814</v>
      </c>
      <c r="BP189" s="1839">
        <f t="shared" si="250"/>
        <v>9905.4639730025538</v>
      </c>
      <c r="BQ189" s="1839">
        <f t="shared" si="250"/>
        <v>10826.404920832039</v>
      </c>
      <c r="BR189" s="1839">
        <f t="shared" si="250"/>
        <v>10419.467552775606</v>
      </c>
      <c r="BS189" s="1837">
        <f t="shared" si="250"/>
        <v>10879.44724137931</v>
      </c>
      <c r="BT189" s="1840">
        <f t="shared" si="250"/>
        <v>42029.442904990239</v>
      </c>
      <c r="BU189" s="2810" t="e">
        <f t="shared" si="250"/>
        <v>#REF!</v>
      </c>
      <c r="BV189" s="2810" t="e">
        <f t="shared" si="250"/>
        <v>#REF!</v>
      </c>
      <c r="BW189" s="2810" t="e">
        <f t="shared" si="250"/>
        <v>#REF!</v>
      </c>
      <c r="BX189" s="2810" t="e">
        <f t="shared" si="250"/>
        <v>#REF!</v>
      </c>
      <c r="BY189" s="1840" t="e">
        <f t="shared" si="250"/>
        <v>#REF!</v>
      </c>
      <c r="BZ189" s="2810" t="e">
        <f t="shared" si="250"/>
        <v>#REF!</v>
      </c>
      <c r="CA189" s="2810" t="e">
        <f t="shared" si="250"/>
        <v>#REF!</v>
      </c>
      <c r="CB189" s="2810" t="e">
        <f t="shared" si="250"/>
        <v>#REF!</v>
      </c>
      <c r="CC189" s="2810" t="e">
        <f t="shared" si="250"/>
        <v>#REF!</v>
      </c>
      <c r="CD189" s="1840" t="e">
        <f t="shared" si="250"/>
        <v>#REF!</v>
      </c>
      <c r="CE189" s="1839" t="e">
        <f t="shared" ref="CE189:CI189" si="251">CE186+CE182+CE174</f>
        <v>#REF!</v>
      </c>
      <c r="CF189" s="1839" t="e">
        <f t="shared" si="251"/>
        <v>#REF!</v>
      </c>
      <c r="CG189" s="1839" t="e">
        <f t="shared" si="251"/>
        <v>#REF!</v>
      </c>
      <c r="CH189" s="1839" t="e">
        <f t="shared" si="251"/>
        <v>#REF!</v>
      </c>
      <c r="CI189" s="1840" t="e">
        <f t="shared" si="251"/>
        <v>#REF!</v>
      </c>
      <c r="CJ189" s="1839" t="e">
        <f t="shared" ref="CJ189:CS189" si="252">CJ186+CJ182+CJ174</f>
        <v>#REF!</v>
      </c>
      <c r="CK189" s="1839" t="e">
        <f t="shared" si="252"/>
        <v>#REF!</v>
      </c>
      <c r="CL189" s="1839" t="e">
        <f t="shared" si="252"/>
        <v>#REF!</v>
      </c>
      <c r="CM189" s="1839" t="e">
        <f t="shared" si="252"/>
        <v>#REF!</v>
      </c>
      <c r="CN189" s="1840" t="e">
        <f t="shared" si="252"/>
        <v>#REF!</v>
      </c>
      <c r="CO189" s="1839" t="e">
        <f t="shared" si="252"/>
        <v>#REF!</v>
      </c>
      <c r="CP189" s="1839" t="e">
        <f t="shared" si="252"/>
        <v>#REF!</v>
      </c>
      <c r="CQ189" s="1839" t="e">
        <f t="shared" si="252"/>
        <v>#REF!</v>
      </c>
      <c r="CR189" s="1839" t="e">
        <f t="shared" si="252"/>
        <v>#REF!</v>
      </c>
      <c r="CS189" s="1840" t="e">
        <f t="shared" si="252"/>
        <v>#REF!</v>
      </c>
      <c r="CT189" s="1839" t="e">
        <f t="shared" ref="CT189:CX189" si="253">CT186+CT182+CT174</f>
        <v>#REF!</v>
      </c>
      <c r="CU189" s="1839" t="e">
        <f t="shared" si="253"/>
        <v>#REF!</v>
      </c>
      <c r="CV189" s="1839" t="e">
        <f t="shared" si="253"/>
        <v>#REF!</v>
      </c>
      <c r="CW189" s="1839" t="e">
        <f t="shared" si="253"/>
        <v>#REF!</v>
      </c>
      <c r="CX189" s="1840" t="e">
        <f t="shared" si="253"/>
        <v>#REF!</v>
      </c>
      <c r="CY189" s="1835"/>
      <c r="CZ189" s="1835"/>
      <c r="DA189" s="1836"/>
      <c r="DB189" s="1836"/>
      <c r="DC189" s="1836"/>
      <c r="DD189" s="1836"/>
      <c r="DE189" s="1836"/>
      <c r="DF189" s="1836"/>
      <c r="DG189" s="1841"/>
      <c r="DH189" s="1841"/>
      <c r="DI189" s="1842">
        <f>SUM(BC189:BD189,BF189:BG189)</f>
        <v>35884</v>
      </c>
      <c r="DJ189" s="1843">
        <f>SUM(BH189:BI189,BK189:BL189)</f>
        <v>38927.083542238193</v>
      </c>
      <c r="DK189" s="1843">
        <f>SUM(BM189:BN189,BP189:BQ189)</f>
        <v>41628.92047485926</v>
      </c>
      <c r="DL189" s="1843" t="e">
        <f>SUM(BU189:BV189,BR189:BS189)</f>
        <v>#REF!</v>
      </c>
      <c r="DM189" s="1842" t="e">
        <f>SUM(BW189:BX189,BZ189:CA189)</f>
        <v>#REF!</v>
      </c>
      <c r="DN189" s="1842" t="e">
        <f>SUM(CB189:CC189,CE189:CF189)</f>
        <v>#REF!</v>
      </c>
      <c r="DO189" s="1842"/>
      <c r="DP189" s="1842"/>
      <c r="DQ189" s="1842"/>
      <c r="DR189" s="3080"/>
      <c r="DS189" s="958"/>
      <c r="DT189" s="958"/>
      <c r="DU189" s="958"/>
      <c r="DV189" s="958"/>
      <c r="DW189" s="958"/>
      <c r="DX189" s="958"/>
      <c r="DY189" s="958"/>
      <c r="DZ189" s="958"/>
      <c r="EA189" s="958"/>
      <c r="EB189" s="958"/>
      <c r="EC189" s="958"/>
      <c r="ED189" s="958"/>
      <c r="EE189" s="958"/>
      <c r="EF189" s="958"/>
      <c r="EG189" s="958"/>
      <c r="EH189" s="958"/>
      <c r="EI189" s="958"/>
      <c r="EJ189" s="958"/>
      <c r="EK189" s="958"/>
      <c r="EL189" s="958"/>
      <c r="EM189" s="958"/>
      <c r="EN189" s="958"/>
      <c r="EO189" s="958"/>
      <c r="EP189" s="958"/>
      <c r="EQ189" s="958"/>
      <c r="ER189" s="958"/>
      <c r="ES189" s="958"/>
      <c r="ET189" s="958"/>
      <c r="EU189" s="958"/>
      <c r="EV189" s="958"/>
      <c r="EW189" s="958"/>
      <c r="EX189" s="958"/>
      <c r="EY189" s="958"/>
      <c r="EZ189" s="958"/>
      <c r="FA189" s="958"/>
      <c r="FB189" s="958"/>
      <c r="FC189" s="958"/>
      <c r="FD189" s="958"/>
      <c r="FE189" s="958"/>
      <c r="FF189" s="958"/>
      <c r="FG189" s="958"/>
      <c r="FH189" s="958"/>
      <c r="FI189" s="958"/>
      <c r="FJ189" s="958"/>
      <c r="FK189" s="958"/>
      <c r="FL189" s="959"/>
      <c r="FM189" s="958"/>
      <c r="FN189" s="958"/>
      <c r="FO189" s="958"/>
      <c r="FP189" s="505"/>
      <c r="FQ189" s="959"/>
      <c r="FR189" s="960"/>
      <c r="FS189" s="960"/>
      <c r="FT189" s="960"/>
      <c r="FU189" s="960"/>
      <c r="FV189" s="961"/>
      <c r="FW189" s="960"/>
      <c r="FX189" s="960"/>
      <c r="FY189" s="960"/>
      <c r="FZ189" s="960"/>
      <c r="GA189" s="961"/>
      <c r="GB189" s="962"/>
      <c r="GC189" s="962"/>
      <c r="GD189" s="962"/>
      <c r="GE189" s="962"/>
      <c r="GF189" s="963"/>
      <c r="GG189" s="962"/>
      <c r="GH189" s="962"/>
      <c r="GI189" s="962"/>
      <c r="GJ189" s="962"/>
      <c r="GK189" s="963"/>
      <c r="GL189" s="962"/>
      <c r="GM189" s="962"/>
      <c r="GN189" s="962"/>
      <c r="GO189" s="962"/>
      <c r="GP189" s="963"/>
      <c r="GQ189" s="962"/>
      <c r="GR189" s="962"/>
      <c r="GS189" s="962"/>
      <c r="GT189" s="962"/>
      <c r="GU189" s="963"/>
      <c r="GV189" s="505"/>
      <c r="GW189" s="505"/>
      <c r="GX189" s="959"/>
      <c r="GY189" s="959"/>
      <c r="GZ189" s="959"/>
      <c r="HA189" s="959"/>
      <c r="HB189" s="959"/>
      <c r="HC189" s="959"/>
      <c r="HD189" s="959"/>
      <c r="HE189" s="959"/>
      <c r="HF189" s="964"/>
      <c r="HG189" s="964"/>
      <c r="HH189" s="964"/>
      <c r="HI189" s="964"/>
      <c r="HJ189" s="965"/>
      <c r="HK189" s="957"/>
      <c r="HL189" s="958"/>
      <c r="HM189" s="958"/>
      <c r="HN189" s="958"/>
      <c r="HO189" s="958"/>
      <c r="HP189" s="958"/>
      <c r="HQ189" s="958"/>
      <c r="HR189" s="958"/>
      <c r="HS189" s="958"/>
      <c r="HT189" s="958"/>
      <c r="HU189" s="958"/>
      <c r="HV189" s="958"/>
      <c r="HW189" s="958"/>
      <c r="HX189" s="958"/>
      <c r="HY189" s="958"/>
      <c r="HZ189" s="958"/>
      <c r="IA189" s="958"/>
      <c r="IB189" s="958"/>
      <c r="IC189" s="958"/>
      <c r="ID189" s="958"/>
      <c r="IE189" s="958"/>
      <c r="IF189" s="958"/>
      <c r="IG189" s="958"/>
      <c r="IH189" s="958"/>
      <c r="II189" s="958"/>
      <c r="IJ189" s="958"/>
      <c r="IK189" s="958"/>
      <c r="IL189" s="958"/>
      <c r="IM189" s="958"/>
      <c r="IN189" s="958"/>
      <c r="IO189" s="958"/>
      <c r="IP189" s="958"/>
      <c r="IQ189" s="958"/>
      <c r="IR189" s="958"/>
      <c r="IS189" s="958"/>
      <c r="IT189" s="958"/>
      <c r="IU189" s="958"/>
      <c r="IV189" s="958"/>
      <c r="IW189" s="958"/>
      <c r="IX189" s="958"/>
      <c r="IY189" s="958"/>
      <c r="IZ189" s="958"/>
      <c r="JA189" s="958"/>
      <c r="JB189" s="958"/>
      <c r="JC189" s="958"/>
      <c r="JD189" s="958"/>
      <c r="JE189" s="959"/>
      <c r="JF189" s="958"/>
      <c r="JG189" s="958"/>
      <c r="JH189" s="958"/>
      <c r="JI189" s="505"/>
      <c r="JJ189" s="959"/>
      <c r="JK189" s="960"/>
      <c r="JL189" s="960"/>
      <c r="JM189" s="960"/>
      <c r="JN189" s="960"/>
      <c r="JO189" s="961"/>
      <c r="JP189" s="960"/>
      <c r="JQ189" s="960"/>
      <c r="JR189" s="960"/>
      <c r="JS189" s="960"/>
      <c r="JT189" s="961"/>
    </row>
    <row r="190" spans="1:280" s="934" customFormat="1" ht="12" hidden="1" outlineLevel="1">
      <c r="A190" s="1844" t="s">
        <v>723</v>
      </c>
      <c r="B190" s="1845"/>
      <c r="C190" s="1845"/>
      <c r="D190" s="1845"/>
      <c r="E190" s="1845"/>
      <c r="F190" s="1845"/>
      <c r="G190" s="1845"/>
      <c r="H190" s="1845"/>
      <c r="I190" s="1845"/>
      <c r="J190" s="1845"/>
      <c r="K190" s="1845"/>
      <c r="L190" s="1845"/>
      <c r="M190" s="1845"/>
      <c r="N190" s="1845"/>
      <c r="O190" s="1845"/>
      <c r="P190" s="1845"/>
      <c r="Q190" s="1845"/>
      <c r="R190" s="1845"/>
      <c r="S190" s="1845"/>
      <c r="T190" s="1845"/>
      <c r="U190" s="1845"/>
      <c r="V190" s="1845"/>
      <c r="W190" s="1845"/>
      <c r="X190" s="1845"/>
      <c r="Y190" s="1845"/>
      <c r="Z190" s="1845"/>
      <c r="AA190" s="1845"/>
      <c r="AB190" s="1845"/>
      <c r="AC190" s="1845"/>
      <c r="AD190" s="1845"/>
      <c r="AE190" s="1845"/>
      <c r="AF190" s="1845"/>
      <c r="AG190" s="1845"/>
      <c r="AH190" s="1845"/>
      <c r="AI190" s="1845"/>
      <c r="AJ190" s="1845"/>
      <c r="AK190" s="1845"/>
      <c r="AL190" s="1845"/>
      <c r="AM190" s="1845"/>
      <c r="AN190" s="1845"/>
      <c r="AO190" s="1845"/>
      <c r="AP190" s="1845"/>
      <c r="AQ190" s="1845"/>
      <c r="AR190" s="1845"/>
      <c r="AS190" s="1845"/>
      <c r="AT190" s="1845"/>
      <c r="AU190" s="1846"/>
      <c r="AV190" s="1845"/>
      <c r="AW190" s="1845"/>
      <c r="AX190" s="1845"/>
      <c r="AY190" s="1845"/>
      <c r="AZ190" s="1846"/>
      <c r="BA190" s="1847">
        <f t="shared" ref="BA190:CI190" si="254">SUM(BA186,BA182)/BA135</f>
        <v>0.83897129441895213</v>
      </c>
      <c r="BB190" s="1847">
        <f t="shared" si="254"/>
        <v>0.84885126964933499</v>
      </c>
      <c r="BC190" s="1847">
        <f t="shared" si="254"/>
        <v>0.8303893822582219</v>
      </c>
      <c r="BD190" s="1847">
        <f t="shared" si="254"/>
        <v>0.83720726252083155</v>
      </c>
      <c r="BE190" s="1846">
        <f t="shared" si="254"/>
        <v>0.83892745989944939</v>
      </c>
      <c r="BF190" s="1847">
        <f t="shared" si="254"/>
        <v>0.81310703423918373</v>
      </c>
      <c r="BG190" s="1847">
        <f t="shared" si="254"/>
        <v>0.8280111072544255</v>
      </c>
      <c r="BH190" s="1847">
        <f t="shared" si="254"/>
        <v>0.81807840392019604</v>
      </c>
      <c r="BI190" s="1847">
        <f t="shared" si="254"/>
        <v>0.81985083189902463</v>
      </c>
      <c r="BJ190" s="1846">
        <f t="shared" si="254"/>
        <v>0.81996206942177918</v>
      </c>
      <c r="BK190" s="1848">
        <f t="shared" si="254"/>
        <v>0.80968518683670743</v>
      </c>
      <c r="BL190" s="1848">
        <f t="shared" si="254"/>
        <v>0.82728992590256978</v>
      </c>
      <c r="BM190" s="1848">
        <f t="shared" si="254"/>
        <v>0.80959385470295009</v>
      </c>
      <c r="BN190" s="1847">
        <f t="shared" si="254"/>
        <v>0.81430159318266027</v>
      </c>
      <c r="BO190" s="1846">
        <f t="shared" si="254"/>
        <v>0.81541778324031355</v>
      </c>
      <c r="BP190" s="1848">
        <f t="shared" si="254"/>
        <v>0.8065960912052117</v>
      </c>
      <c r="BQ190" s="1848">
        <f t="shared" si="254"/>
        <v>0.81570223025919231</v>
      </c>
      <c r="BR190" s="1848">
        <f t="shared" si="254"/>
        <v>0.8142388246326977</v>
      </c>
      <c r="BS190" s="1847">
        <f t="shared" si="254"/>
        <v>0.80424336512160866</v>
      </c>
      <c r="BT190" s="1846">
        <f t="shared" si="254"/>
        <v>0.81019759036144579</v>
      </c>
      <c r="BU190" s="1848" t="e">
        <f t="shared" si="254"/>
        <v>#REF!</v>
      </c>
      <c r="BV190" s="1848" t="e">
        <f t="shared" si="254"/>
        <v>#REF!</v>
      </c>
      <c r="BW190" s="1848" t="e">
        <f t="shared" si="254"/>
        <v>#REF!</v>
      </c>
      <c r="BX190" s="1848" t="e">
        <f t="shared" si="254"/>
        <v>#REF!</v>
      </c>
      <c r="BY190" s="1846" t="e">
        <f t="shared" si="254"/>
        <v>#REF!</v>
      </c>
      <c r="BZ190" s="1848" t="e">
        <f t="shared" si="254"/>
        <v>#REF!</v>
      </c>
      <c r="CA190" s="1848" t="e">
        <f t="shared" si="254"/>
        <v>#REF!</v>
      </c>
      <c r="CB190" s="1848" t="e">
        <f t="shared" si="254"/>
        <v>#REF!</v>
      </c>
      <c r="CC190" s="1848" t="e">
        <f t="shared" si="254"/>
        <v>#REF!</v>
      </c>
      <c r="CD190" s="1846" t="e">
        <f t="shared" si="254"/>
        <v>#REF!</v>
      </c>
      <c r="CE190" s="1848" t="e">
        <f t="shared" si="254"/>
        <v>#DIV/0!</v>
      </c>
      <c r="CF190" s="1848" t="e">
        <f t="shared" si="254"/>
        <v>#DIV/0!</v>
      </c>
      <c r="CG190" s="1848" t="e">
        <f t="shared" si="254"/>
        <v>#DIV/0!</v>
      </c>
      <c r="CH190" s="1848" t="e">
        <f t="shared" si="254"/>
        <v>#DIV/0!</v>
      </c>
      <c r="CI190" s="1846" t="e">
        <f t="shared" si="254"/>
        <v>#DIV/0!</v>
      </c>
      <c r="CJ190" s="1848" t="e">
        <f t="shared" ref="CJ190:CS190" si="255">SUM(CJ186,CJ182)/CJ135</f>
        <v>#DIV/0!</v>
      </c>
      <c r="CK190" s="1848" t="e">
        <f t="shared" si="255"/>
        <v>#DIV/0!</v>
      </c>
      <c r="CL190" s="1848" t="e">
        <f t="shared" si="255"/>
        <v>#DIV/0!</v>
      </c>
      <c r="CM190" s="1848" t="e">
        <f t="shared" si="255"/>
        <v>#DIV/0!</v>
      </c>
      <c r="CN190" s="1846" t="e">
        <f t="shared" si="255"/>
        <v>#DIV/0!</v>
      </c>
      <c r="CO190" s="1848" t="e">
        <f t="shared" si="255"/>
        <v>#DIV/0!</v>
      </c>
      <c r="CP190" s="1848" t="e">
        <f t="shared" si="255"/>
        <v>#DIV/0!</v>
      </c>
      <c r="CQ190" s="1848" t="e">
        <f t="shared" si="255"/>
        <v>#DIV/0!</v>
      </c>
      <c r="CR190" s="1848" t="e">
        <f t="shared" si="255"/>
        <v>#DIV/0!</v>
      </c>
      <c r="CS190" s="1846" t="e">
        <f t="shared" si="255"/>
        <v>#DIV/0!</v>
      </c>
      <c r="CT190" s="1848" t="e">
        <f t="shared" ref="CT190:CX190" si="256">SUM(CT186,CT182)/CT135</f>
        <v>#DIV/0!</v>
      </c>
      <c r="CU190" s="1848" t="e">
        <f t="shared" si="256"/>
        <v>#DIV/0!</v>
      </c>
      <c r="CV190" s="1848" t="e">
        <f t="shared" si="256"/>
        <v>#DIV/0!</v>
      </c>
      <c r="CW190" s="1848">
        <f t="shared" si="256"/>
        <v>0.88068793385851352</v>
      </c>
      <c r="CX190" s="1846">
        <f t="shared" si="256"/>
        <v>0.88068793385851352</v>
      </c>
      <c r="CY190" s="1849"/>
      <c r="CZ190" s="1849"/>
      <c r="DA190" s="1846"/>
      <c r="DB190" s="1846"/>
      <c r="DC190" s="1846"/>
      <c r="DD190" s="1846"/>
      <c r="DE190" s="1846"/>
      <c r="DF190" s="1846"/>
      <c r="DG190" s="1850"/>
      <c r="DH190" s="1850"/>
      <c r="DI190" s="1851">
        <f t="shared" ref="DI190:DN190" si="257">DI189/DI135</f>
        <v>0.82748760521157616</v>
      </c>
      <c r="DJ190" s="1852">
        <f t="shared" si="257"/>
        <v>0.81903474882675886</v>
      </c>
      <c r="DK190" s="1852">
        <f t="shared" si="257"/>
        <v>0.81173310340182625</v>
      </c>
      <c r="DL190" s="1852" t="e">
        <f t="shared" si="257"/>
        <v>#REF!</v>
      </c>
      <c r="DM190" s="1851" t="e">
        <f t="shared" si="257"/>
        <v>#REF!</v>
      </c>
      <c r="DN190" s="1851" t="e">
        <f t="shared" si="257"/>
        <v>#REF!</v>
      </c>
      <c r="DO190" s="1851"/>
      <c r="DP190" s="1851"/>
      <c r="DQ190" s="1851"/>
      <c r="DR190" s="3081"/>
      <c r="DS190" s="951"/>
      <c r="DT190" s="951"/>
      <c r="DU190" s="951"/>
      <c r="DV190" s="951"/>
      <c r="DW190" s="951"/>
      <c r="DX190" s="951"/>
      <c r="DY190" s="951"/>
      <c r="DZ190" s="951"/>
      <c r="EA190" s="951"/>
      <c r="EB190" s="951"/>
      <c r="EC190" s="951"/>
      <c r="ED190" s="951"/>
      <c r="EE190" s="951"/>
      <c r="EF190" s="951"/>
      <c r="EG190" s="951"/>
      <c r="EH190" s="951"/>
      <c r="EI190" s="951"/>
      <c r="EJ190" s="951"/>
      <c r="EK190" s="951"/>
      <c r="EL190" s="951"/>
      <c r="EM190" s="951"/>
      <c r="EN190" s="951"/>
      <c r="EO190" s="951"/>
      <c r="EP190" s="951"/>
      <c r="EQ190" s="951"/>
      <c r="ER190" s="951"/>
      <c r="ES190" s="951"/>
      <c r="ET190" s="951"/>
      <c r="EU190" s="951"/>
      <c r="EV190" s="951"/>
      <c r="EW190" s="951"/>
      <c r="EX190" s="951"/>
      <c r="EY190" s="951"/>
      <c r="EZ190" s="951"/>
      <c r="FA190" s="951"/>
      <c r="FB190" s="951"/>
      <c r="FC190" s="951"/>
      <c r="FD190" s="951"/>
      <c r="FE190" s="951"/>
      <c r="FF190" s="951"/>
      <c r="FG190" s="951"/>
      <c r="FH190" s="951"/>
      <c r="FI190" s="951"/>
      <c r="FJ190" s="951"/>
      <c r="FK190" s="951"/>
      <c r="FL190" s="954"/>
      <c r="FM190" s="951"/>
      <c r="FN190" s="951"/>
      <c r="FO190" s="951"/>
      <c r="FP190" s="953"/>
      <c r="FQ190" s="954"/>
      <c r="FR190" s="952"/>
      <c r="FS190" s="952"/>
      <c r="FT190" s="952"/>
      <c r="FU190" s="952"/>
      <c r="FV190" s="954"/>
      <c r="FW190" s="952"/>
      <c r="FX190" s="952"/>
      <c r="FY190" s="952"/>
      <c r="FZ190" s="952"/>
      <c r="GA190" s="954"/>
      <c r="GB190" s="955"/>
      <c r="GC190" s="955"/>
      <c r="GD190" s="955"/>
      <c r="GE190" s="955"/>
      <c r="GF190" s="954"/>
      <c r="GG190" s="955"/>
      <c r="GH190" s="955"/>
      <c r="GI190" s="955"/>
      <c r="GJ190" s="955"/>
      <c r="GK190" s="954"/>
      <c r="GL190" s="955"/>
      <c r="GM190" s="955"/>
      <c r="GN190" s="955"/>
      <c r="GO190" s="955"/>
      <c r="GP190" s="954"/>
      <c r="GQ190" s="955"/>
      <c r="GR190" s="955"/>
      <c r="GS190" s="955"/>
      <c r="GT190" s="955"/>
      <c r="GU190" s="954"/>
      <c r="GV190" s="552"/>
      <c r="GW190" s="552"/>
      <c r="GX190" s="954"/>
      <c r="GY190" s="954"/>
      <c r="GZ190" s="954"/>
      <c r="HA190" s="954"/>
      <c r="HB190" s="954"/>
      <c r="HC190" s="954"/>
      <c r="HD190" s="954"/>
      <c r="HE190" s="954"/>
      <c r="HF190" s="956"/>
      <c r="HG190" s="956"/>
      <c r="HH190" s="956"/>
      <c r="HI190" s="956"/>
      <c r="HJ190" s="967"/>
      <c r="HK190" s="966"/>
      <c r="HL190" s="951"/>
      <c r="HM190" s="951"/>
      <c r="HN190" s="951"/>
      <c r="HO190" s="951"/>
      <c r="HP190" s="951"/>
      <c r="HQ190" s="951"/>
      <c r="HR190" s="951"/>
      <c r="HS190" s="951"/>
      <c r="HT190" s="951"/>
      <c r="HU190" s="951"/>
      <c r="HV190" s="951"/>
      <c r="HW190" s="951"/>
      <c r="HX190" s="951"/>
      <c r="HY190" s="951"/>
      <c r="HZ190" s="951"/>
      <c r="IA190" s="951"/>
      <c r="IB190" s="951"/>
      <c r="IC190" s="951"/>
      <c r="ID190" s="951"/>
      <c r="IE190" s="951"/>
      <c r="IF190" s="951"/>
      <c r="IG190" s="951"/>
      <c r="IH190" s="951"/>
      <c r="II190" s="951"/>
      <c r="IJ190" s="951"/>
      <c r="IK190" s="951"/>
      <c r="IL190" s="951"/>
      <c r="IM190" s="951"/>
      <c r="IN190" s="951"/>
      <c r="IO190" s="951"/>
      <c r="IP190" s="951"/>
      <c r="IQ190" s="951"/>
      <c r="IR190" s="951"/>
      <c r="IS190" s="951"/>
      <c r="IT190" s="951"/>
      <c r="IU190" s="951"/>
      <c r="IV190" s="951"/>
      <c r="IW190" s="951"/>
      <c r="IX190" s="951"/>
      <c r="IY190" s="951"/>
      <c r="IZ190" s="951"/>
      <c r="JA190" s="951"/>
      <c r="JB190" s="951"/>
      <c r="JC190" s="951"/>
      <c r="JD190" s="951"/>
      <c r="JE190" s="954"/>
      <c r="JF190" s="951"/>
      <c r="JG190" s="951"/>
      <c r="JH190" s="951"/>
      <c r="JI190" s="953"/>
      <c r="JJ190" s="954"/>
      <c r="JK190" s="952"/>
      <c r="JL190" s="952"/>
      <c r="JM190" s="952"/>
      <c r="JN190" s="952"/>
      <c r="JO190" s="954"/>
      <c r="JP190" s="952"/>
      <c r="JQ190" s="952"/>
      <c r="JR190" s="952"/>
      <c r="JS190" s="952"/>
      <c r="JT190" s="954"/>
    </row>
    <row r="191" spans="1:280" s="934" customFormat="1" ht="5.25" hidden="1" customHeight="1" outlineLevel="1">
      <c r="A191" s="1853"/>
      <c r="B191" s="1825"/>
      <c r="C191" s="1825"/>
      <c r="D191" s="1825"/>
      <c r="E191" s="1825"/>
      <c r="F191" s="1825"/>
      <c r="G191" s="1825"/>
      <c r="H191" s="1825"/>
      <c r="I191" s="1825"/>
      <c r="J191" s="1825"/>
      <c r="K191" s="1825"/>
      <c r="L191" s="1825"/>
      <c r="M191" s="1825"/>
      <c r="N191" s="1825"/>
      <c r="O191" s="1825"/>
      <c r="P191" s="1825"/>
      <c r="Q191" s="1825"/>
      <c r="R191" s="1825"/>
      <c r="S191" s="1825"/>
      <c r="T191" s="1825"/>
      <c r="U191" s="1825"/>
      <c r="V191" s="1825"/>
      <c r="W191" s="1825"/>
      <c r="X191" s="1825"/>
      <c r="Y191" s="1825"/>
      <c r="Z191" s="1825"/>
      <c r="AA191" s="1825"/>
      <c r="AB191" s="1825"/>
      <c r="AC191" s="1825"/>
      <c r="AD191" s="1825"/>
      <c r="AE191" s="1825"/>
      <c r="AF191" s="1825"/>
      <c r="AG191" s="1825"/>
      <c r="AH191" s="1825"/>
      <c r="AI191" s="1825"/>
      <c r="AJ191" s="1825"/>
      <c r="AK191" s="1825"/>
      <c r="AL191" s="1825"/>
      <c r="AM191" s="1825"/>
      <c r="AN191" s="1825"/>
      <c r="AO191" s="1825"/>
      <c r="AP191" s="1825"/>
      <c r="AQ191" s="1825"/>
      <c r="AR191" s="1825"/>
      <c r="AS191" s="1825"/>
      <c r="AT191" s="1825"/>
      <c r="AU191" s="1826"/>
      <c r="AV191" s="1825"/>
      <c r="AW191" s="1825"/>
      <c r="AX191" s="1825"/>
      <c r="AY191" s="1825"/>
      <c r="AZ191" s="1826"/>
      <c r="BA191" s="1795"/>
      <c r="BB191" s="1795"/>
      <c r="BC191" s="1795"/>
      <c r="BD191" s="1795"/>
      <c r="BE191" s="1826"/>
      <c r="BF191" s="1795"/>
      <c r="BG191" s="1795"/>
      <c r="BH191" s="1795"/>
      <c r="BI191" s="1795"/>
      <c r="BJ191" s="1826"/>
      <c r="BK191" s="1778"/>
      <c r="BL191" s="1778"/>
      <c r="BM191" s="1778"/>
      <c r="BN191" s="1795"/>
      <c r="BO191" s="1826"/>
      <c r="BP191" s="1778"/>
      <c r="BQ191" s="1778"/>
      <c r="BR191" s="1778"/>
      <c r="BS191" s="1795"/>
      <c r="BT191" s="1826"/>
      <c r="BU191" s="2811"/>
      <c r="BV191" s="2811"/>
      <c r="BW191" s="2811"/>
      <c r="BX191" s="2811"/>
      <c r="BY191" s="1826"/>
      <c r="BZ191" s="2811"/>
      <c r="CA191" s="2811"/>
      <c r="CB191" s="2811"/>
      <c r="CC191" s="2811"/>
      <c r="CD191" s="1826"/>
      <c r="CE191" s="1778"/>
      <c r="CF191" s="1778"/>
      <c r="CG191" s="1778"/>
      <c r="CH191" s="1778"/>
      <c r="CI191" s="1826"/>
      <c r="CJ191" s="1778"/>
      <c r="CK191" s="1778"/>
      <c r="CL191" s="1778"/>
      <c r="CM191" s="1778"/>
      <c r="CN191" s="1826"/>
      <c r="CO191" s="1778"/>
      <c r="CP191" s="1778"/>
      <c r="CQ191" s="1778"/>
      <c r="CR191" s="1778"/>
      <c r="CS191" s="1826"/>
      <c r="CT191" s="1778"/>
      <c r="CU191" s="1778"/>
      <c r="CV191" s="1778"/>
      <c r="CW191" s="1778"/>
      <c r="CX191" s="1826"/>
      <c r="CY191" s="1778"/>
      <c r="CZ191" s="1778"/>
      <c r="DA191" s="1826"/>
      <c r="DB191" s="1826"/>
      <c r="DC191" s="1826"/>
      <c r="DD191" s="1826"/>
      <c r="DE191" s="1826"/>
      <c r="DF191" s="1826"/>
      <c r="DG191" s="1854"/>
      <c r="DH191" s="1854"/>
      <c r="DI191" s="1826"/>
      <c r="DJ191" s="1854"/>
      <c r="DK191" s="1854"/>
      <c r="DL191" s="1854"/>
      <c r="DM191" s="1826"/>
      <c r="DN191" s="1826"/>
      <c r="DO191" s="1826"/>
      <c r="DP191" s="1826"/>
      <c r="DQ191" s="1826"/>
      <c r="DR191" s="3058"/>
      <c r="DS191" s="944"/>
      <c r="DT191" s="944"/>
      <c r="DU191" s="944"/>
      <c r="DV191" s="944"/>
      <c r="DW191" s="944"/>
      <c r="DX191" s="944"/>
      <c r="DY191" s="944"/>
      <c r="DZ191" s="944"/>
      <c r="EA191" s="944"/>
      <c r="EB191" s="944"/>
      <c r="EC191" s="944"/>
      <c r="ED191" s="944"/>
      <c r="EE191" s="944"/>
      <c r="EF191" s="944"/>
      <c r="EG191" s="944"/>
      <c r="EH191" s="944"/>
      <c r="EI191" s="944"/>
      <c r="EJ191" s="944"/>
      <c r="EK191" s="944"/>
      <c r="EL191" s="944"/>
      <c r="EM191" s="944"/>
      <c r="EN191" s="944"/>
      <c r="EO191" s="944"/>
      <c r="EP191" s="944"/>
      <c r="EQ191" s="944"/>
      <c r="ER191" s="944"/>
      <c r="ES191" s="944"/>
      <c r="ET191" s="944"/>
      <c r="EU191" s="944"/>
      <c r="EV191" s="944"/>
      <c r="EW191" s="944"/>
      <c r="EX191" s="944"/>
      <c r="EY191" s="944"/>
      <c r="EZ191" s="944"/>
      <c r="FA191" s="944"/>
      <c r="FB191" s="944"/>
      <c r="FC191" s="944"/>
      <c r="FD191" s="944"/>
      <c r="FE191" s="944"/>
      <c r="FF191" s="944"/>
      <c r="FG191" s="944"/>
      <c r="FH191" s="944"/>
      <c r="FI191" s="944"/>
      <c r="FJ191" s="944"/>
      <c r="FK191" s="944"/>
      <c r="FL191" s="906"/>
      <c r="FM191" s="944"/>
      <c r="FN191" s="944"/>
      <c r="FO191" s="944"/>
      <c r="FP191" s="260"/>
      <c r="FQ191" s="906"/>
      <c r="FR191" s="260"/>
      <c r="FS191" s="260"/>
      <c r="FT191" s="260"/>
      <c r="FU191" s="260"/>
      <c r="FV191" s="906"/>
      <c r="FW191" s="907"/>
      <c r="FX191" s="152"/>
      <c r="FY191" s="152"/>
      <c r="FZ191" s="152"/>
      <c r="GA191" s="906"/>
      <c r="GB191" s="253"/>
      <c r="GC191" s="253"/>
      <c r="GD191" s="253"/>
      <c r="GE191" s="253"/>
      <c r="GF191" s="906"/>
      <c r="GG191" s="253"/>
      <c r="GH191" s="253"/>
      <c r="GI191" s="253"/>
      <c r="GJ191" s="253"/>
      <c r="GK191" s="906"/>
      <c r="GL191" s="253"/>
      <c r="GM191" s="253"/>
      <c r="GN191" s="253"/>
      <c r="GO191" s="253"/>
      <c r="GP191" s="906"/>
      <c r="GQ191" s="253"/>
      <c r="GR191" s="253"/>
      <c r="GS191" s="253"/>
      <c r="GT191" s="253"/>
      <c r="GU191" s="906"/>
      <c r="GV191" s="253"/>
      <c r="GW191" s="253"/>
      <c r="GX191" s="906"/>
      <c r="GY191" s="906"/>
      <c r="GZ191" s="906"/>
      <c r="HA191" s="906"/>
      <c r="HB191" s="906"/>
      <c r="HC191" s="906"/>
      <c r="HD191" s="906"/>
      <c r="HE191" s="906"/>
      <c r="HF191" s="906"/>
      <c r="HG191" s="906"/>
      <c r="HH191" s="906"/>
      <c r="HI191" s="906"/>
      <c r="HJ191" s="969"/>
      <c r="HK191" s="968"/>
      <c r="HL191" s="944"/>
      <c r="HM191" s="944"/>
      <c r="HN191" s="944"/>
      <c r="HO191" s="944"/>
      <c r="HP191" s="944"/>
      <c r="HQ191" s="944"/>
      <c r="HR191" s="944"/>
      <c r="HS191" s="944"/>
      <c r="HT191" s="944"/>
      <c r="HU191" s="944"/>
      <c r="HV191" s="944"/>
      <c r="HW191" s="944"/>
      <c r="HX191" s="944"/>
      <c r="HY191" s="944"/>
      <c r="HZ191" s="944"/>
      <c r="IA191" s="944"/>
      <c r="IB191" s="944"/>
      <c r="IC191" s="944"/>
      <c r="ID191" s="944"/>
      <c r="IE191" s="944"/>
      <c r="IF191" s="944"/>
      <c r="IG191" s="944"/>
      <c r="IH191" s="944"/>
      <c r="II191" s="944"/>
      <c r="IJ191" s="944"/>
      <c r="IK191" s="944"/>
      <c r="IL191" s="944"/>
      <c r="IM191" s="944"/>
      <c r="IN191" s="944"/>
      <c r="IO191" s="944"/>
      <c r="IP191" s="944"/>
      <c r="IQ191" s="944"/>
      <c r="IR191" s="944"/>
      <c r="IS191" s="944"/>
      <c r="IT191" s="944"/>
      <c r="IU191" s="944"/>
      <c r="IV191" s="944"/>
      <c r="IW191" s="944"/>
      <c r="IX191" s="944"/>
      <c r="IY191" s="944"/>
      <c r="IZ191" s="944"/>
      <c r="JA191" s="944"/>
      <c r="JB191" s="944"/>
      <c r="JC191" s="944"/>
      <c r="JD191" s="944"/>
      <c r="JE191" s="906"/>
      <c r="JF191" s="944"/>
      <c r="JG191" s="944"/>
      <c r="JH191" s="944"/>
      <c r="JI191" s="260"/>
      <c r="JJ191" s="906"/>
      <c r="JK191" s="260"/>
      <c r="JL191" s="260"/>
      <c r="JM191" s="260"/>
      <c r="JN191" s="260"/>
      <c r="JO191" s="906"/>
      <c r="JP191" s="907"/>
      <c r="JQ191" s="152"/>
      <c r="JR191" s="152"/>
      <c r="JS191" s="152"/>
      <c r="JT191" s="906"/>
    </row>
    <row r="192" spans="1:280" s="934" customFormat="1" ht="12" hidden="1" outlineLevel="2">
      <c r="A192" s="1810" t="s">
        <v>223</v>
      </c>
      <c r="B192" s="1778"/>
      <c r="C192" s="1778"/>
      <c r="D192" s="1778"/>
      <c r="E192" s="1778"/>
      <c r="F192" s="1778"/>
      <c r="G192" s="1778"/>
      <c r="H192" s="1778"/>
      <c r="I192" s="1778"/>
      <c r="J192" s="1778"/>
      <c r="K192" s="1778"/>
      <c r="L192" s="1778"/>
      <c r="M192" s="1778"/>
      <c r="N192" s="1778"/>
      <c r="O192" s="1778"/>
      <c r="P192" s="1778"/>
      <c r="Q192" s="1778"/>
      <c r="R192" s="1778"/>
      <c r="S192" s="1778"/>
      <c r="T192" s="1778"/>
      <c r="U192" s="1778"/>
      <c r="V192" s="1778"/>
      <c r="W192" s="1778"/>
      <c r="X192" s="1778"/>
      <c r="Y192" s="1778"/>
      <c r="Z192" s="1778"/>
      <c r="AA192" s="1778"/>
      <c r="AB192" s="1778"/>
      <c r="AC192" s="1778"/>
      <c r="AD192" s="1778"/>
      <c r="AE192" s="1778"/>
      <c r="AF192" s="1778"/>
      <c r="AG192" s="1778"/>
      <c r="AH192" s="1778"/>
      <c r="AI192" s="1778"/>
      <c r="AJ192" s="1778"/>
      <c r="AK192" s="1778"/>
      <c r="AL192" s="1778"/>
      <c r="AM192" s="1778"/>
      <c r="AN192" s="1778"/>
      <c r="AO192" s="1778"/>
      <c r="AP192" s="1778"/>
      <c r="AQ192" s="1778"/>
      <c r="AR192" s="1778"/>
      <c r="AS192" s="1778"/>
      <c r="AT192" s="1778"/>
      <c r="AU192" s="1801"/>
      <c r="AV192" s="1778"/>
      <c r="AW192" s="1778"/>
      <c r="AX192" s="1778"/>
      <c r="AY192" s="1778"/>
      <c r="AZ192" s="1801"/>
      <c r="BA192" s="1803"/>
      <c r="BB192" s="1803"/>
      <c r="BC192" s="1803"/>
      <c r="BD192" s="1803"/>
      <c r="BE192" s="1817">
        <f>(BE189-BE193)/IS!DS34</f>
        <v>0.53350816254627254</v>
      </c>
      <c r="BF192" s="1803"/>
      <c r="BG192" s="1803"/>
      <c r="BH192" s="1803"/>
      <c r="BI192" s="1803"/>
      <c r="BJ192" s="1817">
        <f>(BJ189-BJ193)/IS!DX34</f>
        <v>0.52051577655925896</v>
      </c>
      <c r="BK192" s="1798">
        <f>(BK189-BK193)/IS!DY34</f>
        <v>0.56850690888018407</v>
      </c>
      <c r="BL192" s="1798">
        <f>(BL189-BL193)/IS!DZ34</f>
        <v>0.50719648202971257</v>
      </c>
      <c r="BM192" s="1798">
        <f>(BM189-BM193)/IS!EA34</f>
        <v>0.55789431666573908</v>
      </c>
      <c r="BN192" s="1798">
        <f>(BN189-BN193)/IS!EB34</f>
        <v>0.64053594877223963</v>
      </c>
      <c r="BO192" s="1817">
        <f>(BO189-BO193)/IS!EC34</f>
        <v>0.62986367328653403</v>
      </c>
      <c r="BP192" s="1798">
        <f>(BP189-BP193)/IS!ED34</f>
        <v>0.64584048447741027</v>
      </c>
      <c r="BQ192" s="1798">
        <f>(BQ189-BQ193)/IS!EE34</f>
        <v>0.68903799574292357</v>
      </c>
      <c r="BR192" s="1798">
        <f>(BR189-BR193)/IS!EF34</f>
        <v>0.69878879517269588</v>
      </c>
      <c r="BS192" s="1798">
        <f>(BS189-BS193)/IS!EG34</f>
        <v>0.75025527856060314</v>
      </c>
      <c r="BT192" s="1817">
        <f>(BT189-BT193)/IS!EH34</f>
        <v>0.69648794088631738</v>
      </c>
      <c r="BU192" s="1798" t="e">
        <f>(BU189-BU193)/IS!EI34</f>
        <v>#REF!</v>
      </c>
      <c r="BV192" s="1798" t="e">
        <f>(BV189-BV193)/IS!EJ34</f>
        <v>#REF!</v>
      </c>
      <c r="BW192" s="1798" t="e">
        <f>(BW189-BW193)/IS!EK34</f>
        <v>#REF!</v>
      </c>
      <c r="BX192" s="1798" t="e">
        <f>(BX189-BX193)/IS!EL34</f>
        <v>#REF!</v>
      </c>
      <c r="BY192" s="1817" t="e">
        <f>(BY189-BY193)/IS!EM34</f>
        <v>#REF!</v>
      </c>
      <c r="BZ192" s="1798" t="e">
        <f>(BZ189-BZ193)/IS!EN34</f>
        <v>#REF!</v>
      </c>
      <c r="CA192" s="1798" t="e">
        <f>(CA189-CA193)/IS!EO34</f>
        <v>#REF!</v>
      </c>
      <c r="CB192" s="1798" t="e">
        <f>(CB189-CB193)/IS!EP34</f>
        <v>#REF!</v>
      </c>
      <c r="CC192" s="1798" t="e">
        <f>(CC189-CC193)/IS!EQ34</f>
        <v>#REF!</v>
      </c>
      <c r="CD192" s="1817" t="e">
        <f>(CD189-CD193)/IS!ER34</f>
        <v>#REF!</v>
      </c>
      <c r="CE192" s="1855" t="e">
        <f>(CE189-CE193)/IS!ES34</f>
        <v>#REF!</v>
      </c>
      <c r="CF192" s="1855" t="e">
        <f>(CF189-CF193)/IS!ET34</f>
        <v>#REF!</v>
      </c>
      <c r="CG192" s="1855" t="e">
        <f>(CG189-CG193)/IS!EU34</f>
        <v>#REF!</v>
      </c>
      <c r="CH192" s="1855" t="e">
        <f>(CH189-CH193)/IS!EV34</f>
        <v>#REF!</v>
      </c>
      <c r="CI192" s="1856" t="e">
        <f>(CI189-CI193)/IS!EW34</f>
        <v>#REF!</v>
      </c>
      <c r="CJ192" s="1855" t="e">
        <f>(CJ189-CJ193)/IS!EX34</f>
        <v>#REF!</v>
      </c>
      <c r="CK192" s="1855" t="e">
        <f>(CK189-CK193)/IS!EY34</f>
        <v>#REF!</v>
      </c>
      <c r="CL192" s="1855" t="e">
        <f>(CL189-CL193)/IS!EZ34</f>
        <v>#REF!</v>
      </c>
      <c r="CM192" s="1855" t="e">
        <f>(CM189-CM193)/IS!FA34</f>
        <v>#REF!</v>
      </c>
      <c r="CN192" s="1856" t="e">
        <f>(CN189-CN193)/IS!FB34</f>
        <v>#REF!</v>
      </c>
      <c r="CO192" s="1855" t="e">
        <f>(CO189-CO193)/IS!FC34</f>
        <v>#REF!</v>
      </c>
      <c r="CP192" s="1855" t="e">
        <f>(CP189-CP193)/IS!FD34</f>
        <v>#REF!</v>
      </c>
      <c r="CQ192" s="1855" t="e">
        <f>(CQ189-CQ193)/IS!FE34</f>
        <v>#REF!</v>
      </c>
      <c r="CR192" s="1855" t="e">
        <f>(CR189-CR193)/IS!FF34</f>
        <v>#REF!</v>
      </c>
      <c r="CS192" s="1856" t="e">
        <f>(CS189-CS193)/IS!FG34</f>
        <v>#REF!</v>
      </c>
      <c r="CT192" s="1855" t="e">
        <f>(CT189-CT193)/IS!FH34</f>
        <v>#REF!</v>
      </c>
      <c r="CU192" s="1855" t="e">
        <f>(CU189-CU193)/IS!FI34</f>
        <v>#REF!</v>
      </c>
      <c r="CV192" s="1855" t="e">
        <f>(CV189-CV193)/IS!FJ34</f>
        <v>#REF!</v>
      </c>
      <c r="CW192" s="1855" t="e">
        <f>(CW189-CW193)/IS!FK34</f>
        <v>#REF!</v>
      </c>
      <c r="CX192" s="1856" t="e">
        <f>(CX189-CX193)/IS!FL34</f>
        <v>#REF!</v>
      </c>
      <c r="CY192" s="1778"/>
      <c r="CZ192" s="1778"/>
      <c r="DA192" s="1801"/>
      <c r="DB192" s="1801"/>
      <c r="DC192" s="1801"/>
      <c r="DD192" s="1801"/>
      <c r="DE192" s="1801"/>
      <c r="DF192" s="1801"/>
      <c r="DG192" s="1804"/>
      <c r="DH192" s="1804"/>
      <c r="DI192" s="1801"/>
      <c r="DJ192" s="1804"/>
      <c r="DK192" s="1804"/>
      <c r="DL192" s="1804"/>
      <c r="DM192" s="1801"/>
      <c r="DN192" s="1801"/>
      <c r="DO192" s="1801"/>
      <c r="DP192" s="1801"/>
      <c r="DQ192" s="1801"/>
      <c r="DR192" s="1803"/>
      <c r="DS192" s="939"/>
      <c r="DT192" s="939"/>
      <c r="DU192" s="939"/>
      <c r="DV192" s="939"/>
      <c r="DW192" s="939"/>
      <c r="DX192" s="939"/>
      <c r="DY192" s="939"/>
      <c r="DZ192" s="939"/>
      <c r="EA192" s="939"/>
      <c r="EB192" s="939"/>
      <c r="EC192" s="939"/>
      <c r="ED192" s="939"/>
      <c r="EE192" s="939"/>
      <c r="EF192" s="939"/>
      <c r="EG192" s="939"/>
      <c r="EH192" s="939"/>
      <c r="EI192" s="939"/>
      <c r="EJ192" s="939"/>
      <c r="EK192" s="939"/>
      <c r="EL192" s="939"/>
      <c r="EM192" s="939"/>
      <c r="EN192" s="939"/>
      <c r="EO192" s="939"/>
      <c r="EP192" s="939"/>
      <c r="EQ192" s="939"/>
      <c r="ER192" s="939"/>
      <c r="ES192" s="939"/>
      <c r="ET192" s="939"/>
      <c r="EU192" s="939"/>
      <c r="EV192" s="939"/>
      <c r="EW192" s="939"/>
      <c r="EX192" s="939"/>
      <c r="EY192" s="939"/>
      <c r="EZ192" s="939"/>
      <c r="FA192" s="939"/>
      <c r="FB192" s="939"/>
      <c r="FC192" s="939"/>
      <c r="FD192" s="939"/>
      <c r="FE192" s="939"/>
      <c r="FF192" s="939"/>
      <c r="FG192" s="939"/>
      <c r="FH192" s="939"/>
      <c r="FI192" s="939"/>
      <c r="FJ192" s="939"/>
      <c r="FK192" s="939"/>
      <c r="FL192" s="36"/>
      <c r="FM192" s="939"/>
      <c r="FN192" s="939"/>
      <c r="FO192" s="939"/>
      <c r="FP192" s="253"/>
      <c r="FQ192" s="36"/>
      <c r="FR192" s="253"/>
      <c r="FS192" s="253"/>
      <c r="FT192" s="253"/>
      <c r="FU192" s="253"/>
      <c r="FV192" s="840"/>
      <c r="FW192" s="908"/>
      <c r="FX192" s="28"/>
      <c r="FY192" s="28"/>
      <c r="FZ192" s="28"/>
      <c r="GA192" s="840"/>
      <c r="GB192" s="310"/>
      <c r="GC192" s="310"/>
      <c r="GD192" s="310"/>
      <c r="GE192" s="310"/>
      <c r="GF192" s="840"/>
      <c r="GG192" s="310"/>
      <c r="GH192" s="310"/>
      <c r="GI192" s="310"/>
      <c r="GJ192" s="310"/>
      <c r="GK192" s="840"/>
      <c r="GL192" s="310"/>
      <c r="GM192" s="310"/>
      <c r="GN192" s="310"/>
      <c r="GO192" s="310"/>
      <c r="GP192" s="840"/>
      <c r="GQ192" s="310"/>
      <c r="GR192" s="310"/>
      <c r="GS192" s="310"/>
      <c r="GT192" s="310"/>
      <c r="GU192" s="840"/>
      <c r="GV192" s="253"/>
      <c r="GW192" s="253"/>
      <c r="GX192" s="36"/>
      <c r="GY192" s="36"/>
      <c r="GZ192" s="36"/>
      <c r="HA192" s="36"/>
      <c r="HB192" s="36"/>
      <c r="HC192" s="36"/>
      <c r="HD192" s="36"/>
      <c r="HE192" s="36"/>
      <c r="HF192" s="36"/>
      <c r="HG192" s="36"/>
      <c r="HH192" s="36"/>
      <c r="HI192" s="36"/>
      <c r="HJ192" s="971"/>
      <c r="HK192" s="970"/>
      <c r="HL192" s="939"/>
      <c r="HM192" s="939"/>
      <c r="HN192" s="939"/>
      <c r="HO192" s="939"/>
      <c r="HP192" s="939"/>
      <c r="HQ192" s="939"/>
      <c r="HR192" s="939"/>
      <c r="HS192" s="939"/>
      <c r="HT192" s="939"/>
      <c r="HU192" s="939"/>
      <c r="HV192" s="939"/>
      <c r="HW192" s="939"/>
      <c r="HX192" s="939"/>
      <c r="HY192" s="939"/>
      <c r="HZ192" s="939"/>
      <c r="IA192" s="939"/>
      <c r="IB192" s="939"/>
      <c r="IC192" s="939"/>
      <c r="ID192" s="939"/>
      <c r="IE192" s="939"/>
      <c r="IF192" s="939"/>
      <c r="IG192" s="939"/>
      <c r="IH192" s="939"/>
      <c r="II192" s="939"/>
      <c r="IJ192" s="939"/>
      <c r="IK192" s="939"/>
      <c r="IL192" s="939"/>
      <c r="IM192" s="939"/>
      <c r="IN192" s="939"/>
      <c r="IO192" s="939"/>
      <c r="IP192" s="939"/>
      <c r="IQ192" s="939"/>
      <c r="IR192" s="939"/>
      <c r="IS192" s="939"/>
      <c r="IT192" s="939"/>
      <c r="IU192" s="939"/>
      <c r="IV192" s="939"/>
      <c r="IW192" s="939"/>
      <c r="IX192" s="939"/>
      <c r="IY192" s="939"/>
      <c r="IZ192" s="939"/>
      <c r="JA192" s="939"/>
      <c r="JB192" s="939"/>
      <c r="JC192" s="939"/>
      <c r="JD192" s="939"/>
      <c r="JE192" s="36"/>
      <c r="JF192" s="939"/>
      <c r="JG192" s="939"/>
      <c r="JH192" s="939"/>
      <c r="JI192" s="253"/>
      <c r="JJ192" s="36"/>
      <c r="JK192" s="253"/>
      <c r="JL192" s="253"/>
      <c r="JM192" s="253"/>
      <c r="JN192" s="253"/>
      <c r="JO192" s="840"/>
      <c r="JP192" s="908"/>
      <c r="JQ192" s="28"/>
      <c r="JR192" s="28"/>
      <c r="JS192" s="28"/>
      <c r="JT192" s="840"/>
    </row>
    <row r="193" spans="1:280" s="934" customFormat="1" ht="12" hidden="1" outlineLevel="2">
      <c r="A193" s="1810" t="s">
        <v>494</v>
      </c>
      <c r="B193" s="1778"/>
      <c r="C193" s="1778"/>
      <c r="D193" s="1778"/>
      <c r="E193" s="1778"/>
      <c r="F193" s="1778"/>
      <c r="G193" s="1778"/>
      <c r="H193" s="1778"/>
      <c r="I193" s="1778"/>
      <c r="J193" s="1778"/>
      <c r="K193" s="1778"/>
      <c r="L193" s="1778"/>
      <c r="M193" s="1778"/>
      <c r="N193" s="1778"/>
      <c r="O193" s="1778"/>
      <c r="P193" s="1778"/>
      <c r="Q193" s="1778"/>
      <c r="R193" s="1778"/>
      <c r="S193" s="1778"/>
      <c r="T193" s="1778"/>
      <c r="U193" s="1778"/>
      <c r="V193" s="1778"/>
      <c r="W193" s="1778"/>
      <c r="X193" s="1778"/>
      <c r="Y193" s="1778"/>
      <c r="Z193" s="1778"/>
      <c r="AA193" s="1778"/>
      <c r="AB193" s="1778"/>
      <c r="AC193" s="1778"/>
      <c r="AD193" s="1778"/>
      <c r="AE193" s="1778"/>
      <c r="AF193" s="1778"/>
      <c r="AG193" s="1778"/>
      <c r="AH193" s="1778"/>
      <c r="AI193" s="1778"/>
      <c r="AJ193" s="1778"/>
      <c r="AK193" s="1778"/>
      <c r="AL193" s="1778"/>
      <c r="AM193" s="1778"/>
      <c r="AN193" s="1778"/>
      <c r="AO193" s="1778"/>
      <c r="AP193" s="1778"/>
      <c r="AQ193" s="1778"/>
      <c r="AR193" s="1778"/>
      <c r="AS193" s="1778"/>
      <c r="AT193" s="1778"/>
      <c r="AU193" s="1801"/>
      <c r="AV193" s="1778"/>
      <c r="AW193" s="1778"/>
      <c r="AX193" s="1778"/>
      <c r="AY193" s="1778"/>
      <c r="AZ193" s="1801"/>
      <c r="BA193" s="1857"/>
      <c r="BB193" s="1803"/>
      <c r="BC193" s="1803"/>
      <c r="BD193" s="1803"/>
      <c r="BE193" s="1858">
        <v>19978</v>
      </c>
      <c r="BF193" s="1857">
        <v>4653</v>
      </c>
      <c r="BG193" s="1803"/>
      <c r="BH193" s="1803"/>
      <c r="BI193" s="1803"/>
      <c r="BJ193" s="1858">
        <v>21132</v>
      </c>
      <c r="BK193" s="1857">
        <v>5054</v>
      </c>
      <c r="BL193" s="1857">
        <v>6303</v>
      </c>
      <c r="BM193" s="1857">
        <f t="shared" ref="BM193:CI193" si="258">BM206-BM177</f>
        <v>5730.05</v>
      </c>
      <c r="BN193" s="1803">
        <f t="shared" si="258"/>
        <v>5110.6499999999996</v>
      </c>
      <c r="BO193" s="1858">
        <f t="shared" si="258"/>
        <v>20306.7</v>
      </c>
      <c r="BP193" s="1857">
        <f t="shared" si="258"/>
        <v>4774.9071643140069</v>
      </c>
      <c r="BQ193" s="1857">
        <f t="shared" si="258"/>
        <v>5097.05398622963</v>
      </c>
      <c r="BR193" s="1857">
        <f>BR206-BR177</f>
        <v>4980.0955711513416</v>
      </c>
      <c r="BS193" s="1803">
        <f t="shared" si="258"/>
        <v>4632.0715368051679</v>
      </c>
      <c r="BT193" s="1801">
        <f t="shared" si="258"/>
        <v>19484.128258500146</v>
      </c>
      <c r="BU193" s="2812" t="e">
        <f t="shared" si="258"/>
        <v>#REF!</v>
      </c>
      <c r="BV193" s="2812" t="e">
        <f t="shared" si="258"/>
        <v>#REF!</v>
      </c>
      <c r="BW193" s="2813" t="e">
        <f t="shared" si="258"/>
        <v>#REF!</v>
      </c>
      <c r="BX193" s="2813" t="e">
        <f t="shared" si="258"/>
        <v>#REF!</v>
      </c>
      <c r="BY193" s="1801" t="e">
        <f t="shared" si="258"/>
        <v>#REF!</v>
      </c>
      <c r="BZ193" s="2813" t="e">
        <f t="shared" si="258"/>
        <v>#REF!</v>
      </c>
      <c r="CA193" s="2813" t="e">
        <f t="shared" si="258"/>
        <v>#REF!</v>
      </c>
      <c r="CB193" s="2813" t="e">
        <f t="shared" si="258"/>
        <v>#REF!</v>
      </c>
      <c r="CC193" s="2813" t="e">
        <f t="shared" si="258"/>
        <v>#REF!</v>
      </c>
      <c r="CD193" s="1801" t="e">
        <f t="shared" si="258"/>
        <v>#REF!</v>
      </c>
      <c r="CE193" s="1859" t="e">
        <f t="shared" si="258"/>
        <v>#REF!</v>
      </c>
      <c r="CF193" s="1859" t="e">
        <f t="shared" si="258"/>
        <v>#REF!</v>
      </c>
      <c r="CG193" s="1859" t="e">
        <f t="shared" si="258"/>
        <v>#REF!</v>
      </c>
      <c r="CH193" s="1859" t="e">
        <f t="shared" si="258"/>
        <v>#REF!</v>
      </c>
      <c r="CI193" s="1801" t="e">
        <f t="shared" si="258"/>
        <v>#REF!</v>
      </c>
      <c r="CJ193" s="1859" t="e">
        <f t="shared" ref="CJ193:CS193" si="259">CJ206-CJ177</f>
        <v>#REF!</v>
      </c>
      <c r="CK193" s="1859" t="e">
        <f t="shared" si="259"/>
        <v>#REF!</v>
      </c>
      <c r="CL193" s="1859" t="e">
        <f t="shared" si="259"/>
        <v>#REF!</v>
      </c>
      <c r="CM193" s="1859" t="e">
        <f t="shared" si="259"/>
        <v>#REF!</v>
      </c>
      <c r="CN193" s="1801" t="e">
        <f t="shared" si="259"/>
        <v>#REF!</v>
      </c>
      <c r="CO193" s="1859" t="e">
        <f t="shared" si="259"/>
        <v>#REF!</v>
      </c>
      <c r="CP193" s="1859" t="e">
        <f t="shared" si="259"/>
        <v>#REF!</v>
      </c>
      <c r="CQ193" s="1859" t="e">
        <f t="shared" si="259"/>
        <v>#REF!</v>
      </c>
      <c r="CR193" s="1859" t="e">
        <f t="shared" si="259"/>
        <v>#REF!</v>
      </c>
      <c r="CS193" s="1801" t="e">
        <f t="shared" si="259"/>
        <v>#REF!</v>
      </c>
      <c r="CT193" s="1859" t="e">
        <f t="shared" ref="CT193:CX193" si="260">CT206-CT177</f>
        <v>#REF!</v>
      </c>
      <c r="CU193" s="1859" t="e">
        <f t="shared" si="260"/>
        <v>#REF!</v>
      </c>
      <c r="CV193" s="1859" t="e">
        <f t="shared" si="260"/>
        <v>#REF!</v>
      </c>
      <c r="CW193" s="1859" t="e">
        <f t="shared" si="260"/>
        <v>#REF!</v>
      </c>
      <c r="CX193" s="1801" t="e">
        <f t="shared" si="260"/>
        <v>#REF!</v>
      </c>
      <c r="CY193" s="1778"/>
      <c r="CZ193" s="1778"/>
      <c r="DA193" s="1801"/>
      <c r="DB193" s="1801"/>
      <c r="DC193" s="1801"/>
      <c r="DD193" s="1801"/>
      <c r="DE193" s="1801"/>
      <c r="DF193" s="1801"/>
      <c r="DG193" s="1804"/>
      <c r="DH193" s="1804"/>
      <c r="DI193" s="1801"/>
      <c r="DJ193" s="1804"/>
      <c r="DK193" s="1804"/>
      <c r="DL193" s="1804"/>
      <c r="DM193" s="1801"/>
      <c r="DN193" s="1801"/>
      <c r="DO193" s="1801"/>
      <c r="DP193" s="1801"/>
      <c r="DQ193" s="1801"/>
      <c r="DR193" s="1803"/>
      <c r="DS193" s="939"/>
      <c r="DT193" s="939"/>
      <c r="DU193" s="939"/>
      <c r="DV193" s="939"/>
      <c r="DW193" s="939"/>
      <c r="DX193" s="939"/>
      <c r="DY193" s="939"/>
      <c r="DZ193" s="939"/>
      <c r="EA193" s="939"/>
      <c r="EB193" s="939"/>
      <c r="EC193" s="939"/>
      <c r="ED193" s="939"/>
      <c r="EE193" s="939"/>
      <c r="EF193" s="939"/>
      <c r="EG193" s="939"/>
      <c r="EH193" s="939"/>
      <c r="EI193" s="939"/>
      <c r="EJ193" s="939"/>
      <c r="EK193" s="939"/>
      <c r="EL193" s="939"/>
      <c r="EM193" s="939"/>
      <c r="EN193" s="939"/>
      <c r="EO193" s="939"/>
      <c r="EP193" s="939"/>
      <c r="EQ193" s="939"/>
      <c r="ER193" s="939"/>
      <c r="ES193" s="939"/>
      <c r="ET193" s="939"/>
      <c r="EU193" s="939"/>
      <c r="EV193" s="939"/>
      <c r="EW193" s="939"/>
      <c r="EX193" s="939"/>
      <c r="EY193" s="939"/>
      <c r="EZ193" s="939"/>
      <c r="FA193" s="939"/>
      <c r="FB193" s="939"/>
      <c r="FC193" s="939"/>
      <c r="FD193" s="939"/>
      <c r="FE193" s="939"/>
      <c r="FF193" s="939"/>
      <c r="FG193" s="939"/>
      <c r="FH193" s="939"/>
      <c r="FI193" s="939"/>
      <c r="FJ193" s="939"/>
      <c r="FK193" s="939"/>
      <c r="FL193" s="36"/>
      <c r="FM193" s="939"/>
      <c r="FN193" s="939"/>
      <c r="FO193" s="939"/>
      <c r="FP193" s="253"/>
      <c r="FQ193" s="36"/>
      <c r="FR193" s="253"/>
      <c r="FS193" s="253"/>
      <c r="FT193" s="253"/>
      <c r="FU193" s="253"/>
      <c r="FV193" s="36"/>
      <c r="FW193" s="303"/>
      <c r="FX193" s="28"/>
      <c r="FY193" s="28"/>
      <c r="FZ193" s="28"/>
      <c r="GA193" s="36"/>
      <c r="GB193" s="303"/>
      <c r="GC193" s="303"/>
      <c r="GD193" s="303"/>
      <c r="GE193" s="303"/>
      <c r="GF193" s="36"/>
      <c r="GG193" s="303"/>
      <c r="GH193" s="303"/>
      <c r="GI193" s="303"/>
      <c r="GJ193" s="303"/>
      <c r="GK193" s="36"/>
      <c r="GL193" s="303"/>
      <c r="GM193" s="303"/>
      <c r="GN193" s="303"/>
      <c r="GO193" s="303"/>
      <c r="GP193" s="36"/>
      <c r="GQ193" s="303"/>
      <c r="GR193" s="303"/>
      <c r="GS193" s="303"/>
      <c r="GT193" s="303"/>
      <c r="GU193" s="36"/>
      <c r="GV193" s="253"/>
      <c r="GW193" s="253"/>
      <c r="GX193" s="36"/>
      <c r="GY193" s="36"/>
      <c r="GZ193" s="36"/>
      <c r="HA193" s="36"/>
      <c r="HB193" s="36"/>
      <c r="HC193" s="36"/>
      <c r="HD193" s="36"/>
      <c r="HE193" s="36"/>
      <c r="HF193" s="36"/>
      <c r="HG193" s="36"/>
      <c r="HH193" s="36"/>
      <c r="HI193" s="36"/>
      <c r="HJ193" s="971"/>
      <c r="HK193" s="970"/>
      <c r="HL193" s="939"/>
      <c r="HM193" s="939"/>
      <c r="HN193" s="939"/>
      <c r="HO193" s="939"/>
      <c r="HP193" s="939"/>
      <c r="HQ193" s="939"/>
      <c r="HR193" s="939"/>
      <c r="HS193" s="939"/>
      <c r="HT193" s="939"/>
      <c r="HU193" s="939"/>
      <c r="HV193" s="939"/>
      <c r="HW193" s="939"/>
      <c r="HX193" s="939"/>
      <c r="HY193" s="939"/>
      <c r="HZ193" s="939"/>
      <c r="IA193" s="939"/>
      <c r="IB193" s="939"/>
      <c r="IC193" s="939"/>
      <c r="ID193" s="939"/>
      <c r="IE193" s="939"/>
      <c r="IF193" s="939"/>
      <c r="IG193" s="939"/>
      <c r="IH193" s="939"/>
      <c r="II193" s="939"/>
      <c r="IJ193" s="939"/>
      <c r="IK193" s="939"/>
      <c r="IL193" s="939"/>
      <c r="IM193" s="939"/>
      <c r="IN193" s="939"/>
      <c r="IO193" s="939"/>
      <c r="IP193" s="939"/>
      <c r="IQ193" s="939"/>
      <c r="IR193" s="939"/>
      <c r="IS193" s="939"/>
      <c r="IT193" s="939"/>
      <c r="IU193" s="939"/>
      <c r="IV193" s="939"/>
      <c r="IW193" s="939"/>
      <c r="IX193" s="939"/>
      <c r="IY193" s="939"/>
      <c r="IZ193" s="939"/>
      <c r="JA193" s="939"/>
      <c r="JB193" s="939"/>
      <c r="JC193" s="939"/>
      <c r="JD193" s="939"/>
      <c r="JE193" s="36"/>
      <c r="JF193" s="939"/>
      <c r="JG193" s="939"/>
      <c r="JH193" s="939"/>
      <c r="JI193" s="253"/>
      <c r="JJ193" s="36"/>
      <c r="JK193" s="253"/>
      <c r="JL193" s="253"/>
      <c r="JM193" s="253"/>
      <c r="JN193" s="253"/>
      <c r="JO193" s="36"/>
      <c r="JP193" s="303"/>
      <c r="JQ193" s="28"/>
      <c r="JR193" s="28"/>
      <c r="JS193" s="28"/>
      <c r="JT193" s="36"/>
    </row>
    <row r="194" spans="1:280" s="934" customFormat="1" hidden="1" outlineLevel="2" thickBot="1">
      <c r="A194" s="1860" t="s">
        <v>495</v>
      </c>
      <c r="B194" s="1861"/>
      <c r="C194" s="1861"/>
      <c r="D194" s="1861"/>
      <c r="E194" s="1861"/>
      <c r="F194" s="1861"/>
      <c r="G194" s="1861"/>
      <c r="H194" s="1861"/>
      <c r="I194" s="1861"/>
      <c r="J194" s="1861"/>
      <c r="K194" s="1861"/>
      <c r="L194" s="1861"/>
      <c r="M194" s="1861"/>
      <c r="N194" s="1861"/>
      <c r="O194" s="1861"/>
      <c r="P194" s="1861"/>
      <c r="Q194" s="1861"/>
      <c r="R194" s="1861"/>
      <c r="S194" s="1861"/>
      <c r="T194" s="1861"/>
      <c r="U194" s="1861"/>
      <c r="V194" s="1861"/>
      <c r="W194" s="1861"/>
      <c r="X194" s="1861"/>
      <c r="Y194" s="1861"/>
      <c r="Z194" s="1861"/>
      <c r="AA194" s="1861"/>
      <c r="AB194" s="1861"/>
      <c r="AC194" s="1861"/>
      <c r="AD194" s="1861"/>
      <c r="AE194" s="1861"/>
      <c r="AF194" s="1861"/>
      <c r="AG194" s="1861"/>
      <c r="AH194" s="1861"/>
      <c r="AI194" s="1861"/>
      <c r="AJ194" s="1861"/>
      <c r="AK194" s="1861"/>
      <c r="AL194" s="1861"/>
      <c r="AM194" s="1861"/>
      <c r="AN194" s="1861"/>
      <c r="AO194" s="1861"/>
      <c r="AP194" s="1861"/>
      <c r="AQ194" s="1861"/>
      <c r="AR194" s="1861"/>
      <c r="AS194" s="1861"/>
      <c r="AT194" s="1861"/>
      <c r="AU194" s="1862"/>
      <c r="AV194" s="1861"/>
      <c r="AW194" s="1861"/>
      <c r="AX194" s="1861"/>
      <c r="AY194" s="1861"/>
      <c r="AZ194" s="1863"/>
      <c r="BA194" s="1864"/>
      <c r="BB194" s="1865"/>
      <c r="BC194" s="1865"/>
      <c r="BD194" s="1865"/>
      <c r="BE194" s="1863">
        <f>BE193/BE135</f>
        <v>0.47828585108929855</v>
      </c>
      <c r="BF194" s="1864">
        <f>BF193/BF135</f>
        <v>0.45648974786618268</v>
      </c>
      <c r="BG194" s="1865"/>
      <c r="BH194" s="1865"/>
      <c r="BI194" s="1865"/>
      <c r="BJ194" s="1863">
        <f t="shared" ref="BJ194:CI194" si="261">BJ193/BJ135</f>
        <v>0.4660168482335818</v>
      </c>
      <c r="BK194" s="1864">
        <f t="shared" si="261"/>
        <v>0.45072683492374921</v>
      </c>
      <c r="BL194" s="1864">
        <f t="shared" si="261"/>
        <v>0.4968469178622103</v>
      </c>
      <c r="BM194" s="1864">
        <f t="shared" si="261"/>
        <v>0.46825610852333088</v>
      </c>
      <c r="BN194" s="1862">
        <f t="shared" si="261"/>
        <v>0.37870692849203408</v>
      </c>
      <c r="BO194" s="1863">
        <f t="shared" si="261"/>
        <v>0.40915355322278418</v>
      </c>
      <c r="BP194" s="1864">
        <f t="shared" si="261"/>
        <v>0.38883608829918626</v>
      </c>
      <c r="BQ194" s="1864">
        <f t="shared" si="261"/>
        <v>0.38404565899861587</v>
      </c>
      <c r="BR194" s="1864">
        <f t="shared" si="261"/>
        <v>0.38919158886771971</v>
      </c>
      <c r="BS194" s="1862">
        <f t="shared" si="261"/>
        <v>0.34243154703963685</v>
      </c>
      <c r="BT194" s="1863">
        <f t="shared" si="261"/>
        <v>0.37559765317590643</v>
      </c>
      <c r="BU194" s="2814" t="e">
        <f t="shared" si="261"/>
        <v>#REF!</v>
      </c>
      <c r="BV194" s="2814" t="e">
        <f t="shared" si="261"/>
        <v>#REF!</v>
      </c>
      <c r="BW194" s="2814" t="e">
        <f t="shared" si="261"/>
        <v>#REF!</v>
      </c>
      <c r="BX194" s="2814" t="e">
        <f t="shared" si="261"/>
        <v>#REF!</v>
      </c>
      <c r="BY194" s="1863" t="e">
        <f t="shared" si="261"/>
        <v>#REF!</v>
      </c>
      <c r="BZ194" s="2814" t="e">
        <f t="shared" si="261"/>
        <v>#REF!</v>
      </c>
      <c r="CA194" s="2814" t="e">
        <f t="shared" si="261"/>
        <v>#REF!</v>
      </c>
      <c r="CB194" s="2814" t="e">
        <f t="shared" si="261"/>
        <v>#REF!</v>
      </c>
      <c r="CC194" s="2814" t="e">
        <f t="shared" si="261"/>
        <v>#REF!</v>
      </c>
      <c r="CD194" s="1863" t="e">
        <f t="shared" si="261"/>
        <v>#REF!</v>
      </c>
      <c r="CE194" s="1864" t="e">
        <f t="shared" si="261"/>
        <v>#REF!</v>
      </c>
      <c r="CF194" s="1864" t="e">
        <f t="shared" si="261"/>
        <v>#REF!</v>
      </c>
      <c r="CG194" s="1864" t="e">
        <f t="shared" si="261"/>
        <v>#REF!</v>
      </c>
      <c r="CH194" s="1864" t="e">
        <f t="shared" si="261"/>
        <v>#REF!</v>
      </c>
      <c r="CI194" s="1863" t="e">
        <f t="shared" si="261"/>
        <v>#REF!</v>
      </c>
      <c r="CJ194" s="1864" t="e">
        <f t="shared" ref="CJ194:CS194" si="262">CJ193/CJ135</f>
        <v>#REF!</v>
      </c>
      <c r="CK194" s="1864" t="e">
        <f t="shared" si="262"/>
        <v>#REF!</v>
      </c>
      <c r="CL194" s="1864" t="e">
        <f t="shared" si="262"/>
        <v>#REF!</v>
      </c>
      <c r="CM194" s="1864" t="e">
        <f t="shared" si="262"/>
        <v>#REF!</v>
      </c>
      <c r="CN194" s="1863" t="e">
        <f t="shared" si="262"/>
        <v>#REF!</v>
      </c>
      <c r="CO194" s="1864" t="e">
        <f t="shared" si="262"/>
        <v>#REF!</v>
      </c>
      <c r="CP194" s="1864" t="e">
        <f t="shared" si="262"/>
        <v>#REF!</v>
      </c>
      <c r="CQ194" s="1864" t="e">
        <f t="shared" si="262"/>
        <v>#REF!</v>
      </c>
      <c r="CR194" s="1864" t="e">
        <f t="shared" si="262"/>
        <v>#REF!</v>
      </c>
      <c r="CS194" s="1863" t="e">
        <f t="shared" si="262"/>
        <v>#REF!</v>
      </c>
      <c r="CT194" s="1864" t="e">
        <f t="shared" ref="CT194:CX194" si="263">CT193/CT135</f>
        <v>#REF!</v>
      </c>
      <c r="CU194" s="1864" t="e">
        <f t="shared" si="263"/>
        <v>#REF!</v>
      </c>
      <c r="CV194" s="1864" t="e">
        <f t="shared" si="263"/>
        <v>#REF!</v>
      </c>
      <c r="CW194" s="1864" t="e">
        <f t="shared" si="263"/>
        <v>#REF!</v>
      </c>
      <c r="CX194" s="1863" t="e">
        <f t="shared" si="263"/>
        <v>#REF!</v>
      </c>
      <c r="CY194" s="1867"/>
      <c r="CZ194" s="1867"/>
      <c r="DA194" s="1863"/>
      <c r="DB194" s="1863"/>
      <c r="DC194" s="1863"/>
      <c r="DD194" s="1863"/>
      <c r="DE194" s="1863"/>
      <c r="DF194" s="1863"/>
      <c r="DG194" s="1868"/>
      <c r="DH194" s="1868"/>
      <c r="DI194" s="1863"/>
      <c r="DJ194" s="1868"/>
      <c r="DK194" s="1868"/>
      <c r="DL194" s="1868"/>
      <c r="DM194" s="1863"/>
      <c r="DN194" s="1863"/>
      <c r="DO194" s="1863"/>
      <c r="DP194" s="1863"/>
      <c r="DQ194" s="1863"/>
      <c r="DR194" s="1862"/>
      <c r="DS194" s="973"/>
      <c r="DT194" s="973"/>
      <c r="DU194" s="973"/>
      <c r="DV194" s="973"/>
      <c r="DW194" s="973"/>
      <c r="DX194" s="973"/>
      <c r="DY194" s="973"/>
      <c r="DZ194" s="973"/>
      <c r="EA194" s="973"/>
      <c r="EB194" s="973"/>
      <c r="EC194" s="973"/>
      <c r="ED194" s="973"/>
      <c r="EE194" s="973"/>
      <c r="EF194" s="973"/>
      <c r="EG194" s="973"/>
      <c r="EH194" s="973"/>
      <c r="EI194" s="973"/>
      <c r="EJ194" s="973"/>
      <c r="EK194" s="973"/>
      <c r="EL194" s="973"/>
      <c r="EM194" s="973"/>
      <c r="EN194" s="973"/>
      <c r="EO194" s="973"/>
      <c r="EP194" s="973"/>
      <c r="EQ194" s="973"/>
      <c r="ER194" s="973"/>
      <c r="ES194" s="973"/>
      <c r="ET194" s="973"/>
      <c r="EU194" s="973"/>
      <c r="EV194" s="973"/>
      <c r="EW194" s="973"/>
      <c r="EX194" s="973"/>
      <c r="EY194" s="973"/>
      <c r="EZ194" s="973"/>
      <c r="FA194" s="973"/>
      <c r="FB194" s="973"/>
      <c r="FC194" s="973"/>
      <c r="FD194" s="973"/>
      <c r="FE194" s="973"/>
      <c r="FF194" s="973"/>
      <c r="FG194" s="973"/>
      <c r="FH194" s="973"/>
      <c r="FI194" s="973"/>
      <c r="FJ194" s="973"/>
      <c r="FK194" s="973"/>
      <c r="FL194" s="974"/>
      <c r="FM194" s="973"/>
      <c r="FN194" s="973"/>
      <c r="FO194" s="973"/>
      <c r="FP194" s="975"/>
      <c r="FQ194" s="974"/>
      <c r="FR194" s="975"/>
      <c r="FS194" s="975"/>
      <c r="FT194" s="975"/>
      <c r="FU194" s="975"/>
      <c r="FV194" s="976"/>
      <c r="FW194" s="977"/>
      <c r="FX194" s="978"/>
      <c r="FY194" s="978"/>
      <c r="FZ194" s="978"/>
      <c r="GA194" s="976"/>
      <c r="GB194" s="977"/>
      <c r="GC194" s="977"/>
      <c r="GD194" s="977"/>
      <c r="GE194" s="977"/>
      <c r="GF194" s="976"/>
      <c r="GG194" s="977"/>
      <c r="GH194" s="977"/>
      <c r="GI194" s="977"/>
      <c r="GJ194" s="977"/>
      <c r="GK194" s="976"/>
      <c r="GL194" s="977"/>
      <c r="GM194" s="977"/>
      <c r="GN194" s="977"/>
      <c r="GO194" s="977"/>
      <c r="GP194" s="976"/>
      <c r="GQ194" s="977"/>
      <c r="GR194" s="977"/>
      <c r="GS194" s="977"/>
      <c r="GT194" s="977"/>
      <c r="GU194" s="976"/>
      <c r="GV194" s="979"/>
      <c r="GW194" s="979"/>
      <c r="GX194" s="976"/>
      <c r="GY194" s="976"/>
      <c r="GZ194" s="976"/>
      <c r="HA194" s="976"/>
      <c r="HB194" s="976"/>
      <c r="HC194" s="976"/>
      <c r="HD194" s="976"/>
      <c r="HE194" s="976"/>
      <c r="HF194" s="976"/>
      <c r="HG194" s="976"/>
      <c r="HH194" s="976"/>
      <c r="HI194" s="976"/>
      <c r="HJ194" s="980"/>
      <c r="HK194" s="972"/>
      <c r="HL194" s="973"/>
      <c r="HM194" s="973"/>
      <c r="HN194" s="973"/>
      <c r="HO194" s="973"/>
      <c r="HP194" s="973"/>
      <c r="HQ194" s="973"/>
      <c r="HR194" s="973"/>
      <c r="HS194" s="973"/>
      <c r="HT194" s="973"/>
      <c r="HU194" s="973"/>
      <c r="HV194" s="973"/>
      <c r="HW194" s="973"/>
      <c r="HX194" s="973"/>
      <c r="HY194" s="973"/>
      <c r="HZ194" s="973"/>
      <c r="IA194" s="973"/>
      <c r="IB194" s="973"/>
      <c r="IC194" s="973"/>
      <c r="ID194" s="973"/>
      <c r="IE194" s="973"/>
      <c r="IF194" s="973"/>
      <c r="IG194" s="973"/>
      <c r="IH194" s="973"/>
      <c r="II194" s="973"/>
      <c r="IJ194" s="973"/>
      <c r="IK194" s="973"/>
      <c r="IL194" s="973"/>
      <c r="IM194" s="973"/>
      <c r="IN194" s="973"/>
      <c r="IO194" s="973"/>
      <c r="IP194" s="973"/>
      <c r="IQ194" s="973"/>
      <c r="IR194" s="973"/>
      <c r="IS194" s="973"/>
      <c r="IT194" s="973"/>
      <c r="IU194" s="973"/>
      <c r="IV194" s="973"/>
      <c r="IW194" s="973"/>
      <c r="IX194" s="973"/>
      <c r="IY194" s="973"/>
      <c r="IZ194" s="973"/>
      <c r="JA194" s="973"/>
      <c r="JB194" s="973"/>
      <c r="JC194" s="973"/>
      <c r="JD194" s="973"/>
      <c r="JE194" s="974"/>
      <c r="JF194" s="973"/>
      <c r="JG194" s="973"/>
      <c r="JH194" s="973"/>
      <c r="JI194" s="975"/>
      <c r="JJ194" s="974"/>
      <c r="JK194" s="975"/>
      <c r="JL194" s="975"/>
      <c r="JM194" s="975"/>
      <c r="JN194" s="975"/>
      <c r="JO194" s="976"/>
      <c r="JP194" s="977"/>
      <c r="JQ194" s="978"/>
      <c r="JR194" s="978"/>
      <c r="JS194" s="978"/>
      <c r="JT194" s="976"/>
    </row>
    <row r="195" spans="1:280" s="934" customFormat="1" ht="3.75" hidden="1" customHeight="1" outlineLevel="1">
      <c r="A195" s="1760"/>
      <c r="B195" s="1761"/>
      <c r="C195" s="1761"/>
      <c r="D195" s="1761"/>
      <c r="E195" s="1761"/>
      <c r="F195" s="1761"/>
      <c r="G195" s="1761"/>
      <c r="H195" s="1761"/>
      <c r="I195" s="1761"/>
      <c r="J195" s="1761"/>
      <c r="K195" s="1761"/>
      <c r="L195" s="1761"/>
      <c r="M195" s="1761"/>
      <c r="N195" s="1761"/>
      <c r="O195" s="1761"/>
      <c r="P195" s="1761"/>
      <c r="Q195" s="1761"/>
      <c r="R195" s="1761"/>
      <c r="S195" s="1761"/>
      <c r="T195" s="1761"/>
      <c r="U195" s="1761"/>
      <c r="V195" s="1761"/>
      <c r="W195" s="1761"/>
      <c r="X195" s="1761"/>
      <c r="Y195" s="1761"/>
      <c r="Z195" s="1761"/>
      <c r="AA195" s="1761"/>
      <c r="AB195" s="1761"/>
      <c r="AC195" s="1761"/>
      <c r="AD195" s="1761"/>
      <c r="AE195" s="1761"/>
      <c r="AF195" s="1761"/>
      <c r="AG195" s="1761"/>
      <c r="AH195" s="1761"/>
      <c r="AI195" s="1761"/>
      <c r="AJ195" s="1761"/>
      <c r="AK195" s="1761"/>
      <c r="AL195" s="1761"/>
      <c r="AM195" s="1761"/>
      <c r="AN195" s="1761"/>
      <c r="AO195" s="1761"/>
      <c r="AP195" s="1761"/>
      <c r="AQ195" s="1761"/>
      <c r="AR195" s="1761"/>
      <c r="AS195" s="1761"/>
      <c r="AT195" s="1761"/>
      <c r="AU195" s="1761"/>
      <c r="AV195" s="1761"/>
      <c r="AW195" s="1761"/>
      <c r="AX195" s="1761"/>
      <c r="AY195" s="1761"/>
      <c r="AZ195" s="1793"/>
      <c r="BA195" s="1778"/>
      <c r="BB195" s="1778"/>
      <c r="BC195" s="1778"/>
      <c r="BD195" s="1778"/>
      <c r="BE195" s="1793"/>
      <c r="BF195" s="1778"/>
      <c r="BG195" s="1778"/>
      <c r="BH195" s="1778"/>
      <c r="BI195" s="1778"/>
      <c r="BJ195" s="1793"/>
      <c r="BK195" s="1761"/>
      <c r="BL195" s="1761"/>
      <c r="BM195" s="1761"/>
      <c r="BN195" s="1778"/>
      <c r="BO195" s="1793"/>
      <c r="BP195" s="1761"/>
      <c r="BQ195" s="1761"/>
      <c r="BR195" s="1761"/>
      <c r="BS195" s="1778"/>
      <c r="BT195" s="1793"/>
      <c r="BU195" s="2804"/>
      <c r="BV195" s="2804"/>
      <c r="BW195" s="2804"/>
      <c r="BX195" s="2804"/>
      <c r="BY195" s="2805"/>
      <c r="BZ195" s="2804"/>
      <c r="CA195" s="2804"/>
      <c r="CB195" s="2804"/>
      <c r="CC195" s="2804"/>
      <c r="CD195" s="2805"/>
      <c r="CE195" s="1761"/>
      <c r="CF195" s="1761"/>
      <c r="CG195" s="1761"/>
      <c r="CH195" s="1761"/>
      <c r="CI195" s="1793"/>
      <c r="CJ195" s="1761"/>
      <c r="CK195" s="1761"/>
      <c r="CL195" s="1761"/>
      <c r="CM195" s="1761"/>
      <c r="CN195" s="1793"/>
      <c r="CO195" s="1761"/>
      <c r="CP195" s="1761"/>
      <c r="CQ195" s="1761"/>
      <c r="CR195" s="1761"/>
      <c r="CS195" s="1793"/>
      <c r="CT195" s="1761"/>
      <c r="CU195" s="1761"/>
      <c r="CV195" s="1761"/>
      <c r="CW195" s="1761"/>
      <c r="CX195" s="1793"/>
      <c r="CY195" s="1761"/>
      <c r="CZ195" s="1761"/>
      <c r="DA195" s="1793"/>
      <c r="DB195" s="1793"/>
      <c r="DC195" s="1793"/>
      <c r="DD195" s="1793"/>
      <c r="DE195" s="1793"/>
      <c r="DF195" s="1793"/>
      <c r="DG195" s="1794"/>
      <c r="DH195" s="1794"/>
      <c r="DI195" s="1793"/>
      <c r="DJ195" s="1794"/>
      <c r="DK195" s="1794"/>
      <c r="DL195" s="1794"/>
      <c r="DM195" s="1793"/>
      <c r="DN195" s="1793"/>
      <c r="DO195" s="1793"/>
      <c r="DP195" s="1793"/>
      <c r="DQ195" s="1793"/>
      <c r="DR195" s="1778"/>
      <c r="DS195" s="264"/>
      <c r="DT195" s="264"/>
      <c r="DU195" s="264"/>
      <c r="DV195" s="264"/>
      <c r="DW195" s="264"/>
      <c r="DX195" s="264"/>
      <c r="DY195" s="264"/>
      <c r="DZ195" s="264"/>
      <c r="EA195" s="264"/>
      <c r="EB195" s="264"/>
      <c r="EC195" s="264"/>
      <c r="ED195" s="264"/>
      <c r="EE195" s="264"/>
      <c r="EF195" s="264"/>
      <c r="EG195" s="264"/>
      <c r="EH195" s="264"/>
      <c r="EI195" s="264"/>
      <c r="EJ195" s="264"/>
      <c r="EK195" s="264"/>
      <c r="EL195" s="264"/>
      <c r="EM195" s="264"/>
      <c r="EN195" s="264"/>
      <c r="EO195" s="264"/>
      <c r="EP195" s="264"/>
      <c r="EQ195" s="264"/>
      <c r="ER195" s="264"/>
    </row>
    <row r="196" spans="1:280" s="934" customFormat="1" ht="12" hidden="1" outlineLevel="1">
      <c r="A196" s="1760" t="s">
        <v>724</v>
      </c>
      <c r="B196" s="1761"/>
      <c r="C196" s="1761"/>
      <c r="D196" s="1761"/>
      <c r="E196" s="1761"/>
      <c r="F196" s="1761"/>
      <c r="G196" s="1761"/>
      <c r="H196" s="1761"/>
      <c r="I196" s="1761"/>
      <c r="J196" s="1761"/>
      <c r="K196" s="1761"/>
      <c r="L196" s="1761"/>
      <c r="M196" s="1761"/>
      <c r="N196" s="1761"/>
      <c r="O196" s="1761"/>
      <c r="P196" s="1761"/>
      <c r="Q196" s="1761"/>
      <c r="R196" s="1761"/>
      <c r="S196" s="1761"/>
      <c r="T196" s="1761"/>
      <c r="U196" s="1761"/>
      <c r="V196" s="1761"/>
      <c r="W196" s="1761"/>
      <c r="X196" s="1761"/>
      <c r="Y196" s="1761"/>
      <c r="Z196" s="1761"/>
      <c r="AA196" s="1761"/>
      <c r="AB196" s="1761"/>
      <c r="AC196" s="1761"/>
      <c r="AD196" s="1761"/>
      <c r="AE196" s="1761"/>
      <c r="AF196" s="1761"/>
      <c r="AG196" s="1761"/>
      <c r="AH196" s="1761"/>
      <c r="AI196" s="1761"/>
      <c r="AJ196" s="1761"/>
      <c r="AK196" s="1761"/>
      <c r="AL196" s="1761"/>
      <c r="AM196" s="1761"/>
      <c r="AN196" s="1761"/>
      <c r="AO196" s="1761"/>
      <c r="AP196" s="1761"/>
      <c r="AQ196" s="1761"/>
      <c r="AR196" s="1761"/>
      <c r="AS196" s="1761"/>
      <c r="AT196" s="1761"/>
      <c r="AU196" s="1762"/>
      <c r="AV196" s="1761"/>
      <c r="AW196" s="1761"/>
      <c r="AX196" s="1761"/>
      <c r="AY196" s="1761"/>
      <c r="AZ196" s="1762"/>
      <c r="BA196" s="1830">
        <v>4</v>
      </c>
      <c r="BB196" s="1830">
        <v>-5</v>
      </c>
      <c r="BC196" s="1830">
        <v>-18</v>
      </c>
      <c r="BD196" s="1830">
        <v>-563</v>
      </c>
      <c r="BE196" s="1762">
        <f>SUM(BA196:BD196)</f>
        <v>-582</v>
      </c>
      <c r="BF196" s="1830">
        <v>-1361</v>
      </c>
      <c r="BG196" s="1830">
        <v>-557</v>
      </c>
      <c r="BH196" s="1830">
        <v>1601</v>
      </c>
      <c r="BI196" s="1830">
        <v>689</v>
      </c>
      <c r="BJ196" s="1762">
        <f>SUM(BF196:BI196)</f>
        <v>372</v>
      </c>
      <c r="BK196" s="1764">
        <v>-144</v>
      </c>
      <c r="BL196" s="1764">
        <v>-77</v>
      </c>
      <c r="BM196" s="1764">
        <v>-148</v>
      </c>
      <c r="BN196" s="1830">
        <v>-125</v>
      </c>
      <c r="BO196" s="1762">
        <f>SUM(BK196:BN196)</f>
        <v>-494</v>
      </c>
      <c r="BP196" s="1764">
        <v>-64</v>
      </c>
      <c r="BQ196" s="1764">
        <v>291</v>
      </c>
      <c r="BR196" s="1764">
        <v>-37</v>
      </c>
      <c r="BS196" s="1830">
        <v>-58</v>
      </c>
      <c r="BT196" s="1762">
        <f>SUM(BP196:BS196)</f>
        <v>132</v>
      </c>
      <c r="BU196" s="2802">
        <v>0</v>
      </c>
      <c r="BV196" s="2802">
        <v>0</v>
      </c>
      <c r="BW196" s="2803">
        <v>0</v>
      </c>
      <c r="BX196" s="2803">
        <v>0</v>
      </c>
      <c r="BY196" s="1762">
        <f>SUM(BU196:BX196)</f>
        <v>0</v>
      </c>
      <c r="BZ196" s="2803">
        <v>0</v>
      </c>
      <c r="CA196" s="2803">
        <v>0</v>
      </c>
      <c r="CB196" s="2803">
        <v>0</v>
      </c>
      <c r="CC196" s="2803">
        <v>0</v>
      </c>
      <c r="CD196" s="1762">
        <f>SUM(BZ196:CC196)</f>
        <v>0</v>
      </c>
      <c r="CE196" s="1765">
        <v>0</v>
      </c>
      <c r="CF196" s="1765">
        <v>0</v>
      </c>
      <c r="CG196" s="1765">
        <v>0</v>
      </c>
      <c r="CH196" s="1765">
        <v>0</v>
      </c>
      <c r="CI196" s="1762">
        <f>SUM(CE196:CH196)</f>
        <v>0</v>
      </c>
      <c r="CJ196" s="1765">
        <v>0</v>
      </c>
      <c r="CK196" s="1765">
        <v>0</v>
      </c>
      <c r="CL196" s="1765">
        <v>0</v>
      </c>
      <c r="CM196" s="1765">
        <v>0</v>
      </c>
      <c r="CN196" s="1762">
        <f>SUM(CJ196:CM196)</f>
        <v>0</v>
      </c>
      <c r="CO196" s="1765">
        <v>0</v>
      </c>
      <c r="CP196" s="1765">
        <v>0</v>
      </c>
      <c r="CQ196" s="1765">
        <v>0</v>
      </c>
      <c r="CR196" s="1765">
        <v>0</v>
      </c>
      <c r="CS196" s="1762">
        <f>SUM(CO196:CR196)</f>
        <v>0</v>
      </c>
      <c r="CT196" s="1765">
        <v>0</v>
      </c>
      <c r="CU196" s="1765">
        <v>0</v>
      </c>
      <c r="CV196" s="1765">
        <v>0</v>
      </c>
      <c r="CW196" s="1765">
        <v>0</v>
      </c>
      <c r="CX196" s="1762">
        <f>SUM(CT196:CW196)</f>
        <v>0</v>
      </c>
      <c r="CY196" s="1761"/>
      <c r="CZ196" s="1761"/>
      <c r="DA196" s="1762"/>
      <c r="DB196" s="1762"/>
      <c r="DC196" s="1762"/>
      <c r="DD196" s="1762"/>
      <c r="DE196" s="1762"/>
      <c r="DF196" s="1762"/>
      <c r="DG196" s="1766"/>
      <c r="DH196" s="1766"/>
      <c r="DI196" s="1762">
        <f>SUM(BC196:BD196,BF196:BG196)</f>
        <v>-2499</v>
      </c>
      <c r="DJ196" s="1766">
        <f>SUM(BH196:BI196,BK196:BL196)</f>
        <v>2069</v>
      </c>
      <c r="DK196" s="1766">
        <f>SUM(BM196:BN196,BP196:BQ196)</f>
        <v>-46</v>
      </c>
      <c r="DL196" s="1766">
        <f>SUM(BU196:BV196,BR196:BS196)</f>
        <v>-95</v>
      </c>
      <c r="DM196" s="1762">
        <f>SUM(BW196:BX196,BZ196:CA196)</f>
        <v>0</v>
      </c>
      <c r="DN196" s="1762">
        <f>SUM(CB196:CC196,CE196:CF196)</f>
        <v>0</v>
      </c>
      <c r="DO196" s="1762"/>
      <c r="DP196" s="1762"/>
      <c r="DQ196" s="1762"/>
      <c r="DR196" s="1795"/>
      <c r="DS196" s="264"/>
      <c r="DT196" s="264"/>
      <c r="DU196" s="264"/>
      <c r="DV196" s="264"/>
      <c r="DW196" s="264"/>
      <c r="DX196" s="264"/>
      <c r="DY196" s="264"/>
      <c r="DZ196" s="264"/>
      <c r="EA196" s="264"/>
      <c r="EB196" s="264"/>
      <c r="EC196" s="264"/>
      <c r="ED196" s="264"/>
      <c r="EE196" s="264"/>
      <c r="EF196" s="264"/>
      <c r="EG196" s="264"/>
      <c r="EH196" s="264"/>
      <c r="EI196" s="264"/>
      <c r="EJ196" s="264"/>
      <c r="EK196" s="264"/>
      <c r="EL196" s="264"/>
      <c r="EM196" s="264"/>
      <c r="EN196" s="264"/>
      <c r="EO196" s="264"/>
      <c r="EP196" s="264"/>
      <c r="EQ196" s="264"/>
      <c r="ER196" s="264"/>
    </row>
    <row r="197" spans="1:280" s="934" customFormat="1" ht="12" hidden="1" outlineLevel="1">
      <c r="A197" s="1760" t="s">
        <v>725</v>
      </c>
      <c r="B197" s="1761"/>
      <c r="C197" s="1761"/>
      <c r="D197" s="1761"/>
      <c r="E197" s="1761"/>
      <c r="F197" s="1761"/>
      <c r="G197" s="1761"/>
      <c r="H197" s="1761"/>
      <c r="I197" s="1761"/>
      <c r="J197" s="1761"/>
      <c r="K197" s="1761"/>
      <c r="L197" s="1761"/>
      <c r="M197" s="1761"/>
      <c r="N197" s="1761"/>
      <c r="O197" s="1761"/>
      <c r="P197" s="1761"/>
      <c r="Q197" s="1761"/>
      <c r="R197" s="1761"/>
      <c r="S197" s="1761"/>
      <c r="T197" s="1761"/>
      <c r="U197" s="1761"/>
      <c r="V197" s="1761"/>
      <c r="W197" s="1761"/>
      <c r="X197" s="1761"/>
      <c r="Y197" s="1761"/>
      <c r="Z197" s="1761"/>
      <c r="AA197" s="1761"/>
      <c r="AB197" s="1761"/>
      <c r="AC197" s="1761"/>
      <c r="AD197" s="1761"/>
      <c r="AE197" s="1761"/>
      <c r="AF197" s="1761"/>
      <c r="AG197" s="1761"/>
      <c r="AH197" s="1761"/>
      <c r="AI197" s="1761"/>
      <c r="AJ197" s="1761"/>
      <c r="AK197" s="1761"/>
      <c r="AL197" s="1761"/>
      <c r="AM197" s="1761"/>
      <c r="AN197" s="1761"/>
      <c r="AO197" s="1761"/>
      <c r="AP197" s="1761"/>
      <c r="AQ197" s="1761"/>
      <c r="AR197" s="1761"/>
      <c r="AS197" s="1761"/>
      <c r="AT197" s="1761"/>
      <c r="AU197" s="1774"/>
      <c r="AV197" s="1761"/>
      <c r="AW197" s="1761"/>
      <c r="AX197" s="1761"/>
      <c r="AY197" s="1761"/>
      <c r="AZ197" s="1774"/>
      <c r="BA197" s="1786">
        <f t="shared" ref="BA197:BN197" si="264">BA196/BA140</f>
        <v>0.14814814814814814</v>
      </c>
      <c r="BB197" s="1786">
        <f t="shared" si="264"/>
        <v>-0.2</v>
      </c>
      <c r="BC197" s="1786">
        <f t="shared" si="264"/>
        <v>-2.5714285714285716</v>
      </c>
      <c r="BD197" s="1786">
        <f t="shared" si="264"/>
        <v>1.0349264705882353</v>
      </c>
      <c r="BE197" s="1774">
        <f t="shared" si="264"/>
        <v>1.2</v>
      </c>
      <c r="BF197" s="1786">
        <f t="shared" si="264"/>
        <v>1.0103934669636228</v>
      </c>
      <c r="BG197" s="1786">
        <f t="shared" si="264"/>
        <v>0.96366782006920415</v>
      </c>
      <c r="BH197" s="1786">
        <f t="shared" si="264"/>
        <v>0.96971532404603267</v>
      </c>
      <c r="BI197" s="1786">
        <f t="shared" si="264"/>
        <v>1.0177252584933529</v>
      </c>
      <c r="BJ197" s="1774">
        <f t="shared" si="264"/>
        <v>0.92307692307692313</v>
      </c>
      <c r="BK197" s="1786">
        <f t="shared" si="264"/>
        <v>1.0992366412213741</v>
      </c>
      <c r="BL197" s="1786">
        <f t="shared" si="264"/>
        <v>1.4</v>
      </c>
      <c r="BM197" s="1786">
        <f t="shared" si="264"/>
        <v>1.1653543307086613</v>
      </c>
      <c r="BN197" s="1786">
        <f t="shared" si="264"/>
        <v>1.2254901960784315</v>
      </c>
      <c r="BO197" s="1774">
        <f>(IF(ISERROR(BO196/BO140),"",(BO196/BO140)))</f>
        <v>1.1903614457831326</v>
      </c>
      <c r="BP197" s="1786">
        <f>(IF(ISERROR(BP196/BP140),"",(BP196/BP140)))</f>
        <v>1.4883720930232558</v>
      </c>
      <c r="BQ197" s="1786">
        <f>(IF(ISERROR(BQ196/BQ140),"",(BQ196/BQ140)))</f>
        <v>0.92675159235668791</v>
      </c>
      <c r="BR197" s="1786">
        <f>(IF(ISERROR(BR196/BR140),"",(BR196/BR140)))</f>
        <v>1.85</v>
      </c>
      <c r="BS197" s="1786">
        <f>(IF(ISERROR(BS196/BS140),"",(BS196/BS140)))</f>
        <v>1.2340425531914894</v>
      </c>
      <c r="BT197" s="1871">
        <f>BT193/BT206</f>
        <v>0.69971012922861975</v>
      </c>
      <c r="BU197" s="1786" t="str">
        <f>(IF(ISERROR(BU196/BU140),"",(BU196/BU140)))</f>
        <v/>
      </c>
      <c r="BV197" s="1786" t="str">
        <f>(IF(ISERROR(BV196/BV140),"",(BV196/BV140)))</f>
        <v/>
      </c>
      <c r="BW197" s="1831" t="str">
        <f>(IF(ISERROR(BW196/BW140),"",(BW196/BW140)))</f>
        <v/>
      </c>
      <c r="BX197" s="1831" t="str">
        <f>(IF(ISERROR(BX196/BX140),"",(BX196/BX140)))</f>
        <v/>
      </c>
      <c r="BY197" s="1871"/>
      <c r="BZ197" s="1831" t="str">
        <f t="shared" ref="BZ197:CD197" si="265">(IF(ISERROR(BZ196/BZ140),"",(BZ196/BZ140)))</f>
        <v/>
      </c>
      <c r="CA197" s="1831" t="str">
        <f t="shared" si="265"/>
        <v/>
      </c>
      <c r="CB197" s="1831" t="str">
        <f t="shared" si="265"/>
        <v/>
      </c>
      <c r="CC197" s="1831" t="str">
        <f t="shared" si="265"/>
        <v/>
      </c>
      <c r="CD197" s="1774" t="str">
        <f t="shared" si="265"/>
        <v/>
      </c>
      <c r="CE197" s="1831">
        <f t="shared" ref="CE197:CI197" si="266">(IF(ISERROR(CE196/CE140),"",(CE196/CE140)))</f>
        <v>0</v>
      </c>
      <c r="CF197" s="1831">
        <f t="shared" si="266"/>
        <v>0</v>
      </c>
      <c r="CG197" s="1831">
        <f t="shared" si="266"/>
        <v>0</v>
      </c>
      <c r="CH197" s="1831">
        <f t="shared" si="266"/>
        <v>0</v>
      </c>
      <c r="CI197" s="1774">
        <f t="shared" si="266"/>
        <v>0</v>
      </c>
      <c r="CJ197" s="1831">
        <f t="shared" ref="CJ197:CS197" si="267">(IF(ISERROR(CJ196/CJ140),"",(CJ196/CJ140)))</f>
        <v>0</v>
      </c>
      <c r="CK197" s="1831">
        <f t="shared" si="267"/>
        <v>0</v>
      </c>
      <c r="CL197" s="1831">
        <f t="shared" si="267"/>
        <v>0</v>
      </c>
      <c r="CM197" s="1831" t="str">
        <f t="shared" si="267"/>
        <v/>
      </c>
      <c r="CN197" s="1774">
        <f t="shared" si="267"/>
        <v>0</v>
      </c>
      <c r="CO197" s="1831">
        <f t="shared" si="267"/>
        <v>0</v>
      </c>
      <c r="CP197" s="1831">
        <f t="shared" si="267"/>
        <v>0</v>
      </c>
      <c r="CQ197" s="1831">
        <f t="shared" si="267"/>
        <v>0</v>
      </c>
      <c r="CR197" s="1831" t="str">
        <f t="shared" si="267"/>
        <v/>
      </c>
      <c r="CS197" s="1774">
        <f t="shared" si="267"/>
        <v>0</v>
      </c>
      <c r="CT197" s="1831">
        <f t="shared" ref="CT197:CX197" si="268">(IF(ISERROR(CT196/CT140),"",(CT196/CT140)))</f>
        <v>0</v>
      </c>
      <c r="CU197" s="1831">
        <f t="shared" si="268"/>
        <v>0</v>
      </c>
      <c r="CV197" s="1831">
        <f t="shared" si="268"/>
        <v>0</v>
      </c>
      <c r="CW197" s="1831" t="str">
        <f t="shared" si="268"/>
        <v/>
      </c>
      <c r="CX197" s="1774">
        <f t="shared" si="268"/>
        <v>0</v>
      </c>
      <c r="CY197" s="1761"/>
      <c r="CZ197" s="1761"/>
      <c r="DA197" s="1774"/>
      <c r="DB197" s="1774"/>
      <c r="DC197" s="1774"/>
      <c r="DD197" s="1774"/>
      <c r="DE197" s="1774"/>
      <c r="DF197" s="1774"/>
      <c r="DG197" s="1773"/>
      <c r="DH197" s="1773"/>
      <c r="DI197" s="1774"/>
      <c r="DJ197" s="1773"/>
      <c r="DK197" s="1773"/>
      <c r="DL197" s="1773"/>
      <c r="DM197" s="1774"/>
      <c r="DN197" s="1774"/>
      <c r="DO197" s="1774"/>
      <c r="DP197" s="1774"/>
      <c r="DQ197" s="1774"/>
      <c r="DR197" s="1785"/>
      <c r="DS197" s="264"/>
      <c r="DT197" s="264"/>
      <c r="DU197" s="264"/>
      <c r="DV197" s="264"/>
      <c r="DW197" s="264"/>
      <c r="DX197" s="264"/>
      <c r="DY197" s="264"/>
      <c r="DZ197" s="264"/>
      <c r="EA197" s="264"/>
      <c r="EB197" s="264"/>
      <c r="EC197" s="264"/>
      <c r="ED197" s="264"/>
      <c r="EE197" s="264"/>
      <c r="EF197" s="264"/>
      <c r="EG197" s="264"/>
      <c r="EH197" s="264"/>
      <c r="EI197" s="264"/>
      <c r="EJ197" s="264"/>
      <c r="EK197" s="264"/>
      <c r="EL197" s="264"/>
      <c r="EM197" s="264"/>
      <c r="EN197" s="264"/>
      <c r="EO197" s="264"/>
      <c r="EP197" s="264"/>
      <c r="EQ197" s="264"/>
      <c r="ER197" s="264"/>
    </row>
    <row r="198" spans="1:280" s="934" customFormat="1" ht="3.75" hidden="1" customHeight="1" outlineLevel="1">
      <c r="A198" s="1760"/>
      <c r="B198" s="1761"/>
      <c r="C198" s="1761"/>
      <c r="D198" s="1761"/>
      <c r="E198" s="1761"/>
      <c r="F198" s="1761"/>
      <c r="G198" s="1761"/>
      <c r="H198" s="1761"/>
      <c r="I198" s="1761"/>
      <c r="J198" s="1761"/>
      <c r="K198" s="1761"/>
      <c r="L198" s="1761"/>
      <c r="M198" s="1761"/>
      <c r="N198" s="1761"/>
      <c r="O198" s="1761"/>
      <c r="P198" s="1761"/>
      <c r="Q198" s="1761"/>
      <c r="R198" s="1761"/>
      <c r="S198" s="1761"/>
      <c r="T198" s="1761"/>
      <c r="U198" s="1761"/>
      <c r="V198" s="1761"/>
      <c r="W198" s="1761"/>
      <c r="X198" s="1761"/>
      <c r="Y198" s="1761"/>
      <c r="Z198" s="1761"/>
      <c r="AA198" s="1761"/>
      <c r="AB198" s="1761"/>
      <c r="AC198" s="1761"/>
      <c r="AD198" s="1761"/>
      <c r="AE198" s="1761"/>
      <c r="AF198" s="1761"/>
      <c r="AG198" s="1761"/>
      <c r="AH198" s="1761"/>
      <c r="AI198" s="1761"/>
      <c r="AJ198" s="1761"/>
      <c r="AK198" s="1761"/>
      <c r="AL198" s="1761"/>
      <c r="AM198" s="1761"/>
      <c r="AN198" s="1761"/>
      <c r="AO198" s="1761"/>
      <c r="AP198" s="1761"/>
      <c r="AQ198" s="1761"/>
      <c r="AR198" s="1761"/>
      <c r="AS198" s="1761"/>
      <c r="AT198" s="1761"/>
      <c r="AU198" s="1761"/>
      <c r="AV198" s="1761"/>
      <c r="AW198" s="1761"/>
      <c r="AX198" s="1761"/>
      <c r="AY198" s="1761"/>
      <c r="AZ198" s="1793"/>
      <c r="BA198" s="1761"/>
      <c r="BB198" s="1761"/>
      <c r="BC198" s="1761"/>
      <c r="BD198" s="1761"/>
      <c r="BE198" s="1793"/>
      <c r="BF198" s="1778"/>
      <c r="BG198" s="1778"/>
      <c r="BH198" s="1778"/>
      <c r="BI198" s="1778"/>
      <c r="BJ198" s="1793"/>
      <c r="BK198" s="1761"/>
      <c r="BL198" s="1761"/>
      <c r="BM198" s="1761"/>
      <c r="BN198" s="1778"/>
      <c r="BO198" s="1793"/>
      <c r="BP198" s="1761"/>
      <c r="BQ198" s="1761"/>
      <c r="BR198" s="1761"/>
      <c r="BS198" s="1778"/>
      <c r="BT198" s="1793"/>
      <c r="BU198" s="2804"/>
      <c r="BV198" s="2804"/>
      <c r="BW198" s="2804"/>
      <c r="BX198" s="2804"/>
      <c r="BY198" s="2805"/>
      <c r="BZ198" s="2804"/>
      <c r="CA198" s="2804"/>
      <c r="CB198" s="2804"/>
      <c r="CC198" s="2804"/>
      <c r="CD198" s="2805"/>
      <c r="CE198" s="1761"/>
      <c r="CF198" s="1761"/>
      <c r="CG198" s="1761"/>
      <c r="CH198" s="1761"/>
      <c r="CI198" s="1793"/>
      <c r="CJ198" s="1761"/>
      <c r="CK198" s="1761"/>
      <c r="CL198" s="1761"/>
      <c r="CM198" s="1761"/>
      <c r="CN198" s="1793"/>
      <c r="CO198" s="1761"/>
      <c r="CP198" s="1761"/>
      <c r="CQ198" s="1761"/>
      <c r="CR198" s="1761"/>
      <c r="CS198" s="1793"/>
      <c r="CT198" s="1761"/>
      <c r="CU198" s="1761"/>
      <c r="CV198" s="1761"/>
      <c r="CW198" s="1761"/>
      <c r="CX198" s="1793"/>
      <c r="CY198" s="1761"/>
      <c r="CZ198" s="1761"/>
      <c r="DA198" s="1793"/>
      <c r="DB198" s="1793"/>
      <c r="DC198" s="1793"/>
      <c r="DD198" s="1793"/>
      <c r="DE198" s="1793"/>
      <c r="DF198" s="1793"/>
      <c r="DG198" s="1794"/>
      <c r="DH198" s="1794"/>
      <c r="DI198" s="1793"/>
      <c r="DJ198" s="1794"/>
      <c r="DK198" s="1794"/>
      <c r="DL198" s="1794"/>
      <c r="DM198" s="1793"/>
      <c r="DN198" s="1793"/>
      <c r="DO198" s="1793"/>
      <c r="DP198" s="1793"/>
      <c r="DQ198" s="1793"/>
      <c r="DR198" s="1778"/>
      <c r="DS198" s="264"/>
      <c r="DT198" s="264"/>
      <c r="DU198" s="264"/>
      <c r="DV198" s="264"/>
      <c r="DW198" s="264"/>
      <c r="DX198" s="264"/>
      <c r="DY198" s="264"/>
      <c r="DZ198" s="264"/>
      <c r="EA198" s="264"/>
      <c r="EB198" s="264"/>
      <c r="EC198" s="264"/>
      <c r="ED198" s="264"/>
      <c r="EE198" s="264"/>
      <c r="EF198" s="264"/>
      <c r="EG198" s="264"/>
      <c r="EH198" s="264"/>
      <c r="EI198" s="264"/>
      <c r="EJ198" s="264"/>
      <c r="EK198" s="264"/>
      <c r="EL198" s="264"/>
      <c r="EM198" s="264"/>
      <c r="EN198" s="264"/>
      <c r="EO198" s="264"/>
      <c r="EP198" s="264"/>
      <c r="EQ198" s="264"/>
      <c r="ER198" s="264"/>
    </row>
    <row r="199" spans="1:280" s="934" customFormat="1" ht="12" hidden="1" outlineLevel="1">
      <c r="A199" s="1760" t="s">
        <v>226</v>
      </c>
      <c r="B199" s="1761"/>
      <c r="C199" s="1761"/>
      <c r="D199" s="1761"/>
      <c r="E199" s="1761"/>
      <c r="F199" s="1761"/>
      <c r="G199" s="1761"/>
      <c r="H199" s="1761"/>
      <c r="I199" s="1761"/>
      <c r="J199" s="1761"/>
      <c r="K199" s="1761"/>
      <c r="L199" s="1761"/>
      <c r="M199" s="1761"/>
      <c r="N199" s="1761"/>
      <c r="O199" s="1761"/>
      <c r="P199" s="1761"/>
      <c r="Q199" s="1761"/>
      <c r="R199" s="1761"/>
      <c r="S199" s="1761"/>
      <c r="T199" s="1761"/>
      <c r="U199" s="1761"/>
      <c r="V199" s="1761"/>
      <c r="W199" s="1761"/>
      <c r="X199" s="1761"/>
      <c r="Y199" s="1761"/>
      <c r="Z199" s="1761"/>
      <c r="AA199" s="1761"/>
      <c r="AB199" s="1761"/>
      <c r="AC199" s="1761"/>
      <c r="AD199" s="1761"/>
      <c r="AE199" s="1761"/>
      <c r="AF199" s="1761"/>
      <c r="AG199" s="1761"/>
      <c r="AH199" s="1761"/>
      <c r="AI199" s="1761"/>
      <c r="AJ199" s="1761"/>
      <c r="AK199" s="1761"/>
      <c r="AL199" s="1761"/>
      <c r="AM199" s="1761"/>
      <c r="AN199" s="1761"/>
      <c r="AO199" s="1761"/>
      <c r="AP199" s="1761"/>
      <c r="AQ199" s="1761"/>
      <c r="AR199" s="1761"/>
      <c r="AS199" s="1761"/>
      <c r="AT199" s="1761"/>
      <c r="AU199" s="1801"/>
      <c r="AV199" s="1761"/>
      <c r="AW199" s="1761"/>
      <c r="AX199" s="1761"/>
      <c r="AY199" s="1761"/>
      <c r="AZ199" s="1801"/>
      <c r="BA199" s="1761"/>
      <c r="BB199" s="1761"/>
      <c r="BC199" s="1761"/>
      <c r="BD199" s="1761"/>
      <c r="BE199" s="1801">
        <f>BE206-BE193-BE177</f>
        <v>1927</v>
      </c>
      <c r="BF199" s="1803"/>
      <c r="BG199" s="1803"/>
      <c r="BH199" s="1803"/>
      <c r="BI199" s="1803"/>
      <c r="BJ199" s="1801">
        <f t="shared" ref="BJ199:CI199" si="269">BJ206-BJ193-BJ177</f>
        <v>-3789</v>
      </c>
      <c r="BK199" s="1765">
        <f t="shared" si="269"/>
        <v>-915</v>
      </c>
      <c r="BL199" s="1765">
        <f>BL206-BL193-BL177</f>
        <v>-976</v>
      </c>
      <c r="BM199" s="1765">
        <f t="shared" si="269"/>
        <v>0</v>
      </c>
      <c r="BN199" s="1803">
        <f t="shared" si="269"/>
        <v>0</v>
      </c>
      <c r="BO199" s="1801">
        <f t="shared" si="269"/>
        <v>0</v>
      </c>
      <c r="BP199" s="1765">
        <f t="shared" si="269"/>
        <v>0</v>
      </c>
      <c r="BQ199" s="1765">
        <f t="shared" si="269"/>
        <v>0</v>
      </c>
      <c r="BR199" s="1765">
        <f t="shared" si="269"/>
        <v>0</v>
      </c>
      <c r="BS199" s="1803">
        <f t="shared" si="269"/>
        <v>0</v>
      </c>
      <c r="BT199" s="1801">
        <f t="shared" si="269"/>
        <v>0</v>
      </c>
      <c r="BU199" s="2803" t="e">
        <f t="shared" si="269"/>
        <v>#REF!</v>
      </c>
      <c r="BV199" s="2803" t="e">
        <f t="shared" si="269"/>
        <v>#REF!</v>
      </c>
      <c r="BW199" s="2803" t="e">
        <f t="shared" si="269"/>
        <v>#REF!</v>
      </c>
      <c r="BX199" s="2803" t="e">
        <f t="shared" si="269"/>
        <v>#REF!</v>
      </c>
      <c r="BY199" s="1801" t="e">
        <f t="shared" si="269"/>
        <v>#REF!</v>
      </c>
      <c r="BZ199" s="2803" t="e">
        <f t="shared" si="269"/>
        <v>#REF!</v>
      </c>
      <c r="CA199" s="2803" t="e">
        <f t="shared" si="269"/>
        <v>#REF!</v>
      </c>
      <c r="CB199" s="2803" t="e">
        <f t="shared" si="269"/>
        <v>#REF!</v>
      </c>
      <c r="CC199" s="2803" t="e">
        <f t="shared" si="269"/>
        <v>#REF!</v>
      </c>
      <c r="CD199" s="1801" t="e">
        <f t="shared" si="269"/>
        <v>#REF!</v>
      </c>
      <c r="CE199" s="1765" t="e">
        <f t="shared" si="269"/>
        <v>#REF!</v>
      </c>
      <c r="CF199" s="1765" t="e">
        <f t="shared" si="269"/>
        <v>#REF!</v>
      </c>
      <c r="CG199" s="1765" t="e">
        <f t="shared" si="269"/>
        <v>#REF!</v>
      </c>
      <c r="CH199" s="1765" t="e">
        <f t="shared" si="269"/>
        <v>#REF!</v>
      </c>
      <c r="CI199" s="1801" t="e">
        <f t="shared" si="269"/>
        <v>#REF!</v>
      </c>
      <c r="CJ199" s="1765" t="e">
        <f t="shared" ref="CJ199:CS199" si="270">CJ206-CJ193-CJ177</f>
        <v>#REF!</v>
      </c>
      <c r="CK199" s="1765" t="e">
        <f t="shared" si="270"/>
        <v>#REF!</v>
      </c>
      <c r="CL199" s="1765" t="e">
        <f t="shared" si="270"/>
        <v>#REF!</v>
      </c>
      <c r="CM199" s="1765" t="e">
        <f t="shared" si="270"/>
        <v>#REF!</v>
      </c>
      <c r="CN199" s="1801" t="e">
        <f t="shared" si="270"/>
        <v>#REF!</v>
      </c>
      <c r="CO199" s="1765" t="e">
        <f t="shared" si="270"/>
        <v>#REF!</v>
      </c>
      <c r="CP199" s="1765" t="e">
        <f t="shared" si="270"/>
        <v>#REF!</v>
      </c>
      <c r="CQ199" s="1765" t="e">
        <f t="shared" si="270"/>
        <v>#REF!</v>
      </c>
      <c r="CR199" s="1765" t="e">
        <f t="shared" si="270"/>
        <v>#REF!</v>
      </c>
      <c r="CS199" s="1801" t="e">
        <f t="shared" si="270"/>
        <v>#REF!</v>
      </c>
      <c r="CT199" s="1765" t="e">
        <f t="shared" ref="CT199:CX199" si="271">CT206-CT193-CT177</f>
        <v>#REF!</v>
      </c>
      <c r="CU199" s="1765" t="e">
        <f t="shared" si="271"/>
        <v>#REF!</v>
      </c>
      <c r="CV199" s="1765" t="e">
        <f t="shared" si="271"/>
        <v>#REF!</v>
      </c>
      <c r="CW199" s="1765" t="e">
        <f t="shared" si="271"/>
        <v>#REF!</v>
      </c>
      <c r="CX199" s="1801" t="e">
        <f t="shared" si="271"/>
        <v>#REF!</v>
      </c>
      <c r="CY199" s="1761"/>
      <c r="CZ199" s="1761"/>
      <c r="DA199" s="1801"/>
      <c r="DB199" s="1801"/>
      <c r="DC199" s="1801"/>
      <c r="DD199" s="1801"/>
      <c r="DE199" s="1801"/>
      <c r="DF199" s="1801"/>
      <c r="DG199" s="1804"/>
      <c r="DH199" s="1804"/>
      <c r="DI199" s="1762">
        <f>SUM(BC199:BD199,BF199:BG199)</f>
        <v>0</v>
      </c>
      <c r="DJ199" s="1766">
        <f>SUM(BH199:BI199,BK199:BL199)</f>
        <v>-1891</v>
      </c>
      <c r="DK199" s="1766">
        <f>SUM(BM199:BN199,BP199:BQ199)</f>
        <v>0</v>
      </c>
      <c r="DL199" s="1766" t="e">
        <f>SUM(BU199:BV199,BR199:BS199)</f>
        <v>#REF!</v>
      </c>
      <c r="DM199" s="1762" t="e">
        <f>SUM(BW199:BX199,BZ199:CA199)</f>
        <v>#REF!</v>
      </c>
      <c r="DN199" s="1762" t="e">
        <f>SUM(CB199:CC199,CE199:CF199)</f>
        <v>#REF!</v>
      </c>
      <c r="DO199" s="1762"/>
      <c r="DP199" s="1762"/>
      <c r="DQ199" s="1762"/>
      <c r="DR199" s="1795"/>
      <c r="DS199" s="264"/>
      <c r="DT199" s="264"/>
      <c r="DU199" s="264"/>
      <c r="DV199" s="264"/>
      <c r="DW199" s="264"/>
      <c r="DX199" s="264"/>
      <c r="DY199" s="264"/>
      <c r="DZ199" s="264"/>
      <c r="EA199" s="264"/>
      <c r="EB199" s="264"/>
      <c r="EC199" s="264"/>
      <c r="ED199" s="264"/>
      <c r="EE199" s="264"/>
      <c r="EF199" s="264"/>
      <c r="EG199" s="264"/>
      <c r="EH199" s="264"/>
      <c r="EI199" s="264"/>
      <c r="EJ199" s="264"/>
      <c r="EK199" s="264"/>
      <c r="EL199" s="264"/>
      <c r="EM199" s="264"/>
      <c r="EN199" s="264"/>
      <c r="EO199" s="264"/>
      <c r="EP199" s="264"/>
      <c r="EQ199" s="264"/>
      <c r="ER199" s="264"/>
    </row>
    <row r="200" spans="1:280" s="934" customFormat="1" ht="3.75" hidden="1" customHeight="1" outlineLevel="1">
      <c r="A200" s="1760"/>
      <c r="B200" s="1761"/>
      <c r="C200" s="1761"/>
      <c r="D200" s="1761"/>
      <c r="E200" s="1761"/>
      <c r="F200" s="1761"/>
      <c r="G200" s="1761"/>
      <c r="H200" s="1761"/>
      <c r="I200" s="1761"/>
      <c r="J200" s="1761"/>
      <c r="K200" s="1761"/>
      <c r="L200" s="1761"/>
      <c r="M200" s="1761"/>
      <c r="N200" s="1761"/>
      <c r="O200" s="1761"/>
      <c r="P200" s="1761"/>
      <c r="Q200" s="1761"/>
      <c r="R200" s="1761"/>
      <c r="S200" s="1761"/>
      <c r="T200" s="1761"/>
      <c r="U200" s="1761"/>
      <c r="V200" s="1761"/>
      <c r="W200" s="1761"/>
      <c r="X200" s="1761"/>
      <c r="Y200" s="1761"/>
      <c r="Z200" s="1761"/>
      <c r="AA200" s="1761"/>
      <c r="AB200" s="1761"/>
      <c r="AC200" s="1761"/>
      <c r="AD200" s="1761"/>
      <c r="AE200" s="1761"/>
      <c r="AF200" s="1761"/>
      <c r="AG200" s="1761"/>
      <c r="AH200" s="1761"/>
      <c r="AI200" s="1761"/>
      <c r="AJ200" s="1761"/>
      <c r="AK200" s="1761"/>
      <c r="AL200" s="1761"/>
      <c r="AM200" s="1761"/>
      <c r="AN200" s="1761"/>
      <c r="AO200" s="1761"/>
      <c r="AP200" s="1761"/>
      <c r="AQ200" s="1761"/>
      <c r="AR200" s="1761"/>
      <c r="AS200" s="1761"/>
      <c r="AT200" s="1761"/>
      <c r="AU200" s="1761"/>
      <c r="AV200" s="1761"/>
      <c r="AW200" s="1761"/>
      <c r="AX200" s="1761"/>
      <c r="AY200" s="1761"/>
      <c r="AZ200" s="1793"/>
      <c r="BA200" s="1761"/>
      <c r="BB200" s="1761"/>
      <c r="BC200" s="1761"/>
      <c r="BD200" s="1761"/>
      <c r="BE200" s="1793"/>
      <c r="BF200" s="1778"/>
      <c r="BG200" s="1778"/>
      <c r="BH200" s="1778"/>
      <c r="BI200" s="1778"/>
      <c r="BJ200" s="1793"/>
      <c r="BK200" s="1761"/>
      <c r="BL200" s="1761"/>
      <c r="BM200" s="1761"/>
      <c r="BN200" s="1778"/>
      <c r="BO200" s="1793"/>
      <c r="BP200" s="1761"/>
      <c r="BQ200" s="1761"/>
      <c r="BR200" s="1761"/>
      <c r="BS200" s="1778"/>
      <c r="BT200" s="1793"/>
      <c r="BU200" s="2804"/>
      <c r="BV200" s="2804"/>
      <c r="BW200" s="2804"/>
      <c r="BX200" s="2804"/>
      <c r="BY200" s="2805"/>
      <c r="BZ200" s="2804"/>
      <c r="CA200" s="2804"/>
      <c r="CB200" s="2804"/>
      <c r="CC200" s="2804"/>
      <c r="CD200" s="2805"/>
      <c r="CE200" s="1761"/>
      <c r="CF200" s="1761"/>
      <c r="CG200" s="1761"/>
      <c r="CH200" s="1761"/>
      <c r="CI200" s="1793"/>
      <c r="CJ200" s="1761"/>
      <c r="CK200" s="1761"/>
      <c r="CL200" s="1761"/>
      <c r="CM200" s="1761"/>
      <c r="CN200" s="1793"/>
      <c r="CO200" s="1761"/>
      <c r="CP200" s="1761"/>
      <c r="CQ200" s="1761"/>
      <c r="CR200" s="1761"/>
      <c r="CS200" s="1793"/>
      <c r="CT200" s="1761"/>
      <c r="CU200" s="1761"/>
      <c r="CV200" s="1761"/>
      <c r="CW200" s="1761"/>
      <c r="CX200" s="1793"/>
      <c r="CY200" s="1761"/>
      <c r="CZ200" s="1761"/>
      <c r="DA200" s="1793"/>
      <c r="DB200" s="1793"/>
      <c r="DC200" s="1793"/>
      <c r="DD200" s="1793"/>
      <c r="DE200" s="1793"/>
      <c r="DF200" s="1793"/>
      <c r="DG200" s="1794"/>
      <c r="DH200" s="1794"/>
      <c r="DI200" s="1793"/>
      <c r="DJ200" s="1794"/>
      <c r="DK200" s="1794"/>
      <c r="DL200" s="1794"/>
      <c r="DM200" s="1793"/>
      <c r="DN200" s="1793"/>
      <c r="DO200" s="1793"/>
      <c r="DP200" s="1793"/>
      <c r="DQ200" s="1793"/>
      <c r="DR200" s="1778"/>
      <c r="DS200" s="264"/>
      <c r="DT200" s="264"/>
      <c r="DU200" s="264"/>
      <c r="DV200" s="264"/>
      <c r="DW200" s="264"/>
      <c r="DX200" s="264"/>
      <c r="DY200" s="264"/>
      <c r="DZ200" s="264"/>
      <c r="EA200" s="264"/>
      <c r="EB200" s="264"/>
      <c r="EC200" s="264"/>
      <c r="ED200" s="264"/>
      <c r="EE200" s="264"/>
      <c r="EF200" s="264"/>
      <c r="EG200" s="264"/>
      <c r="EH200" s="264"/>
      <c r="EI200" s="264"/>
      <c r="EJ200" s="264"/>
      <c r="EK200" s="264"/>
      <c r="EL200" s="264"/>
      <c r="EM200" s="264"/>
      <c r="EN200" s="264"/>
      <c r="EO200" s="264"/>
      <c r="EP200" s="264"/>
      <c r="EQ200" s="264"/>
      <c r="ER200" s="264"/>
    </row>
    <row r="201" spans="1:280" s="938" customFormat="1" ht="12" hidden="1" outlineLevel="2">
      <c r="A201" s="1872" t="s">
        <v>489</v>
      </c>
      <c r="B201" s="1758"/>
      <c r="C201" s="1758"/>
      <c r="D201" s="1758"/>
      <c r="E201" s="1758"/>
      <c r="F201" s="1758"/>
      <c r="G201" s="1758"/>
      <c r="H201" s="1758"/>
      <c r="I201" s="1758"/>
      <c r="J201" s="1758"/>
      <c r="K201" s="1758"/>
      <c r="L201" s="1758"/>
      <c r="M201" s="1758"/>
      <c r="N201" s="1758"/>
      <c r="O201" s="1758"/>
      <c r="P201" s="1758"/>
      <c r="Q201" s="1758"/>
      <c r="R201" s="1758"/>
      <c r="S201" s="1758"/>
      <c r="T201" s="1758"/>
      <c r="U201" s="1758"/>
      <c r="V201" s="1758"/>
      <c r="W201" s="1758"/>
      <c r="X201" s="1758"/>
      <c r="Y201" s="1758"/>
      <c r="Z201" s="1758"/>
      <c r="AA201" s="1758"/>
      <c r="AB201" s="1758"/>
      <c r="AC201" s="1758"/>
      <c r="AD201" s="1758"/>
      <c r="AE201" s="1758"/>
      <c r="AF201" s="1758"/>
      <c r="AG201" s="1758"/>
      <c r="AH201" s="1758"/>
      <c r="AI201" s="1758"/>
      <c r="AJ201" s="1758"/>
      <c r="AK201" s="1758"/>
      <c r="AL201" s="1758"/>
      <c r="AM201" s="1758"/>
      <c r="AN201" s="1758"/>
      <c r="AO201" s="1758"/>
      <c r="AP201" s="1758"/>
      <c r="AQ201" s="1758"/>
      <c r="AR201" s="1758"/>
      <c r="AS201" s="1758"/>
      <c r="AT201" s="1758"/>
      <c r="AU201" s="1782"/>
      <c r="AV201" s="1758"/>
      <c r="AW201" s="1758"/>
      <c r="AX201" s="1758"/>
      <c r="AY201" s="1758"/>
      <c r="AZ201" s="1782"/>
      <c r="BA201" s="1873">
        <f t="shared" ref="BA201:CI201" si="272">BA142-BA202</f>
        <v>3777</v>
      </c>
      <c r="BB201" s="1873">
        <f t="shared" si="272"/>
        <v>5638</v>
      </c>
      <c r="BC201" s="1873">
        <f t="shared" si="272"/>
        <v>3952</v>
      </c>
      <c r="BD201" s="1873">
        <f t="shared" si="272"/>
        <v>4163</v>
      </c>
      <c r="BE201" s="1782">
        <f t="shared" si="272"/>
        <v>17530</v>
      </c>
      <c r="BF201" s="1873">
        <f t="shared" si="272"/>
        <v>4168</v>
      </c>
      <c r="BG201" s="1873">
        <f t="shared" si="272"/>
        <v>5692</v>
      </c>
      <c r="BH201" s="1873">
        <f t="shared" si="272"/>
        <v>4787</v>
      </c>
      <c r="BI201" s="1873">
        <f t="shared" si="272"/>
        <v>5602</v>
      </c>
      <c r="BJ201" s="1782">
        <f t="shared" si="272"/>
        <v>20249</v>
      </c>
      <c r="BK201" s="1874">
        <f t="shared" si="272"/>
        <v>5145</v>
      </c>
      <c r="BL201" s="1874">
        <f t="shared" si="272"/>
        <v>8322</v>
      </c>
      <c r="BM201" s="1874">
        <f t="shared" si="272"/>
        <v>5978</v>
      </c>
      <c r="BN201" s="1873">
        <f t="shared" si="272"/>
        <v>7634</v>
      </c>
      <c r="BO201" s="1782">
        <f t="shared" si="272"/>
        <v>27079</v>
      </c>
      <c r="BP201" s="1874">
        <f t="shared" si="272"/>
        <v>8273</v>
      </c>
      <c r="BQ201" s="1874">
        <f t="shared" si="272"/>
        <v>10136</v>
      </c>
      <c r="BR201" s="1874">
        <f t="shared" si="272"/>
        <v>7161</v>
      </c>
      <c r="BS201" s="1873">
        <f t="shared" si="272"/>
        <v>7468</v>
      </c>
      <c r="BT201" s="1782">
        <f t="shared" si="272"/>
        <v>33038</v>
      </c>
      <c r="BU201" s="2816" t="e">
        <f t="shared" si="272"/>
        <v>#REF!</v>
      </c>
      <c r="BV201" s="2816" t="e">
        <f t="shared" si="272"/>
        <v>#REF!</v>
      </c>
      <c r="BW201" s="2816" t="e">
        <f t="shared" si="272"/>
        <v>#REF!</v>
      </c>
      <c r="BX201" s="2816" t="e">
        <f t="shared" si="272"/>
        <v>#REF!</v>
      </c>
      <c r="BY201" s="1782" t="e">
        <f t="shared" si="272"/>
        <v>#REF!</v>
      </c>
      <c r="BZ201" s="2816" t="e">
        <f t="shared" si="272"/>
        <v>#REF!</v>
      </c>
      <c r="CA201" s="2816" t="e">
        <f t="shared" si="272"/>
        <v>#REF!</v>
      </c>
      <c r="CB201" s="2816" t="e">
        <f t="shared" si="272"/>
        <v>#REF!</v>
      </c>
      <c r="CC201" s="2816" t="e">
        <f t="shared" si="272"/>
        <v>#REF!</v>
      </c>
      <c r="CD201" s="1782" t="e">
        <f t="shared" si="272"/>
        <v>#REF!</v>
      </c>
      <c r="CE201" s="1874" t="e">
        <f t="shared" si="272"/>
        <v>#REF!</v>
      </c>
      <c r="CF201" s="1874" t="e">
        <f t="shared" si="272"/>
        <v>#REF!</v>
      </c>
      <c r="CG201" s="1874" t="e">
        <f t="shared" si="272"/>
        <v>#REF!</v>
      </c>
      <c r="CH201" s="1874" t="e">
        <f t="shared" si="272"/>
        <v>#REF!</v>
      </c>
      <c r="CI201" s="1782" t="e">
        <f t="shared" si="272"/>
        <v>#REF!</v>
      </c>
      <c r="CJ201" s="1874" t="e">
        <f t="shared" ref="CJ201:CS201" si="273">CJ142-CJ202</f>
        <v>#REF!</v>
      </c>
      <c r="CK201" s="1874" t="e">
        <f t="shared" si="273"/>
        <v>#REF!</v>
      </c>
      <c r="CL201" s="1874" t="e">
        <f t="shared" si="273"/>
        <v>#REF!</v>
      </c>
      <c r="CM201" s="1874" t="e">
        <f t="shared" si="273"/>
        <v>#REF!</v>
      </c>
      <c r="CN201" s="1782" t="e">
        <f t="shared" si="273"/>
        <v>#REF!</v>
      </c>
      <c r="CO201" s="1874" t="e">
        <f t="shared" si="273"/>
        <v>#REF!</v>
      </c>
      <c r="CP201" s="1874" t="e">
        <f t="shared" si="273"/>
        <v>#REF!</v>
      </c>
      <c r="CQ201" s="1874" t="e">
        <f t="shared" si="273"/>
        <v>#REF!</v>
      </c>
      <c r="CR201" s="1874" t="e">
        <f t="shared" si="273"/>
        <v>#REF!</v>
      </c>
      <c r="CS201" s="1782" t="e">
        <f t="shared" si="273"/>
        <v>#REF!</v>
      </c>
      <c r="CT201" s="1874" t="e">
        <f t="shared" ref="CT201:CX201" si="274">CT142-CT202</f>
        <v>#REF!</v>
      </c>
      <c r="CU201" s="1874" t="e">
        <f t="shared" si="274"/>
        <v>#REF!</v>
      </c>
      <c r="CV201" s="1874" t="e">
        <f t="shared" si="274"/>
        <v>#REF!</v>
      </c>
      <c r="CW201" s="1874" t="e">
        <f t="shared" si="274"/>
        <v>#REF!</v>
      </c>
      <c r="CX201" s="1782" t="e">
        <f t="shared" si="274"/>
        <v>#REF!</v>
      </c>
      <c r="CY201" s="1758"/>
      <c r="CZ201" s="1758"/>
      <c r="DA201" s="1782"/>
      <c r="DB201" s="1782"/>
      <c r="DC201" s="1782"/>
      <c r="DD201" s="1782"/>
      <c r="DE201" s="1782"/>
      <c r="DF201" s="1782"/>
      <c r="DG201" s="1784"/>
      <c r="DH201" s="1784"/>
      <c r="DI201" s="1782">
        <f>SUM(BC201:BD201,BF201:BG201)</f>
        <v>17975</v>
      </c>
      <c r="DJ201" s="1784">
        <f>SUM(BH201:BI201,BK201:BL201)</f>
        <v>23856</v>
      </c>
      <c r="DK201" s="1784">
        <f>SUM(BM201:BN201,BP201:BQ201)</f>
        <v>32021</v>
      </c>
      <c r="DL201" s="1784" t="e">
        <f>SUM(BU201:BV201,BR201:BS201)</f>
        <v>#REF!</v>
      </c>
      <c r="DM201" s="1782" t="e">
        <f>SUM(BW201:BX201,BZ201:CA201)</f>
        <v>#REF!</v>
      </c>
      <c r="DN201" s="1782" t="e">
        <f>SUM(CB201:CC201,CE201:CF201)</f>
        <v>#REF!</v>
      </c>
      <c r="DO201" s="1782"/>
      <c r="DP201" s="1782"/>
      <c r="DQ201" s="1782"/>
      <c r="DR201" s="1783"/>
      <c r="DS201" s="936"/>
      <c r="DT201" s="936"/>
      <c r="DU201" s="936"/>
      <c r="DV201" s="936"/>
      <c r="DW201" s="936"/>
      <c r="DX201" s="936"/>
      <c r="DY201" s="936"/>
      <c r="DZ201" s="936"/>
      <c r="EA201" s="936"/>
      <c r="EB201" s="936"/>
      <c r="EC201" s="936"/>
      <c r="ED201" s="936"/>
      <c r="EE201" s="936"/>
      <c r="EF201" s="936"/>
      <c r="EG201" s="936"/>
      <c r="EH201" s="936"/>
      <c r="EI201" s="936"/>
      <c r="EJ201" s="936"/>
      <c r="EK201" s="936"/>
      <c r="EL201" s="936"/>
      <c r="EM201" s="936"/>
      <c r="EN201" s="936"/>
      <c r="EO201" s="936"/>
      <c r="EP201" s="936"/>
      <c r="EQ201" s="936"/>
      <c r="ER201" s="936"/>
    </row>
    <row r="202" spans="1:280" s="944" customFormat="1" ht="12" hidden="1" outlineLevel="1">
      <c r="A202" s="1824" t="s">
        <v>488</v>
      </c>
      <c r="B202" s="1825"/>
      <c r="C202" s="1825"/>
      <c r="D202" s="1825"/>
      <c r="E202" s="1825"/>
      <c r="F202" s="1825"/>
      <c r="G202" s="1825"/>
      <c r="H202" s="1825"/>
      <c r="I202" s="1825"/>
      <c r="J202" s="1825"/>
      <c r="K202" s="1825"/>
      <c r="L202" s="1825"/>
      <c r="M202" s="1825"/>
      <c r="N202" s="1825"/>
      <c r="O202" s="1825"/>
      <c r="P202" s="1825"/>
      <c r="Q202" s="1825"/>
      <c r="R202" s="1825"/>
      <c r="S202" s="1825"/>
      <c r="T202" s="1825"/>
      <c r="U202" s="1825"/>
      <c r="V202" s="1825"/>
      <c r="W202" s="1825"/>
      <c r="X202" s="1825"/>
      <c r="Y202" s="1825"/>
      <c r="Z202" s="1825"/>
      <c r="AA202" s="1825"/>
      <c r="AB202" s="1825"/>
      <c r="AC202" s="1825"/>
      <c r="AD202" s="1825"/>
      <c r="AE202" s="1825"/>
      <c r="AF202" s="1825"/>
      <c r="AG202" s="1825"/>
      <c r="AH202" s="1825"/>
      <c r="AI202" s="1825"/>
      <c r="AJ202" s="1825"/>
      <c r="AK202" s="1825"/>
      <c r="AL202" s="1825"/>
      <c r="AM202" s="1825"/>
      <c r="AN202" s="1825"/>
      <c r="AO202" s="1825"/>
      <c r="AP202" s="1825"/>
      <c r="AQ202" s="1825"/>
      <c r="AR202" s="1825"/>
      <c r="AS202" s="1825"/>
      <c r="AT202" s="1825"/>
      <c r="AU202" s="1762"/>
      <c r="AV202" s="1825"/>
      <c r="AW202" s="1825"/>
      <c r="AX202" s="1825"/>
      <c r="AY202" s="1825"/>
      <c r="AZ202" s="1762"/>
      <c r="BA202" s="1875">
        <f t="shared" ref="BA202:BI202" si="275">(BA196+BA186+BA182+BA170+BA158+BA162)</f>
        <v>13595</v>
      </c>
      <c r="BB202" s="1875">
        <f t="shared" si="275"/>
        <v>15247</v>
      </c>
      <c r="BC202" s="1875">
        <f t="shared" si="275"/>
        <v>13455</v>
      </c>
      <c r="BD202" s="1875">
        <f t="shared" si="275"/>
        <v>13896</v>
      </c>
      <c r="BE202" s="1762">
        <f t="shared" si="275"/>
        <v>56193</v>
      </c>
      <c r="BF202" s="1875">
        <f t="shared" si="275"/>
        <v>11840</v>
      </c>
      <c r="BG202" s="1875">
        <f t="shared" si="275"/>
        <v>15764</v>
      </c>
      <c r="BH202" s="1875">
        <f t="shared" si="275"/>
        <v>15702</v>
      </c>
      <c r="BI202" s="1875">
        <f t="shared" si="275"/>
        <v>14294</v>
      </c>
      <c r="BJ202" s="1762">
        <f>(BJ196+BJ186+BJ182+BJ170+BJ158+BJ162)</f>
        <v>57600</v>
      </c>
      <c r="BK202" s="1876">
        <f>(BK196+BK186+BK182+BK170+BK158+BK162)</f>
        <v>13384</v>
      </c>
      <c r="BL202" s="1876">
        <f>(BL196+BL186+BL182+BL170+BL158+BL162)</f>
        <v>16197</v>
      </c>
      <c r="BM202" s="1876">
        <f>(BM196+BM186+BM182+BM170+BM158+BM162)</f>
        <v>14425</v>
      </c>
      <c r="BN202" s="1875">
        <f>(BN196+BN186+BN182+BN170+BN158+BN162+BN166)</f>
        <v>15748</v>
      </c>
      <c r="BO202" s="1762">
        <f t="shared" ref="BO202:CI202" si="276">(BO196+BO186+BO182+BO170+BO158+BO162+BO166)</f>
        <v>59754</v>
      </c>
      <c r="BP202" s="1876">
        <f t="shared" si="276"/>
        <v>14928</v>
      </c>
      <c r="BQ202" s="1876">
        <f t="shared" si="276"/>
        <v>16334</v>
      </c>
      <c r="BR202" s="1876">
        <f t="shared" si="276"/>
        <v>14568</v>
      </c>
      <c r="BS202" s="1875">
        <f t="shared" si="276"/>
        <v>14712</v>
      </c>
      <c r="BT202" s="1762">
        <f t="shared" si="276"/>
        <v>60542</v>
      </c>
      <c r="BU202" s="2817" t="e">
        <f t="shared" si="276"/>
        <v>#REF!</v>
      </c>
      <c r="BV202" s="2817" t="e">
        <f t="shared" si="276"/>
        <v>#REF!</v>
      </c>
      <c r="BW202" s="2817" t="e">
        <f t="shared" si="276"/>
        <v>#REF!</v>
      </c>
      <c r="BX202" s="2817" t="e">
        <f t="shared" si="276"/>
        <v>#REF!</v>
      </c>
      <c r="BY202" s="1762" t="e">
        <f t="shared" si="276"/>
        <v>#REF!</v>
      </c>
      <c r="BZ202" s="2817" t="e">
        <f t="shared" si="276"/>
        <v>#REF!</v>
      </c>
      <c r="CA202" s="2817" t="e">
        <f t="shared" si="276"/>
        <v>#REF!</v>
      </c>
      <c r="CB202" s="2817" t="e">
        <f t="shared" si="276"/>
        <v>#REF!</v>
      </c>
      <c r="CC202" s="2817" t="e">
        <f t="shared" si="276"/>
        <v>#REF!</v>
      </c>
      <c r="CD202" s="1762" t="e">
        <f t="shared" si="276"/>
        <v>#REF!</v>
      </c>
      <c r="CE202" s="1876" t="e">
        <f t="shared" si="276"/>
        <v>#REF!</v>
      </c>
      <c r="CF202" s="1876" t="e">
        <f t="shared" si="276"/>
        <v>#REF!</v>
      </c>
      <c r="CG202" s="1876" t="e">
        <f t="shared" si="276"/>
        <v>#REF!</v>
      </c>
      <c r="CH202" s="1876" t="e">
        <f t="shared" si="276"/>
        <v>#REF!</v>
      </c>
      <c r="CI202" s="1762" t="e">
        <f t="shared" si="276"/>
        <v>#REF!</v>
      </c>
      <c r="CJ202" s="1876" t="e">
        <f t="shared" ref="CJ202:CS202" si="277">(CJ196+CJ186+CJ182+CJ170+CJ158+CJ162+CJ166)</f>
        <v>#REF!</v>
      </c>
      <c r="CK202" s="1876" t="e">
        <f t="shared" si="277"/>
        <v>#REF!</v>
      </c>
      <c r="CL202" s="1876" t="e">
        <f t="shared" si="277"/>
        <v>#REF!</v>
      </c>
      <c r="CM202" s="1876" t="e">
        <f t="shared" si="277"/>
        <v>#REF!</v>
      </c>
      <c r="CN202" s="1762" t="e">
        <f t="shared" si="277"/>
        <v>#REF!</v>
      </c>
      <c r="CO202" s="1876" t="e">
        <f t="shared" si="277"/>
        <v>#REF!</v>
      </c>
      <c r="CP202" s="1876" t="e">
        <f t="shared" si="277"/>
        <v>#REF!</v>
      </c>
      <c r="CQ202" s="1876" t="e">
        <f t="shared" si="277"/>
        <v>#REF!</v>
      </c>
      <c r="CR202" s="1876" t="e">
        <f t="shared" si="277"/>
        <v>#REF!</v>
      </c>
      <c r="CS202" s="1762" t="e">
        <f t="shared" si="277"/>
        <v>#REF!</v>
      </c>
      <c r="CT202" s="1876" t="e">
        <f t="shared" ref="CT202:CX202" si="278">(CT196+CT186+CT182+CT170+CT158+CT162+CT166)</f>
        <v>#REF!</v>
      </c>
      <c r="CU202" s="1876" t="e">
        <f t="shared" si="278"/>
        <v>#REF!</v>
      </c>
      <c r="CV202" s="1876" t="e">
        <f t="shared" si="278"/>
        <v>#REF!</v>
      </c>
      <c r="CW202" s="1876" t="e">
        <f t="shared" si="278"/>
        <v>#REF!</v>
      </c>
      <c r="CX202" s="1762" t="e">
        <f t="shared" si="278"/>
        <v>#REF!</v>
      </c>
      <c r="CY202" s="1825"/>
      <c r="CZ202" s="1825"/>
      <c r="DA202" s="1762"/>
      <c r="DB202" s="1762"/>
      <c r="DC202" s="1762"/>
      <c r="DD202" s="1762"/>
      <c r="DE202" s="1762"/>
      <c r="DF202" s="1762"/>
      <c r="DG202" s="1766"/>
      <c r="DH202" s="1766"/>
      <c r="DI202" s="1762">
        <f>SUM(BC202:BD202,BF202:BG202)</f>
        <v>54955</v>
      </c>
      <c r="DJ202" s="1766">
        <f>SUM(BH202:BI202,BK202:BL202)</f>
        <v>59577</v>
      </c>
      <c r="DK202" s="1766">
        <f>SUM(BM202:BN202,BP202:BQ202)</f>
        <v>61435</v>
      </c>
      <c r="DL202" s="1766" t="e">
        <f>SUM(BU202:BV202,BR202:BS202)</f>
        <v>#REF!</v>
      </c>
      <c r="DM202" s="1762" t="e">
        <f>SUM(BW202:BX202,BZ202:CA202)</f>
        <v>#REF!</v>
      </c>
      <c r="DN202" s="1762" t="e">
        <f>SUM(CB202:CC202,CE202:CF202)</f>
        <v>#REF!</v>
      </c>
      <c r="DO202" s="1762"/>
      <c r="DP202" s="1762"/>
      <c r="DQ202" s="1762"/>
      <c r="DR202" s="1795"/>
      <c r="DS202" s="260"/>
      <c r="DT202" s="260"/>
      <c r="DU202" s="260"/>
      <c r="DV202" s="260"/>
      <c r="DW202" s="260"/>
      <c r="DX202" s="260"/>
      <c r="DY202" s="260"/>
      <c r="DZ202" s="260"/>
      <c r="EA202" s="260"/>
      <c r="EB202" s="260"/>
      <c r="EC202" s="260"/>
      <c r="ED202" s="260"/>
      <c r="EE202" s="260"/>
      <c r="EF202" s="260"/>
      <c r="EG202" s="260"/>
      <c r="EH202" s="260"/>
      <c r="EI202" s="260"/>
      <c r="EJ202" s="260"/>
      <c r="EK202" s="260"/>
      <c r="EL202" s="260"/>
      <c r="EM202" s="260"/>
      <c r="EN202" s="260"/>
      <c r="EO202" s="260"/>
      <c r="EP202" s="260"/>
      <c r="EQ202" s="260"/>
      <c r="ER202" s="260"/>
    </row>
    <row r="203" spans="1:280" s="945" customFormat="1" ht="12" hidden="1" outlineLevel="1">
      <c r="A203" s="1877" t="s">
        <v>728</v>
      </c>
      <c r="B203" s="1878"/>
      <c r="C203" s="1878"/>
      <c r="D203" s="1878"/>
      <c r="E203" s="1878"/>
      <c r="F203" s="1878"/>
      <c r="G203" s="1878"/>
      <c r="H203" s="1878"/>
      <c r="I203" s="1878"/>
      <c r="J203" s="1878"/>
      <c r="K203" s="1878"/>
      <c r="L203" s="1878"/>
      <c r="M203" s="1878"/>
      <c r="N203" s="1878"/>
      <c r="O203" s="1878"/>
      <c r="P203" s="1878"/>
      <c r="Q203" s="1878"/>
      <c r="R203" s="1878"/>
      <c r="S203" s="1878"/>
      <c r="T203" s="1878"/>
      <c r="U203" s="1878"/>
      <c r="V203" s="1878"/>
      <c r="W203" s="1878"/>
      <c r="X203" s="1878"/>
      <c r="Y203" s="1878"/>
      <c r="Z203" s="1878"/>
      <c r="AA203" s="1878"/>
      <c r="AB203" s="1878"/>
      <c r="AC203" s="1878"/>
      <c r="AD203" s="1878"/>
      <c r="AE203" s="1878"/>
      <c r="AF203" s="1878"/>
      <c r="AG203" s="1878"/>
      <c r="AH203" s="1878"/>
      <c r="AI203" s="1878"/>
      <c r="AJ203" s="1878"/>
      <c r="AK203" s="1878"/>
      <c r="AL203" s="1878"/>
      <c r="AM203" s="1878"/>
      <c r="AN203" s="1878"/>
      <c r="AO203" s="1878"/>
      <c r="AP203" s="1878"/>
      <c r="AQ203" s="1878"/>
      <c r="AR203" s="1878"/>
      <c r="AS203" s="1878"/>
      <c r="AT203" s="1878"/>
      <c r="AU203" s="1879"/>
      <c r="AV203" s="1878"/>
      <c r="AW203" s="1878"/>
      <c r="AX203" s="1878"/>
      <c r="AY203" s="1878"/>
      <c r="AZ203" s="1879"/>
      <c r="BA203" s="1880">
        <f t="shared" ref="BA203:BM203" si="279">(BA196+BA186+BA182+BA170+BA158+BA162)/BA142</f>
        <v>0.78258116509325348</v>
      </c>
      <c r="BB203" s="1880">
        <f t="shared" si="279"/>
        <v>0.73004548719176443</v>
      </c>
      <c r="BC203" s="1880">
        <f t="shared" si="279"/>
        <v>0.77296489917849143</v>
      </c>
      <c r="BD203" s="1880">
        <f t="shared" si="279"/>
        <v>0.76947782269228637</v>
      </c>
      <c r="BE203" s="1879">
        <f t="shared" si="279"/>
        <v>0.76221803236439101</v>
      </c>
      <c r="BF203" s="1880">
        <f t="shared" si="279"/>
        <v>0.73963018490754617</v>
      </c>
      <c r="BG203" s="1880">
        <f t="shared" si="279"/>
        <v>0.7347129008202834</v>
      </c>
      <c r="BH203" s="1880">
        <f t="shared" si="279"/>
        <v>0.76636243838157059</v>
      </c>
      <c r="BI203" s="1880">
        <f t="shared" si="279"/>
        <v>0.71843586650583036</v>
      </c>
      <c r="BJ203" s="1881">
        <f t="shared" si="279"/>
        <v>0.7398938971598864</v>
      </c>
      <c r="BK203" s="1882">
        <f t="shared" si="279"/>
        <v>0.72232716282584053</v>
      </c>
      <c r="BL203" s="1882">
        <f t="shared" si="279"/>
        <v>0.66058974672702797</v>
      </c>
      <c r="BM203" s="1882">
        <f t="shared" si="279"/>
        <v>0.70700387197961079</v>
      </c>
      <c r="BN203" s="1880">
        <f t="shared" ref="BN203:CI203" si="280">(BN196+BN186+BN182+BN170+BN158+BN162+BN166)/BN142</f>
        <v>0.6735095372508767</v>
      </c>
      <c r="BO203" s="1881">
        <f t="shared" si="280"/>
        <v>0.68814851496550855</v>
      </c>
      <c r="BP203" s="1882">
        <f t="shared" si="280"/>
        <v>0.64342054221800782</v>
      </c>
      <c r="BQ203" s="1882">
        <f t="shared" si="280"/>
        <v>0.61707593502077829</v>
      </c>
      <c r="BR203" s="1882">
        <f t="shared" si="280"/>
        <v>0.67044042523816094</v>
      </c>
      <c r="BS203" s="1880">
        <f t="shared" si="280"/>
        <v>0.66330027051397655</v>
      </c>
      <c r="BT203" s="1881">
        <f t="shared" si="280"/>
        <v>0.64695447745244705</v>
      </c>
      <c r="BU203" s="1882" t="e">
        <f t="shared" si="280"/>
        <v>#REF!</v>
      </c>
      <c r="BV203" s="1882" t="e">
        <f t="shared" si="280"/>
        <v>#REF!</v>
      </c>
      <c r="BW203" s="1882" t="e">
        <f t="shared" si="280"/>
        <v>#REF!</v>
      </c>
      <c r="BX203" s="1882" t="e">
        <f t="shared" si="280"/>
        <v>#REF!</v>
      </c>
      <c r="BY203" s="1881" t="e">
        <f t="shared" si="280"/>
        <v>#REF!</v>
      </c>
      <c r="BZ203" s="1882" t="e">
        <f t="shared" si="280"/>
        <v>#REF!</v>
      </c>
      <c r="CA203" s="1882" t="e">
        <f t="shared" si="280"/>
        <v>#REF!</v>
      </c>
      <c r="CB203" s="1882" t="e">
        <f t="shared" si="280"/>
        <v>#REF!</v>
      </c>
      <c r="CC203" s="1882" t="e">
        <f t="shared" si="280"/>
        <v>#REF!</v>
      </c>
      <c r="CD203" s="1881" t="e">
        <f t="shared" si="280"/>
        <v>#REF!</v>
      </c>
      <c r="CE203" s="1882" t="e">
        <f t="shared" si="280"/>
        <v>#REF!</v>
      </c>
      <c r="CF203" s="1882" t="e">
        <f t="shared" si="280"/>
        <v>#REF!</v>
      </c>
      <c r="CG203" s="1882" t="e">
        <f t="shared" si="280"/>
        <v>#REF!</v>
      </c>
      <c r="CH203" s="1882" t="e">
        <f t="shared" si="280"/>
        <v>#REF!</v>
      </c>
      <c r="CI203" s="1881" t="e">
        <f t="shared" si="280"/>
        <v>#REF!</v>
      </c>
      <c r="CJ203" s="1882" t="e">
        <f t="shared" ref="CJ203:CS203" si="281">(CJ196+CJ186+CJ182+CJ170+CJ158+CJ162+CJ166)/CJ142</f>
        <v>#REF!</v>
      </c>
      <c r="CK203" s="1882" t="e">
        <f t="shared" si="281"/>
        <v>#REF!</v>
      </c>
      <c r="CL203" s="1882" t="e">
        <f t="shared" si="281"/>
        <v>#REF!</v>
      </c>
      <c r="CM203" s="1882" t="e">
        <f t="shared" si="281"/>
        <v>#REF!</v>
      </c>
      <c r="CN203" s="1881" t="e">
        <f t="shared" si="281"/>
        <v>#REF!</v>
      </c>
      <c r="CO203" s="1882" t="e">
        <f t="shared" si="281"/>
        <v>#REF!</v>
      </c>
      <c r="CP203" s="1882" t="e">
        <f t="shared" si="281"/>
        <v>#REF!</v>
      </c>
      <c r="CQ203" s="1882" t="e">
        <f t="shared" si="281"/>
        <v>#REF!</v>
      </c>
      <c r="CR203" s="1882" t="e">
        <f t="shared" si="281"/>
        <v>#REF!</v>
      </c>
      <c r="CS203" s="1881" t="e">
        <f t="shared" si="281"/>
        <v>#REF!</v>
      </c>
      <c r="CT203" s="1882" t="e">
        <f t="shared" ref="CT203:CX203" si="282">(CT196+CT186+CT182+CT170+CT158+CT162+CT166)/CT142</f>
        <v>#REF!</v>
      </c>
      <c r="CU203" s="1882" t="e">
        <f t="shared" si="282"/>
        <v>#REF!</v>
      </c>
      <c r="CV203" s="1882" t="e">
        <f t="shared" si="282"/>
        <v>#REF!</v>
      </c>
      <c r="CW203" s="1882" t="e">
        <f t="shared" si="282"/>
        <v>#REF!</v>
      </c>
      <c r="CX203" s="1881" t="e">
        <f t="shared" si="282"/>
        <v>#REF!</v>
      </c>
      <c r="CY203" s="1878"/>
      <c r="CZ203" s="1878"/>
      <c r="DA203" s="1879"/>
      <c r="DB203" s="1879"/>
      <c r="DC203" s="1879"/>
      <c r="DD203" s="1879"/>
      <c r="DE203" s="1879"/>
      <c r="DF203" s="1879"/>
      <c r="DG203" s="1883"/>
      <c r="DH203" s="1883"/>
      <c r="DI203" s="1879">
        <f t="shared" ref="DI203:DN203" si="283">DI202/DI142</f>
        <v>0.75353078294254761</v>
      </c>
      <c r="DJ203" s="1883">
        <f t="shared" si="283"/>
        <v>0.71406997231311353</v>
      </c>
      <c r="DK203" s="1883">
        <f t="shared" si="283"/>
        <v>0.65736817325800379</v>
      </c>
      <c r="DL203" s="1883" t="e">
        <f t="shared" si="283"/>
        <v>#REF!</v>
      </c>
      <c r="DM203" s="1879" t="e">
        <f t="shared" si="283"/>
        <v>#REF!</v>
      </c>
      <c r="DN203" s="1879" t="e">
        <f t="shared" si="283"/>
        <v>#REF!</v>
      </c>
      <c r="DO203" s="1879"/>
      <c r="DP203" s="1879"/>
      <c r="DQ203" s="1879"/>
      <c r="DR203" s="3059"/>
      <c r="DS203" s="432"/>
      <c r="DT203" s="432"/>
      <c r="DU203" s="432"/>
      <c r="DV203" s="432"/>
      <c r="DW203" s="432"/>
      <c r="DX203" s="432"/>
      <c r="DY203" s="432"/>
      <c r="DZ203" s="432"/>
      <c r="EA203" s="432"/>
      <c r="EB203" s="432"/>
      <c r="EC203" s="432"/>
      <c r="ED203" s="432"/>
      <c r="EE203" s="432"/>
      <c r="EF203" s="432"/>
      <c r="EG203" s="432"/>
      <c r="EH203" s="432"/>
      <c r="EI203" s="432"/>
      <c r="EJ203" s="432"/>
      <c r="EK203" s="432"/>
      <c r="EL203" s="432"/>
      <c r="EM203" s="432"/>
      <c r="EN203" s="432"/>
      <c r="EO203" s="432"/>
      <c r="EP203" s="432"/>
      <c r="EQ203" s="432"/>
      <c r="ER203" s="432"/>
    </row>
    <row r="204" spans="1:280" hidden="1" outlineLevel="1">
      <c r="A204" s="1760"/>
      <c r="B204" s="1884"/>
      <c r="C204" s="1884"/>
      <c r="D204" s="1884"/>
      <c r="E204" s="1884"/>
      <c r="F204" s="1884"/>
      <c r="G204" s="1884"/>
      <c r="H204" s="1884"/>
      <c r="I204" s="1884"/>
      <c r="J204" s="1884"/>
      <c r="K204" s="1884"/>
      <c r="L204" s="1884"/>
      <c r="M204" s="1884"/>
      <c r="N204" s="1884"/>
      <c r="O204" s="1884"/>
      <c r="P204" s="1884"/>
      <c r="Q204" s="1884"/>
      <c r="R204" s="1884"/>
      <c r="S204" s="1884"/>
      <c r="T204" s="1884"/>
      <c r="U204" s="1884"/>
      <c r="V204" s="1884"/>
      <c r="W204" s="1884"/>
      <c r="X204" s="1884"/>
      <c r="Y204" s="1884"/>
      <c r="Z204" s="1884"/>
      <c r="AA204" s="1884"/>
      <c r="AB204" s="1884"/>
      <c r="AC204" s="1884"/>
      <c r="AD204" s="1884"/>
      <c r="AE204" s="1884"/>
      <c r="AF204" s="1884"/>
      <c r="AG204" s="1884"/>
      <c r="AH204" s="1884"/>
      <c r="AI204" s="1884"/>
      <c r="AJ204" s="1884"/>
      <c r="AK204" s="1884"/>
      <c r="AL204" s="1884"/>
      <c r="AM204" s="1884"/>
      <c r="AN204" s="1884"/>
      <c r="AO204" s="1884"/>
      <c r="AP204" s="1884"/>
      <c r="AQ204" s="1884"/>
      <c r="AR204" s="1884"/>
      <c r="AS204" s="1884"/>
      <c r="AT204" s="1884"/>
      <c r="AU204" s="1774"/>
      <c r="AV204" s="1884"/>
      <c r="AW204" s="1884"/>
      <c r="AX204" s="1884"/>
      <c r="AY204" s="1884"/>
      <c r="AZ204" s="1774"/>
      <c r="BA204" s="1884"/>
      <c r="BB204" s="1884"/>
      <c r="BC204" s="1884"/>
      <c r="BD204" s="1884"/>
      <c r="BE204" s="1774"/>
      <c r="BF204" s="1785"/>
      <c r="BG204" s="1785"/>
      <c r="BH204" s="1785"/>
      <c r="BI204" s="1785"/>
      <c r="BJ204" s="1774"/>
      <c r="BK204" s="1884"/>
      <c r="BL204" s="1884"/>
      <c r="BM204" s="1884"/>
      <c r="BN204" s="1785"/>
      <c r="BO204" s="1774"/>
      <c r="BP204" s="1884"/>
      <c r="BQ204" s="1884"/>
      <c r="BR204" s="1884"/>
      <c r="BS204" s="1785"/>
      <c r="BT204" s="1774"/>
      <c r="BU204" s="2818"/>
      <c r="BV204" s="2818"/>
      <c r="BW204" s="2818"/>
      <c r="BX204" s="2818"/>
      <c r="BY204" s="1774"/>
      <c r="BZ204" s="2818"/>
      <c r="CA204" s="2818"/>
      <c r="CB204" s="2818"/>
      <c r="CC204" s="2818"/>
      <c r="CD204" s="1774"/>
      <c r="CE204" s="1884"/>
      <c r="CF204" s="1884"/>
      <c r="CG204" s="1884"/>
      <c r="CH204" s="1884"/>
      <c r="CI204" s="1774"/>
      <c r="CJ204" s="1884"/>
      <c r="CK204" s="1884"/>
      <c r="CL204" s="1884"/>
      <c r="CM204" s="1884"/>
      <c r="CN204" s="1774"/>
      <c r="CO204" s="1884"/>
      <c r="CP204" s="1884"/>
      <c r="CQ204" s="1884"/>
      <c r="CR204" s="1884"/>
      <c r="CS204" s="1774"/>
      <c r="CT204" s="1884"/>
      <c r="CU204" s="1884"/>
      <c r="CV204" s="1884"/>
      <c r="CW204" s="1884"/>
      <c r="CX204" s="1774"/>
      <c r="CY204" s="1884"/>
      <c r="CZ204" s="1884"/>
      <c r="DA204" s="1774"/>
      <c r="DB204" s="1774"/>
      <c r="DC204" s="1774"/>
      <c r="DD204" s="1774"/>
      <c r="DE204" s="1774"/>
      <c r="DF204" s="1774"/>
      <c r="DG204" s="1773"/>
      <c r="DH204" s="1773"/>
      <c r="DI204" s="1774"/>
      <c r="DJ204" s="1773"/>
      <c r="DK204" s="1773"/>
      <c r="DL204" s="1773"/>
      <c r="DM204" s="1774"/>
      <c r="DN204" s="1774"/>
      <c r="DO204" s="1774"/>
      <c r="DP204" s="1774"/>
      <c r="DQ204" s="1774"/>
      <c r="DR204" s="1785"/>
    </row>
    <row r="205" spans="1:280" s="938" customFormat="1" ht="12" hidden="1" outlineLevel="2">
      <c r="A205" s="1872" t="s">
        <v>227</v>
      </c>
      <c r="B205" s="1758"/>
      <c r="C205" s="1758"/>
      <c r="D205" s="1758"/>
      <c r="E205" s="1758"/>
      <c r="F205" s="1758"/>
      <c r="G205" s="1758"/>
      <c r="H205" s="1758"/>
      <c r="I205" s="1758"/>
      <c r="J205" s="1758"/>
      <c r="K205" s="1758"/>
      <c r="L205" s="1758"/>
      <c r="M205" s="1758"/>
      <c r="N205" s="1758"/>
      <c r="O205" s="1758"/>
      <c r="P205" s="1758"/>
      <c r="Q205" s="1758"/>
      <c r="R205" s="1758"/>
      <c r="S205" s="1758"/>
      <c r="T205" s="1758"/>
      <c r="U205" s="1758"/>
      <c r="V205" s="1758"/>
      <c r="W205" s="1758"/>
      <c r="X205" s="1758"/>
      <c r="Y205" s="1758"/>
      <c r="Z205" s="1758"/>
      <c r="AA205" s="1758"/>
      <c r="AB205" s="1758"/>
      <c r="AC205" s="1758"/>
      <c r="AD205" s="1758"/>
      <c r="AE205" s="1758"/>
      <c r="AF205" s="1758"/>
      <c r="AG205" s="1758"/>
      <c r="AH205" s="1758"/>
      <c r="AI205" s="1758"/>
      <c r="AJ205" s="1758"/>
      <c r="AK205" s="1758"/>
      <c r="AL205" s="1758"/>
      <c r="AM205" s="1758"/>
      <c r="AN205" s="1758"/>
      <c r="AO205" s="1758"/>
      <c r="AP205" s="1758"/>
      <c r="AQ205" s="1758"/>
      <c r="AR205" s="1758"/>
      <c r="AS205" s="1758"/>
      <c r="AT205" s="1758"/>
      <c r="AU205" s="1782"/>
      <c r="AV205" s="1758"/>
      <c r="AW205" s="1758"/>
      <c r="AX205" s="1758"/>
      <c r="AY205" s="1758"/>
      <c r="AZ205" s="1782"/>
      <c r="BA205" s="1873">
        <f>IS!DO34</f>
        <v>6392</v>
      </c>
      <c r="BB205" s="1873">
        <f>IS!DP34</f>
        <v>7253</v>
      </c>
      <c r="BC205" s="1873">
        <f>IS!DQ34</f>
        <v>7081</v>
      </c>
      <c r="BD205" s="1873">
        <f>IS!DR34</f>
        <v>7511</v>
      </c>
      <c r="BE205" s="1782">
        <f>IS!DS34</f>
        <v>28237</v>
      </c>
      <c r="BF205" s="1873">
        <f>IS!DT34</f>
        <v>6532</v>
      </c>
      <c r="BG205" s="1873">
        <f>IS!DU34</f>
        <v>7993</v>
      </c>
      <c r="BH205" s="1873">
        <f>IS!DV34</f>
        <v>7357</v>
      </c>
      <c r="BI205" s="1873">
        <f>IS!DW34</f>
        <v>8221</v>
      </c>
      <c r="BJ205" s="1782">
        <f>IS!DX34</f>
        <v>30836</v>
      </c>
      <c r="BK205" s="1874">
        <f>IS!DY34</f>
        <v>7081</v>
      </c>
      <c r="BL205" s="1874">
        <f>IS!DZ34</f>
        <v>8266</v>
      </c>
      <c r="BM205" s="1874">
        <f>IS!EA34</f>
        <v>7488</v>
      </c>
      <c r="BN205" s="1873">
        <f>IS!EB34</f>
        <v>9178</v>
      </c>
      <c r="BO205" s="1782">
        <f>IS!EC34</f>
        <v>32013</v>
      </c>
      <c r="BP205" s="1874">
        <f>IS!ED34</f>
        <v>7944</v>
      </c>
      <c r="BQ205" s="1874">
        <f>IS!EE34</f>
        <v>8315</v>
      </c>
      <c r="BR205" s="1874">
        <f>IS!EF34</f>
        <v>7784</v>
      </c>
      <c r="BS205" s="1873">
        <f>IS!EG34</f>
        <v>8327</v>
      </c>
      <c r="BT205" s="1782">
        <f>IS!EH34</f>
        <v>32370</v>
      </c>
      <c r="BU205" s="2816">
        <f>IS!EI34</f>
        <v>7387</v>
      </c>
      <c r="BV205" s="2816">
        <f>IS!EJ34</f>
        <v>7892</v>
      </c>
      <c r="BW205" s="2816">
        <f>IS!EK34</f>
        <v>7518</v>
      </c>
      <c r="BX205" s="2816">
        <f>IS!EL34</f>
        <v>8389</v>
      </c>
      <c r="BY205" s="1782">
        <f>IS!EM34</f>
        <v>31186</v>
      </c>
      <c r="BZ205" s="2816">
        <f>IS!EN34</f>
        <v>7369</v>
      </c>
      <c r="CA205" s="2816">
        <f>IS!EO34</f>
        <v>8020</v>
      </c>
      <c r="CB205" s="2816">
        <f>IS!EP34</f>
        <v>8429</v>
      </c>
      <c r="CC205" s="2816">
        <f>IS!EQ34</f>
        <v>9161</v>
      </c>
      <c r="CD205" s="1782">
        <f>IS!ER34</f>
        <v>32979</v>
      </c>
      <c r="CE205" s="1874">
        <f>IS!ES34</f>
        <v>8552</v>
      </c>
      <c r="CF205" s="1874">
        <f>IS!ET34</f>
        <v>9175</v>
      </c>
      <c r="CG205" s="1874">
        <f>IS!EU34</f>
        <v>9258</v>
      </c>
      <c r="CH205" s="1874">
        <f>IS!EV34</f>
        <v>9853.4968758921823</v>
      </c>
      <c r="CI205" s="1782">
        <f>IS!EW34</f>
        <v>36838.496875892182</v>
      </c>
      <c r="CJ205" s="1874">
        <f>IS!EX34</f>
        <v>9347.3263290172654</v>
      </c>
      <c r="CK205" s="1874">
        <f>IS!EY34</f>
        <v>9979.6114181138619</v>
      </c>
      <c r="CL205" s="1874">
        <f>IS!EZ34</f>
        <v>10146.535671049129</v>
      </c>
      <c r="CM205" s="1874">
        <f>IS!FA34</f>
        <v>10804.541087112466</v>
      </c>
      <c r="CN205" s="1782">
        <f>IS!FB34</f>
        <v>40278.014505292726</v>
      </c>
      <c r="CO205" s="1874">
        <f>IS!FC34</f>
        <v>10315.57253775545</v>
      </c>
      <c r="CP205" s="1874">
        <f>IS!FD34</f>
        <v>10842.972281677738</v>
      </c>
      <c r="CQ205" s="1874">
        <f>IS!FE34</f>
        <v>11250.097195189301</v>
      </c>
      <c r="CR205" s="1874">
        <f>IS!FF34</f>
        <v>11974.053402692101</v>
      </c>
      <c r="CS205" s="1782">
        <f>IS!FG34</f>
        <v>44382.695417314586</v>
      </c>
      <c r="CT205" s="1874">
        <f>IS!FH34</f>
        <v>11355.713455939051</v>
      </c>
      <c r="CU205" s="1874">
        <f>IS!FI34</f>
        <v>11692.819272699981</v>
      </c>
      <c r="CV205" s="1874">
        <f>IS!FJ34</f>
        <v>12363.316398474823</v>
      </c>
      <c r="CW205" s="1874">
        <f>IS!FK34</f>
        <v>13132.027358469917</v>
      </c>
      <c r="CX205" s="1782">
        <f>IS!FL34</f>
        <v>48543.87648558378</v>
      </c>
      <c r="CY205" s="1758"/>
      <c r="CZ205" s="1758"/>
      <c r="DA205" s="1782"/>
      <c r="DB205" s="1782"/>
      <c r="DC205" s="1782"/>
      <c r="DD205" s="1782"/>
      <c r="DE205" s="1782"/>
      <c r="DF205" s="1782"/>
      <c r="DG205" s="1784"/>
      <c r="DH205" s="1784"/>
      <c r="DI205" s="1782">
        <f>SUM(BC205:BD205,BF205:BG205)</f>
        <v>29117</v>
      </c>
      <c r="DJ205" s="1784">
        <f>SUM(BH205:BI205,BK205:BL205)</f>
        <v>30925</v>
      </c>
      <c r="DK205" s="1784">
        <f>SUM(BM205:BN205,BP205:BQ205)</f>
        <v>32925</v>
      </c>
      <c r="DL205" s="1784">
        <f>SUM(BU205:BV205,BR205:BS205)</f>
        <v>31390</v>
      </c>
      <c r="DM205" s="1782">
        <f>SUM(BW205:BX205,BZ205:CA205)</f>
        <v>31296</v>
      </c>
      <c r="DN205" s="1782">
        <f>SUM(CB205:CC205,CE205:CF205)</f>
        <v>35317</v>
      </c>
      <c r="DO205" s="1782"/>
      <c r="DP205" s="1782"/>
      <c r="DQ205" s="1782"/>
      <c r="DR205" s="1783"/>
      <c r="DS205" s="936"/>
      <c r="DT205" s="936"/>
      <c r="DU205" s="936"/>
      <c r="DV205" s="936"/>
      <c r="DW205" s="936"/>
      <c r="DX205" s="936"/>
      <c r="DY205" s="936"/>
      <c r="DZ205" s="936"/>
      <c r="EA205" s="936"/>
      <c r="EB205" s="936"/>
      <c r="EC205" s="936"/>
      <c r="ED205" s="936"/>
      <c r="EE205" s="936"/>
      <c r="EF205" s="936"/>
      <c r="EG205" s="936"/>
      <c r="EH205" s="936"/>
      <c r="EI205" s="936"/>
      <c r="EJ205" s="936"/>
      <c r="EK205" s="936"/>
      <c r="EL205" s="936"/>
      <c r="EM205" s="936"/>
      <c r="EN205" s="936"/>
      <c r="EO205" s="936"/>
      <c r="EP205" s="936"/>
      <c r="EQ205" s="936"/>
      <c r="ER205" s="936"/>
    </row>
    <row r="206" spans="1:280" s="944" customFormat="1" ht="12" hidden="1" outlineLevel="1">
      <c r="A206" s="1824" t="s">
        <v>224</v>
      </c>
      <c r="B206" s="1825"/>
      <c r="C206" s="1825"/>
      <c r="D206" s="1825"/>
      <c r="E206" s="1825"/>
      <c r="F206" s="1825"/>
      <c r="G206" s="1825"/>
      <c r="H206" s="1825"/>
      <c r="I206" s="1825"/>
      <c r="J206" s="1825"/>
      <c r="K206" s="1825"/>
      <c r="L206" s="1825"/>
      <c r="M206" s="1825"/>
      <c r="N206" s="1825"/>
      <c r="O206" s="1825"/>
      <c r="P206" s="1825"/>
      <c r="Q206" s="1825"/>
      <c r="R206" s="1825"/>
      <c r="S206" s="1825"/>
      <c r="T206" s="1825"/>
      <c r="U206" s="1825"/>
      <c r="V206" s="1825"/>
      <c r="W206" s="1825"/>
      <c r="X206" s="1825"/>
      <c r="Y206" s="1825"/>
      <c r="Z206" s="1825"/>
      <c r="AA206" s="1825"/>
      <c r="AB206" s="1825"/>
      <c r="AC206" s="1825"/>
      <c r="AD206" s="1825"/>
      <c r="AE206" s="1825"/>
      <c r="AF206" s="1825"/>
      <c r="AG206" s="1825"/>
      <c r="AH206" s="1825"/>
      <c r="AI206" s="1825"/>
      <c r="AJ206" s="1825"/>
      <c r="AK206" s="1825"/>
      <c r="AL206" s="1825"/>
      <c r="AM206" s="1825"/>
      <c r="AN206" s="1825"/>
      <c r="AO206" s="1825"/>
      <c r="AP206" s="1825"/>
      <c r="AQ206" s="1825"/>
      <c r="AR206" s="1825"/>
      <c r="AS206" s="1825"/>
      <c r="AT206" s="1825"/>
      <c r="AU206" s="1762"/>
      <c r="AV206" s="1825"/>
      <c r="AW206" s="1825"/>
      <c r="AX206" s="1825"/>
      <c r="AY206" s="1825"/>
      <c r="AZ206" s="1762"/>
      <c r="BA206" s="1875">
        <f>IS!DO37</f>
        <v>7203</v>
      </c>
      <c r="BB206" s="1875">
        <f>IS!DP37</f>
        <v>7994</v>
      </c>
      <c r="BC206" s="1875">
        <f>IS!DQ37</f>
        <v>6374</v>
      </c>
      <c r="BD206" s="1875">
        <f>IS!DR37</f>
        <v>6385</v>
      </c>
      <c r="BE206" s="1762">
        <f>IS!DS37</f>
        <v>27956</v>
      </c>
      <c r="BF206" s="1875">
        <f>IS!DT37</f>
        <v>5308</v>
      </c>
      <c r="BG206" s="1875">
        <f>IS!DU37</f>
        <v>7771</v>
      </c>
      <c r="BH206" s="1875">
        <f>IS!DV37</f>
        <v>8345</v>
      </c>
      <c r="BI206" s="1875">
        <f>IS!DW37</f>
        <v>6073</v>
      </c>
      <c r="BJ206" s="1762">
        <f>IS!DX37</f>
        <v>26764</v>
      </c>
      <c r="BK206" s="1876">
        <f>IS!DY37</f>
        <v>6334</v>
      </c>
      <c r="BL206" s="1876">
        <f>IS!DZ37</f>
        <v>7969</v>
      </c>
      <c r="BM206" s="1876">
        <f>IS!EA37</f>
        <v>6974</v>
      </c>
      <c r="BN206" s="1875">
        <f>IS!EB37</f>
        <v>6609</v>
      </c>
      <c r="BO206" s="1762">
        <f>IS!EC37</f>
        <v>27886</v>
      </c>
      <c r="BP206" s="1876">
        <f>IS!ED37</f>
        <v>6984</v>
      </c>
      <c r="BQ206" s="1876">
        <f>IS!EE37</f>
        <v>7693</v>
      </c>
      <c r="BR206" s="1876">
        <f>IS!EF37</f>
        <v>6784</v>
      </c>
      <c r="BS206" s="1875">
        <f>IS!EG37</f>
        <v>6385</v>
      </c>
      <c r="BT206" s="1762">
        <f>IS!EH37</f>
        <v>27846</v>
      </c>
      <c r="BU206" s="2817">
        <f>IS!EI37</f>
        <v>6316</v>
      </c>
      <c r="BV206" s="2817">
        <f>IS!EJ37</f>
        <v>7489</v>
      </c>
      <c r="BW206" s="2817">
        <f>IS!EK37</f>
        <v>6277</v>
      </c>
      <c r="BX206" s="2817">
        <f>IS!EL37</f>
        <v>7106</v>
      </c>
      <c r="BY206" s="1762">
        <f>IS!EM37</f>
        <v>27188</v>
      </c>
      <c r="BZ206" s="2817">
        <f>IS!EN37</f>
        <v>6715</v>
      </c>
      <c r="CA206" s="2817">
        <f>IS!EO37</f>
        <v>7905</v>
      </c>
      <c r="CB206" s="2817">
        <f>IS!EP37</f>
        <v>6723</v>
      </c>
      <c r="CC206" s="2817">
        <f>IS!EQ37</f>
        <v>7988</v>
      </c>
      <c r="CD206" s="1762">
        <f>IS!ER37</f>
        <v>29331</v>
      </c>
      <c r="CE206" s="1876">
        <f>IS!ES37</f>
        <v>7708</v>
      </c>
      <c r="CF206" s="1876">
        <f>IS!ET37</f>
        <v>8679</v>
      </c>
      <c r="CG206" s="1876">
        <f>IS!EU37</f>
        <v>8292</v>
      </c>
      <c r="CH206" s="1876">
        <f>IS!EV37</f>
        <v>9636.8297939753829</v>
      </c>
      <c r="CI206" s="1762">
        <f>IS!EW37</f>
        <v>34315.829793975376</v>
      </c>
      <c r="CJ206" s="1876">
        <f>IS!EX37</f>
        <v>9040.2833046874694</v>
      </c>
      <c r="CK206" s="1876">
        <f>IS!EY37</f>
        <v>10131.783728551214</v>
      </c>
      <c r="CL206" s="1876">
        <f>IS!EZ37</f>
        <v>9721.464877947863</v>
      </c>
      <c r="CM206" s="1876">
        <f>IS!FA37</f>
        <v>11122.018072748026</v>
      </c>
      <c r="CN206" s="1762">
        <f>IS!FB37</f>
        <v>40015.549983934558</v>
      </c>
      <c r="CO206" s="1876">
        <f>IS!FC37</f>
        <v>10518.38254882912</v>
      </c>
      <c r="CP206" s="1876">
        <f>IS!FD37</f>
        <v>11811.670039986055</v>
      </c>
      <c r="CQ206" s="1876">
        <f>IS!FE37</f>
        <v>11595.265791589212</v>
      </c>
      <c r="CR206" s="1876">
        <f>IS!FF37</f>
        <v>13144.746101887078</v>
      </c>
      <c r="CS206" s="1762">
        <f>IS!FG37</f>
        <v>47070.064482291469</v>
      </c>
      <c r="CT206" s="1876">
        <f>IS!FH37</f>
        <v>12117.177669508412</v>
      </c>
      <c r="CU206" s="1876">
        <f>IS!FI37</f>
        <v>13511.915018253367</v>
      </c>
      <c r="CV206" s="1876">
        <f>IS!FJ37</f>
        <v>13447.634454767847</v>
      </c>
      <c r="CW206" s="1876">
        <f>IS!FK37</f>
        <v>15125.805494553882</v>
      </c>
      <c r="CX206" s="1762">
        <f>IS!FL37</f>
        <v>54202.532637083525</v>
      </c>
      <c r="CY206" s="1825"/>
      <c r="CZ206" s="1825"/>
      <c r="DA206" s="1762"/>
      <c r="DB206" s="1762"/>
      <c r="DC206" s="1762"/>
      <c r="DD206" s="1762"/>
      <c r="DE206" s="1762"/>
      <c r="DF206" s="1762"/>
      <c r="DG206" s="1766"/>
      <c r="DH206" s="1766"/>
      <c r="DI206" s="1762">
        <f>SUM(BC206:BD206,BF206:BG206)</f>
        <v>25838</v>
      </c>
      <c r="DJ206" s="1766">
        <f>SUM(BH206:BI206,BK206:BL206)</f>
        <v>28721</v>
      </c>
      <c r="DK206" s="1766">
        <f>SUM(BM206:BN206,BP206:BQ206)</f>
        <v>28260</v>
      </c>
      <c r="DL206" s="1766">
        <f>SUM(BU206:BV206,BR206:BS206)</f>
        <v>26974</v>
      </c>
      <c r="DM206" s="1762">
        <f>SUM(BW206:BX206,BZ206:CA206)</f>
        <v>28003</v>
      </c>
      <c r="DN206" s="1762">
        <f>SUM(CB206:CC206,CE206:CF206)</f>
        <v>31098</v>
      </c>
      <c r="DO206" s="1762"/>
      <c r="DP206" s="1762"/>
      <c r="DQ206" s="1762"/>
      <c r="DR206" s="1795"/>
      <c r="DS206" s="260"/>
      <c r="DT206" s="260"/>
      <c r="DU206" s="260"/>
      <c r="DV206" s="260"/>
      <c r="DW206" s="260"/>
      <c r="DX206" s="260"/>
      <c r="DY206" s="260"/>
      <c r="DZ206" s="260"/>
      <c r="EA206" s="260"/>
      <c r="EB206" s="260"/>
      <c r="EC206" s="260"/>
      <c r="ED206" s="260"/>
      <c r="EE206" s="260"/>
      <c r="EF206" s="260"/>
      <c r="EG206" s="260"/>
      <c r="EH206" s="260"/>
      <c r="EI206" s="260"/>
      <c r="EJ206" s="260"/>
      <c r="EK206" s="260"/>
      <c r="EL206" s="260"/>
      <c r="EM206" s="260"/>
      <c r="EN206" s="260"/>
      <c r="EO206" s="260"/>
      <c r="EP206" s="260"/>
      <c r="EQ206" s="260"/>
      <c r="ER206" s="260"/>
    </row>
    <row r="207" spans="1:280" s="945" customFormat="1" ht="12" hidden="1" outlineLevel="1">
      <c r="A207" s="1877" t="s">
        <v>225</v>
      </c>
      <c r="B207" s="1878"/>
      <c r="C207" s="1878"/>
      <c r="D207" s="1878"/>
      <c r="E207" s="1878"/>
      <c r="F207" s="1878"/>
      <c r="G207" s="1878"/>
      <c r="H207" s="1878"/>
      <c r="I207" s="1878"/>
      <c r="J207" s="1878"/>
      <c r="K207" s="1878"/>
      <c r="L207" s="1878"/>
      <c r="M207" s="1878"/>
      <c r="N207" s="1878"/>
      <c r="O207" s="1878"/>
      <c r="P207" s="1878"/>
      <c r="Q207" s="1878"/>
      <c r="R207" s="1878"/>
      <c r="S207" s="1878"/>
      <c r="T207" s="1878"/>
      <c r="U207" s="1878"/>
      <c r="V207" s="1878"/>
      <c r="W207" s="1878"/>
      <c r="X207" s="1878"/>
      <c r="Y207" s="1878"/>
      <c r="Z207" s="1878"/>
      <c r="AA207" s="1878"/>
      <c r="AB207" s="1878"/>
      <c r="AC207" s="1878"/>
      <c r="AD207" s="1878"/>
      <c r="AE207" s="1878"/>
      <c r="AF207" s="1878"/>
      <c r="AG207" s="1878"/>
      <c r="AH207" s="1878"/>
      <c r="AI207" s="1878"/>
      <c r="AJ207" s="1878"/>
      <c r="AK207" s="1878"/>
      <c r="AL207" s="1878"/>
      <c r="AM207" s="1878"/>
      <c r="AN207" s="1878"/>
      <c r="AO207" s="1878"/>
      <c r="AP207" s="1878"/>
      <c r="AQ207" s="1878"/>
      <c r="AR207" s="1878"/>
      <c r="AS207" s="1878"/>
      <c r="AT207" s="1878"/>
      <c r="AU207" s="1879"/>
      <c r="AV207" s="1878"/>
      <c r="AW207" s="1878"/>
      <c r="AX207" s="1878"/>
      <c r="AY207" s="1878"/>
      <c r="AZ207" s="1879"/>
      <c r="BA207" s="1880">
        <f t="shared" ref="BA207:CI207" si="284">BA206/BA142</f>
        <v>0.41463274234400183</v>
      </c>
      <c r="BB207" s="1880">
        <f t="shared" si="284"/>
        <v>0.38276274838400764</v>
      </c>
      <c r="BC207" s="1880">
        <f t="shared" si="284"/>
        <v>0.36617452748894125</v>
      </c>
      <c r="BD207" s="1880">
        <f t="shared" si="284"/>
        <v>0.35356332022814108</v>
      </c>
      <c r="BE207" s="1879">
        <f t="shared" si="284"/>
        <v>0.37920323372624554</v>
      </c>
      <c r="BF207" s="1880">
        <f t="shared" si="284"/>
        <v>0.33158420789605197</v>
      </c>
      <c r="BG207" s="1880">
        <f t="shared" si="284"/>
        <v>0.36218307233407904</v>
      </c>
      <c r="BH207" s="1880">
        <f t="shared" si="284"/>
        <v>0.40729171750695498</v>
      </c>
      <c r="BI207" s="1880">
        <f t="shared" si="284"/>
        <v>0.30523723361479693</v>
      </c>
      <c r="BJ207" s="1879">
        <f t="shared" si="284"/>
        <v>0.34379375457616668</v>
      </c>
      <c r="BK207" s="1880">
        <f t="shared" si="284"/>
        <v>0.34184251713530139</v>
      </c>
      <c r="BL207" s="1880">
        <f t="shared" si="284"/>
        <v>0.32501325502671397</v>
      </c>
      <c r="BM207" s="1880">
        <f t="shared" si="284"/>
        <v>0.34181247855707492</v>
      </c>
      <c r="BN207" s="1880">
        <f t="shared" si="284"/>
        <v>0.28265332306902746</v>
      </c>
      <c r="BO207" s="1879">
        <f t="shared" si="284"/>
        <v>0.32114518673776099</v>
      </c>
      <c r="BP207" s="1880">
        <f t="shared" si="284"/>
        <v>0.30102150769363389</v>
      </c>
      <c r="BQ207" s="1880">
        <f t="shared" si="284"/>
        <v>0.29063090290895355</v>
      </c>
      <c r="BR207" s="1880">
        <f t="shared" si="284"/>
        <v>0.31220948962216394</v>
      </c>
      <c r="BS207" s="1880">
        <f t="shared" si="284"/>
        <v>0.28787195671776378</v>
      </c>
      <c r="BT207" s="1879">
        <f t="shared" si="284"/>
        <v>0.2975635819619577</v>
      </c>
      <c r="BU207" s="1880" t="e">
        <f t="shared" si="284"/>
        <v>#REF!</v>
      </c>
      <c r="BV207" s="1880" t="e">
        <f t="shared" si="284"/>
        <v>#REF!</v>
      </c>
      <c r="BW207" s="1880" t="e">
        <f t="shared" si="284"/>
        <v>#REF!</v>
      </c>
      <c r="BX207" s="1880" t="e">
        <f t="shared" si="284"/>
        <v>#REF!</v>
      </c>
      <c r="BY207" s="1879" t="e">
        <f t="shared" si="284"/>
        <v>#REF!</v>
      </c>
      <c r="BZ207" s="1880" t="e">
        <f t="shared" si="284"/>
        <v>#REF!</v>
      </c>
      <c r="CA207" s="1880" t="e">
        <f t="shared" si="284"/>
        <v>#REF!</v>
      </c>
      <c r="CB207" s="1880" t="e">
        <f t="shared" si="284"/>
        <v>#REF!</v>
      </c>
      <c r="CC207" s="1880" t="e">
        <f t="shared" si="284"/>
        <v>#REF!</v>
      </c>
      <c r="CD207" s="1879" t="e">
        <f t="shared" si="284"/>
        <v>#REF!</v>
      </c>
      <c r="CE207" s="1880" t="e">
        <f t="shared" si="284"/>
        <v>#DIV/0!</v>
      </c>
      <c r="CF207" s="1880" t="e">
        <f t="shared" si="284"/>
        <v>#DIV/0!</v>
      </c>
      <c r="CG207" s="1880" t="e">
        <f t="shared" si="284"/>
        <v>#DIV/0!</v>
      </c>
      <c r="CH207" s="1880" t="e">
        <f t="shared" si="284"/>
        <v>#DIV/0!</v>
      </c>
      <c r="CI207" s="1879" t="e">
        <f t="shared" si="284"/>
        <v>#DIV/0!</v>
      </c>
      <c r="CJ207" s="1880" t="e">
        <f t="shared" ref="CJ207:CS207" si="285">CJ206/CJ142</f>
        <v>#DIV/0!</v>
      </c>
      <c r="CK207" s="1880" t="e">
        <f t="shared" si="285"/>
        <v>#DIV/0!</v>
      </c>
      <c r="CL207" s="1880" t="e">
        <f t="shared" si="285"/>
        <v>#DIV/0!</v>
      </c>
      <c r="CM207" s="1880" t="e">
        <f t="shared" si="285"/>
        <v>#DIV/0!</v>
      </c>
      <c r="CN207" s="1879" t="e">
        <f t="shared" si="285"/>
        <v>#DIV/0!</v>
      </c>
      <c r="CO207" s="1880" t="e">
        <f t="shared" si="285"/>
        <v>#DIV/0!</v>
      </c>
      <c r="CP207" s="1880" t="e">
        <f t="shared" si="285"/>
        <v>#DIV/0!</v>
      </c>
      <c r="CQ207" s="1880" t="e">
        <f t="shared" si="285"/>
        <v>#DIV/0!</v>
      </c>
      <c r="CR207" s="1880" t="e">
        <f t="shared" si="285"/>
        <v>#DIV/0!</v>
      </c>
      <c r="CS207" s="1879" t="e">
        <f t="shared" si="285"/>
        <v>#DIV/0!</v>
      </c>
      <c r="CT207" s="1880" t="e">
        <f t="shared" ref="CT207:CX207" si="286">CT206/CT142</f>
        <v>#DIV/0!</v>
      </c>
      <c r="CU207" s="1880" t="e">
        <f t="shared" si="286"/>
        <v>#DIV/0!</v>
      </c>
      <c r="CV207" s="1880" t="e">
        <f t="shared" si="286"/>
        <v>#DIV/0!</v>
      </c>
      <c r="CW207" s="1880">
        <f t="shared" si="286"/>
        <v>0.16191647689815467</v>
      </c>
      <c r="CX207" s="1879">
        <f t="shared" si="286"/>
        <v>0.58021922381017998</v>
      </c>
      <c r="CY207" s="1878"/>
      <c r="CZ207" s="1878"/>
      <c r="DA207" s="1879"/>
      <c r="DB207" s="1879"/>
      <c r="DC207" s="1879"/>
      <c r="DD207" s="1879"/>
      <c r="DE207" s="1879"/>
      <c r="DF207" s="1879"/>
      <c r="DG207" s="1883"/>
      <c r="DH207" s="1883"/>
      <c r="DI207" s="1879">
        <f t="shared" ref="DI207:DN207" si="287">DI206/DI142</f>
        <v>0.35428493075551898</v>
      </c>
      <c r="DJ207" s="1883">
        <f t="shared" si="287"/>
        <v>0.3442402886148167</v>
      </c>
      <c r="DK207" s="1883">
        <f t="shared" si="287"/>
        <v>0.30238828967642528</v>
      </c>
      <c r="DL207" s="1883" t="e">
        <f t="shared" si="287"/>
        <v>#REF!</v>
      </c>
      <c r="DM207" s="1879" t="e">
        <f t="shared" si="287"/>
        <v>#REF!</v>
      </c>
      <c r="DN207" s="1879" t="e">
        <f t="shared" si="287"/>
        <v>#REF!</v>
      </c>
      <c r="DO207" s="1879"/>
      <c r="DP207" s="1879"/>
      <c r="DQ207" s="1879"/>
      <c r="DR207" s="3059"/>
      <c r="DS207" s="432"/>
      <c r="DT207" s="432"/>
      <c r="DU207" s="432"/>
      <c r="DV207" s="432"/>
      <c r="DW207" s="432"/>
      <c r="DX207" s="432"/>
      <c r="DY207" s="432"/>
      <c r="DZ207" s="432"/>
      <c r="EA207" s="432"/>
      <c r="EB207" s="432"/>
      <c r="EC207" s="432"/>
      <c r="ED207" s="432"/>
      <c r="EE207" s="432"/>
      <c r="EF207" s="432"/>
      <c r="EG207" s="432"/>
      <c r="EH207" s="432"/>
      <c r="EI207" s="432"/>
      <c r="EJ207" s="432"/>
      <c r="EK207" s="432"/>
      <c r="EL207" s="432"/>
      <c r="EM207" s="432"/>
      <c r="EN207" s="432"/>
      <c r="EO207" s="432"/>
      <c r="EP207" s="432"/>
      <c r="EQ207" s="432"/>
      <c r="ER207" s="432"/>
    </row>
    <row r="208" spans="1:280" hidden="1" outlineLevel="1">
      <c r="A208" s="1760"/>
      <c r="B208" s="1884"/>
      <c r="C208" s="1884"/>
      <c r="D208" s="1884"/>
      <c r="E208" s="1884"/>
      <c r="F208" s="1884"/>
      <c r="G208" s="1884"/>
      <c r="H208" s="1884"/>
      <c r="I208" s="1884"/>
      <c r="J208" s="1884"/>
      <c r="K208" s="1884"/>
      <c r="L208" s="1884"/>
      <c r="M208" s="1884"/>
      <c r="N208" s="1884"/>
      <c r="O208" s="1884"/>
      <c r="P208" s="1884"/>
      <c r="Q208" s="1884"/>
      <c r="R208" s="1884"/>
      <c r="S208" s="1884"/>
      <c r="T208" s="1884"/>
      <c r="U208" s="1884"/>
      <c r="V208" s="1884"/>
      <c r="W208" s="1884"/>
      <c r="X208" s="1884"/>
      <c r="Y208" s="1884"/>
      <c r="Z208" s="1884"/>
      <c r="AA208" s="1884"/>
      <c r="AB208" s="1884"/>
      <c r="AC208" s="1884"/>
      <c r="AD208" s="1884"/>
      <c r="AE208" s="1884"/>
      <c r="AF208" s="1884"/>
      <c r="AG208" s="1884"/>
      <c r="AH208" s="1884"/>
      <c r="AI208" s="1884"/>
      <c r="AJ208" s="1884"/>
      <c r="AK208" s="1884"/>
      <c r="AL208" s="1884"/>
      <c r="AM208" s="1884"/>
      <c r="AN208" s="1884"/>
      <c r="AO208" s="1884"/>
      <c r="AP208" s="1884"/>
      <c r="AQ208" s="1884"/>
      <c r="AR208" s="1884"/>
      <c r="AS208" s="1884"/>
      <c r="AT208" s="1884"/>
      <c r="AU208" s="1774"/>
      <c r="AV208" s="1884"/>
      <c r="AW208" s="1884"/>
      <c r="AX208" s="1884"/>
      <c r="AY208" s="1884"/>
      <c r="AZ208" s="1774"/>
      <c r="BA208" s="1884"/>
      <c r="BB208" s="1884"/>
      <c r="BC208" s="1884"/>
      <c r="BD208" s="1884"/>
      <c r="BE208" s="1774"/>
      <c r="BF208" s="1785"/>
      <c r="BG208" s="1785"/>
      <c r="BH208" s="1785"/>
      <c r="BI208" s="1785"/>
      <c r="BJ208" s="1774"/>
      <c r="BK208" s="1884"/>
      <c r="BL208" s="1884"/>
      <c r="BM208" s="1884"/>
      <c r="BN208" s="1785"/>
      <c r="BO208" s="1774"/>
      <c r="BP208" s="1884"/>
      <c r="BQ208" s="1884"/>
      <c r="BR208" s="1884"/>
      <c r="BS208" s="1785"/>
      <c r="BT208" s="1774"/>
      <c r="BU208" s="2818"/>
      <c r="BV208" s="2818"/>
      <c r="BW208" s="2818"/>
      <c r="BX208" s="2818"/>
      <c r="BY208" s="1774"/>
      <c r="BZ208" s="2818"/>
      <c r="CA208" s="2818"/>
      <c r="CB208" s="2818"/>
      <c r="CC208" s="2818"/>
      <c r="CD208" s="1774"/>
      <c r="CE208" s="1884"/>
      <c r="CF208" s="1884"/>
      <c r="CG208" s="1884"/>
      <c r="CH208" s="1884"/>
      <c r="CI208" s="1774"/>
      <c r="CJ208" s="1884"/>
      <c r="CK208" s="1884"/>
      <c r="CL208" s="1884"/>
      <c r="CM208" s="1884"/>
      <c r="CN208" s="1774"/>
      <c r="CO208" s="1884"/>
      <c r="CP208" s="1884"/>
      <c r="CQ208" s="1884"/>
      <c r="CR208" s="1884"/>
      <c r="CS208" s="1774"/>
      <c r="CT208" s="1884"/>
      <c r="CU208" s="1884"/>
      <c r="CV208" s="1884"/>
      <c r="CW208" s="1884"/>
      <c r="CX208" s="1774"/>
      <c r="CY208" s="1884"/>
      <c r="CZ208" s="1884"/>
      <c r="DA208" s="1785"/>
      <c r="DB208" s="1785"/>
      <c r="DC208" s="1785"/>
      <c r="DD208" s="1785"/>
      <c r="DE208" s="1785"/>
      <c r="DF208" s="1785"/>
      <c r="DG208" s="1785"/>
      <c r="DH208" s="1773"/>
      <c r="DI208" s="1774"/>
      <c r="DJ208" s="1773"/>
      <c r="DK208" s="1773"/>
      <c r="DL208" s="1773"/>
      <c r="DM208" s="1774"/>
      <c r="DN208" s="1774"/>
      <c r="DO208" s="1774"/>
      <c r="DP208" s="1774"/>
      <c r="DQ208" s="1774"/>
      <c r="DR208" s="1785"/>
    </row>
    <row r="209" spans="1:122" hidden="1" outlineLevel="2">
      <c r="A209" s="1824" t="s">
        <v>490</v>
      </c>
      <c r="B209" s="1884"/>
      <c r="C209" s="1884"/>
      <c r="D209" s="1884"/>
      <c r="E209" s="1884"/>
      <c r="F209" s="1884"/>
      <c r="G209" s="1884"/>
      <c r="H209" s="1884"/>
      <c r="I209" s="1884"/>
      <c r="J209" s="1884"/>
      <c r="K209" s="1884"/>
      <c r="L209" s="1884"/>
      <c r="M209" s="1884"/>
      <c r="N209" s="1884"/>
      <c r="O209" s="1884"/>
      <c r="P209" s="1884"/>
      <c r="Q209" s="1884"/>
      <c r="R209" s="1884"/>
      <c r="S209" s="1884"/>
      <c r="T209" s="1884"/>
      <c r="U209" s="1884"/>
      <c r="V209" s="1884"/>
      <c r="W209" s="1884"/>
      <c r="X209" s="1884"/>
      <c r="Y209" s="1884"/>
      <c r="Z209" s="1884"/>
      <c r="AA209" s="1884"/>
      <c r="AB209" s="1884"/>
      <c r="AC209" s="1884"/>
      <c r="AD209" s="1884"/>
      <c r="AE209" s="1884"/>
      <c r="AF209" s="1884"/>
      <c r="AG209" s="1884"/>
      <c r="AH209" s="1884"/>
      <c r="AI209" s="1884"/>
      <c r="AJ209" s="1884"/>
      <c r="AK209" s="1884"/>
      <c r="AL209" s="1884"/>
      <c r="AM209" s="1884"/>
      <c r="AN209" s="1884"/>
      <c r="AO209" s="1884"/>
      <c r="AP209" s="1884"/>
      <c r="AQ209" s="1884"/>
      <c r="AR209" s="1884"/>
      <c r="AS209" s="1884"/>
      <c r="AT209" s="1884"/>
      <c r="AU209" s="1774"/>
      <c r="AV209" s="1884"/>
      <c r="AW209" s="1884"/>
      <c r="AX209" s="1884"/>
      <c r="AY209" s="1884"/>
      <c r="AZ209" s="1774"/>
      <c r="BA209" s="1884"/>
      <c r="BB209" s="1884"/>
      <c r="BC209" s="1884"/>
      <c r="BD209" s="1884"/>
      <c r="BE209" s="1774"/>
      <c r="BF209" s="1785"/>
      <c r="BG209" s="1785"/>
      <c r="BH209" s="1785"/>
      <c r="BI209" s="1785"/>
      <c r="BJ209" s="1774"/>
      <c r="BK209" s="1884"/>
      <c r="BL209" s="1884"/>
      <c r="BM209" s="1884"/>
      <c r="BN209" s="1785"/>
      <c r="BO209" s="1774"/>
      <c r="BP209" s="1884"/>
      <c r="BQ209" s="1884"/>
      <c r="BR209" s="1884"/>
      <c r="BS209" s="1785"/>
      <c r="BT209" s="1774"/>
      <c r="BU209" s="2818"/>
      <c r="BV209" s="2818"/>
      <c r="BW209" s="2818"/>
      <c r="BX209" s="2818"/>
      <c r="BY209" s="1774"/>
      <c r="BZ209" s="2818"/>
      <c r="CA209" s="2818"/>
      <c r="CB209" s="2818"/>
      <c r="CC209" s="2818"/>
      <c r="CD209" s="1774"/>
      <c r="CE209" s="1884"/>
      <c r="CF209" s="1884"/>
      <c r="CG209" s="1884"/>
      <c r="CH209" s="1884"/>
      <c r="CI209" s="1774"/>
      <c r="CJ209" s="1884"/>
      <c r="CK209" s="1884"/>
      <c r="CL209" s="1884"/>
      <c r="CM209" s="1884"/>
      <c r="CN209" s="1774"/>
      <c r="CO209" s="1884"/>
      <c r="CP209" s="1884"/>
      <c r="CQ209" s="1884"/>
      <c r="CR209" s="1884"/>
      <c r="CS209" s="1774"/>
      <c r="CT209" s="1884"/>
      <c r="CU209" s="1884"/>
      <c r="CV209" s="1884"/>
      <c r="CW209" s="1884"/>
      <c r="CX209" s="1774"/>
      <c r="CY209" s="1884"/>
      <c r="CZ209" s="1884"/>
      <c r="DA209" s="1785"/>
      <c r="DB209" s="1785"/>
      <c r="DC209" s="1785"/>
      <c r="DD209" s="1785"/>
      <c r="DE209" s="1785"/>
      <c r="DF209" s="1785"/>
      <c r="DG209" s="1785"/>
      <c r="DH209" s="1773"/>
      <c r="DI209" s="1774"/>
      <c r="DJ209" s="1773"/>
      <c r="DK209" s="1773"/>
      <c r="DL209" s="1773"/>
      <c r="DM209" s="1774"/>
      <c r="DN209" s="1774"/>
      <c r="DO209" s="1774"/>
      <c r="DP209" s="1774"/>
      <c r="DQ209" s="1774"/>
      <c r="DR209" s="1785"/>
    </row>
    <row r="210" spans="1:122" hidden="1" outlineLevel="2">
      <c r="A210" s="1885" t="s">
        <v>89</v>
      </c>
      <c r="B210" s="1886">
        <v>8165</v>
      </c>
      <c r="C210" s="1803">
        <v>2095</v>
      </c>
      <c r="D210" s="1803">
        <v>2548</v>
      </c>
      <c r="E210" s="1803">
        <v>2290</v>
      </c>
      <c r="F210" s="1803">
        <v>2427</v>
      </c>
      <c r="G210" s="1762">
        <f>SUM(C210:F210)</f>
        <v>9360</v>
      </c>
      <c r="H210" s="1803">
        <v>2807</v>
      </c>
      <c r="I210" s="1803">
        <v>2534</v>
      </c>
      <c r="J210" s="1803">
        <v>2527</v>
      </c>
      <c r="K210" s="1803">
        <v>2526</v>
      </c>
      <c r="L210" s="1762">
        <f>SUM(H210:K210)</f>
        <v>10394</v>
      </c>
      <c r="M210" s="1803">
        <v>2809</v>
      </c>
      <c r="N210" s="1803">
        <v>3059</v>
      </c>
      <c r="O210" s="1803">
        <v>2923</v>
      </c>
      <c r="P210" s="1887">
        <v>2755</v>
      </c>
      <c r="Q210" s="1888">
        <f>SUM(M210:P210)</f>
        <v>11546</v>
      </c>
      <c r="R210" s="1889">
        <v>2980</v>
      </c>
      <c r="S210" s="1889">
        <v>3193</v>
      </c>
      <c r="T210" s="1890">
        <v>2964</v>
      </c>
      <c r="U210" s="1890">
        <v>3014</v>
      </c>
      <c r="V210" s="1762">
        <f>SUM(R210:U210)</f>
        <v>12151</v>
      </c>
      <c r="W210" s="1889">
        <v>3161</v>
      </c>
      <c r="X210" s="1889">
        <v>3430</v>
      </c>
      <c r="Y210" s="1889">
        <v>3152</v>
      </c>
      <c r="Z210" s="1890">
        <v>3347</v>
      </c>
      <c r="AA210" s="1762">
        <f>SUM(W210:Z210)</f>
        <v>13090</v>
      </c>
      <c r="AB210" s="1889">
        <v>3303</v>
      </c>
      <c r="AC210" s="1889">
        <v>2589</v>
      </c>
      <c r="AD210" s="1889">
        <v>5272</v>
      </c>
      <c r="AE210" s="1890">
        <v>3808</v>
      </c>
      <c r="AF210" s="1762">
        <f>SUM(AB210:AE210)</f>
        <v>14972</v>
      </c>
      <c r="AG210" s="1890">
        <v>4138</v>
      </c>
      <c r="AH210" s="1889">
        <v>4334</v>
      </c>
      <c r="AI210" s="1889">
        <v>4025</v>
      </c>
      <c r="AJ210" s="1890">
        <v>4367</v>
      </c>
      <c r="AK210" s="1762">
        <f>SUM(AG210:AJ210)</f>
        <v>16864</v>
      </c>
      <c r="AL210" s="1890">
        <v>4283</v>
      </c>
      <c r="AM210" s="1889">
        <v>4074</v>
      </c>
      <c r="AN210" s="1889">
        <v>3448</v>
      </c>
      <c r="AO210" s="1890">
        <v>3169</v>
      </c>
      <c r="AP210" s="1762">
        <f>SUM(AL210:AO210)</f>
        <v>14974</v>
      </c>
      <c r="AQ210" s="1890">
        <v>2880</v>
      </c>
      <c r="AR210" s="1890">
        <v>7193</v>
      </c>
      <c r="AS210" s="1890">
        <v>4661</v>
      </c>
      <c r="AT210" s="1890">
        <v>4775</v>
      </c>
      <c r="AU210" s="1762">
        <f>SUM(AQ210:AT210)</f>
        <v>19509</v>
      </c>
      <c r="AV210" s="1890">
        <v>4787</v>
      </c>
      <c r="AW210" s="1890">
        <v>5056</v>
      </c>
      <c r="AX210" s="1890">
        <v>4447</v>
      </c>
      <c r="AY210" s="1890">
        <v>4743</v>
      </c>
      <c r="AZ210" s="1762">
        <f>SUM(AV210:AY210)</f>
        <v>19033</v>
      </c>
      <c r="BA210" s="1890">
        <v>4874</v>
      </c>
      <c r="BB210" s="1890">
        <v>4741</v>
      </c>
      <c r="BC210" s="1890">
        <v>4633</v>
      </c>
      <c r="BD210" s="1890">
        <v>4152</v>
      </c>
      <c r="BE210" s="1762">
        <f>SUM(BA210:BD210)</f>
        <v>18400</v>
      </c>
      <c r="BF210" s="1890">
        <v>3244</v>
      </c>
      <c r="BG210" s="1890">
        <v>5881</v>
      </c>
      <c r="BH210" s="1890">
        <v>5703</v>
      </c>
      <c r="BI210" s="1890">
        <v>4411</v>
      </c>
      <c r="BJ210" s="1762">
        <f>SUM(BF210:BI210)</f>
        <v>19239</v>
      </c>
      <c r="BK210" s="1890">
        <v>4581</v>
      </c>
      <c r="BL210" s="1891">
        <f>'Client Unit Model'!AO187+'Client Unit Model'!AO248</f>
        <v>5935.1158683515723</v>
      </c>
      <c r="BM210" s="1891">
        <f>'Client Unit Model'!AP187+'Client Unit Model'!AP248</f>
        <v>5353.4145115957735</v>
      </c>
      <c r="BN210" s="1890">
        <f>'Client Unit Model'!AQ187+'Client Unit Model'!AQ248</f>
        <v>4736.1111554212439</v>
      </c>
      <c r="BO210" s="1762">
        <f>SUM(BK210:BN210)</f>
        <v>20605.641535368588</v>
      </c>
      <c r="BP210" s="1891">
        <f>'Client Unit Model'!AR187+'Client Unit Model'!AR248</f>
        <v>5006.5191688984742</v>
      </c>
      <c r="BQ210" s="1891">
        <f>'Client Unit Model'!AS187+'Client Unit Model'!AS248</f>
        <v>5389.8929465423371</v>
      </c>
      <c r="BR210" s="1891">
        <f>'Client Unit Model'!AT187+'Client Unit Model'!AT248</f>
        <v>4505.5985141554238</v>
      </c>
      <c r="BS210" s="1890">
        <f>'Client Unit Model'!AU187+'Client Unit Model'!AU248</f>
        <v>4123.651002757575</v>
      </c>
      <c r="BT210" s="1892">
        <f>SUM(BP210:BS210)</f>
        <v>19025.661632353811</v>
      </c>
      <c r="BU210" s="1891">
        <f>'Client Unit Model'!AV184+'Client Unit Model'!AV245</f>
        <v>672</v>
      </c>
      <c r="BV210" s="1891">
        <f>'Client Unit Model'!AW184+'Client Unit Model'!AW245</f>
        <v>543.25</v>
      </c>
      <c r="BW210" s="1891">
        <f>'Client Unit Model'!AX184+'Client Unit Model'!AX245</f>
        <v>543.25</v>
      </c>
      <c r="BX210" s="1891">
        <f>'Client Unit Model'!AY184+'Client Unit Model'!AY245</f>
        <v>543.25</v>
      </c>
      <c r="BY210" s="1892">
        <f>SUM(BU210:BX210)</f>
        <v>2301.75</v>
      </c>
      <c r="BZ210" s="1891">
        <f>'Client Unit Model'!BA184+'Client Unit Model'!BA245</f>
        <v>544.29166666666663</v>
      </c>
      <c r="CA210" s="1891">
        <f>'Client Unit Model'!BB184+'Client Unit Model'!BB245</f>
        <v>544.29166666666663</v>
      </c>
      <c r="CB210" s="1891">
        <f>'Client Unit Model'!BC184+'Client Unit Model'!BC245</f>
        <v>544.29166666666674</v>
      </c>
      <c r="CC210" s="1891">
        <f>'Client Unit Model'!BD184+'Client Unit Model'!BD245</f>
        <v>544.29166666666663</v>
      </c>
      <c r="CD210" s="1892">
        <f>SUM(BZ210:CC210)</f>
        <v>2177.1666666666665</v>
      </c>
      <c r="CE210" s="1891">
        <f>'Client Unit Model'!BG187+'Client Unit Model'!BG248</f>
        <v>4679.5389795146275</v>
      </c>
      <c r="CF210" s="1891">
        <f>'Client Unit Model'!BH187+'Client Unit Model'!BH248</f>
        <v>4091.1382671596207</v>
      </c>
      <c r="CG210" s="1891">
        <f>'Client Unit Model'!BI187+'Client Unit Model'!BI248</f>
        <v>3941.2971850461081</v>
      </c>
      <c r="CH210" s="1891" t="e">
        <f>'Client Unit Model'!#REF!+'Client Unit Model'!#REF!</f>
        <v>#REF!</v>
      </c>
      <c r="CI210" s="1892" t="e">
        <f>SUM(CE210:CH210)</f>
        <v>#REF!</v>
      </c>
      <c r="CJ210" s="1891">
        <f>'Client Unit Model'!BM187+'Client Unit Model'!BM248</f>
        <v>4088.6960125803544</v>
      </c>
      <c r="CK210" s="1891">
        <f>'Client Unit Model'!BN187+'Client Unit Model'!BN248</f>
        <v>3862.0104911890417</v>
      </c>
      <c r="CL210" s="1891">
        <f>'Client Unit Model'!BY187+'Client Unit Model'!BY248</f>
        <v>0</v>
      </c>
      <c r="CM210" s="1891" t="e">
        <f>'Client Unit Model'!#REF!+'Client Unit Model'!#REF!</f>
        <v>#REF!</v>
      </c>
      <c r="CN210" s="1892" t="e">
        <f>SUM(CJ210:CM210)</f>
        <v>#REF!</v>
      </c>
      <c r="CO210" s="1891">
        <f>'Client Unit Model'!BR187+'Client Unit Model'!BR248</f>
        <v>4122.2814964322679</v>
      </c>
      <c r="CP210" s="1891">
        <f>'Client Unit Model'!BS187+'Client Unit Model'!BS248</f>
        <v>3887.8962586106932</v>
      </c>
      <c r="CQ210" s="1891">
        <f>'Client Unit Model'!CD187+'Client Unit Model'!CD248</f>
        <v>19466.84387592088</v>
      </c>
      <c r="CR210" s="1891" t="e">
        <f>'Client Unit Model'!#REF!+'Client Unit Model'!#REF!</f>
        <v>#REF!</v>
      </c>
      <c r="CS210" s="1892" t="e">
        <f>SUM(CO210:CR210)</f>
        <v>#REF!</v>
      </c>
      <c r="CT210" s="1891">
        <f>'Client Unit Model'!BW187+'Client Unit Model'!BW248</f>
        <v>4130.2319689916349</v>
      </c>
      <c r="CU210" s="1891">
        <f>'Client Unit Model'!BX187+'Client Unit Model'!BX248</f>
        <v>3882.3733021997286</v>
      </c>
      <c r="CV210" s="1891">
        <f>'Client Unit Model'!CI187+'Client Unit Model'!CI248</f>
        <v>19025.661632353815</v>
      </c>
      <c r="CW210" s="1891" t="e">
        <f>'Client Unit Model'!#REF!+'Client Unit Model'!#REF!</f>
        <v>#REF!</v>
      </c>
      <c r="CX210" s="1892" t="e">
        <f>SUM(CT210:CW210)</f>
        <v>#REF!</v>
      </c>
      <c r="CY210" s="1893"/>
      <c r="CZ210" s="1893"/>
      <c r="DA210" s="1893">
        <f>IS!FS11</f>
        <v>11851</v>
      </c>
      <c r="DB210" s="1893">
        <f>IS!FT11</f>
        <v>24720</v>
      </c>
      <c r="DC210" s="1893">
        <f>IS!FU11</f>
        <v>25481</v>
      </c>
      <c r="DD210" s="1893">
        <f>IS!FV11</f>
        <v>32524</v>
      </c>
      <c r="DE210" s="1893">
        <f>IS!FW11</f>
        <v>16749</v>
      </c>
      <c r="DF210" s="1893">
        <f>IS!FX11</f>
        <v>16690</v>
      </c>
      <c r="DG210" s="1893">
        <f>IS!FY11</f>
        <v>19279</v>
      </c>
      <c r="DH210" s="1766">
        <f>IS!FZ11</f>
        <v>18805</v>
      </c>
      <c r="DI210" s="1762">
        <f>'Client Unit Model'!CY187+'Client Unit Model'!AJ248+'Client Unit Model'!AK248+'Client Unit Model'!AI248</f>
        <v>18269.844239753475</v>
      </c>
      <c r="DJ210" s="1766">
        <f>SUM(BK210:BL210,BH210:BI210)</f>
        <v>20630.115868351571</v>
      </c>
      <c r="DK210" s="1894">
        <f>SUM(BP210:BQ210,BM210:BN210)</f>
        <v>20485.93778245783</v>
      </c>
      <c r="DL210" s="1894">
        <f>SUM(BU210:BV210,BR210:BS210)</f>
        <v>9844.4995169129979</v>
      </c>
      <c r="DM210" s="1892">
        <f>SUM(BW210:BX210,BZ210:CA210)</f>
        <v>2175.083333333333</v>
      </c>
      <c r="DN210" s="1892">
        <f>SUM(CB210:CC210,CE210:CF210)</f>
        <v>9859.2605800075817</v>
      </c>
      <c r="DO210" s="1892"/>
      <c r="DP210" s="1892"/>
      <c r="DQ210" s="1892"/>
      <c r="DR210" s="1993"/>
    </row>
    <row r="211" spans="1:122" hidden="1" outlineLevel="2">
      <c r="A211" s="1760" t="s">
        <v>162</v>
      </c>
      <c r="B211" s="1895">
        <f t="shared" ref="B211:AG211" si="288">B210/B297</f>
        <v>0.32564910461452556</v>
      </c>
      <c r="C211" s="1785">
        <f t="shared" si="288"/>
        <v>0.34198498204374794</v>
      </c>
      <c r="D211" s="1785">
        <f t="shared" si="288"/>
        <v>0.32915643973646813</v>
      </c>
      <c r="E211" s="1785">
        <f t="shared" si="288"/>
        <v>0.31608005521048999</v>
      </c>
      <c r="F211" s="1785">
        <f t="shared" si="288"/>
        <v>0.3346201571763408</v>
      </c>
      <c r="G211" s="1774">
        <f t="shared" si="288"/>
        <v>0.32998413537810684</v>
      </c>
      <c r="H211" s="1785">
        <f t="shared" si="288"/>
        <v>0.36238058352698166</v>
      </c>
      <c r="I211" s="1785">
        <f t="shared" si="288"/>
        <v>0.29668657065917342</v>
      </c>
      <c r="J211" s="1785">
        <f t="shared" si="288"/>
        <v>0.32252712188895982</v>
      </c>
      <c r="K211" s="1785">
        <f t="shared" si="288"/>
        <v>0.31320520768753873</v>
      </c>
      <c r="L211" s="1774">
        <f t="shared" si="288"/>
        <v>0.32292540466648023</v>
      </c>
      <c r="M211" s="1785">
        <f t="shared" si="288"/>
        <v>0.34193548387096773</v>
      </c>
      <c r="N211" s="1785">
        <f t="shared" si="288"/>
        <v>0.3012902590367379</v>
      </c>
      <c r="O211" s="1785">
        <f t="shared" si="288"/>
        <v>0.31858310626702996</v>
      </c>
      <c r="P211" s="1896">
        <f t="shared" si="288"/>
        <v>0.29649160568230737</v>
      </c>
      <c r="Q211" s="1897">
        <f t="shared" si="288"/>
        <v>0.31345188000542962</v>
      </c>
      <c r="R211" s="1896">
        <f t="shared" si="288"/>
        <v>0.3243007944281206</v>
      </c>
      <c r="S211" s="1896">
        <f t="shared" si="288"/>
        <v>0.29515622111295986</v>
      </c>
      <c r="T211" s="1785">
        <f t="shared" si="288"/>
        <v>0.30810810810810813</v>
      </c>
      <c r="U211" s="1785">
        <f t="shared" si="288"/>
        <v>0.29662434799724435</v>
      </c>
      <c r="V211" s="1774">
        <f t="shared" si="288"/>
        <v>0.30539358600583089</v>
      </c>
      <c r="W211" s="1896">
        <f t="shared" si="288"/>
        <v>0.32450467097833896</v>
      </c>
      <c r="X211" s="1896">
        <f t="shared" si="288"/>
        <v>0.28974488933941545</v>
      </c>
      <c r="Y211" s="1896">
        <f t="shared" si="288"/>
        <v>0.28914778460691681</v>
      </c>
      <c r="Z211" s="1785">
        <f t="shared" si="288"/>
        <v>0.28349991529730645</v>
      </c>
      <c r="AA211" s="1774">
        <f t="shared" si="288"/>
        <v>0.29557873820168901</v>
      </c>
      <c r="AB211" s="1896">
        <f t="shared" si="288"/>
        <v>0.30552215336231614</v>
      </c>
      <c r="AC211" s="1896">
        <f t="shared" si="288"/>
        <v>0.20642640727156752</v>
      </c>
      <c r="AD211" s="1896">
        <f t="shared" si="288"/>
        <v>0.36616196693985276</v>
      </c>
      <c r="AE211" s="1896">
        <f t="shared" si="288"/>
        <v>0.28479545284571084</v>
      </c>
      <c r="AF211" s="1774">
        <f t="shared" si="288"/>
        <v>0.29286804115644927</v>
      </c>
      <c r="AG211" s="1896">
        <f t="shared" si="288"/>
        <v>0.3006830402557768</v>
      </c>
      <c r="AH211" s="1896">
        <f t="shared" ref="AH211:BM211" si="289">AH210/AH297</f>
        <v>0.26480112421335616</v>
      </c>
      <c r="AI211" s="1896">
        <f t="shared" si="289"/>
        <v>0.27846962778469631</v>
      </c>
      <c r="AJ211" s="1896">
        <f t="shared" si="289"/>
        <v>0.27574666919239754</v>
      </c>
      <c r="AK211" s="1774">
        <f t="shared" si="289"/>
        <v>0.27911287653095002</v>
      </c>
      <c r="AL211" s="1896">
        <f t="shared" si="289"/>
        <v>0.28437686740588275</v>
      </c>
      <c r="AM211" s="1896">
        <f t="shared" si="289"/>
        <v>0.24499368572974922</v>
      </c>
      <c r="AN211" s="1896">
        <f t="shared" si="289"/>
        <v>0.25263774912075027</v>
      </c>
      <c r="AO211" s="1785">
        <f t="shared" si="289"/>
        <v>0.2419268646461562</v>
      </c>
      <c r="AP211" s="1774">
        <f t="shared" si="289"/>
        <v>0.25624176463541937</v>
      </c>
      <c r="AQ211" s="1785">
        <f t="shared" si="289"/>
        <v>0.22291021671826625</v>
      </c>
      <c r="AR211" s="1785">
        <f t="shared" si="289"/>
        <v>0.37814109977920302</v>
      </c>
      <c r="AS211" s="1785">
        <f t="shared" si="289"/>
        <v>0.32138178307936288</v>
      </c>
      <c r="AT211" s="1785">
        <f t="shared" si="289"/>
        <v>0.29771182742066216</v>
      </c>
      <c r="AU211" s="1774">
        <f t="shared" si="289"/>
        <v>0.31222392932590742</v>
      </c>
      <c r="AV211" s="1785">
        <f t="shared" si="289"/>
        <v>0.29558505711639393</v>
      </c>
      <c r="AW211" s="1785">
        <f t="shared" si="289"/>
        <v>0.25339547937653484</v>
      </c>
      <c r="AX211" s="1785">
        <f t="shared" si="289"/>
        <v>0.2706963720477234</v>
      </c>
      <c r="AY211" s="1785">
        <f t="shared" si="289"/>
        <v>0.27312869699817571</v>
      </c>
      <c r="AZ211" s="1774">
        <f t="shared" si="289"/>
        <v>0.27212765422044499</v>
      </c>
      <c r="BA211" s="1785">
        <f t="shared" si="289"/>
        <v>0.28056642873589682</v>
      </c>
      <c r="BB211" s="1785">
        <f t="shared" si="289"/>
        <v>0.22700502753172133</v>
      </c>
      <c r="BC211" s="1785">
        <f t="shared" si="289"/>
        <v>0.26615729304302865</v>
      </c>
      <c r="BD211" s="1785">
        <f t="shared" si="289"/>
        <v>0.22991306273880061</v>
      </c>
      <c r="BE211" s="1774">
        <f t="shared" si="289"/>
        <v>0.24958289814576184</v>
      </c>
      <c r="BF211" s="1785">
        <f t="shared" si="289"/>
        <v>0.2026486756621689</v>
      </c>
      <c r="BG211" s="1785">
        <f t="shared" si="289"/>
        <v>0.27409582401193139</v>
      </c>
      <c r="BH211" s="1785">
        <f t="shared" si="289"/>
        <v>0.27834447752452535</v>
      </c>
      <c r="BI211" s="1785">
        <f t="shared" si="289"/>
        <v>0.221702854845195</v>
      </c>
      <c r="BJ211" s="1774">
        <f t="shared" si="289"/>
        <v>0.24713226887949749</v>
      </c>
      <c r="BK211" s="1785">
        <f t="shared" si="289"/>
        <v>0.24573543611200516</v>
      </c>
      <c r="BL211" s="1898">
        <f t="shared" si="289"/>
        <v>0.2420619058016874</v>
      </c>
      <c r="BM211" s="1898">
        <f t="shared" si="289"/>
        <v>0.26238369414281099</v>
      </c>
      <c r="BN211" s="1785">
        <f t="shared" ref="BN211:CD211" si="290">BN210/BN297</f>
        <v>0.20255372318113266</v>
      </c>
      <c r="BO211" s="1774">
        <f t="shared" si="290"/>
        <v>0.23699355387675786</v>
      </c>
      <c r="BP211" s="1898">
        <f t="shared" si="290"/>
        <v>0.24875523194724719</v>
      </c>
      <c r="BQ211" s="1898">
        <f t="shared" si="290"/>
        <v>0.21387702655978139</v>
      </c>
      <c r="BR211" s="1898">
        <f t="shared" si="290"/>
        <v>0.21937075980038212</v>
      </c>
      <c r="BS211" s="1785">
        <f t="shared" si="290"/>
        <v>0.17209371866762951</v>
      </c>
      <c r="BT211" s="1899">
        <f t="shared" si="290"/>
        <v>0.21180200395796947</v>
      </c>
      <c r="BU211" s="1898">
        <f t="shared" si="290"/>
        <v>3.9653197462703599E-2</v>
      </c>
      <c r="BV211" s="1898">
        <f t="shared" si="290"/>
        <v>2.5395588965128515E-2</v>
      </c>
      <c r="BW211" s="1898">
        <f t="shared" si="290"/>
        <v>3.1070197783669099E-2</v>
      </c>
      <c r="BX211" s="1898">
        <f t="shared" si="290"/>
        <v>2.5432112248602552E-2</v>
      </c>
      <c r="BY211" s="1899">
        <f t="shared" si="290"/>
        <v>2.9821660277555721E-2</v>
      </c>
      <c r="BZ211" s="1898">
        <f t="shared" si="290"/>
        <v>3.0366024942242675E-2</v>
      </c>
      <c r="CA211" s="1898">
        <f t="shared" si="290"/>
        <v>2.4335534616148711E-2</v>
      </c>
      <c r="CB211" s="1898">
        <f t="shared" si="290"/>
        <v>2.9746533401295284E-2</v>
      </c>
      <c r="CC211" s="1898">
        <f t="shared" si="290"/>
        <v>2.433957746785886E-2</v>
      </c>
      <c r="CD211" s="1899">
        <f t="shared" si="290"/>
        <v>2.6895018931886026E-2</v>
      </c>
      <c r="CE211" s="1898">
        <f t="shared" ref="CE211:CI211" si="291">CE210/CE297</f>
        <v>0.20202231897448589</v>
      </c>
      <c r="CF211" s="1898">
        <f t="shared" si="291"/>
        <v>0.15254068476476013</v>
      </c>
      <c r="CG211" s="1898">
        <f t="shared" si="291"/>
        <v>0.17566281668466327</v>
      </c>
      <c r="CH211" s="1898" t="e">
        <f t="shared" si="291"/>
        <v>#REF!</v>
      </c>
      <c r="CI211" s="1899" t="e">
        <f t="shared" si="291"/>
        <v>#REF!</v>
      </c>
      <c r="CJ211" s="1898">
        <f t="shared" ref="CJ211:CS211" si="292">CJ210/CJ297</f>
        <v>0.17276577517745956</v>
      </c>
      <c r="CK211" s="1898">
        <f t="shared" si="292"/>
        <v>0.14084301360107193</v>
      </c>
      <c r="CL211" s="1898">
        <f t="shared" si="292"/>
        <v>0</v>
      </c>
      <c r="CM211" s="1898" t="e">
        <f t="shared" si="292"/>
        <v>#REF!</v>
      </c>
      <c r="CN211" s="1899" t="e">
        <f t="shared" si="292"/>
        <v>#REF!</v>
      </c>
      <c r="CO211" s="1898">
        <f t="shared" si="292"/>
        <v>0.16638235184176803</v>
      </c>
      <c r="CP211" s="1898">
        <f t="shared" si="292"/>
        <v>0.13790427384389023</v>
      </c>
      <c r="CQ211" s="1898">
        <f t="shared" si="292"/>
        <v>0.49662161025542811</v>
      </c>
      <c r="CR211" s="1898" t="e">
        <f t="shared" si="292"/>
        <v>#REF!</v>
      </c>
      <c r="CS211" s="1899" t="e">
        <f t="shared" si="292"/>
        <v>#REF!</v>
      </c>
      <c r="CT211" s="1898">
        <f t="shared" ref="CT211:CX211" si="293">CT210/CT297</f>
        <v>0.15984591831090045</v>
      </c>
      <c r="CU211" s="1898">
        <f t="shared" si="293"/>
        <v>0.13458047172235768</v>
      </c>
      <c r="CV211" s="1898">
        <f t="shared" si="293"/>
        <v>0.48481421734363278</v>
      </c>
      <c r="CW211" s="1898" t="e">
        <f t="shared" si="293"/>
        <v>#REF!</v>
      </c>
      <c r="CX211" s="1899" t="e">
        <f t="shared" si="293"/>
        <v>#REF!</v>
      </c>
      <c r="CY211" s="1900"/>
      <c r="CZ211" s="1900"/>
      <c r="DA211" s="1900"/>
      <c r="DB211" s="1900"/>
      <c r="DC211" s="1900"/>
      <c r="DD211" s="1900"/>
      <c r="DE211" s="1900"/>
      <c r="DF211" s="1900"/>
      <c r="DG211" s="1900"/>
      <c r="DH211" s="1773"/>
      <c r="DI211" s="1774"/>
      <c r="DJ211" s="1773"/>
      <c r="DK211" s="1901"/>
      <c r="DL211" s="1901"/>
      <c r="DM211" s="1899"/>
      <c r="DN211" s="1899"/>
      <c r="DO211" s="1899"/>
      <c r="DP211" s="1899"/>
      <c r="DQ211" s="1899"/>
      <c r="DR211" s="1898"/>
    </row>
    <row r="212" spans="1:122" hidden="1" outlineLevel="2">
      <c r="A212" s="1760" t="s">
        <v>163</v>
      </c>
      <c r="B212" s="1895"/>
      <c r="C212" s="1785"/>
      <c r="D212" s="1785"/>
      <c r="E212" s="1785"/>
      <c r="F212" s="1785"/>
      <c r="G212" s="1774">
        <f t="shared" ref="G212:AL212" si="294">G210/B210-1</f>
        <v>0.1463563992651562</v>
      </c>
      <c r="H212" s="1785">
        <f t="shared" si="294"/>
        <v>0.33985680190930778</v>
      </c>
      <c r="I212" s="1785">
        <f t="shared" si="294"/>
        <v>-5.494505494505475E-3</v>
      </c>
      <c r="J212" s="1785">
        <f t="shared" si="294"/>
        <v>0.10349344978165931</v>
      </c>
      <c r="K212" s="1785">
        <f t="shared" si="294"/>
        <v>4.0791100123609425E-2</v>
      </c>
      <c r="L212" s="1774">
        <f t="shared" si="294"/>
        <v>0.11047008547008552</v>
      </c>
      <c r="M212" s="1785">
        <f t="shared" si="294"/>
        <v>7.1250445315285127E-4</v>
      </c>
      <c r="N212" s="1785">
        <f t="shared" si="294"/>
        <v>0.20718232044198892</v>
      </c>
      <c r="O212" s="1785">
        <f t="shared" si="294"/>
        <v>0.15670755836960826</v>
      </c>
      <c r="P212" s="1896">
        <f t="shared" si="294"/>
        <v>9.0657165479018254E-2</v>
      </c>
      <c r="Q212" s="1897">
        <f t="shared" si="294"/>
        <v>0.11083317298441409</v>
      </c>
      <c r="R212" s="1902">
        <f t="shared" si="294"/>
        <v>6.0875756496973965E-2</v>
      </c>
      <c r="S212" s="1902">
        <f t="shared" si="294"/>
        <v>4.3805165086629572E-2</v>
      </c>
      <c r="T212" s="1900">
        <f t="shared" si="294"/>
        <v>1.4026684912760823E-2</v>
      </c>
      <c r="U212" s="1900">
        <f t="shared" si="294"/>
        <v>9.4010889292196032E-2</v>
      </c>
      <c r="V212" s="1774">
        <f t="shared" si="294"/>
        <v>5.2399099255153292E-2</v>
      </c>
      <c r="W212" s="1902">
        <f t="shared" si="294"/>
        <v>6.073825503355712E-2</v>
      </c>
      <c r="X212" s="1902">
        <f t="shared" si="294"/>
        <v>7.4224866896335673E-2</v>
      </c>
      <c r="Y212" s="1902">
        <f t="shared" si="294"/>
        <v>6.3427800269905577E-2</v>
      </c>
      <c r="Z212" s="1900">
        <f t="shared" si="294"/>
        <v>0.110484406104844</v>
      </c>
      <c r="AA212" s="1774">
        <f t="shared" si="294"/>
        <v>7.7277590321784162E-2</v>
      </c>
      <c r="AB212" s="1900">
        <f t="shared" si="294"/>
        <v>4.4922492881999343E-2</v>
      </c>
      <c r="AC212" s="1902">
        <f t="shared" si="294"/>
        <v>-0.24518950437317788</v>
      </c>
      <c r="AD212" s="1902">
        <f t="shared" si="294"/>
        <v>0.67258883248730972</v>
      </c>
      <c r="AE212" s="1902">
        <f t="shared" si="294"/>
        <v>0.13773528533014634</v>
      </c>
      <c r="AF212" s="1774">
        <f t="shared" si="294"/>
        <v>0.14377387318563795</v>
      </c>
      <c r="AG212" s="1902">
        <f t="shared" si="294"/>
        <v>0.25280048440811376</v>
      </c>
      <c r="AH212" s="1902">
        <f t="shared" si="294"/>
        <v>0.67400540749324067</v>
      </c>
      <c r="AI212" s="1902">
        <f t="shared" si="294"/>
        <v>-0.23653262518968132</v>
      </c>
      <c r="AJ212" s="1902">
        <f t="shared" si="294"/>
        <v>0.14679621848739499</v>
      </c>
      <c r="AK212" s="1774">
        <f t="shared" si="294"/>
        <v>0.1263692225487576</v>
      </c>
      <c r="AL212" s="1902">
        <f t="shared" si="294"/>
        <v>3.504108264862249E-2</v>
      </c>
      <c r="AM212" s="1902">
        <f t="shared" ref="AM212:BR212" si="295">AM210/AH210-1</f>
        <v>-5.9990770650669156E-2</v>
      </c>
      <c r="AN212" s="1902">
        <f t="shared" si="295"/>
        <v>-0.14335403726708074</v>
      </c>
      <c r="AO212" s="1900">
        <f t="shared" si="295"/>
        <v>-0.27433020380123652</v>
      </c>
      <c r="AP212" s="1774">
        <f t="shared" si="295"/>
        <v>-0.11207305502846299</v>
      </c>
      <c r="AQ212" s="1900">
        <f t="shared" si="295"/>
        <v>-0.32757413028251225</v>
      </c>
      <c r="AR212" s="1900">
        <f t="shared" si="295"/>
        <v>0.76558664702994594</v>
      </c>
      <c r="AS212" s="1900">
        <f t="shared" si="295"/>
        <v>0.35179814385150809</v>
      </c>
      <c r="AT212" s="1900">
        <f t="shared" si="295"/>
        <v>0.50678447459766485</v>
      </c>
      <c r="AU212" s="1774">
        <f t="shared" si="295"/>
        <v>0.30285828769867762</v>
      </c>
      <c r="AV212" s="1900">
        <f t="shared" si="295"/>
        <v>0.66215277777777781</v>
      </c>
      <c r="AW212" s="1900">
        <f t="shared" si="295"/>
        <v>-0.29709439733073817</v>
      </c>
      <c r="AX212" s="1900">
        <f t="shared" si="295"/>
        <v>-4.5912894228706258E-2</v>
      </c>
      <c r="AY212" s="1900">
        <f t="shared" si="295"/>
        <v>-6.701570680628266E-3</v>
      </c>
      <c r="AZ212" s="1774">
        <f t="shared" si="295"/>
        <v>-2.4398995335486173E-2</v>
      </c>
      <c r="BA212" s="1900">
        <f t="shared" si="295"/>
        <v>1.8174221850846051E-2</v>
      </c>
      <c r="BB212" s="1900">
        <f t="shared" si="295"/>
        <v>-6.2302215189873444E-2</v>
      </c>
      <c r="BC212" s="1900">
        <f t="shared" si="295"/>
        <v>4.1825950078704821E-2</v>
      </c>
      <c r="BD212" s="1900">
        <f t="shared" si="295"/>
        <v>-0.12460468058191021</v>
      </c>
      <c r="BE212" s="1774">
        <f t="shared" si="295"/>
        <v>-3.3258025534597779E-2</v>
      </c>
      <c r="BF212" s="1900">
        <f t="shared" si="295"/>
        <v>-0.33442757488715635</v>
      </c>
      <c r="BG212" s="1900">
        <f t="shared" si="295"/>
        <v>0.24045560008437028</v>
      </c>
      <c r="BH212" s="1900">
        <f t="shared" si="295"/>
        <v>0.2309518670407944</v>
      </c>
      <c r="BI212" s="1900">
        <f t="shared" si="295"/>
        <v>6.2379576107899792E-2</v>
      </c>
      <c r="BJ212" s="1774">
        <f t="shared" si="295"/>
        <v>4.5597826086956506E-2</v>
      </c>
      <c r="BK212" s="1900">
        <f t="shared" si="295"/>
        <v>0.41214549938347722</v>
      </c>
      <c r="BL212" s="1903">
        <f t="shared" si="295"/>
        <v>9.2018140369958257E-3</v>
      </c>
      <c r="BM212" s="1903">
        <f t="shared" si="295"/>
        <v>-6.1298525057728592E-2</v>
      </c>
      <c r="BN212" s="1900">
        <f t="shared" si="295"/>
        <v>7.370463736595867E-2</v>
      </c>
      <c r="BO212" s="1774">
        <f t="shared" si="295"/>
        <v>7.1034956877622957E-2</v>
      </c>
      <c r="BP212" s="1903">
        <f t="shared" si="295"/>
        <v>9.2887834293489124E-2</v>
      </c>
      <c r="BQ212" s="1903">
        <f t="shared" si="295"/>
        <v>-9.1863905255259337E-2</v>
      </c>
      <c r="BR212" s="1903">
        <f t="shared" si="295"/>
        <v>-0.15836920447761638</v>
      </c>
      <c r="BS212" s="1900">
        <f t="shared" ref="BS212:CD212" si="296">BS210/BN210-1</f>
        <v>-0.12931709847278594</v>
      </c>
      <c r="BT212" s="1899">
        <f t="shared" si="296"/>
        <v>-7.6677054694114566E-2</v>
      </c>
      <c r="BU212" s="1903">
        <f t="shared" si="296"/>
        <v>-0.86577500707984856</v>
      </c>
      <c r="BV212" s="1903">
        <f t="shared" si="296"/>
        <v>-0.89920950093294527</v>
      </c>
      <c r="BW212" s="1903">
        <f t="shared" si="296"/>
        <v>-0.8794277833914298</v>
      </c>
      <c r="BX212" s="1903">
        <f t="shared" si="296"/>
        <v>-0.86825994740177648</v>
      </c>
      <c r="BY212" s="1899">
        <f t="shared" si="296"/>
        <v>-0.87901866203245238</v>
      </c>
      <c r="BZ212" s="1903">
        <f t="shared" si="296"/>
        <v>-0.19004216269841279</v>
      </c>
      <c r="CA212" s="1903">
        <f t="shared" si="296"/>
        <v>1.9174720049086602E-3</v>
      </c>
      <c r="CB212" s="1903">
        <f t="shared" si="296"/>
        <v>1.9174720049088823E-3</v>
      </c>
      <c r="CC212" s="1903">
        <f t="shared" si="296"/>
        <v>1.9174720049086602E-3</v>
      </c>
      <c r="CD212" s="1899">
        <f t="shared" si="296"/>
        <v>-5.4125484233011223E-2</v>
      </c>
      <c r="CE212" s="1903">
        <f t="shared" ref="CE212:CI212" si="297">CE210/BZ210-1</f>
        <v>7.5974841543558966</v>
      </c>
      <c r="CF212" s="1903">
        <f t="shared" si="297"/>
        <v>6.5164447991909134</v>
      </c>
      <c r="CG212" s="1903">
        <f t="shared" si="297"/>
        <v>6.2411492337982528</v>
      </c>
      <c r="CH212" s="1903" t="e">
        <f t="shared" si="297"/>
        <v>#REF!</v>
      </c>
      <c r="CI212" s="1899" t="e">
        <f t="shared" si="297"/>
        <v>#REF!</v>
      </c>
      <c r="CJ212" s="1903">
        <f t="shared" ref="CJ212:CS212" si="298">CJ210/CE210-1</f>
        <v>-0.12626093500252389</v>
      </c>
      <c r="CK212" s="1903">
        <f t="shared" si="298"/>
        <v>-5.6005874406600542E-2</v>
      </c>
      <c r="CL212" s="1903">
        <f t="shared" si="298"/>
        <v>-1</v>
      </c>
      <c r="CM212" s="1903" t="e">
        <f t="shared" si="298"/>
        <v>#REF!</v>
      </c>
      <c r="CN212" s="1899" t="e">
        <f t="shared" si="298"/>
        <v>#REF!</v>
      </c>
      <c r="CO212" s="1903">
        <f t="shared" si="298"/>
        <v>8.2142286314696999E-3</v>
      </c>
      <c r="CP212" s="1903">
        <f t="shared" si="298"/>
        <v>6.7026662617071242E-3</v>
      </c>
      <c r="CQ212" s="1903" t="e">
        <f t="shared" si="298"/>
        <v>#DIV/0!</v>
      </c>
      <c r="CR212" s="1903" t="e">
        <f t="shared" si="298"/>
        <v>#REF!</v>
      </c>
      <c r="CS212" s="1899" t="e">
        <f t="shared" si="298"/>
        <v>#REF!</v>
      </c>
      <c r="CT212" s="1903">
        <f t="shared" ref="CT212" si="299">CT210/CO210-1</f>
        <v>1.9286583330730966E-3</v>
      </c>
      <c r="CU212" s="1903">
        <f t="shared" ref="CU212" si="300">CU210/CP210-1</f>
        <v>-1.4205513839863348E-3</v>
      </c>
      <c r="CV212" s="1903">
        <f t="shared" ref="CV212" si="301">CV210/CQ210-1</f>
        <v>-2.266326510753891E-2</v>
      </c>
      <c r="CW212" s="1903" t="e">
        <f t="shared" ref="CW212" si="302">CW210/CR210-1</f>
        <v>#REF!</v>
      </c>
      <c r="CX212" s="1899" t="e">
        <f t="shared" ref="CX212" si="303">CX210/CS210-1</f>
        <v>#REF!</v>
      </c>
      <c r="CY212" s="1900"/>
      <c r="CZ212" s="1900"/>
      <c r="DA212" s="1900"/>
      <c r="DB212" s="1900">
        <f t="shared" ref="DB212:DN212" si="304">DB210/DA210-1</f>
        <v>1.0858999240570415</v>
      </c>
      <c r="DC212" s="1900">
        <f t="shared" si="304"/>
        <v>3.0784789644012989E-2</v>
      </c>
      <c r="DD212" s="1900">
        <f t="shared" si="304"/>
        <v>0.27640202503826372</v>
      </c>
      <c r="DE212" s="1900">
        <f t="shared" si="304"/>
        <v>-0.48502644201205258</v>
      </c>
      <c r="DF212" s="1900">
        <f t="shared" si="304"/>
        <v>-3.5225983640814196E-3</v>
      </c>
      <c r="DG212" s="1900">
        <f t="shared" si="304"/>
        <v>0.15512282804074307</v>
      </c>
      <c r="DH212" s="1773">
        <f t="shared" si="304"/>
        <v>-2.458633746563621E-2</v>
      </c>
      <c r="DI212" s="1774">
        <f t="shared" si="304"/>
        <v>-2.8458163267563119E-2</v>
      </c>
      <c r="DJ212" s="1773">
        <f t="shared" si="304"/>
        <v>0.12918947734991448</v>
      </c>
      <c r="DK212" s="1901">
        <f t="shared" si="304"/>
        <v>-6.9887191528053005E-3</v>
      </c>
      <c r="DL212" s="1901">
        <f t="shared" si="304"/>
        <v>-0.51945087301090642</v>
      </c>
      <c r="DM212" s="1899">
        <f t="shared" si="304"/>
        <v>-0.77905597642658142</v>
      </c>
      <c r="DN212" s="1899">
        <f t="shared" si="304"/>
        <v>3.5328196988655991</v>
      </c>
      <c r="DO212" s="1899"/>
      <c r="DP212" s="1899"/>
      <c r="DQ212" s="1899"/>
      <c r="DR212" s="1898"/>
    </row>
    <row r="213" spans="1:122" hidden="1" outlineLevel="2">
      <c r="A213" s="1760" t="s">
        <v>667</v>
      </c>
      <c r="B213" s="1895"/>
      <c r="C213" s="1785"/>
      <c r="D213" s="1785"/>
      <c r="E213" s="1785"/>
      <c r="F213" s="1785"/>
      <c r="G213" s="1774"/>
      <c r="H213" s="1785">
        <f>H210/F210-1</f>
        <v>0.15657189946435923</v>
      </c>
      <c r="I213" s="1785">
        <f>I210/H210-1</f>
        <v>-9.7256857855361645E-2</v>
      </c>
      <c r="J213" s="1785">
        <f>J210/I210-1</f>
        <v>-2.7624309392265678E-3</v>
      </c>
      <c r="K213" s="1785">
        <f>K210/J210-1</f>
        <v>-3.9572615749905449E-4</v>
      </c>
      <c r="L213" s="1774"/>
      <c r="M213" s="1785">
        <f>M210/K210-1</f>
        <v>0.11203483768804423</v>
      </c>
      <c r="N213" s="1785">
        <f>N210/M210-1</f>
        <v>8.8999644001424016E-2</v>
      </c>
      <c r="O213" s="1785">
        <f>O210/N210-1</f>
        <v>-4.4458973520758449E-2</v>
      </c>
      <c r="P213" s="1785">
        <f>P210/O210-1</f>
        <v>-5.7475196715703003E-2</v>
      </c>
      <c r="Q213" s="1897"/>
      <c r="R213" s="1785">
        <f>R210/P210-1</f>
        <v>8.166969147005454E-2</v>
      </c>
      <c r="S213" s="1785">
        <f>S210/R210-1</f>
        <v>7.1476510067114196E-2</v>
      </c>
      <c r="T213" s="1785">
        <f>T210/S210-1</f>
        <v>-7.1719386157218956E-2</v>
      </c>
      <c r="U213" s="1785">
        <f>U210/T210-1</f>
        <v>1.6869095816464341E-2</v>
      </c>
      <c r="V213" s="1774"/>
      <c r="W213" s="1785">
        <f>W210/U210-1</f>
        <v>4.8772395487723941E-2</v>
      </c>
      <c r="X213" s="1785">
        <f>X210/W210-1</f>
        <v>8.5099652008858051E-2</v>
      </c>
      <c r="Y213" s="1785">
        <f>Y210/X210-1</f>
        <v>-8.1049562682215748E-2</v>
      </c>
      <c r="Z213" s="1785">
        <f>Z210/Y210-1</f>
        <v>6.1865482233502522E-2</v>
      </c>
      <c r="AA213" s="1774"/>
      <c r="AB213" s="1785">
        <f>AB210/Z210-1</f>
        <v>-1.3146100985957587E-2</v>
      </c>
      <c r="AC213" s="1785">
        <f>AC210/AB210-1</f>
        <v>-0.21616712079927336</v>
      </c>
      <c r="AD213" s="1785">
        <f>AD210/AC210-1</f>
        <v>1.0363074546156819</v>
      </c>
      <c r="AE213" s="1785">
        <f>AE210/AD210-1</f>
        <v>-0.27769347496206376</v>
      </c>
      <c r="AF213" s="1774"/>
      <c r="AG213" s="1785">
        <f>AG210/AE210-1</f>
        <v>8.6659663865546133E-2</v>
      </c>
      <c r="AH213" s="1785">
        <f>AH210/AG210-1</f>
        <v>4.7365877235379328E-2</v>
      </c>
      <c r="AI213" s="1785">
        <f>AI210/AH210-1</f>
        <v>-7.1296723580987487E-2</v>
      </c>
      <c r="AJ213" s="1785">
        <f>AJ210/AI210-1</f>
        <v>8.4968944099378829E-2</v>
      </c>
      <c r="AK213" s="1774"/>
      <c r="AL213" s="1785">
        <f>AL210/AJ210-1</f>
        <v>-1.9235172887565821E-2</v>
      </c>
      <c r="AM213" s="1785">
        <f>AM210/AL210-1</f>
        <v>-4.8797571795470507E-2</v>
      </c>
      <c r="AN213" s="1785">
        <f>AN210/AM210-1</f>
        <v>-0.15365733922434954</v>
      </c>
      <c r="AO213" s="1785">
        <f>AO210/AN210-1</f>
        <v>-8.0916473317865445E-2</v>
      </c>
      <c r="AP213" s="1774"/>
      <c r="AQ213" s="1785">
        <f>AQ210/AO210-1</f>
        <v>-9.1195960870937176E-2</v>
      </c>
      <c r="AR213" s="1785">
        <f>AR210/AQ210-1</f>
        <v>1.4975694444444443</v>
      </c>
      <c r="AS213" s="1785">
        <f>AS210/AR210-1</f>
        <v>-0.35200889753927433</v>
      </c>
      <c r="AT213" s="1785">
        <f>AT210/AS210-1</f>
        <v>2.4458270757348188E-2</v>
      </c>
      <c r="AU213" s="1774"/>
      <c r="AV213" s="1785">
        <f>AV210/AT210-1</f>
        <v>2.5130890052356136E-3</v>
      </c>
      <c r="AW213" s="1785">
        <f>AW210/AV210-1</f>
        <v>5.6193858366409E-2</v>
      </c>
      <c r="AX213" s="1785">
        <f>AX210/AW210-1</f>
        <v>-0.12045094936708856</v>
      </c>
      <c r="AY213" s="1785">
        <f>AY210/AX210-1</f>
        <v>6.6561727006970939E-2</v>
      </c>
      <c r="AZ213" s="1774"/>
      <c r="BA213" s="1785">
        <f>BA210/AY210-1</f>
        <v>2.7619650010541896E-2</v>
      </c>
      <c r="BB213" s="1785">
        <f>BB210/BA210-1</f>
        <v>-2.7287648748461235E-2</v>
      </c>
      <c r="BC213" s="1785">
        <f>BC210/BB210-1</f>
        <v>-2.2780004218519334E-2</v>
      </c>
      <c r="BD213" s="1785">
        <f>BD210/BC210-1</f>
        <v>-0.10382041873516079</v>
      </c>
      <c r="BE213" s="1774"/>
      <c r="BF213" s="1785">
        <f>BF210/BD210-1</f>
        <v>-0.2186897880539499</v>
      </c>
      <c r="BG213" s="1785">
        <f>BG210/BF210-1</f>
        <v>0.81288532675708991</v>
      </c>
      <c r="BH213" s="1785">
        <f>BH210/BG210-1</f>
        <v>-3.0266961401122283E-2</v>
      </c>
      <c r="BI213" s="1785">
        <f>BI210/BH210-1</f>
        <v>-0.22654743117657372</v>
      </c>
      <c r="BJ213" s="1774"/>
      <c r="BK213" s="1785">
        <f>BK210/BI210-1</f>
        <v>3.8540013602357703E-2</v>
      </c>
      <c r="BL213" s="1898">
        <f>BL210/BK210-1</f>
        <v>0.29559394637668035</v>
      </c>
      <c r="BM213" s="1898">
        <f>BM210/BL210-1</f>
        <v>-9.8010109601678441E-2</v>
      </c>
      <c r="BN213" s="1785">
        <f>BN210/BM210-1</f>
        <v>-0.11531021086400439</v>
      </c>
      <c r="BO213" s="1774"/>
      <c r="BP213" s="1898">
        <f>BP210/BN210-1</f>
        <v>5.7094946592987972E-2</v>
      </c>
      <c r="BQ213" s="1898">
        <f>BQ210/BP210-1</f>
        <v>7.6574914568480867E-2</v>
      </c>
      <c r="BR213" s="1898">
        <f>BR210/BQ210-1</f>
        <v>-0.1640653054072615</v>
      </c>
      <c r="BS213" s="1785">
        <f>BS210/BR210-1</f>
        <v>-8.477175900113354E-2</v>
      </c>
      <c r="BT213" s="1899"/>
      <c r="BU213" s="1898">
        <f>BU210/BS210-1</f>
        <v>-0.83703761556188461</v>
      </c>
      <c r="BV213" s="1898">
        <f>BV210/BT210-1</f>
        <v>-0.97144645949782982</v>
      </c>
      <c r="BW213" s="1898">
        <f>BW210/BU210-1</f>
        <v>-0.19159226190476186</v>
      </c>
      <c r="BX213" s="1898">
        <f>BX210/BV210-1</f>
        <v>0</v>
      </c>
      <c r="BY213" s="1899"/>
      <c r="BZ213" s="1898">
        <f>BZ210/BX210-1</f>
        <v>1.9174720049086602E-3</v>
      </c>
      <c r="CA213" s="1898">
        <f>CA210/BY210-1</f>
        <v>-0.76353137105825275</v>
      </c>
      <c r="CB213" s="1898">
        <f>CB210/BZ210-1</f>
        <v>0</v>
      </c>
      <c r="CC213" s="1898">
        <f>CC210/CA210-1</f>
        <v>0</v>
      </c>
      <c r="CD213" s="1899"/>
      <c r="CE213" s="1898">
        <f>CE210/CC210-1</f>
        <v>7.5974841543558966</v>
      </c>
      <c r="CF213" s="1898">
        <f>CF210/CD210-1</f>
        <v>0.87911119979772834</v>
      </c>
      <c r="CG213" s="1898">
        <f>CG210/CE210-1</f>
        <v>-0.15775951385388209</v>
      </c>
      <c r="CH213" s="1898" t="e">
        <f>CH210/CF210-1</f>
        <v>#REF!</v>
      </c>
      <c r="CI213" s="1899"/>
      <c r="CJ213" s="1898" t="e">
        <f>CJ210/CH210-1</f>
        <v>#REF!</v>
      </c>
      <c r="CK213" s="1898" t="e">
        <f>CK210/CI210-1</f>
        <v>#REF!</v>
      </c>
      <c r="CL213" s="1898">
        <f>CL210/CJ210-1</f>
        <v>-1</v>
      </c>
      <c r="CM213" s="1898" t="e">
        <f>CM210/CK210-1</f>
        <v>#REF!</v>
      </c>
      <c r="CN213" s="1899"/>
      <c r="CO213" s="1898" t="e">
        <f>CO210/CM210-1</f>
        <v>#REF!</v>
      </c>
      <c r="CP213" s="1898" t="e">
        <f>CP210/CN210-1</f>
        <v>#REF!</v>
      </c>
      <c r="CQ213" s="1898">
        <f>CQ210/CO210-1</f>
        <v>3.7223470529047926</v>
      </c>
      <c r="CR213" s="1898" t="e">
        <f>CR210/CP210-1</f>
        <v>#REF!</v>
      </c>
      <c r="CS213" s="1899"/>
      <c r="CT213" s="1898" t="e">
        <f>CT210/CR210-1</f>
        <v>#REF!</v>
      </c>
      <c r="CU213" s="1898" t="e">
        <f>CU210/CS210-1</f>
        <v>#REF!</v>
      </c>
      <c r="CV213" s="1898">
        <f>CV210/CT210-1</f>
        <v>3.6064390027465665</v>
      </c>
      <c r="CW213" s="1898" t="e">
        <f>CW210/CU210-1</f>
        <v>#REF!</v>
      </c>
      <c r="CX213" s="1899"/>
      <c r="CY213" s="1900"/>
      <c r="CZ213" s="1900"/>
      <c r="DA213" s="1900"/>
      <c r="DB213" s="1900"/>
      <c r="DC213" s="1900"/>
      <c r="DD213" s="1900"/>
      <c r="DE213" s="1900"/>
      <c r="DF213" s="1900"/>
      <c r="DG213" s="1900"/>
      <c r="DH213" s="1773"/>
      <c r="DI213" s="1774"/>
      <c r="DJ213" s="1773"/>
      <c r="DK213" s="1901"/>
      <c r="DL213" s="1901"/>
      <c r="DM213" s="1899"/>
      <c r="DN213" s="1899"/>
      <c r="DO213" s="1899"/>
      <c r="DP213" s="1899"/>
      <c r="DQ213" s="1899"/>
      <c r="DR213" s="1898"/>
    </row>
    <row r="214" spans="1:122" hidden="1" outlineLevel="2">
      <c r="A214" s="1885" t="s">
        <v>778</v>
      </c>
      <c r="B214" s="1886"/>
      <c r="C214" s="1803"/>
      <c r="D214" s="1803"/>
      <c r="E214" s="1803"/>
      <c r="F214" s="1803"/>
      <c r="G214" s="1762"/>
      <c r="H214" s="1803"/>
      <c r="I214" s="1803"/>
      <c r="J214" s="1803"/>
      <c r="K214" s="1803"/>
      <c r="L214" s="1762"/>
      <c r="M214" s="1803"/>
      <c r="N214" s="1803"/>
      <c r="O214" s="1803"/>
      <c r="P214" s="1887"/>
      <c r="Q214" s="1888"/>
      <c r="R214" s="1889"/>
      <c r="S214" s="1889"/>
      <c r="T214" s="1890"/>
      <c r="U214" s="1890"/>
      <c r="V214" s="1762"/>
      <c r="W214" s="1889"/>
      <c r="X214" s="1889"/>
      <c r="Y214" s="1889"/>
      <c r="Z214" s="1890"/>
      <c r="AA214" s="1762"/>
      <c r="AB214" s="1889"/>
      <c r="AC214" s="1889"/>
      <c r="AD214" s="1889"/>
      <c r="AE214" s="1890"/>
      <c r="AF214" s="1762"/>
      <c r="AG214" s="1890"/>
      <c r="AH214" s="1889"/>
      <c r="AI214" s="1889"/>
      <c r="AJ214" s="1890"/>
      <c r="AK214" s="1762"/>
      <c r="AL214" s="1890"/>
      <c r="AM214" s="1889"/>
      <c r="AN214" s="1889"/>
      <c r="AO214" s="1890"/>
      <c r="AP214" s="1762"/>
      <c r="AQ214" s="1890"/>
      <c r="AR214" s="1890"/>
      <c r="AS214" s="1890"/>
      <c r="AT214" s="1890"/>
      <c r="AU214" s="1762"/>
      <c r="AV214" s="1890"/>
      <c r="AW214" s="1890"/>
      <c r="AX214" s="1890"/>
      <c r="AY214" s="1890"/>
      <c r="AZ214" s="1762"/>
      <c r="BA214" s="1890"/>
      <c r="BB214" s="1890"/>
      <c r="BC214" s="1890"/>
      <c r="BD214" s="1890"/>
      <c r="BE214" s="1762"/>
      <c r="BF214" s="1890">
        <f>'Client Unit Model'!AJ182</f>
        <v>0</v>
      </c>
      <c r="BG214" s="1890">
        <f>'Client Unit Model'!AK182</f>
        <v>165.56890636296777</v>
      </c>
      <c r="BH214" s="1890">
        <f>'Client Unit Model'!AL182</f>
        <v>212.77360002013958</v>
      </c>
      <c r="BI214" s="1890">
        <f>'Client Unit Model'!AM182</f>
        <v>160.00932453664399</v>
      </c>
      <c r="BJ214" s="1762">
        <f>SUM(BF214:BI214)</f>
        <v>538.35183091975136</v>
      </c>
      <c r="BK214" s="1890">
        <f>'Client Unit Model'!AN182</f>
        <v>372.98333333333329</v>
      </c>
      <c r="BL214" s="1891">
        <f>'Client Unit Model'!AO182</f>
        <v>553.00063766984226</v>
      </c>
      <c r="BM214" s="1891">
        <f>'Client Unit Model'!AP182</f>
        <v>428.93333333333339</v>
      </c>
      <c r="BN214" s="1890">
        <f>'Client Unit Model'!AQ182</f>
        <v>321.55</v>
      </c>
      <c r="BO214" s="1762">
        <f>SUM(BK214:BN214)</f>
        <v>1676.467304336509</v>
      </c>
      <c r="BP214" s="1891">
        <f>'Client Unit Model'!AR182</f>
        <v>857.44</v>
      </c>
      <c r="BQ214" s="1891">
        <f>'Client Unit Model'!AS182</f>
        <v>813.16</v>
      </c>
      <c r="BR214" s="1891">
        <f>'Client Unit Model'!AT182</f>
        <v>515.69166666666672</v>
      </c>
      <c r="BS214" s="1890">
        <f>'Client Unit Model'!AU182</f>
        <v>651.4</v>
      </c>
      <c r="BT214" s="1892">
        <f>SUM(BP214:BS214)</f>
        <v>2837.6916666666666</v>
      </c>
      <c r="BU214" s="1891">
        <f>'Client Unit Model'!AV179</f>
        <v>0.01</v>
      </c>
      <c r="BV214" s="1891">
        <f>'Client Unit Model'!AW179</f>
        <v>0.01</v>
      </c>
      <c r="BW214" s="1891">
        <f>'Client Unit Model'!AX179</f>
        <v>0.01</v>
      </c>
      <c r="BX214" s="1891">
        <f>'Client Unit Model'!AY179</f>
        <v>0.01</v>
      </c>
      <c r="BY214" s="1892">
        <f>SUM(BU214:BX214)</f>
        <v>0.04</v>
      </c>
      <c r="BZ214" s="1891">
        <f>'Client Unit Model'!BA179</f>
        <v>0.01</v>
      </c>
      <c r="CA214" s="1891">
        <f>'Client Unit Model'!BB179</f>
        <v>0.01</v>
      </c>
      <c r="CB214" s="1891">
        <f>'Client Unit Model'!BC179</f>
        <v>0.01</v>
      </c>
      <c r="CC214" s="1891">
        <f>'Client Unit Model'!BD179</f>
        <v>0.01</v>
      </c>
      <c r="CD214" s="1892">
        <f>SUM(BZ214:CC214)</f>
        <v>0.04</v>
      </c>
      <c r="CE214" s="1891">
        <f>'Client Unit Model'!BG182</f>
        <v>971.32446654678324</v>
      </c>
      <c r="CF214" s="1891">
        <f>'Client Unit Model'!BH182</f>
        <v>704.53123912659623</v>
      </c>
      <c r="CG214" s="1891">
        <f>'Client Unit Model'!BI182</f>
        <v>761.59198069824561</v>
      </c>
      <c r="CH214" s="1891" t="e">
        <f>'Client Unit Model'!#REF!</f>
        <v>#REF!</v>
      </c>
      <c r="CI214" s="1892" t="e">
        <f>SUM(CE214:CH214)</f>
        <v>#REF!</v>
      </c>
      <c r="CJ214" s="1891">
        <f>'Client Unit Model'!BM182</f>
        <v>713.01828545516946</v>
      </c>
      <c r="CK214" s="1891">
        <f>'Client Unit Model'!BN182</f>
        <v>706.42120255127031</v>
      </c>
      <c r="CL214" s="1891">
        <f>'Client Unit Model'!BY182</f>
        <v>0</v>
      </c>
      <c r="CM214" s="1891" t="e">
        <f>'Client Unit Model'!#REF!</f>
        <v>#REF!</v>
      </c>
      <c r="CN214" s="1892" t="e">
        <f>SUM(CJ214:CM214)</f>
        <v>#REF!</v>
      </c>
      <c r="CO214" s="1891">
        <f>'Client Unit Model'!BR182</f>
        <v>767.84431398867446</v>
      </c>
      <c r="CP214" s="1891">
        <f>'Client Unit Model'!BS182</f>
        <v>765.10602719913641</v>
      </c>
      <c r="CQ214" s="1891">
        <f>'Client Unit Model'!CD182</f>
        <v>0</v>
      </c>
      <c r="CR214" s="1891" t="e">
        <f>'Client Unit Model'!#REF!</f>
        <v>#REF!</v>
      </c>
      <c r="CS214" s="1892" t="e">
        <f>SUM(CO214:CR214)</f>
        <v>#REF!</v>
      </c>
      <c r="CT214" s="1891">
        <f>'Client Unit Model'!BW182</f>
        <v>794.09463736686405</v>
      </c>
      <c r="CU214" s="1891">
        <f>'Client Unit Model'!BX182</f>
        <v>790.8270980081395</v>
      </c>
      <c r="CV214" s="1891">
        <f>'Client Unit Model'!CI182</f>
        <v>2837.6916666666666</v>
      </c>
      <c r="CW214" s="1891" t="e">
        <f>'Client Unit Model'!#REF!</f>
        <v>#REF!</v>
      </c>
      <c r="CX214" s="1892" t="e">
        <f>SUM(CT214:CW214)</f>
        <v>#REF!</v>
      </c>
      <c r="CY214" s="1893"/>
      <c r="CZ214" s="1893"/>
      <c r="DA214" s="1893"/>
      <c r="DB214" s="1893"/>
      <c r="DC214" s="1893"/>
      <c r="DD214" s="1893"/>
      <c r="DE214" s="1893"/>
      <c r="DF214" s="1893"/>
      <c r="DG214" s="1893"/>
      <c r="DH214" s="1766"/>
      <c r="DI214" s="1762">
        <f>'Client Unit Model'!CY182</f>
        <v>165.56890636296777</v>
      </c>
      <c r="DJ214" s="1766">
        <f>'Client Unit Model'!CZ182</f>
        <v>1298.766895559959</v>
      </c>
      <c r="DK214" s="1894">
        <f>'Client Unit Model'!DA182</f>
        <v>2421.0833333333335</v>
      </c>
      <c r="DL214" s="1894">
        <f>SUM(BU214:BV214,BR214:BS214)</f>
        <v>1167.1116666666667</v>
      </c>
      <c r="DM214" s="1892">
        <f>SUM(BW214:BX214,BZ214:CA214)</f>
        <v>0.04</v>
      </c>
      <c r="DN214" s="1892">
        <f>SUM(CB214:CC214,CE214:CF214)</f>
        <v>1675.8757056733793</v>
      </c>
      <c r="DO214" s="1892"/>
      <c r="DP214" s="1892"/>
      <c r="DQ214" s="1892"/>
      <c r="DR214" s="1993"/>
    </row>
    <row r="215" spans="1:122" hidden="1" outlineLevel="2">
      <c r="A215" s="1760" t="s">
        <v>779</v>
      </c>
      <c r="B215" s="1895"/>
      <c r="C215" s="1785"/>
      <c r="D215" s="1785"/>
      <c r="E215" s="1785"/>
      <c r="F215" s="1785"/>
      <c r="G215" s="1774"/>
      <c r="H215" s="1785"/>
      <c r="I215" s="1785"/>
      <c r="J215" s="1785"/>
      <c r="K215" s="1785"/>
      <c r="L215" s="1774"/>
      <c r="M215" s="1785"/>
      <c r="N215" s="1785"/>
      <c r="O215" s="1785"/>
      <c r="P215" s="1896"/>
      <c r="Q215" s="1897"/>
      <c r="R215" s="1902"/>
      <c r="S215" s="1902"/>
      <c r="T215" s="1900"/>
      <c r="U215" s="1900"/>
      <c r="V215" s="1774"/>
      <c r="W215" s="1902"/>
      <c r="X215" s="1902"/>
      <c r="Y215" s="1902"/>
      <c r="Z215" s="1900"/>
      <c r="AA215" s="1774"/>
      <c r="AB215" s="1900"/>
      <c r="AC215" s="1902"/>
      <c r="AD215" s="1902"/>
      <c r="AE215" s="1902"/>
      <c r="AF215" s="1774"/>
      <c r="AG215" s="1902"/>
      <c r="AH215" s="1902"/>
      <c r="AI215" s="1902"/>
      <c r="AJ215" s="1902"/>
      <c r="AK215" s="1774"/>
      <c r="AL215" s="1902"/>
      <c r="AM215" s="1902"/>
      <c r="AN215" s="1902"/>
      <c r="AO215" s="1900"/>
      <c r="AP215" s="1774"/>
      <c r="AQ215" s="1900"/>
      <c r="AR215" s="1900"/>
      <c r="AS215" s="1900"/>
      <c r="AT215" s="1900"/>
      <c r="AU215" s="1774"/>
      <c r="AV215" s="1900"/>
      <c r="AW215" s="1900"/>
      <c r="AX215" s="1900"/>
      <c r="AY215" s="1900"/>
      <c r="AZ215" s="1774"/>
      <c r="BA215" s="1900"/>
      <c r="BB215" s="1900"/>
      <c r="BC215" s="1900"/>
      <c r="BD215" s="1900"/>
      <c r="BE215" s="1774"/>
      <c r="BF215" s="1900"/>
      <c r="BG215" s="1900"/>
      <c r="BH215" s="1900"/>
      <c r="BI215" s="1900"/>
      <c r="BJ215" s="1774"/>
      <c r="BK215" s="1900"/>
      <c r="BL215" s="1903">
        <f t="shared" ref="BL215:CD215" si="305">BL214/BG214-1</f>
        <v>2.3400029620146725</v>
      </c>
      <c r="BM215" s="1903">
        <f t="shared" si="305"/>
        <v>1.0159142548358147</v>
      </c>
      <c r="BN215" s="1900">
        <f t="shared" si="305"/>
        <v>1.0095703855456333</v>
      </c>
      <c r="BO215" s="1774">
        <f t="shared" si="305"/>
        <v>2.1140737488945387</v>
      </c>
      <c r="BP215" s="1903">
        <f t="shared" si="305"/>
        <v>1.2988694758478934</v>
      </c>
      <c r="BQ215" s="1903">
        <f t="shared" si="305"/>
        <v>0.47045038397492878</v>
      </c>
      <c r="BR215" s="1903">
        <f t="shared" si="305"/>
        <v>0.20226530929437359</v>
      </c>
      <c r="BS215" s="1900">
        <f t="shared" si="305"/>
        <v>1.0258124708443477</v>
      </c>
      <c r="BT215" s="1899">
        <f t="shared" si="305"/>
        <v>0.69266150274832361</v>
      </c>
      <c r="BU215" s="1903">
        <f t="shared" si="305"/>
        <v>-0.99998833737637616</v>
      </c>
      <c r="BV215" s="1903">
        <f t="shared" si="305"/>
        <v>-0.9999877022972109</v>
      </c>
      <c r="BW215" s="1903">
        <f t="shared" si="305"/>
        <v>-0.99998060856778115</v>
      </c>
      <c r="BX215" s="1903">
        <f t="shared" si="305"/>
        <v>-0.99998464844949342</v>
      </c>
      <c r="BY215" s="1899">
        <f t="shared" si="305"/>
        <v>-0.99998590403585075</v>
      </c>
      <c r="BZ215" s="1903">
        <f t="shared" si="305"/>
        <v>0</v>
      </c>
      <c r="CA215" s="1903">
        <f t="shared" si="305"/>
        <v>0</v>
      </c>
      <c r="CB215" s="1903">
        <f t="shared" si="305"/>
        <v>0</v>
      </c>
      <c r="CC215" s="1903">
        <f t="shared" si="305"/>
        <v>0</v>
      </c>
      <c r="CD215" s="1899">
        <f t="shared" si="305"/>
        <v>0</v>
      </c>
      <c r="CE215" s="1903">
        <f t="shared" ref="CE215:CI215" si="306">CE214/BZ214-1</f>
        <v>97131.446654678322</v>
      </c>
      <c r="CF215" s="1903">
        <f t="shared" si="306"/>
        <v>70452.123912659619</v>
      </c>
      <c r="CG215" s="1903">
        <f t="shared" si="306"/>
        <v>76158.198069824561</v>
      </c>
      <c r="CH215" s="1903" t="e">
        <f t="shared" si="306"/>
        <v>#REF!</v>
      </c>
      <c r="CI215" s="1899" t="e">
        <f t="shared" si="306"/>
        <v>#REF!</v>
      </c>
      <c r="CJ215" s="1903">
        <f t="shared" ref="CJ215:CS215" si="307">CJ214/CE214-1</f>
        <v>-0.26593192078228434</v>
      </c>
      <c r="CK215" s="1903">
        <f t="shared" si="307"/>
        <v>2.682582857528093E-3</v>
      </c>
      <c r="CL215" s="1903">
        <f t="shared" si="307"/>
        <v>-1</v>
      </c>
      <c r="CM215" s="1903" t="e">
        <f t="shared" si="307"/>
        <v>#REF!</v>
      </c>
      <c r="CN215" s="1899" t="e">
        <f t="shared" si="307"/>
        <v>#REF!</v>
      </c>
      <c r="CO215" s="1903">
        <f t="shared" si="307"/>
        <v>7.6892878698763933E-2</v>
      </c>
      <c r="CP215" s="1903">
        <f t="shared" si="307"/>
        <v>8.3073419138501636E-2</v>
      </c>
      <c r="CQ215" s="1903" t="e">
        <f t="shared" si="307"/>
        <v>#DIV/0!</v>
      </c>
      <c r="CR215" s="1903" t="e">
        <f t="shared" si="307"/>
        <v>#REF!</v>
      </c>
      <c r="CS215" s="1899" t="e">
        <f t="shared" si="307"/>
        <v>#REF!</v>
      </c>
      <c r="CT215" s="1903">
        <f t="shared" ref="CT215" si="308">CT214/CO214-1</f>
        <v>3.4187038830604477E-2</v>
      </c>
      <c r="CU215" s="1903">
        <f t="shared" ref="CU215" si="309">CU214/CP214-1</f>
        <v>3.3617655455102868E-2</v>
      </c>
      <c r="CV215" s="1903" t="e">
        <f t="shared" ref="CV215" si="310">CV214/CQ214-1</f>
        <v>#DIV/0!</v>
      </c>
      <c r="CW215" s="1903" t="e">
        <f t="shared" ref="CW215" si="311">CW214/CR214-1</f>
        <v>#REF!</v>
      </c>
      <c r="CX215" s="1899" t="e">
        <f t="shared" ref="CX215" si="312">CX214/CS214-1</f>
        <v>#REF!</v>
      </c>
      <c r="CY215" s="1900"/>
      <c r="CZ215" s="1900"/>
      <c r="DA215" s="1900"/>
      <c r="DB215" s="1900"/>
      <c r="DC215" s="1900"/>
      <c r="DD215" s="1900"/>
      <c r="DE215" s="1900"/>
      <c r="DF215" s="1900"/>
      <c r="DG215" s="1900"/>
      <c r="DH215" s="1773"/>
      <c r="DI215" s="1774"/>
      <c r="DJ215" s="1773">
        <f>DJ214/DI214-1</f>
        <v>6.8442681303501667</v>
      </c>
      <c r="DK215" s="1901">
        <f>DK214/DJ214-1</f>
        <v>0.86414000973553562</v>
      </c>
      <c r="DL215" s="1901">
        <f>DL214/DK214-1</f>
        <v>-0.51793825078305167</v>
      </c>
      <c r="DM215" s="1899">
        <f>DM214/DL214-1</f>
        <v>-0.99996572735827904</v>
      </c>
      <c r="DN215" s="1899">
        <f>DN214/DM214-1</f>
        <v>41895.892641834485</v>
      </c>
      <c r="DO215" s="1899"/>
      <c r="DP215" s="1899"/>
      <c r="DQ215" s="1899"/>
      <c r="DR215" s="1898"/>
    </row>
    <row r="216" spans="1:122" hidden="1" outlineLevel="2">
      <c r="A216" s="1760" t="s">
        <v>780</v>
      </c>
      <c r="B216" s="1895"/>
      <c r="C216" s="1785"/>
      <c r="D216" s="1785"/>
      <c r="E216" s="1785"/>
      <c r="F216" s="1785"/>
      <c r="G216" s="1774"/>
      <c r="H216" s="1785"/>
      <c r="I216" s="1785"/>
      <c r="J216" s="1785"/>
      <c r="K216" s="1785"/>
      <c r="L216" s="1774"/>
      <c r="M216" s="1785"/>
      <c r="N216" s="1785"/>
      <c r="O216" s="1785"/>
      <c r="P216" s="1785"/>
      <c r="Q216" s="1897"/>
      <c r="R216" s="1785"/>
      <c r="S216" s="1785"/>
      <c r="T216" s="1785"/>
      <c r="U216" s="1785"/>
      <c r="V216" s="1774"/>
      <c r="W216" s="1785"/>
      <c r="X216" s="1785"/>
      <c r="Y216" s="1785"/>
      <c r="Z216" s="1785"/>
      <c r="AA216" s="1774"/>
      <c r="AB216" s="1785"/>
      <c r="AC216" s="1785"/>
      <c r="AD216" s="1785"/>
      <c r="AE216" s="1785"/>
      <c r="AF216" s="1774"/>
      <c r="AG216" s="1785"/>
      <c r="AH216" s="1785"/>
      <c r="AI216" s="1785"/>
      <c r="AJ216" s="1785"/>
      <c r="AK216" s="1774"/>
      <c r="AL216" s="1785"/>
      <c r="AM216" s="1785"/>
      <c r="AN216" s="1785"/>
      <c r="AO216" s="1785"/>
      <c r="AP216" s="1774"/>
      <c r="AQ216" s="1785"/>
      <c r="AR216" s="1785"/>
      <c r="AS216" s="1785"/>
      <c r="AT216" s="1785"/>
      <c r="AU216" s="1774"/>
      <c r="AV216" s="1785"/>
      <c r="AW216" s="1785"/>
      <c r="AX216" s="1785"/>
      <c r="AY216" s="1785"/>
      <c r="AZ216" s="1774"/>
      <c r="BA216" s="1785"/>
      <c r="BB216" s="1785"/>
      <c r="BC216" s="1785"/>
      <c r="BD216" s="1785"/>
      <c r="BE216" s="1774"/>
      <c r="BF216" s="1785"/>
      <c r="BG216" s="1785"/>
      <c r="BH216" s="1785">
        <f>BH214/BG214-1</f>
        <v>0.28510603043839344</v>
      </c>
      <c r="BI216" s="1785">
        <f>BI214/BH214-1</f>
        <v>-0.24798318719287227</v>
      </c>
      <c r="BJ216" s="1774"/>
      <c r="BK216" s="1785">
        <f>BK214/BI214-1</f>
        <v>1.3310099859081386</v>
      </c>
      <c r="BL216" s="1898">
        <f>BL214/BK214-1</f>
        <v>0.48264168462355506</v>
      </c>
      <c r="BM216" s="1898">
        <f>BM214/BL214-1</f>
        <v>-0.22435291369515697</v>
      </c>
      <c r="BN216" s="1785">
        <f>BN214/BM214-1</f>
        <v>-0.25034970469381423</v>
      </c>
      <c r="BO216" s="1774"/>
      <c r="BP216" s="1898">
        <f>BP214/BN214-1</f>
        <v>1.666583735033432</v>
      </c>
      <c r="BQ216" s="1898">
        <f>BQ214/BP214-1</f>
        <v>-5.1642097406232601E-2</v>
      </c>
      <c r="BR216" s="1898">
        <f>BR214/BQ214-1</f>
        <v>-0.3658177152507911</v>
      </c>
      <c r="BS216" s="1785">
        <f>BS214/BR214-1</f>
        <v>0.26315789473684204</v>
      </c>
      <c r="BT216" s="1899"/>
      <c r="BU216" s="1898">
        <f>BU214/BS214-1</f>
        <v>-0.99998464844949342</v>
      </c>
      <c r="BV216" s="1898">
        <f>BV214/BT214-1</f>
        <v>-0.99999647600896269</v>
      </c>
      <c r="BW216" s="1898">
        <f>BW214/BU214-1</f>
        <v>0</v>
      </c>
      <c r="BX216" s="1898">
        <f>BX214/BV214-1</f>
        <v>0</v>
      </c>
      <c r="BY216" s="1899"/>
      <c r="BZ216" s="1898">
        <f>BZ214/BX214-1</f>
        <v>0</v>
      </c>
      <c r="CA216" s="1898">
        <f>CA214/BY214-1</f>
        <v>-0.75</v>
      </c>
      <c r="CB216" s="1898">
        <f>CB214/BZ214-1</f>
        <v>0</v>
      </c>
      <c r="CC216" s="1898">
        <f>CC214/CA214-1</f>
        <v>0</v>
      </c>
      <c r="CD216" s="1899"/>
      <c r="CE216" s="1898">
        <f>CE214/CC214-1</f>
        <v>97131.446654678322</v>
      </c>
      <c r="CF216" s="1898">
        <f>CF214/CD214-1</f>
        <v>17612.280978164905</v>
      </c>
      <c r="CG216" s="1898">
        <f>CG214/CE214-1</f>
        <v>-0.21592422827993907</v>
      </c>
      <c r="CH216" s="1898" t="e">
        <f>CH214/CF214-1</f>
        <v>#REF!</v>
      </c>
      <c r="CI216" s="1899"/>
      <c r="CJ216" s="1898" t="e">
        <f>CJ214/CH214-1</f>
        <v>#REF!</v>
      </c>
      <c r="CK216" s="1898" t="e">
        <f>CK214/CI214-1</f>
        <v>#REF!</v>
      </c>
      <c r="CL216" s="1898">
        <f>CL214/CJ214-1</f>
        <v>-1</v>
      </c>
      <c r="CM216" s="1898" t="e">
        <f>CM214/CK214-1</f>
        <v>#REF!</v>
      </c>
      <c r="CN216" s="1899"/>
      <c r="CO216" s="1898" t="e">
        <f>CO214/CM214-1</f>
        <v>#REF!</v>
      </c>
      <c r="CP216" s="1898" t="e">
        <f>CP214/CN214-1</f>
        <v>#REF!</v>
      </c>
      <c r="CQ216" s="1898">
        <f>CQ214/CO214-1</f>
        <v>-1</v>
      </c>
      <c r="CR216" s="1898" t="e">
        <f>CR214/CP214-1</f>
        <v>#REF!</v>
      </c>
      <c r="CS216" s="1899"/>
      <c r="CT216" s="1898" t="e">
        <f>CT214/CR214-1</f>
        <v>#REF!</v>
      </c>
      <c r="CU216" s="1898" t="e">
        <f>CU214/CS214-1</f>
        <v>#REF!</v>
      </c>
      <c r="CV216" s="1898">
        <f>CV214/CT214-1</f>
        <v>2.5734930487330323</v>
      </c>
      <c r="CW216" s="1898" t="e">
        <f>CW214/CU214-1</f>
        <v>#REF!</v>
      </c>
      <c r="CX216" s="1899"/>
      <c r="CY216" s="1900"/>
      <c r="CZ216" s="1900"/>
      <c r="DA216" s="1900"/>
      <c r="DB216" s="1900"/>
      <c r="DC216" s="1900"/>
      <c r="DD216" s="1900"/>
      <c r="DE216" s="1900"/>
      <c r="DF216" s="1900"/>
      <c r="DG216" s="1900"/>
      <c r="DH216" s="1773"/>
      <c r="DI216" s="1774"/>
      <c r="DJ216" s="1773"/>
      <c r="DK216" s="1901"/>
      <c r="DL216" s="1901"/>
      <c r="DM216" s="1899"/>
      <c r="DN216" s="1899"/>
      <c r="DO216" s="1899"/>
      <c r="DP216" s="1899"/>
      <c r="DQ216" s="1899"/>
      <c r="DR216" s="1898"/>
    </row>
    <row r="217" spans="1:122" hidden="1" outlineLevel="3">
      <c r="A217" s="1760" t="s">
        <v>644</v>
      </c>
      <c r="B217" s="1895"/>
      <c r="C217" s="1785"/>
      <c r="D217" s="1785"/>
      <c r="E217" s="1785"/>
      <c r="F217" s="1785"/>
      <c r="G217" s="1774"/>
      <c r="H217" s="1785"/>
      <c r="I217" s="1785"/>
      <c r="J217" s="1785"/>
      <c r="K217" s="1785"/>
      <c r="L217" s="1774"/>
      <c r="M217" s="1889">
        <f t="shared" ref="M217:AR217" si="313">M210-M219</f>
        <v>557</v>
      </c>
      <c r="N217" s="1889">
        <f t="shared" si="313"/>
        <v>964</v>
      </c>
      <c r="O217" s="1889">
        <f t="shared" si="313"/>
        <v>649</v>
      </c>
      <c r="P217" s="1889">
        <f t="shared" si="313"/>
        <v>727</v>
      </c>
      <c r="Q217" s="1801">
        <f t="shared" si="313"/>
        <v>2897</v>
      </c>
      <c r="R217" s="1889">
        <f t="shared" si="313"/>
        <v>593</v>
      </c>
      <c r="S217" s="1889">
        <f t="shared" si="313"/>
        <v>680</v>
      </c>
      <c r="T217" s="1889">
        <f t="shared" si="313"/>
        <v>633</v>
      </c>
      <c r="U217" s="1889">
        <f t="shared" si="313"/>
        <v>842</v>
      </c>
      <c r="V217" s="1801">
        <f t="shared" si="313"/>
        <v>2748</v>
      </c>
      <c r="W217" s="1889">
        <f t="shared" si="313"/>
        <v>567</v>
      </c>
      <c r="X217" s="1889">
        <f t="shared" si="313"/>
        <v>769</v>
      </c>
      <c r="Y217" s="1889">
        <f t="shared" si="313"/>
        <v>655</v>
      </c>
      <c r="Z217" s="1889">
        <f t="shared" si="313"/>
        <v>801</v>
      </c>
      <c r="AA217" s="1801">
        <f t="shared" si="313"/>
        <v>2792</v>
      </c>
      <c r="AB217" s="1889">
        <f t="shared" si="313"/>
        <v>639</v>
      </c>
      <c r="AC217" s="1889">
        <f t="shared" si="313"/>
        <v>709</v>
      </c>
      <c r="AD217" s="1889">
        <f t="shared" si="313"/>
        <v>1028</v>
      </c>
      <c r="AE217" s="1889">
        <f t="shared" si="313"/>
        <v>990</v>
      </c>
      <c r="AF217" s="1801">
        <f t="shared" si="313"/>
        <v>3366</v>
      </c>
      <c r="AG217" s="1889">
        <f t="shared" si="313"/>
        <v>771</v>
      </c>
      <c r="AH217" s="1889">
        <f t="shared" si="313"/>
        <v>948</v>
      </c>
      <c r="AI217" s="1889">
        <f t="shared" si="313"/>
        <v>928</v>
      </c>
      <c r="AJ217" s="1889">
        <f t="shared" si="313"/>
        <v>1139</v>
      </c>
      <c r="AK217" s="1801">
        <f t="shared" si="313"/>
        <v>3786</v>
      </c>
      <c r="AL217" s="1889">
        <f t="shared" si="313"/>
        <v>1225</v>
      </c>
      <c r="AM217" s="1889">
        <f t="shared" si="313"/>
        <v>1352</v>
      </c>
      <c r="AN217" s="1889">
        <f t="shared" si="313"/>
        <v>1175</v>
      </c>
      <c r="AO217" s="1890">
        <f t="shared" si="313"/>
        <v>1240</v>
      </c>
      <c r="AP217" s="1801">
        <f t="shared" si="313"/>
        <v>4992</v>
      </c>
      <c r="AQ217" s="1890">
        <f t="shared" si="313"/>
        <v>1397</v>
      </c>
      <c r="AR217" s="1890">
        <f t="shared" si="313"/>
        <v>1773</v>
      </c>
      <c r="AS217" s="1890">
        <f t="shared" ref="AS217:CD217" si="314">AS210-AS219</f>
        <v>1585</v>
      </c>
      <c r="AT217" s="1890">
        <f t="shared" si="314"/>
        <v>1712</v>
      </c>
      <c r="AU217" s="1801">
        <f t="shared" si="314"/>
        <v>6467</v>
      </c>
      <c r="AV217" s="1890">
        <f t="shared" si="314"/>
        <v>1464</v>
      </c>
      <c r="AW217" s="1890">
        <f t="shared" si="314"/>
        <v>1805</v>
      </c>
      <c r="AX217" s="1890">
        <f t="shared" si="314"/>
        <v>1683</v>
      </c>
      <c r="AY217" s="1890">
        <f t="shared" si="314"/>
        <v>1800</v>
      </c>
      <c r="AZ217" s="1801">
        <f t="shared" si="314"/>
        <v>6752</v>
      </c>
      <c r="BA217" s="1890">
        <f t="shared" si="314"/>
        <v>1593</v>
      </c>
      <c r="BB217" s="1890">
        <f t="shared" si="314"/>
        <v>1861</v>
      </c>
      <c r="BC217" s="1890">
        <f t="shared" si="314"/>
        <v>1651</v>
      </c>
      <c r="BD217" s="1890">
        <f t="shared" si="314"/>
        <v>1727</v>
      </c>
      <c r="BE217" s="1801">
        <f t="shared" si="314"/>
        <v>6832</v>
      </c>
      <c r="BF217" s="1890">
        <f t="shared" si="314"/>
        <v>1590</v>
      </c>
      <c r="BG217" s="1890">
        <f t="shared" si="314"/>
        <v>2585</v>
      </c>
      <c r="BH217" s="1890">
        <f t="shared" si="314"/>
        <v>2244</v>
      </c>
      <c r="BI217" s="1890">
        <f t="shared" si="314"/>
        <v>3312</v>
      </c>
      <c r="BJ217" s="1801">
        <f t="shared" si="314"/>
        <v>9731</v>
      </c>
      <c r="BK217" s="1890">
        <f t="shared" si="314"/>
        <v>2339</v>
      </c>
      <c r="BL217" s="1904">
        <f t="shared" si="314"/>
        <v>2947.3024595931283</v>
      </c>
      <c r="BM217" s="1904">
        <f t="shared" si="314"/>
        <v>2475.7687615368918</v>
      </c>
      <c r="BN217" s="1890">
        <f t="shared" si="314"/>
        <v>2159.588185276923</v>
      </c>
      <c r="BO217" s="1801">
        <f t="shared" si="314"/>
        <v>9921.6594064069413</v>
      </c>
      <c r="BP217" s="1904">
        <f t="shared" si="314"/>
        <v>2474.19966755939</v>
      </c>
      <c r="BQ217" s="1904">
        <f t="shared" si="314"/>
        <v>2603.1951786169348</v>
      </c>
      <c r="BR217" s="1904">
        <f t="shared" si="314"/>
        <v>2085.8698223288361</v>
      </c>
      <c r="BS217" s="1890">
        <f t="shared" si="314"/>
        <v>2007.7304011030301</v>
      </c>
      <c r="BT217" s="1905">
        <f t="shared" si="314"/>
        <v>9170.9950696081924</v>
      </c>
      <c r="BU217" s="1904">
        <f t="shared" si="314"/>
        <v>268.80549999999999</v>
      </c>
      <c r="BV217" s="1904">
        <f t="shared" si="314"/>
        <v>217.30549999999999</v>
      </c>
      <c r="BW217" s="1904">
        <f t="shared" si="314"/>
        <v>217.30549999999999</v>
      </c>
      <c r="BX217" s="1904">
        <f t="shared" si="314"/>
        <v>217.30549999999999</v>
      </c>
      <c r="BY217" s="1905">
        <f t="shared" si="314"/>
        <v>920.72199999999998</v>
      </c>
      <c r="BZ217" s="1904">
        <f t="shared" si="314"/>
        <v>217.72216666666668</v>
      </c>
      <c r="CA217" s="1904">
        <f t="shared" si="314"/>
        <v>217.72216666666668</v>
      </c>
      <c r="CB217" s="1904">
        <f t="shared" si="314"/>
        <v>217.72216666666674</v>
      </c>
      <c r="CC217" s="1904">
        <f t="shared" si="314"/>
        <v>217.72216666666668</v>
      </c>
      <c r="CD217" s="1905">
        <f t="shared" si="314"/>
        <v>870.88866666666672</v>
      </c>
      <c r="CE217" s="1904">
        <f t="shared" ref="CE217:CI217" si="315">CE210-CE219</f>
        <v>2406.0440484065816</v>
      </c>
      <c r="CF217" s="1904">
        <f t="shared" si="315"/>
        <v>2023.947488383476</v>
      </c>
      <c r="CG217" s="1904">
        <f t="shared" si="315"/>
        <v>1995.3944634024786</v>
      </c>
      <c r="CH217" s="1904" t="e">
        <f t="shared" si="315"/>
        <v>#REF!</v>
      </c>
      <c r="CI217" s="1905" t="e">
        <f t="shared" si="315"/>
        <v>#REF!</v>
      </c>
      <c r="CJ217" s="1904">
        <f t="shared" ref="CJ217:CS217" si="316">CJ210-CJ219</f>
        <v>2027.6384620324848</v>
      </c>
      <c r="CK217" s="1904">
        <f t="shared" si="316"/>
        <v>1933.3358578788154</v>
      </c>
      <c r="CL217" s="1904">
        <f t="shared" si="316"/>
        <v>0</v>
      </c>
      <c r="CM217" s="1904" t="e">
        <f t="shared" si="316"/>
        <v>#REF!</v>
      </c>
      <c r="CN217" s="1905" t="e">
        <f t="shared" si="316"/>
        <v>#REF!</v>
      </c>
      <c r="CO217" s="1904">
        <f t="shared" si="316"/>
        <v>2071.2269712666784</v>
      </c>
      <c r="CP217" s="1904">
        <f t="shared" si="316"/>
        <v>1975.9668184038023</v>
      </c>
      <c r="CQ217" s="1904">
        <f t="shared" si="316"/>
        <v>7786.7375503683525</v>
      </c>
      <c r="CR217" s="1904" t="e">
        <f t="shared" si="316"/>
        <v>#REF!</v>
      </c>
      <c r="CS217" s="1905" t="e">
        <f t="shared" si="316"/>
        <v>#REF!</v>
      </c>
      <c r="CT217" s="1904">
        <f t="shared" ref="CT217:CX217" si="317">CT210-CT219</f>
        <v>2088.8448381484291</v>
      </c>
      <c r="CU217" s="1904">
        <f t="shared" si="317"/>
        <v>1987.9042247843684</v>
      </c>
      <c r="CV217" s="1904">
        <f t="shared" si="317"/>
        <v>9170.9950696081924</v>
      </c>
      <c r="CW217" s="1904" t="e">
        <f t="shared" si="317"/>
        <v>#REF!</v>
      </c>
      <c r="CX217" s="1905" t="e">
        <f t="shared" si="317"/>
        <v>#REF!</v>
      </c>
      <c r="CY217" s="1900"/>
      <c r="CZ217" s="1900"/>
      <c r="DA217" s="1900"/>
      <c r="DB217" s="1900"/>
      <c r="DC217" s="1900"/>
      <c r="DD217" s="1900"/>
      <c r="DE217" s="1900"/>
      <c r="DF217" s="1900"/>
      <c r="DG217" s="1900"/>
      <c r="DH217" s="1804"/>
      <c r="DI217" s="1801">
        <f>DI210*(1-DI222)</f>
        <v>7704.753408311446</v>
      </c>
      <c r="DJ217" s="1804">
        <f>DJ210*(1-DJ222)</f>
        <v>10842.302459593127</v>
      </c>
      <c r="DK217" s="1906">
        <f>DK210*(1-DK222)</f>
        <v>9712.7517929901387</v>
      </c>
      <c r="DL217" s="1907">
        <f>SUM(BU217:BV217,BR217:BS217)</f>
        <v>4579.7112234318665</v>
      </c>
      <c r="DM217" s="1908">
        <f>SUM(BW217:BX217,BZ217:CA217)</f>
        <v>870.05533333333335</v>
      </c>
      <c r="DN217" s="1908">
        <f>SUM(CB217:CC217,CE217:CF217)</f>
        <v>4865.4358701233905</v>
      </c>
      <c r="DO217" s="1908"/>
      <c r="DP217" s="1908"/>
      <c r="DQ217" s="1908"/>
      <c r="DR217" s="1915"/>
    </row>
    <row r="218" spans="1:122" hidden="1" outlineLevel="3">
      <c r="A218" s="1760" t="s">
        <v>163</v>
      </c>
      <c r="B218" s="1895"/>
      <c r="C218" s="1785"/>
      <c r="D218" s="1785"/>
      <c r="E218" s="1785"/>
      <c r="F218" s="1785"/>
      <c r="G218" s="1774"/>
      <c r="H218" s="1785"/>
      <c r="I218" s="1785"/>
      <c r="J218" s="1785"/>
      <c r="K218" s="1785"/>
      <c r="L218" s="1774"/>
      <c r="M218" s="1785"/>
      <c r="N218" s="1785"/>
      <c r="O218" s="1785"/>
      <c r="P218" s="1896"/>
      <c r="Q218" s="1897"/>
      <c r="R218" s="1902">
        <f t="shared" ref="R218:AW218" si="318">R217/M217-1</f>
        <v>6.4631956912028832E-2</v>
      </c>
      <c r="S218" s="1902">
        <f t="shared" si="318"/>
        <v>-0.29460580912863066</v>
      </c>
      <c r="T218" s="1902">
        <f t="shared" si="318"/>
        <v>-2.4653312788906034E-2</v>
      </c>
      <c r="U218" s="1902">
        <f t="shared" si="318"/>
        <v>0.1581843191196699</v>
      </c>
      <c r="V218" s="1774">
        <f t="shared" si="318"/>
        <v>-5.1432516396271999E-2</v>
      </c>
      <c r="W218" s="1902">
        <f t="shared" si="318"/>
        <v>-4.3844856661045539E-2</v>
      </c>
      <c r="X218" s="1902">
        <f t="shared" si="318"/>
        <v>0.13088235294117645</v>
      </c>
      <c r="Y218" s="1902">
        <f t="shared" si="318"/>
        <v>3.4755134281200695E-2</v>
      </c>
      <c r="Z218" s="1902">
        <f t="shared" si="318"/>
        <v>-4.8693586698337343E-2</v>
      </c>
      <c r="AA218" s="1774">
        <f t="shared" si="318"/>
        <v>1.6011644832605532E-2</v>
      </c>
      <c r="AB218" s="1902">
        <f t="shared" si="318"/>
        <v>0.12698412698412698</v>
      </c>
      <c r="AC218" s="1902">
        <f t="shared" si="318"/>
        <v>-7.8023407022106639E-2</v>
      </c>
      <c r="AD218" s="1902">
        <f t="shared" si="318"/>
        <v>0.56946564885496187</v>
      </c>
      <c r="AE218" s="1902">
        <f t="shared" si="318"/>
        <v>0.23595505617977519</v>
      </c>
      <c r="AF218" s="1774">
        <f t="shared" si="318"/>
        <v>0.20558739255014324</v>
      </c>
      <c r="AG218" s="1902">
        <f t="shared" si="318"/>
        <v>0.20657276995305174</v>
      </c>
      <c r="AH218" s="1902">
        <f t="shared" si="318"/>
        <v>0.3370944992947813</v>
      </c>
      <c r="AI218" s="1902">
        <f t="shared" si="318"/>
        <v>-9.7276264591439676E-2</v>
      </c>
      <c r="AJ218" s="1902">
        <f t="shared" si="318"/>
        <v>0.15050505050505047</v>
      </c>
      <c r="AK218" s="1774">
        <f t="shared" si="318"/>
        <v>0.12477718360071299</v>
      </c>
      <c r="AL218" s="1902">
        <f t="shared" si="318"/>
        <v>0.58884565499351482</v>
      </c>
      <c r="AM218" s="1902">
        <f t="shared" si="318"/>
        <v>0.42616033755274252</v>
      </c>
      <c r="AN218" s="1902">
        <f t="shared" si="318"/>
        <v>0.26616379310344818</v>
      </c>
      <c r="AO218" s="1900">
        <f t="shared" si="318"/>
        <v>8.8674275680421522E-2</v>
      </c>
      <c r="AP218" s="1774">
        <f t="shared" si="318"/>
        <v>0.31854199683042794</v>
      </c>
      <c r="AQ218" s="1900">
        <f t="shared" si="318"/>
        <v>0.14040816326530603</v>
      </c>
      <c r="AR218" s="1900">
        <f t="shared" si="318"/>
        <v>0.31139053254437865</v>
      </c>
      <c r="AS218" s="1900">
        <f t="shared" si="318"/>
        <v>0.34893617021276602</v>
      </c>
      <c r="AT218" s="1900">
        <f t="shared" si="318"/>
        <v>0.38064516129032255</v>
      </c>
      <c r="AU218" s="1774">
        <f t="shared" si="318"/>
        <v>0.29547275641025639</v>
      </c>
      <c r="AV218" s="1900">
        <f t="shared" si="318"/>
        <v>4.7959914101646461E-2</v>
      </c>
      <c r="AW218" s="1900">
        <f t="shared" si="318"/>
        <v>1.8048505358150058E-2</v>
      </c>
      <c r="AX218" s="1900">
        <f t="shared" ref="AX218:CD218" si="319">AX217/AS217-1</f>
        <v>6.1829652996845397E-2</v>
      </c>
      <c r="AY218" s="1900">
        <f t="shared" si="319"/>
        <v>5.1401869158878455E-2</v>
      </c>
      <c r="AZ218" s="1774">
        <f t="shared" si="319"/>
        <v>4.4069893304468755E-2</v>
      </c>
      <c r="BA218" s="1900">
        <f t="shared" si="319"/>
        <v>8.811475409836067E-2</v>
      </c>
      <c r="BB218" s="1900">
        <f t="shared" si="319"/>
        <v>3.1024930747922452E-2</v>
      </c>
      <c r="BC218" s="1900">
        <f t="shared" si="319"/>
        <v>-1.9013666072489555E-2</v>
      </c>
      <c r="BD218" s="1900">
        <f t="shared" si="319"/>
        <v>-4.0555555555555567E-2</v>
      </c>
      <c r="BE218" s="1774">
        <f t="shared" si="319"/>
        <v>1.1848341232227444E-2</v>
      </c>
      <c r="BF218" s="1900">
        <f t="shared" si="319"/>
        <v>-1.8832391713747842E-3</v>
      </c>
      <c r="BG218" s="1900">
        <f t="shared" si="319"/>
        <v>0.38903815153143473</v>
      </c>
      <c r="BH218" s="1900">
        <f t="shared" si="319"/>
        <v>0.35917625681405219</v>
      </c>
      <c r="BI218" s="1900">
        <f t="shared" si="319"/>
        <v>0.91777649102489867</v>
      </c>
      <c r="BJ218" s="1774">
        <f t="shared" si="319"/>
        <v>0.42432669789227173</v>
      </c>
      <c r="BK218" s="1900">
        <f t="shared" si="319"/>
        <v>0.47106918238993711</v>
      </c>
      <c r="BL218" s="1909">
        <f t="shared" si="319"/>
        <v>0.14015569036484665</v>
      </c>
      <c r="BM218" s="1909">
        <f t="shared" si="319"/>
        <v>0.10328376182570942</v>
      </c>
      <c r="BN218" s="1900">
        <f t="shared" si="319"/>
        <v>-0.34795042715068747</v>
      </c>
      <c r="BO218" s="1774">
        <f t="shared" si="319"/>
        <v>1.959299212896326E-2</v>
      </c>
      <c r="BP218" s="1909">
        <f t="shared" si="319"/>
        <v>5.7802337562800288E-2</v>
      </c>
      <c r="BQ218" s="1909">
        <f t="shared" si="319"/>
        <v>-0.11675329753014119</v>
      </c>
      <c r="BR218" s="1909">
        <f t="shared" si="319"/>
        <v>-0.15748600808987379</v>
      </c>
      <c r="BS218" s="1900">
        <f t="shared" si="319"/>
        <v>-7.0317936173752593E-2</v>
      </c>
      <c r="BT218" s="1910">
        <f t="shared" si="319"/>
        <v>-7.5659151967462757E-2</v>
      </c>
      <c r="BU218" s="1909">
        <f t="shared" si="319"/>
        <v>-0.89135658551552699</v>
      </c>
      <c r="BV218" s="1909">
        <f t="shared" si="319"/>
        <v>-0.91652354699141181</v>
      </c>
      <c r="BW218" s="1909">
        <f t="shared" si="319"/>
        <v>-0.89582020043926691</v>
      </c>
      <c r="BX218" s="1909">
        <f t="shared" si="319"/>
        <v>-0.89176559767157271</v>
      </c>
      <c r="BY218" s="1910">
        <f t="shared" si="319"/>
        <v>-0.89960500545342292</v>
      </c>
      <c r="BZ218" s="1909">
        <f t="shared" si="319"/>
        <v>-0.19003827426646147</v>
      </c>
      <c r="CA218" s="1909">
        <f t="shared" si="319"/>
        <v>1.9174234737118212E-3</v>
      </c>
      <c r="CB218" s="1909">
        <f t="shared" si="319"/>
        <v>1.9174234737120432E-3</v>
      </c>
      <c r="CC218" s="1909">
        <f t="shared" si="319"/>
        <v>1.9174234737118212E-3</v>
      </c>
      <c r="CD218" s="1910">
        <f t="shared" si="319"/>
        <v>-5.4124190942904882E-2</v>
      </c>
      <c r="CE218" s="1909">
        <f t="shared" ref="CE218:CI218" si="320">CE217/BZ217-1</f>
        <v>10.050983394310247</v>
      </c>
      <c r="CF218" s="1909">
        <f t="shared" si="320"/>
        <v>8.2960102288626683</v>
      </c>
      <c r="CG218" s="1909">
        <f t="shared" si="320"/>
        <v>8.1648659112300361</v>
      </c>
      <c r="CH218" s="1909" t="e">
        <f t="shared" si="320"/>
        <v>#REF!</v>
      </c>
      <c r="CI218" s="1910" t="e">
        <f t="shared" si="320"/>
        <v>#REF!</v>
      </c>
      <c r="CJ218" s="1909">
        <f t="shared" ref="CJ218:CS218" si="321">CJ217/CE217-1</f>
        <v>-0.15727292549972161</v>
      </c>
      <c r="CK218" s="1909">
        <f t="shared" si="321"/>
        <v>-4.4769753674307022E-2</v>
      </c>
      <c r="CL218" s="1909">
        <f t="shared" si="321"/>
        <v>-1</v>
      </c>
      <c r="CM218" s="1909" t="e">
        <f t="shared" si="321"/>
        <v>#REF!</v>
      </c>
      <c r="CN218" s="1910" t="e">
        <f t="shared" si="321"/>
        <v>#REF!</v>
      </c>
      <c r="CO218" s="1909">
        <f t="shared" si="321"/>
        <v>2.1497180118836834E-2</v>
      </c>
      <c r="CP218" s="1909">
        <f t="shared" si="321"/>
        <v>2.20504680297815E-2</v>
      </c>
      <c r="CQ218" s="1909" t="e">
        <f t="shared" si="321"/>
        <v>#DIV/0!</v>
      </c>
      <c r="CR218" s="1909" t="e">
        <f t="shared" si="321"/>
        <v>#REF!</v>
      </c>
      <c r="CS218" s="1910" t="e">
        <f t="shared" si="321"/>
        <v>#REF!</v>
      </c>
      <c r="CT218" s="1909">
        <f t="shared" ref="CT218" si="322">CT217/CO217-1</f>
        <v>8.5060049555922834E-3</v>
      </c>
      <c r="CU218" s="1909">
        <f t="shared" ref="CU218" si="323">CU217/CP217-1</f>
        <v>6.0412990083553719E-3</v>
      </c>
      <c r="CV218" s="1909">
        <f t="shared" ref="CV218" si="324">CV217/CQ217-1</f>
        <v>0.17777117955829369</v>
      </c>
      <c r="CW218" s="1909" t="e">
        <f t="shared" ref="CW218" si="325">CW217/CR217-1</f>
        <v>#REF!</v>
      </c>
      <c r="CX218" s="1910" t="e">
        <f t="shared" ref="CX218" si="326">CX217/CS217-1</f>
        <v>#REF!</v>
      </c>
      <c r="CY218" s="1900"/>
      <c r="CZ218" s="1900"/>
      <c r="DA218" s="1900"/>
      <c r="DB218" s="1900"/>
      <c r="DC218" s="1900"/>
      <c r="DD218" s="1900"/>
      <c r="DE218" s="1900"/>
      <c r="DF218" s="1900"/>
      <c r="DG218" s="1900"/>
      <c r="DH218" s="1773"/>
      <c r="DI218" s="1774"/>
      <c r="DJ218" s="1773"/>
      <c r="DK218" s="1911"/>
      <c r="DL218" s="1911"/>
      <c r="DM218" s="1910"/>
      <c r="DN218" s="1910"/>
      <c r="DO218" s="1910"/>
      <c r="DP218" s="1910"/>
      <c r="DQ218" s="1910"/>
      <c r="DR218" s="3060"/>
    </row>
    <row r="219" spans="1:122" hidden="1" outlineLevel="2">
      <c r="A219" s="1912" t="s">
        <v>529</v>
      </c>
      <c r="B219" s="1913"/>
      <c r="C219" s="1803"/>
      <c r="D219" s="1803"/>
      <c r="E219" s="1803"/>
      <c r="F219" s="1803"/>
      <c r="G219" s="1801">
        <v>7526</v>
      </c>
      <c r="H219" s="1803">
        <v>2270</v>
      </c>
      <c r="I219" s="1803">
        <v>1952</v>
      </c>
      <c r="J219" s="1803">
        <v>1901</v>
      </c>
      <c r="K219" s="1803">
        <f>L219-J219-J219-I219-H219</f>
        <v>376</v>
      </c>
      <c r="L219" s="1801">
        <v>8400</v>
      </c>
      <c r="M219" s="1803">
        <v>2252</v>
      </c>
      <c r="N219" s="1803">
        <v>2095</v>
      </c>
      <c r="O219" s="1803">
        <v>2274</v>
      </c>
      <c r="P219" s="1887">
        <v>2028</v>
      </c>
      <c r="Q219" s="1914">
        <f>SUM(M219:P219)</f>
        <v>8649</v>
      </c>
      <c r="R219" s="1887">
        <v>2387</v>
      </c>
      <c r="S219" s="1887">
        <v>2513</v>
      </c>
      <c r="T219" s="1803">
        <v>2331</v>
      </c>
      <c r="U219" s="1803">
        <v>2172</v>
      </c>
      <c r="V219" s="1801">
        <f>SUM(R219:U219)</f>
        <v>9403</v>
      </c>
      <c r="W219" s="1887">
        <v>2594</v>
      </c>
      <c r="X219" s="1887">
        <v>2661</v>
      </c>
      <c r="Y219" s="1887">
        <v>2497</v>
      </c>
      <c r="Z219" s="1803">
        <v>2546</v>
      </c>
      <c r="AA219" s="1801">
        <f>SUM(W219:Z219)</f>
        <v>10298</v>
      </c>
      <c r="AB219" s="1887">
        <v>2664</v>
      </c>
      <c r="AC219" s="1887">
        <v>1880</v>
      </c>
      <c r="AD219" s="1887">
        <v>4244</v>
      </c>
      <c r="AE219" s="1803">
        <v>2818</v>
      </c>
      <c r="AF219" s="1801">
        <f>SUM(AB219:AE219)</f>
        <v>11606</v>
      </c>
      <c r="AG219" s="1803">
        <v>3367</v>
      </c>
      <c r="AH219" s="1887">
        <v>3386</v>
      </c>
      <c r="AI219" s="1887">
        <v>3097</v>
      </c>
      <c r="AJ219" s="1803">
        <v>3228</v>
      </c>
      <c r="AK219" s="1801">
        <f>SUM(AG219:AJ219)</f>
        <v>13078</v>
      </c>
      <c r="AL219" s="1803">
        <v>3058</v>
      </c>
      <c r="AM219" s="1887">
        <v>2722</v>
      </c>
      <c r="AN219" s="1887">
        <v>2273</v>
      </c>
      <c r="AO219" s="1803">
        <v>1929</v>
      </c>
      <c r="AP219" s="1801">
        <f>SUM(AL219:AO219)</f>
        <v>9982</v>
      </c>
      <c r="AQ219" s="1803">
        <v>1483</v>
      </c>
      <c r="AR219" s="1803">
        <v>5420</v>
      </c>
      <c r="AS219" s="1803">
        <v>3076</v>
      </c>
      <c r="AT219" s="1803">
        <v>3063</v>
      </c>
      <c r="AU219" s="1801">
        <f>SUM(AQ219:AT219)</f>
        <v>13042</v>
      </c>
      <c r="AV219" s="1803">
        <v>3323</v>
      </c>
      <c r="AW219" s="1803">
        <v>3251</v>
      </c>
      <c r="AX219" s="1803">
        <v>2764</v>
      </c>
      <c r="AY219" s="1803">
        <v>2943</v>
      </c>
      <c r="AZ219" s="1801">
        <f>SUM(AV219:AY219)</f>
        <v>12281</v>
      </c>
      <c r="BA219" s="1803">
        <v>3281</v>
      </c>
      <c r="BB219" s="1803">
        <v>2880</v>
      </c>
      <c r="BC219" s="1803">
        <v>2982</v>
      </c>
      <c r="BD219" s="1803">
        <v>2425</v>
      </c>
      <c r="BE219" s="1801">
        <f>SUM(BA219:BD219)</f>
        <v>11568</v>
      </c>
      <c r="BF219" s="1803">
        <v>1654</v>
      </c>
      <c r="BG219" s="1803">
        <v>3296</v>
      </c>
      <c r="BH219" s="1803">
        <v>3459</v>
      </c>
      <c r="BI219" s="1803">
        <v>1099</v>
      </c>
      <c r="BJ219" s="1801">
        <f>SUM(BF219:BI219)</f>
        <v>9508</v>
      </c>
      <c r="BK219" s="1803">
        <v>2242</v>
      </c>
      <c r="BL219" s="1915">
        <f>(BL210-BL214)*BL220+(BL214*BL221)</f>
        <v>2987.813408758444</v>
      </c>
      <c r="BM219" s="1915">
        <f>(BM210-BM214)*BM220+(BM214*BM221)</f>
        <v>2877.6457500588817</v>
      </c>
      <c r="BN219" s="1803">
        <f>(BN210-BN214)*BN220+(BN214*BN221)</f>
        <v>2576.5229701443209</v>
      </c>
      <c r="BO219" s="1801">
        <f>SUM(BK219:BN219)</f>
        <v>10683.982128961647</v>
      </c>
      <c r="BP219" s="1915">
        <f>(BP210-BP214)*BP220+(BP214*BP221)</f>
        <v>2532.3195013390841</v>
      </c>
      <c r="BQ219" s="1915">
        <f>(BQ210-BQ214)*BQ220+(BQ214*BQ221)</f>
        <v>2786.6977679254023</v>
      </c>
      <c r="BR219" s="1915">
        <f>(BR210-BR214)*BR220+(BR214*BR221)</f>
        <v>2419.7286918265877</v>
      </c>
      <c r="BS219" s="1803">
        <f>(BS210-BS214)*BS220+(BS214*BS221)</f>
        <v>2115.920601654545</v>
      </c>
      <c r="BT219" s="1908">
        <f>SUM(BP219:BS219)</f>
        <v>9854.6665627456186</v>
      </c>
      <c r="BU219" s="1915">
        <f>(BU210-BU214)*BU220+(BU214*BU221)</f>
        <v>403.19450000000001</v>
      </c>
      <c r="BV219" s="1915">
        <f>(BV210-BV214)*BV220+(BV214*BV221)</f>
        <v>325.94450000000001</v>
      </c>
      <c r="BW219" s="1915">
        <f>(BW210-BW214)*BW220+(BW214*BW221)</f>
        <v>325.94450000000001</v>
      </c>
      <c r="BX219" s="1915">
        <f>(BX210-BX214)*BX220+(BX214*BX221)</f>
        <v>325.94450000000001</v>
      </c>
      <c r="BY219" s="1908">
        <f>SUM(BU219:BX219)</f>
        <v>1381.028</v>
      </c>
      <c r="BZ219" s="1915">
        <f>(BZ210-BZ214)*BZ220+(BZ214*BZ221)</f>
        <v>326.56949999999995</v>
      </c>
      <c r="CA219" s="1915">
        <f>(CA210-CA214)*CA220+(CA214*CA221)</f>
        <v>326.56949999999995</v>
      </c>
      <c r="CB219" s="1915">
        <f>(CB210-CB214)*CB220+(CB214*CB221)</f>
        <v>326.56950000000001</v>
      </c>
      <c r="CC219" s="1915">
        <f>(CC210-CC214)*CC220+(CC214*CC221)</f>
        <v>326.56949999999995</v>
      </c>
      <c r="CD219" s="1908">
        <f>SUM(BZ219:CC219)</f>
        <v>1306.2779999999998</v>
      </c>
      <c r="CE219" s="1915">
        <f>(CE210-CE214)*CE220+(CE214*CE221)</f>
        <v>2273.4949311080459</v>
      </c>
      <c r="CF219" s="1915">
        <f>(CF210-CF214)*CF220+(CF214*CF221)</f>
        <v>2067.1907787761447</v>
      </c>
      <c r="CG219" s="1915">
        <f>(CG210-CG214)*CG220+(CG214*CG221)</f>
        <v>1945.9027216436295</v>
      </c>
      <c r="CH219" s="1915" t="e">
        <f>(CH210-CH214)*CH220+(CH214*CH221)</f>
        <v>#REF!</v>
      </c>
      <c r="CI219" s="1908" t="e">
        <f>SUM(CE219:CH219)</f>
        <v>#REF!</v>
      </c>
      <c r="CJ219" s="1915">
        <f>(CJ210-CJ214)*CJ220+(CJ214*CJ221)</f>
        <v>2061.0575505478696</v>
      </c>
      <c r="CK219" s="1915">
        <f>(CK210-CK214)*CK220+(CK214*CK221)</f>
        <v>1928.6746333102262</v>
      </c>
      <c r="CL219" s="1915">
        <f>(CL210-CL214)*CL220+(CL214*CL221)</f>
        <v>0</v>
      </c>
      <c r="CM219" s="1915" t="e">
        <f>(CM210-CM214)*CM220+(CM214*CM221)</f>
        <v>#REF!</v>
      </c>
      <c r="CN219" s="1908" t="e">
        <f>SUM(CJ219:CM219)</f>
        <v>#REF!</v>
      </c>
      <c r="CO219" s="1915">
        <f>(CO210-CO214)*CO220+(CO214*CO221)</f>
        <v>2051.0545251655894</v>
      </c>
      <c r="CP219" s="1915">
        <f>(CP210-CP214)*CP220+(CP214*CP221)</f>
        <v>1911.9294402068908</v>
      </c>
      <c r="CQ219" s="1915">
        <f>(CQ210-CQ214)*CQ220+(CQ214*CQ221)</f>
        <v>11680.106325552528</v>
      </c>
      <c r="CR219" s="1915" t="e">
        <f>(CR210-CR214)*CR220+(CR214*CR221)</f>
        <v>#REF!</v>
      </c>
      <c r="CS219" s="1908" t="e">
        <f>SUM(CO219:CR219)</f>
        <v>#REF!</v>
      </c>
      <c r="CT219" s="1915">
        <f>(CT210-CT214)*CT220+(CT214*CT221)</f>
        <v>2041.3871308432058</v>
      </c>
      <c r="CU219" s="1915">
        <f>(CU210-CU214)*CU220+(CU214*CU221)</f>
        <v>1894.4690774153603</v>
      </c>
      <c r="CV219" s="1915">
        <f>(CV210-CV214)*CV220+(CV214*CV221)</f>
        <v>9854.6665627456223</v>
      </c>
      <c r="CW219" s="1915" t="e">
        <f>(CW210-CW214)*CW220+(CW214*CW221)</f>
        <v>#REF!</v>
      </c>
      <c r="CX219" s="1908" t="e">
        <f>SUM(CT219:CW219)</f>
        <v>#REF!</v>
      </c>
      <c r="CY219" s="1890"/>
      <c r="CZ219" s="1890"/>
      <c r="DA219" s="1890"/>
      <c r="DB219" s="1890"/>
      <c r="DC219" s="1890"/>
      <c r="DD219" s="1890"/>
      <c r="DE219" s="1890"/>
      <c r="DF219" s="1890"/>
      <c r="DG219" s="1890"/>
      <c r="DH219" s="1804"/>
      <c r="DI219" s="1801">
        <f>DI210-DI217</f>
        <v>10565.090831442029</v>
      </c>
      <c r="DJ219" s="1804">
        <f>DJ210-DJ217</f>
        <v>9787.813408758444</v>
      </c>
      <c r="DK219" s="1907">
        <f>DK210-DK217</f>
        <v>10773.185989467691</v>
      </c>
      <c r="DL219" s="1907">
        <f>SUM(BU219:BV219,BR219:BS219)</f>
        <v>5264.7882934811332</v>
      </c>
      <c r="DM219" s="1908">
        <f>SUM(BW219:BX219,BZ219:CA219)</f>
        <v>1305.0279999999998</v>
      </c>
      <c r="DN219" s="1908">
        <f>SUM(CB219:CC219,CE219:CF219)</f>
        <v>4993.8247098841903</v>
      </c>
      <c r="DO219" s="1908"/>
      <c r="DP219" s="1908"/>
      <c r="DQ219" s="1908"/>
      <c r="DR219" s="1915"/>
    </row>
    <row r="220" spans="1:122" hidden="1" outlineLevel="3">
      <c r="A220" s="1760" t="s">
        <v>781</v>
      </c>
      <c r="B220" s="1895"/>
      <c r="C220" s="1785"/>
      <c r="D220" s="1785"/>
      <c r="E220" s="1785"/>
      <c r="F220" s="1785"/>
      <c r="G220" s="1774">
        <f>G219/G210</f>
        <v>0.80405982905982909</v>
      </c>
      <c r="H220" s="1785">
        <f>H219/H210</f>
        <v>0.80869255432846454</v>
      </c>
      <c r="I220" s="1785">
        <f>I219/I210</f>
        <v>0.77032359905288084</v>
      </c>
      <c r="J220" s="1785">
        <f>J219/J210</f>
        <v>0.75227542540561931</v>
      </c>
      <c r="K220" s="1785"/>
      <c r="L220" s="1774">
        <f t="shared" ref="L220:BH220" si="327">L219/L210</f>
        <v>0.80815855301135275</v>
      </c>
      <c r="M220" s="1785">
        <f t="shared" si="327"/>
        <v>0.80170879316482735</v>
      </c>
      <c r="N220" s="1785">
        <f t="shared" si="327"/>
        <v>0.68486433474991826</v>
      </c>
      <c r="O220" s="1785">
        <f t="shared" si="327"/>
        <v>0.77796784125898055</v>
      </c>
      <c r="P220" s="1896">
        <f t="shared" si="327"/>
        <v>0.73611615245009077</v>
      </c>
      <c r="Q220" s="1897">
        <f t="shared" si="327"/>
        <v>0.74909059414515855</v>
      </c>
      <c r="R220" s="1896">
        <f t="shared" si="327"/>
        <v>0.80100671140939594</v>
      </c>
      <c r="S220" s="1896">
        <f t="shared" si="327"/>
        <v>0.78703413717507043</v>
      </c>
      <c r="T220" s="1785">
        <f t="shared" si="327"/>
        <v>0.78643724696356276</v>
      </c>
      <c r="U220" s="1785">
        <f t="shared" si="327"/>
        <v>0.72063702720637024</v>
      </c>
      <c r="V220" s="1774">
        <f t="shared" si="327"/>
        <v>0.77384577401036947</v>
      </c>
      <c r="W220" s="1896">
        <f t="shared" si="327"/>
        <v>0.82062638405567856</v>
      </c>
      <c r="X220" s="1896">
        <f t="shared" si="327"/>
        <v>0.77580174927113699</v>
      </c>
      <c r="Y220" s="1896">
        <f t="shared" si="327"/>
        <v>0.79219543147208127</v>
      </c>
      <c r="Z220" s="1785">
        <f t="shared" si="327"/>
        <v>0.76068120705109055</v>
      </c>
      <c r="AA220" s="1774">
        <f t="shared" si="327"/>
        <v>0.786707410236822</v>
      </c>
      <c r="AB220" s="1896">
        <f t="shared" si="327"/>
        <v>0.80653950953678477</v>
      </c>
      <c r="AC220" s="1896">
        <f t="shared" si="327"/>
        <v>0.72614909231363456</v>
      </c>
      <c r="AD220" s="1896">
        <f t="shared" si="327"/>
        <v>0.80500758725341426</v>
      </c>
      <c r="AE220" s="1896">
        <f t="shared" si="327"/>
        <v>0.74002100840336138</v>
      </c>
      <c r="AF220" s="1774">
        <f t="shared" si="327"/>
        <v>0.77518033662837293</v>
      </c>
      <c r="AG220" s="1896">
        <f t="shared" si="327"/>
        <v>0.81367810536491059</v>
      </c>
      <c r="AH220" s="1896">
        <f t="shared" si="327"/>
        <v>0.78126442085832948</v>
      </c>
      <c r="AI220" s="1896">
        <f t="shared" si="327"/>
        <v>0.76944099378881992</v>
      </c>
      <c r="AJ220" s="1896">
        <f t="shared" si="327"/>
        <v>0.73918021525074418</v>
      </c>
      <c r="AK220" s="1774">
        <f t="shared" si="327"/>
        <v>0.77549810246679318</v>
      </c>
      <c r="AL220" s="1896">
        <f t="shared" si="327"/>
        <v>0.7139855241653047</v>
      </c>
      <c r="AM220" s="1896">
        <f t="shared" si="327"/>
        <v>0.66813942071674026</v>
      </c>
      <c r="AN220" s="1896">
        <f t="shared" si="327"/>
        <v>0.65922273781902552</v>
      </c>
      <c r="AO220" s="1785">
        <f t="shared" si="327"/>
        <v>0.60870937204165354</v>
      </c>
      <c r="AP220" s="1774">
        <f t="shared" si="327"/>
        <v>0.66662214505142248</v>
      </c>
      <c r="AQ220" s="1785">
        <f t="shared" si="327"/>
        <v>0.51493055555555556</v>
      </c>
      <c r="AR220" s="1785">
        <f t="shared" si="327"/>
        <v>0.75351035729181148</v>
      </c>
      <c r="AS220" s="1785">
        <f t="shared" si="327"/>
        <v>0.65994421797897451</v>
      </c>
      <c r="AT220" s="1785">
        <f t="shared" si="327"/>
        <v>0.64146596858638738</v>
      </c>
      <c r="AU220" s="1774">
        <f t="shared" si="327"/>
        <v>0.66851196883489672</v>
      </c>
      <c r="AV220" s="1785">
        <f t="shared" si="327"/>
        <v>0.69417171506162523</v>
      </c>
      <c r="AW220" s="1785">
        <f t="shared" si="327"/>
        <v>0.642998417721519</v>
      </c>
      <c r="AX220" s="1785">
        <f t="shared" si="327"/>
        <v>0.62154261299752644</v>
      </c>
      <c r="AY220" s="1785">
        <f t="shared" si="327"/>
        <v>0.62049335863377608</v>
      </c>
      <c r="AZ220" s="1774">
        <f t="shared" si="327"/>
        <v>0.64524772763095672</v>
      </c>
      <c r="BA220" s="1785">
        <f t="shared" si="327"/>
        <v>0.67316372589249074</v>
      </c>
      <c r="BB220" s="1785">
        <f t="shared" si="327"/>
        <v>0.60746677916051461</v>
      </c>
      <c r="BC220" s="1785">
        <f t="shared" si="327"/>
        <v>0.64364342758471838</v>
      </c>
      <c r="BD220" s="1785">
        <f t="shared" si="327"/>
        <v>0.58405587668593451</v>
      </c>
      <c r="BE220" s="1774">
        <f t="shared" si="327"/>
        <v>0.62869565217391299</v>
      </c>
      <c r="BF220" s="1785">
        <f t="shared" si="327"/>
        <v>0.50986436498150434</v>
      </c>
      <c r="BG220" s="1785">
        <f t="shared" si="327"/>
        <v>0.56044890324774699</v>
      </c>
      <c r="BH220" s="1785">
        <f t="shared" si="327"/>
        <v>0.60652288269331933</v>
      </c>
      <c r="BI220" s="1785">
        <f>BI219/BI210</f>
        <v>0.24914985264112446</v>
      </c>
      <c r="BJ220" s="1774"/>
      <c r="BK220" s="1785">
        <v>0.55000000000000004</v>
      </c>
      <c r="BL220" s="1898">
        <v>0.55000000000000004</v>
      </c>
      <c r="BM220" s="1898">
        <v>0.57999999999999996</v>
      </c>
      <c r="BN220" s="1785">
        <v>0.57999999999999996</v>
      </c>
      <c r="BO220" s="1774"/>
      <c r="BP220" s="1898">
        <v>0.6</v>
      </c>
      <c r="BQ220" s="1898">
        <v>0.6</v>
      </c>
      <c r="BR220" s="1898">
        <v>0.6</v>
      </c>
      <c r="BS220" s="1785">
        <v>0.6</v>
      </c>
      <c r="BT220" s="1899"/>
      <c r="BU220" s="1898">
        <v>0.6</v>
      </c>
      <c r="BV220" s="1898">
        <v>0.6</v>
      </c>
      <c r="BW220" s="1898">
        <v>0.6</v>
      </c>
      <c r="BX220" s="1898">
        <f>BW220</f>
        <v>0.6</v>
      </c>
      <c r="BY220" s="1899"/>
      <c r="BZ220" s="1898">
        <f>BX220</f>
        <v>0.6</v>
      </c>
      <c r="CA220" s="1898">
        <f>BZ220</f>
        <v>0.6</v>
      </c>
      <c r="CB220" s="1898">
        <f>CA220</f>
        <v>0.6</v>
      </c>
      <c r="CC220" s="1898">
        <f>CB220</f>
        <v>0.6</v>
      </c>
      <c r="CD220" s="1899"/>
      <c r="CE220" s="1898">
        <f>CC220</f>
        <v>0.6</v>
      </c>
      <c r="CF220" s="1898">
        <f>CE220</f>
        <v>0.6</v>
      </c>
      <c r="CG220" s="1898">
        <f>CF220</f>
        <v>0.6</v>
      </c>
      <c r="CH220" s="1898">
        <f>CG220</f>
        <v>0.6</v>
      </c>
      <c r="CI220" s="1899"/>
      <c r="CJ220" s="1898">
        <f>CH220</f>
        <v>0.6</v>
      </c>
      <c r="CK220" s="1898">
        <f>CJ220</f>
        <v>0.6</v>
      </c>
      <c r="CL220" s="1898">
        <f>CK220</f>
        <v>0.6</v>
      </c>
      <c r="CM220" s="1898">
        <f>CL220</f>
        <v>0.6</v>
      </c>
      <c r="CN220" s="1899"/>
      <c r="CO220" s="1898">
        <f>CM220</f>
        <v>0.6</v>
      </c>
      <c r="CP220" s="1898">
        <f>CO220</f>
        <v>0.6</v>
      </c>
      <c r="CQ220" s="1898">
        <f>CP220</f>
        <v>0.6</v>
      </c>
      <c r="CR220" s="1898">
        <f>CQ220</f>
        <v>0.6</v>
      </c>
      <c r="CS220" s="1899"/>
      <c r="CT220" s="1898">
        <f>CR220</f>
        <v>0.6</v>
      </c>
      <c r="CU220" s="1898">
        <f>CT220</f>
        <v>0.6</v>
      </c>
      <c r="CV220" s="1898">
        <f>CU220</f>
        <v>0.6</v>
      </c>
      <c r="CW220" s="1898">
        <f>CV220</f>
        <v>0.6</v>
      </c>
      <c r="CX220" s="1899"/>
      <c r="CY220" s="1900"/>
      <c r="CZ220" s="1900"/>
      <c r="DA220" s="1900"/>
      <c r="DB220" s="1900"/>
      <c r="DC220" s="1900"/>
      <c r="DD220" s="1900"/>
      <c r="DE220" s="1900"/>
      <c r="DF220" s="1900"/>
      <c r="DG220" s="1900"/>
      <c r="DH220" s="1773"/>
      <c r="DI220" s="1774"/>
      <c r="DJ220" s="1773"/>
      <c r="DK220" s="1901"/>
      <c r="DL220" s="1901"/>
      <c r="DM220" s="1899"/>
      <c r="DN220" s="1899"/>
      <c r="DO220" s="1899"/>
      <c r="DP220" s="1899"/>
      <c r="DQ220" s="1899"/>
      <c r="DR220" s="1898"/>
    </row>
    <row r="221" spans="1:122" hidden="1" outlineLevel="3">
      <c r="A221" s="1760" t="s">
        <v>782</v>
      </c>
      <c r="B221" s="1895"/>
      <c r="C221" s="1785"/>
      <c r="D221" s="1785"/>
      <c r="E221" s="1785"/>
      <c r="F221" s="1785"/>
      <c r="G221" s="1774"/>
      <c r="H221" s="1785"/>
      <c r="I221" s="1785"/>
      <c r="J221" s="1785"/>
      <c r="K221" s="1785"/>
      <c r="L221" s="1774"/>
      <c r="M221" s="1785"/>
      <c r="N221" s="1785"/>
      <c r="O221" s="1785"/>
      <c r="P221" s="1896"/>
      <c r="Q221" s="1897"/>
      <c r="R221" s="1896"/>
      <c r="S221" s="1896"/>
      <c r="T221" s="1785"/>
      <c r="U221" s="1785"/>
      <c r="V221" s="1774"/>
      <c r="W221" s="1896"/>
      <c r="X221" s="1896"/>
      <c r="Y221" s="1896"/>
      <c r="Z221" s="1785"/>
      <c r="AA221" s="1774"/>
      <c r="AB221" s="1896"/>
      <c r="AC221" s="1896"/>
      <c r="AD221" s="1896"/>
      <c r="AE221" s="1896"/>
      <c r="AF221" s="1774"/>
      <c r="AG221" s="1896"/>
      <c r="AH221" s="1896"/>
      <c r="AI221" s="1896"/>
      <c r="AJ221" s="1896"/>
      <c r="AK221" s="1774"/>
      <c r="AL221" s="1896"/>
      <c r="AM221" s="1896"/>
      <c r="AN221" s="1896"/>
      <c r="AO221" s="1785"/>
      <c r="AP221" s="1774"/>
      <c r="AQ221" s="1785"/>
      <c r="AR221" s="1785"/>
      <c r="AS221" s="1785"/>
      <c r="AT221" s="1785"/>
      <c r="AU221" s="1774"/>
      <c r="AV221" s="1785"/>
      <c r="AW221" s="1785"/>
      <c r="AX221" s="1785"/>
      <c r="AY221" s="1785"/>
      <c r="AZ221" s="1774"/>
      <c r="BA221" s="1785"/>
      <c r="BB221" s="1785"/>
      <c r="BC221" s="1785"/>
      <c r="BD221" s="1785"/>
      <c r="BE221" s="1774"/>
      <c r="BF221" s="1785"/>
      <c r="BG221" s="1785"/>
      <c r="BH221" s="1785">
        <v>0.05</v>
      </c>
      <c r="BI221" s="1785">
        <v>0.05</v>
      </c>
      <c r="BJ221" s="1774"/>
      <c r="BK221" s="1785">
        <f>BI221</f>
        <v>0.05</v>
      </c>
      <c r="BL221" s="1898">
        <f>BK221</f>
        <v>0.05</v>
      </c>
      <c r="BM221" s="1898">
        <f>BL221</f>
        <v>0.05</v>
      </c>
      <c r="BN221" s="1785">
        <f>BM221</f>
        <v>0.05</v>
      </c>
      <c r="BO221" s="1774"/>
      <c r="BP221" s="1898">
        <f>BN221</f>
        <v>0.05</v>
      </c>
      <c r="BQ221" s="1898">
        <f>BP221</f>
        <v>0.05</v>
      </c>
      <c r="BR221" s="1898">
        <f>BQ221</f>
        <v>0.05</v>
      </c>
      <c r="BS221" s="1785">
        <f>BR221</f>
        <v>0.05</v>
      </c>
      <c r="BT221" s="1899"/>
      <c r="BU221" s="1898">
        <f>BS221</f>
        <v>0.05</v>
      </c>
      <c r="BV221" s="1898">
        <f>BU221</f>
        <v>0.05</v>
      </c>
      <c r="BW221" s="1898">
        <f>BU221</f>
        <v>0.05</v>
      </c>
      <c r="BX221" s="1898">
        <f>BV221</f>
        <v>0.05</v>
      </c>
      <c r="BY221" s="1899"/>
      <c r="BZ221" s="1898">
        <f>BX221</f>
        <v>0.05</v>
      </c>
      <c r="CA221" s="1898">
        <f>BZ221</f>
        <v>0.05</v>
      </c>
      <c r="CB221" s="1898">
        <f>BZ221</f>
        <v>0.05</v>
      </c>
      <c r="CC221" s="1898">
        <f>CA221</f>
        <v>0.05</v>
      </c>
      <c r="CD221" s="1899"/>
      <c r="CE221" s="1898">
        <f>CC221</f>
        <v>0.05</v>
      </c>
      <c r="CF221" s="1898">
        <f>CE221</f>
        <v>0.05</v>
      </c>
      <c r="CG221" s="1898">
        <f>CE221</f>
        <v>0.05</v>
      </c>
      <c r="CH221" s="1898">
        <f>CF221</f>
        <v>0.05</v>
      </c>
      <c r="CI221" s="1899"/>
      <c r="CJ221" s="1898">
        <f>CH221</f>
        <v>0.05</v>
      </c>
      <c r="CK221" s="1898">
        <f>CJ221</f>
        <v>0.05</v>
      </c>
      <c r="CL221" s="1898">
        <f>CJ221</f>
        <v>0.05</v>
      </c>
      <c r="CM221" s="1898">
        <f>CK221</f>
        <v>0.05</v>
      </c>
      <c r="CN221" s="1899"/>
      <c r="CO221" s="1898">
        <f>CM221</f>
        <v>0.05</v>
      </c>
      <c r="CP221" s="1898">
        <f>CO221</f>
        <v>0.05</v>
      </c>
      <c r="CQ221" s="1898">
        <f>CO221</f>
        <v>0.05</v>
      </c>
      <c r="CR221" s="1898">
        <f>CP221</f>
        <v>0.05</v>
      </c>
      <c r="CS221" s="1899"/>
      <c r="CT221" s="1898">
        <f>CR221</f>
        <v>0.05</v>
      </c>
      <c r="CU221" s="1898">
        <f>CT221</f>
        <v>0.05</v>
      </c>
      <c r="CV221" s="1898">
        <f>CT221</f>
        <v>0.05</v>
      </c>
      <c r="CW221" s="1898">
        <f>CU221</f>
        <v>0.05</v>
      </c>
      <c r="CX221" s="1899"/>
      <c r="CY221" s="1900"/>
      <c r="CZ221" s="1900"/>
      <c r="DA221" s="1900"/>
      <c r="DB221" s="1900"/>
      <c r="DC221" s="1900"/>
      <c r="DD221" s="1900"/>
      <c r="DE221" s="1900"/>
      <c r="DF221" s="1900"/>
      <c r="DG221" s="1900"/>
      <c r="DH221" s="1773"/>
      <c r="DI221" s="1774"/>
      <c r="DJ221" s="1773"/>
      <c r="DK221" s="1901"/>
      <c r="DL221" s="1901"/>
      <c r="DM221" s="1899"/>
      <c r="DN221" s="1899"/>
      <c r="DO221" s="1899"/>
      <c r="DP221" s="1899"/>
      <c r="DQ221" s="1899"/>
      <c r="DR221" s="1898"/>
    </row>
    <row r="222" spans="1:122" hidden="1" outlineLevel="2">
      <c r="A222" s="1824" t="s">
        <v>783</v>
      </c>
      <c r="B222" s="1916"/>
      <c r="C222" s="1917"/>
      <c r="D222" s="1917"/>
      <c r="E222" s="1917"/>
      <c r="F222" s="1917"/>
      <c r="G222" s="1918"/>
      <c r="H222" s="1917"/>
      <c r="I222" s="1917"/>
      <c r="J222" s="1917"/>
      <c r="K222" s="1917"/>
      <c r="L222" s="1918"/>
      <c r="M222" s="1917"/>
      <c r="N222" s="1917"/>
      <c r="O222" s="1917"/>
      <c r="P222" s="1919"/>
      <c r="Q222" s="1920"/>
      <c r="R222" s="1919"/>
      <c r="S222" s="1919"/>
      <c r="T222" s="1917"/>
      <c r="U222" s="1917"/>
      <c r="V222" s="1918"/>
      <c r="W222" s="1919"/>
      <c r="X222" s="1919"/>
      <c r="Y222" s="1919"/>
      <c r="Z222" s="1917"/>
      <c r="AA222" s="1918"/>
      <c r="AB222" s="1919"/>
      <c r="AC222" s="1919"/>
      <c r="AD222" s="1919"/>
      <c r="AE222" s="1919"/>
      <c r="AF222" s="1918"/>
      <c r="AG222" s="1919"/>
      <c r="AH222" s="1919"/>
      <c r="AI222" s="1919"/>
      <c r="AJ222" s="1919"/>
      <c r="AK222" s="1918"/>
      <c r="AL222" s="1919"/>
      <c r="AM222" s="1919"/>
      <c r="AN222" s="1919"/>
      <c r="AO222" s="1917"/>
      <c r="AP222" s="1918"/>
      <c r="AQ222" s="1917"/>
      <c r="AR222" s="1917"/>
      <c r="AS222" s="1917"/>
      <c r="AT222" s="1917"/>
      <c r="AU222" s="1918"/>
      <c r="AV222" s="1917"/>
      <c r="AW222" s="1917"/>
      <c r="AX222" s="1917"/>
      <c r="AY222" s="1917"/>
      <c r="AZ222" s="1918"/>
      <c r="BA222" s="1917"/>
      <c r="BB222" s="1917"/>
      <c r="BC222" s="1917"/>
      <c r="BD222" s="1917"/>
      <c r="BE222" s="1918"/>
      <c r="BF222" s="1917">
        <f t="shared" ref="BF222:CD222" si="328">BF219/BF210</f>
        <v>0.50986436498150434</v>
      </c>
      <c r="BG222" s="1917">
        <f t="shared" si="328"/>
        <v>0.56044890324774699</v>
      </c>
      <c r="BH222" s="1917">
        <f t="shared" si="328"/>
        <v>0.60652288269331933</v>
      </c>
      <c r="BI222" s="1917">
        <f t="shared" si="328"/>
        <v>0.24914985264112446</v>
      </c>
      <c r="BJ222" s="1918">
        <f t="shared" si="328"/>
        <v>0.49420448048235355</v>
      </c>
      <c r="BK222" s="1917">
        <f t="shared" si="328"/>
        <v>0.48941279196681947</v>
      </c>
      <c r="BL222" s="1921">
        <f t="shared" si="328"/>
        <v>0.50341281872703925</v>
      </c>
      <c r="BM222" s="1921">
        <f t="shared" si="328"/>
        <v>0.53753464145654173</v>
      </c>
      <c r="BN222" s="1917">
        <f t="shared" si="328"/>
        <v>0.54401657511671242</v>
      </c>
      <c r="BO222" s="1918">
        <f t="shared" si="328"/>
        <v>0.51849791284697966</v>
      </c>
      <c r="BP222" s="1921">
        <f t="shared" si="328"/>
        <v>0.50580441538511889</v>
      </c>
      <c r="BQ222" s="1921">
        <f t="shared" si="328"/>
        <v>0.51702284174551061</v>
      </c>
      <c r="BR222" s="1921">
        <f t="shared" si="328"/>
        <v>0.53704933633665464</v>
      </c>
      <c r="BS222" s="1917">
        <f t="shared" si="328"/>
        <v>0.513118253760947</v>
      </c>
      <c r="BT222" s="1922">
        <f t="shared" si="328"/>
        <v>0.51796708851309592</v>
      </c>
      <c r="BU222" s="1921">
        <f t="shared" si="328"/>
        <v>0.59999181547619052</v>
      </c>
      <c r="BV222" s="1921">
        <f t="shared" si="328"/>
        <v>0.59998987574781404</v>
      </c>
      <c r="BW222" s="1921">
        <f t="shared" si="328"/>
        <v>0.59998987574781404</v>
      </c>
      <c r="BX222" s="1921">
        <f t="shared" si="328"/>
        <v>0.59998987574781404</v>
      </c>
      <c r="BY222" s="1922">
        <f t="shared" si="328"/>
        <v>0.59999044205495822</v>
      </c>
      <c r="BZ222" s="1921">
        <f t="shared" si="328"/>
        <v>0.59998989512363154</v>
      </c>
      <c r="CA222" s="1921">
        <f t="shared" si="328"/>
        <v>0.59998989512363154</v>
      </c>
      <c r="CB222" s="1921">
        <f t="shared" si="328"/>
        <v>0.59998989512363154</v>
      </c>
      <c r="CC222" s="1921">
        <f t="shared" si="328"/>
        <v>0.59998989512363154</v>
      </c>
      <c r="CD222" s="1922">
        <f t="shared" si="328"/>
        <v>0.59998989512363154</v>
      </c>
      <c r="CE222" s="1921">
        <f t="shared" ref="CE222:CI222" si="329">CE219/CE210</f>
        <v>0.48583737437824653</v>
      </c>
      <c r="CF222" s="1921">
        <f t="shared" si="329"/>
        <v>0.50528499497802248</v>
      </c>
      <c r="CG222" s="1921">
        <f t="shared" si="329"/>
        <v>0.4937213892488711</v>
      </c>
      <c r="CH222" s="1921" t="e">
        <f t="shared" si="329"/>
        <v>#REF!</v>
      </c>
      <c r="CI222" s="1922" t="e">
        <f t="shared" si="329"/>
        <v>#REF!</v>
      </c>
      <c r="CJ222" s="1921">
        <f t="shared" ref="CJ222:CS222" si="330">CJ219/CJ210</f>
        <v>0.50408676610006697</v>
      </c>
      <c r="CK222" s="1921">
        <f t="shared" si="330"/>
        <v>0.49939652875371215</v>
      </c>
      <c r="CL222" s="1921" t="e">
        <f t="shared" si="330"/>
        <v>#DIV/0!</v>
      </c>
      <c r="CM222" s="1921" t="e">
        <f t="shared" si="330"/>
        <v>#REF!</v>
      </c>
      <c r="CN222" s="1922" t="e">
        <f t="shared" si="330"/>
        <v>#REF!</v>
      </c>
      <c r="CO222" s="1921">
        <f t="shared" si="330"/>
        <v>0.49755324252861582</v>
      </c>
      <c r="CP222" s="1921">
        <f t="shared" si="330"/>
        <v>0.49176452071540167</v>
      </c>
      <c r="CQ222" s="1921">
        <f t="shared" si="330"/>
        <v>0.6</v>
      </c>
      <c r="CR222" s="1921" t="e">
        <f t="shared" si="330"/>
        <v>#REF!</v>
      </c>
      <c r="CS222" s="1922" t="e">
        <f t="shared" si="330"/>
        <v>#REF!</v>
      </c>
      <c r="CT222" s="1921">
        <f t="shared" ref="CT222:CX222" si="331">CT219/CT210</f>
        <v>0.49425483754162969</v>
      </c>
      <c r="CU222" s="1921">
        <f t="shared" si="331"/>
        <v>0.48796674867457124</v>
      </c>
      <c r="CV222" s="1921">
        <f t="shared" si="331"/>
        <v>0.51796708851309592</v>
      </c>
      <c r="CW222" s="1921" t="e">
        <f t="shared" si="331"/>
        <v>#REF!</v>
      </c>
      <c r="CX222" s="1922" t="e">
        <f t="shared" si="331"/>
        <v>#REF!</v>
      </c>
      <c r="CY222" s="1923"/>
      <c r="CZ222" s="1923"/>
      <c r="DA222" s="1923"/>
      <c r="DB222" s="1923"/>
      <c r="DC222" s="1923"/>
      <c r="DD222" s="1923"/>
      <c r="DE222" s="1923"/>
      <c r="DF222" s="1923"/>
      <c r="DG222" s="1923"/>
      <c r="DH222" s="1924"/>
      <c r="DI222" s="1918">
        <f>SUM(BC219:BD219,BF219:BG219)/SUM(BC210:BD210,BF210:BG210)</f>
        <v>0.57828029034059181</v>
      </c>
      <c r="DJ222" s="1924">
        <f>SUM(BH219:BI219,BK219:BL219)/SUM(BH210:BI210,BK210:BL210)</f>
        <v>0.47444296829053773</v>
      </c>
      <c r="DK222" s="1925">
        <f>SUM(BM219:BN219,BP219:BQ219)/SUM(BM210:BN210,BP210:BQ210)</f>
        <v>0.5258820027605865</v>
      </c>
      <c r="DL222" s="1925">
        <f>DL219/DL210</f>
        <v>0.53479491612916918</v>
      </c>
      <c r="DM222" s="1922">
        <f>DM219/DM210</f>
        <v>0.59998988544500209</v>
      </c>
      <c r="DN222" s="1922">
        <f>DN219/DN210</f>
        <v>0.5065110785296183</v>
      </c>
      <c r="DO222" s="1922"/>
      <c r="DP222" s="1922"/>
      <c r="DQ222" s="1922"/>
      <c r="DR222" s="1921"/>
    </row>
    <row r="223" spans="1:122" hidden="1" outlineLevel="2">
      <c r="A223" s="1926"/>
      <c r="B223" s="1886"/>
      <c r="C223" s="1803"/>
      <c r="D223" s="1803"/>
      <c r="E223" s="1803"/>
      <c r="F223" s="1803"/>
      <c r="G223" s="1762"/>
      <c r="H223" s="1803"/>
      <c r="I223" s="1803"/>
      <c r="J223" s="1803"/>
      <c r="K223" s="1803"/>
      <c r="L223" s="1762"/>
      <c r="M223" s="1803"/>
      <c r="N223" s="1803"/>
      <c r="O223" s="1803"/>
      <c r="P223" s="1927"/>
      <c r="Q223" s="1888"/>
      <c r="R223" s="1928"/>
      <c r="S223" s="1928"/>
      <c r="T223" s="1893"/>
      <c r="U223" s="1893"/>
      <c r="V223" s="1929"/>
      <c r="W223" s="1928"/>
      <c r="X223" s="1928"/>
      <c r="Y223" s="1928"/>
      <c r="Z223" s="1893"/>
      <c r="AA223" s="1929"/>
      <c r="AB223" s="1928"/>
      <c r="AC223" s="1928"/>
      <c r="AD223" s="1928"/>
      <c r="AE223" s="1893"/>
      <c r="AF223" s="1929"/>
      <c r="AG223" s="1893"/>
      <c r="AH223" s="1928"/>
      <c r="AI223" s="1928"/>
      <c r="AJ223" s="1893"/>
      <c r="AK223" s="1929"/>
      <c r="AL223" s="1893"/>
      <c r="AM223" s="1928"/>
      <c r="AN223" s="1928"/>
      <c r="AO223" s="1893"/>
      <c r="AP223" s="1930"/>
      <c r="AQ223" s="1833"/>
      <c r="AR223" s="1833"/>
      <c r="AS223" s="1833"/>
      <c r="AT223" s="1833"/>
      <c r="AU223" s="1930"/>
      <c r="AV223" s="1833"/>
      <c r="AW223" s="1833"/>
      <c r="AX223" s="1833"/>
      <c r="AY223" s="1833"/>
      <c r="AZ223" s="1930"/>
      <c r="BA223" s="1833"/>
      <c r="BB223" s="1833"/>
      <c r="BC223" s="1833"/>
      <c r="BD223" s="1833"/>
      <c r="BE223" s="1930"/>
      <c r="BF223" s="1833"/>
      <c r="BG223" s="1833"/>
      <c r="BH223" s="1833"/>
      <c r="BI223" s="1833"/>
      <c r="BJ223" s="1930"/>
      <c r="BK223" s="1833"/>
      <c r="BL223" s="1931"/>
      <c r="BM223" s="1931"/>
      <c r="BN223" s="1833"/>
      <c r="BO223" s="1930"/>
      <c r="BP223" s="1932"/>
      <c r="BQ223" s="1931"/>
      <c r="BR223" s="1931"/>
      <c r="BS223" s="1833"/>
      <c r="BT223" s="1933"/>
      <c r="BU223" s="1932"/>
      <c r="BV223" s="1931"/>
      <c r="BW223" s="1931"/>
      <c r="BX223" s="1931"/>
      <c r="BY223" s="1933"/>
      <c r="BZ223" s="1931"/>
      <c r="CA223" s="1931"/>
      <c r="CB223" s="1931"/>
      <c r="CC223" s="1931"/>
      <c r="CD223" s="1933"/>
      <c r="CE223" s="1931"/>
      <c r="CF223" s="1931"/>
      <c r="CG223" s="1931"/>
      <c r="CH223" s="1931"/>
      <c r="CI223" s="1933"/>
      <c r="CJ223" s="1931"/>
      <c r="CK223" s="1931"/>
      <c r="CL223" s="1931"/>
      <c r="CM223" s="1931"/>
      <c r="CN223" s="1933"/>
      <c r="CO223" s="1931"/>
      <c r="CP223" s="1931"/>
      <c r="CQ223" s="1931"/>
      <c r="CR223" s="1931"/>
      <c r="CS223" s="1933"/>
      <c r="CT223" s="1931"/>
      <c r="CU223" s="1931"/>
      <c r="CV223" s="1931"/>
      <c r="CW223" s="1931"/>
      <c r="CX223" s="1933"/>
      <c r="CY223" s="1893"/>
      <c r="CZ223" s="1893"/>
      <c r="DA223" s="1893"/>
      <c r="DB223" s="1893"/>
      <c r="DC223" s="1893"/>
      <c r="DD223" s="1893"/>
      <c r="DE223" s="1893"/>
      <c r="DF223" s="1893"/>
      <c r="DG223" s="1893"/>
      <c r="DH223" s="1934"/>
      <c r="DI223" s="1930"/>
      <c r="DJ223" s="1934"/>
      <c r="DK223" s="1935"/>
      <c r="DL223" s="1935"/>
      <c r="DM223" s="1933"/>
      <c r="DN223" s="1933"/>
      <c r="DO223" s="1933"/>
      <c r="DP223" s="1933"/>
      <c r="DQ223" s="1933"/>
      <c r="DR223" s="3061"/>
    </row>
    <row r="224" spans="1:122" hidden="1" outlineLevel="2">
      <c r="A224" s="1885" t="s">
        <v>164</v>
      </c>
      <c r="B224" s="1886">
        <f>(B322-B321)/1000</f>
        <v>4903.08</v>
      </c>
      <c r="C224" s="1803">
        <f>(C322-C321)/1000</f>
        <v>1205.4000000000001</v>
      </c>
      <c r="D224" s="1803">
        <f>(D322-D321)/1000</f>
        <v>1317.96</v>
      </c>
      <c r="E224" s="1803">
        <f>(E322-E321)/1000</f>
        <v>1269.24</v>
      </c>
      <c r="F224" s="1803">
        <f>(F322-F321)/1000</f>
        <v>1379.28</v>
      </c>
      <c r="G224" s="1762">
        <f>SUM(C224:F224)</f>
        <v>5171.88</v>
      </c>
      <c r="H224" s="1803">
        <f>(H322-H321)/1000</f>
        <v>1365</v>
      </c>
      <c r="I224" s="1803">
        <f>(I322-I321)/1000</f>
        <v>1480.92</v>
      </c>
      <c r="J224" s="1803">
        <f>(J322-J321)/1000</f>
        <v>1534.68</v>
      </c>
      <c r="K224" s="1803">
        <f>(K322-K321)/1000</f>
        <v>1617</v>
      </c>
      <c r="L224" s="1762">
        <f>SUM(H224:K224)</f>
        <v>5997.6</v>
      </c>
      <c r="M224" s="1803">
        <f>(M322-M321)/1000</f>
        <v>1579.2</v>
      </c>
      <c r="N224" s="1803">
        <f>(N322-N321)/1000</f>
        <v>1802.64</v>
      </c>
      <c r="O224" s="1803">
        <f>(O322-O321)/1000</f>
        <v>1840.44</v>
      </c>
      <c r="P224" s="1803">
        <f>(P322-P321)/1000</f>
        <v>1949.64</v>
      </c>
      <c r="Q224" s="1762">
        <f>SUM(M224:P224)</f>
        <v>7171.920000000001</v>
      </c>
      <c r="R224" s="1889">
        <v>1906</v>
      </c>
      <c r="S224" s="1889">
        <v>2161</v>
      </c>
      <c r="T224" s="1890">
        <v>2058</v>
      </c>
      <c r="U224" s="1890">
        <v>2245</v>
      </c>
      <c r="V224" s="1762">
        <f>SUM(R224:U224)</f>
        <v>8370</v>
      </c>
      <c r="W224" s="1889">
        <v>2127</v>
      </c>
      <c r="X224" s="1889">
        <v>2438</v>
      </c>
      <c r="Y224" s="1889">
        <v>2398</v>
      </c>
      <c r="Z224" s="1890">
        <v>2690</v>
      </c>
      <c r="AA224" s="1762">
        <f>SUM(W224:Z224)</f>
        <v>9653</v>
      </c>
      <c r="AB224" s="1889">
        <v>2499</v>
      </c>
      <c r="AC224" s="1889">
        <v>2845</v>
      </c>
      <c r="AD224" s="1889">
        <v>2749</v>
      </c>
      <c r="AE224" s="1890">
        <v>3082</v>
      </c>
      <c r="AF224" s="1762">
        <f>SUM(AB224:AE224)</f>
        <v>11175</v>
      </c>
      <c r="AG224" s="1890">
        <v>2900</v>
      </c>
      <c r="AH224" s="1889">
        <v>3261</v>
      </c>
      <c r="AI224" s="1889">
        <v>3255</v>
      </c>
      <c r="AJ224" s="1890">
        <v>3737</v>
      </c>
      <c r="AK224" s="1762">
        <f>SUM(AG224:AJ224)</f>
        <v>13153</v>
      </c>
      <c r="AL224" s="1890">
        <v>3417</v>
      </c>
      <c r="AM224" s="1889">
        <v>3755</v>
      </c>
      <c r="AN224" s="1889">
        <v>3491</v>
      </c>
      <c r="AO224" s="1890">
        <v>3528</v>
      </c>
      <c r="AP224" s="1762">
        <f>SUM(AL224:AO224)</f>
        <v>14191</v>
      </c>
      <c r="AQ224" s="1890">
        <v>3550</v>
      </c>
      <c r="AR224" s="1890">
        <v>3978</v>
      </c>
      <c r="AS224" s="1890">
        <v>3706</v>
      </c>
      <c r="AT224" s="1890">
        <v>4149</v>
      </c>
      <c r="AU224" s="1762">
        <f>SUM(AQ224:AT224)</f>
        <v>15383</v>
      </c>
      <c r="AV224" s="1890">
        <v>3861</v>
      </c>
      <c r="AW224" s="1890">
        <v>4288</v>
      </c>
      <c r="AX224" s="1890">
        <v>4007</v>
      </c>
      <c r="AY224" s="1890">
        <v>4524</v>
      </c>
      <c r="AZ224" s="1762">
        <f>SUM(AV224:AY224)</f>
        <v>16680</v>
      </c>
      <c r="BA224" s="1890">
        <v>4216</v>
      </c>
      <c r="BB224" s="1890">
        <v>4737</v>
      </c>
      <c r="BC224" s="1890">
        <v>4531</v>
      </c>
      <c r="BD224" s="1890">
        <v>5050</v>
      </c>
      <c r="BE224" s="1762">
        <f>SUM(BA224:BD224)</f>
        <v>18534</v>
      </c>
      <c r="BF224" s="1890">
        <v>4553</v>
      </c>
      <c r="BG224" s="1890">
        <v>5186</v>
      </c>
      <c r="BH224" s="1890">
        <v>5039</v>
      </c>
      <c r="BI224" s="1890">
        <v>5502</v>
      </c>
      <c r="BJ224" s="1762">
        <f>SUM(BF224:BI224)</f>
        <v>20280</v>
      </c>
      <c r="BK224" s="1890">
        <v>5052</v>
      </c>
      <c r="BL224" s="1891">
        <f>BG224*(1+BL226)</f>
        <v>5652.7400000000007</v>
      </c>
      <c r="BM224" s="1891">
        <f>BH224*(1+BM226)</f>
        <v>5492.51</v>
      </c>
      <c r="BN224" s="1890">
        <f>BI224*(1+BN226)</f>
        <v>6019.1880000000001</v>
      </c>
      <c r="BO224" s="1762">
        <f>SUM(BK224:BN224)</f>
        <v>22216.438000000002</v>
      </c>
      <c r="BP224" s="1891">
        <f>BK224*(1+BP226)</f>
        <v>5529.9094355370089</v>
      </c>
      <c r="BQ224" s="1891">
        <f>BL224*(1+BQ226)</f>
        <v>6076.6955000000007</v>
      </c>
      <c r="BR224" s="1891">
        <f>BM224*(1+BR226)</f>
        <v>5904.4482500000004</v>
      </c>
      <c r="BS224" s="1890">
        <f>BN224*(1+BS226)</f>
        <v>6494.7038519999996</v>
      </c>
      <c r="BT224" s="1892">
        <f>SUM(BP224:BS224)</f>
        <v>24005.757037537009</v>
      </c>
      <c r="BU224" s="1891">
        <f>BP224*(1+BU226)</f>
        <v>5970.0795384434368</v>
      </c>
      <c r="BV224" s="1891">
        <f>BQ224*(1+BV226)</f>
        <v>6441.297230000001</v>
      </c>
      <c r="BW224" s="1891">
        <f>BR224*(1+BW226)</f>
        <v>6258.715145000001</v>
      </c>
      <c r="BX224" s="1891">
        <f>BS224*(1+BX226)</f>
        <v>6910.3648985279997</v>
      </c>
      <c r="BY224" s="1892">
        <f>SUM(BU224:BX224)</f>
        <v>25580.456811971439</v>
      </c>
      <c r="BZ224" s="1891">
        <f>BU224*(1+BZ226)</f>
        <v>6355.7351377075029</v>
      </c>
      <c r="CA224" s="1891">
        <f>BV224*(1+CA226)</f>
        <v>6731.1556053500008</v>
      </c>
      <c r="CB224" s="1891">
        <f>BW224*(1+CB226)</f>
        <v>6540.3573265250006</v>
      </c>
      <c r="CC224" s="1891">
        <f>BX224*(1+CC226)</f>
        <v>7248.9727785558716</v>
      </c>
      <c r="CD224" s="1892">
        <f>SUM(BZ224:CC224)</f>
        <v>26876.220848138375</v>
      </c>
      <c r="CE224" s="1891">
        <f>BZ224*(1+CE226)</f>
        <v>6670.9673162265244</v>
      </c>
      <c r="CF224" s="1891">
        <f>CA224*(1+CF226)</f>
        <v>6933.090273510501</v>
      </c>
      <c r="CG224" s="1891">
        <f>CB224*(1+CG226)</f>
        <v>6736.5680463207509</v>
      </c>
      <c r="CH224" s="1891">
        <f>CC224*(1+CH226)</f>
        <v>7495.4378530267713</v>
      </c>
      <c r="CI224" s="1892">
        <f>SUM(CE224:CH224)</f>
        <v>27836.063489084547</v>
      </c>
      <c r="CJ224" s="1891">
        <f>CE224*(1+CJ226)</f>
        <v>6901.7698917785965</v>
      </c>
      <c r="CK224" s="1891">
        <f>CF224*(1+CK226)</f>
        <v>7037.0866276131583</v>
      </c>
      <c r="CL224" s="1891">
        <f>CG224*(1+CL226)</f>
        <v>6837.6165670155615</v>
      </c>
      <c r="CM224" s="1891">
        <f>CH224*(1+CM226)</f>
        <v>7637.8511722342791</v>
      </c>
      <c r="CN224" s="1892">
        <f>SUM(CJ224:CM224)</f>
        <v>28414.324258641594</v>
      </c>
      <c r="CO224" s="1891">
        <f>CJ224*(1+CO226)</f>
        <v>7037.0312419748188</v>
      </c>
      <c r="CP224" s="1891">
        <f>CK224*(1+CP226)</f>
        <v>7037.0866276131583</v>
      </c>
      <c r="CQ224" s="1891">
        <f>CL224*(1+CQ226)</f>
        <v>6837.6165670155615</v>
      </c>
      <c r="CR224" s="1891">
        <f>CM224*(1+CR226)</f>
        <v>7668.4025769232167</v>
      </c>
      <c r="CS224" s="1892">
        <f>SUM(CO224:CR224)</f>
        <v>28580.137013526757</v>
      </c>
      <c r="CT224" s="1891">
        <f>CO224*(1+CT226)</f>
        <v>7069.387984573269</v>
      </c>
      <c r="CU224" s="1891">
        <f>CP224*(1+CU226)</f>
        <v>6931.5303281989609</v>
      </c>
      <c r="CV224" s="1891">
        <f>CQ224*(1+CV226)</f>
        <v>6735.0523185103284</v>
      </c>
      <c r="CW224" s="1891">
        <f>CR224*(1+CW226)</f>
        <v>7584.050148577061</v>
      </c>
      <c r="CX224" s="1892">
        <f>SUM(CT224:CW224)</f>
        <v>28320.02077985962</v>
      </c>
      <c r="CY224" s="1893"/>
      <c r="CZ224" s="1893"/>
      <c r="DA224" s="1893">
        <f>IS!FS12</f>
        <v>7857.08</v>
      </c>
      <c r="DB224" s="1893">
        <f>IS!FT12</f>
        <v>17238</v>
      </c>
      <c r="DC224" s="1893">
        <f>IS!FU12</f>
        <v>20085</v>
      </c>
      <c r="DD224" s="1893">
        <f>IS!FV12</f>
        <v>23167</v>
      </c>
      <c r="DE224" s="1893">
        <f>IS!FW12</f>
        <v>14164</v>
      </c>
      <c r="DF224" s="1893">
        <f>IS!FX12</f>
        <v>14547</v>
      </c>
      <c r="DG224" s="1893">
        <f>IS!FY12</f>
        <v>16004</v>
      </c>
      <c r="DH224" s="1766">
        <f>IS!FZ12</f>
        <v>17484</v>
      </c>
      <c r="DI224" s="1762">
        <f>SUM(BC224:BD224,BF224:BG224)</f>
        <v>19320</v>
      </c>
      <c r="DJ224" s="1766">
        <f>SUM(BH224:BI224,BK224:BL224)</f>
        <v>21245.74</v>
      </c>
      <c r="DK224" s="1894">
        <f>SUM(BM224:BN224,BP224:BQ224)</f>
        <v>23118.302935537009</v>
      </c>
      <c r="DL224" s="1894">
        <f>SUM(BU224:BV224,BR224:BS224)</f>
        <v>24810.528870443439</v>
      </c>
      <c r="DM224" s="1892">
        <f>SUM(BW224:BX224,BZ224:CA224)</f>
        <v>26255.970786585502</v>
      </c>
      <c r="DN224" s="1892">
        <f>SUM(CB224:CC224,CE224:CF224)</f>
        <v>27393.387694817899</v>
      </c>
      <c r="DO224" s="1892"/>
      <c r="DP224" s="1892"/>
      <c r="DQ224" s="1892"/>
      <c r="DR224" s="1993"/>
    </row>
    <row r="225" spans="1:122" hidden="1" outlineLevel="2">
      <c r="A225" s="1760" t="s">
        <v>162</v>
      </c>
      <c r="B225" s="1895">
        <f t="shared" ref="B225:AG225" si="332">B224/B297</f>
        <v>0.19555218761217244</v>
      </c>
      <c r="C225" s="1785">
        <f t="shared" si="332"/>
        <v>0.19676787463271303</v>
      </c>
      <c r="D225" s="1785">
        <f t="shared" si="332"/>
        <v>0.17025707272962151</v>
      </c>
      <c r="E225" s="1785">
        <f t="shared" si="332"/>
        <v>0.17518840579710146</v>
      </c>
      <c r="F225" s="1785">
        <f t="shared" si="332"/>
        <v>0.19016682751964703</v>
      </c>
      <c r="G225" s="1774">
        <f t="shared" si="332"/>
        <v>0.18233315705975675</v>
      </c>
      <c r="H225" s="1785">
        <f t="shared" si="332"/>
        <v>0.17621998450813323</v>
      </c>
      <c r="I225" s="1785">
        <f t="shared" si="332"/>
        <v>0.17338953284158765</v>
      </c>
      <c r="J225" s="1785">
        <f t="shared" si="332"/>
        <v>0.19587492022973838</v>
      </c>
      <c r="K225" s="1785">
        <f t="shared" si="332"/>
        <v>0.2004959702417855</v>
      </c>
      <c r="L225" s="1774">
        <f t="shared" si="332"/>
        <v>0.1863360984248299</v>
      </c>
      <c r="M225" s="1785">
        <f t="shared" si="332"/>
        <v>0.19223371880706025</v>
      </c>
      <c r="N225" s="1785">
        <f t="shared" si="332"/>
        <v>0.17754752289963557</v>
      </c>
      <c r="O225" s="1785">
        <f t="shared" si="332"/>
        <v>0.20059291553133515</v>
      </c>
      <c r="P225" s="1785">
        <f t="shared" si="332"/>
        <v>0.20981919931123549</v>
      </c>
      <c r="Q225" s="1774">
        <f t="shared" si="332"/>
        <v>0.19470395004750918</v>
      </c>
      <c r="R225" s="1785">
        <f t="shared" si="332"/>
        <v>0.20742191751006639</v>
      </c>
      <c r="S225" s="1785">
        <f t="shared" si="332"/>
        <v>0.19975965982621557</v>
      </c>
      <c r="T225" s="1785">
        <f t="shared" si="332"/>
        <v>0.21392931392931394</v>
      </c>
      <c r="U225" s="1785">
        <f t="shared" si="332"/>
        <v>0.22094282058852474</v>
      </c>
      <c r="V225" s="1774">
        <f t="shared" si="332"/>
        <v>0.2103649341510003</v>
      </c>
      <c r="W225" s="1785">
        <f t="shared" si="332"/>
        <v>0.21835540498922082</v>
      </c>
      <c r="X225" s="1785">
        <f t="shared" si="332"/>
        <v>0.20594695049839501</v>
      </c>
      <c r="Y225" s="1785">
        <f t="shared" si="332"/>
        <v>0.2199798183652876</v>
      </c>
      <c r="Z225" s="1785">
        <f t="shared" si="332"/>
        <v>0.22785024563781128</v>
      </c>
      <c r="AA225" s="1774">
        <f t="shared" si="332"/>
        <v>0.21796956148670008</v>
      </c>
      <c r="AB225" s="1785">
        <f t="shared" si="332"/>
        <v>0.23115345481454075</v>
      </c>
      <c r="AC225" s="1785">
        <f t="shared" si="332"/>
        <v>0.22683782490830809</v>
      </c>
      <c r="AD225" s="1785">
        <f t="shared" si="332"/>
        <v>0.19092929573551881</v>
      </c>
      <c r="AE225" s="1785">
        <f t="shared" si="332"/>
        <v>0.23049884077481117</v>
      </c>
      <c r="AF225" s="1774">
        <f t="shared" si="332"/>
        <v>0.21859473416532998</v>
      </c>
      <c r="AG225" s="1785">
        <f t="shared" si="332"/>
        <v>0.21072518529283535</v>
      </c>
      <c r="AH225" s="1785">
        <f t="shared" ref="AH225:BM225" si="333">AH224/AH297</f>
        <v>0.19924237795564245</v>
      </c>
      <c r="AI225" s="1785">
        <f t="shared" si="333"/>
        <v>0.22519717725197178</v>
      </c>
      <c r="AJ225" s="1785">
        <f t="shared" si="333"/>
        <v>0.23596640777925112</v>
      </c>
      <c r="AK225" s="1774">
        <f t="shared" si="333"/>
        <v>0.21769281694803044</v>
      </c>
      <c r="AL225" s="1785">
        <f t="shared" si="333"/>
        <v>0.22687736538078482</v>
      </c>
      <c r="AM225" s="1785">
        <f t="shared" si="333"/>
        <v>0.2258103313488484</v>
      </c>
      <c r="AN225" s="1785">
        <f t="shared" si="333"/>
        <v>0.2557883939038687</v>
      </c>
      <c r="AO225" s="1785">
        <f t="shared" si="333"/>
        <v>0.26933353691121459</v>
      </c>
      <c r="AP225" s="1774">
        <f t="shared" si="333"/>
        <v>0.24284271950989955</v>
      </c>
      <c r="AQ225" s="1785">
        <f t="shared" si="333"/>
        <v>0.27476780185758515</v>
      </c>
      <c r="AR225" s="1785">
        <f t="shared" si="333"/>
        <v>0.20912627483965934</v>
      </c>
      <c r="AS225" s="1785">
        <f t="shared" si="333"/>
        <v>0.25553333793008343</v>
      </c>
      <c r="AT225" s="1785">
        <f t="shared" si="333"/>
        <v>0.25868196271588006</v>
      </c>
      <c r="AU225" s="1774">
        <f t="shared" si="333"/>
        <v>0.24619102490237502</v>
      </c>
      <c r="AV225" s="1785">
        <f t="shared" si="333"/>
        <v>0.23840691571472677</v>
      </c>
      <c r="AW225" s="1785">
        <f t="shared" si="333"/>
        <v>0.21490502681301057</v>
      </c>
      <c r="AX225" s="1785">
        <f t="shared" si="333"/>
        <v>0.24391283175066958</v>
      </c>
      <c r="AY225" s="1785">
        <f t="shared" si="333"/>
        <v>0.26051744153905693</v>
      </c>
      <c r="AZ225" s="1774">
        <f t="shared" si="333"/>
        <v>0.23848522421042517</v>
      </c>
      <c r="BA225" s="1785">
        <f t="shared" si="333"/>
        <v>0.24268938521759154</v>
      </c>
      <c r="BB225" s="1785">
        <f t="shared" si="333"/>
        <v>0.22681350251376586</v>
      </c>
      <c r="BC225" s="1785">
        <f t="shared" si="333"/>
        <v>0.26029758143275694</v>
      </c>
      <c r="BD225" s="1785">
        <f t="shared" si="333"/>
        <v>0.27963896118278975</v>
      </c>
      <c r="BE225" s="1774">
        <f t="shared" si="333"/>
        <v>0.25140051273008424</v>
      </c>
      <c r="BF225" s="1785">
        <f t="shared" si="333"/>
        <v>0.28442028985507245</v>
      </c>
      <c r="BG225" s="1785">
        <f t="shared" si="333"/>
        <v>0.24170395227442207</v>
      </c>
      <c r="BH225" s="1785">
        <f t="shared" si="333"/>
        <v>0.24593684416028114</v>
      </c>
      <c r="BI225" s="1785">
        <f t="shared" si="333"/>
        <v>0.27653799758745479</v>
      </c>
      <c r="BJ225" s="1774">
        <f t="shared" si="333"/>
        <v>0.26050430962504334</v>
      </c>
      <c r="BK225" s="1785">
        <f t="shared" si="333"/>
        <v>0.271000965561635</v>
      </c>
      <c r="BL225" s="1898">
        <f t="shared" si="333"/>
        <v>0.23054529140666427</v>
      </c>
      <c r="BM225" s="1898">
        <f t="shared" si="333"/>
        <v>0.26920109787776303</v>
      </c>
      <c r="BN225" s="1785">
        <f t="shared" ref="BN225:CD225" si="334">BN224/BN297</f>
        <v>0.25742827816268926</v>
      </c>
      <c r="BO225" s="1774">
        <f t="shared" si="334"/>
        <v>0.25551995491454466</v>
      </c>
      <c r="BP225" s="1898">
        <f t="shared" si="334"/>
        <v>0.27476053878506079</v>
      </c>
      <c r="BQ225" s="1898">
        <f t="shared" si="334"/>
        <v>0.24113012591148975</v>
      </c>
      <c r="BR225" s="1898">
        <f t="shared" si="334"/>
        <v>0.28747863235819943</v>
      </c>
      <c r="BS225" s="1785">
        <f t="shared" si="334"/>
        <v>0.27104566724687146</v>
      </c>
      <c r="BT225" s="1899">
        <f t="shared" si="334"/>
        <v>0.26724260871076094</v>
      </c>
      <c r="BU225" s="1898">
        <f t="shared" si="334"/>
        <v>0.35228086727074998</v>
      </c>
      <c r="BV225" s="1898">
        <f t="shared" si="334"/>
        <v>0.30111465596926074</v>
      </c>
      <c r="BW225" s="1898">
        <f t="shared" si="334"/>
        <v>0.35795585352378329</v>
      </c>
      <c r="BX225" s="1898">
        <f t="shared" si="334"/>
        <v>0.32350699637030295</v>
      </c>
      <c r="BY225" s="1899">
        <f t="shared" si="334"/>
        <v>0.33142247976161543</v>
      </c>
      <c r="BZ225" s="1898">
        <f t="shared" si="334"/>
        <v>0.35458637994564352</v>
      </c>
      <c r="CA225" s="1898">
        <f t="shared" si="334"/>
        <v>0.30095311075375347</v>
      </c>
      <c r="CB225" s="1898">
        <f t="shared" si="334"/>
        <v>0.35744246988265893</v>
      </c>
      <c r="CC225" s="1898">
        <f t="shared" si="334"/>
        <v>0.32415880181776452</v>
      </c>
      <c r="CD225" s="1899">
        <f t="shared" si="334"/>
        <v>0.33200787041027247</v>
      </c>
      <c r="CE225" s="1898">
        <f t="shared" ref="CE225:CI225" si="335">CE224/CE297</f>
        <v>0.28799509800575906</v>
      </c>
      <c r="CF225" s="1898">
        <f t="shared" si="335"/>
        <v>0.25850466759986607</v>
      </c>
      <c r="CG225" s="1898">
        <f t="shared" si="335"/>
        <v>0.30024747240438265</v>
      </c>
      <c r="CH225" s="1898" t="e">
        <f t="shared" si="335"/>
        <v>#REF!</v>
      </c>
      <c r="CI225" s="1899" t="e">
        <f t="shared" si="335"/>
        <v>#REF!</v>
      </c>
      <c r="CJ225" s="1898">
        <f t="shared" ref="CJ225:CS225" si="336">CJ224/CJ297</f>
        <v>0.29163078443121276</v>
      </c>
      <c r="CK225" s="1898">
        <f t="shared" si="336"/>
        <v>0.25663433330024238</v>
      </c>
      <c r="CL225" s="1898">
        <f t="shared" si="336"/>
        <v>0.35692460024407452</v>
      </c>
      <c r="CM225" s="1898" t="e">
        <f t="shared" si="336"/>
        <v>#REF!</v>
      </c>
      <c r="CN225" s="1899" t="e">
        <f t="shared" si="336"/>
        <v>#REF!</v>
      </c>
      <c r="CO225" s="1898">
        <f t="shared" si="336"/>
        <v>0.28402665102737384</v>
      </c>
      <c r="CP225" s="1898">
        <f t="shared" si="336"/>
        <v>0.24960653700783753</v>
      </c>
      <c r="CQ225" s="1898">
        <f t="shared" si="336"/>
        <v>0.17443547456712863</v>
      </c>
      <c r="CR225" s="1898" t="e">
        <f t="shared" si="336"/>
        <v>#REF!</v>
      </c>
      <c r="CS225" s="1899" t="e">
        <f t="shared" si="336"/>
        <v>#REF!</v>
      </c>
      <c r="CT225" s="1898">
        <f t="shared" ref="CT225:CX225" si="337">CT224/CT297</f>
        <v>0.27359548392775723</v>
      </c>
      <c r="CU225" s="1898">
        <f t="shared" si="337"/>
        <v>0.24027793020271873</v>
      </c>
      <c r="CV225" s="1898">
        <f t="shared" si="337"/>
        <v>0.1716234200767206</v>
      </c>
      <c r="CW225" s="1898" t="e">
        <f t="shared" si="337"/>
        <v>#REF!</v>
      </c>
      <c r="CX225" s="1899" t="e">
        <f t="shared" si="337"/>
        <v>#REF!</v>
      </c>
      <c r="CY225" s="1900"/>
      <c r="CZ225" s="1900"/>
      <c r="DA225" s="1900"/>
      <c r="DB225" s="1900"/>
      <c r="DC225" s="1900"/>
      <c r="DD225" s="1900"/>
      <c r="DE225" s="1900"/>
      <c r="DF225" s="1900"/>
      <c r="DG225" s="1900"/>
      <c r="DH225" s="1773"/>
      <c r="DI225" s="1774"/>
      <c r="DJ225" s="1773"/>
      <c r="DK225" s="1901"/>
      <c r="DL225" s="1901"/>
      <c r="DM225" s="1899"/>
      <c r="DN225" s="1899"/>
      <c r="DO225" s="1899"/>
      <c r="DP225" s="1899"/>
      <c r="DQ225" s="1899"/>
      <c r="DR225" s="1898"/>
    </row>
    <row r="226" spans="1:122" hidden="1" outlineLevel="2">
      <c r="A226" s="1760" t="s">
        <v>163</v>
      </c>
      <c r="B226" s="1895"/>
      <c r="C226" s="1785"/>
      <c r="D226" s="1785"/>
      <c r="E226" s="1785"/>
      <c r="F226" s="1785"/>
      <c r="G226" s="1774">
        <f t="shared" ref="G226:AL226" si="338">G224/B224-1</f>
        <v>5.4822682885043772E-2</v>
      </c>
      <c r="H226" s="1785">
        <f t="shared" si="338"/>
        <v>0.13240418118466901</v>
      </c>
      <c r="I226" s="1785">
        <f t="shared" si="338"/>
        <v>0.12364563416188656</v>
      </c>
      <c r="J226" s="1785">
        <f t="shared" si="338"/>
        <v>0.20913302448709459</v>
      </c>
      <c r="K226" s="1785">
        <f t="shared" si="338"/>
        <v>0.17235079171741785</v>
      </c>
      <c r="L226" s="1774">
        <f t="shared" si="338"/>
        <v>0.15965567646581125</v>
      </c>
      <c r="M226" s="1785">
        <f t="shared" si="338"/>
        <v>0.15692307692307694</v>
      </c>
      <c r="N226" s="1785">
        <f t="shared" si="338"/>
        <v>0.21724333522404993</v>
      </c>
      <c r="O226" s="1785">
        <f t="shared" si="338"/>
        <v>0.19923371647509569</v>
      </c>
      <c r="P226" s="1785">
        <f t="shared" si="338"/>
        <v>0.20571428571428574</v>
      </c>
      <c r="Q226" s="1774">
        <f t="shared" si="338"/>
        <v>0.19579831932773129</v>
      </c>
      <c r="R226" s="1785">
        <f t="shared" si="338"/>
        <v>0.20694022289766978</v>
      </c>
      <c r="S226" s="1785">
        <f t="shared" si="338"/>
        <v>0.19879731948697454</v>
      </c>
      <c r="T226" s="1785">
        <f t="shared" si="338"/>
        <v>0.11821086261980818</v>
      </c>
      <c r="U226" s="1785">
        <f t="shared" si="338"/>
        <v>0.15149463490695703</v>
      </c>
      <c r="V226" s="1774">
        <f t="shared" si="338"/>
        <v>0.16705150085332776</v>
      </c>
      <c r="W226" s="1785">
        <f t="shared" si="338"/>
        <v>0.11594963273871972</v>
      </c>
      <c r="X226" s="1785">
        <f t="shared" si="338"/>
        <v>0.12818139750115698</v>
      </c>
      <c r="Y226" s="1785">
        <f t="shared" si="338"/>
        <v>0.16520894071914483</v>
      </c>
      <c r="Z226" s="1785">
        <f t="shared" si="338"/>
        <v>0.19821826280623611</v>
      </c>
      <c r="AA226" s="1774">
        <f t="shared" si="338"/>
        <v>0.15328554360812419</v>
      </c>
      <c r="AB226" s="1785">
        <f t="shared" si="338"/>
        <v>0.17489421720733422</v>
      </c>
      <c r="AC226" s="1785">
        <f t="shared" si="338"/>
        <v>0.16694011484823634</v>
      </c>
      <c r="AD226" s="1785">
        <f t="shared" si="338"/>
        <v>0.14637197664720603</v>
      </c>
      <c r="AE226" s="1785">
        <f t="shared" si="338"/>
        <v>0.14572490706319696</v>
      </c>
      <c r="AF226" s="1774">
        <f t="shared" si="338"/>
        <v>0.1576711903035326</v>
      </c>
      <c r="AG226" s="1785">
        <f t="shared" si="338"/>
        <v>0.16046418567426968</v>
      </c>
      <c r="AH226" s="1785">
        <f t="shared" si="338"/>
        <v>0.14622144112478042</v>
      </c>
      <c r="AI226" s="1785">
        <f t="shared" si="338"/>
        <v>0.1840669334303382</v>
      </c>
      <c r="AJ226" s="1785">
        <f t="shared" si="338"/>
        <v>0.21252433484750166</v>
      </c>
      <c r="AK226" s="1774">
        <f t="shared" si="338"/>
        <v>0.17700223713646523</v>
      </c>
      <c r="AL226" s="1785">
        <f t="shared" si="338"/>
        <v>0.17827586206896551</v>
      </c>
      <c r="AM226" s="1785">
        <f t="shared" ref="AM226:BK226" si="339">AM224/AH224-1</f>
        <v>0.15148727384237959</v>
      </c>
      <c r="AN226" s="1785">
        <f t="shared" si="339"/>
        <v>7.250384024577583E-2</v>
      </c>
      <c r="AO226" s="1785">
        <f t="shared" si="339"/>
        <v>-5.592721434305592E-2</v>
      </c>
      <c r="AP226" s="1774">
        <f t="shared" si="339"/>
        <v>7.8917357256899523E-2</v>
      </c>
      <c r="AQ226" s="1785">
        <f t="shared" si="339"/>
        <v>3.8923031899326999E-2</v>
      </c>
      <c r="AR226" s="1785">
        <f t="shared" si="339"/>
        <v>5.9387483355525905E-2</v>
      </c>
      <c r="AS226" s="1785">
        <f t="shared" si="339"/>
        <v>6.1586937840160338E-2</v>
      </c>
      <c r="AT226" s="1785">
        <f t="shared" si="339"/>
        <v>0.17602040816326525</v>
      </c>
      <c r="AU226" s="1774">
        <f t="shared" si="339"/>
        <v>8.3996899443309125E-2</v>
      </c>
      <c r="AV226" s="1785">
        <f t="shared" si="339"/>
        <v>8.7605633802816829E-2</v>
      </c>
      <c r="AW226" s="1785">
        <f t="shared" si="339"/>
        <v>7.7928607340371991E-2</v>
      </c>
      <c r="AX226" s="1785">
        <f t="shared" si="339"/>
        <v>8.1219643820831022E-2</v>
      </c>
      <c r="AY226" s="1785">
        <f t="shared" si="339"/>
        <v>9.0383224873463508E-2</v>
      </c>
      <c r="AZ226" s="1774">
        <f t="shared" si="339"/>
        <v>8.4313852954560176E-2</v>
      </c>
      <c r="BA226" s="1785">
        <f t="shared" si="339"/>
        <v>9.1945091945091928E-2</v>
      </c>
      <c r="BB226" s="1785">
        <f t="shared" si="339"/>
        <v>0.10471082089552231</v>
      </c>
      <c r="BC226" s="1785">
        <f t="shared" si="339"/>
        <v>0.13077115048664845</v>
      </c>
      <c r="BD226" s="1785">
        <f t="shared" si="339"/>
        <v>0.11626878868258173</v>
      </c>
      <c r="BE226" s="1774">
        <f t="shared" si="339"/>
        <v>0.11115107913669076</v>
      </c>
      <c r="BF226" s="1785">
        <f t="shared" si="339"/>
        <v>7.993358633776082E-2</v>
      </c>
      <c r="BG226" s="1785">
        <f t="shared" si="339"/>
        <v>9.4785729364576632E-2</v>
      </c>
      <c r="BH226" s="1785">
        <f t="shared" si="339"/>
        <v>0.11211653056720361</v>
      </c>
      <c r="BI226" s="1785">
        <f t="shared" si="339"/>
        <v>8.9504950495049584E-2</v>
      </c>
      <c r="BJ226" s="1774">
        <f>BJ224/BE224-1</f>
        <v>9.4205244415668465E-2</v>
      </c>
      <c r="BK226" s="1785">
        <f t="shared" si="339"/>
        <v>0.10959806720843401</v>
      </c>
      <c r="BL226" s="1898">
        <v>0.09</v>
      </c>
      <c r="BM226" s="1898">
        <v>0.09</v>
      </c>
      <c r="BN226" s="1785">
        <v>9.4E-2</v>
      </c>
      <c r="BO226" s="1774">
        <f>BO224/BJ224-1</f>
        <v>9.548510848126246E-2</v>
      </c>
      <c r="BP226" s="1898">
        <f>BK226-1.5%</f>
        <v>9.4598067208434014E-2</v>
      </c>
      <c r="BQ226" s="1898">
        <f>BL226-1.5%</f>
        <v>7.4999999999999997E-2</v>
      </c>
      <c r="BR226" s="1898">
        <f>BM226-1.5%</f>
        <v>7.4999999999999997E-2</v>
      </c>
      <c r="BS226" s="1785">
        <f>BN226-1.5%</f>
        <v>7.9000000000000001E-2</v>
      </c>
      <c r="BT226" s="1899">
        <f>BT224/BO224-1</f>
        <v>8.0540320529195908E-2</v>
      </c>
      <c r="BU226" s="1898">
        <f>BP226-1.5%</f>
        <v>7.9598067208434015E-2</v>
      </c>
      <c r="BV226" s="1898">
        <f>BQ226-1.5%</f>
        <v>0.06</v>
      </c>
      <c r="BW226" s="1898">
        <f>BR226-1.5%</f>
        <v>0.06</v>
      </c>
      <c r="BX226" s="1898">
        <f>BS226-1.5%</f>
        <v>6.4000000000000001E-2</v>
      </c>
      <c r="BY226" s="1899">
        <f>BY224/BT224-1</f>
        <v>6.5596755477118407E-2</v>
      </c>
      <c r="BZ226" s="1898">
        <f>BU226-1.5%</f>
        <v>6.4598067208434015E-2</v>
      </c>
      <c r="CA226" s="1898">
        <f>BV226-1.5%</f>
        <v>4.4999999999999998E-2</v>
      </c>
      <c r="CB226" s="1898">
        <f>BW226-1.5%</f>
        <v>4.4999999999999998E-2</v>
      </c>
      <c r="CC226" s="1898">
        <f>BX226-1.5%</f>
        <v>4.9000000000000002E-2</v>
      </c>
      <c r="CD226" s="1899">
        <f>CD224/BY224-1</f>
        <v>5.0654452564761421E-2</v>
      </c>
      <c r="CE226" s="1898">
        <f>BZ226-1.5%</f>
        <v>4.9598067208434016E-2</v>
      </c>
      <c r="CF226" s="1898">
        <f>CA226-1.5%</f>
        <v>0.03</v>
      </c>
      <c r="CG226" s="1898">
        <f>CB226-1.5%</f>
        <v>0.03</v>
      </c>
      <c r="CH226" s="1898">
        <f>CC226-1.5%</f>
        <v>3.4000000000000002E-2</v>
      </c>
      <c r="CI226" s="1899">
        <f>CI224/CD224-1</f>
        <v>3.5713452660240952E-2</v>
      </c>
      <c r="CJ226" s="1898">
        <f>CE226-1.5%</f>
        <v>3.4598067208434016E-2</v>
      </c>
      <c r="CK226" s="1898">
        <f>CF226-1.5%</f>
        <v>1.4999999999999999E-2</v>
      </c>
      <c r="CL226" s="1898">
        <f>CG226-1.5%</f>
        <v>1.4999999999999999E-2</v>
      </c>
      <c r="CM226" s="1898">
        <f>CH226-1.5%</f>
        <v>1.9000000000000003E-2</v>
      </c>
      <c r="CN226" s="1899">
        <f>CN224/CI224-1</f>
        <v>2.0773798341989114E-2</v>
      </c>
      <c r="CO226" s="1898">
        <f>CJ226-1.5%</f>
        <v>1.9598067208434017E-2</v>
      </c>
      <c r="CP226" s="1898">
        <f>CK226-1.5%</f>
        <v>0</v>
      </c>
      <c r="CQ226" s="1898">
        <f>CL226-1.5%</f>
        <v>0</v>
      </c>
      <c r="CR226" s="1898">
        <f>CM226-1.5%</f>
        <v>4.0000000000000036E-3</v>
      </c>
      <c r="CS226" s="1899">
        <f>CS224/CN224-1</f>
        <v>5.8355339854592181E-3</v>
      </c>
      <c r="CT226" s="1898">
        <f>CO226-1.5%</f>
        <v>4.5980672084340174E-3</v>
      </c>
      <c r="CU226" s="1898">
        <f>CP226-1.5%</f>
        <v>-1.4999999999999999E-2</v>
      </c>
      <c r="CV226" s="1898">
        <f>CQ226-1.5%</f>
        <v>-1.4999999999999999E-2</v>
      </c>
      <c r="CW226" s="1898">
        <f>CR226-1.5%</f>
        <v>-1.0999999999999996E-2</v>
      </c>
      <c r="CX226" s="1899">
        <f>CX224/CS224-1</f>
        <v>-9.101294145091976E-3</v>
      </c>
      <c r="CY226" s="1900"/>
      <c r="CZ226" s="1900"/>
      <c r="DA226" s="1900"/>
      <c r="DB226" s="1900">
        <f t="shared" ref="DB226:DH226" si="340">DB224/DA224-1</f>
        <v>1.1939448242858672</v>
      </c>
      <c r="DC226" s="1900">
        <f t="shared" si="340"/>
        <v>0.16515837104072406</v>
      </c>
      <c r="DD226" s="1900">
        <f t="shared" si="340"/>
        <v>0.15344784665173017</v>
      </c>
      <c r="DE226" s="1900">
        <f t="shared" si="340"/>
        <v>-0.38861311348038152</v>
      </c>
      <c r="DF226" s="1900">
        <f t="shared" si="340"/>
        <v>2.704038407229592E-2</v>
      </c>
      <c r="DG226" s="1900">
        <f t="shared" si="340"/>
        <v>0.10015810820100368</v>
      </c>
      <c r="DH226" s="1773">
        <f t="shared" si="340"/>
        <v>9.2476880779805093E-2</v>
      </c>
      <c r="DI226" s="1774">
        <f t="shared" ref="DI226:DN226" si="341">DI224/DH224-1</f>
        <v>0.10501029512697313</v>
      </c>
      <c r="DJ226" s="1773">
        <f t="shared" si="341"/>
        <v>9.9675983436853022E-2</v>
      </c>
      <c r="DK226" s="1901">
        <f t="shared" si="341"/>
        <v>8.8138277863562653E-2</v>
      </c>
      <c r="DL226" s="1901">
        <f t="shared" si="341"/>
        <v>7.3198536225821842E-2</v>
      </c>
      <c r="DM226" s="1899">
        <f t="shared" si="341"/>
        <v>5.8259214210625077E-2</v>
      </c>
      <c r="DN226" s="1899">
        <f t="shared" si="341"/>
        <v>4.3320314357354395E-2</v>
      </c>
      <c r="DO226" s="1899"/>
      <c r="DP226" s="1899"/>
      <c r="DQ226" s="1899"/>
      <c r="DR226" s="1898"/>
    </row>
    <row r="227" spans="1:122" hidden="1" outlineLevel="2">
      <c r="A227" s="1760" t="s">
        <v>667</v>
      </c>
      <c r="B227" s="1895"/>
      <c r="C227" s="1785"/>
      <c r="D227" s="1785"/>
      <c r="E227" s="1785"/>
      <c r="F227" s="1785"/>
      <c r="G227" s="1774"/>
      <c r="H227" s="1785">
        <f>H224/F224-1</f>
        <v>-1.0353227771010998E-2</v>
      </c>
      <c r="I227" s="1785">
        <f>I224/H224-1</f>
        <v>8.4923076923076879E-2</v>
      </c>
      <c r="J227" s="1785">
        <f>J224/I224-1</f>
        <v>3.6301758366420911E-2</v>
      </c>
      <c r="K227" s="1785">
        <f>K224/J224-1</f>
        <v>5.3639846743295028E-2</v>
      </c>
      <c r="L227" s="1774"/>
      <c r="M227" s="1785">
        <f>M224/K224-1</f>
        <v>-2.3376623376623384E-2</v>
      </c>
      <c r="N227" s="1785">
        <f>N224/M224-1</f>
        <v>0.14148936170212778</v>
      </c>
      <c r="O227" s="1785">
        <f>O224/N224-1</f>
        <v>2.0969245107176127E-2</v>
      </c>
      <c r="P227" s="1785">
        <f>P224/O224-1</f>
        <v>5.9333637608397938E-2</v>
      </c>
      <c r="Q227" s="1897"/>
      <c r="R227" s="1785">
        <f>R224/P224-1</f>
        <v>-2.2383619540017663E-2</v>
      </c>
      <c r="S227" s="1785">
        <f>S224/R224-1</f>
        <v>0.1337880377754459</v>
      </c>
      <c r="T227" s="1785">
        <f>T224/S224-1</f>
        <v>-4.7663118926422943E-2</v>
      </c>
      <c r="U227" s="1785">
        <f>U224/T224-1</f>
        <v>9.0864917395529599E-2</v>
      </c>
      <c r="V227" s="1774"/>
      <c r="W227" s="1785">
        <f>W224/U224-1</f>
        <v>-5.2561247216035611E-2</v>
      </c>
      <c r="X227" s="1785">
        <f>X224/W224-1</f>
        <v>0.1462153267512929</v>
      </c>
      <c r="Y227" s="1785">
        <f>Y224/X224-1</f>
        <v>-1.6406890894175574E-2</v>
      </c>
      <c r="Z227" s="1785">
        <f>Z224/Y224-1</f>
        <v>0.12176814011676407</v>
      </c>
      <c r="AA227" s="1774"/>
      <c r="AB227" s="1785">
        <f>AB224/Z224-1</f>
        <v>-7.1003717472118977E-2</v>
      </c>
      <c r="AC227" s="1785">
        <f>AC224/AB224-1</f>
        <v>0.13845538215286113</v>
      </c>
      <c r="AD227" s="1785">
        <f>AD224/AC224-1</f>
        <v>-3.3743409490333942E-2</v>
      </c>
      <c r="AE227" s="1785">
        <f>AE224/AD224-1</f>
        <v>0.12113495816660613</v>
      </c>
      <c r="AF227" s="1774"/>
      <c r="AG227" s="1785">
        <f>AG224/AE224-1</f>
        <v>-5.9052563270603486E-2</v>
      </c>
      <c r="AH227" s="1785">
        <f>AH224/AG224-1</f>
        <v>0.12448275862068958</v>
      </c>
      <c r="AI227" s="1785">
        <f>AI224/AH224-1</f>
        <v>-1.8399264029438367E-3</v>
      </c>
      <c r="AJ227" s="1785">
        <f>AJ224/AI224-1</f>
        <v>0.14807987711213522</v>
      </c>
      <c r="AK227" s="1774"/>
      <c r="AL227" s="1785">
        <f>AL224/AJ224-1</f>
        <v>-8.5630184640085649E-2</v>
      </c>
      <c r="AM227" s="1785">
        <f>AM224/AL224-1</f>
        <v>9.891717881182327E-2</v>
      </c>
      <c r="AN227" s="1785">
        <f>AN224/AM224-1</f>
        <v>-7.0306258322237025E-2</v>
      </c>
      <c r="AO227" s="1785">
        <f>AO224/AN224-1</f>
        <v>1.0598682325981157E-2</v>
      </c>
      <c r="AP227" s="1774"/>
      <c r="AQ227" s="1785">
        <f>AQ224/AO224-1</f>
        <v>6.2358276643990074E-3</v>
      </c>
      <c r="AR227" s="1785">
        <f>AR224/AQ224-1</f>
        <v>0.12056338028169011</v>
      </c>
      <c r="AS227" s="1785">
        <f>AS224/AR224-1</f>
        <v>-6.8376068376068355E-2</v>
      </c>
      <c r="AT227" s="1785">
        <f>AT224/AS224-1</f>
        <v>0.11953588774959534</v>
      </c>
      <c r="AU227" s="1774"/>
      <c r="AV227" s="1785">
        <f>AV224/AT224-1</f>
        <v>-6.9414316702819945E-2</v>
      </c>
      <c r="AW227" s="1785">
        <f>AW224/AV224-1</f>
        <v>0.11059311059311061</v>
      </c>
      <c r="AX227" s="1785">
        <f>AX224/AW224-1</f>
        <v>-6.5531716417910446E-2</v>
      </c>
      <c r="AY227" s="1785">
        <f>AY224/AX224-1</f>
        <v>0.12902420763663591</v>
      </c>
      <c r="AZ227" s="1774"/>
      <c r="BA227" s="1785">
        <f>BA224/AY224-1</f>
        <v>-6.808134394341292E-2</v>
      </c>
      <c r="BB227" s="1785">
        <f>BB224/BA224-1</f>
        <v>0.12357685009487662</v>
      </c>
      <c r="BC227" s="1785">
        <f>BC224/BB224-1</f>
        <v>-4.348743930757859E-2</v>
      </c>
      <c r="BD227" s="1785">
        <f>BD224/BC224-1</f>
        <v>0.11454425071728092</v>
      </c>
      <c r="BE227" s="1774"/>
      <c r="BF227" s="1785">
        <f>BF224/BD224-1</f>
        <v>-9.8415841584158392E-2</v>
      </c>
      <c r="BG227" s="1785">
        <f>BG224/BF224-1</f>
        <v>0.13902921150889513</v>
      </c>
      <c r="BH227" s="1785">
        <f>BH224/BG224-1</f>
        <v>-2.8345545699961394E-2</v>
      </c>
      <c r="BI227" s="1785">
        <f>BI224/BH224-1</f>
        <v>9.1883310180591371E-2</v>
      </c>
      <c r="BJ227" s="1774"/>
      <c r="BK227" s="1785">
        <f>BK224/BI224-1</f>
        <v>-8.1788440567066467E-2</v>
      </c>
      <c r="BL227" s="1898">
        <f>BL224/BK224-1</f>
        <v>0.11891132224861445</v>
      </c>
      <c r="BM227" s="1898">
        <f>BM224/BL224-1</f>
        <v>-2.8345545699961505E-2</v>
      </c>
      <c r="BN227" s="1785">
        <f>BN224/BM224-1</f>
        <v>9.5890221410611876E-2</v>
      </c>
      <c r="BO227" s="1774"/>
      <c r="BP227" s="1898">
        <f>BP224/BN224-1</f>
        <v>-8.1286473268984305E-2</v>
      </c>
      <c r="BQ227" s="1898">
        <f>BQ224/BP224-1</f>
        <v>9.8877942005553665E-2</v>
      </c>
      <c r="BR227" s="1898">
        <f>BR224/BQ224-1</f>
        <v>-2.8345545699961505E-2</v>
      </c>
      <c r="BS227" s="1785">
        <f>BS224/BR224-1</f>
        <v>9.9967952467023391E-2</v>
      </c>
      <c r="BT227" s="1899"/>
      <c r="BU227" s="1898">
        <f>BU224/BS224-1</f>
        <v>-8.0777249511539861E-2</v>
      </c>
      <c r="BV227" s="1898">
        <f>BV224/BU224-1</f>
        <v>7.8929885024517477E-2</v>
      </c>
      <c r="BW227" s="1898">
        <f>BW224/BV224-1</f>
        <v>-2.8345545699961394E-2</v>
      </c>
      <c r="BX227" s="1898">
        <f>BX224/BW224-1</f>
        <v>0.10411877492916299</v>
      </c>
      <c r="BY227" s="1899"/>
      <c r="BZ227" s="1898">
        <f>BZ224/BX224-1</f>
        <v>-8.0260560616508214E-2</v>
      </c>
      <c r="CA227" s="1898">
        <f>CA224/BZ224-1</f>
        <v>5.906798497866772E-2</v>
      </c>
      <c r="CB227" s="1898">
        <f>CB224/CA224-1</f>
        <v>-2.8345545699961505E-2</v>
      </c>
      <c r="CC227" s="1898">
        <f>CC224/CB224-1</f>
        <v>0.10834506689061429</v>
      </c>
      <c r="CD227" s="1899"/>
      <c r="CE227" s="1898">
        <f>CE224/CC224-1</f>
        <v>-7.9736188834812594E-2</v>
      </c>
      <c r="CF227" s="1898">
        <f>CF224/CE224-1</f>
        <v>3.9293095717376048E-2</v>
      </c>
      <c r="CG227" s="1898">
        <f>CG224/CF224-1</f>
        <v>-2.8345545699961394E-2</v>
      </c>
      <c r="CH227" s="1898">
        <f>CH224/CG224-1</f>
        <v>0.11264931957756819</v>
      </c>
      <c r="CI227" s="1899"/>
      <c r="CJ227" s="1898">
        <f>CJ224/CH224-1</f>
        <v>-7.9203906814922509E-2</v>
      </c>
      <c r="CK227" s="1898">
        <f>CK224/CJ224-1</f>
        <v>1.9606092054119451E-2</v>
      </c>
      <c r="CL227" s="1898">
        <f>CL224/CK224-1</f>
        <v>-2.8345545699961505E-2</v>
      </c>
      <c r="CM227" s="1898">
        <f>CM224/CL224-1</f>
        <v>0.11703414448230731</v>
      </c>
      <c r="CN227" s="1899"/>
      <c r="CO227" s="1898">
        <f>CO224/CM224-1</f>
        <v>-7.8663477031813422E-2</v>
      </c>
      <c r="CP227" s="1898">
        <f>CP224/CO224-1</f>
        <v>7.8705971928716423E-6</v>
      </c>
      <c r="CQ227" s="1898">
        <f>CQ224/CP224-1</f>
        <v>-2.8345545699961505E-2</v>
      </c>
      <c r="CR227" s="1898">
        <f>CR224/CQ224-1</f>
        <v>0.12150228106023664</v>
      </c>
      <c r="CS227" s="1899"/>
      <c r="CT227" s="1898">
        <f>CT224/CR224-1</f>
        <v>-7.8114651172929039E-2</v>
      </c>
      <c r="CU227" s="1898">
        <f>CU224/CT224-1</f>
        <v>-1.9500649373770274E-2</v>
      </c>
      <c r="CV227" s="1898">
        <f>CV224/CU224-1</f>
        <v>-2.8345545699961505E-2</v>
      </c>
      <c r="CW227" s="1898">
        <f>CW224/CV224-1</f>
        <v>0.12605660504423755</v>
      </c>
      <c r="CX227" s="1899"/>
      <c r="CY227" s="1900"/>
      <c r="CZ227" s="1900"/>
      <c r="DA227" s="1900"/>
      <c r="DB227" s="1900"/>
      <c r="DC227" s="1900"/>
      <c r="DD227" s="1900"/>
      <c r="DE227" s="1900"/>
      <c r="DF227" s="1900"/>
      <c r="DG227" s="1900"/>
      <c r="DH227" s="1773"/>
      <c r="DI227" s="1774"/>
      <c r="DJ227" s="1773"/>
      <c r="DK227" s="1901"/>
      <c r="DL227" s="1901"/>
      <c r="DM227" s="1899"/>
      <c r="DN227" s="1899"/>
      <c r="DO227" s="1899"/>
      <c r="DP227" s="1899"/>
      <c r="DQ227" s="1899"/>
      <c r="DR227" s="1898"/>
    </row>
    <row r="228" spans="1:122" hidden="1" outlineLevel="3">
      <c r="A228" s="1760" t="s">
        <v>644</v>
      </c>
      <c r="B228" s="1895"/>
      <c r="C228" s="1785"/>
      <c r="D228" s="1785"/>
      <c r="E228" s="1785"/>
      <c r="F228" s="1785"/>
      <c r="G228" s="1774"/>
      <c r="H228" s="1785"/>
      <c r="I228" s="1785"/>
      <c r="J228" s="1785"/>
      <c r="K228" s="1785"/>
      <c r="L228" s="1774"/>
      <c r="M228" s="1889">
        <f t="shared" ref="M228:AR228" si="342">M224-M230</f>
        <v>1335.3600000000001</v>
      </c>
      <c r="N228" s="1889">
        <f t="shared" si="342"/>
        <v>1936.4</v>
      </c>
      <c r="O228" s="1889">
        <f t="shared" si="342"/>
        <v>1446.2</v>
      </c>
      <c r="P228" s="1889">
        <f t="shared" si="342"/>
        <v>1560.52</v>
      </c>
      <c r="Q228" s="1801">
        <f t="shared" si="342"/>
        <v>6278.4800000000014</v>
      </c>
      <c r="R228" s="1889">
        <f t="shared" si="342"/>
        <v>1451</v>
      </c>
      <c r="S228" s="1889">
        <f t="shared" si="342"/>
        <v>1501</v>
      </c>
      <c r="T228" s="1889">
        <f t="shared" si="342"/>
        <v>1543</v>
      </c>
      <c r="U228" s="1889">
        <f t="shared" si="342"/>
        <v>1766</v>
      </c>
      <c r="V228" s="1801">
        <f t="shared" si="342"/>
        <v>6261</v>
      </c>
      <c r="W228" s="1889">
        <f t="shared" si="342"/>
        <v>1527</v>
      </c>
      <c r="X228" s="1889">
        <f t="shared" si="342"/>
        <v>1671</v>
      </c>
      <c r="Y228" s="1889">
        <f t="shared" si="342"/>
        <v>1660</v>
      </c>
      <c r="Z228" s="1889">
        <f t="shared" si="342"/>
        <v>1783</v>
      </c>
      <c r="AA228" s="1801">
        <f t="shared" si="342"/>
        <v>6641</v>
      </c>
      <c r="AB228" s="1889">
        <f t="shared" si="342"/>
        <v>1681</v>
      </c>
      <c r="AC228" s="1889">
        <f t="shared" si="342"/>
        <v>1813</v>
      </c>
      <c r="AD228" s="1889">
        <f t="shared" si="342"/>
        <v>1770</v>
      </c>
      <c r="AE228" s="1889">
        <f t="shared" si="342"/>
        <v>2028</v>
      </c>
      <c r="AF228" s="1801">
        <f t="shared" si="342"/>
        <v>7292</v>
      </c>
      <c r="AG228" s="1889">
        <f t="shared" si="342"/>
        <v>1938</v>
      </c>
      <c r="AH228" s="1889">
        <f t="shared" si="342"/>
        <v>2107</v>
      </c>
      <c r="AI228" s="1889">
        <f t="shared" si="342"/>
        <v>2163</v>
      </c>
      <c r="AJ228" s="1889">
        <f t="shared" si="342"/>
        <v>2364</v>
      </c>
      <c r="AK228" s="1801">
        <f t="shared" si="342"/>
        <v>8572</v>
      </c>
      <c r="AL228" s="1889">
        <f t="shared" si="342"/>
        <v>2400</v>
      </c>
      <c r="AM228" s="1889">
        <f t="shared" si="342"/>
        <v>2399</v>
      </c>
      <c r="AN228" s="1889">
        <f t="shared" si="342"/>
        <v>2267</v>
      </c>
      <c r="AO228" s="1890">
        <f t="shared" si="342"/>
        <v>2322</v>
      </c>
      <c r="AP228" s="1801">
        <f t="shared" si="342"/>
        <v>9388</v>
      </c>
      <c r="AQ228" s="1890">
        <f t="shared" si="342"/>
        <v>2313</v>
      </c>
      <c r="AR228" s="1890">
        <f t="shared" si="342"/>
        <v>2514</v>
      </c>
      <c r="AS228" s="1890">
        <f t="shared" ref="AS228:CD228" si="343">AS224-AS230</f>
        <v>2452</v>
      </c>
      <c r="AT228" s="1890">
        <f t="shared" si="343"/>
        <v>2601</v>
      </c>
      <c r="AU228" s="1801">
        <f t="shared" si="343"/>
        <v>9880</v>
      </c>
      <c r="AV228" s="1890">
        <f t="shared" si="343"/>
        <v>2321</v>
      </c>
      <c r="AW228" s="1890">
        <f t="shared" si="343"/>
        <v>2566</v>
      </c>
      <c r="AX228" s="1890">
        <f t="shared" si="343"/>
        <v>2656</v>
      </c>
      <c r="AY228" s="1890">
        <f t="shared" si="343"/>
        <v>2828</v>
      </c>
      <c r="AZ228" s="1801">
        <f t="shared" si="343"/>
        <v>10371</v>
      </c>
      <c r="BA228" s="1890">
        <f t="shared" si="343"/>
        <v>2663</v>
      </c>
      <c r="BB228" s="1890">
        <f t="shared" si="343"/>
        <v>2787</v>
      </c>
      <c r="BC228" s="1890">
        <f t="shared" si="343"/>
        <v>2848</v>
      </c>
      <c r="BD228" s="1890">
        <f t="shared" si="343"/>
        <v>3013</v>
      </c>
      <c r="BE228" s="1801">
        <f t="shared" si="343"/>
        <v>11311</v>
      </c>
      <c r="BF228" s="1890">
        <f>BF224-BF230</f>
        <v>2816</v>
      </c>
      <c r="BG228" s="1890">
        <f t="shared" si="343"/>
        <v>3065</v>
      </c>
      <c r="BH228" s="1890">
        <f t="shared" si="343"/>
        <v>3060</v>
      </c>
      <c r="BI228" s="1890">
        <f t="shared" si="343"/>
        <v>3177</v>
      </c>
      <c r="BJ228" s="1801">
        <f t="shared" si="343"/>
        <v>12118</v>
      </c>
      <c r="BK228" s="1890">
        <f t="shared" si="343"/>
        <v>3026</v>
      </c>
      <c r="BL228" s="1904">
        <f t="shared" si="343"/>
        <v>3391.6440000000002</v>
      </c>
      <c r="BM228" s="1904">
        <f t="shared" si="343"/>
        <v>3295.5059999999999</v>
      </c>
      <c r="BN228" s="1890">
        <f t="shared" si="343"/>
        <v>3505.7339400000001</v>
      </c>
      <c r="BO228" s="1801">
        <f t="shared" si="343"/>
        <v>13218.883940000002</v>
      </c>
      <c r="BP228" s="1904">
        <f t="shared" si="343"/>
        <v>3339.9032985504068</v>
      </c>
      <c r="BQ228" s="1904">
        <f t="shared" si="343"/>
        <v>3676.4007775000005</v>
      </c>
      <c r="BR228" s="1904">
        <f t="shared" si="343"/>
        <v>3572.19119125</v>
      </c>
      <c r="BS228" s="1890">
        <f t="shared" si="343"/>
        <v>3815.1604405200001</v>
      </c>
      <c r="BT228" s="1905">
        <f t="shared" si="343"/>
        <v>14403.655707820406</v>
      </c>
      <c r="BU228" s="1904">
        <f t="shared" si="343"/>
        <v>3635.6035434703094</v>
      </c>
      <c r="BV228" s="1904">
        <f t="shared" si="343"/>
        <v>3929.1913103000006</v>
      </c>
      <c r="BW228" s="1904">
        <f t="shared" si="343"/>
        <v>3817.8162384500006</v>
      </c>
      <c r="BX228" s="1904">
        <f t="shared" si="343"/>
        <v>4093.88253320592</v>
      </c>
      <c r="BY228" s="1905">
        <f t="shared" si="343"/>
        <v>15476.49362542623</v>
      </c>
      <c r="BZ228" s="1904">
        <f t="shared" si="343"/>
        <v>3902.2351812031629</v>
      </c>
      <c r="CA228" s="1904">
        <f t="shared" si="343"/>
        <v>4139.66069729025</v>
      </c>
      <c r="CB228" s="1904">
        <f t="shared" si="343"/>
        <v>4022.3197558128754</v>
      </c>
      <c r="CC228" s="1904">
        <f t="shared" si="343"/>
        <v>4330.7276412257888</v>
      </c>
      <c r="CD228" s="1905">
        <f t="shared" si="343"/>
        <v>16394.943275532074</v>
      </c>
      <c r="CE228" s="1904">
        <f t="shared" ref="CE228:CI228" si="344">CE224-CE230</f>
        <v>4129.1333405647256</v>
      </c>
      <c r="CF228" s="1904">
        <f t="shared" si="344"/>
        <v>4298.5159695765105</v>
      </c>
      <c r="CG228" s="1904">
        <f t="shared" si="344"/>
        <v>4176.6721887188651</v>
      </c>
      <c r="CH228" s="1904">
        <f t="shared" si="344"/>
        <v>4515.4495702925997</v>
      </c>
      <c r="CI228" s="1905">
        <f t="shared" si="344"/>
        <v>17119.771069152703</v>
      </c>
      <c r="CJ228" s="1904">
        <f t="shared" ref="CJ228:CS228" si="345">CJ224-CJ230</f>
        <v>4306.5022228530624</v>
      </c>
      <c r="CK228" s="1904">
        <f t="shared" si="345"/>
        <v>4398.1791422582237</v>
      </c>
      <c r="CL228" s="1904">
        <f t="shared" si="345"/>
        <v>4273.5103543847254</v>
      </c>
      <c r="CM228" s="1904">
        <f t="shared" si="345"/>
        <v>4639.4323679893305</v>
      </c>
      <c r="CN228" s="1905">
        <f t="shared" si="345"/>
        <v>17617.624087485343</v>
      </c>
      <c r="CO228" s="1904">
        <f t="shared" si="345"/>
        <v>4426.0864990596801</v>
      </c>
      <c r="CP228" s="1904">
        <f t="shared" si="345"/>
        <v>4433.3645753962901</v>
      </c>
      <c r="CQ228" s="1904">
        <f t="shared" si="345"/>
        <v>4307.698437219804</v>
      </c>
      <c r="CR228" s="1904">
        <f t="shared" si="345"/>
        <v>4696.3321103459039</v>
      </c>
      <c r="CS228" s="1905">
        <f t="shared" si="345"/>
        <v>17863.481622021682</v>
      </c>
      <c r="CT228" s="1904">
        <f t="shared" ref="CT228:CX228" si="346">CT224-CT230</f>
        <v>4481.7848821755661</v>
      </c>
      <c r="CU228" s="1904">
        <f t="shared" si="346"/>
        <v>4401.5217584063403</v>
      </c>
      <c r="CV228" s="1904">
        <f t="shared" si="346"/>
        <v>4276.7582222540586</v>
      </c>
      <c r="CW228" s="1904">
        <f t="shared" si="346"/>
        <v>4682.5927078749846</v>
      </c>
      <c r="CX228" s="1905">
        <f t="shared" si="346"/>
        <v>17842.657570710951</v>
      </c>
      <c r="CY228" s="1900"/>
      <c r="CZ228" s="1900"/>
      <c r="DA228" s="1900"/>
      <c r="DB228" s="1900"/>
      <c r="DC228" s="1900"/>
      <c r="DD228" s="1900"/>
      <c r="DE228" s="1900"/>
      <c r="DF228" s="1900"/>
      <c r="DG228" s="1900"/>
      <c r="DH228" s="1804"/>
      <c r="DI228" s="1801">
        <f>SUM(BC228:BD228,BF228:BG228)</f>
        <v>11742</v>
      </c>
      <c r="DJ228" s="1804">
        <f>SUM(BH228:BI228,BK228:BL228)</f>
        <v>12654.644</v>
      </c>
      <c r="DK228" s="1906">
        <f>SUM(BM228:BN228,BP228:BQ228)</f>
        <v>13817.544016050408</v>
      </c>
      <c r="DL228" s="1907">
        <f>SUM(BU228:BV228,BR228:BS228)</f>
        <v>14952.14648554031</v>
      </c>
      <c r="DM228" s="1908">
        <f>SUM(BW228:BX228,BZ228:CA228)</f>
        <v>15953.594650149333</v>
      </c>
      <c r="DN228" s="1908">
        <f>SUM(CB228:CC228,CE228:CF228)</f>
        <v>16780.696707179901</v>
      </c>
      <c r="DO228" s="1908"/>
      <c r="DP228" s="1908"/>
      <c r="DQ228" s="1908"/>
      <c r="DR228" s="1915"/>
    </row>
    <row r="229" spans="1:122" hidden="1" outlineLevel="3">
      <c r="A229" s="1760" t="s">
        <v>163</v>
      </c>
      <c r="B229" s="1895"/>
      <c r="C229" s="1785"/>
      <c r="D229" s="1785"/>
      <c r="E229" s="1785"/>
      <c r="F229" s="1785"/>
      <c r="G229" s="1774"/>
      <c r="H229" s="1785"/>
      <c r="I229" s="1785"/>
      <c r="J229" s="1785"/>
      <c r="K229" s="1785"/>
      <c r="L229" s="1774"/>
      <c r="M229" s="1785"/>
      <c r="N229" s="1785"/>
      <c r="O229" s="1785"/>
      <c r="P229" s="1896"/>
      <c r="Q229" s="1897"/>
      <c r="R229" s="1902">
        <f t="shared" ref="R229:AW229" si="347">R228/M228-1</f>
        <v>8.6598370476875131E-2</v>
      </c>
      <c r="S229" s="1902">
        <f t="shared" si="347"/>
        <v>-0.2248502375542244</v>
      </c>
      <c r="T229" s="1902">
        <f t="shared" si="347"/>
        <v>6.6934034020190714E-2</v>
      </c>
      <c r="U229" s="1902">
        <f t="shared" si="347"/>
        <v>0.13167405736549354</v>
      </c>
      <c r="V229" s="1774">
        <f t="shared" si="347"/>
        <v>-2.7841133522765737E-3</v>
      </c>
      <c r="W229" s="1902">
        <f t="shared" si="347"/>
        <v>5.2377670572019364E-2</v>
      </c>
      <c r="X229" s="1902">
        <f t="shared" si="347"/>
        <v>0.11325782811459018</v>
      </c>
      <c r="Y229" s="1902">
        <f t="shared" si="347"/>
        <v>7.5826312378483474E-2</v>
      </c>
      <c r="Z229" s="1902">
        <f t="shared" si="347"/>
        <v>9.6262740656851697E-3</v>
      </c>
      <c r="AA229" s="1774">
        <f t="shared" si="347"/>
        <v>6.0693180003194458E-2</v>
      </c>
      <c r="AB229" s="1902">
        <f t="shared" si="347"/>
        <v>0.1008513425016373</v>
      </c>
      <c r="AC229" s="1902">
        <f t="shared" si="347"/>
        <v>8.4979054458408143E-2</v>
      </c>
      <c r="AD229" s="1902">
        <f t="shared" si="347"/>
        <v>6.6265060240963791E-2</v>
      </c>
      <c r="AE229" s="1902">
        <f t="shared" si="347"/>
        <v>0.13740886146943354</v>
      </c>
      <c r="AF229" s="1774">
        <f t="shared" si="347"/>
        <v>9.8027405511218246E-2</v>
      </c>
      <c r="AG229" s="1902">
        <f t="shared" si="347"/>
        <v>0.15288518738845935</v>
      </c>
      <c r="AH229" s="1902">
        <f t="shared" si="347"/>
        <v>0.16216216216216206</v>
      </c>
      <c r="AI229" s="1902">
        <f t="shared" si="347"/>
        <v>0.22203389830508469</v>
      </c>
      <c r="AJ229" s="1902">
        <f t="shared" si="347"/>
        <v>0.16568047337278102</v>
      </c>
      <c r="AK229" s="1774">
        <f t="shared" si="347"/>
        <v>0.17553483269336256</v>
      </c>
      <c r="AL229" s="1902">
        <f t="shared" si="347"/>
        <v>0.23839009287925705</v>
      </c>
      <c r="AM229" s="1902">
        <f t="shared" si="347"/>
        <v>0.1385856668248695</v>
      </c>
      <c r="AN229" s="1902">
        <f t="shared" si="347"/>
        <v>4.8081368469717889E-2</v>
      </c>
      <c r="AO229" s="1900">
        <f t="shared" si="347"/>
        <v>-1.7766497461928932E-2</v>
      </c>
      <c r="AP229" s="1774">
        <f t="shared" si="347"/>
        <v>9.5193653756416197E-2</v>
      </c>
      <c r="AQ229" s="1900">
        <f t="shared" si="347"/>
        <v>-3.6250000000000004E-2</v>
      </c>
      <c r="AR229" s="1900">
        <f t="shared" si="347"/>
        <v>4.7936640266777797E-2</v>
      </c>
      <c r="AS229" s="1900">
        <f t="shared" si="347"/>
        <v>8.1605646228495754E-2</v>
      </c>
      <c r="AT229" s="1900">
        <f t="shared" si="347"/>
        <v>0.12015503875968991</v>
      </c>
      <c r="AU229" s="1774">
        <f t="shared" si="347"/>
        <v>5.2407328504473716E-2</v>
      </c>
      <c r="AV229" s="1900">
        <f t="shared" si="347"/>
        <v>3.4587116299178433E-3</v>
      </c>
      <c r="AW229" s="1900">
        <f t="shared" si="347"/>
        <v>2.0684168655529023E-2</v>
      </c>
      <c r="AX229" s="1900">
        <f t="shared" ref="AX229:CD229" si="348">AX228/AS228-1</f>
        <v>8.3197389885807604E-2</v>
      </c>
      <c r="AY229" s="1900">
        <f t="shared" si="348"/>
        <v>8.7274125336409103E-2</v>
      </c>
      <c r="AZ229" s="1774">
        <f t="shared" si="348"/>
        <v>4.9696356275303666E-2</v>
      </c>
      <c r="BA229" s="1900">
        <f t="shared" si="348"/>
        <v>0.14735028005170192</v>
      </c>
      <c r="BB229" s="1900">
        <f t="shared" si="348"/>
        <v>8.6126266562743581E-2</v>
      </c>
      <c r="BC229" s="1900">
        <f t="shared" si="348"/>
        <v>7.2289156626506035E-2</v>
      </c>
      <c r="BD229" s="1900">
        <f t="shared" si="348"/>
        <v>6.5417256011315317E-2</v>
      </c>
      <c r="BE229" s="1774">
        <f t="shared" si="348"/>
        <v>9.0637354160640227E-2</v>
      </c>
      <c r="BF229" s="1900">
        <f t="shared" si="348"/>
        <v>5.7453999248967325E-2</v>
      </c>
      <c r="BG229" s="1900">
        <f t="shared" si="348"/>
        <v>9.9748833871546427E-2</v>
      </c>
      <c r="BH229" s="1900">
        <f t="shared" si="348"/>
        <v>7.4438202247190999E-2</v>
      </c>
      <c r="BI229" s="1900">
        <f t="shared" si="348"/>
        <v>5.4430799867241975E-2</v>
      </c>
      <c r="BJ229" s="1774">
        <f t="shared" si="348"/>
        <v>7.1346476880912446E-2</v>
      </c>
      <c r="BK229" s="1900">
        <f t="shared" si="348"/>
        <v>7.4573863636363535E-2</v>
      </c>
      <c r="BL229" s="1909">
        <f t="shared" si="348"/>
        <v>0.1065722675367049</v>
      </c>
      <c r="BM229" s="1909">
        <f t="shared" si="348"/>
        <v>7.6962745098039242E-2</v>
      </c>
      <c r="BN229" s="1900">
        <f t="shared" si="348"/>
        <v>0.10347306893295571</v>
      </c>
      <c r="BO229" s="1774">
        <f t="shared" si="348"/>
        <v>9.0846999504868853E-2</v>
      </c>
      <c r="BP229" s="1909">
        <f t="shared" si="348"/>
        <v>0.10373539277938093</v>
      </c>
      <c r="BQ229" s="1909">
        <f t="shared" si="348"/>
        <v>8.3958333333333357E-2</v>
      </c>
      <c r="BR229" s="1909">
        <f t="shared" si="348"/>
        <v>8.3958333333333357E-2</v>
      </c>
      <c r="BS229" s="1900">
        <f t="shared" si="348"/>
        <v>8.8262973122255728E-2</v>
      </c>
      <c r="BT229" s="1910">
        <f t="shared" si="348"/>
        <v>8.9627216124904097E-2</v>
      </c>
      <c r="BU229" s="1909">
        <f t="shared" si="348"/>
        <v>8.8535570789801898E-2</v>
      </c>
      <c r="BV229" s="1909">
        <f t="shared" si="348"/>
        <v>6.8760330578512496E-2</v>
      </c>
      <c r="BW229" s="1909">
        <f t="shared" si="348"/>
        <v>6.8760330578512496E-2</v>
      </c>
      <c r="BX229" s="1909">
        <f t="shared" si="348"/>
        <v>7.3056453858577619E-2</v>
      </c>
      <c r="BY229" s="1910">
        <f t="shared" si="348"/>
        <v>7.4483724088415304E-2</v>
      </c>
      <c r="BZ229" s="1909">
        <f t="shared" si="348"/>
        <v>7.3339030107321346E-2</v>
      </c>
      <c r="CA229" s="1909">
        <f t="shared" si="348"/>
        <v>5.3565573770491648E-2</v>
      </c>
      <c r="CB229" s="1909">
        <f t="shared" si="348"/>
        <v>5.3565573770491648E-2</v>
      </c>
      <c r="CC229" s="1909">
        <f t="shared" si="348"/>
        <v>5.7853420585176174E-2</v>
      </c>
      <c r="CD229" s="1910">
        <f t="shared" si="348"/>
        <v>5.9344814939020107E-2</v>
      </c>
      <c r="CE229" s="1909">
        <f t="shared" ref="CE229:CI229" si="349">CE228/BZ228-1</f>
        <v>5.8145690565888364E-2</v>
      </c>
      <c r="CF229" s="1909">
        <f t="shared" si="349"/>
        <v>3.837398373983758E-2</v>
      </c>
      <c r="CG229" s="1909">
        <f t="shared" si="349"/>
        <v>3.8373983739837358E-2</v>
      </c>
      <c r="CH229" s="1909">
        <f t="shared" si="349"/>
        <v>4.265378577686918E-2</v>
      </c>
      <c r="CI229" s="1910">
        <f t="shared" si="349"/>
        <v>4.4210448394924606E-2</v>
      </c>
      <c r="CJ229" s="1909">
        <f t="shared" ref="CJ229:CS229" si="350">CJ228/CE228-1</f>
        <v>4.2955474589754683E-2</v>
      </c>
      <c r="CK229" s="1909">
        <f t="shared" si="350"/>
        <v>2.3185483870967749E-2</v>
      </c>
      <c r="CL229" s="1909">
        <f t="shared" si="350"/>
        <v>2.3185483870967527E-2</v>
      </c>
      <c r="CM229" s="1909">
        <f t="shared" si="350"/>
        <v>2.7457464814228283E-2</v>
      </c>
      <c r="CN229" s="1910">
        <f t="shared" si="350"/>
        <v>2.9080588538342056E-2</v>
      </c>
      <c r="CO229" s="1909">
        <f t="shared" si="350"/>
        <v>2.7768307089690358E-2</v>
      </c>
      <c r="CP229" s="1909">
        <f t="shared" si="350"/>
        <v>8.0000000000002292E-3</v>
      </c>
      <c r="CQ229" s="1909">
        <f t="shared" si="350"/>
        <v>8.0000000000002292E-3</v>
      </c>
      <c r="CR229" s="1909">
        <f t="shared" si="350"/>
        <v>1.2264375863987986E-2</v>
      </c>
      <c r="CS229" s="1910">
        <f t="shared" si="350"/>
        <v>1.3955203795668725E-2</v>
      </c>
      <c r="CT229" s="1909">
        <f t="shared" ref="CT229" si="351">CT228/CO228-1</f>
        <v>1.2584115364152826E-2</v>
      </c>
      <c r="CU229" s="1909">
        <f t="shared" ref="CU229" si="352">CU228/CP228-1</f>
        <v>-7.1825396825397902E-3</v>
      </c>
      <c r="CV229" s="1909">
        <f t="shared" ref="CV229" si="353">CV228/CQ228-1</f>
        <v>-7.1825396825396792E-3</v>
      </c>
      <c r="CW229" s="1909">
        <f t="shared" ref="CW229" si="354">CW228/CR228-1</f>
        <v>-2.9255602346885956E-3</v>
      </c>
      <c r="CX229" s="1910">
        <f t="shared" ref="CX229" si="355">CX228/CS228-1</f>
        <v>-1.165733072160946E-3</v>
      </c>
      <c r="CY229" s="1900"/>
      <c r="CZ229" s="1900"/>
      <c r="DA229" s="1900"/>
      <c r="DB229" s="1900"/>
      <c r="DC229" s="1900"/>
      <c r="DD229" s="1900"/>
      <c r="DE229" s="1900"/>
      <c r="DF229" s="1900"/>
      <c r="DG229" s="1900"/>
      <c r="DH229" s="1773"/>
      <c r="DI229" s="1774"/>
      <c r="DJ229" s="1773"/>
      <c r="DK229" s="1911"/>
      <c r="DL229" s="1911"/>
      <c r="DM229" s="1910"/>
      <c r="DN229" s="1910"/>
      <c r="DO229" s="1910"/>
      <c r="DP229" s="1910"/>
      <c r="DQ229" s="1910"/>
      <c r="DR229" s="3060"/>
    </row>
    <row r="230" spans="1:122" hidden="1" outlineLevel="2">
      <c r="A230" s="1912" t="s">
        <v>529</v>
      </c>
      <c r="B230" s="1913"/>
      <c r="C230" s="1887"/>
      <c r="D230" s="1887"/>
      <c r="E230" s="1887"/>
      <c r="F230" s="1887"/>
      <c r="G230" s="1801">
        <f t="shared" ref="G230:P230" si="356">(1-0.36)*G325/1000</f>
        <v>1310.72</v>
      </c>
      <c r="H230" s="1887">
        <f t="shared" si="356"/>
        <v>190.08</v>
      </c>
      <c r="I230" s="1887">
        <f t="shared" si="356"/>
        <v>149.76</v>
      </c>
      <c r="J230" s="1887">
        <f t="shared" si="356"/>
        <v>195.2</v>
      </c>
      <c r="K230" s="1887">
        <f t="shared" si="356"/>
        <v>0</v>
      </c>
      <c r="L230" s="1801">
        <f t="shared" si="356"/>
        <v>1572.48</v>
      </c>
      <c r="M230" s="1887">
        <f t="shared" si="356"/>
        <v>243.84</v>
      </c>
      <c r="N230" s="1887">
        <f t="shared" si="356"/>
        <v>-133.76</v>
      </c>
      <c r="O230" s="1887">
        <f t="shared" si="356"/>
        <v>394.24</v>
      </c>
      <c r="P230" s="1887">
        <f t="shared" si="356"/>
        <v>389.12</v>
      </c>
      <c r="Q230" s="1914">
        <f>SUM(M230:P230)</f>
        <v>893.44</v>
      </c>
      <c r="R230" s="1889">
        <v>455</v>
      </c>
      <c r="S230" s="1887">
        <v>660</v>
      </c>
      <c r="T230" s="1803">
        <v>515</v>
      </c>
      <c r="U230" s="1803">
        <v>479</v>
      </c>
      <c r="V230" s="1801">
        <f>SUM(R230:U230)</f>
        <v>2109</v>
      </c>
      <c r="W230" s="1889">
        <v>600</v>
      </c>
      <c r="X230" s="1887">
        <v>767</v>
      </c>
      <c r="Y230" s="1887">
        <v>738</v>
      </c>
      <c r="Z230" s="1803">
        <v>907</v>
      </c>
      <c r="AA230" s="1801">
        <f>SUM(W230:Z230)</f>
        <v>3012</v>
      </c>
      <c r="AB230" s="1889">
        <v>818</v>
      </c>
      <c r="AC230" s="1887">
        <v>1032</v>
      </c>
      <c r="AD230" s="1887">
        <v>979</v>
      </c>
      <c r="AE230" s="1803">
        <v>1054</v>
      </c>
      <c r="AF230" s="1801">
        <f>SUM(AB230:AE230)</f>
        <v>3883</v>
      </c>
      <c r="AG230" s="1803">
        <v>962</v>
      </c>
      <c r="AH230" s="1887">
        <v>1154</v>
      </c>
      <c r="AI230" s="1887">
        <v>1092</v>
      </c>
      <c r="AJ230" s="1803">
        <v>1373</v>
      </c>
      <c r="AK230" s="1801">
        <f>SUM(AG230:AJ230)</f>
        <v>4581</v>
      </c>
      <c r="AL230" s="1803">
        <v>1017</v>
      </c>
      <c r="AM230" s="1887">
        <v>1356</v>
      </c>
      <c r="AN230" s="1887">
        <v>1224</v>
      </c>
      <c r="AO230" s="1803">
        <v>1206</v>
      </c>
      <c r="AP230" s="1762">
        <f>SUM(AL230:AO230)</f>
        <v>4803</v>
      </c>
      <c r="AQ230" s="1803">
        <v>1237</v>
      </c>
      <c r="AR230" s="1803">
        <v>1464</v>
      </c>
      <c r="AS230" s="1803">
        <v>1254</v>
      </c>
      <c r="AT230" s="1803">
        <v>1548</v>
      </c>
      <c r="AU230" s="1762">
        <f>SUM(AQ230:AT230)</f>
        <v>5503</v>
      </c>
      <c r="AV230" s="1803">
        <v>1540</v>
      </c>
      <c r="AW230" s="1803">
        <v>1722</v>
      </c>
      <c r="AX230" s="1803">
        <v>1351</v>
      </c>
      <c r="AY230" s="1803">
        <v>1696</v>
      </c>
      <c r="AZ230" s="1762">
        <f>SUM(AV230:AY230)</f>
        <v>6309</v>
      </c>
      <c r="BA230" s="1803">
        <v>1553</v>
      </c>
      <c r="BB230" s="1803">
        <v>1950</v>
      </c>
      <c r="BC230" s="1803">
        <v>1683</v>
      </c>
      <c r="BD230" s="1803">
        <v>2037</v>
      </c>
      <c r="BE230" s="1762">
        <f>SUM(BA230:BD230)</f>
        <v>7223</v>
      </c>
      <c r="BF230" s="1803">
        <v>1737</v>
      </c>
      <c r="BG230" s="1803">
        <v>2121</v>
      </c>
      <c r="BH230" s="1803">
        <v>1979</v>
      </c>
      <c r="BI230" s="1803">
        <v>2325</v>
      </c>
      <c r="BJ230" s="1762">
        <f>SUM(BF230:BI230)</f>
        <v>8162</v>
      </c>
      <c r="BK230" s="1803">
        <v>2026</v>
      </c>
      <c r="BL230" s="1915">
        <f>BL224*BL231</f>
        <v>2261.0960000000005</v>
      </c>
      <c r="BM230" s="1915">
        <f>BM224*BM231</f>
        <v>2197.0040000000004</v>
      </c>
      <c r="BN230" s="1803">
        <f>BN224*BN231</f>
        <v>2513.45406</v>
      </c>
      <c r="BO230" s="1762">
        <f>SUM(BK230:BN230)</f>
        <v>8997.5540600000004</v>
      </c>
      <c r="BP230" s="1915">
        <f>BP224*BP231</f>
        <v>2190.0061369866021</v>
      </c>
      <c r="BQ230" s="1915">
        <f>BQ224*BQ231</f>
        <v>2400.2947225000003</v>
      </c>
      <c r="BR230" s="1915">
        <f>BR224*BR231</f>
        <v>2332.2570587500004</v>
      </c>
      <c r="BS230" s="1803">
        <f>BS224*BS231</f>
        <v>2679.5434114799996</v>
      </c>
      <c r="BT230" s="1908">
        <f>SUM(BP230:BS230)</f>
        <v>9602.1013297166028</v>
      </c>
      <c r="BU230" s="1915">
        <f>BU224*BU231</f>
        <v>2334.4759949731274</v>
      </c>
      <c r="BV230" s="1915">
        <f>BV224*BV231</f>
        <v>2512.1059197000004</v>
      </c>
      <c r="BW230" s="1915">
        <f>BW224*BW231</f>
        <v>2440.8989065500004</v>
      </c>
      <c r="BX230" s="1915">
        <f>BX224*BX231</f>
        <v>2816.4823653220797</v>
      </c>
      <c r="BY230" s="1908">
        <f>SUM(BU230:BX230)</f>
        <v>10103.963186545208</v>
      </c>
      <c r="BZ230" s="1915">
        <f>BZ224*BZ231</f>
        <v>2453.4999565043399</v>
      </c>
      <c r="CA230" s="1915">
        <f>CA224*CA231</f>
        <v>2591.4949080597503</v>
      </c>
      <c r="CB230" s="1915">
        <f>CB224*CB231</f>
        <v>2518.0375707121252</v>
      </c>
      <c r="CC230" s="1915">
        <f>CC224*CC231</f>
        <v>2918.2451373300823</v>
      </c>
      <c r="CD230" s="1908">
        <f>SUM(BZ230:CC230)</f>
        <v>10481.277572606299</v>
      </c>
      <c r="CE230" s="1915">
        <f>CE224*CE231</f>
        <v>2541.8339756617993</v>
      </c>
      <c r="CF230" s="1915">
        <f>CF224*CF231</f>
        <v>2634.5743039339904</v>
      </c>
      <c r="CG230" s="1915">
        <f>CG224*CG231</f>
        <v>2559.8958576018854</v>
      </c>
      <c r="CH230" s="1915">
        <f>CH224*CH231</f>
        <v>2979.9882827341712</v>
      </c>
      <c r="CI230" s="1908">
        <f>SUM(CE230:CH230)</f>
        <v>10716.292419931846</v>
      </c>
      <c r="CJ230" s="1915">
        <f>CJ224*CJ231</f>
        <v>2595.2676689255341</v>
      </c>
      <c r="CK230" s="1915">
        <f>CK224*CK231</f>
        <v>2638.9074853549346</v>
      </c>
      <c r="CL230" s="1915">
        <f>CL224*CL231</f>
        <v>2564.1062126308357</v>
      </c>
      <c r="CM230" s="1915">
        <f>CM224*CM231</f>
        <v>2998.4188042449487</v>
      </c>
      <c r="CN230" s="1908">
        <f>SUM(CJ230:CM230)</f>
        <v>10796.700171156252</v>
      </c>
      <c r="CO230" s="1915">
        <f>CO224*CO231</f>
        <v>2610.9447429151382</v>
      </c>
      <c r="CP230" s="1915">
        <f>CP224*CP231</f>
        <v>2603.7220522168686</v>
      </c>
      <c r="CQ230" s="1915">
        <f>CQ224*CQ231</f>
        <v>2529.9181297957575</v>
      </c>
      <c r="CR230" s="1915">
        <f>CR224*CR231</f>
        <v>2972.0704665773123</v>
      </c>
      <c r="CS230" s="1908">
        <f>SUM(CO230:CR230)</f>
        <v>10716.655391505077</v>
      </c>
      <c r="CT230" s="1915">
        <f>CT224*CT231</f>
        <v>2587.603102397703</v>
      </c>
      <c r="CU230" s="1915">
        <f>CU224*CU231</f>
        <v>2530.0085697926206</v>
      </c>
      <c r="CV230" s="1915">
        <f>CV224*CV231</f>
        <v>2458.2940962562698</v>
      </c>
      <c r="CW230" s="1915">
        <f>CW224*CW231</f>
        <v>2901.4574407020768</v>
      </c>
      <c r="CX230" s="1908">
        <f>SUM(CT230:CW230)</f>
        <v>10477.363209148671</v>
      </c>
      <c r="CY230" s="1890"/>
      <c r="CZ230" s="1890"/>
      <c r="DA230" s="1890"/>
      <c r="DB230" s="1890"/>
      <c r="DC230" s="1890"/>
      <c r="DD230" s="1890"/>
      <c r="DE230" s="1890"/>
      <c r="DF230" s="1890"/>
      <c r="DG230" s="1890"/>
      <c r="DH230" s="1804"/>
      <c r="DI230" s="1801">
        <f>DI224-DI228</f>
        <v>7578</v>
      </c>
      <c r="DJ230" s="1804">
        <f>DJ224-DJ228</f>
        <v>8591.0960000000014</v>
      </c>
      <c r="DK230" s="1907">
        <f>DK224-DK228</f>
        <v>9300.7589194866014</v>
      </c>
      <c r="DL230" s="1907">
        <f>SUM(BU230:BV230,BR230:BS230)</f>
        <v>9858.3823849031287</v>
      </c>
      <c r="DM230" s="1908">
        <f>SUM(BW230:BX230,BZ230:CA230)</f>
        <v>10302.376136436171</v>
      </c>
      <c r="DN230" s="1908">
        <f>SUM(CB230:CC230,CE230:CF230)</f>
        <v>10612.690987637998</v>
      </c>
      <c r="DO230" s="1908"/>
      <c r="DP230" s="1908"/>
      <c r="DQ230" s="1908"/>
      <c r="DR230" s="1915"/>
    </row>
    <row r="231" spans="1:122" hidden="1" outlineLevel="2">
      <c r="A231" s="1824" t="s">
        <v>117</v>
      </c>
      <c r="B231" s="1916"/>
      <c r="C231" s="1917"/>
      <c r="D231" s="1917"/>
      <c r="E231" s="1917"/>
      <c r="F231" s="1917"/>
      <c r="G231" s="1918">
        <f>G230/G224</f>
        <v>0.25343202085121852</v>
      </c>
      <c r="H231" s="1917">
        <f>H230/H224</f>
        <v>0.13925274725274725</v>
      </c>
      <c r="I231" s="1917">
        <f>I230/I224</f>
        <v>0.10112632687788671</v>
      </c>
      <c r="J231" s="1917">
        <f>J230/J224</f>
        <v>0.12719263950791043</v>
      </c>
      <c r="K231" s="1917"/>
      <c r="L231" s="1918">
        <f t="shared" ref="L231:BK231" si="357">L230/L224</f>
        <v>0.26218487394957984</v>
      </c>
      <c r="M231" s="1919">
        <f t="shared" si="357"/>
        <v>0.15440729483282675</v>
      </c>
      <c r="N231" s="1919">
        <f t="shared" si="357"/>
        <v>-7.4202281098832812E-2</v>
      </c>
      <c r="O231" s="1919">
        <f t="shared" si="357"/>
        <v>0.21420964551954969</v>
      </c>
      <c r="P231" s="1919">
        <f t="shared" si="357"/>
        <v>0.19958556451447446</v>
      </c>
      <c r="Q231" s="1920">
        <f t="shared" si="357"/>
        <v>0.12457473033720398</v>
      </c>
      <c r="R231" s="1919">
        <f t="shared" si="357"/>
        <v>0.23871983210912906</v>
      </c>
      <c r="S231" s="1919">
        <f t="shared" si="357"/>
        <v>0.30541416011105971</v>
      </c>
      <c r="T231" s="1919">
        <f t="shared" si="357"/>
        <v>0.25024295432458699</v>
      </c>
      <c r="U231" s="1919">
        <f t="shared" si="357"/>
        <v>0.21336302895322939</v>
      </c>
      <c r="V231" s="1918">
        <f t="shared" si="357"/>
        <v>0.25197132616487455</v>
      </c>
      <c r="W231" s="1919">
        <f t="shared" si="357"/>
        <v>0.28208744710860367</v>
      </c>
      <c r="X231" s="1919">
        <f t="shared" si="357"/>
        <v>0.31460213289581623</v>
      </c>
      <c r="Y231" s="1919">
        <f t="shared" si="357"/>
        <v>0.30775646371976645</v>
      </c>
      <c r="Z231" s="1919">
        <f t="shared" si="357"/>
        <v>0.33717472118959108</v>
      </c>
      <c r="AA231" s="1918">
        <f t="shared" si="357"/>
        <v>0.31202734901067025</v>
      </c>
      <c r="AB231" s="1919">
        <f t="shared" si="357"/>
        <v>0.32733093237294919</v>
      </c>
      <c r="AC231" s="1919">
        <f t="shared" si="357"/>
        <v>0.36274165202108966</v>
      </c>
      <c r="AD231" s="1919">
        <f t="shared" si="357"/>
        <v>0.35612950163695889</v>
      </c>
      <c r="AE231" s="1919">
        <f t="shared" si="357"/>
        <v>0.34198572355613238</v>
      </c>
      <c r="AF231" s="1918">
        <f t="shared" si="357"/>
        <v>0.34747203579418345</v>
      </c>
      <c r="AG231" s="1919">
        <f t="shared" si="357"/>
        <v>0.3317241379310345</v>
      </c>
      <c r="AH231" s="1919">
        <f t="shared" si="357"/>
        <v>0.35387917816620668</v>
      </c>
      <c r="AI231" s="1919">
        <f t="shared" si="357"/>
        <v>0.33548387096774196</v>
      </c>
      <c r="AJ231" s="1919">
        <f t="shared" si="357"/>
        <v>0.36740701097136741</v>
      </c>
      <c r="AK231" s="1918">
        <f t="shared" si="357"/>
        <v>0.34828556222914925</v>
      </c>
      <c r="AL231" s="1919">
        <f t="shared" si="357"/>
        <v>0.29762949956101842</v>
      </c>
      <c r="AM231" s="1919">
        <f t="shared" si="357"/>
        <v>0.36111850865512651</v>
      </c>
      <c r="AN231" s="1919">
        <f t="shared" si="357"/>
        <v>0.35061586937840161</v>
      </c>
      <c r="AO231" s="1917">
        <f t="shared" si="357"/>
        <v>0.34183673469387754</v>
      </c>
      <c r="AP231" s="1918">
        <f t="shared" si="357"/>
        <v>0.33845394968642095</v>
      </c>
      <c r="AQ231" s="1917">
        <f t="shared" si="357"/>
        <v>0.34845070422535213</v>
      </c>
      <c r="AR231" s="1917">
        <f t="shared" si="357"/>
        <v>0.36802413273001511</v>
      </c>
      <c r="AS231" s="1917">
        <f t="shared" si="357"/>
        <v>0.33837021046950888</v>
      </c>
      <c r="AT231" s="1917">
        <f t="shared" si="357"/>
        <v>0.37310195227765725</v>
      </c>
      <c r="AU231" s="1918">
        <f t="shared" si="357"/>
        <v>0.35773256191900149</v>
      </c>
      <c r="AV231" s="1917">
        <f t="shared" si="357"/>
        <v>0.39886039886039887</v>
      </c>
      <c r="AW231" s="1917">
        <f t="shared" si="357"/>
        <v>0.40158582089552236</v>
      </c>
      <c r="AX231" s="1917">
        <f t="shared" si="357"/>
        <v>0.33715997005240828</v>
      </c>
      <c r="AY231" s="1917">
        <f t="shared" si="357"/>
        <v>0.37488947833775421</v>
      </c>
      <c r="AZ231" s="1918">
        <f t="shared" si="357"/>
        <v>0.37823741007194245</v>
      </c>
      <c r="BA231" s="1917">
        <f t="shared" si="357"/>
        <v>0.36835863377609107</v>
      </c>
      <c r="BB231" s="1917">
        <f t="shared" si="357"/>
        <v>0.41165294490183663</v>
      </c>
      <c r="BC231" s="1917">
        <f t="shared" si="357"/>
        <v>0.37144118296181861</v>
      </c>
      <c r="BD231" s="1917">
        <f t="shared" si="357"/>
        <v>0.40336633663366339</v>
      </c>
      <c r="BE231" s="1918">
        <f t="shared" si="357"/>
        <v>0.3897161972590914</v>
      </c>
      <c r="BF231" s="1917">
        <f t="shared" si="357"/>
        <v>0.38150669887985944</v>
      </c>
      <c r="BG231" s="1917">
        <f t="shared" si="357"/>
        <v>0.4089857308137293</v>
      </c>
      <c r="BH231" s="1917">
        <f t="shared" si="357"/>
        <v>0.39273665409803532</v>
      </c>
      <c r="BI231" s="1917">
        <f t="shared" si="357"/>
        <v>0.42257360959651036</v>
      </c>
      <c r="BJ231" s="1918">
        <f>BJ230/BJ224</f>
        <v>0.40246548323471398</v>
      </c>
      <c r="BK231" s="1917">
        <f t="shared" si="357"/>
        <v>0.40102929532858272</v>
      </c>
      <c r="BL231" s="1921">
        <v>0.4</v>
      </c>
      <c r="BM231" s="1921">
        <v>0.4</v>
      </c>
      <c r="BN231" s="1917">
        <f>BI231-0.005</f>
        <v>0.41757360959651035</v>
      </c>
      <c r="BO231" s="1918">
        <f>BO230/BO224</f>
        <v>0.40499534893937539</v>
      </c>
      <c r="BP231" s="1921">
        <f>BK231-0.005</f>
        <v>0.39602929532858272</v>
      </c>
      <c r="BQ231" s="1921">
        <f>BL231-0.005</f>
        <v>0.39500000000000002</v>
      </c>
      <c r="BR231" s="1921">
        <f>BM231-0.005</f>
        <v>0.39500000000000002</v>
      </c>
      <c r="BS231" s="1917">
        <f>BN231-0.005</f>
        <v>0.41257360959651035</v>
      </c>
      <c r="BT231" s="1922">
        <f>BT230/BT224</f>
        <v>0.39999160679257539</v>
      </c>
      <c r="BU231" s="1921">
        <f>BP231-0.005</f>
        <v>0.39102929532858272</v>
      </c>
      <c r="BV231" s="1921">
        <f>BQ231-0.005</f>
        <v>0.39</v>
      </c>
      <c r="BW231" s="1921">
        <f>BR231-0.005</f>
        <v>0.39</v>
      </c>
      <c r="BX231" s="1921">
        <f>BS231-0.005</f>
        <v>0.40757360959651034</v>
      </c>
      <c r="BY231" s="1922">
        <f>BY230/BY224</f>
        <v>0.39498759779053821</v>
      </c>
      <c r="BZ231" s="1921">
        <f>BU231-0.005</f>
        <v>0.38602929532858271</v>
      </c>
      <c r="CA231" s="1921">
        <f>BV231-0.005</f>
        <v>0.38500000000000001</v>
      </c>
      <c r="CB231" s="1921">
        <f>BW231-0.005</f>
        <v>0.38500000000000001</v>
      </c>
      <c r="CC231" s="1921">
        <f>BX231-0.005</f>
        <v>0.40257360959651034</v>
      </c>
      <c r="CD231" s="1922">
        <f>CD230/CD224</f>
        <v>0.38998331022169369</v>
      </c>
      <c r="CE231" s="1921">
        <f>BZ231-0.005</f>
        <v>0.38102929532858271</v>
      </c>
      <c r="CF231" s="1921">
        <f>CA231-0.005</f>
        <v>0.38</v>
      </c>
      <c r="CG231" s="1921">
        <f>CB231-0.005</f>
        <v>0.38</v>
      </c>
      <c r="CH231" s="1921">
        <f>CC231-0.005</f>
        <v>0.39757360959651034</v>
      </c>
      <c r="CI231" s="1922">
        <f>CI230/CI224</f>
        <v>0.38497873178562275</v>
      </c>
      <c r="CJ231" s="1921">
        <f>CE231-0.005</f>
        <v>0.3760292953285827</v>
      </c>
      <c r="CK231" s="1921">
        <f>CF231-0.005</f>
        <v>0.375</v>
      </c>
      <c r="CL231" s="1921">
        <f>CG231-0.005</f>
        <v>0.375</v>
      </c>
      <c r="CM231" s="1921">
        <f>CH231-0.005</f>
        <v>0.39257360959651033</v>
      </c>
      <c r="CN231" s="1922">
        <f>CN230/CN224</f>
        <v>0.37997384955838504</v>
      </c>
      <c r="CO231" s="1921">
        <f>CJ231-0.005</f>
        <v>0.3710292953285827</v>
      </c>
      <c r="CP231" s="1921">
        <f>CK231-0.005</f>
        <v>0.37</v>
      </c>
      <c r="CQ231" s="1921">
        <f>CL231-0.005</f>
        <v>0.37</v>
      </c>
      <c r="CR231" s="1921">
        <f>CM231-0.005</f>
        <v>0.38757360959651033</v>
      </c>
      <c r="CS231" s="1922">
        <f>CS230/CS224</f>
        <v>0.37496864995549067</v>
      </c>
      <c r="CT231" s="1921">
        <f>CO231-0.005</f>
        <v>0.36602929532858269</v>
      </c>
      <c r="CU231" s="1921">
        <f>CP231-0.005</f>
        <v>0.36499999999999999</v>
      </c>
      <c r="CV231" s="1921">
        <f>CQ231-0.005</f>
        <v>0.36499999999999999</v>
      </c>
      <c r="CW231" s="1921">
        <f>CR231-0.005</f>
        <v>0.38257360959651032</v>
      </c>
      <c r="CX231" s="1922">
        <f>CX230/CX224</f>
        <v>0.36996311869233756</v>
      </c>
      <c r="CY231" s="1923"/>
      <c r="CZ231" s="1923"/>
      <c r="DA231" s="1923"/>
      <c r="DB231" s="1923"/>
      <c r="DC231" s="1923"/>
      <c r="DD231" s="1923"/>
      <c r="DE231" s="1923"/>
      <c r="DF231" s="1923"/>
      <c r="DG231" s="1923"/>
      <c r="DH231" s="1924"/>
      <c r="DI231" s="1918">
        <f>SUM(BC230:BD230,BF230:BG230)/SUM(BC224:BD224,BF224:BG224)</f>
        <v>0.39223602484472048</v>
      </c>
      <c r="DJ231" s="1924">
        <f>SUM(BH230:BI230,BK230:BL230)/SUM(BH224:BI224,BK224:BL224)</f>
        <v>0.40436793446592117</v>
      </c>
      <c r="DK231" s="1925">
        <f>SUM(BM230:BN230,BP230:BQ230)/SUM(BM224:BN224,BP224:BQ224)</f>
        <v>0.40231149083134715</v>
      </c>
      <c r="DL231" s="1925">
        <f>DL230/DL224</f>
        <v>0.39734672470635368</v>
      </c>
      <c r="DM231" s="1922">
        <f>DM230/DM224</f>
        <v>0.3923822211784217</v>
      </c>
      <c r="DN231" s="1922">
        <f>DN230/DN224</f>
        <v>0.38741798224706747</v>
      </c>
      <c r="DO231" s="1922"/>
      <c r="DP231" s="1922"/>
      <c r="DQ231" s="1922"/>
      <c r="DR231" s="1921"/>
    </row>
    <row r="232" spans="1:122" hidden="1" outlineLevel="2">
      <c r="A232" s="1926"/>
      <c r="B232" s="1886"/>
      <c r="C232" s="1803"/>
      <c r="D232" s="1803"/>
      <c r="E232" s="1803"/>
      <c r="F232" s="1803"/>
      <c r="G232" s="1762"/>
      <c r="H232" s="1803"/>
      <c r="I232" s="1803"/>
      <c r="J232" s="1803"/>
      <c r="K232" s="1803"/>
      <c r="L232" s="1762"/>
      <c r="M232" s="1803"/>
      <c r="N232" s="1803"/>
      <c r="O232" s="1803"/>
      <c r="P232" s="1927"/>
      <c r="Q232" s="1888"/>
      <c r="R232" s="1928"/>
      <c r="S232" s="1928"/>
      <c r="T232" s="1893"/>
      <c r="U232" s="1893"/>
      <c r="V232" s="1929"/>
      <c r="W232" s="1928"/>
      <c r="X232" s="1928"/>
      <c r="Y232" s="1928"/>
      <c r="Z232" s="1893"/>
      <c r="AA232" s="1929"/>
      <c r="AB232" s="1928"/>
      <c r="AC232" s="1928"/>
      <c r="AD232" s="1928"/>
      <c r="AE232" s="1893"/>
      <c r="AF232" s="1929"/>
      <c r="AG232" s="1893"/>
      <c r="AH232" s="1928"/>
      <c r="AI232" s="1928"/>
      <c r="AJ232" s="1893"/>
      <c r="AK232" s="1929"/>
      <c r="AL232" s="1893"/>
      <c r="AM232" s="1928"/>
      <c r="AN232" s="1928"/>
      <c r="AO232" s="1936"/>
      <c r="AP232" s="1929"/>
      <c r="AQ232" s="1937"/>
      <c r="AR232" s="1938"/>
      <c r="AS232" s="1938"/>
      <c r="AT232" s="1938"/>
      <c r="AU232" s="1929"/>
      <c r="AV232" s="1937"/>
      <c r="AW232" s="1937"/>
      <c r="AX232" s="1937"/>
      <c r="AY232" s="1938"/>
      <c r="AZ232" s="1929"/>
      <c r="BA232" s="1937"/>
      <c r="BB232" s="1937"/>
      <c r="BC232" s="1937"/>
      <c r="BD232" s="1938"/>
      <c r="BE232" s="1929"/>
      <c r="BF232" s="1937"/>
      <c r="BG232" s="1937"/>
      <c r="BH232" s="1937"/>
      <c r="BI232" s="1938"/>
      <c r="BJ232" s="1929"/>
      <c r="BK232" s="1937"/>
      <c r="BL232" s="1936"/>
      <c r="BM232" s="1936"/>
      <c r="BN232" s="1938"/>
      <c r="BO232" s="1929"/>
      <c r="BP232" s="1936"/>
      <c r="BQ232" s="1936"/>
      <c r="BR232" s="1936"/>
      <c r="BS232" s="1938"/>
      <c r="BT232" s="1939"/>
      <c r="BU232" s="1936"/>
      <c r="BV232" s="1936"/>
      <c r="BW232" s="1936"/>
      <c r="BX232" s="1936"/>
      <c r="BY232" s="1939"/>
      <c r="BZ232" s="1936"/>
      <c r="CA232" s="1936"/>
      <c r="CB232" s="1936"/>
      <c r="CC232" s="1936"/>
      <c r="CD232" s="1939"/>
      <c r="CE232" s="1936"/>
      <c r="CF232" s="1936"/>
      <c r="CG232" s="1936"/>
      <c r="CH232" s="1936"/>
      <c r="CI232" s="1939"/>
      <c r="CJ232" s="1936"/>
      <c r="CK232" s="1936"/>
      <c r="CL232" s="1936"/>
      <c r="CM232" s="1936"/>
      <c r="CN232" s="1939"/>
      <c r="CO232" s="1936"/>
      <c r="CP232" s="1936"/>
      <c r="CQ232" s="1936"/>
      <c r="CR232" s="1936"/>
      <c r="CS232" s="1939"/>
      <c r="CT232" s="1936"/>
      <c r="CU232" s="1936"/>
      <c r="CV232" s="1936"/>
      <c r="CW232" s="1936"/>
      <c r="CX232" s="1939"/>
      <c r="CY232" s="1893"/>
      <c r="CZ232" s="1893"/>
      <c r="DA232" s="1893"/>
      <c r="DB232" s="1893"/>
      <c r="DC232" s="1893"/>
      <c r="DD232" s="1893"/>
      <c r="DE232" s="1893"/>
      <c r="DF232" s="1893"/>
      <c r="DG232" s="1893"/>
      <c r="DH232" s="1940"/>
      <c r="DI232" s="1941"/>
      <c r="DJ232" s="1940"/>
      <c r="DK232" s="1942"/>
      <c r="DL232" s="1942"/>
      <c r="DM232" s="1943"/>
      <c r="DN232" s="1943"/>
      <c r="DO232" s="1943"/>
      <c r="DP232" s="1943"/>
      <c r="DQ232" s="1943"/>
      <c r="DR232" s="3082"/>
    </row>
    <row r="233" spans="1:122" ht="12" hidden="1" customHeight="1" outlineLevel="3">
      <c r="A233" s="1944" t="s">
        <v>165</v>
      </c>
      <c r="B233" s="1886">
        <v>1315</v>
      </c>
      <c r="C233" s="1803">
        <v>348</v>
      </c>
      <c r="D233" s="1803">
        <v>372</v>
      </c>
      <c r="E233" s="1803">
        <v>404</v>
      </c>
      <c r="F233" s="1803">
        <v>447</v>
      </c>
      <c r="G233" s="1762">
        <f>SUM(C233:F233)</f>
        <v>1571</v>
      </c>
      <c r="H233" s="1803">
        <v>427</v>
      </c>
      <c r="I233" s="1803">
        <v>459</v>
      </c>
      <c r="J233" s="1803">
        <v>508</v>
      </c>
      <c r="K233" s="1803">
        <v>559</v>
      </c>
      <c r="L233" s="1762">
        <f>SUM(H233:K233)</f>
        <v>1953</v>
      </c>
      <c r="M233" s="1803">
        <v>491</v>
      </c>
      <c r="N233" s="1803">
        <v>546</v>
      </c>
      <c r="O233" s="1803">
        <v>591</v>
      </c>
      <c r="P233" s="1887">
        <v>588</v>
      </c>
      <c r="Q233" s="1888">
        <f>SUM(M233:P233)</f>
        <v>2216</v>
      </c>
      <c r="R233" s="1889">
        <v>559</v>
      </c>
      <c r="S233" s="1889">
        <v>606</v>
      </c>
      <c r="T233" s="1890">
        <v>581</v>
      </c>
      <c r="U233" s="1890">
        <v>598</v>
      </c>
      <c r="V233" s="1762">
        <f>SUM(R233:U233)</f>
        <v>2344</v>
      </c>
      <c r="W233" s="1889">
        <v>564</v>
      </c>
      <c r="X233" s="1889">
        <v>594</v>
      </c>
      <c r="Y233" s="1889">
        <v>561</v>
      </c>
      <c r="Z233" s="1890">
        <v>580</v>
      </c>
      <c r="AA233" s="1762">
        <f>SUM(W233:Z233)</f>
        <v>2299</v>
      </c>
      <c r="AB233" s="1889">
        <v>539</v>
      </c>
      <c r="AC233" s="1889">
        <v>624</v>
      </c>
      <c r="AD233" s="1889">
        <v>623</v>
      </c>
      <c r="AE233" s="1890">
        <v>688</v>
      </c>
      <c r="AF233" s="1762">
        <f>SUM(AB233:AE233)</f>
        <v>2474</v>
      </c>
      <c r="AG233" s="1890">
        <v>591</v>
      </c>
      <c r="AH233" s="1889">
        <v>709</v>
      </c>
      <c r="AI233" s="1889">
        <f>AI244-AI239</f>
        <v>699</v>
      </c>
      <c r="AJ233" s="1889">
        <f>AJ244-AJ239</f>
        <v>711</v>
      </c>
      <c r="AK233" s="1762">
        <f>SUM(AG233:AJ233)</f>
        <v>2710</v>
      </c>
      <c r="AL233" s="1890">
        <f>AL244-AL239</f>
        <v>381</v>
      </c>
      <c r="AM233" s="1889">
        <f>AH233*(1+AM235)</f>
        <v>730.27</v>
      </c>
      <c r="AN233" s="1889">
        <f>AI233*(1+AN235)</f>
        <v>719.97</v>
      </c>
      <c r="AO233" s="1891">
        <f>AJ233*(1+AO235)</f>
        <v>732.33</v>
      </c>
      <c r="AP233" s="1762">
        <f>SUM(AL233:AO233)</f>
        <v>2563.5700000000002</v>
      </c>
      <c r="AQ233" s="1890">
        <f>AL233*(1+AQ235)</f>
        <v>396.24</v>
      </c>
      <c r="AR233" s="1890">
        <f>AM233*(1+AR235)</f>
        <v>759.48080000000004</v>
      </c>
      <c r="AS233" s="1890">
        <f>AN233*(1+AS235)</f>
        <v>755.96850000000006</v>
      </c>
      <c r="AT233" s="1890">
        <f>AO233*(1+AT235)</f>
        <v>776.26980000000003</v>
      </c>
      <c r="AU233" s="1762">
        <f>SUM(AQ233:AT233)</f>
        <v>2687.9591</v>
      </c>
      <c r="AV233" s="1890">
        <f>AQ233*(1+AV235)</f>
        <v>423.97680000000003</v>
      </c>
      <c r="AW233" s="1890">
        <f>AR233*(1+AW235)</f>
        <v>812.6444560000001</v>
      </c>
      <c r="AX233" s="1890">
        <f>AS233*(1+AX235)</f>
        <v>808.88629500000013</v>
      </c>
      <c r="AY233" s="1890">
        <f>AT233*(1+AY235)</f>
        <v>830.60868600000003</v>
      </c>
      <c r="AZ233" s="1762">
        <f>SUM(AV233:AY233)</f>
        <v>2876.1162370000002</v>
      </c>
      <c r="BA233" s="1890">
        <f>AV233*(1+BA235)</f>
        <v>453.65517600000004</v>
      </c>
      <c r="BB233" s="1890">
        <f>AW233*(1+BB235)</f>
        <v>869.5295679200002</v>
      </c>
      <c r="BC233" s="1890">
        <f>AX233*(1+BC235)</f>
        <v>865.50833565000016</v>
      </c>
      <c r="BD233" s="1890">
        <f>AY233*(1+BD235)</f>
        <v>888.75129402000005</v>
      </c>
      <c r="BE233" s="1762">
        <f>SUM(BA233:BD233)</f>
        <v>3077.4443735900004</v>
      </c>
      <c r="BF233" s="1890">
        <f>BA233*(1+BF235)</f>
        <v>485.41103832000005</v>
      </c>
      <c r="BG233" s="1890">
        <f>BB233*(1+BG235)</f>
        <v>930.39663767440027</v>
      </c>
      <c r="BH233" s="1890">
        <f>BC233*(1+BH235)</f>
        <v>926.09391914550019</v>
      </c>
      <c r="BI233" s="1890">
        <f>BD233*(1+BI235)</f>
        <v>950.96388460140008</v>
      </c>
      <c r="BJ233" s="1762">
        <f>SUM(BF233:BI233)</f>
        <v>3292.8654797413005</v>
      </c>
      <c r="BK233" s="1890">
        <f>BF233*(1+BK235)</f>
        <v>519.38981100240005</v>
      </c>
      <c r="BL233" s="1891">
        <f>BG233*(1+BL235)</f>
        <v>995.52440231160836</v>
      </c>
      <c r="BM233" s="1891">
        <f>BH233*(1+BM235)</f>
        <v>990.92049348568526</v>
      </c>
      <c r="BN233" s="1890">
        <f>BI233*(1+BN235)</f>
        <v>1017.5313565234982</v>
      </c>
      <c r="BO233" s="1762">
        <f>SUM(BK233:BN233)</f>
        <v>3523.3660633231921</v>
      </c>
      <c r="BP233" s="1891">
        <f>BK233*(1+BP235)</f>
        <v>555.74709777256805</v>
      </c>
      <c r="BQ233" s="1891">
        <f>BL233*(1+BQ235)</f>
        <v>1065.2111104734211</v>
      </c>
      <c r="BR233" s="1891">
        <f>BM233*(1+BR235)</f>
        <v>1060.2849280296832</v>
      </c>
      <c r="BS233" s="1890">
        <f>BN233*(1+BS235)</f>
        <v>1088.7585514801431</v>
      </c>
      <c r="BT233" s="1892">
        <f>SUM(BP233:BS233)</f>
        <v>3770.0016877558155</v>
      </c>
      <c r="BU233" s="1891">
        <f>BP233*(1+BU235)</f>
        <v>594.6493946166479</v>
      </c>
      <c r="BV233" s="1891">
        <f>BQ233*(1+BV235)</f>
        <v>1139.7758882065607</v>
      </c>
      <c r="BW233" s="1891">
        <f>BR233*(1+BW235)</f>
        <v>1134.5048729917612</v>
      </c>
      <c r="BX233" s="1891">
        <f>BS233*(1+BX235)</f>
        <v>1164.971650083753</v>
      </c>
      <c r="BY233" s="1892">
        <f>SUM(BU233:BX233)</f>
        <v>4033.9018058987231</v>
      </c>
      <c r="BZ233" s="1891">
        <f>BU233*(1+BZ235)</f>
        <v>636.2748522398133</v>
      </c>
      <c r="CA233" s="1891">
        <f>BV233*(1+CA235)</f>
        <v>1219.56020038102</v>
      </c>
      <c r="CB233" s="1891">
        <f>BW233*(1+CB235)</f>
        <v>1213.9202141011845</v>
      </c>
      <c r="CC233" s="1891">
        <f>BX233*(1+CC235)</f>
        <v>1246.5196655896159</v>
      </c>
      <c r="CD233" s="1892">
        <f>SUM(BZ233:CC233)</f>
        <v>4316.2749323116341</v>
      </c>
      <c r="CE233" s="1891">
        <f>BZ233*(1+CE235)</f>
        <v>680.8140918966003</v>
      </c>
      <c r="CF233" s="1891">
        <f>CA233*(1+CF235)</f>
        <v>1304.9294144076914</v>
      </c>
      <c r="CG233" s="1891">
        <f>CB233*(1+CG235)</f>
        <v>1298.8946290882675</v>
      </c>
      <c r="CH233" s="1891">
        <f>CC233*(1+CH235)</f>
        <v>1333.7760421808891</v>
      </c>
      <c r="CI233" s="1892">
        <f>SUM(CE233:CH233)</f>
        <v>4618.4141775734479</v>
      </c>
      <c r="CJ233" s="1891">
        <f>CE233*(1+CJ235)</f>
        <v>728.4710783293624</v>
      </c>
      <c r="CK233" s="1891">
        <f>CF233*(1+CK235)</f>
        <v>1396.27447341623</v>
      </c>
      <c r="CL233" s="1891">
        <f>CG233*(1+CL235)</f>
        <v>1389.8172531244463</v>
      </c>
      <c r="CM233" s="1891">
        <f>CH233*(1+CM235)</f>
        <v>1427.1403651335515</v>
      </c>
      <c r="CN233" s="1892">
        <f>SUM(CJ233:CM233)</f>
        <v>4941.7031700035905</v>
      </c>
      <c r="CO233" s="1891">
        <f>CJ233*(1+CO235)</f>
        <v>779.46405381241777</v>
      </c>
      <c r="CP233" s="1891">
        <f>CK233*(1+CP235)</f>
        <v>1494.0136865553661</v>
      </c>
      <c r="CQ233" s="1891">
        <f>CL233*(1+CQ235)</f>
        <v>1487.1044608431575</v>
      </c>
      <c r="CR233" s="1891">
        <f>CM233*(1+CR235)</f>
        <v>1527.0401906929003</v>
      </c>
      <c r="CS233" s="1892">
        <f>SUM(CO233:CR233)</f>
        <v>5287.6223919038421</v>
      </c>
      <c r="CT233" s="1891">
        <f>CO233*(1+CT235)</f>
        <v>834.02653757928704</v>
      </c>
      <c r="CU233" s="1891">
        <f>CP233*(1+CU235)</f>
        <v>1598.5946446142418</v>
      </c>
      <c r="CV233" s="1891">
        <f>CQ233*(1+CV235)</f>
        <v>1591.2017731021785</v>
      </c>
      <c r="CW233" s="1891">
        <f>CR233*(1+CW235)</f>
        <v>1633.9330040414034</v>
      </c>
      <c r="CX233" s="1892">
        <f>SUM(CT233:CW233)</f>
        <v>5657.7559593371107</v>
      </c>
      <c r="CY233" s="1893"/>
      <c r="CZ233" s="1893"/>
      <c r="DA233" s="1893"/>
      <c r="DB233" s="1893"/>
      <c r="DC233" s="1893"/>
      <c r="DD233" s="1893"/>
      <c r="DE233" s="1893"/>
      <c r="DF233" s="1893"/>
      <c r="DG233" s="1893"/>
      <c r="DH233" s="1766"/>
      <c r="DI233" s="1762"/>
      <c r="DJ233" s="1766"/>
      <c r="DK233" s="1894"/>
      <c r="DL233" s="1894"/>
      <c r="DM233" s="1892"/>
      <c r="DN233" s="1892"/>
      <c r="DO233" s="1892"/>
      <c r="DP233" s="1892"/>
      <c r="DQ233" s="1892"/>
      <c r="DR233" s="1993"/>
    </row>
    <row r="234" spans="1:122" ht="12" hidden="1" customHeight="1" outlineLevel="3">
      <c r="A234" s="1945" t="s">
        <v>162</v>
      </c>
      <c r="B234" s="1895">
        <f t="shared" ref="B234:AG234" si="358">B233/B297</f>
        <v>5.2446855182866028E-2</v>
      </c>
      <c r="C234" s="1785">
        <f t="shared" si="358"/>
        <v>5.6807051909892263E-2</v>
      </c>
      <c r="D234" s="1785">
        <f t="shared" si="358"/>
        <v>4.8055806743314819E-2</v>
      </c>
      <c r="E234" s="1785">
        <f t="shared" si="358"/>
        <v>5.5762594893029677E-2</v>
      </c>
      <c r="F234" s="1785">
        <f t="shared" si="358"/>
        <v>6.1629670481180204E-2</v>
      </c>
      <c r="G234" s="1774">
        <f t="shared" si="358"/>
        <v>5.5385157764851048E-2</v>
      </c>
      <c r="H234" s="1785">
        <f t="shared" si="358"/>
        <v>5.5125225923057061E-2</v>
      </c>
      <c r="I234" s="1785">
        <f t="shared" si="358"/>
        <v>5.3740779768177031E-2</v>
      </c>
      <c r="J234" s="1785">
        <f t="shared" si="358"/>
        <v>6.4837268666241218E-2</v>
      </c>
      <c r="K234" s="1785">
        <f t="shared" si="358"/>
        <v>6.9311841289522627E-2</v>
      </c>
      <c r="L234" s="1774">
        <f t="shared" si="358"/>
        <v>6.0676670705564359E-2</v>
      </c>
      <c r="M234" s="1785">
        <f t="shared" si="358"/>
        <v>5.9768715763846625E-2</v>
      </c>
      <c r="N234" s="1785">
        <f t="shared" si="358"/>
        <v>5.3777208706786171E-2</v>
      </c>
      <c r="O234" s="1785">
        <f t="shared" si="358"/>
        <v>6.4414168937329694E-2</v>
      </c>
      <c r="P234" s="1785">
        <f t="shared" si="358"/>
        <v>6.3280241067585022E-2</v>
      </c>
      <c r="Q234" s="1774">
        <f t="shared" si="358"/>
        <v>6.016017374779422E-2</v>
      </c>
      <c r="R234" s="1785">
        <f t="shared" si="358"/>
        <v>6.0833605397758186E-2</v>
      </c>
      <c r="S234" s="1785">
        <f t="shared" si="358"/>
        <v>5.6017748197448695E-2</v>
      </c>
      <c r="T234" s="1785">
        <f t="shared" si="358"/>
        <v>6.0395010395010398E-2</v>
      </c>
      <c r="U234" s="1785">
        <f t="shared" si="358"/>
        <v>5.8852475150083655E-2</v>
      </c>
      <c r="V234" s="1774">
        <f t="shared" si="358"/>
        <v>5.8912234844676788E-2</v>
      </c>
      <c r="W234" s="1785">
        <f t="shared" si="358"/>
        <v>5.7899599630428088E-2</v>
      </c>
      <c r="X234" s="1785">
        <f t="shared" si="358"/>
        <v>5.0177394830207805E-2</v>
      </c>
      <c r="Y234" s="1785">
        <f t="shared" si="358"/>
        <v>5.1463168516649851E-2</v>
      </c>
      <c r="Z234" s="1785">
        <f t="shared" si="358"/>
        <v>4.9127562256479754E-2</v>
      </c>
      <c r="AA234" s="1774">
        <f t="shared" si="358"/>
        <v>5.1912568306010931E-2</v>
      </c>
      <c r="AB234" s="1785">
        <f t="shared" si="358"/>
        <v>4.9856627509018592E-2</v>
      </c>
      <c r="AC234" s="1785">
        <f t="shared" si="358"/>
        <v>4.9752830489555096E-2</v>
      </c>
      <c r="AD234" s="1785">
        <f t="shared" si="358"/>
        <v>4.3269898597027366E-2</v>
      </c>
      <c r="AE234" s="1785">
        <f t="shared" si="358"/>
        <v>5.1454640640191458E-2</v>
      </c>
      <c r="AF234" s="1774">
        <f t="shared" si="358"/>
        <v>4.8394037791948674E-2</v>
      </c>
      <c r="AG234" s="1785">
        <f t="shared" si="358"/>
        <v>4.2944339485539891E-2</v>
      </c>
      <c r="AH234" s="1785">
        <f t="shared" ref="AH234:BM234" si="359">AH233/AH297</f>
        <v>4.3318873342701777E-2</v>
      </c>
      <c r="AI234" s="1785">
        <f t="shared" si="359"/>
        <v>4.8360315483603152E-2</v>
      </c>
      <c r="AJ234" s="1785">
        <f t="shared" si="359"/>
        <v>4.4894866451979543E-2</v>
      </c>
      <c r="AK234" s="1774">
        <f t="shared" si="359"/>
        <v>4.4852697782191329E-2</v>
      </c>
      <c r="AL234" s="1785">
        <f t="shared" si="359"/>
        <v>2.5297125024898746E-2</v>
      </c>
      <c r="AM234" s="1785">
        <f t="shared" si="359"/>
        <v>4.3915448914546872E-2</v>
      </c>
      <c r="AN234" s="1785">
        <f t="shared" si="359"/>
        <v>5.2752784290738569E-2</v>
      </c>
      <c r="AO234" s="1898">
        <f t="shared" si="359"/>
        <v>5.5907321169554929E-2</v>
      </c>
      <c r="AP234" s="1774">
        <f t="shared" si="359"/>
        <v>4.3868952889436492E-2</v>
      </c>
      <c r="AQ234" s="1785">
        <f t="shared" si="359"/>
        <v>3.06687306501548E-2</v>
      </c>
      <c r="AR234" s="1785">
        <f t="shared" si="359"/>
        <v>3.9926443065923668E-2</v>
      </c>
      <c r="AS234" s="1785">
        <f t="shared" si="359"/>
        <v>5.2124974143280704E-2</v>
      </c>
      <c r="AT234" s="1785">
        <f t="shared" si="359"/>
        <v>4.8398890205125007E-2</v>
      </c>
      <c r="AU234" s="1774">
        <f t="shared" si="359"/>
        <v>4.3018358299724731E-2</v>
      </c>
      <c r="AV234" s="1785">
        <f t="shared" si="359"/>
        <v>2.6179487496140786E-2</v>
      </c>
      <c r="AW234" s="1785">
        <f t="shared" si="359"/>
        <v>4.0727933443592448E-2</v>
      </c>
      <c r="AX234" s="1785">
        <f t="shared" si="359"/>
        <v>4.9238269722425135E-2</v>
      </c>
      <c r="AY234" s="1785">
        <f t="shared" si="359"/>
        <v>4.7831133907347015E-2</v>
      </c>
      <c r="AZ234" s="1774">
        <f t="shared" si="359"/>
        <v>4.1121776117277541E-2</v>
      </c>
      <c r="BA234" s="1785">
        <f t="shared" si="359"/>
        <v>2.611415933686392E-2</v>
      </c>
      <c r="BB234" s="1785">
        <f t="shared" si="359"/>
        <v>4.1634166527172618E-2</v>
      </c>
      <c r="BC234" s="1785">
        <f t="shared" si="359"/>
        <v>4.9721855325443799E-2</v>
      </c>
      <c r="BD234" s="1785">
        <f t="shared" si="359"/>
        <v>4.9213760120715433E-2</v>
      </c>
      <c r="BE234" s="1774">
        <f t="shared" si="359"/>
        <v>4.1743341611030486E-2</v>
      </c>
      <c r="BF234" s="1785">
        <f t="shared" si="359"/>
        <v>3.0323028380809598E-2</v>
      </c>
      <c r="BG234" s="1785">
        <f t="shared" si="359"/>
        <v>4.336300511159584E-2</v>
      </c>
      <c r="BH234" s="1785">
        <f t="shared" si="359"/>
        <v>4.5199566555005136E-2</v>
      </c>
      <c r="BI234" s="1785">
        <f t="shared" si="359"/>
        <v>4.7796737263841982E-2</v>
      </c>
      <c r="BJ234" s="1774">
        <f t="shared" si="359"/>
        <v>4.2298108899809894E-2</v>
      </c>
      <c r="BK234" s="1785">
        <f t="shared" si="359"/>
        <v>2.7861270840167367E-2</v>
      </c>
      <c r="BL234" s="1898">
        <f t="shared" si="359"/>
        <v>4.0602161683250072E-2</v>
      </c>
      <c r="BM234" s="1898">
        <f t="shared" si="359"/>
        <v>4.856739173090649E-2</v>
      </c>
      <c r="BN234" s="1785">
        <f t="shared" ref="BN234:CD234" si="360">BN233/BN297</f>
        <v>4.3517721175412631E-2</v>
      </c>
      <c r="BO234" s="1774">
        <f t="shared" si="360"/>
        <v>4.0523613085400041E-2</v>
      </c>
      <c r="BP234" s="1898">
        <f t="shared" si="360"/>
        <v>2.7612996883988973E-2</v>
      </c>
      <c r="BQ234" s="1898">
        <f t="shared" si="360"/>
        <v>4.2268777362758067E-2</v>
      </c>
      <c r="BR234" s="1898">
        <f t="shared" si="360"/>
        <v>5.1623665432241742E-2</v>
      </c>
      <c r="BS234" s="1785">
        <f t="shared" si="360"/>
        <v>4.5437527989178078E-2</v>
      </c>
      <c r="BT234" s="1899">
        <f t="shared" si="360"/>
        <v>4.1969311124178815E-2</v>
      </c>
      <c r="BU234" s="1898">
        <f t="shared" si="360"/>
        <v>3.5088913490790317E-2</v>
      </c>
      <c r="BV234" s="1898">
        <f t="shared" si="360"/>
        <v>5.3281693454685843E-2</v>
      </c>
      <c r="BW234" s="1898">
        <f t="shared" si="360"/>
        <v>6.4885947152122245E-2</v>
      </c>
      <c r="BX234" s="1898">
        <f t="shared" si="360"/>
        <v>5.4537855078453275E-2</v>
      </c>
      <c r="BY234" s="1899">
        <f t="shared" si="360"/>
        <v>5.2263560008050498E-2</v>
      </c>
      <c r="BZ234" s="1898">
        <f t="shared" si="360"/>
        <v>3.5497765658551839E-2</v>
      </c>
      <c r="CA234" s="1898">
        <f t="shared" si="360"/>
        <v>5.452710612787183E-2</v>
      </c>
      <c r="CB234" s="1898">
        <f t="shared" si="360"/>
        <v>6.6342956188198854E-2</v>
      </c>
      <c r="CC234" s="1898">
        <f t="shared" si="360"/>
        <v>5.5741735220077436E-2</v>
      </c>
      <c r="CD234" s="1899">
        <f t="shared" si="360"/>
        <v>5.331989406097213E-2</v>
      </c>
      <c r="CE234" s="1898">
        <f t="shared" ref="CE234:CI234" si="361">CE233/CE297</f>
        <v>2.9391707652732461E-2</v>
      </c>
      <c r="CF234" s="1898">
        <f t="shared" si="361"/>
        <v>4.8655120762179878E-2</v>
      </c>
      <c r="CG234" s="1898">
        <f t="shared" si="361"/>
        <v>5.7891470348373837E-2</v>
      </c>
      <c r="CH234" s="1898" t="e">
        <f t="shared" si="361"/>
        <v>#REF!</v>
      </c>
      <c r="CI234" s="1899" t="e">
        <f t="shared" si="361"/>
        <v>#REF!</v>
      </c>
      <c r="CJ234" s="1898">
        <f t="shared" ref="CJ234:CS234" si="362">CJ233/CJ297</f>
        <v>3.0781175747645231E-2</v>
      </c>
      <c r="CK234" s="1898">
        <f t="shared" si="362"/>
        <v>5.0920499853340642E-2</v>
      </c>
      <c r="CL234" s="1898">
        <f t="shared" si="362"/>
        <v>7.2548667013113577E-2</v>
      </c>
      <c r="CM234" s="1898" t="e">
        <f t="shared" si="362"/>
        <v>#REF!</v>
      </c>
      <c r="CN234" s="1899" t="e">
        <f t="shared" si="362"/>
        <v>#REF!</v>
      </c>
      <c r="CO234" s="1898">
        <f t="shared" si="362"/>
        <v>3.1460506169137446E-2</v>
      </c>
      <c r="CP234" s="1898">
        <f t="shared" si="362"/>
        <v>5.2992893547749803E-2</v>
      </c>
      <c r="CQ234" s="1898">
        <f t="shared" si="362"/>
        <v>3.7937747724759156E-2</v>
      </c>
      <c r="CR234" s="1898" t="e">
        <f t="shared" si="362"/>
        <v>#REF!</v>
      </c>
      <c r="CS234" s="1899" t="e">
        <f t="shared" si="362"/>
        <v>#REF!</v>
      </c>
      <c r="CT234" s="1898">
        <f t="shared" ref="CT234:CX234" si="363">CT233/CT297</f>
        <v>3.22780267055E-2</v>
      </c>
      <c r="CU234" s="1898">
        <f t="shared" si="363"/>
        <v>5.5414460336187313E-2</v>
      </c>
      <c r="CV234" s="1898">
        <f t="shared" si="363"/>
        <v>4.0547196579512217E-2</v>
      </c>
      <c r="CW234" s="1898" t="e">
        <f t="shared" si="363"/>
        <v>#REF!</v>
      </c>
      <c r="CX234" s="1899" t="e">
        <f t="shared" si="363"/>
        <v>#REF!</v>
      </c>
      <c r="CY234" s="1900"/>
      <c r="CZ234" s="1900"/>
      <c r="DA234" s="1900"/>
      <c r="DB234" s="1900"/>
      <c r="DC234" s="1900"/>
      <c r="DD234" s="1900"/>
      <c r="DE234" s="1900"/>
      <c r="DF234" s="1900"/>
      <c r="DG234" s="1900"/>
      <c r="DH234" s="1773"/>
      <c r="DI234" s="1774"/>
      <c r="DJ234" s="1773"/>
      <c r="DK234" s="1901"/>
      <c r="DL234" s="1901"/>
      <c r="DM234" s="1899"/>
      <c r="DN234" s="1899"/>
      <c r="DO234" s="1899"/>
      <c r="DP234" s="1899"/>
      <c r="DQ234" s="1899"/>
      <c r="DR234" s="1898"/>
    </row>
    <row r="235" spans="1:122" ht="12" hidden="1" customHeight="1" outlineLevel="3">
      <c r="A235" s="1945" t="s">
        <v>163</v>
      </c>
      <c r="B235" s="1895"/>
      <c r="C235" s="1785"/>
      <c r="D235" s="1785"/>
      <c r="E235" s="1785"/>
      <c r="F235" s="1785"/>
      <c r="G235" s="1774">
        <f t="shared" ref="G235:Y235" si="364">G233/B233-1</f>
        <v>0.19467680608365012</v>
      </c>
      <c r="H235" s="1785">
        <f t="shared" si="364"/>
        <v>0.22701149425287359</v>
      </c>
      <c r="I235" s="1785">
        <f t="shared" si="364"/>
        <v>0.2338709677419355</v>
      </c>
      <c r="J235" s="1785">
        <f t="shared" si="364"/>
        <v>0.25742574257425743</v>
      </c>
      <c r="K235" s="1785">
        <f t="shared" si="364"/>
        <v>0.2505592841163311</v>
      </c>
      <c r="L235" s="1774">
        <f t="shared" si="364"/>
        <v>0.24315722469764478</v>
      </c>
      <c r="M235" s="1785">
        <f t="shared" si="364"/>
        <v>0.14988290398126458</v>
      </c>
      <c r="N235" s="1785">
        <f t="shared" si="364"/>
        <v>0.18954248366013071</v>
      </c>
      <c r="O235" s="1785">
        <f t="shared" si="364"/>
        <v>0.16338582677165348</v>
      </c>
      <c r="P235" s="1896">
        <f t="shared" si="364"/>
        <v>5.1878354203935606E-2</v>
      </c>
      <c r="Q235" s="1897">
        <f t="shared" si="364"/>
        <v>0.1346646185355862</v>
      </c>
      <c r="R235" s="1896">
        <f t="shared" si="364"/>
        <v>0.13849287169042768</v>
      </c>
      <c r="S235" s="1896">
        <f t="shared" si="364"/>
        <v>0.10989010989010994</v>
      </c>
      <c r="T235" s="1785">
        <f t="shared" si="364"/>
        <v>-1.6920473773265665E-2</v>
      </c>
      <c r="U235" s="1785">
        <f t="shared" si="364"/>
        <v>1.7006802721088343E-2</v>
      </c>
      <c r="V235" s="1774">
        <f t="shared" si="364"/>
        <v>5.7761732851985492E-2</v>
      </c>
      <c r="W235" s="1896">
        <f t="shared" si="364"/>
        <v>8.9445438282647061E-3</v>
      </c>
      <c r="X235" s="1896">
        <f t="shared" si="364"/>
        <v>-1.980198019801982E-2</v>
      </c>
      <c r="Y235" s="1896">
        <f t="shared" si="364"/>
        <v>-3.4423407917383853E-2</v>
      </c>
      <c r="Z235" s="1785">
        <v>-4.4999999999999998E-2</v>
      </c>
      <c r="AA235" s="1774">
        <f t="shared" ref="AA235:AL235" si="365">AA233/V233-1</f>
        <v>-1.9197952218430014E-2</v>
      </c>
      <c r="AB235" s="1896">
        <f t="shared" si="365"/>
        <v>-4.4326241134751809E-2</v>
      </c>
      <c r="AC235" s="1896">
        <f t="shared" si="365"/>
        <v>5.0505050505050608E-2</v>
      </c>
      <c r="AD235" s="1896">
        <f t="shared" si="365"/>
        <v>0.11051693404634588</v>
      </c>
      <c r="AE235" s="1896">
        <f t="shared" si="365"/>
        <v>0.18620689655172407</v>
      </c>
      <c r="AF235" s="1774">
        <f t="shared" si="365"/>
        <v>7.6120052196607224E-2</v>
      </c>
      <c r="AG235" s="1896">
        <f t="shared" si="365"/>
        <v>9.6474953617810666E-2</v>
      </c>
      <c r="AH235" s="1896">
        <f t="shared" si="365"/>
        <v>0.13621794871794868</v>
      </c>
      <c r="AI235" s="1896">
        <f t="shared" si="365"/>
        <v>0.1219903691813804</v>
      </c>
      <c r="AJ235" s="1896">
        <f t="shared" si="365"/>
        <v>3.3430232558139483E-2</v>
      </c>
      <c r="AK235" s="1774">
        <f t="shared" si="365"/>
        <v>9.539207760711399E-2</v>
      </c>
      <c r="AL235" s="1896">
        <f t="shared" si="365"/>
        <v>-0.35532994923857864</v>
      </c>
      <c r="AM235" s="1896">
        <v>0.03</v>
      </c>
      <c r="AN235" s="1896">
        <v>0.03</v>
      </c>
      <c r="AO235" s="1898">
        <v>0.03</v>
      </c>
      <c r="AP235" s="1774">
        <f>AP233/AK233-1</f>
        <v>-5.4033210332103287E-2</v>
      </c>
      <c r="AQ235" s="1785">
        <v>0.04</v>
      </c>
      <c r="AR235" s="1785">
        <v>0.04</v>
      </c>
      <c r="AS235" s="1785">
        <v>0.05</v>
      </c>
      <c r="AT235" s="1785">
        <v>0.06</v>
      </c>
      <c r="AU235" s="1774">
        <f>AU233/AP233-1</f>
        <v>4.8521826983464411E-2</v>
      </c>
      <c r="AV235" s="1785">
        <v>7.0000000000000007E-2</v>
      </c>
      <c r="AW235" s="1785">
        <v>7.0000000000000007E-2</v>
      </c>
      <c r="AX235" s="1785">
        <v>7.0000000000000007E-2</v>
      </c>
      <c r="AY235" s="1785">
        <v>7.0000000000000007E-2</v>
      </c>
      <c r="AZ235" s="1774">
        <f>AZ233/AU233-1</f>
        <v>7.0000000000000062E-2</v>
      </c>
      <c r="BA235" s="1785">
        <v>7.0000000000000007E-2</v>
      </c>
      <c r="BB235" s="1785">
        <v>7.0000000000000007E-2</v>
      </c>
      <c r="BC235" s="1785">
        <v>7.0000000000000007E-2</v>
      </c>
      <c r="BD235" s="1785">
        <v>7.0000000000000007E-2</v>
      </c>
      <c r="BE235" s="1774">
        <f>BE233/AZ233-1</f>
        <v>7.0000000000000062E-2</v>
      </c>
      <c r="BF235" s="1785">
        <v>7.0000000000000007E-2</v>
      </c>
      <c r="BG235" s="1785">
        <v>7.0000000000000007E-2</v>
      </c>
      <c r="BH235" s="1785">
        <v>7.0000000000000007E-2</v>
      </c>
      <c r="BI235" s="1785">
        <v>7.0000000000000007E-2</v>
      </c>
      <c r="BJ235" s="1774">
        <f>BJ233/BE233-1</f>
        <v>7.0000000000000062E-2</v>
      </c>
      <c r="BK235" s="1785">
        <v>7.0000000000000007E-2</v>
      </c>
      <c r="BL235" s="1898">
        <v>7.0000000000000007E-2</v>
      </c>
      <c r="BM235" s="1898">
        <v>7.0000000000000007E-2</v>
      </c>
      <c r="BN235" s="1785">
        <v>7.0000000000000007E-2</v>
      </c>
      <c r="BO235" s="1774">
        <f>BO233/BJ233-1</f>
        <v>7.0000000000000062E-2</v>
      </c>
      <c r="BP235" s="1898">
        <v>7.0000000000000007E-2</v>
      </c>
      <c r="BQ235" s="1898">
        <v>7.0000000000000007E-2</v>
      </c>
      <c r="BR235" s="1898">
        <v>7.0000000000000007E-2</v>
      </c>
      <c r="BS235" s="1785">
        <v>7.0000000000000007E-2</v>
      </c>
      <c r="BT235" s="1899">
        <f>BT233/BO233-1</f>
        <v>7.0000000000000062E-2</v>
      </c>
      <c r="BU235" s="1898">
        <v>7.0000000000000007E-2</v>
      </c>
      <c r="BV235" s="1898">
        <v>7.0000000000000007E-2</v>
      </c>
      <c r="BW235" s="1898">
        <v>7.0000000000000007E-2</v>
      </c>
      <c r="BX235" s="1898">
        <v>7.0000000000000007E-2</v>
      </c>
      <c r="BY235" s="1899">
        <f>BY233/BT233-1</f>
        <v>7.0000000000000062E-2</v>
      </c>
      <c r="BZ235" s="1898">
        <v>7.0000000000000007E-2</v>
      </c>
      <c r="CA235" s="1898">
        <v>7.0000000000000007E-2</v>
      </c>
      <c r="CB235" s="1898">
        <v>7.0000000000000007E-2</v>
      </c>
      <c r="CC235" s="1898">
        <v>7.0000000000000007E-2</v>
      </c>
      <c r="CD235" s="1899">
        <f>CD233/BY233-1</f>
        <v>7.0000000000000062E-2</v>
      </c>
      <c r="CE235" s="1898">
        <v>7.0000000000000007E-2</v>
      </c>
      <c r="CF235" s="1898">
        <v>7.0000000000000007E-2</v>
      </c>
      <c r="CG235" s="1898">
        <v>7.0000000000000007E-2</v>
      </c>
      <c r="CH235" s="1898">
        <v>7.0000000000000007E-2</v>
      </c>
      <c r="CI235" s="1899">
        <f>CI233/CD233-1</f>
        <v>6.999999999999984E-2</v>
      </c>
      <c r="CJ235" s="1898">
        <v>7.0000000000000007E-2</v>
      </c>
      <c r="CK235" s="1898">
        <v>7.0000000000000007E-2</v>
      </c>
      <c r="CL235" s="1898">
        <v>7.0000000000000007E-2</v>
      </c>
      <c r="CM235" s="1898">
        <v>7.0000000000000007E-2</v>
      </c>
      <c r="CN235" s="1899">
        <f>CN233/CI233-1</f>
        <v>7.0000000000000284E-2</v>
      </c>
      <c r="CO235" s="1898">
        <v>7.0000000000000007E-2</v>
      </c>
      <c r="CP235" s="1898">
        <v>7.0000000000000007E-2</v>
      </c>
      <c r="CQ235" s="1898">
        <v>7.0000000000000007E-2</v>
      </c>
      <c r="CR235" s="1898">
        <v>7.0000000000000007E-2</v>
      </c>
      <c r="CS235" s="1899">
        <f>CS233/CN233-1</f>
        <v>7.0000000000000062E-2</v>
      </c>
      <c r="CT235" s="1898">
        <v>7.0000000000000007E-2</v>
      </c>
      <c r="CU235" s="1898">
        <v>7.0000000000000007E-2</v>
      </c>
      <c r="CV235" s="1898">
        <v>7.0000000000000007E-2</v>
      </c>
      <c r="CW235" s="1898">
        <v>7.0000000000000007E-2</v>
      </c>
      <c r="CX235" s="1899">
        <f>CX233/CS233-1</f>
        <v>6.999999999999984E-2</v>
      </c>
      <c r="CY235" s="1900"/>
      <c r="CZ235" s="1900"/>
      <c r="DA235" s="1900"/>
      <c r="DB235" s="1900"/>
      <c r="DC235" s="1900"/>
      <c r="DD235" s="1900"/>
      <c r="DE235" s="1900"/>
      <c r="DF235" s="1900"/>
      <c r="DG235" s="1900"/>
      <c r="DH235" s="1773"/>
      <c r="DI235" s="1774"/>
      <c r="DJ235" s="1773"/>
      <c r="DK235" s="1901"/>
      <c r="DL235" s="1901"/>
      <c r="DM235" s="1899"/>
      <c r="DN235" s="1899"/>
      <c r="DO235" s="1899"/>
      <c r="DP235" s="1899"/>
      <c r="DQ235" s="1899"/>
      <c r="DR235" s="1898"/>
    </row>
    <row r="236" spans="1:122" ht="12" hidden="1" customHeight="1" outlineLevel="3">
      <c r="A236" s="1946" t="s">
        <v>529</v>
      </c>
      <c r="B236" s="1913"/>
      <c r="C236" s="1803"/>
      <c r="D236" s="1803"/>
      <c r="E236" s="1803"/>
      <c r="F236" s="1803"/>
      <c r="G236" s="1801">
        <v>-641</v>
      </c>
      <c r="H236" s="1803">
        <v>-147</v>
      </c>
      <c r="I236" s="1803">
        <v>-197</v>
      </c>
      <c r="J236" s="1803">
        <v>-72</v>
      </c>
      <c r="K236" s="1803"/>
      <c r="L236" s="1801">
        <v>-299</v>
      </c>
      <c r="M236" s="1803">
        <v>57</v>
      </c>
      <c r="N236" s="1803">
        <v>-95</v>
      </c>
      <c r="O236" s="1803">
        <v>101</v>
      </c>
      <c r="P236" s="1887">
        <v>29</v>
      </c>
      <c r="Q236" s="1914">
        <f>SUM(M236:P236)</f>
        <v>92</v>
      </c>
      <c r="R236" s="1889">
        <v>79</v>
      </c>
      <c r="S236" s="1889">
        <v>130</v>
      </c>
      <c r="T236" s="1890">
        <v>101</v>
      </c>
      <c r="U236" s="1890">
        <v>101</v>
      </c>
      <c r="V236" s="1801">
        <f>SUM(R236:U236)</f>
        <v>411</v>
      </c>
      <c r="W236" s="1889">
        <v>79</v>
      </c>
      <c r="X236" s="1889">
        <v>58</v>
      </c>
      <c r="Y236" s="1889">
        <v>-24</v>
      </c>
      <c r="Z236" s="1890">
        <v>-187</v>
      </c>
      <c r="AA236" s="1801">
        <f>SUM(W236:Z236)</f>
        <v>-74</v>
      </c>
      <c r="AB236" s="1889">
        <v>-136</v>
      </c>
      <c r="AC236" s="1889">
        <v>-155</v>
      </c>
      <c r="AD236" s="1889">
        <v>-200</v>
      </c>
      <c r="AE236" s="1890">
        <v>-239</v>
      </c>
      <c r="AF236" s="1801">
        <f>SUM(AB236:AE236)</f>
        <v>-730</v>
      </c>
      <c r="AG236" s="1890">
        <f>AG250-AG241</f>
        <v>-206</v>
      </c>
      <c r="AH236" s="1889"/>
      <c r="AI236" s="1889"/>
      <c r="AJ236" s="1890"/>
      <c r="AK236" s="1801">
        <f>SUM(AG236:AJ236)</f>
        <v>-206</v>
      </c>
      <c r="AL236" s="1890">
        <f>AL250-AL241</f>
        <v>-310.04000000000002</v>
      </c>
      <c r="AM236" s="1889">
        <f>AM237*AM233</f>
        <v>-365.13499999999999</v>
      </c>
      <c r="AN236" s="1889">
        <f>AN237*AN233</f>
        <v>-403.18320000000006</v>
      </c>
      <c r="AO236" s="1891">
        <f>AO237*AO233</f>
        <v>-402.78150000000005</v>
      </c>
      <c r="AP236" s="1801">
        <f>SUM(AL236:AO236)</f>
        <v>-1481.1397000000002</v>
      </c>
      <c r="AQ236" s="1890">
        <f>AQ237*AQ233</f>
        <v>-198.12</v>
      </c>
      <c r="AR236" s="1890">
        <f>AR237*AR233</f>
        <v>-341.76636000000002</v>
      </c>
      <c r="AS236" s="1890">
        <f>AS237*AS233</f>
        <v>-340.18582500000002</v>
      </c>
      <c r="AT236" s="1890">
        <f>AT237*AT233</f>
        <v>-333.79601400000001</v>
      </c>
      <c r="AU236" s="1801">
        <f>SUM(AQ236:AT236)</f>
        <v>-1213.868199</v>
      </c>
      <c r="AV236" s="1890">
        <f>AV237*AV233</f>
        <v>-169.59072000000003</v>
      </c>
      <c r="AW236" s="1890">
        <f>AW237*AW233</f>
        <v>-308.80489328000004</v>
      </c>
      <c r="AX236" s="1890">
        <f>AX237*AX233</f>
        <v>-307.37679210000005</v>
      </c>
      <c r="AY236" s="1890">
        <f>AY237*AY233</f>
        <v>-290.7130401</v>
      </c>
      <c r="AZ236" s="1801">
        <f>SUM(AV236:AY236)</f>
        <v>-1076.4854454800002</v>
      </c>
      <c r="BA236" s="1890">
        <f>BA237*BA233</f>
        <v>-181.46207040000002</v>
      </c>
      <c r="BB236" s="1890">
        <f>BB237*BB233</f>
        <v>-330.42123580960009</v>
      </c>
      <c r="BC236" s="1890">
        <f>BC237*BC233</f>
        <v>-328.89316754700008</v>
      </c>
      <c r="BD236" s="1890">
        <f>BD237*BD233</f>
        <v>-311.06295290700001</v>
      </c>
      <c r="BE236" s="1801">
        <f>SUM(BA236:BD236)</f>
        <v>-1151.8394266636001</v>
      </c>
      <c r="BF236" s="1890">
        <f>BF237*BF233</f>
        <v>-194.16441532800002</v>
      </c>
      <c r="BG236" s="1890">
        <f>BG237*BG233</f>
        <v>-353.55072231627213</v>
      </c>
      <c r="BH236" s="1890">
        <f>BH237*BH233</f>
        <v>-351.91568927529011</v>
      </c>
      <c r="BI236" s="1890">
        <f>BI237*BI233</f>
        <v>-332.83735961049001</v>
      </c>
      <c r="BJ236" s="1801">
        <f>SUM(BF236:BI236)</f>
        <v>-1232.4681865300522</v>
      </c>
      <c r="BK236" s="1890">
        <f>BK237*BK233</f>
        <v>-181.78643385084004</v>
      </c>
      <c r="BL236" s="1891">
        <f>BL237*BL233</f>
        <v>-328.52305276283079</v>
      </c>
      <c r="BM236" s="1891">
        <f>BM237*BM233</f>
        <v>-327.00376285027613</v>
      </c>
      <c r="BN236" s="1890">
        <f>BN237*BN233</f>
        <v>-305.25940695704946</v>
      </c>
      <c r="BO236" s="1801">
        <f>SUM(BK236:BN236)</f>
        <v>-1142.5726564209963</v>
      </c>
      <c r="BP236" s="1891">
        <f>BP237*BP233</f>
        <v>-166.72412933177043</v>
      </c>
      <c r="BQ236" s="1891">
        <f>BQ237*BQ233</f>
        <v>-298.25911093255792</v>
      </c>
      <c r="BR236" s="1891">
        <f>BR237*BR233</f>
        <v>-296.87977984831133</v>
      </c>
      <c r="BS236" s="1890">
        <f>BS237*BS233</f>
        <v>-272.18963787003577</v>
      </c>
      <c r="BT236" s="1908">
        <f>SUM(BP236:BS236)</f>
        <v>-1034.0526579826756</v>
      </c>
      <c r="BU236" s="1891">
        <f>BU237*BU233</f>
        <v>-148.662348654162</v>
      </c>
      <c r="BV236" s="1891">
        <f>BV237*BV233</f>
        <v>-262.14845428750903</v>
      </c>
      <c r="BW236" s="1891">
        <f>BW237*BW233</f>
        <v>-260.93612078810514</v>
      </c>
      <c r="BX236" s="1891">
        <f>BX237*BX233</f>
        <v>-232.99433001675061</v>
      </c>
      <c r="BY236" s="1908">
        <f>SUM(BU236:BX236)</f>
        <v>-904.74125374652681</v>
      </c>
      <c r="BZ236" s="1891">
        <f>BZ237*BZ233</f>
        <v>-127.25497044796271</v>
      </c>
      <c r="CA236" s="1891">
        <f>CA237*CA233</f>
        <v>-219.52083606858366</v>
      </c>
      <c r="CB236" s="1891">
        <f>CB237*CB233</f>
        <v>-218.50563853821325</v>
      </c>
      <c r="CC236" s="1891">
        <f>CC237*CC233</f>
        <v>-186.97794983844241</v>
      </c>
      <c r="CD236" s="1908">
        <f>SUM(BZ236:CC236)</f>
        <v>-752.25939489320206</v>
      </c>
      <c r="CE236" s="1891">
        <f>CE237*CE233</f>
        <v>-102.1221137844901</v>
      </c>
      <c r="CF236" s="1891">
        <f>CF237*CF233</f>
        <v>-169.64082387299996</v>
      </c>
      <c r="CG236" s="1891">
        <f>CG237*CG233</f>
        <v>-168.85630178147485</v>
      </c>
      <c r="CH236" s="1891">
        <f>CH237*CH233</f>
        <v>-133.37760421808895</v>
      </c>
      <c r="CI236" s="1908">
        <f>SUM(CE236:CH236)</f>
        <v>-573.99684365705389</v>
      </c>
      <c r="CJ236" s="1891">
        <f>CJ237*CJ233</f>
        <v>-72.847107832936288</v>
      </c>
      <c r="CK236" s="1891">
        <f>CK237*CK233</f>
        <v>-111.70195787329848</v>
      </c>
      <c r="CL236" s="1891">
        <f>CL237*CL233</f>
        <v>-111.18538024995578</v>
      </c>
      <c r="CM236" s="1891">
        <f>CM237*CM233</f>
        <v>-71.357018256677605</v>
      </c>
      <c r="CN236" s="1908">
        <f>SUM(CJ236:CM236)</f>
        <v>-367.09146421286823</v>
      </c>
      <c r="CO236" s="1891">
        <f>CO237*CO233</f>
        <v>-38.973202690620944</v>
      </c>
      <c r="CP236" s="1891">
        <f>CP237*CP233</f>
        <v>-44.820410596661063</v>
      </c>
      <c r="CQ236" s="1891">
        <f>CQ237*CQ233</f>
        <v>-44.61313382529481</v>
      </c>
      <c r="CR236" s="1891">
        <f>CR237*CR233</f>
        <v>0</v>
      </c>
      <c r="CS236" s="1908">
        <f>SUM(CO236:CR236)</f>
        <v>-128.4067471125768</v>
      </c>
      <c r="CT236" s="1891">
        <f>CT237*CT233</f>
        <v>-5.7872216573057682E-14</v>
      </c>
      <c r="CU236" s="1891">
        <f>CU237*CU233</f>
        <v>31.971892892284753</v>
      </c>
      <c r="CV236" s="1891">
        <f>CV237*CV233</f>
        <v>31.82403546204349</v>
      </c>
      <c r="CW236" s="1891">
        <f>CW237*CW233</f>
        <v>81.696650202070174</v>
      </c>
      <c r="CX236" s="1908">
        <f>SUM(CT236:CW236)</f>
        <v>145.49257855639837</v>
      </c>
      <c r="CY236" s="1890"/>
      <c r="CZ236" s="1890"/>
      <c r="DA236" s="1890"/>
      <c r="DB236" s="1890"/>
      <c r="DC236" s="1890"/>
      <c r="DD236" s="1890"/>
      <c r="DE236" s="1890"/>
      <c r="DF236" s="1890"/>
      <c r="DG236" s="1890"/>
      <c r="DH236" s="1804"/>
      <c r="DI236" s="1801"/>
      <c r="DJ236" s="1804"/>
      <c r="DK236" s="1907"/>
      <c r="DL236" s="1907"/>
      <c r="DM236" s="1908"/>
      <c r="DN236" s="1908"/>
      <c r="DO236" s="1908"/>
      <c r="DP236" s="1908"/>
      <c r="DQ236" s="1908"/>
      <c r="DR236" s="1915"/>
    </row>
    <row r="237" spans="1:122" ht="12" hidden="1" customHeight="1" outlineLevel="3">
      <c r="A237" s="1947" t="s">
        <v>117</v>
      </c>
      <c r="B237" s="1916"/>
      <c r="C237" s="1917"/>
      <c r="D237" s="1917"/>
      <c r="E237" s="1917"/>
      <c r="F237" s="1917"/>
      <c r="G237" s="1918">
        <f>G236/G233</f>
        <v>-0.40802036919159773</v>
      </c>
      <c r="H237" s="1917">
        <f>H236/H233</f>
        <v>-0.34426229508196721</v>
      </c>
      <c r="I237" s="1917">
        <f>I236/I233</f>
        <v>-0.42919389978213507</v>
      </c>
      <c r="J237" s="1917">
        <f>J236/J233</f>
        <v>-0.14173228346456693</v>
      </c>
      <c r="K237" s="1917"/>
      <c r="L237" s="1918">
        <f t="shared" ref="L237:AL237" si="366">L236/L233</f>
        <v>-0.15309779825908859</v>
      </c>
      <c r="M237" s="1917">
        <f t="shared" si="366"/>
        <v>0.11608961303462322</v>
      </c>
      <c r="N237" s="1917">
        <f t="shared" si="366"/>
        <v>-0.17399267399267399</v>
      </c>
      <c r="O237" s="1917">
        <f t="shared" si="366"/>
        <v>0.17089678510998307</v>
      </c>
      <c r="P237" s="1919">
        <f t="shared" si="366"/>
        <v>4.9319727891156462E-2</v>
      </c>
      <c r="Q237" s="1920">
        <f t="shared" si="366"/>
        <v>4.1516245487364621E-2</v>
      </c>
      <c r="R237" s="1948">
        <f t="shared" si="366"/>
        <v>0.14132379248658319</v>
      </c>
      <c r="S237" s="1948">
        <f t="shared" si="366"/>
        <v>0.21452145214521451</v>
      </c>
      <c r="T237" s="1923">
        <f t="shared" si="366"/>
        <v>0.17383820998278829</v>
      </c>
      <c r="U237" s="1923">
        <f t="shared" si="366"/>
        <v>0.16889632107023411</v>
      </c>
      <c r="V237" s="1918">
        <f t="shared" si="366"/>
        <v>0.17534129692832764</v>
      </c>
      <c r="W237" s="1948">
        <f t="shared" si="366"/>
        <v>0.14007092198581561</v>
      </c>
      <c r="X237" s="1948">
        <f t="shared" si="366"/>
        <v>9.7643097643097643E-2</v>
      </c>
      <c r="Y237" s="1948">
        <f t="shared" si="366"/>
        <v>-4.2780748663101602E-2</v>
      </c>
      <c r="Z237" s="1923">
        <f t="shared" si="366"/>
        <v>-0.32241379310344825</v>
      </c>
      <c r="AA237" s="1918">
        <f t="shared" si="366"/>
        <v>-3.2187907785993911E-2</v>
      </c>
      <c r="AB237" s="1948">
        <f t="shared" si="366"/>
        <v>-0.25231910946196662</v>
      </c>
      <c r="AC237" s="1948">
        <f t="shared" si="366"/>
        <v>-0.2483974358974359</v>
      </c>
      <c r="AD237" s="1948">
        <f t="shared" si="366"/>
        <v>-0.32102728731942215</v>
      </c>
      <c r="AE237" s="1948">
        <f t="shared" si="366"/>
        <v>-0.34738372093023256</v>
      </c>
      <c r="AF237" s="1918">
        <f t="shared" si="366"/>
        <v>-0.2950687146321746</v>
      </c>
      <c r="AG237" s="1948">
        <f t="shared" si="366"/>
        <v>-0.34856175972927245</v>
      </c>
      <c r="AH237" s="1948">
        <f t="shared" si="366"/>
        <v>0</v>
      </c>
      <c r="AI237" s="1948">
        <f t="shared" si="366"/>
        <v>0</v>
      </c>
      <c r="AJ237" s="1948">
        <f t="shared" si="366"/>
        <v>0</v>
      </c>
      <c r="AK237" s="1918">
        <f t="shared" si="366"/>
        <v>-7.6014760147601473E-2</v>
      </c>
      <c r="AL237" s="1948">
        <f t="shared" si="366"/>
        <v>-0.81375328083989507</v>
      </c>
      <c r="AM237" s="1948">
        <v>-0.5</v>
      </c>
      <c r="AN237" s="1948">
        <v>-0.56000000000000005</v>
      </c>
      <c r="AO237" s="1949">
        <v>-0.55000000000000004</v>
      </c>
      <c r="AP237" s="1918">
        <f>AP236/AP233</f>
        <v>-0.57776448468346875</v>
      </c>
      <c r="AQ237" s="1923">
        <v>-0.5</v>
      </c>
      <c r="AR237" s="1923">
        <v>-0.45</v>
      </c>
      <c r="AS237" s="1923">
        <v>-0.45</v>
      </c>
      <c r="AT237" s="1923">
        <v>-0.43</v>
      </c>
      <c r="AU237" s="1918">
        <f>AU236/AU233</f>
        <v>-0.45159474301524899</v>
      </c>
      <c r="AV237" s="1923">
        <v>-0.4</v>
      </c>
      <c r="AW237" s="1923">
        <v>-0.38</v>
      </c>
      <c r="AX237" s="1923">
        <v>-0.38</v>
      </c>
      <c r="AY237" s="1923">
        <v>-0.35</v>
      </c>
      <c r="AZ237" s="1918">
        <f>AZ236/AZ233</f>
        <v>-0.37428440187203743</v>
      </c>
      <c r="BA237" s="1923">
        <v>-0.4</v>
      </c>
      <c r="BB237" s="1923">
        <v>-0.38</v>
      </c>
      <c r="BC237" s="1923">
        <v>-0.38</v>
      </c>
      <c r="BD237" s="1923">
        <v>-0.35</v>
      </c>
      <c r="BE237" s="1918">
        <f>BE236/BE233</f>
        <v>-0.37428440187203738</v>
      </c>
      <c r="BF237" s="1923">
        <v>-0.4</v>
      </c>
      <c r="BG237" s="1923">
        <v>-0.38</v>
      </c>
      <c r="BH237" s="1923">
        <v>-0.38</v>
      </c>
      <c r="BI237" s="1923">
        <v>-0.35</v>
      </c>
      <c r="BJ237" s="1918">
        <f>BJ236/BJ233</f>
        <v>-0.37428440187203743</v>
      </c>
      <c r="BK237" s="1923">
        <f>BF237+5%</f>
        <v>-0.35000000000000003</v>
      </c>
      <c r="BL237" s="1949">
        <f>BG237+5%</f>
        <v>-0.33</v>
      </c>
      <c r="BM237" s="1949">
        <f>BH237+5%</f>
        <v>-0.33</v>
      </c>
      <c r="BN237" s="1923">
        <f>BI237+5%</f>
        <v>-0.3</v>
      </c>
      <c r="BO237" s="1918">
        <f>BO236/BO233</f>
        <v>-0.32428440187203739</v>
      </c>
      <c r="BP237" s="1949">
        <f>BK237+5%</f>
        <v>-0.30000000000000004</v>
      </c>
      <c r="BQ237" s="1949">
        <f>BL237+5%</f>
        <v>-0.28000000000000003</v>
      </c>
      <c r="BR237" s="1949">
        <f>BM237+5%</f>
        <v>-0.28000000000000003</v>
      </c>
      <c r="BS237" s="1923">
        <f>BN237+5%</f>
        <v>-0.25</v>
      </c>
      <c r="BT237" s="1922">
        <f>BT236/BT233</f>
        <v>-0.27428440187203745</v>
      </c>
      <c r="BU237" s="1949">
        <f>BP237+5%</f>
        <v>-0.25000000000000006</v>
      </c>
      <c r="BV237" s="1949">
        <f>BQ237+5%</f>
        <v>-0.23000000000000004</v>
      </c>
      <c r="BW237" s="1949">
        <f>BR237+5%</f>
        <v>-0.23000000000000004</v>
      </c>
      <c r="BX237" s="1949">
        <f>BS237+5%</f>
        <v>-0.2</v>
      </c>
      <c r="BY237" s="1922">
        <f>BY236/BY233</f>
        <v>-0.22428440187203744</v>
      </c>
      <c r="BZ237" s="1949">
        <f>BU237+5%</f>
        <v>-0.20000000000000007</v>
      </c>
      <c r="CA237" s="1949">
        <f>BV237+5%</f>
        <v>-0.18000000000000005</v>
      </c>
      <c r="CB237" s="1949">
        <f>BW237+5%</f>
        <v>-0.18000000000000005</v>
      </c>
      <c r="CC237" s="1949">
        <f>BX237+5%</f>
        <v>-0.15000000000000002</v>
      </c>
      <c r="CD237" s="1922">
        <f>CD236/CD233</f>
        <v>-0.17428440187203745</v>
      </c>
      <c r="CE237" s="1949">
        <f>BZ237+5%</f>
        <v>-0.15000000000000008</v>
      </c>
      <c r="CF237" s="1949">
        <f>CA237+5%</f>
        <v>-0.13000000000000006</v>
      </c>
      <c r="CG237" s="1949">
        <f>CB237+5%</f>
        <v>-0.13000000000000006</v>
      </c>
      <c r="CH237" s="1949">
        <f>CC237+5%</f>
        <v>-0.10000000000000002</v>
      </c>
      <c r="CI237" s="1922">
        <f>CI236/CI233</f>
        <v>-0.12428440187203749</v>
      </c>
      <c r="CJ237" s="1949">
        <f>CE237+5%</f>
        <v>-0.10000000000000007</v>
      </c>
      <c r="CK237" s="1949">
        <f>CF237+5%</f>
        <v>-8.0000000000000057E-2</v>
      </c>
      <c r="CL237" s="1949">
        <f>CG237+5%</f>
        <v>-8.0000000000000057E-2</v>
      </c>
      <c r="CM237" s="1949">
        <f>CH237+5%</f>
        <v>-5.0000000000000017E-2</v>
      </c>
      <c r="CN237" s="1922">
        <f>CN236/CN233</f>
        <v>-7.428440187203747E-2</v>
      </c>
      <c r="CO237" s="1949">
        <f>CJ237+5%</f>
        <v>-5.0000000000000072E-2</v>
      </c>
      <c r="CP237" s="1949">
        <f>CK237+5%</f>
        <v>-3.0000000000000054E-2</v>
      </c>
      <c r="CQ237" s="1949">
        <f>CL237+5%</f>
        <v>-3.0000000000000054E-2</v>
      </c>
      <c r="CR237" s="1949">
        <f>CM237+5%</f>
        <v>0</v>
      </c>
      <c r="CS237" s="1922">
        <f>CS236/CS233</f>
        <v>-2.428440187203745E-2</v>
      </c>
      <c r="CT237" s="1949">
        <f>CO237+5%</f>
        <v>-6.9388939039072284E-17</v>
      </c>
      <c r="CU237" s="1949">
        <f>CP237+5%</f>
        <v>1.9999999999999948E-2</v>
      </c>
      <c r="CV237" s="1949">
        <f>CQ237+5%</f>
        <v>1.9999999999999948E-2</v>
      </c>
      <c r="CW237" s="1949">
        <f>CR237+5%</f>
        <v>0.05</v>
      </c>
      <c r="CX237" s="1922">
        <f>CX236/CX233</f>
        <v>2.571559812796255E-2</v>
      </c>
      <c r="CY237" s="1923"/>
      <c r="CZ237" s="1923"/>
      <c r="DA237" s="1923"/>
      <c r="DB237" s="1923"/>
      <c r="DC237" s="1923"/>
      <c r="DD237" s="1923"/>
      <c r="DE237" s="1923"/>
      <c r="DF237" s="1923"/>
      <c r="DG237" s="1923"/>
      <c r="DH237" s="1924"/>
      <c r="DI237" s="1918"/>
      <c r="DJ237" s="1924"/>
      <c r="DK237" s="1925"/>
      <c r="DL237" s="1925"/>
      <c r="DM237" s="1922"/>
      <c r="DN237" s="1922"/>
      <c r="DO237" s="1922"/>
      <c r="DP237" s="1922"/>
      <c r="DQ237" s="1922"/>
      <c r="DR237" s="1921"/>
    </row>
    <row r="238" spans="1:122" ht="12" hidden="1" customHeight="1" outlineLevel="3">
      <c r="A238" s="1947"/>
      <c r="B238" s="1916"/>
      <c r="C238" s="1917"/>
      <c r="D238" s="1917"/>
      <c r="E238" s="1917"/>
      <c r="F238" s="1917"/>
      <c r="G238" s="1918"/>
      <c r="H238" s="1917"/>
      <c r="I238" s="1917"/>
      <c r="J238" s="1917"/>
      <c r="K238" s="1917"/>
      <c r="L238" s="1918"/>
      <c r="M238" s="1917"/>
      <c r="N238" s="1917"/>
      <c r="O238" s="1917"/>
      <c r="P238" s="1919"/>
      <c r="Q238" s="1920"/>
      <c r="R238" s="1948"/>
      <c r="S238" s="1948"/>
      <c r="T238" s="1923"/>
      <c r="U238" s="1923"/>
      <c r="V238" s="1918"/>
      <c r="W238" s="1948"/>
      <c r="X238" s="1948"/>
      <c r="Y238" s="1948"/>
      <c r="Z238" s="1923"/>
      <c r="AA238" s="1918"/>
      <c r="AB238" s="1948"/>
      <c r="AC238" s="1948"/>
      <c r="AD238" s="1948"/>
      <c r="AE238" s="1948"/>
      <c r="AF238" s="1918"/>
      <c r="AG238" s="1948"/>
      <c r="AH238" s="1948"/>
      <c r="AI238" s="1948"/>
      <c r="AJ238" s="1948"/>
      <c r="AK238" s="1918"/>
      <c r="AL238" s="1948"/>
      <c r="AM238" s="1948"/>
      <c r="AN238" s="1948"/>
      <c r="AO238" s="1949"/>
      <c r="AP238" s="1918"/>
      <c r="AQ238" s="1923"/>
      <c r="AR238" s="1923"/>
      <c r="AS238" s="1923"/>
      <c r="AT238" s="1923"/>
      <c r="AU238" s="1918"/>
      <c r="AV238" s="1923"/>
      <c r="AW238" s="1923"/>
      <c r="AX238" s="1923"/>
      <c r="AY238" s="1923"/>
      <c r="AZ238" s="1918"/>
      <c r="BA238" s="1923"/>
      <c r="BB238" s="1923"/>
      <c r="BC238" s="1923"/>
      <c r="BD238" s="1923"/>
      <c r="BE238" s="1918"/>
      <c r="BF238" s="1923"/>
      <c r="BG238" s="1923"/>
      <c r="BH238" s="1923"/>
      <c r="BI238" s="1923"/>
      <c r="BJ238" s="1918"/>
      <c r="BK238" s="1923"/>
      <c r="BL238" s="1949"/>
      <c r="BM238" s="1949"/>
      <c r="BN238" s="1923"/>
      <c r="BO238" s="1918"/>
      <c r="BP238" s="1949"/>
      <c r="BQ238" s="1949"/>
      <c r="BR238" s="1949"/>
      <c r="BS238" s="1923"/>
      <c r="BT238" s="1922"/>
      <c r="BU238" s="1949"/>
      <c r="BV238" s="1949"/>
      <c r="BW238" s="1949"/>
      <c r="BX238" s="1949"/>
      <c r="BY238" s="1922"/>
      <c r="BZ238" s="1949"/>
      <c r="CA238" s="1949"/>
      <c r="CB238" s="1949"/>
      <c r="CC238" s="1949"/>
      <c r="CD238" s="1922"/>
      <c r="CE238" s="1949"/>
      <c r="CF238" s="1949"/>
      <c r="CG238" s="1949"/>
      <c r="CH238" s="1949"/>
      <c r="CI238" s="1922"/>
      <c r="CJ238" s="1949"/>
      <c r="CK238" s="1949"/>
      <c r="CL238" s="1949"/>
      <c r="CM238" s="1949"/>
      <c r="CN238" s="1922"/>
      <c r="CO238" s="1949"/>
      <c r="CP238" s="1949"/>
      <c r="CQ238" s="1949"/>
      <c r="CR238" s="1949"/>
      <c r="CS238" s="1922"/>
      <c r="CT238" s="1949"/>
      <c r="CU238" s="1949"/>
      <c r="CV238" s="1949"/>
      <c r="CW238" s="1949"/>
      <c r="CX238" s="1922"/>
      <c r="CY238" s="1923"/>
      <c r="CZ238" s="1923"/>
      <c r="DA238" s="1923"/>
      <c r="DB238" s="1923"/>
      <c r="DC238" s="1923"/>
      <c r="DD238" s="1923"/>
      <c r="DE238" s="1923"/>
      <c r="DF238" s="1923"/>
      <c r="DG238" s="1923"/>
      <c r="DH238" s="1924"/>
      <c r="DI238" s="1918"/>
      <c r="DJ238" s="1924"/>
      <c r="DK238" s="1925"/>
      <c r="DL238" s="1925"/>
      <c r="DM238" s="1922"/>
      <c r="DN238" s="1922"/>
      <c r="DO238" s="1922"/>
      <c r="DP238" s="1922"/>
      <c r="DQ238" s="1922"/>
      <c r="DR238" s="1921"/>
    </row>
    <row r="239" spans="1:122" ht="12" hidden="1" customHeight="1" outlineLevel="3">
      <c r="A239" s="1944" t="s">
        <v>166</v>
      </c>
      <c r="B239" s="1886"/>
      <c r="C239" s="1803"/>
      <c r="D239" s="1803"/>
      <c r="E239" s="1803"/>
      <c r="F239" s="1803"/>
      <c r="G239" s="1762"/>
      <c r="H239" s="1803"/>
      <c r="I239" s="1803"/>
      <c r="J239" s="1803"/>
      <c r="K239" s="1803"/>
      <c r="L239" s="1762"/>
      <c r="M239" s="1803"/>
      <c r="N239" s="1803"/>
      <c r="O239" s="1803"/>
      <c r="P239" s="1803"/>
      <c r="Q239" s="1762"/>
      <c r="R239" s="1803"/>
      <c r="S239" s="1803"/>
      <c r="T239" s="1803"/>
      <c r="U239" s="1803"/>
      <c r="V239" s="1762"/>
      <c r="W239" s="1889"/>
      <c r="X239" s="1889"/>
      <c r="Y239" s="1889"/>
      <c r="Z239" s="1803"/>
      <c r="AA239" s="1762"/>
      <c r="AB239" s="1889"/>
      <c r="AC239" s="1889"/>
      <c r="AD239" s="1889"/>
      <c r="AE239" s="1803"/>
      <c r="AF239" s="1762"/>
      <c r="AG239" s="1803">
        <v>80</v>
      </c>
      <c r="AH239" s="1889">
        <v>154</v>
      </c>
      <c r="AI239" s="1889">
        <f>47+97</f>
        <v>144</v>
      </c>
      <c r="AJ239" s="1803">
        <f>33+94</f>
        <v>127</v>
      </c>
      <c r="AK239" s="1762">
        <f>SUM(AG239:AJ239)</f>
        <v>505</v>
      </c>
      <c r="AL239" s="1803">
        <f>35+98</f>
        <v>133</v>
      </c>
      <c r="AM239" s="1889">
        <f>AH239*(1+AM240)</f>
        <v>130.9</v>
      </c>
      <c r="AN239" s="1889">
        <f>AI239*(1+AN240)</f>
        <v>123.84</v>
      </c>
      <c r="AO239" s="1891">
        <f>AJ239*(1+AO240)</f>
        <v>109.22</v>
      </c>
      <c r="AP239" s="1762">
        <f>SUM(AL239:AO239)</f>
        <v>496.96000000000004</v>
      </c>
      <c r="AQ239" s="1890">
        <f>AL239*(1+AQ240)</f>
        <v>119.7</v>
      </c>
      <c r="AR239" s="1890">
        <f>AM239*1.05</f>
        <v>137.44500000000002</v>
      </c>
      <c r="AS239" s="1890">
        <f>AN239*1.1</f>
        <v>136.22400000000002</v>
      </c>
      <c r="AT239" s="1890">
        <f>AO239*1.1</f>
        <v>120.14200000000001</v>
      </c>
      <c r="AU239" s="1762">
        <f>SUM(AQ239:AT239)</f>
        <v>513.51100000000008</v>
      </c>
      <c r="AV239" s="1890">
        <f>AQ239*1.07</f>
        <v>128.07900000000001</v>
      </c>
      <c r="AW239" s="1890">
        <f>AR239*1.07</f>
        <v>147.06615000000002</v>
      </c>
      <c r="AX239" s="1890">
        <f>AS239*1.054</f>
        <v>143.58009600000003</v>
      </c>
      <c r="AY239" s="1890">
        <f>AT239*1.05</f>
        <v>126.14910000000002</v>
      </c>
      <c r="AZ239" s="1762">
        <f>SUM(AV239:AY239)</f>
        <v>544.87434600000006</v>
      </c>
      <c r="BA239" s="1890">
        <f>AV239*1.07</f>
        <v>137.04453000000001</v>
      </c>
      <c r="BB239" s="1890">
        <f>AW239*1.07</f>
        <v>157.36078050000003</v>
      </c>
      <c r="BC239" s="1890">
        <f>AX239*1.054</f>
        <v>151.33342118400003</v>
      </c>
      <c r="BD239" s="1890">
        <f>AY239*1.05</f>
        <v>132.45655500000004</v>
      </c>
      <c r="BE239" s="1762">
        <f>SUM(BA239:BD239)</f>
        <v>578.19528668400017</v>
      </c>
      <c r="BF239" s="1890">
        <f>BA239*1.07</f>
        <v>146.63764710000001</v>
      </c>
      <c r="BG239" s="1890">
        <f>BB239*1.07</f>
        <v>168.37603513500005</v>
      </c>
      <c r="BH239" s="1890">
        <f>BC239*1.054</f>
        <v>159.50542592793605</v>
      </c>
      <c r="BI239" s="1890">
        <f>BD239*1.05</f>
        <v>139.07938275000004</v>
      </c>
      <c r="BJ239" s="1762">
        <f>SUM(BF239:BI239)</f>
        <v>613.59849091293609</v>
      </c>
      <c r="BK239" s="1890">
        <f>BF239*1.07</f>
        <v>156.90228239700002</v>
      </c>
      <c r="BL239" s="1891">
        <f>BG239*1.07</f>
        <v>180.16235759445007</v>
      </c>
      <c r="BM239" s="1891">
        <f>BH239*1.054</f>
        <v>168.11871892804459</v>
      </c>
      <c r="BN239" s="1890">
        <f>BI239*1.05</f>
        <v>146.03335188750003</v>
      </c>
      <c r="BO239" s="1762">
        <f>SUM(BK239:BN239)</f>
        <v>651.2167108069948</v>
      </c>
      <c r="BP239" s="1891">
        <f>BK239*1.07</f>
        <v>167.88544216479002</v>
      </c>
      <c r="BQ239" s="1891">
        <f>BL239*1.07</f>
        <v>192.77372262606158</v>
      </c>
      <c r="BR239" s="1891">
        <f>BM239*1.054</f>
        <v>177.19712975015901</v>
      </c>
      <c r="BS239" s="1890">
        <f>BN239*1.05</f>
        <v>153.33501948187504</v>
      </c>
      <c r="BT239" s="1892">
        <f>SUM(BP239:BS239)</f>
        <v>691.19131402288565</v>
      </c>
      <c r="BU239" s="1891">
        <f>BP239*1.07</f>
        <v>179.63742311632532</v>
      </c>
      <c r="BV239" s="1891">
        <f>BQ239*1.07</f>
        <v>206.26788320988589</v>
      </c>
      <c r="BW239" s="1891">
        <f>BR239*1.054</f>
        <v>186.76577475666761</v>
      </c>
      <c r="BX239" s="1891">
        <f>BS239*1.05</f>
        <v>161.0017704559688</v>
      </c>
      <c r="BY239" s="1892">
        <f>SUM(BU239:BX239)</f>
        <v>733.67285153884757</v>
      </c>
      <c r="BZ239" s="1891">
        <f>BU239*1.07</f>
        <v>192.2120427344681</v>
      </c>
      <c r="CA239" s="1891">
        <f>BV239*1.07</f>
        <v>220.70663503457791</v>
      </c>
      <c r="CB239" s="1891">
        <f>BW239*1.054</f>
        <v>196.85112659352768</v>
      </c>
      <c r="CC239" s="1891">
        <f>BX239*1.05</f>
        <v>169.05185897876726</v>
      </c>
      <c r="CD239" s="1892">
        <f>SUM(BZ239:CC239)</f>
        <v>778.82166334134104</v>
      </c>
      <c r="CE239" s="1891">
        <f>BZ239*1.07</f>
        <v>205.66688572588089</v>
      </c>
      <c r="CF239" s="1891">
        <f>CA239*1.07</f>
        <v>236.15609948699839</v>
      </c>
      <c r="CG239" s="1891">
        <f>CB239*1.054</f>
        <v>207.4810874295782</v>
      </c>
      <c r="CH239" s="1891">
        <f>CC239*1.05</f>
        <v>177.50445192770562</v>
      </c>
      <c r="CI239" s="1892">
        <f>SUM(CE239:CH239)</f>
        <v>826.80852457016317</v>
      </c>
      <c r="CJ239" s="1891">
        <f>CE239*1.07</f>
        <v>220.06356772669255</v>
      </c>
      <c r="CK239" s="1891">
        <f>CF239*1.07</f>
        <v>252.68702645108829</v>
      </c>
      <c r="CL239" s="1891">
        <f>CG239*1.054</f>
        <v>218.68506615077544</v>
      </c>
      <c r="CM239" s="1891">
        <f>CH239*1.05</f>
        <v>186.37967452409092</v>
      </c>
      <c r="CN239" s="1892">
        <f>SUM(CJ239:CM239)</f>
        <v>877.8153348526472</v>
      </c>
      <c r="CO239" s="1891">
        <f>CJ239*1.07</f>
        <v>235.46801746756105</v>
      </c>
      <c r="CP239" s="1891">
        <f>CK239*1.07</f>
        <v>270.37511830266448</v>
      </c>
      <c r="CQ239" s="1891">
        <f>CL239*1.054</f>
        <v>230.49405972291731</v>
      </c>
      <c r="CR239" s="1891">
        <f>CM239*1.05</f>
        <v>195.69865825029547</v>
      </c>
      <c r="CS239" s="1892">
        <f>SUM(CO239:CR239)</f>
        <v>932.03585374343834</v>
      </c>
      <c r="CT239" s="1891">
        <f>CO239*1.07</f>
        <v>251.95077869029035</v>
      </c>
      <c r="CU239" s="1891">
        <f>CP239*1.07</f>
        <v>289.30137658385098</v>
      </c>
      <c r="CV239" s="1891">
        <f>CQ239*1.054</f>
        <v>242.94073894795486</v>
      </c>
      <c r="CW239" s="1891">
        <f>CR239*1.05</f>
        <v>205.48359116281026</v>
      </c>
      <c r="CX239" s="1892">
        <f>SUM(CT239:CW239)</f>
        <v>989.67648538490653</v>
      </c>
      <c r="CY239" s="1893"/>
      <c r="CZ239" s="1893"/>
      <c r="DA239" s="1893"/>
      <c r="DB239" s="1893"/>
      <c r="DC239" s="1893"/>
      <c r="DD239" s="1893"/>
      <c r="DE239" s="1893"/>
      <c r="DF239" s="1893"/>
      <c r="DG239" s="1893"/>
      <c r="DH239" s="1766"/>
      <c r="DI239" s="1762"/>
      <c r="DJ239" s="1766"/>
      <c r="DK239" s="1894"/>
      <c r="DL239" s="1894"/>
      <c r="DM239" s="1892"/>
      <c r="DN239" s="1892"/>
      <c r="DO239" s="1892"/>
      <c r="DP239" s="1892"/>
      <c r="DQ239" s="1892"/>
      <c r="DR239" s="1993"/>
    </row>
    <row r="240" spans="1:122" ht="12" hidden="1" customHeight="1" outlineLevel="3">
      <c r="A240" s="1945" t="s">
        <v>163</v>
      </c>
      <c r="B240" s="1895"/>
      <c r="C240" s="1785"/>
      <c r="D240" s="1785"/>
      <c r="E240" s="1785"/>
      <c r="F240" s="1785"/>
      <c r="G240" s="1774"/>
      <c r="H240" s="1785"/>
      <c r="I240" s="1785"/>
      <c r="J240" s="1785"/>
      <c r="K240" s="1785"/>
      <c r="L240" s="1774"/>
      <c r="M240" s="1785"/>
      <c r="N240" s="1785"/>
      <c r="O240" s="1785"/>
      <c r="P240" s="1896"/>
      <c r="Q240" s="1897"/>
      <c r="R240" s="1896"/>
      <c r="S240" s="1896"/>
      <c r="T240" s="1785"/>
      <c r="U240" s="1785"/>
      <c r="V240" s="1774"/>
      <c r="W240" s="1896"/>
      <c r="X240" s="1896"/>
      <c r="Y240" s="1896"/>
      <c r="Z240" s="1896"/>
      <c r="AA240" s="1774"/>
      <c r="AB240" s="1896"/>
      <c r="AC240" s="1896"/>
      <c r="AD240" s="1896"/>
      <c r="AE240" s="1896"/>
      <c r="AF240" s="1774"/>
      <c r="AG240" s="1950" t="s">
        <v>630</v>
      </c>
      <c r="AH240" s="1950" t="s">
        <v>630</v>
      </c>
      <c r="AI240" s="1950" t="s">
        <v>630</v>
      </c>
      <c r="AJ240" s="1950" t="s">
        <v>630</v>
      </c>
      <c r="AK240" s="1774" t="s">
        <v>630</v>
      </c>
      <c r="AL240" s="1950">
        <f>AL239/AG239-1</f>
        <v>0.66250000000000009</v>
      </c>
      <c r="AM240" s="1950">
        <v>-0.15</v>
      </c>
      <c r="AN240" s="1950">
        <v>-0.14000000000000001</v>
      </c>
      <c r="AO240" s="1898">
        <v>-0.14000000000000001</v>
      </c>
      <c r="AP240" s="1774">
        <f>AP239/AK239-1</f>
        <v>-1.5920792079207824E-2</v>
      </c>
      <c r="AQ240" s="1785">
        <v>-0.1</v>
      </c>
      <c r="AR240" s="1785">
        <f t="shared" ref="AR240:CD240" si="367">AR239/AM239-1</f>
        <v>5.0000000000000044E-2</v>
      </c>
      <c r="AS240" s="1785">
        <f t="shared" si="367"/>
        <v>0.10000000000000009</v>
      </c>
      <c r="AT240" s="1785">
        <f t="shared" si="367"/>
        <v>0.10000000000000009</v>
      </c>
      <c r="AU240" s="1774">
        <f t="shared" si="367"/>
        <v>3.3304491307147632E-2</v>
      </c>
      <c r="AV240" s="1785">
        <f t="shared" si="367"/>
        <v>7.0000000000000062E-2</v>
      </c>
      <c r="AW240" s="1785">
        <f t="shared" si="367"/>
        <v>7.0000000000000062E-2</v>
      </c>
      <c r="AX240" s="1785">
        <f t="shared" si="367"/>
        <v>5.4000000000000048E-2</v>
      </c>
      <c r="AY240" s="1785">
        <f t="shared" si="367"/>
        <v>5.0000000000000044E-2</v>
      </c>
      <c r="AZ240" s="1774">
        <f t="shared" si="367"/>
        <v>6.1076288531306977E-2</v>
      </c>
      <c r="BA240" s="1785">
        <f t="shared" si="367"/>
        <v>7.0000000000000062E-2</v>
      </c>
      <c r="BB240" s="1785">
        <f t="shared" si="367"/>
        <v>7.0000000000000062E-2</v>
      </c>
      <c r="BC240" s="1785">
        <f t="shared" si="367"/>
        <v>5.4000000000000048E-2</v>
      </c>
      <c r="BD240" s="1785">
        <f t="shared" si="367"/>
        <v>5.0000000000000044E-2</v>
      </c>
      <c r="BE240" s="1774">
        <f t="shared" si="367"/>
        <v>6.1153440107088564E-2</v>
      </c>
      <c r="BF240" s="1785">
        <f t="shared" si="367"/>
        <v>7.0000000000000062E-2</v>
      </c>
      <c r="BG240" s="1785">
        <f t="shared" si="367"/>
        <v>7.0000000000000062E-2</v>
      </c>
      <c r="BH240" s="1785">
        <f t="shared" si="367"/>
        <v>5.4000000000000048E-2</v>
      </c>
      <c r="BI240" s="1785">
        <f t="shared" si="367"/>
        <v>5.0000000000000044E-2</v>
      </c>
      <c r="BJ240" s="1774">
        <f t="shared" si="367"/>
        <v>6.1230530660283167E-2</v>
      </c>
      <c r="BK240" s="1785">
        <f t="shared" si="367"/>
        <v>7.0000000000000062E-2</v>
      </c>
      <c r="BL240" s="1898">
        <f t="shared" si="367"/>
        <v>7.0000000000000062E-2</v>
      </c>
      <c r="BM240" s="1898">
        <f t="shared" si="367"/>
        <v>5.4000000000000048E-2</v>
      </c>
      <c r="BN240" s="1785">
        <f t="shared" si="367"/>
        <v>5.0000000000000044E-2</v>
      </c>
      <c r="BO240" s="1774">
        <f t="shared" si="367"/>
        <v>6.130754956402984E-2</v>
      </c>
      <c r="BP240" s="1898">
        <f t="shared" si="367"/>
        <v>7.0000000000000062E-2</v>
      </c>
      <c r="BQ240" s="1898">
        <f t="shared" si="367"/>
        <v>7.0000000000000062E-2</v>
      </c>
      <c r="BR240" s="1898">
        <f t="shared" si="367"/>
        <v>5.4000000000000048E-2</v>
      </c>
      <c r="BS240" s="1785">
        <f t="shared" si="367"/>
        <v>5.0000000000000044E-2</v>
      </c>
      <c r="BT240" s="1899">
        <f t="shared" si="367"/>
        <v>6.1384486227870072E-2</v>
      </c>
      <c r="BU240" s="1898">
        <f t="shared" si="367"/>
        <v>7.0000000000000062E-2</v>
      </c>
      <c r="BV240" s="1898">
        <f t="shared" si="367"/>
        <v>7.0000000000000062E-2</v>
      </c>
      <c r="BW240" s="1898">
        <f t="shared" si="367"/>
        <v>5.4000000000000048E-2</v>
      </c>
      <c r="BX240" s="1898">
        <f t="shared" si="367"/>
        <v>5.0000000000000044E-2</v>
      </c>
      <c r="BY240" s="1899">
        <f t="shared" si="367"/>
        <v>6.1461330103687262E-2</v>
      </c>
      <c r="BZ240" s="1898">
        <f t="shared" si="367"/>
        <v>7.0000000000000062E-2</v>
      </c>
      <c r="CA240" s="1898">
        <f t="shared" si="367"/>
        <v>7.0000000000000062E-2</v>
      </c>
      <c r="CB240" s="1898">
        <f t="shared" si="367"/>
        <v>5.4000000000000048E-2</v>
      </c>
      <c r="CC240" s="1898">
        <f t="shared" si="367"/>
        <v>5.0000000000000044E-2</v>
      </c>
      <c r="CD240" s="1899">
        <f t="shared" si="367"/>
        <v>6.1538070691583791E-2</v>
      </c>
      <c r="CE240" s="1898">
        <f t="shared" ref="CE240:CI240" si="368">CE239/BZ239-1</f>
        <v>7.0000000000000062E-2</v>
      </c>
      <c r="CF240" s="1898">
        <f t="shared" si="368"/>
        <v>7.0000000000000062E-2</v>
      </c>
      <c r="CG240" s="1898">
        <f t="shared" si="368"/>
        <v>5.4000000000000048E-2</v>
      </c>
      <c r="CH240" s="1898">
        <f t="shared" si="368"/>
        <v>5.0000000000000044E-2</v>
      </c>
      <c r="CI240" s="1899">
        <f t="shared" si="368"/>
        <v>6.1614697545708141E-2</v>
      </c>
      <c r="CJ240" s="1898">
        <f t="shared" ref="CJ240:CS240" si="369">CJ239/CE239-1</f>
        <v>7.0000000000000062E-2</v>
      </c>
      <c r="CK240" s="1898">
        <f t="shared" si="369"/>
        <v>7.0000000000000062E-2</v>
      </c>
      <c r="CL240" s="1898">
        <f t="shared" si="369"/>
        <v>5.4000000000000048E-2</v>
      </c>
      <c r="CM240" s="1898">
        <f t="shared" si="369"/>
        <v>5.0000000000000044E-2</v>
      </c>
      <c r="CN240" s="1899">
        <f t="shared" si="369"/>
        <v>6.1691200280017844E-2</v>
      </c>
      <c r="CO240" s="1898">
        <f t="shared" si="369"/>
        <v>7.0000000000000062E-2</v>
      </c>
      <c r="CP240" s="1898">
        <f t="shared" si="369"/>
        <v>7.0000000000000062E-2</v>
      </c>
      <c r="CQ240" s="1898">
        <f t="shared" si="369"/>
        <v>5.4000000000000048E-2</v>
      </c>
      <c r="CR240" s="1898">
        <f t="shared" si="369"/>
        <v>5.0000000000000044E-2</v>
      </c>
      <c r="CS240" s="1899">
        <f t="shared" si="369"/>
        <v>6.1767568573967591E-2</v>
      </c>
      <c r="CT240" s="1898">
        <f t="shared" ref="CT240" si="370">CT239/CO239-1</f>
        <v>7.0000000000000062E-2</v>
      </c>
      <c r="CU240" s="1898">
        <f t="shared" ref="CU240" si="371">CU239/CP239-1</f>
        <v>7.0000000000000062E-2</v>
      </c>
      <c r="CV240" s="1898">
        <f t="shared" ref="CV240" si="372">CV239/CQ239-1</f>
        <v>5.4000000000000048E-2</v>
      </c>
      <c r="CW240" s="1898">
        <f t="shared" ref="CW240" si="373">CW239/CR239-1</f>
        <v>5.0000000000000044E-2</v>
      </c>
      <c r="CX240" s="1899">
        <f t="shared" ref="CX240" si="374">CX239/CS239-1</f>
        <v>6.1843792178122525E-2</v>
      </c>
      <c r="CY240" s="1900"/>
      <c r="CZ240" s="1900"/>
      <c r="DA240" s="1900"/>
      <c r="DB240" s="1900"/>
      <c r="DC240" s="1900"/>
      <c r="DD240" s="1900"/>
      <c r="DE240" s="1900"/>
      <c r="DF240" s="1900"/>
      <c r="DG240" s="1900"/>
      <c r="DH240" s="1773"/>
      <c r="DI240" s="1774"/>
      <c r="DJ240" s="1773"/>
      <c r="DK240" s="1901"/>
      <c r="DL240" s="1901"/>
      <c r="DM240" s="1899"/>
      <c r="DN240" s="1899"/>
      <c r="DO240" s="1899"/>
      <c r="DP240" s="1899"/>
      <c r="DQ240" s="1899"/>
      <c r="DR240" s="1898"/>
    </row>
    <row r="241" spans="1:122" ht="12" hidden="1" customHeight="1" outlineLevel="3">
      <c r="A241" s="1946" t="s">
        <v>529</v>
      </c>
      <c r="B241" s="1913"/>
      <c r="C241" s="1803"/>
      <c r="D241" s="1803"/>
      <c r="E241" s="1803"/>
      <c r="F241" s="1803"/>
      <c r="G241" s="1762"/>
      <c r="H241" s="1803"/>
      <c r="I241" s="1803"/>
      <c r="J241" s="1803"/>
      <c r="K241" s="1803"/>
      <c r="L241" s="1762"/>
      <c r="M241" s="1803"/>
      <c r="N241" s="1803"/>
      <c r="O241" s="1803"/>
      <c r="P241" s="1803"/>
      <c r="Q241" s="1762"/>
      <c r="R241" s="1803"/>
      <c r="S241" s="1803"/>
      <c r="T241" s="1803"/>
      <c r="U241" s="1803"/>
      <c r="V241" s="1762"/>
      <c r="W241" s="1889"/>
      <c r="X241" s="1889"/>
      <c r="Y241" s="1889"/>
      <c r="Z241" s="1803"/>
      <c r="AA241" s="1762"/>
      <c r="AB241" s="1889"/>
      <c r="AC241" s="1889"/>
      <c r="AD241" s="1889"/>
      <c r="AE241" s="1803"/>
      <c r="AF241" s="1762"/>
      <c r="AG241" s="1891">
        <v>-58</v>
      </c>
      <c r="AH241" s="1889">
        <f>AH242*AH239</f>
        <v>-11.2769824</v>
      </c>
      <c r="AI241" s="1889">
        <f>AI242*AI239</f>
        <v>-17.6683691808704</v>
      </c>
      <c r="AJ241" s="1889">
        <f>AJ242*AJ239</f>
        <v>-15.24</v>
      </c>
      <c r="AK241" s="1762">
        <f>SUM(AG241:AJ241)</f>
        <v>-102.18535158087039</v>
      </c>
      <c r="AL241" s="1891">
        <f>AL242*AL239</f>
        <v>-15.959999999999999</v>
      </c>
      <c r="AM241" s="1889">
        <f>AM242*AM239</f>
        <v>-15.708</v>
      </c>
      <c r="AN241" s="1889">
        <f>AN242*AN239</f>
        <v>-17.337600000000002</v>
      </c>
      <c r="AO241" s="1891">
        <f>AO242*AO239</f>
        <v>-13.106399999999999</v>
      </c>
      <c r="AP241" s="1801">
        <f>SUM(AL241:AO241)</f>
        <v>-62.112000000000002</v>
      </c>
      <c r="AQ241" s="1890">
        <f>AQ239*AQ242</f>
        <v>-11.97</v>
      </c>
      <c r="AR241" s="1890">
        <f>AR239*AR242</f>
        <v>-16.493400000000001</v>
      </c>
      <c r="AS241" s="1890">
        <f>AS239*AS242</f>
        <v>-13.622400000000003</v>
      </c>
      <c r="AT241" s="1890">
        <f>AT239*AT242</f>
        <v>-12.014200000000002</v>
      </c>
      <c r="AU241" s="1801">
        <f>SUM(AQ241:AT241)</f>
        <v>-54.100000000000009</v>
      </c>
      <c r="AV241" s="1890">
        <f>AV239*AV242</f>
        <v>-12.807900000000002</v>
      </c>
      <c r="AW241" s="1890">
        <f>AW239*AW242</f>
        <v>-17.647938000000003</v>
      </c>
      <c r="AX241" s="1890">
        <f>AX239*AX242</f>
        <v>-14.358009600000003</v>
      </c>
      <c r="AY241" s="1890">
        <f>AY239*AY242</f>
        <v>-12.614910000000002</v>
      </c>
      <c r="AZ241" s="1801">
        <f>SUM(AV241:AY241)</f>
        <v>-57.428757600000012</v>
      </c>
      <c r="BA241" s="1890">
        <f>BA239*BA242</f>
        <v>-13.704453000000001</v>
      </c>
      <c r="BB241" s="1890">
        <f>BB239*BB242</f>
        <v>-18.883293660000003</v>
      </c>
      <c r="BC241" s="1890">
        <f>BC239*BC242</f>
        <v>-15.133342118400003</v>
      </c>
      <c r="BD241" s="1890">
        <f>BD239*BD242</f>
        <v>-13.245655500000005</v>
      </c>
      <c r="BE241" s="1801">
        <f>SUM(BA241:BD241)</f>
        <v>-60.966744278400014</v>
      </c>
      <c r="BF241" s="1890">
        <f>BF239*BF242</f>
        <v>-14.663764710000002</v>
      </c>
      <c r="BG241" s="1890">
        <f>BG239*BG242</f>
        <v>-20.205124216200005</v>
      </c>
      <c r="BH241" s="1890">
        <f>BH239*BH242</f>
        <v>-15.950542592793605</v>
      </c>
      <c r="BI241" s="1890">
        <f>BI239*BI242</f>
        <v>-13.907938275000005</v>
      </c>
      <c r="BJ241" s="1801">
        <f>SUM(BF241:BI241)</f>
        <v>-64.727369793993617</v>
      </c>
      <c r="BK241" s="1890">
        <f>BK239*BK242</f>
        <v>-15.690228239700003</v>
      </c>
      <c r="BL241" s="1891">
        <f>BL239*BL242</f>
        <v>-21.619482911334007</v>
      </c>
      <c r="BM241" s="1891">
        <f>BM239*BM242</f>
        <v>-16.811871892804458</v>
      </c>
      <c r="BN241" s="1890">
        <f>BN239*BN242</f>
        <v>-14.603335188750004</v>
      </c>
      <c r="BO241" s="1801">
        <f>SUM(BK241:BN241)</f>
        <v>-68.724918232588479</v>
      </c>
      <c r="BP241" s="1891">
        <f>BP239*BP242</f>
        <v>-16.788544216479004</v>
      </c>
      <c r="BQ241" s="1891">
        <f>BQ239*BQ242</f>
        <v>-23.132846715127389</v>
      </c>
      <c r="BR241" s="1891">
        <f>BR239*BR242</f>
        <v>-17.719712975015902</v>
      </c>
      <c r="BS241" s="1890">
        <f>BS239*BS242</f>
        <v>-15.333501948187504</v>
      </c>
      <c r="BT241" s="1908">
        <f>SUM(BP241:BS241)</f>
        <v>-72.974605854809795</v>
      </c>
      <c r="BU241" s="1891">
        <f>BU239*BU242</f>
        <v>-17.963742311632533</v>
      </c>
      <c r="BV241" s="1891">
        <f>BV239*BV242</f>
        <v>-24.752145985186306</v>
      </c>
      <c r="BW241" s="1891">
        <f>BW239*BW242</f>
        <v>-18.676577475666761</v>
      </c>
      <c r="BX241" s="1891">
        <f>BX239*BX242</f>
        <v>-16.10017704559688</v>
      </c>
      <c r="BY241" s="1908">
        <f>SUM(BU241:BX241)</f>
        <v>-77.492642818082487</v>
      </c>
      <c r="BZ241" s="1891">
        <f>BZ239*BZ242</f>
        <v>-19.221204273446812</v>
      </c>
      <c r="CA241" s="1891">
        <f>CA239*CA242</f>
        <v>-26.484796204149347</v>
      </c>
      <c r="CB241" s="1891">
        <f>CB239*CB242</f>
        <v>-19.685112659352768</v>
      </c>
      <c r="CC241" s="1891">
        <f>CC239*CC242</f>
        <v>-16.905185897876727</v>
      </c>
      <c r="CD241" s="1908">
        <f>SUM(BZ241:CC241)</f>
        <v>-82.296299034825665</v>
      </c>
      <c r="CE241" s="1891">
        <f>CE239*CE242</f>
        <v>-20.566688572588092</v>
      </c>
      <c r="CF241" s="1891">
        <f>CF239*CF242</f>
        <v>-28.338731938439807</v>
      </c>
      <c r="CG241" s="1891">
        <f>CG239*CG242</f>
        <v>-20.748108742957822</v>
      </c>
      <c r="CH241" s="1891">
        <f>CH239*CH242</f>
        <v>-17.750445192770563</v>
      </c>
      <c r="CI241" s="1908">
        <f>SUM(CE241:CH241)</f>
        <v>-87.40397444675628</v>
      </c>
      <c r="CJ241" s="1891">
        <f>CJ239*CJ242</f>
        <v>-22.006356772669257</v>
      </c>
      <c r="CK241" s="1891">
        <f>CK239*CK242</f>
        <v>-30.322443174130594</v>
      </c>
      <c r="CL241" s="1891">
        <f>CL239*CL242</f>
        <v>-21.868506615077546</v>
      </c>
      <c r="CM241" s="1891">
        <f>CM239*CM242</f>
        <v>-18.637967452409093</v>
      </c>
      <c r="CN241" s="1908">
        <f>SUM(CJ241:CM241)</f>
        <v>-92.835274014286483</v>
      </c>
      <c r="CO241" s="1891">
        <f>CO239*CO242</f>
        <v>-23.546801746756106</v>
      </c>
      <c r="CP241" s="1891">
        <f>CP239*CP242</f>
        <v>-32.445014196319732</v>
      </c>
      <c r="CQ241" s="1891">
        <f>CQ239*CQ242</f>
        <v>-23.049405972291733</v>
      </c>
      <c r="CR241" s="1891">
        <f>CR239*CR242</f>
        <v>-19.569865825029549</v>
      </c>
      <c r="CS241" s="1908">
        <f>SUM(CO241:CR241)</f>
        <v>-98.611087740397124</v>
      </c>
      <c r="CT241" s="1891">
        <f>CT239*CT242</f>
        <v>-25.195077869029035</v>
      </c>
      <c r="CU241" s="1891">
        <f>CU239*CU242</f>
        <v>-34.716165190062114</v>
      </c>
      <c r="CV241" s="1891">
        <f>CV239*CV242</f>
        <v>-24.294073894795488</v>
      </c>
      <c r="CW241" s="1891">
        <f>CW239*CW242</f>
        <v>-20.548359116281027</v>
      </c>
      <c r="CX241" s="1908">
        <f>SUM(CT241:CW241)</f>
        <v>-104.75367607016767</v>
      </c>
      <c r="CY241" s="1890"/>
      <c r="CZ241" s="1890"/>
      <c r="DA241" s="1890"/>
      <c r="DB241" s="1890"/>
      <c r="DC241" s="1890"/>
      <c r="DD241" s="1890"/>
      <c r="DE241" s="1890"/>
      <c r="DF241" s="1890"/>
      <c r="DG241" s="1890"/>
      <c r="DH241" s="1804"/>
      <c r="DI241" s="1801"/>
      <c r="DJ241" s="1804"/>
      <c r="DK241" s="1907"/>
      <c r="DL241" s="1907"/>
      <c r="DM241" s="1908"/>
      <c r="DN241" s="1908"/>
      <c r="DO241" s="1908"/>
      <c r="DP241" s="1908"/>
      <c r="DQ241" s="1908"/>
      <c r="DR241" s="1915"/>
    </row>
    <row r="242" spans="1:122" ht="12" hidden="1" customHeight="1" outlineLevel="3">
      <c r="A242" s="1947" t="s">
        <v>117</v>
      </c>
      <c r="B242" s="1916"/>
      <c r="C242" s="1917"/>
      <c r="D242" s="1917"/>
      <c r="E242" s="1917"/>
      <c r="F242" s="1917"/>
      <c r="G242" s="1918"/>
      <c r="H242" s="1917"/>
      <c r="I242" s="1917"/>
      <c r="J242" s="1917"/>
      <c r="K242" s="1917"/>
      <c r="L242" s="1918"/>
      <c r="M242" s="1917"/>
      <c r="N242" s="1917"/>
      <c r="O242" s="1917"/>
      <c r="P242" s="1919"/>
      <c r="Q242" s="1920"/>
      <c r="R242" s="1948"/>
      <c r="S242" s="1948"/>
      <c r="T242" s="1923"/>
      <c r="U242" s="1923"/>
      <c r="V242" s="1918"/>
      <c r="W242" s="1948"/>
      <c r="X242" s="1948"/>
      <c r="Y242" s="1948"/>
      <c r="Z242" s="1923"/>
      <c r="AA242" s="1918"/>
      <c r="AB242" s="1948"/>
      <c r="AC242" s="1948"/>
      <c r="AD242" s="1948"/>
      <c r="AE242" s="1948"/>
      <c r="AF242" s="1918"/>
      <c r="AG242" s="1948">
        <f>AG241/AG239</f>
        <v>-0.72499999999999998</v>
      </c>
      <c r="AH242" s="1948">
        <v>-7.3227158441558443E-2</v>
      </c>
      <c r="AI242" s="1948">
        <v>-0.12269700820048889</v>
      </c>
      <c r="AJ242" s="1948">
        <v>-0.12</v>
      </c>
      <c r="AK242" s="1918">
        <f>AK241/AK239</f>
        <v>-0.20234723085320869</v>
      </c>
      <c r="AL242" s="1948">
        <v>-0.12</v>
      </c>
      <c r="AM242" s="1948">
        <v>-0.12</v>
      </c>
      <c r="AN242" s="1948">
        <v>-0.14000000000000001</v>
      </c>
      <c r="AO242" s="1949">
        <v>-0.12</v>
      </c>
      <c r="AP242" s="1918">
        <f>AP241/AP239</f>
        <v>-0.1249839021249195</v>
      </c>
      <c r="AQ242" s="1923">
        <v>-0.1</v>
      </c>
      <c r="AR242" s="1923">
        <v>-0.12</v>
      </c>
      <c r="AS242" s="1923">
        <v>-0.1</v>
      </c>
      <c r="AT242" s="1923">
        <v>-0.1</v>
      </c>
      <c r="AU242" s="1918">
        <f>AU241/AU239</f>
        <v>-0.10535314725487867</v>
      </c>
      <c r="AV242" s="1923">
        <v>-0.1</v>
      </c>
      <c r="AW242" s="1923">
        <v>-0.12</v>
      </c>
      <c r="AX242" s="1923">
        <v>-0.1</v>
      </c>
      <c r="AY242" s="1923">
        <v>-0.1</v>
      </c>
      <c r="AZ242" s="1918">
        <f>AZ241/AZ239</f>
        <v>-0.10539816752539861</v>
      </c>
      <c r="BA242" s="1923">
        <v>-0.1</v>
      </c>
      <c r="BB242" s="1923">
        <v>-0.12</v>
      </c>
      <c r="BC242" s="1923">
        <v>-0.1</v>
      </c>
      <c r="BD242" s="1923">
        <v>-0.1</v>
      </c>
      <c r="BE242" s="1918">
        <f>BE241/BE239</f>
        <v>-0.10544317064230936</v>
      </c>
      <c r="BF242" s="1923">
        <v>-0.1</v>
      </c>
      <c r="BG242" s="1923">
        <v>-0.12</v>
      </c>
      <c r="BH242" s="1923">
        <v>-0.1</v>
      </c>
      <c r="BI242" s="1923">
        <v>-0.1</v>
      </c>
      <c r="BJ242" s="1918">
        <f>BJ241/BJ239</f>
        <v>-0.10548815023597871</v>
      </c>
      <c r="BK242" s="1923">
        <v>-0.1</v>
      </c>
      <c r="BL242" s="1949">
        <v>-0.12</v>
      </c>
      <c r="BM242" s="1949">
        <v>-0.1</v>
      </c>
      <c r="BN242" s="1923">
        <v>-0.1</v>
      </c>
      <c r="BO242" s="1918">
        <f>BO241/BO239</f>
        <v>-0.10553309995289251</v>
      </c>
      <c r="BP242" s="1949">
        <v>-0.1</v>
      </c>
      <c r="BQ242" s="1949">
        <v>-0.12</v>
      </c>
      <c r="BR242" s="1949">
        <v>-0.1</v>
      </c>
      <c r="BS242" s="1923">
        <v>-0.1</v>
      </c>
      <c r="BT242" s="1922">
        <f>BT241/BT239</f>
        <v>-0.10557801345922813</v>
      </c>
      <c r="BU242" s="1949">
        <v>-0.1</v>
      </c>
      <c r="BV242" s="1949">
        <v>-0.12</v>
      </c>
      <c r="BW242" s="1949">
        <v>-0.1</v>
      </c>
      <c r="BX242" s="1949">
        <v>-0.1</v>
      </c>
      <c r="BY242" s="1922">
        <f>BY241/BY239</f>
        <v>-0.10562288444440185</v>
      </c>
      <c r="BZ242" s="1949">
        <v>-0.1</v>
      </c>
      <c r="CA242" s="1949">
        <v>-0.12</v>
      </c>
      <c r="CB242" s="1949">
        <v>-0.1</v>
      </c>
      <c r="CC242" s="1949">
        <v>-0.1</v>
      </c>
      <c r="CD242" s="1922">
        <f>CD241/CD239</f>
        <v>-0.10566770662458697</v>
      </c>
      <c r="CE242" s="1949">
        <v>-0.1</v>
      </c>
      <c r="CF242" s="1949">
        <v>-0.12</v>
      </c>
      <c r="CG242" s="1949">
        <v>-0.1</v>
      </c>
      <c r="CH242" s="1949">
        <v>-0.1</v>
      </c>
      <c r="CI242" s="1922">
        <f>CI241/CI239</f>
        <v>-0.10571247374619824</v>
      </c>
      <c r="CJ242" s="1949">
        <v>-0.1</v>
      </c>
      <c r="CK242" s="1949">
        <v>-0.12</v>
      </c>
      <c r="CL242" s="1949">
        <v>-0.1</v>
      </c>
      <c r="CM242" s="1949">
        <v>-0.1</v>
      </c>
      <c r="CN242" s="1922">
        <f>CN241/CN239</f>
        <v>-0.10575717958933822</v>
      </c>
      <c r="CO242" s="1949">
        <v>-0.1</v>
      </c>
      <c r="CP242" s="1949">
        <v>-0.12</v>
      </c>
      <c r="CQ242" s="1949">
        <v>-0.1</v>
      </c>
      <c r="CR242" s="1949">
        <v>-0.1</v>
      </c>
      <c r="CS242" s="1922">
        <f>CS241/CS239</f>
        <v>-0.10580181797120201</v>
      </c>
      <c r="CT242" s="1949">
        <v>-0.1</v>
      </c>
      <c r="CU242" s="1949">
        <v>-0.12</v>
      </c>
      <c r="CV242" s="1949">
        <v>-0.1</v>
      </c>
      <c r="CW242" s="1949">
        <v>-0.1</v>
      </c>
      <c r="CX242" s="1922">
        <f>CX241/CX239</f>
        <v>-0.10584638274943625</v>
      </c>
      <c r="CY242" s="1923"/>
      <c r="CZ242" s="1923"/>
      <c r="DA242" s="1923"/>
      <c r="DB242" s="1923"/>
      <c r="DC242" s="1923"/>
      <c r="DD242" s="1923"/>
      <c r="DE242" s="1923"/>
      <c r="DF242" s="1923"/>
      <c r="DG242" s="1923"/>
      <c r="DH242" s="1924"/>
      <c r="DI242" s="1918"/>
      <c r="DJ242" s="1924"/>
      <c r="DK242" s="1925"/>
      <c r="DL242" s="1925"/>
      <c r="DM242" s="1922"/>
      <c r="DN242" s="1922"/>
      <c r="DO242" s="1922"/>
      <c r="DP242" s="1922"/>
      <c r="DQ242" s="1922"/>
      <c r="DR242" s="1921"/>
    </row>
    <row r="243" spans="1:122" ht="12" hidden="1" customHeight="1" outlineLevel="3">
      <c r="A243" s="1824"/>
      <c r="B243" s="1916"/>
      <c r="C243" s="1917"/>
      <c r="D243" s="1917"/>
      <c r="E243" s="1917"/>
      <c r="F243" s="1917"/>
      <c r="G243" s="1918"/>
      <c r="H243" s="1917"/>
      <c r="I243" s="1917"/>
      <c r="J243" s="1917"/>
      <c r="K243" s="1917"/>
      <c r="L243" s="1918"/>
      <c r="M243" s="1917"/>
      <c r="N243" s="1917"/>
      <c r="O243" s="1917"/>
      <c r="P243" s="1919"/>
      <c r="Q243" s="1920"/>
      <c r="R243" s="1948"/>
      <c r="S243" s="1948"/>
      <c r="T243" s="1923"/>
      <c r="U243" s="1923"/>
      <c r="V243" s="1918"/>
      <c r="W243" s="1948"/>
      <c r="X243" s="1948"/>
      <c r="Y243" s="1948"/>
      <c r="Z243" s="1923"/>
      <c r="AA243" s="1918"/>
      <c r="AB243" s="1948"/>
      <c r="AC243" s="1948"/>
      <c r="AD243" s="1948"/>
      <c r="AE243" s="1948"/>
      <c r="AF243" s="1918"/>
      <c r="AG243" s="1948"/>
      <c r="AH243" s="1951"/>
      <c r="AI243" s="1948"/>
      <c r="AJ243" s="1948"/>
      <c r="AK243" s="1918"/>
      <c r="AL243" s="1948"/>
      <c r="AM243" s="1951"/>
      <c r="AN243" s="1948"/>
      <c r="AO243" s="1949"/>
      <c r="AP243" s="1918"/>
      <c r="AQ243" s="1923"/>
      <c r="AR243" s="1923"/>
      <c r="AS243" s="1923"/>
      <c r="AT243" s="1923"/>
      <c r="AU243" s="1918"/>
      <c r="AV243" s="1923"/>
      <c r="AW243" s="1923"/>
      <c r="AX243" s="1923"/>
      <c r="AY243" s="1923"/>
      <c r="AZ243" s="1918"/>
      <c r="BA243" s="1923"/>
      <c r="BB243" s="1923"/>
      <c r="BC243" s="1923"/>
      <c r="BD243" s="1923"/>
      <c r="BE243" s="1918"/>
      <c r="BF243" s="1923"/>
      <c r="BG243" s="1923"/>
      <c r="BH243" s="1923"/>
      <c r="BI243" s="1923"/>
      <c r="BJ243" s="1918"/>
      <c r="BK243" s="1923"/>
      <c r="BL243" s="1949"/>
      <c r="BM243" s="1949"/>
      <c r="BN243" s="1923"/>
      <c r="BO243" s="1918"/>
      <c r="BP243" s="1949"/>
      <c r="BQ243" s="1949"/>
      <c r="BR243" s="1949"/>
      <c r="BS243" s="1923"/>
      <c r="BT243" s="1922"/>
      <c r="BU243" s="1949"/>
      <c r="BV243" s="1949"/>
      <c r="BW243" s="1949"/>
      <c r="BX243" s="1949"/>
      <c r="BY243" s="1922"/>
      <c r="BZ243" s="1949"/>
      <c r="CA243" s="1949"/>
      <c r="CB243" s="1949"/>
      <c r="CC243" s="1949"/>
      <c r="CD243" s="1922"/>
      <c r="CE243" s="1949"/>
      <c r="CF243" s="1949"/>
      <c r="CG243" s="1949"/>
      <c r="CH243" s="1949"/>
      <c r="CI243" s="1922"/>
      <c r="CJ243" s="1949"/>
      <c r="CK243" s="1949"/>
      <c r="CL243" s="1949"/>
      <c r="CM243" s="1949"/>
      <c r="CN243" s="1922"/>
      <c r="CO243" s="1949"/>
      <c r="CP243" s="1949"/>
      <c r="CQ243" s="1949"/>
      <c r="CR243" s="1949"/>
      <c r="CS243" s="1922"/>
      <c r="CT243" s="1949"/>
      <c r="CU243" s="1949"/>
      <c r="CV243" s="1949"/>
      <c r="CW243" s="1949"/>
      <c r="CX243" s="1922"/>
      <c r="CY243" s="1923"/>
      <c r="CZ243" s="1923"/>
      <c r="DA243" s="1923"/>
      <c r="DB243" s="1923"/>
      <c r="DC243" s="1923"/>
      <c r="DD243" s="1923"/>
      <c r="DE243" s="1923"/>
      <c r="DF243" s="1923"/>
      <c r="DG243" s="1923"/>
      <c r="DH243" s="1924"/>
      <c r="DI243" s="1918"/>
      <c r="DJ243" s="1924"/>
      <c r="DK243" s="1925"/>
      <c r="DL243" s="1925"/>
      <c r="DM243" s="1922"/>
      <c r="DN243" s="1922"/>
      <c r="DO243" s="1922"/>
      <c r="DP243" s="1922"/>
      <c r="DQ243" s="1922"/>
      <c r="DR243" s="1921"/>
    </row>
    <row r="244" spans="1:122" hidden="1" outlineLevel="2">
      <c r="A244" s="1885" t="s">
        <v>640</v>
      </c>
      <c r="B244" s="1886">
        <f t="shared" ref="B244:AH244" si="375">B233+B239</f>
        <v>1315</v>
      </c>
      <c r="C244" s="1803">
        <f t="shared" si="375"/>
        <v>348</v>
      </c>
      <c r="D244" s="1803">
        <f t="shared" si="375"/>
        <v>372</v>
      </c>
      <c r="E244" s="1803">
        <f t="shared" si="375"/>
        <v>404</v>
      </c>
      <c r="F244" s="1803">
        <f t="shared" si="375"/>
        <v>447</v>
      </c>
      <c r="G244" s="1762">
        <f t="shared" si="375"/>
        <v>1571</v>
      </c>
      <c r="H244" s="1803">
        <f t="shared" si="375"/>
        <v>427</v>
      </c>
      <c r="I244" s="1803">
        <f t="shared" si="375"/>
        <v>459</v>
      </c>
      <c r="J244" s="1803">
        <f t="shared" si="375"/>
        <v>508</v>
      </c>
      <c r="K244" s="1803">
        <f t="shared" si="375"/>
        <v>559</v>
      </c>
      <c r="L244" s="1762">
        <f t="shared" si="375"/>
        <v>1953</v>
      </c>
      <c r="M244" s="1803">
        <f t="shared" si="375"/>
        <v>491</v>
      </c>
      <c r="N244" s="1803">
        <f t="shared" si="375"/>
        <v>546</v>
      </c>
      <c r="O244" s="1803">
        <f t="shared" si="375"/>
        <v>591</v>
      </c>
      <c r="P244" s="1887">
        <f t="shared" si="375"/>
        <v>588</v>
      </c>
      <c r="Q244" s="1888">
        <f t="shared" si="375"/>
        <v>2216</v>
      </c>
      <c r="R244" s="1889">
        <f t="shared" si="375"/>
        <v>559</v>
      </c>
      <c r="S244" s="1889">
        <f t="shared" si="375"/>
        <v>606</v>
      </c>
      <c r="T244" s="1890">
        <f t="shared" si="375"/>
        <v>581</v>
      </c>
      <c r="U244" s="1890">
        <f t="shared" si="375"/>
        <v>598</v>
      </c>
      <c r="V244" s="1762">
        <f t="shared" si="375"/>
        <v>2344</v>
      </c>
      <c r="W244" s="1889">
        <f t="shared" si="375"/>
        <v>564</v>
      </c>
      <c r="X244" s="1889">
        <f t="shared" si="375"/>
        <v>594</v>
      </c>
      <c r="Y244" s="1889">
        <f t="shared" si="375"/>
        <v>561</v>
      </c>
      <c r="Z244" s="1890">
        <f t="shared" si="375"/>
        <v>580</v>
      </c>
      <c r="AA244" s="1762">
        <f t="shared" si="375"/>
        <v>2299</v>
      </c>
      <c r="AB244" s="1889">
        <f t="shared" si="375"/>
        <v>539</v>
      </c>
      <c r="AC244" s="1889">
        <f t="shared" si="375"/>
        <v>624</v>
      </c>
      <c r="AD244" s="1889">
        <f t="shared" si="375"/>
        <v>623</v>
      </c>
      <c r="AE244" s="1890">
        <f t="shared" si="375"/>
        <v>688</v>
      </c>
      <c r="AF244" s="1762">
        <f t="shared" si="375"/>
        <v>2474</v>
      </c>
      <c r="AG244" s="1890">
        <f t="shared" si="375"/>
        <v>671</v>
      </c>
      <c r="AH244" s="1890">
        <f t="shared" si="375"/>
        <v>863</v>
      </c>
      <c r="AI244" s="1889">
        <v>843</v>
      </c>
      <c r="AJ244" s="1890">
        <v>838</v>
      </c>
      <c r="AK244" s="1762">
        <f>SUM(AG244:AJ244)</f>
        <v>3215</v>
      </c>
      <c r="AL244" s="1890">
        <v>514</v>
      </c>
      <c r="AM244" s="1890">
        <v>599</v>
      </c>
      <c r="AN244" s="1889">
        <v>507</v>
      </c>
      <c r="AO244" s="1890">
        <v>501</v>
      </c>
      <c r="AP244" s="1762">
        <f>SUM(AL244:AO244)</f>
        <v>2121</v>
      </c>
      <c r="AQ244" s="1890">
        <v>487</v>
      </c>
      <c r="AR244" s="1890">
        <v>579</v>
      </c>
      <c r="AS244" s="1890">
        <v>566</v>
      </c>
      <c r="AT244" s="1890">
        <v>568</v>
      </c>
      <c r="AU244" s="1762">
        <f>SUM(AQ244:AT244)</f>
        <v>2200</v>
      </c>
      <c r="AV244" s="1890">
        <v>547</v>
      </c>
      <c r="AW244" s="1890">
        <v>713</v>
      </c>
      <c r="AX244" s="1890">
        <v>667</v>
      </c>
      <c r="AY244" s="1890">
        <v>680</v>
      </c>
      <c r="AZ244" s="1762">
        <f>SUM(AV244:AY244)</f>
        <v>2607</v>
      </c>
      <c r="BA244" s="1890">
        <v>641</v>
      </c>
      <c r="BB244" s="1890">
        <v>784</v>
      </c>
      <c r="BC244" s="1890">
        <v>707</v>
      </c>
      <c r="BD244" s="1890">
        <v>735</v>
      </c>
      <c r="BE244" s="1762">
        <f>SUM(BA244:BD244)</f>
        <v>2867</v>
      </c>
      <c r="BF244" s="1890">
        <v>697</v>
      </c>
      <c r="BG244" s="1890">
        <v>869</v>
      </c>
      <c r="BH244" s="1890">
        <v>832</v>
      </c>
      <c r="BI244" s="1890">
        <v>804</v>
      </c>
      <c r="BJ244" s="1762">
        <f>SUM(BF244:BI244)</f>
        <v>3202</v>
      </c>
      <c r="BK244" s="1890">
        <v>872</v>
      </c>
      <c r="BL244" s="1891">
        <f>BG244*(1+BL246)</f>
        <v>955.90000000000009</v>
      </c>
      <c r="BM244" s="1891">
        <f>BH244*(1+BM246)</f>
        <v>915.2</v>
      </c>
      <c r="BN244" s="1890">
        <f>BI244*(1+BN246)</f>
        <v>884.40000000000009</v>
      </c>
      <c r="BO244" s="1762">
        <f>SUM(BK244:BN244)</f>
        <v>3627.5000000000005</v>
      </c>
      <c r="BP244" s="1891">
        <f>BK244*(1+BP246)</f>
        <v>1082.2183070301289</v>
      </c>
      <c r="BQ244" s="1891">
        <f>BL244*(1+BQ246)</f>
        <v>1041.9310000000003</v>
      </c>
      <c r="BR244" s="1891">
        <f>BM244*(1+BR246)</f>
        <v>997.5680000000001</v>
      </c>
      <c r="BS244" s="1890">
        <f>BN244*(1+BS246)</f>
        <v>963.99600000000021</v>
      </c>
      <c r="BT244" s="1892">
        <f>SUM(BP244:BS244)</f>
        <v>4085.7133070301297</v>
      </c>
      <c r="BU244" s="1891">
        <f>BP244*(1+BU246)</f>
        <v>1332.2930280204769</v>
      </c>
      <c r="BV244" s="1891">
        <f>BQ244*(1+BV246)</f>
        <v>1125.2854800000005</v>
      </c>
      <c r="BW244" s="1891">
        <f>BR244*(1+BW246)</f>
        <v>1077.3734400000001</v>
      </c>
      <c r="BX244" s="1891">
        <f>BS244*(1+BX246)</f>
        <v>1041.1156800000003</v>
      </c>
      <c r="BY244" s="1892">
        <f>SUM(BU244:BX244)</f>
        <v>4576.0676280204771</v>
      </c>
      <c r="BZ244" s="1891">
        <f>BU244*(1+BZ246)</f>
        <v>1626.8310950042289</v>
      </c>
      <c r="CA244" s="1891">
        <f>BV244*(1+CA246)</f>
        <v>1204.0554636000006</v>
      </c>
      <c r="CB244" s="1891">
        <f>BW244*(1+CB246)</f>
        <v>1152.7895808000001</v>
      </c>
      <c r="CC244" s="1891">
        <f>BX244*(1+CC246)</f>
        <v>1113.9937776000004</v>
      </c>
      <c r="CD244" s="1892">
        <f>SUM(BZ244:CC244)</f>
        <v>5097.6699170042302</v>
      </c>
      <c r="CE244" s="1891">
        <f>BZ244*(1+CE246)</f>
        <v>1970.2161605666709</v>
      </c>
      <c r="CF244" s="1891">
        <f>CA244*(1+CF246)</f>
        <v>1276.2987914160008</v>
      </c>
      <c r="CG244" s="1891">
        <f>CB244*(1+CG246)</f>
        <v>1221.9569556480001</v>
      </c>
      <c r="CH244" s="1891">
        <f>CC244*(1+CH246)</f>
        <v>1180.8334042560004</v>
      </c>
      <c r="CI244" s="1892">
        <f>SUM(CE244:CH244)</f>
        <v>5649.3053118866719</v>
      </c>
      <c r="CJ244" s="1891">
        <f>CE244*(1+CJ246)</f>
        <v>2366.3794244166261</v>
      </c>
      <c r="CK244" s="1891">
        <f>CF244*(1+CK246)</f>
        <v>1340.1137309868009</v>
      </c>
      <c r="CL244" s="1891">
        <f>CG244*(1+CL246)</f>
        <v>1283.0548034304002</v>
      </c>
      <c r="CM244" s="1891">
        <f>CH244*(1+CM246)</f>
        <v>1239.8750744688004</v>
      </c>
      <c r="CN244" s="1892">
        <f>SUM(CJ244:CM244)</f>
        <v>6229.423033302628</v>
      </c>
      <c r="CO244" s="1891">
        <f>CJ244*(1+CO246)</f>
        <v>2818.5378343790449</v>
      </c>
      <c r="CP244" s="1891">
        <f>CK244*(1+CP246)</f>
        <v>1393.718280226273</v>
      </c>
      <c r="CQ244" s="1891">
        <f>CL244*(1+CQ246)</f>
        <v>1334.3769955676162</v>
      </c>
      <c r="CR244" s="1891">
        <f>CM244*(1+CR246)</f>
        <v>1289.4700774475525</v>
      </c>
      <c r="CS244" s="1892">
        <f>SUM(CO244:CR244)</f>
        <v>6836.1031876204861</v>
      </c>
      <c r="CT244" s="1891">
        <f>CO244*(1+CT246)</f>
        <v>3328.9075045038353</v>
      </c>
      <c r="CU244" s="1891">
        <f>CP244*(1+CU246)</f>
        <v>1435.5298286330612</v>
      </c>
      <c r="CV244" s="1891">
        <f>CQ244*(1+CV246)</f>
        <v>1374.4083054346447</v>
      </c>
      <c r="CW244" s="1891">
        <f>CR244*(1+CW246)</f>
        <v>1328.1541797709792</v>
      </c>
      <c r="CX244" s="1892">
        <f>SUM(CT244:CW244)</f>
        <v>7466.9998183425214</v>
      </c>
      <c r="CY244" s="1893"/>
      <c r="CZ244" s="1893"/>
      <c r="DA244" s="1893">
        <f>IS!FS13</f>
        <v>2344</v>
      </c>
      <c r="DB244" s="1893">
        <f>IS!FT13</f>
        <v>4681</v>
      </c>
      <c r="DC244" s="1893">
        <f>IS!FU13</f>
        <v>4603</v>
      </c>
      <c r="DD244" s="1893">
        <f>IS!FV13</f>
        <v>5319</v>
      </c>
      <c r="DE244" s="1893">
        <f>IS!FW13</f>
        <v>2794</v>
      </c>
      <c r="DF244" s="1893">
        <f>IS!FX13</f>
        <v>2074</v>
      </c>
      <c r="DG244" s="1893">
        <f>IS!FY13</f>
        <v>2394</v>
      </c>
      <c r="DH244" s="1766">
        <f>IS!FZ13</f>
        <v>2772</v>
      </c>
      <c r="DI244" s="1762">
        <f>SUM(BC244:BD244,BF244:BG244)</f>
        <v>3008</v>
      </c>
      <c r="DJ244" s="1766">
        <f>SUM(BH244:BI244,BK244:BL244)</f>
        <v>3463.9</v>
      </c>
      <c r="DK244" s="1894">
        <f>SUM(BM244:BN244,BP244:BQ244)</f>
        <v>3923.7493070301298</v>
      </c>
      <c r="DL244" s="1894">
        <f>SUM(BU244:BV244,BR244:BS244)</f>
        <v>4419.1425080204781</v>
      </c>
      <c r="DM244" s="1892">
        <f>SUM(BW244:BX244,BZ244:CA244)</f>
        <v>4949.3756786042295</v>
      </c>
      <c r="DN244" s="1892">
        <f>SUM(CB244:CC244,CE244:CF244)</f>
        <v>5513.2983103826718</v>
      </c>
      <c r="DO244" s="1892"/>
      <c r="DP244" s="1892"/>
      <c r="DQ244" s="1892"/>
      <c r="DR244" s="1993"/>
    </row>
    <row r="245" spans="1:122" hidden="1" outlineLevel="2">
      <c r="A245" s="1760" t="s">
        <v>162</v>
      </c>
      <c r="B245" s="1895">
        <f t="shared" ref="B245:AG245" si="376">B244/B297</f>
        <v>5.2446855182866028E-2</v>
      </c>
      <c r="C245" s="1785">
        <f t="shared" si="376"/>
        <v>5.6807051909892263E-2</v>
      </c>
      <c r="D245" s="1785">
        <f t="shared" si="376"/>
        <v>4.8055806743314819E-2</v>
      </c>
      <c r="E245" s="1785">
        <f t="shared" si="376"/>
        <v>5.5762594893029677E-2</v>
      </c>
      <c r="F245" s="1785">
        <f t="shared" si="376"/>
        <v>6.1629670481180204E-2</v>
      </c>
      <c r="G245" s="1774">
        <f t="shared" si="376"/>
        <v>5.5385157764851048E-2</v>
      </c>
      <c r="H245" s="1785">
        <f t="shared" si="376"/>
        <v>5.5125225923057061E-2</v>
      </c>
      <c r="I245" s="1785">
        <f t="shared" si="376"/>
        <v>5.3740779768177031E-2</v>
      </c>
      <c r="J245" s="1785">
        <f t="shared" si="376"/>
        <v>6.4837268666241218E-2</v>
      </c>
      <c r="K245" s="1785">
        <f t="shared" si="376"/>
        <v>6.9311841289522627E-2</v>
      </c>
      <c r="L245" s="1774">
        <f t="shared" si="376"/>
        <v>6.0676670705564359E-2</v>
      </c>
      <c r="M245" s="1785">
        <f t="shared" si="376"/>
        <v>5.9768715763846625E-2</v>
      </c>
      <c r="N245" s="1785">
        <f t="shared" si="376"/>
        <v>5.3777208706786171E-2</v>
      </c>
      <c r="O245" s="1785">
        <f t="shared" si="376"/>
        <v>6.4414168937329694E-2</v>
      </c>
      <c r="P245" s="1785">
        <f t="shared" si="376"/>
        <v>6.3280241067585022E-2</v>
      </c>
      <c r="Q245" s="1774">
        <f t="shared" si="376"/>
        <v>6.016017374779422E-2</v>
      </c>
      <c r="R245" s="1785">
        <f t="shared" si="376"/>
        <v>6.0833605397758186E-2</v>
      </c>
      <c r="S245" s="1785">
        <f t="shared" si="376"/>
        <v>5.6017748197448695E-2</v>
      </c>
      <c r="T245" s="1785">
        <f t="shared" si="376"/>
        <v>6.0395010395010398E-2</v>
      </c>
      <c r="U245" s="1785">
        <f t="shared" si="376"/>
        <v>5.8852475150083655E-2</v>
      </c>
      <c r="V245" s="1774">
        <f t="shared" si="376"/>
        <v>5.8912234844676788E-2</v>
      </c>
      <c r="W245" s="1785">
        <f t="shared" si="376"/>
        <v>5.7899599630428088E-2</v>
      </c>
      <c r="X245" s="1785">
        <f t="shared" si="376"/>
        <v>5.0177394830207805E-2</v>
      </c>
      <c r="Y245" s="1785">
        <f t="shared" si="376"/>
        <v>5.1463168516649851E-2</v>
      </c>
      <c r="Z245" s="1785">
        <f t="shared" si="376"/>
        <v>4.9127562256479754E-2</v>
      </c>
      <c r="AA245" s="1774">
        <f t="shared" si="376"/>
        <v>5.1912568306010931E-2</v>
      </c>
      <c r="AB245" s="1785">
        <f t="shared" si="376"/>
        <v>4.9856627509018592E-2</v>
      </c>
      <c r="AC245" s="1785">
        <f t="shared" si="376"/>
        <v>4.9752830489555096E-2</v>
      </c>
      <c r="AD245" s="1785">
        <f t="shared" si="376"/>
        <v>4.3269898597027366E-2</v>
      </c>
      <c r="AE245" s="1785">
        <f t="shared" si="376"/>
        <v>5.1454640640191458E-2</v>
      </c>
      <c r="AF245" s="1774">
        <f t="shared" si="376"/>
        <v>4.8394037791948674E-2</v>
      </c>
      <c r="AG245" s="1785">
        <f t="shared" si="376"/>
        <v>4.8757448045342246E-2</v>
      </c>
      <c r="AH245" s="1785">
        <f t="shared" ref="AH245:BM245" si="377">AH244/AH297</f>
        <v>5.272805034520682E-2</v>
      </c>
      <c r="AI245" s="1785">
        <f t="shared" si="377"/>
        <v>5.8322955583229558E-2</v>
      </c>
      <c r="AJ245" s="1785">
        <f t="shared" si="377"/>
        <v>5.2914062006693185E-2</v>
      </c>
      <c r="AK245" s="1774">
        <f t="shared" si="377"/>
        <v>5.3210857332009268E-2</v>
      </c>
      <c r="AL245" s="1785">
        <f t="shared" si="377"/>
        <v>3.4127879954850275E-2</v>
      </c>
      <c r="AM245" s="1785">
        <f t="shared" si="377"/>
        <v>3.6021408382945458E-2</v>
      </c>
      <c r="AN245" s="1785">
        <f t="shared" si="377"/>
        <v>3.7148300117233295E-2</v>
      </c>
      <c r="AO245" s="1785">
        <f t="shared" si="377"/>
        <v>3.8247194442323842E-2</v>
      </c>
      <c r="AP245" s="1774">
        <f t="shared" si="377"/>
        <v>3.6295497715488477E-2</v>
      </c>
      <c r="AQ245" s="1785">
        <f t="shared" si="377"/>
        <v>3.7693498452012385E-2</v>
      </c>
      <c r="AR245" s="1785">
        <f t="shared" si="377"/>
        <v>3.0438439701398382E-2</v>
      </c>
      <c r="AS245" s="1785">
        <f t="shared" si="377"/>
        <v>3.9026408329311174E-2</v>
      </c>
      <c r="AT245" s="1785">
        <f t="shared" si="377"/>
        <v>3.5413679157054678E-2</v>
      </c>
      <c r="AU245" s="1774">
        <f t="shared" si="377"/>
        <v>3.5209013507457906E-2</v>
      </c>
      <c r="AV245" s="1785">
        <f t="shared" si="377"/>
        <v>3.377585674590923E-2</v>
      </c>
      <c r="AW245" s="1785">
        <f t="shared" si="377"/>
        <v>3.5733974840876058E-2</v>
      </c>
      <c r="AX245" s="1785">
        <f t="shared" si="377"/>
        <v>4.0601412223033845E-2</v>
      </c>
      <c r="AY245" s="1785">
        <f t="shared" si="377"/>
        <v>3.9158236128770708E-2</v>
      </c>
      <c r="AZ245" s="1774">
        <f t="shared" si="377"/>
        <v>3.7274039539363216E-2</v>
      </c>
      <c r="BA245" s="1785">
        <f t="shared" si="377"/>
        <v>3.6898457287589226E-2</v>
      </c>
      <c r="BB245" s="1785">
        <f t="shared" si="377"/>
        <v>3.7538903519272207E-2</v>
      </c>
      <c r="BC245" s="1785">
        <f t="shared" si="377"/>
        <v>4.0615844200608951E-2</v>
      </c>
      <c r="BD245" s="1785">
        <f t="shared" si="377"/>
        <v>4.0699928013732768E-2</v>
      </c>
      <c r="BE245" s="1774">
        <f t="shared" si="377"/>
        <v>3.8888813531733651E-2</v>
      </c>
      <c r="BF245" s="1785">
        <f t="shared" si="377"/>
        <v>4.3540729635182407E-2</v>
      </c>
      <c r="BG245" s="1785">
        <f t="shared" si="377"/>
        <v>4.0501491424310219E-2</v>
      </c>
      <c r="BH245" s="1785">
        <f t="shared" si="377"/>
        <v>4.0607155058812044E-2</v>
      </c>
      <c r="BI245" s="1785">
        <f t="shared" si="377"/>
        <v>4.0410132689987936E-2</v>
      </c>
      <c r="BJ245" s="1774">
        <f t="shared" si="377"/>
        <v>4.1130907269200635E-2</v>
      </c>
      <c r="BK245" s="1785">
        <f t="shared" si="377"/>
        <v>4.6776096985302003E-2</v>
      </c>
      <c r="BL245" s="1898">
        <f t="shared" si="377"/>
        <v>3.8986092418124729E-2</v>
      </c>
      <c r="BM245" s="1898">
        <f t="shared" si="377"/>
        <v>4.485614860559721E-2</v>
      </c>
      <c r="BN245" s="1785">
        <f t="shared" ref="BN245:CD245" si="378">BN244/BN297</f>
        <v>3.7823967154221198E-2</v>
      </c>
      <c r="BO245" s="1774">
        <f t="shared" si="378"/>
        <v>4.1721298277091534E-2</v>
      </c>
      <c r="BP245" s="1898">
        <f t="shared" si="378"/>
        <v>5.377138424940206E-2</v>
      </c>
      <c r="BQ245" s="1898">
        <f t="shared" si="378"/>
        <v>4.1344996342351607E-2</v>
      </c>
      <c r="BR245" s="1898">
        <f t="shared" si="378"/>
        <v>4.8570073304360709E-2</v>
      </c>
      <c r="BS245" s="1785">
        <f t="shared" si="378"/>
        <v>4.0230770331868733E-2</v>
      </c>
      <c r="BT245" s="1899">
        <f t="shared" si="378"/>
        <v>4.5483951241682176E-2</v>
      </c>
      <c r="BU245" s="1898">
        <f t="shared" si="378"/>
        <v>7.8615593033153672E-2</v>
      </c>
      <c r="BV245" s="1898">
        <f t="shared" si="378"/>
        <v>5.2604302841246856E-2</v>
      </c>
      <c r="BW245" s="1898">
        <f t="shared" si="378"/>
        <v>6.1618418532299969E-2</v>
      </c>
      <c r="BX245" s="1898">
        <f t="shared" si="378"/>
        <v>4.8739568960037151E-2</v>
      </c>
      <c r="BY245" s="1899">
        <f t="shared" si="378"/>
        <v>5.9287904511761441E-2</v>
      </c>
      <c r="BZ245" s="1898">
        <f t="shared" si="378"/>
        <v>9.0760885446309822E-2</v>
      </c>
      <c r="CA245" s="1898">
        <f t="shared" si="378"/>
        <v>5.3833882105245291E-2</v>
      </c>
      <c r="CB245" s="1898">
        <f t="shared" si="378"/>
        <v>6.3002055460336617E-2</v>
      </c>
      <c r="CC245" s="1898">
        <f t="shared" si="378"/>
        <v>4.9815456508198019E-2</v>
      </c>
      <c r="CD245" s="1899">
        <f t="shared" si="378"/>
        <v>6.2972638257521849E-2</v>
      </c>
      <c r="CE245" s="1898">
        <f t="shared" ref="CE245:CI245" si="379">CE244/CE297</f>
        <v>8.5057019373299722E-2</v>
      </c>
      <c r="CF245" s="1898">
        <f t="shared" si="379"/>
        <v>4.7587609827276597E-2</v>
      </c>
      <c r="CG245" s="1898">
        <f t="shared" si="379"/>
        <v>5.446237383746861E-2</v>
      </c>
      <c r="CH245" s="1898" t="e">
        <f t="shared" si="379"/>
        <v>#REF!</v>
      </c>
      <c r="CI245" s="1899" t="e">
        <f t="shared" si="379"/>
        <v>#REF!</v>
      </c>
      <c r="CJ245" s="1898">
        <f t="shared" ref="CJ245:CS245" si="380">CJ244/CJ297</f>
        <v>9.9990161744824585E-2</v>
      </c>
      <c r="CK245" s="1898">
        <f t="shared" si="380"/>
        <v>4.8872383146283463E-2</v>
      </c>
      <c r="CL245" s="1898">
        <f t="shared" si="380"/>
        <v>6.6975651283926838E-2</v>
      </c>
      <c r="CM245" s="1898" t="e">
        <f t="shared" si="380"/>
        <v>#REF!</v>
      </c>
      <c r="CN245" s="1899" t="e">
        <f t="shared" si="380"/>
        <v>#REF!</v>
      </c>
      <c r="CO245" s="1898">
        <f t="shared" si="380"/>
        <v>0.11376102142584343</v>
      </c>
      <c r="CP245" s="1898">
        <f t="shared" si="380"/>
        <v>4.9435400173522284E-2</v>
      </c>
      <c r="CQ245" s="1898">
        <f t="shared" si="380"/>
        <v>3.4041494165691598E-2</v>
      </c>
      <c r="CR245" s="1898" t="e">
        <f t="shared" si="380"/>
        <v>#REF!</v>
      </c>
      <c r="CS245" s="1899" t="e">
        <f t="shared" si="380"/>
        <v>#REF!</v>
      </c>
      <c r="CT245" s="1898">
        <f t="shared" ref="CT245:CX245" si="381">CT244/CT297</f>
        <v>0.12883350887416978</v>
      </c>
      <c r="CU245" s="1898">
        <f t="shared" si="381"/>
        <v>4.9761902442377194E-2</v>
      </c>
      <c r="CV245" s="1898">
        <f t="shared" si="381"/>
        <v>3.5022839141465832E-2</v>
      </c>
      <c r="CW245" s="1898" t="e">
        <f t="shared" si="381"/>
        <v>#REF!</v>
      </c>
      <c r="CX245" s="1899" t="e">
        <f t="shared" si="381"/>
        <v>#REF!</v>
      </c>
      <c r="CY245" s="1900"/>
      <c r="CZ245" s="1900"/>
      <c r="DA245" s="1900"/>
      <c r="DB245" s="1900"/>
      <c r="DC245" s="1900"/>
      <c r="DD245" s="1900"/>
      <c r="DE245" s="1900"/>
      <c r="DF245" s="1900"/>
      <c r="DG245" s="1900"/>
      <c r="DH245" s="1773"/>
      <c r="DI245" s="1774"/>
      <c r="DJ245" s="1773"/>
      <c r="DK245" s="1901"/>
      <c r="DL245" s="1901"/>
      <c r="DM245" s="1899"/>
      <c r="DN245" s="1899"/>
      <c r="DO245" s="1899"/>
      <c r="DP245" s="1899"/>
      <c r="DQ245" s="1899"/>
      <c r="DR245" s="1898"/>
    </row>
    <row r="246" spans="1:122" hidden="1" outlineLevel="2">
      <c r="A246" s="1760" t="s">
        <v>163</v>
      </c>
      <c r="B246" s="1895"/>
      <c r="C246" s="1785"/>
      <c r="D246" s="1785"/>
      <c r="E246" s="1785"/>
      <c r="F246" s="1785"/>
      <c r="G246" s="1774">
        <f t="shared" ref="G246:AL246" si="382">G244/B244-1</f>
        <v>0.19467680608365012</v>
      </c>
      <c r="H246" s="1785">
        <f t="shared" si="382"/>
        <v>0.22701149425287359</v>
      </c>
      <c r="I246" s="1785">
        <f t="shared" si="382"/>
        <v>0.2338709677419355</v>
      </c>
      <c r="J246" s="1785">
        <f t="shared" si="382"/>
        <v>0.25742574257425743</v>
      </c>
      <c r="K246" s="1785">
        <f t="shared" si="382"/>
        <v>0.2505592841163311</v>
      </c>
      <c r="L246" s="1774">
        <f t="shared" si="382"/>
        <v>0.24315722469764478</v>
      </c>
      <c r="M246" s="1785">
        <f t="shared" si="382"/>
        <v>0.14988290398126458</v>
      </c>
      <c r="N246" s="1785">
        <f t="shared" si="382"/>
        <v>0.18954248366013071</v>
      </c>
      <c r="O246" s="1785">
        <f t="shared" si="382"/>
        <v>0.16338582677165348</v>
      </c>
      <c r="P246" s="1896">
        <f t="shared" si="382"/>
        <v>5.1878354203935606E-2</v>
      </c>
      <c r="Q246" s="1897">
        <f t="shared" si="382"/>
        <v>0.1346646185355862</v>
      </c>
      <c r="R246" s="1896">
        <f t="shared" si="382"/>
        <v>0.13849287169042768</v>
      </c>
      <c r="S246" s="1896">
        <f t="shared" si="382"/>
        <v>0.10989010989010994</v>
      </c>
      <c r="T246" s="1785">
        <f t="shared" si="382"/>
        <v>-1.6920473773265665E-2</v>
      </c>
      <c r="U246" s="1785">
        <f t="shared" si="382"/>
        <v>1.7006802721088343E-2</v>
      </c>
      <c r="V246" s="1774">
        <f t="shared" si="382"/>
        <v>5.7761732851985492E-2</v>
      </c>
      <c r="W246" s="1896">
        <f t="shared" si="382"/>
        <v>8.9445438282647061E-3</v>
      </c>
      <c r="X246" s="1896">
        <f t="shared" si="382"/>
        <v>-1.980198019801982E-2</v>
      </c>
      <c r="Y246" s="1896">
        <f t="shared" si="382"/>
        <v>-3.4423407917383853E-2</v>
      </c>
      <c r="Z246" s="1785">
        <f t="shared" si="382"/>
        <v>-3.0100334448160515E-2</v>
      </c>
      <c r="AA246" s="1774">
        <f t="shared" si="382"/>
        <v>-1.9197952218430014E-2</v>
      </c>
      <c r="AB246" s="1896">
        <f t="shared" si="382"/>
        <v>-4.4326241134751809E-2</v>
      </c>
      <c r="AC246" s="1896">
        <f t="shared" si="382"/>
        <v>5.0505050505050608E-2</v>
      </c>
      <c r="AD246" s="1896">
        <f t="shared" si="382"/>
        <v>0.11051693404634588</v>
      </c>
      <c r="AE246" s="1896">
        <f t="shared" si="382"/>
        <v>0.18620689655172407</v>
      </c>
      <c r="AF246" s="1774">
        <f t="shared" si="382"/>
        <v>7.6120052196607224E-2</v>
      </c>
      <c r="AG246" s="1896">
        <f t="shared" si="382"/>
        <v>0.24489795918367352</v>
      </c>
      <c r="AH246" s="1896">
        <f t="shared" si="382"/>
        <v>0.38301282051282048</v>
      </c>
      <c r="AI246" s="1896">
        <f t="shared" si="382"/>
        <v>0.3531300160513644</v>
      </c>
      <c r="AJ246" s="1896">
        <f t="shared" si="382"/>
        <v>0.21802325581395343</v>
      </c>
      <c r="AK246" s="1774">
        <f t="shared" si="382"/>
        <v>0.29951495553759089</v>
      </c>
      <c r="AL246" s="1896">
        <f t="shared" si="382"/>
        <v>-0.23397913561847983</v>
      </c>
      <c r="AM246" s="1896">
        <f t="shared" ref="AM246:BK246" si="383">AM244/AH244-1</f>
        <v>-0.30590961761297797</v>
      </c>
      <c r="AN246" s="1896">
        <f t="shared" si="383"/>
        <v>-0.39857651245551606</v>
      </c>
      <c r="AO246" s="1896">
        <f t="shared" si="383"/>
        <v>-0.40214797136038183</v>
      </c>
      <c r="AP246" s="1774">
        <f t="shared" si="383"/>
        <v>-0.34027993779160182</v>
      </c>
      <c r="AQ246" s="1896">
        <f t="shared" si="383"/>
        <v>-5.2529182879377467E-2</v>
      </c>
      <c r="AR246" s="1896">
        <f t="shared" si="383"/>
        <v>-3.3388981636060078E-2</v>
      </c>
      <c r="AS246" s="1896">
        <f t="shared" si="383"/>
        <v>0.11637080867850091</v>
      </c>
      <c r="AT246" s="1896">
        <f t="shared" si="383"/>
        <v>0.1337325349301397</v>
      </c>
      <c r="AU246" s="1774">
        <f t="shared" si="383"/>
        <v>3.7246581801037237E-2</v>
      </c>
      <c r="AV246" s="1896">
        <f t="shared" si="383"/>
        <v>0.12320328542094461</v>
      </c>
      <c r="AW246" s="1896">
        <f t="shared" si="383"/>
        <v>0.23143350604490509</v>
      </c>
      <c r="AX246" s="1896">
        <f t="shared" si="383"/>
        <v>0.17844522968197873</v>
      </c>
      <c r="AY246" s="1896">
        <f t="shared" si="383"/>
        <v>0.19718309859154926</v>
      </c>
      <c r="AZ246" s="1774">
        <f t="shared" si="383"/>
        <v>0.18500000000000005</v>
      </c>
      <c r="BA246" s="1896">
        <f t="shared" si="383"/>
        <v>0.17184643510054842</v>
      </c>
      <c r="BB246" s="1896">
        <f t="shared" si="383"/>
        <v>9.9579242636746113E-2</v>
      </c>
      <c r="BC246" s="1896">
        <f t="shared" si="383"/>
        <v>5.9970014992503762E-2</v>
      </c>
      <c r="BD246" s="1896">
        <f t="shared" si="383"/>
        <v>8.0882352941176405E-2</v>
      </c>
      <c r="BE246" s="1774">
        <f t="shared" si="383"/>
        <v>9.9731492136555522E-2</v>
      </c>
      <c r="BF246" s="1896">
        <f t="shared" si="383"/>
        <v>8.736349453978165E-2</v>
      </c>
      <c r="BG246" s="1896">
        <f t="shared" si="383"/>
        <v>0.10841836734693877</v>
      </c>
      <c r="BH246" s="1896">
        <f t="shared" si="383"/>
        <v>0.1768033946251768</v>
      </c>
      <c r="BI246" s="1896">
        <f t="shared" si="383"/>
        <v>9.3877551020408179E-2</v>
      </c>
      <c r="BJ246" s="1774">
        <f>BJ244/BE244-1</f>
        <v>0.11684687826996853</v>
      </c>
      <c r="BK246" s="1896">
        <f t="shared" si="383"/>
        <v>0.25107604017216634</v>
      </c>
      <c r="BL246" s="1898">
        <v>0.1</v>
      </c>
      <c r="BM246" s="1898">
        <v>0.1</v>
      </c>
      <c r="BN246" s="1896">
        <v>0.1</v>
      </c>
      <c r="BO246" s="1774">
        <f>BO244/BJ244-1</f>
        <v>0.13288569643972536</v>
      </c>
      <c r="BP246" s="1898">
        <f>BK246-1%</f>
        <v>0.24107604017216633</v>
      </c>
      <c r="BQ246" s="1898">
        <f>BL246-1%</f>
        <v>9.0000000000000011E-2</v>
      </c>
      <c r="BR246" s="1898">
        <f>BM246-1%</f>
        <v>9.0000000000000011E-2</v>
      </c>
      <c r="BS246" s="1896">
        <f>BN246-1%</f>
        <v>9.0000000000000011E-2</v>
      </c>
      <c r="BT246" s="1899">
        <f>BT244/BO244-1</f>
        <v>0.12631655603862968</v>
      </c>
      <c r="BU246" s="1898">
        <f>BP246-1%</f>
        <v>0.23107604017216632</v>
      </c>
      <c r="BV246" s="1898">
        <f>BQ246-1%</f>
        <v>8.0000000000000016E-2</v>
      </c>
      <c r="BW246" s="1898">
        <f>BR246-1%</f>
        <v>8.0000000000000016E-2</v>
      </c>
      <c r="BX246" s="1898">
        <f>BS246-1%</f>
        <v>8.0000000000000016E-2</v>
      </c>
      <c r="BY246" s="1899">
        <f>BY244/BT244-1</f>
        <v>0.12001682059938301</v>
      </c>
      <c r="BZ246" s="1898">
        <f>BU246-1%</f>
        <v>0.22107604017216631</v>
      </c>
      <c r="CA246" s="1898">
        <f>BV246-1%</f>
        <v>7.0000000000000021E-2</v>
      </c>
      <c r="CB246" s="1898">
        <f>BW246-1%</f>
        <v>7.0000000000000021E-2</v>
      </c>
      <c r="CC246" s="1898">
        <f>BX246-1%</f>
        <v>7.0000000000000021E-2</v>
      </c>
      <c r="CD246" s="1899">
        <f>CD244/BY244-1</f>
        <v>0.11398482963622381</v>
      </c>
      <c r="CE246" s="1898">
        <f>BZ246-1%</f>
        <v>0.2110760401721663</v>
      </c>
      <c r="CF246" s="1898">
        <f>CA246-1%</f>
        <v>6.0000000000000019E-2</v>
      </c>
      <c r="CG246" s="1898">
        <f>CB246-1%</f>
        <v>6.0000000000000019E-2</v>
      </c>
      <c r="CH246" s="1898">
        <f>CC246-1%</f>
        <v>6.0000000000000019E-2</v>
      </c>
      <c r="CI246" s="1899">
        <f>CI244/CD244-1</f>
        <v>0.10821324327853366</v>
      </c>
      <c r="CJ246" s="1898">
        <f>CE246-1%</f>
        <v>0.20107604017216629</v>
      </c>
      <c r="CK246" s="1898">
        <f>CF246-1%</f>
        <v>5.0000000000000017E-2</v>
      </c>
      <c r="CL246" s="1898">
        <f>CG246-1%</f>
        <v>5.0000000000000017E-2</v>
      </c>
      <c r="CM246" s="1898">
        <f>CH246-1%</f>
        <v>5.0000000000000017E-2</v>
      </c>
      <c r="CN246" s="1899">
        <f>CN244/CI244-1</f>
        <v>0.10268832881015189</v>
      </c>
      <c r="CO246" s="1898">
        <f>CJ246-1%</f>
        <v>0.19107604017216628</v>
      </c>
      <c r="CP246" s="1898">
        <f>CK246-1%</f>
        <v>4.0000000000000015E-2</v>
      </c>
      <c r="CQ246" s="1898">
        <f>CL246-1%</f>
        <v>4.0000000000000015E-2</v>
      </c>
      <c r="CR246" s="1898">
        <f>CM246-1%</f>
        <v>4.0000000000000015E-2</v>
      </c>
      <c r="CS246" s="1899">
        <f>CS244/CN244-1</f>
        <v>9.7389461443625258E-2</v>
      </c>
      <c r="CT246" s="1898">
        <f>CO246-1%</f>
        <v>0.18107604017216627</v>
      </c>
      <c r="CU246" s="1898">
        <f>CP246-1%</f>
        <v>3.0000000000000013E-2</v>
      </c>
      <c r="CV246" s="1898">
        <f>CQ246-1%</f>
        <v>3.0000000000000013E-2</v>
      </c>
      <c r="CW246" s="1898">
        <f>CR246-1%</f>
        <v>3.0000000000000013E-2</v>
      </c>
      <c r="CX246" s="1899">
        <f>CX244/CS244-1</f>
        <v>9.2288927391342979E-2</v>
      </c>
      <c r="CY246" s="1900"/>
      <c r="CZ246" s="1900"/>
      <c r="DA246" s="1900"/>
      <c r="DB246" s="1900">
        <f t="shared" ref="DB246:DH246" si="384">DB244/DA244-1</f>
        <v>0.99701365187713309</v>
      </c>
      <c r="DC246" s="1900">
        <f t="shared" si="384"/>
        <v>-1.6663106173894437E-2</v>
      </c>
      <c r="DD246" s="1900">
        <f t="shared" si="384"/>
        <v>0.15555072778622647</v>
      </c>
      <c r="DE246" s="1900">
        <f t="shared" si="384"/>
        <v>-0.47471329197217527</v>
      </c>
      <c r="DF246" s="1900">
        <f t="shared" si="384"/>
        <v>-0.25769506084466709</v>
      </c>
      <c r="DG246" s="1900">
        <f t="shared" si="384"/>
        <v>0.15429122468659595</v>
      </c>
      <c r="DH246" s="1773">
        <f t="shared" si="384"/>
        <v>0.15789473684210531</v>
      </c>
      <c r="DI246" s="1774">
        <f t="shared" ref="DI246:DN246" si="385">DI244/DH244-1</f>
        <v>8.5137085137085178E-2</v>
      </c>
      <c r="DJ246" s="1773">
        <f t="shared" si="385"/>
        <v>0.15156250000000004</v>
      </c>
      <c r="DK246" s="1901">
        <f t="shared" si="385"/>
        <v>0.13275478709839472</v>
      </c>
      <c r="DL246" s="1901">
        <f t="shared" si="385"/>
        <v>0.12625505918605939</v>
      </c>
      <c r="DM246" s="1899">
        <f t="shared" si="385"/>
        <v>0.11998553330683737</v>
      </c>
      <c r="DN246" s="1899">
        <f t="shared" si="385"/>
        <v>0.11393813450375911</v>
      </c>
      <c r="DO246" s="1899"/>
      <c r="DP246" s="1899"/>
      <c r="DQ246" s="1899"/>
      <c r="DR246" s="1898"/>
    </row>
    <row r="247" spans="1:122" hidden="1" outlineLevel="2">
      <c r="A247" s="1760" t="s">
        <v>667</v>
      </c>
      <c r="B247" s="1895"/>
      <c r="C247" s="1785"/>
      <c r="D247" s="1785"/>
      <c r="E247" s="1785"/>
      <c r="F247" s="1785"/>
      <c r="G247" s="1774"/>
      <c r="H247" s="1785">
        <f>H244/F244-1</f>
        <v>-4.4742729306487705E-2</v>
      </c>
      <c r="I247" s="1785">
        <f>I244/H244-1</f>
        <v>7.4941451990632402E-2</v>
      </c>
      <c r="J247" s="1785">
        <f>J244/I244-1</f>
        <v>0.10675381263616557</v>
      </c>
      <c r="K247" s="1785">
        <f>K244/J244-1</f>
        <v>0.10039370078740162</v>
      </c>
      <c r="L247" s="1774"/>
      <c r="M247" s="1785">
        <f>M244/K244-1</f>
        <v>-0.12164579606440074</v>
      </c>
      <c r="N247" s="1785">
        <f>N244/M244-1</f>
        <v>0.11201629327902229</v>
      </c>
      <c r="O247" s="1785">
        <f>O244/N244-1</f>
        <v>8.2417582417582347E-2</v>
      </c>
      <c r="P247" s="1785">
        <f>P244/O244-1</f>
        <v>-5.0761421319797106E-3</v>
      </c>
      <c r="Q247" s="1897"/>
      <c r="R247" s="1785">
        <f>R244/P244-1</f>
        <v>-4.9319727891156462E-2</v>
      </c>
      <c r="S247" s="1785">
        <f>S244/R244-1</f>
        <v>8.4078711985688726E-2</v>
      </c>
      <c r="T247" s="1785">
        <f>T244/S244-1</f>
        <v>-4.1254125412541254E-2</v>
      </c>
      <c r="U247" s="1785">
        <f>U244/T244-1</f>
        <v>2.9259896729776358E-2</v>
      </c>
      <c r="V247" s="1774"/>
      <c r="W247" s="1785">
        <f>W244/U244-1</f>
        <v>-5.6856187290969862E-2</v>
      </c>
      <c r="X247" s="1785">
        <f>X244/W244-1</f>
        <v>5.3191489361702038E-2</v>
      </c>
      <c r="Y247" s="1785">
        <f>Y244/X244-1</f>
        <v>-5.555555555555558E-2</v>
      </c>
      <c r="Z247" s="1785">
        <f>Z244/Y244-1</f>
        <v>3.3868092691622165E-2</v>
      </c>
      <c r="AA247" s="1774"/>
      <c r="AB247" s="1785">
        <f>AB244/Z244-1</f>
        <v>-7.0689655172413768E-2</v>
      </c>
      <c r="AC247" s="1785">
        <f>AC244/AB244-1</f>
        <v>0.1576994434137291</v>
      </c>
      <c r="AD247" s="1785">
        <f>AD244/AC244-1</f>
        <v>-1.6025641025640969E-3</v>
      </c>
      <c r="AE247" s="1785">
        <f>AE244/AD244-1</f>
        <v>0.1043338683788122</v>
      </c>
      <c r="AF247" s="1774"/>
      <c r="AG247" s="1785">
        <f>AG244/AE244-1</f>
        <v>-2.4709302325581439E-2</v>
      </c>
      <c r="AH247" s="1785">
        <f>AH244/AG244-1</f>
        <v>0.286140089418778</v>
      </c>
      <c r="AI247" s="1785">
        <f>AI244/AH244-1</f>
        <v>-2.3174971031286185E-2</v>
      </c>
      <c r="AJ247" s="1785">
        <f>AJ244/AI244-1</f>
        <v>-5.9311981020165883E-3</v>
      </c>
      <c r="AK247" s="1774"/>
      <c r="AL247" s="1785">
        <f>AL244/AJ244-1</f>
        <v>-0.38663484486873512</v>
      </c>
      <c r="AM247" s="1785">
        <f>AM244/AL244-1</f>
        <v>0.16536964980544755</v>
      </c>
      <c r="AN247" s="1785">
        <f>AN244/AM244-1</f>
        <v>-0.15358931552587651</v>
      </c>
      <c r="AO247" s="1785">
        <f>AO244/AN244-1</f>
        <v>-1.1834319526627168E-2</v>
      </c>
      <c r="AP247" s="1774"/>
      <c r="AQ247" s="1785">
        <f>AQ244/AO244-1</f>
        <v>-2.7944111776447067E-2</v>
      </c>
      <c r="AR247" s="1785">
        <f>AR244/AO244-1</f>
        <v>0.15568862275449091</v>
      </c>
      <c r="AS247" s="1785">
        <f>AS244/AR244-1</f>
        <v>-2.2452504317789335E-2</v>
      </c>
      <c r="AT247" s="1785">
        <f>AT244/AS244-1</f>
        <v>3.5335689045936647E-3</v>
      </c>
      <c r="AU247" s="1774"/>
      <c r="AV247" s="1785">
        <f>AV244/AT244-1</f>
        <v>-3.6971830985915499E-2</v>
      </c>
      <c r="AW247" s="1785">
        <f>AW244/AV244-1</f>
        <v>0.30347349177330907</v>
      </c>
      <c r="AX247" s="1785">
        <f>AX244/AW244-1</f>
        <v>-6.4516129032258118E-2</v>
      </c>
      <c r="AY247" s="1785">
        <f>AY244/AX244-1</f>
        <v>1.9490254872563728E-2</v>
      </c>
      <c r="AZ247" s="1774"/>
      <c r="BA247" s="1785">
        <f>BA244/AY244-1</f>
        <v>-5.7352941176470607E-2</v>
      </c>
      <c r="BB247" s="1785">
        <f>BB244/BA244-1</f>
        <v>0.22308892355694221</v>
      </c>
      <c r="BC247" s="1785">
        <f>BC244/BB244-1</f>
        <v>-9.8214285714285698E-2</v>
      </c>
      <c r="BD247" s="1785">
        <f>BD244/BC244-1</f>
        <v>3.9603960396039639E-2</v>
      </c>
      <c r="BE247" s="1774"/>
      <c r="BF247" s="1785">
        <f>BF244/BD244-1</f>
        <v>-5.1700680272108834E-2</v>
      </c>
      <c r="BG247" s="1785">
        <f>BG244/BF244-1</f>
        <v>0.24677187948350077</v>
      </c>
      <c r="BH247" s="1785">
        <f>BH244/BG244-1</f>
        <v>-4.2577675489067879E-2</v>
      </c>
      <c r="BI247" s="1785">
        <f>BI244/BH244-1</f>
        <v>-3.3653846153846145E-2</v>
      </c>
      <c r="BJ247" s="1774"/>
      <c r="BK247" s="1785">
        <f>BK244/BI244-1</f>
        <v>8.4577114427860645E-2</v>
      </c>
      <c r="BL247" s="1898">
        <f>BL244/BK244-1</f>
        <v>9.6215596330275321E-2</v>
      </c>
      <c r="BM247" s="1898">
        <f>BM244/BL244-1</f>
        <v>-4.257767548906799E-2</v>
      </c>
      <c r="BN247" s="1785">
        <f>BN244/BM244-1</f>
        <v>-3.3653846153846145E-2</v>
      </c>
      <c r="BO247" s="1774"/>
      <c r="BP247" s="1898">
        <f>BP244/BN244-1</f>
        <v>0.22367515494134871</v>
      </c>
      <c r="BQ247" s="1898">
        <f>BQ244/BP244-1</f>
        <v>-3.7226599077488265E-2</v>
      </c>
      <c r="BR247" s="1898">
        <f>BR244/BQ244-1</f>
        <v>-4.2577675489068101E-2</v>
      </c>
      <c r="BS247" s="1785">
        <f>BS244/BR244-1</f>
        <v>-3.3653846153846034E-2</v>
      </c>
      <c r="BT247" s="1899"/>
      <c r="BU247" s="1898">
        <f>BU244/BS244-1</f>
        <v>0.38205244422225459</v>
      </c>
      <c r="BV247" s="1898">
        <f>BV244/BU244-1</f>
        <v>-0.15537689056892279</v>
      </c>
      <c r="BW247" s="1898">
        <f>BW244/BV244-1</f>
        <v>-4.2577675489068212E-2</v>
      </c>
      <c r="BX247" s="1898">
        <f>BX244/BW244-1</f>
        <v>-3.3653846153845923E-2</v>
      </c>
      <c r="BY247" s="1899"/>
      <c r="BZ247" s="1898">
        <f>BZ244/BX244-1</f>
        <v>0.56258437583442067</v>
      </c>
      <c r="CA247" s="1898">
        <f>CA244/BZ244-1</f>
        <v>-0.25987678296936489</v>
      </c>
      <c r="CB247" s="1898">
        <f>CB244/CA244-1</f>
        <v>-4.2577675489068323E-2</v>
      </c>
      <c r="CC247" s="1898">
        <f>CC244/CB244-1</f>
        <v>-3.3653846153845923E-2</v>
      </c>
      <c r="CD247" s="1899"/>
      <c r="CE247" s="1898">
        <f>CE244/CC244-1</f>
        <v>0.76860607319667862</v>
      </c>
      <c r="CF247" s="1898">
        <f>CF244/CE244-1</f>
        <v>-0.35220367340357539</v>
      </c>
      <c r="CG247" s="1898">
        <f>CG244/CF244-1</f>
        <v>-4.2577675489068434E-2</v>
      </c>
      <c r="CH247" s="1898">
        <f>CH244/CG244-1</f>
        <v>-3.3653846153845812E-2</v>
      </c>
      <c r="CI247" s="1899"/>
      <c r="CJ247" s="1898">
        <f>CJ244/CH244-1</f>
        <v>1.0039909236033124</v>
      </c>
      <c r="CK247" s="1898">
        <f>CK244/CJ244-1</f>
        <v>-0.43368602804802803</v>
      </c>
      <c r="CL247" s="1898">
        <f>CL244/CK244-1</f>
        <v>-4.2577675489068434E-2</v>
      </c>
      <c r="CM247" s="1898">
        <f>CM244/CL244-1</f>
        <v>-3.3653846153845923E-2</v>
      </c>
      <c r="CN247" s="1899"/>
      <c r="CO247" s="1898">
        <f>CO244/CM244-1</f>
        <v>1.2732434036441864</v>
      </c>
      <c r="CP247" s="1898">
        <f>CP244/CO244-1</f>
        <v>-0.50551727096708476</v>
      </c>
      <c r="CQ247" s="1898">
        <f>CQ244/CP244-1</f>
        <v>-4.2577675489068434E-2</v>
      </c>
      <c r="CR247" s="1898">
        <f>CR244/CQ244-1</f>
        <v>-3.3653846153845923E-2</v>
      </c>
      <c r="CS247" s="1899"/>
      <c r="CT247" s="1898">
        <f>CT244/CR244-1</f>
        <v>1.5816089591572817</v>
      </c>
      <c r="CU247" s="1898">
        <f>CU244/CT244-1</f>
        <v>-0.56876848434783311</v>
      </c>
      <c r="CV247" s="1898">
        <f>CV244/CU244-1</f>
        <v>-4.2577675489068434E-2</v>
      </c>
      <c r="CW247" s="1898">
        <f>CW244/CV244-1</f>
        <v>-3.3653846153845812E-2</v>
      </c>
      <c r="CX247" s="1899"/>
      <c r="CY247" s="1900"/>
      <c r="CZ247" s="1900"/>
      <c r="DA247" s="1900"/>
      <c r="DB247" s="1900"/>
      <c r="DC247" s="1900"/>
      <c r="DD247" s="1900"/>
      <c r="DE247" s="1900"/>
      <c r="DF247" s="1900"/>
      <c r="DG247" s="1900"/>
      <c r="DH247" s="1773"/>
      <c r="DI247" s="1774"/>
      <c r="DJ247" s="1773"/>
      <c r="DK247" s="1901"/>
      <c r="DL247" s="1901"/>
      <c r="DM247" s="1899"/>
      <c r="DN247" s="1899"/>
      <c r="DO247" s="1899"/>
      <c r="DP247" s="1899"/>
      <c r="DQ247" s="1899"/>
      <c r="DR247" s="1898"/>
    </row>
    <row r="248" spans="1:122" hidden="1" outlineLevel="3">
      <c r="A248" s="1760" t="s">
        <v>644</v>
      </c>
      <c r="B248" s="1895"/>
      <c r="C248" s="1785"/>
      <c r="D248" s="1785"/>
      <c r="E248" s="1785"/>
      <c r="F248" s="1785"/>
      <c r="G248" s="1774"/>
      <c r="H248" s="1785"/>
      <c r="I248" s="1785"/>
      <c r="J248" s="1785"/>
      <c r="K248" s="1785"/>
      <c r="L248" s="1774"/>
      <c r="M248" s="1889">
        <f t="shared" ref="M248:AR248" si="386">M244-M250</f>
        <v>434</v>
      </c>
      <c r="N248" s="1889">
        <f t="shared" si="386"/>
        <v>641</v>
      </c>
      <c r="O248" s="1889">
        <f t="shared" si="386"/>
        <v>490</v>
      </c>
      <c r="P248" s="1889">
        <f t="shared" si="386"/>
        <v>559</v>
      </c>
      <c r="Q248" s="1801">
        <f t="shared" si="386"/>
        <v>2124</v>
      </c>
      <c r="R248" s="1889">
        <f t="shared" si="386"/>
        <v>480</v>
      </c>
      <c r="S248" s="1889">
        <f t="shared" si="386"/>
        <v>476</v>
      </c>
      <c r="T248" s="1889">
        <f t="shared" si="386"/>
        <v>480</v>
      </c>
      <c r="U248" s="1889">
        <f t="shared" si="386"/>
        <v>497</v>
      </c>
      <c r="V248" s="1801">
        <f t="shared" si="386"/>
        <v>1933</v>
      </c>
      <c r="W248" s="1889">
        <f t="shared" si="386"/>
        <v>485</v>
      </c>
      <c r="X248" s="1889">
        <f t="shared" si="386"/>
        <v>536</v>
      </c>
      <c r="Y248" s="1889">
        <f t="shared" si="386"/>
        <v>585</v>
      </c>
      <c r="Z248" s="1889">
        <f t="shared" si="386"/>
        <v>767</v>
      </c>
      <c r="AA248" s="1801">
        <f t="shared" si="386"/>
        <v>2373</v>
      </c>
      <c r="AB248" s="1889">
        <f t="shared" si="386"/>
        <v>675</v>
      </c>
      <c r="AC248" s="1889">
        <f t="shared" si="386"/>
        <v>779</v>
      </c>
      <c r="AD248" s="1889">
        <f t="shared" si="386"/>
        <v>823</v>
      </c>
      <c r="AE248" s="1889">
        <f t="shared" si="386"/>
        <v>927</v>
      </c>
      <c r="AF248" s="1801">
        <f t="shared" si="386"/>
        <v>3204</v>
      </c>
      <c r="AG248" s="1889">
        <f t="shared" si="386"/>
        <v>935</v>
      </c>
      <c r="AH248" s="1889">
        <f t="shared" si="386"/>
        <v>1110</v>
      </c>
      <c r="AI248" s="1889">
        <f t="shared" si="386"/>
        <v>1071</v>
      </c>
      <c r="AJ248" s="1889">
        <f t="shared" si="386"/>
        <v>1326</v>
      </c>
      <c r="AK248" s="1801">
        <f t="shared" si="386"/>
        <v>4442</v>
      </c>
      <c r="AL248" s="1889">
        <f t="shared" si="386"/>
        <v>840</v>
      </c>
      <c r="AM248" s="1889">
        <f t="shared" si="386"/>
        <v>929</v>
      </c>
      <c r="AN248" s="1889">
        <f t="shared" si="386"/>
        <v>918</v>
      </c>
      <c r="AO248" s="1889">
        <f t="shared" si="386"/>
        <v>1086</v>
      </c>
      <c r="AP248" s="1801">
        <f t="shared" si="386"/>
        <v>3773</v>
      </c>
      <c r="AQ248" s="1890">
        <f t="shared" si="386"/>
        <v>968</v>
      </c>
      <c r="AR248" s="1890">
        <f t="shared" si="386"/>
        <v>1042</v>
      </c>
      <c r="AS248" s="1890">
        <f t="shared" ref="AS248:CD248" si="387">AS244-AS250</f>
        <v>1279</v>
      </c>
      <c r="AT248" s="1890">
        <f t="shared" si="387"/>
        <v>1264</v>
      </c>
      <c r="AU248" s="1801">
        <f t="shared" si="387"/>
        <v>4553</v>
      </c>
      <c r="AV248" s="1890">
        <f t="shared" si="387"/>
        <v>1107</v>
      </c>
      <c r="AW248" s="1890">
        <f t="shared" si="387"/>
        <v>1256</v>
      </c>
      <c r="AX248" s="1890">
        <f t="shared" si="387"/>
        <v>1393</v>
      </c>
      <c r="AY248" s="1890">
        <f t="shared" si="387"/>
        <v>1408</v>
      </c>
      <c r="AZ248" s="1801">
        <f t="shared" si="387"/>
        <v>5164</v>
      </c>
      <c r="BA248" s="1890">
        <f t="shared" si="387"/>
        <v>1155</v>
      </c>
      <c r="BB248" s="1890">
        <f t="shared" si="387"/>
        <v>1243</v>
      </c>
      <c r="BC248" s="1890">
        <f t="shared" si="387"/>
        <v>1187</v>
      </c>
      <c r="BD248" s="1890">
        <f t="shared" si="387"/>
        <v>1214</v>
      </c>
      <c r="BE248" s="1801">
        <f t="shared" si="387"/>
        <v>4799</v>
      </c>
      <c r="BF248" s="1890">
        <f t="shared" si="387"/>
        <v>1061</v>
      </c>
      <c r="BG248" s="1890">
        <f t="shared" si="387"/>
        <v>1152</v>
      </c>
      <c r="BH248" s="1890">
        <f t="shared" si="387"/>
        <v>1094</v>
      </c>
      <c r="BI248" s="1890">
        <f t="shared" si="387"/>
        <v>1176</v>
      </c>
      <c r="BJ248" s="1801">
        <f t="shared" si="387"/>
        <v>4483</v>
      </c>
      <c r="BK248" s="1890">
        <f t="shared" si="387"/>
        <v>1193</v>
      </c>
      <c r="BL248" s="1904">
        <f t="shared" si="387"/>
        <v>1242.67</v>
      </c>
      <c r="BM248" s="1904">
        <f t="shared" si="387"/>
        <v>1171.4560000000001</v>
      </c>
      <c r="BN248" s="1890">
        <f t="shared" si="387"/>
        <v>1078.9680000000001</v>
      </c>
      <c r="BO248" s="1801">
        <f t="shared" si="387"/>
        <v>4686.094000000001</v>
      </c>
      <c r="BP248" s="1904">
        <f t="shared" si="387"/>
        <v>1309.4841515064559</v>
      </c>
      <c r="BQ248" s="1904">
        <f t="shared" si="387"/>
        <v>1250.3172000000004</v>
      </c>
      <c r="BR248" s="1904">
        <f t="shared" si="387"/>
        <v>1187.10592</v>
      </c>
      <c r="BS248" s="1890">
        <f t="shared" si="387"/>
        <v>1137.5152800000003</v>
      </c>
      <c r="BT248" s="1905">
        <f t="shared" si="387"/>
        <v>4884.4225515064572</v>
      </c>
      <c r="BU248" s="1904">
        <f t="shared" si="387"/>
        <v>1505.4911216631388</v>
      </c>
      <c r="BV248" s="1904">
        <f t="shared" si="387"/>
        <v>1243.4404554000005</v>
      </c>
      <c r="BW248" s="1904">
        <f t="shared" si="387"/>
        <v>1163.5633152</v>
      </c>
      <c r="BX248" s="1904">
        <f t="shared" si="387"/>
        <v>1098.3770424000004</v>
      </c>
      <c r="BY248" s="1905">
        <f t="shared" si="387"/>
        <v>5010.8719346631387</v>
      </c>
      <c r="BZ248" s="1904">
        <f t="shared" si="387"/>
        <v>1675.6360278543557</v>
      </c>
      <c r="CA248" s="1904">
        <f t="shared" si="387"/>
        <v>1210.0757409180005</v>
      </c>
      <c r="CB248" s="1904">
        <f t="shared" si="387"/>
        <v>1129.733789184</v>
      </c>
      <c r="CC248" s="1904">
        <f t="shared" si="387"/>
        <v>1063.8640576080004</v>
      </c>
      <c r="CD248" s="1905">
        <f t="shared" si="387"/>
        <v>5079.309615564357</v>
      </c>
      <c r="CE248" s="1904">
        <f t="shared" ref="CE248:CI248" si="388">CE244-CE250</f>
        <v>1832.3010293270038</v>
      </c>
      <c r="CF248" s="1904">
        <f t="shared" si="388"/>
        <v>1155.0504062314806</v>
      </c>
      <c r="CG248" s="1904">
        <f t="shared" si="388"/>
        <v>1075.3221209702401</v>
      </c>
      <c r="CH248" s="1904">
        <f t="shared" si="388"/>
        <v>1009.6125606388803</v>
      </c>
      <c r="CI248" s="1905">
        <f t="shared" si="388"/>
        <v>5072.286117167605</v>
      </c>
      <c r="CJ248" s="1904">
        <f t="shared" ref="CJ248:CS248" si="389">CJ244-CJ250</f>
        <v>1964.0949222657996</v>
      </c>
      <c r="CK248" s="1904">
        <f t="shared" si="389"/>
        <v>1078.7915534443746</v>
      </c>
      <c r="CL248" s="1904">
        <f t="shared" si="389"/>
        <v>1000.7827466757121</v>
      </c>
      <c r="CM248" s="1904">
        <f t="shared" si="389"/>
        <v>936.10568122394432</v>
      </c>
      <c r="CN248" s="1905">
        <f t="shared" si="389"/>
        <v>4979.7749036098312</v>
      </c>
      <c r="CO248" s="1904">
        <f t="shared" si="389"/>
        <v>2057.5326190967025</v>
      </c>
      <c r="CP248" s="1904">
        <f t="shared" si="389"/>
        <v>982.57138755952246</v>
      </c>
      <c r="CQ248" s="1904">
        <f t="shared" si="389"/>
        <v>907.37635698597887</v>
      </c>
      <c r="CR248" s="1904">
        <f t="shared" si="389"/>
        <v>844.60290072814678</v>
      </c>
      <c r="CS248" s="1905">
        <f t="shared" si="389"/>
        <v>4792.0832643703507</v>
      </c>
      <c r="CT248" s="1904">
        <f t="shared" ref="CT248:CX248" si="390">CT244-CT250</f>
        <v>2097.2117278374162</v>
      </c>
      <c r="CU248" s="1904">
        <f t="shared" si="390"/>
        <v>868.49554632300192</v>
      </c>
      <c r="CV248" s="1904">
        <f t="shared" si="390"/>
        <v>797.15681715209371</v>
      </c>
      <c r="CW248" s="1904">
        <f t="shared" si="390"/>
        <v>737.12556977289319</v>
      </c>
      <c r="CX248" s="1905">
        <f t="shared" si="390"/>
        <v>4499.9896610854057</v>
      </c>
      <c r="CY248" s="1900"/>
      <c r="CZ248" s="1900"/>
      <c r="DA248" s="1900"/>
      <c r="DB248" s="1900"/>
      <c r="DC248" s="1900"/>
      <c r="DD248" s="1900"/>
      <c r="DE248" s="1900"/>
      <c r="DF248" s="1900"/>
      <c r="DG248" s="1890">
        <f>SUM(AV248:AW248,AS248:AT248)</f>
        <v>4906</v>
      </c>
      <c r="DH248" s="1804">
        <f>SUM(BA248:BB248,AX248:AY248)</f>
        <v>5199</v>
      </c>
      <c r="DI248" s="1801">
        <f>SUM(BC248:BD248,BF248:BG248)</f>
        <v>4614</v>
      </c>
      <c r="DJ248" s="1804">
        <f>SUM(BH248:BI248,BK248:BL248)</f>
        <v>4705.67</v>
      </c>
      <c r="DK248" s="1906">
        <f>SUM(BM248:BN248,BP248:BQ248)</f>
        <v>4810.2253515064567</v>
      </c>
      <c r="DL248" s="1907">
        <f>SUM(BU248:BV248,BR248:BS248)</f>
        <v>5073.5527770631397</v>
      </c>
      <c r="DM248" s="1908">
        <f>SUM(BW248:BX248,BZ248:CA248)</f>
        <v>5147.6521263723571</v>
      </c>
      <c r="DN248" s="1908">
        <f>SUM(CB248:CC248,CE248:CF248)</f>
        <v>5180.9492823504843</v>
      </c>
      <c r="DO248" s="1908"/>
      <c r="DP248" s="1908"/>
      <c r="DQ248" s="1908"/>
      <c r="DR248" s="1915"/>
    </row>
    <row r="249" spans="1:122" hidden="1" outlineLevel="3">
      <c r="A249" s="1760" t="s">
        <v>163</v>
      </c>
      <c r="B249" s="1895"/>
      <c r="C249" s="1785"/>
      <c r="D249" s="1785"/>
      <c r="E249" s="1785"/>
      <c r="F249" s="1785"/>
      <c r="G249" s="1774"/>
      <c r="H249" s="1785"/>
      <c r="I249" s="1785"/>
      <c r="J249" s="1785"/>
      <c r="K249" s="1785"/>
      <c r="L249" s="1774"/>
      <c r="M249" s="1785"/>
      <c r="N249" s="1785"/>
      <c r="O249" s="1785"/>
      <c r="P249" s="1896"/>
      <c r="Q249" s="1897"/>
      <c r="R249" s="1902">
        <f t="shared" ref="R249:AW249" si="391">R248/M248-1</f>
        <v>0.10599078341013835</v>
      </c>
      <c r="S249" s="1902">
        <f t="shared" si="391"/>
        <v>-0.25741029641185642</v>
      </c>
      <c r="T249" s="1902">
        <f t="shared" si="391"/>
        <v>-2.0408163265306145E-2</v>
      </c>
      <c r="U249" s="1902">
        <f t="shared" si="391"/>
        <v>-0.11091234347048295</v>
      </c>
      <c r="V249" s="1774">
        <f t="shared" si="391"/>
        <v>-8.9924670433145004E-2</v>
      </c>
      <c r="W249" s="1902">
        <f t="shared" si="391"/>
        <v>1.0416666666666741E-2</v>
      </c>
      <c r="X249" s="1902">
        <f t="shared" si="391"/>
        <v>0.12605042016806722</v>
      </c>
      <c r="Y249" s="1902">
        <f t="shared" si="391"/>
        <v>0.21875</v>
      </c>
      <c r="Z249" s="1902">
        <f t="shared" si="391"/>
        <v>0.54325955734406439</v>
      </c>
      <c r="AA249" s="1774">
        <f t="shared" si="391"/>
        <v>0.22762545266425249</v>
      </c>
      <c r="AB249" s="1902">
        <f t="shared" si="391"/>
        <v>0.39175257731958757</v>
      </c>
      <c r="AC249" s="1902">
        <f t="shared" si="391"/>
        <v>0.45335820895522394</v>
      </c>
      <c r="AD249" s="1902">
        <f t="shared" si="391"/>
        <v>0.40683760683760695</v>
      </c>
      <c r="AE249" s="1902">
        <f t="shared" si="391"/>
        <v>0.20860495436766624</v>
      </c>
      <c r="AF249" s="1774">
        <f t="shared" si="391"/>
        <v>0.35018963337547415</v>
      </c>
      <c r="AG249" s="1902">
        <f t="shared" si="391"/>
        <v>0.38518518518518507</v>
      </c>
      <c r="AH249" s="1902">
        <f t="shared" si="391"/>
        <v>0.42490372272143784</v>
      </c>
      <c r="AI249" s="1902">
        <f t="shared" si="391"/>
        <v>0.30133657351154319</v>
      </c>
      <c r="AJ249" s="1902">
        <f t="shared" si="391"/>
        <v>0.43042071197411014</v>
      </c>
      <c r="AK249" s="1774">
        <f t="shared" si="391"/>
        <v>0.38639200998751555</v>
      </c>
      <c r="AL249" s="1902">
        <f t="shared" si="391"/>
        <v>-0.10160427807486627</v>
      </c>
      <c r="AM249" s="1902">
        <f t="shared" si="391"/>
        <v>-0.16306306306306306</v>
      </c>
      <c r="AN249" s="1902">
        <f t="shared" si="391"/>
        <v>-0.1428571428571429</v>
      </c>
      <c r="AO249" s="1902">
        <f t="shared" si="391"/>
        <v>-0.1809954751131222</v>
      </c>
      <c r="AP249" s="1774">
        <f t="shared" si="391"/>
        <v>-0.15060783430886993</v>
      </c>
      <c r="AQ249" s="1900">
        <f t="shared" si="391"/>
        <v>0.15238095238095228</v>
      </c>
      <c r="AR249" s="1900">
        <f t="shared" si="391"/>
        <v>0.12163616792249732</v>
      </c>
      <c r="AS249" s="1900">
        <f t="shared" si="391"/>
        <v>0.39324618736383443</v>
      </c>
      <c r="AT249" s="1900">
        <f t="shared" si="391"/>
        <v>0.16390423572744006</v>
      </c>
      <c r="AU249" s="1774">
        <f t="shared" si="391"/>
        <v>0.20673204346673724</v>
      </c>
      <c r="AV249" s="1900">
        <f t="shared" si="391"/>
        <v>0.14359504132231415</v>
      </c>
      <c r="AW249" s="1900">
        <f t="shared" si="391"/>
        <v>0.20537428023032622</v>
      </c>
      <c r="AX249" s="1900">
        <f t="shared" ref="AX249:CD249" si="392">AX248/AS248-1</f>
        <v>8.913213448006263E-2</v>
      </c>
      <c r="AY249" s="1900">
        <f t="shared" si="392"/>
        <v>0.11392405063291133</v>
      </c>
      <c r="AZ249" s="1774">
        <f t="shared" si="392"/>
        <v>0.13419723259389404</v>
      </c>
      <c r="BA249" s="1900">
        <f t="shared" si="392"/>
        <v>4.3360433604336057E-2</v>
      </c>
      <c r="BB249" s="1900">
        <f t="shared" si="392"/>
        <v>-1.0350318471337605E-2</v>
      </c>
      <c r="BC249" s="1900">
        <f t="shared" si="392"/>
        <v>-0.14788226848528352</v>
      </c>
      <c r="BD249" s="1900">
        <f t="shared" si="392"/>
        <v>-0.13778409090909094</v>
      </c>
      <c r="BE249" s="1774">
        <f t="shared" si="392"/>
        <v>-7.0681642137877643E-2</v>
      </c>
      <c r="BF249" s="1900">
        <f t="shared" si="392"/>
        <v>-8.1385281385281338E-2</v>
      </c>
      <c r="BG249" s="1900">
        <f t="shared" si="392"/>
        <v>-7.3209975864843124E-2</v>
      </c>
      <c r="BH249" s="1900">
        <f t="shared" si="392"/>
        <v>-7.8348778433024457E-2</v>
      </c>
      <c r="BI249" s="1900">
        <f t="shared" si="392"/>
        <v>-3.1301482701812211E-2</v>
      </c>
      <c r="BJ249" s="1774">
        <f t="shared" si="392"/>
        <v>-6.5847051469056006E-2</v>
      </c>
      <c r="BK249" s="1900">
        <f t="shared" si="392"/>
        <v>0.12441093308199802</v>
      </c>
      <c r="BL249" s="1909">
        <f t="shared" si="392"/>
        <v>7.8706597222222285E-2</v>
      </c>
      <c r="BM249" s="1909">
        <f t="shared" si="392"/>
        <v>7.0800731261426053E-2</v>
      </c>
      <c r="BN249" s="1900">
        <f t="shared" si="392"/>
        <v>-8.2510204081632565E-2</v>
      </c>
      <c r="BO249" s="1774">
        <f t="shared" si="392"/>
        <v>4.5303145215257912E-2</v>
      </c>
      <c r="BP249" s="1909">
        <f t="shared" si="392"/>
        <v>9.7639691120247951E-2</v>
      </c>
      <c r="BQ249" s="1909">
        <f t="shared" si="392"/>
        <v>6.1538461538463984E-3</v>
      </c>
      <c r="BR249" s="1909">
        <f t="shared" si="392"/>
        <v>1.335937499999984E-2</v>
      </c>
      <c r="BS249" s="1900">
        <f t="shared" si="392"/>
        <v>5.4262295081967338E-2</v>
      </c>
      <c r="BT249" s="1910">
        <f t="shared" si="392"/>
        <v>4.2322785566498711E-2</v>
      </c>
      <c r="BU249" s="1909">
        <f t="shared" si="392"/>
        <v>0.14968258297070092</v>
      </c>
      <c r="BV249" s="1909">
        <f t="shared" si="392"/>
        <v>-5.4999999999999494E-3</v>
      </c>
      <c r="BW249" s="1909">
        <f t="shared" si="392"/>
        <v>-1.983193277310924E-2</v>
      </c>
      <c r="BX249" s="1909">
        <f t="shared" si="392"/>
        <v>-3.4406779661016906E-2</v>
      </c>
      <c r="BY249" s="1910">
        <f t="shared" si="392"/>
        <v>2.5888297300912688E-2</v>
      </c>
      <c r="BZ249" s="1909">
        <f t="shared" si="392"/>
        <v>0.11301621360825775</v>
      </c>
      <c r="CA249" s="1909">
        <f t="shared" si="392"/>
        <v>-2.6832579185520289E-2</v>
      </c>
      <c r="CB249" s="1909">
        <f t="shared" si="392"/>
        <v>-2.9074074074074141E-2</v>
      </c>
      <c r="CC249" s="1909">
        <f t="shared" si="392"/>
        <v>-3.1421800947867284E-2</v>
      </c>
      <c r="CD249" s="1910">
        <f t="shared" si="392"/>
        <v>1.3657838754128848E-2</v>
      </c>
      <c r="CE249" s="1909">
        <f t="shared" ref="CE249:CI249" si="393">CE248/BZ248-1</f>
        <v>9.3495842097198745E-2</v>
      </c>
      <c r="CF249" s="1909">
        <f t="shared" si="393"/>
        <v>-4.5472636815920287E-2</v>
      </c>
      <c r="CG249" s="1909">
        <f t="shared" si="393"/>
        <v>-4.816326530612236E-2</v>
      </c>
      <c r="CH249" s="1909">
        <f t="shared" si="393"/>
        <v>-5.0994764397905845E-2</v>
      </c>
      <c r="CI249" s="1910">
        <f t="shared" si="393"/>
        <v>-1.3827663458888528E-3</v>
      </c>
      <c r="CJ249" s="1909">
        <f t="shared" ref="CJ249:CS249" si="394">CJ248/CE248-1</f>
        <v>7.1928078863331191E-2</v>
      </c>
      <c r="CK249" s="1909">
        <f t="shared" si="394"/>
        <v>-6.6022099447513805E-2</v>
      </c>
      <c r="CL249" s="1909">
        <f t="shared" si="394"/>
        <v>-6.9318181818181834E-2</v>
      </c>
      <c r="CM249" s="1909">
        <f t="shared" si="394"/>
        <v>-7.2807017543859542E-2</v>
      </c>
      <c r="CN249" s="1910">
        <f t="shared" si="394"/>
        <v>-1.8238563720737511E-2</v>
      </c>
      <c r="CO249" s="1909">
        <f t="shared" si="394"/>
        <v>4.757290280202553E-2</v>
      </c>
      <c r="CP249" s="1909">
        <f t="shared" si="394"/>
        <v>-8.9192546583850785E-2</v>
      </c>
      <c r="CQ249" s="1909">
        <f t="shared" si="394"/>
        <v>-9.333333333333349E-2</v>
      </c>
      <c r="CR249" s="1909">
        <f t="shared" si="394"/>
        <v>-9.7748344370860996E-2</v>
      </c>
      <c r="CS249" s="1910">
        <f t="shared" si="394"/>
        <v>-3.7690787811196724E-2</v>
      </c>
      <c r="CT249" s="1909">
        <f t="shared" ref="CT249" si="395">CT248/CO248-1</f>
        <v>1.928480179241765E-2</v>
      </c>
      <c r="CU249" s="1909">
        <f t="shared" ref="CU249" si="396">CU248/CP248-1</f>
        <v>-0.11609929078014192</v>
      </c>
      <c r="CV249" s="1909">
        <f t="shared" ref="CV249" si="397">CV248/CQ248-1</f>
        <v>-0.12147058823529422</v>
      </c>
      <c r="CW249" s="1909">
        <f t="shared" ref="CW249" si="398">CW248/CR248-1</f>
        <v>-0.12725190839694667</v>
      </c>
      <c r="CX249" s="1910">
        <f t="shared" ref="CX249" si="399">CX248/CS248-1</f>
        <v>-6.0953365617974931E-2</v>
      </c>
      <c r="CY249" s="1900"/>
      <c r="CZ249" s="1900"/>
      <c r="DA249" s="1900"/>
      <c r="DB249" s="1900"/>
      <c r="DC249" s="1900"/>
      <c r="DD249" s="1900"/>
      <c r="DE249" s="1900"/>
      <c r="DF249" s="1900"/>
      <c r="DG249" s="1900"/>
      <c r="DH249" s="1773"/>
      <c r="DI249" s="1774"/>
      <c r="DJ249" s="1773"/>
      <c r="DK249" s="1911"/>
      <c r="DL249" s="1911"/>
      <c r="DM249" s="1910"/>
      <c r="DN249" s="1910"/>
      <c r="DO249" s="1910"/>
      <c r="DP249" s="1910"/>
      <c r="DQ249" s="1910"/>
      <c r="DR249" s="3060"/>
    </row>
    <row r="250" spans="1:122" hidden="1" outlineLevel="2">
      <c r="A250" s="1912" t="s">
        <v>529</v>
      </c>
      <c r="B250" s="1913"/>
      <c r="C250" s="1803"/>
      <c r="D250" s="1803"/>
      <c r="E250" s="1803"/>
      <c r="F250" s="1803"/>
      <c r="G250" s="1801">
        <f t="shared" ref="G250:AF250" si="400">G236+G241</f>
        <v>-641</v>
      </c>
      <c r="H250" s="1803">
        <f t="shared" si="400"/>
        <v>-147</v>
      </c>
      <c r="I250" s="1803">
        <f t="shared" si="400"/>
        <v>-197</v>
      </c>
      <c r="J250" s="1803">
        <f t="shared" si="400"/>
        <v>-72</v>
      </c>
      <c r="K250" s="1803">
        <f t="shared" si="400"/>
        <v>0</v>
      </c>
      <c r="L250" s="1801">
        <f t="shared" si="400"/>
        <v>-299</v>
      </c>
      <c r="M250" s="1803">
        <f t="shared" si="400"/>
        <v>57</v>
      </c>
      <c r="N250" s="1803">
        <f t="shared" si="400"/>
        <v>-95</v>
      </c>
      <c r="O250" s="1803">
        <f t="shared" si="400"/>
        <v>101</v>
      </c>
      <c r="P250" s="1887">
        <f t="shared" si="400"/>
        <v>29</v>
      </c>
      <c r="Q250" s="1914">
        <f t="shared" si="400"/>
        <v>92</v>
      </c>
      <c r="R250" s="1889">
        <f t="shared" si="400"/>
        <v>79</v>
      </c>
      <c r="S250" s="1889">
        <f t="shared" si="400"/>
        <v>130</v>
      </c>
      <c r="T250" s="1890">
        <f t="shared" si="400"/>
        <v>101</v>
      </c>
      <c r="U250" s="1890">
        <f t="shared" si="400"/>
        <v>101</v>
      </c>
      <c r="V250" s="1801">
        <f t="shared" si="400"/>
        <v>411</v>
      </c>
      <c r="W250" s="1889">
        <f t="shared" si="400"/>
        <v>79</v>
      </c>
      <c r="X250" s="1889">
        <f t="shared" si="400"/>
        <v>58</v>
      </c>
      <c r="Y250" s="1889">
        <f t="shared" si="400"/>
        <v>-24</v>
      </c>
      <c r="Z250" s="1890">
        <f t="shared" si="400"/>
        <v>-187</v>
      </c>
      <c r="AA250" s="1801">
        <f t="shared" si="400"/>
        <v>-74</v>
      </c>
      <c r="AB250" s="1889">
        <f t="shared" si="400"/>
        <v>-136</v>
      </c>
      <c r="AC250" s="1889">
        <f t="shared" si="400"/>
        <v>-155</v>
      </c>
      <c r="AD250" s="1889">
        <f t="shared" si="400"/>
        <v>-200</v>
      </c>
      <c r="AE250" s="1890">
        <f t="shared" si="400"/>
        <v>-239</v>
      </c>
      <c r="AF250" s="1801">
        <f t="shared" si="400"/>
        <v>-730</v>
      </c>
      <c r="AG250" s="1890">
        <v>-264</v>
      </c>
      <c r="AH250" s="1889">
        <v>-247</v>
      </c>
      <c r="AI250" s="1889">
        <v>-228</v>
      </c>
      <c r="AJ250" s="1890">
        <v>-488</v>
      </c>
      <c r="AK250" s="1801">
        <f>SUM(AG250:AJ250)</f>
        <v>-1227</v>
      </c>
      <c r="AL250" s="1890">
        <v>-326</v>
      </c>
      <c r="AM250" s="1889">
        <v>-330</v>
      </c>
      <c r="AN250" s="1889">
        <v>-411</v>
      </c>
      <c r="AO250" s="1890">
        <v>-585</v>
      </c>
      <c r="AP250" s="1801">
        <f>SUM(AL250:AO250)</f>
        <v>-1652</v>
      </c>
      <c r="AQ250" s="1890">
        <v>-481</v>
      </c>
      <c r="AR250" s="1890">
        <v>-463</v>
      </c>
      <c r="AS250" s="1890">
        <v>-713</v>
      </c>
      <c r="AT250" s="1890">
        <v>-696</v>
      </c>
      <c r="AU250" s="1801">
        <f>SUM(AQ250:AT250)</f>
        <v>-2353</v>
      </c>
      <c r="AV250" s="1890">
        <f>-560</f>
        <v>-560</v>
      </c>
      <c r="AW250" s="1890">
        <v>-543</v>
      </c>
      <c r="AX250" s="1890">
        <v>-726</v>
      </c>
      <c r="AY250" s="1890">
        <v>-728</v>
      </c>
      <c r="AZ250" s="1801">
        <f>SUM(AV250:AY250)</f>
        <v>-2557</v>
      </c>
      <c r="BA250" s="1890">
        <v>-514</v>
      </c>
      <c r="BB250" s="1890">
        <v>-459</v>
      </c>
      <c r="BC250" s="1890">
        <v>-480</v>
      </c>
      <c r="BD250" s="1890">
        <v>-479</v>
      </c>
      <c r="BE250" s="1801">
        <f>SUM(BA250:BD250)</f>
        <v>-1932</v>
      </c>
      <c r="BF250" s="1890">
        <v>-364</v>
      </c>
      <c r="BG250" s="1890">
        <v>-283</v>
      </c>
      <c r="BH250" s="1890">
        <v>-262</v>
      </c>
      <c r="BI250" s="1890">
        <v>-372</v>
      </c>
      <c r="BJ250" s="1801">
        <f>SUM(BF250:BI250)</f>
        <v>-1281</v>
      </c>
      <c r="BK250" s="1890">
        <v>-321</v>
      </c>
      <c r="BL250" s="1891">
        <f>BL244*BL251</f>
        <v>-286.77000000000004</v>
      </c>
      <c r="BM250" s="1891">
        <f>BM244*BM251</f>
        <v>-256.25600000000003</v>
      </c>
      <c r="BN250" s="1890">
        <f>BN244*BN251</f>
        <v>-194.56800000000001</v>
      </c>
      <c r="BO250" s="1801">
        <f>SUM(BK250:BN250)</f>
        <v>-1058.5940000000001</v>
      </c>
      <c r="BP250" s="1891">
        <f>BP244*BP251</f>
        <v>-227.26584447632706</v>
      </c>
      <c r="BQ250" s="1891">
        <f>BQ244*BQ251</f>
        <v>-208.38620000000003</v>
      </c>
      <c r="BR250" s="1891">
        <f>BR244*BR251</f>
        <v>-189.53791999999999</v>
      </c>
      <c r="BS250" s="1890">
        <f>BS244*BS251</f>
        <v>-173.51928000000001</v>
      </c>
      <c r="BT250" s="1908">
        <f>SUM(BP250:BS250)</f>
        <v>-798.70924447632706</v>
      </c>
      <c r="BU250" s="1891">
        <f>BU244*BU251</f>
        <v>-173.19809364266192</v>
      </c>
      <c r="BV250" s="1891">
        <f>BV244*BV251</f>
        <v>-118.1549754</v>
      </c>
      <c r="BW250" s="1891">
        <f>BW244*BW251</f>
        <v>-86.18987519999996</v>
      </c>
      <c r="BX250" s="1891">
        <f>BX244*BX251</f>
        <v>-57.261362399999975</v>
      </c>
      <c r="BY250" s="1908">
        <f>SUM(BU250:BX250)</f>
        <v>-434.80430664266186</v>
      </c>
      <c r="BZ250" s="1891">
        <f>BZ244*BZ251</f>
        <v>-48.804932850126796</v>
      </c>
      <c r="CA250" s="1891">
        <f>CA244*CA251</f>
        <v>-6.02027731799995</v>
      </c>
      <c r="CB250" s="1891">
        <f>CB244*CB251</f>
        <v>23.055791616000054</v>
      </c>
      <c r="CC250" s="1891">
        <f>CC244*CC251</f>
        <v>50.129719992000069</v>
      </c>
      <c r="CD250" s="1908">
        <f>SUM(BZ250:CC250)</f>
        <v>18.360301439873378</v>
      </c>
      <c r="CE250" s="1891">
        <f>CE244*CE251</f>
        <v>137.91513123966706</v>
      </c>
      <c r="CF250" s="1891">
        <f>CF244*CF251</f>
        <v>121.24838518452015</v>
      </c>
      <c r="CG250" s="1891">
        <f>CG244*CG251</f>
        <v>146.63483467776007</v>
      </c>
      <c r="CH250" s="1891">
        <f>CH244*CH251</f>
        <v>171.22084361712012</v>
      </c>
      <c r="CI250" s="1908">
        <f>SUM(CE250:CH250)</f>
        <v>577.0191947190674</v>
      </c>
      <c r="CJ250" s="1891">
        <f>CJ244*CJ251</f>
        <v>402.28450215082654</v>
      </c>
      <c r="CK250" s="1891">
        <f>CK244*CK251</f>
        <v>261.32217754242623</v>
      </c>
      <c r="CL250" s="1891">
        <f>CL244*CL251</f>
        <v>282.27205675468809</v>
      </c>
      <c r="CM250" s="1891">
        <f>CM244*CM251</f>
        <v>303.76939324485613</v>
      </c>
      <c r="CN250" s="1908">
        <f>SUM(CJ250:CM250)</f>
        <v>1249.6481296927968</v>
      </c>
      <c r="CO250" s="1891">
        <f>CO244*CO251</f>
        <v>761.00521528234219</v>
      </c>
      <c r="CP250" s="1891">
        <f>CP244*CP251</f>
        <v>411.1468926667506</v>
      </c>
      <c r="CQ250" s="1891">
        <f>CQ244*CQ251</f>
        <v>427.00063858163725</v>
      </c>
      <c r="CR250" s="1891">
        <f>CR244*CR251</f>
        <v>444.86717671940573</v>
      </c>
      <c r="CS250" s="1908">
        <f>SUM(CO250:CR250)</f>
        <v>2044.0199232501359</v>
      </c>
      <c r="CT250" s="1891">
        <f>CT244*CT251</f>
        <v>1231.6957766664193</v>
      </c>
      <c r="CU250" s="1891">
        <f>CU244*CU251</f>
        <v>567.03428231005933</v>
      </c>
      <c r="CV250" s="1891">
        <f>CV244*CV251</f>
        <v>577.25148828255101</v>
      </c>
      <c r="CW250" s="1891">
        <f>CW244*CW251</f>
        <v>591.02860999808604</v>
      </c>
      <c r="CX250" s="1908">
        <f>SUM(CT250:CW250)</f>
        <v>2967.0101572571157</v>
      </c>
      <c r="CY250" s="1890"/>
      <c r="CZ250" s="1890"/>
      <c r="DA250" s="1890"/>
      <c r="DB250" s="1890"/>
      <c r="DC250" s="1890"/>
      <c r="DD250" s="1890"/>
      <c r="DE250" s="1890"/>
      <c r="DF250" s="1890"/>
      <c r="DG250" s="1890">
        <f>DG244-DG248</f>
        <v>-2512</v>
      </c>
      <c r="DH250" s="1804">
        <f>DH244-DH248</f>
        <v>-2427</v>
      </c>
      <c r="DI250" s="1801">
        <f>DI244-DI248</f>
        <v>-1606</v>
      </c>
      <c r="DJ250" s="1804">
        <f>DJ244-DJ248</f>
        <v>-1241.77</v>
      </c>
      <c r="DK250" s="1907">
        <f>DK244-DK248</f>
        <v>-886.47604447632693</v>
      </c>
      <c r="DL250" s="1907">
        <f>SUM(BU250:BV250,BR250:BS250)</f>
        <v>-654.41026904266187</v>
      </c>
      <c r="DM250" s="1908">
        <f>SUM(BW250:BX250,BZ250:CA250)</f>
        <v>-198.27644776812667</v>
      </c>
      <c r="DN250" s="1908">
        <f>SUM(CB250:CC250,CE250:CF250)</f>
        <v>332.34902803218733</v>
      </c>
      <c r="DO250" s="1908"/>
      <c r="DP250" s="1908"/>
      <c r="DQ250" s="1908"/>
      <c r="DR250" s="1915"/>
    </row>
    <row r="251" spans="1:122" hidden="1" outlineLevel="2">
      <c r="A251" s="1824" t="s">
        <v>117</v>
      </c>
      <c r="B251" s="1916"/>
      <c r="C251" s="1917"/>
      <c r="D251" s="1917"/>
      <c r="E251" s="1917"/>
      <c r="F251" s="1917"/>
      <c r="G251" s="1918">
        <f t="shared" ref="G251:AR251" si="401">G250/G244</f>
        <v>-0.40802036919159773</v>
      </c>
      <c r="H251" s="1917">
        <f t="shared" si="401"/>
        <v>-0.34426229508196721</v>
      </c>
      <c r="I251" s="1917">
        <f t="shared" si="401"/>
        <v>-0.42919389978213507</v>
      </c>
      <c r="J251" s="1917">
        <f t="shared" si="401"/>
        <v>-0.14173228346456693</v>
      </c>
      <c r="K251" s="1917">
        <f t="shared" si="401"/>
        <v>0</v>
      </c>
      <c r="L251" s="1918">
        <f t="shared" si="401"/>
        <v>-0.15309779825908859</v>
      </c>
      <c r="M251" s="1917">
        <f t="shared" si="401"/>
        <v>0.11608961303462322</v>
      </c>
      <c r="N251" s="1917">
        <f t="shared" si="401"/>
        <v>-0.17399267399267399</v>
      </c>
      <c r="O251" s="1917">
        <f t="shared" si="401"/>
        <v>0.17089678510998307</v>
      </c>
      <c r="P251" s="1919">
        <f t="shared" si="401"/>
        <v>4.9319727891156462E-2</v>
      </c>
      <c r="Q251" s="1920">
        <f t="shared" si="401"/>
        <v>4.1516245487364621E-2</v>
      </c>
      <c r="R251" s="1948">
        <f t="shared" si="401"/>
        <v>0.14132379248658319</v>
      </c>
      <c r="S251" s="1948">
        <f t="shared" si="401"/>
        <v>0.21452145214521451</v>
      </c>
      <c r="T251" s="1923">
        <f t="shared" si="401"/>
        <v>0.17383820998278829</v>
      </c>
      <c r="U251" s="1923">
        <f t="shared" si="401"/>
        <v>0.16889632107023411</v>
      </c>
      <c r="V251" s="1918">
        <f t="shared" si="401"/>
        <v>0.17534129692832764</v>
      </c>
      <c r="W251" s="1948">
        <f t="shared" si="401"/>
        <v>0.14007092198581561</v>
      </c>
      <c r="X251" s="1948">
        <f t="shared" si="401"/>
        <v>9.7643097643097643E-2</v>
      </c>
      <c r="Y251" s="1948">
        <f t="shared" si="401"/>
        <v>-4.2780748663101602E-2</v>
      </c>
      <c r="Z251" s="1923">
        <f t="shared" si="401"/>
        <v>-0.32241379310344825</v>
      </c>
      <c r="AA251" s="1918">
        <f t="shared" si="401"/>
        <v>-3.2187907785993911E-2</v>
      </c>
      <c r="AB251" s="1948">
        <f t="shared" si="401"/>
        <v>-0.25231910946196662</v>
      </c>
      <c r="AC251" s="1948">
        <f t="shared" si="401"/>
        <v>-0.2483974358974359</v>
      </c>
      <c r="AD251" s="1948">
        <f t="shared" si="401"/>
        <v>-0.32102728731942215</v>
      </c>
      <c r="AE251" s="1948">
        <f t="shared" si="401"/>
        <v>-0.34738372093023256</v>
      </c>
      <c r="AF251" s="1918">
        <f t="shared" si="401"/>
        <v>-0.2950687146321746</v>
      </c>
      <c r="AG251" s="1948">
        <f t="shared" si="401"/>
        <v>-0.39344262295081966</v>
      </c>
      <c r="AH251" s="1948">
        <f t="shared" si="401"/>
        <v>-0.28621089223638468</v>
      </c>
      <c r="AI251" s="1948">
        <f t="shared" si="401"/>
        <v>-0.27046263345195731</v>
      </c>
      <c r="AJ251" s="1948">
        <f t="shared" si="401"/>
        <v>-0.58233890214797135</v>
      </c>
      <c r="AK251" s="1918">
        <f t="shared" si="401"/>
        <v>-0.38164852255054432</v>
      </c>
      <c r="AL251" s="1948">
        <f t="shared" si="401"/>
        <v>-0.63424124513618674</v>
      </c>
      <c r="AM251" s="1948">
        <f t="shared" si="401"/>
        <v>-0.55091819699499167</v>
      </c>
      <c r="AN251" s="1948">
        <f t="shared" si="401"/>
        <v>-0.81065088757396453</v>
      </c>
      <c r="AO251" s="1948">
        <f t="shared" si="401"/>
        <v>-1.1676646706586826</v>
      </c>
      <c r="AP251" s="1918">
        <f t="shared" si="401"/>
        <v>-0.77887788778877887</v>
      </c>
      <c r="AQ251" s="1923">
        <f t="shared" si="401"/>
        <v>-0.98767967145790558</v>
      </c>
      <c r="AR251" s="1923">
        <f t="shared" si="401"/>
        <v>-0.79965457685664942</v>
      </c>
      <c r="AS251" s="1923">
        <v>-0.85</v>
      </c>
      <c r="AT251" s="1923">
        <v>-0.85</v>
      </c>
      <c r="AU251" s="1918">
        <f t="shared" ref="AU251:BK251" si="402">AU250/AU244</f>
        <v>-1.0695454545454546</v>
      </c>
      <c r="AV251" s="1923">
        <f t="shared" si="402"/>
        <v>-1.0237659963436929</v>
      </c>
      <c r="AW251" s="1923">
        <f t="shared" si="402"/>
        <v>-0.76157082748948102</v>
      </c>
      <c r="AX251" s="1923">
        <f t="shared" si="402"/>
        <v>-1.088455772113943</v>
      </c>
      <c r="AY251" s="1923">
        <f t="shared" si="402"/>
        <v>-1.0705882352941176</v>
      </c>
      <c r="AZ251" s="1918">
        <f t="shared" si="402"/>
        <v>-0.98082086689681625</v>
      </c>
      <c r="BA251" s="1923">
        <f t="shared" si="402"/>
        <v>-0.80187207488299528</v>
      </c>
      <c r="BB251" s="1923">
        <f t="shared" si="402"/>
        <v>-0.58545918367346939</v>
      </c>
      <c r="BC251" s="1923">
        <f t="shared" si="402"/>
        <v>-0.67892503536067894</v>
      </c>
      <c r="BD251" s="1923">
        <f t="shared" si="402"/>
        <v>-0.65170068027210881</v>
      </c>
      <c r="BE251" s="1918">
        <f t="shared" si="402"/>
        <v>-0.67387513079874428</v>
      </c>
      <c r="BF251" s="1923">
        <f t="shared" si="402"/>
        <v>-0.52223816355810615</v>
      </c>
      <c r="BG251" s="1923">
        <f t="shared" si="402"/>
        <v>-0.32566168009205981</v>
      </c>
      <c r="BH251" s="1923">
        <f t="shared" si="402"/>
        <v>-0.31490384615384615</v>
      </c>
      <c r="BI251" s="1923">
        <f t="shared" si="402"/>
        <v>-0.46268656716417911</v>
      </c>
      <c r="BJ251" s="1918">
        <f>BJ250/BJ244</f>
        <v>-0.40006246096189879</v>
      </c>
      <c r="BK251" s="1923">
        <f t="shared" si="402"/>
        <v>-0.36811926605504586</v>
      </c>
      <c r="BL251" s="1949">
        <v>-0.3</v>
      </c>
      <c r="BM251" s="1949">
        <v>-0.28000000000000003</v>
      </c>
      <c r="BN251" s="1923">
        <v>-0.22</v>
      </c>
      <c r="BO251" s="1918">
        <f>BO250/BO244</f>
        <v>-0.29182467263955891</v>
      </c>
      <c r="BP251" s="1949">
        <f>BN251+1%</f>
        <v>-0.21</v>
      </c>
      <c r="BQ251" s="1949">
        <f>BP251+1%</f>
        <v>-0.19999999999999998</v>
      </c>
      <c r="BR251" s="1949">
        <f>BQ251+1%</f>
        <v>-0.18999999999999997</v>
      </c>
      <c r="BS251" s="1923">
        <f>BR251+1%</f>
        <v>-0.17999999999999997</v>
      </c>
      <c r="BT251" s="1922">
        <f>BT250/BT244</f>
        <v>-0.19548832344697772</v>
      </c>
      <c r="BU251" s="1949">
        <f>BS251+5%</f>
        <v>-0.12999999999999995</v>
      </c>
      <c r="BV251" s="1949">
        <f>BU251+2.5%</f>
        <v>-0.10499999999999995</v>
      </c>
      <c r="BW251" s="1949">
        <f>BV251+2.5%</f>
        <v>-7.999999999999996E-2</v>
      </c>
      <c r="BX251" s="1949">
        <f>BW251+2.5%</f>
        <v>-5.4999999999999959E-2</v>
      </c>
      <c r="BY251" s="1922">
        <f>BY250/BY244</f>
        <v>-9.5017019412090772E-2</v>
      </c>
      <c r="BZ251" s="1949">
        <f>BX251+2.5%</f>
        <v>-2.9999999999999957E-2</v>
      </c>
      <c r="CA251" s="1949">
        <f>BZ251+2.5%</f>
        <v>-4.9999999999999559E-3</v>
      </c>
      <c r="CB251" s="1949">
        <f>CA251+2.5%</f>
        <v>2.0000000000000046E-2</v>
      </c>
      <c r="CC251" s="1949">
        <f>CB251+2.5%</f>
        <v>4.5000000000000047E-2</v>
      </c>
      <c r="CD251" s="1922">
        <f>CD250/CD244</f>
        <v>3.6017046491435556E-3</v>
      </c>
      <c r="CE251" s="1949">
        <f>CC251+2.5%</f>
        <v>7.0000000000000048E-2</v>
      </c>
      <c r="CF251" s="1949">
        <f>CE251+2.5%</f>
        <v>9.5000000000000057E-2</v>
      </c>
      <c r="CG251" s="1949">
        <f>CF251+2.5%</f>
        <v>0.12000000000000005</v>
      </c>
      <c r="CH251" s="1949">
        <f>CG251+2.5%</f>
        <v>0.14500000000000005</v>
      </c>
      <c r="CI251" s="1922">
        <f>CI250/CI244</f>
        <v>0.10213984956786891</v>
      </c>
      <c r="CJ251" s="1949">
        <f>CH251+2.5%</f>
        <v>0.17000000000000004</v>
      </c>
      <c r="CK251" s="1949">
        <f>CJ251+2.5%</f>
        <v>0.19500000000000003</v>
      </c>
      <c r="CL251" s="1949">
        <f>CK251+2.5%</f>
        <v>0.22000000000000003</v>
      </c>
      <c r="CM251" s="1949">
        <f>CL251+2.5%</f>
        <v>0.24500000000000002</v>
      </c>
      <c r="CN251" s="1922">
        <f>CN250/CN244</f>
        <v>0.20060415274611329</v>
      </c>
      <c r="CO251" s="1949">
        <f>CM251+2.5%</f>
        <v>0.27</v>
      </c>
      <c r="CP251" s="1949">
        <f>CO251+2.5%</f>
        <v>0.29500000000000004</v>
      </c>
      <c r="CQ251" s="1949">
        <f>CP251+2.5%</f>
        <v>0.32000000000000006</v>
      </c>
      <c r="CR251" s="1949">
        <f>CQ251+2.5%</f>
        <v>0.34500000000000008</v>
      </c>
      <c r="CS251" s="1922">
        <f>CS250/CS244</f>
        <v>0.29900366731614819</v>
      </c>
      <c r="CT251" s="1949">
        <f>CR251+2.5%</f>
        <v>0.37000000000000011</v>
      </c>
      <c r="CU251" s="1949">
        <f>CT251+2.5%</f>
        <v>0.39500000000000013</v>
      </c>
      <c r="CV251" s="1949">
        <f>CU251+2.5%</f>
        <v>0.42000000000000015</v>
      </c>
      <c r="CW251" s="1949">
        <f>CV251+2.5%</f>
        <v>0.44500000000000017</v>
      </c>
      <c r="CX251" s="1922">
        <f>CX250/CX244</f>
        <v>0.39734970261666813</v>
      </c>
      <c r="CY251" s="1923"/>
      <c r="CZ251" s="1923"/>
      <c r="DA251" s="1923"/>
      <c r="DB251" s="1923"/>
      <c r="DC251" s="1923"/>
      <c r="DD251" s="1923"/>
      <c r="DE251" s="1923"/>
      <c r="DF251" s="1923"/>
      <c r="DG251" s="1923">
        <f>DG250/DG244</f>
        <v>-1.0492898913951545</v>
      </c>
      <c r="DH251" s="1924">
        <f>DH250/DH244</f>
        <v>-0.87554112554112551</v>
      </c>
      <c r="DI251" s="1918">
        <f>SUM(BC250:BD250,BF250:BG250)/SUM(BC244:BD244,BF244:BG244)</f>
        <v>-0.53390957446808507</v>
      </c>
      <c r="DJ251" s="1924">
        <f>SUM(BH250:BI250,BK250:BL250)/SUM(BH244:BI244,BK244:BL244)</f>
        <v>-0.35848898640260973</v>
      </c>
      <c r="DK251" s="1925">
        <f>SUM(BM250:BN250,BP250:BQ250)/SUM(BM244:BN244,BP244:BQ244)</f>
        <v>-0.22592576006016485</v>
      </c>
      <c r="DL251" s="1925">
        <f>DL250/DL244</f>
        <v>-0.14808535091478642</v>
      </c>
      <c r="DM251" s="1922">
        <f>DM250/DM244</f>
        <v>-4.0060900736482885E-2</v>
      </c>
      <c r="DN251" s="1922">
        <f>DN250/DN244</f>
        <v>6.0281343276184771E-2</v>
      </c>
      <c r="DO251" s="1922"/>
      <c r="DP251" s="1922"/>
      <c r="DQ251" s="1922"/>
      <c r="DR251" s="1921"/>
    </row>
    <row r="252" spans="1:122" hidden="1" outlineLevel="2">
      <c r="A252" s="1824"/>
      <c r="B252" s="1916"/>
      <c r="C252" s="1917"/>
      <c r="D252" s="1917"/>
      <c r="E252" s="1917"/>
      <c r="F252" s="1917"/>
      <c r="G252" s="1918"/>
      <c r="H252" s="1917"/>
      <c r="I252" s="1917"/>
      <c r="J252" s="1917"/>
      <c r="K252" s="1917"/>
      <c r="L252" s="1918"/>
      <c r="M252" s="1917"/>
      <c r="N252" s="1917"/>
      <c r="O252" s="1917"/>
      <c r="P252" s="1919"/>
      <c r="Q252" s="1920"/>
      <c r="R252" s="1948"/>
      <c r="S252" s="1948"/>
      <c r="T252" s="1923"/>
      <c r="U252" s="1923"/>
      <c r="V252" s="1918"/>
      <c r="W252" s="1948"/>
      <c r="X252" s="1948"/>
      <c r="Y252" s="1948"/>
      <c r="Z252" s="1923"/>
      <c r="AA252" s="1918"/>
      <c r="AB252" s="1948"/>
      <c r="AC252" s="1951">
        <f>AC253+500</f>
        <v>4012</v>
      </c>
      <c r="AD252" s="1951">
        <f>AD253-500</f>
        <v>4329</v>
      </c>
      <c r="AE252" s="1948">
        <f>AD252/AC252-1</f>
        <v>7.9012961116650127E-2</v>
      </c>
      <c r="AF252" s="1918"/>
      <c r="AG252" s="1948"/>
      <c r="AH252" s="1948"/>
      <c r="AI252" s="1948"/>
      <c r="AJ252" s="1948"/>
      <c r="AK252" s="1918"/>
      <c r="AL252" s="1948"/>
      <c r="AM252" s="1948"/>
      <c r="AN252" s="1948"/>
      <c r="AO252" s="1948"/>
      <c r="AP252" s="1918"/>
      <c r="AQ252" s="1923"/>
      <c r="AR252" s="1923"/>
      <c r="AS252" s="1952"/>
      <c r="AT252" s="1923"/>
      <c r="AU252" s="1953"/>
      <c r="AV252" s="1923"/>
      <c r="AW252" s="1923"/>
      <c r="AX252" s="1923"/>
      <c r="AY252" s="1923"/>
      <c r="AZ252" s="1953"/>
      <c r="BA252" s="1923"/>
      <c r="BB252" s="1923"/>
      <c r="BC252" s="1923"/>
      <c r="BD252" s="1923"/>
      <c r="BE252" s="1953"/>
      <c r="BF252" s="1954"/>
      <c r="BG252" s="1923"/>
      <c r="BH252" s="1923"/>
      <c r="BI252" s="1923"/>
      <c r="BJ252" s="1953"/>
      <c r="BK252" s="1954"/>
      <c r="BL252" s="1949"/>
      <c r="BM252" s="1949"/>
      <c r="BN252" s="1923"/>
      <c r="BO252" s="1953"/>
      <c r="BP252" s="1949"/>
      <c r="BQ252" s="1949"/>
      <c r="BR252" s="1949"/>
      <c r="BS252" s="1923"/>
      <c r="BT252" s="1922"/>
      <c r="BU252" s="1949"/>
      <c r="BV252" s="1949"/>
      <c r="BW252" s="1949"/>
      <c r="BX252" s="1949"/>
      <c r="BY252" s="1922"/>
      <c r="BZ252" s="1949"/>
      <c r="CA252" s="1949"/>
      <c r="CB252" s="1949"/>
      <c r="CC252" s="1949"/>
      <c r="CD252" s="1922"/>
      <c r="CE252" s="1949"/>
      <c r="CF252" s="1949"/>
      <c r="CG252" s="1949"/>
      <c r="CH252" s="1949"/>
      <c r="CI252" s="1922"/>
      <c r="CJ252" s="1949"/>
      <c r="CK252" s="1949"/>
      <c r="CL252" s="1949"/>
      <c r="CM252" s="1949"/>
      <c r="CN252" s="1922"/>
      <c r="CO252" s="1949"/>
      <c r="CP252" s="1949"/>
      <c r="CQ252" s="1949"/>
      <c r="CR252" s="1949"/>
      <c r="CS252" s="1922"/>
      <c r="CT252" s="1949"/>
      <c r="CU252" s="1949"/>
      <c r="CV252" s="1949"/>
      <c r="CW252" s="1949"/>
      <c r="CX252" s="1922"/>
      <c r="CY252" s="1923"/>
      <c r="CZ252" s="1923"/>
      <c r="DA252" s="1923"/>
      <c r="DB252" s="1923"/>
      <c r="DC252" s="1923"/>
      <c r="DD252" s="1923"/>
      <c r="DE252" s="1923"/>
      <c r="DF252" s="1923"/>
      <c r="DG252" s="1923"/>
      <c r="DH252" s="1924"/>
      <c r="DI252" s="1918"/>
      <c r="DJ252" s="1924"/>
      <c r="DK252" s="1925"/>
      <c r="DL252" s="1925"/>
      <c r="DM252" s="1922"/>
      <c r="DN252" s="1922"/>
      <c r="DO252" s="1922"/>
      <c r="DP252" s="1922"/>
      <c r="DQ252" s="1922"/>
      <c r="DR252" s="1921"/>
    </row>
    <row r="253" spans="1:122" hidden="1" outlineLevel="2">
      <c r="A253" s="1885" t="s">
        <v>167</v>
      </c>
      <c r="B253" s="1886">
        <f>(B321+B328+B334)/1000</f>
        <v>9459.92</v>
      </c>
      <c r="C253" s="1803">
        <f>(C321+C328+C334)/1000</f>
        <v>2104.6</v>
      </c>
      <c r="D253" s="1803">
        <f>(D321+D328+D334)/1000</f>
        <v>2440.04</v>
      </c>
      <c r="E253" s="1803">
        <f>(E321+E328+E334)/1000</f>
        <v>2444.7600000000002</v>
      </c>
      <c r="F253" s="1803">
        <f>(F321+F328+F334)/1000</f>
        <v>2515.7199999999998</v>
      </c>
      <c r="G253" s="1762">
        <f>SUM(C253:F253)</f>
        <v>9505.119999999999</v>
      </c>
      <c r="H253" s="1803">
        <f>(H321+H328+H334)/1000</f>
        <v>2634</v>
      </c>
      <c r="I253" s="1803">
        <f>(I321+I328+I334)/1000</f>
        <v>2702.08</v>
      </c>
      <c r="J253" s="1803">
        <f>(J321+J328+J334)/1000</f>
        <v>2766.32</v>
      </c>
      <c r="K253" s="1803">
        <f>(K321+K328+K334)/1000</f>
        <v>2836</v>
      </c>
      <c r="L253" s="1762">
        <f>SUM(H253:K253)</f>
        <v>10938.4</v>
      </c>
      <c r="M253" s="1803">
        <f>(M321+M328+M334)/1000</f>
        <v>2701.8</v>
      </c>
      <c r="N253" s="1803">
        <f>(N321+N328+N334)/1000</f>
        <v>3415.36</v>
      </c>
      <c r="O253" s="1803">
        <f>(O321+O328+O334)/1000</f>
        <v>3229.56</v>
      </c>
      <c r="P253" s="1803">
        <f>(P321+P328+P334)/1000</f>
        <v>3431.36</v>
      </c>
      <c r="Q253" s="1762">
        <f>SUM(M253:P253)</f>
        <v>12778.08</v>
      </c>
      <c r="R253" s="1803">
        <v>3086</v>
      </c>
      <c r="S253" s="1803">
        <v>3413</v>
      </c>
      <c r="T253" s="1803">
        <v>3384</v>
      </c>
      <c r="U253" s="1803">
        <v>3637</v>
      </c>
      <c r="V253" s="1762">
        <f>SUM(R253:U253)</f>
        <v>13520</v>
      </c>
      <c r="W253" s="1889">
        <v>3283</v>
      </c>
      <c r="X253" s="1889">
        <v>3689</v>
      </c>
      <c r="Y253" s="1889">
        <v>3608</v>
      </c>
      <c r="Z253" s="1803">
        <v>3908</v>
      </c>
      <c r="AA253" s="1762">
        <f>SUM(W253:Z253)</f>
        <v>14488</v>
      </c>
      <c r="AB253" s="1889">
        <v>3425</v>
      </c>
      <c r="AC253" s="1889">
        <v>3512</v>
      </c>
      <c r="AD253" s="1889">
        <v>4829</v>
      </c>
      <c r="AE253" s="1803">
        <v>4633</v>
      </c>
      <c r="AF253" s="1762">
        <f>SUM(AB253:AE253)</f>
        <v>16399</v>
      </c>
      <c r="AG253" s="1803">
        <v>4111</v>
      </c>
      <c r="AH253" s="1889">
        <v>4815</v>
      </c>
      <c r="AI253" s="1889">
        <v>4745</v>
      </c>
      <c r="AJ253" s="1803">
        <v>5263</v>
      </c>
      <c r="AK253" s="1762">
        <f>SUM(AG253:AJ253)</f>
        <v>18934</v>
      </c>
      <c r="AL253" s="1803">
        <v>4954</v>
      </c>
      <c r="AM253" s="1889">
        <v>4881</v>
      </c>
      <c r="AN253" s="1889">
        <v>4508</v>
      </c>
      <c r="AO253" s="1890">
        <v>4567</v>
      </c>
      <c r="AP253" s="1762">
        <f>SUM(AL253:AO253)</f>
        <v>18910</v>
      </c>
      <c r="AQ253" s="1890">
        <v>4514</v>
      </c>
      <c r="AR253" s="1890">
        <v>4864</v>
      </c>
      <c r="AS253" s="1890">
        <v>4343</v>
      </c>
      <c r="AT253" s="1890">
        <v>5372</v>
      </c>
      <c r="AU253" s="1762">
        <f>SUM(AQ253:AT253)</f>
        <v>19093</v>
      </c>
      <c r="AV253" s="1890">
        <v>5202</v>
      </c>
      <c r="AW253" s="1890">
        <v>6110</v>
      </c>
      <c r="AX253" s="1890">
        <v>5329</v>
      </c>
      <c r="AY253" s="1890">
        <v>5873</v>
      </c>
      <c r="AZ253" s="1762">
        <f>SUM(AV253:AY253)</f>
        <v>22514</v>
      </c>
      <c r="BA253" s="1890">
        <v>5635</v>
      </c>
      <c r="BB253" s="1890">
        <v>6310</v>
      </c>
      <c r="BC253" s="1890">
        <v>5842</v>
      </c>
      <c r="BD253" s="1890">
        <v>6324</v>
      </c>
      <c r="BE253" s="1762">
        <f>SUM(BA253:BD253)</f>
        <v>24111</v>
      </c>
      <c r="BF253" s="1890">
        <v>5501</v>
      </c>
      <c r="BG253" s="1890">
        <v>5691</v>
      </c>
      <c r="BH253" s="1890">
        <v>6319</v>
      </c>
      <c r="BI253" s="1890">
        <v>7213</v>
      </c>
      <c r="BJ253" s="1762">
        <f>SUM(BF253:BI253)</f>
        <v>24724</v>
      </c>
      <c r="BK253" s="1890">
        <v>5991</v>
      </c>
      <c r="BL253" s="1891">
        <f>BL264+BL263</f>
        <v>6683.6042500000003</v>
      </c>
      <c r="BM253" s="1891">
        <f>BM264+BM263</f>
        <v>6355.7250000000004</v>
      </c>
      <c r="BN253" s="1890">
        <f>BN264+BN263</f>
        <v>6753.0750000000007</v>
      </c>
      <c r="BO253" s="1762">
        <f>SUM(BK253:BN253)</f>
        <v>25783.404250000003</v>
      </c>
      <c r="BP253" s="1891">
        <f>BP264+BP263</f>
        <v>6230.64</v>
      </c>
      <c r="BQ253" s="1891">
        <f>BQ264+BQ263</f>
        <v>6950.9484200000006</v>
      </c>
      <c r="BR253" s="1891">
        <f>BR264+BR263</f>
        <v>6673.5112500000005</v>
      </c>
      <c r="BS253" s="1890">
        <f>BS264+BS263</f>
        <v>7090.7287500000011</v>
      </c>
      <c r="BT253" s="1892">
        <f>SUM(BP253:BS253)</f>
        <v>26945.828420000002</v>
      </c>
      <c r="BU253" s="1891">
        <f>BU264+BU263</f>
        <v>6604.4784000000009</v>
      </c>
      <c r="BV253" s="1891">
        <f>BV264+BV263</f>
        <v>7368.0053252000007</v>
      </c>
      <c r="BW253" s="1891">
        <f>BW264+BW263</f>
        <v>7073.9219250000006</v>
      </c>
      <c r="BX253" s="1891">
        <f>BX264+BX263</f>
        <v>7445.265187500001</v>
      </c>
      <c r="BY253" s="1892">
        <f>SUM(BU253:BX253)</f>
        <v>28491.670837700003</v>
      </c>
      <c r="BZ253" s="1891">
        <f>BZ264+BZ263</f>
        <v>6934.7023200000012</v>
      </c>
      <c r="CA253" s="1891">
        <f>CA264+CA263</f>
        <v>7736.4055914600012</v>
      </c>
      <c r="CB253" s="1891">
        <f>CB264+CB263</f>
        <v>7427.6180212500012</v>
      </c>
      <c r="CC253" s="1891">
        <f>CC264+CC263</f>
        <v>7817.5284468750015</v>
      </c>
      <c r="CD253" s="1892">
        <f>SUM(BZ253:CC253)</f>
        <v>29916.254379585007</v>
      </c>
      <c r="CE253" s="1891">
        <f>CE264+CE263</f>
        <v>7281.437436000002</v>
      </c>
      <c r="CF253" s="1891">
        <f>CF264+CF263</f>
        <v>8123.2258710330016</v>
      </c>
      <c r="CG253" s="1891">
        <f>CG264+CG263</f>
        <v>7798.9989223125012</v>
      </c>
      <c r="CH253" s="1891">
        <f>CH264+CH263</f>
        <v>8208.4048692187516</v>
      </c>
      <c r="CI253" s="1892">
        <f>SUM(CE253:CH253)</f>
        <v>31412.067098564257</v>
      </c>
      <c r="CJ253" s="1891">
        <f>CJ264+CJ263</f>
        <v>7645.5093078000027</v>
      </c>
      <c r="CK253" s="1891">
        <f>CK264+CK263</f>
        <v>8529.3871645846521</v>
      </c>
      <c r="CL253" s="1891">
        <f>CL264+CL263</f>
        <v>8188.9488684281268</v>
      </c>
      <c r="CM253" s="1891">
        <f>CM264+CM263</f>
        <v>8618.8251126796895</v>
      </c>
      <c r="CN253" s="1892">
        <f>SUM(CJ253:CM253)</f>
        <v>32982.670453492472</v>
      </c>
      <c r="CO253" s="1891">
        <f>CO264+CO263</f>
        <v>8027.7847731900029</v>
      </c>
      <c r="CP253" s="1891">
        <f>CP264+CP263</f>
        <v>8955.856522813885</v>
      </c>
      <c r="CQ253" s="1891">
        <f>CQ264+CQ263</f>
        <v>8598.396311849534</v>
      </c>
      <c r="CR253" s="1891">
        <f>CR264+CR263</f>
        <v>9049.7663683136743</v>
      </c>
      <c r="CS253" s="1892">
        <f>SUM(CO253:CR253)</f>
        <v>34631.803976167095</v>
      </c>
      <c r="CT253" s="1891">
        <f>CT264+CT263</f>
        <v>8429.1740118495036</v>
      </c>
      <c r="CU253" s="1891">
        <f>CU264+CU263</f>
        <v>9403.6493489545792</v>
      </c>
      <c r="CV253" s="1891">
        <f>CV264+CV263</f>
        <v>9028.3161274420108</v>
      </c>
      <c r="CW253" s="1891">
        <f>CW264+CW263</f>
        <v>9502.2546867293586</v>
      </c>
      <c r="CX253" s="1892">
        <f>SUM(CT253:CW253)</f>
        <v>36363.394174975452</v>
      </c>
      <c r="CY253" s="1893"/>
      <c r="CZ253" s="1893"/>
      <c r="DA253" s="1893">
        <f>IS!FS14</f>
        <v>13159.92</v>
      </c>
      <c r="DB253" s="1893">
        <f>IS!FT14</f>
        <v>27513</v>
      </c>
      <c r="DC253" s="1893">
        <f>IS!FU14</f>
        <v>28941</v>
      </c>
      <c r="DD253" s="1893">
        <f>IS!FV14</f>
        <v>34787</v>
      </c>
      <c r="DE253" s="1893">
        <f>IS!FW14</f>
        <v>19843</v>
      </c>
      <c r="DF253" s="1893">
        <f>IS!FX14</f>
        <v>18453</v>
      </c>
      <c r="DG253" s="1893">
        <f>IS!FY14</f>
        <v>21027</v>
      </c>
      <c r="DH253" s="1766">
        <f>IS!FZ14</f>
        <v>23147</v>
      </c>
      <c r="DI253" s="1762">
        <f>SUM(BC253:BD253,BF253:BG253)</f>
        <v>23358</v>
      </c>
      <c r="DJ253" s="1766">
        <f>SUM(BH253:BI253,BK253:BL253)</f>
        <v>26206.60425</v>
      </c>
      <c r="DK253" s="1894">
        <f>SUM(BM253:BN253,BP253:BQ253)</f>
        <v>26290.388420000003</v>
      </c>
      <c r="DL253" s="1894">
        <f>SUM(BU253:BV253,BR253:BS253)</f>
        <v>27736.723725200005</v>
      </c>
      <c r="DM253" s="1892">
        <f>SUM(BW253:BX253,BZ253:CA253)</f>
        <v>29190.295023960003</v>
      </c>
      <c r="DN253" s="1892">
        <f>SUM(CB253:CC253,CE253:CF253)</f>
        <v>30649.80977515801</v>
      </c>
      <c r="DO253" s="1892"/>
      <c r="DP253" s="1892"/>
      <c r="DQ253" s="1892"/>
      <c r="DR253" s="1993"/>
    </row>
    <row r="254" spans="1:122" hidden="1" outlineLevel="2">
      <c r="A254" s="1760" t="s">
        <v>162</v>
      </c>
      <c r="B254" s="1895">
        <f t="shared" ref="B254:AG254" si="403">B253/B297</f>
        <v>0.37729509831292624</v>
      </c>
      <c r="C254" s="1785">
        <f t="shared" si="403"/>
        <v>0.3435520731309174</v>
      </c>
      <c r="D254" s="1785">
        <f t="shared" si="403"/>
        <v>0.31520992119881153</v>
      </c>
      <c r="E254" s="1785">
        <f t="shared" si="403"/>
        <v>0.33744099378881992</v>
      </c>
      <c r="F254" s="1785">
        <f t="shared" si="403"/>
        <v>0.34685233696401485</v>
      </c>
      <c r="G254" s="1774">
        <f t="shared" si="403"/>
        <v>0.33510029966508015</v>
      </c>
      <c r="H254" s="1785">
        <f t="shared" si="403"/>
        <v>0.34004647560030982</v>
      </c>
      <c r="I254" s="1785">
        <f t="shared" si="403"/>
        <v>0.31636576513288839</v>
      </c>
      <c r="J254" s="1785">
        <f t="shared" si="403"/>
        <v>0.35307211231652841</v>
      </c>
      <c r="K254" s="1785">
        <f t="shared" si="403"/>
        <v>0.35164290142591442</v>
      </c>
      <c r="L254" s="1774">
        <f t="shared" si="403"/>
        <v>0.33983906546121101</v>
      </c>
      <c r="M254" s="1785">
        <f t="shared" si="403"/>
        <v>0.32888618381010348</v>
      </c>
      <c r="N254" s="1785">
        <f t="shared" si="403"/>
        <v>0.33638924455825864</v>
      </c>
      <c r="O254" s="1785">
        <f t="shared" si="403"/>
        <v>0.35199564032697545</v>
      </c>
      <c r="P254" s="1785">
        <f t="shared" si="403"/>
        <v>0.36928110202324582</v>
      </c>
      <c r="Q254" s="1774">
        <f t="shared" si="403"/>
        <v>0.34690050223971763</v>
      </c>
      <c r="R254" s="1785">
        <f t="shared" si="403"/>
        <v>0.33583632604200675</v>
      </c>
      <c r="S254" s="1785">
        <f t="shared" si="403"/>
        <v>0.31549269735625807</v>
      </c>
      <c r="T254" s="1785">
        <f t="shared" si="403"/>
        <v>0.35176715176715179</v>
      </c>
      <c r="U254" s="1785">
        <f t="shared" si="403"/>
        <v>0.35793721090443853</v>
      </c>
      <c r="V254" s="1774">
        <f t="shared" si="403"/>
        <v>0.3398009450085453</v>
      </c>
      <c r="W254" s="1785">
        <f t="shared" si="403"/>
        <v>0.33702905245867981</v>
      </c>
      <c r="X254" s="1785">
        <f t="shared" si="403"/>
        <v>0.31162358506504478</v>
      </c>
      <c r="Y254" s="1785">
        <f t="shared" si="403"/>
        <v>0.33097880928355194</v>
      </c>
      <c r="Z254" s="1785">
        <f t="shared" si="403"/>
        <v>0.33101812637641875</v>
      </c>
      <c r="AA254" s="1774">
        <f t="shared" si="403"/>
        <v>0.32714627647563566</v>
      </c>
      <c r="AB254" s="1785">
        <f t="shared" si="403"/>
        <v>0.31680695587827212</v>
      </c>
      <c r="AC254" s="1785">
        <f t="shared" si="403"/>
        <v>0.28001913570403447</v>
      </c>
      <c r="AD254" s="1785">
        <f t="shared" si="403"/>
        <v>0.33539380469509655</v>
      </c>
      <c r="AE254" s="1785">
        <f t="shared" si="403"/>
        <v>0.34649614838082415</v>
      </c>
      <c r="AF254" s="1774">
        <f t="shared" si="403"/>
        <v>0.32078165955948518</v>
      </c>
      <c r="AG254" s="1785">
        <f t="shared" si="403"/>
        <v>0.29872111611684349</v>
      </c>
      <c r="AH254" s="1785">
        <f t="shared" ref="AH254:BM254" si="404">AH253/AH297</f>
        <v>0.29418952770819334</v>
      </c>
      <c r="AI254" s="1785">
        <f t="shared" si="404"/>
        <v>0.32828282828282829</v>
      </c>
      <c r="AJ254" s="1785">
        <f t="shared" si="404"/>
        <v>0.33232304097998361</v>
      </c>
      <c r="AK254" s="1774">
        <f t="shared" si="404"/>
        <v>0.31337305527970871</v>
      </c>
      <c r="AL254" s="1785">
        <f t="shared" si="404"/>
        <v>0.32892902197729235</v>
      </c>
      <c r="AM254" s="1785">
        <f t="shared" si="404"/>
        <v>0.29352336279992786</v>
      </c>
      <c r="AN254" s="1785">
        <f t="shared" si="404"/>
        <v>0.3303048065650645</v>
      </c>
      <c r="AO254" s="1785">
        <f t="shared" si="404"/>
        <v>0.34865256889838919</v>
      </c>
      <c r="AP254" s="1774">
        <f t="shared" si="404"/>
        <v>0.32359635162653799</v>
      </c>
      <c r="AQ254" s="1900">
        <f t="shared" si="404"/>
        <v>0.34938080495356039</v>
      </c>
      <c r="AR254" s="1900">
        <f t="shared" si="404"/>
        <v>0.25570392177478707</v>
      </c>
      <c r="AS254" s="1900">
        <f t="shared" si="404"/>
        <v>0.29945528511342479</v>
      </c>
      <c r="AT254" s="1900">
        <f t="shared" si="404"/>
        <v>0.33493359935158051</v>
      </c>
      <c r="AU254" s="1774">
        <f t="shared" si="404"/>
        <v>0.30556622495358809</v>
      </c>
      <c r="AV254" s="1900">
        <f t="shared" si="404"/>
        <v>0.32121025007718429</v>
      </c>
      <c r="AW254" s="1900">
        <f t="shared" si="404"/>
        <v>0.30621961609782988</v>
      </c>
      <c r="AX254" s="1900">
        <f t="shared" si="404"/>
        <v>0.32438519600681764</v>
      </c>
      <c r="AY254" s="1900">
        <f t="shared" si="404"/>
        <v>0.33820047174157408</v>
      </c>
      <c r="AZ254" s="1774">
        <f t="shared" si="404"/>
        <v>0.3218978619828245</v>
      </c>
      <c r="BA254" s="1900">
        <f t="shared" si="404"/>
        <v>0.32437255353442324</v>
      </c>
      <c r="BB254" s="1900">
        <f t="shared" si="404"/>
        <v>0.30213071582475459</v>
      </c>
      <c r="BC254" s="1900">
        <f t="shared" si="404"/>
        <v>0.33561211007066122</v>
      </c>
      <c r="BD254" s="1900">
        <f t="shared" si="404"/>
        <v>0.35018550307325985</v>
      </c>
      <c r="BE254" s="1774">
        <f t="shared" si="404"/>
        <v>0.32704854658654692</v>
      </c>
      <c r="BF254" s="1900">
        <f t="shared" si="404"/>
        <v>0.34364067966016992</v>
      </c>
      <c r="BG254" s="1900">
        <f t="shared" si="404"/>
        <v>0.26524049217002238</v>
      </c>
      <c r="BH254" s="1900">
        <f t="shared" si="404"/>
        <v>0.30840939040460735</v>
      </c>
      <c r="BI254" s="1900">
        <f t="shared" si="404"/>
        <v>0.36253518295134701</v>
      </c>
      <c r="BJ254" s="1774">
        <f t="shared" si="404"/>
        <v>0.31758917905175404</v>
      </c>
      <c r="BK254" s="1900">
        <f t="shared" si="404"/>
        <v>0.32137109752172516</v>
      </c>
      <c r="BL254" s="1903">
        <f t="shared" si="404"/>
        <v>0.2725887780904605</v>
      </c>
      <c r="BM254" s="1903">
        <f t="shared" si="404"/>
        <v>0.31150933686222609</v>
      </c>
      <c r="BN254" s="1900">
        <f t="shared" ref="BN254:CD254" si="405">BN253/BN297</f>
        <v>0.2888151141904029</v>
      </c>
      <c r="BO254" s="1774">
        <f t="shared" si="405"/>
        <v>0.29654503082372968</v>
      </c>
      <c r="BP254" s="1903">
        <f>BP253/BP297</f>
        <v>0.30957722243592323</v>
      </c>
      <c r="BQ254" s="1903">
        <f>BQ253/BQ297</f>
        <v>0.27582146706526117</v>
      </c>
      <c r="BR254" s="1903">
        <f>BR253/BR297</f>
        <v>0.32492314369544317</v>
      </c>
      <c r="BS254" s="1900">
        <f>BS253/BS297</f>
        <v>0.29591977542108955</v>
      </c>
      <c r="BT254" s="1899">
        <f t="shared" si="405"/>
        <v>0.29997277193021998</v>
      </c>
      <c r="BU254" s="1903">
        <f t="shared" si="405"/>
        <v>0.38971530674607258</v>
      </c>
      <c r="BV254" s="1903">
        <f t="shared" si="405"/>
        <v>0.34443595900903318</v>
      </c>
      <c r="BW254" s="1903">
        <f t="shared" si="405"/>
        <v>0.40458012575422597</v>
      </c>
      <c r="BX254" s="1903">
        <f t="shared" si="405"/>
        <v>0.34854821899514582</v>
      </c>
      <c r="BY254" s="1899">
        <f t="shared" si="405"/>
        <v>0.36914040554440358</v>
      </c>
      <c r="BZ254" s="1903">
        <f t="shared" si="405"/>
        <v>0.38688695144970958</v>
      </c>
      <c r="CA254" s="1903">
        <f t="shared" si="405"/>
        <v>0.34589830711268404</v>
      </c>
      <c r="CB254" s="1903">
        <f t="shared" si="405"/>
        <v>0.40593288689184887</v>
      </c>
      <c r="CC254" s="1903">
        <f t="shared" si="405"/>
        <v>0.34958341435793522</v>
      </c>
      <c r="CD254" s="1899">
        <f t="shared" si="405"/>
        <v>0.36956207360180221</v>
      </c>
      <c r="CE254" s="1903">
        <f t="shared" ref="CE254:CI254" si="406">CE253/CE297</f>
        <v>0.31434995685000827</v>
      </c>
      <c r="CF254" s="1903">
        <f t="shared" si="406"/>
        <v>0.30287962810078334</v>
      </c>
      <c r="CG254" s="1903">
        <f t="shared" si="406"/>
        <v>0.34759980120556178</v>
      </c>
      <c r="CH254" s="1903" t="e">
        <f t="shared" si="406"/>
        <v>#REF!</v>
      </c>
      <c r="CI254" s="1899" t="e">
        <f t="shared" si="406"/>
        <v>#REF!</v>
      </c>
      <c r="CJ254" s="1903">
        <f t="shared" ref="CJ254:CS254" si="407">CJ253/CJ297</f>
        <v>0.32305711604002274</v>
      </c>
      <c r="CK254" s="1903">
        <f t="shared" si="407"/>
        <v>0.31105679157814636</v>
      </c>
      <c r="CL254" s="1903">
        <f t="shared" si="407"/>
        <v>0.42746434706247599</v>
      </c>
      <c r="CM254" s="1903" t="e">
        <f t="shared" si="407"/>
        <v>#REF!</v>
      </c>
      <c r="CN254" s="1899" t="e">
        <f t="shared" si="407"/>
        <v>#REF!</v>
      </c>
      <c r="CO254" s="1903">
        <f t="shared" si="407"/>
        <v>0.32401516291376176</v>
      </c>
      <c r="CP254" s="1903">
        <f t="shared" si="407"/>
        <v>0.31766559812222239</v>
      </c>
      <c r="CQ254" s="1903">
        <f t="shared" si="407"/>
        <v>0.21935499402072695</v>
      </c>
      <c r="CR254" s="1903" t="e">
        <f t="shared" si="407"/>
        <v>#REF!</v>
      </c>
      <c r="CS254" s="1899" t="e">
        <f t="shared" si="407"/>
        <v>#REF!</v>
      </c>
      <c r="CT254" s="1903">
        <f t="shared" ref="CT254:CX254" si="408">CT253/CT297</f>
        <v>0.32622115916056182</v>
      </c>
      <c r="CU254" s="1903">
        <f t="shared" si="408"/>
        <v>0.32597266331315888</v>
      </c>
      <c r="CV254" s="1903">
        <f t="shared" si="408"/>
        <v>0.23006064660654726</v>
      </c>
      <c r="CW254" s="1903" t="e">
        <f t="shared" si="408"/>
        <v>#REF!</v>
      </c>
      <c r="CX254" s="1899" t="e">
        <f t="shared" si="408"/>
        <v>#REF!</v>
      </c>
      <c r="CY254" s="1900"/>
      <c r="CZ254" s="1900"/>
      <c r="DA254" s="1900"/>
      <c r="DB254" s="1900"/>
      <c r="DC254" s="1900"/>
      <c r="DD254" s="1900"/>
      <c r="DE254" s="1900"/>
      <c r="DF254" s="1900"/>
      <c r="DG254" s="1900"/>
      <c r="DH254" s="1773"/>
      <c r="DI254" s="1774"/>
      <c r="DJ254" s="1773"/>
      <c r="DK254" s="1901"/>
      <c r="DL254" s="1901"/>
      <c r="DM254" s="1899"/>
      <c r="DN254" s="1899"/>
      <c r="DO254" s="1899"/>
      <c r="DP254" s="1899"/>
      <c r="DQ254" s="1899"/>
      <c r="DR254" s="1898"/>
    </row>
    <row r="255" spans="1:122" hidden="1" outlineLevel="2">
      <c r="A255" s="1760" t="s">
        <v>163</v>
      </c>
      <c r="B255" s="1895"/>
      <c r="C255" s="1785"/>
      <c r="D255" s="1785"/>
      <c r="E255" s="1785"/>
      <c r="F255" s="1785"/>
      <c r="G255" s="1774">
        <f t="shared" ref="G255:AL255" si="409">G253/B253-1</f>
        <v>4.7780530913579256E-3</v>
      </c>
      <c r="H255" s="1785">
        <f t="shared" si="409"/>
        <v>0.25154423643447688</v>
      </c>
      <c r="I255" s="1785">
        <f t="shared" si="409"/>
        <v>0.10739168210357208</v>
      </c>
      <c r="J255" s="1785">
        <f t="shared" si="409"/>
        <v>0.13153029336212962</v>
      </c>
      <c r="K255" s="1785">
        <f t="shared" si="409"/>
        <v>0.12731146550490524</v>
      </c>
      <c r="L255" s="1774">
        <f t="shared" si="409"/>
        <v>0.15079031090612216</v>
      </c>
      <c r="M255" s="1785">
        <f t="shared" si="409"/>
        <v>2.5740318906605886E-2</v>
      </c>
      <c r="N255" s="1785">
        <f t="shared" si="409"/>
        <v>0.26397441970630031</v>
      </c>
      <c r="O255" s="1785">
        <f t="shared" si="409"/>
        <v>0.16745712715810157</v>
      </c>
      <c r="P255" s="1896">
        <f t="shared" si="409"/>
        <v>0.20992947813822282</v>
      </c>
      <c r="Q255" s="1897">
        <f t="shared" si="409"/>
        <v>0.16818547502376946</v>
      </c>
      <c r="R255" s="1896">
        <f t="shared" si="409"/>
        <v>0.14220149529942994</v>
      </c>
      <c r="S255" s="1896">
        <f t="shared" si="409"/>
        <v>-6.9099597114219424E-4</v>
      </c>
      <c r="T255" s="1785">
        <f t="shared" si="409"/>
        <v>4.7820755768587686E-2</v>
      </c>
      <c r="U255" s="1785">
        <f t="shared" si="409"/>
        <v>5.9929590599645532E-2</v>
      </c>
      <c r="V255" s="1774">
        <f t="shared" si="409"/>
        <v>5.8061931056935023E-2</v>
      </c>
      <c r="W255" s="1896">
        <f t="shared" si="409"/>
        <v>6.383668178872326E-2</v>
      </c>
      <c r="X255" s="1896">
        <f t="shared" si="409"/>
        <v>8.0867272194550255E-2</v>
      </c>
      <c r="Y255" s="1896">
        <f t="shared" si="409"/>
        <v>6.6193853427896077E-2</v>
      </c>
      <c r="Z255" s="1896">
        <f t="shared" si="409"/>
        <v>7.4511960406928868E-2</v>
      </c>
      <c r="AA255" s="1774">
        <f t="shared" si="409"/>
        <v>7.1597633136094574E-2</v>
      </c>
      <c r="AB255" s="1896">
        <f t="shared" si="409"/>
        <v>4.3253122144380152E-2</v>
      </c>
      <c r="AC255" s="1896">
        <f t="shared" si="409"/>
        <v>-4.7980482515586842E-2</v>
      </c>
      <c r="AD255" s="1896">
        <f t="shared" si="409"/>
        <v>0.33841463414634143</v>
      </c>
      <c r="AE255" s="1896">
        <f t="shared" si="409"/>
        <v>0.18551688843398151</v>
      </c>
      <c r="AF255" s="1774">
        <f t="shared" si="409"/>
        <v>0.13190226394257309</v>
      </c>
      <c r="AG255" s="1896">
        <f t="shared" si="409"/>
        <v>0.20029197080291961</v>
      </c>
      <c r="AH255" s="1896">
        <f t="shared" si="409"/>
        <v>0.37101366742596809</v>
      </c>
      <c r="AI255" s="1896">
        <f t="shared" si="409"/>
        <v>-1.7394905777593728E-2</v>
      </c>
      <c r="AJ255" s="1896">
        <f t="shared" si="409"/>
        <v>0.1359810058277573</v>
      </c>
      <c r="AK255" s="1774">
        <f t="shared" si="409"/>
        <v>0.15458259649978667</v>
      </c>
      <c r="AL255" s="1896">
        <f t="shared" si="409"/>
        <v>0.20505959620530279</v>
      </c>
      <c r="AM255" s="1896">
        <f t="shared" ref="AM255:BC255" si="410">AM253/AH253-1</f>
        <v>1.3707165109034358E-2</v>
      </c>
      <c r="AN255" s="1896">
        <f t="shared" si="410"/>
        <v>-4.9947312961011625E-2</v>
      </c>
      <c r="AO255" s="1896">
        <f t="shared" si="410"/>
        <v>-0.13224396731901955</v>
      </c>
      <c r="AP255" s="1774">
        <f t="shared" si="410"/>
        <v>-1.267561001373152E-3</v>
      </c>
      <c r="AQ255" s="1785">
        <f t="shared" si="410"/>
        <v>-8.8817117480823549E-2</v>
      </c>
      <c r="AR255" s="1785">
        <f t="shared" si="410"/>
        <v>-3.482892849825836E-3</v>
      </c>
      <c r="AS255" s="1785">
        <f t="shared" si="410"/>
        <v>-3.6601597160603405E-2</v>
      </c>
      <c r="AT255" s="1785">
        <f t="shared" si="410"/>
        <v>0.17626450624042045</v>
      </c>
      <c r="AU255" s="1774">
        <f t="shared" si="410"/>
        <v>9.6774193548387899E-3</v>
      </c>
      <c r="AV255" s="1785">
        <f t="shared" si="410"/>
        <v>0.15241470979175897</v>
      </c>
      <c r="AW255" s="1785">
        <f t="shared" si="410"/>
        <v>0.25616776315789469</v>
      </c>
      <c r="AX255" s="1785">
        <f t="shared" si="410"/>
        <v>0.22703200552613412</v>
      </c>
      <c r="AY255" s="1785">
        <f t="shared" si="410"/>
        <v>9.3261355174981464E-2</v>
      </c>
      <c r="AZ255" s="1774">
        <f t="shared" si="410"/>
        <v>0.17917561409940808</v>
      </c>
      <c r="BA255" s="1785">
        <f t="shared" si="410"/>
        <v>8.3237216455209539E-2</v>
      </c>
      <c r="BB255" s="1785">
        <f t="shared" si="410"/>
        <v>3.2733224222585955E-2</v>
      </c>
      <c r="BC255" s="1785">
        <f t="shared" si="410"/>
        <v>9.6265715894163995E-2</v>
      </c>
      <c r="BD255" s="1785">
        <v>6.7000000000000004E-2</v>
      </c>
      <c r="BE255" s="1774">
        <f t="shared" ref="BE255:CD255" si="411">BE253/AZ253-1</f>
        <v>7.0933641289864013E-2</v>
      </c>
      <c r="BF255" s="1785">
        <f t="shared" si="411"/>
        <v>-2.3779946761313231E-2</v>
      </c>
      <c r="BG255" s="1785">
        <f t="shared" si="411"/>
        <v>-9.8098256735340783E-2</v>
      </c>
      <c r="BH255" s="1785">
        <f t="shared" si="411"/>
        <v>8.1650119821978784E-2</v>
      </c>
      <c r="BI255" s="1785">
        <f t="shared" si="411"/>
        <v>0.14057558507273882</v>
      </c>
      <c r="BJ255" s="1774">
        <f t="shared" si="411"/>
        <v>2.5424080295300966E-2</v>
      </c>
      <c r="BK255" s="1785">
        <f>BK253/BF253-1</f>
        <v>8.9074713688420237E-2</v>
      </c>
      <c r="BL255" s="1898">
        <f>BL253/BG253-1</f>
        <v>0.17441649095062384</v>
      </c>
      <c r="BM255" s="1898">
        <f t="shared" si="411"/>
        <v>5.8118373160309655E-3</v>
      </c>
      <c r="BN255" s="1785">
        <f t="shared" si="411"/>
        <v>-6.376334396229022E-2</v>
      </c>
      <c r="BO255" s="1774">
        <f t="shared" si="411"/>
        <v>4.2849225448956529E-2</v>
      </c>
      <c r="BP255" s="1898">
        <f>BP253/BK253-1</f>
        <v>4.0000000000000036E-2</v>
      </c>
      <c r="BQ255" s="1898">
        <f>BQ253/BL253-1</f>
        <v>4.0000000000000036E-2</v>
      </c>
      <c r="BR255" s="1898">
        <f>BR253/BM253-1</f>
        <v>5.0000000000000044E-2</v>
      </c>
      <c r="BS255" s="1785">
        <f>BS253/BN253-1</f>
        <v>5.0000000000000044E-2</v>
      </c>
      <c r="BT255" s="1899">
        <f t="shared" si="411"/>
        <v>4.5084200624903925E-2</v>
      </c>
      <c r="BU255" s="1898">
        <f t="shared" si="411"/>
        <v>6.0000000000000053E-2</v>
      </c>
      <c r="BV255" s="1898">
        <f t="shared" si="411"/>
        <v>6.0000000000000053E-2</v>
      </c>
      <c r="BW255" s="1898">
        <f t="shared" si="411"/>
        <v>6.0000000000000053E-2</v>
      </c>
      <c r="BX255" s="1898">
        <f t="shared" si="411"/>
        <v>5.0000000000000044E-2</v>
      </c>
      <c r="BY255" s="1899">
        <f t="shared" si="411"/>
        <v>5.7368524493113471E-2</v>
      </c>
      <c r="BZ255" s="1898">
        <f t="shared" si="411"/>
        <v>5.0000000000000044E-2</v>
      </c>
      <c r="CA255" s="1898">
        <f t="shared" si="411"/>
        <v>5.0000000000000044E-2</v>
      </c>
      <c r="CB255" s="1898">
        <f t="shared" si="411"/>
        <v>5.0000000000000044E-2</v>
      </c>
      <c r="CC255" s="1898">
        <f t="shared" si="411"/>
        <v>5.0000000000000044E-2</v>
      </c>
      <c r="CD255" s="1899">
        <f t="shared" si="411"/>
        <v>5.0000000000000044E-2</v>
      </c>
      <c r="CE255" s="1898">
        <f t="shared" ref="CE255:CI255" si="412">CE253/BZ253-1</f>
        <v>5.0000000000000044E-2</v>
      </c>
      <c r="CF255" s="1898">
        <f t="shared" si="412"/>
        <v>5.0000000000000044E-2</v>
      </c>
      <c r="CG255" s="1898">
        <f t="shared" si="412"/>
        <v>5.0000000000000044E-2</v>
      </c>
      <c r="CH255" s="1898">
        <f t="shared" si="412"/>
        <v>5.0000000000000044E-2</v>
      </c>
      <c r="CI255" s="1899">
        <f t="shared" si="412"/>
        <v>5.0000000000000044E-2</v>
      </c>
      <c r="CJ255" s="1898">
        <f t="shared" ref="CJ255:CS255" si="413">CJ253/CE253-1</f>
        <v>5.0000000000000044E-2</v>
      </c>
      <c r="CK255" s="1898">
        <f t="shared" si="413"/>
        <v>5.0000000000000044E-2</v>
      </c>
      <c r="CL255" s="1898">
        <f t="shared" si="413"/>
        <v>5.0000000000000044E-2</v>
      </c>
      <c r="CM255" s="1898">
        <f t="shared" si="413"/>
        <v>5.0000000000000044E-2</v>
      </c>
      <c r="CN255" s="1899">
        <f t="shared" si="413"/>
        <v>5.0000000000000044E-2</v>
      </c>
      <c r="CO255" s="1898">
        <f t="shared" si="413"/>
        <v>5.0000000000000044E-2</v>
      </c>
      <c r="CP255" s="1898">
        <f t="shared" si="413"/>
        <v>5.0000000000000044E-2</v>
      </c>
      <c r="CQ255" s="1898">
        <f t="shared" si="413"/>
        <v>5.0000000000000044E-2</v>
      </c>
      <c r="CR255" s="1898">
        <f t="shared" si="413"/>
        <v>5.0000000000000044E-2</v>
      </c>
      <c r="CS255" s="1899">
        <f t="shared" si="413"/>
        <v>5.0000000000000044E-2</v>
      </c>
      <c r="CT255" s="1898">
        <f t="shared" ref="CT255" si="414">CT253/CO253-1</f>
        <v>5.0000000000000044E-2</v>
      </c>
      <c r="CU255" s="1898">
        <f t="shared" ref="CU255" si="415">CU253/CP253-1</f>
        <v>5.0000000000000044E-2</v>
      </c>
      <c r="CV255" s="1898">
        <f t="shared" ref="CV255" si="416">CV253/CQ253-1</f>
        <v>5.0000000000000044E-2</v>
      </c>
      <c r="CW255" s="1898">
        <f t="shared" ref="CW255" si="417">CW253/CR253-1</f>
        <v>5.0000000000000044E-2</v>
      </c>
      <c r="CX255" s="1899">
        <f t="shared" ref="CX255" si="418">CX253/CS253-1</f>
        <v>5.0000000000000044E-2</v>
      </c>
      <c r="CY255" s="1900"/>
      <c r="CZ255" s="1900"/>
      <c r="DA255" s="1900"/>
      <c r="DB255" s="1900">
        <f t="shared" ref="DB255:DH255" si="419">DB253/DA253-1</f>
        <v>1.0906662046577789</v>
      </c>
      <c r="DC255" s="1900">
        <f t="shared" si="419"/>
        <v>5.1902736888016499E-2</v>
      </c>
      <c r="DD255" s="1900">
        <f t="shared" si="419"/>
        <v>0.20199716664939005</v>
      </c>
      <c r="DE255" s="1900">
        <f t="shared" si="419"/>
        <v>-0.42958576479719435</v>
      </c>
      <c r="DF255" s="1900">
        <f t="shared" si="419"/>
        <v>-7.0049891649448193E-2</v>
      </c>
      <c r="DG255" s="1900">
        <f t="shared" si="419"/>
        <v>0.13948951390017883</v>
      </c>
      <c r="DH255" s="1773">
        <f t="shared" si="419"/>
        <v>0.10082275170019495</v>
      </c>
      <c r="DI255" s="1774">
        <f t="shared" ref="DI255:DN255" si="420">DI253/DH253-1</f>
        <v>9.1156521363460197E-3</v>
      </c>
      <c r="DJ255" s="1773">
        <f t="shared" si="420"/>
        <v>0.12195411636270226</v>
      </c>
      <c r="DK255" s="1901">
        <f t="shared" si="420"/>
        <v>3.1970631982967124E-3</v>
      </c>
      <c r="DL255" s="1901">
        <f t="shared" si="420"/>
        <v>5.5013843161774156E-2</v>
      </c>
      <c r="DM255" s="1899">
        <f t="shared" si="420"/>
        <v>5.2406020017402577E-2</v>
      </c>
      <c r="DN255" s="1899">
        <f t="shared" si="420"/>
        <v>5.0000000000000266E-2</v>
      </c>
      <c r="DO255" s="1899"/>
      <c r="DP255" s="1899"/>
      <c r="DQ255" s="1899"/>
      <c r="DR255" s="1898"/>
    </row>
    <row r="256" spans="1:122" hidden="1" outlineLevel="2">
      <c r="A256" s="1760" t="s">
        <v>667</v>
      </c>
      <c r="B256" s="1895"/>
      <c r="C256" s="1785"/>
      <c r="D256" s="1785"/>
      <c r="E256" s="1785"/>
      <c r="F256" s="1785"/>
      <c r="G256" s="1774"/>
      <c r="H256" s="1785">
        <f>H253/F253-1</f>
        <v>4.7016361121269501E-2</v>
      </c>
      <c r="I256" s="1785">
        <f>I253/H253-1</f>
        <v>2.5846621108580159E-2</v>
      </c>
      <c r="J256" s="1785">
        <f>J253/I253-1</f>
        <v>2.3774277593557658E-2</v>
      </c>
      <c r="K256" s="1785">
        <f>K253/J253-1</f>
        <v>2.5188698342924809E-2</v>
      </c>
      <c r="L256" s="1774"/>
      <c r="M256" s="1785">
        <f>M253/K253-1</f>
        <v>-4.7320169252468181E-2</v>
      </c>
      <c r="N256" s="1785">
        <f>N253/M253-1</f>
        <v>0.26410541120734332</v>
      </c>
      <c r="O256" s="1785">
        <f>O253/N253-1</f>
        <v>-5.4401292982291793E-2</v>
      </c>
      <c r="P256" s="1785">
        <f>P253/O253-1</f>
        <v>6.2485292114096147E-2</v>
      </c>
      <c r="Q256" s="1897"/>
      <c r="R256" s="1785">
        <f>R253/P253-1</f>
        <v>-0.10064813951319596</v>
      </c>
      <c r="S256" s="1785">
        <f>S253/R253-1</f>
        <v>0.10596241088788072</v>
      </c>
      <c r="T256" s="1785">
        <f>T253/S253-1</f>
        <v>-8.4969235276882715E-3</v>
      </c>
      <c r="U256" s="1785">
        <f>U253/T253-1</f>
        <v>7.4763593380614557E-2</v>
      </c>
      <c r="V256" s="1774"/>
      <c r="W256" s="1785">
        <f>W253/U253-1</f>
        <v>-9.7332966730822146E-2</v>
      </c>
      <c r="X256" s="1785">
        <f>X253/W253-1</f>
        <v>0.12366737739872069</v>
      </c>
      <c r="Y256" s="1785">
        <f>Y253/X253-1</f>
        <v>-2.1957169964760048E-2</v>
      </c>
      <c r="Z256" s="1785">
        <f>Z253/Y253-1</f>
        <v>8.314855875831495E-2</v>
      </c>
      <c r="AA256" s="1774"/>
      <c r="AB256" s="1785">
        <f>AB253/Z253-1</f>
        <v>-0.12359263050153535</v>
      </c>
      <c r="AC256" s="1785">
        <f>AC253/AB253-1</f>
        <v>2.5401459854014652E-2</v>
      </c>
      <c r="AD256" s="1785">
        <f>AD253/AC253-1</f>
        <v>0.375</v>
      </c>
      <c r="AE256" s="1785">
        <f>AE253/AD253-1</f>
        <v>-4.0588113481051957E-2</v>
      </c>
      <c r="AF256" s="1774"/>
      <c r="AG256" s="1785">
        <f>AG253/AE253-1</f>
        <v>-0.1126699762572847</v>
      </c>
      <c r="AH256" s="1785">
        <f>AH253/AG253-1</f>
        <v>0.17124787156409638</v>
      </c>
      <c r="AI256" s="1785">
        <f>AI253/AH253-1</f>
        <v>-1.4537902388369717E-2</v>
      </c>
      <c r="AJ256" s="1785">
        <f>AJ253/AI253-1</f>
        <v>0.10916754478398305</v>
      </c>
      <c r="AK256" s="1774"/>
      <c r="AL256" s="1785">
        <f>AL253/AJ253-1</f>
        <v>-5.8711761352840619E-2</v>
      </c>
      <c r="AM256" s="1785">
        <f>AM253/AL253-1</f>
        <v>-1.4735567218409407E-2</v>
      </c>
      <c r="AN256" s="1785">
        <f>AN253/AM253-1</f>
        <v>-7.6418766646179082E-2</v>
      </c>
      <c r="AO256" s="1785">
        <f>AO253/AN253-1</f>
        <v>1.3087843833185397E-2</v>
      </c>
      <c r="AP256" s="1774"/>
      <c r="AQ256" s="1785">
        <f>AQ253/AO253-1</f>
        <v>-1.1604992336325837E-2</v>
      </c>
      <c r="AR256" s="1785">
        <f>AR253/AQ253-1</f>
        <v>7.7536552946388948E-2</v>
      </c>
      <c r="AS256" s="1785">
        <f>AS253/AR253-1</f>
        <v>-0.10711348684210531</v>
      </c>
      <c r="AT256" s="1785">
        <f>AT253/AS253-1</f>
        <v>0.23693299562514381</v>
      </c>
      <c r="AU256" s="1774"/>
      <c r="AV256" s="1785">
        <f>AV253/AT253-1</f>
        <v>-3.1645569620253111E-2</v>
      </c>
      <c r="AW256" s="1785">
        <f>AW253/AV253-1</f>
        <v>0.17454825067281821</v>
      </c>
      <c r="AX256" s="1785">
        <f>AX253/AW253-1</f>
        <v>-0.12782324058919803</v>
      </c>
      <c r="AY256" s="1785">
        <f>AY253/AX253-1</f>
        <v>0.10208294239069238</v>
      </c>
      <c r="AZ256" s="1774"/>
      <c r="BA256" s="1785">
        <f>BA253/AY253-1</f>
        <v>-4.0524433849821184E-2</v>
      </c>
      <c r="BB256" s="1785">
        <f>BB253/BA253-1</f>
        <v>0.11978704525288375</v>
      </c>
      <c r="BC256" s="1785">
        <f>BC253/BB253-1</f>
        <v>-7.4167987321711593E-2</v>
      </c>
      <c r="BD256" s="1785">
        <f>BD253/BC253-1</f>
        <v>8.2505991098938747E-2</v>
      </c>
      <c r="BE256" s="1774"/>
      <c r="BF256" s="1785">
        <f>BF253/BD253-1</f>
        <v>-0.1301391524351676</v>
      </c>
      <c r="BG256" s="1785">
        <f>BG253/BF253-1</f>
        <v>3.4539174695509933E-2</v>
      </c>
      <c r="BH256" s="1785">
        <f>BH253/BG253-1</f>
        <v>0.11034967492532077</v>
      </c>
      <c r="BI256" s="1785">
        <f>BI253/BH253-1</f>
        <v>0.14147808197499612</v>
      </c>
      <c r="BJ256" s="1774"/>
      <c r="BK256" s="1785">
        <f>BK253/BI253-1</f>
        <v>-0.16941633162345759</v>
      </c>
      <c r="BL256" s="1898">
        <f>BL253/BK253-1</f>
        <v>0.11560745284593565</v>
      </c>
      <c r="BM256" s="1898">
        <f>BM253/BL253-1</f>
        <v>-4.905725080894785E-2</v>
      </c>
      <c r="BN256" s="1785">
        <f>BN253/BM253-1</f>
        <v>6.2518438101082152E-2</v>
      </c>
      <c r="BO256" s="1774"/>
      <c r="BP256" s="1898">
        <f>BP253/BN253-1</f>
        <v>-7.7362534845237252E-2</v>
      </c>
      <c r="BQ256" s="1898">
        <f>BQ253/BP253-1</f>
        <v>0.11560745284593565</v>
      </c>
      <c r="BR256" s="1898">
        <f>BR253/BQ253-1</f>
        <v>-3.9913570528264719E-2</v>
      </c>
      <c r="BS256" s="1785">
        <f>BS253/BR253-1</f>
        <v>6.2518438101082152E-2</v>
      </c>
      <c r="BT256" s="1899"/>
      <c r="BU256" s="1898">
        <f>BU253/BS253-1</f>
        <v>-6.8575511367572783E-2</v>
      </c>
      <c r="BV256" s="1898">
        <f>BV253/BU253-1</f>
        <v>0.11560745284593543</v>
      </c>
      <c r="BW256" s="1898">
        <f>BW253/BV253-1</f>
        <v>-3.9913570528264719E-2</v>
      </c>
      <c r="BX256" s="1898">
        <f>BX253/BW253-1</f>
        <v>5.2494679251071874E-2</v>
      </c>
      <c r="BY256" s="1899"/>
      <c r="BZ256" s="1898">
        <f>BZ253/BX253-1</f>
        <v>-6.8575511367572672E-2</v>
      </c>
      <c r="CA256" s="1898">
        <f>CA253/BZ253-1</f>
        <v>0.11560745284593565</v>
      </c>
      <c r="CB256" s="1898">
        <f>CB253/CA253-1</f>
        <v>-3.9913570528264719E-2</v>
      </c>
      <c r="CC256" s="1898">
        <f>CC253/CB253-1</f>
        <v>5.2494679251071874E-2</v>
      </c>
      <c r="CD256" s="1899"/>
      <c r="CE256" s="1898">
        <f>CE253/CC253-1</f>
        <v>-6.8575511367572672E-2</v>
      </c>
      <c r="CF256" s="1898">
        <f>CF253/CE253-1</f>
        <v>0.11560745284593543</v>
      </c>
      <c r="CG256" s="1898">
        <f>CG253/CF253-1</f>
        <v>-3.9913570528264719E-2</v>
      </c>
      <c r="CH256" s="1898">
        <f>CH253/CG253-1</f>
        <v>5.2494679251071874E-2</v>
      </c>
      <c r="CI256" s="1899"/>
      <c r="CJ256" s="1898">
        <f>CJ253/CH253-1</f>
        <v>-6.8575511367572561E-2</v>
      </c>
      <c r="CK256" s="1898">
        <f>CK253/CJ253-1</f>
        <v>0.11560745284593543</v>
      </c>
      <c r="CL256" s="1898">
        <f>CL253/CK253-1</f>
        <v>-3.9913570528264719E-2</v>
      </c>
      <c r="CM256" s="1898">
        <f>CM253/CL253-1</f>
        <v>5.2494679251071874E-2</v>
      </c>
      <c r="CN256" s="1899"/>
      <c r="CO256" s="1898">
        <f>CO253/CM253-1</f>
        <v>-6.8575511367572672E-2</v>
      </c>
      <c r="CP256" s="1898">
        <f>CP253/CO253-1</f>
        <v>0.11560745284593543</v>
      </c>
      <c r="CQ256" s="1898">
        <f>CQ253/CP253-1</f>
        <v>-3.9913570528264608E-2</v>
      </c>
      <c r="CR256" s="1898">
        <f>CR253/CQ253-1</f>
        <v>5.2494679251071874E-2</v>
      </c>
      <c r="CS256" s="1899"/>
      <c r="CT256" s="1898">
        <f>CT253/CR253-1</f>
        <v>-6.8575511367572672E-2</v>
      </c>
      <c r="CU256" s="1898">
        <f>CU253/CT253-1</f>
        <v>0.11560745284593543</v>
      </c>
      <c r="CV256" s="1898">
        <f>CV253/CU253-1</f>
        <v>-3.9913570528264608E-2</v>
      </c>
      <c r="CW256" s="1898">
        <f>CW253/CV253-1</f>
        <v>5.2494679251071874E-2</v>
      </c>
      <c r="CX256" s="1899"/>
      <c r="CY256" s="1900"/>
      <c r="CZ256" s="1900"/>
      <c r="DA256" s="1900"/>
      <c r="DB256" s="1900"/>
      <c r="DC256" s="1900"/>
      <c r="DD256" s="1900"/>
      <c r="DE256" s="1900"/>
      <c r="DF256" s="1900"/>
      <c r="DG256" s="1900"/>
      <c r="DH256" s="1773"/>
      <c r="DI256" s="1774"/>
      <c r="DJ256" s="1773"/>
      <c r="DK256" s="1901"/>
      <c r="DL256" s="1901"/>
      <c r="DM256" s="1899"/>
      <c r="DN256" s="1899"/>
      <c r="DO256" s="1899"/>
      <c r="DP256" s="1899"/>
      <c r="DQ256" s="1899"/>
      <c r="DR256" s="1898"/>
    </row>
    <row r="257" spans="1:148" hidden="1" outlineLevel="3">
      <c r="A257" s="1885" t="s">
        <v>815</v>
      </c>
      <c r="B257" s="1886">
        <f>(B325+B332+B338)/1000</f>
        <v>0</v>
      </c>
      <c r="C257" s="1803">
        <f>(C325+C332+C338)/1000</f>
        <v>0</v>
      </c>
      <c r="D257" s="1803">
        <f>(D325+D332+D338)/1000</f>
        <v>0</v>
      </c>
      <c r="E257" s="1803">
        <f>(E325+E332+E338)/1000</f>
        <v>0</v>
      </c>
      <c r="F257" s="1803">
        <f>(F325+F332+F338)/1000</f>
        <v>0</v>
      </c>
      <c r="G257" s="1762">
        <f>SUM(C257:F257)</f>
        <v>0</v>
      </c>
      <c r="H257" s="1803">
        <f>(H325+H332+H338)/1000</f>
        <v>296.99984689361423</v>
      </c>
      <c r="I257" s="1803">
        <f>(I325+I332+I338)/1000</f>
        <v>234.00008334548988</v>
      </c>
      <c r="J257" s="1803">
        <f>(J325+J332+J338)/1000</f>
        <v>304.9997832571791</v>
      </c>
      <c r="K257" s="1803">
        <f>(K325+K332+K338)/1000</f>
        <v>0</v>
      </c>
      <c r="L257" s="1762">
        <f>SUM(H257:K257)</f>
        <v>835.99971349628322</v>
      </c>
      <c r="M257" s="1803">
        <f>(M325+M332+M338)/1000</f>
        <v>381.00024903874595</v>
      </c>
      <c r="N257" s="1803">
        <f>(N325+N332+N338)/1000</f>
        <v>-209.00002249176401</v>
      </c>
      <c r="O257" s="1803">
        <f>(O325+O332+O338)/1000</f>
        <v>616.00043320091049</v>
      </c>
      <c r="P257" s="1803">
        <f>(P325+P332+P338)/1000</f>
        <v>608.00039882336398</v>
      </c>
      <c r="Q257" s="1762">
        <f>SUM(M257:P257)</f>
        <v>1396.0010585712564</v>
      </c>
      <c r="R257" s="1803">
        <v>3086</v>
      </c>
      <c r="S257" s="1803">
        <v>3413</v>
      </c>
      <c r="T257" s="1803">
        <v>3384</v>
      </c>
      <c r="U257" s="1803">
        <v>3637</v>
      </c>
      <c r="V257" s="1762">
        <f>SUM(R257:U257)</f>
        <v>13520</v>
      </c>
      <c r="W257" s="1889">
        <v>3283</v>
      </c>
      <c r="X257" s="1889">
        <v>3689</v>
      </c>
      <c r="Y257" s="1889">
        <v>3608</v>
      </c>
      <c r="Z257" s="1803">
        <v>3908</v>
      </c>
      <c r="AA257" s="1762">
        <f>SUM(W257:Z257)</f>
        <v>14488</v>
      </c>
      <c r="AB257" s="1889">
        <v>3425</v>
      </c>
      <c r="AC257" s="1889">
        <v>3512</v>
      </c>
      <c r="AD257" s="1889">
        <v>4829</v>
      </c>
      <c r="AE257" s="1803">
        <v>4633</v>
      </c>
      <c r="AF257" s="1762">
        <f>SUM(AB257:AE257)</f>
        <v>16399</v>
      </c>
      <c r="AG257" s="1803">
        <v>4111</v>
      </c>
      <c r="AH257" s="1889">
        <v>4815</v>
      </c>
      <c r="AI257" s="1889">
        <v>4745</v>
      </c>
      <c r="AJ257" s="1803">
        <v>5263</v>
      </c>
      <c r="AK257" s="1762">
        <f>SUM(AG257:AJ257)</f>
        <v>18934</v>
      </c>
      <c r="AL257" s="1803">
        <v>4954</v>
      </c>
      <c r="AM257" s="1889">
        <v>4881</v>
      </c>
      <c r="AN257" s="1889">
        <v>4508</v>
      </c>
      <c r="AO257" s="1890">
        <v>4567</v>
      </c>
      <c r="AP257" s="1762">
        <f>SUM(AL257:AO257)</f>
        <v>18910</v>
      </c>
      <c r="AQ257" s="1890">
        <v>4514</v>
      </c>
      <c r="AR257" s="1890">
        <v>4864</v>
      </c>
      <c r="AS257" s="1890">
        <v>4343</v>
      </c>
      <c r="AT257" s="1890">
        <v>5372</v>
      </c>
      <c r="AU257" s="1762">
        <f>SUM(AQ257:AT257)</f>
        <v>19093</v>
      </c>
      <c r="AV257" s="1890">
        <v>5202</v>
      </c>
      <c r="AW257" s="1890">
        <v>6110</v>
      </c>
      <c r="AX257" s="1890">
        <v>5329</v>
      </c>
      <c r="AY257" s="1890">
        <v>5873</v>
      </c>
      <c r="AZ257" s="1762">
        <f>SUM(AV257:AY257)</f>
        <v>22514</v>
      </c>
      <c r="BA257" s="1890">
        <v>5607</v>
      </c>
      <c r="BB257" s="1890">
        <v>6279</v>
      </c>
      <c r="BC257" s="1890">
        <v>5814</v>
      </c>
      <c r="BD257" s="1890">
        <v>6291</v>
      </c>
      <c r="BE257" s="1762">
        <f>SUM(BA257:BD257)</f>
        <v>23991</v>
      </c>
      <c r="BF257" s="1890">
        <v>5502</v>
      </c>
      <c r="BG257" s="1890">
        <f>BG253-BG260</f>
        <v>5671</v>
      </c>
      <c r="BH257" s="1890">
        <f>BC257*(1+BH258)</f>
        <v>6511.68</v>
      </c>
      <c r="BI257" s="1890">
        <f>BD257*(1+BI258)</f>
        <v>7391.9250000000002</v>
      </c>
      <c r="BJ257" s="1762">
        <f>SUM(BF257:BI257)</f>
        <v>25076.605</v>
      </c>
      <c r="BK257" s="1890">
        <f>BK253-BK260</f>
        <v>5956</v>
      </c>
      <c r="BL257" s="1890">
        <f>BL253-BL260</f>
        <v>6632.0344050199092</v>
      </c>
      <c r="BM257" s="1890">
        <f>BM253-BM260</f>
        <v>6315.7250000000004</v>
      </c>
      <c r="BN257" s="1890">
        <f>BN253-BN260</f>
        <v>6723.0750000000007</v>
      </c>
      <c r="BO257" s="1762">
        <f>SUM(BK257:BN257)</f>
        <v>25626.834405019912</v>
      </c>
      <c r="BP257" s="1890">
        <f>BP253-BP260</f>
        <v>6150.64</v>
      </c>
      <c r="BQ257" s="1890">
        <f>BQ253-BQ260</f>
        <v>6875.9484200000006</v>
      </c>
      <c r="BR257" s="1890">
        <f>BR253-BR260</f>
        <v>6626.0112500000005</v>
      </c>
      <c r="BS257" s="1890">
        <f>BS253-BS260</f>
        <v>7030.7287500000011</v>
      </c>
      <c r="BT257" s="1762">
        <f>SUM(BP257:BS257)</f>
        <v>26683.328420000002</v>
      </c>
      <c r="BU257" s="1890">
        <f>BU253-BU260</f>
        <v>5704.4784000000009</v>
      </c>
      <c r="BV257" s="1890">
        <f>BV253-BV260</f>
        <v>6468.0053252000007</v>
      </c>
      <c r="BW257" s="1890">
        <f>BW253-BW260</f>
        <v>6173.9219250000006</v>
      </c>
      <c r="BX257" s="1890">
        <f>BX253-BX260</f>
        <v>6545.265187500001</v>
      </c>
      <c r="BY257" s="1762">
        <f>SUM(BU257:BX257)</f>
        <v>24891.670837700003</v>
      </c>
      <c r="BZ257" s="1890">
        <f>BZ253-BZ260</f>
        <v>6034.7023200000012</v>
      </c>
      <c r="CA257" s="1890">
        <f>CA253-CA260</f>
        <v>6836.4055914600012</v>
      </c>
      <c r="CB257" s="1890">
        <f>CB253-CB260</f>
        <v>6527.6180212500012</v>
      </c>
      <c r="CC257" s="1890">
        <f>CC253-CC260</f>
        <v>6917.5284468750015</v>
      </c>
      <c r="CD257" s="1762">
        <f>SUM(BZ257:CC257)</f>
        <v>26316.254379585007</v>
      </c>
      <c r="CE257" s="1890">
        <f>CE253-CE260</f>
        <v>7192.3455335421449</v>
      </c>
      <c r="CF257" s="1890">
        <f>CF253-CF260</f>
        <v>8058.6047988819719</v>
      </c>
      <c r="CG257" s="1890">
        <f>CG253-CG260</f>
        <v>7729.1441201388488</v>
      </c>
      <c r="CH257" s="1890" t="e">
        <f>CH253-CH260</f>
        <v>#REF!</v>
      </c>
      <c r="CI257" s="1762" t="e">
        <f>SUM(CE257:CH257)</f>
        <v>#REF!</v>
      </c>
      <c r="CJ257" s="1890">
        <f>CJ253-CJ260</f>
        <v>7580.2096098265456</v>
      </c>
      <c r="CK257" s="1890">
        <f>CK253-CK260</f>
        <v>8464.6916411883667</v>
      </c>
      <c r="CL257" s="1890">
        <f>CL253-CL260</f>
        <v>8188.9488684281268</v>
      </c>
      <c r="CM257" s="1890" t="e">
        <f>CM253-CM260</f>
        <v>#REF!</v>
      </c>
      <c r="CN257" s="1762" t="e">
        <f>SUM(CJ257:CM257)</f>
        <v>#REF!</v>
      </c>
      <c r="CO257" s="1890">
        <f>CO253-CO260</f>
        <v>7957.5711652660211</v>
      </c>
      <c r="CP257" s="1890">
        <f>CP253-CP260</f>
        <v>8885.8933106947843</v>
      </c>
      <c r="CQ257" s="1890">
        <f>CQ253-CQ260</f>
        <v>8598.396311849534</v>
      </c>
      <c r="CR257" s="1890" t="e">
        <f>CR253-CR260</f>
        <v>#REF!</v>
      </c>
      <c r="CS257" s="1762" t="e">
        <f>SUM(CO257:CR257)</f>
        <v>#REF!</v>
      </c>
      <c r="CT257" s="1890">
        <f>CT253-CT260</f>
        <v>8356.670506954104</v>
      </c>
      <c r="CU257" s="1890">
        <f>CU253-CU260</f>
        <v>9331.4441813665271</v>
      </c>
      <c r="CV257" s="1890">
        <f>CV253-CV260</f>
        <v>9028.3161274420108</v>
      </c>
      <c r="CW257" s="1890" t="e">
        <f>CW253-CW260</f>
        <v>#REF!</v>
      </c>
      <c r="CX257" s="1762" t="e">
        <f>SUM(CT257:CW257)</f>
        <v>#REF!</v>
      </c>
      <c r="CY257" s="1893"/>
      <c r="CZ257" s="1893"/>
      <c r="DA257" s="1893"/>
      <c r="DB257" s="1893"/>
      <c r="DC257" s="1893"/>
      <c r="DD257" s="1893"/>
      <c r="DE257" s="1893"/>
      <c r="DF257" s="1893"/>
      <c r="DG257" s="1893"/>
      <c r="DH257" s="1766"/>
      <c r="DI257" s="1762">
        <f>SUM(BC257:BD257,BF257:BG257)</f>
        <v>23278</v>
      </c>
      <c r="DJ257" s="1766">
        <f>SUM(BH257:BI257,BK257:BL257)</f>
        <v>26491.639405019909</v>
      </c>
      <c r="DK257" s="1894">
        <f>SUM(BM257:BN257,BP257:BQ257)</f>
        <v>26065.388420000003</v>
      </c>
      <c r="DL257" s="1894">
        <f>SUM(BU257:BV257,BR257:BS257)</f>
        <v>25829.223725200005</v>
      </c>
      <c r="DM257" s="1892">
        <f>SUM(BW257:BX257,BZ257:CA257)</f>
        <v>25590.295023960003</v>
      </c>
      <c r="DN257" s="1892">
        <f>SUM(CB257:CC257,CE257:CF257)</f>
        <v>28696.096800549123</v>
      </c>
      <c r="DO257" s="1892"/>
      <c r="DP257" s="1892"/>
      <c r="DQ257" s="1892"/>
      <c r="DR257" s="1993"/>
    </row>
    <row r="258" spans="1:148" hidden="1" outlineLevel="3">
      <c r="A258" s="1760" t="s">
        <v>813</v>
      </c>
      <c r="B258" s="1895"/>
      <c r="C258" s="1785"/>
      <c r="D258" s="1785"/>
      <c r="E258" s="1785"/>
      <c r="F258" s="1785"/>
      <c r="G258" s="1774" t="e">
        <f t="shared" ref="G258:AL258" si="421">G257/B257-1</f>
        <v>#DIV/0!</v>
      </c>
      <c r="H258" s="1785" t="e">
        <f t="shared" si="421"/>
        <v>#DIV/0!</v>
      </c>
      <c r="I258" s="1785" t="e">
        <f t="shared" si="421"/>
        <v>#DIV/0!</v>
      </c>
      <c r="J258" s="1785" t="e">
        <f t="shared" si="421"/>
        <v>#DIV/0!</v>
      </c>
      <c r="K258" s="1785" t="e">
        <f t="shared" si="421"/>
        <v>#DIV/0!</v>
      </c>
      <c r="L258" s="1774" t="e">
        <f t="shared" si="421"/>
        <v>#DIV/0!</v>
      </c>
      <c r="M258" s="1785">
        <f t="shared" si="421"/>
        <v>0.28282978265379644</v>
      </c>
      <c r="N258" s="1785">
        <f t="shared" si="421"/>
        <v>-1.8931621711569457</v>
      </c>
      <c r="O258" s="1785">
        <f t="shared" si="421"/>
        <v>1.0196749867244734</v>
      </c>
      <c r="P258" s="1896" t="e">
        <f t="shared" si="421"/>
        <v>#DIV/0!</v>
      </c>
      <c r="Q258" s="1897">
        <f t="shared" si="421"/>
        <v>0.66985829783715944</v>
      </c>
      <c r="R258" s="1896">
        <f t="shared" si="421"/>
        <v>7.0997322384589001</v>
      </c>
      <c r="S258" s="1896">
        <f t="shared" si="421"/>
        <v>-17.330141783283754</v>
      </c>
      <c r="T258" s="1785">
        <f t="shared" si="421"/>
        <v>4.493502630210485</v>
      </c>
      <c r="U258" s="1785">
        <f t="shared" si="421"/>
        <v>4.9819039708502224</v>
      </c>
      <c r="V258" s="1774">
        <f t="shared" si="421"/>
        <v>8.684806409700796</v>
      </c>
      <c r="W258" s="1896">
        <f t="shared" si="421"/>
        <v>6.383668178872326E-2</v>
      </c>
      <c r="X258" s="1896">
        <f t="shared" si="421"/>
        <v>8.0867272194550255E-2</v>
      </c>
      <c r="Y258" s="1896">
        <f t="shared" si="421"/>
        <v>6.6193853427896077E-2</v>
      </c>
      <c r="Z258" s="1896">
        <f t="shared" si="421"/>
        <v>7.4511960406928868E-2</v>
      </c>
      <c r="AA258" s="1774">
        <f t="shared" si="421"/>
        <v>7.1597633136094574E-2</v>
      </c>
      <c r="AB258" s="1896">
        <f t="shared" si="421"/>
        <v>4.3253122144380152E-2</v>
      </c>
      <c r="AC258" s="1896">
        <f t="shared" si="421"/>
        <v>-4.7980482515586842E-2</v>
      </c>
      <c r="AD258" s="1896">
        <f t="shared" si="421"/>
        <v>0.33841463414634143</v>
      </c>
      <c r="AE258" s="1896">
        <f t="shared" si="421"/>
        <v>0.18551688843398151</v>
      </c>
      <c r="AF258" s="1774">
        <f t="shared" si="421"/>
        <v>0.13190226394257309</v>
      </c>
      <c r="AG258" s="1896">
        <f t="shared" si="421"/>
        <v>0.20029197080291961</v>
      </c>
      <c r="AH258" s="1896">
        <f t="shared" si="421"/>
        <v>0.37101366742596809</v>
      </c>
      <c r="AI258" s="1896">
        <f t="shared" si="421"/>
        <v>-1.7394905777593728E-2</v>
      </c>
      <c r="AJ258" s="1896">
        <f t="shared" si="421"/>
        <v>0.1359810058277573</v>
      </c>
      <c r="AK258" s="1774">
        <f t="shared" si="421"/>
        <v>0.15458259649978667</v>
      </c>
      <c r="AL258" s="1896">
        <f t="shared" si="421"/>
        <v>0.20505959620530279</v>
      </c>
      <c r="AM258" s="1896">
        <f t="shared" ref="AM258:BC258" si="422">AM257/AH257-1</f>
        <v>1.3707165109034358E-2</v>
      </c>
      <c r="AN258" s="1896">
        <f t="shared" si="422"/>
        <v>-4.9947312961011625E-2</v>
      </c>
      <c r="AO258" s="1896">
        <f t="shared" si="422"/>
        <v>-0.13224396731901955</v>
      </c>
      <c r="AP258" s="1774">
        <f t="shared" si="422"/>
        <v>-1.267561001373152E-3</v>
      </c>
      <c r="AQ258" s="1785">
        <f t="shared" si="422"/>
        <v>-8.8817117480823549E-2</v>
      </c>
      <c r="AR258" s="1785">
        <f t="shared" si="422"/>
        <v>-3.482892849825836E-3</v>
      </c>
      <c r="AS258" s="1785">
        <f t="shared" si="422"/>
        <v>-3.6601597160603405E-2</v>
      </c>
      <c r="AT258" s="1785">
        <f t="shared" si="422"/>
        <v>0.17626450624042045</v>
      </c>
      <c r="AU258" s="1774">
        <f t="shared" si="422"/>
        <v>9.6774193548387899E-3</v>
      </c>
      <c r="AV258" s="1785">
        <f t="shared" si="422"/>
        <v>0.15241470979175897</v>
      </c>
      <c r="AW258" s="1785">
        <f t="shared" si="422"/>
        <v>0.25616776315789469</v>
      </c>
      <c r="AX258" s="1785">
        <f t="shared" si="422"/>
        <v>0.22703200552613412</v>
      </c>
      <c r="AY258" s="1785">
        <f t="shared" si="422"/>
        <v>9.3261355174981464E-2</v>
      </c>
      <c r="AZ258" s="1774">
        <f t="shared" si="422"/>
        <v>0.17917561409940808</v>
      </c>
      <c r="BA258" s="1785">
        <f t="shared" si="422"/>
        <v>7.7854671280276788E-2</v>
      </c>
      <c r="BB258" s="1785">
        <f t="shared" si="422"/>
        <v>2.7659574468085202E-2</v>
      </c>
      <c r="BC258" s="1785">
        <f t="shared" si="422"/>
        <v>9.101144680052542E-2</v>
      </c>
      <c r="BD258" s="1785">
        <v>6.7000000000000004E-2</v>
      </c>
      <c r="BE258" s="1774">
        <f>BE257/AZ257-1</f>
        <v>6.5603624411477268E-2</v>
      </c>
      <c r="BF258" s="1785">
        <f>BF257/BA257-1</f>
        <v>-1.8726591760299671E-2</v>
      </c>
      <c r="BG258" s="1785">
        <f>BG257/BB257-1</f>
        <v>-9.6830705526357752E-2</v>
      </c>
      <c r="BH258" s="1785">
        <v>0.12</v>
      </c>
      <c r="BI258" s="1785">
        <v>0.17499999999999999</v>
      </c>
      <c r="BJ258" s="1774">
        <f t="shared" ref="BJ258:CI258" si="423">BJ257/BE257-1</f>
        <v>4.5250510608144667E-2</v>
      </c>
      <c r="BK258" s="1785">
        <f>BK257/BF257-1</f>
        <v>8.2515448927662716E-2</v>
      </c>
      <c r="BL258" s="1785">
        <f t="shared" si="423"/>
        <v>0.1694647161029641</v>
      </c>
      <c r="BM258" s="1785">
        <f t="shared" si="423"/>
        <v>-3.0092848542925932E-2</v>
      </c>
      <c r="BN258" s="1785">
        <f t="shared" si="423"/>
        <v>-9.0483872604226856E-2</v>
      </c>
      <c r="BO258" s="1774">
        <f t="shared" si="423"/>
        <v>2.1941941703029988E-2</v>
      </c>
      <c r="BP258" s="1785">
        <f t="shared" si="423"/>
        <v>3.2679650772330371E-2</v>
      </c>
      <c r="BQ258" s="1785">
        <f t="shared" si="423"/>
        <v>3.6778158870145239E-2</v>
      </c>
      <c r="BR258" s="1785">
        <f t="shared" si="423"/>
        <v>4.9129157776818921E-2</v>
      </c>
      <c r="BS258" s="1785">
        <f t="shared" si="423"/>
        <v>4.5760868352651141E-2</v>
      </c>
      <c r="BT258" s="1774">
        <f t="shared" si="423"/>
        <v>4.1226083498363764E-2</v>
      </c>
      <c r="BU258" s="1785">
        <f t="shared" si="423"/>
        <v>-7.2539052846532948E-2</v>
      </c>
      <c r="BV258" s="1785">
        <f t="shared" si="423"/>
        <v>-5.9328992872229813E-2</v>
      </c>
      <c r="BW258" s="1785">
        <f t="shared" si="423"/>
        <v>-6.8229483461863971E-2</v>
      </c>
      <c r="BX258" s="1785">
        <f t="shared" si="423"/>
        <v>-6.9048825486262677E-2</v>
      </c>
      <c r="BY258" s="1774">
        <f t="shared" si="423"/>
        <v>-6.7145205954032838E-2</v>
      </c>
      <c r="BZ258" s="1785">
        <f t="shared" si="423"/>
        <v>5.7888538941614831E-2</v>
      </c>
      <c r="CA258" s="1785">
        <f t="shared" si="423"/>
        <v>5.6957322657833265E-2</v>
      </c>
      <c r="CB258" s="1785">
        <f t="shared" si="423"/>
        <v>5.7288721909129148E-2</v>
      </c>
      <c r="CC258" s="1785">
        <f t="shared" si="423"/>
        <v>5.6875198897355705E-2</v>
      </c>
      <c r="CD258" s="1774">
        <f t="shared" si="423"/>
        <v>5.7231334576680171E-2</v>
      </c>
      <c r="CE258" s="1785">
        <f t="shared" si="423"/>
        <v>0.19183103857592498</v>
      </c>
      <c r="CF258" s="1785">
        <f t="shared" si="423"/>
        <v>0.17877804221398663</v>
      </c>
      <c r="CG258" s="1785">
        <f t="shared" si="423"/>
        <v>0.18406807735645692</v>
      </c>
      <c r="CH258" s="1785" t="e">
        <f t="shared" si="423"/>
        <v>#REF!</v>
      </c>
      <c r="CI258" s="1774" t="e">
        <f t="shared" si="423"/>
        <v>#REF!</v>
      </c>
      <c r="CJ258" s="1785">
        <f t="shared" ref="CJ258:CS258" si="424">CJ257/CE257-1</f>
        <v>5.3927341849131505E-2</v>
      </c>
      <c r="CK258" s="1785">
        <f t="shared" si="424"/>
        <v>5.0391705815221677E-2</v>
      </c>
      <c r="CL258" s="1785">
        <f t="shared" si="424"/>
        <v>5.9489736656769487E-2</v>
      </c>
      <c r="CM258" s="1785" t="e">
        <f t="shared" si="424"/>
        <v>#REF!</v>
      </c>
      <c r="CN258" s="1774" t="e">
        <f t="shared" si="424"/>
        <v>#REF!</v>
      </c>
      <c r="CO258" s="1785">
        <f t="shared" si="424"/>
        <v>4.9782469728843148E-2</v>
      </c>
      <c r="CP258" s="1785">
        <f t="shared" si="424"/>
        <v>4.9759836194964491E-2</v>
      </c>
      <c r="CQ258" s="1785">
        <f t="shared" si="424"/>
        <v>5.0000000000000044E-2</v>
      </c>
      <c r="CR258" s="1785" t="e">
        <f t="shared" si="424"/>
        <v>#REF!</v>
      </c>
      <c r="CS258" s="1774" t="e">
        <f t="shared" si="424"/>
        <v>#REF!</v>
      </c>
      <c r="CT258" s="1785">
        <f t="shared" ref="CT258" si="425">CT257/CO257-1</f>
        <v>5.0153411562325667E-2</v>
      </c>
      <c r="CU258" s="1785">
        <f t="shared" ref="CU258" si="426">CU257/CP257-1</f>
        <v>5.0141370720205636E-2</v>
      </c>
      <c r="CV258" s="1785">
        <f t="shared" ref="CV258" si="427">CV257/CQ257-1</f>
        <v>5.0000000000000044E-2</v>
      </c>
      <c r="CW258" s="1785" t="e">
        <f t="shared" ref="CW258" si="428">CW257/CR257-1</f>
        <v>#REF!</v>
      </c>
      <c r="CX258" s="1774" t="e">
        <f t="shared" ref="CX258" si="429">CX257/CS257-1</f>
        <v>#REF!</v>
      </c>
      <c r="CY258" s="1900"/>
      <c r="CZ258" s="1900"/>
      <c r="DA258" s="1900"/>
      <c r="DB258" s="1900"/>
      <c r="DC258" s="1900"/>
      <c r="DD258" s="1900"/>
      <c r="DE258" s="1900"/>
      <c r="DF258" s="1900"/>
      <c r="DG258" s="1900"/>
      <c r="DH258" s="1773"/>
      <c r="DI258" s="1774"/>
      <c r="DJ258" s="1773">
        <f>DJ257/DI257-1</f>
        <v>0.13805479014605671</v>
      </c>
      <c r="DK258" s="1901">
        <f>DK257/DJ257-1</f>
        <v>-1.609001913785435E-2</v>
      </c>
      <c r="DL258" s="1901">
        <f>DL257/DK257-1</f>
        <v>-9.0604709584449772E-3</v>
      </c>
      <c r="DM258" s="1899">
        <f>DM257/DL257-1</f>
        <v>-9.2503245076968055E-3</v>
      </c>
      <c r="DN258" s="1899">
        <f>DN257/DM257-1</f>
        <v>0.12136639197325327</v>
      </c>
      <c r="DO258" s="1899"/>
      <c r="DP258" s="1899"/>
      <c r="DQ258" s="1899"/>
      <c r="DR258" s="1898"/>
    </row>
    <row r="259" spans="1:148" hidden="1" outlineLevel="3">
      <c r="A259" s="1760" t="s">
        <v>814</v>
      </c>
      <c r="B259" s="1895"/>
      <c r="C259" s="1785"/>
      <c r="D259" s="1785"/>
      <c r="E259" s="1785"/>
      <c r="F259" s="1785"/>
      <c r="G259" s="1774"/>
      <c r="H259" s="1785" t="e">
        <f>H257/F257-1</f>
        <v>#DIV/0!</v>
      </c>
      <c r="I259" s="1785">
        <f>I257/H257-1</f>
        <v>-0.21212052533714254</v>
      </c>
      <c r="J259" s="1785">
        <f>J257/I257-1</f>
        <v>0.30341741291972779</v>
      </c>
      <c r="K259" s="1785">
        <f>K257/J257-1</f>
        <v>-1</v>
      </c>
      <c r="L259" s="1774"/>
      <c r="M259" s="1785" t="e">
        <f>M257/K257-1</f>
        <v>#DIV/0!</v>
      </c>
      <c r="N259" s="1785">
        <f>N257/M257-1</f>
        <v>-1.5485561309187221</v>
      </c>
      <c r="O259" s="1785">
        <f>O257/N257-1</f>
        <v>-3.9473701765997897</v>
      </c>
      <c r="P259" s="1785">
        <f>P257/O257-1</f>
        <v>-1.2987059661591638E-2</v>
      </c>
      <c r="Q259" s="1897"/>
      <c r="R259" s="1785">
        <f>R257/P257-1</f>
        <v>4.075654565313112</v>
      </c>
      <c r="S259" s="1785">
        <f>S257/R257-1</f>
        <v>0.10596241088788072</v>
      </c>
      <c r="T259" s="1785">
        <f>T257/S257-1</f>
        <v>-8.4969235276882715E-3</v>
      </c>
      <c r="U259" s="1785">
        <f>U257/T257-1</f>
        <v>7.4763593380614557E-2</v>
      </c>
      <c r="V259" s="1774"/>
      <c r="W259" s="1785">
        <f>W257/U257-1</f>
        <v>-9.7332966730822146E-2</v>
      </c>
      <c r="X259" s="1785">
        <f>X257/W257-1</f>
        <v>0.12366737739872069</v>
      </c>
      <c r="Y259" s="1785">
        <f>Y257/X257-1</f>
        <v>-2.1957169964760048E-2</v>
      </c>
      <c r="Z259" s="1785">
        <f>Z257/Y257-1</f>
        <v>8.314855875831495E-2</v>
      </c>
      <c r="AA259" s="1774"/>
      <c r="AB259" s="1785">
        <f>AB257/Z257-1</f>
        <v>-0.12359263050153535</v>
      </c>
      <c r="AC259" s="1785">
        <f>AC257/AB257-1</f>
        <v>2.5401459854014652E-2</v>
      </c>
      <c r="AD259" s="1785">
        <f>AD257/AC257-1</f>
        <v>0.375</v>
      </c>
      <c r="AE259" s="1785">
        <f>AE257/AD257-1</f>
        <v>-4.0588113481051957E-2</v>
      </c>
      <c r="AF259" s="1774"/>
      <c r="AG259" s="1785">
        <f>AG257/AE257-1</f>
        <v>-0.1126699762572847</v>
      </c>
      <c r="AH259" s="1785">
        <f>AH257/AG257-1</f>
        <v>0.17124787156409638</v>
      </c>
      <c r="AI259" s="1785">
        <f>AI257/AH257-1</f>
        <v>-1.4537902388369717E-2</v>
      </c>
      <c r="AJ259" s="1785">
        <f>AJ257/AI257-1</f>
        <v>0.10916754478398305</v>
      </c>
      <c r="AK259" s="1774"/>
      <c r="AL259" s="1785">
        <f>AL257/AJ257-1</f>
        <v>-5.8711761352840619E-2</v>
      </c>
      <c r="AM259" s="1785">
        <f>AM257/AL257-1</f>
        <v>-1.4735567218409407E-2</v>
      </c>
      <c r="AN259" s="1785">
        <f>AN257/AM257-1</f>
        <v>-7.6418766646179082E-2</v>
      </c>
      <c r="AO259" s="1785">
        <f>AO257/AN257-1</f>
        <v>1.3087843833185397E-2</v>
      </c>
      <c r="AP259" s="1774"/>
      <c r="AQ259" s="1785">
        <f>AQ257/AO257-1</f>
        <v>-1.1604992336325837E-2</v>
      </c>
      <c r="AR259" s="1785">
        <f>AR257/AQ257-1</f>
        <v>7.7536552946388948E-2</v>
      </c>
      <c r="AS259" s="1785">
        <f>AS257/AR257-1</f>
        <v>-0.10711348684210531</v>
      </c>
      <c r="AT259" s="1785">
        <f>AT257/AS257-1</f>
        <v>0.23693299562514381</v>
      </c>
      <c r="AU259" s="1774"/>
      <c r="AV259" s="1785">
        <f>AV257/AT257-1</f>
        <v>-3.1645569620253111E-2</v>
      </c>
      <c r="AW259" s="1785">
        <f>AW257/AV257-1</f>
        <v>0.17454825067281821</v>
      </c>
      <c r="AX259" s="1785">
        <f>AX257/AW257-1</f>
        <v>-0.12782324058919803</v>
      </c>
      <c r="AY259" s="1785">
        <f>AY257/AX257-1</f>
        <v>0.10208294239069238</v>
      </c>
      <c r="AZ259" s="1774"/>
      <c r="BA259" s="1785">
        <f>BA257/AY257-1</f>
        <v>-4.5292014302741324E-2</v>
      </c>
      <c r="BB259" s="1785">
        <f>BB257/BA257-1</f>
        <v>0.11985018726591767</v>
      </c>
      <c r="BC259" s="1785">
        <f>BC257/BB257-1</f>
        <v>-7.4056378404204537E-2</v>
      </c>
      <c r="BD259" s="1785">
        <f>BD257/BC257-1</f>
        <v>8.2043343653250833E-2</v>
      </c>
      <c r="BE259" s="1774"/>
      <c r="BF259" s="1785">
        <f>BF257/BD257-1</f>
        <v>-0.12541726275631859</v>
      </c>
      <c r="BG259" s="1785">
        <f>BG257/BF257-1</f>
        <v>3.0716103235187253E-2</v>
      </c>
      <c r="BH259" s="1785">
        <f>BH257/BG257-1</f>
        <v>0.14824193263974617</v>
      </c>
      <c r="BI259" s="1785">
        <f>BI257/BH257-1</f>
        <v>0.13517940070765144</v>
      </c>
      <c r="BJ259" s="1774"/>
      <c r="BK259" s="1785">
        <f>BK257/BI257-1</f>
        <v>-0.19425589410065713</v>
      </c>
      <c r="BL259" s="1785">
        <f>BL257/BK257-1</f>
        <v>0.11350476914370544</v>
      </c>
      <c r="BM259" s="1785">
        <f>BM257/BL257-1</f>
        <v>-4.7694174321606164E-2</v>
      </c>
      <c r="BN259" s="1785">
        <f>BN257/BM257-1</f>
        <v>6.4497741747780335E-2</v>
      </c>
      <c r="BO259" s="1774"/>
      <c r="BP259" s="1785">
        <f>BP257/BN257-1</f>
        <v>-8.5144818405268441E-2</v>
      </c>
      <c r="BQ259" s="1785">
        <f>BQ257/BP257-1</f>
        <v>0.11792405668353223</v>
      </c>
      <c r="BR259" s="1785">
        <f>BR257/BQ257-1</f>
        <v>-3.6349482970670755E-2</v>
      </c>
      <c r="BS259" s="1785">
        <f>BS257/BR257-1</f>
        <v>6.1080110601985593E-2</v>
      </c>
      <c r="BT259" s="1774"/>
      <c r="BU259" s="1785">
        <f>BU257/BS257-1</f>
        <v>-0.18863625623446223</v>
      </c>
      <c r="BV259" s="1785">
        <f>BV257/BU257-1</f>
        <v>0.13384693072025655</v>
      </c>
      <c r="BW259" s="1785">
        <f>BW257/BV257-1</f>
        <v>-4.5467402300091164E-2</v>
      </c>
      <c r="BX259" s="1785">
        <f>BX257/BW257-1</f>
        <v>6.0147061626471876E-2</v>
      </c>
      <c r="BY259" s="1774"/>
      <c r="BZ259" s="1785">
        <f>BZ257/BX257-1</f>
        <v>-7.8004916970371374E-2</v>
      </c>
      <c r="CA259" s="1785">
        <f>CA257/BZ257-1</f>
        <v>0.13284885135146141</v>
      </c>
      <c r="CB259" s="1785">
        <f>CB257/CA257-1</f>
        <v>-4.5168117379655759E-2</v>
      </c>
      <c r="CC259" s="1785">
        <f>CC257/CB257-1</f>
        <v>5.9732420671014586E-2</v>
      </c>
      <c r="CD259" s="1774"/>
      <c r="CE259" s="1785">
        <f>CE257/CC257-1</f>
        <v>3.9727640988783008E-2</v>
      </c>
      <c r="CF259" s="1785">
        <f>CF257/CE257-1</f>
        <v>0.12044183101325556</v>
      </c>
      <c r="CG259" s="1785">
        <f>CG257/CF257-1</f>
        <v>-4.0883091672249683E-2</v>
      </c>
      <c r="CH259" s="1785" t="e">
        <f>CH257/CG257-1</f>
        <v>#REF!</v>
      </c>
      <c r="CI259" s="1774"/>
      <c r="CJ259" s="1785" t="e">
        <f>CJ257/CH257-1</f>
        <v>#REF!</v>
      </c>
      <c r="CK259" s="1785">
        <f>CK257/CJ257-1</f>
        <v>0.11668305718290828</v>
      </c>
      <c r="CL259" s="1785">
        <f>CL257/CK257-1</f>
        <v>-3.2575642970678609E-2</v>
      </c>
      <c r="CM259" s="1785" t="e">
        <f>CM257/CL257-1</f>
        <v>#REF!</v>
      </c>
      <c r="CN259" s="1774"/>
      <c r="CO259" s="1785" t="e">
        <f>CO257/CM257-1</f>
        <v>#REF!</v>
      </c>
      <c r="CP259" s="1785">
        <f>CP257/CO257-1</f>
        <v>0.11665898125809959</v>
      </c>
      <c r="CQ259" s="1785">
        <f>CQ257/CP257-1</f>
        <v>-3.23543158569356E-2</v>
      </c>
      <c r="CR259" s="1785" t="e">
        <f>CR257/CQ257-1</f>
        <v>#REF!</v>
      </c>
      <c r="CS259" s="1774"/>
      <c r="CT259" s="1785" t="e">
        <f>CT257/CR257-1</f>
        <v>#REF!</v>
      </c>
      <c r="CU259" s="1785">
        <f>CU257/CT257-1</f>
        <v>0.1166461778768535</v>
      </c>
      <c r="CV259" s="1785">
        <f>CV257/CU257-1</f>
        <v>-3.2484580953698106E-2</v>
      </c>
      <c r="CW259" s="1785" t="e">
        <f>CW257/CV257-1</f>
        <v>#REF!</v>
      </c>
      <c r="CX259" s="1774"/>
      <c r="CY259" s="1900"/>
      <c r="CZ259" s="1900"/>
      <c r="DA259" s="1900"/>
      <c r="DB259" s="1900"/>
      <c r="DC259" s="1900"/>
      <c r="DD259" s="1900"/>
      <c r="DE259" s="1900"/>
      <c r="DF259" s="1900"/>
      <c r="DG259" s="1900"/>
      <c r="DH259" s="1773"/>
      <c r="DI259" s="1774"/>
      <c r="DJ259" s="1773"/>
      <c r="DK259" s="1901"/>
      <c r="DL259" s="1901"/>
      <c r="DM259" s="1899"/>
      <c r="DN259" s="1899"/>
      <c r="DO259" s="1899"/>
      <c r="DP259" s="1899"/>
      <c r="DQ259" s="1899"/>
      <c r="DR259" s="1898"/>
    </row>
    <row r="260" spans="1:148" hidden="1" outlineLevel="3">
      <c r="A260" s="1885" t="s">
        <v>808</v>
      </c>
      <c r="B260" s="1886"/>
      <c r="C260" s="1803"/>
      <c r="D260" s="1803"/>
      <c r="E260" s="1803"/>
      <c r="F260" s="1803"/>
      <c r="G260" s="1762"/>
      <c r="H260" s="1803"/>
      <c r="I260" s="1803"/>
      <c r="J260" s="1803"/>
      <c r="K260" s="1803"/>
      <c r="L260" s="1762"/>
      <c r="M260" s="1803"/>
      <c r="N260" s="1803"/>
      <c r="O260" s="1803"/>
      <c r="P260" s="1887"/>
      <c r="Q260" s="1888"/>
      <c r="R260" s="1889"/>
      <c r="S260" s="1889"/>
      <c r="T260" s="1890"/>
      <c r="U260" s="1890"/>
      <c r="V260" s="1762"/>
      <c r="W260" s="1889"/>
      <c r="X260" s="1889"/>
      <c r="Y260" s="1889"/>
      <c r="Z260" s="1890"/>
      <c r="AA260" s="1762"/>
      <c r="AB260" s="1889"/>
      <c r="AC260" s="1889"/>
      <c r="AD260" s="1889"/>
      <c r="AE260" s="1890"/>
      <c r="AF260" s="1762"/>
      <c r="AG260" s="1890"/>
      <c r="AH260" s="1889"/>
      <c r="AI260" s="1889"/>
      <c r="AJ260" s="1890"/>
      <c r="AK260" s="1762"/>
      <c r="AL260" s="1890"/>
      <c r="AM260" s="1889"/>
      <c r="AN260" s="1889"/>
      <c r="AO260" s="1890"/>
      <c r="AP260" s="1762"/>
      <c r="AQ260" s="1890"/>
      <c r="AR260" s="1890"/>
      <c r="AS260" s="1890"/>
      <c r="AT260" s="1890"/>
      <c r="AU260" s="1762"/>
      <c r="AV260" s="1890"/>
      <c r="AW260" s="1890"/>
      <c r="AX260" s="1890"/>
      <c r="AY260" s="1890"/>
      <c r="AZ260" s="1762"/>
      <c r="BA260" s="1890"/>
      <c r="BB260" s="1890"/>
      <c r="BC260" s="1890"/>
      <c r="BD260" s="1890"/>
      <c r="BE260" s="1762"/>
      <c r="BF260" s="1890"/>
      <c r="BG260" s="1890">
        <f>'Client Unit Model'!AK231</f>
        <v>20</v>
      </c>
      <c r="BH260" s="1890">
        <f>'Client Unit Model'!AL231</f>
        <v>20</v>
      </c>
      <c r="BI260" s="1890">
        <f>'Client Unit Model'!AM231</f>
        <v>15</v>
      </c>
      <c r="BJ260" s="1762">
        <f>SUM(BF260:BI260)</f>
        <v>55</v>
      </c>
      <c r="BK260" s="1890">
        <f>'Client Unit Model'!AN231</f>
        <v>35</v>
      </c>
      <c r="BL260" s="1890">
        <f>'Client Unit Model'!AO231</f>
        <v>51.56984498009097</v>
      </c>
      <c r="BM260" s="1890">
        <f>'Client Unit Model'!AP231</f>
        <v>40</v>
      </c>
      <c r="BN260" s="1890">
        <f>'Client Unit Model'!AQ231</f>
        <v>30</v>
      </c>
      <c r="BO260" s="1762">
        <f>SUM(BK260:BN260)</f>
        <v>156.56984498009098</v>
      </c>
      <c r="BP260" s="1890">
        <f>'Client Unit Model'!AR231</f>
        <v>80</v>
      </c>
      <c r="BQ260" s="1890">
        <f>'Client Unit Model'!AS231</f>
        <v>75</v>
      </c>
      <c r="BR260" s="1890">
        <f>'Client Unit Model'!AT231</f>
        <v>47.5</v>
      </c>
      <c r="BS260" s="1890">
        <f>'Client Unit Model'!AU231</f>
        <v>60</v>
      </c>
      <c r="BT260" s="1762">
        <f>SUM(BP260:BS260)</f>
        <v>262.5</v>
      </c>
      <c r="BU260" s="1890">
        <f>'Client Unit Model'!AV228</f>
        <v>900</v>
      </c>
      <c r="BV260" s="1890">
        <f>'Client Unit Model'!AW228</f>
        <v>900</v>
      </c>
      <c r="BW260" s="1890">
        <f>'Client Unit Model'!AX228</f>
        <v>900</v>
      </c>
      <c r="BX260" s="1890">
        <f>'Client Unit Model'!AY228</f>
        <v>900</v>
      </c>
      <c r="BY260" s="1762">
        <f>SUM(BU260:BX260)</f>
        <v>3600</v>
      </c>
      <c r="BZ260" s="1890">
        <f>'Client Unit Model'!BA228</f>
        <v>900</v>
      </c>
      <c r="CA260" s="1890">
        <f>'Client Unit Model'!BB228</f>
        <v>900</v>
      </c>
      <c r="CB260" s="1890">
        <f>'Client Unit Model'!BC228</f>
        <v>900</v>
      </c>
      <c r="CC260" s="1890">
        <f>'Client Unit Model'!BD228</f>
        <v>900</v>
      </c>
      <c r="CD260" s="1762">
        <f>SUM(BZ260:CC260)</f>
        <v>3600</v>
      </c>
      <c r="CE260" s="1890">
        <f>'Client Unit Model'!BG231</f>
        <v>89.091902457856747</v>
      </c>
      <c r="CF260" s="1890">
        <f>'Client Unit Model'!BH231</f>
        <v>64.621072151029239</v>
      </c>
      <c r="CG260" s="1890">
        <f>'Client Unit Model'!BI231</f>
        <v>69.85480217365243</v>
      </c>
      <c r="CH260" s="1890" t="e">
        <f>'Client Unit Model'!#REF!</f>
        <v>#REF!</v>
      </c>
      <c r="CI260" s="1762" t="e">
        <f>SUM(CE260:CH260)</f>
        <v>#REF!</v>
      </c>
      <c r="CJ260" s="1890">
        <f>'Client Unit Model'!BM231</f>
        <v>65.299697973456716</v>
      </c>
      <c r="CK260" s="1890">
        <f>'Client Unit Model'!BN231</f>
        <v>64.695523396285154</v>
      </c>
      <c r="CL260" s="1890">
        <f>'Client Unit Model'!BY231</f>
        <v>0</v>
      </c>
      <c r="CM260" s="1890" t="e">
        <f>'Client Unit Model'!#REF!</f>
        <v>#REF!</v>
      </c>
      <c r="CN260" s="1762" t="e">
        <f>SUM(CJ260:CM260)</f>
        <v>#REF!</v>
      </c>
      <c r="CO260" s="1890">
        <f>'Client Unit Model'!BR231</f>
        <v>70.213607923981513</v>
      </c>
      <c r="CP260" s="1890">
        <f>'Client Unit Model'!BS231</f>
        <v>69.963212119101087</v>
      </c>
      <c r="CQ260" s="1890">
        <f>'Client Unit Model'!CD231</f>
        <v>0</v>
      </c>
      <c r="CR260" s="1890" t="e">
        <f>'Client Unit Model'!#REF!</f>
        <v>#REF!</v>
      </c>
      <c r="CS260" s="1762" t="e">
        <f>SUM(CO260:CR260)</f>
        <v>#REF!</v>
      </c>
      <c r="CT260" s="1890">
        <f>'Client Unit Model'!BW231</f>
        <v>72.503504895399587</v>
      </c>
      <c r="CU260" s="1890">
        <f>'Client Unit Model'!BX231</f>
        <v>72.205167588051992</v>
      </c>
      <c r="CV260" s="1890">
        <f>'Client Unit Model'!CI231</f>
        <v>0</v>
      </c>
      <c r="CW260" s="1890" t="e">
        <f>'Client Unit Model'!#REF!</f>
        <v>#REF!</v>
      </c>
      <c r="CX260" s="1762" t="e">
        <f>SUM(CT260:CW260)</f>
        <v>#REF!</v>
      </c>
      <c r="CY260" s="1893"/>
      <c r="CZ260" s="1893"/>
      <c r="DA260" s="1893"/>
      <c r="DB260" s="1893"/>
      <c r="DC260" s="1893"/>
      <c r="DD260" s="1893"/>
      <c r="DE260" s="1893"/>
      <c r="DF260" s="1893"/>
      <c r="DG260" s="1893"/>
      <c r="DH260" s="1766"/>
      <c r="DI260" s="1762">
        <f>SUM(BC260:BD260,BF260:BG260)</f>
        <v>20</v>
      </c>
      <c r="DJ260" s="1766">
        <f>SUM(BH260:BI260,BK260:BL260)</f>
        <v>121.56984498009098</v>
      </c>
      <c r="DK260" s="1894">
        <f>SUM(BM260:BN260,BP260:BQ260)</f>
        <v>225</v>
      </c>
      <c r="DL260" s="1894">
        <f>SUM(BU260:BV260,BR260:BS260)</f>
        <v>1907.5</v>
      </c>
      <c r="DM260" s="1892">
        <f>SUM(BW260:BX260,BZ260:CA260)</f>
        <v>3600</v>
      </c>
      <c r="DN260" s="1892">
        <f>SUM(CB260:CC260,CE260:CF260)</f>
        <v>1953.712974608886</v>
      </c>
      <c r="DO260" s="1892"/>
      <c r="DP260" s="1892"/>
      <c r="DQ260" s="1892"/>
      <c r="DR260" s="1993"/>
    </row>
    <row r="261" spans="1:148" hidden="1" outlineLevel="3">
      <c r="A261" s="1760" t="s">
        <v>779</v>
      </c>
      <c r="B261" s="1895"/>
      <c r="C261" s="1785"/>
      <c r="D261" s="1785"/>
      <c r="E261" s="1785"/>
      <c r="F261" s="1785"/>
      <c r="G261" s="1774"/>
      <c r="H261" s="1785"/>
      <c r="I261" s="1785"/>
      <c r="J261" s="1785"/>
      <c r="K261" s="1785"/>
      <c r="L261" s="1774"/>
      <c r="M261" s="1785"/>
      <c r="N261" s="1785"/>
      <c r="O261" s="1785"/>
      <c r="P261" s="1896"/>
      <c r="Q261" s="1897"/>
      <c r="R261" s="1902"/>
      <c r="S261" s="1902"/>
      <c r="T261" s="1900"/>
      <c r="U261" s="1900"/>
      <c r="V261" s="1774"/>
      <c r="W261" s="1902"/>
      <c r="X261" s="1902"/>
      <c r="Y261" s="1902"/>
      <c r="Z261" s="1900"/>
      <c r="AA261" s="1774"/>
      <c r="AB261" s="1900"/>
      <c r="AC261" s="1902"/>
      <c r="AD261" s="1902"/>
      <c r="AE261" s="1902"/>
      <c r="AF261" s="1774"/>
      <c r="AG261" s="1902"/>
      <c r="AH261" s="1902"/>
      <c r="AI261" s="1902"/>
      <c r="AJ261" s="1902"/>
      <c r="AK261" s="1774"/>
      <c r="AL261" s="1902"/>
      <c r="AM261" s="1902"/>
      <c r="AN261" s="1902"/>
      <c r="AO261" s="1900"/>
      <c r="AP261" s="1774"/>
      <c r="AQ261" s="1900"/>
      <c r="AR261" s="1900"/>
      <c r="AS261" s="1900"/>
      <c r="AT261" s="1900"/>
      <c r="AU261" s="1774"/>
      <c r="AV261" s="1900"/>
      <c r="AW261" s="1900"/>
      <c r="AX261" s="1900"/>
      <c r="AY261" s="1900"/>
      <c r="AZ261" s="1774"/>
      <c r="BA261" s="1900"/>
      <c r="BB261" s="1900"/>
      <c r="BC261" s="1900"/>
      <c r="BD261" s="1900"/>
      <c r="BE261" s="1774"/>
      <c r="BF261" s="1900"/>
      <c r="BG261" s="1900"/>
      <c r="BH261" s="1900"/>
      <c r="BI261" s="1900"/>
      <c r="BJ261" s="1774"/>
      <c r="BK261" s="1900"/>
      <c r="BL261" s="1900">
        <f t="shared" ref="BL261:CD261" si="430">BL260/BG260-1</f>
        <v>1.5784922490045483</v>
      </c>
      <c r="BM261" s="1900">
        <f t="shared" si="430"/>
        <v>1</v>
      </c>
      <c r="BN261" s="1900">
        <f t="shared" si="430"/>
        <v>1</v>
      </c>
      <c r="BO261" s="1774">
        <f t="shared" si="430"/>
        <v>1.8467244541834722</v>
      </c>
      <c r="BP261" s="1900">
        <f>BP260/BK260-1</f>
        <v>1.2857142857142856</v>
      </c>
      <c r="BQ261" s="1900">
        <f>BQ260/BL260-1</f>
        <v>0.45433828682158084</v>
      </c>
      <c r="BR261" s="1900">
        <f>BR260/BM260-1</f>
        <v>0.1875</v>
      </c>
      <c r="BS261" s="1900">
        <f>BS260/BN260-1</f>
        <v>1</v>
      </c>
      <c r="BT261" s="1774">
        <f t="shared" si="430"/>
        <v>0.67656805199863879</v>
      </c>
      <c r="BU261" s="1900">
        <f t="shared" si="430"/>
        <v>10.25</v>
      </c>
      <c r="BV261" s="1900">
        <f t="shared" si="430"/>
        <v>11</v>
      </c>
      <c r="BW261" s="1900">
        <f t="shared" si="430"/>
        <v>17.94736842105263</v>
      </c>
      <c r="BX261" s="1900">
        <f t="shared" si="430"/>
        <v>14</v>
      </c>
      <c r="BY261" s="1774">
        <f t="shared" si="430"/>
        <v>12.714285714285714</v>
      </c>
      <c r="BZ261" s="1900">
        <f t="shared" si="430"/>
        <v>0</v>
      </c>
      <c r="CA261" s="1900">
        <f t="shared" si="430"/>
        <v>0</v>
      </c>
      <c r="CB261" s="1900">
        <f t="shared" si="430"/>
        <v>0</v>
      </c>
      <c r="CC261" s="1900">
        <f t="shared" si="430"/>
        <v>0</v>
      </c>
      <c r="CD261" s="1774">
        <f t="shared" si="430"/>
        <v>0</v>
      </c>
      <c r="CE261" s="1900">
        <f t="shared" ref="CE261:CI261" si="431">CE260/BZ260-1</f>
        <v>-0.90100899726904804</v>
      </c>
      <c r="CF261" s="1900">
        <f t="shared" si="431"/>
        <v>-0.92819880872107863</v>
      </c>
      <c r="CG261" s="1900">
        <f t="shared" si="431"/>
        <v>-0.92238355314038623</v>
      </c>
      <c r="CH261" s="1900" t="e">
        <f t="shared" si="431"/>
        <v>#REF!</v>
      </c>
      <c r="CI261" s="1774" t="e">
        <f t="shared" si="431"/>
        <v>#REF!</v>
      </c>
      <c r="CJ261" s="1900">
        <f t="shared" ref="CJ261:CS261" si="432">CJ260/CE260-1</f>
        <v>-0.26705237881360189</v>
      </c>
      <c r="CK261" s="1900">
        <f t="shared" si="432"/>
        <v>1.1521202415507581E-3</v>
      </c>
      <c r="CL261" s="1900">
        <f t="shared" si="432"/>
        <v>-1</v>
      </c>
      <c r="CM261" s="1900" t="e">
        <f t="shared" si="432"/>
        <v>#REF!</v>
      </c>
      <c r="CN261" s="1774" t="e">
        <f t="shared" si="432"/>
        <v>#REF!</v>
      </c>
      <c r="CO261" s="1900">
        <f t="shared" si="432"/>
        <v>7.5251648981932817E-2</v>
      </c>
      <c r="CP261" s="1900">
        <f t="shared" si="432"/>
        <v>8.1422770019948576E-2</v>
      </c>
      <c r="CQ261" s="1900" t="e">
        <f t="shared" si="432"/>
        <v>#DIV/0!</v>
      </c>
      <c r="CR261" s="1900" t="e">
        <f t="shared" si="432"/>
        <v>#REF!</v>
      </c>
      <c r="CS261" s="1774" t="e">
        <f t="shared" si="432"/>
        <v>#REF!</v>
      </c>
      <c r="CT261" s="1900">
        <f t="shared" ref="CT261" si="433">CT260/CO260-1</f>
        <v>3.2613293051359626E-2</v>
      </c>
      <c r="CU261" s="1900">
        <f t="shared" ref="CU261" si="434">CU260/CP260-1</f>
        <v>3.2044776119403151E-2</v>
      </c>
      <c r="CV261" s="1900" t="e">
        <f t="shared" ref="CV261" si="435">CV260/CQ260-1</f>
        <v>#DIV/0!</v>
      </c>
      <c r="CW261" s="1900" t="e">
        <f t="shared" ref="CW261" si="436">CW260/CR260-1</f>
        <v>#REF!</v>
      </c>
      <c r="CX261" s="1774" t="e">
        <f t="shared" ref="CX261" si="437">CX260/CS260-1</f>
        <v>#REF!</v>
      </c>
      <c r="CY261" s="1900"/>
      <c r="CZ261" s="1900"/>
      <c r="DA261" s="1900"/>
      <c r="DB261" s="1900"/>
      <c r="DC261" s="1900"/>
      <c r="DD261" s="1900"/>
      <c r="DE261" s="1900"/>
      <c r="DF261" s="1900"/>
      <c r="DG261" s="1900"/>
      <c r="DH261" s="1955"/>
      <c r="DI261" s="1956"/>
      <c r="DJ261" s="1955"/>
      <c r="DK261" s="1957"/>
      <c r="DL261" s="1957"/>
      <c r="DM261" s="1958"/>
      <c r="DN261" s="1958"/>
      <c r="DO261" s="1958"/>
      <c r="DP261" s="1958"/>
      <c r="DQ261" s="1958"/>
      <c r="DR261" s="3083"/>
    </row>
    <row r="262" spans="1:148" hidden="1" outlineLevel="3">
      <c r="A262" s="1760" t="s">
        <v>780</v>
      </c>
      <c r="B262" s="1895"/>
      <c r="C262" s="1785"/>
      <c r="D262" s="1785"/>
      <c r="E262" s="1785"/>
      <c r="F262" s="1785"/>
      <c r="G262" s="1774"/>
      <c r="H262" s="1785"/>
      <c r="I262" s="1785"/>
      <c r="J262" s="1785"/>
      <c r="K262" s="1785"/>
      <c r="L262" s="1774"/>
      <c r="M262" s="1785"/>
      <c r="N262" s="1785"/>
      <c r="O262" s="1785"/>
      <c r="P262" s="1785"/>
      <c r="Q262" s="1897"/>
      <c r="R262" s="1785"/>
      <c r="S262" s="1785"/>
      <c r="T262" s="1785"/>
      <c r="U262" s="1785"/>
      <c r="V262" s="1774"/>
      <c r="W262" s="1785"/>
      <c r="X262" s="1785"/>
      <c r="Y262" s="1785"/>
      <c r="Z262" s="1785"/>
      <c r="AA262" s="1774"/>
      <c r="AB262" s="1785"/>
      <c r="AC262" s="1785"/>
      <c r="AD262" s="1785"/>
      <c r="AE262" s="1785"/>
      <c r="AF262" s="1774"/>
      <c r="AG262" s="1785"/>
      <c r="AH262" s="1785"/>
      <c r="AI262" s="1785"/>
      <c r="AJ262" s="1785"/>
      <c r="AK262" s="1774"/>
      <c r="AL262" s="1785"/>
      <c r="AM262" s="1785"/>
      <c r="AN262" s="1785"/>
      <c r="AO262" s="1785"/>
      <c r="AP262" s="1774"/>
      <c r="AQ262" s="1785"/>
      <c r="AR262" s="1785"/>
      <c r="AS262" s="1785"/>
      <c r="AT262" s="1785"/>
      <c r="AU262" s="1774"/>
      <c r="AV262" s="1785"/>
      <c r="AW262" s="1785"/>
      <c r="AX262" s="1785"/>
      <c r="AY262" s="1785"/>
      <c r="AZ262" s="1774"/>
      <c r="BA262" s="1785"/>
      <c r="BB262" s="1785"/>
      <c r="BC262" s="1785"/>
      <c r="BD262" s="1785"/>
      <c r="BE262" s="1774"/>
      <c r="BF262" s="1959"/>
      <c r="BG262" s="1785"/>
      <c r="BH262" s="1785">
        <f>BH260/BG260-1</f>
        <v>0</v>
      </c>
      <c r="BI262" s="1785">
        <f>BI260/BH260-1</f>
        <v>-0.25</v>
      </c>
      <c r="BJ262" s="1774"/>
      <c r="BK262" s="1959">
        <f>BK260/BI260-1</f>
        <v>1.3333333333333335</v>
      </c>
      <c r="BL262" s="1785">
        <f>BL260/BK260-1</f>
        <v>0.47342414228831342</v>
      </c>
      <c r="BM262" s="1785">
        <f>BM260/BL260-1</f>
        <v>-0.22435291369515686</v>
      </c>
      <c r="BN262" s="1785">
        <f>BN260/BM260-1</f>
        <v>-0.25</v>
      </c>
      <c r="BO262" s="1774"/>
      <c r="BP262" s="1785">
        <f>BP260/BN260-1</f>
        <v>1.6666666666666665</v>
      </c>
      <c r="BQ262" s="1785">
        <f>BQ260/BP260-1</f>
        <v>-6.25E-2</v>
      </c>
      <c r="BR262" s="1785">
        <f>BR260/BQ260-1</f>
        <v>-0.3666666666666667</v>
      </c>
      <c r="BS262" s="1785">
        <f>BS260/BR260-1</f>
        <v>0.26315789473684204</v>
      </c>
      <c r="BT262" s="1774"/>
      <c r="BU262" s="1785">
        <f>BU260/BS260-1</f>
        <v>14</v>
      </c>
      <c r="BV262" s="1785">
        <f>BV260/BU260-1</f>
        <v>0</v>
      </c>
      <c r="BW262" s="1785">
        <f>BW260/BV260-1</f>
        <v>0</v>
      </c>
      <c r="BX262" s="1785">
        <f>BX260/BW260-1</f>
        <v>0</v>
      </c>
      <c r="BY262" s="1774"/>
      <c r="BZ262" s="1785">
        <f>BZ260/BX260-1</f>
        <v>0</v>
      </c>
      <c r="CA262" s="1785">
        <f>CA260/BZ260-1</f>
        <v>0</v>
      </c>
      <c r="CB262" s="1785">
        <f>CB260/CA260-1</f>
        <v>0</v>
      </c>
      <c r="CC262" s="1785">
        <f>CC260/CB260-1</f>
        <v>0</v>
      </c>
      <c r="CD262" s="1774"/>
      <c r="CE262" s="1785">
        <f>CE260/CC260-1</f>
        <v>-0.90100899726904804</v>
      </c>
      <c r="CF262" s="1785">
        <f>CF260/CE260-1</f>
        <v>-0.27466952250125065</v>
      </c>
      <c r="CG262" s="1785">
        <f>CG260/CF260-1</f>
        <v>8.099107378458803E-2</v>
      </c>
      <c r="CH262" s="1785" t="e">
        <f>CH260/CG260-1</f>
        <v>#REF!</v>
      </c>
      <c r="CI262" s="1774"/>
      <c r="CJ262" s="1785" t="e">
        <f>CJ260/CH260-1</f>
        <v>#REF!</v>
      </c>
      <c r="CK262" s="1785">
        <f>CK260/CJ260-1</f>
        <v>-9.2523334092164955E-3</v>
      </c>
      <c r="CL262" s="1785">
        <f>CL260/CK260-1</f>
        <v>-1</v>
      </c>
      <c r="CM262" s="1785" t="e">
        <f>CM260/CL260-1</f>
        <v>#REF!</v>
      </c>
      <c r="CN262" s="1774"/>
      <c r="CO262" s="1785" t="e">
        <f>CO260/CM260-1</f>
        <v>#REF!</v>
      </c>
      <c r="CP262" s="1785">
        <f>CP260/CO260-1</f>
        <v>-3.5662005170211675E-3</v>
      </c>
      <c r="CQ262" s="1785">
        <f>CQ260/CP260-1</f>
        <v>-1</v>
      </c>
      <c r="CR262" s="1785" t="e">
        <f>CR260/CQ260-1</f>
        <v>#REF!</v>
      </c>
      <c r="CS262" s="1774"/>
      <c r="CT262" s="1785" t="e">
        <f>CT260/CR260-1</f>
        <v>#REF!</v>
      </c>
      <c r="CU262" s="1785">
        <f>CU260/CT260-1</f>
        <v>-4.1147984194419562E-3</v>
      </c>
      <c r="CV262" s="1785">
        <f>CV260/CU260-1</f>
        <v>-1</v>
      </c>
      <c r="CW262" s="1785" t="e">
        <f>CW260/CV260-1</f>
        <v>#REF!</v>
      </c>
      <c r="CX262" s="1774"/>
      <c r="CY262" s="1900"/>
      <c r="CZ262" s="1900"/>
      <c r="DA262" s="1900"/>
      <c r="DB262" s="1900"/>
      <c r="DC262" s="1900"/>
      <c r="DD262" s="1900"/>
      <c r="DE262" s="1900"/>
      <c r="DF262" s="1900"/>
      <c r="DG262" s="1900"/>
      <c r="DH262" s="1773"/>
      <c r="DI262" s="1774"/>
      <c r="DJ262" s="1773"/>
      <c r="DK262" s="1901"/>
      <c r="DL262" s="1901"/>
      <c r="DM262" s="1899"/>
      <c r="DN262" s="1899"/>
      <c r="DO262" s="1899"/>
      <c r="DP262" s="1899"/>
      <c r="DQ262" s="1899"/>
      <c r="DR262" s="1898"/>
    </row>
    <row r="263" spans="1:148" hidden="1" outlineLevel="3">
      <c r="A263" s="1960" t="s">
        <v>768</v>
      </c>
      <c r="B263" s="1895"/>
      <c r="C263" s="1785"/>
      <c r="D263" s="1785"/>
      <c r="E263" s="1785"/>
      <c r="F263" s="1785"/>
      <c r="G263" s="1774"/>
      <c r="H263" s="1785"/>
      <c r="I263" s="1785"/>
      <c r="J263" s="1785"/>
      <c r="K263" s="1785"/>
      <c r="L263" s="1774"/>
      <c r="M263" s="1785"/>
      <c r="N263" s="1785"/>
      <c r="O263" s="1785"/>
      <c r="P263" s="1785"/>
      <c r="Q263" s="1897"/>
      <c r="R263" s="1785"/>
      <c r="S263" s="1785"/>
      <c r="T263" s="1785"/>
      <c r="U263" s="1785"/>
      <c r="V263" s="1774"/>
      <c r="W263" s="1785"/>
      <c r="X263" s="1785"/>
      <c r="Y263" s="1785"/>
      <c r="Z263" s="1785"/>
      <c r="AA263" s="1774"/>
      <c r="AB263" s="1785"/>
      <c r="AC263" s="1785"/>
      <c r="AD263" s="1785"/>
      <c r="AE263" s="1785"/>
      <c r="AF263" s="1774"/>
      <c r="AG263" s="1785"/>
      <c r="AH263" s="1785"/>
      <c r="AI263" s="1785"/>
      <c r="AJ263" s="1785"/>
      <c r="AK263" s="1774"/>
      <c r="AL263" s="1785"/>
      <c r="AM263" s="1785"/>
      <c r="AN263" s="1785"/>
      <c r="AO263" s="1785"/>
      <c r="AP263" s="1774"/>
      <c r="AQ263" s="1785"/>
      <c r="AR263" s="1785"/>
      <c r="AS263" s="1785"/>
      <c r="AT263" s="1785"/>
      <c r="AU263" s="1801"/>
      <c r="AV263" s="1785"/>
      <c r="AW263" s="1785"/>
      <c r="AX263" s="1785"/>
      <c r="AY263" s="1785"/>
      <c r="AZ263" s="1801"/>
      <c r="BA263" s="1890">
        <v>0</v>
      </c>
      <c r="BB263" s="1891">
        <v>0</v>
      </c>
      <c r="BC263" s="1891">
        <v>0</v>
      </c>
      <c r="BD263" s="1891">
        <v>0</v>
      </c>
      <c r="BE263" s="1801">
        <f>SUM(BA263:BD263)</f>
        <v>0</v>
      </c>
      <c r="BF263" s="1890">
        <v>-186</v>
      </c>
      <c r="BG263" s="1890">
        <v>-788.5</v>
      </c>
      <c r="BH263" s="1890">
        <v>193</v>
      </c>
      <c r="BI263" s="1890">
        <v>781.5</v>
      </c>
      <c r="BJ263" s="1801">
        <f>SUM(BF263:BI263)</f>
        <v>0</v>
      </c>
      <c r="BK263" s="1890">
        <v>0</v>
      </c>
      <c r="BL263" s="1890">
        <v>0</v>
      </c>
      <c r="BM263" s="1890">
        <v>0</v>
      </c>
      <c r="BN263" s="1890">
        <v>0</v>
      </c>
      <c r="BO263" s="1801">
        <f>SUM(BK263:BN263)</f>
        <v>0</v>
      </c>
      <c r="BP263" s="1890">
        <v>0</v>
      </c>
      <c r="BQ263" s="1890">
        <v>0</v>
      </c>
      <c r="BR263" s="1890">
        <v>0</v>
      </c>
      <c r="BS263" s="1890">
        <v>0</v>
      </c>
      <c r="BT263" s="1801">
        <f>SUM(BP263:BS263)</f>
        <v>0</v>
      </c>
      <c r="BU263" s="1890">
        <v>0</v>
      </c>
      <c r="BV263" s="1890">
        <v>0</v>
      </c>
      <c r="BW263" s="1890">
        <v>0</v>
      </c>
      <c r="BX263" s="1890">
        <v>0</v>
      </c>
      <c r="BY263" s="1801">
        <f>SUM(BU263:BX263)</f>
        <v>0</v>
      </c>
      <c r="BZ263" s="1890">
        <v>0</v>
      </c>
      <c r="CA263" s="1890">
        <v>0</v>
      </c>
      <c r="CB263" s="1890">
        <v>0</v>
      </c>
      <c r="CC263" s="1890">
        <v>0</v>
      </c>
      <c r="CD263" s="1801">
        <f>SUM(BZ263:CC263)</f>
        <v>0</v>
      </c>
      <c r="CE263" s="1890">
        <v>0</v>
      </c>
      <c r="CF263" s="1890">
        <v>0</v>
      </c>
      <c r="CG263" s="1890">
        <v>0</v>
      </c>
      <c r="CH263" s="1890">
        <v>0</v>
      </c>
      <c r="CI263" s="1801">
        <f>SUM(CE263:CH263)</f>
        <v>0</v>
      </c>
      <c r="CJ263" s="1890">
        <v>0</v>
      </c>
      <c r="CK263" s="1890">
        <v>0</v>
      </c>
      <c r="CL263" s="1890">
        <v>0</v>
      </c>
      <c r="CM263" s="1890">
        <v>0</v>
      </c>
      <c r="CN263" s="1801">
        <f>SUM(CJ263:CM263)</f>
        <v>0</v>
      </c>
      <c r="CO263" s="1890">
        <v>0</v>
      </c>
      <c r="CP263" s="1890">
        <v>0</v>
      </c>
      <c r="CQ263" s="1890">
        <v>0</v>
      </c>
      <c r="CR263" s="1890">
        <v>0</v>
      </c>
      <c r="CS263" s="1801">
        <f>SUM(CO263:CR263)</f>
        <v>0</v>
      </c>
      <c r="CT263" s="1890">
        <v>0</v>
      </c>
      <c r="CU263" s="1890">
        <v>0</v>
      </c>
      <c r="CV263" s="1890">
        <v>0</v>
      </c>
      <c r="CW263" s="1890">
        <v>0</v>
      </c>
      <c r="CX263" s="1801">
        <f>SUM(CT263:CW263)</f>
        <v>0</v>
      </c>
      <c r="CY263" s="1900"/>
      <c r="CZ263" s="1900"/>
      <c r="DA263" s="1900"/>
      <c r="DB263" s="1900"/>
      <c r="DC263" s="1900"/>
      <c r="DD263" s="1900"/>
      <c r="DE263" s="1900"/>
      <c r="DF263" s="1900"/>
      <c r="DG263" s="1900"/>
      <c r="DH263" s="1804"/>
      <c r="DI263" s="1801"/>
      <c r="DJ263" s="1804"/>
      <c r="DK263" s="1804"/>
      <c r="DL263" s="1804"/>
      <c r="DM263" s="1801"/>
      <c r="DN263" s="1801"/>
      <c r="DO263" s="1801"/>
      <c r="DP263" s="1801"/>
      <c r="DQ263" s="1801"/>
      <c r="DR263" s="1803"/>
    </row>
    <row r="264" spans="1:148" hidden="1" outlineLevel="3">
      <c r="A264" s="1960" t="s">
        <v>771</v>
      </c>
      <c r="B264" s="1895"/>
      <c r="C264" s="1785"/>
      <c r="D264" s="1785"/>
      <c r="E264" s="1785"/>
      <c r="F264" s="1785"/>
      <c r="G264" s="1774"/>
      <c r="H264" s="1785"/>
      <c r="I264" s="1785"/>
      <c r="J264" s="1785"/>
      <c r="K264" s="1785"/>
      <c r="L264" s="1774"/>
      <c r="M264" s="1785"/>
      <c r="N264" s="1785"/>
      <c r="O264" s="1785"/>
      <c r="P264" s="1785"/>
      <c r="Q264" s="1897"/>
      <c r="R264" s="1785"/>
      <c r="S264" s="1785"/>
      <c r="T264" s="1785"/>
      <c r="U264" s="1785"/>
      <c r="V264" s="1774"/>
      <c r="W264" s="1785"/>
      <c r="X264" s="1785"/>
      <c r="Y264" s="1785"/>
      <c r="Z264" s="1785"/>
      <c r="AA264" s="1774"/>
      <c r="AB264" s="1785"/>
      <c r="AC264" s="1785"/>
      <c r="AD264" s="1785"/>
      <c r="AE264" s="1785"/>
      <c r="AF264" s="1774"/>
      <c r="AG264" s="1785"/>
      <c r="AH264" s="1785"/>
      <c r="AI264" s="1785"/>
      <c r="AJ264" s="1785"/>
      <c r="AK264" s="1774"/>
      <c r="AL264" s="1785"/>
      <c r="AM264" s="1785"/>
      <c r="AN264" s="1785"/>
      <c r="AO264" s="1785"/>
      <c r="AP264" s="1774"/>
      <c r="AQ264" s="1785"/>
      <c r="AR264" s="1785"/>
      <c r="AS264" s="1785"/>
      <c r="AT264" s="1785"/>
      <c r="AU264" s="1801"/>
      <c r="AV264" s="1785"/>
      <c r="AW264" s="1785"/>
      <c r="AX264" s="1785"/>
      <c r="AY264" s="1785"/>
      <c r="AZ264" s="1801"/>
      <c r="BA264" s="1803">
        <f>BA253</f>
        <v>5635</v>
      </c>
      <c r="BB264" s="1803">
        <f>BB253</f>
        <v>6310</v>
      </c>
      <c r="BC264" s="1803">
        <f>BC253</f>
        <v>5842</v>
      </c>
      <c r="BD264" s="1803">
        <f>BD253</f>
        <v>6324</v>
      </c>
      <c r="BE264" s="1801">
        <f>SUM(BA264:BD264)</f>
        <v>24111</v>
      </c>
      <c r="BF264" s="1890">
        <f>BF253-BF263</f>
        <v>5687</v>
      </c>
      <c r="BG264" s="1803">
        <f>BG253-BG263</f>
        <v>6479.5</v>
      </c>
      <c r="BH264" s="1803">
        <f>BH253-BH263</f>
        <v>6126</v>
      </c>
      <c r="BI264" s="1803">
        <f>BI253-BI263</f>
        <v>6431.5</v>
      </c>
      <c r="BJ264" s="1801">
        <f>SUM(BF264:BI264)</f>
        <v>24724</v>
      </c>
      <c r="BK264" s="1890">
        <f>BK253-BK263</f>
        <v>5991</v>
      </c>
      <c r="BL264" s="1891">
        <f>BG264*(1+BL265)</f>
        <v>6683.6042500000003</v>
      </c>
      <c r="BM264" s="1891">
        <f>BH264*(1+BM265)</f>
        <v>6355.7250000000004</v>
      </c>
      <c r="BN264" s="1803">
        <f>BI264*(1+BN265)</f>
        <v>6753.0750000000007</v>
      </c>
      <c r="BO264" s="1801">
        <f>SUM(BK264:BN264)</f>
        <v>25783.404250000003</v>
      </c>
      <c r="BP264" s="1891">
        <f>BK264*(1+BP265)</f>
        <v>6230.64</v>
      </c>
      <c r="BQ264" s="1891">
        <f>BL264*(1+BQ265)</f>
        <v>6950.9484200000006</v>
      </c>
      <c r="BR264" s="1891">
        <f>BM264*(1+BR265)</f>
        <v>6673.5112500000005</v>
      </c>
      <c r="BS264" s="1803">
        <f>BN264*(1+BS265)</f>
        <v>7090.7287500000011</v>
      </c>
      <c r="BT264" s="1908">
        <f>SUM(BP264:BS264)</f>
        <v>26945.828420000002</v>
      </c>
      <c r="BU264" s="1891">
        <f>BP264*(1+BU265)</f>
        <v>6604.4784000000009</v>
      </c>
      <c r="BV264" s="1891">
        <f>BQ264*(1+BV265)</f>
        <v>7368.0053252000007</v>
      </c>
      <c r="BW264" s="1891">
        <f>BR264*(1+BW265)</f>
        <v>7073.9219250000006</v>
      </c>
      <c r="BX264" s="1891">
        <f>BS264*(1+BX265)</f>
        <v>7445.265187500001</v>
      </c>
      <c r="BY264" s="1908">
        <f>SUM(BU264:BX264)</f>
        <v>28491.670837700003</v>
      </c>
      <c r="BZ264" s="1891">
        <f>BU264*(1+BZ265)</f>
        <v>6934.7023200000012</v>
      </c>
      <c r="CA264" s="1891">
        <f>BV264*(1+CA265)</f>
        <v>7736.4055914600012</v>
      </c>
      <c r="CB264" s="1891">
        <f>BW264*(1+CB265)</f>
        <v>7427.6180212500012</v>
      </c>
      <c r="CC264" s="1891">
        <f>BX264*(1+CC265)</f>
        <v>7817.5284468750015</v>
      </c>
      <c r="CD264" s="1908">
        <f>SUM(BZ264:CC264)</f>
        <v>29916.254379585007</v>
      </c>
      <c r="CE264" s="1891">
        <f>BZ264*(1+CE265)</f>
        <v>7281.437436000002</v>
      </c>
      <c r="CF264" s="1891">
        <f>CA264*(1+CF265)</f>
        <v>8123.2258710330016</v>
      </c>
      <c r="CG264" s="1891">
        <f>CB264*(1+CG265)</f>
        <v>7798.9989223125012</v>
      </c>
      <c r="CH264" s="1891">
        <f>CC264*(1+CH265)</f>
        <v>8208.4048692187516</v>
      </c>
      <c r="CI264" s="1908">
        <f>SUM(CE264:CH264)</f>
        <v>31412.067098564257</v>
      </c>
      <c r="CJ264" s="1891">
        <f>CE264*(1+CJ265)</f>
        <v>7645.5093078000027</v>
      </c>
      <c r="CK264" s="1891">
        <f>CF264*(1+CK265)</f>
        <v>8529.3871645846521</v>
      </c>
      <c r="CL264" s="1891">
        <f>CG264*(1+CL265)</f>
        <v>8188.9488684281268</v>
      </c>
      <c r="CM264" s="1891">
        <f>CH264*(1+CM265)</f>
        <v>8618.8251126796895</v>
      </c>
      <c r="CN264" s="1908">
        <f>SUM(CJ264:CM264)</f>
        <v>32982.670453492472</v>
      </c>
      <c r="CO264" s="1891">
        <f>CJ264*(1+CO265)</f>
        <v>8027.7847731900029</v>
      </c>
      <c r="CP264" s="1891">
        <f>CK264*(1+CP265)</f>
        <v>8955.856522813885</v>
      </c>
      <c r="CQ264" s="1891">
        <f>CL264*(1+CQ265)</f>
        <v>8598.396311849534</v>
      </c>
      <c r="CR264" s="1891">
        <f>CM264*(1+CR265)</f>
        <v>9049.7663683136743</v>
      </c>
      <c r="CS264" s="1908">
        <f>SUM(CO264:CR264)</f>
        <v>34631.803976167095</v>
      </c>
      <c r="CT264" s="1891">
        <f>CO264*(1+CT265)</f>
        <v>8429.1740118495036</v>
      </c>
      <c r="CU264" s="1891">
        <f>CP264*(1+CU265)</f>
        <v>9403.6493489545792</v>
      </c>
      <c r="CV264" s="1891">
        <f>CQ264*(1+CV265)</f>
        <v>9028.3161274420108</v>
      </c>
      <c r="CW264" s="1891">
        <f>CR264*(1+CW265)</f>
        <v>9502.2546867293586</v>
      </c>
      <c r="CX264" s="1908">
        <f>SUM(CT264:CW264)</f>
        <v>36363.394174975452</v>
      </c>
      <c r="CY264" s="1900"/>
      <c r="CZ264" s="1900"/>
      <c r="DA264" s="1900"/>
      <c r="DB264" s="1900"/>
      <c r="DC264" s="1900"/>
      <c r="DD264" s="1900"/>
      <c r="DE264" s="1900"/>
      <c r="DF264" s="1900"/>
      <c r="DG264" s="1900"/>
      <c r="DH264" s="1804"/>
      <c r="DI264" s="1801">
        <f>SUM(BC264:BD264,BF264:BG264)</f>
        <v>24332.5</v>
      </c>
      <c r="DJ264" s="1804">
        <f>SUM(BH264:BI264,BK264:BL264)</f>
        <v>25232.10425</v>
      </c>
      <c r="DK264" s="1804">
        <f>SUM(BM264:BN264,BP264:BQ264)</f>
        <v>26290.388420000003</v>
      </c>
      <c r="DL264" s="1894">
        <f>SUM(BU264:BV264,BR264:BS264)</f>
        <v>27736.723725200005</v>
      </c>
      <c r="DM264" s="1892">
        <f>SUM(BW264:BX264,BZ264:CA264)</f>
        <v>29190.295023960003</v>
      </c>
      <c r="DN264" s="1892">
        <f>SUM(CB264:CC264,CE264:CF264)</f>
        <v>30649.80977515801</v>
      </c>
      <c r="DO264" s="1892"/>
      <c r="DP264" s="1892"/>
      <c r="DQ264" s="1892"/>
      <c r="DR264" s="1993"/>
    </row>
    <row r="265" spans="1:148" s="933" customFormat="1" hidden="1" outlineLevel="3">
      <c r="A265" s="1961" t="s">
        <v>769</v>
      </c>
      <c r="B265" s="1962"/>
      <c r="C265" s="1963"/>
      <c r="D265" s="1963"/>
      <c r="E265" s="1963"/>
      <c r="F265" s="1963"/>
      <c r="G265" s="1964"/>
      <c r="H265" s="1963"/>
      <c r="I265" s="1963"/>
      <c r="J265" s="1963"/>
      <c r="K265" s="1963"/>
      <c r="L265" s="1964"/>
      <c r="M265" s="1963"/>
      <c r="N265" s="1963"/>
      <c r="O265" s="1963"/>
      <c r="P265" s="1963"/>
      <c r="Q265" s="1964"/>
      <c r="R265" s="1963"/>
      <c r="S265" s="1963"/>
      <c r="T265" s="1963"/>
      <c r="U265" s="1963"/>
      <c r="V265" s="1964"/>
      <c r="W265" s="1963"/>
      <c r="X265" s="1963"/>
      <c r="Y265" s="1963"/>
      <c r="Z265" s="1963"/>
      <c r="AA265" s="1964"/>
      <c r="AB265" s="1963"/>
      <c r="AC265" s="1963"/>
      <c r="AD265" s="1963"/>
      <c r="AE265" s="1963"/>
      <c r="AF265" s="1964"/>
      <c r="AG265" s="1963"/>
      <c r="AH265" s="1963"/>
      <c r="AI265" s="1963"/>
      <c r="AJ265" s="1963"/>
      <c r="AK265" s="1964"/>
      <c r="AL265" s="1963"/>
      <c r="AM265" s="1963"/>
      <c r="AN265" s="1963"/>
      <c r="AO265" s="1963"/>
      <c r="AP265" s="1964"/>
      <c r="AQ265" s="1963"/>
      <c r="AR265" s="1963"/>
      <c r="AS265" s="1963"/>
      <c r="AT265" s="1963"/>
      <c r="AU265" s="1964"/>
      <c r="AV265" s="1963"/>
      <c r="AW265" s="1963"/>
      <c r="AX265" s="1963"/>
      <c r="AY265" s="1963"/>
      <c r="AZ265" s="1964"/>
      <c r="BA265" s="1963"/>
      <c r="BB265" s="1963"/>
      <c r="BC265" s="1963"/>
      <c r="BD265" s="1963"/>
      <c r="BE265" s="1964"/>
      <c r="BF265" s="1917">
        <f t="shared" ref="BF265:BK265" si="438">BF264/BA264-1</f>
        <v>9.2280390417036617E-3</v>
      </c>
      <c r="BG265" s="1917">
        <f t="shared" si="438"/>
        <v>2.6862123613312194E-2</v>
      </c>
      <c r="BH265" s="1917">
        <f t="shared" si="438"/>
        <v>4.8613488531324967E-2</v>
      </c>
      <c r="BI265" s="1917">
        <f t="shared" si="438"/>
        <v>1.6998734977862195E-2</v>
      </c>
      <c r="BJ265" s="1964">
        <f t="shared" si="438"/>
        <v>2.5424080295300966E-2</v>
      </c>
      <c r="BK265" s="1917">
        <f t="shared" si="438"/>
        <v>5.345524881308239E-2</v>
      </c>
      <c r="BL265" s="1921">
        <f>0.85*0.06+0.15*(-0.13)</f>
        <v>3.15E-2</v>
      </c>
      <c r="BM265" s="1921">
        <f>0.85*0.06+0.15*(-0.09)</f>
        <v>3.7499999999999999E-2</v>
      </c>
      <c r="BN265" s="1917">
        <v>0.05</v>
      </c>
      <c r="BO265" s="1964">
        <f>BO264/BJ264-1</f>
        <v>4.2849225448956529E-2</v>
      </c>
      <c r="BP265" s="1921">
        <v>0.04</v>
      </c>
      <c r="BQ265" s="1921">
        <v>0.04</v>
      </c>
      <c r="BR265" s="1921">
        <v>0.05</v>
      </c>
      <c r="BS265" s="1917">
        <v>0.05</v>
      </c>
      <c r="BT265" s="1922">
        <f>BT264/BO264-1</f>
        <v>4.5084200624903925E-2</v>
      </c>
      <c r="BU265" s="1921">
        <v>0.06</v>
      </c>
      <c r="BV265" s="1921">
        <v>0.06</v>
      </c>
      <c r="BW265" s="1921">
        <v>0.06</v>
      </c>
      <c r="BX265" s="1921">
        <v>0.05</v>
      </c>
      <c r="BY265" s="1922">
        <f>BY264/BT264-1</f>
        <v>5.7368524493113471E-2</v>
      </c>
      <c r="BZ265" s="1921">
        <f>BX265</f>
        <v>0.05</v>
      </c>
      <c r="CA265" s="1921">
        <f>BZ265</f>
        <v>0.05</v>
      </c>
      <c r="CB265" s="1921">
        <f>CA265</f>
        <v>0.05</v>
      </c>
      <c r="CC265" s="1921">
        <f>CB265</f>
        <v>0.05</v>
      </c>
      <c r="CD265" s="1922">
        <f>CD264/BY264-1</f>
        <v>5.0000000000000044E-2</v>
      </c>
      <c r="CE265" s="1921">
        <f>CC265</f>
        <v>0.05</v>
      </c>
      <c r="CF265" s="1921">
        <f>CE265</f>
        <v>0.05</v>
      </c>
      <c r="CG265" s="1921">
        <f>CF265</f>
        <v>0.05</v>
      </c>
      <c r="CH265" s="1921">
        <f>CG265</f>
        <v>0.05</v>
      </c>
      <c r="CI265" s="1922">
        <f>CI264/CD264-1</f>
        <v>5.0000000000000044E-2</v>
      </c>
      <c r="CJ265" s="1921">
        <f>CH265</f>
        <v>0.05</v>
      </c>
      <c r="CK265" s="1921">
        <f>CJ265</f>
        <v>0.05</v>
      </c>
      <c r="CL265" s="1921">
        <f>CK265</f>
        <v>0.05</v>
      </c>
      <c r="CM265" s="1921">
        <f>CL265</f>
        <v>0.05</v>
      </c>
      <c r="CN265" s="1922">
        <f>CN264/CI264-1</f>
        <v>5.0000000000000044E-2</v>
      </c>
      <c r="CO265" s="1921">
        <f>CM265</f>
        <v>0.05</v>
      </c>
      <c r="CP265" s="1921">
        <f>CO265</f>
        <v>0.05</v>
      </c>
      <c r="CQ265" s="1921">
        <f>CP265</f>
        <v>0.05</v>
      </c>
      <c r="CR265" s="1921">
        <f>CQ265</f>
        <v>0.05</v>
      </c>
      <c r="CS265" s="1922">
        <f>CS264/CN264-1</f>
        <v>5.0000000000000044E-2</v>
      </c>
      <c r="CT265" s="1921">
        <f>CR265</f>
        <v>0.05</v>
      </c>
      <c r="CU265" s="1921">
        <f>CT265</f>
        <v>0.05</v>
      </c>
      <c r="CV265" s="1921">
        <f>CU265</f>
        <v>0.05</v>
      </c>
      <c r="CW265" s="1921">
        <f>CV265</f>
        <v>0.05</v>
      </c>
      <c r="CX265" s="1922">
        <f>CX264/CS264-1</f>
        <v>5.0000000000000044E-2</v>
      </c>
      <c r="CY265" s="1965"/>
      <c r="CZ265" s="1965"/>
      <c r="DA265" s="1965"/>
      <c r="DB265" s="1965"/>
      <c r="DC265" s="1965"/>
      <c r="DD265" s="1965"/>
      <c r="DE265" s="1965"/>
      <c r="DF265" s="1965"/>
      <c r="DG265" s="1965"/>
      <c r="DH265" s="1924"/>
      <c r="DI265" s="1918"/>
      <c r="DJ265" s="1924">
        <f>DJ264/DI264-1</f>
        <v>3.6971303811774492E-2</v>
      </c>
      <c r="DK265" s="1966">
        <f>DK264/DJ264-1</f>
        <v>4.1941970416518259E-2</v>
      </c>
      <c r="DL265" s="1966">
        <f>DL264/DK264-1</f>
        <v>5.5013843161774156E-2</v>
      </c>
      <c r="DM265" s="1964">
        <f>DM264/DL264-1</f>
        <v>5.2406020017402577E-2</v>
      </c>
      <c r="DN265" s="1964">
        <f>DN264/DM264-1</f>
        <v>5.0000000000000266E-2</v>
      </c>
      <c r="DO265" s="1964"/>
      <c r="DP265" s="1964"/>
      <c r="DQ265" s="1964"/>
      <c r="DR265" s="1963"/>
      <c r="DS265" s="932"/>
      <c r="DT265" s="932"/>
      <c r="DU265" s="932"/>
      <c r="DV265" s="932"/>
      <c r="DW265" s="932"/>
      <c r="DX265" s="932"/>
      <c r="DY265" s="932"/>
      <c r="DZ265" s="932"/>
      <c r="EA265" s="932"/>
      <c r="EB265" s="932"/>
      <c r="EC265" s="932"/>
      <c r="ED265" s="932"/>
      <c r="EE265" s="932"/>
      <c r="EF265" s="932"/>
      <c r="EG265" s="932"/>
      <c r="EH265" s="932"/>
      <c r="EI265" s="932"/>
      <c r="EJ265" s="932"/>
      <c r="EK265" s="932"/>
      <c r="EL265" s="932"/>
      <c r="EM265" s="932"/>
      <c r="EN265" s="932"/>
      <c r="EO265" s="932"/>
      <c r="EP265" s="932"/>
      <c r="EQ265" s="932"/>
      <c r="ER265" s="932"/>
    </row>
    <row r="266" spans="1:148" hidden="1" outlineLevel="3">
      <c r="A266" s="1967" t="s">
        <v>770</v>
      </c>
      <c r="B266" s="1895"/>
      <c r="C266" s="1785"/>
      <c r="D266" s="1785"/>
      <c r="E266" s="1785"/>
      <c r="F266" s="1785"/>
      <c r="G266" s="1774"/>
      <c r="H266" s="1785"/>
      <c r="I266" s="1785"/>
      <c r="J266" s="1785"/>
      <c r="K266" s="1785"/>
      <c r="L266" s="1774"/>
      <c r="M266" s="1785"/>
      <c r="N266" s="1785"/>
      <c r="O266" s="1785"/>
      <c r="P266" s="1785"/>
      <c r="Q266" s="1897"/>
      <c r="R266" s="1785"/>
      <c r="S266" s="1785"/>
      <c r="T266" s="1785"/>
      <c r="U266" s="1785"/>
      <c r="V266" s="1774"/>
      <c r="W266" s="1785"/>
      <c r="X266" s="1785"/>
      <c r="Y266" s="1785"/>
      <c r="Z266" s="1785"/>
      <c r="AA266" s="1774"/>
      <c r="AB266" s="1785"/>
      <c r="AC266" s="1785"/>
      <c r="AD266" s="1785"/>
      <c r="AE266" s="1785"/>
      <c r="AF266" s="1774"/>
      <c r="AG266" s="1785"/>
      <c r="AH266" s="1785"/>
      <c r="AI266" s="1785"/>
      <c r="AJ266" s="1785"/>
      <c r="AK266" s="1774"/>
      <c r="AL266" s="1785"/>
      <c r="AM266" s="1785"/>
      <c r="AN266" s="1785"/>
      <c r="AO266" s="1785"/>
      <c r="AP266" s="1774"/>
      <c r="AQ266" s="1785"/>
      <c r="AR266" s="1785"/>
      <c r="AS266" s="1785"/>
      <c r="AT266" s="1785"/>
      <c r="AU266" s="1899"/>
      <c r="AV266" s="1785"/>
      <c r="AW266" s="1785"/>
      <c r="AX266" s="1785"/>
      <c r="AY266" s="1785"/>
      <c r="AZ266" s="1899"/>
      <c r="BA266" s="1785"/>
      <c r="BB266" s="1898">
        <f>BB264/BA264-1</f>
        <v>0.11978704525288375</v>
      </c>
      <c r="BC266" s="1898">
        <f>BC264/BB264-1</f>
        <v>-7.4167987321711593E-2</v>
      </c>
      <c r="BD266" s="1898">
        <f>BD264/BC264-1</f>
        <v>8.2505991098938747E-2</v>
      </c>
      <c r="BE266" s="1899"/>
      <c r="BF266" s="1785">
        <f>BF264/BD264-1</f>
        <v>-0.10072738772928524</v>
      </c>
      <c r="BG266" s="1785">
        <f>BG264/BF264-1</f>
        <v>0.13935291014594697</v>
      </c>
      <c r="BH266" s="1785">
        <f>BH264/BG264-1</f>
        <v>-5.4556678756076837E-2</v>
      </c>
      <c r="BI266" s="1785">
        <f>BI264/BH264-1</f>
        <v>4.9869409076069182E-2</v>
      </c>
      <c r="BJ266" s="1899"/>
      <c r="BK266" s="1785">
        <f>BK264/BI264-1</f>
        <v>-6.8491020757210586E-2</v>
      </c>
      <c r="BL266" s="1898">
        <f>BL264/BK264-1</f>
        <v>0.11560745284593565</v>
      </c>
      <c r="BM266" s="1898">
        <f>BM264/BL264-1</f>
        <v>-4.905725080894785E-2</v>
      </c>
      <c r="BN266" s="1785">
        <f>BN264/BM264-1</f>
        <v>6.2518438101082152E-2</v>
      </c>
      <c r="BO266" s="1899"/>
      <c r="BP266" s="1898">
        <f>BP264/BN264-1</f>
        <v>-7.7362534845237252E-2</v>
      </c>
      <c r="BQ266" s="1898">
        <f>BQ264/BP264-1</f>
        <v>0.11560745284593565</v>
      </c>
      <c r="BR266" s="1898">
        <f>BR264/BQ264-1</f>
        <v>-3.9913570528264719E-2</v>
      </c>
      <c r="BS266" s="1785">
        <f>BS264/BR264-1</f>
        <v>6.2518438101082152E-2</v>
      </c>
      <c r="BT266" s="1899"/>
      <c r="BU266" s="1898">
        <f>BU264/BS264-1</f>
        <v>-6.8575511367572783E-2</v>
      </c>
      <c r="BV266" s="1898">
        <f>BV264/BU264-1</f>
        <v>0.11560745284593543</v>
      </c>
      <c r="BW266" s="1898">
        <f>BW264/BV264-1</f>
        <v>-3.9913570528264719E-2</v>
      </c>
      <c r="BX266" s="1898">
        <f>BX264/BW264-1</f>
        <v>5.2494679251071874E-2</v>
      </c>
      <c r="BY266" s="1899"/>
      <c r="BZ266" s="1898">
        <f>BZ264/BX264-1</f>
        <v>-6.8575511367572672E-2</v>
      </c>
      <c r="CA266" s="1898">
        <f>CA264/BZ264-1</f>
        <v>0.11560745284593565</v>
      </c>
      <c r="CB266" s="1898">
        <f>CB264/CA264-1</f>
        <v>-3.9913570528264719E-2</v>
      </c>
      <c r="CC266" s="1898">
        <f>CC264/CB264-1</f>
        <v>5.2494679251071874E-2</v>
      </c>
      <c r="CD266" s="1899"/>
      <c r="CE266" s="1898">
        <f>CE264/CC264-1</f>
        <v>-6.8575511367572672E-2</v>
      </c>
      <c r="CF266" s="1898">
        <f>CF264/CE264-1</f>
        <v>0.11560745284593543</v>
      </c>
      <c r="CG266" s="1898">
        <f>CG264/CF264-1</f>
        <v>-3.9913570528264719E-2</v>
      </c>
      <c r="CH266" s="1898">
        <f>CH264/CG264-1</f>
        <v>5.2494679251071874E-2</v>
      </c>
      <c r="CI266" s="1899"/>
      <c r="CJ266" s="1898">
        <f>CJ264/CH264-1</f>
        <v>-6.8575511367572561E-2</v>
      </c>
      <c r="CK266" s="1898">
        <f>CK264/CJ264-1</f>
        <v>0.11560745284593543</v>
      </c>
      <c r="CL266" s="1898">
        <f>CL264/CK264-1</f>
        <v>-3.9913570528264719E-2</v>
      </c>
      <c r="CM266" s="1898">
        <f>CM264/CL264-1</f>
        <v>5.2494679251071874E-2</v>
      </c>
      <c r="CN266" s="1899"/>
      <c r="CO266" s="1898">
        <f>CO264/CM264-1</f>
        <v>-6.8575511367572672E-2</v>
      </c>
      <c r="CP266" s="1898">
        <f>CP264/CO264-1</f>
        <v>0.11560745284593543</v>
      </c>
      <c r="CQ266" s="1898">
        <f>CQ264/CP264-1</f>
        <v>-3.9913570528264608E-2</v>
      </c>
      <c r="CR266" s="1898">
        <f>CR264/CQ264-1</f>
        <v>5.2494679251071874E-2</v>
      </c>
      <c r="CS266" s="1899"/>
      <c r="CT266" s="1898">
        <f>CT264/CR264-1</f>
        <v>-6.8575511367572672E-2</v>
      </c>
      <c r="CU266" s="1898">
        <f>CU264/CT264-1</f>
        <v>0.11560745284593543</v>
      </c>
      <c r="CV266" s="1898">
        <f>CV264/CU264-1</f>
        <v>-3.9913570528264608E-2</v>
      </c>
      <c r="CW266" s="1898">
        <f>CW264/CV264-1</f>
        <v>5.2494679251071874E-2</v>
      </c>
      <c r="CX266" s="1899"/>
      <c r="CY266" s="1900"/>
      <c r="CZ266" s="1900"/>
      <c r="DA266" s="1900"/>
      <c r="DB266" s="1900"/>
      <c r="DC266" s="1900"/>
      <c r="DD266" s="1900"/>
      <c r="DE266" s="1900"/>
      <c r="DF266" s="1900"/>
      <c r="DG266" s="1900"/>
      <c r="DH266" s="1773"/>
      <c r="DI266" s="1774"/>
      <c r="DJ266" s="1773"/>
      <c r="DK266" s="1901"/>
      <c r="DL266" s="1901"/>
      <c r="DM266" s="1899"/>
      <c r="DN266" s="1899"/>
      <c r="DO266" s="1899"/>
      <c r="DP266" s="1899"/>
      <c r="DQ266" s="1899"/>
      <c r="DR266" s="1898"/>
    </row>
    <row r="267" spans="1:148" hidden="1" outlineLevel="3">
      <c r="A267" s="1760" t="s">
        <v>644</v>
      </c>
      <c r="B267" s="1895"/>
      <c r="C267" s="1785"/>
      <c r="D267" s="1785"/>
      <c r="E267" s="1785"/>
      <c r="F267" s="1785"/>
      <c r="G267" s="1774"/>
      <c r="H267" s="1785"/>
      <c r="I267" s="1785"/>
      <c r="J267" s="1785"/>
      <c r="K267" s="1785"/>
      <c r="L267" s="1774"/>
      <c r="M267" s="1889">
        <f t="shared" ref="M267:AR267" si="439">M253-M269</f>
        <v>785.04384000000027</v>
      </c>
      <c r="N267" s="1889">
        <f t="shared" si="439"/>
        <v>1933.2262400000002</v>
      </c>
      <c r="O267" s="1889">
        <f t="shared" si="439"/>
        <v>711.95424000000003</v>
      </c>
      <c r="P267" s="1889">
        <f t="shared" si="439"/>
        <v>871.7491200000004</v>
      </c>
      <c r="Q267" s="1801">
        <f t="shared" si="439"/>
        <v>4301.9734399999998</v>
      </c>
      <c r="R267" s="1889">
        <f t="shared" si="439"/>
        <v>926</v>
      </c>
      <c r="S267" s="1889">
        <f t="shared" si="439"/>
        <v>1058</v>
      </c>
      <c r="T267" s="1889">
        <f t="shared" si="439"/>
        <v>1068</v>
      </c>
      <c r="U267" s="1889">
        <f t="shared" si="439"/>
        <v>1352</v>
      </c>
      <c r="V267" s="1801">
        <f t="shared" si="439"/>
        <v>4404</v>
      </c>
      <c r="W267" s="1889">
        <f t="shared" si="439"/>
        <v>1039</v>
      </c>
      <c r="X267" s="1889">
        <f t="shared" si="439"/>
        <v>1244</v>
      </c>
      <c r="Y267" s="1889">
        <f t="shared" si="439"/>
        <v>1203</v>
      </c>
      <c r="Z267" s="1889">
        <f t="shared" si="439"/>
        <v>1385</v>
      </c>
      <c r="AA267" s="1801">
        <f t="shared" si="439"/>
        <v>4871</v>
      </c>
      <c r="AB267" s="1889">
        <f t="shared" si="439"/>
        <v>1172</v>
      </c>
      <c r="AC267" s="1889">
        <f t="shared" si="439"/>
        <v>1343</v>
      </c>
      <c r="AD267" s="1889">
        <f t="shared" si="439"/>
        <v>1408</v>
      </c>
      <c r="AE267" s="1889">
        <f t="shared" si="439"/>
        <v>1639</v>
      </c>
      <c r="AF267" s="1801">
        <f t="shared" si="439"/>
        <v>5562</v>
      </c>
      <c r="AG267" s="1889">
        <f t="shared" si="439"/>
        <v>1417</v>
      </c>
      <c r="AH267" s="1889">
        <f t="shared" si="439"/>
        <v>1630</v>
      </c>
      <c r="AI267" s="1889">
        <f t="shared" si="439"/>
        <v>1607</v>
      </c>
      <c r="AJ267" s="1889">
        <f t="shared" si="439"/>
        <v>1922</v>
      </c>
      <c r="AK267" s="1801">
        <f t="shared" si="439"/>
        <v>6576</v>
      </c>
      <c r="AL267" s="1889">
        <f t="shared" si="439"/>
        <v>1774</v>
      </c>
      <c r="AM267" s="1889">
        <f t="shared" si="439"/>
        <v>1859</v>
      </c>
      <c r="AN267" s="1889">
        <f t="shared" si="439"/>
        <v>1752</v>
      </c>
      <c r="AO267" s="1889">
        <f t="shared" si="439"/>
        <v>1861</v>
      </c>
      <c r="AP267" s="1801">
        <f t="shared" si="439"/>
        <v>7246</v>
      </c>
      <c r="AQ267" s="1890">
        <f t="shared" si="439"/>
        <v>1687</v>
      </c>
      <c r="AR267" s="1890">
        <f t="shared" si="439"/>
        <v>1917</v>
      </c>
      <c r="AS267" s="1890">
        <f t="shared" ref="AS267:CD267" si="440">AS253-AS269</f>
        <v>1780</v>
      </c>
      <c r="AT267" s="1890">
        <f t="shared" si="440"/>
        <v>2143</v>
      </c>
      <c r="AU267" s="1801">
        <f t="shared" si="440"/>
        <v>7527</v>
      </c>
      <c r="AV267" s="1890">
        <f t="shared" si="440"/>
        <v>1737</v>
      </c>
      <c r="AW267" s="1890">
        <f t="shared" si="440"/>
        <v>2053</v>
      </c>
      <c r="AX267" s="1890">
        <f t="shared" si="440"/>
        <v>2069</v>
      </c>
      <c r="AY267" s="1890">
        <f t="shared" si="440"/>
        <v>2146</v>
      </c>
      <c r="AZ267" s="1801">
        <f t="shared" si="440"/>
        <v>8005</v>
      </c>
      <c r="BA267" s="1890">
        <f t="shared" si="440"/>
        <v>1917</v>
      </c>
      <c r="BB267" s="1890">
        <f t="shared" si="440"/>
        <v>2122</v>
      </c>
      <c r="BC267" s="1890">
        <f t="shared" si="440"/>
        <v>2046</v>
      </c>
      <c r="BD267" s="1890">
        <f t="shared" si="440"/>
        <v>2197</v>
      </c>
      <c r="BE267" s="1801">
        <f t="shared" si="440"/>
        <v>8282</v>
      </c>
      <c r="BF267" s="1890">
        <f t="shared" si="440"/>
        <v>1852</v>
      </c>
      <c r="BG267" s="1890">
        <f t="shared" si="440"/>
        <v>2126</v>
      </c>
      <c r="BH267" s="1890">
        <f t="shared" si="440"/>
        <v>2215</v>
      </c>
      <c r="BI267" s="1890">
        <f t="shared" si="440"/>
        <v>2340</v>
      </c>
      <c r="BJ267" s="1801">
        <f t="shared" si="440"/>
        <v>8533</v>
      </c>
      <c r="BK267" s="1890">
        <f>BK253-BK269</f>
        <v>2932</v>
      </c>
      <c r="BL267" s="1904">
        <f t="shared" si="440"/>
        <v>2386.0467172500003</v>
      </c>
      <c r="BM267" s="1904">
        <f t="shared" si="440"/>
        <v>2288.0610000000001</v>
      </c>
      <c r="BN267" s="1890">
        <f t="shared" si="440"/>
        <v>2431.107</v>
      </c>
      <c r="BO267" s="1801">
        <f t="shared" si="440"/>
        <v>10037.214717250003</v>
      </c>
      <c r="BP267" s="1904">
        <f t="shared" si="440"/>
        <v>2305.3368</v>
      </c>
      <c r="BQ267" s="1904">
        <f t="shared" si="440"/>
        <v>2571.8509154000003</v>
      </c>
      <c r="BR267" s="1904">
        <f t="shared" si="440"/>
        <v>2469.1991625000001</v>
      </c>
      <c r="BS267" s="1890">
        <f t="shared" si="440"/>
        <v>2623.5696375000007</v>
      </c>
      <c r="BT267" s="1905">
        <f t="shared" si="440"/>
        <v>9969.9565154000011</v>
      </c>
      <c r="BU267" s="1904">
        <f t="shared" si="440"/>
        <v>2443.6570080000001</v>
      </c>
      <c r="BV267" s="1904">
        <f t="shared" si="440"/>
        <v>2726.1619703240003</v>
      </c>
      <c r="BW267" s="1904">
        <f t="shared" si="440"/>
        <v>2617.3511122500004</v>
      </c>
      <c r="BX267" s="1904">
        <f t="shared" si="440"/>
        <v>2754.748119375</v>
      </c>
      <c r="BY267" s="1905">
        <f t="shared" si="440"/>
        <v>10541.918209948999</v>
      </c>
      <c r="BZ267" s="1904">
        <f t="shared" si="440"/>
        <v>2565.8398584000006</v>
      </c>
      <c r="CA267" s="1904">
        <f t="shared" si="440"/>
        <v>2862.4700688402008</v>
      </c>
      <c r="CB267" s="1904">
        <f t="shared" si="440"/>
        <v>2748.2186678625003</v>
      </c>
      <c r="CC267" s="1904">
        <f t="shared" si="440"/>
        <v>2892.4855253437509</v>
      </c>
      <c r="CD267" s="1905">
        <f t="shared" si="440"/>
        <v>11069.014120446456</v>
      </c>
      <c r="CE267" s="1904">
        <f t="shared" ref="CE267:CI267" si="441">CE253-CE269</f>
        <v>2694.1318513200004</v>
      </c>
      <c r="CF267" s="1904">
        <f t="shared" si="441"/>
        <v>3005.5935722822105</v>
      </c>
      <c r="CG267" s="1904">
        <f t="shared" si="441"/>
        <v>2885.6296012556259</v>
      </c>
      <c r="CH267" s="1904">
        <f t="shared" si="441"/>
        <v>3037.1098016109381</v>
      </c>
      <c r="CI267" s="1905">
        <f t="shared" si="441"/>
        <v>11622.464826468775</v>
      </c>
      <c r="CJ267" s="1904">
        <f t="shared" ref="CJ267:CS267" si="442">CJ253-CJ269</f>
        <v>2828.8384438860012</v>
      </c>
      <c r="CK267" s="1904">
        <f t="shared" si="442"/>
        <v>3155.8732508963212</v>
      </c>
      <c r="CL267" s="1904">
        <f t="shared" si="442"/>
        <v>3029.911081318407</v>
      </c>
      <c r="CM267" s="1904">
        <f t="shared" si="442"/>
        <v>3188.9652916914847</v>
      </c>
      <c r="CN267" s="1905">
        <f t="shared" si="442"/>
        <v>12203.588067792218</v>
      </c>
      <c r="CO267" s="1904">
        <f t="shared" si="442"/>
        <v>2970.2803660803011</v>
      </c>
      <c r="CP267" s="1904">
        <f t="shared" si="442"/>
        <v>3313.6669134411377</v>
      </c>
      <c r="CQ267" s="1904">
        <f t="shared" si="442"/>
        <v>3181.4066353843273</v>
      </c>
      <c r="CR267" s="1904">
        <f t="shared" si="442"/>
        <v>3348.4135562760594</v>
      </c>
      <c r="CS267" s="1905">
        <f t="shared" si="442"/>
        <v>12813.767471181825</v>
      </c>
      <c r="CT267" s="1904">
        <f t="shared" ref="CT267:CX267" si="443">CT253-CT269</f>
        <v>3118.7943843843159</v>
      </c>
      <c r="CU267" s="1904">
        <f t="shared" si="443"/>
        <v>3479.3502591131946</v>
      </c>
      <c r="CV267" s="1904">
        <f t="shared" si="443"/>
        <v>3340.4769671535441</v>
      </c>
      <c r="CW267" s="1904">
        <f t="shared" si="443"/>
        <v>3515.8342340898625</v>
      </c>
      <c r="CX267" s="1905">
        <f t="shared" si="443"/>
        <v>13454.455844740918</v>
      </c>
      <c r="CY267" s="1900"/>
      <c r="CZ267" s="1900"/>
      <c r="DA267" s="1900"/>
      <c r="DB267" s="1900"/>
      <c r="DC267" s="1900"/>
      <c r="DD267" s="1900"/>
      <c r="DE267" s="1900"/>
      <c r="DF267" s="1900"/>
      <c r="DG267" s="1900"/>
      <c r="DH267" s="1804">
        <f>SUM(AX267:AY267,BA267:BB267)</f>
        <v>8254</v>
      </c>
      <c r="DI267" s="1801">
        <f>SUM(BC267:BD267,BF267:BG267)</f>
        <v>8221</v>
      </c>
      <c r="DJ267" s="1804">
        <f>SUM(BH267:BI267,BK267:BL267)</f>
        <v>9873.0467172499993</v>
      </c>
      <c r="DK267" s="1906">
        <f>SUM(BM267:BN267,BP267:BQ267)</f>
        <v>9596.3557154000009</v>
      </c>
      <c r="DL267" s="1907">
        <f>SUM(BU267:BV267,BR267:BS267)</f>
        <v>10262.587778324001</v>
      </c>
      <c r="DM267" s="1908">
        <f>SUM(BW267:BX267,BZ267:CA267)</f>
        <v>10800.409158865201</v>
      </c>
      <c r="DN267" s="1908">
        <f>SUM(CB267:CC267,CE267:CF267)</f>
        <v>11340.429616808462</v>
      </c>
      <c r="DO267" s="1908"/>
      <c r="DP267" s="1908"/>
      <c r="DQ267" s="1908"/>
      <c r="DR267" s="1915"/>
    </row>
    <row r="268" spans="1:148" hidden="1" outlineLevel="3">
      <c r="A268" s="1760" t="s">
        <v>163</v>
      </c>
      <c r="B268" s="1895"/>
      <c r="C268" s="1785"/>
      <c r="D268" s="1785"/>
      <c r="E268" s="1785"/>
      <c r="F268" s="1785"/>
      <c r="G268" s="1774"/>
      <c r="H268" s="1785"/>
      <c r="I268" s="1785"/>
      <c r="J268" s="1785"/>
      <c r="K268" s="1785"/>
      <c r="L268" s="1774"/>
      <c r="M268" s="1785"/>
      <c r="N268" s="1785"/>
      <c r="O268" s="1785"/>
      <c r="P268" s="1896"/>
      <c r="Q268" s="1897"/>
      <c r="R268" s="1902">
        <f t="shared" ref="R268:AW268" si="444">R267/M267-1</f>
        <v>0.17955195979883065</v>
      </c>
      <c r="S268" s="1902">
        <f t="shared" si="444"/>
        <v>-0.45272830561207367</v>
      </c>
      <c r="T268" s="1902">
        <f t="shared" si="444"/>
        <v>0.50009641069066446</v>
      </c>
      <c r="U268" s="1902">
        <f t="shared" si="444"/>
        <v>0.55090492090201293</v>
      </c>
      <c r="V268" s="1774">
        <f t="shared" si="444"/>
        <v>2.3716222664545317E-2</v>
      </c>
      <c r="W268" s="1902">
        <f t="shared" si="444"/>
        <v>0.12203023758099363</v>
      </c>
      <c r="X268" s="1902">
        <f t="shared" si="444"/>
        <v>0.17580340264650274</v>
      </c>
      <c r="Y268" s="1902">
        <f t="shared" si="444"/>
        <v>0.12640449438202239</v>
      </c>
      <c r="Z268" s="1902">
        <f t="shared" si="444"/>
        <v>2.4408284023668569E-2</v>
      </c>
      <c r="AA268" s="1774">
        <f t="shared" si="444"/>
        <v>0.10603996366939139</v>
      </c>
      <c r="AB268" s="1902">
        <f t="shared" si="444"/>
        <v>0.12800769971126091</v>
      </c>
      <c r="AC268" s="1902">
        <f t="shared" si="444"/>
        <v>7.9581993569131759E-2</v>
      </c>
      <c r="AD268" s="1902">
        <f t="shared" si="444"/>
        <v>0.17040731504571904</v>
      </c>
      <c r="AE268" s="1902">
        <f t="shared" si="444"/>
        <v>0.18339350180505409</v>
      </c>
      <c r="AF268" s="1774">
        <f t="shared" si="444"/>
        <v>0.14185998768220087</v>
      </c>
      <c r="AG268" s="1902">
        <f t="shared" si="444"/>
        <v>0.20904436860068265</v>
      </c>
      <c r="AH268" s="1902">
        <f t="shared" si="444"/>
        <v>0.21370067014147431</v>
      </c>
      <c r="AI268" s="1902">
        <f t="shared" si="444"/>
        <v>0.14133522727272729</v>
      </c>
      <c r="AJ268" s="1902">
        <f t="shared" si="444"/>
        <v>0.17266625991458207</v>
      </c>
      <c r="AK268" s="1774">
        <f t="shared" si="444"/>
        <v>0.18230852211434745</v>
      </c>
      <c r="AL268" s="1902">
        <f t="shared" si="444"/>
        <v>0.25194071983062805</v>
      </c>
      <c r="AM268" s="1902">
        <f t="shared" si="444"/>
        <v>0.14049079754601235</v>
      </c>
      <c r="AN268" s="1902">
        <f t="shared" si="444"/>
        <v>9.0230242688238871E-2</v>
      </c>
      <c r="AO268" s="1902">
        <f t="shared" si="444"/>
        <v>-3.1737773152965665E-2</v>
      </c>
      <c r="AP268" s="1774">
        <f t="shared" si="444"/>
        <v>0.10188564476885653</v>
      </c>
      <c r="AQ268" s="1900">
        <f t="shared" si="444"/>
        <v>-4.9041713641488127E-2</v>
      </c>
      <c r="AR268" s="1900">
        <f t="shared" si="444"/>
        <v>3.119956966110804E-2</v>
      </c>
      <c r="AS268" s="1900">
        <f t="shared" si="444"/>
        <v>1.5981735159817267E-2</v>
      </c>
      <c r="AT268" s="1900">
        <f t="shared" si="444"/>
        <v>0.15153143471252006</v>
      </c>
      <c r="AU268" s="1774">
        <f t="shared" si="444"/>
        <v>3.8780016560861164E-2</v>
      </c>
      <c r="AV268" s="1900">
        <f t="shared" si="444"/>
        <v>2.9638411381149865E-2</v>
      </c>
      <c r="AW268" s="1900">
        <f t="shared" si="444"/>
        <v>7.094418362024002E-2</v>
      </c>
      <c r="AX268" s="1900">
        <f t="shared" ref="AX268:CD268" si="445">AX267/AS267-1</f>
        <v>0.16235955056179785</v>
      </c>
      <c r="AY268" s="1900">
        <f t="shared" si="445"/>
        <v>1.3999066728884735E-3</v>
      </c>
      <c r="AZ268" s="1774">
        <f t="shared" si="445"/>
        <v>6.3504716354457313E-2</v>
      </c>
      <c r="BA268" s="1900">
        <f t="shared" si="445"/>
        <v>0.10362694300518127</v>
      </c>
      <c r="BB268" s="1900">
        <f t="shared" si="445"/>
        <v>3.3609352167559559E-2</v>
      </c>
      <c r="BC268" s="1900">
        <f t="shared" si="445"/>
        <v>-1.1116481391976851E-2</v>
      </c>
      <c r="BD268" s="1900">
        <f t="shared" si="445"/>
        <v>2.3765144454799714E-2</v>
      </c>
      <c r="BE268" s="1774">
        <f t="shared" si="445"/>
        <v>3.4603372891942596E-2</v>
      </c>
      <c r="BF268" s="1900">
        <f t="shared" si="445"/>
        <v>-3.390714658320293E-2</v>
      </c>
      <c r="BG268" s="1900">
        <f t="shared" si="445"/>
        <v>1.8850141376061114E-3</v>
      </c>
      <c r="BH268" s="1900">
        <f t="shared" si="445"/>
        <v>8.2600195503421237E-2</v>
      </c>
      <c r="BI268" s="1900">
        <f t="shared" si="445"/>
        <v>6.5088757396449815E-2</v>
      </c>
      <c r="BJ268" s="1774">
        <f t="shared" si="445"/>
        <v>3.0306689205505943E-2</v>
      </c>
      <c r="BK268" s="1900">
        <f t="shared" si="445"/>
        <v>0.58315334773218153</v>
      </c>
      <c r="BL268" s="1909">
        <f t="shared" si="445"/>
        <v>0.12231736465192866</v>
      </c>
      <c r="BM268" s="1909">
        <f t="shared" si="445"/>
        <v>3.2984650112866776E-2</v>
      </c>
      <c r="BN268" s="1900">
        <f t="shared" si="445"/>
        <v>3.893461538461529E-2</v>
      </c>
      <c r="BO268" s="1774">
        <f t="shared" si="445"/>
        <v>0.17628204819524229</v>
      </c>
      <c r="BP268" s="1909">
        <f t="shared" si="445"/>
        <v>-0.21373233287858118</v>
      </c>
      <c r="BQ268" s="1909">
        <f t="shared" si="445"/>
        <v>7.7871148459383699E-2</v>
      </c>
      <c r="BR268" s="1909">
        <f t="shared" si="445"/>
        <v>7.9166666666666607E-2</v>
      </c>
      <c r="BS268" s="1900">
        <f t="shared" si="445"/>
        <v>7.9166666666667052E-2</v>
      </c>
      <c r="BT268" s="1910">
        <f t="shared" si="445"/>
        <v>-6.7008830382407902E-3</v>
      </c>
      <c r="BU268" s="1909">
        <f t="shared" si="445"/>
        <v>6.0000000000000053E-2</v>
      </c>
      <c r="BV268" s="1909">
        <f t="shared" si="445"/>
        <v>6.0000000000000053E-2</v>
      </c>
      <c r="BW268" s="1909">
        <f t="shared" si="445"/>
        <v>6.0000000000000053E-2</v>
      </c>
      <c r="BX268" s="1909">
        <f t="shared" si="445"/>
        <v>4.9999999999999822E-2</v>
      </c>
      <c r="BY268" s="1910">
        <f t="shared" si="445"/>
        <v>5.7368524493113249E-2</v>
      </c>
      <c r="BZ268" s="1909">
        <f t="shared" si="445"/>
        <v>5.0000000000000266E-2</v>
      </c>
      <c r="CA268" s="1909">
        <f t="shared" si="445"/>
        <v>5.0000000000000266E-2</v>
      </c>
      <c r="CB268" s="1909">
        <f t="shared" si="445"/>
        <v>5.0000000000000044E-2</v>
      </c>
      <c r="CC268" s="1909">
        <f t="shared" si="445"/>
        <v>5.0000000000000266E-2</v>
      </c>
      <c r="CD268" s="1910">
        <f t="shared" si="445"/>
        <v>5.0000000000000711E-2</v>
      </c>
      <c r="CE268" s="1909">
        <f t="shared" ref="CE268:CI268" si="446">CE267/BZ267-1</f>
        <v>4.9999999999999822E-2</v>
      </c>
      <c r="CF268" s="1909">
        <f t="shared" si="446"/>
        <v>4.9999999999999822E-2</v>
      </c>
      <c r="CG268" s="1909">
        <f t="shared" si="446"/>
        <v>5.0000000000000266E-2</v>
      </c>
      <c r="CH268" s="1909">
        <f t="shared" si="446"/>
        <v>4.9999999999999822E-2</v>
      </c>
      <c r="CI268" s="1910">
        <f t="shared" si="446"/>
        <v>4.99999999999996E-2</v>
      </c>
      <c r="CJ268" s="1909">
        <f t="shared" ref="CJ268:CS268" si="447">CJ267/CE267-1</f>
        <v>5.0000000000000266E-2</v>
      </c>
      <c r="CK268" s="1909">
        <f t="shared" si="447"/>
        <v>5.0000000000000044E-2</v>
      </c>
      <c r="CL268" s="1909">
        <f t="shared" si="447"/>
        <v>5.0000000000000044E-2</v>
      </c>
      <c r="CM268" s="1909">
        <f t="shared" si="447"/>
        <v>4.9999999999999822E-2</v>
      </c>
      <c r="CN268" s="1910">
        <f t="shared" si="447"/>
        <v>5.0000000000000266E-2</v>
      </c>
      <c r="CO268" s="1909">
        <f t="shared" si="447"/>
        <v>5.0000000000000044E-2</v>
      </c>
      <c r="CP268" s="1909">
        <f t="shared" si="447"/>
        <v>5.0000000000000044E-2</v>
      </c>
      <c r="CQ268" s="1909">
        <f t="shared" si="447"/>
        <v>5.0000000000000044E-2</v>
      </c>
      <c r="CR268" s="1909">
        <f t="shared" si="447"/>
        <v>5.0000000000000044E-2</v>
      </c>
      <c r="CS268" s="1910">
        <f t="shared" si="447"/>
        <v>4.9999999999999822E-2</v>
      </c>
      <c r="CT268" s="1909">
        <f t="shared" ref="CT268" si="448">CT267/CO267-1</f>
        <v>4.9999999999999822E-2</v>
      </c>
      <c r="CU268" s="1909">
        <f t="shared" ref="CU268" si="449">CU267/CP267-1</f>
        <v>5.0000000000000044E-2</v>
      </c>
      <c r="CV268" s="1909">
        <f t="shared" ref="CV268" si="450">CV267/CQ267-1</f>
        <v>5.0000000000000266E-2</v>
      </c>
      <c r="CW268" s="1909">
        <f t="shared" ref="CW268" si="451">CW267/CR267-1</f>
        <v>5.0000000000000044E-2</v>
      </c>
      <c r="CX268" s="1910">
        <f t="shared" ref="CX268" si="452">CX267/CS267-1</f>
        <v>5.0000000000000044E-2</v>
      </c>
      <c r="CY268" s="1900"/>
      <c r="CZ268" s="1900"/>
      <c r="DA268" s="1900"/>
      <c r="DB268" s="1900"/>
      <c r="DC268" s="1900"/>
      <c r="DD268" s="1900"/>
      <c r="DE268" s="1900"/>
      <c r="DF268" s="1900"/>
      <c r="DG268" s="1900"/>
      <c r="DH268" s="1773"/>
      <c r="DI268" s="1774"/>
      <c r="DJ268" s="1773"/>
      <c r="DK268" s="1911"/>
      <c r="DL268" s="1911"/>
      <c r="DM268" s="1910"/>
      <c r="DN268" s="1910"/>
      <c r="DO268" s="1910"/>
      <c r="DP268" s="1910"/>
      <c r="DQ268" s="1910"/>
      <c r="DR268" s="3060"/>
    </row>
    <row r="269" spans="1:148" hidden="1" outlineLevel="2">
      <c r="A269" s="1912" t="s">
        <v>529</v>
      </c>
      <c r="B269" s="1913"/>
      <c r="C269" s="1803"/>
      <c r="D269" s="1803"/>
      <c r="E269" s="1803"/>
      <c r="F269" s="1803"/>
      <c r="G269" s="1801">
        <f>((G325-G230)+G331+G337)/1000</f>
        <v>8318.6892799999987</v>
      </c>
      <c r="H269" s="1803">
        <f>((H325-H230)+H331+H337)/1000</f>
        <v>1866.8099199999999</v>
      </c>
      <c r="I269" s="1803">
        <f>((I325-I230)+I331+I337)/1000</f>
        <v>1809.85024</v>
      </c>
      <c r="J269" s="1803">
        <f>((J325-J230)+J331+J337)/1000</f>
        <v>1861.8048000000001</v>
      </c>
      <c r="K269" s="1803"/>
      <c r="L269" s="1801">
        <f>((L325-L230)+L331+L337)/1000</f>
        <v>9238.4275199999993</v>
      </c>
      <c r="M269" s="1803">
        <f>((M325-M230)+M331+M337)/1000</f>
        <v>1916.7561599999999</v>
      </c>
      <c r="N269" s="1803">
        <f>((N325-N230)+N331+N337)/1000</f>
        <v>1482.1337599999999</v>
      </c>
      <c r="O269" s="1803">
        <f>((O325-O230)+O331+O337)/1000</f>
        <v>2517.6057599999999</v>
      </c>
      <c r="P269" s="1803">
        <f>((P325-P230)+P331+P337)/1000</f>
        <v>2559.6108799999997</v>
      </c>
      <c r="Q269" s="1801">
        <f>SUM(M269:P269)</f>
        <v>8476.1065600000002</v>
      </c>
      <c r="R269" s="1889">
        <v>2160</v>
      </c>
      <c r="S269" s="1887">
        <v>2355</v>
      </c>
      <c r="T269" s="1803">
        <v>2316</v>
      </c>
      <c r="U269" s="1803">
        <v>2285</v>
      </c>
      <c r="V269" s="1801">
        <f>SUM(R269:U269)</f>
        <v>9116</v>
      </c>
      <c r="W269" s="1889">
        <v>2244</v>
      </c>
      <c r="X269" s="1887">
        <v>2445</v>
      </c>
      <c r="Y269" s="1887">
        <v>2405</v>
      </c>
      <c r="Z269" s="1803">
        <v>2523</v>
      </c>
      <c r="AA269" s="1801">
        <f>SUM(W269:Z269)</f>
        <v>9617</v>
      </c>
      <c r="AB269" s="1889">
        <v>2253</v>
      </c>
      <c r="AC269" s="1887">
        <v>2169</v>
      </c>
      <c r="AD269" s="1887">
        <v>3421</v>
      </c>
      <c r="AE269" s="1803">
        <v>2994</v>
      </c>
      <c r="AF269" s="1801">
        <f>SUM(AB269:AE269)</f>
        <v>10837</v>
      </c>
      <c r="AG269" s="1803">
        <v>2694</v>
      </c>
      <c r="AH269" s="1887">
        <v>3185</v>
      </c>
      <c r="AI269" s="1887">
        <v>3138</v>
      </c>
      <c r="AJ269" s="1803">
        <v>3341</v>
      </c>
      <c r="AK269" s="1801">
        <f>SUM(AG269:AJ269)</f>
        <v>12358</v>
      </c>
      <c r="AL269" s="1803">
        <v>3180</v>
      </c>
      <c r="AM269" s="1887">
        <v>3022</v>
      </c>
      <c r="AN269" s="1887">
        <v>2756</v>
      </c>
      <c r="AO269" s="1890">
        <v>2706</v>
      </c>
      <c r="AP269" s="1801">
        <f>SUM(AL269:AO269)</f>
        <v>11664</v>
      </c>
      <c r="AQ269" s="1803">
        <v>2827</v>
      </c>
      <c r="AR269" s="1803">
        <v>2947</v>
      </c>
      <c r="AS269" s="1803">
        <v>2563</v>
      </c>
      <c r="AT269" s="1803">
        <v>3229</v>
      </c>
      <c r="AU269" s="1801">
        <f>SUM(AQ269:AT269)</f>
        <v>11566</v>
      </c>
      <c r="AV269" s="1803">
        <v>3465</v>
      </c>
      <c r="AW269" s="1803">
        <v>4057</v>
      </c>
      <c r="AX269" s="1803">
        <v>3260</v>
      </c>
      <c r="AY269" s="1803">
        <v>3727</v>
      </c>
      <c r="AZ269" s="1801">
        <f>SUM(AV269:AY269)</f>
        <v>14509</v>
      </c>
      <c r="BA269" s="1803">
        <v>3718</v>
      </c>
      <c r="BB269" s="1803">
        <v>4188</v>
      </c>
      <c r="BC269" s="1803">
        <v>3796</v>
      </c>
      <c r="BD269" s="1803">
        <v>4127</v>
      </c>
      <c r="BE269" s="1801">
        <f>SUM(BA269:BD269)</f>
        <v>15829</v>
      </c>
      <c r="BF269" s="1803">
        <v>3649</v>
      </c>
      <c r="BG269" s="1803">
        <v>3565</v>
      </c>
      <c r="BH269" s="1803">
        <v>4104</v>
      </c>
      <c r="BI269" s="1803">
        <v>4873</v>
      </c>
      <c r="BJ269" s="1801">
        <f>SUM(BF269:BI269)</f>
        <v>16191</v>
      </c>
      <c r="BK269" s="1803">
        <v>3059</v>
      </c>
      <c r="BL269" s="1915">
        <f>BL253*BL270</f>
        <v>4297.5575327500001</v>
      </c>
      <c r="BM269" s="1915">
        <f>BM253*BM270</f>
        <v>4067.6640000000002</v>
      </c>
      <c r="BN269" s="1803">
        <f>BN253*BN270</f>
        <v>4321.9680000000008</v>
      </c>
      <c r="BO269" s="1801">
        <f>SUM(BK269:BN269)</f>
        <v>15746.189532750001</v>
      </c>
      <c r="BP269" s="1915">
        <f>BP253*BP270</f>
        <v>3925.3032000000003</v>
      </c>
      <c r="BQ269" s="1915">
        <f>BQ253*BQ270</f>
        <v>4379.0975046000003</v>
      </c>
      <c r="BR269" s="1915">
        <f>BR253*BR270</f>
        <v>4204.3120875000004</v>
      </c>
      <c r="BS269" s="1803">
        <f>BS253*BS270</f>
        <v>4467.1591125000004</v>
      </c>
      <c r="BT269" s="1908">
        <f>SUM(BP269:BS269)</f>
        <v>16975.871904600001</v>
      </c>
      <c r="BU269" s="1915">
        <f>BU253*BU270</f>
        <v>4160.8213920000007</v>
      </c>
      <c r="BV269" s="1915">
        <f>BV253*BV270</f>
        <v>4641.8433548760004</v>
      </c>
      <c r="BW269" s="1915">
        <f>BW253*BW270</f>
        <v>4456.5708127500002</v>
      </c>
      <c r="BX269" s="1915">
        <f>BX253*BX270</f>
        <v>4690.5170681250011</v>
      </c>
      <c r="BY269" s="1908">
        <f>SUM(BU269:BX269)</f>
        <v>17949.752627751004</v>
      </c>
      <c r="BZ269" s="1915">
        <f>BZ253*BZ270</f>
        <v>4368.8624616000006</v>
      </c>
      <c r="CA269" s="1915">
        <f>CA253*CA270</f>
        <v>4873.9355226198004</v>
      </c>
      <c r="CB269" s="1915">
        <f>CB253*CB270</f>
        <v>4679.3993533875009</v>
      </c>
      <c r="CC269" s="1915">
        <f>CC253*CC270</f>
        <v>4925.0429215312506</v>
      </c>
      <c r="CD269" s="1908">
        <f>SUM(BZ269:CC269)</f>
        <v>18847.240259138551</v>
      </c>
      <c r="CE269" s="1915">
        <f>CE253*CE270</f>
        <v>4587.3055846800016</v>
      </c>
      <c r="CF269" s="1915">
        <f>CF253*CF270</f>
        <v>5117.6322987507911</v>
      </c>
      <c r="CG269" s="1915">
        <f>CG253*CG270</f>
        <v>4913.3693210568754</v>
      </c>
      <c r="CH269" s="1915">
        <f>CH253*CH270</f>
        <v>5171.2950676078135</v>
      </c>
      <c r="CI269" s="1908">
        <f>SUM(CE269:CH269)</f>
        <v>19789.602272095482</v>
      </c>
      <c r="CJ269" s="1915">
        <f>CJ253*CJ270</f>
        <v>4816.6708639140015</v>
      </c>
      <c r="CK269" s="1915">
        <f>CK253*CK270</f>
        <v>5373.5139136883308</v>
      </c>
      <c r="CL269" s="1915">
        <f>CL253*CL270</f>
        <v>5159.0377871097198</v>
      </c>
      <c r="CM269" s="1915">
        <f>CM253*CM270</f>
        <v>5429.8598209882048</v>
      </c>
      <c r="CN269" s="1908">
        <f>SUM(CJ269:CM269)</f>
        <v>20779.082385700254</v>
      </c>
      <c r="CO269" s="1915">
        <f>CO253*CO270</f>
        <v>5057.5044071097018</v>
      </c>
      <c r="CP269" s="1915">
        <f>CP253*CP270</f>
        <v>5642.1896093727473</v>
      </c>
      <c r="CQ269" s="1915">
        <f>CQ253*CQ270</f>
        <v>5416.9896764652067</v>
      </c>
      <c r="CR269" s="1915">
        <f>CR253*CR270</f>
        <v>5701.352812037615</v>
      </c>
      <c r="CS269" s="1908">
        <f>SUM(CO269:CR269)</f>
        <v>21818.03650498527</v>
      </c>
      <c r="CT269" s="1915">
        <f>CT253*CT270</f>
        <v>5310.3796274651877</v>
      </c>
      <c r="CU269" s="1915">
        <f>CU253*CU270</f>
        <v>5924.2990898413846</v>
      </c>
      <c r="CV269" s="1915">
        <f>CV253*CV270</f>
        <v>5687.8391602884667</v>
      </c>
      <c r="CW269" s="1915">
        <f>CW253*CW270</f>
        <v>5986.420452639496</v>
      </c>
      <c r="CX269" s="1908">
        <f>SUM(CT269:CW269)</f>
        <v>22908.938330234534</v>
      </c>
      <c r="CY269" s="1890"/>
      <c r="CZ269" s="1890"/>
      <c r="DA269" s="1890"/>
      <c r="DB269" s="1890"/>
      <c r="DC269" s="1890"/>
      <c r="DD269" s="1890"/>
      <c r="DE269" s="1890"/>
      <c r="DF269" s="1890"/>
      <c r="DG269" s="1890"/>
      <c r="DH269" s="1804"/>
      <c r="DI269" s="1801">
        <f>DI253-DI267</f>
        <v>15137</v>
      </c>
      <c r="DJ269" s="1804">
        <f>DJ253-DJ267</f>
        <v>16333.557532750001</v>
      </c>
      <c r="DK269" s="1907">
        <f>DK253-DK267</f>
        <v>16694.032704600002</v>
      </c>
      <c r="DL269" s="1907">
        <f>SUM(BU269:BV269,BR269:BS269)</f>
        <v>17474.135946876002</v>
      </c>
      <c r="DM269" s="1908">
        <f>SUM(BW269:BX269,BZ269:CA269)</f>
        <v>18389.885865094802</v>
      </c>
      <c r="DN269" s="1908">
        <f>SUM(CB269:CC269,CE269:CF269)</f>
        <v>19309.380158349544</v>
      </c>
      <c r="DO269" s="1908"/>
      <c r="DP269" s="1908"/>
      <c r="DQ269" s="1908"/>
      <c r="DR269" s="1915"/>
    </row>
    <row r="270" spans="1:148" hidden="1" outlineLevel="2">
      <c r="A270" s="1824" t="s">
        <v>117</v>
      </c>
      <c r="B270" s="1916"/>
      <c r="C270" s="1917"/>
      <c r="D270" s="1917"/>
      <c r="E270" s="1917"/>
      <c r="F270" s="1917"/>
      <c r="G270" s="1918">
        <f>G269/G253</f>
        <v>0.87517982729307986</v>
      </c>
      <c r="H270" s="1917">
        <f>H269/H253</f>
        <v>0.70873573272589219</v>
      </c>
      <c r="I270" s="1917">
        <f>I269/I253</f>
        <v>0.66979891046897211</v>
      </c>
      <c r="J270" s="1917">
        <f>J269/J253</f>
        <v>0.67302582492264096</v>
      </c>
      <c r="K270" s="1917"/>
      <c r="L270" s="1918">
        <f t="shared" ref="L270:BI270" si="453">L269/L253</f>
        <v>0.84458673297740072</v>
      </c>
      <c r="M270" s="1917">
        <f t="shared" si="453"/>
        <v>0.70943673106817673</v>
      </c>
      <c r="N270" s="1917">
        <f t="shared" si="453"/>
        <v>0.43396121053124703</v>
      </c>
      <c r="O270" s="1917">
        <f t="shared" si="453"/>
        <v>0.77955070040500873</v>
      </c>
      <c r="P270" s="1919">
        <f t="shared" si="453"/>
        <v>0.74594647020423377</v>
      </c>
      <c r="Q270" s="1920">
        <f t="shared" si="453"/>
        <v>0.6633317806744049</v>
      </c>
      <c r="R270" s="1919">
        <f t="shared" si="453"/>
        <v>0.69993519118600134</v>
      </c>
      <c r="S270" s="1948">
        <f t="shared" si="453"/>
        <v>0.69000878992089076</v>
      </c>
      <c r="T270" s="1923">
        <f t="shared" si="453"/>
        <v>0.68439716312056742</v>
      </c>
      <c r="U270" s="1923">
        <f t="shared" si="453"/>
        <v>0.62826505361561724</v>
      </c>
      <c r="V270" s="1918">
        <f t="shared" si="453"/>
        <v>0.67426035502958581</v>
      </c>
      <c r="W270" s="1919">
        <f t="shared" si="453"/>
        <v>0.68352116966189458</v>
      </c>
      <c r="X270" s="1948">
        <f t="shared" si="453"/>
        <v>0.66278124152886964</v>
      </c>
      <c r="Y270" s="1948">
        <f t="shared" si="453"/>
        <v>0.66657427937915747</v>
      </c>
      <c r="Z270" s="1923">
        <f t="shared" si="453"/>
        <v>0.64559877175025593</v>
      </c>
      <c r="AA270" s="1918">
        <f t="shared" si="453"/>
        <v>0.66379072335726119</v>
      </c>
      <c r="AB270" s="1919">
        <f t="shared" si="453"/>
        <v>0.65781021897810221</v>
      </c>
      <c r="AC270" s="1919">
        <f t="shared" si="453"/>
        <v>0.61759681093394081</v>
      </c>
      <c r="AD270" s="1948">
        <f t="shared" si="453"/>
        <v>0.70842824601366738</v>
      </c>
      <c r="AE270" s="1948">
        <f t="shared" si="453"/>
        <v>0.64623354198143756</v>
      </c>
      <c r="AF270" s="1918">
        <f t="shared" si="453"/>
        <v>0.66083297762058657</v>
      </c>
      <c r="AG270" s="1948">
        <f t="shared" si="453"/>
        <v>0.65531500851374358</v>
      </c>
      <c r="AH270" s="1948">
        <f t="shared" si="453"/>
        <v>0.66147455867082039</v>
      </c>
      <c r="AI270" s="1948">
        <f t="shared" si="453"/>
        <v>0.66132771338250795</v>
      </c>
      <c r="AJ270" s="1948">
        <f t="shared" si="453"/>
        <v>0.63480904427132812</v>
      </c>
      <c r="AK270" s="1918">
        <f t="shared" si="453"/>
        <v>0.65268828562374559</v>
      </c>
      <c r="AL270" s="1948">
        <f t="shared" si="453"/>
        <v>0.64190553088413405</v>
      </c>
      <c r="AM270" s="1948">
        <f t="shared" si="453"/>
        <v>0.61913542306904323</v>
      </c>
      <c r="AN270" s="1948">
        <f t="shared" si="453"/>
        <v>0.61135758651286598</v>
      </c>
      <c r="AO270" s="1948">
        <f t="shared" si="453"/>
        <v>0.59251149551127658</v>
      </c>
      <c r="AP270" s="1918">
        <f t="shared" si="453"/>
        <v>0.61681649920676895</v>
      </c>
      <c r="AQ270" s="1923">
        <f t="shared" si="453"/>
        <v>0.62627381479840494</v>
      </c>
      <c r="AR270" s="1923">
        <f t="shared" si="453"/>
        <v>0.60587993421052633</v>
      </c>
      <c r="AS270" s="1923">
        <f t="shared" si="453"/>
        <v>0.59014506101772968</v>
      </c>
      <c r="AT270" s="1923">
        <f t="shared" si="453"/>
        <v>0.60107967237527926</v>
      </c>
      <c r="AU270" s="1918">
        <f t="shared" si="453"/>
        <v>0.60577174880846385</v>
      </c>
      <c r="AV270" s="1923">
        <f t="shared" si="453"/>
        <v>0.66608996539792387</v>
      </c>
      <c r="AW270" s="1923">
        <f t="shared" si="453"/>
        <v>0.66399345335515547</v>
      </c>
      <c r="AX270" s="1923">
        <f t="shared" si="453"/>
        <v>0.61174704447363482</v>
      </c>
      <c r="AY270" s="1923">
        <f t="shared" si="453"/>
        <v>0.63459901242976335</v>
      </c>
      <c r="AZ270" s="1918">
        <f t="shared" si="453"/>
        <v>0.64444345740428177</v>
      </c>
      <c r="BA270" s="1923">
        <f t="shared" si="453"/>
        <v>0.65980479148181015</v>
      </c>
      <c r="BB270" s="1923">
        <f t="shared" si="453"/>
        <v>0.66370839936608561</v>
      </c>
      <c r="BC270" s="1923">
        <f t="shared" si="453"/>
        <v>0.64977747346799042</v>
      </c>
      <c r="BD270" s="1923">
        <f t="shared" si="453"/>
        <v>0.65259329538266919</v>
      </c>
      <c r="BE270" s="1918">
        <f t="shared" si="453"/>
        <v>0.65650532951764751</v>
      </c>
      <c r="BF270" s="1923">
        <f t="shared" si="453"/>
        <v>0.6633339392837666</v>
      </c>
      <c r="BG270" s="1923">
        <f t="shared" si="453"/>
        <v>0.62642769284835709</v>
      </c>
      <c r="BH270" s="1923">
        <f t="shared" si="453"/>
        <v>0.64946985282481406</v>
      </c>
      <c r="BI270" s="1923">
        <f t="shared" si="453"/>
        <v>0.67558574795508108</v>
      </c>
      <c r="BJ270" s="1918">
        <f>BJ269/BJ253</f>
        <v>0.6548697621744054</v>
      </c>
      <c r="BK270" s="1923">
        <f>BK269/BK253</f>
        <v>0.51059923218160574</v>
      </c>
      <c r="BL270" s="1949">
        <v>0.64300000000000002</v>
      </c>
      <c r="BM270" s="1949">
        <v>0.64</v>
      </c>
      <c r="BN270" s="1923">
        <v>0.64</v>
      </c>
      <c r="BO270" s="1918">
        <f>BO269/BO253</f>
        <v>0.61071026075813861</v>
      </c>
      <c r="BP270" s="1949">
        <v>0.63</v>
      </c>
      <c r="BQ270" s="1949">
        <v>0.63</v>
      </c>
      <c r="BR270" s="1949">
        <v>0.63</v>
      </c>
      <c r="BS270" s="1923">
        <v>0.63</v>
      </c>
      <c r="BT270" s="1922">
        <f>BT269/BT253</f>
        <v>0.63</v>
      </c>
      <c r="BU270" s="1949">
        <v>0.63</v>
      </c>
      <c r="BV270" s="1949">
        <v>0.63</v>
      </c>
      <c r="BW270" s="1949">
        <v>0.63</v>
      </c>
      <c r="BX270" s="1949">
        <v>0.63</v>
      </c>
      <c r="BY270" s="1922">
        <f>BY269/BY253</f>
        <v>0.63000000000000012</v>
      </c>
      <c r="BZ270" s="1949">
        <v>0.63</v>
      </c>
      <c r="CA270" s="1949">
        <v>0.63</v>
      </c>
      <c r="CB270" s="1949">
        <v>0.63</v>
      </c>
      <c r="CC270" s="1949">
        <v>0.63</v>
      </c>
      <c r="CD270" s="1922">
        <f>CD269/CD253</f>
        <v>0.62999999999999989</v>
      </c>
      <c r="CE270" s="1949">
        <v>0.63</v>
      </c>
      <c r="CF270" s="1949">
        <v>0.63</v>
      </c>
      <c r="CG270" s="1949">
        <v>0.63</v>
      </c>
      <c r="CH270" s="1949">
        <v>0.63</v>
      </c>
      <c r="CI270" s="1922">
        <f>CI269/CI253</f>
        <v>0.63</v>
      </c>
      <c r="CJ270" s="1949">
        <v>0.63</v>
      </c>
      <c r="CK270" s="1949">
        <v>0.63</v>
      </c>
      <c r="CL270" s="1949">
        <v>0.63</v>
      </c>
      <c r="CM270" s="1949">
        <v>0.63</v>
      </c>
      <c r="CN270" s="1922">
        <f>CN269/CN253</f>
        <v>0.62999999999999989</v>
      </c>
      <c r="CO270" s="1949">
        <v>0.63</v>
      </c>
      <c r="CP270" s="1949">
        <v>0.63</v>
      </c>
      <c r="CQ270" s="1949">
        <v>0.63</v>
      </c>
      <c r="CR270" s="1949">
        <v>0.63</v>
      </c>
      <c r="CS270" s="1922">
        <f>CS269/CS253</f>
        <v>0.63</v>
      </c>
      <c r="CT270" s="1949">
        <v>0.63</v>
      </c>
      <c r="CU270" s="1949">
        <v>0.63</v>
      </c>
      <c r="CV270" s="1949">
        <v>0.63</v>
      </c>
      <c r="CW270" s="1949">
        <v>0.63</v>
      </c>
      <c r="CX270" s="1922">
        <f>CX269/CX253</f>
        <v>0.63</v>
      </c>
      <c r="CY270" s="1923"/>
      <c r="CZ270" s="1923"/>
      <c r="DA270" s="1923"/>
      <c r="DB270" s="1923"/>
      <c r="DC270" s="1923"/>
      <c r="DD270" s="1923"/>
      <c r="DE270" s="1923"/>
      <c r="DF270" s="1923"/>
      <c r="DG270" s="1923"/>
      <c r="DH270" s="1924"/>
      <c r="DI270" s="1918">
        <f>SUM(BC269:BD269,BF269:BG269)/SUM(BC253:BD253,BF253:BG253)</f>
        <v>0.64804349687473239</v>
      </c>
      <c r="DJ270" s="1924">
        <f>SUM(BH269:BI269,BK269:BL269)/SUM(BH253:BI253,BK253:BL253)</f>
        <v>0.6232611206295452</v>
      </c>
      <c r="DK270" s="1925">
        <f>SUM(BM269:BN269,BP269:BQ269)/SUM(BM253:BN253,BP253:BQ253)</f>
        <v>0.63498615683822601</v>
      </c>
      <c r="DL270" s="1925">
        <f>DL269/DL253</f>
        <v>0.63</v>
      </c>
      <c r="DM270" s="1922">
        <f>DM269/DM253</f>
        <v>0.63</v>
      </c>
      <c r="DN270" s="1922">
        <f>DN269/DN253</f>
        <v>0.62999999999999989</v>
      </c>
      <c r="DO270" s="1922"/>
      <c r="DP270" s="1922"/>
      <c r="DQ270" s="1922"/>
      <c r="DR270" s="1921"/>
    </row>
    <row r="271" spans="1:148" hidden="1" outlineLevel="2">
      <c r="A271" s="1824"/>
      <c r="B271" s="1916"/>
      <c r="C271" s="1917"/>
      <c r="D271" s="1917"/>
      <c r="E271" s="1917"/>
      <c r="F271" s="1917"/>
      <c r="G271" s="1918"/>
      <c r="H271" s="1917"/>
      <c r="I271" s="1917"/>
      <c r="J271" s="1917"/>
      <c r="K271" s="1917"/>
      <c r="L271" s="1918"/>
      <c r="M271" s="1917"/>
      <c r="N271" s="1917"/>
      <c r="O271" s="1917"/>
      <c r="P271" s="1919"/>
      <c r="Q271" s="1920"/>
      <c r="R271" s="1919"/>
      <c r="S271" s="1948"/>
      <c r="T271" s="1923"/>
      <c r="U271" s="1923"/>
      <c r="V271" s="1918"/>
      <c r="W271" s="1919"/>
      <c r="X271" s="1948"/>
      <c r="Y271" s="1948"/>
      <c r="Z271" s="1923"/>
      <c r="AA271" s="1918"/>
      <c r="AB271" s="1919"/>
      <c r="AC271" s="1919"/>
      <c r="AD271" s="1948"/>
      <c r="AE271" s="1948"/>
      <c r="AF271" s="1918"/>
      <c r="AG271" s="1948"/>
      <c r="AH271" s="1948"/>
      <c r="AI271" s="1948"/>
      <c r="AJ271" s="1948"/>
      <c r="AK271" s="1918"/>
      <c r="AL271" s="1948"/>
      <c r="AM271" s="1948"/>
      <c r="AN271" s="1948"/>
      <c r="AO271" s="1948"/>
      <c r="AP271" s="1918"/>
      <c r="AQ271" s="1923"/>
      <c r="AR271" s="1923"/>
      <c r="AS271" s="1923"/>
      <c r="AT271" s="1923"/>
      <c r="AU271" s="1918"/>
      <c r="AV271" s="1923"/>
      <c r="AW271" s="1923"/>
      <c r="AX271" s="1923"/>
      <c r="AY271" s="1923"/>
      <c r="AZ271" s="1918"/>
      <c r="BA271" s="1923"/>
      <c r="BB271" s="1923"/>
      <c r="BC271" s="1923"/>
      <c r="BD271" s="1923"/>
      <c r="BE271" s="1918"/>
      <c r="BF271" s="1923"/>
      <c r="BG271" s="1952"/>
      <c r="BH271" s="1952"/>
      <c r="BI271" s="1923"/>
      <c r="BJ271" s="1918"/>
      <c r="BK271" s="1923"/>
      <c r="BL271" s="1949"/>
      <c r="BM271" s="1949"/>
      <c r="BN271" s="1923"/>
      <c r="BO271" s="1918"/>
      <c r="BP271" s="1949"/>
      <c r="BQ271" s="1949"/>
      <c r="BR271" s="1949"/>
      <c r="BS271" s="1923"/>
      <c r="BT271" s="1922"/>
      <c r="BU271" s="1949"/>
      <c r="BV271" s="1949"/>
      <c r="BW271" s="1949"/>
      <c r="BX271" s="1949"/>
      <c r="BY271" s="1922"/>
      <c r="BZ271" s="1949"/>
      <c r="CA271" s="1949"/>
      <c r="CB271" s="1949"/>
      <c r="CC271" s="1949"/>
      <c r="CD271" s="1922"/>
      <c r="CE271" s="1949"/>
      <c r="CF271" s="1949"/>
      <c r="CG271" s="1949"/>
      <c r="CH271" s="1949"/>
      <c r="CI271" s="1922"/>
      <c r="CJ271" s="1949"/>
      <c r="CK271" s="1949"/>
      <c r="CL271" s="1949"/>
      <c r="CM271" s="1949"/>
      <c r="CN271" s="1922"/>
      <c r="CO271" s="1949"/>
      <c r="CP271" s="1949"/>
      <c r="CQ271" s="1949"/>
      <c r="CR271" s="1949"/>
      <c r="CS271" s="1922"/>
      <c r="CT271" s="1949"/>
      <c r="CU271" s="1949"/>
      <c r="CV271" s="1949"/>
      <c r="CW271" s="1949"/>
      <c r="CX271" s="1922"/>
      <c r="CY271" s="1923"/>
      <c r="CZ271" s="1923"/>
      <c r="DA271" s="1923"/>
      <c r="DB271" s="1923"/>
      <c r="DC271" s="1923"/>
      <c r="DD271" s="1923"/>
      <c r="DE271" s="1923"/>
      <c r="DF271" s="1923"/>
      <c r="DG271" s="1923"/>
      <c r="DH271" s="1968"/>
      <c r="DI271" s="1969"/>
      <c r="DJ271" s="1968"/>
      <c r="DK271" s="1970"/>
      <c r="DL271" s="1970"/>
      <c r="DM271" s="1971"/>
      <c r="DN271" s="1971"/>
      <c r="DO271" s="1971"/>
      <c r="DP271" s="1971"/>
      <c r="DQ271" s="1971"/>
      <c r="DR271" s="3084"/>
    </row>
    <row r="272" spans="1:148" hidden="1" outlineLevel="2">
      <c r="A272" s="1885" t="s">
        <v>549</v>
      </c>
      <c r="B272" s="1886">
        <f>(B346+B352)/1000</f>
        <v>1230</v>
      </c>
      <c r="C272" s="1803">
        <f>(C346+C352)/1000</f>
        <v>291</v>
      </c>
      <c r="D272" s="1803">
        <f>(D346+D352)/1000</f>
        <v>986</v>
      </c>
      <c r="E272" s="1803">
        <f>(E346+E352)/1000</f>
        <v>804</v>
      </c>
      <c r="F272" s="1803">
        <f>(F346+F352)/1000</f>
        <v>484</v>
      </c>
      <c r="G272" s="1762">
        <f>SUM(C272:F272)</f>
        <v>2565</v>
      </c>
      <c r="H272" s="1803">
        <f>(H346+H352)/1000</f>
        <v>513</v>
      </c>
      <c r="I272" s="1803">
        <f>(I346+I352)/1000</f>
        <v>1365</v>
      </c>
      <c r="J272" s="1803">
        <f>(J346+J352)/1000</f>
        <v>499</v>
      </c>
      <c r="K272" s="1803">
        <f>(K346+K352)/1000</f>
        <v>527</v>
      </c>
      <c r="L272" s="1762">
        <f>SUM(H272:K272)</f>
        <v>2904</v>
      </c>
      <c r="M272" s="1803">
        <f>(M346+M352)/1000</f>
        <v>634</v>
      </c>
      <c r="N272" s="1803">
        <f>(N346+N352)/1000</f>
        <v>1330</v>
      </c>
      <c r="O272" s="1803">
        <f>(O346+O352)/1000</f>
        <v>591</v>
      </c>
      <c r="P272" s="1803">
        <f>(P346+P352)/1000</f>
        <v>568</v>
      </c>
      <c r="Q272" s="1762">
        <f>SUM(M272:P272)</f>
        <v>3123</v>
      </c>
      <c r="R272" s="1803">
        <v>658</v>
      </c>
      <c r="S272" s="1803">
        <v>1445</v>
      </c>
      <c r="T272" s="1803">
        <v>633</v>
      </c>
      <c r="U272" s="1803">
        <v>667</v>
      </c>
      <c r="V272" s="1762">
        <f>SUM(R272:U272)</f>
        <v>3403</v>
      </c>
      <c r="W272" s="1889">
        <v>606</v>
      </c>
      <c r="X272" s="1889">
        <v>1687</v>
      </c>
      <c r="Y272" s="1889">
        <v>1182</v>
      </c>
      <c r="Z272" s="1803">
        <v>1281</v>
      </c>
      <c r="AA272" s="1762">
        <f>SUM(W272:Z272)</f>
        <v>4756</v>
      </c>
      <c r="AB272" s="1889">
        <v>1030</v>
      </c>
      <c r="AC272" s="1889">
        <v>2964</v>
      </c>
      <c r="AD272" s="1889">
        <v>929</v>
      </c>
      <c r="AE272" s="1803">
        <v>1159</v>
      </c>
      <c r="AF272" s="1762">
        <f>SUM(AB272:AE272)</f>
        <v>6082</v>
      </c>
      <c r="AG272" s="1803">
        <v>1929</v>
      </c>
      <c r="AH272" s="1889">
        <v>3076</v>
      </c>
      <c r="AI272" s="1889">
        <v>1576</v>
      </c>
      <c r="AJ272" s="1803">
        <v>1575</v>
      </c>
      <c r="AK272" s="1762">
        <f>SUM(AG272:AJ272)</f>
        <v>8156</v>
      </c>
      <c r="AL272" s="1803">
        <v>1893</v>
      </c>
      <c r="AM272" s="1889">
        <v>3256</v>
      </c>
      <c r="AN272" s="1889">
        <v>1629</v>
      </c>
      <c r="AO272" s="1890">
        <v>1257</v>
      </c>
      <c r="AP272" s="1762">
        <f>SUM(AL272:AO272)</f>
        <v>8035</v>
      </c>
      <c r="AQ272" s="1890">
        <v>1412</v>
      </c>
      <c r="AR272" s="1890">
        <v>2381</v>
      </c>
      <c r="AS272" s="1890">
        <v>1197</v>
      </c>
      <c r="AT272" s="1890">
        <v>1153</v>
      </c>
      <c r="AU272" s="1762">
        <f>SUM(AQ272:AT272)</f>
        <v>6143</v>
      </c>
      <c r="AV272" s="1890">
        <v>1795</v>
      </c>
      <c r="AW272" s="1890">
        <v>3698</v>
      </c>
      <c r="AX272" s="1890">
        <v>1935</v>
      </c>
      <c r="AY272" s="1890">
        <v>1485.44</v>
      </c>
      <c r="AZ272" s="1762">
        <f>SUM(AV272:AY272)</f>
        <v>8913.44</v>
      </c>
      <c r="BA272" s="1890">
        <v>1962</v>
      </c>
      <c r="BB272" s="1890">
        <v>4238</v>
      </c>
      <c r="BC272" s="1890">
        <v>1618</v>
      </c>
      <c r="BD272" s="1890">
        <v>1781</v>
      </c>
      <c r="BE272" s="1762">
        <f>SUM(BA272:BD272)</f>
        <v>9599</v>
      </c>
      <c r="BF272" s="1890">
        <v>1947</v>
      </c>
      <c r="BG272" s="1890">
        <v>3772</v>
      </c>
      <c r="BH272" s="1890">
        <v>2531</v>
      </c>
      <c r="BI272" s="1890">
        <v>1915</v>
      </c>
      <c r="BJ272" s="1762">
        <f>SUM(BF272:BI272)</f>
        <v>10165</v>
      </c>
      <c r="BK272" s="1890">
        <v>2070</v>
      </c>
      <c r="BL272" s="1891">
        <f>BL142-BL253-BL244-BL224-BL210</f>
        <v>5291.6398816484243</v>
      </c>
      <c r="BM272" s="1891">
        <f>BM142-BM253-BM244-BM224-BM210</f>
        <v>2286.1504884042251</v>
      </c>
      <c r="BN272" s="1890">
        <f>BN142-BN253-BN244-BN224-BN210</f>
        <v>4989.2258445787556</v>
      </c>
      <c r="BO272" s="1762">
        <f>SUM(BK272:BN272)</f>
        <v>14637.016214631405</v>
      </c>
      <c r="BP272" s="1891">
        <f>BK272*(1+BP274)</f>
        <v>2277</v>
      </c>
      <c r="BQ272" s="1891">
        <f>BL272*(1+BQ274)</f>
        <v>5741.4292715885404</v>
      </c>
      <c r="BR272" s="1891">
        <f>BM272*(1+BR274)</f>
        <v>2457.611775034542</v>
      </c>
      <c r="BS272" s="1890">
        <f>BN272*(1+BS274)</f>
        <v>5288.5793952534814</v>
      </c>
      <c r="BT272" s="1892">
        <f>SUM(BP272:BS272)</f>
        <v>15764.620441876563</v>
      </c>
      <c r="BU272" s="1891">
        <f>BP272*(1+BU274)</f>
        <v>2368.08</v>
      </c>
      <c r="BV272" s="1891">
        <f>BQ272*(1+BV274)</f>
        <v>5913.6721497361968</v>
      </c>
      <c r="BW272" s="1891">
        <f>BR272*(1+BW274)</f>
        <v>2531.3401282855784</v>
      </c>
      <c r="BX272" s="1891">
        <f>BS272*(1+BX274)</f>
        <v>5420.7938801348182</v>
      </c>
      <c r="BY272" s="1892">
        <f>SUM(BU272:BX272)</f>
        <v>16233.886158156591</v>
      </c>
      <c r="BZ272" s="1891">
        <f>BU272*(1+BZ274)</f>
        <v>2462.8031999999998</v>
      </c>
      <c r="CA272" s="1891">
        <f>BV272*(1+CA274)</f>
        <v>6150.219035725645</v>
      </c>
      <c r="CB272" s="1891">
        <f>BW272*(1+CB274)</f>
        <v>2632.5937334170017</v>
      </c>
      <c r="CC272" s="1891">
        <f>BX272*(1+CC274)</f>
        <v>5637.6256353402114</v>
      </c>
      <c r="CD272" s="1892">
        <f>SUM(BZ272:CC272)</f>
        <v>16883.241604482857</v>
      </c>
      <c r="CE272" s="1891">
        <f>BZ272*(1+CE274)</f>
        <v>2561.3153280000001</v>
      </c>
      <c r="CF272" s="1891">
        <f>CA272*(1+CF274)</f>
        <v>6396.227797154671</v>
      </c>
      <c r="CG272" s="1891">
        <f>CB272*(1+CG274)</f>
        <v>2737.8974827536817</v>
      </c>
      <c r="CH272" s="1891">
        <f>CC272*(1+CH274)</f>
        <v>5863.1306607538199</v>
      </c>
      <c r="CI272" s="1892">
        <f>SUM(CE272:CH272)</f>
        <v>17558.571268662174</v>
      </c>
      <c r="CJ272" s="1891">
        <f>CE272*(1+CJ274)</f>
        <v>2663.7679411200002</v>
      </c>
      <c r="CK272" s="1891">
        <f>CF272*(1+CK274)</f>
        <v>6652.0769090408576</v>
      </c>
      <c r="CL272" s="1891">
        <f>CG272*(1+CL274)</f>
        <v>2847.413382063829</v>
      </c>
      <c r="CM272" s="1891">
        <f>CH272*(1+CM274)</f>
        <v>6097.6558871839734</v>
      </c>
      <c r="CN272" s="1892">
        <f>SUM(CJ272:CM272)</f>
        <v>18260.914119408662</v>
      </c>
      <c r="CO272" s="1891">
        <f>CJ272*(1+CO274)</f>
        <v>2770.3186587648001</v>
      </c>
      <c r="CP272" s="1891">
        <f>CK272*(1+CP274)</f>
        <v>6918.1599854024917</v>
      </c>
      <c r="CQ272" s="1891">
        <f>CL272*(1+CQ274)</f>
        <v>2961.3099173463825</v>
      </c>
      <c r="CR272" s="1891">
        <f>CM272*(1+CR274)</f>
        <v>6341.5621226713329</v>
      </c>
      <c r="CS272" s="1892">
        <f>SUM(CO272:CR272)</f>
        <v>18991.350684185007</v>
      </c>
      <c r="CT272" s="1891">
        <f>CO272*(1+CT274)</f>
        <v>2881.1314051153922</v>
      </c>
      <c r="CU272" s="1891">
        <f>CP272*(1+CU274)</f>
        <v>7194.886384818592</v>
      </c>
      <c r="CV272" s="1891">
        <f>CQ272*(1+CV274)</f>
        <v>3079.7623140402379</v>
      </c>
      <c r="CW272" s="1891">
        <f>CR272*(1+CW274)</f>
        <v>6595.2246075781868</v>
      </c>
      <c r="CX272" s="1892">
        <f>SUM(CT272:CW272)</f>
        <v>19751.004711552407</v>
      </c>
      <c r="CY272" s="1893"/>
      <c r="CZ272" s="1893"/>
      <c r="DA272" s="1893">
        <f>IS!FS15</f>
        <v>3262</v>
      </c>
      <c r="DB272" s="1893">
        <f>IS!FT15</f>
        <v>6996</v>
      </c>
      <c r="DC272" s="1893">
        <f>IS!FU15</f>
        <v>11213</v>
      </c>
      <c r="DD272" s="1893">
        <f>IS!FV15</f>
        <v>13175</v>
      </c>
      <c r="DE272" s="1893">
        <f>IS!FW15</f>
        <v>8300</v>
      </c>
      <c r="DF272" s="1893">
        <f>IS!FX15</f>
        <v>6679</v>
      </c>
      <c r="DG272" s="1893">
        <f>IS!FY15</f>
        <v>7843</v>
      </c>
      <c r="DH272" s="1766">
        <f>IS!FZ15</f>
        <v>9620.44</v>
      </c>
      <c r="DI272" s="1762">
        <f>SUM(BC272:BD272,BF272:BG272)</f>
        <v>9118</v>
      </c>
      <c r="DJ272" s="1766">
        <f>SUM(BH272:BI272,BK272:BL272)</f>
        <v>11807.639881648425</v>
      </c>
      <c r="DK272" s="1894">
        <f>SUM(BM272:BN272,BP272:BQ272)</f>
        <v>15293.805604571522</v>
      </c>
      <c r="DL272" s="1894">
        <f>SUM(BU272:BV272,BR272:BS272)</f>
        <v>16027.94332002422</v>
      </c>
      <c r="DM272" s="1892">
        <f>SUM(BW272:BX272,BZ272:CA272)</f>
        <v>16565.156244146041</v>
      </c>
      <c r="DN272" s="1892">
        <f>SUM(CB272:CC272,CE272:CF272)</f>
        <v>17227.762493911883</v>
      </c>
      <c r="DO272" s="1892"/>
      <c r="DP272" s="1892"/>
      <c r="DQ272" s="1892"/>
      <c r="DR272" s="1993"/>
    </row>
    <row r="273" spans="1:122" hidden="1" outlineLevel="2">
      <c r="A273" s="1972" t="s">
        <v>162</v>
      </c>
      <c r="B273" s="1895">
        <f t="shared" ref="B273:AG273" si="454">B272/B297</f>
        <v>4.9056754277509669E-2</v>
      </c>
      <c r="C273" s="1785">
        <f t="shared" si="454"/>
        <v>4.7502448579823706E-2</v>
      </c>
      <c r="D273" s="1785">
        <f t="shared" si="454"/>
        <v>0.12737372432502261</v>
      </c>
      <c r="E273" s="1785">
        <f t="shared" si="454"/>
        <v>0.11097308488612836</v>
      </c>
      <c r="F273" s="1785">
        <f t="shared" si="454"/>
        <v>6.673100785881704E-2</v>
      </c>
      <c r="G273" s="1774">
        <f t="shared" si="454"/>
        <v>9.0428344791115806E-2</v>
      </c>
      <c r="H273" s="1785">
        <f t="shared" si="454"/>
        <v>6.6227730441518209E-2</v>
      </c>
      <c r="I273" s="1785">
        <f t="shared" si="454"/>
        <v>0.15981735159817351</v>
      </c>
      <c r="J273" s="1785">
        <f t="shared" si="454"/>
        <v>6.3688576898532231E-2</v>
      </c>
      <c r="K273" s="1785">
        <f t="shared" si="454"/>
        <v>6.5344079355238685E-2</v>
      </c>
      <c r="L273" s="1774">
        <f t="shared" si="454"/>
        <v>9.0222760741914432E-2</v>
      </c>
      <c r="M273" s="1785">
        <f t="shared" si="454"/>
        <v>7.7175897748021915E-2</v>
      </c>
      <c r="N273" s="1785">
        <f t="shared" si="454"/>
        <v>0.13099576479858169</v>
      </c>
      <c r="O273" s="1785">
        <f t="shared" si="454"/>
        <v>6.4414168937329694E-2</v>
      </c>
      <c r="P273" s="1785">
        <f t="shared" si="454"/>
        <v>6.1127851915626343E-2</v>
      </c>
      <c r="Q273" s="1774">
        <f t="shared" si="454"/>
        <v>8.4783493959549344E-2</v>
      </c>
      <c r="R273" s="1785">
        <f t="shared" si="454"/>
        <v>7.1607356622048104E-2</v>
      </c>
      <c r="S273" s="1785">
        <f t="shared" si="454"/>
        <v>0.13357367350711777</v>
      </c>
      <c r="T273" s="1785">
        <f t="shared" si="454"/>
        <v>6.5800415800415804E-2</v>
      </c>
      <c r="U273" s="1785">
        <f t="shared" si="454"/>
        <v>6.5643145359708693E-2</v>
      </c>
      <c r="V273" s="1774">
        <f t="shared" si="454"/>
        <v>8.5528299989946724E-2</v>
      </c>
      <c r="W273" s="1785">
        <f t="shared" si="454"/>
        <v>6.2211271943332307E-2</v>
      </c>
      <c r="X273" s="1785">
        <f t="shared" si="454"/>
        <v>0.14250718026693698</v>
      </c>
      <c r="Y273" s="1785">
        <f t="shared" si="454"/>
        <v>0.10843041922759381</v>
      </c>
      <c r="Z273" s="1785">
        <f t="shared" si="454"/>
        <v>0.10850415043198373</v>
      </c>
      <c r="AA273" s="1774">
        <f t="shared" si="454"/>
        <v>0.10739285552996432</v>
      </c>
      <c r="AB273" s="1785">
        <f t="shared" si="454"/>
        <v>9.5273332716677456E-2</v>
      </c>
      <c r="AC273" s="1785">
        <f t="shared" si="454"/>
        <v>0.23632594482538671</v>
      </c>
      <c r="AD273" s="1785">
        <f t="shared" si="454"/>
        <v>6.4522850395888315E-2</v>
      </c>
      <c r="AE273" s="1785">
        <f t="shared" si="454"/>
        <v>8.66801286366016E-2</v>
      </c>
      <c r="AF273" s="1774">
        <f t="shared" si="454"/>
        <v>0.11897030632604358</v>
      </c>
      <c r="AG273" s="1785">
        <f t="shared" si="454"/>
        <v>0.14016858014823427</v>
      </c>
      <c r="AH273" s="1785">
        <f t="shared" ref="AH273:BM273" si="455">AH272/AH297</f>
        <v>0.18793914584224353</v>
      </c>
      <c r="AI273" s="1785">
        <f t="shared" si="455"/>
        <v>0.10903556109035561</v>
      </c>
      <c r="AJ273" s="1785">
        <f t="shared" si="455"/>
        <v>9.9450653532866071E-2</v>
      </c>
      <c r="AK273" s="1774">
        <f t="shared" si="455"/>
        <v>0.13498841443230719</v>
      </c>
      <c r="AL273" s="1785">
        <f t="shared" si="455"/>
        <v>0.12568886528118983</v>
      </c>
      <c r="AM273" s="1785">
        <f t="shared" si="455"/>
        <v>0.19580251368091889</v>
      </c>
      <c r="AN273" s="1785">
        <f t="shared" si="455"/>
        <v>0.11935814771395076</v>
      </c>
      <c r="AO273" s="1785">
        <f t="shared" si="455"/>
        <v>9.596152378044126E-2</v>
      </c>
      <c r="AP273" s="1774">
        <f t="shared" si="455"/>
        <v>0.13749850266098534</v>
      </c>
      <c r="AQ273" s="1785">
        <f t="shared" si="455"/>
        <v>0.10928792569659443</v>
      </c>
      <c r="AR273" s="1785">
        <f t="shared" si="455"/>
        <v>0.12517085479970561</v>
      </c>
      <c r="AS273" s="1785">
        <f t="shared" si="455"/>
        <v>8.2534648003861275E-2</v>
      </c>
      <c r="AT273" s="1785">
        <f t="shared" si="455"/>
        <v>7.1887274767753598E-2</v>
      </c>
      <c r="AU273" s="1774">
        <f t="shared" si="455"/>
        <v>9.831316817105179E-2</v>
      </c>
      <c r="AV273" s="1785">
        <f t="shared" si="455"/>
        <v>0.11083667798703303</v>
      </c>
      <c r="AW273" s="1785">
        <f t="shared" si="455"/>
        <v>0.18533553851551146</v>
      </c>
      <c r="AX273" s="1785">
        <f t="shared" si="455"/>
        <v>0.11778670562454346</v>
      </c>
      <c r="AY273" s="1785">
        <f t="shared" si="455"/>
        <v>8.5540015110472309E-2</v>
      </c>
      <c r="AZ273" s="1774">
        <f t="shared" si="455"/>
        <v>0.12744147103634126</v>
      </c>
      <c r="BA273" s="1785">
        <f t="shared" si="455"/>
        <v>0.11294036380382225</v>
      </c>
      <c r="BB273" s="1785">
        <f t="shared" si="455"/>
        <v>0.20292075652382091</v>
      </c>
      <c r="BC273" s="1785">
        <f t="shared" si="455"/>
        <v>9.2951111621761354E-2</v>
      </c>
      <c r="BD273" s="1785">
        <f t="shared" si="455"/>
        <v>9.8621186112187828E-2</v>
      </c>
      <c r="BE273" s="1774">
        <f t="shared" si="455"/>
        <v>0.13020359996201999</v>
      </c>
      <c r="BF273" s="1785">
        <f t="shared" si="455"/>
        <v>0.12162668665667166</v>
      </c>
      <c r="BG273" s="1785">
        <f t="shared" si="455"/>
        <v>0.17580164056674125</v>
      </c>
      <c r="BH273" s="1785">
        <f t="shared" si="455"/>
        <v>0.12352969886280443</v>
      </c>
      <c r="BI273" s="1785">
        <f t="shared" si="455"/>
        <v>9.6250502613590666E-2</v>
      </c>
      <c r="BJ273" s="1774">
        <f t="shared" si="455"/>
        <v>0.13057328931649731</v>
      </c>
      <c r="BK273" s="1785">
        <f t="shared" si="455"/>
        <v>0.11103958802703573</v>
      </c>
      <c r="BL273" s="1898">
        <f t="shared" si="455"/>
        <v>0.21581793228306315</v>
      </c>
      <c r="BM273" s="1898">
        <f t="shared" si="455"/>
        <v>0.11204972251160245</v>
      </c>
      <c r="BN273" s="1785">
        <f t="shared" ref="BN273:CD273" si="456">BN272/BN297</f>
        <v>0.21337891731155401</v>
      </c>
      <c r="BO273" s="1774">
        <f t="shared" si="456"/>
        <v>0.16834605634107844</v>
      </c>
      <c r="BP273" s="1898">
        <f t="shared" si="456"/>
        <v>0.11313562258236669</v>
      </c>
      <c r="BQ273" s="1898">
        <f t="shared" si="456"/>
        <v>0.22782638412111605</v>
      </c>
      <c r="BR273" s="1898">
        <f t="shared" si="456"/>
        <v>0.11965739084161454</v>
      </c>
      <c r="BS273" s="1785">
        <f t="shared" si="456"/>
        <v>0.22071006833254081</v>
      </c>
      <c r="BT273" s="1899">
        <f t="shared" si="456"/>
        <v>0.17549866415936757</v>
      </c>
      <c r="BU273" s="1898">
        <f t="shared" si="456"/>
        <v>0.13973503548732016</v>
      </c>
      <c r="BV273" s="1898">
        <f t="shared" si="456"/>
        <v>0.27644949321533069</v>
      </c>
      <c r="BW273" s="1898">
        <f t="shared" si="456"/>
        <v>0.1447754044060216</v>
      </c>
      <c r="BX273" s="1898">
        <f t="shared" si="456"/>
        <v>0.25377310342591158</v>
      </c>
      <c r="BY273" s="1899">
        <f t="shared" si="456"/>
        <v>0.21032754990466387</v>
      </c>
      <c r="BZ273" s="1898">
        <f t="shared" si="456"/>
        <v>0.13739975821609446</v>
      </c>
      <c r="CA273" s="1898">
        <f t="shared" si="456"/>
        <v>0.27497916541216844</v>
      </c>
      <c r="CB273" s="1898">
        <f t="shared" si="456"/>
        <v>0.14387605436386033</v>
      </c>
      <c r="CC273" s="1898">
        <f t="shared" si="456"/>
        <v>0.25210274984824332</v>
      </c>
      <c r="CD273" s="1899">
        <f t="shared" si="456"/>
        <v>0.20856239879851746</v>
      </c>
      <c r="CE273" s="1898">
        <f t="shared" ref="CE273:CI273" si="457">CE272/CE297</f>
        <v>0.11057560679644693</v>
      </c>
      <c r="CF273" s="1898">
        <f t="shared" si="457"/>
        <v>0.23848740970731391</v>
      </c>
      <c r="CG273" s="1898">
        <f t="shared" si="457"/>
        <v>0.12202753586792379</v>
      </c>
      <c r="CH273" s="1898" t="e">
        <f t="shared" si="457"/>
        <v>#REF!</v>
      </c>
      <c r="CI273" s="1899" t="e">
        <f t="shared" si="457"/>
        <v>#REF!</v>
      </c>
      <c r="CJ273" s="1898">
        <f t="shared" ref="CJ273:CS273" si="458">CJ272/CJ297</f>
        <v>0.11255616260648038</v>
      </c>
      <c r="CK273" s="1898">
        <f t="shared" si="458"/>
        <v>0.24259347837425585</v>
      </c>
      <c r="CL273" s="1898">
        <f t="shared" si="458"/>
        <v>0.14863540140952269</v>
      </c>
      <c r="CM273" s="1898" t="e">
        <f t="shared" si="458"/>
        <v>#REF!</v>
      </c>
      <c r="CN273" s="1899" t="e">
        <f t="shared" si="458"/>
        <v>#REF!</v>
      </c>
      <c r="CO273" s="1898">
        <f t="shared" si="458"/>
        <v>0.1118148127912529</v>
      </c>
      <c r="CP273" s="1898">
        <f t="shared" si="458"/>
        <v>0.24538819085252761</v>
      </c>
      <c r="CQ273" s="1898">
        <f t="shared" si="458"/>
        <v>7.5546426991024498E-2</v>
      </c>
      <c r="CR273" s="1898" t="e">
        <f t="shared" si="458"/>
        <v>#REF!</v>
      </c>
      <c r="CS273" s="1899" t="e">
        <f t="shared" si="458"/>
        <v>#REF!</v>
      </c>
      <c r="CT273" s="1898">
        <f t="shared" ref="CT273:CX273" si="459">CT272/CT297</f>
        <v>0.11150392972661084</v>
      </c>
      <c r="CU273" s="1898">
        <f t="shared" si="459"/>
        <v>0.24940703231938749</v>
      </c>
      <c r="CV273" s="1898">
        <f t="shared" si="459"/>
        <v>7.8478876831633668E-2</v>
      </c>
      <c r="CW273" s="1898" t="e">
        <f t="shared" si="459"/>
        <v>#REF!</v>
      </c>
      <c r="CX273" s="1899" t="e">
        <f t="shared" si="459"/>
        <v>#REF!</v>
      </c>
      <c r="CY273" s="1973"/>
      <c r="CZ273" s="1973"/>
      <c r="DA273" s="1973"/>
      <c r="DB273" s="1973"/>
      <c r="DC273" s="1973"/>
      <c r="DD273" s="1973"/>
      <c r="DE273" s="1973"/>
      <c r="DF273" s="1973"/>
      <c r="DG273" s="1973"/>
      <c r="DH273" s="1773"/>
      <c r="DI273" s="1774"/>
      <c r="DJ273" s="1773"/>
      <c r="DK273" s="1901"/>
      <c r="DL273" s="1901"/>
      <c r="DM273" s="1899"/>
      <c r="DN273" s="1899"/>
      <c r="DO273" s="1899"/>
      <c r="DP273" s="1899"/>
      <c r="DQ273" s="1899"/>
      <c r="DR273" s="1898"/>
    </row>
    <row r="274" spans="1:122" hidden="1" outlineLevel="2">
      <c r="A274" s="1760" t="s">
        <v>163</v>
      </c>
      <c r="B274" s="1895"/>
      <c r="C274" s="1785"/>
      <c r="D274" s="1785"/>
      <c r="E274" s="1785"/>
      <c r="F274" s="1785"/>
      <c r="G274" s="1774">
        <f t="shared" ref="G274:AL274" si="460">G272/B272-1</f>
        <v>1.0853658536585367</v>
      </c>
      <c r="H274" s="1785">
        <f t="shared" si="460"/>
        <v>0.76288659793814428</v>
      </c>
      <c r="I274" s="1785">
        <f t="shared" si="460"/>
        <v>0.38438133874239355</v>
      </c>
      <c r="J274" s="1785">
        <f t="shared" si="460"/>
        <v>-0.37935323383084574</v>
      </c>
      <c r="K274" s="1785">
        <f t="shared" si="460"/>
        <v>8.8842975206611552E-2</v>
      </c>
      <c r="L274" s="1774">
        <f t="shared" si="460"/>
        <v>0.13216374269005837</v>
      </c>
      <c r="M274" s="1785">
        <f t="shared" si="460"/>
        <v>0.23586744639376223</v>
      </c>
      <c r="N274" s="1785">
        <f t="shared" si="460"/>
        <v>-2.5641025641025661E-2</v>
      </c>
      <c r="O274" s="1785">
        <f t="shared" si="460"/>
        <v>0.18436873747494986</v>
      </c>
      <c r="P274" s="1896">
        <f t="shared" si="460"/>
        <v>7.7798861480075976E-2</v>
      </c>
      <c r="Q274" s="1897">
        <f t="shared" si="460"/>
        <v>7.5413223140495811E-2</v>
      </c>
      <c r="R274" s="1896">
        <f t="shared" si="460"/>
        <v>3.7854889589905349E-2</v>
      </c>
      <c r="S274" s="1896">
        <f t="shared" si="460"/>
        <v>8.6466165413533913E-2</v>
      </c>
      <c r="T274" s="1785">
        <f t="shared" si="460"/>
        <v>7.1065989847715727E-2</v>
      </c>
      <c r="U274" s="1785">
        <f t="shared" si="460"/>
        <v>0.17429577464788726</v>
      </c>
      <c r="V274" s="1774">
        <f t="shared" si="460"/>
        <v>8.9657380723663138E-2</v>
      </c>
      <c r="W274" s="1896">
        <f t="shared" si="460"/>
        <v>-7.9027355623100259E-2</v>
      </c>
      <c r="X274" s="1896">
        <f t="shared" si="460"/>
        <v>0.16747404844290648</v>
      </c>
      <c r="Y274" s="1896">
        <f t="shared" si="460"/>
        <v>0.86729857819905209</v>
      </c>
      <c r="Z274" s="1896">
        <f t="shared" si="460"/>
        <v>0.92053973013493251</v>
      </c>
      <c r="AA274" s="1774">
        <f t="shared" si="460"/>
        <v>0.39759036144578319</v>
      </c>
      <c r="AB274" s="1896">
        <f t="shared" si="460"/>
        <v>0.6996699669966997</v>
      </c>
      <c r="AC274" s="1896">
        <f t="shared" si="460"/>
        <v>0.75696502667457022</v>
      </c>
      <c r="AD274" s="1896">
        <f t="shared" si="460"/>
        <v>-0.21404399323181045</v>
      </c>
      <c r="AE274" s="1896">
        <f t="shared" si="460"/>
        <v>-9.5238095238095233E-2</v>
      </c>
      <c r="AF274" s="1774">
        <f t="shared" si="460"/>
        <v>0.27880571909167373</v>
      </c>
      <c r="AG274" s="1896">
        <f t="shared" si="460"/>
        <v>0.87281553398058254</v>
      </c>
      <c r="AH274" s="1896">
        <f t="shared" si="460"/>
        <v>3.7786774628879805E-2</v>
      </c>
      <c r="AI274" s="1896">
        <f t="shared" si="460"/>
        <v>0.69644779332615725</v>
      </c>
      <c r="AJ274" s="1896">
        <f t="shared" si="460"/>
        <v>0.35893011216566006</v>
      </c>
      <c r="AK274" s="1774">
        <f t="shared" si="460"/>
        <v>0.34100624794475509</v>
      </c>
      <c r="AL274" s="1896">
        <f t="shared" si="460"/>
        <v>-1.8662519440124425E-2</v>
      </c>
      <c r="AM274" s="1896">
        <f t="shared" ref="AM274:BC274" si="461">AM272/AH272-1</f>
        <v>5.8517555266579979E-2</v>
      </c>
      <c r="AN274" s="1896">
        <f t="shared" si="461"/>
        <v>3.362944162436543E-2</v>
      </c>
      <c r="AO274" s="1896">
        <f t="shared" si="461"/>
        <v>-0.20190476190476192</v>
      </c>
      <c r="AP274" s="1774">
        <f t="shared" si="461"/>
        <v>-1.4835703776361009E-2</v>
      </c>
      <c r="AQ274" s="1785">
        <f t="shared" si="461"/>
        <v>-0.254094030639197</v>
      </c>
      <c r="AR274" s="1785">
        <f t="shared" si="461"/>
        <v>-0.26873464373464373</v>
      </c>
      <c r="AS274" s="1785">
        <f t="shared" si="461"/>
        <v>-0.26519337016574585</v>
      </c>
      <c r="AT274" s="1785">
        <f t="shared" si="461"/>
        <v>-8.2736674622116202E-2</v>
      </c>
      <c r="AU274" s="1774">
        <f t="shared" si="461"/>
        <v>-0.23546981953951462</v>
      </c>
      <c r="AV274" s="1785">
        <f t="shared" si="461"/>
        <v>0.27124645892351285</v>
      </c>
      <c r="AW274" s="1785">
        <f t="shared" si="461"/>
        <v>0.55312893742125158</v>
      </c>
      <c r="AX274" s="1785">
        <f t="shared" si="461"/>
        <v>0.61654135338345872</v>
      </c>
      <c r="AY274" s="1785">
        <f t="shared" si="461"/>
        <v>0.2883261058109281</v>
      </c>
      <c r="AZ274" s="1774">
        <f t="shared" si="461"/>
        <v>0.45099137229366759</v>
      </c>
      <c r="BA274" s="1785">
        <f t="shared" si="461"/>
        <v>9.3036211699164317E-2</v>
      </c>
      <c r="BB274" s="1785">
        <f t="shared" si="461"/>
        <v>0.14602487831260147</v>
      </c>
      <c r="BC274" s="1785">
        <f t="shared" si="461"/>
        <v>-0.16382428940568472</v>
      </c>
      <c r="BD274" s="1785">
        <v>0.12</v>
      </c>
      <c r="BE274" s="1774">
        <f>BE272/AZ272-1</f>
        <v>7.6913066111400141E-2</v>
      </c>
      <c r="BF274" s="1785">
        <f>BF272/BA272-1</f>
        <v>-7.6452599388379117E-3</v>
      </c>
      <c r="BG274" s="1785">
        <f>BG272/BB272-1</f>
        <v>-0.10995752713544127</v>
      </c>
      <c r="BH274" s="1785">
        <v>0.39</v>
      </c>
      <c r="BI274" s="1785">
        <v>0.39</v>
      </c>
      <c r="BJ274" s="1774">
        <f>BJ272/BE272-1</f>
        <v>5.8964475466194433E-2</v>
      </c>
      <c r="BK274" s="1785">
        <f>BK272/BF272-1</f>
        <v>6.3174114021571581E-2</v>
      </c>
      <c r="BL274" s="1898">
        <v>0.44</v>
      </c>
      <c r="BM274" s="1898">
        <v>7.0000000000000007E-2</v>
      </c>
      <c r="BN274" s="1785">
        <v>0.13</v>
      </c>
      <c r="BO274" s="1774">
        <f>BO272/BJ272-1</f>
        <v>0.43994256907342888</v>
      </c>
      <c r="BP274" s="1898">
        <v>0.1</v>
      </c>
      <c r="BQ274" s="1898">
        <v>8.5000000000000006E-2</v>
      </c>
      <c r="BR274" s="1898">
        <v>7.4999999999999997E-2</v>
      </c>
      <c r="BS274" s="1785">
        <v>0.06</v>
      </c>
      <c r="BT274" s="1899">
        <f>BT272/BO272-1</f>
        <v>7.7037847790179192E-2</v>
      </c>
      <c r="BU274" s="1898">
        <v>0.04</v>
      </c>
      <c r="BV274" s="1898">
        <v>0.03</v>
      </c>
      <c r="BW274" s="1898">
        <v>0.03</v>
      </c>
      <c r="BX274" s="1898">
        <v>2.5000000000000001E-2</v>
      </c>
      <c r="BY274" s="1899">
        <f>BY272/BT272-1</f>
        <v>2.9767016466409002E-2</v>
      </c>
      <c r="BZ274" s="1898">
        <v>0.04</v>
      </c>
      <c r="CA274" s="1898">
        <v>0.04</v>
      </c>
      <c r="CB274" s="1898">
        <v>0.04</v>
      </c>
      <c r="CC274" s="1898">
        <v>0.04</v>
      </c>
      <c r="CD274" s="1899">
        <f>CD272/BY272-1</f>
        <v>4.0000000000000258E-2</v>
      </c>
      <c r="CE274" s="1898">
        <v>0.04</v>
      </c>
      <c r="CF274" s="1898">
        <v>0.04</v>
      </c>
      <c r="CG274" s="1898">
        <v>0.04</v>
      </c>
      <c r="CH274" s="1898">
        <v>0.04</v>
      </c>
      <c r="CI274" s="1899">
        <f>CI272/CD272-1</f>
        <v>4.0000000000000036E-2</v>
      </c>
      <c r="CJ274" s="1898">
        <v>0.04</v>
      </c>
      <c r="CK274" s="1898">
        <v>0.04</v>
      </c>
      <c r="CL274" s="1898">
        <v>0.04</v>
      </c>
      <c r="CM274" s="1898">
        <v>0.04</v>
      </c>
      <c r="CN274" s="1899">
        <f>CN272/CI272-1</f>
        <v>4.0000000000000036E-2</v>
      </c>
      <c r="CO274" s="1898">
        <v>0.04</v>
      </c>
      <c r="CP274" s="1898">
        <v>0.04</v>
      </c>
      <c r="CQ274" s="1898">
        <v>0.04</v>
      </c>
      <c r="CR274" s="1898">
        <v>0.04</v>
      </c>
      <c r="CS274" s="1899">
        <f>CS272/CN272-1</f>
        <v>3.9999999999999813E-2</v>
      </c>
      <c r="CT274" s="1898">
        <v>0.04</v>
      </c>
      <c r="CU274" s="1898">
        <v>0.04</v>
      </c>
      <c r="CV274" s="1898">
        <v>0.04</v>
      </c>
      <c r="CW274" s="1898">
        <v>0.04</v>
      </c>
      <c r="CX274" s="1899">
        <f>CX272/CS272-1</f>
        <v>4.0000000000000036E-2</v>
      </c>
      <c r="CY274" s="1900"/>
      <c r="CZ274" s="1900"/>
      <c r="DA274" s="1900"/>
      <c r="DB274" s="1900">
        <f t="shared" ref="DB274:DH274" si="462">DB272/DA272-1</f>
        <v>1.1446965052115265</v>
      </c>
      <c r="DC274" s="1900">
        <f t="shared" si="462"/>
        <v>0.60277301315037168</v>
      </c>
      <c r="DD274" s="1900">
        <f t="shared" si="462"/>
        <v>0.17497547489521081</v>
      </c>
      <c r="DE274" s="1900">
        <f t="shared" si="462"/>
        <v>-0.37001897533206829</v>
      </c>
      <c r="DF274" s="1900">
        <f t="shared" si="462"/>
        <v>-0.19530120481927715</v>
      </c>
      <c r="DG274" s="1900">
        <f t="shared" si="462"/>
        <v>0.17427758646503966</v>
      </c>
      <c r="DH274" s="1773">
        <f t="shared" si="462"/>
        <v>0.22662756598240485</v>
      </c>
      <c r="DI274" s="1774">
        <f t="shared" ref="DI274:DN274" si="463">DI272/DH272-1</f>
        <v>-5.2226301499723515E-2</v>
      </c>
      <c r="DJ274" s="1773">
        <f t="shared" si="463"/>
        <v>0.29498134258043707</v>
      </c>
      <c r="DK274" s="1901">
        <f t="shared" si="463"/>
        <v>0.29524661641665895</v>
      </c>
      <c r="DL274" s="1901">
        <f t="shared" si="463"/>
        <v>4.8002291544313458E-2</v>
      </c>
      <c r="DM274" s="1899">
        <f t="shared" si="463"/>
        <v>3.3517271267777815E-2</v>
      </c>
      <c r="DN274" s="1899">
        <f t="shared" si="463"/>
        <v>4.0000000000000036E-2</v>
      </c>
      <c r="DO274" s="1899"/>
      <c r="DP274" s="1899"/>
      <c r="DQ274" s="1899"/>
      <c r="DR274" s="1898"/>
    </row>
    <row r="275" spans="1:122" hidden="1" outlineLevel="2">
      <c r="A275" s="1760" t="s">
        <v>667</v>
      </c>
      <c r="B275" s="1895"/>
      <c r="C275" s="1785"/>
      <c r="D275" s="1785"/>
      <c r="E275" s="1785"/>
      <c r="F275" s="1785"/>
      <c r="G275" s="1774"/>
      <c r="H275" s="1785">
        <f>H272/F272-1</f>
        <v>5.9917355371900793E-2</v>
      </c>
      <c r="I275" s="1785">
        <f>I272/H272-1</f>
        <v>1.6608187134502925</v>
      </c>
      <c r="J275" s="1785">
        <f>J272/I272-1</f>
        <v>-0.6344322344322344</v>
      </c>
      <c r="K275" s="1785">
        <f>K272/J272-1</f>
        <v>5.6112224448897852E-2</v>
      </c>
      <c r="L275" s="1774"/>
      <c r="M275" s="1785">
        <f>M272/K272-1</f>
        <v>0.20303605313092987</v>
      </c>
      <c r="N275" s="1785">
        <f>N272/M272-1</f>
        <v>1.0977917981072554</v>
      </c>
      <c r="O275" s="1785">
        <f>O272/N272-1</f>
        <v>-0.55563909774436082</v>
      </c>
      <c r="P275" s="1785">
        <f>P272/O272-1</f>
        <v>-3.8917089678511041E-2</v>
      </c>
      <c r="Q275" s="1897"/>
      <c r="R275" s="1785">
        <f>R272/P272-1</f>
        <v>0.15845070422535201</v>
      </c>
      <c r="S275" s="1785">
        <f>S272/R272-1</f>
        <v>1.1960486322188451</v>
      </c>
      <c r="T275" s="1785">
        <f>T272/S272-1</f>
        <v>-0.56193771626297573</v>
      </c>
      <c r="U275" s="1785">
        <f>U272/T272-1</f>
        <v>5.3712480252764649E-2</v>
      </c>
      <c r="V275" s="1774"/>
      <c r="W275" s="1785">
        <f>W272/U272-1</f>
        <v>-9.145427286356822E-2</v>
      </c>
      <c r="X275" s="1785">
        <f>X272/W272-1</f>
        <v>1.7838283828382839</v>
      </c>
      <c r="Y275" s="1785">
        <f>Y272/X272-1</f>
        <v>-0.29934795494961475</v>
      </c>
      <c r="Z275" s="1785">
        <f>Z272/Y272-1</f>
        <v>8.3756345177665059E-2</v>
      </c>
      <c r="AA275" s="1774"/>
      <c r="AB275" s="1785">
        <f>AB272/Z272-1</f>
        <v>-0.19594067135050741</v>
      </c>
      <c r="AC275" s="1785">
        <f>AC272/AB272-1</f>
        <v>1.8776699029126211</v>
      </c>
      <c r="AD275" s="1785">
        <f>AD272/AC272-1</f>
        <v>-0.68657219973009442</v>
      </c>
      <c r="AE275" s="1785">
        <f>AE272/AD272-1</f>
        <v>0.2475780409041981</v>
      </c>
      <c r="AF275" s="1774"/>
      <c r="AG275" s="1785">
        <f>AG272/AE272-1</f>
        <v>0.66436583261432269</v>
      </c>
      <c r="AH275" s="1785">
        <f>AH272/AG272-1</f>
        <v>0.59460860549507522</v>
      </c>
      <c r="AI275" s="1785">
        <f>AI272/AH272-1</f>
        <v>-0.48764629388816649</v>
      </c>
      <c r="AJ275" s="1785">
        <f>AJ272/AI272-1</f>
        <v>-6.3451776649747771E-4</v>
      </c>
      <c r="AK275" s="1774"/>
      <c r="AL275" s="1785">
        <f>AL272/AJ272-1</f>
        <v>0.20190476190476181</v>
      </c>
      <c r="AM275" s="1785">
        <f>AM272/AL272-1</f>
        <v>0.72002113048071847</v>
      </c>
      <c r="AN275" s="1785">
        <f>AN272/AM272-1</f>
        <v>-0.49969287469287471</v>
      </c>
      <c r="AO275" s="1785">
        <f>AO272/AN272-1</f>
        <v>-0.22836095764272557</v>
      </c>
      <c r="AP275" s="1774"/>
      <c r="AQ275" s="1785">
        <f>AQ272/AO272-1</f>
        <v>0.12330946698488465</v>
      </c>
      <c r="AR275" s="1785">
        <f>AR272/AQ272-1</f>
        <v>0.68626062322946169</v>
      </c>
      <c r="AS275" s="1785">
        <f>AS272/AR272-1</f>
        <v>-0.49727005459890805</v>
      </c>
      <c r="AT275" s="1785">
        <f>AT272/AS272-1</f>
        <v>-3.6758563074352546E-2</v>
      </c>
      <c r="AU275" s="1774"/>
      <c r="AV275" s="1785">
        <f>AV272/AT272-1</f>
        <v>0.55680832610581099</v>
      </c>
      <c r="AW275" s="1785">
        <f>AW272/AV272-1</f>
        <v>1.0601671309192202</v>
      </c>
      <c r="AX275" s="1785">
        <f>AX272/AW272-1</f>
        <v>-0.47674418604651159</v>
      </c>
      <c r="AY275" s="1785">
        <f>AY272/AX272-1</f>
        <v>-0.23233074935400511</v>
      </c>
      <c r="AZ275" s="1774"/>
      <c r="BA275" s="1785">
        <f>BA272/AY272-1</f>
        <v>0.32082076691081429</v>
      </c>
      <c r="BB275" s="1785">
        <f>BB272/BA272-1</f>
        <v>1.1600407747196737</v>
      </c>
      <c r="BC275" s="1785">
        <f>BC272/BB272-1</f>
        <v>-0.6182161396885324</v>
      </c>
      <c r="BD275" s="1785">
        <f>BD272/BC272-1</f>
        <v>0.10074165636588384</v>
      </c>
      <c r="BE275" s="1774"/>
      <c r="BF275" s="1785">
        <f>BF272/BD272-1</f>
        <v>9.3206064008983791E-2</v>
      </c>
      <c r="BG275" s="1785">
        <f>BG272/BF272-1</f>
        <v>0.93733949666153049</v>
      </c>
      <c r="BH275" s="1785">
        <f>BH272/BG272-1</f>
        <v>-0.32900318133616113</v>
      </c>
      <c r="BI275" s="1785">
        <f>BI272/BH272-1</f>
        <v>-0.24338206242591864</v>
      </c>
      <c r="BJ275" s="1774"/>
      <c r="BK275" s="1785">
        <f>BK272/BI272-1</f>
        <v>8.0939947780678922E-2</v>
      </c>
      <c r="BL275" s="1898">
        <f>BL272/BK272-1</f>
        <v>1.5563477689122824</v>
      </c>
      <c r="BM275" s="1898">
        <f>BM272/BL272-1</f>
        <v>-0.56796937442159134</v>
      </c>
      <c r="BN275" s="1785">
        <f>BN272/BM272-1</f>
        <v>1.1823698264331348</v>
      </c>
      <c r="BO275" s="1774"/>
      <c r="BP275" s="1898">
        <f>BP272/BN272-1</f>
        <v>-0.54361657080042458</v>
      </c>
      <c r="BQ275" s="1898">
        <f>BQ272/BP272-1</f>
        <v>1.5214884811543876</v>
      </c>
      <c r="BR275" s="1898">
        <f>BR272/BQ272-1</f>
        <v>-0.57195122350526328</v>
      </c>
      <c r="BS275" s="1785">
        <f>BS272/BR272-1</f>
        <v>1.1519181544363937</v>
      </c>
      <c r="BT275" s="1899"/>
      <c r="BU275" s="1898">
        <f>BU272/BS272-1</f>
        <v>-0.55222757889852991</v>
      </c>
      <c r="BV275" s="1898">
        <f>BV272/BU272-1</f>
        <v>1.4972433996048262</v>
      </c>
      <c r="BW275" s="1898">
        <f>BW272/BV272-1</f>
        <v>-0.57195122350526328</v>
      </c>
      <c r="BX275" s="1898">
        <f>BX272/BW272-1</f>
        <v>1.1414719498032073</v>
      </c>
      <c r="BY275" s="1899"/>
      <c r="BZ275" s="1898">
        <f>BZ272/BX272-1</f>
        <v>-0.54567481176045962</v>
      </c>
      <c r="CA275" s="1898">
        <f>CA272/BZ272-1</f>
        <v>1.4972433996048267</v>
      </c>
      <c r="CB275" s="1898">
        <f>CB272/CA272-1</f>
        <v>-0.57195122350526328</v>
      </c>
      <c r="CC275" s="1898">
        <f>CC272/CB272-1</f>
        <v>1.1414719498032073</v>
      </c>
      <c r="CD275" s="1899"/>
      <c r="CE275" s="1898">
        <f>CE272/CC272-1</f>
        <v>-0.54567481176045951</v>
      </c>
      <c r="CF275" s="1898">
        <f>CF272/CE272-1</f>
        <v>1.4972433996048262</v>
      </c>
      <c r="CG275" s="1898">
        <f>CG272/CF272-1</f>
        <v>-0.57195122350526328</v>
      </c>
      <c r="CH275" s="1898">
        <f>CH272/CG272-1</f>
        <v>1.1414719498032073</v>
      </c>
      <c r="CI275" s="1899"/>
      <c r="CJ275" s="1898">
        <f>CJ272/CH272-1</f>
        <v>-0.54567481176045962</v>
      </c>
      <c r="CK275" s="1898">
        <f>CK272/CJ272-1</f>
        <v>1.4972433996048262</v>
      </c>
      <c r="CL275" s="1898">
        <f>CL272/CK272-1</f>
        <v>-0.57195122350526328</v>
      </c>
      <c r="CM275" s="1898">
        <f>CM272/CL272-1</f>
        <v>1.1414719498032078</v>
      </c>
      <c r="CN275" s="1899"/>
      <c r="CO275" s="1898">
        <f>CO272/CM272-1</f>
        <v>-0.54567481176045962</v>
      </c>
      <c r="CP275" s="1898">
        <f>CP272/CO272-1</f>
        <v>1.4972433996048262</v>
      </c>
      <c r="CQ275" s="1898">
        <f>CQ272/CP272-1</f>
        <v>-0.57195122350526328</v>
      </c>
      <c r="CR275" s="1898">
        <f>CR272/CQ272-1</f>
        <v>1.1414719498032073</v>
      </c>
      <c r="CS275" s="1899"/>
      <c r="CT275" s="1898">
        <f>CT272/CR272-1</f>
        <v>-0.54567481176045973</v>
      </c>
      <c r="CU275" s="1898">
        <f>CU272/CT272-1</f>
        <v>1.4972433996048262</v>
      </c>
      <c r="CV275" s="1898">
        <f>CV272/CU272-1</f>
        <v>-0.57195122350526328</v>
      </c>
      <c r="CW275" s="1898">
        <f>CW272/CV272-1</f>
        <v>1.1414719498032078</v>
      </c>
      <c r="CX275" s="1899"/>
      <c r="CY275" s="1900"/>
      <c r="CZ275" s="1900"/>
      <c r="DA275" s="1900"/>
      <c r="DB275" s="1900"/>
      <c r="DC275" s="1900"/>
      <c r="DD275" s="1900"/>
      <c r="DE275" s="1900"/>
      <c r="DF275" s="1900"/>
      <c r="DG275" s="1900"/>
      <c r="DH275" s="1773"/>
      <c r="DI275" s="1774"/>
      <c r="DJ275" s="1773"/>
      <c r="DK275" s="1901"/>
      <c r="DL275" s="1901"/>
      <c r="DM275" s="1899"/>
      <c r="DN275" s="1899"/>
      <c r="DO275" s="1899"/>
      <c r="DP275" s="1899"/>
      <c r="DQ275" s="1899"/>
      <c r="DR275" s="1898"/>
    </row>
    <row r="276" spans="1:122" hidden="1" outlineLevel="3">
      <c r="A276" s="1760" t="s">
        <v>644</v>
      </c>
      <c r="B276" s="1895"/>
      <c r="C276" s="1785"/>
      <c r="D276" s="1785"/>
      <c r="E276" s="1785"/>
      <c r="F276" s="1785"/>
      <c r="G276" s="1774"/>
      <c r="H276" s="1785"/>
      <c r="I276" s="1785"/>
      <c r="J276" s="1785"/>
      <c r="K276" s="1785"/>
      <c r="L276" s="1774"/>
      <c r="M276" s="1889">
        <f t="shared" ref="M276:AR276" si="464">M272-M278</f>
        <v>941</v>
      </c>
      <c r="N276" s="1889">
        <f t="shared" si="464"/>
        <v>1837</v>
      </c>
      <c r="O276" s="1889">
        <f t="shared" si="464"/>
        <v>836</v>
      </c>
      <c r="P276" s="1889">
        <f t="shared" si="464"/>
        <v>947</v>
      </c>
      <c r="Q276" s="1801">
        <f t="shared" si="464"/>
        <v>4561</v>
      </c>
      <c r="R276" s="1889">
        <f t="shared" si="464"/>
        <v>860</v>
      </c>
      <c r="S276" s="1889">
        <f t="shared" si="464"/>
        <v>1417</v>
      </c>
      <c r="T276" s="1889">
        <f t="shared" si="464"/>
        <v>831</v>
      </c>
      <c r="U276" s="1889">
        <f t="shared" si="464"/>
        <v>902</v>
      </c>
      <c r="V276" s="1801">
        <f t="shared" si="464"/>
        <v>4010</v>
      </c>
      <c r="W276" s="1889">
        <f t="shared" si="464"/>
        <v>779</v>
      </c>
      <c r="X276" s="1889">
        <f t="shared" si="464"/>
        <v>1973</v>
      </c>
      <c r="Y276" s="1889">
        <f t="shared" si="464"/>
        <v>1584</v>
      </c>
      <c r="Z276" s="1889">
        <f t="shared" si="464"/>
        <v>1704</v>
      </c>
      <c r="AA276" s="1801">
        <f t="shared" si="464"/>
        <v>6040</v>
      </c>
      <c r="AB276" s="1889">
        <f t="shared" si="464"/>
        <v>1124</v>
      </c>
      <c r="AC276" s="1889">
        <f t="shared" si="464"/>
        <v>3253</v>
      </c>
      <c r="AD276" s="1889">
        <f t="shared" si="464"/>
        <v>1244</v>
      </c>
      <c r="AE276" s="1889">
        <f t="shared" si="464"/>
        <v>2358</v>
      </c>
      <c r="AF276" s="1801">
        <f t="shared" si="464"/>
        <v>7979</v>
      </c>
      <c r="AG276" s="1889">
        <f t="shared" si="464"/>
        <v>1764</v>
      </c>
      <c r="AH276" s="1889">
        <f t="shared" si="464"/>
        <v>2701</v>
      </c>
      <c r="AI276" s="1889">
        <f t="shared" si="464"/>
        <v>1487</v>
      </c>
      <c r="AJ276" s="1889">
        <f t="shared" si="464"/>
        <v>1763</v>
      </c>
      <c r="AK276" s="1801">
        <f t="shared" si="464"/>
        <v>7715</v>
      </c>
      <c r="AL276" s="1889">
        <f t="shared" si="464"/>
        <v>1733</v>
      </c>
      <c r="AM276" s="1889">
        <f t="shared" si="464"/>
        <v>3126</v>
      </c>
      <c r="AN276" s="1889">
        <f t="shared" si="464"/>
        <v>1670</v>
      </c>
      <c r="AO276" s="1889">
        <f t="shared" si="464"/>
        <v>1398</v>
      </c>
      <c r="AP276" s="1801">
        <f t="shared" si="464"/>
        <v>7927</v>
      </c>
      <c r="AQ276" s="1890">
        <f t="shared" si="464"/>
        <v>1152</v>
      </c>
      <c r="AR276" s="1890">
        <f t="shared" si="464"/>
        <v>2016</v>
      </c>
      <c r="AS276" s="1890">
        <f t="shared" ref="AS276:CD276" si="465">AS272-AS278</f>
        <v>1054</v>
      </c>
      <c r="AT276" s="1890">
        <f t="shared" si="465"/>
        <v>1321</v>
      </c>
      <c r="AU276" s="1801">
        <f t="shared" si="465"/>
        <v>5543</v>
      </c>
      <c r="AV276" s="1890">
        <f t="shared" si="465"/>
        <v>1413</v>
      </c>
      <c r="AW276" s="1890">
        <f t="shared" si="465"/>
        <v>3019</v>
      </c>
      <c r="AX276" s="1890">
        <f t="shared" si="465"/>
        <v>1710</v>
      </c>
      <c r="AY276" s="1890">
        <f t="shared" si="465"/>
        <v>1453.44</v>
      </c>
      <c r="AZ276" s="1801">
        <f t="shared" si="465"/>
        <v>7595.4400000000005</v>
      </c>
      <c r="BA276" s="1890">
        <f t="shared" si="465"/>
        <v>1619</v>
      </c>
      <c r="BB276" s="1890">
        <f t="shared" si="465"/>
        <v>3721</v>
      </c>
      <c r="BC276" s="1890">
        <f t="shared" si="465"/>
        <v>1846</v>
      </c>
      <c r="BD276" s="1890">
        <f t="shared" si="465"/>
        <v>2032</v>
      </c>
      <c r="BE276" s="1801">
        <f t="shared" si="465"/>
        <v>9218</v>
      </c>
      <c r="BF276" s="1890">
        <f t="shared" si="465"/>
        <v>1924</v>
      </c>
      <c r="BG276" s="1890">
        <f t="shared" si="465"/>
        <v>3176</v>
      </c>
      <c r="BH276" s="1890">
        <f t="shared" si="465"/>
        <v>2189</v>
      </c>
      <c r="BI276" s="1890">
        <f t="shared" si="465"/>
        <v>2025</v>
      </c>
      <c r="BJ276" s="1801">
        <f t="shared" si="465"/>
        <v>9314</v>
      </c>
      <c r="BK276" s="1890">
        <f t="shared" si="465"/>
        <v>2085</v>
      </c>
      <c r="BL276" s="1904">
        <f t="shared" si="465"/>
        <v>5318.0980810566662</v>
      </c>
      <c r="BM276" s="1904">
        <f t="shared" si="465"/>
        <v>2048.3908376101858</v>
      </c>
      <c r="BN276" s="1890">
        <f t="shared" si="465"/>
        <v>3931.5099655280592</v>
      </c>
      <c r="BO276" s="1801">
        <f t="shared" si="465"/>
        <v>13382.998884194913</v>
      </c>
      <c r="BP276" s="1904">
        <f t="shared" si="465"/>
        <v>1889.9099999999999</v>
      </c>
      <c r="BQ276" s="1904">
        <f t="shared" si="465"/>
        <v>5454.3578080091138</v>
      </c>
      <c r="BR276" s="1904">
        <f t="shared" si="465"/>
        <v>1941.5133022772882</v>
      </c>
      <c r="BS276" s="1890">
        <f t="shared" si="465"/>
        <v>4125.0919282977156</v>
      </c>
      <c r="BT276" s="1905">
        <f t="shared" si="465"/>
        <v>13410.873038584115</v>
      </c>
      <c r="BU276" s="1904">
        <f t="shared" si="465"/>
        <v>1894.4639999999999</v>
      </c>
      <c r="BV276" s="1904">
        <f t="shared" si="465"/>
        <v>5204.0314917678534</v>
      </c>
      <c r="BW276" s="1904">
        <f t="shared" si="465"/>
        <v>1898.5050962141838</v>
      </c>
      <c r="BX276" s="1904">
        <f t="shared" si="465"/>
        <v>4065.5954101011139</v>
      </c>
      <c r="BY276" s="1905">
        <f t="shared" si="465"/>
        <v>13062.595998083149</v>
      </c>
      <c r="BZ276" s="1904">
        <f t="shared" si="465"/>
        <v>1994.8705919999998</v>
      </c>
      <c r="CA276" s="1904">
        <f t="shared" si="465"/>
        <v>5633.600636724691</v>
      </c>
      <c r="CB276" s="1904">
        <f t="shared" si="465"/>
        <v>2027.0971747310914</v>
      </c>
      <c r="CC276" s="1904">
        <f t="shared" si="465"/>
        <v>4340.9717392119628</v>
      </c>
      <c r="CD276" s="1905">
        <f t="shared" si="465"/>
        <v>13996.540142667744</v>
      </c>
      <c r="CE276" s="1904">
        <f t="shared" ref="CE276:CI276" si="466">CE272-CE278</f>
        <v>2100.27856896</v>
      </c>
      <c r="CF276" s="1904">
        <f t="shared" si="466"/>
        <v>5858.9446621936786</v>
      </c>
      <c r="CG276" s="1904">
        <f t="shared" si="466"/>
        <v>2108.181061720335</v>
      </c>
      <c r="CH276" s="1904">
        <f t="shared" si="466"/>
        <v>4514.610608780441</v>
      </c>
      <c r="CI276" s="1905">
        <f t="shared" si="466"/>
        <v>14582.014901654456</v>
      </c>
      <c r="CJ276" s="1904">
        <f t="shared" ref="CJ276:CS276" si="467">CJ272-CJ278</f>
        <v>2210.9273911296</v>
      </c>
      <c r="CK276" s="1904">
        <f t="shared" si="467"/>
        <v>6093.3024486814256</v>
      </c>
      <c r="CL276" s="1904">
        <f t="shared" si="467"/>
        <v>2192.5083041891485</v>
      </c>
      <c r="CM276" s="1904">
        <f t="shared" si="467"/>
        <v>4695.1950331316593</v>
      </c>
      <c r="CN276" s="1905">
        <f t="shared" si="467"/>
        <v>15191.933177131836</v>
      </c>
      <c r="CO276" s="1904">
        <f t="shared" si="467"/>
        <v>2327.0676733624323</v>
      </c>
      <c r="CP276" s="1904">
        <f t="shared" si="467"/>
        <v>6337.0345466286826</v>
      </c>
      <c r="CQ276" s="1904">
        <f t="shared" si="467"/>
        <v>2280.2086363567146</v>
      </c>
      <c r="CR276" s="1904">
        <f t="shared" si="467"/>
        <v>4883.0028344569264</v>
      </c>
      <c r="CS276" s="1905">
        <f t="shared" si="467"/>
        <v>15827.313690804755</v>
      </c>
      <c r="CT276" s="1904">
        <f t="shared" ref="CT276:CX276" si="468">CT272-CT278</f>
        <v>2448.9616943480833</v>
      </c>
      <c r="CU276" s="1904">
        <f t="shared" si="468"/>
        <v>6590.51592849383</v>
      </c>
      <c r="CV276" s="1904">
        <f t="shared" si="468"/>
        <v>2371.4169818109831</v>
      </c>
      <c r="CW276" s="1904">
        <f t="shared" si="468"/>
        <v>5078.3229478352041</v>
      </c>
      <c r="CX276" s="1905">
        <f t="shared" si="468"/>
        <v>16489.217552488099</v>
      </c>
      <c r="CY276" s="1900"/>
      <c r="CZ276" s="1900"/>
      <c r="DA276" s="1900"/>
      <c r="DB276" s="1900"/>
      <c r="DC276" s="1900"/>
      <c r="DD276" s="1900"/>
      <c r="DE276" s="1900"/>
      <c r="DF276" s="1900"/>
      <c r="DG276" s="1900"/>
      <c r="DH276" s="1804">
        <f>SUM(AX276:AY276,BA276:BB276)</f>
        <v>8503.44</v>
      </c>
      <c r="DI276" s="1801">
        <f>SUM(BC276:BD276,BF276:BG276)</f>
        <v>8978</v>
      </c>
      <c r="DJ276" s="1804">
        <f>SUM(BH276:BI276,BK276:BL276)</f>
        <v>11617.098081056665</v>
      </c>
      <c r="DK276" s="1906">
        <f>SUM(BM276:BN276,BP276:BQ276)</f>
        <v>13324.168611147359</v>
      </c>
      <c r="DL276" s="1907">
        <f>SUM(BU276:BV276,BR276:BS276)</f>
        <v>13165.100722342857</v>
      </c>
      <c r="DM276" s="1908">
        <f>SUM(BW276:BX276,BZ276:CA276)</f>
        <v>13592.57173503999</v>
      </c>
      <c r="DN276" s="1908">
        <f>SUM(CB276:CC276,CE276:CF276)</f>
        <v>14327.292145096733</v>
      </c>
      <c r="DO276" s="1908"/>
      <c r="DP276" s="1908"/>
      <c r="DQ276" s="1908"/>
      <c r="DR276" s="1915"/>
    </row>
    <row r="277" spans="1:122" hidden="1" outlineLevel="3">
      <c r="A277" s="1760" t="s">
        <v>163</v>
      </c>
      <c r="B277" s="1895"/>
      <c r="C277" s="1785"/>
      <c r="D277" s="1785"/>
      <c r="E277" s="1785"/>
      <c r="F277" s="1785"/>
      <c r="G277" s="1774"/>
      <c r="H277" s="1785"/>
      <c r="I277" s="1785"/>
      <c r="J277" s="1785"/>
      <c r="K277" s="1785"/>
      <c r="L277" s="1774"/>
      <c r="M277" s="1785"/>
      <c r="N277" s="1785"/>
      <c r="O277" s="1785"/>
      <c r="P277" s="1896"/>
      <c r="Q277" s="1897"/>
      <c r="R277" s="1902">
        <f t="shared" ref="R277:AW277" si="469">R276/M276-1</f>
        <v>-8.6078639744952223E-2</v>
      </c>
      <c r="S277" s="1902">
        <f t="shared" si="469"/>
        <v>-0.22863364180729451</v>
      </c>
      <c r="T277" s="1902">
        <f t="shared" si="469"/>
        <v>-5.9808612440190867E-3</v>
      </c>
      <c r="U277" s="1902">
        <f t="shared" si="469"/>
        <v>-4.7518479408658942E-2</v>
      </c>
      <c r="V277" s="1774">
        <f t="shared" si="469"/>
        <v>-0.12080684060513047</v>
      </c>
      <c r="W277" s="1902">
        <f t="shared" si="469"/>
        <v>-9.4186046511627874E-2</v>
      </c>
      <c r="X277" s="1902">
        <f t="shared" si="469"/>
        <v>0.39237826393789699</v>
      </c>
      <c r="Y277" s="1902">
        <f t="shared" si="469"/>
        <v>0.90613718411552346</v>
      </c>
      <c r="Z277" s="1902">
        <f t="shared" si="469"/>
        <v>0.88913525498891355</v>
      </c>
      <c r="AA277" s="1774">
        <f t="shared" si="469"/>
        <v>0.50623441396508717</v>
      </c>
      <c r="AB277" s="1902">
        <f t="shared" si="469"/>
        <v>0.44287548138639288</v>
      </c>
      <c r="AC277" s="1902">
        <f t="shared" si="469"/>
        <v>0.64875823618854533</v>
      </c>
      <c r="AD277" s="1902">
        <f t="shared" si="469"/>
        <v>-0.21464646464646464</v>
      </c>
      <c r="AE277" s="1902">
        <f t="shared" si="469"/>
        <v>0.38380281690140849</v>
      </c>
      <c r="AF277" s="1774">
        <f t="shared" si="469"/>
        <v>0.32102649006622519</v>
      </c>
      <c r="AG277" s="1902">
        <f t="shared" si="469"/>
        <v>0.56939501779359425</v>
      </c>
      <c r="AH277" s="1902">
        <f t="shared" si="469"/>
        <v>-0.16968951736858284</v>
      </c>
      <c r="AI277" s="1902">
        <f t="shared" si="469"/>
        <v>0.19533762057877824</v>
      </c>
      <c r="AJ277" s="1902">
        <f t="shared" si="469"/>
        <v>-0.25233248515691264</v>
      </c>
      <c r="AK277" s="1774">
        <f t="shared" si="469"/>
        <v>-3.3086852989096416E-2</v>
      </c>
      <c r="AL277" s="1902">
        <f t="shared" si="469"/>
        <v>-1.7573696145124718E-2</v>
      </c>
      <c r="AM277" s="1902">
        <f t="shared" si="469"/>
        <v>0.15734912995186967</v>
      </c>
      <c r="AN277" s="1902">
        <f t="shared" si="469"/>
        <v>0.12306657700067247</v>
      </c>
      <c r="AO277" s="1902">
        <f t="shared" si="469"/>
        <v>-0.20703346568349401</v>
      </c>
      <c r="AP277" s="1774">
        <f t="shared" si="469"/>
        <v>2.7478937135450465E-2</v>
      </c>
      <c r="AQ277" s="1900">
        <f t="shared" si="469"/>
        <v>-0.3352567801500288</v>
      </c>
      <c r="AR277" s="1900">
        <f t="shared" si="469"/>
        <v>-0.3550863723608445</v>
      </c>
      <c r="AS277" s="1900">
        <f t="shared" si="469"/>
        <v>-0.36886227544910177</v>
      </c>
      <c r="AT277" s="1900">
        <f t="shared" si="469"/>
        <v>-5.5078683834048681E-2</v>
      </c>
      <c r="AU277" s="1774">
        <f t="shared" si="469"/>
        <v>-0.30074429166141037</v>
      </c>
      <c r="AV277" s="1900">
        <f t="shared" si="469"/>
        <v>0.2265625</v>
      </c>
      <c r="AW277" s="1900">
        <f t="shared" si="469"/>
        <v>0.49751984126984117</v>
      </c>
      <c r="AX277" s="1900">
        <f t="shared" ref="AX277:CD277" si="470">AX276/AS276-1</f>
        <v>0.62239089184060714</v>
      </c>
      <c r="AY277" s="1900">
        <f t="shared" si="470"/>
        <v>0.1002573807721423</v>
      </c>
      <c r="AZ277" s="1774">
        <f t="shared" si="470"/>
        <v>0.37027602381381941</v>
      </c>
      <c r="BA277" s="1900">
        <f t="shared" si="470"/>
        <v>0.14578910120311384</v>
      </c>
      <c r="BB277" s="1900">
        <f t="shared" si="470"/>
        <v>0.23252732692944678</v>
      </c>
      <c r="BC277" s="1900">
        <f t="shared" si="470"/>
        <v>7.953216374269001E-2</v>
      </c>
      <c r="BD277" s="1900">
        <f t="shared" si="470"/>
        <v>0.39806252752091575</v>
      </c>
      <c r="BE277" s="1774">
        <f t="shared" si="470"/>
        <v>0.21362291058845817</v>
      </c>
      <c r="BF277" s="1900">
        <f t="shared" si="470"/>
        <v>0.18838789376158127</v>
      </c>
      <c r="BG277" s="1900">
        <f t="shared" si="470"/>
        <v>-0.14646600376242946</v>
      </c>
      <c r="BH277" s="1900">
        <f t="shared" si="470"/>
        <v>0.18580715059588293</v>
      </c>
      <c r="BI277" s="1900">
        <f t="shared" si="470"/>
        <v>-3.4448818897637734E-3</v>
      </c>
      <c r="BJ277" s="1774">
        <f t="shared" si="470"/>
        <v>1.0414406595790737E-2</v>
      </c>
      <c r="BK277" s="1900">
        <f t="shared" si="470"/>
        <v>8.3679833679833671E-2</v>
      </c>
      <c r="BL277" s="1909">
        <f t="shared" si="470"/>
        <v>0.67446413131507121</v>
      </c>
      <c r="BM277" s="1909">
        <f t="shared" si="470"/>
        <v>-6.4234427770586633E-2</v>
      </c>
      <c r="BN277" s="1900">
        <f t="shared" si="470"/>
        <v>0.94148640272990569</v>
      </c>
      <c r="BO277" s="1774">
        <f t="shared" si="470"/>
        <v>0.436869109318758</v>
      </c>
      <c r="BP277" s="1909">
        <f t="shared" si="470"/>
        <v>-9.3568345323741031E-2</v>
      </c>
      <c r="BQ277" s="1909">
        <f t="shared" si="470"/>
        <v>2.5621890547263826E-2</v>
      </c>
      <c r="BR277" s="1909">
        <f t="shared" si="470"/>
        <v>-5.2176339285714302E-2</v>
      </c>
      <c r="BS277" s="1900">
        <f t="shared" si="470"/>
        <v>4.9238578680203204E-2</v>
      </c>
      <c r="BT277" s="1910">
        <f t="shared" si="470"/>
        <v>2.0828033111564004E-3</v>
      </c>
      <c r="BU277" s="1909">
        <f t="shared" si="470"/>
        <v>2.4096385542169418E-3</v>
      </c>
      <c r="BV277" s="1909">
        <f t="shared" si="470"/>
        <v>-4.5894736842105321E-2</v>
      </c>
      <c r="BW277" s="1909">
        <f t="shared" si="470"/>
        <v>-2.2151898734177111E-2</v>
      </c>
      <c r="BX277" s="1909">
        <f t="shared" si="470"/>
        <v>-1.4423076923076983E-2</v>
      </c>
      <c r="BY277" s="1910">
        <f t="shared" si="470"/>
        <v>-2.5969751521690454E-2</v>
      </c>
      <c r="BZ277" s="1909">
        <f t="shared" si="470"/>
        <v>5.2999999999999936E-2</v>
      </c>
      <c r="CA277" s="1909">
        <f t="shared" si="470"/>
        <v>8.25454545454547E-2</v>
      </c>
      <c r="CB277" s="1909">
        <f t="shared" si="470"/>
        <v>6.7733333333333423E-2</v>
      </c>
      <c r="CC277" s="1909">
        <f t="shared" si="470"/>
        <v>6.7733333333333423E-2</v>
      </c>
      <c r="CD277" s="1910">
        <f t="shared" si="470"/>
        <v>7.1497590886347995E-2</v>
      </c>
      <c r="CE277" s="1909">
        <f t="shared" ref="CE277:CI277" si="471">CE276/BZ276-1</f>
        <v>5.2839506172839723E-2</v>
      </c>
      <c r="CF277" s="1909">
        <f t="shared" si="471"/>
        <v>4.0000000000000036E-2</v>
      </c>
      <c r="CG277" s="1909">
        <f t="shared" si="471"/>
        <v>4.0000000000000036E-2</v>
      </c>
      <c r="CH277" s="1909">
        <f t="shared" si="471"/>
        <v>4.0000000000000036E-2</v>
      </c>
      <c r="CI277" s="1910">
        <f t="shared" si="471"/>
        <v>4.1829963192255182E-2</v>
      </c>
      <c r="CJ277" s="1909">
        <f t="shared" ref="CJ277:CS277" si="472">CJ276/CE276-1</f>
        <v>5.2682926829268339E-2</v>
      </c>
      <c r="CK277" s="1909">
        <f t="shared" si="472"/>
        <v>4.0000000000000036E-2</v>
      </c>
      <c r="CL277" s="1909">
        <f t="shared" si="472"/>
        <v>4.0000000000000036E-2</v>
      </c>
      <c r="CM277" s="1909">
        <f t="shared" si="472"/>
        <v>4.0000000000000258E-2</v>
      </c>
      <c r="CN277" s="1910">
        <f t="shared" si="472"/>
        <v>4.1826748881471643E-2</v>
      </c>
      <c r="CO277" s="1909">
        <f t="shared" si="472"/>
        <v>5.2530120481927955E-2</v>
      </c>
      <c r="CP277" s="1909">
        <f t="shared" si="472"/>
        <v>4.0000000000000036E-2</v>
      </c>
      <c r="CQ277" s="1909">
        <f t="shared" si="472"/>
        <v>4.0000000000000036E-2</v>
      </c>
      <c r="CR277" s="1909">
        <f t="shared" si="472"/>
        <v>4.0000000000000258E-2</v>
      </c>
      <c r="CS277" s="1910">
        <f t="shared" si="472"/>
        <v>4.1823545842694099E-2</v>
      </c>
      <c r="CT277" s="1909">
        <f t="shared" ref="CT277" si="473">CT276/CO276-1</f>
        <v>5.2380952380952195E-2</v>
      </c>
      <c r="CU277" s="1909">
        <f t="shared" ref="CU277" si="474">CU276/CP276-1</f>
        <v>4.0000000000000036E-2</v>
      </c>
      <c r="CV277" s="1909">
        <f t="shared" ref="CV277" si="475">CV276/CQ276-1</f>
        <v>4.0000000000000036E-2</v>
      </c>
      <c r="CW277" s="1909">
        <f t="shared" ref="CW277" si="476">CW276/CR276-1</f>
        <v>4.0000000000000036E-2</v>
      </c>
      <c r="CX277" s="1910">
        <f t="shared" ref="CX277" si="477">CX276/CS276-1</f>
        <v>4.182035401673323E-2</v>
      </c>
      <c r="CY277" s="1900"/>
      <c r="CZ277" s="1900"/>
      <c r="DA277" s="1900"/>
      <c r="DB277" s="1900"/>
      <c r="DC277" s="1900"/>
      <c r="DD277" s="1900"/>
      <c r="DE277" s="1900"/>
      <c r="DF277" s="1900"/>
      <c r="DG277" s="1900"/>
      <c r="DH277" s="1773"/>
      <c r="DI277" s="1774"/>
      <c r="DJ277" s="1773"/>
      <c r="DK277" s="1911"/>
      <c r="DL277" s="1911"/>
      <c r="DM277" s="1910"/>
      <c r="DN277" s="1910"/>
      <c r="DO277" s="1910"/>
      <c r="DP277" s="1910"/>
      <c r="DQ277" s="1910"/>
      <c r="DR277" s="3060"/>
    </row>
    <row r="278" spans="1:122" hidden="1" outlineLevel="2">
      <c r="A278" s="1912" t="s">
        <v>529</v>
      </c>
      <c r="B278" s="1913"/>
      <c r="C278" s="1803"/>
      <c r="D278" s="1803"/>
      <c r="E278" s="1803"/>
      <c r="F278" s="1803"/>
      <c r="G278" s="1762">
        <f>(G349+G355)/1000</f>
        <v>-1031</v>
      </c>
      <c r="H278" s="1803">
        <f>(H349+H355)/1000</f>
        <v>-310</v>
      </c>
      <c r="I278" s="1803">
        <f>(I349+I355)/1000</f>
        <v>-487</v>
      </c>
      <c r="J278" s="1803">
        <f>(J349+J355)/1000</f>
        <v>-349</v>
      </c>
      <c r="K278" s="1803">
        <f>(K349+K355)/1000</f>
        <v>65</v>
      </c>
      <c r="L278" s="1762">
        <f>SUM(H278:K278)</f>
        <v>-1081</v>
      </c>
      <c r="M278" s="1803">
        <f>(M349+M355)/1000</f>
        <v>-307</v>
      </c>
      <c r="N278" s="1803">
        <f>(N349+N355)/1000</f>
        <v>-507</v>
      </c>
      <c r="O278" s="1803">
        <f>(O349+O355)/1000</f>
        <v>-245</v>
      </c>
      <c r="P278" s="1803">
        <f>(P349+P355)/1000</f>
        <v>-379</v>
      </c>
      <c r="Q278" s="1762">
        <f>SUM(M278:P278)</f>
        <v>-1438</v>
      </c>
      <c r="R278" s="1803">
        <v>-202</v>
      </c>
      <c r="S278" s="1803">
        <v>28</v>
      </c>
      <c r="T278" s="1803">
        <v>-198</v>
      </c>
      <c r="U278" s="1803">
        <v>-235</v>
      </c>
      <c r="V278" s="1762">
        <f>SUM(R278:U278)</f>
        <v>-607</v>
      </c>
      <c r="W278" s="1889">
        <v>-173</v>
      </c>
      <c r="X278" s="1889">
        <v>-286</v>
      </c>
      <c r="Y278" s="1889">
        <v>-402</v>
      </c>
      <c r="Z278" s="1803">
        <v>-423</v>
      </c>
      <c r="AA278" s="1762">
        <f>SUM(W278:Z278)</f>
        <v>-1284</v>
      </c>
      <c r="AB278" s="1889">
        <v>-94</v>
      </c>
      <c r="AC278" s="1889">
        <v>-289</v>
      </c>
      <c r="AD278" s="1889">
        <v>-315</v>
      </c>
      <c r="AE278" s="1803">
        <v>-1199</v>
      </c>
      <c r="AF278" s="1762">
        <f>SUM(AB278:AE278)</f>
        <v>-1897</v>
      </c>
      <c r="AG278" s="1803">
        <v>165</v>
      </c>
      <c r="AH278" s="1889">
        <v>375</v>
      </c>
      <c r="AI278" s="1889">
        <v>89</v>
      </c>
      <c r="AJ278" s="1803">
        <v>-188</v>
      </c>
      <c r="AK278" s="1762">
        <f>SUM(AG278:AJ278)</f>
        <v>441</v>
      </c>
      <c r="AL278" s="1803">
        <v>160</v>
      </c>
      <c r="AM278" s="1889">
        <v>130</v>
      </c>
      <c r="AN278" s="1889">
        <v>-41</v>
      </c>
      <c r="AO278" s="1890">
        <v>-141</v>
      </c>
      <c r="AP278" s="1801">
        <f>SUM(AL278:AO278)</f>
        <v>108</v>
      </c>
      <c r="AQ278" s="1890">
        <v>260</v>
      </c>
      <c r="AR278" s="1890">
        <v>365</v>
      </c>
      <c r="AS278" s="1890">
        <v>143</v>
      </c>
      <c r="AT278" s="1890">
        <v>-168</v>
      </c>
      <c r="AU278" s="1801">
        <f>SUM(AQ278:AT278)</f>
        <v>600</v>
      </c>
      <c r="AV278" s="1890">
        <v>382</v>
      </c>
      <c r="AW278" s="1890">
        <v>679</v>
      </c>
      <c r="AX278" s="1890">
        <v>225</v>
      </c>
      <c r="AY278" s="1890">
        <v>32</v>
      </c>
      <c r="AZ278" s="1801">
        <f>SUM(AV278:AY278)</f>
        <v>1318</v>
      </c>
      <c r="BA278" s="1890">
        <v>343</v>
      </c>
      <c r="BB278" s="1890">
        <v>517</v>
      </c>
      <c r="BC278" s="1890">
        <v>-228</v>
      </c>
      <c r="BD278" s="1890">
        <v>-251</v>
      </c>
      <c r="BE278" s="1801">
        <f>SUM(BA278:BD278)</f>
        <v>381</v>
      </c>
      <c r="BF278" s="1890">
        <v>23</v>
      </c>
      <c r="BG278" s="1890">
        <v>596</v>
      </c>
      <c r="BH278" s="1890">
        <v>342</v>
      </c>
      <c r="BI278" s="1890">
        <v>-110</v>
      </c>
      <c r="BJ278" s="1801">
        <f>SUM(BF278:BI278)</f>
        <v>851</v>
      </c>
      <c r="BK278" s="1890">
        <v>-15</v>
      </c>
      <c r="BL278" s="1891">
        <f>BL272*BL279</f>
        <v>-26.458199408242123</v>
      </c>
      <c r="BM278" s="1891">
        <f>BM272*BM279</f>
        <v>237.7596507940394</v>
      </c>
      <c r="BN278" s="1890">
        <f>BN272*BN279</f>
        <v>1057.7158790506962</v>
      </c>
      <c r="BO278" s="1801">
        <f>SUM(BK278:BN278)</f>
        <v>1254.0173304364935</v>
      </c>
      <c r="BP278" s="1891">
        <f>BP272*BP279</f>
        <v>387.09000000000003</v>
      </c>
      <c r="BQ278" s="1891">
        <f>BQ272*BQ279</f>
        <v>287.07146357942702</v>
      </c>
      <c r="BR278" s="1891">
        <f>BR272*BR279</f>
        <v>516.09847275725383</v>
      </c>
      <c r="BS278" s="1890">
        <f>BS272*BS279</f>
        <v>1163.487466955766</v>
      </c>
      <c r="BT278" s="1908">
        <f>SUM(BP278:BS278)</f>
        <v>2353.7474032924465</v>
      </c>
      <c r="BU278" s="1891">
        <f>BU272*BU279</f>
        <v>473.61599999999999</v>
      </c>
      <c r="BV278" s="1891">
        <f>BV272*BV279</f>
        <v>709.64065796834359</v>
      </c>
      <c r="BW278" s="1891">
        <f>BW272*BW279</f>
        <v>632.83503207139461</v>
      </c>
      <c r="BX278" s="1891">
        <f>BX272*BX279</f>
        <v>1355.1984700337046</v>
      </c>
      <c r="BY278" s="1908">
        <f>SUM(BU278:BX278)</f>
        <v>3171.2901600734426</v>
      </c>
      <c r="BZ278" s="1891">
        <f>BZ272*BZ279</f>
        <v>467.93260799999996</v>
      </c>
      <c r="CA278" s="1891">
        <f>CA272*CA279</f>
        <v>516.61839900095424</v>
      </c>
      <c r="CB278" s="1891">
        <f>CB272*CB279</f>
        <v>605.49655868591037</v>
      </c>
      <c r="CC278" s="1891">
        <f>CC272*CC279</f>
        <v>1296.6538961282486</v>
      </c>
      <c r="CD278" s="1908">
        <f>SUM(BZ278:CC278)</f>
        <v>2886.7014618151134</v>
      </c>
      <c r="CE278" s="1891">
        <f>CE272*CE279</f>
        <v>461.03675903999999</v>
      </c>
      <c r="CF278" s="1891">
        <f>CF272*CF279</f>
        <v>537.28313496099236</v>
      </c>
      <c r="CG278" s="1891">
        <f>CG272*CG279</f>
        <v>629.71642103334682</v>
      </c>
      <c r="CH278" s="1891">
        <f>CH272*CH279</f>
        <v>1348.5200519733787</v>
      </c>
      <c r="CI278" s="1908">
        <f>SUM(CE278:CH278)</f>
        <v>2976.5563670077181</v>
      </c>
      <c r="CJ278" s="1891">
        <f>CJ272*CJ279</f>
        <v>452.84054999040001</v>
      </c>
      <c r="CK278" s="1891">
        <f>CK272*CK279</f>
        <v>558.77446035943206</v>
      </c>
      <c r="CL278" s="1891">
        <f>CL272*CL279</f>
        <v>654.90507787468073</v>
      </c>
      <c r="CM278" s="1891">
        <f>CM272*CM279</f>
        <v>1402.4608540523138</v>
      </c>
      <c r="CN278" s="1908">
        <f>SUM(CJ278:CM278)</f>
        <v>3068.9809422768267</v>
      </c>
      <c r="CO278" s="1891">
        <f>CO272*CO279</f>
        <v>443.25098540236797</v>
      </c>
      <c r="CP278" s="1891">
        <f>CP272*CP279</f>
        <v>581.12543877380938</v>
      </c>
      <c r="CQ278" s="1891">
        <f>CQ272*CQ279</f>
        <v>681.101280989668</v>
      </c>
      <c r="CR278" s="1891">
        <f>CR272*CR279</f>
        <v>1458.5592882144067</v>
      </c>
      <c r="CS278" s="1908">
        <f>SUM(CO278:CR278)</f>
        <v>3164.0369933802522</v>
      </c>
      <c r="CT278" s="1891">
        <f>CT272*CT279</f>
        <v>432.16971076730874</v>
      </c>
      <c r="CU278" s="1891">
        <f>CU272*CU279</f>
        <v>604.37045632476179</v>
      </c>
      <c r="CV278" s="1891">
        <f>CV272*CV279</f>
        <v>708.34533222925472</v>
      </c>
      <c r="CW278" s="1891">
        <f>CW272*CW279</f>
        <v>1516.9016597429829</v>
      </c>
      <c r="CX278" s="1908">
        <f>SUM(CT278:CW278)</f>
        <v>3261.7871590643081</v>
      </c>
      <c r="CY278" s="1890"/>
      <c r="CZ278" s="1890"/>
      <c r="DA278" s="1890"/>
      <c r="DB278" s="1890"/>
      <c r="DC278" s="1890"/>
      <c r="DD278" s="1890"/>
      <c r="DE278" s="1890"/>
      <c r="DF278" s="1890"/>
      <c r="DG278" s="1890"/>
      <c r="DH278" s="1804"/>
      <c r="DI278" s="1801">
        <f>DI272-DI276</f>
        <v>140</v>
      </c>
      <c r="DJ278" s="1804">
        <f>DJ272-DJ276</f>
        <v>190.54180059175997</v>
      </c>
      <c r="DK278" s="1907">
        <f>DK272-DK276</f>
        <v>1969.6369934241629</v>
      </c>
      <c r="DL278" s="1907">
        <f>SUM(BU278:BV278,BR278:BS278)</f>
        <v>2862.8425976813633</v>
      </c>
      <c r="DM278" s="1908">
        <f>SUM(BW278:BX278,BZ278:CA278)</f>
        <v>2972.5845091060537</v>
      </c>
      <c r="DN278" s="1908">
        <f>SUM(CB278:CC278,CE278:CF278)</f>
        <v>2900.4703488151513</v>
      </c>
      <c r="DO278" s="1908"/>
      <c r="DP278" s="1908"/>
      <c r="DQ278" s="1908"/>
      <c r="DR278" s="1915"/>
    </row>
    <row r="279" spans="1:122" hidden="1" outlineLevel="2">
      <c r="A279" s="1824" t="s">
        <v>117</v>
      </c>
      <c r="B279" s="1916"/>
      <c r="C279" s="1917"/>
      <c r="D279" s="1917"/>
      <c r="E279" s="1917"/>
      <c r="F279" s="1917"/>
      <c r="G279" s="1918">
        <f>G278/G272</f>
        <v>-0.40194931773879145</v>
      </c>
      <c r="H279" s="1917">
        <f>H278/H272</f>
        <v>-0.6042884990253411</v>
      </c>
      <c r="I279" s="1917">
        <f>I278/I272</f>
        <v>-0.35677655677655679</v>
      </c>
      <c r="J279" s="1917">
        <f>J278/J272</f>
        <v>-0.69939879759519041</v>
      </c>
      <c r="K279" s="1917"/>
      <c r="L279" s="1918">
        <f t="shared" ref="L279:BK279" si="478">L278/L272</f>
        <v>-0.37224517906336091</v>
      </c>
      <c r="M279" s="1917">
        <f t="shared" si="478"/>
        <v>-0.48422712933753942</v>
      </c>
      <c r="N279" s="1917">
        <f t="shared" si="478"/>
        <v>-0.38120300751879699</v>
      </c>
      <c r="O279" s="1917">
        <f t="shared" si="478"/>
        <v>-0.41455160744500846</v>
      </c>
      <c r="P279" s="1919">
        <f t="shared" si="478"/>
        <v>-0.66725352112676062</v>
      </c>
      <c r="Q279" s="1920">
        <f t="shared" si="478"/>
        <v>-0.46045469100224146</v>
      </c>
      <c r="R279" s="1948">
        <f t="shared" si="478"/>
        <v>-0.30699088145896658</v>
      </c>
      <c r="S279" s="1948">
        <f t="shared" si="478"/>
        <v>1.9377162629757784E-2</v>
      </c>
      <c r="T279" s="1923">
        <f t="shared" si="478"/>
        <v>-0.3127962085308057</v>
      </c>
      <c r="U279" s="1923">
        <f t="shared" si="478"/>
        <v>-0.35232383808095952</v>
      </c>
      <c r="V279" s="1918">
        <f t="shared" si="478"/>
        <v>-0.17837202468410226</v>
      </c>
      <c r="W279" s="1948">
        <f t="shared" si="478"/>
        <v>-0.28547854785478549</v>
      </c>
      <c r="X279" s="1948">
        <f t="shared" si="478"/>
        <v>-0.16953171310017784</v>
      </c>
      <c r="Y279" s="1948">
        <f t="shared" si="478"/>
        <v>-0.34010152284263961</v>
      </c>
      <c r="Z279" s="1923">
        <f t="shared" si="478"/>
        <v>-0.33021077283372363</v>
      </c>
      <c r="AA279" s="1918">
        <f t="shared" si="478"/>
        <v>-0.26997476871320436</v>
      </c>
      <c r="AB279" s="1948">
        <f t="shared" si="478"/>
        <v>-9.1262135922330095E-2</v>
      </c>
      <c r="AC279" s="1948">
        <f t="shared" si="478"/>
        <v>-9.7503373819163297E-2</v>
      </c>
      <c r="AD279" s="1948">
        <f t="shared" si="478"/>
        <v>-0.33907427341227125</v>
      </c>
      <c r="AE279" s="1948">
        <f t="shared" si="478"/>
        <v>-1.0345125107851596</v>
      </c>
      <c r="AF279" s="1918">
        <f t="shared" si="478"/>
        <v>-0.31190397895429134</v>
      </c>
      <c r="AG279" s="1948">
        <f t="shared" si="478"/>
        <v>8.553654743390357E-2</v>
      </c>
      <c r="AH279" s="1948">
        <f t="shared" si="478"/>
        <v>0.12191157347204161</v>
      </c>
      <c r="AI279" s="1948">
        <f t="shared" si="478"/>
        <v>5.6472081218274114E-2</v>
      </c>
      <c r="AJ279" s="1948">
        <f t="shared" si="478"/>
        <v>-0.11936507936507937</v>
      </c>
      <c r="AK279" s="1918">
        <f t="shared" si="478"/>
        <v>5.4070622854340361E-2</v>
      </c>
      <c r="AL279" s="1948">
        <f t="shared" si="478"/>
        <v>8.4521922873745381E-2</v>
      </c>
      <c r="AM279" s="1948">
        <f t="shared" si="478"/>
        <v>3.9926289926289923E-2</v>
      </c>
      <c r="AN279" s="1948">
        <f t="shared" si="478"/>
        <v>-2.5168815224063844E-2</v>
      </c>
      <c r="AO279" s="1948">
        <f t="shared" si="478"/>
        <v>-0.11217183770883055</v>
      </c>
      <c r="AP279" s="1918">
        <f t="shared" si="478"/>
        <v>1.34411947728687E-2</v>
      </c>
      <c r="AQ279" s="1923">
        <f t="shared" si="478"/>
        <v>0.18413597733711048</v>
      </c>
      <c r="AR279" s="1923">
        <f t="shared" si="478"/>
        <v>0.15329693406131878</v>
      </c>
      <c r="AS279" s="1923">
        <f t="shared" si="478"/>
        <v>0.11946532999164577</v>
      </c>
      <c r="AT279" s="1923">
        <f t="shared" si="478"/>
        <v>-0.14570685169124023</v>
      </c>
      <c r="AU279" s="1918">
        <f t="shared" si="478"/>
        <v>9.767214715936838E-2</v>
      </c>
      <c r="AV279" s="1923">
        <f t="shared" si="478"/>
        <v>0.2128133704735376</v>
      </c>
      <c r="AW279" s="1923">
        <f t="shared" si="478"/>
        <v>0.1836127636560303</v>
      </c>
      <c r="AX279" s="1923">
        <f t="shared" si="478"/>
        <v>0.11627906976744186</v>
      </c>
      <c r="AY279" s="1923">
        <f t="shared" si="478"/>
        <v>2.1542438604049977E-2</v>
      </c>
      <c r="AZ279" s="1918">
        <f t="shared" si="478"/>
        <v>0.14786659247159345</v>
      </c>
      <c r="BA279" s="1923">
        <f t="shared" si="478"/>
        <v>0.17482161060142712</v>
      </c>
      <c r="BB279" s="1923">
        <f t="shared" si="478"/>
        <v>0.12199150542708825</v>
      </c>
      <c r="BC279" s="1923">
        <f t="shared" si="478"/>
        <v>-0.14091470951792337</v>
      </c>
      <c r="BD279" s="1923">
        <f t="shared" si="478"/>
        <v>-0.14093206064008984</v>
      </c>
      <c r="BE279" s="1918">
        <f t="shared" si="478"/>
        <v>3.9691634545265135E-2</v>
      </c>
      <c r="BF279" s="1923">
        <f t="shared" si="478"/>
        <v>1.1813045711350795E-2</v>
      </c>
      <c r="BG279" s="1923">
        <f t="shared" si="478"/>
        <v>0.15800636267232238</v>
      </c>
      <c r="BH279" s="1923">
        <f t="shared" si="478"/>
        <v>0.13512445673646781</v>
      </c>
      <c r="BI279" s="1923">
        <f t="shared" si="478"/>
        <v>-5.7441253263707574E-2</v>
      </c>
      <c r="BJ279" s="1918">
        <f>BJ278/BJ272</f>
        <v>8.3718642400393506E-2</v>
      </c>
      <c r="BK279" s="1923">
        <f t="shared" si="478"/>
        <v>-7.246376811594203E-3</v>
      </c>
      <c r="BL279" s="1949">
        <v>-5.0000000000000001E-3</v>
      </c>
      <c r="BM279" s="1949">
        <v>0.104</v>
      </c>
      <c r="BN279" s="1923">
        <v>0.21199999999999999</v>
      </c>
      <c r="BO279" s="1918">
        <f>BO278/BO272</f>
        <v>8.5674382814644748E-2</v>
      </c>
      <c r="BP279" s="1949">
        <v>0.17</v>
      </c>
      <c r="BQ279" s="1949">
        <v>0.05</v>
      </c>
      <c r="BR279" s="1949">
        <v>0.21</v>
      </c>
      <c r="BS279" s="1923">
        <v>0.22</v>
      </c>
      <c r="BT279" s="1922">
        <f>BT278/BT272</f>
        <v>0.14930568179364712</v>
      </c>
      <c r="BU279" s="1949">
        <v>0.2</v>
      </c>
      <c r="BV279" s="1949">
        <v>0.12</v>
      </c>
      <c r="BW279" s="1949">
        <v>0.25</v>
      </c>
      <c r="BX279" s="1949">
        <v>0.25</v>
      </c>
      <c r="BY279" s="1922">
        <f>BY278/BY272</f>
        <v>0.19535003074295013</v>
      </c>
      <c r="BZ279" s="1949">
        <f>BU279-1%</f>
        <v>0.19</v>
      </c>
      <c r="CA279" s="1949">
        <v>8.4000000000000005E-2</v>
      </c>
      <c r="CB279" s="1949">
        <v>0.23</v>
      </c>
      <c r="CC279" s="1949">
        <v>0.23</v>
      </c>
      <c r="CD279" s="1922">
        <f>CD278/CD272</f>
        <v>0.1709802850329781</v>
      </c>
      <c r="CE279" s="1949">
        <f>BZ279-1%</f>
        <v>0.18</v>
      </c>
      <c r="CF279" s="1949">
        <v>8.4000000000000005E-2</v>
      </c>
      <c r="CG279" s="1949">
        <v>0.23</v>
      </c>
      <c r="CH279" s="1949">
        <v>0.23</v>
      </c>
      <c r="CI279" s="1922">
        <f>CI278/CI272</f>
        <v>0.16952155852909032</v>
      </c>
      <c r="CJ279" s="1949">
        <f>CE279-1%</f>
        <v>0.16999999999999998</v>
      </c>
      <c r="CK279" s="1949">
        <v>8.4000000000000005E-2</v>
      </c>
      <c r="CL279" s="1949">
        <v>0.23</v>
      </c>
      <c r="CM279" s="1949">
        <v>0.23</v>
      </c>
      <c r="CN279" s="1922">
        <f>CN278/CN272</f>
        <v>0.1680628320252025</v>
      </c>
      <c r="CO279" s="1949">
        <f>CJ279-1%</f>
        <v>0.15999999999999998</v>
      </c>
      <c r="CP279" s="1949">
        <v>8.4000000000000005E-2</v>
      </c>
      <c r="CQ279" s="1949">
        <v>0.23</v>
      </c>
      <c r="CR279" s="1949">
        <v>0.23</v>
      </c>
      <c r="CS279" s="1922">
        <f>CS278/CS272</f>
        <v>0.16660410552131477</v>
      </c>
      <c r="CT279" s="1949">
        <f>CO279-1%</f>
        <v>0.14999999999999997</v>
      </c>
      <c r="CU279" s="1949">
        <v>8.4000000000000005E-2</v>
      </c>
      <c r="CV279" s="1949">
        <v>0.23</v>
      </c>
      <c r="CW279" s="1949">
        <v>0.23</v>
      </c>
      <c r="CX279" s="1922">
        <f>CX278/CX272</f>
        <v>0.16514537901742696</v>
      </c>
      <c r="CY279" s="1923"/>
      <c r="CZ279" s="1923"/>
      <c r="DA279" s="1923"/>
      <c r="DB279" s="1923"/>
      <c r="DC279" s="1923"/>
      <c r="DD279" s="1923"/>
      <c r="DE279" s="1923"/>
      <c r="DF279" s="1923"/>
      <c r="DG279" s="1923"/>
      <c r="DH279" s="1924"/>
      <c r="DI279" s="1918">
        <f>SUM(BC278:BD278,BF278:BG278)/SUM(BC272:BD272,BF272:BG272)</f>
        <v>1.5354244351831543E-2</v>
      </c>
      <c r="DJ279" s="1924">
        <f>SUM(BH278:BI278,BK278:BL278)/SUM(BH272:BI272,BK272:BL272)</f>
        <v>1.6137162252712348E-2</v>
      </c>
      <c r="DK279" s="1925">
        <f>SUM(BM278:BN278,BP278:BQ278)/SUM(BM272:BN272,BP272:BQ272)</f>
        <v>0.12878658486645153</v>
      </c>
      <c r="DL279" s="1925">
        <f>DL278/DL272</f>
        <v>0.17861571759520281</v>
      </c>
      <c r="DM279" s="1922">
        <f>DM278/DM272</f>
        <v>0.17944802121359615</v>
      </c>
      <c r="DN279" s="1922">
        <f>DN278/DN272</f>
        <v>0.16836024700480681</v>
      </c>
      <c r="DO279" s="1922"/>
      <c r="DP279" s="1922"/>
      <c r="DQ279" s="1922"/>
      <c r="DR279" s="1921"/>
    </row>
    <row r="280" spans="1:122" hidden="1" outlineLevel="2">
      <c r="A280" s="1824"/>
      <c r="B280" s="1916"/>
      <c r="C280" s="1917"/>
      <c r="D280" s="1917"/>
      <c r="E280" s="1917"/>
      <c r="F280" s="1917"/>
      <c r="G280" s="1918"/>
      <c r="H280" s="1917"/>
      <c r="I280" s="1917"/>
      <c r="J280" s="1917"/>
      <c r="K280" s="1917"/>
      <c r="L280" s="1918"/>
      <c r="M280" s="1917"/>
      <c r="N280" s="1917"/>
      <c r="O280" s="1917"/>
      <c r="P280" s="1919"/>
      <c r="Q280" s="1920"/>
      <c r="R280" s="1948"/>
      <c r="S280" s="1948"/>
      <c r="T280" s="1923"/>
      <c r="U280" s="1923"/>
      <c r="V280" s="1918"/>
      <c r="W280" s="1948"/>
      <c r="X280" s="1948"/>
      <c r="Y280" s="1948"/>
      <c r="Z280" s="1923"/>
      <c r="AA280" s="1918"/>
      <c r="AB280" s="1948"/>
      <c r="AC280" s="1951">
        <f>SUM(AB272:AC272,Y272:Z272)</f>
        <v>6457</v>
      </c>
      <c r="AD280" s="1948"/>
      <c r="AE280" s="1948"/>
      <c r="AF280" s="1918"/>
      <c r="AG280" s="1948"/>
      <c r="AH280" s="1948"/>
      <c r="AI280" s="1948"/>
      <c r="AJ280" s="1948"/>
      <c r="AK280" s="1918"/>
      <c r="AL280" s="1948"/>
      <c r="AM280" s="1948"/>
      <c r="AN280" s="1948"/>
      <c r="AO280" s="1948"/>
      <c r="AP280" s="1918"/>
      <c r="AQ280" s="1923"/>
      <c r="AR280" s="1923"/>
      <c r="AS280" s="1923"/>
      <c r="AT280" s="1923"/>
      <c r="AU280" s="1918"/>
      <c r="AV280" s="1923"/>
      <c r="AW280" s="1923"/>
      <c r="AX280" s="1923"/>
      <c r="AY280" s="1923"/>
      <c r="AZ280" s="1918"/>
      <c r="BA280" s="1923"/>
      <c r="BB280" s="1923"/>
      <c r="BC280" s="1923"/>
      <c r="BD280" s="1923"/>
      <c r="BE280" s="1918"/>
      <c r="BF280" s="1923"/>
      <c r="BG280" s="1923"/>
      <c r="BH280" s="1923"/>
      <c r="BI280" s="1923"/>
      <c r="BJ280" s="1918"/>
      <c r="BK280" s="1923"/>
      <c r="BL280" s="1949"/>
      <c r="BM280" s="1949"/>
      <c r="BN280" s="1923"/>
      <c r="BO280" s="1918"/>
      <c r="BP280" s="1949"/>
      <c r="BQ280" s="1949"/>
      <c r="BR280" s="1949"/>
      <c r="BS280" s="1923"/>
      <c r="BT280" s="1922"/>
      <c r="BU280" s="1949"/>
      <c r="BV280" s="1949"/>
      <c r="BW280" s="1949"/>
      <c r="BX280" s="1949"/>
      <c r="BY280" s="1922"/>
      <c r="BZ280" s="1949"/>
      <c r="CA280" s="1949"/>
      <c r="CB280" s="1949"/>
      <c r="CC280" s="1949"/>
      <c r="CD280" s="1922"/>
      <c r="CE280" s="1949"/>
      <c r="CF280" s="1949"/>
      <c r="CG280" s="1949"/>
      <c r="CH280" s="1949"/>
      <c r="CI280" s="1922"/>
      <c r="CJ280" s="1949"/>
      <c r="CK280" s="1949"/>
      <c r="CL280" s="1949"/>
      <c r="CM280" s="1949"/>
      <c r="CN280" s="1922"/>
      <c r="CO280" s="1949"/>
      <c r="CP280" s="1949"/>
      <c r="CQ280" s="1949"/>
      <c r="CR280" s="1949"/>
      <c r="CS280" s="1922"/>
      <c r="CT280" s="1949"/>
      <c r="CU280" s="1949"/>
      <c r="CV280" s="1949"/>
      <c r="CW280" s="1949"/>
      <c r="CX280" s="1922"/>
      <c r="CY280" s="1923"/>
      <c r="CZ280" s="1923"/>
      <c r="DA280" s="1923"/>
      <c r="DB280" s="1923"/>
      <c r="DC280" s="1923"/>
      <c r="DD280" s="1923"/>
      <c r="DE280" s="1923"/>
      <c r="DF280" s="1923"/>
      <c r="DG280" s="1923"/>
      <c r="DH280" s="1924"/>
      <c r="DI280" s="1918"/>
      <c r="DJ280" s="1924"/>
      <c r="DK280" s="1925"/>
      <c r="DL280" s="1925"/>
      <c r="DM280" s="1922"/>
      <c r="DN280" s="1922"/>
      <c r="DO280" s="1922"/>
      <c r="DP280" s="1922"/>
      <c r="DQ280" s="1922"/>
      <c r="DR280" s="1921"/>
    </row>
    <row r="281" spans="1:122" hidden="1" outlineLevel="3">
      <c r="A281" s="1960" t="s">
        <v>768</v>
      </c>
      <c r="B281" s="1895"/>
      <c r="C281" s="1785"/>
      <c r="D281" s="1785"/>
      <c r="E281" s="1785"/>
      <c r="F281" s="1785"/>
      <c r="G281" s="1774"/>
      <c r="H281" s="1785"/>
      <c r="I281" s="1785"/>
      <c r="J281" s="1785"/>
      <c r="K281" s="1785"/>
      <c r="L281" s="1774"/>
      <c r="M281" s="1785"/>
      <c r="N281" s="1785"/>
      <c r="O281" s="1785"/>
      <c r="P281" s="1785"/>
      <c r="Q281" s="1897"/>
      <c r="R281" s="1785"/>
      <c r="S281" s="1785"/>
      <c r="T281" s="1785"/>
      <c r="U281" s="1785"/>
      <c r="V281" s="1774"/>
      <c r="W281" s="1785"/>
      <c r="X281" s="1785"/>
      <c r="Y281" s="1785"/>
      <c r="Z281" s="1785"/>
      <c r="AA281" s="1974"/>
      <c r="AB281" s="1785"/>
      <c r="AC281" s="1951">
        <f>SUM(AB278:AC278,Y278:Z278)</f>
        <v>-1208</v>
      </c>
      <c r="AD281" s="1785"/>
      <c r="AE281" s="1785"/>
      <c r="AF281" s="1774"/>
      <c r="AG281" s="1785"/>
      <c r="AH281" s="1785"/>
      <c r="AI281" s="1785"/>
      <c r="AJ281" s="1785"/>
      <c r="AK281" s="1774"/>
      <c r="AL281" s="1785"/>
      <c r="AM281" s="1785"/>
      <c r="AN281" s="1785"/>
      <c r="AO281" s="1785"/>
      <c r="AP281" s="1774"/>
      <c r="AQ281" s="1785"/>
      <c r="AR281" s="1785"/>
      <c r="AS281" s="1785"/>
      <c r="AT281" s="1785"/>
      <c r="AU281" s="1801"/>
      <c r="AV281" s="1785"/>
      <c r="AW281" s="1785"/>
      <c r="AX281" s="1785"/>
      <c r="AY281" s="1785"/>
      <c r="AZ281" s="1801"/>
      <c r="BA281" s="1890"/>
      <c r="BB281" s="1891"/>
      <c r="BC281" s="1891"/>
      <c r="BD281" s="1891"/>
      <c r="BE281" s="1801"/>
      <c r="BF281" s="1890">
        <v>0</v>
      </c>
      <c r="BG281" s="1890">
        <v>-380</v>
      </c>
      <c r="BH281" s="1890">
        <f>-BG281</f>
        <v>380</v>
      </c>
      <c r="BI281" s="1890">
        <v>0</v>
      </c>
      <c r="BJ281" s="1801">
        <f>SUM(BF281:BI281)</f>
        <v>0</v>
      </c>
      <c r="BK281" s="1890">
        <v>0</v>
      </c>
      <c r="BL281" s="1891">
        <v>0</v>
      </c>
      <c r="BM281" s="1891">
        <v>0</v>
      </c>
      <c r="BN281" s="1890">
        <v>0</v>
      </c>
      <c r="BO281" s="1801"/>
      <c r="BP281" s="1891">
        <v>0</v>
      </c>
      <c r="BQ281" s="1891">
        <v>0</v>
      </c>
      <c r="BR281" s="1891">
        <v>0</v>
      </c>
      <c r="BS281" s="1890">
        <v>0</v>
      </c>
      <c r="BT281" s="1801"/>
      <c r="BU281" s="1891">
        <v>0</v>
      </c>
      <c r="BV281" s="1891">
        <v>0</v>
      </c>
      <c r="BW281" s="1891">
        <v>0</v>
      </c>
      <c r="BX281" s="1891">
        <v>0</v>
      </c>
      <c r="BY281" s="1801"/>
      <c r="BZ281" s="1891">
        <v>0</v>
      </c>
      <c r="CA281" s="1891">
        <v>0</v>
      </c>
      <c r="CB281" s="1891">
        <v>0</v>
      </c>
      <c r="CC281" s="1891">
        <v>0</v>
      </c>
      <c r="CD281" s="1801"/>
      <c r="CE281" s="1891">
        <v>0</v>
      </c>
      <c r="CF281" s="1891">
        <v>0</v>
      </c>
      <c r="CG281" s="1891">
        <v>0</v>
      </c>
      <c r="CH281" s="1891">
        <v>0</v>
      </c>
      <c r="CI281" s="1801"/>
      <c r="CJ281" s="1891">
        <v>0</v>
      </c>
      <c r="CK281" s="1891">
        <v>0</v>
      </c>
      <c r="CL281" s="1891">
        <v>0</v>
      </c>
      <c r="CM281" s="1891">
        <v>0</v>
      </c>
      <c r="CN281" s="1801"/>
      <c r="CO281" s="1891">
        <v>0</v>
      </c>
      <c r="CP281" s="1891">
        <v>0</v>
      </c>
      <c r="CQ281" s="1891">
        <v>0</v>
      </c>
      <c r="CR281" s="1891">
        <v>0</v>
      </c>
      <c r="CS281" s="1801"/>
      <c r="CT281" s="1891">
        <v>0</v>
      </c>
      <c r="CU281" s="1891">
        <v>0</v>
      </c>
      <c r="CV281" s="1891">
        <v>0</v>
      </c>
      <c r="CW281" s="1891">
        <v>0</v>
      </c>
      <c r="CX281" s="1801"/>
      <c r="CY281" s="1900"/>
      <c r="CZ281" s="1900"/>
      <c r="DA281" s="1900"/>
      <c r="DB281" s="1900"/>
      <c r="DC281" s="1900"/>
      <c r="DD281" s="1900"/>
      <c r="DE281" s="1900"/>
      <c r="DF281" s="1900"/>
      <c r="DG281" s="1900"/>
      <c r="DH281" s="1804"/>
      <c r="DI281" s="1801"/>
      <c r="DJ281" s="1804"/>
      <c r="DK281" s="1804"/>
      <c r="DL281" s="1804"/>
      <c r="DM281" s="1801"/>
      <c r="DN281" s="1801"/>
      <c r="DO281" s="1801"/>
      <c r="DP281" s="1801"/>
      <c r="DQ281" s="1801"/>
      <c r="DR281" s="1803"/>
    </row>
    <row r="282" spans="1:122" hidden="1" outlineLevel="3">
      <c r="A282" s="1960" t="s">
        <v>895</v>
      </c>
      <c r="B282" s="1916"/>
      <c r="C282" s="1917"/>
      <c r="D282" s="1917"/>
      <c r="E282" s="1917"/>
      <c r="F282" s="1917"/>
      <c r="G282" s="1918"/>
      <c r="H282" s="1917"/>
      <c r="I282" s="1917"/>
      <c r="J282" s="1917"/>
      <c r="K282" s="1917"/>
      <c r="L282" s="1918"/>
      <c r="M282" s="1917"/>
      <c r="N282" s="1917"/>
      <c r="O282" s="1917"/>
      <c r="P282" s="1919"/>
      <c r="Q282" s="1920"/>
      <c r="R282" s="1948"/>
      <c r="S282" s="1948"/>
      <c r="T282" s="1923"/>
      <c r="U282" s="1923"/>
      <c r="V282" s="1918"/>
      <c r="W282" s="1948"/>
      <c r="X282" s="1948"/>
      <c r="Y282" s="1948"/>
      <c r="Z282" s="1923"/>
      <c r="AA282" s="1918"/>
      <c r="AB282" s="1948"/>
      <c r="AC282" s="1948">
        <f>AC281/AC280</f>
        <v>-0.18708378503949202</v>
      </c>
      <c r="AD282" s="1948"/>
      <c r="AE282" s="1948"/>
      <c r="AF282" s="1918"/>
      <c r="AG282" s="1948"/>
      <c r="AH282" s="1948"/>
      <c r="AI282" s="1948"/>
      <c r="AJ282" s="1948"/>
      <c r="AK282" s="1918"/>
      <c r="AL282" s="1948"/>
      <c r="AM282" s="1948"/>
      <c r="AN282" s="1948"/>
      <c r="AO282" s="1948"/>
      <c r="AP282" s="1918"/>
      <c r="AQ282" s="1923"/>
      <c r="AR282" s="1923"/>
      <c r="AS282" s="1923"/>
      <c r="AT282" s="1923"/>
      <c r="AU282" s="1918"/>
      <c r="AV282" s="1923"/>
      <c r="AW282" s="1923"/>
      <c r="AX282" s="1923"/>
      <c r="AY282" s="1923"/>
      <c r="AZ282" s="1918"/>
      <c r="BA282" s="1923"/>
      <c r="BB282" s="1923"/>
      <c r="BC282" s="1923"/>
      <c r="BD282" s="1923"/>
      <c r="BE282" s="1762">
        <f>BE272</f>
        <v>9599</v>
      </c>
      <c r="BF282" s="1952">
        <f>BF272-BF281</f>
        <v>1947</v>
      </c>
      <c r="BG282" s="1952">
        <f>BG272-BG281</f>
        <v>4152</v>
      </c>
      <c r="BH282" s="1952">
        <f>BH272-BH281</f>
        <v>2151</v>
      </c>
      <c r="BI282" s="1952">
        <f>BI272-BI281</f>
        <v>1915</v>
      </c>
      <c r="BJ282" s="1762">
        <f>SUM(BF282:BI282)</f>
        <v>10165</v>
      </c>
      <c r="BK282" s="1952">
        <f>BK272-BK281</f>
        <v>2070</v>
      </c>
      <c r="BL282" s="1891">
        <f>BL272-BL281</f>
        <v>5291.6398816484243</v>
      </c>
      <c r="BM282" s="1891">
        <f>BM272-BM281</f>
        <v>2286.1504884042251</v>
      </c>
      <c r="BN282" s="1952">
        <f>BN272-BN281</f>
        <v>4989.2258445787556</v>
      </c>
      <c r="BO282" s="1762">
        <f>SUM(BK282:BN282)</f>
        <v>14637.016214631405</v>
      </c>
      <c r="BP282" s="1891">
        <f>BP272-BP281</f>
        <v>2277</v>
      </c>
      <c r="BQ282" s="1891">
        <f>BQ272-BQ281</f>
        <v>5741.4292715885404</v>
      </c>
      <c r="BR282" s="1891">
        <f>BR272-BR281</f>
        <v>2457.611775034542</v>
      </c>
      <c r="BS282" s="1952">
        <f>BS272-BS281</f>
        <v>5288.5793952534814</v>
      </c>
      <c r="BT282" s="1892">
        <f>SUM(BP282:BS282)</f>
        <v>15764.620441876563</v>
      </c>
      <c r="BU282" s="1891">
        <f>BU272-BU281</f>
        <v>2368.08</v>
      </c>
      <c r="BV282" s="1891">
        <f>BV272-BV281</f>
        <v>5913.6721497361968</v>
      </c>
      <c r="BW282" s="1891">
        <f>BW272-BW281</f>
        <v>2531.3401282855784</v>
      </c>
      <c r="BX282" s="1891">
        <f>BX272-BX281</f>
        <v>5420.7938801348182</v>
      </c>
      <c r="BY282" s="1892">
        <f>SUM(BU282:BX282)</f>
        <v>16233.886158156591</v>
      </c>
      <c r="BZ282" s="1891">
        <f>BZ272-BZ281</f>
        <v>2462.8031999999998</v>
      </c>
      <c r="CA282" s="1891">
        <f>CA272-CA281</f>
        <v>6150.219035725645</v>
      </c>
      <c r="CB282" s="1891">
        <f>CB272-CB281</f>
        <v>2632.5937334170017</v>
      </c>
      <c r="CC282" s="1891">
        <f>CC272-CC281</f>
        <v>5637.6256353402114</v>
      </c>
      <c r="CD282" s="1892">
        <f>SUM(BZ282:CC282)</f>
        <v>16883.241604482857</v>
      </c>
      <c r="CE282" s="1891">
        <f>CE272-CE281</f>
        <v>2561.3153280000001</v>
      </c>
      <c r="CF282" s="1891">
        <f>CF272-CF281</f>
        <v>6396.227797154671</v>
      </c>
      <c r="CG282" s="1891">
        <f>CG272-CG281</f>
        <v>2737.8974827536817</v>
      </c>
      <c r="CH282" s="1891">
        <f>CH272-CH281</f>
        <v>5863.1306607538199</v>
      </c>
      <c r="CI282" s="1892">
        <f>SUM(CE282:CH282)</f>
        <v>17558.571268662174</v>
      </c>
      <c r="CJ282" s="1891">
        <f>CJ272-CJ281</f>
        <v>2663.7679411200002</v>
      </c>
      <c r="CK282" s="1891">
        <f>CK272-CK281</f>
        <v>6652.0769090408576</v>
      </c>
      <c r="CL282" s="1891">
        <f>CL272-CL281</f>
        <v>2847.413382063829</v>
      </c>
      <c r="CM282" s="1891">
        <f>CM272-CM281</f>
        <v>6097.6558871839734</v>
      </c>
      <c r="CN282" s="1892">
        <f>SUM(CJ282:CM282)</f>
        <v>18260.914119408662</v>
      </c>
      <c r="CO282" s="1891">
        <f>CO272-CO281</f>
        <v>2770.3186587648001</v>
      </c>
      <c r="CP282" s="1891">
        <f>CP272-CP281</f>
        <v>6918.1599854024917</v>
      </c>
      <c r="CQ282" s="1891">
        <f>CQ272-CQ281</f>
        <v>2961.3099173463825</v>
      </c>
      <c r="CR282" s="1891">
        <f>CR272-CR281</f>
        <v>6341.5621226713329</v>
      </c>
      <c r="CS282" s="1892">
        <f>SUM(CO282:CR282)</f>
        <v>18991.350684185007</v>
      </c>
      <c r="CT282" s="1891">
        <f>CT272-CT281</f>
        <v>2881.1314051153922</v>
      </c>
      <c r="CU282" s="1891">
        <f>CU272-CU281</f>
        <v>7194.886384818592</v>
      </c>
      <c r="CV282" s="1891">
        <f>CV272-CV281</f>
        <v>3079.7623140402379</v>
      </c>
      <c r="CW282" s="1891">
        <f>CW272-CW281</f>
        <v>6595.2246075781868</v>
      </c>
      <c r="CX282" s="1892">
        <f>SUM(CT282:CW282)</f>
        <v>19751.004711552407</v>
      </c>
      <c r="CY282" s="1923"/>
      <c r="CZ282" s="1923"/>
      <c r="DA282" s="1923"/>
      <c r="DB282" s="1923"/>
      <c r="DC282" s="1923"/>
      <c r="DD282" s="1923"/>
      <c r="DE282" s="1923"/>
      <c r="DF282" s="1923"/>
      <c r="DG282" s="1923"/>
      <c r="DH282" s="1924"/>
      <c r="DI282" s="1918"/>
      <c r="DJ282" s="1924"/>
      <c r="DK282" s="1925"/>
      <c r="DL282" s="1925"/>
      <c r="DM282" s="1922"/>
      <c r="DN282" s="1922"/>
      <c r="DO282" s="1922"/>
      <c r="DP282" s="1922"/>
      <c r="DQ282" s="1922"/>
      <c r="DR282" s="1921"/>
    </row>
    <row r="283" spans="1:122" hidden="1" outlineLevel="3">
      <c r="A283" s="1960" t="s">
        <v>163</v>
      </c>
      <c r="B283" s="1895"/>
      <c r="C283" s="1785"/>
      <c r="D283" s="1785"/>
      <c r="E283" s="1785"/>
      <c r="F283" s="1785"/>
      <c r="G283" s="1774"/>
      <c r="H283" s="1785"/>
      <c r="I283" s="1785"/>
      <c r="J283" s="1785"/>
      <c r="K283" s="1785"/>
      <c r="L283" s="1774"/>
      <c r="M283" s="1785"/>
      <c r="N283" s="1785"/>
      <c r="O283" s="1785"/>
      <c r="P283" s="1785"/>
      <c r="Q283" s="1897"/>
      <c r="R283" s="1785"/>
      <c r="S283" s="1785"/>
      <c r="T283" s="1785"/>
      <c r="U283" s="1785"/>
      <c r="V283" s="1774"/>
      <c r="W283" s="1785"/>
      <c r="X283" s="1785"/>
      <c r="Y283" s="1785"/>
      <c r="Z283" s="1785"/>
      <c r="AA283" s="1774"/>
      <c r="AB283" s="1785"/>
      <c r="AC283" s="1785"/>
      <c r="AD283" s="1785"/>
      <c r="AE283" s="1785"/>
      <c r="AF283" s="1774"/>
      <c r="AG283" s="1785"/>
      <c r="AH283" s="1785"/>
      <c r="AI283" s="1785"/>
      <c r="AJ283" s="1785"/>
      <c r="AK283" s="1774"/>
      <c r="AL283" s="1785"/>
      <c r="AM283" s="1785"/>
      <c r="AN283" s="1785"/>
      <c r="AO283" s="1785"/>
      <c r="AP283" s="1774"/>
      <c r="AQ283" s="1785"/>
      <c r="AR283" s="1785"/>
      <c r="AS283" s="1785"/>
      <c r="AT283" s="1785"/>
      <c r="AU283" s="1801"/>
      <c r="AV283" s="1785"/>
      <c r="AW283" s="1785"/>
      <c r="AX283" s="1785"/>
      <c r="AY283" s="1785"/>
      <c r="AZ283" s="1801"/>
      <c r="BA283" s="1890"/>
      <c r="BB283" s="1891"/>
      <c r="BC283" s="1891"/>
      <c r="BD283" s="1891"/>
      <c r="BE283" s="1801"/>
      <c r="BF283" s="1786">
        <f>BF282/BA272-1</f>
        <v>-7.6452599388379117E-3</v>
      </c>
      <c r="BG283" s="1786">
        <f>BG282/BB272-1</f>
        <v>-2.0292590844738112E-2</v>
      </c>
      <c r="BH283" s="1786">
        <f>BH282/BC272-1</f>
        <v>0.32941903584672438</v>
      </c>
      <c r="BI283" s="1786">
        <f>BI282/BD272-1</f>
        <v>7.5238629983155558E-2</v>
      </c>
      <c r="BJ283" s="1801"/>
      <c r="BK283" s="1786">
        <f t="shared" ref="BK283:CD283" si="479">BK282/BF282-1</f>
        <v>6.3174114021571581E-2</v>
      </c>
      <c r="BL283" s="1898">
        <f>BL282/BG282-1</f>
        <v>0.27447974028141231</v>
      </c>
      <c r="BM283" s="1898">
        <f t="shared" si="479"/>
        <v>6.2831468342271046E-2</v>
      </c>
      <c r="BN283" s="1786">
        <f t="shared" si="479"/>
        <v>1.6053398666207603</v>
      </c>
      <c r="BO283" s="1801">
        <f t="shared" si="479"/>
        <v>0.43994256907342888</v>
      </c>
      <c r="BP283" s="1898">
        <f t="shared" si="479"/>
        <v>0.10000000000000009</v>
      </c>
      <c r="BQ283" s="1898">
        <f t="shared" si="479"/>
        <v>8.4999999999999964E-2</v>
      </c>
      <c r="BR283" s="1898">
        <f t="shared" si="479"/>
        <v>7.4999999999999956E-2</v>
      </c>
      <c r="BS283" s="1786">
        <f t="shared" si="479"/>
        <v>6.0000000000000053E-2</v>
      </c>
      <c r="BT283" s="1817">
        <f t="shared" si="479"/>
        <v>7.7037847790179192E-2</v>
      </c>
      <c r="BU283" s="1898">
        <f t="shared" si="479"/>
        <v>4.0000000000000036E-2</v>
      </c>
      <c r="BV283" s="1898">
        <f t="shared" si="479"/>
        <v>3.0000000000000027E-2</v>
      </c>
      <c r="BW283" s="1898">
        <f t="shared" si="479"/>
        <v>3.0000000000000027E-2</v>
      </c>
      <c r="BX283" s="1898">
        <f t="shared" si="479"/>
        <v>2.4999999999999911E-2</v>
      </c>
      <c r="BY283" s="1817">
        <f t="shared" si="479"/>
        <v>2.9767016466409002E-2</v>
      </c>
      <c r="BZ283" s="1898">
        <f t="shared" si="479"/>
        <v>4.0000000000000036E-2</v>
      </c>
      <c r="CA283" s="1898">
        <f t="shared" si="479"/>
        <v>4.0000000000000036E-2</v>
      </c>
      <c r="CB283" s="1898">
        <f t="shared" si="479"/>
        <v>4.0000000000000036E-2</v>
      </c>
      <c r="CC283" s="1898">
        <f t="shared" si="479"/>
        <v>4.0000000000000036E-2</v>
      </c>
      <c r="CD283" s="1817">
        <f t="shared" si="479"/>
        <v>4.0000000000000258E-2</v>
      </c>
      <c r="CE283" s="1898">
        <f t="shared" ref="CE283:CI283" si="480">CE282/BZ282-1</f>
        <v>4.0000000000000036E-2</v>
      </c>
      <c r="CF283" s="1898">
        <f t="shared" si="480"/>
        <v>4.0000000000000036E-2</v>
      </c>
      <c r="CG283" s="1898">
        <f t="shared" si="480"/>
        <v>4.0000000000000036E-2</v>
      </c>
      <c r="CH283" s="1898">
        <f t="shared" si="480"/>
        <v>4.0000000000000036E-2</v>
      </c>
      <c r="CI283" s="1817">
        <f t="shared" si="480"/>
        <v>4.0000000000000036E-2</v>
      </c>
      <c r="CJ283" s="1898">
        <f t="shared" ref="CJ283:CS283" si="481">CJ282/CE282-1</f>
        <v>4.0000000000000036E-2</v>
      </c>
      <c r="CK283" s="1898">
        <f t="shared" si="481"/>
        <v>4.0000000000000036E-2</v>
      </c>
      <c r="CL283" s="1898">
        <f t="shared" si="481"/>
        <v>4.0000000000000036E-2</v>
      </c>
      <c r="CM283" s="1898">
        <f t="shared" si="481"/>
        <v>4.0000000000000036E-2</v>
      </c>
      <c r="CN283" s="1817">
        <f t="shared" si="481"/>
        <v>4.0000000000000036E-2</v>
      </c>
      <c r="CO283" s="1898">
        <f t="shared" si="481"/>
        <v>4.0000000000000036E-2</v>
      </c>
      <c r="CP283" s="1898">
        <f t="shared" si="481"/>
        <v>4.0000000000000036E-2</v>
      </c>
      <c r="CQ283" s="1898">
        <f t="shared" si="481"/>
        <v>4.0000000000000036E-2</v>
      </c>
      <c r="CR283" s="1898">
        <f t="shared" si="481"/>
        <v>4.0000000000000036E-2</v>
      </c>
      <c r="CS283" s="1817">
        <f t="shared" si="481"/>
        <v>3.9999999999999813E-2</v>
      </c>
      <c r="CT283" s="1898">
        <f t="shared" ref="CT283" si="482">CT282/CO282-1</f>
        <v>4.0000000000000036E-2</v>
      </c>
      <c r="CU283" s="1898">
        <f t="shared" ref="CU283" si="483">CU282/CP282-1</f>
        <v>4.0000000000000036E-2</v>
      </c>
      <c r="CV283" s="1898">
        <f t="shared" ref="CV283" si="484">CV282/CQ282-1</f>
        <v>4.0000000000000036E-2</v>
      </c>
      <c r="CW283" s="1898">
        <f t="shared" ref="CW283" si="485">CW282/CR282-1</f>
        <v>4.0000000000000036E-2</v>
      </c>
      <c r="CX283" s="1817">
        <f t="shared" ref="CX283" si="486">CX282/CS282-1</f>
        <v>4.0000000000000036E-2</v>
      </c>
      <c r="CY283" s="1900"/>
      <c r="CZ283" s="1900"/>
      <c r="DA283" s="1900"/>
      <c r="DB283" s="1900"/>
      <c r="DC283" s="1900"/>
      <c r="DD283" s="1900"/>
      <c r="DE283" s="1900"/>
      <c r="DF283" s="1900"/>
      <c r="DG283" s="1900"/>
      <c r="DH283" s="1804"/>
      <c r="DI283" s="1801"/>
      <c r="DJ283" s="1804"/>
      <c r="DK283" s="1804"/>
      <c r="DL283" s="1804"/>
      <c r="DM283" s="1801"/>
      <c r="DN283" s="1801"/>
      <c r="DO283" s="1801"/>
      <c r="DP283" s="1801"/>
      <c r="DQ283" s="1801"/>
      <c r="DR283" s="1803"/>
    </row>
    <row r="284" spans="1:122" hidden="1" outlineLevel="3">
      <c r="A284" s="1824"/>
      <c r="B284" s="1916"/>
      <c r="C284" s="1917"/>
      <c r="D284" s="1917"/>
      <c r="E284" s="1917"/>
      <c r="F284" s="1917"/>
      <c r="G284" s="1918"/>
      <c r="H284" s="1917"/>
      <c r="I284" s="1917"/>
      <c r="J284" s="1917"/>
      <c r="K284" s="1917"/>
      <c r="L284" s="1918"/>
      <c r="M284" s="1917"/>
      <c r="N284" s="1917"/>
      <c r="O284" s="1917"/>
      <c r="P284" s="1919"/>
      <c r="Q284" s="1920"/>
      <c r="R284" s="1948"/>
      <c r="S284" s="1948"/>
      <c r="T284" s="1923"/>
      <c r="U284" s="1923"/>
      <c r="V284" s="1918"/>
      <c r="W284" s="1948"/>
      <c r="X284" s="1948"/>
      <c r="Y284" s="1948"/>
      <c r="Z284" s="1923"/>
      <c r="AA284" s="1918"/>
      <c r="AB284" s="1948"/>
      <c r="AC284" s="1948"/>
      <c r="AD284" s="1948"/>
      <c r="AE284" s="1948"/>
      <c r="AF284" s="1918"/>
      <c r="AG284" s="1948"/>
      <c r="AH284" s="1948"/>
      <c r="AI284" s="1948"/>
      <c r="AJ284" s="1948"/>
      <c r="AK284" s="1918"/>
      <c r="AL284" s="1948"/>
      <c r="AM284" s="1948"/>
      <c r="AN284" s="1948"/>
      <c r="AO284" s="1948"/>
      <c r="AP284" s="1918"/>
      <c r="AQ284" s="1923"/>
      <c r="AR284" s="1923"/>
      <c r="AS284" s="1923"/>
      <c r="AT284" s="1923"/>
      <c r="AU284" s="1918"/>
      <c r="AV284" s="1923"/>
      <c r="AW284" s="1923"/>
      <c r="AX284" s="1923"/>
      <c r="AY284" s="1923"/>
      <c r="AZ284" s="1918"/>
      <c r="BA284" s="1923"/>
      <c r="BB284" s="1923"/>
      <c r="BC284" s="1923"/>
      <c r="BD284" s="1923"/>
      <c r="BE284" s="1918"/>
      <c r="BF284" s="1923"/>
      <c r="BG284" s="1923"/>
      <c r="BH284" s="1923"/>
      <c r="BI284" s="1923"/>
      <c r="BJ284" s="1918"/>
      <c r="BK284" s="1923"/>
      <c r="BL284" s="1949"/>
      <c r="BM284" s="1949"/>
      <c r="BN284" s="1923"/>
      <c r="BO284" s="1918"/>
      <c r="BP284" s="1949"/>
      <c r="BQ284" s="1949"/>
      <c r="BR284" s="1949"/>
      <c r="BS284" s="1923"/>
      <c r="BT284" s="1922"/>
      <c r="BU284" s="1949"/>
      <c r="BV284" s="1949"/>
      <c r="BW284" s="1949"/>
      <c r="BX284" s="1949"/>
      <c r="BY284" s="1922"/>
      <c r="BZ284" s="1949"/>
      <c r="CA284" s="1949"/>
      <c r="CB284" s="1949"/>
      <c r="CC284" s="1949"/>
      <c r="CD284" s="1922"/>
      <c r="CE284" s="1949"/>
      <c r="CF284" s="1949"/>
      <c r="CG284" s="1949"/>
      <c r="CH284" s="1949"/>
      <c r="CI284" s="1922"/>
      <c r="CJ284" s="1949"/>
      <c r="CK284" s="1949"/>
      <c r="CL284" s="1949"/>
      <c r="CM284" s="1949"/>
      <c r="CN284" s="1922"/>
      <c r="CO284" s="1949"/>
      <c r="CP284" s="1949"/>
      <c r="CQ284" s="1949"/>
      <c r="CR284" s="1949"/>
      <c r="CS284" s="1922"/>
      <c r="CT284" s="1949"/>
      <c r="CU284" s="1949"/>
      <c r="CV284" s="1949"/>
      <c r="CW284" s="1949"/>
      <c r="CX284" s="1922"/>
      <c r="CY284" s="1923"/>
      <c r="CZ284" s="1923"/>
      <c r="DA284" s="1923"/>
      <c r="DB284" s="1923"/>
      <c r="DC284" s="1923"/>
      <c r="DD284" s="1923"/>
      <c r="DE284" s="1923"/>
      <c r="DF284" s="1923"/>
      <c r="DG284" s="1923"/>
      <c r="DH284" s="1924"/>
      <c r="DI284" s="1918"/>
      <c r="DJ284" s="1924"/>
      <c r="DK284" s="1925"/>
      <c r="DL284" s="1925"/>
      <c r="DM284" s="1922"/>
      <c r="DN284" s="1922"/>
      <c r="DO284" s="1922"/>
      <c r="DP284" s="1922"/>
      <c r="DQ284" s="1922"/>
      <c r="DR284" s="1921"/>
    </row>
    <row r="285" spans="1:122" hidden="1" outlineLevel="3">
      <c r="A285" s="1885" t="s">
        <v>480</v>
      </c>
      <c r="B285" s="1886"/>
      <c r="C285" s="1803"/>
      <c r="D285" s="1803"/>
      <c r="E285" s="1803"/>
      <c r="F285" s="1803"/>
      <c r="G285" s="1762"/>
      <c r="H285" s="1803"/>
      <c r="I285" s="1803"/>
      <c r="J285" s="1803"/>
      <c r="K285" s="1803"/>
      <c r="L285" s="1762"/>
      <c r="M285" s="1803"/>
      <c r="N285" s="1803"/>
      <c r="O285" s="1803"/>
      <c r="P285" s="1803"/>
      <c r="Q285" s="1762"/>
      <c r="R285" s="1803"/>
      <c r="S285" s="1803"/>
      <c r="T285" s="1803"/>
      <c r="U285" s="1803"/>
      <c r="V285" s="1762"/>
      <c r="W285" s="1889"/>
      <c r="X285" s="1889"/>
      <c r="Y285" s="1889"/>
      <c r="Z285" s="1803"/>
      <c r="AA285" s="1762"/>
      <c r="AB285" s="1889"/>
      <c r="AC285" s="1889"/>
      <c r="AD285" s="1889"/>
      <c r="AE285" s="1803"/>
      <c r="AF285" s="1762"/>
      <c r="AG285" s="1803"/>
      <c r="AH285" s="1889"/>
      <c r="AI285" s="1889"/>
      <c r="AJ285" s="1803"/>
      <c r="AK285" s="1762"/>
      <c r="AL285" s="1803"/>
      <c r="AM285" s="1889"/>
      <c r="AN285" s="1889"/>
      <c r="AO285" s="1890"/>
      <c r="AP285" s="1762"/>
      <c r="AQ285" s="1890"/>
      <c r="AR285" s="1890"/>
      <c r="AS285" s="1890"/>
      <c r="AT285" s="1890"/>
      <c r="AU285" s="1762"/>
      <c r="AV285" s="1890"/>
      <c r="AW285" s="1890"/>
      <c r="AX285" s="1890"/>
      <c r="AY285" s="1890"/>
      <c r="AZ285" s="1762"/>
      <c r="BA285" s="1890"/>
      <c r="BB285" s="1890">
        <f>0.25*550</f>
        <v>137.5</v>
      </c>
      <c r="BC285" s="1890">
        <v>200</v>
      </c>
      <c r="BD285" s="1890">
        <f>550-BC285-BB285</f>
        <v>212.5</v>
      </c>
      <c r="BE285" s="1762">
        <f>SUM(BB285:BD285)</f>
        <v>550</v>
      </c>
      <c r="BF285" s="1890">
        <v>200</v>
      </c>
      <c r="BG285" s="1890">
        <f>BB285*1.5</f>
        <v>206.25</v>
      </c>
      <c r="BH285" s="1890">
        <f>BC285*1.25</f>
        <v>250</v>
      </c>
      <c r="BI285" s="1890">
        <f>BD285*1.25</f>
        <v>265.625</v>
      </c>
      <c r="BJ285" s="1762">
        <f>SUM(BF285:BI285)</f>
        <v>921.875</v>
      </c>
      <c r="BK285" s="1890"/>
      <c r="BL285" s="1891"/>
      <c r="BM285" s="1891"/>
      <c r="BN285" s="1890"/>
      <c r="BO285" s="1762"/>
      <c r="BP285" s="1891"/>
      <c r="BQ285" s="1891"/>
      <c r="BR285" s="1891"/>
      <c r="BS285" s="1890"/>
      <c r="BT285" s="1892"/>
      <c r="BU285" s="1891"/>
      <c r="BV285" s="1891"/>
      <c r="BW285" s="1891"/>
      <c r="BX285" s="1891"/>
      <c r="BY285" s="1892"/>
      <c r="BZ285" s="1891"/>
      <c r="CA285" s="1891"/>
      <c r="CB285" s="1891"/>
      <c r="CC285" s="1891"/>
      <c r="CD285" s="1892"/>
      <c r="CE285" s="1891"/>
      <c r="CF285" s="1891"/>
      <c r="CG285" s="1891"/>
      <c r="CH285" s="1891"/>
      <c r="CI285" s="1892"/>
      <c r="CJ285" s="1891"/>
      <c r="CK285" s="1891"/>
      <c r="CL285" s="1891"/>
      <c r="CM285" s="1891"/>
      <c r="CN285" s="1892"/>
      <c r="CO285" s="1891"/>
      <c r="CP285" s="1891"/>
      <c r="CQ285" s="1891"/>
      <c r="CR285" s="1891"/>
      <c r="CS285" s="1892"/>
      <c r="CT285" s="1891"/>
      <c r="CU285" s="1891"/>
      <c r="CV285" s="1891"/>
      <c r="CW285" s="1891"/>
      <c r="CX285" s="1892"/>
      <c r="CY285" s="1893"/>
      <c r="CZ285" s="1893"/>
      <c r="DA285" s="1893"/>
      <c r="DB285" s="1893"/>
      <c r="DC285" s="1893"/>
      <c r="DD285" s="1893"/>
      <c r="DE285" s="1893"/>
      <c r="DF285" s="1893"/>
      <c r="DG285" s="1893"/>
      <c r="DH285" s="1766"/>
      <c r="DI285" s="1762"/>
      <c r="DJ285" s="1766"/>
      <c r="DK285" s="1894"/>
      <c r="DL285" s="1894"/>
      <c r="DM285" s="1892"/>
      <c r="DN285" s="1892"/>
      <c r="DO285" s="1892"/>
      <c r="DP285" s="1892"/>
      <c r="DQ285" s="1892"/>
      <c r="DR285" s="1993"/>
    </row>
    <row r="286" spans="1:122" hidden="1" outlineLevel="3">
      <c r="A286" s="1945" t="s">
        <v>163</v>
      </c>
      <c r="B286" s="1916"/>
      <c r="C286" s="1917"/>
      <c r="D286" s="1917"/>
      <c r="E286" s="1917"/>
      <c r="F286" s="1917"/>
      <c r="G286" s="1918"/>
      <c r="H286" s="1917"/>
      <c r="I286" s="1917"/>
      <c r="J286" s="1917"/>
      <c r="K286" s="1917"/>
      <c r="L286" s="1918"/>
      <c r="M286" s="1917"/>
      <c r="N286" s="1917"/>
      <c r="O286" s="1917"/>
      <c r="P286" s="1919"/>
      <c r="Q286" s="1920"/>
      <c r="R286" s="1919"/>
      <c r="S286" s="1948"/>
      <c r="T286" s="1923"/>
      <c r="U286" s="1923"/>
      <c r="V286" s="1918"/>
      <c r="W286" s="1919"/>
      <c r="X286" s="1948"/>
      <c r="Y286" s="1948"/>
      <c r="Z286" s="1923"/>
      <c r="AA286" s="1918"/>
      <c r="AB286" s="1919"/>
      <c r="AC286" s="1919"/>
      <c r="AD286" s="1948"/>
      <c r="AE286" s="1948"/>
      <c r="AF286" s="1918"/>
      <c r="AG286" s="1948"/>
      <c r="AH286" s="1948"/>
      <c r="AI286" s="1948"/>
      <c r="AJ286" s="1948"/>
      <c r="AK286" s="1918"/>
      <c r="AL286" s="1948"/>
      <c r="AM286" s="1948"/>
      <c r="AN286" s="1948"/>
      <c r="AO286" s="1948"/>
      <c r="AP286" s="1918"/>
      <c r="AQ286" s="1923"/>
      <c r="AR286" s="1923"/>
      <c r="AS286" s="1923"/>
      <c r="AT286" s="1923"/>
      <c r="AU286" s="1762"/>
      <c r="AV286" s="1923"/>
      <c r="AW286" s="1923"/>
      <c r="AX286" s="1923"/>
      <c r="AY286" s="1923"/>
      <c r="AZ286" s="1762"/>
      <c r="BA286" s="1923"/>
      <c r="BB286" s="1923"/>
      <c r="BC286" s="1923"/>
      <c r="BD286" s="1923"/>
      <c r="BE286" s="1762"/>
      <c r="BF286" s="1923"/>
      <c r="BG286" s="1923"/>
      <c r="BH286" s="1923"/>
      <c r="BI286" s="1923"/>
      <c r="BJ286" s="1762"/>
      <c r="BK286" s="1923"/>
      <c r="BL286" s="1949"/>
      <c r="BM286" s="1949"/>
      <c r="BN286" s="1923"/>
      <c r="BO286" s="1762"/>
      <c r="BP286" s="1949"/>
      <c r="BQ286" s="1949"/>
      <c r="BR286" s="1949"/>
      <c r="BS286" s="1923"/>
      <c r="BT286" s="1922"/>
      <c r="BU286" s="1949"/>
      <c r="BV286" s="1949"/>
      <c r="BW286" s="1949"/>
      <c r="BX286" s="1949"/>
      <c r="BY286" s="1922"/>
      <c r="BZ286" s="1949"/>
      <c r="CA286" s="1949"/>
      <c r="CB286" s="1949"/>
      <c r="CC286" s="1949"/>
      <c r="CD286" s="1922"/>
      <c r="CE286" s="1949"/>
      <c r="CF286" s="1949"/>
      <c r="CG286" s="1949"/>
      <c r="CH286" s="1949"/>
      <c r="CI286" s="1922"/>
      <c r="CJ286" s="1949"/>
      <c r="CK286" s="1949"/>
      <c r="CL286" s="1949"/>
      <c r="CM286" s="1949"/>
      <c r="CN286" s="1922"/>
      <c r="CO286" s="1949"/>
      <c r="CP286" s="1949"/>
      <c r="CQ286" s="1949"/>
      <c r="CR286" s="1949"/>
      <c r="CS286" s="1922"/>
      <c r="CT286" s="1949"/>
      <c r="CU286" s="1949"/>
      <c r="CV286" s="1949"/>
      <c r="CW286" s="1949"/>
      <c r="CX286" s="1922"/>
      <c r="CY286" s="1923"/>
      <c r="CZ286" s="1923"/>
      <c r="DA286" s="1923"/>
      <c r="DB286" s="1923"/>
      <c r="DC286" s="1923"/>
      <c r="DD286" s="1923"/>
      <c r="DE286" s="1923"/>
      <c r="DF286" s="1923"/>
      <c r="DG286" s="1923"/>
      <c r="DH286" s="1924"/>
      <c r="DI286" s="1918"/>
      <c r="DJ286" s="1924"/>
      <c r="DK286" s="1925"/>
      <c r="DL286" s="1925"/>
      <c r="DM286" s="1922"/>
      <c r="DN286" s="1922"/>
      <c r="DO286" s="1922"/>
      <c r="DP286" s="1922"/>
      <c r="DQ286" s="1922"/>
      <c r="DR286" s="1921"/>
    </row>
    <row r="287" spans="1:122" hidden="1" outlineLevel="3">
      <c r="A287" s="1885" t="s">
        <v>481</v>
      </c>
      <c r="B287" s="1886"/>
      <c r="C287" s="1803"/>
      <c r="D287" s="1803"/>
      <c r="E287" s="1803"/>
      <c r="F287" s="1803"/>
      <c r="G287" s="1762"/>
      <c r="H287" s="1803"/>
      <c r="I287" s="1803"/>
      <c r="J287" s="1803"/>
      <c r="K287" s="1803"/>
      <c r="L287" s="1762"/>
      <c r="M287" s="1803"/>
      <c r="N287" s="1803"/>
      <c r="O287" s="1803"/>
      <c r="P287" s="1803"/>
      <c r="Q287" s="1762"/>
      <c r="R287" s="1803"/>
      <c r="S287" s="1803"/>
      <c r="T287" s="1803"/>
      <c r="U287" s="1803"/>
      <c r="V287" s="1762"/>
      <c r="W287" s="1889"/>
      <c r="X287" s="1889"/>
      <c r="Y287" s="1889"/>
      <c r="Z287" s="1803"/>
      <c r="AA287" s="1762"/>
      <c r="AB287" s="1889"/>
      <c r="AC287" s="1889"/>
      <c r="AD287" s="1889"/>
      <c r="AE287" s="1803"/>
      <c r="AF287" s="1762"/>
      <c r="AG287" s="1803"/>
      <c r="AH287" s="1889"/>
      <c r="AI287" s="1889"/>
      <c r="AJ287" s="1803"/>
      <c r="AK287" s="1762"/>
      <c r="AL287" s="1803"/>
      <c r="AM287" s="1889"/>
      <c r="AN287" s="1889"/>
      <c r="AO287" s="1890"/>
      <c r="AP287" s="1762"/>
      <c r="AQ287" s="1890"/>
      <c r="AR287" s="1890"/>
      <c r="AS287" s="1890"/>
      <c r="AT287" s="1890"/>
      <c r="AU287" s="1762"/>
      <c r="AV287" s="1890"/>
      <c r="AW287" s="1890"/>
      <c r="AX287" s="1890"/>
      <c r="AY287" s="1890"/>
      <c r="AZ287" s="1762"/>
      <c r="BA287" s="1890"/>
      <c r="BB287" s="1890">
        <f>BB272-BB285</f>
        <v>4100.5</v>
      </c>
      <c r="BC287" s="1890">
        <f>BC272-BC285</f>
        <v>1418</v>
      </c>
      <c r="BD287" s="1890">
        <f>BD272-BD285</f>
        <v>1568.5</v>
      </c>
      <c r="BE287" s="1762">
        <f>SUM(BB287:BD287,BA272)</f>
        <v>9049</v>
      </c>
      <c r="BF287" s="1890">
        <f>BF272-BF285</f>
        <v>1747</v>
      </c>
      <c r="BG287" s="1890"/>
      <c r="BH287" s="1890"/>
      <c r="BI287" s="1890"/>
      <c r="BJ287" s="1762"/>
      <c r="BK287" s="1890"/>
      <c r="BL287" s="1891"/>
      <c r="BM287" s="1891"/>
      <c r="BN287" s="1890"/>
      <c r="BO287" s="1762"/>
      <c r="BP287" s="1891"/>
      <c r="BQ287" s="1891"/>
      <c r="BR287" s="1891"/>
      <c r="BS287" s="1890"/>
      <c r="BT287" s="1892"/>
      <c r="BU287" s="1891"/>
      <c r="BV287" s="1891"/>
      <c r="BW287" s="1891"/>
      <c r="BX287" s="1891"/>
      <c r="BY287" s="1892"/>
      <c r="BZ287" s="1891"/>
      <c r="CA287" s="1891"/>
      <c r="CB287" s="1891"/>
      <c r="CC287" s="1891"/>
      <c r="CD287" s="1892"/>
      <c r="CE287" s="1891"/>
      <c r="CF287" s="1891"/>
      <c r="CG287" s="1891"/>
      <c r="CH287" s="1891"/>
      <c r="CI287" s="1892"/>
      <c r="CJ287" s="1891"/>
      <c r="CK287" s="1891"/>
      <c r="CL287" s="1891"/>
      <c r="CM287" s="1891"/>
      <c r="CN287" s="1892"/>
      <c r="CO287" s="1891"/>
      <c r="CP287" s="1891"/>
      <c r="CQ287" s="1891"/>
      <c r="CR287" s="1891"/>
      <c r="CS287" s="1892"/>
      <c r="CT287" s="1891"/>
      <c r="CU287" s="1891"/>
      <c r="CV287" s="1891"/>
      <c r="CW287" s="1891"/>
      <c r="CX287" s="1892"/>
      <c r="CY287" s="1893"/>
      <c r="CZ287" s="1893"/>
      <c r="DA287" s="1893"/>
      <c r="DB287" s="1893"/>
      <c r="DC287" s="1893"/>
      <c r="DD287" s="1893"/>
      <c r="DE287" s="1893"/>
      <c r="DF287" s="1893"/>
      <c r="DG287" s="1893"/>
      <c r="DH287" s="1766"/>
      <c r="DI287" s="1762"/>
      <c r="DJ287" s="1766"/>
      <c r="DK287" s="1894"/>
      <c r="DL287" s="1894"/>
      <c r="DM287" s="1892"/>
      <c r="DN287" s="1892"/>
      <c r="DO287" s="1892"/>
      <c r="DP287" s="1892"/>
      <c r="DQ287" s="1892"/>
      <c r="DR287" s="1993"/>
    </row>
    <row r="288" spans="1:122" hidden="1" outlineLevel="3">
      <c r="A288" s="1945" t="s">
        <v>163</v>
      </c>
      <c r="B288" s="1916"/>
      <c r="C288" s="1917"/>
      <c r="D288" s="1917"/>
      <c r="E288" s="1917"/>
      <c r="F288" s="1917"/>
      <c r="G288" s="1918"/>
      <c r="H288" s="1917"/>
      <c r="I288" s="1917"/>
      <c r="J288" s="1917"/>
      <c r="K288" s="1917"/>
      <c r="L288" s="1918"/>
      <c r="M288" s="1917"/>
      <c r="N288" s="1917"/>
      <c r="O288" s="1917"/>
      <c r="P288" s="1919"/>
      <c r="Q288" s="1920"/>
      <c r="R288" s="1919"/>
      <c r="S288" s="1948"/>
      <c r="T288" s="1923"/>
      <c r="U288" s="1923"/>
      <c r="V288" s="1918"/>
      <c r="W288" s="1919"/>
      <c r="X288" s="1948"/>
      <c r="Y288" s="1948"/>
      <c r="Z288" s="1923"/>
      <c r="AA288" s="1918"/>
      <c r="AB288" s="1919"/>
      <c r="AC288" s="1919"/>
      <c r="AD288" s="1948"/>
      <c r="AE288" s="1948"/>
      <c r="AF288" s="1918"/>
      <c r="AG288" s="1948"/>
      <c r="AH288" s="1948"/>
      <c r="AI288" s="1948"/>
      <c r="AJ288" s="1948"/>
      <c r="AK288" s="1918"/>
      <c r="AL288" s="1948"/>
      <c r="AM288" s="1948"/>
      <c r="AN288" s="1948"/>
      <c r="AO288" s="1948"/>
      <c r="AP288" s="1918"/>
      <c r="AQ288" s="1923"/>
      <c r="AR288" s="1923"/>
      <c r="AS288" s="1923"/>
      <c r="AT288" s="1923"/>
      <c r="AU288" s="1918"/>
      <c r="AV288" s="1923"/>
      <c r="AW288" s="1923"/>
      <c r="AX288" s="1923"/>
      <c r="AY288" s="1923"/>
      <c r="AZ288" s="1918"/>
      <c r="BA288" s="1923"/>
      <c r="BB288" s="1923">
        <f>BB287/AW272-1</f>
        <v>0.10884261763115188</v>
      </c>
      <c r="BC288" s="1923">
        <f>BC287/AX272-1</f>
        <v>-0.26718346253229974</v>
      </c>
      <c r="BD288" s="1923">
        <f>BD287/AY272-1</f>
        <v>5.5916092201637291E-2</v>
      </c>
      <c r="BE288" s="1918">
        <f>BE287/AZ272-1</f>
        <v>1.5208494139187456E-2</v>
      </c>
      <c r="BF288" s="1923">
        <f>BF287/BA272-1</f>
        <v>-0.10958205912334351</v>
      </c>
      <c r="BG288" s="1923"/>
      <c r="BH288" s="1923"/>
      <c r="BI288" s="1923"/>
      <c r="BJ288" s="1918"/>
      <c r="BK288" s="1923"/>
      <c r="BL288" s="1949"/>
      <c r="BM288" s="1949"/>
      <c r="BN288" s="1923"/>
      <c r="BO288" s="1918"/>
      <c r="BP288" s="1949"/>
      <c r="BQ288" s="1949"/>
      <c r="BR288" s="1949"/>
      <c r="BS288" s="1923"/>
      <c r="BT288" s="1922"/>
      <c r="BU288" s="1949"/>
      <c r="BV288" s="1949"/>
      <c r="BW288" s="1949"/>
      <c r="BX288" s="1949"/>
      <c r="BY288" s="1922"/>
      <c r="BZ288" s="1949"/>
      <c r="CA288" s="1949"/>
      <c r="CB288" s="1949"/>
      <c r="CC288" s="1949"/>
      <c r="CD288" s="1922"/>
      <c r="CE288" s="1949"/>
      <c r="CF288" s="1949"/>
      <c r="CG288" s="1949"/>
      <c r="CH288" s="1949"/>
      <c r="CI288" s="1922"/>
      <c r="CJ288" s="1949"/>
      <c r="CK288" s="1949"/>
      <c r="CL288" s="1949"/>
      <c r="CM288" s="1949"/>
      <c r="CN288" s="1922"/>
      <c r="CO288" s="1949"/>
      <c r="CP288" s="1949"/>
      <c r="CQ288" s="1949"/>
      <c r="CR288" s="1949"/>
      <c r="CS288" s="1922"/>
      <c r="CT288" s="1949"/>
      <c r="CU288" s="1949"/>
      <c r="CV288" s="1949"/>
      <c r="CW288" s="1949"/>
      <c r="CX288" s="1922"/>
      <c r="CY288" s="1923"/>
      <c r="CZ288" s="1923"/>
      <c r="DA288" s="1923"/>
      <c r="DB288" s="1923"/>
      <c r="DC288" s="1923"/>
      <c r="DD288" s="1923"/>
      <c r="DE288" s="1923"/>
      <c r="DF288" s="1923"/>
      <c r="DG288" s="1923"/>
      <c r="DH288" s="1924"/>
      <c r="DI288" s="1918"/>
      <c r="DJ288" s="1924"/>
      <c r="DK288" s="1925"/>
      <c r="DL288" s="1925"/>
      <c r="DM288" s="1922"/>
      <c r="DN288" s="1922"/>
      <c r="DO288" s="1922"/>
      <c r="DP288" s="1922"/>
      <c r="DQ288" s="1922"/>
      <c r="DR288" s="1921"/>
    </row>
    <row r="289" spans="1:148" hidden="1" outlineLevel="3">
      <c r="A289" s="1945" t="s">
        <v>667</v>
      </c>
      <c r="B289" s="1916"/>
      <c r="C289" s="1917"/>
      <c r="D289" s="1917"/>
      <c r="E289" s="1917"/>
      <c r="F289" s="1917"/>
      <c r="G289" s="1918"/>
      <c r="H289" s="1917"/>
      <c r="I289" s="1917"/>
      <c r="J289" s="1917"/>
      <c r="K289" s="1917"/>
      <c r="L289" s="1918"/>
      <c r="M289" s="1917"/>
      <c r="N289" s="1917"/>
      <c r="O289" s="1917"/>
      <c r="P289" s="1919"/>
      <c r="Q289" s="1920"/>
      <c r="R289" s="1919"/>
      <c r="S289" s="1948"/>
      <c r="T289" s="1923"/>
      <c r="U289" s="1923"/>
      <c r="V289" s="1918"/>
      <c r="W289" s="1919"/>
      <c r="X289" s="1948"/>
      <c r="Y289" s="1948"/>
      <c r="Z289" s="1923"/>
      <c r="AA289" s="1918"/>
      <c r="AB289" s="1919"/>
      <c r="AC289" s="1919"/>
      <c r="AD289" s="1948"/>
      <c r="AE289" s="1948"/>
      <c r="AF289" s="1918"/>
      <c r="AG289" s="1948"/>
      <c r="AH289" s="1948"/>
      <c r="AI289" s="1948"/>
      <c r="AJ289" s="1948"/>
      <c r="AK289" s="1918"/>
      <c r="AL289" s="1948"/>
      <c r="AM289" s="1948"/>
      <c r="AN289" s="1948"/>
      <c r="AO289" s="1948"/>
      <c r="AP289" s="1918"/>
      <c r="AQ289" s="1923"/>
      <c r="AR289" s="1923"/>
      <c r="AS289" s="1923"/>
      <c r="AT289" s="1923"/>
      <c r="AU289" s="1918"/>
      <c r="AV289" s="1923"/>
      <c r="AW289" s="1923"/>
      <c r="AX289" s="1923"/>
      <c r="AY289" s="1923"/>
      <c r="AZ289" s="1918"/>
      <c r="BA289" s="1923"/>
      <c r="BB289" s="1923">
        <f>BB287/BA272-1</f>
        <v>1.0899592252803263</v>
      </c>
      <c r="BC289" s="1923">
        <f>BC287/BB287-1</f>
        <v>-0.65418851359590291</v>
      </c>
      <c r="BD289" s="1923">
        <f>BD287/BC287-1</f>
        <v>0.10613540197461213</v>
      </c>
      <c r="BE289" s="1918"/>
      <c r="BF289" s="1923">
        <f>BF287/BD287-1</f>
        <v>0.11380299649346504</v>
      </c>
      <c r="BG289" s="1923"/>
      <c r="BH289" s="1923"/>
      <c r="BI289" s="1923"/>
      <c r="BJ289" s="1918"/>
      <c r="BK289" s="1923"/>
      <c r="BL289" s="1949"/>
      <c r="BM289" s="1949"/>
      <c r="BN289" s="1923"/>
      <c r="BO289" s="1918"/>
      <c r="BP289" s="1949"/>
      <c r="BQ289" s="1949"/>
      <c r="BR289" s="1949"/>
      <c r="BS289" s="1923"/>
      <c r="BT289" s="1922"/>
      <c r="BU289" s="1949"/>
      <c r="BV289" s="1949"/>
      <c r="BW289" s="1949"/>
      <c r="BX289" s="1949"/>
      <c r="BY289" s="1922"/>
      <c r="BZ289" s="1949"/>
      <c r="CA289" s="1949"/>
      <c r="CB289" s="1949"/>
      <c r="CC289" s="1949"/>
      <c r="CD289" s="1922"/>
      <c r="CE289" s="1949"/>
      <c r="CF289" s="1949"/>
      <c r="CG289" s="1949"/>
      <c r="CH289" s="1949"/>
      <c r="CI289" s="1922"/>
      <c r="CJ289" s="1949"/>
      <c r="CK289" s="1949"/>
      <c r="CL289" s="1949"/>
      <c r="CM289" s="1949"/>
      <c r="CN289" s="1922"/>
      <c r="CO289" s="1949"/>
      <c r="CP289" s="1949"/>
      <c r="CQ289" s="1949"/>
      <c r="CR289" s="1949"/>
      <c r="CS289" s="1922"/>
      <c r="CT289" s="1949"/>
      <c r="CU289" s="1949"/>
      <c r="CV289" s="1949"/>
      <c r="CW289" s="1949"/>
      <c r="CX289" s="1922"/>
      <c r="CY289" s="1923"/>
      <c r="CZ289" s="1923"/>
      <c r="DA289" s="1923"/>
      <c r="DB289" s="1923"/>
      <c r="DC289" s="1923"/>
      <c r="DD289" s="1923"/>
      <c r="DE289" s="1923"/>
      <c r="DF289" s="1923"/>
      <c r="DG289" s="1923"/>
      <c r="DH289" s="1924"/>
      <c r="DI289" s="1918"/>
      <c r="DJ289" s="1924"/>
      <c r="DK289" s="1925"/>
      <c r="DL289" s="1925"/>
      <c r="DM289" s="1922"/>
      <c r="DN289" s="1922"/>
      <c r="DO289" s="1922"/>
      <c r="DP289" s="1922"/>
      <c r="DQ289" s="1922"/>
      <c r="DR289" s="1921"/>
    </row>
    <row r="290" spans="1:148" hidden="1" outlineLevel="3">
      <c r="A290" s="1824"/>
      <c r="B290" s="1886"/>
      <c r="C290" s="1803"/>
      <c r="D290" s="1803"/>
      <c r="E290" s="1803"/>
      <c r="F290" s="1803"/>
      <c r="G290" s="1762"/>
      <c r="H290" s="1803"/>
      <c r="I290" s="1803"/>
      <c r="J290" s="1803"/>
      <c r="K290" s="1803"/>
      <c r="L290" s="1762"/>
      <c r="M290" s="1803"/>
      <c r="N290" s="1803"/>
      <c r="O290" s="1803"/>
      <c r="P290" s="1887"/>
      <c r="Q290" s="1888"/>
      <c r="R290" s="1928"/>
      <c r="S290" s="1928"/>
      <c r="T290" s="1893"/>
      <c r="U290" s="1893"/>
      <c r="V290" s="1929"/>
      <c r="W290" s="1928"/>
      <c r="X290" s="1928"/>
      <c r="Y290" s="1928"/>
      <c r="Z290" s="1893"/>
      <c r="AA290" s="1929"/>
      <c r="AB290" s="1928"/>
      <c r="AC290" s="1928"/>
      <c r="AD290" s="1928"/>
      <c r="AE290" s="1893"/>
      <c r="AF290" s="1929"/>
      <c r="AG290" s="1893"/>
      <c r="AH290" s="1928"/>
      <c r="AI290" s="1928"/>
      <c r="AJ290" s="1893"/>
      <c r="AK290" s="1929"/>
      <c r="AL290" s="1893"/>
      <c r="AM290" s="1928"/>
      <c r="AN290" s="1928"/>
      <c r="AO290" s="1975"/>
      <c r="AP290" s="1929"/>
      <c r="AQ290" s="1937"/>
      <c r="AR290" s="1937"/>
      <c r="AS290" s="1937"/>
      <c r="AT290" s="1937"/>
      <c r="AU290" s="1929"/>
      <c r="AV290" s="1937"/>
      <c r="AW290" s="1937"/>
      <c r="AX290" s="1937"/>
      <c r="AY290" s="1937"/>
      <c r="AZ290" s="1929"/>
      <c r="BA290" s="1937"/>
      <c r="BB290" s="1937"/>
      <c r="BC290" s="1937"/>
      <c r="BD290" s="1937"/>
      <c r="BE290" s="1929"/>
      <c r="BF290" s="1937"/>
      <c r="BG290" s="1937"/>
      <c r="BH290" s="1937"/>
      <c r="BI290" s="1937"/>
      <c r="BJ290" s="1929"/>
      <c r="BK290" s="1937"/>
      <c r="BL290" s="1936"/>
      <c r="BM290" s="1936"/>
      <c r="BN290" s="1937"/>
      <c r="BO290" s="1929"/>
      <c r="BP290" s="1936"/>
      <c r="BQ290" s="1936"/>
      <c r="BR290" s="1936"/>
      <c r="BS290" s="1937"/>
      <c r="BT290" s="1939"/>
      <c r="BU290" s="1936"/>
      <c r="BV290" s="1936"/>
      <c r="BW290" s="1936"/>
      <c r="BX290" s="1936"/>
      <c r="BY290" s="1939"/>
      <c r="BZ290" s="1936"/>
      <c r="CA290" s="1936"/>
      <c r="CB290" s="1936"/>
      <c r="CC290" s="1936"/>
      <c r="CD290" s="1939"/>
      <c r="CE290" s="1936"/>
      <c r="CF290" s="1936"/>
      <c r="CG290" s="1936"/>
      <c r="CH290" s="1936"/>
      <c r="CI290" s="1939"/>
      <c r="CJ290" s="1936"/>
      <c r="CK290" s="1936"/>
      <c r="CL290" s="1936"/>
      <c r="CM290" s="1936"/>
      <c r="CN290" s="1939"/>
      <c r="CO290" s="1936"/>
      <c r="CP290" s="1936"/>
      <c r="CQ290" s="1936"/>
      <c r="CR290" s="1936"/>
      <c r="CS290" s="1939"/>
      <c r="CT290" s="1936"/>
      <c r="CU290" s="1936"/>
      <c r="CV290" s="1936"/>
      <c r="CW290" s="1936"/>
      <c r="CX290" s="1939"/>
      <c r="CY290" s="1893"/>
      <c r="CZ290" s="1893"/>
      <c r="DA290" s="1893"/>
      <c r="DB290" s="1893"/>
      <c r="DC290" s="1893"/>
      <c r="DD290" s="1893"/>
      <c r="DE290" s="1893"/>
      <c r="DF290" s="1893"/>
      <c r="DG290" s="1893"/>
      <c r="DH290" s="1976"/>
      <c r="DI290" s="1929"/>
      <c r="DJ290" s="1976"/>
      <c r="DK290" s="1977"/>
      <c r="DL290" s="1977"/>
      <c r="DM290" s="1939"/>
      <c r="DN290" s="1939"/>
      <c r="DO290" s="1939"/>
      <c r="DP290" s="1939"/>
      <c r="DQ290" s="1939"/>
      <c r="DR290" s="3062"/>
    </row>
    <row r="291" spans="1:148" hidden="1" outlineLevel="2">
      <c r="A291" s="1885" t="s">
        <v>280</v>
      </c>
      <c r="B291" s="1886"/>
      <c r="C291" s="1803">
        <v>82</v>
      </c>
      <c r="D291" s="1803">
        <v>77</v>
      </c>
      <c r="E291" s="1803">
        <v>33</v>
      </c>
      <c r="F291" s="1803">
        <v>0</v>
      </c>
      <c r="G291" s="1762">
        <f>SUM(C291:F291)</f>
        <v>192</v>
      </c>
      <c r="H291" s="1803">
        <v>0</v>
      </c>
      <c r="I291" s="1803">
        <v>0</v>
      </c>
      <c r="J291" s="1803">
        <v>0</v>
      </c>
      <c r="K291" s="1803">
        <v>0</v>
      </c>
      <c r="L291" s="1762">
        <f>SUM(H291:K291)</f>
        <v>0</v>
      </c>
      <c r="M291" s="1803">
        <v>0</v>
      </c>
      <c r="N291" s="1803">
        <v>0</v>
      </c>
      <c r="O291" s="1803">
        <v>0</v>
      </c>
      <c r="P291" s="1887">
        <v>0</v>
      </c>
      <c r="Q291" s="1888">
        <f>SUM(M291:P291)</f>
        <v>0</v>
      </c>
      <c r="R291" s="1889">
        <v>0</v>
      </c>
      <c r="S291" s="1889">
        <v>0</v>
      </c>
      <c r="T291" s="1890">
        <v>0</v>
      </c>
      <c r="U291" s="1890">
        <v>0</v>
      </c>
      <c r="V291" s="1762">
        <f>SUM(R291:U291)</f>
        <v>0</v>
      </c>
      <c r="W291" s="1889">
        <v>0</v>
      </c>
      <c r="X291" s="1889">
        <v>0</v>
      </c>
      <c r="Y291" s="1889">
        <v>0</v>
      </c>
      <c r="Z291" s="1890">
        <v>0</v>
      </c>
      <c r="AA291" s="1762">
        <f>SUM(W291:Z291)</f>
        <v>0</v>
      </c>
      <c r="AB291" s="1889">
        <v>15</v>
      </c>
      <c r="AC291" s="1889">
        <v>8</v>
      </c>
      <c r="AD291" s="1889">
        <v>-4</v>
      </c>
      <c r="AE291" s="1890">
        <v>1</v>
      </c>
      <c r="AF291" s="1762">
        <f>SUM(AB291:AE291)</f>
        <v>20</v>
      </c>
      <c r="AG291" s="1890">
        <v>13</v>
      </c>
      <c r="AH291" s="1889">
        <v>18</v>
      </c>
      <c r="AI291" s="1889">
        <v>10</v>
      </c>
      <c r="AJ291" s="1890">
        <v>57</v>
      </c>
      <c r="AK291" s="1762">
        <f>SUM(AG291:AJ291)</f>
        <v>98</v>
      </c>
      <c r="AL291" s="1890">
        <v>0</v>
      </c>
      <c r="AM291" s="1889">
        <v>64</v>
      </c>
      <c r="AN291" s="1889">
        <v>65</v>
      </c>
      <c r="AO291" s="1889">
        <v>77</v>
      </c>
      <c r="AP291" s="1762">
        <f>SUM(AL291:AO291)</f>
        <v>206</v>
      </c>
      <c r="AQ291" s="1890">
        <v>77</v>
      </c>
      <c r="AR291" s="1890">
        <v>27</v>
      </c>
      <c r="AS291" s="1890">
        <v>30</v>
      </c>
      <c r="AT291" s="1890">
        <v>22</v>
      </c>
      <c r="AU291" s="1762">
        <f>SUM(AQ291:AT291)</f>
        <v>156</v>
      </c>
      <c r="AV291" s="1890">
        <v>3</v>
      </c>
      <c r="AW291" s="1890">
        <v>88</v>
      </c>
      <c r="AX291" s="1890">
        <v>43</v>
      </c>
      <c r="AY291" s="1890">
        <v>60</v>
      </c>
      <c r="AZ291" s="1762">
        <f>SUM(AV291:AY291)</f>
        <v>194</v>
      </c>
      <c r="BA291" s="1890">
        <v>44</v>
      </c>
      <c r="BB291" s="1890">
        <v>75</v>
      </c>
      <c r="BC291" s="1890">
        <v>76</v>
      </c>
      <c r="BD291" s="1890">
        <v>17</v>
      </c>
      <c r="BE291" s="1762">
        <f>SUM(BA291:BD291)</f>
        <v>212</v>
      </c>
      <c r="BF291" s="1890">
        <v>66</v>
      </c>
      <c r="BG291" s="1890">
        <v>57</v>
      </c>
      <c r="BH291" s="1890">
        <v>65</v>
      </c>
      <c r="BI291" s="1890">
        <v>51</v>
      </c>
      <c r="BJ291" s="1762">
        <f>SUM(BF291:BI291)</f>
        <v>239</v>
      </c>
      <c r="BK291" s="1890">
        <v>76</v>
      </c>
      <c r="BL291" s="1891">
        <v>0</v>
      </c>
      <c r="BM291" s="1891">
        <v>0</v>
      </c>
      <c r="BN291" s="1890">
        <v>0</v>
      </c>
      <c r="BO291" s="1762">
        <f>SUM(BK291:BN291)</f>
        <v>76</v>
      </c>
      <c r="BP291" s="1891">
        <v>0</v>
      </c>
      <c r="BQ291" s="1891">
        <v>0</v>
      </c>
      <c r="BR291" s="1891">
        <v>0</v>
      </c>
      <c r="BS291" s="1890">
        <v>0</v>
      </c>
      <c r="BT291" s="1892">
        <f>SUM(BP291:BS291)</f>
        <v>0</v>
      </c>
      <c r="BU291" s="1891">
        <v>0</v>
      </c>
      <c r="BV291" s="1891">
        <v>0</v>
      </c>
      <c r="BW291" s="1891">
        <v>0</v>
      </c>
      <c r="BX291" s="1891">
        <v>0</v>
      </c>
      <c r="BY291" s="1892">
        <f>SUM(BU291:BX291)</f>
        <v>0</v>
      </c>
      <c r="BZ291" s="1891">
        <v>0</v>
      </c>
      <c r="CA291" s="1891">
        <v>0</v>
      </c>
      <c r="CB291" s="1891">
        <v>0</v>
      </c>
      <c r="CC291" s="1891">
        <v>0</v>
      </c>
      <c r="CD291" s="1892">
        <f>SUM(BZ291:CC291)</f>
        <v>0</v>
      </c>
      <c r="CE291" s="1891">
        <v>0</v>
      </c>
      <c r="CF291" s="1891">
        <v>0</v>
      </c>
      <c r="CG291" s="1891">
        <v>0</v>
      </c>
      <c r="CH291" s="1891">
        <v>0</v>
      </c>
      <c r="CI291" s="1892">
        <f>SUM(CE291:CH291)</f>
        <v>0</v>
      </c>
      <c r="CJ291" s="1891">
        <v>0</v>
      </c>
      <c r="CK291" s="1891">
        <v>0</v>
      </c>
      <c r="CL291" s="1891">
        <v>0</v>
      </c>
      <c r="CM291" s="1891">
        <v>0</v>
      </c>
      <c r="CN291" s="1892">
        <f>SUM(CJ291:CM291)</f>
        <v>0</v>
      </c>
      <c r="CO291" s="1891">
        <v>0</v>
      </c>
      <c r="CP291" s="1891">
        <v>0</v>
      </c>
      <c r="CQ291" s="1891">
        <v>0</v>
      </c>
      <c r="CR291" s="1891">
        <v>0</v>
      </c>
      <c r="CS291" s="1892">
        <f>SUM(CO291:CR291)</f>
        <v>0</v>
      </c>
      <c r="CT291" s="1891">
        <v>0</v>
      </c>
      <c r="CU291" s="1891">
        <v>0</v>
      </c>
      <c r="CV291" s="1891">
        <v>0</v>
      </c>
      <c r="CW291" s="1891">
        <v>0</v>
      </c>
      <c r="CX291" s="1892">
        <f>SUM(CT291:CW291)</f>
        <v>0</v>
      </c>
      <c r="CY291" s="1893"/>
      <c r="CZ291" s="1893"/>
      <c r="DA291" s="1893"/>
      <c r="DB291" s="1893"/>
      <c r="DC291" s="1893"/>
      <c r="DD291" s="1893"/>
      <c r="DE291" s="1893"/>
      <c r="DF291" s="1893"/>
      <c r="DG291" s="1893"/>
      <c r="DH291" s="1766"/>
      <c r="DI291" s="1762">
        <f>SUM(BC291:BD291,BF291:BG291)</f>
        <v>216</v>
      </c>
      <c r="DJ291" s="1766">
        <f>SUM(BH291:BI291,BK291:BL291)</f>
        <v>192</v>
      </c>
      <c r="DK291" s="1894">
        <f>SUM(BM291:BN291,BP291:BQ291)</f>
        <v>0</v>
      </c>
      <c r="DL291" s="1894">
        <f>SUM(BU291:BV291,BR291:BS291)</f>
        <v>0</v>
      </c>
      <c r="DM291" s="1892">
        <f>SUM(BW291:BX291,BZ291:CA291)</f>
        <v>0</v>
      </c>
      <c r="DN291" s="1892">
        <f>SUM(CB291:CC291,CE291:CF291)</f>
        <v>0</v>
      </c>
      <c r="DO291" s="1892"/>
      <c r="DP291" s="1892"/>
      <c r="DQ291" s="1892"/>
      <c r="DR291" s="1993"/>
    </row>
    <row r="292" spans="1:148" hidden="1" outlineLevel="2">
      <c r="A292" s="1760" t="s">
        <v>162</v>
      </c>
      <c r="B292" s="1895">
        <f t="shared" ref="B292:AG292" si="487">B291/B297</f>
        <v>0</v>
      </c>
      <c r="C292" s="1785">
        <f t="shared" si="487"/>
        <v>1.3385569702905649E-2</v>
      </c>
      <c r="D292" s="1785">
        <f t="shared" si="487"/>
        <v>9.9470352667614011E-3</v>
      </c>
      <c r="E292" s="1785">
        <f t="shared" si="487"/>
        <v>4.5548654244306416E-3</v>
      </c>
      <c r="F292" s="1785">
        <f t="shared" si="487"/>
        <v>0</v>
      </c>
      <c r="G292" s="1774">
        <f t="shared" si="487"/>
        <v>6.7689053410893707E-3</v>
      </c>
      <c r="H292" s="1785">
        <f t="shared" si="487"/>
        <v>0</v>
      </c>
      <c r="I292" s="1785">
        <f t="shared" si="487"/>
        <v>0</v>
      </c>
      <c r="J292" s="1785">
        <f t="shared" si="487"/>
        <v>0</v>
      </c>
      <c r="K292" s="1785">
        <f t="shared" si="487"/>
        <v>0</v>
      </c>
      <c r="L292" s="1774">
        <f t="shared" si="487"/>
        <v>0</v>
      </c>
      <c r="M292" s="1785">
        <f t="shared" si="487"/>
        <v>0</v>
      </c>
      <c r="N292" s="1785">
        <f t="shared" si="487"/>
        <v>0</v>
      </c>
      <c r="O292" s="1785">
        <f t="shared" si="487"/>
        <v>0</v>
      </c>
      <c r="P292" s="1896">
        <f t="shared" si="487"/>
        <v>0</v>
      </c>
      <c r="Q292" s="1897">
        <f t="shared" si="487"/>
        <v>0</v>
      </c>
      <c r="R292" s="1902">
        <f t="shared" si="487"/>
        <v>0</v>
      </c>
      <c r="S292" s="1902">
        <f t="shared" si="487"/>
        <v>0</v>
      </c>
      <c r="T292" s="1900">
        <f t="shared" si="487"/>
        <v>0</v>
      </c>
      <c r="U292" s="1900">
        <f t="shared" si="487"/>
        <v>0</v>
      </c>
      <c r="V292" s="1774">
        <f t="shared" si="487"/>
        <v>0</v>
      </c>
      <c r="W292" s="1902">
        <f t="shared" si="487"/>
        <v>0</v>
      </c>
      <c r="X292" s="1902">
        <f t="shared" si="487"/>
        <v>0</v>
      </c>
      <c r="Y292" s="1902">
        <f t="shared" si="487"/>
        <v>0</v>
      </c>
      <c r="Z292" s="1900">
        <f t="shared" si="487"/>
        <v>0</v>
      </c>
      <c r="AA292" s="1774">
        <f t="shared" si="487"/>
        <v>0</v>
      </c>
      <c r="AB292" s="1902">
        <f t="shared" si="487"/>
        <v>1.3874757191749145E-3</v>
      </c>
      <c r="AC292" s="1902">
        <f t="shared" si="487"/>
        <v>6.378568011481422E-4</v>
      </c>
      <c r="AD292" s="1902">
        <f t="shared" si="487"/>
        <v>-2.7781636338380331E-4</v>
      </c>
      <c r="AE292" s="1902">
        <f t="shared" si="487"/>
        <v>7.4788721860743397E-5</v>
      </c>
      <c r="AF292" s="1774">
        <f t="shared" si="487"/>
        <v>3.9122100074331988E-4</v>
      </c>
      <c r="AG292" s="1902">
        <f t="shared" si="487"/>
        <v>9.4463014096788256E-4</v>
      </c>
      <c r="AH292" s="1902">
        <f t="shared" ref="AH292:BM292" si="488">AH291/AH297</f>
        <v>1.0997739353577321E-3</v>
      </c>
      <c r="AI292" s="1902">
        <f t="shared" si="488"/>
        <v>6.918500069185001E-4</v>
      </c>
      <c r="AJ292" s="1902">
        <f t="shared" si="488"/>
        <v>3.5991665088084867E-3</v>
      </c>
      <c r="AK292" s="1774">
        <f t="shared" si="488"/>
        <v>1.6219794769943728E-3</v>
      </c>
      <c r="AL292" s="1902">
        <f t="shared" si="488"/>
        <v>0</v>
      </c>
      <c r="AM292" s="1902">
        <f t="shared" si="488"/>
        <v>3.848698057610199E-3</v>
      </c>
      <c r="AN292" s="1902">
        <f t="shared" si="488"/>
        <v>4.7626025791324732E-3</v>
      </c>
      <c r="AO292" s="1902">
        <f t="shared" si="488"/>
        <v>5.878311321474922E-3</v>
      </c>
      <c r="AP292" s="1774">
        <f t="shared" si="488"/>
        <v>3.5251638516693193E-3</v>
      </c>
      <c r="AQ292" s="1900">
        <f t="shared" si="488"/>
        <v>5.9597523219814237E-3</v>
      </c>
      <c r="AR292" s="1900">
        <f t="shared" si="488"/>
        <v>1.4194091052465566E-3</v>
      </c>
      <c r="AS292" s="1900">
        <f t="shared" si="488"/>
        <v>2.0685375439564229E-3</v>
      </c>
      <c r="AT292" s="1900">
        <f t="shared" si="488"/>
        <v>1.3716565870690192E-3</v>
      </c>
      <c r="AU292" s="1774">
        <f t="shared" si="488"/>
        <v>2.4966391396197426E-3</v>
      </c>
      <c r="AV292" s="1900">
        <f t="shared" si="488"/>
        <v>1.8524235875270144E-4</v>
      </c>
      <c r="AW292" s="1900">
        <f t="shared" si="488"/>
        <v>4.4103643562371569E-3</v>
      </c>
      <c r="AX292" s="1900">
        <f t="shared" si="488"/>
        <v>2.6174823472120768E-3</v>
      </c>
      <c r="AY292" s="1900">
        <f t="shared" si="488"/>
        <v>3.4551384819503568E-3</v>
      </c>
      <c r="AZ292" s="1774">
        <f t="shared" si="488"/>
        <v>2.7737490106008681E-3</v>
      </c>
      <c r="BA292" s="1900">
        <f t="shared" si="488"/>
        <v>2.5328114206769514E-3</v>
      </c>
      <c r="BB292" s="1900">
        <f t="shared" si="488"/>
        <v>3.5910940866650705E-3</v>
      </c>
      <c r="BC292" s="1900">
        <f t="shared" si="488"/>
        <v>4.3660596311828571E-3</v>
      </c>
      <c r="BD292" s="1900">
        <f t="shared" si="488"/>
        <v>9.4135887922919324E-4</v>
      </c>
      <c r="BE292" s="1774">
        <f t="shared" si="488"/>
        <v>2.875629043853343E-3</v>
      </c>
      <c r="BF292" s="1900">
        <f t="shared" si="488"/>
        <v>4.1229385307346329E-3</v>
      </c>
      <c r="BG292" s="1900">
        <f t="shared" si="488"/>
        <v>2.6565995525727071E-3</v>
      </c>
      <c r="BH292" s="1900">
        <f t="shared" si="488"/>
        <v>3.172433988969691E-3</v>
      </c>
      <c r="BI292" s="1900">
        <f>BI291/BI297</f>
        <v>2.5633293124246079E-3</v>
      </c>
      <c r="BJ292" s="1774">
        <f t="shared" si="488"/>
        <v>3.0700458580071679E-3</v>
      </c>
      <c r="BK292" s="1900">
        <f t="shared" si="488"/>
        <v>4.0768157922969643E-3</v>
      </c>
      <c r="BL292" s="1903">
        <f t="shared" si="488"/>
        <v>0</v>
      </c>
      <c r="BM292" s="1903">
        <f t="shared" si="488"/>
        <v>0</v>
      </c>
      <c r="BN292" s="1900">
        <f t="shared" ref="BN292:CD292" si="489">BN291/BN297</f>
        <v>0</v>
      </c>
      <c r="BO292" s="1774">
        <f t="shared" si="489"/>
        <v>8.7410576679778252E-4</v>
      </c>
      <c r="BP292" s="1903">
        <f t="shared" si="489"/>
        <v>0</v>
      </c>
      <c r="BQ292" s="1903">
        <f t="shared" si="489"/>
        <v>0</v>
      </c>
      <c r="BR292" s="1903">
        <f t="shared" si="489"/>
        <v>0</v>
      </c>
      <c r="BS292" s="1900">
        <f t="shared" si="489"/>
        <v>0</v>
      </c>
      <c r="BT292" s="1899">
        <f t="shared" si="489"/>
        <v>0</v>
      </c>
      <c r="BU292" s="1903">
        <f t="shared" si="489"/>
        <v>0</v>
      </c>
      <c r="BV292" s="1903">
        <f t="shared" si="489"/>
        <v>0</v>
      </c>
      <c r="BW292" s="1903">
        <f t="shared" si="489"/>
        <v>0</v>
      </c>
      <c r="BX292" s="1903">
        <f t="shared" si="489"/>
        <v>0</v>
      </c>
      <c r="BY292" s="1899">
        <f t="shared" si="489"/>
        <v>0</v>
      </c>
      <c r="BZ292" s="1903">
        <f t="shared" si="489"/>
        <v>0</v>
      </c>
      <c r="CA292" s="1903">
        <f t="shared" si="489"/>
        <v>0</v>
      </c>
      <c r="CB292" s="1903">
        <f t="shared" si="489"/>
        <v>0</v>
      </c>
      <c r="CC292" s="1903">
        <f t="shared" si="489"/>
        <v>0</v>
      </c>
      <c r="CD292" s="1899">
        <f t="shared" si="489"/>
        <v>0</v>
      </c>
      <c r="CE292" s="1903">
        <f t="shared" ref="CE292:CI292" si="490">CE291/CE297</f>
        <v>0</v>
      </c>
      <c r="CF292" s="1903">
        <f t="shared" si="490"/>
        <v>0</v>
      </c>
      <c r="CG292" s="1903">
        <f t="shared" si="490"/>
        <v>0</v>
      </c>
      <c r="CH292" s="1903" t="e">
        <f t="shared" si="490"/>
        <v>#REF!</v>
      </c>
      <c r="CI292" s="1899" t="e">
        <f t="shared" si="490"/>
        <v>#REF!</v>
      </c>
      <c r="CJ292" s="1903">
        <f t="shared" ref="CJ292:CS292" si="491">CJ291/CJ297</f>
        <v>0</v>
      </c>
      <c r="CK292" s="1903">
        <f t="shared" si="491"/>
        <v>0</v>
      </c>
      <c r="CL292" s="1903">
        <f t="shared" si="491"/>
        <v>0</v>
      </c>
      <c r="CM292" s="1903" t="e">
        <f t="shared" si="491"/>
        <v>#REF!</v>
      </c>
      <c r="CN292" s="1899" t="e">
        <f t="shared" si="491"/>
        <v>#REF!</v>
      </c>
      <c r="CO292" s="1903">
        <f t="shared" si="491"/>
        <v>0</v>
      </c>
      <c r="CP292" s="1903">
        <f t="shared" si="491"/>
        <v>0</v>
      </c>
      <c r="CQ292" s="1903">
        <f t="shared" si="491"/>
        <v>0</v>
      </c>
      <c r="CR292" s="1903" t="e">
        <f t="shared" si="491"/>
        <v>#REF!</v>
      </c>
      <c r="CS292" s="1899" t="e">
        <f t="shared" si="491"/>
        <v>#REF!</v>
      </c>
      <c r="CT292" s="1903">
        <f t="shared" ref="CT292:CX292" si="492">CT291/CT297</f>
        <v>0</v>
      </c>
      <c r="CU292" s="1903">
        <f t="shared" si="492"/>
        <v>0</v>
      </c>
      <c r="CV292" s="1903">
        <f t="shared" si="492"/>
        <v>0</v>
      </c>
      <c r="CW292" s="1903" t="e">
        <f t="shared" si="492"/>
        <v>#REF!</v>
      </c>
      <c r="CX292" s="1899" t="e">
        <f t="shared" si="492"/>
        <v>#REF!</v>
      </c>
      <c r="CY292" s="1900"/>
      <c r="CZ292" s="1900"/>
      <c r="DA292" s="1900"/>
      <c r="DB292" s="1900"/>
      <c r="DC292" s="1900"/>
      <c r="DD292" s="1900"/>
      <c r="DE292" s="1900"/>
      <c r="DF292" s="1900"/>
      <c r="DG292" s="1900"/>
      <c r="DH292" s="1773"/>
      <c r="DI292" s="1774"/>
      <c r="DJ292" s="1773"/>
      <c r="DK292" s="1901"/>
      <c r="DL292" s="1901"/>
      <c r="DM292" s="1899"/>
      <c r="DN292" s="1899"/>
      <c r="DO292" s="1899"/>
      <c r="DP292" s="1899"/>
      <c r="DQ292" s="1899"/>
      <c r="DR292" s="1898"/>
    </row>
    <row r="293" spans="1:148" hidden="1" outlineLevel="3">
      <c r="A293" s="1760" t="s">
        <v>644</v>
      </c>
      <c r="B293" s="1895"/>
      <c r="C293" s="1785"/>
      <c r="D293" s="1785"/>
      <c r="E293" s="1785"/>
      <c r="F293" s="1785"/>
      <c r="G293" s="1774"/>
      <c r="H293" s="1785"/>
      <c r="I293" s="1785"/>
      <c r="J293" s="1785"/>
      <c r="K293" s="1785"/>
      <c r="L293" s="1774"/>
      <c r="M293" s="1890">
        <f t="shared" ref="M293:AR293" si="493">M291-M295</f>
        <v>771</v>
      </c>
      <c r="N293" s="1890">
        <f t="shared" si="493"/>
        <v>1500</v>
      </c>
      <c r="O293" s="1890">
        <f t="shared" si="493"/>
        <v>3370</v>
      </c>
      <c r="P293" s="1890">
        <f t="shared" si="493"/>
        <v>1105</v>
      </c>
      <c r="Q293" s="1801">
        <f t="shared" si="493"/>
        <v>4655</v>
      </c>
      <c r="R293" s="1890">
        <f t="shared" si="493"/>
        <v>1385</v>
      </c>
      <c r="S293" s="1890">
        <f t="shared" si="493"/>
        <v>937</v>
      </c>
      <c r="T293" s="1890">
        <f t="shared" si="493"/>
        <v>1736</v>
      </c>
      <c r="U293" s="1890">
        <f t="shared" si="493"/>
        <v>1813</v>
      </c>
      <c r="V293" s="1801">
        <f t="shared" si="493"/>
        <v>5871</v>
      </c>
      <c r="W293" s="1890">
        <f t="shared" si="493"/>
        <v>1298</v>
      </c>
      <c r="X293" s="1890">
        <f t="shared" si="493"/>
        <v>988</v>
      </c>
      <c r="Y293" s="1890">
        <f t="shared" si="493"/>
        <v>1326</v>
      </c>
      <c r="Z293" s="1890">
        <f t="shared" si="493"/>
        <v>1485</v>
      </c>
      <c r="AA293" s="1801">
        <f t="shared" si="493"/>
        <v>5097</v>
      </c>
      <c r="AB293" s="1890">
        <f t="shared" si="493"/>
        <v>1046</v>
      </c>
      <c r="AC293" s="1890">
        <f t="shared" si="493"/>
        <v>1173</v>
      </c>
      <c r="AD293" s="1890">
        <f t="shared" si="493"/>
        <v>1536</v>
      </c>
      <c r="AE293" s="1890">
        <f t="shared" si="493"/>
        <v>1440</v>
      </c>
      <c r="AF293" s="1801">
        <f t="shared" si="493"/>
        <v>5195</v>
      </c>
      <c r="AG293" s="1890">
        <f t="shared" si="493"/>
        <v>1019</v>
      </c>
      <c r="AH293" s="1890">
        <f t="shared" si="493"/>
        <v>1418</v>
      </c>
      <c r="AI293" s="1890">
        <f t="shared" si="493"/>
        <v>2789</v>
      </c>
      <c r="AJ293" s="1890">
        <f t="shared" si="493"/>
        <v>1639</v>
      </c>
      <c r="AK293" s="1801">
        <f t="shared" si="493"/>
        <v>6865</v>
      </c>
      <c r="AL293" s="1890">
        <f t="shared" si="493"/>
        <v>1090</v>
      </c>
      <c r="AM293" s="1890">
        <f t="shared" si="493"/>
        <v>1025</v>
      </c>
      <c r="AN293" s="1890">
        <f t="shared" si="493"/>
        <v>1428</v>
      </c>
      <c r="AO293" s="1890">
        <f t="shared" si="493"/>
        <v>1205</v>
      </c>
      <c r="AP293" s="1801">
        <f t="shared" si="493"/>
        <v>4748</v>
      </c>
      <c r="AQ293" s="1890">
        <f t="shared" si="493"/>
        <v>925</v>
      </c>
      <c r="AR293" s="1890">
        <f t="shared" si="493"/>
        <v>1244</v>
      </c>
      <c r="AS293" s="1890">
        <f t="shared" ref="AS293:CD293" si="494">AS291-AS295</f>
        <v>1183</v>
      </c>
      <c r="AT293" s="1890">
        <f t="shared" si="494"/>
        <v>1077</v>
      </c>
      <c r="AU293" s="1801">
        <f t="shared" si="494"/>
        <v>4429</v>
      </c>
      <c r="AV293" s="1890">
        <f t="shared" si="494"/>
        <v>1050</v>
      </c>
      <c r="AW293" s="1890">
        <f t="shared" si="494"/>
        <v>1051</v>
      </c>
      <c r="AX293" s="1890">
        <f t="shared" si="494"/>
        <v>1181</v>
      </c>
      <c r="AY293" s="1890">
        <f t="shared" si="494"/>
        <v>1528</v>
      </c>
      <c r="AZ293" s="1801">
        <f t="shared" si="494"/>
        <v>4810</v>
      </c>
      <c r="BA293" s="1890">
        <f t="shared" si="494"/>
        <v>1222</v>
      </c>
      <c r="BB293" s="1890">
        <f t="shared" si="494"/>
        <v>1157</v>
      </c>
      <c r="BC293" s="1890">
        <f t="shared" si="494"/>
        <v>1455</v>
      </c>
      <c r="BD293" s="1890">
        <f t="shared" si="494"/>
        <v>1490</v>
      </c>
      <c r="BE293" s="1801">
        <f t="shared" si="494"/>
        <v>5324</v>
      </c>
      <c r="BF293" s="1890">
        <f t="shared" si="494"/>
        <v>1457</v>
      </c>
      <c r="BG293" s="1890">
        <f t="shared" si="494"/>
        <v>1581</v>
      </c>
      <c r="BH293" s="1890">
        <f t="shared" si="494"/>
        <v>2075</v>
      </c>
      <c r="BI293" s="1890">
        <f t="shared" si="494"/>
        <v>1793</v>
      </c>
      <c r="BJ293" s="1801">
        <f t="shared" si="494"/>
        <v>6906</v>
      </c>
      <c r="BK293" s="1890">
        <f t="shared" si="494"/>
        <v>1420</v>
      </c>
      <c r="BL293" s="1904">
        <f t="shared" si="494"/>
        <v>1264.2387421002024</v>
      </c>
      <c r="BM293" s="1904">
        <f t="shared" si="494"/>
        <v>2149.8174008529222</v>
      </c>
      <c r="BN293" s="1890">
        <f t="shared" si="494"/>
        <v>3666.0929091950184</v>
      </c>
      <c r="BO293" s="1801">
        <f t="shared" si="494"/>
        <v>8500.1490521481428</v>
      </c>
      <c r="BP293" s="1904">
        <f t="shared" si="494"/>
        <v>1823.4529938493597</v>
      </c>
      <c r="BQ293" s="1904">
        <f t="shared" si="494"/>
        <v>1951.77525860483</v>
      </c>
      <c r="BR293" s="1904">
        <f t="shared" si="494"/>
        <v>2498.8583908338423</v>
      </c>
      <c r="BS293" s="1890">
        <f t="shared" si="494"/>
        <v>3867.5913125903107</v>
      </c>
      <c r="BT293" s="1905">
        <f t="shared" si="494"/>
        <v>10141.677955878342</v>
      </c>
      <c r="BU293" s="1904" t="e">
        <f t="shared" si="494"/>
        <v>#REF!</v>
      </c>
      <c r="BV293" s="1904" t="e">
        <f t="shared" si="494"/>
        <v>#REF!</v>
      </c>
      <c r="BW293" s="1904" t="e">
        <f t="shared" si="494"/>
        <v>#REF!</v>
      </c>
      <c r="BX293" s="1904" t="e">
        <f t="shared" si="494"/>
        <v>#REF!</v>
      </c>
      <c r="BY293" s="1905" t="e">
        <f t="shared" si="494"/>
        <v>#REF!</v>
      </c>
      <c r="BZ293" s="1904" t="e">
        <f t="shared" si="494"/>
        <v>#REF!</v>
      </c>
      <c r="CA293" s="1904" t="e">
        <f t="shared" si="494"/>
        <v>#REF!</v>
      </c>
      <c r="CB293" s="1904" t="e">
        <f t="shared" si="494"/>
        <v>#REF!</v>
      </c>
      <c r="CC293" s="1904" t="e">
        <f t="shared" si="494"/>
        <v>#REF!</v>
      </c>
      <c r="CD293" s="1905" t="e">
        <f t="shared" si="494"/>
        <v>#REF!</v>
      </c>
      <c r="CE293" s="1904">
        <f t="shared" ref="CE293:CI293" si="495">CE291-CE295</f>
        <v>2293.5863817295135</v>
      </c>
      <c r="CF293" s="1904">
        <f t="shared" si="495"/>
        <v>1798.9289016064386</v>
      </c>
      <c r="CG293" s="1904">
        <f t="shared" si="495"/>
        <v>1903.5191560134972</v>
      </c>
      <c r="CH293" s="1904" t="e">
        <f t="shared" si="495"/>
        <v>#REF!</v>
      </c>
      <c r="CI293" s="1905" t="e">
        <f t="shared" si="495"/>
        <v>#REF!</v>
      </c>
      <c r="CJ293" s="1904">
        <f t="shared" ref="CJ293:CS293" si="496">CJ291-CJ295</f>
        <v>1287.8378308411627</v>
      </c>
      <c r="CK293" s="1904">
        <f t="shared" si="496"/>
        <v>629.40894170413515</v>
      </c>
      <c r="CL293" s="1904">
        <f t="shared" si="496"/>
        <v>-1061.1437435779387</v>
      </c>
      <c r="CM293" s="1904" t="e">
        <f t="shared" si="496"/>
        <v>#REF!</v>
      </c>
      <c r="CN293" s="1905" t="e">
        <f t="shared" si="496"/>
        <v>#REF!</v>
      </c>
      <c r="CO293" s="1904">
        <f t="shared" si="496"/>
        <v>405.37732704601933</v>
      </c>
      <c r="CP293" s="1904">
        <f t="shared" si="496"/>
        <v>-661.55660674898957</v>
      </c>
      <c r="CQ293" s="1904">
        <f t="shared" si="496"/>
        <v>9139.8502597955849</v>
      </c>
      <c r="CR293" s="1904" t="e">
        <f t="shared" si="496"/>
        <v>#REF!</v>
      </c>
      <c r="CS293" s="1905" t="e">
        <f t="shared" si="496"/>
        <v>#REF!</v>
      </c>
      <c r="CT293" s="1904">
        <f t="shared" ref="CT293:CX293" si="497">CT291-CT295</f>
        <v>-513.94232136858705</v>
      </c>
      <c r="CU293" s="1904">
        <f t="shared" si="497"/>
        <v>-1991.7335425691792</v>
      </c>
      <c r="CV293" s="1904">
        <f t="shared" si="497"/>
        <v>5838.7621850343166</v>
      </c>
      <c r="CW293" s="1904" t="e">
        <f t="shared" si="497"/>
        <v>#REF!</v>
      </c>
      <c r="CX293" s="1905" t="e">
        <f t="shared" si="497"/>
        <v>#REF!</v>
      </c>
      <c r="CY293" s="1900"/>
      <c r="CZ293" s="1900"/>
      <c r="DA293" s="1900"/>
      <c r="DB293" s="1900"/>
      <c r="DC293" s="1900"/>
      <c r="DD293" s="1900"/>
      <c r="DE293" s="1900"/>
      <c r="DF293" s="1900"/>
      <c r="DG293" s="1900"/>
      <c r="DH293" s="1804"/>
      <c r="DI293" s="1801">
        <f>SUM(BC293:BD293,BF293:BG293)</f>
        <v>5983</v>
      </c>
      <c r="DJ293" s="1804">
        <f>SUM(BH293:BI293,BK293:BL293)</f>
        <v>6552.2387421002022</v>
      </c>
      <c r="DK293" s="1906">
        <f>SUM(BM293:BN293,BP293:BQ293)</f>
        <v>9591.1385625021303</v>
      </c>
      <c r="DL293" s="1907" t="e">
        <f>SUM(BU293:BV293,BR293:BS293)</f>
        <v>#REF!</v>
      </c>
      <c r="DM293" s="1908" t="e">
        <f>SUM(BW293:BX293,BZ293:CA293)</f>
        <v>#REF!</v>
      </c>
      <c r="DN293" s="1908" t="e">
        <f>SUM(CB293:CC293,CE293:CF293)</f>
        <v>#REF!</v>
      </c>
      <c r="DO293" s="1908"/>
      <c r="DP293" s="1908"/>
      <c r="DQ293" s="1908"/>
      <c r="DR293" s="1915"/>
    </row>
    <row r="294" spans="1:148" hidden="1" outlineLevel="3">
      <c r="A294" s="1760" t="s">
        <v>163</v>
      </c>
      <c r="B294" s="1895"/>
      <c r="C294" s="1785"/>
      <c r="D294" s="1785"/>
      <c r="E294" s="1785"/>
      <c r="F294" s="1785"/>
      <c r="G294" s="1774"/>
      <c r="H294" s="1785"/>
      <c r="I294" s="1785"/>
      <c r="J294" s="1785"/>
      <c r="K294" s="1785"/>
      <c r="L294" s="1774"/>
      <c r="M294" s="1785"/>
      <c r="N294" s="1785"/>
      <c r="O294" s="1785"/>
      <c r="P294" s="1896"/>
      <c r="Q294" s="1897"/>
      <c r="R294" s="1902">
        <f t="shared" ref="R294:AW294" si="498">R293/M293-1</f>
        <v>0.79636835278858631</v>
      </c>
      <c r="S294" s="1902">
        <f t="shared" si="498"/>
        <v>-0.3753333333333333</v>
      </c>
      <c r="T294" s="1902">
        <f t="shared" si="498"/>
        <v>-0.48486646884272999</v>
      </c>
      <c r="U294" s="1902">
        <f t="shared" si="498"/>
        <v>0.64072398190045243</v>
      </c>
      <c r="V294" s="1774">
        <f t="shared" si="498"/>
        <v>0.26122448979591839</v>
      </c>
      <c r="W294" s="1902">
        <f t="shared" si="498"/>
        <v>-6.2815884476534301E-2</v>
      </c>
      <c r="X294" s="1902">
        <f t="shared" si="498"/>
        <v>5.4429028815368152E-2</v>
      </c>
      <c r="Y294" s="1902">
        <f t="shared" si="498"/>
        <v>-0.23617511520737322</v>
      </c>
      <c r="Z294" s="1902">
        <f t="shared" si="498"/>
        <v>-0.18091560948703811</v>
      </c>
      <c r="AA294" s="1774">
        <f t="shared" si="498"/>
        <v>-0.13183444047010728</v>
      </c>
      <c r="AB294" s="1902">
        <f t="shared" si="498"/>
        <v>-0.19414483821263484</v>
      </c>
      <c r="AC294" s="1902">
        <f t="shared" si="498"/>
        <v>0.18724696356275294</v>
      </c>
      <c r="AD294" s="1902">
        <f t="shared" si="498"/>
        <v>0.158371040723982</v>
      </c>
      <c r="AE294" s="1902">
        <f t="shared" si="498"/>
        <v>-3.0303030303030276E-2</v>
      </c>
      <c r="AF294" s="1774">
        <f t="shared" si="498"/>
        <v>1.9226996272317054E-2</v>
      </c>
      <c r="AG294" s="1902">
        <f t="shared" si="498"/>
        <v>-2.5812619502868062E-2</v>
      </c>
      <c r="AH294" s="1902">
        <f t="shared" si="498"/>
        <v>0.20886615515771534</v>
      </c>
      <c r="AI294" s="1902">
        <f t="shared" si="498"/>
        <v>0.81575520833333326</v>
      </c>
      <c r="AJ294" s="1902">
        <f t="shared" si="498"/>
        <v>0.13819444444444451</v>
      </c>
      <c r="AK294" s="1774">
        <f t="shared" si="498"/>
        <v>0.3214629451395572</v>
      </c>
      <c r="AL294" s="1902">
        <f t="shared" si="498"/>
        <v>6.9676153091265958E-2</v>
      </c>
      <c r="AM294" s="1902">
        <f t="shared" si="498"/>
        <v>-0.27715091678420312</v>
      </c>
      <c r="AN294" s="1902">
        <f t="shared" si="498"/>
        <v>-0.48798852635353174</v>
      </c>
      <c r="AO294" s="1902">
        <f t="shared" si="498"/>
        <v>-0.26479560707748628</v>
      </c>
      <c r="AP294" s="1774">
        <f t="shared" si="498"/>
        <v>-0.30837581937363434</v>
      </c>
      <c r="AQ294" s="1900">
        <f t="shared" si="498"/>
        <v>-0.15137614678899081</v>
      </c>
      <c r="AR294" s="1900">
        <f t="shared" si="498"/>
        <v>0.21365853658536582</v>
      </c>
      <c r="AS294" s="1900">
        <f t="shared" si="498"/>
        <v>-0.17156862745098034</v>
      </c>
      <c r="AT294" s="1900">
        <f t="shared" si="498"/>
        <v>-0.10622406639004145</v>
      </c>
      <c r="AU294" s="1774">
        <f t="shared" si="498"/>
        <v>-6.7186183656276377E-2</v>
      </c>
      <c r="AV294" s="1900">
        <f t="shared" si="498"/>
        <v>0.13513513513513509</v>
      </c>
      <c r="AW294" s="1900">
        <f t="shared" si="498"/>
        <v>-0.15514469453376201</v>
      </c>
      <c r="AX294" s="1900">
        <f t="shared" ref="AX294:CD294" si="499">AX293/AS293-1</f>
        <v>-1.6906170752324368E-3</v>
      </c>
      <c r="AY294" s="1900">
        <f t="shared" si="499"/>
        <v>0.41875580315691741</v>
      </c>
      <c r="AZ294" s="1774">
        <f t="shared" si="499"/>
        <v>8.6023933167757916E-2</v>
      </c>
      <c r="BA294" s="1900">
        <f t="shared" si="499"/>
        <v>0.16380952380952385</v>
      </c>
      <c r="BB294" s="1900">
        <f t="shared" si="499"/>
        <v>0.10085632730732641</v>
      </c>
      <c r="BC294" s="1900">
        <f t="shared" si="499"/>
        <v>0.23200677392040636</v>
      </c>
      <c r="BD294" s="1900">
        <f t="shared" si="499"/>
        <v>-2.4869109947644019E-2</v>
      </c>
      <c r="BE294" s="1774">
        <f t="shared" si="499"/>
        <v>0.10686070686070681</v>
      </c>
      <c r="BF294" s="1900">
        <f t="shared" si="499"/>
        <v>0.19230769230769229</v>
      </c>
      <c r="BG294" s="1900">
        <f t="shared" si="499"/>
        <v>0.3664649956784789</v>
      </c>
      <c r="BH294" s="1900">
        <f t="shared" si="499"/>
        <v>0.42611683848797255</v>
      </c>
      <c r="BI294" s="1900">
        <f t="shared" si="499"/>
        <v>0.20335570469798658</v>
      </c>
      <c r="BJ294" s="1774">
        <f t="shared" si="499"/>
        <v>0.29714500375657393</v>
      </c>
      <c r="BK294" s="1900">
        <f t="shared" si="499"/>
        <v>-2.5394646533973941E-2</v>
      </c>
      <c r="BL294" s="1909">
        <f t="shared" si="499"/>
        <v>-0.200355001834154</v>
      </c>
      <c r="BM294" s="1909">
        <f t="shared" si="499"/>
        <v>3.6056578724299904E-2</v>
      </c>
      <c r="BN294" s="1900">
        <f t="shared" si="499"/>
        <v>1.0446697764612485</v>
      </c>
      <c r="BO294" s="1774">
        <f t="shared" si="499"/>
        <v>0.23083536810717398</v>
      </c>
      <c r="BP294" s="1909">
        <f t="shared" si="499"/>
        <v>0.28412182665447872</v>
      </c>
      <c r="BQ294" s="1909">
        <f t="shared" si="499"/>
        <v>0.54383439900161989</v>
      </c>
      <c r="BR294" s="1909">
        <f t="shared" si="499"/>
        <v>0.16235843557803609</v>
      </c>
      <c r="BS294" s="1900">
        <f t="shared" si="499"/>
        <v>5.4962710543944304E-2</v>
      </c>
      <c r="BT294" s="1910">
        <f t="shared" si="499"/>
        <v>0.19311766107387895</v>
      </c>
      <c r="BU294" s="1909" t="e">
        <f t="shared" si="499"/>
        <v>#REF!</v>
      </c>
      <c r="BV294" s="1909" t="e">
        <f t="shared" si="499"/>
        <v>#REF!</v>
      </c>
      <c r="BW294" s="1909" t="e">
        <f t="shared" si="499"/>
        <v>#REF!</v>
      </c>
      <c r="BX294" s="1909" t="e">
        <f t="shared" si="499"/>
        <v>#REF!</v>
      </c>
      <c r="BY294" s="1910" t="e">
        <f t="shared" si="499"/>
        <v>#REF!</v>
      </c>
      <c r="BZ294" s="1909" t="e">
        <f t="shared" si="499"/>
        <v>#REF!</v>
      </c>
      <c r="CA294" s="1909" t="e">
        <f t="shared" si="499"/>
        <v>#REF!</v>
      </c>
      <c r="CB294" s="1909" t="e">
        <f t="shared" si="499"/>
        <v>#REF!</v>
      </c>
      <c r="CC294" s="1909" t="e">
        <f t="shared" si="499"/>
        <v>#REF!</v>
      </c>
      <c r="CD294" s="1910" t="e">
        <f t="shared" si="499"/>
        <v>#REF!</v>
      </c>
      <c r="CE294" s="1909" t="e">
        <f t="shared" ref="CE294:CI294" si="500">CE293/BZ293-1</f>
        <v>#REF!</v>
      </c>
      <c r="CF294" s="1909" t="e">
        <f t="shared" si="500"/>
        <v>#REF!</v>
      </c>
      <c r="CG294" s="1909" t="e">
        <f t="shared" si="500"/>
        <v>#REF!</v>
      </c>
      <c r="CH294" s="1909" t="e">
        <f t="shared" si="500"/>
        <v>#REF!</v>
      </c>
      <c r="CI294" s="1910" t="e">
        <f t="shared" si="500"/>
        <v>#REF!</v>
      </c>
      <c r="CJ294" s="1909">
        <f t="shared" ref="CJ294:CS294" si="501">CJ293/CE293-1</f>
        <v>-0.43850476219254098</v>
      </c>
      <c r="CK294" s="1909">
        <f t="shared" si="501"/>
        <v>-0.65012016809442841</v>
      </c>
      <c r="CL294" s="1909">
        <f t="shared" si="501"/>
        <v>-1.557464179031574</v>
      </c>
      <c r="CM294" s="1909" t="e">
        <f t="shared" si="501"/>
        <v>#REF!</v>
      </c>
      <c r="CN294" s="1910" t="e">
        <f t="shared" si="501"/>
        <v>#REF!</v>
      </c>
      <c r="CO294" s="1909">
        <f t="shared" si="501"/>
        <v>-0.68522641800230111</v>
      </c>
      <c r="CP294" s="1909">
        <f t="shared" si="501"/>
        <v>-2.0510759585934926</v>
      </c>
      <c r="CQ294" s="1909">
        <f t="shared" si="501"/>
        <v>-9.6132065661321811</v>
      </c>
      <c r="CR294" s="1909" t="e">
        <f t="shared" si="501"/>
        <v>#REF!</v>
      </c>
      <c r="CS294" s="1910" t="e">
        <f t="shared" si="501"/>
        <v>#REF!</v>
      </c>
      <c r="CT294" s="1909">
        <f t="shared" ref="CT294" si="502">CT293/CO293-1</f>
        <v>-2.267812201322851</v>
      </c>
      <c r="CU294" s="1909">
        <f t="shared" ref="CU294" si="503">CU293/CP293-1</f>
        <v>2.01067742692031</v>
      </c>
      <c r="CV294" s="1909">
        <f t="shared" ref="CV294" si="504">CV293/CQ293-1</f>
        <v>-0.36117529072463139</v>
      </c>
      <c r="CW294" s="1909" t="e">
        <f t="shared" ref="CW294" si="505">CW293/CR293-1</f>
        <v>#REF!</v>
      </c>
      <c r="CX294" s="1910" t="e">
        <f t="shared" ref="CX294" si="506">CX293/CS293-1</f>
        <v>#REF!</v>
      </c>
      <c r="CY294" s="1900"/>
      <c r="CZ294" s="1900"/>
      <c r="DA294" s="1900"/>
      <c r="DB294" s="1900"/>
      <c r="DC294" s="1900"/>
      <c r="DD294" s="1900"/>
      <c r="DE294" s="1900"/>
      <c r="DF294" s="1900"/>
      <c r="DG294" s="1900"/>
      <c r="DH294" s="1773"/>
      <c r="DI294" s="1774"/>
      <c r="DJ294" s="1773"/>
      <c r="DK294" s="1911"/>
      <c r="DL294" s="1911"/>
      <c r="DM294" s="1910"/>
      <c r="DN294" s="1910"/>
      <c r="DO294" s="1910"/>
      <c r="DP294" s="1910"/>
      <c r="DQ294" s="1910"/>
      <c r="DR294" s="3060"/>
    </row>
    <row r="295" spans="1:148" hidden="1" outlineLevel="2">
      <c r="A295" s="1912" t="s">
        <v>529</v>
      </c>
      <c r="B295" s="1913"/>
      <c r="C295" s="1803"/>
      <c r="D295" s="1803"/>
      <c r="E295" s="1803"/>
      <c r="F295" s="1803"/>
      <c r="G295" s="1801"/>
      <c r="H295" s="1803"/>
      <c r="I295" s="1803"/>
      <c r="J295" s="1803"/>
      <c r="K295" s="1803"/>
      <c r="L295" s="1801"/>
      <c r="M295" s="1803">
        <v>-771</v>
      </c>
      <c r="N295" s="1803">
        <v>-1500</v>
      </c>
      <c r="O295" s="1803">
        <v>-3370</v>
      </c>
      <c r="P295" s="1887">
        <v>-1105</v>
      </c>
      <c r="Q295" s="1914">
        <v>-4655</v>
      </c>
      <c r="R295" s="1889">
        <v>-1385</v>
      </c>
      <c r="S295" s="1889">
        <v>-937</v>
      </c>
      <c r="T295" s="1890">
        <v>-1736</v>
      </c>
      <c r="U295" s="1890">
        <v>-1813</v>
      </c>
      <c r="V295" s="1801">
        <f>SUM(R295:U295)</f>
        <v>-5871</v>
      </c>
      <c r="W295" s="1889">
        <v>-1298</v>
      </c>
      <c r="X295" s="1889">
        <v>-988</v>
      </c>
      <c r="Y295" s="1889">
        <v>-1326</v>
      </c>
      <c r="Z295" s="1890">
        <v>-1485</v>
      </c>
      <c r="AA295" s="1801">
        <f>SUM(W295:Z295)</f>
        <v>-5097</v>
      </c>
      <c r="AB295" s="1889">
        <v>-1031</v>
      </c>
      <c r="AC295" s="1889">
        <v>-1165</v>
      </c>
      <c r="AD295" s="1889">
        <v>-1540</v>
      </c>
      <c r="AE295" s="1890">
        <v>-1439</v>
      </c>
      <c r="AF295" s="1801">
        <f>SUM(AB295:AE295)</f>
        <v>-5175</v>
      </c>
      <c r="AG295" s="1890">
        <v>-1006</v>
      </c>
      <c r="AH295" s="1889">
        <v>-1400</v>
      </c>
      <c r="AI295" s="1889">
        <v>-2779</v>
      </c>
      <c r="AJ295" s="1890">
        <v>-1582</v>
      </c>
      <c r="AK295" s="1801">
        <f>SUM(AG295:AJ295)</f>
        <v>-6767</v>
      </c>
      <c r="AL295" s="1890">
        <v>-1090</v>
      </c>
      <c r="AM295" s="1889">
        <f>IS!DA37-'Rev Overview'!AM278-'Rev Overview'!AM269-'Rev Overview'!AM250-'Rev Overview'!AM230-'Rev Overview'!AM219</f>
        <v>-961</v>
      </c>
      <c r="AN295" s="1889">
        <v>-1363</v>
      </c>
      <c r="AO295" s="1889">
        <v>-1128</v>
      </c>
      <c r="AP295" s="1801">
        <f>SUM(AL295:AO295)</f>
        <v>-4542</v>
      </c>
      <c r="AQ295" s="1890">
        <v>-848</v>
      </c>
      <c r="AR295" s="1890">
        <v>-1217</v>
      </c>
      <c r="AS295" s="1890">
        <v>-1153</v>
      </c>
      <c r="AT295" s="1890">
        <v>-1055</v>
      </c>
      <c r="AU295" s="1801">
        <f>SUM(AQ295:AT295)</f>
        <v>-4273</v>
      </c>
      <c r="AV295" s="1890">
        <v>-1047</v>
      </c>
      <c r="AW295" s="1890">
        <v>-963</v>
      </c>
      <c r="AX295" s="1890">
        <v>-1138</v>
      </c>
      <c r="AY295" s="1890">
        <v>-1468</v>
      </c>
      <c r="AZ295" s="1801">
        <f>SUM(AV295:AY295)</f>
        <v>-4616</v>
      </c>
      <c r="BA295" s="1890">
        <v>-1178</v>
      </c>
      <c r="BB295" s="1890">
        <v>-1082</v>
      </c>
      <c r="BC295" s="1890">
        <v>-1379</v>
      </c>
      <c r="BD295" s="1890">
        <v>-1473</v>
      </c>
      <c r="BE295" s="1801">
        <f>SUM(BA295:BD295)</f>
        <v>-5112</v>
      </c>
      <c r="BF295" s="1890">
        <v>-1391</v>
      </c>
      <c r="BG295" s="1890">
        <v>-1524</v>
      </c>
      <c r="BH295" s="1890">
        <v>-2010</v>
      </c>
      <c r="BI295" s="1890">
        <v>-1742</v>
      </c>
      <c r="BJ295" s="1801">
        <f>SUM(BF295:BI295)</f>
        <v>-6667</v>
      </c>
      <c r="BK295" s="1890">
        <v>-1344</v>
      </c>
      <c r="BL295" s="1891">
        <f>IS!DZ37-'Rev Overview'!BL219-'Rev Overview'!BL230-'Rev Overview'!BL250-'Rev Overview'!BL269-'Rev Overview'!BL278</f>
        <v>-1264.2387421002024</v>
      </c>
      <c r="BM295" s="1891">
        <f>IS!EA37-'Rev Overview'!BM219-'Rev Overview'!BM230-'Rev Overview'!BM250-'Rev Overview'!BM269-'Rev Overview'!BM278</f>
        <v>-2149.8174008529222</v>
      </c>
      <c r="BN295" s="1890">
        <f>IS!EB37-'Rev Overview'!BN219-'Rev Overview'!BN230-'Rev Overview'!BN250-'Rev Overview'!BN269-'Rev Overview'!BN278</f>
        <v>-3666.0929091950184</v>
      </c>
      <c r="BO295" s="1801">
        <f>SUM(BK295:BN295)</f>
        <v>-8424.1490521481428</v>
      </c>
      <c r="BP295" s="1891">
        <f>IS!ED37-'Rev Overview'!BP219-'Rev Overview'!BP230-'Rev Overview'!BP250-'Rev Overview'!BP269-'Rev Overview'!BP278</f>
        <v>-1823.4529938493597</v>
      </c>
      <c r="BQ295" s="1891">
        <f>IS!EE37-'Rev Overview'!BQ219-'Rev Overview'!BQ230-'Rev Overview'!BQ250-'Rev Overview'!BQ269-'Rev Overview'!BQ278</f>
        <v>-1951.77525860483</v>
      </c>
      <c r="BR295" s="1891">
        <f>IS!EF37-'Rev Overview'!BR219-'Rev Overview'!BR230-'Rev Overview'!BR250-'Rev Overview'!BR269-'Rev Overview'!BR278</f>
        <v>-2498.8583908338423</v>
      </c>
      <c r="BS295" s="1890">
        <f>IS!EG37-'Rev Overview'!BS219-'Rev Overview'!BS230-'Rev Overview'!BS250-'Rev Overview'!BS269-'Rev Overview'!BS278</f>
        <v>-3867.5913125903107</v>
      </c>
      <c r="BT295" s="1908">
        <f>SUM(BP295:BS295)</f>
        <v>-10141.677955878342</v>
      </c>
      <c r="BU295" s="1891" t="e">
        <f>IS!EI37-#REF!-#REF!-#REF!-#REF!-#REF!</f>
        <v>#REF!</v>
      </c>
      <c r="BV295" s="1891" t="e">
        <f>IS!EJ37-#REF!-#REF!-#REF!-#REF!-#REF!</f>
        <v>#REF!</v>
      </c>
      <c r="BW295" s="1891" t="e">
        <f>IS!EK37-#REF!-#REF!-#REF!-#REF!-#REF!</f>
        <v>#REF!</v>
      </c>
      <c r="BX295" s="1891" t="e">
        <f>IS!EL37-#REF!-#REF!-#REF!-#REF!-#REF!</f>
        <v>#REF!</v>
      </c>
      <c r="BY295" s="1908" t="e">
        <f>SUM(BU295:BX295)</f>
        <v>#REF!</v>
      </c>
      <c r="BZ295" s="1891" t="e">
        <f>IS!EN37-#REF!-#REF!-#REF!-#REF!-#REF!</f>
        <v>#REF!</v>
      </c>
      <c r="CA295" s="1891" t="e">
        <f>IS!EO37-#REF!-#REF!-#REF!-#REF!-#REF!</f>
        <v>#REF!</v>
      </c>
      <c r="CB295" s="1891" t="e">
        <f>IS!EP37-#REF!-#REF!-#REF!-#REF!-#REF!</f>
        <v>#REF!</v>
      </c>
      <c r="CC295" s="1891" t="e">
        <f>IS!EQ37-#REF!-#REF!-#REF!-#REF!-#REF!</f>
        <v>#REF!</v>
      </c>
      <c r="CD295" s="1908" t="e">
        <f>SUM(BZ295:CC295)</f>
        <v>#REF!</v>
      </c>
      <c r="CE295" s="1891">
        <f>IS!ES37-'Rev Overview'!CE219-'Rev Overview'!CE230-'Rev Overview'!CE250-'Rev Overview'!CE269-'Rev Overview'!CE278</f>
        <v>-2293.5863817295135</v>
      </c>
      <c r="CF295" s="1891">
        <f>IS!ET37-'Rev Overview'!CF219-'Rev Overview'!CF230-'Rev Overview'!CF250-'Rev Overview'!CF269-'Rev Overview'!CF278</f>
        <v>-1798.9289016064386</v>
      </c>
      <c r="CG295" s="1891">
        <f>IS!EU37-'Rev Overview'!CG219-'Rev Overview'!CG230-'Rev Overview'!CG250-'Rev Overview'!CG269-'Rev Overview'!CG278</f>
        <v>-1903.5191560134972</v>
      </c>
      <c r="CH295" s="1891" t="e">
        <f>IS!EV37-'Rev Overview'!CH219-'Rev Overview'!CH230-'Rev Overview'!CH250-'Rev Overview'!CH269-'Rev Overview'!CH278</f>
        <v>#REF!</v>
      </c>
      <c r="CI295" s="1908" t="e">
        <f>SUM(CE295:CH295)</f>
        <v>#REF!</v>
      </c>
      <c r="CJ295" s="1891">
        <f>IS!EX37-'Rev Overview'!CJ219-'Rev Overview'!CJ230-'Rev Overview'!CJ250-'Rev Overview'!CJ269-'Rev Overview'!CJ278</f>
        <v>-1287.8378308411627</v>
      </c>
      <c r="CK295" s="1891">
        <f>IS!EY37-'Rev Overview'!CK219-'Rev Overview'!CK230-'Rev Overview'!CK250-'Rev Overview'!CK269-'Rev Overview'!CK278</f>
        <v>-629.40894170413515</v>
      </c>
      <c r="CL295" s="1891">
        <f>IS!EZ37-'Rev Overview'!CL219-'Rev Overview'!CL230-'Rev Overview'!CL250-'Rev Overview'!CL269-'Rev Overview'!CL278</f>
        <v>1061.1437435779387</v>
      </c>
      <c r="CM295" s="1891" t="e">
        <f>IS!FA37-'Rev Overview'!CM219-'Rev Overview'!CM230-'Rev Overview'!CM250-'Rev Overview'!CM269-'Rev Overview'!CM278</f>
        <v>#REF!</v>
      </c>
      <c r="CN295" s="1908" t="e">
        <f>SUM(CJ295:CM295)</f>
        <v>#REF!</v>
      </c>
      <c r="CO295" s="1891">
        <f>IS!FC37-'Rev Overview'!CO219-'Rev Overview'!CO230-'Rev Overview'!CO250-'Rev Overview'!CO269-'Rev Overview'!CO278</f>
        <v>-405.37732704601933</v>
      </c>
      <c r="CP295" s="1891">
        <f>IS!FD37-'Rev Overview'!CP219-'Rev Overview'!CP230-'Rev Overview'!CP250-'Rev Overview'!CP269-'Rev Overview'!CP278</f>
        <v>661.55660674898957</v>
      </c>
      <c r="CQ295" s="1891">
        <f>IS!FE37-'Rev Overview'!CQ219-'Rev Overview'!CQ230-'Rev Overview'!CQ250-'Rev Overview'!CQ269-'Rev Overview'!CQ278</f>
        <v>-9139.8502597955849</v>
      </c>
      <c r="CR295" s="1891" t="e">
        <f>IS!FF37-'Rev Overview'!CR219-'Rev Overview'!CR230-'Rev Overview'!CR250-'Rev Overview'!CR269-'Rev Overview'!CR278</f>
        <v>#REF!</v>
      </c>
      <c r="CS295" s="1908" t="e">
        <f>SUM(CO295:CR295)</f>
        <v>#REF!</v>
      </c>
      <c r="CT295" s="1891">
        <f>IS!FH37-'Rev Overview'!CT219-'Rev Overview'!CT230-'Rev Overview'!CT250-'Rev Overview'!CT269-'Rev Overview'!CT278</f>
        <v>513.94232136858705</v>
      </c>
      <c r="CU295" s="1891">
        <f>IS!FI37-'Rev Overview'!CU219-'Rev Overview'!CU230-'Rev Overview'!CU250-'Rev Overview'!CU269-'Rev Overview'!CU278</f>
        <v>1991.7335425691792</v>
      </c>
      <c r="CV295" s="1891">
        <f>IS!FJ37-'Rev Overview'!CV219-'Rev Overview'!CV230-'Rev Overview'!CV250-'Rev Overview'!CV269-'Rev Overview'!CV278</f>
        <v>-5838.7621850343166</v>
      </c>
      <c r="CW295" s="1891" t="e">
        <f>IS!FK37-'Rev Overview'!CW219-'Rev Overview'!CW230-'Rev Overview'!CW250-'Rev Overview'!CW269-'Rev Overview'!CW278</f>
        <v>#REF!</v>
      </c>
      <c r="CX295" s="1908" t="e">
        <f>SUM(CT295:CW295)</f>
        <v>#REF!</v>
      </c>
      <c r="CY295" s="1890"/>
      <c r="CZ295" s="1890"/>
      <c r="DA295" s="1890"/>
      <c r="DB295" s="1890"/>
      <c r="DC295" s="1890"/>
      <c r="DD295" s="1890"/>
      <c r="DE295" s="1890"/>
      <c r="DF295" s="1890"/>
      <c r="DG295" s="1890"/>
      <c r="DH295" s="1804"/>
      <c r="DI295" s="1801"/>
      <c r="DJ295" s="1804"/>
      <c r="DK295" s="1907"/>
      <c r="DL295" s="1907"/>
      <c r="DM295" s="1908"/>
      <c r="DN295" s="1908"/>
      <c r="DO295" s="1908"/>
      <c r="DP295" s="1908"/>
      <c r="DQ295" s="1908"/>
      <c r="DR295" s="1915"/>
    </row>
    <row r="296" spans="1:148" hidden="1" outlineLevel="2">
      <c r="A296" s="1926"/>
      <c r="B296" s="1886"/>
      <c r="C296" s="1803"/>
      <c r="D296" s="1803"/>
      <c r="E296" s="1803"/>
      <c r="F296" s="1803"/>
      <c r="G296" s="1762"/>
      <c r="H296" s="1803"/>
      <c r="I296" s="1803"/>
      <c r="J296" s="1803"/>
      <c r="K296" s="1803"/>
      <c r="L296" s="1762"/>
      <c r="M296" s="1803"/>
      <c r="N296" s="1978"/>
      <c r="O296" s="1803"/>
      <c r="P296" s="1887"/>
      <c r="Q296" s="1888"/>
      <c r="R296" s="1928"/>
      <c r="S296" s="1928"/>
      <c r="T296" s="1893"/>
      <c r="U296" s="1893"/>
      <c r="V296" s="1929"/>
      <c r="W296" s="1928"/>
      <c r="X296" s="1928"/>
      <c r="Y296" s="1928"/>
      <c r="Z296" s="1893"/>
      <c r="AA296" s="1929"/>
      <c r="AB296" s="1928"/>
      <c r="AC296" s="1928"/>
      <c r="AD296" s="1928"/>
      <c r="AE296" s="1893"/>
      <c r="AF296" s="1929"/>
      <c r="AG296" s="1893"/>
      <c r="AH296" s="1928"/>
      <c r="AI296" s="1928"/>
      <c r="AJ296" s="1893"/>
      <c r="AK296" s="1929"/>
      <c r="AL296" s="1893"/>
      <c r="AM296" s="1928"/>
      <c r="AN296" s="1928"/>
      <c r="AO296" s="1928"/>
      <c r="AP296" s="1979"/>
      <c r="AQ296" s="1893"/>
      <c r="AR296" s="1893"/>
      <c r="AS296" s="1893"/>
      <c r="AT296" s="1893"/>
      <c r="AU296" s="1979"/>
      <c r="AV296" s="1893"/>
      <c r="AW296" s="1893"/>
      <c r="AX296" s="1893"/>
      <c r="AY296" s="1893"/>
      <c r="AZ296" s="1979"/>
      <c r="BA296" s="1893"/>
      <c r="BB296" s="1893"/>
      <c r="BC296" s="1893"/>
      <c r="BD296" s="1893"/>
      <c r="BE296" s="1979"/>
      <c r="BF296" s="1893"/>
      <c r="BG296" s="1893"/>
      <c r="BH296" s="1893"/>
      <c r="BI296" s="1893"/>
      <c r="BJ296" s="1979"/>
      <c r="BK296" s="1893"/>
      <c r="BL296" s="1980"/>
      <c r="BM296" s="1980"/>
      <c r="BN296" s="1893"/>
      <c r="BO296" s="1979"/>
      <c r="BP296" s="1980"/>
      <c r="BQ296" s="1980"/>
      <c r="BR296" s="1980"/>
      <c r="BS296" s="1893"/>
      <c r="BT296" s="1981"/>
      <c r="BU296" s="1980"/>
      <c r="BV296" s="1980"/>
      <c r="BW296" s="1980"/>
      <c r="BX296" s="1980"/>
      <c r="BY296" s="1981"/>
      <c r="BZ296" s="1980"/>
      <c r="CA296" s="1980"/>
      <c r="CB296" s="1980"/>
      <c r="CC296" s="1980"/>
      <c r="CD296" s="1981"/>
      <c r="CE296" s="1980"/>
      <c r="CF296" s="1980"/>
      <c r="CG296" s="1980"/>
      <c r="CH296" s="1980"/>
      <c r="CI296" s="1981"/>
      <c r="CJ296" s="1980"/>
      <c r="CK296" s="1980"/>
      <c r="CL296" s="1980"/>
      <c r="CM296" s="1980"/>
      <c r="CN296" s="1981"/>
      <c r="CO296" s="1980"/>
      <c r="CP296" s="1980"/>
      <c r="CQ296" s="1980"/>
      <c r="CR296" s="1980"/>
      <c r="CS296" s="1981"/>
      <c r="CT296" s="1980"/>
      <c r="CU296" s="1980"/>
      <c r="CV296" s="1980"/>
      <c r="CW296" s="1980"/>
      <c r="CX296" s="1981"/>
      <c r="CY296" s="1893"/>
      <c r="CZ296" s="1893"/>
      <c r="DA296" s="1893"/>
      <c r="DB296" s="1893"/>
      <c r="DC296" s="1893"/>
      <c r="DD296" s="1893"/>
      <c r="DE296" s="1893"/>
      <c r="DF296" s="1893"/>
      <c r="DG296" s="1893"/>
      <c r="DH296" s="1982"/>
      <c r="DI296" s="1979"/>
      <c r="DJ296" s="1982"/>
      <c r="DK296" s="1983"/>
      <c r="DL296" s="1983"/>
      <c r="DM296" s="1981"/>
      <c r="DN296" s="1981"/>
      <c r="DO296" s="1981"/>
      <c r="DP296" s="1981"/>
      <c r="DQ296" s="1981"/>
      <c r="DR296" s="3061"/>
    </row>
    <row r="297" spans="1:148" hidden="1" outlineLevel="2">
      <c r="A297" s="1984" t="s">
        <v>743</v>
      </c>
      <c r="B297" s="1985">
        <f t="shared" ref="B297:AG297" si="507">B210+B224+B244+B253+B272+B291</f>
        <v>25073</v>
      </c>
      <c r="C297" s="1985">
        <f t="shared" si="507"/>
        <v>6126</v>
      </c>
      <c r="D297" s="1985">
        <f t="shared" si="507"/>
        <v>7741</v>
      </c>
      <c r="E297" s="1985">
        <f t="shared" si="507"/>
        <v>7245</v>
      </c>
      <c r="F297" s="1985">
        <f t="shared" si="507"/>
        <v>7253</v>
      </c>
      <c r="G297" s="1985">
        <f t="shared" si="507"/>
        <v>28365</v>
      </c>
      <c r="H297" s="1985">
        <f t="shared" si="507"/>
        <v>7746</v>
      </c>
      <c r="I297" s="1985">
        <f t="shared" si="507"/>
        <v>8541</v>
      </c>
      <c r="J297" s="1985">
        <f t="shared" si="507"/>
        <v>7835</v>
      </c>
      <c r="K297" s="1985">
        <f t="shared" si="507"/>
        <v>8065</v>
      </c>
      <c r="L297" s="1985">
        <f t="shared" si="507"/>
        <v>32187</v>
      </c>
      <c r="M297" s="1985">
        <f t="shared" si="507"/>
        <v>8215</v>
      </c>
      <c r="N297" s="1985">
        <f t="shared" si="507"/>
        <v>10153</v>
      </c>
      <c r="O297" s="1985">
        <f t="shared" si="507"/>
        <v>9175</v>
      </c>
      <c r="P297" s="1985">
        <f t="shared" si="507"/>
        <v>9292</v>
      </c>
      <c r="Q297" s="1985">
        <f t="shared" si="507"/>
        <v>36835</v>
      </c>
      <c r="R297" s="1985">
        <f t="shared" si="507"/>
        <v>9189</v>
      </c>
      <c r="S297" s="1985">
        <f t="shared" si="507"/>
        <v>10818</v>
      </c>
      <c r="T297" s="1985">
        <f t="shared" si="507"/>
        <v>9620</v>
      </c>
      <c r="U297" s="1985">
        <f t="shared" si="507"/>
        <v>10161</v>
      </c>
      <c r="V297" s="1985">
        <f t="shared" si="507"/>
        <v>39788</v>
      </c>
      <c r="W297" s="1985">
        <f t="shared" si="507"/>
        <v>9741</v>
      </c>
      <c r="X297" s="1985">
        <f t="shared" si="507"/>
        <v>11838</v>
      </c>
      <c r="Y297" s="1985">
        <f t="shared" si="507"/>
        <v>10901</v>
      </c>
      <c r="Z297" s="1985">
        <f t="shared" si="507"/>
        <v>11806</v>
      </c>
      <c r="AA297" s="1985">
        <f t="shared" si="507"/>
        <v>44286</v>
      </c>
      <c r="AB297" s="1985">
        <f t="shared" si="507"/>
        <v>10811</v>
      </c>
      <c r="AC297" s="1985">
        <f t="shared" si="507"/>
        <v>12542</v>
      </c>
      <c r="AD297" s="1985">
        <f t="shared" si="507"/>
        <v>14398</v>
      </c>
      <c r="AE297" s="1985">
        <f t="shared" si="507"/>
        <v>13371</v>
      </c>
      <c r="AF297" s="1985">
        <f t="shared" si="507"/>
        <v>51122</v>
      </c>
      <c r="AG297" s="1985">
        <f t="shared" si="507"/>
        <v>13762</v>
      </c>
      <c r="AH297" s="1985">
        <f t="shared" ref="AH297:BM297" si="508">AH210+AH224+AH244+AH253+AH272+AH291</f>
        <v>16367</v>
      </c>
      <c r="AI297" s="1985">
        <f t="shared" si="508"/>
        <v>14454</v>
      </c>
      <c r="AJ297" s="1985">
        <f t="shared" si="508"/>
        <v>15837</v>
      </c>
      <c r="AK297" s="1985">
        <f t="shared" si="508"/>
        <v>60420</v>
      </c>
      <c r="AL297" s="1985">
        <f t="shared" si="508"/>
        <v>15061</v>
      </c>
      <c r="AM297" s="1985">
        <f t="shared" si="508"/>
        <v>16629</v>
      </c>
      <c r="AN297" s="1985">
        <f t="shared" si="508"/>
        <v>13648</v>
      </c>
      <c r="AO297" s="1985">
        <f t="shared" si="508"/>
        <v>13099</v>
      </c>
      <c r="AP297" s="1985">
        <f t="shared" si="508"/>
        <v>58437</v>
      </c>
      <c r="AQ297" s="1985">
        <f t="shared" si="508"/>
        <v>12920</v>
      </c>
      <c r="AR297" s="1985">
        <f t="shared" si="508"/>
        <v>19022</v>
      </c>
      <c r="AS297" s="1985">
        <f t="shared" si="508"/>
        <v>14503</v>
      </c>
      <c r="AT297" s="1985">
        <f t="shared" si="508"/>
        <v>16039</v>
      </c>
      <c r="AU297" s="1985">
        <f t="shared" si="508"/>
        <v>62484</v>
      </c>
      <c r="AV297" s="1985">
        <f t="shared" si="508"/>
        <v>16195</v>
      </c>
      <c r="AW297" s="1985">
        <f t="shared" si="508"/>
        <v>19953</v>
      </c>
      <c r="AX297" s="1985">
        <f t="shared" si="508"/>
        <v>16428</v>
      </c>
      <c r="AY297" s="1985">
        <f t="shared" si="508"/>
        <v>17365.439999999999</v>
      </c>
      <c r="AZ297" s="1986">
        <f t="shared" si="508"/>
        <v>69941.440000000002</v>
      </c>
      <c r="BA297" s="1985">
        <f t="shared" si="508"/>
        <v>17372</v>
      </c>
      <c r="BB297" s="1985">
        <f t="shared" si="508"/>
        <v>20885</v>
      </c>
      <c r="BC297" s="1985">
        <f t="shared" si="508"/>
        <v>17407</v>
      </c>
      <c r="BD297" s="1985">
        <f t="shared" si="508"/>
        <v>18059</v>
      </c>
      <c r="BE297" s="1986">
        <f t="shared" si="508"/>
        <v>73723</v>
      </c>
      <c r="BF297" s="1985">
        <f t="shared" si="508"/>
        <v>16008</v>
      </c>
      <c r="BG297" s="1985">
        <f t="shared" si="508"/>
        <v>21456</v>
      </c>
      <c r="BH297" s="1985">
        <f t="shared" si="508"/>
        <v>20489</v>
      </c>
      <c r="BI297" s="1985">
        <f t="shared" si="508"/>
        <v>19896</v>
      </c>
      <c r="BJ297" s="1986">
        <f t="shared" si="508"/>
        <v>77849</v>
      </c>
      <c r="BK297" s="1985">
        <f t="shared" si="508"/>
        <v>18642</v>
      </c>
      <c r="BL297" s="1987">
        <f t="shared" si="508"/>
        <v>24518.999999999996</v>
      </c>
      <c r="BM297" s="1987">
        <f t="shared" si="508"/>
        <v>20403.000000000004</v>
      </c>
      <c r="BN297" s="1985">
        <f t="shared" ref="BN297:CD297" si="509">BN210+BN224+BN244+BN253+BN272+BN291</f>
        <v>23382</v>
      </c>
      <c r="BO297" s="1986">
        <f t="shared" si="509"/>
        <v>86946</v>
      </c>
      <c r="BP297" s="1987">
        <f t="shared" si="509"/>
        <v>20126.286911465613</v>
      </c>
      <c r="BQ297" s="1987">
        <f t="shared" si="509"/>
        <v>25200.89713813088</v>
      </c>
      <c r="BR297" s="1987">
        <f t="shared" si="509"/>
        <v>20538.737789189967</v>
      </c>
      <c r="BS297" s="1985">
        <f t="shared" si="509"/>
        <v>23961.659000011055</v>
      </c>
      <c r="BT297" s="1988">
        <f t="shared" si="509"/>
        <v>89827.580838797498</v>
      </c>
      <c r="BU297" s="1987">
        <f t="shared" si="509"/>
        <v>16946.930966463915</v>
      </c>
      <c r="BV297" s="1987">
        <f t="shared" si="509"/>
        <v>21391.5101849362</v>
      </c>
      <c r="BW297" s="1987">
        <f t="shared" si="509"/>
        <v>17484.600638285581</v>
      </c>
      <c r="BX297" s="1987">
        <f t="shared" si="509"/>
        <v>21360.789646162819</v>
      </c>
      <c r="BY297" s="1988">
        <f t="shared" si="509"/>
        <v>77183.831435848508</v>
      </c>
      <c r="BZ297" s="1987">
        <f t="shared" si="509"/>
        <v>17924.363419378398</v>
      </c>
      <c r="CA297" s="1987">
        <f t="shared" si="509"/>
        <v>22366.127362802315</v>
      </c>
      <c r="CB297" s="1987">
        <f t="shared" si="509"/>
        <v>18297.65032865867</v>
      </c>
      <c r="CC297" s="1987">
        <f t="shared" si="509"/>
        <v>22362.412305037753</v>
      </c>
      <c r="CD297" s="1988">
        <f t="shared" si="509"/>
        <v>80950.553415877133</v>
      </c>
      <c r="CE297" s="1987">
        <f t="shared" ref="CE297:CI297" si="510">CE210+CE224+CE244+CE253+CE272+CE291</f>
        <v>23163.475220307828</v>
      </c>
      <c r="CF297" s="1987">
        <f t="shared" si="510"/>
        <v>26819.981000273794</v>
      </c>
      <c r="CG297" s="1987">
        <f t="shared" si="510"/>
        <v>22436.718592081041</v>
      </c>
      <c r="CH297" s="1987" t="e">
        <f t="shared" si="510"/>
        <v>#REF!</v>
      </c>
      <c r="CI297" s="1988" t="e">
        <f t="shared" si="510"/>
        <v>#REF!</v>
      </c>
      <c r="CJ297" s="1987">
        <f t="shared" ref="CJ297:CS297" si="511">CJ210+CJ224+CJ244+CJ253+CJ272+CJ291</f>
        <v>23666.12257769558</v>
      </c>
      <c r="CK297" s="1987">
        <f t="shared" si="511"/>
        <v>27420.67492341451</v>
      </c>
      <c r="CL297" s="1987">
        <f t="shared" si="511"/>
        <v>19157.033620937917</v>
      </c>
      <c r="CM297" s="1987" t="e">
        <f t="shared" si="511"/>
        <v>#REF!</v>
      </c>
      <c r="CN297" s="1988" t="e">
        <f t="shared" si="511"/>
        <v>#REF!</v>
      </c>
      <c r="CO297" s="1987">
        <f t="shared" si="511"/>
        <v>24775.954004740935</v>
      </c>
      <c r="CP297" s="1987">
        <f t="shared" si="511"/>
        <v>28192.717674666499</v>
      </c>
      <c r="CQ297" s="1987">
        <f t="shared" si="511"/>
        <v>39198.543667699982</v>
      </c>
      <c r="CR297" s="1987" t="e">
        <f t="shared" si="511"/>
        <v>#REF!</v>
      </c>
      <c r="CS297" s="1988" t="e">
        <f t="shared" si="511"/>
        <v>#REF!</v>
      </c>
      <c r="CT297" s="1987">
        <f t="shared" ref="CT297:CX297" si="512">CT210+CT224+CT244+CT253+CT272+CT291</f>
        <v>25838.832875033633</v>
      </c>
      <c r="CU297" s="1987">
        <f t="shared" si="512"/>
        <v>28847.969192804921</v>
      </c>
      <c r="CV297" s="1987">
        <f t="shared" si="512"/>
        <v>39243.200697781031</v>
      </c>
      <c r="CW297" s="1987" t="e">
        <f t="shared" si="512"/>
        <v>#REF!</v>
      </c>
      <c r="CX297" s="1988" t="e">
        <f t="shared" si="512"/>
        <v>#REF!</v>
      </c>
      <c r="CY297" s="1989"/>
      <c r="CZ297" s="1989"/>
      <c r="DA297" s="1989"/>
      <c r="DB297" s="1989"/>
      <c r="DC297" s="1989"/>
      <c r="DD297" s="1989"/>
      <c r="DE297" s="1989"/>
      <c r="DF297" s="1989"/>
      <c r="DG297" s="1989"/>
      <c r="DH297" s="1990">
        <f>IS!FZ8</f>
        <v>72050.44</v>
      </c>
      <c r="DI297" s="1986">
        <f>SUM(BC297:BD297,BF297:BG297)</f>
        <v>72930</v>
      </c>
      <c r="DJ297" s="1990">
        <f>SUM(BH297:BI297,BK297:BL297)</f>
        <v>83546</v>
      </c>
      <c r="DK297" s="1991">
        <f>SUM(BM297:BN297,BP297:BQ297)</f>
        <v>89112.184049596486</v>
      </c>
      <c r="DL297" s="1991">
        <f>SUM(BU297:BV297,BR297:BS297)</f>
        <v>82838.837940601137</v>
      </c>
      <c r="DM297" s="1988">
        <f>SUM(BW297:BX297,BZ297:CA297)</f>
        <v>79135.88106662911</v>
      </c>
      <c r="DN297" s="1988">
        <f>SUM(CB297:CC297,CE297:CF297)</f>
        <v>90643.518854278038</v>
      </c>
      <c r="DO297" s="1988"/>
      <c r="DP297" s="1988"/>
      <c r="DQ297" s="1988"/>
      <c r="DR297" s="1993"/>
    </row>
    <row r="298" spans="1:148" hidden="1" outlineLevel="2">
      <c r="A298" s="1992"/>
      <c r="B298" s="1795"/>
      <c r="C298" s="1795"/>
      <c r="D298" s="1795"/>
      <c r="E298" s="1795"/>
      <c r="F298" s="1795"/>
      <c r="G298" s="1795"/>
      <c r="H298" s="1795"/>
      <c r="I298" s="1795"/>
      <c r="J298" s="1795"/>
      <c r="K298" s="1795"/>
      <c r="L298" s="1795"/>
      <c r="M298" s="1795"/>
      <c r="N298" s="1795"/>
      <c r="O298" s="1795"/>
      <c r="P298" s="1795"/>
      <c r="Q298" s="1795"/>
      <c r="R298" s="1795"/>
      <c r="S298" s="1795"/>
      <c r="T298" s="1795"/>
      <c r="U298" s="1795"/>
      <c r="V298" s="1795"/>
      <c r="W298" s="1795"/>
      <c r="X298" s="1795"/>
      <c r="Y298" s="1795"/>
      <c r="Z298" s="1795"/>
      <c r="AA298" s="1795"/>
      <c r="AB298" s="1795"/>
      <c r="AC298" s="1795"/>
      <c r="AD298" s="1795"/>
      <c r="AE298" s="1795"/>
      <c r="AF298" s="1795"/>
      <c r="AG298" s="1795"/>
      <c r="AH298" s="1795"/>
      <c r="AI298" s="1795"/>
      <c r="AJ298" s="1795"/>
      <c r="AK298" s="1795"/>
      <c r="AL298" s="1795"/>
      <c r="AM298" s="1795"/>
      <c r="AN298" s="1795"/>
      <c r="AO298" s="1795"/>
      <c r="AP298" s="1795"/>
      <c r="AQ298" s="1795"/>
      <c r="AR298" s="1795"/>
      <c r="AS298" s="1795"/>
      <c r="AT298" s="1795"/>
      <c r="AU298" s="1795"/>
      <c r="AV298" s="1795"/>
      <c r="AW298" s="1795"/>
      <c r="AX298" s="1795"/>
      <c r="AY298" s="1795"/>
      <c r="AZ298" s="1762"/>
      <c r="BA298" s="1795"/>
      <c r="BB298" s="1795"/>
      <c r="BC298" s="1795"/>
      <c r="BD298" s="1795"/>
      <c r="BE298" s="1762"/>
      <c r="BF298" s="1795"/>
      <c r="BG298" s="1795"/>
      <c r="BH298" s="1993"/>
      <c r="BI298" s="1795"/>
      <c r="BJ298" s="1994">
        <f>BJ293-733</f>
        <v>6173</v>
      </c>
      <c r="BK298" s="1795"/>
      <c r="BL298" s="1993"/>
      <c r="BM298" s="1993"/>
      <c r="BN298" s="1795"/>
      <c r="BO298" s="1994">
        <f>BO293/(BJ298-740)-1</f>
        <v>0.56454059491038899</v>
      </c>
      <c r="BP298" s="1993"/>
      <c r="BQ298" s="1993"/>
      <c r="BR298" s="1993"/>
      <c r="BS298" s="1795"/>
      <c r="BT298" s="1995">
        <f>BT293/BO293-1</f>
        <v>0.19311766107387895</v>
      </c>
      <c r="BU298" s="1993"/>
      <c r="BV298" s="1993"/>
      <c r="BW298" s="1993"/>
      <c r="BX298" s="1993"/>
      <c r="BY298" s="1995" t="e">
        <f>BY293/BT293-1</f>
        <v>#REF!</v>
      </c>
      <c r="BZ298" s="1993"/>
      <c r="CA298" s="1993"/>
      <c r="CB298" s="1993"/>
      <c r="CC298" s="1993"/>
      <c r="CD298" s="1995" t="e">
        <f>CD293/BY293-1</f>
        <v>#REF!</v>
      </c>
      <c r="CE298" s="1993"/>
      <c r="CF298" s="1993"/>
      <c r="CG298" s="1993"/>
      <c r="CH298" s="1993"/>
      <c r="CI298" s="1995" t="e">
        <f>CI293/CD293-1</f>
        <v>#REF!</v>
      </c>
      <c r="CJ298" s="1993"/>
      <c r="CK298" s="1993"/>
      <c r="CL298" s="1993"/>
      <c r="CM298" s="1993"/>
      <c r="CN298" s="1995" t="e">
        <f>CN293/CI293-1</f>
        <v>#REF!</v>
      </c>
      <c r="CO298" s="1993"/>
      <c r="CP298" s="1993"/>
      <c r="CQ298" s="1993"/>
      <c r="CR298" s="1993"/>
      <c r="CS298" s="1995" t="e">
        <f>CS293/CN293-1</f>
        <v>#REF!</v>
      </c>
      <c r="CT298" s="1993"/>
      <c r="CU298" s="1993"/>
      <c r="CV298" s="1993"/>
      <c r="CW298" s="1993"/>
      <c r="CX298" s="1995" t="e">
        <f>CX293/CS293-1</f>
        <v>#REF!</v>
      </c>
      <c r="CY298" s="1996"/>
      <c r="CZ298" s="1996"/>
      <c r="DA298" s="1996"/>
      <c r="DB298" s="1996"/>
      <c r="DC298" s="1996"/>
      <c r="DD298" s="1996"/>
      <c r="DE298" s="1996"/>
      <c r="DF298" s="1996"/>
      <c r="DG298" s="1996"/>
      <c r="DH298" s="1766"/>
      <c r="DI298" s="1762"/>
      <c r="DJ298" s="1766"/>
      <c r="DK298" s="1894"/>
      <c r="DL298" s="1894"/>
      <c r="DM298" s="1892"/>
      <c r="DN298" s="1892"/>
      <c r="DO298" s="1892"/>
      <c r="DP298" s="1892"/>
      <c r="DQ298" s="1892"/>
      <c r="DR298" s="1993"/>
    </row>
    <row r="299" spans="1:148" hidden="1" outlineLevel="3">
      <c r="A299" s="1926" t="s">
        <v>784</v>
      </c>
      <c r="B299" s="1803"/>
      <c r="C299" s="1803"/>
      <c r="D299" s="1803"/>
      <c r="E299" s="1803"/>
      <c r="F299" s="1803"/>
      <c r="G299" s="1803"/>
      <c r="H299" s="1803"/>
      <c r="I299" s="1803"/>
      <c r="J299" s="1803"/>
      <c r="K299" s="1803"/>
      <c r="L299" s="1803"/>
      <c r="M299" s="1803"/>
      <c r="N299" s="1803"/>
      <c r="O299" s="1803"/>
      <c r="P299" s="1803"/>
      <c r="Q299" s="1803"/>
      <c r="R299" s="1803"/>
      <c r="S299" s="1803"/>
      <c r="T299" s="1803"/>
      <c r="U299" s="1803"/>
      <c r="V299" s="1803"/>
      <c r="W299" s="1803"/>
      <c r="X299" s="1803"/>
      <c r="Y299" s="1803"/>
      <c r="Z299" s="1803"/>
      <c r="AA299" s="1803"/>
      <c r="AB299" s="1803"/>
      <c r="AC299" s="1803"/>
      <c r="AD299" s="1803"/>
      <c r="AE299" s="1803"/>
      <c r="AF299" s="1803"/>
      <c r="AG299" s="1803"/>
      <c r="AH299" s="1803"/>
      <c r="AI299" s="1803"/>
      <c r="AJ299" s="1803"/>
      <c r="AK299" s="1803"/>
      <c r="AL299" s="1803"/>
      <c r="AM299" s="1803"/>
      <c r="AN299" s="1803"/>
      <c r="AO299" s="1803"/>
      <c r="AP299" s="1803"/>
      <c r="AQ299" s="1803"/>
      <c r="AR299" s="1803"/>
      <c r="AS299" s="1803"/>
      <c r="AT299" s="1803"/>
      <c r="AU299" s="1803"/>
      <c r="AV299" s="1803"/>
      <c r="AW299" s="1803"/>
      <c r="AX299" s="1803"/>
      <c r="AY299" s="1803"/>
      <c r="AZ299" s="1801"/>
      <c r="BA299" s="1803"/>
      <c r="BB299" s="1803"/>
      <c r="BC299" s="1803"/>
      <c r="BD299" s="1803"/>
      <c r="BE299" s="1801"/>
      <c r="BF299" s="1997">
        <v>0.75900000000000001</v>
      </c>
      <c r="BG299" s="1997">
        <v>0.745</v>
      </c>
      <c r="BH299" s="1997">
        <v>0.78500000000000003</v>
      </c>
      <c r="BI299" s="1798">
        <v>0.78600000000000003</v>
      </c>
      <c r="BJ299" s="1817">
        <v>0.76918130328125278</v>
      </c>
      <c r="BK299" s="1997">
        <v>0.78600000000000003</v>
      </c>
      <c r="BL299" s="1997">
        <v>0.748</v>
      </c>
      <c r="BM299" s="1997">
        <v>0.7853</v>
      </c>
      <c r="BN299" s="1798">
        <v>0.78600000000000003</v>
      </c>
      <c r="BO299" s="1817">
        <v>0.77576888799522836</v>
      </c>
      <c r="BP299" s="1997">
        <v>0.78600000000000003</v>
      </c>
      <c r="BQ299" s="1997">
        <v>0.751</v>
      </c>
      <c r="BR299" s="1997">
        <v>0.78559999999999997</v>
      </c>
      <c r="BS299" s="1798">
        <v>0.78959999999999997</v>
      </c>
      <c r="BT299" s="1998">
        <v>0.77672096462072227</v>
      </c>
      <c r="BU299" s="1997">
        <v>0.78600000000000003</v>
      </c>
      <c r="BV299" s="1997">
        <v>0.751</v>
      </c>
      <c r="BW299" s="1997">
        <v>0.78559999999999997</v>
      </c>
      <c r="BX299" s="1997">
        <v>0.78959999999999997</v>
      </c>
      <c r="BY299" s="1998">
        <v>0.77672096462072227</v>
      </c>
      <c r="BZ299" s="1997">
        <v>0.78600000000000003</v>
      </c>
      <c r="CA299" s="1997">
        <v>0.751</v>
      </c>
      <c r="CB299" s="1997">
        <v>0.78559999999999997</v>
      </c>
      <c r="CC299" s="1997">
        <v>0.78959999999999997</v>
      </c>
      <c r="CD299" s="1998">
        <v>0.77672096462072227</v>
      </c>
      <c r="CE299" s="1997">
        <v>0.78600000000000003</v>
      </c>
      <c r="CF299" s="1997">
        <v>0.751</v>
      </c>
      <c r="CG299" s="1997">
        <v>0.78559999999999997</v>
      </c>
      <c r="CH299" s="1997">
        <v>0.78959999999999997</v>
      </c>
      <c r="CI299" s="1998">
        <v>0.77672096462072227</v>
      </c>
      <c r="CJ299" s="1997">
        <v>0.78600000000000003</v>
      </c>
      <c r="CK299" s="1997">
        <v>0.751</v>
      </c>
      <c r="CL299" s="1997">
        <v>0.78559999999999997</v>
      </c>
      <c r="CM299" s="1997">
        <v>0.78959999999999997</v>
      </c>
      <c r="CN299" s="1998">
        <v>0.77672096462072227</v>
      </c>
      <c r="CO299" s="1997">
        <v>0.78600000000000003</v>
      </c>
      <c r="CP299" s="1997">
        <v>0.751</v>
      </c>
      <c r="CQ299" s="1997">
        <v>0.78559999999999997</v>
      </c>
      <c r="CR299" s="1997">
        <v>0.78959999999999997</v>
      </c>
      <c r="CS299" s="1998">
        <v>0.77672096462072227</v>
      </c>
      <c r="CT299" s="1997">
        <v>0.78600000000000003</v>
      </c>
      <c r="CU299" s="1997">
        <v>0.751</v>
      </c>
      <c r="CV299" s="1997">
        <v>0.78559999999999997</v>
      </c>
      <c r="CW299" s="1997">
        <v>0.78959999999999997</v>
      </c>
      <c r="CX299" s="1998">
        <v>0.77672096462072227</v>
      </c>
      <c r="CY299" s="1749"/>
      <c r="CZ299" s="1749"/>
      <c r="DA299" s="1749"/>
      <c r="DB299" s="1749"/>
      <c r="DC299" s="1749"/>
      <c r="DD299" s="1749"/>
      <c r="DE299" s="1749"/>
      <c r="DF299" s="1749"/>
      <c r="DG299" s="1999">
        <v>0.79161793372319689</v>
      </c>
      <c r="DH299" s="2000">
        <v>0.76377659872722503</v>
      </c>
      <c r="DI299" s="1998">
        <v>0.75800000000000001</v>
      </c>
      <c r="DJ299" s="2000">
        <v>0.77800000000000002</v>
      </c>
      <c r="DK299" s="2000">
        <v>0.77800000000000002</v>
      </c>
      <c r="DL299" s="2000">
        <v>0.77800000000000002</v>
      </c>
      <c r="DM299" s="1998">
        <v>0.77800000000000002</v>
      </c>
      <c r="DN299" s="1998">
        <v>0.77800000000000002</v>
      </c>
      <c r="DO299" s="1998"/>
      <c r="DP299" s="1998"/>
      <c r="DQ299" s="1998"/>
      <c r="DR299" s="1997"/>
    </row>
    <row r="300" spans="1:148" s="930" customFormat="1" hidden="1" outlineLevel="3">
      <c r="A300" s="2001" t="s">
        <v>785</v>
      </c>
      <c r="B300" s="2002"/>
      <c r="C300" s="2002"/>
      <c r="D300" s="2002"/>
      <c r="E300" s="2002"/>
      <c r="F300" s="2002"/>
      <c r="G300" s="2002"/>
      <c r="H300" s="2002"/>
      <c r="I300" s="2002"/>
      <c r="J300" s="2002"/>
      <c r="K300" s="2002"/>
      <c r="L300" s="2002"/>
      <c r="M300" s="2002"/>
      <c r="N300" s="2002"/>
      <c r="O300" s="2002"/>
      <c r="P300" s="2002"/>
      <c r="Q300" s="2002"/>
      <c r="R300" s="2002"/>
      <c r="S300" s="2002"/>
      <c r="T300" s="2002"/>
      <c r="U300" s="2002"/>
      <c r="V300" s="2002"/>
      <c r="W300" s="2002"/>
      <c r="X300" s="2002"/>
      <c r="Y300" s="2002"/>
      <c r="Z300" s="2002"/>
      <c r="AA300" s="2002"/>
      <c r="AB300" s="2002"/>
      <c r="AC300" s="2002"/>
      <c r="AD300" s="2002"/>
      <c r="AE300" s="2002"/>
      <c r="AF300" s="2002"/>
      <c r="AG300" s="2002"/>
      <c r="AH300" s="2002"/>
      <c r="AI300" s="2002"/>
      <c r="AJ300" s="2002"/>
      <c r="AK300" s="2002"/>
      <c r="AL300" s="2002"/>
      <c r="AM300" s="2002"/>
      <c r="AN300" s="2002"/>
      <c r="AO300" s="2002"/>
      <c r="AP300" s="2002"/>
      <c r="AQ300" s="2002"/>
      <c r="AR300" s="2002"/>
      <c r="AS300" s="2002"/>
      <c r="AT300" s="2002"/>
      <c r="AU300" s="2002"/>
      <c r="AV300" s="2002"/>
      <c r="AW300" s="2002"/>
      <c r="AX300" s="2002"/>
      <c r="AY300" s="2002"/>
      <c r="AZ300" s="2003"/>
      <c r="BA300" s="2002"/>
      <c r="BB300" s="2002"/>
      <c r="BC300" s="2002"/>
      <c r="BD300" s="2002"/>
      <c r="BE300" s="2003"/>
      <c r="BF300" s="2004">
        <f>DI300</f>
        <v>0.09</v>
      </c>
      <c r="BG300" s="2005">
        <f>BF300</f>
        <v>0.09</v>
      </c>
      <c r="BH300" s="2004">
        <f>BG300</f>
        <v>0.09</v>
      </c>
      <c r="BI300" s="1797">
        <f>BH300</f>
        <v>0.09</v>
      </c>
      <c r="BJ300" s="1776"/>
      <c r="BK300" s="2004">
        <f>BI300</f>
        <v>0.09</v>
      </c>
      <c r="BL300" s="2004">
        <f>BK300</f>
        <v>0.09</v>
      </c>
      <c r="BM300" s="2004">
        <f>BL300</f>
        <v>0.09</v>
      </c>
      <c r="BN300" s="1797">
        <f>BM300</f>
        <v>0.09</v>
      </c>
      <c r="BO300" s="1776"/>
      <c r="BP300" s="2004">
        <f>BN300</f>
        <v>0.09</v>
      </c>
      <c r="BQ300" s="2004">
        <f>BP300</f>
        <v>0.09</v>
      </c>
      <c r="BR300" s="2004">
        <f>BQ300</f>
        <v>0.09</v>
      </c>
      <c r="BS300" s="1797">
        <f>BR300</f>
        <v>0.09</v>
      </c>
      <c r="BT300" s="2006"/>
      <c r="BU300" s="2004">
        <f>BS300</f>
        <v>0.09</v>
      </c>
      <c r="BV300" s="2004">
        <f>BU300</f>
        <v>0.09</v>
      </c>
      <c r="BW300" s="2004">
        <f>BV300</f>
        <v>0.09</v>
      </c>
      <c r="BX300" s="2004">
        <f>BW300</f>
        <v>0.09</v>
      </c>
      <c r="BY300" s="2006"/>
      <c r="BZ300" s="2004">
        <f>BX300</f>
        <v>0.09</v>
      </c>
      <c r="CA300" s="2004">
        <f>BZ300</f>
        <v>0.09</v>
      </c>
      <c r="CB300" s="2004">
        <f>CA300</f>
        <v>0.09</v>
      </c>
      <c r="CC300" s="2004">
        <f>CB300</f>
        <v>0.09</v>
      </c>
      <c r="CD300" s="2006"/>
      <c r="CE300" s="2004">
        <f>CC300</f>
        <v>0.09</v>
      </c>
      <c r="CF300" s="2004">
        <f>CE300</f>
        <v>0.09</v>
      </c>
      <c r="CG300" s="2004">
        <f>CF300</f>
        <v>0.09</v>
      </c>
      <c r="CH300" s="2004">
        <f>CG300</f>
        <v>0.09</v>
      </c>
      <c r="CI300" s="2006"/>
      <c r="CJ300" s="2004">
        <f>CH300</f>
        <v>0.09</v>
      </c>
      <c r="CK300" s="2004">
        <f>CJ300</f>
        <v>0.09</v>
      </c>
      <c r="CL300" s="2004">
        <f>CK300</f>
        <v>0.09</v>
      </c>
      <c r="CM300" s="2004">
        <f>CL300</f>
        <v>0.09</v>
      </c>
      <c r="CN300" s="2006"/>
      <c r="CO300" s="2004">
        <f>CM300</f>
        <v>0.09</v>
      </c>
      <c r="CP300" s="2004">
        <f>CO300</f>
        <v>0.09</v>
      </c>
      <c r="CQ300" s="2004">
        <f>CP300</f>
        <v>0.09</v>
      </c>
      <c r="CR300" s="2004">
        <f>CQ300</f>
        <v>0.09</v>
      </c>
      <c r="CS300" s="2006"/>
      <c r="CT300" s="2004">
        <f>CR300</f>
        <v>0.09</v>
      </c>
      <c r="CU300" s="2004">
        <f>CT300</f>
        <v>0.09</v>
      </c>
      <c r="CV300" s="2004">
        <f>CU300</f>
        <v>0.09</v>
      </c>
      <c r="CW300" s="2004">
        <f>CV300</f>
        <v>0.09</v>
      </c>
      <c r="CX300" s="2006"/>
      <c r="CY300" s="2007"/>
      <c r="CZ300" s="2007"/>
      <c r="DA300" s="2007"/>
      <c r="DB300" s="2007"/>
      <c r="DC300" s="2007"/>
      <c r="DD300" s="2007"/>
      <c r="DE300" s="2007"/>
      <c r="DF300" s="2007"/>
      <c r="DG300" s="2007"/>
      <c r="DH300" s="2008"/>
      <c r="DI300" s="2006">
        <v>0.09</v>
      </c>
      <c r="DJ300" s="2008">
        <v>0.09</v>
      </c>
      <c r="DK300" s="2008">
        <v>0.09</v>
      </c>
      <c r="DL300" s="2008">
        <v>0.09</v>
      </c>
      <c r="DM300" s="2006">
        <v>0.09</v>
      </c>
      <c r="DN300" s="2006">
        <v>0.09</v>
      </c>
      <c r="DO300" s="2006"/>
      <c r="DP300" s="2006"/>
      <c r="DQ300" s="2006"/>
      <c r="DR300" s="2005"/>
      <c r="DS300" s="931"/>
      <c r="DT300" s="931"/>
      <c r="DU300" s="931"/>
      <c r="DV300" s="931"/>
      <c r="DW300" s="931"/>
      <c r="DX300" s="931"/>
      <c r="DY300" s="931"/>
      <c r="DZ300" s="931"/>
      <c r="EA300" s="931"/>
      <c r="EB300" s="931"/>
      <c r="EC300" s="931"/>
      <c r="ED300" s="931"/>
      <c r="EE300" s="931"/>
      <c r="EF300" s="931"/>
      <c r="EG300" s="931"/>
      <c r="EH300" s="931"/>
      <c r="EI300" s="931"/>
      <c r="EJ300" s="931"/>
      <c r="EK300" s="931"/>
      <c r="EL300" s="931"/>
      <c r="EM300" s="931"/>
      <c r="EN300" s="931"/>
      <c r="EO300" s="931"/>
      <c r="EP300" s="931"/>
      <c r="EQ300" s="931"/>
      <c r="ER300" s="931"/>
    </row>
    <row r="301" spans="1:148" s="930" customFormat="1" hidden="1" outlineLevel="3">
      <c r="A301" s="2001" t="s">
        <v>777</v>
      </c>
      <c r="B301" s="2002"/>
      <c r="C301" s="2002"/>
      <c r="D301" s="2002"/>
      <c r="E301" s="2002"/>
      <c r="F301" s="2002"/>
      <c r="G301" s="2002"/>
      <c r="H301" s="2002"/>
      <c r="I301" s="2002"/>
      <c r="J301" s="2002"/>
      <c r="K301" s="2002"/>
      <c r="L301" s="2002"/>
      <c r="M301" s="2002"/>
      <c r="N301" s="2002"/>
      <c r="O301" s="2002"/>
      <c r="P301" s="2002"/>
      <c r="Q301" s="2002"/>
      <c r="R301" s="2002"/>
      <c r="S301" s="2002"/>
      <c r="T301" s="2002"/>
      <c r="U301" s="2002"/>
      <c r="V301" s="2002"/>
      <c r="W301" s="2002"/>
      <c r="X301" s="2002"/>
      <c r="Y301" s="2002"/>
      <c r="Z301" s="2002"/>
      <c r="AA301" s="2002"/>
      <c r="AB301" s="2002"/>
      <c r="AC301" s="2002"/>
      <c r="AD301" s="2002"/>
      <c r="AE301" s="2002"/>
      <c r="AF301" s="2002"/>
      <c r="AG301" s="2002"/>
      <c r="AH301" s="2002"/>
      <c r="AI301" s="2002"/>
      <c r="AJ301" s="2002"/>
      <c r="AK301" s="2002"/>
      <c r="AL301" s="2002"/>
      <c r="AM301" s="2002"/>
      <c r="AN301" s="2002"/>
      <c r="AO301" s="2002"/>
      <c r="AP301" s="2002"/>
      <c r="AQ301" s="2002"/>
      <c r="AR301" s="2002"/>
      <c r="AS301" s="2002"/>
      <c r="AT301" s="2002"/>
      <c r="AU301" s="2002"/>
      <c r="AV301" s="2002"/>
      <c r="AW301" s="2002"/>
      <c r="AX301" s="2002"/>
      <c r="AY301" s="2002"/>
      <c r="AZ301" s="2003"/>
      <c r="BA301" s="2002"/>
      <c r="BB301" s="2002"/>
      <c r="BC301" s="2002"/>
      <c r="BD301" s="2002"/>
      <c r="BE301" s="2003"/>
      <c r="BF301" s="2004">
        <f>BF300/2</f>
        <v>4.4999999999999998E-2</v>
      </c>
      <c r="BG301" s="2005">
        <f>BG300/2</f>
        <v>4.4999999999999998E-2</v>
      </c>
      <c r="BH301" s="2004">
        <f>BH300/2</f>
        <v>4.4999999999999998E-2</v>
      </c>
      <c r="BI301" s="1797">
        <f>BI300/2</f>
        <v>4.4999999999999998E-2</v>
      </c>
      <c r="BJ301" s="1776"/>
      <c r="BK301" s="2004">
        <f>BK300/2</f>
        <v>4.4999999999999998E-2</v>
      </c>
      <c r="BL301" s="2004">
        <f>BL300/2</f>
        <v>4.4999999999999998E-2</v>
      </c>
      <c r="BM301" s="2004">
        <f>BM300/2</f>
        <v>4.4999999999999998E-2</v>
      </c>
      <c r="BN301" s="1797">
        <f>BN300/2</f>
        <v>4.4999999999999998E-2</v>
      </c>
      <c r="BO301" s="1776"/>
      <c r="BP301" s="2004">
        <f>BP300/2</f>
        <v>4.4999999999999998E-2</v>
      </c>
      <c r="BQ301" s="2004">
        <f>BQ300/2</f>
        <v>4.4999999999999998E-2</v>
      </c>
      <c r="BR301" s="2004">
        <f>BR300/2</f>
        <v>4.4999999999999998E-2</v>
      </c>
      <c r="BS301" s="1797">
        <f>BS300/2</f>
        <v>4.4999999999999998E-2</v>
      </c>
      <c r="BT301" s="2006"/>
      <c r="BU301" s="2004">
        <f>BU300/2</f>
        <v>4.4999999999999998E-2</v>
      </c>
      <c r="BV301" s="2004">
        <f>BV300/2</f>
        <v>4.4999999999999998E-2</v>
      </c>
      <c r="BW301" s="2004">
        <f>BW300/2</f>
        <v>4.4999999999999998E-2</v>
      </c>
      <c r="BX301" s="2004">
        <f>BX300/2</f>
        <v>4.4999999999999998E-2</v>
      </c>
      <c r="BY301" s="2006"/>
      <c r="BZ301" s="2004">
        <f>BZ300/2</f>
        <v>4.4999999999999998E-2</v>
      </c>
      <c r="CA301" s="2004">
        <f>CA300/2</f>
        <v>4.4999999999999998E-2</v>
      </c>
      <c r="CB301" s="2004">
        <f>CB300/2</f>
        <v>4.4999999999999998E-2</v>
      </c>
      <c r="CC301" s="2004">
        <f>CC300/2</f>
        <v>4.4999999999999998E-2</v>
      </c>
      <c r="CD301" s="2006"/>
      <c r="CE301" s="2004">
        <f>CE300/2</f>
        <v>4.4999999999999998E-2</v>
      </c>
      <c r="CF301" s="2004">
        <f>CF300/2</f>
        <v>4.4999999999999998E-2</v>
      </c>
      <c r="CG301" s="2004">
        <f>CG300/2</f>
        <v>4.4999999999999998E-2</v>
      </c>
      <c r="CH301" s="2004">
        <f>CH300/2</f>
        <v>4.4999999999999998E-2</v>
      </c>
      <c r="CI301" s="2006"/>
      <c r="CJ301" s="2004">
        <f>CJ300/2</f>
        <v>4.4999999999999998E-2</v>
      </c>
      <c r="CK301" s="2004">
        <f>CK300/2</f>
        <v>4.4999999999999998E-2</v>
      </c>
      <c r="CL301" s="2004">
        <f>CL300/2</f>
        <v>4.4999999999999998E-2</v>
      </c>
      <c r="CM301" s="2004">
        <f>CM300/2</f>
        <v>4.4999999999999998E-2</v>
      </c>
      <c r="CN301" s="2006"/>
      <c r="CO301" s="2004">
        <f>CO300/2</f>
        <v>4.4999999999999998E-2</v>
      </c>
      <c r="CP301" s="2004">
        <f>CP300/2</f>
        <v>4.4999999999999998E-2</v>
      </c>
      <c r="CQ301" s="2004">
        <f>CQ300/2</f>
        <v>4.4999999999999998E-2</v>
      </c>
      <c r="CR301" s="2004">
        <f>CR300/2</f>
        <v>4.4999999999999998E-2</v>
      </c>
      <c r="CS301" s="2006"/>
      <c r="CT301" s="2004">
        <f>CT300/2</f>
        <v>4.4999999999999998E-2</v>
      </c>
      <c r="CU301" s="2004">
        <f>CU300/2</f>
        <v>4.4999999999999998E-2</v>
      </c>
      <c r="CV301" s="2004">
        <f>CV300/2</f>
        <v>4.4999999999999998E-2</v>
      </c>
      <c r="CW301" s="2004">
        <f>CW300/2</f>
        <v>4.4999999999999998E-2</v>
      </c>
      <c r="CX301" s="2006"/>
      <c r="CY301" s="2007"/>
      <c r="CZ301" s="2007"/>
      <c r="DA301" s="2007"/>
      <c r="DB301" s="2007"/>
      <c r="DC301" s="2007"/>
      <c r="DD301" s="2007"/>
      <c r="DE301" s="2007"/>
      <c r="DF301" s="2007"/>
      <c r="DG301" s="2007"/>
      <c r="DH301" s="2008"/>
      <c r="DI301" s="2006">
        <v>4.4999999999999998E-2</v>
      </c>
      <c r="DJ301" s="2008">
        <v>4.4999999999999998E-2</v>
      </c>
      <c r="DK301" s="2008">
        <v>4.4999999999999998E-2</v>
      </c>
      <c r="DL301" s="2008">
        <v>4.4999999999999998E-2</v>
      </c>
      <c r="DM301" s="2006">
        <v>4.4999999999999998E-2</v>
      </c>
      <c r="DN301" s="2006">
        <v>4.4999999999999998E-2</v>
      </c>
      <c r="DO301" s="2006"/>
      <c r="DP301" s="2006"/>
      <c r="DQ301" s="2006"/>
      <c r="DR301" s="2005"/>
      <c r="DS301" s="931"/>
      <c r="DT301" s="931"/>
      <c r="DU301" s="931"/>
      <c r="DV301" s="931"/>
      <c r="DW301" s="931"/>
      <c r="DX301" s="931"/>
      <c r="DY301" s="931"/>
      <c r="DZ301" s="931"/>
      <c r="EA301" s="931"/>
      <c r="EB301" s="931"/>
      <c r="EC301" s="931"/>
      <c r="ED301" s="931"/>
      <c r="EE301" s="931"/>
      <c r="EF301" s="931"/>
      <c r="EG301" s="931"/>
      <c r="EH301" s="931"/>
      <c r="EI301" s="931"/>
      <c r="EJ301" s="931"/>
      <c r="EK301" s="931"/>
      <c r="EL301" s="931"/>
      <c r="EM301" s="931"/>
      <c r="EN301" s="931"/>
      <c r="EO301" s="931"/>
      <c r="EP301" s="931"/>
      <c r="EQ301" s="931"/>
      <c r="ER301" s="931"/>
    </row>
    <row r="302" spans="1:148" hidden="1" outlineLevel="3">
      <c r="A302" s="1926" t="s">
        <v>786</v>
      </c>
      <c r="B302" s="2009"/>
      <c r="C302" s="2009"/>
      <c r="D302" s="2009"/>
      <c r="E302" s="2009"/>
      <c r="F302" s="2009"/>
      <c r="G302" s="2009"/>
      <c r="H302" s="2009"/>
      <c r="I302" s="2009"/>
      <c r="J302" s="2009"/>
      <c r="K302" s="2009"/>
      <c r="L302" s="2009"/>
      <c r="M302" s="2009"/>
      <c r="N302" s="2009"/>
      <c r="O302" s="2009"/>
      <c r="P302" s="2009"/>
      <c r="Q302" s="2009"/>
      <c r="R302" s="2009"/>
      <c r="S302" s="2009"/>
      <c r="T302" s="2009"/>
      <c r="U302" s="2009"/>
      <c r="V302" s="2009"/>
      <c r="W302" s="2009"/>
      <c r="X302" s="2009"/>
      <c r="Y302" s="2009"/>
      <c r="Z302" s="2009"/>
      <c r="AA302" s="2009"/>
      <c r="AB302" s="2009"/>
      <c r="AC302" s="2009"/>
      <c r="AD302" s="2009"/>
      <c r="AE302" s="2009"/>
      <c r="AF302" s="2009"/>
      <c r="AG302" s="2009"/>
      <c r="AH302" s="2009"/>
      <c r="AI302" s="2009"/>
      <c r="AJ302" s="2009"/>
      <c r="AK302" s="2009"/>
      <c r="AL302" s="2009"/>
      <c r="AM302" s="2009"/>
      <c r="AN302" s="2009"/>
      <c r="AO302" s="2009"/>
      <c r="AP302" s="2009"/>
      <c r="AQ302" s="2009"/>
      <c r="AR302" s="2009"/>
      <c r="AS302" s="2009"/>
      <c r="AT302" s="2009"/>
      <c r="AU302" s="2009"/>
      <c r="AV302" s="2009"/>
      <c r="AW302" s="2009"/>
      <c r="AX302" s="2009"/>
      <c r="AY302" s="2009"/>
      <c r="AZ302" s="2010"/>
      <c r="BA302" s="2009"/>
      <c r="BB302" s="2009"/>
      <c r="BC302" s="2009"/>
      <c r="BD302" s="2009"/>
      <c r="BE302" s="2010"/>
      <c r="BF302" s="2011">
        <f t="shared" ref="BF302:BN302" si="513">((BF297-BF214)*BF299+(BF214*BF300))/BF297</f>
        <v>0.75900000000000001</v>
      </c>
      <c r="BG302" s="2011">
        <f t="shared" si="513"/>
        <v>0.73994558008632816</v>
      </c>
      <c r="BH302" s="2011">
        <f t="shared" si="513"/>
        <v>0.7777825832391041</v>
      </c>
      <c r="BI302" s="2012">
        <f t="shared" si="513"/>
        <v>0.78040256886421866</v>
      </c>
      <c r="BJ302" s="2013">
        <f t="shared" si="513"/>
        <v>0.76386215771829491</v>
      </c>
      <c r="BK302" s="2011">
        <f t="shared" si="513"/>
        <v>0.77207464864284947</v>
      </c>
      <c r="BL302" s="2011">
        <f t="shared" si="513"/>
        <v>0.73315949183952211</v>
      </c>
      <c r="BM302" s="2011">
        <f t="shared" si="513"/>
        <v>0.77068267182930605</v>
      </c>
      <c r="BN302" s="2012">
        <f t="shared" si="513"/>
        <v>0.77642858609186549</v>
      </c>
      <c r="BO302" s="2013"/>
      <c r="BP302" s="2011">
        <f>((BP297-BP214)*BP299+(BP214*BP300))/BP297</f>
        <v>0.75634831896090959</v>
      </c>
      <c r="BQ302" s="2011">
        <f>((BQ297-BQ214)*BQ299+(BQ214*BQ300))/BQ297</f>
        <v>0.72967144343894319</v>
      </c>
      <c r="BR302" s="2011">
        <f>((BR297-BR214)*BR299+(BR214*BR300))/BR297</f>
        <v>0.76813470456582122</v>
      </c>
      <c r="BS302" s="2012">
        <f>((BS297-BS214)*BS299+(BS214*BS300))/BS297</f>
        <v>0.77058130684524839</v>
      </c>
      <c r="BT302" s="2014"/>
      <c r="BU302" s="2011">
        <f>((BU297-BU214)*BU299+(BU214*BU300))/BU297</f>
        <v>0.7859995893061692</v>
      </c>
      <c r="BV302" s="2011">
        <f>((BV297-BV214)*BV299+(BV214*BV300))/BV297</f>
        <v>0.75099969099890829</v>
      </c>
      <c r="BW302" s="2011">
        <f>((BW297-BW214)*BW299+(BW214*BW300))/BW297</f>
        <v>0.78559960216420466</v>
      </c>
      <c r="BX302" s="2011">
        <f>((BX297-BX214)*BX299+(BX214*BX300))/BX297</f>
        <v>0.78959967248401786</v>
      </c>
      <c r="BY302" s="2014"/>
      <c r="BZ302" s="2011">
        <f>((BZ297-BZ214)*BZ299+(BZ214*BZ300))/BZ297</f>
        <v>0.7859996117016913</v>
      </c>
      <c r="CA302" s="2011">
        <f>((CA297-CA214)*CA299+(CA214*CA300))/CA297</f>
        <v>0.75099970446381292</v>
      </c>
      <c r="CB302" s="2011">
        <f>((CB297-CB214)*CB299+(CB214*CB300))/CB297</f>
        <v>0.78559961984189908</v>
      </c>
      <c r="CC302" s="2011">
        <f>((CC297-CC214)*CC299+(CC214*CC300))/CC297</f>
        <v>0.78959968715360829</v>
      </c>
      <c r="CD302" s="2014"/>
      <c r="CE302" s="2011">
        <f>((CE297-CE214)*CE299+(CE214*CE300))/CE297</f>
        <v>0.75681431770117713</v>
      </c>
      <c r="CF302" s="2011">
        <f>((CF297-CF214)*CF299+(CF214*CF300))/CF297</f>
        <v>0.73363626103769697</v>
      </c>
      <c r="CG302" s="2011">
        <f>((CG297-CG214)*CG299+(CG214*CG300))/CG297</f>
        <v>0.76198855345091876</v>
      </c>
      <c r="CH302" s="2011" t="e">
        <f>((CH297-CH214)*CH299+(CH214*CH300))/CH297</f>
        <v>#REF!</v>
      </c>
      <c r="CI302" s="2014"/>
      <c r="CJ302" s="2011">
        <f>((CJ297-CJ214)*CJ299+(CJ214*CJ300))/CJ297</f>
        <v>0.76503075482485228</v>
      </c>
      <c r="CK302" s="2011">
        <f>((CK297-CK214)*CK299+(CK214*CK300))/CK297</f>
        <v>0.73397108236064357</v>
      </c>
      <c r="CL302" s="2011">
        <f>((CL297-CL214)*CL299+(CL214*CL300))/CL297</f>
        <v>0.78559999999999997</v>
      </c>
      <c r="CM302" s="2011" t="e">
        <f>((CM297-CM214)*CM299+(CM214*CM300))/CM297</f>
        <v>#REF!</v>
      </c>
      <c r="CN302" s="2014"/>
      <c r="CO302" s="2011">
        <f>((CO297-CO214)*CO299+(CO214*CO300))/CO297</f>
        <v>0.76442990657660026</v>
      </c>
      <c r="CP302" s="2011">
        <f>((CP297-CP214)*CP299+(CP214*CP300))/CP297</f>
        <v>0.73306149936254372</v>
      </c>
      <c r="CQ302" s="2011">
        <f>((CQ297-CQ214)*CQ299+(CQ214*CQ300))/CQ297</f>
        <v>0.78559999999999997</v>
      </c>
      <c r="CR302" s="2011" t="e">
        <f>((CR297-CR214)*CR299+(CR214*CR300))/CR297</f>
        <v>#REF!</v>
      </c>
      <c r="CS302" s="2014"/>
      <c r="CT302" s="2011">
        <f>((CT297-CT214)*CT299+(CT214*CT300))/CT297</f>
        <v>0.76461010710969979</v>
      </c>
      <c r="CU302" s="2011">
        <f>((CU297-CU214)*CU299+(CU214*CU300))/CU297</f>
        <v>0.73287960101143768</v>
      </c>
      <c r="CV302" s="2011">
        <f>((CV297-CV214)*CV299+(CV214*CV300))/CV297</f>
        <v>0.73530088351012246</v>
      </c>
      <c r="CW302" s="2011" t="e">
        <f>((CW297-CW214)*CW299+(CW214*CW300))/CW297</f>
        <v>#REF!</v>
      </c>
      <c r="CX302" s="2014"/>
      <c r="CY302" s="1893"/>
      <c r="CZ302" s="1893"/>
      <c r="DA302" s="1893"/>
      <c r="DB302" s="1893"/>
      <c r="DC302" s="1893"/>
      <c r="DD302" s="1893"/>
      <c r="DE302" s="1893"/>
      <c r="DF302" s="1893"/>
      <c r="DG302" s="1870"/>
      <c r="DH302" s="2015"/>
      <c r="DI302" s="2014">
        <f t="shared" ref="DI302:DN302" si="514">((DI297-DI214)*DI299+(DI214*DI300))/DI297</f>
        <v>0.75648347690318851</v>
      </c>
      <c r="DJ302" s="2015">
        <f t="shared" si="514"/>
        <v>0.76730467497970878</v>
      </c>
      <c r="DK302" s="2015">
        <f t="shared" si="514"/>
        <v>0.75930777119763726</v>
      </c>
      <c r="DL302" s="2015">
        <f t="shared" si="514"/>
        <v>0.76830680720989319</v>
      </c>
      <c r="DM302" s="2014">
        <f t="shared" si="514"/>
        <v>0.77799965224371515</v>
      </c>
      <c r="DN302" s="2014">
        <f t="shared" si="514"/>
        <v>0.76527981327206751</v>
      </c>
      <c r="DO302" s="2014"/>
      <c r="DP302" s="2014"/>
      <c r="DQ302" s="2014"/>
      <c r="DR302" s="3063"/>
    </row>
    <row r="303" spans="1:148" hidden="1" outlineLevel="3">
      <c r="A303" s="1926" t="s">
        <v>787</v>
      </c>
      <c r="B303" s="2009"/>
      <c r="C303" s="2009"/>
      <c r="D303" s="2009"/>
      <c r="E303" s="2009"/>
      <c r="F303" s="2009"/>
      <c r="G303" s="2009"/>
      <c r="H303" s="2009"/>
      <c r="I303" s="2009"/>
      <c r="J303" s="2009"/>
      <c r="K303" s="2009"/>
      <c r="L303" s="2009"/>
      <c r="M303" s="2009"/>
      <c r="N303" s="2009"/>
      <c r="O303" s="2009"/>
      <c r="P303" s="2009"/>
      <c r="Q303" s="2009"/>
      <c r="R303" s="2009"/>
      <c r="S303" s="2009"/>
      <c r="T303" s="2009"/>
      <c r="U303" s="2009"/>
      <c r="V303" s="2009"/>
      <c r="W303" s="2009"/>
      <c r="X303" s="2009"/>
      <c r="Y303" s="2009"/>
      <c r="Z303" s="2009"/>
      <c r="AA303" s="2009"/>
      <c r="AB303" s="2009"/>
      <c r="AC303" s="2009"/>
      <c r="AD303" s="2009"/>
      <c r="AE303" s="2009"/>
      <c r="AF303" s="2009"/>
      <c r="AG303" s="2009"/>
      <c r="AH303" s="2009"/>
      <c r="AI303" s="2009"/>
      <c r="AJ303" s="2009"/>
      <c r="AK303" s="2009"/>
      <c r="AL303" s="2009"/>
      <c r="AM303" s="2009"/>
      <c r="AN303" s="2009"/>
      <c r="AO303" s="2009"/>
      <c r="AP303" s="2009"/>
      <c r="AQ303" s="2009"/>
      <c r="AR303" s="2009"/>
      <c r="AS303" s="2009"/>
      <c r="AT303" s="2009"/>
      <c r="AU303" s="2009"/>
      <c r="AV303" s="2009"/>
      <c r="AW303" s="2009"/>
      <c r="AX303" s="2009"/>
      <c r="AY303" s="2009"/>
      <c r="AZ303" s="2010"/>
      <c r="BA303" s="2009"/>
      <c r="BB303" s="2009"/>
      <c r="BC303" s="2009"/>
      <c r="BD303" s="2009"/>
      <c r="BE303" s="2010"/>
      <c r="BF303" s="2011">
        <f>IS!DT19</f>
        <v>0.73963018490754617</v>
      </c>
      <c r="BG303" s="2011">
        <f>IS!DU19</f>
        <v>0.7347129008202834</v>
      </c>
      <c r="BH303" s="2011">
        <f>IS!DV19</f>
        <v>0.76636243838157059</v>
      </c>
      <c r="BI303" s="2012">
        <f>IS!DW19</f>
        <v>0.71843586650583036</v>
      </c>
      <c r="BJ303" s="2013">
        <f>IS!DX19</f>
        <v>0.7398938971598864</v>
      </c>
      <c r="BK303" s="2011">
        <f>IS!DY19</f>
        <v>0.72400021587781316</v>
      </c>
      <c r="BL303" s="2011">
        <f>IS!DZ19</f>
        <v>0.66213956523512374</v>
      </c>
      <c r="BM303" s="2011">
        <f>IS!EA19</f>
        <v>0.70881733078468856</v>
      </c>
      <c r="BN303" s="2012">
        <f>IS!EB19</f>
        <v>0.6735095372508767</v>
      </c>
      <c r="BO303" s="2013">
        <f>IS!EC19</f>
        <v>0.68981838701876019</v>
      </c>
      <c r="BP303" s="2011">
        <f>IS!ED19</f>
        <v>0.64342054221800782</v>
      </c>
      <c r="BQ303" s="2011">
        <f>IS!EE19</f>
        <v>0.61230110159118722</v>
      </c>
      <c r="BR303" s="2011">
        <f>IS!EF19</f>
        <v>0.67044042523816094</v>
      </c>
      <c r="BS303" s="2012">
        <f>IS!EG19</f>
        <v>0.66330027051397655</v>
      </c>
      <c r="BT303" s="2014">
        <f>IS!EH19</f>
        <v>0.64572029081862437</v>
      </c>
      <c r="BU303" s="2011">
        <f>IS!EI19</f>
        <v>0.65533237685318024</v>
      </c>
      <c r="BV303" s="2011">
        <f>IS!EJ19</f>
        <v>0.60907614936839183</v>
      </c>
      <c r="BW303" s="2011">
        <f>IS!EK19</f>
        <v>0.64112097411349167</v>
      </c>
      <c r="BX303" s="2011">
        <f>IS!EL19</f>
        <v>0.66009201669932693</v>
      </c>
      <c r="BY303" s="2014">
        <f>IS!EM19</f>
        <v>0.64038879259275516</v>
      </c>
      <c r="BZ303" s="2011">
        <f>IS!EN19</f>
        <v>0.64228383801532285</v>
      </c>
      <c r="CA303" s="2011">
        <f>IS!EO19</f>
        <v>0.61662665530860372</v>
      </c>
      <c r="CB303" s="2011">
        <f>IS!EP19</f>
        <v>0.65276581078752371</v>
      </c>
      <c r="CC303" s="2011">
        <f>IS!EQ19</f>
        <v>0.66975200156219483</v>
      </c>
      <c r="CD303" s="2014">
        <f>IS!ER19</f>
        <v>0.64522475691460168</v>
      </c>
      <c r="CE303" s="2011">
        <f>IS!ES19</f>
        <v>0.66264569239546822</v>
      </c>
      <c r="CF303" s="2011">
        <f>IS!ET19</f>
        <v>0.6174009267584204</v>
      </c>
      <c r="CG303" s="2011">
        <f>IS!EU19</f>
        <v>0.65438681531749876</v>
      </c>
      <c r="CH303" s="2011">
        <f>IS!EV19</f>
        <v>0.66757876253801529</v>
      </c>
      <c r="CI303" s="2014">
        <f>IS!EW19</f>
        <v>0.64998603803036537</v>
      </c>
      <c r="CJ303" s="2011">
        <f>IS!EX19</f>
        <v>0.66297079508145973</v>
      </c>
      <c r="CK303" s="2011">
        <f>IS!EY19</f>
        <v>0.62457910054011578</v>
      </c>
      <c r="CL303" s="2011">
        <f>IS!EZ19</f>
        <v>0.66321670356666407</v>
      </c>
      <c r="CM303" s="2011">
        <f>IS!FA19</f>
        <v>0.67172599219144191</v>
      </c>
      <c r="CN303" s="2014">
        <f>IS!FB19</f>
        <v>0.65527454176948463</v>
      </c>
      <c r="CO303" s="2011">
        <f>IS!FC19</f>
        <v>0.66955920803955649</v>
      </c>
      <c r="CP303" s="2011">
        <f>IS!FD19</f>
        <v>0.63605033863010296</v>
      </c>
      <c r="CQ303" s="2011">
        <f>IS!FE19</f>
        <v>0.6725678239881282</v>
      </c>
      <c r="CR303" s="2011">
        <f>IS!FF19</f>
        <v>0.67862831127046996</v>
      </c>
      <c r="CS303" s="2014">
        <f>IS!FG19</f>
        <v>0.66407230508511983</v>
      </c>
      <c r="CT303" s="2011">
        <f>IS!FH19</f>
        <v>0.67390283573898746</v>
      </c>
      <c r="CU303" s="2011">
        <f>IS!FI19</f>
        <v>0.64435837554242392</v>
      </c>
      <c r="CV303" s="2011">
        <f>IS!FJ19</f>
        <v>0.67997166535862008</v>
      </c>
      <c r="CW303" s="2011">
        <f>IS!FK19</f>
        <v>0.68428054571983266</v>
      </c>
      <c r="CX303" s="2014">
        <f>IS!FL19</f>
        <v>0.67066043875943349</v>
      </c>
      <c r="CY303" s="1893"/>
      <c r="CZ303" s="1893"/>
      <c r="DA303" s="1893"/>
      <c r="DB303" s="1893"/>
      <c r="DC303" s="1893"/>
      <c r="DD303" s="1893"/>
      <c r="DE303" s="1893"/>
      <c r="DF303" s="1893"/>
      <c r="DG303" s="1786">
        <f>IS!FY19</f>
        <v>0.79161793372319689</v>
      </c>
      <c r="DH303" s="2015">
        <f>IS!FZ19</f>
        <v>0.76377659872722503</v>
      </c>
      <c r="DI303" s="2014">
        <f>IS!GA19</f>
        <v>0.75353078294254761</v>
      </c>
      <c r="DJ303" s="2015">
        <f>IS!GB19</f>
        <v>0.71489698320808315</v>
      </c>
      <c r="DK303" s="2015">
        <f>IS!GC19</f>
        <v>0.65698485987329536</v>
      </c>
      <c r="DL303" s="2015">
        <f>IS!GD19</f>
        <v>0.6479705124789058</v>
      </c>
      <c r="DM303" s="2014">
        <f>IS!GE19</f>
        <v>0.63937678581055579</v>
      </c>
      <c r="DN303" s="2014">
        <f>IS!GF19</f>
        <v>0.64938937940609931</v>
      </c>
      <c r="DO303" s="2014"/>
      <c r="DP303" s="2014"/>
      <c r="DQ303" s="2014"/>
      <c r="DR303" s="3063"/>
    </row>
    <row r="304" spans="1:148" hidden="1" outlineLevel="3">
      <c r="A304" s="1749"/>
      <c r="B304" s="2009"/>
      <c r="C304" s="2009"/>
      <c r="D304" s="2009"/>
      <c r="E304" s="2009"/>
      <c r="F304" s="2009"/>
      <c r="G304" s="2009"/>
      <c r="H304" s="2009"/>
      <c r="I304" s="2009"/>
      <c r="J304" s="2009"/>
      <c r="K304" s="2009"/>
      <c r="L304" s="2009"/>
      <c r="M304" s="2009"/>
      <c r="N304" s="2009"/>
      <c r="O304" s="2009"/>
      <c r="P304" s="2009"/>
      <c r="Q304" s="2009"/>
      <c r="R304" s="2009"/>
      <c r="S304" s="2009"/>
      <c r="T304" s="2009"/>
      <c r="U304" s="2009"/>
      <c r="V304" s="2009"/>
      <c r="W304" s="2009"/>
      <c r="X304" s="2009"/>
      <c r="Y304" s="2009"/>
      <c r="Z304" s="2009"/>
      <c r="AA304" s="2009"/>
      <c r="AB304" s="2009"/>
      <c r="AC304" s="2009"/>
      <c r="AD304" s="2009"/>
      <c r="AE304" s="2009"/>
      <c r="AF304" s="2009"/>
      <c r="AG304" s="2009"/>
      <c r="AH304" s="2009"/>
      <c r="AI304" s="2009"/>
      <c r="AJ304" s="2009"/>
      <c r="AK304" s="2009"/>
      <c r="AL304" s="2009"/>
      <c r="AM304" s="2009"/>
      <c r="AN304" s="2009"/>
      <c r="AO304" s="2009"/>
      <c r="AP304" s="2009"/>
      <c r="AQ304" s="2009"/>
      <c r="AR304" s="2009"/>
      <c r="AS304" s="2009"/>
      <c r="AT304" s="2009"/>
      <c r="AU304" s="2009"/>
      <c r="AV304" s="2009"/>
      <c r="AW304" s="2009"/>
      <c r="AX304" s="2009"/>
      <c r="AY304" s="2009"/>
      <c r="AZ304" s="2010"/>
      <c r="BA304" s="2009"/>
      <c r="BB304" s="2009"/>
      <c r="BC304" s="2009"/>
      <c r="BD304" s="2009"/>
      <c r="BE304" s="2010"/>
      <c r="BF304" s="2011"/>
      <c r="BG304" s="2009"/>
      <c r="BH304" s="2011"/>
      <c r="BI304" s="2009"/>
      <c r="BJ304" s="2010"/>
      <c r="BK304" s="2011"/>
      <c r="BL304" s="2011"/>
      <c r="BM304" s="2011"/>
      <c r="BN304" s="2009"/>
      <c r="BO304" s="2010"/>
      <c r="BP304" s="2011"/>
      <c r="BQ304" s="2011"/>
      <c r="BR304" s="2011"/>
      <c r="BS304" s="2009"/>
      <c r="BT304" s="2014"/>
      <c r="BU304" s="2011"/>
      <c r="BV304" s="2011"/>
      <c r="BW304" s="2011"/>
      <c r="BX304" s="2011"/>
      <c r="BY304" s="2014"/>
      <c r="BZ304" s="2011"/>
      <c r="CA304" s="2011"/>
      <c r="CB304" s="2011"/>
      <c r="CC304" s="2011"/>
      <c r="CD304" s="2014"/>
      <c r="CE304" s="2011"/>
      <c r="CF304" s="2011"/>
      <c r="CG304" s="2011"/>
      <c r="CH304" s="2011"/>
      <c r="CI304" s="2014"/>
      <c r="CJ304" s="2011"/>
      <c r="CK304" s="2011"/>
      <c r="CL304" s="2011"/>
      <c r="CM304" s="2011"/>
      <c r="CN304" s="2014"/>
      <c r="CO304" s="2011"/>
      <c r="CP304" s="2011"/>
      <c r="CQ304" s="2011"/>
      <c r="CR304" s="2011"/>
      <c r="CS304" s="2014"/>
      <c r="CT304" s="2011"/>
      <c r="CU304" s="2011"/>
      <c r="CV304" s="2011"/>
      <c r="CW304" s="2011"/>
      <c r="CX304" s="2014"/>
      <c r="CY304" s="1893"/>
      <c r="CZ304" s="1893"/>
      <c r="DA304" s="1893"/>
      <c r="DB304" s="1893"/>
      <c r="DC304" s="1893"/>
      <c r="DD304" s="1893"/>
      <c r="DE304" s="1893"/>
      <c r="DF304" s="1893"/>
      <c r="DG304" s="1786"/>
      <c r="DH304" s="2015"/>
      <c r="DI304" s="2014"/>
      <c r="DJ304" s="2015"/>
      <c r="DK304" s="2015"/>
      <c r="DL304" s="2015"/>
      <c r="DM304" s="2014"/>
      <c r="DN304" s="2014"/>
      <c r="DO304" s="2014"/>
      <c r="DP304" s="2014"/>
      <c r="DQ304" s="2014"/>
      <c r="DR304" s="3063"/>
    </row>
    <row r="305" spans="1:122" hidden="1" outlineLevel="3">
      <c r="A305" s="1749"/>
      <c r="B305" s="2009"/>
      <c r="C305" s="2009"/>
      <c r="D305" s="2009"/>
      <c r="E305" s="2009"/>
      <c r="F305" s="2009"/>
      <c r="G305" s="2009"/>
      <c r="H305" s="2009"/>
      <c r="I305" s="2009"/>
      <c r="J305" s="2009"/>
      <c r="K305" s="2009"/>
      <c r="L305" s="2009"/>
      <c r="M305" s="2009"/>
      <c r="N305" s="2009"/>
      <c r="O305" s="2009"/>
      <c r="P305" s="2009"/>
      <c r="Q305" s="2009"/>
      <c r="R305" s="2009"/>
      <c r="S305" s="2009"/>
      <c r="T305" s="2009"/>
      <c r="U305" s="2009"/>
      <c r="V305" s="2009"/>
      <c r="W305" s="2009"/>
      <c r="X305" s="2009"/>
      <c r="Y305" s="2009"/>
      <c r="Z305" s="2009"/>
      <c r="AA305" s="2009"/>
      <c r="AB305" s="2009"/>
      <c r="AC305" s="2009"/>
      <c r="AD305" s="2009"/>
      <c r="AE305" s="2009"/>
      <c r="AF305" s="2009"/>
      <c r="AG305" s="2009"/>
      <c r="AH305" s="2009"/>
      <c r="AI305" s="2009"/>
      <c r="AJ305" s="2009"/>
      <c r="AK305" s="2009"/>
      <c r="AL305" s="2009"/>
      <c r="AM305" s="2009"/>
      <c r="AN305" s="2009"/>
      <c r="AO305" s="2009"/>
      <c r="AP305" s="2009"/>
      <c r="AQ305" s="2009"/>
      <c r="AR305" s="2009"/>
      <c r="AS305" s="2009"/>
      <c r="AT305" s="2009"/>
      <c r="AU305" s="2009"/>
      <c r="AV305" s="2009"/>
      <c r="AW305" s="2009"/>
      <c r="AX305" s="2009"/>
      <c r="AY305" s="2009"/>
      <c r="AZ305" s="2010"/>
      <c r="BA305" s="2009"/>
      <c r="BB305" s="2009"/>
      <c r="BC305" s="2016"/>
      <c r="BD305" s="2016"/>
      <c r="BE305" s="2010"/>
      <c r="BF305" s="2009"/>
      <c r="BG305" s="2009"/>
      <c r="BH305" s="2016"/>
      <c r="BI305" s="2016"/>
      <c r="BJ305" s="2010"/>
      <c r="BK305" s="2016"/>
      <c r="BL305" s="2016"/>
      <c r="BM305" s="2016"/>
      <c r="BN305" s="2016"/>
      <c r="BO305" s="2010"/>
      <c r="BP305" s="2016"/>
      <c r="BQ305" s="2016"/>
      <c r="BR305" s="2016"/>
      <c r="BS305" s="2016"/>
      <c r="BT305" s="2010"/>
      <c r="BU305" s="2016"/>
      <c r="BV305" s="2016"/>
      <c r="BW305" s="2016"/>
      <c r="BX305" s="2016"/>
      <c r="BY305" s="2010"/>
      <c r="BZ305" s="2016"/>
      <c r="CA305" s="2016"/>
      <c r="CB305" s="2016"/>
      <c r="CC305" s="2016"/>
      <c r="CD305" s="2010"/>
      <c r="CE305" s="2016"/>
      <c r="CF305" s="2016"/>
      <c r="CG305" s="2016"/>
      <c r="CH305" s="2016"/>
      <c r="CI305" s="2010"/>
      <c r="CJ305" s="2016"/>
      <c r="CK305" s="2016"/>
      <c r="CL305" s="2016"/>
      <c r="CM305" s="2016"/>
      <c r="CN305" s="2010"/>
      <c r="CO305" s="2016"/>
      <c r="CP305" s="2016"/>
      <c r="CQ305" s="2016"/>
      <c r="CR305" s="2016"/>
      <c r="CS305" s="2010"/>
      <c r="CT305" s="2016"/>
      <c r="CU305" s="2016"/>
      <c r="CV305" s="2016"/>
      <c r="CW305" s="2016"/>
      <c r="CX305" s="2010"/>
      <c r="CY305" s="1893"/>
      <c r="CZ305" s="1893"/>
      <c r="DA305" s="1893"/>
      <c r="DB305" s="1893"/>
      <c r="DC305" s="1893"/>
      <c r="DD305" s="1893"/>
      <c r="DE305" s="1893"/>
      <c r="DF305" s="1893"/>
      <c r="DG305" s="2016"/>
      <c r="DH305" s="2017"/>
      <c r="DI305" s="2018"/>
      <c r="DJ305" s="2017"/>
      <c r="DK305" s="2017"/>
      <c r="DL305" s="2017"/>
      <c r="DM305" s="2018"/>
      <c r="DN305" s="2018"/>
      <c r="DO305" s="2018"/>
      <c r="DP305" s="2018"/>
      <c r="DQ305" s="2018"/>
      <c r="DR305" s="3085"/>
    </row>
    <row r="306" spans="1:122" hidden="1" outlineLevel="3">
      <c r="A306" s="1749"/>
      <c r="B306" s="2009"/>
      <c r="C306" s="2009"/>
      <c r="D306" s="2009"/>
      <c r="E306" s="2009"/>
      <c r="F306" s="2009"/>
      <c r="G306" s="2009"/>
      <c r="H306" s="2009"/>
      <c r="I306" s="2009"/>
      <c r="J306" s="2009"/>
      <c r="K306" s="2009"/>
      <c r="L306" s="2009"/>
      <c r="M306" s="2009"/>
      <c r="N306" s="2009"/>
      <c r="O306" s="2009"/>
      <c r="P306" s="2009"/>
      <c r="Q306" s="2009"/>
      <c r="R306" s="2009"/>
      <c r="S306" s="2009"/>
      <c r="T306" s="2009"/>
      <c r="U306" s="2009"/>
      <c r="V306" s="2009"/>
      <c r="W306" s="2009"/>
      <c r="X306" s="2009"/>
      <c r="Y306" s="2009"/>
      <c r="Z306" s="2009"/>
      <c r="AA306" s="2009"/>
      <c r="AB306" s="2009"/>
      <c r="AC306" s="2009"/>
      <c r="AD306" s="2009"/>
      <c r="AE306" s="2009"/>
      <c r="AF306" s="2009"/>
      <c r="AG306" s="2009"/>
      <c r="AH306" s="2009"/>
      <c r="AI306" s="2009"/>
      <c r="AJ306" s="2009"/>
      <c r="AK306" s="2009"/>
      <c r="AL306" s="2009"/>
      <c r="AM306" s="2009"/>
      <c r="AN306" s="2009"/>
      <c r="AO306" s="2009"/>
      <c r="AP306" s="2009"/>
      <c r="AQ306" s="2009"/>
      <c r="AR306" s="2009"/>
      <c r="AS306" s="2009"/>
      <c r="AT306" s="2009"/>
      <c r="AU306" s="2009"/>
      <c r="AV306" s="2009"/>
      <c r="AW306" s="2009"/>
      <c r="AX306" s="2009"/>
      <c r="AY306" s="2009"/>
      <c r="AZ306" s="2010"/>
      <c r="BA306" s="2009"/>
      <c r="BB306" s="2009"/>
      <c r="BC306" s="2009"/>
      <c r="BD306" s="2009"/>
      <c r="BE306" s="2010"/>
      <c r="BF306" s="2009"/>
      <c r="BG306" s="2009"/>
      <c r="BH306" s="2009"/>
      <c r="BI306" s="2009"/>
      <c r="BJ306" s="2010"/>
      <c r="BK306" s="2009"/>
      <c r="BL306" s="2009"/>
      <c r="BM306" s="2009"/>
      <c r="BN306" s="2009"/>
      <c r="BO306" s="2010"/>
      <c r="BP306" s="2009"/>
      <c r="BQ306" s="2009"/>
      <c r="BR306" s="2009"/>
      <c r="BS306" s="2009"/>
      <c r="BT306" s="2010"/>
      <c r="BU306" s="2009"/>
      <c r="BV306" s="2009"/>
      <c r="BW306" s="2009"/>
      <c r="BX306" s="2009"/>
      <c r="BY306" s="2010"/>
      <c r="BZ306" s="2009"/>
      <c r="CA306" s="2009"/>
      <c r="CB306" s="2009"/>
      <c r="CC306" s="2009"/>
      <c r="CD306" s="2010"/>
      <c r="CE306" s="2009"/>
      <c r="CF306" s="2009"/>
      <c r="CG306" s="2009"/>
      <c r="CH306" s="2009"/>
      <c r="CI306" s="2010"/>
      <c r="CJ306" s="2009"/>
      <c r="CK306" s="2009"/>
      <c r="CL306" s="2009"/>
      <c r="CM306" s="2009"/>
      <c r="CN306" s="2010"/>
      <c r="CO306" s="2009"/>
      <c r="CP306" s="2009"/>
      <c r="CQ306" s="2009"/>
      <c r="CR306" s="2009"/>
      <c r="CS306" s="2010"/>
      <c r="CT306" s="2009"/>
      <c r="CU306" s="2009"/>
      <c r="CV306" s="2009"/>
      <c r="CW306" s="2009"/>
      <c r="CX306" s="2010"/>
      <c r="CY306" s="1893"/>
      <c r="CZ306" s="1893"/>
      <c r="DA306" s="1893"/>
      <c r="DB306" s="1893"/>
      <c r="DC306" s="1893"/>
      <c r="DD306" s="1893"/>
      <c r="DE306" s="1893"/>
      <c r="DF306" s="1893"/>
      <c r="DG306" s="1893"/>
      <c r="DH306" s="2017"/>
      <c r="DI306" s="2018"/>
      <c r="DJ306" s="2017"/>
      <c r="DK306" s="2017"/>
      <c r="DL306" s="2017"/>
      <c r="DM306" s="2018"/>
      <c r="DN306" s="2018"/>
      <c r="DO306" s="2018"/>
      <c r="DP306" s="2018"/>
      <c r="DQ306" s="2018"/>
      <c r="DR306" s="3085"/>
    </row>
    <row r="307" spans="1:122" hidden="1" outlineLevel="2">
      <c r="A307" s="1937" t="s">
        <v>171</v>
      </c>
      <c r="B307" s="2009"/>
      <c r="C307" s="2009"/>
      <c r="D307" s="2009"/>
      <c r="E307" s="2009"/>
      <c r="F307" s="2009"/>
      <c r="G307" s="2009"/>
      <c r="H307" s="2009"/>
      <c r="I307" s="2009"/>
      <c r="J307" s="2009"/>
      <c r="K307" s="2009"/>
      <c r="L307" s="2009"/>
      <c r="M307" s="2009"/>
      <c r="N307" s="2009"/>
      <c r="O307" s="2009"/>
      <c r="P307" s="2009"/>
      <c r="Q307" s="2009"/>
      <c r="R307" s="2009"/>
      <c r="S307" s="2009"/>
      <c r="T307" s="2009"/>
      <c r="U307" s="2009"/>
      <c r="V307" s="2009"/>
      <c r="W307" s="2009"/>
      <c r="X307" s="2009"/>
      <c r="Y307" s="2009"/>
      <c r="Z307" s="2009"/>
      <c r="AA307" s="2009"/>
      <c r="AB307" s="2009"/>
      <c r="AC307" s="2009"/>
      <c r="AD307" s="2019"/>
      <c r="AE307" s="2009"/>
      <c r="AF307" s="2009"/>
      <c r="AG307" s="2009"/>
      <c r="AH307" s="2009"/>
      <c r="AI307" s="2019"/>
      <c r="AJ307" s="2009"/>
      <c r="AK307" s="2009"/>
      <c r="AL307" s="2009"/>
      <c r="AM307" s="2009"/>
      <c r="AN307" s="2019"/>
      <c r="AO307" s="2009"/>
      <c r="AP307" s="2009"/>
      <c r="AQ307" s="2009"/>
      <c r="AR307" s="2009"/>
      <c r="AS307" s="2009"/>
      <c r="AT307" s="2009"/>
      <c r="AU307" s="2009"/>
      <c r="AV307" s="2009"/>
      <c r="AW307" s="2009"/>
      <c r="AX307" s="2009"/>
      <c r="AY307" s="2009"/>
      <c r="AZ307" s="2010"/>
      <c r="BA307" s="2009"/>
      <c r="BB307" s="2009"/>
      <c r="BC307" s="2009"/>
      <c r="BD307" s="2012"/>
      <c r="BE307" s="2010"/>
      <c r="BF307" s="2009"/>
      <c r="BG307" s="2009"/>
      <c r="BH307" s="2016"/>
      <c r="BI307" s="2012"/>
      <c r="BJ307" s="2010"/>
      <c r="BK307" s="2016"/>
      <c r="BL307" s="2016"/>
      <c r="BM307" s="2016"/>
      <c r="BN307" s="2012"/>
      <c r="BO307" s="2010"/>
      <c r="BP307" s="2016"/>
      <c r="BQ307" s="2016"/>
      <c r="BR307" s="2016"/>
      <c r="BS307" s="2012"/>
      <c r="BT307" s="2010"/>
      <c r="BU307" s="2016"/>
      <c r="BV307" s="2016"/>
      <c r="BW307" s="2016"/>
      <c r="BX307" s="2016"/>
      <c r="BY307" s="2010"/>
      <c r="BZ307" s="2016"/>
      <c r="CA307" s="2016"/>
      <c r="CB307" s="2016"/>
      <c r="CC307" s="2016"/>
      <c r="CD307" s="2010"/>
      <c r="CE307" s="2016"/>
      <c r="CF307" s="2016"/>
      <c r="CG307" s="2016"/>
      <c r="CH307" s="2016"/>
      <c r="CI307" s="2010"/>
      <c r="CJ307" s="2016"/>
      <c r="CK307" s="2016"/>
      <c r="CL307" s="2016"/>
      <c r="CM307" s="2016"/>
      <c r="CN307" s="2010"/>
      <c r="CO307" s="2016"/>
      <c r="CP307" s="2016"/>
      <c r="CQ307" s="2016"/>
      <c r="CR307" s="2016"/>
      <c r="CS307" s="2010"/>
      <c r="CT307" s="2016"/>
      <c r="CU307" s="2016"/>
      <c r="CV307" s="2016"/>
      <c r="CW307" s="2016"/>
      <c r="CX307" s="2010"/>
      <c r="CY307" s="1893"/>
      <c r="CZ307" s="1893"/>
      <c r="DA307" s="1893"/>
      <c r="DB307" s="1893"/>
      <c r="DC307" s="1893"/>
      <c r="DD307" s="1893"/>
      <c r="DE307" s="1893"/>
      <c r="DF307" s="1893"/>
      <c r="DG307" s="1893"/>
      <c r="DH307" s="2017"/>
      <c r="DI307" s="2018"/>
      <c r="DJ307" s="2017"/>
      <c r="DK307" s="2017"/>
      <c r="DL307" s="2017"/>
      <c r="DM307" s="2018"/>
      <c r="DN307" s="2018"/>
      <c r="DO307" s="2018"/>
      <c r="DP307" s="2018"/>
      <c r="DQ307" s="2018"/>
      <c r="DR307" s="3085"/>
    </row>
    <row r="308" spans="1:122" hidden="1" outlineLevel="2">
      <c r="A308" s="1893" t="s">
        <v>186</v>
      </c>
      <c r="B308" s="2009"/>
      <c r="C308" s="2009"/>
      <c r="D308" s="2009"/>
      <c r="E308" s="2009"/>
      <c r="F308" s="2009"/>
      <c r="G308" s="2009"/>
      <c r="H308" s="2009"/>
      <c r="I308" s="2009"/>
      <c r="J308" s="2009"/>
      <c r="K308" s="2009"/>
      <c r="L308" s="2009"/>
      <c r="M308" s="2009"/>
      <c r="N308" s="2009"/>
      <c r="O308" s="2009"/>
      <c r="P308" s="2009"/>
      <c r="Q308" s="2009"/>
      <c r="R308" s="2009"/>
      <c r="S308" s="2009"/>
      <c r="T308" s="2009"/>
      <c r="U308" s="2009"/>
      <c r="V308" s="2009"/>
      <c r="W308" s="2009"/>
      <c r="X308" s="2009"/>
      <c r="Y308" s="2009"/>
      <c r="Z308" s="2009"/>
      <c r="AA308" s="2009"/>
      <c r="AB308" s="2009"/>
      <c r="AC308" s="2009"/>
      <c r="AD308" s="2009"/>
      <c r="AE308" s="2009"/>
      <c r="AF308" s="2009"/>
      <c r="AG308" s="2009"/>
      <c r="AH308" s="2009"/>
      <c r="AI308" s="2009"/>
      <c r="AJ308" s="2009"/>
      <c r="AK308" s="2009"/>
      <c r="AL308" s="2009"/>
      <c r="AM308" s="2009"/>
      <c r="AN308" s="2009"/>
      <c r="AO308" s="2020"/>
      <c r="AP308" s="2009"/>
      <c r="AQ308" s="2020"/>
      <c r="AR308" s="2020"/>
      <c r="AS308" s="2020"/>
      <c r="AT308" s="2020"/>
      <c r="AU308" s="2009"/>
      <c r="AV308" s="2020"/>
      <c r="AW308" s="2020"/>
      <c r="AX308" s="2020"/>
      <c r="AY308" s="2020"/>
      <c r="AZ308" s="2010"/>
      <c r="BA308" s="2020"/>
      <c r="BB308" s="2020"/>
      <c r="BC308" s="2020"/>
      <c r="BD308" s="2020"/>
      <c r="BE308" s="2010"/>
      <c r="BF308" s="2020"/>
      <c r="BG308" s="2020"/>
      <c r="BH308" s="2020"/>
      <c r="BI308" s="2020"/>
      <c r="BJ308" s="2010"/>
      <c r="BK308" s="2020"/>
      <c r="BL308" s="2020"/>
      <c r="BM308" s="2020"/>
      <c r="BN308" s="2020"/>
      <c r="BO308" s="2010"/>
      <c r="BP308" s="2020"/>
      <c r="BQ308" s="2020"/>
      <c r="BR308" s="2020"/>
      <c r="BS308" s="2020"/>
      <c r="BT308" s="2021"/>
      <c r="BU308" s="2020"/>
      <c r="BV308" s="2020"/>
      <c r="BW308" s="2020"/>
      <c r="BX308" s="2020"/>
      <c r="BY308" s="2021"/>
      <c r="BZ308" s="2020"/>
      <c r="CA308" s="2020"/>
      <c r="CB308" s="2020"/>
      <c r="CC308" s="2020"/>
      <c r="CD308" s="2021"/>
      <c r="CE308" s="2020"/>
      <c r="CF308" s="2020"/>
      <c r="CG308" s="2020"/>
      <c r="CH308" s="2020"/>
      <c r="CI308" s="2021"/>
      <c r="CJ308" s="2020"/>
      <c r="CK308" s="2020"/>
      <c r="CL308" s="2020"/>
      <c r="CM308" s="2020"/>
      <c r="CN308" s="2021"/>
      <c r="CO308" s="2020"/>
      <c r="CP308" s="2020"/>
      <c r="CQ308" s="2020"/>
      <c r="CR308" s="2020"/>
      <c r="CS308" s="2021"/>
      <c r="CT308" s="2020"/>
      <c r="CU308" s="2020"/>
      <c r="CV308" s="2020"/>
      <c r="CW308" s="2020"/>
      <c r="CX308" s="2021"/>
      <c r="CY308" s="1893"/>
      <c r="CZ308" s="1893"/>
      <c r="DA308" s="1893"/>
      <c r="DB308" s="1893"/>
      <c r="DC308" s="1893"/>
      <c r="DD308" s="1893"/>
      <c r="DE308" s="1893"/>
      <c r="DF308" s="1893"/>
      <c r="DG308" s="1893"/>
      <c r="DH308" s="2017"/>
      <c r="DI308" s="2018"/>
      <c r="DJ308" s="2017"/>
      <c r="DK308" s="2017"/>
      <c r="DL308" s="2017"/>
      <c r="DM308" s="2018"/>
      <c r="DN308" s="2018"/>
      <c r="DO308" s="2018"/>
      <c r="DP308" s="2018"/>
      <c r="DQ308" s="2018"/>
      <c r="DR308" s="3085"/>
    </row>
    <row r="309" spans="1:122" hidden="1" outlineLevel="2">
      <c r="A309" s="1893" t="s">
        <v>187</v>
      </c>
      <c r="B309" s="2009"/>
      <c r="C309" s="2009"/>
      <c r="D309" s="2009"/>
      <c r="E309" s="2009"/>
      <c r="F309" s="2009"/>
      <c r="G309" s="2009"/>
      <c r="H309" s="2009"/>
      <c r="I309" s="2009"/>
      <c r="J309" s="2009"/>
      <c r="K309" s="2009"/>
      <c r="L309" s="2009"/>
      <c r="M309" s="2009"/>
      <c r="N309" s="2009"/>
      <c r="O309" s="2009"/>
      <c r="P309" s="2009"/>
      <c r="Q309" s="2009"/>
      <c r="R309" s="2009"/>
      <c r="S309" s="2009"/>
      <c r="T309" s="2009"/>
      <c r="U309" s="2009"/>
      <c r="V309" s="2009"/>
      <c r="W309" s="2009"/>
      <c r="X309" s="2009"/>
      <c r="Y309" s="2009"/>
      <c r="Z309" s="2009"/>
      <c r="AA309" s="2009"/>
      <c r="AB309" s="2009"/>
      <c r="AC309" s="2009"/>
      <c r="AD309" s="2009"/>
      <c r="AE309" s="2009"/>
      <c r="AF309" s="2009"/>
      <c r="AG309" s="2009"/>
      <c r="AH309" s="2009"/>
      <c r="AI309" s="2009"/>
      <c r="AJ309" s="2009"/>
      <c r="AK309" s="2009"/>
      <c r="AL309" s="2009"/>
      <c r="AM309" s="2009"/>
      <c r="AN309" s="2009"/>
      <c r="AO309" s="2009"/>
      <c r="AP309" s="2009"/>
      <c r="AQ309" s="2009"/>
      <c r="AR309" s="2009"/>
      <c r="AS309" s="2009"/>
      <c r="AT309" s="2009"/>
      <c r="AU309" s="2009"/>
      <c r="AV309" s="2009"/>
      <c r="AW309" s="2009"/>
      <c r="AX309" s="2009"/>
      <c r="AY309" s="2009"/>
      <c r="AZ309" s="2010"/>
      <c r="BA309" s="2009"/>
      <c r="BB309" s="2009"/>
      <c r="BC309" s="2009"/>
      <c r="BD309" s="2009"/>
      <c r="BE309" s="2010"/>
      <c r="BF309" s="2009"/>
      <c r="BG309" s="2009"/>
      <c r="BH309" s="2009"/>
      <c r="BI309" s="2009"/>
      <c r="BJ309" s="2010"/>
      <c r="BK309" s="2009"/>
      <c r="BL309" s="2009"/>
      <c r="BM309" s="2009"/>
      <c r="BN309" s="2009"/>
      <c r="BO309" s="2010"/>
      <c r="BP309" s="2009"/>
      <c r="BQ309" s="2009"/>
      <c r="BR309" s="2009"/>
      <c r="BS309" s="2009"/>
      <c r="BT309" s="2010"/>
      <c r="BU309" s="2009"/>
      <c r="BV309" s="2009"/>
      <c r="BW309" s="2009"/>
      <c r="BX309" s="2009"/>
      <c r="BY309" s="2010"/>
      <c r="BZ309" s="2009"/>
      <c r="CA309" s="2009"/>
      <c r="CB309" s="2009"/>
      <c r="CC309" s="2009"/>
      <c r="CD309" s="2010"/>
      <c r="CE309" s="2009"/>
      <c r="CF309" s="2009"/>
      <c r="CG309" s="2009"/>
      <c r="CH309" s="2009"/>
      <c r="CI309" s="2010"/>
      <c r="CJ309" s="2009"/>
      <c r="CK309" s="2009"/>
      <c r="CL309" s="2009"/>
      <c r="CM309" s="2009"/>
      <c r="CN309" s="2010"/>
      <c r="CO309" s="2009"/>
      <c r="CP309" s="2009"/>
      <c r="CQ309" s="2009"/>
      <c r="CR309" s="2009"/>
      <c r="CS309" s="2010"/>
      <c r="CT309" s="2009"/>
      <c r="CU309" s="2009"/>
      <c r="CV309" s="2009"/>
      <c r="CW309" s="2009"/>
      <c r="CX309" s="2010"/>
      <c r="CY309" s="1893"/>
      <c r="CZ309" s="1893"/>
      <c r="DA309" s="1893"/>
      <c r="DB309" s="1893"/>
      <c r="DC309" s="1893"/>
      <c r="DD309" s="1893"/>
      <c r="DE309" s="1893"/>
      <c r="DF309" s="1893"/>
      <c r="DG309" s="1893"/>
      <c r="DH309" s="2022"/>
      <c r="DI309" s="2023"/>
      <c r="DJ309" s="2022"/>
      <c r="DK309" s="2022"/>
      <c r="DL309" s="2022"/>
      <c r="DM309" s="2023"/>
      <c r="DN309" s="2023"/>
      <c r="DO309" s="2023"/>
      <c r="DP309" s="2023"/>
      <c r="DQ309" s="2023"/>
      <c r="DR309" s="3086"/>
    </row>
    <row r="310" spans="1:122" hidden="1" outlineLevel="2">
      <c r="A310" s="1893" t="s">
        <v>188</v>
      </c>
      <c r="B310" s="2009"/>
      <c r="C310" s="2009"/>
      <c r="D310" s="2009"/>
      <c r="E310" s="2009"/>
      <c r="F310" s="2009"/>
      <c r="G310" s="2009"/>
      <c r="H310" s="2009"/>
      <c r="I310" s="2009"/>
      <c r="J310" s="2009"/>
      <c r="K310" s="2009"/>
      <c r="L310" s="2009"/>
      <c r="M310" s="2009"/>
      <c r="N310" s="2009"/>
      <c r="O310" s="2009"/>
      <c r="P310" s="2009"/>
      <c r="Q310" s="2009"/>
      <c r="R310" s="2009"/>
      <c r="S310" s="2009"/>
      <c r="T310" s="2009"/>
      <c r="U310" s="2009"/>
      <c r="V310" s="2009"/>
      <c r="W310" s="2009"/>
      <c r="X310" s="2009"/>
      <c r="Y310" s="2009"/>
      <c r="Z310" s="2009"/>
      <c r="AA310" s="2009"/>
      <c r="AB310" s="2009"/>
      <c r="AC310" s="2009"/>
      <c r="AD310" s="2009"/>
      <c r="AE310" s="2009"/>
      <c r="AF310" s="2009"/>
      <c r="AG310" s="2009"/>
      <c r="AH310" s="2009"/>
      <c r="AI310" s="2009"/>
      <c r="AJ310" s="2009"/>
      <c r="AK310" s="2009"/>
      <c r="AL310" s="2009"/>
      <c r="AM310" s="2009"/>
      <c r="AN310" s="2009"/>
      <c r="AO310" s="2019"/>
      <c r="AP310" s="2009"/>
      <c r="AQ310" s="2019"/>
      <c r="AR310" s="2024"/>
      <c r="AS310" s="2024"/>
      <c r="AT310" s="2024"/>
      <c r="AU310" s="2009"/>
      <c r="AV310" s="2025"/>
      <c r="AW310" s="2024"/>
      <c r="AX310" s="2024"/>
      <c r="AY310" s="2024"/>
      <c r="AZ310" s="2010"/>
      <c r="BA310" s="2025"/>
      <c r="BB310" s="2024"/>
      <c r="BC310" s="2024"/>
      <c r="BD310" s="2024"/>
      <c r="BE310" s="2010"/>
      <c r="BF310" s="2025"/>
      <c r="BG310" s="2024"/>
      <c r="BH310" s="2025"/>
      <c r="BI310" s="2024"/>
      <c r="BJ310" s="2010"/>
      <c r="BK310" s="2025"/>
      <c r="BL310" s="2024"/>
      <c r="BM310" s="2024"/>
      <c r="BN310" s="2024"/>
      <c r="BO310" s="2010"/>
      <c r="BP310" s="2025"/>
      <c r="BQ310" s="2024"/>
      <c r="BR310" s="2024"/>
      <c r="BS310" s="2024"/>
      <c r="BT310" s="2026"/>
      <c r="BU310" s="2025"/>
      <c r="BV310" s="2024"/>
      <c r="BW310" s="2025"/>
      <c r="BX310" s="2025"/>
      <c r="BY310" s="2026"/>
      <c r="BZ310" s="2025"/>
      <c r="CA310" s="2024"/>
      <c r="CB310" s="2025"/>
      <c r="CC310" s="2025"/>
      <c r="CD310" s="2026"/>
      <c r="CE310" s="2025"/>
      <c r="CF310" s="2024"/>
      <c r="CG310" s="2025"/>
      <c r="CH310" s="2025"/>
      <c r="CI310" s="2026"/>
      <c r="CJ310" s="2025"/>
      <c r="CK310" s="2024"/>
      <c r="CL310" s="2025"/>
      <c r="CM310" s="2025"/>
      <c r="CN310" s="2026"/>
      <c r="CO310" s="2025"/>
      <c r="CP310" s="2024"/>
      <c r="CQ310" s="2025"/>
      <c r="CR310" s="2025"/>
      <c r="CS310" s="2026"/>
      <c r="CT310" s="2025"/>
      <c r="CU310" s="2024"/>
      <c r="CV310" s="2025"/>
      <c r="CW310" s="2025"/>
      <c r="CX310" s="2026"/>
      <c r="CY310" s="1893"/>
      <c r="CZ310" s="1893"/>
      <c r="DA310" s="1893"/>
      <c r="DB310" s="1893"/>
      <c r="DC310" s="1893"/>
      <c r="DD310" s="1893"/>
      <c r="DE310" s="1893"/>
      <c r="DF310" s="1893"/>
      <c r="DG310" s="1893"/>
      <c r="DH310" s="2027"/>
      <c r="DI310" s="2010"/>
      <c r="DJ310" s="2027"/>
      <c r="DK310" s="2028"/>
      <c r="DL310" s="2028"/>
      <c r="DM310" s="2026"/>
      <c r="DN310" s="2026"/>
      <c r="DO310" s="2026"/>
      <c r="DP310" s="2026"/>
      <c r="DQ310" s="2026"/>
      <c r="DR310" s="3064"/>
    </row>
    <row r="311" spans="1:122" hidden="1" outlineLevel="2">
      <c r="A311" s="1893" t="s">
        <v>189</v>
      </c>
      <c r="B311" s="2009"/>
      <c r="C311" s="2009"/>
      <c r="D311" s="2009"/>
      <c r="E311" s="2009"/>
      <c r="F311" s="2009"/>
      <c r="G311" s="2009"/>
      <c r="H311" s="2009"/>
      <c r="I311" s="2009"/>
      <c r="J311" s="2009"/>
      <c r="K311" s="2009"/>
      <c r="L311" s="2009"/>
      <c r="M311" s="2009"/>
      <c r="N311" s="2009"/>
      <c r="O311" s="2009"/>
      <c r="P311" s="2009"/>
      <c r="Q311" s="2009"/>
      <c r="R311" s="2009"/>
      <c r="S311" s="2009"/>
      <c r="T311" s="2009"/>
      <c r="U311" s="2009"/>
      <c r="V311" s="2009"/>
      <c r="W311" s="2009"/>
      <c r="X311" s="2009"/>
      <c r="Y311" s="2009"/>
      <c r="Z311" s="2009"/>
      <c r="AA311" s="2009"/>
      <c r="AB311" s="2009"/>
      <c r="AC311" s="2009"/>
      <c r="AD311" s="2009"/>
      <c r="AE311" s="2009"/>
      <c r="AF311" s="2009"/>
      <c r="AG311" s="2009"/>
      <c r="AH311" s="2009"/>
      <c r="AI311" s="2009"/>
      <c r="AJ311" s="2009"/>
      <c r="AK311" s="2009"/>
      <c r="AL311" s="2009"/>
      <c r="AM311" s="2009"/>
      <c r="AN311" s="2009"/>
      <c r="AO311" s="2019"/>
      <c r="AP311" s="2009"/>
      <c r="AQ311" s="2019"/>
      <c r="AR311" s="2019"/>
      <c r="AS311" s="2019"/>
      <c r="AT311" s="2019"/>
      <c r="AU311" s="2009"/>
      <c r="AV311" s="2019"/>
      <c r="AW311" s="2019"/>
      <c r="AX311" s="2019"/>
      <c r="AY311" s="2019"/>
      <c r="AZ311" s="2010"/>
      <c r="BA311" s="2019"/>
      <c r="BB311" s="2019"/>
      <c r="BC311" s="2019"/>
      <c r="BD311" s="2019"/>
      <c r="BE311" s="2010"/>
      <c r="BF311" s="2019"/>
      <c r="BG311" s="2019"/>
      <c r="BH311" s="2019"/>
      <c r="BI311" s="2019"/>
      <c r="BJ311" s="2010"/>
      <c r="BK311" s="2019"/>
      <c r="BL311" s="2019"/>
      <c r="BM311" s="2019"/>
      <c r="BN311" s="2019"/>
      <c r="BO311" s="2010"/>
      <c r="BP311" s="2019"/>
      <c r="BQ311" s="2019"/>
      <c r="BR311" s="2019"/>
      <c r="BS311" s="2019"/>
      <c r="BT311" s="2026"/>
      <c r="BU311" s="2019"/>
      <c r="BV311" s="2019"/>
      <c r="BW311" s="2019"/>
      <c r="BX311" s="2019"/>
      <c r="BY311" s="2026"/>
      <c r="BZ311" s="2019"/>
      <c r="CA311" s="2019"/>
      <c r="CB311" s="2019"/>
      <c r="CC311" s="2019"/>
      <c r="CD311" s="2026"/>
      <c r="CE311" s="2019"/>
      <c r="CF311" s="2019"/>
      <c r="CG311" s="2019"/>
      <c r="CH311" s="2019"/>
      <c r="CI311" s="2026"/>
      <c r="CJ311" s="2019"/>
      <c r="CK311" s="2019"/>
      <c r="CL311" s="2019"/>
      <c r="CM311" s="2019"/>
      <c r="CN311" s="2026"/>
      <c r="CO311" s="2019"/>
      <c r="CP311" s="2019"/>
      <c r="CQ311" s="2019"/>
      <c r="CR311" s="2019"/>
      <c r="CS311" s="2026"/>
      <c r="CT311" s="2019"/>
      <c r="CU311" s="2019"/>
      <c r="CV311" s="2019"/>
      <c r="CW311" s="2019"/>
      <c r="CX311" s="2026"/>
      <c r="CY311" s="1893"/>
      <c r="CZ311" s="1893"/>
      <c r="DA311" s="1893"/>
      <c r="DB311" s="1893"/>
      <c r="DC311" s="1893"/>
      <c r="DD311" s="1893"/>
      <c r="DE311" s="1893"/>
      <c r="DF311" s="1893"/>
      <c r="DG311" s="1893"/>
      <c r="DH311" s="2027"/>
      <c r="DI311" s="2010"/>
      <c r="DJ311" s="2027"/>
      <c r="DK311" s="2028"/>
      <c r="DL311" s="2028"/>
      <c r="DM311" s="2026"/>
      <c r="DN311" s="2026"/>
      <c r="DO311" s="2026"/>
      <c r="DP311" s="2026"/>
      <c r="DQ311" s="2026"/>
      <c r="DR311" s="3064"/>
    </row>
    <row r="312" spans="1:122" hidden="1" outlineLevel="2">
      <c r="A312" s="1893" t="s">
        <v>190</v>
      </c>
      <c r="B312" s="2009"/>
      <c r="C312" s="2009"/>
      <c r="D312" s="2009"/>
      <c r="E312" s="2009"/>
      <c r="F312" s="2009"/>
      <c r="G312" s="2009"/>
      <c r="H312" s="2009"/>
      <c r="I312" s="2009"/>
      <c r="J312" s="2009"/>
      <c r="K312" s="2009"/>
      <c r="L312" s="2009"/>
      <c r="M312" s="2009"/>
      <c r="N312" s="2009"/>
      <c r="O312" s="2009"/>
      <c r="P312" s="2009"/>
      <c r="Q312" s="2009"/>
      <c r="R312" s="2009"/>
      <c r="S312" s="2009"/>
      <c r="T312" s="2009"/>
      <c r="U312" s="2009"/>
      <c r="V312" s="2009"/>
      <c r="W312" s="2009"/>
      <c r="X312" s="2009"/>
      <c r="Y312" s="2009"/>
      <c r="Z312" s="2009"/>
      <c r="AA312" s="2009"/>
      <c r="AB312" s="2009"/>
      <c r="AC312" s="2009"/>
      <c r="AD312" s="2009"/>
      <c r="AE312" s="2009"/>
      <c r="AF312" s="2009"/>
      <c r="AG312" s="2009"/>
      <c r="AH312" s="2009"/>
      <c r="AI312" s="2009"/>
      <c r="AJ312" s="2009"/>
      <c r="AK312" s="2009"/>
      <c r="AL312" s="2009"/>
      <c r="AM312" s="2009"/>
      <c r="AN312" s="2009"/>
      <c r="AO312" s="2019"/>
      <c r="AP312" s="2009"/>
      <c r="AQ312" s="2019"/>
      <c r="AR312" s="2019"/>
      <c r="AS312" s="2019"/>
      <c r="AT312" s="2019"/>
      <c r="AU312" s="2009"/>
      <c r="AV312" s="2019"/>
      <c r="AW312" s="2019"/>
      <c r="AX312" s="2019"/>
      <c r="AY312" s="2019"/>
      <c r="AZ312" s="2010"/>
      <c r="BA312" s="2019"/>
      <c r="BB312" s="2019"/>
      <c r="BC312" s="2019"/>
      <c r="BD312" s="2019"/>
      <c r="BE312" s="2010"/>
      <c r="BF312" s="2019"/>
      <c r="BG312" s="2019"/>
      <c r="BH312" s="2019"/>
      <c r="BI312" s="2019"/>
      <c r="BJ312" s="2010"/>
      <c r="BK312" s="2019"/>
      <c r="BL312" s="2019"/>
      <c r="BM312" s="2019"/>
      <c r="BN312" s="2019"/>
      <c r="BO312" s="2010"/>
      <c r="BP312" s="2019"/>
      <c r="BQ312" s="2019"/>
      <c r="BR312" s="2019"/>
      <c r="BS312" s="2019"/>
      <c r="BT312" s="2026"/>
      <c r="BU312" s="2019"/>
      <c r="BV312" s="2019"/>
      <c r="BW312" s="2019"/>
      <c r="BX312" s="2019"/>
      <c r="BY312" s="2026"/>
      <c r="BZ312" s="2019"/>
      <c r="CA312" s="2019"/>
      <c r="CB312" s="2019"/>
      <c r="CC312" s="2019"/>
      <c r="CD312" s="2026"/>
      <c r="CE312" s="2019"/>
      <c r="CF312" s="2019"/>
      <c r="CG312" s="2019"/>
      <c r="CH312" s="2019"/>
      <c r="CI312" s="2026"/>
      <c r="CJ312" s="2019"/>
      <c r="CK312" s="2019"/>
      <c r="CL312" s="2019"/>
      <c r="CM312" s="2019"/>
      <c r="CN312" s="2026"/>
      <c r="CO312" s="2019"/>
      <c r="CP312" s="2019"/>
      <c r="CQ312" s="2019"/>
      <c r="CR312" s="2019"/>
      <c r="CS312" s="2026"/>
      <c r="CT312" s="2019"/>
      <c r="CU312" s="2019"/>
      <c r="CV312" s="2019"/>
      <c r="CW312" s="2019"/>
      <c r="CX312" s="2026"/>
      <c r="CY312" s="1893"/>
      <c r="CZ312" s="1893"/>
      <c r="DA312" s="1893"/>
      <c r="DB312" s="1893"/>
      <c r="DC312" s="1893"/>
      <c r="DD312" s="1893"/>
      <c r="DE312" s="1893"/>
      <c r="DF312" s="1893"/>
      <c r="DG312" s="1893"/>
      <c r="DH312" s="2027"/>
      <c r="DI312" s="2010"/>
      <c r="DJ312" s="2027"/>
      <c r="DK312" s="2028"/>
      <c r="DL312" s="2028"/>
      <c r="DM312" s="2026"/>
      <c r="DN312" s="2026"/>
      <c r="DO312" s="2026"/>
      <c r="DP312" s="2026"/>
      <c r="DQ312" s="2026"/>
      <c r="DR312" s="3064"/>
    </row>
    <row r="313" spans="1:122" hidden="1" outlineLevel="3">
      <c r="A313" s="2029" t="s">
        <v>191</v>
      </c>
      <c r="B313" s="2030" t="s">
        <v>109</v>
      </c>
      <c r="C313" s="2031"/>
      <c r="D313" s="2031"/>
      <c r="E313" s="2031"/>
      <c r="F313" s="2031"/>
      <c r="G313" s="2030" t="s">
        <v>109</v>
      </c>
      <c r="H313" s="2031"/>
      <c r="I313" s="2031"/>
      <c r="J313" s="2031"/>
      <c r="K313" s="2031"/>
      <c r="L313" s="2030" t="s">
        <v>109</v>
      </c>
      <c r="M313" s="2031"/>
      <c r="N313" s="2031"/>
      <c r="O313" s="2031"/>
      <c r="P313" s="2032"/>
      <c r="Q313" s="2033" t="s">
        <v>109</v>
      </c>
      <c r="R313" s="2034"/>
      <c r="S313" s="2034"/>
      <c r="T313" s="2035"/>
      <c r="U313" s="2035"/>
      <c r="V313" s="2036" t="s">
        <v>109</v>
      </c>
      <c r="W313" s="2034"/>
      <c r="X313" s="2034"/>
      <c r="Y313" s="2034"/>
      <c r="Z313" s="2035"/>
      <c r="AA313" s="2036" t="s">
        <v>109</v>
      </c>
      <c r="AB313" s="2034"/>
      <c r="AC313" s="2034"/>
      <c r="AD313" s="2034"/>
      <c r="AE313" s="2035"/>
      <c r="AF313" s="2036" t="s">
        <v>109</v>
      </c>
      <c r="AG313" s="2035"/>
      <c r="AH313" s="2034"/>
      <c r="AI313" s="2034"/>
      <c r="AJ313" s="2035"/>
      <c r="AK313" s="2036"/>
      <c r="AL313" s="2035"/>
      <c r="AM313" s="2034"/>
      <c r="AN313" s="2034"/>
      <c r="AO313" s="2037"/>
      <c r="AP313" s="2038"/>
      <c r="AQ313" s="2037"/>
      <c r="AR313" s="2037"/>
      <c r="AS313" s="2037"/>
      <c r="AT313" s="2037"/>
      <c r="AU313" s="2038"/>
      <c r="AV313" s="2037"/>
      <c r="AW313" s="2037"/>
      <c r="AX313" s="2037"/>
      <c r="AY313" s="2037"/>
      <c r="AZ313" s="2039"/>
      <c r="BA313" s="2037"/>
      <c r="BB313" s="2037"/>
      <c r="BC313" s="2037"/>
      <c r="BD313" s="2037"/>
      <c r="BE313" s="2039"/>
      <c r="BF313" s="2037"/>
      <c r="BG313" s="2037"/>
      <c r="BH313" s="2037"/>
      <c r="BI313" s="2037"/>
      <c r="BJ313" s="2039"/>
      <c r="BK313" s="2037"/>
      <c r="BL313" s="2037"/>
      <c r="BM313" s="2037"/>
      <c r="BN313" s="2037"/>
      <c r="BO313" s="2039"/>
      <c r="BP313" s="2037"/>
      <c r="BQ313" s="2037"/>
      <c r="BR313" s="2037"/>
      <c r="BS313" s="2037"/>
      <c r="BT313" s="2039"/>
      <c r="BU313" s="2037"/>
      <c r="BV313" s="2037"/>
      <c r="BW313" s="2037"/>
      <c r="BX313" s="2037"/>
      <c r="BY313" s="2039"/>
      <c r="BZ313" s="2037"/>
      <c r="CA313" s="2037"/>
      <c r="CB313" s="2037"/>
      <c r="CC313" s="2037"/>
      <c r="CD313" s="2039"/>
      <c r="CE313" s="2037"/>
      <c r="CF313" s="2037"/>
      <c r="CG313" s="2037"/>
      <c r="CH313" s="2037"/>
      <c r="CI313" s="2039"/>
      <c r="CJ313" s="2037"/>
      <c r="CK313" s="2037"/>
      <c r="CL313" s="2037"/>
      <c r="CM313" s="2037"/>
      <c r="CN313" s="2039"/>
      <c r="CO313" s="2037"/>
      <c r="CP313" s="2037"/>
      <c r="CQ313" s="2037"/>
      <c r="CR313" s="2037"/>
      <c r="CS313" s="2039"/>
      <c r="CT313" s="2037"/>
      <c r="CU313" s="2037"/>
      <c r="CV313" s="2037"/>
      <c r="CW313" s="2037"/>
      <c r="CX313" s="2039"/>
      <c r="CY313" s="2035"/>
      <c r="CZ313" s="2035"/>
      <c r="DA313" s="2035"/>
      <c r="DB313" s="2035"/>
      <c r="DC313" s="2035"/>
      <c r="DD313" s="2035"/>
      <c r="DE313" s="2035"/>
      <c r="DF313" s="2035"/>
      <c r="DG313" s="2035"/>
      <c r="DH313" s="2040"/>
      <c r="DI313" s="2041"/>
      <c r="DJ313" s="2040"/>
      <c r="DK313" s="2042"/>
      <c r="DL313" s="2042"/>
      <c r="DM313" s="2039"/>
      <c r="DN313" s="2039"/>
      <c r="DO313" s="2039"/>
      <c r="DP313" s="2039"/>
      <c r="DQ313" s="2039"/>
      <c r="DR313" s="3087"/>
    </row>
    <row r="314" spans="1:122" hidden="1" outlineLevel="3">
      <c r="A314" s="2043"/>
      <c r="B314" s="2044">
        <v>2001</v>
      </c>
      <c r="C314" s="2045">
        <v>37500</v>
      </c>
      <c r="D314" s="2045">
        <v>37591</v>
      </c>
      <c r="E314" s="2045">
        <v>37316</v>
      </c>
      <c r="F314" s="2045">
        <v>37408</v>
      </c>
      <c r="G314" s="2044">
        <v>2002</v>
      </c>
      <c r="H314" s="2045">
        <v>37865</v>
      </c>
      <c r="I314" s="2045">
        <v>37956</v>
      </c>
      <c r="J314" s="2045">
        <v>37681</v>
      </c>
      <c r="K314" s="2045">
        <v>37773</v>
      </c>
      <c r="L314" s="2044">
        <v>2003</v>
      </c>
      <c r="M314" s="2045">
        <v>38231</v>
      </c>
      <c r="N314" s="2045">
        <v>38322</v>
      </c>
      <c r="O314" s="2045">
        <v>38047</v>
      </c>
      <c r="P314" s="2046">
        <v>38139</v>
      </c>
      <c r="Q314" s="2047">
        <v>2004</v>
      </c>
      <c r="R314" s="2045">
        <v>38596</v>
      </c>
      <c r="S314" s="2048">
        <v>38687</v>
      </c>
      <c r="T314" s="2045">
        <v>38412</v>
      </c>
      <c r="U314" s="2045">
        <v>38504</v>
      </c>
      <c r="V314" s="2049">
        <v>2005</v>
      </c>
      <c r="W314" s="2045">
        <v>38961</v>
      </c>
      <c r="X314" s="2048">
        <v>39052</v>
      </c>
      <c r="Y314" s="2048">
        <v>38777</v>
      </c>
      <c r="Z314" s="2045">
        <v>38869</v>
      </c>
      <c r="AA314" s="2049">
        <v>2006</v>
      </c>
      <c r="AB314" s="2045">
        <v>39326</v>
      </c>
      <c r="AC314" s="2048">
        <v>39417</v>
      </c>
      <c r="AD314" s="2048">
        <v>39142</v>
      </c>
      <c r="AE314" s="2045">
        <v>39234</v>
      </c>
      <c r="AF314" s="2049">
        <v>2007</v>
      </c>
      <c r="AG314" s="2045"/>
      <c r="AH314" s="2048"/>
      <c r="AI314" s="2048"/>
      <c r="AJ314" s="2045"/>
      <c r="AK314" s="2049"/>
      <c r="AL314" s="2045"/>
      <c r="AM314" s="2048"/>
      <c r="AN314" s="2048"/>
      <c r="AO314" s="2050"/>
      <c r="AP314" s="2051"/>
      <c r="AQ314" s="2050"/>
      <c r="AR314" s="2050"/>
      <c r="AS314" s="2050"/>
      <c r="AT314" s="2050"/>
      <c r="AU314" s="2051"/>
      <c r="AV314" s="2050"/>
      <c r="AW314" s="2050"/>
      <c r="AX314" s="2050"/>
      <c r="AY314" s="2050"/>
      <c r="AZ314" s="2052"/>
      <c r="BA314" s="2050"/>
      <c r="BB314" s="2050"/>
      <c r="BC314" s="2050"/>
      <c r="BD314" s="2050"/>
      <c r="BE314" s="2052"/>
      <c r="BF314" s="2050"/>
      <c r="BG314" s="2050"/>
      <c r="BH314" s="2050"/>
      <c r="BI314" s="2050"/>
      <c r="BJ314" s="2052"/>
      <c r="BK314" s="2050"/>
      <c r="BL314" s="2050"/>
      <c r="BM314" s="2050"/>
      <c r="BN314" s="2050"/>
      <c r="BO314" s="2052"/>
      <c r="BP314" s="2050"/>
      <c r="BQ314" s="2050"/>
      <c r="BR314" s="2050"/>
      <c r="BS314" s="2050"/>
      <c r="BT314" s="2052"/>
      <c r="BU314" s="2050"/>
      <c r="BV314" s="2050"/>
      <c r="BW314" s="2050"/>
      <c r="BX314" s="2050"/>
      <c r="BY314" s="2052"/>
      <c r="BZ314" s="2050"/>
      <c r="CA314" s="2050"/>
      <c r="CB314" s="2050"/>
      <c r="CC314" s="2050"/>
      <c r="CD314" s="2052"/>
      <c r="CE314" s="2050"/>
      <c r="CF314" s="2050"/>
      <c r="CG314" s="2050"/>
      <c r="CH314" s="2050"/>
      <c r="CI314" s="2052"/>
      <c r="CJ314" s="2050"/>
      <c r="CK314" s="2050"/>
      <c r="CL314" s="2050"/>
      <c r="CM314" s="2050"/>
      <c r="CN314" s="2052"/>
      <c r="CO314" s="2050"/>
      <c r="CP314" s="2050"/>
      <c r="CQ314" s="2050"/>
      <c r="CR314" s="2050"/>
      <c r="CS314" s="2052"/>
      <c r="CT314" s="2050"/>
      <c r="CU314" s="2050"/>
      <c r="CV314" s="2050"/>
      <c r="CW314" s="2050"/>
      <c r="CX314" s="2052"/>
      <c r="CY314" s="2043"/>
      <c r="CZ314" s="2043"/>
      <c r="DA314" s="2043"/>
      <c r="DB314" s="2043"/>
      <c r="DC314" s="2043"/>
      <c r="DD314" s="2043"/>
      <c r="DE314" s="2043"/>
      <c r="DF314" s="2043"/>
      <c r="DG314" s="2043"/>
      <c r="DH314" s="2053"/>
      <c r="DI314" s="2054"/>
      <c r="DJ314" s="2053"/>
      <c r="DK314" s="2055"/>
      <c r="DL314" s="2055"/>
      <c r="DM314" s="2052"/>
      <c r="DN314" s="2052"/>
      <c r="DO314" s="2052"/>
      <c r="DP314" s="2052"/>
      <c r="DQ314" s="2052"/>
      <c r="DR314" s="3078"/>
    </row>
    <row r="315" spans="1:122" hidden="1" outlineLevel="3">
      <c r="A315" s="2056" t="s">
        <v>192</v>
      </c>
      <c r="B315" s="1762">
        <v>8165000</v>
      </c>
      <c r="C315" s="1803">
        <v>2095000</v>
      </c>
      <c r="D315" s="1803">
        <v>2548000</v>
      </c>
      <c r="E315" s="1803">
        <v>2290000</v>
      </c>
      <c r="F315" s="1803">
        <v>2427000</v>
      </c>
      <c r="G315" s="1762">
        <f>SUM(C315:F315)</f>
        <v>9360000</v>
      </c>
      <c r="H315" s="1803">
        <v>2807000</v>
      </c>
      <c r="I315" s="1803">
        <v>2534000</v>
      </c>
      <c r="J315" s="1803">
        <v>2527000</v>
      </c>
      <c r="K315" s="1803">
        <v>2526000</v>
      </c>
      <c r="L315" s="1762">
        <f>SUM(H315:K315)</f>
        <v>10394000</v>
      </c>
      <c r="M315" s="1803">
        <v>2809000</v>
      </c>
      <c r="N315" s="1803">
        <v>3059000</v>
      </c>
      <c r="O315" s="1803">
        <v>2923000</v>
      </c>
      <c r="P315" s="1887">
        <v>2755000</v>
      </c>
      <c r="Q315" s="1888">
        <f>SUM(M315:P315)</f>
        <v>11546000</v>
      </c>
      <c r="R315" s="1889">
        <v>2980000</v>
      </c>
      <c r="S315" s="1889">
        <v>3193000</v>
      </c>
      <c r="T315" s="1890">
        <v>2964000</v>
      </c>
      <c r="U315" s="1890">
        <v>3014000</v>
      </c>
      <c r="V315" s="1762">
        <f>SUM(R315:U315)</f>
        <v>12151000</v>
      </c>
      <c r="W315" s="1889">
        <v>3187000</v>
      </c>
      <c r="X315" s="1889">
        <v>3459000</v>
      </c>
      <c r="Y315" s="1889">
        <v>3187000</v>
      </c>
      <c r="Z315" s="1890">
        <v>3376000</v>
      </c>
      <c r="AA315" s="1762">
        <f>SUM(W315:Z315)</f>
        <v>13209000</v>
      </c>
      <c r="AB315" s="1889"/>
      <c r="AC315" s="1889"/>
      <c r="AD315" s="1889"/>
      <c r="AE315" s="1890"/>
      <c r="AF315" s="1762"/>
      <c r="AG315" s="1890"/>
      <c r="AH315" s="1889"/>
      <c r="AI315" s="1889"/>
      <c r="AJ315" s="1890"/>
      <c r="AK315" s="1762"/>
      <c r="AL315" s="1890"/>
      <c r="AM315" s="1889"/>
      <c r="AN315" s="1889"/>
      <c r="AO315" s="1891"/>
      <c r="AP315" s="1892"/>
      <c r="AQ315" s="1891"/>
      <c r="AR315" s="1891"/>
      <c r="AS315" s="1891"/>
      <c r="AT315" s="1891"/>
      <c r="AU315" s="1892"/>
      <c r="AV315" s="1891"/>
      <c r="AW315" s="1891"/>
      <c r="AX315" s="1891"/>
      <c r="AY315" s="1891"/>
      <c r="AZ315" s="1892"/>
      <c r="BA315" s="1891"/>
      <c r="BB315" s="1891"/>
      <c r="BC315" s="1891"/>
      <c r="BD315" s="1891"/>
      <c r="BE315" s="1892"/>
      <c r="BF315" s="1891"/>
      <c r="BG315" s="1891"/>
      <c r="BH315" s="1891"/>
      <c r="BI315" s="1891"/>
      <c r="BJ315" s="1892"/>
      <c r="BK315" s="1891"/>
      <c r="BL315" s="1891"/>
      <c r="BM315" s="1891"/>
      <c r="BN315" s="1891"/>
      <c r="BO315" s="1892"/>
      <c r="BP315" s="1891"/>
      <c r="BQ315" s="1891"/>
      <c r="BR315" s="1891"/>
      <c r="BS315" s="1891"/>
      <c r="BT315" s="1892"/>
      <c r="BU315" s="1891"/>
      <c r="BV315" s="1891"/>
      <c r="BW315" s="1891"/>
      <c r="BX315" s="1891"/>
      <c r="BY315" s="1892"/>
      <c r="BZ315" s="1891"/>
      <c r="CA315" s="1891"/>
      <c r="CB315" s="1891"/>
      <c r="CC315" s="1891"/>
      <c r="CD315" s="1892"/>
      <c r="CE315" s="1891"/>
      <c r="CF315" s="1891"/>
      <c r="CG315" s="1891"/>
      <c r="CH315" s="1891"/>
      <c r="CI315" s="1892"/>
      <c r="CJ315" s="1891"/>
      <c r="CK315" s="1891"/>
      <c r="CL315" s="1891"/>
      <c r="CM315" s="1891"/>
      <c r="CN315" s="1892"/>
      <c r="CO315" s="1891"/>
      <c r="CP315" s="1891"/>
      <c r="CQ315" s="1891"/>
      <c r="CR315" s="1891"/>
      <c r="CS315" s="1892"/>
      <c r="CT315" s="1891"/>
      <c r="CU315" s="1891"/>
      <c r="CV315" s="1891"/>
      <c r="CW315" s="1891"/>
      <c r="CX315" s="1892"/>
      <c r="CY315" s="1893"/>
      <c r="CZ315" s="1893"/>
      <c r="DA315" s="1893"/>
      <c r="DB315" s="1893"/>
      <c r="DC315" s="1893"/>
      <c r="DD315" s="1893"/>
      <c r="DE315" s="1893"/>
      <c r="DF315" s="1893"/>
      <c r="DG315" s="1893"/>
      <c r="DH315" s="1766"/>
      <c r="DI315" s="1762"/>
      <c r="DJ315" s="1766"/>
      <c r="DK315" s="1894"/>
      <c r="DL315" s="1894"/>
      <c r="DM315" s="1892"/>
      <c r="DN315" s="1892"/>
      <c r="DO315" s="1892"/>
      <c r="DP315" s="1892"/>
      <c r="DQ315" s="1892"/>
      <c r="DR315" s="1993"/>
    </row>
    <row r="316" spans="1:122" hidden="1" outlineLevel="3">
      <c r="A316" s="1900" t="s">
        <v>162</v>
      </c>
      <c r="B316" s="1774">
        <f t="shared" ref="B316:AA316" si="515">B315/B362</f>
        <v>0.32279106542795016</v>
      </c>
      <c r="C316" s="1785">
        <f t="shared" si="515"/>
        <v>0.34198498204374794</v>
      </c>
      <c r="D316" s="1785">
        <f t="shared" si="515"/>
        <v>0.32915643973646813</v>
      </c>
      <c r="E316" s="1785">
        <f t="shared" si="515"/>
        <v>0.31608005521048999</v>
      </c>
      <c r="F316" s="1785">
        <f t="shared" si="515"/>
        <v>0.3346201571763408</v>
      </c>
      <c r="G316" s="1774">
        <f t="shared" si="515"/>
        <v>0.32998413537810684</v>
      </c>
      <c r="H316" s="1785">
        <f t="shared" si="515"/>
        <v>0.36238058352698166</v>
      </c>
      <c r="I316" s="1785">
        <f t="shared" si="515"/>
        <v>0.29668657065917342</v>
      </c>
      <c r="J316" s="1785">
        <f t="shared" si="515"/>
        <v>0.32252712188895982</v>
      </c>
      <c r="K316" s="1785">
        <f t="shared" si="515"/>
        <v>0.31320520768753873</v>
      </c>
      <c r="L316" s="1774">
        <f t="shared" si="515"/>
        <v>0.32292540466648023</v>
      </c>
      <c r="M316" s="1785">
        <f t="shared" si="515"/>
        <v>0.34193548387096773</v>
      </c>
      <c r="N316" s="1785">
        <f t="shared" si="515"/>
        <v>0.3012902590367379</v>
      </c>
      <c r="O316" s="1785">
        <f t="shared" si="515"/>
        <v>0.31858310626702996</v>
      </c>
      <c r="P316" s="1896">
        <f t="shared" si="515"/>
        <v>0.29649160568230737</v>
      </c>
      <c r="Q316" s="1897">
        <f t="shared" si="515"/>
        <v>0.31345188000542962</v>
      </c>
      <c r="R316" s="1896">
        <f t="shared" si="515"/>
        <v>0.3243007944281206</v>
      </c>
      <c r="S316" s="1896">
        <f t="shared" si="515"/>
        <v>0.29515622111295986</v>
      </c>
      <c r="T316" s="1785">
        <f t="shared" si="515"/>
        <v>0.30810810810810813</v>
      </c>
      <c r="U316" s="1785">
        <f t="shared" si="515"/>
        <v>0.29662434799724435</v>
      </c>
      <c r="V316" s="1774">
        <f t="shared" si="515"/>
        <v>0.30539358600583089</v>
      </c>
      <c r="W316" s="1896">
        <f t="shared" si="515"/>
        <v>0.32717380145775588</v>
      </c>
      <c r="X316" s="1896">
        <f t="shared" si="515"/>
        <v>0.29221931232575821</v>
      </c>
      <c r="Y316" s="1896">
        <f t="shared" si="515"/>
        <v>0.29238532110091742</v>
      </c>
      <c r="Z316" s="1785">
        <f t="shared" si="515"/>
        <v>0.28600474415452387</v>
      </c>
      <c r="AA316" s="1774">
        <f t="shared" si="515"/>
        <v>0.29829276003793864</v>
      </c>
      <c r="AB316" s="1896"/>
      <c r="AC316" s="1896"/>
      <c r="AD316" s="1896"/>
      <c r="AE316" s="1785"/>
      <c r="AF316" s="1774"/>
      <c r="AG316" s="1785"/>
      <c r="AH316" s="1896"/>
      <c r="AI316" s="1896"/>
      <c r="AJ316" s="1785"/>
      <c r="AK316" s="1774"/>
      <c r="AL316" s="1785"/>
      <c r="AM316" s="1896"/>
      <c r="AN316" s="1896"/>
      <c r="AO316" s="1898"/>
      <c r="AP316" s="1899"/>
      <c r="AQ316" s="1898"/>
      <c r="AR316" s="1898"/>
      <c r="AS316" s="1898"/>
      <c r="AT316" s="1898"/>
      <c r="AU316" s="1899"/>
      <c r="AV316" s="1898"/>
      <c r="AW316" s="1898"/>
      <c r="AX316" s="1898"/>
      <c r="AY316" s="1898"/>
      <c r="AZ316" s="1899"/>
      <c r="BA316" s="1898"/>
      <c r="BB316" s="1898"/>
      <c r="BC316" s="1898"/>
      <c r="BD316" s="1898"/>
      <c r="BE316" s="1899"/>
      <c r="BF316" s="1898"/>
      <c r="BG316" s="1898"/>
      <c r="BH316" s="1898"/>
      <c r="BI316" s="1898"/>
      <c r="BJ316" s="1899"/>
      <c r="BK316" s="1898"/>
      <c r="BL316" s="1898"/>
      <c r="BM316" s="1898"/>
      <c r="BN316" s="1898"/>
      <c r="BO316" s="1899"/>
      <c r="BP316" s="1898"/>
      <c r="BQ316" s="1898"/>
      <c r="BR316" s="1898"/>
      <c r="BS316" s="1898"/>
      <c r="BT316" s="1899"/>
      <c r="BU316" s="1898"/>
      <c r="BV316" s="1898"/>
      <c r="BW316" s="1898"/>
      <c r="BX316" s="1898"/>
      <c r="BY316" s="1899"/>
      <c r="BZ316" s="1898"/>
      <c r="CA316" s="1898"/>
      <c r="CB316" s="1898"/>
      <c r="CC316" s="1898"/>
      <c r="CD316" s="1899"/>
      <c r="CE316" s="1898"/>
      <c r="CF316" s="1898"/>
      <c r="CG316" s="1898"/>
      <c r="CH316" s="1898"/>
      <c r="CI316" s="1899"/>
      <c r="CJ316" s="1898"/>
      <c r="CK316" s="1898"/>
      <c r="CL316" s="1898"/>
      <c r="CM316" s="1898"/>
      <c r="CN316" s="1899"/>
      <c r="CO316" s="1898"/>
      <c r="CP316" s="1898"/>
      <c r="CQ316" s="1898"/>
      <c r="CR316" s="1898"/>
      <c r="CS316" s="1899"/>
      <c r="CT316" s="1898"/>
      <c r="CU316" s="1898"/>
      <c r="CV316" s="1898"/>
      <c r="CW316" s="1898"/>
      <c r="CX316" s="1899"/>
      <c r="CY316" s="1900"/>
      <c r="CZ316" s="1900"/>
      <c r="DA316" s="1900"/>
      <c r="DB316" s="1900"/>
      <c r="DC316" s="1900"/>
      <c r="DD316" s="1900"/>
      <c r="DE316" s="1900"/>
      <c r="DF316" s="1900"/>
      <c r="DG316" s="1900"/>
      <c r="DH316" s="1773"/>
      <c r="DI316" s="1774"/>
      <c r="DJ316" s="1773"/>
      <c r="DK316" s="1901"/>
      <c r="DL316" s="1901"/>
      <c r="DM316" s="1899"/>
      <c r="DN316" s="1899"/>
      <c r="DO316" s="1899"/>
      <c r="DP316" s="1899"/>
      <c r="DQ316" s="1899"/>
      <c r="DR316" s="1898"/>
    </row>
    <row r="317" spans="1:122" hidden="1" outlineLevel="3">
      <c r="A317" s="1900" t="s">
        <v>163</v>
      </c>
      <c r="B317" s="1774"/>
      <c r="C317" s="1785"/>
      <c r="D317" s="1785"/>
      <c r="E317" s="1785"/>
      <c r="F317" s="1785"/>
      <c r="G317" s="1774">
        <f t="shared" ref="G317:AA317" si="516">G315/B315-1</f>
        <v>0.1463563992651562</v>
      </c>
      <c r="H317" s="1785">
        <f t="shared" si="516"/>
        <v>0.33985680190930778</v>
      </c>
      <c r="I317" s="1785">
        <f t="shared" si="516"/>
        <v>-5.494505494505475E-3</v>
      </c>
      <c r="J317" s="1785">
        <f t="shared" si="516"/>
        <v>0.10349344978165931</v>
      </c>
      <c r="K317" s="1785">
        <f t="shared" si="516"/>
        <v>4.0791100123609425E-2</v>
      </c>
      <c r="L317" s="1774">
        <f t="shared" si="516"/>
        <v>0.11047008547008552</v>
      </c>
      <c r="M317" s="1785">
        <f t="shared" si="516"/>
        <v>7.1250445315285127E-4</v>
      </c>
      <c r="N317" s="1785">
        <f t="shared" si="516"/>
        <v>0.20718232044198892</v>
      </c>
      <c r="O317" s="1785">
        <f t="shared" si="516"/>
        <v>0.15670755836960826</v>
      </c>
      <c r="P317" s="1896">
        <f t="shared" si="516"/>
        <v>9.0657165479018254E-2</v>
      </c>
      <c r="Q317" s="1897">
        <f t="shared" si="516"/>
        <v>0.11083317298441409</v>
      </c>
      <c r="R317" s="1902">
        <f t="shared" si="516"/>
        <v>6.0875756496973965E-2</v>
      </c>
      <c r="S317" s="1902">
        <f t="shared" si="516"/>
        <v>4.3805165086629572E-2</v>
      </c>
      <c r="T317" s="1900">
        <f t="shared" si="516"/>
        <v>1.4026684912760823E-2</v>
      </c>
      <c r="U317" s="1900">
        <f t="shared" si="516"/>
        <v>9.4010889292196032E-2</v>
      </c>
      <c r="V317" s="1774">
        <f t="shared" si="516"/>
        <v>5.2399099255153292E-2</v>
      </c>
      <c r="W317" s="1902">
        <f t="shared" si="516"/>
        <v>6.9463087248322175E-2</v>
      </c>
      <c r="X317" s="1902">
        <f t="shared" si="516"/>
        <v>8.330723457563427E-2</v>
      </c>
      <c r="Y317" s="1902">
        <f t="shared" si="516"/>
        <v>7.5236167341430571E-2</v>
      </c>
      <c r="Z317" s="1900">
        <f t="shared" si="516"/>
        <v>0.12010617120106182</v>
      </c>
      <c r="AA317" s="1774">
        <f t="shared" si="516"/>
        <v>8.7071022961073163E-2</v>
      </c>
      <c r="AB317" s="1902"/>
      <c r="AC317" s="1902"/>
      <c r="AD317" s="1902"/>
      <c r="AE317" s="1900"/>
      <c r="AF317" s="1774"/>
      <c r="AG317" s="1900"/>
      <c r="AH317" s="1902"/>
      <c r="AI317" s="1902"/>
      <c r="AJ317" s="1900"/>
      <c r="AK317" s="1774"/>
      <c r="AL317" s="1900"/>
      <c r="AM317" s="1902"/>
      <c r="AN317" s="1902"/>
      <c r="AO317" s="1903"/>
      <c r="AP317" s="1899"/>
      <c r="AQ317" s="1903"/>
      <c r="AR317" s="1903"/>
      <c r="AS317" s="1903"/>
      <c r="AT317" s="1903"/>
      <c r="AU317" s="1899"/>
      <c r="AV317" s="1903"/>
      <c r="AW317" s="1903"/>
      <c r="AX317" s="1903"/>
      <c r="AY317" s="1903"/>
      <c r="AZ317" s="1899"/>
      <c r="BA317" s="1903"/>
      <c r="BB317" s="1903"/>
      <c r="BC317" s="1903"/>
      <c r="BD317" s="1903"/>
      <c r="BE317" s="1899"/>
      <c r="BF317" s="1903"/>
      <c r="BG317" s="1903"/>
      <c r="BH317" s="1903"/>
      <c r="BI317" s="1903"/>
      <c r="BJ317" s="1899"/>
      <c r="BK317" s="1903"/>
      <c r="BL317" s="1903"/>
      <c r="BM317" s="1903"/>
      <c r="BN317" s="1903"/>
      <c r="BO317" s="1899"/>
      <c r="BP317" s="1903"/>
      <c r="BQ317" s="1903"/>
      <c r="BR317" s="1903"/>
      <c r="BS317" s="1903"/>
      <c r="BT317" s="1899"/>
      <c r="BU317" s="1903"/>
      <c r="BV317" s="1903"/>
      <c r="BW317" s="1903"/>
      <c r="BX317" s="1903"/>
      <c r="BY317" s="1899"/>
      <c r="BZ317" s="1903"/>
      <c r="CA317" s="1903"/>
      <c r="CB317" s="1903"/>
      <c r="CC317" s="1903"/>
      <c r="CD317" s="1899"/>
      <c r="CE317" s="1903"/>
      <c r="CF317" s="1903"/>
      <c r="CG317" s="1903"/>
      <c r="CH317" s="1903"/>
      <c r="CI317" s="1899"/>
      <c r="CJ317" s="1903"/>
      <c r="CK317" s="1903"/>
      <c r="CL317" s="1903"/>
      <c r="CM317" s="1903"/>
      <c r="CN317" s="1899"/>
      <c r="CO317" s="1903"/>
      <c r="CP317" s="1903"/>
      <c r="CQ317" s="1903"/>
      <c r="CR317" s="1903"/>
      <c r="CS317" s="1899"/>
      <c r="CT317" s="1903"/>
      <c r="CU317" s="1903"/>
      <c r="CV317" s="1903"/>
      <c r="CW317" s="1903"/>
      <c r="CX317" s="1899"/>
      <c r="CY317" s="1900"/>
      <c r="CZ317" s="1900"/>
      <c r="DA317" s="1900"/>
      <c r="DB317" s="1900"/>
      <c r="DC317" s="1900"/>
      <c r="DD317" s="1900"/>
      <c r="DE317" s="1900"/>
      <c r="DF317" s="1900"/>
      <c r="DG317" s="1900"/>
      <c r="DH317" s="1773"/>
      <c r="DI317" s="1774"/>
      <c r="DJ317" s="1773"/>
      <c r="DK317" s="1901"/>
      <c r="DL317" s="1901"/>
      <c r="DM317" s="1899"/>
      <c r="DN317" s="1899"/>
      <c r="DO317" s="1899"/>
      <c r="DP317" s="1899"/>
      <c r="DQ317" s="1899"/>
      <c r="DR317" s="1898"/>
    </row>
    <row r="318" spans="1:122" hidden="1" outlineLevel="3">
      <c r="A318" s="1890" t="s">
        <v>529</v>
      </c>
      <c r="B318" s="1801"/>
      <c r="C318" s="1803"/>
      <c r="D318" s="1803"/>
      <c r="E318" s="1803"/>
      <c r="F318" s="1803"/>
      <c r="G318" s="1801">
        <v>7526000</v>
      </c>
      <c r="H318" s="1803">
        <v>2270000</v>
      </c>
      <c r="I318" s="1803">
        <v>1952000</v>
      </c>
      <c r="J318" s="1803">
        <v>1901000</v>
      </c>
      <c r="K318" s="1803"/>
      <c r="L318" s="1801">
        <v>8400000</v>
      </c>
      <c r="M318" s="1803">
        <v>2252000</v>
      </c>
      <c r="N318" s="1803">
        <v>2095000</v>
      </c>
      <c r="O318" s="1803">
        <v>2274000</v>
      </c>
      <c r="P318" s="1887">
        <v>2028000</v>
      </c>
      <c r="Q318" s="1914">
        <f>SUM(M318:P318)</f>
        <v>8649000</v>
      </c>
      <c r="R318" s="1887">
        <v>2387000</v>
      </c>
      <c r="S318" s="1887">
        <v>2513000</v>
      </c>
      <c r="T318" s="1803">
        <v>2331000</v>
      </c>
      <c r="U318" s="1803">
        <v>2172000</v>
      </c>
      <c r="V318" s="1801">
        <f>SUM(R318:U318)</f>
        <v>9403000</v>
      </c>
      <c r="W318" s="1887">
        <v>2569000</v>
      </c>
      <c r="X318" s="1887">
        <v>2638000</v>
      </c>
      <c r="Y318" s="1887">
        <v>2471000</v>
      </c>
      <c r="Z318" s="1803">
        <v>2504000</v>
      </c>
      <c r="AA318" s="1801">
        <f>SUM(W318:Z318)</f>
        <v>10182000</v>
      </c>
      <c r="AB318" s="1887"/>
      <c r="AC318" s="1887"/>
      <c r="AD318" s="1887"/>
      <c r="AE318" s="1803"/>
      <c r="AF318" s="1801"/>
      <c r="AG318" s="1803"/>
      <c r="AH318" s="1887"/>
      <c r="AI318" s="1887"/>
      <c r="AJ318" s="1803"/>
      <c r="AK318" s="1801"/>
      <c r="AL318" s="1803"/>
      <c r="AM318" s="1887"/>
      <c r="AN318" s="1887"/>
      <c r="AO318" s="1915"/>
      <c r="AP318" s="1908"/>
      <c r="AQ318" s="1915"/>
      <c r="AR318" s="1915"/>
      <c r="AS318" s="1915"/>
      <c r="AT318" s="1915"/>
      <c r="AU318" s="1908"/>
      <c r="AV318" s="1915"/>
      <c r="AW318" s="1915"/>
      <c r="AX318" s="1915"/>
      <c r="AY318" s="1915"/>
      <c r="AZ318" s="1908"/>
      <c r="BA318" s="1915"/>
      <c r="BB318" s="1915"/>
      <c r="BC318" s="1915"/>
      <c r="BD318" s="1915"/>
      <c r="BE318" s="1908"/>
      <c r="BF318" s="1915"/>
      <c r="BG318" s="1915"/>
      <c r="BH318" s="1915"/>
      <c r="BI318" s="1915"/>
      <c r="BJ318" s="1908"/>
      <c r="BK318" s="1915"/>
      <c r="BL318" s="1915"/>
      <c r="BM318" s="1915"/>
      <c r="BN318" s="1915"/>
      <c r="BO318" s="1908"/>
      <c r="BP318" s="1915"/>
      <c r="BQ318" s="1915"/>
      <c r="BR318" s="1915"/>
      <c r="BS318" s="1915"/>
      <c r="BT318" s="1908"/>
      <c r="BU318" s="1915"/>
      <c r="BV318" s="1915"/>
      <c r="BW318" s="1915"/>
      <c r="BX318" s="1915"/>
      <c r="BY318" s="1908"/>
      <c r="BZ318" s="1915"/>
      <c r="CA318" s="1915"/>
      <c r="CB318" s="1915"/>
      <c r="CC318" s="1915"/>
      <c r="CD318" s="1908"/>
      <c r="CE318" s="1915"/>
      <c r="CF318" s="1915"/>
      <c r="CG318" s="1915"/>
      <c r="CH318" s="1915"/>
      <c r="CI318" s="1908"/>
      <c r="CJ318" s="1915"/>
      <c r="CK318" s="1915"/>
      <c r="CL318" s="1915"/>
      <c r="CM318" s="1915"/>
      <c r="CN318" s="1908"/>
      <c r="CO318" s="1915"/>
      <c r="CP318" s="1915"/>
      <c r="CQ318" s="1915"/>
      <c r="CR318" s="1915"/>
      <c r="CS318" s="1908"/>
      <c r="CT318" s="1915"/>
      <c r="CU318" s="1915"/>
      <c r="CV318" s="1915"/>
      <c r="CW318" s="1915"/>
      <c r="CX318" s="1908"/>
      <c r="CY318" s="1890"/>
      <c r="CZ318" s="1890"/>
      <c r="DA318" s="1890"/>
      <c r="DB318" s="1890"/>
      <c r="DC318" s="1890"/>
      <c r="DD318" s="1890"/>
      <c r="DE318" s="1890"/>
      <c r="DF318" s="1890"/>
      <c r="DG318" s="1890"/>
      <c r="DH318" s="1804"/>
      <c r="DI318" s="1801"/>
      <c r="DJ318" s="1804"/>
      <c r="DK318" s="1907"/>
      <c r="DL318" s="1907"/>
      <c r="DM318" s="1908"/>
      <c r="DN318" s="1908"/>
      <c r="DO318" s="1908"/>
      <c r="DP318" s="1908"/>
      <c r="DQ318" s="1908"/>
      <c r="DR318" s="1915"/>
    </row>
    <row r="319" spans="1:122" hidden="1" outlineLevel="3">
      <c r="A319" s="1923" t="s">
        <v>117</v>
      </c>
      <c r="B319" s="1918"/>
      <c r="C319" s="1917"/>
      <c r="D319" s="1917"/>
      <c r="E319" s="1917"/>
      <c r="F319" s="1917"/>
      <c r="G319" s="1918">
        <f>G318/G315</f>
        <v>0.80405982905982909</v>
      </c>
      <c r="H319" s="1917">
        <f>H318/H315</f>
        <v>0.80869255432846454</v>
      </c>
      <c r="I319" s="1917">
        <f>I318/I315</f>
        <v>0.77032359905288084</v>
      </c>
      <c r="J319" s="1917">
        <f>J318/J315</f>
        <v>0.75227542540561931</v>
      </c>
      <c r="K319" s="1917"/>
      <c r="L319" s="1918">
        <f t="shared" ref="L319:AA319" si="517">L318/L315</f>
        <v>0.80815855301135275</v>
      </c>
      <c r="M319" s="1917">
        <f t="shared" si="517"/>
        <v>0.80170879316482735</v>
      </c>
      <c r="N319" s="1917">
        <f t="shared" si="517"/>
        <v>0.68486433474991826</v>
      </c>
      <c r="O319" s="1917">
        <f t="shared" si="517"/>
        <v>0.77796784125898055</v>
      </c>
      <c r="P319" s="1919">
        <f t="shared" si="517"/>
        <v>0.73611615245009077</v>
      </c>
      <c r="Q319" s="1920">
        <f t="shared" si="517"/>
        <v>0.74909059414515855</v>
      </c>
      <c r="R319" s="1919">
        <f t="shared" si="517"/>
        <v>0.80100671140939594</v>
      </c>
      <c r="S319" s="1919">
        <f t="shared" si="517"/>
        <v>0.78703413717507043</v>
      </c>
      <c r="T319" s="1917">
        <f t="shared" si="517"/>
        <v>0.78643724696356276</v>
      </c>
      <c r="U319" s="1917">
        <f t="shared" si="517"/>
        <v>0.72063702720637024</v>
      </c>
      <c r="V319" s="1918">
        <f t="shared" si="517"/>
        <v>0.77384577401036947</v>
      </c>
      <c r="W319" s="1919">
        <f t="shared" si="517"/>
        <v>0.80608722936931287</v>
      </c>
      <c r="X319" s="1919">
        <f t="shared" si="517"/>
        <v>0.76264816420930903</v>
      </c>
      <c r="Y319" s="1919">
        <f t="shared" si="517"/>
        <v>0.77533730781299026</v>
      </c>
      <c r="Z319" s="1917">
        <f t="shared" si="517"/>
        <v>0.74170616113744081</v>
      </c>
      <c r="AA319" s="1918">
        <f t="shared" si="517"/>
        <v>0.77083806495571205</v>
      </c>
      <c r="AB319" s="1919"/>
      <c r="AC319" s="1919"/>
      <c r="AD319" s="1919"/>
      <c r="AE319" s="1917"/>
      <c r="AF319" s="1918"/>
      <c r="AG319" s="1917"/>
      <c r="AH319" s="1919"/>
      <c r="AI319" s="1919"/>
      <c r="AJ319" s="1917"/>
      <c r="AK319" s="1918"/>
      <c r="AL319" s="1917"/>
      <c r="AM319" s="1919"/>
      <c r="AN319" s="1919"/>
      <c r="AO319" s="1921"/>
      <c r="AP319" s="1922"/>
      <c r="AQ319" s="1921"/>
      <c r="AR319" s="1921"/>
      <c r="AS319" s="1921"/>
      <c r="AT319" s="1921"/>
      <c r="AU319" s="1922"/>
      <c r="AV319" s="1921"/>
      <c r="AW319" s="1921"/>
      <c r="AX319" s="1921"/>
      <c r="AY319" s="1921"/>
      <c r="AZ319" s="1922"/>
      <c r="BA319" s="1921"/>
      <c r="BB319" s="1921"/>
      <c r="BC319" s="1921"/>
      <c r="BD319" s="1921"/>
      <c r="BE319" s="1922"/>
      <c r="BF319" s="1921"/>
      <c r="BG319" s="1921"/>
      <c r="BH319" s="1921"/>
      <c r="BI319" s="1921"/>
      <c r="BJ319" s="1922"/>
      <c r="BK319" s="1921"/>
      <c r="BL319" s="1921"/>
      <c r="BM319" s="1921"/>
      <c r="BN319" s="1921"/>
      <c r="BO319" s="1922"/>
      <c r="BP319" s="1921"/>
      <c r="BQ319" s="1921"/>
      <c r="BR319" s="1921"/>
      <c r="BS319" s="1921"/>
      <c r="BT319" s="1922"/>
      <c r="BU319" s="1921"/>
      <c r="BV319" s="1921"/>
      <c r="BW319" s="1921"/>
      <c r="BX319" s="1921"/>
      <c r="BY319" s="1922"/>
      <c r="BZ319" s="1921"/>
      <c r="CA319" s="1921"/>
      <c r="CB319" s="1921"/>
      <c r="CC319" s="1921"/>
      <c r="CD319" s="1922"/>
      <c r="CE319" s="1921"/>
      <c r="CF319" s="1921"/>
      <c r="CG319" s="1921"/>
      <c r="CH319" s="1921"/>
      <c r="CI319" s="1922"/>
      <c r="CJ319" s="1921"/>
      <c r="CK319" s="1921"/>
      <c r="CL319" s="1921"/>
      <c r="CM319" s="1921"/>
      <c r="CN319" s="1922"/>
      <c r="CO319" s="1921"/>
      <c r="CP319" s="1921"/>
      <c r="CQ319" s="1921"/>
      <c r="CR319" s="1921"/>
      <c r="CS319" s="1922"/>
      <c r="CT319" s="1921"/>
      <c r="CU319" s="1921"/>
      <c r="CV319" s="1921"/>
      <c r="CW319" s="1921"/>
      <c r="CX319" s="1922"/>
      <c r="CY319" s="1923"/>
      <c r="CZ319" s="1923"/>
      <c r="DA319" s="1923"/>
      <c r="DB319" s="1923"/>
      <c r="DC319" s="1923"/>
      <c r="DD319" s="1923"/>
      <c r="DE319" s="1923"/>
      <c r="DF319" s="1923"/>
      <c r="DG319" s="1923"/>
      <c r="DH319" s="1924"/>
      <c r="DI319" s="1918"/>
      <c r="DJ319" s="1924"/>
      <c r="DK319" s="1925"/>
      <c r="DL319" s="1925"/>
      <c r="DM319" s="1922"/>
      <c r="DN319" s="1922"/>
      <c r="DO319" s="1922"/>
      <c r="DP319" s="1922"/>
      <c r="DQ319" s="1922"/>
      <c r="DR319" s="1921"/>
    </row>
    <row r="320" spans="1:122" hidden="1" outlineLevel="3">
      <c r="A320" s="1893"/>
      <c r="B320" s="1762"/>
      <c r="C320" s="1803"/>
      <c r="D320" s="1803"/>
      <c r="E320" s="1803"/>
      <c r="F320" s="1803"/>
      <c r="G320" s="1762"/>
      <c r="H320" s="1803"/>
      <c r="I320" s="1803"/>
      <c r="J320" s="1803"/>
      <c r="K320" s="1803"/>
      <c r="L320" s="1762"/>
      <c r="M320" s="1803"/>
      <c r="N320" s="1803"/>
      <c r="O320" s="1803"/>
      <c r="P320" s="1927"/>
      <c r="Q320" s="1888"/>
      <c r="R320" s="1928"/>
      <c r="S320" s="1928"/>
      <c r="T320" s="1893"/>
      <c r="U320" s="1893"/>
      <c r="V320" s="1929"/>
      <c r="W320" s="1928"/>
      <c r="X320" s="1928"/>
      <c r="Y320" s="1928"/>
      <c r="Z320" s="1893"/>
      <c r="AA320" s="1929"/>
      <c r="AB320" s="1928"/>
      <c r="AC320" s="1928"/>
      <c r="AD320" s="1928"/>
      <c r="AE320" s="1893"/>
      <c r="AF320" s="1929"/>
      <c r="AG320" s="1893"/>
      <c r="AH320" s="1928"/>
      <c r="AI320" s="1928"/>
      <c r="AJ320" s="1893"/>
      <c r="AK320" s="1929"/>
      <c r="AL320" s="1893"/>
      <c r="AM320" s="1928"/>
      <c r="AN320" s="1928"/>
      <c r="AO320" s="1980"/>
      <c r="AP320" s="1933"/>
      <c r="AQ320" s="1980"/>
      <c r="AR320" s="1980"/>
      <c r="AS320" s="1980"/>
      <c r="AT320" s="1980"/>
      <c r="AU320" s="1933"/>
      <c r="AV320" s="1980"/>
      <c r="AW320" s="1980"/>
      <c r="AX320" s="1980"/>
      <c r="AY320" s="1980"/>
      <c r="AZ320" s="1933"/>
      <c r="BA320" s="1980"/>
      <c r="BB320" s="1980"/>
      <c r="BC320" s="1980"/>
      <c r="BD320" s="1980"/>
      <c r="BE320" s="1933"/>
      <c r="BF320" s="1980"/>
      <c r="BG320" s="1980"/>
      <c r="BH320" s="1980"/>
      <c r="BI320" s="1980"/>
      <c r="BJ320" s="1933"/>
      <c r="BK320" s="1980"/>
      <c r="BL320" s="1980"/>
      <c r="BM320" s="1980"/>
      <c r="BN320" s="1980"/>
      <c r="BO320" s="1933"/>
      <c r="BP320" s="1980"/>
      <c r="BQ320" s="1980"/>
      <c r="BR320" s="1980"/>
      <c r="BS320" s="1980"/>
      <c r="BT320" s="1933"/>
      <c r="BU320" s="1980"/>
      <c r="BV320" s="1980"/>
      <c r="BW320" s="1980"/>
      <c r="BX320" s="1980"/>
      <c r="BY320" s="1933"/>
      <c r="BZ320" s="1980"/>
      <c r="CA320" s="1980"/>
      <c r="CB320" s="1980"/>
      <c r="CC320" s="1980"/>
      <c r="CD320" s="1933"/>
      <c r="CE320" s="1980"/>
      <c r="CF320" s="1980"/>
      <c r="CG320" s="1980"/>
      <c r="CH320" s="1980"/>
      <c r="CI320" s="1933"/>
      <c r="CJ320" s="1980"/>
      <c r="CK320" s="1980"/>
      <c r="CL320" s="1980"/>
      <c r="CM320" s="1980"/>
      <c r="CN320" s="1933"/>
      <c r="CO320" s="1980"/>
      <c r="CP320" s="1980"/>
      <c r="CQ320" s="1980"/>
      <c r="CR320" s="1980"/>
      <c r="CS320" s="1933"/>
      <c r="CT320" s="1980"/>
      <c r="CU320" s="1980"/>
      <c r="CV320" s="1980"/>
      <c r="CW320" s="1980"/>
      <c r="CX320" s="1933"/>
      <c r="CY320" s="1893"/>
      <c r="CZ320" s="1893"/>
      <c r="DA320" s="1893"/>
      <c r="DB320" s="1893"/>
      <c r="DC320" s="1893"/>
      <c r="DD320" s="1893"/>
      <c r="DE320" s="1893"/>
      <c r="DF320" s="1893"/>
      <c r="DG320" s="1893"/>
      <c r="DH320" s="1934"/>
      <c r="DI320" s="1930"/>
      <c r="DJ320" s="1934"/>
      <c r="DK320" s="1935"/>
      <c r="DL320" s="1935"/>
      <c r="DM320" s="1933"/>
      <c r="DN320" s="1933"/>
      <c r="DO320" s="1933"/>
      <c r="DP320" s="1933"/>
      <c r="DQ320" s="1933"/>
      <c r="DR320" s="3061"/>
    </row>
    <row r="321" spans="1:122" hidden="1" outlineLevel="3">
      <c r="A321" s="1893" t="s">
        <v>193</v>
      </c>
      <c r="B321" s="1762">
        <f>B322*0.16</f>
        <v>933920</v>
      </c>
      <c r="C321" s="1803">
        <f>C322*0.16</f>
        <v>229600</v>
      </c>
      <c r="D321" s="1803">
        <f>D322*0.16</f>
        <v>251040</v>
      </c>
      <c r="E321" s="1803">
        <f>E322*0.16</f>
        <v>241760</v>
      </c>
      <c r="F321" s="1803">
        <f>F322*0.16</f>
        <v>262720</v>
      </c>
      <c r="G321" s="1762">
        <f>SUM(C321:F321)</f>
        <v>985120</v>
      </c>
      <c r="H321" s="1803">
        <f>H322*0.16</f>
        <v>260000</v>
      </c>
      <c r="I321" s="1803">
        <f>I322*0.16</f>
        <v>282080</v>
      </c>
      <c r="J321" s="1803">
        <f>J322*0.16</f>
        <v>292320</v>
      </c>
      <c r="K321" s="1803">
        <f>K322*0.16</f>
        <v>308000</v>
      </c>
      <c r="L321" s="1762">
        <f>SUM(H321:K321)</f>
        <v>1142400</v>
      </c>
      <c r="M321" s="1803">
        <f>M322*0.16</f>
        <v>300800</v>
      </c>
      <c r="N321" s="1803">
        <f>N322*0.16</f>
        <v>343360</v>
      </c>
      <c r="O321" s="1803">
        <f>O322*0.16</f>
        <v>350560</v>
      </c>
      <c r="P321" s="1803">
        <f>P322*0.16</f>
        <v>371360</v>
      </c>
      <c r="Q321" s="1762">
        <f>SUM(M321:P321)</f>
        <v>1366080</v>
      </c>
      <c r="R321" s="1928">
        <f>R322-R224</f>
        <v>2239094</v>
      </c>
      <c r="S321" s="1928">
        <f>S322-S224</f>
        <v>2539839</v>
      </c>
      <c r="T321" s="1928">
        <f>T322-T224</f>
        <v>2456942</v>
      </c>
      <c r="U321" s="1928">
        <f>U322-U224</f>
        <v>2693755</v>
      </c>
      <c r="V321" s="1929">
        <f>SUM(R321:U321)</f>
        <v>9929630</v>
      </c>
      <c r="W321" s="1928">
        <f>W322-W224</f>
        <v>2528873</v>
      </c>
      <c r="X321" s="1928">
        <f>X322-X224</f>
        <v>2904562</v>
      </c>
      <c r="Y321" s="1928">
        <f>Y322-Y224</f>
        <v>2842602</v>
      </c>
      <c r="Z321" s="1928">
        <f>Z322-Z224</f>
        <v>3181310</v>
      </c>
      <c r="AA321" s="1929">
        <f>SUM(W321:Z321)</f>
        <v>11457347</v>
      </c>
      <c r="AB321" s="1928"/>
      <c r="AC321" s="1928"/>
      <c r="AD321" s="1928"/>
      <c r="AE321" s="1928"/>
      <c r="AF321" s="1929"/>
      <c r="AG321" s="1928"/>
      <c r="AH321" s="1928"/>
      <c r="AI321" s="1928"/>
      <c r="AJ321" s="1928"/>
      <c r="AK321" s="1929"/>
      <c r="AL321" s="1928"/>
      <c r="AM321" s="1928"/>
      <c r="AN321" s="1928"/>
      <c r="AO321" s="1891"/>
      <c r="AP321" s="1892"/>
      <c r="AQ321" s="1891"/>
      <c r="AR321" s="1891"/>
      <c r="AS321" s="1891"/>
      <c r="AT321" s="1891"/>
      <c r="AU321" s="1892"/>
      <c r="AV321" s="1891"/>
      <c r="AW321" s="1891"/>
      <c r="AX321" s="1891"/>
      <c r="AY321" s="1891"/>
      <c r="AZ321" s="1892"/>
      <c r="BA321" s="1891"/>
      <c r="BB321" s="1891"/>
      <c r="BC321" s="1891"/>
      <c r="BD321" s="1891"/>
      <c r="BE321" s="1892"/>
      <c r="BF321" s="1891"/>
      <c r="BG321" s="1891"/>
      <c r="BH321" s="1891"/>
      <c r="BI321" s="1891"/>
      <c r="BJ321" s="1892"/>
      <c r="BK321" s="1891"/>
      <c r="BL321" s="1891"/>
      <c r="BM321" s="1891"/>
      <c r="BN321" s="1891"/>
      <c r="BO321" s="1892"/>
      <c r="BP321" s="1891"/>
      <c r="BQ321" s="1891"/>
      <c r="BR321" s="1891"/>
      <c r="BS321" s="1891"/>
      <c r="BT321" s="1892"/>
      <c r="BU321" s="1891"/>
      <c r="BV321" s="1891"/>
      <c r="BW321" s="1891"/>
      <c r="BX321" s="1891"/>
      <c r="BY321" s="1892"/>
      <c r="BZ321" s="1891"/>
      <c r="CA321" s="1891"/>
      <c r="CB321" s="1891"/>
      <c r="CC321" s="1891"/>
      <c r="CD321" s="1892"/>
      <c r="CE321" s="1891"/>
      <c r="CF321" s="1891"/>
      <c r="CG321" s="1891"/>
      <c r="CH321" s="1891"/>
      <c r="CI321" s="1892"/>
      <c r="CJ321" s="1891"/>
      <c r="CK321" s="1891"/>
      <c r="CL321" s="1891"/>
      <c r="CM321" s="1891"/>
      <c r="CN321" s="1892"/>
      <c r="CO321" s="1891"/>
      <c r="CP321" s="1891"/>
      <c r="CQ321" s="1891"/>
      <c r="CR321" s="1891"/>
      <c r="CS321" s="1892"/>
      <c r="CT321" s="1891"/>
      <c r="CU321" s="1891"/>
      <c r="CV321" s="1891"/>
      <c r="CW321" s="1891"/>
      <c r="CX321" s="1892"/>
      <c r="CY321" s="1893"/>
      <c r="CZ321" s="1893"/>
      <c r="DA321" s="1893"/>
      <c r="DB321" s="1893"/>
      <c r="DC321" s="1893"/>
      <c r="DD321" s="1893"/>
      <c r="DE321" s="1893"/>
      <c r="DF321" s="1893"/>
      <c r="DG321" s="1893"/>
      <c r="DH321" s="1766"/>
      <c r="DI321" s="1762"/>
      <c r="DJ321" s="1766"/>
      <c r="DK321" s="1894"/>
      <c r="DL321" s="1894"/>
      <c r="DM321" s="1892"/>
      <c r="DN321" s="1892"/>
      <c r="DO321" s="1892"/>
      <c r="DP321" s="1892"/>
      <c r="DQ321" s="1892"/>
      <c r="DR321" s="1993"/>
    </row>
    <row r="322" spans="1:122" hidden="1" outlineLevel="3">
      <c r="A322" s="2056" t="s">
        <v>194</v>
      </c>
      <c r="B322" s="1762">
        <v>5837000</v>
      </c>
      <c r="C322" s="1803">
        <v>1435000</v>
      </c>
      <c r="D322" s="1803">
        <v>1569000</v>
      </c>
      <c r="E322" s="1803">
        <v>1511000</v>
      </c>
      <c r="F322" s="1803">
        <v>1642000</v>
      </c>
      <c r="G322" s="1762">
        <f>SUM(C322:F322)</f>
        <v>6157000</v>
      </c>
      <c r="H322" s="1803">
        <v>1625000</v>
      </c>
      <c r="I322" s="1803">
        <v>1763000</v>
      </c>
      <c r="J322" s="1803">
        <v>1827000</v>
      </c>
      <c r="K322" s="1803">
        <v>1925000</v>
      </c>
      <c r="L322" s="1762">
        <f>SUM(H322:K322)</f>
        <v>7140000</v>
      </c>
      <c r="M322" s="1803">
        <v>1880000</v>
      </c>
      <c r="N322" s="1803">
        <v>2146000</v>
      </c>
      <c r="O322" s="1803">
        <v>2191000</v>
      </c>
      <c r="P322" s="1887">
        <v>2321000</v>
      </c>
      <c r="Q322" s="1888">
        <f>SUM(M322:P322)</f>
        <v>8538000</v>
      </c>
      <c r="R322" s="1889">
        <v>2241000</v>
      </c>
      <c r="S322" s="1889">
        <v>2542000</v>
      </c>
      <c r="T322" s="1890">
        <v>2459000</v>
      </c>
      <c r="U322" s="1890">
        <v>2696000</v>
      </c>
      <c r="V322" s="1762">
        <f>SUM(R322:U322)</f>
        <v>9938000</v>
      </c>
      <c r="W322" s="1889">
        <v>2531000</v>
      </c>
      <c r="X322" s="1889">
        <v>2907000</v>
      </c>
      <c r="Y322" s="1889">
        <v>2845000</v>
      </c>
      <c r="Z322" s="1890">
        <v>3184000</v>
      </c>
      <c r="AA322" s="1762">
        <f>SUM(W322:Z322)</f>
        <v>11467000</v>
      </c>
      <c r="AB322" s="1889"/>
      <c r="AC322" s="1889"/>
      <c r="AD322" s="1889"/>
      <c r="AE322" s="1890"/>
      <c r="AF322" s="1762"/>
      <c r="AG322" s="1890"/>
      <c r="AH322" s="1889"/>
      <c r="AI322" s="1889"/>
      <c r="AJ322" s="1890"/>
      <c r="AK322" s="1762"/>
      <c r="AL322" s="1890"/>
      <c r="AM322" s="1889"/>
      <c r="AN322" s="1889"/>
      <c r="AO322" s="1891"/>
      <c r="AP322" s="1892"/>
      <c r="AQ322" s="1891"/>
      <c r="AR322" s="1891"/>
      <c r="AS322" s="1891"/>
      <c r="AT322" s="1891"/>
      <c r="AU322" s="1892"/>
      <c r="AV322" s="1891"/>
      <c r="AW322" s="1891"/>
      <c r="AX322" s="1891"/>
      <c r="AY322" s="1891"/>
      <c r="AZ322" s="1892"/>
      <c r="BA322" s="1891"/>
      <c r="BB322" s="1891"/>
      <c r="BC322" s="1891"/>
      <c r="BD322" s="1891"/>
      <c r="BE322" s="1892"/>
      <c r="BF322" s="1891"/>
      <c r="BG322" s="1891"/>
      <c r="BH322" s="1891"/>
      <c r="BI322" s="1891"/>
      <c r="BJ322" s="1892"/>
      <c r="BK322" s="1891"/>
      <c r="BL322" s="1891"/>
      <c r="BM322" s="1891"/>
      <c r="BN322" s="1891"/>
      <c r="BO322" s="1892"/>
      <c r="BP322" s="1891"/>
      <c r="BQ322" s="1891"/>
      <c r="BR322" s="1891"/>
      <c r="BS322" s="1891"/>
      <c r="BT322" s="1892"/>
      <c r="BU322" s="1891"/>
      <c r="BV322" s="1891"/>
      <c r="BW322" s="1891"/>
      <c r="BX322" s="1891"/>
      <c r="BY322" s="1892"/>
      <c r="BZ322" s="1891"/>
      <c r="CA322" s="1891"/>
      <c r="CB322" s="1891"/>
      <c r="CC322" s="1891"/>
      <c r="CD322" s="1892"/>
      <c r="CE322" s="1891"/>
      <c r="CF322" s="1891"/>
      <c r="CG322" s="1891"/>
      <c r="CH322" s="1891"/>
      <c r="CI322" s="1892"/>
      <c r="CJ322" s="1891"/>
      <c r="CK322" s="1891"/>
      <c r="CL322" s="1891"/>
      <c r="CM322" s="1891"/>
      <c r="CN322" s="1892"/>
      <c r="CO322" s="1891"/>
      <c r="CP322" s="1891"/>
      <c r="CQ322" s="1891"/>
      <c r="CR322" s="1891"/>
      <c r="CS322" s="1892"/>
      <c r="CT322" s="1891"/>
      <c r="CU322" s="1891"/>
      <c r="CV322" s="1891"/>
      <c r="CW322" s="1891"/>
      <c r="CX322" s="1892"/>
      <c r="CY322" s="1893"/>
      <c r="CZ322" s="1893"/>
      <c r="DA322" s="1893"/>
      <c r="DB322" s="1893"/>
      <c r="DC322" s="1893"/>
      <c r="DD322" s="1893"/>
      <c r="DE322" s="1893"/>
      <c r="DF322" s="1893"/>
      <c r="DG322" s="1893"/>
      <c r="DH322" s="1766"/>
      <c r="DI322" s="1762"/>
      <c r="DJ322" s="1766"/>
      <c r="DK322" s="1894"/>
      <c r="DL322" s="1894"/>
      <c r="DM322" s="1892"/>
      <c r="DN322" s="1892"/>
      <c r="DO322" s="1892"/>
      <c r="DP322" s="1892"/>
      <c r="DQ322" s="1892"/>
      <c r="DR322" s="1993"/>
    </row>
    <row r="323" spans="1:122" hidden="1" outlineLevel="3">
      <c r="A323" s="1900" t="s">
        <v>162</v>
      </c>
      <c r="B323" s="1774">
        <f t="shared" ref="B323:AA323" si="518">B322/B362</f>
        <v>0.23075706661395531</v>
      </c>
      <c r="C323" s="1785">
        <f t="shared" si="518"/>
        <v>0.23424746980084885</v>
      </c>
      <c r="D323" s="1785">
        <f t="shared" si="518"/>
        <v>0.20268699134478749</v>
      </c>
      <c r="E323" s="1785">
        <f t="shared" si="518"/>
        <v>0.20855762594893029</v>
      </c>
      <c r="F323" s="1785">
        <f t="shared" si="518"/>
        <v>0.22638908038053218</v>
      </c>
      <c r="G323" s="1774">
        <f t="shared" si="518"/>
        <v>0.21706328221399612</v>
      </c>
      <c r="H323" s="1785">
        <f t="shared" si="518"/>
        <v>0.20978569584301576</v>
      </c>
      <c r="I323" s="1785">
        <f t="shared" si="518"/>
        <v>0.20641611052569955</v>
      </c>
      <c r="J323" s="1785">
        <f t="shared" si="518"/>
        <v>0.2331844288449266</v>
      </c>
      <c r="K323" s="1785">
        <f t="shared" si="518"/>
        <v>0.23868567885926845</v>
      </c>
      <c r="L323" s="1774">
        <f t="shared" si="518"/>
        <v>0.22182868860098798</v>
      </c>
      <c r="M323" s="1785">
        <f t="shared" si="518"/>
        <v>0.2288496652465003</v>
      </c>
      <c r="N323" s="1785">
        <f t="shared" si="518"/>
        <v>0.21136609869004236</v>
      </c>
      <c r="O323" s="1785">
        <f t="shared" si="518"/>
        <v>0.23880108991825613</v>
      </c>
      <c r="P323" s="1785">
        <f t="shared" si="518"/>
        <v>0.24978476108480413</v>
      </c>
      <c r="Q323" s="1774">
        <f t="shared" si="518"/>
        <v>0.2317904167232252</v>
      </c>
      <c r="R323" s="1785">
        <f t="shared" si="518"/>
        <v>0.24387855044074436</v>
      </c>
      <c r="S323" s="1785">
        <f t="shared" si="518"/>
        <v>0.23497873913847292</v>
      </c>
      <c r="T323" s="1785">
        <f t="shared" si="518"/>
        <v>0.25561330561330559</v>
      </c>
      <c r="U323" s="1785">
        <f t="shared" si="518"/>
        <v>0.26532821572679854</v>
      </c>
      <c r="V323" s="1774">
        <f t="shared" si="518"/>
        <v>0.2497738011460742</v>
      </c>
      <c r="W323" s="1785">
        <f t="shared" si="518"/>
        <v>0.2598295862847757</v>
      </c>
      <c r="X323" s="1785">
        <f t="shared" si="518"/>
        <v>0.24558587479935795</v>
      </c>
      <c r="Y323" s="1785">
        <f t="shared" si="518"/>
        <v>0.26100917431192661</v>
      </c>
      <c r="Z323" s="1785">
        <f t="shared" si="518"/>
        <v>0.26973907150118603</v>
      </c>
      <c r="AA323" s="1774">
        <f t="shared" si="518"/>
        <v>0.2589539767851497</v>
      </c>
      <c r="AB323" s="1785"/>
      <c r="AC323" s="1785"/>
      <c r="AD323" s="1785"/>
      <c r="AE323" s="1785"/>
      <c r="AF323" s="1774"/>
      <c r="AG323" s="1785"/>
      <c r="AH323" s="1785"/>
      <c r="AI323" s="1785"/>
      <c r="AJ323" s="1785"/>
      <c r="AK323" s="1774"/>
      <c r="AL323" s="1785"/>
      <c r="AM323" s="1785"/>
      <c r="AN323" s="1785"/>
      <c r="AO323" s="1898"/>
      <c r="AP323" s="1899"/>
      <c r="AQ323" s="1898"/>
      <c r="AR323" s="1898"/>
      <c r="AS323" s="1898"/>
      <c r="AT323" s="1898"/>
      <c r="AU323" s="1899"/>
      <c r="AV323" s="1898"/>
      <c r="AW323" s="1898"/>
      <c r="AX323" s="1898"/>
      <c r="AY323" s="1898"/>
      <c r="AZ323" s="1899"/>
      <c r="BA323" s="1898"/>
      <c r="BB323" s="1898"/>
      <c r="BC323" s="1898"/>
      <c r="BD323" s="1898"/>
      <c r="BE323" s="1899"/>
      <c r="BF323" s="1898"/>
      <c r="BG323" s="1898"/>
      <c r="BH323" s="1898"/>
      <c r="BI323" s="1898"/>
      <c r="BJ323" s="1899"/>
      <c r="BK323" s="1898"/>
      <c r="BL323" s="1898"/>
      <c r="BM323" s="1898"/>
      <c r="BN323" s="1898"/>
      <c r="BO323" s="1899"/>
      <c r="BP323" s="1898"/>
      <c r="BQ323" s="1898"/>
      <c r="BR323" s="1898"/>
      <c r="BS323" s="1898"/>
      <c r="BT323" s="1899"/>
      <c r="BU323" s="1898"/>
      <c r="BV323" s="1898"/>
      <c r="BW323" s="1898"/>
      <c r="BX323" s="1898"/>
      <c r="BY323" s="1899"/>
      <c r="BZ323" s="1898"/>
      <c r="CA323" s="1898"/>
      <c r="CB323" s="1898"/>
      <c r="CC323" s="1898"/>
      <c r="CD323" s="1899"/>
      <c r="CE323" s="1898"/>
      <c r="CF323" s="1898"/>
      <c r="CG323" s="1898"/>
      <c r="CH323" s="1898"/>
      <c r="CI323" s="1899"/>
      <c r="CJ323" s="1898"/>
      <c r="CK323" s="1898"/>
      <c r="CL323" s="1898"/>
      <c r="CM323" s="1898"/>
      <c r="CN323" s="1899"/>
      <c r="CO323" s="1898"/>
      <c r="CP323" s="1898"/>
      <c r="CQ323" s="1898"/>
      <c r="CR323" s="1898"/>
      <c r="CS323" s="1899"/>
      <c r="CT323" s="1898"/>
      <c r="CU323" s="1898"/>
      <c r="CV323" s="1898"/>
      <c r="CW323" s="1898"/>
      <c r="CX323" s="1899"/>
      <c r="CY323" s="1900"/>
      <c r="CZ323" s="1900"/>
      <c r="DA323" s="1900"/>
      <c r="DB323" s="1900"/>
      <c r="DC323" s="1900"/>
      <c r="DD323" s="1900"/>
      <c r="DE323" s="1900"/>
      <c r="DF323" s="1900"/>
      <c r="DG323" s="1900"/>
      <c r="DH323" s="1773"/>
      <c r="DI323" s="1774"/>
      <c r="DJ323" s="1773"/>
      <c r="DK323" s="1901"/>
      <c r="DL323" s="1901"/>
      <c r="DM323" s="1899"/>
      <c r="DN323" s="1899"/>
      <c r="DO323" s="1899"/>
      <c r="DP323" s="1899"/>
      <c r="DQ323" s="1899"/>
      <c r="DR323" s="1898"/>
    </row>
    <row r="324" spans="1:122" hidden="1" outlineLevel="3">
      <c r="A324" s="1900" t="s">
        <v>163</v>
      </c>
      <c r="B324" s="1774"/>
      <c r="C324" s="1785"/>
      <c r="D324" s="1785"/>
      <c r="E324" s="1785"/>
      <c r="F324" s="1785"/>
      <c r="G324" s="1774">
        <f t="shared" ref="G324:AA324" si="519">G322/B322-1</f>
        <v>5.4822682885043772E-2</v>
      </c>
      <c r="H324" s="1785">
        <f t="shared" si="519"/>
        <v>0.13240418118466901</v>
      </c>
      <c r="I324" s="1785">
        <f t="shared" si="519"/>
        <v>0.12364563416188656</v>
      </c>
      <c r="J324" s="1785">
        <f t="shared" si="519"/>
        <v>0.20913302448709459</v>
      </c>
      <c r="K324" s="1785">
        <f t="shared" si="519"/>
        <v>0.17235079171741785</v>
      </c>
      <c r="L324" s="1774">
        <f t="shared" si="519"/>
        <v>0.15965567646581125</v>
      </c>
      <c r="M324" s="1785">
        <f t="shared" si="519"/>
        <v>0.15692307692307694</v>
      </c>
      <c r="N324" s="1785">
        <f t="shared" si="519"/>
        <v>0.21724333522404993</v>
      </c>
      <c r="O324" s="1785">
        <f t="shared" si="519"/>
        <v>0.19923371647509569</v>
      </c>
      <c r="P324" s="1785">
        <f t="shared" si="519"/>
        <v>0.20571428571428574</v>
      </c>
      <c r="Q324" s="1774">
        <f t="shared" si="519"/>
        <v>0.19579831932773106</v>
      </c>
      <c r="R324" s="1785">
        <f t="shared" si="519"/>
        <v>0.19202127659574475</v>
      </c>
      <c r="S324" s="1785">
        <f t="shared" si="519"/>
        <v>0.18452935694315009</v>
      </c>
      <c r="T324" s="1785">
        <f t="shared" si="519"/>
        <v>0.12231857599269746</v>
      </c>
      <c r="U324" s="1785">
        <f t="shared" si="519"/>
        <v>0.16156828953037494</v>
      </c>
      <c r="V324" s="1774">
        <f t="shared" si="519"/>
        <v>0.16397282736003738</v>
      </c>
      <c r="W324" s="1785">
        <f t="shared" si="519"/>
        <v>0.1294065149486836</v>
      </c>
      <c r="X324" s="1785">
        <f t="shared" si="519"/>
        <v>0.14358772619984261</v>
      </c>
      <c r="Y324" s="1785">
        <f t="shared" si="519"/>
        <v>0.15697437982919893</v>
      </c>
      <c r="Z324" s="1785">
        <f t="shared" si="519"/>
        <v>0.18100890207715126</v>
      </c>
      <c r="AA324" s="1774">
        <f t="shared" si="519"/>
        <v>0.15385389414369088</v>
      </c>
      <c r="AB324" s="1785"/>
      <c r="AC324" s="1785"/>
      <c r="AD324" s="1785"/>
      <c r="AE324" s="1785"/>
      <c r="AF324" s="1774"/>
      <c r="AG324" s="1785"/>
      <c r="AH324" s="1785"/>
      <c r="AI324" s="1785"/>
      <c r="AJ324" s="1785"/>
      <c r="AK324" s="1774"/>
      <c r="AL324" s="1785"/>
      <c r="AM324" s="1785"/>
      <c r="AN324" s="1785"/>
      <c r="AO324" s="1898"/>
      <c r="AP324" s="1899"/>
      <c r="AQ324" s="1898"/>
      <c r="AR324" s="1898"/>
      <c r="AS324" s="1898"/>
      <c r="AT324" s="1898"/>
      <c r="AU324" s="1899"/>
      <c r="AV324" s="1898"/>
      <c r="AW324" s="1898"/>
      <c r="AX324" s="1898"/>
      <c r="AY324" s="1898"/>
      <c r="AZ324" s="1899"/>
      <c r="BA324" s="1898"/>
      <c r="BB324" s="1898"/>
      <c r="BC324" s="1898"/>
      <c r="BD324" s="1898"/>
      <c r="BE324" s="1899"/>
      <c r="BF324" s="1898"/>
      <c r="BG324" s="1898"/>
      <c r="BH324" s="1898"/>
      <c r="BI324" s="1898"/>
      <c r="BJ324" s="1899"/>
      <c r="BK324" s="1898"/>
      <c r="BL324" s="1898"/>
      <c r="BM324" s="1898"/>
      <c r="BN324" s="1898"/>
      <c r="BO324" s="1899"/>
      <c r="BP324" s="1898"/>
      <c r="BQ324" s="1898"/>
      <c r="BR324" s="1898"/>
      <c r="BS324" s="1898"/>
      <c r="BT324" s="1899"/>
      <c r="BU324" s="1898"/>
      <c r="BV324" s="1898"/>
      <c r="BW324" s="1898"/>
      <c r="BX324" s="1898"/>
      <c r="BY324" s="1899"/>
      <c r="BZ324" s="1898"/>
      <c r="CA324" s="1898"/>
      <c r="CB324" s="1898"/>
      <c r="CC324" s="1898"/>
      <c r="CD324" s="1899"/>
      <c r="CE324" s="1898"/>
      <c r="CF324" s="1898"/>
      <c r="CG324" s="1898"/>
      <c r="CH324" s="1898"/>
      <c r="CI324" s="1899"/>
      <c r="CJ324" s="1898"/>
      <c r="CK324" s="1898"/>
      <c r="CL324" s="1898"/>
      <c r="CM324" s="1898"/>
      <c r="CN324" s="1899"/>
      <c r="CO324" s="1898"/>
      <c r="CP324" s="1898"/>
      <c r="CQ324" s="1898"/>
      <c r="CR324" s="1898"/>
      <c r="CS324" s="1899"/>
      <c r="CT324" s="1898"/>
      <c r="CU324" s="1898"/>
      <c r="CV324" s="1898"/>
      <c r="CW324" s="1898"/>
      <c r="CX324" s="1899"/>
      <c r="CY324" s="1900"/>
      <c r="CZ324" s="1900"/>
      <c r="DA324" s="1900"/>
      <c r="DB324" s="1900"/>
      <c r="DC324" s="1900"/>
      <c r="DD324" s="1900"/>
      <c r="DE324" s="1900"/>
      <c r="DF324" s="1900"/>
      <c r="DG324" s="1900"/>
      <c r="DH324" s="1773"/>
      <c r="DI324" s="1774"/>
      <c r="DJ324" s="1773"/>
      <c r="DK324" s="1901"/>
      <c r="DL324" s="1901"/>
      <c r="DM324" s="1899"/>
      <c r="DN324" s="1899"/>
      <c r="DO324" s="1899"/>
      <c r="DP324" s="1899"/>
      <c r="DQ324" s="1899"/>
      <c r="DR324" s="1898"/>
    </row>
    <row r="325" spans="1:122" hidden="1" outlineLevel="3">
      <c r="A325" s="1890" t="s">
        <v>529</v>
      </c>
      <c r="B325" s="1801"/>
      <c r="C325" s="1803"/>
      <c r="D325" s="1803"/>
      <c r="E325" s="1803"/>
      <c r="F325" s="1803"/>
      <c r="G325" s="1801">
        <v>2048000</v>
      </c>
      <c r="H325" s="1803">
        <v>297000</v>
      </c>
      <c r="I325" s="1803">
        <v>234000</v>
      </c>
      <c r="J325" s="1803">
        <v>305000</v>
      </c>
      <c r="K325" s="1803"/>
      <c r="L325" s="1801">
        <v>2457000</v>
      </c>
      <c r="M325" s="1803">
        <v>381000</v>
      </c>
      <c r="N325" s="1803">
        <v>-209000</v>
      </c>
      <c r="O325" s="1803">
        <v>616000</v>
      </c>
      <c r="P325" s="1887">
        <v>608000</v>
      </c>
      <c r="Q325" s="1914">
        <f>SUM(M325:P325)</f>
        <v>1396000</v>
      </c>
      <c r="R325" s="1889">
        <v>708000</v>
      </c>
      <c r="S325" s="1887">
        <v>947000</v>
      </c>
      <c r="T325" s="1803">
        <v>822000</v>
      </c>
      <c r="U325" s="1803">
        <v>815000</v>
      </c>
      <c r="V325" s="1801">
        <f>SUM(R325:U325)</f>
        <v>3292000</v>
      </c>
      <c r="W325" s="1889">
        <v>907000</v>
      </c>
      <c r="X325" s="1887">
        <v>1099000</v>
      </c>
      <c r="Y325" s="1887">
        <v>1068000</v>
      </c>
      <c r="Z325" s="1803">
        <v>1249000</v>
      </c>
      <c r="AA325" s="1801">
        <f>SUM(W325:Z325)</f>
        <v>4323000</v>
      </c>
      <c r="AB325" s="1889"/>
      <c r="AC325" s="1887"/>
      <c r="AD325" s="1887"/>
      <c r="AE325" s="1803"/>
      <c r="AF325" s="1801"/>
      <c r="AG325" s="1803"/>
      <c r="AH325" s="1887"/>
      <c r="AI325" s="1887"/>
      <c r="AJ325" s="1803"/>
      <c r="AK325" s="1801"/>
      <c r="AL325" s="1803"/>
      <c r="AM325" s="1887"/>
      <c r="AN325" s="1887"/>
      <c r="AO325" s="1915"/>
      <c r="AP325" s="1908"/>
      <c r="AQ325" s="1915"/>
      <c r="AR325" s="1915"/>
      <c r="AS325" s="1915"/>
      <c r="AT325" s="1915"/>
      <c r="AU325" s="1908"/>
      <c r="AV325" s="1915"/>
      <c r="AW325" s="1915"/>
      <c r="AX325" s="1915"/>
      <c r="AY325" s="1915"/>
      <c r="AZ325" s="1908"/>
      <c r="BA325" s="1915"/>
      <c r="BB325" s="1915"/>
      <c r="BC325" s="1915"/>
      <c r="BD325" s="1915"/>
      <c r="BE325" s="1908"/>
      <c r="BF325" s="1915"/>
      <c r="BG325" s="1915"/>
      <c r="BH325" s="1915"/>
      <c r="BI325" s="1915"/>
      <c r="BJ325" s="1908"/>
      <c r="BK325" s="1915"/>
      <c r="BL325" s="1915"/>
      <c r="BM325" s="1915"/>
      <c r="BN325" s="1915"/>
      <c r="BO325" s="1908"/>
      <c r="BP325" s="1915"/>
      <c r="BQ325" s="1915"/>
      <c r="BR325" s="1915"/>
      <c r="BS325" s="1915"/>
      <c r="BT325" s="1908"/>
      <c r="BU325" s="1915"/>
      <c r="BV325" s="1915"/>
      <c r="BW325" s="1915"/>
      <c r="BX325" s="1915"/>
      <c r="BY325" s="1908"/>
      <c r="BZ325" s="1915"/>
      <c r="CA325" s="1915"/>
      <c r="CB325" s="1915"/>
      <c r="CC325" s="1915"/>
      <c r="CD325" s="1908"/>
      <c r="CE325" s="1915"/>
      <c r="CF325" s="1915"/>
      <c r="CG325" s="1915"/>
      <c r="CH325" s="1915"/>
      <c r="CI325" s="1908"/>
      <c r="CJ325" s="1915"/>
      <c r="CK325" s="1915"/>
      <c r="CL325" s="1915"/>
      <c r="CM325" s="1915"/>
      <c r="CN325" s="1908"/>
      <c r="CO325" s="1915"/>
      <c r="CP325" s="1915"/>
      <c r="CQ325" s="1915"/>
      <c r="CR325" s="1915"/>
      <c r="CS325" s="1908"/>
      <c r="CT325" s="1915"/>
      <c r="CU325" s="1915"/>
      <c r="CV325" s="1915"/>
      <c r="CW325" s="1915"/>
      <c r="CX325" s="1908"/>
      <c r="CY325" s="1890"/>
      <c r="CZ325" s="1890"/>
      <c r="DA325" s="1890"/>
      <c r="DB325" s="1890"/>
      <c r="DC325" s="1890"/>
      <c r="DD325" s="1890"/>
      <c r="DE325" s="1890"/>
      <c r="DF325" s="1890"/>
      <c r="DG325" s="1890"/>
      <c r="DH325" s="1804"/>
      <c r="DI325" s="1801"/>
      <c r="DJ325" s="1804"/>
      <c r="DK325" s="1907"/>
      <c r="DL325" s="1907"/>
      <c r="DM325" s="1908"/>
      <c r="DN325" s="1908"/>
      <c r="DO325" s="1908"/>
      <c r="DP325" s="1908"/>
      <c r="DQ325" s="1908"/>
      <c r="DR325" s="1915"/>
    </row>
    <row r="326" spans="1:122" hidden="1" outlineLevel="3">
      <c r="A326" s="1923" t="s">
        <v>117</v>
      </c>
      <c r="B326" s="1918"/>
      <c r="C326" s="1917"/>
      <c r="D326" s="1917"/>
      <c r="E326" s="1917"/>
      <c r="F326" s="1917"/>
      <c r="G326" s="1918">
        <f>G325/G322</f>
        <v>0.33262952736722429</v>
      </c>
      <c r="H326" s="1917">
        <f>H325/H322</f>
        <v>0.18276923076923077</v>
      </c>
      <c r="I326" s="1917">
        <f>I325/I322</f>
        <v>0.13272830402722632</v>
      </c>
      <c r="J326" s="1917">
        <f>J325/J322</f>
        <v>0.16694033935413247</v>
      </c>
      <c r="K326" s="1917"/>
      <c r="L326" s="1918">
        <f t="shared" ref="L326:Z326" si="520">L325/L322</f>
        <v>0.34411764705882353</v>
      </c>
      <c r="M326" s="1917">
        <f t="shared" si="520"/>
        <v>0.20265957446808511</v>
      </c>
      <c r="N326" s="1917">
        <f t="shared" si="520"/>
        <v>-9.7390493942218076E-2</v>
      </c>
      <c r="O326" s="1917">
        <f t="shared" si="520"/>
        <v>0.28115015974440893</v>
      </c>
      <c r="P326" s="1919">
        <f t="shared" si="520"/>
        <v>0.26195605342524775</v>
      </c>
      <c r="Q326" s="1920">
        <f t="shared" si="520"/>
        <v>0.16350433356758023</v>
      </c>
      <c r="R326" s="1919">
        <f t="shared" si="520"/>
        <v>0.31593038821954483</v>
      </c>
      <c r="S326" s="1919">
        <f t="shared" si="520"/>
        <v>0.37254130605822189</v>
      </c>
      <c r="T326" s="1917">
        <f t="shared" si="520"/>
        <v>0.33428222854819034</v>
      </c>
      <c r="U326" s="1917">
        <f t="shared" si="520"/>
        <v>0.30229970326409494</v>
      </c>
      <c r="V326" s="1918">
        <f t="shared" si="520"/>
        <v>0.3312537733950493</v>
      </c>
      <c r="W326" s="1919">
        <f t="shared" si="520"/>
        <v>0.35835638087712368</v>
      </c>
      <c r="X326" s="1919">
        <f t="shared" si="520"/>
        <v>0.37805297557619538</v>
      </c>
      <c r="Y326" s="1919">
        <f t="shared" si="520"/>
        <v>0.37539543057996483</v>
      </c>
      <c r="Z326" s="1917">
        <f t="shared" si="520"/>
        <v>0.39227386934673369</v>
      </c>
      <c r="AA326" s="1918">
        <f>SUM(W326:Z326)</f>
        <v>1.5040786563800177</v>
      </c>
      <c r="AB326" s="1919"/>
      <c r="AC326" s="1919"/>
      <c r="AD326" s="1919"/>
      <c r="AE326" s="1917"/>
      <c r="AF326" s="1918"/>
      <c r="AG326" s="1917"/>
      <c r="AH326" s="1919"/>
      <c r="AI326" s="1919"/>
      <c r="AJ326" s="1917"/>
      <c r="AK326" s="1918"/>
      <c r="AL326" s="1917"/>
      <c r="AM326" s="1919"/>
      <c r="AN326" s="1919"/>
      <c r="AO326" s="1921"/>
      <c r="AP326" s="1922"/>
      <c r="AQ326" s="1921"/>
      <c r="AR326" s="1921"/>
      <c r="AS326" s="1921"/>
      <c r="AT326" s="1921"/>
      <c r="AU326" s="1922"/>
      <c r="AV326" s="1921"/>
      <c r="AW326" s="1921"/>
      <c r="AX326" s="1921"/>
      <c r="AY326" s="1921"/>
      <c r="AZ326" s="1922"/>
      <c r="BA326" s="1921"/>
      <c r="BB326" s="1921"/>
      <c r="BC326" s="1921"/>
      <c r="BD326" s="1921"/>
      <c r="BE326" s="1922"/>
      <c r="BF326" s="1921"/>
      <c r="BG326" s="1921"/>
      <c r="BH326" s="1921"/>
      <c r="BI326" s="1921"/>
      <c r="BJ326" s="1922"/>
      <c r="BK326" s="1921"/>
      <c r="BL326" s="1921"/>
      <c r="BM326" s="1921"/>
      <c r="BN326" s="1921"/>
      <c r="BO326" s="1922"/>
      <c r="BP326" s="1921"/>
      <c r="BQ326" s="1921"/>
      <c r="BR326" s="1921"/>
      <c r="BS326" s="1921"/>
      <c r="BT326" s="1922"/>
      <c r="BU326" s="1921"/>
      <c r="BV326" s="1921"/>
      <c r="BW326" s="1921"/>
      <c r="BX326" s="1921"/>
      <c r="BY326" s="1922"/>
      <c r="BZ326" s="1921"/>
      <c r="CA326" s="1921"/>
      <c r="CB326" s="1921"/>
      <c r="CC326" s="1921"/>
      <c r="CD326" s="1922"/>
      <c r="CE326" s="1921"/>
      <c r="CF326" s="1921"/>
      <c r="CG326" s="1921"/>
      <c r="CH326" s="1921"/>
      <c r="CI326" s="1922"/>
      <c r="CJ326" s="1921"/>
      <c r="CK326" s="1921"/>
      <c r="CL326" s="1921"/>
      <c r="CM326" s="1921"/>
      <c r="CN326" s="1922"/>
      <c r="CO326" s="1921"/>
      <c r="CP326" s="1921"/>
      <c r="CQ326" s="1921"/>
      <c r="CR326" s="1921"/>
      <c r="CS326" s="1922"/>
      <c r="CT326" s="1921"/>
      <c r="CU326" s="1921"/>
      <c r="CV326" s="1921"/>
      <c r="CW326" s="1921"/>
      <c r="CX326" s="1922"/>
      <c r="CY326" s="1923"/>
      <c r="CZ326" s="1923"/>
      <c r="DA326" s="1923"/>
      <c r="DB326" s="1923"/>
      <c r="DC326" s="1923"/>
      <c r="DD326" s="1923"/>
      <c r="DE326" s="1923"/>
      <c r="DF326" s="1923"/>
      <c r="DG326" s="1923"/>
      <c r="DH326" s="1924"/>
      <c r="DI326" s="1918"/>
      <c r="DJ326" s="1924"/>
      <c r="DK326" s="1925"/>
      <c r="DL326" s="1925"/>
      <c r="DM326" s="1922"/>
      <c r="DN326" s="1922"/>
      <c r="DO326" s="1922"/>
      <c r="DP326" s="1922"/>
      <c r="DQ326" s="1922"/>
      <c r="DR326" s="1921"/>
    </row>
    <row r="327" spans="1:122" hidden="1" outlineLevel="3">
      <c r="A327" s="1893"/>
      <c r="B327" s="1762"/>
      <c r="C327" s="1803"/>
      <c r="D327" s="1803"/>
      <c r="E327" s="1803"/>
      <c r="F327" s="1803"/>
      <c r="G327" s="1762"/>
      <c r="H327" s="1803"/>
      <c r="I327" s="1803"/>
      <c r="J327" s="1803"/>
      <c r="K327" s="1803"/>
      <c r="L327" s="1762"/>
      <c r="M327" s="1803"/>
      <c r="N327" s="1803"/>
      <c r="O327" s="1803"/>
      <c r="P327" s="1927"/>
      <c r="Q327" s="1888"/>
      <c r="R327" s="1928"/>
      <c r="S327" s="1928"/>
      <c r="T327" s="1893"/>
      <c r="U327" s="1893"/>
      <c r="V327" s="1929"/>
      <c r="W327" s="1928"/>
      <c r="X327" s="1928"/>
      <c r="Y327" s="1928"/>
      <c r="Z327" s="1893"/>
      <c r="AA327" s="1929"/>
      <c r="AB327" s="1928"/>
      <c r="AC327" s="1928"/>
      <c r="AD327" s="1928"/>
      <c r="AE327" s="1893"/>
      <c r="AF327" s="1929"/>
      <c r="AG327" s="1893"/>
      <c r="AH327" s="1928"/>
      <c r="AI327" s="1928"/>
      <c r="AJ327" s="1893"/>
      <c r="AK327" s="1929"/>
      <c r="AL327" s="1893"/>
      <c r="AM327" s="1928"/>
      <c r="AN327" s="1928"/>
      <c r="AO327" s="1980"/>
      <c r="AP327" s="1933"/>
      <c r="AQ327" s="1980"/>
      <c r="AR327" s="1980"/>
      <c r="AS327" s="1980"/>
      <c r="AT327" s="1980"/>
      <c r="AU327" s="1933"/>
      <c r="AV327" s="1980"/>
      <c r="AW327" s="1980"/>
      <c r="AX327" s="1980"/>
      <c r="AY327" s="1980"/>
      <c r="AZ327" s="1933"/>
      <c r="BA327" s="1980"/>
      <c r="BB327" s="1980"/>
      <c r="BC327" s="1980"/>
      <c r="BD327" s="1980"/>
      <c r="BE327" s="1933"/>
      <c r="BF327" s="1980"/>
      <c r="BG327" s="1980"/>
      <c r="BH327" s="1980"/>
      <c r="BI327" s="1980"/>
      <c r="BJ327" s="1933"/>
      <c r="BK327" s="1980"/>
      <c r="BL327" s="1980"/>
      <c r="BM327" s="1980"/>
      <c r="BN327" s="1980"/>
      <c r="BO327" s="1933"/>
      <c r="BP327" s="1980"/>
      <c r="BQ327" s="1980"/>
      <c r="BR327" s="1980"/>
      <c r="BS327" s="1980"/>
      <c r="BT327" s="1933"/>
      <c r="BU327" s="1980"/>
      <c r="BV327" s="1980"/>
      <c r="BW327" s="1980"/>
      <c r="BX327" s="1980"/>
      <c r="BY327" s="1933"/>
      <c r="BZ327" s="1980"/>
      <c r="CA327" s="1980"/>
      <c r="CB327" s="1980"/>
      <c r="CC327" s="1980"/>
      <c r="CD327" s="1933"/>
      <c r="CE327" s="1980"/>
      <c r="CF327" s="1980"/>
      <c r="CG327" s="1980"/>
      <c r="CH327" s="1980"/>
      <c r="CI327" s="1933"/>
      <c r="CJ327" s="1980"/>
      <c r="CK327" s="1980"/>
      <c r="CL327" s="1980"/>
      <c r="CM327" s="1980"/>
      <c r="CN327" s="1933"/>
      <c r="CO327" s="1980"/>
      <c r="CP327" s="1980"/>
      <c r="CQ327" s="1980"/>
      <c r="CR327" s="1980"/>
      <c r="CS327" s="1933"/>
      <c r="CT327" s="1980"/>
      <c r="CU327" s="1980"/>
      <c r="CV327" s="1980"/>
      <c r="CW327" s="1980"/>
      <c r="CX327" s="1933"/>
      <c r="CY327" s="1893"/>
      <c r="CZ327" s="1893"/>
      <c r="DA327" s="1893"/>
      <c r="DB327" s="1893"/>
      <c r="DC327" s="1893"/>
      <c r="DD327" s="1893"/>
      <c r="DE327" s="1893"/>
      <c r="DF327" s="1893"/>
      <c r="DG327" s="1893"/>
      <c r="DH327" s="1934"/>
      <c r="DI327" s="1930"/>
      <c r="DJ327" s="1934"/>
      <c r="DK327" s="1935"/>
      <c r="DL327" s="1935"/>
      <c r="DM327" s="1933"/>
      <c r="DN327" s="1933"/>
      <c r="DO327" s="1933"/>
      <c r="DP327" s="1933"/>
      <c r="DQ327" s="1933"/>
      <c r="DR327" s="3061"/>
    </row>
    <row r="328" spans="1:122" hidden="1" outlineLevel="3">
      <c r="A328" s="2056" t="s">
        <v>195</v>
      </c>
      <c r="B328" s="1762">
        <v>8420000</v>
      </c>
      <c r="C328" s="1803">
        <v>1801000</v>
      </c>
      <c r="D328" s="1803">
        <v>2116000</v>
      </c>
      <c r="E328" s="1803">
        <v>2128000</v>
      </c>
      <c r="F328" s="1803">
        <v>2167000</v>
      </c>
      <c r="G328" s="1762">
        <f>SUM(C328:F328)</f>
        <v>8212000</v>
      </c>
      <c r="H328" s="1803">
        <v>2268000</v>
      </c>
      <c r="I328" s="1803">
        <v>2285000</v>
      </c>
      <c r="J328" s="1803">
        <v>2327000</v>
      </c>
      <c r="K328" s="1803">
        <v>2349000</v>
      </c>
      <c r="L328" s="1762">
        <f>SUM(H328:K328)</f>
        <v>9229000</v>
      </c>
      <c r="M328" s="1803">
        <v>2254000</v>
      </c>
      <c r="N328" s="1803">
        <v>2862000</v>
      </c>
      <c r="O328" s="1803">
        <v>2700000</v>
      </c>
      <c r="P328" s="1887">
        <v>2837000</v>
      </c>
      <c r="Q328" s="1888">
        <f>SUM(M328:P328)</f>
        <v>10653000</v>
      </c>
      <c r="R328" s="1889">
        <v>2595000</v>
      </c>
      <c r="S328" s="1889">
        <v>2825000</v>
      </c>
      <c r="T328" s="1890">
        <v>2805000</v>
      </c>
      <c r="U328" s="1890">
        <v>2944000</v>
      </c>
      <c r="V328" s="1762">
        <f>SUM(R328:U328)</f>
        <v>11169000</v>
      </c>
      <c r="W328" s="1889">
        <v>2698000</v>
      </c>
      <c r="X328" s="1889">
        <v>2979000</v>
      </c>
      <c r="Y328" s="1889">
        <v>2946000</v>
      </c>
      <c r="Z328" s="1890">
        <v>3133000</v>
      </c>
      <c r="AA328" s="1762">
        <f>SUM(W328:Z328)</f>
        <v>11756000</v>
      </c>
      <c r="AB328" s="1889"/>
      <c r="AC328" s="1889"/>
      <c r="AD328" s="1889"/>
      <c r="AE328" s="1890"/>
      <c r="AF328" s="1762"/>
      <c r="AG328" s="1890"/>
      <c r="AH328" s="1889"/>
      <c r="AI328" s="1889"/>
      <c r="AJ328" s="1890"/>
      <c r="AK328" s="1762"/>
      <c r="AL328" s="1890"/>
      <c r="AM328" s="1889"/>
      <c r="AN328" s="1889"/>
      <c r="AO328" s="1891"/>
      <c r="AP328" s="1892"/>
      <c r="AQ328" s="1891"/>
      <c r="AR328" s="1891"/>
      <c r="AS328" s="1891"/>
      <c r="AT328" s="1891"/>
      <c r="AU328" s="1892"/>
      <c r="AV328" s="1891"/>
      <c r="AW328" s="1891"/>
      <c r="AX328" s="1891"/>
      <c r="AY328" s="1891"/>
      <c r="AZ328" s="1892"/>
      <c r="BA328" s="1891"/>
      <c r="BB328" s="1891"/>
      <c r="BC328" s="1891"/>
      <c r="BD328" s="1891"/>
      <c r="BE328" s="1892"/>
      <c r="BF328" s="1891"/>
      <c r="BG328" s="1891"/>
      <c r="BH328" s="1891"/>
      <c r="BI328" s="1891"/>
      <c r="BJ328" s="1892"/>
      <c r="BK328" s="1891"/>
      <c r="BL328" s="1891"/>
      <c r="BM328" s="1891"/>
      <c r="BN328" s="1891"/>
      <c r="BO328" s="1892"/>
      <c r="BP328" s="1891"/>
      <c r="BQ328" s="1891"/>
      <c r="BR328" s="1891"/>
      <c r="BS328" s="1891"/>
      <c r="BT328" s="1892"/>
      <c r="BU328" s="1891"/>
      <c r="BV328" s="1891"/>
      <c r="BW328" s="1891"/>
      <c r="BX328" s="1891"/>
      <c r="BY328" s="1892"/>
      <c r="BZ328" s="1891"/>
      <c r="CA328" s="1891"/>
      <c r="CB328" s="1891"/>
      <c r="CC328" s="1891"/>
      <c r="CD328" s="1892"/>
      <c r="CE328" s="1891"/>
      <c r="CF328" s="1891"/>
      <c r="CG328" s="1891"/>
      <c r="CH328" s="1891"/>
      <c r="CI328" s="1892"/>
      <c r="CJ328" s="1891"/>
      <c r="CK328" s="1891"/>
      <c r="CL328" s="1891"/>
      <c r="CM328" s="1891"/>
      <c r="CN328" s="1892"/>
      <c r="CO328" s="1891"/>
      <c r="CP328" s="1891"/>
      <c r="CQ328" s="1891"/>
      <c r="CR328" s="1891"/>
      <c r="CS328" s="1892"/>
      <c r="CT328" s="1891"/>
      <c r="CU328" s="1891"/>
      <c r="CV328" s="1891"/>
      <c r="CW328" s="1891"/>
      <c r="CX328" s="1892"/>
      <c r="CY328" s="1893"/>
      <c r="CZ328" s="1893"/>
      <c r="DA328" s="1893"/>
      <c r="DB328" s="1893"/>
      <c r="DC328" s="1893"/>
      <c r="DD328" s="1893"/>
      <c r="DE328" s="1893"/>
      <c r="DF328" s="1893"/>
      <c r="DG328" s="1893"/>
      <c r="DH328" s="1766"/>
      <c r="DI328" s="1762"/>
      <c r="DJ328" s="1766"/>
      <c r="DK328" s="1894"/>
      <c r="DL328" s="1894"/>
      <c r="DM328" s="1892"/>
      <c r="DN328" s="1892"/>
      <c r="DO328" s="1892"/>
      <c r="DP328" s="1892"/>
      <c r="DQ328" s="1892"/>
      <c r="DR328" s="1993"/>
    </row>
    <row r="329" spans="1:122" hidden="1" outlineLevel="3">
      <c r="A329" s="1900" t="s">
        <v>162</v>
      </c>
      <c r="B329" s="1774">
        <f t="shared" ref="B329:AA329" si="521">B328/B362</f>
        <v>0.33287210911247284</v>
      </c>
      <c r="C329" s="1785">
        <f t="shared" si="521"/>
        <v>0.29399281749918382</v>
      </c>
      <c r="D329" s="1785">
        <f t="shared" si="521"/>
        <v>0.27334969642165097</v>
      </c>
      <c r="E329" s="1785">
        <f t="shared" si="521"/>
        <v>0.29371980676328502</v>
      </c>
      <c r="F329" s="1785">
        <f t="shared" si="521"/>
        <v>0.29877292154970359</v>
      </c>
      <c r="G329" s="1774">
        <f t="shared" si="521"/>
        <v>0.28951172219284327</v>
      </c>
      <c r="H329" s="1785">
        <f t="shared" si="521"/>
        <v>0.29279628195197521</v>
      </c>
      <c r="I329" s="1785">
        <f t="shared" si="521"/>
        <v>0.26753307575225382</v>
      </c>
      <c r="J329" s="1785">
        <f t="shared" si="521"/>
        <v>0.29700063816209316</v>
      </c>
      <c r="K329" s="1785">
        <f t="shared" si="521"/>
        <v>0.29125852448853068</v>
      </c>
      <c r="L329" s="1774">
        <f t="shared" si="521"/>
        <v>0.28673066766085686</v>
      </c>
      <c r="M329" s="1785">
        <f t="shared" si="521"/>
        <v>0.27437614120511261</v>
      </c>
      <c r="N329" s="1785">
        <f t="shared" si="521"/>
        <v>0.28188712695754947</v>
      </c>
      <c r="O329" s="1785">
        <f t="shared" si="521"/>
        <v>0.29427792915531337</v>
      </c>
      <c r="P329" s="1896">
        <f t="shared" si="521"/>
        <v>0.30531640120533793</v>
      </c>
      <c r="Q329" s="1897">
        <f t="shared" si="521"/>
        <v>0.28920863309352518</v>
      </c>
      <c r="R329" s="1902">
        <f t="shared" si="521"/>
        <v>0.28240287300032646</v>
      </c>
      <c r="S329" s="1902">
        <f t="shared" si="521"/>
        <v>0.26113884266962473</v>
      </c>
      <c r="T329" s="1900">
        <f t="shared" si="521"/>
        <v>0.29158004158004158</v>
      </c>
      <c r="U329" s="1900">
        <f t="shared" si="521"/>
        <v>0.28973526227733493</v>
      </c>
      <c r="V329" s="1774">
        <f t="shared" si="521"/>
        <v>0.28071277772192621</v>
      </c>
      <c r="W329" s="1902">
        <f t="shared" si="521"/>
        <v>0.27697361667179959</v>
      </c>
      <c r="X329" s="1902">
        <f t="shared" si="521"/>
        <v>0.25166849708541017</v>
      </c>
      <c r="Y329" s="1902">
        <f t="shared" si="521"/>
        <v>0.27027522935779819</v>
      </c>
      <c r="Z329" s="1900">
        <f t="shared" si="521"/>
        <v>0.26541850220264318</v>
      </c>
      <c r="AA329" s="1774">
        <f t="shared" si="521"/>
        <v>0.26548033060837362</v>
      </c>
      <c r="AB329" s="1902"/>
      <c r="AC329" s="1902"/>
      <c r="AD329" s="1902"/>
      <c r="AE329" s="1900"/>
      <c r="AF329" s="1774"/>
      <c r="AG329" s="1900"/>
      <c r="AH329" s="1902"/>
      <c r="AI329" s="1902"/>
      <c r="AJ329" s="1900"/>
      <c r="AK329" s="1774"/>
      <c r="AL329" s="1900"/>
      <c r="AM329" s="1902"/>
      <c r="AN329" s="1902"/>
      <c r="AO329" s="1903"/>
      <c r="AP329" s="1899"/>
      <c r="AQ329" s="1903"/>
      <c r="AR329" s="1903"/>
      <c r="AS329" s="1903"/>
      <c r="AT329" s="1903"/>
      <c r="AU329" s="1899"/>
      <c r="AV329" s="1903"/>
      <c r="AW329" s="1903"/>
      <c r="AX329" s="1903"/>
      <c r="AY329" s="1903"/>
      <c r="AZ329" s="1899"/>
      <c r="BA329" s="1903"/>
      <c r="BB329" s="1903"/>
      <c r="BC329" s="1903"/>
      <c r="BD329" s="1903"/>
      <c r="BE329" s="1899"/>
      <c r="BF329" s="1903"/>
      <c r="BG329" s="1903"/>
      <c r="BH329" s="1903"/>
      <c r="BI329" s="1903"/>
      <c r="BJ329" s="1899"/>
      <c r="BK329" s="1903"/>
      <c r="BL329" s="1903"/>
      <c r="BM329" s="1903"/>
      <c r="BN329" s="1903"/>
      <c r="BO329" s="1899"/>
      <c r="BP329" s="1903"/>
      <c r="BQ329" s="1903"/>
      <c r="BR329" s="1903"/>
      <c r="BS329" s="1903"/>
      <c r="BT329" s="1899"/>
      <c r="BU329" s="1903"/>
      <c r="BV329" s="1903"/>
      <c r="BW329" s="1903"/>
      <c r="BX329" s="1903"/>
      <c r="BY329" s="1899"/>
      <c r="BZ329" s="1903"/>
      <c r="CA329" s="1903"/>
      <c r="CB329" s="1903"/>
      <c r="CC329" s="1903"/>
      <c r="CD329" s="1899"/>
      <c r="CE329" s="1903"/>
      <c r="CF329" s="1903"/>
      <c r="CG329" s="1903"/>
      <c r="CH329" s="1903"/>
      <c r="CI329" s="1899"/>
      <c r="CJ329" s="1903"/>
      <c r="CK329" s="1903"/>
      <c r="CL329" s="1903"/>
      <c r="CM329" s="1903"/>
      <c r="CN329" s="1899"/>
      <c r="CO329" s="1903"/>
      <c r="CP329" s="1903"/>
      <c r="CQ329" s="1903"/>
      <c r="CR329" s="1903"/>
      <c r="CS329" s="1899"/>
      <c r="CT329" s="1903"/>
      <c r="CU329" s="1903"/>
      <c r="CV329" s="1903"/>
      <c r="CW329" s="1903"/>
      <c r="CX329" s="1899"/>
      <c r="CY329" s="1900"/>
      <c r="CZ329" s="1900"/>
      <c r="DA329" s="1900"/>
      <c r="DB329" s="1900"/>
      <c r="DC329" s="1900"/>
      <c r="DD329" s="1900"/>
      <c r="DE329" s="1900"/>
      <c r="DF329" s="1900"/>
      <c r="DG329" s="1900"/>
      <c r="DH329" s="1773"/>
      <c r="DI329" s="1774"/>
      <c r="DJ329" s="1773"/>
      <c r="DK329" s="1901"/>
      <c r="DL329" s="1901"/>
      <c r="DM329" s="1899"/>
      <c r="DN329" s="1899"/>
      <c r="DO329" s="1899"/>
      <c r="DP329" s="1899"/>
      <c r="DQ329" s="1899"/>
      <c r="DR329" s="1898"/>
    </row>
    <row r="330" spans="1:122" hidden="1" outlineLevel="3">
      <c r="A330" s="1900" t="s">
        <v>163</v>
      </c>
      <c r="B330" s="1774"/>
      <c r="C330" s="1785"/>
      <c r="D330" s="1785"/>
      <c r="E330" s="1785"/>
      <c r="F330" s="1785"/>
      <c r="G330" s="1774">
        <f t="shared" ref="G330:AA330" si="522">G328/B328-1</f>
        <v>-2.4703087885985742E-2</v>
      </c>
      <c r="H330" s="1785">
        <f t="shared" si="522"/>
        <v>0.25930038867295946</v>
      </c>
      <c r="I330" s="1785">
        <f t="shared" si="522"/>
        <v>7.9867674858222992E-2</v>
      </c>
      <c r="J330" s="1785">
        <f t="shared" si="522"/>
        <v>9.3515037593985051E-2</v>
      </c>
      <c r="K330" s="1785">
        <f t="shared" si="522"/>
        <v>8.3987078910936708E-2</v>
      </c>
      <c r="L330" s="1774">
        <f t="shared" si="522"/>
        <v>0.12384315635655141</v>
      </c>
      <c r="M330" s="1785">
        <f t="shared" si="522"/>
        <v>-6.1728395061728669E-3</v>
      </c>
      <c r="N330" s="1785">
        <f t="shared" si="522"/>
        <v>0.25251641137855585</v>
      </c>
      <c r="O330" s="1785">
        <f t="shared" si="522"/>
        <v>0.16029222174473579</v>
      </c>
      <c r="P330" s="1896">
        <f t="shared" si="522"/>
        <v>0.20774797786292032</v>
      </c>
      <c r="Q330" s="1897">
        <f t="shared" si="522"/>
        <v>0.15429624011268817</v>
      </c>
      <c r="R330" s="1896">
        <f t="shared" si="522"/>
        <v>0.15128660159716056</v>
      </c>
      <c r="S330" s="1896">
        <f t="shared" si="522"/>
        <v>-1.2928022361984648E-2</v>
      </c>
      <c r="T330" s="1785">
        <f t="shared" si="522"/>
        <v>3.8888888888888973E-2</v>
      </c>
      <c r="U330" s="1785">
        <f t="shared" si="522"/>
        <v>3.7715897074374283E-2</v>
      </c>
      <c r="V330" s="1774">
        <f t="shared" si="522"/>
        <v>4.8437059983103437E-2</v>
      </c>
      <c r="W330" s="1896">
        <f t="shared" si="522"/>
        <v>3.9691714836223468E-2</v>
      </c>
      <c r="X330" s="1896">
        <f t="shared" si="522"/>
        <v>5.4513274336283279E-2</v>
      </c>
      <c r="Y330" s="1896">
        <f t="shared" si="522"/>
        <v>5.0267379679144408E-2</v>
      </c>
      <c r="Z330" s="1785">
        <f t="shared" si="522"/>
        <v>6.4198369565217295E-2</v>
      </c>
      <c r="AA330" s="1774">
        <f t="shared" si="522"/>
        <v>5.2556182290267595E-2</v>
      </c>
      <c r="AB330" s="1896"/>
      <c r="AC330" s="1896"/>
      <c r="AD330" s="1896"/>
      <c r="AE330" s="1785"/>
      <c r="AF330" s="1774"/>
      <c r="AG330" s="1785"/>
      <c r="AH330" s="1896"/>
      <c r="AI330" s="1896"/>
      <c r="AJ330" s="1785"/>
      <c r="AK330" s="1774"/>
      <c r="AL330" s="1785"/>
      <c r="AM330" s="1896"/>
      <c r="AN330" s="1896"/>
      <c r="AO330" s="1898"/>
      <c r="AP330" s="1899"/>
      <c r="AQ330" s="1898"/>
      <c r="AR330" s="1898"/>
      <c r="AS330" s="1898"/>
      <c r="AT330" s="1898"/>
      <c r="AU330" s="1899"/>
      <c r="AV330" s="1898"/>
      <c r="AW330" s="1898"/>
      <c r="AX330" s="1898"/>
      <c r="AY330" s="1898"/>
      <c r="AZ330" s="1899"/>
      <c r="BA330" s="1898"/>
      <c r="BB330" s="1898"/>
      <c r="BC330" s="1898"/>
      <c r="BD330" s="1898"/>
      <c r="BE330" s="1899"/>
      <c r="BF330" s="1898"/>
      <c r="BG330" s="1898"/>
      <c r="BH330" s="1898"/>
      <c r="BI330" s="1898"/>
      <c r="BJ330" s="1899"/>
      <c r="BK330" s="1898"/>
      <c r="BL330" s="1898"/>
      <c r="BM330" s="1898"/>
      <c r="BN330" s="1898"/>
      <c r="BO330" s="1899"/>
      <c r="BP330" s="1898"/>
      <c r="BQ330" s="1898"/>
      <c r="BR330" s="1898"/>
      <c r="BS330" s="1898"/>
      <c r="BT330" s="1899"/>
      <c r="BU330" s="1898"/>
      <c r="BV330" s="1898"/>
      <c r="BW330" s="1898"/>
      <c r="BX330" s="1898"/>
      <c r="BY330" s="1899"/>
      <c r="BZ330" s="1898"/>
      <c r="CA330" s="1898"/>
      <c r="CB330" s="1898"/>
      <c r="CC330" s="1898"/>
      <c r="CD330" s="1899"/>
      <c r="CE330" s="1898"/>
      <c r="CF330" s="1898"/>
      <c r="CG330" s="1898"/>
      <c r="CH330" s="1898"/>
      <c r="CI330" s="1899"/>
      <c r="CJ330" s="1898"/>
      <c r="CK330" s="1898"/>
      <c r="CL330" s="1898"/>
      <c r="CM330" s="1898"/>
      <c r="CN330" s="1899"/>
      <c r="CO330" s="1898"/>
      <c r="CP330" s="1898"/>
      <c r="CQ330" s="1898"/>
      <c r="CR330" s="1898"/>
      <c r="CS330" s="1899"/>
      <c r="CT330" s="1898"/>
      <c r="CU330" s="1898"/>
      <c r="CV330" s="1898"/>
      <c r="CW330" s="1898"/>
      <c r="CX330" s="1899"/>
      <c r="CY330" s="1900"/>
      <c r="CZ330" s="1900"/>
      <c r="DA330" s="1900"/>
      <c r="DB330" s="1900"/>
      <c r="DC330" s="1900"/>
      <c r="DD330" s="1900"/>
      <c r="DE330" s="1900"/>
      <c r="DF330" s="1900"/>
      <c r="DG330" s="1900"/>
      <c r="DH330" s="1773"/>
      <c r="DI330" s="1774"/>
      <c r="DJ330" s="1773"/>
      <c r="DK330" s="1901"/>
      <c r="DL330" s="1901"/>
      <c r="DM330" s="1899"/>
      <c r="DN330" s="1899"/>
      <c r="DO330" s="1899"/>
      <c r="DP330" s="1899"/>
      <c r="DQ330" s="1899"/>
      <c r="DR330" s="1898"/>
    </row>
    <row r="331" spans="1:122" hidden="1" outlineLevel="3">
      <c r="A331" s="1890" t="s">
        <v>529</v>
      </c>
      <c r="B331" s="1801"/>
      <c r="C331" s="1803"/>
      <c r="D331" s="1803"/>
      <c r="E331" s="1803"/>
      <c r="F331" s="1803"/>
      <c r="G331" s="1801">
        <v>6448000</v>
      </c>
      <c r="H331" s="1803">
        <v>1664000</v>
      </c>
      <c r="I331" s="1803">
        <v>1663000</v>
      </c>
      <c r="J331" s="1803">
        <v>1696000</v>
      </c>
      <c r="K331" s="1803"/>
      <c r="L331" s="1801">
        <v>7037000</v>
      </c>
      <c r="M331" s="1803">
        <v>1604000</v>
      </c>
      <c r="N331" s="1803">
        <v>1830000</v>
      </c>
      <c r="O331" s="1803">
        <v>1954000</v>
      </c>
      <c r="P331" s="1887">
        <v>2022000</v>
      </c>
      <c r="Q331" s="1914">
        <f>SUM(M331:P331)</f>
        <v>7410000</v>
      </c>
      <c r="R331" s="1889">
        <v>1921000</v>
      </c>
      <c r="S331" s="1887">
        <v>2065000</v>
      </c>
      <c r="T331" s="1803">
        <v>2029000</v>
      </c>
      <c r="U331" s="1803">
        <v>2012000</v>
      </c>
      <c r="V331" s="1801">
        <f>SUM(R331:U331)</f>
        <v>8027000</v>
      </c>
      <c r="W331" s="1889">
        <v>1946000</v>
      </c>
      <c r="X331" s="1887">
        <v>2101000</v>
      </c>
      <c r="Y331" s="1887">
        <v>2087000</v>
      </c>
      <c r="Z331" s="1803">
        <v>2150000</v>
      </c>
      <c r="AA331" s="1801">
        <f>SUM(W331:Z331)</f>
        <v>8284000</v>
      </c>
      <c r="AB331" s="1889"/>
      <c r="AC331" s="1887"/>
      <c r="AD331" s="1887"/>
      <c r="AE331" s="1803"/>
      <c r="AF331" s="1801"/>
      <c r="AG331" s="1803"/>
      <c r="AH331" s="1887"/>
      <c r="AI331" s="1887"/>
      <c r="AJ331" s="1803"/>
      <c r="AK331" s="1801"/>
      <c r="AL331" s="1803"/>
      <c r="AM331" s="1887"/>
      <c r="AN331" s="1887"/>
      <c r="AO331" s="1915"/>
      <c r="AP331" s="1908"/>
      <c r="AQ331" s="1915"/>
      <c r="AR331" s="1915"/>
      <c r="AS331" s="1915"/>
      <c r="AT331" s="1915"/>
      <c r="AU331" s="1908"/>
      <c r="AV331" s="1915"/>
      <c r="AW331" s="1915"/>
      <c r="AX331" s="1915"/>
      <c r="AY331" s="1915"/>
      <c r="AZ331" s="1908"/>
      <c r="BA331" s="1915"/>
      <c r="BB331" s="1915"/>
      <c r="BC331" s="1915"/>
      <c r="BD331" s="1915"/>
      <c r="BE331" s="1908"/>
      <c r="BF331" s="1915"/>
      <c r="BG331" s="1915"/>
      <c r="BH331" s="1915"/>
      <c r="BI331" s="1915"/>
      <c r="BJ331" s="1908"/>
      <c r="BK331" s="1915"/>
      <c r="BL331" s="1915"/>
      <c r="BM331" s="1915"/>
      <c r="BN331" s="1915"/>
      <c r="BO331" s="1908"/>
      <c r="BP331" s="1915"/>
      <c r="BQ331" s="1915"/>
      <c r="BR331" s="1915"/>
      <c r="BS331" s="1915"/>
      <c r="BT331" s="1908"/>
      <c r="BU331" s="1915"/>
      <c r="BV331" s="1915"/>
      <c r="BW331" s="1915"/>
      <c r="BX331" s="1915"/>
      <c r="BY331" s="1908"/>
      <c r="BZ331" s="1915"/>
      <c r="CA331" s="1915"/>
      <c r="CB331" s="1915"/>
      <c r="CC331" s="1915"/>
      <c r="CD331" s="1908"/>
      <c r="CE331" s="1915"/>
      <c r="CF331" s="1915"/>
      <c r="CG331" s="1915"/>
      <c r="CH331" s="1915"/>
      <c r="CI331" s="1908"/>
      <c r="CJ331" s="1915"/>
      <c r="CK331" s="1915"/>
      <c r="CL331" s="1915"/>
      <c r="CM331" s="1915"/>
      <c r="CN331" s="1908"/>
      <c r="CO331" s="1915"/>
      <c r="CP331" s="1915"/>
      <c r="CQ331" s="1915"/>
      <c r="CR331" s="1915"/>
      <c r="CS331" s="1908"/>
      <c r="CT331" s="1915"/>
      <c r="CU331" s="1915"/>
      <c r="CV331" s="1915"/>
      <c r="CW331" s="1915"/>
      <c r="CX331" s="1908"/>
      <c r="CY331" s="1890"/>
      <c r="CZ331" s="1890"/>
      <c r="DA331" s="1890"/>
      <c r="DB331" s="1890"/>
      <c r="DC331" s="1890"/>
      <c r="DD331" s="1890"/>
      <c r="DE331" s="1890"/>
      <c r="DF331" s="1890"/>
      <c r="DG331" s="1890"/>
      <c r="DH331" s="1804"/>
      <c r="DI331" s="1801"/>
      <c r="DJ331" s="1804"/>
      <c r="DK331" s="1907"/>
      <c r="DL331" s="1907"/>
      <c r="DM331" s="1908"/>
      <c r="DN331" s="1908"/>
      <c r="DO331" s="1908"/>
      <c r="DP331" s="1908"/>
      <c r="DQ331" s="1908"/>
      <c r="DR331" s="1915"/>
    </row>
    <row r="332" spans="1:122" hidden="1" outlineLevel="3">
      <c r="A332" s="1923" t="s">
        <v>117</v>
      </c>
      <c r="B332" s="1918"/>
      <c r="C332" s="1917"/>
      <c r="D332" s="1917"/>
      <c r="E332" s="1917"/>
      <c r="F332" s="1917"/>
      <c r="G332" s="1918">
        <f>G331/G328</f>
        <v>0.78519240136385782</v>
      </c>
      <c r="H332" s="1917">
        <f>H331/H328</f>
        <v>0.73368606701940031</v>
      </c>
      <c r="I332" s="1917">
        <f>I331/I328</f>
        <v>0.7277899343544858</v>
      </c>
      <c r="J332" s="1917">
        <f>J331/J328</f>
        <v>0.72883541039965616</v>
      </c>
      <c r="K332" s="1917"/>
      <c r="L332" s="1918">
        <f t="shared" ref="L332:AA332" si="523">L331/L328</f>
        <v>0.76248781016361467</v>
      </c>
      <c r="M332" s="1917">
        <f t="shared" si="523"/>
        <v>0.71162377994676129</v>
      </c>
      <c r="N332" s="1917">
        <f t="shared" si="523"/>
        <v>0.63941299790356398</v>
      </c>
      <c r="O332" s="1917">
        <f t="shared" si="523"/>
        <v>0.72370370370370374</v>
      </c>
      <c r="P332" s="1919">
        <f t="shared" si="523"/>
        <v>0.71272470919985897</v>
      </c>
      <c r="Q332" s="1920">
        <f t="shared" si="523"/>
        <v>0.69557871022247253</v>
      </c>
      <c r="R332" s="1919">
        <f t="shared" si="523"/>
        <v>0.74026974951830438</v>
      </c>
      <c r="S332" s="1948">
        <f t="shared" si="523"/>
        <v>0.73097345132743363</v>
      </c>
      <c r="T332" s="1923">
        <f t="shared" si="523"/>
        <v>0.72335115864527633</v>
      </c>
      <c r="U332" s="1923">
        <f t="shared" si="523"/>
        <v>0.68342391304347827</v>
      </c>
      <c r="V332" s="1918">
        <f t="shared" si="523"/>
        <v>0.71868564777509181</v>
      </c>
      <c r="W332" s="1919">
        <f t="shared" si="523"/>
        <v>0.72127501853224607</v>
      </c>
      <c r="X332" s="1948">
        <f t="shared" si="523"/>
        <v>0.70527022490768709</v>
      </c>
      <c r="Y332" s="1948">
        <f t="shared" si="523"/>
        <v>0.70841819416157503</v>
      </c>
      <c r="Z332" s="1923">
        <f t="shared" si="523"/>
        <v>0.68624321736354932</v>
      </c>
      <c r="AA332" s="1918">
        <f t="shared" si="523"/>
        <v>0.70466144947260978</v>
      </c>
      <c r="AB332" s="1919"/>
      <c r="AC332" s="1948"/>
      <c r="AD332" s="1948"/>
      <c r="AE332" s="1923"/>
      <c r="AF332" s="1918"/>
      <c r="AG332" s="1923"/>
      <c r="AH332" s="1948"/>
      <c r="AI332" s="1948"/>
      <c r="AJ332" s="1923"/>
      <c r="AK332" s="1918"/>
      <c r="AL332" s="1923"/>
      <c r="AM332" s="1948"/>
      <c r="AN332" s="1948"/>
      <c r="AO332" s="1949"/>
      <c r="AP332" s="1922"/>
      <c r="AQ332" s="1949"/>
      <c r="AR332" s="1949"/>
      <c r="AS332" s="1949"/>
      <c r="AT332" s="1949"/>
      <c r="AU332" s="1922"/>
      <c r="AV332" s="1949"/>
      <c r="AW332" s="1949"/>
      <c r="AX332" s="1949"/>
      <c r="AY332" s="1949"/>
      <c r="AZ332" s="1922"/>
      <c r="BA332" s="1949"/>
      <c r="BB332" s="1949"/>
      <c r="BC332" s="1949"/>
      <c r="BD332" s="1949"/>
      <c r="BE332" s="1922"/>
      <c r="BF332" s="1949"/>
      <c r="BG332" s="1949"/>
      <c r="BH332" s="1949"/>
      <c r="BI332" s="1949"/>
      <c r="BJ332" s="1922"/>
      <c r="BK332" s="1949"/>
      <c r="BL332" s="1949"/>
      <c r="BM332" s="1949"/>
      <c r="BN332" s="1949"/>
      <c r="BO332" s="1922"/>
      <c r="BP332" s="1949"/>
      <c r="BQ332" s="1949"/>
      <c r="BR332" s="1949"/>
      <c r="BS332" s="1949"/>
      <c r="BT332" s="1922"/>
      <c r="BU332" s="1949"/>
      <c r="BV332" s="1949"/>
      <c r="BW332" s="1949"/>
      <c r="BX332" s="1949"/>
      <c r="BY332" s="1922"/>
      <c r="BZ332" s="1949"/>
      <c r="CA332" s="1949"/>
      <c r="CB332" s="1949"/>
      <c r="CC332" s="1949"/>
      <c r="CD332" s="1922"/>
      <c r="CE332" s="1949"/>
      <c r="CF332" s="1949"/>
      <c r="CG332" s="1949"/>
      <c r="CH332" s="1949"/>
      <c r="CI332" s="1922"/>
      <c r="CJ332" s="1949"/>
      <c r="CK332" s="1949"/>
      <c r="CL332" s="1949"/>
      <c r="CM332" s="1949"/>
      <c r="CN332" s="1922"/>
      <c r="CO332" s="1949"/>
      <c r="CP332" s="1949"/>
      <c r="CQ332" s="1949"/>
      <c r="CR332" s="1949"/>
      <c r="CS332" s="1922"/>
      <c r="CT332" s="1949"/>
      <c r="CU332" s="1949"/>
      <c r="CV332" s="1949"/>
      <c r="CW332" s="1949"/>
      <c r="CX332" s="1922"/>
      <c r="CY332" s="1923"/>
      <c r="CZ332" s="1923"/>
      <c r="DA332" s="1923"/>
      <c r="DB332" s="1923"/>
      <c r="DC332" s="1923"/>
      <c r="DD332" s="1923"/>
      <c r="DE332" s="1923"/>
      <c r="DF332" s="1923"/>
      <c r="DG332" s="1923"/>
      <c r="DH332" s="1924"/>
      <c r="DI332" s="1918"/>
      <c r="DJ332" s="1924"/>
      <c r="DK332" s="1925"/>
      <c r="DL332" s="1925"/>
      <c r="DM332" s="1922"/>
      <c r="DN332" s="1922"/>
      <c r="DO332" s="1922"/>
      <c r="DP332" s="1922"/>
      <c r="DQ332" s="1922"/>
      <c r="DR332" s="1921"/>
    </row>
    <row r="333" spans="1:122" hidden="1" outlineLevel="3">
      <c r="A333" s="1893"/>
      <c r="B333" s="1762"/>
      <c r="C333" s="1803"/>
      <c r="D333" s="1803"/>
      <c r="E333" s="1803"/>
      <c r="F333" s="1803"/>
      <c r="G333" s="1762"/>
      <c r="H333" s="1803"/>
      <c r="I333" s="1803"/>
      <c r="J333" s="1803"/>
      <c r="K333" s="1803"/>
      <c r="L333" s="1762"/>
      <c r="M333" s="1803"/>
      <c r="N333" s="1803"/>
      <c r="O333" s="1803"/>
      <c r="P333" s="1927"/>
      <c r="Q333" s="1888"/>
      <c r="R333" s="1928"/>
      <c r="S333" s="1928"/>
      <c r="T333" s="1893"/>
      <c r="U333" s="1893"/>
      <c r="V333" s="1929"/>
      <c r="W333" s="1928"/>
      <c r="X333" s="1928"/>
      <c r="Y333" s="1928"/>
      <c r="Z333" s="1893"/>
      <c r="AA333" s="1929"/>
      <c r="AB333" s="1928"/>
      <c r="AC333" s="1928"/>
      <c r="AD333" s="1928"/>
      <c r="AE333" s="1893"/>
      <c r="AF333" s="1929"/>
      <c r="AG333" s="1893"/>
      <c r="AH333" s="1928"/>
      <c r="AI333" s="1928"/>
      <c r="AJ333" s="1893"/>
      <c r="AK333" s="1929"/>
      <c r="AL333" s="1893"/>
      <c r="AM333" s="1928"/>
      <c r="AN333" s="1928"/>
      <c r="AO333" s="1980"/>
      <c r="AP333" s="1933"/>
      <c r="AQ333" s="1980"/>
      <c r="AR333" s="1980"/>
      <c r="AS333" s="1980"/>
      <c r="AT333" s="1980"/>
      <c r="AU333" s="1933"/>
      <c r="AV333" s="1980"/>
      <c r="AW333" s="1980"/>
      <c r="AX333" s="1980"/>
      <c r="AY333" s="1980"/>
      <c r="AZ333" s="1933"/>
      <c r="BA333" s="1980"/>
      <c r="BB333" s="1980"/>
      <c r="BC333" s="1980"/>
      <c r="BD333" s="1980"/>
      <c r="BE333" s="1933"/>
      <c r="BF333" s="1980"/>
      <c r="BG333" s="1980"/>
      <c r="BH333" s="1980"/>
      <c r="BI333" s="1980"/>
      <c r="BJ333" s="1933"/>
      <c r="BK333" s="1980"/>
      <c r="BL333" s="1980"/>
      <c r="BM333" s="1980"/>
      <c r="BN333" s="1980"/>
      <c r="BO333" s="1933"/>
      <c r="BP333" s="1980"/>
      <c r="BQ333" s="1980"/>
      <c r="BR333" s="1980"/>
      <c r="BS333" s="1980"/>
      <c r="BT333" s="1933"/>
      <c r="BU333" s="1980"/>
      <c r="BV333" s="1980"/>
      <c r="BW333" s="1980"/>
      <c r="BX333" s="1980"/>
      <c r="BY333" s="1933"/>
      <c r="BZ333" s="1980"/>
      <c r="CA333" s="1980"/>
      <c r="CB333" s="1980"/>
      <c r="CC333" s="1980"/>
      <c r="CD333" s="1933"/>
      <c r="CE333" s="1980"/>
      <c r="CF333" s="1980"/>
      <c r="CG333" s="1980"/>
      <c r="CH333" s="1980"/>
      <c r="CI333" s="1933"/>
      <c r="CJ333" s="1980"/>
      <c r="CK333" s="1980"/>
      <c r="CL333" s="1980"/>
      <c r="CM333" s="1980"/>
      <c r="CN333" s="1933"/>
      <c r="CO333" s="1980"/>
      <c r="CP333" s="1980"/>
      <c r="CQ333" s="1980"/>
      <c r="CR333" s="1980"/>
      <c r="CS333" s="1933"/>
      <c r="CT333" s="1980"/>
      <c r="CU333" s="1980"/>
      <c r="CV333" s="1980"/>
      <c r="CW333" s="1980"/>
      <c r="CX333" s="1933"/>
      <c r="CY333" s="1893"/>
      <c r="CZ333" s="1893"/>
      <c r="DA333" s="1893"/>
      <c r="DB333" s="1893"/>
      <c r="DC333" s="1893"/>
      <c r="DD333" s="1893"/>
      <c r="DE333" s="1893"/>
      <c r="DF333" s="1893"/>
      <c r="DG333" s="1893"/>
      <c r="DH333" s="1934"/>
      <c r="DI333" s="1930"/>
      <c r="DJ333" s="1934"/>
      <c r="DK333" s="1935"/>
      <c r="DL333" s="1935"/>
      <c r="DM333" s="1933"/>
      <c r="DN333" s="1933"/>
      <c r="DO333" s="1933"/>
      <c r="DP333" s="1933"/>
      <c r="DQ333" s="1933"/>
      <c r="DR333" s="3061"/>
    </row>
    <row r="334" spans="1:122" hidden="1" outlineLevel="3">
      <c r="A334" s="2056" t="s">
        <v>196</v>
      </c>
      <c r="B334" s="1762">
        <v>106000</v>
      </c>
      <c r="C334" s="1803">
        <v>74000</v>
      </c>
      <c r="D334" s="1803">
        <v>73000</v>
      </c>
      <c r="E334" s="1803">
        <v>75000</v>
      </c>
      <c r="F334" s="1803">
        <v>86000</v>
      </c>
      <c r="G334" s="1762">
        <f>SUM(C334:F334)</f>
        <v>308000</v>
      </c>
      <c r="H334" s="1803">
        <v>106000</v>
      </c>
      <c r="I334" s="1803">
        <v>135000</v>
      </c>
      <c r="J334" s="1803">
        <v>147000</v>
      </c>
      <c r="K334" s="1803">
        <v>179000</v>
      </c>
      <c r="L334" s="1762">
        <f>SUM(H334:K334)</f>
        <v>567000</v>
      </c>
      <c r="M334" s="1803">
        <v>147000</v>
      </c>
      <c r="N334" s="1803">
        <v>210000</v>
      </c>
      <c r="O334" s="1803">
        <v>179000</v>
      </c>
      <c r="P334" s="1887">
        <v>223000</v>
      </c>
      <c r="Q334" s="1888">
        <f>SUM(M334:P334)</f>
        <v>759000</v>
      </c>
      <c r="R334" s="1889">
        <v>156000</v>
      </c>
      <c r="S334" s="1889">
        <v>207000</v>
      </c>
      <c r="T334" s="1890">
        <v>179000</v>
      </c>
      <c r="U334" s="1890">
        <v>242000</v>
      </c>
      <c r="V334" s="1762">
        <f>SUM(R334:U334)</f>
        <v>784000</v>
      </c>
      <c r="W334" s="1889">
        <v>181000</v>
      </c>
      <c r="X334" s="1889">
        <v>242000</v>
      </c>
      <c r="Y334" s="1889">
        <v>216000</v>
      </c>
      <c r="Z334" s="1890">
        <v>280000</v>
      </c>
      <c r="AA334" s="1762">
        <f>SUM(W334:Z334)</f>
        <v>919000</v>
      </c>
      <c r="AB334" s="1889"/>
      <c r="AC334" s="1889"/>
      <c r="AD334" s="1889"/>
      <c r="AE334" s="1890"/>
      <c r="AF334" s="1762"/>
      <c r="AG334" s="1890"/>
      <c r="AH334" s="1889"/>
      <c r="AI334" s="1889"/>
      <c r="AJ334" s="1890"/>
      <c r="AK334" s="1762"/>
      <c r="AL334" s="1890"/>
      <c r="AM334" s="1889"/>
      <c r="AN334" s="1889"/>
      <c r="AO334" s="1891"/>
      <c r="AP334" s="1892"/>
      <c r="AQ334" s="1891"/>
      <c r="AR334" s="1891"/>
      <c r="AS334" s="1891"/>
      <c r="AT334" s="1891"/>
      <c r="AU334" s="1892"/>
      <c r="AV334" s="1891"/>
      <c r="AW334" s="1891"/>
      <c r="AX334" s="1891"/>
      <c r="AY334" s="1891"/>
      <c r="AZ334" s="1892"/>
      <c r="BA334" s="1891"/>
      <c r="BB334" s="1891"/>
      <c r="BC334" s="1891"/>
      <c r="BD334" s="1891"/>
      <c r="BE334" s="1892"/>
      <c r="BF334" s="1891"/>
      <c r="BG334" s="1891"/>
      <c r="BH334" s="1891"/>
      <c r="BI334" s="1891"/>
      <c r="BJ334" s="1892"/>
      <c r="BK334" s="1891"/>
      <c r="BL334" s="1891"/>
      <c r="BM334" s="1891"/>
      <c r="BN334" s="1891"/>
      <c r="BO334" s="1892"/>
      <c r="BP334" s="1891"/>
      <c r="BQ334" s="1891"/>
      <c r="BR334" s="1891"/>
      <c r="BS334" s="1891"/>
      <c r="BT334" s="1892"/>
      <c r="BU334" s="1891"/>
      <c r="BV334" s="1891"/>
      <c r="BW334" s="1891"/>
      <c r="BX334" s="1891"/>
      <c r="BY334" s="1892"/>
      <c r="BZ334" s="1891"/>
      <c r="CA334" s="1891"/>
      <c r="CB334" s="1891"/>
      <c r="CC334" s="1891"/>
      <c r="CD334" s="1892"/>
      <c r="CE334" s="1891"/>
      <c r="CF334" s="1891"/>
      <c r="CG334" s="1891"/>
      <c r="CH334" s="1891"/>
      <c r="CI334" s="1892"/>
      <c r="CJ334" s="1891"/>
      <c r="CK334" s="1891"/>
      <c r="CL334" s="1891"/>
      <c r="CM334" s="1891"/>
      <c r="CN334" s="1892"/>
      <c r="CO334" s="1891"/>
      <c r="CP334" s="1891"/>
      <c r="CQ334" s="1891"/>
      <c r="CR334" s="1891"/>
      <c r="CS334" s="1892"/>
      <c r="CT334" s="1891"/>
      <c r="CU334" s="1891"/>
      <c r="CV334" s="1891"/>
      <c r="CW334" s="1891"/>
      <c r="CX334" s="1892"/>
      <c r="CY334" s="1893"/>
      <c r="CZ334" s="1893"/>
      <c r="DA334" s="1893"/>
      <c r="DB334" s="1893"/>
      <c r="DC334" s="1893"/>
      <c r="DD334" s="1893"/>
      <c r="DE334" s="1893"/>
      <c r="DF334" s="1893"/>
      <c r="DG334" s="1893"/>
      <c r="DH334" s="1766"/>
      <c r="DI334" s="1762"/>
      <c r="DJ334" s="1766"/>
      <c r="DK334" s="1894"/>
      <c r="DL334" s="1894"/>
      <c r="DM334" s="1892"/>
      <c r="DN334" s="1892"/>
      <c r="DO334" s="1892"/>
      <c r="DP334" s="1892"/>
      <c r="DQ334" s="1892"/>
      <c r="DR334" s="1993"/>
    </row>
    <row r="335" spans="1:122" hidden="1" outlineLevel="3">
      <c r="A335" s="1973" t="s">
        <v>162</v>
      </c>
      <c r="B335" s="2057">
        <f t="shared" ref="B335:AA335" si="524">B334/B362</f>
        <v>4.1905514923898006E-3</v>
      </c>
      <c r="C335" s="1959">
        <f t="shared" si="524"/>
        <v>1.2079660463597781E-2</v>
      </c>
      <c r="D335" s="1959">
        <f t="shared" si="524"/>
        <v>9.4303061619945752E-3</v>
      </c>
      <c r="E335" s="1959">
        <f t="shared" si="524"/>
        <v>1.0351966873706004E-2</v>
      </c>
      <c r="F335" s="1959">
        <f t="shared" si="524"/>
        <v>1.1857162553426169E-2</v>
      </c>
      <c r="G335" s="1774">
        <f t="shared" si="524"/>
        <v>1.0858452317997532E-2</v>
      </c>
      <c r="H335" s="1959">
        <f t="shared" si="524"/>
        <v>1.3684482313452104E-2</v>
      </c>
      <c r="I335" s="1959">
        <f t="shared" si="524"/>
        <v>1.5806111696522657E-2</v>
      </c>
      <c r="J335" s="1959">
        <f t="shared" si="524"/>
        <v>1.8761965539246968E-2</v>
      </c>
      <c r="K335" s="1959">
        <f t="shared" si="524"/>
        <v>2.2194668319900804E-2</v>
      </c>
      <c r="L335" s="2057">
        <f t="shared" si="524"/>
        <v>1.7615807624196105E-2</v>
      </c>
      <c r="M335" s="1959">
        <f t="shared" si="524"/>
        <v>1.7894096165550821E-2</v>
      </c>
      <c r="N335" s="1959">
        <f t="shared" si="524"/>
        <v>2.0683541810302374E-2</v>
      </c>
      <c r="O335" s="1959">
        <f t="shared" si="524"/>
        <v>1.9509536784741145E-2</v>
      </c>
      <c r="P335" s="2058">
        <f t="shared" si="524"/>
        <v>2.3999139044339216E-2</v>
      </c>
      <c r="Q335" s="2059">
        <f t="shared" si="524"/>
        <v>2.0605402470476448E-2</v>
      </c>
      <c r="R335" s="2060">
        <f t="shared" si="524"/>
        <v>1.6976820111002284E-2</v>
      </c>
      <c r="S335" s="2060">
        <f t="shared" si="524"/>
        <v>1.913477537437604E-2</v>
      </c>
      <c r="T335" s="1973">
        <f t="shared" si="524"/>
        <v>1.8607068607068608E-2</v>
      </c>
      <c r="U335" s="1973">
        <f t="shared" si="524"/>
        <v>2.3816553488829838E-2</v>
      </c>
      <c r="V335" s="2057">
        <f t="shared" si="524"/>
        <v>1.9704433497536946E-2</v>
      </c>
      <c r="W335" s="2060">
        <f t="shared" si="524"/>
        <v>1.8581254491325326E-2</v>
      </c>
      <c r="X335" s="2060">
        <f t="shared" si="524"/>
        <v>2.0444369350342148E-2</v>
      </c>
      <c r="Y335" s="2060">
        <f t="shared" si="524"/>
        <v>1.981651376146789E-2</v>
      </c>
      <c r="Z335" s="1973">
        <f t="shared" si="524"/>
        <v>2.3720772619451033E-2</v>
      </c>
      <c r="AA335" s="2057">
        <f t="shared" si="524"/>
        <v>2.0753353507068334E-2</v>
      </c>
      <c r="AB335" s="2060"/>
      <c r="AC335" s="2060"/>
      <c r="AD335" s="2060"/>
      <c r="AE335" s="1973"/>
      <c r="AF335" s="2057"/>
      <c r="AG335" s="1973"/>
      <c r="AH335" s="2060"/>
      <c r="AI335" s="2060"/>
      <c r="AJ335" s="1973"/>
      <c r="AK335" s="2057"/>
      <c r="AL335" s="1973"/>
      <c r="AM335" s="2060"/>
      <c r="AN335" s="2060"/>
      <c r="AO335" s="2061"/>
      <c r="AP335" s="2062"/>
      <c r="AQ335" s="2061"/>
      <c r="AR335" s="2061"/>
      <c r="AS335" s="2061"/>
      <c r="AT335" s="2061"/>
      <c r="AU335" s="2062"/>
      <c r="AV335" s="2061"/>
      <c r="AW335" s="2061"/>
      <c r="AX335" s="2061"/>
      <c r="AY335" s="2061"/>
      <c r="AZ335" s="2062"/>
      <c r="BA335" s="2061"/>
      <c r="BB335" s="2061"/>
      <c r="BC335" s="2061"/>
      <c r="BD335" s="2061"/>
      <c r="BE335" s="2062"/>
      <c r="BF335" s="2061"/>
      <c r="BG335" s="2061"/>
      <c r="BH335" s="2061"/>
      <c r="BI335" s="2061"/>
      <c r="BJ335" s="2062"/>
      <c r="BK335" s="2061"/>
      <c r="BL335" s="2061"/>
      <c r="BM335" s="2061"/>
      <c r="BN335" s="2061"/>
      <c r="BO335" s="2062"/>
      <c r="BP335" s="2061"/>
      <c r="BQ335" s="2061"/>
      <c r="BR335" s="2061"/>
      <c r="BS335" s="2061"/>
      <c r="BT335" s="2062"/>
      <c r="BU335" s="2061"/>
      <c r="BV335" s="2061"/>
      <c r="BW335" s="2061"/>
      <c r="BX335" s="2061"/>
      <c r="BY335" s="2062"/>
      <c r="BZ335" s="2061"/>
      <c r="CA335" s="2061"/>
      <c r="CB335" s="2061"/>
      <c r="CC335" s="2061"/>
      <c r="CD335" s="2062"/>
      <c r="CE335" s="2061"/>
      <c r="CF335" s="2061"/>
      <c r="CG335" s="2061"/>
      <c r="CH335" s="2061"/>
      <c r="CI335" s="2062"/>
      <c r="CJ335" s="2061"/>
      <c r="CK335" s="2061"/>
      <c r="CL335" s="2061"/>
      <c r="CM335" s="2061"/>
      <c r="CN335" s="2062"/>
      <c r="CO335" s="2061"/>
      <c r="CP335" s="2061"/>
      <c r="CQ335" s="2061"/>
      <c r="CR335" s="2061"/>
      <c r="CS335" s="2062"/>
      <c r="CT335" s="2061"/>
      <c r="CU335" s="2061"/>
      <c r="CV335" s="2061"/>
      <c r="CW335" s="2061"/>
      <c r="CX335" s="2062"/>
      <c r="CY335" s="1973"/>
      <c r="CZ335" s="1973"/>
      <c r="DA335" s="1973"/>
      <c r="DB335" s="1973"/>
      <c r="DC335" s="1973"/>
      <c r="DD335" s="1973"/>
      <c r="DE335" s="1973"/>
      <c r="DF335" s="1973"/>
      <c r="DG335" s="1973"/>
      <c r="DH335" s="2063"/>
      <c r="DI335" s="2057"/>
      <c r="DJ335" s="2063"/>
      <c r="DK335" s="2064"/>
      <c r="DL335" s="2064"/>
      <c r="DM335" s="2062"/>
      <c r="DN335" s="2062"/>
      <c r="DO335" s="2062"/>
      <c r="DP335" s="2062"/>
      <c r="DQ335" s="2062"/>
      <c r="DR335" s="3065"/>
    </row>
    <row r="336" spans="1:122" hidden="1" outlineLevel="3">
      <c r="A336" s="1900" t="s">
        <v>163</v>
      </c>
      <c r="B336" s="1774"/>
      <c r="C336" s="1785"/>
      <c r="D336" s="1785"/>
      <c r="E336" s="1785"/>
      <c r="F336" s="1785"/>
      <c r="G336" s="1774">
        <f t="shared" ref="G336:AA336" si="525">G334/B334-1</f>
        <v>1.9056603773584904</v>
      </c>
      <c r="H336" s="1785">
        <f t="shared" si="525"/>
        <v>0.43243243243243246</v>
      </c>
      <c r="I336" s="1785">
        <f t="shared" si="525"/>
        <v>0.84931506849315075</v>
      </c>
      <c r="J336" s="1785">
        <f t="shared" si="525"/>
        <v>0.96</v>
      </c>
      <c r="K336" s="1785">
        <f t="shared" si="525"/>
        <v>1.0813953488372094</v>
      </c>
      <c r="L336" s="1774">
        <f t="shared" si="525"/>
        <v>0.84090909090909083</v>
      </c>
      <c r="M336" s="1785">
        <f t="shared" si="525"/>
        <v>0.3867924528301887</v>
      </c>
      <c r="N336" s="1785">
        <f t="shared" si="525"/>
        <v>0.55555555555555558</v>
      </c>
      <c r="O336" s="1785">
        <f t="shared" si="525"/>
        <v>0.21768707482993199</v>
      </c>
      <c r="P336" s="1896">
        <f t="shared" si="525"/>
        <v>0.24581005586592175</v>
      </c>
      <c r="Q336" s="1897">
        <f t="shared" si="525"/>
        <v>0.33862433862433861</v>
      </c>
      <c r="R336" s="1896">
        <f t="shared" si="525"/>
        <v>6.1224489795918435E-2</v>
      </c>
      <c r="S336" s="1896">
        <f t="shared" si="525"/>
        <v>-1.4285714285714235E-2</v>
      </c>
      <c r="T336" s="1785">
        <f t="shared" si="525"/>
        <v>0</v>
      </c>
      <c r="U336" s="1785">
        <f t="shared" si="525"/>
        <v>8.5201793721973118E-2</v>
      </c>
      <c r="V336" s="1774">
        <f t="shared" si="525"/>
        <v>3.2938076416337392E-2</v>
      </c>
      <c r="W336" s="1896">
        <f t="shared" si="525"/>
        <v>0.16025641025641035</v>
      </c>
      <c r="X336" s="1896">
        <f t="shared" si="525"/>
        <v>0.16908212560386482</v>
      </c>
      <c r="Y336" s="1896">
        <f t="shared" si="525"/>
        <v>0.2067039106145252</v>
      </c>
      <c r="Z336" s="1785">
        <f t="shared" si="525"/>
        <v>0.15702479338842967</v>
      </c>
      <c r="AA336" s="1774">
        <f t="shared" si="525"/>
        <v>0.17219387755102034</v>
      </c>
      <c r="AB336" s="1896"/>
      <c r="AC336" s="1896"/>
      <c r="AD336" s="1896"/>
      <c r="AE336" s="1785"/>
      <c r="AF336" s="1774"/>
      <c r="AG336" s="1785"/>
      <c r="AH336" s="1896"/>
      <c r="AI336" s="1896"/>
      <c r="AJ336" s="1785"/>
      <c r="AK336" s="1774"/>
      <c r="AL336" s="1785"/>
      <c r="AM336" s="1896"/>
      <c r="AN336" s="1896"/>
      <c r="AO336" s="1898"/>
      <c r="AP336" s="1899"/>
      <c r="AQ336" s="1898"/>
      <c r="AR336" s="1898"/>
      <c r="AS336" s="1898"/>
      <c r="AT336" s="1898"/>
      <c r="AU336" s="1899"/>
      <c r="AV336" s="1898"/>
      <c r="AW336" s="1898"/>
      <c r="AX336" s="1898"/>
      <c r="AY336" s="1898"/>
      <c r="AZ336" s="1899"/>
      <c r="BA336" s="1898"/>
      <c r="BB336" s="1898"/>
      <c r="BC336" s="1898"/>
      <c r="BD336" s="1898"/>
      <c r="BE336" s="1899"/>
      <c r="BF336" s="1898"/>
      <c r="BG336" s="1898"/>
      <c r="BH336" s="1898"/>
      <c r="BI336" s="1898"/>
      <c r="BJ336" s="1899"/>
      <c r="BK336" s="1898"/>
      <c r="BL336" s="1898"/>
      <c r="BM336" s="1898"/>
      <c r="BN336" s="1898"/>
      <c r="BO336" s="1899"/>
      <c r="BP336" s="1898"/>
      <c r="BQ336" s="1898"/>
      <c r="BR336" s="1898"/>
      <c r="BS336" s="1898"/>
      <c r="BT336" s="1899"/>
      <c r="BU336" s="1898"/>
      <c r="BV336" s="1898"/>
      <c r="BW336" s="1898"/>
      <c r="BX336" s="1898"/>
      <c r="BY336" s="1899"/>
      <c r="BZ336" s="1898"/>
      <c r="CA336" s="1898"/>
      <c r="CB336" s="1898"/>
      <c r="CC336" s="1898"/>
      <c r="CD336" s="1899"/>
      <c r="CE336" s="1898"/>
      <c r="CF336" s="1898"/>
      <c r="CG336" s="1898"/>
      <c r="CH336" s="1898"/>
      <c r="CI336" s="1899"/>
      <c r="CJ336" s="1898"/>
      <c r="CK336" s="1898"/>
      <c r="CL336" s="1898"/>
      <c r="CM336" s="1898"/>
      <c r="CN336" s="1899"/>
      <c r="CO336" s="1898"/>
      <c r="CP336" s="1898"/>
      <c r="CQ336" s="1898"/>
      <c r="CR336" s="1898"/>
      <c r="CS336" s="1899"/>
      <c r="CT336" s="1898"/>
      <c r="CU336" s="1898"/>
      <c r="CV336" s="1898"/>
      <c r="CW336" s="1898"/>
      <c r="CX336" s="1899"/>
      <c r="CY336" s="1900"/>
      <c r="CZ336" s="1900"/>
      <c r="DA336" s="1900"/>
      <c r="DB336" s="1900"/>
      <c r="DC336" s="1900"/>
      <c r="DD336" s="1900"/>
      <c r="DE336" s="1900"/>
      <c r="DF336" s="1900"/>
      <c r="DG336" s="1900"/>
      <c r="DH336" s="1773"/>
      <c r="DI336" s="1774"/>
      <c r="DJ336" s="1773"/>
      <c r="DK336" s="1901"/>
      <c r="DL336" s="1901"/>
      <c r="DM336" s="1899"/>
      <c r="DN336" s="1899"/>
      <c r="DO336" s="1899"/>
      <c r="DP336" s="1899"/>
      <c r="DQ336" s="1899"/>
      <c r="DR336" s="1898"/>
    </row>
    <row r="337" spans="1:122" hidden="1" outlineLevel="3">
      <c r="A337" s="1890" t="s">
        <v>529</v>
      </c>
      <c r="B337" s="1801"/>
      <c r="C337" s="1803"/>
      <c r="D337" s="1803"/>
      <c r="E337" s="1803"/>
      <c r="F337" s="1803"/>
      <c r="G337" s="1801">
        <v>-176000</v>
      </c>
      <c r="H337" s="1803">
        <v>-94000</v>
      </c>
      <c r="I337" s="1803">
        <v>-87000</v>
      </c>
      <c r="J337" s="1803">
        <v>-139000</v>
      </c>
      <c r="K337" s="1803"/>
      <c r="L337" s="1801">
        <v>-254000</v>
      </c>
      <c r="M337" s="1803">
        <v>-68000</v>
      </c>
      <c r="N337" s="1803">
        <v>-139000</v>
      </c>
      <c r="O337" s="1803">
        <v>-52000</v>
      </c>
      <c r="P337" s="1887">
        <v>-70000</v>
      </c>
      <c r="Q337" s="1914">
        <f>SUM(M337:P337)</f>
        <v>-329000</v>
      </c>
      <c r="R337" s="1889">
        <v>-31000</v>
      </c>
      <c r="S337" s="1889">
        <v>-17000</v>
      </c>
      <c r="T337" s="1890">
        <v>-39000</v>
      </c>
      <c r="U337" s="1890">
        <v>-84000</v>
      </c>
      <c r="V337" s="1801">
        <f>SUM(R337:U337)</f>
        <v>-171000</v>
      </c>
      <c r="W337" s="1889">
        <v>-12000</v>
      </c>
      <c r="X337" s="1889">
        <v>10000</v>
      </c>
      <c r="Y337" s="1889">
        <v>-13000</v>
      </c>
      <c r="Z337" s="1890">
        <v>-190000</v>
      </c>
      <c r="AA337" s="1801">
        <f>SUM(W337:Z337)</f>
        <v>-205000</v>
      </c>
      <c r="AB337" s="1889"/>
      <c r="AC337" s="1889"/>
      <c r="AD337" s="1889"/>
      <c r="AE337" s="1890"/>
      <c r="AF337" s="1801"/>
      <c r="AG337" s="1890"/>
      <c r="AH337" s="1889"/>
      <c r="AI337" s="1889"/>
      <c r="AJ337" s="1890"/>
      <c r="AK337" s="1801"/>
      <c r="AL337" s="1890"/>
      <c r="AM337" s="1889"/>
      <c r="AN337" s="1889"/>
      <c r="AO337" s="1891"/>
      <c r="AP337" s="1908"/>
      <c r="AQ337" s="1891"/>
      <c r="AR337" s="1891"/>
      <c r="AS337" s="1891"/>
      <c r="AT337" s="1891"/>
      <c r="AU337" s="1908"/>
      <c r="AV337" s="1891"/>
      <c r="AW337" s="1891"/>
      <c r="AX337" s="1891"/>
      <c r="AY337" s="1891"/>
      <c r="AZ337" s="1908"/>
      <c r="BA337" s="1891"/>
      <c r="BB337" s="1891"/>
      <c r="BC337" s="1891"/>
      <c r="BD337" s="1891"/>
      <c r="BE337" s="1908"/>
      <c r="BF337" s="1891"/>
      <c r="BG337" s="1891"/>
      <c r="BH337" s="1891"/>
      <c r="BI337" s="1891"/>
      <c r="BJ337" s="1908"/>
      <c r="BK337" s="1891"/>
      <c r="BL337" s="1891"/>
      <c r="BM337" s="1891"/>
      <c r="BN337" s="1891"/>
      <c r="BO337" s="1908"/>
      <c r="BP337" s="1891"/>
      <c r="BQ337" s="1891"/>
      <c r="BR337" s="1891"/>
      <c r="BS337" s="1891"/>
      <c r="BT337" s="1908"/>
      <c r="BU337" s="1891"/>
      <c r="BV337" s="1891"/>
      <c r="BW337" s="1891"/>
      <c r="BX337" s="1891"/>
      <c r="BY337" s="1908"/>
      <c r="BZ337" s="1891"/>
      <c r="CA337" s="1891"/>
      <c r="CB337" s="1891"/>
      <c r="CC337" s="1891"/>
      <c r="CD337" s="1908"/>
      <c r="CE337" s="1891"/>
      <c r="CF337" s="1891"/>
      <c r="CG337" s="1891"/>
      <c r="CH337" s="1891"/>
      <c r="CI337" s="1908"/>
      <c r="CJ337" s="1891"/>
      <c r="CK337" s="1891"/>
      <c r="CL337" s="1891"/>
      <c r="CM337" s="1891"/>
      <c r="CN337" s="1908"/>
      <c r="CO337" s="1891"/>
      <c r="CP337" s="1891"/>
      <c r="CQ337" s="1891"/>
      <c r="CR337" s="1891"/>
      <c r="CS337" s="1908"/>
      <c r="CT337" s="1891"/>
      <c r="CU337" s="1891"/>
      <c r="CV337" s="1891"/>
      <c r="CW337" s="1891"/>
      <c r="CX337" s="1908"/>
      <c r="CY337" s="1890"/>
      <c r="CZ337" s="1890"/>
      <c r="DA337" s="1890"/>
      <c r="DB337" s="1890"/>
      <c r="DC337" s="1890"/>
      <c r="DD337" s="1890"/>
      <c r="DE337" s="1890"/>
      <c r="DF337" s="1890"/>
      <c r="DG337" s="1890"/>
      <c r="DH337" s="1804"/>
      <c r="DI337" s="1801"/>
      <c r="DJ337" s="1804"/>
      <c r="DK337" s="1907"/>
      <c r="DL337" s="1907"/>
      <c r="DM337" s="1908"/>
      <c r="DN337" s="1908"/>
      <c r="DO337" s="1908"/>
      <c r="DP337" s="1908"/>
      <c r="DQ337" s="1908"/>
      <c r="DR337" s="1915"/>
    </row>
    <row r="338" spans="1:122" hidden="1" outlineLevel="3">
      <c r="A338" s="1923" t="s">
        <v>117</v>
      </c>
      <c r="B338" s="1918"/>
      <c r="C338" s="1917"/>
      <c r="D338" s="1917"/>
      <c r="E338" s="1917"/>
      <c r="F338" s="1917"/>
      <c r="G338" s="1918">
        <f>G337/G334</f>
        <v>-0.5714285714285714</v>
      </c>
      <c r="H338" s="1917">
        <f>H337/H334</f>
        <v>-0.8867924528301887</v>
      </c>
      <c r="I338" s="1917">
        <f>I337/I334</f>
        <v>-0.64444444444444449</v>
      </c>
      <c r="J338" s="1917">
        <f>J337/J334</f>
        <v>-0.94557823129251706</v>
      </c>
      <c r="K338" s="1917"/>
      <c r="L338" s="1918">
        <f t="shared" ref="L338:AA338" si="526">L337/L334</f>
        <v>-0.44797178130511461</v>
      </c>
      <c r="M338" s="1917">
        <f t="shared" si="526"/>
        <v>-0.46258503401360546</v>
      </c>
      <c r="N338" s="1917">
        <f t="shared" si="526"/>
        <v>-0.66190476190476188</v>
      </c>
      <c r="O338" s="1917">
        <f t="shared" si="526"/>
        <v>-0.29050279329608941</v>
      </c>
      <c r="P338" s="1919">
        <f t="shared" si="526"/>
        <v>-0.31390134529147984</v>
      </c>
      <c r="Q338" s="1920">
        <f t="shared" si="526"/>
        <v>-0.43346508563899866</v>
      </c>
      <c r="R338" s="1948">
        <f t="shared" si="526"/>
        <v>-0.19871794871794871</v>
      </c>
      <c r="S338" s="1948">
        <f t="shared" si="526"/>
        <v>-8.2125603864734303E-2</v>
      </c>
      <c r="T338" s="1923">
        <f t="shared" si="526"/>
        <v>-0.21787709497206703</v>
      </c>
      <c r="U338" s="1923">
        <f t="shared" si="526"/>
        <v>-0.34710743801652894</v>
      </c>
      <c r="V338" s="1918">
        <f t="shared" si="526"/>
        <v>-0.21811224489795919</v>
      </c>
      <c r="W338" s="1948">
        <f t="shared" si="526"/>
        <v>-6.6298342541436461E-2</v>
      </c>
      <c r="X338" s="1948">
        <f t="shared" si="526"/>
        <v>4.1322314049586778E-2</v>
      </c>
      <c r="Y338" s="1948">
        <f t="shared" si="526"/>
        <v>-6.0185185185185182E-2</v>
      </c>
      <c r="Z338" s="1923">
        <f t="shared" si="526"/>
        <v>-0.6785714285714286</v>
      </c>
      <c r="AA338" s="1918">
        <f t="shared" si="526"/>
        <v>-0.22306855277475518</v>
      </c>
      <c r="AB338" s="1948"/>
      <c r="AC338" s="1948"/>
      <c r="AD338" s="1948"/>
      <c r="AE338" s="1923"/>
      <c r="AF338" s="1918"/>
      <c r="AG338" s="1923"/>
      <c r="AH338" s="1948"/>
      <c r="AI338" s="1948"/>
      <c r="AJ338" s="1923"/>
      <c r="AK338" s="1918"/>
      <c r="AL338" s="1923"/>
      <c r="AM338" s="1948"/>
      <c r="AN338" s="1948"/>
      <c r="AO338" s="1949"/>
      <c r="AP338" s="1922"/>
      <c r="AQ338" s="1949"/>
      <c r="AR338" s="1949"/>
      <c r="AS338" s="1949"/>
      <c r="AT338" s="1949"/>
      <c r="AU338" s="1922"/>
      <c r="AV338" s="1949"/>
      <c r="AW338" s="1949"/>
      <c r="AX338" s="1949"/>
      <c r="AY338" s="1949"/>
      <c r="AZ338" s="1922"/>
      <c r="BA338" s="1949"/>
      <c r="BB338" s="1949"/>
      <c r="BC338" s="1949"/>
      <c r="BD338" s="1949"/>
      <c r="BE338" s="1922"/>
      <c r="BF338" s="1949"/>
      <c r="BG338" s="1949"/>
      <c r="BH338" s="1949"/>
      <c r="BI338" s="1949"/>
      <c r="BJ338" s="1922"/>
      <c r="BK338" s="1949"/>
      <c r="BL338" s="1949"/>
      <c r="BM338" s="1949"/>
      <c r="BN338" s="1949"/>
      <c r="BO338" s="1922"/>
      <c r="BP338" s="1949"/>
      <c r="BQ338" s="1949"/>
      <c r="BR338" s="1949"/>
      <c r="BS338" s="1949"/>
      <c r="BT338" s="1922"/>
      <c r="BU338" s="1949"/>
      <c r="BV338" s="1949"/>
      <c r="BW338" s="1949"/>
      <c r="BX338" s="1949"/>
      <c r="BY338" s="1922"/>
      <c r="BZ338" s="1949"/>
      <c r="CA338" s="1949"/>
      <c r="CB338" s="1949"/>
      <c r="CC338" s="1949"/>
      <c r="CD338" s="1922"/>
      <c r="CE338" s="1949"/>
      <c r="CF338" s="1949"/>
      <c r="CG338" s="1949"/>
      <c r="CH338" s="1949"/>
      <c r="CI338" s="1922"/>
      <c r="CJ338" s="1949"/>
      <c r="CK338" s="1949"/>
      <c r="CL338" s="1949"/>
      <c r="CM338" s="1949"/>
      <c r="CN338" s="1922"/>
      <c r="CO338" s="1949"/>
      <c r="CP338" s="1949"/>
      <c r="CQ338" s="1949"/>
      <c r="CR338" s="1949"/>
      <c r="CS338" s="1922"/>
      <c r="CT338" s="1949"/>
      <c r="CU338" s="1949"/>
      <c r="CV338" s="1949"/>
      <c r="CW338" s="1949"/>
      <c r="CX338" s="1922"/>
      <c r="CY338" s="1923"/>
      <c r="CZ338" s="1923"/>
      <c r="DA338" s="1923"/>
      <c r="DB338" s="1923"/>
      <c r="DC338" s="1923"/>
      <c r="DD338" s="1923"/>
      <c r="DE338" s="1923"/>
      <c r="DF338" s="1923"/>
      <c r="DG338" s="1923"/>
      <c r="DH338" s="1924"/>
      <c r="DI338" s="1918"/>
      <c r="DJ338" s="1924"/>
      <c r="DK338" s="1925"/>
      <c r="DL338" s="1925"/>
      <c r="DM338" s="1922"/>
      <c r="DN338" s="1922"/>
      <c r="DO338" s="1922"/>
      <c r="DP338" s="1922"/>
      <c r="DQ338" s="1922"/>
      <c r="DR338" s="1921"/>
    </row>
    <row r="339" spans="1:122" hidden="1" outlineLevel="3">
      <c r="A339" s="1893"/>
      <c r="B339" s="1762"/>
      <c r="C339" s="1803"/>
      <c r="D339" s="1803"/>
      <c r="E339" s="1803"/>
      <c r="F339" s="1803"/>
      <c r="G339" s="1762"/>
      <c r="H339" s="1803"/>
      <c r="I339" s="1803"/>
      <c r="J339" s="1803"/>
      <c r="K339" s="1803"/>
      <c r="L339" s="1762"/>
      <c r="M339" s="1803"/>
      <c r="N339" s="1803"/>
      <c r="O339" s="1803"/>
      <c r="P339" s="1927"/>
      <c r="Q339" s="1888"/>
      <c r="R339" s="1928"/>
      <c r="S339" s="1928"/>
      <c r="T339" s="1893"/>
      <c r="U339" s="1893"/>
      <c r="V339" s="1929"/>
      <c r="W339" s="1928"/>
      <c r="X339" s="1928"/>
      <c r="Y339" s="1928"/>
      <c r="Z339" s="1893"/>
      <c r="AA339" s="1929"/>
      <c r="AB339" s="1928"/>
      <c r="AC339" s="1928"/>
      <c r="AD339" s="1928"/>
      <c r="AE339" s="1893"/>
      <c r="AF339" s="1929"/>
      <c r="AG339" s="1893"/>
      <c r="AH339" s="1928"/>
      <c r="AI339" s="1928"/>
      <c r="AJ339" s="1893"/>
      <c r="AK339" s="1929"/>
      <c r="AL339" s="1893"/>
      <c r="AM339" s="1928"/>
      <c r="AN339" s="1928"/>
      <c r="AO339" s="1980"/>
      <c r="AP339" s="1933"/>
      <c r="AQ339" s="1980"/>
      <c r="AR339" s="1980"/>
      <c r="AS339" s="1980"/>
      <c r="AT339" s="1980"/>
      <c r="AU339" s="1933"/>
      <c r="AV339" s="1980"/>
      <c r="AW339" s="1980"/>
      <c r="AX339" s="1980"/>
      <c r="AY339" s="1980"/>
      <c r="AZ339" s="1933"/>
      <c r="BA339" s="1980"/>
      <c r="BB339" s="1980"/>
      <c r="BC339" s="1980"/>
      <c r="BD339" s="1980"/>
      <c r="BE339" s="1933"/>
      <c r="BF339" s="1980"/>
      <c r="BG339" s="1980"/>
      <c r="BH339" s="1980"/>
      <c r="BI339" s="1980"/>
      <c r="BJ339" s="1933"/>
      <c r="BK339" s="1980"/>
      <c r="BL339" s="1980"/>
      <c r="BM339" s="1980"/>
      <c r="BN339" s="1980"/>
      <c r="BO339" s="1933"/>
      <c r="BP339" s="1980"/>
      <c r="BQ339" s="1980"/>
      <c r="BR339" s="1980"/>
      <c r="BS339" s="1980"/>
      <c r="BT339" s="1933"/>
      <c r="BU339" s="1980"/>
      <c r="BV339" s="1980"/>
      <c r="BW339" s="1980"/>
      <c r="BX339" s="1980"/>
      <c r="BY339" s="1933"/>
      <c r="BZ339" s="1980"/>
      <c r="CA339" s="1980"/>
      <c r="CB339" s="1980"/>
      <c r="CC339" s="1980"/>
      <c r="CD339" s="1933"/>
      <c r="CE339" s="1980"/>
      <c r="CF339" s="1980"/>
      <c r="CG339" s="1980"/>
      <c r="CH339" s="1980"/>
      <c r="CI339" s="1933"/>
      <c r="CJ339" s="1980"/>
      <c r="CK339" s="1980"/>
      <c r="CL339" s="1980"/>
      <c r="CM339" s="1980"/>
      <c r="CN339" s="1933"/>
      <c r="CO339" s="1980"/>
      <c r="CP339" s="1980"/>
      <c r="CQ339" s="1980"/>
      <c r="CR339" s="1980"/>
      <c r="CS339" s="1933"/>
      <c r="CT339" s="1980"/>
      <c r="CU339" s="1980"/>
      <c r="CV339" s="1980"/>
      <c r="CW339" s="1980"/>
      <c r="CX339" s="1933"/>
      <c r="CY339" s="1893"/>
      <c r="CZ339" s="1893"/>
      <c r="DA339" s="1893"/>
      <c r="DB339" s="1893"/>
      <c r="DC339" s="1893"/>
      <c r="DD339" s="1893"/>
      <c r="DE339" s="1893"/>
      <c r="DF339" s="1893"/>
      <c r="DG339" s="1893"/>
      <c r="DH339" s="1934"/>
      <c r="DI339" s="1930"/>
      <c r="DJ339" s="1934"/>
      <c r="DK339" s="1935"/>
      <c r="DL339" s="1935"/>
      <c r="DM339" s="1933"/>
      <c r="DN339" s="1933"/>
      <c r="DO339" s="1933"/>
      <c r="DP339" s="1933"/>
      <c r="DQ339" s="1933"/>
      <c r="DR339" s="3061"/>
    </row>
    <row r="340" spans="1:122" hidden="1" outlineLevel="3">
      <c r="A340" s="2056" t="s">
        <v>197</v>
      </c>
      <c r="B340" s="1762">
        <v>1315000</v>
      </c>
      <c r="C340" s="1803">
        <v>348000</v>
      </c>
      <c r="D340" s="1803">
        <v>372000</v>
      </c>
      <c r="E340" s="1803">
        <v>404000</v>
      </c>
      <c r="F340" s="1803">
        <v>447000</v>
      </c>
      <c r="G340" s="1762">
        <f>SUM(C340:F340)</f>
        <v>1571000</v>
      </c>
      <c r="H340" s="1803">
        <v>427000</v>
      </c>
      <c r="I340" s="1803">
        <v>459000</v>
      </c>
      <c r="J340" s="1803">
        <v>508000</v>
      </c>
      <c r="K340" s="1803">
        <v>559000</v>
      </c>
      <c r="L340" s="1762">
        <f>SUM(H340:K340)</f>
        <v>1953000</v>
      </c>
      <c r="M340" s="1803">
        <v>491000</v>
      </c>
      <c r="N340" s="1803">
        <v>546000</v>
      </c>
      <c r="O340" s="1803">
        <v>591000</v>
      </c>
      <c r="P340" s="1887">
        <v>588000</v>
      </c>
      <c r="Q340" s="1888">
        <f>SUM(M340:P340)</f>
        <v>2216000</v>
      </c>
      <c r="R340" s="1889">
        <v>559000</v>
      </c>
      <c r="S340" s="1889">
        <v>606000</v>
      </c>
      <c r="T340" s="1890">
        <v>581000</v>
      </c>
      <c r="U340" s="1890">
        <v>598000</v>
      </c>
      <c r="V340" s="1762">
        <f>SUM(R340:U340)</f>
        <v>2344000</v>
      </c>
      <c r="W340" s="1889">
        <v>564000</v>
      </c>
      <c r="X340" s="1889">
        <v>593000</v>
      </c>
      <c r="Y340" s="1889">
        <v>561000</v>
      </c>
      <c r="Z340" s="1890">
        <v>580000</v>
      </c>
      <c r="AA340" s="1762">
        <f>SUM(W340:Z340)</f>
        <v>2298000</v>
      </c>
      <c r="AB340" s="1889"/>
      <c r="AC340" s="1889"/>
      <c r="AD340" s="1889"/>
      <c r="AE340" s="1890"/>
      <c r="AF340" s="1762"/>
      <c r="AG340" s="1890"/>
      <c r="AH340" s="1889"/>
      <c r="AI340" s="1889"/>
      <c r="AJ340" s="1890"/>
      <c r="AK340" s="1762"/>
      <c r="AL340" s="1890"/>
      <c r="AM340" s="1889"/>
      <c r="AN340" s="1889"/>
      <c r="AO340" s="1891"/>
      <c r="AP340" s="1892"/>
      <c r="AQ340" s="1891"/>
      <c r="AR340" s="1891"/>
      <c r="AS340" s="1891"/>
      <c r="AT340" s="1891"/>
      <c r="AU340" s="1892"/>
      <c r="AV340" s="1891"/>
      <c r="AW340" s="1891"/>
      <c r="AX340" s="1891"/>
      <c r="AY340" s="1891"/>
      <c r="AZ340" s="1892"/>
      <c r="BA340" s="1891"/>
      <c r="BB340" s="1891"/>
      <c r="BC340" s="1891"/>
      <c r="BD340" s="1891"/>
      <c r="BE340" s="1892"/>
      <c r="BF340" s="1891"/>
      <c r="BG340" s="1891"/>
      <c r="BH340" s="1891"/>
      <c r="BI340" s="1891"/>
      <c r="BJ340" s="1892"/>
      <c r="BK340" s="1891"/>
      <c r="BL340" s="1891"/>
      <c r="BM340" s="1891"/>
      <c r="BN340" s="1891"/>
      <c r="BO340" s="1892"/>
      <c r="BP340" s="1891"/>
      <c r="BQ340" s="1891"/>
      <c r="BR340" s="1891"/>
      <c r="BS340" s="1891"/>
      <c r="BT340" s="1892"/>
      <c r="BU340" s="1891"/>
      <c r="BV340" s="1891"/>
      <c r="BW340" s="1891"/>
      <c r="BX340" s="1891"/>
      <c r="BY340" s="1892"/>
      <c r="BZ340" s="1891"/>
      <c r="CA340" s="1891"/>
      <c r="CB340" s="1891"/>
      <c r="CC340" s="1891"/>
      <c r="CD340" s="1892"/>
      <c r="CE340" s="1891"/>
      <c r="CF340" s="1891"/>
      <c r="CG340" s="1891"/>
      <c r="CH340" s="1891"/>
      <c r="CI340" s="1892"/>
      <c r="CJ340" s="1891"/>
      <c r="CK340" s="1891"/>
      <c r="CL340" s="1891"/>
      <c r="CM340" s="1891"/>
      <c r="CN340" s="1892"/>
      <c r="CO340" s="1891"/>
      <c r="CP340" s="1891"/>
      <c r="CQ340" s="1891"/>
      <c r="CR340" s="1891"/>
      <c r="CS340" s="1892"/>
      <c r="CT340" s="1891"/>
      <c r="CU340" s="1891"/>
      <c r="CV340" s="1891"/>
      <c r="CW340" s="1891"/>
      <c r="CX340" s="1892"/>
      <c r="CY340" s="1893"/>
      <c r="CZ340" s="1893"/>
      <c r="DA340" s="1893"/>
      <c r="DB340" s="1893"/>
      <c r="DC340" s="1893"/>
      <c r="DD340" s="1893"/>
      <c r="DE340" s="1893"/>
      <c r="DF340" s="1893"/>
      <c r="DG340" s="1893"/>
      <c r="DH340" s="1766"/>
      <c r="DI340" s="1762"/>
      <c r="DJ340" s="1766"/>
      <c r="DK340" s="1894"/>
      <c r="DL340" s="1894"/>
      <c r="DM340" s="1892"/>
      <c r="DN340" s="1892"/>
      <c r="DO340" s="1892"/>
      <c r="DP340" s="1892"/>
      <c r="DQ340" s="1892"/>
      <c r="DR340" s="1993"/>
    </row>
    <row r="341" spans="1:122" hidden="1" outlineLevel="3">
      <c r="A341" s="1900" t="s">
        <v>162</v>
      </c>
      <c r="B341" s="1774">
        <f t="shared" ref="B341:AA341" si="527">B340/B362</f>
        <v>5.1986558608420635E-2</v>
      </c>
      <c r="C341" s="1785">
        <f t="shared" si="527"/>
        <v>5.6807051909892263E-2</v>
      </c>
      <c r="D341" s="1785">
        <f t="shared" si="527"/>
        <v>4.8055806743314819E-2</v>
      </c>
      <c r="E341" s="1785">
        <f t="shared" si="527"/>
        <v>5.5762594893029677E-2</v>
      </c>
      <c r="F341" s="1785">
        <f t="shared" si="527"/>
        <v>6.1629670481180204E-2</v>
      </c>
      <c r="G341" s="1774">
        <f t="shared" si="527"/>
        <v>5.5385157764851048E-2</v>
      </c>
      <c r="H341" s="1785">
        <f t="shared" si="527"/>
        <v>5.5125225923057061E-2</v>
      </c>
      <c r="I341" s="1785">
        <f t="shared" si="527"/>
        <v>5.3740779768177031E-2</v>
      </c>
      <c r="J341" s="1785">
        <f t="shared" si="527"/>
        <v>6.4837268666241218E-2</v>
      </c>
      <c r="K341" s="1785">
        <f t="shared" si="527"/>
        <v>6.9311841289522627E-2</v>
      </c>
      <c r="L341" s="1774">
        <f t="shared" si="527"/>
        <v>6.0676670705564359E-2</v>
      </c>
      <c r="M341" s="1785">
        <f t="shared" si="527"/>
        <v>5.9768715763846625E-2</v>
      </c>
      <c r="N341" s="1785">
        <f t="shared" si="527"/>
        <v>5.3777208706786171E-2</v>
      </c>
      <c r="O341" s="1785">
        <f t="shared" si="527"/>
        <v>6.4414168937329694E-2</v>
      </c>
      <c r="P341" s="1896">
        <f t="shared" si="527"/>
        <v>6.3280241067585022E-2</v>
      </c>
      <c r="Q341" s="1897">
        <f t="shared" si="527"/>
        <v>6.016017374779422E-2</v>
      </c>
      <c r="R341" s="1902">
        <f t="shared" si="527"/>
        <v>6.0833605397758186E-2</v>
      </c>
      <c r="S341" s="1902">
        <f t="shared" si="527"/>
        <v>5.6017748197448695E-2</v>
      </c>
      <c r="T341" s="1900">
        <f t="shared" si="527"/>
        <v>6.0395010395010398E-2</v>
      </c>
      <c r="U341" s="1900">
        <f t="shared" si="527"/>
        <v>5.8852475150083655E-2</v>
      </c>
      <c r="V341" s="1774">
        <f t="shared" si="527"/>
        <v>5.8912234844676788E-2</v>
      </c>
      <c r="W341" s="1902">
        <f t="shared" si="527"/>
        <v>5.7899599630428088E-2</v>
      </c>
      <c r="X341" s="1902">
        <f t="shared" si="527"/>
        <v>5.0097152994846669E-2</v>
      </c>
      <c r="Y341" s="1902">
        <f t="shared" si="527"/>
        <v>5.1467889908256882E-2</v>
      </c>
      <c r="Z341" s="1900">
        <f t="shared" si="527"/>
        <v>4.9135886140291428E-2</v>
      </c>
      <c r="AA341" s="1774">
        <f t="shared" si="527"/>
        <v>5.1894675037261188E-2</v>
      </c>
      <c r="AB341" s="1902"/>
      <c r="AC341" s="1902"/>
      <c r="AD341" s="1902"/>
      <c r="AE341" s="1900"/>
      <c r="AF341" s="1774"/>
      <c r="AG341" s="1900"/>
      <c r="AH341" s="1902"/>
      <c r="AI341" s="1902"/>
      <c r="AJ341" s="1900"/>
      <c r="AK341" s="1774"/>
      <c r="AL341" s="1900"/>
      <c r="AM341" s="1902"/>
      <c r="AN341" s="1902"/>
      <c r="AO341" s="1903"/>
      <c r="AP341" s="1899"/>
      <c r="AQ341" s="1903"/>
      <c r="AR341" s="1903"/>
      <c r="AS341" s="1903"/>
      <c r="AT341" s="1903"/>
      <c r="AU341" s="1899"/>
      <c r="AV341" s="1903"/>
      <c r="AW341" s="1903"/>
      <c r="AX341" s="1903"/>
      <c r="AY341" s="1903"/>
      <c r="AZ341" s="1899"/>
      <c r="BA341" s="1903"/>
      <c r="BB341" s="1903"/>
      <c r="BC341" s="1903"/>
      <c r="BD341" s="1903"/>
      <c r="BE341" s="1899"/>
      <c r="BF341" s="1903"/>
      <c r="BG341" s="1903"/>
      <c r="BH341" s="1903"/>
      <c r="BI341" s="1903"/>
      <c r="BJ341" s="1899"/>
      <c r="BK341" s="1903"/>
      <c r="BL341" s="1903"/>
      <c r="BM341" s="1903"/>
      <c r="BN341" s="1903"/>
      <c r="BO341" s="1899"/>
      <c r="BP341" s="1903"/>
      <c r="BQ341" s="1903"/>
      <c r="BR341" s="1903"/>
      <c r="BS341" s="1903"/>
      <c r="BT341" s="1899"/>
      <c r="BU341" s="1903"/>
      <c r="BV341" s="1903"/>
      <c r="BW341" s="1903"/>
      <c r="BX341" s="1903"/>
      <c r="BY341" s="1899"/>
      <c r="BZ341" s="1903"/>
      <c r="CA341" s="1903"/>
      <c r="CB341" s="1903"/>
      <c r="CC341" s="1903"/>
      <c r="CD341" s="1899"/>
      <c r="CE341" s="1903"/>
      <c r="CF341" s="1903"/>
      <c r="CG341" s="1903"/>
      <c r="CH341" s="1903"/>
      <c r="CI341" s="1899"/>
      <c r="CJ341" s="1903"/>
      <c r="CK341" s="1903"/>
      <c r="CL341" s="1903"/>
      <c r="CM341" s="1903"/>
      <c r="CN341" s="1899"/>
      <c r="CO341" s="1903"/>
      <c r="CP341" s="1903"/>
      <c r="CQ341" s="1903"/>
      <c r="CR341" s="1903"/>
      <c r="CS341" s="1899"/>
      <c r="CT341" s="1903"/>
      <c r="CU341" s="1903"/>
      <c r="CV341" s="1903"/>
      <c r="CW341" s="1903"/>
      <c r="CX341" s="1899"/>
      <c r="CY341" s="1900"/>
      <c r="CZ341" s="1900"/>
      <c r="DA341" s="1900"/>
      <c r="DB341" s="1900"/>
      <c r="DC341" s="1900"/>
      <c r="DD341" s="1900"/>
      <c r="DE341" s="1900"/>
      <c r="DF341" s="1900"/>
      <c r="DG341" s="1900"/>
      <c r="DH341" s="1773"/>
      <c r="DI341" s="1774"/>
      <c r="DJ341" s="1773"/>
      <c r="DK341" s="1901"/>
      <c r="DL341" s="1901"/>
      <c r="DM341" s="1899"/>
      <c r="DN341" s="1899"/>
      <c r="DO341" s="1899"/>
      <c r="DP341" s="1899"/>
      <c r="DQ341" s="1899"/>
      <c r="DR341" s="1898"/>
    </row>
    <row r="342" spans="1:122" hidden="1" outlineLevel="3">
      <c r="A342" s="1900" t="s">
        <v>163</v>
      </c>
      <c r="B342" s="1774"/>
      <c r="C342" s="1785"/>
      <c r="D342" s="1785"/>
      <c r="E342" s="1785"/>
      <c r="F342" s="1785"/>
      <c r="G342" s="1774">
        <f t="shared" ref="G342:AA342" si="528">G340/B340-1</f>
        <v>0.19467680608365012</v>
      </c>
      <c r="H342" s="1785">
        <f t="shared" si="528"/>
        <v>0.22701149425287359</v>
      </c>
      <c r="I342" s="1785">
        <f t="shared" si="528"/>
        <v>0.2338709677419355</v>
      </c>
      <c r="J342" s="1785">
        <f t="shared" si="528"/>
        <v>0.25742574257425743</v>
      </c>
      <c r="K342" s="1785">
        <f t="shared" si="528"/>
        <v>0.2505592841163311</v>
      </c>
      <c r="L342" s="1774">
        <f t="shared" si="528"/>
        <v>0.24315722469764478</v>
      </c>
      <c r="M342" s="1785">
        <f t="shared" si="528"/>
        <v>0.14988290398126458</v>
      </c>
      <c r="N342" s="1785">
        <f t="shared" si="528"/>
        <v>0.18954248366013071</v>
      </c>
      <c r="O342" s="1785">
        <f t="shared" si="528"/>
        <v>0.16338582677165348</v>
      </c>
      <c r="P342" s="1896">
        <f t="shared" si="528"/>
        <v>5.1878354203935606E-2</v>
      </c>
      <c r="Q342" s="1897">
        <f t="shared" si="528"/>
        <v>0.1346646185355862</v>
      </c>
      <c r="R342" s="1896">
        <f t="shared" si="528"/>
        <v>0.13849287169042768</v>
      </c>
      <c r="S342" s="1896">
        <f t="shared" si="528"/>
        <v>0.10989010989010994</v>
      </c>
      <c r="T342" s="1785">
        <f t="shared" si="528"/>
        <v>-1.6920473773265665E-2</v>
      </c>
      <c r="U342" s="1785">
        <f t="shared" si="528"/>
        <v>1.7006802721088343E-2</v>
      </c>
      <c r="V342" s="1774">
        <f t="shared" si="528"/>
        <v>5.7761732851985492E-2</v>
      </c>
      <c r="W342" s="1896">
        <f t="shared" si="528"/>
        <v>8.9445438282647061E-3</v>
      </c>
      <c r="X342" s="1896">
        <f t="shared" si="528"/>
        <v>-2.1452145214521434E-2</v>
      </c>
      <c r="Y342" s="1896">
        <f t="shared" si="528"/>
        <v>-3.4423407917383853E-2</v>
      </c>
      <c r="Z342" s="1785">
        <f t="shared" si="528"/>
        <v>-3.0100334448160515E-2</v>
      </c>
      <c r="AA342" s="1774">
        <f t="shared" si="528"/>
        <v>-1.9624573378839605E-2</v>
      </c>
      <c r="AB342" s="1896"/>
      <c r="AC342" s="1896"/>
      <c r="AD342" s="1896"/>
      <c r="AE342" s="1785"/>
      <c r="AF342" s="1774"/>
      <c r="AG342" s="1785"/>
      <c r="AH342" s="1896"/>
      <c r="AI342" s="1896"/>
      <c r="AJ342" s="1785"/>
      <c r="AK342" s="1774"/>
      <c r="AL342" s="1785"/>
      <c r="AM342" s="1896"/>
      <c r="AN342" s="1896"/>
      <c r="AO342" s="1898"/>
      <c r="AP342" s="1899"/>
      <c r="AQ342" s="1898"/>
      <c r="AR342" s="1898"/>
      <c r="AS342" s="1898"/>
      <c r="AT342" s="1898"/>
      <c r="AU342" s="1899"/>
      <c r="AV342" s="1898"/>
      <c r="AW342" s="1898"/>
      <c r="AX342" s="1898"/>
      <c r="AY342" s="1898"/>
      <c r="AZ342" s="1899"/>
      <c r="BA342" s="1898"/>
      <c r="BB342" s="1898"/>
      <c r="BC342" s="1898"/>
      <c r="BD342" s="1898"/>
      <c r="BE342" s="1899"/>
      <c r="BF342" s="1898"/>
      <c r="BG342" s="1898"/>
      <c r="BH342" s="1898"/>
      <c r="BI342" s="1898"/>
      <c r="BJ342" s="1899"/>
      <c r="BK342" s="1898"/>
      <c r="BL342" s="1898"/>
      <c r="BM342" s="1898"/>
      <c r="BN342" s="1898"/>
      <c r="BO342" s="1899"/>
      <c r="BP342" s="1898"/>
      <c r="BQ342" s="1898"/>
      <c r="BR342" s="1898"/>
      <c r="BS342" s="1898"/>
      <c r="BT342" s="1899"/>
      <c r="BU342" s="1898"/>
      <c r="BV342" s="1898"/>
      <c r="BW342" s="1898"/>
      <c r="BX342" s="1898"/>
      <c r="BY342" s="1899"/>
      <c r="BZ342" s="1898"/>
      <c r="CA342" s="1898"/>
      <c r="CB342" s="1898"/>
      <c r="CC342" s="1898"/>
      <c r="CD342" s="1899"/>
      <c r="CE342" s="1898"/>
      <c r="CF342" s="1898"/>
      <c r="CG342" s="1898"/>
      <c r="CH342" s="1898"/>
      <c r="CI342" s="1899"/>
      <c r="CJ342" s="1898"/>
      <c r="CK342" s="1898"/>
      <c r="CL342" s="1898"/>
      <c r="CM342" s="1898"/>
      <c r="CN342" s="1899"/>
      <c r="CO342" s="1898"/>
      <c r="CP342" s="1898"/>
      <c r="CQ342" s="1898"/>
      <c r="CR342" s="1898"/>
      <c r="CS342" s="1899"/>
      <c r="CT342" s="1898"/>
      <c r="CU342" s="1898"/>
      <c r="CV342" s="1898"/>
      <c r="CW342" s="1898"/>
      <c r="CX342" s="1899"/>
      <c r="CY342" s="1900"/>
      <c r="CZ342" s="1900"/>
      <c r="DA342" s="1900"/>
      <c r="DB342" s="1900"/>
      <c r="DC342" s="1900"/>
      <c r="DD342" s="1900"/>
      <c r="DE342" s="1900"/>
      <c r="DF342" s="1900"/>
      <c r="DG342" s="1900"/>
      <c r="DH342" s="1773"/>
      <c r="DI342" s="1774"/>
      <c r="DJ342" s="1773"/>
      <c r="DK342" s="1901"/>
      <c r="DL342" s="1901"/>
      <c r="DM342" s="1899"/>
      <c r="DN342" s="1899"/>
      <c r="DO342" s="1899"/>
      <c r="DP342" s="1899"/>
      <c r="DQ342" s="1899"/>
      <c r="DR342" s="1898"/>
    </row>
    <row r="343" spans="1:122" hidden="1" outlineLevel="3">
      <c r="A343" s="1890" t="s">
        <v>529</v>
      </c>
      <c r="B343" s="1801"/>
      <c r="C343" s="1803"/>
      <c r="D343" s="1803"/>
      <c r="E343" s="1803"/>
      <c r="F343" s="1803"/>
      <c r="G343" s="1801">
        <v>-641000</v>
      </c>
      <c r="H343" s="1803">
        <v>-147000</v>
      </c>
      <c r="I343" s="1803">
        <v>-197000</v>
      </c>
      <c r="J343" s="1803">
        <v>-72000</v>
      </c>
      <c r="K343" s="1803"/>
      <c r="L343" s="1801">
        <v>-299000</v>
      </c>
      <c r="M343" s="1803">
        <v>57000</v>
      </c>
      <c r="N343" s="1803">
        <v>-95000</v>
      </c>
      <c r="O343" s="1803">
        <v>101000</v>
      </c>
      <c r="P343" s="1887">
        <v>29000</v>
      </c>
      <c r="Q343" s="1914">
        <f>SUM(M343:P343)</f>
        <v>92000</v>
      </c>
      <c r="R343" s="1889">
        <v>79000</v>
      </c>
      <c r="S343" s="1889">
        <v>130000</v>
      </c>
      <c r="T343" s="1890">
        <v>102000</v>
      </c>
      <c r="U343" s="1890">
        <v>102000</v>
      </c>
      <c r="V343" s="1801">
        <f>SUM(R343:U343)</f>
        <v>413000</v>
      </c>
      <c r="W343" s="1889">
        <v>82000</v>
      </c>
      <c r="X343" s="1889">
        <v>58000</v>
      </c>
      <c r="Y343" s="1889">
        <v>-26000</v>
      </c>
      <c r="Z343" s="1890">
        <v>-190000</v>
      </c>
      <c r="AA343" s="1801">
        <f>SUM(W343:Z343)</f>
        <v>-76000</v>
      </c>
      <c r="AB343" s="1889"/>
      <c r="AC343" s="1889"/>
      <c r="AD343" s="1889"/>
      <c r="AE343" s="1890"/>
      <c r="AF343" s="1801"/>
      <c r="AG343" s="1890"/>
      <c r="AH343" s="1889"/>
      <c r="AI343" s="1889"/>
      <c r="AJ343" s="1890"/>
      <c r="AK343" s="1801"/>
      <c r="AL343" s="1890"/>
      <c r="AM343" s="1889"/>
      <c r="AN343" s="1889"/>
      <c r="AO343" s="1891"/>
      <c r="AP343" s="1908"/>
      <c r="AQ343" s="1891"/>
      <c r="AR343" s="1891"/>
      <c r="AS343" s="1891"/>
      <c r="AT343" s="1891"/>
      <c r="AU343" s="1908"/>
      <c r="AV343" s="1891"/>
      <c r="AW343" s="1891"/>
      <c r="AX343" s="1891"/>
      <c r="AY343" s="1891"/>
      <c r="AZ343" s="1908"/>
      <c r="BA343" s="1891"/>
      <c r="BB343" s="1891"/>
      <c r="BC343" s="1891"/>
      <c r="BD343" s="1891"/>
      <c r="BE343" s="1908"/>
      <c r="BF343" s="1891"/>
      <c r="BG343" s="1891"/>
      <c r="BH343" s="1891"/>
      <c r="BI343" s="1891"/>
      <c r="BJ343" s="1908"/>
      <c r="BK343" s="1891"/>
      <c r="BL343" s="1891"/>
      <c r="BM343" s="1891"/>
      <c r="BN343" s="1891"/>
      <c r="BO343" s="1908"/>
      <c r="BP343" s="1891"/>
      <c r="BQ343" s="1891"/>
      <c r="BR343" s="1891"/>
      <c r="BS343" s="1891"/>
      <c r="BT343" s="1908"/>
      <c r="BU343" s="1891"/>
      <c r="BV343" s="1891"/>
      <c r="BW343" s="1891"/>
      <c r="BX343" s="1891"/>
      <c r="BY343" s="1908"/>
      <c r="BZ343" s="1891"/>
      <c r="CA343" s="1891"/>
      <c r="CB343" s="1891"/>
      <c r="CC343" s="1891"/>
      <c r="CD343" s="1908"/>
      <c r="CE343" s="1891"/>
      <c r="CF343" s="1891"/>
      <c r="CG343" s="1891"/>
      <c r="CH343" s="1891"/>
      <c r="CI343" s="1908"/>
      <c r="CJ343" s="1891"/>
      <c r="CK343" s="1891"/>
      <c r="CL343" s="1891"/>
      <c r="CM343" s="1891"/>
      <c r="CN343" s="1908"/>
      <c r="CO343" s="1891"/>
      <c r="CP343" s="1891"/>
      <c r="CQ343" s="1891"/>
      <c r="CR343" s="1891"/>
      <c r="CS343" s="1908"/>
      <c r="CT343" s="1891"/>
      <c r="CU343" s="1891"/>
      <c r="CV343" s="1891"/>
      <c r="CW343" s="1891"/>
      <c r="CX343" s="1908"/>
      <c r="CY343" s="1890"/>
      <c r="CZ343" s="1890"/>
      <c r="DA343" s="1890"/>
      <c r="DB343" s="1890"/>
      <c r="DC343" s="1890"/>
      <c r="DD343" s="1890"/>
      <c r="DE343" s="1890"/>
      <c r="DF343" s="1890"/>
      <c r="DG343" s="1890"/>
      <c r="DH343" s="1804"/>
      <c r="DI343" s="1801"/>
      <c r="DJ343" s="1804"/>
      <c r="DK343" s="1907"/>
      <c r="DL343" s="1907"/>
      <c r="DM343" s="1908"/>
      <c r="DN343" s="1908"/>
      <c r="DO343" s="1908"/>
      <c r="DP343" s="1908"/>
      <c r="DQ343" s="1908"/>
      <c r="DR343" s="1915"/>
    </row>
    <row r="344" spans="1:122" hidden="1" outlineLevel="3">
      <c r="A344" s="1923" t="s">
        <v>117</v>
      </c>
      <c r="B344" s="1918"/>
      <c r="C344" s="1917"/>
      <c r="D344" s="1917"/>
      <c r="E344" s="1917"/>
      <c r="F344" s="1917"/>
      <c r="G344" s="1918">
        <f>G343/G340</f>
        <v>-0.40802036919159773</v>
      </c>
      <c r="H344" s="1917">
        <f>H343/H340</f>
        <v>-0.34426229508196721</v>
      </c>
      <c r="I344" s="1917">
        <f>I343/I340</f>
        <v>-0.42919389978213507</v>
      </c>
      <c r="J344" s="1917">
        <f>J343/J340</f>
        <v>-0.14173228346456693</v>
      </c>
      <c r="K344" s="1917"/>
      <c r="L344" s="1918">
        <f t="shared" ref="L344:AA344" si="529">L343/L340</f>
        <v>-0.15309779825908859</v>
      </c>
      <c r="M344" s="1917">
        <f t="shared" si="529"/>
        <v>0.11608961303462322</v>
      </c>
      <c r="N344" s="1917">
        <f t="shared" si="529"/>
        <v>-0.17399267399267399</v>
      </c>
      <c r="O344" s="1917">
        <f t="shared" si="529"/>
        <v>0.17089678510998307</v>
      </c>
      <c r="P344" s="1919">
        <f t="shared" si="529"/>
        <v>4.9319727891156462E-2</v>
      </c>
      <c r="Q344" s="1920">
        <f t="shared" si="529"/>
        <v>4.1516245487364621E-2</v>
      </c>
      <c r="R344" s="1948">
        <f t="shared" si="529"/>
        <v>0.14132379248658319</v>
      </c>
      <c r="S344" s="1948">
        <f t="shared" si="529"/>
        <v>0.21452145214521451</v>
      </c>
      <c r="T344" s="1923">
        <f t="shared" si="529"/>
        <v>0.17555938037865748</v>
      </c>
      <c r="U344" s="1923">
        <f t="shared" si="529"/>
        <v>0.1705685618729097</v>
      </c>
      <c r="V344" s="1918">
        <f t="shared" si="529"/>
        <v>0.17619453924914677</v>
      </c>
      <c r="W344" s="1948">
        <f t="shared" si="529"/>
        <v>0.1453900709219858</v>
      </c>
      <c r="X344" s="1948">
        <f t="shared" si="529"/>
        <v>9.7807757166947729E-2</v>
      </c>
      <c r="Y344" s="1948">
        <f t="shared" si="529"/>
        <v>-4.6345811051693407E-2</v>
      </c>
      <c r="Z344" s="1923">
        <f t="shared" si="529"/>
        <v>-0.32758620689655171</v>
      </c>
      <c r="AA344" s="1918">
        <f t="shared" si="529"/>
        <v>-3.3072236727589209E-2</v>
      </c>
      <c r="AB344" s="1948"/>
      <c r="AC344" s="1948"/>
      <c r="AD344" s="1948"/>
      <c r="AE344" s="1923"/>
      <c r="AF344" s="1918"/>
      <c r="AG344" s="1923"/>
      <c r="AH344" s="1948"/>
      <c r="AI344" s="1948"/>
      <c r="AJ344" s="1923"/>
      <c r="AK344" s="1918"/>
      <c r="AL344" s="1923"/>
      <c r="AM344" s="1948"/>
      <c r="AN344" s="1948"/>
      <c r="AO344" s="1949"/>
      <c r="AP344" s="1922"/>
      <c r="AQ344" s="1949"/>
      <c r="AR344" s="1949"/>
      <c r="AS344" s="1949"/>
      <c r="AT344" s="1949"/>
      <c r="AU344" s="1922"/>
      <c r="AV344" s="1949"/>
      <c r="AW344" s="1949"/>
      <c r="AX344" s="1949"/>
      <c r="AY344" s="1949"/>
      <c r="AZ344" s="1922"/>
      <c r="BA344" s="1949"/>
      <c r="BB344" s="1949"/>
      <c r="BC344" s="1949"/>
      <c r="BD344" s="1949"/>
      <c r="BE344" s="1922"/>
      <c r="BF344" s="1949"/>
      <c r="BG344" s="1949"/>
      <c r="BH344" s="1949"/>
      <c r="BI344" s="1949"/>
      <c r="BJ344" s="1922"/>
      <c r="BK344" s="1949"/>
      <c r="BL344" s="1949"/>
      <c r="BM344" s="1949"/>
      <c r="BN344" s="1949"/>
      <c r="BO344" s="1922"/>
      <c r="BP344" s="1949"/>
      <c r="BQ344" s="1949"/>
      <c r="BR344" s="1949"/>
      <c r="BS344" s="1949"/>
      <c r="BT344" s="1922"/>
      <c r="BU344" s="1949"/>
      <c r="BV344" s="1949"/>
      <c r="BW344" s="1949"/>
      <c r="BX344" s="1949"/>
      <c r="BY344" s="1922"/>
      <c r="BZ344" s="1949"/>
      <c r="CA344" s="1949"/>
      <c r="CB344" s="1949"/>
      <c r="CC344" s="1949"/>
      <c r="CD344" s="1922"/>
      <c r="CE344" s="1949"/>
      <c r="CF344" s="1949"/>
      <c r="CG344" s="1949"/>
      <c r="CH344" s="1949"/>
      <c r="CI344" s="1922"/>
      <c r="CJ344" s="1949"/>
      <c r="CK344" s="1949"/>
      <c r="CL344" s="1949"/>
      <c r="CM344" s="1949"/>
      <c r="CN344" s="1922"/>
      <c r="CO344" s="1949"/>
      <c r="CP344" s="1949"/>
      <c r="CQ344" s="1949"/>
      <c r="CR344" s="1949"/>
      <c r="CS344" s="1922"/>
      <c r="CT344" s="1949"/>
      <c r="CU344" s="1949"/>
      <c r="CV344" s="1949"/>
      <c r="CW344" s="1949"/>
      <c r="CX344" s="1922"/>
      <c r="CY344" s="1923"/>
      <c r="CZ344" s="1923"/>
      <c r="DA344" s="1923"/>
      <c r="DB344" s="1923"/>
      <c r="DC344" s="1923"/>
      <c r="DD344" s="1923"/>
      <c r="DE344" s="1923"/>
      <c r="DF344" s="1923"/>
      <c r="DG344" s="1923"/>
      <c r="DH344" s="1924"/>
      <c r="DI344" s="1918"/>
      <c r="DJ344" s="1924"/>
      <c r="DK344" s="1925"/>
      <c r="DL344" s="1925"/>
      <c r="DM344" s="1922"/>
      <c r="DN344" s="1922"/>
      <c r="DO344" s="1922"/>
      <c r="DP344" s="1922"/>
      <c r="DQ344" s="1922"/>
      <c r="DR344" s="1921"/>
    </row>
    <row r="345" spans="1:122" hidden="1" outlineLevel="3">
      <c r="A345" s="1893"/>
      <c r="B345" s="1762"/>
      <c r="C345" s="1803"/>
      <c r="D345" s="1803"/>
      <c r="E345" s="1803"/>
      <c r="F345" s="1803"/>
      <c r="G345" s="1762"/>
      <c r="H345" s="1803"/>
      <c r="I345" s="1803"/>
      <c r="J345" s="1803"/>
      <c r="K345" s="1803"/>
      <c r="L345" s="1762"/>
      <c r="M345" s="1803"/>
      <c r="N345" s="1803"/>
      <c r="O345" s="1803"/>
      <c r="P345" s="1927"/>
      <c r="Q345" s="1888"/>
      <c r="R345" s="1928"/>
      <c r="S345" s="1928"/>
      <c r="T345" s="1893"/>
      <c r="U345" s="1893"/>
      <c r="V345" s="1929"/>
      <c r="W345" s="1928"/>
      <c r="X345" s="1928"/>
      <c r="Y345" s="1928"/>
      <c r="Z345" s="1893"/>
      <c r="AA345" s="1929"/>
      <c r="AB345" s="1928"/>
      <c r="AC345" s="1928"/>
      <c r="AD345" s="1928"/>
      <c r="AE345" s="1893"/>
      <c r="AF345" s="1929"/>
      <c r="AG345" s="1893"/>
      <c r="AH345" s="1928"/>
      <c r="AI345" s="1928"/>
      <c r="AJ345" s="1893"/>
      <c r="AK345" s="1929"/>
      <c r="AL345" s="1893"/>
      <c r="AM345" s="1928"/>
      <c r="AN345" s="1928"/>
      <c r="AO345" s="1980"/>
      <c r="AP345" s="1933"/>
      <c r="AQ345" s="1980"/>
      <c r="AR345" s="1980"/>
      <c r="AS345" s="1980"/>
      <c r="AT345" s="1980"/>
      <c r="AU345" s="1933"/>
      <c r="AV345" s="1980"/>
      <c r="AW345" s="1980"/>
      <c r="AX345" s="1980"/>
      <c r="AY345" s="1980"/>
      <c r="AZ345" s="1933"/>
      <c r="BA345" s="1980"/>
      <c r="BB345" s="1980"/>
      <c r="BC345" s="1980"/>
      <c r="BD345" s="1980"/>
      <c r="BE345" s="1933"/>
      <c r="BF345" s="1980"/>
      <c r="BG345" s="1980"/>
      <c r="BH345" s="1980"/>
      <c r="BI345" s="1980"/>
      <c r="BJ345" s="1933"/>
      <c r="BK345" s="1980"/>
      <c r="BL345" s="1980"/>
      <c r="BM345" s="1980"/>
      <c r="BN345" s="1980"/>
      <c r="BO345" s="1933"/>
      <c r="BP345" s="1980"/>
      <c r="BQ345" s="1980"/>
      <c r="BR345" s="1980"/>
      <c r="BS345" s="1980"/>
      <c r="BT345" s="1933"/>
      <c r="BU345" s="1980"/>
      <c r="BV345" s="1980"/>
      <c r="BW345" s="1980"/>
      <c r="BX345" s="1980"/>
      <c r="BY345" s="1933"/>
      <c r="BZ345" s="1980"/>
      <c r="CA345" s="1980"/>
      <c r="CB345" s="1980"/>
      <c r="CC345" s="1980"/>
      <c r="CD345" s="1933"/>
      <c r="CE345" s="1980"/>
      <c r="CF345" s="1980"/>
      <c r="CG345" s="1980"/>
      <c r="CH345" s="1980"/>
      <c r="CI345" s="1933"/>
      <c r="CJ345" s="1980"/>
      <c r="CK345" s="1980"/>
      <c r="CL345" s="1980"/>
      <c r="CM345" s="1980"/>
      <c r="CN345" s="1933"/>
      <c r="CO345" s="1980"/>
      <c r="CP345" s="1980"/>
      <c r="CQ345" s="1980"/>
      <c r="CR345" s="1980"/>
      <c r="CS345" s="1933"/>
      <c r="CT345" s="1980"/>
      <c r="CU345" s="1980"/>
      <c r="CV345" s="1980"/>
      <c r="CW345" s="1980"/>
      <c r="CX345" s="1933"/>
      <c r="CY345" s="1893"/>
      <c r="CZ345" s="1893"/>
      <c r="DA345" s="1893"/>
      <c r="DB345" s="1893"/>
      <c r="DC345" s="1893"/>
      <c r="DD345" s="1893"/>
      <c r="DE345" s="1893"/>
      <c r="DF345" s="1893"/>
      <c r="DG345" s="1893"/>
      <c r="DH345" s="1934"/>
      <c r="DI345" s="1930"/>
      <c r="DJ345" s="1934"/>
      <c r="DK345" s="1935"/>
      <c r="DL345" s="1935"/>
      <c r="DM345" s="1933"/>
      <c r="DN345" s="1933"/>
      <c r="DO345" s="1933"/>
      <c r="DP345" s="1933"/>
      <c r="DQ345" s="1933"/>
      <c r="DR345" s="3061"/>
    </row>
    <row r="346" spans="1:122" hidden="1" outlineLevel="3">
      <c r="A346" s="2056" t="s">
        <v>198</v>
      </c>
      <c r="B346" s="1762">
        <v>87000</v>
      </c>
      <c r="C346" s="1803">
        <v>24000</v>
      </c>
      <c r="D346" s="1803">
        <v>26000</v>
      </c>
      <c r="E346" s="1803">
        <v>26000</v>
      </c>
      <c r="F346" s="1803">
        <v>36000</v>
      </c>
      <c r="G346" s="1762">
        <f>SUM(C346:F346)</f>
        <v>112000</v>
      </c>
      <c r="H346" s="1803">
        <v>28000</v>
      </c>
      <c r="I346" s="1803">
        <v>38000</v>
      </c>
      <c r="J346" s="1803">
        <v>46000</v>
      </c>
      <c r="K346" s="1803">
        <v>44000</v>
      </c>
      <c r="L346" s="1762">
        <f>SUM(H346:K346)</f>
        <v>156000</v>
      </c>
      <c r="M346" s="1803">
        <v>53000</v>
      </c>
      <c r="N346" s="1803">
        <v>63000</v>
      </c>
      <c r="O346" s="1803">
        <v>61000</v>
      </c>
      <c r="P346" s="1887">
        <v>70000</v>
      </c>
      <c r="Q346" s="1888">
        <f>SUM(M346:P346)</f>
        <v>247000</v>
      </c>
      <c r="R346" s="1889">
        <v>49000</v>
      </c>
      <c r="S346" s="1889">
        <v>72000</v>
      </c>
      <c r="T346" s="1890">
        <v>61000</v>
      </c>
      <c r="U346" s="1890">
        <v>80000</v>
      </c>
      <c r="V346" s="1762">
        <f>SUM(R346:U346)</f>
        <v>262000</v>
      </c>
      <c r="W346" s="1889">
        <v>74000</v>
      </c>
      <c r="X346" s="1889">
        <v>101000</v>
      </c>
      <c r="Y346" s="1889">
        <v>89000</v>
      </c>
      <c r="Z346" s="1890">
        <v>113000</v>
      </c>
      <c r="AA346" s="1762">
        <f>SUM(W346:Z346)</f>
        <v>377000</v>
      </c>
      <c r="AB346" s="1889"/>
      <c r="AC346" s="1889"/>
      <c r="AD346" s="1889"/>
      <c r="AE346" s="1890"/>
      <c r="AF346" s="1762"/>
      <c r="AG346" s="1890"/>
      <c r="AH346" s="1889"/>
      <c r="AI346" s="1889"/>
      <c r="AJ346" s="1890"/>
      <c r="AK346" s="1762"/>
      <c r="AL346" s="1890"/>
      <c r="AM346" s="1889"/>
      <c r="AN346" s="1889"/>
      <c r="AO346" s="1891"/>
      <c r="AP346" s="1892"/>
      <c r="AQ346" s="1891"/>
      <c r="AR346" s="1891"/>
      <c r="AS346" s="1891"/>
      <c r="AT346" s="1891"/>
      <c r="AU346" s="1892"/>
      <c r="AV346" s="1891"/>
      <c r="AW346" s="1891"/>
      <c r="AX346" s="1891"/>
      <c r="AY346" s="1891"/>
      <c r="AZ346" s="1892"/>
      <c r="BA346" s="1891"/>
      <c r="BB346" s="1891"/>
      <c r="BC346" s="1891"/>
      <c r="BD346" s="1891"/>
      <c r="BE346" s="1892"/>
      <c r="BF346" s="1891"/>
      <c r="BG346" s="1891"/>
      <c r="BH346" s="1891"/>
      <c r="BI346" s="1891"/>
      <c r="BJ346" s="1892"/>
      <c r="BK346" s="1891"/>
      <c r="BL346" s="1891"/>
      <c r="BM346" s="1891"/>
      <c r="BN346" s="1891"/>
      <c r="BO346" s="1892"/>
      <c r="BP346" s="1891"/>
      <c r="BQ346" s="1891"/>
      <c r="BR346" s="1891"/>
      <c r="BS346" s="1891"/>
      <c r="BT346" s="1892"/>
      <c r="BU346" s="1891"/>
      <c r="BV346" s="1891"/>
      <c r="BW346" s="1891"/>
      <c r="BX346" s="1891"/>
      <c r="BY346" s="1892"/>
      <c r="BZ346" s="1891"/>
      <c r="CA346" s="1891"/>
      <c r="CB346" s="1891"/>
      <c r="CC346" s="1891"/>
      <c r="CD346" s="1892"/>
      <c r="CE346" s="1891"/>
      <c r="CF346" s="1891"/>
      <c r="CG346" s="1891"/>
      <c r="CH346" s="1891"/>
      <c r="CI346" s="1892"/>
      <c r="CJ346" s="1891"/>
      <c r="CK346" s="1891"/>
      <c r="CL346" s="1891"/>
      <c r="CM346" s="1891"/>
      <c r="CN346" s="1892"/>
      <c r="CO346" s="1891"/>
      <c r="CP346" s="1891"/>
      <c r="CQ346" s="1891"/>
      <c r="CR346" s="1891"/>
      <c r="CS346" s="1892"/>
      <c r="CT346" s="1891"/>
      <c r="CU346" s="1891"/>
      <c r="CV346" s="1891"/>
      <c r="CW346" s="1891"/>
      <c r="CX346" s="1892"/>
      <c r="CY346" s="1893"/>
      <c r="CZ346" s="1893"/>
      <c r="DA346" s="1893"/>
      <c r="DB346" s="1893"/>
      <c r="DC346" s="1893"/>
      <c r="DD346" s="1893"/>
      <c r="DE346" s="1893"/>
      <c r="DF346" s="1893"/>
      <c r="DG346" s="1893"/>
      <c r="DH346" s="1766"/>
      <c r="DI346" s="1762"/>
      <c r="DJ346" s="1766"/>
      <c r="DK346" s="1894"/>
      <c r="DL346" s="1894"/>
      <c r="DM346" s="1892"/>
      <c r="DN346" s="1892"/>
      <c r="DO346" s="1892"/>
      <c r="DP346" s="1892"/>
      <c r="DQ346" s="1892"/>
      <c r="DR346" s="1993"/>
    </row>
    <row r="347" spans="1:122" hidden="1" outlineLevel="3">
      <c r="A347" s="1973" t="s">
        <v>162</v>
      </c>
      <c r="B347" s="2057">
        <f t="shared" ref="B347:AA347" si="530">B346/B362</f>
        <v>3.4394149041312512E-3</v>
      </c>
      <c r="C347" s="1959">
        <f t="shared" si="530"/>
        <v>3.9177277179236044E-3</v>
      </c>
      <c r="D347" s="1959">
        <f t="shared" si="530"/>
        <v>3.3587391809843689E-3</v>
      </c>
      <c r="E347" s="1959">
        <f t="shared" si="530"/>
        <v>3.5886818495514147E-3</v>
      </c>
      <c r="F347" s="1959">
        <f t="shared" si="530"/>
        <v>4.9634633944574662E-3</v>
      </c>
      <c r="G347" s="2057">
        <f t="shared" si="530"/>
        <v>3.9485281156354662E-3</v>
      </c>
      <c r="H347" s="1959">
        <f t="shared" si="530"/>
        <v>3.6147689129873485E-3</v>
      </c>
      <c r="I347" s="1959">
        <f t="shared" si="530"/>
        <v>4.4491277367989697E-3</v>
      </c>
      <c r="J347" s="1959">
        <f t="shared" si="530"/>
        <v>5.8710912571793231E-3</v>
      </c>
      <c r="K347" s="1959">
        <f t="shared" si="530"/>
        <v>5.4556726596404212E-3</v>
      </c>
      <c r="L347" s="2057">
        <f t="shared" si="530"/>
        <v>4.8466772299375523E-3</v>
      </c>
      <c r="M347" s="1959">
        <f t="shared" si="530"/>
        <v>6.4516129032258064E-3</v>
      </c>
      <c r="N347" s="1959">
        <f t="shared" si="530"/>
        <v>6.2050625430907121E-3</v>
      </c>
      <c r="O347" s="1959">
        <f t="shared" si="530"/>
        <v>6.6485013623978203E-3</v>
      </c>
      <c r="P347" s="2058">
        <f t="shared" si="530"/>
        <v>7.5333620318553595E-3</v>
      </c>
      <c r="Q347" s="2059">
        <f t="shared" si="530"/>
        <v>6.7055789330799512E-3</v>
      </c>
      <c r="R347" s="2060">
        <f t="shared" si="530"/>
        <v>5.3324627271737948E-3</v>
      </c>
      <c r="S347" s="2060">
        <f t="shared" si="530"/>
        <v>6.6555740432612314E-3</v>
      </c>
      <c r="T347" s="1973">
        <f t="shared" si="530"/>
        <v>6.3409563409563413E-3</v>
      </c>
      <c r="U347" s="1973">
        <f t="shared" si="530"/>
        <v>7.8732408227536656E-3</v>
      </c>
      <c r="V347" s="2057">
        <f t="shared" si="530"/>
        <v>6.5848999698401526E-3</v>
      </c>
      <c r="W347" s="2060">
        <f t="shared" si="530"/>
        <v>7.5967559798788623E-3</v>
      </c>
      <c r="X347" s="2060">
        <f t="shared" si="530"/>
        <v>8.5325673734899053E-3</v>
      </c>
      <c r="Y347" s="2060">
        <f t="shared" si="530"/>
        <v>8.1651376146788992E-3</v>
      </c>
      <c r="Z347" s="1973">
        <f t="shared" si="530"/>
        <v>9.5730260928498807E-3</v>
      </c>
      <c r="AA347" s="2057">
        <f t="shared" si="530"/>
        <v>8.5136172711259648E-3</v>
      </c>
      <c r="AB347" s="2060"/>
      <c r="AC347" s="2060"/>
      <c r="AD347" s="2060"/>
      <c r="AE347" s="1973"/>
      <c r="AF347" s="2057"/>
      <c r="AG347" s="1973"/>
      <c r="AH347" s="2060"/>
      <c r="AI347" s="2060"/>
      <c r="AJ347" s="1973"/>
      <c r="AK347" s="2057"/>
      <c r="AL347" s="1973"/>
      <c r="AM347" s="2060"/>
      <c r="AN347" s="2060"/>
      <c r="AO347" s="2061"/>
      <c r="AP347" s="2062"/>
      <c r="AQ347" s="2061"/>
      <c r="AR347" s="2061"/>
      <c r="AS347" s="2061"/>
      <c r="AT347" s="2061"/>
      <c r="AU347" s="2062"/>
      <c r="AV347" s="2061"/>
      <c r="AW347" s="2061"/>
      <c r="AX347" s="2061"/>
      <c r="AY347" s="2061"/>
      <c r="AZ347" s="2062"/>
      <c r="BA347" s="2061"/>
      <c r="BB347" s="2061"/>
      <c r="BC347" s="2061"/>
      <c r="BD347" s="2061"/>
      <c r="BE347" s="2062"/>
      <c r="BF347" s="2061"/>
      <c r="BG347" s="2061"/>
      <c r="BH347" s="2061"/>
      <c r="BI347" s="2061"/>
      <c r="BJ347" s="2062"/>
      <c r="BK347" s="2061"/>
      <c r="BL347" s="2061"/>
      <c r="BM347" s="2061"/>
      <c r="BN347" s="2061"/>
      <c r="BO347" s="2062"/>
      <c r="BP347" s="2061"/>
      <c r="BQ347" s="2061"/>
      <c r="BR347" s="2061"/>
      <c r="BS347" s="2061"/>
      <c r="BT347" s="2062"/>
      <c r="BU347" s="2061"/>
      <c r="BV347" s="2061"/>
      <c r="BW347" s="2061"/>
      <c r="BX347" s="2061"/>
      <c r="BY347" s="2062"/>
      <c r="BZ347" s="2061"/>
      <c r="CA347" s="2061"/>
      <c r="CB347" s="2061"/>
      <c r="CC347" s="2061"/>
      <c r="CD347" s="2062"/>
      <c r="CE347" s="2061"/>
      <c r="CF347" s="2061"/>
      <c r="CG347" s="2061"/>
      <c r="CH347" s="2061"/>
      <c r="CI347" s="2062"/>
      <c r="CJ347" s="2061"/>
      <c r="CK347" s="2061"/>
      <c r="CL347" s="2061"/>
      <c r="CM347" s="2061"/>
      <c r="CN347" s="2062"/>
      <c r="CO347" s="2061"/>
      <c r="CP347" s="2061"/>
      <c r="CQ347" s="2061"/>
      <c r="CR347" s="2061"/>
      <c r="CS347" s="2062"/>
      <c r="CT347" s="2061"/>
      <c r="CU347" s="2061"/>
      <c r="CV347" s="2061"/>
      <c r="CW347" s="2061"/>
      <c r="CX347" s="2062"/>
      <c r="CY347" s="1973"/>
      <c r="CZ347" s="1973"/>
      <c r="DA347" s="1973"/>
      <c r="DB347" s="1973"/>
      <c r="DC347" s="1973"/>
      <c r="DD347" s="1973"/>
      <c r="DE347" s="1973"/>
      <c r="DF347" s="1973"/>
      <c r="DG347" s="1973"/>
      <c r="DH347" s="2063"/>
      <c r="DI347" s="2057"/>
      <c r="DJ347" s="2063"/>
      <c r="DK347" s="2064"/>
      <c r="DL347" s="2064"/>
      <c r="DM347" s="2062"/>
      <c r="DN347" s="2062"/>
      <c r="DO347" s="2062"/>
      <c r="DP347" s="2062"/>
      <c r="DQ347" s="2062"/>
      <c r="DR347" s="3065"/>
    </row>
    <row r="348" spans="1:122" hidden="1" outlineLevel="3">
      <c r="A348" s="1900" t="s">
        <v>163</v>
      </c>
      <c r="B348" s="1774"/>
      <c r="C348" s="1785"/>
      <c r="D348" s="1785"/>
      <c r="E348" s="1785"/>
      <c r="F348" s="1785"/>
      <c r="G348" s="1774">
        <f t="shared" ref="G348:AA348" si="531">G346/B346-1</f>
        <v>0.28735632183908044</v>
      </c>
      <c r="H348" s="1785">
        <f t="shared" si="531"/>
        <v>0.16666666666666674</v>
      </c>
      <c r="I348" s="1785">
        <f t="shared" si="531"/>
        <v>0.46153846153846145</v>
      </c>
      <c r="J348" s="1785">
        <f t="shared" si="531"/>
        <v>0.76923076923076916</v>
      </c>
      <c r="K348" s="1785">
        <f t="shared" si="531"/>
        <v>0.22222222222222232</v>
      </c>
      <c r="L348" s="1774">
        <f t="shared" si="531"/>
        <v>0.39285714285714279</v>
      </c>
      <c r="M348" s="1785">
        <f t="shared" si="531"/>
        <v>0.89285714285714279</v>
      </c>
      <c r="N348" s="1785">
        <f t="shared" si="531"/>
        <v>0.65789473684210531</v>
      </c>
      <c r="O348" s="1785">
        <f t="shared" si="531"/>
        <v>0.32608695652173902</v>
      </c>
      <c r="P348" s="1896">
        <f t="shared" si="531"/>
        <v>0.59090909090909083</v>
      </c>
      <c r="Q348" s="1897">
        <f t="shared" si="531"/>
        <v>0.58333333333333326</v>
      </c>
      <c r="R348" s="1896">
        <f t="shared" si="531"/>
        <v>-7.547169811320753E-2</v>
      </c>
      <c r="S348" s="1896">
        <f t="shared" si="531"/>
        <v>0.14285714285714279</v>
      </c>
      <c r="T348" s="1785">
        <f t="shared" si="531"/>
        <v>0</v>
      </c>
      <c r="U348" s="1785">
        <f t="shared" si="531"/>
        <v>0.14285714285714279</v>
      </c>
      <c r="V348" s="1774">
        <f t="shared" si="531"/>
        <v>6.0728744939271273E-2</v>
      </c>
      <c r="W348" s="1896">
        <f t="shared" si="531"/>
        <v>0.51020408163265296</v>
      </c>
      <c r="X348" s="1896">
        <f t="shared" si="531"/>
        <v>0.40277777777777768</v>
      </c>
      <c r="Y348" s="1896">
        <f t="shared" si="531"/>
        <v>0.45901639344262302</v>
      </c>
      <c r="Z348" s="1785">
        <f t="shared" si="531"/>
        <v>0.41250000000000009</v>
      </c>
      <c r="AA348" s="1774">
        <f t="shared" si="531"/>
        <v>0.43893129770992356</v>
      </c>
      <c r="AB348" s="1896"/>
      <c r="AC348" s="1896"/>
      <c r="AD348" s="1896"/>
      <c r="AE348" s="1785"/>
      <c r="AF348" s="1774"/>
      <c r="AG348" s="1785"/>
      <c r="AH348" s="1896"/>
      <c r="AI348" s="1896"/>
      <c r="AJ348" s="1785"/>
      <c r="AK348" s="1774"/>
      <c r="AL348" s="1785"/>
      <c r="AM348" s="1896"/>
      <c r="AN348" s="1896"/>
      <c r="AO348" s="1898"/>
      <c r="AP348" s="1899"/>
      <c r="AQ348" s="1898"/>
      <c r="AR348" s="1898"/>
      <c r="AS348" s="1898"/>
      <c r="AT348" s="1898"/>
      <c r="AU348" s="1899"/>
      <c r="AV348" s="1898"/>
      <c r="AW348" s="1898"/>
      <c r="AX348" s="1898"/>
      <c r="AY348" s="1898"/>
      <c r="AZ348" s="1899"/>
      <c r="BA348" s="1898"/>
      <c r="BB348" s="1898"/>
      <c r="BC348" s="1898"/>
      <c r="BD348" s="1898"/>
      <c r="BE348" s="1899"/>
      <c r="BF348" s="1898"/>
      <c r="BG348" s="1898"/>
      <c r="BH348" s="1898"/>
      <c r="BI348" s="1898"/>
      <c r="BJ348" s="1899"/>
      <c r="BK348" s="1898"/>
      <c r="BL348" s="1898"/>
      <c r="BM348" s="1898"/>
      <c r="BN348" s="1898"/>
      <c r="BO348" s="1899"/>
      <c r="BP348" s="1898"/>
      <c r="BQ348" s="1898"/>
      <c r="BR348" s="1898"/>
      <c r="BS348" s="1898"/>
      <c r="BT348" s="1899"/>
      <c r="BU348" s="1898"/>
      <c r="BV348" s="1898"/>
      <c r="BW348" s="1898"/>
      <c r="BX348" s="1898"/>
      <c r="BY348" s="1899"/>
      <c r="BZ348" s="1898"/>
      <c r="CA348" s="1898"/>
      <c r="CB348" s="1898"/>
      <c r="CC348" s="1898"/>
      <c r="CD348" s="1899"/>
      <c r="CE348" s="1898"/>
      <c r="CF348" s="1898"/>
      <c r="CG348" s="1898"/>
      <c r="CH348" s="1898"/>
      <c r="CI348" s="1899"/>
      <c r="CJ348" s="1898"/>
      <c r="CK348" s="1898"/>
      <c r="CL348" s="1898"/>
      <c r="CM348" s="1898"/>
      <c r="CN348" s="1899"/>
      <c r="CO348" s="1898"/>
      <c r="CP348" s="1898"/>
      <c r="CQ348" s="1898"/>
      <c r="CR348" s="1898"/>
      <c r="CS348" s="1899"/>
      <c r="CT348" s="1898"/>
      <c r="CU348" s="1898"/>
      <c r="CV348" s="1898"/>
      <c r="CW348" s="1898"/>
      <c r="CX348" s="1899"/>
      <c r="CY348" s="1900"/>
      <c r="CZ348" s="1900"/>
      <c r="DA348" s="1900"/>
      <c r="DB348" s="1900"/>
      <c r="DC348" s="1900"/>
      <c r="DD348" s="1900"/>
      <c r="DE348" s="1900"/>
      <c r="DF348" s="1900"/>
      <c r="DG348" s="1900"/>
      <c r="DH348" s="1773"/>
      <c r="DI348" s="1774"/>
      <c r="DJ348" s="1773"/>
      <c r="DK348" s="1901"/>
      <c r="DL348" s="1901"/>
      <c r="DM348" s="1899"/>
      <c r="DN348" s="1899"/>
      <c r="DO348" s="1899"/>
      <c r="DP348" s="1899"/>
      <c r="DQ348" s="1899"/>
      <c r="DR348" s="1898"/>
    </row>
    <row r="349" spans="1:122" hidden="1" outlineLevel="3">
      <c r="A349" s="1890" t="s">
        <v>529</v>
      </c>
      <c r="B349" s="1801"/>
      <c r="C349" s="1803"/>
      <c r="D349" s="1803"/>
      <c r="E349" s="1803"/>
      <c r="F349" s="1803"/>
      <c r="G349" s="1801">
        <v>-157000</v>
      </c>
      <c r="H349" s="1803">
        <v>-65000</v>
      </c>
      <c r="I349" s="1803">
        <v>-75000</v>
      </c>
      <c r="J349" s="1803">
        <v>-72000</v>
      </c>
      <c r="K349" s="1803">
        <f>L349-H349-I349-J349</f>
        <v>55000</v>
      </c>
      <c r="L349" s="1801">
        <v>-157000</v>
      </c>
      <c r="M349" s="1803">
        <v>-34000</v>
      </c>
      <c r="N349" s="1803">
        <v>-110000</v>
      </c>
      <c r="O349" s="1803">
        <v>-36000</v>
      </c>
      <c r="P349" s="1887">
        <v>-39000</v>
      </c>
      <c r="Q349" s="1914">
        <f>SUM(M349:P349)</f>
        <v>-219000</v>
      </c>
      <c r="R349" s="1889">
        <v>-29000</v>
      </c>
      <c r="S349" s="1889">
        <v>-12000</v>
      </c>
      <c r="T349" s="1890">
        <v>-9000</v>
      </c>
      <c r="U349" s="1890">
        <v>-15000</v>
      </c>
      <c r="V349" s="1801">
        <f>SUM(R349:U349)</f>
        <v>-65000</v>
      </c>
      <c r="W349" s="1889">
        <v>-2000</v>
      </c>
      <c r="X349" s="1889">
        <v>20000</v>
      </c>
      <c r="Y349" s="1889">
        <v>-14000</v>
      </c>
      <c r="Z349" s="1890">
        <v>-2000</v>
      </c>
      <c r="AA349" s="1801">
        <f>SUM(W349:Z349)</f>
        <v>2000</v>
      </c>
      <c r="AB349" s="1889"/>
      <c r="AC349" s="1889"/>
      <c r="AD349" s="1889"/>
      <c r="AE349" s="1890"/>
      <c r="AF349" s="1801"/>
      <c r="AG349" s="1890"/>
      <c r="AH349" s="1889"/>
      <c r="AI349" s="1889"/>
      <c r="AJ349" s="1890"/>
      <c r="AK349" s="1801"/>
      <c r="AL349" s="1890"/>
      <c r="AM349" s="1889"/>
      <c r="AN349" s="1889"/>
      <c r="AO349" s="1891"/>
      <c r="AP349" s="1908"/>
      <c r="AQ349" s="1891"/>
      <c r="AR349" s="1891"/>
      <c r="AS349" s="1891"/>
      <c r="AT349" s="1891"/>
      <c r="AU349" s="1908"/>
      <c r="AV349" s="1891"/>
      <c r="AW349" s="1891"/>
      <c r="AX349" s="1891"/>
      <c r="AY349" s="1891"/>
      <c r="AZ349" s="1908"/>
      <c r="BA349" s="1891"/>
      <c r="BB349" s="1891"/>
      <c r="BC349" s="1891"/>
      <c r="BD349" s="1891"/>
      <c r="BE349" s="1908"/>
      <c r="BF349" s="1891"/>
      <c r="BG349" s="1891"/>
      <c r="BH349" s="1891"/>
      <c r="BI349" s="1891"/>
      <c r="BJ349" s="1908"/>
      <c r="BK349" s="1891"/>
      <c r="BL349" s="1891"/>
      <c r="BM349" s="1891"/>
      <c r="BN349" s="1891"/>
      <c r="BO349" s="1908"/>
      <c r="BP349" s="1891"/>
      <c r="BQ349" s="1891"/>
      <c r="BR349" s="1891"/>
      <c r="BS349" s="1891"/>
      <c r="BT349" s="1908"/>
      <c r="BU349" s="1891"/>
      <c r="BV349" s="1891"/>
      <c r="BW349" s="1891"/>
      <c r="BX349" s="1891"/>
      <c r="BY349" s="1908"/>
      <c r="BZ349" s="1891"/>
      <c r="CA349" s="1891"/>
      <c r="CB349" s="1891"/>
      <c r="CC349" s="1891"/>
      <c r="CD349" s="1908"/>
      <c r="CE349" s="1891"/>
      <c r="CF349" s="1891"/>
      <c r="CG349" s="1891"/>
      <c r="CH349" s="1891"/>
      <c r="CI349" s="1908"/>
      <c r="CJ349" s="1891"/>
      <c r="CK349" s="1891"/>
      <c r="CL349" s="1891"/>
      <c r="CM349" s="1891"/>
      <c r="CN349" s="1908"/>
      <c r="CO349" s="1891"/>
      <c r="CP349" s="1891"/>
      <c r="CQ349" s="1891"/>
      <c r="CR349" s="1891"/>
      <c r="CS349" s="1908"/>
      <c r="CT349" s="1891"/>
      <c r="CU349" s="1891"/>
      <c r="CV349" s="1891"/>
      <c r="CW349" s="1891"/>
      <c r="CX349" s="1908"/>
      <c r="CY349" s="1890"/>
      <c r="CZ349" s="1890"/>
      <c r="DA349" s="1890"/>
      <c r="DB349" s="1890"/>
      <c r="DC349" s="1890"/>
      <c r="DD349" s="1890"/>
      <c r="DE349" s="1890"/>
      <c r="DF349" s="1890"/>
      <c r="DG349" s="1890"/>
      <c r="DH349" s="1804"/>
      <c r="DI349" s="1801"/>
      <c r="DJ349" s="1804"/>
      <c r="DK349" s="1907"/>
      <c r="DL349" s="1907"/>
      <c r="DM349" s="1908"/>
      <c r="DN349" s="1908"/>
      <c r="DO349" s="1908"/>
      <c r="DP349" s="1908"/>
      <c r="DQ349" s="1908"/>
      <c r="DR349" s="1915"/>
    </row>
    <row r="350" spans="1:122" hidden="1" outlineLevel="3">
      <c r="A350" s="1923" t="s">
        <v>117</v>
      </c>
      <c r="B350" s="1918"/>
      <c r="C350" s="1917"/>
      <c r="D350" s="1917"/>
      <c r="E350" s="1917"/>
      <c r="F350" s="1917"/>
      <c r="G350" s="1918">
        <f>G349/G346</f>
        <v>-1.4017857142857142</v>
      </c>
      <c r="H350" s="1917">
        <f>H349/H346</f>
        <v>-2.3214285714285716</v>
      </c>
      <c r="I350" s="1917">
        <f>I349/I346</f>
        <v>-1.9736842105263157</v>
      </c>
      <c r="J350" s="1917">
        <f>J349/J346</f>
        <v>-1.5652173913043479</v>
      </c>
      <c r="K350" s="1917"/>
      <c r="L350" s="1918">
        <f t="shared" ref="L350:AA350" si="532">L349/L346</f>
        <v>-1.0064102564102564</v>
      </c>
      <c r="M350" s="1917">
        <f t="shared" si="532"/>
        <v>-0.64150943396226412</v>
      </c>
      <c r="N350" s="1917">
        <f t="shared" si="532"/>
        <v>-1.746031746031746</v>
      </c>
      <c r="O350" s="1917">
        <f t="shared" si="532"/>
        <v>-0.5901639344262295</v>
      </c>
      <c r="P350" s="1919">
        <f t="shared" si="532"/>
        <v>-0.55714285714285716</v>
      </c>
      <c r="Q350" s="1920">
        <f t="shared" si="532"/>
        <v>-0.88663967611336036</v>
      </c>
      <c r="R350" s="1948">
        <f t="shared" si="532"/>
        <v>-0.59183673469387754</v>
      </c>
      <c r="S350" s="1948">
        <f t="shared" si="532"/>
        <v>-0.16666666666666666</v>
      </c>
      <c r="T350" s="1923">
        <f t="shared" si="532"/>
        <v>-0.14754098360655737</v>
      </c>
      <c r="U350" s="1923">
        <f t="shared" si="532"/>
        <v>-0.1875</v>
      </c>
      <c r="V350" s="1918">
        <f t="shared" si="532"/>
        <v>-0.24809160305343511</v>
      </c>
      <c r="W350" s="1948">
        <f t="shared" si="532"/>
        <v>-2.7027027027027029E-2</v>
      </c>
      <c r="X350" s="1948">
        <f t="shared" si="532"/>
        <v>0.19801980198019803</v>
      </c>
      <c r="Y350" s="1948">
        <f t="shared" si="532"/>
        <v>-0.15730337078651685</v>
      </c>
      <c r="Z350" s="1923">
        <f t="shared" si="532"/>
        <v>-1.7699115044247787E-2</v>
      </c>
      <c r="AA350" s="1918">
        <f t="shared" si="532"/>
        <v>5.3050397877984082E-3</v>
      </c>
      <c r="AB350" s="1948"/>
      <c r="AC350" s="1948"/>
      <c r="AD350" s="1948"/>
      <c r="AE350" s="1923"/>
      <c r="AF350" s="1918"/>
      <c r="AG350" s="1923"/>
      <c r="AH350" s="1948"/>
      <c r="AI350" s="1948"/>
      <c r="AJ350" s="1923"/>
      <c r="AK350" s="1918"/>
      <c r="AL350" s="1923"/>
      <c r="AM350" s="1948"/>
      <c r="AN350" s="1948"/>
      <c r="AO350" s="1949"/>
      <c r="AP350" s="1922"/>
      <c r="AQ350" s="1949"/>
      <c r="AR350" s="1949"/>
      <c r="AS350" s="1949"/>
      <c r="AT350" s="1949"/>
      <c r="AU350" s="1922"/>
      <c r="AV350" s="1949"/>
      <c r="AW350" s="1949"/>
      <c r="AX350" s="1949"/>
      <c r="AY350" s="1949"/>
      <c r="AZ350" s="1922"/>
      <c r="BA350" s="1949"/>
      <c r="BB350" s="1949"/>
      <c r="BC350" s="1949"/>
      <c r="BD350" s="1949"/>
      <c r="BE350" s="1922"/>
      <c r="BF350" s="1949"/>
      <c r="BG350" s="1949"/>
      <c r="BH350" s="1949"/>
      <c r="BI350" s="1949"/>
      <c r="BJ350" s="1922"/>
      <c r="BK350" s="1949"/>
      <c r="BL350" s="1949"/>
      <c r="BM350" s="1949"/>
      <c r="BN350" s="1949"/>
      <c r="BO350" s="1922"/>
      <c r="BP350" s="1949"/>
      <c r="BQ350" s="1949"/>
      <c r="BR350" s="1949"/>
      <c r="BS350" s="1949"/>
      <c r="BT350" s="1922"/>
      <c r="BU350" s="1949"/>
      <c r="BV350" s="1949"/>
      <c r="BW350" s="1949"/>
      <c r="BX350" s="1949"/>
      <c r="BY350" s="1922"/>
      <c r="BZ350" s="1949"/>
      <c r="CA350" s="1949"/>
      <c r="CB350" s="1949"/>
      <c r="CC350" s="1949"/>
      <c r="CD350" s="1922"/>
      <c r="CE350" s="1949"/>
      <c r="CF350" s="1949"/>
      <c r="CG350" s="1949"/>
      <c r="CH350" s="1949"/>
      <c r="CI350" s="1922"/>
      <c r="CJ350" s="1949"/>
      <c r="CK350" s="1949"/>
      <c r="CL350" s="1949"/>
      <c r="CM350" s="1949"/>
      <c r="CN350" s="1922"/>
      <c r="CO350" s="1949"/>
      <c r="CP350" s="1949"/>
      <c r="CQ350" s="1949"/>
      <c r="CR350" s="1949"/>
      <c r="CS350" s="1922"/>
      <c r="CT350" s="1949"/>
      <c r="CU350" s="1949"/>
      <c r="CV350" s="1949"/>
      <c r="CW350" s="1949"/>
      <c r="CX350" s="1922"/>
      <c r="CY350" s="1923"/>
      <c r="CZ350" s="1923"/>
      <c r="DA350" s="1923"/>
      <c r="DB350" s="1923"/>
      <c r="DC350" s="1923"/>
      <c r="DD350" s="1923"/>
      <c r="DE350" s="1923"/>
      <c r="DF350" s="1923"/>
      <c r="DG350" s="1923"/>
      <c r="DH350" s="1924"/>
      <c r="DI350" s="1918"/>
      <c r="DJ350" s="1924"/>
      <c r="DK350" s="1925"/>
      <c r="DL350" s="1925"/>
      <c r="DM350" s="1922"/>
      <c r="DN350" s="1922"/>
      <c r="DO350" s="1922"/>
      <c r="DP350" s="1922"/>
      <c r="DQ350" s="1922"/>
      <c r="DR350" s="1921"/>
    </row>
    <row r="351" spans="1:122" hidden="1" outlineLevel="3">
      <c r="A351" s="1893"/>
      <c r="B351" s="1762"/>
      <c r="C351" s="1803"/>
      <c r="D351" s="1803"/>
      <c r="E351" s="1803"/>
      <c r="F351" s="1803"/>
      <c r="G351" s="1762"/>
      <c r="H351" s="1803"/>
      <c r="I351" s="1803"/>
      <c r="J351" s="1803"/>
      <c r="K351" s="1803"/>
      <c r="L351" s="1762"/>
      <c r="M351" s="1803"/>
      <c r="N351" s="1803"/>
      <c r="O351" s="1803"/>
      <c r="P351" s="1927"/>
      <c r="Q351" s="1888"/>
      <c r="R351" s="1928"/>
      <c r="S351" s="1928"/>
      <c r="T351" s="1893"/>
      <c r="U351" s="1893"/>
      <c r="V351" s="1929"/>
      <c r="W351" s="1928"/>
      <c r="X351" s="1928"/>
      <c r="Y351" s="1928"/>
      <c r="Z351" s="1893"/>
      <c r="AA351" s="1929"/>
      <c r="AB351" s="1928"/>
      <c r="AC351" s="1928"/>
      <c r="AD351" s="1928"/>
      <c r="AE351" s="1893"/>
      <c r="AF351" s="1929"/>
      <c r="AG351" s="1893"/>
      <c r="AH351" s="1928"/>
      <c r="AI351" s="1928"/>
      <c r="AJ351" s="1893"/>
      <c r="AK351" s="1929"/>
      <c r="AL351" s="1893"/>
      <c r="AM351" s="1928"/>
      <c r="AN351" s="1928"/>
      <c r="AO351" s="1980"/>
      <c r="AP351" s="1933"/>
      <c r="AQ351" s="1980"/>
      <c r="AR351" s="1980"/>
      <c r="AS351" s="1980"/>
      <c r="AT351" s="1980"/>
      <c r="AU351" s="1933"/>
      <c r="AV351" s="1980"/>
      <c r="AW351" s="1980"/>
      <c r="AX351" s="1980"/>
      <c r="AY351" s="1980"/>
      <c r="AZ351" s="1933"/>
      <c r="BA351" s="1980"/>
      <c r="BB351" s="1980"/>
      <c r="BC351" s="1980"/>
      <c r="BD351" s="1980"/>
      <c r="BE351" s="1933"/>
      <c r="BF351" s="1980"/>
      <c r="BG351" s="1980"/>
      <c r="BH351" s="1980"/>
      <c r="BI351" s="1980"/>
      <c r="BJ351" s="1933"/>
      <c r="BK351" s="1980"/>
      <c r="BL351" s="1980"/>
      <c r="BM351" s="1980"/>
      <c r="BN351" s="1980"/>
      <c r="BO351" s="1933"/>
      <c r="BP351" s="1980"/>
      <c r="BQ351" s="1980"/>
      <c r="BR351" s="1980"/>
      <c r="BS351" s="1980"/>
      <c r="BT351" s="1933"/>
      <c r="BU351" s="1980"/>
      <c r="BV351" s="1980"/>
      <c r="BW351" s="1980"/>
      <c r="BX351" s="1980"/>
      <c r="BY351" s="1933"/>
      <c r="BZ351" s="1980"/>
      <c r="CA351" s="1980"/>
      <c r="CB351" s="1980"/>
      <c r="CC351" s="1980"/>
      <c r="CD351" s="1933"/>
      <c r="CE351" s="1980"/>
      <c r="CF351" s="1980"/>
      <c r="CG351" s="1980"/>
      <c r="CH351" s="1980"/>
      <c r="CI351" s="1933"/>
      <c r="CJ351" s="1980"/>
      <c r="CK351" s="1980"/>
      <c r="CL351" s="1980"/>
      <c r="CM351" s="1980"/>
      <c r="CN351" s="1933"/>
      <c r="CO351" s="1980"/>
      <c r="CP351" s="1980"/>
      <c r="CQ351" s="1980"/>
      <c r="CR351" s="1980"/>
      <c r="CS351" s="1933"/>
      <c r="CT351" s="1980"/>
      <c r="CU351" s="1980"/>
      <c r="CV351" s="1980"/>
      <c r="CW351" s="1980"/>
      <c r="CX351" s="1933"/>
      <c r="CY351" s="1893"/>
      <c r="CZ351" s="1893"/>
      <c r="DA351" s="1893"/>
      <c r="DB351" s="1893"/>
      <c r="DC351" s="1893"/>
      <c r="DD351" s="1893"/>
      <c r="DE351" s="1893"/>
      <c r="DF351" s="1893"/>
      <c r="DG351" s="1893"/>
      <c r="DH351" s="1934"/>
      <c r="DI351" s="1930"/>
      <c r="DJ351" s="1934"/>
      <c r="DK351" s="1935"/>
      <c r="DL351" s="1935"/>
      <c r="DM351" s="1933"/>
      <c r="DN351" s="1933"/>
      <c r="DO351" s="1933"/>
      <c r="DP351" s="1933"/>
      <c r="DQ351" s="1933"/>
      <c r="DR351" s="3061"/>
    </row>
    <row r="352" spans="1:122" hidden="1" outlineLevel="3">
      <c r="A352" s="2056" t="s">
        <v>199</v>
      </c>
      <c r="B352" s="1762">
        <v>1143000</v>
      </c>
      <c r="C352" s="1803">
        <v>267000</v>
      </c>
      <c r="D352" s="1803">
        <v>960000</v>
      </c>
      <c r="E352" s="1803">
        <v>778000</v>
      </c>
      <c r="F352" s="1803">
        <v>448000</v>
      </c>
      <c r="G352" s="1762">
        <f>SUM(C352:F352)</f>
        <v>2453000</v>
      </c>
      <c r="H352" s="1803">
        <v>485000</v>
      </c>
      <c r="I352" s="1803">
        <v>1327000</v>
      </c>
      <c r="J352" s="1803">
        <v>453000</v>
      </c>
      <c r="K352" s="1803">
        <v>483000</v>
      </c>
      <c r="L352" s="1762">
        <f>SUM(H352:K352)</f>
        <v>2748000</v>
      </c>
      <c r="M352" s="1803">
        <v>581000</v>
      </c>
      <c r="N352" s="1803">
        <v>1267000</v>
      </c>
      <c r="O352" s="1803">
        <v>530000</v>
      </c>
      <c r="P352" s="1887">
        <v>498000</v>
      </c>
      <c r="Q352" s="1888">
        <f>SUM(M352:P352)</f>
        <v>2876000</v>
      </c>
      <c r="R352" s="1889">
        <v>609000</v>
      </c>
      <c r="S352" s="1889">
        <v>1373000</v>
      </c>
      <c r="T352" s="1890">
        <v>571000</v>
      </c>
      <c r="U352" s="1890">
        <v>587000</v>
      </c>
      <c r="V352" s="1762">
        <f>SUM(R352:U352)</f>
        <v>3140000</v>
      </c>
      <c r="W352" s="1889">
        <v>506000</v>
      </c>
      <c r="X352" s="1889">
        <v>1556000</v>
      </c>
      <c r="Y352" s="1889">
        <v>1056000</v>
      </c>
      <c r="Z352" s="1890">
        <v>1138000</v>
      </c>
      <c r="AA352" s="1762">
        <f>SUM(W352:Z352)</f>
        <v>4256000</v>
      </c>
      <c r="AB352" s="1889"/>
      <c r="AC352" s="1889"/>
      <c r="AD352" s="1889"/>
      <c r="AE352" s="1890"/>
      <c r="AF352" s="1762"/>
      <c r="AG352" s="1890"/>
      <c r="AH352" s="1889"/>
      <c r="AI352" s="1889"/>
      <c r="AJ352" s="1890"/>
      <c r="AK352" s="1762"/>
      <c r="AL352" s="1890"/>
      <c r="AM352" s="1889"/>
      <c r="AN352" s="1889"/>
      <c r="AO352" s="1891"/>
      <c r="AP352" s="1892"/>
      <c r="AQ352" s="1891"/>
      <c r="AR352" s="1891"/>
      <c r="AS352" s="1891"/>
      <c r="AT352" s="1891"/>
      <c r="AU352" s="1892"/>
      <c r="AV352" s="1891"/>
      <c r="AW352" s="1891"/>
      <c r="AX352" s="1891"/>
      <c r="AY352" s="1891"/>
      <c r="AZ352" s="1892"/>
      <c r="BA352" s="1891"/>
      <c r="BB352" s="1891"/>
      <c r="BC352" s="1891"/>
      <c r="BD352" s="1891"/>
      <c r="BE352" s="1892"/>
      <c r="BF352" s="1891"/>
      <c r="BG352" s="1891"/>
      <c r="BH352" s="1891"/>
      <c r="BI352" s="1891"/>
      <c r="BJ352" s="1892"/>
      <c r="BK352" s="1891"/>
      <c r="BL352" s="1891"/>
      <c r="BM352" s="1891"/>
      <c r="BN352" s="1891"/>
      <c r="BO352" s="1892"/>
      <c r="BP352" s="1891"/>
      <c r="BQ352" s="1891"/>
      <c r="BR352" s="1891"/>
      <c r="BS352" s="1891"/>
      <c r="BT352" s="1892"/>
      <c r="BU352" s="1891"/>
      <c r="BV352" s="1891"/>
      <c r="BW352" s="1891"/>
      <c r="BX352" s="1891"/>
      <c r="BY352" s="1892"/>
      <c r="BZ352" s="1891"/>
      <c r="CA352" s="1891"/>
      <c r="CB352" s="1891"/>
      <c r="CC352" s="1891"/>
      <c r="CD352" s="1892"/>
      <c r="CE352" s="1891"/>
      <c r="CF352" s="1891"/>
      <c r="CG352" s="1891"/>
      <c r="CH352" s="1891"/>
      <c r="CI352" s="1892"/>
      <c r="CJ352" s="1891"/>
      <c r="CK352" s="1891"/>
      <c r="CL352" s="1891"/>
      <c r="CM352" s="1891"/>
      <c r="CN352" s="1892"/>
      <c r="CO352" s="1891"/>
      <c r="CP352" s="1891"/>
      <c r="CQ352" s="1891"/>
      <c r="CR352" s="1891"/>
      <c r="CS352" s="1892"/>
      <c r="CT352" s="1891"/>
      <c r="CU352" s="1891"/>
      <c r="CV352" s="1891"/>
      <c r="CW352" s="1891"/>
      <c r="CX352" s="1892"/>
      <c r="CY352" s="1893"/>
      <c r="CZ352" s="1893"/>
      <c r="DA352" s="1893"/>
      <c r="DB352" s="1893"/>
      <c r="DC352" s="1893"/>
      <c r="DD352" s="1893"/>
      <c r="DE352" s="1893"/>
      <c r="DF352" s="1893"/>
      <c r="DG352" s="1893"/>
      <c r="DH352" s="1766"/>
      <c r="DI352" s="1762"/>
      <c r="DJ352" s="1766"/>
      <c r="DK352" s="1894"/>
      <c r="DL352" s="1894"/>
      <c r="DM352" s="1892"/>
      <c r="DN352" s="1892"/>
      <c r="DO352" s="1892"/>
      <c r="DP352" s="1892"/>
      <c r="DQ352" s="1892"/>
      <c r="DR352" s="1993"/>
    </row>
    <row r="353" spans="1:122" hidden="1" outlineLevel="3">
      <c r="A353" s="1900" t="s">
        <v>162</v>
      </c>
      <c r="B353" s="1774">
        <f t="shared" ref="B353:AA353" si="533">B352/B362</f>
        <v>4.518679580944851E-2</v>
      </c>
      <c r="C353" s="1785">
        <f t="shared" si="533"/>
        <v>4.35847208619001E-2</v>
      </c>
      <c r="D353" s="1785">
        <f t="shared" si="533"/>
        <v>0.12401498514403823</v>
      </c>
      <c r="E353" s="1785">
        <f t="shared" si="533"/>
        <v>0.10738440303657695</v>
      </c>
      <c r="F353" s="1785">
        <f t="shared" si="533"/>
        <v>6.1767544464359572E-2</v>
      </c>
      <c r="G353" s="1774">
        <f t="shared" si="533"/>
        <v>8.6479816675480339E-2</v>
      </c>
      <c r="H353" s="1785">
        <f t="shared" si="533"/>
        <v>6.2612961528530853E-2</v>
      </c>
      <c r="I353" s="1785">
        <f t="shared" si="533"/>
        <v>0.15536822386137455</v>
      </c>
      <c r="J353" s="1785">
        <f t="shared" si="533"/>
        <v>5.7817485641352903E-2</v>
      </c>
      <c r="K353" s="1785">
        <f t="shared" si="533"/>
        <v>5.9888406695598265E-2</v>
      </c>
      <c r="L353" s="1774">
        <f t="shared" si="533"/>
        <v>8.5376083511976883E-2</v>
      </c>
      <c r="M353" s="1785">
        <f t="shared" si="533"/>
        <v>7.0724284844796106E-2</v>
      </c>
      <c r="N353" s="1785">
        <f t="shared" si="533"/>
        <v>0.12479070225549099</v>
      </c>
      <c r="O353" s="1785">
        <f t="shared" si="533"/>
        <v>5.776566757493188E-2</v>
      </c>
      <c r="P353" s="1896">
        <f t="shared" si="533"/>
        <v>5.3594489883770989E-2</v>
      </c>
      <c r="Q353" s="1897">
        <f t="shared" si="533"/>
        <v>7.8077915026469394E-2</v>
      </c>
      <c r="R353" s="1902">
        <f t="shared" si="533"/>
        <v>6.6274893894874301E-2</v>
      </c>
      <c r="S353" s="1902">
        <f t="shared" si="533"/>
        <v>0.12691809946385654</v>
      </c>
      <c r="T353" s="1900">
        <f t="shared" si="533"/>
        <v>5.9355509355509359E-2</v>
      </c>
      <c r="U353" s="1900">
        <f t="shared" si="533"/>
        <v>5.7769904536955026E-2</v>
      </c>
      <c r="V353" s="1774">
        <f t="shared" si="533"/>
        <v>7.8918266814114804E-2</v>
      </c>
      <c r="W353" s="1902">
        <f t="shared" si="533"/>
        <v>5.1945385484036544E-2</v>
      </c>
      <c r="X353" s="1902">
        <f t="shared" si="533"/>
        <v>0.13145222607079496</v>
      </c>
      <c r="Y353" s="1902">
        <f t="shared" si="533"/>
        <v>9.6880733944954125E-2</v>
      </c>
      <c r="Z353" s="1900">
        <f t="shared" si="533"/>
        <v>9.6407997289054553E-2</v>
      </c>
      <c r="AA353" s="1774">
        <f t="shared" si="533"/>
        <v>9.6111286753082517E-2</v>
      </c>
      <c r="AB353" s="1902"/>
      <c r="AC353" s="1902"/>
      <c r="AD353" s="1902"/>
      <c r="AE353" s="1900"/>
      <c r="AF353" s="1774"/>
      <c r="AG353" s="1900"/>
      <c r="AH353" s="1902"/>
      <c r="AI353" s="1902"/>
      <c r="AJ353" s="1900"/>
      <c r="AK353" s="1774"/>
      <c r="AL353" s="1900"/>
      <c r="AM353" s="1902"/>
      <c r="AN353" s="1902"/>
      <c r="AO353" s="1903"/>
      <c r="AP353" s="1899"/>
      <c r="AQ353" s="1903"/>
      <c r="AR353" s="1903"/>
      <c r="AS353" s="1903"/>
      <c r="AT353" s="1903"/>
      <c r="AU353" s="1899"/>
      <c r="AV353" s="1903"/>
      <c r="AW353" s="1903"/>
      <c r="AX353" s="1903"/>
      <c r="AY353" s="1903"/>
      <c r="AZ353" s="1899"/>
      <c r="BA353" s="1903"/>
      <c r="BB353" s="1903"/>
      <c r="BC353" s="1903"/>
      <c r="BD353" s="1903"/>
      <c r="BE353" s="1899"/>
      <c r="BF353" s="1903"/>
      <c r="BG353" s="1903"/>
      <c r="BH353" s="1903"/>
      <c r="BI353" s="1903"/>
      <c r="BJ353" s="1899"/>
      <c r="BK353" s="1903"/>
      <c r="BL353" s="1903"/>
      <c r="BM353" s="1903"/>
      <c r="BN353" s="1903"/>
      <c r="BO353" s="1899"/>
      <c r="BP353" s="1903"/>
      <c r="BQ353" s="1903"/>
      <c r="BR353" s="1903"/>
      <c r="BS353" s="1903"/>
      <c r="BT353" s="1899"/>
      <c r="BU353" s="1903"/>
      <c r="BV353" s="1903"/>
      <c r="BW353" s="1903"/>
      <c r="BX353" s="1903"/>
      <c r="BY353" s="1899"/>
      <c r="BZ353" s="1903"/>
      <c r="CA353" s="1903"/>
      <c r="CB353" s="1903"/>
      <c r="CC353" s="1903"/>
      <c r="CD353" s="1899"/>
      <c r="CE353" s="1903"/>
      <c r="CF353" s="1903"/>
      <c r="CG353" s="1903"/>
      <c r="CH353" s="1903"/>
      <c r="CI353" s="1899"/>
      <c r="CJ353" s="1903"/>
      <c r="CK353" s="1903"/>
      <c r="CL353" s="1903"/>
      <c r="CM353" s="1903"/>
      <c r="CN353" s="1899"/>
      <c r="CO353" s="1903"/>
      <c r="CP353" s="1903"/>
      <c r="CQ353" s="1903"/>
      <c r="CR353" s="1903"/>
      <c r="CS353" s="1899"/>
      <c r="CT353" s="1903"/>
      <c r="CU353" s="1903"/>
      <c r="CV353" s="1903"/>
      <c r="CW353" s="1903"/>
      <c r="CX353" s="1899"/>
      <c r="CY353" s="1900"/>
      <c r="CZ353" s="1900"/>
      <c r="DA353" s="1900"/>
      <c r="DB353" s="1900"/>
      <c r="DC353" s="1900"/>
      <c r="DD353" s="1900"/>
      <c r="DE353" s="1900"/>
      <c r="DF353" s="1900"/>
      <c r="DG353" s="1900"/>
      <c r="DH353" s="1773"/>
      <c r="DI353" s="1774"/>
      <c r="DJ353" s="1773"/>
      <c r="DK353" s="1901"/>
      <c r="DL353" s="1901"/>
      <c r="DM353" s="1899"/>
      <c r="DN353" s="1899"/>
      <c r="DO353" s="1899"/>
      <c r="DP353" s="1899"/>
      <c r="DQ353" s="1899"/>
      <c r="DR353" s="1898"/>
    </row>
    <row r="354" spans="1:122" hidden="1" outlineLevel="3">
      <c r="A354" s="1900" t="s">
        <v>163</v>
      </c>
      <c r="B354" s="1774"/>
      <c r="C354" s="1785"/>
      <c r="D354" s="1785"/>
      <c r="E354" s="1785"/>
      <c r="F354" s="1785"/>
      <c r="G354" s="1774">
        <f t="shared" ref="G354:AA354" si="534">G352/B352-1</f>
        <v>1.1461067366579178</v>
      </c>
      <c r="H354" s="1785">
        <f t="shared" si="534"/>
        <v>0.81647940074906367</v>
      </c>
      <c r="I354" s="1785">
        <f t="shared" si="534"/>
        <v>0.3822916666666667</v>
      </c>
      <c r="J354" s="1785">
        <f t="shared" si="534"/>
        <v>-0.4177377892030848</v>
      </c>
      <c r="K354" s="1785">
        <f t="shared" si="534"/>
        <v>7.8125E-2</v>
      </c>
      <c r="L354" s="1774">
        <f t="shared" si="534"/>
        <v>0.12026090501426823</v>
      </c>
      <c r="M354" s="1785">
        <f t="shared" si="534"/>
        <v>0.19793814432989687</v>
      </c>
      <c r="N354" s="1785">
        <f t="shared" si="534"/>
        <v>-4.5214770158251705E-2</v>
      </c>
      <c r="O354" s="1785">
        <f t="shared" si="534"/>
        <v>0.16997792494481234</v>
      </c>
      <c r="P354" s="1896">
        <f t="shared" si="534"/>
        <v>3.105590062111796E-2</v>
      </c>
      <c r="Q354" s="1897">
        <f t="shared" si="534"/>
        <v>4.6579330422125143E-2</v>
      </c>
      <c r="R354" s="1896">
        <f t="shared" si="534"/>
        <v>4.8192771084337283E-2</v>
      </c>
      <c r="S354" s="1896">
        <f t="shared" si="534"/>
        <v>8.3662194159431769E-2</v>
      </c>
      <c r="T354" s="1785">
        <f t="shared" si="534"/>
        <v>7.735849056603783E-2</v>
      </c>
      <c r="U354" s="1785">
        <f t="shared" si="534"/>
        <v>0.17871485943775101</v>
      </c>
      <c r="V354" s="1774">
        <f t="shared" si="534"/>
        <v>9.1794158553546668E-2</v>
      </c>
      <c r="W354" s="1896">
        <f t="shared" si="534"/>
        <v>-0.1691297208538588</v>
      </c>
      <c r="X354" s="1896">
        <f t="shared" si="534"/>
        <v>0.13328477785870363</v>
      </c>
      <c r="Y354" s="1896">
        <f t="shared" si="534"/>
        <v>0.84938704028021017</v>
      </c>
      <c r="Z354" s="1785">
        <f t="shared" si="534"/>
        <v>0.93867120954003402</v>
      </c>
      <c r="AA354" s="1774">
        <f t="shared" si="534"/>
        <v>0.35541401273885342</v>
      </c>
      <c r="AB354" s="1896"/>
      <c r="AC354" s="1896"/>
      <c r="AD354" s="1896"/>
      <c r="AE354" s="1785"/>
      <c r="AF354" s="1774"/>
      <c r="AG354" s="1785"/>
      <c r="AH354" s="1896"/>
      <c r="AI354" s="1896"/>
      <c r="AJ354" s="1785"/>
      <c r="AK354" s="1774"/>
      <c r="AL354" s="1785"/>
      <c r="AM354" s="1896"/>
      <c r="AN354" s="1896"/>
      <c r="AO354" s="1898"/>
      <c r="AP354" s="1899"/>
      <c r="AQ354" s="1898"/>
      <c r="AR354" s="1898"/>
      <c r="AS354" s="1898"/>
      <c r="AT354" s="1898"/>
      <c r="AU354" s="1899"/>
      <c r="AV354" s="1898"/>
      <c r="AW354" s="1898"/>
      <c r="AX354" s="1898"/>
      <c r="AY354" s="1898"/>
      <c r="AZ354" s="1899"/>
      <c r="BA354" s="1898"/>
      <c r="BB354" s="1898"/>
      <c r="BC354" s="1898"/>
      <c r="BD354" s="1898"/>
      <c r="BE354" s="1899"/>
      <c r="BF354" s="1898"/>
      <c r="BG354" s="1898"/>
      <c r="BH354" s="1898"/>
      <c r="BI354" s="1898"/>
      <c r="BJ354" s="1899"/>
      <c r="BK354" s="1898"/>
      <c r="BL354" s="1898"/>
      <c r="BM354" s="1898"/>
      <c r="BN354" s="1898"/>
      <c r="BO354" s="1899"/>
      <c r="BP354" s="1898"/>
      <c r="BQ354" s="1898"/>
      <c r="BR354" s="1898"/>
      <c r="BS354" s="1898"/>
      <c r="BT354" s="1899"/>
      <c r="BU354" s="1898"/>
      <c r="BV354" s="1898"/>
      <c r="BW354" s="1898"/>
      <c r="BX354" s="1898"/>
      <c r="BY354" s="1899"/>
      <c r="BZ354" s="1898"/>
      <c r="CA354" s="1898"/>
      <c r="CB354" s="1898"/>
      <c r="CC354" s="1898"/>
      <c r="CD354" s="1899"/>
      <c r="CE354" s="1898"/>
      <c r="CF354" s="1898"/>
      <c r="CG354" s="1898"/>
      <c r="CH354" s="1898"/>
      <c r="CI354" s="1899"/>
      <c r="CJ354" s="1898"/>
      <c r="CK354" s="1898"/>
      <c r="CL354" s="1898"/>
      <c r="CM354" s="1898"/>
      <c r="CN354" s="1899"/>
      <c r="CO354" s="1898"/>
      <c r="CP354" s="1898"/>
      <c r="CQ354" s="1898"/>
      <c r="CR354" s="1898"/>
      <c r="CS354" s="1899"/>
      <c r="CT354" s="1898"/>
      <c r="CU354" s="1898"/>
      <c r="CV354" s="1898"/>
      <c r="CW354" s="1898"/>
      <c r="CX354" s="1899"/>
      <c r="CY354" s="1900"/>
      <c r="CZ354" s="1900"/>
      <c r="DA354" s="1900"/>
      <c r="DB354" s="1900"/>
      <c r="DC354" s="1900"/>
      <c r="DD354" s="1900"/>
      <c r="DE354" s="1900"/>
      <c r="DF354" s="1900"/>
      <c r="DG354" s="1900"/>
      <c r="DH354" s="1773"/>
      <c r="DI354" s="1774"/>
      <c r="DJ354" s="1773"/>
      <c r="DK354" s="1901"/>
      <c r="DL354" s="1901"/>
      <c r="DM354" s="1899"/>
      <c r="DN354" s="1899"/>
      <c r="DO354" s="1899"/>
      <c r="DP354" s="1899"/>
      <c r="DQ354" s="1899"/>
      <c r="DR354" s="1898"/>
    </row>
    <row r="355" spans="1:122" hidden="1" outlineLevel="3">
      <c r="A355" s="1890" t="s">
        <v>529</v>
      </c>
      <c r="B355" s="1801"/>
      <c r="C355" s="1803"/>
      <c r="D355" s="1803"/>
      <c r="E355" s="1803"/>
      <c r="F355" s="1803"/>
      <c r="G355" s="1801">
        <v>-874000</v>
      </c>
      <c r="H355" s="1803">
        <v>-245000</v>
      </c>
      <c r="I355" s="1803">
        <v>-412000</v>
      </c>
      <c r="J355" s="1803">
        <v>-277000</v>
      </c>
      <c r="K355" s="1803">
        <f>L355-H355-I355-J355</f>
        <v>10000</v>
      </c>
      <c r="L355" s="1801">
        <v>-924000</v>
      </c>
      <c r="M355" s="1803">
        <v>-273000</v>
      </c>
      <c r="N355" s="1803">
        <v>-397000</v>
      </c>
      <c r="O355" s="1803">
        <v>-209000</v>
      </c>
      <c r="P355" s="1887">
        <v>-340000</v>
      </c>
      <c r="Q355" s="1914">
        <f>SUM(M355:P355)</f>
        <v>-1219000</v>
      </c>
      <c r="R355" s="1887">
        <v>-161000</v>
      </c>
      <c r="S355" s="1889">
        <v>52000</v>
      </c>
      <c r="T355" s="1890">
        <v>-175000</v>
      </c>
      <c r="U355" s="1890">
        <v>-201000</v>
      </c>
      <c r="V355" s="1801">
        <f>SUM(R355:U355)</f>
        <v>-485000</v>
      </c>
      <c r="W355" s="1887">
        <v>-162000</v>
      </c>
      <c r="X355" s="1889">
        <v>-298000</v>
      </c>
      <c r="Y355" s="1889">
        <v>-388000</v>
      </c>
      <c r="Z355" s="1890">
        <v>-414000</v>
      </c>
      <c r="AA355" s="1801">
        <f>SUM(W355:Z355)</f>
        <v>-1262000</v>
      </c>
      <c r="AB355" s="1887"/>
      <c r="AC355" s="1889"/>
      <c r="AD355" s="1889"/>
      <c r="AE355" s="1890"/>
      <c r="AF355" s="1801"/>
      <c r="AG355" s="1890"/>
      <c r="AH355" s="1889"/>
      <c r="AI355" s="1889"/>
      <c r="AJ355" s="1890"/>
      <c r="AK355" s="1801"/>
      <c r="AL355" s="1890"/>
      <c r="AM355" s="1889"/>
      <c r="AN355" s="1889"/>
      <c r="AO355" s="1891"/>
      <c r="AP355" s="1908"/>
      <c r="AQ355" s="1891"/>
      <c r="AR355" s="1891"/>
      <c r="AS355" s="1891"/>
      <c r="AT355" s="1891"/>
      <c r="AU355" s="1908"/>
      <c r="AV355" s="1891"/>
      <c r="AW355" s="1891"/>
      <c r="AX355" s="1891"/>
      <c r="AY355" s="1891"/>
      <c r="AZ355" s="1908"/>
      <c r="BA355" s="1891"/>
      <c r="BB355" s="1891"/>
      <c r="BC355" s="1891"/>
      <c r="BD355" s="1891"/>
      <c r="BE355" s="1908"/>
      <c r="BF355" s="1891"/>
      <c r="BG355" s="1891"/>
      <c r="BH355" s="1891"/>
      <c r="BI355" s="1891"/>
      <c r="BJ355" s="1908"/>
      <c r="BK355" s="1891"/>
      <c r="BL355" s="1891"/>
      <c r="BM355" s="1891"/>
      <c r="BN355" s="1891"/>
      <c r="BO355" s="1908"/>
      <c r="BP355" s="1891"/>
      <c r="BQ355" s="1891"/>
      <c r="BR355" s="1891"/>
      <c r="BS355" s="1891"/>
      <c r="BT355" s="1908"/>
      <c r="BU355" s="1891"/>
      <c r="BV355" s="1891"/>
      <c r="BW355" s="1891"/>
      <c r="BX355" s="1891"/>
      <c r="BY355" s="1908"/>
      <c r="BZ355" s="1891"/>
      <c r="CA355" s="1891"/>
      <c r="CB355" s="1891"/>
      <c r="CC355" s="1891"/>
      <c r="CD355" s="1908"/>
      <c r="CE355" s="1891"/>
      <c r="CF355" s="1891"/>
      <c r="CG355" s="1891"/>
      <c r="CH355" s="1891"/>
      <c r="CI355" s="1908"/>
      <c r="CJ355" s="1891"/>
      <c r="CK355" s="1891"/>
      <c r="CL355" s="1891"/>
      <c r="CM355" s="1891"/>
      <c r="CN355" s="1908"/>
      <c r="CO355" s="1891"/>
      <c r="CP355" s="1891"/>
      <c r="CQ355" s="1891"/>
      <c r="CR355" s="1891"/>
      <c r="CS355" s="1908"/>
      <c r="CT355" s="1891"/>
      <c r="CU355" s="1891"/>
      <c r="CV355" s="1891"/>
      <c r="CW355" s="1891"/>
      <c r="CX355" s="1908"/>
      <c r="CY355" s="1890"/>
      <c r="CZ355" s="1890"/>
      <c r="DA355" s="1890"/>
      <c r="DB355" s="1890"/>
      <c r="DC355" s="1890"/>
      <c r="DD355" s="1890"/>
      <c r="DE355" s="1890"/>
      <c r="DF355" s="1890"/>
      <c r="DG355" s="1890"/>
      <c r="DH355" s="1804"/>
      <c r="DI355" s="1801"/>
      <c r="DJ355" s="1804"/>
      <c r="DK355" s="1907"/>
      <c r="DL355" s="1907"/>
      <c r="DM355" s="1908"/>
      <c r="DN355" s="1908"/>
      <c r="DO355" s="1908"/>
      <c r="DP355" s="1908"/>
      <c r="DQ355" s="1908"/>
      <c r="DR355" s="1915"/>
    </row>
    <row r="356" spans="1:122" hidden="1" outlineLevel="3">
      <c r="A356" s="1923" t="s">
        <v>117</v>
      </c>
      <c r="B356" s="1918"/>
      <c r="C356" s="1917"/>
      <c r="D356" s="1917"/>
      <c r="E356" s="1917"/>
      <c r="F356" s="1917"/>
      <c r="G356" s="1918">
        <f>G355/G352</f>
        <v>-0.3562984101100693</v>
      </c>
      <c r="H356" s="1917">
        <f>H355/H352</f>
        <v>-0.50515463917525771</v>
      </c>
      <c r="I356" s="1917">
        <f>I355/I352</f>
        <v>-0.31047475508666167</v>
      </c>
      <c r="J356" s="1917">
        <f>J355/J352</f>
        <v>-0.61147902869757176</v>
      </c>
      <c r="K356" s="1917"/>
      <c r="L356" s="1918">
        <f t="shared" ref="L356:AA356" si="535">L355/L352</f>
        <v>-0.33624454148471616</v>
      </c>
      <c r="M356" s="1917">
        <f t="shared" si="535"/>
        <v>-0.46987951807228917</v>
      </c>
      <c r="N356" s="1917">
        <f t="shared" si="535"/>
        <v>-0.31333859510655093</v>
      </c>
      <c r="O356" s="1917">
        <f t="shared" si="535"/>
        <v>-0.39433962264150946</v>
      </c>
      <c r="P356" s="1919">
        <f t="shared" si="535"/>
        <v>-0.68273092369477917</v>
      </c>
      <c r="Q356" s="1920">
        <f t="shared" si="535"/>
        <v>-0.42385257301808066</v>
      </c>
      <c r="R356" s="1948">
        <f t="shared" si="535"/>
        <v>-0.26436781609195403</v>
      </c>
      <c r="S356" s="1948">
        <f t="shared" si="535"/>
        <v>3.7873270211216316E-2</v>
      </c>
      <c r="T356" s="1923">
        <f t="shared" si="535"/>
        <v>-0.30647985989492121</v>
      </c>
      <c r="U356" s="1923">
        <f t="shared" si="535"/>
        <v>-0.34241908006814309</v>
      </c>
      <c r="V356" s="1918">
        <f t="shared" si="535"/>
        <v>-0.15445859872611464</v>
      </c>
      <c r="W356" s="1948">
        <f t="shared" si="535"/>
        <v>-0.3201581027667984</v>
      </c>
      <c r="X356" s="1948">
        <f t="shared" si="535"/>
        <v>-0.19151670951156813</v>
      </c>
      <c r="Y356" s="1948">
        <f t="shared" si="535"/>
        <v>-0.36742424242424243</v>
      </c>
      <c r="Z356" s="1923">
        <f t="shared" si="535"/>
        <v>-0.36379613356766255</v>
      </c>
      <c r="AA356" s="1918">
        <f t="shared" si="535"/>
        <v>-0.29652255639097747</v>
      </c>
      <c r="AB356" s="1948"/>
      <c r="AC356" s="1948"/>
      <c r="AD356" s="1948"/>
      <c r="AE356" s="1923"/>
      <c r="AF356" s="1918"/>
      <c r="AG356" s="1923"/>
      <c r="AH356" s="1948"/>
      <c r="AI356" s="1948"/>
      <c r="AJ356" s="1923"/>
      <c r="AK356" s="1918"/>
      <c r="AL356" s="1923"/>
      <c r="AM356" s="1948"/>
      <c r="AN356" s="1948"/>
      <c r="AO356" s="1949"/>
      <c r="AP356" s="1922"/>
      <c r="AQ356" s="1949"/>
      <c r="AR356" s="1949"/>
      <c r="AS356" s="1949"/>
      <c r="AT356" s="1949"/>
      <c r="AU356" s="1922"/>
      <c r="AV356" s="1949"/>
      <c r="AW356" s="1949"/>
      <c r="AX356" s="1949"/>
      <c r="AY356" s="1949"/>
      <c r="AZ356" s="1922"/>
      <c r="BA356" s="1949"/>
      <c r="BB356" s="1949"/>
      <c r="BC356" s="1949"/>
      <c r="BD356" s="1949"/>
      <c r="BE356" s="1922"/>
      <c r="BF356" s="1949"/>
      <c r="BG356" s="1949"/>
      <c r="BH356" s="1949"/>
      <c r="BI356" s="1949"/>
      <c r="BJ356" s="1922"/>
      <c r="BK356" s="1949"/>
      <c r="BL356" s="1949"/>
      <c r="BM356" s="1949"/>
      <c r="BN356" s="1949"/>
      <c r="BO356" s="1922"/>
      <c r="BP356" s="1949"/>
      <c r="BQ356" s="1949"/>
      <c r="BR356" s="1949"/>
      <c r="BS356" s="1949"/>
      <c r="BT356" s="1922"/>
      <c r="BU356" s="1949"/>
      <c r="BV356" s="1949"/>
      <c r="BW356" s="1949"/>
      <c r="BX356" s="1949"/>
      <c r="BY356" s="1922"/>
      <c r="BZ356" s="1949"/>
      <c r="CA356" s="1949"/>
      <c r="CB356" s="1949"/>
      <c r="CC356" s="1949"/>
      <c r="CD356" s="1922"/>
      <c r="CE356" s="1949"/>
      <c r="CF356" s="1949"/>
      <c r="CG356" s="1949"/>
      <c r="CH356" s="1949"/>
      <c r="CI356" s="1922"/>
      <c r="CJ356" s="1949"/>
      <c r="CK356" s="1949"/>
      <c r="CL356" s="1949"/>
      <c r="CM356" s="1949"/>
      <c r="CN356" s="1922"/>
      <c r="CO356" s="1949"/>
      <c r="CP356" s="1949"/>
      <c r="CQ356" s="1949"/>
      <c r="CR356" s="1949"/>
      <c r="CS356" s="1922"/>
      <c r="CT356" s="1949"/>
      <c r="CU356" s="1949"/>
      <c r="CV356" s="1949"/>
      <c r="CW356" s="1949"/>
      <c r="CX356" s="1922"/>
      <c r="CY356" s="1923"/>
      <c r="CZ356" s="1923"/>
      <c r="DA356" s="1923"/>
      <c r="DB356" s="1923"/>
      <c r="DC356" s="1923"/>
      <c r="DD356" s="1923"/>
      <c r="DE356" s="1923"/>
      <c r="DF356" s="1923"/>
      <c r="DG356" s="1923"/>
      <c r="DH356" s="1924"/>
      <c r="DI356" s="1918"/>
      <c r="DJ356" s="1924"/>
      <c r="DK356" s="1925"/>
      <c r="DL356" s="1925"/>
      <c r="DM356" s="1922"/>
      <c r="DN356" s="1922"/>
      <c r="DO356" s="1922"/>
      <c r="DP356" s="1922"/>
      <c r="DQ356" s="1922"/>
      <c r="DR356" s="1921"/>
    </row>
    <row r="357" spans="1:122" hidden="1" outlineLevel="3">
      <c r="A357" s="1893"/>
      <c r="B357" s="1762"/>
      <c r="C357" s="1803"/>
      <c r="D357" s="1803"/>
      <c r="E357" s="1803"/>
      <c r="F357" s="1803"/>
      <c r="G357" s="1762"/>
      <c r="H357" s="1803"/>
      <c r="I357" s="1803"/>
      <c r="J357" s="1803"/>
      <c r="K357" s="1803"/>
      <c r="L357" s="1762"/>
      <c r="M357" s="1803"/>
      <c r="N357" s="1803"/>
      <c r="O357" s="1803"/>
      <c r="P357" s="1887"/>
      <c r="Q357" s="1888"/>
      <c r="R357" s="1928"/>
      <c r="S357" s="1928"/>
      <c r="T357" s="1893"/>
      <c r="U357" s="1893"/>
      <c r="V357" s="1929"/>
      <c r="W357" s="1928"/>
      <c r="X357" s="1928"/>
      <c r="Y357" s="1928"/>
      <c r="Z357" s="1893"/>
      <c r="AA357" s="1929"/>
      <c r="AB357" s="1928"/>
      <c r="AC357" s="1928"/>
      <c r="AD357" s="1928"/>
      <c r="AE357" s="1893"/>
      <c r="AF357" s="1929"/>
      <c r="AG357" s="1893"/>
      <c r="AH357" s="1928"/>
      <c r="AI357" s="1928"/>
      <c r="AJ357" s="1893"/>
      <c r="AK357" s="1929"/>
      <c r="AL357" s="1893"/>
      <c r="AM357" s="1928"/>
      <c r="AN357" s="1928"/>
      <c r="AO357" s="1980"/>
      <c r="AP357" s="2065"/>
      <c r="AQ357" s="1980"/>
      <c r="AR357" s="1980"/>
      <c r="AS357" s="1980"/>
      <c r="AT357" s="1980"/>
      <c r="AU357" s="2065"/>
      <c r="AV357" s="1980"/>
      <c r="AW357" s="1980"/>
      <c r="AX357" s="1980"/>
      <c r="AY357" s="1980"/>
      <c r="AZ357" s="2065"/>
      <c r="BA357" s="1980"/>
      <c r="BB357" s="1980"/>
      <c r="BC357" s="1980"/>
      <c r="BD357" s="1980"/>
      <c r="BE357" s="2065"/>
      <c r="BF357" s="1980"/>
      <c r="BG357" s="1980"/>
      <c r="BH357" s="1980"/>
      <c r="BI357" s="1980"/>
      <c r="BJ357" s="2065"/>
      <c r="BK357" s="1980"/>
      <c r="BL357" s="1980"/>
      <c r="BM357" s="1980"/>
      <c r="BN357" s="1980"/>
      <c r="BO357" s="2065"/>
      <c r="BP357" s="1980"/>
      <c r="BQ357" s="1980"/>
      <c r="BR357" s="1980"/>
      <c r="BS357" s="1980"/>
      <c r="BT357" s="2065"/>
      <c r="BU357" s="1980"/>
      <c r="BV357" s="1980"/>
      <c r="BW357" s="1980"/>
      <c r="BX357" s="1980"/>
      <c r="BY357" s="2065"/>
      <c r="BZ357" s="1980"/>
      <c r="CA357" s="1980"/>
      <c r="CB357" s="1980"/>
      <c r="CC357" s="1980"/>
      <c r="CD357" s="2065"/>
      <c r="CE357" s="1980"/>
      <c r="CF357" s="1980"/>
      <c r="CG357" s="1980"/>
      <c r="CH357" s="1980"/>
      <c r="CI357" s="2065"/>
      <c r="CJ357" s="1980"/>
      <c r="CK357" s="1980"/>
      <c r="CL357" s="1980"/>
      <c r="CM357" s="1980"/>
      <c r="CN357" s="2065"/>
      <c r="CO357" s="1980"/>
      <c r="CP357" s="1980"/>
      <c r="CQ357" s="1980"/>
      <c r="CR357" s="1980"/>
      <c r="CS357" s="2065"/>
      <c r="CT357" s="1980"/>
      <c r="CU357" s="1980"/>
      <c r="CV357" s="1980"/>
      <c r="CW357" s="1980"/>
      <c r="CX357" s="2065"/>
      <c r="CY357" s="1893"/>
      <c r="CZ357" s="1893"/>
      <c r="DA357" s="1893"/>
      <c r="DB357" s="1893"/>
      <c r="DC357" s="1893"/>
      <c r="DD357" s="1893"/>
      <c r="DE357" s="1893"/>
      <c r="DF357" s="1893"/>
      <c r="DG357" s="1893"/>
      <c r="DH357" s="1976"/>
      <c r="DI357" s="1929"/>
      <c r="DJ357" s="1976"/>
      <c r="DK357" s="2066"/>
      <c r="DL357" s="2066"/>
      <c r="DM357" s="2065"/>
      <c r="DN357" s="2065"/>
      <c r="DO357" s="2065"/>
      <c r="DP357" s="2065"/>
      <c r="DQ357" s="2065"/>
      <c r="DR357" s="3066"/>
    </row>
    <row r="358" spans="1:122" hidden="1" outlineLevel="3">
      <c r="A358" s="2056" t="s">
        <v>280</v>
      </c>
      <c r="B358" s="1762">
        <v>222000</v>
      </c>
      <c r="C358" s="1803">
        <v>82000</v>
      </c>
      <c r="D358" s="1803">
        <v>77000</v>
      </c>
      <c r="E358" s="1803">
        <v>33000</v>
      </c>
      <c r="F358" s="1803">
        <v>0</v>
      </c>
      <c r="G358" s="1762">
        <f>SUM(C358:F358)</f>
        <v>192000</v>
      </c>
      <c r="H358" s="1803">
        <v>0</v>
      </c>
      <c r="I358" s="1803">
        <v>0</v>
      </c>
      <c r="J358" s="1803">
        <v>0</v>
      </c>
      <c r="K358" s="1803">
        <v>0</v>
      </c>
      <c r="L358" s="1762">
        <f>SUM(H358:K358)</f>
        <v>0</v>
      </c>
      <c r="M358" s="1803">
        <v>0</v>
      </c>
      <c r="N358" s="1803">
        <v>0</v>
      </c>
      <c r="O358" s="1803">
        <v>0</v>
      </c>
      <c r="P358" s="1887">
        <v>0</v>
      </c>
      <c r="Q358" s="1888">
        <f>SUM(M358:P358)</f>
        <v>0</v>
      </c>
      <c r="R358" s="1889">
        <v>0</v>
      </c>
      <c r="S358" s="1889">
        <v>0</v>
      </c>
      <c r="T358" s="1890">
        <v>0</v>
      </c>
      <c r="U358" s="1890">
        <v>0</v>
      </c>
      <c r="V358" s="1762">
        <f>SUM(R358:U358)</f>
        <v>0</v>
      </c>
      <c r="W358" s="1889">
        <v>0</v>
      </c>
      <c r="X358" s="1889">
        <v>0</v>
      </c>
      <c r="Y358" s="1889">
        <v>0</v>
      </c>
      <c r="Z358" s="1890">
        <v>0</v>
      </c>
      <c r="AA358" s="1762">
        <f>SUM(W358:Z358)</f>
        <v>0</v>
      </c>
      <c r="AB358" s="1889"/>
      <c r="AC358" s="1889"/>
      <c r="AD358" s="1889"/>
      <c r="AE358" s="1890"/>
      <c r="AF358" s="1762"/>
      <c r="AG358" s="1890"/>
      <c r="AH358" s="1889"/>
      <c r="AI358" s="1889"/>
      <c r="AJ358" s="1890"/>
      <c r="AK358" s="1762"/>
      <c r="AL358" s="1890"/>
      <c r="AM358" s="1889"/>
      <c r="AN358" s="1889"/>
      <c r="AO358" s="1891"/>
      <c r="AP358" s="1892"/>
      <c r="AQ358" s="1891"/>
      <c r="AR358" s="1891"/>
      <c r="AS358" s="1891"/>
      <c r="AT358" s="1891"/>
      <c r="AU358" s="1892"/>
      <c r="AV358" s="1891"/>
      <c r="AW358" s="1891"/>
      <c r="AX358" s="1891"/>
      <c r="AY358" s="1891"/>
      <c r="AZ358" s="1892"/>
      <c r="BA358" s="1891"/>
      <c r="BB358" s="1891"/>
      <c r="BC358" s="1891"/>
      <c r="BD358" s="1891"/>
      <c r="BE358" s="1892"/>
      <c r="BF358" s="1891"/>
      <c r="BG358" s="1891"/>
      <c r="BH358" s="1891"/>
      <c r="BI358" s="1891"/>
      <c r="BJ358" s="1892"/>
      <c r="BK358" s="1891"/>
      <c r="BL358" s="1891"/>
      <c r="BM358" s="1891"/>
      <c r="BN358" s="1891"/>
      <c r="BO358" s="1892"/>
      <c r="BP358" s="1891"/>
      <c r="BQ358" s="1891"/>
      <c r="BR358" s="1891"/>
      <c r="BS358" s="1891"/>
      <c r="BT358" s="1892"/>
      <c r="BU358" s="1891"/>
      <c r="BV358" s="1891"/>
      <c r="BW358" s="1891"/>
      <c r="BX358" s="1891"/>
      <c r="BY358" s="1892"/>
      <c r="BZ358" s="1891"/>
      <c r="CA358" s="1891"/>
      <c r="CB358" s="1891"/>
      <c r="CC358" s="1891"/>
      <c r="CD358" s="1892"/>
      <c r="CE358" s="1891"/>
      <c r="CF358" s="1891"/>
      <c r="CG358" s="1891"/>
      <c r="CH358" s="1891"/>
      <c r="CI358" s="1892"/>
      <c r="CJ358" s="1891"/>
      <c r="CK358" s="1891"/>
      <c r="CL358" s="1891"/>
      <c r="CM358" s="1891"/>
      <c r="CN358" s="1892"/>
      <c r="CO358" s="1891"/>
      <c r="CP358" s="1891"/>
      <c r="CQ358" s="1891"/>
      <c r="CR358" s="1891"/>
      <c r="CS358" s="1892"/>
      <c r="CT358" s="1891"/>
      <c r="CU358" s="1891"/>
      <c r="CV358" s="1891"/>
      <c r="CW358" s="1891"/>
      <c r="CX358" s="1892"/>
      <c r="CY358" s="1893"/>
      <c r="CZ358" s="1893"/>
      <c r="DA358" s="1893"/>
      <c r="DB358" s="1893"/>
      <c r="DC358" s="1893"/>
      <c r="DD358" s="1893"/>
      <c r="DE358" s="1893"/>
      <c r="DF358" s="1893"/>
      <c r="DG358" s="1893"/>
      <c r="DH358" s="1766"/>
      <c r="DI358" s="1762"/>
      <c r="DJ358" s="1766"/>
      <c r="DK358" s="1894"/>
      <c r="DL358" s="1894"/>
      <c r="DM358" s="1892"/>
      <c r="DN358" s="1892"/>
      <c r="DO358" s="1892"/>
      <c r="DP358" s="1892"/>
      <c r="DQ358" s="1892"/>
      <c r="DR358" s="1993"/>
    </row>
    <row r="359" spans="1:122" hidden="1" outlineLevel="3">
      <c r="A359" s="1973" t="s">
        <v>162</v>
      </c>
      <c r="B359" s="2057">
        <f t="shared" ref="B359:AA359" si="536">B358/B362</f>
        <v>8.7764380312314681E-3</v>
      </c>
      <c r="C359" s="1959">
        <f t="shared" si="536"/>
        <v>1.3385569702905649E-2</v>
      </c>
      <c r="D359" s="1959">
        <f t="shared" si="536"/>
        <v>9.9470352667614011E-3</v>
      </c>
      <c r="E359" s="1959">
        <f t="shared" si="536"/>
        <v>4.5548654244306416E-3</v>
      </c>
      <c r="F359" s="1959">
        <f t="shared" si="536"/>
        <v>0</v>
      </c>
      <c r="G359" s="2057">
        <f t="shared" si="536"/>
        <v>6.7689053410893707E-3</v>
      </c>
      <c r="H359" s="1959">
        <f t="shared" si="536"/>
        <v>0</v>
      </c>
      <c r="I359" s="1959">
        <f t="shared" si="536"/>
        <v>0</v>
      </c>
      <c r="J359" s="1959">
        <f t="shared" si="536"/>
        <v>0</v>
      </c>
      <c r="K359" s="1959">
        <f t="shared" si="536"/>
        <v>0</v>
      </c>
      <c r="L359" s="2057">
        <f t="shared" si="536"/>
        <v>0</v>
      </c>
      <c r="M359" s="1959">
        <f t="shared" si="536"/>
        <v>0</v>
      </c>
      <c r="N359" s="1959">
        <f t="shared" si="536"/>
        <v>0</v>
      </c>
      <c r="O359" s="1959">
        <f t="shared" si="536"/>
        <v>0</v>
      </c>
      <c r="P359" s="2058">
        <f t="shared" si="536"/>
        <v>0</v>
      </c>
      <c r="Q359" s="2059">
        <f t="shared" si="536"/>
        <v>0</v>
      </c>
      <c r="R359" s="2060">
        <f t="shared" si="536"/>
        <v>0</v>
      </c>
      <c r="S359" s="2060">
        <f t="shared" si="536"/>
        <v>0</v>
      </c>
      <c r="T359" s="1973">
        <f t="shared" si="536"/>
        <v>0</v>
      </c>
      <c r="U359" s="1973">
        <f t="shared" si="536"/>
        <v>0</v>
      </c>
      <c r="V359" s="2057">
        <f t="shared" si="536"/>
        <v>0</v>
      </c>
      <c r="W359" s="2060">
        <f t="shared" si="536"/>
        <v>0</v>
      </c>
      <c r="X359" s="2060">
        <f t="shared" si="536"/>
        <v>0</v>
      </c>
      <c r="Y359" s="2060">
        <f t="shared" si="536"/>
        <v>0</v>
      </c>
      <c r="Z359" s="1973">
        <f t="shared" si="536"/>
        <v>0</v>
      </c>
      <c r="AA359" s="2057">
        <f t="shared" si="536"/>
        <v>0</v>
      </c>
      <c r="AB359" s="2060"/>
      <c r="AC359" s="2060"/>
      <c r="AD359" s="2060"/>
      <c r="AE359" s="1973"/>
      <c r="AF359" s="2057"/>
      <c r="AG359" s="1973"/>
      <c r="AH359" s="2060"/>
      <c r="AI359" s="2060"/>
      <c r="AJ359" s="1973"/>
      <c r="AK359" s="2057"/>
      <c r="AL359" s="1973"/>
      <c r="AM359" s="2060"/>
      <c r="AN359" s="2060"/>
      <c r="AO359" s="2061"/>
      <c r="AP359" s="2062"/>
      <c r="AQ359" s="2061"/>
      <c r="AR359" s="2061"/>
      <c r="AS359" s="2061"/>
      <c r="AT359" s="2061"/>
      <c r="AU359" s="2062"/>
      <c r="AV359" s="2061"/>
      <c r="AW359" s="2061"/>
      <c r="AX359" s="2061"/>
      <c r="AY359" s="2061"/>
      <c r="AZ359" s="2062"/>
      <c r="BA359" s="2061"/>
      <c r="BB359" s="2061"/>
      <c r="BC359" s="2061"/>
      <c r="BD359" s="2061"/>
      <c r="BE359" s="2062"/>
      <c r="BF359" s="2061"/>
      <c r="BG359" s="2061"/>
      <c r="BH359" s="2061"/>
      <c r="BI359" s="2061"/>
      <c r="BJ359" s="2062"/>
      <c r="BK359" s="2061"/>
      <c r="BL359" s="2061"/>
      <c r="BM359" s="2061"/>
      <c r="BN359" s="2061"/>
      <c r="BO359" s="2062"/>
      <c r="BP359" s="2061"/>
      <c r="BQ359" s="2061"/>
      <c r="BR359" s="2061"/>
      <c r="BS359" s="2061"/>
      <c r="BT359" s="2062"/>
      <c r="BU359" s="2061"/>
      <c r="BV359" s="2061"/>
      <c r="BW359" s="2061"/>
      <c r="BX359" s="2061"/>
      <c r="BY359" s="2062"/>
      <c r="BZ359" s="2061"/>
      <c r="CA359" s="2061"/>
      <c r="CB359" s="2061"/>
      <c r="CC359" s="2061"/>
      <c r="CD359" s="2062"/>
      <c r="CE359" s="2061"/>
      <c r="CF359" s="2061"/>
      <c r="CG359" s="2061"/>
      <c r="CH359" s="2061"/>
      <c r="CI359" s="2062"/>
      <c r="CJ359" s="2061"/>
      <c r="CK359" s="2061"/>
      <c r="CL359" s="2061"/>
      <c r="CM359" s="2061"/>
      <c r="CN359" s="2062"/>
      <c r="CO359" s="2061"/>
      <c r="CP359" s="2061"/>
      <c r="CQ359" s="2061"/>
      <c r="CR359" s="2061"/>
      <c r="CS359" s="2062"/>
      <c r="CT359" s="2061"/>
      <c r="CU359" s="2061"/>
      <c r="CV359" s="2061"/>
      <c r="CW359" s="2061"/>
      <c r="CX359" s="2062"/>
      <c r="CY359" s="1973"/>
      <c r="CZ359" s="1973"/>
      <c r="DA359" s="1973"/>
      <c r="DB359" s="1973"/>
      <c r="DC359" s="1973"/>
      <c r="DD359" s="1973"/>
      <c r="DE359" s="1973"/>
      <c r="DF359" s="1973"/>
      <c r="DG359" s="1973"/>
      <c r="DH359" s="2063"/>
      <c r="DI359" s="2057"/>
      <c r="DJ359" s="2063"/>
      <c r="DK359" s="2064"/>
      <c r="DL359" s="2064"/>
      <c r="DM359" s="2062"/>
      <c r="DN359" s="2062"/>
      <c r="DO359" s="2062"/>
      <c r="DP359" s="2062"/>
      <c r="DQ359" s="2062"/>
      <c r="DR359" s="3065"/>
    </row>
    <row r="360" spans="1:122" hidden="1" outlineLevel="3">
      <c r="A360" s="1890" t="s">
        <v>529</v>
      </c>
      <c r="B360" s="1801"/>
      <c r="C360" s="1803"/>
      <c r="D360" s="1803"/>
      <c r="E360" s="1803"/>
      <c r="F360" s="1803"/>
      <c r="G360" s="1801"/>
      <c r="H360" s="1803"/>
      <c r="I360" s="1803"/>
      <c r="J360" s="1803"/>
      <c r="K360" s="1803"/>
      <c r="L360" s="1801"/>
      <c r="M360" s="1803">
        <v>-771000</v>
      </c>
      <c r="N360" s="1803">
        <v>-1500000</v>
      </c>
      <c r="O360" s="1803">
        <v>-3370000</v>
      </c>
      <c r="P360" s="1887">
        <v>-1105000</v>
      </c>
      <c r="Q360" s="1914">
        <v>-4655000</v>
      </c>
      <c r="R360" s="1889">
        <v>-1385000</v>
      </c>
      <c r="S360" s="1889">
        <v>-937000</v>
      </c>
      <c r="T360" s="1890">
        <v>-1736000</v>
      </c>
      <c r="U360" s="1890">
        <v>-1813000</v>
      </c>
      <c r="V360" s="1801">
        <f>SUM(R360:U360)</f>
        <v>-5871000</v>
      </c>
      <c r="W360" s="1889">
        <v>-1279000</v>
      </c>
      <c r="X360" s="1889">
        <v>-971000</v>
      </c>
      <c r="Y360" s="1889">
        <v>-1295000</v>
      </c>
      <c r="Z360" s="1890">
        <v>-1443000</v>
      </c>
      <c r="AA360" s="1801">
        <f>SUM(W360:Z360)</f>
        <v>-4988000</v>
      </c>
      <c r="AB360" s="1889"/>
      <c r="AC360" s="1889"/>
      <c r="AD360" s="1889"/>
      <c r="AE360" s="1890"/>
      <c r="AF360" s="1801"/>
      <c r="AG360" s="1890"/>
      <c r="AH360" s="1889"/>
      <c r="AI360" s="1889"/>
      <c r="AJ360" s="1890"/>
      <c r="AK360" s="1801"/>
      <c r="AL360" s="1890"/>
      <c r="AM360" s="1889"/>
      <c r="AN360" s="1889"/>
      <c r="AO360" s="1891"/>
      <c r="AP360" s="1908"/>
      <c r="AQ360" s="1891"/>
      <c r="AR360" s="1891"/>
      <c r="AS360" s="1891"/>
      <c r="AT360" s="1891"/>
      <c r="AU360" s="1908"/>
      <c r="AV360" s="1891"/>
      <c r="AW360" s="1891"/>
      <c r="AX360" s="1891"/>
      <c r="AY360" s="1891"/>
      <c r="AZ360" s="1908"/>
      <c r="BA360" s="1891"/>
      <c r="BB360" s="1891"/>
      <c r="BC360" s="1891"/>
      <c r="BD360" s="1891"/>
      <c r="BE360" s="1908"/>
      <c r="BF360" s="1891"/>
      <c r="BG360" s="1891"/>
      <c r="BH360" s="1891"/>
      <c r="BI360" s="1891"/>
      <c r="BJ360" s="1908"/>
      <c r="BK360" s="1891"/>
      <c r="BL360" s="1891"/>
      <c r="BM360" s="1891"/>
      <c r="BN360" s="1891"/>
      <c r="BO360" s="1908"/>
      <c r="BP360" s="1891"/>
      <c r="BQ360" s="1891"/>
      <c r="BR360" s="1891"/>
      <c r="BS360" s="1891"/>
      <c r="BT360" s="1908"/>
      <c r="BU360" s="1891"/>
      <c r="BV360" s="1891"/>
      <c r="BW360" s="1891"/>
      <c r="BX360" s="1891"/>
      <c r="BY360" s="1908"/>
      <c r="BZ360" s="1891"/>
      <c r="CA360" s="1891"/>
      <c r="CB360" s="1891"/>
      <c r="CC360" s="1891"/>
      <c r="CD360" s="1908"/>
      <c r="CE360" s="1891"/>
      <c r="CF360" s="1891"/>
      <c r="CG360" s="1891"/>
      <c r="CH360" s="1891"/>
      <c r="CI360" s="1908"/>
      <c r="CJ360" s="1891"/>
      <c r="CK360" s="1891"/>
      <c r="CL360" s="1891"/>
      <c r="CM360" s="1891"/>
      <c r="CN360" s="1908"/>
      <c r="CO360" s="1891"/>
      <c r="CP360" s="1891"/>
      <c r="CQ360" s="1891"/>
      <c r="CR360" s="1891"/>
      <c r="CS360" s="1908"/>
      <c r="CT360" s="1891"/>
      <c r="CU360" s="1891"/>
      <c r="CV360" s="1891"/>
      <c r="CW360" s="1891"/>
      <c r="CX360" s="1908"/>
      <c r="CY360" s="1890"/>
      <c r="CZ360" s="1890"/>
      <c r="DA360" s="1890"/>
      <c r="DB360" s="1890"/>
      <c r="DC360" s="1890"/>
      <c r="DD360" s="1890"/>
      <c r="DE360" s="1890"/>
      <c r="DF360" s="1890"/>
      <c r="DG360" s="1890"/>
      <c r="DH360" s="1804"/>
      <c r="DI360" s="1801"/>
      <c r="DJ360" s="1804"/>
      <c r="DK360" s="1907"/>
      <c r="DL360" s="1907"/>
      <c r="DM360" s="1908"/>
      <c r="DN360" s="1908"/>
      <c r="DO360" s="1908"/>
      <c r="DP360" s="1908"/>
      <c r="DQ360" s="1908"/>
      <c r="DR360" s="1915"/>
    </row>
    <row r="361" spans="1:122" hidden="1" outlineLevel="3">
      <c r="A361" s="1893"/>
      <c r="B361" s="1762"/>
      <c r="C361" s="1803"/>
      <c r="D361" s="1803"/>
      <c r="E361" s="1803"/>
      <c r="F361" s="1803"/>
      <c r="G361" s="1762"/>
      <c r="H361" s="1803"/>
      <c r="I361" s="1803"/>
      <c r="J361" s="1803"/>
      <c r="K361" s="1803"/>
      <c r="L361" s="1762"/>
      <c r="M361" s="1803"/>
      <c r="N361" s="1978"/>
      <c r="O361" s="1803"/>
      <c r="P361" s="1887"/>
      <c r="Q361" s="1888"/>
      <c r="R361" s="1928"/>
      <c r="S361" s="1928"/>
      <c r="T361" s="1893"/>
      <c r="U361" s="1893"/>
      <c r="V361" s="1929"/>
      <c r="W361" s="1928"/>
      <c r="X361" s="1928"/>
      <c r="Y361" s="1928"/>
      <c r="Z361" s="1893"/>
      <c r="AA361" s="1929"/>
      <c r="AB361" s="1928"/>
      <c r="AC361" s="1928"/>
      <c r="AD361" s="1928"/>
      <c r="AE361" s="1893"/>
      <c r="AF361" s="1929"/>
      <c r="AG361" s="1893"/>
      <c r="AH361" s="1928"/>
      <c r="AI361" s="1928"/>
      <c r="AJ361" s="1893"/>
      <c r="AK361" s="1929"/>
      <c r="AL361" s="1893"/>
      <c r="AM361" s="1928"/>
      <c r="AN361" s="1928"/>
      <c r="AO361" s="1980"/>
      <c r="AP361" s="1981"/>
      <c r="AQ361" s="1980"/>
      <c r="AR361" s="1980"/>
      <c r="AS361" s="1980"/>
      <c r="AT361" s="1980"/>
      <c r="AU361" s="1981"/>
      <c r="AV361" s="1980"/>
      <c r="AW361" s="1980"/>
      <c r="AX361" s="1980"/>
      <c r="AY361" s="1980"/>
      <c r="AZ361" s="1981"/>
      <c r="BA361" s="1980"/>
      <c r="BB361" s="1980"/>
      <c r="BC361" s="1980"/>
      <c r="BD361" s="1980"/>
      <c r="BE361" s="1981"/>
      <c r="BF361" s="1980"/>
      <c r="BG361" s="1980"/>
      <c r="BH361" s="1980"/>
      <c r="BI361" s="1980"/>
      <c r="BJ361" s="1981"/>
      <c r="BK361" s="1980"/>
      <c r="BL361" s="1980"/>
      <c r="BM361" s="1980"/>
      <c r="BN361" s="1980"/>
      <c r="BO361" s="1981"/>
      <c r="BP361" s="1980"/>
      <c r="BQ361" s="1980"/>
      <c r="BR361" s="1980"/>
      <c r="BS361" s="1980"/>
      <c r="BT361" s="1981"/>
      <c r="BU361" s="1980"/>
      <c r="BV361" s="1980"/>
      <c r="BW361" s="1980"/>
      <c r="BX361" s="1980"/>
      <c r="BY361" s="1981"/>
      <c r="BZ361" s="1980"/>
      <c r="CA361" s="1980"/>
      <c r="CB361" s="1980"/>
      <c r="CC361" s="1980"/>
      <c r="CD361" s="1981"/>
      <c r="CE361" s="1980"/>
      <c r="CF361" s="1980"/>
      <c r="CG361" s="1980"/>
      <c r="CH361" s="1980"/>
      <c r="CI361" s="1981"/>
      <c r="CJ361" s="1980"/>
      <c r="CK361" s="1980"/>
      <c r="CL361" s="1980"/>
      <c r="CM361" s="1980"/>
      <c r="CN361" s="1981"/>
      <c r="CO361" s="1980"/>
      <c r="CP361" s="1980"/>
      <c r="CQ361" s="1980"/>
      <c r="CR361" s="1980"/>
      <c r="CS361" s="1981"/>
      <c r="CT361" s="1980"/>
      <c r="CU361" s="1980"/>
      <c r="CV361" s="1980"/>
      <c r="CW361" s="1980"/>
      <c r="CX361" s="1981"/>
      <c r="CY361" s="1893"/>
      <c r="CZ361" s="1893"/>
      <c r="DA361" s="1893"/>
      <c r="DB361" s="1893"/>
      <c r="DC361" s="1893"/>
      <c r="DD361" s="1893"/>
      <c r="DE361" s="1893"/>
      <c r="DF361" s="1893"/>
      <c r="DG361" s="1893"/>
      <c r="DH361" s="1982"/>
      <c r="DI361" s="1979"/>
      <c r="DJ361" s="1982"/>
      <c r="DK361" s="1983"/>
      <c r="DL361" s="1983"/>
      <c r="DM361" s="1981"/>
      <c r="DN361" s="1981"/>
      <c r="DO361" s="1981"/>
      <c r="DP361" s="1981"/>
      <c r="DQ361" s="1981"/>
      <c r="DR361" s="3061"/>
    </row>
    <row r="362" spans="1:122" hidden="1" outlineLevel="3">
      <c r="A362" s="2067" t="s">
        <v>743</v>
      </c>
      <c r="B362" s="2068">
        <f t="shared" ref="B362:AA362" si="537">B315+B322+B328+B334+B340+B346+B352+B358</f>
        <v>25295000</v>
      </c>
      <c r="C362" s="2068">
        <f t="shared" si="537"/>
        <v>6126000</v>
      </c>
      <c r="D362" s="2068">
        <f t="shared" si="537"/>
        <v>7741000</v>
      </c>
      <c r="E362" s="2068">
        <f t="shared" si="537"/>
        <v>7245000</v>
      </c>
      <c r="F362" s="2068">
        <f t="shared" si="537"/>
        <v>7253000</v>
      </c>
      <c r="G362" s="2068">
        <f t="shared" si="537"/>
        <v>28365000</v>
      </c>
      <c r="H362" s="2068">
        <f t="shared" si="537"/>
        <v>7746000</v>
      </c>
      <c r="I362" s="2068">
        <f t="shared" si="537"/>
        <v>8541000</v>
      </c>
      <c r="J362" s="2068">
        <f t="shared" si="537"/>
        <v>7835000</v>
      </c>
      <c r="K362" s="2068">
        <f t="shared" si="537"/>
        <v>8065000</v>
      </c>
      <c r="L362" s="2068">
        <f t="shared" si="537"/>
        <v>32187000</v>
      </c>
      <c r="M362" s="2068">
        <f t="shared" si="537"/>
        <v>8215000</v>
      </c>
      <c r="N362" s="2068">
        <f t="shared" si="537"/>
        <v>10153000</v>
      </c>
      <c r="O362" s="2068">
        <f t="shared" si="537"/>
        <v>9175000</v>
      </c>
      <c r="P362" s="2068">
        <f t="shared" si="537"/>
        <v>9292000</v>
      </c>
      <c r="Q362" s="2068">
        <f t="shared" si="537"/>
        <v>36835000</v>
      </c>
      <c r="R362" s="2068">
        <f t="shared" si="537"/>
        <v>9189000</v>
      </c>
      <c r="S362" s="2068">
        <f t="shared" si="537"/>
        <v>10818000</v>
      </c>
      <c r="T362" s="2068">
        <f t="shared" si="537"/>
        <v>9620000</v>
      </c>
      <c r="U362" s="2068">
        <f t="shared" si="537"/>
        <v>10161000</v>
      </c>
      <c r="V362" s="2068">
        <f t="shared" si="537"/>
        <v>39788000</v>
      </c>
      <c r="W362" s="2068">
        <f t="shared" si="537"/>
        <v>9741000</v>
      </c>
      <c r="X362" s="2068">
        <f t="shared" si="537"/>
        <v>11837000</v>
      </c>
      <c r="Y362" s="2068">
        <f t="shared" si="537"/>
        <v>10900000</v>
      </c>
      <c r="Z362" s="2068">
        <f t="shared" si="537"/>
        <v>11804000</v>
      </c>
      <c r="AA362" s="2068">
        <f t="shared" si="537"/>
        <v>44282000</v>
      </c>
      <c r="AB362" s="2068"/>
      <c r="AC362" s="2068"/>
      <c r="AD362" s="2068"/>
      <c r="AE362" s="2068"/>
      <c r="AF362" s="2068"/>
      <c r="AG362" s="2068"/>
      <c r="AH362" s="2068"/>
      <c r="AI362" s="2068"/>
      <c r="AJ362" s="2068"/>
      <c r="AK362" s="2068"/>
      <c r="AL362" s="2068"/>
      <c r="AM362" s="2068"/>
      <c r="AN362" s="2068"/>
      <c r="AO362" s="2069"/>
      <c r="AP362" s="2069"/>
      <c r="AQ362" s="2069"/>
      <c r="AR362" s="2069"/>
      <c r="AS362" s="2069"/>
      <c r="AT362" s="2069"/>
      <c r="AU362" s="2069"/>
      <c r="AV362" s="2069"/>
      <c r="AW362" s="2069"/>
      <c r="AX362" s="2069"/>
      <c r="AY362" s="2069"/>
      <c r="AZ362" s="2070"/>
      <c r="BA362" s="2069"/>
      <c r="BB362" s="2069"/>
      <c r="BC362" s="2069"/>
      <c r="BD362" s="2069"/>
      <c r="BE362" s="2070"/>
      <c r="BF362" s="2069"/>
      <c r="BG362" s="2069"/>
      <c r="BH362" s="2069"/>
      <c r="BI362" s="2069"/>
      <c r="BJ362" s="2070"/>
      <c r="BK362" s="2069"/>
      <c r="BL362" s="2069"/>
      <c r="BM362" s="2069"/>
      <c r="BN362" s="2069"/>
      <c r="BO362" s="2070"/>
      <c r="BP362" s="2069"/>
      <c r="BQ362" s="2069"/>
      <c r="BR362" s="2069"/>
      <c r="BS362" s="2069"/>
      <c r="BT362" s="2070"/>
      <c r="BU362" s="2069"/>
      <c r="BV362" s="2069"/>
      <c r="BW362" s="2069"/>
      <c r="BX362" s="2069"/>
      <c r="BY362" s="2070"/>
      <c r="BZ362" s="2069"/>
      <c r="CA362" s="2069"/>
      <c r="CB362" s="2069"/>
      <c r="CC362" s="2069"/>
      <c r="CD362" s="2070"/>
      <c r="CE362" s="2069"/>
      <c r="CF362" s="2069"/>
      <c r="CG362" s="2069"/>
      <c r="CH362" s="2069"/>
      <c r="CI362" s="2070"/>
      <c r="CJ362" s="2069"/>
      <c r="CK362" s="2069"/>
      <c r="CL362" s="2069"/>
      <c r="CM362" s="2069"/>
      <c r="CN362" s="2070"/>
      <c r="CO362" s="2069"/>
      <c r="CP362" s="2069"/>
      <c r="CQ362" s="2069"/>
      <c r="CR362" s="2069"/>
      <c r="CS362" s="2070"/>
      <c r="CT362" s="2069"/>
      <c r="CU362" s="2069"/>
      <c r="CV362" s="2069"/>
      <c r="CW362" s="2069"/>
      <c r="CX362" s="2070"/>
      <c r="CY362" s="1989"/>
      <c r="CZ362" s="1989"/>
      <c r="DA362" s="1989"/>
      <c r="DB362" s="1989"/>
      <c r="DC362" s="1989"/>
      <c r="DD362" s="1989"/>
      <c r="DE362" s="1989"/>
      <c r="DF362" s="1989"/>
      <c r="DG362" s="1989"/>
      <c r="DH362" s="2071"/>
      <c r="DI362" s="2072"/>
      <c r="DJ362" s="2071"/>
      <c r="DK362" s="2073"/>
      <c r="DL362" s="2073"/>
      <c r="DM362" s="2070"/>
      <c r="DN362" s="2070"/>
      <c r="DO362" s="2070"/>
      <c r="DP362" s="2070"/>
      <c r="DQ362" s="2070"/>
      <c r="DR362" s="1993"/>
    </row>
    <row r="363" spans="1:122" hidden="1" outlineLevel="3">
      <c r="A363" s="1893" t="s">
        <v>622</v>
      </c>
      <c r="B363" s="2009" t="str">
        <f t="shared" ref="B363:AA363" si="538">IF(B362-B297=0,"OK","Error")</f>
        <v>Error</v>
      </c>
      <c r="C363" s="2009" t="str">
        <f t="shared" si="538"/>
        <v>Error</v>
      </c>
      <c r="D363" s="2009" t="str">
        <f t="shared" si="538"/>
        <v>Error</v>
      </c>
      <c r="E363" s="2009" t="str">
        <f t="shared" si="538"/>
        <v>Error</v>
      </c>
      <c r="F363" s="2009" t="str">
        <f t="shared" si="538"/>
        <v>Error</v>
      </c>
      <c r="G363" s="2009" t="str">
        <f t="shared" si="538"/>
        <v>Error</v>
      </c>
      <c r="H363" s="2009" t="str">
        <f t="shared" si="538"/>
        <v>Error</v>
      </c>
      <c r="I363" s="2009" t="str">
        <f t="shared" si="538"/>
        <v>Error</v>
      </c>
      <c r="J363" s="2009" t="str">
        <f t="shared" si="538"/>
        <v>Error</v>
      </c>
      <c r="K363" s="2009" t="str">
        <f t="shared" si="538"/>
        <v>Error</v>
      </c>
      <c r="L363" s="2009" t="str">
        <f t="shared" si="538"/>
        <v>Error</v>
      </c>
      <c r="M363" s="2009" t="str">
        <f t="shared" si="538"/>
        <v>Error</v>
      </c>
      <c r="N363" s="2009" t="str">
        <f t="shared" si="538"/>
        <v>Error</v>
      </c>
      <c r="O363" s="2009" t="str">
        <f t="shared" si="538"/>
        <v>Error</v>
      </c>
      <c r="P363" s="2009" t="str">
        <f t="shared" si="538"/>
        <v>Error</v>
      </c>
      <c r="Q363" s="2009" t="str">
        <f t="shared" si="538"/>
        <v>Error</v>
      </c>
      <c r="R363" s="2009" t="str">
        <f t="shared" si="538"/>
        <v>Error</v>
      </c>
      <c r="S363" s="2009" t="str">
        <f t="shared" si="538"/>
        <v>Error</v>
      </c>
      <c r="T363" s="2009" t="str">
        <f t="shared" si="538"/>
        <v>Error</v>
      </c>
      <c r="U363" s="2009" t="str">
        <f t="shared" si="538"/>
        <v>Error</v>
      </c>
      <c r="V363" s="2009" t="str">
        <f t="shared" si="538"/>
        <v>Error</v>
      </c>
      <c r="W363" s="2009" t="str">
        <f t="shared" si="538"/>
        <v>Error</v>
      </c>
      <c r="X363" s="2009" t="str">
        <f t="shared" si="538"/>
        <v>Error</v>
      </c>
      <c r="Y363" s="2009" t="str">
        <f t="shared" si="538"/>
        <v>Error</v>
      </c>
      <c r="Z363" s="2009" t="str">
        <f t="shared" si="538"/>
        <v>Error</v>
      </c>
      <c r="AA363" s="2009" t="str">
        <f t="shared" si="538"/>
        <v>Error</v>
      </c>
      <c r="AB363" s="2009"/>
      <c r="AC363" s="2009"/>
      <c r="AD363" s="2009"/>
      <c r="AE363" s="2009"/>
      <c r="AF363" s="2009"/>
      <c r="AG363" s="2009"/>
      <c r="AH363" s="2009"/>
      <c r="AI363" s="2009"/>
      <c r="AJ363" s="2009"/>
      <c r="AK363" s="2009"/>
      <c r="AL363" s="2009"/>
      <c r="AM363" s="2009"/>
      <c r="AN363" s="2009"/>
      <c r="AO363" s="2019"/>
      <c r="AP363" s="2019"/>
      <c r="AQ363" s="2019"/>
      <c r="AR363" s="2019"/>
      <c r="AS363" s="2019"/>
      <c r="AT363" s="2019"/>
      <c r="AU363" s="2019"/>
      <c r="AV363" s="2019"/>
      <c r="AW363" s="2019"/>
      <c r="AX363" s="2019"/>
      <c r="AY363" s="2019"/>
      <c r="AZ363" s="2026"/>
      <c r="BA363" s="2019"/>
      <c r="BB363" s="2019"/>
      <c r="BC363" s="2019"/>
      <c r="BD363" s="2019"/>
      <c r="BE363" s="2026"/>
      <c r="BF363" s="2019"/>
      <c r="BG363" s="2019"/>
      <c r="BH363" s="2019"/>
      <c r="BI363" s="2019"/>
      <c r="BJ363" s="2026"/>
      <c r="BK363" s="2019"/>
      <c r="BL363" s="2019"/>
      <c r="BM363" s="2019"/>
      <c r="BN363" s="2019"/>
      <c r="BO363" s="2026"/>
      <c r="BP363" s="2019"/>
      <c r="BQ363" s="2019"/>
      <c r="BR363" s="2019"/>
      <c r="BS363" s="2019"/>
      <c r="BT363" s="2026"/>
      <c r="BU363" s="2019"/>
      <c r="BV363" s="2019"/>
      <c r="BW363" s="2019"/>
      <c r="BX363" s="2019"/>
      <c r="BY363" s="2026"/>
      <c r="BZ363" s="2019"/>
      <c r="CA363" s="2019"/>
      <c r="CB363" s="2019"/>
      <c r="CC363" s="2019"/>
      <c r="CD363" s="2026"/>
      <c r="CE363" s="2019"/>
      <c r="CF363" s="2019"/>
      <c r="CG363" s="2019"/>
      <c r="CH363" s="2019"/>
      <c r="CI363" s="2026"/>
      <c r="CJ363" s="2019"/>
      <c r="CK363" s="2019"/>
      <c r="CL363" s="2019"/>
      <c r="CM363" s="2019"/>
      <c r="CN363" s="2026"/>
      <c r="CO363" s="2019"/>
      <c r="CP363" s="2019"/>
      <c r="CQ363" s="2019"/>
      <c r="CR363" s="2019"/>
      <c r="CS363" s="2026"/>
      <c r="CT363" s="2019"/>
      <c r="CU363" s="2019"/>
      <c r="CV363" s="2019"/>
      <c r="CW363" s="2019"/>
      <c r="CX363" s="2026"/>
      <c r="CY363" s="1893"/>
      <c r="CZ363" s="1893"/>
      <c r="DA363" s="1893"/>
      <c r="DB363" s="1893"/>
      <c r="DC363" s="1893"/>
      <c r="DD363" s="1893"/>
      <c r="DE363" s="1893"/>
      <c r="DF363" s="1893"/>
      <c r="DG363" s="1893"/>
      <c r="DH363" s="2027"/>
      <c r="DI363" s="2010"/>
      <c r="DJ363" s="2027"/>
      <c r="DK363" s="2028"/>
      <c r="DL363" s="2028"/>
      <c r="DM363" s="2026"/>
      <c r="DN363" s="2026"/>
      <c r="DO363" s="2026"/>
      <c r="DP363" s="2026"/>
      <c r="DQ363" s="2026"/>
      <c r="DR363" s="3064"/>
    </row>
    <row r="364" spans="1:122" hidden="1" outlineLevel="2">
      <c r="A364" s="1893"/>
      <c r="B364" s="2009"/>
      <c r="C364" s="2009"/>
      <c r="D364" s="2009"/>
      <c r="E364" s="2009"/>
      <c r="F364" s="2009"/>
      <c r="G364" s="2009"/>
      <c r="H364" s="2009"/>
      <c r="I364" s="2009"/>
      <c r="J364" s="2009"/>
      <c r="K364" s="2009"/>
      <c r="L364" s="2009"/>
      <c r="M364" s="2009"/>
      <c r="N364" s="2009"/>
      <c r="O364" s="2009"/>
      <c r="P364" s="2009"/>
      <c r="Q364" s="2009"/>
      <c r="R364" s="2009"/>
      <c r="S364" s="2009"/>
      <c r="T364" s="2009"/>
      <c r="U364" s="2009"/>
      <c r="V364" s="2009"/>
      <c r="W364" s="2009"/>
      <c r="X364" s="2009"/>
      <c r="Y364" s="2009"/>
      <c r="Z364" s="2009"/>
      <c r="AA364" s="2009"/>
      <c r="AB364" s="2009"/>
      <c r="AC364" s="2009"/>
      <c r="AD364" s="2009"/>
      <c r="AE364" s="2009"/>
      <c r="AF364" s="2009"/>
      <c r="AG364" s="2009"/>
      <c r="AH364" s="2009"/>
      <c r="AI364" s="2009"/>
      <c r="AJ364" s="2009"/>
      <c r="AK364" s="2009"/>
      <c r="AL364" s="2009"/>
      <c r="AM364" s="2009"/>
      <c r="AN364" s="2009"/>
      <c r="AO364" s="2019"/>
      <c r="AP364" s="2019"/>
      <c r="AQ364" s="2019"/>
      <c r="AR364" s="2019"/>
      <c r="AS364" s="2019"/>
      <c r="AT364" s="2019"/>
      <c r="AU364" s="2019"/>
      <c r="AV364" s="2019"/>
      <c r="AW364" s="2019"/>
      <c r="AX364" s="2019"/>
      <c r="AY364" s="2019"/>
      <c r="AZ364" s="2026"/>
      <c r="BA364" s="2019"/>
      <c r="BB364" s="2019"/>
      <c r="BC364" s="2019"/>
      <c r="BD364" s="2019"/>
      <c r="BE364" s="2026"/>
      <c r="BF364" s="2019"/>
      <c r="BG364" s="2019"/>
      <c r="BH364" s="2019"/>
      <c r="BI364" s="2019"/>
      <c r="BJ364" s="2026"/>
      <c r="BK364" s="2019"/>
      <c r="BL364" s="2019"/>
      <c r="BM364" s="2019"/>
      <c r="BN364" s="2019"/>
      <c r="BO364" s="2026"/>
      <c r="BP364" s="2019"/>
      <c r="BQ364" s="2019"/>
      <c r="BR364" s="2019"/>
      <c r="BS364" s="2019"/>
      <c r="BT364" s="2026"/>
      <c r="BU364" s="2019"/>
      <c r="BV364" s="2019"/>
      <c r="BW364" s="2019"/>
      <c r="BX364" s="2019"/>
      <c r="BY364" s="2026"/>
      <c r="BZ364" s="2019"/>
      <c r="CA364" s="2019"/>
      <c r="CB364" s="2019"/>
      <c r="CC364" s="2019"/>
      <c r="CD364" s="2026"/>
      <c r="CE364" s="2019"/>
      <c r="CF364" s="2019"/>
      <c r="CG364" s="2019"/>
      <c r="CH364" s="2019"/>
      <c r="CI364" s="2026"/>
      <c r="CJ364" s="2019"/>
      <c r="CK364" s="2019"/>
      <c r="CL364" s="2019"/>
      <c r="CM364" s="2019"/>
      <c r="CN364" s="2026"/>
      <c r="CO364" s="2019"/>
      <c r="CP364" s="2019"/>
      <c r="CQ364" s="2019"/>
      <c r="CR364" s="2019"/>
      <c r="CS364" s="2026"/>
      <c r="CT364" s="2019"/>
      <c r="CU364" s="2019"/>
      <c r="CV364" s="2019"/>
      <c r="CW364" s="2019"/>
      <c r="CX364" s="2026"/>
      <c r="CY364" s="1893"/>
      <c r="CZ364" s="1893"/>
      <c r="DA364" s="1893"/>
      <c r="DB364" s="1893"/>
      <c r="DC364" s="1893"/>
      <c r="DD364" s="1893"/>
      <c r="DE364" s="1893"/>
      <c r="DF364" s="1893"/>
      <c r="DG364" s="1893"/>
      <c r="DH364" s="2027"/>
      <c r="DI364" s="2010"/>
      <c r="DJ364" s="2027"/>
      <c r="DK364" s="2028"/>
      <c r="DL364" s="2028"/>
      <c r="DM364" s="2026"/>
      <c r="DN364" s="2026"/>
      <c r="DO364" s="2026"/>
      <c r="DP364" s="2026"/>
      <c r="DQ364" s="2026"/>
      <c r="DR364" s="3064"/>
    </row>
    <row r="365" spans="1:122" hidden="1" outlineLevel="3">
      <c r="A365" s="2029" t="s">
        <v>200</v>
      </c>
      <c r="B365" s="2030" t="s">
        <v>109</v>
      </c>
      <c r="C365" s="2031"/>
      <c r="D365" s="2031"/>
      <c r="E365" s="2031"/>
      <c r="F365" s="2031"/>
      <c r="G365" s="2030" t="s">
        <v>109</v>
      </c>
      <c r="H365" s="2031"/>
      <c r="I365" s="2031"/>
      <c r="J365" s="2031"/>
      <c r="K365" s="2031"/>
      <c r="L365" s="2030" t="s">
        <v>109</v>
      </c>
      <c r="M365" s="2031"/>
      <c r="N365" s="2031"/>
      <c r="O365" s="2031"/>
      <c r="P365" s="2074"/>
      <c r="Q365" s="2075" t="s">
        <v>109</v>
      </c>
      <c r="R365" s="2076"/>
      <c r="S365" s="2076"/>
      <c r="T365" s="2076"/>
      <c r="U365" s="2076"/>
      <c r="V365" s="2077" t="s">
        <v>109</v>
      </c>
      <c r="W365" s="2076"/>
      <c r="X365" s="2074"/>
      <c r="Y365" s="2074"/>
      <c r="Z365" s="2076"/>
      <c r="AA365" s="2077" t="s">
        <v>109</v>
      </c>
      <c r="AB365" s="2076"/>
      <c r="AC365" s="2074"/>
      <c r="AD365" s="2074"/>
      <c r="AE365" s="2076"/>
      <c r="AF365" s="2077"/>
      <c r="AG365" s="2076"/>
      <c r="AH365" s="2074"/>
      <c r="AI365" s="2074"/>
      <c r="AJ365" s="2076"/>
      <c r="AK365" s="2077"/>
      <c r="AL365" s="2076"/>
      <c r="AM365" s="2074"/>
      <c r="AN365" s="2074"/>
      <c r="AO365" s="2037"/>
      <c r="AP365" s="2037"/>
      <c r="AQ365" s="2037"/>
      <c r="AR365" s="2037"/>
      <c r="AS365" s="2037"/>
      <c r="AT365" s="2037"/>
      <c r="AU365" s="2037"/>
      <c r="AV365" s="2037"/>
      <c r="AW365" s="2037"/>
      <c r="AX365" s="2037"/>
      <c r="AY365" s="2037"/>
      <c r="AZ365" s="2078"/>
      <c r="BA365" s="2037"/>
      <c r="BB365" s="2037"/>
      <c r="BC365" s="2037"/>
      <c r="BD365" s="2037"/>
      <c r="BE365" s="2078"/>
      <c r="BF365" s="2037"/>
      <c r="BG365" s="2037"/>
      <c r="BH365" s="2037"/>
      <c r="BI365" s="2037"/>
      <c r="BJ365" s="2078"/>
      <c r="BK365" s="2037"/>
      <c r="BL365" s="2037"/>
      <c r="BM365" s="2037"/>
      <c r="BN365" s="2037"/>
      <c r="BO365" s="2078"/>
      <c r="BP365" s="2037"/>
      <c r="BQ365" s="2037"/>
      <c r="BR365" s="2037"/>
      <c r="BS365" s="2037"/>
      <c r="BT365" s="2078"/>
      <c r="BU365" s="2037"/>
      <c r="BV365" s="2037"/>
      <c r="BW365" s="2037"/>
      <c r="BX365" s="2037"/>
      <c r="BY365" s="2078"/>
      <c r="BZ365" s="2037"/>
      <c r="CA365" s="2037"/>
      <c r="CB365" s="2037"/>
      <c r="CC365" s="2037"/>
      <c r="CD365" s="2078"/>
      <c r="CE365" s="2037"/>
      <c r="CF365" s="2037"/>
      <c r="CG365" s="2037"/>
      <c r="CH365" s="2037"/>
      <c r="CI365" s="2078"/>
      <c r="CJ365" s="2037"/>
      <c r="CK365" s="2037"/>
      <c r="CL365" s="2037"/>
      <c r="CM365" s="2037"/>
      <c r="CN365" s="2078"/>
      <c r="CO365" s="2037"/>
      <c r="CP365" s="2037"/>
      <c r="CQ365" s="2037"/>
      <c r="CR365" s="2037"/>
      <c r="CS365" s="2078"/>
      <c r="CT365" s="2037"/>
      <c r="CU365" s="2037"/>
      <c r="CV365" s="2037"/>
      <c r="CW365" s="2037"/>
      <c r="CX365" s="2078"/>
      <c r="CY365" s="2035"/>
      <c r="CZ365" s="2035"/>
      <c r="DA365" s="2035"/>
      <c r="DB365" s="2035"/>
      <c r="DC365" s="2035"/>
      <c r="DD365" s="2035"/>
      <c r="DE365" s="2035"/>
      <c r="DF365" s="2035"/>
      <c r="DG365" s="2035"/>
      <c r="DH365" s="2079"/>
      <c r="DI365" s="2080"/>
      <c r="DJ365" s="2079"/>
      <c r="DK365" s="2081"/>
      <c r="DL365" s="2081"/>
      <c r="DM365" s="2078"/>
      <c r="DN365" s="2078"/>
      <c r="DO365" s="2078"/>
      <c r="DP365" s="2078"/>
      <c r="DQ365" s="2078"/>
      <c r="DR365" s="3088"/>
    </row>
    <row r="366" spans="1:122" hidden="1" outlineLevel="3">
      <c r="A366" s="2043"/>
      <c r="B366" s="2044">
        <v>2001</v>
      </c>
      <c r="C366" s="2045">
        <v>37500</v>
      </c>
      <c r="D366" s="2045">
        <v>37591</v>
      </c>
      <c r="E366" s="2045">
        <v>37316</v>
      </c>
      <c r="F366" s="2045">
        <v>37408</v>
      </c>
      <c r="G366" s="2044">
        <v>2002</v>
      </c>
      <c r="H366" s="2045">
        <v>37865</v>
      </c>
      <c r="I366" s="2045">
        <v>37956</v>
      </c>
      <c r="J366" s="2045">
        <v>37681</v>
      </c>
      <c r="K366" s="2045">
        <v>37773</v>
      </c>
      <c r="L366" s="2044">
        <v>2003</v>
      </c>
      <c r="M366" s="2045">
        <v>38231</v>
      </c>
      <c r="N366" s="2082">
        <v>38322</v>
      </c>
      <c r="O366" s="2082">
        <v>38047</v>
      </c>
      <c r="P366" s="2082">
        <v>38139</v>
      </c>
      <c r="Q366" s="2083">
        <v>2004</v>
      </c>
      <c r="R366" s="2082">
        <v>38596</v>
      </c>
      <c r="S366" s="2082">
        <v>38687</v>
      </c>
      <c r="T366" s="2082">
        <v>38412</v>
      </c>
      <c r="U366" s="2082">
        <v>38504</v>
      </c>
      <c r="V366" s="2084" t="s">
        <v>201</v>
      </c>
      <c r="W366" s="2082">
        <v>38961</v>
      </c>
      <c r="X366" s="2082">
        <v>39052</v>
      </c>
      <c r="Y366" s="2082">
        <v>38777</v>
      </c>
      <c r="Z366" s="2082">
        <v>38869</v>
      </c>
      <c r="AA366" s="2084">
        <v>2006</v>
      </c>
      <c r="AB366" s="2082">
        <v>38869</v>
      </c>
      <c r="AC366" s="2082">
        <v>38870</v>
      </c>
      <c r="AD366" s="2082">
        <v>38871</v>
      </c>
      <c r="AE366" s="2082">
        <v>38872</v>
      </c>
      <c r="AF366" s="2084"/>
      <c r="AG366" s="2082"/>
      <c r="AH366" s="2082"/>
      <c r="AI366" s="2082"/>
      <c r="AJ366" s="2082"/>
      <c r="AK366" s="2084"/>
      <c r="AL366" s="2082"/>
      <c r="AM366" s="2082"/>
      <c r="AN366" s="2082"/>
      <c r="AO366" s="2050"/>
      <c r="AP366" s="2050"/>
      <c r="AQ366" s="2050"/>
      <c r="AR366" s="2050"/>
      <c r="AS366" s="2050"/>
      <c r="AT366" s="2050"/>
      <c r="AU366" s="2050"/>
      <c r="AV366" s="2050"/>
      <c r="AW366" s="2050"/>
      <c r="AX366" s="2050"/>
      <c r="AY366" s="2050"/>
      <c r="AZ366" s="2085"/>
      <c r="BA366" s="2050"/>
      <c r="BB366" s="2050"/>
      <c r="BC366" s="2050"/>
      <c r="BD366" s="2050"/>
      <c r="BE366" s="2085"/>
      <c r="BF366" s="2050"/>
      <c r="BG366" s="2050"/>
      <c r="BH366" s="2050"/>
      <c r="BI366" s="2050"/>
      <c r="BJ366" s="2085"/>
      <c r="BK366" s="2050"/>
      <c r="BL366" s="2050"/>
      <c r="BM366" s="2050"/>
      <c r="BN366" s="2050"/>
      <c r="BO366" s="2085"/>
      <c r="BP366" s="2050"/>
      <c r="BQ366" s="2050"/>
      <c r="BR366" s="2050"/>
      <c r="BS366" s="2050"/>
      <c r="BT366" s="2085"/>
      <c r="BU366" s="2050"/>
      <c r="BV366" s="2050"/>
      <c r="BW366" s="2050"/>
      <c r="BX366" s="2050"/>
      <c r="BY366" s="2085"/>
      <c r="BZ366" s="2050"/>
      <c r="CA366" s="2050"/>
      <c r="CB366" s="2050"/>
      <c r="CC366" s="2050"/>
      <c r="CD366" s="2085"/>
      <c r="CE366" s="2050"/>
      <c r="CF366" s="2050"/>
      <c r="CG366" s="2050"/>
      <c r="CH366" s="2050"/>
      <c r="CI366" s="2085"/>
      <c r="CJ366" s="2050"/>
      <c r="CK366" s="2050"/>
      <c r="CL366" s="2050"/>
      <c r="CM366" s="2050"/>
      <c r="CN366" s="2085"/>
      <c r="CO366" s="2050"/>
      <c r="CP366" s="2050"/>
      <c r="CQ366" s="2050"/>
      <c r="CR366" s="2050"/>
      <c r="CS366" s="2085"/>
      <c r="CT366" s="2050"/>
      <c r="CU366" s="2050"/>
      <c r="CV366" s="2050"/>
      <c r="CW366" s="2050"/>
      <c r="CX366" s="2085"/>
      <c r="CY366" s="2043"/>
      <c r="CZ366" s="2043"/>
      <c r="DA366" s="2043"/>
      <c r="DB366" s="2043"/>
      <c r="DC366" s="2043"/>
      <c r="DD366" s="2043"/>
      <c r="DE366" s="2043"/>
      <c r="DF366" s="2043"/>
      <c r="DG366" s="2043"/>
      <c r="DH366" s="2086"/>
      <c r="DI366" s="2087"/>
      <c r="DJ366" s="2086"/>
      <c r="DK366" s="2088"/>
      <c r="DL366" s="2088"/>
      <c r="DM366" s="2085"/>
      <c r="DN366" s="2085"/>
      <c r="DO366" s="2085"/>
      <c r="DP366" s="2085"/>
      <c r="DQ366" s="2085"/>
      <c r="DR366" s="1747"/>
    </row>
    <row r="367" spans="1:122" hidden="1" outlineLevel="3">
      <c r="A367" s="2089" t="s">
        <v>202</v>
      </c>
      <c r="B367" s="1762">
        <v>9637000</v>
      </c>
      <c r="C367" s="1890">
        <v>2433000</v>
      </c>
      <c r="D367" s="1890">
        <v>3235000</v>
      </c>
      <c r="E367" s="1890">
        <v>2756000</v>
      </c>
      <c r="F367" s="1890">
        <v>2984000</v>
      </c>
      <c r="G367" s="1762">
        <v>11408000</v>
      </c>
      <c r="H367" s="1890">
        <v>2733000</v>
      </c>
      <c r="I367" s="1890">
        <v>3259000</v>
      </c>
      <c r="J367" s="1890">
        <v>2912000</v>
      </c>
      <c r="K367" s="1890">
        <v>2994000</v>
      </c>
      <c r="L367" s="1762">
        <v>11898000</v>
      </c>
      <c r="M367" s="1890">
        <f t="shared" ref="M367:U367" si="539">M383*M368</f>
        <v>3039550</v>
      </c>
      <c r="N367" s="2090">
        <f t="shared" si="539"/>
        <v>3756.61</v>
      </c>
      <c r="O367" s="2090">
        <f t="shared" si="539"/>
        <v>3394.75</v>
      </c>
      <c r="P367" s="2090">
        <f t="shared" si="539"/>
        <v>3438.04</v>
      </c>
      <c r="Q367" s="2091">
        <f t="shared" si="539"/>
        <v>13628.95</v>
      </c>
      <c r="R367" s="2090">
        <f t="shared" si="539"/>
        <v>3491.82</v>
      </c>
      <c r="S367" s="2090">
        <f t="shared" si="539"/>
        <v>4110.84</v>
      </c>
      <c r="T367" s="2090">
        <f t="shared" si="539"/>
        <v>3655.6</v>
      </c>
      <c r="U367" s="2090">
        <f t="shared" si="539"/>
        <v>3861.18</v>
      </c>
      <c r="V367" s="2092">
        <f>SUM(R367:U367)</f>
        <v>15119.44</v>
      </c>
      <c r="W367" s="2090">
        <f>W383*W368</f>
        <v>3701.58</v>
      </c>
      <c r="X367" s="2090">
        <f>X383*X368</f>
        <v>4498.4399999999996</v>
      </c>
      <c r="Y367" s="2090">
        <f>Y383*Y368</f>
        <v>4142.38</v>
      </c>
      <c r="Z367" s="2090">
        <f>Z383*Z368</f>
        <v>4486.28</v>
      </c>
      <c r="AA367" s="2092">
        <f>SUM(W367:Z367)</f>
        <v>16828.68</v>
      </c>
      <c r="AB367" s="2090">
        <f>AB383*AB368</f>
        <v>4108.18</v>
      </c>
      <c r="AC367" s="2090">
        <f>AC383*AC368</f>
        <v>17307.96</v>
      </c>
      <c r="AD367" s="2090">
        <f>AD383*AD368</f>
        <v>34267.24</v>
      </c>
      <c r="AE367" s="2090">
        <f>AE383*AE368</f>
        <v>45193.979999999996</v>
      </c>
      <c r="AF367" s="2092"/>
      <c r="AG367" s="2090"/>
      <c r="AH367" s="2090"/>
      <c r="AI367" s="2090"/>
      <c r="AJ367" s="2090"/>
      <c r="AK367" s="2092"/>
      <c r="AL367" s="2090"/>
      <c r="AM367" s="2090"/>
      <c r="AN367" s="2090"/>
      <c r="AO367" s="1891"/>
      <c r="AP367" s="1891"/>
      <c r="AQ367" s="1891"/>
      <c r="AR367" s="1891"/>
      <c r="AS367" s="1891"/>
      <c r="AT367" s="1891"/>
      <c r="AU367" s="1891"/>
      <c r="AV367" s="1891"/>
      <c r="AW367" s="1891"/>
      <c r="AX367" s="1891"/>
      <c r="AY367" s="1891"/>
      <c r="AZ367" s="1908"/>
      <c r="BA367" s="1891"/>
      <c r="BB367" s="1891"/>
      <c r="BC367" s="1891"/>
      <c r="BD367" s="1891"/>
      <c r="BE367" s="1908"/>
      <c r="BF367" s="1891"/>
      <c r="BG367" s="1891"/>
      <c r="BH367" s="1891"/>
      <c r="BI367" s="1891"/>
      <c r="BJ367" s="1908"/>
      <c r="BK367" s="1891"/>
      <c r="BL367" s="1891"/>
      <c r="BM367" s="1891"/>
      <c r="BN367" s="1891"/>
      <c r="BO367" s="1908"/>
      <c r="BP367" s="1891"/>
      <c r="BQ367" s="1891"/>
      <c r="BR367" s="1891"/>
      <c r="BS367" s="1891"/>
      <c r="BT367" s="1908"/>
      <c r="BU367" s="1891"/>
      <c r="BV367" s="1891"/>
      <c r="BW367" s="1891"/>
      <c r="BX367" s="1891"/>
      <c r="BY367" s="1908"/>
      <c r="BZ367" s="1891"/>
      <c r="CA367" s="1891"/>
      <c r="CB367" s="1891"/>
      <c r="CC367" s="1891"/>
      <c r="CD367" s="1908"/>
      <c r="CE367" s="1891"/>
      <c r="CF367" s="1891"/>
      <c r="CG367" s="1891"/>
      <c r="CH367" s="1891"/>
      <c r="CI367" s="1908"/>
      <c r="CJ367" s="1891"/>
      <c r="CK367" s="1891"/>
      <c r="CL367" s="1891"/>
      <c r="CM367" s="1891"/>
      <c r="CN367" s="1908"/>
      <c r="CO367" s="1891"/>
      <c r="CP367" s="1891"/>
      <c r="CQ367" s="1891"/>
      <c r="CR367" s="1891"/>
      <c r="CS367" s="1908"/>
      <c r="CT367" s="1891"/>
      <c r="CU367" s="1891"/>
      <c r="CV367" s="1891"/>
      <c r="CW367" s="1891"/>
      <c r="CX367" s="1908"/>
      <c r="CY367" s="1890"/>
      <c r="CZ367" s="1890"/>
      <c r="DA367" s="1890"/>
      <c r="DB367" s="1890"/>
      <c r="DC367" s="1890"/>
      <c r="DD367" s="1890"/>
      <c r="DE367" s="1890"/>
      <c r="DF367" s="1890"/>
      <c r="DG367" s="1890"/>
      <c r="DH367" s="1804"/>
      <c r="DI367" s="1801"/>
      <c r="DJ367" s="1804"/>
      <c r="DK367" s="1907"/>
      <c r="DL367" s="1907"/>
      <c r="DM367" s="1908"/>
      <c r="DN367" s="1908"/>
      <c r="DO367" s="1908"/>
      <c r="DP367" s="1908"/>
      <c r="DQ367" s="1908"/>
      <c r="DR367" s="1915"/>
    </row>
    <row r="368" spans="1:122" hidden="1" outlineLevel="3">
      <c r="A368" s="1900" t="s">
        <v>162</v>
      </c>
      <c r="B368" s="1774">
        <f t="shared" ref="B368:L368" si="540">B367/B383</f>
        <v>0.38098438426566517</v>
      </c>
      <c r="C368" s="1900">
        <f t="shared" si="540"/>
        <v>0.39715964740450538</v>
      </c>
      <c r="D368" s="1900">
        <f t="shared" si="540"/>
        <v>0.41790466348017052</v>
      </c>
      <c r="E368" s="1900">
        <f t="shared" si="540"/>
        <v>0.38040027605244997</v>
      </c>
      <c r="F368" s="1900">
        <f t="shared" si="540"/>
        <v>0.41141596580725215</v>
      </c>
      <c r="G368" s="1774">
        <f t="shared" si="540"/>
        <v>0.40218579234972679</v>
      </c>
      <c r="H368" s="1900">
        <f t="shared" si="540"/>
        <v>0.35282726568551509</v>
      </c>
      <c r="I368" s="1900">
        <f t="shared" si="540"/>
        <v>0.38157124458494324</v>
      </c>
      <c r="J368" s="1900">
        <f t="shared" si="540"/>
        <v>0.37166560306317803</v>
      </c>
      <c r="K368" s="1900">
        <f t="shared" si="540"/>
        <v>0.37123372597644139</v>
      </c>
      <c r="L368" s="1774">
        <f t="shared" si="540"/>
        <v>0.36965234411408332</v>
      </c>
      <c r="M368" s="1900">
        <v>0.37</v>
      </c>
      <c r="N368" s="2093">
        <v>0.37</v>
      </c>
      <c r="O368" s="2093">
        <v>0.37</v>
      </c>
      <c r="P368" s="2093">
        <v>0.37</v>
      </c>
      <c r="Q368" s="2094">
        <v>0.37</v>
      </c>
      <c r="R368" s="2093">
        <v>0.38</v>
      </c>
      <c r="S368" s="2093">
        <v>0.38</v>
      </c>
      <c r="T368" s="2093">
        <v>0.38</v>
      </c>
      <c r="U368" s="2093">
        <v>0.38</v>
      </c>
      <c r="V368" s="2094">
        <v>0.37</v>
      </c>
      <c r="W368" s="2093">
        <v>0.38</v>
      </c>
      <c r="X368" s="2093">
        <v>0.38</v>
      </c>
      <c r="Y368" s="2093">
        <v>0.38</v>
      </c>
      <c r="Z368" s="2093">
        <v>0.38</v>
      </c>
      <c r="AA368" s="2094">
        <v>0.37</v>
      </c>
      <c r="AB368" s="2093">
        <v>0.38</v>
      </c>
      <c r="AC368" s="2093">
        <v>1.38</v>
      </c>
      <c r="AD368" s="2093">
        <v>2.38</v>
      </c>
      <c r="AE368" s="2093">
        <v>3.38</v>
      </c>
      <c r="AF368" s="2094"/>
      <c r="AG368" s="2093"/>
      <c r="AH368" s="2093"/>
      <c r="AI368" s="2093"/>
      <c r="AJ368" s="2093"/>
      <c r="AK368" s="2094"/>
      <c r="AL368" s="2093"/>
      <c r="AM368" s="2093"/>
      <c r="AN368" s="2093"/>
      <c r="AO368" s="1903"/>
      <c r="AP368" s="1903"/>
      <c r="AQ368" s="1903"/>
      <c r="AR368" s="1903"/>
      <c r="AS368" s="1903"/>
      <c r="AT368" s="1903"/>
      <c r="AU368" s="1903"/>
      <c r="AV368" s="1903"/>
      <c r="AW368" s="1903"/>
      <c r="AX368" s="1903"/>
      <c r="AY368" s="1903"/>
      <c r="AZ368" s="1899"/>
      <c r="BA368" s="1903"/>
      <c r="BB368" s="1903"/>
      <c r="BC368" s="1903"/>
      <c r="BD368" s="1903"/>
      <c r="BE368" s="1899"/>
      <c r="BF368" s="1903"/>
      <c r="BG368" s="1903"/>
      <c r="BH368" s="1903"/>
      <c r="BI368" s="1903"/>
      <c r="BJ368" s="1899"/>
      <c r="BK368" s="1903"/>
      <c r="BL368" s="1903"/>
      <c r="BM368" s="1903"/>
      <c r="BN368" s="1903"/>
      <c r="BO368" s="1899"/>
      <c r="BP368" s="1903"/>
      <c r="BQ368" s="1903"/>
      <c r="BR368" s="1903"/>
      <c r="BS368" s="1903"/>
      <c r="BT368" s="1899"/>
      <c r="BU368" s="1903"/>
      <c r="BV368" s="1903"/>
      <c r="BW368" s="1903"/>
      <c r="BX368" s="1903"/>
      <c r="BY368" s="1899"/>
      <c r="BZ368" s="1903"/>
      <c r="CA368" s="1903"/>
      <c r="CB368" s="1903"/>
      <c r="CC368" s="1903"/>
      <c r="CD368" s="1899"/>
      <c r="CE368" s="1903"/>
      <c r="CF368" s="1903"/>
      <c r="CG368" s="1903"/>
      <c r="CH368" s="1903"/>
      <c r="CI368" s="1899"/>
      <c r="CJ368" s="1903"/>
      <c r="CK368" s="1903"/>
      <c r="CL368" s="1903"/>
      <c r="CM368" s="1903"/>
      <c r="CN368" s="1899"/>
      <c r="CO368" s="1903"/>
      <c r="CP368" s="1903"/>
      <c r="CQ368" s="1903"/>
      <c r="CR368" s="1903"/>
      <c r="CS368" s="1899"/>
      <c r="CT368" s="1903"/>
      <c r="CU368" s="1903"/>
      <c r="CV368" s="1903"/>
      <c r="CW368" s="1903"/>
      <c r="CX368" s="1899"/>
      <c r="CY368" s="1900"/>
      <c r="CZ368" s="1900"/>
      <c r="DA368" s="1900"/>
      <c r="DB368" s="1900"/>
      <c r="DC368" s="1900"/>
      <c r="DD368" s="1900"/>
      <c r="DE368" s="1900"/>
      <c r="DF368" s="1900"/>
      <c r="DG368" s="1900"/>
      <c r="DH368" s="1773"/>
      <c r="DI368" s="1774"/>
      <c r="DJ368" s="1773"/>
      <c r="DK368" s="1901"/>
      <c r="DL368" s="1901"/>
      <c r="DM368" s="1899"/>
      <c r="DN368" s="1899"/>
      <c r="DO368" s="1899"/>
      <c r="DP368" s="1899"/>
      <c r="DQ368" s="1899"/>
      <c r="DR368" s="1898"/>
    </row>
    <row r="369" spans="1:122" hidden="1" outlineLevel="3">
      <c r="A369" s="1900" t="s">
        <v>163</v>
      </c>
      <c r="B369" s="1774"/>
      <c r="C369" s="1900"/>
      <c r="D369" s="1900"/>
      <c r="E369" s="1900"/>
      <c r="F369" s="1900"/>
      <c r="G369" s="1774">
        <f t="shared" ref="G369:AE369" si="541">G367/B367-1</f>
        <v>0.18377088305489253</v>
      </c>
      <c r="H369" s="1900">
        <f t="shared" si="541"/>
        <v>0.12330456226880404</v>
      </c>
      <c r="I369" s="1900">
        <f t="shared" si="541"/>
        <v>7.4188562596599894E-3</v>
      </c>
      <c r="J369" s="1900">
        <f t="shared" si="541"/>
        <v>5.6603773584905648E-2</v>
      </c>
      <c r="K369" s="1900">
        <f t="shared" si="541"/>
        <v>3.3512064343164116E-3</v>
      </c>
      <c r="L369" s="1774">
        <f t="shared" si="541"/>
        <v>4.295231416549794E-2</v>
      </c>
      <c r="M369" s="1900">
        <f t="shared" si="541"/>
        <v>0.11216611781924635</v>
      </c>
      <c r="N369" s="2093">
        <f t="shared" si="541"/>
        <v>-0.99884731205891375</v>
      </c>
      <c r="O369" s="2093">
        <f t="shared" si="541"/>
        <v>-0.99883422046703296</v>
      </c>
      <c r="P369" s="2093">
        <f t="shared" si="541"/>
        <v>-0.99885169004676022</v>
      </c>
      <c r="Q369" s="2094">
        <f t="shared" si="541"/>
        <v>-0.99885451756597743</v>
      </c>
      <c r="R369" s="2093">
        <f t="shared" si="541"/>
        <v>-0.99885120494810087</v>
      </c>
      <c r="S369" s="2093">
        <f t="shared" si="541"/>
        <v>9.4295122464136627E-2</v>
      </c>
      <c r="T369" s="2093">
        <f t="shared" si="541"/>
        <v>7.6839237057220622E-2</v>
      </c>
      <c r="U369" s="2093">
        <f t="shared" si="541"/>
        <v>0.12307593861618815</v>
      </c>
      <c r="V369" s="2094">
        <f t="shared" si="541"/>
        <v>0.10936205650471975</v>
      </c>
      <c r="W369" s="2093">
        <f t="shared" si="541"/>
        <v>6.0071825008161772E-2</v>
      </c>
      <c r="X369" s="2093">
        <f t="shared" si="541"/>
        <v>9.4287298946200693E-2</v>
      </c>
      <c r="Y369" s="2093">
        <f t="shared" si="541"/>
        <v>0.13316008316008321</v>
      </c>
      <c r="Z369" s="2093">
        <f t="shared" si="541"/>
        <v>0.16189351441787214</v>
      </c>
      <c r="AA369" s="2094">
        <f t="shared" si="541"/>
        <v>0.11304916055091985</v>
      </c>
      <c r="AB369" s="2093">
        <f t="shared" si="541"/>
        <v>0.10984498511446472</v>
      </c>
      <c r="AC369" s="2093">
        <f t="shared" si="541"/>
        <v>2.8475471496785554</v>
      </c>
      <c r="AD369" s="2093">
        <f t="shared" si="541"/>
        <v>7.2723555057720439</v>
      </c>
      <c r="AE369" s="2093">
        <f t="shared" si="541"/>
        <v>9.0738206264432897</v>
      </c>
      <c r="AF369" s="2094"/>
      <c r="AG369" s="2093"/>
      <c r="AH369" s="2093"/>
      <c r="AI369" s="2093"/>
      <c r="AJ369" s="2093"/>
      <c r="AK369" s="2094"/>
      <c r="AL369" s="2093"/>
      <c r="AM369" s="2093"/>
      <c r="AN369" s="2093"/>
      <c r="AO369" s="1903"/>
      <c r="AP369" s="1903"/>
      <c r="AQ369" s="1903"/>
      <c r="AR369" s="1903"/>
      <c r="AS369" s="1903"/>
      <c r="AT369" s="1903"/>
      <c r="AU369" s="1903"/>
      <c r="AV369" s="1903"/>
      <c r="AW369" s="1903"/>
      <c r="AX369" s="1903"/>
      <c r="AY369" s="1903"/>
      <c r="AZ369" s="1899"/>
      <c r="BA369" s="1903"/>
      <c r="BB369" s="1903"/>
      <c r="BC369" s="1903"/>
      <c r="BD369" s="1903"/>
      <c r="BE369" s="1899"/>
      <c r="BF369" s="1903"/>
      <c r="BG369" s="1903"/>
      <c r="BH369" s="1903"/>
      <c r="BI369" s="1903"/>
      <c r="BJ369" s="1899"/>
      <c r="BK369" s="1903"/>
      <c r="BL369" s="1903"/>
      <c r="BM369" s="1903"/>
      <c r="BN369" s="1903"/>
      <c r="BO369" s="1899"/>
      <c r="BP369" s="1903"/>
      <c r="BQ369" s="1903"/>
      <c r="BR369" s="1903"/>
      <c r="BS369" s="1903"/>
      <c r="BT369" s="1899"/>
      <c r="BU369" s="1903"/>
      <c r="BV369" s="1903"/>
      <c r="BW369" s="1903"/>
      <c r="BX369" s="1903"/>
      <c r="BY369" s="1899"/>
      <c r="BZ369" s="1903"/>
      <c r="CA369" s="1903"/>
      <c r="CB369" s="1903"/>
      <c r="CC369" s="1903"/>
      <c r="CD369" s="1899"/>
      <c r="CE369" s="1903"/>
      <c r="CF369" s="1903"/>
      <c r="CG369" s="1903"/>
      <c r="CH369" s="1903"/>
      <c r="CI369" s="1899"/>
      <c r="CJ369" s="1903"/>
      <c r="CK369" s="1903"/>
      <c r="CL369" s="1903"/>
      <c r="CM369" s="1903"/>
      <c r="CN369" s="1899"/>
      <c r="CO369" s="1903"/>
      <c r="CP369" s="1903"/>
      <c r="CQ369" s="1903"/>
      <c r="CR369" s="1903"/>
      <c r="CS369" s="1899"/>
      <c r="CT369" s="1903"/>
      <c r="CU369" s="1903"/>
      <c r="CV369" s="1903"/>
      <c r="CW369" s="1903"/>
      <c r="CX369" s="1899"/>
      <c r="CY369" s="1900"/>
      <c r="CZ369" s="1900"/>
      <c r="DA369" s="1900"/>
      <c r="DB369" s="1900"/>
      <c r="DC369" s="1900"/>
      <c r="DD369" s="1900"/>
      <c r="DE369" s="1900"/>
      <c r="DF369" s="1900"/>
      <c r="DG369" s="1900"/>
      <c r="DH369" s="1773"/>
      <c r="DI369" s="1774"/>
      <c r="DJ369" s="1773"/>
      <c r="DK369" s="1901"/>
      <c r="DL369" s="1901"/>
      <c r="DM369" s="1899"/>
      <c r="DN369" s="1899"/>
      <c r="DO369" s="1899"/>
      <c r="DP369" s="1899"/>
      <c r="DQ369" s="1899"/>
      <c r="DR369" s="1898"/>
    </row>
    <row r="370" spans="1:122" hidden="1" outlineLevel="3">
      <c r="A370" s="1893"/>
      <c r="B370" s="1929"/>
      <c r="C370" s="1893"/>
      <c r="D370" s="1893"/>
      <c r="E370" s="1893"/>
      <c r="F370" s="1893"/>
      <c r="G370" s="1929"/>
      <c r="H370" s="1893"/>
      <c r="I370" s="1893"/>
      <c r="J370" s="1893"/>
      <c r="K370" s="1893"/>
      <c r="L370" s="1929"/>
      <c r="M370" s="1893"/>
      <c r="N370" s="2095"/>
      <c r="O370" s="2095"/>
      <c r="P370" s="2095"/>
      <c r="Q370" s="2096"/>
      <c r="R370" s="2095"/>
      <c r="S370" s="2095"/>
      <c r="T370" s="2095"/>
      <c r="U370" s="2095"/>
      <c r="V370" s="2097"/>
      <c r="W370" s="2095"/>
      <c r="X370" s="2095"/>
      <c r="Y370" s="2095"/>
      <c r="Z370" s="2095"/>
      <c r="AA370" s="2097"/>
      <c r="AB370" s="2095"/>
      <c r="AC370" s="2095"/>
      <c r="AD370" s="2095"/>
      <c r="AE370" s="2095"/>
      <c r="AF370" s="2097"/>
      <c r="AG370" s="2095"/>
      <c r="AH370" s="2095"/>
      <c r="AI370" s="2095"/>
      <c r="AJ370" s="2095"/>
      <c r="AK370" s="2097"/>
      <c r="AL370" s="2095"/>
      <c r="AM370" s="2095"/>
      <c r="AN370" s="2095"/>
      <c r="AO370" s="1980"/>
      <c r="AP370" s="1980"/>
      <c r="AQ370" s="1980"/>
      <c r="AR370" s="1980"/>
      <c r="AS370" s="1980"/>
      <c r="AT370" s="1980"/>
      <c r="AU370" s="1980"/>
      <c r="AV370" s="1980"/>
      <c r="AW370" s="1980"/>
      <c r="AX370" s="1980"/>
      <c r="AY370" s="1980"/>
      <c r="AZ370" s="1933"/>
      <c r="BA370" s="1980"/>
      <c r="BB370" s="1980"/>
      <c r="BC370" s="1980"/>
      <c r="BD370" s="1980"/>
      <c r="BE370" s="1933"/>
      <c r="BF370" s="1980"/>
      <c r="BG370" s="1980"/>
      <c r="BH370" s="1980"/>
      <c r="BI370" s="1980"/>
      <c r="BJ370" s="1933"/>
      <c r="BK370" s="1980"/>
      <c r="BL370" s="1980"/>
      <c r="BM370" s="1980"/>
      <c r="BN370" s="1980"/>
      <c r="BO370" s="1933"/>
      <c r="BP370" s="1980"/>
      <c r="BQ370" s="1980"/>
      <c r="BR370" s="1980"/>
      <c r="BS370" s="1980"/>
      <c r="BT370" s="1933"/>
      <c r="BU370" s="1980"/>
      <c r="BV370" s="1980"/>
      <c r="BW370" s="1980"/>
      <c r="BX370" s="1980"/>
      <c r="BY370" s="1933"/>
      <c r="BZ370" s="1980"/>
      <c r="CA370" s="1980"/>
      <c r="CB370" s="1980"/>
      <c r="CC370" s="1980"/>
      <c r="CD370" s="1933"/>
      <c r="CE370" s="1980"/>
      <c r="CF370" s="1980"/>
      <c r="CG370" s="1980"/>
      <c r="CH370" s="1980"/>
      <c r="CI370" s="1933"/>
      <c r="CJ370" s="1980"/>
      <c r="CK370" s="1980"/>
      <c r="CL370" s="1980"/>
      <c r="CM370" s="1980"/>
      <c r="CN370" s="1933"/>
      <c r="CO370" s="1980"/>
      <c r="CP370" s="1980"/>
      <c r="CQ370" s="1980"/>
      <c r="CR370" s="1980"/>
      <c r="CS370" s="1933"/>
      <c r="CT370" s="1980"/>
      <c r="CU370" s="1980"/>
      <c r="CV370" s="1980"/>
      <c r="CW370" s="1980"/>
      <c r="CX370" s="1933"/>
      <c r="CY370" s="1893"/>
      <c r="CZ370" s="1893"/>
      <c r="DA370" s="1893"/>
      <c r="DB370" s="1893"/>
      <c r="DC370" s="1893"/>
      <c r="DD370" s="1893"/>
      <c r="DE370" s="1893"/>
      <c r="DF370" s="1893"/>
      <c r="DG370" s="1893"/>
      <c r="DH370" s="1934"/>
      <c r="DI370" s="1930"/>
      <c r="DJ370" s="1934"/>
      <c r="DK370" s="1935"/>
      <c r="DL370" s="1935"/>
      <c r="DM370" s="1933"/>
      <c r="DN370" s="1933"/>
      <c r="DO370" s="1933"/>
      <c r="DP370" s="1933"/>
      <c r="DQ370" s="1933"/>
      <c r="DR370" s="3061"/>
    </row>
    <row r="371" spans="1:122" hidden="1" outlineLevel="3">
      <c r="A371" s="2089" t="s">
        <v>203</v>
      </c>
      <c r="B371" s="1762">
        <v>4864000</v>
      </c>
      <c r="C371" s="1890">
        <v>1105000</v>
      </c>
      <c r="D371" s="1890">
        <v>1416000</v>
      </c>
      <c r="E371" s="1890">
        <v>1385000</v>
      </c>
      <c r="F371" s="1890">
        <v>1224000</v>
      </c>
      <c r="G371" s="1762">
        <v>5130000</v>
      </c>
      <c r="H371" s="1890">
        <v>1499000</v>
      </c>
      <c r="I371" s="1890">
        <v>1868000</v>
      </c>
      <c r="J371" s="1890">
        <v>1557000</v>
      </c>
      <c r="K371" s="1890">
        <v>1747000</v>
      </c>
      <c r="L371" s="1762">
        <v>6671000</v>
      </c>
      <c r="M371" s="1890">
        <f t="shared" ref="M371:U371" si="542">M383*M372</f>
        <v>1725150</v>
      </c>
      <c r="N371" s="2090">
        <f t="shared" si="542"/>
        <v>2132.13</v>
      </c>
      <c r="O371" s="2090">
        <f t="shared" si="542"/>
        <v>1926.75</v>
      </c>
      <c r="P371" s="2090">
        <f t="shared" si="542"/>
        <v>1951.32</v>
      </c>
      <c r="Q371" s="2091">
        <f t="shared" si="542"/>
        <v>7735.3499999999995</v>
      </c>
      <c r="R371" s="2090">
        <f t="shared" si="542"/>
        <v>1837.8000000000002</v>
      </c>
      <c r="S371" s="2090">
        <f t="shared" si="542"/>
        <v>2163.6</v>
      </c>
      <c r="T371" s="2090">
        <f t="shared" si="542"/>
        <v>1924</v>
      </c>
      <c r="U371" s="2090">
        <f t="shared" si="542"/>
        <v>2032.2</v>
      </c>
      <c r="V371" s="2092">
        <f>SUM(R371:U371)</f>
        <v>7957.5999999999995</v>
      </c>
      <c r="W371" s="2090">
        <f>W383*W372</f>
        <v>1948.2</v>
      </c>
      <c r="X371" s="2090">
        <f>X383*X372</f>
        <v>2367.6</v>
      </c>
      <c r="Y371" s="2090">
        <f>Y383*Y372</f>
        <v>2180.2000000000003</v>
      </c>
      <c r="Z371" s="2090">
        <f>Z383*Z372</f>
        <v>2361.2000000000003</v>
      </c>
      <c r="AA371" s="2092">
        <f>SUM(W371:Z371)</f>
        <v>8857.2000000000007</v>
      </c>
      <c r="AB371" s="2090">
        <f>AB383*AB372</f>
        <v>2162.2000000000003</v>
      </c>
      <c r="AC371" s="2090">
        <f>AC383*AC372</f>
        <v>15050.4</v>
      </c>
      <c r="AD371" s="2090">
        <f>AD383*AD372</f>
        <v>31675.600000000002</v>
      </c>
      <c r="AE371" s="2090">
        <f>AE383*AE372</f>
        <v>42787.200000000004</v>
      </c>
      <c r="AF371" s="2092"/>
      <c r="AG371" s="2090"/>
      <c r="AH371" s="2090"/>
      <c r="AI371" s="2090"/>
      <c r="AJ371" s="2090"/>
      <c r="AK371" s="2092"/>
      <c r="AL371" s="2090"/>
      <c r="AM371" s="2090"/>
      <c r="AN371" s="2090"/>
      <c r="AO371" s="1891"/>
      <c r="AP371" s="1891"/>
      <c r="AQ371" s="1891"/>
      <c r="AR371" s="1891"/>
      <c r="AS371" s="1891"/>
      <c r="AT371" s="1891"/>
      <c r="AU371" s="1891"/>
      <c r="AV371" s="1891"/>
      <c r="AW371" s="1891"/>
      <c r="AX371" s="1891"/>
      <c r="AY371" s="1891"/>
      <c r="AZ371" s="1908"/>
      <c r="BA371" s="1891"/>
      <c r="BB371" s="1891"/>
      <c r="BC371" s="1891"/>
      <c r="BD371" s="1891"/>
      <c r="BE371" s="1908"/>
      <c r="BF371" s="1891"/>
      <c r="BG371" s="1891"/>
      <c r="BH371" s="1891"/>
      <c r="BI371" s="1891"/>
      <c r="BJ371" s="1908"/>
      <c r="BK371" s="1891"/>
      <c r="BL371" s="1891"/>
      <c r="BM371" s="1891"/>
      <c r="BN371" s="1891"/>
      <c r="BO371" s="1908"/>
      <c r="BP371" s="1891"/>
      <c r="BQ371" s="1891"/>
      <c r="BR371" s="1891"/>
      <c r="BS371" s="1891"/>
      <c r="BT371" s="1908"/>
      <c r="BU371" s="1891"/>
      <c r="BV371" s="1891"/>
      <c r="BW371" s="1891"/>
      <c r="BX371" s="1891"/>
      <c r="BY371" s="1908"/>
      <c r="BZ371" s="1891"/>
      <c r="CA371" s="1891"/>
      <c r="CB371" s="1891"/>
      <c r="CC371" s="1891"/>
      <c r="CD371" s="1908"/>
      <c r="CE371" s="1891"/>
      <c r="CF371" s="1891"/>
      <c r="CG371" s="1891"/>
      <c r="CH371" s="1891"/>
      <c r="CI371" s="1908"/>
      <c r="CJ371" s="1891"/>
      <c r="CK371" s="1891"/>
      <c r="CL371" s="1891"/>
      <c r="CM371" s="1891"/>
      <c r="CN371" s="1908"/>
      <c r="CO371" s="1891"/>
      <c r="CP371" s="1891"/>
      <c r="CQ371" s="1891"/>
      <c r="CR371" s="1891"/>
      <c r="CS371" s="1908"/>
      <c r="CT371" s="1891"/>
      <c r="CU371" s="1891"/>
      <c r="CV371" s="1891"/>
      <c r="CW371" s="1891"/>
      <c r="CX371" s="1908"/>
      <c r="CY371" s="1890"/>
      <c r="CZ371" s="1890"/>
      <c r="DA371" s="1890"/>
      <c r="DB371" s="1890"/>
      <c r="DC371" s="1890"/>
      <c r="DD371" s="1890"/>
      <c r="DE371" s="1890"/>
      <c r="DF371" s="1890"/>
      <c r="DG371" s="1890"/>
      <c r="DH371" s="1804"/>
      <c r="DI371" s="1801"/>
      <c r="DJ371" s="1804"/>
      <c r="DK371" s="1907"/>
      <c r="DL371" s="1907"/>
      <c r="DM371" s="1908"/>
      <c r="DN371" s="1908"/>
      <c r="DO371" s="1908"/>
      <c r="DP371" s="1908"/>
      <c r="DQ371" s="1908"/>
      <c r="DR371" s="1915"/>
    </row>
    <row r="372" spans="1:122" hidden="1" outlineLevel="3">
      <c r="A372" s="1900" t="s">
        <v>162</v>
      </c>
      <c r="B372" s="1774">
        <f t="shared" ref="B372:L372" si="543">B371/B383</f>
        <v>0.19229096659418857</v>
      </c>
      <c r="C372" s="1900">
        <f t="shared" si="543"/>
        <v>0.18037871367939928</v>
      </c>
      <c r="D372" s="1900">
        <f t="shared" si="543"/>
        <v>0.18292210308745641</v>
      </c>
      <c r="E372" s="1900">
        <f t="shared" si="543"/>
        <v>0.19116632160110422</v>
      </c>
      <c r="F372" s="1900">
        <f t="shared" si="543"/>
        <v>0.16875775541155383</v>
      </c>
      <c r="G372" s="1774">
        <f t="shared" si="543"/>
        <v>0.18085668958223161</v>
      </c>
      <c r="H372" s="1900">
        <f t="shared" si="543"/>
        <v>0.19351923573457269</v>
      </c>
      <c r="I372" s="1900">
        <f t="shared" si="543"/>
        <v>0.2187097529563283</v>
      </c>
      <c r="J372" s="1900">
        <f t="shared" si="543"/>
        <v>0.19872367581365666</v>
      </c>
      <c r="K372" s="1900">
        <f t="shared" si="543"/>
        <v>0.21661500309981402</v>
      </c>
      <c r="L372" s="1774">
        <f t="shared" si="543"/>
        <v>0.20725758846739367</v>
      </c>
      <c r="M372" s="1900">
        <v>0.21</v>
      </c>
      <c r="N372" s="2093">
        <v>0.21</v>
      </c>
      <c r="O372" s="2093">
        <v>0.21</v>
      </c>
      <c r="P372" s="2093">
        <v>0.21</v>
      </c>
      <c r="Q372" s="2094">
        <v>0.21</v>
      </c>
      <c r="R372" s="2093">
        <v>0.2</v>
      </c>
      <c r="S372" s="2093">
        <v>0.2</v>
      </c>
      <c r="T372" s="2093">
        <v>0.2</v>
      </c>
      <c r="U372" s="2093">
        <v>0.2</v>
      </c>
      <c r="V372" s="2094">
        <v>0.21</v>
      </c>
      <c r="W372" s="2093">
        <v>0.2</v>
      </c>
      <c r="X372" s="2093">
        <v>0.2</v>
      </c>
      <c r="Y372" s="2093">
        <v>0.2</v>
      </c>
      <c r="Z372" s="2093">
        <v>0.2</v>
      </c>
      <c r="AA372" s="2094">
        <v>0.21</v>
      </c>
      <c r="AB372" s="2093">
        <v>0.2</v>
      </c>
      <c r="AC372" s="2093">
        <v>1.2</v>
      </c>
      <c r="AD372" s="2093">
        <v>2.2000000000000002</v>
      </c>
      <c r="AE372" s="2093">
        <v>3.2</v>
      </c>
      <c r="AF372" s="2094"/>
      <c r="AG372" s="2093"/>
      <c r="AH372" s="2093"/>
      <c r="AI372" s="2093"/>
      <c r="AJ372" s="2093"/>
      <c r="AK372" s="2094"/>
      <c r="AL372" s="2093"/>
      <c r="AM372" s="2093"/>
      <c r="AN372" s="2093"/>
      <c r="AO372" s="1903"/>
      <c r="AP372" s="1903"/>
      <c r="AQ372" s="1903"/>
      <c r="AR372" s="1903"/>
      <c r="AS372" s="1903"/>
      <c r="AT372" s="1903"/>
      <c r="AU372" s="1903"/>
      <c r="AV372" s="1903"/>
      <c r="AW372" s="1903"/>
      <c r="AX372" s="1903"/>
      <c r="AY372" s="1903"/>
      <c r="AZ372" s="1899"/>
      <c r="BA372" s="1903"/>
      <c r="BB372" s="1903"/>
      <c r="BC372" s="1903"/>
      <c r="BD372" s="1903"/>
      <c r="BE372" s="1899"/>
      <c r="BF372" s="1903"/>
      <c r="BG372" s="1903"/>
      <c r="BH372" s="1903"/>
      <c r="BI372" s="1903"/>
      <c r="BJ372" s="1899"/>
      <c r="BK372" s="1903"/>
      <c r="BL372" s="1903"/>
      <c r="BM372" s="1903"/>
      <c r="BN372" s="1903"/>
      <c r="BO372" s="1899"/>
      <c r="BP372" s="1903"/>
      <c r="BQ372" s="1903"/>
      <c r="BR372" s="1903"/>
      <c r="BS372" s="1903"/>
      <c r="BT372" s="1899"/>
      <c r="BU372" s="1903"/>
      <c r="BV372" s="1903"/>
      <c r="BW372" s="1903"/>
      <c r="BX372" s="1903"/>
      <c r="BY372" s="1899"/>
      <c r="BZ372" s="1903"/>
      <c r="CA372" s="1903"/>
      <c r="CB372" s="1903"/>
      <c r="CC372" s="1903"/>
      <c r="CD372" s="1899"/>
      <c r="CE372" s="1903"/>
      <c r="CF372" s="1903"/>
      <c r="CG372" s="1903"/>
      <c r="CH372" s="1903"/>
      <c r="CI372" s="1899"/>
      <c r="CJ372" s="1903"/>
      <c r="CK372" s="1903"/>
      <c r="CL372" s="1903"/>
      <c r="CM372" s="1903"/>
      <c r="CN372" s="1899"/>
      <c r="CO372" s="1903"/>
      <c r="CP372" s="1903"/>
      <c r="CQ372" s="1903"/>
      <c r="CR372" s="1903"/>
      <c r="CS372" s="1899"/>
      <c r="CT372" s="1903"/>
      <c r="CU372" s="1903"/>
      <c r="CV372" s="1903"/>
      <c r="CW372" s="1903"/>
      <c r="CX372" s="1899"/>
      <c r="CY372" s="1900"/>
      <c r="CZ372" s="1900"/>
      <c r="DA372" s="1900"/>
      <c r="DB372" s="1900"/>
      <c r="DC372" s="1900"/>
      <c r="DD372" s="1900"/>
      <c r="DE372" s="1900"/>
      <c r="DF372" s="1900"/>
      <c r="DG372" s="1900"/>
      <c r="DH372" s="1773"/>
      <c r="DI372" s="1774"/>
      <c r="DJ372" s="1773"/>
      <c r="DK372" s="1901"/>
      <c r="DL372" s="1901"/>
      <c r="DM372" s="1899"/>
      <c r="DN372" s="1899"/>
      <c r="DO372" s="1899"/>
      <c r="DP372" s="1899"/>
      <c r="DQ372" s="1899"/>
      <c r="DR372" s="1898"/>
    </row>
    <row r="373" spans="1:122" hidden="1" outlineLevel="3">
      <c r="A373" s="1900" t="s">
        <v>163</v>
      </c>
      <c r="B373" s="1774"/>
      <c r="C373" s="1900"/>
      <c r="D373" s="1900"/>
      <c r="E373" s="1900"/>
      <c r="F373" s="1900"/>
      <c r="G373" s="1774">
        <f t="shared" ref="G373:AE373" si="544">G371/B371-1</f>
        <v>5.46875E-2</v>
      </c>
      <c r="H373" s="1900">
        <f t="shared" si="544"/>
        <v>0.35656108597285074</v>
      </c>
      <c r="I373" s="1900">
        <f t="shared" si="544"/>
        <v>0.31920903954802249</v>
      </c>
      <c r="J373" s="1900">
        <f t="shared" si="544"/>
        <v>0.12418772563176894</v>
      </c>
      <c r="K373" s="1900">
        <f t="shared" si="544"/>
        <v>0.42728758169934644</v>
      </c>
      <c r="L373" s="1774">
        <f t="shared" si="544"/>
        <v>0.30038986354775821</v>
      </c>
      <c r="M373" s="1900">
        <f t="shared" si="544"/>
        <v>0.15086724482988667</v>
      </c>
      <c r="N373" s="2093">
        <f t="shared" si="544"/>
        <v>-0.99885860278372596</v>
      </c>
      <c r="O373" s="2093">
        <f t="shared" si="544"/>
        <v>-0.99876252408477839</v>
      </c>
      <c r="P373" s="2093">
        <f t="shared" si="544"/>
        <v>-0.99888304522037774</v>
      </c>
      <c r="Q373" s="2094">
        <f t="shared" si="544"/>
        <v>-0.99884045120671561</v>
      </c>
      <c r="R373" s="2093">
        <f t="shared" si="544"/>
        <v>-0.99893470133031914</v>
      </c>
      <c r="S373" s="2093">
        <f t="shared" si="544"/>
        <v>1.4759887999324484E-2</v>
      </c>
      <c r="T373" s="2093">
        <f t="shared" si="544"/>
        <v>-1.4272739068379448E-3</v>
      </c>
      <c r="U373" s="2093">
        <f t="shared" si="544"/>
        <v>4.1448865383432842E-2</v>
      </c>
      <c r="V373" s="2094">
        <f t="shared" si="544"/>
        <v>2.8731731595855292E-2</v>
      </c>
      <c r="W373" s="2093">
        <f t="shared" si="544"/>
        <v>6.0071825008161772E-2</v>
      </c>
      <c r="X373" s="2093">
        <f t="shared" si="544"/>
        <v>9.4287298946200693E-2</v>
      </c>
      <c r="Y373" s="2093">
        <f t="shared" si="544"/>
        <v>0.13316008316008321</v>
      </c>
      <c r="Z373" s="2093">
        <f t="shared" si="544"/>
        <v>0.16189351441787236</v>
      </c>
      <c r="AA373" s="2094">
        <f t="shared" si="544"/>
        <v>0.11304916055092007</v>
      </c>
      <c r="AB373" s="2093">
        <f t="shared" si="544"/>
        <v>0.10984498511446472</v>
      </c>
      <c r="AC373" s="2093">
        <f t="shared" si="544"/>
        <v>5.3568170299037003</v>
      </c>
      <c r="AD373" s="2093">
        <f t="shared" si="544"/>
        <v>13.528758829465186</v>
      </c>
      <c r="AE373" s="2093">
        <f t="shared" si="544"/>
        <v>17.120955446383196</v>
      </c>
      <c r="AF373" s="2094"/>
      <c r="AG373" s="2093"/>
      <c r="AH373" s="2093"/>
      <c r="AI373" s="2093"/>
      <c r="AJ373" s="2093"/>
      <c r="AK373" s="2094"/>
      <c r="AL373" s="2093"/>
      <c r="AM373" s="2093"/>
      <c r="AN373" s="2093"/>
      <c r="AO373" s="1903"/>
      <c r="AP373" s="1903"/>
      <c r="AQ373" s="1903"/>
      <c r="AR373" s="1903"/>
      <c r="AS373" s="1903"/>
      <c r="AT373" s="1903"/>
      <c r="AU373" s="1903"/>
      <c r="AV373" s="1903"/>
      <c r="AW373" s="1903"/>
      <c r="AX373" s="1903"/>
      <c r="AY373" s="1903"/>
      <c r="AZ373" s="1899"/>
      <c r="BA373" s="1903"/>
      <c r="BB373" s="1903"/>
      <c r="BC373" s="1903"/>
      <c r="BD373" s="1903"/>
      <c r="BE373" s="1899"/>
      <c r="BF373" s="1903"/>
      <c r="BG373" s="1903"/>
      <c r="BH373" s="1903"/>
      <c r="BI373" s="1903"/>
      <c r="BJ373" s="1899"/>
      <c r="BK373" s="1903"/>
      <c r="BL373" s="1903"/>
      <c r="BM373" s="1903"/>
      <c r="BN373" s="1903"/>
      <c r="BO373" s="1899"/>
      <c r="BP373" s="1903"/>
      <c r="BQ373" s="1903"/>
      <c r="BR373" s="1903"/>
      <c r="BS373" s="1903"/>
      <c r="BT373" s="1899"/>
      <c r="BU373" s="1903"/>
      <c r="BV373" s="1903"/>
      <c r="BW373" s="1903"/>
      <c r="BX373" s="1903"/>
      <c r="BY373" s="1899"/>
      <c r="BZ373" s="1903"/>
      <c r="CA373" s="1903"/>
      <c r="CB373" s="1903"/>
      <c r="CC373" s="1903"/>
      <c r="CD373" s="1899"/>
      <c r="CE373" s="1903"/>
      <c r="CF373" s="1903"/>
      <c r="CG373" s="1903"/>
      <c r="CH373" s="1903"/>
      <c r="CI373" s="1899"/>
      <c r="CJ373" s="1903"/>
      <c r="CK373" s="1903"/>
      <c r="CL373" s="1903"/>
      <c r="CM373" s="1903"/>
      <c r="CN373" s="1899"/>
      <c r="CO373" s="1903"/>
      <c r="CP373" s="1903"/>
      <c r="CQ373" s="1903"/>
      <c r="CR373" s="1903"/>
      <c r="CS373" s="1899"/>
      <c r="CT373" s="1903"/>
      <c r="CU373" s="1903"/>
      <c r="CV373" s="1903"/>
      <c r="CW373" s="1903"/>
      <c r="CX373" s="1899"/>
      <c r="CY373" s="1900"/>
      <c r="CZ373" s="1900"/>
      <c r="DA373" s="1900"/>
      <c r="DB373" s="1900"/>
      <c r="DC373" s="1900"/>
      <c r="DD373" s="1900"/>
      <c r="DE373" s="1900"/>
      <c r="DF373" s="1900"/>
      <c r="DG373" s="1900"/>
      <c r="DH373" s="1773"/>
      <c r="DI373" s="1774"/>
      <c r="DJ373" s="1773"/>
      <c r="DK373" s="1901"/>
      <c r="DL373" s="1901"/>
      <c r="DM373" s="1899"/>
      <c r="DN373" s="1899"/>
      <c r="DO373" s="1899"/>
      <c r="DP373" s="1899"/>
      <c r="DQ373" s="1899"/>
      <c r="DR373" s="1898"/>
    </row>
    <row r="374" spans="1:122" hidden="1" outlineLevel="3">
      <c r="A374" s="1893"/>
      <c r="B374" s="1929"/>
      <c r="C374" s="1893"/>
      <c r="D374" s="1893"/>
      <c r="E374" s="1893"/>
      <c r="F374" s="1893"/>
      <c r="G374" s="1929"/>
      <c r="H374" s="1893"/>
      <c r="I374" s="1893"/>
      <c r="J374" s="1893"/>
      <c r="K374" s="1893"/>
      <c r="L374" s="1929"/>
      <c r="M374" s="1893"/>
      <c r="N374" s="2095"/>
      <c r="O374" s="2095"/>
      <c r="P374" s="2095"/>
      <c r="Q374" s="2096"/>
      <c r="R374" s="2095"/>
      <c r="S374" s="2095"/>
      <c r="T374" s="2095"/>
      <c r="U374" s="2095"/>
      <c r="V374" s="2097"/>
      <c r="W374" s="2095"/>
      <c r="X374" s="2095"/>
      <c r="Y374" s="2095"/>
      <c r="Z374" s="2095"/>
      <c r="AA374" s="2097"/>
      <c r="AB374" s="2095"/>
      <c r="AC374" s="2095"/>
      <c r="AD374" s="2095"/>
      <c r="AE374" s="2095"/>
      <c r="AF374" s="2097"/>
      <c r="AG374" s="2095"/>
      <c r="AH374" s="2095"/>
      <c r="AI374" s="2095"/>
      <c r="AJ374" s="2095"/>
      <c r="AK374" s="2097"/>
      <c r="AL374" s="2095"/>
      <c r="AM374" s="2095"/>
      <c r="AN374" s="2095"/>
      <c r="AO374" s="1980"/>
      <c r="AP374" s="1980"/>
      <c r="AQ374" s="1980"/>
      <c r="AR374" s="1980"/>
      <c r="AS374" s="1980"/>
      <c r="AT374" s="1980"/>
      <c r="AU374" s="1980"/>
      <c r="AV374" s="1980"/>
      <c r="AW374" s="1980"/>
      <c r="AX374" s="1980"/>
      <c r="AY374" s="1980"/>
      <c r="AZ374" s="1933"/>
      <c r="BA374" s="1980"/>
      <c r="BB374" s="1980"/>
      <c r="BC374" s="1980"/>
      <c r="BD374" s="1980"/>
      <c r="BE374" s="1933"/>
      <c r="BF374" s="1980"/>
      <c r="BG374" s="1980"/>
      <c r="BH374" s="1980"/>
      <c r="BI374" s="1980"/>
      <c r="BJ374" s="1933"/>
      <c r="BK374" s="1980"/>
      <c r="BL374" s="1980"/>
      <c r="BM374" s="1980"/>
      <c r="BN374" s="1980"/>
      <c r="BO374" s="1933"/>
      <c r="BP374" s="1980"/>
      <c r="BQ374" s="1980"/>
      <c r="BR374" s="1980"/>
      <c r="BS374" s="1980"/>
      <c r="BT374" s="1933"/>
      <c r="BU374" s="1980"/>
      <c r="BV374" s="1980"/>
      <c r="BW374" s="1980"/>
      <c r="BX374" s="1980"/>
      <c r="BY374" s="1933"/>
      <c r="BZ374" s="1980"/>
      <c r="CA374" s="1980"/>
      <c r="CB374" s="1980"/>
      <c r="CC374" s="1980"/>
      <c r="CD374" s="1933"/>
      <c r="CE374" s="1980"/>
      <c r="CF374" s="1980"/>
      <c r="CG374" s="1980"/>
      <c r="CH374" s="1980"/>
      <c r="CI374" s="1933"/>
      <c r="CJ374" s="1980"/>
      <c r="CK374" s="1980"/>
      <c r="CL374" s="1980"/>
      <c r="CM374" s="1980"/>
      <c r="CN374" s="1933"/>
      <c r="CO374" s="1980"/>
      <c r="CP374" s="1980"/>
      <c r="CQ374" s="1980"/>
      <c r="CR374" s="1980"/>
      <c r="CS374" s="1933"/>
      <c r="CT374" s="1980"/>
      <c r="CU374" s="1980"/>
      <c r="CV374" s="1980"/>
      <c r="CW374" s="1980"/>
      <c r="CX374" s="1933"/>
      <c r="CY374" s="1893"/>
      <c r="CZ374" s="1893"/>
      <c r="DA374" s="1893"/>
      <c r="DB374" s="1893"/>
      <c r="DC374" s="1893"/>
      <c r="DD374" s="1893"/>
      <c r="DE374" s="1893"/>
      <c r="DF374" s="1893"/>
      <c r="DG374" s="1893"/>
      <c r="DH374" s="1934"/>
      <c r="DI374" s="1930"/>
      <c r="DJ374" s="1934"/>
      <c r="DK374" s="1935"/>
      <c r="DL374" s="1935"/>
      <c r="DM374" s="1933"/>
      <c r="DN374" s="1933"/>
      <c r="DO374" s="1933"/>
      <c r="DP374" s="1933"/>
      <c r="DQ374" s="1933"/>
      <c r="DR374" s="3061"/>
    </row>
    <row r="375" spans="1:122" hidden="1" outlineLevel="3">
      <c r="A375" s="2089" t="s">
        <v>204</v>
      </c>
      <c r="B375" s="1762">
        <v>2935000</v>
      </c>
      <c r="C375" s="1890">
        <v>604000</v>
      </c>
      <c r="D375" s="1890">
        <v>705000</v>
      </c>
      <c r="E375" s="1890">
        <v>818000</v>
      </c>
      <c r="F375" s="1890">
        <v>704000</v>
      </c>
      <c r="G375" s="1762">
        <v>2831000</v>
      </c>
      <c r="H375" s="1890">
        <v>860000</v>
      </c>
      <c r="I375" s="1890">
        <v>871000</v>
      </c>
      <c r="J375" s="1890">
        <v>871000</v>
      </c>
      <c r="K375" s="1890">
        <v>835000</v>
      </c>
      <c r="L375" s="1762">
        <v>3437000</v>
      </c>
      <c r="M375" s="1890">
        <f t="shared" ref="M375:U375" si="545">M383*M376</f>
        <v>903650</v>
      </c>
      <c r="N375" s="2090">
        <f t="shared" si="545"/>
        <v>1116.83</v>
      </c>
      <c r="O375" s="2090">
        <f t="shared" si="545"/>
        <v>1009.25</v>
      </c>
      <c r="P375" s="2090">
        <f t="shared" si="545"/>
        <v>1022.12</v>
      </c>
      <c r="Q375" s="2091">
        <f t="shared" si="545"/>
        <v>4051.85</v>
      </c>
      <c r="R375" s="2090">
        <f t="shared" si="545"/>
        <v>918.90000000000009</v>
      </c>
      <c r="S375" s="2090">
        <f t="shared" si="545"/>
        <v>1081.8</v>
      </c>
      <c r="T375" s="2090">
        <f t="shared" si="545"/>
        <v>962</v>
      </c>
      <c r="U375" s="2090">
        <f t="shared" si="545"/>
        <v>1016.1</v>
      </c>
      <c r="V375" s="2092">
        <f>SUM(R375:U375)</f>
        <v>3978.7999999999997</v>
      </c>
      <c r="W375" s="2090">
        <f>W383*W376</f>
        <v>974.1</v>
      </c>
      <c r="X375" s="2090">
        <f>X383*X376</f>
        <v>1183.8</v>
      </c>
      <c r="Y375" s="2090">
        <f>Y383*Y376</f>
        <v>1090.1000000000001</v>
      </c>
      <c r="Z375" s="2090">
        <f>Z383*Z376</f>
        <v>1180.6000000000001</v>
      </c>
      <c r="AA375" s="2092">
        <f>SUM(W375:Z375)</f>
        <v>4428.6000000000004</v>
      </c>
      <c r="AB375" s="2090">
        <f>AB383*AB376</f>
        <v>1081.1000000000001</v>
      </c>
      <c r="AC375" s="2090">
        <f>AC383*AC376</f>
        <v>13796.2</v>
      </c>
      <c r="AD375" s="2090">
        <f>AD383*AD376</f>
        <v>30235.800000000003</v>
      </c>
      <c r="AE375" s="2090">
        <f>AE383*AE376</f>
        <v>41450.1</v>
      </c>
      <c r="AF375" s="2092"/>
      <c r="AG375" s="2090"/>
      <c r="AH375" s="2090"/>
      <c r="AI375" s="2090"/>
      <c r="AJ375" s="2090"/>
      <c r="AK375" s="2092"/>
      <c r="AL375" s="2090"/>
      <c r="AM375" s="2090"/>
      <c r="AN375" s="2090"/>
      <c r="AO375" s="1891"/>
      <c r="AP375" s="1891"/>
      <c r="AQ375" s="1891"/>
      <c r="AR375" s="1891"/>
      <c r="AS375" s="1891"/>
      <c r="AT375" s="1891"/>
      <c r="AU375" s="1891"/>
      <c r="AV375" s="1891"/>
      <c r="AW375" s="1891"/>
      <c r="AX375" s="1891"/>
      <c r="AY375" s="1891"/>
      <c r="AZ375" s="1908"/>
      <c r="BA375" s="1891"/>
      <c r="BB375" s="1891"/>
      <c r="BC375" s="1891"/>
      <c r="BD375" s="1891"/>
      <c r="BE375" s="1908"/>
      <c r="BF375" s="1891"/>
      <c r="BG375" s="1891"/>
      <c r="BH375" s="1891"/>
      <c r="BI375" s="1891"/>
      <c r="BJ375" s="1908"/>
      <c r="BK375" s="1891"/>
      <c r="BL375" s="1891"/>
      <c r="BM375" s="1891"/>
      <c r="BN375" s="1891"/>
      <c r="BO375" s="1908"/>
      <c r="BP375" s="1891"/>
      <c r="BQ375" s="1891"/>
      <c r="BR375" s="1891"/>
      <c r="BS375" s="1891"/>
      <c r="BT375" s="1908"/>
      <c r="BU375" s="1891"/>
      <c r="BV375" s="1891"/>
      <c r="BW375" s="1891"/>
      <c r="BX375" s="1891"/>
      <c r="BY375" s="1908"/>
      <c r="BZ375" s="1891"/>
      <c r="CA375" s="1891"/>
      <c r="CB375" s="1891"/>
      <c r="CC375" s="1891"/>
      <c r="CD375" s="1908"/>
      <c r="CE375" s="1891"/>
      <c r="CF375" s="1891"/>
      <c r="CG375" s="1891"/>
      <c r="CH375" s="1891"/>
      <c r="CI375" s="1908"/>
      <c r="CJ375" s="1891"/>
      <c r="CK375" s="1891"/>
      <c r="CL375" s="1891"/>
      <c r="CM375" s="1891"/>
      <c r="CN375" s="1908"/>
      <c r="CO375" s="1891"/>
      <c r="CP375" s="1891"/>
      <c r="CQ375" s="1891"/>
      <c r="CR375" s="1891"/>
      <c r="CS375" s="1908"/>
      <c r="CT375" s="1891"/>
      <c r="CU375" s="1891"/>
      <c r="CV375" s="1891"/>
      <c r="CW375" s="1891"/>
      <c r="CX375" s="1908"/>
      <c r="CY375" s="1890"/>
      <c r="CZ375" s="1890"/>
      <c r="DA375" s="1890"/>
      <c r="DB375" s="1890"/>
      <c r="DC375" s="1890"/>
      <c r="DD375" s="1890"/>
      <c r="DE375" s="1890"/>
      <c r="DF375" s="1890"/>
      <c r="DG375" s="1890"/>
      <c r="DH375" s="1804"/>
      <c r="DI375" s="1801"/>
      <c r="DJ375" s="1804"/>
      <c r="DK375" s="1907"/>
      <c r="DL375" s="1907"/>
      <c r="DM375" s="1908"/>
      <c r="DN375" s="1908"/>
      <c r="DO375" s="1908"/>
      <c r="DP375" s="1908"/>
      <c r="DQ375" s="1908"/>
      <c r="DR375" s="1915"/>
    </row>
    <row r="376" spans="1:122" hidden="1" outlineLevel="3">
      <c r="A376" s="1900" t="s">
        <v>162</v>
      </c>
      <c r="B376" s="1774">
        <f t="shared" ref="B376:L376" si="546">B375/B383</f>
        <v>0.11603083613362325</v>
      </c>
      <c r="C376" s="1900">
        <f t="shared" si="546"/>
        <v>9.8596147567744041E-2</v>
      </c>
      <c r="D376" s="1900">
        <f t="shared" si="546"/>
        <v>9.1073504715153075E-2</v>
      </c>
      <c r="E376" s="1900">
        <f t="shared" si="546"/>
        <v>0.11290545203588682</v>
      </c>
      <c r="F376" s="1900">
        <f t="shared" si="546"/>
        <v>9.7063284158279334E-2</v>
      </c>
      <c r="G376" s="1774">
        <f t="shared" si="546"/>
        <v>9.980609906575004E-2</v>
      </c>
      <c r="H376" s="1900">
        <f t="shared" si="546"/>
        <v>0.11102504518461141</v>
      </c>
      <c r="I376" s="1900">
        <f t="shared" si="546"/>
        <v>0.1019786910197869</v>
      </c>
      <c r="J376" s="1900">
        <f t="shared" si="546"/>
        <v>0.11116783663050415</v>
      </c>
      <c r="K376" s="1900">
        <f t="shared" si="546"/>
        <v>0.10353378797272164</v>
      </c>
      <c r="L376" s="1774">
        <f t="shared" si="546"/>
        <v>0.10678224127753441</v>
      </c>
      <c r="M376" s="1900">
        <v>0.11</v>
      </c>
      <c r="N376" s="2093">
        <v>0.11</v>
      </c>
      <c r="O376" s="2093">
        <v>0.11</v>
      </c>
      <c r="P376" s="2093">
        <v>0.11</v>
      </c>
      <c r="Q376" s="2094">
        <v>0.11</v>
      </c>
      <c r="R376" s="2093">
        <v>0.1</v>
      </c>
      <c r="S376" s="2093">
        <v>0.1</v>
      </c>
      <c r="T376" s="2093">
        <v>0.1</v>
      </c>
      <c r="U376" s="2093">
        <v>0.1</v>
      </c>
      <c r="V376" s="2094">
        <v>0.11</v>
      </c>
      <c r="W376" s="2093">
        <v>0.1</v>
      </c>
      <c r="X376" s="2093">
        <v>0.1</v>
      </c>
      <c r="Y376" s="2093">
        <v>0.1</v>
      </c>
      <c r="Z376" s="2093">
        <v>0.1</v>
      </c>
      <c r="AA376" s="2094">
        <v>0.11</v>
      </c>
      <c r="AB376" s="2093">
        <v>0.1</v>
      </c>
      <c r="AC376" s="2093">
        <v>1.1000000000000001</v>
      </c>
      <c r="AD376" s="2093">
        <v>2.1</v>
      </c>
      <c r="AE376" s="2093">
        <v>3.1</v>
      </c>
      <c r="AF376" s="2094"/>
      <c r="AG376" s="2093"/>
      <c r="AH376" s="2093"/>
      <c r="AI376" s="2093"/>
      <c r="AJ376" s="2093"/>
      <c r="AK376" s="2094"/>
      <c r="AL376" s="2093"/>
      <c r="AM376" s="2093"/>
      <c r="AN376" s="2093"/>
      <c r="AO376" s="1903"/>
      <c r="AP376" s="1903"/>
      <c r="AQ376" s="1903"/>
      <c r="AR376" s="1903"/>
      <c r="AS376" s="1903"/>
      <c r="AT376" s="1903"/>
      <c r="AU376" s="1903"/>
      <c r="AV376" s="1903"/>
      <c r="AW376" s="1903"/>
      <c r="AX376" s="1903"/>
      <c r="AY376" s="1903"/>
      <c r="AZ376" s="1899"/>
      <c r="BA376" s="1903"/>
      <c r="BB376" s="1903"/>
      <c r="BC376" s="1903"/>
      <c r="BD376" s="1903"/>
      <c r="BE376" s="1899"/>
      <c r="BF376" s="1903"/>
      <c r="BG376" s="1903"/>
      <c r="BH376" s="1903"/>
      <c r="BI376" s="1903"/>
      <c r="BJ376" s="1899"/>
      <c r="BK376" s="1903"/>
      <c r="BL376" s="1903"/>
      <c r="BM376" s="1903"/>
      <c r="BN376" s="1903"/>
      <c r="BO376" s="1899"/>
      <c r="BP376" s="1903"/>
      <c r="BQ376" s="1903"/>
      <c r="BR376" s="1903"/>
      <c r="BS376" s="1903"/>
      <c r="BT376" s="1899"/>
      <c r="BU376" s="1903"/>
      <c r="BV376" s="1903"/>
      <c r="BW376" s="1903"/>
      <c r="BX376" s="1903"/>
      <c r="BY376" s="1899"/>
      <c r="BZ376" s="1903"/>
      <c r="CA376" s="1903"/>
      <c r="CB376" s="1903"/>
      <c r="CC376" s="1903"/>
      <c r="CD376" s="1899"/>
      <c r="CE376" s="1903"/>
      <c r="CF376" s="1903"/>
      <c r="CG376" s="1903"/>
      <c r="CH376" s="1903"/>
      <c r="CI376" s="1899"/>
      <c r="CJ376" s="1903"/>
      <c r="CK376" s="1903"/>
      <c r="CL376" s="1903"/>
      <c r="CM376" s="1903"/>
      <c r="CN376" s="1899"/>
      <c r="CO376" s="1903"/>
      <c r="CP376" s="1903"/>
      <c r="CQ376" s="1903"/>
      <c r="CR376" s="1903"/>
      <c r="CS376" s="1899"/>
      <c r="CT376" s="1903"/>
      <c r="CU376" s="1903"/>
      <c r="CV376" s="1903"/>
      <c r="CW376" s="1903"/>
      <c r="CX376" s="1899"/>
      <c r="CY376" s="1900"/>
      <c r="CZ376" s="1900"/>
      <c r="DA376" s="1900"/>
      <c r="DB376" s="1900"/>
      <c r="DC376" s="1900"/>
      <c r="DD376" s="1900"/>
      <c r="DE376" s="1900"/>
      <c r="DF376" s="1900"/>
      <c r="DG376" s="1900"/>
      <c r="DH376" s="1773"/>
      <c r="DI376" s="1774"/>
      <c r="DJ376" s="1773"/>
      <c r="DK376" s="1901"/>
      <c r="DL376" s="1901"/>
      <c r="DM376" s="1899"/>
      <c r="DN376" s="1899"/>
      <c r="DO376" s="1899"/>
      <c r="DP376" s="1899"/>
      <c r="DQ376" s="1899"/>
      <c r="DR376" s="1898"/>
    </row>
    <row r="377" spans="1:122" hidden="1" outlineLevel="3">
      <c r="A377" s="1900" t="s">
        <v>163</v>
      </c>
      <c r="B377" s="1774"/>
      <c r="C377" s="1900"/>
      <c r="D377" s="1900"/>
      <c r="E377" s="1900"/>
      <c r="F377" s="1900"/>
      <c r="G377" s="1774">
        <f t="shared" ref="G377:AE377" si="547">G375/B375-1</f>
        <v>-3.5434412265758053E-2</v>
      </c>
      <c r="H377" s="1900">
        <f t="shared" si="547"/>
        <v>0.42384105960264895</v>
      </c>
      <c r="I377" s="1900">
        <f t="shared" si="547"/>
        <v>0.23546099290780131</v>
      </c>
      <c r="J377" s="1900">
        <f t="shared" si="547"/>
        <v>6.4792176039119909E-2</v>
      </c>
      <c r="K377" s="1900">
        <f t="shared" si="547"/>
        <v>0.18607954545454541</v>
      </c>
      <c r="L377" s="1774">
        <f t="shared" si="547"/>
        <v>0.21405863652419632</v>
      </c>
      <c r="M377" s="1900">
        <f t="shared" si="547"/>
        <v>5.0755813953488271E-2</v>
      </c>
      <c r="N377" s="2093">
        <f t="shared" si="547"/>
        <v>-0.99871776119402988</v>
      </c>
      <c r="O377" s="2093">
        <f t="shared" si="547"/>
        <v>-0.99884127439724457</v>
      </c>
      <c r="P377" s="2093">
        <f t="shared" si="547"/>
        <v>-0.99877590419161677</v>
      </c>
      <c r="Q377" s="2094">
        <f t="shared" si="547"/>
        <v>-0.99882110852487638</v>
      </c>
      <c r="R377" s="2093">
        <f t="shared" si="547"/>
        <v>-0.99898312399712275</v>
      </c>
      <c r="S377" s="2093">
        <f t="shared" si="547"/>
        <v>-3.1365561455190094E-2</v>
      </c>
      <c r="T377" s="2093">
        <f t="shared" si="547"/>
        <v>-4.6816943274708978E-2</v>
      </c>
      <c r="U377" s="2093">
        <f t="shared" si="547"/>
        <v>-5.8897194067232261E-3</v>
      </c>
      <c r="V377" s="2094">
        <f t="shared" si="547"/>
        <v>-1.8028801658501736E-2</v>
      </c>
      <c r="W377" s="2093">
        <f t="shared" si="547"/>
        <v>6.0071825008161772E-2</v>
      </c>
      <c r="X377" s="2093">
        <f t="shared" si="547"/>
        <v>9.4287298946200693E-2</v>
      </c>
      <c r="Y377" s="2093">
        <f t="shared" si="547"/>
        <v>0.13316008316008321</v>
      </c>
      <c r="Z377" s="2093">
        <f t="shared" si="547"/>
        <v>0.16189351441787236</v>
      </c>
      <c r="AA377" s="2094">
        <f t="shared" si="547"/>
        <v>0.11304916055092007</v>
      </c>
      <c r="AB377" s="2093">
        <f t="shared" si="547"/>
        <v>0.10984498511446472</v>
      </c>
      <c r="AC377" s="2093">
        <f t="shared" si="547"/>
        <v>10.654164554823451</v>
      </c>
      <c r="AD377" s="2093">
        <f t="shared" si="547"/>
        <v>26.736721401706266</v>
      </c>
      <c r="AE377" s="2093">
        <f t="shared" si="547"/>
        <v>34.109351177367436</v>
      </c>
      <c r="AF377" s="2094"/>
      <c r="AG377" s="2093"/>
      <c r="AH377" s="2093"/>
      <c r="AI377" s="2093"/>
      <c r="AJ377" s="2093"/>
      <c r="AK377" s="2094"/>
      <c r="AL377" s="2093"/>
      <c r="AM377" s="2093"/>
      <c r="AN377" s="2093"/>
      <c r="AO377" s="1903"/>
      <c r="AP377" s="1903"/>
      <c r="AQ377" s="1903"/>
      <c r="AR377" s="1903"/>
      <c r="AS377" s="1903"/>
      <c r="AT377" s="1903"/>
      <c r="AU377" s="1903"/>
      <c r="AV377" s="1903"/>
      <c r="AW377" s="1903"/>
      <c r="AX377" s="1903"/>
      <c r="AY377" s="1903"/>
      <c r="AZ377" s="1899"/>
      <c r="BA377" s="1903"/>
      <c r="BB377" s="1903"/>
      <c r="BC377" s="1903"/>
      <c r="BD377" s="1903"/>
      <c r="BE377" s="1899"/>
      <c r="BF377" s="1903"/>
      <c r="BG377" s="1903"/>
      <c r="BH377" s="1903"/>
      <c r="BI377" s="1903"/>
      <c r="BJ377" s="1899"/>
      <c r="BK377" s="1903"/>
      <c r="BL377" s="1903"/>
      <c r="BM377" s="1903"/>
      <c r="BN377" s="1903"/>
      <c r="BO377" s="1899"/>
      <c r="BP377" s="1903"/>
      <c r="BQ377" s="1903"/>
      <c r="BR377" s="1903"/>
      <c r="BS377" s="1903"/>
      <c r="BT377" s="1899"/>
      <c r="BU377" s="1903"/>
      <c r="BV377" s="1903"/>
      <c r="BW377" s="1903"/>
      <c r="BX377" s="1903"/>
      <c r="BY377" s="1899"/>
      <c r="BZ377" s="1903"/>
      <c r="CA377" s="1903"/>
      <c r="CB377" s="1903"/>
      <c r="CC377" s="1903"/>
      <c r="CD377" s="1899"/>
      <c r="CE377" s="1903"/>
      <c r="CF377" s="1903"/>
      <c r="CG377" s="1903"/>
      <c r="CH377" s="1903"/>
      <c r="CI377" s="1899"/>
      <c r="CJ377" s="1903"/>
      <c r="CK377" s="1903"/>
      <c r="CL377" s="1903"/>
      <c r="CM377" s="1903"/>
      <c r="CN377" s="1899"/>
      <c r="CO377" s="1903"/>
      <c r="CP377" s="1903"/>
      <c r="CQ377" s="1903"/>
      <c r="CR377" s="1903"/>
      <c r="CS377" s="1899"/>
      <c r="CT377" s="1903"/>
      <c r="CU377" s="1903"/>
      <c r="CV377" s="1903"/>
      <c r="CW377" s="1903"/>
      <c r="CX377" s="1899"/>
      <c r="CY377" s="1900"/>
      <c r="CZ377" s="1900"/>
      <c r="DA377" s="1900"/>
      <c r="DB377" s="1900"/>
      <c r="DC377" s="1900"/>
      <c r="DD377" s="1900"/>
      <c r="DE377" s="1900"/>
      <c r="DF377" s="1900"/>
      <c r="DG377" s="1900"/>
      <c r="DH377" s="1773"/>
      <c r="DI377" s="1774"/>
      <c r="DJ377" s="1773"/>
      <c r="DK377" s="1901"/>
      <c r="DL377" s="1901"/>
      <c r="DM377" s="1899"/>
      <c r="DN377" s="1899"/>
      <c r="DO377" s="1899"/>
      <c r="DP377" s="1899"/>
      <c r="DQ377" s="1899"/>
      <c r="DR377" s="1898"/>
    </row>
    <row r="378" spans="1:122" hidden="1" outlineLevel="3">
      <c r="A378" s="1893"/>
      <c r="B378" s="1929"/>
      <c r="C378" s="1893"/>
      <c r="D378" s="1893"/>
      <c r="E378" s="1893"/>
      <c r="F378" s="1893"/>
      <c r="G378" s="1929"/>
      <c r="H378" s="1893"/>
      <c r="I378" s="1893"/>
      <c r="J378" s="1893"/>
      <c r="K378" s="1893"/>
      <c r="L378" s="1929"/>
      <c r="M378" s="1893"/>
      <c r="N378" s="2095"/>
      <c r="O378" s="2095"/>
      <c r="P378" s="2095"/>
      <c r="Q378" s="2096"/>
      <c r="R378" s="2095"/>
      <c r="S378" s="2095"/>
      <c r="T378" s="2095"/>
      <c r="U378" s="2095"/>
      <c r="V378" s="2097"/>
      <c r="W378" s="2095"/>
      <c r="X378" s="2095"/>
      <c r="Y378" s="2095"/>
      <c r="Z378" s="2095"/>
      <c r="AA378" s="2097"/>
      <c r="AB378" s="2095"/>
      <c r="AC378" s="2095"/>
      <c r="AD378" s="2095"/>
      <c r="AE378" s="2095"/>
      <c r="AF378" s="2097"/>
      <c r="AG378" s="2095"/>
      <c r="AH378" s="2095"/>
      <c r="AI378" s="2095"/>
      <c r="AJ378" s="2095"/>
      <c r="AK378" s="2097"/>
      <c r="AL378" s="2095"/>
      <c r="AM378" s="2095"/>
      <c r="AN378" s="2095"/>
      <c r="AO378" s="1980"/>
      <c r="AP378" s="1980"/>
      <c r="AQ378" s="1980"/>
      <c r="AR378" s="1980"/>
      <c r="AS378" s="1980"/>
      <c r="AT378" s="1980"/>
      <c r="AU378" s="1980"/>
      <c r="AV378" s="1980"/>
      <c r="AW378" s="1980"/>
      <c r="AX378" s="1980"/>
      <c r="AY378" s="1980"/>
      <c r="AZ378" s="1933"/>
      <c r="BA378" s="1980"/>
      <c r="BB378" s="1980"/>
      <c r="BC378" s="1980"/>
      <c r="BD378" s="1980"/>
      <c r="BE378" s="1933"/>
      <c r="BF378" s="1980"/>
      <c r="BG378" s="1980"/>
      <c r="BH378" s="1980"/>
      <c r="BI378" s="1980"/>
      <c r="BJ378" s="1933"/>
      <c r="BK378" s="1980"/>
      <c r="BL378" s="1980"/>
      <c r="BM378" s="1980"/>
      <c r="BN378" s="1980"/>
      <c r="BO378" s="1933"/>
      <c r="BP378" s="1980"/>
      <c r="BQ378" s="1980"/>
      <c r="BR378" s="1980"/>
      <c r="BS378" s="1980"/>
      <c r="BT378" s="1933"/>
      <c r="BU378" s="1980"/>
      <c r="BV378" s="1980"/>
      <c r="BW378" s="1980"/>
      <c r="BX378" s="1980"/>
      <c r="BY378" s="1933"/>
      <c r="BZ378" s="1980"/>
      <c r="CA378" s="1980"/>
      <c r="CB378" s="1980"/>
      <c r="CC378" s="1980"/>
      <c r="CD378" s="1933"/>
      <c r="CE378" s="1980"/>
      <c r="CF378" s="1980"/>
      <c r="CG378" s="1980"/>
      <c r="CH378" s="1980"/>
      <c r="CI378" s="1933"/>
      <c r="CJ378" s="1980"/>
      <c r="CK378" s="1980"/>
      <c r="CL378" s="1980"/>
      <c r="CM378" s="1980"/>
      <c r="CN378" s="1933"/>
      <c r="CO378" s="1980"/>
      <c r="CP378" s="1980"/>
      <c r="CQ378" s="1980"/>
      <c r="CR378" s="1980"/>
      <c r="CS378" s="1933"/>
      <c r="CT378" s="1980"/>
      <c r="CU378" s="1980"/>
      <c r="CV378" s="1980"/>
      <c r="CW378" s="1980"/>
      <c r="CX378" s="1933"/>
      <c r="CY378" s="1893"/>
      <c r="CZ378" s="1893"/>
      <c r="DA378" s="1893"/>
      <c r="DB378" s="1893"/>
      <c r="DC378" s="1893"/>
      <c r="DD378" s="1893"/>
      <c r="DE378" s="1893"/>
      <c r="DF378" s="1893"/>
      <c r="DG378" s="1893"/>
      <c r="DH378" s="1934"/>
      <c r="DI378" s="1930"/>
      <c r="DJ378" s="1934"/>
      <c r="DK378" s="1935"/>
      <c r="DL378" s="1935"/>
      <c r="DM378" s="1933"/>
      <c r="DN378" s="1933"/>
      <c r="DO378" s="1933"/>
      <c r="DP378" s="1933"/>
      <c r="DQ378" s="1933"/>
      <c r="DR378" s="3061"/>
    </row>
    <row r="379" spans="1:122" hidden="1" outlineLevel="3">
      <c r="A379" s="2089" t="s">
        <v>205</v>
      </c>
      <c r="B379" s="1762">
        <v>7859000</v>
      </c>
      <c r="C379" s="1890">
        <v>1984000</v>
      </c>
      <c r="D379" s="1890">
        <v>2385000</v>
      </c>
      <c r="E379" s="1890">
        <v>2286000</v>
      </c>
      <c r="F379" s="1890">
        <v>2341000</v>
      </c>
      <c r="G379" s="1762">
        <v>8996000</v>
      </c>
      <c r="H379" s="1890">
        <v>2654000</v>
      </c>
      <c r="I379" s="1890">
        <v>2543000</v>
      </c>
      <c r="J379" s="1890">
        <v>2495000</v>
      </c>
      <c r="K379" s="1890">
        <v>2489000</v>
      </c>
      <c r="L379" s="1762">
        <v>10181000</v>
      </c>
      <c r="M379" s="1890">
        <f t="shared" ref="M379:U379" si="548">M383*M380</f>
        <v>2546650</v>
      </c>
      <c r="N379" s="2090">
        <f t="shared" si="548"/>
        <v>3147.43</v>
      </c>
      <c r="O379" s="2090">
        <f t="shared" si="548"/>
        <v>2844.25</v>
      </c>
      <c r="P379" s="2090">
        <f t="shared" si="548"/>
        <v>2880.52</v>
      </c>
      <c r="Q379" s="2091">
        <f t="shared" si="548"/>
        <v>11418.85</v>
      </c>
      <c r="R379" s="2090">
        <f t="shared" si="548"/>
        <v>2940.48</v>
      </c>
      <c r="S379" s="2090">
        <f t="shared" si="548"/>
        <v>3461.76</v>
      </c>
      <c r="T379" s="2090">
        <f t="shared" si="548"/>
        <v>3078.4</v>
      </c>
      <c r="U379" s="2090">
        <f t="shared" si="548"/>
        <v>3251.52</v>
      </c>
      <c r="V379" s="2092">
        <f>SUM(R379:U379)</f>
        <v>12732.16</v>
      </c>
      <c r="W379" s="2090">
        <f>W383*W380</f>
        <v>3117.12</v>
      </c>
      <c r="X379" s="2090">
        <f>X383*X380</f>
        <v>3788.16</v>
      </c>
      <c r="Y379" s="2090">
        <f>Y383*Y380</f>
        <v>3488.32</v>
      </c>
      <c r="Z379" s="2090">
        <f>Z383*Z380</f>
        <v>3777.92</v>
      </c>
      <c r="AA379" s="2092">
        <f>SUM(W379:Z379)</f>
        <v>14171.52</v>
      </c>
      <c r="AB379" s="2090">
        <f>AB383*AB380</f>
        <v>3459.52</v>
      </c>
      <c r="AC379" s="2090">
        <f>AC383*AC380</f>
        <v>16555.440000000002</v>
      </c>
      <c r="AD379" s="2090">
        <f>AD383*AD380</f>
        <v>33403.360000000001</v>
      </c>
      <c r="AE379" s="2090">
        <f>AE383*AE380</f>
        <v>44391.72</v>
      </c>
      <c r="AF379" s="2092"/>
      <c r="AG379" s="2090"/>
      <c r="AH379" s="2090"/>
      <c r="AI379" s="2090"/>
      <c r="AJ379" s="2090"/>
      <c r="AK379" s="2092"/>
      <c r="AL379" s="2090"/>
      <c r="AM379" s="2090"/>
      <c r="AN379" s="2090"/>
      <c r="AO379" s="1891"/>
      <c r="AP379" s="1891"/>
      <c r="AQ379" s="1891"/>
      <c r="AR379" s="1891"/>
      <c r="AS379" s="1891"/>
      <c r="AT379" s="1891"/>
      <c r="AU379" s="1891"/>
      <c r="AV379" s="1891"/>
      <c r="AW379" s="1891"/>
      <c r="AX379" s="1891"/>
      <c r="AY379" s="1891"/>
      <c r="AZ379" s="1908"/>
      <c r="BA379" s="1891"/>
      <c r="BB379" s="1891"/>
      <c r="BC379" s="1891"/>
      <c r="BD379" s="1891"/>
      <c r="BE379" s="1908"/>
      <c r="BF379" s="1891"/>
      <c r="BG379" s="1891"/>
      <c r="BH379" s="1891"/>
      <c r="BI379" s="1891"/>
      <c r="BJ379" s="1908"/>
      <c r="BK379" s="1891"/>
      <c r="BL379" s="1891"/>
      <c r="BM379" s="1891"/>
      <c r="BN379" s="1891"/>
      <c r="BO379" s="1908"/>
      <c r="BP379" s="1891"/>
      <c r="BQ379" s="1891"/>
      <c r="BR379" s="1891"/>
      <c r="BS379" s="1891"/>
      <c r="BT379" s="1908"/>
      <c r="BU379" s="1891"/>
      <c r="BV379" s="1891"/>
      <c r="BW379" s="1891"/>
      <c r="BX379" s="1891"/>
      <c r="BY379" s="1908"/>
      <c r="BZ379" s="1891"/>
      <c r="CA379" s="1891"/>
      <c r="CB379" s="1891"/>
      <c r="CC379" s="1891"/>
      <c r="CD379" s="1908"/>
      <c r="CE379" s="1891"/>
      <c r="CF379" s="1891"/>
      <c r="CG379" s="1891"/>
      <c r="CH379" s="1891"/>
      <c r="CI379" s="1908"/>
      <c r="CJ379" s="1891"/>
      <c r="CK379" s="1891"/>
      <c r="CL379" s="1891"/>
      <c r="CM379" s="1891"/>
      <c r="CN379" s="1908"/>
      <c r="CO379" s="1891"/>
      <c r="CP379" s="1891"/>
      <c r="CQ379" s="1891"/>
      <c r="CR379" s="1891"/>
      <c r="CS379" s="1908"/>
      <c r="CT379" s="1891"/>
      <c r="CU379" s="1891"/>
      <c r="CV379" s="1891"/>
      <c r="CW379" s="1891"/>
      <c r="CX379" s="1908"/>
      <c r="CY379" s="1890"/>
      <c r="CZ379" s="1890"/>
      <c r="DA379" s="1890"/>
      <c r="DB379" s="1890"/>
      <c r="DC379" s="1890"/>
      <c r="DD379" s="1890"/>
      <c r="DE379" s="1890"/>
      <c r="DF379" s="1890"/>
      <c r="DG379" s="1890"/>
      <c r="DH379" s="1804"/>
      <c r="DI379" s="1801"/>
      <c r="DJ379" s="1804"/>
      <c r="DK379" s="1907"/>
      <c r="DL379" s="1907"/>
      <c r="DM379" s="1908"/>
      <c r="DN379" s="1908"/>
      <c r="DO379" s="1908"/>
      <c r="DP379" s="1908"/>
      <c r="DQ379" s="1908"/>
      <c r="DR379" s="1915"/>
    </row>
    <row r="380" spans="1:122" hidden="1" outlineLevel="3">
      <c r="A380" s="1900" t="s">
        <v>162</v>
      </c>
      <c r="B380" s="1774">
        <f t="shared" ref="B380:L380" si="549">B379/B383</f>
        <v>0.31069381300652305</v>
      </c>
      <c r="C380" s="1900">
        <f t="shared" si="549"/>
        <v>0.3238654913483513</v>
      </c>
      <c r="D380" s="1900">
        <f t="shared" si="549"/>
        <v>0.30809972871722002</v>
      </c>
      <c r="E380" s="1900">
        <f t="shared" si="549"/>
        <v>0.31552795031055902</v>
      </c>
      <c r="F380" s="1900">
        <f t="shared" si="549"/>
        <v>0.32276299462291463</v>
      </c>
      <c r="G380" s="1774">
        <f t="shared" si="549"/>
        <v>0.31715141900229155</v>
      </c>
      <c r="H380" s="1900">
        <f t="shared" si="549"/>
        <v>0.34262845339530079</v>
      </c>
      <c r="I380" s="1900">
        <f t="shared" si="549"/>
        <v>0.29774031143894159</v>
      </c>
      <c r="J380" s="1900">
        <f t="shared" si="549"/>
        <v>0.31844288449266112</v>
      </c>
      <c r="K380" s="1900">
        <f t="shared" si="549"/>
        <v>0.30861748295102293</v>
      </c>
      <c r="L380" s="1774">
        <f t="shared" si="549"/>
        <v>0.31630782614098862</v>
      </c>
      <c r="M380" s="1900">
        <v>0.31</v>
      </c>
      <c r="N380" s="2093">
        <v>0.31</v>
      </c>
      <c r="O380" s="2093">
        <v>0.31</v>
      </c>
      <c r="P380" s="2093">
        <v>0.31</v>
      </c>
      <c r="Q380" s="2094">
        <v>0.31</v>
      </c>
      <c r="R380" s="2093">
        <v>0.32</v>
      </c>
      <c r="S380" s="2093">
        <v>0.32</v>
      </c>
      <c r="T380" s="2093">
        <v>0.32</v>
      </c>
      <c r="U380" s="2093">
        <v>0.32</v>
      </c>
      <c r="V380" s="2094">
        <v>0.31</v>
      </c>
      <c r="W380" s="2093">
        <v>0.32</v>
      </c>
      <c r="X380" s="2093">
        <v>0.32</v>
      </c>
      <c r="Y380" s="2093">
        <v>0.32</v>
      </c>
      <c r="Z380" s="2093">
        <v>0.32</v>
      </c>
      <c r="AA380" s="2094">
        <v>0.31</v>
      </c>
      <c r="AB380" s="2093">
        <v>0.32</v>
      </c>
      <c r="AC380" s="2093">
        <v>1.32</v>
      </c>
      <c r="AD380" s="2093">
        <v>2.3199999999999998</v>
      </c>
      <c r="AE380" s="2093">
        <v>3.32</v>
      </c>
      <c r="AF380" s="2094"/>
      <c r="AG380" s="2093"/>
      <c r="AH380" s="2093"/>
      <c r="AI380" s="2093"/>
      <c r="AJ380" s="2093"/>
      <c r="AK380" s="2094"/>
      <c r="AL380" s="2093"/>
      <c r="AM380" s="2093"/>
      <c r="AN380" s="2093"/>
      <c r="AO380" s="1903"/>
      <c r="AP380" s="1903"/>
      <c r="AQ380" s="1903"/>
      <c r="AR380" s="1903"/>
      <c r="AS380" s="1903"/>
      <c r="AT380" s="1903"/>
      <c r="AU380" s="1903"/>
      <c r="AV380" s="1903"/>
      <c r="AW380" s="1903"/>
      <c r="AX380" s="1903"/>
      <c r="AY380" s="1903"/>
      <c r="AZ380" s="1899"/>
      <c r="BA380" s="1903"/>
      <c r="BB380" s="1903"/>
      <c r="BC380" s="1903"/>
      <c r="BD380" s="1903"/>
      <c r="BE380" s="1899"/>
      <c r="BF380" s="1903"/>
      <c r="BG380" s="1903"/>
      <c r="BH380" s="1903"/>
      <c r="BI380" s="1903"/>
      <c r="BJ380" s="1899"/>
      <c r="BK380" s="1903"/>
      <c r="BL380" s="1903"/>
      <c r="BM380" s="1903"/>
      <c r="BN380" s="1903"/>
      <c r="BO380" s="1899"/>
      <c r="BP380" s="1903"/>
      <c r="BQ380" s="1903"/>
      <c r="BR380" s="1903"/>
      <c r="BS380" s="1903"/>
      <c r="BT380" s="1899"/>
      <c r="BU380" s="1903"/>
      <c r="BV380" s="1903"/>
      <c r="BW380" s="1903"/>
      <c r="BX380" s="1903"/>
      <c r="BY380" s="1899"/>
      <c r="BZ380" s="1903"/>
      <c r="CA380" s="1903"/>
      <c r="CB380" s="1903"/>
      <c r="CC380" s="1903"/>
      <c r="CD380" s="1899"/>
      <c r="CE380" s="1903"/>
      <c r="CF380" s="1903"/>
      <c r="CG380" s="1903"/>
      <c r="CH380" s="1903"/>
      <c r="CI380" s="1899"/>
      <c r="CJ380" s="1903"/>
      <c r="CK380" s="1903"/>
      <c r="CL380" s="1903"/>
      <c r="CM380" s="1903"/>
      <c r="CN380" s="1899"/>
      <c r="CO380" s="1903"/>
      <c r="CP380" s="1903"/>
      <c r="CQ380" s="1903"/>
      <c r="CR380" s="1903"/>
      <c r="CS380" s="1899"/>
      <c r="CT380" s="1903"/>
      <c r="CU380" s="1903"/>
      <c r="CV380" s="1903"/>
      <c r="CW380" s="1903"/>
      <c r="CX380" s="1899"/>
      <c r="CY380" s="1900"/>
      <c r="CZ380" s="1900"/>
      <c r="DA380" s="1900"/>
      <c r="DB380" s="1900"/>
      <c r="DC380" s="1900"/>
      <c r="DD380" s="1900"/>
      <c r="DE380" s="1900"/>
      <c r="DF380" s="1900"/>
      <c r="DG380" s="1900"/>
      <c r="DH380" s="1773"/>
      <c r="DI380" s="1774"/>
      <c r="DJ380" s="1773"/>
      <c r="DK380" s="1901"/>
      <c r="DL380" s="1901"/>
      <c r="DM380" s="1899"/>
      <c r="DN380" s="1899"/>
      <c r="DO380" s="1899"/>
      <c r="DP380" s="1899"/>
      <c r="DQ380" s="1899"/>
      <c r="DR380" s="1898"/>
    </row>
    <row r="381" spans="1:122" hidden="1" outlineLevel="3">
      <c r="A381" s="1900" t="s">
        <v>163</v>
      </c>
      <c r="B381" s="1774"/>
      <c r="C381" s="1900"/>
      <c r="D381" s="1900"/>
      <c r="E381" s="1900"/>
      <c r="F381" s="1900"/>
      <c r="G381" s="1774">
        <f t="shared" ref="G381:AE381" si="550">G379/B379-1</f>
        <v>0.14467489502481223</v>
      </c>
      <c r="H381" s="1900">
        <f t="shared" si="550"/>
        <v>0.33770161290322576</v>
      </c>
      <c r="I381" s="1900">
        <f t="shared" si="550"/>
        <v>6.6247379454926536E-2</v>
      </c>
      <c r="J381" s="1900">
        <f t="shared" si="550"/>
        <v>9.1426071741032455E-2</v>
      </c>
      <c r="K381" s="1900">
        <f t="shared" si="550"/>
        <v>6.3220845792396396E-2</v>
      </c>
      <c r="L381" s="1774">
        <f t="shared" si="550"/>
        <v>0.13172521120498004</v>
      </c>
      <c r="M381" s="1900">
        <f t="shared" si="550"/>
        <v>-4.0448379804069345E-2</v>
      </c>
      <c r="N381" s="2093">
        <f t="shared" si="550"/>
        <v>-0.99876231616201339</v>
      </c>
      <c r="O381" s="2093">
        <f t="shared" si="550"/>
        <v>-0.99886002004008012</v>
      </c>
      <c r="P381" s="2093">
        <f t="shared" si="550"/>
        <v>-0.99884269987946972</v>
      </c>
      <c r="Q381" s="2094">
        <f t="shared" si="550"/>
        <v>-0.99887841567625968</v>
      </c>
      <c r="R381" s="2093">
        <f t="shared" si="550"/>
        <v>-0.99884535369995875</v>
      </c>
      <c r="S381" s="2093">
        <f t="shared" si="550"/>
        <v>9.9868781831526254E-2</v>
      </c>
      <c r="T381" s="2093">
        <f t="shared" si="550"/>
        <v>8.232398699129817E-2</v>
      </c>
      <c r="U381" s="2093">
        <f t="shared" si="550"/>
        <v>0.12879618957688188</v>
      </c>
      <c r="V381" s="2094">
        <f t="shared" si="550"/>
        <v>0.11501245747163669</v>
      </c>
      <c r="W381" s="2093">
        <f t="shared" si="550"/>
        <v>6.0071825008161994E-2</v>
      </c>
      <c r="X381" s="2093">
        <f t="shared" si="550"/>
        <v>9.4287298946200693E-2</v>
      </c>
      <c r="Y381" s="2093">
        <f t="shared" si="550"/>
        <v>0.13316008316008321</v>
      </c>
      <c r="Z381" s="2093">
        <f t="shared" si="550"/>
        <v>0.16189351441787236</v>
      </c>
      <c r="AA381" s="2094">
        <f t="shared" si="550"/>
        <v>0.11304916055091985</v>
      </c>
      <c r="AB381" s="2093">
        <f t="shared" si="550"/>
        <v>0.10984498511446472</v>
      </c>
      <c r="AC381" s="2093">
        <f t="shared" si="550"/>
        <v>3.3703117080587948</v>
      </c>
      <c r="AD381" s="2093">
        <f t="shared" si="550"/>
        <v>8.5757728648747822</v>
      </c>
      <c r="AE381" s="2093">
        <f t="shared" si="550"/>
        <v>10.750307047264103</v>
      </c>
      <c r="AF381" s="2094"/>
      <c r="AG381" s="2093"/>
      <c r="AH381" s="2093"/>
      <c r="AI381" s="2093"/>
      <c r="AJ381" s="2093"/>
      <c r="AK381" s="2094"/>
      <c r="AL381" s="2093"/>
      <c r="AM381" s="2093"/>
      <c r="AN381" s="2093"/>
      <c r="AO381" s="1903"/>
      <c r="AP381" s="1903"/>
      <c r="AQ381" s="1903"/>
      <c r="AR381" s="1903"/>
      <c r="AS381" s="1903"/>
      <c r="AT381" s="1903"/>
      <c r="AU381" s="1903"/>
      <c r="AV381" s="1903"/>
      <c r="AW381" s="1903"/>
      <c r="AX381" s="1903"/>
      <c r="AY381" s="1903"/>
      <c r="AZ381" s="1899"/>
      <c r="BA381" s="1903"/>
      <c r="BB381" s="1903"/>
      <c r="BC381" s="1903"/>
      <c r="BD381" s="1903"/>
      <c r="BE381" s="1899"/>
      <c r="BF381" s="1903"/>
      <c r="BG381" s="1903"/>
      <c r="BH381" s="1903"/>
      <c r="BI381" s="1903"/>
      <c r="BJ381" s="1899"/>
      <c r="BK381" s="1903"/>
      <c r="BL381" s="1903"/>
      <c r="BM381" s="1903"/>
      <c r="BN381" s="1903"/>
      <c r="BO381" s="1899"/>
      <c r="BP381" s="1903"/>
      <c r="BQ381" s="1903"/>
      <c r="BR381" s="1903"/>
      <c r="BS381" s="1903"/>
      <c r="BT381" s="1899"/>
      <c r="BU381" s="1903"/>
      <c r="BV381" s="1903"/>
      <c r="BW381" s="1903"/>
      <c r="BX381" s="1903"/>
      <c r="BY381" s="1899"/>
      <c r="BZ381" s="1903"/>
      <c r="CA381" s="1903"/>
      <c r="CB381" s="1903"/>
      <c r="CC381" s="1903"/>
      <c r="CD381" s="1899"/>
      <c r="CE381" s="1903"/>
      <c r="CF381" s="1903"/>
      <c r="CG381" s="1903"/>
      <c r="CH381" s="1903"/>
      <c r="CI381" s="1899"/>
      <c r="CJ381" s="1903"/>
      <c r="CK381" s="1903"/>
      <c r="CL381" s="1903"/>
      <c r="CM381" s="1903"/>
      <c r="CN381" s="1899"/>
      <c r="CO381" s="1903"/>
      <c r="CP381" s="1903"/>
      <c r="CQ381" s="1903"/>
      <c r="CR381" s="1903"/>
      <c r="CS381" s="1899"/>
      <c r="CT381" s="1903"/>
      <c r="CU381" s="1903"/>
      <c r="CV381" s="1903"/>
      <c r="CW381" s="1903"/>
      <c r="CX381" s="1899"/>
      <c r="CY381" s="1900"/>
      <c r="CZ381" s="1900"/>
      <c r="DA381" s="1900"/>
      <c r="DB381" s="1900"/>
      <c r="DC381" s="1900"/>
      <c r="DD381" s="1900"/>
      <c r="DE381" s="1900"/>
      <c r="DF381" s="1900"/>
      <c r="DG381" s="1900"/>
      <c r="DH381" s="1773"/>
      <c r="DI381" s="1774"/>
      <c r="DJ381" s="1773"/>
      <c r="DK381" s="1901"/>
      <c r="DL381" s="1901"/>
      <c r="DM381" s="1899"/>
      <c r="DN381" s="1899"/>
      <c r="DO381" s="1899"/>
      <c r="DP381" s="1899"/>
      <c r="DQ381" s="1899"/>
      <c r="DR381" s="1898"/>
    </row>
    <row r="382" spans="1:122" hidden="1" outlineLevel="3">
      <c r="A382" s="1893"/>
      <c r="B382" s="1929"/>
      <c r="C382" s="1893"/>
      <c r="D382" s="1893"/>
      <c r="E382" s="1893"/>
      <c r="F382" s="1893"/>
      <c r="G382" s="1929"/>
      <c r="H382" s="1893"/>
      <c r="I382" s="1893"/>
      <c r="J382" s="1893"/>
      <c r="K382" s="1893"/>
      <c r="L382" s="1929"/>
      <c r="M382" s="1893"/>
      <c r="N382" s="2095"/>
      <c r="O382" s="2095"/>
      <c r="P382" s="2095"/>
      <c r="Q382" s="2096"/>
      <c r="R382" s="2095"/>
      <c r="S382" s="2095"/>
      <c r="T382" s="2095"/>
      <c r="U382" s="2095"/>
      <c r="V382" s="2097"/>
      <c r="W382" s="2095"/>
      <c r="X382" s="2095"/>
      <c r="Y382" s="2095"/>
      <c r="Z382" s="2095"/>
      <c r="AA382" s="2097"/>
      <c r="AB382" s="2095"/>
      <c r="AC382" s="2095"/>
      <c r="AD382" s="2095"/>
      <c r="AE382" s="2095"/>
      <c r="AF382" s="2097"/>
      <c r="AG382" s="2095"/>
      <c r="AH382" s="2095"/>
      <c r="AI382" s="2095"/>
      <c r="AJ382" s="2095"/>
      <c r="AK382" s="2097"/>
      <c r="AL382" s="2095"/>
      <c r="AM382" s="2095"/>
      <c r="AN382" s="2095"/>
      <c r="AO382" s="1980"/>
      <c r="AP382" s="1980"/>
      <c r="AQ382" s="1980"/>
      <c r="AR382" s="1980"/>
      <c r="AS382" s="1980"/>
      <c r="AT382" s="1980"/>
      <c r="AU382" s="1980"/>
      <c r="AV382" s="1980"/>
      <c r="AW382" s="1980"/>
      <c r="AX382" s="1980"/>
      <c r="AY382" s="1980"/>
      <c r="AZ382" s="1933"/>
      <c r="BA382" s="1980"/>
      <c r="BB382" s="1980"/>
      <c r="BC382" s="1980"/>
      <c r="BD382" s="1980"/>
      <c r="BE382" s="1933"/>
      <c r="BF382" s="1980"/>
      <c r="BG382" s="1980"/>
      <c r="BH382" s="1980"/>
      <c r="BI382" s="1980"/>
      <c r="BJ382" s="1933"/>
      <c r="BK382" s="1980"/>
      <c r="BL382" s="1980"/>
      <c r="BM382" s="1980"/>
      <c r="BN382" s="1980"/>
      <c r="BO382" s="1933"/>
      <c r="BP382" s="1980"/>
      <c r="BQ382" s="1980"/>
      <c r="BR382" s="1980"/>
      <c r="BS382" s="1980"/>
      <c r="BT382" s="1933"/>
      <c r="BU382" s="1980"/>
      <c r="BV382" s="1980"/>
      <c r="BW382" s="1980"/>
      <c r="BX382" s="1980"/>
      <c r="BY382" s="1933"/>
      <c r="BZ382" s="1980"/>
      <c r="CA382" s="1980"/>
      <c r="CB382" s="1980"/>
      <c r="CC382" s="1980"/>
      <c r="CD382" s="1933"/>
      <c r="CE382" s="1980"/>
      <c r="CF382" s="1980"/>
      <c r="CG382" s="1980"/>
      <c r="CH382" s="1980"/>
      <c r="CI382" s="1933"/>
      <c r="CJ382" s="1980"/>
      <c r="CK382" s="1980"/>
      <c r="CL382" s="1980"/>
      <c r="CM382" s="1980"/>
      <c r="CN382" s="1933"/>
      <c r="CO382" s="1980"/>
      <c r="CP382" s="1980"/>
      <c r="CQ382" s="1980"/>
      <c r="CR382" s="1980"/>
      <c r="CS382" s="1933"/>
      <c r="CT382" s="1980"/>
      <c r="CU382" s="1980"/>
      <c r="CV382" s="1980"/>
      <c r="CW382" s="1980"/>
      <c r="CX382" s="1933"/>
      <c r="CY382" s="1893"/>
      <c r="CZ382" s="1893"/>
      <c r="DA382" s="1893"/>
      <c r="DB382" s="1893"/>
      <c r="DC382" s="1893"/>
      <c r="DD382" s="1893"/>
      <c r="DE382" s="1893"/>
      <c r="DF382" s="1893"/>
      <c r="DG382" s="1893"/>
      <c r="DH382" s="1934"/>
      <c r="DI382" s="1930"/>
      <c r="DJ382" s="1934"/>
      <c r="DK382" s="1935"/>
      <c r="DL382" s="1935"/>
      <c r="DM382" s="1933"/>
      <c r="DN382" s="1933"/>
      <c r="DO382" s="1933"/>
      <c r="DP382" s="1933"/>
      <c r="DQ382" s="1933"/>
      <c r="DR382" s="3061"/>
    </row>
    <row r="383" spans="1:122" hidden="1" outlineLevel="3">
      <c r="A383" s="2098" t="s">
        <v>743</v>
      </c>
      <c r="B383" s="2068">
        <f t="shared" ref="B383:L383" si="551">B367+B371+B375+B379</f>
        <v>25295000</v>
      </c>
      <c r="C383" s="2068">
        <f t="shared" si="551"/>
        <v>6126000</v>
      </c>
      <c r="D383" s="2068">
        <f t="shared" si="551"/>
        <v>7741000</v>
      </c>
      <c r="E383" s="2068">
        <f t="shared" si="551"/>
        <v>7245000</v>
      </c>
      <c r="F383" s="2068">
        <f t="shared" si="551"/>
        <v>7253000</v>
      </c>
      <c r="G383" s="2068">
        <f t="shared" si="551"/>
        <v>28365000</v>
      </c>
      <c r="H383" s="2068">
        <f t="shared" si="551"/>
        <v>7746000</v>
      </c>
      <c r="I383" s="2068">
        <f t="shared" si="551"/>
        <v>8541000</v>
      </c>
      <c r="J383" s="2068">
        <f t="shared" si="551"/>
        <v>7835000</v>
      </c>
      <c r="K383" s="2068">
        <f t="shared" si="551"/>
        <v>8065000</v>
      </c>
      <c r="L383" s="2068">
        <f t="shared" si="551"/>
        <v>32187000</v>
      </c>
      <c r="M383" s="2068">
        <v>8215000</v>
      </c>
      <c r="N383" s="2099">
        <f t="shared" ref="N383:AE383" si="552">N297</f>
        <v>10153</v>
      </c>
      <c r="O383" s="2099">
        <f t="shared" si="552"/>
        <v>9175</v>
      </c>
      <c r="P383" s="2099">
        <f t="shared" si="552"/>
        <v>9292</v>
      </c>
      <c r="Q383" s="2099">
        <f t="shared" si="552"/>
        <v>36835</v>
      </c>
      <c r="R383" s="2099">
        <f t="shared" si="552"/>
        <v>9189</v>
      </c>
      <c r="S383" s="2099">
        <f t="shared" si="552"/>
        <v>10818</v>
      </c>
      <c r="T383" s="2099">
        <f t="shared" si="552"/>
        <v>9620</v>
      </c>
      <c r="U383" s="2099">
        <f t="shared" si="552"/>
        <v>10161</v>
      </c>
      <c r="V383" s="2099">
        <f t="shared" si="552"/>
        <v>39788</v>
      </c>
      <c r="W383" s="2099">
        <f t="shared" si="552"/>
        <v>9741</v>
      </c>
      <c r="X383" s="2099">
        <f t="shared" si="552"/>
        <v>11838</v>
      </c>
      <c r="Y383" s="2099">
        <f t="shared" si="552"/>
        <v>10901</v>
      </c>
      <c r="Z383" s="2099">
        <f t="shared" si="552"/>
        <v>11806</v>
      </c>
      <c r="AA383" s="2099">
        <f t="shared" si="552"/>
        <v>44286</v>
      </c>
      <c r="AB383" s="2099">
        <f t="shared" si="552"/>
        <v>10811</v>
      </c>
      <c r="AC383" s="2099">
        <f t="shared" si="552"/>
        <v>12542</v>
      </c>
      <c r="AD383" s="2099">
        <f t="shared" si="552"/>
        <v>14398</v>
      </c>
      <c r="AE383" s="2099">
        <f t="shared" si="552"/>
        <v>13371</v>
      </c>
      <c r="AF383" s="2099"/>
      <c r="AG383" s="2099"/>
      <c r="AH383" s="2099"/>
      <c r="AI383" s="2099"/>
      <c r="AJ383" s="2099"/>
      <c r="AK383" s="2099"/>
      <c r="AL383" s="2099"/>
      <c r="AM383" s="2099"/>
      <c r="AN383" s="2099"/>
      <c r="AO383" s="2069"/>
      <c r="AP383" s="2069"/>
      <c r="AQ383" s="2069"/>
      <c r="AR383" s="2069"/>
      <c r="AS383" s="2069"/>
      <c r="AT383" s="2069"/>
      <c r="AU383" s="2069"/>
      <c r="AV383" s="2069"/>
      <c r="AW383" s="2069"/>
      <c r="AX383" s="2069"/>
      <c r="AY383" s="2069"/>
      <c r="AZ383" s="2070"/>
      <c r="BA383" s="2069"/>
      <c r="BB383" s="2069"/>
      <c r="BC383" s="2069"/>
      <c r="BD383" s="2069"/>
      <c r="BE383" s="2070"/>
      <c r="BF383" s="2069"/>
      <c r="BG383" s="2069"/>
      <c r="BH383" s="2069"/>
      <c r="BI383" s="2069"/>
      <c r="BJ383" s="2070"/>
      <c r="BK383" s="2069"/>
      <c r="BL383" s="2069"/>
      <c r="BM383" s="2069"/>
      <c r="BN383" s="2069"/>
      <c r="BO383" s="2070"/>
      <c r="BP383" s="2069"/>
      <c r="BQ383" s="2069"/>
      <c r="BR383" s="2069"/>
      <c r="BS383" s="2069"/>
      <c r="BT383" s="2070"/>
      <c r="BU383" s="2069"/>
      <c r="BV383" s="2069"/>
      <c r="BW383" s="2069"/>
      <c r="BX383" s="2069"/>
      <c r="BY383" s="2070"/>
      <c r="BZ383" s="2069"/>
      <c r="CA383" s="2069"/>
      <c r="CB383" s="2069"/>
      <c r="CC383" s="2069"/>
      <c r="CD383" s="2070"/>
      <c r="CE383" s="2069"/>
      <c r="CF383" s="2069"/>
      <c r="CG383" s="2069"/>
      <c r="CH383" s="2069"/>
      <c r="CI383" s="2070"/>
      <c r="CJ383" s="2069"/>
      <c r="CK383" s="2069"/>
      <c r="CL383" s="2069"/>
      <c r="CM383" s="2069"/>
      <c r="CN383" s="2070"/>
      <c r="CO383" s="2069"/>
      <c r="CP383" s="2069"/>
      <c r="CQ383" s="2069"/>
      <c r="CR383" s="2069"/>
      <c r="CS383" s="2070"/>
      <c r="CT383" s="2069"/>
      <c r="CU383" s="2069"/>
      <c r="CV383" s="2069"/>
      <c r="CW383" s="2069"/>
      <c r="CX383" s="2070"/>
      <c r="CY383" s="2068"/>
      <c r="CZ383" s="2068"/>
      <c r="DA383" s="2068"/>
      <c r="DB383" s="2068"/>
      <c r="DC383" s="2068"/>
      <c r="DD383" s="2068"/>
      <c r="DE383" s="2068"/>
      <c r="DF383" s="2068"/>
      <c r="DG383" s="2068"/>
      <c r="DH383" s="2071"/>
      <c r="DI383" s="2072"/>
      <c r="DJ383" s="2071"/>
      <c r="DK383" s="2073"/>
      <c r="DL383" s="2073"/>
      <c r="DM383" s="2070"/>
      <c r="DN383" s="2070"/>
      <c r="DO383" s="2070"/>
      <c r="DP383" s="2070"/>
      <c r="DQ383" s="2070"/>
      <c r="DR383" s="1993"/>
    </row>
    <row r="384" spans="1:122" hidden="1" outlineLevel="2">
      <c r="A384" s="1893"/>
      <c r="B384" s="1893"/>
      <c r="C384" s="1893"/>
      <c r="D384" s="1893"/>
      <c r="E384" s="1893"/>
      <c r="F384" s="1893"/>
      <c r="G384" s="1893"/>
      <c r="H384" s="1893"/>
      <c r="I384" s="1893"/>
      <c r="J384" s="1893"/>
      <c r="K384" s="1893"/>
      <c r="L384" s="1893"/>
      <c r="M384" s="1928"/>
      <c r="N384" s="1928"/>
      <c r="O384" s="1928"/>
      <c r="P384" s="1928"/>
      <c r="Q384" s="1928"/>
      <c r="R384" s="1928"/>
      <c r="S384" s="1928"/>
      <c r="T384" s="1928"/>
      <c r="U384" s="1928"/>
      <c r="V384" s="2095"/>
      <c r="W384" s="1928"/>
      <c r="X384" s="1893"/>
      <c r="Y384" s="1893"/>
      <c r="Z384" s="1928"/>
      <c r="AA384" s="2095"/>
      <c r="AB384" s="1928"/>
      <c r="AC384" s="1893"/>
      <c r="AD384" s="1893"/>
      <c r="AE384" s="1928"/>
      <c r="AF384" s="2095"/>
      <c r="AG384" s="1928"/>
      <c r="AH384" s="1893"/>
      <c r="AI384" s="1893"/>
      <c r="AJ384" s="1928"/>
      <c r="AK384" s="2095"/>
      <c r="AL384" s="1928"/>
      <c r="AM384" s="1893"/>
      <c r="AN384" s="1893"/>
      <c r="AO384" s="1980"/>
      <c r="AP384" s="1980"/>
      <c r="AQ384" s="1980"/>
      <c r="AR384" s="1980"/>
      <c r="AS384" s="1980"/>
      <c r="AT384" s="1980"/>
      <c r="AU384" s="1980"/>
      <c r="AV384" s="1980"/>
      <c r="AW384" s="1980"/>
      <c r="AX384" s="1980"/>
      <c r="AY384" s="1980"/>
      <c r="AZ384" s="1933"/>
      <c r="BA384" s="1980"/>
      <c r="BB384" s="1980"/>
      <c r="BC384" s="1980"/>
      <c r="BD384" s="1980"/>
      <c r="BE384" s="1933"/>
      <c r="BF384" s="1980"/>
      <c r="BG384" s="1980"/>
      <c r="BH384" s="1980"/>
      <c r="BI384" s="1980"/>
      <c r="BJ384" s="1933"/>
      <c r="BK384" s="1980"/>
      <c r="BL384" s="1980"/>
      <c r="BM384" s="1980"/>
      <c r="BN384" s="1980"/>
      <c r="BO384" s="1933"/>
      <c r="BP384" s="1980"/>
      <c r="BQ384" s="1980"/>
      <c r="BR384" s="1980"/>
      <c r="BS384" s="1980"/>
      <c r="BT384" s="1933"/>
      <c r="BU384" s="1980"/>
      <c r="BV384" s="1980"/>
      <c r="BW384" s="1980"/>
      <c r="BX384" s="1980"/>
      <c r="BY384" s="1933"/>
      <c r="BZ384" s="1980"/>
      <c r="CA384" s="1980"/>
      <c r="CB384" s="1980"/>
      <c r="CC384" s="1980"/>
      <c r="CD384" s="1933"/>
      <c r="CE384" s="1980"/>
      <c r="CF384" s="1980"/>
      <c r="CG384" s="1980"/>
      <c r="CH384" s="1980"/>
      <c r="CI384" s="1933"/>
      <c r="CJ384" s="1980"/>
      <c r="CK384" s="1980"/>
      <c r="CL384" s="1980"/>
      <c r="CM384" s="1980"/>
      <c r="CN384" s="1933"/>
      <c r="CO384" s="1980"/>
      <c r="CP384" s="1980"/>
      <c r="CQ384" s="1980"/>
      <c r="CR384" s="1980"/>
      <c r="CS384" s="1933"/>
      <c r="CT384" s="1980"/>
      <c r="CU384" s="1980"/>
      <c r="CV384" s="1980"/>
      <c r="CW384" s="1980"/>
      <c r="CX384" s="1933"/>
      <c r="CY384" s="1893"/>
      <c r="CZ384" s="1893"/>
      <c r="DA384" s="1893"/>
      <c r="DB384" s="1893"/>
      <c r="DC384" s="1893"/>
      <c r="DD384" s="1893"/>
      <c r="DE384" s="1893"/>
      <c r="DF384" s="1893"/>
      <c r="DG384" s="1893"/>
      <c r="DH384" s="1934"/>
      <c r="DI384" s="1930"/>
      <c r="DJ384" s="1934"/>
      <c r="DK384" s="1935"/>
      <c r="DL384" s="1935"/>
      <c r="DM384" s="1933"/>
      <c r="DN384" s="1933"/>
      <c r="DO384" s="1933"/>
      <c r="DP384" s="1933"/>
      <c r="DQ384" s="1933"/>
      <c r="DR384" s="3061"/>
    </row>
    <row r="385" spans="1:122" hidden="1" outlineLevel="3">
      <c r="A385" s="1893" t="s">
        <v>206</v>
      </c>
      <c r="B385" s="1893"/>
      <c r="C385" s="1893"/>
      <c r="D385" s="1893"/>
      <c r="E385" s="1893"/>
      <c r="F385" s="1893"/>
      <c r="G385" s="1893"/>
      <c r="H385" s="1893"/>
      <c r="I385" s="1893"/>
      <c r="J385" s="1893"/>
      <c r="K385" s="1893"/>
      <c r="L385" s="1893"/>
      <c r="M385" s="1893"/>
      <c r="N385" s="1893"/>
      <c r="O385" s="1893"/>
      <c r="P385" s="1928"/>
      <c r="Q385" s="1928"/>
      <c r="R385" s="1928"/>
      <c r="S385" s="2095"/>
      <c r="T385" s="2095"/>
      <c r="U385" s="2095"/>
      <c r="V385" s="2095"/>
      <c r="W385" s="1928"/>
      <c r="X385" s="1893"/>
      <c r="Y385" s="1893"/>
      <c r="Z385" s="2095"/>
      <c r="AA385" s="2095"/>
      <c r="AB385" s="1928"/>
      <c r="AC385" s="1893"/>
      <c r="AD385" s="1893"/>
      <c r="AE385" s="2095"/>
      <c r="AF385" s="2095"/>
      <c r="AG385" s="2095"/>
      <c r="AH385" s="1893"/>
      <c r="AI385" s="1893"/>
      <c r="AJ385" s="2095"/>
      <c r="AK385" s="2095"/>
      <c r="AL385" s="2095"/>
      <c r="AM385" s="1893"/>
      <c r="AN385" s="1893"/>
      <c r="AO385" s="1980"/>
      <c r="AP385" s="1980"/>
      <c r="AQ385" s="1980"/>
      <c r="AR385" s="1980"/>
      <c r="AS385" s="1980"/>
      <c r="AT385" s="1980"/>
      <c r="AU385" s="1980"/>
      <c r="AV385" s="1980"/>
      <c r="AW385" s="1980"/>
      <c r="AX385" s="1980"/>
      <c r="AY385" s="1980"/>
      <c r="AZ385" s="1933"/>
      <c r="BA385" s="1980"/>
      <c r="BB385" s="1980"/>
      <c r="BC385" s="1980"/>
      <c r="BD385" s="1980"/>
      <c r="BE385" s="1933"/>
      <c r="BF385" s="1980"/>
      <c r="BG385" s="1980"/>
      <c r="BH385" s="1980"/>
      <c r="BI385" s="1980"/>
      <c r="BJ385" s="1933"/>
      <c r="BK385" s="1980"/>
      <c r="BL385" s="1980"/>
      <c r="BM385" s="1980"/>
      <c r="BN385" s="1980"/>
      <c r="BO385" s="1933"/>
      <c r="BP385" s="1980"/>
      <c r="BQ385" s="1980"/>
      <c r="BR385" s="1980"/>
      <c r="BS385" s="1980"/>
      <c r="BT385" s="1933"/>
      <c r="BU385" s="1980"/>
      <c r="BV385" s="1980"/>
      <c r="BW385" s="1980"/>
      <c r="BX385" s="1980"/>
      <c r="BY385" s="1933"/>
      <c r="BZ385" s="1980"/>
      <c r="CA385" s="1980"/>
      <c r="CB385" s="1980"/>
      <c r="CC385" s="1980"/>
      <c r="CD385" s="1933"/>
      <c r="CE385" s="1980"/>
      <c r="CF385" s="1980"/>
      <c r="CG385" s="1980"/>
      <c r="CH385" s="1980"/>
      <c r="CI385" s="1933"/>
      <c r="CJ385" s="1980"/>
      <c r="CK385" s="1980"/>
      <c r="CL385" s="1980"/>
      <c r="CM385" s="1980"/>
      <c r="CN385" s="1933"/>
      <c r="CO385" s="1980"/>
      <c r="CP385" s="1980"/>
      <c r="CQ385" s="1980"/>
      <c r="CR385" s="1980"/>
      <c r="CS385" s="1933"/>
      <c r="CT385" s="1980"/>
      <c r="CU385" s="1980"/>
      <c r="CV385" s="1980"/>
      <c r="CW385" s="1980"/>
      <c r="CX385" s="1933"/>
      <c r="CY385" s="1893"/>
      <c r="CZ385" s="1893"/>
      <c r="DA385" s="1893"/>
      <c r="DB385" s="1893"/>
      <c r="DC385" s="1893"/>
      <c r="DD385" s="1893"/>
      <c r="DE385" s="1893"/>
      <c r="DF385" s="1893"/>
      <c r="DG385" s="1893"/>
      <c r="DH385" s="1934"/>
      <c r="DI385" s="1930"/>
      <c r="DJ385" s="1934"/>
      <c r="DK385" s="1935"/>
      <c r="DL385" s="1935"/>
      <c r="DM385" s="1933"/>
      <c r="DN385" s="1933"/>
      <c r="DO385" s="1933"/>
      <c r="DP385" s="1933"/>
      <c r="DQ385" s="1933"/>
      <c r="DR385" s="3061"/>
    </row>
    <row r="386" spans="1:122" hidden="1" outlineLevel="3">
      <c r="A386" s="1893"/>
      <c r="B386" s="1893"/>
      <c r="C386" s="1893"/>
      <c r="D386" s="1893"/>
      <c r="E386" s="1893"/>
      <c r="F386" s="1893"/>
      <c r="G386" s="1893"/>
      <c r="H386" s="1893"/>
      <c r="I386" s="1893"/>
      <c r="J386" s="1893"/>
      <c r="K386" s="1893"/>
      <c r="L386" s="1893"/>
      <c r="M386" s="1893"/>
      <c r="N386" s="1893"/>
      <c r="O386" s="1893"/>
      <c r="P386" s="1928"/>
      <c r="Q386" s="1928"/>
      <c r="R386" s="1928"/>
      <c r="S386" s="2095"/>
      <c r="T386" s="2095"/>
      <c r="U386" s="2095"/>
      <c r="V386" s="2095"/>
      <c r="W386" s="1928"/>
      <c r="X386" s="1893"/>
      <c r="Y386" s="1893"/>
      <c r="Z386" s="2095"/>
      <c r="AA386" s="2095"/>
      <c r="AB386" s="1928"/>
      <c r="AC386" s="1893"/>
      <c r="AD386" s="1893"/>
      <c r="AE386" s="2095"/>
      <c r="AF386" s="2095"/>
      <c r="AG386" s="2095"/>
      <c r="AH386" s="1893"/>
      <c r="AI386" s="1893"/>
      <c r="AJ386" s="2095"/>
      <c r="AK386" s="2095"/>
      <c r="AL386" s="2095"/>
      <c r="AM386" s="1893"/>
      <c r="AN386" s="1893"/>
      <c r="AO386" s="1980"/>
      <c r="AP386" s="1980"/>
      <c r="AQ386" s="1980"/>
      <c r="AR386" s="1980"/>
      <c r="AS386" s="1980"/>
      <c r="AT386" s="1980"/>
      <c r="AU386" s="1980"/>
      <c r="AV386" s="1980"/>
      <c r="AW386" s="1980"/>
      <c r="AX386" s="1980"/>
      <c r="AY386" s="1980"/>
      <c r="AZ386" s="1933"/>
      <c r="BA386" s="1980"/>
      <c r="BB386" s="1980"/>
      <c r="BC386" s="1980"/>
      <c r="BD386" s="1980"/>
      <c r="BE386" s="1933"/>
      <c r="BF386" s="1980"/>
      <c r="BG386" s="1980"/>
      <c r="BH386" s="1980"/>
      <c r="BI386" s="1980"/>
      <c r="BJ386" s="1933"/>
      <c r="BK386" s="1980"/>
      <c r="BL386" s="1980"/>
      <c r="BM386" s="1980"/>
      <c r="BN386" s="1980"/>
      <c r="BO386" s="1933"/>
      <c r="BP386" s="1980"/>
      <c r="BQ386" s="1980"/>
      <c r="BR386" s="1980"/>
      <c r="BS386" s="1980"/>
      <c r="BT386" s="1933"/>
      <c r="BU386" s="1980"/>
      <c r="BV386" s="1980"/>
      <c r="BW386" s="1980"/>
      <c r="BX386" s="1980"/>
      <c r="BY386" s="1933"/>
      <c r="BZ386" s="1980"/>
      <c r="CA386" s="1980"/>
      <c r="CB386" s="1980"/>
      <c r="CC386" s="1980"/>
      <c r="CD386" s="1933"/>
      <c r="CE386" s="1980"/>
      <c r="CF386" s="1980"/>
      <c r="CG386" s="1980"/>
      <c r="CH386" s="1980"/>
      <c r="CI386" s="1933"/>
      <c r="CJ386" s="1980"/>
      <c r="CK386" s="1980"/>
      <c r="CL386" s="1980"/>
      <c r="CM386" s="1980"/>
      <c r="CN386" s="1933"/>
      <c r="CO386" s="1980"/>
      <c r="CP386" s="1980"/>
      <c r="CQ386" s="1980"/>
      <c r="CR386" s="1980"/>
      <c r="CS386" s="1933"/>
      <c r="CT386" s="1980"/>
      <c r="CU386" s="1980"/>
      <c r="CV386" s="1980"/>
      <c r="CW386" s="1980"/>
      <c r="CX386" s="1933"/>
      <c r="CY386" s="1893"/>
      <c r="CZ386" s="1893"/>
      <c r="DA386" s="1893"/>
      <c r="DB386" s="1893"/>
      <c r="DC386" s="1893"/>
      <c r="DD386" s="1893"/>
      <c r="DE386" s="1893"/>
      <c r="DF386" s="1893"/>
      <c r="DG386" s="1893"/>
      <c r="DH386" s="1934"/>
      <c r="DI386" s="1930"/>
      <c r="DJ386" s="1934"/>
      <c r="DK386" s="1935"/>
      <c r="DL386" s="1935"/>
      <c r="DM386" s="1933"/>
      <c r="DN386" s="1933"/>
      <c r="DO386" s="1933"/>
      <c r="DP386" s="1933"/>
      <c r="DQ386" s="1933"/>
      <c r="DR386" s="3061"/>
    </row>
    <row r="387" spans="1:122" hidden="1" outlineLevel="3">
      <c r="A387" s="1893"/>
      <c r="B387" s="1893"/>
      <c r="C387" s="1893"/>
      <c r="D387" s="1893"/>
      <c r="E387" s="1893"/>
      <c r="F387" s="1893"/>
      <c r="G387" s="1893"/>
      <c r="H387" s="1893"/>
      <c r="I387" s="1893"/>
      <c r="J387" s="1893"/>
      <c r="K387" s="1893"/>
      <c r="L387" s="1893"/>
      <c r="M387" s="1893"/>
      <c r="N387" s="1893"/>
      <c r="O387" s="1893"/>
      <c r="P387" s="1928"/>
      <c r="Q387" s="1928"/>
      <c r="R387" s="1928"/>
      <c r="S387" s="2095"/>
      <c r="T387" s="2095"/>
      <c r="U387" s="2095"/>
      <c r="V387" s="2095"/>
      <c r="W387" s="1928"/>
      <c r="X387" s="1893"/>
      <c r="Y387" s="1893"/>
      <c r="Z387" s="2095"/>
      <c r="AA387" s="2095"/>
      <c r="AB387" s="1928"/>
      <c r="AC387" s="1893"/>
      <c r="AD387" s="1893"/>
      <c r="AE387" s="2095"/>
      <c r="AF387" s="2095"/>
      <c r="AG387" s="2095"/>
      <c r="AH387" s="1893"/>
      <c r="AI387" s="1893"/>
      <c r="AJ387" s="2095"/>
      <c r="AK387" s="2095"/>
      <c r="AL387" s="2095"/>
      <c r="AM387" s="1893"/>
      <c r="AN387" s="1893"/>
      <c r="AO387" s="1980"/>
      <c r="AP387" s="1980"/>
      <c r="AQ387" s="1980"/>
      <c r="AR387" s="1980"/>
      <c r="AS387" s="1980"/>
      <c r="AT387" s="1980"/>
      <c r="AU387" s="1980"/>
      <c r="AV387" s="1980"/>
      <c r="AW387" s="1980"/>
      <c r="AX387" s="1980"/>
      <c r="AY387" s="1980"/>
      <c r="AZ387" s="1933"/>
      <c r="BA387" s="1980"/>
      <c r="BB387" s="1980"/>
      <c r="BC387" s="1980"/>
      <c r="BD387" s="1980"/>
      <c r="BE387" s="1933"/>
      <c r="BF387" s="1980"/>
      <c r="BG387" s="1980"/>
      <c r="BH387" s="1980"/>
      <c r="BI387" s="1980"/>
      <c r="BJ387" s="1933"/>
      <c r="BK387" s="1980"/>
      <c r="BL387" s="1980"/>
      <c r="BM387" s="1980"/>
      <c r="BN387" s="1980"/>
      <c r="BO387" s="1933"/>
      <c r="BP387" s="1980"/>
      <c r="BQ387" s="1980"/>
      <c r="BR387" s="1980"/>
      <c r="BS387" s="1980"/>
      <c r="BT387" s="1933"/>
      <c r="BU387" s="1980"/>
      <c r="BV387" s="1980"/>
      <c r="BW387" s="1980"/>
      <c r="BX387" s="1980"/>
      <c r="BY387" s="1933"/>
      <c r="BZ387" s="1980"/>
      <c r="CA387" s="1980"/>
      <c r="CB387" s="1980"/>
      <c r="CC387" s="1980"/>
      <c r="CD387" s="1933"/>
      <c r="CE387" s="1980"/>
      <c r="CF387" s="1980"/>
      <c r="CG387" s="1980"/>
      <c r="CH387" s="1980"/>
      <c r="CI387" s="1933"/>
      <c r="CJ387" s="1980"/>
      <c r="CK387" s="1980"/>
      <c r="CL387" s="1980"/>
      <c r="CM387" s="1980"/>
      <c r="CN387" s="1933"/>
      <c r="CO387" s="1980"/>
      <c r="CP387" s="1980"/>
      <c r="CQ387" s="1980"/>
      <c r="CR387" s="1980"/>
      <c r="CS387" s="1933"/>
      <c r="CT387" s="1980"/>
      <c r="CU387" s="1980"/>
      <c r="CV387" s="1980"/>
      <c r="CW387" s="1980"/>
      <c r="CX387" s="1933"/>
      <c r="CY387" s="1893"/>
      <c r="CZ387" s="1893"/>
      <c r="DA387" s="1893"/>
      <c r="DB387" s="1893"/>
      <c r="DC387" s="1893"/>
      <c r="DD387" s="1893"/>
      <c r="DE387" s="1893"/>
      <c r="DF387" s="1893"/>
      <c r="DG387" s="1893"/>
      <c r="DH387" s="1934"/>
      <c r="DI387" s="1930"/>
      <c r="DJ387" s="1934"/>
      <c r="DK387" s="1935"/>
      <c r="DL387" s="1935"/>
      <c r="DM387" s="1933"/>
      <c r="DN387" s="1933"/>
      <c r="DO387" s="1933"/>
      <c r="DP387" s="1933"/>
      <c r="DQ387" s="1933"/>
      <c r="DR387" s="3061"/>
    </row>
    <row r="388" spans="1:122" hidden="1" outlineLevel="3">
      <c r="A388" s="1893"/>
      <c r="B388" s="1893"/>
      <c r="C388" s="1893"/>
      <c r="D388" s="1893"/>
      <c r="E388" s="1893"/>
      <c r="F388" s="1893"/>
      <c r="G388" s="1893"/>
      <c r="H388" s="1893"/>
      <c r="I388" s="1893"/>
      <c r="J388" s="1893"/>
      <c r="K388" s="1893"/>
      <c r="L388" s="1893"/>
      <c r="M388" s="1893"/>
      <c r="N388" s="1893"/>
      <c r="O388" s="1893"/>
      <c r="P388" s="1928"/>
      <c r="Q388" s="1928"/>
      <c r="R388" s="1928"/>
      <c r="S388" s="2095"/>
      <c r="T388" s="2095"/>
      <c r="U388" s="2095"/>
      <c r="V388" s="2095"/>
      <c r="W388" s="1928"/>
      <c r="X388" s="1928"/>
      <c r="Y388" s="1928"/>
      <c r="Z388" s="1928"/>
      <c r="AA388" s="1928"/>
      <c r="AB388" s="1928"/>
      <c r="AC388" s="1928"/>
      <c r="AD388" s="1928"/>
      <c r="AE388" s="1928"/>
      <c r="AF388" s="1928"/>
      <c r="AG388" s="1928"/>
      <c r="AH388" s="1928"/>
      <c r="AI388" s="1928"/>
      <c r="AJ388" s="1928"/>
      <c r="AK388" s="1928"/>
      <c r="AL388" s="1928"/>
      <c r="AM388" s="1928"/>
      <c r="AN388" s="1928"/>
      <c r="AO388" s="1980"/>
      <c r="AP388" s="1980"/>
      <c r="AQ388" s="1980"/>
      <c r="AR388" s="1980"/>
      <c r="AS388" s="1980"/>
      <c r="AT388" s="1980"/>
      <c r="AU388" s="1980"/>
      <c r="AV388" s="1980"/>
      <c r="AW388" s="1980"/>
      <c r="AX388" s="1980"/>
      <c r="AY388" s="1980"/>
      <c r="AZ388" s="1933"/>
      <c r="BA388" s="1980"/>
      <c r="BB388" s="1980"/>
      <c r="BC388" s="1980"/>
      <c r="BD388" s="1980"/>
      <c r="BE388" s="1933"/>
      <c r="BF388" s="1980"/>
      <c r="BG388" s="1980"/>
      <c r="BH388" s="1980"/>
      <c r="BI388" s="1980"/>
      <c r="BJ388" s="1933"/>
      <c r="BK388" s="1980"/>
      <c r="BL388" s="1980"/>
      <c r="BM388" s="1980"/>
      <c r="BN388" s="1980"/>
      <c r="BO388" s="1933"/>
      <c r="BP388" s="1980"/>
      <c r="BQ388" s="1980"/>
      <c r="BR388" s="1980"/>
      <c r="BS388" s="1980"/>
      <c r="BT388" s="1933"/>
      <c r="BU388" s="1980"/>
      <c r="BV388" s="1980"/>
      <c r="BW388" s="1980"/>
      <c r="BX388" s="1980"/>
      <c r="BY388" s="1933"/>
      <c r="BZ388" s="1980"/>
      <c r="CA388" s="1980"/>
      <c r="CB388" s="1980"/>
      <c r="CC388" s="1980"/>
      <c r="CD388" s="1933"/>
      <c r="CE388" s="1980"/>
      <c r="CF388" s="1980"/>
      <c r="CG388" s="1980"/>
      <c r="CH388" s="1980"/>
      <c r="CI388" s="1933"/>
      <c r="CJ388" s="1980"/>
      <c r="CK388" s="1980"/>
      <c r="CL388" s="1980"/>
      <c r="CM388" s="1980"/>
      <c r="CN388" s="1933"/>
      <c r="CO388" s="1980"/>
      <c r="CP388" s="1980"/>
      <c r="CQ388" s="1980"/>
      <c r="CR388" s="1980"/>
      <c r="CS388" s="1933"/>
      <c r="CT388" s="1980"/>
      <c r="CU388" s="1980"/>
      <c r="CV388" s="1980"/>
      <c r="CW388" s="1980"/>
      <c r="CX388" s="1933"/>
      <c r="CY388" s="1893"/>
      <c r="CZ388" s="1893"/>
      <c r="DA388" s="1893"/>
      <c r="DB388" s="1893"/>
      <c r="DC388" s="1893"/>
      <c r="DD388" s="1893"/>
      <c r="DE388" s="1893"/>
      <c r="DF388" s="1893"/>
      <c r="DG388" s="1893"/>
      <c r="DH388" s="1934"/>
      <c r="DI388" s="1930"/>
      <c r="DJ388" s="1934"/>
      <c r="DK388" s="1935"/>
      <c r="DL388" s="1935"/>
      <c r="DM388" s="1933"/>
      <c r="DN388" s="1933"/>
      <c r="DO388" s="1933"/>
      <c r="DP388" s="1933"/>
      <c r="DQ388" s="1933"/>
      <c r="DR388" s="3061"/>
    </row>
    <row r="389" spans="1:122" hidden="1" outlineLevel="3">
      <c r="A389" s="1893"/>
      <c r="B389" s="1893"/>
      <c r="C389" s="1893"/>
      <c r="D389" s="1893"/>
      <c r="E389" s="1893"/>
      <c r="F389" s="1893"/>
      <c r="G389" s="1893"/>
      <c r="H389" s="1893"/>
      <c r="I389" s="1893"/>
      <c r="J389" s="1893"/>
      <c r="K389" s="1893"/>
      <c r="L389" s="1893"/>
      <c r="M389" s="1893"/>
      <c r="N389" s="1893"/>
      <c r="O389" s="1893"/>
      <c r="P389" s="1928"/>
      <c r="Q389" s="1928"/>
      <c r="R389" s="1928"/>
      <c r="S389" s="2095"/>
      <c r="T389" s="2095"/>
      <c r="U389" s="2095"/>
      <c r="V389" s="2095"/>
      <c r="W389" s="1928"/>
      <c r="X389" s="1893"/>
      <c r="Y389" s="1893"/>
      <c r="Z389" s="2095"/>
      <c r="AA389" s="2095"/>
      <c r="AB389" s="1928"/>
      <c r="AC389" s="1893"/>
      <c r="AD389" s="1893"/>
      <c r="AE389" s="2095"/>
      <c r="AF389" s="2095"/>
      <c r="AG389" s="2095"/>
      <c r="AH389" s="1893"/>
      <c r="AI389" s="1893"/>
      <c r="AJ389" s="2095"/>
      <c r="AK389" s="2095"/>
      <c r="AL389" s="2095"/>
      <c r="AM389" s="1893"/>
      <c r="AN389" s="1893"/>
      <c r="AO389" s="1980"/>
      <c r="AP389" s="1980"/>
      <c r="AQ389" s="1980"/>
      <c r="AR389" s="1980"/>
      <c r="AS389" s="1980"/>
      <c r="AT389" s="1980"/>
      <c r="AU389" s="1980"/>
      <c r="AV389" s="1980"/>
      <c r="AW389" s="1980"/>
      <c r="AX389" s="1980"/>
      <c r="AY389" s="1980"/>
      <c r="AZ389" s="1933"/>
      <c r="BA389" s="1980"/>
      <c r="BB389" s="1980"/>
      <c r="BC389" s="1980"/>
      <c r="BD389" s="1980"/>
      <c r="BE389" s="1933"/>
      <c r="BF389" s="1980"/>
      <c r="BG389" s="1980"/>
      <c r="BH389" s="1980"/>
      <c r="BI389" s="1980"/>
      <c r="BJ389" s="1933"/>
      <c r="BK389" s="1980"/>
      <c r="BL389" s="1980"/>
      <c r="BM389" s="1980"/>
      <c r="BN389" s="1980"/>
      <c r="BO389" s="1933"/>
      <c r="BP389" s="1980"/>
      <c r="BQ389" s="1980"/>
      <c r="BR389" s="1980"/>
      <c r="BS389" s="1980"/>
      <c r="BT389" s="1933"/>
      <c r="BU389" s="1980"/>
      <c r="BV389" s="1980"/>
      <c r="BW389" s="1980"/>
      <c r="BX389" s="1980"/>
      <c r="BY389" s="1933"/>
      <c r="BZ389" s="1980"/>
      <c r="CA389" s="1980"/>
      <c r="CB389" s="1980"/>
      <c r="CC389" s="1980"/>
      <c r="CD389" s="1933"/>
      <c r="CE389" s="1980"/>
      <c r="CF389" s="1980"/>
      <c r="CG389" s="1980"/>
      <c r="CH389" s="1980"/>
      <c r="CI389" s="1933"/>
      <c r="CJ389" s="1980"/>
      <c r="CK389" s="1980"/>
      <c r="CL389" s="1980"/>
      <c r="CM389" s="1980"/>
      <c r="CN389" s="1933"/>
      <c r="CO389" s="1980"/>
      <c r="CP389" s="1980"/>
      <c r="CQ389" s="1980"/>
      <c r="CR389" s="1980"/>
      <c r="CS389" s="1933"/>
      <c r="CT389" s="1980"/>
      <c r="CU389" s="1980"/>
      <c r="CV389" s="1980"/>
      <c r="CW389" s="1980"/>
      <c r="CX389" s="1933"/>
      <c r="CY389" s="1893"/>
      <c r="CZ389" s="1893"/>
      <c r="DA389" s="1893"/>
      <c r="DB389" s="1893"/>
      <c r="DC389" s="1893"/>
      <c r="DD389" s="1893"/>
      <c r="DE389" s="1893"/>
      <c r="DF389" s="1893"/>
      <c r="DG389" s="1893"/>
      <c r="DH389" s="1934"/>
      <c r="DI389" s="1930"/>
      <c r="DJ389" s="1934"/>
      <c r="DK389" s="1935"/>
      <c r="DL389" s="1935"/>
      <c r="DM389" s="1933"/>
      <c r="DN389" s="1933"/>
      <c r="DO389" s="1933"/>
      <c r="DP389" s="1933"/>
      <c r="DQ389" s="1933"/>
      <c r="DR389" s="3061"/>
    </row>
    <row r="390" spans="1:122" hidden="1" outlineLevel="3">
      <c r="A390" s="1937" t="s">
        <v>207</v>
      </c>
      <c r="B390" s="1893"/>
      <c r="C390" s="1893"/>
      <c r="D390" s="1893"/>
      <c r="E390" s="1893"/>
      <c r="F390" s="1893"/>
      <c r="G390" s="1893"/>
      <c r="H390" s="1893"/>
      <c r="I390" s="1893"/>
      <c r="J390" s="1893"/>
      <c r="K390" s="1893"/>
      <c r="L390" s="1893"/>
      <c r="M390" s="1893"/>
      <c r="N390" s="1893"/>
      <c r="O390" s="1893"/>
      <c r="P390" s="1928"/>
      <c r="Q390" s="1928"/>
      <c r="R390" s="1928"/>
      <c r="S390" s="2095"/>
      <c r="T390" s="2095"/>
      <c r="U390" s="2095"/>
      <c r="V390" s="2095"/>
      <c r="W390" s="1928"/>
      <c r="X390" s="1893"/>
      <c r="Y390" s="1893"/>
      <c r="Z390" s="2095"/>
      <c r="AA390" s="2095"/>
      <c r="AB390" s="1928"/>
      <c r="AC390" s="1893"/>
      <c r="AD390" s="1893"/>
      <c r="AE390" s="2095"/>
      <c r="AF390" s="2095"/>
      <c r="AG390" s="2095"/>
      <c r="AH390" s="1893"/>
      <c r="AI390" s="1893"/>
      <c r="AJ390" s="2095"/>
      <c r="AK390" s="2095"/>
      <c r="AL390" s="2095"/>
      <c r="AM390" s="1893"/>
      <c r="AN390" s="1893"/>
      <c r="AO390" s="1980"/>
      <c r="AP390" s="1980"/>
      <c r="AQ390" s="1980"/>
      <c r="AR390" s="1980"/>
      <c r="AS390" s="1980"/>
      <c r="AT390" s="1980"/>
      <c r="AU390" s="1980"/>
      <c r="AV390" s="1980"/>
      <c r="AW390" s="1980"/>
      <c r="AX390" s="1980"/>
      <c r="AY390" s="1980"/>
      <c r="AZ390" s="1933"/>
      <c r="BA390" s="1980"/>
      <c r="BB390" s="1980"/>
      <c r="BC390" s="1980"/>
      <c r="BD390" s="1980"/>
      <c r="BE390" s="1933"/>
      <c r="BF390" s="1980"/>
      <c r="BG390" s="1980"/>
      <c r="BH390" s="1980"/>
      <c r="BI390" s="1980"/>
      <c r="BJ390" s="1933"/>
      <c r="BK390" s="1980"/>
      <c r="BL390" s="1980"/>
      <c r="BM390" s="1980"/>
      <c r="BN390" s="1980"/>
      <c r="BO390" s="1933"/>
      <c r="BP390" s="1980"/>
      <c r="BQ390" s="1980"/>
      <c r="BR390" s="1980"/>
      <c r="BS390" s="1980"/>
      <c r="BT390" s="1933"/>
      <c r="BU390" s="1980"/>
      <c r="BV390" s="1980"/>
      <c r="BW390" s="1980"/>
      <c r="BX390" s="1980"/>
      <c r="BY390" s="1933"/>
      <c r="BZ390" s="1980"/>
      <c r="CA390" s="1980"/>
      <c r="CB390" s="1980"/>
      <c r="CC390" s="1980"/>
      <c r="CD390" s="1933"/>
      <c r="CE390" s="1980"/>
      <c r="CF390" s="1980"/>
      <c r="CG390" s="1980"/>
      <c r="CH390" s="1980"/>
      <c r="CI390" s="1933"/>
      <c r="CJ390" s="1980"/>
      <c r="CK390" s="1980"/>
      <c r="CL390" s="1980"/>
      <c r="CM390" s="1980"/>
      <c r="CN390" s="1933"/>
      <c r="CO390" s="1980"/>
      <c r="CP390" s="1980"/>
      <c r="CQ390" s="1980"/>
      <c r="CR390" s="1980"/>
      <c r="CS390" s="1933"/>
      <c r="CT390" s="1980"/>
      <c r="CU390" s="1980"/>
      <c r="CV390" s="1980"/>
      <c r="CW390" s="1980"/>
      <c r="CX390" s="1933"/>
      <c r="CY390" s="1893"/>
      <c r="CZ390" s="1893"/>
      <c r="DA390" s="1893"/>
      <c r="DB390" s="1893"/>
      <c r="DC390" s="1893"/>
      <c r="DD390" s="1893"/>
      <c r="DE390" s="1893"/>
      <c r="DF390" s="1893"/>
      <c r="DG390" s="1893"/>
      <c r="DH390" s="1934"/>
      <c r="DI390" s="1930"/>
      <c r="DJ390" s="1934"/>
      <c r="DK390" s="1935"/>
      <c r="DL390" s="1935"/>
      <c r="DM390" s="1933"/>
      <c r="DN390" s="1933"/>
      <c r="DO390" s="1933"/>
      <c r="DP390" s="1933"/>
      <c r="DQ390" s="1933"/>
      <c r="DR390" s="3061"/>
    </row>
    <row r="391" spans="1:122" hidden="1" outlineLevel="3">
      <c r="A391" s="1893" t="s">
        <v>210</v>
      </c>
      <c r="B391" s="1893"/>
      <c r="C391" s="1893"/>
      <c r="D391" s="1893"/>
      <c r="E391" s="1893"/>
      <c r="F391" s="1893"/>
      <c r="G391" s="1893"/>
      <c r="H391" s="1893"/>
      <c r="I391" s="1893"/>
      <c r="J391" s="1893"/>
      <c r="K391" s="1893"/>
      <c r="L391" s="1893"/>
      <c r="M391" s="1893"/>
      <c r="N391" s="1893"/>
      <c r="O391" s="1893"/>
      <c r="P391" s="1928"/>
      <c r="Q391" s="1928"/>
      <c r="R391" s="1928"/>
      <c r="S391" s="2095"/>
      <c r="T391" s="2095"/>
      <c r="U391" s="2095"/>
      <c r="V391" s="2095"/>
      <c r="W391" s="1928"/>
      <c r="X391" s="1893"/>
      <c r="Y391" s="1893"/>
      <c r="Z391" s="2095"/>
      <c r="AA391" s="2095"/>
      <c r="AB391" s="1928"/>
      <c r="AC391" s="1893"/>
      <c r="AD391" s="1893"/>
      <c r="AE391" s="2095"/>
      <c r="AF391" s="2095"/>
      <c r="AG391" s="2095"/>
      <c r="AH391" s="1893"/>
      <c r="AI391" s="1893"/>
      <c r="AJ391" s="2095"/>
      <c r="AK391" s="2095"/>
      <c r="AL391" s="2095"/>
      <c r="AM391" s="1893"/>
      <c r="AN391" s="1893"/>
      <c r="AO391" s="1980"/>
      <c r="AP391" s="1980"/>
      <c r="AQ391" s="1980"/>
      <c r="AR391" s="1980"/>
      <c r="AS391" s="1980"/>
      <c r="AT391" s="1980"/>
      <c r="AU391" s="1980"/>
      <c r="AV391" s="1980"/>
      <c r="AW391" s="1980"/>
      <c r="AX391" s="1980"/>
      <c r="AY391" s="1980"/>
      <c r="AZ391" s="1933"/>
      <c r="BA391" s="1980"/>
      <c r="BB391" s="1980"/>
      <c r="BC391" s="1980"/>
      <c r="BD391" s="1980"/>
      <c r="BE391" s="1933"/>
      <c r="BF391" s="1980"/>
      <c r="BG391" s="1980"/>
      <c r="BH391" s="1980"/>
      <c r="BI391" s="1980"/>
      <c r="BJ391" s="1933"/>
      <c r="BK391" s="1980"/>
      <c r="BL391" s="1980"/>
      <c r="BM391" s="1980"/>
      <c r="BN391" s="1980"/>
      <c r="BO391" s="1933"/>
      <c r="BP391" s="1980"/>
      <c r="BQ391" s="1980"/>
      <c r="BR391" s="1980"/>
      <c r="BS391" s="1980"/>
      <c r="BT391" s="1933"/>
      <c r="BU391" s="1980"/>
      <c r="BV391" s="1980"/>
      <c r="BW391" s="1980"/>
      <c r="BX391" s="1980"/>
      <c r="BY391" s="1933"/>
      <c r="BZ391" s="1980"/>
      <c r="CA391" s="1980"/>
      <c r="CB391" s="1980"/>
      <c r="CC391" s="1980"/>
      <c r="CD391" s="1933"/>
      <c r="CE391" s="1980"/>
      <c r="CF391" s="1980"/>
      <c r="CG391" s="1980"/>
      <c r="CH391" s="1980"/>
      <c r="CI391" s="1933"/>
      <c r="CJ391" s="1980"/>
      <c r="CK391" s="1980"/>
      <c r="CL391" s="1980"/>
      <c r="CM391" s="1980"/>
      <c r="CN391" s="1933"/>
      <c r="CO391" s="1980"/>
      <c r="CP391" s="1980"/>
      <c r="CQ391" s="1980"/>
      <c r="CR391" s="1980"/>
      <c r="CS391" s="1933"/>
      <c r="CT391" s="1980"/>
      <c r="CU391" s="1980"/>
      <c r="CV391" s="1980"/>
      <c r="CW391" s="1980"/>
      <c r="CX391" s="1933"/>
      <c r="CY391" s="1893"/>
      <c r="CZ391" s="1893"/>
      <c r="DA391" s="1893"/>
      <c r="DB391" s="1893"/>
      <c r="DC391" s="1893"/>
      <c r="DD391" s="1893"/>
      <c r="DE391" s="1893"/>
      <c r="DF391" s="1893"/>
      <c r="DG391" s="1893"/>
      <c r="DH391" s="1934"/>
      <c r="DI391" s="1930"/>
      <c r="DJ391" s="1934"/>
      <c r="DK391" s="1935"/>
      <c r="DL391" s="1935"/>
      <c r="DM391" s="1933"/>
      <c r="DN391" s="1933"/>
      <c r="DO391" s="1933"/>
      <c r="DP391" s="1933"/>
      <c r="DQ391" s="1933"/>
      <c r="DR391" s="3061"/>
    </row>
    <row r="392" spans="1:122" hidden="1" outlineLevel="3">
      <c r="A392" s="1893" t="s">
        <v>211</v>
      </c>
      <c r="B392" s="1893"/>
      <c r="C392" s="1893"/>
      <c r="D392" s="1893"/>
      <c r="E392" s="1893"/>
      <c r="F392" s="1893"/>
      <c r="G392" s="1893"/>
      <c r="H392" s="1893"/>
      <c r="I392" s="1893"/>
      <c r="J392" s="1893"/>
      <c r="K392" s="1893"/>
      <c r="L392" s="1893"/>
      <c r="M392" s="1893"/>
      <c r="N392" s="1893"/>
      <c r="O392" s="1893"/>
      <c r="P392" s="1928"/>
      <c r="Q392" s="1928"/>
      <c r="R392" s="1928"/>
      <c r="S392" s="2095"/>
      <c r="T392" s="2095"/>
      <c r="U392" s="2095"/>
      <c r="V392" s="2095"/>
      <c r="W392" s="1928"/>
      <c r="X392" s="1893"/>
      <c r="Y392" s="1893"/>
      <c r="Z392" s="2095"/>
      <c r="AA392" s="2095"/>
      <c r="AB392" s="1928"/>
      <c r="AC392" s="1893"/>
      <c r="AD392" s="1893"/>
      <c r="AE392" s="2095"/>
      <c r="AF392" s="2095"/>
      <c r="AG392" s="2095"/>
      <c r="AH392" s="1893"/>
      <c r="AI392" s="1893"/>
      <c r="AJ392" s="2095"/>
      <c r="AK392" s="2095"/>
      <c r="AL392" s="2095"/>
      <c r="AM392" s="1893"/>
      <c r="AN392" s="1893"/>
      <c r="AO392" s="1980"/>
      <c r="AP392" s="1980"/>
      <c r="AQ392" s="1980"/>
      <c r="AR392" s="1980"/>
      <c r="AS392" s="1980"/>
      <c r="AT392" s="1980"/>
      <c r="AU392" s="1980"/>
      <c r="AV392" s="1980"/>
      <c r="AW392" s="1980"/>
      <c r="AX392" s="1980"/>
      <c r="AY392" s="1980"/>
      <c r="AZ392" s="1933"/>
      <c r="BA392" s="1980"/>
      <c r="BB392" s="1980"/>
      <c r="BC392" s="1980"/>
      <c r="BD392" s="1980"/>
      <c r="BE392" s="1933"/>
      <c r="BF392" s="1980"/>
      <c r="BG392" s="1980"/>
      <c r="BH392" s="1980"/>
      <c r="BI392" s="1980"/>
      <c r="BJ392" s="1933"/>
      <c r="BK392" s="1980"/>
      <c r="BL392" s="1980"/>
      <c r="BM392" s="1980"/>
      <c r="BN392" s="1980"/>
      <c r="BO392" s="1933"/>
      <c r="BP392" s="1980"/>
      <c r="BQ392" s="1980"/>
      <c r="BR392" s="1980"/>
      <c r="BS392" s="1980"/>
      <c r="BT392" s="1933"/>
      <c r="BU392" s="1980"/>
      <c r="BV392" s="1980"/>
      <c r="BW392" s="1980"/>
      <c r="BX392" s="1980"/>
      <c r="BY392" s="1933"/>
      <c r="BZ392" s="1980"/>
      <c r="CA392" s="1980"/>
      <c r="CB392" s="1980"/>
      <c r="CC392" s="1980"/>
      <c r="CD392" s="1933"/>
      <c r="CE392" s="1980"/>
      <c r="CF392" s="1980"/>
      <c r="CG392" s="1980"/>
      <c r="CH392" s="1980"/>
      <c r="CI392" s="1933"/>
      <c r="CJ392" s="1980"/>
      <c r="CK392" s="1980"/>
      <c r="CL392" s="1980"/>
      <c r="CM392" s="1980"/>
      <c r="CN392" s="1933"/>
      <c r="CO392" s="1980"/>
      <c r="CP392" s="1980"/>
      <c r="CQ392" s="1980"/>
      <c r="CR392" s="1980"/>
      <c r="CS392" s="1933"/>
      <c r="CT392" s="1980"/>
      <c r="CU392" s="1980"/>
      <c r="CV392" s="1980"/>
      <c r="CW392" s="1980"/>
      <c r="CX392" s="1933"/>
      <c r="CY392" s="1893"/>
      <c r="CZ392" s="1893"/>
      <c r="DA392" s="1893"/>
      <c r="DB392" s="1893"/>
      <c r="DC392" s="1893"/>
      <c r="DD392" s="1893"/>
      <c r="DE392" s="1893"/>
      <c r="DF392" s="1893"/>
      <c r="DG392" s="1893"/>
      <c r="DH392" s="1934"/>
      <c r="DI392" s="1930"/>
      <c r="DJ392" s="1934"/>
      <c r="DK392" s="1935"/>
      <c r="DL392" s="1935"/>
      <c r="DM392" s="1933"/>
      <c r="DN392" s="1933"/>
      <c r="DO392" s="1933"/>
      <c r="DP392" s="1933"/>
      <c r="DQ392" s="1933"/>
      <c r="DR392" s="3061"/>
    </row>
    <row r="393" spans="1:122" hidden="1" outlineLevel="3">
      <c r="A393" s="1893" t="s">
        <v>228</v>
      </c>
      <c r="B393" s="1893"/>
      <c r="C393" s="1893"/>
      <c r="D393" s="1893"/>
      <c r="E393" s="1893"/>
      <c r="F393" s="1893"/>
      <c r="G393" s="1893"/>
      <c r="H393" s="1893"/>
      <c r="I393" s="1893"/>
      <c r="J393" s="1893"/>
      <c r="K393" s="1893"/>
      <c r="L393" s="1893"/>
      <c r="M393" s="1893"/>
      <c r="N393" s="1893"/>
      <c r="O393" s="1893"/>
      <c r="P393" s="1928"/>
      <c r="Q393" s="1928"/>
      <c r="R393" s="1928"/>
      <c r="S393" s="2095"/>
      <c r="T393" s="2095"/>
      <c r="U393" s="2095"/>
      <c r="V393" s="2095"/>
      <c r="W393" s="1928"/>
      <c r="X393" s="1893"/>
      <c r="Y393" s="1893"/>
      <c r="Z393" s="2095"/>
      <c r="AA393" s="2095"/>
      <c r="AB393" s="1928"/>
      <c r="AC393" s="1893"/>
      <c r="AD393" s="1893"/>
      <c r="AE393" s="2095"/>
      <c r="AF393" s="2095"/>
      <c r="AG393" s="2095"/>
      <c r="AH393" s="1893"/>
      <c r="AI393" s="1893"/>
      <c r="AJ393" s="2095"/>
      <c r="AK393" s="2095"/>
      <c r="AL393" s="2095"/>
      <c r="AM393" s="1893"/>
      <c r="AN393" s="1893"/>
      <c r="AO393" s="1980"/>
      <c r="AP393" s="1980"/>
      <c r="AQ393" s="1980"/>
      <c r="AR393" s="1980"/>
      <c r="AS393" s="1980"/>
      <c r="AT393" s="1980"/>
      <c r="AU393" s="1980"/>
      <c r="AV393" s="1980"/>
      <c r="AW393" s="1980"/>
      <c r="AX393" s="1980"/>
      <c r="AY393" s="1980"/>
      <c r="AZ393" s="1933"/>
      <c r="BA393" s="1980"/>
      <c r="BB393" s="1980"/>
      <c r="BC393" s="1980"/>
      <c r="BD393" s="1980"/>
      <c r="BE393" s="1933"/>
      <c r="BF393" s="1980"/>
      <c r="BG393" s="1980"/>
      <c r="BH393" s="1980"/>
      <c r="BI393" s="1980"/>
      <c r="BJ393" s="1933"/>
      <c r="BK393" s="1980"/>
      <c r="BL393" s="1980"/>
      <c r="BM393" s="1980"/>
      <c r="BN393" s="1980"/>
      <c r="BO393" s="1933"/>
      <c r="BP393" s="1980"/>
      <c r="BQ393" s="1980"/>
      <c r="BR393" s="1980"/>
      <c r="BS393" s="1980"/>
      <c r="BT393" s="1933"/>
      <c r="BU393" s="1980"/>
      <c r="BV393" s="1980"/>
      <c r="BW393" s="1980"/>
      <c r="BX393" s="1980"/>
      <c r="BY393" s="1933"/>
      <c r="BZ393" s="1980"/>
      <c r="CA393" s="1980"/>
      <c r="CB393" s="1980"/>
      <c r="CC393" s="1980"/>
      <c r="CD393" s="1933"/>
      <c r="CE393" s="1980"/>
      <c r="CF393" s="1980"/>
      <c r="CG393" s="1980"/>
      <c r="CH393" s="1980"/>
      <c r="CI393" s="1933"/>
      <c r="CJ393" s="1980"/>
      <c r="CK393" s="1980"/>
      <c r="CL393" s="1980"/>
      <c r="CM393" s="1980"/>
      <c r="CN393" s="1933"/>
      <c r="CO393" s="1980"/>
      <c r="CP393" s="1980"/>
      <c r="CQ393" s="1980"/>
      <c r="CR393" s="1980"/>
      <c r="CS393" s="1933"/>
      <c r="CT393" s="1980"/>
      <c r="CU393" s="1980"/>
      <c r="CV393" s="1980"/>
      <c r="CW393" s="1980"/>
      <c r="CX393" s="1933"/>
      <c r="CY393" s="1893"/>
      <c r="CZ393" s="1893"/>
      <c r="DA393" s="1893"/>
      <c r="DB393" s="1893"/>
      <c r="DC393" s="1893"/>
      <c r="DD393" s="1893"/>
      <c r="DE393" s="1893"/>
      <c r="DF393" s="1893"/>
      <c r="DG393" s="1893"/>
      <c r="DH393" s="1934"/>
      <c r="DI393" s="1930"/>
      <c r="DJ393" s="1934"/>
      <c r="DK393" s="1935"/>
      <c r="DL393" s="1935"/>
      <c r="DM393" s="1933"/>
      <c r="DN393" s="1933"/>
      <c r="DO393" s="1933"/>
      <c r="DP393" s="1933"/>
      <c r="DQ393" s="1933"/>
      <c r="DR393" s="3061"/>
    </row>
    <row r="394" spans="1:122" hidden="1" outlineLevel="3">
      <c r="A394" s="1893" t="s">
        <v>229</v>
      </c>
      <c r="B394" s="1893"/>
      <c r="C394" s="1893"/>
      <c r="D394" s="1893"/>
      <c r="E394" s="1893"/>
      <c r="F394" s="1893"/>
      <c r="G394" s="1893"/>
      <c r="H394" s="1893"/>
      <c r="I394" s="1893"/>
      <c r="J394" s="1893"/>
      <c r="K394" s="1893"/>
      <c r="L394" s="1893"/>
      <c r="M394" s="1893"/>
      <c r="N394" s="1893"/>
      <c r="O394" s="1893"/>
      <c r="P394" s="1928"/>
      <c r="Q394" s="1928"/>
      <c r="R394" s="1928"/>
      <c r="S394" s="2095"/>
      <c r="T394" s="2095"/>
      <c r="U394" s="2095"/>
      <c r="V394" s="2095"/>
      <c r="W394" s="1928"/>
      <c r="X394" s="1893"/>
      <c r="Y394" s="1893"/>
      <c r="Z394" s="2095"/>
      <c r="AA394" s="2095"/>
      <c r="AB394" s="1928"/>
      <c r="AC394" s="1893"/>
      <c r="AD394" s="1893"/>
      <c r="AE394" s="2095"/>
      <c r="AF394" s="2095"/>
      <c r="AG394" s="2095"/>
      <c r="AH394" s="1893"/>
      <c r="AI394" s="1893"/>
      <c r="AJ394" s="2095"/>
      <c r="AK394" s="2095"/>
      <c r="AL394" s="2095"/>
      <c r="AM394" s="1893"/>
      <c r="AN394" s="1893"/>
      <c r="AO394" s="1980"/>
      <c r="AP394" s="1980"/>
      <c r="AQ394" s="1980"/>
      <c r="AR394" s="1980"/>
      <c r="AS394" s="1980"/>
      <c r="AT394" s="1980"/>
      <c r="AU394" s="1980"/>
      <c r="AV394" s="1980"/>
      <c r="AW394" s="1980"/>
      <c r="AX394" s="1980"/>
      <c r="AY394" s="1980"/>
      <c r="AZ394" s="1933"/>
      <c r="BA394" s="1980"/>
      <c r="BB394" s="1980"/>
      <c r="BC394" s="1980"/>
      <c r="BD394" s="1980"/>
      <c r="BE394" s="1933"/>
      <c r="BF394" s="1980"/>
      <c r="BG394" s="1980"/>
      <c r="BH394" s="1980"/>
      <c r="BI394" s="1980"/>
      <c r="BJ394" s="1933"/>
      <c r="BK394" s="1980"/>
      <c r="BL394" s="1980"/>
      <c r="BM394" s="1980"/>
      <c r="BN394" s="1980"/>
      <c r="BO394" s="1933"/>
      <c r="BP394" s="1980"/>
      <c r="BQ394" s="1980"/>
      <c r="BR394" s="1980"/>
      <c r="BS394" s="1980"/>
      <c r="BT394" s="1933"/>
      <c r="BU394" s="1980"/>
      <c r="BV394" s="1980"/>
      <c r="BW394" s="1980"/>
      <c r="BX394" s="1980"/>
      <c r="BY394" s="1933"/>
      <c r="BZ394" s="1980"/>
      <c r="CA394" s="1980"/>
      <c r="CB394" s="1980"/>
      <c r="CC394" s="1980"/>
      <c r="CD394" s="1933"/>
      <c r="CE394" s="1980"/>
      <c r="CF394" s="1980"/>
      <c r="CG394" s="1980"/>
      <c r="CH394" s="1980"/>
      <c r="CI394" s="1933"/>
      <c r="CJ394" s="1980"/>
      <c r="CK394" s="1980"/>
      <c r="CL394" s="1980"/>
      <c r="CM394" s="1980"/>
      <c r="CN394" s="1933"/>
      <c r="CO394" s="1980"/>
      <c r="CP394" s="1980"/>
      <c r="CQ394" s="1980"/>
      <c r="CR394" s="1980"/>
      <c r="CS394" s="1933"/>
      <c r="CT394" s="1980"/>
      <c r="CU394" s="1980"/>
      <c r="CV394" s="1980"/>
      <c r="CW394" s="1980"/>
      <c r="CX394" s="1933"/>
      <c r="CY394" s="1893"/>
      <c r="CZ394" s="1893"/>
      <c r="DA394" s="1893"/>
      <c r="DB394" s="1893"/>
      <c r="DC394" s="1893"/>
      <c r="DD394" s="1893"/>
      <c r="DE394" s="1893"/>
      <c r="DF394" s="1893"/>
      <c r="DG394" s="1893"/>
      <c r="DH394" s="1934"/>
      <c r="DI394" s="1930"/>
      <c r="DJ394" s="1934"/>
      <c r="DK394" s="1935"/>
      <c r="DL394" s="1935"/>
      <c r="DM394" s="1933"/>
      <c r="DN394" s="1933"/>
      <c r="DO394" s="1933"/>
      <c r="DP394" s="1933"/>
      <c r="DQ394" s="1933"/>
      <c r="DR394" s="3061"/>
    </row>
    <row r="395" spans="1:122" hidden="1" outlineLevel="3">
      <c r="A395" s="1937" t="s">
        <v>230</v>
      </c>
      <c r="B395" s="1893"/>
      <c r="C395" s="1893"/>
      <c r="D395" s="1893"/>
      <c r="E395" s="1893"/>
      <c r="F395" s="1893"/>
      <c r="G395" s="1893"/>
      <c r="H395" s="1893"/>
      <c r="I395" s="1893"/>
      <c r="J395" s="1893"/>
      <c r="K395" s="1893"/>
      <c r="L395" s="1893"/>
      <c r="M395" s="1893"/>
      <c r="N395" s="1893"/>
      <c r="O395" s="1893"/>
      <c r="P395" s="1928"/>
      <c r="Q395" s="1928"/>
      <c r="R395" s="1928"/>
      <c r="S395" s="2095"/>
      <c r="T395" s="2095"/>
      <c r="U395" s="2095"/>
      <c r="V395" s="2095"/>
      <c r="W395" s="1928"/>
      <c r="X395" s="1893"/>
      <c r="Y395" s="1893"/>
      <c r="Z395" s="2095"/>
      <c r="AA395" s="2095"/>
      <c r="AB395" s="1928"/>
      <c r="AC395" s="1893"/>
      <c r="AD395" s="1893"/>
      <c r="AE395" s="2095"/>
      <c r="AF395" s="2095"/>
      <c r="AG395" s="2095"/>
      <c r="AH395" s="1893"/>
      <c r="AI395" s="1893"/>
      <c r="AJ395" s="2095"/>
      <c r="AK395" s="2095"/>
      <c r="AL395" s="2095"/>
      <c r="AM395" s="1893"/>
      <c r="AN395" s="1893"/>
      <c r="AO395" s="1980"/>
      <c r="AP395" s="1980"/>
      <c r="AQ395" s="1980"/>
      <c r="AR395" s="1980"/>
      <c r="AS395" s="1980"/>
      <c r="AT395" s="1980"/>
      <c r="AU395" s="1980"/>
      <c r="AV395" s="1980"/>
      <c r="AW395" s="1980"/>
      <c r="AX395" s="1980"/>
      <c r="AY395" s="1980"/>
      <c r="AZ395" s="1933"/>
      <c r="BA395" s="1980"/>
      <c r="BB395" s="1980"/>
      <c r="BC395" s="1980"/>
      <c r="BD395" s="1980"/>
      <c r="BE395" s="1933"/>
      <c r="BF395" s="1980"/>
      <c r="BG395" s="1980"/>
      <c r="BH395" s="1980"/>
      <c r="BI395" s="1980"/>
      <c r="BJ395" s="1933"/>
      <c r="BK395" s="1980"/>
      <c r="BL395" s="1980"/>
      <c r="BM395" s="1980"/>
      <c r="BN395" s="1980"/>
      <c r="BO395" s="1933"/>
      <c r="BP395" s="1980"/>
      <c r="BQ395" s="1980"/>
      <c r="BR395" s="1980"/>
      <c r="BS395" s="1980"/>
      <c r="BT395" s="1933"/>
      <c r="BU395" s="1980"/>
      <c r="BV395" s="1980"/>
      <c r="BW395" s="1980"/>
      <c r="BX395" s="1980"/>
      <c r="BY395" s="1933"/>
      <c r="BZ395" s="1980"/>
      <c r="CA395" s="1980"/>
      <c r="CB395" s="1980"/>
      <c r="CC395" s="1980"/>
      <c r="CD395" s="1933"/>
      <c r="CE395" s="1980"/>
      <c r="CF395" s="1980"/>
      <c r="CG395" s="1980"/>
      <c r="CH395" s="1980"/>
      <c r="CI395" s="1933"/>
      <c r="CJ395" s="1980"/>
      <c r="CK395" s="1980"/>
      <c r="CL395" s="1980"/>
      <c r="CM395" s="1980"/>
      <c r="CN395" s="1933"/>
      <c r="CO395" s="1980"/>
      <c r="CP395" s="1980"/>
      <c r="CQ395" s="1980"/>
      <c r="CR395" s="1980"/>
      <c r="CS395" s="1933"/>
      <c r="CT395" s="1980"/>
      <c r="CU395" s="1980"/>
      <c r="CV395" s="1980"/>
      <c r="CW395" s="1980"/>
      <c r="CX395" s="1933"/>
      <c r="CY395" s="1893"/>
      <c r="CZ395" s="1893"/>
      <c r="DA395" s="1893"/>
      <c r="DB395" s="1893"/>
      <c r="DC395" s="1893"/>
      <c r="DD395" s="1893"/>
      <c r="DE395" s="1893"/>
      <c r="DF395" s="1893"/>
      <c r="DG395" s="1893"/>
      <c r="DH395" s="1934"/>
      <c r="DI395" s="1930"/>
      <c r="DJ395" s="1934"/>
      <c r="DK395" s="1935"/>
      <c r="DL395" s="1935"/>
      <c r="DM395" s="1933"/>
      <c r="DN395" s="1933"/>
      <c r="DO395" s="1933"/>
      <c r="DP395" s="1933"/>
      <c r="DQ395" s="1933"/>
      <c r="DR395" s="3061"/>
    </row>
    <row r="396" spans="1:122" hidden="1" outlineLevel="3">
      <c r="A396" s="1893" t="s">
        <v>231</v>
      </c>
      <c r="B396" s="1893"/>
      <c r="C396" s="1893"/>
      <c r="D396" s="1893"/>
      <c r="E396" s="1893"/>
      <c r="F396" s="1893"/>
      <c r="G396" s="1893"/>
      <c r="H396" s="1893"/>
      <c r="I396" s="1893"/>
      <c r="J396" s="1893"/>
      <c r="K396" s="1893"/>
      <c r="L396" s="1893"/>
      <c r="M396" s="1893"/>
      <c r="N396" s="1893"/>
      <c r="O396" s="1893"/>
      <c r="P396" s="1928"/>
      <c r="Q396" s="1928"/>
      <c r="R396" s="1928"/>
      <c r="S396" s="2095"/>
      <c r="T396" s="2095"/>
      <c r="U396" s="2095"/>
      <c r="V396" s="2095"/>
      <c r="W396" s="1928"/>
      <c r="X396" s="1893"/>
      <c r="Y396" s="1893"/>
      <c r="Z396" s="2095"/>
      <c r="AA396" s="2095"/>
      <c r="AB396" s="1928"/>
      <c r="AC396" s="1893"/>
      <c r="AD396" s="1893"/>
      <c r="AE396" s="2095"/>
      <c r="AF396" s="2095"/>
      <c r="AG396" s="2095"/>
      <c r="AH396" s="1893"/>
      <c r="AI396" s="1893"/>
      <c r="AJ396" s="2095"/>
      <c r="AK396" s="2095"/>
      <c r="AL396" s="2095"/>
      <c r="AM396" s="1893"/>
      <c r="AN396" s="1893"/>
      <c r="AO396" s="1980"/>
      <c r="AP396" s="1980"/>
      <c r="AQ396" s="1980"/>
      <c r="AR396" s="1980"/>
      <c r="AS396" s="1980"/>
      <c r="AT396" s="1980"/>
      <c r="AU396" s="1980"/>
      <c r="AV396" s="1980"/>
      <c r="AW396" s="1980"/>
      <c r="AX396" s="1980"/>
      <c r="AY396" s="1980"/>
      <c r="AZ396" s="1933"/>
      <c r="BA396" s="1980"/>
      <c r="BB396" s="1980"/>
      <c r="BC396" s="1980"/>
      <c r="BD396" s="1980"/>
      <c r="BE396" s="1933"/>
      <c r="BF396" s="1980"/>
      <c r="BG396" s="1980"/>
      <c r="BH396" s="1980"/>
      <c r="BI396" s="1980"/>
      <c r="BJ396" s="1933"/>
      <c r="BK396" s="1980"/>
      <c r="BL396" s="1980"/>
      <c r="BM396" s="1980"/>
      <c r="BN396" s="1980"/>
      <c r="BO396" s="1933"/>
      <c r="BP396" s="1980"/>
      <c r="BQ396" s="1980"/>
      <c r="BR396" s="1980"/>
      <c r="BS396" s="1980"/>
      <c r="BT396" s="1933"/>
      <c r="BU396" s="1980"/>
      <c r="BV396" s="1980"/>
      <c r="BW396" s="1980"/>
      <c r="BX396" s="1980"/>
      <c r="BY396" s="1933"/>
      <c r="BZ396" s="1980"/>
      <c r="CA396" s="1980"/>
      <c r="CB396" s="1980"/>
      <c r="CC396" s="1980"/>
      <c r="CD396" s="1933"/>
      <c r="CE396" s="1980"/>
      <c r="CF396" s="1980"/>
      <c r="CG396" s="1980"/>
      <c r="CH396" s="1980"/>
      <c r="CI396" s="1933"/>
      <c r="CJ396" s="1980"/>
      <c r="CK396" s="1980"/>
      <c r="CL396" s="1980"/>
      <c r="CM396" s="1980"/>
      <c r="CN396" s="1933"/>
      <c r="CO396" s="1980"/>
      <c r="CP396" s="1980"/>
      <c r="CQ396" s="1980"/>
      <c r="CR396" s="1980"/>
      <c r="CS396" s="1933"/>
      <c r="CT396" s="1980"/>
      <c r="CU396" s="1980"/>
      <c r="CV396" s="1980"/>
      <c r="CW396" s="1980"/>
      <c r="CX396" s="1933"/>
      <c r="CY396" s="1893"/>
      <c r="CZ396" s="1893"/>
      <c r="DA396" s="1893"/>
      <c r="DB396" s="1893"/>
      <c r="DC396" s="1893"/>
      <c r="DD396" s="1893"/>
      <c r="DE396" s="1893"/>
      <c r="DF396" s="1893"/>
      <c r="DG396" s="1893"/>
      <c r="DH396" s="1934"/>
      <c r="DI396" s="1930"/>
      <c r="DJ396" s="1934"/>
      <c r="DK396" s="1935"/>
      <c r="DL396" s="1935"/>
      <c r="DM396" s="1933"/>
      <c r="DN396" s="1933"/>
      <c r="DO396" s="1933"/>
      <c r="DP396" s="1933"/>
      <c r="DQ396" s="1933"/>
      <c r="DR396" s="3061"/>
    </row>
    <row r="397" spans="1:122" hidden="1" outlineLevel="3">
      <c r="A397" s="1893" t="s">
        <v>232</v>
      </c>
      <c r="B397" s="1893"/>
      <c r="C397" s="1893"/>
      <c r="D397" s="1893"/>
      <c r="E397" s="1893"/>
      <c r="F397" s="1893"/>
      <c r="G397" s="1893"/>
      <c r="H397" s="1893"/>
      <c r="I397" s="1893"/>
      <c r="J397" s="1893"/>
      <c r="K397" s="1893"/>
      <c r="L397" s="1893"/>
      <c r="M397" s="1893"/>
      <c r="N397" s="1893"/>
      <c r="O397" s="1893"/>
      <c r="P397" s="1928"/>
      <c r="Q397" s="1928"/>
      <c r="R397" s="1928"/>
      <c r="S397" s="2095"/>
      <c r="T397" s="2095"/>
      <c r="U397" s="2095"/>
      <c r="V397" s="2095"/>
      <c r="W397" s="1928"/>
      <c r="X397" s="1893"/>
      <c r="Y397" s="1893"/>
      <c r="Z397" s="2095"/>
      <c r="AA397" s="2095"/>
      <c r="AB397" s="1928"/>
      <c r="AC397" s="1893"/>
      <c r="AD397" s="1893"/>
      <c r="AE397" s="2095"/>
      <c r="AF397" s="2095"/>
      <c r="AG397" s="2095"/>
      <c r="AH397" s="1893"/>
      <c r="AI397" s="1893"/>
      <c r="AJ397" s="2095"/>
      <c r="AK397" s="2095"/>
      <c r="AL397" s="2095"/>
      <c r="AM397" s="1893"/>
      <c r="AN397" s="1893"/>
      <c r="AO397" s="1980"/>
      <c r="AP397" s="1980"/>
      <c r="AQ397" s="1980"/>
      <c r="AR397" s="1980"/>
      <c r="AS397" s="1980"/>
      <c r="AT397" s="1980"/>
      <c r="AU397" s="1980"/>
      <c r="AV397" s="1980"/>
      <c r="AW397" s="1980"/>
      <c r="AX397" s="1980"/>
      <c r="AY397" s="1980"/>
      <c r="AZ397" s="1933"/>
      <c r="BA397" s="1980"/>
      <c r="BB397" s="1980"/>
      <c r="BC397" s="1980"/>
      <c r="BD397" s="1980"/>
      <c r="BE397" s="1933"/>
      <c r="BF397" s="1980"/>
      <c r="BG397" s="1980"/>
      <c r="BH397" s="1980"/>
      <c r="BI397" s="1980"/>
      <c r="BJ397" s="1933"/>
      <c r="BK397" s="1980"/>
      <c r="BL397" s="1980"/>
      <c r="BM397" s="1980"/>
      <c r="BN397" s="1980"/>
      <c r="BO397" s="1933"/>
      <c r="BP397" s="1980"/>
      <c r="BQ397" s="1980"/>
      <c r="BR397" s="1980"/>
      <c r="BS397" s="1980"/>
      <c r="BT397" s="1933"/>
      <c r="BU397" s="1980"/>
      <c r="BV397" s="1980"/>
      <c r="BW397" s="1980"/>
      <c r="BX397" s="1980"/>
      <c r="BY397" s="1933"/>
      <c r="BZ397" s="1980"/>
      <c r="CA397" s="1980"/>
      <c r="CB397" s="1980"/>
      <c r="CC397" s="1980"/>
      <c r="CD397" s="1933"/>
      <c r="CE397" s="1980"/>
      <c r="CF397" s="1980"/>
      <c r="CG397" s="1980"/>
      <c r="CH397" s="1980"/>
      <c r="CI397" s="1933"/>
      <c r="CJ397" s="1980"/>
      <c r="CK397" s="1980"/>
      <c r="CL397" s="1980"/>
      <c r="CM397" s="1980"/>
      <c r="CN397" s="1933"/>
      <c r="CO397" s="1980"/>
      <c r="CP397" s="1980"/>
      <c r="CQ397" s="1980"/>
      <c r="CR397" s="1980"/>
      <c r="CS397" s="1933"/>
      <c r="CT397" s="1980"/>
      <c r="CU397" s="1980"/>
      <c r="CV397" s="1980"/>
      <c r="CW397" s="1980"/>
      <c r="CX397" s="1933"/>
      <c r="CY397" s="1893"/>
      <c r="CZ397" s="1893"/>
      <c r="DA397" s="1893"/>
      <c r="DB397" s="1893"/>
      <c r="DC397" s="1893"/>
      <c r="DD397" s="1893"/>
      <c r="DE397" s="1893"/>
      <c r="DF397" s="1893"/>
      <c r="DG397" s="1893"/>
      <c r="DH397" s="1934"/>
      <c r="DI397" s="1930"/>
      <c r="DJ397" s="1934"/>
      <c r="DK397" s="1935"/>
      <c r="DL397" s="1935"/>
      <c r="DM397" s="1933"/>
      <c r="DN397" s="1933"/>
      <c r="DO397" s="1933"/>
      <c r="DP397" s="1933"/>
      <c r="DQ397" s="1933"/>
      <c r="DR397" s="3061"/>
    </row>
    <row r="398" spans="1:122" hidden="1" outlineLevel="3">
      <c r="A398" s="2100"/>
      <c r="B398" s="2100"/>
      <c r="C398" s="2100"/>
      <c r="D398" s="2100"/>
      <c r="E398" s="2100"/>
      <c r="F398" s="2100"/>
      <c r="G398" s="2100"/>
      <c r="H398" s="2100"/>
      <c r="I398" s="2100"/>
      <c r="J398" s="2100"/>
      <c r="K398" s="2100"/>
      <c r="L398" s="2100"/>
      <c r="M398" s="2100"/>
      <c r="N398" s="2100"/>
      <c r="O398" s="2100"/>
      <c r="P398" s="2101"/>
      <c r="Q398" s="2101"/>
      <c r="R398" s="2101"/>
      <c r="S398" s="2102"/>
      <c r="T398" s="2102"/>
      <c r="U398" s="2102"/>
      <c r="V398" s="2102"/>
      <c r="W398" s="2101"/>
      <c r="X398" s="2100"/>
      <c r="Y398" s="2100"/>
      <c r="Z398" s="2102"/>
      <c r="AA398" s="2102"/>
      <c r="AB398" s="2101"/>
      <c r="AC398" s="2100"/>
      <c r="AD398" s="2100"/>
      <c r="AE398" s="2102"/>
      <c r="AF398" s="2102"/>
      <c r="AG398" s="2102"/>
      <c r="AH398" s="2100"/>
      <c r="AI398" s="2100"/>
      <c r="AJ398" s="2102"/>
      <c r="AK398" s="2102"/>
      <c r="AL398" s="2102"/>
      <c r="AM398" s="2100"/>
      <c r="AN398" s="2100"/>
      <c r="AO398" s="2103"/>
      <c r="AP398" s="2103"/>
      <c r="AQ398" s="2103"/>
      <c r="AR398" s="2103"/>
      <c r="AS398" s="2103"/>
      <c r="AT398" s="2103"/>
      <c r="AU398" s="2103"/>
      <c r="AV398" s="2103"/>
      <c r="AW398" s="2103"/>
      <c r="AX398" s="2103"/>
      <c r="AY398" s="2103"/>
      <c r="AZ398" s="2104"/>
      <c r="BA398" s="2103"/>
      <c r="BB398" s="2103"/>
      <c r="BC398" s="2103"/>
      <c r="BD398" s="2103"/>
      <c r="BE398" s="2104"/>
      <c r="BF398" s="2103"/>
      <c r="BG398" s="2103"/>
      <c r="BH398" s="2103"/>
      <c r="BI398" s="2103"/>
      <c r="BJ398" s="2104"/>
      <c r="BK398" s="2103"/>
      <c r="BL398" s="2103"/>
      <c r="BM398" s="2103"/>
      <c r="BN398" s="2103"/>
      <c r="BO398" s="2104"/>
      <c r="BP398" s="2103"/>
      <c r="BQ398" s="2103"/>
      <c r="BR398" s="2103"/>
      <c r="BS398" s="2103"/>
      <c r="BT398" s="2104"/>
      <c r="BU398" s="2103"/>
      <c r="BV398" s="2103"/>
      <c r="BW398" s="2103"/>
      <c r="BX398" s="2103"/>
      <c r="BY398" s="2104"/>
      <c r="BZ398" s="2103"/>
      <c r="CA398" s="2103"/>
      <c r="CB398" s="2103"/>
      <c r="CC398" s="2103"/>
      <c r="CD398" s="2104"/>
      <c r="CE398" s="2103"/>
      <c r="CF398" s="2103"/>
      <c r="CG398" s="2103"/>
      <c r="CH398" s="2103"/>
      <c r="CI398" s="2104"/>
      <c r="CJ398" s="2103"/>
      <c r="CK398" s="2103"/>
      <c r="CL398" s="2103"/>
      <c r="CM398" s="2103"/>
      <c r="CN398" s="2104"/>
      <c r="CO398" s="2103"/>
      <c r="CP398" s="2103"/>
      <c r="CQ398" s="2103"/>
      <c r="CR398" s="2103"/>
      <c r="CS398" s="2104"/>
      <c r="CT398" s="2103"/>
      <c r="CU398" s="2103"/>
      <c r="CV398" s="2103"/>
      <c r="CW398" s="2103"/>
      <c r="CX398" s="2104"/>
      <c r="CY398" s="2100"/>
      <c r="CZ398" s="2100"/>
      <c r="DA398" s="2100"/>
      <c r="DB398" s="2100"/>
      <c r="DC398" s="2100"/>
      <c r="DD398" s="2100"/>
      <c r="DE398" s="2100"/>
      <c r="DF398" s="2100"/>
      <c r="DG398" s="2100"/>
      <c r="DH398" s="2105"/>
      <c r="DI398" s="2106"/>
      <c r="DJ398" s="2105"/>
      <c r="DK398" s="2107"/>
      <c r="DL398" s="2107"/>
      <c r="DM398" s="2104"/>
      <c r="DN398" s="2104"/>
      <c r="DO398" s="2104"/>
      <c r="DP398" s="2104"/>
      <c r="DQ398" s="2104"/>
      <c r="DR398" s="3067"/>
    </row>
    <row r="399" spans="1:122" hidden="1" outlineLevel="3">
      <c r="A399" s="2108" t="s">
        <v>321</v>
      </c>
      <c r="B399" s="2100"/>
      <c r="C399" s="2100"/>
      <c r="D399" s="2100"/>
      <c r="E399" s="2100"/>
      <c r="F399" s="2100"/>
      <c r="G399" s="2100"/>
      <c r="H399" s="2100"/>
      <c r="I399" s="2100"/>
      <c r="J399" s="2100"/>
      <c r="K399" s="2100"/>
      <c r="L399" s="2100"/>
      <c r="M399" s="2100"/>
      <c r="N399" s="2100"/>
      <c r="O399" s="2100"/>
      <c r="P399" s="2101"/>
      <c r="Q399" s="2101"/>
      <c r="R399" s="2101"/>
      <c r="S399" s="2102"/>
      <c r="T399" s="2102"/>
      <c r="U399" s="2102"/>
      <c r="V399" s="2102"/>
      <c r="W399" s="2101"/>
      <c r="X399" s="2100"/>
      <c r="Y399" s="2100"/>
      <c r="Z399" s="2102"/>
      <c r="AA399" s="2102"/>
      <c r="AB399" s="2101"/>
      <c r="AC399" s="2100"/>
      <c r="AD399" s="2100"/>
      <c r="AE399" s="2102"/>
      <c r="AF399" s="2102"/>
      <c r="AG399" s="2102"/>
      <c r="AH399" s="2100"/>
      <c r="AI399" s="2100"/>
      <c r="AJ399" s="2102"/>
      <c r="AK399" s="2102"/>
      <c r="AL399" s="2109">
        <f>AL401/AG401-1</f>
        <v>0.17448275862068963</v>
      </c>
      <c r="AM399" s="2109">
        <f>AM401/AH401-1</f>
        <v>0.14780742103649191</v>
      </c>
      <c r="AN399" s="2109">
        <f>AN401/AI401-1</f>
        <v>6.5130568356374763E-2</v>
      </c>
      <c r="AO399" s="2109">
        <f>AO401/AJ401-1</f>
        <v>-6.0743912229060726E-2</v>
      </c>
      <c r="AP399" s="2103"/>
      <c r="AQ399" s="2103"/>
      <c r="AR399" s="2103"/>
      <c r="AS399" s="2103"/>
      <c r="AT399" s="2103"/>
      <c r="AU399" s="2103"/>
      <c r="AV399" s="2103"/>
      <c r="AW399" s="2103"/>
      <c r="AX399" s="2103"/>
      <c r="AY399" s="2103"/>
      <c r="AZ399" s="2104"/>
      <c r="BA399" s="2103"/>
      <c r="BB399" s="2103"/>
      <c r="BC399" s="2103"/>
      <c r="BD399" s="2103"/>
      <c r="BE399" s="2104"/>
      <c r="BF399" s="2103"/>
      <c r="BG399" s="2103"/>
      <c r="BH399" s="2103"/>
      <c r="BI399" s="2103"/>
      <c r="BJ399" s="2104"/>
      <c r="BK399" s="2103"/>
      <c r="BL399" s="2103"/>
      <c r="BM399" s="2103"/>
      <c r="BN399" s="2103"/>
      <c r="BO399" s="2104"/>
      <c r="BP399" s="2103"/>
      <c r="BQ399" s="2103"/>
      <c r="BR399" s="2103"/>
      <c r="BS399" s="2103"/>
      <c r="BT399" s="2104"/>
      <c r="BU399" s="2103"/>
      <c r="BV399" s="2103"/>
      <c r="BW399" s="2103"/>
      <c r="BX399" s="2103"/>
      <c r="BY399" s="2104"/>
      <c r="BZ399" s="2103"/>
      <c r="CA399" s="2103"/>
      <c r="CB399" s="2103"/>
      <c r="CC399" s="2103"/>
      <c r="CD399" s="2104"/>
      <c r="CE399" s="2103"/>
      <c r="CF399" s="2103"/>
      <c r="CG399" s="2103"/>
      <c r="CH399" s="2103"/>
      <c r="CI399" s="2104"/>
      <c r="CJ399" s="2103"/>
      <c r="CK399" s="2103"/>
      <c r="CL399" s="2103"/>
      <c r="CM399" s="2103"/>
      <c r="CN399" s="2104"/>
      <c r="CO399" s="2103"/>
      <c r="CP399" s="2103"/>
      <c r="CQ399" s="2103"/>
      <c r="CR399" s="2103"/>
      <c r="CS399" s="2104"/>
      <c r="CT399" s="2103"/>
      <c r="CU399" s="2103"/>
      <c r="CV399" s="2103"/>
      <c r="CW399" s="2103"/>
      <c r="CX399" s="2104"/>
      <c r="CY399" s="2100"/>
      <c r="CZ399" s="2100"/>
      <c r="DA399" s="2100"/>
      <c r="DB399" s="2100"/>
      <c r="DC399" s="2100"/>
      <c r="DD399" s="2100"/>
      <c r="DE399" s="2100"/>
      <c r="DF399" s="2100"/>
      <c r="DG399" s="2100"/>
      <c r="DH399" s="2105"/>
      <c r="DI399" s="2106"/>
      <c r="DJ399" s="2105"/>
      <c r="DK399" s="2107"/>
      <c r="DL399" s="2107"/>
      <c r="DM399" s="2104"/>
      <c r="DN399" s="2104"/>
      <c r="DO399" s="2104"/>
      <c r="DP399" s="2104"/>
      <c r="DQ399" s="2104"/>
      <c r="DR399" s="3067"/>
    </row>
    <row r="400" spans="1:122" hidden="1" outlineLevel="3">
      <c r="A400" s="2100" t="s">
        <v>741</v>
      </c>
      <c r="B400" s="2100"/>
      <c r="C400" s="2100"/>
      <c r="D400" s="2100"/>
      <c r="E400" s="2100"/>
      <c r="F400" s="2100"/>
      <c r="G400" s="2100"/>
      <c r="H400" s="2100"/>
      <c r="I400" s="2100"/>
      <c r="J400" s="2100"/>
      <c r="K400" s="2100"/>
      <c r="L400" s="2100"/>
      <c r="M400" s="2100"/>
      <c r="N400" s="2100"/>
      <c r="O400" s="2100"/>
      <c r="P400" s="2101"/>
      <c r="Q400" s="2101"/>
      <c r="R400" s="2101"/>
      <c r="S400" s="2102"/>
      <c r="T400" s="2102"/>
      <c r="U400" s="2102"/>
      <c r="V400" s="2102"/>
      <c r="W400" s="2101"/>
      <c r="X400" s="2100"/>
      <c r="Y400" s="2100"/>
      <c r="Z400" s="2102"/>
      <c r="AA400" s="2102"/>
      <c r="AB400" s="2101"/>
      <c r="AC400" s="2100"/>
      <c r="AD400" s="2100"/>
      <c r="AE400" s="2102"/>
      <c r="AF400" s="2102"/>
      <c r="AG400" s="2102">
        <v>4138</v>
      </c>
      <c r="AH400" s="2100">
        <v>4334</v>
      </c>
      <c r="AI400" s="2100">
        <v>4025</v>
      </c>
      <c r="AJ400" s="2102">
        <v>4367</v>
      </c>
      <c r="AK400" s="2102">
        <v>16864</v>
      </c>
      <c r="AL400" s="2102">
        <v>4218</v>
      </c>
      <c r="AM400" s="2100">
        <v>3982</v>
      </c>
      <c r="AN400" s="2100">
        <v>3404</v>
      </c>
      <c r="AO400" s="2100">
        <v>3108</v>
      </c>
      <c r="AP400" s="2103">
        <v>14712</v>
      </c>
      <c r="AQ400" s="2103">
        <v>2449.1155204752495</v>
      </c>
      <c r="AR400" s="2103">
        <v>5233.675631570055</v>
      </c>
      <c r="AS400" s="2103">
        <v>3871.1139035212109</v>
      </c>
      <c r="AT400" s="2103">
        <v>3766.2317555768595</v>
      </c>
      <c r="AU400" s="2103">
        <v>15320.136811143377</v>
      </c>
      <c r="AV400" s="2103">
        <v>4109.2646876362387</v>
      </c>
      <c r="AW400" s="2103">
        <v>4405.658094603401</v>
      </c>
      <c r="AX400" s="2103">
        <v>3867.5245261135542</v>
      </c>
      <c r="AY400" s="2103">
        <v>4082.9186326778399</v>
      </c>
      <c r="AZ400" s="2104">
        <v>16465.365941031032</v>
      </c>
      <c r="BA400" s="2103">
        <v>4407.7504819930464</v>
      </c>
      <c r="BB400" s="2103">
        <v>4705.0994236463357</v>
      </c>
      <c r="BC400" s="2103">
        <v>4048.2538088279266</v>
      </c>
      <c r="BD400" s="2103">
        <v>4286.681747224743</v>
      </c>
      <c r="BE400" s="2104">
        <v>17447.785461692052</v>
      </c>
      <c r="BF400" s="2103">
        <v>4407.7504819930464</v>
      </c>
      <c r="BG400" s="2103">
        <v>4705.0994236463357</v>
      </c>
      <c r="BH400" s="2103">
        <v>4048.2538088279266</v>
      </c>
      <c r="BI400" s="2103">
        <v>4286.681747224743</v>
      </c>
      <c r="BJ400" s="2104">
        <v>17447.785461692052</v>
      </c>
      <c r="BK400" s="2103">
        <v>4407.7504819930464</v>
      </c>
      <c r="BL400" s="2103">
        <v>4705.0994236463357</v>
      </c>
      <c r="BM400" s="2103">
        <v>4048.2538088279266</v>
      </c>
      <c r="BN400" s="2103">
        <v>4286.681747224743</v>
      </c>
      <c r="BO400" s="2104">
        <v>17447.785461692052</v>
      </c>
      <c r="BP400" s="2103">
        <v>4407.7504819930464</v>
      </c>
      <c r="BQ400" s="2103">
        <v>4705.0994236463357</v>
      </c>
      <c r="BR400" s="2103">
        <v>4048.2538088279266</v>
      </c>
      <c r="BS400" s="2103">
        <v>4286.681747224743</v>
      </c>
      <c r="BT400" s="2104">
        <v>17447.785461692052</v>
      </c>
      <c r="BU400" s="2103">
        <v>4407.7504819930464</v>
      </c>
      <c r="BV400" s="2103">
        <v>4705.0994236463357</v>
      </c>
      <c r="BW400" s="2103">
        <v>4048.2538088279266</v>
      </c>
      <c r="BX400" s="2103">
        <v>4286.681747224743</v>
      </c>
      <c r="BY400" s="2104">
        <v>17447.785461692052</v>
      </c>
      <c r="BZ400" s="2103">
        <v>4407.7504819930464</v>
      </c>
      <c r="CA400" s="2103">
        <v>4705.0994236463357</v>
      </c>
      <c r="CB400" s="2103">
        <v>4048.2538088279266</v>
      </c>
      <c r="CC400" s="2103">
        <v>4286.681747224743</v>
      </c>
      <c r="CD400" s="2104">
        <v>17447.785461692052</v>
      </c>
      <c r="CE400" s="2103">
        <v>4407.7504819930464</v>
      </c>
      <c r="CF400" s="2103">
        <v>4705.0994236463357</v>
      </c>
      <c r="CG400" s="2103">
        <v>4048.2538088279266</v>
      </c>
      <c r="CH400" s="2103">
        <v>4286.681747224743</v>
      </c>
      <c r="CI400" s="2104">
        <v>17447.785461692052</v>
      </c>
      <c r="CJ400" s="2103">
        <v>4407.7504819930464</v>
      </c>
      <c r="CK400" s="2103">
        <v>4705.0994236463357</v>
      </c>
      <c r="CL400" s="2103">
        <v>4048.2538088279266</v>
      </c>
      <c r="CM400" s="2103">
        <v>4286.681747224743</v>
      </c>
      <c r="CN400" s="2104">
        <v>17447.785461692052</v>
      </c>
      <c r="CO400" s="2103">
        <v>4407.7504819930464</v>
      </c>
      <c r="CP400" s="2103">
        <v>4705.0994236463357</v>
      </c>
      <c r="CQ400" s="2103">
        <v>4048.2538088279266</v>
      </c>
      <c r="CR400" s="2103">
        <v>4286.681747224743</v>
      </c>
      <c r="CS400" s="2104">
        <v>17447.785461692052</v>
      </c>
      <c r="CT400" s="2103">
        <v>4407.7504819930464</v>
      </c>
      <c r="CU400" s="2103">
        <v>4705.0994236463357</v>
      </c>
      <c r="CV400" s="2103">
        <v>4048.2538088279266</v>
      </c>
      <c r="CW400" s="2103">
        <v>4286.681747224743</v>
      </c>
      <c r="CX400" s="2104">
        <v>17447.785461692052</v>
      </c>
      <c r="CY400" s="2100"/>
      <c r="CZ400" s="2100"/>
      <c r="DA400" s="2100"/>
      <c r="DB400" s="2100"/>
      <c r="DC400" s="2100"/>
      <c r="DD400" s="2100"/>
      <c r="DE400" s="2100"/>
      <c r="DF400" s="2100"/>
      <c r="DG400" s="2100"/>
      <c r="DH400" s="2105"/>
      <c r="DI400" s="2106"/>
      <c r="DJ400" s="2105"/>
      <c r="DK400" s="2107"/>
      <c r="DL400" s="2107"/>
      <c r="DM400" s="2104"/>
      <c r="DN400" s="2104"/>
      <c r="DO400" s="2104"/>
      <c r="DP400" s="2104"/>
      <c r="DQ400" s="2104"/>
      <c r="DR400" s="3067"/>
    </row>
    <row r="401" spans="1:122" hidden="1" outlineLevel="3">
      <c r="A401" s="2100" t="s">
        <v>742</v>
      </c>
      <c r="B401" s="2100"/>
      <c r="C401" s="2100"/>
      <c r="D401" s="2100"/>
      <c r="E401" s="2100"/>
      <c r="F401" s="2100"/>
      <c r="G401" s="2100"/>
      <c r="H401" s="2100"/>
      <c r="I401" s="2100"/>
      <c r="J401" s="2100"/>
      <c r="K401" s="2100"/>
      <c r="L401" s="2100"/>
      <c r="M401" s="2100"/>
      <c r="N401" s="2100"/>
      <c r="O401" s="2100"/>
      <c r="P401" s="2101"/>
      <c r="Q401" s="2101"/>
      <c r="R401" s="2101"/>
      <c r="S401" s="2102"/>
      <c r="T401" s="2102"/>
      <c r="U401" s="2102"/>
      <c r="V401" s="2102"/>
      <c r="W401" s="2101"/>
      <c r="X401" s="2100"/>
      <c r="Y401" s="2100"/>
      <c r="Z401" s="2102"/>
      <c r="AA401" s="2102"/>
      <c r="AB401" s="2101"/>
      <c r="AC401" s="2100"/>
      <c r="AD401" s="2100"/>
      <c r="AE401" s="2102"/>
      <c r="AF401" s="2102"/>
      <c r="AG401" s="2102">
        <v>2900</v>
      </c>
      <c r="AH401" s="2100">
        <v>3261</v>
      </c>
      <c r="AI401" s="2100">
        <v>3255</v>
      </c>
      <c r="AJ401" s="2102">
        <v>3737</v>
      </c>
      <c r="AK401" s="2102">
        <v>13153</v>
      </c>
      <c r="AL401" s="2102">
        <v>3406</v>
      </c>
      <c r="AM401" s="2100">
        <v>3743</v>
      </c>
      <c r="AN401" s="2100">
        <v>3467</v>
      </c>
      <c r="AO401" s="2100">
        <v>3510</v>
      </c>
      <c r="AP401" s="2103">
        <v>14126</v>
      </c>
      <c r="AQ401" s="2103">
        <v>3508.18</v>
      </c>
      <c r="AR401" s="2103">
        <v>3817.86</v>
      </c>
      <c r="AS401" s="2103">
        <v>3744.36</v>
      </c>
      <c r="AT401" s="2103">
        <v>3825.9</v>
      </c>
      <c r="AU401" s="2103">
        <v>14896.3</v>
      </c>
      <c r="AV401" s="2103">
        <v>3858.9980000000005</v>
      </c>
      <c r="AW401" s="2103">
        <v>4314.1817999999994</v>
      </c>
      <c r="AX401" s="2103">
        <v>4081.3524000000002</v>
      </c>
      <c r="AY401" s="2103">
        <v>4131.9720000000007</v>
      </c>
      <c r="AZ401" s="2104">
        <v>16386.504199999999</v>
      </c>
      <c r="BA401" s="2103">
        <v>4206.3078200000009</v>
      </c>
      <c r="BB401" s="2103">
        <v>4702.4581619999999</v>
      </c>
      <c r="BC401" s="2103">
        <v>4448.6741160000001</v>
      </c>
      <c r="BD401" s="2103">
        <v>4503.8494800000008</v>
      </c>
      <c r="BE401" s="2104">
        <v>17861.289578000004</v>
      </c>
      <c r="BF401" s="2103">
        <v>4206.3078200000009</v>
      </c>
      <c r="BG401" s="2103">
        <v>4702.4581619999999</v>
      </c>
      <c r="BH401" s="2103">
        <v>4448.6741160000001</v>
      </c>
      <c r="BI401" s="2103">
        <v>4503.8494800000008</v>
      </c>
      <c r="BJ401" s="2104">
        <v>17861.289578000004</v>
      </c>
      <c r="BK401" s="2103">
        <v>4206.3078200000009</v>
      </c>
      <c r="BL401" s="2103">
        <v>4702.4581619999999</v>
      </c>
      <c r="BM401" s="2103">
        <v>4448.6741160000001</v>
      </c>
      <c r="BN401" s="2103">
        <v>4503.8494800000008</v>
      </c>
      <c r="BO401" s="2104">
        <v>17861.289578000004</v>
      </c>
      <c r="BP401" s="2103">
        <v>4206.3078200000009</v>
      </c>
      <c r="BQ401" s="2103">
        <v>4702.4581619999999</v>
      </c>
      <c r="BR401" s="2103">
        <v>4448.6741160000001</v>
      </c>
      <c r="BS401" s="2103">
        <v>4503.8494800000008</v>
      </c>
      <c r="BT401" s="2104">
        <v>17861.289578000004</v>
      </c>
      <c r="BU401" s="2103">
        <v>4206.3078200000009</v>
      </c>
      <c r="BV401" s="2103">
        <v>4702.4581619999999</v>
      </c>
      <c r="BW401" s="2103">
        <v>4448.6741160000001</v>
      </c>
      <c r="BX401" s="2103">
        <v>4503.8494800000008</v>
      </c>
      <c r="BY401" s="2104">
        <v>17861.289578000004</v>
      </c>
      <c r="BZ401" s="2103">
        <v>4206.3078200000009</v>
      </c>
      <c r="CA401" s="2103">
        <v>4702.4581619999999</v>
      </c>
      <c r="CB401" s="2103">
        <v>4448.6741160000001</v>
      </c>
      <c r="CC401" s="2103">
        <v>4503.8494800000008</v>
      </c>
      <c r="CD401" s="2104">
        <v>17861.289578000004</v>
      </c>
      <c r="CE401" s="2103">
        <v>4206.3078200000009</v>
      </c>
      <c r="CF401" s="2103">
        <v>4702.4581619999999</v>
      </c>
      <c r="CG401" s="2103">
        <v>4448.6741160000001</v>
      </c>
      <c r="CH401" s="2103">
        <v>4503.8494800000008</v>
      </c>
      <c r="CI401" s="2104">
        <v>17861.289578000004</v>
      </c>
      <c r="CJ401" s="2103">
        <v>4206.3078200000009</v>
      </c>
      <c r="CK401" s="2103">
        <v>4702.4581619999999</v>
      </c>
      <c r="CL401" s="2103">
        <v>4448.6741160000001</v>
      </c>
      <c r="CM401" s="2103">
        <v>4503.8494800000008</v>
      </c>
      <c r="CN401" s="2104">
        <v>17861.289578000004</v>
      </c>
      <c r="CO401" s="2103">
        <v>4206.3078200000009</v>
      </c>
      <c r="CP401" s="2103">
        <v>4702.4581619999999</v>
      </c>
      <c r="CQ401" s="2103">
        <v>4448.6741160000001</v>
      </c>
      <c r="CR401" s="2103">
        <v>4503.8494800000008</v>
      </c>
      <c r="CS401" s="2104">
        <v>17861.289578000004</v>
      </c>
      <c r="CT401" s="2103">
        <v>4206.3078200000009</v>
      </c>
      <c r="CU401" s="2103">
        <v>4702.4581619999999</v>
      </c>
      <c r="CV401" s="2103">
        <v>4448.6741160000001</v>
      </c>
      <c r="CW401" s="2103">
        <v>4503.8494800000008</v>
      </c>
      <c r="CX401" s="2104">
        <v>17861.289578000004</v>
      </c>
      <c r="CY401" s="2100"/>
      <c r="CZ401" s="2100"/>
      <c r="DA401" s="2100"/>
      <c r="DB401" s="2100"/>
      <c r="DC401" s="2100"/>
      <c r="DD401" s="2100"/>
      <c r="DE401" s="2100"/>
      <c r="DF401" s="2100"/>
      <c r="DG401" s="2100"/>
      <c r="DH401" s="2105"/>
      <c r="DI401" s="2106"/>
      <c r="DJ401" s="2105"/>
      <c r="DK401" s="2107"/>
      <c r="DL401" s="2107"/>
      <c r="DM401" s="2104"/>
      <c r="DN401" s="2104"/>
      <c r="DO401" s="2104"/>
      <c r="DP401" s="2104"/>
      <c r="DQ401" s="2104"/>
      <c r="DR401" s="3067"/>
    </row>
    <row r="402" spans="1:122" hidden="1" outlineLevel="3">
      <c r="A402" s="2100" t="s">
        <v>707</v>
      </c>
      <c r="B402" s="2100"/>
      <c r="C402" s="2100"/>
      <c r="D402" s="2100"/>
      <c r="E402" s="2100"/>
      <c r="F402" s="2100"/>
      <c r="G402" s="2100"/>
      <c r="H402" s="2100"/>
      <c r="I402" s="2100"/>
      <c r="J402" s="2100"/>
      <c r="K402" s="2100"/>
      <c r="L402" s="2100"/>
      <c r="M402" s="2100"/>
      <c r="N402" s="2100"/>
      <c r="O402" s="2100"/>
      <c r="P402" s="2101"/>
      <c r="Q402" s="2101"/>
      <c r="R402" s="2101"/>
      <c r="S402" s="2102"/>
      <c r="T402" s="2102"/>
      <c r="U402" s="2102"/>
      <c r="V402" s="2102"/>
      <c r="W402" s="2101"/>
      <c r="X402" s="2100"/>
      <c r="Y402" s="2100"/>
      <c r="Z402" s="2102"/>
      <c r="AA402" s="2102"/>
      <c r="AB402" s="2101"/>
      <c r="AC402" s="2100"/>
      <c r="AD402" s="2100"/>
      <c r="AE402" s="2102"/>
      <c r="AF402" s="2102"/>
      <c r="AG402" s="2102">
        <v>671</v>
      </c>
      <c r="AH402" s="2100">
        <v>863</v>
      </c>
      <c r="AI402" s="2100">
        <v>843</v>
      </c>
      <c r="AJ402" s="2102">
        <v>838</v>
      </c>
      <c r="AK402" s="2102">
        <v>3215</v>
      </c>
      <c r="AL402" s="2102">
        <v>770</v>
      </c>
      <c r="AM402" s="2100">
        <v>866</v>
      </c>
      <c r="AN402" s="2100">
        <v>721</v>
      </c>
      <c r="AO402" s="2100">
        <v>731</v>
      </c>
      <c r="AP402" s="2103">
        <v>3088</v>
      </c>
      <c r="AQ402" s="2103">
        <v>693</v>
      </c>
      <c r="AR402" s="2103">
        <v>822.7</v>
      </c>
      <c r="AS402" s="2103">
        <v>778.68</v>
      </c>
      <c r="AT402" s="2103">
        <v>804.1</v>
      </c>
      <c r="AU402" s="2103">
        <v>3098.48</v>
      </c>
      <c r="AV402" s="2103">
        <v>755.37</v>
      </c>
      <c r="AW402" s="2103">
        <v>904.97</v>
      </c>
      <c r="AX402" s="2103">
        <v>856.54800000000012</v>
      </c>
      <c r="AY402" s="2103">
        <v>884.51</v>
      </c>
      <c r="AZ402" s="2104">
        <v>3401.3980000000006</v>
      </c>
      <c r="BA402" s="2103">
        <v>830.90700000000004</v>
      </c>
      <c r="BB402" s="2103">
        <v>995.4670000000001</v>
      </c>
      <c r="BC402" s="2103">
        <v>942.20280000000025</v>
      </c>
      <c r="BD402" s="2103">
        <v>972.96100000000024</v>
      </c>
      <c r="BE402" s="2104">
        <v>3741.537800000001</v>
      </c>
      <c r="BF402" s="2103">
        <v>830.90700000000004</v>
      </c>
      <c r="BG402" s="2103">
        <v>995.4670000000001</v>
      </c>
      <c r="BH402" s="2103">
        <v>942.20280000000025</v>
      </c>
      <c r="BI402" s="2103">
        <v>972.96100000000024</v>
      </c>
      <c r="BJ402" s="2104">
        <v>3741.537800000001</v>
      </c>
      <c r="BK402" s="2103">
        <v>830.90700000000004</v>
      </c>
      <c r="BL402" s="2103">
        <v>995.4670000000001</v>
      </c>
      <c r="BM402" s="2103">
        <v>942.20280000000025</v>
      </c>
      <c r="BN402" s="2103">
        <v>972.96100000000024</v>
      </c>
      <c r="BO402" s="2104">
        <v>3741.537800000001</v>
      </c>
      <c r="BP402" s="2103">
        <v>830.90700000000004</v>
      </c>
      <c r="BQ402" s="2103">
        <v>995.4670000000001</v>
      </c>
      <c r="BR402" s="2103">
        <v>942.20280000000025</v>
      </c>
      <c r="BS402" s="2103">
        <v>972.96100000000024</v>
      </c>
      <c r="BT402" s="2104">
        <v>3741.537800000001</v>
      </c>
      <c r="BU402" s="2103">
        <v>830.90700000000004</v>
      </c>
      <c r="BV402" s="2103">
        <v>995.4670000000001</v>
      </c>
      <c r="BW402" s="2103">
        <v>942.20280000000025</v>
      </c>
      <c r="BX402" s="2103">
        <v>972.96100000000024</v>
      </c>
      <c r="BY402" s="2104">
        <v>3741.537800000001</v>
      </c>
      <c r="BZ402" s="2103">
        <v>830.90700000000004</v>
      </c>
      <c r="CA402" s="2103">
        <v>995.4670000000001</v>
      </c>
      <c r="CB402" s="2103">
        <v>942.20280000000025</v>
      </c>
      <c r="CC402" s="2103">
        <v>972.96100000000024</v>
      </c>
      <c r="CD402" s="2104">
        <v>3741.537800000001</v>
      </c>
      <c r="CE402" s="2103">
        <v>830.90700000000004</v>
      </c>
      <c r="CF402" s="2103">
        <v>995.4670000000001</v>
      </c>
      <c r="CG402" s="2103">
        <v>942.20280000000025</v>
      </c>
      <c r="CH402" s="2103">
        <v>972.96100000000024</v>
      </c>
      <c r="CI402" s="2104">
        <v>3741.537800000001</v>
      </c>
      <c r="CJ402" s="2103">
        <v>830.90700000000004</v>
      </c>
      <c r="CK402" s="2103">
        <v>995.4670000000001</v>
      </c>
      <c r="CL402" s="2103">
        <v>942.20280000000025</v>
      </c>
      <c r="CM402" s="2103">
        <v>972.96100000000024</v>
      </c>
      <c r="CN402" s="2104">
        <v>3741.537800000001</v>
      </c>
      <c r="CO402" s="2103">
        <v>830.90700000000004</v>
      </c>
      <c r="CP402" s="2103">
        <v>995.4670000000001</v>
      </c>
      <c r="CQ402" s="2103">
        <v>942.20280000000025</v>
      </c>
      <c r="CR402" s="2103">
        <v>972.96100000000024</v>
      </c>
      <c r="CS402" s="2104">
        <v>3741.537800000001</v>
      </c>
      <c r="CT402" s="2103">
        <v>830.90700000000004</v>
      </c>
      <c r="CU402" s="2103">
        <v>995.4670000000001</v>
      </c>
      <c r="CV402" s="2103">
        <v>942.20280000000025</v>
      </c>
      <c r="CW402" s="2103">
        <v>972.96100000000024</v>
      </c>
      <c r="CX402" s="2104">
        <v>3741.537800000001</v>
      </c>
      <c r="CY402" s="2100"/>
      <c r="CZ402" s="2100"/>
      <c r="DA402" s="2100"/>
      <c r="DB402" s="2100"/>
      <c r="DC402" s="2100"/>
      <c r="DD402" s="2100"/>
      <c r="DE402" s="2100"/>
      <c r="DF402" s="2100"/>
      <c r="DG402" s="2100"/>
      <c r="DH402" s="2105"/>
      <c r="DI402" s="2106"/>
      <c r="DJ402" s="2105"/>
      <c r="DK402" s="2107"/>
      <c r="DL402" s="2107"/>
      <c r="DM402" s="2104"/>
      <c r="DN402" s="2104"/>
      <c r="DO402" s="2104"/>
      <c r="DP402" s="2104"/>
      <c r="DQ402" s="2104"/>
      <c r="DR402" s="3067"/>
    </row>
    <row r="403" spans="1:122" hidden="1" outlineLevel="3">
      <c r="A403" s="2100" t="s">
        <v>527</v>
      </c>
      <c r="B403" s="2100"/>
      <c r="C403" s="2100"/>
      <c r="D403" s="2100"/>
      <c r="E403" s="2100"/>
      <c r="F403" s="2100"/>
      <c r="G403" s="2100"/>
      <c r="H403" s="2100"/>
      <c r="I403" s="2100"/>
      <c r="J403" s="2100"/>
      <c r="K403" s="2100"/>
      <c r="L403" s="2100"/>
      <c r="M403" s="2100"/>
      <c r="N403" s="2100"/>
      <c r="O403" s="2100"/>
      <c r="P403" s="2101"/>
      <c r="Q403" s="2101"/>
      <c r="R403" s="2101"/>
      <c r="S403" s="2102"/>
      <c r="T403" s="2102"/>
      <c r="U403" s="2102"/>
      <c r="V403" s="2102"/>
      <c r="W403" s="2101"/>
      <c r="X403" s="2100"/>
      <c r="Y403" s="2100"/>
      <c r="Z403" s="2102"/>
      <c r="AA403" s="2102"/>
      <c r="AB403" s="2101"/>
      <c r="AC403" s="2100"/>
      <c r="AD403" s="2100"/>
      <c r="AE403" s="2102"/>
      <c r="AF403" s="2102"/>
      <c r="AG403" s="2102">
        <v>4111</v>
      </c>
      <c r="AH403" s="2100">
        <v>4815</v>
      </c>
      <c r="AI403" s="2100">
        <v>4745</v>
      </c>
      <c r="AJ403" s="2102">
        <v>5263</v>
      </c>
      <c r="AK403" s="2102">
        <v>18934</v>
      </c>
      <c r="AL403" s="2102">
        <v>4949</v>
      </c>
      <c r="AM403" s="2100">
        <v>4876</v>
      </c>
      <c r="AN403" s="2100">
        <v>4505</v>
      </c>
      <c r="AO403" s="2100">
        <v>4564</v>
      </c>
      <c r="AP403" s="2103">
        <v>18894</v>
      </c>
      <c r="AQ403" s="2103">
        <v>4454.1000000000004</v>
      </c>
      <c r="AR403" s="2103">
        <v>4632.2</v>
      </c>
      <c r="AS403" s="2103">
        <v>4910.45</v>
      </c>
      <c r="AT403" s="2103">
        <v>4974.76</v>
      </c>
      <c r="AU403" s="2103">
        <v>18971.509999999998</v>
      </c>
      <c r="AV403" s="2103">
        <v>4899.51</v>
      </c>
      <c r="AW403" s="2103">
        <v>5188.0640000000003</v>
      </c>
      <c r="AX403" s="2103">
        <v>5352.3905000000013</v>
      </c>
      <c r="AY403" s="2103">
        <v>5372.7408000000005</v>
      </c>
      <c r="AZ403" s="2104">
        <v>20812.705300000001</v>
      </c>
      <c r="BA403" s="2103">
        <v>5291.4708000000019</v>
      </c>
      <c r="BB403" s="2103">
        <v>5603.109120000001</v>
      </c>
      <c r="BC403" s="2103">
        <v>5780.5817400000014</v>
      </c>
      <c r="BD403" s="2103">
        <v>5802.5600640000011</v>
      </c>
      <c r="BE403" s="2104">
        <v>22477.721724000006</v>
      </c>
      <c r="BF403" s="2103">
        <v>5291.4708000000019</v>
      </c>
      <c r="BG403" s="2103">
        <v>5603.109120000001</v>
      </c>
      <c r="BH403" s="2103">
        <v>5780.5817400000014</v>
      </c>
      <c r="BI403" s="2103">
        <v>5802.5600640000011</v>
      </c>
      <c r="BJ403" s="2104">
        <v>22477.721724000006</v>
      </c>
      <c r="BK403" s="2103">
        <v>5291.4708000000019</v>
      </c>
      <c r="BL403" s="2103">
        <v>5603.109120000001</v>
      </c>
      <c r="BM403" s="2103">
        <v>5780.5817400000014</v>
      </c>
      <c r="BN403" s="2103">
        <v>5802.5600640000011</v>
      </c>
      <c r="BO403" s="2104">
        <v>22477.721724000006</v>
      </c>
      <c r="BP403" s="2103">
        <v>5291.4708000000019</v>
      </c>
      <c r="BQ403" s="2103">
        <v>5603.109120000001</v>
      </c>
      <c r="BR403" s="2103">
        <v>5780.5817400000014</v>
      </c>
      <c r="BS403" s="2103">
        <v>5802.5600640000011</v>
      </c>
      <c r="BT403" s="2104">
        <v>22477.721724000006</v>
      </c>
      <c r="BU403" s="2103">
        <v>5291.4708000000019</v>
      </c>
      <c r="BV403" s="2103">
        <v>5603.109120000001</v>
      </c>
      <c r="BW403" s="2103">
        <v>5780.5817400000014</v>
      </c>
      <c r="BX403" s="2103">
        <v>5802.5600640000011</v>
      </c>
      <c r="BY403" s="2104">
        <v>22477.721724000006</v>
      </c>
      <c r="BZ403" s="2103">
        <v>5291.4708000000019</v>
      </c>
      <c r="CA403" s="2103">
        <v>5603.109120000001</v>
      </c>
      <c r="CB403" s="2103">
        <v>5780.5817400000014</v>
      </c>
      <c r="CC403" s="2103">
        <v>5802.5600640000011</v>
      </c>
      <c r="CD403" s="2104">
        <v>22477.721724000006</v>
      </c>
      <c r="CE403" s="2103">
        <v>5291.4708000000019</v>
      </c>
      <c r="CF403" s="2103">
        <v>5603.109120000001</v>
      </c>
      <c r="CG403" s="2103">
        <v>5780.5817400000014</v>
      </c>
      <c r="CH403" s="2103">
        <v>5802.5600640000011</v>
      </c>
      <c r="CI403" s="2104">
        <v>22477.721724000006</v>
      </c>
      <c r="CJ403" s="2103">
        <v>5291.4708000000019</v>
      </c>
      <c r="CK403" s="2103">
        <v>5603.109120000001</v>
      </c>
      <c r="CL403" s="2103">
        <v>5780.5817400000014</v>
      </c>
      <c r="CM403" s="2103">
        <v>5802.5600640000011</v>
      </c>
      <c r="CN403" s="2104">
        <v>22477.721724000006</v>
      </c>
      <c r="CO403" s="2103">
        <v>5291.4708000000019</v>
      </c>
      <c r="CP403" s="2103">
        <v>5603.109120000001</v>
      </c>
      <c r="CQ403" s="2103">
        <v>5780.5817400000014</v>
      </c>
      <c r="CR403" s="2103">
        <v>5802.5600640000011</v>
      </c>
      <c r="CS403" s="2104">
        <v>22477.721724000006</v>
      </c>
      <c r="CT403" s="2103">
        <v>5291.4708000000019</v>
      </c>
      <c r="CU403" s="2103">
        <v>5603.109120000001</v>
      </c>
      <c r="CV403" s="2103">
        <v>5780.5817400000014</v>
      </c>
      <c r="CW403" s="2103">
        <v>5802.5600640000011</v>
      </c>
      <c r="CX403" s="2104">
        <v>22477.721724000006</v>
      </c>
      <c r="CY403" s="2100"/>
      <c r="CZ403" s="2100"/>
      <c r="DA403" s="2100"/>
      <c r="DB403" s="2100"/>
      <c r="DC403" s="2100"/>
      <c r="DD403" s="2100"/>
      <c r="DE403" s="2100"/>
      <c r="DF403" s="2100"/>
      <c r="DG403" s="2100"/>
      <c r="DH403" s="2105"/>
      <c r="DI403" s="2106"/>
      <c r="DJ403" s="2105"/>
      <c r="DK403" s="2107"/>
      <c r="DL403" s="2107"/>
      <c r="DM403" s="2104"/>
      <c r="DN403" s="2104"/>
      <c r="DO403" s="2104"/>
      <c r="DP403" s="2104"/>
      <c r="DQ403" s="2104"/>
      <c r="DR403" s="3067"/>
    </row>
    <row r="404" spans="1:122" hidden="1" outlineLevel="3">
      <c r="A404" s="2100" t="s">
        <v>528</v>
      </c>
      <c r="B404" s="2100"/>
      <c r="C404" s="2100"/>
      <c r="D404" s="2100"/>
      <c r="E404" s="2100"/>
      <c r="F404" s="2100"/>
      <c r="G404" s="2100"/>
      <c r="H404" s="2100"/>
      <c r="I404" s="2100"/>
      <c r="J404" s="2100"/>
      <c r="K404" s="2100"/>
      <c r="L404" s="2100"/>
      <c r="M404" s="2100"/>
      <c r="N404" s="2100"/>
      <c r="O404" s="2100"/>
      <c r="P404" s="2101"/>
      <c r="Q404" s="2101"/>
      <c r="R404" s="2101"/>
      <c r="S404" s="2102"/>
      <c r="T404" s="2102"/>
      <c r="U404" s="2102"/>
      <c r="V404" s="2102"/>
      <c r="W404" s="2101"/>
      <c r="X404" s="2100"/>
      <c r="Y404" s="2100"/>
      <c r="Z404" s="2102"/>
      <c r="AA404" s="2102"/>
      <c r="AB404" s="2101"/>
      <c r="AC404" s="2100"/>
      <c r="AD404" s="2100"/>
      <c r="AE404" s="2102"/>
      <c r="AF404" s="2102"/>
      <c r="AG404" s="2102">
        <v>1929</v>
      </c>
      <c r="AH404" s="2100">
        <v>3076</v>
      </c>
      <c r="AI404" s="2100">
        <v>1576</v>
      </c>
      <c r="AJ404" s="2102">
        <v>1575</v>
      </c>
      <c r="AK404" s="2102">
        <v>8156</v>
      </c>
      <c r="AL404" s="2102">
        <v>1814</v>
      </c>
      <c r="AM404" s="2100">
        <v>3183</v>
      </c>
      <c r="AN404" s="2100">
        <v>1567</v>
      </c>
      <c r="AO404" s="2100">
        <v>1189</v>
      </c>
      <c r="AP404" s="2103">
        <v>7753</v>
      </c>
      <c r="AQ404" s="2103">
        <v>1541.9</v>
      </c>
      <c r="AR404" s="2103">
        <v>2864.7</v>
      </c>
      <c r="AS404" s="2103">
        <v>1488.65</v>
      </c>
      <c r="AT404" s="2103">
        <v>1367.35</v>
      </c>
      <c r="AU404" s="2103">
        <v>7262.6</v>
      </c>
      <c r="AV404" s="2103">
        <v>1578.9055999999998</v>
      </c>
      <c r="AW404" s="2103">
        <v>3007.9350000000004</v>
      </c>
      <c r="AX404" s="2103">
        <v>1563.0825</v>
      </c>
      <c r="AY404" s="2103">
        <v>1435.7175</v>
      </c>
      <c r="AZ404" s="2104">
        <v>7585.6405999999997</v>
      </c>
      <c r="BA404" s="2103">
        <v>1657.85088</v>
      </c>
      <c r="BB404" s="2103">
        <v>3158.3317500000007</v>
      </c>
      <c r="BC404" s="2103">
        <v>1641.236625</v>
      </c>
      <c r="BD404" s="2103">
        <v>1507.503375</v>
      </c>
      <c r="BE404" s="2104">
        <v>7964.9226300000009</v>
      </c>
      <c r="BF404" s="2103">
        <v>1657.85088</v>
      </c>
      <c r="BG404" s="2103">
        <v>3158.3317500000007</v>
      </c>
      <c r="BH404" s="2103">
        <v>1641.236625</v>
      </c>
      <c r="BI404" s="2103">
        <v>1507.503375</v>
      </c>
      <c r="BJ404" s="2104">
        <v>7964.9226300000009</v>
      </c>
      <c r="BK404" s="2103">
        <v>1657.85088</v>
      </c>
      <c r="BL404" s="2103">
        <v>3158.3317500000007</v>
      </c>
      <c r="BM404" s="2103">
        <v>1641.236625</v>
      </c>
      <c r="BN404" s="2103">
        <v>1507.503375</v>
      </c>
      <c r="BO404" s="2104">
        <v>7964.9226300000009</v>
      </c>
      <c r="BP404" s="2103">
        <v>1657.85088</v>
      </c>
      <c r="BQ404" s="2103">
        <v>3158.3317500000007</v>
      </c>
      <c r="BR404" s="2103">
        <v>1641.236625</v>
      </c>
      <c r="BS404" s="2103">
        <v>1507.503375</v>
      </c>
      <c r="BT404" s="2104">
        <v>7964.9226300000009</v>
      </c>
      <c r="BU404" s="2103">
        <v>1657.85088</v>
      </c>
      <c r="BV404" s="2103">
        <v>3158.3317500000007</v>
      </c>
      <c r="BW404" s="2103">
        <v>1641.236625</v>
      </c>
      <c r="BX404" s="2103">
        <v>1507.503375</v>
      </c>
      <c r="BY404" s="2104">
        <v>7964.9226300000009</v>
      </c>
      <c r="BZ404" s="2103">
        <v>1657.85088</v>
      </c>
      <c r="CA404" s="2103">
        <v>3158.3317500000007</v>
      </c>
      <c r="CB404" s="2103">
        <v>1641.236625</v>
      </c>
      <c r="CC404" s="2103">
        <v>1507.503375</v>
      </c>
      <c r="CD404" s="2104">
        <v>7964.9226300000009</v>
      </c>
      <c r="CE404" s="2103">
        <v>1657.85088</v>
      </c>
      <c r="CF404" s="2103">
        <v>3158.3317500000007</v>
      </c>
      <c r="CG404" s="2103">
        <v>1641.236625</v>
      </c>
      <c r="CH404" s="2103">
        <v>1507.503375</v>
      </c>
      <c r="CI404" s="2104">
        <v>7964.9226300000009</v>
      </c>
      <c r="CJ404" s="2103">
        <v>1657.85088</v>
      </c>
      <c r="CK404" s="2103">
        <v>3158.3317500000007</v>
      </c>
      <c r="CL404" s="2103">
        <v>1641.236625</v>
      </c>
      <c r="CM404" s="2103">
        <v>1507.503375</v>
      </c>
      <c r="CN404" s="2104">
        <v>7964.9226300000009</v>
      </c>
      <c r="CO404" s="2103">
        <v>1657.85088</v>
      </c>
      <c r="CP404" s="2103">
        <v>3158.3317500000007</v>
      </c>
      <c r="CQ404" s="2103">
        <v>1641.236625</v>
      </c>
      <c r="CR404" s="2103">
        <v>1507.503375</v>
      </c>
      <c r="CS404" s="2104">
        <v>7964.9226300000009</v>
      </c>
      <c r="CT404" s="2103">
        <v>1657.85088</v>
      </c>
      <c r="CU404" s="2103">
        <v>3158.3317500000007</v>
      </c>
      <c r="CV404" s="2103">
        <v>1641.236625</v>
      </c>
      <c r="CW404" s="2103">
        <v>1507.503375</v>
      </c>
      <c r="CX404" s="2104">
        <v>7964.9226300000009</v>
      </c>
      <c r="CY404" s="2100"/>
      <c r="CZ404" s="2100"/>
      <c r="DA404" s="2100"/>
      <c r="DB404" s="2100"/>
      <c r="DC404" s="2100"/>
      <c r="DD404" s="2100"/>
      <c r="DE404" s="2100"/>
      <c r="DF404" s="2100"/>
      <c r="DG404" s="2100"/>
      <c r="DH404" s="2105"/>
      <c r="DI404" s="2106"/>
      <c r="DJ404" s="2105"/>
      <c r="DK404" s="2107"/>
      <c r="DL404" s="2107"/>
      <c r="DM404" s="2104"/>
      <c r="DN404" s="2104"/>
      <c r="DO404" s="2104"/>
      <c r="DP404" s="2104"/>
      <c r="DQ404" s="2104"/>
      <c r="DR404" s="3067"/>
    </row>
    <row r="405" spans="1:122" hidden="1" outlineLevel="3">
      <c r="A405" s="2100" t="s">
        <v>280</v>
      </c>
      <c r="B405" s="2100"/>
      <c r="C405" s="2100"/>
      <c r="D405" s="2100"/>
      <c r="E405" s="2100"/>
      <c r="F405" s="2100"/>
      <c r="G405" s="2100"/>
      <c r="H405" s="2100"/>
      <c r="I405" s="2100"/>
      <c r="J405" s="2100"/>
      <c r="K405" s="2100"/>
      <c r="L405" s="2100"/>
      <c r="M405" s="2100"/>
      <c r="N405" s="2100"/>
      <c r="O405" s="2100"/>
      <c r="P405" s="2101"/>
      <c r="Q405" s="2101"/>
      <c r="R405" s="2101"/>
      <c r="S405" s="2102"/>
      <c r="T405" s="2102"/>
      <c r="U405" s="2102"/>
      <c r="V405" s="2102"/>
      <c r="W405" s="2101"/>
      <c r="X405" s="2100"/>
      <c r="Y405" s="2100"/>
      <c r="Z405" s="2102"/>
      <c r="AA405" s="2102"/>
      <c r="AB405" s="2101"/>
      <c r="AC405" s="2100"/>
      <c r="AD405" s="2100"/>
      <c r="AE405" s="2102"/>
      <c r="AF405" s="2102"/>
      <c r="AG405" s="1890">
        <v>13</v>
      </c>
      <c r="AH405" s="1889">
        <v>18</v>
      </c>
      <c r="AI405" s="1889">
        <v>10</v>
      </c>
      <c r="AJ405" s="1890">
        <v>57</v>
      </c>
      <c r="AK405" s="1762">
        <f>SUM(AG405:AJ405)</f>
        <v>98</v>
      </c>
      <c r="AL405" s="1890">
        <v>-96</v>
      </c>
      <c r="AM405" s="1889">
        <v>-21</v>
      </c>
      <c r="AN405" s="1889">
        <v>-16</v>
      </c>
      <c r="AO405" s="1890">
        <v>-3</v>
      </c>
      <c r="AP405" s="1762">
        <f>SUM(AL405:AO405)</f>
        <v>-136</v>
      </c>
      <c r="AQ405" s="1891">
        <v>0</v>
      </c>
      <c r="AR405" s="1891">
        <v>0</v>
      </c>
      <c r="AS405" s="1891">
        <v>0</v>
      </c>
      <c r="AT405" s="1891">
        <v>0</v>
      </c>
      <c r="AU405" s="1892">
        <f>SUM(AQ405:AT405)</f>
        <v>0</v>
      </c>
      <c r="AV405" s="1891">
        <v>0</v>
      </c>
      <c r="AW405" s="1891">
        <v>0</v>
      </c>
      <c r="AX405" s="1891">
        <v>0</v>
      </c>
      <c r="AY405" s="1891">
        <v>0</v>
      </c>
      <c r="AZ405" s="1892">
        <f>SUM(AV405:AY405)</f>
        <v>0</v>
      </c>
      <c r="BA405" s="1891">
        <v>0</v>
      </c>
      <c r="BB405" s="1891">
        <v>0</v>
      </c>
      <c r="BC405" s="1891">
        <v>0</v>
      </c>
      <c r="BD405" s="1891">
        <v>0</v>
      </c>
      <c r="BE405" s="1892">
        <f>SUM(BA405:BD405)</f>
        <v>0</v>
      </c>
      <c r="BF405" s="1891">
        <v>0</v>
      </c>
      <c r="BG405" s="1891">
        <v>0</v>
      </c>
      <c r="BH405" s="1891">
        <v>0</v>
      </c>
      <c r="BI405" s="1891">
        <v>0</v>
      </c>
      <c r="BJ405" s="1892">
        <f>SUM(BF405:BI405)</f>
        <v>0</v>
      </c>
      <c r="BK405" s="1891">
        <v>0</v>
      </c>
      <c r="BL405" s="1891">
        <v>0</v>
      </c>
      <c r="BM405" s="1891">
        <v>0</v>
      </c>
      <c r="BN405" s="1891">
        <v>0</v>
      </c>
      <c r="BO405" s="1892">
        <f>SUM(BK405:BN405)</f>
        <v>0</v>
      </c>
      <c r="BP405" s="1891">
        <v>0</v>
      </c>
      <c r="BQ405" s="1891">
        <v>0</v>
      </c>
      <c r="BR405" s="1891">
        <v>0</v>
      </c>
      <c r="BS405" s="1891">
        <v>0</v>
      </c>
      <c r="BT405" s="1892">
        <f>SUM(BP405:BS405)</f>
        <v>0</v>
      </c>
      <c r="BU405" s="1891">
        <v>0</v>
      </c>
      <c r="BV405" s="1891">
        <v>0</v>
      </c>
      <c r="BW405" s="1891">
        <v>0</v>
      </c>
      <c r="BX405" s="1891">
        <v>0</v>
      </c>
      <c r="BY405" s="1892">
        <f>SUM(BU405:BX405)</f>
        <v>0</v>
      </c>
      <c r="BZ405" s="1891">
        <v>0</v>
      </c>
      <c r="CA405" s="1891">
        <v>0</v>
      </c>
      <c r="CB405" s="1891">
        <v>0</v>
      </c>
      <c r="CC405" s="1891">
        <v>0</v>
      </c>
      <c r="CD405" s="1892">
        <f>SUM(BZ405:CC405)</f>
        <v>0</v>
      </c>
      <c r="CE405" s="1891">
        <v>0</v>
      </c>
      <c r="CF405" s="1891">
        <v>0</v>
      </c>
      <c r="CG405" s="1891">
        <v>0</v>
      </c>
      <c r="CH405" s="1891">
        <v>0</v>
      </c>
      <c r="CI405" s="1892">
        <f>SUM(CE405:CH405)</f>
        <v>0</v>
      </c>
      <c r="CJ405" s="1891">
        <v>0</v>
      </c>
      <c r="CK405" s="1891">
        <v>0</v>
      </c>
      <c r="CL405" s="1891">
        <v>0</v>
      </c>
      <c r="CM405" s="1891">
        <v>0</v>
      </c>
      <c r="CN405" s="1892">
        <f>SUM(CJ405:CM405)</f>
        <v>0</v>
      </c>
      <c r="CO405" s="1891">
        <v>0</v>
      </c>
      <c r="CP405" s="1891">
        <v>0</v>
      </c>
      <c r="CQ405" s="1891">
        <v>0</v>
      </c>
      <c r="CR405" s="1891">
        <v>0</v>
      </c>
      <c r="CS405" s="1892">
        <f>SUM(CO405:CR405)</f>
        <v>0</v>
      </c>
      <c r="CT405" s="1891">
        <v>0</v>
      </c>
      <c r="CU405" s="1891">
        <v>0</v>
      </c>
      <c r="CV405" s="1891">
        <v>0</v>
      </c>
      <c r="CW405" s="1891">
        <v>0</v>
      </c>
      <c r="CX405" s="1892">
        <f>SUM(CT405:CW405)</f>
        <v>0</v>
      </c>
      <c r="CY405" s="2100"/>
      <c r="CZ405" s="2100"/>
      <c r="DA405" s="2100"/>
      <c r="DB405" s="2100"/>
      <c r="DC405" s="2100"/>
      <c r="DD405" s="2100"/>
      <c r="DE405" s="2100"/>
      <c r="DF405" s="2100"/>
      <c r="DG405" s="2100"/>
      <c r="DH405" s="1766"/>
      <c r="DI405" s="1762"/>
      <c r="DJ405" s="1766"/>
      <c r="DK405" s="1894"/>
      <c r="DL405" s="1894"/>
      <c r="DM405" s="1892"/>
      <c r="DN405" s="1892"/>
      <c r="DO405" s="1892"/>
      <c r="DP405" s="1892"/>
      <c r="DQ405" s="1892"/>
      <c r="DR405" s="1993"/>
    </row>
    <row r="406" spans="1:122" hidden="1" outlineLevel="3">
      <c r="A406" s="2100" t="s">
        <v>743</v>
      </c>
      <c r="B406" s="2100"/>
      <c r="C406" s="2100"/>
      <c r="D406" s="2100"/>
      <c r="E406" s="2100"/>
      <c r="F406" s="2100"/>
      <c r="G406" s="2100"/>
      <c r="H406" s="2100"/>
      <c r="I406" s="2100"/>
      <c r="J406" s="2100"/>
      <c r="K406" s="2100"/>
      <c r="L406" s="2100"/>
      <c r="M406" s="2100"/>
      <c r="N406" s="2100"/>
      <c r="O406" s="2100"/>
      <c r="P406" s="2101"/>
      <c r="Q406" s="2101"/>
      <c r="R406" s="2101"/>
      <c r="S406" s="2102"/>
      <c r="T406" s="2102"/>
      <c r="U406" s="2102"/>
      <c r="V406" s="2102"/>
      <c r="W406" s="2101"/>
      <c r="X406" s="2100"/>
      <c r="Y406" s="2100"/>
      <c r="Z406" s="2102"/>
      <c r="AA406" s="2102"/>
      <c r="AB406" s="2101"/>
      <c r="AC406" s="2100"/>
      <c r="AD406" s="2100"/>
      <c r="AE406" s="2102"/>
      <c r="AF406" s="2102"/>
      <c r="AG406" s="1890">
        <f t="shared" ref="AG406:CD406" si="553">SUM(AG400:AG405)</f>
        <v>13762</v>
      </c>
      <c r="AH406" s="1890">
        <f t="shared" si="553"/>
        <v>16367</v>
      </c>
      <c r="AI406" s="1890">
        <f t="shared" si="553"/>
        <v>14454</v>
      </c>
      <c r="AJ406" s="1890">
        <f t="shared" si="553"/>
        <v>15837</v>
      </c>
      <c r="AK406" s="1890">
        <f t="shared" si="553"/>
        <v>60420</v>
      </c>
      <c r="AL406" s="1890">
        <f t="shared" si="553"/>
        <v>15061</v>
      </c>
      <c r="AM406" s="1890">
        <f t="shared" si="553"/>
        <v>16629</v>
      </c>
      <c r="AN406" s="1890">
        <f t="shared" si="553"/>
        <v>13648</v>
      </c>
      <c r="AO406" s="1890">
        <f t="shared" si="553"/>
        <v>13099</v>
      </c>
      <c r="AP406" s="1890">
        <f t="shared" si="553"/>
        <v>58437</v>
      </c>
      <c r="AQ406" s="1890">
        <f t="shared" si="553"/>
        <v>12646.295520475249</v>
      </c>
      <c r="AR406" s="1890">
        <f t="shared" si="553"/>
        <v>17371.135631570058</v>
      </c>
      <c r="AS406" s="1890">
        <f t="shared" si="553"/>
        <v>14793.253903521212</v>
      </c>
      <c r="AT406" s="1890">
        <f t="shared" si="553"/>
        <v>14738.341755576861</v>
      </c>
      <c r="AU406" s="1890">
        <f t="shared" si="553"/>
        <v>59549.026811143376</v>
      </c>
      <c r="AV406" s="1890">
        <f t="shared" si="553"/>
        <v>15202.04828763624</v>
      </c>
      <c r="AW406" s="1890">
        <f t="shared" si="553"/>
        <v>17820.8088946034</v>
      </c>
      <c r="AX406" s="1890">
        <f t="shared" si="553"/>
        <v>15720.897926113557</v>
      </c>
      <c r="AY406" s="1890">
        <f t="shared" si="553"/>
        <v>15907.858932677844</v>
      </c>
      <c r="AZ406" s="1801">
        <f t="shared" si="553"/>
        <v>64651.614041031033</v>
      </c>
      <c r="BA406" s="1890">
        <f t="shared" si="553"/>
        <v>16394.286981993049</v>
      </c>
      <c r="BB406" s="1890">
        <f t="shared" si="553"/>
        <v>19164.465455646339</v>
      </c>
      <c r="BC406" s="1890">
        <f t="shared" si="553"/>
        <v>16860.949089827929</v>
      </c>
      <c r="BD406" s="1890">
        <f t="shared" si="553"/>
        <v>17073.555666224744</v>
      </c>
      <c r="BE406" s="1801">
        <f t="shared" si="553"/>
        <v>69493.257193692058</v>
      </c>
      <c r="BF406" s="1890">
        <f t="shared" si="553"/>
        <v>16394.286981993049</v>
      </c>
      <c r="BG406" s="1890">
        <f t="shared" si="553"/>
        <v>19164.465455646339</v>
      </c>
      <c r="BH406" s="1890">
        <f t="shared" si="553"/>
        <v>16860.949089827929</v>
      </c>
      <c r="BI406" s="1890">
        <f t="shared" si="553"/>
        <v>17073.555666224744</v>
      </c>
      <c r="BJ406" s="1801">
        <f t="shared" si="553"/>
        <v>69493.257193692058</v>
      </c>
      <c r="BK406" s="1890">
        <f t="shared" si="553"/>
        <v>16394.286981993049</v>
      </c>
      <c r="BL406" s="1890">
        <f t="shared" si="553"/>
        <v>19164.465455646339</v>
      </c>
      <c r="BM406" s="1890">
        <f t="shared" si="553"/>
        <v>16860.949089827929</v>
      </c>
      <c r="BN406" s="1890">
        <f t="shared" si="553"/>
        <v>17073.555666224744</v>
      </c>
      <c r="BO406" s="1801">
        <f t="shared" si="553"/>
        <v>69493.257193692058</v>
      </c>
      <c r="BP406" s="1890">
        <f t="shared" si="553"/>
        <v>16394.286981993049</v>
      </c>
      <c r="BQ406" s="1890">
        <f t="shared" si="553"/>
        <v>19164.465455646339</v>
      </c>
      <c r="BR406" s="1890">
        <f t="shared" si="553"/>
        <v>16860.949089827929</v>
      </c>
      <c r="BS406" s="1890">
        <f t="shared" si="553"/>
        <v>17073.555666224744</v>
      </c>
      <c r="BT406" s="1801">
        <f t="shared" si="553"/>
        <v>69493.257193692058</v>
      </c>
      <c r="BU406" s="1890">
        <f t="shared" si="553"/>
        <v>16394.286981993049</v>
      </c>
      <c r="BV406" s="1890">
        <f t="shared" si="553"/>
        <v>19164.465455646339</v>
      </c>
      <c r="BW406" s="1890">
        <f t="shared" si="553"/>
        <v>16860.949089827929</v>
      </c>
      <c r="BX406" s="1890">
        <f t="shared" si="553"/>
        <v>17073.555666224744</v>
      </c>
      <c r="BY406" s="1801">
        <f t="shared" si="553"/>
        <v>69493.257193692058</v>
      </c>
      <c r="BZ406" s="1890">
        <f t="shared" si="553"/>
        <v>16394.286981993049</v>
      </c>
      <c r="CA406" s="1890">
        <f t="shared" si="553"/>
        <v>19164.465455646339</v>
      </c>
      <c r="CB406" s="1890">
        <f t="shared" si="553"/>
        <v>16860.949089827929</v>
      </c>
      <c r="CC406" s="1890">
        <f t="shared" si="553"/>
        <v>17073.555666224744</v>
      </c>
      <c r="CD406" s="1801">
        <f t="shared" si="553"/>
        <v>69493.257193692058</v>
      </c>
      <c r="CE406" s="1890">
        <f t="shared" ref="CE406:CI406" si="554">SUM(CE400:CE405)</f>
        <v>16394.286981993049</v>
      </c>
      <c r="CF406" s="1890">
        <f t="shared" si="554"/>
        <v>19164.465455646339</v>
      </c>
      <c r="CG406" s="1890">
        <f t="shared" si="554"/>
        <v>16860.949089827929</v>
      </c>
      <c r="CH406" s="1890">
        <f t="shared" si="554"/>
        <v>17073.555666224744</v>
      </c>
      <c r="CI406" s="1801">
        <f t="shared" si="554"/>
        <v>69493.257193692058</v>
      </c>
      <c r="CJ406" s="1890">
        <f t="shared" ref="CJ406:CS406" si="555">SUM(CJ400:CJ405)</f>
        <v>16394.286981993049</v>
      </c>
      <c r="CK406" s="1890">
        <f t="shared" si="555"/>
        <v>19164.465455646339</v>
      </c>
      <c r="CL406" s="1890">
        <f t="shared" si="555"/>
        <v>16860.949089827929</v>
      </c>
      <c r="CM406" s="1890">
        <f t="shared" si="555"/>
        <v>17073.555666224744</v>
      </c>
      <c r="CN406" s="1801">
        <f t="shared" si="555"/>
        <v>69493.257193692058</v>
      </c>
      <c r="CO406" s="1890">
        <f t="shared" si="555"/>
        <v>16394.286981993049</v>
      </c>
      <c r="CP406" s="1890">
        <f t="shared" si="555"/>
        <v>19164.465455646339</v>
      </c>
      <c r="CQ406" s="1890">
        <f t="shared" si="555"/>
        <v>16860.949089827929</v>
      </c>
      <c r="CR406" s="1890">
        <f t="shared" si="555"/>
        <v>17073.555666224744</v>
      </c>
      <c r="CS406" s="1801">
        <f t="shared" si="555"/>
        <v>69493.257193692058</v>
      </c>
      <c r="CT406" s="1890">
        <f t="shared" ref="CT406:CX406" si="556">SUM(CT400:CT405)</f>
        <v>16394.286981993049</v>
      </c>
      <c r="CU406" s="1890">
        <f t="shared" si="556"/>
        <v>19164.465455646339</v>
      </c>
      <c r="CV406" s="1890">
        <f t="shared" si="556"/>
        <v>16860.949089827929</v>
      </c>
      <c r="CW406" s="1890">
        <f t="shared" si="556"/>
        <v>17073.555666224744</v>
      </c>
      <c r="CX406" s="1801">
        <f t="shared" si="556"/>
        <v>69493.257193692058</v>
      </c>
      <c r="CY406" s="2100"/>
      <c r="CZ406" s="2100"/>
      <c r="DA406" s="2100"/>
      <c r="DB406" s="2100"/>
      <c r="DC406" s="2100"/>
      <c r="DD406" s="2100"/>
      <c r="DE406" s="2100"/>
      <c r="DF406" s="2100"/>
      <c r="DG406" s="2100"/>
      <c r="DH406" s="1804"/>
      <c r="DI406" s="1801"/>
      <c r="DJ406" s="1804"/>
      <c r="DK406" s="1804"/>
      <c r="DL406" s="1804"/>
      <c r="DM406" s="1801"/>
      <c r="DN406" s="1801"/>
      <c r="DO406" s="1801"/>
      <c r="DP406" s="1801"/>
      <c r="DQ406" s="1801"/>
      <c r="DR406" s="1803"/>
    </row>
    <row r="407" spans="1:122" hidden="1" outlineLevel="3">
      <c r="A407" s="2100"/>
      <c r="B407" s="2100"/>
      <c r="C407" s="2100"/>
      <c r="D407" s="2100"/>
      <c r="E407" s="2100"/>
      <c r="F407" s="2100"/>
      <c r="G407" s="2100"/>
      <c r="H407" s="2100"/>
      <c r="I407" s="2100"/>
      <c r="J407" s="2100"/>
      <c r="K407" s="2100"/>
      <c r="L407" s="2100"/>
      <c r="M407" s="2100"/>
      <c r="N407" s="2100"/>
      <c r="O407" s="2100"/>
      <c r="P407" s="2101"/>
      <c r="Q407" s="2101"/>
      <c r="R407" s="2101"/>
      <c r="S407" s="2102"/>
      <c r="T407" s="2102"/>
      <c r="U407" s="2102"/>
      <c r="V407" s="2102"/>
      <c r="W407" s="2101"/>
      <c r="X407" s="2100"/>
      <c r="Y407" s="2100"/>
      <c r="Z407" s="2102"/>
      <c r="AA407" s="2102"/>
      <c r="AB407" s="2101"/>
      <c r="AC407" s="2100"/>
      <c r="AD407" s="2100"/>
      <c r="AE407" s="2102"/>
      <c r="AF407" s="2102"/>
      <c r="AG407" s="2102"/>
      <c r="AH407" s="2100"/>
      <c r="AI407" s="2100"/>
      <c r="AJ407" s="2102"/>
      <c r="AK407" s="2102"/>
      <c r="AL407" s="2102"/>
      <c r="AM407" s="2100"/>
      <c r="AN407" s="2100"/>
      <c r="AO407" s="2103"/>
      <c r="AP407" s="2103"/>
      <c r="AQ407" s="2103"/>
      <c r="AR407" s="2103"/>
      <c r="AS407" s="2103"/>
      <c r="AT407" s="2103"/>
      <c r="AU407" s="2103"/>
      <c r="AV407" s="2103"/>
      <c r="AW407" s="2103"/>
      <c r="AX407" s="2103"/>
      <c r="AY407" s="2103"/>
      <c r="AZ407" s="2104"/>
      <c r="BA407" s="2103"/>
      <c r="BB407" s="2103"/>
      <c r="BC407" s="2103"/>
      <c r="BD407" s="2103"/>
      <c r="BE407" s="2104"/>
      <c r="BF407" s="2103"/>
      <c r="BG407" s="2103"/>
      <c r="BH407" s="2103"/>
      <c r="BI407" s="2103"/>
      <c r="BJ407" s="2104"/>
      <c r="BK407" s="2103"/>
      <c r="BL407" s="2103"/>
      <c r="BM407" s="2103"/>
      <c r="BN407" s="2103"/>
      <c r="BO407" s="2104"/>
      <c r="BP407" s="2103"/>
      <c r="BQ407" s="2103"/>
      <c r="BR407" s="2103"/>
      <c r="BS407" s="2103"/>
      <c r="BT407" s="2104"/>
      <c r="BU407" s="2103"/>
      <c r="BV407" s="2103"/>
      <c r="BW407" s="2103"/>
      <c r="BX407" s="2103"/>
      <c r="BY407" s="2104"/>
      <c r="BZ407" s="2103"/>
      <c r="CA407" s="2103"/>
      <c r="CB407" s="2103"/>
      <c r="CC407" s="2103"/>
      <c r="CD407" s="2104"/>
      <c r="CE407" s="2103"/>
      <c r="CF407" s="2103"/>
      <c r="CG407" s="2103"/>
      <c r="CH407" s="2103"/>
      <c r="CI407" s="2104"/>
      <c r="CJ407" s="2103"/>
      <c r="CK407" s="2103"/>
      <c r="CL407" s="2103"/>
      <c r="CM407" s="2103"/>
      <c r="CN407" s="2104"/>
      <c r="CO407" s="2103"/>
      <c r="CP407" s="2103"/>
      <c r="CQ407" s="2103"/>
      <c r="CR407" s="2103"/>
      <c r="CS407" s="2104"/>
      <c r="CT407" s="2103"/>
      <c r="CU407" s="2103"/>
      <c r="CV407" s="2103"/>
      <c r="CW407" s="2103"/>
      <c r="CX407" s="2104"/>
      <c r="CY407" s="2100"/>
      <c r="CZ407" s="2100"/>
      <c r="DA407" s="2100"/>
      <c r="DB407" s="2100"/>
      <c r="DC407" s="2100"/>
      <c r="DD407" s="2100"/>
      <c r="DE407" s="2100"/>
      <c r="DF407" s="2100"/>
      <c r="DG407" s="2100"/>
      <c r="DH407" s="2105"/>
      <c r="DI407" s="2106"/>
      <c r="DJ407" s="2105"/>
      <c r="DK407" s="2107"/>
      <c r="DL407" s="2107"/>
      <c r="DM407" s="2104"/>
      <c r="DN407" s="2104"/>
      <c r="DO407" s="2104"/>
      <c r="DP407" s="2104"/>
      <c r="DQ407" s="2104"/>
      <c r="DR407" s="3067"/>
    </row>
    <row r="408" spans="1:122" hidden="1" outlineLevel="3">
      <c r="A408" s="2108" t="s">
        <v>326</v>
      </c>
      <c r="B408" s="2100"/>
      <c r="C408" s="2100"/>
      <c r="D408" s="2100"/>
      <c r="E408" s="2100"/>
      <c r="F408" s="2100"/>
      <c r="G408" s="2100"/>
      <c r="H408" s="2100"/>
      <c r="I408" s="2100"/>
      <c r="J408" s="2100"/>
      <c r="K408" s="2100"/>
      <c r="L408" s="2100"/>
      <c r="M408" s="2100"/>
      <c r="N408" s="2100"/>
      <c r="O408" s="2100"/>
      <c r="P408" s="2101"/>
      <c r="Q408" s="2101"/>
      <c r="R408" s="2101"/>
      <c r="S408" s="2102"/>
      <c r="T408" s="2102"/>
      <c r="U408" s="2102"/>
      <c r="V408" s="2102"/>
      <c r="W408" s="2101"/>
      <c r="X408" s="2100"/>
      <c r="Y408" s="2100"/>
      <c r="Z408" s="2102"/>
      <c r="AA408" s="2102"/>
      <c r="AB408" s="2101"/>
      <c r="AC408" s="2100"/>
      <c r="AD408" s="2100"/>
      <c r="AE408" s="2102"/>
      <c r="AF408" s="2102"/>
      <c r="AG408" s="2102"/>
      <c r="AH408" s="2100"/>
      <c r="AI408" s="2100"/>
      <c r="AJ408" s="2102"/>
      <c r="AK408" s="2102"/>
      <c r="AL408" s="2102"/>
      <c r="AM408" s="2100"/>
      <c r="AN408" s="2100"/>
      <c r="AO408" s="2103"/>
      <c r="AP408" s="2103"/>
      <c r="AQ408" s="2103"/>
      <c r="AR408" s="2103"/>
      <c r="AS408" s="2103"/>
      <c r="AT408" s="2103"/>
      <c r="AU408" s="2103"/>
      <c r="AV408" s="2103"/>
      <c r="AW408" s="2103"/>
      <c r="AX408" s="2103"/>
      <c r="AY408" s="2103"/>
      <c r="AZ408" s="2104"/>
      <c r="BA408" s="2103"/>
      <c r="BB408" s="2103"/>
      <c r="BC408" s="2103"/>
      <c r="BD408" s="2103"/>
      <c r="BE408" s="2104"/>
      <c r="BF408" s="2103"/>
      <c r="BG408" s="2103"/>
      <c r="BH408" s="2103"/>
      <c r="BI408" s="2103"/>
      <c r="BJ408" s="2104"/>
      <c r="BK408" s="2103"/>
      <c r="BL408" s="2103"/>
      <c r="BM408" s="2103"/>
      <c r="BN408" s="2103"/>
      <c r="BO408" s="2104"/>
      <c r="BP408" s="2103"/>
      <c r="BQ408" s="2103"/>
      <c r="BR408" s="2103"/>
      <c r="BS408" s="2103"/>
      <c r="BT408" s="2104"/>
      <c r="BU408" s="2103"/>
      <c r="BV408" s="2103"/>
      <c r="BW408" s="2103"/>
      <c r="BX408" s="2103"/>
      <c r="BY408" s="2104"/>
      <c r="BZ408" s="2103"/>
      <c r="CA408" s="2103"/>
      <c r="CB408" s="2103"/>
      <c r="CC408" s="2103"/>
      <c r="CD408" s="2104"/>
      <c r="CE408" s="2103"/>
      <c r="CF408" s="2103"/>
      <c r="CG408" s="2103"/>
      <c r="CH408" s="2103"/>
      <c r="CI408" s="2104"/>
      <c r="CJ408" s="2103"/>
      <c r="CK408" s="2103"/>
      <c r="CL408" s="2103"/>
      <c r="CM408" s="2103"/>
      <c r="CN408" s="2104"/>
      <c r="CO408" s="2103"/>
      <c r="CP408" s="2103"/>
      <c r="CQ408" s="2103"/>
      <c r="CR408" s="2103"/>
      <c r="CS408" s="2104"/>
      <c r="CT408" s="2103"/>
      <c r="CU408" s="2103"/>
      <c r="CV408" s="2103"/>
      <c r="CW408" s="2103"/>
      <c r="CX408" s="2104"/>
      <c r="CY408" s="2100"/>
      <c r="CZ408" s="2100"/>
      <c r="DA408" s="2100"/>
      <c r="DB408" s="2100"/>
      <c r="DC408" s="2100"/>
      <c r="DD408" s="2100"/>
      <c r="DE408" s="2100"/>
      <c r="DF408" s="2100"/>
      <c r="DG408" s="2100"/>
      <c r="DH408" s="2105"/>
      <c r="DI408" s="2106"/>
      <c r="DJ408" s="2105"/>
      <c r="DK408" s="2107"/>
      <c r="DL408" s="2107"/>
      <c r="DM408" s="2104"/>
      <c r="DN408" s="2104"/>
      <c r="DO408" s="2104"/>
      <c r="DP408" s="2104"/>
      <c r="DQ408" s="2104"/>
      <c r="DR408" s="3067"/>
    </row>
    <row r="409" spans="1:122" hidden="1" outlineLevel="3">
      <c r="A409" s="2100" t="s">
        <v>322</v>
      </c>
      <c r="B409" s="2100"/>
      <c r="C409" s="2100"/>
      <c r="D409" s="2100"/>
      <c r="E409" s="2100"/>
      <c r="F409" s="2100"/>
      <c r="G409" s="2100"/>
      <c r="H409" s="2100"/>
      <c r="I409" s="2100"/>
      <c r="J409" s="2100"/>
      <c r="K409" s="2100"/>
      <c r="L409" s="2100"/>
      <c r="M409" s="2100"/>
      <c r="N409" s="2100"/>
      <c r="O409" s="2100"/>
      <c r="P409" s="2101"/>
      <c r="Q409" s="2101"/>
      <c r="R409" s="2101"/>
      <c r="S409" s="2102"/>
      <c r="T409" s="2102"/>
      <c r="U409" s="2102"/>
      <c r="V409" s="2102"/>
      <c r="W409" s="2101"/>
      <c r="X409" s="2100"/>
      <c r="Y409" s="2100"/>
      <c r="Z409" s="2102"/>
      <c r="AA409" s="2102"/>
      <c r="AB409" s="2101"/>
      <c r="AC409" s="2100"/>
      <c r="AD409" s="2100"/>
      <c r="AE409" s="2102"/>
      <c r="AF409" s="2102"/>
      <c r="AG409" s="2102"/>
      <c r="AH409" s="2100"/>
      <c r="AI409" s="2100"/>
      <c r="AJ409" s="2102"/>
      <c r="AK409" s="2102"/>
      <c r="AL409" s="2110">
        <v>150</v>
      </c>
      <c r="AM409" s="2110">
        <v>164</v>
      </c>
      <c r="AN409" s="2110">
        <v>112</v>
      </c>
      <c r="AO409" s="2110">
        <v>100</v>
      </c>
      <c r="AP409" s="2102">
        <f>SUM(AL409:AO409)</f>
        <v>526</v>
      </c>
      <c r="AQ409" s="2103">
        <f>'Client Unit Model'!X180</f>
        <v>50</v>
      </c>
      <c r="AR409" s="2103">
        <f>'Client Unit Model'!Y180</f>
        <v>80</v>
      </c>
      <c r="AS409" s="2103">
        <f>'Client Unit Model'!Z180</f>
        <v>50</v>
      </c>
      <c r="AT409" s="2103">
        <f>'Client Unit Model'!AA180</f>
        <v>80</v>
      </c>
      <c r="AU409" s="2102">
        <f>SUM(AQ409:AT409)</f>
        <v>260</v>
      </c>
      <c r="AV409" s="2103">
        <f>'Client Unit Model'!AB180</f>
        <v>55.000000000000007</v>
      </c>
      <c r="AW409" s="2103">
        <f>'Client Unit Model'!AC180</f>
        <v>82.4</v>
      </c>
      <c r="AX409" s="2103">
        <f>'Client Unit Model'!AD180</f>
        <v>56.000000000000007</v>
      </c>
      <c r="AY409" s="2103">
        <f>'Client Unit Model'!AE180</f>
        <v>89.600000000000009</v>
      </c>
      <c r="AZ409" s="2111">
        <f>SUM(AV409:AY409)</f>
        <v>283</v>
      </c>
      <c r="BA409" s="2103">
        <f>'Client Unit Model'!AF180</f>
        <v>61.050000000000011</v>
      </c>
      <c r="BB409" s="2103">
        <f>'Client Unit Model'!AG180</f>
        <v>90.640000000000015</v>
      </c>
      <c r="BC409" s="2103">
        <f>'Client Unit Model'!AH180</f>
        <v>67.2</v>
      </c>
      <c r="BD409" s="2103">
        <f>'Client Unit Model'!AI180</f>
        <v>89.600000000000009</v>
      </c>
      <c r="BE409" s="2111">
        <f>SUM(BA409:BD409)</f>
        <v>308.49000000000007</v>
      </c>
      <c r="BF409" s="2103">
        <f>'Client Unit Model'!AO180</f>
        <v>89.73360000000001</v>
      </c>
      <c r="BG409" s="2103">
        <f>'Client Unit Model'!AP180</f>
        <v>64.512</v>
      </c>
      <c r="BH409" s="2103">
        <f>'Client Unit Model'!AQ180</f>
        <v>85.12</v>
      </c>
      <c r="BI409" s="2103">
        <f>'Client Unit Model'!BY180</f>
        <v>0</v>
      </c>
      <c r="BJ409" s="2111">
        <f>SUM(BF409:BI409)</f>
        <v>239.36560000000003</v>
      </c>
      <c r="BK409" s="2103">
        <f>'Client Unit Model'!CA180</f>
        <v>0</v>
      </c>
      <c r="BL409" s="2103">
        <f>'Client Unit Model'!CB180</f>
        <v>0</v>
      </c>
      <c r="BM409" s="2103">
        <f>'Client Unit Model'!CC180</f>
        <v>234</v>
      </c>
      <c r="BN409" s="2103">
        <f>'Client Unit Model'!CD180</f>
        <v>260</v>
      </c>
      <c r="BO409" s="2111">
        <f>SUM(BK409:BN409)</f>
        <v>494</v>
      </c>
      <c r="BP409" s="2103">
        <f>'Client Unit Model'!CF180</f>
        <v>308.49000000000007</v>
      </c>
      <c r="BQ409" s="2103">
        <f>'Client Unit Model'!CG180</f>
        <v>297.36310000000003</v>
      </c>
      <c r="BR409" s="2103">
        <f>'Client Unit Model'!CH180</f>
        <v>291.56335000000001</v>
      </c>
      <c r="BS409" s="2103">
        <f>'Client Unit Model'!CP180</f>
        <v>0</v>
      </c>
      <c r="BT409" s="2111">
        <f>SUM(BP409:BS409)</f>
        <v>897.41645000000005</v>
      </c>
      <c r="BU409" s="2103">
        <f>'Client Unit Model'!CR177</f>
        <v>0</v>
      </c>
      <c r="BV409" s="2103">
        <f>'Client Unit Model'!CS177</f>
        <v>0</v>
      </c>
      <c r="BW409" s="2103">
        <f>'Client Unit Model'!CT177</f>
        <v>0.32073544433095003</v>
      </c>
      <c r="BX409" s="2103">
        <f>'Client Unit Model'!CU177</f>
        <v>9.6450116009280773E-2</v>
      </c>
      <c r="BY409" s="2111">
        <f>SUM(BU409:BX409)</f>
        <v>0.4171855603402308</v>
      </c>
      <c r="BZ409" s="2103">
        <f>'Client Unit Model'!CW177</f>
        <v>2.2158605774074136E-2</v>
      </c>
      <c r="CA409" s="2103">
        <f>'Client Unit Model'!CX177</f>
        <v>9.1622237750619284E-3</v>
      </c>
      <c r="CB409" s="2103">
        <f>'Client Unit Model'!CY177</f>
        <v>0.13343942874519144</v>
      </c>
      <c r="CC409" s="2103">
        <f>'Client Unit Model'!CZ177</f>
        <v>3.3574913233192394E-2</v>
      </c>
      <c r="CD409" s="2111">
        <f>SUM(BZ409:CC409)</f>
        <v>0.19833517152751989</v>
      </c>
      <c r="CE409" s="2103">
        <f>'Client Unit Model'!CZ180</f>
        <v>291.56335000000001</v>
      </c>
      <c r="CF409" s="2103">
        <f>'Client Unit Model'!DA180</f>
        <v>291.56335000000001</v>
      </c>
      <c r="CG409" s="2103">
        <f>'Client Unit Model'!DC180</f>
        <v>291.56335000000001</v>
      </c>
      <c r="CH409" s="2103">
        <f>'Client Unit Model'!DD180</f>
        <v>291.56335000000001</v>
      </c>
      <c r="CI409" s="2111">
        <f>SUM(CE409:CH409)</f>
        <v>1166.2534000000001</v>
      </c>
      <c r="CJ409" s="2103">
        <f>'Client Unit Model'!DE180</f>
        <v>291.56335000000001</v>
      </c>
      <c r="CK409" s="2103">
        <f>'Client Unit Model'!DG180</f>
        <v>0</v>
      </c>
      <c r="CL409" s="2103">
        <f>'Client Unit Model'!DI180</f>
        <v>0</v>
      </c>
      <c r="CM409" s="2103">
        <f>'Client Unit Model'!DJ180</f>
        <v>0</v>
      </c>
      <c r="CN409" s="2111">
        <f>SUM(CJ409:CM409)</f>
        <v>291.56335000000001</v>
      </c>
      <c r="CO409" s="2103">
        <f>'Client Unit Model'!DK180</f>
        <v>0</v>
      </c>
      <c r="CP409" s="2103">
        <f>'Client Unit Model'!DL180</f>
        <v>0</v>
      </c>
      <c r="CQ409" s="2103">
        <f>'Client Unit Model'!DN180</f>
        <v>0</v>
      </c>
      <c r="CR409" s="2103">
        <f>'Client Unit Model'!DO180</f>
        <v>0</v>
      </c>
      <c r="CS409" s="2111">
        <f>SUM(CO409:CR409)</f>
        <v>0</v>
      </c>
      <c r="CT409" s="2103">
        <f>'Client Unit Model'!DP180</f>
        <v>0</v>
      </c>
      <c r="CU409" s="2103">
        <f>'Client Unit Model'!DQ180</f>
        <v>0</v>
      </c>
      <c r="CV409" s="2103">
        <f>'Client Unit Model'!DS180</f>
        <v>0</v>
      </c>
      <c r="CW409" s="2103">
        <f>'Client Unit Model'!DT180</f>
        <v>0</v>
      </c>
      <c r="CX409" s="2111">
        <f>SUM(CT409:CW409)</f>
        <v>0</v>
      </c>
      <c r="CY409" s="2100"/>
      <c r="CZ409" s="2100"/>
      <c r="DA409" s="2100"/>
      <c r="DB409" s="2100"/>
      <c r="DC409" s="2100"/>
      <c r="DD409" s="2100"/>
      <c r="DE409" s="2100"/>
      <c r="DF409" s="2100"/>
      <c r="DG409" s="2100"/>
      <c r="DH409" s="2105"/>
      <c r="DI409" s="2106"/>
      <c r="DJ409" s="2105"/>
      <c r="DK409" s="2112"/>
      <c r="DL409" s="2112"/>
      <c r="DM409" s="2111"/>
      <c r="DN409" s="2111"/>
      <c r="DO409" s="2111"/>
      <c r="DP409" s="2111"/>
      <c r="DQ409" s="2111"/>
      <c r="DR409" s="3068"/>
    </row>
    <row r="410" spans="1:122" hidden="1" outlineLevel="3">
      <c r="A410" s="2100" t="s">
        <v>324</v>
      </c>
      <c r="B410" s="2100"/>
      <c r="C410" s="2100"/>
      <c r="D410" s="2100"/>
      <c r="E410" s="2100"/>
      <c r="F410" s="2100"/>
      <c r="G410" s="2100"/>
      <c r="H410" s="2100"/>
      <c r="I410" s="2100"/>
      <c r="J410" s="2100"/>
      <c r="K410" s="2100"/>
      <c r="L410" s="2100"/>
      <c r="M410" s="2100"/>
      <c r="N410" s="2100"/>
      <c r="O410" s="2100"/>
      <c r="P410" s="2101"/>
      <c r="Q410" s="2101"/>
      <c r="R410" s="2101"/>
      <c r="S410" s="2102"/>
      <c r="T410" s="2102"/>
      <c r="U410" s="2102"/>
      <c r="V410" s="2102"/>
      <c r="W410" s="2101"/>
      <c r="X410" s="2100"/>
      <c r="Y410" s="2100"/>
      <c r="Z410" s="2102"/>
      <c r="AA410" s="2102"/>
      <c r="AB410" s="2101"/>
      <c r="AC410" s="2100"/>
      <c r="AD410" s="2100"/>
      <c r="AE410" s="2102"/>
      <c r="AF410" s="2102"/>
      <c r="AG410" s="2102"/>
      <c r="AH410" s="2100"/>
      <c r="AI410" s="2100"/>
      <c r="AJ410" s="2102"/>
      <c r="AK410" s="2102"/>
      <c r="AL410" s="2110">
        <v>10</v>
      </c>
      <c r="AM410" s="2110">
        <v>20</v>
      </c>
      <c r="AN410" s="2110">
        <v>17</v>
      </c>
      <c r="AO410" s="2110">
        <v>20</v>
      </c>
      <c r="AP410" s="2103">
        <f>7824-7753</f>
        <v>71</v>
      </c>
      <c r="AQ410" s="2103">
        <f>AL410*1.2</f>
        <v>12</v>
      </c>
      <c r="AR410" s="2103">
        <f>AM410*1.2</f>
        <v>24</v>
      </c>
      <c r="AS410" s="2103">
        <f>AN410*1.2</f>
        <v>20.399999999999999</v>
      </c>
      <c r="AT410" s="2103">
        <f>AO410*1.2</f>
        <v>24</v>
      </c>
      <c r="AU410" s="2103">
        <f>SUM(AQ410:AT410)</f>
        <v>80.400000000000006</v>
      </c>
      <c r="AV410" s="2103">
        <f>AQ410*1.2</f>
        <v>14.399999999999999</v>
      </c>
      <c r="AW410" s="2103">
        <f>AR410*1.2</f>
        <v>28.799999999999997</v>
      </c>
      <c r="AX410" s="2103">
        <f>AS410*1.2</f>
        <v>24.479999999999997</v>
      </c>
      <c r="AY410" s="2103">
        <f>AT410*1.2</f>
        <v>28.799999999999997</v>
      </c>
      <c r="AZ410" s="2104">
        <f>SUM(AV410:AY410)</f>
        <v>96.47999999999999</v>
      </c>
      <c r="BA410" s="2103">
        <f>AV410*1.2</f>
        <v>17.279999999999998</v>
      </c>
      <c r="BB410" s="2103">
        <f>AW410*1.2</f>
        <v>34.559999999999995</v>
      </c>
      <c r="BC410" s="2103">
        <f>AX410*1.2</f>
        <v>29.375999999999994</v>
      </c>
      <c r="BD410" s="2103">
        <f>AY410*1.2</f>
        <v>34.559999999999995</v>
      </c>
      <c r="BE410" s="2104">
        <f>SUM(BA410:BD410)</f>
        <v>115.77599999999998</v>
      </c>
      <c r="BF410" s="2103">
        <f>BA410*1.2</f>
        <v>20.735999999999997</v>
      </c>
      <c r="BG410" s="2103">
        <f>BB410*1.2</f>
        <v>41.471999999999994</v>
      </c>
      <c r="BH410" s="2103">
        <f>BC410*1.2</f>
        <v>35.25119999999999</v>
      </c>
      <c r="BI410" s="2103">
        <f>BD410*1.2</f>
        <v>41.471999999999994</v>
      </c>
      <c r="BJ410" s="2104">
        <f>SUM(BF410:BI410)</f>
        <v>138.93119999999999</v>
      </c>
      <c r="BK410" s="2103">
        <f>BF410*1.2</f>
        <v>24.883199999999995</v>
      </c>
      <c r="BL410" s="2103">
        <f>BG410*1.2</f>
        <v>49.76639999999999</v>
      </c>
      <c r="BM410" s="2103">
        <f>BH410*1.2</f>
        <v>42.301439999999985</v>
      </c>
      <c r="BN410" s="2103">
        <f>BI410*1.2</f>
        <v>49.76639999999999</v>
      </c>
      <c r="BO410" s="2104">
        <f>SUM(BK410:BN410)</f>
        <v>166.71743999999995</v>
      </c>
      <c r="BP410" s="2103">
        <f>BK410*1.2</f>
        <v>29.859839999999991</v>
      </c>
      <c r="BQ410" s="2103">
        <f>BL410*1.2</f>
        <v>59.719679999999983</v>
      </c>
      <c r="BR410" s="2103">
        <f>BM410*1.2</f>
        <v>50.761727999999984</v>
      </c>
      <c r="BS410" s="2103">
        <f>BN410*1.2</f>
        <v>59.719679999999983</v>
      </c>
      <c r="BT410" s="2104">
        <f>SUM(BP410:BS410)</f>
        <v>200.06092799999993</v>
      </c>
      <c r="BU410" s="2103">
        <f>BP410*1.2</f>
        <v>35.831807999999988</v>
      </c>
      <c r="BV410" s="2103">
        <f>BQ410*1.2</f>
        <v>71.663615999999976</v>
      </c>
      <c r="BW410" s="2103">
        <f>BR410*1.2</f>
        <v>60.914073599999981</v>
      </c>
      <c r="BX410" s="2103">
        <f>BS410*1.2</f>
        <v>71.663615999999976</v>
      </c>
      <c r="BY410" s="2104">
        <f>SUM(BU410:BX410)</f>
        <v>240.07311359999994</v>
      </c>
      <c r="BZ410" s="2103">
        <f>BU410*1.2</f>
        <v>42.998169599999983</v>
      </c>
      <c r="CA410" s="2103">
        <f>BV410*1.2</f>
        <v>85.996339199999966</v>
      </c>
      <c r="CB410" s="2103">
        <f>BW410*1.2</f>
        <v>73.096888319999977</v>
      </c>
      <c r="CC410" s="2103">
        <f>BX410*1.2</f>
        <v>85.996339199999966</v>
      </c>
      <c r="CD410" s="2104">
        <f>SUM(BZ410:CC410)</f>
        <v>288.08773631999986</v>
      </c>
      <c r="CE410" s="2103">
        <f>BZ410*1.2</f>
        <v>51.597803519999978</v>
      </c>
      <c r="CF410" s="2103">
        <f>CA410*1.2</f>
        <v>103.19560703999996</v>
      </c>
      <c r="CG410" s="2103">
        <f>CB410*1.2</f>
        <v>87.716265983999975</v>
      </c>
      <c r="CH410" s="2103">
        <f>CC410*1.2</f>
        <v>103.19560703999996</v>
      </c>
      <c r="CI410" s="2104">
        <f>SUM(CE410:CH410)</f>
        <v>345.70528358399986</v>
      </c>
      <c r="CJ410" s="2103">
        <f>CE410*1.2</f>
        <v>61.917364223999968</v>
      </c>
      <c r="CK410" s="2103">
        <f>CF410*1.2</f>
        <v>123.83472844799994</v>
      </c>
      <c r="CL410" s="2103">
        <f>CG410*1.2</f>
        <v>105.25951918079997</v>
      </c>
      <c r="CM410" s="2103">
        <f>CH410*1.2</f>
        <v>123.83472844799994</v>
      </c>
      <c r="CN410" s="2104">
        <f>SUM(CJ410:CM410)</f>
        <v>414.84634030079985</v>
      </c>
      <c r="CO410" s="2103">
        <f>CJ410*1.2</f>
        <v>74.300837068799964</v>
      </c>
      <c r="CP410" s="2103">
        <f>CK410*1.2</f>
        <v>148.60167413759993</v>
      </c>
      <c r="CQ410" s="2103">
        <f>CL410*1.2</f>
        <v>126.31142301695996</v>
      </c>
      <c r="CR410" s="2103">
        <f>CM410*1.2</f>
        <v>148.60167413759993</v>
      </c>
      <c r="CS410" s="2104">
        <f>SUM(CO410:CR410)</f>
        <v>497.8156083609598</v>
      </c>
      <c r="CT410" s="2103">
        <f>CO410*1.2</f>
        <v>89.16100448255996</v>
      </c>
      <c r="CU410" s="2103">
        <f>CP410*1.2</f>
        <v>178.32200896511992</v>
      </c>
      <c r="CV410" s="2103">
        <f>CQ410*1.2</f>
        <v>151.57370762035194</v>
      </c>
      <c r="CW410" s="2103">
        <f>CR410*1.2</f>
        <v>178.32200896511992</v>
      </c>
      <c r="CX410" s="2104">
        <f>SUM(CT410:CW410)</f>
        <v>597.37873003315178</v>
      </c>
      <c r="CY410" s="2100"/>
      <c r="CZ410" s="2100"/>
      <c r="DA410" s="2100"/>
      <c r="DB410" s="2100"/>
      <c r="DC410" s="2100"/>
      <c r="DD410" s="2100"/>
      <c r="DE410" s="2100"/>
      <c r="DF410" s="2100"/>
      <c r="DG410" s="2100"/>
      <c r="DH410" s="2105"/>
      <c r="DI410" s="2106"/>
      <c r="DJ410" s="2105"/>
      <c r="DK410" s="2107"/>
      <c r="DL410" s="2107"/>
      <c r="DM410" s="2104"/>
      <c r="DN410" s="2104"/>
      <c r="DO410" s="2104"/>
      <c r="DP410" s="2104"/>
      <c r="DQ410" s="2104"/>
      <c r="DR410" s="3067"/>
    </row>
    <row r="411" spans="1:122" hidden="1" outlineLevel="3">
      <c r="A411" s="2100" t="s">
        <v>634</v>
      </c>
      <c r="B411" s="2100"/>
      <c r="C411" s="2100"/>
      <c r="D411" s="2100"/>
      <c r="E411" s="2100"/>
      <c r="F411" s="2100"/>
      <c r="G411" s="2100"/>
      <c r="H411" s="2100"/>
      <c r="I411" s="2100"/>
      <c r="J411" s="2100"/>
      <c r="K411" s="2100"/>
      <c r="L411" s="2100"/>
      <c r="M411" s="2100"/>
      <c r="N411" s="2100"/>
      <c r="O411" s="2100"/>
      <c r="P411" s="2101"/>
      <c r="Q411" s="2101"/>
      <c r="R411" s="2101"/>
      <c r="S411" s="2102"/>
      <c r="T411" s="2102"/>
      <c r="U411" s="2102"/>
      <c r="V411" s="2102"/>
      <c r="W411" s="2101"/>
      <c r="X411" s="2100"/>
      <c r="Y411" s="2100"/>
      <c r="Z411" s="2102"/>
      <c r="AA411" s="2102"/>
      <c r="AB411" s="2101"/>
      <c r="AC411" s="2100"/>
      <c r="AD411" s="2100"/>
      <c r="AE411" s="2102"/>
      <c r="AF411" s="2102"/>
      <c r="AG411" s="2102"/>
      <c r="AH411" s="2100"/>
      <c r="AI411" s="2100"/>
      <c r="AJ411" s="2102"/>
      <c r="AK411" s="2102"/>
      <c r="AL411" s="2110">
        <v>100</v>
      </c>
      <c r="AM411" s="2110">
        <v>85</v>
      </c>
      <c r="AN411" s="2110">
        <v>82</v>
      </c>
      <c r="AO411" s="2110">
        <v>80</v>
      </c>
      <c r="AP411" s="2103"/>
      <c r="AQ411" s="2103"/>
      <c r="AR411" s="2103"/>
      <c r="AS411" s="2103"/>
      <c r="AT411" s="2103"/>
      <c r="AU411" s="2103"/>
      <c r="AV411" s="2103"/>
      <c r="AW411" s="2103"/>
      <c r="AX411" s="2103"/>
      <c r="AY411" s="2103"/>
      <c r="AZ411" s="2104"/>
      <c r="BA411" s="2103"/>
      <c r="BB411" s="2103"/>
      <c r="BC411" s="2103"/>
      <c r="BD411" s="2103"/>
      <c r="BE411" s="2104"/>
      <c r="BF411" s="2103"/>
      <c r="BG411" s="2103"/>
      <c r="BH411" s="2103"/>
      <c r="BI411" s="2103"/>
      <c r="BJ411" s="2104"/>
      <c r="BK411" s="2103"/>
      <c r="BL411" s="2103"/>
      <c r="BM411" s="2103"/>
      <c r="BN411" s="2103"/>
      <c r="BO411" s="2104"/>
      <c r="BP411" s="2103"/>
      <c r="BQ411" s="2103"/>
      <c r="BR411" s="2103"/>
      <c r="BS411" s="2103"/>
      <c r="BT411" s="2104"/>
      <c r="BU411" s="2103"/>
      <c r="BV411" s="2103"/>
      <c r="BW411" s="2103"/>
      <c r="BX411" s="2103"/>
      <c r="BY411" s="2104"/>
      <c r="BZ411" s="2103"/>
      <c r="CA411" s="2103"/>
      <c r="CB411" s="2103"/>
      <c r="CC411" s="2103"/>
      <c r="CD411" s="2104"/>
      <c r="CE411" s="2103"/>
      <c r="CF411" s="2103"/>
      <c r="CG411" s="2103"/>
      <c r="CH411" s="2103"/>
      <c r="CI411" s="2104"/>
      <c r="CJ411" s="2103"/>
      <c r="CK411" s="2103"/>
      <c r="CL411" s="2103"/>
      <c r="CM411" s="2103"/>
      <c r="CN411" s="2104"/>
      <c r="CO411" s="2103"/>
      <c r="CP411" s="2103"/>
      <c r="CQ411" s="2103"/>
      <c r="CR411" s="2103"/>
      <c r="CS411" s="2104"/>
      <c r="CT411" s="2103"/>
      <c r="CU411" s="2103"/>
      <c r="CV411" s="2103"/>
      <c r="CW411" s="2103"/>
      <c r="CX411" s="2104"/>
      <c r="CY411" s="2100"/>
      <c r="CZ411" s="2100"/>
      <c r="DA411" s="2100"/>
      <c r="DB411" s="2100"/>
      <c r="DC411" s="2100"/>
      <c r="DD411" s="2100"/>
      <c r="DE411" s="2100"/>
      <c r="DF411" s="2100"/>
      <c r="DG411" s="2100"/>
      <c r="DH411" s="2105"/>
      <c r="DI411" s="2106"/>
      <c r="DJ411" s="2105"/>
      <c r="DK411" s="2107"/>
      <c r="DL411" s="2107"/>
      <c r="DM411" s="2104"/>
      <c r="DN411" s="2104"/>
      <c r="DO411" s="2104"/>
      <c r="DP411" s="2104"/>
      <c r="DQ411" s="2104"/>
      <c r="DR411" s="3067"/>
    </row>
    <row r="412" spans="1:122" hidden="1" outlineLevel="3">
      <c r="A412" s="2100" t="s">
        <v>635</v>
      </c>
      <c r="B412" s="2100"/>
      <c r="C412" s="2100"/>
      <c r="D412" s="2100"/>
      <c r="E412" s="2100"/>
      <c r="F412" s="2100"/>
      <c r="G412" s="2100"/>
      <c r="H412" s="2100"/>
      <c r="I412" s="2100"/>
      <c r="J412" s="2100"/>
      <c r="K412" s="2100"/>
      <c r="L412" s="2100"/>
      <c r="M412" s="2100"/>
      <c r="N412" s="2100"/>
      <c r="O412" s="2100"/>
      <c r="P412" s="2101"/>
      <c r="Q412" s="2101"/>
      <c r="R412" s="2101"/>
      <c r="S412" s="2102"/>
      <c r="T412" s="2102"/>
      <c r="U412" s="2102"/>
      <c r="V412" s="2102"/>
      <c r="W412" s="2101"/>
      <c r="X412" s="2100"/>
      <c r="Y412" s="2100"/>
      <c r="Z412" s="2102"/>
      <c r="AA412" s="2102"/>
      <c r="AB412" s="2101"/>
      <c r="AC412" s="2100"/>
      <c r="AD412" s="2100"/>
      <c r="AE412" s="2102"/>
      <c r="AF412" s="2102"/>
      <c r="AG412" s="2102"/>
      <c r="AH412" s="2100"/>
      <c r="AI412" s="2100"/>
      <c r="AJ412" s="2102"/>
      <c r="AK412" s="2102"/>
      <c r="AL412" s="2110">
        <v>70</v>
      </c>
      <c r="AM412" s="2110">
        <v>58</v>
      </c>
      <c r="AN412" s="2110">
        <v>50</v>
      </c>
      <c r="AO412" s="2110">
        <v>50</v>
      </c>
      <c r="AP412" s="2103"/>
      <c r="AQ412" s="2103"/>
      <c r="AR412" s="2103"/>
      <c r="AS412" s="2103"/>
      <c r="AT412" s="2103"/>
      <c r="AU412" s="2103"/>
      <c r="AV412" s="2103"/>
      <c r="AW412" s="2103"/>
      <c r="AX412" s="2103"/>
      <c r="AY412" s="2103"/>
      <c r="AZ412" s="2104"/>
      <c r="BA412" s="2103"/>
      <c r="BB412" s="2103"/>
      <c r="BC412" s="2103"/>
      <c r="BD412" s="2103"/>
      <c r="BE412" s="2104"/>
      <c r="BF412" s="2103"/>
      <c r="BG412" s="2103"/>
      <c r="BH412" s="2103"/>
      <c r="BI412" s="2103"/>
      <c r="BJ412" s="2104"/>
      <c r="BK412" s="2103"/>
      <c r="BL412" s="2103"/>
      <c r="BM412" s="2103"/>
      <c r="BN412" s="2103"/>
      <c r="BO412" s="2104"/>
      <c r="BP412" s="2103"/>
      <c r="BQ412" s="2103"/>
      <c r="BR412" s="2103"/>
      <c r="BS412" s="2103"/>
      <c r="BT412" s="2104"/>
      <c r="BU412" s="2103"/>
      <c r="BV412" s="2103"/>
      <c r="BW412" s="2103"/>
      <c r="BX412" s="2103"/>
      <c r="BY412" s="2104"/>
      <c r="BZ412" s="2103"/>
      <c r="CA412" s="2103"/>
      <c r="CB412" s="2103"/>
      <c r="CC412" s="2103"/>
      <c r="CD412" s="2104"/>
      <c r="CE412" s="2103"/>
      <c r="CF412" s="2103"/>
      <c r="CG412" s="2103"/>
      <c r="CH412" s="2103"/>
      <c r="CI412" s="2104"/>
      <c r="CJ412" s="2103"/>
      <c r="CK412" s="2103"/>
      <c r="CL412" s="2103"/>
      <c r="CM412" s="2103"/>
      <c r="CN412" s="2104"/>
      <c r="CO412" s="2103"/>
      <c r="CP412" s="2103"/>
      <c r="CQ412" s="2103"/>
      <c r="CR412" s="2103"/>
      <c r="CS412" s="2104"/>
      <c r="CT412" s="2103"/>
      <c r="CU412" s="2103"/>
      <c r="CV412" s="2103"/>
      <c r="CW412" s="2103"/>
      <c r="CX412" s="2104"/>
      <c r="CY412" s="2100"/>
      <c r="CZ412" s="2100"/>
      <c r="DA412" s="2100"/>
      <c r="DB412" s="2100"/>
      <c r="DC412" s="2100"/>
      <c r="DD412" s="2100"/>
      <c r="DE412" s="2100"/>
      <c r="DF412" s="2100"/>
      <c r="DG412" s="2100"/>
      <c r="DH412" s="2105"/>
      <c r="DI412" s="2106"/>
      <c r="DJ412" s="2105"/>
      <c r="DK412" s="2107"/>
      <c r="DL412" s="2107"/>
      <c r="DM412" s="2104"/>
      <c r="DN412" s="2104"/>
      <c r="DO412" s="2104"/>
      <c r="DP412" s="2104"/>
      <c r="DQ412" s="2104"/>
      <c r="DR412" s="3067"/>
    </row>
    <row r="413" spans="1:122" hidden="1" outlineLevel="3">
      <c r="A413" s="2100" t="s">
        <v>636</v>
      </c>
      <c r="B413" s="2100"/>
      <c r="C413" s="2100"/>
      <c r="D413" s="2100"/>
      <c r="E413" s="2100"/>
      <c r="F413" s="2100"/>
      <c r="G413" s="2100"/>
      <c r="H413" s="2100"/>
      <c r="I413" s="2100"/>
      <c r="J413" s="2100"/>
      <c r="K413" s="2100"/>
      <c r="L413" s="2100"/>
      <c r="M413" s="2100"/>
      <c r="N413" s="2100"/>
      <c r="O413" s="2100"/>
      <c r="P413" s="2101"/>
      <c r="Q413" s="2101"/>
      <c r="R413" s="2101"/>
      <c r="S413" s="2102"/>
      <c r="T413" s="2102"/>
      <c r="U413" s="2102"/>
      <c r="V413" s="2102"/>
      <c r="W413" s="2101"/>
      <c r="X413" s="2100"/>
      <c r="Y413" s="2100"/>
      <c r="Z413" s="2102"/>
      <c r="AA413" s="2102"/>
      <c r="AB413" s="2101"/>
      <c r="AC413" s="2100"/>
      <c r="AD413" s="2100"/>
      <c r="AE413" s="2102"/>
      <c r="AF413" s="2102"/>
      <c r="AG413" s="2102"/>
      <c r="AH413" s="2100"/>
      <c r="AI413" s="2100"/>
      <c r="AJ413" s="2102"/>
      <c r="AK413" s="2102"/>
      <c r="AL413" s="2110">
        <v>20</v>
      </c>
      <c r="AM413" s="2110">
        <v>20</v>
      </c>
      <c r="AN413" s="2110">
        <v>30</v>
      </c>
      <c r="AO413" s="2110">
        <v>20</v>
      </c>
      <c r="AP413" s="2103">
        <f>-172+136</f>
        <v>-36</v>
      </c>
      <c r="AQ413" s="2103">
        <f t="shared" ref="AQ413:CD413" si="557">AL413</f>
        <v>20</v>
      </c>
      <c r="AR413" s="2103">
        <f t="shared" si="557"/>
        <v>20</v>
      </c>
      <c r="AS413" s="2103">
        <f t="shared" si="557"/>
        <v>30</v>
      </c>
      <c r="AT413" s="2103">
        <f t="shared" si="557"/>
        <v>20</v>
      </c>
      <c r="AU413" s="2103">
        <f t="shared" si="557"/>
        <v>-36</v>
      </c>
      <c r="AV413" s="2103">
        <f t="shared" si="557"/>
        <v>20</v>
      </c>
      <c r="AW413" s="2103">
        <f t="shared" si="557"/>
        <v>20</v>
      </c>
      <c r="AX413" s="2103">
        <f t="shared" si="557"/>
        <v>30</v>
      </c>
      <c r="AY413" s="2103">
        <f t="shared" si="557"/>
        <v>20</v>
      </c>
      <c r="AZ413" s="2104">
        <f t="shared" si="557"/>
        <v>-36</v>
      </c>
      <c r="BA413" s="2103">
        <f t="shared" si="557"/>
        <v>20</v>
      </c>
      <c r="BB413" s="2103">
        <f t="shared" si="557"/>
        <v>20</v>
      </c>
      <c r="BC413" s="2103">
        <f t="shared" si="557"/>
        <v>30</v>
      </c>
      <c r="BD413" s="2103">
        <f t="shared" si="557"/>
        <v>20</v>
      </c>
      <c r="BE413" s="2104">
        <f t="shared" si="557"/>
        <v>-36</v>
      </c>
      <c r="BF413" s="2103">
        <f t="shared" si="557"/>
        <v>20</v>
      </c>
      <c r="BG413" s="2103">
        <f t="shared" si="557"/>
        <v>20</v>
      </c>
      <c r="BH413" s="2103">
        <f t="shared" si="557"/>
        <v>30</v>
      </c>
      <c r="BI413" s="2103">
        <f t="shared" si="557"/>
        <v>20</v>
      </c>
      <c r="BJ413" s="2104">
        <f t="shared" si="557"/>
        <v>-36</v>
      </c>
      <c r="BK413" s="2103">
        <f t="shared" si="557"/>
        <v>20</v>
      </c>
      <c r="BL413" s="2103">
        <f t="shared" si="557"/>
        <v>20</v>
      </c>
      <c r="BM413" s="2103">
        <f t="shared" si="557"/>
        <v>30</v>
      </c>
      <c r="BN413" s="2103">
        <f t="shared" si="557"/>
        <v>20</v>
      </c>
      <c r="BO413" s="2104">
        <f t="shared" si="557"/>
        <v>-36</v>
      </c>
      <c r="BP413" s="2103">
        <f t="shared" si="557"/>
        <v>20</v>
      </c>
      <c r="BQ413" s="2103">
        <f t="shared" si="557"/>
        <v>20</v>
      </c>
      <c r="BR413" s="2103">
        <f t="shared" si="557"/>
        <v>30</v>
      </c>
      <c r="BS413" s="2103">
        <f t="shared" si="557"/>
        <v>20</v>
      </c>
      <c r="BT413" s="2104">
        <f t="shared" si="557"/>
        <v>-36</v>
      </c>
      <c r="BU413" s="2103">
        <f t="shared" si="557"/>
        <v>20</v>
      </c>
      <c r="BV413" s="2103">
        <f t="shared" si="557"/>
        <v>20</v>
      </c>
      <c r="BW413" s="2103">
        <f t="shared" si="557"/>
        <v>30</v>
      </c>
      <c r="BX413" s="2103">
        <f t="shared" si="557"/>
        <v>20</v>
      </c>
      <c r="BY413" s="2104">
        <f t="shared" si="557"/>
        <v>-36</v>
      </c>
      <c r="BZ413" s="2103">
        <f t="shared" si="557"/>
        <v>20</v>
      </c>
      <c r="CA413" s="2103">
        <f t="shared" si="557"/>
        <v>20</v>
      </c>
      <c r="CB413" s="2103">
        <f t="shared" si="557"/>
        <v>30</v>
      </c>
      <c r="CC413" s="2103">
        <f t="shared" si="557"/>
        <v>20</v>
      </c>
      <c r="CD413" s="2104">
        <f t="shared" si="557"/>
        <v>-36</v>
      </c>
      <c r="CE413" s="2103">
        <f t="shared" ref="CE413:CI413" si="558">BZ413</f>
        <v>20</v>
      </c>
      <c r="CF413" s="2103">
        <f t="shared" si="558"/>
        <v>20</v>
      </c>
      <c r="CG413" s="2103">
        <f t="shared" si="558"/>
        <v>30</v>
      </c>
      <c r="CH413" s="2103">
        <f t="shared" si="558"/>
        <v>20</v>
      </c>
      <c r="CI413" s="2104">
        <f t="shared" si="558"/>
        <v>-36</v>
      </c>
      <c r="CJ413" s="2103">
        <f t="shared" ref="CJ413:CS413" si="559">CE413</f>
        <v>20</v>
      </c>
      <c r="CK413" s="2103">
        <f t="shared" si="559"/>
        <v>20</v>
      </c>
      <c r="CL413" s="2103">
        <f t="shared" si="559"/>
        <v>30</v>
      </c>
      <c r="CM413" s="2103">
        <f t="shared" si="559"/>
        <v>20</v>
      </c>
      <c r="CN413" s="2104">
        <f t="shared" si="559"/>
        <v>-36</v>
      </c>
      <c r="CO413" s="2103">
        <f t="shared" si="559"/>
        <v>20</v>
      </c>
      <c r="CP413" s="2103">
        <f t="shared" si="559"/>
        <v>20</v>
      </c>
      <c r="CQ413" s="2103">
        <f t="shared" si="559"/>
        <v>30</v>
      </c>
      <c r="CR413" s="2103">
        <f t="shared" si="559"/>
        <v>20</v>
      </c>
      <c r="CS413" s="2104">
        <f t="shared" si="559"/>
        <v>-36</v>
      </c>
      <c r="CT413" s="2103">
        <f t="shared" ref="CT413" si="560">CO413</f>
        <v>20</v>
      </c>
      <c r="CU413" s="2103">
        <f t="shared" ref="CU413" si="561">CP413</f>
        <v>20</v>
      </c>
      <c r="CV413" s="2103">
        <f t="shared" ref="CV413" si="562">CQ413</f>
        <v>30</v>
      </c>
      <c r="CW413" s="2103">
        <f t="shared" ref="CW413" si="563">CR413</f>
        <v>20</v>
      </c>
      <c r="CX413" s="2104">
        <f t="shared" ref="CX413" si="564">CS413</f>
        <v>-36</v>
      </c>
      <c r="CY413" s="2100"/>
      <c r="CZ413" s="2100"/>
      <c r="DA413" s="2100"/>
      <c r="DB413" s="2100"/>
      <c r="DC413" s="2100"/>
      <c r="DD413" s="2100"/>
      <c r="DE413" s="2100"/>
      <c r="DF413" s="2100"/>
      <c r="DG413" s="2100"/>
      <c r="DH413" s="2105"/>
      <c r="DI413" s="2106"/>
      <c r="DJ413" s="2105"/>
      <c r="DK413" s="2107"/>
      <c r="DL413" s="2107"/>
      <c r="DM413" s="2104"/>
      <c r="DN413" s="2104"/>
      <c r="DO413" s="2104"/>
      <c r="DP413" s="2104"/>
      <c r="DQ413" s="2104"/>
      <c r="DR413" s="3067"/>
    </row>
    <row r="414" spans="1:122" hidden="1" outlineLevel="3">
      <c r="A414" s="2100" t="s">
        <v>637</v>
      </c>
      <c r="B414" s="2100"/>
      <c r="C414" s="2100"/>
      <c r="D414" s="2100"/>
      <c r="E414" s="2100"/>
      <c r="F414" s="2100"/>
      <c r="G414" s="2100"/>
      <c r="H414" s="2100"/>
      <c r="I414" s="2100"/>
      <c r="J414" s="2100"/>
      <c r="K414" s="2100"/>
      <c r="L414" s="2100"/>
      <c r="M414" s="2100"/>
      <c r="N414" s="2100"/>
      <c r="O414" s="2100"/>
      <c r="P414" s="2101"/>
      <c r="Q414" s="2101"/>
      <c r="R414" s="2101"/>
      <c r="S414" s="2102"/>
      <c r="T414" s="2102"/>
      <c r="U414" s="2102"/>
      <c r="V414" s="2102"/>
      <c r="W414" s="2101"/>
      <c r="X414" s="2100"/>
      <c r="Y414" s="2100"/>
      <c r="Z414" s="2102"/>
      <c r="AA414" s="2102"/>
      <c r="AB414" s="2101"/>
      <c r="AC414" s="2100"/>
      <c r="AD414" s="2100"/>
      <c r="AE414" s="2102"/>
      <c r="AF414" s="2102"/>
      <c r="AG414" s="2102"/>
      <c r="AH414" s="2100"/>
      <c r="AI414" s="2100"/>
      <c r="AJ414" s="2102"/>
      <c r="AK414" s="2102"/>
      <c r="AL414" s="2110">
        <v>9</v>
      </c>
      <c r="AM414" s="2110">
        <v>12</v>
      </c>
      <c r="AN414" s="2110">
        <v>20</v>
      </c>
      <c r="AO414" s="2110">
        <v>20</v>
      </c>
      <c r="AP414" s="2103"/>
      <c r="AQ414" s="2103"/>
      <c r="AR414" s="2103"/>
      <c r="AS414" s="2103"/>
      <c r="AT414" s="2103"/>
      <c r="AU414" s="2103"/>
      <c r="AV414" s="2103"/>
      <c r="AW414" s="2103"/>
      <c r="AX414" s="2103"/>
      <c r="AY414" s="2103"/>
      <c r="AZ414" s="2104"/>
      <c r="BA414" s="2103"/>
      <c r="BB414" s="2103"/>
      <c r="BC414" s="2103"/>
      <c r="BD414" s="2103"/>
      <c r="BE414" s="2104"/>
      <c r="BF414" s="2103"/>
      <c r="BG414" s="2103"/>
      <c r="BH414" s="2103"/>
      <c r="BI414" s="2103"/>
      <c r="BJ414" s="2104"/>
      <c r="BK414" s="2103"/>
      <c r="BL414" s="2103"/>
      <c r="BM414" s="2103"/>
      <c r="BN414" s="2103"/>
      <c r="BO414" s="2104"/>
      <c r="BP414" s="2103"/>
      <c r="BQ414" s="2103"/>
      <c r="BR414" s="2103"/>
      <c r="BS414" s="2103"/>
      <c r="BT414" s="2104"/>
      <c r="BU414" s="2103"/>
      <c r="BV414" s="2103"/>
      <c r="BW414" s="2103"/>
      <c r="BX414" s="2103"/>
      <c r="BY414" s="2104"/>
      <c r="BZ414" s="2103"/>
      <c r="CA414" s="2103"/>
      <c r="CB414" s="2103"/>
      <c r="CC414" s="2103"/>
      <c r="CD414" s="2104"/>
      <c r="CE414" s="2103"/>
      <c r="CF414" s="2103"/>
      <c r="CG414" s="2103"/>
      <c r="CH414" s="2103"/>
      <c r="CI414" s="2104"/>
      <c r="CJ414" s="2103"/>
      <c r="CK414" s="2103"/>
      <c r="CL414" s="2103"/>
      <c r="CM414" s="2103"/>
      <c r="CN414" s="2104"/>
      <c r="CO414" s="2103"/>
      <c r="CP414" s="2103"/>
      <c r="CQ414" s="2103"/>
      <c r="CR414" s="2103"/>
      <c r="CS414" s="2104"/>
      <c r="CT414" s="2103"/>
      <c r="CU414" s="2103"/>
      <c r="CV414" s="2103"/>
      <c r="CW414" s="2103"/>
      <c r="CX414" s="2104"/>
      <c r="CY414" s="2100"/>
      <c r="CZ414" s="2100"/>
      <c r="DA414" s="2100"/>
      <c r="DB414" s="2100"/>
      <c r="DC414" s="2100"/>
      <c r="DD414" s="2100"/>
      <c r="DE414" s="2100"/>
      <c r="DF414" s="2100"/>
      <c r="DG414" s="2100"/>
      <c r="DH414" s="2105"/>
      <c r="DI414" s="2106"/>
      <c r="DJ414" s="2105"/>
      <c r="DK414" s="2107"/>
      <c r="DL414" s="2107"/>
      <c r="DM414" s="2104"/>
      <c r="DN414" s="2104"/>
      <c r="DO414" s="2104"/>
      <c r="DP414" s="2104"/>
      <c r="DQ414" s="2104"/>
      <c r="DR414" s="3067"/>
    </row>
    <row r="415" spans="1:122" hidden="1" outlineLevel="3">
      <c r="A415" s="2100" t="s">
        <v>638</v>
      </c>
      <c r="B415" s="2100"/>
      <c r="C415" s="2100"/>
      <c r="D415" s="2100"/>
      <c r="E415" s="2100"/>
      <c r="F415" s="2100"/>
      <c r="G415" s="2100"/>
      <c r="H415" s="2100"/>
      <c r="I415" s="2100"/>
      <c r="J415" s="2100"/>
      <c r="K415" s="2100"/>
      <c r="L415" s="2100"/>
      <c r="M415" s="2100"/>
      <c r="N415" s="2100"/>
      <c r="O415" s="2100"/>
      <c r="P415" s="2101"/>
      <c r="Q415" s="2101"/>
      <c r="R415" s="2101"/>
      <c r="S415" s="2102"/>
      <c r="T415" s="2102"/>
      <c r="U415" s="2102"/>
      <c r="V415" s="2102"/>
      <c r="W415" s="2101"/>
      <c r="X415" s="2100"/>
      <c r="Y415" s="2100"/>
      <c r="Z415" s="2102"/>
      <c r="AA415" s="2102"/>
      <c r="AB415" s="2101"/>
      <c r="AC415" s="2100"/>
      <c r="AD415" s="2100"/>
      <c r="AE415" s="2102"/>
      <c r="AF415" s="2102"/>
      <c r="AG415" s="2102"/>
      <c r="AH415" s="2100"/>
      <c r="AI415" s="2100"/>
      <c r="AJ415" s="2102"/>
      <c r="AK415" s="2102"/>
      <c r="AL415" s="2110">
        <v>7</v>
      </c>
      <c r="AM415" s="2110">
        <v>12</v>
      </c>
      <c r="AN415" s="2110">
        <v>10</v>
      </c>
      <c r="AO415" s="2110">
        <v>10</v>
      </c>
      <c r="AP415" s="2103"/>
      <c r="AQ415" s="2103"/>
      <c r="AR415" s="2103"/>
      <c r="AS415" s="2103"/>
      <c r="AT415" s="2103"/>
      <c r="AU415" s="2103"/>
      <c r="AV415" s="2103"/>
      <c r="AW415" s="2103"/>
      <c r="AX415" s="2103"/>
      <c r="AY415" s="2103"/>
      <c r="AZ415" s="2104"/>
      <c r="BA415" s="2103"/>
      <c r="BB415" s="2103"/>
      <c r="BC415" s="2103"/>
      <c r="BD415" s="2103"/>
      <c r="BE415" s="2104"/>
      <c r="BF415" s="2103"/>
      <c r="BG415" s="2103"/>
      <c r="BH415" s="2103"/>
      <c r="BI415" s="2103"/>
      <c r="BJ415" s="2104"/>
      <c r="BK415" s="2103"/>
      <c r="BL415" s="2103"/>
      <c r="BM415" s="2103"/>
      <c r="BN415" s="2103"/>
      <c r="BO415" s="2104"/>
      <c r="BP415" s="2103"/>
      <c r="BQ415" s="2103"/>
      <c r="BR415" s="2103"/>
      <c r="BS415" s="2103"/>
      <c r="BT415" s="2104"/>
      <c r="BU415" s="2103"/>
      <c r="BV415" s="2103"/>
      <c r="BW415" s="2103"/>
      <c r="BX415" s="2103"/>
      <c r="BY415" s="2104"/>
      <c r="BZ415" s="2103"/>
      <c r="CA415" s="2103"/>
      <c r="CB415" s="2103"/>
      <c r="CC415" s="2103"/>
      <c r="CD415" s="2104"/>
      <c r="CE415" s="2103"/>
      <c r="CF415" s="2103"/>
      <c r="CG415" s="2103"/>
      <c r="CH415" s="2103"/>
      <c r="CI415" s="2104"/>
      <c r="CJ415" s="2103"/>
      <c r="CK415" s="2103"/>
      <c r="CL415" s="2103"/>
      <c r="CM415" s="2103"/>
      <c r="CN415" s="2104"/>
      <c r="CO415" s="2103"/>
      <c r="CP415" s="2103"/>
      <c r="CQ415" s="2103"/>
      <c r="CR415" s="2103"/>
      <c r="CS415" s="2104"/>
      <c r="CT415" s="2103"/>
      <c r="CU415" s="2103"/>
      <c r="CV415" s="2103"/>
      <c r="CW415" s="2103"/>
      <c r="CX415" s="2104"/>
      <c r="CY415" s="2100"/>
      <c r="CZ415" s="2100"/>
      <c r="DA415" s="2100"/>
      <c r="DB415" s="2100"/>
      <c r="DC415" s="2100"/>
      <c r="DD415" s="2100"/>
      <c r="DE415" s="2100"/>
      <c r="DF415" s="2100"/>
      <c r="DG415" s="2100"/>
      <c r="DH415" s="2105"/>
      <c r="DI415" s="2106"/>
      <c r="DJ415" s="2105"/>
      <c r="DK415" s="2107"/>
      <c r="DL415" s="2107"/>
      <c r="DM415" s="2104"/>
      <c r="DN415" s="2104"/>
      <c r="DO415" s="2104"/>
      <c r="DP415" s="2104"/>
      <c r="DQ415" s="2104"/>
      <c r="DR415" s="3067"/>
    </row>
    <row r="416" spans="1:122" hidden="1" outlineLevel="3">
      <c r="A416" s="2100" t="s">
        <v>325</v>
      </c>
      <c r="B416" s="2100"/>
      <c r="C416" s="2100"/>
      <c r="D416" s="2100"/>
      <c r="E416" s="2100"/>
      <c r="F416" s="2100"/>
      <c r="G416" s="2100"/>
      <c r="H416" s="2100"/>
      <c r="I416" s="2100"/>
      <c r="J416" s="2100"/>
      <c r="K416" s="2100"/>
      <c r="L416" s="2100"/>
      <c r="M416" s="2100"/>
      <c r="N416" s="2100"/>
      <c r="O416" s="2100"/>
      <c r="P416" s="2101"/>
      <c r="Q416" s="2101"/>
      <c r="R416" s="2101"/>
      <c r="S416" s="2102"/>
      <c r="T416" s="2102"/>
      <c r="U416" s="2102"/>
      <c r="V416" s="2102"/>
      <c r="W416" s="2101"/>
      <c r="X416" s="2100"/>
      <c r="Y416" s="2100"/>
      <c r="Z416" s="2102"/>
      <c r="AA416" s="2102"/>
      <c r="AB416" s="2101"/>
      <c r="AC416" s="2100"/>
      <c r="AD416" s="2100"/>
      <c r="AE416" s="2102"/>
      <c r="AF416" s="2102"/>
      <c r="AG416" s="2102"/>
      <c r="AH416" s="2100"/>
      <c r="AI416" s="2100"/>
      <c r="AJ416" s="2102"/>
      <c r="AK416" s="2102"/>
      <c r="AL416" s="2110">
        <f>AL413-AL414-AL415</f>
        <v>4</v>
      </c>
      <c r="AM416" s="2110">
        <v>0</v>
      </c>
      <c r="AN416" s="2110">
        <v>0</v>
      </c>
      <c r="AO416" s="2110">
        <v>2</v>
      </c>
      <c r="AP416" s="2103"/>
      <c r="AQ416" s="2103"/>
      <c r="AR416" s="2103"/>
      <c r="AS416" s="2103"/>
      <c r="AT416" s="2103"/>
      <c r="AU416" s="2103"/>
      <c r="AV416" s="2103"/>
      <c r="AW416" s="2103"/>
      <c r="AX416" s="2103"/>
      <c r="AY416" s="2103"/>
      <c r="AZ416" s="2104"/>
      <c r="BA416" s="2103"/>
      <c r="BB416" s="2103"/>
      <c r="BC416" s="2103"/>
      <c r="BD416" s="2103"/>
      <c r="BE416" s="2104"/>
      <c r="BF416" s="2103"/>
      <c r="BG416" s="2103"/>
      <c r="BH416" s="2103"/>
      <c r="BI416" s="2103"/>
      <c r="BJ416" s="2104"/>
      <c r="BK416" s="2103"/>
      <c r="BL416" s="2103"/>
      <c r="BM416" s="2103"/>
      <c r="BN416" s="2103"/>
      <c r="BO416" s="2104"/>
      <c r="BP416" s="2103"/>
      <c r="BQ416" s="2103"/>
      <c r="BR416" s="2103"/>
      <c r="BS416" s="2103"/>
      <c r="BT416" s="2104"/>
      <c r="BU416" s="2103"/>
      <c r="BV416" s="2103"/>
      <c r="BW416" s="2103"/>
      <c r="BX416" s="2103"/>
      <c r="BY416" s="2104"/>
      <c r="BZ416" s="2103"/>
      <c r="CA416" s="2103"/>
      <c r="CB416" s="2103"/>
      <c r="CC416" s="2103"/>
      <c r="CD416" s="2104"/>
      <c r="CE416" s="2103"/>
      <c r="CF416" s="2103"/>
      <c r="CG416" s="2103"/>
      <c r="CH416" s="2103"/>
      <c r="CI416" s="2104"/>
      <c r="CJ416" s="2103"/>
      <c r="CK416" s="2103"/>
      <c r="CL416" s="2103"/>
      <c r="CM416" s="2103"/>
      <c r="CN416" s="2104"/>
      <c r="CO416" s="2103"/>
      <c r="CP416" s="2103"/>
      <c r="CQ416" s="2103"/>
      <c r="CR416" s="2103"/>
      <c r="CS416" s="2104"/>
      <c r="CT416" s="2103"/>
      <c r="CU416" s="2103"/>
      <c r="CV416" s="2103"/>
      <c r="CW416" s="2103"/>
      <c r="CX416" s="2104"/>
      <c r="CY416" s="2100"/>
      <c r="CZ416" s="2100"/>
      <c r="DA416" s="2100"/>
      <c r="DB416" s="2100"/>
      <c r="DC416" s="2100"/>
      <c r="DD416" s="2100"/>
      <c r="DE416" s="2100"/>
      <c r="DF416" s="2100"/>
      <c r="DG416" s="2100"/>
      <c r="DH416" s="2105"/>
      <c r="DI416" s="2106"/>
      <c r="DJ416" s="2105"/>
      <c r="DK416" s="2107"/>
      <c r="DL416" s="2107"/>
      <c r="DM416" s="2104"/>
      <c r="DN416" s="2104"/>
      <c r="DO416" s="2104"/>
      <c r="DP416" s="2104"/>
      <c r="DQ416" s="2104"/>
      <c r="DR416" s="3067"/>
    </row>
    <row r="417" spans="1:122" hidden="1" outlineLevel="3">
      <c r="A417" s="2100" t="s">
        <v>280</v>
      </c>
      <c r="B417" s="2100"/>
      <c r="C417" s="2100"/>
      <c r="D417" s="2100"/>
      <c r="E417" s="2100"/>
      <c r="F417" s="2100"/>
      <c r="G417" s="2100"/>
      <c r="H417" s="2100"/>
      <c r="I417" s="2100"/>
      <c r="J417" s="2100"/>
      <c r="K417" s="2100"/>
      <c r="L417" s="2100"/>
      <c r="M417" s="2100"/>
      <c r="N417" s="2100"/>
      <c r="O417" s="2100"/>
      <c r="P417" s="2101"/>
      <c r="Q417" s="2101"/>
      <c r="R417" s="2101"/>
      <c r="S417" s="2102"/>
      <c r="T417" s="2102"/>
      <c r="U417" s="2102"/>
      <c r="V417" s="2102"/>
      <c r="W417" s="2101"/>
      <c r="X417" s="2100"/>
      <c r="Y417" s="2100"/>
      <c r="Z417" s="2102"/>
      <c r="AA417" s="2102"/>
      <c r="AB417" s="2101"/>
      <c r="AC417" s="2100"/>
      <c r="AD417" s="2100"/>
      <c r="AE417" s="2102"/>
      <c r="AF417" s="2102"/>
      <c r="AG417" s="2102"/>
      <c r="AH417" s="2100"/>
      <c r="AI417" s="2100"/>
      <c r="AJ417" s="2102"/>
      <c r="AK417" s="2102"/>
      <c r="AL417" s="2110">
        <v>0</v>
      </c>
      <c r="AM417" s="2110">
        <f>AM413-AM414-AM415-AM416</f>
        <v>-4</v>
      </c>
      <c r="AN417" s="2110">
        <f>AN413-AN414-AN415-AN416</f>
        <v>0</v>
      </c>
      <c r="AO417" s="2110">
        <f>AO413-AO414-AO415-AO416</f>
        <v>-12</v>
      </c>
      <c r="AP417" s="2103"/>
      <c r="AQ417" s="2103"/>
      <c r="AR417" s="2103"/>
      <c r="AS417" s="2103"/>
      <c r="AT417" s="2103"/>
      <c r="AU417" s="2103"/>
      <c r="AV417" s="2103"/>
      <c r="AW417" s="2103"/>
      <c r="AX417" s="2103"/>
      <c r="AY417" s="2103"/>
      <c r="AZ417" s="2104"/>
      <c r="BA417" s="2103"/>
      <c r="BB417" s="2103"/>
      <c r="BC417" s="2103"/>
      <c r="BD417" s="2103"/>
      <c r="BE417" s="2104"/>
      <c r="BF417" s="2103"/>
      <c r="BG417" s="2103"/>
      <c r="BH417" s="2103"/>
      <c r="BI417" s="2103"/>
      <c r="BJ417" s="2104"/>
      <c r="BK417" s="2103"/>
      <c r="BL417" s="2103"/>
      <c r="BM417" s="2103"/>
      <c r="BN417" s="2103"/>
      <c r="BO417" s="2104"/>
      <c r="BP417" s="2103"/>
      <c r="BQ417" s="2103"/>
      <c r="BR417" s="2103"/>
      <c r="BS417" s="2103"/>
      <c r="BT417" s="2104"/>
      <c r="BU417" s="2103"/>
      <c r="BV417" s="2103"/>
      <c r="BW417" s="2103"/>
      <c r="BX417" s="2103"/>
      <c r="BY417" s="2104"/>
      <c r="BZ417" s="2103"/>
      <c r="CA417" s="2103"/>
      <c r="CB417" s="2103"/>
      <c r="CC417" s="2103"/>
      <c r="CD417" s="2104"/>
      <c r="CE417" s="2103"/>
      <c r="CF417" s="2103"/>
      <c r="CG417" s="2103"/>
      <c r="CH417" s="2103"/>
      <c r="CI417" s="2104"/>
      <c r="CJ417" s="2103"/>
      <c r="CK417" s="2103"/>
      <c r="CL417" s="2103"/>
      <c r="CM417" s="2103"/>
      <c r="CN417" s="2104"/>
      <c r="CO417" s="2103"/>
      <c r="CP417" s="2103"/>
      <c r="CQ417" s="2103"/>
      <c r="CR417" s="2103"/>
      <c r="CS417" s="2104"/>
      <c r="CT417" s="2103"/>
      <c r="CU417" s="2103"/>
      <c r="CV417" s="2103"/>
      <c r="CW417" s="2103"/>
      <c r="CX417" s="2104"/>
      <c r="CY417" s="2100"/>
      <c r="CZ417" s="2100"/>
      <c r="DA417" s="2100"/>
      <c r="DB417" s="2100"/>
      <c r="DC417" s="2100"/>
      <c r="DD417" s="2100"/>
      <c r="DE417" s="2100"/>
      <c r="DF417" s="2100"/>
      <c r="DG417" s="2100"/>
      <c r="DH417" s="2105"/>
      <c r="DI417" s="2106"/>
      <c r="DJ417" s="2105"/>
      <c r="DK417" s="2107"/>
      <c r="DL417" s="2107"/>
      <c r="DM417" s="2104"/>
      <c r="DN417" s="2104"/>
      <c r="DO417" s="2104"/>
      <c r="DP417" s="2104"/>
      <c r="DQ417" s="2104"/>
      <c r="DR417" s="3067"/>
    </row>
    <row r="418" spans="1:122" hidden="1" outlineLevel="3">
      <c r="A418" s="2100"/>
      <c r="B418" s="2100"/>
      <c r="C418" s="2100"/>
      <c r="D418" s="2100"/>
      <c r="E418" s="2100"/>
      <c r="F418" s="2100"/>
      <c r="G418" s="2100"/>
      <c r="H418" s="2100"/>
      <c r="I418" s="2100"/>
      <c r="J418" s="2100"/>
      <c r="K418" s="2100"/>
      <c r="L418" s="2100"/>
      <c r="M418" s="2100"/>
      <c r="N418" s="2100"/>
      <c r="O418" s="2100"/>
      <c r="P418" s="2101"/>
      <c r="Q418" s="2101"/>
      <c r="R418" s="2101"/>
      <c r="S418" s="2102"/>
      <c r="T418" s="2102"/>
      <c r="U418" s="2102"/>
      <c r="V418" s="2102"/>
      <c r="W418" s="2101"/>
      <c r="X418" s="2100"/>
      <c r="Y418" s="2100"/>
      <c r="Z418" s="2102"/>
      <c r="AA418" s="2102"/>
      <c r="AB418" s="2101"/>
      <c r="AC418" s="2100"/>
      <c r="AD418" s="2100"/>
      <c r="AE418" s="2102"/>
      <c r="AF418" s="2102"/>
      <c r="AG418" s="2102"/>
      <c r="AH418" s="2100"/>
      <c r="AI418" s="2100"/>
      <c r="AJ418" s="2102"/>
      <c r="AK418" s="2102"/>
      <c r="AL418" s="2102"/>
      <c r="AM418" s="2102"/>
      <c r="AN418" s="2100"/>
      <c r="AO418" s="2103"/>
      <c r="AP418" s="2103"/>
      <c r="AQ418" s="2103"/>
      <c r="AR418" s="2103"/>
      <c r="AS418" s="2103"/>
      <c r="AT418" s="2103"/>
      <c r="AU418" s="2103"/>
      <c r="AV418" s="2103"/>
      <c r="AW418" s="2103"/>
      <c r="AX418" s="2103"/>
      <c r="AY418" s="2103"/>
      <c r="AZ418" s="2104"/>
      <c r="BA418" s="2103"/>
      <c r="BB418" s="2103"/>
      <c r="BC418" s="2103"/>
      <c r="BD418" s="2103"/>
      <c r="BE418" s="2104"/>
      <c r="BF418" s="2103"/>
      <c r="BG418" s="2103"/>
      <c r="BH418" s="2103"/>
      <c r="BI418" s="2103"/>
      <c r="BJ418" s="2104"/>
      <c r="BK418" s="2103"/>
      <c r="BL418" s="2103"/>
      <c r="BM418" s="2103"/>
      <c r="BN418" s="2103"/>
      <c r="BO418" s="2104"/>
      <c r="BP418" s="2103"/>
      <c r="BQ418" s="2103"/>
      <c r="BR418" s="2103"/>
      <c r="BS418" s="2103"/>
      <c r="BT418" s="2104"/>
      <c r="BU418" s="2103"/>
      <c r="BV418" s="2103"/>
      <c r="BW418" s="2103"/>
      <c r="BX418" s="2103"/>
      <c r="BY418" s="2104"/>
      <c r="BZ418" s="2103"/>
      <c r="CA418" s="2103"/>
      <c r="CB418" s="2103"/>
      <c r="CC418" s="2103"/>
      <c r="CD418" s="2104"/>
      <c r="CE418" s="2103"/>
      <c r="CF418" s="2103"/>
      <c r="CG418" s="2103"/>
      <c r="CH418" s="2103"/>
      <c r="CI418" s="2104"/>
      <c r="CJ418" s="2103"/>
      <c r="CK418" s="2103"/>
      <c r="CL418" s="2103"/>
      <c r="CM418" s="2103"/>
      <c r="CN418" s="2104"/>
      <c r="CO418" s="2103"/>
      <c r="CP418" s="2103"/>
      <c r="CQ418" s="2103"/>
      <c r="CR418" s="2103"/>
      <c r="CS418" s="2104"/>
      <c r="CT418" s="2103"/>
      <c r="CU418" s="2103"/>
      <c r="CV418" s="2103"/>
      <c r="CW418" s="2103"/>
      <c r="CX418" s="2104"/>
      <c r="CY418" s="2100"/>
      <c r="CZ418" s="2100"/>
      <c r="DA418" s="2100"/>
      <c r="DB418" s="2100"/>
      <c r="DC418" s="2100"/>
      <c r="DD418" s="2100"/>
      <c r="DE418" s="2100"/>
      <c r="DF418" s="2100"/>
      <c r="DG418" s="2100"/>
      <c r="DH418" s="2105"/>
      <c r="DI418" s="2106"/>
      <c r="DJ418" s="2105"/>
      <c r="DK418" s="2107"/>
      <c r="DL418" s="2107"/>
      <c r="DM418" s="2104"/>
      <c r="DN418" s="2104"/>
      <c r="DO418" s="2104"/>
      <c r="DP418" s="2104"/>
      <c r="DQ418" s="2104"/>
      <c r="DR418" s="3067"/>
    </row>
    <row r="419" spans="1:122" hidden="1" outlineLevel="3">
      <c r="A419" s="2108" t="s">
        <v>633</v>
      </c>
      <c r="B419" s="2100"/>
      <c r="C419" s="2100"/>
      <c r="D419" s="2100"/>
      <c r="E419" s="2100"/>
      <c r="F419" s="2100"/>
      <c r="G419" s="2100"/>
      <c r="H419" s="2100"/>
      <c r="I419" s="2100"/>
      <c r="J419" s="2100"/>
      <c r="K419" s="2100"/>
      <c r="L419" s="2100"/>
      <c r="M419" s="2100"/>
      <c r="N419" s="2100"/>
      <c r="O419" s="2100"/>
      <c r="P419" s="2101"/>
      <c r="Q419" s="2101"/>
      <c r="R419" s="2101"/>
      <c r="S419" s="2102"/>
      <c r="T419" s="2102"/>
      <c r="U419" s="2102"/>
      <c r="V419" s="2102"/>
      <c r="W419" s="2101"/>
      <c r="X419" s="2100"/>
      <c r="Y419" s="2100"/>
      <c r="Z419" s="2102"/>
      <c r="AA419" s="2102"/>
      <c r="AB419" s="2101"/>
      <c r="AC419" s="2100"/>
      <c r="AD419" s="2100"/>
      <c r="AE419" s="2102"/>
      <c r="AF419" s="2102"/>
      <c r="AG419" s="2102"/>
      <c r="AH419" s="2100"/>
      <c r="AI419" s="2100"/>
      <c r="AJ419" s="2102"/>
      <c r="AK419" s="2102"/>
      <c r="AL419" s="2102"/>
      <c r="AM419" s="2100"/>
      <c r="AN419" s="2100"/>
      <c r="AO419" s="2103"/>
      <c r="AP419" s="2103"/>
      <c r="AQ419" s="2103"/>
      <c r="AR419" s="2103"/>
      <c r="AS419" s="2103"/>
      <c r="AT419" s="2103"/>
      <c r="AU419" s="2103"/>
      <c r="AV419" s="2103"/>
      <c r="AW419" s="2103"/>
      <c r="AX419" s="2103"/>
      <c r="AY419" s="2103"/>
      <c r="AZ419" s="2104"/>
      <c r="BA419" s="2103"/>
      <c r="BB419" s="2103"/>
      <c r="BC419" s="2103"/>
      <c r="BD419" s="2103"/>
      <c r="BE419" s="2104"/>
      <c r="BF419" s="2103"/>
      <c r="BG419" s="2103"/>
      <c r="BH419" s="2103"/>
      <c r="BI419" s="2103"/>
      <c r="BJ419" s="2104"/>
      <c r="BK419" s="2103"/>
      <c r="BL419" s="2103"/>
      <c r="BM419" s="2103"/>
      <c r="BN419" s="2103"/>
      <c r="BO419" s="2104"/>
      <c r="BP419" s="2103"/>
      <c r="BQ419" s="2103"/>
      <c r="BR419" s="2103"/>
      <c r="BS419" s="2103"/>
      <c r="BT419" s="2104"/>
      <c r="BU419" s="2103"/>
      <c r="BV419" s="2103"/>
      <c r="BW419" s="2103"/>
      <c r="BX419" s="2103"/>
      <c r="BY419" s="2104"/>
      <c r="BZ419" s="2103"/>
      <c r="CA419" s="2103"/>
      <c r="CB419" s="2103"/>
      <c r="CC419" s="2103"/>
      <c r="CD419" s="2104"/>
      <c r="CE419" s="2103"/>
      <c r="CF419" s="2103"/>
      <c r="CG419" s="2103"/>
      <c r="CH419" s="2103"/>
      <c r="CI419" s="2104"/>
      <c r="CJ419" s="2103"/>
      <c r="CK419" s="2103"/>
      <c r="CL419" s="2103"/>
      <c r="CM419" s="2103"/>
      <c r="CN419" s="2104"/>
      <c r="CO419" s="2103"/>
      <c r="CP419" s="2103"/>
      <c r="CQ419" s="2103"/>
      <c r="CR419" s="2103"/>
      <c r="CS419" s="2104"/>
      <c r="CT419" s="2103"/>
      <c r="CU419" s="2103"/>
      <c r="CV419" s="2103"/>
      <c r="CW419" s="2103"/>
      <c r="CX419" s="2104"/>
      <c r="CY419" s="2100"/>
      <c r="CZ419" s="2100"/>
      <c r="DA419" s="2100"/>
      <c r="DB419" s="2100"/>
      <c r="DC419" s="2100"/>
      <c r="DD419" s="2100"/>
      <c r="DE419" s="2100"/>
      <c r="DF419" s="2100"/>
      <c r="DG419" s="2100"/>
      <c r="DH419" s="2105"/>
      <c r="DI419" s="2106"/>
      <c r="DJ419" s="2105"/>
      <c r="DK419" s="2107"/>
      <c r="DL419" s="2107"/>
      <c r="DM419" s="2104"/>
      <c r="DN419" s="2104"/>
      <c r="DO419" s="2104"/>
      <c r="DP419" s="2104"/>
      <c r="DQ419" s="2104"/>
      <c r="DR419" s="3067"/>
    </row>
    <row r="420" spans="1:122" hidden="1" outlineLevel="3">
      <c r="A420" s="2100" t="s">
        <v>741</v>
      </c>
      <c r="B420" s="2100"/>
      <c r="C420" s="2100"/>
      <c r="D420" s="2100"/>
      <c r="E420" s="2100"/>
      <c r="F420" s="2100"/>
      <c r="G420" s="2100"/>
      <c r="H420" s="2100"/>
      <c r="I420" s="2100"/>
      <c r="J420" s="2100"/>
      <c r="K420" s="2100"/>
      <c r="L420" s="2100"/>
      <c r="M420" s="2100"/>
      <c r="N420" s="2100"/>
      <c r="O420" s="2100"/>
      <c r="P420" s="2101"/>
      <c r="Q420" s="2101"/>
      <c r="R420" s="2101"/>
      <c r="S420" s="2102"/>
      <c r="T420" s="2102"/>
      <c r="U420" s="2102"/>
      <c r="V420" s="2102"/>
      <c r="W420" s="2101"/>
      <c r="X420" s="2100"/>
      <c r="Y420" s="2100"/>
      <c r="Z420" s="2102"/>
      <c r="AA420" s="2102"/>
      <c r="AB420" s="2101"/>
      <c r="AC420" s="2100"/>
      <c r="AD420" s="2100"/>
      <c r="AE420" s="2102"/>
      <c r="AF420" s="2102"/>
      <c r="AG420" s="2102"/>
      <c r="AH420" s="2100"/>
      <c r="AI420" s="2100"/>
      <c r="AJ420" s="2102"/>
      <c r="AK420" s="2102"/>
      <c r="AL420" s="2102">
        <f>AL409-AL412-AL413</f>
        <v>60</v>
      </c>
      <c r="AM420" s="2102">
        <f>AM409-AM412-AM413</f>
        <v>86</v>
      </c>
      <c r="AN420" s="2102">
        <f>AN409-AN412-AN413</f>
        <v>32</v>
      </c>
      <c r="AO420" s="2102">
        <f>AO409-AO412-AO413</f>
        <v>30</v>
      </c>
      <c r="AP420" s="2103"/>
      <c r="AQ420" s="2103"/>
      <c r="AR420" s="2103"/>
      <c r="AS420" s="2103"/>
      <c r="AT420" s="2103"/>
      <c r="AU420" s="2103"/>
      <c r="AV420" s="2103"/>
      <c r="AW420" s="2103"/>
      <c r="AX420" s="2103"/>
      <c r="AY420" s="2103"/>
      <c r="AZ420" s="2104"/>
      <c r="BA420" s="2103"/>
      <c r="BB420" s="2103"/>
      <c r="BC420" s="2103"/>
      <c r="BD420" s="2103"/>
      <c r="BE420" s="2104"/>
      <c r="BF420" s="2103"/>
      <c r="BG420" s="2103"/>
      <c r="BH420" s="2103"/>
      <c r="BI420" s="2103"/>
      <c r="BJ420" s="2104"/>
      <c r="BK420" s="2103"/>
      <c r="BL420" s="2103"/>
      <c r="BM420" s="2103"/>
      <c r="BN420" s="2103"/>
      <c r="BO420" s="2104"/>
      <c r="BP420" s="2103"/>
      <c r="BQ420" s="2103"/>
      <c r="BR420" s="2103"/>
      <c r="BS420" s="2103"/>
      <c r="BT420" s="2104"/>
      <c r="BU420" s="2103"/>
      <c r="BV420" s="2103"/>
      <c r="BW420" s="2103"/>
      <c r="BX420" s="2103"/>
      <c r="BY420" s="2104"/>
      <c r="BZ420" s="2103"/>
      <c r="CA420" s="2103"/>
      <c r="CB420" s="2103"/>
      <c r="CC420" s="2103"/>
      <c r="CD420" s="2104"/>
      <c r="CE420" s="2103"/>
      <c r="CF420" s="2103"/>
      <c r="CG420" s="2103"/>
      <c r="CH420" s="2103"/>
      <c r="CI420" s="2104"/>
      <c r="CJ420" s="2103"/>
      <c r="CK420" s="2103"/>
      <c r="CL420" s="2103"/>
      <c r="CM420" s="2103"/>
      <c r="CN420" s="2104"/>
      <c r="CO420" s="2103"/>
      <c r="CP420" s="2103"/>
      <c r="CQ420" s="2103"/>
      <c r="CR420" s="2103"/>
      <c r="CS420" s="2104"/>
      <c r="CT420" s="2103"/>
      <c r="CU420" s="2103"/>
      <c r="CV420" s="2103"/>
      <c r="CW420" s="2103"/>
      <c r="CX420" s="2104"/>
      <c r="CY420" s="2100"/>
      <c r="CZ420" s="2100"/>
      <c r="DA420" s="2100"/>
      <c r="DB420" s="2100"/>
      <c r="DC420" s="2100"/>
      <c r="DD420" s="2100"/>
      <c r="DE420" s="2100"/>
      <c r="DF420" s="2100"/>
      <c r="DG420" s="2100"/>
      <c r="DH420" s="2105"/>
      <c r="DI420" s="2106"/>
      <c r="DJ420" s="2105"/>
      <c r="DK420" s="2107"/>
      <c r="DL420" s="2107"/>
      <c r="DM420" s="2104"/>
      <c r="DN420" s="2104"/>
      <c r="DO420" s="2104"/>
      <c r="DP420" s="2104"/>
      <c r="DQ420" s="2104"/>
      <c r="DR420" s="3067"/>
    </row>
    <row r="421" spans="1:122" hidden="1" outlineLevel="3">
      <c r="A421" s="2100" t="s">
        <v>742</v>
      </c>
      <c r="B421" s="2100"/>
      <c r="C421" s="2100"/>
      <c r="D421" s="2100"/>
      <c r="E421" s="2100"/>
      <c r="F421" s="2100"/>
      <c r="G421" s="2100"/>
      <c r="H421" s="2100"/>
      <c r="I421" s="2100"/>
      <c r="J421" s="2100"/>
      <c r="K421" s="2100"/>
      <c r="L421" s="2100"/>
      <c r="M421" s="2100"/>
      <c r="N421" s="2100"/>
      <c r="O421" s="2100"/>
      <c r="P421" s="2101"/>
      <c r="Q421" s="2101"/>
      <c r="R421" s="2101"/>
      <c r="S421" s="2102"/>
      <c r="T421" s="2102"/>
      <c r="U421" s="2102"/>
      <c r="V421" s="2102"/>
      <c r="W421" s="2101"/>
      <c r="X421" s="2100"/>
      <c r="Y421" s="2100"/>
      <c r="Z421" s="2102"/>
      <c r="AA421" s="2102"/>
      <c r="AB421" s="2101"/>
      <c r="AC421" s="2100"/>
      <c r="AD421" s="2100"/>
      <c r="AE421" s="2102"/>
      <c r="AF421" s="2102"/>
      <c r="AG421" s="2102"/>
      <c r="AH421" s="2100"/>
      <c r="AI421" s="2100"/>
      <c r="AJ421" s="2102"/>
      <c r="AK421" s="2102"/>
      <c r="AL421" s="2102">
        <f>AL414</f>
        <v>9</v>
      </c>
      <c r="AM421" s="2102">
        <f>AM414</f>
        <v>12</v>
      </c>
      <c r="AN421" s="2102">
        <f>AN414</f>
        <v>20</v>
      </c>
      <c r="AO421" s="2102">
        <f>AO414</f>
        <v>20</v>
      </c>
      <c r="AP421" s="2103"/>
      <c r="AQ421" s="2103"/>
      <c r="AR421" s="2103"/>
      <c r="AS421" s="2103"/>
      <c r="AT421" s="2103"/>
      <c r="AU421" s="2103"/>
      <c r="AV421" s="2103"/>
      <c r="AW421" s="2103"/>
      <c r="AX421" s="2103"/>
      <c r="AY421" s="2103"/>
      <c r="AZ421" s="2104"/>
      <c r="BA421" s="2103"/>
      <c r="BB421" s="2103"/>
      <c r="BC421" s="2103"/>
      <c r="BD421" s="2103"/>
      <c r="BE421" s="2104"/>
      <c r="BF421" s="2103"/>
      <c r="BG421" s="2103"/>
      <c r="BH421" s="2103"/>
      <c r="BI421" s="2103"/>
      <c r="BJ421" s="2104"/>
      <c r="BK421" s="2103"/>
      <c r="BL421" s="2103"/>
      <c r="BM421" s="2103"/>
      <c r="BN421" s="2103"/>
      <c r="BO421" s="2104"/>
      <c r="BP421" s="2103"/>
      <c r="BQ421" s="2103"/>
      <c r="BR421" s="2103"/>
      <c r="BS421" s="2103"/>
      <c r="BT421" s="2104"/>
      <c r="BU421" s="2103"/>
      <c r="BV421" s="2103"/>
      <c r="BW421" s="2103"/>
      <c r="BX421" s="2103"/>
      <c r="BY421" s="2104"/>
      <c r="BZ421" s="2103"/>
      <c r="CA421" s="2103"/>
      <c r="CB421" s="2103"/>
      <c r="CC421" s="2103"/>
      <c r="CD421" s="2104"/>
      <c r="CE421" s="2103"/>
      <c r="CF421" s="2103"/>
      <c r="CG421" s="2103"/>
      <c r="CH421" s="2103"/>
      <c r="CI421" s="2104"/>
      <c r="CJ421" s="2103"/>
      <c r="CK421" s="2103"/>
      <c r="CL421" s="2103"/>
      <c r="CM421" s="2103"/>
      <c r="CN421" s="2104"/>
      <c r="CO421" s="2103"/>
      <c r="CP421" s="2103"/>
      <c r="CQ421" s="2103"/>
      <c r="CR421" s="2103"/>
      <c r="CS421" s="2104"/>
      <c r="CT421" s="2103"/>
      <c r="CU421" s="2103"/>
      <c r="CV421" s="2103"/>
      <c r="CW421" s="2103"/>
      <c r="CX421" s="2104"/>
      <c r="CY421" s="2100"/>
      <c r="CZ421" s="2100"/>
      <c r="DA421" s="2100"/>
      <c r="DB421" s="2100"/>
      <c r="DC421" s="2100"/>
      <c r="DD421" s="2100"/>
      <c r="DE421" s="2100"/>
      <c r="DF421" s="2100"/>
      <c r="DG421" s="2100"/>
      <c r="DH421" s="2105"/>
      <c r="DI421" s="2106"/>
      <c r="DJ421" s="2105"/>
      <c r="DK421" s="2107"/>
      <c r="DL421" s="2107"/>
      <c r="DM421" s="2104"/>
      <c r="DN421" s="2104"/>
      <c r="DO421" s="2104"/>
      <c r="DP421" s="2104"/>
      <c r="DQ421" s="2104"/>
      <c r="DR421" s="3067"/>
    </row>
    <row r="422" spans="1:122" hidden="1" outlineLevel="3">
      <c r="A422" s="2100" t="s">
        <v>707</v>
      </c>
      <c r="B422" s="2100"/>
      <c r="C422" s="2100"/>
      <c r="D422" s="2100"/>
      <c r="E422" s="2100"/>
      <c r="F422" s="2100"/>
      <c r="G422" s="2100"/>
      <c r="H422" s="2100"/>
      <c r="I422" s="2100"/>
      <c r="J422" s="2100"/>
      <c r="K422" s="2100"/>
      <c r="L422" s="2100"/>
      <c r="M422" s="2100"/>
      <c r="N422" s="2100"/>
      <c r="O422" s="2100"/>
      <c r="P422" s="2101"/>
      <c r="Q422" s="2101"/>
      <c r="R422" s="2101"/>
      <c r="S422" s="2102"/>
      <c r="T422" s="2102"/>
      <c r="U422" s="2102"/>
      <c r="V422" s="2102"/>
      <c r="W422" s="2101"/>
      <c r="X422" s="2100"/>
      <c r="Y422" s="2100"/>
      <c r="Z422" s="2102"/>
      <c r="AA422" s="2102"/>
      <c r="AB422" s="2101"/>
      <c r="AC422" s="2100"/>
      <c r="AD422" s="2100"/>
      <c r="AE422" s="2102"/>
      <c r="AF422" s="2102"/>
      <c r="AG422" s="2102"/>
      <c r="AH422" s="2100"/>
      <c r="AI422" s="2100"/>
      <c r="AJ422" s="2102"/>
      <c r="AK422" s="2102"/>
      <c r="AL422" s="2102">
        <f>-AL409-AL410-AL411+AL415</f>
        <v>-253</v>
      </c>
      <c r="AM422" s="2102">
        <f>-AM409-AM410-AM411+AM415</f>
        <v>-257</v>
      </c>
      <c r="AN422" s="2102">
        <f>-AN409-AN410-AN411+AN415</f>
        <v>-201</v>
      </c>
      <c r="AO422" s="2102">
        <f>-AO409-AO410-AO411+AO415</f>
        <v>-190</v>
      </c>
      <c r="AP422" s="2103"/>
      <c r="AQ422" s="2103"/>
      <c r="AR422" s="2103"/>
      <c r="AS422" s="2103"/>
      <c r="AT422" s="2103"/>
      <c r="AU422" s="2103"/>
      <c r="AV422" s="2103"/>
      <c r="AW422" s="2103"/>
      <c r="AX422" s="2103"/>
      <c r="AY422" s="2103"/>
      <c r="AZ422" s="2104"/>
      <c r="BA422" s="2103"/>
      <c r="BB422" s="2103"/>
      <c r="BC422" s="2103"/>
      <c r="BD422" s="2103"/>
      <c r="BE422" s="2104"/>
      <c r="BF422" s="2103"/>
      <c r="BG422" s="2103"/>
      <c r="BH422" s="2103"/>
      <c r="BI422" s="2103"/>
      <c r="BJ422" s="2104"/>
      <c r="BK422" s="2103"/>
      <c r="BL422" s="2103"/>
      <c r="BM422" s="2103"/>
      <c r="BN422" s="2103"/>
      <c r="BO422" s="2104"/>
      <c r="BP422" s="2103"/>
      <c r="BQ422" s="2103"/>
      <c r="BR422" s="2103"/>
      <c r="BS422" s="2103"/>
      <c r="BT422" s="2104"/>
      <c r="BU422" s="2103"/>
      <c r="BV422" s="2103"/>
      <c r="BW422" s="2103"/>
      <c r="BX422" s="2103"/>
      <c r="BY422" s="2104"/>
      <c r="BZ422" s="2103"/>
      <c r="CA422" s="2103"/>
      <c r="CB422" s="2103"/>
      <c r="CC422" s="2103"/>
      <c r="CD422" s="2104"/>
      <c r="CE422" s="2103"/>
      <c r="CF422" s="2103"/>
      <c r="CG422" s="2103"/>
      <c r="CH422" s="2103"/>
      <c r="CI422" s="2104"/>
      <c r="CJ422" s="2103"/>
      <c r="CK422" s="2103"/>
      <c r="CL422" s="2103"/>
      <c r="CM422" s="2103"/>
      <c r="CN422" s="2104"/>
      <c r="CO422" s="2103"/>
      <c r="CP422" s="2103"/>
      <c r="CQ422" s="2103"/>
      <c r="CR422" s="2103"/>
      <c r="CS422" s="2104"/>
      <c r="CT422" s="2103"/>
      <c r="CU422" s="2103"/>
      <c r="CV422" s="2103"/>
      <c r="CW422" s="2103"/>
      <c r="CX422" s="2104"/>
      <c r="CY422" s="2100"/>
      <c r="CZ422" s="2100"/>
      <c r="DA422" s="2100"/>
      <c r="DB422" s="2100"/>
      <c r="DC422" s="2100"/>
      <c r="DD422" s="2100"/>
      <c r="DE422" s="2100"/>
      <c r="DF422" s="2100"/>
      <c r="DG422" s="2100"/>
      <c r="DH422" s="2105"/>
      <c r="DI422" s="2106"/>
      <c r="DJ422" s="2105"/>
      <c r="DK422" s="2107"/>
      <c r="DL422" s="2107"/>
      <c r="DM422" s="2104"/>
      <c r="DN422" s="2104"/>
      <c r="DO422" s="2104"/>
      <c r="DP422" s="2104"/>
      <c r="DQ422" s="2104"/>
      <c r="DR422" s="3067"/>
    </row>
    <row r="423" spans="1:122" hidden="1" outlineLevel="3">
      <c r="A423" s="2100" t="s">
        <v>527</v>
      </c>
      <c r="B423" s="2100"/>
      <c r="C423" s="2100"/>
      <c r="D423" s="2100"/>
      <c r="E423" s="2100"/>
      <c r="F423" s="2100"/>
      <c r="G423" s="2100"/>
      <c r="H423" s="2100"/>
      <c r="I423" s="2100"/>
      <c r="J423" s="2100"/>
      <c r="K423" s="2100"/>
      <c r="L423" s="2100"/>
      <c r="M423" s="2100"/>
      <c r="N423" s="2100"/>
      <c r="O423" s="2100"/>
      <c r="P423" s="2101"/>
      <c r="Q423" s="2101"/>
      <c r="R423" s="2101"/>
      <c r="S423" s="2102"/>
      <c r="T423" s="2102"/>
      <c r="U423" s="2102"/>
      <c r="V423" s="2102"/>
      <c r="W423" s="2101"/>
      <c r="X423" s="2100"/>
      <c r="Y423" s="2100"/>
      <c r="Z423" s="2102"/>
      <c r="AA423" s="2102"/>
      <c r="AB423" s="2101"/>
      <c r="AC423" s="2100"/>
      <c r="AD423" s="2100"/>
      <c r="AE423" s="2102"/>
      <c r="AF423" s="2102"/>
      <c r="AG423" s="2102"/>
      <c r="AH423" s="2100"/>
      <c r="AI423" s="2100"/>
      <c r="AJ423" s="2102"/>
      <c r="AK423" s="2102"/>
      <c r="AL423" s="2102">
        <f>AL416</f>
        <v>4</v>
      </c>
      <c r="AM423" s="2102">
        <f>AM416</f>
        <v>0</v>
      </c>
      <c r="AN423" s="2102">
        <f>AN416</f>
        <v>0</v>
      </c>
      <c r="AO423" s="2102">
        <f>AO416</f>
        <v>2</v>
      </c>
      <c r="AP423" s="2103"/>
      <c r="AQ423" s="2103"/>
      <c r="AR423" s="2103"/>
      <c r="AS423" s="2103"/>
      <c r="AT423" s="2103"/>
      <c r="AU423" s="2103"/>
      <c r="AV423" s="2103"/>
      <c r="AW423" s="2103"/>
      <c r="AX423" s="2103"/>
      <c r="AY423" s="2103"/>
      <c r="AZ423" s="2104"/>
      <c r="BA423" s="2103"/>
      <c r="BB423" s="2103"/>
      <c r="BC423" s="2103"/>
      <c r="BD423" s="2103"/>
      <c r="BE423" s="2104"/>
      <c r="BF423" s="2103"/>
      <c r="BG423" s="2103"/>
      <c r="BH423" s="2103"/>
      <c r="BI423" s="2103"/>
      <c r="BJ423" s="2104"/>
      <c r="BK423" s="2103"/>
      <c r="BL423" s="2103"/>
      <c r="BM423" s="2103"/>
      <c r="BN423" s="2103"/>
      <c r="BO423" s="2104"/>
      <c r="BP423" s="2103"/>
      <c r="BQ423" s="2103"/>
      <c r="BR423" s="2103"/>
      <c r="BS423" s="2103"/>
      <c r="BT423" s="2104"/>
      <c r="BU423" s="2103"/>
      <c r="BV423" s="2103"/>
      <c r="BW423" s="2103"/>
      <c r="BX423" s="2103"/>
      <c r="BY423" s="2104"/>
      <c r="BZ423" s="2103"/>
      <c r="CA423" s="2103"/>
      <c r="CB423" s="2103"/>
      <c r="CC423" s="2103"/>
      <c r="CD423" s="2104"/>
      <c r="CE423" s="2103"/>
      <c r="CF423" s="2103"/>
      <c r="CG423" s="2103"/>
      <c r="CH423" s="2103"/>
      <c r="CI423" s="2104"/>
      <c r="CJ423" s="2103"/>
      <c r="CK423" s="2103"/>
      <c r="CL423" s="2103"/>
      <c r="CM423" s="2103"/>
      <c r="CN423" s="2104"/>
      <c r="CO423" s="2103"/>
      <c r="CP423" s="2103"/>
      <c r="CQ423" s="2103"/>
      <c r="CR423" s="2103"/>
      <c r="CS423" s="2104"/>
      <c r="CT423" s="2103"/>
      <c r="CU423" s="2103"/>
      <c r="CV423" s="2103"/>
      <c r="CW423" s="2103"/>
      <c r="CX423" s="2104"/>
      <c r="CY423" s="2100"/>
      <c r="CZ423" s="2100"/>
      <c r="DA423" s="2100"/>
      <c r="DB423" s="2100"/>
      <c r="DC423" s="2100"/>
      <c r="DD423" s="2100"/>
      <c r="DE423" s="2100"/>
      <c r="DF423" s="2100"/>
      <c r="DG423" s="2100"/>
      <c r="DH423" s="2105"/>
      <c r="DI423" s="2106"/>
      <c r="DJ423" s="2105"/>
      <c r="DK423" s="2107"/>
      <c r="DL423" s="2107"/>
      <c r="DM423" s="2104"/>
      <c r="DN423" s="2104"/>
      <c r="DO423" s="2104"/>
      <c r="DP423" s="2104"/>
      <c r="DQ423" s="2104"/>
      <c r="DR423" s="3067"/>
    </row>
    <row r="424" spans="1:122" hidden="1" outlineLevel="3">
      <c r="A424" s="2100" t="s">
        <v>528</v>
      </c>
      <c r="B424" s="2100"/>
      <c r="C424" s="2100"/>
      <c r="D424" s="2100"/>
      <c r="E424" s="2100"/>
      <c r="F424" s="2100"/>
      <c r="G424" s="2100"/>
      <c r="H424" s="2100"/>
      <c r="I424" s="2100"/>
      <c r="J424" s="2100"/>
      <c r="K424" s="2100"/>
      <c r="L424" s="2100"/>
      <c r="M424" s="2100"/>
      <c r="N424" s="2100"/>
      <c r="O424" s="2100"/>
      <c r="P424" s="2101"/>
      <c r="Q424" s="2101"/>
      <c r="R424" s="2101"/>
      <c r="S424" s="2102"/>
      <c r="T424" s="2102"/>
      <c r="U424" s="2102"/>
      <c r="V424" s="2102"/>
      <c r="W424" s="2101"/>
      <c r="X424" s="2100"/>
      <c r="Y424" s="2100"/>
      <c r="Z424" s="2102"/>
      <c r="AA424" s="2102"/>
      <c r="AB424" s="2101"/>
      <c r="AC424" s="2100"/>
      <c r="AD424" s="2100"/>
      <c r="AE424" s="2102"/>
      <c r="AF424" s="2102"/>
      <c r="AG424" s="2102"/>
      <c r="AH424" s="2100"/>
      <c r="AI424" s="2100"/>
      <c r="AJ424" s="2102"/>
      <c r="AK424" s="2102"/>
      <c r="AL424" s="2102">
        <f>AL410+AL412</f>
        <v>80</v>
      </c>
      <c r="AM424" s="2102">
        <f>AM410+AM412</f>
        <v>78</v>
      </c>
      <c r="AN424" s="2102">
        <f>AN410+AN412</f>
        <v>67</v>
      </c>
      <c r="AO424" s="2102">
        <f>AO410+AO412</f>
        <v>70</v>
      </c>
      <c r="AP424" s="2103"/>
      <c r="AQ424" s="2103"/>
      <c r="AR424" s="2103"/>
      <c r="AS424" s="2103"/>
      <c r="AT424" s="2103"/>
      <c r="AU424" s="2103"/>
      <c r="AV424" s="2103"/>
      <c r="AW424" s="2103"/>
      <c r="AX424" s="2103"/>
      <c r="AY424" s="2103"/>
      <c r="AZ424" s="2104"/>
      <c r="BA424" s="2103"/>
      <c r="BB424" s="2103"/>
      <c r="BC424" s="2103"/>
      <c r="BD424" s="2103"/>
      <c r="BE424" s="2104"/>
      <c r="BF424" s="2103"/>
      <c r="BG424" s="2103"/>
      <c r="BH424" s="2103"/>
      <c r="BI424" s="2103"/>
      <c r="BJ424" s="2104"/>
      <c r="BK424" s="2103"/>
      <c r="BL424" s="2103"/>
      <c r="BM424" s="2103"/>
      <c r="BN424" s="2103"/>
      <c r="BO424" s="2104"/>
      <c r="BP424" s="2103"/>
      <c r="BQ424" s="2103"/>
      <c r="BR424" s="2103"/>
      <c r="BS424" s="2103"/>
      <c r="BT424" s="2104"/>
      <c r="BU424" s="2103"/>
      <c r="BV424" s="2103"/>
      <c r="BW424" s="2103"/>
      <c r="BX424" s="2103"/>
      <c r="BY424" s="2104"/>
      <c r="BZ424" s="2103"/>
      <c r="CA424" s="2103"/>
      <c r="CB424" s="2103"/>
      <c r="CC424" s="2103"/>
      <c r="CD424" s="2104"/>
      <c r="CE424" s="2103"/>
      <c r="CF424" s="2103"/>
      <c r="CG424" s="2103"/>
      <c r="CH424" s="2103"/>
      <c r="CI424" s="2104"/>
      <c r="CJ424" s="2103"/>
      <c r="CK424" s="2103"/>
      <c r="CL424" s="2103"/>
      <c r="CM424" s="2103"/>
      <c r="CN424" s="2104"/>
      <c r="CO424" s="2103"/>
      <c r="CP424" s="2103"/>
      <c r="CQ424" s="2103"/>
      <c r="CR424" s="2103"/>
      <c r="CS424" s="2104"/>
      <c r="CT424" s="2103"/>
      <c r="CU424" s="2103"/>
      <c r="CV424" s="2103"/>
      <c r="CW424" s="2103"/>
      <c r="CX424" s="2104"/>
      <c r="CY424" s="2100"/>
      <c r="CZ424" s="2100"/>
      <c r="DA424" s="2100"/>
      <c r="DB424" s="2100"/>
      <c r="DC424" s="2100"/>
      <c r="DD424" s="2100"/>
      <c r="DE424" s="2100"/>
      <c r="DF424" s="2100"/>
      <c r="DG424" s="2100"/>
      <c r="DH424" s="2105"/>
      <c r="DI424" s="2106"/>
      <c r="DJ424" s="2105"/>
      <c r="DK424" s="2107"/>
      <c r="DL424" s="2107"/>
      <c r="DM424" s="2104"/>
      <c r="DN424" s="2104"/>
      <c r="DO424" s="2104"/>
      <c r="DP424" s="2104"/>
      <c r="DQ424" s="2104"/>
      <c r="DR424" s="3067"/>
    </row>
    <row r="425" spans="1:122" hidden="1" outlineLevel="3">
      <c r="A425" s="2100" t="s">
        <v>280</v>
      </c>
      <c r="B425" s="2100"/>
      <c r="C425" s="2100"/>
      <c r="D425" s="2100"/>
      <c r="E425" s="2100"/>
      <c r="F425" s="2100"/>
      <c r="G425" s="2100"/>
      <c r="H425" s="2100"/>
      <c r="I425" s="2100"/>
      <c r="J425" s="2100"/>
      <c r="K425" s="2100"/>
      <c r="L425" s="2100"/>
      <c r="M425" s="2100"/>
      <c r="N425" s="2100"/>
      <c r="O425" s="2100"/>
      <c r="P425" s="2101"/>
      <c r="Q425" s="2101"/>
      <c r="R425" s="2101"/>
      <c r="S425" s="2102"/>
      <c r="T425" s="2102"/>
      <c r="U425" s="2102"/>
      <c r="V425" s="2102"/>
      <c r="W425" s="2101"/>
      <c r="X425" s="2100"/>
      <c r="Y425" s="2100"/>
      <c r="Z425" s="2102"/>
      <c r="AA425" s="2102"/>
      <c r="AB425" s="2101"/>
      <c r="AC425" s="2100"/>
      <c r="AD425" s="2100"/>
      <c r="AE425" s="2102"/>
      <c r="AF425" s="2102"/>
      <c r="AG425" s="2102"/>
      <c r="AH425" s="2100"/>
      <c r="AI425" s="2100"/>
      <c r="AJ425" s="2102"/>
      <c r="AK425" s="2102"/>
      <c r="AL425" s="2102">
        <f>AL411+AL417</f>
        <v>100</v>
      </c>
      <c r="AM425" s="2102">
        <f>AM411+AM417</f>
        <v>81</v>
      </c>
      <c r="AN425" s="2102">
        <f>AN411+AN417</f>
        <v>82</v>
      </c>
      <c r="AO425" s="2102">
        <f>AO411+AO417</f>
        <v>68</v>
      </c>
      <c r="AP425" s="2103"/>
      <c r="AQ425" s="2103"/>
      <c r="AR425" s="2103"/>
      <c r="AS425" s="2103"/>
      <c r="AT425" s="2103"/>
      <c r="AU425" s="2103"/>
      <c r="AV425" s="2103"/>
      <c r="AW425" s="2103"/>
      <c r="AX425" s="2103"/>
      <c r="AY425" s="2103"/>
      <c r="AZ425" s="2104"/>
      <c r="BA425" s="2103"/>
      <c r="BB425" s="2103"/>
      <c r="BC425" s="2103"/>
      <c r="BD425" s="2103"/>
      <c r="BE425" s="2104"/>
      <c r="BF425" s="2103"/>
      <c r="BG425" s="2103"/>
      <c r="BH425" s="2103"/>
      <c r="BI425" s="2103"/>
      <c r="BJ425" s="2104"/>
      <c r="BK425" s="2103"/>
      <c r="BL425" s="2103"/>
      <c r="BM425" s="2103"/>
      <c r="BN425" s="2103"/>
      <c r="BO425" s="2104"/>
      <c r="BP425" s="2103"/>
      <c r="BQ425" s="2103"/>
      <c r="BR425" s="2103"/>
      <c r="BS425" s="2103"/>
      <c r="BT425" s="2104"/>
      <c r="BU425" s="2103"/>
      <c r="BV425" s="2103"/>
      <c r="BW425" s="2103"/>
      <c r="BX425" s="2103"/>
      <c r="BY425" s="2104"/>
      <c r="BZ425" s="2103"/>
      <c r="CA425" s="2103"/>
      <c r="CB425" s="2103"/>
      <c r="CC425" s="2103"/>
      <c r="CD425" s="2104"/>
      <c r="CE425" s="2103"/>
      <c r="CF425" s="2103"/>
      <c r="CG425" s="2103"/>
      <c r="CH425" s="2103"/>
      <c r="CI425" s="2104"/>
      <c r="CJ425" s="2103"/>
      <c r="CK425" s="2103"/>
      <c r="CL425" s="2103"/>
      <c r="CM425" s="2103"/>
      <c r="CN425" s="2104"/>
      <c r="CO425" s="2103"/>
      <c r="CP425" s="2103"/>
      <c r="CQ425" s="2103"/>
      <c r="CR425" s="2103"/>
      <c r="CS425" s="2104"/>
      <c r="CT425" s="2103"/>
      <c r="CU425" s="2103"/>
      <c r="CV425" s="2103"/>
      <c r="CW425" s="2103"/>
      <c r="CX425" s="2104"/>
      <c r="CY425" s="2100"/>
      <c r="CZ425" s="2100"/>
      <c r="DA425" s="2100"/>
      <c r="DB425" s="2100"/>
      <c r="DC425" s="2100"/>
      <c r="DD425" s="2100"/>
      <c r="DE425" s="2100"/>
      <c r="DF425" s="2100"/>
      <c r="DG425" s="2100"/>
      <c r="DH425" s="2105"/>
      <c r="DI425" s="2106"/>
      <c r="DJ425" s="2105"/>
      <c r="DK425" s="2107"/>
      <c r="DL425" s="2107"/>
      <c r="DM425" s="2104"/>
      <c r="DN425" s="2104"/>
      <c r="DO425" s="2104"/>
      <c r="DP425" s="2104"/>
      <c r="DQ425" s="2104"/>
      <c r="DR425" s="3067"/>
    </row>
    <row r="426" spans="1:122" hidden="1" outlineLevel="3">
      <c r="A426" s="2100" t="s">
        <v>743</v>
      </c>
      <c r="B426" s="2100"/>
      <c r="C426" s="2100"/>
      <c r="D426" s="2100"/>
      <c r="E426" s="2100"/>
      <c r="F426" s="2100"/>
      <c r="G426" s="2100"/>
      <c r="H426" s="2100"/>
      <c r="I426" s="2100"/>
      <c r="J426" s="2100"/>
      <c r="K426" s="2100"/>
      <c r="L426" s="2100"/>
      <c r="M426" s="2100"/>
      <c r="N426" s="2100"/>
      <c r="O426" s="2100"/>
      <c r="P426" s="2101"/>
      <c r="Q426" s="2101"/>
      <c r="R426" s="2101"/>
      <c r="S426" s="2102"/>
      <c r="T426" s="2102"/>
      <c r="U426" s="2102"/>
      <c r="V426" s="2102"/>
      <c r="W426" s="2101"/>
      <c r="X426" s="2100"/>
      <c r="Y426" s="2100"/>
      <c r="Z426" s="2102"/>
      <c r="AA426" s="2102"/>
      <c r="AB426" s="2101"/>
      <c r="AC426" s="2100"/>
      <c r="AD426" s="2100"/>
      <c r="AE426" s="2102"/>
      <c r="AF426" s="2102"/>
      <c r="AG426" s="2102"/>
      <c r="AH426" s="2100"/>
      <c r="AI426" s="2100"/>
      <c r="AJ426" s="2102"/>
      <c r="AK426" s="2102"/>
      <c r="AL426" s="2102">
        <f>SUM(AL420:AL425)</f>
        <v>0</v>
      </c>
      <c r="AM426" s="2102">
        <f>SUM(AM420:AM425)</f>
        <v>0</v>
      </c>
      <c r="AN426" s="2102">
        <f>SUM(AN420:AN425)</f>
        <v>0</v>
      </c>
      <c r="AO426" s="2102">
        <f>SUM(AO420:AO425)</f>
        <v>0</v>
      </c>
      <c r="AP426" s="2103"/>
      <c r="AQ426" s="2103"/>
      <c r="AR426" s="2103"/>
      <c r="AS426" s="2103"/>
      <c r="AT426" s="2103"/>
      <c r="AU426" s="2103"/>
      <c r="AV426" s="2103"/>
      <c r="AW426" s="2103"/>
      <c r="AX426" s="2103"/>
      <c r="AY426" s="2103"/>
      <c r="AZ426" s="2104"/>
      <c r="BA426" s="2103"/>
      <c r="BB426" s="2103"/>
      <c r="BC426" s="2103"/>
      <c r="BD426" s="2103"/>
      <c r="BE426" s="2104"/>
      <c r="BF426" s="2103"/>
      <c r="BG426" s="2103"/>
      <c r="BH426" s="2103"/>
      <c r="BI426" s="2103"/>
      <c r="BJ426" s="2104"/>
      <c r="BK426" s="2103"/>
      <c r="BL426" s="2103"/>
      <c r="BM426" s="2103"/>
      <c r="BN426" s="2103"/>
      <c r="BO426" s="2104"/>
      <c r="BP426" s="2103"/>
      <c r="BQ426" s="2103"/>
      <c r="BR426" s="2103"/>
      <c r="BS426" s="2103"/>
      <c r="BT426" s="2104"/>
      <c r="BU426" s="2103"/>
      <c r="BV426" s="2103"/>
      <c r="BW426" s="2103"/>
      <c r="BX426" s="2103"/>
      <c r="BY426" s="2104"/>
      <c r="BZ426" s="2103"/>
      <c r="CA426" s="2103"/>
      <c r="CB426" s="2103"/>
      <c r="CC426" s="2103"/>
      <c r="CD426" s="2104"/>
      <c r="CE426" s="2103"/>
      <c r="CF426" s="2103"/>
      <c r="CG426" s="2103"/>
      <c r="CH426" s="2103"/>
      <c r="CI426" s="2104"/>
      <c r="CJ426" s="2103"/>
      <c r="CK426" s="2103"/>
      <c r="CL426" s="2103"/>
      <c r="CM426" s="2103"/>
      <c r="CN426" s="2104"/>
      <c r="CO426" s="2103"/>
      <c r="CP426" s="2103"/>
      <c r="CQ426" s="2103"/>
      <c r="CR426" s="2103"/>
      <c r="CS426" s="2104"/>
      <c r="CT426" s="2103"/>
      <c r="CU426" s="2103"/>
      <c r="CV426" s="2103"/>
      <c r="CW426" s="2103"/>
      <c r="CX426" s="2104"/>
      <c r="CY426" s="2100"/>
      <c r="CZ426" s="2100"/>
      <c r="DA426" s="2100"/>
      <c r="DB426" s="2100"/>
      <c r="DC426" s="2100"/>
      <c r="DD426" s="2100"/>
      <c r="DE426" s="2100"/>
      <c r="DF426" s="2100"/>
      <c r="DG426" s="2100"/>
      <c r="DH426" s="2105"/>
      <c r="DI426" s="2106"/>
      <c r="DJ426" s="2105"/>
      <c r="DK426" s="2107"/>
      <c r="DL426" s="2107"/>
      <c r="DM426" s="2104"/>
      <c r="DN426" s="2104"/>
      <c r="DO426" s="2104"/>
      <c r="DP426" s="2104"/>
      <c r="DQ426" s="2104"/>
      <c r="DR426" s="3067"/>
    </row>
    <row r="427" spans="1:122" hidden="1" outlineLevel="3">
      <c r="A427" s="2100"/>
      <c r="B427" s="2100"/>
      <c r="C427" s="2100"/>
      <c r="D427" s="2100"/>
      <c r="E427" s="2100"/>
      <c r="F427" s="2100"/>
      <c r="G427" s="2100"/>
      <c r="H427" s="2100"/>
      <c r="I427" s="2100"/>
      <c r="J427" s="2100"/>
      <c r="K427" s="2100"/>
      <c r="L427" s="2100"/>
      <c r="M427" s="2100"/>
      <c r="N427" s="2100"/>
      <c r="O427" s="2100"/>
      <c r="P427" s="2101"/>
      <c r="Q427" s="2101"/>
      <c r="R427" s="2101"/>
      <c r="S427" s="2102"/>
      <c r="T427" s="2102"/>
      <c r="U427" s="2102"/>
      <c r="V427" s="2102"/>
      <c r="W427" s="2101"/>
      <c r="X427" s="2100"/>
      <c r="Y427" s="2100"/>
      <c r="Z427" s="2102"/>
      <c r="AA427" s="2102"/>
      <c r="AB427" s="2101"/>
      <c r="AC427" s="2100"/>
      <c r="AD427" s="2100"/>
      <c r="AE427" s="2102"/>
      <c r="AF427" s="2102"/>
      <c r="AG427" s="2102"/>
      <c r="AH427" s="2100"/>
      <c r="AI427" s="2100"/>
      <c r="AJ427" s="2102"/>
      <c r="AK427" s="2102"/>
      <c r="AL427" s="2102"/>
      <c r="AM427" s="2100"/>
      <c r="AN427" s="2100"/>
      <c r="AO427" s="2103"/>
      <c r="AP427" s="2103"/>
      <c r="AQ427" s="2103"/>
      <c r="AR427" s="2103"/>
      <c r="AS427" s="2103"/>
      <c r="AT427" s="2103"/>
      <c r="AU427" s="2103"/>
      <c r="AV427" s="2103"/>
      <c r="AW427" s="2103"/>
      <c r="AX427" s="2103"/>
      <c r="AY427" s="2103"/>
      <c r="AZ427" s="2104"/>
      <c r="BA427" s="2103"/>
      <c r="BB427" s="2103"/>
      <c r="BC427" s="2103"/>
      <c r="BD427" s="2103"/>
      <c r="BE427" s="2104"/>
      <c r="BF427" s="2103"/>
      <c r="BG427" s="2103"/>
      <c r="BH427" s="2103"/>
      <c r="BI427" s="2103"/>
      <c r="BJ427" s="2104"/>
      <c r="BK427" s="2103"/>
      <c r="BL427" s="2103"/>
      <c r="BM427" s="2103"/>
      <c r="BN427" s="2103"/>
      <c r="BO427" s="2104"/>
      <c r="BP427" s="2103"/>
      <c r="BQ427" s="2103"/>
      <c r="BR427" s="2103"/>
      <c r="BS427" s="2103"/>
      <c r="BT427" s="2104"/>
      <c r="BU427" s="2103"/>
      <c r="BV427" s="2103"/>
      <c r="BW427" s="2103"/>
      <c r="BX427" s="2103"/>
      <c r="BY427" s="2104"/>
      <c r="BZ427" s="2103"/>
      <c r="CA427" s="2103"/>
      <c r="CB427" s="2103"/>
      <c r="CC427" s="2103"/>
      <c r="CD427" s="2104"/>
      <c r="CE427" s="2103"/>
      <c r="CF427" s="2103"/>
      <c r="CG427" s="2103"/>
      <c r="CH427" s="2103"/>
      <c r="CI427" s="2104"/>
      <c r="CJ427" s="2103"/>
      <c r="CK427" s="2103"/>
      <c r="CL427" s="2103"/>
      <c r="CM427" s="2103"/>
      <c r="CN427" s="2104"/>
      <c r="CO427" s="2103"/>
      <c r="CP427" s="2103"/>
      <c r="CQ427" s="2103"/>
      <c r="CR427" s="2103"/>
      <c r="CS427" s="2104"/>
      <c r="CT427" s="2103"/>
      <c r="CU427" s="2103"/>
      <c r="CV427" s="2103"/>
      <c r="CW427" s="2103"/>
      <c r="CX427" s="2104"/>
      <c r="CY427" s="2100"/>
      <c r="CZ427" s="2100"/>
      <c r="DA427" s="2100"/>
      <c r="DB427" s="2100"/>
      <c r="DC427" s="2100"/>
      <c r="DD427" s="2100"/>
      <c r="DE427" s="2100"/>
      <c r="DF427" s="2100"/>
      <c r="DG427" s="2100"/>
      <c r="DH427" s="2105"/>
      <c r="DI427" s="2106"/>
      <c r="DJ427" s="2105"/>
      <c r="DK427" s="2107"/>
      <c r="DL427" s="2107"/>
      <c r="DM427" s="2104"/>
      <c r="DN427" s="2104"/>
      <c r="DO427" s="2104"/>
      <c r="DP427" s="2104"/>
      <c r="DQ427" s="2104"/>
      <c r="DR427" s="3067"/>
    </row>
    <row r="428" spans="1:122" hidden="1" outlineLevel="3">
      <c r="A428" s="2108" t="s">
        <v>639</v>
      </c>
      <c r="B428" s="2100"/>
      <c r="C428" s="2100"/>
      <c r="D428" s="2100"/>
      <c r="E428" s="2100"/>
      <c r="F428" s="2100"/>
      <c r="G428" s="2100"/>
      <c r="H428" s="2100"/>
      <c r="I428" s="2100"/>
      <c r="J428" s="2100"/>
      <c r="K428" s="2100"/>
      <c r="L428" s="2100"/>
      <c r="M428" s="2100"/>
      <c r="N428" s="2100"/>
      <c r="O428" s="2100"/>
      <c r="P428" s="2101"/>
      <c r="Q428" s="2101"/>
      <c r="R428" s="2101"/>
      <c r="S428" s="2102"/>
      <c r="T428" s="2102"/>
      <c r="U428" s="2102"/>
      <c r="V428" s="2102"/>
      <c r="W428" s="2101"/>
      <c r="X428" s="2100"/>
      <c r="Y428" s="2100"/>
      <c r="Z428" s="2102"/>
      <c r="AA428" s="2102"/>
      <c r="AB428" s="2101"/>
      <c r="AC428" s="2100"/>
      <c r="AD428" s="2100"/>
      <c r="AE428" s="2102"/>
      <c r="AF428" s="2102"/>
      <c r="AG428" s="2102"/>
      <c r="AH428" s="2100"/>
      <c r="AI428" s="2100"/>
      <c r="AJ428" s="2102"/>
      <c r="AK428" s="2102"/>
      <c r="AL428" s="2102"/>
      <c r="AM428" s="2100"/>
      <c r="AN428" s="2100"/>
      <c r="AO428" s="2103"/>
      <c r="AP428" s="2103"/>
      <c r="AQ428" s="2103"/>
      <c r="AR428" s="2103"/>
      <c r="AS428" s="2103"/>
      <c r="AT428" s="2103"/>
      <c r="AU428" s="2103"/>
      <c r="AV428" s="2103"/>
      <c r="AW428" s="2103"/>
      <c r="AX428" s="2103"/>
      <c r="AY428" s="2103"/>
      <c r="AZ428" s="2104"/>
      <c r="BA428" s="2103"/>
      <c r="BB428" s="2103"/>
      <c r="BC428" s="2103"/>
      <c r="BD428" s="2103"/>
      <c r="BE428" s="2104"/>
      <c r="BF428" s="2103"/>
      <c r="BG428" s="2103"/>
      <c r="BH428" s="2103"/>
      <c r="BI428" s="2103"/>
      <c r="BJ428" s="2104"/>
      <c r="BK428" s="2103"/>
      <c r="BL428" s="2103"/>
      <c r="BM428" s="2103"/>
      <c r="BN428" s="2103"/>
      <c r="BO428" s="2104"/>
      <c r="BP428" s="2103"/>
      <c r="BQ428" s="2103"/>
      <c r="BR428" s="2103"/>
      <c r="BS428" s="2103"/>
      <c r="BT428" s="2104"/>
      <c r="BU428" s="2103"/>
      <c r="BV428" s="2103"/>
      <c r="BW428" s="2103"/>
      <c r="BX428" s="2103"/>
      <c r="BY428" s="2104"/>
      <c r="BZ428" s="2103"/>
      <c r="CA428" s="2103"/>
      <c r="CB428" s="2103"/>
      <c r="CC428" s="2103"/>
      <c r="CD428" s="2104"/>
      <c r="CE428" s="2103"/>
      <c r="CF428" s="2103"/>
      <c r="CG428" s="2103"/>
      <c r="CH428" s="2103"/>
      <c r="CI428" s="2104"/>
      <c r="CJ428" s="2103"/>
      <c r="CK428" s="2103"/>
      <c r="CL428" s="2103"/>
      <c r="CM428" s="2103"/>
      <c r="CN428" s="2104"/>
      <c r="CO428" s="2103"/>
      <c r="CP428" s="2103"/>
      <c r="CQ428" s="2103"/>
      <c r="CR428" s="2103"/>
      <c r="CS428" s="2104"/>
      <c r="CT428" s="2103"/>
      <c r="CU428" s="2103"/>
      <c r="CV428" s="2103"/>
      <c r="CW428" s="2103"/>
      <c r="CX428" s="2104"/>
      <c r="CY428" s="2100"/>
      <c r="CZ428" s="2100"/>
      <c r="DA428" s="2100"/>
      <c r="DB428" s="2100"/>
      <c r="DC428" s="2100"/>
      <c r="DD428" s="2100"/>
      <c r="DE428" s="2100"/>
      <c r="DF428" s="2100"/>
      <c r="DG428" s="2100"/>
      <c r="DH428" s="2105"/>
      <c r="DI428" s="2106"/>
      <c r="DJ428" s="2105"/>
      <c r="DK428" s="2107"/>
      <c r="DL428" s="2107"/>
      <c r="DM428" s="2104"/>
      <c r="DN428" s="2104"/>
      <c r="DO428" s="2104"/>
      <c r="DP428" s="2104"/>
      <c r="DQ428" s="2104"/>
      <c r="DR428" s="3067"/>
    </row>
    <row r="429" spans="1:122" hidden="1" outlineLevel="3">
      <c r="A429" s="2100" t="s">
        <v>741</v>
      </c>
      <c r="B429" s="2100"/>
      <c r="C429" s="2100"/>
      <c r="D429" s="2100"/>
      <c r="E429" s="2100"/>
      <c r="F429" s="2100"/>
      <c r="G429" s="2100"/>
      <c r="H429" s="2100"/>
      <c r="I429" s="2100"/>
      <c r="J429" s="2100"/>
      <c r="K429" s="2100"/>
      <c r="L429" s="2100"/>
      <c r="M429" s="2100"/>
      <c r="N429" s="2100"/>
      <c r="O429" s="2100"/>
      <c r="P429" s="2101"/>
      <c r="Q429" s="2101"/>
      <c r="R429" s="2101"/>
      <c r="S429" s="2102"/>
      <c r="T429" s="2102"/>
      <c r="U429" s="2102"/>
      <c r="V429" s="2102"/>
      <c r="W429" s="2101"/>
      <c r="X429" s="2100"/>
      <c r="Y429" s="2100"/>
      <c r="Z429" s="2102"/>
      <c r="AA429" s="2102"/>
      <c r="AB429" s="2101"/>
      <c r="AC429" s="2100"/>
      <c r="AD429" s="2100"/>
      <c r="AE429" s="2102"/>
      <c r="AF429" s="2102"/>
      <c r="AG429" s="2102"/>
      <c r="AH429" s="2100"/>
      <c r="AI429" s="2100"/>
      <c r="AJ429" s="2102"/>
      <c r="AK429" s="2102"/>
      <c r="AL429" s="2102">
        <f t="shared" ref="AL429:AO434" si="565">AL400+AL420</f>
        <v>4278</v>
      </c>
      <c r="AM429" s="2102">
        <f t="shared" si="565"/>
        <v>4068</v>
      </c>
      <c r="AN429" s="2102">
        <f t="shared" si="565"/>
        <v>3436</v>
      </c>
      <c r="AO429" s="2102">
        <f t="shared" si="565"/>
        <v>3138</v>
      </c>
      <c r="AP429" s="2103"/>
      <c r="AQ429" s="2103"/>
      <c r="AR429" s="2103"/>
      <c r="AS429" s="2103"/>
      <c r="AT429" s="2103"/>
      <c r="AU429" s="2103"/>
      <c r="AV429" s="2103"/>
      <c r="AW429" s="2103"/>
      <c r="AX429" s="2103"/>
      <c r="AY429" s="2103"/>
      <c r="AZ429" s="2104"/>
      <c r="BA429" s="2103"/>
      <c r="BB429" s="2103"/>
      <c r="BC429" s="2103"/>
      <c r="BD429" s="2103"/>
      <c r="BE429" s="2104"/>
      <c r="BF429" s="2103"/>
      <c r="BG429" s="2103"/>
      <c r="BH429" s="2103"/>
      <c r="BI429" s="2103"/>
      <c r="BJ429" s="2104"/>
      <c r="BK429" s="2103"/>
      <c r="BL429" s="2103"/>
      <c r="BM429" s="2103"/>
      <c r="BN429" s="2103"/>
      <c r="BO429" s="2104"/>
      <c r="BP429" s="2103"/>
      <c r="BQ429" s="2103"/>
      <c r="BR429" s="2103"/>
      <c r="BS429" s="2103"/>
      <c r="BT429" s="2104"/>
      <c r="BU429" s="2103"/>
      <c r="BV429" s="2103"/>
      <c r="BW429" s="2103"/>
      <c r="BX429" s="2103"/>
      <c r="BY429" s="2104"/>
      <c r="BZ429" s="2103"/>
      <c r="CA429" s="2103"/>
      <c r="CB429" s="2103"/>
      <c r="CC429" s="2103"/>
      <c r="CD429" s="2104"/>
      <c r="CE429" s="2103"/>
      <c r="CF429" s="2103"/>
      <c r="CG429" s="2103"/>
      <c r="CH429" s="2103"/>
      <c r="CI429" s="2104"/>
      <c r="CJ429" s="2103"/>
      <c r="CK429" s="2103"/>
      <c r="CL429" s="2103"/>
      <c r="CM429" s="2103"/>
      <c r="CN429" s="2104"/>
      <c r="CO429" s="2103"/>
      <c r="CP429" s="2103"/>
      <c r="CQ429" s="2103"/>
      <c r="CR429" s="2103"/>
      <c r="CS429" s="2104"/>
      <c r="CT429" s="2103"/>
      <c r="CU429" s="2103"/>
      <c r="CV429" s="2103"/>
      <c r="CW429" s="2103"/>
      <c r="CX429" s="2104"/>
      <c r="CY429" s="2100"/>
      <c r="CZ429" s="2100"/>
      <c r="DA429" s="2100"/>
      <c r="DB429" s="2100"/>
      <c r="DC429" s="2100"/>
      <c r="DD429" s="2100"/>
      <c r="DE429" s="2100"/>
      <c r="DF429" s="2100"/>
      <c r="DG429" s="2100"/>
      <c r="DH429" s="2105"/>
      <c r="DI429" s="2106"/>
      <c r="DJ429" s="2105"/>
      <c r="DK429" s="2107"/>
      <c r="DL429" s="2107"/>
      <c r="DM429" s="2104"/>
      <c r="DN429" s="2104"/>
      <c r="DO429" s="2104"/>
      <c r="DP429" s="2104"/>
      <c r="DQ429" s="2104"/>
      <c r="DR429" s="3067"/>
    </row>
    <row r="430" spans="1:122" hidden="1" outlineLevel="3">
      <c r="A430" s="2100" t="s">
        <v>742</v>
      </c>
      <c r="B430" s="2100"/>
      <c r="C430" s="2100"/>
      <c r="D430" s="2100"/>
      <c r="E430" s="2100"/>
      <c r="F430" s="2100"/>
      <c r="G430" s="2100"/>
      <c r="H430" s="2100"/>
      <c r="I430" s="2100"/>
      <c r="J430" s="2100"/>
      <c r="K430" s="2100"/>
      <c r="L430" s="2100"/>
      <c r="M430" s="2100"/>
      <c r="N430" s="2100"/>
      <c r="O430" s="2100"/>
      <c r="P430" s="2101"/>
      <c r="Q430" s="2101"/>
      <c r="R430" s="2101"/>
      <c r="S430" s="2102"/>
      <c r="T430" s="2102"/>
      <c r="U430" s="2102"/>
      <c r="V430" s="2102"/>
      <c r="W430" s="2101"/>
      <c r="X430" s="2100"/>
      <c r="Y430" s="2100"/>
      <c r="Z430" s="2102"/>
      <c r="AA430" s="2102"/>
      <c r="AB430" s="2101"/>
      <c r="AC430" s="2100"/>
      <c r="AD430" s="2100"/>
      <c r="AE430" s="2102"/>
      <c r="AF430" s="2102"/>
      <c r="AG430" s="2102"/>
      <c r="AH430" s="2100"/>
      <c r="AI430" s="2100"/>
      <c r="AJ430" s="2102"/>
      <c r="AK430" s="2102"/>
      <c r="AL430" s="2102">
        <f t="shared" si="565"/>
        <v>3415</v>
      </c>
      <c r="AM430" s="2102">
        <f t="shared" si="565"/>
        <v>3755</v>
      </c>
      <c r="AN430" s="2102">
        <f t="shared" si="565"/>
        <v>3487</v>
      </c>
      <c r="AO430" s="2102">
        <f t="shared" si="565"/>
        <v>3530</v>
      </c>
      <c r="AP430" s="2103"/>
      <c r="AQ430" s="2103"/>
      <c r="AR430" s="2103"/>
      <c r="AS430" s="2103"/>
      <c r="AT430" s="2103"/>
      <c r="AU430" s="2103"/>
      <c r="AV430" s="2103"/>
      <c r="AW430" s="2103"/>
      <c r="AX430" s="2103"/>
      <c r="AY430" s="2103"/>
      <c r="AZ430" s="2104"/>
      <c r="BA430" s="2103"/>
      <c r="BB430" s="2103"/>
      <c r="BC430" s="2103"/>
      <c r="BD430" s="2103"/>
      <c r="BE430" s="2104"/>
      <c r="BF430" s="2103"/>
      <c r="BG430" s="2103"/>
      <c r="BH430" s="2103"/>
      <c r="BI430" s="2103"/>
      <c r="BJ430" s="2104"/>
      <c r="BK430" s="2103"/>
      <c r="BL430" s="2103"/>
      <c r="BM430" s="2103"/>
      <c r="BN430" s="2103"/>
      <c r="BO430" s="2104"/>
      <c r="BP430" s="2103"/>
      <c r="BQ430" s="2103"/>
      <c r="BR430" s="2103"/>
      <c r="BS430" s="2103"/>
      <c r="BT430" s="2104"/>
      <c r="BU430" s="2103"/>
      <c r="BV430" s="2103"/>
      <c r="BW430" s="2103"/>
      <c r="BX430" s="2103"/>
      <c r="BY430" s="2104"/>
      <c r="BZ430" s="2103"/>
      <c r="CA430" s="2103"/>
      <c r="CB430" s="2103"/>
      <c r="CC430" s="2103"/>
      <c r="CD430" s="2104"/>
      <c r="CE430" s="2103"/>
      <c r="CF430" s="2103"/>
      <c r="CG430" s="2103"/>
      <c r="CH430" s="2103"/>
      <c r="CI430" s="2104"/>
      <c r="CJ430" s="2103"/>
      <c r="CK430" s="2103"/>
      <c r="CL430" s="2103"/>
      <c r="CM430" s="2103"/>
      <c r="CN430" s="2104"/>
      <c r="CO430" s="2103"/>
      <c r="CP430" s="2103"/>
      <c r="CQ430" s="2103"/>
      <c r="CR430" s="2103"/>
      <c r="CS430" s="2104"/>
      <c r="CT430" s="2103"/>
      <c r="CU430" s="2103"/>
      <c r="CV430" s="2103"/>
      <c r="CW430" s="2103"/>
      <c r="CX430" s="2104"/>
      <c r="CY430" s="2100"/>
      <c r="CZ430" s="2100"/>
      <c r="DA430" s="2100"/>
      <c r="DB430" s="2100"/>
      <c r="DC430" s="2100"/>
      <c r="DD430" s="2100"/>
      <c r="DE430" s="2100"/>
      <c r="DF430" s="2100"/>
      <c r="DG430" s="2100"/>
      <c r="DH430" s="2105"/>
      <c r="DI430" s="2106"/>
      <c r="DJ430" s="2105"/>
      <c r="DK430" s="2107"/>
      <c r="DL430" s="2107"/>
      <c r="DM430" s="2104"/>
      <c r="DN430" s="2104"/>
      <c r="DO430" s="2104"/>
      <c r="DP430" s="2104"/>
      <c r="DQ430" s="2104"/>
      <c r="DR430" s="3067"/>
    </row>
    <row r="431" spans="1:122" hidden="1" outlineLevel="3">
      <c r="A431" s="2100" t="s">
        <v>707</v>
      </c>
      <c r="B431" s="2100"/>
      <c r="C431" s="2100"/>
      <c r="D431" s="2100"/>
      <c r="E431" s="2100"/>
      <c r="F431" s="2100"/>
      <c r="G431" s="2100"/>
      <c r="H431" s="2100"/>
      <c r="I431" s="2100"/>
      <c r="J431" s="2100"/>
      <c r="K431" s="2100"/>
      <c r="L431" s="2100"/>
      <c r="M431" s="2100"/>
      <c r="N431" s="2100"/>
      <c r="O431" s="2100"/>
      <c r="P431" s="2101"/>
      <c r="Q431" s="2101"/>
      <c r="R431" s="2101"/>
      <c r="S431" s="2102"/>
      <c r="T431" s="2102"/>
      <c r="U431" s="2102"/>
      <c r="V431" s="2102"/>
      <c r="W431" s="2101"/>
      <c r="X431" s="2100"/>
      <c r="Y431" s="2100"/>
      <c r="Z431" s="2102"/>
      <c r="AA431" s="2102"/>
      <c r="AB431" s="2101"/>
      <c r="AC431" s="2100"/>
      <c r="AD431" s="2100"/>
      <c r="AE431" s="2102"/>
      <c r="AF431" s="2102"/>
      <c r="AG431" s="2102"/>
      <c r="AH431" s="2100"/>
      <c r="AI431" s="2100"/>
      <c r="AJ431" s="2102"/>
      <c r="AK431" s="2102"/>
      <c r="AL431" s="2102">
        <f t="shared" si="565"/>
        <v>517</v>
      </c>
      <c r="AM431" s="2102">
        <f t="shared" si="565"/>
        <v>609</v>
      </c>
      <c r="AN431" s="2102">
        <f t="shared" si="565"/>
        <v>520</v>
      </c>
      <c r="AO431" s="2102">
        <f t="shared" si="565"/>
        <v>541</v>
      </c>
      <c r="AP431" s="2103"/>
      <c r="AQ431" s="2103"/>
      <c r="AR431" s="2103"/>
      <c r="AS431" s="2103"/>
      <c r="AT431" s="2103"/>
      <c r="AU431" s="2103"/>
      <c r="AV431" s="2103"/>
      <c r="AW431" s="2103"/>
      <c r="AX431" s="2103"/>
      <c r="AY431" s="2103"/>
      <c r="AZ431" s="2104"/>
      <c r="BA431" s="2103"/>
      <c r="BB431" s="2103"/>
      <c r="BC431" s="2103"/>
      <c r="BD431" s="2103"/>
      <c r="BE431" s="2104"/>
      <c r="BF431" s="2103"/>
      <c r="BG431" s="2103"/>
      <c r="BH431" s="2103"/>
      <c r="BI431" s="2103"/>
      <c r="BJ431" s="2104"/>
      <c r="BK431" s="2103"/>
      <c r="BL431" s="2103"/>
      <c r="BM431" s="2103"/>
      <c r="BN431" s="2103"/>
      <c r="BO431" s="2104"/>
      <c r="BP431" s="2103"/>
      <c r="BQ431" s="2103"/>
      <c r="BR431" s="2103"/>
      <c r="BS431" s="2103"/>
      <c r="BT431" s="2104"/>
      <c r="BU431" s="2103"/>
      <c r="BV431" s="2103"/>
      <c r="BW431" s="2103"/>
      <c r="BX431" s="2103"/>
      <c r="BY431" s="2104"/>
      <c r="BZ431" s="2103"/>
      <c r="CA431" s="2103"/>
      <c r="CB431" s="2103"/>
      <c r="CC431" s="2103"/>
      <c r="CD431" s="2104"/>
      <c r="CE431" s="2103"/>
      <c r="CF431" s="2103"/>
      <c r="CG431" s="2103"/>
      <c r="CH431" s="2103"/>
      <c r="CI431" s="2104"/>
      <c r="CJ431" s="2103"/>
      <c r="CK431" s="2103"/>
      <c r="CL431" s="2103"/>
      <c r="CM431" s="2103"/>
      <c r="CN431" s="2104"/>
      <c r="CO431" s="2103"/>
      <c r="CP431" s="2103"/>
      <c r="CQ431" s="2103"/>
      <c r="CR431" s="2103"/>
      <c r="CS431" s="2104"/>
      <c r="CT431" s="2103"/>
      <c r="CU431" s="2103"/>
      <c r="CV431" s="2103"/>
      <c r="CW431" s="2103"/>
      <c r="CX431" s="2104"/>
      <c r="CY431" s="2100"/>
      <c r="CZ431" s="2100"/>
      <c r="DA431" s="2100"/>
      <c r="DB431" s="2100"/>
      <c r="DC431" s="2100"/>
      <c r="DD431" s="2100"/>
      <c r="DE431" s="2100"/>
      <c r="DF431" s="2100"/>
      <c r="DG431" s="2100"/>
      <c r="DH431" s="2105"/>
      <c r="DI431" s="2106"/>
      <c r="DJ431" s="2105"/>
      <c r="DK431" s="2107"/>
      <c r="DL431" s="2107"/>
      <c r="DM431" s="2104"/>
      <c r="DN431" s="2104"/>
      <c r="DO431" s="2104"/>
      <c r="DP431" s="2104"/>
      <c r="DQ431" s="2104"/>
      <c r="DR431" s="3067"/>
    </row>
    <row r="432" spans="1:122" hidden="1" outlineLevel="3">
      <c r="A432" s="2100" t="s">
        <v>527</v>
      </c>
      <c r="B432" s="2100"/>
      <c r="C432" s="2100"/>
      <c r="D432" s="2100"/>
      <c r="E432" s="2100"/>
      <c r="F432" s="2100"/>
      <c r="G432" s="2100"/>
      <c r="H432" s="2100"/>
      <c r="I432" s="2100"/>
      <c r="J432" s="2100"/>
      <c r="K432" s="2100"/>
      <c r="L432" s="2100"/>
      <c r="M432" s="2100"/>
      <c r="N432" s="2100"/>
      <c r="O432" s="2100"/>
      <c r="P432" s="2101"/>
      <c r="Q432" s="2101"/>
      <c r="R432" s="2101"/>
      <c r="S432" s="2102"/>
      <c r="T432" s="2102"/>
      <c r="U432" s="2102"/>
      <c r="V432" s="2102"/>
      <c r="W432" s="2101"/>
      <c r="X432" s="2100"/>
      <c r="Y432" s="2100"/>
      <c r="Z432" s="2102"/>
      <c r="AA432" s="2102"/>
      <c r="AB432" s="2101"/>
      <c r="AC432" s="2100"/>
      <c r="AD432" s="2100"/>
      <c r="AE432" s="2102"/>
      <c r="AF432" s="2102"/>
      <c r="AG432" s="2102"/>
      <c r="AH432" s="2100"/>
      <c r="AI432" s="2100"/>
      <c r="AJ432" s="2102"/>
      <c r="AK432" s="2102"/>
      <c r="AL432" s="2102">
        <f t="shared" si="565"/>
        <v>4953</v>
      </c>
      <c r="AM432" s="2102">
        <f t="shared" si="565"/>
        <v>4876</v>
      </c>
      <c r="AN432" s="2102">
        <f t="shared" si="565"/>
        <v>4505</v>
      </c>
      <c r="AO432" s="2102">
        <f t="shared" si="565"/>
        <v>4566</v>
      </c>
      <c r="AP432" s="2103"/>
      <c r="AQ432" s="2103"/>
      <c r="AR432" s="2103"/>
      <c r="AS432" s="2103"/>
      <c r="AT432" s="2103"/>
      <c r="AU432" s="2103"/>
      <c r="AV432" s="2103"/>
      <c r="AW432" s="2103"/>
      <c r="AX432" s="2103"/>
      <c r="AY432" s="2103"/>
      <c r="AZ432" s="2104"/>
      <c r="BA432" s="2103"/>
      <c r="BB432" s="2103"/>
      <c r="BC432" s="2103"/>
      <c r="BD432" s="2103"/>
      <c r="BE432" s="2104"/>
      <c r="BF432" s="2103"/>
      <c r="BG432" s="2103"/>
      <c r="BH432" s="2103"/>
      <c r="BI432" s="2103"/>
      <c r="BJ432" s="2104"/>
      <c r="BK432" s="2103"/>
      <c r="BL432" s="2103"/>
      <c r="BM432" s="2103"/>
      <c r="BN432" s="2103"/>
      <c r="BO432" s="2104"/>
      <c r="BP432" s="2103"/>
      <c r="BQ432" s="2103"/>
      <c r="BR432" s="2103"/>
      <c r="BS432" s="2103"/>
      <c r="BT432" s="2104"/>
      <c r="BU432" s="2103"/>
      <c r="BV432" s="2103"/>
      <c r="BW432" s="2103"/>
      <c r="BX432" s="2103"/>
      <c r="BY432" s="2104"/>
      <c r="BZ432" s="2103"/>
      <c r="CA432" s="2103"/>
      <c r="CB432" s="2103"/>
      <c r="CC432" s="2103"/>
      <c r="CD432" s="2104"/>
      <c r="CE432" s="2103"/>
      <c r="CF432" s="2103"/>
      <c r="CG432" s="2103"/>
      <c r="CH432" s="2103"/>
      <c r="CI432" s="2104"/>
      <c r="CJ432" s="2103"/>
      <c r="CK432" s="2103"/>
      <c r="CL432" s="2103"/>
      <c r="CM432" s="2103"/>
      <c r="CN432" s="2104"/>
      <c r="CO432" s="2103"/>
      <c r="CP432" s="2103"/>
      <c r="CQ432" s="2103"/>
      <c r="CR432" s="2103"/>
      <c r="CS432" s="2104"/>
      <c r="CT432" s="2103"/>
      <c r="CU432" s="2103"/>
      <c r="CV432" s="2103"/>
      <c r="CW432" s="2103"/>
      <c r="CX432" s="2104"/>
      <c r="CY432" s="2100"/>
      <c r="CZ432" s="2100"/>
      <c r="DA432" s="2100"/>
      <c r="DB432" s="2100"/>
      <c r="DC432" s="2100"/>
      <c r="DD432" s="2100"/>
      <c r="DE432" s="2100"/>
      <c r="DF432" s="2100"/>
      <c r="DG432" s="2100"/>
      <c r="DH432" s="2105"/>
      <c r="DI432" s="2106"/>
      <c r="DJ432" s="2105"/>
      <c r="DK432" s="2107"/>
      <c r="DL432" s="2107"/>
      <c r="DM432" s="2104"/>
      <c r="DN432" s="2104"/>
      <c r="DO432" s="2104"/>
      <c r="DP432" s="2104"/>
      <c r="DQ432" s="2104"/>
      <c r="DR432" s="3067"/>
    </row>
    <row r="433" spans="1:122" hidden="1" outlineLevel="3">
      <c r="A433" s="2100" t="s">
        <v>528</v>
      </c>
      <c r="B433" s="2100"/>
      <c r="C433" s="2100"/>
      <c r="D433" s="2100"/>
      <c r="E433" s="2100"/>
      <c r="F433" s="2100"/>
      <c r="G433" s="2100"/>
      <c r="H433" s="2100"/>
      <c r="I433" s="2100"/>
      <c r="J433" s="2100"/>
      <c r="K433" s="2100"/>
      <c r="L433" s="2100"/>
      <c r="M433" s="2100"/>
      <c r="N433" s="2100"/>
      <c r="O433" s="2100"/>
      <c r="P433" s="2101"/>
      <c r="Q433" s="2101"/>
      <c r="R433" s="2101"/>
      <c r="S433" s="2102"/>
      <c r="T433" s="2102"/>
      <c r="U433" s="2102"/>
      <c r="V433" s="2102"/>
      <c r="W433" s="2101"/>
      <c r="X433" s="2100"/>
      <c r="Y433" s="2100"/>
      <c r="Z433" s="2102"/>
      <c r="AA433" s="2102"/>
      <c r="AB433" s="2101"/>
      <c r="AC433" s="2100"/>
      <c r="AD433" s="2100"/>
      <c r="AE433" s="2102"/>
      <c r="AF433" s="2102"/>
      <c r="AG433" s="2102"/>
      <c r="AH433" s="2100"/>
      <c r="AI433" s="2100"/>
      <c r="AJ433" s="2102"/>
      <c r="AK433" s="2102"/>
      <c r="AL433" s="2102">
        <f t="shared" si="565"/>
        <v>1894</v>
      </c>
      <c r="AM433" s="2102">
        <f t="shared" si="565"/>
        <v>3261</v>
      </c>
      <c r="AN433" s="2102">
        <f t="shared" si="565"/>
        <v>1634</v>
      </c>
      <c r="AO433" s="2102">
        <f t="shared" si="565"/>
        <v>1259</v>
      </c>
      <c r="AP433" s="2103"/>
      <c r="AQ433" s="2103"/>
      <c r="AR433" s="2103"/>
      <c r="AS433" s="2103"/>
      <c r="AT433" s="2103"/>
      <c r="AU433" s="2103"/>
      <c r="AV433" s="2103"/>
      <c r="AW433" s="2103"/>
      <c r="AX433" s="2103"/>
      <c r="AY433" s="2103"/>
      <c r="AZ433" s="2104"/>
      <c r="BA433" s="2103"/>
      <c r="BB433" s="2103"/>
      <c r="BC433" s="2103"/>
      <c r="BD433" s="2103"/>
      <c r="BE433" s="2104"/>
      <c r="BF433" s="2103"/>
      <c r="BG433" s="2103"/>
      <c r="BH433" s="2103"/>
      <c r="BI433" s="2103"/>
      <c r="BJ433" s="2104"/>
      <c r="BK433" s="2103"/>
      <c r="BL433" s="2103"/>
      <c r="BM433" s="2103"/>
      <c r="BN433" s="2103"/>
      <c r="BO433" s="2104"/>
      <c r="BP433" s="2103"/>
      <c r="BQ433" s="2103"/>
      <c r="BR433" s="2103"/>
      <c r="BS433" s="2103"/>
      <c r="BT433" s="2104"/>
      <c r="BU433" s="2103"/>
      <c r="BV433" s="2103"/>
      <c r="BW433" s="2103"/>
      <c r="BX433" s="2103"/>
      <c r="BY433" s="2104"/>
      <c r="BZ433" s="2103"/>
      <c r="CA433" s="2103"/>
      <c r="CB433" s="2103"/>
      <c r="CC433" s="2103"/>
      <c r="CD433" s="2104"/>
      <c r="CE433" s="2103"/>
      <c r="CF433" s="2103"/>
      <c r="CG433" s="2103"/>
      <c r="CH433" s="2103"/>
      <c r="CI433" s="2104"/>
      <c r="CJ433" s="2103"/>
      <c r="CK433" s="2103"/>
      <c r="CL433" s="2103"/>
      <c r="CM433" s="2103"/>
      <c r="CN433" s="2104"/>
      <c r="CO433" s="2103"/>
      <c r="CP433" s="2103"/>
      <c r="CQ433" s="2103"/>
      <c r="CR433" s="2103"/>
      <c r="CS433" s="2104"/>
      <c r="CT433" s="2103"/>
      <c r="CU433" s="2103"/>
      <c r="CV433" s="2103"/>
      <c r="CW433" s="2103"/>
      <c r="CX433" s="2104"/>
      <c r="CY433" s="2100"/>
      <c r="CZ433" s="2100"/>
      <c r="DA433" s="2100"/>
      <c r="DB433" s="2100"/>
      <c r="DC433" s="2100"/>
      <c r="DD433" s="2100"/>
      <c r="DE433" s="2100"/>
      <c r="DF433" s="2100"/>
      <c r="DG433" s="2100"/>
      <c r="DH433" s="2105"/>
      <c r="DI433" s="2106"/>
      <c r="DJ433" s="2105"/>
      <c r="DK433" s="2107"/>
      <c r="DL433" s="2107"/>
      <c r="DM433" s="2104"/>
      <c r="DN433" s="2104"/>
      <c r="DO433" s="2104"/>
      <c r="DP433" s="2104"/>
      <c r="DQ433" s="2104"/>
      <c r="DR433" s="3067"/>
    </row>
    <row r="434" spans="1:122" hidden="1" outlineLevel="3">
      <c r="A434" s="2100" t="s">
        <v>280</v>
      </c>
      <c r="B434" s="2100"/>
      <c r="C434" s="2100"/>
      <c r="D434" s="2100"/>
      <c r="E434" s="2100"/>
      <c r="F434" s="2100"/>
      <c r="G434" s="2100"/>
      <c r="H434" s="2100"/>
      <c r="I434" s="2100"/>
      <c r="J434" s="2100"/>
      <c r="K434" s="2100"/>
      <c r="L434" s="2100"/>
      <c r="M434" s="2100"/>
      <c r="N434" s="2100"/>
      <c r="O434" s="2100"/>
      <c r="P434" s="2101"/>
      <c r="Q434" s="2101"/>
      <c r="R434" s="2101"/>
      <c r="S434" s="2102"/>
      <c r="T434" s="2102"/>
      <c r="U434" s="2102"/>
      <c r="V434" s="2102"/>
      <c r="W434" s="2101"/>
      <c r="X434" s="2100"/>
      <c r="Y434" s="2100"/>
      <c r="Z434" s="2102"/>
      <c r="AA434" s="2102"/>
      <c r="AB434" s="2101"/>
      <c r="AC434" s="2100"/>
      <c r="AD434" s="2100"/>
      <c r="AE434" s="2102"/>
      <c r="AF434" s="2102"/>
      <c r="AG434" s="2102"/>
      <c r="AH434" s="2100"/>
      <c r="AI434" s="2100"/>
      <c r="AJ434" s="2102"/>
      <c r="AK434" s="2102"/>
      <c r="AL434" s="2102">
        <f t="shared" si="565"/>
        <v>4</v>
      </c>
      <c r="AM434" s="2102">
        <f t="shared" si="565"/>
        <v>60</v>
      </c>
      <c r="AN434" s="2102">
        <f t="shared" si="565"/>
        <v>66</v>
      </c>
      <c r="AO434" s="2102">
        <f t="shared" si="565"/>
        <v>65</v>
      </c>
      <c r="AP434" s="2103"/>
      <c r="AQ434" s="2103"/>
      <c r="AR434" s="2103"/>
      <c r="AS434" s="2103"/>
      <c r="AT434" s="2103"/>
      <c r="AU434" s="2103"/>
      <c r="AV434" s="2103"/>
      <c r="AW434" s="2103"/>
      <c r="AX434" s="2103"/>
      <c r="AY434" s="2103"/>
      <c r="AZ434" s="2104"/>
      <c r="BA434" s="2103"/>
      <c r="BB434" s="2103"/>
      <c r="BC434" s="2103"/>
      <c r="BD434" s="2103"/>
      <c r="BE434" s="2104"/>
      <c r="BF434" s="2103"/>
      <c r="BG434" s="2103"/>
      <c r="BH434" s="2103"/>
      <c r="BI434" s="2103"/>
      <c r="BJ434" s="2104"/>
      <c r="BK434" s="2103"/>
      <c r="BL434" s="2103"/>
      <c r="BM434" s="2103"/>
      <c r="BN434" s="2103"/>
      <c r="BO434" s="2104"/>
      <c r="BP434" s="2103"/>
      <c r="BQ434" s="2103"/>
      <c r="BR434" s="2103"/>
      <c r="BS434" s="2103"/>
      <c r="BT434" s="2104"/>
      <c r="BU434" s="2103"/>
      <c r="BV434" s="2103"/>
      <c r="BW434" s="2103"/>
      <c r="BX434" s="2103"/>
      <c r="BY434" s="2104"/>
      <c r="BZ434" s="2103"/>
      <c r="CA434" s="2103"/>
      <c r="CB434" s="2103"/>
      <c r="CC434" s="2103"/>
      <c r="CD434" s="2104"/>
      <c r="CE434" s="2103"/>
      <c r="CF434" s="2103"/>
      <c r="CG434" s="2103"/>
      <c r="CH434" s="2103"/>
      <c r="CI434" s="2104"/>
      <c r="CJ434" s="2103"/>
      <c r="CK434" s="2103"/>
      <c r="CL434" s="2103"/>
      <c r="CM434" s="2103"/>
      <c r="CN434" s="2104"/>
      <c r="CO434" s="2103"/>
      <c r="CP434" s="2103"/>
      <c r="CQ434" s="2103"/>
      <c r="CR434" s="2103"/>
      <c r="CS434" s="2104"/>
      <c r="CT434" s="2103"/>
      <c r="CU434" s="2103"/>
      <c r="CV434" s="2103"/>
      <c r="CW434" s="2103"/>
      <c r="CX434" s="2104"/>
      <c r="CY434" s="2100"/>
      <c r="CZ434" s="2100"/>
      <c r="DA434" s="2100"/>
      <c r="DB434" s="2100"/>
      <c r="DC434" s="2100"/>
      <c r="DD434" s="2100"/>
      <c r="DE434" s="2100"/>
      <c r="DF434" s="2100"/>
      <c r="DG434" s="2100"/>
      <c r="DH434" s="2105"/>
      <c r="DI434" s="2106"/>
      <c r="DJ434" s="2105"/>
      <c r="DK434" s="2107"/>
      <c r="DL434" s="2107"/>
      <c r="DM434" s="2104"/>
      <c r="DN434" s="2104"/>
      <c r="DO434" s="2104"/>
      <c r="DP434" s="2104"/>
      <c r="DQ434" s="2104"/>
      <c r="DR434" s="3067"/>
    </row>
    <row r="435" spans="1:122" hidden="1" outlineLevel="3">
      <c r="A435" s="2100" t="s">
        <v>743</v>
      </c>
      <c r="B435" s="2100"/>
      <c r="C435" s="2100"/>
      <c r="D435" s="2100"/>
      <c r="E435" s="2100"/>
      <c r="F435" s="2100"/>
      <c r="G435" s="2100"/>
      <c r="H435" s="2100"/>
      <c r="I435" s="2100"/>
      <c r="J435" s="2100"/>
      <c r="K435" s="2100"/>
      <c r="L435" s="2100"/>
      <c r="M435" s="2100"/>
      <c r="N435" s="2100"/>
      <c r="O435" s="2100"/>
      <c r="P435" s="2101"/>
      <c r="Q435" s="2101"/>
      <c r="R435" s="2101"/>
      <c r="S435" s="2102"/>
      <c r="T435" s="2102"/>
      <c r="U435" s="2102"/>
      <c r="V435" s="2102"/>
      <c r="W435" s="2101"/>
      <c r="X435" s="2100"/>
      <c r="Y435" s="2100"/>
      <c r="Z435" s="2102"/>
      <c r="AA435" s="2102"/>
      <c r="AB435" s="2101"/>
      <c r="AC435" s="2100"/>
      <c r="AD435" s="2100"/>
      <c r="AE435" s="2102"/>
      <c r="AF435" s="2102"/>
      <c r="AG435" s="2102"/>
      <c r="AH435" s="2100"/>
      <c r="AI435" s="2100"/>
      <c r="AJ435" s="2102"/>
      <c r="AK435" s="2102"/>
      <c r="AL435" s="2102">
        <f>SUM(AL429:AL434)</f>
        <v>15061</v>
      </c>
      <c r="AM435" s="2102">
        <f>SUM(AM429:AM434)</f>
        <v>16629</v>
      </c>
      <c r="AN435" s="2102">
        <f>SUM(AN429:AN434)</f>
        <v>13648</v>
      </c>
      <c r="AO435" s="2102">
        <f>SUM(AO429:AO434)</f>
        <v>13099</v>
      </c>
      <c r="AP435" s="2103"/>
      <c r="AQ435" s="2103"/>
      <c r="AR435" s="2103"/>
      <c r="AS435" s="2103"/>
      <c r="AT435" s="2103"/>
      <c r="AU435" s="2103"/>
      <c r="AV435" s="2103"/>
      <c r="AW435" s="2103"/>
      <c r="AX435" s="2103"/>
      <c r="AY435" s="2103"/>
      <c r="AZ435" s="2104"/>
      <c r="BA435" s="2103"/>
      <c r="BB435" s="2103"/>
      <c r="BC435" s="2103"/>
      <c r="BD435" s="2103"/>
      <c r="BE435" s="2104"/>
      <c r="BF435" s="2103"/>
      <c r="BG435" s="2103"/>
      <c r="BH435" s="2103"/>
      <c r="BI435" s="2103"/>
      <c r="BJ435" s="2104"/>
      <c r="BK435" s="2103"/>
      <c r="BL435" s="2103"/>
      <c r="BM435" s="2103"/>
      <c r="BN435" s="2103"/>
      <c r="BO435" s="2104"/>
      <c r="BP435" s="2103"/>
      <c r="BQ435" s="2103"/>
      <c r="BR435" s="2103"/>
      <c r="BS435" s="2103"/>
      <c r="BT435" s="2104"/>
      <c r="BU435" s="2103"/>
      <c r="BV435" s="2103"/>
      <c r="BW435" s="2103"/>
      <c r="BX435" s="2103"/>
      <c r="BY435" s="2104"/>
      <c r="BZ435" s="2103"/>
      <c r="CA435" s="2103"/>
      <c r="CB435" s="2103"/>
      <c r="CC435" s="2103"/>
      <c r="CD435" s="2104"/>
      <c r="CE435" s="2103"/>
      <c r="CF435" s="2103"/>
      <c r="CG435" s="2103"/>
      <c r="CH435" s="2103"/>
      <c r="CI435" s="2104"/>
      <c r="CJ435" s="2103"/>
      <c r="CK435" s="2103"/>
      <c r="CL435" s="2103"/>
      <c r="CM435" s="2103"/>
      <c r="CN435" s="2104"/>
      <c r="CO435" s="2103"/>
      <c r="CP435" s="2103"/>
      <c r="CQ435" s="2103"/>
      <c r="CR435" s="2103"/>
      <c r="CS435" s="2104"/>
      <c r="CT435" s="2103"/>
      <c r="CU435" s="2103"/>
      <c r="CV435" s="2103"/>
      <c r="CW435" s="2103"/>
      <c r="CX435" s="2104"/>
      <c r="CY435" s="2100"/>
      <c r="CZ435" s="2100"/>
      <c r="DA435" s="2100"/>
      <c r="DB435" s="2100"/>
      <c r="DC435" s="2100"/>
      <c r="DD435" s="2100"/>
      <c r="DE435" s="2100"/>
      <c r="DF435" s="2100"/>
      <c r="DG435" s="2100"/>
      <c r="DH435" s="2105"/>
      <c r="DI435" s="2106"/>
      <c r="DJ435" s="2105"/>
      <c r="DK435" s="2107"/>
      <c r="DL435" s="2107"/>
      <c r="DM435" s="2104"/>
      <c r="DN435" s="2104"/>
      <c r="DO435" s="2104"/>
      <c r="DP435" s="2104"/>
      <c r="DQ435" s="2104"/>
      <c r="DR435" s="3067"/>
    </row>
    <row r="436" spans="1:122" hidden="1" outlineLevel="3">
      <c r="A436" s="1884"/>
      <c r="B436" s="1884"/>
      <c r="C436" s="1884"/>
      <c r="D436" s="1884"/>
      <c r="E436" s="1884"/>
      <c r="F436" s="1884"/>
      <c r="G436" s="1884"/>
      <c r="H436" s="1884"/>
      <c r="I436" s="1884"/>
      <c r="J436" s="1884"/>
      <c r="K436" s="1884"/>
      <c r="L436" s="1884"/>
      <c r="M436" s="1884"/>
      <c r="N436" s="1884"/>
      <c r="O436" s="1884"/>
      <c r="P436" s="1884"/>
      <c r="Q436" s="1884"/>
      <c r="R436" s="1884"/>
      <c r="S436" s="1884"/>
      <c r="T436" s="1884"/>
      <c r="U436" s="1884"/>
      <c r="V436" s="1884"/>
      <c r="W436" s="1884"/>
      <c r="X436" s="1884"/>
      <c r="Y436" s="1884"/>
      <c r="Z436" s="1884"/>
      <c r="AA436" s="1884"/>
      <c r="AB436" s="1884"/>
      <c r="AC436" s="1884"/>
      <c r="AD436" s="1884"/>
      <c r="AE436" s="1884"/>
      <c r="AF436" s="1884"/>
      <c r="AG436" s="1884"/>
      <c r="AH436" s="1884"/>
      <c r="AI436" s="1884"/>
      <c r="AJ436" s="1884"/>
      <c r="AK436" s="1884"/>
      <c r="AL436" s="1884"/>
      <c r="AM436" s="1884"/>
      <c r="AN436" s="1884"/>
      <c r="AO436" s="1884"/>
      <c r="AP436" s="1884"/>
      <c r="AQ436" s="1884"/>
      <c r="AR436" s="1884"/>
      <c r="AS436" s="1884"/>
      <c r="AT436" s="1884"/>
      <c r="AU436" s="1884"/>
      <c r="AV436" s="1884"/>
      <c r="AW436" s="1884"/>
      <c r="AX436" s="1884"/>
      <c r="AY436" s="1884"/>
      <c r="AZ436" s="2113"/>
      <c r="BA436" s="1884"/>
      <c r="BB436" s="1884"/>
      <c r="BC436" s="1884"/>
      <c r="BD436" s="1884"/>
      <c r="BE436" s="2113"/>
      <c r="BF436" s="1884"/>
      <c r="BG436" s="1884"/>
      <c r="BH436" s="1884"/>
      <c r="BI436" s="1884"/>
      <c r="BJ436" s="2113"/>
      <c r="BK436" s="1884"/>
      <c r="BL436" s="1884"/>
      <c r="BM436" s="1884"/>
      <c r="BN436" s="1884"/>
      <c r="BO436" s="2113"/>
      <c r="BP436" s="1884"/>
      <c r="BQ436" s="1884"/>
      <c r="BR436" s="1884"/>
      <c r="BS436" s="1884"/>
      <c r="BT436" s="2113"/>
      <c r="BU436" s="2818"/>
      <c r="BV436" s="2818"/>
      <c r="BW436" s="2818"/>
      <c r="BX436" s="2818"/>
      <c r="BY436" s="2819"/>
      <c r="BZ436" s="2818"/>
      <c r="CA436" s="2818"/>
      <c r="CB436" s="2818"/>
      <c r="CC436" s="2818"/>
      <c r="CD436" s="2819"/>
      <c r="CE436" s="1884"/>
      <c r="CF436" s="1884"/>
      <c r="CG436" s="1884"/>
      <c r="CH436" s="1884"/>
      <c r="CI436" s="2113"/>
      <c r="CJ436" s="1884"/>
      <c r="CK436" s="1884"/>
      <c r="CL436" s="1884"/>
      <c r="CM436" s="1884"/>
      <c r="CN436" s="2113"/>
      <c r="CO436" s="1884"/>
      <c r="CP436" s="1884"/>
      <c r="CQ436" s="1884"/>
      <c r="CR436" s="1884"/>
      <c r="CS436" s="2113"/>
      <c r="CT436" s="1884"/>
      <c r="CU436" s="1884"/>
      <c r="CV436" s="1884"/>
      <c r="CW436" s="1884"/>
      <c r="CX436" s="2113"/>
      <c r="CY436" s="1884"/>
      <c r="CZ436" s="1884"/>
      <c r="DA436" s="1884"/>
      <c r="DB436" s="1884"/>
      <c r="DC436" s="1884"/>
      <c r="DD436" s="1884"/>
      <c r="DE436" s="1884"/>
      <c r="DF436" s="1884"/>
      <c r="DG436" s="1884"/>
      <c r="DH436" s="2114"/>
      <c r="DI436" s="2113"/>
      <c r="DJ436" s="2114"/>
      <c r="DK436" s="2114"/>
      <c r="DL436" s="2114"/>
      <c r="DM436" s="2113"/>
      <c r="DN436" s="2113"/>
      <c r="DO436" s="2113"/>
      <c r="DP436" s="2113"/>
      <c r="DQ436" s="2113"/>
      <c r="DR436" s="3069"/>
    </row>
    <row r="437" spans="1:122" hidden="1" outlineLevel="3">
      <c r="A437" s="1884"/>
      <c r="B437" s="1884"/>
      <c r="C437" s="1884"/>
      <c r="D437" s="1884"/>
      <c r="E437" s="1884"/>
      <c r="F437" s="1884"/>
      <c r="G437" s="1884"/>
      <c r="H437" s="1884"/>
      <c r="I437" s="1884"/>
      <c r="J437" s="1884"/>
      <c r="K437" s="1884"/>
      <c r="L437" s="1884"/>
      <c r="M437" s="1884"/>
      <c r="N437" s="1884"/>
      <c r="O437" s="1884"/>
      <c r="P437" s="1884"/>
      <c r="Q437" s="1884"/>
      <c r="R437" s="1884"/>
      <c r="S437" s="1884"/>
      <c r="T437" s="1884"/>
      <c r="U437" s="1884"/>
      <c r="V437" s="1884"/>
      <c r="W437" s="1884"/>
      <c r="X437" s="1884"/>
      <c r="Y437" s="1884"/>
      <c r="Z437" s="1884"/>
      <c r="AA437" s="1884"/>
      <c r="AB437" s="1884"/>
      <c r="AC437" s="1884"/>
      <c r="AD437" s="1884"/>
      <c r="AE437" s="1884"/>
      <c r="AF437" s="1884"/>
      <c r="AG437" s="1884"/>
      <c r="AH437" s="1884"/>
      <c r="AI437" s="1884"/>
      <c r="AJ437" s="1884"/>
      <c r="AK437" s="1884"/>
      <c r="AL437" s="1884"/>
      <c r="AM437" s="1884"/>
      <c r="AN437" s="1884"/>
      <c r="AO437" s="1884"/>
      <c r="AP437" s="1884"/>
      <c r="AQ437" s="1884"/>
      <c r="AR437" s="1884"/>
      <c r="AS437" s="1884"/>
      <c r="AT437" s="1884"/>
      <c r="AU437" s="1884"/>
      <c r="AV437" s="1884"/>
      <c r="AW437" s="1884"/>
      <c r="AX437" s="1884"/>
      <c r="AY437" s="1884"/>
      <c r="AZ437" s="2113"/>
      <c r="BA437" s="1884"/>
      <c r="BB437" s="1884"/>
      <c r="BC437" s="1884"/>
      <c r="BD437" s="1884"/>
      <c r="BE437" s="2113"/>
      <c r="BF437" s="1884"/>
      <c r="BG437" s="1884"/>
      <c r="BH437" s="1884"/>
      <c r="BI437" s="1884"/>
      <c r="BJ437" s="2113"/>
      <c r="BK437" s="1884"/>
      <c r="BL437" s="1884"/>
      <c r="BM437" s="1884"/>
      <c r="BN437" s="1884"/>
      <c r="BO437" s="2113"/>
      <c r="BP437" s="1884"/>
      <c r="BQ437" s="1884"/>
      <c r="BR437" s="1884"/>
      <c r="BS437" s="1884"/>
      <c r="BT437" s="2113"/>
      <c r="BU437" s="2818"/>
      <c r="BV437" s="2818"/>
      <c r="BW437" s="2818"/>
      <c r="BX437" s="2818"/>
      <c r="BY437" s="2819"/>
      <c r="BZ437" s="2818"/>
      <c r="CA437" s="2818"/>
      <c r="CB437" s="2818"/>
      <c r="CC437" s="2818"/>
      <c r="CD437" s="2819"/>
      <c r="CE437" s="1884"/>
      <c r="CF437" s="1884"/>
      <c r="CG437" s="1884"/>
      <c r="CH437" s="1884"/>
      <c r="CI437" s="2113"/>
      <c r="CJ437" s="1884"/>
      <c r="CK437" s="1884"/>
      <c r="CL437" s="1884"/>
      <c r="CM437" s="1884"/>
      <c r="CN437" s="2113"/>
      <c r="CO437" s="1884"/>
      <c r="CP437" s="1884"/>
      <c r="CQ437" s="1884"/>
      <c r="CR437" s="1884"/>
      <c r="CS437" s="2113"/>
      <c r="CT437" s="1884"/>
      <c r="CU437" s="1884"/>
      <c r="CV437" s="1884"/>
      <c r="CW437" s="1884"/>
      <c r="CX437" s="2113"/>
      <c r="CY437" s="1884"/>
      <c r="CZ437" s="1884"/>
      <c r="DA437" s="1884"/>
      <c r="DB437" s="1884"/>
      <c r="DC437" s="1884"/>
      <c r="DD437" s="1884"/>
      <c r="DE437" s="1884"/>
      <c r="DF437" s="1884"/>
      <c r="DG437" s="1884"/>
      <c r="DH437" s="2114"/>
      <c r="DI437" s="2113"/>
      <c r="DJ437" s="2114"/>
      <c r="DK437" s="2114"/>
      <c r="DL437" s="2114"/>
      <c r="DM437" s="2113"/>
      <c r="DN437" s="2113"/>
      <c r="DO437" s="2113"/>
      <c r="DP437" s="2113"/>
      <c r="DQ437" s="2113"/>
      <c r="DR437" s="3069"/>
    </row>
    <row r="438" spans="1:122" hidden="1" outlineLevel="2">
      <c r="A438" s="1900"/>
      <c r="B438" s="1884"/>
      <c r="C438" s="1884"/>
      <c r="D438" s="1884"/>
      <c r="E438" s="1884"/>
      <c r="F438" s="1884"/>
      <c r="G438" s="1884"/>
      <c r="H438" s="1884"/>
      <c r="I438" s="1884"/>
      <c r="J438" s="1884"/>
      <c r="K438" s="1884"/>
      <c r="L438" s="1884"/>
      <c r="M438" s="1884"/>
      <c r="N438" s="1884"/>
      <c r="O438" s="1884"/>
      <c r="P438" s="1884"/>
      <c r="Q438" s="1884"/>
      <c r="R438" s="1884"/>
      <c r="S438" s="1884"/>
      <c r="T438" s="1884"/>
      <c r="U438" s="1884"/>
      <c r="V438" s="1884"/>
      <c r="W438" s="1884"/>
      <c r="X438" s="1884"/>
      <c r="Y438" s="1884"/>
      <c r="Z438" s="1884"/>
      <c r="AA438" s="1884"/>
      <c r="AB438" s="1884"/>
      <c r="AC438" s="1884"/>
      <c r="AD438" s="1884"/>
      <c r="AE438" s="1884"/>
      <c r="AF438" s="1884"/>
      <c r="AG438" s="1884"/>
      <c r="AH438" s="1884"/>
      <c r="AI438" s="1884"/>
      <c r="AJ438" s="1884"/>
      <c r="AK438" s="1884"/>
      <c r="AL438" s="1884"/>
      <c r="AM438" s="1884"/>
      <c r="AN438" s="1884"/>
      <c r="AO438" s="1884"/>
      <c r="AP438" s="1884"/>
      <c r="AQ438" s="1884"/>
      <c r="AR438" s="1884"/>
      <c r="AS438" s="1884"/>
      <c r="AT438" s="1884"/>
      <c r="AU438" s="1884"/>
      <c r="AV438" s="1884"/>
      <c r="AW438" s="1884"/>
      <c r="AX438" s="1884"/>
      <c r="AY438" s="1884"/>
      <c r="AZ438" s="2113"/>
      <c r="BA438" s="1884"/>
      <c r="BB438" s="1884"/>
      <c r="BC438" s="1884"/>
      <c r="BD438" s="1884"/>
      <c r="BE438" s="2113"/>
      <c r="BF438" s="1884"/>
      <c r="BG438" s="1884"/>
      <c r="BH438" s="1884"/>
      <c r="BI438" s="1884"/>
      <c r="BJ438" s="2113"/>
      <c r="BK438" s="1884"/>
      <c r="BL438" s="1884"/>
      <c r="BM438" s="1884"/>
      <c r="BN438" s="1884"/>
      <c r="BO438" s="2113"/>
      <c r="BP438" s="1884"/>
      <c r="BQ438" s="1884"/>
      <c r="BR438" s="1884"/>
      <c r="BS438" s="1884"/>
      <c r="BT438" s="2113"/>
      <c r="BU438" s="2818"/>
      <c r="BV438" s="2818"/>
      <c r="BW438" s="2818"/>
      <c r="BX438" s="2818"/>
      <c r="BY438" s="2819"/>
      <c r="BZ438" s="2818"/>
      <c r="CA438" s="2818"/>
      <c r="CB438" s="2818"/>
      <c r="CC438" s="2818"/>
      <c r="CD438" s="2819"/>
      <c r="CE438" s="1884"/>
      <c r="CF438" s="1884"/>
      <c r="CG438" s="1884"/>
      <c r="CH438" s="1884"/>
      <c r="CI438" s="2113"/>
      <c r="CJ438" s="1884"/>
      <c r="CK438" s="1884"/>
      <c r="CL438" s="1884"/>
      <c r="CM438" s="1884"/>
      <c r="CN438" s="2113"/>
      <c r="CO438" s="1884"/>
      <c r="CP438" s="1884"/>
      <c r="CQ438" s="1884"/>
      <c r="CR438" s="1884"/>
      <c r="CS438" s="2113"/>
      <c r="CT438" s="1884"/>
      <c r="CU438" s="1884"/>
      <c r="CV438" s="1884"/>
      <c r="CW438" s="1884"/>
      <c r="CX438" s="2113"/>
      <c r="CY438" s="1884"/>
      <c r="CZ438" s="1884"/>
      <c r="DA438" s="1884"/>
      <c r="DB438" s="1884"/>
      <c r="DC438" s="1884"/>
      <c r="DD438" s="1884"/>
      <c r="DE438" s="1884"/>
      <c r="DF438" s="1884"/>
      <c r="DG438" s="1884"/>
      <c r="DH438" s="2114"/>
      <c r="DI438" s="2113"/>
      <c r="DJ438" s="2114"/>
      <c r="DK438" s="2114"/>
      <c r="DL438" s="2114"/>
      <c r="DM438" s="2113"/>
      <c r="DN438" s="2113"/>
      <c r="DO438" s="2113"/>
      <c r="DP438" s="2113"/>
      <c r="DQ438" s="2113"/>
      <c r="DR438" s="3069"/>
    </row>
    <row r="439" spans="1:122" hidden="1" outlineLevel="2">
      <c r="A439" s="32"/>
      <c r="AZ439" s="1360"/>
      <c r="BE439" s="1367"/>
      <c r="BJ439" s="1360"/>
      <c r="BO439" s="1360"/>
      <c r="BT439" s="1360"/>
      <c r="BU439" s="2820"/>
      <c r="BV439" s="2820"/>
      <c r="BW439" s="2820"/>
      <c r="BX439" s="2820"/>
      <c r="BY439" s="2821"/>
      <c r="BZ439" s="2820"/>
      <c r="CA439" s="2820"/>
      <c r="CB439" s="2820"/>
      <c r="CC439" s="2820"/>
      <c r="CD439" s="2821"/>
      <c r="CI439" s="1360"/>
      <c r="CN439" s="1360"/>
      <c r="CS439" s="1360"/>
      <c r="CX439" s="1360"/>
      <c r="DH439" s="1396"/>
      <c r="DI439" s="1360"/>
      <c r="DJ439" s="1396"/>
      <c r="DK439" s="1396"/>
      <c r="DL439" s="1396"/>
      <c r="DM439" s="1360"/>
      <c r="DN439" s="1360"/>
      <c r="DO439" s="1360"/>
      <c r="DP439" s="1360"/>
      <c r="DQ439" s="1360"/>
      <c r="DR439" s="1399"/>
    </row>
    <row r="440" spans="1:122" hidden="1" outlineLevel="2">
      <c r="A440" s="32"/>
      <c r="AZ440" s="1360"/>
      <c r="BE440" s="1367"/>
      <c r="BJ440" s="1360"/>
      <c r="BO440" s="1360"/>
      <c r="BT440" s="1360"/>
      <c r="BU440" s="2820"/>
      <c r="BV440" s="2820"/>
      <c r="BW440" s="2820"/>
      <c r="BX440" s="2820"/>
      <c r="BY440" s="2821"/>
      <c r="BZ440" s="2820"/>
      <c r="CA440" s="2820"/>
      <c r="CB440" s="2820"/>
      <c r="CC440" s="2820"/>
      <c r="CD440" s="2821"/>
      <c r="CI440" s="1360"/>
      <c r="CN440" s="1360"/>
      <c r="CS440" s="1360"/>
      <c r="CX440" s="1360"/>
      <c r="DH440" s="1396"/>
      <c r="DI440" s="1360"/>
      <c r="DJ440" s="1396"/>
      <c r="DK440" s="1396"/>
      <c r="DL440" s="1396"/>
      <c r="DM440" s="1360"/>
      <c r="DN440" s="1360"/>
      <c r="DO440" s="1360"/>
      <c r="DP440" s="1360"/>
      <c r="DQ440" s="1360"/>
      <c r="DR440" s="1399"/>
    </row>
    <row r="441" spans="1:122" hidden="1" outlineLevel="2">
      <c r="A441" s="32"/>
      <c r="AZ441" s="1360"/>
      <c r="BE441" s="1367"/>
      <c r="BJ441" s="1360"/>
      <c r="BO441" s="1360"/>
      <c r="BT441" s="1360"/>
      <c r="BU441" s="2820"/>
      <c r="BV441" s="2820"/>
      <c r="BW441" s="2820"/>
      <c r="BX441" s="2820"/>
      <c r="BY441" s="2821"/>
      <c r="BZ441" s="2820"/>
      <c r="CA441" s="2820"/>
      <c r="CB441" s="2820"/>
      <c r="CC441" s="2820"/>
      <c r="CD441" s="2821"/>
      <c r="CI441" s="1360"/>
      <c r="CN441" s="1360"/>
      <c r="CS441" s="1360"/>
      <c r="CX441" s="1360"/>
      <c r="DH441" s="1396"/>
      <c r="DI441" s="1360"/>
      <c r="DJ441" s="1396"/>
      <c r="DK441" s="1396"/>
      <c r="DL441" s="1396"/>
      <c r="DM441" s="1360"/>
      <c r="DN441" s="1360"/>
      <c r="DO441" s="1360"/>
      <c r="DP441" s="1360"/>
      <c r="DQ441" s="1360"/>
      <c r="DR441" s="1399"/>
    </row>
    <row r="442" spans="1:122" hidden="1" outlineLevel="2">
      <c r="A442" s="32"/>
      <c r="AZ442" s="1360"/>
      <c r="BE442" s="1367"/>
      <c r="BJ442" s="1360"/>
      <c r="BO442" s="1360"/>
      <c r="BT442" s="1360"/>
      <c r="BU442" s="2820"/>
      <c r="BV442" s="2820"/>
      <c r="BW442" s="2820"/>
      <c r="BX442" s="2820"/>
      <c r="BY442" s="2821"/>
      <c r="BZ442" s="2820"/>
      <c r="CA442" s="2820"/>
      <c r="CB442" s="2820"/>
      <c r="CC442" s="2820"/>
      <c r="CD442" s="2821"/>
      <c r="CI442" s="1360"/>
      <c r="CN442" s="1360"/>
      <c r="CS442" s="1360"/>
      <c r="CX442" s="1360"/>
      <c r="DH442" s="1396"/>
      <c r="DI442" s="1360"/>
      <c r="DJ442" s="1396"/>
      <c r="DK442" s="1396"/>
      <c r="DL442" s="1396"/>
      <c r="DM442" s="1360"/>
      <c r="DN442" s="1360"/>
      <c r="DO442" s="1360"/>
      <c r="DP442" s="1360"/>
      <c r="DQ442" s="1360"/>
      <c r="DR442" s="1399"/>
    </row>
    <row r="443" spans="1:122" hidden="1" outlineLevel="2">
      <c r="AZ443" s="1360"/>
      <c r="BE443" s="1367"/>
      <c r="BJ443" s="1360"/>
      <c r="BO443" s="1360"/>
      <c r="BT443" s="1360"/>
      <c r="BU443" s="2820"/>
      <c r="BV443" s="2820"/>
      <c r="BW443" s="2820"/>
      <c r="BX443" s="2820"/>
      <c r="BY443" s="2821"/>
      <c r="BZ443" s="2820"/>
      <c r="CA443" s="2820"/>
      <c r="CB443" s="2820"/>
      <c r="CC443" s="2820"/>
      <c r="CD443" s="2821"/>
      <c r="CI443" s="1360"/>
      <c r="CN443" s="1360"/>
      <c r="CS443" s="1360"/>
      <c r="CX443" s="1360"/>
      <c r="DH443" s="1396"/>
      <c r="DI443" s="1360"/>
      <c r="DJ443" s="1396"/>
      <c r="DK443" s="1396"/>
      <c r="DL443" s="1396"/>
      <c r="DM443" s="1360"/>
      <c r="DN443" s="1360"/>
      <c r="DO443" s="1360"/>
      <c r="DP443" s="1360"/>
      <c r="DQ443" s="1360"/>
      <c r="DR443" s="1399"/>
    </row>
    <row r="444" spans="1:122" hidden="1" outlineLevel="2">
      <c r="AZ444" s="1360"/>
      <c r="BE444" s="1367"/>
      <c r="BJ444" s="1360"/>
      <c r="BO444" s="1360"/>
      <c r="BT444" s="1360"/>
      <c r="BU444" s="2820"/>
      <c r="BV444" s="2820"/>
      <c r="BW444" s="2820"/>
      <c r="BX444" s="2820"/>
      <c r="BY444" s="2821"/>
      <c r="BZ444" s="2820"/>
      <c r="CA444" s="2820"/>
      <c r="CB444" s="2820"/>
      <c r="CC444" s="2820"/>
      <c r="CD444" s="2821"/>
      <c r="CI444" s="1360"/>
      <c r="CN444" s="1360"/>
      <c r="CS444" s="1360"/>
      <c r="CX444" s="1360"/>
      <c r="DH444" s="1396"/>
      <c r="DI444" s="1360"/>
      <c r="DJ444" s="1396"/>
      <c r="DK444" s="1396"/>
      <c r="DL444" s="1396"/>
      <c r="DM444" s="1360"/>
      <c r="DN444" s="1360"/>
      <c r="DO444" s="1360"/>
      <c r="DP444" s="1360"/>
      <c r="DQ444" s="1360"/>
      <c r="DR444" s="1399"/>
    </row>
    <row r="445" spans="1:122" hidden="1" outlineLevel="2">
      <c r="AZ445" s="1360"/>
      <c r="BE445" s="1367"/>
      <c r="BJ445" s="1360"/>
      <c r="BO445" s="1360"/>
      <c r="BT445" s="1360"/>
      <c r="BU445" s="2820"/>
      <c r="BV445" s="2820"/>
      <c r="BW445" s="2820"/>
      <c r="BX445" s="2820"/>
      <c r="BY445" s="2821"/>
      <c r="BZ445" s="2820"/>
      <c r="CA445" s="2820"/>
      <c r="CB445" s="2820"/>
      <c r="CC445" s="2820"/>
      <c r="CD445" s="2821"/>
      <c r="CI445" s="1360"/>
      <c r="CN445" s="1360"/>
      <c r="CS445" s="1360"/>
      <c r="CX445" s="1360"/>
      <c r="DH445" s="1396"/>
      <c r="DI445" s="1360"/>
      <c r="DJ445" s="1396"/>
      <c r="DK445" s="1396"/>
      <c r="DL445" s="1396"/>
      <c r="DM445" s="1360"/>
      <c r="DN445" s="1360"/>
      <c r="DO445" s="1360"/>
      <c r="DP445" s="1360"/>
      <c r="DQ445" s="1360"/>
      <c r="DR445" s="1399"/>
    </row>
    <row r="446" spans="1:122" hidden="1" outlineLevel="2">
      <c r="AZ446" s="1360"/>
      <c r="BE446" s="1367"/>
      <c r="BJ446" s="1360"/>
      <c r="BO446" s="1360"/>
      <c r="BT446" s="1360"/>
      <c r="BU446" s="2820"/>
      <c r="BV446" s="2820"/>
      <c r="BW446" s="2820"/>
      <c r="BX446" s="2820"/>
      <c r="BY446" s="2821"/>
      <c r="BZ446" s="2820"/>
      <c r="CA446" s="2820"/>
      <c r="CB446" s="2820"/>
      <c r="CC446" s="2820"/>
      <c r="CD446" s="2821"/>
      <c r="CI446" s="1360"/>
      <c r="CN446" s="1360"/>
      <c r="CS446" s="1360"/>
      <c r="CX446" s="1360"/>
      <c r="DH446" s="1396"/>
      <c r="DI446" s="1360"/>
      <c r="DJ446" s="1396"/>
      <c r="DK446" s="1396"/>
      <c r="DL446" s="1396"/>
      <c r="DM446" s="1360"/>
      <c r="DN446" s="1360"/>
      <c r="DO446" s="1360"/>
      <c r="DP446" s="1360"/>
      <c r="DQ446" s="1360"/>
      <c r="DR446" s="1399"/>
    </row>
    <row r="447" spans="1:122" hidden="1" outlineLevel="2">
      <c r="AZ447" s="1360"/>
      <c r="BE447" s="1367"/>
      <c r="BJ447" s="1360"/>
      <c r="BO447" s="1360"/>
      <c r="BT447" s="1360"/>
      <c r="BU447" s="2820"/>
      <c r="BV447" s="2820"/>
      <c r="BW447" s="2820"/>
      <c r="BX447" s="2820"/>
      <c r="BY447" s="2821"/>
      <c r="BZ447" s="2820"/>
      <c r="CA447" s="2820"/>
      <c r="CB447" s="2820"/>
      <c r="CC447" s="2820"/>
      <c r="CD447" s="2821"/>
      <c r="CI447" s="1360"/>
      <c r="CN447" s="1360"/>
      <c r="CS447" s="1360"/>
      <c r="CX447" s="1360"/>
      <c r="DH447" s="1396"/>
      <c r="DI447" s="1360"/>
      <c r="DJ447" s="1396"/>
      <c r="DK447" s="1396"/>
      <c r="DL447" s="1396"/>
      <c r="DM447" s="1360"/>
      <c r="DN447" s="1360"/>
      <c r="DO447" s="1360"/>
      <c r="DP447" s="1360"/>
      <c r="DQ447" s="1360"/>
      <c r="DR447" s="1399"/>
    </row>
    <row r="448" spans="1:122" hidden="1" outlineLevel="2">
      <c r="AZ448" s="1360"/>
      <c r="BE448" s="1367"/>
      <c r="BJ448" s="1360"/>
      <c r="BO448" s="1360"/>
      <c r="BT448" s="1360"/>
      <c r="BU448" s="2820"/>
      <c r="BV448" s="2820"/>
      <c r="BW448" s="2820"/>
      <c r="BX448" s="2820"/>
      <c r="BY448" s="2821"/>
      <c r="BZ448" s="2820"/>
      <c r="CA448" s="2820"/>
      <c r="CB448" s="2820"/>
      <c r="CC448" s="2820"/>
      <c r="CD448" s="2821"/>
      <c r="CI448" s="1360"/>
      <c r="CN448" s="1360"/>
      <c r="CS448" s="1360"/>
      <c r="CX448" s="1360"/>
      <c r="DH448" s="1396"/>
      <c r="DI448" s="1360"/>
      <c r="DJ448" s="1396"/>
      <c r="DK448" s="1396"/>
      <c r="DL448" s="1396"/>
      <c r="DM448" s="1360"/>
      <c r="DN448" s="1360"/>
      <c r="DO448" s="1360"/>
      <c r="DP448" s="1360"/>
      <c r="DQ448" s="1360"/>
      <c r="DR448" s="1399"/>
    </row>
    <row r="449" spans="1:148" hidden="1" outlineLevel="1">
      <c r="AZ449" s="1360"/>
      <c r="BE449" s="1367"/>
      <c r="BJ449" s="1360"/>
      <c r="BO449" s="1360"/>
      <c r="BT449" s="1360"/>
      <c r="BU449" s="2820"/>
      <c r="BV449" s="2820"/>
      <c r="BW449" s="2820"/>
      <c r="BX449" s="2820"/>
      <c r="BY449" s="2821"/>
      <c r="BZ449" s="2820"/>
      <c r="CA449" s="2820"/>
      <c r="CB449" s="2820"/>
      <c r="CC449" s="2820"/>
      <c r="CD449" s="2821"/>
      <c r="CI449" s="1360"/>
      <c r="CN449" s="1360"/>
      <c r="CS449" s="1360"/>
      <c r="CX449" s="1360"/>
      <c r="DH449" s="1396"/>
      <c r="DI449" s="1360"/>
      <c r="DJ449" s="1396"/>
      <c r="DK449" s="1396"/>
      <c r="DL449" s="1396"/>
      <c r="DM449" s="1360"/>
      <c r="DN449" s="1360"/>
      <c r="DO449" s="1360"/>
      <c r="DP449" s="1360"/>
      <c r="DQ449" s="1360"/>
      <c r="DR449" s="1399"/>
    </row>
    <row r="450" spans="1:148" s="934" customFormat="1" ht="12" collapsed="1">
      <c r="A450" s="9" t="s">
        <v>347</v>
      </c>
      <c r="B450" s="10" t="s">
        <v>109</v>
      </c>
      <c r="C450" s="11"/>
      <c r="D450" s="11"/>
      <c r="E450" s="11"/>
      <c r="F450" s="11"/>
      <c r="G450" s="10" t="s">
        <v>109</v>
      </c>
      <c r="H450" s="11"/>
      <c r="I450" s="11"/>
      <c r="J450" s="11"/>
      <c r="K450" s="11"/>
      <c r="L450" s="10" t="s">
        <v>109</v>
      </c>
      <c r="M450" s="11"/>
      <c r="N450" s="11"/>
      <c r="O450" s="11"/>
      <c r="P450" s="12"/>
      <c r="Q450" s="13" t="s">
        <v>109</v>
      </c>
      <c r="R450" s="14"/>
      <c r="S450" s="14"/>
      <c r="T450" s="15"/>
      <c r="U450" s="15"/>
      <c r="V450" s="16" t="s">
        <v>109</v>
      </c>
      <c r="W450" s="14">
        <f>'Client Unit Model'!H516</f>
        <v>0</v>
      </c>
      <c r="X450" s="14">
        <f>'Client Unit Model'!I516</f>
        <v>0</v>
      </c>
      <c r="Y450" s="14">
        <f>'Client Unit Model'!J516</f>
        <v>0</v>
      </c>
      <c r="Z450" s="14">
        <f>'Client Unit Model'!K516</f>
        <v>0</v>
      </c>
      <c r="AA450" s="14">
        <f>SUM(W450:Z450)</f>
        <v>0</v>
      </c>
      <c r="AB450" s="14">
        <f>'Client Unit Model'!L516</f>
        <v>0</v>
      </c>
      <c r="AC450" s="14">
        <f>'Client Unit Model'!M516</f>
        <v>0</v>
      </c>
      <c r="AD450" s="14">
        <f>'Client Unit Model'!N516</f>
        <v>0</v>
      </c>
      <c r="AE450" s="14">
        <f>'Client Unit Model'!O516</f>
        <v>0</v>
      </c>
      <c r="AF450" s="14">
        <f>SUM(AB450:AE450)</f>
        <v>0</v>
      </c>
      <c r="AG450" s="15"/>
      <c r="AH450" s="14"/>
      <c r="AI450" s="14"/>
      <c r="AJ450" s="15"/>
      <c r="AK450" s="16" t="s">
        <v>109</v>
      </c>
      <c r="AL450" s="15"/>
      <c r="AM450" s="14"/>
      <c r="AN450" s="14"/>
      <c r="AO450" s="15"/>
      <c r="AP450" s="16" t="s">
        <v>109</v>
      </c>
      <c r="AQ450" s="17"/>
      <c r="AR450" s="17"/>
      <c r="AS450" s="17"/>
      <c r="AT450" s="17"/>
      <c r="AU450" s="16" t="s">
        <v>109</v>
      </c>
      <c r="AV450" s="17"/>
      <c r="AW450" s="17"/>
      <c r="AX450" s="17"/>
      <c r="AY450" s="17"/>
      <c r="AZ450" s="1361" t="s">
        <v>109</v>
      </c>
      <c r="BA450" s="17"/>
      <c r="BB450" s="17"/>
      <c r="BC450" s="17"/>
      <c r="BD450" s="17"/>
      <c r="BE450" s="1361" t="s">
        <v>109</v>
      </c>
      <c r="BF450" s="17"/>
      <c r="BG450" s="17"/>
      <c r="BH450" s="17"/>
      <c r="BI450" s="17"/>
      <c r="BJ450" s="1368" t="s">
        <v>109</v>
      </c>
      <c r="BK450" s="17"/>
      <c r="BL450" s="17"/>
      <c r="BM450" s="17"/>
      <c r="BN450" s="17"/>
      <c r="BO450" s="1368" t="s">
        <v>109</v>
      </c>
      <c r="BP450" s="17"/>
      <c r="BQ450" s="17"/>
      <c r="BR450" s="17"/>
      <c r="BS450" s="17"/>
      <c r="BT450" s="1357" t="s">
        <v>109</v>
      </c>
      <c r="BU450" s="17"/>
      <c r="BV450" s="17"/>
      <c r="BW450" s="17"/>
      <c r="BX450" s="17"/>
      <c r="BY450" s="1357" t="s">
        <v>109</v>
      </c>
      <c r="BZ450" s="17"/>
      <c r="CA450" s="17"/>
      <c r="CB450" s="17"/>
      <c r="CC450" s="17"/>
      <c r="CD450" s="1357" t="s">
        <v>109</v>
      </c>
      <c r="CE450" s="17"/>
      <c r="CF450" s="17"/>
      <c r="CG450" s="17"/>
      <c r="CH450" s="17"/>
      <c r="CI450" s="1357" t="s">
        <v>109</v>
      </c>
      <c r="CJ450" s="17"/>
      <c r="CK450" s="17"/>
      <c r="CL450" s="17"/>
      <c r="CM450" s="17"/>
      <c r="CN450" s="1357" t="s">
        <v>109</v>
      </c>
      <c r="CO450" s="17"/>
      <c r="CP450" s="17"/>
      <c r="CQ450" s="17"/>
      <c r="CR450" s="17"/>
      <c r="CS450" s="1357" t="s">
        <v>109</v>
      </c>
      <c r="CT450" s="17"/>
      <c r="CU450" s="17"/>
      <c r="CV450" s="17"/>
      <c r="CW450" s="17"/>
      <c r="CX450" s="1357" t="s">
        <v>109</v>
      </c>
      <c r="CY450" s="15"/>
      <c r="CZ450" s="15"/>
      <c r="DA450" s="16" t="s">
        <v>820</v>
      </c>
      <c r="DB450" s="16" t="s">
        <v>820</v>
      </c>
      <c r="DC450" s="16" t="s">
        <v>820</v>
      </c>
      <c r="DD450" s="16" t="s">
        <v>820</v>
      </c>
      <c r="DE450" s="16" t="s">
        <v>820</v>
      </c>
      <c r="DF450" s="16" t="s">
        <v>820</v>
      </c>
      <c r="DG450" s="16" t="s">
        <v>820</v>
      </c>
      <c r="DH450" s="1395" t="s">
        <v>820</v>
      </c>
      <c r="DI450" s="1368" t="s">
        <v>820</v>
      </c>
      <c r="DJ450" s="1395" t="s">
        <v>820</v>
      </c>
      <c r="DK450" s="1410" t="s">
        <v>820</v>
      </c>
      <c r="DL450" s="1410" t="s">
        <v>820</v>
      </c>
      <c r="DM450" s="1357" t="s">
        <v>820</v>
      </c>
      <c r="DN450" s="1357" t="s">
        <v>820</v>
      </c>
      <c r="DO450" s="1357"/>
      <c r="DP450" s="1357"/>
      <c r="DQ450" s="1357"/>
      <c r="DR450" s="3071"/>
      <c r="DS450" s="264"/>
      <c r="DT450" s="264"/>
      <c r="DU450" s="264"/>
      <c r="DV450" s="264"/>
      <c r="DW450" s="264"/>
      <c r="DX450" s="264"/>
      <c r="DY450" s="264"/>
      <c r="DZ450" s="264"/>
      <c r="EA450" s="264"/>
      <c r="EB450" s="264"/>
      <c r="EC450" s="264"/>
      <c r="ED450" s="264"/>
      <c r="EE450" s="264"/>
      <c r="EF450" s="264"/>
      <c r="EG450" s="264"/>
      <c r="EH450" s="264"/>
      <c r="EI450" s="264"/>
      <c r="EJ450" s="264"/>
      <c r="EK450" s="264"/>
      <c r="EL450" s="264"/>
      <c r="EM450" s="264"/>
      <c r="EN450" s="264"/>
      <c r="EO450" s="264"/>
      <c r="EP450" s="264"/>
      <c r="EQ450" s="264"/>
      <c r="ER450" s="264"/>
    </row>
    <row r="451" spans="1:148" s="934" customFormat="1" ht="12">
      <c r="A451" s="19"/>
      <c r="B451" s="20">
        <v>2001</v>
      </c>
      <c r="C451" s="21">
        <v>37164</v>
      </c>
      <c r="D451" s="21">
        <v>37256</v>
      </c>
      <c r="E451" s="21">
        <v>37316</v>
      </c>
      <c r="F451" s="21">
        <v>37408</v>
      </c>
      <c r="G451" s="20">
        <v>2002</v>
      </c>
      <c r="H451" s="21">
        <v>37529</v>
      </c>
      <c r="I451" s="21">
        <v>37621</v>
      </c>
      <c r="J451" s="21">
        <v>37681</v>
      </c>
      <c r="K451" s="21">
        <v>37773</v>
      </c>
      <c r="L451" s="20">
        <v>2003</v>
      </c>
      <c r="M451" s="21">
        <v>37894</v>
      </c>
      <c r="N451" s="21">
        <v>37986</v>
      </c>
      <c r="O451" s="21">
        <v>38047</v>
      </c>
      <c r="P451" s="22">
        <v>38139</v>
      </c>
      <c r="Q451" s="23">
        <v>2004</v>
      </c>
      <c r="R451" s="21">
        <v>38260</v>
      </c>
      <c r="S451" s="24">
        <v>38352</v>
      </c>
      <c r="T451" s="21">
        <v>38412</v>
      </c>
      <c r="U451" s="21">
        <v>38504</v>
      </c>
      <c r="V451" s="25">
        <v>2005</v>
      </c>
      <c r="W451" s="21">
        <v>38625</v>
      </c>
      <c r="X451" s="24">
        <v>38717</v>
      </c>
      <c r="Y451" s="24">
        <v>38777</v>
      </c>
      <c r="Z451" s="21">
        <v>38869</v>
      </c>
      <c r="AA451" s="25">
        <v>2006</v>
      </c>
      <c r="AB451" s="21">
        <v>38990</v>
      </c>
      <c r="AC451" s="24">
        <v>39082</v>
      </c>
      <c r="AD451" s="24">
        <v>39142</v>
      </c>
      <c r="AE451" s="21">
        <v>39234</v>
      </c>
      <c r="AF451" s="180">
        <v>2007</v>
      </c>
      <c r="AG451" s="21">
        <v>39355</v>
      </c>
      <c r="AH451" s="24">
        <v>39447</v>
      </c>
      <c r="AI451" s="24">
        <v>39508</v>
      </c>
      <c r="AJ451" s="21">
        <v>39600</v>
      </c>
      <c r="AK451" s="180">
        <v>2008</v>
      </c>
      <c r="AL451" s="21">
        <v>39692</v>
      </c>
      <c r="AM451" s="24">
        <v>39783</v>
      </c>
      <c r="AN451" s="24">
        <v>39873</v>
      </c>
      <c r="AO451" s="21">
        <v>39965</v>
      </c>
      <c r="AP451" s="180">
        <v>2009</v>
      </c>
      <c r="AQ451" s="21">
        <v>40057</v>
      </c>
      <c r="AR451" s="199">
        <f>IS!DF353</f>
        <v>0</v>
      </c>
      <c r="AS451" s="199">
        <f>IS!DG353</f>
        <v>0</v>
      </c>
      <c r="AT451" s="199">
        <f>IS!DH353</f>
        <v>0</v>
      </c>
      <c r="AU451" s="180">
        <v>2010</v>
      </c>
      <c r="AV451" s="21">
        <v>40422</v>
      </c>
      <c r="AW451" s="21">
        <v>40513</v>
      </c>
      <c r="AX451" s="21">
        <v>40603</v>
      </c>
      <c r="AY451" s="199">
        <f>IS!DM353</f>
        <v>0</v>
      </c>
      <c r="AZ451" s="1362">
        <v>2011</v>
      </c>
      <c r="BA451" s="21">
        <v>40787</v>
      </c>
      <c r="BB451" s="21">
        <v>40878</v>
      </c>
      <c r="BC451" s="21">
        <v>40969</v>
      </c>
      <c r="BD451" s="21">
        <v>41061</v>
      </c>
      <c r="BE451" s="1362">
        <v>2012</v>
      </c>
      <c r="BF451" s="21">
        <v>41153</v>
      </c>
      <c r="BG451" s="21">
        <v>41244</v>
      </c>
      <c r="BH451" s="21">
        <v>41334</v>
      </c>
      <c r="BI451" s="21">
        <v>41426</v>
      </c>
      <c r="BJ451" s="1362">
        <f t="shared" ref="BJ451:CI451" si="566">BJ7</f>
        <v>2013</v>
      </c>
      <c r="BK451" s="21" t="str">
        <f t="shared" si="566"/>
        <v>Sep-13</v>
      </c>
      <c r="BL451" s="21" t="str">
        <f t="shared" si="566"/>
        <v>Dec-13</v>
      </c>
      <c r="BM451" s="21" t="str">
        <f t="shared" si="566"/>
        <v>Mar-14</v>
      </c>
      <c r="BN451" s="21" t="str">
        <f t="shared" si="566"/>
        <v>Jun-14</v>
      </c>
      <c r="BO451" s="1362" t="str">
        <f t="shared" si="566"/>
        <v>2014</v>
      </c>
      <c r="BP451" s="21" t="str">
        <f t="shared" si="566"/>
        <v>Sep-14</v>
      </c>
      <c r="BQ451" s="21" t="str">
        <f t="shared" si="566"/>
        <v>Dec-14</v>
      </c>
      <c r="BR451" s="21" t="str">
        <f t="shared" si="566"/>
        <v>Mar-15</v>
      </c>
      <c r="BS451" s="21" t="str">
        <f t="shared" si="566"/>
        <v>Jun-15</v>
      </c>
      <c r="BT451" s="1359" t="str">
        <f t="shared" si="566"/>
        <v>2015</v>
      </c>
      <c r="BU451" s="21" t="str">
        <f t="shared" si="566"/>
        <v>Sep-15</v>
      </c>
      <c r="BV451" s="21" t="str">
        <f t="shared" si="566"/>
        <v>Dec-15</v>
      </c>
      <c r="BW451" s="26" t="str">
        <f t="shared" si="566"/>
        <v>Mar-16</v>
      </c>
      <c r="BX451" s="26" t="str">
        <f t="shared" si="566"/>
        <v>Jun-16</v>
      </c>
      <c r="BY451" s="1359" t="str">
        <f t="shared" si="566"/>
        <v>2016</v>
      </c>
      <c r="BZ451" s="26" t="str">
        <f t="shared" si="566"/>
        <v>Sep-16</v>
      </c>
      <c r="CA451" s="26" t="str">
        <f t="shared" si="566"/>
        <v>Dec-16</v>
      </c>
      <c r="CB451" s="26" t="str">
        <f t="shared" si="566"/>
        <v>Mar-17</v>
      </c>
      <c r="CC451" s="26" t="str">
        <f t="shared" si="566"/>
        <v>Jun-17</v>
      </c>
      <c r="CD451" s="1359" t="str">
        <f t="shared" si="566"/>
        <v>2017</v>
      </c>
      <c r="CE451" s="26" t="str">
        <f t="shared" si="566"/>
        <v>Sep-17</v>
      </c>
      <c r="CF451" s="26" t="str">
        <f t="shared" si="566"/>
        <v>Dec-17</v>
      </c>
      <c r="CG451" s="26" t="str">
        <f t="shared" si="566"/>
        <v>Mar-18</v>
      </c>
      <c r="CH451" s="26" t="str">
        <f t="shared" si="566"/>
        <v>Jun-18E</v>
      </c>
      <c r="CI451" s="1359" t="str">
        <f t="shared" si="566"/>
        <v>2018E</v>
      </c>
      <c r="CJ451" s="26" t="str">
        <f t="shared" ref="CJ451:CS451" si="567">CJ7</f>
        <v>Sep-18E</v>
      </c>
      <c r="CK451" s="26" t="str">
        <f t="shared" si="567"/>
        <v>Dec-18E</v>
      </c>
      <c r="CL451" s="26" t="str">
        <f t="shared" si="567"/>
        <v>Mar-19E</v>
      </c>
      <c r="CM451" s="26" t="str">
        <f t="shared" si="567"/>
        <v>Jun-19E</v>
      </c>
      <c r="CN451" s="1359" t="str">
        <f t="shared" si="567"/>
        <v>2019E</v>
      </c>
      <c r="CO451" s="26" t="str">
        <f t="shared" si="567"/>
        <v>Sep-19E</v>
      </c>
      <c r="CP451" s="26" t="str">
        <f t="shared" si="567"/>
        <v>Dec-19E</v>
      </c>
      <c r="CQ451" s="26" t="str">
        <f t="shared" si="567"/>
        <v>Mar-20E</v>
      </c>
      <c r="CR451" s="26" t="str">
        <f t="shared" si="567"/>
        <v>Jun-20E</v>
      </c>
      <c r="CS451" s="1359" t="str">
        <f t="shared" si="567"/>
        <v>2020E</v>
      </c>
      <c r="CT451" s="26" t="str">
        <f t="shared" ref="CT451:CX451" si="568">CT7</f>
        <v>Sep-20E</v>
      </c>
      <c r="CU451" s="26" t="str">
        <f t="shared" si="568"/>
        <v>Dec-20E</v>
      </c>
      <c r="CV451" s="26" t="str">
        <f t="shared" si="568"/>
        <v>Mar-21E</v>
      </c>
      <c r="CW451" s="26" t="str">
        <f t="shared" si="568"/>
        <v>Jun-21E</v>
      </c>
      <c r="CX451" s="1359" t="str">
        <f t="shared" si="568"/>
        <v>2021E</v>
      </c>
      <c r="CY451" s="19"/>
      <c r="CZ451" s="19"/>
      <c r="DA451" s="180">
        <v>2004</v>
      </c>
      <c r="DB451" s="180">
        <v>2005</v>
      </c>
      <c r="DC451" s="180">
        <v>2006</v>
      </c>
      <c r="DD451" s="180">
        <v>2007</v>
      </c>
      <c r="DE451" s="180">
        <v>2008</v>
      </c>
      <c r="DF451" s="180">
        <v>2009</v>
      </c>
      <c r="DG451" s="180">
        <v>2010</v>
      </c>
      <c r="DH451" s="1397">
        <v>2011</v>
      </c>
      <c r="DI451" s="1390">
        <v>2012</v>
      </c>
      <c r="DJ451" s="1397">
        <v>2013</v>
      </c>
      <c r="DK451" s="1411">
        <v>2014</v>
      </c>
      <c r="DL451" s="1411">
        <v>2015</v>
      </c>
      <c r="DM451" s="1358">
        <v>2016</v>
      </c>
      <c r="DN451" s="1358">
        <v>2017</v>
      </c>
      <c r="DO451" s="1358"/>
      <c r="DP451" s="1358"/>
      <c r="DQ451" s="1358"/>
      <c r="DR451" s="3072"/>
      <c r="DS451" s="264"/>
      <c r="DT451" s="264"/>
      <c r="DU451" s="264"/>
      <c r="DV451" s="264"/>
      <c r="DW451" s="264"/>
      <c r="DX451" s="264"/>
      <c r="DY451" s="264"/>
      <c r="DZ451" s="264"/>
      <c r="EA451" s="264"/>
      <c r="EB451" s="264"/>
      <c r="EC451" s="264"/>
      <c r="ED451" s="264"/>
      <c r="EE451" s="264"/>
      <c r="EF451" s="264"/>
      <c r="EG451" s="264"/>
      <c r="EH451" s="264"/>
      <c r="EI451" s="264"/>
      <c r="EJ451" s="264"/>
      <c r="EK451" s="264"/>
      <c r="EL451" s="264"/>
      <c r="EM451" s="264"/>
      <c r="EN451" s="264"/>
      <c r="EO451" s="264"/>
      <c r="EP451" s="264"/>
      <c r="EQ451" s="264"/>
      <c r="ER451" s="264"/>
    </row>
    <row r="452" spans="1:148" s="992" customFormat="1" ht="12" hidden="1" outlineLevel="1">
      <c r="A452" s="999" t="s">
        <v>497</v>
      </c>
      <c r="B452" s="991"/>
      <c r="C452" s="991"/>
      <c r="D452" s="991"/>
      <c r="E452" s="991"/>
      <c r="F452" s="991"/>
      <c r="G452" s="991"/>
      <c r="H452" s="991"/>
      <c r="I452" s="991"/>
      <c r="J452" s="991"/>
      <c r="K452" s="991"/>
      <c r="L452" s="991"/>
      <c r="M452" s="991"/>
      <c r="N452" s="991"/>
      <c r="O452" s="991"/>
      <c r="P452" s="991"/>
      <c r="Q452" s="991"/>
      <c r="R452" s="991"/>
      <c r="S452" s="991"/>
      <c r="T452" s="991"/>
      <c r="U452" s="991"/>
      <c r="V452" s="991"/>
      <c r="W452" s="991"/>
      <c r="X452" s="991"/>
      <c r="Y452" s="991"/>
      <c r="Z452" s="991"/>
      <c r="AA452" s="991"/>
      <c r="AB452" s="991"/>
      <c r="AC452" s="991"/>
      <c r="AD452" s="991"/>
      <c r="AE452" s="991"/>
      <c r="AF452" s="991"/>
      <c r="AG452" s="991"/>
      <c r="AH452" s="991"/>
      <c r="AI452" s="991"/>
      <c r="AJ452" s="991"/>
      <c r="AK452" s="991"/>
      <c r="AL452" s="991"/>
      <c r="AM452" s="991"/>
      <c r="AN452" s="991"/>
      <c r="AO452" s="991"/>
      <c r="AP452" s="991"/>
      <c r="AQ452" s="991"/>
      <c r="AR452" s="991"/>
      <c r="AS452" s="991"/>
      <c r="AT452" s="991"/>
      <c r="AU452" s="991"/>
      <c r="AV452" s="991"/>
      <c r="AW452" s="991"/>
      <c r="AX452" s="991"/>
      <c r="AY452" s="991"/>
      <c r="AZ452" s="1363"/>
      <c r="BA452" s="991"/>
      <c r="BB452" s="991"/>
      <c r="BC452" s="991"/>
      <c r="BD452" s="991"/>
      <c r="BE452" s="1363"/>
      <c r="BF452" s="991"/>
      <c r="BG452" s="991"/>
      <c r="BH452" s="991"/>
      <c r="BI452" s="991"/>
      <c r="BJ452" s="1363"/>
      <c r="BK452" s="991"/>
      <c r="BL452" s="991"/>
      <c r="BM452" s="991"/>
      <c r="BN452" s="991"/>
      <c r="BO452" s="1363"/>
      <c r="BP452" s="991"/>
      <c r="BQ452" s="991"/>
      <c r="BR452" s="991"/>
      <c r="BS452" s="991"/>
      <c r="BT452" s="1363"/>
      <c r="BU452" s="2822"/>
      <c r="BV452" s="2822"/>
      <c r="BW452" s="2822"/>
      <c r="BX452" s="2822"/>
      <c r="BY452" s="2823"/>
      <c r="BZ452" s="2822"/>
      <c r="CA452" s="2822"/>
      <c r="CB452" s="2822"/>
      <c r="CC452" s="2822"/>
      <c r="CD452" s="2823"/>
      <c r="CE452" s="991"/>
      <c r="CF452" s="991"/>
      <c r="CG452" s="991"/>
      <c r="CH452" s="991"/>
      <c r="CI452" s="1363"/>
      <c r="CJ452" s="991"/>
      <c r="CK452" s="991"/>
      <c r="CL452" s="991"/>
      <c r="CM452" s="991"/>
      <c r="CN452" s="1363"/>
      <c r="CO452" s="991"/>
      <c r="CP452" s="991"/>
      <c r="CQ452" s="991"/>
      <c r="CR452" s="991"/>
      <c r="CS452" s="1363"/>
      <c r="CT452" s="991"/>
      <c r="CU452" s="991"/>
      <c r="CV452" s="991"/>
      <c r="CW452" s="991"/>
      <c r="CX452" s="1363"/>
      <c r="DH452" s="1398"/>
      <c r="DI452" s="1364"/>
      <c r="DJ452" s="1398"/>
      <c r="DK452" s="1398"/>
      <c r="DL452" s="1398"/>
      <c r="DM452" s="1364"/>
      <c r="DN452" s="1364"/>
      <c r="DO452" s="1364"/>
      <c r="DP452" s="1364"/>
      <c r="DQ452" s="1364"/>
      <c r="DR452" s="997"/>
    </row>
    <row r="453" spans="1:148" s="992" customFormat="1" ht="12" hidden="1" outlineLevel="1">
      <c r="A453" s="992" t="s">
        <v>908</v>
      </c>
      <c r="AZ453" s="1364"/>
      <c r="BE453" s="1364"/>
      <c r="BJ453" s="1364"/>
      <c r="BL453" s="990">
        <v>5200</v>
      </c>
      <c r="BM453" s="990">
        <v>4100</v>
      </c>
      <c r="BN453" s="990">
        <v>4100</v>
      </c>
      <c r="BO453" s="1364"/>
      <c r="BP453" s="990">
        <v>4100</v>
      </c>
      <c r="BQ453" s="990">
        <v>4000</v>
      </c>
      <c r="BR453" s="990">
        <v>3400</v>
      </c>
      <c r="BS453" s="990">
        <v>3200</v>
      </c>
      <c r="BT453" s="1373"/>
      <c r="BU453" s="2791">
        <v>3400</v>
      </c>
      <c r="BV453" s="2791"/>
      <c r="BW453" s="2791"/>
      <c r="BX453" s="2791"/>
      <c r="BY453" s="2824"/>
      <c r="BZ453" s="2791"/>
      <c r="CA453" s="2791"/>
      <c r="CB453" s="2791"/>
      <c r="CC453" s="2791"/>
      <c r="CD453" s="2824"/>
      <c r="CE453" s="990"/>
      <c r="CF453" s="990"/>
      <c r="CG453" s="990"/>
      <c r="CH453" s="990"/>
      <c r="CI453" s="1373"/>
      <c r="CJ453" s="990"/>
      <c r="CK453" s="990"/>
      <c r="CL453" s="990"/>
      <c r="CM453" s="990"/>
      <c r="CN453" s="1373"/>
      <c r="CO453" s="990"/>
      <c r="CP453" s="990"/>
      <c r="CQ453" s="990"/>
      <c r="CR453" s="990"/>
      <c r="CS453" s="1373"/>
      <c r="CT453" s="990"/>
      <c r="CU453" s="990"/>
      <c r="CV453" s="990"/>
      <c r="CW453" s="990"/>
      <c r="CX453" s="1373"/>
      <c r="DH453" s="1398"/>
      <c r="DI453" s="1364"/>
      <c r="DJ453" s="1398"/>
      <c r="DK453" s="1398"/>
      <c r="DL453" s="1398"/>
      <c r="DM453" s="1364"/>
      <c r="DN453" s="1364"/>
      <c r="DO453" s="1364"/>
      <c r="DP453" s="1364"/>
      <c r="DQ453" s="1364"/>
      <c r="DR453" s="997"/>
    </row>
    <row r="454" spans="1:148" s="992" customFormat="1" ht="12" hidden="1" outlineLevel="1">
      <c r="A454" s="992" t="s">
        <v>907</v>
      </c>
      <c r="AZ454" s="1364"/>
      <c r="BE454" s="1364"/>
      <c r="BJ454" s="1364"/>
      <c r="BL454" s="990">
        <v>5400</v>
      </c>
      <c r="BM454" s="990">
        <v>4300</v>
      </c>
      <c r="BN454" s="990">
        <v>4300</v>
      </c>
      <c r="BO454" s="1364"/>
      <c r="BP454" s="990">
        <v>4200</v>
      </c>
      <c r="BQ454" s="990">
        <v>4200</v>
      </c>
      <c r="BR454" s="990">
        <v>3600</v>
      </c>
      <c r="BS454" s="990">
        <v>3400</v>
      </c>
      <c r="BT454" s="1373"/>
      <c r="BU454" s="2791">
        <v>3600</v>
      </c>
      <c r="BV454" s="2791"/>
      <c r="BW454" s="2791"/>
      <c r="BX454" s="2791"/>
      <c r="BY454" s="2824"/>
      <c r="BZ454" s="2791"/>
      <c r="CA454" s="2791"/>
      <c r="CB454" s="2791"/>
      <c r="CC454" s="2791"/>
      <c r="CD454" s="2824"/>
      <c r="CE454" s="990"/>
      <c r="CF454" s="990"/>
      <c r="CG454" s="990"/>
      <c r="CH454" s="990"/>
      <c r="CI454" s="1373"/>
      <c r="CJ454" s="990"/>
      <c r="CK454" s="990"/>
      <c r="CL454" s="990"/>
      <c r="CM454" s="990"/>
      <c r="CN454" s="1373"/>
      <c r="CO454" s="990"/>
      <c r="CP454" s="990"/>
      <c r="CQ454" s="990"/>
      <c r="CR454" s="990"/>
      <c r="CS454" s="1373"/>
      <c r="CT454" s="990"/>
      <c r="CU454" s="990"/>
      <c r="CV454" s="990"/>
      <c r="CW454" s="990"/>
      <c r="CX454" s="1373"/>
      <c r="DH454" s="1398"/>
      <c r="DI454" s="1364"/>
      <c r="DJ454" s="1398"/>
      <c r="DK454" s="1398"/>
      <c r="DL454" s="1398"/>
      <c r="DM454" s="1364"/>
      <c r="DN454" s="1364"/>
      <c r="DO454" s="1364"/>
      <c r="DP454" s="1364"/>
      <c r="DQ454" s="1364"/>
      <c r="DR454" s="997"/>
    </row>
    <row r="455" spans="1:148" s="992" customFormat="1" ht="12" hidden="1" outlineLevel="1">
      <c r="A455" s="994" t="s">
        <v>912</v>
      </c>
      <c r="B455" s="994"/>
      <c r="C455" s="994"/>
      <c r="D455" s="994"/>
      <c r="E455" s="994"/>
      <c r="F455" s="994"/>
      <c r="G455" s="994"/>
      <c r="H455" s="994"/>
      <c r="I455" s="994"/>
      <c r="J455" s="994"/>
      <c r="K455" s="994"/>
      <c r="L455" s="994"/>
      <c r="M455" s="994"/>
      <c r="N455" s="994"/>
      <c r="O455" s="994"/>
      <c r="P455" s="994"/>
      <c r="Q455" s="994"/>
      <c r="R455" s="994"/>
      <c r="S455" s="994"/>
      <c r="T455" s="994"/>
      <c r="U455" s="994"/>
      <c r="V455" s="994"/>
      <c r="W455" s="994"/>
      <c r="X455" s="994"/>
      <c r="Y455" s="994"/>
      <c r="Z455" s="994"/>
      <c r="AA455" s="994"/>
      <c r="AB455" s="994"/>
      <c r="AC455" s="994"/>
      <c r="AD455" s="994"/>
      <c r="AE455" s="994"/>
      <c r="AF455" s="994"/>
      <c r="AG455" s="994"/>
      <c r="AH455" s="994"/>
      <c r="AI455" s="994"/>
      <c r="AJ455" s="994"/>
      <c r="AK455" s="994"/>
      <c r="AL455" s="994"/>
      <c r="AM455" s="994"/>
      <c r="AN455" s="994"/>
      <c r="AO455" s="994"/>
      <c r="AP455" s="994"/>
      <c r="AQ455" s="994"/>
      <c r="AR455" s="994"/>
      <c r="AS455" s="994"/>
      <c r="AT455" s="994"/>
      <c r="AU455" s="994"/>
      <c r="AV455" s="994"/>
      <c r="AW455" s="994"/>
      <c r="AX455" s="994"/>
      <c r="AY455" s="994"/>
      <c r="AZ455" s="1365"/>
      <c r="BA455" s="994"/>
      <c r="BB455" s="994"/>
      <c r="BC455" s="994"/>
      <c r="BD455" s="994"/>
      <c r="BE455" s="1365"/>
      <c r="BF455" s="994"/>
      <c r="BG455" s="994"/>
      <c r="BH455" s="994"/>
      <c r="BI455" s="994"/>
      <c r="BJ455" s="1365"/>
      <c r="BK455" s="994"/>
      <c r="BL455" s="995">
        <f t="shared" ref="BL455:CI455" si="569">IF(ISERROR(BL96/AVERAGE(BL453:BL454)-1),"",(BL96/AVERAGE(BL453:BL454)-1))</f>
        <v>4.6037735849056682E-2</v>
      </c>
      <c r="BM455" s="995">
        <f t="shared" si="569"/>
        <v>9.4523809523809454E-2</v>
      </c>
      <c r="BN455" s="995">
        <f t="shared" si="569"/>
        <v>0.16738095238095241</v>
      </c>
      <c r="BO455" s="1365" t="str">
        <f t="shared" si="569"/>
        <v/>
      </c>
      <c r="BP455" s="1169">
        <f t="shared" si="569"/>
        <v>-1.3734939759036169E-2</v>
      </c>
      <c r="BQ455" s="1169">
        <f t="shared" si="569"/>
        <v>1.6341463414634161E-2</v>
      </c>
      <c r="BR455" s="1169">
        <f t="shared" si="569"/>
        <v>-6.857142857142895E-3</v>
      </c>
      <c r="BS455" s="995">
        <f t="shared" si="569"/>
        <v>-2.0303030303030267E-2</v>
      </c>
      <c r="BT455" s="1374" t="str">
        <f t="shared" si="569"/>
        <v/>
      </c>
      <c r="BU455" s="1169" t="str">
        <f t="shared" si="569"/>
        <v/>
      </c>
      <c r="BV455" s="1169" t="str">
        <f t="shared" si="569"/>
        <v/>
      </c>
      <c r="BW455" s="995" t="str">
        <f t="shared" si="569"/>
        <v/>
      </c>
      <c r="BX455" s="995" t="str">
        <f t="shared" si="569"/>
        <v/>
      </c>
      <c r="BY455" s="1374" t="str">
        <f t="shared" si="569"/>
        <v/>
      </c>
      <c r="BZ455" s="995" t="str">
        <f t="shared" si="569"/>
        <v/>
      </c>
      <c r="CA455" s="995" t="str">
        <f t="shared" si="569"/>
        <v/>
      </c>
      <c r="CB455" s="995" t="str">
        <f t="shared" si="569"/>
        <v/>
      </c>
      <c r="CC455" s="995" t="str">
        <f t="shared" si="569"/>
        <v/>
      </c>
      <c r="CD455" s="1374" t="str">
        <f t="shared" si="569"/>
        <v/>
      </c>
      <c r="CE455" s="995" t="str">
        <f t="shared" si="569"/>
        <v/>
      </c>
      <c r="CF455" s="995" t="str">
        <f t="shared" si="569"/>
        <v/>
      </c>
      <c r="CG455" s="995" t="str">
        <f t="shared" si="569"/>
        <v/>
      </c>
      <c r="CH455" s="995" t="str">
        <f t="shared" si="569"/>
        <v/>
      </c>
      <c r="CI455" s="1374" t="str">
        <f t="shared" si="569"/>
        <v/>
      </c>
      <c r="CJ455" s="995" t="str">
        <f t="shared" ref="CJ455:CS455" si="570">IF(ISERROR(CJ96/AVERAGE(CJ453:CJ454)-1),"",(CJ96/AVERAGE(CJ453:CJ454)-1))</f>
        <v/>
      </c>
      <c r="CK455" s="995" t="str">
        <f t="shared" si="570"/>
        <v/>
      </c>
      <c r="CL455" s="995" t="str">
        <f t="shared" si="570"/>
        <v/>
      </c>
      <c r="CM455" s="995" t="str">
        <f t="shared" si="570"/>
        <v/>
      </c>
      <c r="CN455" s="1374" t="str">
        <f t="shared" si="570"/>
        <v/>
      </c>
      <c r="CO455" s="995" t="str">
        <f t="shared" si="570"/>
        <v/>
      </c>
      <c r="CP455" s="995" t="str">
        <f t="shared" si="570"/>
        <v/>
      </c>
      <c r="CQ455" s="995" t="str">
        <f t="shared" si="570"/>
        <v/>
      </c>
      <c r="CR455" s="995" t="str">
        <f t="shared" si="570"/>
        <v/>
      </c>
      <c r="CS455" s="1374" t="str">
        <f t="shared" si="570"/>
        <v/>
      </c>
      <c r="CT455" s="995" t="str">
        <f t="shared" ref="CT455:CX455" si="571">IF(ISERROR(CT96/AVERAGE(CT453:CT454)-1),"",(CT96/AVERAGE(CT453:CT454)-1))</f>
        <v/>
      </c>
      <c r="CU455" s="995" t="str">
        <f t="shared" si="571"/>
        <v/>
      </c>
      <c r="CV455" s="995" t="str">
        <f t="shared" si="571"/>
        <v/>
      </c>
      <c r="CW455" s="995" t="str">
        <f t="shared" si="571"/>
        <v/>
      </c>
      <c r="CX455" s="1374" t="str">
        <f t="shared" si="571"/>
        <v/>
      </c>
      <c r="DH455" s="1398"/>
      <c r="DI455" s="1364"/>
      <c r="DJ455" s="1398"/>
      <c r="DK455" s="1398"/>
      <c r="DL455" s="1398"/>
      <c r="DM455" s="1364"/>
      <c r="DN455" s="1364"/>
      <c r="DO455" s="1364"/>
      <c r="DP455" s="1364"/>
      <c r="DQ455" s="1364"/>
      <c r="DR455" s="997"/>
    </row>
    <row r="456" spans="1:148" s="992" customFormat="1" ht="12" hidden="1" outlineLevel="1">
      <c r="AZ456" s="1364"/>
      <c r="BE456" s="1364"/>
      <c r="BJ456" s="1364"/>
      <c r="BO456" s="1364"/>
      <c r="BT456" s="1364"/>
      <c r="BU456" s="2825"/>
      <c r="BV456" s="2825"/>
      <c r="BW456" s="2825"/>
      <c r="BX456" s="2825"/>
      <c r="BY456" s="2826"/>
      <c r="BZ456" s="2825"/>
      <c r="CA456" s="2825"/>
      <c r="CB456" s="2825"/>
      <c r="CC456" s="2825"/>
      <c r="CD456" s="2826"/>
      <c r="CI456" s="1364"/>
      <c r="CN456" s="1364"/>
      <c r="CS456" s="1364"/>
      <c r="CX456" s="1364"/>
      <c r="DH456" s="1398"/>
      <c r="DI456" s="1364"/>
      <c r="DJ456" s="1398"/>
      <c r="DK456" s="1398"/>
      <c r="DL456" s="1398"/>
      <c r="DM456" s="1364"/>
      <c r="DN456" s="1364"/>
      <c r="DO456" s="1364"/>
      <c r="DP456" s="1364"/>
      <c r="DQ456" s="1364"/>
      <c r="DR456" s="997"/>
    </row>
    <row r="457" spans="1:148" s="997" customFormat="1" ht="12" hidden="1" outlineLevel="1">
      <c r="A457" s="998" t="s">
        <v>995</v>
      </c>
      <c r="B457" s="996"/>
      <c r="C457" s="996"/>
      <c r="D457" s="996"/>
      <c r="E457" s="996"/>
      <c r="F457" s="996"/>
      <c r="G457" s="996"/>
      <c r="H457" s="996"/>
      <c r="I457" s="996"/>
      <c r="J457" s="996"/>
      <c r="K457" s="996"/>
      <c r="L457" s="996"/>
      <c r="M457" s="996"/>
      <c r="N457" s="996"/>
      <c r="O457" s="996"/>
      <c r="P457" s="996"/>
      <c r="Q457" s="996"/>
      <c r="R457" s="996"/>
      <c r="S457" s="996"/>
      <c r="T457" s="996"/>
      <c r="U457" s="996"/>
      <c r="V457" s="996"/>
      <c r="W457" s="996"/>
      <c r="X457" s="996"/>
      <c r="Y457" s="996"/>
      <c r="Z457" s="996"/>
      <c r="AA457" s="996"/>
      <c r="AB457" s="996"/>
      <c r="AC457" s="996"/>
      <c r="AD457" s="996"/>
      <c r="AE457" s="996"/>
      <c r="AF457" s="996"/>
      <c r="AG457" s="996"/>
      <c r="AH457" s="996"/>
      <c r="AI457" s="996"/>
      <c r="AJ457" s="996"/>
      <c r="AK457" s="996"/>
      <c r="AL457" s="996"/>
      <c r="AM457" s="996"/>
      <c r="AN457" s="996"/>
      <c r="AO457" s="996"/>
      <c r="AP457" s="996"/>
      <c r="AQ457" s="996"/>
      <c r="AR457" s="996"/>
      <c r="AS457" s="996"/>
      <c r="AT457" s="996"/>
      <c r="AU457" s="996"/>
      <c r="AV457" s="996"/>
      <c r="AW457" s="996"/>
      <c r="AX457" s="996"/>
      <c r="AY457" s="996"/>
      <c r="AZ457" s="1366"/>
      <c r="BA457" s="996"/>
      <c r="BB457" s="996"/>
      <c r="BC457" s="996"/>
      <c r="BD457" s="996"/>
      <c r="BE457" s="1366"/>
      <c r="BF457" s="996"/>
      <c r="BG457" s="996"/>
      <c r="BH457" s="996"/>
      <c r="BI457" s="996"/>
      <c r="BJ457" s="1366"/>
      <c r="BK457" s="996"/>
      <c r="BL457" s="996"/>
      <c r="BM457" s="996"/>
      <c r="BN457" s="996"/>
      <c r="BO457" s="1366"/>
      <c r="BP457" s="996"/>
      <c r="BQ457" s="996"/>
      <c r="BR457" s="996"/>
      <c r="BS457" s="996"/>
      <c r="BT457" s="1366"/>
      <c r="BU457" s="2827"/>
      <c r="BV457" s="2827"/>
      <c r="BW457" s="2827"/>
      <c r="BX457" s="2827"/>
      <c r="BY457" s="2828"/>
      <c r="BZ457" s="2827"/>
      <c r="CA457" s="2827"/>
      <c r="CB457" s="2827"/>
      <c r="CC457" s="2827"/>
      <c r="CD457" s="2828"/>
      <c r="CE457" s="996"/>
      <c r="CF457" s="996"/>
      <c r="CG457" s="996"/>
      <c r="CH457" s="996"/>
      <c r="CI457" s="1366"/>
      <c r="CJ457" s="996"/>
      <c r="CK457" s="996"/>
      <c r="CL457" s="996"/>
      <c r="CM457" s="996"/>
      <c r="CN457" s="1366"/>
      <c r="CO457" s="996"/>
      <c r="CP457" s="996"/>
      <c r="CQ457" s="996"/>
      <c r="CR457" s="996"/>
      <c r="CS457" s="1366"/>
      <c r="CT457" s="996"/>
      <c r="CU457" s="996"/>
      <c r="CV457" s="996"/>
      <c r="CW457" s="996"/>
      <c r="CX457" s="1366"/>
      <c r="DH457" s="1398"/>
      <c r="DI457" s="1364"/>
      <c r="DJ457" s="1398"/>
      <c r="DK457" s="1398"/>
      <c r="DL457" s="1398"/>
      <c r="DM457" s="1364"/>
      <c r="DN457" s="1364"/>
      <c r="DO457" s="1364"/>
      <c r="DP457" s="1364"/>
      <c r="DQ457" s="1364"/>
    </row>
    <row r="458" spans="1:148" s="992" customFormat="1" ht="12" hidden="1" outlineLevel="1">
      <c r="A458" s="992" t="s">
        <v>908</v>
      </c>
      <c r="AZ458" s="1364"/>
      <c r="BE458" s="1364"/>
      <c r="BJ458" s="1364"/>
      <c r="BL458" s="990">
        <v>3800</v>
      </c>
      <c r="BM458" s="990">
        <v>1900</v>
      </c>
      <c r="BN458" s="990">
        <v>1300</v>
      </c>
      <c r="BO458" s="1364"/>
      <c r="BP458" s="990">
        <v>1700</v>
      </c>
      <c r="BQ458" s="990">
        <v>3500</v>
      </c>
      <c r="BR458" s="990">
        <v>1500</v>
      </c>
      <c r="BS458" s="990">
        <v>1500</v>
      </c>
      <c r="BT458" s="1373"/>
      <c r="BU458" s="2791">
        <v>2000</v>
      </c>
      <c r="BV458" s="2791"/>
      <c r="BW458" s="2791"/>
      <c r="BX458" s="2791"/>
      <c r="BY458" s="2824"/>
      <c r="BZ458" s="2791"/>
      <c r="CA458" s="2791"/>
      <c r="CB458" s="2791"/>
      <c r="CC458" s="2791"/>
      <c r="CD458" s="2824"/>
      <c r="CE458" s="990"/>
      <c r="CF458" s="990"/>
      <c r="CG458" s="990"/>
      <c r="CH458" s="990"/>
      <c r="CI458" s="1373"/>
      <c r="CJ458" s="990"/>
      <c r="CK458" s="990"/>
      <c r="CL458" s="990"/>
      <c r="CM458" s="990"/>
      <c r="CN458" s="1373"/>
      <c r="CO458" s="990"/>
      <c r="CP458" s="990"/>
      <c r="CQ458" s="990"/>
      <c r="CR458" s="990"/>
      <c r="CS458" s="1373"/>
      <c r="CT458" s="990"/>
      <c r="CU458" s="990"/>
      <c r="CV458" s="990"/>
      <c r="CW458" s="990"/>
      <c r="CX458" s="1373"/>
      <c r="DH458" s="1398"/>
      <c r="DI458" s="1364"/>
      <c r="DJ458" s="1398"/>
      <c r="DK458" s="1398"/>
      <c r="DL458" s="1398"/>
      <c r="DM458" s="1364"/>
      <c r="DN458" s="1364"/>
      <c r="DO458" s="1364"/>
      <c r="DP458" s="1364"/>
      <c r="DQ458" s="1364"/>
      <c r="DR458" s="997"/>
    </row>
    <row r="459" spans="1:148" s="992" customFormat="1" ht="12" hidden="1" outlineLevel="1">
      <c r="A459" s="992" t="s">
        <v>907</v>
      </c>
      <c r="AZ459" s="1364"/>
      <c r="BE459" s="1364"/>
      <c r="BJ459" s="1364"/>
      <c r="BL459" s="990">
        <v>4100</v>
      </c>
      <c r="BM459" s="990">
        <v>2000</v>
      </c>
      <c r="BN459" s="990">
        <v>1500</v>
      </c>
      <c r="BO459" s="1364"/>
      <c r="BP459" s="990">
        <v>2000</v>
      </c>
      <c r="BQ459" s="990">
        <v>3800</v>
      </c>
      <c r="BR459" s="990">
        <v>1700</v>
      </c>
      <c r="BS459" s="990">
        <v>1600</v>
      </c>
      <c r="BT459" s="1373"/>
      <c r="BU459" s="2791">
        <v>2100</v>
      </c>
      <c r="BV459" s="2791"/>
      <c r="BW459" s="2791"/>
      <c r="BX459" s="2791"/>
      <c r="BY459" s="2824"/>
      <c r="BZ459" s="2791"/>
      <c r="CA459" s="2791"/>
      <c r="CB459" s="2791"/>
      <c r="CC459" s="2791"/>
      <c r="CD459" s="2824"/>
      <c r="CE459" s="990"/>
      <c r="CF459" s="990"/>
      <c r="CG459" s="990"/>
      <c r="CH459" s="990"/>
      <c r="CI459" s="1373"/>
      <c r="CJ459" s="990"/>
      <c r="CK459" s="990"/>
      <c r="CL459" s="990"/>
      <c r="CM459" s="990"/>
      <c r="CN459" s="1373"/>
      <c r="CO459" s="990"/>
      <c r="CP459" s="990"/>
      <c r="CQ459" s="990"/>
      <c r="CR459" s="990"/>
      <c r="CS459" s="1373"/>
      <c r="CT459" s="990"/>
      <c r="CU459" s="990"/>
      <c r="CV459" s="990"/>
      <c r="CW459" s="990"/>
      <c r="CX459" s="1373"/>
      <c r="DH459" s="1398"/>
      <c r="DI459" s="1364"/>
      <c r="DJ459" s="1398"/>
      <c r="DK459" s="1398"/>
      <c r="DL459" s="1398"/>
      <c r="DM459" s="1364"/>
      <c r="DN459" s="1364"/>
      <c r="DO459" s="1364"/>
      <c r="DP459" s="1364"/>
      <c r="DQ459" s="1364"/>
      <c r="DR459" s="997"/>
    </row>
    <row r="460" spans="1:148" s="992" customFormat="1" ht="12" hidden="1" outlineLevel="1">
      <c r="A460" s="994" t="s">
        <v>910</v>
      </c>
      <c r="B460" s="994"/>
      <c r="C460" s="994"/>
      <c r="D460" s="994"/>
      <c r="E460" s="994"/>
      <c r="F460" s="994"/>
      <c r="G460" s="994"/>
      <c r="H460" s="994"/>
      <c r="I460" s="994"/>
      <c r="J460" s="994"/>
      <c r="K460" s="994"/>
      <c r="L460" s="994"/>
      <c r="M460" s="994"/>
      <c r="N460" s="994"/>
      <c r="O460" s="994"/>
      <c r="P460" s="994"/>
      <c r="Q460" s="994"/>
      <c r="R460" s="994"/>
      <c r="S460" s="994"/>
      <c r="T460" s="994"/>
      <c r="U460" s="994"/>
      <c r="V460" s="994"/>
      <c r="W460" s="994"/>
      <c r="X460" s="994"/>
      <c r="Y460" s="994"/>
      <c r="Z460" s="994"/>
      <c r="AA460" s="994"/>
      <c r="AB460" s="994"/>
      <c r="AC460" s="994"/>
      <c r="AD460" s="994"/>
      <c r="AE460" s="994"/>
      <c r="AF460" s="994"/>
      <c r="AG460" s="994"/>
      <c r="AH460" s="994"/>
      <c r="AI460" s="994"/>
      <c r="AJ460" s="994"/>
      <c r="AK460" s="994"/>
      <c r="AL460" s="994"/>
      <c r="AM460" s="994"/>
      <c r="AN460" s="994"/>
      <c r="AO460" s="994"/>
      <c r="AP460" s="994"/>
      <c r="AQ460" s="994"/>
      <c r="AR460" s="994"/>
      <c r="AS460" s="994"/>
      <c r="AT460" s="994"/>
      <c r="AU460" s="994"/>
      <c r="AV460" s="994"/>
      <c r="AW460" s="994"/>
      <c r="AX460" s="994"/>
      <c r="AY460" s="994"/>
      <c r="AZ460" s="1365"/>
      <c r="BA460" s="994"/>
      <c r="BB460" s="994"/>
      <c r="BC460" s="994"/>
      <c r="BD460" s="994"/>
      <c r="BE460" s="1365"/>
      <c r="BF460" s="994"/>
      <c r="BG460" s="994"/>
      <c r="BH460" s="994"/>
      <c r="BI460" s="994"/>
      <c r="BJ460" s="1365"/>
      <c r="BK460" s="994"/>
      <c r="BL460" s="995">
        <f t="shared" ref="BL460:CI460" si="572">IF(ISERROR(BL101/AVERAGE(BL458:BL459)-1),"",(BL101/AVERAGE(BL458:BL459)-1))</f>
        <v>0.1316455696202532</v>
      </c>
      <c r="BM460" s="995">
        <f t="shared" si="572"/>
        <v>-4.0000000000000036E-2</v>
      </c>
      <c r="BN460" s="995">
        <f t="shared" si="572"/>
        <v>-4.1428571428571481E-2</v>
      </c>
      <c r="BO460" s="1365" t="str">
        <f t="shared" si="572"/>
        <v/>
      </c>
      <c r="BP460" s="995">
        <f t="shared" si="572"/>
        <v>0.32594594594594595</v>
      </c>
      <c r="BQ460" s="995">
        <f t="shared" si="572"/>
        <v>9.5068493150684885E-2</v>
      </c>
      <c r="BR460" s="995">
        <f t="shared" si="572"/>
        <v>0.125</v>
      </c>
      <c r="BS460" s="995">
        <f t="shared" si="572"/>
        <v>0.24709677419354836</v>
      </c>
      <c r="BT460" s="1374" t="str">
        <f t="shared" si="572"/>
        <v/>
      </c>
      <c r="BU460" s="995" t="str">
        <f t="shared" si="572"/>
        <v/>
      </c>
      <c r="BV460" s="995" t="str">
        <f t="shared" si="572"/>
        <v/>
      </c>
      <c r="BW460" s="995" t="str">
        <f t="shared" si="572"/>
        <v/>
      </c>
      <c r="BX460" s="995" t="str">
        <f t="shared" si="572"/>
        <v/>
      </c>
      <c r="BY460" s="1374" t="str">
        <f t="shared" si="572"/>
        <v/>
      </c>
      <c r="BZ460" s="995" t="str">
        <f t="shared" si="572"/>
        <v/>
      </c>
      <c r="CA460" s="995" t="str">
        <f t="shared" si="572"/>
        <v/>
      </c>
      <c r="CB460" s="995" t="str">
        <f t="shared" si="572"/>
        <v/>
      </c>
      <c r="CC460" s="995" t="str">
        <f t="shared" si="572"/>
        <v/>
      </c>
      <c r="CD460" s="1374" t="str">
        <f t="shared" si="572"/>
        <v/>
      </c>
      <c r="CE460" s="995" t="str">
        <f t="shared" si="572"/>
        <v/>
      </c>
      <c r="CF460" s="995" t="str">
        <f t="shared" si="572"/>
        <v/>
      </c>
      <c r="CG460" s="995" t="str">
        <f t="shared" si="572"/>
        <v/>
      </c>
      <c r="CH460" s="995" t="str">
        <f t="shared" si="572"/>
        <v/>
      </c>
      <c r="CI460" s="1374" t="str">
        <f t="shared" si="572"/>
        <v/>
      </c>
      <c r="CJ460" s="995" t="str">
        <f t="shared" ref="CJ460:CS460" si="573">IF(ISERROR(CJ101/AVERAGE(CJ458:CJ459)-1),"",(CJ101/AVERAGE(CJ458:CJ459)-1))</f>
        <v/>
      </c>
      <c r="CK460" s="995" t="str">
        <f t="shared" si="573"/>
        <v/>
      </c>
      <c r="CL460" s="995" t="str">
        <f t="shared" si="573"/>
        <v/>
      </c>
      <c r="CM460" s="995" t="str">
        <f t="shared" si="573"/>
        <v/>
      </c>
      <c r="CN460" s="1374" t="str">
        <f t="shared" si="573"/>
        <v/>
      </c>
      <c r="CO460" s="995" t="str">
        <f t="shared" si="573"/>
        <v/>
      </c>
      <c r="CP460" s="995" t="str">
        <f t="shared" si="573"/>
        <v/>
      </c>
      <c r="CQ460" s="995" t="str">
        <f t="shared" si="573"/>
        <v/>
      </c>
      <c r="CR460" s="995" t="str">
        <f t="shared" si="573"/>
        <v/>
      </c>
      <c r="CS460" s="1374" t="str">
        <f t="shared" si="573"/>
        <v/>
      </c>
      <c r="CT460" s="995" t="str">
        <f t="shared" ref="CT460:CX460" si="574">IF(ISERROR(CT101/AVERAGE(CT458:CT459)-1),"",(CT101/AVERAGE(CT458:CT459)-1))</f>
        <v/>
      </c>
      <c r="CU460" s="995" t="str">
        <f t="shared" si="574"/>
        <v/>
      </c>
      <c r="CV460" s="995" t="str">
        <f t="shared" si="574"/>
        <v/>
      </c>
      <c r="CW460" s="995" t="str">
        <f t="shared" si="574"/>
        <v/>
      </c>
      <c r="CX460" s="1374" t="str">
        <f t="shared" si="574"/>
        <v/>
      </c>
      <c r="DH460" s="1398"/>
      <c r="DI460" s="1364"/>
      <c r="DJ460" s="1398"/>
      <c r="DK460" s="1398"/>
      <c r="DL460" s="1398"/>
      <c r="DM460" s="1364"/>
      <c r="DN460" s="1364"/>
      <c r="DO460" s="1364"/>
      <c r="DP460" s="1364"/>
      <c r="DQ460" s="1364"/>
      <c r="DR460" s="997"/>
    </row>
    <row r="461" spans="1:148" s="992" customFormat="1" ht="12" hidden="1" outlineLevel="1">
      <c r="AZ461" s="1364"/>
      <c r="BE461" s="1364"/>
      <c r="BJ461" s="1364"/>
      <c r="BO461" s="1364"/>
      <c r="BT461" s="1364"/>
      <c r="BU461" s="2825"/>
      <c r="BV461" s="2825"/>
      <c r="BW461" s="2825"/>
      <c r="BX461" s="2825"/>
      <c r="BY461" s="2826"/>
      <c r="BZ461" s="2825"/>
      <c r="CA461" s="2825"/>
      <c r="CB461" s="2825"/>
      <c r="CC461" s="2825"/>
      <c r="CD461" s="2826"/>
      <c r="CI461" s="1364"/>
      <c r="CN461" s="1364"/>
      <c r="CS461" s="1364"/>
      <c r="CX461" s="1364"/>
      <c r="DH461" s="1398"/>
      <c r="DI461" s="1364"/>
      <c r="DJ461" s="1398"/>
      <c r="DK461" s="1398"/>
      <c r="DL461" s="1398"/>
      <c r="DM461" s="1364"/>
      <c r="DN461" s="1364"/>
      <c r="DO461" s="1364"/>
      <c r="DP461" s="1364"/>
      <c r="DQ461" s="1364"/>
      <c r="DR461" s="997"/>
    </row>
    <row r="462" spans="1:148" s="997" customFormat="1" ht="12" hidden="1" outlineLevel="1">
      <c r="A462" s="998" t="s">
        <v>996</v>
      </c>
      <c r="B462" s="996"/>
      <c r="C462" s="996"/>
      <c r="D462" s="996"/>
      <c r="E462" s="996"/>
      <c r="F462" s="996"/>
      <c r="G462" s="996"/>
      <c r="H462" s="996"/>
      <c r="I462" s="996"/>
      <c r="J462" s="996"/>
      <c r="K462" s="996"/>
      <c r="L462" s="996"/>
      <c r="M462" s="996"/>
      <c r="N462" s="996"/>
      <c r="O462" s="996"/>
      <c r="P462" s="996"/>
      <c r="Q462" s="996"/>
      <c r="R462" s="996"/>
      <c r="S462" s="996"/>
      <c r="T462" s="996"/>
      <c r="U462" s="996"/>
      <c r="V462" s="996"/>
      <c r="W462" s="996"/>
      <c r="X462" s="996"/>
      <c r="Y462" s="996"/>
      <c r="Z462" s="996"/>
      <c r="AA462" s="996"/>
      <c r="AB462" s="996"/>
      <c r="AC462" s="996"/>
      <c r="AD462" s="996"/>
      <c r="AE462" s="996"/>
      <c r="AF462" s="996"/>
      <c r="AG462" s="996"/>
      <c r="AH462" s="996"/>
      <c r="AI462" s="996"/>
      <c r="AJ462" s="996"/>
      <c r="AK462" s="996"/>
      <c r="AL462" s="996"/>
      <c r="AM462" s="996"/>
      <c r="AN462" s="996"/>
      <c r="AO462" s="996"/>
      <c r="AP462" s="996"/>
      <c r="AQ462" s="996"/>
      <c r="AR462" s="996"/>
      <c r="AS462" s="996"/>
      <c r="AT462" s="996"/>
      <c r="AU462" s="996"/>
      <c r="AV462" s="996"/>
      <c r="AW462" s="996"/>
      <c r="AX462" s="996"/>
      <c r="AY462" s="996"/>
      <c r="AZ462" s="1366"/>
      <c r="BA462" s="996"/>
      <c r="BB462" s="996"/>
      <c r="BC462" s="996"/>
      <c r="BD462" s="996"/>
      <c r="BE462" s="1366"/>
      <c r="BF462" s="996"/>
      <c r="BG462" s="996"/>
      <c r="BH462" s="996"/>
      <c r="BI462" s="996"/>
      <c r="BJ462" s="1366"/>
      <c r="BK462" s="996"/>
      <c r="BL462" s="996"/>
      <c r="BM462" s="996"/>
      <c r="BN462" s="996"/>
      <c r="BO462" s="1366"/>
      <c r="BP462" s="996"/>
      <c r="BQ462" s="996"/>
      <c r="BR462" s="996"/>
      <c r="BS462" s="996"/>
      <c r="BT462" s="1366"/>
      <c r="BU462" s="2827"/>
      <c r="BV462" s="2827"/>
      <c r="BW462" s="2827"/>
      <c r="BX462" s="2827"/>
      <c r="BY462" s="2828"/>
      <c r="BZ462" s="2827"/>
      <c r="CA462" s="2827"/>
      <c r="CB462" s="2827"/>
      <c r="CC462" s="2827"/>
      <c r="CD462" s="2828"/>
      <c r="CE462" s="996"/>
      <c r="CF462" s="996"/>
      <c r="CG462" s="996"/>
      <c r="CH462" s="996"/>
      <c r="CI462" s="1366"/>
      <c r="CJ462" s="996"/>
      <c r="CK462" s="996"/>
      <c r="CL462" s="996"/>
      <c r="CM462" s="996"/>
      <c r="CN462" s="1366"/>
      <c r="CO462" s="996"/>
      <c r="CP462" s="996"/>
      <c r="CQ462" s="996"/>
      <c r="CR462" s="996"/>
      <c r="CS462" s="1366"/>
      <c r="CT462" s="996"/>
      <c r="CU462" s="996"/>
      <c r="CV462" s="996"/>
      <c r="CW462" s="996"/>
      <c r="CX462" s="1366"/>
      <c r="DH462" s="1398"/>
      <c r="DI462" s="1364"/>
      <c r="DJ462" s="1398"/>
      <c r="DK462" s="1398"/>
      <c r="DL462" s="1398"/>
      <c r="DM462" s="1364"/>
      <c r="DN462" s="1364"/>
      <c r="DO462" s="1364"/>
      <c r="DP462" s="1364"/>
      <c r="DQ462" s="1364"/>
    </row>
    <row r="463" spans="1:148" s="992" customFormat="1" ht="12" hidden="1" outlineLevel="1">
      <c r="A463" s="992" t="s">
        <v>908</v>
      </c>
      <c r="AZ463" s="1364"/>
      <c r="BE463" s="1364"/>
      <c r="BJ463" s="1364"/>
      <c r="BL463" s="990"/>
      <c r="BM463" s="990"/>
      <c r="BN463" s="990"/>
      <c r="BO463" s="1364"/>
      <c r="BP463" s="990">
        <v>1900</v>
      </c>
      <c r="BQ463" s="990">
        <v>2200</v>
      </c>
      <c r="BR463" s="990">
        <v>1400</v>
      </c>
      <c r="BS463" s="990">
        <v>1300</v>
      </c>
      <c r="BT463" s="1373"/>
      <c r="BU463" s="2791">
        <v>900</v>
      </c>
      <c r="BV463" s="2791"/>
      <c r="BW463" s="2791"/>
      <c r="BX463" s="2791"/>
      <c r="BY463" s="2824"/>
      <c r="BZ463" s="2791"/>
      <c r="CA463" s="2791"/>
      <c r="CB463" s="2791"/>
      <c r="CC463" s="2791"/>
      <c r="CD463" s="2824"/>
      <c r="CE463" s="990"/>
      <c r="CF463" s="990"/>
      <c r="CG463" s="990"/>
      <c r="CH463" s="990"/>
      <c r="CI463" s="1373"/>
      <c r="CJ463" s="990"/>
      <c r="CK463" s="990"/>
      <c r="CL463" s="990"/>
      <c r="CM463" s="990"/>
      <c r="CN463" s="1373"/>
      <c r="CO463" s="990"/>
      <c r="CP463" s="990"/>
      <c r="CQ463" s="990"/>
      <c r="CR463" s="990"/>
      <c r="CS463" s="1373"/>
      <c r="CT463" s="990"/>
      <c r="CU463" s="990"/>
      <c r="CV463" s="990"/>
      <c r="CW463" s="990"/>
      <c r="CX463" s="1373"/>
      <c r="DH463" s="1398"/>
      <c r="DI463" s="1364"/>
      <c r="DJ463" s="1398"/>
      <c r="DK463" s="1398"/>
      <c r="DL463" s="1398"/>
      <c r="DM463" s="1364"/>
      <c r="DN463" s="1364"/>
      <c r="DO463" s="1364"/>
      <c r="DP463" s="1364"/>
      <c r="DQ463" s="1364"/>
      <c r="DR463" s="997"/>
    </row>
    <row r="464" spans="1:148" s="992" customFormat="1" ht="12" hidden="1" outlineLevel="1">
      <c r="A464" s="992" t="s">
        <v>907</v>
      </c>
      <c r="AZ464" s="1364"/>
      <c r="BE464" s="1364"/>
      <c r="BJ464" s="1364"/>
      <c r="BL464" s="990"/>
      <c r="BM464" s="990"/>
      <c r="BN464" s="990"/>
      <c r="BO464" s="1364"/>
      <c r="BP464" s="990">
        <v>2300</v>
      </c>
      <c r="BQ464" s="990">
        <v>2000</v>
      </c>
      <c r="BR464" s="990">
        <v>1500</v>
      </c>
      <c r="BS464" s="990">
        <v>1400</v>
      </c>
      <c r="BT464" s="1373"/>
      <c r="BU464" s="2791">
        <v>900</v>
      </c>
      <c r="BV464" s="2791"/>
      <c r="BW464" s="2791"/>
      <c r="BX464" s="2791"/>
      <c r="BY464" s="2824"/>
      <c r="BZ464" s="2791"/>
      <c r="CA464" s="2791"/>
      <c r="CB464" s="2791"/>
      <c r="CC464" s="2791"/>
      <c r="CD464" s="2824"/>
      <c r="CE464" s="990"/>
      <c r="CF464" s="990"/>
      <c r="CG464" s="990"/>
      <c r="CH464" s="990"/>
      <c r="CI464" s="1373"/>
      <c r="CJ464" s="990"/>
      <c r="CK464" s="990"/>
      <c r="CL464" s="990"/>
      <c r="CM464" s="990"/>
      <c r="CN464" s="1373"/>
      <c r="CO464" s="990"/>
      <c r="CP464" s="990"/>
      <c r="CQ464" s="990"/>
      <c r="CR464" s="990"/>
      <c r="CS464" s="1373"/>
      <c r="CT464" s="990"/>
      <c r="CU464" s="990"/>
      <c r="CV464" s="990"/>
      <c r="CW464" s="990"/>
      <c r="CX464" s="1373"/>
      <c r="DH464" s="1398"/>
      <c r="DI464" s="1364"/>
      <c r="DJ464" s="1398"/>
      <c r="DK464" s="1398"/>
      <c r="DL464" s="1398"/>
      <c r="DM464" s="1364"/>
      <c r="DN464" s="1364"/>
      <c r="DO464" s="1364"/>
      <c r="DP464" s="1364"/>
      <c r="DQ464" s="1364"/>
      <c r="DR464" s="997"/>
    </row>
    <row r="465" spans="1:122" s="992" customFormat="1" ht="12" hidden="1" outlineLevel="1">
      <c r="A465" s="994" t="s">
        <v>910</v>
      </c>
      <c r="B465" s="994"/>
      <c r="C465" s="994"/>
      <c r="D465" s="994"/>
      <c r="E465" s="994"/>
      <c r="F465" s="994"/>
      <c r="G465" s="994"/>
      <c r="H465" s="994"/>
      <c r="I465" s="994"/>
      <c r="J465" s="994"/>
      <c r="K465" s="994"/>
      <c r="L465" s="994"/>
      <c r="M465" s="994"/>
      <c r="N465" s="994"/>
      <c r="O465" s="994"/>
      <c r="P465" s="994"/>
      <c r="Q465" s="994"/>
      <c r="R465" s="994"/>
      <c r="S465" s="994"/>
      <c r="T465" s="994"/>
      <c r="U465" s="994"/>
      <c r="V465" s="994"/>
      <c r="W465" s="994"/>
      <c r="X465" s="994"/>
      <c r="Y465" s="994"/>
      <c r="Z465" s="994"/>
      <c r="AA465" s="994"/>
      <c r="AB465" s="994"/>
      <c r="AC465" s="994"/>
      <c r="AD465" s="994"/>
      <c r="AE465" s="994"/>
      <c r="AF465" s="994"/>
      <c r="AG465" s="994"/>
      <c r="AH465" s="994"/>
      <c r="AI465" s="994"/>
      <c r="AJ465" s="994"/>
      <c r="AK465" s="994"/>
      <c r="AL465" s="994"/>
      <c r="AM465" s="994"/>
      <c r="AN465" s="994"/>
      <c r="AO465" s="994"/>
      <c r="AP465" s="994"/>
      <c r="AQ465" s="994"/>
      <c r="AR465" s="994"/>
      <c r="AS465" s="994"/>
      <c r="AT465" s="994"/>
      <c r="AU465" s="994"/>
      <c r="AV465" s="994"/>
      <c r="AW465" s="994"/>
      <c r="AX465" s="994"/>
      <c r="AY465" s="994"/>
      <c r="AZ465" s="1365"/>
      <c r="BA465" s="994"/>
      <c r="BB465" s="994"/>
      <c r="BC465" s="994"/>
      <c r="BD465" s="994"/>
      <c r="BE465" s="1365"/>
      <c r="BF465" s="994"/>
      <c r="BG465" s="994"/>
      <c r="BH465" s="994"/>
      <c r="BI465" s="994"/>
      <c r="BJ465" s="1365"/>
      <c r="BK465" s="994"/>
      <c r="BL465" s="995"/>
      <c r="BM465" s="995"/>
      <c r="BN465" s="995"/>
      <c r="BO465" s="1365"/>
      <c r="BP465" s="1169">
        <f t="shared" ref="BP465:CI465" si="575">IF(ISERROR(BP107/AVERAGE(BP463:BP464)-1),"",(BP107/AVERAGE(BP463:BP464)-1))</f>
        <v>0.24238095238095236</v>
      </c>
      <c r="BQ465" s="995">
        <f t="shared" si="575"/>
        <v>8.7619047619047707E-2</v>
      </c>
      <c r="BR465" s="995">
        <f t="shared" si="575"/>
        <v>-3.6551724137931063E-2</v>
      </c>
      <c r="BS465" s="995">
        <f t="shared" si="575"/>
        <v>-8.5925925925925961E-2</v>
      </c>
      <c r="BT465" s="1374" t="str">
        <f t="shared" si="575"/>
        <v/>
      </c>
      <c r="BU465" s="1169" t="str">
        <f t="shared" si="575"/>
        <v/>
      </c>
      <c r="BV465" s="995" t="str">
        <f t="shared" si="575"/>
        <v/>
      </c>
      <c r="BW465" s="995" t="str">
        <f t="shared" si="575"/>
        <v/>
      </c>
      <c r="BX465" s="995" t="str">
        <f t="shared" si="575"/>
        <v/>
      </c>
      <c r="BY465" s="1374" t="str">
        <f t="shared" si="575"/>
        <v/>
      </c>
      <c r="BZ465" s="995" t="str">
        <f t="shared" si="575"/>
        <v/>
      </c>
      <c r="CA465" s="995" t="str">
        <f t="shared" si="575"/>
        <v/>
      </c>
      <c r="CB465" s="995" t="str">
        <f t="shared" si="575"/>
        <v/>
      </c>
      <c r="CC465" s="995" t="str">
        <f t="shared" si="575"/>
        <v/>
      </c>
      <c r="CD465" s="1374" t="str">
        <f t="shared" si="575"/>
        <v/>
      </c>
      <c r="CE465" s="995" t="str">
        <f t="shared" si="575"/>
        <v/>
      </c>
      <c r="CF465" s="995" t="str">
        <f t="shared" si="575"/>
        <v/>
      </c>
      <c r="CG465" s="995" t="str">
        <f t="shared" si="575"/>
        <v/>
      </c>
      <c r="CH465" s="995" t="str">
        <f t="shared" si="575"/>
        <v/>
      </c>
      <c r="CI465" s="1374" t="str">
        <f t="shared" si="575"/>
        <v/>
      </c>
      <c r="CJ465" s="995" t="str">
        <f t="shared" ref="CJ465:CS465" si="576">IF(ISERROR(CJ107/AVERAGE(CJ463:CJ464)-1),"",(CJ107/AVERAGE(CJ463:CJ464)-1))</f>
        <v/>
      </c>
      <c r="CK465" s="995" t="str">
        <f t="shared" si="576"/>
        <v/>
      </c>
      <c r="CL465" s="995" t="str">
        <f t="shared" si="576"/>
        <v/>
      </c>
      <c r="CM465" s="995" t="str">
        <f t="shared" si="576"/>
        <v/>
      </c>
      <c r="CN465" s="1374" t="str">
        <f t="shared" si="576"/>
        <v/>
      </c>
      <c r="CO465" s="995" t="str">
        <f t="shared" si="576"/>
        <v/>
      </c>
      <c r="CP465" s="995" t="str">
        <f t="shared" si="576"/>
        <v/>
      </c>
      <c r="CQ465" s="995" t="str">
        <f t="shared" si="576"/>
        <v/>
      </c>
      <c r="CR465" s="995" t="str">
        <f t="shared" si="576"/>
        <v/>
      </c>
      <c r="CS465" s="1374" t="str">
        <f t="shared" si="576"/>
        <v/>
      </c>
      <c r="CT465" s="995" t="str">
        <f t="shared" ref="CT465:CX465" si="577">IF(ISERROR(CT107/AVERAGE(CT463:CT464)-1),"",(CT107/AVERAGE(CT463:CT464)-1))</f>
        <v/>
      </c>
      <c r="CU465" s="995" t="str">
        <f t="shared" si="577"/>
        <v/>
      </c>
      <c r="CV465" s="995" t="str">
        <f t="shared" si="577"/>
        <v/>
      </c>
      <c r="CW465" s="995" t="str">
        <f t="shared" si="577"/>
        <v/>
      </c>
      <c r="CX465" s="1374" t="str">
        <f t="shared" si="577"/>
        <v/>
      </c>
      <c r="DH465" s="1398"/>
      <c r="DI465" s="1364"/>
      <c r="DJ465" s="1398"/>
      <c r="DK465" s="1398"/>
      <c r="DL465" s="1398"/>
      <c r="DM465" s="1364"/>
      <c r="DN465" s="1364"/>
      <c r="DO465" s="1364"/>
      <c r="DP465" s="1364"/>
      <c r="DQ465" s="1364"/>
      <c r="DR465" s="997"/>
    </row>
    <row r="466" spans="1:122" s="992" customFormat="1" ht="12" hidden="1" outlineLevel="1">
      <c r="AZ466" s="1364"/>
      <c r="BE466" s="1364"/>
      <c r="BJ466" s="1364"/>
      <c r="BO466" s="1364"/>
      <c r="BT466" s="1364"/>
      <c r="BU466" s="2825"/>
      <c r="BV466" s="2825"/>
      <c r="BW466" s="2825"/>
      <c r="BX466" s="2825"/>
      <c r="BY466" s="2826"/>
      <c r="BZ466" s="2825"/>
      <c r="CA466" s="2825"/>
      <c r="CB466" s="2825"/>
      <c r="CC466" s="2825"/>
      <c r="CD466" s="2826"/>
      <c r="CI466" s="1364"/>
      <c r="CN466" s="1364"/>
      <c r="CS466" s="1364"/>
      <c r="CX466" s="1364"/>
      <c r="DH466" s="1398"/>
      <c r="DI466" s="1364"/>
      <c r="DJ466" s="1398"/>
      <c r="DK466" s="1398"/>
      <c r="DL466" s="1398"/>
      <c r="DM466" s="1364"/>
      <c r="DN466" s="1364"/>
      <c r="DO466" s="1364"/>
      <c r="DP466" s="1364"/>
      <c r="DQ466" s="1364"/>
      <c r="DR466" s="997"/>
    </row>
    <row r="467" spans="1:122" s="997" customFormat="1" ht="12" hidden="1" outlineLevel="1">
      <c r="A467" s="998" t="s">
        <v>499</v>
      </c>
      <c r="B467" s="996"/>
      <c r="C467" s="996"/>
      <c r="D467" s="996"/>
      <c r="E467" s="996"/>
      <c r="F467" s="996"/>
      <c r="G467" s="996"/>
      <c r="H467" s="996"/>
      <c r="I467" s="996"/>
      <c r="J467" s="996"/>
      <c r="K467" s="996"/>
      <c r="L467" s="996"/>
      <c r="M467" s="996"/>
      <c r="N467" s="996"/>
      <c r="O467" s="996"/>
      <c r="P467" s="996"/>
      <c r="Q467" s="996"/>
      <c r="R467" s="996"/>
      <c r="S467" s="996"/>
      <c r="T467" s="996"/>
      <c r="U467" s="996"/>
      <c r="V467" s="996"/>
      <c r="W467" s="996"/>
      <c r="X467" s="996"/>
      <c r="Y467" s="996"/>
      <c r="Z467" s="996"/>
      <c r="AA467" s="996"/>
      <c r="AB467" s="996"/>
      <c r="AC467" s="996"/>
      <c r="AD467" s="996"/>
      <c r="AE467" s="996"/>
      <c r="AF467" s="996"/>
      <c r="AG467" s="996"/>
      <c r="AH467" s="996"/>
      <c r="AI467" s="996"/>
      <c r="AJ467" s="996"/>
      <c r="AK467" s="996"/>
      <c r="AL467" s="996"/>
      <c r="AM467" s="996"/>
      <c r="AN467" s="996"/>
      <c r="AO467" s="996"/>
      <c r="AP467" s="996"/>
      <c r="AQ467" s="996"/>
      <c r="AR467" s="996"/>
      <c r="AS467" s="996"/>
      <c r="AT467" s="996"/>
      <c r="AU467" s="996"/>
      <c r="AV467" s="996"/>
      <c r="AW467" s="996"/>
      <c r="AX467" s="996"/>
      <c r="AY467" s="996"/>
      <c r="AZ467" s="1366"/>
      <c r="BA467" s="996"/>
      <c r="BB467" s="996"/>
      <c r="BC467" s="996"/>
      <c r="BD467" s="996"/>
      <c r="BE467" s="1366"/>
      <c r="BF467" s="996"/>
      <c r="BG467" s="996"/>
      <c r="BH467" s="996"/>
      <c r="BI467" s="996"/>
      <c r="BJ467" s="1366"/>
      <c r="BK467" s="996"/>
      <c r="BL467" s="996"/>
      <c r="BM467" s="996"/>
      <c r="BN467" s="996"/>
      <c r="BO467" s="1366"/>
      <c r="BP467" s="996"/>
      <c r="BQ467" s="996"/>
      <c r="BR467" s="996"/>
      <c r="BS467" s="996"/>
      <c r="BT467" s="1366"/>
      <c r="BU467" s="2827"/>
      <c r="BV467" s="2827"/>
      <c r="BW467" s="2827"/>
      <c r="BX467" s="2827"/>
      <c r="BY467" s="2828"/>
      <c r="BZ467" s="2827"/>
      <c r="CA467" s="2827"/>
      <c r="CB467" s="2827"/>
      <c r="CC467" s="2827"/>
      <c r="CD467" s="2828"/>
      <c r="CE467" s="996"/>
      <c r="CF467" s="996"/>
      <c r="CG467" s="996"/>
      <c r="CH467" s="996"/>
      <c r="CI467" s="1366"/>
      <c r="CJ467" s="996"/>
      <c r="CK467" s="996"/>
      <c r="CL467" s="996"/>
      <c r="CM467" s="996"/>
      <c r="CN467" s="1366"/>
      <c r="CO467" s="996"/>
      <c r="CP467" s="996"/>
      <c r="CQ467" s="996"/>
      <c r="CR467" s="996"/>
      <c r="CS467" s="1366"/>
      <c r="CT467" s="996"/>
      <c r="CU467" s="996"/>
      <c r="CV467" s="996"/>
      <c r="CW467" s="996"/>
      <c r="CX467" s="1366"/>
      <c r="DH467" s="1398"/>
      <c r="DI467" s="1364"/>
      <c r="DJ467" s="1398"/>
      <c r="DK467" s="1398"/>
      <c r="DL467" s="1398"/>
      <c r="DM467" s="1364"/>
      <c r="DN467" s="1364"/>
      <c r="DO467" s="1364"/>
      <c r="DP467" s="1364"/>
      <c r="DQ467" s="1364"/>
    </row>
    <row r="468" spans="1:122" s="992" customFormat="1" ht="12" hidden="1" outlineLevel="1">
      <c r="A468" s="992" t="s">
        <v>908</v>
      </c>
      <c r="AZ468" s="1364"/>
      <c r="BE468" s="1364"/>
      <c r="BJ468" s="1364"/>
      <c r="BL468" s="990">
        <v>1700</v>
      </c>
      <c r="BM468" s="990">
        <v>1800</v>
      </c>
      <c r="BN468" s="990">
        <v>1900</v>
      </c>
      <c r="BO468" s="1364"/>
      <c r="BP468" s="990">
        <v>1800</v>
      </c>
      <c r="BQ468" s="990">
        <v>2300</v>
      </c>
      <c r="BR468" s="990">
        <v>2000</v>
      </c>
      <c r="BS468" s="990">
        <v>2100</v>
      </c>
      <c r="BT468" s="1373"/>
      <c r="BU468" s="2791">
        <v>2200</v>
      </c>
      <c r="BV468" s="2791"/>
      <c r="BW468" s="2791"/>
      <c r="BX468" s="2791"/>
      <c r="BY468" s="2824"/>
      <c r="BZ468" s="2791"/>
      <c r="CA468" s="2791"/>
      <c r="CB468" s="2791"/>
      <c r="CC468" s="2791"/>
      <c r="CD468" s="2824"/>
      <c r="CE468" s="990"/>
      <c r="CF468" s="990"/>
      <c r="CG468" s="990"/>
      <c r="CH468" s="990"/>
      <c r="CI468" s="1373"/>
      <c r="CJ468" s="990"/>
      <c r="CK468" s="990"/>
      <c r="CL468" s="990"/>
      <c r="CM468" s="990"/>
      <c r="CN468" s="1373"/>
      <c r="CO468" s="990"/>
      <c r="CP468" s="990"/>
      <c r="CQ468" s="990"/>
      <c r="CR468" s="990"/>
      <c r="CS468" s="1373"/>
      <c r="CT468" s="990"/>
      <c r="CU468" s="990"/>
      <c r="CV468" s="990"/>
      <c r="CW468" s="990"/>
      <c r="CX468" s="1373"/>
      <c r="DH468" s="1398"/>
      <c r="DI468" s="1364"/>
      <c r="DJ468" s="1398"/>
      <c r="DK468" s="1398"/>
      <c r="DL468" s="1398"/>
      <c r="DM468" s="1364"/>
      <c r="DN468" s="1364"/>
      <c r="DO468" s="1364"/>
      <c r="DP468" s="1364"/>
      <c r="DQ468" s="1364"/>
      <c r="DR468" s="997"/>
    </row>
    <row r="469" spans="1:122" s="992" customFormat="1" ht="12" hidden="1" outlineLevel="1">
      <c r="A469" s="992" t="s">
        <v>907</v>
      </c>
      <c r="AZ469" s="1364"/>
      <c r="BE469" s="1364"/>
      <c r="BJ469" s="1364"/>
      <c r="BL469" s="990">
        <v>1800</v>
      </c>
      <c r="BM469" s="990">
        <v>1800</v>
      </c>
      <c r="BN469" s="990">
        <v>1900</v>
      </c>
      <c r="BO469" s="1364"/>
      <c r="BP469" s="990">
        <v>1900</v>
      </c>
      <c r="BQ469" s="990">
        <v>2400</v>
      </c>
      <c r="BR469" s="990">
        <v>2000</v>
      </c>
      <c r="BS469" s="990">
        <v>2200</v>
      </c>
      <c r="BT469" s="1373"/>
      <c r="BU469" s="2791">
        <v>2300</v>
      </c>
      <c r="BV469" s="2791"/>
      <c r="BW469" s="2791"/>
      <c r="BX469" s="2791"/>
      <c r="BY469" s="2824"/>
      <c r="BZ469" s="2791"/>
      <c r="CA469" s="2791"/>
      <c r="CB469" s="2791"/>
      <c r="CC469" s="2791"/>
      <c r="CD469" s="2824"/>
      <c r="CE469" s="990"/>
      <c r="CF469" s="990"/>
      <c r="CG469" s="990"/>
      <c r="CH469" s="990"/>
      <c r="CI469" s="1373"/>
      <c r="CJ469" s="990"/>
      <c r="CK469" s="990"/>
      <c r="CL469" s="990"/>
      <c r="CM469" s="990"/>
      <c r="CN469" s="1373"/>
      <c r="CO469" s="990"/>
      <c r="CP469" s="990"/>
      <c r="CQ469" s="990"/>
      <c r="CR469" s="990"/>
      <c r="CS469" s="1373"/>
      <c r="CT469" s="990"/>
      <c r="CU469" s="990"/>
      <c r="CV469" s="990"/>
      <c r="CW469" s="990"/>
      <c r="CX469" s="1373"/>
      <c r="DH469" s="1398"/>
      <c r="DI469" s="1364"/>
      <c r="DJ469" s="1398"/>
      <c r="DK469" s="1398"/>
      <c r="DL469" s="1398"/>
      <c r="DM469" s="1364"/>
      <c r="DN469" s="1364"/>
      <c r="DO469" s="1364"/>
      <c r="DP469" s="1364"/>
      <c r="DQ469" s="1364"/>
      <c r="DR469" s="997"/>
    </row>
    <row r="470" spans="1:122" s="992" customFormat="1" ht="12" hidden="1" outlineLevel="1">
      <c r="A470" s="994" t="s">
        <v>910</v>
      </c>
      <c r="B470" s="994"/>
      <c r="C470" s="994"/>
      <c r="D470" s="994"/>
      <c r="E470" s="994"/>
      <c r="F470" s="994"/>
      <c r="G470" s="994"/>
      <c r="H470" s="994"/>
      <c r="I470" s="994"/>
      <c r="J470" s="994"/>
      <c r="K470" s="994"/>
      <c r="L470" s="994"/>
      <c r="M470" s="994"/>
      <c r="N470" s="994"/>
      <c r="O470" s="994"/>
      <c r="P470" s="994"/>
      <c r="Q470" s="994"/>
      <c r="R470" s="994"/>
      <c r="S470" s="994"/>
      <c r="T470" s="994"/>
      <c r="U470" s="994"/>
      <c r="V470" s="994"/>
      <c r="W470" s="994"/>
      <c r="X470" s="994"/>
      <c r="Y470" s="994"/>
      <c r="Z470" s="994"/>
      <c r="AA470" s="994"/>
      <c r="AB470" s="994"/>
      <c r="AC470" s="994"/>
      <c r="AD470" s="994"/>
      <c r="AE470" s="994"/>
      <c r="AF470" s="994"/>
      <c r="AG470" s="994"/>
      <c r="AH470" s="994"/>
      <c r="AI470" s="994"/>
      <c r="AJ470" s="994"/>
      <c r="AK470" s="994"/>
      <c r="AL470" s="994"/>
      <c r="AM470" s="994"/>
      <c r="AN470" s="994"/>
      <c r="AO470" s="994"/>
      <c r="AP470" s="994"/>
      <c r="AQ470" s="994"/>
      <c r="AR470" s="994"/>
      <c r="AS470" s="994"/>
      <c r="AT470" s="994"/>
      <c r="AU470" s="994"/>
      <c r="AV470" s="994"/>
      <c r="AW470" s="994"/>
      <c r="AX470" s="994"/>
      <c r="AY470" s="994"/>
      <c r="AZ470" s="1365"/>
      <c r="BA470" s="994"/>
      <c r="BB470" s="994"/>
      <c r="BC470" s="994"/>
      <c r="BD470" s="994"/>
      <c r="BE470" s="1365"/>
      <c r="BF470" s="994"/>
      <c r="BG470" s="994"/>
      <c r="BH470" s="994"/>
      <c r="BI470" s="994"/>
      <c r="BJ470" s="1365"/>
      <c r="BK470" s="994"/>
      <c r="BL470" s="995">
        <f t="shared" ref="BL470:CI470" si="578">IF(ISERROR(BL114/AVERAGE(BL468:BL469)-1),"",(BL114/AVERAGE(BL468:BL469)-1))</f>
        <v>7.0857142857142952E-2</v>
      </c>
      <c r="BM470" s="995">
        <f t="shared" si="578"/>
        <v>1.3333333333333419E-2</v>
      </c>
      <c r="BN470" s="995">
        <f t="shared" si="578"/>
        <v>-7.263157894736838E-2</v>
      </c>
      <c r="BO470" s="1365" t="str">
        <f t="shared" si="578"/>
        <v/>
      </c>
      <c r="BP470" s="995">
        <f t="shared" si="578"/>
        <v>-2.2162162162162158E-2</v>
      </c>
      <c r="BQ470" s="995">
        <f t="shared" si="578"/>
        <v>3.6595744680851139E-2</v>
      </c>
      <c r="BR470" s="995">
        <f t="shared" si="578"/>
        <v>0.1399999999999999</v>
      </c>
      <c r="BS470" s="995">
        <f t="shared" si="578"/>
        <v>6.9767441860465018E-2</v>
      </c>
      <c r="BT470" s="1374" t="str">
        <f t="shared" si="578"/>
        <v/>
      </c>
      <c r="BU470" s="995" t="str">
        <f t="shared" si="578"/>
        <v/>
      </c>
      <c r="BV470" s="995" t="str">
        <f t="shared" si="578"/>
        <v/>
      </c>
      <c r="BW470" s="995" t="str">
        <f t="shared" si="578"/>
        <v/>
      </c>
      <c r="BX470" s="995" t="str">
        <f t="shared" si="578"/>
        <v/>
      </c>
      <c r="BY470" s="1374" t="str">
        <f t="shared" si="578"/>
        <v/>
      </c>
      <c r="BZ470" s="995" t="str">
        <f t="shared" si="578"/>
        <v/>
      </c>
      <c r="CA470" s="995" t="str">
        <f t="shared" si="578"/>
        <v/>
      </c>
      <c r="CB470" s="995" t="str">
        <f t="shared" si="578"/>
        <v/>
      </c>
      <c r="CC470" s="995" t="str">
        <f t="shared" si="578"/>
        <v/>
      </c>
      <c r="CD470" s="1374" t="str">
        <f t="shared" si="578"/>
        <v/>
      </c>
      <c r="CE470" s="995" t="str">
        <f t="shared" si="578"/>
        <v/>
      </c>
      <c r="CF470" s="995" t="str">
        <f t="shared" si="578"/>
        <v/>
      </c>
      <c r="CG470" s="995" t="str">
        <f t="shared" si="578"/>
        <v/>
      </c>
      <c r="CH470" s="995" t="str">
        <f t="shared" si="578"/>
        <v/>
      </c>
      <c r="CI470" s="1374" t="str">
        <f t="shared" si="578"/>
        <v/>
      </c>
      <c r="CJ470" s="995" t="str">
        <f t="shared" ref="CJ470:CS470" si="579">IF(ISERROR(CJ114/AVERAGE(CJ468:CJ469)-1),"",(CJ114/AVERAGE(CJ468:CJ469)-1))</f>
        <v/>
      </c>
      <c r="CK470" s="995" t="str">
        <f t="shared" si="579"/>
        <v/>
      </c>
      <c r="CL470" s="995" t="str">
        <f t="shared" si="579"/>
        <v/>
      </c>
      <c r="CM470" s="995" t="str">
        <f t="shared" si="579"/>
        <v/>
      </c>
      <c r="CN470" s="1374" t="str">
        <f t="shared" si="579"/>
        <v/>
      </c>
      <c r="CO470" s="995" t="str">
        <f t="shared" si="579"/>
        <v/>
      </c>
      <c r="CP470" s="995" t="str">
        <f t="shared" si="579"/>
        <v/>
      </c>
      <c r="CQ470" s="995" t="str">
        <f t="shared" si="579"/>
        <v/>
      </c>
      <c r="CR470" s="995" t="str">
        <f t="shared" si="579"/>
        <v/>
      </c>
      <c r="CS470" s="1374" t="str">
        <f t="shared" si="579"/>
        <v/>
      </c>
      <c r="CT470" s="995" t="str">
        <f t="shared" ref="CT470:CX470" si="580">IF(ISERROR(CT114/AVERAGE(CT468:CT469)-1),"",(CT114/AVERAGE(CT468:CT469)-1))</f>
        <v/>
      </c>
      <c r="CU470" s="995" t="str">
        <f t="shared" si="580"/>
        <v/>
      </c>
      <c r="CV470" s="995" t="str">
        <f t="shared" si="580"/>
        <v/>
      </c>
      <c r="CW470" s="995" t="str">
        <f t="shared" si="580"/>
        <v/>
      </c>
      <c r="CX470" s="1374" t="str">
        <f t="shared" si="580"/>
        <v/>
      </c>
      <c r="DH470" s="1398"/>
      <c r="DI470" s="1364"/>
      <c r="DJ470" s="1398"/>
      <c r="DK470" s="1398"/>
      <c r="DL470" s="1398"/>
      <c r="DM470" s="1364"/>
      <c r="DN470" s="1364"/>
      <c r="DO470" s="1364"/>
      <c r="DP470" s="1364"/>
      <c r="DQ470" s="1364"/>
      <c r="DR470" s="997"/>
    </row>
    <row r="471" spans="1:122" s="992" customFormat="1" ht="12" hidden="1" outlineLevel="1">
      <c r="AZ471" s="1364"/>
      <c r="BE471" s="1364"/>
      <c r="BJ471" s="1364"/>
      <c r="BO471" s="1364"/>
      <c r="BT471" s="1364"/>
      <c r="BU471" s="2825"/>
      <c r="BV471" s="2825"/>
      <c r="BW471" s="2825"/>
      <c r="BX471" s="2825"/>
      <c r="BY471" s="2826"/>
      <c r="BZ471" s="2825"/>
      <c r="CA471" s="2825"/>
      <c r="CB471" s="2825"/>
      <c r="CC471" s="2825"/>
      <c r="CD471" s="2826"/>
      <c r="CI471" s="1364"/>
      <c r="CN471" s="1364"/>
      <c r="CS471" s="1364"/>
      <c r="CX471" s="1364"/>
      <c r="DH471" s="1398"/>
      <c r="DI471" s="1364"/>
      <c r="DJ471" s="1398"/>
      <c r="DK471" s="1398"/>
      <c r="DL471" s="1398"/>
      <c r="DM471" s="1364"/>
      <c r="DN471" s="1364"/>
      <c r="DO471" s="1364"/>
      <c r="DP471" s="1364"/>
      <c r="DQ471" s="1364"/>
      <c r="DR471" s="997"/>
    </row>
    <row r="472" spans="1:122" s="997" customFormat="1" ht="12" hidden="1" outlineLevel="1">
      <c r="A472" s="998" t="s">
        <v>909</v>
      </c>
      <c r="B472" s="996"/>
      <c r="C472" s="996"/>
      <c r="D472" s="996"/>
      <c r="E472" s="996"/>
      <c r="F472" s="996"/>
      <c r="G472" s="996"/>
      <c r="H472" s="996"/>
      <c r="I472" s="996"/>
      <c r="J472" s="996"/>
      <c r="K472" s="996"/>
      <c r="L472" s="996"/>
      <c r="M472" s="996"/>
      <c r="N472" s="996"/>
      <c r="O472" s="996"/>
      <c r="P472" s="996"/>
      <c r="Q472" s="996"/>
      <c r="R472" s="996"/>
      <c r="S472" s="996"/>
      <c r="T472" s="996"/>
      <c r="U472" s="996"/>
      <c r="V472" s="996"/>
      <c r="W472" s="996"/>
      <c r="X472" s="996"/>
      <c r="Y472" s="996"/>
      <c r="Z472" s="996"/>
      <c r="AA472" s="996"/>
      <c r="AB472" s="996"/>
      <c r="AC472" s="996"/>
      <c r="AD472" s="996"/>
      <c r="AE472" s="996"/>
      <c r="AF472" s="996"/>
      <c r="AG472" s="996"/>
      <c r="AH472" s="996"/>
      <c r="AI472" s="996"/>
      <c r="AJ472" s="996"/>
      <c r="AK472" s="996"/>
      <c r="AL472" s="996"/>
      <c r="AM472" s="996"/>
      <c r="AN472" s="996"/>
      <c r="AO472" s="996"/>
      <c r="AP472" s="996"/>
      <c r="AQ472" s="996"/>
      <c r="AR472" s="996"/>
      <c r="AS472" s="996"/>
      <c r="AT472" s="996"/>
      <c r="AU472" s="996"/>
      <c r="AV472" s="996"/>
      <c r="AW472" s="996"/>
      <c r="AX472" s="996"/>
      <c r="AY472" s="996"/>
      <c r="AZ472" s="1366"/>
      <c r="BA472" s="996"/>
      <c r="BB472" s="996"/>
      <c r="BC472" s="996"/>
      <c r="BD472" s="996"/>
      <c r="BE472" s="1366"/>
      <c r="BF472" s="996"/>
      <c r="BG472" s="996"/>
      <c r="BH472" s="996"/>
      <c r="BI472" s="996"/>
      <c r="BJ472" s="1366"/>
      <c r="BK472" s="996"/>
      <c r="BL472" s="996"/>
      <c r="BM472" s="996"/>
      <c r="BN472" s="996"/>
      <c r="BO472" s="1366"/>
      <c r="BP472" s="996"/>
      <c r="BQ472" s="996"/>
      <c r="BR472" s="996"/>
      <c r="BS472" s="996"/>
      <c r="BT472" s="1366"/>
      <c r="BU472" s="2827"/>
      <c r="BV472" s="2827"/>
      <c r="BW472" s="2827"/>
      <c r="BX472" s="2827"/>
      <c r="BY472" s="2828"/>
      <c r="BZ472" s="2827"/>
      <c r="CA472" s="2827"/>
      <c r="CB472" s="2827"/>
      <c r="CC472" s="2827"/>
      <c r="CD472" s="2828"/>
      <c r="CE472" s="996"/>
      <c r="CF472" s="996"/>
      <c r="CG472" s="996"/>
      <c r="CH472" s="996"/>
      <c r="CI472" s="1366"/>
      <c r="CJ472" s="996"/>
      <c r="CK472" s="996"/>
      <c r="CL472" s="996"/>
      <c r="CM472" s="996"/>
      <c r="CN472" s="1366"/>
      <c r="CO472" s="996"/>
      <c r="CP472" s="996"/>
      <c r="CQ472" s="996"/>
      <c r="CR472" s="996"/>
      <c r="CS472" s="1366"/>
      <c r="CT472" s="996"/>
      <c r="CU472" s="996"/>
      <c r="CV472" s="996"/>
      <c r="CW472" s="996"/>
      <c r="CX472" s="1366"/>
      <c r="DH472" s="1398"/>
      <c r="DI472" s="1364"/>
      <c r="DJ472" s="1398"/>
      <c r="DK472" s="1398"/>
      <c r="DL472" s="1398"/>
      <c r="DM472" s="1364"/>
      <c r="DN472" s="1364"/>
      <c r="DO472" s="1364"/>
      <c r="DP472" s="1364"/>
      <c r="DQ472" s="1364"/>
    </row>
    <row r="473" spans="1:122" s="992" customFormat="1" ht="12" hidden="1" outlineLevel="1">
      <c r="A473" s="992" t="s">
        <v>908</v>
      </c>
      <c r="AZ473" s="1364"/>
      <c r="BE473" s="1364"/>
      <c r="BJ473" s="1364"/>
      <c r="BL473" s="990">
        <v>10700</v>
      </c>
      <c r="BM473" s="990">
        <v>10400</v>
      </c>
      <c r="BN473" s="990">
        <f>13100-BN478</f>
        <v>11000</v>
      </c>
      <c r="BO473" s="1364"/>
      <c r="BP473" s="990">
        <f>12000-2200</f>
        <v>9800</v>
      </c>
      <c r="BQ473" s="990">
        <v>10800</v>
      </c>
      <c r="BR473" s="990">
        <v>9700</v>
      </c>
      <c r="BS473" s="990">
        <v>10500</v>
      </c>
      <c r="BT473" s="1373"/>
      <c r="BU473" s="2791">
        <v>9100</v>
      </c>
      <c r="BV473" s="2791"/>
      <c r="BW473" s="2791"/>
      <c r="BX473" s="2791"/>
      <c r="BY473" s="2824"/>
      <c r="BZ473" s="2791"/>
      <c r="CA473" s="2791"/>
      <c r="CB473" s="2791"/>
      <c r="CC473" s="2791"/>
      <c r="CD473" s="2824"/>
      <c r="CE473" s="990"/>
      <c r="CF473" s="990"/>
      <c r="CG473" s="990"/>
      <c r="CH473" s="990"/>
      <c r="CI473" s="1373"/>
      <c r="CJ473" s="990"/>
      <c r="CK473" s="990"/>
      <c r="CL473" s="990"/>
      <c r="CM473" s="990"/>
      <c r="CN473" s="1373"/>
      <c r="CO473" s="990"/>
      <c r="CP473" s="990"/>
      <c r="CQ473" s="990"/>
      <c r="CR473" s="990"/>
      <c r="CS473" s="1373"/>
      <c r="CT473" s="990"/>
      <c r="CU473" s="990"/>
      <c r="CV473" s="990"/>
      <c r="CW473" s="990"/>
      <c r="CX473" s="1373"/>
      <c r="DH473" s="1398"/>
      <c r="DI473" s="1364"/>
      <c r="DJ473" s="1398"/>
      <c r="DK473" s="1398"/>
      <c r="DL473" s="1398"/>
      <c r="DM473" s="1364"/>
      <c r="DN473" s="1364"/>
      <c r="DO473" s="1364"/>
      <c r="DP473" s="1364"/>
      <c r="DQ473" s="1364"/>
      <c r="DR473" s="997"/>
    </row>
    <row r="474" spans="1:122" s="992" customFormat="1" ht="12" hidden="1" outlineLevel="1">
      <c r="A474" s="992" t="s">
        <v>907</v>
      </c>
      <c r="AZ474" s="1364"/>
      <c r="BE474" s="1364"/>
      <c r="BJ474" s="1364"/>
      <c r="BL474" s="990">
        <v>10900</v>
      </c>
      <c r="BM474" s="990">
        <v>10600</v>
      </c>
      <c r="BN474" s="990">
        <f>13300-BN479</f>
        <v>11200</v>
      </c>
      <c r="BO474" s="1364"/>
      <c r="BP474" s="990">
        <f>12200-2300</f>
        <v>9900</v>
      </c>
      <c r="BQ474" s="990">
        <v>11000</v>
      </c>
      <c r="BR474" s="990">
        <v>9900</v>
      </c>
      <c r="BS474" s="990">
        <v>10600</v>
      </c>
      <c r="BT474" s="1373"/>
      <c r="BU474" s="2791">
        <v>9200</v>
      </c>
      <c r="BV474" s="2791"/>
      <c r="BW474" s="2791"/>
      <c r="BX474" s="2791"/>
      <c r="BY474" s="2824"/>
      <c r="BZ474" s="2791"/>
      <c r="CA474" s="2791"/>
      <c r="CB474" s="2791"/>
      <c r="CC474" s="2791"/>
      <c r="CD474" s="2824"/>
      <c r="CE474" s="990"/>
      <c r="CF474" s="990"/>
      <c r="CG474" s="990"/>
      <c r="CH474" s="990"/>
      <c r="CI474" s="1373"/>
      <c r="CJ474" s="990"/>
      <c r="CK474" s="990"/>
      <c r="CL474" s="990"/>
      <c r="CM474" s="990"/>
      <c r="CN474" s="1373"/>
      <c r="CO474" s="990"/>
      <c r="CP474" s="990"/>
      <c r="CQ474" s="990"/>
      <c r="CR474" s="990"/>
      <c r="CS474" s="1373"/>
      <c r="CT474" s="990"/>
      <c r="CU474" s="990"/>
      <c r="CV474" s="990"/>
      <c r="CW474" s="990"/>
      <c r="CX474" s="1373"/>
      <c r="DH474" s="1398"/>
      <c r="DI474" s="1364"/>
      <c r="DJ474" s="1398"/>
      <c r="DK474" s="1398"/>
      <c r="DL474" s="1398"/>
      <c r="DM474" s="1364"/>
      <c r="DN474" s="1364"/>
      <c r="DO474" s="1364"/>
      <c r="DP474" s="1364"/>
      <c r="DQ474" s="1364"/>
      <c r="DR474" s="997"/>
    </row>
    <row r="475" spans="1:122" s="992" customFormat="1" ht="12" hidden="1" outlineLevel="1">
      <c r="A475" s="994" t="s">
        <v>910</v>
      </c>
      <c r="B475" s="994"/>
      <c r="C475" s="994"/>
      <c r="D475" s="994"/>
      <c r="E475" s="994"/>
      <c r="F475" s="994"/>
      <c r="G475" s="994"/>
      <c r="H475" s="994"/>
      <c r="I475" s="994"/>
      <c r="J475" s="994"/>
      <c r="K475" s="994"/>
      <c r="L475" s="994"/>
      <c r="M475" s="994"/>
      <c r="N475" s="994"/>
      <c r="O475" s="994"/>
      <c r="P475" s="994"/>
      <c r="Q475" s="994"/>
      <c r="R475" s="994"/>
      <c r="S475" s="994"/>
      <c r="T475" s="994"/>
      <c r="U475" s="994"/>
      <c r="V475" s="994"/>
      <c r="W475" s="994"/>
      <c r="X475" s="994"/>
      <c r="Y475" s="994"/>
      <c r="Z475" s="994"/>
      <c r="AA475" s="994"/>
      <c r="AB475" s="994"/>
      <c r="AC475" s="994"/>
      <c r="AD475" s="994"/>
      <c r="AE475" s="994"/>
      <c r="AF475" s="994"/>
      <c r="AG475" s="994"/>
      <c r="AH475" s="994"/>
      <c r="AI475" s="994"/>
      <c r="AJ475" s="994"/>
      <c r="AK475" s="994"/>
      <c r="AL475" s="994"/>
      <c r="AM475" s="994"/>
      <c r="AN475" s="994"/>
      <c r="AO475" s="994"/>
      <c r="AP475" s="994"/>
      <c r="AQ475" s="994"/>
      <c r="AR475" s="994"/>
      <c r="AS475" s="994"/>
      <c r="AT475" s="994"/>
      <c r="AU475" s="994"/>
      <c r="AV475" s="994"/>
      <c r="AW475" s="994"/>
      <c r="AX475" s="994"/>
      <c r="AY475" s="994"/>
      <c r="AZ475" s="1365"/>
      <c r="BA475" s="994"/>
      <c r="BB475" s="994"/>
      <c r="BC475" s="994"/>
      <c r="BD475" s="994"/>
      <c r="BE475" s="1365"/>
      <c r="BF475" s="994"/>
      <c r="BG475" s="994"/>
      <c r="BH475" s="994"/>
      <c r="BI475" s="994"/>
      <c r="BJ475" s="1365"/>
      <c r="BK475" s="994"/>
      <c r="BL475" s="995">
        <f t="shared" ref="BL475:CI475" si="581">IF(ISERROR(BL125/AVERAGE(BL473:BL474)-1),"",(BL125/AVERAGE(BL473:BL474)-1))</f>
        <v>9.8148148148147207E-3</v>
      </c>
      <c r="BM475" s="995">
        <f t="shared" si="581"/>
        <v>-1.5714285714285681E-2</v>
      </c>
      <c r="BN475" s="995">
        <f t="shared" si="581"/>
        <v>1.1981981981981971E-2</v>
      </c>
      <c r="BO475" s="1365" t="str">
        <f t="shared" si="581"/>
        <v/>
      </c>
      <c r="BP475" s="995">
        <f t="shared" si="581"/>
        <v>2.3350253807106203E-3</v>
      </c>
      <c r="BQ475" s="995">
        <f t="shared" si="581"/>
        <v>-2.027522935779813E-2</v>
      </c>
      <c r="BR475" s="995">
        <f t="shared" si="581"/>
        <v>2.4081632653061291E-2</v>
      </c>
      <c r="BS475" s="995">
        <f t="shared" si="581"/>
        <v>-9.3838862559241232E-3</v>
      </c>
      <c r="BT475" s="1374" t="str">
        <f t="shared" si="581"/>
        <v/>
      </c>
      <c r="BU475" s="995" t="str">
        <f t="shared" si="581"/>
        <v/>
      </c>
      <c r="BV475" s="995" t="str">
        <f t="shared" si="581"/>
        <v/>
      </c>
      <c r="BW475" s="995" t="str">
        <f t="shared" si="581"/>
        <v/>
      </c>
      <c r="BX475" s="995" t="str">
        <f t="shared" si="581"/>
        <v/>
      </c>
      <c r="BY475" s="1374" t="str">
        <f t="shared" si="581"/>
        <v/>
      </c>
      <c r="BZ475" s="995" t="str">
        <f t="shared" si="581"/>
        <v/>
      </c>
      <c r="CA475" s="995" t="str">
        <f t="shared" si="581"/>
        <v/>
      </c>
      <c r="CB475" s="995" t="str">
        <f t="shared" si="581"/>
        <v/>
      </c>
      <c r="CC475" s="995" t="str">
        <f t="shared" si="581"/>
        <v/>
      </c>
      <c r="CD475" s="1374" t="str">
        <f t="shared" si="581"/>
        <v/>
      </c>
      <c r="CE475" s="995" t="str">
        <f t="shared" si="581"/>
        <v/>
      </c>
      <c r="CF475" s="995" t="str">
        <f t="shared" si="581"/>
        <v/>
      </c>
      <c r="CG475" s="995" t="str">
        <f t="shared" si="581"/>
        <v/>
      </c>
      <c r="CH475" s="995" t="str">
        <f t="shared" si="581"/>
        <v/>
      </c>
      <c r="CI475" s="1374" t="str">
        <f t="shared" si="581"/>
        <v/>
      </c>
      <c r="CJ475" s="995" t="str">
        <f t="shared" ref="CJ475:CS475" si="582">IF(ISERROR(CJ125/AVERAGE(CJ473:CJ474)-1),"",(CJ125/AVERAGE(CJ473:CJ474)-1))</f>
        <v/>
      </c>
      <c r="CK475" s="995" t="str">
        <f t="shared" si="582"/>
        <v/>
      </c>
      <c r="CL475" s="995" t="str">
        <f t="shared" si="582"/>
        <v/>
      </c>
      <c r="CM475" s="995" t="str">
        <f t="shared" si="582"/>
        <v/>
      </c>
      <c r="CN475" s="1374" t="str">
        <f t="shared" si="582"/>
        <v/>
      </c>
      <c r="CO475" s="995" t="str">
        <f t="shared" si="582"/>
        <v/>
      </c>
      <c r="CP475" s="995" t="str">
        <f t="shared" si="582"/>
        <v/>
      </c>
      <c r="CQ475" s="995" t="str">
        <f t="shared" si="582"/>
        <v/>
      </c>
      <c r="CR475" s="995" t="str">
        <f t="shared" si="582"/>
        <v/>
      </c>
      <c r="CS475" s="1374" t="str">
        <f t="shared" si="582"/>
        <v/>
      </c>
      <c r="CT475" s="995" t="str">
        <f t="shared" ref="CT475:CX475" si="583">IF(ISERROR(CT125/AVERAGE(CT473:CT474)-1),"",(CT125/AVERAGE(CT473:CT474)-1))</f>
        <v/>
      </c>
      <c r="CU475" s="995" t="str">
        <f t="shared" si="583"/>
        <v/>
      </c>
      <c r="CV475" s="995" t="str">
        <f t="shared" si="583"/>
        <v/>
      </c>
      <c r="CW475" s="995" t="str">
        <f t="shared" si="583"/>
        <v/>
      </c>
      <c r="CX475" s="1374" t="str">
        <f t="shared" si="583"/>
        <v/>
      </c>
      <c r="DH475" s="1398"/>
      <c r="DI475" s="1364"/>
      <c r="DJ475" s="1398"/>
      <c r="DK475" s="1398"/>
      <c r="DL475" s="1398"/>
      <c r="DM475" s="1364"/>
      <c r="DN475" s="1364"/>
      <c r="DO475" s="1364"/>
      <c r="DP475" s="1364"/>
      <c r="DQ475" s="1364"/>
      <c r="DR475" s="997"/>
    </row>
    <row r="476" spans="1:122" s="992" customFormat="1" ht="12" hidden="1" outlineLevel="1">
      <c r="AZ476" s="1364"/>
      <c r="BE476" s="1364"/>
      <c r="BJ476" s="1364"/>
      <c r="BO476" s="1364"/>
      <c r="BT476" s="1364"/>
      <c r="BU476" s="2825"/>
      <c r="BV476" s="2825"/>
      <c r="BW476" s="2825"/>
      <c r="BX476" s="2825"/>
      <c r="BY476" s="2826"/>
      <c r="BZ476" s="2825"/>
      <c r="CA476" s="2825"/>
      <c r="CB476" s="2825"/>
      <c r="CC476" s="2825"/>
      <c r="CD476" s="2826"/>
      <c r="CI476" s="1364"/>
      <c r="CN476" s="1364"/>
      <c r="CS476" s="1364"/>
      <c r="CX476" s="1364"/>
      <c r="DH476" s="1398"/>
      <c r="DI476" s="1364"/>
      <c r="DJ476" s="1398"/>
      <c r="DK476" s="1398"/>
      <c r="DL476" s="1398"/>
      <c r="DM476" s="1364"/>
      <c r="DN476" s="1364"/>
      <c r="DO476" s="1364"/>
      <c r="DP476" s="1364"/>
      <c r="DQ476" s="1364"/>
      <c r="DR476" s="997"/>
    </row>
    <row r="477" spans="1:122" s="997" customFormat="1" ht="12" hidden="1" outlineLevel="1">
      <c r="A477" s="998" t="s">
        <v>502</v>
      </c>
      <c r="B477" s="996"/>
      <c r="C477" s="996"/>
      <c r="D477" s="996"/>
      <c r="E477" s="996"/>
      <c r="F477" s="996"/>
      <c r="G477" s="996"/>
      <c r="H477" s="996"/>
      <c r="I477" s="996"/>
      <c r="J477" s="996"/>
      <c r="K477" s="996"/>
      <c r="L477" s="996"/>
      <c r="M477" s="996"/>
      <c r="N477" s="996"/>
      <c r="O477" s="996"/>
      <c r="P477" s="996"/>
      <c r="Q477" s="996"/>
      <c r="R477" s="996"/>
      <c r="S477" s="996"/>
      <c r="T477" s="996"/>
      <c r="U477" s="996"/>
      <c r="V477" s="996"/>
      <c r="W477" s="996"/>
      <c r="X477" s="996"/>
      <c r="Y477" s="996"/>
      <c r="Z477" s="996"/>
      <c r="AA477" s="996"/>
      <c r="AB477" s="996"/>
      <c r="AC477" s="996"/>
      <c r="AD477" s="996"/>
      <c r="AE477" s="996"/>
      <c r="AF477" s="996"/>
      <c r="AG477" s="996"/>
      <c r="AH477" s="996"/>
      <c r="AI477" s="996"/>
      <c r="AJ477" s="996"/>
      <c r="AK477" s="996"/>
      <c r="AL477" s="996"/>
      <c r="AM477" s="996"/>
      <c r="AN477" s="996"/>
      <c r="AO477" s="996"/>
      <c r="AP477" s="996"/>
      <c r="AQ477" s="996"/>
      <c r="AR477" s="996"/>
      <c r="AS477" s="996"/>
      <c r="AT477" s="996"/>
      <c r="AU477" s="996"/>
      <c r="AV477" s="996"/>
      <c r="AW477" s="996"/>
      <c r="AX477" s="996"/>
      <c r="AY477" s="996"/>
      <c r="AZ477" s="1366"/>
      <c r="BA477" s="996"/>
      <c r="BB477" s="996"/>
      <c r="BC477" s="996"/>
      <c r="BD477" s="996"/>
      <c r="BE477" s="1366"/>
      <c r="BF477" s="996"/>
      <c r="BG477" s="996"/>
      <c r="BH477" s="996"/>
      <c r="BI477" s="996"/>
      <c r="BJ477" s="1366"/>
      <c r="BK477" s="996"/>
      <c r="BL477" s="996"/>
      <c r="BM477" s="996"/>
      <c r="BN477" s="996"/>
      <c r="BO477" s="1366"/>
      <c r="BP477" s="996"/>
      <c r="BQ477" s="996"/>
      <c r="BR477" s="996"/>
      <c r="BS477" s="996"/>
      <c r="BT477" s="1366"/>
      <c r="BU477" s="2827"/>
      <c r="BV477" s="2827"/>
      <c r="BW477" s="2827"/>
      <c r="BX477" s="2827"/>
      <c r="BY477" s="2828"/>
      <c r="BZ477" s="2827"/>
      <c r="CA477" s="2827"/>
      <c r="CB477" s="2827"/>
      <c r="CC477" s="2827"/>
      <c r="CD477" s="2828"/>
      <c r="CE477" s="996"/>
      <c r="CF477" s="996"/>
      <c r="CG477" s="996"/>
      <c r="CH477" s="996"/>
      <c r="CI477" s="1366"/>
      <c r="CJ477" s="996"/>
      <c r="CK477" s="996"/>
      <c r="CL477" s="996"/>
      <c r="CM477" s="996"/>
      <c r="CN477" s="1366"/>
      <c r="CO477" s="996"/>
      <c r="CP477" s="996"/>
      <c r="CQ477" s="996"/>
      <c r="CR477" s="996"/>
      <c r="CS477" s="1366"/>
      <c r="CT477" s="996"/>
      <c r="CU477" s="996"/>
      <c r="CV477" s="996"/>
      <c r="CW477" s="996"/>
      <c r="CX477" s="1366"/>
      <c r="DH477" s="1398"/>
      <c r="DI477" s="1364"/>
      <c r="DJ477" s="1398"/>
      <c r="DK477" s="1398"/>
      <c r="DL477" s="1398"/>
      <c r="DM477" s="1364"/>
      <c r="DN477" s="1364"/>
      <c r="DO477" s="1364"/>
      <c r="DP477" s="1364"/>
      <c r="DQ477" s="1364"/>
    </row>
    <row r="478" spans="1:122" s="992" customFormat="1" ht="12" hidden="1" outlineLevel="1">
      <c r="A478" s="992" t="s">
        <v>908</v>
      </c>
      <c r="AZ478" s="1364"/>
      <c r="BE478" s="1364"/>
      <c r="BJ478" s="1364"/>
      <c r="BL478" s="990">
        <v>1700</v>
      </c>
      <c r="BM478" s="990">
        <v>1800</v>
      </c>
      <c r="BN478" s="990">
        <v>2100</v>
      </c>
      <c r="BO478" s="1364"/>
      <c r="BP478" s="990">
        <v>2200</v>
      </c>
      <c r="BQ478" s="990">
        <v>2500</v>
      </c>
      <c r="BR478" s="990">
        <v>2600</v>
      </c>
      <c r="BS478" s="990">
        <v>3000</v>
      </c>
      <c r="BT478" s="1373"/>
      <c r="BU478" s="2791">
        <v>3100</v>
      </c>
      <c r="BV478" s="2791"/>
      <c r="BW478" s="2791"/>
      <c r="BX478" s="2791"/>
      <c r="BY478" s="2824"/>
      <c r="BZ478" s="2791"/>
      <c r="CA478" s="2791"/>
      <c r="CB478" s="2791"/>
      <c r="CC478" s="2791"/>
      <c r="CD478" s="2824"/>
      <c r="CE478" s="990"/>
      <c r="CF478" s="990"/>
      <c r="CG478" s="990"/>
      <c r="CH478" s="990"/>
      <c r="CI478" s="1373"/>
      <c r="CJ478" s="990"/>
      <c r="CK478" s="990"/>
      <c r="CL478" s="990"/>
      <c r="CM478" s="990"/>
      <c r="CN478" s="1373"/>
      <c r="CO478" s="990"/>
      <c r="CP478" s="990"/>
      <c r="CQ478" s="990"/>
      <c r="CR478" s="990"/>
      <c r="CS478" s="1373"/>
      <c r="CT478" s="990"/>
      <c r="CU478" s="990"/>
      <c r="CV478" s="990"/>
      <c r="CW478" s="990"/>
      <c r="CX478" s="1373"/>
      <c r="DH478" s="1398"/>
      <c r="DI478" s="1364"/>
      <c r="DJ478" s="1398"/>
      <c r="DK478" s="1398"/>
      <c r="DL478" s="1398"/>
      <c r="DM478" s="1364"/>
      <c r="DN478" s="1364"/>
      <c r="DO478" s="1364"/>
      <c r="DP478" s="1364"/>
      <c r="DQ478" s="1364"/>
      <c r="DR478" s="997"/>
    </row>
    <row r="479" spans="1:122" s="992" customFormat="1" ht="12" hidden="1" outlineLevel="1">
      <c r="A479" s="992" t="s">
        <v>907</v>
      </c>
      <c r="AZ479" s="1364"/>
      <c r="BE479" s="1364"/>
      <c r="BJ479" s="1364"/>
      <c r="BL479" s="990">
        <v>1900</v>
      </c>
      <c r="BM479" s="990">
        <v>1800</v>
      </c>
      <c r="BN479" s="990">
        <v>2100</v>
      </c>
      <c r="BO479" s="1364"/>
      <c r="BP479" s="990">
        <v>2300</v>
      </c>
      <c r="BQ479" s="990">
        <v>2600</v>
      </c>
      <c r="BR479" s="990">
        <v>2700</v>
      </c>
      <c r="BS479" s="990">
        <v>3100</v>
      </c>
      <c r="BT479" s="1373"/>
      <c r="BU479" s="2791">
        <v>3200</v>
      </c>
      <c r="BV479" s="2791"/>
      <c r="BW479" s="2791"/>
      <c r="BX479" s="2791"/>
      <c r="BY479" s="2824"/>
      <c r="BZ479" s="2791"/>
      <c r="CA479" s="2791"/>
      <c r="CB479" s="2791"/>
      <c r="CC479" s="2791"/>
      <c r="CD479" s="2824"/>
      <c r="CE479" s="990"/>
      <c r="CF479" s="990"/>
      <c r="CG479" s="990"/>
      <c r="CH479" s="990"/>
      <c r="CI479" s="1373"/>
      <c r="CJ479" s="990"/>
      <c r="CK479" s="990"/>
      <c r="CL479" s="990"/>
      <c r="CM479" s="990"/>
      <c r="CN479" s="1373"/>
      <c r="CO479" s="990"/>
      <c r="CP479" s="990"/>
      <c r="CQ479" s="990"/>
      <c r="CR479" s="990"/>
      <c r="CS479" s="1373"/>
      <c r="CT479" s="990"/>
      <c r="CU479" s="990"/>
      <c r="CV479" s="990"/>
      <c r="CW479" s="990"/>
      <c r="CX479" s="1373"/>
      <c r="DH479" s="1398"/>
      <c r="DI479" s="1364"/>
      <c r="DJ479" s="1398"/>
      <c r="DK479" s="1398"/>
      <c r="DL479" s="1398"/>
      <c r="DM479" s="1364"/>
      <c r="DN479" s="1364"/>
      <c r="DO479" s="1364"/>
      <c r="DP479" s="1364"/>
      <c r="DQ479" s="1364"/>
      <c r="DR479" s="997"/>
    </row>
    <row r="480" spans="1:122" s="992" customFormat="1" ht="12" hidden="1" outlineLevel="1">
      <c r="A480" s="994" t="s">
        <v>910</v>
      </c>
      <c r="B480" s="994"/>
      <c r="C480" s="994"/>
      <c r="D480" s="994"/>
      <c r="E480" s="994"/>
      <c r="F480" s="994"/>
      <c r="G480" s="994"/>
      <c r="H480" s="994"/>
      <c r="I480" s="994"/>
      <c r="J480" s="994"/>
      <c r="K480" s="994"/>
      <c r="L480" s="994"/>
      <c r="M480" s="994"/>
      <c r="N480" s="994"/>
      <c r="O480" s="994"/>
      <c r="P480" s="994"/>
      <c r="Q480" s="994"/>
      <c r="R480" s="994"/>
      <c r="S480" s="994"/>
      <c r="T480" s="994"/>
      <c r="U480" s="994"/>
      <c r="V480" s="994"/>
      <c r="W480" s="994"/>
      <c r="X480" s="994"/>
      <c r="Y480" s="994"/>
      <c r="Z480" s="994"/>
      <c r="AA480" s="994"/>
      <c r="AB480" s="994"/>
      <c r="AC480" s="994"/>
      <c r="AD480" s="994"/>
      <c r="AE480" s="994"/>
      <c r="AF480" s="994"/>
      <c r="AG480" s="994"/>
      <c r="AH480" s="994"/>
      <c r="AI480" s="994"/>
      <c r="AJ480" s="994"/>
      <c r="AK480" s="994"/>
      <c r="AL480" s="994"/>
      <c r="AM480" s="994"/>
      <c r="AN480" s="994"/>
      <c r="AO480" s="994"/>
      <c r="AP480" s="994"/>
      <c r="AQ480" s="994"/>
      <c r="AR480" s="994"/>
      <c r="AS480" s="994"/>
      <c r="AT480" s="994"/>
      <c r="AU480" s="994"/>
      <c r="AV480" s="994"/>
      <c r="AW480" s="994"/>
      <c r="AX480" s="994"/>
      <c r="AY480" s="994"/>
      <c r="AZ480" s="1365"/>
      <c r="BA480" s="994"/>
      <c r="BB480" s="994"/>
      <c r="BC480" s="994"/>
      <c r="BD480" s="994"/>
      <c r="BE480" s="1365"/>
      <c r="BF480" s="994"/>
      <c r="BG480" s="994"/>
      <c r="BH480" s="994"/>
      <c r="BI480" s="994"/>
      <c r="BJ480" s="1365"/>
      <c r="BK480" s="994"/>
      <c r="BL480" s="995">
        <f t="shared" ref="BL480:CI480" si="584">IF(ISERROR(BL130/AVERAGE(BL478:BL479)-1),"",(BL130/AVERAGE(BL478:BL479)-1))</f>
        <v>-1.1111111111111072E-2</v>
      </c>
      <c r="BM480" s="995">
        <f t="shared" si="584"/>
        <v>5.6666666666666643E-2</v>
      </c>
      <c r="BN480" s="995">
        <f t="shared" si="584"/>
        <v>7.714285714285718E-2</v>
      </c>
      <c r="BO480" s="1365" t="str">
        <f t="shared" si="584"/>
        <v/>
      </c>
      <c r="BP480" s="995">
        <f t="shared" si="584"/>
        <v>6.9777777777777716E-2</v>
      </c>
      <c r="BQ480" s="995">
        <f t="shared" si="584"/>
        <v>1.68627450980392E-2</v>
      </c>
      <c r="BR480" s="995">
        <f t="shared" si="584"/>
        <v>4.1509433962264142E-2</v>
      </c>
      <c r="BS480" s="995">
        <f t="shared" si="584"/>
        <v>8.5245901639343646E-3</v>
      </c>
      <c r="BT480" s="1374" t="str">
        <f t="shared" si="584"/>
        <v/>
      </c>
      <c r="BU480" s="995" t="str">
        <f t="shared" si="584"/>
        <v/>
      </c>
      <c r="BV480" s="995" t="str">
        <f t="shared" si="584"/>
        <v/>
      </c>
      <c r="BW480" s="995" t="str">
        <f t="shared" si="584"/>
        <v/>
      </c>
      <c r="BX480" s="995" t="str">
        <f t="shared" si="584"/>
        <v/>
      </c>
      <c r="BY480" s="1374" t="str">
        <f t="shared" si="584"/>
        <v/>
      </c>
      <c r="BZ480" s="995" t="str">
        <f t="shared" si="584"/>
        <v/>
      </c>
      <c r="CA480" s="995" t="str">
        <f t="shared" si="584"/>
        <v/>
      </c>
      <c r="CB480" s="995" t="str">
        <f t="shared" si="584"/>
        <v/>
      </c>
      <c r="CC480" s="995" t="str">
        <f t="shared" si="584"/>
        <v/>
      </c>
      <c r="CD480" s="1374" t="str">
        <f t="shared" si="584"/>
        <v/>
      </c>
      <c r="CE480" s="995" t="str">
        <f t="shared" si="584"/>
        <v/>
      </c>
      <c r="CF480" s="995" t="str">
        <f t="shared" si="584"/>
        <v/>
      </c>
      <c r="CG480" s="995" t="str">
        <f t="shared" si="584"/>
        <v/>
      </c>
      <c r="CH480" s="995" t="str">
        <f t="shared" si="584"/>
        <v/>
      </c>
      <c r="CI480" s="1374" t="str">
        <f t="shared" si="584"/>
        <v/>
      </c>
      <c r="CJ480" s="995" t="str">
        <f t="shared" ref="CJ480:CS480" si="585">IF(ISERROR(CJ130/AVERAGE(CJ478:CJ479)-1),"",(CJ130/AVERAGE(CJ478:CJ479)-1))</f>
        <v/>
      </c>
      <c r="CK480" s="995" t="str">
        <f t="shared" si="585"/>
        <v/>
      </c>
      <c r="CL480" s="995" t="str">
        <f t="shared" si="585"/>
        <v/>
      </c>
      <c r="CM480" s="995" t="str">
        <f t="shared" si="585"/>
        <v/>
      </c>
      <c r="CN480" s="1374" t="str">
        <f t="shared" si="585"/>
        <v/>
      </c>
      <c r="CO480" s="995" t="str">
        <f t="shared" si="585"/>
        <v/>
      </c>
      <c r="CP480" s="995" t="str">
        <f t="shared" si="585"/>
        <v/>
      </c>
      <c r="CQ480" s="995" t="str">
        <f t="shared" si="585"/>
        <v/>
      </c>
      <c r="CR480" s="995" t="str">
        <f t="shared" si="585"/>
        <v/>
      </c>
      <c r="CS480" s="1374" t="str">
        <f t="shared" si="585"/>
        <v/>
      </c>
      <c r="CT480" s="995" t="str">
        <f t="shared" ref="CT480:CX480" si="586">IF(ISERROR(CT130/AVERAGE(CT478:CT479)-1),"",(CT130/AVERAGE(CT478:CT479)-1))</f>
        <v/>
      </c>
      <c r="CU480" s="995" t="str">
        <f t="shared" si="586"/>
        <v/>
      </c>
      <c r="CV480" s="995" t="str">
        <f t="shared" si="586"/>
        <v/>
      </c>
      <c r="CW480" s="995" t="str">
        <f t="shared" si="586"/>
        <v/>
      </c>
      <c r="CX480" s="1374" t="str">
        <f t="shared" si="586"/>
        <v/>
      </c>
      <c r="DH480" s="1398"/>
      <c r="DI480" s="1364"/>
      <c r="DJ480" s="1398"/>
      <c r="DK480" s="1398"/>
      <c r="DL480" s="1398"/>
      <c r="DM480" s="1364"/>
      <c r="DN480" s="1364"/>
      <c r="DO480" s="1364"/>
      <c r="DP480" s="1364"/>
      <c r="DQ480" s="1364"/>
      <c r="DR480" s="997"/>
    </row>
    <row r="481" spans="1:122" s="992" customFormat="1" ht="5.0999999999999996" customHeight="1" collapsed="1">
      <c r="AZ481" s="1364"/>
      <c r="BE481" s="1364"/>
      <c r="BJ481" s="1364"/>
      <c r="BO481" s="1364"/>
      <c r="BT481" s="1364"/>
      <c r="BU481" s="2825"/>
      <c r="BV481" s="2825"/>
      <c r="BW481" s="2825"/>
      <c r="BX481" s="2825"/>
      <c r="BY481" s="2826"/>
      <c r="BZ481" s="2825"/>
      <c r="CA481" s="2825"/>
      <c r="CB481" s="2825"/>
      <c r="CC481" s="2825"/>
      <c r="CD481" s="2826"/>
      <c r="CI481" s="1364"/>
      <c r="CN481" s="1364"/>
      <c r="CS481" s="1364"/>
      <c r="CX481" s="1364"/>
      <c r="DH481" s="1398"/>
      <c r="DI481" s="1364"/>
      <c r="DJ481" s="1398"/>
      <c r="DK481" s="1398"/>
      <c r="DL481" s="1398"/>
      <c r="DM481" s="1364"/>
      <c r="DN481" s="1364"/>
      <c r="DO481" s="1364"/>
      <c r="DP481" s="1364"/>
      <c r="DQ481" s="1364"/>
      <c r="DR481" s="997"/>
    </row>
    <row r="482" spans="1:122" s="992" customFormat="1" ht="12">
      <c r="A482" s="998" t="s">
        <v>1043</v>
      </c>
      <c r="B482" s="996"/>
      <c r="C482" s="996"/>
      <c r="D482" s="996"/>
      <c r="E482" s="996"/>
      <c r="F482" s="996"/>
      <c r="G482" s="996"/>
      <c r="H482" s="996"/>
      <c r="I482" s="996"/>
      <c r="J482" s="996"/>
      <c r="K482" s="996"/>
      <c r="L482" s="996"/>
      <c r="M482" s="996"/>
      <c r="N482" s="996"/>
      <c r="O482" s="996"/>
      <c r="P482" s="996"/>
      <c r="Q482" s="996"/>
      <c r="R482" s="996"/>
      <c r="S482" s="996"/>
      <c r="T482" s="996"/>
      <c r="U482" s="996"/>
      <c r="V482" s="996"/>
      <c r="W482" s="996"/>
      <c r="X482" s="996"/>
      <c r="Y482" s="996"/>
      <c r="Z482" s="996"/>
      <c r="AA482" s="996"/>
      <c r="AB482" s="996"/>
      <c r="AC482" s="996"/>
      <c r="AD482" s="996"/>
      <c r="AE482" s="996"/>
      <c r="AF482" s="996"/>
      <c r="AG482" s="996"/>
      <c r="AH482" s="996"/>
      <c r="AI482" s="996"/>
      <c r="AJ482" s="996"/>
      <c r="AK482" s="996"/>
      <c r="AL482" s="996"/>
      <c r="AM482" s="996"/>
      <c r="AN482" s="996"/>
      <c r="AO482" s="996"/>
      <c r="AP482" s="996"/>
      <c r="AQ482" s="996"/>
      <c r="AR482" s="996"/>
      <c r="AS482" s="996"/>
      <c r="AT482" s="996"/>
      <c r="AU482" s="996"/>
      <c r="AV482" s="996"/>
      <c r="AW482" s="996"/>
      <c r="AX482" s="996"/>
      <c r="AY482" s="996"/>
      <c r="AZ482" s="1366"/>
      <c r="BA482" s="996"/>
      <c r="BB482" s="996"/>
      <c r="BC482" s="996"/>
      <c r="BD482" s="996"/>
      <c r="BE482" s="1366"/>
      <c r="BF482" s="996"/>
      <c r="BG482" s="996"/>
      <c r="BH482" s="996"/>
      <c r="BI482" s="996"/>
      <c r="BJ482" s="1366"/>
      <c r="BK482" s="996"/>
      <c r="BL482" s="996"/>
      <c r="BM482" s="996"/>
      <c r="BN482" s="996"/>
      <c r="BO482" s="1366"/>
      <c r="BP482" s="996"/>
      <c r="BQ482" s="996"/>
      <c r="BR482" s="996"/>
      <c r="BS482" s="996"/>
      <c r="BT482" s="1366"/>
      <c r="BU482" s="2827"/>
      <c r="BV482" s="2827"/>
      <c r="BW482" s="2827"/>
      <c r="BX482" s="2827"/>
      <c r="BY482" s="2828"/>
      <c r="BZ482" s="2827"/>
      <c r="CA482" s="2827"/>
      <c r="CB482" s="2827"/>
      <c r="CC482" s="2827"/>
      <c r="CD482" s="2828"/>
      <c r="CE482" s="996"/>
      <c r="CF482" s="996"/>
      <c r="CG482" s="996"/>
      <c r="CH482" s="996"/>
      <c r="CI482" s="1366"/>
      <c r="CJ482" s="996"/>
      <c r="CK482" s="996"/>
      <c r="CL482" s="996"/>
      <c r="CM482" s="996"/>
      <c r="CN482" s="1366"/>
      <c r="CO482" s="996"/>
      <c r="CP482" s="996"/>
      <c r="CQ482" s="996"/>
      <c r="CR482" s="996"/>
      <c r="CS482" s="1366"/>
      <c r="CT482" s="996"/>
      <c r="CU482" s="996"/>
      <c r="CV482" s="996"/>
      <c r="CW482" s="996"/>
      <c r="CX482" s="1366"/>
      <c r="DH482" s="1398"/>
      <c r="DI482" s="1364"/>
      <c r="DJ482" s="1398"/>
      <c r="DK482" s="1398"/>
      <c r="DL482" s="1398"/>
      <c r="DM482" s="1364"/>
      <c r="DN482" s="1364"/>
      <c r="DO482" s="1364"/>
      <c r="DP482" s="1364"/>
      <c r="DQ482" s="1364"/>
      <c r="DR482" s="997"/>
    </row>
    <row r="483" spans="1:122" s="992" customFormat="1" ht="12">
      <c r="A483" s="992" t="s">
        <v>908</v>
      </c>
      <c r="AZ483" s="1364"/>
      <c r="BE483" s="1364"/>
      <c r="BJ483" s="1364"/>
      <c r="BL483" s="990"/>
      <c r="BM483" s="990"/>
      <c r="BN483" s="990"/>
      <c r="BO483" s="1364"/>
      <c r="BP483" s="990"/>
      <c r="BQ483" s="990"/>
      <c r="BR483" s="990"/>
      <c r="BS483" s="990"/>
      <c r="BT483" s="1373"/>
      <c r="BU483" s="2791"/>
      <c r="BV483" s="2791">
        <v>6600</v>
      </c>
      <c r="BW483" s="2791">
        <v>6400</v>
      </c>
      <c r="BX483" s="2791">
        <v>6500</v>
      </c>
      <c r="BY483" s="2824"/>
      <c r="BZ483" s="2791">
        <v>6400</v>
      </c>
      <c r="CA483" s="2791">
        <v>6900</v>
      </c>
      <c r="CB483" s="2791">
        <v>7650</v>
      </c>
      <c r="CC483" s="2791">
        <v>8200</v>
      </c>
      <c r="CD483" s="2824"/>
      <c r="CE483" s="2671">
        <v>7850</v>
      </c>
      <c r="CF483" s="990">
        <v>8750</v>
      </c>
      <c r="CG483" s="990">
        <v>8600</v>
      </c>
      <c r="CH483" s="2791">
        <v>9550</v>
      </c>
      <c r="CI483" s="1373"/>
      <c r="CJ483" s="990"/>
      <c r="CK483" s="990"/>
      <c r="CL483" s="990"/>
      <c r="CM483" s="990"/>
      <c r="CN483" s="1373"/>
      <c r="CO483" s="990"/>
      <c r="CP483" s="990"/>
      <c r="CQ483" s="990"/>
      <c r="CR483" s="990"/>
      <c r="CS483" s="1373"/>
      <c r="CT483" s="990"/>
      <c r="CU483" s="990"/>
      <c r="CV483" s="990"/>
      <c r="CW483" s="990"/>
      <c r="CX483" s="1373"/>
      <c r="DH483" s="1398"/>
      <c r="DI483" s="1364"/>
      <c r="DJ483" s="1398"/>
      <c r="DK483" s="1398"/>
      <c r="DL483" s="1398"/>
      <c r="DM483" s="1364"/>
      <c r="DN483" s="1364"/>
      <c r="DO483" s="1364"/>
      <c r="DP483" s="1364"/>
      <c r="DQ483" s="1364"/>
      <c r="DR483" s="997"/>
    </row>
    <row r="484" spans="1:122" s="992" customFormat="1" ht="12">
      <c r="A484" s="992" t="s">
        <v>907</v>
      </c>
      <c r="AZ484" s="1364"/>
      <c r="BE484" s="1364"/>
      <c r="BJ484" s="1364"/>
      <c r="BL484" s="990"/>
      <c r="BM484" s="990"/>
      <c r="BN484" s="990"/>
      <c r="BO484" s="1364"/>
      <c r="BP484" s="990"/>
      <c r="BQ484" s="990"/>
      <c r="BR484" s="990"/>
      <c r="BS484" s="990"/>
      <c r="BT484" s="1373"/>
      <c r="BU484" s="2791"/>
      <c r="BV484" s="2791">
        <v>6700</v>
      </c>
      <c r="BW484" s="2791">
        <v>6600</v>
      </c>
      <c r="BX484" s="2791">
        <v>6700</v>
      </c>
      <c r="BY484" s="2824"/>
      <c r="BZ484" s="2791">
        <v>6600</v>
      </c>
      <c r="CA484" s="2791">
        <v>7100</v>
      </c>
      <c r="CB484" s="2791">
        <v>7850</v>
      </c>
      <c r="CC484" s="2791">
        <v>8400</v>
      </c>
      <c r="CD484" s="2824"/>
      <c r="CE484" s="2671">
        <v>8050</v>
      </c>
      <c r="CF484" s="990">
        <v>8950</v>
      </c>
      <c r="CG484" s="990">
        <v>8800</v>
      </c>
      <c r="CH484" s="2791">
        <v>9750</v>
      </c>
      <c r="CI484" s="1373"/>
      <c r="CJ484" s="990"/>
      <c r="CK484" s="990"/>
      <c r="CL484" s="990"/>
      <c r="CM484" s="990"/>
      <c r="CN484" s="1373"/>
      <c r="CO484" s="990"/>
      <c r="CP484" s="990"/>
      <c r="CQ484" s="990"/>
      <c r="CR484" s="990"/>
      <c r="CS484" s="1373"/>
      <c r="CT484" s="990"/>
      <c r="CU484" s="990"/>
      <c r="CV484" s="990"/>
      <c r="CW484" s="990"/>
      <c r="CX484" s="1373"/>
      <c r="DH484" s="1398"/>
      <c r="DI484" s="1364"/>
      <c r="DJ484" s="1398"/>
      <c r="DK484" s="1398"/>
      <c r="DL484" s="1398"/>
      <c r="DM484" s="1364"/>
      <c r="DN484" s="1364"/>
      <c r="DO484" s="1364"/>
      <c r="DP484" s="1364"/>
      <c r="DQ484" s="1364"/>
      <c r="DR484" s="997"/>
    </row>
    <row r="485" spans="1:122" s="992" customFormat="1" ht="12">
      <c r="A485" s="994" t="s">
        <v>910</v>
      </c>
      <c r="B485" s="994"/>
      <c r="C485" s="994"/>
      <c r="D485" s="994"/>
      <c r="E485" s="994"/>
      <c r="F485" s="994"/>
      <c r="G485" s="994"/>
      <c r="H485" s="994"/>
      <c r="I485" s="994"/>
      <c r="J485" s="994"/>
      <c r="K485" s="994"/>
      <c r="L485" s="994"/>
      <c r="M485" s="994"/>
      <c r="N485" s="994"/>
      <c r="O485" s="994"/>
      <c r="P485" s="994"/>
      <c r="Q485" s="994"/>
      <c r="R485" s="994"/>
      <c r="S485" s="994"/>
      <c r="T485" s="994"/>
      <c r="U485" s="994"/>
      <c r="V485" s="994"/>
      <c r="W485" s="994"/>
      <c r="X485" s="994"/>
      <c r="Y485" s="994"/>
      <c r="Z485" s="994"/>
      <c r="AA485" s="994"/>
      <c r="AB485" s="994"/>
      <c r="AC485" s="994"/>
      <c r="AD485" s="994"/>
      <c r="AE485" s="994"/>
      <c r="AF485" s="994"/>
      <c r="AG485" s="994"/>
      <c r="AH485" s="994"/>
      <c r="AI485" s="994"/>
      <c r="AJ485" s="994"/>
      <c r="AK485" s="994"/>
      <c r="AL485" s="994"/>
      <c r="AM485" s="994"/>
      <c r="AN485" s="994"/>
      <c r="AO485" s="994"/>
      <c r="AP485" s="994"/>
      <c r="AQ485" s="994"/>
      <c r="AR485" s="994"/>
      <c r="AS485" s="994"/>
      <c r="AT485" s="994"/>
      <c r="AU485" s="994"/>
      <c r="AV485" s="994"/>
      <c r="AW485" s="994"/>
      <c r="AX485" s="994"/>
      <c r="AY485" s="994"/>
      <c r="AZ485" s="1365"/>
      <c r="BA485" s="994"/>
      <c r="BB485" s="994"/>
      <c r="BC485" s="994"/>
      <c r="BD485" s="994"/>
      <c r="BE485" s="1365"/>
      <c r="BF485" s="994"/>
      <c r="BG485" s="994"/>
      <c r="BH485" s="994"/>
      <c r="BI485" s="994"/>
      <c r="BJ485" s="1365"/>
      <c r="BK485" s="994"/>
      <c r="BL485" s="995"/>
      <c r="BM485" s="995"/>
      <c r="BN485" s="995"/>
      <c r="BO485" s="1365"/>
      <c r="BP485" s="995"/>
      <c r="BQ485" s="995"/>
      <c r="BR485" s="995"/>
      <c r="BS485" s="995"/>
      <c r="BT485" s="1374"/>
      <c r="BU485" s="995"/>
      <c r="BV485" s="995"/>
      <c r="BW485" s="995"/>
      <c r="BX485" s="995"/>
      <c r="BY485" s="1374"/>
      <c r="BZ485" s="995"/>
      <c r="CA485" s="995"/>
      <c r="CB485" s="995"/>
      <c r="CC485" s="995"/>
      <c r="CD485" s="1374"/>
      <c r="CE485" s="2672"/>
      <c r="CF485" s="995"/>
      <c r="CG485" s="995"/>
      <c r="CH485" s="995"/>
      <c r="CI485" s="1374"/>
      <c r="CJ485" s="995"/>
      <c r="CK485" s="995"/>
      <c r="CL485" s="995"/>
      <c r="CM485" s="995"/>
      <c r="CN485" s="1374"/>
      <c r="CO485" s="995"/>
      <c r="CP485" s="995"/>
      <c r="CQ485" s="995"/>
      <c r="CR485" s="995"/>
      <c r="CS485" s="1374"/>
      <c r="CT485" s="995"/>
      <c r="CU485" s="995"/>
      <c r="CV485" s="995"/>
      <c r="CW485" s="995"/>
      <c r="CX485" s="1374"/>
      <c r="DH485" s="1398"/>
      <c r="DI485" s="1364"/>
      <c r="DJ485" s="1398"/>
      <c r="DK485" s="1398"/>
      <c r="DL485" s="1398"/>
      <c r="DM485" s="1364"/>
      <c r="DN485" s="1364"/>
      <c r="DO485" s="1364"/>
      <c r="DP485" s="1364"/>
      <c r="DQ485" s="1364"/>
      <c r="DR485" s="997"/>
    </row>
    <row r="486" spans="1:122" s="992" customFormat="1" ht="12">
      <c r="AZ486" s="1364"/>
      <c r="BE486" s="1364"/>
      <c r="BJ486" s="1364"/>
      <c r="BO486" s="1364"/>
      <c r="BT486" s="1364"/>
      <c r="BU486" s="2825"/>
      <c r="BV486" s="2825"/>
      <c r="BW486" s="2825"/>
      <c r="BX486" s="2825"/>
      <c r="BY486" s="2826"/>
      <c r="BZ486" s="2825"/>
      <c r="CA486" s="2825"/>
      <c r="CB486" s="2825"/>
      <c r="CC486" s="2825"/>
      <c r="CD486" s="2826"/>
      <c r="CE486" s="2673"/>
      <c r="CH486" s="2825"/>
      <c r="CI486" s="1364"/>
      <c r="CN486" s="1364"/>
      <c r="CS486" s="1364"/>
      <c r="CX486" s="1364"/>
      <c r="DH486" s="1398"/>
      <c r="DI486" s="1364"/>
      <c r="DJ486" s="1398"/>
      <c r="DK486" s="1398"/>
      <c r="DL486" s="1398"/>
      <c r="DM486" s="1364"/>
      <c r="DN486" s="1364"/>
      <c r="DO486" s="1364"/>
      <c r="DP486" s="1364"/>
      <c r="DQ486" s="1364"/>
      <c r="DR486" s="997"/>
    </row>
    <row r="487" spans="1:122" s="992" customFormat="1" ht="12">
      <c r="A487" s="998" t="s">
        <v>1045</v>
      </c>
      <c r="B487" s="996"/>
      <c r="C487" s="996"/>
      <c r="D487" s="996"/>
      <c r="E487" s="996"/>
      <c r="F487" s="996"/>
      <c r="G487" s="996"/>
      <c r="H487" s="996"/>
      <c r="I487" s="996"/>
      <c r="J487" s="996"/>
      <c r="K487" s="996"/>
      <c r="L487" s="996"/>
      <c r="M487" s="996"/>
      <c r="N487" s="996"/>
      <c r="O487" s="996"/>
      <c r="P487" s="996"/>
      <c r="Q487" s="996"/>
      <c r="R487" s="996"/>
      <c r="S487" s="996"/>
      <c r="T487" s="996"/>
      <c r="U487" s="996"/>
      <c r="V487" s="996"/>
      <c r="W487" s="996"/>
      <c r="X487" s="996"/>
      <c r="Y487" s="996"/>
      <c r="Z487" s="996"/>
      <c r="AA487" s="996"/>
      <c r="AB487" s="996"/>
      <c r="AC487" s="996"/>
      <c r="AD487" s="996"/>
      <c r="AE487" s="996"/>
      <c r="AF487" s="996"/>
      <c r="AG487" s="996"/>
      <c r="AH487" s="996"/>
      <c r="AI487" s="996"/>
      <c r="AJ487" s="996"/>
      <c r="AK487" s="996"/>
      <c r="AL487" s="996"/>
      <c r="AM487" s="996"/>
      <c r="AN487" s="996"/>
      <c r="AO487" s="996"/>
      <c r="AP487" s="996"/>
      <c r="AQ487" s="996"/>
      <c r="AR487" s="996"/>
      <c r="AS487" s="996"/>
      <c r="AT487" s="996"/>
      <c r="AU487" s="996"/>
      <c r="AV487" s="996"/>
      <c r="AW487" s="996"/>
      <c r="AX487" s="996"/>
      <c r="AY487" s="996"/>
      <c r="AZ487" s="1366"/>
      <c r="BA487" s="996"/>
      <c r="BB487" s="996"/>
      <c r="BC487" s="996"/>
      <c r="BD487" s="996"/>
      <c r="BE487" s="1366"/>
      <c r="BF487" s="996"/>
      <c r="BG487" s="996"/>
      <c r="BH487" s="996"/>
      <c r="BI487" s="996"/>
      <c r="BJ487" s="1366"/>
      <c r="BK487" s="996"/>
      <c r="BL487" s="996"/>
      <c r="BM487" s="996"/>
      <c r="BN487" s="996"/>
      <c r="BO487" s="1366"/>
      <c r="BP487" s="996"/>
      <c r="BQ487" s="996"/>
      <c r="BR487" s="996"/>
      <c r="BS487" s="996"/>
      <c r="BT487" s="1366"/>
      <c r="BU487" s="2827"/>
      <c r="BV487" s="2827"/>
      <c r="BW487" s="2827"/>
      <c r="BX487" s="2827"/>
      <c r="BY487" s="2828"/>
      <c r="BZ487" s="2827"/>
      <c r="CA487" s="2827"/>
      <c r="CB487" s="2827"/>
      <c r="CC487" s="2827"/>
      <c r="CD487" s="2828"/>
      <c r="CE487" s="2674"/>
      <c r="CF487" s="996"/>
      <c r="CG487" s="996"/>
      <c r="CH487" s="2827"/>
      <c r="CI487" s="1366"/>
      <c r="CJ487" s="996"/>
      <c r="CK487" s="996"/>
      <c r="CL487" s="996"/>
      <c r="CM487" s="996"/>
      <c r="CN487" s="1366"/>
      <c r="CO487" s="996"/>
      <c r="CP487" s="996"/>
      <c r="CQ487" s="996"/>
      <c r="CR487" s="996"/>
      <c r="CS487" s="1366"/>
      <c r="CT487" s="996"/>
      <c r="CU487" s="996"/>
      <c r="CV487" s="996"/>
      <c r="CW487" s="996"/>
      <c r="CX487" s="1366"/>
      <c r="DH487" s="1398"/>
      <c r="DI487" s="1364"/>
      <c r="DJ487" s="1398"/>
      <c r="DK487" s="1398"/>
      <c r="DL487" s="1398"/>
      <c r="DM487" s="1364"/>
      <c r="DN487" s="1364"/>
      <c r="DO487" s="1364"/>
      <c r="DP487" s="1364"/>
      <c r="DQ487" s="1364"/>
      <c r="DR487" s="997"/>
    </row>
    <row r="488" spans="1:122" s="992" customFormat="1" ht="12">
      <c r="A488" s="992" t="s">
        <v>908</v>
      </c>
      <c r="AZ488" s="1364"/>
      <c r="BE488" s="1364"/>
      <c r="BJ488" s="1364"/>
      <c r="BL488" s="990"/>
      <c r="BM488" s="990"/>
      <c r="BN488" s="990"/>
      <c r="BO488" s="1364"/>
      <c r="BP488" s="990"/>
      <c r="BQ488" s="990"/>
      <c r="BR488" s="990"/>
      <c r="BS488" s="990"/>
      <c r="BT488" s="1373"/>
      <c r="BU488" s="2791"/>
      <c r="BV488" s="2791">
        <v>6200</v>
      </c>
      <c r="BW488" s="2791">
        <v>6100</v>
      </c>
      <c r="BX488" s="2791">
        <v>6500</v>
      </c>
      <c r="BY488" s="2824"/>
      <c r="BZ488" s="2791">
        <v>6100</v>
      </c>
      <c r="CA488" s="2791">
        <v>6550</v>
      </c>
      <c r="CB488" s="2791">
        <v>6450</v>
      </c>
      <c r="CC488" s="2791">
        <v>7200</v>
      </c>
      <c r="CD488" s="2824"/>
      <c r="CE488" s="2671">
        <v>6550</v>
      </c>
      <c r="CF488" s="990">
        <v>7350</v>
      </c>
      <c r="CG488" s="990">
        <v>7550</v>
      </c>
      <c r="CH488" s="2791">
        <v>8950</v>
      </c>
      <c r="CI488" s="1373"/>
      <c r="CJ488" s="990"/>
      <c r="CK488" s="990"/>
      <c r="CL488" s="990"/>
      <c r="CM488" s="990"/>
      <c r="CN488" s="1373"/>
      <c r="CO488" s="990"/>
      <c r="CP488" s="990"/>
      <c r="CQ488" s="990"/>
      <c r="CR488" s="990"/>
      <c r="CS488" s="1373"/>
      <c r="CT488" s="990"/>
      <c r="CU488" s="990"/>
      <c r="CV488" s="990"/>
      <c r="CW488" s="990"/>
      <c r="CX488" s="1373"/>
      <c r="DH488" s="1398"/>
      <c r="DI488" s="1364"/>
      <c r="DJ488" s="1398"/>
      <c r="DK488" s="1398"/>
      <c r="DL488" s="1398"/>
      <c r="DM488" s="1364"/>
      <c r="DN488" s="1364"/>
      <c r="DO488" s="1364"/>
      <c r="DP488" s="1364"/>
      <c r="DQ488" s="1364"/>
      <c r="DR488" s="997"/>
    </row>
    <row r="489" spans="1:122" s="992" customFormat="1" ht="12">
      <c r="A489" s="992" t="s">
        <v>907</v>
      </c>
      <c r="AZ489" s="1364"/>
      <c r="BE489" s="1364"/>
      <c r="BJ489" s="1364"/>
      <c r="BL489" s="990"/>
      <c r="BM489" s="990"/>
      <c r="BN489" s="990"/>
      <c r="BO489" s="1364"/>
      <c r="BP489" s="990"/>
      <c r="BQ489" s="990"/>
      <c r="BR489" s="990"/>
      <c r="BS489" s="990"/>
      <c r="BT489" s="1373"/>
      <c r="BU489" s="2791"/>
      <c r="BV489" s="2791">
        <v>6300</v>
      </c>
      <c r="BW489" s="2791">
        <v>6300</v>
      </c>
      <c r="BX489" s="2791">
        <v>6700</v>
      </c>
      <c r="BY489" s="2824"/>
      <c r="BZ489" s="2791">
        <v>6300</v>
      </c>
      <c r="CA489" s="2791">
        <v>6750</v>
      </c>
      <c r="CB489" s="2791">
        <v>6650</v>
      </c>
      <c r="CC489" s="2791">
        <v>7400</v>
      </c>
      <c r="CD489" s="2824"/>
      <c r="CE489" s="2671">
        <v>6750</v>
      </c>
      <c r="CF489" s="990">
        <v>7550</v>
      </c>
      <c r="CG489" s="990">
        <v>7750</v>
      </c>
      <c r="CH489" s="2791">
        <v>9150</v>
      </c>
      <c r="CI489" s="1373"/>
      <c r="CJ489" s="990"/>
      <c r="CK489" s="990"/>
      <c r="CL489" s="990"/>
      <c r="CM489" s="990"/>
      <c r="CN489" s="1373"/>
      <c r="CO489" s="990"/>
      <c r="CP489" s="990"/>
      <c r="CQ489" s="990"/>
      <c r="CR489" s="990"/>
      <c r="CS489" s="1373"/>
      <c r="CT489" s="990"/>
      <c r="CU489" s="990"/>
      <c r="CV489" s="990"/>
      <c r="CW489" s="990"/>
      <c r="CX489" s="1373"/>
      <c r="DH489" s="1398"/>
      <c r="DI489" s="1364"/>
      <c r="DJ489" s="1398"/>
      <c r="DK489" s="1398"/>
      <c r="DL489" s="1398"/>
      <c r="DM489" s="1364"/>
      <c r="DN489" s="1364"/>
      <c r="DO489" s="1364"/>
      <c r="DP489" s="1364"/>
      <c r="DQ489" s="1364"/>
      <c r="DR489" s="997"/>
    </row>
    <row r="490" spans="1:122" s="992" customFormat="1" ht="12">
      <c r="A490" s="994" t="s">
        <v>910</v>
      </c>
      <c r="B490" s="994"/>
      <c r="C490" s="994"/>
      <c r="D490" s="994"/>
      <c r="E490" s="994"/>
      <c r="F490" s="994"/>
      <c r="G490" s="994"/>
      <c r="H490" s="994"/>
      <c r="I490" s="994"/>
      <c r="J490" s="994"/>
      <c r="K490" s="994"/>
      <c r="L490" s="994"/>
      <c r="M490" s="994"/>
      <c r="N490" s="994"/>
      <c r="O490" s="994"/>
      <c r="P490" s="994"/>
      <c r="Q490" s="994"/>
      <c r="R490" s="994"/>
      <c r="S490" s="994"/>
      <c r="T490" s="994"/>
      <c r="U490" s="994"/>
      <c r="V490" s="994"/>
      <c r="W490" s="994"/>
      <c r="X490" s="994"/>
      <c r="Y490" s="994"/>
      <c r="Z490" s="994"/>
      <c r="AA490" s="994"/>
      <c r="AB490" s="994"/>
      <c r="AC490" s="994"/>
      <c r="AD490" s="994"/>
      <c r="AE490" s="994"/>
      <c r="AF490" s="994"/>
      <c r="AG490" s="994"/>
      <c r="AH490" s="994"/>
      <c r="AI490" s="994"/>
      <c r="AJ490" s="994"/>
      <c r="AK490" s="994"/>
      <c r="AL490" s="994"/>
      <c r="AM490" s="994"/>
      <c r="AN490" s="994"/>
      <c r="AO490" s="994"/>
      <c r="AP490" s="994"/>
      <c r="AQ490" s="994"/>
      <c r="AR490" s="994"/>
      <c r="AS490" s="994"/>
      <c r="AT490" s="994"/>
      <c r="AU490" s="994"/>
      <c r="AV490" s="994"/>
      <c r="AW490" s="994"/>
      <c r="AX490" s="994"/>
      <c r="AY490" s="994"/>
      <c r="AZ490" s="1365"/>
      <c r="BA490" s="994"/>
      <c r="BB490" s="994"/>
      <c r="BC490" s="994"/>
      <c r="BD490" s="994"/>
      <c r="BE490" s="1365"/>
      <c r="BF490" s="994"/>
      <c r="BG490" s="994"/>
      <c r="BH490" s="994"/>
      <c r="BI490" s="994"/>
      <c r="BJ490" s="1365"/>
      <c r="BK490" s="994"/>
      <c r="BL490" s="995"/>
      <c r="BM490" s="995"/>
      <c r="BN490" s="995"/>
      <c r="BO490" s="1365"/>
      <c r="BP490" s="995"/>
      <c r="BQ490" s="995"/>
      <c r="BR490" s="995"/>
      <c r="BS490" s="995"/>
      <c r="BT490" s="1374"/>
      <c r="BU490" s="995"/>
      <c r="BV490" s="995"/>
      <c r="BW490" s="995"/>
      <c r="BX490" s="995"/>
      <c r="BY490" s="1374"/>
      <c r="BZ490" s="995"/>
      <c r="CA490" s="995"/>
      <c r="CB490" s="995"/>
      <c r="CC490" s="995"/>
      <c r="CD490" s="1374"/>
      <c r="CE490" s="2672"/>
      <c r="CF490" s="995"/>
      <c r="CG490" s="995"/>
      <c r="CH490" s="995"/>
      <c r="CI490" s="1374"/>
      <c r="CJ490" s="995"/>
      <c r="CK490" s="995"/>
      <c r="CL490" s="995"/>
      <c r="CM490" s="995"/>
      <c r="CN490" s="1374"/>
      <c r="CO490" s="995"/>
      <c r="CP490" s="995"/>
      <c r="CQ490" s="995"/>
      <c r="CR490" s="995"/>
      <c r="CS490" s="1374"/>
      <c r="CT490" s="995"/>
      <c r="CU490" s="995"/>
      <c r="CV490" s="995"/>
      <c r="CW490" s="995"/>
      <c r="CX490" s="1374"/>
      <c r="DH490" s="1398"/>
      <c r="DI490" s="1364"/>
      <c r="DJ490" s="1398"/>
      <c r="DK490" s="1398"/>
      <c r="DL490" s="1398"/>
      <c r="DM490" s="1364"/>
      <c r="DN490" s="1364"/>
      <c r="DO490" s="1364"/>
      <c r="DP490" s="1364"/>
      <c r="DQ490" s="1364"/>
      <c r="DR490" s="997"/>
    </row>
    <row r="491" spans="1:122" s="992" customFormat="1" ht="12">
      <c r="AZ491" s="1364"/>
      <c r="BE491" s="1364"/>
      <c r="BJ491" s="1364"/>
      <c r="BO491" s="1364"/>
      <c r="BT491" s="1364"/>
      <c r="BU491" s="2825"/>
      <c r="BV491" s="2825"/>
      <c r="BW491" s="2825"/>
      <c r="BX491" s="2825"/>
      <c r="BY491" s="2826"/>
      <c r="BZ491" s="2825"/>
      <c r="CA491" s="2825"/>
      <c r="CB491" s="2825"/>
      <c r="CC491" s="2825"/>
      <c r="CD491" s="2826"/>
      <c r="CE491" s="2673"/>
      <c r="CH491" s="2825"/>
      <c r="CI491" s="1364"/>
      <c r="CN491" s="1364"/>
      <c r="CS491" s="1364"/>
      <c r="CX491" s="1364"/>
      <c r="DH491" s="1398"/>
      <c r="DI491" s="1364"/>
      <c r="DJ491" s="1398"/>
      <c r="DK491" s="1398"/>
      <c r="DL491" s="1398"/>
      <c r="DM491" s="1364"/>
      <c r="DN491" s="1364"/>
      <c r="DO491" s="1364"/>
      <c r="DP491" s="1364"/>
      <c r="DQ491" s="1364"/>
      <c r="DR491" s="997"/>
    </row>
    <row r="492" spans="1:122" s="992" customFormat="1" ht="12">
      <c r="A492" s="998" t="s">
        <v>1047</v>
      </c>
      <c r="B492" s="996"/>
      <c r="C492" s="996"/>
      <c r="D492" s="996"/>
      <c r="E492" s="996"/>
      <c r="F492" s="996"/>
      <c r="G492" s="996"/>
      <c r="H492" s="996"/>
      <c r="I492" s="996"/>
      <c r="J492" s="996"/>
      <c r="K492" s="996"/>
      <c r="L492" s="996"/>
      <c r="M492" s="996"/>
      <c r="N492" s="996"/>
      <c r="O492" s="996"/>
      <c r="P492" s="996"/>
      <c r="Q492" s="996"/>
      <c r="R492" s="996"/>
      <c r="S492" s="996"/>
      <c r="T492" s="996"/>
      <c r="U492" s="996"/>
      <c r="V492" s="996"/>
      <c r="W492" s="996"/>
      <c r="X492" s="996"/>
      <c r="Y492" s="996"/>
      <c r="Z492" s="996"/>
      <c r="AA492" s="996"/>
      <c r="AB492" s="996"/>
      <c r="AC492" s="996"/>
      <c r="AD492" s="996"/>
      <c r="AE492" s="996"/>
      <c r="AF492" s="996"/>
      <c r="AG492" s="996"/>
      <c r="AH492" s="996"/>
      <c r="AI492" s="996"/>
      <c r="AJ492" s="996"/>
      <c r="AK492" s="996"/>
      <c r="AL492" s="996"/>
      <c r="AM492" s="996"/>
      <c r="AN492" s="996"/>
      <c r="AO492" s="996"/>
      <c r="AP492" s="996"/>
      <c r="AQ492" s="996"/>
      <c r="AR492" s="996"/>
      <c r="AS492" s="996"/>
      <c r="AT492" s="996"/>
      <c r="AU492" s="996"/>
      <c r="AV492" s="996"/>
      <c r="AW492" s="996"/>
      <c r="AX492" s="996"/>
      <c r="AY492" s="996"/>
      <c r="AZ492" s="1366"/>
      <c r="BA492" s="996"/>
      <c r="BB492" s="996"/>
      <c r="BC492" s="996"/>
      <c r="BD492" s="996"/>
      <c r="BE492" s="1366"/>
      <c r="BF492" s="996"/>
      <c r="BG492" s="996"/>
      <c r="BH492" s="996"/>
      <c r="BI492" s="996"/>
      <c r="BJ492" s="1366"/>
      <c r="BK492" s="996"/>
      <c r="BL492" s="996"/>
      <c r="BM492" s="996"/>
      <c r="BN492" s="996"/>
      <c r="BO492" s="1366"/>
      <c r="BP492" s="996"/>
      <c r="BQ492" s="996"/>
      <c r="BR492" s="996"/>
      <c r="BS492" s="996"/>
      <c r="BT492" s="1366"/>
      <c r="BU492" s="2827"/>
      <c r="BV492" s="2827"/>
      <c r="BW492" s="2827"/>
      <c r="BX492" s="2827"/>
      <c r="BY492" s="2828"/>
      <c r="BZ492" s="2827"/>
      <c r="CA492" s="2827"/>
      <c r="CB492" s="2827"/>
      <c r="CC492" s="2827"/>
      <c r="CD492" s="2828"/>
      <c r="CE492" s="2674"/>
      <c r="CF492" s="996"/>
      <c r="CG492" s="996"/>
      <c r="CH492" s="2827"/>
      <c r="CI492" s="1366"/>
      <c r="CJ492" s="996"/>
      <c r="CK492" s="996"/>
      <c r="CL492" s="996"/>
      <c r="CM492" s="996"/>
      <c r="CN492" s="1366"/>
      <c r="CO492" s="996"/>
      <c r="CP492" s="996"/>
      <c r="CQ492" s="996"/>
      <c r="CR492" s="996"/>
      <c r="CS492" s="1366"/>
      <c r="CT492" s="996"/>
      <c r="CU492" s="996"/>
      <c r="CV492" s="996"/>
      <c r="CW492" s="996"/>
      <c r="CX492" s="1366"/>
      <c r="DH492" s="1398"/>
      <c r="DI492" s="1364"/>
      <c r="DJ492" s="1398"/>
      <c r="DK492" s="1398"/>
      <c r="DL492" s="1398"/>
      <c r="DM492" s="1364"/>
      <c r="DN492" s="1364"/>
      <c r="DO492" s="1364"/>
      <c r="DP492" s="1364"/>
      <c r="DQ492" s="1364"/>
      <c r="DR492" s="997"/>
    </row>
    <row r="493" spans="1:122" s="992" customFormat="1" ht="12">
      <c r="A493" s="992" t="s">
        <v>908</v>
      </c>
      <c r="AZ493" s="1364"/>
      <c r="BE493" s="1364"/>
      <c r="BJ493" s="1364"/>
      <c r="BL493" s="990"/>
      <c r="BM493" s="990"/>
      <c r="BN493" s="990"/>
      <c r="BO493" s="1364"/>
      <c r="BP493" s="990"/>
      <c r="BQ493" s="990"/>
      <c r="BR493" s="990"/>
      <c r="BS493" s="990"/>
      <c r="BT493" s="1373"/>
      <c r="BU493" s="2791"/>
      <c r="BV493" s="2791">
        <v>12000</v>
      </c>
      <c r="BW493" s="2791">
        <v>9100</v>
      </c>
      <c r="BX493" s="2791">
        <v>8700</v>
      </c>
      <c r="BY493" s="2824"/>
      <c r="BZ493" s="2791">
        <v>8700</v>
      </c>
      <c r="CA493" s="2791">
        <v>11200</v>
      </c>
      <c r="CB493" s="2791">
        <v>9050</v>
      </c>
      <c r="CC493" s="2791">
        <v>8400</v>
      </c>
      <c r="CD493" s="2824"/>
      <c r="CE493" s="2671">
        <v>8600</v>
      </c>
      <c r="CF493" s="990">
        <v>11700</v>
      </c>
      <c r="CG493" s="990">
        <v>9100</v>
      </c>
      <c r="CH493" s="2791">
        <v>10300</v>
      </c>
      <c r="CI493" s="1373"/>
      <c r="CJ493" s="990"/>
      <c r="CK493" s="990"/>
      <c r="CL493" s="990"/>
      <c r="CM493" s="990"/>
      <c r="CN493" s="1373"/>
      <c r="CO493" s="990"/>
      <c r="CP493" s="990"/>
      <c r="CQ493" s="990"/>
      <c r="CR493" s="990"/>
      <c r="CS493" s="1373"/>
      <c r="CT493" s="990"/>
      <c r="CU493" s="990"/>
      <c r="CV493" s="990"/>
      <c r="CW493" s="990"/>
      <c r="CX493" s="1373"/>
      <c r="DH493" s="1398"/>
      <c r="DI493" s="1364"/>
      <c r="DJ493" s="1398"/>
      <c r="DK493" s="1398"/>
      <c r="DL493" s="1398"/>
      <c r="DM493" s="1364"/>
      <c r="DN493" s="1364"/>
      <c r="DO493" s="1364"/>
      <c r="DP493" s="1364"/>
      <c r="DQ493" s="1364"/>
      <c r="DR493" s="997"/>
    </row>
    <row r="494" spans="1:122" s="992" customFormat="1" ht="12">
      <c r="A494" s="992" t="s">
        <v>907</v>
      </c>
      <c r="AZ494" s="1364"/>
      <c r="BE494" s="1364"/>
      <c r="BJ494" s="1364"/>
      <c r="BL494" s="990"/>
      <c r="BM494" s="990"/>
      <c r="BN494" s="990"/>
      <c r="BO494" s="1364"/>
      <c r="BP494" s="990"/>
      <c r="BQ494" s="990"/>
      <c r="BR494" s="990"/>
      <c r="BS494" s="990"/>
      <c r="BT494" s="1373"/>
      <c r="BU494" s="2791"/>
      <c r="BV494" s="2791">
        <v>12400</v>
      </c>
      <c r="BW494" s="2791">
        <v>9400</v>
      </c>
      <c r="BX494" s="2791">
        <v>9000</v>
      </c>
      <c r="BY494" s="2824"/>
      <c r="BZ494" s="2791">
        <v>9000</v>
      </c>
      <c r="CA494" s="2791">
        <v>11600</v>
      </c>
      <c r="CB494" s="2791">
        <v>9350</v>
      </c>
      <c r="CC494" s="2791">
        <v>8700</v>
      </c>
      <c r="CD494" s="2824"/>
      <c r="CE494" s="2671">
        <v>8900</v>
      </c>
      <c r="CF494" s="990">
        <v>12100</v>
      </c>
      <c r="CG494" s="990">
        <v>9400</v>
      </c>
      <c r="CH494" s="2791">
        <v>10600</v>
      </c>
      <c r="CI494" s="1373"/>
      <c r="CJ494" s="990"/>
      <c r="CK494" s="990"/>
      <c r="CL494" s="990"/>
      <c r="CM494" s="990"/>
      <c r="CN494" s="1373"/>
      <c r="CO494" s="990"/>
      <c r="CP494" s="990"/>
      <c r="CQ494" s="990"/>
      <c r="CR494" s="990"/>
      <c r="CS494" s="1373"/>
      <c r="CT494" s="990"/>
      <c r="CU494" s="990"/>
      <c r="CV494" s="990"/>
      <c r="CW494" s="990"/>
      <c r="CX494" s="1373"/>
      <c r="DH494" s="1398"/>
      <c r="DI494" s="1364"/>
      <c r="DJ494" s="1398"/>
      <c r="DK494" s="1398"/>
      <c r="DL494" s="1398"/>
      <c r="DM494" s="1364"/>
      <c r="DN494" s="1364"/>
      <c r="DO494" s="1364"/>
      <c r="DP494" s="1364"/>
      <c r="DQ494" s="1364"/>
      <c r="DR494" s="997"/>
    </row>
    <row r="495" spans="1:122" s="992" customFormat="1" ht="12">
      <c r="A495" s="994" t="s">
        <v>910</v>
      </c>
      <c r="B495" s="994"/>
      <c r="C495" s="994"/>
      <c r="D495" s="994"/>
      <c r="E495" s="994"/>
      <c r="F495" s="994"/>
      <c r="G495" s="994"/>
      <c r="H495" s="994"/>
      <c r="I495" s="994"/>
      <c r="J495" s="994"/>
      <c r="K495" s="994"/>
      <c r="L495" s="994"/>
      <c r="M495" s="994"/>
      <c r="N495" s="994"/>
      <c r="O495" s="994"/>
      <c r="P495" s="994"/>
      <c r="Q495" s="994"/>
      <c r="R495" s="994"/>
      <c r="S495" s="994"/>
      <c r="T495" s="994"/>
      <c r="U495" s="994"/>
      <c r="V495" s="994"/>
      <c r="W495" s="994"/>
      <c r="X495" s="994"/>
      <c r="Y495" s="994"/>
      <c r="Z495" s="994"/>
      <c r="AA495" s="994"/>
      <c r="AB495" s="994"/>
      <c r="AC495" s="994"/>
      <c r="AD495" s="994"/>
      <c r="AE495" s="994"/>
      <c r="AF495" s="994"/>
      <c r="AG495" s="994"/>
      <c r="AH495" s="994"/>
      <c r="AI495" s="994"/>
      <c r="AJ495" s="994"/>
      <c r="AK495" s="994"/>
      <c r="AL495" s="994"/>
      <c r="AM495" s="994"/>
      <c r="AN495" s="994"/>
      <c r="AO495" s="994"/>
      <c r="AP495" s="994"/>
      <c r="AQ495" s="994"/>
      <c r="AR495" s="994"/>
      <c r="AS495" s="994"/>
      <c r="AT495" s="994"/>
      <c r="AU495" s="994"/>
      <c r="AV495" s="994"/>
      <c r="AW495" s="994"/>
      <c r="AX495" s="994"/>
      <c r="AY495" s="994"/>
      <c r="AZ495" s="1365"/>
      <c r="BA495" s="994"/>
      <c r="BB495" s="994"/>
      <c r="BC495" s="994"/>
      <c r="BD495" s="994"/>
      <c r="BE495" s="1365"/>
      <c r="BF495" s="994"/>
      <c r="BG495" s="994"/>
      <c r="BH495" s="994"/>
      <c r="BI495" s="994"/>
      <c r="BJ495" s="1365"/>
      <c r="BK495" s="994"/>
      <c r="BL495" s="995"/>
      <c r="BM495" s="995"/>
      <c r="BN495" s="995"/>
      <c r="BO495" s="1365"/>
      <c r="BP495" s="995"/>
      <c r="BQ495" s="995"/>
      <c r="BR495" s="995"/>
      <c r="BS495" s="995"/>
      <c r="BT495" s="1374"/>
      <c r="BU495" s="995"/>
      <c r="BV495" s="995"/>
      <c r="BW495" s="995"/>
      <c r="BX495" s="995"/>
      <c r="BY495" s="1374"/>
      <c r="BZ495" s="995"/>
      <c r="CA495" s="995"/>
      <c r="CB495" s="995"/>
      <c r="CC495" s="995"/>
      <c r="CD495" s="1374"/>
      <c r="CE495" s="2672"/>
      <c r="CF495" s="995"/>
      <c r="CG495" s="995"/>
      <c r="CH495" s="995"/>
      <c r="CI495" s="1374"/>
      <c r="CJ495" s="995"/>
      <c r="CK495" s="995"/>
      <c r="CL495" s="995"/>
      <c r="CM495" s="995"/>
      <c r="CN495" s="1374"/>
      <c r="CO495" s="995"/>
      <c r="CP495" s="995"/>
      <c r="CQ495" s="995"/>
      <c r="CR495" s="995"/>
      <c r="CS495" s="1374"/>
      <c r="CT495" s="995"/>
      <c r="CU495" s="995"/>
      <c r="CV495" s="995"/>
      <c r="CW495" s="995"/>
      <c r="CX495" s="1374"/>
      <c r="DH495" s="1398"/>
      <c r="DI495" s="1364"/>
      <c r="DJ495" s="1398"/>
      <c r="DK495" s="1398"/>
      <c r="DL495" s="1398"/>
      <c r="DM495" s="1364"/>
      <c r="DN495" s="1364"/>
      <c r="DO495" s="1364"/>
      <c r="DP495" s="1364"/>
      <c r="DQ495" s="1364"/>
      <c r="DR495" s="997"/>
    </row>
    <row r="496" spans="1:122" s="992" customFormat="1" ht="12">
      <c r="AZ496" s="1364"/>
      <c r="BE496" s="1364"/>
      <c r="BJ496" s="1364"/>
      <c r="BO496" s="1364"/>
      <c r="BT496" s="1364"/>
      <c r="BU496" s="2825"/>
      <c r="BV496" s="2825"/>
      <c r="BW496" s="2825"/>
      <c r="BX496" s="2825"/>
      <c r="BY496" s="2826"/>
      <c r="BZ496" s="2825"/>
      <c r="CA496" s="2825"/>
      <c r="CB496" s="2825"/>
      <c r="CC496" s="2825"/>
      <c r="CD496" s="2826"/>
      <c r="CE496" s="2673"/>
      <c r="CH496" s="2825"/>
      <c r="CI496" s="1364"/>
      <c r="CN496" s="1364"/>
      <c r="CS496" s="1364"/>
      <c r="CX496" s="1364"/>
      <c r="DH496" s="1398"/>
      <c r="DI496" s="1364"/>
      <c r="DJ496" s="1398"/>
      <c r="DK496" s="1398"/>
      <c r="DL496" s="1398"/>
      <c r="DM496" s="1364"/>
      <c r="DN496" s="1364"/>
      <c r="DO496" s="1364"/>
      <c r="DP496" s="1364"/>
      <c r="DQ496" s="1364"/>
      <c r="DR496" s="997"/>
    </row>
    <row r="497" spans="1:122" s="997" customFormat="1" ht="12">
      <c r="A497" s="998" t="s">
        <v>662</v>
      </c>
      <c r="B497" s="996"/>
      <c r="C497" s="996"/>
      <c r="D497" s="996"/>
      <c r="E497" s="996"/>
      <c r="F497" s="996"/>
      <c r="G497" s="996"/>
      <c r="H497" s="996"/>
      <c r="I497" s="996"/>
      <c r="J497" s="996"/>
      <c r="K497" s="996"/>
      <c r="L497" s="996"/>
      <c r="M497" s="996"/>
      <c r="N497" s="996"/>
      <c r="O497" s="996"/>
      <c r="P497" s="996"/>
      <c r="Q497" s="996"/>
      <c r="R497" s="996"/>
      <c r="S497" s="996"/>
      <c r="T497" s="996"/>
      <c r="U497" s="996"/>
      <c r="V497" s="996"/>
      <c r="W497" s="996"/>
      <c r="X497" s="996"/>
      <c r="Y497" s="996"/>
      <c r="Z497" s="996"/>
      <c r="AA497" s="996"/>
      <c r="AB497" s="996"/>
      <c r="AC497" s="996"/>
      <c r="AD497" s="996"/>
      <c r="AE497" s="996"/>
      <c r="AF497" s="996"/>
      <c r="AG497" s="996"/>
      <c r="AH497" s="996"/>
      <c r="AI497" s="996"/>
      <c r="AJ497" s="996"/>
      <c r="AK497" s="996"/>
      <c r="AL497" s="996"/>
      <c r="AM497" s="996"/>
      <c r="AN497" s="996"/>
      <c r="AO497" s="996"/>
      <c r="AP497" s="996"/>
      <c r="AQ497" s="996"/>
      <c r="AR497" s="996"/>
      <c r="AS497" s="996"/>
      <c r="AT497" s="996"/>
      <c r="AU497" s="996"/>
      <c r="AV497" s="996"/>
      <c r="AW497" s="996"/>
      <c r="AX497" s="996"/>
      <c r="AY497" s="996"/>
      <c r="AZ497" s="1366"/>
      <c r="BA497" s="996"/>
      <c r="BB497" s="996"/>
      <c r="BC497" s="996"/>
      <c r="BD497" s="996"/>
      <c r="BE497" s="1366"/>
      <c r="BF497" s="996"/>
      <c r="BG497" s="996"/>
      <c r="BH497" s="996"/>
      <c r="BI497" s="996"/>
      <c r="BJ497" s="1366"/>
      <c r="BK497" s="996"/>
      <c r="BL497" s="996"/>
      <c r="BM497" s="996"/>
      <c r="BN497" s="996"/>
      <c r="BO497" s="1366"/>
      <c r="BP497" s="996"/>
      <c r="BQ497" s="996"/>
      <c r="BR497" s="996"/>
      <c r="BS497" s="996"/>
      <c r="BT497" s="1366"/>
      <c r="BU497" s="2827"/>
      <c r="BV497" s="2827"/>
      <c r="BW497" s="2827"/>
      <c r="BX497" s="2827"/>
      <c r="BY497" s="2828"/>
      <c r="BZ497" s="2827"/>
      <c r="CA497" s="2827"/>
      <c r="CB497" s="2827"/>
      <c r="CC497" s="2827"/>
      <c r="CD497" s="2828"/>
      <c r="CE497" s="2674"/>
      <c r="CF497" s="996"/>
      <c r="CG497" s="996"/>
      <c r="CH497" s="2827"/>
      <c r="CI497" s="1366"/>
      <c r="CJ497" s="996"/>
      <c r="CK497" s="996"/>
      <c r="CL497" s="996"/>
      <c r="CM497" s="996"/>
      <c r="CN497" s="1366"/>
      <c r="CO497" s="996"/>
      <c r="CP497" s="996"/>
      <c r="CQ497" s="996"/>
      <c r="CR497" s="996"/>
      <c r="CS497" s="1366"/>
      <c r="CT497" s="996"/>
      <c r="CU497" s="996"/>
      <c r="CV497" s="996"/>
      <c r="CW497" s="996"/>
      <c r="CX497" s="1366"/>
      <c r="DH497" s="1398"/>
      <c r="DI497" s="1364"/>
      <c r="DJ497" s="1398"/>
      <c r="DK497" s="1398"/>
      <c r="DL497" s="1398"/>
      <c r="DM497" s="1364"/>
      <c r="DN497" s="1364"/>
      <c r="DO497" s="1364"/>
      <c r="DP497" s="1364"/>
      <c r="DQ497" s="1364"/>
    </row>
    <row r="498" spans="1:122" s="992" customFormat="1" ht="12">
      <c r="A498" s="992" t="s">
        <v>908</v>
      </c>
      <c r="AZ498" s="1364"/>
      <c r="BE498" s="1364"/>
      <c r="BJ498" s="1364"/>
      <c r="BL498" s="990">
        <v>7900</v>
      </c>
      <c r="BM498" s="990">
        <v>6100</v>
      </c>
      <c r="BN498" s="990">
        <v>5700</v>
      </c>
      <c r="BO498" s="1364"/>
      <c r="BP498" s="990">
        <v>7500</v>
      </c>
      <c r="BQ498" s="990">
        <v>9500</v>
      </c>
      <c r="BR498" s="990">
        <v>7100</v>
      </c>
      <c r="BS498" s="990">
        <v>7200</v>
      </c>
      <c r="BT498" s="1373"/>
      <c r="BU498" s="2791">
        <v>7000</v>
      </c>
      <c r="BV498" s="2791">
        <v>9700</v>
      </c>
      <c r="BW498" s="2791">
        <v>7700</v>
      </c>
      <c r="BX498" s="2791">
        <v>7800</v>
      </c>
      <c r="BY498" s="2824"/>
      <c r="BZ498" s="2791">
        <v>7500</v>
      </c>
      <c r="CA498" s="2791">
        <v>9700</v>
      </c>
      <c r="CB498" s="2791">
        <v>8350</v>
      </c>
      <c r="CC498" s="2791">
        <v>8200</v>
      </c>
      <c r="CD498" s="2824"/>
      <c r="CE498" s="2671">
        <v>8200</v>
      </c>
      <c r="CF498" s="990">
        <v>11000</v>
      </c>
      <c r="CG498" s="990">
        <v>9000</v>
      </c>
      <c r="CH498" s="2791">
        <v>9600</v>
      </c>
      <c r="CI498" s="1373"/>
      <c r="CJ498" s="990"/>
      <c r="CK498" s="990"/>
      <c r="CL498" s="990"/>
      <c r="CM498" s="990"/>
      <c r="CN498" s="1373"/>
      <c r="CO498" s="990"/>
      <c r="CP498" s="990"/>
      <c r="CQ498" s="990"/>
      <c r="CR498" s="990"/>
      <c r="CS498" s="1373"/>
      <c r="CT498" s="990"/>
      <c r="CU498" s="990"/>
      <c r="CV498" s="990"/>
      <c r="CW498" s="990"/>
      <c r="CX498" s="1373"/>
      <c r="DH498" s="1398"/>
      <c r="DI498" s="1364"/>
      <c r="DJ498" s="1398"/>
      <c r="DK498" s="1398"/>
      <c r="DL498" s="1398"/>
      <c r="DM498" s="1364"/>
      <c r="DN498" s="1364"/>
      <c r="DO498" s="1364"/>
      <c r="DP498" s="1364"/>
      <c r="DQ498" s="1364"/>
      <c r="DR498" s="997"/>
    </row>
    <row r="499" spans="1:122" s="992" customFormat="1" ht="12">
      <c r="A499" s="992" t="s">
        <v>907</v>
      </c>
      <c r="AZ499" s="1364"/>
      <c r="BE499" s="1364"/>
      <c r="BJ499" s="1364"/>
      <c r="BL499" s="990">
        <v>8300</v>
      </c>
      <c r="BM499" s="990">
        <v>6300</v>
      </c>
      <c r="BN499" s="990">
        <v>5800</v>
      </c>
      <c r="BO499" s="1364"/>
      <c r="BP499" s="990">
        <v>7900</v>
      </c>
      <c r="BQ499" s="990">
        <v>9900</v>
      </c>
      <c r="BR499" s="990">
        <v>7400</v>
      </c>
      <c r="BS499" s="990">
        <v>7400</v>
      </c>
      <c r="BT499" s="1373"/>
      <c r="BU499" s="2791">
        <v>7200</v>
      </c>
      <c r="BV499" s="2791">
        <v>9900</v>
      </c>
      <c r="BW499" s="2791">
        <v>7800</v>
      </c>
      <c r="BX499" s="2791">
        <v>7900</v>
      </c>
      <c r="BY499" s="2824"/>
      <c r="BZ499" s="2791">
        <v>7600</v>
      </c>
      <c r="CA499" s="2791">
        <v>9900</v>
      </c>
      <c r="CB499" s="2791">
        <v>8450</v>
      </c>
      <c r="CC499" s="2791">
        <v>8300</v>
      </c>
      <c r="CD499" s="2824"/>
      <c r="CE499" s="2671">
        <v>8300</v>
      </c>
      <c r="CF499" s="990">
        <v>11200</v>
      </c>
      <c r="CG499" s="990">
        <v>9200</v>
      </c>
      <c r="CH499" s="2791">
        <v>9800</v>
      </c>
      <c r="CI499" s="1373"/>
      <c r="CJ499" s="990"/>
      <c r="CK499" s="990"/>
      <c r="CL499" s="990"/>
      <c r="CM499" s="990"/>
      <c r="CN499" s="1373"/>
      <c r="CO499" s="990"/>
      <c r="CP499" s="990"/>
      <c r="CQ499" s="990"/>
      <c r="CR499" s="990"/>
      <c r="CS499" s="1373"/>
      <c r="CT499" s="990"/>
      <c r="CU499" s="990"/>
      <c r="CV499" s="990"/>
      <c r="CW499" s="990"/>
      <c r="CX499" s="1373"/>
      <c r="DH499" s="1398"/>
      <c r="DI499" s="1364"/>
      <c r="DJ499" s="1398"/>
      <c r="DK499" s="1398"/>
      <c r="DL499" s="1398"/>
      <c r="DM499" s="1364"/>
      <c r="DN499" s="1364"/>
      <c r="DO499" s="1364"/>
      <c r="DP499" s="1364"/>
      <c r="DQ499" s="1364"/>
      <c r="DR499" s="997"/>
    </row>
    <row r="500" spans="1:122" s="992" customFormat="1" ht="12">
      <c r="A500" s="994" t="s">
        <v>910</v>
      </c>
      <c r="B500" s="994"/>
      <c r="C500" s="994"/>
      <c r="D500" s="994"/>
      <c r="E500" s="994"/>
      <c r="F500" s="994"/>
      <c r="G500" s="994"/>
      <c r="H500" s="994"/>
      <c r="I500" s="994"/>
      <c r="J500" s="994"/>
      <c r="K500" s="994"/>
      <c r="L500" s="994"/>
      <c r="M500" s="994"/>
      <c r="N500" s="994"/>
      <c r="O500" s="994"/>
      <c r="P500" s="994"/>
      <c r="Q500" s="994"/>
      <c r="R500" s="994"/>
      <c r="S500" s="994"/>
      <c r="T500" s="994"/>
      <c r="U500" s="994"/>
      <c r="V500" s="994"/>
      <c r="W500" s="994"/>
      <c r="X500" s="994"/>
      <c r="Y500" s="994"/>
      <c r="Z500" s="994"/>
      <c r="AA500" s="994"/>
      <c r="AB500" s="994"/>
      <c r="AC500" s="994"/>
      <c r="AD500" s="994"/>
      <c r="AE500" s="994"/>
      <c r="AF500" s="994"/>
      <c r="AG500" s="994"/>
      <c r="AH500" s="994"/>
      <c r="AI500" s="994"/>
      <c r="AJ500" s="994"/>
      <c r="AK500" s="994"/>
      <c r="AL500" s="994"/>
      <c r="AM500" s="994"/>
      <c r="AN500" s="994"/>
      <c r="AO500" s="994"/>
      <c r="AP500" s="994"/>
      <c r="AQ500" s="994"/>
      <c r="AR500" s="994"/>
      <c r="AS500" s="994"/>
      <c r="AT500" s="994"/>
      <c r="AU500" s="994"/>
      <c r="AV500" s="994"/>
      <c r="AW500" s="994"/>
      <c r="AX500" s="994"/>
      <c r="AY500" s="994"/>
      <c r="AZ500" s="1365"/>
      <c r="BA500" s="994"/>
      <c r="BB500" s="994"/>
      <c r="BC500" s="994"/>
      <c r="BD500" s="994"/>
      <c r="BE500" s="1365"/>
      <c r="BF500" s="994"/>
      <c r="BG500" s="994"/>
      <c r="BH500" s="994"/>
      <c r="BI500" s="994"/>
      <c r="BJ500" s="1365"/>
      <c r="BK500" s="994"/>
      <c r="BL500" s="995">
        <f>IF(ISERROR(IS!DZ17/AVERAGE(BL498:BL499)-1),"",(IS!DZ17/AVERAGE(BL498:BL499)-1))</f>
        <v>2.2716049382716097E-2</v>
      </c>
      <c r="BM500" s="995">
        <f>IF(ISERROR(IS!EA17/AVERAGE(BM498:BM499)-1),"",(IS!EA17/AVERAGE(BM498:BM499)-1))</f>
        <v>-4.1774193548387073E-2</v>
      </c>
      <c r="BN500" s="995">
        <f>IF(ISERROR(IS!EB17/AVERAGE(BN498:BN499)-1),"",(IS!EB17/AVERAGE(BN498:BN499)-1))</f>
        <v>0.32086956521739141</v>
      </c>
      <c r="BO500" s="1365" t="str">
        <f>IF(ISERROR(IS!EC17/AVERAGE(BO498:BO499)-1),"",(IS!EC17/AVERAGE(BO498:BO499)-1))</f>
        <v/>
      </c>
      <c r="BP500" s="995">
        <f>IF(ISERROR(IS!ED17/AVERAGE(BP498:BP499)-1),"",(IS!ED17/AVERAGE(BP498:BP499)-1))</f>
        <v>7.441558441558449E-2</v>
      </c>
      <c r="BQ500" s="995">
        <f>IF(ISERROR(IS!EE17/AVERAGE(BQ498:BQ499)-1),"",(IS!EE17/AVERAGE(BQ498:BQ499)-1))</f>
        <v>4.4948453608247396E-2</v>
      </c>
      <c r="BR500" s="995">
        <f>IF(ISERROR(IS!EF17/AVERAGE(BR498:BR499)-1),"",(IS!EF17/AVERAGE(BR498:BR499)-1))</f>
        <v>-1.2275862068965471E-2</v>
      </c>
      <c r="BS500" s="995">
        <f>IF(ISERROR(IS!EG17/AVERAGE(BS498:BS499)-1),"",(IS!EG17/AVERAGE(BS498:BS499)-1))</f>
        <v>2.3013698630137025E-2</v>
      </c>
      <c r="BT500" s="1374" t="str">
        <f>IF(ISERROR(IS!EH17/AVERAGE(BT498:BT499)-1),"",(IS!EH17/AVERAGE(BT498:BT499)-1))</f>
        <v/>
      </c>
      <c r="BU500" s="995">
        <f>IF(ISERROR(IS!EI17/AVERAGE(BU498:BU499)-1),"",(IS!EI17/AVERAGE(BU498:BU499)-1))</f>
        <v>1.5070422535211181E-2</v>
      </c>
      <c r="BV500" s="995">
        <f>IF(ISERROR(IS!EJ17/AVERAGE(BV498:BV499)-1),"",(IS!EJ17/AVERAGE(BV498:BV499)-1))</f>
        <v>7.3469387755102922E-3</v>
      </c>
      <c r="BW500" s="995">
        <f>IF(ISERROR(IS!EK17/AVERAGE(BW498:BW499)-1),"",(IS!EK17/AVERAGE(BW498:BW499)-1))</f>
        <v>-3.6129032258064298E-3</v>
      </c>
      <c r="BX500" s="995">
        <f>IF(ISERROR(IS!EL17/AVERAGE(BX498:BX499)-1),"",(IS!EL17/AVERAGE(BX498:BX499)-1))</f>
        <v>1.643312101910821E-2</v>
      </c>
      <c r="BY500" s="1374" t="str">
        <f>IF(ISERROR(IS!EM17/AVERAGE(BY498:BY499)-1),"",(IS!EM17/AVERAGE(BY498:BY499)-1))</f>
        <v/>
      </c>
      <c r="BZ500" s="995">
        <f>IF(ISERROR(IS!EN17/AVERAGE(BZ498:BZ499)-1),"",(IS!EN17/AVERAGE(BZ498:BZ499)-1))</f>
        <v>3.8940397350993416E-2</v>
      </c>
      <c r="CA500" s="995">
        <f>IF(ISERROR(IS!EO17/AVERAGE(CA498:CA499)-1),"",(IS!EO17/AVERAGE(CA498:CA499)-1))</f>
        <v>1.0306122448979549E-2</v>
      </c>
      <c r="CB500" s="995">
        <f>IF(ISERROR(IS!EP17/AVERAGE(CB498:CB499)-1),"",(IS!EP17/AVERAGE(CB498:CB499)-1))</f>
        <v>-4.0476190476190443E-2</v>
      </c>
      <c r="CC500" s="995">
        <f>IF(ISERROR(IS!EQ17/AVERAGE(CC498:CC499)-1),"",(IS!EQ17/AVERAGE(CC498:CC499)-1))</f>
        <v>2.4969696969696864E-2</v>
      </c>
      <c r="CD500" s="1374" t="str">
        <f>IF(ISERROR(IS!ER17/AVERAGE(CD498:CD499)-1),"",(IS!ER17/AVERAGE(CD498:CD499)-1))</f>
        <v/>
      </c>
      <c r="CE500" s="995">
        <f>IF(ISERROR(IS!ES17/AVERAGE(CE498:CE499)-1),"",(IS!ES17/AVERAGE(CE498:CE499)-1))</f>
        <v>3.3939393939395046E-3</v>
      </c>
      <c r="CF500" s="995">
        <f>IF(ISERROR(IS!ET17/AVERAGE(CF498:CF499)-1),"",(IS!ET17/AVERAGE(CF498:CF499)-1))</f>
        <v>-3.2432432432432101E-3</v>
      </c>
      <c r="CG500" s="995">
        <f>IF(ISERROR(IS!EU17/AVERAGE(CG498:CG499)-1),"",(IS!EU17/AVERAGE(CG498:CG499)-1))</f>
        <v>1.8571428571428461E-2</v>
      </c>
      <c r="CH500" s="995">
        <f>IF(ISERROR(IS!EV17/AVERAGE(CH498:CH499)-1),"",(IS!EV17/AVERAGE(CH498:CH499)-1))</f>
        <v>5.3810608992121978E-4</v>
      </c>
      <c r="CI500" s="1374" t="str">
        <f>IF(ISERROR(IS!EW17/AVERAGE(CI498:CI499)-1),"",(IS!EW17/AVERAGE(CI498:CI499)-1))</f>
        <v/>
      </c>
      <c r="CJ500" s="995" t="str">
        <f>IF(ISERROR(IS!EX17/AVERAGE(CJ498:CJ499)-1),"",(IS!EX17/AVERAGE(CJ498:CJ499)-1))</f>
        <v/>
      </c>
      <c r="CK500" s="995" t="str">
        <f>IF(ISERROR(IS!EY17/AVERAGE(CK498:CK499)-1),"",(IS!EY17/AVERAGE(CK498:CK499)-1))</f>
        <v/>
      </c>
      <c r="CL500" s="995" t="str">
        <f>IF(ISERROR(IS!EZ17/AVERAGE(CL498:CL499)-1),"",(IS!EZ17/AVERAGE(CL498:CL499)-1))</f>
        <v/>
      </c>
      <c r="CM500" s="995" t="str">
        <f>IF(ISERROR(IS!FA17/AVERAGE(CM498:CM499)-1),"",(IS!FA17/AVERAGE(CM498:CM499)-1))</f>
        <v/>
      </c>
      <c r="CN500" s="1374" t="str">
        <f>IF(ISERROR(IS!FB17/AVERAGE(CN498:CN499)-1),"",(IS!FB17/AVERAGE(CN498:CN499)-1))</f>
        <v/>
      </c>
      <c r="CO500" s="995" t="str">
        <f>IF(ISERROR(IS!FC17/AVERAGE(CO498:CO499)-1),"",(IS!FC17/AVERAGE(CO498:CO499)-1))</f>
        <v/>
      </c>
      <c r="CP500" s="995" t="str">
        <f>IF(ISERROR(IS!FD17/AVERAGE(CP498:CP499)-1),"",(IS!FD17/AVERAGE(CP498:CP499)-1))</f>
        <v/>
      </c>
      <c r="CQ500" s="995" t="str">
        <f>IF(ISERROR(IS!FE17/AVERAGE(CQ498:CQ499)-1),"",(IS!FE17/AVERAGE(CQ498:CQ499)-1))</f>
        <v/>
      </c>
      <c r="CR500" s="995" t="str">
        <f>IF(ISERROR(IS!FF17/AVERAGE(CR498:CR499)-1),"",(IS!FF17/AVERAGE(CR498:CR499)-1))</f>
        <v/>
      </c>
      <c r="CS500" s="1374" t="str">
        <f>IF(ISERROR(IS!FG17/AVERAGE(CS498:CS499)-1),"",(IS!FG17/AVERAGE(CS498:CS499)-1))</f>
        <v/>
      </c>
      <c r="CT500" s="995" t="str">
        <f>IF(ISERROR(IS!FH17/AVERAGE(CT498:CT499)-1),"",(IS!FH17/AVERAGE(CT498:CT499)-1))</f>
        <v/>
      </c>
      <c r="CU500" s="995" t="str">
        <f>IF(ISERROR(IS!FI17/AVERAGE(CU498:CU499)-1),"",(IS!FI17/AVERAGE(CU498:CU499)-1))</f>
        <v/>
      </c>
      <c r="CV500" s="995" t="str">
        <f>IF(ISERROR(IS!FJ17/AVERAGE(CV498:CV499)-1),"",(IS!FJ17/AVERAGE(CV498:CV499)-1))</f>
        <v/>
      </c>
      <c r="CW500" s="995" t="str">
        <f>IF(ISERROR(IS!FK17/AVERAGE(CW498:CW499)-1),"",(IS!FK17/AVERAGE(CW498:CW499)-1))</f>
        <v/>
      </c>
      <c r="CX500" s="1374" t="str">
        <f>IF(ISERROR(IS!FL17/AVERAGE(CX498:CX499)-1),"",(IS!FL17/AVERAGE(CX498:CX499)-1))</f>
        <v/>
      </c>
      <c r="DH500" s="1398"/>
      <c r="DI500" s="1364"/>
      <c r="DJ500" s="1398"/>
      <c r="DK500" s="1398"/>
      <c r="DL500" s="1398"/>
      <c r="DM500" s="1364"/>
      <c r="DN500" s="1364"/>
      <c r="DO500" s="1364"/>
      <c r="DP500" s="1364"/>
      <c r="DQ500" s="1364"/>
      <c r="DR500" s="997"/>
    </row>
    <row r="501" spans="1:122" s="992" customFormat="1" ht="12">
      <c r="AZ501" s="1364"/>
      <c r="BE501" s="1364"/>
      <c r="BJ501" s="1364"/>
      <c r="BO501" s="1364"/>
      <c r="BT501" s="1364"/>
      <c r="BU501" s="2825"/>
      <c r="BV501" s="2825"/>
      <c r="BW501" s="2825"/>
      <c r="BX501" s="2825"/>
      <c r="BY501" s="2826"/>
      <c r="BZ501" s="2825"/>
      <c r="CA501" s="2825"/>
      <c r="CB501" s="2825"/>
      <c r="CC501" s="2825"/>
      <c r="CD501" s="2826"/>
      <c r="CH501" s="2825"/>
      <c r="CI501" s="1364"/>
      <c r="CN501" s="1364"/>
      <c r="CS501" s="1364"/>
      <c r="CX501" s="1364"/>
      <c r="DH501" s="1398"/>
      <c r="DI501" s="1364"/>
      <c r="DJ501" s="1398"/>
      <c r="DK501" s="1398"/>
      <c r="DL501" s="1398"/>
      <c r="DM501" s="1364"/>
      <c r="DN501" s="1364"/>
      <c r="DO501" s="1364"/>
      <c r="DP501" s="1364"/>
      <c r="DQ501" s="1364"/>
      <c r="DR501" s="997"/>
    </row>
    <row r="502" spans="1:122" s="997" customFormat="1" ht="12">
      <c r="A502" s="998" t="s">
        <v>911</v>
      </c>
      <c r="B502" s="996"/>
      <c r="C502" s="996"/>
      <c r="D502" s="996"/>
      <c r="E502" s="996"/>
      <c r="F502" s="996"/>
      <c r="G502" s="996"/>
      <c r="H502" s="996"/>
      <c r="I502" s="996"/>
      <c r="J502" s="996"/>
      <c r="K502" s="996"/>
      <c r="L502" s="996"/>
      <c r="M502" s="996"/>
      <c r="N502" s="996"/>
      <c r="O502" s="996"/>
      <c r="P502" s="996"/>
      <c r="Q502" s="996"/>
      <c r="R502" s="996"/>
      <c r="S502" s="996"/>
      <c r="T502" s="996"/>
      <c r="U502" s="996"/>
      <c r="V502" s="996"/>
      <c r="W502" s="996"/>
      <c r="X502" s="996"/>
      <c r="Y502" s="996"/>
      <c r="Z502" s="996"/>
      <c r="AA502" s="996"/>
      <c r="AB502" s="996"/>
      <c r="AC502" s="996"/>
      <c r="AD502" s="996"/>
      <c r="AE502" s="996"/>
      <c r="AF502" s="996"/>
      <c r="AG502" s="996"/>
      <c r="AH502" s="996"/>
      <c r="AI502" s="996"/>
      <c r="AJ502" s="996"/>
      <c r="AK502" s="996"/>
      <c r="AL502" s="996"/>
      <c r="AM502" s="996"/>
      <c r="AN502" s="996"/>
      <c r="AO502" s="996"/>
      <c r="AP502" s="996"/>
      <c r="AQ502" s="996"/>
      <c r="AR502" s="996"/>
      <c r="AS502" s="996"/>
      <c r="AT502" s="996"/>
      <c r="AU502" s="996"/>
      <c r="AV502" s="996"/>
      <c r="AW502" s="996"/>
      <c r="AX502" s="996"/>
      <c r="AY502" s="996"/>
      <c r="AZ502" s="1366"/>
      <c r="BA502" s="996"/>
      <c r="BB502" s="996"/>
      <c r="BC502" s="996"/>
      <c r="BD502" s="996"/>
      <c r="BE502" s="1366"/>
      <c r="BF502" s="996"/>
      <c r="BG502" s="996"/>
      <c r="BH502" s="996"/>
      <c r="BI502" s="996"/>
      <c r="BJ502" s="1366"/>
      <c r="BK502" s="996"/>
      <c r="BL502" s="996"/>
      <c r="BM502" s="996"/>
      <c r="BN502" s="996"/>
      <c r="BO502" s="1366"/>
      <c r="BP502" s="996"/>
      <c r="BQ502" s="996"/>
      <c r="BR502" s="996"/>
      <c r="BS502" s="996"/>
      <c r="BT502" s="1366"/>
      <c r="BU502" s="2827"/>
      <c r="BV502" s="2827"/>
      <c r="BW502" s="2827"/>
      <c r="BX502" s="2827"/>
      <c r="BY502" s="2828"/>
      <c r="BZ502" s="2827"/>
      <c r="CA502" s="2827"/>
      <c r="CB502" s="2827"/>
      <c r="CC502" s="2827"/>
      <c r="CD502" s="2828"/>
      <c r="CE502" s="996"/>
      <c r="CF502" s="996"/>
      <c r="CG502" s="996"/>
      <c r="CH502" s="2827"/>
      <c r="CI502" s="1366"/>
      <c r="CJ502" s="996"/>
      <c r="CK502" s="996"/>
      <c r="CL502" s="996"/>
      <c r="CM502" s="996"/>
      <c r="CN502" s="1366"/>
      <c r="CO502" s="996"/>
      <c r="CP502" s="996"/>
      <c r="CQ502" s="996"/>
      <c r="CR502" s="996"/>
      <c r="CS502" s="1366"/>
      <c r="CT502" s="996"/>
      <c r="CU502" s="996"/>
      <c r="CV502" s="996"/>
      <c r="CW502" s="996"/>
      <c r="CX502" s="1366"/>
      <c r="DH502" s="1398"/>
      <c r="DI502" s="1364"/>
      <c r="DJ502" s="1398"/>
      <c r="DK502" s="1398"/>
      <c r="DL502" s="1398"/>
      <c r="DM502" s="1364"/>
      <c r="DN502" s="1364"/>
      <c r="DO502" s="1364"/>
      <c r="DP502" s="1364"/>
      <c r="DQ502" s="1364"/>
    </row>
    <row r="503" spans="1:122" s="992" customFormat="1" ht="12">
      <c r="A503" s="992" t="s">
        <v>908</v>
      </c>
      <c r="AZ503" s="1364"/>
      <c r="BE503" s="1364"/>
      <c r="BJ503" s="1364"/>
      <c r="BL503" s="992">
        <v>8500</v>
      </c>
      <c r="BM503" s="992">
        <v>7700</v>
      </c>
      <c r="BN503" s="992">
        <v>8400</v>
      </c>
      <c r="BO503" s="1364"/>
      <c r="BP503" s="990">
        <v>8500</v>
      </c>
      <c r="BQ503" s="990">
        <v>8600</v>
      </c>
      <c r="BR503" s="990">
        <v>8200</v>
      </c>
      <c r="BS503" s="992">
        <v>8400</v>
      </c>
      <c r="BT503" s="1373">
        <f>8400+SUM(IS!$ED$34:$EF$34)</f>
        <v>32443</v>
      </c>
      <c r="BU503" s="2791">
        <v>7600</v>
      </c>
      <c r="BV503" s="2791">
        <v>8000</v>
      </c>
      <c r="BW503" s="2791">
        <v>7700</v>
      </c>
      <c r="BX503" s="2791">
        <v>8200</v>
      </c>
      <c r="BY503" s="2824">
        <v>31000</v>
      </c>
      <c r="BZ503" s="2791">
        <v>7350</v>
      </c>
      <c r="CA503" s="2791">
        <v>7850</v>
      </c>
      <c r="CB503" s="2791">
        <v>8500</v>
      </c>
      <c r="CC503" s="2791">
        <v>9100</v>
      </c>
      <c r="CD503" s="2824">
        <v>32900</v>
      </c>
      <c r="CE503" s="2671">
        <v>8600</v>
      </c>
      <c r="CF503" s="990">
        <v>9100</v>
      </c>
      <c r="CG503" s="990">
        <v>9100</v>
      </c>
      <c r="CH503" s="2791">
        <v>9800</v>
      </c>
      <c r="CI503" s="1373"/>
      <c r="CJ503" s="990"/>
      <c r="CK503" s="990"/>
      <c r="CL503" s="990"/>
      <c r="CM503" s="990"/>
      <c r="CN503" s="1373"/>
      <c r="CO503" s="990"/>
      <c r="CP503" s="990"/>
      <c r="CQ503" s="990"/>
      <c r="CR503" s="990"/>
      <c r="CS503" s="1373"/>
      <c r="CT503" s="990"/>
      <c r="CU503" s="990"/>
      <c r="CV503" s="990"/>
      <c r="CW503" s="990"/>
      <c r="CX503" s="1373"/>
      <c r="DH503" s="1398"/>
      <c r="DI503" s="1364"/>
      <c r="DJ503" s="1398"/>
      <c r="DK503" s="1398"/>
      <c r="DL503" s="1398"/>
      <c r="DM503" s="1364"/>
      <c r="DN503" s="1364"/>
      <c r="DO503" s="1364"/>
      <c r="DP503" s="1364"/>
      <c r="DQ503" s="1364"/>
      <c r="DR503" s="997"/>
    </row>
    <row r="504" spans="1:122" s="992" customFormat="1" ht="12">
      <c r="A504" s="992" t="s">
        <v>907</v>
      </c>
      <c r="AZ504" s="1364"/>
      <c r="BE504" s="1364"/>
      <c r="BJ504" s="1364"/>
      <c r="BL504" s="992">
        <v>8600</v>
      </c>
      <c r="BM504" s="992">
        <v>7800</v>
      </c>
      <c r="BN504" s="992">
        <v>8600</v>
      </c>
      <c r="BO504" s="1364"/>
      <c r="BP504" s="990">
        <v>8700</v>
      </c>
      <c r="BQ504" s="990">
        <v>8800</v>
      </c>
      <c r="BR504" s="990">
        <v>8400</v>
      </c>
      <c r="BS504" s="992">
        <v>8500</v>
      </c>
      <c r="BT504" s="1373">
        <f>8500+SUM(IS!$ED$34:$EF$34)</f>
        <v>32543</v>
      </c>
      <c r="BU504" s="2791">
        <v>7700</v>
      </c>
      <c r="BV504" s="2791">
        <v>8100</v>
      </c>
      <c r="BW504" s="2791">
        <v>7800</v>
      </c>
      <c r="BX504" s="2791">
        <v>8300</v>
      </c>
      <c r="BY504" s="2824">
        <v>31100</v>
      </c>
      <c r="BZ504" s="2791">
        <v>7450</v>
      </c>
      <c r="CA504" s="2791">
        <v>7950</v>
      </c>
      <c r="CB504" s="2791">
        <v>8600</v>
      </c>
      <c r="CC504" s="2791">
        <v>9200</v>
      </c>
      <c r="CD504" s="2824">
        <v>33000</v>
      </c>
      <c r="CE504" s="2671">
        <v>8700</v>
      </c>
      <c r="CF504" s="990">
        <v>9200</v>
      </c>
      <c r="CG504" s="990">
        <v>9200</v>
      </c>
      <c r="CH504" s="2791">
        <v>9900</v>
      </c>
      <c r="CI504" s="1373"/>
      <c r="CJ504" s="990"/>
      <c r="CK504" s="990"/>
      <c r="CL504" s="990"/>
      <c r="CM504" s="990"/>
      <c r="CN504" s="1373"/>
      <c r="CO504" s="990"/>
      <c r="CP504" s="990"/>
      <c r="CQ504" s="990"/>
      <c r="CR504" s="990"/>
      <c r="CS504" s="1373"/>
      <c r="CT504" s="990"/>
      <c r="CU504" s="990"/>
      <c r="CV504" s="990"/>
      <c r="CW504" s="990"/>
      <c r="CX504" s="1373"/>
      <c r="DH504" s="1398"/>
      <c r="DI504" s="1364"/>
      <c r="DJ504" s="1398"/>
      <c r="DK504" s="1398"/>
      <c r="DL504" s="1398"/>
      <c r="DM504" s="1364"/>
      <c r="DN504" s="1364"/>
      <c r="DO504" s="1364"/>
      <c r="DP504" s="1364"/>
      <c r="DQ504" s="1364"/>
      <c r="DR504" s="997"/>
    </row>
    <row r="505" spans="1:122" s="992" customFormat="1" ht="12">
      <c r="A505" s="994" t="s">
        <v>910</v>
      </c>
      <c r="B505" s="994"/>
      <c r="C505" s="994"/>
      <c r="D505" s="994"/>
      <c r="E505" s="994"/>
      <c r="F505" s="994"/>
      <c r="G505" s="994"/>
      <c r="H505" s="994"/>
      <c r="I505" s="994"/>
      <c r="J505" s="994"/>
      <c r="K505" s="994"/>
      <c r="L505" s="994"/>
      <c r="M505" s="994"/>
      <c r="N505" s="994"/>
      <c r="O505" s="994"/>
      <c r="P505" s="994"/>
      <c r="Q505" s="994"/>
      <c r="R505" s="994"/>
      <c r="S505" s="994"/>
      <c r="T505" s="994"/>
      <c r="U505" s="994"/>
      <c r="V505" s="994"/>
      <c r="W505" s="994"/>
      <c r="X505" s="994"/>
      <c r="Y505" s="994"/>
      <c r="Z505" s="994"/>
      <c r="AA505" s="994"/>
      <c r="AB505" s="994"/>
      <c r="AC505" s="994"/>
      <c r="AD505" s="994"/>
      <c r="AE505" s="994"/>
      <c r="AF505" s="994"/>
      <c r="AG505" s="994"/>
      <c r="AH505" s="994"/>
      <c r="AI505" s="994"/>
      <c r="AJ505" s="994"/>
      <c r="AK505" s="994"/>
      <c r="AL505" s="994"/>
      <c r="AM505" s="994"/>
      <c r="AN505" s="994"/>
      <c r="AO505" s="994"/>
      <c r="AP505" s="994"/>
      <c r="AQ505" s="994"/>
      <c r="AR505" s="994"/>
      <c r="AS505" s="994"/>
      <c r="AT505" s="994"/>
      <c r="AU505" s="994"/>
      <c r="AV505" s="994"/>
      <c r="AW505" s="994"/>
      <c r="AX505" s="994"/>
      <c r="AY505" s="994"/>
      <c r="AZ505" s="1365"/>
      <c r="BA505" s="994"/>
      <c r="BB505" s="994"/>
      <c r="BC505" s="994"/>
      <c r="BD505" s="994"/>
      <c r="BE505" s="1365"/>
      <c r="BF505" s="994"/>
      <c r="BG505" s="994"/>
      <c r="BH505" s="994"/>
      <c r="BI505" s="994"/>
      <c r="BJ505" s="1365"/>
      <c r="BK505" s="994"/>
      <c r="BL505" s="995">
        <f>IF(ISERROR(AVERAGE(BL503:BL504)/IS!DZ34-1),"",(AVERAGE(BL503:BL504)/IS!DZ34-1))</f>
        <v>3.4357609484635843E-2</v>
      </c>
      <c r="BM505" s="995">
        <f>IF(ISERROR(IS!EA34/AVERAGE(BM503:BM504)-1),"",(IS!EA34/AVERAGE(BM503:BM504)-1))</f>
        <v>-3.3806451612903188E-2</v>
      </c>
      <c r="BN505" s="995">
        <f>IF(ISERROR(IS!EB34/AVERAGE(BN503:BN504)-1),"",(IS!EB34/AVERAGE(BN503:BN504)-1))</f>
        <v>7.976470588235296E-2</v>
      </c>
      <c r="BO505" s="1365" t="str">
        <f>IF(ISERROR(IS!EC34/AVERAGE(BO503:BO504)-1),"",(IS!EC34/AVERAGE(BO503:BO504)-1))</f>
        <v/>
      </c>
      <c r="BP505" s="995">
        <f>IF(ISERROR(IS!ED34/AVERAGE(BP503:BP504)-1),"",(IS!ED34/AVERAGE(BP503:BP504)-1))</f>
        <v>-7.6279069767441809E-2</v>
      </c>
      <c r="BQ505" s="995">
        <f>IF(ISERROR(IS!EE34/AVERAGE(BQ503:BQ504)-1),"",(IS!EE34/AVERAGE(BQ503:BQ504)-1))</f>
        <v>-4.4252873563218387E-2</v>
      </c>
      <c r="BR505" s="995">
        <f>IF(ISERROR(IS!EF34/AVERAGE(BR503:BR504)-1),"",(IS!EF34/AVERAGE(BR503:BR504)-1))</f>
        <v>-6.2168674698795168E-2</v>
      </c>
      <c r="BS505" s="995">
        <f>IF(ISERROR(IS!EG34/AVERAGE(BS503:BS504)-1),"",(IS!EG34/AVERAGE(BS503:BS504)-1))</f>
        <v>-1.4556213017751451E-2</v>
      </c>
      <c r="BT505" s="1374">
        <f>IF(ISERROR(IS!EH34/AVERAGE(BT503:BT504)-1),"",(IS!EH34/AVERAGE(BT503:BT504)-1))</f>
        <v>-3.7854307081525151E-3</v>
      </c>
      <c r="BU505" s="995">
        <f>IF(ISERROR(IS!EI34/AVERAGE(BU503:BU504)-1),"",(IS!EI34/AVERAGE(BU503:BU504)-1))</f>
        <v>-3.4379084967320228E-2</v>
      </c>
      <c r="BV505" s="995">
        <f>IF(ISERROR(IS!EJ34/AVERAGE(BV503:BV504)-1),"",(IS!EJ34/AVERAGE(BV503:BV504)-1))</f>
        <v>-1.9627329192546616E-2</v>
      </c>
      <c r="BW505" s="995">
        <f>IF(ISERROR(IS!EK34/AVERAGE(BW503:BW504)-1),"",(IS!EK34/AVERAGE(BW503:BW504)-1))</f>
        <v>-2.9935483870967783E-2</v>
      </c>
      <c r="BX505" s="995">
        <f>IF(ISERROR(IS!EL34/AVERAGE(BX503:BX504)-1),"",(IS!EL34/AVERAGE(BX503:BX504)-1))</f>
        <v>1.684848484848489E-2</v>
      </c>
      <c r="BY505" s="1374">
        <f>IF(ISERROR(IS!EM34/AVERAGE(BY503:BY504)-1),"",(IS!EM34/AVERAGE(BY503:BY504)-1))</f>
        <v>4.3800322061191554E-3</v>
      </c>
      <c r="BZ505" s="995">
        <f>IF(ISERROR(IS!EN34/AVERAGE(BZ503:BZ504)-1),"",(IS!EN34/AVERAGE(BZ503:BZ504)-1))</f>
        <v>-4.1891891891892019E-3</v>
      </c>
      <c r="CA505" s="995">
        <f>IF(ISERROR(IS!EO34/AVERAGE(CA503:CA504)-1),"",(IS!EO34/AVERAGE(CA503:CA504)-1))</f>
        <v>1.51898734177216E-2</v>
      </c>
      <c r="CB505" s="995">
        <f>IF(ISERROR(IS!EP34/AVERAGE(CB503:CB504)-1),"",(IS!EP34/AVERAGE(CB503:CB504)-1))</f>
        <v>-1.4152046783625694E-2</v>
      </c>
      <c r="CC505" s="995">
        <f>IF(ISERROR(IS!EQ34/AVERAGE(CC503:CC504)-1),"",(IS!EQ34/AVERAGE(CC503:CC504)-1))</f>
        <v>1.2021857923496526E-3</v>
      </c>
      <c r="CD505" s="1374">
        <f>IF(ISERROR(IS!ER34/AVERAGE(CD503:CD504)-1),"",(IS!ER34/AVERAGE(CD503:CD504)-1))</f>
        <v>8.8012139605453399E-4</v>
      </c>
      <c r="CE505" s="995">
        <f>IF(ISERROR(IS!ES34/AVERAGE(CE503:CE504)-1),"",(IS!ES34/AVERAGE(CE503:CE504)-1))</f>
        <v>-1.1329479768786177E-2</v>
      </c>
      <c r="CF505" s="995">
        <f>IF(ISERROR(IS!ET34/AVERAGE(CF503:CF504)-1),"",(IS!ET34/AVERAGE(CF503:CF504)-1))</f>
        <v>2.732240437158362E-3</v>
      </c>
      <c r="CG505" s="995">
        <f>IF(ISERROR(IS!EU34/AVERAGE(CG503:CG504)-1),"",(IS!EU34/AVERAGE(CG503:CG504)-1))</f>
        <v>1.1803278688524488E-2</v>
      </c>
      <c r="CH505" s="995">
        <f>IF(ISERROR(IS!EV34/AVERAGE(CH503:CH504)-1),"",(IS!EV34/AVERAGE(CH503:CH504)-1))</f>
        <v>3.5501278093219568E-4</v>
      </c>
      <c r="CI505" s="1374" t="str">
        <f>IF(ISERROR(IS!EW34/AVERAGE(CI503:CI504)-1),"",(IS!EW34/AVERAGE(CI503:CI504)-1))</f>
        <v/>
      </c>
      <c r="CJ505" s="995" t="str">
        <f>IF(ISERROR(IS!EX34/AVERAGE(CJ503:CJ504)-1),"",(IS!EX34/AVERAGE(CJ503:CJ504)-1))</f>
        <v/>
      </c>
      <c r="CK505" s="995" t="str">
        <f>IF(ISERROR(IS!EY34/AVERAGE(CK503:CK504)-1),"",(IS!EY34/AVERAGE(CK503:CK504)-1))</f>
        <v/>
      </c>
      <c r="CL505" s="995" t="str">
        <f>IF(ISERROR(IS!EZ34/AVERAGE(CL503:CL504)-1),"",(IS!EZ34/AVERAGE(CL503:CL504)-1))</f>
        <v/>
      </c>
      <c r="CM505" s="995" t="str">
        <f>IF(ISERROR(IS!FA34/AVERAGE(CM503:CM504)-1),"",(IS!FA34/AVERAGE(CM503:CM504)-1))</f>
        <v/>
      </c>
      <c r="CN505" s="1374" t="str">
        <f>IF(ISERROR(IS!FB34/AVERAGE(CN503:CN504)-1),"",(IS!FB34/AVERAGE(CN503:CN504)-1))</f>
        <v/>
      </c>
      <c r="CO505" s="995" t="str">
        <f>IF(ISERROR(IS!FC34/AVERAGE(CO503:CO504)-1),"",(IS!FC34/AVERAGE(CO503:CO504)-1))</f>
        <v/>
      </c>
      <c r="CP505" s="995" t="str">
        <f>IF(ISERROR(IS!FD34/AVERAGE(CP503:CP504)-1),"",(IS!FD34/AVERAGE(CP503:CP504)-1))</f>
        <v/>
      </c>
      <c r="CQ505" s="995" t="str">
        <f>IF(ISERROR(IS!FE34/AVERAGE(CQ503:CQ504)-1),"",(IS!FE34/AVERAGE(CQ503:CQ504)-1))</f>
        <v/>
      </c>
      <c r="CR505" s="995" t="str">
        <f>IF(ISERROR(IS!FF34/AVERAGE(CR503:CR504)-1),"",(IS!FF34/AVERAGE(CR503:CR504)-1))</f>
        <v/>
      </c>
      <c r="CS505" s="1374" t="str">
        <f>IF(ISERROR(IS!FG34/AVERAGE(CS503:CS504)-1),"",(IS!FG34/AVERAGE(CS503:CS504)-1))</f>
        <v/>
      </c>
      <c r="CT505" s="995" t="str">
        <f>IF(ISERROR(IS!FH34/AVERAGE(CT503:CT504)-1),"",(IS!FH34/AVERAGE(CT503:CT504)-1))</f>
        <v/>
      </c>
      <c r="CU505" s="995" t="str">
        <f>IF(ISERROR(IS!FI34/AVERAGE(CU503:CU504)-1),"",(IS!FI34/AVERAGE(CU503:CU504)-1))</f>
        <v/>
      </c>
      <c r="CV505" s="995" t="str">
        <f>IF(ISERROR(IS!FJ34/AVERAGE(CV503:CV504)-1),"",(IS!FJ34/AVERAGE(CV503:CV504)-1))</f>
        <v/>
      </c>
      <c r="CW505" s="995" t="str">
        <f>IF(ISERROR(IS!FK34/AVERAGE(CW503:CW504)-1),"",(IS!FK34/AVERAGE(CW503:CW504)-1))</f>
        <v/>
      </c>
      <c r="CX505" s="1374" t="str">
        <f>IF(ISERROR(IS!FL34/AVERAGE(CX503:CX504)-1),"",(IS!FL34/AVERAGE(CX503:CX504)-1))</f>
        <v/>
      </c>
      <c r="DH505" s="1398"/>
      <c r="DI505" s="1364"/>
      <c r="DJ505" s="1398"/>
      <c r="DK505" s="1398"/>
      <c r="DL505" s="1398"/>
      <c r="DM505" s="1364"/>
      <c r="DN505" s="1364"/>
      <c r="DO505" s="1364"/>
      <c r="DP505" s="1364"/>
      <c r="DQ505" s="1364"/>
      <c r="DR505" s="997"/>
    </row>
    <row r="506" spans="1:122" s="992" customFormat="1" ht="12">
      <c r="AZ506" s="1364"/>
      <c r="BE506" s="1364"/>
      <c r="BJ506" s="1364"/>
      <c r="BO506" s="1364"/>
      <c r="BT506" s="1375">
        <f>AVERAGE(BT503:BT504)/IS!EC34-1</f>
        <v>1.4993908724580729E-2</v>
      </c>
      <c r="BU506" s="2825"/>
      <c r="BV506" s="2825"/>
      <c r="BW506" s="2825"/>
      <c r="BX506" s="2825"/>
      <c r="BY506" s="2826"/>
      <c r="BZ506" s="2825"/>
      <c r="CA506" s="2825"/>
      <c r="CB506" s="2825"/>
      <c r="CC506" s="2825"/>
      <c r="CD506" s="2826"/>
      <c r="CH506" s="2825"/>
      <c r="CI506" s="1364"/>
      <c r="CN506" s="1364"/>
      <c r="CS506" s="1364"/>
      <c r="CX506" s="1364"/>
      <c r="DH506" s="1398"/>
      <c r="DI506" s="1364"/>
      <c r="DJ506" s="1398"/>
      <c r="DK506" s="1398"/>
      <c r="DL506" s="1398"/>
      <c r="DM506" s="1364"/>
      <c r="DN506" s="1364"/>
      <c r="DO506" s="1364"/>
      <c r="DP506" s="1364"/>
      <c r="DQ506" s="1364"/>
      <c r="DR506" s="997"/>
    </row>
    <row r="507" spans="1:122" s="992" customFormat="1" ht="12">
      <c r="A507" s="992" t="s">
        <v>150</v>
      </c>
      <c r="AZ507" s="1364"/>
      <c r="BE507" s="1364"/>
      <c r="BJ507" s="1364"/>
      <c r="BM507" s="992" t="s">
        <v>405</v>
      </c>
      <c r="BN507" s="992" t="s">
        <v>405</v>
      </c>
      <c r="BO507" s="1364"/>
      <c r="BP507" s="992" t="s">
        <v>1007</v>
      </c>
      <c r="BR507" s="992" t="s">
        <v>593</v>
      </c>
      <c r="BS507" s="992" t="s">
        <v>593</v>
      </c>
      <c r="BT507" s="1364"/>
      <c r="BU507" s="2825"/>
      <c r="BV507" s="2825" t="s">
        <v>1094</v>
      </c>
      <c r="BW507" s="2829" t="s">
        <v>1094</v>
      </c>
      <c r="BX507" s="2825" t="s">
        <v>1007</v>
      </c>
      <c r="BY507" s="2826" t="s">
        <v>1126</v>
      </c>
      <c r="BZ507" s="2830"/>
      <c r="CA507" s="2825"/>
      <c r="CB507" s="2829" t="s">
        <v>1427</v>
      </c>
      <c r="CC507" s="2825"/>
      <c r="CD507" s="1375">
        <v>0.21</v>
      </c>
      <c r="CE507" s="2554"/>
      <c r="CH507" s="2825"/>
      <c r="CI507" s="1364"/>
      <c r="CN507" s="1364"/>
      <c r="CS507" s="1364"/>
      <c r="CX507" s="1364"/>
      <c r="DH507" s="1398"/>
      <c r="DI507" s="1364"/>
      <c r="DJ507" s="1398"/>
      <c r="DK507" s="1398"/>
      <c r="DL507" s="1398"/>
      <c r="DM507" s="1364"/>
      <c r="DN507" s="1364"/>
      <c r="DO507" s="1364"/>
      <c r="DP507" s="1364"/>
      <c r="DQ507" s="1364"/>
      <c r="DR507" s="997"/>
    </row>
    <row r="508" spans="1:122" s="992" customFormat="1" ht="12">
      <c r="A508" s="992" t="s">
        <v>1095</v>
      </c>
      <c r="AZ508" s="1364"/>
      <c r="BE508" s="1364"/>
      <c r="BJ508" s="1364"/>
      <c r="BL508" s="1106">
        <f t="shared" ref="BL508:BN509" si="587">BL453+BL458+BL468+BL473+BL478</f>
        <v>23100</v>
      </c>
      <c r="BM508" s="1106">
        <f t="shared" si="587"/>
        <v>20000</v>
      </c>
      <c r="BN508" s="1106">
        <f t="shared" si="587"/>
        <v>20400</v>
      </c>
      <c r="BO508" s="1364"/>
      <c r="BP508" s="1106">
        <f>BP453+BP458+BP468+BP473+BP478+BP463-300</f>
        <v>21200</v>
      </c>
      <c r="BQ508" s="1106">
        <f>BQ453+BQ458+BQ468+BQ473+BQ478+BQ463+300</f>
        <v>25600</v>
      </c>
      <c r="BR508" s="1106">
        <f>BR453+BR458+BR468+BR473+BR478+BR463</f>
        <v>20600</v>
      </c>
      <c r="BS508" s="1106">
        <f>BS453+BS458+BS468+BS473+BS478+BS463</f>
        <v>21600</v>
      </c>
      <c r="BT508" s="1364"/>
      <c r="BU508" s="2831">
        <f>BU453+BU458+BU468+BU473+BU478+BU463-300</f>
        <v>20400</v>
      </c>
      <c r="BV508" s="2831">
        <f t="shared" ref="BV508:BX509" si="588">BV483+BV488+BV493</f>
        <v>24800</v>
      </c>
      <c r="BW508" s="2831">
        <f t="shared" si="588"/>
        <v>21600</v>
      </c>
      <c r="BX508" s="2831">
        <f t="shared" si="588"/>
        <v>21700</v>
      </c>
      <c r="BY508" s="2826"/>
      <c r="BZ508" s="2831">
        <f>BZ483+BZ488+BZ493</f>
        <v>21200</v>
      </c>
      <c r="CA508" s="2831">
        <f>CA483+CA488+CA493</f>
        <v>24650</v>
      </c>
      <c r="CB508" s="2831">
        <f t="shared" ref="CB508:CC509" si="589">CB483+CB488+CB493</f>
        <v>23150</v>
      </c>
      <c r="CC508" s="2831">
        <f t="shared" si="589"/>
        <v>23800</v>
      </c>
      <c r="CD508" s="2826"/>
      <c r="CE508" s="1106">
        <f t="shared" ref="CE508:CH509" si="590">CE483+CE488+CE493</f>
        <v>23000</v>
      </c>
      <c r="CF508" s="1106">
        <f t="shared" si="590"/>
        <v>27800</v>
      </c>
      <c r="CG508" s="1106">
        <f t="shared" si="590"/>
        <v>25250</v>
      </c>
      <c r="CH508" s="2831">
        <f t="shared" si="590"/>
        <v>28800</v>
      </c>
      <c r="CI508" s="1364"/>
      <c r="CN508" s="1364"/>
      <c r="CS508" s="1364"/>
      <c r="CX508" s="1364"/>
      <c r="DH508" s="1398"/>
      <c r="DI508" s="1364"/>
      <c r="DJ508" s="1398"/>
      <c r="DK508" s="1398"/>
      <c r="DL508" s="1398"/>
      <c r="DM508" s="1364"/>
      <c r="DN508" s="1364"/>
      <c r="DO508" s="1364"/>
      <c r="DP508" s="1364"/>
      <c r="DQ508" s="1364"/>
      <c r="DR508" s="997"/>
    </row>
    <row r="509" spans="1:122" s="992" customFormat="1" ht="12">
      <c r="A509" s="992" t="s">
        <v>1096</v>
      </c>
      <c r="AZ509" s="1364"/>
      <c r="BE509" s="1364"/>
      <c r="BJ509" s="1364"/>
      <c r="BL509" s="1106">
        <f t="shared" si="587"/>
        <v>24100</v>
      </c>
      <c r="BM509" s="1106">
        <f t="shared" si="587"/>
        <v>20500</v>
      </c>
      <c r="BN509" s="1106">
        <f t="shared" si="587"/>
        <v>21000</v>
      </c>
      <c r="BO509" s="1364"/>
      <c r="BP509" s="1106">
        <f>BP454+BP459+BP469+BP474+BP479+BP464-300</f>
        <v>22300</v>
      </c>
      <c r="BQ509" s="1106">
        <f>BQ454+BQ459+BQ469+BQ474+BQ479+BQ464+300</f>
        <v>26300</v>
      </c>
      <c r="BR509" s="1106">
        <f>BR454+BR459+BR469+BR474+BR479+BR464</f>
        <v>21400</v>
      </c>
      <c r="BS509" s="1106">
        <f>BS454+BS459+BS469+BS474+BS479+BS464</f>
        <v>22300</v>
      </c>
      <c r="BT509" s="1364"/>
      <c r="BU509" s="2831">
        <f>BU454+BU459+BU469+BU474+BU479+BU464-300</f>
        <v>21000</v>
      </c>
      <c r="BV509" s="2831">
        <f t="shared" si="588"/>
        <v>25400</v>
      </c>
      <c r="BW509" s="2831">
        <f t="shared" si="588"/>
        <v>22300</v>
      </c>
      <c r="BX509" s="2831">
        <f t="shared" si="588"/>
        <v>22400</v>
      </c>
      <c r="BY509" s="2826"/>
      <c r="BZ509" s="2831">
        <f>BZ484+BZ489+BZ494</f>
        <v>21900</v>
      </c>
      <c r="CA509" s="2831">
        <f>CA484+CA489+CA494</f>
        <v>25450</v>
      </c>
      <c r="CB509" s="2831">
        <f t="shared" si="589"/>
        <v>23850</v>
      </c>
      <c r="CC509" s="2831">
        <f t="shared" si="589"/>
        <v>24500</v>
      </c>
      <c r="CD509" s="2826"/>
      <c r="CE509" s="1106">
        <f t="shared" si="590"/>
        <v>23700</v>
      </c>
      <c r="CF509" s="1106">
        <f t="shared" si="590"/>
        <v>28600</v>
      </c>
      <c r="CG509" s="1106">
        <f t="shared" si="590"/>
        <v>25950</v>
      </c>
      <c r="CH509" s="2831">
        <f t="shared" si="590"/>
        <v>29500</v>
      </c>
      <c r="CI509" s="1364"/>
      <c r="CN509" s="1364"/>
      <c r="CS509" s="1364"/>
      <c r="CX509" s="1364"/>
      <c r="DH509" s="1398"/>
      <c r="DI509" s="1364"/>
      <c r="DJ509" s="1398"/>
      <c r="DK509" s="1398"/>
      <c r="DL509" s="1398"/>
      <c r="DM509" s="1364"/>
      <c r="DN509" s="1364"/>
      <c r="DO509" s="1364"/>
      <c r="DP509" s="1364"/>
      <c r="DQ509" s="1364"/>
      <c r="DR509" s="997"/>
    </row>
    <row r="510" spans="1:122" s="992" customFormat="1" ht="12">
      <c r="AZ510" s="1364"/>
      <c r="BE510" s="1364"/>
      <c r="BJ510" s="1364"/>
      <c r="BO510" s="1364"/>
      <c r="BP510" s="1106">
        <f>AVERAGE(BP508:BP509)</f>
        <v>21750</v>
      </c>
      <c r="BQ510" s="1106">
        <f>AVERAGE(BQ508:BQ509)</f>
        <v>25950</v>
      </c>
      <c r="BR510" s="1106">
        <f>AVERAGE(BR508:BR509)</f>
        <v>21000</v>
      </c>
      <c r="BS510" s="1106">
        <f>AVERAGE(BS508:BS509)</f>
        <v>21950</v>
      </c>
      <c r="BT510" s="1364"/>
      <c r="BU510" s="2831">
        <f>AVERAGE(BU508:BU509)</f>
        <v>20700</v>
      </c>
      <c r="BV510" s="2831">
        <f>AVERAGE(BV508:BV509)</f>
        <v>25100</v>
      </c>
      <c r="BW510" s="2831">
        <f>AVERAGE(BW508:BW509)</f>
        <v>21950</v>
      </c>
      <c r="BX510" s="2831">
        <f>AVERAGE(BX508:BX509)</f>
        <v>22050</v>
      </c>
      <c r="BY510" s="2826"/>
      <c r="BZ510" s="2831">
        <f>AVERAGE(BZ508:BZ509)</f>
        <v>21550</v>
      </c>
      <c r="CA510" s="2831">
        <f>AVERAGE(CA508:CA509)</f>
        <v>25050</v>
      </c>
      <c r="CB510" s="2831">
        <f>AVERAGE(CB508:CB509)</f>
        <v>23500</v>
      </c>
      <c r="CC510" s="2831">
        <f>AVERAGE(CC508:CC509)</f>
        <v>24150</v>
      </c>
      <c r="CD510" s="2826"/>
      <c r="CE510" s="1106">
        <f>AVERAGE(CE508:CE509)</f>
        <v>23350</v>
      </c>
      <c r="CF510" s="1106">
        <f>AVERAGE(CF508:CF509)</f>
        <v>28200</v>
      </c>
      <c r="CG510" s="1106">
        <f>AVERAGE(CG508:CG509)</f>
        <v>25600</v>
      </c>
      <c r="CH510" s="2831">
        <f>AVERAGE(CH508:CH509)</f>
        <v>29150</v>
      </c>
      <c r="CI510" s="1364"/>
      <c r="CN510" s="1364"/>
      <c r="CS510" s="1364"/>
      <c r="CX510" s="1364"/>
      <c r="DH510" s="1398"/>
      <c r="DI510" s="1364"/>
      <c r="DJ510" s="1398"/>
      <c r="DK510" s="1398"/>
      <c r="DL510" s="1398"/>
      <c r="DM510" s="1364"/>
      <c r="DN510" s="1364"/>
      <c r="DO510" s="1364"/>
      <c r="DP510" s="1364"/>
      <c r="DQ510" s="1364"/>
      <c r="DR510" s="997"/>
    </row>
    <row r="511" spans="1:122" s="992" customFormat="1" ht="12">
      <c r="A511" s="992" t="s">
        <v>1116</v>
      </c>
      <c r="AZ511" s="1364"/>
      <c r="BE511" s="1364"/>
      <c r="BJ511" s="1364"/>
      <c r="BO511" s="1364"/>
      <c r="BT511" s="1364"/>
      <c r="BU511" s="2825"/>
      <c r="BV511" s="2825"/>
      <c r="BW511" s="2831">
        <v>-300</v>
      </c>
      <c r="BX511" s="2831">
        <v>-200</v>
      </c>
      <c r="BY511" s="2826"/>
      <c r="BZ511" s="2831">
        <v>0</v>
      </c>
      <c r="CA511" s="2831">
        <v>150</v>
      </c>
      <c r="CB511" s="2831">
        <v>150</v>
      </c>
      <c r="CC511" s="2831">
        <v>150</v>
      </c>
      <c r="CD511" s="2826"/>
      <c r="CE511" s="2675">
        <v>250</v>
      </c>
      <c r="CF511" s="2675">
        <v>450</v>
      </c>
      <c r="CG511" s="2675">
        <v>350</v>
      </c>
      <c r="CH511" s="2675">
        <v>350</v>
      </c>
      <c r="CI511" s="1364"/>
      <c r="CN511" s="1364"/>
      <c r="CS511" s="1364"/>
      <c r="CX511" s="1364"/>
      <c r="DH511" s="1398"/>
      <c r="DI511" s="1364"/>
      <c r="DJ511" s="1398"/>
      <c r="DK511" s="1398"/>
      <c r="DL511" s="1398"/>
      <c r="DM511" s="1364"/>
      <c r="DN511" s="1364"/>
      <c r="DO511" s="1364"/>
      <c r="DP511" s="1364"/>
      <c r="DQ511" s="1364"/>
      <c r="DR511" s="997"/>
    </row>
    <row r="512" spans="1:122" s="992" customFormat="1" ht="12">
      <c r="AZ512" s="1364"/>
      <c r="BE512" s="1364"/>
      <c r="BJ512" s="1364"/>
      <c r="BO512" s="1364"/>
      <c r="BT512" s="1364"/>
      <c r="BU512" s="2825"/>
      <c r="BV512" s="2825"/>
      <c r="BW512" s="2825"/>
      <c r="BX512" s="2825"/>
      <c r="BY512" s="2826"/>
      <c r="BZ512" s="2825"/>
      <c r="CA512" s="2825"/>
      <c r="CB512" s="2825"/>
      <c r="CC512" s="2825"/>
      <c r="CD512" s="2826"/>
      <c r="CH512" s="2825"/>
      <c r="CI512" s="1364"/>
      <c r="CN512" s="1364"/>
      <c r="CS512" s="1364"/>
      <c r="CX512" s="1364"/>
      <c r="DH512" s="1398"/>
      <c r="DI512" s="1364"/>
      <c r="DJ512" s="1398"/>
      <c r="DK512" s="1398"/>
      <c r="DL512" s="1398"/>
      <c r="DM512" s="1364"/>
      <c r="DN512" s="1364"/>
      <c r="DO512" s="1364"/>
      <c r="DP512" s="1364"/>
      <c r="DQ512" s="1364"/>
      <c r="DR512" s="997"/>
    </row>
    <row r="513" spans="1:125" s="992" customFormat="1" ht="12">
      <c r="A513" s="997"/>
      <c r="B513" s="997"/>
      <c r="C513" s="997"/>
      <c r="D513" s="997"/>
      <c r="E513" s="997"/>
      <c r="F513" s="997"/>
      <c r="G513" s="997"/>
      <c r="H513" s="997"/>
      <c r="I513" s="997"/>
      <c r="J513" s="997"/>
      <c r="K513" s="997"/>
      <c r="L513" s="997"/>
      <c r="M513" s="997"/>
      <c r="N513" s="997"/>
      <c r="O513" s="997"/>
      <c r="P513" s="997"/>
      <c r="Q513" s="997"/>
      <c r="R513" s="997"/>
      <c r="S513" s="997"/>
      <c r="T513" s="997"/>
      <c r="U513" s="997"/>
      <c r="V513" s="997"/>
      <c r="W513" s="997"/>
      <c r="X513" s="997"/>
      <c r="Y513" s="997"/>
      <c r="Z513" s="997"/>
      <c r="AA513" s="997"/>
      <c r="AB513" s="997"/>
      <c r="AC513" s="997"/>
      <c r="AD513" s="997"/>
      <c r="AE513" s="997"/>
      <c r="AF513" s="997"/>
      <c r="AG513" s="997"/>
      <c r="AH513" s="997"/>
      <c r="AI513" s="997"/>
      <c r="AJ513" s="997"/>
      <c r="AK513" s="997"/>
      <c r="AL513" s="997"/>
      <c r="AM513" s="997"/>
      <c r="AN513" s="997"/>
      <c r="AO513" s="997"/>
      <c r="AP513" s="997"/>
      <c r="AQ513" s="997"/>
      <c r="AR513" s="997"/>
      <c r="AS513" s="997"/>
      <c r="AT513" s="997"/>
      <c r="AU513" s="997"/>
      <c r="AV513" s="997"/>
      <c r="AW513" s="997"/>
      <c r="AX513" s="997"/>
      <c r="AY513" s="997"/>
      <c r="AZ513" s="997"/>
      <c r="BA513" s="997"/>
      <c r="BB513" s="997"/>
      <c r="BC513" s="997"/>
      <c r="BD513" s="997"/>
      <c r="BE513" s="997"/>
      <c r="BF513" s="997"/>
      <c r="BG513" s="997"/>
      <c r="BH513" s="997"/>
      <c r="BI513" s="997"/>
      <c r="BJ513" s="997"/>
      <c r="BK513" s="997"/>
      <c r="BL513" s="997"/>
      <c r="BM513" s="997"/>
      <c r="BN513" s="997"/>
      <c r="BO513" s="997"/>
      <c r="BP513" s="997"/>
      <c r="BQ513" s="997"/>
      <c r="BR513" s="997"/>
      <c r="BS513" s="997"/>
      <c r="BT513" s="997"/>
      <c r="BU513" s="2832"/>
      <c r="BV513" s="2832"/>
      <c r="BW513" s="2832"/>
      <c r="BX513" s="2832"/>
      <c r="BY513" s="1735"/>
      <c r="BZ513" s="2832"/>
      <c r="CA513" s="2832"/>
      <c r="CB513" s="2832"/>
      <c r="CC513" s="2832"/>
      <c r="CD513" s="2832"/>
      <c r="CE513" s="997"/>
      <c r="CF513" s="997"/>
      <c r="CG513" s="997"/>
      <c r="CH513" s="2832"/>
      <c r="CI513" s="997"/>
      <c r="CJ513" s="997"/>
      <c r="CK513" s="997"/>
      <c r="CL513" s="997"/>
      <c r="CM513" s="997"/>
      <c r="CN513" s="997"/>
      <c r="CO513" s="997"/>
      <c r="CP513" s="997"/>
      <c r="CQ513" s="997"/>
      <c r="CR513" s="997"/>
      <c r="CS513" s="997"/>
      <c r="CT513" s="997"/>
      <c r="CU513" s="997"/>
      <c r="CV513" s="997"/>
      <c r="CW513" s="997"/>
      <c r="CX513" s="997"/>
      <c r="CY513" s="997"/>
      <c r="CZ513" s="997"/>
      <c r="DA513" s="997"/>
      <c r="DB513" s="997"/>
      <c r="DC513" s="997"/>
      <c r="DD513" s="997"/>
      <c r="DE513" s="997"/>
      <c r="DF513" s="997"/>
      <c r="DG513" s="997"/>
      <c r="DH513" s="997"/>
      <c r="DI513" s="997"/>
      <c r="DJ513" s="997"/>
      <c r="DK513" s="997"/>
      <c r="DL513" s="997"/>
      <c r="DM513" s="997"/>
      <c r="DN513" s="997"/>
      <c r="DO513" s="997"/>
      <c r="DP513" s="997"/>
      <c r="DQ513" s="997"/>
      <c r="DR513" s="997"/>
      <c r="DS513" s="997"/>
      <c r="DT513" s="997"/>
      <c r="DU513" s="997"/>
    </row>
    <row r="514" spans="1:125" s="993" customFormat="1" ht="12">
      <c r="A514" s="997" t="s">
        <v>1127</v>
      </c>
      <c r="B514" s="997"/>
      <c r="C514" s="997"/>
      <c r="D514" s="997"/>
      <c r="E514" s="997"/>
      <c r="F514" s="997"/>
      <c r="G514" s="997"/>
      <c r="H514" s="997"/>
      <c r="I514" s="997"/>
      <c r="J514" s="997"/>
      <c r="K514" s="997"/>
      <c r="L514" s="997"/>
      <c r="M514" s="997"/>
      <c r="N514" s="997"/>
      <c r="O514" s="997"/>
      <c r="P514" s="997"/>
      <c r="Q514" s="997"/>
      <c r="R514" s="997"/>
      <c r="S514" s="997"/>
      <c r="T514" s="997"/>
      <c r="U514" s="997"/>
      <c r="V514" s="997"/>
      <c r="W514" s="997"/>
      <c r="X514" s="997"/>
      <c r="Y514" s="997"/>
      <c r="Z514" s="997"/>
      <c r="AA514" s="997"/>
      <c r="AB514" s="997"/>
      <c r="AC514" s="997"/>
      <c r="AD514" s="997"/>
      <c r="AE514" s="997"/>
      <c r="AF514" s="997"/>
      <c r="AG514" s="997"/>
      <c r="AH514" s="997"/>
      <c r="AI514" s="997"/>
      <c r="AJ514" s="997"/>
      <c r="AK514" s="997"/>
      <c r="AL514" s="997"/>
      <c r="AM514" s="997"/>
      <c r="AN514" s="997"/>
      <c r="AO514" s="997"/>
      <c r="AP514" s="997"/>
      <c r="AQ514" s="997"/>
      <c r="AR514" s="997"/>
      <c r="AS514" s="997"/>
      <c r="AT514" s="997"/>
      <c r="AU514" s="997"/>
      <c r="AV514" s="997"/>
      <c r="AW514" s="997"/>
      <c r="AX514" s="997"/>
      <c r="AY514" s="997"/>
      <c r="AZ514" s="997"/>
      <c r="BA514" s="997"/>
      <c r="BB514" s="997"/>
      <c r="BC514" s="997"/>
      <c r="BD514" s="997"/>
      <c r="BE514" s="997"/>
      <c r="BF514" s="997"/>
      <c r="BG514" s="997"/>
      <c r="BH514" s="997"/>
      <c r="BI514" s="997"/>
      <c r="BJ514" s="997"/>
      <c r="BK514" s="997"/>
      <c r="BL514" s="997"/>
      <c r="BM514" s="997"/>
      <c r="BN514" s="997"/>
      <c r="BO514" s="997"/>
      <c r="BP514" s="2551">
        <f>+BP510-(AVERAGE(BP498,BP499))</f>
        <v>14050</v>
      </c>
      <c r="BQ514" s="2551">
        <f>+BQ510-(AVERAGE(BQ498,BQ499))</f>
        <v>16250</v>
      </c>
      <c r="BR514" s="2551">
        <f>+BR510-(AVERAGE(BR498,BR499))</f>
        <v>13750</v>
      </c>
      <c r="BS514" s="2551">
        <f>+BS510-(AVERAGE(BS498,BS499))</f>
        <v>14650</v>
      </c>
      <c r="BT514" s="997"/>
      <c r="BU514" s="2833">
        <f>+BU510-(AVERAGE(BU498,BU499))</f>
        <v>13600</v>
      </c>
      <c r="BV514" s="2833">
        <f>+BV510-(AVERAGE(BV498,BV499))</f>
        <v>15300</v>
      </c>
      <c r="BW514" s="2833">
        <f>+BW510-(AVERAGE(BW498,BW499))</f>
        <v>14200</v>
      </c>
      <c r="BX514" s="2833">
        <f>+BX510-(AVERAGE(BX498,BX499))</f>
        <v>14200</v>
      </c>
      <c r="BY514" s="2834"/>
      <c r="BZ514" s="2833">
        <f>+BZ510-(AVERAGE(BZ498,BZ499))</f>
        <v>14000</v>
      </c>
      <c r="CA514" s="2833">
        <f>+CA510-(AVERAGE(CA498,CA499))</f>
        <v>15250</v>
      </c>
      <c r="CB514" s="2833">
        <f>+CB510-(AVERAGE(CB498,CB499))</f>
        <v>15100</v>
      </c>
      <c r="CC514" s="2833">
        <f>+CC510-(AVERAGE(CC498,CC499))</f>
        <v>15900</v>
      </c>
      <c r="CD514" s="2835"/>
      <c r="CE514" s="2551">
        <f>+CE510-(AVERAGE(CE498,CE499))</f>
        <v>15100</v>
      </c>
      <c r="CF514" s="2551">
        <f>+CF510-(AVERAGE(CF498,CF499))</f>
        <v>17100</v>
      </c>
      <c r="CG514" s="2551">
        <f>+CG510-(AVERAGE(CG498,CG499))</f>
        <v>16500</v>
      </c>
      <c r="CH514" s="2833">
        <f>+CH510-(AVERAGE(CH498,CH499))</f>
        <v>19450</v>
      </c>
      <c r="CI514" s="1400"/>
      <c r="CJ514" s="1400"/>
      <c r="CK514" s="1400"/>
      <c r="CL514" s="1400"/>
      <c r="CM514" s="1400"/>
      <c r="CN514" s="1400"/>
      <c r="CO514" s="1400"/>
      <c r="CP514" s="1400"/>
      <c r="CQ514" s="1400"/>
      <c r="CR514" s="1400"/>
      <c r="CS514" s="1400"/>
      <c r="CT514" s="1400"/>
      <c r="CU514" s="1400"/>
      <c r="CV514" s="1400"/>
      <c r="CW514" s="1400"/>
      <c r="CX514" s="1400"/>
      <c r="CY514" s="1400"/>
      <c r="CZ514" s="1400"/>
      <c r="DA514" s="1400"/>
      <c r="DB514" s="1400"/>
      <c r="DC514" s="1400"/>
      <c r="DD514" s="1400"/>
      <c r="DE514" s="1400"/>
      <c r="DF514" s="1400"/>
      <c r="DG514" s="1400"/>
      <c r="DH514" s="1400"/>
      <c r="DI514" s="1400"/>
      <c r="DJ514" s="1400"/>
      <c r="DK514" s="1400"/>
      <c r="DL514" s="1400"/>
      <c r="DM514" s="1400"/>
      <c r="DN514" s="1400"/>
      <c r="DO514" s="1400"/>
      <c r="DP514" s="1400"/>
      <c r="DQ514" s="1400"/>
      <c r="DR514" s="1400"/>
      <c r="DS514" s="1400"/>
      <c r="DT514" s="1400"/>
      <c r="DU514" s="1400"/>
    </row>
    <row r="515" spans="1:125" s="993" customFormat="1" ht="12">
      <c r="A515" s="997" t="s">
        <v>1128</v>
      </c>
      <c r="B515" s="997"/>
      <c r="C515" s="997"/>
      <c r="D515" s="997"/>
      <c r="E515" s="997"/>
      <c r="F515" s="997"/>
      <c r="G515" s="997"/>
      <c r="H515" s="997"/>
      <c r="I515" s="997"/>
      <c r="J515" s="997"/>
      <c r="K515" s="997"/>
      <c r="L515" s="997"/>
      <c r="M515" s="997"/>
      <c r="N515" s="997"/>
      <c r="O515" s="997"/>
      <c r="P515" s="997"/>
      <c r="Q515" s="997"/>
      <c r="R515" s="997"/>
      <c r="S515" s="997"/>
      <c r="T515" s="997"/>
      <c r="U515" s="997"/>
      <c r="V515" s="997"/>
      <c r="W515" s="997"/>
      <c r="X515" s="997"/>
      <c r="Y515" s="997"/>
      <c r="Z515" s="997"/>
      <c r="AA515" s="997"/>
      <c r="AB515" s="997"/>
      <c r="AC515" s="997"/>
      <c r="AD515" s="997"/>
      <c r="AE515" s="997"/>
      <c r="AF515" s="997"/>
      <c r="AG515" s="997"/>
      <c r="AH515" s="997"/>
      <c r="AI515" s="997"/>
      <c r="AJ515" s="997"/>
      <c r="AK515" s="997"/>
      <c r="AL515" s="997"/>
      <c r="AM515" s="997"/>
      <c r="AN515" s="997"/>
      <c r="AO515" s="997"/>
      <c r="AP515" s="997"/>
      <c r="AQ515" s="997"/>
      <c r="AR515" s="997"/>
      <c r="AS515" s="997"/>
      <c r="AT515" s="997"/>
      <c r="AU515" s="997"/>
      <c r="AV515" s="997"/>
      <c r="AW515" s="997"/>
      <c r="AX515" s="997"/>
      <c r="AY515" s="997"/>
      <c r="AZ515" s="997"/>
      <c r="BA515" s="997"/>
      <c r="BB515" s="997"/>
      <c r="BC515" s="997"/>
      <c r="BD515" s="997"/>
      <c r="BE515" s="997"/>
      <c r="BF515" s="997"/>
      <c r="BG515" s="997"/>
      <c r="BH515" s="997"/>
      <c r="BI515" s="997"/>
      <c r="BJ515" s="997"/>
      <c r="BK515" s="997"/>
      <c r="BL515" s="997"/>
      <c r="BM515" s="997"/>
      <c r="BN515" s="997"/>
      <c r="BO515" s="997"/>
      <c r="BP515" s="1166">
        <f>BP514/BP510</f>
        <v>0.64597701149425291</v>
      </c>
      <c r="BQ515" s="1166">
        <f>BQ514/BQ510</f>
        <v>0.62620423892100197</v>
      </c>
      <c r="BR515" s="1166">
        <f>BR514/BR510</f>
        <v>0.65476190476190477</v>
      </c>
      <c r="BS515" s="1166">
        <f>BS514/BS510</f>
        <v>0.66742596810933941</v>
      </c>
      <c r="BT515" s="997"/>
      <c r="BU515" s="1166">
        <f>BU514/BU510</f>
        <v>0.65700483091787443</v>
      </c>
      <c r="BV515" s="1166">
        <f>BV514/BV510</f>
        <v>0.60956175298804782</v>
      </c>
      <c r="BW515" s="1166">
        <f>BW514/BW510</f>
        <v>0.64692482915717542</v>
      </c>
      <c r="BX515" s="1166">
        <f>BX514/BX510</f>
        <v>0.64399092970521543</v>
      </c>
      <c r="BY515" s="2832"/>
      <c r="BZ515" s="1166">
        <f>BZ514/BZ510</f>
        <v>0.64965197215777259</v>
      </c>
      <c r="CA515" s="1166">
        <f>CA514/CA510</f>
        <v>0.60878243512974051</v>
      </c>
      <c r="CB515" s="1166">
        <f>CB514/CB510</f>
        <v>0.64255319148936174</v>
      </c>
      <c r="CC515" s="1166">
        <f>CC514/CC510</f>
        <v>0.65838509316770188</v>
      </c>
      <c r="CD515" s="2835"/>
      <c r="CE515" s="1166">
        <f>CE514/CE510</f>
        <v>0.64668094218415417</v>
      </c>
      <c r="CF515" s="1166">
        <f>CF514/CF510</f>
        <v>0.6063829787234043</v>
      </c>
      <c r="CG515" s="1166">
        <f>CG514/CG510</f>
        <v>0.64453125</v>
      </c>
      <c r="CH515" s="1166">
        <f>CH514/CH510</f>
        <v>0.66723842195540306</v>
      </c>
      <c r="CI515" s="1400"/>
      <c r="CJ515" s="1400"/>
      <c r="CK515" s="1400"/>
      <c r="CL515" s="1400"/>
      <c r="CM515" s="1400"/>
      <c r="CN515" s="1400"/>
      <c r="CO515" s="1400"/>
      <c r="CP515" s="1400"/>
      <c r="CQ515" s="1400"/>
      <c r="CR515" s="1400"/>
      <c r="CS515" s="1400"/>
      <c r="CT515" s="1400"/>
      <c r="CU515" s="1400"/>
      <c r="CV515" s="1400"/>
      <c r="CW515" s="1400"/>
      <c r="CX515" s="1400"/>
      <c r="CY515" s="1400"/>
      <c r="CZ515" s="1400"/>
      <c r="DA515" s="1400"/>
      <c r="DB515" s="1400"/>
      <c r="DC515" s="1400"/>
      <c r="DD515" s="1400"/>
      <c r="DE515" s="1400"/>
      <c r="DF515" s="1400"/>
      <c r="DG515" s="1400"/>
      <c r="DH515" s="1400"/>
      <c r="DI515" s="1400"/>
      <c r="DJ515" s="1400"/>
      <c r="DK515" s="1400"/>
      <c r="DL515" s="1400"/>
      <c r="DM515" s="1400"/>
      <c r="DN515" s="1400"/>
      <c r="DO515" s="1400"/>
      <c r="DP515" s="1400"/>
      <c r="DQ515" s="1400"/>
      <c r="DR515" s="1400"/>
      <c r="DS515" s="1400"/>
      <c r="DT515" s="1400"/>
      <c r="DU515" s="1400"/>
    </row>
    <row r="516" spans="1:125" s="989" customFormat="1">
      <c r="A516" s="997" t="s">
        <v>1129</v>
      </c>
      <c r="B516" s="997"/>
      <c r="C516" s="997"/>
      <c r="D516" s="997"/>
      <c r="E516" s="997"/>
      <c r="F516" s="997"/>
      <c r="G516" s="997"/>
      <c r="H516" s="997"/>
      <c r="I516" s="997"/>
      <c r="J516" s="997"/>
      <c r="K516" s="997"/>
      <c r="L516" s="997"/>
      <c r="M516" s="997"/>
      <c r="N516" s="997"/>
      <c r="O516" s="997"/>
      <c r="P516" s="997"/>
      <c r="Q516" s="997"/>
      <c r="R516" s="997"/>
      <c r="S516" s="997"/>
      <c r="T516" s="997"/>
      <c r="U516" s="997"/>
      <c r="V516" s="997"/>
      <c r="W516" s="997"/>
      <c r="X516" s="997"/>
      <c r="Y516" s="997"/>
      <c r="Z516" s="997"/>
      <c r="AA516" s="997"/>
      <c r="AB516" s="997"/>
      <c r="AC516" s="997"/>
      <c r="AD516" s="997"/>
      <c r="AE516" s="997"/>
      <c r="AF516" s="997"/>
      <c r="AG516" s="997"/>
      <c r="AH516" s="997"/>
      <c r="AI516" s="997"/>
      <c r="AJ516" s="997"/>
      <c r="AK516" s="997"/>
      <c r="AL516" s="997"/>
      <c r="AM516" s="997"/>
      <c r="AN516" s="997"/>
      <c r="AO516" s="997"/>
      <c r="AP516" s="997"/>
      <c r="AQ516" s="997"/>
      <c r="AR516" s="997"/>
      <c r="AS516" s="997"/>
      <c r="AT516" s="997"/>
      <c r="AU516" s="997"/>
      <c r="AV516" s="997"/>
      <c r="AW516" s="997"/>
      <c r="AX516" s="997"/>
      <c r="AY516" s="997"/>
      <c r="AZ516" s="997"/>
      <c r="BA516" s="997"/>
      <c r="BB516" s="997"/>
      <c r="BC516" s="997"/>
      <c r="BD516" s="997"/>
      <c r="BE516" s="997"/>
      <c r="BF516" s="997"/>
      <c r="BG516" s="997"/>
      <c r="BH516" s="997"/>
      <c r="BI516" s="997"/>
      <c r="BJ516" s="997"/>
      <c r="BK516" s="997"/>
      <c r="BL516" s="997"/>
      <c r="BM516" s="997"/>
      <c r="BN516" s="997"/>
      <c r="BO516" s="997"/>
      <c r="BP516" s="2551">
        <f>+BP514-(AVERAGE(BP503,BP504))</f>
        <v>5450</v>
      </c>
      <c r="BQ516" s="2551">
        <f>+BQ514-(AVERAGE(BQ503,BQ504))</f>
        <v>7550</v>
      </c>
      <c r="BR516" s="2551">
        <f>+BR514-(AVERAGE(BR503,BR504))</f>
        <v>5450</v>
      </c>
      <c r="BS516" s="2551">
        <f>+BS514-(AVERAGE(BS503,BS504))</f>
        <v>6200</v>
      </c>
      <c r="BT516" s="997"/>
      <c r="BU516" s="2833">
        <f>+BU514-(AVERAGE(BU503,BU504))</f>
        <v>5950</v>
      </c>
      <c r="BV516" s="2833">
        <f>+BV514-(AVERAGE(BV503,BV504))</f>
        <v>7250</v>
      </c>
      <c r="BW516" s="2833">
        <f>+BW514-(AVERAGE(BW503,BW504))</f>
        <v>6450</v>
      </c>
      <c r="BX516" s="2833">
        <f>+BX514-(AVERAGE(BX503,BX504))</f>
        <v>5950</v>
      </c>
      <c r="BY516" s="2832"/>
      <c r="BZ516" s="2833">
        <f>+BZ514-(AVERAGE(BZ503,BZ504))</f>
        <v>6600</v>
      </c>
      <c r="CA516" s="2833">
        <f>+CA514-(AVERAGE(CA503,CA504))</f>
        <v>7350</v>
      </c>
      <c r="CB516" s="2833">
        <f>+CB514-(AVERAGE(CB503,CB504))</f>
        <v>6550</v>
      </c>
      <c r="CC516" s="2833">
        <f>+CC514-(AVERAGE(CC503,CC504))</f>
        <v>6750</v>
      </c>
      <c r="CD516" s="2836"/>
      <c r="CE516" s="2551">
        <f>+CE514-(AVERAGE(CE503,CE504))</f>
        <v>6450</v>
      </c>
      <c r="CF516" s="2551">
        <f>+CF514-(AVERAGE(CF503,CF504))</f>
        <v>7950</v>
      </c>
      <c r="CG516" s="2551">
        <f>+CG514-(AVERAGE(CG503,CG504))</f>
        <v>7350</v>
      </c>
      <c r="CH516" s="2833">
        <f>+CH514-(AVERAGE(CH503,CH504))</f>
        <v>9600</v>
      </c>
      <c r="CI516" s="1401"/>
      <c r="CJ516" s="1401"/>
      <c r="CK516" s="1401"/>
      <c r="CL516" s="1401"/>
      <c r="CM516" s="1401"/>
      <c r="CN516" s="1401"/>
      <c r="CO516" s="1401"/>
      <c r="CP516" s="1401"/>
      <c r="CQ516" s="1401"/>
      <c r="CR516" s="1401"/>
      <c r="CS516" s="1401"/>
      <c r="CT516" s="1401"/>
      <c r="CU516" s="1401"/>
      <c r="CV516" s="1401"/>
      <c r="CW516" s="1401"/>
      <c r="CX516" s="1401"/>
      <c r="CY516" s="1401"/>
      <c r="CZ516" s="1401"/>
      <c r="DA516" s="1401"/>
      <c r="DB516" s="1401"/>
      <c r="DC516" s="1401"/>
      <c r="DD516" s="1401"/>
      <c r="DE516" s="1401"/>
      <c r="DF516" s="1401"/>
      <c r="DG516" s="1401"/>
      <c r="DH516" s="1401"/>
      <c r="DI516" s="1401"/>
      <c r="DJ516" s="1401"/>
      <c r="DK516" s="1401"/>
      <c r="DL516" s="1401"/>
      <c r="DM516" s="1401"/>
      <c r="DN516" s="1401"/>
      <c r="DO516" s="1401"/>
      <c r="DP516" s="1401"/>
      <c r="DQ516" s="1401"/>
      <c r="DR516" s="1401"/>
      <c r="DS516" s="1401"/>
      <c r="DT516" s="1401"/>
      <c r="DU516" s="1401"/>
    </row>
    <row r="517" spans="1:125" s="989" customFormat="1">
      <c r="A517" s="997" t="s">
        <v>1130</v>
      </c>
      <c r="B517" s="997"/>
      <c r="C517" s="997"/>
      <c r="D517" s="997"/>
      <c r="E517" s="997"/>
      <c r="F517" s="997"/>
      <c r="G517" s="997"/>
      <c r="H517" s="997"/>
      <c r="I517" s="997"/>
      <c r="J517" s="997"/>
      <c r="K517" s="997"/>
      <c r="L517" s="997"/>
      <c r="M517" s="997"/>
      <c r="N517" s="997"/>
      <c r="O517" s="997"/>
      <c r="P517" s="997"/>
      <c r="Q517" s="997"/>
      <c r="R517" s="997"/>
      <c r="S517" s="997"/>
      <c r="T517" s="997"/>
      <c r="U517" s="997"/>
      <c r="V517" s="997"/>
      <c r="W517" s="997"/>
      <c r="X517" s="997"/>
      <c r="Y517" s="997"/>
      <c r="Z517" s="997"/>
      <c r="AA517" s="997"/>
      <c r="AB517" s="997"/>
      <c r="AC517" s="997"/>
      <c r="AD517" s="997"/>
      <c r="AE517" s="997"/>
      <c r="AF517" s="997"/>
      <c r="AG517" s="997"/>
      <c r="AH517" s="997"/>
      <c r="AI517" s="997"/>
      <c r="AJ517" s="997"/>
      <c r="AK517" s="997"/>
      <c r="AL517" s="997"/>
      <c r="AM517" s="997"/>
      <c r="AN517" s="997"/>
      <c r="AO517" s="997"/>
      <c r="AP517" s="997"/>
      <c r="AQ517" s="997"/>
      <c r="AR517" s="997"/>
      <c r="AS517" s="997"/>
      <c r="AT517" s="997"/>
      <c r="AU517" s="997"/>
      <c r="AV517" s="997"/>
      <c r="AW517" s="997"/>
      <c r="AX517" s="997"/>
      <c r="AY517" s="997"/>
      <c r="AZ517" s="997"/>
      <c r="BA517" s="997"/>
      <c r="BB517" s="997"/>
      <c r="BC517" s="997"/>
      <c r="BD517" s="997"/>
      <c r="BE517" s="997"/>
      <c r="BF517" s="997"/>
      <c r="BG517" s="997"/>
      <c r="BH517" s="997"/>
      <c r="BI517" s="997"/>
      <c r="BJ517" s="997"/>
      <c r="BK517" s="997"/>
      <c r="BL517" s="997"/>
      <c r="BM517" s="997"/>
      <c r="BN517" s="997"/>
      <c r="BO517" s="997"/>
      <c r="BP517" s="1166">
        <f>BP516/BP510</f>
        <v>0.25057471264367814</v>
      </c>
      <c r="BQ517" s="1166">
        <f>BQ516/BQ510</f>
        <v>0.29094412331406549</v>
      </c>
      <c r="BR517" s="1166">
        <f>BR516/BR510</f>
        <v>0.25952380952380955</v>
      </c>
      <c r="BS517" s="1166">
        <f>BS516/BS510</f>
        <v>0.28246013667425968</v>
      </c>
      <c r="BT517" s="997"/>
      <c r="BU517" s="1166">
        <f>BU516/BU510</f>
        <v>0.28743961352657005</v>
      </c>
      <c r="BV517" s="1166">
        <f>BV516/BV510</f>
        <v>0.28884462151394424</v>
      </c>
      <c r="BW517" s="1166">
        <f>BW516/BW510</f>
        <v>0.29384965831435078</v>
      </c>
      <c r="BX517" s="1166">
        <f>BX516/BX510</f>
        <v>0.26984126984126983</v>
      </c>
      <c r="BY517" s="2832"/>
      <c r="BZ517" s="1166">
        <f>BZ516/BZ510</f>
        <v>0.30626450116009279</v>
      </c>
      <c r="CA517" s="1166">
        <f>CA516/CA510</f>
        <v>0.29341317365269459</v>
      </c>
      <c r="CB517" s="1166">
        <f>CB516/CB510</f>
        <v>0.27872340425531916</v>
      </c>
      <c r="CC517" s="1166">
        <f>CC516/CC510</f>
        <v>0.27950310559006208</v>
      </c>
      <c r="CD517" s="2836"/>
      <c r="CE517" s="1166">
        <f>CE516/CE510</f>
        <v>0.27623126338329762</v>
      </c>
      <c r="CF517" s="1166">
        <f>CF516/CF510</f>
        <v>0.28191489361702127</v>
      </c>
      <c r="CG517" s="1166">
        <f>CG516/CG510</f>
        <v>0.287109375</v>
      </c>
      <c r="CH517" s="1166">
        <f>CH516/CH510</f>
        <v>0.32933104631217841</v>
      </c>
      <c r="CI517" s="1401"/>
      <c r="CJ517" s="1401"/>
      <c r="CK517" s="1401"/>
      <c r="CL517" s="1401"/>
      <c r="CM517" s="1401"/>
      <c r="CN517" s="1401"/>
      <c r="CO517" s="1401"/>
      <c r="CP517" s="1401"/>
      <c r="CQ517" s="1401"/>
      <c r="CR517" s="1401"/>
      <c r="CS517" s="1401"/>
      <c r="CT517" s="1401"/>
      <c r="CU517" s="1401"/>
      <c r="CV517" s="1401"/>
      <c r="CW517" s="1401"/>
      <c r="CX517" s="1401"/>
      <c r="CY517" s="1401"/>
      <c r="CZ517" s="1401"/>
      <c r="DA517" s="1401"/>
      <c r="DB517" s="1401"/>
      <c r="DC517" s="1401"/>
      <c r="DD517" s="1401"/>
      <c r="DE517" s="1401"/>
      <c r="DF517" s="1401"/>
      <c r="DG517" s="1401"/>
      <c r="DH517" s="1401"/>
      <c r="DI517" s="1401"/>
      <c r="DJ517" s="1401"/>
      <c r="DK517" s="1401"/>
      <c r="DL517" s="1401"/>
      <c r="DM517" s="1401"/>
      <c r="DN517" s="1401"/>
      <c r="DO517" s="1401"/>
      <c r="DP517" s="1401"/>
      <c r="DQ517" s="1401"/>
      <c r="DR517" s="1401"/>
      <c r="DS517" s="1401"/>
      <c r="DT517" s="1401"/>
      <c r="DU517" s="1401"/>
    </row>
    <row r="518" spans="1:125" s="989" customFormat="1">
      <c r="A518" s="997" t="s">
        <v>1132</v>
      </c>
      <c r="B518" s="997"/>
      <c r="C518" s="997"/>
      <c r="D518" s="997"/>
      <c r="E518" s="997"/>
      <c r="F518" s="997"/>
      <c r="G518" s="997"/>
      <c r="H518" s="997"/>
      <c r="I518" s="997"/>
      <c r="J518" s="997"/>
      <c r="K518" s="997"/>
      <c r="L518" s="997"/>
      <c r="M518" s="997"/>
      <c r="N518" s="997"/>
      <c r="O518" s="997"/>
      <c r="P518" s="997"/>
      <c r="Q518" s="997"/>
      <c r="R518" s="997"/>
      <c r="S518" s="997"/>
      <c r="T518" s="997"/>
      <c r="U518" s="997"/>
      <c r="V518" s="997"/>
      <c r="W518" s="997"/>
      <c r="X518" s="997"/>
      <c r="Y518" s="997"/>
      <c r="Z518" s="997"/>
      <c r="AA518" s="997"/>
      <c r="AB518" s="997"/>
      <c r="AC518" s="997"/>
      <c r="AD518" s="997"/>
      <c r="AE518" s="997"/>
      <c r="AF518" s="997"/>
      <c r="AG518" s="997"/>
      <c r="AH518" s="997"/>
      <c r="AI518" s="997"/>
      <c r="AJ518" s="997"/>
      <c r="AK518" s="997"/>
      <c r="AL518" s="997"/>
      <c r="AM518" s="997"/>
      <c r="AN518" s="997"/>
      <c r="AO518" s="997"/>
      <c r="AP518" s="997"/>
      <c r="AQ518" s="997"/>
      <c r="AR518" s="997"/>
      <c r="AS518" s="997"/>
      <c r="AT518" s="997"/>
      <c r="AU518" s="997"/>
      <c r="AV518" s="997"/>
      <c r="AW518" s="997"/>
      <c r="AX518" s="997"/>
      <c r="AY518" s="997"/>
      <c r="AZ518" s="997"/>
      <c r="BA518" s="997"/>
      <c r="BB518" s="997"/>
      <c r="BC518" s="997"/>
      <c r="BD518" s="997"/>
      <c r="BE518" s="997"/>
      <c r="BF518" s="997"/>
      <c r="BG518" s="997"/>
      <c r="BH518" s="997"/>
      <c r="BI518" s="997"/>
      <c r="BJ518" s="997"/>
      <c r="BK518" s="997"/>
      <c r="BL518" s="997"/>
      <c r="BM518" s="997"/>
      <c r="BN518" s="997"/>
      <c r="BO518" s="997"/>
      <c r="BP518" s="992"/>
      <c r="BQ518" s="992"/>
      <c r="BR518" s="992"/>
      <c r="BS518" s="992"/>
      <c r="BT518" s="997"/>
      <c r="BU518" s="1166"/>
      <c r="BV518" s="2833"/>
      <c r="BW518" s="2833">
        <f>BW516+BW511</f>
        <v>6150</v>
      </c>
      <c r="BX518" s="2833">
        <f>BX516+BX511</f>
        <v>5750</v>
      </c>
      <c r="BY518" s="2832"/>
      <c r="BZ518" s="2833">
        <f>BZ516+BZ511</f>
        <v>6600</v>
      </c>
      <c r="CA518" s="2833">
        <f>CA516+CA511</f>
        <v>7500</v>
      </c>
      <c r="CB518" s="2833">
        <f>CB516+CB511</f>
        <v>6700</v>
      </c>
      <c r="CC518" s="2833">
        <f>CC516+CC511</f>
        <v>6900</v>
      </c>
      <c r="CD518" s="2836"/>
      <c r="CE518" s="2551">
        <f>CE516+CE511</f>
        <v>6700</v>
      </c>
      <c r="CF518" s="2551">
        <f>CF516+CF511</f>
        <v>8400</v>
      </c>
      <c r="CG518" s="2551">
        <f>CG516+CG511</f>
        <v>7700</v>
      </c>
      <c r="CH518" s="2833">
        <f>CH516+CH511</f>
        <v>9950</v>
      </c>
      <c r="CI518" s="1401"/>
      <c r="CJ518" s="1401"/>
      <c r="CK518" s="1401"/>
      <c r="CL518" s="1401"/>
      <c r="CM518" s="1401"/>
      <c r="CN518" s="1401"/>
      <c r="CO518" s="1401"/>
      <c r="CP518" s="1401"/>
      <c r="CQ518" s="1401"/>
      <c r="CR518" s="1401"/>
      <c r="CS518" s="1401"/>
      <c r="CT518" s="1401"/>
      <c r="CU518" s="1401"/>
      <c r="CV518" s="1401"/>
      <c r="CW518" s="1401"/>
      <c r="CX518" s="1401"/>
      <c r="CY518" s="1401"/>
      <c r="CZ518" s="1401"/>
      <c r="DA518" s="1401"/>
      <c r="DB518" s="1401"/>
      <c r="DC518" s="1401"/>
      <c r="DD518" s="1401"/>
      <c r="DE518" s="1401"/>
      <c r="DF518" s="1401"/>
      <c r="DG518" s="1401"/>
      <c r="DH518" s="1401"/>
      <c r="DI518" s="1401"/>
      <c r="DJ518" s="1401"/>
      <c r="DK518" s="1401"/>
      <c r="DL518" s="1401"/>
      <c r="DM518" s="1401"/>
      <c r="DN518" s="1401"/>
      <c r="DO518" s="1401"/>
      <c r="DP518" s="1401"/>
      <c r="DQ518" s="1401"/>
      <c r="DR518" s="1401"/>
      <c r="DS518" s="1401"/>
      <c r="DT518" s="1401"/>
      <c r="DU518" s="1401"/>
    </row>
    <row r="519" spans="1:125" s="989" customFormat="1">
      <c r="A519" s="997" t="s">
        <v>1133</v>
      </c>
      <c r="B519" s="997"/>
      <c r="C519" s="997"/>
      <c r="D519" s="997"/>
      <c r="E519" s="997"/>
      <c r="F519" s="997"/>
      <c r="G519" s="997"/>
      <c r="H519" s="997"/>
      <c r="I519" s="997"/>
      <c r="J519" s="997"/>
      <c r="K519" s="997"/>
      <c r="L519" s="997"/>
      <c r="M519" s="997"/>
      <c r="N519" s="997"/>
      <c r="O519" s="997"/>
      <c r="P519" s="997"/>
      <c r="Q519" s="997"/>
      <c r="R519" s="997"/>
      <c r="S519" s="997"/>
      <c r="T519" s="997"/>
      <c r="U519" s="997"/>
      <c r="V519" s="997"/>
      <c r="W519" s="997"/>
      <c r="X519" s="997"/>
      <c r="Y519" s="997"/>
      <c r="Z519" s="997"/>
      <c r="AA519" s="997"/>
      <c r="AB519" s="997"/>
      <c r="AC519" s="997"/>
      <c r="AD519" s="997"/>
      <c r="AE519" s="997"/>
      <c r="AF519" s="997"/>
      <c r="AG519" s="997"/>
      <c r="AH519" s="997"/>
      <c r="AI519" s="997"/>
      <c r="AJ519" s="997"/>
      <c r="AK519" s="997"/>
      <c r="AL519" s="997"/>
      <c r="AM519" s="997"/>
      <c r="AN519" s="997"/>
      <c r="AO519" s="997"/>
      <c r="AP519" s="997"/>
      <c r="AQ519" s="997"/>
      <c r="AR519" s="997"/>
      <c r="AS519" s="997"/>
      <c r="AT519" s="997"/>
      <c r="AU519" s="997"/>
      <c r="AV519" s="997"/>
      <c r="AW519" s="997"/>
      <c r="AX519" s="997"/>
      <c r="AY519" s="997"/>
      <c r="AZ519" s="997"/>
      <c r="BA519" s="997"/>
      <c r="BB519" s="997"/>
      <c r="BC519" s="997"/>
      <c r="BD519" s="997"/>
      <c r="BE519" s="997"/>
      <c r="BF519" s="997"/>
      <c r="BG519" s="997"/>
      <c r="BH519" s="997"/>
      <c r="BI519" s="997"/>
      <c r="BJ519" s="997"/>
      <c r="BK519" s="997"/>
      <c r="BL519" s="997"/>
      <c r="BM519" s="997"/>
      <c r="BN519" s="997"/>
      <c r="BO519" s="997"/>
      <c r="BP519" s="997"/>
      <c r="BQ519" s="997"/>
      <c r="BR519" s="997"/>
      <c r="BS519" s="997"/>
      <c r="BT519" s="997"/>
      <c r="BU519" s="2832"/>
      <c r="BV519" s="2832"/>
      <c r="BW519" s="2832">
        <f>BW518*(1-0.2)</f>
        <v>4920</v>
      </c>
      <c r="BX519" s="2832">
        <f>BX518*(1-0.22)</f>
        <v>4485</v>
      </c>
      <c r="BY519" s="2832"/>
      <c r="BZ519" s="3040">
        <f>BZ518*(1-0.2)</f>
        <v>5280</v>
      </c>
      <c r="CA519" s="3040">
        <f>CA518*(1-0.2)</f>
        <v>6000</v>
      </c>
      <c r="CB519" s="3040">
        <f>CB518*(1-0.2)</f>
        <v>5360</v>
      </c>
      <c r="CC519" s="3040">
        <f>CC518*(1-0.21)</f>
        <v>5451</v>
      </c>
      <c r="CD519" s="2836"/>
      <c r="CE519" s="3040">
        <f>CE518*(1-0.19)</f>
        <v>5427</v>
      </c>
      <c r="CF519" s="3040">
        <f>CF518*(1-0.22)</f>
        <v>6552</v>
      </c>
      <c r="CG519" s="3040">
        <f>CG518*(1-0.16)</f>
        <v>6468</v>
      </c>
      <c r="CH519" s="3040">
        <f>CH518*(1-0.16)</f>
        <v>8358</v>
      </c>
      <c r="CI519" s="1401"/>
      <c r="CJ519" s="1401"/>
      <c r="CK519" s="1401"/>
      <c r="CL519" s="1401"/>
      <c r="CM519" s="1401"/>
      <c r="CN519" s="1401"/>
      <c r="CO519" s="1401"/>
      <c r="CP519" s="1401"/>
      <c r="CQ519" s="1401"/>
      <c r="CR519" s="1401"/>
      <c r="CS519" s="1401"/>
      <c r="CT519" s="1401"/>
      <c r="CU519" s="1401"/>
      <c r="CV519" s="1401"/>
      <c r="CW519" s="1401"/>
      <c r="CX519" s="1401"/>
      <c r="CY519" s="1401"/>
      <c r="CZ519" s="1401"/>
      <c r="DA519" s="1401"/>
      <c r="DB519" s="1401"/>
      <c r="DC519" s="1401"/>
      <c r="DD519" s="1401"/>
      <c r="DE519" s="1401"/>
      <c r="DF519" s="1401"/>
      <c r="DG519" s="1401"/>
      <c r="DH519" s="1401"/>
      <c r="DI519" s="1401"/>
      <c r="DJ519" s="1401"/>
      <c r="DK519" s="1401"/>
      <c r="DL519" s="1401"/>
      <c r="DM519" s="1401"/>
      <c r="DN519" s="1401"/>
      <c r="DO519" s="1401"/>
      <c r="DP519" s="1401"/>
      <c r="DQ519" s="1401"/>
      <c r="DR519" s="1401"/>
      <c r="DS519" s="1401"/>
      <c r="DT519" s="1401"/>
      <c r="DU519" s="1401"/>
    </row>
    <row r="520" spans="1:125">
      <c r="A520" s="2552" t="s">
        <v>1134</v>
      </c>
      <c r="B520" s="2552"/>
      <c r="C520" s="2552"/>
      <c r="D520" s="2552"/>
      <c r="E520" s="2552"/>
      <c r="F520" s="2552"/>
      <c r="G520" s="2552"/>
      <c r="H520" s="2552"/>
      <c r="I520" s="2552"/>
      <c r="J520" s="2552"/>
      <c r="K520" s="2552"/>
      <c r="L520" s="2552"/>
      <c r="M520" s="2552"/>
      <c r="N520" s="2552"/>
      <c r="O520" s="2552"/>
      <c r="P520" s="2552"/>
      <c r="Q520" s="2552"/>
      <c r="R520" s="2552"/>
      <c r="S520" s="2552"/>
      <c r="T520" s="2552"/>
      <c r="U520" s="2552"/>
      <c r="V520" s="2552"/>
      <c r="W520" s="2552"/>
      <c r="X520" s="2552"/>
      <c r="Y520" s="2552"/>
      <c r="Z520" s="2552"/>
      <c r="AA520" s="2552"/>
      <c r="AB520" s="2552"/>
      <c r="AC520" s="2552"/>
      <c r="AD520" s="2552"/>
      <c r="AE520" s="2552"/>
      <c r="AF520" s="2552"/>
      <c r="AG520" s="2552"/>
      <c r="AH520" s="2552"/>
      <c r="AI520" s="2552"/>
      <c r="AJ520" s="2552"/>
      <c r="AK520" s="2552"/>
      <c r="AL520" s="2552"/>
      <c r="AM520" s="2552"/>
      <c r="AN520" s="2552"/>
      <c r="AO520" s="2552"/>
      <c r="AP520" s="2552"/>
      <c r="AQ520" s="2552"/>
      <c r="AR520" s="2552"/>
      <c r="AS520" s="2552"/>
      <c r="AT520" s="2552"/>
      <c r="AU520" s="2552"/>
      <c r="AV520" s="2552"/>
      <c r="AW520" s="2552"/>
      <c r="AX520" s="2552"/>
      <c r="AY520" s="1304"/>
      <c r="AZ520" s="1304"/>
      <c r="BA520" s="1304"/>
      <c r="BB520" s="1304"/>
      <c r="BC520" s="1304"/>
      <c r="BD520" s="1304"/>
      <c r="BE520" s="2552"/>
      <c r="BF520" s="1304"/>
      <c r="BG520" s="1304"/>
      <c r="BH520" s="1304"/>
      <c r="BI520" s="1304"/>
      <c r="BJ520" s="1304"/>
      <c r="BK520" s="1304"/>
      <c r="BL520" s="1304"/>
      <c r="BM520" s="1304"/>
      <c r="BN520" s="1304"/>
      <c r="BO520" s="1304"/>
      <c r="BP520" s="1304"/>
      <c r="BQ520" s="1304"/>
      <c r="BR520" s="1304"/>
      <c r="BS520" s="1304"/>
      <c r="BT520" s="1304"/>
      <c r="BU520" s="2837"/>
      <c r="BV520" s="2837"/>
      <c r="BW520" s="2553">
        <f>BW519/IS!EK90</f>
        <v>0.61615529117094547</v>
      </c>
      <c r="BX520" s="2553">
        <f>BX519/IS!EL90</f>
        <v>0.5656451002648506</v>
      </c>
      <c r="BY520" s="2837"/>
      <c r="BZ520" s="2553">
        <f>BZ519/IS!EN90</f>
        <v>0.67039106145251393</v>
      </c>
      <c r="CA520" s="2553">
        <f>CA519/IS!EO90</f>
        <v>0.76628352490421459</v>
      </c>
      <c r="CB520" s="2553">
        <f>CB519/IS!EP90</f>
        <v>0.68603609369000385</v>
      </c>
      <c r="CC520" s="2553">
        <f>CC519/IS!EQ90</f>
        <v>0.69830899308224448</v>
      </c>
      <c r="CD520" s="2838"/>
      <c r="CE520" s="2553">
        <f>CE519/IS!ES90</f>
        <v>0.69585844339017822</v>
      </c>
      <c r="CF520" s="2553">
        <f>CF519/IS!ET90</f>
        <v>0.83892445582586428</v>
      </c>
      <c r="CG520" s="2553">
        <f>CG519/IS!EU90</f>
        <v>0.82986913010007701</v>
      </c>
      <c r="CH520" s="2553">
        <f>CH519/IS!EV90</f>
        <v>1.0761050097207381</v>
      </c>
      <c r="CI520" s="1399"/>
      <c r="CJ520" s="1399"/>
      <c r="CK520" s="1399"/>
      <c r="CL520" s="1399"/>
      <c r="CM520" s="1399"/>
      <c r="CN520" s="1399"/>
      <c r="CO520" s="1399"/>
      <c r="CP520" s="1399"/>
      <c r="CQ520" s="1399"/>
      <c r="CR520" s="1399"/>
      <c r="CS520" s="1399"/>
      <c r="CT520" s="1399"/>
      <c r="CU520" s="1399"/>
      <c r="CV520" s="1399"/>
      <c r="CW520" s="1399"/>
      <c r="CX520" s="1399"/>
      <c r="CY520" s="1399"/>
      <c r="CZ520" s="1399"/>
      <c r="DA520" s="1399"/>
      <c r="DB520" s="1399"/>
      <c r="DC520" s="1399"/>
      <c r="DD520" s="1399"/>
      <c r="DE520" s="1399"/>
      <c r="DF520" s="1399"/>
      <c r="DG520" s="1399"/>
      <c r="DH520" s="1399"/>
      <c r="DI520" s="1399"/>
      <c r="DJ520" s="1399"/>
      <c r="DK520" s="1399"/>
      <c r="DL520" s="1399"/>
      <c r="DM520" s="1399"/>
      <c r="DN520" s="1399"/>
      <c r="DO520" s="1399"/>
      <c r="DP520" s="1399"/>
      <c r="DQ520" s="1399"/>
      <c r="DR520" s="1399"/>
      <c r="DS520" s="1399"/>
      <c r="DT520" s="1399"/>
      <c r="DU520" s="1399"/>
    </row>
    <row r="521" spans="1:125">
      <c r="A521" s="2552"/>
      <c r="B521" s="2552"/>
      <c r="C521" s="2552"/>
      <c r="D521" s="2552"/>
      <c r="E521" s="2552"/>
      <c r="F521" s="2552"/>
      <c r="G521" s="2552"/>
      <c r="H521" s="2552"/>
      <c r="I521" s="2552"/>
      <c r="J521" s="2552"/>
      <c r="K521" s="2552"/>
      <c r="L521" s="2552"/>
      <c r="M521" s="2552"/>
      <c r="N521" s="2552"/>
      <c r="O521" s="2552"/>
      <c r="P521" s="2552"/>
      <c r="Q521" s="2552"/>
      <c r="R521" s="2552"/>
      <c r="S521" s="2552"/>
      <c r="T521" s="2552"/>
      <c r="U521" s="2552"/>
      <c r="V521" s="2552"/>
      <c r="W521" s="2552"/>
      <c r="X521" s="2552"/>
      <c r="Y521" s="2552"/>
      <c r="Z521" s="2552"/>
      <c r="AA521" s="2552"/>
      <c r="AB521" s="2552"/>
      <c r="AC521" s="2552"/>
      <c r="AD521" s="2552"/>
      <c r="AE521" s="2552"/>
      <c r="AF521" s="2552"/>
      <c r="AG521" s="2552"/>
      <c r="AH521" s="2552"/>
      <c r="AI521" s="2552"/>
      <c r="AJ521" s="2552"/>
      <c r="AK521" s="2552"/>
      <c r="AL521" s="2552"/>
      <c r="AM521" s="2552"/>
      <c r="AN521" s="2552"/>
      <c r="AO521" s="2552"/>
      <c r="AP521" s="2552"/>
      <c r="AQ521" s="2552"/>
      <c r="AR521" s="2552"/>
      <c r="AS521" s="2552"/>
      <c r="AT521" s="2552"/>
      <c r="AU521" s="2552"/>
      <c r="AV521" s="2552"/>
      <c r="AW521" s="2552"/>
      <c r="AX521" s="2552"/>
      <c r="AY521" s="1304"/>
      <c r="AZ521" s="1304"/>
      <c r="BA521" s="1304"/>
      <c r="BB521" s="1304"/>
      <c r="BC521" s="1304"/>
      <c r="BD521" s="1304"/>
      <c r="BE521" s="2552"/>
      <c r="BF521" s="1304"/>
      <c r="BG521" s="1304"/>
      <c r="BH521" s="1304"/>
      <c r="BI521" s="1304"/>
      <c r="BJ521" s="1304"/>
      <c r="BK521" s="1304"/>
      <c r="BL521" s="1304"/>
      <c r="BM521" s="1304"/>
      <c r="BN521" s="1304"/>
      <c r="BO521" s="1304"/>
      <c r="BP521" s="1166"/>
      <c r="BQ521" s="1166"/>
      <c r="BR521" s="1166"/>
      <c r="BS521" s="1166"/>
      <c r="BT521" s="1304"/>
      <c r="BU521" s="1166"/>
      <c r="BV521" s="1166"/>
      <c r="BW521" s="1166"/>
      <c r="BX521" s="1166"/>
      <c r="BY521" s="2837"/>
      <c r="BZ521" s="2837"/>
      <c r="CA521" s="2837"/>
      <c r="CB521" s="2838"/>
      <c r="CC521" s="1166"/>
      <c r="CD521" s="2838"/>
      <c r="CE521" s="1304"/>
      <c r="CF521" s="1399"/>
      <c r="CG521" s="1399"/>
      <c r="CH521" s="1399"/>
      <c r="CI521" s="1399"/>
      <c r="CJ521" s="1399"/>
      <c r="CK521" s="1399"/>
      <c r="CL521" s="1399"/>
      <c r="CM521" s="1399"/>
      <c r="CN521" s="1399"/>
      <c r="CO521" s="1399"/>
      <c r="CP521" s="1399"/>
      <c r="CQ521" s="1399"/>
      <c r="CR521" s="1399"/>
      <c r="CS521" s="1399"/>
      <c r="CT521" s="1399"/>
      <c r="CU521" s="1399"/>
      <c r="CV521" s="1399"/>
      <c r="CW521" s="1399"/>
      <c r="CX521" s="1399"/>
      <c r="CY521" s="1399"/>
      <c r="CZ521" s="1399"/>
      <c r="DA521" s="1399"/>
      <c r="DB521" s="1399"/>
      <c r="DC521" s="1399"/>
      <c r="DD521" s="1399"/>
      <c r="DE521" s="1399"/>
      <c r="DF521" s="1399"/>
      <c r="DG521" s="1399"/>
      <c r="DH521" s="1399"/>
      <c r="DI521" s="1399"/>
      <c r="DJ521" s="1399"/>
      <c r="DK521" s="1399"/>
      <c r="DL521" s="1399"/>
      <c r="DM521" s="1399"/>
      <c r="DN521" s="1399"/>
      <c r="DO521" s="1399"/>
      <c r="DP521" s="1399"/>
      <c r="DQ521" s="1399"/>
      <c r="DR521" s="1399"/>
      <c r="DS521" s="1399"/>
      <c r="DT521" s="1399"/>
      <c r="DU521" s="1399"/>
    </row>
    <row r="522" spans="1:125">
      <c r="A522" s="2552"/>
      <c r="B522" s="2552"/>
      <c r="C522" s="2552"/>
      <c r="D522" s="2552"/>
      <c r="E522" s="2552"/>
      <c r="F522" s="2552"/>
      <c r="G522" s="2552"/>
      <c r="H522" s="2552"/>
      <c r="I522" s="2552"/>
      <c r="J522" s="2552"/>
      <c r="K522" s="2552"/>
      <c r="L522" s="2552"/>
      <c r="M522" s="2552"/>
      <c r="N522" s="2552"/>
      <c r="O522" s="2552"/>
      <c r="P522" s="2552"/>
      <c r="Q522" s="2552"/>
      <c r="R522" s="2552"/>
      <c r="S522" s="2552"/>
      <c r="T522" s="2552"/>
      <c r="U522" s="2552"/>
      <c r="V522" s="2552"/>
      <c r="W522" s="2552"/>
      <c r="X522" s="2552"/>
      <c r="Y522" s="2552"/>
      <c r="Z522" s="2552"/>
      <c r="AA522" s="2552"/>
      <c r="AB522" s="2552"/>
      <c r="AC522" s="2552"/>
      <c r="AD522" s="2552"/>
      <c r="AE522" s="2552"/>
      <c r="AF522" s="2552"/>
      <c r="AG522" s="2552"/>
      <c r="AH522" s="2552"/>
      <c r="AI522" s="2552"/>
      <c r="AJ522" s="2552"/>
      <c r="AK522" s="2552"/>
      <c r="AL522" s="2552"/>
      <c r="AM522" s="2552"/>
      <c r="AN522" s="2552"/>
      <c r="AO522" s="2552"/>
      <c r="AP522" s="2552"/>
      <c r="AQ522" s="2552"/>
      <c r="AR522" s="2552"/>
      <c r="AS522" s="2552"/>
      <c r="AT522" s="2552"/>
      <c r="AU522" s="2552"/>
      <c r="AV522" s="2552"/>
      <c r="AW522" s="2552"/>
      <c r="AX522" s="2552"/>
      <c r="AY522" s="1304"/>
      <c r="AZ522" s="1304"/>
      <c r="BA522" s="1304"/>
      <c r="BB522" s="1304"/>
      <c r="BC522" s="1304"/>
      <c r="BD522" s="1304"/>
      <c r="BE522" s="2552"/>
      <c r="BF522" s="1304"/>
      <c r="BG522" s="1304"/>
      <c r="BH522" s="1304"/>
      <c r="BI522" s="1304"/>
      <c r="BJ522" s="1304"/>
      <c r="BK522" s="1304"/>
      <c r="BL522" s="1304"/>
      <c r="BM522" s="1304"/>
      <c r="BN522" s="1304"/>
      <c r="BO522" s="1304"/>
      <c r="BP522" s="1304"/>
      <c r="BQ522" s="1304"/>
      <c r="BR522" s="1304"/>
      <c r="BS522" s="1304"/>
      <c r="BT522" s="1304"/>
      <c r="BU522" s="2837"/>
      <c r="BV522" s="2837"/>
      <c r="BW522" s="2839"/>
      <c r="BX522" s="2837"/>
      <c r="BY522" s="2837"/>
      <c r="BZ522" s="2837"/>
      <c r="CA522" s="2837"/>
      <c r="CB522" s="2838"/>
      <c r="CC522" s="2837"/>
      <c r="CD522" s="2838"/>
      <c r="CE522" s="1304"/>
      <c r="CF522" s="1399"/>
      <c r="CG522" s="1399"/>
      <c r="CH522" s="1399"/>
      <c r="CI522" s="1399"/>
      <c r="CJ522" s="1399"/>
      <c r="CK522" s="1399"/>
      <c r="CL522" s="1399"/>
      <c r="CM522" s="1399"/>
      <c r="CN522" s="1399"/>
      <c r="CO522" s="1399"/>
      <c r="CP522" s="1399"/>
      <c r="CQ522" s="1399"/>
      <c r="CR522" s="1399"/>
      <c r="CS522" s="1399"/>
      <c r="CT522" s="1399"/>
      <c r="CU522" s="1399"/>
      <c r="CV522" s="1399"/>
      <c r="CW522" s="1399"/>
      <c r="CX522" s="1399"/>
      <c r="CY522" s="1399"/>
      <c r="CZ522" s="1399"/>
      <c r="DA522" s="1399"/>
      <c r="DB522" s="1399"/>
      <c r="DC522" s="1399"/>
      <c r="DD522" s="1399"/>
      <c r="DE522" s="1399"/>
      <c r="DF522" s="1399"/>
      <c r="DG522" s="1399"/>
      <c r="DH522" s="1399"/>
      <c r="DI522" s="1399"/>
      <c r="DJ522" s="1399"/>
      <c r="DK522" s="1399"/>
      <c r="DL522" s="1399"/>
      <c r="DM522" s="1399"/>
      <c r="DN522" s="1399"/>
      <c r="DO522" s="1399"/>
      <c r="DP522" s="1399"/>
      <c r="DQ522" s="1399"/>
      <c r="DR522" s="1399"/>
      <c r="DS522" s="1399"/>
      <c r="DT522" s="1399"/>
      <c r="DU522" s="1399"/>
    </row>
    <row r="523" spans="1:125">
      <c r="A523" s="2552"/>
      <c r="B523" s="2552"/>
      <c r="C523" s="2552"/>
      <c r="D523" s="2552"/>
      <c r="E523" s="2552"/>
      <c r="F523" s="2552"/>
      <c r="G523" s="2552"/>
      <c r="H523" s="2552"/>
      <c r="I523" s="2552"/>
      <c r="J523" s="2552"/>
      <c r="K523" s="2552"/>
      <c r="L523" s="2552"/>
      <c r="M523" s="2552"/>
      <c r="N523" s="2552"/>
      <c r="O523" s="2552"/>
      <c r="P523" s="2552"/>
      <c r="Q523" s="2552"/>
      <c r="R523" s="2552"/>
      <c r="S523" s="2552"/>
      <c r="T523" s="2552"/>
      <c r="U523" s="2552"/>
      <c r="V523" s="2552"/>
      <c r="W523" s="2552"/>
      <c r="X523" s="2552"/>
      <c r="Y523" s="2552"/>
      <c r="Z523" s="2552"/>
      <c r="AA523" s="2552"/>
      <c r="AB523" s="2552"/>
      <c r="AC523" s="2552"/>
      <c r="AD523" s="2552"/>
      <c r="AE523" s="2552"/>
      <c r="AF523" s="2552"/>
      <c r="AG523" s="2552"/>
      <c r="AH523" s="2552"/>
      <c r="AI523" s="2552"/>
      <c r="AJ523" s="2552"/>
      <c r="AK523" s="2552"/>
      <c r="AL523" s="2552"/>
      <c r="AM523" s="2552"/>
      <c r="AN523" s="2552"/>
      <c r="AO523" s="2552"/>
      <c r="AP523" s="2552"/>
      <c r="AQ523" s="2552"/>
      <c r="AR523" s="2552"/>
      <c r="AS523" s="2552"/>
      <c r="AT523" s="2552"/>
      <c r="AU523" s="2552"/>
      <c r="AV523" s="2552"/>
      <c r="AW523" s="2552"/>
      <c r="AX523" s="2552"/>
      <c r="AY523" s="1304"/>
      <c r="AZ523" s="1304"/>
      <c r="BA523" s="1304"/>
      <c r="BB523" s="1304"/>
      <c r="BC523" s="1304"/>
      <c r="BD523" s="1304"/>
      <c r="BE523" s="2552"/>
      <c r="BF523" s="1304"/>
      <c r="BG523" s="1304"/>
      <c r="BH523" s="1304"/>
      <c r="BI523" s="1304"/>
      <c r="BJ523" s="1304"/>
      <c r="BK523" s="1304"/>
      <c r="BL523" s="1304"/>
      <c r="BM523" s="1304"/>
      <c r="BN523" s="1304"/>
      <c r="BO523" s="1304"/>
      <c r="BP523" s="1304"/>
      <c r="BQ523" s="1304"/>
      <c r="BR523" s="1304"/>
      <c r="BS523" s="1304"/>
      <c r="BT523" s="1304"/>
      <c r="BU523" s="2837"/>
      <c r="BV523" s="2837"/>
      <c r="BW523" s="2837"/>
      <c r="BX523" s="2837"/>
      <c r="BY523" s="2837"/>
      <c r="BZ523" s="2837"/>
      <c r="CA523" s="2837"/>
      <c r="CB523" s="2838"/>
      <c r="CC523" s="2837"/>
      <c r="CD523" s="2838"/>
      <c r="CE523" s="1304"/>
      <c r="CF523" s="1399"/>
      <c r="CG523" s="1399"/>
      <c r="CH523" s="1399"/>
      <c r="CI523" s="1399"/>
      <c r="CJ523" s="1399"/>
      <c r="CK523" s="1399"/>
      <c r="CL523" s="1399"/>
      <c r="CM523" s="1399"/>
      <c r="CN523" s="1399"/>
      <c r="CO523" s="1399"/>
      <c r="CP523" s="1399"/>
      <c r="CQ523" s="1399"/>
      <c r="CR523" s="1399"/>
      <c r="CS523" s="1399"/>
      <c r="CT523" s="1399"/>
      <c r="CU523" s="1399"/>
      <c r="CV523" s="1399"/>
      <c r="CW523" s="1399"/>
      <c r="CX523" s="1399"/>
      <c r="CY523" s="1399"/>
      <c r="CZ523" s="1399"/>
      <c r="DA523" s="1399"/>
      <c r="DB523" s="1399"/>
      <c r="DC523" s="1399"/>
      <c r="DD523" s="1399"/>
      <c r="DE523" s="1399"/>
      <c r="DF523" s="1399"/>
      <c r="DG523" s="1399"/>
      <c r="DH523" s="1399"/>
      <c r="DI523" s="1399"/>
      <c r="DJ523" s="1399"/>
      <c r="DK523" s="1399"/>
      <c r="DL523" s="1399"/>
      <c r="DM523" s="1399"/>
      <c r="DN523" s="1399"/>
      <c r="DO523" s="1399"/>
      <c r="DP523" s="1399"/>
      <c r="DQ523" s="1399"/>
      <c r="DR523" s="1399"/>
      <c r="DS523" s="1399"/>
      <c r="DT523" s="1399"/>
      <c r="DU523" s="1399"/>
    </row>
    <row r="524" spans="1:125">
      <c r="A524" s="2552"/>
      <c r="B524" s="2552"/>
      <c r="C524" s="2552"/>
      <c r="D524" s="2552"/>
      <c r="E524" s="2552"/>
      <c r="F524" s="2552"/>
      <c r="G524" s="2552"/>
      <c r="H524" s="2552"/>
      <c r="I524" s="2552"/>
      <c r="J524" s="2552"/>
      <c r="K524" s="2552"/>
      <c r="L524" s="2552"/>
      <c r="M524" s="2552"/>
      <c r="N524" s="2552"/>
      <c r="O524" s="2552"/>
      <c r="P524" s="2552"/>
      <c r="Q524" s="2552"/>
      <c r="R524" s="2552"/>
      <c r="S524" s="2552"/>
      <c r="T524" s="2552"/>
      <c r="U524" s="2552"/>
      <c r="V524" s="2552"/>
      <c r="W524" s="2552"/>
      <c r="X524" s="2552"/>
      <c r="Y524" s="2552"/>
      <c r="Z524" s="2552"/>
      <c r="AA524" s="2552"/>
      <c r="AB524" s="2552"/>
      <c r="AC524" s="2552"/>
      <c r="AD524" s="2552"/>
      <c r="AE524" s="2552"/>
      <c r="AF524" s="2552"/>
      <c r="AG524" s="2552"/>
      <c r="AH524" s="2552"/>
      <c r="AI524" s="2552"/>
      <c r="AJ524" s="2552"/>
      <c r="AK524" s="2552"/>
      <c r="AL524" s="2552"/>
      <c r="AM524" s="2552"/>
      <c r="AN524" s="2552"/>
      <c r="AO524" s="2552"/>
      <c r="AP524" s="2552"/>
      <c r="AQ524" s="2552"/>
      <c r="AR524" s="2552"/>
      <c r="AS524" s="2552"/>
      <c r="AT524" s="2552"/>
      <c r="AU524" s="2552"/>
      <c r="AV524" s="2552"/>
      <c r="AW524" s="2552"/>
      <c r="AX524" s="2552"/>
      <c r="AY524" s="1304"/>
      <c r="AZ524" s="1304"/>
      <c r="BA524" s="1304"/>
      <c r="BB524" s="1304"/>
      <c r="BC524" s="1304"/>
      <c r="BD524" s="1304"/>
      <c r="BE524" s="2552"/>
      <c r="BF524" s="1304"/>
      <c r="BG524" s="1304"/>
      <c r="BH524" s="1304"/>
      <c r="BI524" s="1304"/>
      <c r="BJ524" s="1304"/>
      <c r="BK524" s="1304"/>
      <c r="BL524" s="1304"/>
      <c r="BM524" s="1304"/>
      <c r="BN524" s="1304"/>
      <c r="BO524" s="1304"/>
      <c r="BP524" s="1304"/>
      <c r="BQ524" s="1304"/>
      <c r="BR524" s="1304"/>
      <c r="BS524" s="1304"/>
      <c r="BT524" s="1304"/>
      <c r="BU524" s="2837"/>
      <c r="BV524" s="2837"/>
      <c r="BW524" s="2837"/>
      <c r="BX524" s="2837"/>
      <c r="BY524" s="2837"/>
      <c r="BZ524" s="2837"/>
      <c r="CA524" s="2837"/>
      <c r="CB524" s="2838"/>
      <c r="CC524" s="2837"/>
      <c r="CD524" s="2838"/>
      <c r="CE524" s="1304"/>
      <c r="CF524" s="1399"/>
      <c r="CG524" s="1399"/>
      <c r="CH524" s="1399"/>
      <c r="CI524" s="1399"/>
      <c r="CJ524" s="1399"/>
      <c r="CK524" s="1399"/>
      <c r="CL524" s="1399"/>
      <c r="CM524" s="1399"/>
      <c r="CN524" s="1399"/>
      <c r="CO524" s="1399"/>
      <c r="CP524" s="1399"/>
      <c r="CQ524" s="1399"/>
      <c r="CR524" s="1399"/>
      <c r="CS524" s="1399"/>
      <c r="CT524" s="1399"/>
      <c r="CU524" s="1399"/>
      <c r="CV524" s="1399"/>
      <c r="CW524" s="1399"/>
      <c r="CX524" s="1399"/>
      <c r="CY524" s="1399"/>
      <c r="CZ524" s="1399"/>
      <c r="DA524" s="1399"/>
      <c r="DB524" s="1399"/>
      <c r="DC524" s="1399"/>
      <c r="DD524" s="1399"/>
      <c r="DE524" s="1399"/>
      <c r="DF524" s="1399"/>
      <c r="DG524" s="1399"/>
      <c r="DH524" s="1399"/>
      <c r="DI524" s="1399"/>
      <c r="DJ524" s="1399"/>
      <c r="DK524" s="1399"/>
      <c r="DL524" s="1399"/>
      <c r="DM524" s="1399"/>
      <c r="DN524" s="1399"/>
      <c r="DO524" s="1399"/>
      <c r="DP524" s="1399"/>
      <c r="DQ524" s="1399"/>
      <c r="DR524" s="1399"/>
      <c r="DS524" s="1399"/>
      <c r="DT524" s="1399"/>
      <c r="DU524" s="1399"/>
    </row>
    <row r="525" spans="1:125">
      <c r="A525" s="1414"/>
      <c r="B525" s="1414"/>
      <c r="C525" s="1414"/>
      <c r="D525" s="1414"/>
      <c r="E525" s="1414"/>
      <c r="F525" s="1414"/>
      <c r="G525" s="1414"/>
      <c r="H525" s="1414"/>
      <c r="I525" s="1414"/>
      <c r="J525" s="1414"/>
      <c r="K525" s="1414"/>
      <c r="L525" s="1414"/>
      <c r="M525" s="1414"/>
      <c r="N525" s="1414"/>
      <c r="O525" s="1414"/>
      <c r="P525" s="1414"/>
      <c r="Q525" s="1414"/>
      <c r="R525" s="1414"/>
      <c r="S525" s="1414"/>
      <c r="T525" s="1414"/>
      <c r="U525" s="1414"/>
      <c r="V525" s="1414"/>
      <c r="W525" s="1414"/>
      <c r="X525" s="1414"/>
      <c r="Y525" s="1414"/>
      <c r="Z525" s="1414"/>
      <c r="AA525" s="1414"/>
      <c r="AB525" s="1414"/>
      <c r="AC525" s="1414"/>
      <c r="AD525" s="1414"/>
      <c r="AE525" s="1414"/>
      <c r="AF525" s="1414"/>
      <c r="AG525" s="1414"/>
      <c r="AH525" s="1414"/>
      <c r="AI525" s="1414"/>
      <c r="AJ525" s="1414"/>
      <c r="AK525" s="1414"/>
      <c r="AL525" s="1414"/>
      <c r="AM525" s="1414"/>
      <c r="AN525" s="1414"/>
      <c r="AO525" s="1414"/>
      <c r="AP525" s="1414"/>
      <c r="AQ525" s="1414"/>
      <c r="AR525" s="1414"/>
      <c r="AS525" s="1414"/>
      <c r="AT525" s="1414"/>
      <c r="AU525" s="1414"/>
      <c r="AV525" s="1414"/>
      <c r="AW525" s="1414"/>
      <c r="AX525" s="1414"/>
      <c r="AY525" s="1399"/>
      <c r="AZ525" s="1399"/>
      <c r="BA525" s="1399"/>
      <c r="BB525" s="1399"/>
      <c r="BC525" s="1399"/>
      <c r="BD525" s="1399"/>
      <c r="BE525" s="1414"/>
      <c r="BF525" s="1399"/>
      <c r="BG525" s="1399"/>
      <c r="BH525" s="1399"/>
      <c r="BI525" s="1399"/>
      <c r="BJ525" s="1399"/>
      <c r="BK525" s="1399"/>
      <c r="BL525" s="1399"/>
      <c r="BM525" s="1399"/>
      <c r="BN525" s="1399"/>
      <c r="BO525" s="1399"/>
      <c r="BP525" s="1399"/>
      <c r="BQ525" s="1399"/>
      <c r="BR525" s="1399"/>
      <c r="BS525" s="1399"/>
      <c r="BT525" s="1399"/>
      <c r="BU525" s="2838"/>
      <c r="BV525" s="2838"/>
      <c r="BW525" s="2838"/>
      <c r="BX525" s="2838"/>
      <c r="BY525" s="2838"/>
      <c r="BZ525" s="2838"/>
      <c r="CA525" s="2838"/>
      <c r="CB525" s="2838"/>
      <c r="CC525" s="2838"/>
      <c r="CD525" s="2838"/>
      <c r="CE525" s="1399"/>
      <c r="CF525" s="1399"/>
      <c r="CG525" s="1399"/>
      <c r="CH525" s="1399"/>
      <c r="CI525" s="1399"/>
      <c r="CJ525" s="1399"/>
      <c r="CK525" s="1399"/>
      <c r="CL525" s="1399"/>
      <c r="CM525" s="1399"/>
      <c r="CN525" s="1399"/>
      <c r="CO525" s="1399"/>
      <c r="CP525" s="1399"/>
      <c r="CQ525" s="1399"/>
      <c r="CR525" s="1399"/>
      <c r="CS525" s="1399"/>
      <c r="CT525" s="1399"/>
      <c r="CU525" s="1399"/>
      <c r="CV525" s="1399"/>
      <c r="CW525" s="1399"/>
      <c r="CX525" s="1399"/>
      <c r="CY525" s="1399"/>
      <c r="CZ525" s="1399"/>
      <c r="DA525" s="1399"/>
      <c r="DB525" s="1399"/>
      <c r="DC525" s="1399"/>
      <c r="DD525" s="1399"/>
      <c r="DE525" s="1399"/>
      <c r="DF525" s="1399"/>
      <c r="DG525" s="1399"/>
      <c r="DH525" s="1399"/>
      <c r="DI525" s="1399"/>
      <c r="DJ525" s="1399"/>
      <c r="DK525" s="1399"/>
      <c r="DL525" s="1399"/>
      <c r="DM525" s="1399"/>
      <c r="DN525" s="1399"/>
      <c r="DO525" s="1399"/>
      <c r="DP525" s="1399"/>
      <c r="DQ525" s="1399"/>
      <c r="DR525" s="1399"/>
      <c r="DS525" s="1399"/>
      <c r="DT525" s="1399"/>
      <c r="DU525" s="1399"/>
    </row>
    <row r="526" spans="1:125">
      <c r="A526" s="1414"/>
      <c r="B526" s="1414"/>
      <c r="C526" s="1414"/>
      <c r="D526" s="1414"/>
      <c r="E526" s="1414"/>
      <c r="F526" s="1414"/>
      <c r="G526" s="1414"/>
      <c r="H526" s="1414"/>
      <c r="I526" s="1414"/>
      <c r="J526" s="1414"/>
      <c r="K526" s="1414"/>
      <c r="L526" s="1414"/>
      <c r="M526" s="1414"/>
      <c r="N526" s="1414"/>
      <c r="O526" s="1414"/>
      <c r="P526" s="1414"/>
      <c r="Q526" s="1414"/>
      <c r="R526" s="1414"/>
      <c r="S526" s="1414"/>
      <c r="T526" s="1414"/>
      <c r="U526" s="1414"/>
      <c r="V526" s="1414"/>
      <c r="W526" s="1414"/>
      <c r="X526" s="1414"/>
      <c r="Y526" s="1414"/>
      <c r="Z526" s="1414"/>
      <c r="AA526" s="1414"/>
      <c r="AB526" s="1414"/>
      <c r="AC526" s="1414"/>
      <c r="AD526" s="1414"/>
      <c r="AE526" s="1414"/>
      <c r="AF526" s="1414"/>
      <c r="AG526" s="1414"/>
      <c r="AH526" s="1414"/>
      <c r="AI526" s="1414"/>
      <c r="AJ526" s="1414"/>
      <c r="AK526" s="1414"/>
      <c r="AL526" s="1414"/>
      <c r="AM526" s="1414"/>
      <c r="AN526" s="1414"/>
      <c r="AO526" s="1414"/>
      <c r="AP526" s="1414"/>
      <c r="AQ526" s="1414"/>
      <c r="AR526" s="1414"/>
      <c r="AS526" s="1414"/>
      <c r="AT526" s="1414"/>
      <c r="AU526" s="1414"/>
      <c r="AV526" s="1414"/>
      <c r="AW526" s="1414"/>
      <c r="AX526" s="1414"/>
      <c r="AY526" s="1399"/>
      <c r="AZ526" s="1399"/>
      <c r="BA526" s="1399"/>
      <c r="BB526" s="1399"/>
      <c r="BC526" s="1399"/>
      <c r="BD526" s="1399"/>
      <c r="BE526" s="1414"/>
      <c r="BF526" s="1399"/>
      <c r="BG526" s="1399"/>
      <c r="BH526" s="1399"/>
      <c r="BI526" s="1399"/>
      <c r="BJ526" s="1399"/>
      <c r="BK526" s="1399"/>
      <c r="BL526" s="1399"/>
      <c r="BM526" s="1399"/>
      <c r="BN526" s="1399"/>
      <c r="BO526" s="1399"/>
      <c r="BP526" s="1399"/>
      <c r="BQ526" s="1399"/>
      <c r="BR526" s="1399"/>
      <c r="BS526" s="1399"/>
      <c r="BT526" s="1399"/>
      <c r="BU526" s="2838"/>
      <c r="BV526" s="2838"/>
      <c r="BW526" s="2838"/>
      <c r="BX526" s="2838"/>
      <c r="BY526" s="2838"/>
      <c r="BZ526" s="2838"/>
      <c r="CA526" s="2838"/>
      <c r="CB526" s="2838"/>
      <c r="CC526" s="2838"/>
      <c r="CD526" s="2838"/>
      <c r="CE526" s="1399"/>
      <c r="CF526" s="1399"/>
      <c r="CG526" s="1399"/>
      <c r="CH526" s="1399"/>
      <c r="CI526" s="1399"/>
      <c r="CJ526" s="1399"/>
      <c r="CK526" s="1399"/>
      <c r="CL526" s="1399"/>
      <c r="CM526" s="1399"/>
      <c r="CN526" s="1399"/>
      <c r="CO526" s="1399"/>
      <c r="CP526" s="1399"/>
      <c r="CQ526" s="1399"/>
      <c r="CR526" s="1399"/>
      <c r="CS526" s="1399"/>
      <c r="CT526" s="1399"/>
      <c r="CU526" s="1399"/>
      <c r="CV526" s="1399"/>
      <c r="CW526" s="1399"/>
      <c r="CX526" s="1399"/>
      <c r="CY526" s="1399"/>
      <c r="CZ526" s="1399"/>
      <c r="DA526" s="1399"/>
      <c r="DB526" s="1399"/>
      <c r="DC526" s="1399"/>
      <c r="DD526" s="1399"/>
      <c r="DE526" s="1399"/>
      <c r="DF526" s="1399"/>
      <c r="DG526" s="1399"/>
      <c r="DH526" s="1399"/>
      <c r="DI526" s="1399"/>
      <c r="DJ526" s="1399"/>
      <c r="DK526" s="1399"/>
      <c r="DL526" s="1399"/>
      <c r="DM526" s="1399"/>
      <c r="DN526" s="1399"/>
      <c r="DO526" s="1399"/>
      <c r="DP526" s="1399"/>
      <c r="DQ526" s="1399"/>
      <c r="DR526" s="1399"/>
      <c r="DS526" s="1399"/>
      <c r="DT526" s="1399"/>
      <c r="DU526" s="1399"/>
    </row>
    <row r="527" spans="1:125">
      <c r="A527" s="1414"/>
      <c r="B527" s="1414"/>
      <c r="C527" s="1414"/>
      <c r="D527" s="1414"/>
      <c r="E527" s="1414"/>
      <c r="F527" s="1414"/>
      <c r="G527" s="1414"/>
      <c r="H527" s="1414"/>
      <c r="I527" s="1414"/>
      <c r="J527" s="1414"/>
      <c r="K527" s="1414"/>
      <c r="L527" s="1414"/>
      <c r="M527" s="1414"/>
      <c r="N527" s="1414"/>
      <c r="O527" s="1414"/>
      <c r="P527" s="1414"/>
      <c r="Q527" s="1414"/>
      <c r="R527" s="1414"/>
      <c r="S527" s="1414"/>
      <c r="T527" s="1414"/>
      <c r="U527" s="1414"/>
      <c r="V527" s="1414"/>
      <c r="W527" s="1414"/>
      <c r="X527" s="1414"/>
      <c r="Y527" s="1414"/>
      <c r="Z527" s="1414"/>
      <c r="AA527" s="1414"/>
      <c r="AB527" s="1414"/>
      <c r="AC527" s="1414"/>
      <c r="AD527" s="1414"/>
      <c r="AE527" s="1414"/>
      <c r="AF527" s="1414"/>
      <c r="AG527" s="1414"/>
      <c r="AH527" s="1414"/>
      <c r="AI527" s="1414"/>
      <c r="AJ527" s="1414"/>
      <c r="AK527" s="1414"/>
      <c r="AL527" s="1414"/>
      <c r="AM527" s="1414"/>
      <c r="AN527" s="1414"/>
      <c r="AO527" s="1414"/>
      <c r="AP527" s="1414"/>
      <c r="AQ527" s="1414"/>
      <c r="AR527" s="1414"/>
      <c r="AS527" s="1414"/>
      <c r="AT527" s="1414"/>
      <c r="AU527" s="1414"/>
      <c r="AV527" s="1414"/>
      <c r="AW527" s="1414"/>
      <c r="AX527" s="1414"/>
      <c r="AY527" s="1399"/>
      <c r="AZ527" s="1399"/>
      <c r="BA527" s="1399"/>
      <c r="BB527" s="1399"/>
      <c r="BC527" s="1399"/>
      <c r="BD527" s="1399"/>
      <c r="BE527" s="1414"/>
      <c r="BF527" s="1399"/>
      <c r="BG527" s="1399"/>
      <c r="BH527" s="1399"/>
      <c r="BI527" s="1399"/>
      <c r="BJ527" s="1399"/>
      <c r="BK527" s="1399"/>
      <c r="BL527" s="1399"/>
      <c r="BM527" s="1399"/>
      <c r="BN527" s="1399"/>
      <c r="BO527" s="1399"/>
      <c r="BP527" s="1399"/>
      <c r="BQ527" s="1399"/>
      <c r="BR527" s="1399"/>
      <c r="BS527" s="1399"/>
      <c r="BT527" s="1399"/>
      <c r="BU527" s="2838"/>
      <c r="BV527" s="2838"/>
      <c r="BW527" s="2838"/>
      <c r="BX527" s="2838"/>
      <c r="BY527" s="2838"/>
      <c r="BZ527" s="2838"/>
      <c r="CA527" s="2838"/>
      <c r="CB527" s="2838"/>
      <c r="CC527" s="2838"/>
      <c r="CD527" s="2838"/>
      <c r="CE527" s="1399"/>
      <c r="CF527" s="1399"/>
      <c r="CG527" s="1399"/>
      <c r="CH527" s="1399"/>
      <c r="CI527" s="1399"/>
      <c r="CJ527" s="1399"/>
      <c r="CK527" s="1399"/>
      <c r="CL527" s="1399"/>
      <c r="CM527" s="1399"/>
      <c r="CN527" s="1399"/>
      <c r="CO527" s="1399"/>
      <c r="CP527" s="1399"/>
      <c r="CQ527" s="1399"/>
      <c r="CR527" s="1399"/>
      <c r="CS527" s="1399"/>
      <c r="CT527" s="1399"/>
      <c r="CU527" s="1399"/>
      <c r="CV527" s="1399"/>
      <c r="CW527" s="1399"/>
      <c r="CX527" s="1399"/>
      <c r="CY527" s="1399"/>
      <c r="CZ527" s="1399"/>
      <c r="DA527" s="1399"/>
      <c r="DB527" s="1399"/>
      <c r="DC527" s="1399"/>
      <c r="DD527" s="1399"/>
      <c r="DE527" s="1399"/>
      <c r="DF527" s="1399"/>
      <c r="DG527" s="1399"/>
      <c r="DH527" s="1399"/>
      <c r="DI527" s="1399"/>
      <c r="DJ527" s="1399"/>
      <c r="DK527" s="1399"/>
      <c r="DL527" s="1399"/>
      <c r="DM527" s="1399"/>
      <c r="DN527" s="1399"/>
      <c r="DO527" s="1399"/>
      <c r="DP527" s="1399"/>
      <c r="DQ527" s="1399"/>
      <c r="DR527" s="1399"/>
      <c r="DS527" s="1399"/>
      <c r="DT527" s="1399"/>
      <c r="DU527" s="1399"/>
    </row>
    <row r="528" spans="1:125">
      <c r="A528" s="1414"/>
      <c r="B528" s="1414"/>
      <c r="C528" s="1414"/>
      <c r="D528" s="1414"/>
      <c r="E528" s="1414"/>
      <c r="F528" s="1414"/>
      <c r="G528" s="1414"/>
      <c r="H528" s="1414"/>
      <c r="I528" s="1414"/>
      <c r="J528" s="1414"/>
      <c r="K528" s="1414"/>
      <c r="L528" s="1414"/>
      <c r="M528" s="1414"/>
      <c r="N528" s="1414"/>
      <c r="O528" s="1414"/>
      <c r="P528" s="1414"/>
      <c r="Q528" s="1414"/>
      <c r="R528" s="1414"/>
      <c r="S528" s="1414"/>
      <c r="T528" s="1414"/>
      <c r="U528" s="1414"/>
      <c r="V528" s="1414"/>
      <c r="W528" s="1414"/>
      <c r="X528" s="1414"/>
      <c r="Y528" s="1414"/>
      <c r="Z528" s="1414"/>
      <c r="AA528" s="1414"/>
      <c r="AB528" s="1414"/>
      <c r="AC528" s="1414"/>
      <c r="AD528" s="1414"/>
      <c r="AE528" s="1414"/>
      <c r="AF528" s="1414"/>
      <c r="AG528" s="1414"/>
      <c r="AH528" s="1414"/>
      <c r="AI528" s="1414"/>
      <c r="AJ528" s="1414"/>
      <c r="AK528" s="1414"/>
      <c r="AL528" s="1414"/>
      <c r="AM528" s="1414"/>
      <c r="AN528" s="1414"/>
      <c r="AO528" s="1414"/>
      <c r="AP528" s="1414"/>
      <c r="AQ528" s="1414"/>
      <c r="AR528" s="1414"/>
      <c r="AS528" s="1414"/>
      <c r="AT528" s="1414"/>
      <c r="AU528" s="1414"/>
      <c r="AV528" s="1414"/>
      <c r="AW528" s="1414"/>
      <c r="AX528" s="1414"/>
      <c r="AY528" s="1399"/>
      <c r="AZ528" s="1399"/>
      <c r="BA528" s="1399"/>
      <c r="BB528" s="1399"/>
      <c r="BC528" s="1399"/>
      <c r="BD528" s="1399"/>
      <c r="BE528" s="1414"/>
      <c r="BF528" s="1399"/>
      <c r="BG528" s="1399"/>
      <c r="BH528" s="1399"/>
      <c r="BI528" s="1399"/>
      <c r="BJ528" s="1399"/>
      <c r="BK528" s="1399"/>
      <c r="BL528" s="1399"/>
      <c r="BM528" s="1399"/>
      <c r="BN528" s="1399"/>
      <c r="BO528" s="1399"/>
      <c r="BP528" s="1399"/>
      <c r="BQ528" s="1399"/>
      <c r="BR528" s="1399"/>
      <c r="BS528" s="1399"/>
      <c r="BT528" s="1399"/>
      <c r="BU528" s="2838"/>
      <c r="BV528" s="2838"/>
      <c r="BW528" s="2838"/>
      <c r="BX528" s="2838"/>
      <c r="BY528" s="2838"/>
      <c r="BZ528" s="2838"/>
      <c r="CA528" s="2838"/>
      <c r="CB528" s="2838"/>
      <c r="CC528" s="2838"/>
      <c r="CD528" s="2838"/>
      <c r="CE528" s="1399"/>
      <c r="CF528" s="1399"/>
      <c r="CG528" s="1399"/>
      <c r="CH528" s="1399"/>
      <c r="CI528" s="1399"/>
      <c r="CJ528" s="1399"/>
      <c r="CK528" s="1399"/>
      <c r="CL528" s="1399"/>
      <c r="CM528" s="1399"/>
      <c r="CN528" s="1399"/>
      <c r="CO528" s="1399"/>
      <c r="CP528" s="1399"/>
      <c r="CQ528" s="1399"/>
      <c r="CR528" s="1399"/>
      <c r="CS528" s="1399"/>
      <c r="CT528" s="1399"/>
      <c r="CU528" s="1399"/>
      <c r="CV528" s="1399"/>
      <c r="CW528" s="1399"/>
      <c r="CX528" s="1399"/>
      <c r="CY528" s="1399"/>
      <c r="CZ528" s="1399"/>
      <c r="DA528" s="1399"/>
      <c r="DB528" s="1399"/>
      <c r="DC528" s="1399"/>
      <c r="DD528" s="1399"/>
      <c r="DE528" s="1399"/>
      <c r="DF528" s="1399"/>
      <c r="DG528" s="1399"/>
      <c r="DH528" s="1399"/>
      <c r="DI528" s="1399"/>
      <c r="DJ528" s="1399"/>
      <c r="DK528" s="1399"/>
      <c r="DL528" s="1399"/>
      <c r="DM528" s="1399"/>
      <c r="DN528" s="1399"/>
      <c r="DO528" s="1399"/>
      <c r="DP528" s="1399"/>
      <c r="DQ528" s="1399"/>
      <c r="DR528" s="1399"/>
      <c r="DS528" s="1399"/>
      <c r="DT528" s="1399"/>
      <c r="DU528" s="1399"/>
    </row>
    <row r="529" spans="1:125">
      <c r="A529" s="1414"/>
      <c r="B529" s="1414"/>
      <c r="C529" s="1414"/>
      <c r="D529" s="1414"/>
      <c r="E529" s="1414"/>
      <c r="F529" s="1414"/>
      <c r="G529" s="1414"/>
      <c r="H529" s="1414"/>
      <c r="I529" s="1414"/>
      <c r="J529" s="1414"/>
      <c r="K529" s="1414"/>
      <c r="L529" s="1414"/>
      <c r="M529" s="1414"/>
      <c r="N529" s="1414"/>
      <c r="O529" s="1414"/>
      <c r="P529" s="1414"/>
      <c r="Q529" s="1414"/>
      <c r="R529" s="1414"/>
      <c r="S529" s="1414"/>
      <c r="T529" s="1414"/>
      <c r="U529" s="1414"/>
      <c r="V529" s="1414"/>
      <c r="W529" s="1414"/>
      <c r="X529" s="1414"/>
      <c r="Y529" s="1414"/>
      <c r="Z529" s="1414"/>
      <c r="AA529" s="1414"/>
      <c r="AB529" s="1414"/>
      <c r="AC529" s="1414"/>
      <c r="AD529" s="1414"/>
      <c r="AE529" s="1414"/>
      <c r="AF529" s="1414"/>
      <c r="AG529" s="1414"/>
      <c r="AH529" s="1414"/>
      <c r="AI529" s="1414"/>
      <c r="AJ529" s="1414"/>
      <c r="AK529" s="1414"/>
      <c r="AL529" s="1414"/>
      <c r="AM529" s="1414"/>
      <c r="AN529" s="1414"/>
      <c r="AO529" s="1414"/>
      <c r="AP529" s="1414"/>
      <c r="AQ529" s="1414"/>
      <c r="AR529" s="1414"/>
      <c r="AS529" s="1414"/>
      <c r="AT529" s="1414"/>
      <c r="AU529" s="1414"/>
      <c r="AV529" s="1414"/>
      <c r="AW529" s="1414"/>
      <c r="AX529" s="1414"/>
      <c r="AY529" s="1399"/>
      <c r="AZ529" s="1399"/>
      <c r="BA529" s="1399"/>
      <c r="BB529" s="1399"/>
      <c r="BC529" s="1399"/>
      <c r="BD529" s="1399"/>
      <c r="BE529" s="1414"/>
      <c r="BF529" s="1399"/>
      <c r="BG529" s="1399"/>
      <c r="BH529" s="1399"/>
      <c r="BI529" s="1399"/>
      <c r="BJ529" s="1399"/>
      <c r="BK529" s="1399"/>
      <c r="BL529" s="1399"/>
      <c r="BM529" s="1399"/>
      <c r="BN529" s="1399"/>
      <c r="BO529" s="1399"/>
      <c r="BP529" s="1399"/>
      <c r="BQ529" s="1399"/>
      <c r="BR529" s="1399"/>
      <c r="BS529" s="1399"/>
      <c r="BT529" s="1399"/>
      <c r="BU529" s="2838"/>
      <c r="BV529" s="2838"/>
      <c r="BW529" s="2838"/>
      <c r="BX529" s="2838"/>
      <c r="BY529" s="2838"/>
      <c r="BZ529" s="2838"/>
      <c r="CA529" s="2838"/>
      <c r="CB529" s="2838"/>
      <c r="CC529" s="2838"/>
      <c r="CD529" s="2838"/>
      <c r="CE529" s="1399"/>
      <c r="CF529" s="1399"/>
      <c r="CG529" s="1399"/>
      <c r="CH529" s="1399"/>
      <c r="CI529" s="1399"/>
      <c r="CJ529" s="1399"/>
      <c r="CK529" s="1399"/>
      <c r="CL529" s="1399"/>
      <c r="CM529" s="1399"/>
      <c r="CN529" s="1399"/>
      <c r="CO529" s="1399"/>
      <c r="CP529" s="1399"/>
      <c r="CQ529" s="1399"/>
      <c r="CR529" s="1399"/>
      <c r="CS529" s="1399"/>
      <c r="CT529" s="1399"/>
      <c r="CU529" s="1399"/>
      <c r="CV529" s="1399"/>
      <c r="CW529" s="1399"/>
      <c r="CX529" s="1399"/>
      <c r="CY529" s="1399"/>
      <c r="CZ529" s="1399"/>
      <c r="DA529" s="1399"/>
      <c r="DB529" s="1399"/>
      <c r="DC529" s="1399"/>
      <c r="DD529" s="1399"/>
      <c r="DE529" s="1399"/>
      <c r="DF529" s="1399"/>
      <c r="DG529" s="1399"/>
      <c r="DH529" s="1399"/>
      <c r="DI529" s="1399"/>
      <c r="DJ529" s="1399"/>
      <c r="DK529" s="1399"/>
      <c r="DL529" s="1399"/>
      <c r="DM529" s="1399"/>
      <c r="DN529" s="1399"/>
      <c r="DO529" s="1399"/>
      <c r="DP529" s="1399"/>
      <c r="DQ529" s="1399"/>
      <c r="DR529" s="1399"/>
      <c r="DS529" s="1399"/>
      <c r="DT529" s="1399"/>
      <c r="DU529" s="1399"/>
    </row>
    <row r="530" spans="1:125">
      <c r="A530" s="1414"/>
      <c r="B530" s="1414"/>
      <c r="C530" s="1414"/>
      <c r="D530" s="1414"/>
      <c r="E530" s="1414"/>
      <c r="F530" s="1414"/>
      <c r="G530" s="1414"/>
      <c r="H530" s="1414"/>
      <c r="I530" s="1414"/>
      <c r="J530" s="1414"/>
      <c r="K530" s="1414"/>
      <c r="L530" s="1414"/>
      <c r="M530" s="1414"/>
      <c r="N530" s="1414"/>
      <c r="O530" s="1414"/>
      <c r="P530" s="1414"/>
      <c r="Q530" s="1414"/>
      <c r="R530" s="1414"/>
      <c r="S530" s="1414"/>
      <c r="T530" s="1414"/>
      <c r="U530" s="1414"/>
      <c r="V530" s="1414"/>
      <c r="W530" s="1414"/>
      <c r="X530" s="1414"/>
      <c r="Y530" s="1414"/>
      <c r="Z530" s="1414"/>
      <c r="AA530" s="1414"/>
      <c r="AB530" s="1414"/>
      <c r="AC530" s="1414"/>
      <c r="AD530" s="1414"/>
      <c r="AE530" s="1414"/>
      <c r="AF530" s="1414"/>
      <c r="AG530" s="1414"/>
      <c r="AH530" s="1414"/>
      <c r="AI530" s="1414"/>
      <c r="AJ530" s="1414"/>
      <c r="AK530" s="1414"/>
      <c r="AL530" s="1414"/>
      <c r="AM530" s="1414"/>
      <c r="AN530" s="1414"/>
      <c r="AO530" s="1414"/>
      <c r="AP530" s="1414"/>
      <c r="AQ530" s="1414"/>
      <c r="AR530" s="1414"/>
      <c r="AS530" s="1414"/>
      <c r="AT530" s="1414"/>
      <c r="AU530" s="1414"/>
      <c r="AV530" s="1414"/>
      <c r="AW530" s="1414"/>
      <c r="AX530" s="1414"/>
      <c r="AY530" s="1399"/>
      <c r="AZ530" s="1399"/>
      <c r="BA530" s="1399"/>
      <c r="BB530" s="1399"/>
      <c r="BC530" s="1399"/>
      <c r="BD530" s="1399"/>
      <c r="BE530" s="1414"/>
      <c r="BF530" s="1399"/>
      <c r="BG530" s="1399"/>
      <c r="BH530" s="1399"/>
      <c r="BI530" s="1399"/>
      <c r="BJ530" s="1399"/>
      <c r="BK530" s="1399"/>
      <c r="BL530" s="1399"/>
      <c r="BM530" s="1399"/>
      <c r="BN530" s="1399"/>
      <c r="BO530" s="1399"/>
      <c r="BP530" s="1399"/>
      <c r="BQ530" s="1399"/>
      <c r="BR530" s="1399"/>
      <c r="BS530" s="1399"/>
      <c r="BT530" s="1399"/>
      <c r="BU530" s="2838"/>
      <c r="BV530" s="2838"/>
      <c r="BW530" s="2838"/>
      <c r="BX530" s="2838"/>
      <c r="BY530" s="2838"/>
      <c r="BZ530" s="2838"/>
      <c r="CA530" s="2838"/>
      <c r="CB530" s="2838"/>
      <c r="CC530" s="2838"/>
      <c r="CD530" s="2838"/>
      <c r="CE530" s="1399"/>
      <c r="CF530" s="1399"/>
      <c r="CG530" s="1399"/>
      <c r="CH530" s="1399"/>
      <c r="CI530" s="1399"/>
      <c r="CJ530" s="1399"/>
      <c r="CK530" s="1399"/>
      <c r="CL530" s="1399"/>
      <c r="CM530" s="1399"/>
      <c r="CN530" s="1399"/>
      <c r="CO530" s="1399"/>
      <c r="CP530" s="1399"/>
      <c r="CQ530" s="1399"/>
      <c r="CR530" s="1399"/>
      <c r="CS530" s="1399"/>
      <c r="CT530" s="1399"/>
      <c r="CU530" s="1399"/>
      <c r="CV530" s="1399"/>
      <c r="CW530" s="1399"/>
      <c r="CX530" s="1399"/>
      <c r="CY530" s="1399"/>
      <c r="CZ530" s="1399"/>
      <c r="DA530" s="1399"/>
      <c r="DB530" s="1399"/>
      <c r="DC530" s="1399"/>
      <c r="DD530" s="1399"/>
      <c r="DE530" s="1399"/>
      <c r="DF530" s="1399"/>
      <c r="DG530" s="1399"/>
      <c r="DH530" s="1399"/>
      <c r="DI530" s="1399"/>
      <c r="DJ530" s="1399"/>
      <c r="DK530" s="1399"/>
      <c r="DL530" s="1399"/>
      <c r="DM530" s="1399"/>
      <c r="DN530" s="1399"/>
      <c r="DO530" s="1399"/>
      <c r="DP530" s="1399"/>
      <c r="DQ530" s="1399"/>
      <c r="DR530" s="1399"/>
      <c r="DS530" s="1399"/>
      <c r="DT530" s="1399"/>
      <c r="DU530" s="1399"/>
    </row>
    <row r="531" spans="1:125">
      <c r="A531" s="1414"/>
      <c r="B531" s="1414"/>
      <c r="C531" s="1414"/>
      <c r="D531" s="1414"/>
      <c r="E531" s="1414"/>
      <c r="F531" s="1414"/>
      <c r="G531" s="1414"/>
      <c r="H531" s="1414"/>
      <c r="I531" s="1414"/>
      <c r="J531" s="1414"/>
      <c r="K531" s="1414"/>
      <c r="L531" s="1414"/>
      <c r="M531" s="1414"/>
      <c r="N531" s="1414"/>
      <c r="O531" s="1414"/>
      <c r="P531" s="1414"/>
      <c r="Q531" s="1414"/>
      <c r="R531" s="1414"/>
      <c r="S531" s="1414"/>
      <c r="T531" s="1414"/>
      <c r="U531" s="1414"/>
      <c r="V531" s="1414"/>
      <c r="W531" s="1414"/>
      <c r="X531" s="1414"/>
      <c r="Y531" s="1414"/>
      <c r="Z531" s="1414"/>
      <c r="AA531" s="1414"/>
      <c r="AB531" s="1414"/>
      <c r="AC531" s="1414"/>
      <c r="AD531" s="1414"/>
      <c r="AE531" s="1414"/>
      <c r="AF531" s="1414"/>
      <c r="AG531" s="1414"/>
      <c r="AH531" s="1414"/>
      <c r="AI531" s="1414"/>
      <c r="AJ531" s="1414"/>
      <c r="AK531" s="1414"/>
      <c r="AL531" s="1414"/>
      <c r="AM531" s="1414"/>
      <c r="AN531" s="1414"/>
      <c r="AO531" s="1414"/>
      <c r="AP531" s="1414"/>
      <c r="AQ531" s="1414"/>
      <c r="AR531" s="1414"/>
      <c r="AS531" s="1414"/>
      <c r="AT531" s="1414"/>
      <c r="AU531" s="1414"/>
      <c r="AV531" s="1414"/>
      <c r="AW531" s="1414"/>
      <c r="AX531" s="1414"/>
      <c r="AY531" s="1399"/>
      <c r="AZ531" s="1399"/>
      <c r="BA531" s="1399"/>
      <c r="BB531" s="1399"/>
      <c r="BC531" s="1399"/>
      <c r="BD531" s="1399"/>
      <c r="BE531" s="1414"/>
      <c r="BF531" s="1399"/>
      <c r="BG531" s="1399"/>
      <c r="BH531" s="1399"/>
      <c r="BI531" s="1399"/>
      <c r="BJ531" s="1399"/>
      <c r="BK531" s="1399"/>
      <c r="BL531" s="1399"/>
      <c r="BM531" s="1399"/>
      <c r="BN531" s="1399"/>
      <c r="BO531" s="1399"/>
      <c r="BP531" s="1399"/>
      <c r="BQ531" s="1399"/>
      <c r="BR531" s="1399"/>
      <c r="BS531" s="1399"/>
      <c r="BT531" s="1399"/>
      <c r="BU531" s="2838"/>
      <c r="BV531" s="2838"/>
      <c r="BW531" s="2838"/>
      <c r="BX531" s="2838"/>
      <c r="BY531" s="2838"/>
      <c r="BZ531" s="2838"/>
      <c r="CA531" s="2838"/>
      <c r="CB531" s="2838"/>
      <c r="CC531" s="2838"/>
      <c r="CD531" s="2838"/>
      <c r="CE531" s="1399"/>
      <c r="CF531" s="1399"/>
      <c r="CG531" s="1399"/>
      <c r="CH531" s="1399"/>
      <c r="CI531" s="1399"/>
      <c r="CJ531" s="1399"/>
      <c r="CK531" s="1399"/>
      <c r="CL531" s="1399"/>
      <c r="CM531" s="1399"/>
      <c r="CN531" s="1399"/>
      <c r="CO531" s="1399"/>
      <c r="CP531" s="1399"/>
      <c r="CQ531" s="1399"/>
      <c r="CR531" s="1399"/>
      <c r="CS531" s="1399"/>
      <c r="CT531" s="1399"/>
      <c r="CU531" s="1399"/>
      <c r="CV531" s="1399"/>
      <c r="CW531" s="1399"/>
      <c r="CX531" s="1399"/>
      <c r="CY531" s="1399"/>
      <c r="CZ531" s="1399"/>
      <c r="DA531" s="1399"/>
      <c r="DB531" s="1399"/>
      <c r="DC531" s="1399"/>
      <c r="DD531" s="1399"/>
      <c r="DE531" s="1399"/>
      <c r="DF531" s="1399"/>
      <c r="DG531" s="1399"/>
      <c r="DH531" s="1399"/>
      <c r="DI531" s="1399"/>
      <c r="DJ531" s="1399"/>
      <c r="DK531" s="1399"/>
      <c r="DL531" s="1399"/>
      <c r="DM531" s="1399"/>
      <c r="DN531" s="1399"/>
      <c r="DO531" s="1399"/>
      <c r="DP531" s="1399"/>
      <c r="DQ531" s="1399"/>
      <c r="DR531" s="1399"/>
      <c r="DS531" s="1399"/>
      <c r="DT531" s="1399"/>
      <c r="DU531" s="1399"/>
    </row>
    <row r="532" spans="1:125">
      <c r="A532" s="1414"/>
      <c r="B532" s="1414"/>
      <c r="C532" s="1414"/>
      <c r="D532" s="1414"/>
      <c r="E532" s="1414"/>
      <c r="F532" s="1414"/>
      <c r="G532" s="1414"/>
      <c r="H532" s="1414"/>
      <c r="I532" s="1414"/>
      <c r="J532" s="1414"/>
      <c r="K532" s="1414"/>
      <c r="L532" s="1414"/>
      <c r="M532" s="1414"/>
      <c r="N532" s="1414"/>
      <c r="O532" s="1414"/>
      <c r="P532" s="1414"/>
      <c r="Q532" s="1414"/>
      <c r="R532" s="1414"/>
      <c r="S532" s="1414"/>
      <c r="T532" s="1414"/>
      <c r="U532" s="1414"/>
      <c r="V532" s="1414"/>
      <c r="W532" s="1414"/>
      <c r="X532" s="1414"/>
      <c r="Y532" s="1414"/>
      <c r="Z532" s="1414"/>
      <c r="AA532" s="1414"/>
      <c r="AB532" s="1414"/>
      <c r="AC532" s="1414"/>
      <c r="AD532" s="1414"/>
      <c r="AE532" s="1414"/>
      <c r="AF532" s="1414"/>
      <c r="AG532" s="1414"/>
      <c r="AH532" s="1414"/>
      <c r="AI532" s="1414"/>
      <c r="AJ532" s="1414"/>
      <c r="AK532" s="1414"/>
      <c r="AL532" s="1414"/>
      <c r="AM532" s="1414"/>
      <c r="AN532" s="1414"/>
      <c r="AO532" s="1414"/>
      <c r="AP532" s="1414"/>
      <c r="AQ532" s="1414"/>
      <c r="AR532" s="1414"/>
      <c r="AS532" s="1414"/>
      <c r="AT532" s="1414"/>
      <c r="AU532" s="1414"/>
      <c r="AV532" s="1414"/>
      <c r="AW532" s="1414"/>
      <c r="AX532" s="1414"/>
      <c r="AY532" s="1399"/>
      <c r="AZ532" s="1399"/>
      <c r="BA532" s="1399"/>
      <c r="BB532" s="1399"/>
      <c r="BC532" s="1399"/>
      <c r="BD532" s="1399"/>
      <c r="BE532" s="1414"/>
      <c r="BF532" s="1399"/>
      <c r="BG532" s="1399"/>
      <c r="BH532" s="1399"/>
      <c r="BI532" s="1399"/>
      <c r="BJ532" s="1399"/>
      <c r="BK532" s="1399"/>
      <c r="BL532" s="1399"/>
      <c r="BM532" s="1399"/>
      <c r="BN532" s="1399"/>
      <c r="BO532" s="1399"/>
      <c r="BP532" s="1399"/>
      <c r="BQ532" s="1399"/>
      <c r="BR532" s="1399"/>
      <c r="BS532" s="1399"/>
      <c r="BT532" s="1399"/>
      <c r="BU532" s="2838"/>
      <c r="BV532" s="2838"/>
      <c r="BW532" s="2838"/>
      <c r="BX532" s="2838"/>
      <c r="BY532" s="2838"/>
      <c r="BZ532" s="2838"/>
      <c r="CA532" s="2838"/>
      <c r="CB532" s="2838"/>
      <c r="CC532" s="2838"/>
      <c r="CD532" s="2838"/>
      <c r="CE532" s="1399"/>
      <c r="CF532" s="1399"/>
      <c r="CG532" s="1399"/>
      <c r="CH532" s="1399"/>
      <c r="CI532" s="1399"/>
      <c r="CJ532" s="1399"/>
      <c r="CK532" s="1399"/>
      <c r="CL532" s="1399"/>
      <c r="CM532" s="1399"/>
      <c r="CN532" s="1399"/>
      <c r="CO532" s="1399"/>
      <c r="CP532" s="1399"/>
      <c r="CQ532" s="1399"/>
      <c r="CR532" s="1399"/>
      <c r="CS532" s="1399"/>
      <c r="CT532" s="1399"/>
      <c r="CU532" s="1399"/>
      <c r="CV532" s="1399"/>
      <c r="CW532" s="1399"/>
      <c r="CX532" s="1399"/>
      <c r="CY532" s="1399"/>
      <c r="CZ532" s="1399"/>
      <c r="DA532" s="1399"/>
      <c r="DB532" s="1399"/>
      <c r="DC532" s="1399"/>
      <c r="DD532" s="1399"/>
      <c r="DE532" s="1399"/>
      <c r="DF532" s="1399"/>
      <c r="DG532" s="1399"/>
      <c r="DH532" s="1399"/>
      <c r="DI532" s="1399"/>
      <c r="DJ532" s="1399"/>
      <c r="DK532" s="1399"/>
      <c r="DL532" s="1399"/>
      <c r="DM532" s="1399"/>
      <c r="DN532" s="1399"/>
      <c r="DO532" s="1399"/>
      <c r="DP532" s="1399"/>
      <c r="DQ532" s="1399"/>
      <c r="DR532" s="1399"/>
      <c r="DS532" s="1399"/>
      <c r="DT532" s="1399"/>
      <c r="DU532" s="1399"/>
    </row>
    <row r="533" spans="1:125">
      <c r="A533" s="1414"/>
      <c r="B533" s="1414"/>
      <c r="C533" s="1414"/>
      <c r="D533" s="1414"/>
      <c r="E533" s="1414"/>
      <c r="F533" s="1414"/>
      <c r="G533" s="1414"/>
      <c r="H533" s="1414"/>
      <c r="I533" s="1414"/>
      <c r="J533" s="1414"/>
      <c r="K533" s="1414"/>
      <c r="L533" s="1414"/>
      <c r="M533" s="1414"/>
      <c r="N533" s="1414"/>
      <c r="O533" s="1414"/>
      <c r="P533" s="1414"/>
      <c r="Q533" s="1414"/>
      <c r="R533" s="1414"/>
      <c r="S533" s="1414"/>
      <c r="T533" s="1414"/>
      <c r="U533" s="1414"/>
      <c r="V533" s="1414"/>
      <c r="W533" s="1414"/>
      <c r="X533" s="1414"/>
      <c r="Y533" s="1414"/>
      <c r="Z533" s="1414"/>
      <c r="AA533" s="1414"/>
      <c r="AB533" s="1414"/>
      <c r="AC533" s="1414"/>
      <c r="AD533" s="1414"/>
      <c r="AE533" s="1414"/>
      <c r="AF533" s="1414"/>
      <c r="AG533" s="1414"/>
      <c r="AH533" s="1414"/>
      <c r="AI533" s="1414"/>
      <c r="AJ533" s="1414"/>
      <c r="AK533" s="1414"/>
      <c r="AL533" s="1414"/>
      <c r="AM533" s="1414"/>
      <c r="AN533" s="1414"/>
      <c r="AO533" s="1414"/>
      <c r="AP533" s="1414"/>
      <c r="AQ533" s="1414"/>
      <c r="AR533" s="1414"/>
      <c r="AS533" s="1414"/>
      <c r="AT533" s="1414"/>
      <c r="AU533" s="1414"/>
      <c r="AV533" s="1414"/>
      <c r="AW533" s="1414"/>
      <c r="AX533" s="1414"/>
      <c r="AY533" s="1399"/>
      <c r="AZ533" s="1399"/>
      <c r="BA533" s="1399"/>
      <c r="BB533" s="1399"/>
      <c r="BC533" s="1399"/>
      <c r="BD533" s="1399"/>
      <c r="BE533" s="1414"/>
      <c r="BF533" s="1399"/>
      <c r="BG533" s="1399"/>
      <c r="BH533" s="1399"/>
      <c r="BI533" s="1399"/>
      <c r="BJ533" s="1399"/>
      <c r="BK533" s="1399"/>
      <c r="BL533" s="1399"/>
      <c r="BM533" s="1399"/>
      <c r="BN533" s="1399"/>
      <c r="BO533" s="1399"/>
      <c r="BP533" s="1399"/>
      <c r="BQ533" s="1399"/>
      <c r="BR533" s="1399"/>
      <c r="BS533" s="1399"/>
      <c r="BT533" s="1399"/>
      <c r="BU533" s="2838"/>
      <c r="BV533" s="2838"/>
      <c r="BW533" s="2838"/>
      <c r="BX533" s="2838"/>
      <c r="BY533" s="2838"/>
      <c r="BZ533" s="2838"/>
      <c r="CA533" s="2838"/>
      <c r="CB533" s="2838"/>
      <c r="CC533" s="2838"/>
      <c r="CD533" s="2838"/>
      <c r="CE533" s="1399"/>
      <c r="CF533" s="1399"/>
      <c r="CG533" s="1399"/>
      <c r="CH533" s="1399"/>
      <c r="CI533" s="1399"/>
      <c r="CJ533" s="1399"/>
      <c r="CK533" s="1399"/>
      <c r="CL533" s="1399"/>
      <c r="CM533" s="1399"/>
      <c r="CN533" s="1399"/>
      <c r="CO533" s="1399"/>
      <c r="CP533" s="1399"/>
      <c r="CQ533" s="1399"/>
      <c r="CR533" s="1399"/>
      <c r="CS533" s="1399"/>
      <c r="CT533" s="1399"/>
      <c r="CU533" s="1399"/>
      <c r="CV533" s="1399"/>
      <c r="CW533" s="1399"/>
      <c r="CX533" s="1399"/>
      <c r="CY533" s="1399"/>
      <c r="CZ533" s="1399"/>
      <c r="DA533" s="1399"/>
      <c r="DB533" s="1399"/>
      <c r="DC533" s="1399"/>
      <c r="DD533" s="1399"/>
      <c r="DE533" s="1399"/>
      <c r="DF533" s="1399"/>
      <c r="DG533" s="1399"/>
      <c r="DH533" s="1399"/>
      <c r="DI533" s="1399"/>
      <c r="DJ533" s="1399"/>
      <c r="DK533" s="1399"/>
      <c r="DL533" s="1399"/>
      <c r="DM533" s="1399"/>
      <c r="DN533" s="1399"/>
      <c r="DO533" s="1399"/>
      <c r="DP533" s="1399"/>
      <c r="DQ533" s="1399"/>
      <c r="DR533" s="1399"/>
      <c r="DS533" s="1399"/>
      <c r="DT533" s="1399"/>
      <c r="DU533" s="1399"/>
    </row>
    <row r="534" spans="1:125">
      <c r="A534" s="1414"/>
      <c r="B534" s="1414"/>
      <c r="C534" s="1414"/>
      <c r="D534" s="1414"/>
      <c r="E534" s="1414"/>
      <c r="F534" s="1414"/>
      <c r="G534" s="1414"/>
      <c r="H534" s="1414"/>
      <c r="I534" s="1414"/>
      <c r="J534" s="1414"/>
      <c r="K534" s="1414"/>
      <c r="L534" s="1414"/>
      <c r="M534" s="1414"/>
      <c r="N534" s="1414"/>
      <c r="O534" s="1414"/>
      <c r="P534" s="1414"/>
      <c r="Q534" s="1414"/>
      <c r="R534" s="1414"/>
      <c r="S534" s="1414"/>
      <c r="T534" s="1414"/>
      <c r="U534" s="1414"/>
      <c r="V534" s="1414"/>
      <c r="W534" s="1414"/>
      <c r="X534" s="1414"/>
      <c r="Y534" s="1414"/>
      <c r="Z534" s="1414"/>
      <c r="AA534" s="1414"/>
      <c r="AB534" s="1414"/>
      <c r="AC534" s="1414"/>
      <c r="AD534" s="1414"/>
      <c r="AE534" s="1414"/>
      <c r="AF534" s="1414"/>
      <c r="AG534" s="1414"/>
      <c r="AH534" s="1414"/>
      <c r="AI534" s="1414"/>
      <c r="AJ534" s="1414"/>
      <c r="AK534" s="1414"/>
      <c r="AL534" s="1414"/>
      <c r="AM534" s="1414"/>
      <c r="AN534" s="1414"/>
      <c r="AO534" s="1414"/>
      <c r="AP534" s="1414"/>
      <c r="AQ534" s="1414"/>
      <c r="AR534" s="1414"/>
      <c r="AS534" s="1414"/>
      <c r="AT534" s="1414"/>
      <c r="AU534" s="1414"/>
      <c r="AV534" s="1414"/>
      <c r="AW534" s="1414"/>
      <c r="AX534" s="1414"/>
      <c r="AY534" s="1399"/>
      <c r="AZ534" s="1399"/>
      <c r="BA534" s="1399"/>
      <c r="BB534" s="1399"/>
      <c r="BC534" s="1399"/>
      <c r="BD534" s="1399"/>
      <c r="BE534" s="1414"/>
      <c r="BF534" s="1399"/>
      <c r="BG534" s="1399"/>
      <c r="BH534" s="1399"/>
      <c r="BI534" s="1399"/>
      <c r="BJ534" s="1399"/>
      <c r="BK534" s="1399"/>
      <c r="BL534" s="1399"/>
      <c r="BM534" s="1399"/>
      <c r="BN534" s="1399"/>
      <c r="BO534" s="1399"/>
      <c r="BP534" s="1399"/>
      <c r="BQ534" s="1399"/>
      <c r="BR534" s="1399"/>
      <c r="BS534" s="1399"/>
      <c r="BT534" s="1399"/>
      <c r="BU534" s="2838"/>
      <c r="BV534" s="2838"/>
      <c r="BW534" s="2838"/>
      <c r="BX534" s="2838"/>
      <c r="BY534" s="2838"/>
      <c r="BZ534" s="2838"/>
      <c r="CA534" s="2838"/>
      <c r="CB534" s="2838"/>
      <c r="CC534" s="2838"/>
      <c r="CD534" s="2838"/>
      <c r="CE534" s="1399"/>
      <c r="CF534" s="1399"/>
      <c r="CG534" s="1399"/>
      <c r="CH534" s="1399"/>
      <c r="CI534" s="1399"/>
      <c r="CJ534" s="1399"/>
      <c r="CK534" s="1399"/>
      <c r="CL534" s="1399"/>
      <c r="CM534" s="1399"/>
      <c r="CN534" s="1399"/>
      <c r="CO534" s="1399"/>
      <c r="CP534" s="1399"/>
      <c r="CQ534" s="1399"/>
      <c r="CR534" s="1399"/>
      <c r="CS534" s="1399"/>
      <c r="CT534" s="1399"/>
      <c r="CU534" s="1399"/>
      <c r="CV534" s="1399"/>
      <c r="CW534" s="1399"/>
      <c r="CX534" s="1399"/>
      <c r="CY534" s="1399"/>
      <c r="CZ534" s="1399"/>
      <c r="DA534" s="1399"/>
      <c r="DB534" s="1399"/>
      <c r="DC534" s="1399"/>
      <c r="DD534" s="1399"/>
      <c r="DE534" s="1399"/>
      <c r="DF534" s="1399"/>
      <c r="DG534" s="1399"/>
      <c r="DH534" s="1399"/>
      <c r="DI534" s="1399"/>
      <c r="DJ534" s="1399"/>
      <c r="DK534" s="1399"/>
      <c r="DL534" s="1399"/>
      <c r="DM534" s="1399"/>
      <c r="DN534" s="1399"/>
      <c r="DO534" s="1399"/>
      <c r="DP534" s="1399"/>
      <c r="DQ534" s="1399"/>
      <c r="DR534" s="1399"/>
      <c r="DS534" s="1399"/>
      <c r="DT534" s="1399"/>
      <c r="DU534" s="1399"/>
    </row>
    <row r="535" spans="1:125">
      <c r="A535" s="1414"/>
      <c r="B535" s="1414"/>
      <c r="C535" s="1414"/>
      <c r="D535" s="1414"/>
      <c r="E535" s="1414"/>
      <c r="F535" s="1414"/>
      <c r="G535" s="1414"/>
      <c r="H535" s="1414"/>
      <c r="I535" s="1414"/>
      <c r="J535" s="1414"/>
      <c r="K535" s="1414"/>
      <c r="L535" s="1414"/>
      <c r="M535" s="1414"/>
      <c r="N535" s="1414"/>
      <c r="O535" s="1414"/>
      <c r="P535" s="1414"/>
      <c r="Q535" s="1414"/>
      <c r="R535" s="1414"/>
      <c r="S535" s="1414"/>
      <c r="T535" s="1414"/>
      <c r="U535" s="1414"/>
      <c r="V535" s="1414"/>
      <c r="W535" s="1414"/>
      <c r="X535" s="1414"/>
      <c r="Y535" s="1414"/>
      <c r="Z535" s="1414"/>
      <c r="AA535" s="1414"/>
      <c r="AB535" s="1414"/>
      <c r="AC535" s="1414"/>
      <c r="AD535" s="1414"/>
      <c r="AE535" s="1414"/>
      <c r="AF535" s="1414"/>
      <c r="AG535" s="1414"/>
      <c r="AH535" s="1414"/>
      <c r="AI535" s="1414"/>
      <c r="AJ535" s="1414"/>
      <c r="AK535" s="1414"/>
      <c r="AL535" s="1414"/>
      <c r="AM535" s="1414"/>
      <c r="AN535" s="1414"/>
      <c r="AO535" s="1414"/>
      <c r="AP535" s="1414"/>
      <c r="AQ535" s="1414"/>
      <c r="AR535" s="1414"/>
      <c r="AS535" s="1414"/>
      <c r="AT535" s="1414"/>
      <c r="AU535" s="1414"/>
      <c r="AV535" s="1414"/>
      <c r="AW535" s="1414"/>
      <c r="AX535" s="1414"/>
      <c r="AY535" s="1399"/>
      <c r="AZ535" s="1399"/>
      <c r="BA535" s="1399"/>
      <c r="BB535" s="1399"/>
      <c r="BC535" s="1399"/>
      <c r="BD535" s="1399"/>
      <c r="BE535" s="1414"/>
      <c r="BF535" s="1399"/>
      <c r="BG535" s="1399"/>
      <c r="BH535" s="1399"/>
      <c r="BI535" s="1399"/>
      <c r="BJ535" s="1399"/>
      <c r="BK535" s="1399"/>
      <c r="BL535" s="1399"/>
      <c r="BM535" s="1399"/>
      <c r="BN535" s="1399"/>
      <c r="BO535" s="1399"/>
      <c r="BP535" s="1399"/>
      <c r="BQ535" s="1399"/>
      <c r="BR535" s="1399"/>
      <c r="BS535" s="1399"/>
      <c r="BT535" s="1399"/>
      <c r="BU535" s="2838"/>
      <c r="BV535" s="2838"/>
      <c r="BW535" s="2838"/>
      <c r="BX535" s="2838"/>
      <c r="BY535" s="2838"/>
      <c r="BZ535" s="2838"/>
      <c r="CA535" s="2838"/>
      <c r="CB535" s="2838"/>
      <c r="CC535" s="2838"/>
      <c r="CD535" s="2838"/>
      <c r="CE535" s="1399"/>
      <c r="CF535" s="1399"/>
      <c r="CG535" s="1399"/>
      <c r="CH535" s="1399"/>
      <c r="CI535" s="1399"/>
      <c r="CJ535" s="1399"/>
      <c r="CK535" s="1399"/>
      <c r="CL535" s="1399"/>
      <c r="CM535" s="1399"/>
      <c r="CN535" s="1399"/>
      <c r="CO535" s="1399"/>
      <c r="CP535" s="1399"/>
      <c r="CQ535" s="1399"/>
      <c r="CR535" s="1399"/>
      <c r="CS535" s="1399"/>
      <c r="CT535" s="1399"/>
      <c r="CU535" s="1399"/>
      <c r="CV535" s="1399"/>
      <c r="CW535" s="1399"/>
      <c r="CX535" s="1399"/>
      <c r="CY535" s="1399"/>
      <c r="CZ535" s="1399"/>
      <c r="DA535" s="1399"/>
      <c r="DB535" s="1399"/>
      <c r="DC535" s="1399"/>
      <c r="DD535" s="1399"/>
      <c r="DE535" s="1399"/>
      <c r="DF535" s="1399"/>
      <c r="DG535" s="1399"/>
      <c r="DH535" s="1399"/>
      <c r="DI535" s="1399"/>
      <c r="DJ535" s="1399"/>
      <c r="DK535" s="1399"/>
      <c r="DL535" s="1399"/>
      <c r="DM535" s="1399"/>
      <c r="DN535" s="1399"/>
      <c r="DO535" s="1399"/>
      <c r="DP535" s="1399"/>
      <c r="DQ535" s="1399"/>
      <c r="DR535" s="1399"/>
      <c r="DS535" s="1399"/>
      <c r="DT535" s="1399"/>
      <c r="DU535" s="1399"/>
    </row>
    <row r="536" spans="1:125">
      <c r="A536" s="1414"/>
      <c r="B536" s="1414"/>
      <c r="C536" s="1414"/>
      <c r="D536" s="1414"/>
      <c r="E536" s="1414"/>
      <c r="F536" s="1414"/>
      <c r="G536" s="1414"/>
      <c r="H536" s="1414"/>
      <c r="I536" s="1414"/>
      <c r="J536" s="1414"/>
      <c r="K536" s="1414"/>
      <c r="L536" s="1414"/>
      <c r="M536" s="1414"/>
      <c r="N536" s="1414"/>
      <c r="O536" s="1414"/>
      <c r="P536" s="1414"/>
      <c r="Q536" s="1414"/>
      <c r="R536" s="1414"/>
      <c r="S536" s="1414"/>
      <c r="T536" s="1414"/>
      <c r="U536" s="1414"/>
      <c r="V536" s="1414"/>
      <c r="W536" s="1414"/>
      <c r="X536" s="1414"/>
      <c r="Y536" s="1414"/>
      <c r="Z536" s="1414"/>
      <c r="AA536" s="1414"/>
      <c r="AB536" s="1414"/>
      <c r="AC536" s="1414"/>
      <c r="AD536" s="1414"/>
      <c r="AE536" s="1414"/>
      <c r="AF536" s="1414"/>
      <c r="AG536" s="1414"/>
      <c r="AH536" s="1414"/>
      <c r="AI536" s="1414"/>
      <c r="AJ536" s="1414"/>
      <c r="AK536" s="1414"/>
      <c r="AL536" s="1414"/>
      <c r="AM536" s="1414"/>
      <c r="AN536" s="1414"/>
      <c r="AO536" s="1414"/>
      <c r="AP536" s="1414"/>
      <c r="AQ536" s="1414"/>
      <c r="AR536" s="1414"/>
      <c r="AS536" s="1414"/>
      <c r="AT536" s="1414"/>
      <c r="AU536" s="1414"/>
      <c r="AV536" s="1414"/>
      <c r="AW536" s="1414"/>
      <c r="AX536" s="1414"/>
      <c r="AY536" s="1399"/>
      <c r="AZ536" s="1399"/>
      <c r="BA536" s="1399"/>
      <c r="BB536" s="1399"/>
      <c r="BC536" s="1399"/>
      <c r="BD536" s="1399"/>
      <c r="BE536" s="1414"/>
      <c r="BF536" s="1399"/>
      <c r="BG536" s="1399"/>
      <c r="BH536" s="1399"/>
      <c r="BI536" s="1399"/>
      <c r="BJ536" s="1399"/>
      <c r="BK536" s="1399"/>
      <c r="BL536" s="1399"/>
      <c r="BM536" s="1399"/>
      <c r="BN536" s="1399"/>
      <c r="BO536" s="1399"/>
      <c r="BP536" s="1399"/>
      <c r="BQ536" s="1399"/>
      <c r="BR536" s="1399"/>
      <c r="BS536" s="1399"/>
      <c r="BT536" s="1399"/>
      <c r="BU536" s="2838"/>
      <c r="BV536" s="2838"/>
      <c r="BW536" s="2838"/>
      <c r="BX536" s="2838"/>
      <c r="BY536" s="2838"/>
      <c r="BZ536" s="2838"/>
      <c r="CA536" s="2838"/>
      <c r="CB536" s="2838"/>
      <c r="CC536" s="2838"/>
      <c r="CD536" s="2838"/>
      <c r="CE536" s="1399"/>
      <c r="CF536" s="1399"/>
      <c r="CG536" s="1399"/>
      <c r="CH536" s="1399"/>
      <c r="CI536" s="1399"/>
      <c r="CJ536" s="1399"/>
      <c r="CK536" s="1399"/>
      <c r="CL536" s="1399"/>
      <c r="CM536" s="1399"/>
      <c r="CN536" s="1399"/>
      <c r="CO536" s="1399"/>
      <c r="CP536" s="1399"/>
      <c r="CQ536" s="1399"/>
      <c r="CR536" s="1399"/>
      <c r="CS536" s="1399"/>
      <c r="CT536" s="1399"/>
      <c r="CU536" s="1399"/>
      <c r="CV536" s="1399"/>
      <c r="CW536" s="1399"/>
      <c r="CX536" s="1399"/>
      <c r="CY536" s="1399"/>
      <c r="CZ536" s="1399"/>
      <c r="DA536" s="1399"/>
      <c r="DB536" s="1399"/>
      <c r="DC536" s="1399"/>
      <c r="DD536" s="1399"/>
      <c r="DE536" s="1399"/>
      <c r="DF536" s="1399"/>
      <c r="DG536" s="1399"/>
      <c r="DH536" s="1399"/>
      <c r="DI536" s="1399"/>
      <c r="DJ536" s="1399"/>
      <c r="DK536" s="1399"/>
      <c r="DL536" s="1399"/>
      <c r="DM536" s="1399"/>
      <c r="DN536" s="1399"/>
      <c r="DO536" s="1399"/>
      <c r="DP536" s="1399"/>
      <c r="DQ536" s="1399"/>
      <c r="DR536" s="1399"/>
      <c r="DS536" s="1399"/>
      <c r="DT536" s="1399"/>
      <c r="DU536" s="1399"/>
    </row>
    <row r="537" spans="1:125">
      <c r="A537" s="1414"/>
      <c r="B537" s="1414"/>
      <c r="C537" s="1414"/>
      <c r="D537" s="1414"/>
      <c r="E537" s="1414"/>
      <c r="F537" s="1414"/>
      <c r="G537" s="1414"/>
      <c r="H537" s="1414"/>
      <c r="I537" s="1414"/>
      <c r="J537" s="1414"/>
      <c r="K537" s="1414"/>
      <c r="L537" s="1414"/>
      <c r="M537" s="1414"/>
      <c r="N537" s="1414"/>
      <c r="O537" s="1414"/>
      <c r="P537" s="1414"/>
      <c r="Q537" s="1414"/>
      <c r="R537" s="1414"/>
      <c r="S537" s="1414"/>
      <c r="T537" s="1414"/>
      <c r="U537" s="1414"/>
      <c r="V537" s="1414"/>
      <c r="W537" s="1414"/>
      <c r="X537" s="1414"/>
      <c r="Y537" s="1414"/>
      <c r="Z537" s="1414"/>
      <c r="AA537" s="1414"/>
      <c r="AB537" s="1414"/>
      <c r="AC537" s="1414"/>
      <c r="AD537" s="1414"/>
      <c r="AE537" s="1414"/>
      <c r="AF537" s="1414"/>
      <c r="AG537" s="1414"/>
      <c r="AH537" s="1414"/>
      <c r="AI537" s="1414"/>
      <c r="AJ537" s="1414"/>
      <c r="AK537" s="1414"/>
      <c r="AL537" s="1414"/>
      <c r="AM537" s="1414"/>
      <c r="AN537" s="1414"/>
      <c r="AO537" s="1414"/>
      <c r="AP537" s="1414"/>
      <c r="AQ537" s="1414"/>
      <c r="AR537" s="1414"/>
      <c r="AS537" s="1414"/>
      <c r="AT537" s="1414"/>
      <c r="AU537" s="1414"/>
      <c r="AV537" s="1414"/>
      <c r="AW537" s="1414"/>
      <c r="AX537" s="1414"/>
      <c r="AY537" s="1399"/>
      <c r="AZ537" s="1399"/>
      <c r="BA537" s="1399"/>
      <c r="BB537" s="1399"/>
      <c r="BC537" s="1399"/>
      <c r="BD537" s="1399"/>
      <c r="BE537" s="1414"/>
      <c r="BF537" s="1399"/>
      <c r="BG537" s="1399"/>
      <c r="BH537" s="1399"/>
      <c r="BI537" s="1399"/>
      <c r="BJ537" s="1399"/>
      <c r="BK537" s="1399"/>
      <c r="BL537" s="1399"/>
      <c r="BM537" s="1399"/>
      <c r="BN537" s="1399"/>
      <c r="BO537" s="1399"/>
      <c r="BP537" s="1399"/>
      <c r="BQ537" s="1399"/>
      <c r="BR537" s="1399"/>
      <c r="BS537" s="1399"/>
      <c r="BT537" s="1399"/>
      <c r="BU537" s="2838"/>
      <c r="BV537" s="2838"/>
      <c r="BW537" s="2838"/>
      <c r="BX537" s="2838"/>
      <c r="BY537" s="2838"/>
      <c r="BZ537" s="2838"/>
      <c r="CA537" s="2838"/>
      <c r="CB537" s="2838"/>
      <c r="CC537" s="2838"/>
      <c r="CD537" s="2838"/>
      <c r="CE537" s="1399"/>
      <c r="CF537" s="1399"/>
      <c r="CG537" s="1399"/>
      <c r="CH537" s="1399"/>
      <c r="CI537" s="1399"/>
      <c r="CJ537" s="1399"/>
      <c r="CK537" s="1399"/>
      <c r="CL537" s="1399"/>
      <c r="CM537" s="1399"/>
      <c r="CN537" s="1399"/>
      <c r="CO537" s="1399"/>
      <c r="CP537" s="1399"/>
      <c r="CQ537" s="1399"/>
      <c r="CR537" s="1399"/>
      <c r="CS537" s="1399"/>
      <c r="CT537" s="1399"/>
      <c r="CU537" s="1399"/>
      <c r="CV537" s="1399"/>
      <c r="CW537" s="1399"/>
      <c r="CX537" s="1399"/>
      <c r="CY537" s="1399"/>
      <c r="CZ537" s="1399"/>
      <c r="DA537" s="1399"/>
      <c r="DB537" s="1399"/>
      <c r="DC537" s="1399"/>
      <c r="DD537" s="1399"/>
      <c r="DE537" s="1399"/>
      <c r="DF537" s="1399"/>
      <c r="DG537" s="1399"/>
      <c r="DH537" s="1399"/>
      <c r="DI537" s="1399"/>
      <c r="DJ537" s="1399"/>
      <c r="DK537" s="1399"/>
      <c r="DL537" s="1399"/>
      <c r="DM537" s="1399"/>
      <c r="DN537" s="1399"/>
      <c r="DO537" s="1399"/>
      <c r="DP537" s="1399"/>
      <c r="DQ537" s="1399"/>
      <c r="DR537" s="1399"/>
      <c r="DS537" s="1399"/>
      <c r="DT537" s="1399"/>
      <c r="DU537" s="1399"/>
    </row>
    <row r="538" spans="1:125">
      <c r="A538" s="1414"/>
      <c r="B538" s="1414"/>
      <c r="C538" s="1414"/>
      <c r="D538" s="1414"/>
      <c r="E538" s="1414"/>
      <c r="F538" s="1414"/>
      <c r="G538" s="1414"/>
      <c r="H538" s="1414"/>
      <c r="I538" s="1414"/>
      <c r="J538" s="1414"/>
      <c r="K538" s="1414"/>
      <c r="L538" s="1414"/>
      <c r="M538" s="1414"/>
      <c r="N538" s="1414"/>
      <c r="O538" s="1414"/>
      <c r="P538" s="1414"/>
      <c r="Q538" s="1414"/>
      <c r="R538" s="1414"/>
      <c r="S538" s="1414"/>
      <c r="T538" s="1414"/>
      <c r="U538" s="1414"/>
      <c r="V538" s="1414"/>
      <c r="W538" s="1414"/>
      <c r="X538" s="1414"/>
      <c r="Y538" s="1414"/>
      <c r="Z538" s="1414"/>
      <c r="AA538" s="1414"/>
      <c r="AB538" s="1414"/>
      <c r="AC538" s="1414"/>
      <c r="AD538" s="1414"/>
      <c r="AE538" s="1414"/>
      <c r="AF538" s="1414"/>
      <c r="AG538" s="1414"/>
      <c r="AH538" s="1414"/>
      <c r="AI538" s="1414"/>
      <c r="AJ538" s="1414"/>
      <c r="AK538" s="1414"/>
      <c r="AL538" s="1414"/>
      <c r="AM538" s="1414"/>
      <c r="AN538" s="1414"/>
      <c r="AO538" s="1414"/>
      <c r="AP538" s="1414"/>
      <c r="AQ538" s="1414"/>
      <c r="AR538" s="1414"/>
      <c r="AS538" s="1414"/>
      <c r="AT538" s="1414"/>
      <c r="AU538" s="1414"/>
      <c r="AV538" s="1414"/>
      <c r="AW538" s="1414"/>
      <c r="AX538" s="1414"/>
      <c r="AY538" s="1399"/>
      <c r="AZ538" s="1399"/>
      <c r="BA538" s="1399"/>
      <c r="BB538" s="1399"/>
      <c r="BC538" s="1399"/>
      <c r="BD538" s="1399"/>
      <c r="BE538" s="1414"/>
      <c r="BF538" s="1399"/>
      <c r="BG538" s="1399"/>
      <c r="BH538" s="1399"/>
      <c r="BI538" s="1399"/>
      <c r="BJ538" s="1399"/>
      <c r="BK538" s="1399"/>
      <c r="BL538" s="1399"/>
      <c r="BM538" s="1399"/>
      <c r="BN538" s="1399"/>
      <c r="BO538" s="1399"/>
      <c r="BP538" s="1399"/>
      <c r="BQ538" s="1399"/>
      <c r="BR538" s="1399"/>
      <c r="BS538" s="1399"/>
      <c r="BT538" s="1399"/>
      <c r="BU538" s="2838"/>
      <c r="BV538" s="2838"/>
      <c r="BW538" s="2838"/>
      <c r="BX538" s="2838"/>
      <c r="BY538" s="2838"/>
      <c r="BZ538" s="2838"/>
      <c r="CA538" s="2838"/>
      <c r="CB538" s="2838"/>
      <c r="CC538" s="2838"/>
      <c r="CD538" s="2838"/>
      <c r="CE538" s="1399"/>
      <c r="CF538" s="1399"/>
      <c r="CG538" s="1399"/>
      <c r="CH538" s="1399"/>
      <c r="CI538" s="1399"/>
      <c r="CJ538" s="1399"/>
      <c r="CK538" s="1399"/>
      <c r="CL538" s="1399"/>
      <c r="CM538" s="1399"/>
      <c r="CN538" s="1399"/>
      <c r="CO538" s="1399"/>
      <c r="CP538" s="1399"/>
      <c r="CQ538" s="1399"/>
      <c r="CR538" s="1399"/>
      <c r="CS538" s="1399"/>
      <c r="CT538" s="1399"/>
      <c r="CU538" s="1399"/>
      <c r="CV538" s="1399"/>
      <c r="CW538" s="1399"/>
      <c r="CX538" s="1399"/>
      <c r="CY538" s="1399"/>
      <c r="CZ538" s="1399"/>
      <c r="DA538" s="1399"/>
      <c r="DB538" s="1399"/>
      <c r="DC538" s="1399"/>
      <c r="DD538" s="1399"/>
      <c r="DE538" s="1399"/>
      <c r="DF538" s="1399"/>
      <c r="DG538" s="1399"/>
      <c r="DH538" s="1399"/>
      <c r="DI538" s="1399"/>
      <c r="DJ538" s="1399"/>
      <c r="DK538" s="1399"/>
      <c r="DL538" s="1399"/>
      <c r="DM538" s="1399"/>
      <c r="DN538" s="1399"/>
      <c r="DO538" s="1399"/>
      <c r="DP538" s="1399"/>
      <c r="DQ538" s="1399"/>
      <c r="DR538" s="1399"/>
      <c r="DS538" s="1399"/>
      <c r="DT538" s="1399"/>
      <c r="DU538" s="1399"/>
    </row>
    <row r="539" spans="1:125">
      <c r="A539" s="1414"/>
      <c r="B539" s="1414"/>
      <c r="C539" s="1414"/>
      <c r="D539" s="1414"/>
      <c r="E539" s="1414"/>
      <c r="F539" s="1414"/>
      <c r="G539" s="1414"/>
      <c r="H539" s="1414"/>
      <c r="I539" s="1414"/>
      <c r="J539" s="1414"/>
      <c r="K539" s="1414"/>
      <c r="L539" s="1414"/>
      <c r="M539" s="1414"/>
      <c r="N539" s="1414"/>
      <c r="O539" s="1414"/>
      <c r="P539" s="1414"/>
      <c r="Q539" s="1414"/>
      <c r="R539" s="1414"/>
      <c r="S539" s="1414"/>
      <c r="T539" s="1414"/>
      <c r="U539" s="1414"/>
      <c r="V539" s="1414"/>
      <c r="W539" s="1414"/>
      <c r="X539" s="1414"/>
      <c r="Y539" s="1414"/>
      <c r="Z539" s="1414"/>
      <c r="AA539" s="1414"/>
      <c r="AB539" s="1414"/>
      <c r="AC539" s="1414"/>
      <c r="AD539" s="1414"/>
      <c r="AE539" s="1414"/>
      <c r="AF539" s="1414"/>
      <c r="AG539" s="1414"/>
      <c r="AH539" s="1414"/>
      <c r="AI539" s="1414"/>
      <c r="AJ539" s="1414"/>
      <c r="AK539" s="1414"/>
      <c r="AL539" s="1414"/>
      <c r="AM539" s="1414"/>
      <c r="AN539" s="1414"/>
      <c r="AO539" s="1414"/>
      <c r="AP539" s="1414"/>
      <c r="AQ539" s="1414"/>
      <c r="AR539" s="1414"/>
      <c r="AS539" s="1414"/>
      <c r="AT539" s="1414"/>
      <c r="AU539" s="1414"/>
      <c r="AV539" s="1414"/>
      <c r="AW539" s="1414"/>
      <c r="AX539" s="1414"/>
      <c r="AY539" s="1399"/>
      <c r="AZ539" s="1399"/>
      <c r="BA539" s="1399"/>
      <c r="BB539" s="1399"/>
      <c r="BC539" s="1399"/>
      <c r="BD539" s="1399"/>
      <c r="BE539" s="1414"/>
      <c r="BF539" s="1399"/>
      <c r="BG539" s="1399"/>
      <c r="BH539" s="1399"/>
      <c r="BI539" s="1399"/>
      <c r="BJ539" s="1399"/>
      <c r="BK539" s="1399"/>
      <c r="BL539" s="1399"/>
      <c r="BM539" s="1399"/>
      <c r="BN539" s="1399"/>
      <c r="BO539" s="1399"/>
      <c r="BP539" s="1399"/>
      <c r="BQ539" s="1399"/>
      <c r="BR539" s="1399"/>
      <c r="BS539" s="1399"/>
      <c r="BT539" s="1399"/>
      <c r="BU539" s="2838"/>
      <c r="BV539" s="2838"/>
      <c r="BW539" s="2838"/>
      <c r="BX539" s="2838"/>
      <c r="BY539" s="2838"/>
      <c r="BZ539" s="2838"/>
      <c r="CA539" s="2838"/>
      <c r="CB539" s="2838"/>
      <c r="CC539" s="2838"/>
      <c r="CD539" s="2838"/>
      <c r="CE539" s="1399"/>
      <c r="CF539" s="1399"/>
      <c r="CG539" s="1399"/>
      <c r="CH539" s="1399"/>
      <c r="CI539" s="1399"/>
      <c r="CJ539" s="1399"/>
      <c r="CK539" s="1399"/>
      <c r="CL539" s="1399"/>
      <c r="CM539" s="1399"/>
      <c r="CN539" s="1399"/>
      <c r="CO539" s="1399"/>
      <c r="CP539" s="1399"/>
      <c r="CQ539" s="1399"/>
      <c r="CR539" s="1399"/>
      <c r="CS539" s="1399"/>
      <c r="CT539" s="1399"/>
      <c r="CU539" s="1399"/>
      <c r="CV539" s="1399"/>
      <c r="CW539" s="1399"/>
      <c r="CX539" s="1399"/>
      <c r="CY539" s="1399"/>
      <c r="CZ539" s="1399"/>
      <c r="DA539" s="1399"/>
      <c r="DB539" s="1399"/>
      <c r="DC539" s="1399"/>
      <c r="DD539" s="1399"/>
      <c r="DE539" s="1399"/>
      <c r="DF539" s="1399"/>
      <c r="DG539" s="1399"/>
      <c r="DH539" s="1399"/>
      <c r="DI539" s="1399"/>
      <c r="DJ539" s="1399"/>
      <c r="DK539" s="1399"/>
      <c r="DL539" s="1399"/>
      <c r="DM539" s="1399"/>
      <c r="DN539" s="1399"/>
      <c r="DO539" s="1399"/>
      <c r="DP539" s="1399"/>
      <c r="DQ539" s="1399"/>
      <c r="DR539" s="1399"/>
      <c r="DS539" s="1399"/>
      <c r="DT539" s="1399"/>
      <c r="DU539" s="1399"/>
    </row>
    <row r="540" spans="1:125">
      <c r="A540" s="1414"/>
      <c r="B540" s="1414"/>
      <c r="C540" s="1414"/>
      <c r="D540" s="1414"/>
      <c r="E540" s="1414"/>
      <c r="F540" s="1414"/>
      <c r="G540" s="1414"/>
      <c r="H540" s="1414"/>
      <c r="I540" s="1414"/>
      <c r="J540" s="1414"/>
      <c r="K540" s="1414"/>
      <c r="L540" s="1414"/>
      <c r="M540" s="1414"/>
      <c r="N540" s="1414"/>
      <c r="O540" s="1414"/>
      <c r="P540" s="1414"/>
      <c r="Q540" s="1414"/>
      <c r="R540" s="1414"/>
      <c r="S540" s="1414"/>
      <c r="T540" s="1414"/>
      <c r="U540" s="1414"/>
      <c r="V540" s="1414"/>
      <c r="W540" s="1414"/>
      <c r="X540" s="1414"/>
      <c r="Y540" s="1414"/>
      <c r="Z540" s="1414"/>
      <c r="AA540" s="1414"/>
      <c r="AB540" s="1414"/>
      <c r="AC540" s="1414"/>
      <c r="AD540" s="1414"/>
      <c r="AE540" s="1414"/>
      <c r="AF540" s="1414"/>
      <c r="AG540" s="1414"/>
      <c r="AH540" s="1414"/>
      <c r="AI540" s="1414"/>
      <c r="AJ540" s="1414"/>
      <c r="AK540" s="1414"/>
      <c r="AL540" s="1414"/>
      <c r="AM540" s="1414"/>
      <c r="AN540" s="1414"/>
      <c r="AO540" s="1414"/>
      <c r="AP540" s="1414"/>
      <c r="AQ540" s="1414"/>
      <c r="AR540" s="1414"/>
      <c r="AS540" s="1414"/>
      <c r="AT540" s="1414"/>
      <c r="AU540" s="1414"/>
      <c r="AV540" s="1414"/>
      <c r="AW540" s="1414"/>
      <c r="AX540" s="1414"/>
      <c r="AY540" s="1399"/>
      <c r="AZ540" s="1399"/>
      <c r="BA540" s="1399"/>
      <c r="BB540" s="1399"/>
      <c r="BC540" s="1399"/>
      <c r="BD540" s="1399"/>
      <c r="BE540" s="1414"/>
      <c r="BF540" s="1399"/>
      <c r="BG540" s="1399"/>
      <c r="BH540" s="1399"/>
      <c r="BI540" s="1399"/>
      <c r="BJ540" s="1399"/>
      <c r="BK540" s="1399"/>
      <c r="BL540" s="1399"/>
      <c r="BM540" s="1399"/>
      <c r="BN540" s="1399"/>
      <c r="BO540" s="1399"/>
      <c r="BP540" s="1399"/>
      <c r="BQ540" s="1399"/>
      <c r="BR540" s="1399"/>
      <c r="BS540" s="1399"/>
      <c r="BT540" s="1399"/>
      <c r="BU540" s="2838"/>
      <c r="BV540" s="2838"/>
      <c r="BW540" s="2838"/>
      <c r="BX540" s="2838"/>
      <c r="BY540" s="2838"/>
      <c r="BZ540" s="2838"/>
      <c r="CA540" s="2838"/>
      <c r="CB540" s="2838"/>
      <c r="CC540" s="2838"/>
      <c r="CD540" s="2838"/>
      <c r="CE540" s="1399"/>
      <c r="CF540" s="1399"/>
      <c r="CG540" s="1399"/>
      <c r="CH540" s="1399"/>
      <c r="CI540" s="1399"/>
      <c r="CJ540" s="1399"/>
      <c r="CK540" s="1399"/>
      <c r="CL540" s="1399"/>
      <c r="CM540" s="1399"/>
      <c r="CN540" s="1399"/>
      <c r="CO540" s="1399"/>
      <c r="CP540" s="1399"/>
      <c r="CQ540" s="1399"/>
      <c r="CR540" s="1399"/>
      <c r="CS540" s="1399"/>
      <c r="CT540" s="1399"/>
      <c r="CU540" s="1399"/>
      <c r="CV540" s="1399"/>
      <c r="CW540" s="1399"/>
      <c r="CX540" s="1399"/>
      <c r="CY540" s="1399"/>
      <c r="CZ540" s="1399"/>
      <c r="DA540" s="1399"/>
      <c r="DB540" s="1399"/>
      <c r="DC540" s="1399"/>
      <c r="DD540" s="1399"/>
      <c r="DE540" s="1399"/>
      <c r="DF540" s="1399"/>
      <c r="DG540" s="1399"/>
      <c r="DH540" s="1399"/>
      <c r="DI540" s="1399"/>
      <c r="DJ540" s="1399"/>
      <c r="DK540" s="1399"/>
      <c r="DL540" s="1399"/>
      <c r="DM540" s="1399"/>
      <c r="DN540" s="1399"/>
      <c r="DO540" s="1399"/>
      <c r="DP540" s="1399"/>
      <c r="DQ540" s="1399"/>
      <c r="DR540" s="1399"/>
      <c r="DS540" s="1399"/>
      <c r="DT540" s="1399"/>
      <c r="DU540" s="1399"/>
    </row>
    <row r="541" spans="1:125">
      <c r="A541" s="1414"/>
      <c r="B541" s="1414"/>
      <c r="C541" s="1414"/>
      <c r="D541" s="1414"/>
      <c r="E541" s="1414"/>
      <c r="F541" s="1414"/>
      <c r="G541" s="1414"/>
      <c r="H541" s="1414"/>
      <c r="I541" s="1414"/>
      <c r="J541" s="1414"/>
      <c r="K541" s="1414"/>
      <c r="L541" s="1414"/>
      <c r="M541" s="1414"/>
      <c r="N541" s="1414"/>
      <c r="O541" s="1414"/>
      <c r="P541" s="1414"/>
      <c r="Q541" s="1414"/>
      <c r="R541" s="1414"/>
      <c r="S541" s="1414"/>
      <c r="T541" s="1414"/>
      <c r="U541" s="1414"/>
      <c r="V541" s="1414"/>
      <c r="W541" s="1414"/>
      <c r="X541" s="1414"/>
      <c r="Y541" s="1414"/>
      <c r="Z541" s="1414"/>
      <c r="AA541" s="1414"/>
      <c r="AB541" s="1414"/>
      <c r="AC541" s="1414"/>
      <c r="AD541" s="1414"/>
      <c r="AE541" s="1414"/>
      <c r="AF541" s="1414"/>
      <c r="AG541" s="1414"/>
      <c r="AH541" s="1414"/>
      <c r="AI541" s="1414"/>
      <c r="AJ541" s="1414"/>
      <c r="AK541" s="1414"/>
      <c r="AL541" s="1414"/>
      <c r="AM541" s="1414"/>
      <c r="AN541" s="1414"/>
      <c r="AO541" s="1414"/>
      <c r="AP541" s="1414"/>
      <c r="AQ541" s="1414"/>
      <c r="AR541" s="1414"/>
      <c r="AS541" s="1414"/>
      <c r="AT541" s="1414"/>
      <c r="AU541" s="1414"/>
      <c r="AV541" s="1414"/>
      <c r="AW541" s="1414"/>
      <c r="AX541" s="1414"/>
      <c r="AY541" s="1399"/>
      <c r="AZ541" s="1399"/>
      <c r="BA541" s="1399"/>
      <c r="BB541" s="1399"/>
      <c r="BC541" s="1399"/>
      <c r="BD541" s="1399"/>
      <c r="BE541" s="1414"/>
      <c r="BF541" s="1399"/>
      <c r="BG541" s="1399"/>
      <c r="BH541" s="1399"/>
      <c r="BI541" s="1399"/>
      <c r="BJ541" s="1399"/>
      <c r="BK541" s="1399"/>
      <c r="BL541" s="1399"/>
      <c r="BM541" s="1399"/>
      <c r="BN541" s="1399"/>
      <c r="BO541" s="1399"/>
      <c r="BP541" s="1399"/>
      <c r="BQ541" s="1399"/>
      <c r="BR541" s="1399"/>
      <c r="BS541" s="1399"/>
      <c r="BT541" s="1399"/>
      <c r="BU541" s="2838"/>
      <c r="BV541" s="2838"/>
      <c r="BW541" s="2838"/>
      <c r="BX541" s="2838"/>
      <c r="BY541" s="2838"/>
      <c r="BZ541" s="2838"/>
      <c r="CA541" s="2838"/>
      <c r="CB541" s="2838"/>
      <c r="CC541" s="2838"/>
      <c r="CD541" s="2838"/>
      <c r="CE541" s="1399"/>
      <c r="CF541" s="1399"/>
      <c r="CG541" s="1399"/>
      <c r="CH541" s="1399"/>
      <c r="CI541" s="1399"/>
      <c r="CJ541" s="1399"/>
      <c r="CK541" s="1399"/>
      <c r="CL541" s="1399"/>
      <c r="CM541" s="1399"/>
      <c r="CN541" s="1399"/>
      <c r="CO541" s="1399"/>
      <c r="CP541" s="1399"/>
      <c r="CQ541" s="1399"/>
      <c r="CR541" s="1399"/>
      <c r="CS541" s="1399"/>
      <c r="CT541" s="1399"/>
      <c r="CU541" s="1399"/>
      <c r="CV541" s="1399"/>
      <c r="CW541" s="1399"/>
      <c r="CX541" s="1399"/>
      <c r="CY541" s="1399"/>
      <c r="CZ541" s="1399"/>
      <c r="DA541" s="1399"/>
      <c r="DB541" s="1399"/>
      <c r="DC541" s="1399"/>
      <c r="DD541" s="1399"/>
      <c r="DE541" s="1399"/>
      <c r="DF541" s="1399"/>
      <c r="DG541" s="1399"/>
      <c r="DH541" s="1399"/>
      <c r="DI541" s="1399"/>
      <c r="DJ541" s="1399"/>
      <c r="DK541" s="1399"/>
      <c r="DL541" s="1399"/>
      <c r="DM541" s="1399"/>
      <c r="DN541" s="1399"/>
      <c r="DO541" s="1399"/>
      <c r="DP541" s="1399"/>
      <c r="DQ541" s="1399"/>
      <c r="DR541" s="1399"/>
      <c r="DS541" s="1399"/>
      <c r="DT541" s="1399"/>
      <c r="DU541" s="1399"/>
    </row>
    <row r="542" spans="1:125">
      <c r="A542" s="1414"/>
      <c r="B542" s="1414"/>
      <c r="C542" s="1414"/>
      <c r="D542" s="1414"/>
      <c r="E542" s="1414"/>
      <c r="F542" s="1414"/>
      <c r="G542" s="1414"/>
      <c r="H542" s="1414"/>
      <c r="I542" s="1414"/>
      <c r="J542" s="1414"/>
      <c r="K542" s="1414"/>
      <c r="L542" s="1414"/>
      <c r="M542" s="1414"/>
      <c r="N542" s="1414"/>
      <c r="O542" s="1414"/>
      <c r="P542" s="1414"/>
      <c r="Q542" s="1414"/>
      <c r="R542" s="1414"/>
      <c r="S542" s="1414"/>
      <c r="T542" s="1414"/>
      <c r="U542" s="1414"/>
      <c r="V542" s="1414"/>
      <c r="W542" s="1414"/>
      <c r="X542" s="1414"/>
      <c r="Y542" s="1414"/>
      <c r="Z542" s="1414"/>
      <c r="AA542" s="1414"/>
      <c r="AB542" s="1414"/>
      <c r="AC542" s="1414"/>
      <c r="AD542" s="1414"/>
      <c r="AE542" s="1414"/>
      <c r="AF542" s="1414"/>
      <c r="AG542" s="1414"/>
      <c r="AH542" s="1414"/>
      <c r="AI542" s="1414"/>
      <c r="AJ542" s="1414"/>
      <c r="AK542" s="1414"/>
      <c r="AL542" s="1414"/>
      <c r="AM542" s="1414"/>
      <c r="AN542" s="1414"/>
      <c r="AO542" s="1414"/>
      <c r="AP542" s="1414"/>
      <c r="AQ542" s="1414"/>
      <c r="AR542" s="1414"/>
      <c r="AS542" s="1414"/>
      <c r="AT542" s="1414"/>
      <c r="AU542" s="1414"/>
      <c r="AV542" s="1414"/>
      <c r="AW542" s="1414"/>
      <c r="AX542" s="1414"/>
      <c r="AY542" s="1399"/>
      <c r="AZ542" s="1399"/>
      <c r="BA542" s="1399"/>
      <c r="BB542" s="1399"/>
      <c r="BC542" s="1399"/>
      <c r="BD542" s="1399"/>
      <c r="BE542" s="1414"/>
      <c r="BF542" s="1399"/>
      <c r="BG542" s="1399"/>
      <c r="BH542" s="1399"/>
      <c r="BI542" s="1399"/>
      <c r="BJ542" s="1399"/>
      <c r="BK542" s="1399"/>
      <c r="BL542" s="1399"/>
      <c r="BM542" s="1399"/>
      <c r="BN542" s="1399"/>
      <c r="BO542" s="1399"/>
      <c r="BP542" s="1399"/>
      <c r="BQ542" s="1399"/>
      <c r="BR542" s="1399"/>
      <c r="BS542" s="1399"/>
      <c r="BT542" s="1399"/>
      <c r="BU542" s="2838"/>
      <c r="BV542" s="2838"/>
      <c r="BW542" s="2838"/>
      <c r="BX542" s="2838"/>
      <c r="BY542" s="2838"/>
      <c r="BZ542" s="2838"/>
      <c r="CA542" s="2838"/>
      <c r="CB542" s="2838"/>
      <c r="CC542" s="2838"/>
      <c r="CD542" s="2838"/>
      <c r="CE542" s="1399"/>
      <c r="CF542" s="1399"/>
      <c r="CG542" s="1399"/>
      <c r="CH542" s="1399"/>
      <c r="CI542" s="1399"/>
      <c r="CJ542" s="1399"/>
      <c r="CK542" s="1399"/>
      <c r="CL542" s="1399"/>
      <c r="CM542" s="1399"/>
      <c r="CN542" s="1399"/>
      <c r="CO542" s="1399"/>
      <c r="CP542" s="1399"/>
      <c r="CQ542" s="1399"/>
      <c r="CR542" s="1399"/>
      <c r="CS542" s="1399"/>
      <c r="CT542" s="1399"/>
      <c r="CU542" s="1399"/>
      <c r="CV542" s="1399"/>
      <c r="CW542" s="1399"/>
      <c r="CX542" s="1399"/>
      <c r="CY542" s="1399"/>
      <c r="CZ542" s="1399"/>
      <c r="DA542" s="1399"/>
      <c r="DB542" s="1399"/>
      <c r="DC542" s="1399"/>
      <c r="DD542" s="1399"/>
      <c r="DE542" s="1399"/>
      <c r="DF542" s="1399"/>
      <c r="DG542" s="1399"/>
      <c r="DH542" s="1399"/>
      <c r="DI542" s="1399"/>
      <c r="DJ542" s="1399"/>
      <c r="DK542" s="1399"/>
      <c r="DL542" s="1399"/>
      <c r="DM542" s="1399"/>
      <c r="DN542" s="1399"/>
      <c r="DO542" s="1399"/>
      <c r="DP542" s="1399"/>
      <c r="DQ542" s="1399"/>
      <c r="DR542" s="1399"/>
      <c r="DS542" s="1399"/>
      <c r="DT542" s="1399"/>
      <c r="DU542" s="1399"/>
    </row>
    <row r="543" spans="1:125">
      <c r="A543" s="1414"/>
      <c r="B543" s="1414"/>
      <c r="C543" s="1414"/>
      <c r="D543" s="1414"/>
      <c r="E543" s="1414"/>
      <c r="F543" s="1414"/>
      <c r="G543" s="1414"/>
      <c r="H543" s="1414"/>
      <c r="I543" s="1414"/>
      <c r="J543" s="1414"/>
      <c r="K543" s="1414"/>
      <c r="L543" s="1414"/>
      <c r="M543" s="1414"/>
      <c r="N543" s="1414"/>
      <c r="O543" s="1414"/>
      <c r="P543" s="1414"/>
      <c r="Q543" s="1414"/>
      <c r="R543" s="1414"/>
      <c r="S543" s="1414"/>
      <c r="T543" s="1414"/>
      <c r="U543" s="1414"/>
      <c r="V543" s="1414"/>
      <c r="W543" s="1414"/>
      <c r="X543" s="1414"/>
      <c r="Y543" s="1414"/>
      <c r="Z543" s="1414"/>
      <c r="AA543" s="1414"/>
      <c r="AB543" s="1414"/>
      <c r="AC543" s="1414"/>
      <c r="AD543" s="1414"/>
      <c r="AE543" s="1414"/>
      <c r="AF543" s="1414"/>
      <c r="AG543" s="1414"/>
      <c r="AH543" s="1414"/>
      <c r="AI543" s="1414"/>
      <c r="AJ543" s="1414"/>
      <c r="AK543" s="1414"/>
      <c r="AL543" s="1414"/>
      <c r="AM543" s="1414"/>
      <c r="AN543" s="1414"/>
      <c r="AO543" s="1414"/>
      <c r="AP543" s="1414"/>
      <c r="AQ543" s="1414"/>
      <c r="AR543" s="1414"/>
      <c r="AS543" s="1414"/>
      <c r="AT543" s="1414"/>
      <c r="AU543" s="1414"/>
      <c r="AV543" s="1414"/>
      <c r="AW543" s="1414"/>
      <c r="AX543" s="1414"/>
      <c r="AY543" s="1399"/>
      <c r="AZ543" s="1399"/>
      <c r="BA543" s="1399"/>
      <c r="BB543" s="1399"/>
      <c r="BC543" s="1399"/>
      <c r="BD543" s="1399"/>
      <c r="BE543" s="1414"/>
      <c r="BF543" s="1399"/>
      <c r="BG543" s="1399"/>
      <c r="BH543" s="1399"/>
      <c r="BI543" s="1399"/>
      <c r="BJ543" s="1399"/>
      <c r="BK543" s="1399"/>
      <c r="BL543" s="1399"/>
      <c r="BM543" s="1399"/>
      <c r="BN543" s="1399"/>
      <c r="BO543" s="1399"/>
      <c r="BP543" s="1399"/>
      <c r="BQ543" s="1399"/>
      <c r="BR543" s="1399"/>
      <c r="BS543" s="1399"/>
      <c r="BT543" s="1399"/>
      <c r="BU543" s="2838"/>
      <c r="BV543" s="2838"/>
      <c r="BW543" s="2838"/>
      <c r="BX543" s="2838"/>
      <c r="BY543" s="2838"/>
      <c r="BZ543" s="2838"/>
      <c r="CA543" s="2838"/>
      <c r="CB543" s="2838"/>
      <c r="CC543" s="2838"/>
      <c r="CD543" s="2838"/>
      <c r="CE543" s="1399"/>
      <c r="CF543" s="1399"/>
      <c r="CG543" s="1399"/>
      <c r="CH543" s="1399"/>
      <c r="CI543" s="1399"/>
      <c r="CJ543" s="1399"/>
      <c r="CK543" s="1399"/>
      <c r="CL543" s="1399"/>
      <c r="CM543" s="1399"/>
      <c r="CN543" s="1399"/>
      <c r="CO543" s="1399"/>
      <c r="CP543" s="1399"/>
      <c r="CQ543" s="1399"/>
      <c r="CR543" s="1399"/>
      <c r="CS543" s="1399"/>
      <c r="CT543" s="1399"/>
      <c r="CU543" s="1399"/>
      <c r="CV543" s="1399"/>
      <c r="CW543" s="1399"/>
      <c r="CX543" s="1399"/>
      <c r="CY543" s="1399"/>
      <c r="CZ543" s="1399"/>
      <c r="DA543" s="1399"/>
      <c r="DB543" s="1399"/>
      <c r="DC543" s="1399"/>
      <c r="DD543" s="1399"/>
      <c r="DE543" s="1399"/>
      <c r="DF543" s="1399"/>
      <c r="DG543" s="1399"/>
      <c r="DH543" s="1399"/>
      <c r="DI543" s="1399"/>
      <c r="DJ543" s="1399"/>
      <c r="DK543" s="1399"/>
      <c r="DL543" s="1399"/>
      <c r="DM543" s="1399"/>
      <c r="DN543" s="1399"/>
      <c r="DO543" s="1399"/>
      <c r="DP543" s="1399"/>
      <c r="DQ543" s="1399"/>
      <c r="DR543" s="1399"/>
      <c r="DS543" s="1399"/>
      <c r="DT543" s="1399"/>
      <c r="DU543" s="1399"/>
    </row>
    <row r="544" spans="1:125">
      <c r="A544" s="1414"/>
      <c r="B544" s="1414"/>
      <c r="C544" s="1414"/>
      <c r="D544" s="1414"/>
      <c r="E544" s="1414"/>
      <c r="F544" s="1414"/>
      <c r="G544" s="1414"/>
      <c r="H544" s="1414"/>
      <c r="I544" s="1414"/>
      <c r="J544" s="1414"/>
      <c r="K544" s="1414"/>
      <c r="L544" s="1414"/>
      <c r="M544" s="1414"/>
      <c r="N544" s="1414"/>
      <c r="O544" s="1414"/>
      <c r="P544" s="1414"/>
      <c r="Q544" s="1414"/>
      <c r="R544" s="1414"/>
      <c r="S544" s="1414"/>
      <c r="T544" s="1414"/>
      <c r="U544" s="1414"/>
      <c r="V544" s="1414"/>
      <c r="W544" s="1414"/>
      <c r="X544" s="1414"/>
      <c r="Y544" s="1414"/>
      <c r="Z544" s="1414"/>
      <c r="AA544" s="1414"/>
      <c r="AB544" s="1414"/>
      <c r="AC544" s="1414"/>
      <c r="AD544" s="1414"/>
      <c r="AE544" s="1414"/>
      <c r="AF544" s="1414"/>
      <c r="AG544" s="1414"/>
      <c r="AH544" s="1414"/>
      <c r="AI544" s="1414"/>
      <c r="AJ544" s="1414"/>
      <c r="AK544" s="1414"/>
      <c r="AL544" s="1414"/>
      <c r="AM544" s="1414"/>
      <c r="AN544" s="1414"/>
      <c r="AO544" s="1414"/>
      <c r="AP544" s="1414"/>
      <c r="AQ544" s="1414"/>
      <c r="AR544" s="1414"/>
      <c r="AS544" s="1414"/>
      <c r="AT544" s="1414"/>
      <c r="AU544" s="1414"/>
      <c r="AV544" s="1414"/>
      <c r="AW544" s="1414"/>
      <c r="AX544" s="1414"/>
      <c r="AY544" s="1399"/>
      <c r="AZ544" s="1399"/>
      <c r="BA544" s="1399"/>
      <c r="BB544" s="1399"/>
      <c r="BC544" s="1399"/>
      <c r="BD544" s="1399"/>
      <c r="BE544" s="1414"/>
      <c r="BF544" s="1399"/>
      <c r="BG544" s="1399"/>
      <c r="BH544" s="1399"/>
      <c r="BI544" s="1399"/>
      <c r="BJ544" s="1399"/>
      <c r="BK544" s="1399"/>
      <c r="BL544" s="1399"/>
      <c r="BM544" s="1399"/>
      <c r="BN544" s="1399"/>
      <c r="BO544" s="1399"/>
      <c r="BP544" s="1399"/>
      <c r="BQ544" s="1399"/>
      <c r="BR544" s="1399"/>
      <c r="BS544" s="1399"/>
      <c r="BT544" s="1399"/>
      <c r="BU544" s="2838"/>
      <c r="BV544" s="2838"/>
      <c r="BW544" s="2838"/>
      <c r="BX544" s="2838"/>
      <c r="BY544" s="2838"/>
      <c r="BZ544" s="2838"/>
      <c r="CA544" s="2838"/>
      <c r="CB544" s="2838"/>
      <c r="CC544" s="2838"/>
      <c r="CD544" s="2838"/>
      <c r="CE544" s="1399"/>
      <c r="CF544" s="1399"/>
      <c r="CG544" s="1399"/>
      <c r="CH544" s="1399"/>
      <c r="CI544" s="1399"/>
      <c r="CJ544" s="1399"/>
      <c r="CK544" s="1399"/>
      <c r="CL544" s="1399"/>
      <c r="CM544" s="1399"/>
      <c r="CN544" s="1399"/>
      <c r="CO544" s="1399"/>
      <c r="CP544" s="1399"/>
      <c r="CQ544" s="1399"/>
      <c r="CR544" s="1399"/>
      <c r="CS544" s="1399"/>
      <c r="CT544" s="1399"/>
      <c r="CU544" s="1399"/>
      <c r="CV544" s="1399"/>
      <c r="CW544" s="1399"/>
      <c r="CX544" s="1399"/>
      <c r="CY544" s="1399"/>
      <c r="CZ544" s="1399"/>
      <c r="DA544" s="1399"/>
      <c r="DB544" s="1399"/>
      <c r="DC544" s="1399"/>
      <c r="DD544" s="1399"/>
      <c r="DE544" s="1399"/>
      <c r="DF544" s="1399"/>
      <c r="DG544" s="1399"/>
      <c r="DH544" s="1399"/>
      <c r="DI544" s="1399"/>
      <c r="DJ544" s="1399"/>
      <c r="DK544" s="1399"/>
      <c r="DL544" s="1399"/>
      <c r="DM544" s="1399"/>
      <c r="DN544" s="1399"/>
      <c r="DO544" s="1399"/>
      <c r="DP544" s="1399"/>
      <c r="DQ544" s="1399"/>
      <c r="DR544" s="1399"/>
      <c r="DS544" s="1399"/>
      <c r="DT544" s="1399"/>
      <c r="DU544" s="1399"/>
    </row>
    <row r="545" spans="1:125">
      <c r="A545" s="1414"/>
      <c r="B545" s="1414"/>
      <c r="C545" s="1414"/>
      <c r="D545" s="1414"/>
      <c r="E545" s="1414"/>
      <c r="F545" s="1414"/>
      <c r="G545" s="1414"/>
      <c r="H545" s="1414"/>
      <c r="I545" s="1414"/>
      <c r="J545" s="1414"/>
      <c r="K545" s="1414"/>
      <c r="L545" s="1414"/>
      <c r="M545" s="1414"/>
      <c r="N545" s="1414"/>
      <c r="O545" s="1414"/>
      <c r="P545" s="1414"/>
      <c r="Q545" s="1414"/>
      <c r="R545" s="1414"/>
      <c r="S545" s="1414"/>
      <c r="T545" s="1414"/>
      <c r="U545" s="1414"/>
      <c r="V545" s="1414"/>
      <c r="W545" s="1414"/>
      <c r="X545" s="1414"/>
      <c r="Y545" s="1414"/>
      <c r="Z545" s="1414"/>
      <c r="AA545" s="1414"/>
      <c r="AB545" s="1414"/>
      <c r="AC545" s="1414"/>
      <c r="AD545" s="1414"/>
      <c r="AE545" s="1414"/>
      <c r="AF545" s="1414"/>
      <c r="AG545" s="1414"/>
      <c r="AH545" s="1414"/>
      <c r="AI545" s="1414"/>
      <c r="AJ545" s="1414"/>
      <c r="AK545" s="1414"/>
      <c r="AL545" s="1414"/>
      <c r="AM545" s="1414"/>
      <c r="AN545" s="1414"/>
      <c r="AO545" s="1414"/>
      <c r="AP545" s="1414"/>
      <c r="AQ545" s="1414"/>
      <c r="AR545" s="1414"/>
      <c r="AS545" s="1414"/>
      <c r="AT545" s="1414"/>
      <c r="AU545" s="1414"/>
      <c r="AV545" s="1414"/>
      <c r="AW545" s="1414"/>
      <c r="AX545" s="1414"/>
      <c r="AY545" s="1399"/>
      <c r="AZ545" s="1399"/>
      <c r="BA545" s="1399"/>
      <c r="BB545" s="1399"/>
      <c r="BC545" s="1399"/>
      <c r="BD545" s="1399"/>
      <c r="BE545" s="1414"/>
      <c r="BF545" s="1399"/>
      <c r="BG545" s="1399"/>
      <c r="BH545" s="1399"/>
      <c r="BI545" s="1399"/>
      <c r="BJ545" s="1399"/>
      <c r="BK545" s="1399"/>
      <c r="BL545" s="1399"/>
      <c r="BM545" s="1399"/>
      <c r="BN545" s="1399"/>
      <c r="BO545" s="1399"/>
      <c r="BP545" s="1399"/>
      <c r="BQ545" s="1399"/>
      <c r="BR545" s="1399"/>
      <c r="BS545" s="1399"/>
      <c r="BT545" s="1399"/>
      <c r="BU545" s="2838"/>
      <c r="BV545" s="2838"/>
      <c r="BW545" s="2838"/>
      <c r="BX545" s="2838"/>
      <c r="BY545" s="2838"/>
      <c r="BZ545" s="2838"/>
      <c r="CA545" s="2838"/>
      <c r="CB545" s="2838"/>
      <c r="CC545" s="2838"/>
      <c r="CD545" s="2838"/>
      <c r="CE545" s="1399"/>
      <c r="CF545" s="1399"/>
      <c r="CG545" s="1399"/>
      <c r="CH545" s="1399"/>
      <c r="CI545" s="1399"/>
      <c r="CJ545" s="1399"/>
      <c r="CK545" s="1399"/>
      <c r="CL545" s="1399"/>
      <c r="CM545" s="1399"/>
      <c r="CN545" s="1399"/>
      <c r="CO545" s="1399"/>
      <c r="CP545" s="1399"/>
      <c r="CQ545" s="1399"/>
      <c r="CR545" s="1399"/>
      <c r="CS545" s="1399"/>
      <c r="CT545" s="1399"/>
      <c r="CU545" s="1399"/>
      <c r="CV545" s="1399"/>
      <c r="CW545" s="1399"/>
      <c r="CX545" s="1399"/>
      <c r="CY545" s="1399"/>
      <c r="CZ545" s="1399"/>
      <c r="DA545" s="1399"/>
      <c r="DB545" s="1399"/>
      <c r="DC545" s="1399"/>
      <c r="DD545" s="1399"/>
      <c r="DE545" s="1399"/>
      <c r="DF545" s="1399"/>
      <c r="DG545" s="1399"/>
      <c r="DH545" s="1399"/>
      <c r="DI545" s="1399"/>
      <c r="DJ545" s="1399"/>
      <c r="DK545" s="1399"/>
      <c r="DL545" s="1399"/>
      <c r="DM545" s="1399"/>
      <c r="DN545" s="1399"/>
      <c r="DO545" s="1399"/>
      <c r="DP545" s="1399"/>
      <c r="DQ545" s="1399"/>
      <c r="DR545" s="1399"/>
      <c r="DS545" s="1399"/>
      <c r="DT545" s="1399"/>
      <c r="DU545" s="1399"/>
    </row>
    <row r="546" spans="1:125">
      <c r="A546" s="1414"/>
      <c r="B546" s="1414"/>
      <c r="C546" s="1414"/>
      <c r="D546" s="1414"/>
      <c r="E546" s="1414"/>
      <c r="F546" s="1414"/>
      <c r="G546" s="1414"/>
      <c r="H546" s="1414"/>
      <c r="I546" s="1414"/>
      <c r="J546" s="1414"/>
      <c r="K546" s="1414"/>
      <c r="L546" s="1414"/>
      <c r="M546" s="1414"/>
      <c r="N546" s="1414"/>
      <c r="O546" s="1414"/>
      <c r="P546" s="1414"/>
      <c r="Q546" s="1414"/>
      <c r="R546" s="1414"/>
      <c r="S546" s="1414"/>
      <c r="T546" s="1414"/>
      <c r="U546" s="1414"/>
      <c r="V546" s="1414"/>
      <c r="W546" s="1414"/>
      <c r="X546" s="1414"/>
      <c r="Y546" s="1414"/>
      <c r="Z546" s="1414"/>
      <c r="AA546" s="1414"/>
      <c r="AB546" s="1414"/>
      <c r="AC546" s="1414"/>
      <c r="AD546" s="1414"/>
      <c r="AE546" s="1414"/>
      <c r="AF546" s="1414"/>
      <c r="AG546" s="1414"/>
      <c r="AH546" s="1414"/>
      <c r="AI546" s="1414"/>
      <c r="AJ546" s="1414"/>
      <c r="AK546" s="1414"/>
      <c r="AL546" s="1414"/>
      <c r="AM546" s="1414"/>
      <c r="AN546" s="1414"/>
      <c r="AO546" s="1414"/>
      <c r="AP546" s="1414"/>
      <c r="AQ546" s="1414"/>
      <c r="AR546" s="1414"/>
      <c r="AS546" s="1414"/>
      <c r="AT546" s="1414"/>
      <c r="AU546" s="1414"/>
      <c r="AV546" s="1414"/>
      <c r="AW546" s="1414"/>
      <c r="AX546" s="1414"/>
      <c r="AY546" s="1399"/>
      <c r="AZ546" s="1399"/>
      <c r="BA546" s="1399"/>
      <c r="BB546" s="1399"/>
      <c r="BC546" s="1399"/>
      <c r="BD546" s="1399"/>
      <c r="BE546" s="1414"/>
      <c r="BF546" s="1399"/>
      <c r="BG546" s="1399"/>
      <c r="BH546" s="1399"/>
      <c r="BI546" s="1399"/>
      <c r="BJ546" s="1399"/>
      <c r="BK546" s="1399"/>
      <c r="BL546" s="1399"/>
      <c r="BM546" s="1399"/>
      <c r="BN546" s="1399"/>
      <c r="BO546" s="1399"/>
      <c r="BP546" s="1399"/>
      <c r="BQ546" s="1399"/>
      <c r="BR546" s="1399"/>
      <c r="BS546" s="1399"/>
      <c r="BT546" s="1399"/>
      <c r="BU546" s="2838"/>
      <c r="BV546" s="2838"/>
      <c r="BW546" s="2838"/>
      <c r="BX546" s="2838"/>
      <c r="BY546" s="2838"/>
      <c r="BZ546" s="2838"/>
      <c r="CA546" s="2838"/>
      <c r="CB546" s="2838"/>
      <c r="CC546" s="2838"/>
      <c r="CD546" s="2838"/>
      <c r="CE546" s="1399"/>
      <c r="CF546" s="1399"/>
      <c r="CG546" s="1399"/>
      <c r="CH546" s="1399"/>
      <c r="CI546" s="1399"/>
      <c r="CJ546" s="1399"/>
      <c r="CK546" s="1399"/>
      <c r="CL546" s="1399"/>
      <c r="CM546" s="1399"/>
      <c r="CN546" s="1399"/>
      <c r="CO546" s="1399"/>
      <c r="CP546" s="1399"/>
      <c r="CQ546" s="1399"/>
      <c r="CR546" s="1399"/>
      <c r="CS546" s="1399"/>
      <c r="CT546" s="1399"/>
      <c r="CU546" s="1399"/>
      <c r="CV546" s="1399"/>
      <c r="CW546" s="1399"/>
      <c r="CX546" s="1399"/>
      <c r="CY546" s="1399"/>
      <c r="CZ546" s="1399"/>
      <c r="DA546" s="1399"/>
      <c r="DB546" s="1399"/>
      <c r="DC546" s="1399"/>
      <c r="DD546" s="1399"/>
      <c r="DE546" s="1399"/>
      <c r="DF546" s="1399"/>
      <c r="DG546" s="1399"/>
      <c r="DH546" s="1399"/>
      <c r="DI546" s="1399"/>
      <c r="DJ546" s="1399"/>
      <c r="DK546" s="1399"/>
      <c r="DL546" s="1399"/>
      <c r="DM546" s="1399"/>
      <c r="DN546" s="1399"/>
      <c r="DO546" s="1399"/>
      <c r="DP546" s="1399"/>
      <c r="DQ546" s="1399"/>
      <c r="DR546" s="1399"/>
      <c r="DS546" s="1399"/>
      <c r="DT546" s="1399"/>
      <c r="DU546" s="1399"/>
    </row>
    <row r="547" spans="1:125">
      <c r="A547" s="1414"/>
      <c r="B547" s="1414"/>
      <c r="C547" s="1414"/>
      <c r="D547" s="1414"/>
      <c r="E547" s="1414"/>
      <c r="F547" s="1414"/>
      <c r="G547" s="1414"/>
      <c r="H547" s="1414"/>
      <c r="I547" s="1414"/>
      <c r="J547" s="1414"/>
      <c r="K547" s="1414"/>
      <c r="L547" s="1414"/>
      <c r="M547" s="1414"/>
      <c r="N547" s="1414"/>
      <c r="O547" s="1414"/>
      <c r="P547" s="1414"/>
      <c r="Q547" s="1414"/>
      <c r="R547" s="1414"/>
      <c r="S547" s="1414"/>
      <c r="T547" s="1414"/>
      <c r="U547" s="1414"/>
      <c r="V547" s="1414"/>
      <c r="W547" s="1414"/>
      <c r="X547" s="1414"/>
      <c r="Y547" s="1414"/>
      <c r="Z547" s="1414"/>
      <c r="AA547" s="1414"/>
      <c r="AB547" s="1414"/>
      <c r="AC547" s="1414"/>
      <c r="AD547" s="1414"/>
      <c r="AE547" s="1414"/>
      <c r="AF547" s="1414"/>
      <c r="AG547" s="1414"/>
      <c r="AH547" s="1414"/>
      <c r="AI547" s="1414"/>
      <c r="AJ547" s="1414"/>
      <c r="AK547" s="1414"/>
      <c r="AL547" s="1414"/>
      <c r="AM547" s="1414"/>
      <c r="AN547" s="1414"/>
      <c r="AO547" s="1414"/>
      <c r="AP547" s="1414"/>
      <c r="AQ547" s="1414"/>
      <c r="AR547" s="1414"/>
      <c r="AS547" s="1414"/>
      <c r="AT547" s="1414"/>
      <c r="AU547" s="1414"/>
      <c r="AV547" s="1414"/>
      <c r="AW547" s="1414"/>
      <c r="AX547" s="1414"/>
      <c r="AY547" s="1399"/>
      <c r="AZ547" s="1399"/>
      <c r="BA547" s="1399"/>
      <c r="BB547" s="1399"/>
      <c r="BC547" s="1399"/>
      <c r="BD547" s="1399"/>
      <c r="BE547" s="1414"/>
      <c r="BF547" s="1399"/>
      <c r="BG547" s="1399"/>
      <c r="BH547" s="1399"/>
      <c r="BI547" s="1399"/>
      <c r="BJ547" s="1399"/>
      <c r="BK547" s="1399"/>
      <c r="BL547" s="1399"/>
      <c r="BM547" s="1399"/>
      <c r="BN547" s="1399"/>
      <c r="BO547" s="1399"/>
      <c r="BP547" s="1399"/>
      <c r="BQ547" s="1399"/>
      <c r="BR547" s="1399"/>
      <c r="BS547" s="1399"/>
      <c r="BT547" s="1399"/>
      <c r="BU547" s="2838"/>
      <c r="BV547" s="2838"/>
      <c r="BW547" s="2838"/>
      <c r="BX547" s="2838"/>
      <c r="BY547" s="2838"/>
      <c r="BZ547" s="2838"/>
      <c r="CA547" s="2838"/>
      <c r="CB547" s="2838"/>
      <c r="CC547" s="2838"/>
      <c r="CD547" s="2838"/>
      <c r="CE547" s="1399"/>
      <c r="CF547" s="1399"/>
      <c r="CG547" s="1399"/>
      <c r="CH547" s="1399"/>
      <c r="CI547" s="1399"/>
      <c r="CJ547" s="1399"/>
      <c r="CK547" s="1399"/>
      <c r="CL547" s="1399"/>
      <c r="CM547" s="1399"/>
      <c r="CN547" s="1399"/>
      <c r="CO547" s="1399"/>
      <c r="CP547" s="1399"/>
      <c r="CQ547" s="1399"/>
      <c r="CR547" s="1399"/>
      <c r="CS547" s="1399"/>
      <c r="CT547" s="1399"/>
      <c r="CU547" s="1399"/>
      <c r="CV547" s="1399"/>
      <c r="CW547" s="1399"/>
      <c r="CX547" s="1399"/>
      <c r="CY547" s="1399"/>
      <c r="CZ547" s="1399"/>
      <c r="DA547" s="1399"/>
      <c r="DB547" s="1399"/>
      <c r="DC547" s="1399"/>
      <c r="DD547" s="1399"/>
      <c r="DE547" s="1399"/>
      <c r="DF547" s="1399"/>
      <c r="DG547" s="1399"/>
      <c r="DH547" s="1399"/>
      <c r="DI547" s="1399"/>
      <c r="DJ547" s="1399"/>
      <c r="DK547" s="1399"/>
      <c r="DL547" s="1399"/>
      <c r="DM547" s="1399"/>
      <c r="DN547" s="1399"/>
      <c r="DO547" s="1399"/>
      <c r="DP547" s="1399"/>
      <c r="DQ547" s="1399"/>
      <c r="DR547" s="1399"/>
      <c r="DS547" s="1399"/>
      <c r="DT547" s="1399"/>
      <c r="DU547" s="1399"/>
    </row>
    <row r="548" spans="1:125">
      <c r="A548" s="1414"/>
      <c r="B548" s="1414"/>
      <c r="C548" s="1414"/>
      <c r="D548" s="1414"/>
      <c r="E548" s="1414"/>
      <c r="F548" s="1414"/>
      <c r="G548" s="1414"/>
      <c r="H548" s="1414"/>
      <c r="I548" s="1414"/>
      <c r="J548" s="1414"/>
      <c r="K548" s="1414"/>
      <c r="L548" s="1414"/>
      <c r="M548" s="1414"/>
      <c r="N548" s="1414"/>
      <c r="O548" s="1414"/>
      <c r="P548" s="1414"/>
      <c r="Q548" s="1414"/>
      <c r="R548" s="1414"/>
      <c r="S548" s="1414"/>
      <c r="T548" s="1414"/>
      <c r="U548" s="1414"/>
      <c r="V548" s="1414"/>
      <c r="W548" s="1414"/>
      <c r="X548" s="1414"/>
      <c r="Y548" s="1414"/>
      <c r="Z548" s="1414"/>
      <c r="AA548" s="1414"/>
      <c r="AB548" s="1414"/>
      <c r="AC548" s="1414"/>
      <c r="AD548" s="1414"/>
      <c r="AE548" s="1414"/>
      <c r="AF548" s="1414"/>
      <c r="AG548" s="1414"/>
      <c r="AH548" s="1414"/>
      <c r="AI548" s="1414"/>
      <c r="AJ548" s="1414"/>
      <c r="AK548" s="1414"/>
      <c r="AL548" s="1414"/>
      <c r="AM548" s="1414"/>
      <c r="AN548" s="1414"/>
      <c r="AO548" s="1414"/>
      <c r="AP548" s="1414"/>
      <c r="AQ548" s="1414"/>
      <c r="AR548" s="1414"/>
      <c r="AS548" s="1414"/>
      <c r="AT548" s="1414"/>
      <c r="AU548" s="1414"/>
      <c r="AV548" s="1414"/>
      <c r="AW548" s="1414"/>
      <c r="AX548" s="1414"/>
      <c r="AY548" s="1399"/>
      <c r="AZ548" s="1399"/>
      <c r="BA548" s="1399"/>
      <c r="BB548" s="1399"/>
      <c r="BC548" s="1399"/>
      <c r="BD548" s="1399"/>
      <c r="BE548" s="1414"/>
      <c r="BF548" s="1399"/>
      <c r="BG548" s="1399"/>
      <c r="BH548" s="1399"/>
      <c r="BI548" s="1399"/>
      <c r="BJ548" s="1399"/>
      <c r="BK548" s="1399"/>
      <c r="BL548" s="1399"/>
      <c r="BM548" s="1399"/>
      <c r="BN548" s="1399"/>
      <c r="BO548" s="1399"/>
      <c r="BP548" s="1399"/>
      <c r="BQ548" s="1399"/>
      <c r="BR548" s="1399"/>
      <c r="BS548" s="1399"/>
      <c r="BT548" s="1399"/>
      <c r="BU548" s="2838"/>
      <c r="BV548" s="2838"/>
      <c r="BW548" s="2838"/>
      <c r="BX548" s="2838"/>
      <c r="BY548" s="2838"/>
      <c r="BZ548" s="2838"/>
      <c r="CA548" s="2838"/>
      <c r="CB548" s="2838"/>
      <c r="CC548" s="2838"/>
      <c r="CD548" s="2838"/>
      <c r="CE548" s="1399"/>
      <c r="CF548" s="1399"/>
      <c r="CG548" s="1399"/>
      <c r="CH548" s="1399"/>
      <c r="CI548" s="1399"/>
      <c r="CJ548" s="1399"/>
      <c r="CK548" s="1399"/>
      <c r="CL548" s="1399"/>
      <c r="CM548" s="1399"/>
      <c r="CN548" s="1399"/>
      <c r="CO548" s="1399"/>
      <c r="CP548" s="1399"/>
      <c r="CQ548" s="1399"/>
      <c r="CR548" s="1399"/>
      <c r="CS548" s="1399"/>
      <c r="CT548" s="1399"/>
      <c r="CU548" s="1399"/>
      <c r="CV548" s="1399"/>
      <c r="CW548" s="1399"/>
      <c r="CX548" s="1399"/>
      <c r="CY548" s="1399"/>
      <c r="CZ548" s="1399"/>
      <c r="DA548" s="1399"/>
      <c r="DB548" s="1399"/>
      <c r="DC548" s="1399"/>
      <c r="DD548" s="1399"/>
      <c r="DE548" s="1399"/>
      <c r="DF548" s="1399"/>
      <c r="DG548" s="1399"/>
      <c r="DH548" s="1399"/>
      <c r="DI548" s="1399"/>
      <c r="DJ548" s="1399"/>
      <c r="DK548" s="1399"/>
      <c r="DL548" s="1399"/>
      <c r="DM548" s="1399"/>
      <c r="DN548" s="1399"/>
      <c r="DO548" s="1399"/>
      <c r="DP548" s="1399"/>
      <c r="DQ548" s="1399"/>
      <c r="DR548" s="1399"/>
      <c r="DS548" s="1399"/>
      <c r="DT548" s="1399"/>
      <c r="DU548" s="1399"/>
    </row>
    <row r="549" spans="1:125">
      <c r="A549" s="1414"/>
      <c r="B549" s="1414"/>
      <c r="C549" s="1414"/>
      <c r="D549" s="1414"/>
      <c r="E549" s="1414"/>
      <c r="F549" s="1414"/>
      <c r="G549" s="1414"/>
      <c r="H549" s="1414"/>
      <c r="I549" s="1414"/>
      <c r="J549" s="1414"/>
      <c r="K549" s="1414"/>
      <c r="L549" s="1414"/>
      <c r="M549" s="1414"/>
      <c r="N549" s="1414"/>
      <c r="O549" s="1414"/>
      <c r="P549" s="1414"/>
      <c r="Q549" s="1414"/>
      <c r="R549" s="1414"/>
      <c r="S549" s="1414"/>
      <c r="T549" s="1414"/>
      <c r="U549" s="1414"/>
      <c r="V549" s="1414"/>
      <c r="W549" s="1414"/>
      <c r="X549" s="1414"/>
      <c r="Y549" s="1414"/>
      <c r="Z549" s="1414"/>
      <c r="AA549" s="1414"/>
      <c r="AB549" s="1414"/>
      <c r="AC549" s="1414"/>
      <c r="AD549" s="1414"/>
      <c r="AE549" s="1414"/>
      <c r="AF549" s="1414"/>
      <c r="AG549" s="1414"/>
      <c r="AH549" s="1414"/>
      <c r="AI549" s="1414"/>
      <c r="AJ549" s="1414"/>
      <c r="AK549" s="1414"/>
      <c r="AL549" s="1414"/>
      <c r="AM549" s="1414"/>
      <c r="AN549" s="1414"/>
      <c r="AO549" s="1414"/>
      <c r="AP549" s="1414"/>
      <c r="AQ549" s="1414"/>
      <c r="AR549" s="1414"/>
      <c r="AS549" s="1414"/>
      <c r="AT549" s="1414"/>
      <c r="AU549" s="1414"/>
      <c r="AV549" s="1414"/>
      <c r="AW549" s="1414"/>
      <c r="AX549" s="1414"/>
      <c r="AY549" s="1399"/>
      <c r="AZ549" s="1399"/>
      <c r="BA549" s="1399"/>
      <c r="BB549" s="1399"/>
      <c r="BC549" s="1399"/>
      <c r="BD549" s="1399"/>
      <c r="BE549" s="1414"/>
      <c r="BF549" s="1399"/>
      <c r="BG549" s="1399"/>
      <c r="BH549" s="1399"/>
      <c r="BI549" s="1399"/>
      <c r="BJ549" s="1399"/>
      <c r="BK549" s="1399"/>
      <c r="BL549" s="1399"/>
      <c r="BM549" s="1399"/>
      <c r="BN549" s="1399"/>
      <c r="BO549" s="1399"/>
      <c r="BP549" s="1399"/>
      <c r="BQ549" s="1399"/>
      <c r="BR549" s="1399"/>
      <c r="BS549" s="1399"/>
      <c r="BT549" s="1399"/>
      <c r="BU549" s="2838"/>
      <c r="BV549" s="2838"/>
      <c r="BW549" s="2838"/>
      <c r="BX549" s="2838"/>
      <c r="BY549" s="2838"/>
      <c r="BZ549" s="2838"/>
      <c r="CA549" s="2838"/>
      <c r="CB549" s="2838"/>
      <c r="CC549" s="2838"/>
      <c r="CD549" s="2838"/>
      <c r="CE549" s="1399"/>
      <c r="CF549" s="1399"/>
      <c r="CG549" s="1399"/>
      <c r="CH549" s="1399"/>
      <c r="CI549" s="1399"/>
      <c r="CJ549" s="1399"/>
      <c r="CK549" s="1399"/>
      <c r="CL549" s="1399"/>
      <c r="CM549" s="1399"/>
      <c r="CN549" s="1399"/>
      <c r="CO549" s="1399"/>
      <c r="CP549" s="1399"/>
      <c r="CQ549" s="1399"/>
      <c r="CR549" s="1399"/>
      <c r="CS549" s="1399"/>
      <c r="CT549" s="1399"/>
      <c r="CU549" s="1399"/>
      <c r="CV549" s="1399"/>
      <c r="CW549" s="1399"/>
      <c r="CX549" s="1399"/>
      <c r="CY549" s="1399"/>
      <c r="CZ549" s="1399"/>
      <c r="DA549" s="1399"/>
      <c r="DB549" s="1399"/>
      <c r="DC549" s="1399"/>
      <c r="DD549" s="1399"/>
      <c r="DE549" s="1399"/>
      <c r="DF549" s="1399"/>
      <c r="DG549" s="1399"/>
      <c r="DH549" s="1399"/>
      <c r="DI549" s="1399"/>
      <c r="DJ549" s="1399"/>
      <c r="DK549" s="1399"/>
      <c r="DL549" s="1399"/>
      <c r="DM549" s="1399"/>
      <c r="DN549" s="1399"/>
      <c r="DO549" s="1399"/>
      <c r="DP549" s="1399"/>
      <c r="DQ549" s="1399"/>
      <c r="DR549" s="1399"/>
      <c r="DS549" s="1399"/>
      <c r="DT549" s="1399"/>
      <c r="DU549" s="1399"/>
    </row>
    <row r="550" spans="1:125">
      <c r="A550" s="1414"/>
      <c r="B550" s="1414"/>
      <c r="C550" s="1414"/>
      <c r="D550" s="1414"/>
      <c r="E550" s="1414"/>
      <c r="F550" s="1414"/>
      <c r="G550" s="1414"/>
      <c r="H550" s="1414"/>
      <c r="I550" s="1414"/>
      <c r="J550" s="1414"/>
      <c r="K550" s="1414"/>
      <c r="L550" s="1414"/>
      <c r="M550" s="1414"/>
      <c r="N550" s="1414"/>
      <c r="O550" s="1414"/>
      <c r="P550" s="1414"/>
      <c r="Q550" s="1414"/>
      <c r="R550" s="1414"/>
      <c r="S550" s="1414"/>
      <c r="T550" s="1414"/>
      <c r="U550" s="1414"/>
      <c r="V550" s="1414"/>
      <c r="W550" s="1414"/>
      <c r="X550" s="1414"/>
      <c r="Y550" s="1414"/>
      <c r="Z550" s="1414"/>
      <c r="AA550" s="1414"/>
      <c r="AB550" s="1414"/>
      <c r="AC550" s="1414"/>
      <c r="AD550" s="1414"/>
      <c r="AE550" s="1414"/>
      <c r="AF550" s="1414"/>
      <c r="AG550" s="1414"/>
      <c r="AH550" s="1414"/>
      <c r="AI550" s="1414"/>
      <c r="AJ550" s="1414"/>
      <c r="AK550" s="1414"/>
      <c r="AL550" s="1414"/>
      <c r="AM550" s="1414"/>
      <c r="AN550" s="1414"/>
      <c r="AO550" s="1414"/>
      <c r="AP550" s="1414"/>
      <c r="AQ550" s="1414"/>
      <c r="AR550" s="1414"/>
      <c r="AS550" s="1414"/>
      <c r="AT550" s="1414"/>
      <c r="AU550" s="1414"/>
      <c r="AV550" s="1414"/>
      <c r="AW550" s="1414"/>
      <c r="AX550" s="1414"/>
      <c r="AY550" s="1399"/>
      <c r="AZ550" s="1399"/>
      <c r="BA550" s="1399"/>
      <c r="BB550" s="1399"/>
      <c r="BC550" s="1399"/>
      <c r="BD550" s="1399"/>
      <c r="BE550" s="1414"/>
      <c r="BF550" s="1399"/>
      <c r="BG550" s="1399"/>
      <c r="BH550" s="1399"/>
      <c r="BI550" s="1399"/>
      <c r="BJ550" s="1399"/>
      <c r="BK550" s="1399"/>
      <c r="BL550" s="1399"/>
      <c r="BM550" s="1399"/>
      <c r="BN550" s="1399"/>
      <c r="BO550" s="1399"/>
      <c r="BP550" s="1399"/>
      <c r="BQ550" s="1399"/>
      <c r="BR550" s="1399"/>
      <c r="BS550" s="1399"/>
      <c r="BT550" s="1399"/>
      <c r="BU550" s="2838"/>
      <c r="BV550" s="2838"/>
      <c r="BW550" s="2838"/>
      <c r="BX550" s="2838"/>
      <c r="BY550" s="2838"/>
      <c r="BZ550" s="2838"/>
      <c r="CA550" s="2838"/>
      <c r="CB550" s="2838"/>
      <c r="CC550" s="2838"/>
      <c r="CD550" s="2838"/>
      <c r="CE550" s="1399"/>
      <c r="CF550" s="1399"/>
      <c r="CG550" s="1399"/>
      <c r="CH550" s="1399"/>
      <c r="CI550" s="1399"/>
      <c r="CJ550" s="1399"/>
      <c r="CK550" s="1399"/>
      <c r="CL550" s="1399"/>
      <c r="CM550" s="1399"/>
      <c r="CN550" s="1399"/>
      <c r="CO550" s="1399"/>
      <c r="CP550" s="1399"/>
      <c r="CQ550" s="1399"/>
      <c r="CR550" s="1399"/>
      <c r="CS550" s="1399"/>
      <c r="CT550" s="1399"/>
      <c r="CU550" s="1399"/>
      <c r="CV550" s="1399"/>
      <c r="CW550" s="1399"/>
      <c r="CX550" s="1399"/>
      <c r="CY550" s="1399"/>
      <c r="CZ550" s="1399"/>
      <c r="DA550" s="1399"/>
      <c r="DB550" s="1399"/>
      <c r="DC550" s="1399"/>
      <c r="DD550" s="1399"/>
      <c r="DE550" s="1399"/>
      <c r="DF550" s="1399"/>
      <c r="DG550" s="1399"/>
      <c r="DH550" s="1399"/>
      <c r="DI550" s="1399"/>
      <c r="DJ550" s="1399"/>
      <c r="DK550" s="1399"/>
      <c r="DL550" s="1399"/>
      <c r="DM550" s="1399"/>
      <c r="DN550" s="1399"/>
      <c r="DO550" s="1399"/>
      <c r="DP550" s="1399"/>
      <c r="DQ550" s="1399"/>
      <c r="DR550" s="1399"/>
      <c r="DS550" s="1399"/>
      <c r="DT550" s="1399"/>
      <c r="DU550" s="1399"/>
    </row>
    <row r="551" spans="1:125">
      <c r="A551" s="1414"/>
      <c r="B551" s="1414"/>
      <c r="C551" s="1414"/>
      <c r="D551" s="1414"/>
      <c r="E551" s="1414"/>
      <c r="F551" s="1414"/>
      <c r="G551" s="1414"/>
      <c r="H551" s="1414"/>
      <c r="I551" s="1414"/>
      <c r="J551" s="1414"/>
      <c r="K551" s="1414"/>
      <c r="L551" s="1414"/>
      <c r="M551" s="1414"/>
      <c r="N551" s="1414"/>
      <c r="O551" s="1414"/>
      <c r="P551" s="1414"/>
      <c r="Q551" s="1414"/>
      <c r="R551" s="1414"/>
      <c r="S551" s="1414"/>
      <c r="T551" s="1414"/>
      <c r="U551" s="1414"/>
      <c r="V551" s="1414"/>
      <c r="W551" s="1414"/>
      <c r="X551" s="1414"/>
      <c r="Y551" s="1414"/>
      <c r="Z551" s="1414"/>
      <c r="AA551" s="1414"/>
      <c r="AB551" s="1414"/>
      <c r="AC551" s="1414"/>
      <c r="AD551" s="1414"/>
      <c r="AE551" s="1414"/>
      <c r="AF551" s="1414"/>
      <c r="AG551" s="1414"/>
      <c r="AH551" s="1414"/>
      <c r="AI551" s="1414"/>
      <c r="AJ551" s="1414"/>
      <c r="AK551" s="1414"/>
      <c r="AL551" s="1414"/>
      <c r="AM551" s="1414"/>
      <c r="AN551" s="1414"/>
      <c r="AO551" s="1414"/>
      <c r="AP551" s="1414"/>
      <c r="AQ551" s="1414"/>
      <c r="AR551" s="1414"/>
      <c r="AS551" s="1414"/>
      <c r="AT551" s="1414"/>
      <c r="AU551" s="1414"/>
      <c r="AV551" s="1414"/>
      <c r="AW551" s="1414"/>
      <c r="AX551" s="1414"/>
      <c r="AY551" s="1399"/>
      <c r="AZ551" s="1399"/>
      <c r="BA551" s="1399"/>
      <c r="BB551" s="1399"/>
      <c r="BC551" s="1399"/>
      <c r="BD551" s="1399"/>
      <c r="BE551" s="1414"/>
      <c r="BF551" s="1399"/>
      <c r="BG551" s="1399"/>
      <c r="BH551" s="1399"/>
      <c r="BI551" s="1399"/>
      <c r="BJ551" s="1399"/>
      <c r="BK551" s="1399"/>
      <c r="BL551" s="1399"/>
      <c r="BM551" s="1399"/>
      <c r="BN551" s="1399"/>
      <c r="BO551" s="1399"/>
      <c r="BP551" s="1399"/>
      <c r="BQ551" s="1399"/>
      <c r="BR551" s="1399"/>
      <c r="BS551" s="1399"/>
      <c r="BT551" s="1399"/>
      <c r="BU551" s="2838"/>
      <c r="BV551" s="2838"/>
      <c r="BW551" s="2838"/>
      <c r="BX551" s="2838"/>
      <c r="BY551" s="2838"/>
      <c r="BZ551" s="2838"/>
      <c r="CA551" s="2838"/>
      <c r="CB551" s="2838"/>
      <c r="CC551" s="2838"/>
      <c r="CD551" s="2838"/>
      <c r="CE551" s="1399"/>
      <c r="CF551" s="1399"/>
      <c r="CG551" s="1399"/>
      <c r="CH551" s="1399"/>
      <c r="CI551" s="1399"/>
      <c r="CJ551" s="1399"/>
      <c r="CK551" s="1399"/>
      <c r="CL551" s="1399"/>
      <c r="CM551" s="1399"/>
      <c r="CN551" s="1399"/>
      <c r="CO551" s="1399"/>
      <c r="CP551" s="1399"/>
      <c r="CQ551" s="1399"/>
      <c r="CR551" s="1399"/>
      <c r="CS551" s="1399"/>
      <c r="CT551" s="1399"/>
      <c r="CU551" s="1399"/>
      <c r="CV551" s="1399"/>
      <c r="CW551" s="1399"/>
      <c r="CX551" s="1399"/>
      <c r="CY551" s="1399"/>
      <c r="CZ551" s="1399"/>
      <c r="DA551" s="1399"/>
      <c r="DB551" s="1399"/>
      <c r="DC551" s="1399"/>
      <c r="DD551" s="1399"/>
      <c r="DE551" s="1399"/>
      <c r="DF551" s="1399"/>
      <c r="DG551" s="1399"/>
      <c r="DH551" s="1399"/>
      <c r="DI551" s="1399"/>
      <c r="DJ551" s="1399"/>
      <c r="DK551" s="1399"/>
      <c r="DL551" s="1399"/>
      <c r="DM551" s="1399"/>
      <c r="DN551" s="1399"/>
      <c r="DO551" s="1399"/>
      <c r="DP551" s="1399"/>
      <c r="DQ551" s="1399"/>
      <c r="DR551" s="1399"/>
      <c r="DS551" s="1399"/>
      <c r="DT551" s="1399"/>
      <c r="DU551" s="1399"/>
    </row>
    <row r="552" spans="1:125">
      <c r="A552" s="1414"/>
      <c r="B552" s="1414"/>
      <c r="C552" s="1414"/>
      <c r="D552" s="1414"/>
      <c r="E552" s="1414"/>
      <c r="F552" s="1414"/>
      <c r="G552" s="1414"/>
      <c r="H552" s="1414"/>
      <c r="I552" s="1414"/>
      <c r="J552" s="1414"/>
      <c r="K552" s="1414"/>
      <c r="L552" s="1414"/>
      <c r="M552" s="1414"/>
      <c r="N552" s="1414"/>
      <c r="O552" s="1414"/>
      <c r="P552" s="1414"/>
      <c r="Q552" s="1414"/>
      <c r="R552" s="1414"/>
      <c r="S552" s="1414"/>
      <c r="T552" s="1414"/>
      <c r="U552" s="1414"/>
      <c r="V552" s="1414"/>
      <c r="W552" s="1414"/>
      <c r="X552" s="1414"/>
      <c r="Y552" s="1414"/>
      <c r="Z552" s="1414"/>
      <c r="AA552" s="1414"/>
      <c r="AB552" s="1414"/>
      <c r="AC552" s="1414"/>
      <c r="AD552" s="1414"/>
      <c r="AE552" s="1414"/>
      <c r="AF552" s="1414"/>
      <c r="AG552" s="1414"/>
      <c r="AH552" s="1414"/>
      <c r="AI552" s="1414"/>
      <c r="AJ552" s="1414"/>
      <c r="AK552" s="1414"/>
      <c r="AL552" s="1414"/>
      <c r="AM552" s="1414"/>
      <c r="AN552" s="1414"/>
      <c r="AO552" s="1414"/>
      <c r="AP552" s="1414"/>
      <c r="AQ552" s="1414"/>
      <c r="AR552" s="1414"/>
      <c r="AS552" s="1414"/>
      <c r="AT552" s="1414"/>
      <c r="AU552" s="1414"/>
      <c r="AV552" s="1414"/>
      <c r="AW552" s="1414"/>
      <c r="AX552" s="1414"/>
      <c r="AY552" s="1399"/>
      <c r="AZ552" s="1399"/>
      <c r="BA552" s="1399"/>
      <c r="BB552" s="1399"/>
      <c r="BC552" s="1399"/>
      <c r="BD552" s="1399"/>
      <c r="BE552" s="1414"/>
      <c r="BF552" s="1399"/>
      <c r="BG552" s="1399"/>
      <c r="BH552" s="1399"/>
      <c r="BI552" s="1399"/>
      <c r="BJ552" s="1399"/>
      <c r="BK552" s="1399"/>
      <c r="BL552" s="1399"/>
      <c r="BM552" s="1399"/>
      <c r="BN552" s="1399"/>
      <c r="BO552" s="1399"/>
      <c r="BP552" s="1399"/>
      <c r="BQ552" s="1399"/>
      <c r="BR552" s="1399"/>
      <c r="BS552" s="1399"/>
      <c r="BT552" s="1399"/>
      <c r="BU552" s="2838"/>
      <c r="BV552" s="2838"/>
      <c r="BW552" s="2838"/>
      <c r="BX552" s="2838"/>
      <c r="BY552" s="2838"/>
      <c r="BZ552" s="2838"/>
      <c r="CA552" s="2838"/>
      <c r="CB552" s="2838"/>
      <c r="CC552" s="2838"/>
      <c r="CD552" s="2838"/>
      <c r="CE552" s="1399"/>
      <c r="CF552" s="1399"/>
      <c r="CG552" s="1399"/>
      <c r="CH552" s="1399"/>
      <c r="CI552" s="1399"/>
      <c r="CJ552" s="1399"/>
      <c r="CK552" s="1399"/>
      <c r="CL552" s="1399"/>
      <c r="CM552" s="1399"/>
      <c r="CN552" s="1399"/>
      <c r="CO552" s="1399"/>
      <c r="CP552" s="1399"/>
      <c r="CQ552" s="1399"/>
      <c r="CR552" s="1399"/>
      <c r="CS552" s="1399"/>
      <c r="CT552" s="1399"/>
      <c r="CU552" s="1399"/>
      <c r="CV552" s="1399"/>
      <c r="CW552" s="1399"/>
      <c r="CX552" s="1399"/>
      <c r="CY552" s="1399"/>
      <c r="CZ552" s="1399"/>
      <c r="DA552" s="1399"/>
      <c r="DB552" s="1399"/>
      <c r="DC552" s="1399"/>
      <c r="DD552" s="1399"/>
      <c r="DE552" s="1399"/>
      <c r="DF552" s="1399"/>
      <c r="DG552" s="1399"/>
      <c r="DH552" s="1399"/>
      <c r="DI552" s="1399"/>
      <c r="DJ552" s="1399"/>
      <c r="DK552" s="1399"/>
      <c r="DL552" s="1399"/>
      <c r="DM552" s="1399"/>
      <c r="DN552" s="1399"/>
      <c r="DO552" s="1399"/>
      <c r="DP552" s="1399"/>
      <c r="DQ552" s="1399"/>
      <c r="DR552" s="1399"/>
      <c r="DS552" s="1399"/>
      <c r="DT552" s="1399"/>
      <c r="DU552" s="1399"/>
    </row>
    <row r="553" spans="1:125">
      <c r="A553" s="1414"/>
      <c r="B553" s="1414"/>
      <c r="C553" s="1414"/>
      <c r="D553" s="1414"/>
      <c r="E553" s="1414"/>
      <c r="F553" s="1414"/>
      <c r="G553" s="1414"/>
      <c r="H553" s="1414"/>
      <c r="I553" s="1414"/>
      <c r="J553" s="1414"/>
      <c r="K553" s="1414"/>
      <c r="L553" s="1414"/>
      <c r="M553" s="1414"/>
      <c r="N553" s="1414"/>
      <c r="O553" s="1414"/>
      <c r="P553" s="1414"/>
      <c r="Q553" s="1414"/>
      <c r="R553" s="1414"/>
      <c r="S553" s="1414"/>
      <c r="T553" s="1414"/>
      <c r="U553" s="1414"/>
      <c r="V553" s="1414"/>
      <c r="W553" s="1414"/>
      <c r="X553" s="1414"/>
      <c r="Y553" s="1414"/>
      <c r="Z553" s="1414"/>
      <c r="AA553" s="1414"/>
      <c r="AB553" s="1414"/>
      <c r="AC553" s="1414"/>
      <c r="AD553" s="1414"/>
      <c r="AE553" s="1414"/>
      <c r="AF553" s="1414"/>
      <c r="AG553" s="1414"/>
      <c r="AH553" s="1414"/>
      <c r="AI553" s="1414"/>
      <c r="AJ553" s="1414"/>
      <c r="AK553" s="1414"/>
      <c r="AL553" s="1414"/>
      <c r="AM553" s="1414"/>
      <c r="AN553" s="1414"/>
      <c r="AO553" s="1414"/>
      <c r="AP553" s="1414"/>
      <c r="AQ553" s="1414"/>
      <c r="AR553" s="1414"/>
      <c r="AS553" s="1414"/>
      <c r="AT553" s="1414"/>
      <c r="AU553" s="1414"/>
      <c r="AV553" s="1414"/>
      <c r="AW553" s="1414"/>
      <c r="AX553" s="1414"/>
      <c r="AY553" s="1399"/>
      <c r="AZ553" s="1399"/>
      <c r="BA553" s="1399"/>
      <c r="BB553" s="1399"/>
      <c r="BC553" s="1399"/>
      <c r="BD553" s="1399"/>
      <c r="BE553" s="1414"/>
      <c r="BF553" s="1399"/>
      <c r="BG553" s="1399"/>
      <c r="BH553" s="1399"/>
      <c r="BI553" s="1399"/>
      <c r="BJ553" s="1399"/>
      <c r="BK553" s="1399"/>
      <c r="BL553" s="1399"/>
      <c r="BM553" s="1399"/>
      <c r="BN553" s="1399"/>
      <c r="BO553" s="1399"/>
      <c r="BP553" s="1399"/>
      <c r="BQ553" s="1399"/>
      <c r="BR553" s="1399"/>
      <c r="BS553" s="1399"/>
      <c r="BT553" s="1399"/>
      <c r="BU553" s="2838"/>
      <c r="BV553" s="2838"/>
      <c r="BW553" s="2838"/>
      <c r="BX553" s="2838"/>
      <c r="BY553" s="2838"/>
      <c r="BZ553" s="2838"/>
      <c r="CA553" s="2838"/>
      <c r="CB553" s="2838"/>
      <c r="CC553" s="2838"/>
      <c r="CD553" s="2838"/>
      <c r="CE553" s="1399"/>
      <c r="CF553" s="1399"/>
      <c r="CG553" s="1399"/>
      <c r="CH553" s="1399"/>
      <c r="CI553" s="1399"/>
      <c r="CJ553" s="1399"/>
      <c r="CK553" s="1399"/>
      <c r="CL553" s="1399"/>
      <c r="CM553" s="1399"/>
      <c r="CN553" s="1399"/>
      <c r="CO553" s="1399"/>
      <c r="CP553" s="1399"/>
      <c r="CQ553" s="1399"/>
      <c r="CR553" s="1399"/>
      <c r="CS553" s="1399"/>
      <c r="CT553" s="1399"/>
      <c r="CU553" s="1399"/>
      <c r="CV553" s="1399"/>
      <c r="CW553" s="1399"/>
      <c r="CX553" s="1399"/>
      <c r="CY553" s="1399"/>
      <c r="CZ553" s="1399"/>
      <c r="DA553" s="1399"/>
      <c r="DB553" s="1399"/>
      <c r="DC553" s="1399"/>
      <c r="DD553" s="1399"/>
      <c r="DE553" s="1399"/>
      <c r="DF553" s="1399"/>
      <c r="DG553" s="1399"/>
      <c r="DH553" s="1399"/>
      <c r="DI553" s="1399"/>
      <c r="DJ553" s="1399"/>
      <c r="DK553" s="1399"/>
      <c r="DL553" s="1399"/>
      <c r="DM553" s="1399"/>
      <c r="DN553" s="1399"/>
      <c r="DO553" s="1399"/>
      <c r="DP553" s="1399"/>
      <c r="DQ553" s="1399"/>
      <c r="DR553" s="1399"/>
      <c r="DS553" s="1399"/>
      <c r="DT553" s="1399"/>
      <c r="DU553" s="1399"/>
    </row>
    <row r="554" spans="1:125">
      <c r="A554" s="1414"/>
      <c r="B554" s="1414"/>
      <c r="C554" s="1414"/>
      <c r="D554" s="1414"/>
      <c r="E554" s="1414"/>
      <c r="F554" s="1414"/>
      <c r="G554" s="1414"/>
      <c r="H554" s="1414"/>
      <c r="I554" s="1414"/>
      <c r="J554" s="1414"/>
      <c r="K554" s="1414"/>
      <c r="L554" s="1414"/>
      <c r="M554" s="1414"/>
      <c r="N554" s="1414"/>
      <c r="O554" s="1414"/>
      <c r="P554" s="1414"/>
      <c r="Q554" s="1414"/>
      <c r="R554" s="1414"/>
      <c r="S554" s="1414"/>
      <c r="T554" s="1414"/>
      <c r="U554" s="1414"/>
      <c r="V554" s="1414"/>
      <c r="W554" s="1414"/>
      <c r="X554" s="1414"/>
      <c r="Y554" s="1414"/>
      <c r="Z554" s="1414"/>
      <c r="AA554" s="1414"/>
      <c r="AB554" s="1414"/>
      <c r="AC554" s="1414"/>
      <c r="AD554" s="1414"/>
      <c r="AE554" s="1414"/>
      <c r="AF554" s="1414"/>
      <c r="AG554" s="1414"/>
      <c r="AH554" s="1414"/>
      <c r="AI554" s="1414"/>
      <c r="AJ554" s="1414"/>
      <c r="AK554" s="1414"/>
      <c r="AL554" s="1414"/>
      <c r="AM554" s="1414"/>
      <c r="AN554" s="1414"/>
      <c r="AO554" s="1414"/>
      <c r="AP554" s="1414"/>
      <c r="AQ554" s="1414"/>
      <c r="AR554" s="1414"/>
      <c r="AS554" s="1414"/>
      <c r="AT554" s="1414"/>
      <c r="AU554" s="1414"/>
      <c r="AV554" s="1414"/>
      <c r="AW554" s="1414"/>
      <c r="AX554" s="1414"/>
      <c r="AY554" s="1399"/>
      <c r="AZ554" s="1399"/>
      <c r="BA554" s="1399"/>
      <c r="BB554" s="1399"/>
      <c r="BC554" s="1399"/>
      <c r="BD554" s="1399"/>
      <c r="BE554" s="1414"/>
      <c r="BF554" s="1399"/>
      <c r="BG554" s="1399"/>
      <c r="BH554" s="1399"/>
      <c r="BI554" s="1399"/>
      <c r="BJ554" s="1399"/>
      <c r="BK554" s="1399"/>
      <c r="BL554" s="1399"/>
      <c r="BM554" s="1399"/>
      <c r="BN554" s="1399"/>
      <c r="BO554" s="1399"/>
      <c r="BP554" s="1399"/>
      <c r="BQ554" s="1399"/>
      <c r="BR554" s="1399"/>
      <c r="BS554" s="1399"/>
      <c r="BT554" s="1399"/>
      <c r="BU554" s="2838"/>
      <c r="BV554" s="2838"/>
      <c r="BW554" s="2838"/>
      <c r="BX554" s="2838"/>
      <c r="BY554" s="2838"/>
      <c r="BZ554" s="2838"/>
      <c r="CA554" s="2838"/>
      <c r="CB554" s="2838"/>
      <c r="CC554" s="2838"/>
      <c r="CD554" s="2838"/>
      <c r="CE554" s="1399"/>
      <c r="CF554" s="1399"/>
      <c r="CG554" s="1399"/>
      <c r="CH554" s="1399"/>
      <c r="CI554" s="1399"/>
      <c r="CJ554" s="1399"/>
      <c r="CK554" s="1399"/>
      <c r="CL554" s="1399"/>
      <c r="CM554" s="1399"/>
      <c r="CN554" s="1399"/>
      <c r="CO554" s="1399"/>
      <c r="CP554" s="1399"/>
      <c r="CQ554" s="1399"/>
      <c r="CR554" s="1399"/>
      <c r="CS554" s="1399"/>
      <c r="CT554" s="1399"/>
      <c r="CU554" s="1399"/>
      <c r="CV554" s="1399"/>
      <c r="CW554" s="1399"/>
      <c r="CX554" s="1399"/>
      <c r="CY554" s="1399"/>
      <c r="CZ554" s="1399"/>
      <c r="DA554" s="1399"/>
      <c r="DB554" s="1399"/>
      <c r="DC554" s="1399"/>
      <c r="DD554" s="1399"/>
      <c r="DE554" s="1399"/>
      <c r="DF554" s="1399"/>
      <c r="DG554" s="1399"/>
      <c r="DH554" s="1399"/>
      <c r="DI554" s="1399"/>
      <c r="DJ554" s="1399"/>
      <c r="DK554" s="1399"/>
      <c r="DL554" s="1399"/>
      <c r="DM554" s="1399"/>
      <c r="DN554" s="1399"/>
      <c r="DO554" s="1399"/>
      <c r="DP554" s="1399"/>
      <c r="DQ554" s="1399"/>
      <c r="DR554" s="1399"/>
      <c r="DS554" s="1399"/>
      <c r="DT554" s="1399"/>
      <c r="DU554" s="1399"/>
    </row>
    <row r="555" spans="1:125">
      <c r="A555" s="1414"/>
      <c r="B555" s="1414"/>
      <c r="C555" s="1414"/>
      <c r="D555" s="1414"/>
      <c r="E555" s="1414"/>
      <c r="F555" s="1414"/>
      <c r="G555" s="1414"/>
      <c r="H555" s="1414"/>
      <c r="I555" s="1414"/>
      <c r="J555" s="1414"/>
      <c r="K555" s="1414"/>
      <c r="L555" s="1414"/>
      <c r="M555" s="1414"/>
      <c r="N555" s="1414"/>
      <c r="O555" s="1414"/>
      <c r="P555" s="1414"/>
      <c r="Q555" s="1414"/>
      <c r="R555" s="1414"/>
      <c r="S555" s="1414"/>
      <c r="T555" s="1414"/>
      <c r="U555" s="1414"/>
      <c r="V555" s="1414"/>
      <c r="W555" s="1414"/>
      <c r="X555" s="1414"/>
      <c r="Y555" s="1414"/>
      <c r="Z555" s="1414"/>
      <c r="AA555" s="1414"/>
      <c r="AB555" s="1414"/>
      <c r="AC555" s="1414"/>
      <c r="AD555" s="1414"/>
      <c r="AE555" s="1414"/>
      <c r="AF555" s="1414"/>
      <c r="AG555" s="1414"/>
      <c r="AH555" s="1414"/>
      <c r="AI555" s="1414"/>
      <c r="AJ555" s="1414"/>
      <c r="AK555" s="1414"/>
      <c r="AL555" s="1414"/>
      <c r="AM555" s="1414"/>
      <c r="AN555" s="1414"/>
      <c r="AO555" s="1414"/>
      <c r="AP555" s="1414"/>
      <c r="AQ555" s="1414"/>
      <c r="AR555" s="1414"/>
      <c r="AS555" s="1414"/>
      <c r="AT555" s="1414"/>
      <c r="AU555" s="1414"/>
      <c r="AV555" s="1414"/>
      <c r="AW555" s="1414"/>
      <c r="AX555" s="1414"/>
      <c r="AY555" s="1399"/>
      <c r="AZ555" s="1399"/>
      <c r="BA555" s="1399"/>
      <c r="BB555" s="1399"/>
      <c r="BC555" s="1399"/>
      <c r="BD555" s="1399"/>
      <c r="BE555" s="1414"/>
      <c r="BF555" s="1399"/>
      <c r="BG555" s="1399"/>
      <c r="BH555" s="1399"/>
      <c r="BI555" s="1399"/>
      <c r="BJ555" s="1399"/>
      <c r="BK555" s="1399"/>
      <c r="BL555" s="1399"/>
      <c r="BM555" s="1399"/>
      <c r="BN555" s="1399"/>
      <c r="BO555" s="1399"/>
      <c r="BP555" s="1399"/>
      <c r="BQ555" s="1399"/>
      <c r="BR555" s="1399"/>
      <c r="BS555" s="1399"/>
      <c r="BT555" s="1399"/>
      <c r="BU555" s="2838"/>
      <c r="BV555" s="2838"/>
      <c r="BW555" s="2838"/>
      <c r="BX555" s="2838"/>
      <c r="BY555" s="2838"/>
      <c r="BZ555" s="2838"/>
      <c r="CA555" s="2838"/>
      <c r="CB555" s="2838"/>
      <c r="CC555" s="2838"/>
      <c r="CD555" s="2838"/>
      <c r="CE555" s="1399"/>
      <c r="CF555" s="1399"/>
      <c r="CG555" s="1399"/>
      <c r="CH555" s="1399"/>
      <c r="CI555" s="1399"/>
      <c r="CJ555" s="1399"/>
      <c r="CK555" s="1399"/>
      <c r="CL555" s="1399"/>
      <c r="CM555" s="1399"/>
      <c r="CN555" s="1399"/>
      <c r="CO555" s="1399"/>
      <c r="CP555" s="1399"/>
      <c r="CQ555" s="1399"/>
      <c r="CR555" s="1399"/>
      <c r="CS555" s="1399"/>
      <c r="CT555" s="1399"/>
      <c r="CU555" s="1399"/>
      <c r="CV555" s="1399"/>
      <c r="CW555" s="1399"/>
      <c r="CX555" s="1399"/>
      <c r="CY555" s="1399"/>
      <c r="CZ555" s="1399"/>
      <c r="DA555" s="1399"/>
      <c r="DB555" s="1399"/>
      <c r="DC555" s="1399"/>
      <c r="DD555" s="1399"/>
      <c r="DE555" s="1399"/>
      <c r="DF555" s="1399"/>
      <c r="DG555" s="1399"/>
      <c r="DH555" s="1399"/>
      <c r="DI555" s="1399"/>
      <c r="DJ555" s="1399"/>
      <c r="DK555" s="1399"/>
      <c r="DL555" s="1399"/>
      <c r="DM555" s="1399"/>
      <c r="DN555" s="1399"/>
      <c r="DO555" s="1399"/>
      <c r="DP555" s="1399"/>
      <c r="DQ555" s="1399"/>
      <c r="DR555" s="1399"/>
      <c r="DS555" s="1399"/>
      <c r="DT555" s="1399"/>
      <c r="DU555" s="1399"/>
    </row>
    <row r="556" spans="1:125">
      <c r="A556" s="1414"/>
      <c r="B556" s="1414"/>
      <c r="C556" s="1414"/>
      <c r="D556" s="1414"/>
      <c r="E556" s="1414"/>
      <c r="F556" s="1414"/>
      <c r="G556" s="1414"/>
      <c r="H556" s="1414"/>
      <c r="I556" s="1414"/>
      <c r="J556" s="1414"/>
      <c r="K556" s="1414"/>
      <c r="L556" s="1414"/>
      <c r="M556" s="1414"/>
      <c r="N556" s="1414"/>
      <c r="O556" s="1414"/>
      <c r="P556" s="1414"/>
      <c r="Q556" s="1414"/>
      <c r="R556" s="1414"/>
      <c r="S556" s="1414"/>
      <c r="T556" s="1414"/>
      <c r="U556" s="1414"/>
      <c r="V556" s="1414"/>
      <c r="W556" s="1414"/>
      <c r="X556" s="1414"/>
      <c r="Y556" s="1414"/>
      <c r="Z556" s="1414"/>
      <c r="AA556" s="1414"/>
      <c r="AB556" s="1414"/>
      <c r="AC556" s="1414"/>
      <c r="AD556" s="1414"/>
      <c r="AE556" s="1414"/>
      <c r="AF556" s="1414"/>
      <c r="AG556" s="1414"/>
      <c r="AH556" s="1414"/>
      <c r="AI556" s="1414"/>
      <c r="AJ556" s="1414"/>
      <c r="AK556" s="1414"/>
      <c r="AL556" s="1414"/>
      <c r="AM556" s="1414"/>
      <c r="AN556" s="1414"/>
      <c r="AO556" s="1414"/>
      <c r="AP556" s="1414"/>
      <c r="AQ556" s="1414"/>
      <c r="AR556" s="1414"/>
      <c r="AS556" s="1414"/>
      <c r="AT556" s="1414"/>
      <c r="AU556" s="1414"/>
      <c r="AV556" s="1414"/>
      <c r="AW556" s="1414"/>
      <c r="AX556" s="1414"/>
      <c r="AY556" s="1399"/>
      <c r="AZ556" s="1399"/>
      <c r="BA556" s="1399"/>
      <c r="BB556" s="1399"/>
      <c r="BC556" s="1399"/>
      <c r="BD556" s="1399"/>
      <c r="BE556" s="1414"/>
      <c r="BF556" s="1399"/>
      <c r="BG556" s="1399"/>
      <c r="BH556" s="1399"/>
      <c r="BI556" s="1399"/>
      <c r="BJ556" s="1399"/>
      <c r="BK556" s="1399"/>
      <c r="BL556" s="1399"/>
      <c r="BM556" s="1399"/>
      <c r="BN556" s="1399"/>
      <c r="BO556" s="1399"/>
      <c r="BP556" s="1399"/>
      <c r="BQ556" s="1399"/>
      <c r="BR556" s="1399"/>
      <c r="BS556" s="1399"/>
      <c r="BT556" s="1399"/>
      <c r="BU556" s="2838"/>
      <c r="BV556" s="2838"/>
      <c r="BW556" s="2838"/>
      <c r="BX556" s="2838"/>
      <c r="BY556" s="2838"/>
      <c r="BZ556" s="2838"/>
      <c r="CA556" s="2838"/>
      <c r="CB556" s="2838"/>
      <c r="CC556" s="2838"/>
      <c r="CD556" s="2838"/>
      <c r="CE556" s="1399"/>
      <c r="CF556" s="1399"/>
      <c r="CG556" s="1399"/>
      <c r="CH556" s="1399"/>
      <c r="CI556" s="1399"/>
      <c r="CJ556" s="1399"/>
      <c r="CK556" s="1399"/>
      <c r="CL556" s="1399"/>
      <c r="CM556" s="1399"/>
      <c r="CN556" s="1399"/>
      <c r="CO556" s="1399"/>
      <c r="CP556" s="1399"/>
      <c r="CQ556" s="1399"/>
      <c r="CR556" s="1399"/>
      <c r="CS556" s="1399"/>
      <c r="CT556" s="1399"/>
      <c r="CU556" s="1399"/>
      <c r="CV556" s="1399"/>
      <c r="CW556" s="1399"/>
      <c r="CX556" s="1399"/>
      <c r="CY556" s="1399"/>
      <c r="CZ556" s="1399"/>
      <c r="DA556" s="1399"/>
      <c r="DB556" s="1399"/>
      <c r="DC556" s="1399"/>
      <c r="DD556" s="1399"/>
      <c r="DE556" s="1399"/>
      <c r="DF556" s="1399"/>
      <c r="DG556" s="1399"/>
      <c r="DH556" s="1399"/>
      <c r="DI556" s="1399"/>
      <c r="DJ556" s="1399"/>
      <c r="DK556" s="1399"/>
      <c r="DL556" s="1399"/>
      <c r="DM556" s="1399"/>
      <c r="DN556" s="1399"/>
      <c r="DO556" s="1399"/>
      <c r="DP556" s="1399"/>
      <c r="DQ556" s="1399"/>
      <c r="DR556" s="1399"/>
      <c r="DS556" s="1399"/>
      <c r="DT556" s="1399"/>
      <c r="DU556" s="1399"/>
    </row>
    <row r="557" spans="1:125">
      <c r="A557" s="1414"/>
      <c r="B557" s="1414"/>
      <c r="C557" s="1414"/>
      <c r="D557" s="1414"/>
      <c r="E557" s="1414"/>
      <c r="F557" s="1414"/>
      <c r="G557" s="1414"/>
      <c r="H557" s="1414"/>
      <c r="I557" s="1414"/>
      <c r="J557" s="1414"/>
      <c r="K557" s="1414"/>
      <c r="L557" s="1414"/>
      <c r="M557" s="1414"/>
      <c r="N557" s="1414"/>
      <c r="O557" s="1414"/>
      <c r="P557" s="1414"/>
      <c r="Q557" s="1414"/>
      <c r="R557" s="1414"/>
      <c r="S557" s="1414"/>
      <c r="T557" s="1414"/>
      <c r="U557" s="1414"/>
      <c r="V557" s="1414"/>
      <c r="W557" s="1414"/>
      <c r="X557" s="1414"/>
      <c r="Y557" s="1414"/>
      <c r="Z557" s="1414"/>
      <c r="AA557" s="1414"/>
      <c r="AB557" s="1414"/>
      <c r="AC557" s="1414"/>
      <c r="AD557" s="1414"/>
      <c r="AE557" s="1414"/>
      <c r="AF557" s="1414"/>
      <c r="AG557" s="1414"/>
      <c r="AH557" s="1414"/>
      <c r="AI557" s="1414"/>
      <c r="AJ557" s="1414"/>
      <c r="AK557" s="1414"/>
      <c r="AL557" s="1414"/>
      <c r="AM557" s="1414"/>
      <c r="AN557" s="1414"/>
      <c r="AO557" s="1414"/>
      <c r="AP557" s="1414"/>
      <c r="AQ557" s="1414"/>
      <c r="AR557" s="1414"/>
      <c r="AS557" s="1414"/>
      <c r="AT557" s="1414"/>
      <c r="AU557" s="1414"/>
      <c r="AV557" s="1414"/>
      <c r="AW557" s="1414"/>
      <c r="AX557" s="1414"/>
      <c r="AY557" s="1399"/>
      <c r="AZ557" s="1399"/>
      <c r="BA557" s="1399"/>
      <c r="BB557" s="1399"/>
      <c r="BC557" s="1399"/>
      <c r="BD557" s="1399"/>
      <c r="BE557" s="1414"/>
      <c r="BF557" s="1399"/>
      <c r="BG557" s="1399"/>
      <c r="BH557" s="1399"/>
      <c r="BI557" s="1399"/>
      <c r="BJ557" s="1399"/>
      <c r="BK557" s="1399"/>
      <c r="BL557" s="1399"/>
      <c r="BM557" s="1399"/>
      <c r="BN557" s="1399"/>
      <c r="BO557" s="1399"/>
      <c r="BP557" s="1399"/>
      <c r="BQ557" s="1399"/>
      <c r="BR557" s="1399"/>
      <c r="BS557" s="1399"/>
      <c r="BT557" s="1399"/>
      <c r="BU557" s="2838"/>
      <c r="BV557" s="2838"/>
      <c r="BW557" s="2838"/>
      <c r="BX557" s="2838"/>
      <c r="BY557" s="2838"/>
      <c r="BZ557" s="2838"/>
      <c r="CA557" s="2838"/>
      <c r="CB557" s="2838"/>
      <c r="CC557" s="2838"/>
      <c r="CD557" s="2838"/>
      <c r="CE557" s="1399"/>
      <c r="CF557" s="1399"/>
      <c r="CG557" s="1399"/>
      <c r="CH557" s="1399"/>
      <c r="CI557" s="1399"/>
      <c r="CJ557" s="1399"/>
      <c r="CK557" s="1399"/>
      <c r="CL557" s="1399"/>
      <c r="CM557" s="1399"/>
      <c r="CN557" s="1399"/>
      <c r="CO557" s="1399"/>
      <c r="CP557" s="1399"/>
      <c r="CQ557" s="1399"/>
      <c r="CR557" s="1399"/>
      <c r="CS557" s="1399"/>
      <c r="CT557" s="1399"/>
      <c r="CU557" s="1399"/>
      <c r="CV557" s="1399"/>
      <c r="CW557" s="1399"/>
      <c r="CX557" s="1399"/>
      <c r="CY557" s="1399"/>
      <c r="CZ557" s="1399"/>
      <c r="DA557" s="1399"/>
      <c r="DB557" s="1399"/>
      <c r="DC557" s="1399"/>
      <c r="DD557" s="1399"/>
      <c r="DE557" s="1399"/>
      <c r="DF557" s="1399"/>
      <c r="DG557" s="1399"/>
      <c r="DH557" s="1399"/>
      <c r="DI557" s="1399"/>
      <c r="DJ557" s="1399"/>
      <c r="DK557" s="1399"/>
      <c r="DL557" s="1399"/>
      <c r="DM557" s="1399"/>
      <c r="DN557" s="1399"/>
      <c r="DO557" s="1399"/>
      <c r="DP557" s="1399"/>
      <c r="DQ557" s="1399"/>
      <c r="DR557" s="1399"/>
      <c r="DS557" s="1399"/>
      <c r="DT557" s="1399"/>
      <c r="DU557" s="1399"/>
    </row>
    <row r="558" spans="1:125">
      <c r="A558" s="1414"/>
      <c r="B558" s="1414"/>
      <c r="C558" s="1414"/>
      <c r="D558" s="1414"/>
      <c r="E558" s="1414"/>
      <c r="F558" s="1414"/>
      <c r="G558" s="1414"/>
      <c r="H558" s="1414"/>
      <c r="I558" s="1414"/>
      <c r="J558" s="1414"/>
      <c r="K558" s="1414"/>
      <c r="L558" s="1414"/>
      <c r="M558" s="1414"/>
      <c r="N558" s="1414"/>
      <c r="O558" s="1414"/>
      <c r="P558" s="1414"/>
      <c r="Q558" s="1414"/>
      <c r="R558" s="1414"/>
      <c r="S558" s="1414"/>
      <c r="T558" s="1414"/>
      <c r="U558" s="1414"/>
      <c r="V558" s="1414"/>
      <c r="W558" s="1414"/>
      <c r="X558" s="1414"/>
      <c r="Y558" s="1414"/>
      <c r="Z558" s="1414"/>
      <c r="AA558" s="1414"/>
      <c r="AB558" s="1414"/>
      <c r="AC558" s="1414"/>
      <c r="AD558" s="1414"/>
      <c r="AE558" s="1414"/>
      <c r="AF558" s="1414"/>
      <c r="AG558" s="1414"/>
      <c r="AH558" s="1414"/>
      <c r="AI558" s="1414"/>
      <c r="AJ558" s="1414"/>
      <c r="AK558" s="1414"/>
      <c r="AL558" s="1414"/>
      <c r="AM558" s="1414"/>
      <c r="AN558" s="1414"/>
      <c r="AO558" s="1414"/>
      <c r="AP558" s="1414"/>
      <c r="AQ558" s="1414"/>
      <c r="AR558" s="1414"/>
      <c r="AS558" s="1414"/>
      <c r="AT558" s="1414"/>
      <c r="AU558" s="1414"/>
      <c r="AV558" s="1414"/>
      <c r="AW558" s="1414"/>
      <c r="AX558" s="1414"/>
      <c r="AY558" s="1399"/>
      <c r="AZ558" s="1399"/>
      <c r="BA558" s="1399"/>
      <c r="BB558" s="1399"/>
      <c r="BC558" s="1399"/>
      <c r="BD558" s="1399"/>
      <c r="BE558" s="1414"/>
      <c r="BF558" s="1399"/>
      <c r="BG558" s="1399"/>
      <c r="BH558" s="1399"/>
      <c r="BI558" s="1399"/>
      <c r="BJ558" s="1399"/>
      <c r="BK558" s="1399"/>
      <c r="BL558" s="1399"/>
      <c r="BM558" s="1399"/>
      <c r="BN558" s="1399"/>
      <c r="BO558" s="1399"/>
      <c r="BP558" s="1399"/>
      <c r="BQ558" s="1399"/>
      <c r="BR558" s="1399"/>
      <c r="BS558" s="1399"/>
      <c r="BT558" s="1399"/>
      <c r="BU558" s="2838"/>
      <c r="BV558" s="2838"/>
      <c r="BW558" s="2838"/>
      <c r="BX558" s="2838"/>
      <c r="BY558" s="2838"/>
      <c r="BZ558" s="2838"/>
      <c r="CA558" s="2838"/>
      <c r="CB558" s="2838"/>
      <c r="CC558" s="2838"/>
      <c r="CD558" s="2838"/>
      <c r="CE558" s="1399"/>
      <c r="CF558" s="1399"/>
      <c r="CG558" s="1399"/>
      <c r="CH558" s="1399"/>
      <c r="CI558" s="1399"/>
      <c r="CJ558" s="1399"/>
      <c r="CK558" s="1399"/>
      <c r="CL558" s="1399"/>
      <c r="CM558" s="1399"/>
      <c r="CN558" s="1399"/>
      <c r="CO558" s="1399"/>
      <c r="CP558" s="1399"/>
      <c r="CQ558" s="1399"/>
      <c r="CR558" s="1399"/>
      <c r="CS558" s="1399"/>
      <c r="CT558" s="1399"/>
      <c r="CU558" s="1399"/>
      <c r="CV558" s="1399"/>
      <c r="CW558" s="1399"/>
      <c r="CX558" s="1399"/>
      <c r="CY558" s="1399"/>
      <c r="CZ558" s="1399"/>
      <c r="DA558" s="1399"/>
      <c r="DB558" s="1399"/>
      <c r="DC558" s="1399"/>
      <c r="DD558" s="1399"/>
      <c r="DE558" s="1399"/>
      <c r="DF558" s="1399"/>
      <c r="DG558" s="1399"/>
      <c r="DH558" s="1399"/>
      <c r="DI558" s="1399"/>
      <c r="DJ558" s="1399"/>
      <c r="DK558" s="1399"/>
      <c r="DL558" s="1399"/>
      <c r="DM558" s="1399"/>
      <c r="DN558" s="1399"/>
      <c r="DO558" s="1399"/>
      <c r="DP558" s="1399"/>
      <c r="DQ558" s="1399"/>
      <c r="DR558" s="1399"/>
      <c r="DS558" s="1399"/>
      <c r="DT558" s="1399"/>
      <c r="DU558" s="1399"/>
    </row>
    <row r="559" spans="1:125">
      <c r="A559" s="1414"/>
      <c r="B559" s="1414"/>
      <c r="C559" s="1414"/>
      <c r="D559" s="1414"/>
      <c r="E559" s="1414"/>
      <c r="F559" s="1414"/>
      <c r="G559" s="1414"/>
      <c r="H559" s="1414"/>
      <c r="I559" s="1414"/>
      <c r="J559" s="1414"/>
      <c r="K559" s="1414"/>
      <c r="L559" s="1414"/>
      <c r="M559" s="1414"/>
      <c r="N559" s="1414"/>
      <c r="O559" s="1414"/>
      <c r="P559" s="1414"/>
      <c r="Q559" s="1414"/>
      <c r="R559" s="1414"/>
      <c r="S559" s="1414"/>
      <c r="T559" s="1414"/>
      <c r="U559" s="1414"/>
      <c r="V559" s="1414"/>
      <c r="W559" s="1414"/>
      <c r="X559" s="1414"/>
      <c r="Y559" s="1414"/>
      <c r="Z559" s="1414"/>
      <c r="AA559" s="1414"/>
      <c r="AB559" s="1414"/>
      <c r="AC559" s="1414"/>
      <c r="AD559" s="1414"/>
      <c r="AE559" s="1414"/>
      <c r="AF559" s="1414"/>
      <c r="AG559" s="1414"/>
      <c r="AH559" s="1414"/>
      <c r="AI559" s="1414"/>
      <c r="AJ559" s="1414"/>
      <c r="AK559" s="1414"/>
      <c r="AL559" s="1414"/>
      <c r="AM559" s="1414"/>
      <c r="AN559" s="1414"/>
      <c r="AO559" s="1414"/>
      <c r="AP559" s="1414"/>
      <c r="AQ559" s="1414"/>
      <c r="AR559" s="1414"/>
      <c r="AS559" s="1414"/>
      <c r="AT559" s="1414"/>
      <c r="AU559" s="1414"/>
      <c r="AV559" s="1414"/>
      <c r="AW559" s="1414"/>
      <c r="AX559" s="1414"/>
      <c r="AY559" s="1399"/>
      <c r="AZ559" s="1399"/>
      <c r="BA559" s="1399"/>
      <c r="BB559" s="1399"/>
      <c r="BC559" s="1399"/>
      <c r="BD559" s="1399"/>
      <c r="BE559" s="1414"/>
      <c r="BF559" s="1399"/>
      <c r="BG559" s="1399"/>
      <c r="BH559" s="1399"/>
      <c r="BI559" s="1399"/>
      <c r="BJ559" s="1399"/>
      <c r="BK559" s="1399"/>
      <c r="BL559" s="1399"/>
      <c r="BM559" s="1399"/>
      <c r="BN559" s="1399"/>
      <c r="BO559" s="1399"/>
      <c r="BP559" s="1399"/>
      <c r="BQ559" s="1399"/>
      <c r="BR559" s="1399"/>
      <c r="BS559" s="1399"/>
      <c r="BT559" s="1399"/>
      <c r="BU559" s="2838"/>
      <c r="BV559" s="2838"/>
      <c r="BW559" s="2838"/>
      <c r="BX559" s="2838"/>
      <c r="BY559" s="2838"/>
      <c r="BZ559" s="2838"/>
      <c r="CA559" s="2838"/>
      <c r="CB559" s="2838"/>
      <c r="CC559" s="2838"/>
      <c r="CD559" s="2838"/>
      <c r="CE559" s="1399"/>
      <c r="CF559" s="1399"/>
      <c r="CG559" s="1399"/>
      <c r="CH559" s="1399"/>
      <c r="CI559" s="1399"/>
      <c r="CJ559" s="1399"/>
      <c r="CK559" s="1399"/>
      <c r="CL559" s="1399"/>
      <c r="CM559" s="1399"/>
      <c r="CN559" s="1399"/>
      <c r="CO559" s="1399"/>
      <c r="CP559" s="1399"/>
      <c r="CQ559" s="1399"/>
      <c r="CR559" s="1399"/>
      <c r="CS559" s="1399"/>
      <c r="CT559" s="1399"/>
      <c r="CU559" s="1399"/>
      <c r="CV559" s="1399"/>
      <c r="CW559" s="1399"/>
      <c r="CX559" s="1399"/>
      <c r="CY559" s="1399"/>
      <c r="CZ559" s="1399"/>
      <c r="DA559" s="1399"/>
      <c r="DB559" s="1399"/>
      <c r="DC559" s="1399"/>
      <c r="DD559" s="1399"/>
      <c r="DE559" s="1399"/>
      <c r="DF559" s="1399"/>
      <c r="DG559" s="1399"/>
      <c r="DH559" s="1399"/>
      <c r="DI559" s="1399"/>
      <c r="DJ559" s="1399"/>
      <c r="DK559" s="1399"/>
      <c r="DL559" s="1399"/>
      <c r="DM559" s="1399"/>
      <c r="DN559" s="1399"/>
      <c r="DO559" s="1399"/>
      <c r="DP559" s="1399"/>
      <c r="DQ559" s="1399"/>
      <c r="DR559" s="1399"/>
      <c r="DS559" s="1399"/>
      <c r="DT559" s="1399"/>
      <c r="DU559" s="1399"/>
    </row>
    <row r="560" spans="1:125">
      <c r="A560" s="1414"/>
      <c r="B560" s="1414"/>
      <c r="C560" s="1414"/>
      <c r="D560" s="1414"/>
      <c r="E560" s="1414"/>
      <c r="F560" s="1414"/>
      <c r="G560" s="1414"/>
      <c r="H560" s="1414"/>
      <c r="I560" s="1414"/>
      <c r="J560" s="1414"/>
      <c r="K560" s="1414"/>
      <c r="L560" s="1414"/>
      <c r="M560" s="1414"/>
      <c r="N560" s="1414"/>
      <c r="O560" s="1414"/>
      <c r="P560" s="1414"/>
      <c r="Q560" s="1414"/>
      <c r="R560" s="1414"/>
      <c r="S560" s="1414"/>
      <c r="T560" s="1414"/>
      <c r="U560" s="1414"/>
      <c r="V560" s="1414"/>
      <c r="W560" s="1414"/>
      <c r="X560" s="1414"/>
      <c r="Y560" s="1414"/>
      <c r="Z560" s="1414"/>
      <c r="AA560" s="1414"/>
      <c r="AB560" s="1414"/>
      <c r="AC560" s="1414"/>
      <c r="AD560" s="1414"/>
      <c r="AE560" s="1414"/>
      <c r="AF560" s="1414"/>
      <c r="AG560" s="1414"/>
      <c r="AH560" s="1414"/>
      <c r="AI560" s="1414"/>
      <c r="AJ560" s="1414"/>
      <c r="AK560" s="1414"/>
      <c r="AL560" s="1414"/>
      <c r="AM560" s="1414"/>
      <c r="AN560" s="1414"/>
      <c r="AO560" s="1414"/>
      <c r="AP560" s="1414"/>
      <c r="AQ560" s="1414"/>
      <c r="AR560" s="1414"/>
      <c r="AS560" s="1414"/>
      <c r="AT560" s="1414"/>
      <c r="AU560" s="1414"/>
      <c r="AV560" s="1414"/>
      <c r="AW560" s="1414"/>
      <c r="AX560" s="1414"/>
      <c r="AY560" s="1399"/>
      <c r="AZ560" s="1399"/>
      <c r="BA560" s="1399"/>
      <c r="BB560" s="1399"/>
      <c r="BC560" s="1399"/>
      <c r="BD560" s="1399"/>
      <c r="BE560" s="1414"/>
      <c r="BF560" s="1399"/>
      <c r="BG560" s="1399"/>
      <c r="BH560" s="1399"/>
      <c r="BI560" s="1399"/>
      <c r="BJ560" s="1399"/>
      <c r="BK560" s="1399"/>
      <c r="BL560" s="1399"/>
      <c r="BM560" s="1399"/>
      <c r="BN560" s="1399"/>
      <c r="BO560" s="1399"/>
      <c r="BP560" s="1399"/>
      <c r="BQ560" s="1399"/>
      <c r="BR560" s="1399"/>
      <c r="BS560" s="1399"/>
      <c r="BT560" s="1399"/>
      <c r="BU560" s="2838"/>
      <c r="BV560" s="2838"/>
      <c r="BW560" s="2838"/>
      <c r="BX560" s="2838"/>
      <c r="BY560" s="2838"/>
      <c r="BZ560" s="2838"/>
      <c r="CA560" s="2838"/>
      <c r="CB560" s="2838"/>
      <c r="CC560" s="2838"/>
      <c r="CD560" s="2838"/>
      <c r="CE560" s="1399"/>
      <c r="CF560" s="1399"/>
      <c r="CG560" s="1399"/>
      <c r="CH560" s="1399"/>
      <c r="CI560" s="1399"/>
      <c r="CJ560" s="1399"/>
      <c r="CK560" s="1399"/>
      <c r="CL560" s="1399"/>
      <c r="CM560" s="1399"/>
      <c r="CN560" s="1399"/>
      <c r="CO560" s="1399"/>
      <c r="CP560" s="1399"/>
      <c r="CQ560" s="1399"/>
      <c r="CR560" s="1399"/>
      <c r="CS560" s="1399"/>
      <c r="CT560" s="1399"/>
      <c r="CU560" s="1399"/>
      <c r="CV560" s="1399"/>
      <c r="CW560" s="1399"/>
      <c r="CX560" s="1399"/>
      <c r="CY560" s="1399"/>
      <c r="CZ560" s="1399"/>
      <c r="DA560" s="1399"/>
      <c r="DB560" s="1399"/>
      <c r="DC560" s="1399"/>
      <c r="DD560" s="1399"/>
      <c r="DE560" s="1399"/>
      <c r="DF560" s="1399"/>
      <c r="DG560" s="1399"/>
      <c r="DH560" s="1399"/>
      <c r="DI560" s="1399"/>
      <c r="DJ560" s="1399"/>
      <c r="DK560" s="1399"/>
      <c r="DL560" s="1399"/>
      <c r="DM560" s="1399"/>
      <c r="DN560" s="1399"/>
      <c r="DO560" s="1399"/>
      <c r="DP560" s="1399"/>
      <c r="DQ560" s="1399"/>
      <c r="DR560" s="1399"/>
      <c r="DS560" s="1399"/>
      <c r="DT560" s="1399"/>
      <c r="DU560" s="1399"/>
    </row>
    <row r="561" spans="1:125">
      <c r="A561" s="1414"/>
      <c r="B561" s="1414"/>
      <c r="C561" s="1414"/>
      <c r="D561" s="1414"/>
      <c r="E561" s="1414"/>
      <c r="F561" s="1414"/>
      <c r="G561" s="1414"/>
      <c r="H561" s="1414"/>
      <c r="I561" s="1414"/>
      <c r="J561" s="1414"/>
      <c r="K561" s="1414"/>
      <c r="L561" s="1414"/>
      <c r="M561" s="1414"/>
      <c r="N561" s="1414"/>
      <c r="O561" s="1414"/>
      <c r="P561" s="1414"/>
      <c r="Q561" s="1414"/>
      <c r="R561" s="1414"/>
      <c r="S561" s="1414"/>
      <c r="T561" s="1414"/>
      <c r="U561" s="1414"/>
      <c r="V561" s="1414"/>
      <c r="W561" s="1414"/>
      <c r="X561" s="1414"/>
      <c r="Y561" s="1414"/>
      <c r="Z561" s="1414"/>
      <c r="AA561" s="1414"/>
      <c r="AB561" s="1414"/>
      <c r="AC561" s="1414"/>
      <c r="AD561" s="1414"/>
      <c r="AE561" s="1414"/>
      <c r="AF561" s="1414"/>
      <c r="AG561" s="1414"/>
      <c r="AH561" s="1414"/>
      <c r="AI561" s="1414"/>
      <c r="AJ561" s="1414"/>
      <c r="AK561" s="1414"/>
      <c r="AL561" s="1414"/>
      <c r="AM561" s="1414"/>
      <c r="AN561" s="1414"/>
      <c r="AO561" s="1414"/>
      <c r="AP561" s="1414"/>
      <c r="AQ561" s="1414"/>
      <c r="AR561" s="1414"/>
      <c r="AS561" s="1414"/>
      <c r="AT561" s="1414"/>
      <c r="AU561" s="1414"/>
      <c r="AV561" s="1414"/>
      <c r="AW561" s="1414"/>
      <c r="AX561" s="1414"/>
      <c r="AY561" s="1399"/>
      <c r="AZ561" s="1399"/>
      <c r="BA561" s="1399"/>
      <c r="BB561" s="1399"/>
      <c r="BC561" s="1399"/>
      <c r="BD561" s="1399"/>
      <c r="BE561" s="1414"/>
      <c r="BF561" s="1399"/>
      <c r="BG561" s="1399"/>
      <c r="BH561" s="1399"/>
      <c r="BI561" s="1399"/>
      <c r="BJ561" s="1399"/>
      <c r="BK561" s="1399"/>
      <c r="BL561" s="1399"/>
      <c r="BM561" s="1399"/>
      <c r="BN561" s="1399"/>
      <c r="BO561" s="1399"/>
      <c r="BP561" s="1399"/>
      <c r="BQ561" s="1399"/>
      <c r="BR561" s="1399"/>
      <c r="BS561" s="1399"/>
      <c r="BT561" s="1399"/>
      <c r="BU561" s="2838"/>
      <c r="BV561" s="2838"/>
      <c r="BW561" s="2838"/>
      <c r="BX561" s="2838"/>
      <c r="BY561" s="2838"/>
      <c r="BZ561" s="2838"/>
      <c r="CA561" s="2838"/>
      <c r="CB561" s="2838"/>
      <c r="CC561" s="2838"/>
      <c r="CD561" s="2838"/>
      <c r="CE561" s="1399"/>
      <c r="CF561" s="1399"/>
      <c r="CG561" s="1399"/>
      <c r="CH561" s="1399"/>
      <c r="CI561" s="1399"/>
      <c r="CJ561" s="1399"/>
      <c r="CK561" s="1399"/>
      <c r="CL561" s="1399"/>
      <c r="CM561" s="1399"/>
      <c r="CN561" s="1399"/>
      <c r="CO561" s="1399"/>
      <c r="CP561" s="1399"/>
      <c r="CQ561" s="1399"/>
      <c r="CR561" s="1399"/>
      <c r="CS561" s="1399"/>
      <c r="CT561" s="1399"/>
      <c r="CU561" s="1399"/>
      <c r="CV561" s="1399"/>
      <c r="CW561" s="1399"/>
      <c r="CX561" s="1399"/>
      <c r="CY561" s="1399"/>
      <c r="CZ561" s="1399"/>
      <c r="DA561" s="1399"/>
      <c r="DB561" s="1399"/>
      <c r="DC561" s="1399"/>
      <c r="DD561" s="1399"/>
      <c r="DE561" s="1399"/>
      <c r="DF561" s="1399"/>
      <c r="DG561" s="1399"/>
      <c r="DH561" s="1399"/>
      <c r="DI561" s="1399"/>
      <c r="DJ561" s="1399"/>
      <c r="DK561" s="1399"/>
      <c r="DL561" s="1399"/>
      <c r="DM561" s="1399"/>
      <c r="DN561" s="1399"/>
      <c r="DO561" s="1399"/>
      <c r="DP561" s="1399"/>
      <c r="DQ561" s="1399"/>
      <c r="DR561" s="1399"/>
      <c r="DS561" s="1399"/>
      <c r="DT561" s="1399"/>
      <c r="DU561" s="1399"/>
    </row>
    <row r="562" spans="1:125">
      <c r="A562" s="1414"/>
      <c r="B562" s="1414"/>
      <c r="C562" s="1414"/>
      <c r="D562" s="1414"/>
      <c r="E562" s="1414"/>
      <c r="F562" s="1414"/>
      <c r="G562" s="1414"/>
      <c r="H562" s="1414"/>
      <c r="I562" s="1414"/>
      <c r="J562" s="1414"/>
      <c r="K562" s="1414"/>
      <c r="L562" s="1414"/>
      <c r="M562" s="1414"/>
      <c r="N562" s="1414"/>
      <c r="O562" s="1414"/>
      <c r="P562" s="1414"/>
      <c r="Q562" s="1414"/>
      <c r="R562" s="1414"/>
      <c r="S562" s="1414"/>
      <c r="T562" s="1414"/>
      <c r="U562" s="1414"/>
      <c r="V562" s="1414"/>
      <c r="W562" s="1414"/>
      <c r="X562" s="1414"/>
      <c r="Y562" s="1414"/>
      <c r="Z562" s="1414"/>
      <c r="AA562" s="1414"/>
      <c r="AB562" s="1414"/>
      <c r="AC562" s="1414"/>
      <c r="AD562" s="1414"/>
      <c r="AE562" s="1414"/>
      <c r="AF562" s="1414"/>
      <c r="AG562" s="1414"/>
      <c r="AH562" s="1414"/>
      <c r="AI562" s="1414"/>
      <c r="AJ562" s="1414"/>
      <c r="AK562" s="1414"/>
      <c r="AL562" s="1414"/>
      <c r="AM562" s="1414"/>
      <c r="AN562" s="1414"/>
      <c r="AO562" s="1414"/>
      <c r="AP562" s="1414"/>
      <c r="AQ562" s="1414"/>
      <c r="AR562" s="1414"/>
      <c r="AS562" s="1414"/>
      <c r="AT562" s="1414"/>
      <c r="AU562" s="1414"/>
      <c r="AV562" s="1414"/>
      <c r="AW562" s="1414"/>
      <c r="AX562" s="1414"/>
      <c r="AY562" s="1399"/>
      <c r="AZ562" s="1399"/>
      <c r="BA562" s="1399"/>
      <c r="BB562" s="1399"/>
      <c r="BC562" s="1399"/>
      <c r="BD562" s="1399"/>
      <c r="BE562" s="1414"/>
      <c r="BF562" s="1399"/>
      <c r="BG562" s="1399"/>
      <c r="BH562" s="1399"/>
      <c r="BI562" s="1399"/>
      <c r="BJ562" s="1399"/>
      <c r="BK562" s="1399"/>
      <c r="BL562" s="1399"/>
      <c r="BM562" s="1399"/>
      <c r="BN562" s="1399"/>
      <c r="BO562" s="1399"/>
      <c r="BP562" s="1399"/>
      <c r="BQ562" s="1399"/>
      <c r="BR562" s="1399"/>
      <c r="BS562" s="1399"/>
      <c r="BT562" s="1399"/>
      <c r="BU562" s="2838"/>
      <c r="BV562" s="2838"/>
      <c r="BW562" s="2838"/>
      <c r="BX562" s="2838"/>
      <c r="BY562" s="2838"/>
      <c r="BZ562" s="2838"/>
      <c r="CA562" s="2838"/>
      <c r="CB562" s="2838"/>
      <c r="CC562" s="2838"/>
      <c r="CD562" s="2838"/>
      <c r="CE562" s="1399"/>
      <c r="CF562" s="1399"/>
      <c r="CG562" s="1399"/>
      <c r="CH562" s="1399"/>
      <c r="CI562" s="1399"/>
      <c r="CJ562" s="1399"/>
      <c r="CK562" s="1399"/>
      <c r="CL562" s="1399"/>
      <c r="CM562" s="1399"/>
      <c r="CN562" s="1399"/>
      <c r="CO562" s="1399"/>
      <c r="CP562" s="1399"/>
      <c r="CQ562" s="1399"/>
      <c r="CR562" s="1399"/>
      <c r="CS562" s="1399"/>
      <c r="CT562" s="1399"/>
      <c r="CU562" s="1399"/>
      <c r="CV562" s="1399"/>
      <c r="CW562" s="1399"/>
      <c r="CX562" s="1399"/>
      <c r="CY562" s="1399"/>
      <c r="CZ562" s="1399"/>
      <c r="DA562" s="1399"/>
      <c r="DB562" s="1399"/>
      <c r="DC562" s="1399"/>
      <c r="DD562" s="1399"/>
      <c r="DE562" s="1399"/>
      <c r="DF562" s="1399"/>
      <c r="DG562" s="1399"/>
      <c r="DH562" s="1399"/>
      <c r="DI562" s="1399"/>
      <c r="DJ562" s="1399"/>
      <c r="DK562" s="1399"/>
      <c r="DL562" s="1399"/>
      <c r="DM562" s="1399"/>
      <c r="DN562" s="1399"/>
      <c r="DO562" s="1399"/>
      <c r="DP562" s="1399"/>
      <c r="DQ562" s="1399"/>
      <c r="DR562" s="1399"/>
      <c r="DS562" s="1399"/>
      <c r="DT562" s="1399"/>
      <c r="DU562" s="1399"/>
    </row>
    <row r="563" spans="1:125">
      <c r="A563" s="1414"/>
      <c r="B563" s="1414"/>
      <c r="C563" s="1414"/>
      <c r="D563" s="1414"/>
      <c r="E563" s="1414"/>
      <c r="F563" s="1414"/>
      <c r="G563" s="1414"/>
      <c r="H563" s="1414"/>
      <c r="I563" s="1414"/>
      <c r="J563" s="1414"/>
      <c r="K563" s="1414"/>
      <c r="L563" s="1414"/>
      <c r="M563" s="1414"/>
      <c r="N563" s="1414"/>
      <c r="O563" s="1414"/>
      <c r="P563" s="1414"/>
      <c r="Q563" s="1414"/>
      <c r="R563" s="1414"/>
      <c r="S563" s="1414"/>
      <c r="T563" s="1414"/>
      <c r="U563" s="1414"/>
      <c r="V563" s="1414"/>
      <c r="W563" s="1414"/>
      <c r="X563" s="1414"/>
      <c r="Y563" s="1414"/>
      <c r="Z563" s="1414"/>
      <c r="AA563" s="1414"/>
      <c r="AB563" s="1414"/>
      <c r="AC563" s="1414"/>
      <c r="AD563" s="1414"/>
      <c r="AE563" s="1414"/>
      <c r="AF563" s="1414"/>
      <c r="AG563" s="1414"/>
      <c r="AH563" s="1414"/>
      <c r="AI563" s="1414"/>
      <c r="AJ563" s="1414"/>
      <c r="AK563" s="1414"/>
      <c r="AL563" s="1414"/>
      <c r="AM563" s="1414"/>
      <c r="AN563" s="1414"/>
      <c r="AO563" s="1414"/>
      <c r="AP563" s="1414"/>
      <c r="AQ563" s="1414"/>
      <c r="AR563" s="1414"/>
      <c r="AS563" s="1414"/>
      <c r="AT563" s="1414"/>
      <c r="AU563" s="1414"/>
      <c r="AV563" s="1414"/>
      <c r="AW563" s="1414"/>
      <c r="AX563" s="1414"/>
      <c r="AY563" s="1399"/>
      <c r="AZ563" s="1399"/>
      <c r="BA563" s="1399"/>
      <c r="BB563" s="1399"/>
      <c r="BC563" s="1399"/>
      <c r="BD563" s="1399"/>
      <c r="BE563" s="1414"/>
      <c r="BF563" s="1399"/>
      <c r="BG563" s="1399"/>
      <c r="BH563" s="1399"/>
      <c r="BI563" s="1399"/>
      <c r="BJ563" s="1399"/>
      <c r="BK563" s="1399"/>
      <c r="BL563" s="1399"/>
      <c r="BM563" s="1399"/>
      <c r="BN563" s="1399"/>
      <c r="BO563" s="1399"/>
      <c r="BP563" s="1399"/>
      <c r="BQ563" s="1399"/>
      <c r="BR563" s="1399"/>
      <c r="BS563" s="1399"/>
      <c r="BT563" s="1399"/>
      <c r="BU563" s="2838"/>
      <c r="BV563" s="2838"/>
      <c r="BW563" s="2838"/>
      <c r="BX563" s="2838"/>
      <c r="BY563" s="2838"/>
      <c r="BZ563" s="2838"/>
      <c r="CA563" s="2838"/>
      <c r="CB563" s="2838"/>
      <c r="CC563" s="2838"/>
      <c r="CD563" s="2838"/>
      <c r="CE563" s="1399"/>
      <c r="CF563" s="1399"/>
      <c r="CG563" s="1399"/>
      <c r="CH563" s="1399"/>
      <c r="CI563" s="1399"/>
      <c r="CJ563" s="1399"/>
      <c r="CK563" s="1399"/>
      <c r="CL563" s="1399"/>
      <c r="CM563" s="1399"/>
      <c r="CN563" s="1399"/>
      <c r="CO563" s="1399"/>
      <c r="CP563" s="1399"/>
      <c r="CQ563" s="1399"/>
      <c r="CR563" s="1399"/>
      <c r="CS563" s="1399"/>
      <c r="CT563" s="1399"/>
      <c r="CU563" s="1399"/>
      <c r="CV563" s="1399"/>
      <c r="CW563" s="1399"/>
      <c r="CX563" s="1399"/>
      <c r="CY563" s="1399"/>
      <c r="CZ563" s="1399"/>
      <c r="DA563" s="1399"/>
      <c r="DB563" s="1399"/>
      <c r="DC563" s="1399"/>
      <c r="DD563" s="1399"/>
      <c r="DE563" s="1399"/>
      <c r="DF563" s="1399"/>
      <c r="DG563" s="1399"/>
      <c r="DH563" s="1399"/>
      <c r="DI563" s="1399"/>
      <c r="DJ563" s="1399"/>
      <c r="DK563" s="1399"/>
      <c r="DL563" s="1399"/>
      <c r="DM563" s="1399"/>
      <c r="DN563" s="1399"/>
      <c r="DO563" s="1399"/>
      <c r="DP563" s="1399"/>
      <c r="DQ563" s="1399"/>
      <c r="DR563" s="1399"/>
      <c r="DS563" s="1399"/>
      <c r="DT563" s="1399"/>
      <c r="DU563" s="1399"/>
    </row>
    <row r="564" spans="1:125">
      <c r="A564" s="1414"/>
      <c r="B564" s="1414"/>
      <c r="C564" s="1414"/>
      <c r="D564" s="1414"/>
      <c r="E564" s="1414"/>
      <c r="F564" s="1414"/>
      <c r="G564" s="1414"/>
      <c r="H564" s="1414"/>
      <c r="I564" s="1414"/>
      <c r="J564" s="1414"/>
      <c r="K564" s="1414"/>
      <c r="L564" s="1414"/>
      <c r="M564" s="1414"/>
      <c r="N564" s="1414"/>
      <c r="O564" s="1414"/>
      <c r="P564" s="1414"/>
      <c r="Q564" s="1414"/>
      <c r="R564" s="1414"/>
      <c r="S564" s="1414"/>
      <c r="T564" s="1414"/>
      <c r="U564" s="1414"/>
      <c r="V564" s="1414"/>
      <c r="W564" s="1414"/>
      <c r="X564" s="1414"/>
      <c r="Y564" s="1414"/>
      <c r="Z564" s="1414"/>
      <c r="AA564" s="1414"/>
      <c r="AB564" s="1414"/>
      <c r="AC564" s="1414"/>
      <c r="AD564" s="1414"/>
      <c r="AE564" s="1414"/>
      <c r="AF564" s="1414"/>
      <c r="AG564" s="1414"/>
      <c r="AH564" s="1414"/>
      <c r="AI564" s="1414"/>
      <c r="AJ564" s="1414"/>
      <c r="AK564" s="1414"/>
      <c r="AL564" s="1414"/>
      <c r="AM564" s="1414"/>
      <c r="AN564" s="1414"/>
      <c r="AO564" s="1414"/>
      <c r="AP564" s="1414"/>
      <c r="AQ564" s="1414"/>
      <c r="AR564" s="1414"/>
      <c r="AS564" s="1414"/>
      <c r="AT564" s="1414"/>
      <c r="AU564" s="1414"/>
      <c r="AV564" s="1414"/>
      <c r="AW564" s="1414"/>
      <c r="AX564" s="1414"/>
      <c r="AY564" s="1399"/>
      <c r="AZ564" s="1399"/>
      <c r="BA564" s="1399"/>
      <c r="BB564" s="1399"/>
      <c r="BC564" s="1399"/>
      <c r="BD564" s="1399"/>
      <c r="BE564" s="1414"/>
      <c r="BF564" s="1399"/>
      <c r="BG564" s="1399"/>
      <c r="BH564" s="1399"/>
      <c r="BI564" s="1399"/>
      <c r="BJ564" s="1399"/>
      <c r="BK564" s="1399"/>
      <c r="BL564" s="1399"/>
      <c r="BM564" s="1399"/>
      <c r="BN564" s="1399"/>
      <c r="BO564" s="1399"/>
      <c r="BP564" s="1399"/>
      <c r="BQ564" s="1399"/>
      <c r="BR564" s="1399"/>
      <c r="BS564" s="1399"/>
      <c r="BT564" s="1399"/>
      <c r="BU564" s="2838"/>
      <c r="BV564" s="2838"/>
      <c r="BW564" s="2838"/>
      <c r="BX564" s="2838"/>
      <c r="BY564" s="2838"/>
      <c r="BZ564" s="2838"/>
      <c r="CA564" s="2838"/>
      <c r="CB564" s="2838"/>
      <c r="CC564" s="2838"/>
      <c r="CD564" s="2838"/>
      <c r="CE564" s="1399"/>
      <c r="CF564" s="1399"/>
      <c r="CG564" s="1399"/>
      <c r="CH564" s="1399"/>
      <c r="CI564" s="1399"/>
      <c r="CJ564" s="1399"/>
      <c r="CK564" s="1399"/>
      <c r="CL564" s="1399"/>
      <c r="CM564" s="1399"/>
      <c r="CN564" s="1399"/>
      <c r="CO564" s="1399"/>
      <c r="CP564" s="1399"/>
      <c r="CQ564" s="1399"/>
      <c r="CR564" s="1399"/>
      <c r="CS564" s="1399"/>
      <c r="CT564" s="1399"/>
      <c r="CU564" s="1399"/>
      <c r="CV564" s="1399"/>
      <c r="CW564" s="1399"/>
      <c r="CX564" s="1399"/>
      <c r="CY564" s="1399"/>
      <c r="CZ564" s="1399"/>
      <c r="DA564" s="1399"/>
      <c r="DB564" s="1399"/>
      <c r="DC564" s="1399"/>
      <c r="DD564" s="1399"/>
      <c r="DE564" s="1399"/>
      <c r="DF564" s="1399"/>
      <c r="DG564" s="1399"/>
      <c r="DH564" s="1399"/>
      <c r="DI564" s="1399"/>
      <c r="DJ564" s="1399"/>
      <c r="DK564" s="1399"/>
      <c r="DL564" s="1399"/>
      <c r="DM564" s="1399"/>
      <c r="DN564" s="1399"/>
      <c r="DO564" s="1399"/>
      <c r="DP564" s="1399"/>
      <c r="DQ564" s="1399"/>
      <c r="DR564" s="1399"/>
      <c r="DS564" s="1399"/>
      <c r="DT564" s="1399"/>
      <c r="DU564" s="1399"/>
    </row>
    <row r="565" spans="1:125">
      <c r="A565" s="1414"/>
      <c r="B565" s="1414"/>
      <c r="C565" s="1414"/>
      <c r="D565" s="1414"/>
      <c r="E565" s="1414"/>
      <c r="F565" s="1414"/>
      <c r="G565" s="1414"/>
      <c r="H565" s="1414"/>
      <c r="I565" s="1414"/>
      <c r="J565" s="1414"/>
      <c r="K565" s="1414"/>
      <c r="L565" s="1414"/>
      <c r="M565" s="1414"/>
      <c r="N565" s="1414"/>
      <c r="O565" s="1414"/>
      <c r="P565" s="1414"/>
      <c r="Q565" s="1414"/>
      <c r="R565" s="1414"/>
      <c r="S565" s="1414"/>
      <c r="T565" s="1414"/>
      <c r="U565" s="1414"/>
      <c r="V565" s="1414"/>
      <c r="W565" s="1414"/>
      <c r="X565" s="1414"/>
      <c r="Y565" s="1414"/>
      <c r="Z565" s="1414"/>
      <c r="AA565" s="1414"/>
      <c r="AB565" s="1414"/>
      <c r="AC565" s="1414"/>
      <c r="AD565" s="1414"/>
      <c r="AE565" s="1414"/>
      <c r="AF565" s="1414"/>
      <c r="AG565" s="1414"/>
      <c r="AH565" s="1414"/>
      <c r="AI565" s="1414"/>
      <c r="AJ565" s="1414"/>
      <c r="AK565" s="1414"/>
      <c r="AL565" s="1414"/>
      <c r="AM565" s="1414"/>
      <c r="AN565" s="1414"/>
      <c r="AO565" s="1414"/>
      <c r="AP565" s="1414"/>
      <c r="AQ565" s="1414"/>
      <c r="AR565" s="1414"/>
      <c r="AS565" s="1414"/>
      <c r="AT565" s="1414"/>
      <c r="AU565" s="1414"/>
      <c r="AV565" s="1414"/>
      <c r="AW565" s="1414"/>
      <c r="AX565" s="1414"/>
      <c r="AY565" s="1399"/>
      <c r="AZ565" s="1399"/>
      <c r="BA565" s="1399"/>
      <c r="BB565" s="1399"/>
      <c r="BC565" s="1399"/>
      <c r="BD565" s="1399"/>
      <c r="BE565" s="1414"/>
      <c r="BF565" s="1399"/>
      <c r="BG565" s="1399"/>
      <c r="BH565" s="1399"/>
      <c r="BI565" s="1399"/>
      <c r="BJ565" s="1399"/>
      <c r="BK565" s="1399"/>
      <c r="BL565" s="1399"/>
      <c r="BM565" s="1399"/>
      <c r="BN565" s="1399"/>
      <c r="BO565" s="1399"/>
      <c r="BP565" s="1399"/>
      <c r="BQ565" s="1399"/>
      <c r="BR565" s="1399"/>
      <c r="BS565" s="1399"/>
      <c r="BT565" s="1399"/>
      <c r="BU565" s="2838"/>
      <c r="BV565" s="2838"/>
      <c r="BW565" s="2838"/>
      <c r="BX565" s="2838"/>
      <c r="BY565" s="2838"/>
      <c r="BZ565" s="2838"/>
      <c r="CA565" s="2838"/>
      <c r="CB565" s="2838"/>
      <c r="CC565" s="2838"/>
      <c r="CD565" s="2838"/>
      <c r="CE565" s="1399"/>
      <c r="CF565" s="1399"/>
      <c r="CG565" s="1399"/>
      <c r="CH565" s="1399"/>
      <c r="CI565" s="1399"/>
      <c r="CJ565" s="1399"/>
      <c r="CK565" s="1399"/>
      <c r="CL565" s="1399"/>
      <c r="CM565" s="1399"/>
      <c r="CN565" s="1399"/>
      <c r="CO565" s="1399"/>
      <c r="CP565" s="1399"/>
      <c r="CQ565" s="1399"/>
      <c r="CR565" s="1399"/>
      <c r="CS565" s="1399"/>
      <c r="CT565" s="1399"/>
      <c r="CU565" s="1399"/>
      <c r="CV565" s="1399"/>
      <c r="CW565" s="1399"/>
      <c r="CX565" s="1399"/>
      <c r="CY565" s="1399"/>
      <c r="CZ565" s="1399"/>
      <c r="DA565" s="1399"/>
      <c r="DB565" s="1399"/>
      <c r="DC565" s="1399"/>
      <c r="DD565" s="1399"/>
      <c r="DE565" s="1399"/>
      <c r="DF565" s="1399"/>
      <c r="DG565" s="1399"/>
      <c r="DH565" s="1399"/>
      <c r="DI565" s="1399"/>
      <c r="DJ565" s="1399"/>
      <c r="DK565" s="1399"/>
      <c r="DL565" s="1399"/>
      <c r="DM565" s="1399"/>
      <c r="DN565" s="1399"/>
      <c r="DO565" s="1399"/>
      <c r="DP565" s="1399"/>
      <c r="DQ565" s="1399"/>
      <c r="DR565" s="1399"/>
      <c r="DS565" s="1399"/>
      <c r="DT565" s="1399"/>
      <c r="DU565" s="1399"/>
    </row>
    <row r="566" spans="1:125">
      <c r="A566" s="1414"/>
      <c r="B566" s="1414"/>
      <c r="C566" s="1414"/>
      <c r="D566" s="1414"/>
      <c r="E566" s="1414"/>
      <c r="F566" s="1414"/>
      <c r="G566" s="1414"/>
      <c r="H566" s="1414"/>
      <c r="I566" s="1414"/>
      <c r="J566" s="1414"/>
      <c r="K566" s="1414"/>
      <c r="L566" s="1414"/>
      <c r="M566" s="1414"/>
      <c r="N566" s="1414"/>
      <c r="O566" s="1414"/>
      <c r="P566" s="1414"/>
      <c r="Q566" s="1414"/>
      <c r="R566" s="1414"/>
      <c r="S566" s="1414"/>
      <c r="T566" s="1414"/>
      <c r="U566" s="1414"/>
      <c r="V566" s="1414"/>
      <c r="W566" s="1414"/>
      <c r="X566" s="1414"/>
      <c r="Y566" s="1414"/>
      <c r="Z566" s="1414"/>
      <c r="AA566" s="1414"/>
      <c r="AB566" s="1414"/>
      <c r="AC566" s="1414"/>
      <c r="AD566" s="1414"/>
      <c r="AE566" s="1414"/>
      <c r="AF566" s="1414"/>
      <c r="AG566" s="1414"/>
      <c r="AH566" s="1414"/>
      <c r="AI566" s="1414"/>
      <c r="AJ566" s="1414"/>
      <c r="AK566" s="1414"/>
      <c r="AL566" s="1414"/>
      <c r="AM566" s="1414"/>
      <c r="AN566" s="1414"/>
      <c r="AO566" s="1414"/>
      <c r="AP566" s="1414"/>
      <c r="AQ566" s="1414"/>
      <c r="AR566" s="1414"/>
      <c r="AS566" s="1414"/>
      <c r="AT566" s="1414"/>
      <c r="AU566" s="1414"/>
      <c r="AV566" s="1414"/>
      <c r="AW566" s="1414"/>
      <c r="AX566" s="1414"/>
      <c r="AY566" s="1399"/>
      <c r="AZ566" s="1399"/>
      <c r="BA566" s="1399"/>
      <c r="BB566" s="1399"/>
      <c r="BC566" s="1399"/>
      <c r="BD566" s="1399"/>
      <c r="BE566" s="1414"/>
      <c r="BF566" s="1399"/>
      <c r="BG566" s="1399"/>
      <c r="BH566" s="1399"/>
      <c r="BI566" s="1399"/>
      <c r="BJ566" s="1399"/>
      <c r="BK566" s="1399"/>
      <c r="BL566" s="1399"/>
      <c r="BM566" s="1399"/>
      <c r="BN566" s="1399"/>
      <c r="BO566" s="1399"/>
      <c r="BP566" s="1399"/>
      <c r="BQ566" s="1399"/>
      <c r="BR566" s="1399"/>
      <c r="BS566" s="1399"/>
      <c r="BT566" s="1399"/>
      <c r="BU566" s="2838"/>
      <c r="BV566" s="2838"/>
      <c r="BW566" s="2838"/>
      <c r="BX566" s="2838"/>
      <c r="BY566" s="2838"/>
      <c r="BZ566" s="2838"/>
      <c r="CA566" s="2838"/>
      <c r="CB566" s="2838"/>
      <c r="CC566" s="2838"/>
      <c r="CD566" s="2838"/>
      <c r="CE566" s="1399"/>
      <c r="CF566" s="1399"/>
      <c r="CG566" s="1399"/>
      <c r="CH566" s="1399"/>
      <c r="CI566" s="1399"/>
      <c r="CJ566" s="1399"/>
      <c r="CK566" s="1399"/>
      <c r="CL566" s="1399"/>
      <c r="CM566" s="1399"/>
      <c r="CN566" s="1399"/>
      <c r="CO566" s="1399"/>
      <c r="CP566" s="1399"/>
      <c r="CQ566" s="1399"/>
      <c r="CR566" s="1399"/>
      <c r="CS566" s="1399"/>
      <c r="CT566" s="1399"/>
      <c r="CU566" s="1399"/>
      <c r="CV566" s="1399"/>
      <c r="CW566" s="1399"/>
      <c r="CX566" s="1399"/>
      <c r="CY566" s="1399"/>
      <c r="CZ566" s="1399"/>
      <c r="DA566" s="1399"/>
      <c r="DB566" s="1399"/>
      <c r="DC566" s="1399"/>
      <c r="DD566" s="1399"/>
      <c r="DE566" s="1399"/>
      <c r="DF566" s="1399"/>
      <c r="DG566" s="1399"/>
      <c r="DH566" s="1399"/>
      <c r="DI566" s="1399"/>
      <c r="DJ566" s="1399"/>
      <c r="DK566" s="1399"/>
      <c r="DL566" s="1399"/>
      <c r="DM566" s="1399"/>
      <c r="DN566" s="1399"/>
      <c r="DO566" s="1399"/>
      <c r="DP566" s="1399"/>
      <c r="DQ566" s="1399"/>
      <c r="DR566" s="1399"/>
      <c r="DS566" s="1399"/>
      <c r="DT566" s="1399"/>
      <c r="DU566" s="1399"/>
    </row>
    <row r="567" spans="1:125">
      <c r="A567" s="1414"/>
      <c r="B567" s="1414"/>
      <c r="C567" s="1414"/>
      <c r="D567" s="1414"/>
      <c r="E567" s="1414"/>
      <c r="F567" s="1414"/>
      <c r="G567" s="1414"/>
      <c r="H567" s="1414"/>
      <c r="I567" s="1414"/>
      <c r="J567" s="1414"/>
      <c r="K567" s="1414"/>
      <c r="L567" s="1414"/>
      <c r="M567" s="1414"/>
      <c r="N567" s="1414"/>
      <c r="O567" s="1414"/>
      <c r="P567" s="1414"/>
      <c r="Q567" s="1414"/>
      <c r="R567" s="1414"/>
      <c r="S567" s="1414"/>
      <c r="T567" s="1414"/>
      <c r="U567" s="1414"/>
      <c r="V567" s="1414"/>
      <c r="W567" s="1414"/>
      <c r="X567" s="1414"/>
      <c r="Y567" s="1414"/>
      <c r="Z567" s="1414"/>
      <c r="AA567" s="1414"/>
      <c r="AB567" s="1414"/>
      <c r="AC567" s="1414"/>
      <c r="AD567" s="1414"/>
      <c r="AE567" s="1414"/>
      <c r="AF567" s="1414"/>
      <c r="AG567" s="1414"/>
      <c r="AH567" s="1414"/>
      <c r="AI567" s="1414"/>
      <c r="AJ567" s="1414"/>
      <c r="AK567" s="1414"/>
      <c r="AL567" s="1414"/>
      <c r="AM567" s="1414"/>
      <c r="AN567" s="1414"/>
      <c r="AO567" s="1414"/>
      <c r="AP567" s="1414"/>
      <c r="AQ567" s="1414"/>
      <c r="AR567" s="1414"/>
      <c r="AS567" s="1414"/>
      <c r="AT567" s="1414"/>
      <c r="AU567" s="1414"/>
      <c r="AV567" s="1414"/>
      <c r="AW567" s="1414"/>
      <c r="AX567" s="1414"/>
      <c r="AY567" s="1399"/>
      <c r="AZ567" s="1399"/>
      <c r="BA567" s="1399"/>
      <c r="BB567" s="1399"/>
      <c r="BC567" s="1399"/>
      <c r="BD567" s="1399"/>
      <c r="BE567" s="1414"/>
      <c r="BF567" s="1399"/>
      <c r="BG567" s="1399"/>
      <c r="BH567" s="1399"/>
      <c r="BI567" s="1399"/>
      <c r="BJ567" s="1399"/>
      <c r="BK567" s="1399"/>
      <c r="BL567" s="1399"/>
      <c r="BM567" s="1399"/>
      <c r="BN567" s="1399"/>
      <c r="BO567" s="1399"/>
      <c r="BP567" s="1399"/>
      <c r="BQ567" s="1399"/>
      <c r="BR567" s="1399"/>
      <c r="BS567" s="1399"/>
      <c r="BT567" s="1399"/>
      <c r="BU567" s="2838"/>
      <c r="BV567" s="2838"/>
      <c r="BW567" s="2838"/>
      <c r="BX567" s="2838"/>
      <c r="BY567" s="2838"/>
      <c r="BZ567" s="2838"/>
      <c r="CA567" s="2838"/>
      <c r="CB567" s="2838"/>
      <c r="CC567" s="2838"/>
      <c r="CD567" s="2838"/>
      <c r="CE567" s="1399"/>
      <c r="CF567" s="1399"/>
      <c r="CG567" s="1399"/>
      <c r="CH567" s="1399"/>
      <c r="CI567" s="1399"/>
      <c r="CJ567" s="1399"/>
      <c r="CK567" s="1399"/>
      <c r="CL567" s="1399"/>
      <c r="CM567" s="1399"/>
      <c r="CN567" s="1399"/>
      <c r="CO567" s="1399"/>
      <c r="CP567" s="1399"/>
      <c r="CQ567" s="1399"/>
      <c r="CR567" s="1399"/>
      <c r="CS567" s="1399"/>
      <c r="CT567" s="1399"/>
      <c r="CU567" s="1399"/>
      <c r="CV567" s="1399"/>
      <c r="CW567" s="1399"/>
      <c r="CX567" s="1399"/>
      <c r="CY567" s="1399"/>
      <c r="CZ567" s="1399"/>
      <c r="DA567" s="1399"/>
      <c r="DB567" s="1399"/>
      <c r="DC567" s="1399"/>
      <c r="DD567" s="1399"/>
      <c r="DE567" s="1399"/>
      <c r="DF567" s="1399"/>
      <c r="DG567" s="1399"/>
      <c r="DH567" s="1399"/>
      <c r="DI567" s="1399"/>
      <c r="DJ567" s="1399"/>
      <c r="DK567" s="1399"/>
      <c r="DL567" s="1399"/>
      <c r="DM567" s="1399"/>
      <c r="DN567" s="1399"/>
      <c r="DO567" s="1399"/>
      <c r="DP567" s="1399"/>
      <c r="DQ567" s="1399"/>
      <c r="DR567" s="1399"/>
      <c r="DS567" s="1399"/>
      <c r="DT567" s="1399"/>
      <c r="DU567" s="1399"/>
    </row>
    <row r="568" spans="1:125">
      <c r="A568" s="1414"/>
      <c r="B568" s="1414"/>
      <c r="C568" s="1414"/>
      <c r="D568" s="1414"/>
      <c r="E568" s="1414"/>
      <c r="F568" s="1414"/>
      <c r="G568" s="1414"/>
      <c r="H568" s="1414"/>
      <c r="I568" s="1414"/>
      <c r="J568" s="1414"/>
      <c r="K568" s="1414"/>
      <c r="L568" s="1414"/>
      <c r="M568" s="1414"/>
      <c r="N568" s="1414"/>
      <c r="O568" s="1414"/>
      <c r="P568" s="1414"/>
      <c r="Q568" s="1414"/>
      <c r="R568" s="1414"/>
      <c r="S568" s="1414"/>
      <c r="T568" s="1414"/>
      <c r="U568" s="1414"/>
      <c r="V568" s="1414"/>
      <c r="W568" s="1414"/>
      <c r="X568" s="1414"/>
      <c r="Y568" s="1414"/>
      <c r="Z568" s="1414"/>
      <c r="AA568" s="1414"/>
      <c r="AB568" s="1414"/>
      <c r="AC568" s="1414"/>
      <c r="AD568" s="1414"/>
      <c r="AE568" s="1414"/>
      <c r="AF568" s="1414"/>
      <c r="AG568" s="1414"/>
      <c r="AH568" s="1414"/>
      <c r="AI568" s="1414"/>
      <c r="AJ568" s="1414"/>
      <c r="AK568" s="1414"/>
      <c r="AL568" s="1414"/>
      <c r="AM568" s="1414"/>
      <c r="AN568" s="1414"/>
      <c r="AO568" s="1414"/>
      <c r="AP568" s="1414"/>
      <c r="AQ568" s="1414"/>
      <c r="AR568" s="1414"/>
      <c r="AS568" s="1414"/>
      <c r="AT568" s="1414"/>
      <c r="AU568" s="1414"/>
      <c r="AV568" s="1414"/>
      <c r="AW568" s="1414"/>
      <c r="AX568" s="1414"/>
      <c r="AY568" s="1399"/>
      <c r="AZ568" s="1399"/>
      <c r="BA568" s="1399"/>
      <c r="BB568" s="1399"/>
      <c r="BC568" s="1399"/>
      <c r="BD568" s="1399"/>
      <c r="BE568" s="1414"/>
      <c r="BF568" s="1399"/>
      <c r="BG568" s="1399"/>
      <c r="BH568" s="1399"/>
      <c r="BI568" s="1399"/>
      <c r="BJ568" s="1399"/>
      <c r="BK568" s="1399"/>
      <c r="BL568" s="1399"/>
      <c r="BM568" s="1399"/>
      <c r="BN568" s="1399"/>
      <c r="BO568" s="1399"/>
      <c r="BP568" s="1399"/>
      <c r="BQ568" s="1399"/>
      <c r="BR568" s="1399"/>
      <c r="BS568" s="1399"/>
      <c r="BT568" s="1399"/>
      <c r="BU568" s="2838"/>
      <c r="BV568" s="2838"/>
      <c r="BW568" s="2838"/>
      <c r="BX568" s="2838"/>
      <c r="BY568" s="2838"/>
      <c r="BZ568" s="2838"/>
      <c r="CA568" s="2838"/>
      <c r="CB568" s="2838"/>
      <c r="CC568" s="2838"/>
      <c r="CD568" s="2838"/>
      <c r="CE568" s="1399"/>
      <c r="CF568" s="1399"/>
      <c r="CG568" s="1399"/>
      <c r="CH568" s="1399"/>
      <c r="CI568" s="1399"/>
      <c r="CJ568" s="1399"/>
      <c r="CK568" s="1399"/>
      <c r="CL568" s="1399"/>
      <c r="CM568" s="1399"/>
      <c r="CN568" s="1399"/>
      <c r="CO568" s="1399"/>
      <c r="CP568" s="1399"/>
      <c r="CQ568" s="1399"/>
      <c r="CR568" s="1399"/>
      <c r="CS568" s="1399"/>
      <c r="CT568" s="1399"/>
      <c r="CU568" s="1399"/>
      <c r="CV568" s="1399"/>
      <c r="CW568" s="1399"/>
      <c r="CX568" s="1399"/>
      <c r="CY568" s="1399"/>
      <c r="CZ568" s="1399"/>
      <c r="DA568" s="1399"/>
      <c r="DB568" s="1399"/>
      <c r="DC568" s="1399"/>
      <c r="DD568" s="1399"/>
      <c r="DE568" s="1399"/>
      <c r="DF568" s="1399"/>
      <c r="DG568" s="1399"/>
      <c r="DH568" s="1399"/>
      <c r="DI568" s="1399"/>
      <c r="DJ568" s="1399"/>
      <c r="DK568" s="1399"/>
      <c r="DL568" s="1399"/>
      <c r="DM568" s="1399"/>
      <c r="DN568" s="1399"/>
      <c r="DO568" s="1399"/>
      <c r="DP568" s="1399"/>
      <c r="DQ568" s="1399"/>
      <c r="DR568" s="1399"/>
      <c r="DS568" s="1399"/>
      <c r="DT568" s="1399"/>
      <c r="DU568" s="1399"/>
    </row>
    <row r="569" spans="1:125">
      <c r="A569" s="1414"/>
      <c r="B569" s="1414"/>
      <c r="C569" s="1414"/>
      <c r="D569" s="1414"/>
      <c r="E569" s="1414"/>
      <c r="F569" s="1414"/>
      <c r="G569" s="1414"/>
      <c r="H569" s="1414"/>
      <c r="I569" s="1414"/>
      <c r="J569" s="1414"/>
      <c r="K569" s="1414"/>
      <c r="L569" s="1414"/>
      <c r="M569" s="1414"/>
      <c r="N569" s="1414"/>
      <c r="O569" s="1414"/>
      <c r="P569" s="1414"/>
      <c r="Q569" s="1414"/>
      <c r="R569" s="1414"/>
      <c r="S569" s="1414"/>
      <c r="T569" s="1414"/>
      <c r="U569" s="1414"/>
      <c r="V569" s="1414"/>
      <c r="W569" s="1414"/>
      <c r="X569" s="1414"/>
      <c r="Y569" s="1414"/>
      <c r="Z569" s="1414"/>
      <c r="AA569" s="1414"/>
      <c r="AB569" s="1414"/>
      <c r="AC569" s="1414"/>
      <c r="AD569" s="1414"/>
      <c r="AE569" s="1414"/>
      <c r="AF569" s="1414"/>
      <c r="AG569" s="1414"/>
      <c r="AH569" s="1414"/>
      <c r="AI569" s="1414"/>
      <c r="AJ569" s="1414"/>
      <c r="AK569" s="1414"/>
      <c r="AL569" s="1414"/>
      <c r="AM569" s="1414"/>
      <c r="AN569" s="1414"/>
      <c r="AO569" s="1414"/>
      <c r="AP569" s="1414"/>
      <c r="AQ569" s="1414"/>
      <c r="AR569" s="1414"/>
      <c r="AS569" s="1414"/>
      <c r="AT569" s="1414"/>
      <c r="AU569" s="1414"/>
      <c r="AV569" s="1414"/>
      <c r="AW569" s="1414"/>
      <c r="AX569" s="1414"/>
      <c r="AY569" s="1399"/>
      <c r="AZ569" s="1399"/>
      <c r="BA569" s="1399"/>
      <c r="BB569" s="1399"/>
      <c r="BC569" s="1399"/>
      <c r="BD569" s="1399"/>
      <c r="BE569" s="1414"/>
      <c r="BF569" s="1399"/>
      <c r="BG569" s="1399"/>
      <c r="BH569" s="1399"/>
      <c r="BI569" s="1399"/>
      <c r="BJ569" s="1399"/>
      <c r="BK569" s="1399"/>
      <c r="BL569" s="1399"/>
      <c r="BM569" s="1399"/>
      <c r="BN569" s="1399"/>
      <c r="BO569" s="1399"/>
      <c r="BP569" s="1399"/>
      <c r="BQ569" s="1399"/>
      <c r="BR569" s="1399"/>
      <c r="BS569" s="1399"/>
      <c r="BT569" s="1399"/>
      <c r="BU569" s="2838"/>
      <c r="BV569" s="2838"/>
      <c r="BW569" s="2838"/>
      <c r="BX569" s="2838"/>
      <c r="BY569" s="2838"/>
      <c r="BZ569" s="2838"/>
      <c r="CA569" s="2838"/>
      <c r="CB569" s="2838"/>
      <c r="CC569" s="2838"/>
      <c r="CD569" s="2838"/>
      <c r="CE569" s="1399"/>
      <c r="CF569" s="1399"/>
      <c r="CG569" s="1399"/>
      <c r="CH569" s="1399"/>
      <c r="CI569" s="1399"/>
      <c r="CJ569" s="1399"/>
      <c r="CK569" s="1399"/>
      <c r="CL569" s="1399"/>
      <c r="CM569" s="1399"/>
      <c r="CN569" s="1399"/>
      <c r="CO569" s="1399"/>
      <c r="CP569" s="1399"/>
      <c r="CQ569" s="1399"/>
      <c r="CR569" s="1399"/>
      <c r="CS569" s="1399"/>
      <c r="CT569" s="1399"/>
      <c r="CU569" s="1399"/>
      <c r="CV569" s="1399"/>
      <c r="CW569" s="1399"/>
      <c r="CX569" s="1399"/>
      <c r="CY569" s="1399"/>
      <c r="CZ569" s="1399"/>
      <c r="DA569" s="1399"/>
      <c r="DB569" s="1399"/>
      <c r="DC569" s="1399"/>
      <c r="DD569" s="1399"/>
      <c r="DE569" s="1399"/>
      <c r="DF569" s="1399"/>
      <c r="DG569" s="1399"/>
      <c r="DH569" s="1399"/>
      <c r="DI569" s="1399"/>
      <c r="DJ569" s="1399"/>
      <c r="DK569" s="1399"/>
      <c r="DL569" s="1399"/>
      <c r="DM569" s="1399"/>
      <c r="DN569" s="1399"/>
      <c r="DO569" s="1399"/>
      <c r="DP569" s="1399"/>
      <c r="DQ569" s="1399"/>
      <c r="DR569" s="1399"/>
      <c r="DS569" s="1399"/>
      <c r="DT569" s="1399"/>
      <c r="DU569" s="1399"/>
    </row>
    <row r="570" spans="1:125">
      <c r="A570" s="1414"/>
      <c r="B570" s="1414"/>
      <c r="C570" s="1414"/>
      <c r="D570" s="1414"/>
      <c r="E570" s="1414"/>
      <c r="F570" s="1414"/>
      <c r="G570" s="1414"/>
      <c r="H570" s="1414"/>
      <c r="I570" s="1414"/>
      <c r="J570" s="1414"/>
      <c r="K570" s="1414"/>
      <c r="L570" s="1414"/>
      <c r="M570" s="1414"/>
      <c r="N570" s="1414"/>
      <c r="O570" s="1414"/>
      <c r="P570" s="1414"/>
      <c r="Q570" s="1414"/>
      <c r="R570" s="1414"/>
      <c r="S570" s="1414"/>
      <c r="T570" s="1414"/>
      <c r="U570" s="1414"/>
      <c r="V570" s="1414"/>
      <c r="W570" s="1414"/>
      <c r="X570" s="1414"/>
      <c r="Y570" s="1414"/>
      <c r="Z570" s="1414"/>
      <c r="AA570" s="1414"/>
      <c r="AB570" s="1414"/>
      <c r="AC570" s="1414"/>
      <c r="AD570" s="1414"/>
      <c r="AE570" s="1414"/>
      <c r="AF570" s="1414"/>
      <c r="AG570" s="1414"/>
      <c r="AH570" s="1414"/>
      <c r="AI570" s="1414"/>
      <c r="AJ570" s="1414"/>
      <c r="AK570" s="1414"/>
      <c r="AL570" s="1414"/>
      <c r="AM570" s="1414"/>
      <c r="AN570" s="1414"/>
      <c r="AO570" s="1414"/>
      <c r="AP570" s="1414"/>
      <c r="AQ570" s="1414"/>
      <c r="AR570" s="1414"/>
      <c r="AS570" s="1414"/>
      <c r="AT570" s="1414"/>
      <c r="AU570" s="1414"/>
      <c r="AV570" s="1414"/>
      <c r="AW570" s="1414"/>
      <c r="AX570" s="1414"/>
      <c r="AY570" s="1399"/>
      <c r="AZ570" s="1399"/>
      <c r="BA570" s="1399"/>
      <c r="BB570" s="1399"/>
      <c r="BC570" s="1399"/>
      <c r="BD570" s="1399"/>
      <c r="BE570" s="1414"/>
      <c r="BF570" s="1399"/>
      <c r="BG570" s="1399"/>
      <c r="BH570" s="1399"/>
      <c r="BI570" s="1399"/>
      <c r="BJ570" s="1399"/>
      <c r="BK570" s="1399"/>
      <c r="BL570" s="1399"/>
      <c r="BM570" s="1399"/>
      <c r="BN570" s="1399"/>
      <c r="BO570" s="1399"/>
      <c r="BP570" s="1399"/>
      <c r="BQ570" s="1399"/>
      <c r="BR570" s="1399"/>
      <c r="BS570" s="1399"/>
      <c r="BT570" s="1399"/>
      <c r="BU570" s="2838"/>
      <c r="BV570" s="2838"/>
      <c r="BW570" s="2838"/>
      <c r="BX570" s="2838"/>
      <c r="BY570" s="2838"/>
      <c r="BZ570" s="2838"/>
      <c r="CA570" s="2838"/>
      <c r="CB570" s="2838"/>
      <c r="CC570" s="2838"/>
      <c r="CD570" s="2838"/>
      <c r="CE570" s="1399"/>
      <c r="CF570" s="1399"/>
      <c r="CG570" s="1399"/>
      <c r="CH570" s="1399"/>
      <c r="CI570" s="1399"/>
      <c r="CJ570" s="1399"/>
      <c r="CK570" s="1399"/>
      <c r="CL570" s="1399"/>
      <c r="CM570" s="1399"/>
      <c r="CN570" s="1399"/>
      <c r="CO570" s="1399"/>
      <c r="CP570" s="1399"/>
      <c r="CQ570" s="1399"/>
      <c r="CR570" s="1399"/>
      <c r="CS570" s="1399"/>
      <c r="CT570" s="1399"/>
      <c r="CU570" s="1399"/>
      <c r="CV570" s="1399"/>
      <c r="CW570" s="1399"/>
      <c r="CX570" s="1399"/>
      <c r="CY570" s="1399"/>
      <c r="CZ570" s="1399"/>
      <c r="DA570" s="1399"/>
      <c r="DB570" s="1399"/>
      <c r="DC570" s="1399"/>
      <c r="DD570" s="1399"/>
      <c r="DE570" s="1399"/>
      <c r="DF570" s="1399"/>
      <c r="DG570" s="1399"/>
      <c r="DH570" s="1399"/>
      <c r="DI570" s="1399"/>
      <c r="DJ570" s="1399"/>
      <c r="DK570" s="1399"/>
      <c r="DL570" s="1399"/>
      <c r="DM570" s="1399"/>
      <c r="DN570" s="1399"/>
      <c r="DO570" s="1399"/>
      <c r="DP570" s="1399"/>
      <c r="DQ570" s="1399"/>
      <c r="DR570" s="1399"/>
      <c r="DS570" s="1399"/>
      <c r="DT570" s="1399"/>
      <c r="DU570" s="1399"/>
    </row>
    <row r="571" spans="1:125">
      <c r="A571" s="1414"/>
      <c r="B571" s="1414"/>
      <c r="C571" s="1414"/>
      <c r="D571" s="1414"/>
      <c r="E571" s="1414"/>
      <c r="F571" s="1414"/>
      <c r="G571" s="1414"/>
      <c r="H571" s="1414"/>
      <c r="I571" s="1414"/>
      <c r="J571" s="1414"/>
      <c r="K571" s="1414"/>
      <c r="L571" s="1414"/>
      <c r="M571" s="1414"/>
      <c r="N571" s="1414"/>
      <c r="O571" s="1414"/>
      <c r="P571" s="1414"/>
      <c r="Q571" s="1414"/>
      <c r="R571" s="1414"/>
      <c r="S571" s="1414"/>
      <c r="T571" s="1414"/>
      <c r="U571" s="1414"/>
      <c r="V571" s="1414"/>
      <c r="W571" s="1414"/>
      <c r="X571" s="1414"/>
      <c r="Y571" s="1414"/>
      <c r="Z571" s="1414"/>
      <c r="AA571" s="1414"/>
      <c r="AB571" s="1414"/>
      <c r="AC571" s="1414"/>
      <c r="AD571" s="1414"/>
      <c r="AE571" s="1414"/>
      <c r="AF571" s="1414"/>
      <c r="AG571" s="1414"/>
      <c r="AH571" s="1414"/>
      <c r="AI571" s="1414"/>
      <c r="AJ571" s="1414"/>
      <c r="AK571" s="1414"/>
      <c r="AL571" s="1414"/>
      <c r="AM571" s="1414"/>
      <c r="AN571" s="1414"/>
      <c r="AO571" s="1414"/>
      <c r="AP571" s="1414"/>
      <c r="AQ571" s="1414"/>
      <c r="AR571" s="1414"/>
      <c r="AS571" s="1414"/>
      <c r="AT571" s="1414"/>
      <c r="AU571" s="1414"/>
      <c r="AV571" s="1414"/>
      <c r="AW571" s="1414"/>
      <c r="AX571" s="1414"/>
      <c r="AY571" s="1399"/>
      <c r="AZ571" s="1399"/>
      <c r="BA571" s="1399"/>
      <c r="BB571" s="1399"/>
      <c r="BC571" s="1399"/>
      <c r="BD571" s="1399"/>
      <c r="BE571" s="1414"/>
      <c r="BF571" s="1399"/>
      <c r="BG571" s="1399"/>
      <c r="BH571" s="1399"/>
      <c r="BI571" s="1399"/>
      <c r="BJ571" s="1399"/>
      <c r="BK571" s="1399"/>
      <c r="BL571" s="1399"/>
      <c r="BM571" s="1399"/>
      <c r="BN571" s="1399"/>
      <c r="BO571" s="1399"/>
      <c r="BP571" s="1399"/>
      <c r="BQ571" s="1399"/>
      <c r="BR571" s="1399"/>
      <c r="BS571" s="1399"/>
      <c r="BT571" s="1399"/>
      <c r="BU571" s="2838"/>
      <c r="BV571" s="2838"/>
      <c r="BW571" s="2838"/>
      <c r="BX571" s="2838"/>
      <c r="BY571" s="2838"/>
      <c r="BZ571" s="2838"/>
      <c r="CA571" s="2838"/>
      <c r="CB571" s="2838"/>
      <c r="CC571" s="2838"/>
      <c r="CD571" s="2838"/>
      <c r="CE571" s="1399"/>
      <c r="CF571" s="1399"/>
      <c r="CG571" s="1399"/>
      <c r="CH571" s="1399"/>
      <c r="CI571" s="1399"/>
      <c r="CJ571" s="1399"/>
      <c r="CK571" s="1399"/>
      <c r="CL571" s="1399"/>
      <c r="CM571" s="1399"/>
      <c r="CN571" s="1399"/>
      <c r="CO571" s="1399"/>
      <c r="CP571" s="1399"/>
      <c r="CQ571" s="1399"/>
      <c r="CR571" s="1399"/>
      <c r="CS571" s="1399"/>
      <c r="CT571" s="1399"/>
      <c r="CU571" s="1399"/>
      <c r="CV571" s="1399"/>
      <c r="CW571" s="1399"/>
      <c r="CX571" s="1399"/>
      <c r="CY571" s="1399"/>
      <c r="CZ571" s="1399"/>
      <c r="DA571" s="1399"/>
      <c r="DB571" s="1399"/>
      <c r="DC571" s="1399"/>
      <c r="DD571" s="1399"/>
      <c r="DE571" s="1399"/>
      <c r="DF571" s="1399"/>
      <c r="DG571" s="1399"/>
      <c r="DH571" s="1399"/>
      <c r="DI571" s="1399"/>
      <c r="DJ571" s="1399"/>
      <c r="DK571" s="1399"/>
      <c r="DL571" s="1399"/>
      <c r="DM571" s="1399"/>
      <c r="DN571" s="1399"/>
      <c r="DO571" s="1399"/>
      <c r="DP571" s="1399"/>
      <c r="DQ571" s="1399"/>
      <c r="DR571" s="1399"/>
      <c r="DS571" s="1399"/>
      <c r="DT571" s="1399"/>
      <c r="DU571" s="1399"/>
    </row>
    <row r="572" spans="1:125">
      <c r="A572" s="1414"/>
      <c r="B572" s="1414"/>
      <c r="C572" s="1414"/>
      <c r="D572" s="1414"/>
      <c r="E572" s="1414"/>
      <c r="F572" s="1414"/>
      <c r="G572" s="1414"/>
      <c r="H572" s="1414"/>
      <c r="I572" s="1414"/>
      <c r="J572" s="1414"/>
      <c r="K572" s="1414"/>
      <c r="L572" s="1414"/>
      <c r="M572" s="1414"/>
      <c r="N572" s="1414"/>
      <c r="O572" s="1414"/>
      <c r="P572" s="1414"/>
      <c r="Q572" s="1414"/>
      <c r="R572" s="1414"/>
      <c r="S572" s="1414"/>
      <c r="T572" s="1414"/>
      <c r="U572" s="1414"/>
      <c r="V572" s="1414"/>
      <c r="W572" s="1414"/>
      <c r="X572" s="1414"/>
      <c r="Y572" s="1414"/>
      <c r="Z572" s="1414"/>
      <c r="AA572" s="1414"/>
      <c r="AB572" s="1414"/>
      <c r="AC572" s="1414"/>
      <c r="AD572" s="1414"/>
      <c r="AE572" s="1414"/>
      <c r="AF572" s="1414"/>
      <c r="AG572" s="1414"/>
      <c r="AH572" s="1414"/>
      <c r="AI572" s="1414"/>
      <c r="AJ572" s="1414"/>
      <c r="AK572" s="1414"/>
      <c r="AL572" s="1414"/>
      <c r="AM572" s="1414"/>
      <c r="AN572" s="1414"/>
      <c r="AO572" s="1414"/>
      <c r="AP572" s="1414"/>
      <c r="AQ572" s="1414"/>
      <c r="AR572" s="1414"/>
      <c r="AS572" s="1414"/>
      <c r="AT572" s="1414"/>
      <c r="AU572" s="1414"/>
      <c r="AV572" s="1414"/>
      <c r="AW572" s="1414"/>
      <c r="AX572" s="1414"/>
      <c r="AY572" s="1399"/>
      <c r="AZ572" s="1399"/>
      <c r="BA572" s="1399"/>
      <c r="BB572" s="1399"/>
      <c r="BC572" s="1399"/>
      <c r="BD572" s="1399"/>
      <c r="BE572" s="1414"/>
      <c r="BF572" s="1399"/>
      <c r="BG572" s="1399"/>
      <c r="BH572" s="1399"/>
      <c r="BI572" s="1399"/>
      <c r="BJ572" s="1399"/>
      <c r="BK572" s="1399"/>
      <c r="BL572" s="1399"/>
      <c r="BM572" s="1399"/>
      <c r="BN572" s="1399"/>
      <c r="BO572" s="1399"/>
      <c r="BP572" s="1399"/>
      <c r="BQ572" s="1399"/>
      <c r="BR572" s="1399"/>
      <c r="BS572" s="1399"/>
      <c r="BT572" s="1399"/>
      <c r="BU572" s="2838"/>
      <c r="BV572" s="2838"/>
      <c r="BW572" s="2838"/>
      <c r="BX572" s="2838"/>
      <c r="BY572" s="2838"/>
      <c r="BZ572" s="2838"/>
      <c r="CA572" s="2838"/>
      <c r="CB572" s="2838"/>
      <c r="CC572" s="2838"/>
      <c r="CD572" s="2838"/>
      <c r="CE572" s="1399"/>
      <c r="CF572" s="1399"/>
      <c r="CG572" s="1399"/>
      <c r="CH572" s="1399"/>
      <c r="CI572" s="1399"/>
      <c r="CJ572" s="1399"/>
      <c r="CK572" s="1399"/>
      <c r="CL572" s="1399"/>
      <c r="CM572" s="1399"/>
      <c r="CN572" s="1399"/>
      <c r="CO572" s="1399"/>
      <c r="CP572" s="1399"/>
      <c r="CQ572" s="1399"/>
      <c r="CR572" s="1399"/>
      <c r="CS572" s="1399"/>
      <c r="CT572" s="1399"/>
      <c r="CU572" s="1399"/>
      <c r="CV572" s="1399"/>
      <c r="CW572" s="1399"/>
      <c r="CX572" s="1399"/>
      <c r="CY572" s="1399"/>
      <c r="CZ572" s="1399"/>
      <c r="DA572" s="1399"/>
      <c r="DB572" s="1399"/>
      <c r="DC572" s="1399"/>
      <c r="DD572" s="1399"/>
      <c r="DE572" s="1399"/>
      <c r="DF572" s="1399"/>
      <c r="DG572" s="1399"/>
      <c r="DH572" s="1399"/>
      <c r="DI572" s="1399"/>
      <c r="DJ572" s="1399"/>
      <c r="DK572" s="1399"/>
      <c r="DL572" s="1399"/>
      <c r="DM572" s="1399"/>
      <c r="DN572" s="1399"/>
      <c r="DO572" s="1399"/>
      <c r="DP572" s="1399"/>
      <c r="DQ572" s="1399"/>
      <c r="DR572" s="1399"/>
      <c r="DS572" s="1399"/>
      <c r="DT572" s="1399"/>
      <c r="DU572" s="1399"/>
    </row>
    <row r="573" spans="1:125">
      <c r="A573" s="1414"/>
      <c r="B573" s="1414"/>
      <c r="C573" s="1414"/>
      <c r="D573" s="1414"/>
      <c r="E573" s="1414"/>
      <c r="F573" s="1414"/>
      <c r="G573" s="1414"/>
      <c r="H573" s="1414"/>
      <c r="I573" s="1414"/>
      <c r="J573" s="1414"/>
      <c r="K573" s="1414"/>
      <c r="L573" s="1414"/>
      <c r="M573" s="1414"/>
      <c r="N573" s="1414"/>
      <c r="O573" s="1414"/>
      <c r="P573" s="1414"/>
      <c r="Q573" s="1414"/>
      <c r="R573" s="1414"/>
      <c r="S573" s="1414"/>
      <c r="T573" s="1414"/>
      <c r="U573" s="1414"/>
      <c r="V573" s="1414"/>
      <c r="W573" s="1414"/>
      <c r="X573" s="1414"/>
      <c r="Y573" s="1414"/>
      <c r="Z573" s="1414"/>
      <c r="AA573" s="1414"/>
      <c r="AB573" s="1414"/>
      <c r="AC573" s="1414"/>
      <c r="AD573" s="1414"/>
      <c r="AE573" s="1414"/>
      <c r="AF573" s="1414"/>
      <c r="AG573" s="1414"/>
      <c r="AH573" s="1414"/>
      <c r="AI573" s="1414"/>
      <c r="AJ573" s="1414"/>
      <c r="AK573" s="1414"/>
      <c r="AL573" s="1414"/>
      <c r="AM573" s="1414"/>
      <c r="AN573" s="1414"/>
      <c r="AO573" s="1414"/>
      <c r="AP573" s="1414"/>
      <c r="AQ573" s="1414"/>
      <c r="AR573" s="1414"/>
      <c r="AS573" s="1414"/>
      <c r="AT573" s="1414"/>
      <c r="AU573" s="1414"/>
      <c r="AV573" s="1414"/>
      <c r="AW573" s="1414"/>
      <c r="AX573" s="1414"/>
      <c r="AY573" s="1399"/>
      <c r="AZ573" s="1399"/>
      <c r="BA573" s="1399"/>
      <c r="BB573" s="1399"/>
      <c r="BC573" s="1399"/>
      <c r="BD573" s="1399"/>
      <c r="BE573" s="1414"/>
      <c r="BF573" s="1399"/>
      <c r="BG573" s="1399"/>
      <c r="BH573" s="1399"/>
      <c r="BI573" s="1399"/>
      <c r="BJ573" s="1399"/>
      <c r="BK573" s="1399"/>
      <c r="BL573" s="1399"/>
      <c r="BM573" s="1399"/>
      <c r="BN573" s="1399"/>
      <c r="BO573" s="1399"/>
      <c r="BP573" s="1399"/>
      <c r="BQ573" s="1399"/>
      <c r="BR573" s="1399"/>
      <c r="BS573" s="1399"/>
      <c r="BT573" s="1399"/>
      <c r="BU573" s="2838"/>
      <c r="BV573" s="2838"/>
      <c r="BW573" s="2838"/>
      <c r="BX573" s="2838"/>
      <c r="BY573" s="2838"/>
      <c r="BZ573" s="2838"/>
      <c r="CA573" s="2838"/>
      <c r="CB573" s="2838"/>
      <c r="CC573" s="2838"/>
      <c r="CD573" s="2838"/>
      <c r="CE573" s="1399"/>
      <c r="CF573" s="1399"/>
      <c r="CG573" s="1399"/>
      <c r="CH573" s="1399"/>
      <c r="CI573" s="1399"/>
      <c r="CJ573" s="1399"/>
      <c r="CK573" s="1399"/>
      <c r="CL573" s="1399"/>
      <c r="CM573" s="1399"/>
      <c r="CN573" s="1399"/>
      <c r="CO573" s="1399"/>
      <c r="CP573" s="1399"/>
      <c r="CQ573" s="1399"/>
      <c r="CR573" s="1399"/>
      <c r="CS573" s="1399"/>
      <c r="CT573" s="1399"/>
      <c r="CU573" s="1399"/>
      <c r="CV573" s="1399"/>
      <c r="CW573" s="1399"/>
      <c r="CX573" s="1399"/>
      <c r="CY573" s="1399"/>
      <c r="CZ573" s="1399"/>
      <c r="DA573" s="1399"/>
      <c r="DB573" s="1399"/>
      <c r="DC573" s="1399"/>
      <c r="DD573" s="1399"/>
      <c r="DE573" s="1399"/>
      <c r="DF573" s="1399"/>
      <c r="DG573" s="1399"/>
      <c r="DH573" s="1399"/>
      <c r="DI573" s="1399"/>
      <c r="DJ573" s="1399"/>
      <c r="DK573" s="1399"/>
      <c r="DL573" s="1399"/>
      <c r="DM573" s="1399"/>
      <c r="DN573" s="1399"/>
      <c r="DO573" s="1399"/>
      <c r="DP573" s="1399"/>
      <c r="DQ573" s="1399"/>
      <c r="DR573" s="1399"/>
      <c r="DS573" s="1399"/>
      <c r="DT573" s="1399"/>
      <c r="DU573" s="1399"/>
    </row>
    <row r="574" spans="1:125">
      <c r="A574" s="1414"/>
      <c r="B574" s="1414"/>
      <c r="C574" s="1414"/>
      <c r="D574" s="1414"/>
      <c r="E574" s="1414"/>
      <c r="F574" s="1414"/>
      <c r="G574" s="1414"/>
      <c r="H574" s="1414"/>
      <c r="I574" s="1414"/>
      <c r="J574" s="1414"/>
      <c r="K574" s="1414"/>
      <c r="L574" s="1414"/>
      <c r="M574" s="1414"/>
      <c r="N574" s="1414"/>
      <c r="O574" s="1414"/>
      <c r="P574" s="1414"/>
      <c r="Q574" s="1414"/>
      <c r="R574" s="1414"/>
      <c r="S574" s="1414"/>
      <c r="T574" s="1414"/>
      <c r="U574" s="1414"/>
      <c r="V574" s="1414"/>
      <c r="W574" s="1414"/>
      <c r="X574" s="1414"/>
      <c r="Y574" s="1414"/>
      <c r="Z574" s="1414"/>
      <c r="AA574" s="1414"/>
      <c r="AB574" s="1414"/>
      <c r="AC574" s="1414"/>
      <c r="AD574" s="1414"/>
      <c r="AE574" s="1414"/>
      <c r="AF574" s="1414"/>
      <c r="AG574" s="1414"/>
      <c r="AH574" s="1414"/>
      <c r="AI574" s="1414"/>
      <c r="AJ574" s="1414"/>
      <c r="AK574" s="1414"/>
      <c r="AL574" s="1414"/>
      <c r="AM574" s="1414"/>
      <c r="AN574" s="1414"/>
      <c r="AO574" s="1414"/>
      <c r="AP574" s="1414"/>
      <c r="AQ574" s="1414"/>
      <c r="AR574" s="1414"/>
      <c r="AS574" s="1414"/>
      <c r="AT574" s="1414"/>
      <c r="AU574" s="1414"/>
      <c r="AV574" s="1414"/>
      <c r="AW574" s="1414"/>
      <c r="AX574" s="1414"/>
      <c r="AY574" s="1399"/>
      <c r="AZ574" s="1399"/>
      <c r="BA574" s="1399"/>
      <c r="BB574" s="1399"/>
      <c r="BC574" s="1399"/>
      <c r="BD574" s="1399"/>
      <c r="BE574" s="1414"/>
      <c r="BF574" s="1399"/>
      <c r="BG574" s="1399"/>
      <c r="BH574" s="1399"/>
      <c r="BI574" s="1399"/>
      <c r="BJ574" s="1399"/>
      <c r="BK574" s="1399"/>
      <c r="BL574" s="1399"/>
      <c r="BM574" s="1399"/>
      <c r="BN574" s="1399"/>
      <c r="BO574" s="1399"/>
      <c r="BP574" s="1399"/>
      <c r="BQ574" s="1399"/>
      <c r="BR574" s="1399"/>
      <c r="BS574" s="1399"/>
      <c r="BT574" s="1399"/>
      <c r="BU574" s="2838"/>
      <c r="BV574" s="2838"/>
      <c r="BW574" s="2838"/>
      <c r="BX574" s="2838"/>
      <c r="BY574" s="2838"/>
      <c r="BZ574" s="2838"/>
      <c r="CA574" s="2838"/>
      <c r="CB574" s="2838"/>
      <c r="CC574" s="2838"/>
      <c r="CD574" s="2838"/>
      <c r="CE574" s="1399"/>
      <c r="CF574" s="1399"/>
      <c r="CG574" s="1399"/>
      <c r="CH574" s="1399"/>
      <c r="CI574" s="1399"/>
      <c r="CJ574" s="1399"/>
      <c r="CK574" s="1399"/>
      <c r="CL574" s="1399"/>
      <c r="CM574" s="1399"/>
      <c r="CN574" s="1399"/>
      <c r="CO574" s="1399"/>
      <c r="CP574" s="1399"/>
      <c r="CQ574" s="1399"/>
      <c r="CR574" s="1399"/>
      <c r="CS574" s="1399"/>
      <c r="CT574" s="1399"/>
      <c r="CU574" s="1399"/>
      <c r="CV574" s="1399"/>
      <c r="CW574" s="1399"/>
      <c r="CX574" s="1399"/>
      <c r="CY574" s="1399"/>
      <c r="CZ574" s="1399"/>
      <c r="DA574" s="1399"/>
      <c r="DB574" s="1399"/>
      <c r="DC574" s="1399"/>
      <c r="DD574" s="1399"/>
      <c r="DE574" s="1399"/>
      <c r="DF574" s="1399"/>
      <c r="DG574" s="1399"/>
      <c r="DH574" s="1399"/>
      <c r="DI574" s="1399"/>
      <c r="DJ574" s="1399"/>
      <c r="DK574" s="1399"/>
      <c r="DL574" s="1399"/>
      <c r="DM574" s="1399"/>
      <c r="DN574" s="1399"/>
      <c r="DO574" s="1399"/>
      <c r="DP574" s="1399"/>
      <c r="DQ574" s="1399"/>
      <c r="DR574" s="1399"/>
      <c r="DS574" s="1399"/>
      <c r="DT574" s="1399"/>
      <c r="DU574" s="1399"/>
    </row>
    <row r="575" spans="1:125">
      <c r="A575" s="1414"/>
      <c r="B575" s="1414"/>
      <c r="C575" s="1414"/>
      <c r="D575" s="1414"/>
      <c r="E575" s="1414"/>
      <c r="F575" s="1414"/>
      <c r="G575" s="1414"/>
      <c r="H575" s="1414"/>
      <c r="I575" s="1414"/>
      <c r="J575" s="1414"/>
      <c r="K575" s="1414"/>
      <c r="L575" s="1414"/>
      <c r="M575" s="1414"/>
      <c r="N575" s="1414"/>
      <c r="O575" s="1414"/>
      <c r="P575" s="1414"/>
      <c r="Q575" s="1414"/>
      <c r="R575" s="1414"/>
      <c r="S575" s="1414"/>
      <c r="T575" s="1414"/>
      <c r="U575" s="1414"/>
      <c r="V575" s="1414"/>
      <c r="W575" s="1414"/>
      <c r="X575" s="1414"/>
      <c r="Y575" s="1414"/>
      <c r="Z575" s="1414"/>
      <c r="AA575" s="1414"/>
      <c r="AB575" s="1414"/>
      <c r="AC575" s="1414"/>
      <c r="AD575" s="1414"/>
      <c r="AE575" s="1414"/>
      <c r="AF575" s="1414"/>
      <c r="AG575" s="1414"/>
      <c r="AH575" s="1414"/>
      <c r="AI575" s="1414"/>
      <c r="AJ575" s="1414"/>
      <c r="AK575" s="1414"/>
      <c r="AL575" s="1414"/>
      <c r="AM575" s="1414"/>
      <c r="AN575" s="1414"/>
      <c r="AO575" s="1414"/>
      <c r="AP575" s="1414"/>
      <c r="AQ575" s="1414"/>
      <c r="AR575" s="1414"/>
      <c r="AS575" s="1414"/>
      <c r="AT575" s="1414"/>
      <c r="AU575" s="1414"/>
      <c r="AV575" s="1414"/>
      <c r="AW575" s="1414"/>
      <c r="AX575" s="1414"/>
      <c r="AY575" s="1399"/>
      <c r="AZ575" s="1399"/>
      <c r="BA575" s="1399"/>
      <c r="BB575" s="1399"/>
      <c r="BC575" s="1399"/>
      <c r="BD575" s="1399"/>
      <c r="BE575" s="1414"/>
      <c r="BF575" s="1399"/>
      <c r="BG575" s="1399"/>
      <c r="BH575" s="1399"/>
      <c r="BI575" s="1399"/>
      <c r="BJ575" s="1399"/>
      <c r="BK575" s="1399"/>
      <c r="BL575" s="1399"/>
      <c r="BM575" s="1399"/>
      <c r="BN575" s="1399"/>
      <c r="BO575" s="1399"/>
      <c r="BP575" s="1399"/>
      <c r="BQ575" s="1399"/>
      <c r="BR575" s="1399"/>
      <c r="BS575" s="1399"/>
      <c r="BT575" s="1399"/>
      <c r="BU575" s="2838"/>
      <c r="BV575" s="2838"/>
      <c r="BW575" s="2838"/>
      <c r="BX575" s="2838"/>
      <c r="BY575" s="2838"/>
      <c r="BZ575" s="2838"/>
      <c r="CA575" s="2838"/>
      <c r="CB575" s="2838"/>
      <c r="CC575" s="2838"/>
      <c r="CD575" s="2838"/>
      <c r="CE575" s="1399"/>
      <c r="CF575" s="1399"/>
      <c r="CG575" s="1399"/>
      <c r="CH575" s="1399"/>
      <c r="CI575" s="1399"/>
      <c r="CJ575" s="1399"/>
      <c r="CK575" s="1399"/>
      <c r="CL575" s="1399"/>
      <c r="CM575" s="1399"/>
      <c r="CN575" s="1399"/>
      <c r="CO575" s="1399"/>
      <c r="CP575" s="1399"/>
      <c r="CQ575" s="1399"/>
      <c r="CR575" s="1399"/>
      <c r="CS575" s="1399"/>
      <c r="CT575" s="1399"/>
      <c r="CU575" s="1399"/>
      <c r="CV575" s="1399"/>
      <c r="CW575" s="1399"/>
      <c r="CX575" s="1399"/>
      <c r="CY575" s="1399"/>
      <c r="CZ575" s="1399"/>
      <c r="DA575" s="1399"/>
      <c r="DB575" s="1399"/>
      <c r="DC575" s="1399"/>
      <c r="DD575" s="1399"/>
      <c r="DE575" s="1399"/>
      <c r="DF575" s="1399"/>
      <c r="DG575" s="1399"/>
      <c r="DH575" s="1399"/>
      <c r="DI575" s="1399"/>
      <c r="DJ575" s="1399"/>
      <c r="DK575" s="1399"/>
      <c r="DL575" s="1399"/>
      <c r="DM575" s="1399"/>
      <c r="DN575" s="1399"/>
      <c r="DO575" s="1399"/>
      <c r="DP575" s="1399"/>
      <c r="DQ575" s="1399"/>
      <c r="DR575" s="1399"/>
      <c r="DS575" s="1399"/>
      <c r="DT575" s="1399"/>
      <c r="DU575" s="1399"/>
    </row>
    <row r="576" spans="1:125">
      <c r="A576" s="1414"/>
      <c r="B576" s="1414"/>
      <c r="C576" s="1414"/>
      <c r="D576" s="1414"/>
      <c r="E576" s="1414"/>
      <c r="F576" s="1414"/>
      <c r="G576" s="1414"/>
      <c r="H576" s="1414"/>
      <c r="I576" s="1414"/>
      <c r="J576" s="1414"/>
      <c r="K576" s="1414"/>
      <c r="L576" s="1414"/>
      <c r="M576" s="1414"/>
      <c r="N576" s="1414"/>
      <c r="O576" s="1414"/>
      <c r="P576" s="1414"/>
      <c r="Q576" s="1414"/>
      <c r="R576" s="1414"/>
      <c r="S576" s="1414"/>
      <c r="T576" s="1414"/>
      <c r="U576" s="1414"/>
      <c r="V576" s="1414"/>
      <c r="W576" s="1414"/>
      <c r="X576" s="1414"/>
      <c r="Y576" s="1414"/>
      <c r="Z576" s="1414"/>
      <c r="AA576" s="1414"/>
      <c r="AB576" s="1414"/>
      <c r="AC576" s="1414"/>
      <c r="AD576" s="1414"/>
      <c r="AE576" s="1414"/>
      <c r="AF576" s="1414"/>
      <c r="AG576" s="1414"/>
      <c r="AH576" s="1414"/>
      <c r="AI576" s="1414"/>
      <c r="AJ576" s="1414"/>
      <c r="AK576" s="1414"/>
      <c r="AL576" s="1414"/>
      <c r="AM576" s="1414"/>
      <c r="AN576" s="1414"/>
      <c r="AO576" s="1414"/>
      <c r="AP576" s="1414"/>
      <c r="AQ576" s="1414"/>
      <c r="AR576" s="1414"/>
      <c r="AS576" s="1414"/>
      <c r="AT576" s="1414"/>
      <c r="AU576" s="1414"/>
      <c r="AV576" s="1414"/>
      <c r="AW576" s="1414"/>
      <c r="AX576" s="1414"/>
      <c r="AY576" s="1399"/>
      <c r="AZ576" s="1399"/>
      <c r="BA576" s="1399"/>
      <c r="BB576" s="1399"/>
      <c r="BC576" s="1399"/>
      <c r="BD576" s="1399"/>
      <c r="BE576" s="1414"/>
      <c r="BF576" s="1399"/>
      <c r="BG576" s="1399"/>
      <c r="BH576" s="1399"/>
      <c r="BI576" s="1399"/>
      <c r="BJ576" s="1399"/>
      <c r="BK576" s="1399"/>
      <c r="BL576" s="1399"/>
      <c r="BM576" s="1399"/>
      <c r="BN576" s="1399"/>
      <c r="BO576" s="1399"/>
      <c r="BP576" s="1399"/>
      <c r="BQ576" s="1399"/>
      <c r="BR576" s="1399"/>
      <c r="BS576" s="1399"/>
      <c r="BT576" s="1399"/>
      <c r="BU576" s="2838"/>
      <c r="BV576" s="2838"/>
      <c r="BW576" s="2838"/>
      <c r="BX576" s="2838"/>
      <c r="BY576" s="2838"/>
      <c r="BZ576" s="2838"/>
      <c r="CA576" s="2838"/>
      <c r="CB576" s="2838"/>
      <c r="CC576" s="2838"/>
      <c r="CD576" s="2838"/>
      <c r="CE576" s="1399"/>
      <c r="CF576" s="1399"/>
      <c r="CG576" s="1399"/>
      <c r="CH576" s="1399"/>
      <c r="CI576" s="1399"/>
      <c r="CJ576" s="1399"/>
      <c r="CK576" s="1399"/>
      <c r="CL576" s="1399"/>
      <c r="CM576" s="1399"/>
      <c r="CN576" s="1399"/>
      <c r="CO576" s="1399"/>
      <c r="CP576" s="1399"/>
      <c r="CQ576" s="1399"/>
      <c r="CR576" s="1399"/>
      <c r="CS576" s="1399"/>
      <c r="CT576" s="1399"/>
      <c r="CU576" s="1399"/>
      <c r="CV576" s="1399"/>
      <c r="CW576" s="1399"/>
      <c r="CX576" s="1399"/>
      <c r="CY576" s="1399"/>
      <c r="CZ576" s="1399"/>
      <c r="DA576" s="1399"/>
      <c r="DB576" s="1399"/>
      <c r="DC576" s="1399"/>
      <c r="DD576" s="1399"/>
      <c r="DE576" s="1399"/>
      <c r="DF576" s="1399"/>
      <c r="DG576" s="1399"/>
      <c r="DH576" s="1399"/>
      <c r="DI576" s="1399"/>
      <c r="DJ576" s="1399"/>
      <c r="DK576" s="1399"/>
      <c r="DL576" s="1399"/>
      <c r="DM576" s="1399"/>
      <c r="DN576" s="1399"/>
      <c r="DO576" s="1399"/>
      <c r="DP576" s="1399"/>
      <c r="DQ576" s="1399"/>
      <c r="DR576" s="1399"/>
      <c r="DS576" s="1399"/>
      <c r="DT576" s="1399"/>
      <c r="DU576" s="1399"/>
    </row>
    <row r="577" spans="1:125">
      <c r="A577" s="1414"/>
      <c r="B577" s="1414"/>
      <c r="C577" s="1414"/>
      <c r="D577" s="1414"/>
      <c r="E577" s="1414"/>
      <c r="F577" s="1414"/>
      <c r="G577" s="1414"/>
      <c r="H577" s="1414"/>
      <c r="I577" s="1414"/>
      <c r="J577" s="1414"/>
      <c r="K577" s="1414"/>
      <c r="L577" s="1414"/>
      <c r="M577" s="1414"/>
      <c r="N577" s="1414"/>
      <c r="O577" s="1414"/>
      <c r="P577" s="1414"/>
      <c r="Q577" s="1414"/>
      <c r="R577" s="1414"/>
      <c r="S577" s="1414"/>
      <c r="T577" s="1414"/>
      <c r="U577" s="1414"/>
      <c r="V577" s="1414"/>
      <c r="W577" s="1414"/>
      <c r="X577" s="1414"/>
      <c r="Y577" s="1414"/>
      <c r="Z577" s="1414"/>
      <c r="AA577" s="1414"/>
      <c r="AB577" s="1414"/>
      <c r="AC577" s="1414"/>
      <c r="AD577" s="1414"/>
      <c r="AE577" s="1414"/>
      <c r="AF577" s="1414"/>
      <c r="AG577" s="1414"/>
      <c r="AH577" s="1414"/>
      <c r="AI577" s="1414"/>
      <c r="AJ577" s="1414"/>
      <c r="AK577" s="1414"/>
      <c r="AL577" s="1414"/>
      <c r="AM577" s="1414"/>
      <c r="AN577" s="1414"/>
      <c r="AO577" s="1414"/>
      <c r="AP577" s="1414"/>
      <c r="AQ577" s="1414"/>
      <c r="AR577" s="1414"/>
      <c r="AS577" s="1414"/>
      <c r="AT577" s="1414"/>
      <c r="AU577" s="1414"/>
      <c r="AV577" s="1414"/>
      <c r="AW577" s="1414"/>
      <c r="AX577" s="1414"/>
      <c r="AY577" s="1399"/>
      <c r="AZ577" s="1399"/>
      <c r="BA577" s="1399"/>
      <c r="BB577" s="1399"/>
      <c r="BC577" s="1399"/>
      <c r="BD577" s="1399"/>
      <c r="BE577" s="1414"/>
      <c r="BF577" s="1399"/>
      <c r="BG577" s="1399"/>
      <c r="BH577" s="1399"/>
      <c r="BI577" s="1399"/>
      <c r="BJ577" s="1399"/>
      <c r="BK577" s="1399"/>
      <c r="BL577" s="1399"/>
      <c r="BM577" s="1399"/>
      <c r="BN577" s="1399"/>
      <c r="BO577" s="1399"/>
      <c r="BP577" s="1399"/>
      <c r="BQ577" s="1399"/>
      <c r="BR577" s="1399"/>
      <c r="BS577" s="1399"/>
      <c r="BT577" s="1399"/>
      <c r="BU577" s="2838"/>
      <c r="BV577" s="2838"/>
      <c r="BW577" s="2838"/>
      <c r="BX577" s="2838"/>
      <c r="BY577" s="2838"/>
      <c r="BZ577" s="2838"/>
      <c r="CA577" s="2838"/>
      <c r="CB577" s="2838"/>
      <c r="CC577" s="2838"/>
      <c r="CD577" s="2838"/>
      <c r="CE577" s="1399"/>
      <c r="CF577" s="1399"/>
      <c r="CG577" s="1399"/>
      <c r="CH577" s="1399"/>
      <c r="CI577" s="1399"/>
      <c r="CJ577" s="1399"/>
      <c r="CK577" s="1399"/>
      <c r="CL577" s="1399"/>
      <c r="CM577" s="1399"/>
      <c r="CN577" s="1399"/>
      <c r="CO577" s="1399"/>
      <c r="CP577" s="1399"/>
      <c r="CQ577" s="1399"/>
      <c r="CR577" s="1399"/>
      <c r="CS577" s="1399"/>
      <c r="CT577" s="1399"/>
      <c r="CU577" s="1399"/>
      <c r="CV577" s="1399"/>
      <c r="CW577" s="1399"/>
      <c r="CX577" s="1399"/>
      <c r="CY577" s="1399"/>
      <c r="CZ577" s="1399"/>
      <c r="DA577" s="1399"/>
      <c r="DB577" s="1399"/>
      <c r="DC577" s="1399"/>
      <c r="DD577" s="1399"/>
      <c r="DE577" s="1399"/>
      <c r="DF577" s="1399"/>
      <c r="DG577" s="1399"/>
      <c r="DH577" s="1399"/>
      <c r="DI577" s="1399"/>
      <c r="DJ577" s="1399"/>
      <c r="DK577" s="1399"/>
      <c r="DL577" s="1399"/>
      <c r="DM577" s="1399"/>
      <c r="DN577" s="1399"/>
      <c r="DO577" s="1399"/>
      <c r="DP577" s="1399"/>
      <c r="DQ577" s="1399"/>
      <c r="DR577" s="1399"/>
      <c r="DS577" s="1399"/>
      <c r="DT577" s="1399"/>
      <c r="DU577" s="1399"/>
    </row>
    <row r="578" spans="1:125">
      <c r="A578" s="1414"/>
      <c r="B578" s="1414"/>
      <c r="C578" s="1414"/>
      <c r="D578" s="1414"/>
      <c r="E578" s="1414"/>
      <c r="F578" s="1414"/>
      <c r="G578" s="1414"/>
      <c r="H578" s="1414"/>
      <c r="I578" s="1414"/>
      <c r="J578" s="1414"/>
      <c r="K578" s="1414"/>
      <c r="L578" s="1414"/>
      <c r="M578" s="1414"/>
      <c r="N578" s="1414"/>
      <c r="O578" s="1414"/>
      <c r="P578" s="1414"/>
      <c r="Q578" s="1414"/>
      <c r="R578" s="1414"/>
      <c r="S578" s="1414"/>
      <c r="T578" s="1414"/>
      <c r="U578" s="1414"/>
      <c r="V578" s="1414"/>
      <c r="W578" s="1414"/>
      <c r="X578" s="1414"/>
      <c r="Y578" s="1414"/>
      <c r="Z578" s="1414"/>
      <c r="AA578" s="1414"/>
      <c r="AB578" s="1414"/>
      <c r="AC578" s="1414"/>
      <c r="AD578" s="1414"/>
      <c r="AE578" s="1414"/>
      <c r="AF578" s="1414"/>
      <c r="AG578" s="1414"/>
      <c r="AH578" s="1414"/>
      <c r="AI578" s="1414"/>
      <c r="AJ578" s="1414"/>
      <c r="AK578" s="1414"/>
      <c r="AL578" s="1414"/>
      <c r="AM578" s="1414"/>
      <c r="AN578" s="1414"/>
      <c r="AO578" s="1414"/>
      <c r="AP578" s="1414"/>
      <c r="AQ578" s="1414"/>
      <c r="AR578" s="1414"/>
      <c r="AS578" s="1414"/>
      <c r="AT578" s="1414"/>
      <c r="AU578" s="1414"/>
      <c r="AV578" s="1414"/>
      <c r="AW578" s="1414"/>
      <c r="AX578" s="1414"/>
      <c r="AY578" s="1399"/>
      <c r="AZ578" s="1399"/>
      <c r="BA578" s="1399"/>
      <c r="BB578" s="1399"/>
      <c r="BC578" s="1399"/>
      <c r="BD578" s="1399"/>
      <c r="BE578" s="1414"/>
      <c r="BF578" s="1399"/>
      <c r="BG578" s="1399"/>
      <c r="BH578" s="1399"/>
      <c r="BI578" s="1399"/>
      <c r="BJ578" s="1399"/>
      <c r="BK578" s="1399"/>
      <c r="BL578" s="1399"/>
      <c r="BM578" s="1399"/>
      <c r="BN578" s="1399"/>
      <c r="BO578" s="1399"/>
      <c r="BP578" s="1399"/>
      <c r="BQ578" s="1399"/>
      <c r="BR578" s="1399"/>
      <c r="BS578" s="1399"/>
      <c r="BT578" s="1399"/>
      <c r="BU578" s="2838"/>
      <c r="BV578" s="2838"/>
      <c r="BW578" s="2838"/>
      <c r="BX578" s="2838"/>
      <c r="BY578" s="2838"/>
      <c r="BZ578" s="2838"/>
      <c r="CA578" s="2838"/>
      <c r="CB578" s="2838"/>
      <c r="CC578" s="2838"/>
      <c r="CD578" s="2838"/>
      <c r="CE578" s="1399"/>
      <c r="CF578" s="1399"/>
      <c r="CG578" s="1399"/>
      <c r="CH578" s="1399"/>
      <c r="CI578" s="1399"/>
      <c r="CJ578" s="1399"/>
      <c r="CK578" s="1399"/>
      <c r="CL578" s="1399"/>
      <c r="CM578" s="1399"/>
      <c r="CN578" s="1399"/>
      <c r="CO578" s="1399"/>
      <c r="CP578" s="1399"/>
      <c r="CQ578" s="1399"/>
      <c r="CR578" s="1399"/>
      <c r="CS578" s="1399"/>
      <c r="CT578" s="1399"/>
      <c r="CU578" s="1399"/>
      <c r="CV578" s="1399"/>
      <c r="CW578" s="1399"/>
      <c r="CX578" s="1399"/>
      <c r="CY578" s="1399"/>
      <c r="CZ578" s="1399"/>
      <c r="DA578" s="1399"/>
      <c r="DB578" s="1399"/>
      <c r="DC578" s="1399"/>
      <c r="DD578" s="1399"/>
      <c r="DE578" s="1399"/>
      <c r="DF578" s="1399"/>
      <c r="DG578" s="1399"/>
      <c r="DH578" s="1399"/>
      <c r="DI578" s="1399"/>
      <c r="DJ578" s="1399"/>
      <c r="DK578" s="1399"/>
      <c r="DL578" s="1399"/>
      <c r="DM578" s="1399"/>
      <c r="DN578" s="1399"/>
      <c r="DO578" s="1399"/>
      <c r="DP578" s="1399"/>
      <c r="DQ578" s="1399"/>
      <c r="DR578" s="1399"/>
      <c r="DS578" s="1399"/>
      <c r="DT578" s="1399"/>
      <c r="DU578" s="1399"/>
    </row>
    <row r="579" spans="1:125">
      <c r="A579" s="1414"/>
      <c r="B579" s="1414"/>
      <c r="C579" s="1414"/>
      <c r="D579" s="1414"/>
      <c r="E579" s="1414"/>
      <c r="F579" s="1414"/>
      <c r="G579" s="1414"/>
      <c r="H579" s="1414"/>
      <c r="I579" s="1414"/>
      <c r="J579" s="1414"/>
      <c r="K579" s="1414"/>
      <c r="L579" s="1414"/>
      <c r="M579" s="1414"/>
      <c r="N579" s="1414"/>
      <c r="O579" s="1414"/>
      <c r="P579" s="1414"/>
      <c r="Q579" s="1414"/>
      <c r="R579" s="1414"/>
      <c r="S579" s="1414"/>
      <c r="T579" s="1414"/>
      <c r="U579" s="1414"/>
      <c r="V579" s="1414"/>
      <c r="W579" s="1414"/>
      <c r="X579" s="1414"/>
      <c r="Y579" s="1414"/>
      <c r="Z579" s="1414"/>
      <c r="AA579" s="1414"/>
      <c r="AB579" s="1414"/>
      <c r="AC579" s="1414"/>
      <c r="AD579" s="1414"/>
      <c r="AE579" s="1414"/>
      <c r="AF579" s="1414"/>
      <c r="AG579" s="1414"/>
      <c r="AH579" s="1414"/>
      <c r="AI579" s="1414"/>
      <c r="AJ579" s="1414"/>
      <c r="AK579" s="1414"/>
      <c r="AL579" s="1414"/>
      <c r="AM579" s="1414"/>
      <c r="AN579" s="1414"/>
      <c r="AO579" s="1414"/>
      <c r="AP579" s="1414"/>
      <c r="AQ579" s="1414"/>
      <c r="AR579" s="1414"/>
      <c r="AS579" s="1414"/>
      <c r="AT579" s="1414"/>
      <c r="AU579" s="1414"/>
      <c r="AV579" s="1414"/>
      <c r="AW579" s="1414"/>
      <c r="AX579" s="1414"/>
      <c r="AY579" s="1399"/>
      <c r="AZ579" s="1399"/>
      <c r="BA579" s="1399"/>
      <c r="BB579" s="1399"/>
      <c r="BC579" s="1399"/>
      <c r="BD579" s="1399"/>
      <c r="BE579" s="1414"/>
      <c r="BF579" s="1399"/>
      <c r="BG579" s="1399"/>
      <c r="BH579" s="1399"/>
      <c r="BI579" s="1399"/>
      <c r="BJ579" s="1399"/>
      <c r="BK579" s="1399"/>
      <c r="BL579" s="1399"/>
      <c r="BM579" s="1399"/>
      <c r="BN579" s="1399"/>
      <c r="BO579" s="1399"/>
      <c r="BP579" s="1399"/>
      <c r="BQ579" s="1399"/>
      <c r="BR579" s="1399"/>
      <c r="BS579" s="1399"/>
      <c r="BT579" s="1399"/>
      <c r="BU579" s="2838"/>
      <c r="BV579" s="2838"/>
      <c r="BW579" s="2838"/>
      <c r="BX579" s="2838"/>
      <c r="BY579" s="2838"/>
      <c r="BZ579" s="2838"/>
      <c r="CA579" s="2838"/>
      <c r="CB579" s="2838"/>
      <c r="CC579" s="2838"/>
      <c r="CD579" s="2838"/>
      <c r="CE579" s="1399"/>
      <c r="CF579" s="1399"/>
      <c r="CG579" s="1399"/>
      <c r="CH579" s="1399"/>
      <c r="CI579" s="1399"/>
      <c r="CJ579" s="1399"/>
      <c r="CK579" s="1399"/>
      <c r="CL579" s="1399"/>
      <c r="CM579" s="1399"/>
      <c r="CN579" s="1399"/>
      <c r="CO579" s="1399"/>
      <c r="CP579" s="1399"/>
      <c r="CQ579" s="1399"/>
      <c r="CR579" s="1399"/>
      <c r="CS579" s="1399"/>
      <c r="CT579" s="1399"/>
      <c r="CU579" s="1399"/>
      <c r="CV579" s="1399"/>
      <c r="CW579" s="1399"/>
      <c r="CX579" s="1399"/>
      <c r="CY579" s="1399"/>
      <c r="CZ579" s="1399"/>
      <c r="DA579" s="1399"/>
      <c r="DB579" s="1399"/>
      <c r="DC579" s="1399"/>
      <c r="DD579" s="1399"/>
      <c r="DE579" s="1399"/>
      <c r="DF579" s="1399"/>
      <c r="DG579" s="1399"/>
      <c r="DH579" s="1399"/>
      <c r="DI579" s="1399"/>
      <c r="DJ579" s="1399"/>
      <c r="DK579" s="1399"/>
      <c r="DL579" s="1399"/>
      <c r="DM579" s="1399"/>
      <c r="DN579" s="1399"/>
      <c r="DO579" s="1399"/>
      <c r="DP579" s="1399"/>
      <c r="DQ579" s="1399"/>
      <c r="DR579" s="1399"/>
      <c r="DS579" s="1399"/>
      <c r="DT579" s="1399"/>
      <c r="DU579" s="1399"/>
    </row>
    <row r="580" spans="1:125">
      <c r="A580" s="1414"/>
      <c r="B580" s="1414"/>
      <c r="C580" s="1414"/>
      <c r="D580" s="1414"/>
      <c r="E580" s="1414"/>
      <c r="F580" s="1414"/>
      <c r="G580" s="1414"/>
      <c r="H580" s="1414"/>
      <c r="I580" s="1414"/>
      <c r="J580" s="1414"/>
      <c r="K580" s="1414"/>
      <c r="L580" s="1414"/>
      <c r="M580" s="1414"/>
      <c r="N580" s="1414"/>
      <c r="O580" s="1414"/>
      <c r="P580" s="1414"/>
      <c r="Q580" s="1414"/>
      <c r="R580" s="1414"/>
      <c r="S580" s="1414"/>
      <c r="T580" s="1414"/>
      <c r="U580" s="1414"/>
      <c r="V580" s="1414"/>
      <c r="W580" s="1414"/>
      <c r="X580" s="1414"/>
      <c r="Y580" s="1414"/>
      <c r="Z580" s="1414"/>
      <c r="AA580" s="1414"/>
      <c r="AB580" s="1414"/>
      <c r="AC580" s="1414"/>
      <c r="AD580" s="1414"/>
      <c r="AE580" s="1414"/>
      <c r="AF580" s="1414"/>
      <c r="AG580" s="1414"/>
      <c r="AH580" s="1414"/>
      <c r="AI580" s="1414"/>
      <c r="AJ580" s="1414"/>
      <c r="AK580" s="1414"/>
      <c r="AL580" s="1414"/>
      <c r="AM580" s="1414"/>
      <c r="AN580" s="1414"/>
      <c r="AO580" s="1414"/>
      <c r="AP580" s="1414"/>
      <c r="AQ580" s="1414"/>
      <c r="AR580" s="1414"/>
      <c r="AS580" s="1414"/>
      <c r="AT580" s="1414"/>
      <c r="AU580" s="1414"/>
      <c r="AV580" s="1414"/>
      <c r="AW580" s="1414"/>
      <c r="AX580" s="1414"/>
      <c r="AY580" s="1399"/>
      <c r="AZ580" s="1399"/>
      <c r="BA580" s="1399"/>
      <c r="BB580" s="1399"/>
      <c r="BC580" s="1399"/>
      <c r="BD580" s="1399"/>
      <c r="BE580" s="1414"/>
      <c r="BF580" s="1399"/>
      <c r="BG580" s="1399"/>
      <c r="BH580" s="1399"/>
      <c r="BI580" s="1399"/>
      <c r="BJ580" s="1399"/>
      <c r="BK580" s="1399"/>
      <c r="BL580" s="1399"/>
      <c r="BM580" s="1399"/>
      <c r="BN580" s="1399"/>
      <c r="BO580" s="1399"/>
      <c r="BP580" s="1399"/>
      <c r="BQ580" s="1399"/>
      <c r="BR580" s="1399"/>
      <c r="BS580" s="1399"/>
      <c r="BT580" s="1399"/>
      <c r="BU580" s="2838"/>
      <c r="BV580" s="2838"/>
      <c r="BW580" s="2838"/>
      <c r="BX580" s="2838"/>
      <c r="BY580" s="2838"/>
      <c r="BZ580" s="2838"/>
      <c r="CA580" s="2838"/>
      <c r="CB580" s="2838"/>
      <c r="CC580" s="2838"/>
      <c r="CD580" s="2838"/>
      <c r="CE580" s="1399"/>
      <c r="CF580" s="1399"/>
      <c r="CG580" s="1399"/>
      <c r="CH580" s="1399"/>
      <c r="CI580" s="1399"/>
      <c r="CJ580" s="1399"/>
      <c r="CK580" s="1399"/>
      <c r="CL580" s="1399"/>
      <c r="CM580" s="1399"/>
      <c r="CN580" s="1399"/>
      <c r="CO580" s="1399"/>
      <c r="CP580" s="1399"/>
      <c r="CQ580" s="1399"/>
      <c r="CR580" s="1399"/>
      <c r="CS580" s="1399"/>
      <c r="CT580" s="1399"/>
      <c r="CU580" s="1399"/>
      <c r="CV580" s="1399"/>
      <c r="CW580" s="1399"/>
      <c r="CX580" s="1399"/>
      <c r="CY580" s="1399"/>
      <c r="CZ580" s="1399"/>
      <c r="DA580" s="1399"/>
      <c r="DB580" s="1399"/>
      <c r="DC580" s="1399"/>
      <c r="DD580" s="1399"/>
      <c r="DE580" s="1399"/>
      <c r="DF580" s="1399"/>
      <c r="DG580" s="1399"/>
      <c r="DH580" s="1399"/>
      <c r="DI580" s="1399"/>
      <c r="DJ580" s="1399"/>
      <c r="DK580" s="1399"/>
      <c r="DL580" s="1399"/>
      <c r="DM580" s="1399"/>
      <c r="DN580" s="1399"/>
      <c r="DO580" s="1399"/>
      <c r="DP580" s="1399"/>
      <c r="DQ580" s="1399"/>
      <c r="DR580" s="1399"/>
      <c r="DS580" s="1399"/>
      <c r="DT580" s="1399"/>
      <c r="DU580" s="1399"/>
    </row>
    <row r="581" spans="1:125">
      <c r="A581" s="1414"/>
      <c r="B581" s="1414"/>
      <c r="C581" s="1414"/>
      <c r="D581" s="1414"/>
      <c r="E581" s="1414"/>
      <c r="F581" s="1414"/>
      <c r="G581" s="1414"/>
      <c r="H581" s="1414"/>
      <c r="I581" s="1414"/>
      <c r="J581" s="1414"/>
      <c r="K581" s="1414"/>
      <c r="L581" s="1414"/>
      <c r="M581" s="1414"/>
      <c r="N581" s="1414"/>
      <c r="O581" s="1414"/>
      <c r="P581" s="1414"/>
      <c r="Q581" s="1414"/>
      <c r="R581" s="1414"/>
      <c r="S581" s="1414"/>
      <c r="T581" s="1414"/>
      <c r="U581" s="1414"/>
      <c r="V581" s="1414"/>
      <c r="W581" s="1414"/>
      <c r="X581" s="1414"/>
      <c r="Y581" s="1414"/>
      <c r="Z581" s="1414"/>
      <c r="AA581" s="1414"/>
      <c r="AB581" s="1414"/>
      <c r="AC581" s="1414"/>
      <c r="AD581" s="1414"/>
      <c r="AE581" s="1414"/>
      <c r="AF581" s="1414"/>
      <c r="AG581" s="1414"/>
      <c r="AH581" s="1414"/>
      <c r="AI581" s="1414"/>
      <c r="AJ581" s="1414"/>
      <c r="AK581" s="1414"/>
      <c r="AL581" s="1414"/>
      <c r="AM581" s="1414"/>
      <c r="AN581" s="1414"/>
      <c r="AO581" s="1414"/>
      <c r="AP581" s="1414"/>
      <c r="AQ581" s="1414"/>
      <c r="AR581" s="1414"/>
      <c r="AS581" s="1414"/>
      <c r="AT581" s="1414"/>
      <c r="AU581" s="1414"/>
      <c r="AV581" s="1414"/>
      <c r="AW581" s="1414"/>
      <c r="AX581" s="1414"/>
      <c r="AY581" s="1399"/>
      <c r="AZ581" s="1399"/>
      <c r="BA581" s="1399"/>
      <c r="BB581" s="1399"/>
      <c r="BC581" s="1399"/>
      <c r="BD581" s="1399"/>
      <c r="BE581" s="1414"/>
      <c r="BF581" s="1399"/>
      <c r="BG581" s="1399"/>
      <c r="BH581" s="1399"/>
      <c r="BI581" s="1399"/>
      <c r="BJ581" s="1399"/>
      <c r="BK581" s="1399"/>
      <c r="BL581" s="1399"/>
      <c r="BM581" s="1399"/>
      <c r="BN581" s="1399"/>
      <c r="BO581" s="1399"/>
      <c r="BP581" s="1399"/>
      <c r="BQ581" s="1399"/>
      <c r="BR581" s="1399"/>
      <c r="BS581" s="1399"/>
      <c r="BT581" s="1399"/>
      <c r="BU581" s="2838"/>
      <c r="BV581" s="2838"/>
      <c r="BW581" s="2838"/>
      <c r="BX581" s="2838"/>
      <c r="BY581" s="2838"/>
      <c r="BZ581" s="2838"/>
      <c r="CA581" s="2838"/>
      <c r="CB581" s="2838"/>
      <c r="CC581" s="2838"/>
      <c r="CD581" s="2838"/>
      <c r="CE581" s="1399"/>
      <c r="CF581" s="1399"/>
      <c r="CG581" s="1399"/>
      <c r="CH581" s="1399"/>
      <c r="CI581" s="1399"/>
      <c r="CJ581" s="1399"/>
      <c r="CK581" s="1399"/>
      <c r="CL581" s="1399"/>
      <c r="CM581" s="1399"/>
      <c r="CN581" s="1399"/>
      <c r="CO581" s="1399"/>
      <c r="CP581" s="1399"/>
      <c r="CQ581" s="1399"/>
      <c r="CR581" s="1399"/>
      <c r="CS581" s="1399"/>
      <c r="CT581" s="1399"/>
      <c r="CU581" s="1399"/>
      <c r="CV581" s="1399"/>
      <c r="CW581" s="1399"/>
      <c r="CX581" s="1399"/>
      <c r="CY581" s="1399"/>
      <c r="CZ581" s="1399"/>
      <c r="DA581" s="1399"/>
      <c r="DB581" s="1399"/>
      <c r="DC581" s="1399"/>
      <c r="DD581" s="1399"/>
      <c r="DE581" s="1399"/>
      <c r="DF581" s="1399"/>
      <c r="DG581" s="1399"/>
      <c r="DH581" s="1399"/>
      <c r="DI581" s="1399"/>
      <c r="DJ581" s="1399"/>
      <c r="DK581" s="1399"/>
      <c r="DL581" s="1399"/>
      <c r="DM581" s="1399"/>
      <c r="DN581" s="1399"/>
      <c r="DO581" s="1399"/>
      <c r="DP581" s="1399"/>
      <c r="DQ581" s="1399"/>
      <c r="DR581" s="1399"/>
      <c r="DS581" s="1399"/>
      <c r="DT581" s="1399"/>
      <c r="DU581" s="1399"/>
    </row>
    <row r="582" spans="1:125">
      <c r="A582" s="1414"/>
      <c r="B582" s="1414"/>
      <c r="C582" s="1414"/>
      <c r="D582" s="1414"/>
      <c r="E582" s="1414"/>
      <c r="F582" s="1414"/>
      <c r="G582" s="1414"/>
      <c r="H582" s="1414"/>
      <c r="I582" s="1414"/>
      <c r="J582" s="1414"/>
      <c r="K582" s="1414"/>
      <c r="L582" s="1414"/>
      <c r="M582" s="1414"/>
      <c r="N582" s="1414"/>
      <c r="O582" s="1414"/>
      <c r="P582" s="1414"/>
      <c r="Q582" s="1414"/>
      <c r="R582" s="1414"/>
      <c r="S582" s="1414"/>
      <c r="T582" s="1414"/>
      <c r="U582" s="1414"/>
      <c r="V582" s="1414"/>
      <c r="W582" s="1414"/>
      <c r="X582" s="1414"/>
      <c r="Y582" s="1414"/>
      <c r="Z582" s="1414"/>
      <c r="AA582" s="1414"/>
      <c r="AB582" s="1414"/>
      <c r="AC582" s="1414"/>
      <c r="AD582" s="1414"/>
      <c r="AE582" s="1414"/>
      <c r="AF582" s="1414"/>
      <c r="AG582" s="1414"/>
      <c r="AH582" s="1414"/>
      <c r="AI582" s="1414"/>
      <c r="AJ582" s="1414"/>
      <c r="AK582" s="1414"/>
      <c r="AL582" s="1414"/>
      <c r="AM582" s="1414"/>
      <c r="AN582" s="1414"/>
      <c r="AO582" s="1414"/>
      <c r="AP582" s="1414"/>
      <c r="AQ582" s="1414"/>
      <c r="AR582" s="1414"/>
      <c r="AS582" s="1414"/>
      <c r="AT582" s="1414"/>
      <c r="AU582" s="1414"/>
      <c r="AV582" s="1414"/>
      <c r="AW582" s="1414"/>
      <c r="AX582" s="1414"/>
      <c r="AY582" s="1399"/>
      <c r="AZ582" s="1399"/>
      <c r="BA582" s="1399"/>
      <c r="BB582" s="1399"/>
      <c r="BC582" s="1399"/>
      <c r="BD582" s="1399"/>
      <c r="BE582" s="1414"/>
      <c r="BF582" s="1399"/>
      <c r="BG582" s="1399"/>
      <c r="BH582" s="1399"/>
      <c r="BI582" s="1399"/>
      <c r="BJ582" s="1399"/>
      <c r="BK582" s="1399"/>
      <c r="BL582" s="1399"/>
      <c r="BM582" s="1399"/>
      <c r="BN582" s="1399"/>
      <c r="BO582" s="1399"/>
      <c r="BP582" s="1399"/>
      <c r="BQ582" s="1399"/>
      <c r="BR582" s="1399"/>
      <c r="BS582" s="1399"/>
      <c r="BT582" s="1399"/>
      <c r="BU582" s="2838"/>
      <c r="BV582" s="2838"/>
      <c r="BW582" s="2838"/>
      <c r="BX582" s="2838"/>
      <c r="BY582" s="2838"/>
      <c r="BZ582" s="2838"/>
      <c r="CA582" s="2838"/>
      <c r="CB582" s="2838"/>
      <c r="CC582" s="2838"/>
      <c r="CD582" s="2838"/>
      <c r="CE582" s="1399"/>
      <c r="CF582" s="1399"/>
      <c r="CG582" s="1399"/>
      <c r="CH582" s="1399"/>
      <c r="CI582" s="1399"/>
      <c r="CJ582" s="1399"/>
      <c r="CK582" s="1399"/>
      <c r="CL582" s="1399"/>
      <c r="CM582" s="1399"/>
      <c r="CN582" s="1399"/>
      <c r="CO582" s="1399"/>
      <c r="CP582" s="1399"/>
      <c r="CQ582" s="1399"/>
      <c r="CR582" s="1399"/>
      <c r="CS582" s="1399"/>
      <c r="CT582" s="1399"/>
      <c r="CU582" s="1399"/>
      <c r="CV582" s="1399"/>
      <c r="CW582" s="1399"/>
      <c r="CX582" s="1399"/>
      <c r="CY582" s="1399"/>
      <c r="CZ582" s="1399"/>
      <c r="DA582" s="1399"/>
      <c r="DB582" s="1399"/>
      <c r="DC582" s="1399"/>
      <c r="DD582" s="1399"/>
      <c r="DE582" s="1399"/>
      <c r="DF582" s="1399"/>
      <c r="DG582" s="1399"/>
      <c r="DH582" s="1399"/>
      <c r="DI582" s="1399"/>
      <c r="DJ582" s="1399"/>
      <c r="DK582" s="1399"/>
      <c r="DL582" s="1399"/>
      <c r="DM582" s="1399"/>
      <c r="DN582" s="1399"/>
      <c r="DO582" s="1399"/>
      <c r="DP582" s="1399"/>
      <c r="DQ582" s="1399"/>
      <c r="DR582" s="1399"/>
      <c r="DS582" s="1399"/>
      <c r="DT582" s="1399"/>
      <c r="DU582" s="1399"/>
    </row>
    <row r="583" spans="1:125">
      <c r="A583" s="1414"/>
      <c r="B583" s="1414"/>
      <c r="C583" s="1414"/>
      <c r="D583" s="1414"/>
      <c r="E583" s="1414"/>
      <c r="F583" s="1414"/>
      <c r="G583" s="1414"/>
      <c r="H583" s="1414"/>
      <c r="I583" s="1414"/>
      <c r="J583" s="1414"/>
      <c r="K583" s="1414"/>
      <c r="L583" s="1414"/>
      <c r="M583" s="1414"/>
      <c r="N583" s="1414"/>
      <c r="O583" s="1414"/>
      <c r="P583" s="1414"/>
      <c r="Q583" s="1414"/>
      <c r="R583" s="1414"/>
      <c r="S583" s="1414"/>
      <c r="T583" s="1414"/>
      <c r="U583" s="1414"/>
      <c r="V583" s="1414"/>
      <c r="W583" s="1414"/>
      <c r="X583" s="1414"/>
      <c r="Y583" s="1414"/>
      <c r="Z583" s="1414"/>
      <c r="AA583" s="1414"/>
      <c r="AB583" s="1414"/>
      <c r="AC583" s="1414"/>
      <c r="AD583" s="1414"/>
      <c r="AE583" s="1414"/>
      <c r="AF583" s="1414"/>
      <c r="AG583" s="1414"/>
      <c r="AH583" s="1414"/>
      <c r="AI583" s="1414"/>
      <c r="AJ583" s="1414"/>
      <c r="AK583" s="1414"/>
      <c r="AL583" s="1414"/>
      <c r="AM583" s="1414"/>
      <c r="AN583" s="1414"/>
      <c r="AO583" s="1414"/>
      <c r="AP583" s="1414"/>
      <c r="AQ583" s="1414"/>
      <c r="AR583" s="1414"/>
      <c r="AS583" s="1414"/>
      <c r="AT583" s="1414"/>
      <c r="AU583" s="1414"/>
      <c r="AV583" s="1414"/>
      <c r="AW583" s="1414"/>
      <c r="AX583" s="1414"/>
      <c r="AY583" s="1399"/>
      <c r="AZ583" s="1399"/>
      <c r="BA583" s="1399"/>
      <c r="BB583" s="1399"/>
      <c r="BC583" s="1399"/>
      <c r="BD583" s="1399"/>
      <c r="BE583" s="1414"/>
      <c r="BF583" s="1399"/>
      <c r="BG583" s="1399"/>
      <c r="BH583" s="1399"/>
      <c r="BI583" s="1399"/>
      <c r="BJ583" s="1399"/>
      <c r="BK583" s="1399"/>
      <c r="BL583" s="1399"/>
      <c r="BM583" s="1399"/>
      <c r="BN583" s="1399"/>
      <c r="BO583" s="1399"/>
      <c r="BP583" s="1399"/>
      <c r="BQ583" s="1399"/>
      <c r="BR583" s="1399"/>
      <c r="BS583" s="1399"/>
      <c r="BT583" s="1399"/>
      <c r="BU583" s="2838"/>
      <c r="BV583" s="2838"/>
      <c r="BW583" s="2838"/>
      <c r="BX583" s="2838"/>
      <c r="BY583" s="2838"/>
      <c r="BZ583" s="2838"/>
      <c r="CA583" s="2838"/>
      <c r="CB583" s="2838"/>
      <c r="CC583" s="2838"/>
      <c r="CD583" s="2838"/>
      <c r="CE583" s="1399"/>
      <c r="CF583" s="1399"/>
      <c r="CG583" s="1399"/>
      <c r="CH583" s="1399"/>
      <c r="CI583" s="1399"/>
      <c r="CJ583" s="1399"/>
      <c r="CK583" s="1399"/>
      <c r="CL583" s="1399"/>
      <c r="CM583" s="1399"/>
      <c r="CN583" s="1399"/>
      <c r="CO583" s="1399"/>
      <c r="CP583" s="1399"/>
      <c r="CQ583" s="1399"/>
      <c r="CR583" s="1399"/>
      <c r="CS583" s="1399"/>
      <c r="CT583" s="1399"/>
      <c r="CU583" s="1399"/>
      <c r="CV583" s="1399"/>
      <c r="CW583" s="1399"/>
      <c r="CX583" s="1399"/>
      <c r="CY583" s="1399"/>
      <c r="CZ583" s="1399"/>
      <c r="DA583" s="1399"/>
      <c r="DB583" s="1399"/>
      <c r="DC583" s="1399"/>
      <c r="DD583" s="1399"/>
      <c r="DE583" s="1399"/>
      <c r="DF583" s="1399"/>
      <c r="DG583" s="1399"/>
      <c r="DH583" s="1399"/>
      <c r="DI583" s="1399"/>
      <c r="DJ583" s="1399"/>
      <c r="DK583" s="1399"/>
      <c r="DL583" s="1399"/>
      <c r="DM583" s="1399"/>
      <c r="DN583" s="1399"/>
      <c r="DO583" s="1399"/>
      <c r="DP583" s="1399"/>
      <c r="DQ583" s="1399"/>
      <c r="DR583" s="1399"/>
      <c r="DS583" s="1399"/>
      <c r="DT583" s="1399"/>
      <c r="DU583" s="1399"/>
    </row>
    <row r="584" spans="1:125">
      <c r="A584" s="1414"/>
      <c r="B584" s="1414"/>
      <c r="C584" s="1414"/>
      <c r="D584" s="1414"/>
      <c r="E584" s="1414"/>
      <c r="F584" s="1414"/>
      <c r="G584" s="1414"/>
      <c r="H584" s="1414"/>
      <c r="I584" s="1414"/>
      <c r="J584" s="1414"/>
      <c r="K584" s="1414"/>
      <c r="L584" s="1414"/>
      <c r="M584" s="1414"/>
      <c r="N584" s="1414"/>
      <c r="O584" s="1414"/>
      <c r="P584" s="1414"/>
      <c r="Q584" s="1414"/>
      <c r="R584" s="1414"/>
      <c r="S584" s="1414"/>
      <c r="T584" s="1414"/>
      <c r="U584" s="1414"/>
      <c r="V584" s="1414"/>
      <c r="W584" s="1414"/>
      <c r="X584" s="1414"/>
      <c r="Y584" s="1414"/>
      <c r="Z584" s="1414"/>
      <c r="AA584" s="1414"/>
      <c r="AB584" s="1414"/>
      <c r="AC584" s="1414"/>
      <c r="AD584" s="1414"/>
      <c r="AE584" s="1414"/>
      <c r="AF584" s="1414"/>
      <c r="AG584" s="1414"/>
      <c r="AH584" s="1414"/>
      <c r="AI584" s="1414"/>
      <c r="AJ584" s="1414"/>
      <c r="AK584" s="1414"/>
      <c r="AL584" s="1414"/>
      <c r="AM584" s="1414"/>
      <c r="AN584" s="1414"/>
      <c r="AO584" s="1414"/>
      <c r="AP584" s="1414"/>
      <c r="AQ584" s="1414"/>
      <c r="AR584" s="1414"/>
      <c r="AS584" s="1414"/>
      <c r="AT584" s="1414"/>
      <c r="AU584" s="1414"/>
      <c r="AV584" s="1414"/>
      <c r="AW584" s="1414"/>
      <c r="AX584" s="1414"/>
      <c r="AY584" s="1399"/>
      <c r="AZ584" s="1399"/>
      <c r="BA584" s="1399"/>
      <c r="BB584" s="1399"/>
      <c r="BC584" s="1399"/>
      <c r="BD584" s="1399"/>
      <c r="BE584" s="1414"/>
      <c r="BF584" s="1399"/>
      <c r="BG584" s="1399"/>
      <c r="BH584" s="1399"/>
      <c r="BI584" s="1399"/>
      <c r="BJ584" s="1399"/>
      <c r="BK584" s="1399"/>
      <c r="BL584" s="1399"/>
      <c r="BM584" s="1399"/>
      <c r="BN584" s="1399"/>
      <c r="BO584" s="1399"/>
      <c r="BP584" s="1399"/>
      <c r="BQ584" s="1399"/>
      <c r="BR584" s="1399"/>
      <c r="BS584" s="1399"/>
      <c r="BT584" s="1399"/>
      <c r="BU584" s="2838"/>
      <c r="BV584" s="2838"/>
      <c r="BW584" s="2838"/>
      <c r="BX584" s="2838"/>
      <c r="BY584" s="2838"/>
      <c r="BZ584" s="2838"/>
      <c r="CA584" s="2838"/>
      <c r="CB584" s="2838"/>
      <c r="CC584" s="2838"/>
      <c r="CD584" s="2838"/>
      <c r="CE584" s="1399"/>
      <c r="CF584" s="1399"/>
      <c r="CG584" s="1399"/>
      <c r="CH584" s="1399"/>
      <c r="CI584" s="1399"/>
      <c r="CJ584" s="1399"/>
      <c r="CK584" s="1399"/>
      <c r="CL584" s="1399"/>
      <c r="CM584" s="1399"/>
      <c r="CN584" s="1399"/>
      <c r="CO584" s="1399"/>
      <c r="CP584" s="1399"/>
      <c r="CQ584" s="1399"/>
      <c r="CR584" s="1399"/>
      <c r="CS584" s="1399"/>
      <c r="CT584" s="1399"/>
      <c r="CU584" s="1399"/>
      <c r="CV584" s="1399"/>
      <c r="CW584" s="1399"/>
      <c r="CX584" s="1399"/>
      <c r="CY584" s="1399"/>
      <c r="CZ584" s="1399"/>
      <c r="DA584" s="1399"/>
      <c r="DB584" s="1399"/>
      <c r="DC584" s="1399"/>
      <c r="DD584" s="1399"/>
      <c r="DE584" s="1399"/>
      <c r="DF584" s="1399"/>
      <c r="DG584" s="1399"/>
      <c r="DH584" s="1399"/>
      <c r="DI584" s="1399"/>
      <c r="DJ584" s="1399"/>
      <c r="DK584" s="1399"/>
      <c r="DL584" s="1399"/>
      <c r="DM584" s="1399"/>
      <c r="DN584" s="1399"/>
      <c r="DO584" s="1399"/>
      <c r="DP584" s="1399"/>
      <c r="DQ584" s="1399"/>
      <c r="DR584" s="1399"/>
      <c r="DS584" s="1399"/>
      <c r="DT584" s="1399"/>
      <c r="DU584" s="1399"/>
    </row>
    <row r="585" spans="1:125">
      <c r="A585" s="1414"/>
      <c r="B585" s="1414"/>
      <c r="C585" s="1414"/>
      <c r="D585" s="1414"/>
      <c r="E585" s="1414"/>
      <c r="F585" s="1414"/>
      <c r="G585" s="1414"/>
      <c r="H585" s="1414"/>
      <c r="I585" s="1414"/>
      <c r="J585" s="1414"/>
      <c r="K585" s="1414"/>
      <c r="L585" s="1414"/>
      <c r="M585" s="1414"/>
      <c r="N585" s="1414"/>
      <c r="O585" s="1414"/>
      <c r="P585" s="1414"/>
      <c r="Q585" s="1414"/>
      <c r="R585" s="1414"/>
      <c r="S585" s="1414"/>
      <c r="T585" s="1414"/>
      <c r="U585" s="1414"/>
      <c r="V585" s="1414"/>
      <c r="W585" s="1414"/>
      <c r="X585" s="1414"/>
      <c r="Y585" s="1414"/>
      <c r="Z585" s="1414"/>
      <c r="AA585" s="1414"/>
      <c r="AB585" s="1414"/>
      <c r="AC585" s="1414"/>
      <c r="AD585" s="1414"/>
      <c r="AE585" s="1414"/>
      <c r="AF585" s="1414"/>
      <c r="AG585" s="1414"/>
      <c r="AH585" s="1414"/>
      <c r="AI585" s="1414"/>
      <c r="AJ585" s="1414"/>
      <c r="AK585" s="1414"/>
      <c r="AL585" s="1414"/>
      <c r="AM585" s="1414"/>
      <c r="AN585" s="1414"/>
      <c r="AO585" s="1414"/>
      <c r="AP585" s="1414"/>
      <c r="AQ585" s="1414"/>
      <c r="AR585" s="1414"/>
      <c r="AS585" s="1414"/>
      <c r="AT585" s="1414"/>
      <c r="AU585" s="1414"/>
      <c r="AV585" s="1414"/>
      <c r="AW585" s="1414"/>
      <c r="AX585" s="1414"/>
      <c r="AY585" s="1399"/>
      <c r="AZ585" s="1399"/>
      <c r="BA585" s="1399"/>
      <c r="BB585" s="1399"/>
      <c r="BC585" s="1399"/>
      <c r="BD585" s="1399"/>
      <c r="BE585" s="1414"/>
      <c r="BF585" s="1399"/>
      <c r="BG585" s="1399"/>
      <c r="BH585" s="1399"/>
      <c r="BI585" s="1399"/>
      <c r="BJ585" s="1399"/>
      <c r="BK585" s="1399"/>
      <c r="BL585" s="1399"/>
      <c r="BM585" s="1399"/>
      <c r="BN585" s="1399"/>
      <c r="BO585" s="1399"/>
      <c r="BP585" s="1399"/>
      <c r="BQ585" s="1399"/>
      <c r="BR585" s="1399"/>
      <c r="BS585" s="1399"/>
      <c r="BT585" s="1399"/>
      <c r="BU585" s="2838"/>
      <c r="BV585" s="2838"/>
      <c r="BW585" s="2838"/>
      <c r="BX585" s="2838"/>
      <c r="BY585" s="2838"/>
      <c r="BZ585" s="2838"/>
      <c r="CA585" s="2838"/>
      <c r="CB585" s="2838"/>
      <c r="CC585" s="2838"/>
      <c r="CD585" s="2838"/>
      <c r="CE585" s="1399"/>
      <c r="CF585" s="1399"/>
      <c r="CG585" s="1399"/>
      <c r="CH585" s="1399"/>
      <c r="CI585" s="1399"/>
      <c r="CJ585" s="1399"/>
      <c r="CK585" s="1399"/>
      <c r="CL585" s="1399"/>
      <c r="CM585" s="1399"/>
      <c r="CN585" s="1399"/>
      <c r="CO585" s="1399"/>
      <c r="CP585" s="1399"/>
      <c r="CQ585" s="1399"/>
      <c r="CR585" s="1399"/>
      <c r="CS585" s="1399"/>
      <c r="CT585" s="1399"/>
      <c r="CU585" s="1399"/>
      <c r="CV585" s="1399"/>
      <c r="CW585" s="1399"/>
      <c r="CX585" s="1399"/>
      <c r="CY585" s="1399"/>
      <c r="CZ585" s="1399"/>
      <c r="DA585" s="1399"/>
      <c r="DB585" s="1399"/>
      <c r="DC585" s="1399"/>
      <c r="DD585" s="1399"/>
      <c r="DE585" s="1399"/>
      <c r="DF585" s="1399"/>
      <c r="DG585" s="1399"/>
      <c r="DH585" s="1399"/>
      <c r="DI585" s="1399"/>
      <c r="DJ585" s="1399"/>
      <c r="DK585" s="1399"/>
      <c r="DL585" s="1399"/>
      <c r="DM585" s="1399"/>
      <c r="DN585" s="1399"/>
      <c r="DO585" s="1399"/>
      <c r="DP585" s="1399"/>
      <c r="DQ585" s="1399"/>
      <c r="DR585" s="1399"/>
      <c r="DS585" s="1399"/>
      <c r="DT585" s="1399"/>
      <c r="DU585" s="1399"/>
    </row>
    <row r="586" spans="1:125">
      <c r="A586" s="1414"/>
      <c r="B586" s="1414"/>
      <c r="C586" s="1414"/>
      <c r="D586" s="1414"/>
      <c r="E586" s="1414"/>
      <c r="F586" s="1414"/>
      <c r="G586" s="1414"/>
      <c r="H586" s="1414"/>
      <c r="I586" s="1414"/>
      <c r="J586" s="1414"/>
      <c r="K586" s="1414"/>
      <c r="L586" s="1414"/>
      <c r="M586" s="1414"/>
      <c r="N586" s="1414"/>
      <c r="O586" s="1414"/>
      <c r="P586" s="1414"/>
      <c r="Q586" s="1414"/>
      <c r="R586" s="1414"/>
      <c r="S586" s="1414"/>
      <c r="T586" s="1414"/>
      <c r="U586" s="1414"/>
      <c r="V586" s="1414"/>
      <c r="W586" s="1414"/>
      <c r="X586" s="1414"/>
      <c r="Y586" s="1414"/>
      <c r="Z586" s="1414"/>
      <c r="AA586" s="1414"/>
      <c r="AB586" s="1414"/>
      <c r="AC586" s="1414"/>
      <c r="AD586" s="1414"/>
      <c r="AE586" s="1414"/>
      <c r="AF586" s="1414"/>
      <c r="AG586" s="1414"/>
      <c r="AH586" s="1414"/>
      <c r="AI586" s="1414"/>
      <c r="AJ586" s="1414"/>
      <c r="AK586" s="1414"/>
      <c r="AL586" s="1414"/>
      <c r="AM586" s="1414"/>
      <c r="AN586" s="1414"/>
      <c r="AO586" s="1414"/>
      <c r="AP586" s="1414"/>
      <c r="AQ586" s="1414"/>
      <c r="AR586" s="1414"/>
      <c r="AS586" s="1414"/>
      <c r="AT586" s="1414"/>
      <c r="AU586" s="1414"/>
      <c r="AV586" s="1414"/>
      <c r="AW586" s="1414"/>
      <c r="AX586" s="1414"/>
      <c r="AY586" s="1399"/>
      <c r="AZ586" s="1399"/>
      <c r="BA586" s="1399"/>
      <c r="BB586" s="1399"/>
      <c r="BC586" s="1399"/>
      <c r="BD586" s="1399"/>
      <c r="BE586" s="1414"/>
      <c r="BF586" s="1399"/>
      <c r="BG586" s="1399"/>
      <c r="BH586" s="1399"/>
      <c r="BI586" s="1399"/>
      <c r="BJ586" s="1399"/>
      <c r="BK586" s="1399"/>
      <c r="BL586" s="1399"/>
      <c r="BM586" s="1399"/>
      <c r="BN586" s="1399"/>
      <c r="BO586" s="1399"/>
      <c r="BP586" s="1399"/>
      <c r="BQ586" s="1399"/>
      <c r="BR586" s="1399"/>
      <c r="BS586" s="1399"/>
      <c r="BT586" s="1399"/>
      <c r="BU586" s="2838"/>
      <c r="BV586" s="2838"/>
      <c r="BW586" s="2838"/>
      <c r="BX586" s="2838"/>
      <c r="BY586" s="2838"/>
      <c r="BZ586" s="2838"/>
      <c r="CA586" s="2838"/>
      <c r="CB586" s="2838"/>
      <c r="CC586" s="2838"/>
      <c r="CD586" s="2838"/>
      <c r="CE586" s="1399"/>
      <c r="CF586" s="1399"/>
      <c r="CG586" s="1399"/>
      <c r="CH586" s="1399"/>
      <c r="CI586" s="1399"/>
      <c r="CJ586" s="1399"/>
      <c r="CK586" s="1399"/>
      <c r="CL586" s="1399"/>
      <c r="CM586" s="1399"/>
      <c r="CN586" s="1399"/>
      <c r="CO586" s="1399"/>
      <c r="CP586" s="1399"/>
      <c r="CQ586" s="1399"/>
      <c r="CR586" s="1399"/>
      <c r="CS586" s="1399"/>
      <c r="CT586" s="1399"/>
      <c r="CU586" s="1399"/>
      <c r="CV586" s="1399"/>
      <c r="CW586" s="1399"/>
      <c r="CX586" s="1399"/>
      <c r="CY586" s="1399"/>
      <c r="CZ586" s="1399"/>
      <c r="DA586" s="1399"/>
      <c r="DB586" s="1399"/>
      <c r="DC586" s="1399"/>
      <c r="DD586" s="1399"/>
      <c r="DE586" s="1399"/>
      <c r="DF586" s="1399"/>
      <c r="DG586" s="1399"/>
      <c r="DH586" s="1399"/>
      <c r="DI586" s="1399"/>
      <c r="DJ586" s="1399"/>
      <c r="DK586" s="1399"/>
      <c r="DL586" s="1399"/>
      <c r="DM586" s="1399"/>
      <c r="DN586" s="1399"/>
      <c r="DO586" s="1399"/>
      <c r="DP586" s="1399"/>
      <c r="DQ586" s="1399"/>
      <c r="DR586" s="1399"/>
      <c r="DS586" s="1399"/>
      <c r="DT586" s="1399"/>
      <c r="DU586" s="1399"/>
    </row>
    <row r="587" spans="1:125">
      <c r="A587" s="1414"/>
      <c r="B587" s="1414"/>
      <c r="C587" s="1414"/>
      <c r="D587" s="1414"/>
      <c r="E587" s="1414"/>
      <c r="F587" s="1414"/>
      <c r="G587" s="1414"/>
      <c r="H587" s="1414"/>
      <c r="I587" s="1414"/>
      <c r="J587" s="1414"/>
      <c r="K587" s="1414"/>
      <c r="L587" s="1414"/>
      <c r="M587" s="1414"/>
      <c r="N587" s="1414"/>
      <c r="O587" s="1414"/>
      <c r="P587" s="1414"/>
      <c r="Q587" s="1414"/>
      <c r="R587" s="1414"/>
      <c r="S587" s="1414"/>
      <c r="T587" s="1414"/>
      <c r="U587" s="1414"/>
      <c r="V587" s="1414"/>
      <c r="W587" s="1414"/>
      <c r="X587" s="1414"/>
      <c r="Y587" s="1414"/>
      <c r="Z587" s="1414"/>
      <c r="AA587" s="1414"/>
      <c r="AB587" s="1414"/>
      <c r="AC587" s="1414"/>
      <c r="AD587" s="1414"/>
      <c r="AE587" s="1414"/>
      <c r="AF587" s="1414"/>
      <c r="AG587" s="1414"/>
      <c r="AH587" s="1414"/>
      <c r="AI587" s="1414"/>
      <c r="AJ587" s="1414"/>
      <c r="AK587" s="1414"/>
      <c r="AL587" s="1414"/>
      <c r="AM587" s="1414"/>
      <c r="AN587" s="1414"/>
      <c r="AO587" s="1414"/>
      <c r="AP587" s="1414"/>
      <c r="AQ587" s="1414"/>
      <c r="AR587" s="1414"/>
      <c r="AS587" s="1414"/>
      <c r="AT587" s="1414"/>
      <c r="AU587" s="1414"/>
      <c r="AV587" s="1414"/>
      <c r="AW587" s="1414"/>
      <c r="AX587" s="1414"/>
      <c r="AY587" s="1399"/>
      <c r="AZ587" s="1399"/>
      <c r="BA587" s="1399"/>
      <c r="BB587" s="1399"/>
      <c r="BC587" s="1399"/>
      <c r="BD587" s="1399"/>
      <c r="BE587" s="1414"/>
      <c r="BF587" s="1399"/>
      <c r="BG587" s="1399"/>
      <c r="BH587" s="1399"/>
      <c r="BI587" s="1399"/>
      <c r="BJ587" s="1399"/>
      <c r="BK587" s="1399"/>
      <c r="BL587" s="1399"/>
      <c r="BM587" s="1399"/>
      <c r="BN587" s="1399"/>
      <c r="BO587" s="1399"/>
      <c r="BP587" s="1399"/>
      <c r="BQ587" s="1399"/>
      <c r="BR587" s="1399"/>
      <c r="BS587" s="1399"/>
      <c r="BT587" s="1399"/>
      <c r="BU587" s="2838"/>
      <c r="BV587" s="2838"/>
      <c r="BW587" s="2838"/>
      <c r="BX587" s="2838"/>
      <c r="BY587" s="2838"/>
      <c r="BZ587" s="2838"/>
      <c r="CA587" s="2838"/>
      <c r="CB587" s="2838"/>
      <c r="CC587" s="2838"/>
      <c r="CD587" s="2838"/>
      <c r="CE587" s="1399"/>
      <c r="CF587" s="1399"/>
      <c r="CG587" s="1399"/>
      <c r="CH587" s="1399"/>
      <c r="CI587" s="1399"/>
      <c r="CJ587" s="1399"/>
      <c r="CK587" s="1399"/>
      <c r="CL587" s="1399"/>
      <c r="CM587" s="1399"/>
      <c r="CN587" s="1399"/>
      <c r="CO587" s="1399"/>
      <c r="CP587" s="1399"/>
      <c r="CQ587" s="1399"/>
      <c r="CR587" s="1399"/>
      <c r="CS587" s="1399"/>
      <c r="CT587" s="1399"/>
      <c r="CU587" s="1399"/>
      <c r="CV587" s="1399"/>
      <c r="CW587" s="1399"/>
      <c r="CX587" s="1399"/>
      <c r="CY587" s="1399"/>
      <c r="CZ587" s="1399"/>
      <c r="DA587" s="1399"/>
      <c r="DB587" s="1399"/>
      <c r="DC587" s="1399"/>
      <c r="DD587" s="1399"/>
      <c r="DE587" s="1399"/>
      <c r="DF587" s="1399"/>
      <c r="DG587" s="1399"/>
      <c r="DH587" s="1399"/>
      <c r="DI587" s="1399"/>
      <c r="DJ587" s="1399"/>
      <c r="DK587" s="1399"/>
      <c r="DL587" s="1399"/>
      <c r="DM587" s="1399"/>
      <c r="DN587" s="1399"/>
      <c r="DO587" s="1399"/>
      <c r="DP587" s="1399"/>
      <c r="DQ587" s="1399"/>
      <c r="DR587" s="1399"/>
      <c r="DS587" s="1399"/>
      <c r="DT587" s="1399"/>
      <c r="DU587" s="1399"/>
    </row>
    <row r="588" spans="1:125">
      <c r="A588" s="1414"/>
      <c r="B588" s="1414"/>
      <c r="C588" s="1414"/>
      <c r="D588" s="1414"/>
      <c r="E588" s="1414"/>
      <c r="F588" s="1414"/>
      <c r="G588" s="1414"/>
      <c r="H588" s="1414"/>
      <c r="I588" s="1414"/>
      <c r="J588" s="1414"/>
      <c r="K588" s="1414"/>
      <c r="L588" s="1414"/>
      <c r="M588" s="1414"/>
      <c r="N588" s="1414"/>
      <c r="O588" s="1414"/>
      <c r="P588" s="1414"/>
      <c r="Q588" s="1414"/>
      <c r="R588" s="1414"/>
      <c r="S588" s="1414"/>
      <c r="T588" s="1414"/>
      <c r="U588" s="1414"/>
      <c r="V588" s="1414"/>
      <c r="W588" s="1414"/>
      <c r="X588" s="1414"/>
      <c r="Y588" s="1414"/>
      <c r="Z588" s="1414"/>
      <c r="AA588" s="1414"/>
      <c r="AB588" s="1414"/>
      <c r="AC588" s="1414"/>
      <c r="AD588" s="1414"/>
      <c r="AE588" s="1414"/>
      <c r="AF588" s="1414"/>
      <c r="AG588" s="1414"/>
      <c r="AH588" s="1414"/>
      <c r="AI588" s="1414"/>
      <c r="AJ588" s="1414"/>
      <c r="AK588" s="1414"/>
      <c r="AL588" s="1414"/>
      <c r="AM588" s="1414"/>
      <c r="AN588" s="1414"/>
      <c r="AO588" s="1414"/>
      <c r="AP588" s="1414"/>
      <c r="AQ588" s="1414"/>
      <c r="AR588" s="1414"/>
      <c r="AS588" s="1414"/>
      <c r="AT588" s="1414"/>
      <c r="AU588" s="1414"/>
      <c r="AV588" s="1414"/>
      <c r="AW588" s="1414"/>
      <c r="AX588" s="1414"/>
      <c r="AY588" s="1399"/>
      <c r="AZ588" s="1399"/>
      <c r="BA588" s="1399"/>
      <c r="BB588" s="1399"/>
      <c r="BC588" s="1399"/>
      <c r="BD588" s="1399"/>
      <c r="BE588" s="1414"/>
      <c r="BF588" s="1399"/>
      <c r="BG588" s="1399"/>
      <c r="BH588" s="1399"/>
      <c r="BI588" s="1399"/>
      <c r="BJ588" s="1399"/>
      <c r="BK588" s="1399"/>
      <c r="BL588" s="1399"/>
      <c r="BM588" s="1399"/>
      <c r="BN588" s="1399"/>
      <c r="BO588" s="1399"/>
      <c r="BP588" s="1399"/>
      <c r="BQ588" s="1399"/>
      <c r="BR588" s="1399"/>
      <c r="BS588" s="1399"/>
      <c r="BT588" s="1399"/>
      <c r="BU588" s="2838"/>
      <c r="BV588" s="2838"/>
      <c r="BW588" s="2838"/>
      <c r="BX588" s="2838"/>
      <c r="BY588" s="2838"/>
      <c r="BZ588" s="2838"/>
      <c r="CA588" s="2838"/>
      <c r="CB588" s="2838"/>
      <c r="CC588" s="2838"/>
      <c r="CD588" s="2838"/>
      <c r="CE588" s="1399"/>
      <c r="CF588" s="1399"/>
      <c r="CG588" s="1399"/>
      <c r="CH588" s="1399"/>
      <c r="CI588" s="1399"/>
      <c r="CJ588" s="1399"/>
      <c r="CK588" s="1399"/>
      <c r="CL588" s="1399"/>
      <c r="CM588" s="1399"/>
      <c r="CN588" s="1399"/>
      <c r="CO588" s="1399"/>
      <c r="CP588" s="1399"/>
      <c r="CQ588" s="1399"/>
      <c r="CR588" s="1399"/>
      <c r="CS588" s="1399"/>
      <c r="CT588" s="1399"/>
      <c r="CU588" s="1399"/>
      <c r="CV588" s="1399"/>
      <c r="CW588" s="1399"/>
      <c r="CX588" s="1399"/>
      <c r="CY588" s="1399"/>
      <c r="CZ588" s="1399"/>
      <c r="DA588" s="1399"/>
      <c r="DB588" s="1399"/>
      <c r="DC588" s="1399"/>
      <c r="DD588" s="1399"/>
      <c r="DE588" s="1399"/>
      <c r="DF588" s="1399"/>
      <c r="DG588" s="1399"/>
      <c r="DH588" s="1399"/>
      <c r="DI588" s="1399"/>
      <c r="DJ588" s="1399"/>
      <c r="DK588" s="1399"/>
      <c r="DL588" s="1399"/>
      <c r="DM588" s="1399"/>
      <c r="DN588" s="1399"/>
      <c r="DO588" s="1399"/>
      <c r="DP588" s="1399"/>
      <c r="DQ588" s="1399"/>
      <c r="DR588" s="1399"/>
      <c r="DS588" s="1399"/>
      <c r="DT588" s="1399"/>
      <c r="DU588" s="1399"/>
    </row>
    <row r="589" spans="1:125">
      <c r="A589" s="1414"/>
      <c r="B589" s="1414"/>
      <c r="C589" s="1414"/>
      <c r="D589" s="1414"/>
      <c r="E589" s="1414"/>
      <c r="F589" s="1414"/>
      <c r="G589" s="1414"/>
      <c r="H589" s="1414"/>
      <c r="I589" s="1414"/>
      <c r="J589" s="1414"/>
      <c r="K589" s="1414"/>
      <c r="L589" s="1414"/>
      <c r="M589" s="1414"/>
      <c r="N589" s="1414"/>
      <c r="O589" s="1414"/>
      <c r="P589" s="1414"/>
      <c r="Q589" s="1414"/>
      <c r="R589" s="1414"/>
      <c r="S589" s="1414"/>
      <c r="T589" s="1414"/>
      <c r="U589" s="1414"/>
      <c r="V589" s="1414"/>
      <c r="W589" s="1414"/>
      <c r="X589" s="1414"/>
      <c r="Y589" s="1414"/>
      <c r="Z589" s="1414"/>
      <c r="AA589" s="1414"/>
      <c r="AB589" s="1414"/>
      <c r="AC589" s="1414"/>
      <c r="AD589" s="1414"/>
      <c r="AE589" s="1414"/>
      <c r="AF589" s="1414"/>
      <c r="AG589" s="1414"/>
      <c r="AH589" s="1414"/>
      <c r="AI589" s="1414"/>
      <c r="AJ589" s="1414"/>
      <c r="AK589" s="1414"/>
      <c r="AL589" s="1414"/>
      <c r="AM589" s="1414"/>
      <c r="AN589" s="1414"/>
      <c r="AO589" s="1414"/>
      <c r="AP589" s="1414"/>
      <c r="AQ589" s="1414"/>
      <c r="AR589" s="1414"/>
      <c r="AS589" s="1414"/>
      <c r="AT589" s="1414"/>
      <c r="AU589" s="1414"/>
      <c r="AV589" s="1414"/>
      <c r="AW589" s="1414"/>
      <c r="AX589" s="1414"/>
      <c r="AY589" s="1399"/>
      <c r="AZ589" s="1399"/>
      <c r="BA589" s="1399"/>
      <c r="BB589" s="1399"/>
      <c r="BC589" s="1399"/>
      <c r="BD589" s="1399"/>
      <c r="BE589" s="1414"/>
      <c r="BF589" s="1399"/>
      <c r="BG589" s="1399"/>
      <c r="BH589" s="1399"/>
      <c r="BI589" s="1399"/>
      <c r="BJ589" s="1399"/>
      <c r="BK589" s="1399"/>
      <c r="BL589" s="1399"/>
      <c r="BM589" s="1399"/>
      <c r="BN589" s="1399"/>
      <c r="BO589" s="1399"/>
      <c r="BP589" s="1399"/>
      <c r="BQ589" s="1399"/>
      <c r="BR589" s="1399"/>
      <c r="BS589" s="1399"/>
      <c r="BT589" s="1399"/>
      <c r="BU589" s="2838"/>
      <c r="BV589" s="2838"/>
      <c r="BW589" s="2838"/>
      <c r="BX589" s="2838"/>
      <c r="BY589" s="2838"/>
      <c r="BZ589" s="2838"/>
      <c r="CA589" s="2838"/>
      <c r="CB589" s="2838"/>
      <c r="CC589" s="2838"/>
      <c r="CD589" s="2838"/>
      <c r="CE589" s="1399"/>
      <c r="CF589" s="1399"/>
      <c r="CG589" s="1399"/>
      <c r="CH589" s="1399"/>
      <c r="CI589" s="1399"/>
      <c r="CJ589" s="1399"/>
      <c r="CK589" s="1399"/>
      <c r="CL589" s="1399"/>
      <c r="CM589" s="1399"/>
      <c r="CN589" s="1399"/>
      <c r="CO589" s="1399"/>
      <c r="CP589" s="1399"/>
      <c r="CQ589" s="1399"/>
      <c r="CR589" s="1399"/>
      <c r="CS589" s="1399"/>
      <c r="CT589" s="1399"/>
      <c r="CU589" s="1399"/>
      <c r="CV589" s="1399"/>
      <c r="CW589" s="1399"/>
      <c r="CX589" s="1399"/>
      <c r="CY589" s="1399"/>
      <c r="CZ589" s="1399"/>
      <c r="DA589" s="1399"/>
      <c r="DB589" s="1399"/>
      <c r="DC589" s="1399"/>
      <c r="DD589" s="1399"/>
      <c r="DE589" s="1399"/>
      <c r="DF589" s="1399"/>
      <c r="DG589" s="1399"/>
      <c r="DH589" s="1399"/>
      <c r="DI589" s="1399"/>
      <c r="DJ589" s="1399"/>
      <c r="DK589" s="1399"/>
      <c r="DL589" s="1399"/>
      <c r="DM589" s="1399"/>
      <c r="DN589" s="1399"/>
      <c r="DO589" s="1399"/>
      <c r="DP589" s="1399"/>
      <c r="DQ589" s="1399"/>
      <c r="DR589" s="1399"/>
      <c r="DS589" s="1399"/>
      <c r="DT589" s="1399"/>
      <c r="DU589" s="1399"/>
    </row>
    <row r="590" spans="1:125">
      <c r="A590" s="1414"/>
      <c r="B590" s="1414"/>
      <c r="C590" s="1414"/>
      <c r="D590" s="1414"/>
      <c r="E590" s="1414"/>
      <c r="F590" s="1414"/>
      <c r="G590" s="1414"/>
      <c r="H590" s="1414"/>
      <c r="I590" s="1414"/>
      <c r="J590" s="1414"/>
      <c r="K590" s="1414"/>
      <c r="L590" s="1414"/>
      <c r="M590" s="1414"/>
      <c r="N590" s="1414"/>
      <c r="O590" s="1414"/>
      <c r="P590" s="1414"/>
      <c r="Q590" s="1414"/>
      <c r="R590" s="1414"/>
      <c r="S590" s="1414"/>
      <c r="T590" s="1414"/>
      <c r="U590" s="1414"/>
      <c r="V590" s="1414"/>
      <c r="W590" s="1414"/>
      <c r="X590" s="1414"/>
      <c r="Y590" s="1414"/>
      <c r="Z590" s="1414"/>
      <c r="AA590" s="1414"/>
      <c r="AB590" s="1414"/>
      <c r="AC590" s="1414"/>
      <c r="AD590" s="1414"/>
      <c r="AE590" s="1414"/>
      <c r="AF590" s="1414"/>
      <c r="AG590" s="1414"/>
      <c r="AH590" s="1414"/>
      <c r="AI590" s="1414"/>
      <c r="AJ590" s="1414"/>
      <c r="AK590" s="1414"/>
      <c r="AL590" s="1414"/>
      <c r="AM590" s="1414"/>
      <c r="AN590" s="1414"/>
      <c r="AO590" s="1414"/>
      <c r="AP590" s="1414"/>
      <c r="AQ590" s="1414"/>
      <c r="AR590" s="1414"/>
      <c r="AS590" s="1414"/>
      <c r="AT590" s="1414"/>
      <c r="AU590" s="1414"/>
      <c r="AV590" s="1414"/>
      <c r="AW590" s="1414"/>
      <c r="AX590" s="1414"/>
      <c r="AY590" s="1399"/>
      <c r="AZ590" s="1399"/>
      <c r="BA590" s="1399"/>
      <c r="BB590" s="1399"/>
      <c r="BC590" s="1399"/>
      <c r="BD590" s="1399"/>
      <c r="BE590" s="1414"/>
      <c r="BF590" s="1399"/>
      <c r="BG590" s="1399"/>
      <c r="BH590" s="1399"/>
      <c r="BI590" s="1399"/>
      <c r="BJ590" s="1399"/>
      <c r="BK590" s="1399"/>
      <c r="BL590" s="1399"/>
      <c r="BM590" s="1399"/>
      <c r="BN590" s="1399"/>
      <c r="BO590" s="1399"/>
      <c r="BP590" s="1399"/>
      <c r="BQ590" s="1399"/>
      <c r="BR590" s="1399"/>
      <c r="BS590" s="1399"/>
      <c r="BT590" s="1399"/>
      <c r="BU590" s="2838"/>
      <c r="BV590" s="2838"/>
      <c r="BW590" s="2838"/>
      <c r="BX590" s="2838"/>
      <c r="BY590" s="2838"/>
      <c r="BZ590" s="2838"/>
      <c r="CA590" s="2838"/>
      <c r="CB590" s="2838"/>
      <c r="CC590" s="2838"/>
      <c r="CD590" s="2838"/>
      <c r="CE590" s="1399"/>
      <c r="CF590" s="1399"/>
      <c r="CG590" s="1399"/>
      <c r="CH590" s="1399"/>
      <c r="CI590" s="1399"/>
      <c r="CJ590" s="1399"/>
      <c r="CK590" s="1399"/>
      <c r="CL590" s="1399"/>
      <c r="CM590" s="1399"/>
      <c r="CN590" s="1399"/>
      <c r="CO590" s="1399"/>
      <c r="CP590" s="1399"/>
      <c r="CQ590" s="1399"/>
      <c r="CR590" s="1399"/>
      <c r="CS590" s="1399"/>
      <c r="CT590" s="1399"/>
      <c r="CU590" s="1399"/>
      <c r="CV590" s="1399"/>
      <c r="CW590" s="1399"/>
      <c r="CX590" s="1399"/>
      <c r="CY590" s="1399"/>
      <c r="CZ590" s="1399"/>
      <c r="DA590" s="1399"/>
      <c r="DB590" s="1399"/>
      <c r="DC590" s="1399"/>
      <c r="DD590" s="1399"/>
      <c r="DE590" s="1399"/>
      <c r="DF590" s="1399"/>
      <c r="DG590" s="1399"/>
      <c r="DH590" s="1399"/>
      <c r="DI590" s="1399"/>
      <c r="DJ590" s="1399"/>
      <c r="DK590" s="1399"/>
      <c r="DL590" s="1399"/>
      <c r="DM590" s="1399"/>
      <c r="DN590" s="1399"/>
      <c r="DO590" s="1399"/>
      <c r="DP590" s="1399"/>
      <c r="DQ590" s="1399"/>
      <c r="DR590" s="1399"/>
      <c r="DS590" s="1399"/>
      <c r="DT590" s="1399"/>
      <c r="DU590" s="1399"/>
    </row>
    <row r="591" spans="1:125">
      <c r="A591" s="1414"/>
      <c r="B591" s="1414"/>
      <c r="C591" s="1414"/>
      <c r="D591" s="1414"/>
      <c r="E591" s="1414"/>
      <c r="F591" s="1414"/>
      <c r="G591" s="1414"/>
      <c r="H591" s="1414"/>
      <c r="I591" s="1414"/>
      <c r="J591" s="1414"/>
      <c r="K591" s="1414"/>
      <c r="L591" s="1414"/>
      <c r="M591" s="1414"/>
      <c r="N591" s="1414"/>
      <c r="O591" s="1414"/>
      <c r="P591" s="1414"/>
      <c r="Q591" s="1414"/>
      <c r="R591" s="1414"/>
      <c r="S591" s="1414"/>
      <c r="T591" s="1414"/>
      <c r="U591" s="1414"/>
      <c r="V591" s="1414"/>
      <c r="W591" s="1414"/>
      <c r="X591" s="1414"/>
      <c r="Y591" s="1414"/>
      <c r="Z591" s="1414"/>
      <c r="AA591" s="1414"/>
      <c r="AB591" s="1414"/>
      <c r="AC591" s="1414"/>
      <c r="AD591" s="1414"/>
      <c r="AE591" s="1414"/>
      <c r="AF591" s="1414"/>
      <c r="AG591" s="1414"/>
      <c r="AH591" s="1414"/>
      <c r="AI591" s="1414"/>
      <c r="AJ591" s="1414"/>
      <c r="AK591" s="1414"/>
      <c r="AL591" s="1414"/>
      <c r="AM591" s="1414"/>
      <c r="AN591" s="1414"/>
      <c r="AO591" s="1414"/>
      <c r="AP591" s="1414"/>
      <c r="AQ591" s="1414"/>
      <c r="AR591" s="1414"/>
      <c r="AS591" s="1414"/>
      <c r="AT591" s="1414"/>
      <c r="AU591" s="1414"/>
      <c r="AV591" s="1414"/>
      <c r="AW591" s="1414"/>
      <c r="AX591" s="1414"/>
      <c r="AY591" s="1399"/>
      <c r="AZ591" s="1399"/>
      <c r="BA591" s="1399"/>
      <c r="BB591" s="1399"/>
      <c r="BC591" s="1399"/>
      <c r="BD591" s="1399"/>
      <c r="BE591" s="1414"/>
      <c r="BF591" s="1399"/>
      <c r="BG591" s="1399"/>
      <c r="BH591" s="1399"/>
      <c r="BI591" s="1399"/>
      <c r="BJ591" s="1399"/>
      <c r="BK591" s="1399"/>
      <c r="BL591" s="1399"/>
      <c r="BM591" s="1399"/>
      <c r="BN591" s="1399"/>
      <c r="BO591" s="1399"/>
      <c r="BP591" s="1399"/>
      <c r="BQ591" s="1399"/>
      <c r="BR591" s="1399"/>
      <c r="BS591" s="1399"/>
      <c r="BT591" s="1399"/>
      <c r="BU591" s="2838"/>
      <c r="BV591" s="2838"/>
      <c r="BW591" s="2838"/>
      <c r="BX591" s="2838"/>
      <c r="BY591" s="2838"/>
      <c r="BZ591" s="2838"/>
      <c r="CA591" s="2838"/>
      <c r="CB591" s="2838"/>
      <c r="CC591" s="2838"/>
      <c r="CD591" s="2838"/>
      <c r="CE591" s="1399"/>
      <c r="CF591" s="1399"/>
      <c r="CG591" s="1399"/>
      <c r="CH591" s="1399"/>
      <c r="CI591" s="1399"/>
      <c r="CJ591" s="1399"/>
      <c r="CK591" s="1399"/>
      <c r="CL591" s="1399"/>
      <c r="CM591" s="1399"/>
      <c r="CN591" s="1399"/>
      <c r="CO591" s="1399"/>
      <c r="CP591" s="1399"/>
      <c r="CQ591" s="1399"/>
      <c r="CR591" s="1399"/>
      <c r="CS591" s="1399"/>
      <c r="CT591" s="1399"/>
      <c r="CU591" s="1399"/>
      <c r="CV591" s="1399"/>
      <c r="CW591" s="1399"/>
      <c r="CX591" s="1399"/>
      <c r="CY591" s="1399"/>
      <c r="CZ591" s="1399"/>
      <c r="DA591" s="1399"/>
      <c r="DB591" s="1399"/>
      <c r="DC591" s="1399"/>
      <c r="DD591" s="1399"/>
      <c r="DE591" s="1399"/>
      <c r="DF591" s="1399"/>
      <c r="DG591" s="1399"/>
      <c r="DH591" s="1399"/>
      <c r="DI591" s="1399"/>
      <c r="DJ591" s="1399"/>
      <c r="DK591" s="1399"/>
      <c r="DL591" s="1399"/>
      <c r="DM591" s="1399"/>
      <c r="DN591" s="1399"/>
      <c r="DO591" s="1399"/>
      <c r="DP591" s="1399"/>
      <c r="DQ591" s="1399"/>
      <c r="DR591" s="1399"/>
      <c r="DS591" s="1399"/>
      <c r="DT591" s="1399"/>
      <c r="DU591" s="1399"/>
    </row>
    <row r="592" spans="1:125">
      <c r="A592" s="1414"/>
      <c r="B592" s="1414"/>
      <c r="C592" s="1414"/>
      <c r="D592" s="1414"/>
      <c r="E592" s="1414"/>
      <c r="F592" s="1414"/>
      <c r="G592" s="1414"/>
      <c r="H592" s="1414"/>
      <c r="I592" s="1414"/>
      <c r="J592" s="1414"/>
      <c r="K592" s="1414"/>
      <c r="L592" s="1414"/>
      <c r="M592" s="1414"/>
      <c r="N592" s="1414"/>
      <c r="O592" s="1414"/>
      <c r="P592" s="1414"/>
      <c r="Q592" s="1414"/>
      <c r="R592" s="1414"/>
      <c r="S592" s="1414"/>
      <c r="T592" s="1414"/>
      <c r="U592" s="1414"/>
      <c r="V592" s="1414"/>
      <c r="W592" s="1414"/>
      <c r="X592" s="1414"/>
      <c r="Y592" s="1414"/>
      <c r="Z592" s="1414"/>
      <c r="AA592" s="1414"/>
      <c r="AB592" s="1414"/>
      <c r="AC592" s="1414"/>
      <c r="AD592" s="1414"/>
      <c r="AE592" s="1414"/>
      <c r="AF592" s="1414"/>
      <c r="AG592" s="1414"/>
      <c r="AH592" s="1414"/>
      <c r="AI592" s="1414"/>
      <c r="AJ592" s="1414"/>
      <c r="AK592" s="1414"/>
      <c r="AL592" s="1414"/>
      <c r="AM592" s="1414"/>
      <c r="AN592" s="1414"/>
      <c r="AO592" s="1414"/>
      <c r="AP592" s="1414"/>
      <c r="AQ592" s="1414"/>
      <c r="AR592" s="1414"/>
      <c r="AS592" s="1414"/>
      <c r="AT592" s="1414"/>
      <c r="AU592" s="1414"/>
      <c r="AV592" s="1414"/>
      <c r="AW592" s="1414"/>
      <c r="AX592" s="1414"/>
      <c r="AY592" s="1399"/>
      <c r="AZ592" s="1399"/>
      <c r="BA592" s="1399"/>
      <c r="BB592" s="1399"/>
      <c r="BC592" s="1399"/>
      <c r="BD592" s="1399"/>
      <c r="BE592" s="1414"/>
      <c r="BF592" s="1399"/>
      <c r="BG592" s="1399"/>
      <c r="BH592" s="1399"/>
      <c r="BI592" s="1399"/>
      <c r="BJ592" s="1399"/>
      <c r="BK592" s="1399"/>
      <c r="BL592" s="1399"/>
      <c r="BM592" s="1399"/>
      <c r="BN592" s="1399"/>
      <c r="BO592" s="1399"/>
      <c r="BP592" s="1399"/>
      <c r="BQ592" s="1399"/>
      <c r="BR592" s="1399"/>
      <c r="BS592" s="1399"/>
      <c r="BT592" s="1399"/>
      <c r="BU592" s="2838"/>
      <c r="BV592" s="2838"/>
      <c r="BW592" s="2838"/>
      <c r="BX592" s="2838"/>
      <c r="BY592" s="2838"/>
      <c r="BZ592" s="2838"/>
      <c r="CA592" s="2838"/>
      <c r="CB592" s="2838"/>
      <c r="CC592" s="2838"/>
      <c r="CD592" s="2838"/>
      <c r="CE592" s="1399"/>
      <c r="CF592" s="1399"/>
      <c r="CG592" s="1399"/>
      <c r="CH592" s="1399"/>
      <c r="CI592" s="1399"/>
      <c r="CJ592" s="1399"/>
      <c r="CK592" s="1399"/>
      <c r="CL592" s="1399"/>
      <c r="CM592" s="1399"/>
      <c r="CN592" s="1399"/>
      <c r="CO592" s="1399"/>
      <c r="CP592" s="1399"/>
      <c r="CQ592" s="1399"/>
      <c r="CR592" s="1399"/>
      <c r="CS592" s="1399"/>
      <c r="CT592" s="1399"/>
      <c r="CU592" s="1399"/>
      <c r="CV592" s="1399"/>
      <c r="CW592" s="1399"/>
      <c r="CX592" s="1399"/>
      <c r="CY592" s="1399"/>
      <c r="CZ592" s="1399"/>
      <c r="DA592" s="1399"/>
      <c r="DB592" s="1399"/>
      <c r="DC592" s="1399"/>
      <c r="DD592" s="1399"/>
      <c r="DE592" s="1399"/>
      <c r="DF592" s="1399"/>
      <c r="DG592" s="1399"/>
      <c r="DH592" s="1399"/>
      <c r="DI592" s="1399"/>
      <c r="DJ592" s="1399"/>
      <c r="DK592" s="1399"/>
      <c r="DL592" s="1399"/>
      <c r="DM592" s="1399"/>
      <c r="DN592" s="1399"/>
      <c r="DO592" s="1399"/>
      <c r="DP592" s="1399"/>
      <c r="DQ592" s="1399"/>
      <c r="DR592" s="1399"/>
      <c r="DS592" s="1399"/>
      <c r="DT592" s="1399"/>
      <c r="DU592" s="1399"/>
    </row>
    <row r="593" spans="1:125">
      <c r="A593" s="1414"/>
      <c r="B593" s="1414"/>
      <c r="C593" s="1414"/>
      <c r="D593" s="1414"/>
      <c r="E593" s="1414"/>
      <c r="F593" s="1414"/>
      <c r="G593" s="1414"/>
      <c r="H593" s="1414"/>
      <c r="I593" s="1414"/>
      <c r="J593" s="1414"/>
      <c r="K593" s="1414"/>
      <c r="L593" s="1414"/>
      <c r="M593" s="1414"/>
      <c r="N593" s="1414"/>
      <c r="O593" s="1414"/>
      <c r="P593" s="1414"/>
      <c r="Q593" s="1414"/>
      <c r="R593" s="1414"/>
      <c r="S593" s="1414"/>
      <c r="T593" s="1414"/>
      <c r="U593" s="1414"/>
      <c r="V593" s="1414"/>
      <c r="W593" s="1414"/>
      <c r="X593" s="1414"/>
      <c r="Y593" s="1414"/>
      <c r="Z593" s="1414"/>
      <c r="AA593" s="1414"/>
      <c r="AB593" s="1414"/>
      <c r="AC593" s="1414"/>
      <c r="AD593" s="1414"/>
      <c r="AE593" s="1414"/>
      <c r="AF593" s="1414"/>
      <c r="AG593" s="1414"/>
      <c r="AH593" s="1414"/>
      <c r="AI593" s="1414"/>
      <c r="AJ593" s="1414"/>
      <c r="AK593" s="1414"/>
      <c r="AL593" s="1414"/>
      <c r="AM593" s="1414"/>
      <c r="AN593" s="1414"/>
      <c r="AO593" s="1414"/>
      <c r="AP593" s="1414"/>
      <c r="AQ593" s="1414"/>
      <c r="AR593" s="1414"/>
      <c r="AS593" s="1414"/>
      <c r="AT593" s="1414"/>
      <c r="AU593" s="1414"/>
      <c r="AV593" s="1414"/>
      <c r="AW593" s="1414"/>
      <c r="AX593" s="1414"/>
      <c r="AY593" s="1399"/>
      <c r="AZ593" s="1399"/>
      <c r="BA593" s="1399"/>
      <c r="BB593" s="1399"/>
      <c r="BC593" s="1399"/>
      <c r="BD593" s="1399"/>
      <c r="BE593" s="1414"/>
      <c r="BF593" s="1399"/>
      <c r="BG593" s="1399"/>
      <c r="BH593" s="1399"/>
      <c r="BI593" s="1399"/>
      <c r="BJ593" s="1399"/>
      <c r="BK593" s="1399"/>
      <c r="BL593" s="1399"/>
      <c r="BM593" s="1399"/>
      <c r="BN593" s="1399"/>
      <c r="BO593" s="1399"/>
      <c r="BP593" s="1399"/>
      <c r="BQ593" s="1399"/>
      <c r="BR593" s="1399"/>
      <c r="BS593" s="1399"/>
      <c r="BT593" s="1399"/>
      <c r="BU593" s="2838"/>
      <c r="BV593" s="2838"/>
      <c r="BW593" s="2838"/>
      <c r="BX593" s="2838"/>
      <c r="BY593" s="2838"/>
      <c r="BZ593" s="2838"/>
      <c r="CA593" s="2838"/>
      <c r="CB593" s="2838"/>
      <c r="CC593" s="2838"/>
      <c r="CD593" s="2838"/>
      <c r="CE593" s="1399"/>
      <c r="CF593" s="1399"/>
      <c r="CG593" s="1399"/>
      <c r="CH593" s="1399"/>
      <c r="CI593" s="1399"/>
      <c r="CJ593" s="1399"/>
      <c r="CK593" s="1399"/>
      <c r="CL593" s="1399"/>
      <c r="CM593" s="1399"/>
      <c r="CN593" s="1399"/>
      <c r="CO593" s="1399"/>
      <c r="CP593" s="1399"/>
      <c r="CQ593" s="1399"/>
      <c r="CR593" s="1399"/>
      <c r="CS593" s="1399"/>
      <c r="CT593" s="1399"/>
      <c r="CU593" s="1399"/>
      <c r="CV593" s="1399"/>
      <c r="CW593" s="1399"/>
      <c r="CX593" s="1399"/>
      <c r="CY593" s="1399"/>
      <c r="CZ593" s="1399"/>
      <c r="DA593" s="1399"/>
      <c r="DB593" s="1399"/>
      <c r="DC593" s="1399"/>
      <c r="DD593" s="1399"/>
      <c r="DE593" s="1399"/>
      <c r="DF593" s="1399"/>
      <c r="DG593" s="1399"/>
      <c r="DH593" s="1399"/>
      <c r="DI593" s="1399"/>
      <c r="DJ593" s="1399"/>
      <c r="DK593" s="1399"/>
      <c r="DL593" s="1399"/>
      <c r="DM593" s="1399"/>
      <c r="DN593" s="1399"/>
      <c r="DO593" s="1399"/>
      <c r="DP593" s="1399"/>
      <c r="DQ593" s="1399"/>
      <c r="DR593" s="1399"/>
      <c r="DS593" s="1399"/>
      <c r="DT593" s="1399"/>
      <c r="DU593" s="1399"/>
    </row>
    <row r="594" spans="1:125">
      <c r="A594" s="1414"/>
      <c r="B594" s="1414"/>
      <c r="C594" s="1414"/>
      <c r="D594" s="1414"/>
      <c r="E594" s="1414"/>
      <c r="F594" s="1414"/>
      <c r="G594" s="1414"/>
      <c r="H594" s="1414"/>
      <c r="I594" s="1414"/>
      <c r="J594" s="1414"/>
      <c r="K594" s="1414"/>
      <c r="L594" s="1414"/>
      <c r="M594" s="1414"/>
      <c r="N594" s="1414"/>
      <c r="O594" s="1414"/>
      <c r="P594" s="1414"/>
      <c r="Q594" s="1414"/>
      <c r="R594" s="1414"/>
      <c r="S594" s="1414"/>
      <c r="T594" s="1414"/>
      <c r="U594" s="1414"/>
      <c r="V594" s="1414"/>
      <c r="W594" s="1414"/>
      <c r="X594" s="1414"/>
      <c r="Y594" s="1414"/>
      <c r="Z594" s="1414"/>
      <c r="AA594" s="1414"/>
      <c r="AB594" s="1414"/>
      <c r="AC594" s="1414"/>
      <c r="AD594" s="1414"/>
      <c r="AE594" s="1414"/>
      <c r="AF594" s="1414"/>
      <c r="AG594" s="1414"/>
      <c r="AH594" s="1414"/>
      <c r="AI594" s="1414"/>
      <c r="AJ594" s="1414"/>
      <c r="AK594" s="1414"/>
      <c r="AL594" s="1414"/>
      <c r="AM594" s="1414"/>
      <c r="AN594" s="1414"/>
      <c r="AO594" s="1414"/>
      <c r="AP594" s="1414"/>
      <c r="AQ594" s="1414"/>
      <c r="AR594" s="1414"/>
      <c r="AS594" s="1414"/>
      <c r="AT594" s="1414"/>
      <c r="AU594" s="1414"/>
      <c r="AV594" s="1414"/>
      <c r="AW594" s="1414"/>
      <c r="AX594" s="1414"/>
      <c r="AY594" s="1399"/>
      <c r="AZ594" s="1399"/>
      <c r="BA594" s="1399"/>
      <c r="BB594" s="1399"/>
      <c r="BC594" s="1399"/>
      <c r="BD594" s="1399"/>
      <c r="BE594" s="1414"/>
      <c r="BF594" s="1399"/>
      <c r="BG594" s="1399"/>
      <c r="BH594" s="1399"/>
      <c r="BI594" s="1399"/>
      <c r="BJ594" s="1399"/>
      <c r="BK594" s="1399"/>
      <c r="BL594" s="1399"/>
      <c r="BM594" s="1399"/>
      <c r="BN594" s="1399"/>
      <c r="BO594" s="1399"/>
      <c r="BP594" s="1399"/>
      <c r="BQ594" s="1399"/>
      <c r="BR594" s="1399"/>
      <c r="BS594" s="1399"/>
      <c r="BT594" s="1399"/>
      <c r="BU594" s="2838"/>
      <c r="BV594" s="2838"/>
      <c r="BW594" s="2838"/>
      <c r="BX594" s="2838"/>
      <c r="BY594" s="2838"/>
      <c r="BZ594" s="2838"/>
      <c r="CA594" s="2838"/>
      <c r="CB594" s="2838"/>
      <c r="CC594" s="2838"/>
      <c r="CD594" s="2838"/>
      <c r="CE594" s="1399"/>
      <c r="CF594" s="1399"/>
      <c r="CG594" s="1399"/>
      <c r="CH594" s="1399"/>
      <c r="CI594" s="1399"/>
      <c r="CJ594" s="1399"/>
      <c r="CK594" s="1399"/>
      <c r="CL594" s="1399"/>
      <c r="CM594" s="1399"/>
      <c r="CN594" s="1399"/>
      <c r="CO594" s="1399"/>
      <c r="CP594" s="1399"/>
      <c r="CQ594" s="1399"/>
      <c r="CR594" s="1399"/>
      <c r="CS594" s="1399"/>
      <c r="CT594" s="1399"/>
      <c r="CU594" s="1399"/>
      <c r="CV594" s="1399"/>
      <c r="CW594" s="1399"/>
      <c r="CX594" s="1399"/>
      <c r="CY594" s="1399"/>
      <c r="CZ594" s="1399"/>
      <c r="DA594" s="1399"/>
      <c r="DB594" s="1399"/>
      <c r="DC594" s="1399"/>
      <c r="DD594" s="1399"/>
      <c r="DE594" s="1399"/>
      <c r="DF594" s="1399"/>
      <c r="DG594" s="1399"/>
      <c r="DH594" s="1399"/>
      <c r="DI594" s="1399"/>
      <c r="DJ594" s="1399"/>
      <c r="DK594" s="1399"/>
      <c r="DL594" s="1399"/>
      <c r="DM594" s="1399"/>
      <c r="DN594" s="1399"/>
      <c r="DO594" s="1399"/>
      <c r="DP594" s="1399"/>
      <c r="DQ594" s="1399"/>
      <c r="DR594" s="1399"/>
      <c r="DS594" s="1399"/>
      <c r="DT594" s="1399"/>
      <c r="DU594" s="1399"/>
    </row>
    <row r="595" spans="1:125">
      <c r="A595" s="1414"/>
      <c r="B595" s="1414"/>
      <c r="C595" s="1414"/>
      <c r="D595" s="1414"/>
      <c r="E595" s="1414"/>
      <c r="F595" s="1414"/>
      <c r="G595" s="1414"/>
      <c r="H595" s="1414"/>
      <c r="I595" s="1414"/>
      <c r="J595" s="1414"/>
      <c r="K595" s="1414"/>
      <c r="L595" s="1414"/>
      <c r="M595" s="1414"/>
      <c r="N595" s="1414"/>
      <c r="O595" s="1414"/>
      <c r="P595" s="1414"/>
      <c r="Q595" s="1414"/>
      <c r="R595" s="1414"/>
      <c r="S595" s="1414"/>
      <c r="T595" s="1414"/>
      <c r="U595" s="1414"/>
      <c r="V595" s="1414"/>
      <c r="W595" s="1414"/>
      <c r="X595" s="1414"/>
      <c r="Y595" s="1414"/>
      <c r="Z595" s="1414"/>
      <c r="AA595" s="1414"/>
      <c r="AB595" s="1414"/>
      <c r="AC595" s="1414"/>
      <c r="AD595" s="1414"/>
      <c r="AE595" s="1414"/>
      <c r="AF595" s="1414"/>
      <c r="AG595" s="1414"/>
      <c r="AH595" s="1414"/>
      <c r="AI595" s="1414"/>
      <c r="AJ595" s="1414"/>
      <c r="AK595" s="1414"/>
      <c r="AL595" s="1414"/>
      <c r="AM595" s="1414"/>
      <c r="AN595" s="1414"/>
      <c r="AO595" s="1414"/>
      <c r="AP595" s="1414"/>
      <c r="AQ595" s="1414"/>
      <c r="AR595" s="1414"/>
      <c r="AS595" s="1414"/>
      <c r="AT595" s="1414"/>
      <c r="AU595" s="1414"/>
      <c r="AV595" s="1414"/>
      <c r="AW595" s="1414"/>
      <c r="AX595" s="1414"/>
      <c r="AY595" s="1399"/>
      <c r="AZ595" s="1399"/>
      <c r="BA595" s="1399"/>
      <c r="BB595" s="1399"/>
      <c r="BC595" s="1399"/>
      <c r="BD595" s="1399"/>
      <c r="BE595" s="1414"/>
      <c r="BF595" s="1399"/>
      <c r="BG595" s="1399"/>
      <c r="BH595" s="1399"/>
      <c r="BI595" s="1399"/>
      <c r="BJ595" s="1399"/>
      <c r="BK595" s="1399"/>
      <c r="BL595" s="1399"/>
      <c r="BM595" s="1399"/>
      <c r="BN595" s="1399"/>
      <c r="BO595" s="1399"/>
      <c r="BP595" s="1399"/>
      <c r="BQ595" s="1399"/>
      <c r="BR595" s="1399"/>
      <c r="BS595" s="1399"/>
      <c r="BT595" s="1399"/>
      <c r="BU595" s="2838"/>
      <c r="BV595" s="2838"/>
      <c r="BW595" s="2838"/>
      <c r="BX595" s="2838"/>
      <c r="BY595" s="2838"/>
      <c r="BZ595" s="2838"/>
      <c r="CA595" s="2838"/>
      <c r="CB595" s="2838"/>
      <c r="CC595" s="2838"/>
      <c r="CD595" s="2838"/>
      <c r="CE595" s="1399"/>
      <c r="CF595" s="1399"/>
      <c r="CG595" s="1399"/>
      <c r="CH595" s="1399"/>
      <c r="CI595" s="1399"/>
      <c r="CJ595" s="1399"/>
      <c r="CK595" s="1399"/>
      <c r="CL595" s="1399"/>
      <c r="CM595" s="1399"/>
      <c r="CN595" s="1399"/>
      <c r="CO595" s="1399"/>
      <c r="CP595" s="1399"/>
      <c r="CQ595" s="1399"/>
      <c r="CR595" s="1399"/>
      <c r="CS595" s="1399"/>
      <c r="CT595" s="1399"/>
      <c r="CU595" s="1399"/>
      <c r="CV595" s="1399"/>
      <c r="CW595" s="1399"/>
      <c r="CX595" s="1399"/>
      <c r="CY595" s="1399"/>
      <c r="CZ595" s="1399"/>
      <c r="DA595" s="1399"/>
      <c r="DB595" s="1399"/>
      <c r="DC595" s="1399"/>
      <c r="DD595" s="1399"/>
      <c r="DE595" s="1399"/>
      <c r="DF595" s="1399"/>
      <c r="DG595" s="1399"/>
      <c r="DH595" s="1399"/>
      <c r="DI595" s="1399"/>
      <c r="DJ595" s="1399"/>
      <c r="DK595" s="1399"/>
      <c r="DL595" s="1399"/>
      <c r="DM595" s="1399"/>
      <c r="DN595" s="1399"/>
      <c r="DO595" s="1399"/>
      <c r="DP595" s="1399"/>
      <c r="DQ595" s="1399"/>
      <c r="DR595" s="1399"/>
      <c r="DS595" s="1399"/>
      <c r="DT595" s="1399"/>
      <c r="DU595" s="1399"/>
    </row>
    <row r="596" spans="1:125">
      <c r="A596" s="1414"/>
      <c r="B596" s="1414"/>
      <c r="C596" s="1414"/>
      <c r="D596" s="1414"/>
      <c r="E596" s="1414"/>
      <c r="F596" s="1414"/>
      <c r="G596" s="1414"/>
      <c r="H596" s="1414"/>
      <c r="I596" s="1414"/>
      <c r="J596" s="1414"/>
      <c r="K596" s="1414"/>
      <c r="L596" s="1414"/>
      <c r="M596" s="1414"/>
      <c r="N596" s="1414"/>
      <c r="O596" s="1414"/>
      <c r="P596" s="1414"/>
      <c r="Q596" s="1414"/>
      <c r="R596" s="1414"/>
      <c r="S596" s="1414"/>
      <c r="T596" s="1414"/>
      <c r="U596" s="1414"/>
      <c r="V596" s="1414"/>
      <c r="W596" s="1414"/>
      <c r="X596" s="1414"/>
      <c r="Y596" s="1414"/>
      <c r="Z596" s="1414"/>
      <c r="AA596" s="1414"/>
      <c r="AB596" s="1414"/>
      <c r="AC596" s="1414"/>
      <c r="AD596" s="1414"/>
      <c r="AE596" s="1414"/>
      <c r="AF596" s="1414"/>
      <c r="AG596" s="1414"/>
      <c r="AH596" s="1414"/>
      <c r="AI596" s="1414"/>
      <c r="AJ596" s="1414"/>
      <c r="AK596" s="1414"/>
      <c r="AL596" s="1414"/>
      <c r="AM596" s="1414"/>
      <c r="AN596" s="1414"/>
      <c r="AO596" s="1414"/>
      <c r="AP596" s="1414"/>
      <c r="AQ596" s="1414"/>
      <c r="AR596" s="1414"/>
      <c r="AS596" s="1414"/>
      <c r="AT596" s="1414"/>
      <c r="AU596" s="1414"/>
      <c r="AV596" s="1414"/>
      <c r="AW596" s="1414"/>
      <c r="AX596" s="1414"/>
      <c r="AY596" s="1399"/>
      <c r="AZ596" s="1399"/>
      <c r="BA596" s="1399"/>
      <c r="BB596" s="1399"/>
      <c r="BC596" s="1399"/>
      <c r="BD596" s="1399"/>
      <c r="BE596" s="1414"/>
      <c r="BF596" s="1399"/>
      <c r="BG596" s="1399"/>
      <c r="BH596" s="1399"/>
      <c r="BI596" s="1399"/>
      <c r="BJ596" s="1399"/>
      <c r="BK596" s="1399"/>
      <c r="BL596" s="1399"/>
      <c r="BM596" s="1399"/>
      <c r="BN596" s="1399"/>
      <c r="BO596" s="1399"/>
      <c r="BP596" s="1399"/>
      <c r="BQ596" s="1399"/>
      <c r="BR596" s="1399"/>
      <c r="BS596" s="1399"/>
      <c r="BT596" s="1399"/>
      <c r="BU596" s="2838"/>
      <c r="BV596" s="2838"/>
      <c r="BW596" s="2838"/>
      <c r="BX596" s="2838"/>
      <c r="BY596" s="2838"/>
      <c r="BZ596" s="2838"/>
      <c r="CA596" s="2838"/>
      <c r="CB596" s="2838"/>
      <c r="CC596" s="2838"/>
      <c r="CD596" s="2838"/>
      <c r="CE596" s="1399"/>
      <c r="CF596" s="1399"/>
      <c r="CG596" s="1399"/>
      <c r="CH596" s="1399"/>
      <c r="CI596" s="1399"/>
      <c r="CJ596" s="1399"/>
      <c r="CK596" s="1399"/>
      <c r="CL596" s="1399"/>
      <c r="CM596" s="1399"/>
      <c r="CN596" s="1399"/>
      <c r="CO596" s="1399"/>
      <c r="CP596" s="1399"/>
      <c r="CQ596" s="1399"/>
      <c r="CR596" s="1399"/>
      <c r="CS596" s="1399"/>
      <c r="CT596" s="1399"/>
      <c r="CU596" s="1399"/>
      <c r="CV596" s="1399"/>
      <c r="CW596" s="1399"/>
      <c r="CX596" s="1399"/>
      <c r="CY596" s="1399"/>
      <c r="CZ596" s="1399"/>
      <c r="DA596" s="1399"/>
      <c r="DB596" s="1399"/>
      <c r="DC596" s="1399"/>
      <c r="DD596" s="1399"/>
      <c r="DE596" s="1399"/>
      <c r="DF596" s="1399"/>
      <c r="DG596" s="1399"/>
      <c r="DH596" s="1399"/>
      <c r="DI596" s="1399"/>
      <c r="DJ596" s="1399"/>
      <c r="DK596" s="1399"/>
      <c r="DL596" s="1399"/>
      <c r="DM596" s="1399"/>
      <c r="DN596" s="1399"/>
      <c r="DO596" s="1399"/>
      <c r="DP596" s="1399"/>
      <c r="DQ596" s="1399"/>
      <c r="DR596" s="1399"/>
      <c r="DS596" s="1399"/>
      <c r="DT596" s="1399"/>
      <c r="DU596" s="1399"/>
    </row>
    <row r="597" spans="1:125">
      <c r="A597" s="1414"/>
      <c r="B597" s="1414"/>
      <c r="C597" s="1414"/>
      <c r="D597" s="1414"/>
      <c r="E597" s="1414"/>
      <c r="F597" s="1414"/>
      <c r="G597" s="1414"/>
      <c r="H597" s="1414"/>
      <c r="I597" s="1414"/>
      <c r="J597" s="1414"/>
      <c r="K597" s="1414"/>
      <c r="L597" s="1414"/>
      <c r="M597" s="1414"/>
      <c r="N597" s="1414"/>
      <c r="O597" s="1414"/>
      <c r="P597" s="1414"/>
      <c r="Q597" s="1414"/>
      <c r="R597" s="1414"/>
      <c r="S597" s="1414"/>
      <c r="T597" s="1414"/>
      <c r="U597" s="1414"/>
      <c r="V597" s="1414"/>
      <c r="W597" s="1414"/>
      <c r="X597" s="1414"/>
      <c r="Y597" s="1414"/>
      <c r="Z597" s="1414"/>
      <c r="AA597" s="1414"/>
      <c r="AB597" s="1414"/>
      <c r="AC597" s="1414"/>
      <c r="AD597" s="1414"/>
      <c r="AE597" s="1414"/>
      <c r="AF597" s="1414"/>
      <c r="AG597" s="1414"/>
      <c r="AH597" s="1414"/>
      <c r="AI597" s="1414"/>
      <c r="AJ597" s="1414"/>
      <c r="AK597" s="1414"/>
      <c r="AL597" s="1414"/>
      <c r="AM597" s="1414"/>
      <c r="AN597" s="1414"/>
      <c r="AO597" s="1414"/>
      <c r="AP597" s="1414"/>
      <c r="AQ597" s="1414"/>
      <c r="AR597" s="1414"/>
      <c r="AS597" s="1414"/>
      <c r="AT597" s="1414"/>
      <c r="AU597" s="1414"/>
      <c r="AV597" s="1414"/>
      <c r="AW597" s="1414"/>
      <c r="AX597" s="1414"/>
      <c r="AY597" s="1399"/>
      <c r="AZ597" s="1399"/>
      <c r="BA597" s="1399"/>
      <c r="BB597" s="1399"/>
      <c r="BC597" s="1399"/>
      <c r="BD597" s="1399"/>
      <c r="BE597" s="1414"/>
      <c r="BF597" s="1399"/>
      <c r="BG597" s="1399"/>
      <c r="BH597" s="1399"/>
      <c r="BI597" s="1399"/>
      <c r="BJ597" s="1399"/>
      <c r="BK597" s="1399"/>
      <c r="BL597" s="1399"/>
      <c r="BM597" s="1399"/>
      <c r="BN597" s="1399"/>
      <c r="BO597" s="1399"/>
      <c r="BP597" s="1399"/>
      <c r="BQ597" s="1399"/>
      <c r="BR597" s="1399"/>
      <c r="BS597" s="1399"/>
      <c r="BT597" s="1399"/>
      <c r="BU597" s="2838"/>
      <c r="BV597" s="2838"/>
      <c r="BW597" s="2838"/>
      <c r="BX597" s="2838"/>
      <c r="BY597" s="2838"/>
      <c r="BZ597" s="2838"/>
      <c r="CA597" s="2838"/>
      <c r="CB597" s="2838"/>
      <c r="CC597" s="2838"/>
      <c r="CD597" s="2838"/>
      <c r="CE597" s="1399"/>
      <c r="CF597" s="1399"/>
      <c r="CG597" s="1399"/>
      <c r="CH597" s="1399"/>
      <c r="CI597" s="1399"/>
      <c r="CJ597" s="1399"/>
      <c r="CK597" s="1399"/>
      <c r="CL597" s="1399"/>
      <c r="CM597" s="1399"/>
      <c r="CN597" s="1399"/>
      <c r="CO597" s="1399"/>
      <c r="CP597" s="1399"/>
      <c r="CQ597" s="1399"/>
      <c r="CR597" s="1399"/>
      <c r="CS597" s="1399"/>
      <c r="CT597" s="1399"/>
      <c r="CU597" s="1399"/>
      <c r="CV597" s="1399"/>
      <c r="CW597" s="1399"/>
      <c r="CX597" s="1399"/>
      <c r="CY597" s="1399"/>
      <c r="CZ597" s="1399"/>
      <c r="DA597" s="1399"/>
      <c r="DB597" s="1399"/>
      <c r="DC597" s="1399"/>
      <c r="DD597" s="1399"/>
      <c r="DE597" s="1399"/>
      <c r="DF597" s="1399"/>
      <c r="DG597" s="1399"/>
      <c r="DH597" s="1399"/>
      <c r="DI597" s="1399"/>
      <c r="DJ597" s="1399"/>
      <c r="DK597" s="1399"/>
      <c r="DL597" s="1399"/>
      <c r="DM597" s="1399"/>
      <c r="DN597" s="1399"/>
      <c r="DO597" s="1399"/>
      <c r="DP597" s="1399"/>
      <c r="DQ597" s="1399"/>
      <c r="DR597" s="1399"/>
      <c r="DS597" s="1399"/>
      <c r="DT597" s="1399"/>
      <c r="DU597" s="1399"/>
    </row>
    <row r="598" spans="1:125">
      <c r="A598" s="1414"/>
      <c r="B598" s="1414"/>
      <c r="C598" s="1414"/>
      <c r="D598" s="1414"/>
      <c r="E598" s="1414"/>
      <c r="F598" s="1414"/>
      <c r="G598" s="1414"/>
      <c r="H598" s="1414"/>
      <c r="I598" s="1414"/>
      <c r="J598" s="1414"/>
      <c r="K598" s="1414"/>
      <c r="L598" s="1414"/>
      <c r="M598" s="1414"/>
      <c r="N598" s="1414"/>
      <c r="O598" s="1414"/>
      <c r="P598" s="1414"/>
      <c r="Q598" s="1414"/>
      <c r="R598" s="1414"/>
      <c r="S598" s="1414"/>
      <c r="T598" s="1414"/>
      <c r="U598" s="1414"/>
      <c r="V598" s="1414"/>
      <c r="W598" s="1414"/>
      <c r="X598" s="1414"/>
      <c r="Y598" s="1414"/>
      <c r="Z598" s="1414"/>
      <c r="AA598" s="1414"/>
      <c r="AB598" s="1414"/>
      <c r="AC598" s="1414"/>
      <c r="AD598" s="1414"/>
      <c r="AE598" s="1414"/>
      <c r="AF598" s="1414"/>
      <c r="AG598" s="1414"/>
      <c r="AH598" s="1414"/>
      <c r="AI598" s="1414"/>
      <c r="AJ598" s="1414"/>
      <c r="AK598" s="1414"/>
      <c r="AL598" s="1414"/>
      <c r="AM598" s="1414"/>
      <c r="AN598" s="1414"/>
      <c r="AO598" s="1414"/>
      <c r="AP598" s="1414"/>
      <c r="AQ598" s="1414"/>
      <c r="AR598" s="1414"/>
      <c r="AS598" s="1414"/>
      <c r="AT598" s="1414"/>
      <c r="AU598" s="1414"/>
      <c r="AV598" s="1414"/>
      <c r="AW598" s="1414"/>
      <c r="AX598" s="1414"/>
      <c r="AY598" s="1399"/>
      <c r="AZ598" s="1399"/>
      <c r="BA598" s="1399"/>
      <c r="BB598" s="1399"/>
      <c r="BC598" s="1399"/>
      <c r="BD598" s="1399"/>
      <c r="BE598" s="1414"/>
      <c r="BF598" s="1399"/>
      <c r="BG598" s="1399"/>
      <c r="BH598" s="1399"/>
      <c r="BI598" s="1399"/>
      <c r="BJ598" s="1399"/>
      <c r="BK598" s="1399"/>
      <c r="BL598" s="1399"/>
      <c r="BM598" s="1399"/>
      <c r="BN598" s="1399"/>
      <c r="BO598" s="1399"/>
      <c r="BP598" s="1399"/>
      <c r="BQ598" s="1399"/>
      <c r="BR598" s="1399"/>
      <c r="BS598" s="1399"/>
      <c r="BT598" s="1399"/>
      <c r="BU598" s="2838"/>
      <c r="BV598" s="2838"/>
      <c r="BW598" s="2838"/>
      <c r="BX598" s="2838"/>
      <c r="BY598" s="2838"/>
      <c r="BZ598" s="2838"/>
      <c r="CA598" s="2838"/>
      <c r="CB598" s="2838"/>
      <c r="CC598" s="2838"/>
      <c r="CD598" s="2838"/>
      <c r="CE598" s="1399"/>
      <c r="CF598" s="1399"/>
      <c r="CG598" s="1399"/>
      <c r="CH598" s="1399"/>
      <c r="CI598" s="1399"/>
      <c r="CJ598" s="1399"/>
      <c r="CK598" s="1399"/>
      <c r="CL598" s="1399"/>
      <c r="CM598" s="1399"/>
      <c r="CN598" s="1399"/>
      <c r="CO598" s="1399"/>
      <c r="CP598" s="1399"/>
      <c r="CQ598" s="1399"/>
      <c r="CR598" s="1399"/>
      <c r="CS598" s="1399"/>
      <c r="CT598" s="1399"/>
      <c r="CU598" s="1399"/>
      <c r="CV598" s="1399"/>
      <c r="CW598" s="1399"/>
      <c r="CX598" s="1399"/>
      <c r="CY598" s="1399"/>
      <c r="CZ598" s="1399"/>
      <c r="DA598" s="1399"/>
      <c r="DB598" s="1399"/>
      <c r="DC598" s="1399"/>
      <c r="DD598" s="1399"/>
      <c r="DE598" s="1399"/>
      <c r="DF598" s="1399"/>
      <c r="DG598" s="1399"/>
      <c r="DH598" s="1399"/>
      <c r="DI598" s="1399"/>
      <c r="DJ598" s="1399"/>
      <c r="DK598" s="1399"/>
      <c r="DL598" s="1399"/>
      <c r="DM598" s="1399"/>
      <c r="DN598" s="1399"/>
      <c r="DO598" s="1399"/>
      <c r="DP598" s="1399"/>
      <c r="DQ598" s="1399"/>
      <c r="DR598" s="1399"/>
      <c r="DS598" s="1399"/>
      <c r="DT598" s="1399"/>
      <c r="DU598" s="1399"/>
    </row>
    <row r="599" spans="1:125">
      <c r="A599" s="1414"/>
      <c r="B599" s="1414"/>
      <c r="C599" s="1414"/>
      <c r="D599" s="1414"/>
      <c r="E599" s="1414"/>
      <c r="F599" s="1414"/>
      <c r="G599" s="1414"/>
      <c r="H599" s="1414"/>
      <c r="I599" s="1414"/>
      <c r="J599" s="1414"/>
      <c r="K599" s="1414"/>
      <c r="L599" s="1414"/>
      <c r="M599" s="1414"/>
      <c r="N599" s="1414"/>
      <c r="O599" s="1414"/>
      <c r="P599" s="1414"/>
      <c r="Q599" s="1414"/>
      <c r="R599" s="1414"/>
      <c r="S599" s="1414"/>
      <c r="T599" s="1414"/>
      <c r="U599" s="1414"/>
      <c r="V599" s="1414"/>
      <c r="W599" s="1414"/>
      <c r="X599" s="1414"/>
      <c r="Y599" s="1414"/>
      <c r="Z599" s="1414"/>
      <c r="AA599" s="1414"/>
      <c r="AB599" s="1414"/>
      <c r="AC599" s="1414"/>
      <c r="AD599" s="1414"/>
      <c r="AE599" s="1414"/>
      <c r="AF599" s="1414"/>
      <c r="AG599" s="1414"/>
      <c r="AH599" s="1414"/>
      <c r="AI599" s="1414"/>
      <c r="AJ599" s="1414"/>
      <c r="AK599" s="1414"/>
      <c r="AL599" s="1414"/>
      <c r="AM599" s="1414"/>
      <c r="AN599" s="1414"/>
      <c r="AO599" s="1414"/>
      <c r="AP599" s="1414"/>
      <c r="AQ599" s="1414"/>
      <c r="AR599" s="1414"/>
      <c r="AS599" s="1414"/>
      <c r="AT599" s="1414"/>
      <c r="AU599" s="1414"/>
      <c r="AV599" s="1414"/>
      <c r="AW599" s="1414"/>
      <c r="AX599" s="1414"/>
      <c r="AY599" s="1399"/>
      <c r="AZ599" s="1399"/>
      <c r="BA599" s="1399"/>
      <c r="BB599" s="1399"/>
      <c r="BC599" s="1399"/>
      <c r="BD599" s="1399"/>
      <c r="BE599" s="1414"/>
      <c r="BF599" s="1399"/>
      <c r="BG599" s="1399"/>
      <c r="BH599" s="1399"/>
      <c r="BI599" s="1399"/>
      <c r="BJ599" s="1399"/>
      <c r="BK599" s="1399"/>
      <c r="BL599" s="1399"/>
      <c r="BM599" s="1399"/>
      <c r="BN599" s="1399"/>
      <c r="BO599" s="1399"/>
      <c r="BP599" s="1399"/>
      <c r="BQ599" s="1399"/>
      <c r="BR599" s="1399"/>
      <c r="BS599" s="1399"/>
      <c r="BT599" s="1399"/>
      <c r="BU599" s="2838"/>
      <c r="BV599" s="2838"/>
      <c r="BW599" s="2838"/>
      <c r="BX599" s="2838"/>
      <c r="BY599" s="2838"/>
      <c r="BZ599" s="2838"/>
      <c r="CA599" s="2838"/>
      <c r="CB599" s="2838"/>
      <c r="CC599" s="2838"/>
      <c r="CD599" s="2838"/>
      <c r="CE599" s="1399"/>
      <c r="CF599" s="1399"/>
      <c r="CG599" s="1399"/>
      <c r="CH599" s="1399"/>
      <c r="CI599" s="1399"/>
      <c r="CJ599" s="1399"/>
      <c r="CK599" s="1399"/>
      <c r="CL599" s="1399"/>
      <c r="CM599" s="1399"/>
      <c r="CN599" s="1399"/>
      <c r="CO599" s="1399"/>
      <c r="CP599" s="1399"/>
      <c r="CQ599" s="1399"/>
      <c r="CR599" s="1399"/>
      <c r="CS599" s="1399"/>
      <c r="CT599" s="1399"/>
      <c r="CU599" s="1399"/>
      <c r="CV599" s="1399"/>
      <c r="CW599" s="1399"/>
      <c r="CX599" s="1399"/>
      <c r="CY599" s="1399"/>
      <c r="CZ599" s="1399"/>
      <c r="DA599" s="1399"/>
      <c r="DB599" s="1399"/>
      <c r="DC599" s="1399"/>
      <c r="DD599" s="1399"/>
      <c r="DE599" s="1399"/>
      <c r="DF599" s="1399"/>
      <c r="DG599" s="1399"/>
      <c r="DH599" s="1399"/>
      <c r="DI599" s="1399"/>
      <c r="DJ599" s="1399"/>
      <c r="DK599" s="1399"/>
      <c r="DL599" s="1399"/>
      <c r="DM599" s="1399"/>
      <c r="DN599" s="1399"/>
      <c r="DO599" s="1399"/>
      <c r="DP599" s="1399"/>
      <c r="DQ599" s="1399"/>
      <c r="DR599" s="1399"/>
      <c r="DS599" s="1399"/>
      <c r="DT599" s="1399"/>
      <c r="DU599" s="1399"/>
    </row>
    <row r="600" spans="1:125">
      <c r="A600" s="1414"/>
      <c r="B600" s="1414"/>
      <c r="C600" s="1414"/>
      <c r="D600" s="1414"/>
      <c r="E600" s="1414"/>
      <c r="F600" s="1414"/>
      <c r="G600" s="1414"/>
      <c r="H600" s="1414"/>
      <c r="I600" s="1414"/>
      <c r="J600" s="1414"/>
      <c r="K600" s="1414"/>
      <c r="L600" s="1414"/>
      <c r="M600" s="1414"/>
      <c r="N600" s="1414"/>
      <c r="O600" s="1414"/>
      <c r="P600" s="1414"/>
      <c r="Q600" s="1414"/>
      <c r="R600" s="1414"/>
      <c r="S600" s="1414"/>
      <c r="T600" s="1414"/>
      <c r="U600" s="1414"/>
      <c r="V600" s="1414"/>
      <c r="W600" s="1414"/>
      <c r="X600" s="1414"/>
      <c r="Y600" s="1414"/>
      <c r="Z600" s="1414"/>
      <c r="AA600" s="1414"/>
      <c r="AB600" s="1414"/>
      <c r="AC600" s="1414"/>
      <c r="AD600" s="1414"/>
      <c r="AE600" s="1414"/>
      <c r="AF600" s="1414"/>
      <c r="AG600" s="1414"/>
      <c r="AH600" s="1414"/>
      <c r="AI600" s="1414"/>
      <c r="AJ600" s="1414"/>
      <c r="AK600" s="1414"/>
      <c r="AL600" s="1414"/>
      <c r="AM600" s="1414"/>
      <c r="AN600" s="1414"/>
      <c r="AO600" s="1414"/>
      <c r="AP600" s="1414"/>
      <c r="AQ600" s="1414"/>
      <c r="AR600" s="1414"/>
      <c r="AS600" s="1414"/>
      <c r="AT600" s="1414"/>
      <c r="AU600" s="1414"/>
      <c r="AV600" s="1414"/>
      <c r="AW600" s="1414"/>
      <c r="AX600" s="1414"/>
      <c r="AY600" s="1399"/>
      <c r="AZ600" s="1399"/>
      <c r="BA600" s="1399"/>
      <c r="BB600" s="1399"/>
      <c r="BC600" s="1399"/>
      <c r="BD600" s="1399"/>
      <c r="BE600" s="1414"/>
      <c r="BF600" s="1399"/>
      <c r="BG600" s="1399"/>
      <c r="BH600" s="1399"/>
      <c r="BI600" s="1399"/>
      <c r="BJ600" s="1399"/>
      <c r="BK600" s="1399"/>
      <c r="BL600" s="1399"/>
      <c r="BM600" s="1399"/>
      <c r="BN600" s="1399"/>
      <c r="BO600" s="1399"/>
      <c r="BP600" s="1399"/>
      <c r="BQ600" s="1399"/>
      <c r="BR600" s="1399"/>
      <c r="BS600" s="1399"/>
      <c r="BT600" s="1399"/>
      <c r="BU600" s="2838"/>
      <c r="BV600" s="2838"/>
      <c r="BW600" s="2838"/>
      <c r="BX600" s="2838"/>
      <c r="BY600" s="2838"/>
      <c r="BZ600" s="2838"/>
      <c r="CA600" s="2838"/>
      <c r="CB600" s="2838"/>
      <c r="CC600" s="2838"/>
      <c r="CD600" s="2838"/>
      <c r="CE600" s="1399"/>
      <c r="CF600" s="1399"/>
      <c r="CG600" s="1399"/>
      <c r="CH600" s="1399"/>
      <c r="CI600" s="1399"/>
      <c r="CJ600" s="1399"/>
      <c r="CK600" s="1399"/>
      <c r="CL600" s="1399"/>
      <c r="CM600" s="1399"/>
      <c r="CN600" s="1399"/>
      <c r="CO600" s="1399"/>
      <c r="CP600" s="1399"/>
      <c r="CQ600" s="1399"/>
      <c r="CR600" s="1399"/>
      <c r="CS600" s="1399"/>
      <c r="CT600" s="1399"/>
      <c r="CU600" s="1399"/>
      <c r="CV600" s="1399"/>
      <c r="CW600" s="1399"/>
      <c r="CX600" s="1399"/>
      <c r="CY600" s="1399"/>
      <c r="CZ600" s="1399"/>
      <c r="DA600" s="1399"/>
      <c r="DB600" s="1399"/>
      <c r="DC600" s="1399"/>
      <c r="DD600" s="1399"/>
      <c r="DE600" s="1399"/>
      <c r="DF600" s="1399"/>
      <c r="DG600" s="1399"/>
      <c r="DH600" s="1399"/>
      <c r="DI600" s="1399"/>
      <c r="DJ600" s="1399"/>
      <c r="DK600" s="1399"/>
      <c r="DL600" s="1399"/>
      <c r="DM600" s="1399"/>
      <c r="DN600" s="1399"/>
      <c r="DO600" s="1399"/>
      <c r="DP600" s="1399"/>
      <c r="DQ600" s="1399"/>
      <c r="DR600" s="1399"/>
      <c r="DS600" s="1399"/>
      <c r="DT600" s="1399"/>
      <c r="DU600" s="1399"/>
    </row>
    <row r="601" spans="1:125">
      <c r="A601" s="1414"/>
      <c r="B601" s="1414"/>
      <c r="C601" s="1414"/>
      <c r="D601" s="1414"/>
      <c r="E601" s="1414"/>
      <c r="F601" s="1414"/>
      <c r="G601" s="1414"/>
      <c r="H601" s="1414"/>
      <c r="I601" s="1414"/>
      <c r="J601" s="1414"/>
      <c r="K601" s="1414"/>
      <c r="L601" s="1414"/>
      <c r="M601" s="1414"/>
      <c r="N601" s="1414"/>
      <c r="O601" s="1414"/>
      <c r="P601" s="1414"/>
      <c r="Q601" s="1414"/>
      <c r="R601" s="1414"/>
      <c r="S601" s="1414"/>
      <c r="T601" s="1414"/>
      <c r="U601" s="1414"/>
      <c r="V601" s="1414"/>
      <c r="W601" s="1414"/>
      <c r="X601" s="1414"/>
      <c r="Y601" s="1414"/>
      <c r="Z601" s="1414"/>
      <c r="AA601" s="1414"/>
      <c r="AB601" s="1414"/>
      <c r="AC601" s="1414"/>
      <c r="AD601" s="1414"/>
      <c r="AE601" s="1414"/>
      <c r="AF601" s="1414"/>
      <c r="AG601" s="1414"/>
      <c r="AH601" s="1414"/>
      <c r="AI601" s="1414"/>
      <c r="AJ601" s="1414"/>
      <c r="AK601" s="1414"/>
      <c r="AL601" s="1414"/>
      <c r="AM601" s="1414"/>
      <c r="AN601" s="1414"/>
      <c r="AO601" s="1414"/>
      <c r="AP601" s="1414"/>
      <c r="AQ601" s="1414"/>
      <c r="AR601" s="1414"/>
      <c r="AS601" s="1414"/>
      <c r="AT601" s="1414"/>
      <c r="AU601" s="1414"/>
      <c r="AV601" s="1414"/>
      <c r="AW601" s="1414"/>
      <c r="AX601" s="1414"/>
      <c r="AY601" s="1399"/>
      <c r="AZ601" s="1399"/>
      <c r="BA601" s="1399"/>
      <c r="BB601" s="1399"/>
      <c r="BC601" s="1399"/>
      <c r="BD601" s="1399"/>
      <c r="BE601" s="1414"/>
      <c r="BF601" s="1399"/>
      <c r="BG601" s="1399"/>
      <c r="BH601" s="1399"/>
      <c r="BI601" s="1399"/>
      <c r="BJ601" s="1399"/>
      <c r="BK601" s="1399"/>
      <c r="BL601" s="1399"/>
      <c r="BM601" s="1399"/>
      <c r="BN601" s="1399"/>
      <c r="BO601" s="1399"/>
      <c r="BP601" s="1399"/>
      <c r="BQ601" s="1399"/>
      <c r="BR601" s="1399"/>
      <c r="BS601" s="1399"/>
      <c r="BT601" s="1399"/>
      <c r="BU601" s="1399"/>
      <c r="BV601" s="1399"/>
      <c r="BW601" s="1399"/>
      <c r="BX601" s="1399"/>
      <c r="BY601" s="1399"/>
      <c r="BZ601" s="1399"/>
      <c r="CA601" s="1399"/>
      <c r="CB601" s="1399"/>
      <c r="CC601" s="1399"/>
      <c r="CD601" s="1399"/>
      <c r="CE601" s="1399"/>
      <c r="CF601" s="1399"/>
      <c r="CG601" s="1399"/>
      <c r="CH601" s="1399"/>
      <c r="CI601" s="1399"/>
      <c r="CJ601" s="1399"/>
      <c r="CK601" s="1399"/>
      <c r="CL601" s="1399"/>
      <c r="CM601" s="1399"/>
      <c r="CN601" s="1399"/>
      <c r="CO601" s="1399"/>
      <c r="CP601" s="1399"/>
      <c r="CQ601" s="1399"/>
      <c r="CR601" s="1399"/>
      <c r="CS601" s="1399"/>
      <c r="CT601" s="1399"/>
      <c r="CU601" s="1399"/>
      <c r="CV601" s="1399"/>
      <c r="CW601" s="1399"/>
      <c r="CX601" s="1399"/>
      <c r="CY601" s="1399"/>
      <c r="CZ601" s="1399"/>
      <c r="DA601" s="1399"/>
      <c r="DB601" s="1399"/>
      <c r="DC601" s="1399"/>
      <c r="DD601" s="1399"/>
      <c r="DE601" s="1399"/>
      <c r="DF601" s="1399"/>
      <c r="DG601" s="1399"/>
      <c r="DH601" s="1399"/>
      <c r="DI601" s="1399"/>
      <c r="DJ601" s="1399"/>
      <c r="DK601" s="1399"/>
      <c r="DL601" s="1399"/>
      <c r="DM601" s="1399"/>
      <c r="DN601" s="1399"/>
      <c r="DO601" s="1399"/>
      <c r="DP601" s="1399"/>
      <c r="DQ601" s="1399"/>
      <c r="DR601" s="1399"/>
      <c r="DS601" s="1399"/>
      <c r="DT601" s="1399"/>
      <c r="DU601" s="1399"/>
    </row>
    <row r="602" spans="1:125">
      <c r="A602" s="1414"/>
      <c r="B602" s="1414"/>
      <c r="C602" s="1414"/>
      <c r="D602" s="1414"/>
      <c r="E602" s="1414"/>
      <c r="F602" s="1414"/>
      <c r="G602" s="1414"/>
      <c r="H602" s="1414"/>
      <c r="I602" s="1414"/>
      <c r="J602" s="1414"/>
      <c r="K602" s="1414"/>
      <c r="L602" s="1414"/>
      <c r="M602" s="1414"/>
      <c r="N602" s="1414"/>
      <c r="O602" s="1414"/>
      <c r="P602" s="1414"/>
      <c r="Q602" s="1414"/>
      <c r="R602" s="1414"/>
      <c r="S602" s="1414"/>
      <c r="T602" s="1414"/>
      <c r="U602" s="1414"/>
      <c r="V602" s="1414"/>
      <c r="W602" s="1414"/>
      <c r="X602" s="1414"/>
      <c r="Y602" s="1414"/>
      <c r="Z602" s="1414"/>
      <c r="AA602" s="1414"/>
      <c r="AB602" s="1414"/>
      <c r="AC602" s="1414"/>
      <c r="AD602" s="1414"/>
      <c r="AE602" s="1414"/>
      <c r="AF602" s="1414"/>
      <c r="AG602" s="1414"/>
      <c r="AH602" s="1414"/>
      <c r="AI602" s="1414"/>
      <c r="AJ602" s="1414"/>
      <c r="AK602" s="1414"/>
      <c r="AL602" s="1414"/>
      <c r="AM602" s="1414"/>
      <c r="AN602" s="1414"/>
      <c r="AO602" s="1414"/>
      <c r="AP602" s="1414"/>
      <c r="AQ602" s="1414"/>
      <c r="AR602" s="1414"/>
      <c r="AS602" s="1414"/>
      <c r="AT602" s="1414"/>
      <c r="AU602" s="1414"/>
      <c r="AV602" s="1414"/>
      <c r="AW602" s="1414"/>
      <c r="AX602" s="1414"/>
      <c r="AY602" s="1399"/>
      <c r="AZ602" s="1399"/>
      <c r="BA602" s="1399"/>
      <c r="BB602" s="1399"/>
      <c r="BC602" s="1399"/>
      <c r="BD602" s="1399"/>
      <c r="BE602" s="1414"/>
      <c r="BF602" s="1399"/>
      <c r="BG602" s="1399"/>
      <c r="BH602" s="1399"/>
      <c r="BI602" s="1399"/>
      <c r="BJ602" s="1399"/>
      <c r="BK602" s="1399"/>
      <c r="BL602" s="1399"/>
      <c r="BM602" s="1399"/>
      <c r="BN602" s="1399"/>
      <c r="BO602" s="1399"/>
      <c r="BP602" s="1399"/>
      <c r="BQ602" s="1399"/>
      <c r="BR602" s="1399"/>
      <c r="BS602" s="1399"/>
      <c r="BT602" s="1399"/>
      <c r="BU602" s="1399"/>
      <c r="BV602" s="1399"/>
      <c r="BW602" s="1399"/>
      <c r="BX602" s="1399"/>
      <c r="BY602" s="1399"/>
      <c r="BZ602" s="1399"/>
      <c r="CA602" s="1399"/>
      <c r="CB602" s="1399"/>
      <c r="CC602" s="1399"/>
      <c r="CD602" s="1399"/>
      <c r="CE602" s="1399"/>
      <c r="CF602" s="1399"/>
      <c r="CG602" s="1399"/>
      <c r="CH602" s="1399"/>
      <c r="CI602" s="1399"/>
      <c r="CJ602" s="1399"/>
      <c r="CK602" s="1399"/>
      <c r="CL602" s="1399"/>
      <c r="CM602" s="1399"/>
      <c r="CN602" s="1399"/>
      <c r="CO602" s="1399"/>
      <c r="CP602" s="1399"/>
      <c r="CQ602" s="1399"/>
      <c r="CR602" s="1399"/>
      <c r="CS602" s="1399"/>
      <c r="CT602" s="1399"/>
      <c r="CU602" s="1399"/>
      <c r="CV602" s="1399"/>
      <c r="CW602" s="1399"/>
      <c r="CX602" s="1399"/>
      <c r="CY602" s="1399"/>
      <c r="CZ602" s="1399"/>
      <c r="DA602" s="1399"/>
      <c r="DB602" s="1399"/>
      <c r="DC602" s="1399"/>
      <c r="DD602" s="1399"/>
      <c r="DE602" s="1399"/>
      <c r="DF602" s="1399"/>
      <c r="DG602" s="1399"/>
      <c r="DH602" s="1399"/>
      <c r="DI602" s="1399"/>
      <c r="DJ602" s="1399"/>
      <c r="DK602" s="1399"/>
      <c r="DL602" s="1399"/>
      <c r="DM602" s="1399"/>
      <c r="DN602" s="1399"/>
      <c r="DO602" s="1399"/>
      <c r="DP602" s="1399"/>
      <c r="DQ602" s="1399"/>
      <c r="DR602" s="1399"/>
      <c r="DS602" s="1399"/>
      <c r="DT602" s="1399"/>
      <c r="DU602" s="1399"/>
    </row>
    <row r="603" spans="1:125">
      <c r="A603" s="1414"/>
      <c r="B603" s="1414"/>
      <c r="C603" s="1414"/>
      <c r="D603" s="1414"/>
      <c r="E603" s="1414"/>
      <c r="F603" s="1414"/>
      <c r="G603" s="1414"/>
      <c r="H603" s="1414"/>
      <c r="I603" s="1414"/>
      <c r="J603" s="1414"/>
      <c r="K603" s="1414"/>
      <c r="L603" s="1414"/>
      <c r="M603" s="1414"/>
      <c r="N603" s="1414"/>
      <c r="O603" s="1414"/>
      <c r="P603" s="1414"/>
      <c r="Q603" s="1414"/>
      <c r="R603" s="1414"/>
      <c r="S603" s="1414"/>
      <c r="T603" s="1414"/>
      <c r="U603" s="1414"/>
      <c r="V603" s="1414"/>
      <c r="W603" s="1414"/>
      <c r="X603" s="1414"/>
      <c r="Y603" s="1414"/>
      <c r="Z603" s="1414"/>
      <c r="AA603" s="1414"/>
      <c r="AB603" s="1414"/>
      <c r="AC603" s="1414"/>
      <c r="AD603" s="1414"/>
      <c r="AE603" s="1414"/>
      <c r="AF603" s="1414"/>
      <c r="AG603" s="1414"/>
      <c r="AH603" s="1414"/>
      <c r="AI603" s="1414"/>
      <c r="AJ603" s="1414"/>
      <c r="AK603" s="1414"/>
      <c r="AL603" s="1414"/>
      <c r="AM603" s="1414"/>
      <c r="AN603" s="1414"/>
      <c r="AO603" s="1414"/>
      <c r="AP603" s="1414"/>
      <c r="AQ603" s="1414"/>
      <c r="AR603" s="1414"/>
      <c r="AS603" s="1414"/>
      <c r="AT603" s="1414"/>
      <c r="AU603" s="1414"/>
      <c r="AV603" s="1414"/>
      <c r="AW603" s="1414"/>
      <c r="AX603" s="1414"/>
      <c r="AY603" s="1399"/>
      <c r="AZ603" s="1399"/>
      <c r="BA603" s="1399"/>
      <c r="BB603" s="1399"/>
      <c r="BC603" s="1399"/>
      <c r="BD603" s="1399"/>
      <c r="BE603" s="1414"/>
      <c r="BF603" s="1399"/>
      <c r="BG603" s="1399"/>
      <c r="BH603" s="1399"/>
      <c r="BI603" s="1399"/>
      <c r="BJ603" s="1399"/>
      <c r="BK603" s="1399"/>
      <c r="BL603" s="1399"/>
      <c r="BM603" s="1399"/>
      <c r="BN603" s="1399"/>
      <c r="BO603" s="1399"/>
      <c r="BP603" s="1399"/>
      <c r="BQ603" s="1399"/>
      <c r="BR603" s="1399"/>
      <c r="BS603" s="1399"/>
      <c r="BT603" s="1399"/>
      <c r="BU603" s="1399"/>
      <c r="BV603" s="1399"/>
      <c r="BW603" s="1399"/>
      <c r="BX603" s="1399"/>
      <c r="BY603" s="1399"/>
      <c r="BZ603" s="1399"/>
      <c r="CA603" s="1399"/>
      <c r="CB603" s="1399"/>
      <c r="CC603" s="1399"/>
      <c r="CD603" s="1399"/>
      <c r="CE603" s="1399"/>
      <c r="CF603" s="1399"/>
      <c r="CG603" s="1399"/>
      <c r="CH603" s="1399"/>
      <c r="CI603" s="1399"/>
      <c r="CJ603" s="1399"/>
      <c r="CK603" s="1399"/>
      <c r="CL603" s="1399"/>
      <c r="CM603" s="1399"/>
      <c r="CN603" s="1399"/>
      <c r="CO603" s="1399"/>
      <c r="CP603" s="1399"/>
      <c r="CQ603" s="1399"/>
      <c r="CR603" s="1399"/>
      <c r="CS603" s="1399"/>
      <c r="CT603" s="1399"/>
      <c r="CU603" s="1399"/>
      <c r="CV603" s="1399"/>
      <c r="CW603" s="1399"/>
      <c r="CX603" s="1399"/>
      <c r="CY603" s="1399"/>
      <c r="CZ603" s="1399"/>
      <c r="DA603" s="1399"/>
      <c r="DB603" s="1399"/>
      <c r="DC603" s="1399"/>
      <c r="DD603" s="1399"/>
      <c r="DE603" s="1399"/>
      <c r="DF603" s="1399"/>
      <c r="DG603" s="1399"/>
      <c r="DH603" s="1399"/>
      <c r="DI603" s="1399"/>
      <c r="DJ603" s="1399"/>
      <c r="DK603" s="1399"/>
      <c r="DL603" s="1399"/>
      <c r="DM603" s="1399"/>
      <c r="DN603" s="1399"/>
      <c r="DO603" s="1399"/>
      <c r="DP603" s="1399"/>
      <c r="DQ603" s="1399"/>
      <c r="DR603" s="1399"/>
      <c r="DS603" s="1399"/>
      <c r="DT603" s="1399"/>
      <c r="DU603" s="1399"/>
    </row>
    <row r="604" spans="1:125">
      <c r="A604" s="1414"/>
      <c r="B604" s="1414"/>
      <c r="C604" s="1414"/>
      <c r="D604" s="1414"/>
      <c r="E604" s="1414"/>
      <c r="F604" s="1414"/>
      <c r="G604" s="1414"/>
      <c r="H604" s="1414"/>
      <c r="I604" s="1414"/>
      <c r="J604" s="1414"/>
      <c r="K604" s="1414"/>
      <c r="L604" s="1414"/>
      <c r="M604" s="1414"/>
      <c r="N604" s="1414"/>
      <c r="O604" s="1414"/>
      <c r="P604" s="1414"/>
      <c r="Q604" s="1414"/>
      <c r="R604" s="1414"/>
      <c r="S604" s="1414"/>
      <c r="T604" s="1414"/>
      <c r="U604" s="1414"/>
      <c r="V604" s="1414"/>
      <c r="W604" s="1414"/>
      <c r="X604" s="1414"/>
      <c r="Y604" s="1414"/>
      <c r="Z604" s="1414"/>
      <c r="AA604" s="1414"/>
      <c r="AB604" s="1414"/>
      <c r="AC604" s="1414"/>
      <c r="AD604" s="1414"/>
      <c r="AE604" s="1414"/>
      <c r="AF604" s="1414"/>
      <c r="AG604" s="1414"/>
      <c r="AH604" s="1414"/>
      <c r="AI604" s="1414"/>
      <c r="AJ604" s="1414"/>
      <c r="AK604" s="1414"/>
      <c r="AL604" s="1414"/>
      <c r="AM604" s="1414"/>
      <c r="AN604" s="1414"/>
      <c r="AO604" s="1414"/>
      <c r="AP604" s="1414"/>
      <c r="AQ604" s="1414"/>
      <c r="AR604" s="1414"/>
      <c r="AS604" s="1414"/>
      <c r="AT604" s="1414"/>
      <c r="AU604" s="1414"/>
      <c r="AV604" s="1414"/>
      <c r="AW604" s="1414"/>
      <c r="AX604" s="1414"/>
      <c r="AY604" s="1399"/>
      <c r="AZ604" s="1399"/>
      <c r="BA604" s="1399"/>
      <c r="BB604" s="1399"/>
      <c r="BC604" s="1399"/>
      <c r="BD604" s="1399"/>
      <c r="BE604" s="1414"/>
      <c r="BF604" s="1399"/>
      <c r="BG604" s="1399"/>
      <c r="BH604" s="1399"/>
      <c r="BI604" s="1399"/>
      <c r="BJ604" s="1399"/>
      <c r="BK604" s="1399"/>
      <c r="BL604" s="1399"/>
      <c r="BM604" s="1399"/>
      <c r="BN604" s="1399"/>
      <c r="BO604" s="1399"/>
      <c r="BP604" s="1399"/>
      <c r="BQ604" s="1399"/>
      <c r="BR604" s="1399"/>
      <c r="BS604" s="1399"/>
      <c r="BT604" s="1399"/>
      <c r="BU604" s="1399"/>
      <c r="BV604" s="1399"/>
      <c r="BW604" s="1399"/>
      <c r="BX604" s="1399"/>
      <c r="BY604" s="1399"/>
      <c r="BZ604" s="1399"/>
      <c r="CA604" s="1399"/>
      <c r="CB604" s="1399"/>
      <c r="CC604" s="1399"/>
      <c r="CD604" s="1399"/>
      <c r="CE604" s="1399"/>
      <c r="CF604" s="1399"/>
      <c r="CG604" s="1399"/>
      <c r="CH604" s="1399"/>
      <c r="CI604" s="1399"/>
      <c r="CJ604" s="1399"/>
      <c r="CK604" s="1399"/>
      <c r="CL604" s="1399"/>
      <c r="CM604" s="1399"/>
      <c r="CN604" s="1399"/>
      <c r="CO604" s="1399"/>
      <c r="CP604" s="1399"/>
      <c r="CQ604" s="1399"/>
      <c r="CR604" s="1399"/>
      <c r="CS604" s="1399"/>
      <c r="CT604" s="1399"/>
      <c r="CU604" s="1399"/>
      <c r="CV604" s="1399"/>
      <c r="CW604" s="1399"/>
      <c r="CX604" s="1399"/>
      <c r="CY604" s="1399"/>
      <c r="CZ604" s="1399"/>
      <c r="DA604" s="1399"/>
      <c r="DB604" s="1399"/>
      <c r="DC604" s="1399"/>
      <c r="DD604" s="1399"/>
      <c r="DE604" s="1399"/>
      <c r="DF604" s="1399"/>
      <c r="DG604" s="1399"/>
      <c r="DH604" s="1399"/>
      <c r="DI604" s="1399"/>
      <c r="DJ604" s="1399"/>
      <c r="DK604" s="1399"/>
      <c r="DL604" s="1399"/>
      <c r="DM604" s="1399"/>
      <c r="DN604" s="1399"/>
      <c r="DO604" s="1399"/>
      <c r="DP604" s="1399"/>
      <c r="DQ604" s="1399"/>
      <c r="DR604" s="1399"/>
      <c r="DS604" s="1399"/>
      <c r="DT604" s="1399"/>
      <c r="DU604" s="1399"/>
    </row>
    <row r="605" spans="1:125">
      <c r="A605" s="1414"/>
      <c r="B605" s="1414"/>
      <c r="C605" s="1414"/>
      <c r="D605" s="1414"/>
      <c r="E605" s="1414"/>
      <c r="F605" s="1414"/>
      <c r="G605" s="1414"/>
      <c r="H605" s="1414"/>
      <c r="I605" s="1414"/>
      <c r="J605" s="1414"/>
      <c r="K605" s="1414"/>
      <c r="L605" s="1414"/>
      <c r="M605" s="1414"/>
      <c r="N605" s="1414"/>
      <c r="O605" s="1414"/>
      <c r="P605" s="1414"/>
      <c r="Q605" s="1414"/>
      <c r="R605" s="1414"/>
      <c r="S605" s="1414"/>
      <c r="T605" s="1414"/>
      <c r="U605" s="1414"/>
      <c r="V605" s="1414"/>
      <c r="W605" s="1414"/>
      <c r="X605" s="1414"/>
      <c r="Y605" s="1414"/>
      <c r="Z605" s="1414"/>
      <c r="AA605" s="1414"/>
      <c r="AB605" s="1414"/>
      <c r="AC605" s="1414"/>
      <c r="AD605" s="1414"/>
      <c r="AE605" s="1414"/>
      <c r="AF605" s="1414"/>
      <c r="AG605" s="1414"/>
      <c r="AH605" s="1414"/>
      <c r="AI605" s="1414"/>
      <c r="AJ605" s="1414"/>
      <c r="AK605" s="1414"/>
      <c r="AL605" s="1414"/>
      <c r="AM605" s="1414"/>
      <c r="AN605" s="1414"/>
      <c r="AO605" s="1414"/>
      <c r="AP605" s="1414"/>
      <c r="AQ605" s="1414"/>
      <c r="AR605" s="1414"/>
      <c r="AS605" s="1414"/>
      <c r="AT605" s="1414"/>
      <c r="AU605" s="1414"/>
      <c r="AV605" s="1414"/>
      <c r="AW605" s="1414"/>
      <c r="AX605" s="1414"/>
      <c r="AY605" s="1399"/>
      <c r="AZ605" s="1399"/>
      <c r="BA605" s="1399"/>
      <c r="BB605" s="1399"/>
      <c r="BC605" s="1399"/>
      <c r="BD605" s="1399"/>
      <c r="BE605" s="1414"/>
      <c r="BF605" s="1399"/>
      <c r="BG605" s="1399"/>
      <c r="BH605" s="1399"/>
      <c r="BI605" s="1399"/>
      <c r="BJ605" s="1399"/>
      <c r="BK605" s="1399"/>
      <c r="BL605" s="1399"/>
      <c r="BM605" s="1399"/>
      <c r="BN605" s="1399"/>
      <c r="BO605" s="1399"/>
      <c r="BP605" s="1399"/>
      <c r="BQ605" s="1399"/>
      <c r="BR605" s="1399"/>
      <c r="BS605" s="1399"/>
      <c r="BT605" s="1399"/>
      <c r="BU605" s="1399"/>
      <c r="BV605" s="1399"/>
      <c r="BW605" s="1399"/>
      <c r="BX605" s="1399"/>
      <c r="BY605" s="1399"/>
      <c r="BZ605" s="1399"/>
      <c r="CA605" s="1399"/>
      <c r="CB605" s="1399"/>
      <c r="CC605" s="1399"/>
      <c r="CD605" s="1399"/>
      <c r="CE605" s="1399"/>
      <c r="CF605" s="1399"/>
      <c r="CG605" s="1399"/>
      <c r="CH605" s="1399"/>
      <c r="CI605" s="1399"/>
      <c r="CJ605" s="1399"/>
      <c r="CK605" s="1399"/>
      <c r="CL605" s="1399"/>
      <c r="CM605" s="1399"/>
      <c r="CN605" s="1399"/>
      <c r="CO605" s="1399"/>
      <c r="CP605" s="1399"/>
      <c r="CQ605" s="1399"/>
      <c r="CR605" s="1399"/>
      <c r="CS605" s="1399"/>
      <c r="CT605" s="1399"/>
      <c r="CU605" s="1399"/>
      <c r="CV605" s="1399"/>
      <c r="CW605" s="1399"/>
      <c r="CX605" s="1399"/>
      <c r="CY605" s="1399"/>
      <c r="CZ605" s="1399"/>
      <c r="DA605" s="1399"/>
      <c r="DB605" s="1399"/>
      <c r="DC605" s="1399"/>
      <c r="DD605" s="1399"/>
      <c r="DE605" s="1399"/>
      <c r="DF605" s="1399"/>
      <c r="DG605" s="1399"/>
      <c r="DH605" s="1399"/>
      <c r="DI605" s="1399"/>
      <c r="DJ605" s="1399"/>
      <c r="DK605" s="1399"/>
      <c r="DL605" s="1399"/>
      <c r="DM605" s="1399"/>
      <c r="DN605" s="1399"/>
      <c r="DO605" s="1399"/>
      <c r="DP605" s="1399"/>
      <c r="DQ605" s="1399"/>
      <c r="DR605" s="1399"/>
      <c r="DS605" s="1399"/>
      <c r="DT605" s="1399"/>
      <c r="DU605" s="1399"/>
    </row>
    <row r="606" spans="1:125">
      <c r="A606" s="1414"/>
      <c r="B606" s="1414"/>
      <c r="C606" s="1414"/>
      <c r="D606" s="1414"/>
      <c r="E606" s="1414"/>
      <c r="F606" s="1414"/>
      <c r="G606" s="1414"/>
      <c r="H606" s="1414"/>
      <c r="I606" s="1414"/>
      <c r="J606" s="1414"/>
      <c r="K606" s="1414"/>
      <c r="L606" s="1414"/>
      <c r="M606" s="1414"/>
      <c r="N606" s="1414"/>
      <c r="O606" s="1414"/>
      <c r="P606" s="1414"/>
      <c r="Q606" s="1414"/>
      <c r="R606" s="1414"/>
      <c r="S606" s="1414"/>
      <c r="T606" s="1414"/>
      <c r="U606" s="1414"/>
      <c r="V606" s="1414"/>
      <c r="W606" s="1414"/>
      <c r="X606" s="1414"/>
      <c r="Y606" s="1414"/>
      <c r="Z606" s="1414"/>
      <c r="AA606" s="1414"/>
      <c r="AB606" s="1414"/>
      <c r="AC606" s="1414"/>
      <c r="AD606" s="1414"/>
      <c r="AE606" s="1414"/>
      <c r="AF606" s="1414"/>
      <c r="AG606" s="1414"/>
      <c r="AH606" s="1414"/>
      <c r="AI606" s="1414"/>
      <c r="AJ606" s="1414"/>
      <c r="AK606" s="1414"/>
      <c r="AL606" s="1414"/>
      <c r="AM606" s="1414"/>
      <c r="AN606" s="1414"/>
      <c r="AO606" s="1414"/>
      <c r="AP606" s="1414"/>
      <c r="AQ606" s="1414"/>
      <c r="AR606" s="1414"/>
      <c r="AS606" s="1414"/>
      <c r="AT606" s="1414"/>
      <c r="AU606" s="1414"/>
      <c r="AV606" s="1414"/>
      <c r="AW606" s="1414"/>
      <c r="AX606" s="1414"/>
      <c r="AY606" s="1399"/>
      <c r="AZ606" s="1399"/>
      <c r="BA606" s="1399"/>
      <c r="BB606" s="1399"/>
      <c r="BC606" s="1399"/>
      <c r="BD606" s="1399"/>
      <c r="BE606" s="1414"/>
      <c r="BF606" s="1399"/>
      <c r="BG606" s="1399"/>
      <c r="BH606" s="1399"/>
      <c r="BI606" s="1399"/>
      <c r="BJ606" s="1399"/>
      <c r="BK606" s="1399"/>
      <c r="BL606" s="1399"/>
      <c r="BM606" s="1399"/>
      <c r="BN606" s="1399"/>
      <c r="BO606" s="1399"/>
      <c r="BP606" s="1399"/>
      <c r="BQ606" s="1399"/>
      <c r="BR606" s="1399"/>
      <c r="BS606" s="1399"/>
      <c r="BT606" s="1399"/>
      <c r="BU606" s="1399"/>
      <c r="BV606" s="1399"/>
      <c r="BW606" s="1399"/>
      <c r="BX606" s="1399"/>
      <c r="BY606" s="1399"/>
      <c r="BZ606" s="1399"/>
      <c r="CA606" s="1399"/>
      <c r="CB606" s="1399"/>
      <c r="CC606" s="1399"/>
      <c r="CD606" s="1399"/>
      <c r="CE606" s="1399"/>
      <c r="CF606" s="1399"/>
      <c r="CG606" s="1399"/>
      <c r="CH606" s="1399"/>
      <c r="CI606" s="1399"/>
      <c r="CJ606" s="1399"/>
      <c r="CK606" s="1399"/>
      <c r="CL606" s="1399"/>
      <c r="CM606" s="1399"/>
      <c r="CN606" s="1399"/>
      <c r="CO606" s="1399"/>
      <c r="CP606" s="1399"/>
      <c r="CQ606" s="1399"/>
      <c r="CR606" s="1399"/>
      <c r="CS606" s="1399"/>
      <c r="CT606" s="1399"/>
      <c r="CU606" s="1399"/>
      <c r="CV606" s="1399"/>
      <c r="CW606" s="1399"/>
      <c r="CX606" s="1399"/>
      <c r="CY606" s="1399"/>
      <c r="CZ606" s="1399"/>
      <c r="DA606" s="1399"/>
      <c r="DB606" s="1399"/>
      <c r="DC606" s="1399"/>
      <c r="DD606" s="1399"/>
      <c r="DE606" s="1399"/>
      <c r="DF606" s="1399"/>
      <c r="DG606" s="1399"/>
      <c r="DH606" s="1399"/>
      <c r="DI606" s="1399"/>
      <c r="DJ606" s="1399"/>
      <c r="DK606" s="1399"/>
      <c r="DL606" s="1399"/>
      <c r="DM606" s="1399"/>
      <c r="DN606" s="1399"/>
      <c r="DO606" s="1399"/>
      <c r="DP606" s="1399"/>
      <c r="DQ606" s="1399"/>
      <c r="DR606" s="1399"/>
      <c r="DS606" s="1399"/>
      <c r="DT606" s="1399"/>
      <c r="DU606" s="1399"/>
    </row>
    <row r="607" spans="1:125">
      <c r="A607" s="1414"/>
      <c r="B607" s="1414"/>
      <c r="C607" s="1414"/>
      <c r="D607" s="1414"/>
      <c r="E607" s="1414"/>
      <c r="F607" s="1414"/>
      <c r="G607" s="1414"/>
      <c r="H607" s="1414"/>
      <c r="I607" s="1414"/>
      <c r="J607" s="1414"/>
      <c r="K607" s="1414"/>
      <c r="L607" s="1414"/>
      <c r="M607" s="1414"/>
      <c r="N607" s="1414"/>
      <c r="O607" s="1414"/>
      <c r="P607" s="1414"/>
      <c r="Q607" s="1414"/>
      <c r="R607" s="1414"/>
      <c r="S607" s="1414"/>
      <c r="T607" s="1414"/>
      <c r="U607" s="1414"/>
      <c r="V607" s="1414"/>
      <c r="W607" s="1414"/>
      <c r="X607" s="1414"/>
      <c r="Y607" s="1414"/>
      <c r="Z607" s="1414"/>
      <c r="AA607" s="1414"/>
      <c r="AB607" s="1414"/>
      <c r="AC607" s="1414"/>
      <c r="AD607" s="1414"/>
      <c r="AE607" s="1414"/>
      <c r="AF607" s="1414"/>
      <c r="AG607" s="1414"/>
      <c r="AH607" s="1414"/>
      <c r="AI607" s="1414"/>
      <c r="AJ607" s="1414"/>
      <c r="AK607" s="1414"/>
      <c r="AL607" s="1414"/>
      <c r="AM607" s="1414"/>
      <c r="AN607" s="1414"/>
      <c r="AO607" s="1414"/>
      <c r="AP607" s="1414"/>
      <c r="AQ607" s="1414"/>
      <c r="AR607" s="1414"/>
      <c r="AS607" s="1414"/>
      <c r="AT607" s="1414"/>
      <c r="AU607" s="1414"/>
      <c r="AV607" s="1414"/>
      <c r="AW607" s="1414"/>
      <c r="AX607" s="1414"/>
      <c r="AY607" s="1399"/>
      <c r="AZ607" s="1399"/>
      <c r="BA607" s="1399"/>
      <c r="BB607" s="1399"/>
      <c r="BC607" s="1399"/>
      <c r="BD607" s="1399"/>
      <c r="BE607" s="1414"/>
      <c r="BF607" s="1399"/>
      <c r="BG607" s="1399"/>
      <c r="BH607" s="1399"/>
      <c r="BI607" s="1399"/>
      <c r="BJ607" s="1399"/>
      <c r="BK607" s="1399"/>
      <c r="BL607" s="1399"/>
      <c r="BM607" s="1399"/>
      <c r="BN607" s="1399"/>
      <c r="BO607" s="1399"/>
      <c r="BP607" s="1399"/>
      <c r="BQ607" s="1399"/>
      <c r="BR607" s="1399"/>
      <c r="BS607" s="1399"/>
      <c r="BT607" s="1399"/>
      <c r="BU607" s="1399"/>
      <c r="BV607" s="1399"/>
      <c r="BW607" s="1399"/>
      <c r="BX607" s="1399"/>
      <c r="BY607" s="1399"/>
      <c r="BZ607" s="1399"/>
      <c r="CA607" s="1399"/>
      <c r="CB607" s="1399"/>
      <c r="CC607" s="1399"/>
      <c r="CD607" s="1399"/>
      <c r="CE607" s="1399"/>
      <c r="CF607" s="1399"/>
      <c r="CG607" s="1399"/>
      <c r="CH607" s="1399"/>
      <c r="CI607" s="1399"/>
      <c r="CJ607" s="1399"/>
      <c r="CK607" s="1399"/>
      <c r="CL607" s="1399"/>
      <c r="CM607" s="1399"/>
      <c r="CN607" s="1399"/>
      <c r="CO607" s="1399"/>
      <c r="CP607" s="1399"/>
      <c r="CQ607" s="1399"/>
      <c r="CR607" s="1399"/>
      <c r="CS607" s="1399"/>
      <c r="CT607" s="1399"/>
      <c r="CU607" s="1399"/>
      <c r="CV607" s="1399"/>
      <c r="CW607" s="1399"/>
      <c r="CX607" s="1399"/>
      <c r="CY607" s="1399"/>
      <c r="CZ607" s="1399"/>
      <c r="DA607" s="1399"/>
      <c r="DB607" s="1399"/>
      <c r="DC607" s="1399"/>
      <c r="DD607" s="1399"/>
      <c r="DE607" s="1399"/>
      <c r="DF607" s="1399"/>
      <c r="DG607" s="1399"/>
      <c r="DH607" s="1399"/>
      <c r="DI607" s="1399"/>
      <c r="DJ607" s="1399"/>
      <c r="DK607" s="1399"/>
      <c r="DL607" s="1399"/>
      <c r="DM607" s="1399"/>
      <c r="DN607" s="1399"/>
      <c r="DO607" s="1399"/>
      <c r="DP607" s="1399"/>
      <c r="DQ607" s="1399"/>
      <c r="DR607" s="1399"/>
      <c r="DS607" s="1399"/>
      <c r="DT607" s="1399"/>
      <c r="DU607" s="1399"/>
    </row>
    <row r="608" spans="1:125">
      <c r="A608" s="1414"/>
      <c r="B608" s="1414"/>
      <c r="C608" s="1414"/>
      <c r="D608" s="1414"/>
      <c r="E608" s="1414"/>
      <c r="F608" s="1414"/>
      <c r="G608" s="1414"/>
      <c r="H608" s="1414"/>
      <c r="I608" s="1414"/>
      <c r="J608" s="1414"/>
      <c r="K608" s="1414"/>
      <c r="L608" s="1414"/>
      <c r="M608" s="1414"/>
      <c r="N608" s="1414"/>
      <c r="O608" s="1414"/>
      <c r="P608" s="1414"/>
      <c r="Q608" s="1414"/>
      <c r="R608" s="1414"/>
      <c r="S608" s="1414"/>
      <c r="T608" s="1414"/>
      <c r="U608" s="1414"/>
      <c r="V608" s="1414"/>
      <c r="W608" s="1414"/>
      <c r="X608" s="1414"/>
      <c r="Y608" s="1414"/>
      <c r="Z608" s="1414"/>
      <c r="AA608" s="1414"/>
      <c r="AB608" s="1414"/>
      <c r="AC608" s="1414"/>
      <c r="AD608" s="1414"/>
      <c r="AE608" s="1414"/>
      <c r="AF608" s="1414"/>
      <c r="AG608" s="1414"/>
      <c r="AH608" s="1414"/>
      <c r="AI608" s="1414"/>
      <c r="AJ608" s="1414"/>
      <c r="AK608" s="1414"/>
      <c r="AL608" s="1414"/>
      <c r="AM608" s="1414"/>
      <c r="AN608" s="1414"/>
      <c r="AO608" s="1414"/>
      <c r="AP608" s="1414"/>
      <c r="AQ608" s="1414"/>
      <c r="AR608" s="1414"/>
      <c r="AS608" s="1414"/>
      <c r="AT608" s="1414"/>
      <c r="AU608" s="1414"/>
      <c r="AV608" s="1414"/>
      <c r="AW608" s="1414"/>
      <c r="AX608" s="1414"/>
      <c r="AY608" s="1399"/>
      <c r="AZ608" s="1399"/>
      <c r="BA608" s="1399"/>
      <c r="BB608" s="1399"/>
      <c r="BC608" s="1399"/>
      <c r="BD608" s="1399"/>
      <c r="BE608" s="1414"/>
      <c r="BF608" s="1399"/>
      <c r="BG608" s="1399"/>
      <c r="BH608" s="1399"/>
      <c r="BI608" s="1399"/>
      <c r="BJ608" s="1399"/>
      <c r="BK608" s="1399"/>
      <c r="BL608" s="1399"/>
      <c r="BM608" s="1399"/>
      <c r="BN608" s="1399"/>
      <c r="BO608" s="1399"/>
      <c r="BP608" s="1399"/>
      <c r="BQ608" s="1399"/>
      <c r="BR608" s="1399"/>
      <c r="BS608" s="1399"/>
      <c r="BT608" s="1399"/>
      <c r="BU608" s="1399"/>
      <c r="BV608" s="1399"/>
      <c r="BW608" s="1399"/>
      <c r="BX608" s="1399"/>
      <c r="BY608" s="1399"/>
      <c r="BZ608" s="1399"/>
      <c r="CA608" s="1399"/>
      <c r="CB608" s="1399"/>
      <c r="CC608" s="1399"/>
      <c r="CD608" s="1399"/>
      <c r="CE608" s="1399"/>
      <c r="CF608" s="1399"/>
      <c r="CG608" s="1399"/>
      <c r="CH608" s="1399"/>
      <c r="CI608" s="1399"/>
      <c r="CJ608" s="1399"/>
      <c r="CK608" s="1399"/>
      <c r="CL608" s="1399"/>
      <c r="CM608" s="1399"/>
      <c r="CN608" s="1399"/>
      <c r="CO608" s="1399"/>
      <c r="CP608" s="1399"/>
      <c r="CQ608" s="1399"/>
      <c r="CR608" s="1399"/>
      <c r="CS608" s="1399"/>
      <c r="CT608" s="1399"/>
      <c r="CU608" s="1399"/>
      <c r="CV608" s="1399"/>
      <c r="CW608" s="1399"/>
      <c r="CX608" s="1399"/>
      <c r="CY608" s="1399"/>
      <c r="CZ608" s="1399"/>
      <c r="DA608" s="1399"/>
      <c r="DB608" s="1399"/>
      <c r="DC608" s="1399"/>
      <c r="DD608" s="1399"/>
      <c r="DE608" s="1399"/>
      <c r="DF608" s="1399"/>
      <c r="DG608" s="1399"/>
      <c r="DH608" s="1399"/>
      <c r="DI608" s="1399"/>
      <c r="DJ608" s="1399"/>
      <c r="DK608" s="1399"/>
      <c r="DL608" s="1399"/>
      <c r="DM608" s="1399"/>
      <c r="DN608" s="1399"/>
      <c r="DO608" s="1399"/>
      <c r="DP608" s="1399"/>
      <c r="DQ608" s="1399"/>
      <c r="DR608" s="1399"/>
      <c r="DS608" s="1399"/>
      <c r="DT608" s="1399"/>
      <c r="DU608" s="1399"/>
    </row>
    <row r="609" spans="1:125">
      <c r="A609" s="1414"/>
      <c r="B609" s="1414"/>
      <c r="C609" s="1414"/>
      <c r="D609" s="1414"/>
      <c r="E609" s="1414"/>
      <c r="F609" s="1414"/>
      <c r="G609" s="1414"/>
      <c r="H609" s="1414"/>
      <c r="I609" s="1414"/>
      <c r="J609" s="1414"/>
      <c r="K609" s="1414"/>
      <c r="L609" s="1414"/>
      <c r="M609" s="1414"/>
      <c r="N609" s="1414"/>
      <c r="O609" s="1414"/>
      <c r="P609" s="1414"/>
      <c r="Q609" s="1414"/>
      <c r="R609" s="1414"/>
      <c r="S609" s="1414"/>
      <c r="T609" s="1414"/>
      <c r="U609" s="1414"/>
      <c r="V609" s="1414"/>
      <c r="W609" s="1414"/>
      <c r="X609" s="1414"/>
      <c r="Y609" s="1414"/>
      <c r="Z609" s="1414"/>
      <c r="AA609" s="1414"/>
      <c r="AB609" s="1414"/>
      <c r="AC609" s="1414"/>
      <c r="AD609" s="1414"/>
      <c r="AE609" s="1414"/>
      <c r="AF609" s="1414"/>
      <c r="AG609" s="1414"/>
      <c r="AH609" s="1414"/>
      <c r="AI609" s="1414"/>
      <c r="AJ609" s="1414"/>
      <c r="AK609" s="1414"/>
      <c r="AL609" s="1414"/>
      <c r="AM609" s="1414"/>
      <c r="AN609" s="1414"/>
      <c r="AO609" s="1414"/>
      <c r="AP609" s="1414"/>
      <c r="AQ609" s="1414"/>
      <c r="AR609" s="1414"/>
      <c r="AS609" s="1414"/>
      <c r="AT609" s="1414"/>
      <c r="AU609" s="1414"/>
      <c r="AV609" s="1414"/>
      <c r="AW609" s="1414"/>
      <c r="AX609" s="1414"/>
      <c r="AY609" s="1399"/>
      <c r="AZ609" s="1399"/>
      <c r="BA609" s="1399"/>
      <c r="BB609" s="1399"/>
      <c r="BC609" s="1399"/>
      <c r="BD609" s="1399"/>
      <c r="BE609" s="1414"/>
      <c r="BF609" s="1399"/>
      <c r="BG609" s="1399"/>
      <c r="BH609" s="1399"/>
      <c r="BI609" s="1399"/>
      <c r="BJ609" s="1399"/>
      <c r="BK609" s="1399"/>
      <c r="BL609" s="1399"/>
      <c r="BM609" s="1399"/>
      <c r="BN609" s="1399"/>
      <c r="BO609" s="1399"/>
      <c r="BP609" s="1399"/>
      <c r="BQ609" s="1399"/>
      <c r="BR609" s="1399"/>
      <c r="BS609" s="1399"/>
      <c r="BT609" s="1399"/>
      <c r="BU609" s="1399"/>
      <c r="BV609" s="1399"/>
      <c r="BW609" s="1399"/>
      <c r="BX609" s="1399"/>
      <c r="BY609" s="1399"/>
      <c r="BZ609" s="1399"/>
      <c r="CA609" s="1399"/>
      <c r="CB609" s="1399"/>
      <c r="CC609" s="1399"/>
      <c r="CD609" s="1399"/>
      <c r="CE609" s="1399"/>
      <c r="CF609" s="1399"/>
      <c r="CG609" s="1399"/>
      <c r="CH609" s="1399"/>
      <c r="CI609" s="1399"/>
      <c r="CJ609" s="1399"/>
      <c r="CK609" s="1399"/>
      <c r="CL609" s="1399"/>
      <c r="CM609" s="1399"/>
      <c r="CN609" s="1399"/>
      <c r="CO609" s="1399"/>
      <c r="CP609" s="1399"/>
      <c r="CQ609" s="1399"/>
      <c r="CR609" s="1399"/>
      <c r="CS609" s="1399"/>
      <c r="CT609" s="1399"/>
      <c r="CU609" s="1399"/>
      <c r="CV609" s="1399"/>
      <c r="CW609" s="1399"/>
      <c r="CX609" s="1399"/>
      <c r="CY609" s="1399"/>
      <c r="CZ609" s="1399"/>
      <c r="DA609" s="1399"/>
      <c r="DB609" s="1399"/>
      <c r="DC609" s="1399"/>
      <c r="DD609" s="1399"/>
      <c r="DE609" s="1399"/>
      <c r="DF609" s="1399"/>
      <c r="DG609" s="1399"/>
      <c r="DH609" s="1399"/>
      <c r="DI609" s="1399"/>
      <c r="DJ609" s="1399"/>
      <c r="DK609" s="1399"/>
      <c r="DL609" s="1399"/>
      <c r="DM609" s="1399"/>
      <c r="DN609" s="1399"/>
      <c r="DO609" s="1399"/>
      <c r="DP609" s="1399"/>
      <c r="DQ609" s="1399"/>
      <c r="DR609" s="1399"/>
      <c r="DS609" s="1399"/>
      <c r="DT609" s="1399"/>
      <c r="DU609" s="1399"/>
    </row>
    <row r="610" spans="1:125">
      <c r="A610" s="1414"/>
      <c r="B610" s="1414"/>
      <c r="C610" s="1414"/>
      <c r="D610" s="1414"/>
      <c r="E610" s="1414"/>
      <c r="F610" s="1414"/>
      <c r="G610" s="1414"/>
      <c r="H610" s="1414"/>
      <c r="I610" s="1414"/>
      <c r="J610" s="1414"/>
      <c r="K610" s="1414"/>
      <c r="L610" s="1414"/>
      <c r="M610" s="1414"/>
      <c r="N610" s="1414"/>
      <c r="O610" s="1414"/>
      <c r="P610" s="1414"/>
      <c r="Q610" s="1414"/>
      <c r="R610" s="1414"/>
      <c r="S610" s="1414"/>
      <c r="T610" s="1414"/>
      <c r="U610" s="1414"/>
      <c r="V610" s="1414"/>
      <c r="W610" s="1414"/>
      <c r="X610" s="1414"/>
      <c r="Y610" s="1414"/>
      <c r="Z610" s="1414"/>
      <c r="AA610" s="1414"/>
      <c r="AB610" s="1414"/>
      <c r="AC610" s="1414"/>
      <c r="AD610" s="1414"/>
      <c r="AE610" s="1414"/>
      <c r="AF610" s="1414"/>
      <c r="AG610" s="1414"/>
      <c r="AH610" s="1414"/>
      <c r="AI610" s="1414"/>
      <c r="AJ610" s="1414"/>
      <c r="AK610" s="1414"/>
      <c r="AL610" s="1414"/>
      <c r="AM610" s="1414"/>
      <c r="AN610" s="1414"/>
      <c r="AO610" s="1414"/>
      <c r="AP610" s="1414"/>
      <c r="AQ610" s="1414"/>
      <c r="AR610" s="1414"/>
      <c r="AS610" s="1414"/>
      <c r="AT610" s="1414"/>
      <c r="AU610" s="1414"/>
      <c r="AV610" s="1414"/>
      <c r="AW610" s="1414"/>
      <c r="AX610" s="1414"/>
      <c r="AY610" s="1399"/>
      <c r="AZ610" s="1399"/>
      <c r="BA610" s="1399"/>
      <c r="BB610" s="1399"/>
      <c r="BC610" s="1399"/>
      <c r="BD610" s="1399"/>
      <c r="BE610" s="1414"/>
      <c r="BF610" s="1399"/>
      <c r="BG610" s="1399"/>
      <c r="BH610" s="1399"/>
      <c r="BI610" s="1399"/>
      <c r="BJ610" s="1399"/>
      <c r="BK610" s="1399"/>
      <c r="BL610" s="1399"/>
      <c r="BM610" s="1399"/>
      <c r="BN610" s="1399"/>
      <c r="BO610" s="1399"/>
      <c r="BP610" s="1399"/>
      <c r="BQ610" s="1399"/>
      <c r="BR610" s="1399"/>
      <c r="BS610" s="1399"/>
      <c r="BT610" s="1399"/>
      <c r="BU610" s="1399"/>
      <c r="BV610" s="1399"/>
      <c r="BW610" s="1399"/>
      <c r="BX610" s="1399"/>
      <c r="BY610" s="1399"/>
      <c r="BZ610" s="1399"/>
      <c r="CA610" s="1399"/>
      <c r="CB610" s="1399"/>
      <c r="CC610" s="1399"/>
      <c r="CD610" s="1399"/>
      <c r="CE610" s="1399"/>
      <c r="CF610" s="1399"/>
      <c r="CG610" s="1399"/>
      <c r="CH610" s="1399"/>
      <c r="CI610" s="1399"/>
      <c r="CJ610" s="1399"/>
      <c r="CK610" s="1399"/>
      <c r="CL610" s="1399"/>
      <c r="CM610" s="1399"/>
      <c r="CN610" s="1399"/>
      <c r="CO610" s="1399"/>
      <c r="CP610" s="1399"/>
      <c r="CQ610" s="1399"/>
      <c r="CR610" s="1399"/>
      <c r="CS610" s="1399"/>
      <c r="CT610" s="1399"/>
      <c r="CU610" s="1399"/>
      <c r="CV610" s="1399"/>
      <c r="CW610" s="1399"/>
      <c r="CX610" s="1399"/>
      <c r="CY610" s="1399"/>
      <c r="CZ610" s="1399"/>
      <c r="DA610" s="1399"/>
      <c r="DB610" s="1399"/>
      <c r="DC610" s="1399"/>
      <c r="DD610" s="1399"/>
      <c r="DE610" s="1399"/>
      <c r="DF610" s="1399"/>
      <c r="DG610" s="1399"/>
      <c r="DH610" s="1399"/>
      <c r="DI610" s="1399"/>
      <c r="DJ610" s="1399"/>
      <c r="DK610" s="1399"/>
      <c r="DL610" s="1399"/>
      <c r="DM610" s="1399"/>
      <c r="DN610" s="1399"/>
      <c r="DO610" s="1399"/>
      <c r="DP610" s="1399"/>
      <c r="DQ610" s="1399"/>
      <c r="DR610" s="1399"/>
      <c r="DS610" s="1399"/>
      <c r="DT610" s="1399"/>
      <c r="DU610" s="1399"/>
    </row>
    <row r="611" spans="1:125">
      <c r="A611" s="1414"/>
      <c r="B611" s="1414"/>
      <c r="C611" s="1414"/>
      <c r="D611" s="1414"/>
      <c r="E611" s="1414"/>
      <c r="F611" s="1414"/>
      <c r="G611" s="1414"/>
      <c r="H611" s="1414"/>
      <c r="I611" s="1414"/>
      <c r="J611" s="1414"/>
      <c r="K611" s="1414"/>
      <c r="L611" s="1414"/>
      <c r="M611" s="1414"/>
      <c r="N611" s="1414"/>
      <c r="O611" s="1414"/>
      <c r="P611" s="1414"/>
      <c r="Q611" s="1414"/>
      <c r="R611" s="1414"/>
      <c r="S611" s="1414"/>
      <c r="T611" s="1414"/>
      <c r="U611" s="1414"/>
      <c r="V611" s="1414"/>
      <c r="W611" s="1414"/>
      <c r="X611" s="1414"/>
      <c r="Y611" s="1414"/>
      <c r="Z611" s="1414"/>
      <c r="AA611" s="1414"/>
      <c r="AB611" s="1414"/>
      <c r="AC611" s="1414"/>
      <c r="AD611" s="1414"/>
      <c r="AE611" s="1414"/>
      <c r="AF611" s="1414"/>
      <c r="AG611" s="1414"/>
      <c r="AH611" s="1414"/>
      <c r="AI611" s="1414"/>
      <c r="AJ611" s="1414"/>
      <c r="AK611" s="1414"/>
      <c r="AL611" s="1414"/>
      <c r="AM611" s="1414"/>
      <c r="AN611" s="1414"/>
      <c r="AO611" s="1414"/>
      <c r="AP611" s="1414"/>
      <c r="AQ611" s="1414"/>
      <c r="AR611" s="1414"/>
      <c r="AS611" s="1414"/>
      <c r="AT611" s="1414"/>
      <c r="AU611" s="1414"/>
      <c r="AV611" s="1414"/>
      <c r="AW611" s="1414"/>
      <c r="AX611" s="1414"/>
      <c r="AY611" s="1399"/>
      <c r="AZ611" s="1399"/>
      <c r="BA611" s="1399"/>
      <c r="BB611" s="1399"/>
      <c r="BC611" s="1399"/>
      <c r="BD611" s="1399"/>
      <c r="BE611" s="1414"/>
      <c r="BF611" s="1399"/>
      <c r="BG611" s="1399"/>
      <c r="BH611" s="1399"/>
      <c r="BI611" s="1399"/>
      <c r="BJ611" s="1399"/>
      <c r="BK611" s="1399"/>
      <c r="BL611" s="1399"/>
      <c r="BM611" s="1399"/>
      <c r="BN611" s="1399"/>
      <c r="BO611" s="1399"/>
      <c r="BP611" s="1399"/>
      <c r="BQ611" s="1399"/>
      <c r="BR611" s="1399"/>
      <c r="BS611" s="1399"/>
      <c r="BT611" s="1399"/>
      <c r="BU611" s="1399"/>
      <c r="BV611" s="1399"/>
      <c r="BW611" s="1399"/>
      <c r="BX611" s="1399"/>
      <c r="BY611" s="1399"/>
      <c r="BZ611" s="1399"/>
      <c r="CA611" s="1399"/>
      <c r="CB611" s="1399"/>
      <c r="CC611" s="1399"/>
      <c r="CD611" s="1399"/>
      <c r="CE611" s="1399"/>
      <c r="CF611" s="1399"/>
      <c r="CG611" s="1399"/>
      <c r="CH611" s="1399"/>
      <c r="CI611" s="1399"/>
      <c r="CJ611" s="1399"/>
      <c r="CK611" s="1399"/>
      <c r="CL611" s="1399"/>
      <c r="CM611" s="1399"/>
      <c r="CN611" s="1399"/>
      <c r="CO611" s="1399"/>
      <c r="CP611" s="1399"/>
      <c r="CQ611" s="1399"/>
      <c r="CR611" s="1399"/>
      <c r="CS611" s="1399"/>
      <c r="CT611" s="1399"/>
      <c r="CU611" s="1399"/>
      <c r="CV611" s="1399"/>
      <c r="CW611" s="1399"/>
      <c r="CX611" s="1399"/>
      <c r="CY611" s="1399"/>
      <c r="CZ611" s="1399"/>
      <c r="DA611" s="1399"/>
      <c r="DB611" s="1399"/>
      <c r="DC611" s="1399"/>
      <c r="DD611" s="1399"/>
      <c r="DE611" s="1399"/>
      <c r="DF611" s="1399"/>
      <c r="DG611" s="1399"/>
      <c r="DH611" s="1399"/>
      <c r="DI611" s="1399"/>
      <c r="DJ611" s="1399"/>
      <c r="DK611" s="1399"/>
      <c r="DL611" s="1399"/>
      <c r="DM611" s="1399"/>
      <c r="DN611" s="1399"/>
      <c r="DO611" s="1399"/>
      <c r="DP611" s="1399"/>
      <c r="DQ611" s="1399"/>
      <c r="DR611" s="1399"/>
      <c r="DS611" s="1399"/>
      <c r="DT611" s="1399"/>
      <c r="DU611" s="1399"/>
    </row>
    <row r="612" spans="1:125">
      <c r="A612" s="1414"/>
      <c r="B612" s="1414"/>
      <c r="C612" s="1414"/>
      <c r="D612" s="1414"/>
      <c r="E612" s="1414"/>
      <c r="F612" s="1414"/>
      <c r="G612" s="1414"/>
      <c r="H612" s="1414"/>
      <c r="I612" s="1414"/>
      <c r="J612" s="1414"/>
      <c r="K612" s="1414"/>
      <c r="L612" s="1414"/>
      <c r="M612" s="1414"/>
      <c r="N612" s="1414"/>
      <c r="O612" s="1414"/>
      <c r="P612" s="1414"/>
      <c r="Q612" s="1414"/>
      <c r="R612" s="1414"/>
      <c r="S612" s="1414"/>
      <c r="T612" s="1414"/>
      <c r="U612" s="1414"/>
      <c r="V612" s="1414"/>
      <c r="W612" s="1414"/>
      <c r="X612" s="1414"/>
      <c r="Y612" s="1414"/>
      <c r="Z612" s="1414"/>
      <c r="AA612" s="1414"/>
      <c r="AB612" s="1414"/>
      <c r="AC612" s="1414"/>
      <c r="AD612" s="1414"/>
      <c r="AE612" s="1414"/>
      <c r="AF612" s="1414"/>
      <c r="AG612" s="1414"/>
      <c r="AH612" s="1414"/>
      <c r="AI612" s="1414"/>
      <c r="AJ612" s="1414"/>
      <c r="AK612" s="1414"/>
      <c r="AL612" s="1414"/>
      <c r="AM612" s="1414"/>
      <c r="AN612" s="1414"/>
      <c r="AO612" s="1414"/>
      <c r="AP612" s="1414"/>
      <c r="AQ612" s="1414"/>
      <c r="AR612" s="1414"/>
      <c r="AS612" s="1414"/>
      <c r="AT612" s="1414"/>
      <c r="AU612" s="1414"/>
      <c r="AV612" s="1414"/>
      <c r="AW612" s="1414"/>
      <c r="AX612" s="1414"/>
      <c r="AY612" s="1399"/>
      <c r="AZ612" s="1399"/>
      <c r="BA612" s="1399"/>
      <c r="BB612" s="1399"/>
      <c r="BC612" s="1399"/>
      <c r="BD612" s="1399"/>
      <c r="BE612" s="1414"/>
      <c r="BF612" s="1399"/>
      <c r="BG612" s="1399"/>
      <c r="BH612" s="1399"/>
      <c r="BI612" s="1399"/>
      <c r="BJ612" s="1399"/>
      <c r="BK612" s="1399"/>
      <c r="BL612" s="1399"/>
      <c r="BM612" s="1399"/>
      <c r="BN612" s="1399"/>
      <c r="BO612" s="1399"/>
      <c r="BP612" s="1399"/>
      <c r="BQ612" s="1399"/>
      <c r="BR612" s="1399"/>
      <c r="BS612" s="1399"/>
      <c r="BT612" s="1399"/>
      <c r="BU612" s="1399"/>
      <c r="BV612" s="1399"/>
      <c r="BW612" s="1399"/>
      <c r="BX612" s="1399"/>
      <c r="BY612" s="1399"/>
      <c r="BZ612" s="1399"/>
      <c r="CA612" s="1399"/>
      <c r="CB612" s="1399"/>
      <c r="CC612" s="1399"/>
      <c r="CD612" s="1399"/>
      <c r="CE612" s="1399"/>
      <c r="CF612" s="1399"/>
      <c r="CG612" s="1399"/>
      <c r="CH612" s="1399"/>
      <c r="CI612" s="1399"/>
      <c r="CJ612" s="1399"/>
      <c r="CK612" s="1399"/>
      <c r="CL612" s="1399"/>
      <c r="CM612" s="1399"/>
      <c r="CN612" s="1399"/>
      <c r="CO612" s="1399"/>
      <c r="CP612" s="1399"/>
      <c r="CQ612" s="1399"/>
      <c r="CR612" s="1399"/>
      <c r="CS612" s="1399"/>
      <c r="CT612" s="1399"/>
      <c r="CU612" s="1399"/>
      <c r="CV612" s="1399"/>
      <c r="CW612" s="1399"/>
      <c r="CX612" s="1399"/>
      <c r="CY612" s="1399"/>
      <c r="CZ612" s="1399"/>
      <c r="DA612" s="1399"/>
      <c r="DB612" s="1399"/>
      <c r="DC612" s="1399"/>
      <c r="DD612" s="1399"/>
      <c r="DE612" s="1399"/>
      <c r="DF612" s="1399"/>
      <c r="DG612" s="1399"/>
      <c r="DH612" s="1399"/>
      <c r="DI612" s="1399"/>
      <c r="DJ612" s="1399"/>
      <c r="DK612" s="1399"/>
      <c r="DL612" s="1399"/>
      <c r="DM612" s="1399"/>
      <c r="DN612" s="1399"/>
      <c r="DO612" s="1399"/>
      <c r="DP612" s="1399"/>
      <c r="DQ612" s="1399"/>
      <c r="DR612" s="1399"/>
      <c r="DS612" s="1399"/>
      <c r="DT612" s="1399"/>
      <c r="DU612" s="1399"/>
    </row>
    <row r="613" spans="1:125">
      <c r="A613" s="1414"/>
      <c r="B613" s="1414"/>
      <c r="C613" s="1414"/>
      <c r="D613" s="1414"/>
      <c r="E613" s="1414"/>
      <c r="F613" s="1414"/>
      <c r="G613" s="1414"/>
      <c r="H613" s="1414"/>
      <c r="I613" s="1414"/>
      <c r="J613" s="1414"/>
      <c r="K613" s="1414"/>
      <c r="L613" s="1414"/>
      <c r="M613" s="1414"/>
      <c r="N613" s="1414"/>
      <c r="O613" s="1414"/>
      <c r="P613" s="1414"/>
      <c r="Q613" s="1414"/>
      <c r="R613" s="1414"/>
      <c r="S613" s="1414"/>
      <c r="T613" s="1414"/>
      <c r="U613" s="1414"/>
      <c r="V613" s="1414"/>
      <c r="W613" s="1414"/>
      <c r="X613" s="1414"/>
      <c r="Y613" s="1414"/>
      <c r="Z613" s="1414"/>
      <c r="AA613" s="1414"/>
      <c r="AB613" s="1414"/>
      <c r="AC613" s="1414"/>
      <c r="AD613" s="1414"/>
      <c r="AE613" s="1414"/>
      <c r="AF613" s="1414"/>
      <c r="AG613" s="1414"/>
      <c r="AH613" s="1414"/>
      <c r="AI613" s="1414"/>
      <c r="AJ613" s="1414"/>
      <c r="AK613" s="1414"/>
      <c r="AL613" s="1414"/>
      <c r="AM613" s="1414"/>
      <c r="AN613" s="1414"/>
      <c r="AO613" s="1414"/>
      <c r="AP613" s="1414"/>
      <c r="AQ613" s="1414"/>
      <c r="AR613" s="1414"/>
      <c r="AS613" s="1414"/>
      <c r="AT613" s="1414"/>
      <c r="AU613" s="1414"/>
      <c r="AV613" s="1414"/>
      <c r="AW613" s="1414"/>
      <c r="AX613" s="1414"/>
      <c r="AY613" s="1399"/>
      <c r="AZ613" s="1399"/>
      <c r="BA613" s="1399"/>
      <c r="BB613" s="1399"/>
      <c r="BC613" s="1399"/>
      <c r="BD613" s="1399"/>
      <c r="BE613" s="1414"/>
      <c r="BF613" s="1399"/>
      <c r="BG613" s="1399"/>
      <c r="BH613" s="1399"/>
      <c r="BI613" s="1399"/>
      <c r="BJ613" s="1399"/>
      <c r="BK613" s="1399"/>
      <c r="BL613" s="1399"/>
      <c r="BM613" s="1399"/>
      <c r="BN613" s="1399"/>
      <c r="BO613" s="1399"/>
      <c r="BP613" s="1399"/>
      <c r="BQ613" s="1399"/>
      <c r="BR613" s="1399"/>
      <c r="BS613" s="1399"/>
      <c r="BT613" s="1399"/>
      <c r="BU613" s="1399"/>
      <c r="BV613" s="1399"/>
      <c r="BW613" s="1399"/>
      <c r="BX613" s="1399"/>
      <c r="BY613" s="1399"/>
      <c r="BZ613" s="1399"/>
      <c r="CA613" s="1399"/>
      <c r="CB613" s="1399"/>
      <c r="CC613" s="1399"/>
      <c r="CD613" s="1399"/>
      <c r="CE613" s="1399"/>
      <c r="CF613" s="1399"/>
      <c r="CG613" s="1399"/>
      <c r="CH613" s="1399"/>
      <c r="CI613" s="1399"/>
      <c r="CJ613" s="1399"/>
      <c r="CK613" s="1399"/>
      <c r="CL613" s="1399"/>
      <c r="CM613" s="1399"/>
      <c r="CN613" s="1399"/>
      <c r="CO613" s="1399"/>
      <c r="CP613" s="1399"/>
      <c r="CQ613" s="1399"/>
      <c r="CR613" s="1399"/>
      <c r="CS613" s="1399"/>
      <c r="CT613" s="1399"/>
      <c r="CU613" s="1399"/>
      <c r="CV613" s="1399"/>
      <c r="CW613" s="1399"/>
      <c r="CX613" s="1399"/>
      <c r="CY613" s="1399"/>
      <c r="CZ613" s="1399"/>
      <c r="DA613" s="1399"/>
      <c r="DB613" s="1399"/>
      <c r="DC613" s="1399"/>
      <c r="DD613" s="1399"/>
      <c r="DE613" s="1399"/>
      <c r="DF613" s="1399"/>
      <c r="DG613" s="1399"/>
      <c r="DH613" s="1399"/>
      <c r="DI613" s="1399"/>
      <c r="DJ613" s="1399"/>
      <c r="DK613" s="1399"/>
      <c r="DL613" s="1399"/>
      <c r="DM613" s="1399"/>
      <c r="DN613" s="1399"/>
      <c r="DO613" s="1399"/>
      <c r="DP613" s="1399"/>
      <c r="DQ613" s="1399"/>
      <c r="DR613" s="1399"/>
      <c r="DS613" s="1399"/>
      <c r="DT613" s="1399"/>
      <c r="DU613" s="1399"/>
    </row>
    <row r="614" spans="1:125">
      <c r="A614" s="1414"/>
      <c r="B614" s="1414"/>
      <c r="C614" s="1414"/>
      <c r="D614" s="1414"/>
      <c r="E614" s="1414"/>
      <c r="F614" s="1414"/>
      <c r="G614" s="1414"/>
      <c r="H614" s="1414"/>
      <c r="I614" s="1414"/>
      <c r="J614" s="1414"/>
      <c r="K614" s="1414"/>
      <c r="L614" s="1414"/>
      <c r="M614" s="1414"/>
      <c r="N614" s="1414"/>
      <c r="O614" s="1414"/>
      <c r="P614" s="1414"/>
      <c r="Q614" s="1414"/>
      <c r="R614" s="1414"/>
      <c r="S614" s="1414"/>
      <c r="T614" s="1414"/>
      <c r="U614" s="1414"/>
      <c r="V614" s="1414"/>
      <c r="W614" s="1414"/>
      <c r="X614" s="1414"/>
      <c r="Y614" s="1414"/>
      <c r="Z614" s="1414"/>
      <c r="AA614" s="1414"/>
      <c r="AB614" s="1414"/>
      <c r="AC614" s="1414"/>
      <c r="AD614" s="1414"/>
      <c r="AE614" s="1414"/>
      <c r="AF614" s="1414"/>
      <c r="AG614" s="1414"/>
      <c r="AH614" s="1414"/>
      <c r="AI614" s="1414"/>
      <c r="AJ614" s="1414"/>
      <c r="AK614" s="1414"/>
      <c r="AL614" s="1414"/>
      <c r="AM614" s="1414"/>
      <c r="AN614" s="1414"/>
      <c r="AO614" s="1414"/>
      <c r="AP614" s="1414"/>
      <c r="AQ614" s="1414"/>
      <c r="AR614" s="1414"/>
      <c r="AS614" s="1414"/>
      <c r="AT614" s="1414"/>
      <c r="AU614" s="1414"/>
      <c r="AV614" s="1414"/>
      <c r="AW614" s="1414"/>
      <c r="AX614" s="1414"/>
      <c r="AY614" s="1399"/>
      <c r="AZ614" s="1399"/>
      <c r="BA614" s="1399"/>
      <c r="BB614" s="1399"/>
      <c r="BC614" s="1399"/>
      <c r="BD614" s="1399"/>
      <c r="BE614" s="1414"/>
      <c r="BF614" s="1399"/>
      <c r="BG614" s="1399"/>
      <c r="BH614" s="1399"/>
      <c r="BI614" s="1399"/>
      <c r="BJ614" s="1399"/>
      <c r="BK614" s="1399"/>
      <c r="BL614" s="1399"/>
      <c r="BM614" s="1399"/>
      <c r="BN614" s="1399"/>
      <c r="BO614" s="1399"/>
      <c r="BP614" s="1399"/>
      <c r="BQ614" s="1399"/>
      <c r="BR614" s="1399"/>
      <c r="BS614" s="1399"/>
      <c r="BT614" s="1399"/>
      <c r="BU614" s="1399"/>
      <c r="BV614" s="1399"/>
      <c r="BW614" s="1399"/>
      <c r="BX614" s="1399"/>
      <c r="BY614" s="1399"/>
      <c r="BZ614" s="1399"/>
      <c r="CA614" s="1399"/>
      <c r="CB614" s="1399"/>
      <c r="CC614" s="1399"/>
      <c r="CD614" s="1399"/>
      <c r="CE614" s="1399"/>
      <c r="CF614" s="1399"/>
      <c r="CG614" s="1399"/>
      <c r="CH614" s="1399"/>
      <c r="CI614" s="1399"/>
      <c r="CJ614" s="1399"/>
      <c r="CK614" s="1399"/>
      <c r="CL614" s="1399"/>
      <c r="CM614" s="1399"/>
      <c r="CN614" s="1399"/>
      <c r="CO614" s="1399"/>
      <c r="CP614" s="1399"/>
      <c r="CQ614" s="1399"/>
      <c r="CR614" s="1399"/>
      <c r="CS614" s="1399"/>
      <c r="CT614" s="1399"/>
      <c r="CU614" s="1399"/>
      <c r="CV614" s="1399"/>
      <c r="CW614" s="1399"/>
      <c r="CX614" s="1399"/>
      <c r="CY614" s="1399"/>
      <c r="CZ614" s="1399"/>
      <c r="DA614" s="1399"/>
      <c r="DB614" s="1399"/>
      <c r="DC614" s="1399"/>
      <c r="DD614" s="1399"/>
      <c r="DE614" s="1399"/>
      <c r="DF614" s="1399"/>
      <c r="DG614" s="1399"/>
      <c r="DH614" s="1399"/>
      <c r="DI614" s="1399"/>
      <c r="DJ614" s="1399"/>
      <c r="DK614" s="1399"/>
      <c r="DL614" s="1399"/>
      <c r="DM614" s="1399"/>
      <c r="DN614" s="1399"/>
      <c r="DO614" s="1399"/>
      <c r="DP614" s="1399"/>
      <c r="DQ614" s="1399"/>
      <c r="DR614" s="1399"/>
      <c r="DS614" s="1399"/>
      <c r="DT614" s="1399"/>
      <c r="DU614" s="1399"/>
    </row>
    <row r="615" spans="1:125">
      <c r="A615" s="1414"/>
      <c r="B615" s="1414"/>
      <c r="C615" s="1414"/>
      <c r="D615" s="1414"/>
      <c r="E615" s="1414"/>
      <c r="F615" s="1414"/>
      <c r="G615" s="1414"/>
      <c r="H615" s="1414"/>
      <c r="I615" s="1414"/>
      <c r="J615" s="1414"/>
      <c r="K615" s="1414"/>
      <c r="L615" s="1414"/>
      <c r="M615" s="1414"/>
      <c r="N615" s="1414"/>
      <c r="O615" s="1414"/>
      <c r="P615" s="1414"/>
      <c r="Q615" s="1414"/>
      <c r="R615" s="1414"/>
      <c r="S615" s="1414"/>
      <c r="T615" s="1414"/>
      <c r="U615" s="1414"/>
      <c r="V615" s="1414"/>
      <c r="W615" s="1414"/>
      <c r="X615" s="1414"/>
      <c r="Y615" s="1414"/>
      <c r="Z615" s="1414"/>
      <c r="AA615" s="1414"/>
      <c r="AB615" s="1414"/>
      <c r="AC615" s="1414"/>
      <c r="AD615" s="1414"/>
      <c r="AE615" s="1414"/>
      <c r="AF615" s="1414"/>
      <c r="AG615" s="1414"/>
      <c r="AH615" s="1414"/>
      <c r="AI615" s="1414"/>
      <c r="AJ615" s="1414"/>
      <c r="AK615" s="1414"/>
      <c r="AL615" s="1414"/>
      <c r="AM615" s="1414"/>
      <c r="AN615" s="1414"/>
      <c r="AO615" s="1414"/>
      <c r="AP615" s="1414"/>
      <c r="AQ615" s="1414"/>
      <c r="AR615" s="1414"/>
      <c r="AS615" s="1414"/>
      <c r="AT615" s="1414"/>
      <c r="AU615" s="1414"/>
      <c r="AV615" s="1414"/>
      <c r="AW615" s="1414"/>
      <c r="AX615" s="1414"/>
      <c r="AY615" s="1399"/>
      <c r="AZ615" s="1399"/>
      <c r="BA615" s="1399"/>
      <c r="BB615" s="1399"/>
      <c r="BC615" s="1399"/>
      <c r="BD615" s="1399"/>
      <c r="BE615" s="1414"/>
      <c r="BF615" s="1399"/>
      <c r="BG615" s="1399"/>
      <c r="BH615" s="1399"/>
      <c r="BI615" s="1399"/>
      <c r="BJ615" s="1399"/>
      <c r="BK615" s="1399"/>
      <c r="BL615" s="1399"/>
      <c r="BM615" s="1399"/>
      <c r="BN615" s="1399"/>
      <c r="BO615" s="1399"/>
      <c r="BP615" s="1399"/>
      <c r="BQ615" s="1399"/>
      <c r="BR615" s="1399"/>
      <c r="BS615" s="1399"/>
      <c r="BT615" s="1399"/>
      <c r="BU615" s="1399"/>
      <c r="BV615" s="1399"/>
      <c r="BW615" s="1399"/>
      <c r="BX615" s="1399"/>
      <c r="BY615" s="1399"/>
      <c r="BZ615" s="1399"/>
      <c r="CA615" s="1399"/>
      <c r="CB615" s="1399"/>
      <c r="CC615" s="1399"/>
      <c r="CD615" s="1399"/>
      <c r="CE615" s="1399"/>
      <c r="CF615" s="1399"/>
      <c r="CG615" s="1399"/>
      <c r="CH615" s="1399"/>
      <c r="CI615" s="1399"/>
      <c r="CJ615" s="1399"/>
      <c r="CK615" s="1399"/>
      <c r="CL615" s="1399"/>
      <c r="CM615" s="1399"/>
      <c r="CN615" s="1399"/>
      <c r="CO615" s="1399"/>
      <c r="CP615" s="1399"/>
      <c r="CQ615" s="1399"/>
      <c r="CR615" s="1399"/>
      <c r="CS615" s="1399"/>
      <c r="CT615" s="1399"/>
      <c r="CU615" s="1399"/>
      <c r="CV615" s="1399"/>
      <c r="CW615" s="1399"/>
      <c r="CX615" s="1399"/>
      <c r="CY615" s="1399"/>
      <c r="CZ615" s="1399"/>
      <c r="DA615" s="1399"/>
      <c r="DB615" s="1399"/>
      <c r="DC615" s="1399"/>
      <c r="DD615" s="1399"/>
      <c r="DE615" s="1399"/>
      <c r="DF615" s="1399"/>
      <c r="DG615" s="1399"/>
      <c r="DH615" s="1399"/>
      <c r="DI615" s="1399"/>
      <c r="DJ615" s="1399"/>
      <c r="DK615" s="1399"/>
      <c r="DL615" s="1399"/>
      <c r="DM615" s="1399"/>
      <c r="DN615" s="1399"/>
      <c r="DO615" s="1399"/>
      <c r="DP615" s="1399"/>
      <c r="DQ615" s="1399"/>
      <c r="DR615" s="1399"/>
      <c r="DS615" s="1399"/>
      <c r="DT615" s="1399"/>
      <c r="DU615" s="1399"/>
    </row>
    <row r="616" spans="1:125">
      <c r="A616" s="1414"/>
      <c r="B616" s="1414"/>
      <c r="C616" s="1414"/>
      <c r="D616" s="1414"/>
      <c r="E616" s="1414"/>
      <c r="F616" s="1414"/>
      <c r="G616" s="1414"/>
      <c r="H616" s="1414"/>
      <c r="I616" s="1414"/>
      <c r="J616" s="1414"/>
      <c r="K616" s="1414"/>
      <c r="L616" s="1414"/>
      <c r="M616" s="1414"/>
      <c r="N616" s="1414"/>
      <c r="O616" s="1414"/>
      <c r="P616" s="1414"/>
      <c r="Q616" s="1414"/>
      <c r="R616" s="1414"/>
      <c r="S616" s="1414"/>
      <c r="T616" s="1414"/>
      <c r="U616" s="1414"/>
      <c r="V616" s="1414"/>
      <c r="W616" s="1414"/>
      <c r="X616" s="1414"/>
      <c r="Y616" s="1414"/>
      <c r="Z616" s="1414"/>
      <c r="AA616" s="1414"/>
      <c r="AB616" s="1414"/>
      <c r="AC616" s="1414"/>
      <c r="AD616" s="1414"/>
      <c r="AE616" s="1414"/>
      <c r="AF616" s="1414"/>
      <c r="AG616" s="1414"/>
      <c r="AH616" s="1414"/>
      <c r="AI616" s="1414"/>
      <c r="AJ616" s="1414"/>
      <c r="AK616" s="1414"/>
      <c r="AL616" s="1414"/>
      <c r="AM616" s="1414"/>
      <c r="AN616" s="1414"/>
      <c r="AO616" s="1414"/>
      <c r="AP616" s="1414"/>
      <c r="AQ616" s="1414"/>
      <c r="AR616" s="1414"/>
      <c r="AS616" s="1414"/>
      <c r="AT616" s="1414"/>
      <c r="AU616" s="1414"/>
      <c r="AV616" s="1414"/>
      <c r="AW616" s="1414"/>
      <c r="AX616" s="1414"/>
      <c r="AY616" s="1399"/>
      <c r="AZ616" s="1399"/>
      <c r="BA616" s="1399"/>
      <c r="BB616" s="1399"/>
      <c r="BC616" s="1399"/>
      <c r="BD616" s="1399"/>
      <c r="BE616" s="1414"/>
      <c r="BF616" s="1399"/>
      <c r="BG616" s="1399"/>
      <c r="BH616" s="1399"/>
      <c r="BI616" s="1399"/>
      <c r="BJ616" s="1399"/>
      <c r="BK616" s="1399"/>
      <c r="BL616" s="1399"/>
      <c r="BM616" s="1399"/>
      <c r="BN616" s="1399"/>
      <c r="BO616" s="1399"/>
      <c r="BP616" s="1399"/>
      <c r="BQ616" s="1399"/>
      <c r="BR616" s="1399"/>
      <c r="BS616" s="1399"/>
      <c r="BT616" s="1399"/>
      <c r="BU616" s="1399"/>
      <c r="BV616" s="1399"/>
      <c r="BW616" s="1399"/>
      <c r="BX616" s="1399"/>
      <c r="BY616" s="1399"/>
      <c r="BZ616" s="1399"/>
      <c r="CA616" s="1399"/>
      <c r="CB616" s="1399"/>
      <c r="CC616" s="1399"/>
      <c r="CD616" s="1399"/>
      <c r="CE616" s="1399"/>
      <c r="CF616" s="1399"/>
      <c r="CG616" s="1399"/>
      <c r="CH616" s="1399"/>
      <c r="CI616" s="1399"/>
      <c r="CJ616" s="1399"/>
      <c r="CK616" s="1399"/>
      <c r="CL616" s="1399"/>
      <c r="CM616" s="1399"/>
      <c r="CN616" s="1399"/>
      <c r="CO616" s="1399"/>
      <c r="CP616" s="1399"/>
      <c r="CQ616" s="1399"/>
      <c r="CR616" s="1399"/>
      <c r="CS616" s="1399"/>
      <c r="CT616" s="1399"/>
      <c r="CU616" s="1399"/>
      <c r="CV616" s="1399"/>
      <c r="CW616" s="1399"/>
      <c r="CX616" s="1399"/>
      <c r="CY616" s="1399"/>
      <c r="CZ616" s="1399"/>
      <c r="DA616" s="1399"/>
      <c r="DB616" s="1399"/>
      <c r="DC616" s="1399"/>
      <c r="DD616" s="1399"/>
      <c r="DE616" s="1399"/>
      <c r="DF616" s="1399"/>
      <c r="DG616" s="1399"/>
      <c r="DH616" s="1399"/>
      <c r="DI616" s="1399"/>
      <c r="DJ616" s="1399"/>
      <c r="DK616" s="1399"/>
      <c r="DL616" s="1399"/>
      <c r="DM616" s="1399"/>
      <c r="DN616" s="1399"/>
      <c r="DO616" s="1399"/>
      <c r="DP616" s="1399"/>
      <c r="DQ616" s="1399"/>
      <c r="DR616" s="1399"/>
      <c r="DS616" s="1399"/>
      <c r="DT616" s="1399"/>
      <c r="DU616" s="1399"/>
    </row>
    <row r="617" spans="1:125">
      <c r="A617" s="1414"/>
      <c r="B617" s="1414"/>
      <c r="C617" s="1414"/>
      <c r="D617" s="1414"/>
      <c r="E617" s="1414"/>
      <c r="F617" s="1414"/>
      <c r="G617" s="1414"/>
      <c r="H617" s="1414"/>
      <c r="I617" s="1414"/>
      <c r="J617" s="1414"/>
      <c r="K617" s="1414"/>
      <c r="L617" s="1414"/>
      <c r="M617" s="1414"/>
      <c r="N617" s="1414"/>
      <c r="O617" s="1414"/>
      <c r="P617" s="1414"/>
      <c r="Q617" s="1414"/>
      <c r="R617" s="1414"/>
      <c r="S617" s="1414"/>
      <c r="T617" s="1414"/>
      <c r="U617" s="1414"/>
      <c r="V617" s="1414"/>
      <c r="W617" s="1414"/>
      <c r="X617" s="1414"/>
      <c r="Y617" s="1414"/>
      <c r="Z617" s="1414"/>
      <c r="AA617" s="1414"/>
      <c r="AB617" s="1414"/>
      <c r="AC617" s="1414"/>
      <c r="AD617" s="1414"/>
      <c r="AE617" s="1414"/>
      <c r="AF617" s="1414"/>
      <c r="AG617" s="1414"/>
      <c r="AH617" s="1414"/>
      <c r="AI617" s="1414"/>
      <c r="AJ617" s="1414"/>
      <c r="AK617" s="1414"/>
      <c r="AL617" s="1414"/>
      <c r="AM617" s="1414"/>
      <c r="AN617" s="1414"/>
      <c r="AO617" s="1414"/>
      <c r="AP617" s="1414"/>
      <c r="AQ617" s="1414"/>
      <c r="AR617" s="1414"/>
      <c r="AS617" s="1414"/>
      <c r="AT617" s="1414"/>
      <c r="AU617" s="1414"/>
      <c r="AV617" s="1414"/>
      <c r="AW617" s="1414"/>
      <c r="AX617" s="1414"/>
      <c r="AY617" s="1399"/>
      <c r="AZ617" s="1399"/>
      <c r="BA617" s="1399"/>
      <c r="BB617" s="1399"/>
      <c r="BC617" s="1399"/>
      <c r="BD617" s="1399"/>
      <c r="BE617" s="1414"/>
      <c r="BF617" s="1399"/>
      <c r="BG617" s="1399"/>
      <c r="BH617" s="1399"/>
      <c r="BI617" s="1399"/>
      <c r="BJ617" s="1399"/>
      <c r="BK617" s="1399"/>
      <c r="BL617" s="1399"/>
      <c r="BM617" s="1399"/>
      <c r="BN617" s="1399"/>
      <c r="BO617" s="1399"/>
      <c r="BP617" s="1399"/>
      <c r="BQ617" s="1399"/>
      <c r="BR617" s="1399"/>
      <c r="BS617" s="1399"/>
      <c r="BT617" s="1399"/>
      <c r="BU617" s="1399"/>
      <c r="BV617" s="1399"/>
      <c r="BW617" s="1399"/>
      <c r="BX617" s="1399"/>
      <c r="BY617" s="1399"/>
      <c r="BZ617" s="1399"/>
      <c r="CA617" s="1399"/>
      <c r="CB617" s="1399"/>
      <c r="CC617" s="1399"/>
      <c r="CD617" s="1399"/>
      <c r="CE617" s="1399"/>
      <c r="CF617" s="1399"/>
      <c r="CG617" s="1399"/>
      <c r="CH617" s="1399"/>
      <c r="CI617" s="1399"/>
      <c r="CJ617" s="1399"/>
      <c r="CK617" s="1399"/>
      <c r="CL617" s="1399"/>
      <c r="CM617" s="1399"/>
      <c r="CN617" s="1399"/>
      <c r="CO617" s="1399"/>
      <c r="CP617" s="1399"/>
      <c r="CQ617" s="1399"/>
      <c r="CR617" s="1399"/>
      <c r="CS617" s="1399"/>
      <c r="CT617" s="1399"/>
      <c r="CU617" s="1399"/>
      <c r="CV617" s="1399"/>
      <c r="CW617" s="1399"/>
      <c r="CX617" s="1399"/>
      <c r="CY617" s="1399"/>
      <c r="CZ617" s="1399"/>
      <c r="DA617" s="1399"/>
      <c r="DB617" s="1399"/>
      <c r="DC617" s="1399"/>
      <c r="DD617" s="1399"/>
      <c r="DE617" s="1399"/>
      <c r="DF617" s="1399"/>
      <c r="DG617" s="1399"/>
      <c r="DH617" s="1399"/>
      <c r="DI617" s="1399"/>
      <c r="DJ617" s="1399"/>
      <c r="DK617" s="1399"/>
      <c r="DL617" s="1399"/>
      <c r="DM617" s="1399"/>
      <c r="DN617" s="1399"/>
      <c r="DO617" s="1399"/>
      <c r="DP617" s="1399"/>
      <c r="DQ617" s="1399"/>
      <c r="DR617" s="1399"/>
      <c r="DS617" s="1399"/>
      <c r="DT617" s="1399"/>
      <c r="DU617" s="1399"/>
    </row>
    <row r="618" spans="1:125">
      <c r="A618" s="1414"/>
      <c r="B618" s="1414"/>
      <c r="C618" s="1414"/>
      <c r="D618" s="1414"/>
      <c r="E618" s="1414"/>
      <c r="F618" s="1414"/>
      <c r="G618" s="1414"/>
      <c r="H618" s="1414"/>
      <c r="I618" s="1414"/>
      <c r="J618" s="1414"/>
      <c r="K618" s="1414"/>
      <c r="L618" s="1414"/>
      <c r="M618" s="1414"/>
      <c r="N618" s="1414"/>
      <c r="O618" s="1414"/>
      <c r="P618" s="1414"/>
      <c r="Q618" s="1414"/>
      <c r="R618" s="1414"/>
      <c r="S618" s="1414"/>
      <c r="T618" s="1414"/>
      <c r="U618" s="1414"/>
      <c r="V618" s="1414"/>
      <c r="W618" s="1414"/>
      <c r="X618" s="1414"/>
      <c r="Y618" s="1414"/>
      <c r="Z618" s="1414"/>
      <c r="AA618" s="1414"/>
      <c r="AB618" s="1414"/>
      <c r="AC618" s="1414"/>
      <c r="AD618" s="1414"/>
      <c r="AE618" s="1414"/>
      <c r="AF618" s="1414"/>
      <c r="AG618" s="1414"/>
      <c r="AH618" s="1414"/>
      <c r="AI618" s="1414"/>
      <c r="AJ618" s="1414"/>
      <c r="AK618" s="1414"/>
      <c r="AL618" s="1414"/>
      <c r="AM618" s="1414"/>
      <c r="AN618" s="1414"/>
      <c r="AO618" s="1414"/>
      <c r="AP618" s="1414"/>
      <c r="AQ618" s="1414"/>
      <c r="AR618" s="1414"/>
      <c r="AS618" s="1414"/>
      <c r="AT618" s="1414"/>
      <c r="AU618" s="1414"/>
      <c r="AV618" s="1414"/>
      <c r="AW618" s="1414"/>
      <c r="AX618" s="1414"/>
      <c r="AY618" s="1399"/>
      <c r="AZ618" s="1399"/>
      <c r="BA618" s="1399"/>
      <c r="BB618" s="1399"/>
      <c r="BC618" s="1399"/>
      <c r="BD618" s="1399"/>
      <c r="BE618" s="1414"/>
      <c r="BF618" s="1399"/>
      <c r="BG618" s="1399"/>
      <c r="BH618" s="1399"/>
      <c r="BI618" s="1399"/>
      <c r="BJ618" s="1399"/>
      <c r="BK618" s="1399"/>
      <c r="BL618" s="1399"/>
      <c r="BM618" s="1399"/>
      <c r="BN618" s="1399"/>
      <c r="BO618" s="1399"/>
      <c r="BP618" s="1399"/>
      <c r="BQ618" s="1399"/>
      <c r="BR618" s="1399"/>
      <c r="BS618" s="1399"/>
      <c r="BT618" s="1399"/>
      <c r="BU618" s="1399"/>
      <c r="BV618" s="1399"/>
      <c r="BW618" s="1399"/>
      <c r="BX618" s="1399"/>
      <c r="BY618" s="1399"/>
      <c r="BZ618" s="1399"/>
      <c r="CA618" s="1399"/>
      <c r="CB618" s="1399"/>
      <c r="CC618" s="1399"/>
      <c r="CD618" s="1399"/>
      <c r="CE618" s="1399"/>
      <c r="CF618" s="1399"/>
      <c r="CG618" s="1399"/>
      <c r="CH618" s="1399"/>
      <c r="CI618" s="1399"/>
      <c r="CJ618" s="1399"/>
      <c r="CK618" s="1399"/>
      <c r="CL618" s="1399"/>
      <c r="CM618" s="1399"/>
      <c r="CN618" s="1399"/>
      <c r="CO618" s="1399"/>
      <c r="CP618" s="1399"/>
      <c r="CQ618" s="1399"/>
      <c r="CR618" s="1399"/>
      <c r="CS618" s="1399"/>
      <c r="CT618" s="1399"/>
      <c r="CU618" s="1399"/>
      <c r="CV618" s="1399"/>
      <c r="CW618" s="1399"/>
      <c r="CX618" s="1399"/>
      <c r="CY618" s="1399"/>
      <c r="CZ618" s="1399"/>
      <c r="DA618" s="1399"/>
      <c r="DB618" s="1399"/>
      <c r="DC618" s="1399"/>
      <c r="DD618" s="1399"/>
      <c r="DE618" s="1399"/>
      <c r="DF618" s="1399"/>
      <c r="DG618" s="1399"/>
      <c r="DH618" s="1399"/>
      <c r="DI618" s="1399"/>
      <c r="DJ618" s="1399"/>
      <c r="DK618" s="1399"/>
      <c r="DL618" s="1399"/>
      <c r="DM618" s="1399"/>
      <c r="DN618" s="1399"/>
      <c r="DO618" s="1399"/>
      <c r="DP618" s="1399"/>
      <c r="DQ618" s="1399"/>
      <c r="DR618" s="1399"/>
      <c r="DS618" s="1399"/>
      <c r="DT618" s="1399"/>
      <c r="DU618" s="1399"/>
    </row>
    <row r="619" spans="1:125">
      <c r="A619" s="1414"/>
      <c r="B619" s="1414"/>
      <c r="C619" s="1414"/>
      <c r="D619" s="1414"/>
      <c r="E619" s="1414"/>
      <c r="F619" s="1414"/>
      <c r="G619" s="1414"/>
      <c r="H619" s="1414"/>
      <c r="I619" s="1414"/>
      <c r="J619" s="1414"/>
      <c r="K619" s="1414"/>
      <c r="L619" s="1414"/>
      <c r="M619" s="1414"/>
      <c r="N619" s="1414"/>
      <c r="O619" s="1414"/>
      <c r="P619" s="1414"/>
      <c r="Q619" s="1414"/>
      <c r="R619" s="1414"/>
      <c r="S619" s="1414"/>
      <c r="T619" s="1414"/>
      <c r="U619" s="1414"/>
      <c r="V619" s="1414"/>
      <c r="W619" s="1414"/>
      <c r="X619" s="1414"/>
      <c r="Y619" s="1414"/>
      <c r="Z619" s="1414"/>
      <c r="AA619" s="1414"/>
      <c r="AB619" s="1414"/>
      <c r="AC619" s="1414"/>
      <c r="AD619" s="1414"/>
      <c r="AE619" s="1414"/>
      <c r="AF619" s="1414"/>
      <c r="AG619" s="1414"/>
      <c r="AH619" s="1414"/>
      <c r="AI619" s="1414"/>
      <c r="AJ619" s="1414"/>
      <c r="AK619" s="1414"/>
      <c r="AL619" s="1414"/>
      <c r="AM619" s="1414"/>
      <c r="AN619" s="1414"/>
      <c r="AO619" s="1414"/>
      <c r="AP619" s="1414"/>
      <c r="AQ619" s="1414"/>
      <c r="AR619" s="1414"/>
      <c r="AS619" s="1414"/>
      <c r="AT619" s="1414"/>
      <c r="AU619" s="1414"/>
      <c r="AV619" s="1414"/>
      <c r="AW619" s="1414"/>
      <c r="AX619" s="1414"/>
      <c r="AY619" s="1399"/>
      <c r="AZ619" s="1399"/>
      <c r="BA619" s="1399"/>
      <c r="BB619" s="1399"/>
      <c r="BC619" s="1399"/>
      <c r="BD619" s="1399"/>
      <c r="BE619" s="1414"/>
      <c r="BF619" s="1399"/>
      <c r="BG619" s="1399"/>
      <c r="BH619" s="1399"/>
      <c r="BI619" s="1399"/>
      <c r="BJ619" s="1399"/>
      <c r="BK619" s="1399"/>
      <c r="BL619" s="1399"/>
      <c r="BM619" s="1399"/>
      <c r="BN619" s="1399"/>
      <c r="BO619" s="1399"/>
      <c r="BP619" s="1399"/>
      <c r="BQ619" s="1399"/>
      <c r="BR619" s="1399"/>
      <c r="BS619" s="1399"/>
      <c r="BT619" s="1399"/>
      <c r="BU619" s="1399"/>
      <c r="BV619" s="1399"/>
      <c r="BW619" s="1399"/>
      <c r="BX619" s="1399"/>
      <c r="BY619" s="1399"/>
      <c r="BZ619" s="1399"/>
      <c r="CA619" s="1399"/>
      <c r="CB619" s="1399"/>
      <c r="CC619" s="1399"/>
      <c r="CD619" s="1399"/>
      <c r="CE619" s="1399"/>
      <c r="CF619" s="1399"/>
      <c r="CG619" s="1399"/>
      <c r="CH619" s="1399"/>
      <c r="CI619" s="1399"/>
      <c r="CJ619" s="1399"/>
      <c r="CK619" s="1399"/>
      <c r="CL619" s="1399"/>
      <c r="CM619" s="1399"/>
      <c r="CN619" s="1399"/>
      <c r="CO619" s="1399"/>
      <c r="CP619" s="1399"/>
      <c r="CQ619" s="1399"/>
      <c r="CR619" s="1399"/>
      <c r="CS619" s="1399"/>
      <c r="CT619" s="1399"/>
      <c r="CU619" s="1399"/>
      <c r="CV619" s="1399"/>
      <c r="CW619" s="1399"/>
      <c r="CX619" s="1399"/>
      <c r="CY619" s="1399"/>
      <c r="CZ619" s="1399"/>
      <c r="DA619" s="1399"/>
      <c r="DB619" s="1399"/>
      <c r="DC619" s="1399"/>
      <c r="DD619" s="1399"/>
      <c r="DE619" s="1399"/>
      <c r="DF619" s="1399"/>
      <c r="DG619" s="1399"/>
      <c r="DH619" s="1399"/>
      <c r="DI619" s="1399"/>
      <c r="DJ619" s="1399"/>
      <c r="DK619" s="1399"/>
      <c r="DL619" s="1399"/>
      <c r="DM619" s="1399"/>
      <c r="DN619" s="1399"/>
      <c r="DO619" s="1399"/>
      <c r="DP619" s="1399"/>
      <c r="DQ619" s="1399"/>
      <c r="DR619" s="1399"/>
      <c r="DS619" s="1399"/>
      <c r="DT619" s="1399"/>
      <c r="DU619" s="1399"/>
    </row>
    <row r="620" spans="1:125">
      <c r="A620" s="1414"/>
      <c r="B620" s="1414"/>
      <c r="C620" s="1414"/>
      <c r="D620" s="1414"/>
      <c r="E620" s="1414"/>
      <c r="F620" s="1414"/>
      <c r="G620" s="1414"/>
      <c r="H620" s="1414"/>
      <c r="I620" s="1414"/>
      <c r="J620" s="1414"/>
      <c r="K620" s="1414"/>
      <c r="L620" s="1414"/>
      <c r="M620" s="1414"/>
      <c r="N620" s="1414"/>
      <c r="O620" s="1414"/>
      <c r="P620" s="1414"/>
      <c r="Q620" s="1414"/>
      <c r="R620" s="1414"/>
      <c r="S620" s="1414"/>
      <c r="T620" s="1414"/>
      <c r="U620" s="1414"/>
      <c r="V620" s="1414"/>
      <c r="W620" s="1414"/>
      <c r="X620" s="1414"/>
      <c r="Y620" s="1414"/>
      <c r="Z620" s="1414"/>
      <c r="AA620" s="1414"/>
      <c r="AB620" s="1414"/>
      <c r="AC620" s="1414"/>
      <c r="AD620" s="1414"/>
      <c r="AE620" s="1414"/>
      <c r="AF620" s="1414"/>
      <c r="AG620" s="1414"/>
      <c r="AH620" s="1414"/>
      <c r="AI620" s="1414"/>
      <c r="AJ620" s="1414"/>
      <c r="AK620" s="1414"/>
      <c r="AL620" s="1414"/>
      <c r="AM620" s="1414"/>
      <c r="AN620" s="1414"/>
      <c r="AO620" s="1414"/>
      <c r="AP620" s="1414"/>
      <c r="AQ620" s="1414"/>
      <c r="AR620" s="1414"/>
      <c r="AS620" s="1414"/>
      <c r="AT620" s="1414"/>
      <c r="AU620" s="1414"/>
      <c r="AV620" s="1414"/>
      <c r="AW620" s="1414"/>
      <c r="AX620" s="1414"/>
      <c r="AY620" s="1399"/>
      <c r="AZ620" s="1399"/>
      <c r="BA620" s="1399"/>
      <c r="BB620" s="1399"/>
      <c r="BC620" s="1399"/>
      <c r="BD620" s="1399"/>
      <c r="BE620" s="1414"/>
      <c r="BF620" s="1399"/>
      <c r="BG620" s="1399"/>
      <c r="BH620" s="1399"/>
      <c r="BI620" s="1399"/>
      <c r="BJ620" s="1399"/>
      <c r="BK620" s="1399"/>
      <c r="BL620" s="1399"/>
      <c r="BM620" s="1399"/>
      <c r="BN620" s="1399"/>
      <c r="BO620" s="1399"/>
      <c r="BP620" s="1399"/>
      <c r="BQ620" s="1399"/>
      <c r="BR620" s="1399"/>
      <c r="BS620" s="1399"/>
      <c r="BT620" s="1399"/>
      <c r="BU620" s="1399"/>
      <c r="BV620" s="1399"/>
      <c r="BW620" s="1399"/>
      <c r="BX620" s="1399"/>
      <c r="BY620" s="1399"/>
      <c r="BZ620" s="1399"/>
      <c r="CA620" s="1399"/>
      <c r="CB620" s="1399"/>
      <c r="CC620" s="1399"/>
      <c r="CD620" s="1399"/>
      <c r="CE620" s="1399"/>
      <c r="CF620" s="1399"/>
      <c r="CG620" s="1399"/>
      <c r="CH620" s="1399"/>
      <c r="CI620" s="1399"/>
      <c r="CJ620" s="1399"/>
      <c r="CK620" s="1399"/>
      <c r="CL620" s="1399"/>
      <c r="CM620" s="1399"/>
      <c r="CN620" s="1399"/>
      <c r="CO620" s="1399"/>
      <c r="CP620" s="1399"/>
      <c r="CQ620" s="1399"/>
      <c r="CR620" s="1399"/>
      <c r="CS620" s="1399"/>
      <c r="CT620" s="1399"/>
      <c r="CU620" s="1399"/>
      <c r="CV620" s="1399"/>
      <c r="CW620" s="1399"/>
      <c r="CX620" s="1399"/>
      <c r="CY620" s="1399"/>
      <c r="CZ620" s="1399"/>
      <c r="DA620" s="1399"/>
      <c r="DB620" s="1399"/>
      <c r="DC620" s="1399"/>
      <c r="DD620" s="1399"/>
      <c r="DE620" s="1399"/>
      <c r="DF620" s="1399"/>
      <c r="DG620" s="1399"/>
      <c r="DH620" s="1399"/>
      <c r="DI620" s="1399"/>
      <c r="DJ620" s="1399"/>
      <c r="DK620" s="1399"/>
      <c r="DL620" s="1399"/>
      <c r="DM620" s="1399"/>
      <c r="DN620" s="1399"/>
      <c r="DO620" s="1399"/>
      <c r="DP620" s="1399"/>
      <c r="DQ620" s="1399"/>
      <c r="DR620" s="1399"/>
      <c r="DS620" s="1399"/>
      <c r="DT620" s="1399"/>
      <c r="DU620" s="1399"/>
    </row>
    <row r="621" spans="1:125">
      <c r="A621" s="1414"/>
      <c r="B621" s="1414"/>
      <c r="C621" s="1414"/>
      <c r="D621" s="1414"/>
      <c r="E621" s="1414"/>
      <c r="F621" s="1414"/>
      <c r="G621" s="1414"/>
      <c r="H621" s="1414"/>
      <c r="I621" s="1414"/>
      <c r="J621" s="1414"/>
      <c r="K621" s="1414"/>
      <c r="L621" s="1414"/>
      <c r="M621" s="1414"/>
      <c r="N621" s="1414"/>
      <c r="O621" s="1414"/>
      <c r="P621" s="1414"/>
      <c r="Q621" s="1414"/>
      <c r="R621" s="1414"/>
      <c r="S621" s="1414"/>
      <c r="T621" s="1414"/>
      <c r="U621" s="1414"/>
      <c r="V621" s="1414"/>
      <c r="W621" s="1414"/>
      <c r="X621" s="1414"/>
      <c r="Y621" s="1414"/>
      <c r="Z621" s="1414"/>
      <c r="AA621" s="1414"/>
      <c r="AB621" s="1414"/>
      <c r="AC621" s="1414"/>
      <c r="AD621" s="1414"/>
      <c r="AE621" s="1414"/>
      <c r="AF621" s="1414"/>
      <c r="AG621" s="1414"/>
      <c r="AH621" s="1414"/>
      <c r="AI621" s="1414"/>
      <c r="AJ621" s="1414"/>
      <c r="AK621" s="1414"/>
      <c r="AL621" s="1414"/>
      <c r="AM621" s="1414"/>
      <c r="AN621" s="1414"/>
      <c r="AO621" s="1414"/>
      <c r="AP621" s="1414"/>
      <c r="AQ621" s="1414"/>
      <c r="AR621" s="1414"/>
      <c r="AS621" s="1414"/>
      <c r="AT621" s="1414"/>
      <c r="AU621" s="1414"/>
      <c r="AV621" s="1414"/>
      <c r="AW621" s="1414"/>
      <c r="AX621" s="1414"/>
      <c r="AY621" s="1399"/>
      <c r="AZ621" s="1399"/>
      <c r="BA621" s="1399"/>
      <c r="BB621" s="1399"/>
      <c r="BC621" s="1399"/>
      <c r="BD621" s="1399"/>
      <c r="BE621" s="1414"/>
      <c r="BF621" s="1399"/>
      <c r="BG621" s="1399"/>
      <c r="BH621" s="1399"/>
      <c r="BI621" s="1399"/>
      <c r="BJ621" s="1399"/>
      <c r="BK621" s="1399"/>
      <c r="BL621" s="1399"/>
      <c r="BM621" s="1399"/>
      <c r="BN621" s="1399"/>
      <c r="BO621" s="1399"/>
      <c r="BP621" s="1399"/>
      <c r="BQ621" s="1399"/>
      <c r="BR621" s="1399"/>
      <c r="BS621" s="1399"/>
      <c r="BT621" s="1399"/>
      <c r="BU621" s="1399"/>
      <c r="BV621" s="1399"/>
      <c r="BW621" s="1399"/>
      <c r="BX621" s="1399"/>
      <c r="BY621" s="1399"/>
      <c r="BZ621" s="1399"/>
      <c r="CA621" s="1399"/>
      <c r="CB621" s="1399"/>
      <c r="CC621" s="1399"/>
      <c r="CD621" s="1399"/>
      <c r="CE621" s="1399"/>
      <c r="CF621" s="1399"/>
      <c r="CG621" s="1399"/>
      <c r="CH621" s="1399"/>
      <c r="CI621" s="1399"/>
      <c r="CJ621" s="1399"/>
      <c r="CK621" s="1399"/>
      <c r="CL621" s="1399"/>
      <c r="CM621" s="1399"/>
      <c r="CN621" s="1399"/>
      <c r="CO621" s="1399"/>
      <c r="CP621" s="1399"/>
      <c r="CQ621" s="1399"/>
      <c r="CR621" s="1399"/>
      <c r="CS621" s="1399"/>
      <c r="CT621" s="1399"/>
      <c r="CU621" s="1399"/>
      <c r="CV621" s="1399"/>
      <c r="CW621" s="1399"/>
      <c r="CX621" s="1399"/>
      <c r="CY621" s="1399"/>
      <c r="CZ621" s="1399"/>
      <c r="DA621" s="1399"/>
      <c r="DB621" s="1399"/>
      <c r="DC621" s="1399"/>
      <c r="DD621" s="1399"/>
      <c r="DE621" s="1399"/>
      <c r="DF621" s="1399"/>
      <c r="DG621" s="1399"/>
      <c r="DH621" s="1399"/>
      <c r="DI621" s="1399"/>
      <c r="DJ621" s="1399"/>
      <c r="DK621" s="1399"/>
      <c r="DL621" s="1399"/>
      <c r="DM621" s="1399"/>
      <c r="DN621" s="1399"/>
      <c r="DO621" s="1399"/>
      <c r="DP621" s="1399"/>
      <c r="DQ621" s="1399"/>
      <c r="DR621" s="1399"/>
      <c r="DS621" s="1399"/>
      <c r="DT621" s="1399"/>
      <c r="DU621" s="1399"/>
    </row>
    <row r="622" spans="1:125">
      <c r="A622" s="1414"/>
      <c r="B622" s="1414"/>
      <c r="C622" s="1414"/>
      <c r="D622" s="1414"/>
      <c r="E622" s="1414"/>
      <c r="F622" s="1414"/>
      <c r="G622" s="1414"/>
      <c r="H622" s="1414"/>
      <c r="I622" s="1414"/>
      <c r="J622" s="1414"/>
      <c r="K622" s="1414"/>
      <c r="L622" s="1414"/>
      <c r="M622" s="1414"/>
      <c r="N622" s="1414"/>
      <c r="O622" s="1414"/>
      <c r="P622" s="1414"/>
      <c r="Q622" s="1414"/>
      <c r="R622" s="1414"/>
      <c r="S622" s="1414"/>
      <c r="T622" s="1414"/>
      <c r="U622" s="1414"/>
      <c r="V622" s="1414"/>
      <c r="W622" s="1414"/>
      <c r="X622" s="1414"/>
      <c r="Y622" s="1414"/>
      <c r="Z622" s="1414"/>
      <c r="AA622" s="1414"/>
      <c r="AB622" s="1414"/>
      <c r="AC622" s="1414"/>
      <c r="AD622" s="1414"/>
      <c r="AE622" s="1414"/>
      <c r="AF622" s="1414"/>
      <c r="AG622" s="1414"/>
      <c r="AH622" s="1414"/>
      <c r="AI622" s="1414"/>
      <c r="AJ622" s="1414"/>
      <c r="AK622" s="1414"/>
      <c r="AL622" s="1414"/>
      <c r="AM622" s="1414"/>
      <c r="AN622" s="1414"/>
      <c r="AO622" s="1414"/>
      <c r="AP622" s="1414"/>
      <c r="AQ622" s="1414"/>
      <c r="AR622" s="1414"/>
      <c r="AS622" s="1414"/>
      <c r="AT622" s="1414"/>
      <c r="AU622" s="1414"/>
      <c r="AV622" s="1414"/>
      <c r="AW622" s="1414"/>
      <c r="AX622" s="1414"/>
      <c r="AY622" s="1399"/>
      <c r="AZ622" s="1399"/>
      <c r="BA622" s="1399"/>
      <c r="BB622" s="1399"/>
      <c r="BC622" s="1399"/>
      <c r="BD622" s="1399"/>
      <c r="BE622" s="1414"/>
      <c r="BF622" s="1399"/>
      <c r="BG622" s="1399"/>
      <c r="BH622" s="1399"/>
      <c r="BI622" s="1399"/>
      <c r="BJ622" s="1399"/>
      <c r="BK622" s="1399"/>
      <c r="BL622" s="1399"/>
      <c r="BM622" s="1399"/>
      <c r="BN622" s="1399"/>
      <c r="BO622" s="1399"/>
      <c r="BP622" s="1399"/>
      <c r="BQ622" s="1399"/>
      <c r="BR622" s="1399"/>
      <c r="BS622" s="1399"/>
      <c r="BT622" s="1399"/>
      <c r="BU622" s="1399"/>
      <c r="BV622" s="1399"/>
      <c r="BW622" s="1399"/>
      <c r="BX622" s="1399"/>
      <c r="BY622" s="1399"/>
      <c r="BZ622" s="1399"/>
      <c r="CA622" s="1399"/>
      <c r="CB622" s="1399"/>
      <c r="CC622" s="1399"/>
      <c r="CD622" s="1399"/>
      <c r="CE622" s="1399"/>
      <c r="CF622" s="1399"/>
      <c r="CG622" s="1399"/>
      <c r="CH622" s="1399"/>
      <c r="CI622" s="1399"/>
      <c r="CJ622" s="1399"/>
      <c r="CK622" s="1399"/>
      <c r="CL622" s="1399"/>
      <c r="CM622" s="1399"/>
      <c r="CN622" s="1399"/>
      <c r="CO622" s="1399"/>
      <c r="CP622" s="1399"/>
      <c r="CQ622" s="1399"/>
      <c r="CR622" s="1399"/>
      <c r="CS622" s="1399"/>
      <c r="CT622" s="1399"/>
      <c r="CU622" s="1399"/>
      <c r="CV622" s="1399"/>
      <c r="CW622" s="1399"/>
      <c r="CX622" s="1399"/>
      <c r="CY622" s="1399"/>
      <c r="CZ622" s="1399"/>
      <c r="DA622" s="1399"/>
      <c r="DB622" s="1399"/>
      <c r="DC622" s="1399"/>
      <c r="DD622" s="1399"/>
      <c r="DE622" s="1399"/>
      <c r="DF622" s="1399"/>
      <c r="DG622" s="1399"/>
      <c r="DH622" s="1399"/>
      <c r="DI622" s="1399"/>
      <c r="DJ622" s="1399"/>
      <c r="DK622" s="1399"/>
      <c r="DL622" s="1399"/>
      <c r="DM622" s="1399"/>
      <c r="DN622" s="1399"/>
      <c r="DO622" s="1399"/>
      <c r="DP622" s="1399"/>
      <c r="DQ622" s="1399"/>
      <c r="DR622" s="1399"/>
      <c r="DS622" s="1399"/>
      <c r="DT622" s="1399"/>
      <c r="DU622" s="1399"/>
    </row>
    <row r="623" spans="1:125">
      <c r="A623" s="1414"/>
      <c r="B623" s="1414"/>
      <c r="C623" s="1414"/>
      <c r="D623" s="1414"/>
      <c r="E623" s="1414"/>
      <c r="F623" s="1414"/>
      <c r="G623" s="1414"/>
      <c r="H623" s="1414"/>
      <c r="I623" s="1414"/>
      <c r="J623" s="1414"/>
      <c r="K623" s="1414"/>
      <c r="L623" s="1414"/>
      <c r="M623" s="1414"/>
      <c r="N623" s="1414"/>
      <c r="O623" s="1414"/>
      <c r="P623" s="1414"/>
      <c r="Q623" s="1414"/>
      <c r="R623" s="1414"/>
      <c r="S623" s="1414"/>
      <c r="T623" s="1414"/>
      <c r="U623" s="1414"/>
      <c r="V623" s="1414"/>
      <c r="W623" s="1414"/>
      <c r="X623" s="1414"/>
      <c r="Y623" s="1414"/>
      <c r="Z623" s="1414"/>
      <c r="AA623" s="1414"/>
      <c r="AB623" s="1414"/>
      <c r="AC623" s="1414"/>
      <c r="AD623" s="1414"/>
      <c r="AE623" s="1414"/>
      <c r="AF623" s="1414"/>
      <c r="AG623" s="1414"/>
      <c r="AH623" s="1414"/>
      <c r="AI623" s="1414"/>
      <c r="AJ623" s="1414"/>
      <c r="AK623" s="1414"/>
      <c r="AL623" s="1414"/>
      <c r="AM623" s="1414"/>
      <c r="AN623" s="1414"/>
      <c r="AO623" s="1414"/>
      <c r="AP623" s="1414"/>
      <c r="AQ623" s="1414"/>
      <c r="AR623" s="1414"/>
      <c r="AS623" s="1414"/>
      <c r="AT623" s="1414"/>
      <c r="AU623" s="1414"/>
      <c r="AV623" s="1414"/>
      <c r="AW623" s="1414"/>
      <c r="AX623" s="1414"/>
      <c r="AY623" s="1399"/>
      <c r="AZ623" s="1399"/>
      <c r="BA623" s="1399"/>
      <c r="BB623" s="1399"/>
      <c r="BC623" s="1399"/>
      <c r="BD623" s="1399"/>
      <c r="BE623" s="1414"/>
      <c r="BF623" s="1399"/>
      <c r="BG623" s="1399"/>
      <c r="BH623" s="1399"/>
      <c r="BI623" s="1399"/>
      <c r="BJ623" s="1399"/>
      <c r="BK623" s="1399"/>
      <c r="BL623" s="1399"/>
      <c r="BM623" s="1399"/>
      <c r="BN623" s="1399"/>
      <c r="BO623" s="1399"/>
      <c r="BP623" s="1399"/>
      <c r="BQ623" s="1399"/>
      <c r="BR623" s="1399"/>
      <c r="BS623" s="1399"/>
      <c r="BT623" s="1399"/>
      <c r="BU623" s="1399"/>
      <c r="BV623" s="1399"/>
      <c r="BW623" s="1399"/>
      <c r="BX623" s="1399"/>
      <c r="BY623" s="1399"/>
      <c r="BZ623" s="1399"/>
      <c r="CA623" s="1399"/>
      <c r="CB623" s="1399"/>
      <c r="CC623" s="1399"/>
      <c r="CD623" s="1399"/>
      <c r="CE623" s="1399"/>
      <c r="CF623" s="1399"/>
      <c r="CG623" s="1399"/>
      <c r="CH623" s="1399"/>
      <c r="CI623" s="1399"/>
      <c r="CJ623" s="1399"/>
      <c r="CK623" s="1399"/>
      <c r="CL623" s="1399"/>
      <c r="CM623" s="1399"/>
      <c r="CN623" s="1399"/>
      <c r="CO623" s="1399"/>
      <c r="CP623" s="1399"/>
      <c r="CQ623" s="1399"/>
      <c r="CR623" s="1399"/>
      <c r="CS623" s="1399"/>
      <c r="CT623" s="1399"/>
      <c r="CU623" s="1399"/>
      <c r="CV623" s="1399"/>
      <c r="CW623" s="1399"/>
      <c r="CX623" s="1399"/>
      <c r="CY623" s="1399"/>
      <c r="CZ623" s="1399"/>
      <c r="DA623" s="1399"/>
      <c r="DB623" s="1399"/>
      <c r="DC623" s="1399"/>
      <c r="DD623" s="1399"/>
      <c r="DE623" s="1399"/>
      <c r="DF623" s="1399"/>
      <c r="DG623" s="1399"/>
      <c r="DH623" s="1399"/>
      <c r="DI623" s="1399"/>
      <c r="DJ623" s="1399"/>
      <c r="DK623" s="1399"/>
      <c r="DL623" s="1399"/>
      <c r="DM623" s="1399"/>
      <c r="DN623" s="1399"/>
      <c r="DO623" s="1399"/>
      <c r="DP623" s="1399"/>
      <c r="DQ623" s="1399"/>
      <c r="DR623" s="1399"/>
      <c r="DS623" s="1399"/>
      <c r="DT623" s="1399"/>
      <c r="DU623" s="1399"/>
    </row>
    <row r="624" spans="1:125">
      <c r="A624" s="1414"/>
      <c r="B624" s="1414"/>
      <c r="C624" s="1414"/>
      <c r="D624" s="1414"/>
      <c r="E624" s="1414"/>
      <c r="F624" s="1414"/>
      <c r="G624" s="1414"/>
      <c r="H624" s="1414"/>
      <c r="I624" s="1414"/>
      <c r="J624" s="1414"/>
      <c r="K624" s="1414"/>
      <c r="L624" s="1414"/>
      <c r="M624" s="1414"/>
      <c r="N624" s="1414"/>
      <c r="O624" s="1414"/>
      <c r="P624" s="1414"/>
      <c r="Q624" s="1414"/>
      <c r="R624" s="1414"/>
      <c r="S624" s="1414"/>
      <c r="T624" s="1414"/>
      <c r="U624" s="1414"/>
      <c r="V624" s="1414"/>
      <c r="W624" s="1414"/>
      <c r="X624" s="1414"/>
      <c r="Y624" s="1414"/>
      <c r="Z624" s="1414"/>
      <c r="AA624" s="1414"/>
      <c r="AB624" s="1414"/>
      <c r="AC624" s="1414"/>
      <c r="AD624" s="1414"/>
      <c r="AE624" s="1414"/>
      <c r="AF624" s="1414"/>
      <c r="AG624" s="1414"/>
      <c r="AH624" s="1414"/>
      <c r="AI624" s="1414"/>
      <c r="AJ624" s="1414"/>
      <c r="AK624" s="1414"/>
      <c r="AL624" s="1414"/>
      <c r="AM624" s="1414"/>
      <c r="AN624" s="1414"/>
      <c r="AO624" s="1414"/>
      <c r="AP624" s="1414"/>
      <c r="AQ624" s="1414"/>
      <c r="AR624" s="1414"/>
      <c r="AS624" s="1414"/>
      <c r="AT624" s="1414"/>
      <c r="AU624" s="1414"/>
      <c r="AV624" s="1414"/>
      <c r="AW624" s="1414"/>
      <c r="AX624" s="1414"/>
      <c r="AY624" s="1399"/>
      <c r="AZ624" s="1399"/>
      <c r="BA624" s="1399"/>
      <c r="BB624" s="1399"/>
      <c r="BC624" s="1399"/>
      <c r="BD624" s="1399"/>
      <c r="BE624" s="1414"/>
      <c r="BF624" s="1399"/>
      <c r="BG624" s="1399"/>
      <c r="BH624" s="1399"/>
      <c r="BI624" s="1399"/>
      <c r="BJ624" s="1399"/>
      <c r="BK624" s="1399"/>
      <c r="BL624" s="1399"/>
      <c r="BM624" s="1399"/>
      <c r="BN624" s="1399"/>
      <c r="BO624" s="1399"/>
      <c r="BP624" s="1399"/>
      <c r="BQ624" s="1399"/>
      <c r="BR624" s="1399"/>
      <c r="BS624" s="1399"/>
      <c r="BT624" s="1399"/>
      <c r="BU624" s="1399"/>
      <c r="BV624" s="1399"/>
      <c r="BW624" s="1399"/>
      <c r="BX624" s="1399"/>
      <c r="BY624" s="1399"/>
      <c r="BZ624" s="1399"/>
      <c r="CA624" s="1399"/>
      <c r="CB624" s="1399"/>
      <c r="CC624" s="1399"/>
      <c r="CD624" s="1399"/>
      <c r="CE624" s="1399"/>
      <c r="CF624" s="1399"/>
      <c r="CG624" s="1399"/>
      <c r="CH624" s="1399"/>
      <c r="CI624" s="1399"/>
      <c r="CJ624" s="1399"/>
      <c r="CK624" s="1399"/>
      <c r="CL624" s="1399"/>
      <c r="CM624" s="1399"/>
      <c r="CN624" s="1399"/>
      <c r="CO624" s="1399"/>
      <c r="CP624" s="1399"/>
      <c r="CQ624" s="1399"/>
      <c r="CR624" s="1399"/>
      <c r="CS624" s="1399"/>
      <c r="CT624" s="1399"/>
      <c r="CU624" s="1399"/>
      <c r="CV624" s="1399"/>
      <c r="CW624" s="1399"/>
      <c r="CX624" s="1399"/>
      <c r="CY624" s="1399"/>
      <c r="CZ624" s="1399"/>
      <c r="DA624" s="1399"/>
      <c r="DB624" s="1399"/>
      <c r="DC624" s="1399"/>
      <c r="DD624" s="1399"/>
      <c r="DE624" s="1399"/>
      <c r="DF624" s="1399"/>
      <c r="DG624" s="1399"/>
      <c r="DH624" s="1399"/>
      <c r="DI624" s="1399"/>
      <c r="DJ624" s="1399"/>
      <c r="DK624" s="1399"/>
      <c r="DL624" s="1399"/>
      <c r="DM624" s="1399"/>
      <c r="DN624" s="1399"/>
      <c r="DO624" s="1399"/>
      <c r="DP624" s="1399"/>
      <c r="DQ624" s="1399"/>
      <c r="DR624" s="1399"/>
      <c r="DS624" s="1399"/>
      <c r="DT624" s="1399"/>
      <c r="DU624" s="1399"/>
    </row>
    <row r="625" spans="1:125">
      <c r="A625" s="1414"/>
      <c r="B625" s="1414"/>
      <c r="C625" s="1414"/>
      <c r="D625" s="1414"/>
      <c r="E625" s="1414"/>
      <c r="F625" s="1414"/>
      <c r="G625" s="1414"/>
      <c r="H625" s="1414"/>
      <c r="I625" s="1414"/>
      <c r="J625" s="1414"/>
      <c r="K625" s="1414"/>
      <c r="L625" s="1414"/>
      <c r="M625" s="1414"/>
      <c r="N625" s="1414"/>
      <c r="O625" s="1414"/>
      <c r="P625" s="1414"/>
      <c r="Q625" s="1414"/>
      <c r="R625" s="1414"/>
      <c r="S625" s="1414"/>
      <c r="T625" s="1414"/>
      <c r="U625" s="1414"/>
      <c r="V625" s="1414"/>
      <c r="W625" s="1414"/>
      <c r="X625" s="1414"/>
      <c r="Y625" s="1414"/>
      <c r="Z625" s="1414"/>
      <c r="AA625" s="1414"/>
      <c r="AB625" s="1414"/>
      <c r="AC625" s="1414"/>
      <c r="AD625" s="1414"/>
      <c r="AE625" s="1414"/>
      <c r="AF625" s="1414"/>
      <c r="AG625" s="1414"/>
      <c r="AH625" s="1414"/>
      <c r="AI625" s="1414"/>
      <c r="AJ625" s="1414"/>
      <c r="AK625" s="1414"/>
      <c r="AL625" s="1414"/>
      <c r="AM625" s="1414"/>
      <c r="AN625" s="1414"/>
      <c r="AO625" s="1414"/>
      <c r="AP625" s="1414"/>
      <c r="AQ625" s="1414"/>
      <c r="AR625" s="1414"/>
      <c r="AS625" s="1414"/>
      <c r="AT625" s="1414"/>
      <c r="AU625" s="1414"/>
      <c r="AV625" s="1414"/>
      <c r="AW625" s="1414"/>
      <c r="AX625" s="1414"/>
      <c r="AY625" s="1399"/>
      <c r="AZ625" s="1399"/>
      <c r="BA625" s="1399"/>
      <c r="BB625" s="1399"/>
      <c r="BC625" s="1399"/>
      <c r="BD625" s="1399"/>
      <c r="BE625" s="1414"/>
      <c r="BF625" s="1399"/>
      <c r="BG625" s="1399"/>
      <c r="BH625" s="1399"/>
      <c r="BI625" s="1399"/>
      <c r="BJ625" s="1399"/>
      <c r="BK625" s="1399"/>
      <c r="BL625" s="1399"/>
      <c r="BM625" s="1399"/>
      <c r="BN625" s="1399"/>
      <c r="BO625" s="1399"/>
      <c r="BP625" s="1399"/>
      <c r="BQ625" s="1399"/>
      <c r="BR625" s="1399"/>
      <c r="BS625" s="1399"/>
      <c r="BT625" s="1399"/>
      <c r="BU625" s="1399"/>
      <c r="BV625" s="1399"/>
      <c r="BW625" s="1399"/>
      <c r="BX625" s="1399"/>
      <c r="BY625" s="1399"/>
      <c r="BZ625" s="1399"/>
      <c r="CA625" s="1399"/>
      <c r="CB625" s="1399"/>
      <c r="CC625" s="1399"/>
      <c r="CD625" s="1399"/>
      <c r="CE625" s="1399"/>
      <c r="CF625" s="1399"/>
      <c r="CG625" s="1399"/>
      <c r="CH625" s="1399"/>
      <c r="CI625" s="1399"/>
      <c r="CJ625" s="1399"/>
      <c r="CK625" s="1399"/>
      <c r="CL625" s="1399"/>
      <c r="CM625" s="1399"/>
      <c r="CN625" s="1399"/>
      <c r="CO625" s="1399"/>
      <c r="CP625" s="1399"/>
      <c r="CQ625" s="1399"/>
      <c r="CR625" s="1399"/>
      <c r="CS625" s="1399"/>
      <c r="CT625" s="1399"/>
      <c r="CU625" s="1399"/>
      <c r="CV625" s="1399"/>
      <c r="CW625" s="1399"/>
      <c r="CX625" s="1399"/>
      <c r="CY625" s="1399"/>
      <c r="CZ625" s="1399"/>
      <c r="DA625" s="1399"/>
      <c r="DB625" s="1399"/>
      <c r="DC625" s="1399"/>
      <c r="DD625" s="1399"/>
      <c r="DE625" s="1399"/>
      <c r="DF625" s="1399"/>
      <c r="DG625" s="1399"/>
      <c r="DH625" s="1399"/>
      <c r="DI625" s="1399"/>
      <c r="DJ625" s="1399"/>
      <c r="DK625" s="1399"/>
      <c r="DL625" s="1399"/>
      <c r="DM625" s="1399"/>
      <c r="DN625" s="1399"/>
      <c r="DO625" s="1399"/>
      <c r="DP625" s="1399"/>
      <c r="DQ625" s="1399"/>
      <c r="DR625" s="1399"/>
      <c r="DS625" s="1399"/>
      <c r="DT625" s="1399"/>
      <c r="DU625" s="1399"/>
    </row>
    <row r="626" spans="1:125">
      <c r="A626" s="1414"/>
      <c r="B626" s="1414"/>
      <c r="C626" s="1414"/>
      <c r="D626" s="1414"/>
      <c r="E626" s="1414"/>
      <c r="F626" s="1414"/>
      <c r="G626" s="1414"/>
      <c r="H626" s="1414"/>
      <c r="I626" s="1414"/>
      <c r="J626" s="1414"/>
      <c r="K626" s="1414"/>
      <c r="L626" s="1414"/>
      <c r="M626" s="1414"/>
      <c r="N626" s="1414"/>
      <c r="O626" s="1414"/>
      <c r="P626" s="1414"/>
      <c r="Q626" s="1414"/>
      <c r="R626" s="1414"/>
      <c r="S626" s="1414"/>
      <c r="T626" s="1414"/>
      <c r="U626" s="1414"/>
      <c r="V626" s="1414"/>
      <c r="W626" s="1414"/>
      <c r="X626" s="1414"/>
      <c r="Y626" s="1414"/>
      <c r="Z626" s="1414"/>
      <c r="AA626" s="1414"/>
      <c r="AB626" s="1414"/>
      <c r="AC626" s="1414"/>
      <c r="AD626" s="1414"/>
      <c r="AE626" s="1414"/>
      <c r="AF626" s="1414"/>
      <c r="AG626" s="1414"/>
      <c r="AH626" s="1414"/>
      <c r="AI626" s="1414"/>
      <c r="AJ626" s="1414"/>
      <c r="AK626" s="1414"/>
      <c r="AL626" s="1414"/>
      <c r="AM626" s="1414"/>
      <c r="AN626" s="1414"/>
      <c r="AO626" s="1414"/>
      <c r="AP626" s="1414"/>
      <c r="AQ626" s="1414"/>
      <c r="AR626" s="1414"/>
      <c r="AS626" s="1414"/>
      <c r="AT626" s="1414"/>
      <c r="AU626" s="1414"/>
      <c r="AV626" s="1414"/>
      <c r="AW626" s="1414"/>
      <c r="AX626" s="1414"/>
      <c r="AY626" s="1399"/>
      <c r="AZ626" s="1399"/>
      <c r="BA626" s="1399"/>
      <c r="BB626" s="1399"/>
      <c r="BC626" s="1399"/>
      <c r="BD626" s="1399"/>
      <c r="BE626" s="1414"/>
      <c r="BF626" s="1399"/>
      <c r="BG626" s="1399"/>
      <c r="BH626" s="1399"/>
      <c r="BI626" s="1399"/>
      <c r="BJ626" s="1399"/>
      <c r="BK626" s="1399"/>
      <c r="BL626" s="1399"/>
      <c r="BM626" s="1399"/>
      <c r="BN626" s="1399"/>
      <c r="BO626" s="1399"/>
      <c r="BP626" s="1399"/>
      <c r="BQ626" s="1399"/>
      <c r="BR626" s="1399"/>
      <c r="BS626" s="1399"/>
      <c r="BT626" s="1399"/>
      <c r="BU626" s="1399"/>
      <c r="BV626" s="1399"/>
      <c r="BW626" s="1399"/>
      <c r="BX626" s="1399"/>
      <c r="BY626" s="1399"/>
      <c r="BZ626" s="1399"/>
      <c r="CA626" s="1399"/>
      <c r="CB626" s="1399"/>
      <c r="CC626" s="1399"/>
      <c r="CD626" s="1399"/>
      <c r="CE626" s="1399"/>
      <c r="CF626" s="1399"/>
      <c r="CG626" s="1399"/>
      <c r="CH626" s="1399"/>
      <c r="CI626" s="1399"/>
      <c r="CJ626" s="1399"/>
      <c r="CK626" s="1399"/>
      <c r="CL626" s="1399"/>
      <c r="CM626" s="1399"/>
      <c r="CN626" s="1399"/>
      <c r="CO626" s="1399"/>
      <c r="CP626" s="1399"/>
      <c r="CQ626" s="1399"/>
      <c r="CR626" s="1399"/>
      <c r="CS626" s="1399"/>
      <c r="CT626" s="1399"/>
      <c r="CU626" s="1399"/>
      <c r="CV626" s="1399"/>
      <c r="CW626" s="1399"/>
      <c r="CX626" s="1399"/>
      <c r="CY626" s="1399"/>
      <c r="CZ626" s="1399"/>
      <c r="DA626" s="1399"/>
      <c r="DB626" s="1399"/>
      <c r="DC626" s="1399"/>
      <c r="DD626" s="1399"/>
      <c r="DE626" s="1399"/>
      <c r="DF626" s="1399"/>
      <c r="DG626" s="1399"/>
      <c r="DH626" s="1399"/>
      <c r="DI626" s="1399"/>
      <c r="DJ626" s="1399"/>
      <c r="DK626" s="1399"/>
      <c r="DL626" s="1399"/>
      <c r="DM626" s="1399"/>
      <c r="DN626" s="1399"/>
      <c r="DO626" s="1399"/>
      <c r="DP626" s="1399"/>
      <c r="DQ626" s="1399"/>
      <c r="DR626" s="1399"/>
      <c r="DS626" s="1399"/>
      <c r="DT626" s="1399"/>
      <c r="DU626" s="1399"/>
    </row>
    <row r="627" spans="1:125">
      <c r="A627" s="1414"/>
      <c r="B627" s="1414"/>
      <c r="C627" s="1414"/>
      <c r="D627" s="1414"/>
      <c r="E627" s="1414"/>
      <c r="F627" s="1414"/>
      <c r="G627" s="1414"/>
      <c r="H627" s="1414"/>
      <c r="I627" s="1414"/>
      <c r="J627" s="1414"/>
      <c r="K627" s="1414"/>
      <c r="L627" s="1414"/>
      <c r="M627" s="1414"/>
      <c r="N627" s="1414"/>
      <c r="O627" s="1414"/>
      <c r="P627" s="1414"/>
      <c r="Q627" s="1414"/>
      <c r="R627" s="1414"/>
      <c r="S627" s="1414"/>
      <c r="T627" s="1414"/>
      <c r="U627" s="1414"/>
      <c r="V627" s="1414"/>
      <c r="W627" s="1414"/>
      <c r="X627" s="1414"/>
      <c r="Y627" s="1414"/>
      <c r="Z627" s="1414"/>
      <c r="AA627" s="1414"/>
      <c r="AB627" s="1414"/>
      <c r="AC627" s="1414"/>
      <c r="AD627" s="1414"/>
      <c r="AE627" s="1414"/>
      <c r="AF627" s="1414"/>
      <c r="AG627" s="1414"/>
      <c r="AH627" s="1414"/>
      <c r="AI627" s="1414"/>
      <c r="AJ627" s="1414"/>
      <c r="AK627" s="1414"/>
      <c r="AL627" s="1414"/>
      <c r="AM627" s="1414"/>
      <c r="AN627" s="1414"/>
      <c r="AO627" s="1414"/>
      <c r="AP627" s="1414"/>
      <c r="AQ627" s="1414"/>
      <c r="AR627" s="1414"/>
      <c r="AS627" s="1414"/>
      <c r="AT627" s="1414"/>
      <c r="AU627" s="1414"/>
      <c r="AV627" s="1414"/>
      <c r="AW627" s="1414"/>
      <c r="AX627" s="1414"/>
      <c r="AY627" s="1399"/>
      <c r="AZ627" s="1399"/>
      <c r="BA627" s="1399"/>
      <c r="BB627" s="1399"/>
      <c r="BC627" s="1399"/>
      <c r="BD627" s="1399"/>
      <c r="BE627" s="1414"/>
      <c r="BF627" s="1399"/>
      <c r="BG627" s="1399"/>
      <c r="BH627" s="1399"/>
      <c r="BI627" s="1399"/>
      <c r="BJ627" s="1399"/>
      <c r="BK627" s="1399"/>
      <c r="BL627" s="1399"/>
      <c r="BM627" s="1399"/>
      <c r="BN627" s="1399"/>
      <c r="BO627" s="1399"/>
      <c r="BP627" s="1399"/>
      <c r="BQ627" s="1399"/>
      <c r="BR627" s="1399"/>
      <c r="BS627" s="1399"/>
      <c r="BT627" s="1399"/>
      <c r="BU627" s="1399"/>
      <c r="BV627" s="1399"/>
      <c r="BW627" s="1399"/>
      <c r="BX627" s="1399"/>
      <c r="BY627" s="1399"/>
      <c r="BZ627" s="1399"/>
      <c r="CA627" s="1399"/>
      <c r="CB627" s="1399"/>
      <c r="CC627" s="1399"/>
      <c r="CD627" s="1399"/>
      <c r="CE627" s="1399"/>
      <c r="CF627" s="1399"/>
      <c r="CG627" s="1399"/>
      <c r="CH627" s="1399"/>
      <c r="CI627" s="1399"/>
      <c r="CJ627" s="1399"/>
      <c r="CK627" s="1399"/>
      <c r="CL627" s="1399"/>
      <c r="CM627" s="1399"/>
      <c r="CN627" s="1399"/>
      <c r="CO627" s="1399"/>
      <c r="CP627" s="1399"/>
      <c r="CQ627" s="1399"/>
      <c r="CR627" s="1399"/>
      <c r="CS627" s="1399"/>
      <c r="CT627" s="1399"/>
      <c r="CU627" s="1399"/>
      <c r="CV627" s="1399"/>
      <c r="CW627" s="1399"/>
      <c r="CX627" s="1399"/>
      <c r="CY627" s="1399"/>
      <c r="CZ627" s="1399"/>
      <c r="DA627" s="1399"/>
      <c r="DB627" s="1399"/>
      <c r="DC627" s="1399"/>
      <c r="DD627" s="1399"/>
      <c r="DE627" s="1399"/>
      <c r="DF627" s="1399"/>
      <c r="DG627" s="1399"/>
      <c r="DH627" s="1399"/>
      <c r="DI627" s="1399"/>
      <c r="DJ627" s="1399"/>
      <c r="DK627" s="1399"/>
      <c r="DL627" s="1399"/>
      <c r="DM627" s="1399"/>
      <c r="DN627" s="1399"/>
      <c r="DO627" s="1399"/>
      <c r="DP627" s="1399"/>
      <c r="DQ627" s="1399"/>
      <c r="DR627" s="1399"/>
      <c r="DS627" s="1399"/>
      <c r="DT627" s="1399"/>
      <c r="DU627" s="1399"/>
    </row>
    <row r="628" spans="1:125">
      <c r="A628" s="1414"/>
      <c r="B628" s="1414"/>
      <c r="C628" s="1414"/>
      <c r="D628" s="1414"/>
      <c r="E628" s="1414"/>
      <c r="F628" s="1414"/>
      <c r="G628" s="1414"/>
      <c r="H628" s="1414"/>
      <c r="I628" s="1414"/>
      <c r="J628" s="1414"/>
      <c r="K628" s="1414"/>
      <c r="L628" s="1414"/>
      <c r="M628" s="1414"/>
      <c r="N628" s="1414"/>
      <c r="O628" s="1414"/>
      <c r="P628" s="1414"/>
      <c r="Q628" s="1414"/>
      <c r="R628" s="1414"/>
      <c r="S628" s="1414"/>
      <c r="T628" s="1414"/>
      <c r="U628" s="1414"/>
      <c r="V628" s="1414"/>
      <c r="W628" s="1414"/>
      <c r="X628" s="1414"/>
      <c r="Y628" s="1414"/>
      <c r="Z628" s="1414"/>
      <c r="AA628" s="1414"/>
      <c r="AB628" s="1414"/>
      <c r="AC628" s="1414"/>
      <c r="AD628" s="1414"/>
      <c r="AE628" s="1414"/>
      <c r="AF628" s="1414"/>
      <c r="AG628" s="1414"/>
      <c r="AH628" s="1414"/>
      <c r="AI628" s="1414"/>
      <c r="AJ628" s="1414"/>
      <c r="AK628" s="1414"/>
      <c r="AL628" s="1414"/>
      <c r="AM628" s="1414"/>
      <c r="AN628" s="1414"/>
      <c r="AO628" s="1414"/>
      <c r="AP628" s="1414"/>
      <c r="AQ628" s="1414"/>
      <c r="AR628" s="1414"/>
      <c r="AS628" s="1414"/>
      <c r="AT628" s="1414"/>
      <c r="AU628" s="1414"/>
      <c r="AV628" s="1414"/>
      <c r="AW628" s="1414"/>
      <c r="AX628" s="1414"/>
      <c r="AY628" s="1399"/>
      <c r="AZ628" s="1399"/>
      <c r="BA628" s="1399"/>
      <c r="BB628" s="1399"/>
      <c r="BC628" s="1399"/>
      <c r="BD628" s="1399"/>
      <c r="BE628" s="1414"/>
      <c r="BF628" s="1399"/>
      <c r="BG628" s="1399"/>
      <c r="BH628" s="1399"/>
      <c r="BI628" s="1399"/>
      <c r="BJ628" s="1399"/>
      <c r="BK628" s="1399"/>
      <c r="BL628" s="1399"/>
      <c r="BM628" s="1399"/>
      <c r="BN628" s="1399"/>
      <c r="BO628" s="1399"/>
      <c r="BP628" s="1399"/>
      <c r="BQ628" s="1399"/>
      <c r="BR628" s="1399"/>
      <c r="BS628" s="1399"/>
      <c r="BT628" s="1399"/>
      <c r="BU628" s="1399"/>
      <c r="BV628" s="1399"/>
      <c r="BW628" s="1399"/>
      <c r="BX628" s="1399"/>
      <c r="BY628" s="1399"/>
      <c r="BZ628" s="1399"/>
      <c r="CA628" s="1399"/>
      <c r="CB628" s="1399"/>
      <c r="CC628" s="1399"/>
      <c r="CD628" s="1399"/>
      <c r="CE628" s="1399"/>
      <c r="CF628" s="1399"/>
      <c r="CG628" s="1399"/>
      <c r="CH628" s="1399"/>
      <c r="CI628" s="1399"/>
      <c r="CJ628" s="1399"/>
      <c r="CK628" s="1399"/>
      <c r="CL628" s="1399"/>
      <c r="CM628" s="1399"/>
      <c r="CN628" s="1399"/>
      <c r="CO628" s="1399"/>
      <c r="CP628" s="1399"/>
      <c r="CQ628" s="1399"/>
      <c r="CR628" s="1399"/>
      <c r="CS628" s="1399"/>
      <c r="CT628" s="1399"/>
      <c r="CU628" s="1399"/>
      <c r="CV628" s="1399"/>
      <c r="CW628" s="1399"/>
      <c r="CX628" s="1399"/>
      <c r="CY628" s="1399"/>
      <c r="CZ628" s="1399"/>
      <c r="DA628" s="1399"/>
      <c r="DB628" s="1399"/>
      <c r="DC628" s="1399"/>
      <c r="DD628" s="1399"/>
      <c r="DE628" s="1399"/>
      <c r="DF628" s="1399"/>
      <c r="DG628" s="1399"/>
      <c r="DH628" s="1399"/>
      <c r="DI628" s="1399"/>
      <c r="DJ628" s="1399"/>
      <c r="DK628" s="1399"/>
      <c r="DL628" s="1399"/>
      <c r="DM628" s="1399"/>
      <c r="DN628" s="1399"/>
      <c r="DO628" s="1399"/>
      <c r="DP628" s="1399"/>
      <c r="DQ628" s="1399"/>
      <c r="DR628" s="1399"/>
      <c r="DS628" s="1399"/>
      <c r="DT628" s="1399"/>
      <c r="DU628" s="1399"/>
    </row>
    <row r="629" spans="1:125">
      <c r="A629" s="1414"/>
      <c r="B629" s="1414"/>
      <c r="C629" s="1414"/>
      <c r="D629" s="1414"/>
      <c r="E629" s="1414"/>
      <c r="F629" s="1414"/>
      <c r="G629" s="1414"/>
      <c r="H629" s="1414"/>
      <c r="I629" s="1414"/>
      <c r="J629" s="1414"/>
      <c r="K629" s="1414"/>
      <c r="L629" s="1414"/>
      <c r="M629" s="1414"/>
      <c r="N629" s="1414"/>
      <c r="O629" s="1414"/>
      <c r="P629" s="1414"/>
      <c r="Q629" s="1414"/>
      <c r="R629" s="1414"/>
      <c r="S629" s="1414"/>
      <c r="T629" s="1414"/>
      <c r="U629" s="1414"/>
      <c r="V629" s="1414"/>
      <c r="W629" s="1414"/>
      <c r="X629" s="1414"/>
      <c r="Y629" s="1414"/>
      <c r="Z629" s="1414"/>
      <c r="AA629" s="1414"/>
      <c r="AB629" s="1414"/>
      <c r="AC629" s="1414"/>
      <c r="AD629" s="1414"/>
      <c r="AE629" s="1414"/>
      <c r="AF629" s="1414"/>
      <c r="AG629" s="1414"/>
      <c r="AH629" s="1414"/>
      <c r="AI629" s="1414"/>
      <c r="AJ629" s="1414"/>
      <c r="AK629" s="1414"/>
      <c r="AL629" s="1414"/>
      <c r="AM629" s="1414"/>
      <c r="AN629" s="1414"/>
      <c r="AO629" s="1414"/>
      <c r="AP629" s="1414"/>
      <c r="AQ629" s="1414"/>
      <c r="AR629" s="1414"/>
      <c r="AS629" s="1414"/>
      <c r="AT629" s="1414"/>
      <c r="AU629" s="1414"/>
      <c r="AV629" s="1414"/>
      <c r="AW629" s="1414"/>
      <c r="AX629" s="1414"/>
      <c r="AY629" s="1399"/>
      <c r="AZ629" s="1399"/>
      <c r="BA629" s="1399"/>
      <c r="BB629" s="1399"/>
      <c r="BC629" s="1399"/>
      <c r="BD629" s="1399"/>
      <c r="BE629" s="1414"/>
      <c r="BF629" s="1399"/>
      <c r="BG629" s="1399"/>
      <c r="BH629" s="1399"/>
      <c r="BI629" s="1399"/>
      <c r="BJ629" s="1399"/>
      <c r="BK629" s="1399"/>
      <c r="BL629" s="1399"/>
      <c r="BM629" s="1399"/>
      <c r="BN629" s="1399"/>
      <c r="BO629" s="1399"/>
      <c r="BP629" s="1399"/>
      <c r="BQ629" s="1399"/>
      <c r="BR629" s="1399"/>
      <c r="BS629" s="1399"/>
      <c r="BT629" s="1399"/>
      <c r="BU629" s="1399"/>
      <c r="BV629" s="1399"/>
      <c r="BW629" s="1399"/>
      <c r="BX629" s="1399"/>
      <c r="BY629" s="1399"/>
      <c r="BZ629" s="1399"/>
      <c r="CA629" s="1399"/>
      <c r="CB629" s="1399"/>
      <c r="CC629" s="1399"/>
      <c r="CD629" s="1399"/>
      <c r="CE629" s="1399"/>
      <c r="CF629" s="1399"/>
      <c r="CG629" s="1399"/>
      <c r="CH629" s="1399"/>
      <c r="CI629" s="1399"/>
      <c r="CJ629" s="1399"/>
      <c r="CK629" s="1399"/>
      <c r="CL629" s="1399"/>
      <c r="CM629" s="1399"/>
      <c r="CN629" s="1399"/>
      <c r="CO629" s="1399"/>
      <c r="CP629" s="1399"/>
      <c r="CQ629" s="1399"/>
      <c r="CR629" s="1399"/>
      <c r="CS629" s="1399"/>
      <c r="CT629" s="1399"/>
      <c r="CU629" s="1399"/>
      <c r="CV629" s="1399"/>
      <c r="CW629" s="1399"/>
      <c r="CX629" s="1399"/>
      <c r="CY629" s="1399"/>
      <c r="CZ629" s="1399"/>
      <c r="DA629" s="1399"/>
      <c r="DB629" s="1399"/>
      <c r="DC629" s="1399"/>
      <c r="DD629" s="1399"/>
      <c r="DE629" s="1399"/>
      <c r="DF629" s="1399"/>
      <c r="DG629" s="1399"/>
      <c r="DH629" s="1399"/>
      <c r="DI629" s="1399"/>
      <c r="DJ629" s="1399"/>
      <c r="DK629" s="1399"/>
      <c r="DL629" s="1399"/>
      <c r="DM629" s="1399"/>
      <c r="DN629" s="1399"/>
      <c r="DO629" s="1399"/>
      <c r="DP629" s="1399"/>
      <c r="DQ629" s="1399"/>
      <c r="DR629" s="1399"/>
      <c r="DS629" s="1399"/>
      <c r="DT629" s="1399"/>
      <c r="DU629" s="1399"/>
    </row>
    <row r="630" spans="1:125">
      <c r="A630" s="1414"/>
      <c r="B630" s="1414"/>
      <c r="C630" s="1414"/>
      <c r="D630" s="1414"/>
      <c r="E630" s="1414"/>
      <c r="F630" s="1414"/>
      <c r="G630" s="1414"/>
      <c r="H630" s="1414"/>
      <c r="I630" s="1414"/>
      <c r="J630" s="1414"/>
      <c r="K630" s="1414"/>
      <c r="L630" s="1414"/>
      <c r="M630" s="1414"/>
      <c r="N630" s="1414"/>
      <c r="O630" s="1414"/>
      <c r="P630" s="1414"/>
      <c r="Q630" s="1414"/>
      <c r="R630" s="1414"/>
      <c r="S630" s="1414"/>
      <c r="T630" s="1414"/>
      <c r="U630" s="1414"/>
      <c r="V630" s="1414"/>
      <c r="W630" s="1414"/>
      <c r="X630" s="1414"/>
      <c r="Y630" s="1414"/>
      <c r="Z630" s="1414"/>
      <c r="AA630" s="1414"/>
      <c r="AB630" s="1414"/>
      <c r="AC630" s="1414"/>
      <c r="AD630" s="1414"/>
      <c r="AE630" s="1414"/>
      <c r="AF630" s="1414"/>
      <c r="AG630" s="1414"/>
      <c r="AH630" s="1414"/>
      <c r="AI630" s="1414"/>
      <c r="AJ630" s="1414"/>
      <c r="AK630" s="1414"/>
      <c r="AL630" s="1414"/>
      <c r="AM630" s="1414"/>
      <c r="AN630" s="1414"/>
      <c r="AO630" s="1414"/>
      <c r="AP630" s="1414"/>
      <c r="AQ630" s="1414"/>
      <c r="AR630" s="1414"/>
      <c r="AS630" s="1414"/>
      <c r="AT630" s="1414"/>
      <c r="AU630" s="1414"/>
      <c r="AV630" s="1414"/>
      <c r="AW630" s="1414"/>
      <c r="AX630" s="1414"/>
      <c r="AY630" s="1399"/>
      <c r="AZ630" s="1399"/>
      <c r="BA630" s="1399"/>
      <c r="BB630" s="1399"/>
      <c r="BC630" s="1399"/>
      <c r="BD630" s="1399"/>
      <c r="BE630" s="1414"/>
      <c r="BF630" s="1399"/>
      <c r="BG630" s="1399"/>
      <c r="BH630" s="1399"/>
      <c r="BI630" s="1399"/>
      <c r="BJ630" s="1399"/>
      <c r="BK630" s="1399"/>
      <c r="BL630" s="1399"/>
      <c r="BM630" s="1399"/>
      <c r="BN630" s="1399"/>
      <c r="BO630" s="1399"/>
      <c r="BP630" s="1399"/>
      <c r="BQ630" s="1399"/>
      <c r="BR630" s="1399"/>
      <c r="BS630" s="1399"/>
      <c r="BT630" s="1399"/>
      <c r="BU630" s="1399"/>
      <c r="BV630" s="1399"/>
      <c r="BW630" s="1399"/>
      <c r="BX630" s="1399"/>
      <c r="BY630" s="1399"/>
      <c r="BZ630" s="1399"/>
      <c r="CA630" s="1399"/>
      <c r="CB630" s="1399"/>
      <c r="CC630" s="1399"/>
      <c r="CD630" s="1399"/>
      <c r="CE630" s="1399"/>
      <c r="CF630" s="1399"/>
      <c r="CG630" s="1399"/>
      <c r="CH630" s="1399"/>
      <c r="CI630" s="1399"/>
      <c r="CJ630" s="1399"/>
      <c r="CK630" s="1399"/>
      <c r="CL630" s="1399"/>
      <c r="CM630" s="1399"/>
      <c r="CN630" s="1399"/>
      <c r="CO630" s="1399"/>
      <c r="CP630" s="1399"/>
      <c r="CQ630" s="1399"/>
      <c r="CR630" s="1399"/>
      <c r="CS630" s="1399"/>
      <c r="CT630" s="1399"/>
      <c r="CU630" s="1399"/>
      <c r="CV630" s="1399"/>
      <c r="CW630" s="1399"/>
      <c r="CX630" s="1399"/>
      <c r="CY630" s="1399"/>
      <c r="CZ630" s="1399"/>
      <c r="DA630" s="1399"/>
      <c r="DB630" s="1399"/>
      <c r="DC630" s="1399"/>
      <c r="DD630" s="1399"/>
      <c r="DE630" s="1399"/>
      <c r="DF630" s="1399"/>
      <c r="DG630" s="1399"/>
      <c r="DH630" s="1399"/>
      <c r="DI630" s="1399"/>
      <c r="DJ630" s="1399"/>
      <c r="DK630" s="1399"/>
      <c r="DL630" s="1399"/>
      <c r="DM630" s="1399"/>
      <c r="DN630" s="1399"/>
      <c r="DO630" s="1399"/>
      <c r="DP630" s="1399"/>
      <c r="DQ630" s="1399"/>
      <c r="DR630" s="1399"/>
      <c r="DS630" s="1399"/>
      <c r="DT630" s="1399"/>
      <c r="DU630" s="1399"/>
    </row>
    <row r="631" spans="1:125">
      <c r="A631" s="1414"/>
      <c r="B631" s="1414"/>
      <c r="C631" s="1414"/>
      <c r="D631" s="1414"/>
      <c r="E631" s="1414"/>
      <c r="F631" s="1414"/>
      <c r="G631" s="1414"/>
      <c r="H631" s="1414"/>
      <c r="I631" s="1414"/>
      <c r="J631" s="1414"/>
      <c r="K631" s="1414"/>
      <c r="L631" s="1414"/>
      <c r="M631" s="1414"/>
      <c r="N631" s="1414"/>
      <c r="O631" s="1414"/>
      <c r="P631" s="1414"/>
      <c r="Q631" s="1414"/>
      <c r="R631" s="1414"/>
      <c r="S631" s="1414"/>
      <c r="T631" s="1414"/>
      <c r="U631" s="1414"/>
      <c r="V631" s="1414"/>
      <c r="W631" s="1414"/>
      <c r="X631" s="1414"/>
      <c r="Y631" s="1414"/>
      <c r="Z631" s="1414"/>
      <c r="AA631" s="1414"/>
      <c r="AB631" s="1414"/>
      <c r="AC631" s="1414"/>
      <c r="AD631" s="1414"/>
      <c r="AE631" s="1414"/>
      <c r="AF631" s="1414"/>
      <c r="AG631" s="1414"/>
      <c r="AH631" s="1414"/>
      <c r="AI631" s="1414"/>
      <c r="AJ631" s="1414"/>
      <c r="AK631" s="1414"/>
      <c r="AL631" s="1414"/>
      <c r="AM631" s="1414"/>
      <c r="AN631" s="1414"/>
      <c r="AO631" s="1414"/>
      <c r="AP631" s="1414"/>
      <c r="AQ631" s="1414"/>
      <c r="AR631" s="1414"/>
      <c r="AS631" s="1414"/>
      <c r="AT631" s="1414"/>
      <c r="AU631" s="1414"/>
      <c r="AV631" s="1414"/>
      <c r="AW631" s="1414"/>
      <c r="AX631" s="1414"/>
      <c r="AY631" s="1399"/>
      <c r="AZ631" s="1399"/>
      <c r="BA631" s="1399"/>
      <c r="BB631" s="1399"/>
      <c r="BC631" s="1399"/>
      <c r="BD631" s="1399"/>
      <c r="BE631" s="1414"/>
      <c r="BF631" s="1399"/>
      <c r="BG631" s="1399"/>
      <c r="BH631" s="1399"/>
      <c r="BI631" s="1399"/>
      <c r="BJ631" s="1399"/>
      <c r="BK631" s="1399"/>
      <c r="BL631" s="1399"/>
      <c r="BM631" s="1399"/>
      <c r="BN631" s="1399"/>
      <c r="BO631" s="1399"/>
      <c r="BP631" s="1399"/>
      <c r="BQ631" s="1399"/>
      <c r="BR631" s="1399"/>
      <c r="BS631" s="1399"/>
      <c r="BT631" s="1399"/>
      <c r="BU631" s="1399"/>
      <c r="BV631" s="1399"/>
      <c r="BW631" s="1399"/>
      <c r="BX631" s="1399"/>
      <c r="BY631" s="1399"/>
      <c r="BZ631" s="1399"/>
      <c r="CA631" s="1399"/>
      <c r="CB631" s="1399"/>
      <c r="CC631" s="1399"/>
      <c r="CD631" s="1399"/>
      <c r="CE631" s="1399"/>
      <c r="CF631" s="1399"/>
      <c r="CG631" s="1399"/>
      <c r="CH631" s="1399"/>
      <c r="CI631" s="1399"/>
      <c r="CJ631" s="1399"/>
      <c r="CK631" s="1399"/>
      <c r="CL631" s="1399"/>
      <c r="CM631" s="1399"/>
      <c r="CN631" s="1399"/>
      <c r="CO631" s="1399"/>
      <c r="CP631" s="1399"/>
      <c r="CQ631" s="1399"/>
      <c r="CR631" s="1399"/>
      <c r="CS631" s="1399"/>
      <c r="CT631" s="1399"/>
      <c r="CU631" s="1399"/>
      <c r="CV631" s="1399"/>
      <c r="CW631" s="1399"/>
      <c r="CX631" s="1399"/>
      <c r="CY631" s="1399"/>
      <c r="CZ631" s="1399"/>
      <c r="DA631" s="1399"/>
      <c r="DB631" s="1399"/>
      <c r="DC631" s="1399"/>
      <c r="DD631" s="1399"/>
      <c r="DE631" s="1399"/>
      <c r="DF631" s="1399"/>
      <c r="DG631" s="1399"/>
      <c r="DH631" s="1399"/>
      <c r="DI631" s="1399"/>
      <c r="DJ631" s="1399"/>
      <c r="DK631" s="1399"/>
      <c r="DL631" s="1399"/>
      <c r="DM631" s="1399"/>
      <c r="DN631" s="1399"/>
      <c r="DO631" s="1399"/>
      <c r="DP631" s="1399"/>
      <c r="DQ631" s="1399"/>
      <c r="DR631" s="1399"/>
      <c r="DS631" s="1399"/>
      <c r="DT631" s="1399"/>
      <c r="DU631" s="1399"/>
    </row>
    <row r="632" spans="1:125">
      <c r="A632" s="1414"/>
      <c r="B632" s="1414"/>
      <c r="C632" s="1414"/>
      <c r="D632" s="1414"/>
      <c r="E632" s="1414"/>
      <c r="F632" s="1414"/>
      <c r="G632" s="1414"/>
      <c r="H632" s="1414"/>
      <c r="I632" s="1414"/>
      <c r="J632" s="1414"/>
      <c r="K632" s="1414"/>
      <c r="L632" s="1414"/>
      <c r="M632" s="1414"/>
      <c r="N632" s="1414"/>
      <c r="O632" s="1414"/>
      <c r="P632" s="1414"/>
      <c r="Q632" s="1414"/>
      <c r="R632" s="1414"/>
      <c r="S632" s="1414"/>
      <c r="T632" s="1414"/>
      <c r="U632" s="1414"/>
      <c r="V632" s="1414"/>
      <c r="W632" s="1414"/>
      <c r="X632" s="1414"/>
      <c r="Y632" s="1414"/>
      <c r="Z632" s="1414"/>
      <c r="AA632" s="1414"/>
      <c r="AB632" s="1414"/>
      <c r="AC632" s="1414"/>
      <c r="AD632" s="1414"/>
      <c r="AE632" s="1414"/>
      <c r="AF632" s="1414"/>
      <c r="AG632" s="1414"/>
      <c r="AH632" s="1414"/>
      <c r="AI632" s="1414"/>
      <c r="AJ632" s="1414"/>
      <c r="AK632" s="1414"/>
      <c r="AL632" s="1414"/>
      <c r="AM632" s="1414"/>
      <c r="AN632" s="1414"/>
      <c r="AO632" s="1414"/>
      <c r="AP632" s="1414"/>
      <c r="AQ632" s="1414"/>
      <c r="AR632" s="1414"/>
      <c r="AS632" s="1414"/>
      <c r="AT632" s="1414"/>
      <c r="AU632" s="1414"/>
      <c r="AV632" s="1414"/>
      <c r="AW632" s="1414"/>
      <c r="AX632" s="1414"/>
      <c r="AY632" s="1399"/>
      <c r="AZ632" s="1399"/>
      <c r="BA632" s="1399"/>
      <c r="BB632" s="1399"/>
      <c r="BC632" s="1399"/>
      <c r="BD632" s="1399"/>
      <c r="BE632" s="1414"/>
      <c r="BF632" s="1399"/>
      <c r="BG632" s="1399"/>
      <c r="BH632" s="1399"/>
      <c r="BI632" s="1399"/>
      <c r="BJ632" s="1399"/>
      <c r="BK632" s="1399"/>
      <c r="BL632" s="1399"/>
      <c r="BM632" s="1399"/>
      <c r="BN632" s="1399"/>
      <c r="BO632" s="1399"/>
      <c r="BP632" s="1399"/>
      <c r="BQ632" s="1399"/>
      <c r="BR632" s="1399"/>
      <c r="BS632" s="1399"/>
      <c r="BT632" s="1399"/>
      <c r="BU632" s="1399"/>
      <c r="BV632" s="1399"/>
      <c r="BW632" s="1399"/>
      <c r="BX632" s="1399"/>
      <c r="BY632" s="1399"/>
      <c r="BZ632" s="1399"/>
      <c r="CA632" s="1399"/>
      <c r="CB632" s="1399"/>
      <c r="CC632" s="1399"/>
      <c r="CD632" s="1399"/>
      <c r="CE632" s="1399"/>
      <c r="CF632" s="1399"/>
      <c r="CG632" s="1399"/>
      <c r="CH632" s="1399"/>
      <c r="CI632" s="1399"/>
      <c r="CJ632" s="1399"/>
      <c r="CK632" s="1399"/>
      <c r="CL632" s="1399"/>
      <c r="CM632" s="1399"/>
      <c r="CN632" s="1399"/>
      <c r="CO632" s="1399"/>
      <c r="CP632" s="1399"/>
      <c r="CQ632" s="1399"/>
      <c r="CR632" s="1399"/>
      <c r="CS632" s="1399"/>
      <c r="CT632" s="1399"/>
      <c r="CU632" s="1399"/>
      <c r="CV632" s="1399"/>
      <c r="CW632" s="1399"/>
      <c r="CX632" s="1399"/>
      <c r="CY632" s="1399"/>
      <c r="CZ632" s="1399"/>
      <c r="DA632" s="1399"/>
      <c r="DB632" s="1399"/>
      <c r="DC632" s="1399"/>
      <c r="DD632" s="1399"/>
      <c r="DE632" s="1399"/>
      <c r="DF632" s="1399"/>
      <c r="DG632" s="1399"/>
      <c r="DH632" s="1399"/>
      <c r="DI632" s="1399"/>
      <c r="DJ632" s="1399"/>
      <c r="DK632" s="1399"/>
      <c r="DL632" s="1399"/>
      <c r="DM632" s="1399"/>
      <c r="DN632" s="1399"/>
      <c r="DO632" s="1399"/>
      <c r="DP632" s="1399"/>
      <c r="DQ632" s="1399"/>
      <c r="DR632" s="1399"/>
      <c r="DS632" s="1399"/>
      <c r="DT632" s="1399"/>
      <c r="DU632" s="1399"/>
    </row>
    <row r="633" spans="1:125">
      <c r="A633" s="1414"/>
      <c r="B633" s="1414"/>
      <c r="C633" s="1414"/>
      <c r="D633" s="1414"/>
      <c r="E633" s="1414"/>
      <c r="F633" s="1414"/>
      <c r="G633" s="1414"/>
      <c r="H633" s="1414"/>
      <c r="I633" s="1414"/>
      <c r="J633" s="1414"/>
      <c r="K633" s="1414"/>
      <c r="L633" s="1414"/>
      <c r="M633" s="1414"/>
      <c r="N633" s="1414"/>
      <c r="O633" s="1414"/>
      <c r="P633" s="1414"/>
      <c r="Q633" s="1414"/>
      <c r="R633" s="1414"/>
      <c r="S633" s="1414"/>
      <c r="T633" s="1414"/>
      <c r="U633" s="1414"/>
      <c r="V633" s="1414"/>
      <c r="W633" s="1414"/>
      <c r="X633" s="1414"/>
      <c r="Y633" s="1414"/>
      <c r="Z633" s="1414"/>
      <c r="AA633" s="1414"/>
      <c r="AB633" s="1414"/>
      <c r="AC633" s="1414"/>
      <c r="AD633" s="1414"/>
      <c r="AE633" s="1414"/>
      <c r="AF633" s="1414"/>
      <c r="AG633" s="1414"/>
      <c r="AH633" s="1414"/>
      <c r="AI633" s="1414"/>
      <c r="AJ633" s="1414"/>
      <c r="AK633" s="1414"/>
      <c r="AL633" s="1414"/>
      <c r="AM633" s="1414"/>
      <c r="AN633" s="1414"/>
      <c r="AO633" s="1414"/>
      <c r="AP633" s="1414"/>
      <c r="AQ633" s="1414"/>
      <c r="AR633" s="1414"/>
      <c r="AS633" s="1414"/>
      <c r="AT633" s="1414"/>
      <c r="AU633" s="1414"/>
      <c r="AV633" s="1414"/>
      <c r="AW633" s="1414"/>
      <c r="AX633" s="1414"/>
      <c r="AY633" s="1399"/>
      <c r="AZ633" s="1399"/>
      <c r="BA633" s="1399"/>
      <c r="BB633" s="1399"/>
      <c r="BC633" s="1399"/>
      <c r="BD633" s="1399"/>
      <c r="BE633" s="1414"/>
      <c r="BF633" s="1399"/>
      <c r="BG633" s="1399"/>
      <c r="BH633" s="1399"/>
      <c r="BI633" s="1399"/>
      <c r="BJ633" s="1399"/>
      <c r="BK633" s="1399"/>
      <c r="BL633" s="1399"/>
      <c r="BM633" s="1399"/>
      <c r="BN633" s="1399"/>
      <c r="BO633" s="1399"/>
      <c r="BP633" s="1399"/>
      <c r="BQ633" s="1399"/>
      <c r="BR633" s="1399"/>
      <c r="BS633" s="1399"/>
      <c r="BT633" s="1399"/>
      <c r="BU633" s="1399"/>
      <c r="BV633" s="1399"/>
      <c r="BW633" s="1399"/>
      <c r="BX633" s="1399"/>
      <c r="BY633" s="1399"/>
      <c r="BZ633" s="1399"/>
      <c r="CA633" s="1399"/>
      <c r="CB633" s="1399"/>
      <c r="CC633" s="1399"/>
      <c r="CD633" s="1399"/>
      <c r="CE633" s="1399"/>
      <c r="CF633" s="1399"/>
      <c r="CG633" s="1399"/>
      <c r="CH633" s="1399"/>
      <c r="CI633" s="1399"/>
      <c r="CJ633" s="1399"/>
      <c r="CK633" s="1399"/>
      <c r="CL633" s="1399"/>
      <c r="CM633" s="1399"/>
      <c r="CN633" s="1399"/>
      <c r="CO633" s="1399"/>
      <c r="CP633" s="1399"/>
      <c r="CQ633" s="1399"/>
      <c r="CR633" s="1399"/>
      <c r="CS633" s="1399"/>
      <c r="CT633" s="1399"/>
      <c r="CU633" s="1399"/>
      <c r="CV633" s="1399"/>
      <c r="CW633" s="1399"/>
      <c r="CX633" s="1399"/>
      <c r="CY633" s="1399"/>
      <c r="CZ633" s="1399"/>
      <c r="DA633" s="1399"/>
      <c r="DB633" s="1399"/>
      <c r="DC633" s="1399"/>
      <c r="DD633" s="1399"/>
      <c r="DE633" s="1399"/>
      <c r="DF633" s="1399"/>
      <c r="DG633" s="1399"/>
      <c r="DH633" s="1399"/>
      <c r="DI633" s="1399"/>
      <c r="DJ633" s="1399"/>
      <c r="DK633" s="1399"/>
      <c r="DL633" s="1399"/>
      <c r="DM633" s="1399"/>
      <c r="DN633" s="1399"/>
      <c r="DO633" s="1399"/>
      <c r="DP633" s="1399"/>
      <c r="DQ633" s="1399"/>
      <c r="DR633" s="1399"/>
      <c r="DS633" s="1399"/>
      <c r="DT633" s="1399"/>
      <c r="DU633" s="1399"/>
    </row>
    <row r="634" spans="1:125">
      <c r="A634" s="1414"/>
      <c r="B634" s="1414"/>
      <c r="C634" s="1414"/>
      <c r="D634" s="1414"/>
      <c r="E634" s="1414"/>
      <c r="F634" s="1414"/>
      <c r="G634" s="1414"/>
      <c r="H634" s="1414"/>
      <c r="I634" s="1414"/>
      <c r="J634" s="1414"/>
      <c r="K634" s="1414"/>
      <c r="L634" s="1414"/>
      <c r="M634" s="1414"/>
      <c r="N634" s="1414"/>
      <c r="O634" s="1414"/>
      <c r="P634" s="1414"/>
      <c r="Q634" s="1414"/>
      <c r="R634" s="1414"/>
      <c r="S634" s="1414"/>
      <c r="T634" s="1414"/>
      <c r="U634" s="1414"/>
      <c r="V634" s="1414"/>
      <c r="W634" s="1414"/>
      <c r="X634" s="1414"/>
      <c r="Y634" s="1414"/>
      <c r="Z634" s="1414"/>
      <c r="AA634" s="1414"/>
      <c r="AB634" s="1414"/>
      <c r="AC634" s="1414"/>
      <c r="AD634" s="1414"/>
      <c r="AE634" s="1414"/>
      <c r="AF634" s="1414"/>
      <c r="AG634" s="1414"/>
      <c r="AH634" s="1414"/>
      <c r="AI634" s="1414"/>
      <c r="AJ634" s="1414"/>
      <c r="AK634" s="1414"/>
      <c r="AL634" s="1414"/>
      <c r="AM634" s="1414"/>
      <c r="AN634" s="1414"/>
      <c r="AO634" s="1414"/>
      <c r="AP634" s="1414"/>
      <c r="AQ634" s="1414"/>
      <c r="AR634" s="1414"/>
      <c r="AS634" s="1414"/>
      <c r="AT634" s="1414"/>
      <c r="AU634" s="1414"/>
      <c r="AV634" s="1414"/>
      <c r="AW634" s="1414"/>
      <c r="AX634" s="1414"/>
      <c r="AY634" s="1399"/>
      <c r="AZ634" s="1399"/>
      <c r="BA634" s="1399"/>
      <c r="BB634" s="1399"/>
      <c r="BC634" s="1399"/>
      <c r="BD634" s="1399"/>
      <c r="BE634" s="1414"/>
      <c r="BF634" s="1399"/>
      <c r="BG634" s="1399"/>
      <c r="BH634" s="1399"/>
      <c r="BI634" s="1399"/>
      <c r="BJ634" s="1399"/>
      <c r="BK634" s="1399"/>
      <c r="BL634" s="1399"/>
      <c r="BM634" s="1399"/>
      <c r="BN634" s="1399"/>
      <c r="BO634" s="1399"/>
      <c r="BP634" s="1399"/>
      <c r="BQ634" s="1399"/>
      <c r="BR634" s="1399"/>
      <c r="BS634" s="1399"/>
      <c r="BT634" s="1399"/>
      <c r="BU634" s="1399"/>
      <c r="BV634" s="1399"/>
      <c r="BW634" s="1399"/>
      <c r="BX634" s="1399"/>
      <c r="BY634" s="1399"/>
      <c r="BZ634" s="1399"/>
      <c r="CA634" s="1399"/>
      <c r="CB634" s="1399"/>
      <c r="CC634" s="1399"/>
      <c r="CD634" s="1399"/>
      <c r="CE634" s="1399"/>
      <c r="CF634" s="1399"/>
      <c r="CG634" s="1399"/>
      <c r="CH634" s="1399"/>
      <c r="CI634" s="1399"/>
      <c r="CJ634" s="1399"/>
      <c r="CK634" s="1399"/>
      <c r="CL634" s="1399"/>
      <c r="CM634" s="1399"/>
      <c r="CN634" s="1399"/>
      <c r="CO634" s="1399"/>
      <c r="CP634" s="1399"/>
      <c r="CQ634" s="1399"/>
      <c r="CR634" s="1399"/>
      <c r="CS634" s="1399"/>
      <c r="CT634" s="1399"/>
      <c r="CU634" s="1399"/>
      <c r="CV634" s="1399"/>
      <c r="CW634" s="1399"/>
      <c r="CX634" s="1399"/>
      <c r="CY634" s="1399"/>
      <c r="CZ634" s="1399"/>
      <c r="DA634" s="1399"/>
      <c r="DB634" s="1399"/>
      <c r="DC634" s="1399"/>
      <c r="DD634" s="1399"/>
      <c r="DE634" s="1399"/>
      <c r="DF634" s="1399"/>
      <c r="DG634" s="1399"/>
      <c r="DH634" s="1399"/>
      <c r="DI634" s="1399"/>
      <c r="DJ634" s="1399"/>
      <c r="DK634" s="1399"/>
      <c r="DL634" s="1399"/>
      <c r="DM634" s="1399"/>
      <c r="DN634" s="1399"/>
      <c r="DO634" s="1399"/>
      <c r="DP634" s="1399"/>
      <c r="DQ634" s="1399"/>
      <c r="DR634" s="1399"/>
      <c r="DS634" s="1399"/>
      <c r="DT634" s="1399"/>
      <c r="DU634" s="1399"/>
    </row>
    <row r="635" spans="1:125">
      <c r="A635" s="1414"/>
      <c r="B635" s="1414"/>
      <c r="C635" s="1414"/>
      <c r="D635" s="1414"/>
      <c r="E635" s="1414"/>
      <c r="F635" s="1414"/>
      <c r="G635" s="1414"/>
      <c r="H635" s="1414"/>
      <c r="I635" s="1414"/>
      <c r="J635" s="1414"/>
      <c r="K635" s="1414"/>
      <c r="L635" s="1414"/>
      <c r="M635" s="1414"/>
      <c r="N635" s="1414"/>
      <c r="O635" s="1414"/>
      <c r="P635" s="1414"/>
      <c r="Q635" s="1414"/>
      <c r="R635" s="1414"/>
      <c r="S635" s="1414"/>
      <c r="T635" s="1414"/>
      <c r="U635" s="1414"/>
      <c r="V635" s="1414"/>
      <c r="W635" s="1414"/>
      <c r="X635" s="1414"/>
      <c r="Y635" s="1414"/>
      <c r="Z635" s="1414"/>
      <c r="AA635" s="1414"/>
      <c r="AB635" s="1414"/>
      <c r="AC635" s="1414"/>
      <c r="AD635" s="1414"/>
      <c r="AE635" s="1414"/>
      <c r="AF635" s="1414"/>
      <c r="AG635" s="1414"/>
      <c r="AH635" s="1414"/>
      <c r="AI635" s="1414"/>
      <c r="AJ635" s="1414"/>
      <c r="AK635" s="1414"/>
      <c r="AL635" s="1414"/>
      <c r="AM635" s="1414"/>
      <c r="AN635" s="1414"/>
      <c r="AO635" s="1414"/>
      <c r="AP635" s="1414"/>
      <c r="AQ635" s="1414"/>
      <c r="AR635" s="1414"/>
      <c r="AS635" s="1414"/>
      <c r="AT635" s="1414"/>
      <c r="AU635" s="1414"/>
      <c r="AV635" s="1414"/>
      <c r="AW635" s="1414"/>
      <c r="AX635" s="1414"/>
      <c r="AY635" s="1399"/>
      <c r="AZ635" s="1399"/>
      <c r="BA635" s="1399"/>
      <c r="BB635" s="1399"/>
      <c r="BC635" s="1399"/>
      <c r="BD635" s="1399"/>
      <c r="BE635" s="1414"/>
      <c r="BF635" s="1399"/>
      <c r="BG635" s="1399"/>
      <c r="BH635" s="1399"/>
      <c r="BI635" s="1399"/>
      <c r="BJ635" s="1399"/>
      <c r="BK635" s="1399"/>
      <c r="BL635" s="1399"/>
      <c r="BM635" s="1399"/>
      <c r="BN635" s="1399"/>
      <c r="BO635" s="1399"/>
      <c r="BP635" s="1399"/>
      <c r="BQ635" s="1399"/>
      <c r="BR635" s="1399"/>
      <c r="BS635" s="1399"/>
      <c r="BT635" s="1399"/>
      <c r="BU635" s="1399"/>
      <c r="BV635" s="1399"/>
      <c r="BW635" s="1399"/>
      <c r="BX635" s="1399"/>
      <c r="BY635" s="1399"/>
      <c r="BZ635" s="1399"/>
      <c r="CA635" s="1399"/>
      <c r="CB635" s="1399"/>
      <c r="CC635" s="1399"/>
      <c r="CD635" s="1399"/>
      <c r="CE635" s="1399"/>
      <c r="CF635" s="1399"/>
      <c r="CG635" s="1399"/>
      <c r="CH635" s="1399"/>
      <c r="CI635" s="1399"/>
      <c r="CJ635" s="1399"/>
      <c r="CK635" s="1399"/>
      <c r="CL635" s="1399"/>
      <c r="CM635" s="1399"/>
      <c r="CN635" s="1399"/>
      <c r="CO635" s="1399"/>
      <c r="CP635" s="1399"/>
      <c r="CQ635" s="1399"/>
      <c r="CR635" s="1399"/>
      <c r="CS635" s="1399"/>
      <c r="CT635" s="1399"/>
      <c r="CU635" s="1399"/>
      <c r="CV635" s="1399"/>
      <c r="CW635" s="1399"/>
      <c r="CX635" s="1399"/>
      <c r="CY635" s="1399"/>
      <c r="CZ635" s="1399"/>
      <c r="DA635" s="1399"/>
      <c r="DB635" s="1399"/>
      <c r="DC635" s="1399"/>
      <c r="DD635" s="1399"/>
      <c r="DE635" s="1399"/>
      <c r="DF635" s="1399"/>
      <c r="DG635" s="1399"/>
      <c r="DH635" s="1399"/>
      <c r="DI635" s="1399"/>
      <c r="DJ635" s="1399"/>
      <c r="DK635" s="1399"/>
      <c r="DL635" s="1399"/>
      <c r="DM635" s="1399"/>
      <c r="DN635" s="1399"/>
      <c r="DO635" s="1399"/>
      <c r="DP635" s="1399"/>
      <c r="DQ635" s="1399"/>
      <c r="DR635" s="1399"/>
      <c r="DS635" s="1399"/>
      <c r="DT635" s="1399"/>
      <c r="DU635" s="1399"/>
    </row>
    <row r="636" spans="1:125">
      <c r="A636" s="1414"/>
      <c r="B636" s="1414"/>
      <c r="C636" s="1414"/>
      <c r="D636" s="1414"/>
      <c r="E636" s="1414"/>
      <c r="F636" s="1414"/>
      <c r="G636" s="1414"/>
      <c r="H636" s="1414"/>
      <c r="I636" s="1414"/>
      <c r="J636" s="1414"/>
      <c r="K636" s="1414"/>
      <c r="L636" s="1414"/>
      <c r="M636" s="1414"/>
      <c r="N636" s="1414"/>
      <c r="O636" s="1414"/>
      <c r="P636" s="1414"/>
      <c r="Q636" s="1414"/>
      <c r="R636" s="1414"/>
      <c r="S636" s="1414"/>
      <c r="T636" s="1414"/>
      <c r="U636" s="1414"/>
      <c r="V636" s="1414"/>
      <c r="W636" s="1414"/>
      <c r="X636" s="1414"/>
      <c r="Y636" s="1414"/>
      <c r="Z636" s="1414"/>
      <c r="AA636" s="1414"/>
      <c r="AB636" s="1414"/>
      <c r="AC636" s="1414"/>
      <c r="AD636" s="1414"/>
      <c r="AE636" s="1414"/>
      <c r="AF636" s="1414"/>
      <c r="AG636" s="1414"/>
      <c r="AH636" s="1414"/>
      <c r="AI636" s="1414"/>
      <c r="AJ636" s="1414"/>
      <c r="AK636" s="1414"/>
      <c r="AL636" s="1414"/>
      <c r="AM636" s="1414"/>
      <c r="AN636" s="1414"/>
      <c r="AO636" s="1414"/>
      <c r="AP636" s="1414"/>
      <c r="AQ636" s="1414"/>
      <c r="AR636" s="1414"/>
      <c r="AS636" s="1414"/>
      <c r="AT636" s="1414"/>
      <c r="AU636" s="1414"/>
      <c r="AV636" s="1414"/>
      <c r="AW636" s="1414"/>
      <c r="AX636" s="1414"/>
      <c r="AY636" s="1399"/>
      <c r="AZ636" s="1399"/>
      <c r="BA636" s="1399"/>
      <c r="BB636" s="1399"/>
      <c r="BC636" s="1399"/>
      <c r="BD636" s="1399"/>
      <c r="BE636" s="1414"/>
      <c r="BF636" s="1399"/>
      <c r="BG636" s="1399"/>
      <c r="BH636" s="1399"/>
      <c r="BI636" s="1399"/>
      <c r="BJ636" s="1399"/>
      <c r="BK636" s="1399"/>
      <c r="BL636" s="1399"/>
      <c r="BM636" s="1399"/>
      <c r="BN636" s="1399"/>
      <c r="BO636" s="1399"/>
      <c r="BP636" s="1399"/>
      <c r="BQ636" s="1399"/>
      <c r="BR636" s="1399"/>
      <c r="BS636" s="1399"/>
      <c r="BT636" s="1399"/>
      <c r="BU636" s="1399"/>
      <c r="BV636" s="1399"/>
      <c r="BW636" s="1399"/>
      <c r="BX636" s="1399"/>
      <c r="BY636" s="1399"/>
      <c r="BZ636" s="1399"/>
      <c r="CA636" s="1399"/>
      <c r="CB636" s="1399"/>
      <c r="CC636" s="1399"/>
      <c r="CD636" s="1399"/>
      <c r="CE636" s="1399"/>
      <c r="CF636" s="1399"/>
      <c r="CG636" s="1399"/>
      <c r="CH636" s="1399"/>
      <c r="CI636" s="1399"/>
      <c r="CJ636" s="1399"/>
      <c r="CK636" s="1399"/>
      <c r="CL636" s="1399"/>
      <c r="CM636" s="1399"/>
      <c r="CN636" s="1399"/>
      <c r="CO636" s="1399"/>
      <c r="CP636" s="1399"/>
      <c r="CQ636" s="1399"/>
      <c r="CR636" s="1399"/>
      <c r="CS636" s="1399"/>
      <c r="CT636" s="1399"/>
      <c r="CU636" s="1399"/>
      <c r="CV636" s="1399"/>
      <c r="CW636" s="1399"/>
      <c r="CX636" s="1399"/>
      <c r="CY636" s="1399"/>
      <c r="CZ636" s="1399"/>
      <c r="DA636" s="1399"/>
      <c r="DB636" s="1399"/>
      <c r="DC636" s="1399"/>
      <c r="DD636" s="1399"/>
      <c r="DE636" s="1399"/>
      <c r="DF636" s="1399"/>
      <c r="DG636" s="1399"/>
      <c r="DH636" s="1399"/>
      <c r="DI636" s="1399"/>
      <c r="DJ636" s="1399"/>
      <c r="DK636" s="1399"/>
      <c r="DL636" s="1399"/>
      <c r="DM636" s="1399"/>
      <c r="DN636" s="1399"/>
      <c r="DO636" s="1399"/>
      <c r="DP636" s="1399"/>
      <c r="DQ636" s="1399"/>
      <c r="DR636" s="1399"/>
      <c r="DS636" s="1399"/>
      <c r="DT636" s="1399"/>
      <c r="DU636" s="1399"/>
    </row>
    <row r="637" spans="1:125">
      <c r="A637" s="1414"/>
      <c r="B637" s="1414"/>
      <c r="C637" s="1414"/>
      <c r="D637" s="1414"/>
      <c r="E637" s="1414"/>
      <c r="F637" s="1414"/>
      <c r="G637" s="1414"/>
      <c r="H637" s="1414"/>
      <c r="I637" s="1414"/>
      <c r="J637" s="1414"/>
      <c r="K637" s="1414"/>
      <c r="L637" s="1414"/>
      <c r="M637" s="1414"/>
      <c r="N637" s="1414"/>
      <c r="O637" s="1414"/>
      <c r="P637" s="1414"/>
      <c r="Q637" s="1414"/>
      <c r="R637" s="1414"/>
      <c r="S637" s="1414"/>
      <c r="T637" s="1414"/>
      <c r="U637" s="1414"/>
      <c r="V637" s="1414"/>
      <c r="W637" s="1414"/>
      <c r="X637" s="1414"/>
      <c r="Y637" s="1414"/>
      <c r="Z637" s="1414"/>
      <c r="AA637" s="1414"/>
      <c r="AB637" s="1414"/>
      <c r="AC637" s="1414"/>
      <c r="AD637" s="1414"/>
      <c r="AE637" s="1414"/>
      <c r="AF637" s="1414"/>
      <c r="AG637" s="1414"/>
      <c r="AH637" s="1414"/>
      <c r="AI637" s="1414"/>
      <c r="AJ637" s="1414"/>
      <c r="AK637" s="1414"/>
      <c r="AL637" s="1414"/>
      <c r="AM637" s="1414"/>
      <c r="AN637" s="1414"/>
      <c r="AO637" s="1414"/>
      <c r="AP637" s="1414"/>
      <c r="AQ637" s="1414"/>
      <c r="AR637" s="1414"/>
      <c r="AS637" s="1414"/>
      <c r="AT637" s="1414"/>
      <c r="AU637" s="1414"/>
      <c r="AV637" s="1414"/>
      <c r="AW637" s="1414"/>
      <c r="AX637" s="1414"/>
      <c r="AY637" s="1399"/>
      <c r="AZ637" s="1399"/>
      <c r="BA637" s="1399"/>
      <c r="BB637" s="1399"/>
      <c r="BC637" s="1399"/>
      <c r="BD637" s="1399"/>
      <c r="BE637" s="1414"/>
      <c r="BF637" s="1399"/>
      <c r="BG637" s="1399"/>
      <c r="BH637" s="1399"/>
      <c r="BI637" s="1399"/>
      <c r="BJ637" s="1399"/>
      <c r="BK637" s="1399"/>
      <c r="BL637" s="1399"/>
      <c r="BM637" s="1399"/>
      <c r="BN637" s="1399"/>
      <c r="BO637" s="1399"/>
      <c r="BP637" s="1399"/>
      <c r="BQ637" s="1399"/>
      <c r="BR637" s="1399"/>
      <c r="BS637" s="1399"/>
      <c r="BT637" s="1399"/>
      <c r="BU637" s="1399"/>
      <c r="BV637" s="1399"/>
      <c r="BW637" s="1399"/>
      <c r="BX637" s="1399"/>
      <c r="BY637" s="1399"/>
      <c r="BZ637" s="1399"/>
      <c r="CA637" s="1399"/>
      <c r="CB637" s="1399"/>
      <c r="CC637" s="1399"/>
      <c r="CD637" s="1399"/>
      <c r="CE637" s="1399"/>
      <c r="CF637" s="1399"/>
      <c r="CG637" s="1399"/>
      <c r="CH637" s="1399"/>
      <c r="CI637" s="1399"/>
      <c r="CJ637" s="1399"/>
      <c r="CK637" s="1399"/>
      <c r="CL637" s="1399"/>
      <c r="CM637" s="1399"/>
      <c r="CN637" s="1399"/>
      <c r="CO637" s="1399"/>
      <c r="CP637" s="1399"/>
      <c r="CQ637" s="1399"/>
      <c r="CR637" s="1399"/>
      <c r="CS637" s="1399"/>
      <c r="CT637" s="1399"/>
      <c r="CU637" s="1399"/>
      <c r="CV637" s="1399"/>
      <c r="CW637" s="1399"/>
      <c r="CX637" s="1399"/>
      <c r="CY637" s="1399"/>
      <c r="CZ637" s="1399"/>
      <c r="DA637" s="1399"/>
      <c r="DB637" s="1399"/>
      <c r="DC637" s="1399"/>
      <c r="DD637" s="1399"/>
      <c r="DE637" s="1399"/>
      <c r="DF637" s="1399"/>
      <c r="DG637" s="1399"/>
      <c r="DH637" s="1399"/>
      <c r="DI637" s="1399"/>
      <c r="DJ637" s="1399"/>
      <c r="DK637" s="1399"/>
      <c r="DL637" s="1399"/>
      <c r="DM637" s="1399"/>
      <c r="DN637" s="1399"/>
      <c r="DO637" s="1399"/>
      <c r="DP637" s="1399"/>
      <c r="DQ637" s="1399"/>
      <c r="DR637" s="1399"/>
      <c r="DS637" s="1399"/>
      <c r="DT637" s="1399"/>
      <c r="DU637" s="1399"/>
    </row>
    <row r="638" spans="1:125">
      <c r="A638" s="1414"/>
      <c r="B638" s="1414"/>
      <c r="C638" s="1414"/>
      <c r="D638" s="1414"/>
      <c r="E638" s="1414"/>
      <c r="F638" s="1414"/>
      <c r="G638" s="1414"/>
      <c r="H638" s="1414"/>
      <c r="I638" s="1414"/>
      <c r="J638" s="1414"/>
      <c r="K638" s="1414"/>
      <c r="L638" s="1414"/>
      <c r="M638" s="1414"/>
      <c r="N638" s="1414"/>
      <c r="O638" s="1414"/>
      <c r="P638" s="1414"/>
      <c r="Q638" s="1414"/>
      <c r="R638" s="1414"/>
      <c r="S638" s="1414"/>
      <c r="T638" s="1414"/>
      <c r="U638" s="1414"/>
      <c r="V638" s="1414"/>
      <c r="W638" s="1414"/>
      <c r="X638" s="1414"/>
      <c r="Y638" s="1414"/>
      <c r="Z638" s="1414"/>
      <c r="AA638" s="1414"/>
      <c r="AB638" s="1414"/>
      <c r="AC638" s="1414"/>
      <c r="AD638" s="1414"/>
      <c r="AE638" s="1414"/>
      <c r="AF638" s="1414"/>
      <c r="AG638" s="1414"/>
      <c r="AH638" s="1414"/>
      <c r="AI638" s="1414"/>
      <c r="AJ638" s="1414"/>
      <c r="AK638" s="1414"/>
      <c r="AL638" s="1414"/>
      <c r="AM638" s="1414"/>
      <c r="AN638" s="1414"/>
      <c r="AO638" s="1414"/>
      <c r="AP638" s="1414"/>
      <c r="AQ638" s="1414"/>
      <c r="AR638" s="1414"/>
      <c r="AS638" s="1414"/>
      <c r="AT638" s="1414"/>
      <c r="AU638" s="1414"/>
      <c r="AV638" s="1414"/>
      <c r="AW638" s="1414"/>
      <c r="AX638" s="1414"/>
      <c r="AY638" s="1399"/>
      <c r="AZ638" s="1399"/>
      <c r="BA638" s="1399"/>
      <c r="BB638" s="1399"/>
      <c r="BC638" s="1399"/>
      <c r="BD638" s="1399"/>
      <c r="BE638" s="1414"/>
      <c r="BF638" s="1399"/>
      <c r="BG638" s="1399"/>
      <c r="BH638" s="1399"/>
      <c r="BI638" s="1399"/>
      <c r="BJ638" s="1399"/>
      <c r="BK638" s="1399"/>
      <c r="BL638" s="1399"/>
      <c r="BM638" s="1399"/>
      <c r="BN638" s="1399"/>
      <c r="BO638" s="1399"/>
      <c r="BP638" s="1399"/>
      <c r="BQ638" s="1399"/>
      <c r="BR638" s="1399"/>
      <c r="BS638" s="1399"/>
      <c r="BT638" s="1399"/>
      <c r="BU638" s="1399"/>
      <c r="BV638" s="1399"/>
      <c r="BW638" s="1399"/>
      <c r="BX638" s="1399"/>
      <c r="BY638" s="1399"/>
      <c r="BZ638" s="1399"/>
      <c r="CA638" s="1399"/>
      <c r="CB638" s="1399"/>
      <c r="CC638" s="1399"/>
      <c r="CD638" s="1399"/>
      <c r="CE638" s="1399"/>
      <c r="CF638" s="1399"/>
      <c r="CG638" s="1399"/>
      <c r="CH638" s="1399"/>
      <c r="CI638" s="1399"/>
      <c r="CJ638" s="1399"/>
      <c r="CK638" s="1399"/>
      <c r="CL638" s="1399"/>
      <c r="CM638" s="1399"/>
      <c r="CN638" s="1399"/>
      <c r="CO638" s="1399"/>
      <c r="CP638" s="1399"/>
      <c r="CQ638" s="1399"/>
      <c r="CR638" s="1399"/>
      <c r="CS638" s="1399"/>
      <c r="CT638" s="1399"/>
      <c r="CU638" s="1399"/>
      <c r="CV638" s="1399"/>
      <c r="CW638" s="1399"/>
      <c r="CX638" s="1399"/>
      <c r="CY638" s="1399"/>
      <c r="CZ638" s="1399"/>
      <c r="DA638" s="1399"/>
      <c r="DB638" s="1399"/>
      <c r="DC638" s="1399"/>
      <c r="DD638" s="1399"/>
      <c r="DE638" s="1399"/>
      <c r="DF638" s="1399"/>
      <c r="DG638" s="1399"/>
      <c r="DH638" s="1399"/>
      <c r="DI638" s="1399"/>
      <c r="DJ638" s="1399"/>
      <c r="DK638" s="1399"/>
      <c r="DL638" s="1399"/>
      <c r="DM638" s="1399"/>
      <c r="DN638" s="1399"/>
      <c r="DO638" s="1399"/>
      <c r="DP638" s="1399"/>
      <c r="DQ638" s="1399"/>
      <c r="DR638" s="1399"/>
      <c r="DS638" s="1399"/>
      <c r="DT638" s="1399"/>
      <c r="DU638" s="1399"/>
    </row>
    <row r="639" spans="1:125">
      <c r="A639" s="1414"/>
      <c r="B639" s="1414"/>
      <c r="C639" s="1414"/>
      <c r="D639" s="1414"/>
      <c r="E639" s="1414"/>
      <c r="F639" s="1414"/>
      <c r="G639" s="1414"/>
      <c r="H639" s="1414"/>
      <c r="I639" s="1414"/>
      <c r="J639" s="1414"/>
      <c r="K639" s="1414"/>
      <c r="L639" s="1414"/>
      <c r="M639" s="1414"/>
      <c r="N639" s="1414"/>
      <c r="O639" s="1414"/>
      <c r="P639" s="1414"/>
      <c r="Q639" s="1414"/>
      <c r="R639" s="1414"/>
      <c r="S639" s="1414"/>
      <c r="T639" s="1414"/>
      <c r="U639" s="1414"/>
      <c r="V639" s="1414"/>
      <c r="W639" s="1414"/>
      <c r="X639" s="1414"/>
      <c r="Y639" s="1414"/>
      <c r="Z639" s="1414"/>
      <c r="AA639" s="1414"/>
      <c r="AB639" s="1414"/>
      <c r="AC639" s="1414"/>
      <c r="AD639" s="1414"/>
      <c r="AE639" s="1414"/>
      <c r="AF639" s="1414"/>
      <c r="AG639" s="1414"/>
      <c r="AH639" s="1414"/>
      <c r="AI639" s="1414"/>
      <c r="AJ639" s="1414"/>
      <c r="AK639" s="1414"/>
      <c r="AL639" s="1414"/>
      <c r="AM639" s="1414"/>
      <c r="AN639" s="1414"/>
      <c r="AO639" s="1414"/>
      <c r="AP639" s="1414"/>
      <c r="AQ639" s="1414"/>
      <c r="AR639" s="1414"/>
      <c r="AS639" s="1414"/>
      <c r="AT639" s="1414"/>
      <c r="AU639" s="1414"/>
      <c r="AV639" s="1414"/>
      <c r="AW639" s="1414"/>
      <c r="AX639" s="1414"/>
      <c r="AY639" s="1399"/>
      <c r="AZ639" s="1399"/>
      <c r="BA639" s="1399"/>
      <c r="BB639" s="1399"/>
      <c r="BC639" s="1399"/>
      <c r="BD639" s="1399"/>
      <c r="BE639" s="1414"/>
      <c r="BF639" s="1399"/>
      <c r="BG639" s="1399"/>
      <c r="BH639" s="1399"/>
      <c r="BI639" s="1399"/>
      <c r="BJ639" s="1399"/>
      <c r="BK639" s="1399"/>
      <c r="BL639" s="1399"/>
      <c r="BM639" s="1399"/>
      <c r="BN639" s="1399"/>
      <c r="BO639" s="1399"/>
      <c r="BP639" s="1399"/>
      <c r="BQ639" s="1399"/>
      <c r="BR639" s="1399"/>
      <c r="BS639" s="1399"/>
      <c r="BT639" s="1399"/>
      <c r="BU639" s="1399"/>
      <c r="BV639" s="1399"/>
      <c r="BW639" s="1399"/>
      <c r="BX639" s="1399"/>
      <c r="BY639" s="1399"/>
      <c r="BZ639" s="1399"/>
      <c r="CA639" s="1399"/>
      <c r="CB639" s="1399"/>
      <c r="CC639" s="1399"/>
      <c r="CD639" s="1399"/>
      <c r="CE639" s="1399"/>
      <c r="CF639" s="1399"/>
      <c r="CG639" s="1399"/>
      <c r="CH639" s="1399"/>
      <c r="CI639" s="1399"/>
      <c r="CJ639" s="1399"/>
      <c r="CK639" s="1399"/>
      <c r="CL639" s="1399"/>
      <c r="CM639" s="1399"/>
      <c r="CN639" s="1399"/>
      <c r="CO639" s="1399"/>
      <c r="CP639" s="1399"/>
      <c r="CQ639" s="1399"/>
      <c r="CR639" s="1399"/>
      <c r="CS639" s="1399"/>
      <c r="CT639" s="1399"/>
      <c r="CU639" s="1399"/>
      <c r="CV639" s="1399"/>
      <c r="CW639" s="1399"/>
      <c r="CX639" s="1399"/>
      <c r="CY639" s="1399"/>
      <c r="CZ639" s="1399"/>
      <c r="DA639" s="1399"/>
      <c r="DB639" s="1399"/>
      <c r="DC639" s="1399"/>
      <c r="DD639" s="1399"/>
      <c r="DE639" s="1399"/>
      <c r="DF639" s="1399"/>
      <c r="DG639" s="1399"/>
      <c r="DH639" s="1399"/>
      <c r="DI639" s="1399"/>
      <c r="DJ639" s="1399"/>
      <c r="DK639" s="1399"/>
      <c r="DL639" s="1399"/>
      <c r="DM639" s="1399"/>
      <c r="DN639" s="1399"/>
      <c r="DO639" s="1399"/>
      <c r="DP639" s="1399"/>
      <c r="DQ639" s="1399"/>
      <c r="DR639" s="1399"/>
      <c r="DS639" s="1399"/>
      <c r="DT639" s="1399"/>
      <c r="DU639" s="1399"/>
    </row>
    <row r="640" spans="1:125">
      <c r="A640" s="1414"/>
      <c r="B640" s="1414"/>
      <c r="C640" s="1414"/>
      <c r="D640" s="1414"/>
      <c r="E640" s="1414"/>
      <c r="F640" s="1414"/>
      <c r="G640" s="1414"/>
      <c r="H640" s="1414"/>
      <c r="I640" s="1414"/>
      <c r="J640" s="1414"/>
      <c r="K640" s="1414"/>
      <c r="L640" s="1414"/>
      <c r="M640" s="1414"/>
      <c r="N640" s="1414"/>
      <c r="O640" s="1414"/>
      <c r="P640" s="1414"/>
      <c r="Q640" s="1414"/>
      <c r="R640" s="1414"/>
      <c r="S640" s="1414"/>
      <c r="T640" s="1414"/>
      <c r="U640" s="1414"/>
      <c r="V640" s="1414"/>
      <c r="W640" s="1414"/>
      <c r="X640" s="1414"/>
      <c r="Y640" s="1414"/>
      <c r="Z640" s="1414"/>
      <c r="AA640" s="1414"/>
      <c r="AB640" s="1414"/>
      <c r="AC640" s="1414"/>
      <c r="AD640" s="1414"/>
      <c r="AE640" s="1414"/>
      <c r="AF640" s="1414"/>
      <c r="AG640" s="1414"/>
      <c r="AH640" s="1414"/>
      <c r="AI640" s="1414"/>
      <c r="AJ640" s="1414"/>
      <c r="AK640" s="1414"/>
      <c r="AL640" s="1414"/>
      <c r="AM640" s="1414"/>
      <c r="AN640" s="1414"/>
      <c r="AO640" s="1414"/>
      <c r="AP640" s="1414"/>
      <c r="AQ640" s="1414"/>
      <c r="AR640" s="1414"/>
      <c r="AS640" s="1414"/>
      <c r="AT640" s="1414"/>
      <c r="AU640" s="1414"/>
      <c r="AV640" s="1414"/>
      <c r="AW640" s="1414"/>
      <c r="AX640" s="1414"/>
      <c r="AY640" s="1399"/>
      <c r="AZ640" s="1399"/>
      <c r="BA640" s="1399"/>
      <c r="BB640" s="1399"/>
      <c r="BC640" s="1399"/>
      <c r="BD640" s="1399"/>
      <c r="BE640" s="1414"/>
      <c r="BF640" s="1399"/>
      <c r="BG640" s="1399"/>
      <c r="BH640" s="1399"/>
      <c r="BI640" s="1399"/>
      <c r="BJ640" s="1399"/>
      <c r="BK640" s="1399"/>
      <c r="BL640" s="1399"/>
      <c r="BM640" s="1399"/>
      <c r="BN640" s="1399"/>
      <c r="BO640" s="1399"/>
      <c r="BP640" s="1399"/>
      <c r="BQ640" s="1399"/>
      <c r="BR640" s="1399"/>
      <c r="BS640" s="1399"/>
      <c r="BT640" s="1399"/>
      <c r="BU640" s="1399"/>
      <c r="BV640" s="1399"/>
      <c r="BW640" s="1399"/>
      <c r="BX640" s="1399"/>
      <c r="BY640" s="1399"/>
      <c r="BZ640" s="1399"/>
      <c r="CA640" s="1399"/>
      <c r="CB640" s="1399"/>
      <c r="CC640" s="1399"/>
      <c r="CD640" s="1399"/>
      <c r="CE640" s="1399"/>
      <c r="CF640" s="1399"/>
      <c r="CG640" s="1399"/>
      <c r="CH640" s="1399"/>
      <c r="CI640" s="1399"/>
      <c r="CJ640" s="1399"/>
      <c r="CK640" s="1399"/>
      <c r="CL640" s="1399"/>
      <c r="CM640" s="1399"/>
      <c r="CN640" s="1399"/>
      <c r="CO640" s="1399"/>
      <c r="CP640" s="1399"/>
      <c r="CQ640" s="1399"/>
      <c r="CR640" s="1399"/>
      <c r="CS640" s="1399"/>
      <c r="CT640" s="1399"/>
      <c r="CU640" s="1399"/>
      <c r="CV640" s="1399"/>
      <c r="CW640" s="1399"/>
      <c r="CX640" s="1399"/>
      <c r="CY640" s="1399"/>
      <c r="CZ640" s="1399"/>
      <c r="DA640" s="1399"/>
      <c r="DB640" s="1399"/>
      <c r="DC640" s="1399"/>
      <c r="DD640" s="1399"/>
      <c r="DE640" s="1399"/>
      <c r="DF640" s="1399"/>
      <c r="DG640" s="1399"/>
      <c r="DH640" s="1399"/>
      <c r="DI640" s="1399"/>
      <c r="DJ640" s="1399"/>
      <c r="DK640" s="1399"/>
      <c r="DL640" s="1399"/>
      <c r="DM640" s="1399"/>
      <c r="DN640" s="1399"/>
      <c r="DO640" s="1399"/>
      <c r="DP640" s="1399"/>
      <c r="DQ640" s="1399"/>
      <c r="DR640" s="1399"/>
      <c r="DS640" s="1399"/>
      <c r="DT640" s="1399"/>
      <c r="DU640" s="1399"/>
    </row>
    <row r="641" spans="1:125">
      <c r="A641" s="1414"/>
      <c r="B641" s="1414"/>
      <c r="C641" s="1414"/>
      <c r="D641" s="1414"/>
      <c r="E641" s="1414"/>
      <c r="F641" s="1414"/>
      <c r="G641" s="1414"/>
      <c r="H641" s="1414"/>
      <c r="I641" s="1414"/>
      <c r="J641" s="1414"/>
      <c r="K641" s="1414"/>
      <c r="L641" s="1414"/>
      <c r="M641" s="1414"/>
      <c r="N641" s="1414"/>
      <c r="O641" s="1414"/>
      <c r="P641" s="1414"/>
      <c r="Q641" s="1414"/>
      <c r="R641" s="1414"/>
      <c r="S641" s="1414"/>
      <c r="T641" s="1414"/>
      <c r="U641" s="1414"/>
      <c r="V641" s="1414"/>
      <c r="W641" s="1414"/>
      <c r="X641" s="1414"/>
      <c r="Y641" s="1414"/>
      <c r="Z641" s="1414"/>
      <c r="AA641" s="1414"/>
      <c r="AB641" s="1414"/>
      <c r="AC641" s="1414"/>
      <c r="AD641" s="1414"/>
      <c r="AE641" s="1414"/>
      <c r="AF641" s="1414"/>
      <c r="AG641" s="1414"/>
      <c r="AH641" s="1414"/>
      <c r="AI641" s="1414"/>
      <c r="AJ641" s="1414"/>
      <c r="AK641" s="1414"/>
      <c r="AL641" s="1414"/>
      <c r="AM641" s="1414"/>
      <c r="AN641" s="1414"/>
      <c r="AO641" s="1414"/>
      <c r="AP641" s="1414"/>
      <c r="AQ641" s="1414"/>
      <c r="AR641" s="1414"/>
      <c r="AS641" s="1414"/>
      <c r="AT641" s="1414"/>
      <c r="AU641" s="1414"/>
      <c r="AV641" s="1414"/>
      <c r="AW641" s="1414"/>
      <c r="AX641" s="1414"/>
      <c r="AY641" s="1399"/>
      <c r="AZ641" s="1399"/>
      <c r="BA641" s="1399"/>
      <c r="BB641" s="1399"/>
      <c r="BC641" s="1399"/>
      <c r="BD641" s="1399"/>
      <c r="BE641" s="1414"/>
      <c r="BF641" s="1399"/>
      <c r="BG641" s="1399"/>
      <c r="BH641" s="1399"/>
      <c r="BI641" s="1399"/>
      <c r="BJ641" s="1399"/>
      <c r="BK641" s="1399"/>
      <c r="BL641" s="1399"/>
      <c r="BM641" s="1399"/>
      <c r="BN641" s="1399"/>
      <c r="BO641" s="1399"/>
      <c r="BP641" s="1399"/>
      <c r="BQ641" s="1399"/>
      <c r="BR641" s="1399"/>
      <c r="BS641" s="1399"/>
      <c r="BT641" s="1399"/>
      <c r="BU641" s="1399"/>
      <c r="BV641" s="1399"/>
      <c r="BW641" s="1399"/>
      <c r="BX641" s="1399"/>
      <c r="BY641" s="1399"/>
      <c r="BZ641" s="1399"/>
      <c r="CA641" s="1399"/>
      <c r="CB641" s="1399"/>
      <c r="CC641" s="1399"/>
      <c r="CD641" s="1399"/>
      <c r="CE641" s="1399"/>
      <c r="CF641" s="1399"/>
      <c r="CG641" s="1399"/>
      <c r="CH641" s="1399"/>
      <c r="CI641" s="1399"/>
      <c r="CJ641" s="1399"/>
      <c r="CK641" s="1399"/>
      <c r="CL641" s="1399"/>
      <c r="CM641" s="1399"/>
      <c r="CN641" s="1399"/>
      <c r="CO641" s="1399"/>
      <c r="CP641" s="1399"/>
      <c r="CQ641" s="1399"/>
      <c r="CR641" s="1399"/>
      <c r="CS641" s="1399"/>
      <c r="CT641" s="1399"/>
      <c r="CU641" s="1399"/>
      <c r="CV641" s="1399"/>
      <c r="CW641" s="1399"/>
      <c r="CX641" s="1399"/>
      <c r="CY641" s="1399"/>
      <c r="CZ641" s="1399"/>
      <c r="DA641" s="1399"/>
      <c r="DB641" s="1399"/>
      <c r="DC641" s="1399"/>
      <c r="DD641" s="1399"/>
      <c r="DE641" s="1399"/>
      <c r="DF641" s="1399"/>
      <c r="DG641" s="1399"/>
      <c r="DH641" s="1399"/>
      <c r="DI641" s="1399"/>
      <c r="DJ641" s="1399"/>
      <c r="DK641" s="1399"/>
      <c r="DL641" s="1399"/>
      <c r="DM641" s="1399"/>
      <c r="DN641" s="1399"/>
      <c r="DO641" s="1399"/>
      <c r="DP641" s="1399"/>
      <c r="DQ641" s="1399"/>
      <c r="DR641" s="1399"/>
      <c r="DS641" s="1399"/>
      <c r="DT641" s="1399"/>
      <c r="DU641" s="1399"/>
    </row>
    <row r="642" spans="1:125">
      <c r="A642" s="1414"/>
      <c r="B642" s="1414"/>
      <c r="C642" s="1414"/>
      <c r="D642" s="1414"/>
      <c r="E642" s="1414"/>
      <c r="F642" s="1414"/>
      <c r="G642" s="1414"/>
      <c r="H642" s="1414"/>
      <c r="I642" s="1414"/>
      <c r="J642" s="1414"/>
      <c r="K642" s="1414"/>
      <c r="L642" s="1414"/>
      <c r="M642" s="1414"/>
      <c r="N642" s="1414"/>
      <c r="O642" s="1414"/>
      <c r="P642" s="1414"/>
      <c r="Q642" s="1414"/>
      <c r="R642" s="1414"/>
      <c r="S642" s="1414"/>
      <c r="T642" s="1414"/>
      <c r="U642" s="1414"/>
      <c r="V642" s="1414"/>
      <c r="W642" s="1414"/>
      <c r="X642" s="1414"/>
      <c r="Y642" s="1414"/>
      <c r="Z642" s="1414"/>
      <c r="AA642" s="1414"/>
      <c r="AB642" s="1414"/>
      <c r="AC642" s="1414"/>
      <c r="AD642" s="1414"/>
      <c r="AE642" s="1414"/>
      <c r="AF642" s="1414"/>
      <c r="AG642" s="1414"/>
      <c r="AH642" s="1414"/>
      <c r="AI642" s="1414"/>
      <c r="AJ642" s="1414"/>
      <c r="AK642" s="1414"/>
      <c r="AL642" s="1414"/>
      <c r="AM642" s="1414"/>
      <c r="AN642" s="1414"/>
      <c r="AO642" s="1414"/>
      <c r="AP642" s="1414"/>
      <c r="AQ642" s="1414"/>
      <c r="AR642" s="1414"/>
      <c r="AS642" s="1414"/>
      <c r="AT642" s="1414"/>
      <c r="AU642" s="1414"/>
      <c r="AV642" s="1414"/>
      <c r="AW642" s="1414"/>
      <c r="AX642" s="1414"/>
      <c r="AY642" s="1399"/>
      <c r="AZ642" s="1399"/>
      <c r="BA642" s="1399"/>
      <c r="BB642" s="1399"/>
      <c r="BC642" s="1399"/>
      <c r="BD642" s="1399"/>
      <c r="BE642" s="1414"/>
      <c r="BF642" s="1399"/>
      <c r="BG642" s="1399"/>
      <c r="BH642" s="1399"/>
      <c r="BI642" s="1399"/>
      <c r="BJ642" s="1399"/>
      <c r="BK642" s="1399"/>
      <c r="BL642" s="1399"/>
      <c r="BM642" s="1399"/>
      <c r="BN642" s="1399"/>
      <c r="BO642" s="1399"/>
      <c r="BP642" s="1399"/>
      <c r="BQ642" s="1399"/>
      <c r="BR642" s="1399"/>
      <c r="BS642" s="1399"/>
      <c r="BT642" s="1399"/>
      <c r="BU642" s="1399"/>
      <c r="BV642" s="1399"/>
      <c r="BW642" s="1399"/>
      <c r="BX642" s="1399"/>
      <c r="BY642" s="1399"/>
      <c r="BZ642" s="1399"/>
      <c r="CA642" s="1399"/>
      <c r="CB642" s="1399"/>
      <c r="CC642" s="1399"/>
      <c r="CD642" s="1399"/>
      <c r="CE642" s="1399"/>
      <c r="CF642" s="1399"/>
      <c r="CG642" s="1399"/>
      <c r="CH642" s="1399"/>
      <c r="CI642" s="1399"/>
      <c r="CJ642" s="1399"/>
      <c r="CK642" s="1399"/>
      <c r="CL642" s="1399"/>
      <c r="CM642" s="1399"/>
      <c r="CN642" s="1399"/>
      <c r="CO642" s="1399"/>
      <c r="CP642" s="1399"/>
      <c r="CQ642" s="1399"/>
      <c r="CR642" s="1399"/>
      <c r="CS642" s="1399"/>
      <c r="CT642" s="1399"/>
      <c r="CU642" s="1399"/>
      <c r="CV642" s="1399"/>
      <c r="CW642" s="1399"/>
      <c r="CX642" s="1399"/>
      <c r="CY642" s="1399"/>
      <c r="CZ642" s="1399"/>
      <c r="DA642" s="1399"/>
      <c r="DB642" s="1399"/>
      <c r="DC642" s="1399"/>
      <c r="DD642" s="1399"/>
      <c r="DE642" s="1399"/>
      <c r="DF642" s="1399"/>
      <c r="DG642" s="1399"/>
      <c r="DH642" s="1399"/>
      <c r="DI642" s="1399"/>
      <c r="DJ642" s="1399"/>
      <c r="DK642" s="1399"/>
      <c r="DL642" s="1399"/>
      <c r="DM642" s="1399"/>
      <c r="DN642" s="1399"/>
      <c r="DO642" s="1399"/>
      <c r="DP642" s="1399"/>
      <c r="DQ642" s="1399"/>
      <c r="DR642" s="1399"/>
      <c r="DS642" s="1399"/>
      <c r="DT642" s="1399"/>
      <c r="DU642" s="1399"/>
    </row>
    <row r="643" spans="1:125">
      <c r="A643" s="1414"/>
      <c r="B643" s="1414"/>
      <c r="C643" s="1414"/>
      <c r="D643" s="1414"/>
      <c r="E643" s="1414"/>
      <c r="F643" s="1414"/>
      <c r="G643" s="1414"/>
      <c r="H643" s="1414"/>
      <c r="I643" s="1414"/>
      <c r="J643" s="1414"/>
      <c r="K643" s="1414"/>
      <c r="L643" s="1414"/>
      <c r="M643" s="1414"/>
      <c r="N643" s="1414"/>
      <c r="O643" s="1414"/>
      <c r="P643" s="1414"/>
      <c r="Q643" s="1414"/>
      <c r="R643" s="1414"/>
      <c r="S643" s="1414"/>
      <c r="T643" s="1414"/>
      <c r="U643" s="1414"/>
      <c r="V643" s="1414"/>
      <c r="W643" s="1414"/>
      <c r="X643" s="1414"/>
      <c r="Y643" s="1414"/>
      <c r="Z643" s="1414"/>
      <c r="AA643" s="1414"/>
      <c r="AB643" s="1414"/>
      <c r="AC643" s="1414"/>
      <c r="AD643" s="1414"/>
      <c r="AE643" s="1414"/>
      <c r="AF643" s="1414"/>
      <c r="AG643" s="1414"/>
      <c r="AH643" s="1414"/>
      <c r="AI643" s="1414"/>
      <c r="AJ643" s="1414"/>
      <c r="AK643" s="1414"/>
      <c r="AL643" s="1414"/>
      <c r="AM643" s="1414"/>
      <c r="AN643" s="1414"/>
      <c r="AO643" s="1414"/>
      <c r="AP643" s="1414"/>
      <c r="AQ643" s="1414"/>
      <c r="AR643" s="1414"/>
      <c r="AS643" s="1414"/>
      <c r="AT643" s="1414"/>
      <c r="AU643" s="1414"/>
      <c r="AV643" s="1414"/>
      <c r="AW643" s="1414"/>
      <c r="AX643" s="1414"/>
      <c r="AY643" s="1399"/>
      <c r="AZ643" s="1399"/>
      <c r="BA643" s="1399"/>
      <c r="BB643" s="1399"/>
      <c r="BC643" s="1399"/>
      <c r="BD643" s="1399"/>
      <c r="BE643" s="1414"/>
      <c r="BF643" s="1399"/>
      <c r="BG643" s="1399"/>
      <c r="BH643" s="1399"/>
      <c r="BI643" s="1399"/>
      <c r="BJ643" s="1399"/>
      <c r="BK643" s="1399"/>
      <c r="BL643" s="1399"/>
      <c r="BM643" s="1399"/>
      <c r="BN643" s="1399"/>
      <c r="BO643" s="1399"/>
      <c r="BP643" s="1399"/>
      <c r="BQ643" s="1399"/>
      <c r="BR643" s="1399"/>
      <c r="BS643" s="1399"/>
      <c r="BT643" s="1399"/>
      <c r="BU643" s="1399"/>
      <c r="BV643" s="1399"/>
      <c r="BW643" s="1399"/>
      <c r="BX643" s="1399"/>
      <c r="BY643" s="1399"/>
      <c r="BZ643" s="1399"/>
      <c r="CA643" s="1399"/>
      <c r="CB643" s="1399"/>
      <c r="CC643" s="1399"/>
      <c r="CD643" s="1399"/>
      <c r="CE643" s="1399"/>
      <c r="CF643" s="1399"/>
      <c r="CG643" s="1399"/>
      <c r="CH643" s="1399"/>
      <c r="CI643" s="1399"/>
      <c r="CJ643" s="1399"/>
      <c r="CK643" s="1399"/>
      <c r="CL643" s="1399"/>
      <c r="CM643" s="1399"/>
      <c r="CN643" s="1399"/>
      <c r="CO643" s="1399"/>
      <c r="CP643" s="1399"/>
      <c r="CQ643" s="1399"/>
      <c r="CR643" s="1399"/>
      <c r="CS643" s="1399"/>
      <c r="CT643" s="1399"/>
      <c r="CU643" s="1399"/>
      <c r="CV643" s="1399"/>
      <c r="CW643" s="1399"/>
      <c r="CX643" s="1399"/>
      <c r="CY643" s="1399"/>
      <c r="CZ643" s="1399"/>
      <c r="DA643" s="1399"/>
      <c r="DB643" s="1399"/>
      <c r="DC643" s="1399"/>
      <c r="DD643" s="1399"/>
      <c r="DE643" s="1399"/>
      <c r="DF643" s="1399"/>
      <c r="DG643" s="1399"/>
      <c r="DH643" s="1399"/>
      <c r="DI643" s="1399"/>
      <c r="DJ643" s="1399"/>
      <c r="DK643" s="1399"/>
      <c r="DL643" s="1399"/>
      <c r="DM643" s="1399"/>
      <c r="DN643" s="1399"/>
      <c r="DO643" s="1399"/>
      <c r="DP643" s="1399"/>
      <c r="DQ643" s="1399"/>
      <c r="DR643" s="1399"/>
      <c r="DS643" s="1399"/>
      <c r="DT643" s="1399"/>
      <c r="DU643" s="1399"/>
    </row>
    <row r="644" spans="1:125">
      <c r="A644" s="1414"/>
      <c r="B644" s="1414"/>
      <c r="C644" s="1414"/>
      <c r="D644" s="1414"/>
      <c r="E644" s="1414"/>
      <c r="F644" s="1414"/>
      <c r="G644" s="1414"/>
      <c r="H644" s="1414"/>
      <c r="I644" s="1414"/>
      <c r="J644" s="1414"/>
      <c r="K644" s="1414"/>
      <c r="L644" s="1414"/>
      <c r="M644" s="1414"/>
      <c r="N644" s="1414"/>
      <c r="O644" s="1414"/>
      <c r="P644" s="1414"/>
      <c r="Q644" s="1414"/>
      <c r="R644" s="1414"/>
      <c r="S644" s="1414"/>
      <c r="T644" s="1414"/>
      <c r="U644" s="1414"/>
      <c r="V644" s="1414"/>
      <c r="W644" s="1414"/>
      <c r="X644" s="1414"/>
      <c r="Y644" s="1414"/>
      <c r="Z644" s="1414"/>
      <c r="AA644" s="1414"/>
      <c r="AB644" s="1414"/>
      <c r="AC644" s="1414"/>
      <c r="AD644" s="1414"/>
      <c r="AE644" s="1414"/>
      <c r="AF644" s="1414"/>
      <c r="AG644" s="1414"/>
      <c r="AH644" s="1414"/>
      <c r="AI644" s="1414"/>
      <c r="AJ644" s="1414"/>
      <c r="AK644" s="1414"/>
      <c r="AL644" s="1414"/>
      <c r="AM644" s="1414"/>
      <c r="AN644" s="1414"/>
      <c r="AO644" s="1414"/>
      <c r="AP644" s="1414"/>
      <c r="AQ644" s="1414"/>
      <c r="AR644" s="1414"/>
      <c r="AS644" s="1414"/>
      <c r="AT644" s="1414"/>
      <c r="AU644" s="1414"/>
      <c r="AV644" s="1414"/>
      <c r="AW644" s="1414"/>
      <c r="AX644" s="1414"/>
      <c r="AY644" s="1399"/>
      <c r="AZ644" s="1399"/>
      <c r="BA644" s="1399"/>
      <c r="BB644" s="1399"/>
      <c r="BC644" s="1399"/>
      <c r="BD644" s="1399"/>
      <c r="BE644" s="1414"/>
      <c r="BF644" s="1399"/>
      <c r="BG644" s="1399"/>
      <c r="BH644" s="1399"/>
      <c r="BI644" s="1399"/>
      <c r="BJ644" s="1399"/>
      <c r="BK644" s="1399"/>
      <c r="BL644" s="1399"/>
      <c r="BM644" s="1399"/>
      <c r="BN644" s="1399"/>
      <c r="BO644" s="1399"/>
      <c r="BP644" s="1399"/>
      <c r="BQ644" s="1399"/>
      <c r="BR644" s="1399"/>
      <c r="BS644" s="1399"/>
      <c r="BT644" s="1399"/>
      <c r="BU644" s="1399"/>
      <c r="BV644" s="1399"/>
      <c r="BW644" s="1399"/>
      <c r="BX644" s="1399"/>
      <c r="BY644" s="1399"/>
      <c r="BZ644" s="1399"/>
      <c r="CA644" s="1399"/>
      <c r="CB644" s="1399"/>
      <c r="CC644" s="1399"/>
      <c r="CD644" s="1399"/>
      <c r="CE644" s="1399"/>
      <c r="CF644" s="1399"/>
      <c r="CG644" s="1399"/>
      <c r="CH644" s="1399"/>
      <c r="CI644" s="1399"/>
      <c r="CJ644" s="1399"/>
      <c r="CK644" s="1399"/>
      <c r="CL644" s="1399"/>
      <c r="CM644" s="1399"/>
      <c r="CN644" s="1399"/>
      <c r="CO644" s="1399"/>
      <c r="CP644" s="1399"/>
      <c r="CQ644" s="1399"/>
      <c r="CR644" s="1399"/>
      <c r="CS644" s="1399"/>
      <c r="CT644" s="1399"/>
      <c r="CU644" s="1399"/>
      <c r="CV644" s="1399"/>
      <c r="CW644" s="1399"/>
      <c r="CX644" s="1399"/>
      <c r="CY644" s="1399"/>
      <c r="CZ644" s="1399"/>
      <c r="DA644" s="1399"/>
      <c r="DB644" s="1399"/>
      <c r="DC644" s="1399"/>
      <c r="DD644" s="1399"/>
      <c r="DE644" s="1399"/>
      <c r="DF644" s="1399"/>
      <c r="DG644" s="1399"/>
      <c r="DH644" s="1399"/>
      <c r="DI644" s="1399"/>
      <c r="DJ644" s="1399"/>
      <c r="DK644" s="1399"/>
      <c r="DL644" s="1399"/>
      <c r="DM644" s="1399"/>
      <c r="DN644" s="1399"/>
      <c r="DO644" s="1399"/>
      <c r="DP644" s="1399"/>
      <c r="DQ644" s="1399"/>
      <c r="DR644" s="1399"/>
      <c r="DS644" s="1399"/>
      <c r="DT644" s="1399"/>
      <c r="DU644" s="1399"/>
    </row>
    <row r="645" spans="1:125">
      <c r="A645" s="1414"/>
      <c r="B645" s="1414"/>
      <c r="C645" s="1414"/>
      <c r="D645" s="1414"/>
      <c r="E645" s="1414"/>
      <c r="F645" s="1414"/>
      <c r="G645" s="1414"/>
      <c r="H645" s="1414"/>
      <c r="I645" s="1414"/>
      <c r="J645" s="1414"/>
      <c r="K645" s="1414"/>
      <c r="L645" s="1414"/>
      <c r="M645" s="1414"/>
      <c r="N645" s="1414"/>
      <c r="O645" s="1414"/>
      <c r="P645" s="1414"/>
      <c r="Q645" s="1414"/>
      <c r="R645" s="1414"/>
      <c r="S645" s="1414"/>
      <c r="T645" s="1414"/>
      <c r="U645" s="1414"/>
      <c r="V645" s="1414"/>
      <c r="W645" s="1414"/>
      <c r="X645" s="1414"/>
      <c r="Y645" s="1414"/>
      <c r="Z645" s="1414"/>
      <c r="AA645" s="1414"/>
      <c r="AB645" s="1414"/>
      <c r="AC645" s="1414"/>
      <c r="AD645" s="1414"/>
      <c r="AE645" s="1414"/>
      <c r="AF645" s="1414"/>
      <c r="AG645" s="1414"/>
      <c r="AH645" s="1414"/>
      <c r="AI645" s="1414"/>
      <c r="AJ645" s="1414"/>
      <c r="AK645" s="1414"/>
      <c r="AL645" s="1414"/>
      <c r="AM645" s="1414"/>
      <c r="AN645" s="1414"/>
      <c r="AO645" s="1414"/>
      <c r="AP645" s="1414"/>
      <c r="AQ645" s="1414"/>
      <c r="AR645" s="1414"/>
      <c r="AS645" s="1414"/>
      <c r="AT645" s="1414"/>
      <c r="AU645" s="1414"/>
      <c r="AV645" s="1414"/>
      <c r="AW645" s="1414"/>
      <c r="AX645" s="1414"/>
      <c r="AY645" s="1399"/>
      <c r="AZ645" s="1399"/>
      <c r="BA645" s="1399"/>
      <c r="BB645" s="1399"/>
      <c r="BC645" s="1399"/>
      <c r="BD645" s="1399"/>
      <c r="BE645" s="1414"/>
      <c r="BF645" s="1399"/>
      <c r="BG645" s="1399"/>
      <c r="BH645" s="1399"/>
      <c r="BI645" s="1399"/>
      <c r="BJ645" s="1399"/>
      <c r="BK645" s="1399"/>
      <c r="BL645" s="1399"/>
      <c r="BM645" s="1399"/>
      <c r="BN645" s="1399"/>
      <c r="BO645" s="1399"/>
      <c r="BP645" s="1399"/>
      <c r="BQ645" s="1399"/>
      <c r="BR645" s="1399"/>
      <c r="BS645" s="1399"/>
      <c r="BT645" s="1399"/>
      <c r="BU645" s="1399"/>
      <c r="BV645" s="1399"/>
      <c r="BW645" s="1399"/>
      <c r="BX645" s="1399"/>
      <c r="BY645" s="1399"/>
      <c r="BZ645" s="1399"/>
      <c r="CA645" s="1399"/>
      <c r="CB645" s="1399"/>
      <c r="CC645" s="1399"/>
      <c r="CD645" s="1399"/>
      <c r="CE645" s="1399"/>
      <c r="CF645" s="1399"/>
      <c r="CG645" s="1399"/>
      <c r="CH645" s="1399"/>
      <c r="CI645" s="1399"/>
      <c r="CJ645" s="1399"/>
      <c r="CK645" s="1399"/>
      <c r="CL645" s="1399"/>
      <c r="CM645" s="1399"/>
      <c r="CN645" s="1399"/>
      <c r="CO645" s="1399"/>
      <c r="CP645" s="1399"/>
      <c r="CQ645" s="1399"/>
      <c r="CR645" s="1399"/>
      <c r="CS645" s="1399"/>
      <c r="CT645" s="1399"/>
      <c r="CU645" s="1399"/>
      <c r="CV645" s="1399"/>
      <c r="CW645" s="1399"/>
      <c r="CX645" s="1399"/>
      <c r="CY645" s="1399"/>
      <c r="CZ645" s="1399"/>
      <c r="DA645" s="1399"/>
      <c r="DB645" s="1399"/>
      <c r="DC645" s="1399"/>
      <c r="DD645" s="1399"/>
      <c r="DE645" s="1399"/>
      <c r="DF645" s="1399"/>
      <c r="DG645" s="1399"/>
      <c r="DH645" s="1399"/>
      <c r="DI645" s="1399"/>
      <c r="DJ645" s="1399"/>
      <c r="DK645" s="1399"/>
      <c r="DL645" s="1399"/>
      <c r="DM645" s="1399"/>
      <c r="DN645" s="1399"/>
      <c r="DO645" s="1399"/>
      <c r="DP645" s="1399"/>
      <c r="DQ645" s="1399"/>
      <c r="DR645" s="1399"/>
      <c r="DS645" s="1399"/>
      <c r="DT645" s="1399"/>
      <c r="DU645" s="1399"/>
    </row>
    <row r="646" spans="1:125">
      <c r="A646" s="1414"/>
      <c r="B646" s="1414"/>
      <c r="C646" s="1414"/>
      <c r="D646" s="1414"/>
      <c r="E646" s="1414"/>
      <c r="F646" s="1414"/>
      <c r="G646" s="1414"/>
      <c r="H646" s="1414"/>
      <c r="I646" s="1414"/>
      <c r="J646" s="1414"/>
      <c r="K646" s="1414"/>
      <c r="L646" s="1414"/>
      <c r="M646" s="1414"/>
      <c r="N646" s="1414"/>
      <c r="O646" s="1414"/>
      <c r="P646" s="1414"/>
      <c r="Q646" s="1414"/>
      <c r="R646" s="1414"/>
      <c r="S646" s="1414"/>
      <c r="T646" s="1414"/>
      <c r="U646" s="1414"/>
      <c r="V646" s="1414"/>
      <c r="W646" s="1414"/>
      <c r="X646" s="1414"/>
      <c r="Y646" s="1414"/>
      <c r="Z646" s="1414"/>
      <c r="AA646" s="1414"/>
      <c r="AB646" s="1414"/>
      <c r="AC646" s="1414"/>
      <c r="AD646" s="1414"/>
      <c r="AE646" s="1414"/>
      <c r="AF646" s="1414"/>
      <c r="AG646" s="1414"/>
      <c r="AH646" s="1414"/>
      <c r="AI646" s="1414"/>
      <c r="AJ646" s="1414"/>
      <c r="AK646" s="1414"/>
      <c r="AL646" s="1414"/>
      <c r="AM646" s="1414"/>
      <c r="AN646" s="1414"/>
      <c r="AO646" s="1414"/>
      <c r="AP646" s="1414"/>
      <c r="AQ646" s="1414"/>
      <c r="AR646" s="1414"/>
      <c r="AS646" s="1414"/>
      <c r="AT646" s="1414"/>
      <c r="AU646" s="1414"/>
      <c r="AV646" s="1414"/>
      <c r="AW646" s="1414"/>
      <c r="AX646" s="1414"/>
      <c r="AY646" s="1399"/>
      <c r="AZ646" s="1399"/>
      <c r="BA646" s="1399"/>
      <c r="BB646" s="1399"/>
      <c r="BC646" s="1399"/>
      <c r="BD646" s="1399"/>
      <c r="BE646" s="1414"/>
      <c r="BF646" s="1399"/>
      <c r="BG646" s="1399"/>
      <c r="BH646" s="1399"/>
      <c r="BI646" s="1399"/>
      <c r="BJ646" s="1399"/>
      <c r="BK646" s="1399"/>
      <c r="BL646" s="1399"/>
      <c r="BM646" s="1399"/>
      <c r="BN646" s="1399"/>
      <c r="BO646" s="1399"/>
      <c r="BP646" s="1399"/>
      <c r="BQ646" s="1399"/>
      <c r="BR646" s="1399"/>
      <c r="BS646" s="1399"/>
      <c r="BT646" s="1399"/>
      <c r="BU646" s="1399"/>
      <c r="BV646" s="1399"/>
      <c r="BW646" s="1399"/>
      <c r="BX646" s="1399"/>
      <c r="BY646" s="1399"/>
      <c r="BZ646" s="1399"/>
      <c r="CA646" s="1399"/>
      <c r="CB646" s="1399"/>
      <c r="CC646" s="1399"/>
      <c r="CD646" s="1399"/>
      <c r="CE646" s="1399"/>
      <c r="CF646" s="1399"/>
      <c r="CG646" s="1399"/>
      <c r="CH646" s="1399"/>
      <c r="CI646" s="1399"/>
      <c r="CJ646" s="1399"/>
      <c r="CK646" s="1399"/>
      <c r="CL646" s="1399"/>
      <c r="CM646" s="1399"/>
      <c r="CN646" s="1399"/>
      <c r="CO646" s="1399"/>
      <c r="CP646" s="1399"/>
      <c r="CQ646" s="1399"/>
      <c r="CR646" s="1399"/>
      <c r="CS646" s="1399"/>
      <c r="CT646" s="1399"/>
      <c r="CU646" s="1399"/>
      <c r="CV646" s="1399"/>
      <c r="CW646" s="1399"/>
      <c r="CX646" s="1399"/>
      <c r="CY646" s="1399"/>
      <c r="CZ646" s="1399"/>
      <c r="DA646" s="1399"/>
      <c r="DB646" s="1399"/>
      <c r="DC646" s="1399"/>
      <c r="DD646" s="1399"/>
      <c r="DE646" s="1399"/>
      <c r="DF646" s="1399"/>
      <c r="DG646" s="1399"/>
      <c r="DH646" s="1399"/>
      <c r="DI646" s="1399"/>
      <c r="DJ646" s="1399"/>
      <c r="DK646" s="1399"/>
      <c r="DL646" s="1399"/>
      <c r="DM646" s="1399"/>
      <c r="DN646" s="1399"/>
      <c r="DO646" s="1399"/>
      <c r="DP646" s="1399"/>
      <c r="DQ646" s="1399"/>
      <c r="DR646" s="1399"/>
      <c r="DS646" s="1399"/>
      <c r="DT646" s="1399"/>
      <c r="DU646" s="1399"/>
    </row>
    <row r="647" spans="1:125">
      <c r="A647" s="1414"/>
      <c r="B647" s="1414"/>
      <c r="C647" s="1414"/>
      <c r="D647" s="1414"/>
      <c r="E647" s="1414"/>
      <c r="F647" s="1414"/>
      <c r="G647" s="1414"/>
      <c r="H647" s="1414"/>
      <c r="I647" s="1414"/>
      <c r="J647" s="1414"/>
      <c r="K647" s="1414"/>
      <c r="L647" s="1414"/>
      <c r="M647" s="1414"/>
      <c r="N647" s="1414"/>
      <c r="O647" s="1414"/>
      <c r="P647" s="1414"/>
      <c r="Q647" s="1414"/>
      <c r="R647" s="1414"/>
      <c r="S647" s="1414"/>
      <c r="T647" s="1414"/>
      <c r="U647" s="1414"/>
      <c r="V647" s="1414"/>
      <c r="W647" s="1414"/>
      <c r="X647" s="1414"/>
      <c r="Y647" s="1414"/>
      <c r="Z647" s="1414"/>
      <c r="AA647" s="1414"/>
      <c r="AB647" s="1414"/>
      <c r="AC647" s="1414"/>
      <c r="AD647" s="1414"/>
      <c r="AE647" s="1414"/>
      <c r="AF647" s="1414"/>
      <c r="AG647" s="1414"/>
      <c r="AH647" s="1414"/>
      <c r="AI647" s="1414"/>
      <c r="AJ647" s="1414"/>
      <c r="AK647" s="1414"/>
      <c r="AL647" s="1414"/>
      <c r="AM647" s="1414"/>
      <c r="AN647" s="1414"/>
      <c r="AO647" s="1414"/>
      <c r="AP647" s="1414"/>
      <c r="AQ647" s="1414"/>
      <c r="AR647" s="1414"/>
      <c r="AS647" s="1414"/>
      <c r="AT647" s="1414"/>
      <c r="AU647" s="1414"/>
      <c r="AV647" s="1414"/>
      <c r="AW647" s="1414"/>
      <c r="AX647" s="1414"/>
      <c r="AY647" s="1399"/>
      <c r="AZ647" s="1399"/>
      <c r="BA647" s="1399"/>
      <c r="BB647" s="1399"/>
      <c r="BC647" s="1399"/>
      <c r="BD647" s="1399"/>
      <c r="BE647" s="1414"/>
      <c r="BF647" s="1399"/>
      <c r="BG647" s="1399"/>
      <c r="BH647" s="1399"/>
      <c r="BI647" s="1399"/>
      <c r="BJ647" s="1399"/>
      <c r="BK647" s="1399"/>
      <c r="BL647" s="1399"/>
      <c r="BM647" s="1399"/>
      <c r="BN647" s="1399"/>
      <c r="BO647" s="1399"/>
      <c r="BP647" s="1399"/>
      <c r="BQ647" s="1399"/>
      <c r="BR647" s="1399"/>
      <c r="BS647" s="1399"/>
      <c r="BT647" s="1399"/>
      <c r="BU647" s="1399"/>
      <c r="BV647" s="1399"/>
      <c r="BW647" s="1399"/>
      <c r="BX647" s="1399"/>
      <c r="BY647" s="1399"/>
      <c r="BZ647" s="1399"/>
      <c r="CA647" s="1399"/>
      <c r="CB647" s="1399"/>
      <c r="CC647" s="1399"/>
      <c r="CD647" s="1399"/>
      <c r="CE647" s="1399"/>
      <c r="CF647" s="1399"/>
      <c r="CG647" s="1399"/>
      <c r="CH647" s="1399"/>
      <c r="CI647" s="1399"/>
      <c r="CJ647" s="1399"/>
      <c r="CK647" s="1399"/>
      <c r="CL647" s="1399"/>
      <c r="CM647" s="1399"/>
      <c r="CN647" s="1399"/>
      <c r="CO647" s="1399"/>
      <c r="CP647" s="1399"/>
      <c r="CQ647" s="1399"/>
      <c r="CR647" s="1399"/>
      <c r="CS647" s="1399"/>
      <c r="CT647" s="1399"/>
      <c r="CU647" s="1399"/>
      <c r="CV647" s="1399"/>
      <c r="CW647" s="1399"/>
      <c r="CX647" s="1399"/>
      <c r="CY647" s="1399"/>
      <c r="CZ647" s="1399"/>
      <c r="DA647" s="1399"/>
      <c r="DB647" s="1399"/>
      <c r="DC647" s="1399"/>
      <c r="DD647" s="1399"/>
      <c r="DE647" s="1399"/>
      <c r="DF647" s="1399"/>
      <c r="DG647" s="1399"/>
      <c r="DH647" s="1399"/>
      <c r="DI647" s="1399"/>
      <c r="DJ647" s="1399"/>
      <c r="DK647" s="1399"/>
      <c r="DL647" s="1399"/>
      <c r="DM647" s="1399"/>
      <c r="DN647" s="1399"/>
      <c r="DO647" s="1399"/>
      <c r="DP647" s="1399"/>
      <c r="DQ647" s="1399"/>
      <c r="DR647" s="1399"/>
      <c r="DS647" s="1399"/>
      <c r="DT647" s="1399"/>
      <c r="DU647" s="1399"/>
    </row>
    <row r="648" spans="1:125">
      <c r="A648" s="1414"/>
      <c r="B648" s="1414"/>
      <c r="C648" s="1414"/>
      <c r="D648" s="1414"/>
      <c r="E648" s="1414"/>
      <c r="F648" s="1414"/>
      <c r="G648" s="1414"/>
      <c r="H648" s="1414"/>
      <c r="I648" s="1414"/>
      <c r="J648" s="1414"/>
      <c r="K648" s="1414"/>
      <c r="L648" s="1414"/>
      <c r="M648" s="1414"/>
      <c r="N648" s="1414"/>
      <c r="O648" s="1414"/>
      <c r="P648" s="1414"/>
      <c r="Q648" s="1414"/>
      <c r="R648" s="1414"/>
      <c r="S648" s="1414"/>
      <c r="T648" s="1414"/>
      <c r="U648" s="1414"/>
      <c r="V648" s="1414"/>
      <c r="W648" s="1414"/>
      <c r="X648" s="1414"/>
      <c r="Y648" s="1414"/>
      <c r="Z648" s="1414"/>
      <c r="AA648" s="1414"/>
      <c r="AB648" s="1414"/>
      <c r="AC648" s="1414"/>
      <c r="AD648" s="1414"/>
      <c r="AE648" s="1414"/>
      <c r="AF648" s="1414"/>
      <c r="AG648" s="1414"/>
      <c r="AH648" s="1414"/>
      <c r="AI648" s="1414"/>
      <c r="AJ648" s="1414"/>
      <c r="AK648" s="1414"/>
      <c r="AL648" s="1414"/>
      <c r="AM648" s="1414"/>
      <c r="AN648" s="1414"/>
      <c r="AO648" s="1414"/>
      <c r="AP648" s="1414"/>
      <c r="AQ648" s="1414"/>
      <c r="AR648" s="1414"/>
      <c r="AS648" s="1414"/>
      <c r="AT648" s="1414"/>
      <c r="AU648" s="1414"/>
      <c r="AV648" s="1414"/>
      <c r="AW648" s="1414"/>
      <c r="AX648" s="1414"/>
      <c r="AY648" s="1399"/>
      <c r="AZ648" s="1399"/>
      <c r="BA648" s="1399"/>
      <c r="BB648" s="1399"/>
      <c r="BC648" s="1399"/>
      <c r="BD648" s="1399"/>
      <c r="BE648" s="1414"/>
      <c r="BF648" s="1399"/>
      <c r="BG648" s="1399"/>
      <c r="BH648" s="1399"/>
      <c r="BI648" s="1399"/>
      <c r="BJ648" s="1399"/>
      <c r="BK648" s="1399"/>
      <c r="BL648" s="1399"/>
      <c r="BM648" s="1399"/>
      <c r="BN648" s="1399"/>
      <c r="BO648" s="1399"/>
      <c r="BP648" s="1399"/>
      <c r="BQ648" s="1399"/>
      <c r="BR648" s="1399"/>
      <c r="BS648" s="1399"/>
      <c r="BT648" s="1399"/>
      <c r="BU648" s="1399"/>
      <c r="BV648" s="1399"/>
      <c r="BW648" s="1399"/>
      <c r="BX648" s="1399"/>
      <c r="BY648" s="1399"/>
      <c r="BZ648" s="1399"/>
      <c r="CA648" s="1399"/>
      <c r="CB648" s="1399"/>
      <c r="CC648" s="1399"/>
      <c r="CD648" s="1399"/>
      <c r="CE648" s="1399"/>
      <c r="CF648" s="1399"/>
      <c r="CG648" s="1399"/>
      <c r="CH648" s="1399"/>
      <c r="CI648" s="1399"/>
      <c r="CJ648" s="1399"/>
      <c r="CK648" s="1399"/>
      <c r="CL648" s="1399"/>
      <c r="CM648" s="1399"/>
      <c r="CN648" s="1399"/>
      <c r="CO648" s="1399"/>
      <c r="CP648" s="1399"/>
      <c r="CQ648" s="1399"/>
      <c r="CR648" s="1399"/>
      <c r="CS648" s="1399"/>
      <c r="CT648" s="1399"/>
      <c r="CU648" s="1399"/>
      <c r="CV648" s="1399"/>
      <c r="CW648" s="1399"/>
      <c r="CX648" s="1399"/>
      <c r="CY648" s="1399"/>
      <c r="CZ648" s="1399"/>
      <c r="DA648" s="1399"/>
      <c r="DB648" s="1399"/>
      <c r="DC648" s="1399"/>
      <c r="DD648" s="1399"/>
      <c r="DE648" s="1399"/>
      <c r="DF648" s="1399"/>
      <c r="DG648" s="1399"/>
      <c r="DH648" s="1399"/>
      <c r="DI648" s="1399"/>
      <c r="DJ648" s="1399"/>
      <c r="DK648" s="1399"/>
      <c r="DL648" s="1399"/>
      <c r="DM648" s="1399"/>
      <c r="DN648" s="1399"/>
      <c r="DO648" s="1399"/>
      <c r="DP648" s="1399"/>
      <c r="DQ648" s="1399"/>
      <c r="DR648" s="1399"/>
      <c r="DS648" s="1399"/>
      <c r="DT648" s="1399"/>
      <c r="DU648" s="1399"/>
    </row>
    <row r="649" spans="1:125">
      <c r="A649" s="1414"/>
      <c r="B649" s="1414"/>
      <c r="C649" s="1414"/>
      <c r="D649" s="1414"/>
      <c r="E649" s="1414"/>
      <c r="F649" s="1414"/>
      <c r="G649" s="1414"/>
      <c r="H649" s="1414"/>
      <c r="I649" s="1414"/>
      <c r="J649" s="1414"/>
      <c r="K649" s="1414"/>
      <c r="L649" s="1414"/>
      <c r="M649" s="1414"/>
      <c r="N649" s="1414"/>
      <c r="O649" s="1414"/>
      <c r="P649" s="1414"/>
      <c r="Q649" s="1414"/>
      <c r="R649" s="1414"/>
      <c r="S649" s="1414"/>
      <c r="T649" s="1414"/>
      <c r="U649" s="1414"/>
      <c r="V649" s="1414"/>
      <c r="W649" s="1414"/>
      <c r="X649" s="1414"/>
      <c r="Y649" s="1414"/>
      <c r="Z649" s="1414"/>
      <c r="AA649" s="1414"/>
      <c r="AB649" s="1414"/>
      <c r="AC649" s="1414"/>
      <c r="AD649" s="1414"/>
      <c r="AE649" s="1414"/>
      <c r="AF649" s="1414"/>
      <c r="AG649" s="1414"/>
      <c r="AH649" s="1414"/>
      <c r="AI649" s="1414"/>
      <c r="AJ649" s="1414"/>
      <c r="AK649" s="1414"/>
      <c r="AL649" s="1414"/>
      <c r="AM649" s="1414"/>
      <c r="AN649" s="1414"/>
      <c r="AO649" s="1414"/>
      <c r="AP649" s="1414"/>
      <c r="AQ649" s="1414"/>
      <c r="AR649" s="1414"/>
      <c r="AS649" s="1414"/>
      <c r="AT649" s="1414"/>
      <c r="AU649" s="1414"/>
      <c r="AV649" s="1414"/>
      <c r="AW649" s="1414"/>
      <c r="AX649" s="1414"/>
      <c r="AY649" s="1399"/>
      <c r="AZ649" s="1399"/>
      <c r="BA649" s="1399"/>
      <c r="BB649" s="1399"/>
      <c r="BC649" s="1399"/>
      <c r="BD649" s="1399"/>
      <c r="BE649" s="1414"/>
      <c r="BF649" s="1399"/>
      <c r="BG649" s="1399"/>
      <c r="BH649" s="1399"/>
      <c r="BI649" s="1399"/>
      <c r="BJ649" s="1399"/>
      <c r="BK649" s="1399"/>
      <c r="BL649" s="1399"/>
      <c r="BM649" s="1399"/>
      <c r="BN649" s="1399"/>
      <c r="BO649" s="1399"/>
      <c r="BP649" s="1399"/>
      <c r="BQ649" s="1399"/>
      <c r="BR649" s="1399"/>
      <c r="BS649" s="1399"/>
      <c r="BT649" s="1399"/>
      <c r="BU649" s="1399"/>
      <c r="BV649" s="1399"/>
      <c r="BW649" s="1399"/>
      <c r="BX649" s="1399"/>
      <c r="BY649" s="1399"/>
      <c r="BZ649" s="1399"/>
      <c r="CA649" s="1399"/>
      <c r="CB649" s="1399"/>
      <c r="CC649" s="1399"/>
      <c r="CD649" s="1399"/>
      <c r="CE649" s="1399"/>
      <c r="CF649" s="1399"/>
      <c r="CG649" s="1399"/>
      <c r="CH649" s="1399"/>
      <c r="CI649" s="1399"/>
      <c r="CJ649" s="1399"/>
      <c r="CK649" s="1399"/>
      <c r="CL649" s="1399"/>
      <c r="CM649" s="1399"/>
      <c r="CN649" s="1399"/>
      <c r="CO649" s="1399"/>
      <c r="CP649" s="1399"/>
      <c r="CQ649" s="1399"/>
      <c r="CR649" s="1399"/>
      <c r="CS649" s="1399"/>
      <c r="CT649" s="1399"/>
      <c r="CU649" s="1399"/>
      <c r="CV649" s="1399"/>
      <c r="CW649" s="1399"/>
      <c r="CX649" s="1399"/>
      <c r="CY649" s="1399"/>
      <c r="CZ649" s="1399"/>
      <c r="DA649" s="1399"/>
      <c r="DB649" s="1399"/>
      <c r="DC649" s="1399"/>
      <c r="DD649" s="1399"/>
      <c r="DE649" s="1399"/>
      <c r="DF649" s="1399"/>
      <c r="DG649" s="1399"/>
      <c r="DH649" s="1399"/>
      <c r="DI649" s="1399"/>
      <c r="DJ649" s="1399"/>
      <c r="DK649" s="1399"/>
      <c r="DL649" s="1399"/>
      <c r="DM649" s="1399"/>
      <c r="DN649" s="1399"/>
      <c r="DO649" s="1399"/>
      <c r="DP649" s="1399"/>
      <c r="DQ649" s="1399"/>
      <c r="DR649" s="1399"/>
      <c r="DS649" s="1399"/>
      <c r="DT649" s="1399"/>
      <c r="DU649" s="1399"/>
    </row>
    <row r="650" spans="1:125">
      <c r="A650" s="1414"/>
      <c r="B650" s="1414"/>
      <c r="C650" s="1414"/>
      <c r="D650" s="1414"/>
      <c r="E650" s="1414"/>
      <c r="F650" s="1414"/>
      <c r="G650" s="1414"/>
      <c r="H650" s="1414"/>
      <c r="I650" s="1414"/>
      <c r="J650" s="1414"/>
      <c r="K650" s="1414"/>
      <c r="L650" s="1414"/>
      <c r="M650" s="1414"/>
      <c r="N650" s="1414"/>
      <c r="O650" s="1414"/>
      <c r="P650" s="1414"/>
      <c r="Q650" s="1414"/>
      <c r="R650" s="1414"/>
      <c r="S650" s="1414"/>
      <c r="T650" s="1414"/>
      <c r="U650" s="1414"/>
      <c r="V650" s="1414"/>
      <c r="W650" s="1414"/>
      <c r="X650" s="1414"/>
      <c r="Y650" s="1414"/>
      <c r="Z650" s="1414"/>
      <c r="AA650" s="1414"/>
      <c r="AB650" s="1414"/>
      <c r="AC650" s="1414"/>
      <c r="AD650" s="1414"/>
      <c r="AE650" s="1414"/>
      <c r="AF650" s="1414"/>
      <c r="AG650" s="1414"/>
      <c r="AH650" s="1414"/>
      <c r="AI650" s="1414"/>
      <c r="AJ650" s="1414"/>
      <c r="AK650" s="1414"/>
      <c r="AL650" s="1414"/>
      <c r="AM650" s="1414"/>
      <c r="AN650" s="1414"/>
      <c r="AO650" s="1414"/>
      <c r="AP650" s="1414"/>
      <c r="AQ650" s="1414"/>
      <c r="AR650" s="1414"/>
      <c r="AS650" s="1414"/>
      <c r="AT650" s="1414"/>
      <c r="AU650" s="1414"/>
      <c r="AV650" s="1414"/>
      <c r="AW650" s="1414"/>
      <c r="AX650" s="1414"/>
      <c r="AY650" s="1399"/>
      <c r="AZ650" s="1399"/>
      <c r="BA650" s="1399"/>
      <c r="BB650" s="1399"/>
      <c r="BC650" s="1399"/>
      <c r="BD650" s="1399"/>
      <c r="BE650" s="1414"/>
      <c r="BF650" s="1399"/>
      <c r="BG650" s="1399"/>
      <c r="BH650" s="1399"/>
      <c r="BI650" s="1399"/>
      <c r="BJ650" s="1399"/>
      <c r="BK650" s="1399"/>
      <c r="BL650" s="1399"/>
      <c r="BM650" s="1399"/>
      <c r="BN650" s="1399"/>
      <c r="BO650" s="1399"/>
      <c r="BP650" s="1399"/>
      <c r="BQ650" s="1399"/>
      <c r="BR650" s="1399"/>
      <c r="BS650" s="1399"/>
      <c r="BT650" s="1399"/>
      <c r="BU650" s="1399"/>
      <c r="BV650" s="1399"/>
      <c r="BW650" s="1399"/>
      <c r="BX650" s="1399"/>
      <c r="BY650" s="1399"/>
      <c r="BZ650" s="1399"/>
      <c r="CA650" s="1399"/>
      <c r="CB650" s="1399"/>
      <c r="CC650" s="1399"/>
      <c r="CD650" s="1399"/>
      <c r="CE650" s="1399"/>
      <c r="CF650" s="1399"/>
      <c r="CG650" s="1399"/>
      <c r="CH650" s="1399"/>
      <c r="CI650" s="1399"/>
      <c r="CJ650" s="1399"/>
      <c r="CK650" s="1399"/>
      <c r="CL650" s="1399"/>
      <c r="CM650" s="1399"/>
      <c r="CN650" s="1399"/>
      <c r="CO650" s="1399"/>
      <c r="CP650" s="1399"/>
      <c r="CQ650" s="1399"/>
      <c r="CR650" s="1399"/>
      <c r="CS650" s="1399"/>
      <c r="CT650" s="1399"/>
      <c r="CU650" s="1399"/>
      <c r="CV650" s="1399"/>
      <c r="CW650" s="1399"/>
      <c r="CX650" s="1399"/>
      <c r="CY650" s="1399"/>
      <c r="CZ650" s="1399"/>
      <c r="DA650" s="1399"/>
      <c r="DB650" s="1399"/>
      <c r="DC650" s="1399"/>
      <c r="DD650" s="1399"/>
      <c r="DE650" s="1399"/>
      <c r="DF650" s="1399"/>
      <c r="DG650" s="1399"/>
      <c r="DH650" s="1399"/>
      <c r="DI650" s="1399"/>
      <c r="DJ650" s="1399"/>
      <c r="DK650" s="1399"/>
      <c r="DL650" s="1399"/>
      <c r="DM650" s="1399"/>
      <c r="DN650" s="1399"/>
      <c r="DO650" s="1399"/>
      <c r="DP650" s="1399"/>
      <c r="DQ650" s="1399"/>
      <c r="DR650" s="1399"/>
      <c r="DS650" s="1399"/>
      <c r="DT650" s="1399"/>
      <c r="DU650" s="1399"/>
    </row>
    <row r="651" spans="1:125">
      <c r="A651" s="1414"/>
      <c r="B651" s="1414"/>
      <c r="C651" s="1414"/>
      <c r="D651" s="1414"/>
      <c r="E651" s="1414"/>
      <c r="F651" s="1414"/>
      <c r="G651" s="1414"/>
      <c r="H651" s="1414"/>
      <c r="I651" s="1414"/>
      <c r="J651" s="1414"/>
      <c r="K651" s="1414"/>
      <c r="L651" s="1414"/>
      <c r="M651" s="1414"/>
      <c r="N651" s="1414"/>
      <c r="O651" s="1414"/>
      <c r="P651" s="1414"/>
      <c r="Q651" s="1414"/>
      <c r="R651" s="1414"/>
      <c r="S651" s="1414"/>
      <c r="T651" s="1414"/>
      <c r="U651" s="1414"/>
      <c r="V651" s="1414"/>
      <c r="W651" s="1414"/>
      <c r="X651" s="1414"/>
      <c r="Y651" s="1414"/>
      <c r="Z651" s="1414"/>
      <c r="AA651" s="1414"/>
      <c r="AB651" s="1414"/>
      <c r="AC651" s="1414"/>
      <c r="AD651" s="1414"/>
      <c r="AE651" s="1414"/>
      <c r="AF651" s="1414"/>
      <c r="AG651" s="1414"/>
      <c r="AH651" s="1414"/>
      <c r="AI651" s="1414"/>
      <c r="AJ651" s="1414"/>
      <c r="AK651" s="1414"/>
      <c r="AL651" s="1414"/>
      <c r="AM651" s="1414"/>
      <c r="AN651" s="1414"/>
      <c r="AO651" s="1414"/>
      <c r="AP651" s="1414"/>
      <c r="AQ651" s="1414"/>
      <c r="AR651" s="1414"/>
      <c r="AS651" s="1414"/>
      <c r="AT651" s="1414"/>
      <c r="AU651" s="1414"/>
      <c r="AV651" s="1414"/>
      <c r="AW651" s="1414"/>
      <c r="AX651" s="1414"/>
      <c r="AY651" s="1399"/>
      <c r="AZ651" s="1399"/>
      <c r="BA651" s="1399"/>
      <c r="BB651" s="1399"/>
      <c r="BC651" s="1399"/>
      <c r="BD651" s="1399"/>
      <c r="BE651" s="1414"/>
      <c r="BF651" s="1399"/>
      <c r="BG651" s="1399"/>
      <c r="BH651" s="1399"/>
      <c r="BI651" s="1399"/>
      <c r="BJ651" s="1399"/>
      <c r="BK651" s="1399"/>
      <c r="BL651" s="1399"/>
      <c r="BM651" s="1399"/>
      <c r="BN651" s="1399"/>
      <c r="BO651" s="1399"/>
      <c r="BP651" s="1399"/>
      <c r="BQ651" s="1399"/>
      <c r="BR651" s="1399"/>
      <c r="BS651" s="1399"/>
      <c r="BT651" s="1399"/>
      <c r="BU651" s="1399"/>
      <c r="BV651" s="1399"/>
      <c r="BW651" s="1399"/>
      <c r="BX651" s="1399"/>
      <c r="BY651" s="1399"/>
      <c r="BZ651" s="1399"/>
      <c r="CA651" s="1399"/>
      <c r="CB651" s="1399"/>
      <c r="CC651" s="1399"/>
      <c r="CD651" s="1399"/>
      <c r="CE651" s="1399"/>
      <c r="CF651" s="1399"/>
      <c r="CG651" s="1399"/>
      <c r="CH651" s="1399"/>
      <c r="CI651" s="1399"/>
      <c r="CJ651" s="1399"/>
      <c r="CK651" s="1399"/>
      <c r="CL651" s="1399"/>
      <c r="CM651" s="1399"/>
      <c r="CN651" s="1399"/>
      <c r="CO651" s="1399"/>
      <c r="CP651" s="1399"/>
      <c r="CQ651" s="1399"/>
      <c r="CR651" s="1399"/>
      <c r="CS651" s="1399"/>
      <c r="CT651" s="1399"/>
      <c r="CU651" s="1399"/>
      <c r="CV651" s="1399"/>
      <c r="CW651" s="1399"/>
      <c r="CX651" s="1399"/>
      <c r="CY651" s="1399"/>
      <c r="CZ651" s="1399"/>
      <c r="DA651" s="1399"/>
      <c r="DB651" s="1399"/>
      <c r="DC651" s="1399"/>
      <c r="DD651" s="1399"/>
      <c r="DE651" s="1399"/>
      <c r="DF651" s="1399"/>
      <c r="DG651" s="1399"/>
      <c r="DH651" s="1399"/>
      <c r="DI651" s="1399"/>
      <c r="DJ651" s="1399"/>
      <c r="DK651" s="1399"/>
      <c r="DL651" s="1399"/>
      <c r="DM651" s="1399"/>
      <c r="DN651" s="1399"/>
      <c r="DO651" s="1399"/>
      <c r="DP651" s="1399"/>
      <c r="DQ651" s="1399"/>
      <c r="DR651" s="1399"/>
      <c r="DS651" s="1399"/>
      <c r="DT651" s="1399"/>
      <c r="DU651" s="1399"/>
    </row>
    <row r="652" spans="1:125">
      <c r="A652" s="1414"/>
      <c r="B652" s="1414"/>
      <c r="C652" s="1414"/>
      <c r="D652" s="1414"/>
      <c r="E652" s="1414"/>
      <c r="F652" s="1414"/>
      <c r="G652" s="1414"/>
      <c r="H652" s="1414"/>
      <c r="I652" s="1414"/>
      <c r="J652" s="1414"/>
      <c r="K652" s="1414"/>
      <c r="L652" s="1414"/>
      <c r="M652" s="1414"/>
      <c r="N652" s="1414"/>
      <c r="O652" s="1414"/>
      <c r="P652" s="1414"/>
      <c r="Q652" s="1414"/>
      <c r="R652" s="1414"/>
      <c r="S652" s="1414"/>
      <c r="T652" s="1414"/>
      <c r="U652" s="1414"/>
      <c r="V652" s="1414"/>
      <c r="W652" s="1414"/>
      <c r="X652" s="1414"/>
      <c r="Y652" s="1414"/>
      <c r="Z652" s="1414"/>
      <c r="AA652" s="1414"/>
      <c r="AB652" s="1414"/>
      <c r="AC652" s="1414"/>
      <c r="AD652" s="1414"/>
      <c r="AE652" s="1414"/>
      <c r="AF652" s="1414"/>
      <c r="AG652" s="1414"/>
      <c r="AH652" s="1414"/>
      <c r="AI652" s="1414"/>
      <c r="AJ652" s="1414"/>
      <c r="AK652" s="1414"/>
      <c r="AL652" s="1414"/>
      <c r="AM652" s="1414"/>
      <c r="AN652" s="1414"/>
      <c r="AO652" s="1414"/>
      <c r="AP652" s="1414"/>
      <c r="AQ652" s="1414"/>
      <c r="AR652" s="1414"/>
      <c r="AS652" s="1414"/>
      <c r="AT652" s="1414"/>
      <c r="AU652" s="1414"/>
      <c r="AV652" s="1414"/>
      <c r="AW652" s="1414"/>
      <c r="AX652" s="1414"/>
      <c r="AY652" s="1399"/>
      <c r="AZ652" s="1399"/>
      <c r="BA652" s="1399"/>
      <c r="BB652" s="1399"/>
      <c r="BC652" s="1399"/>
      <c r="BD652" s="1399"/>
      <c r="BE652" s="1414"/>
      <c r="BF652" s="1399"/>
      <c r="BG652" s="1399"/>
      <c r="BH652" s="1399"/>
      <c r="BI652" s="1399"/>
      <c r="BJ652" s="1399"/>
      <c r="BK652" s="1399"/>
      <c r="BL652" s="1399"/>
      <c r="BM652" s="1399"/>
      <c r="BN652" s="1399"/>
      <c r="BO652" s="1399"/>
      <c r="BP652" s="1399"/>
      <c r="BQ652" s="1399"/>
      <c r="BR652" s="1399"/>
      <c r="BS652" s="1399"/>
      <c r="BT652" s="1399"/>
      <c r="BU652" s="1399"/>
      <c r="BV652" s="1399"/>
      <c r="BW652" s="1399"/>
      <c r="BX652" s="1399"/>
      <c r="BY652" s="1399"/>
      <c r="BZ652" s="1399"/>
      <c r="CA652" s="1399"/>
      <c r="CB652" s="1399"/>
      <c r="CC652" s="1399"/>
      <c r="CD652" s="1399"/>
      <c r="CE652" s="1399"/>
      <c r="CF652" s="1399"/>
      <c r="CG652" s="1399"/>
      <c r="CH652" s="1399"/>
      <c r="CI652" s="1399"/>
      <c r="CJ652" s="1399"/>
      <c r="CK652" s="1399"/>
      <c r="CL652" s="1399"/>
      <c r="CM652" s="1399"/>
      <c r="CN652" s="1399"/>
      <c r="CO652" s="1399"/>
      <c r="CP652" s="1399"/>
      <c r="CQ652" s="1399"/>
      <c r="CR652" s="1399"/>
      <c r="CS652" s="1399"/>
      <c r="CT652" s="1399"/>
      <c r="CU652" s="1399"/>
      <c r="CV652" s="1399"/>
      <c r="CW652" s="1399"/>
      <c r="CX652" s="1399"/>
      <c r="CY652" s="1399"/>
      <c r="CZ652" s="1399"/>
      <c r="DA652" s="1399"/>
      <c r="DB652" s="1399"/>
      <c r="DC652" s="1399"/>
      <c r="DD652" s="1399"/>
      <c r="DE652" s="1399"/>
      <c r="DF652" s="1399"/>
      <c r="DG652" s="1399"/>
      <c r="DH652" s="1399"/>
      <c r="DI652" s="1399"/>
      <c r="DJ652" s="1399"/>
      <c r="DK652" s="1399"/>
      <c r="DL652" s="1399"/>
      <c r="DM652" s="1399"/>
      <c r="DN652" s="1399"/>
      <c r="DO652" s="1399"/>
      <c r="DP652" s="1399"/>
      <c r="DQ652" s="1399"/>
      <c r="DR652" s="1399"/>
      <c r="DS652" s="1399"/>
      <c r="DT652" s="1399"/>
      <c r="DU652" s="1399"/>
    </row>
    <row r="653" spans="1:125">
      <c r="A653" s="1414"/>
      <c r="B653" s="1414"/>
      <c r="C653" s="1414"/>
      <c r="D653" s="1414"/>
      <c r="E653" s="1414"/>
      <c r="F653" s="1414"/>
      <c r="G653" s="1414"/>
      <c r="H653" s="1414"/>
      <c r="I653" s="1414"/>
      <c r="J653" s="1414"/>
      <c r="K653" s="1414"/>
      <c r="L653" s="1414"/>
      <c r="M653" s="1414"/>
      <c r="N653" s="1414"/>
      <c r="O653" s="1414"/>
      <c r="P653" s="1414"/>
      <c r="Q653" s="1414"/>
      <c r="R653" s="1414"/>
      <c r="S653" s="1414"/>
      <c r="T653" s="1414"/>
      <c r="U653" s="1414"/>
      <c r="V653" s="1414"/>
      <c r="W653" s="1414"/>
      <c r="X653" s="1414"/>
      <c r="Y653" s="1414"/>
      <c r="Z653" s="1414"/>
      <c r="AA653" s="1414"/>
      <c r="AB653" s="1414"/>
      <c r="AC653" s="1414"/>
      <c r="AD653" s="1414"/>
      <c r="AE653" s="1414"/>
      <c r="AF653" s="1414"/>
      <c r="AG653" s="1414"/>
      <c r="AH653" s="1414"/>
      <c r="AI653" s="1414"/>
      <c r="AJ653" s="1414"/>
      <c r="AK653" s="1414"/>
      <c r="AL653" s="1414"/>
      <c r="AM653" s="1414"/>
      <c r="AN653" s="1414"/>
      <c r="AO653" s="1414"/>
      <c r="AP653" s="1414"/>
      <c r="AQ653" s="1414"/>
      <c r="AR653" s="1414"/>
      <c r="AS653" s="1414"/>
      <c r="AT653" s="1414"/>
      <c r="AU653" s="1414"/>
      <c r="AV653" s="1414"/>
      <c r="AW653" s="1414"/>
      <c r="AX653" s="1414"/>
      <c r="AY653" s="1399"/>
      <c r="AZ653" s="1399"/>
      <c r="BA653" s="1399"/>
      <c r="BB653" s="1399"/>
      <c r="BC653" s="1399"/>
      <c r="BD653" s="1399"/>
      <c r="BE653" s="1414"/>
      <c r="BF653" s="1399"/>
      <c r="BG653" s="1399"/>
      <c r="BH653" s="1399"/>
      <c r="BI653" s="1399"/>
      <c r="BJ653" s="1399"/>
      <c r="BK653" s="1399"/>
      <c r="BL653" s="1399"/>
      <c r="BM653" s="1399"/>
      <c r="BN653" s="1399"/>
      <c r="BO653" s="1399"/>
      <c r="BP653" s="1399"/>
      <c r="BQ653" s="1399"/>
      <c r="BR653" s="1399"/>
      <c r="BS653" s="1399"/>
      <c r="BT653" s="1399"/>
      <c r="BU653" s="1399"/>
      <c r="BV653" s="1399"/>
      <c r="BW653" s="1399"/>
      <c r="BX653" s="1399"/>
      <c r="BY653" s="1399"/>
      <c r="BZ653" s="1399"/>
      <c r="CA653" s="1399"/>
      <c r="CB653" s="1399"/>
      <c r="CC653" s="1399"/>
      <c r="CD653" s="1399"/>
      <c r="CE653" s="1399"/>
      <c r="CF653" s="1399"/>
      <c r="CG653" s="1399"/>
      <c r="CH653" s="1399"/>
      <c r="CI653" s="1399"/>
      <c r="CJ653" s="1399"/>
      <c r="CK653" s="1399"/>
      <c r="CL653" s="1399"/>
      <c r="CM653" s="1399"/>
      <c r="CN653" s="1399"/>
      <c r="CO653" s="1399"/>
      <c r="CP653" s="1399"/>
      <c r="CQ653" s="1399"/>
      <c r="CR653" s="1399"/>
      <c r="CS653" s="1399"/>
      <c r="CT653" s="1399"/>
      <c r="CU653" s="1399"/>
      <c r="CV653" s="1399"/>
      <c r="CW653" s="1399"/>
      <c r="CX653" s="1399"/>
      <c r="CY653" s="1399"/>
      <c r="CZ653" s="1399"/>
      <c r="DA653" s="1399"/>
      <c r="DB653" s="1399"/>
      <c r="DC653" s="1399"/>
      <c r="DD653" s="1399"/>
      <c r="DE653" s="1399"/>
      <c r="DF653" s="1399"/>
      <c r="DG653" s="1399"/>
      <c r="DH653" s="1399"/>
      <c r="DI653" s="1399"/>
      <c r="DJ653" s="1399"/>
      <c r="DK653" s="1399"/>
      <c r="DL653" s="1399"/>
      <c r="DM653" s="1399"/>
      <c r="DN653" s="1399"/>
      <c r="DO653" s="1399"/>
      <c r="DP653" s="1399"/>
      <c r="DQ653" s="1399"/>
      <c r="DR653" s="1399"/>
      <c r="DS653" s="1399"/>
      <c r="DT653" s="1399"/>
      <c r="DU653" s="1399"/>
    </row>
    <row r="654" spans="1:125">
      <c r="A654" s="1414"/>
      <c r="B654" s="1414"/>
      <c r="C654" s="1414"/>
      <c r="D654" s="1414"/>
      <c r="E654" s="1414"/>
      <c r="F654" s="1414"/>
      <c r="G654" s="1414"/>
      <c r="H654" s="1414"/>
      <c r="I654" s="1414"/>
      <c r="J654" s="1414"/>
      <c r="K654" s="1414"/>
      <c r="L654" s="1414"/>
      <c r="M654" s="1414"/>
      <c r="N654" s="1414"/>
      <c r="O654" s="1414"/>
      <c r="P654" s="1414"/>
      <c r="Q654" s="1414"/>
      <c r="R654" s="1414"/>
      <c r="S654" s="1414"/>
      <c r="T654" s="1414"/>
      <c r="U654" s="1414"/>
      <c r="V654" s="1414"/>
      <c r="W654" s="1414"/>
      <c r="X654" s="1414"/>
      <c r="Y654" s="1414"/>
      <c r="Z654" s="1414"/>
      <c r="AA654" s="1414"/>
      <c r="AB654" s="1414"/>
      <c r="AC654" s="1414"/>
      <c r="AD654" s="1414"/>
      <c r="AE654" s="1414"/>
      <c r="AF654" s="1414"/>
      <c r="AG654" s="1414"/>
      <c r="AH654" s="1414"/>
      <c r="AI654" s="1414"/>
      <c r="AJ654" s="1414"/>
      <c r="AK654" s="1414"/>
      <c r="AL654" s="1414"/>
      <c r="AM654" s="1414"/>
      <c r="AN654" s="1414"/>
      <c r="AO654" s="1414"/>
      <c r="AP654" s="1414"/>
      <c r="AQ654" s="1414"/>
      <c r="AR654" s="1414"/>
      <c r="AS654" s="1414"/>
      <c r="AT654" s="1414"/>
      <c r="AU654" s="1414"/>
      <c r="AV654" s="1414"/>
      <c r="AW654" s="1414"/>
      <c r="AX654" s="1414"/>
      <c r="AY654" s="1399"/>
      <c r="AZ654" s="1399"/>
      <c r="BA654" s="1399"/>
      <c r="BB654" s="1399"/>
      <c r="BC654" s="1399"/>
      <c r="BD654" s="1399"/>
      <c r="BE654" s="1414"/>
      <c r="BF654" s="1399"/>
      <c r="BG654" s="1399"/>
      <c r="BH654" s="1399"/>
      <c r="BI654" s="1399"/>
      <c r="BJ654" s="1399"/>
      <c r="BK654" s="1399"/>
      <c r="BL654" s="1399"/>
      <c r="BM654" s="1399"/>
      <c r="BN654" s="1399"/>
      <c r="BO654" s="1399"/>
      <c r="BP654" s="1399"/>
      <c r="BQ654" s="1399"/>
      <c r="BR654" s="1399"/>
      <c r="BS654" s="1399"/>
      <c r="BT654" s="1399"/>
      <c r="BU654" s="1399"/>
      <c r="BV654" s="1399"/>
      <c r="BW654" s="1399"/>
      <c r="BX654" s="1399"/>
      <c r="BY654" s="1399"/>
      <c r="BZ654" s="1399"/>
      <c r="CA654" s="1399"/>
      <c r="CB654" s="1399"/>
      <c r="CC654" s="1399"/>
      <c r="CD654" s="1399"/>
      <c r="CE654" s="1399"/>
      <c r="CF654" s="1399"/>
      <c r="CG654" s="1399"/>
      <c r="CH654" s="1399"/>
      <c r="CI654" s="1399"/>
      <c r="CJ654" s="1399"/>
      <c r="CK654" s="1399"/>
      <c r="CL654" s="1399"/>
      <c r="CM654" s="1399"/>
      <c r="CN654" s="1399"/>
      <c r="CO654" s="1399"/>
      <c r="CP654" s="1399"/>
      <c r="CQ654" s="1399"/>
      <c r="CR654" s="1399"/>
      <c r="CS654" s="1399"/>
      <c r="CT654" s="1399"/>
      <c r="CU654" s="1399"/>
      <c r="CV654" s="1399"/>
      <c r="CW654" s="1399"/>
      <c r="CX654" s="1399"/>
      <c r="CY654" s="1399"/>
      <c r="CZ654" s="1399"/>
      <c r="DA654" s="1399"/>
      <c r="DB654" s="1399"/>
      <c r="DC654" s="1399"/>
      <c r="DD654" s="1399"/>
      <c r="DE654" s="1399"/>
      <c r="DF654" s="1399"/>
      <c r="DG654" s="1399"/>
      <c r="DH654" s="1399"/>
      <c r="DI654" s="1399"/>
      <c r="DJ654" s="1399"/>
      <c r="DK654" s="1399"/>
      <c r="DL654" s="1399"/>
      <c r="DM654" s="1399"/>
      <c r="DN654" s="1399"/>
      <c r="DO654" s="1399"/>
      <c r="DP654" s="1399"/>
      <c r="DQ654" s="1399"/>
      <c r="DR654" s="1399"/>
      <c r="DS654" s="1399"/>
      <c r="DT654" s="1399"/>
      <c r="DU654" s="1399"/>
    </row>
    <row r="655" spans="1:125">
      <c r="A655" s="1414"/>
      <c r="B655" s="1414"/>
      <c r="C655" s="1414"/>
      <c r="D655" s="1414"/>
      <c r="E655" s="1414"/>
      <c r="F655" s="1414"/>
      <c r="G655" s="1414"/>
      <c r="H655" s="1414"/>
      <c r="I655" s="1414"/>
      <c r="J655" s="1414"/>
      <c r="K655" s="1414"/>
      <c r="L655" s="1414"/>
      <c r="M655" s="1414"/>
      <c r="N655" s="1414"/>
      <c r="O655" s="1414"/>
      <c r="P655" s="1414"/>
      <c r="Q655" s="1414"/>
      <c r="R655" s="1414"/>
      <c r="S655" s="1414"/>
      <c r="T655" s="1414"/>
      <c r="U655" s="1414"/>
      <c r="V655" s="1414"/>
      <c r="W655" s="1414"/>
      <c r="X655" s="1414"/>
      <c r="Y655" s="1414"/>
      <c r="Z655" s="1414"/>
      <c r="AA655" s="1414"/>
      <c r="AB655" s="1414"/>
      <c r="AC655" s="1414"/>
      <c r="AD655" s="1414"/>
      <c r="AE655" s="1414"/>
      <c r="AF655" s="1414"/>
      <c r="AG655" s="1414"/>
      <c r="AH655" s="1414"/>
      <c r="AI655" s="1414"/>
      <c r="AJ655" s="1414"/>
      <c r="AK655" s="1414"/>
      <c r="AL655" s="1414"/>
      <c r="AM655" s="1414"/>
      <c r="AN655" s="1414"/>
      <c r="AO655" s="1414"/>
      <c r="AP655" s="1414"/>
      <c r="AQ655" s="1414"/>
      <c r="AR655" s="1414"/>
      <c r="AS655" s="1414"/>
      <c r="AT655" s="1414"/>
      <c r="AU655" s="1414"/>
      <c r="AV655" s="1414"/>
      <c r="AW655" s="1414"/>
      <c r="AX655" s="1414"/>
      <c r="AY655" s="1399"/>
      <c r="AZ655" s="1399"/>
      <c r="BA655" s="1399"/>
      <c r="BB655" s="1399"/>
      <c r="BC655" s="1399"/>
      <c r="BD655" s="1399"/>
      <c r="BE655" s="1414"/>
      <c r="BF655" s="1399"/>
      <c r="BG655" s="1399"/>
      <c r="BH655" s="1399"/>
      <c r="BI655" s="1399"/>
      <c r="BJ655" s="1399"/>
      <c r="BK655" s="1399"/>
      <c r="BL655" s="1399"/>
      <c r="BM655" s="1399"/>
      <c r="BN655" s="1399"/>
      <c r="BO655" s="1399"/>
      <c r="BP655" s="1399"/>
      <c r="BQ655" s="1399"/>
      <c r="BR655" s="1399"/>
      <c r="BS655" s="1399"/>
      <c r="BT655" s="1399"/>
      <c r="BU655" s="1399"/>
      <c r="BV655" s="1399"/>
      <c r="BW655" s="1399"/>
      <c r="BX655" s="1399"/>
      <c r="BY655" s="1399"/>
      <c r="BZ655" s="1399"/>
      <c r="CA655" s="1399"/>
      <c r="CB655" s="1399"/>
      <c r="CC655" s="1399"/>
      <c r="CD655" s="1399"/>
      <c r="CE655" s="1399"/>
      <c r="CF655" s="1399"/>
      <c r="CG655" s="1399"/>
      <c r="CH655" s="1399"/>
      <c r="CI655" s="1399"/>
      <c r="CJ655" s="1399"/>
      <c r="CK655" s="1399"/>
      <c r="CL655" s="1399"/>
      <c r="CM655" s="1399"/>
      <c r="CN655" s="1399"/>
      <c r="CO655" s="1399"/>
      <c r="CP655" s="1399"/>
      <c r="CQ655" s="1399"/>
      <c r="CR655" s="1399"/>
      <c r="CS655" s="1399"/>
      <c r="CT655" s="1399"/>
      <c r="CU655" s="1399"/>
      <c r="CV655" s="1399"/>
      <c r="CW655" s="1399"/>
      <c r="CX655" s="1399"/>
      <c r="CY655" s="1399"/>
      <c r="CZ655" s="1399"/>
      <c r="DA655" s="1399"/>
      <c r="DB655" s="1399"/>
      <c r="DC655" s="1399"/>
      <c r="DD655" s="1399"/>
      <c r="DE655" s="1399"/>
      <c r="DF655" s="1399"/>
      <c r="DG655" s="1399"/>
      <c r="DH655" s="1399"/>
      <c r="DI655" s="1399"/>
      <c r="DJ655" s="1399"/>
      <c r="DK655" s="1399"/>
      <c r="DL655" s="1399"/>
      <c r="DM655" s="1399"/>
      <c r="DN655" s="1399"/>
      <c r="DO655" s="1399"/>
      <c r="DP655" s="1399"/>
      <c r="DQ655" s="1399"/>
      <c r="DR655" s="1399"/>
      <c r="DS655" s="1399"/>
      <c r="DT655" s="1399"/>
      <c r="DU655" s="1399"/>
    </row>
    <row r="656" spans="1:125">
      <c r="A656" s="1414"/>
      <c r="B656" s="1414"/>
      <c r="C656" s="1414"/>
      <c r="D656" s="1414"/>
      <c r="E656" s="1414"/>
      <c r="F656" s="1414"/>
      <c r="G656" s="1414"/>
      <c r="H656" s="1414"/>
      <c r="I656" s="1414"/>
      <c r="J656" s="1414"/>
      <c r="K656" s="1414"/>
      <c r="L656" s="1414"/>
      <c r="M656" s="1414"/>
      <c r="N656" s="1414"/>
      <c r="O656" s="1414"/>
      <c r="P656" s="1414"/>
      <c r="Q656" s="1414"/>
      <c r="R656" s="1414"/>
      <c r="S656" s="1414"/>
      <c r="T656" s="1414"/>
      <c r="U656" s="1414"/>
      <c r="V656" s="1414"/>
      <c r="W656" s="1414"/>
      <c r="X656" s="1414"/>
      <c r="Y656" s="1414"/>
      <c r="Z656" s="1414"/>
      <c r="AA656" s="1414"/>
      <c r="AB656" s="1414"/>
      <c r="AC656" s="1414"/>
      <c r="AD656" s="1414"/>
      <c r="AE656" s="1414"/>
      <c r="AF656" s="1414"/>
      <c r="AG656" s="1414"/>
      <c r="AH656" s="1414"/>
      <c r="AI656" s="1414"/>
      <c r="AJ656" s="1414"/>
      <c r="AK656" s="1414"/>
      <c r="AL656" s="1414"/>
      <c r="AM656" s="1414"/>
      <c r="AN656" s="1414"/>
      <c r="AO656" s="1414"/>
      <c r="AP656" s="1414"/>
      <c r="AQ656" s="1414"/>
      <c r="AR656" s="1414"/>
      <c r="AS656" s="1414"/>
      <c r="AT656" s="1414"/>
      <c r="AU656" s="1414"/>
      <c r="AV656" s="1414"/>
      <c r="AW656" s="1414"/>
      <c r="AX656" s="1414"/>
      <c r="AY656" s="1399"/>
      <c r="AZ656" s="1399"/>
      <c r="BA656" s="1399"/>
      <c r="BB656" s="1399"/>
      <c r="BC656" s="1399"/>
      <c r="BD656" s="1399"/>
      <c r="BE656" s="1414"/>
      <c r="BF656" s="1399"/>
      <c r="BG656" s="1399"/>
      <c r="BH656" s="1399"/>
      <c r="BI656" s="1399"/>
      <c r="BJ656" s="1399"/>
      <c r="BK656" s="1399"/>
      <c r="BL656" s="1399"/>
      <c r="BM656" s="1399"/>
      <c r="BN656" s="1399"/>
      <c r="BO656" s="1399"/>
      <c r="BP656" s="1399"/>
      <c r="BQ656" s="1399"/>
      <c r="BR656" s="1399"/>
      <c r="BS656" s="1399"/>
      <c r="BT656" s="1399"/>
      <c r="BU656" s="1399"/>
      <c r="BV656" s="1399"/>
      <c r="BW656" s="1399"/>
      <c r="BX656" s="1399"/>
      <c r="BY656" s="1399"/>
      <c r="BZ656" s="1399"/>
      <c r="CA656" s="1399"/>
      <c r="CB656" s="1399"/>
      <c r="CC656" s="1399"/>
      <c r="CD656" s="1399"/>
      <c r="CE656" s="1399"/>
      <c r="CF656" s="1399"/>
      <c r="CG656" s="1399"/>
      <c r="CH656" s="1399"/>
      <c r="CI656" s="1399"/>
      <c r="CJ656" s="1399"/>
      <c r="CK656" s="1399"/>
      <c r="CL656" s="1399"/>
      <c r="CM656" s="1399"/>
      <c r="CN656" s="1399"/>
      <c r="CO656" s="1399"/>
      <c r="CP656" s="1399"/>
      <c r="CQ656" s="1399"/>
      <c r="CR656" s="1399"/>
      <c r="CS656" s="1399"/>
      <c r="CT656" s="1399"/>
      <c r="CU656" s="1399"/>
      <c r="CV656" s="1399"/>
      <c r="CW656" s="1399"/>
      <c r="CX656" s="1399"/>
      <c r="CY656" s="1399"/>
      <c r="CZ656" s="1399"/>
      <c r="DA656" s="1399"/>
      <c r="DB656" s="1399"/>
      <c r="DC656" s="1399"/>
      <c r="DD656" s="1399"/>
      <c r="DE656" s="1399"/>
      <c r="DF656" s="1399"/>
      <c r="DG656" s="1399"/>
      <c r="DH656" s="1399"/>
      <c r="DI656" s="1399"/>
      <c r="DJ656" s="1399"/>
      <c r="DK656" s="1399"/>
      <c r="DL656" s="1399"/>
      <c r="DM656" s="1399"/>
      <c r="DN656" s="1399"/>
      <c r="DO656" s="1399"/>
      <c r="DP656" s="1399"/>
      <c r="DQ656" s="1399"/>
      <c r="DR656" s="1399"/>
      <c r="DS656" s="1399"/>
      <c r="DT656" s="1399"/>
      <c r="DU656" s="1399"/>
    </row>
    <row r="657" spans="1:125">
      <c r="A657" s="1414"/>
      <c r="B657" s="1414"/>
      <c r="C657" s="1414"/>
      <c r="D657" s="1414"/>
      <c r="E657" s="1414"/>
      <c r="F657" s="1414"/>
      <c r="G657" s="1414"/>
      <c r="H657" s="1414"/>
      <c r="I657" s="1414"/>
      <c r="J657" s="1414"/>
      <c r="K657" s="1414"/>
      <c r="L657" s="1414"/>
      <c r="M657" s="1414"/>
      <c r="N657" s="1414"/>
      <c r="O657" s="1414"/>
      <c r="P657" s="1414"/>
      <c r="Q657" s="1414"/>
      <c r="R657" s="1414"/>
      <c r="S657" s="1414"/>
      <c r="T657" s="1414"/>
      <c r="U657" s="1414"/>
      <c r="V657" s="1414"/>
      <c r="W657" s="1414"/>
      <c r="X657" s="1414"/>
      <c r="Y657" s="1414"/>
      <c r="Z657" s="1414"/>
      <c r="AA657" s="1414"/>
      <c r="AB657" s="1414"/>
      <c r="AC657" s="1414"/>
      <c r="AD657" s="1414"/>
      <c r="AE657" s="1414"/>
      <c r="AF657" s="1414"/>
      <c r="AG657" s="1414"/>
      <c r="AH657" s="1414"/>
      <c r="AI657" s="1414"/>
      <c r="AJ657" s="1414"/>
      <c r="AK657" s="1414"/>
      <c r="AL657" s="1414"/>
      <c r="AM657" s="1414"/>
      <c r="AN657" s="1414"/>
      <c r="AO657" s="1414"/>
      <c r="AP657" s="1414"/>
      <c r="AQ657" s="1414"/>
      <c r="AR657" s="1414"/>
      <c r="AS657" s="1414"/>
      <c r="AT657" s="1414"/>
      <c r="AU657" s="1414"/>
      <c r="AV657" s="1414"/>
      <c r="AW657" s="1414"/>
      <c r="AX657" s="1414"/>
      <c r="AY657" s="1399"/>
      <c r="AZ657" s="1399"/>
      <c r="BA657" s="1399"/>
      <c r="BB657" s="1399"/>
      <c r="BC657" s="1399"/>
      <c r="BD657" s="1399"/>
      <c r="BE657" s="1414"/>
      <c r="BF657" s="1399"/>
      <c r="BG657" s="1399"/>
      <c r="BH657" s="1399"/>
      <c r="BI657" s="1399"/>
      <c r="BJ657" s="1399"/>
      <c r="BK657" s="1399"/>
      <c r="BL657" s="1399"/>
      <c r="BM657" s="1399"/>
      <c r="BN657" s="1399"/>
      <c r="BO657" s="1399"/>
      <c r="BP657" s="1399"/>
      <c r="BQ657" s="1399"/>
      <c r="BR657" s="1399"/>
      <c r="BS657" s="1399"/>
      <c r="BT657" s="1399"/>
      <c r="BU657" s="1399"/>
      <c r="BV657" s="1399"/>
      <c r="BW657" s="1399"/>
      <c r="BX657" s="1399"/>
      <c r="BY657" s="1399"/>
      <c r="BZ657" s="1399"/>
      <c r="CA657" s="1399"/>
      <c r="CB657" s="1399"/>
      <c r="CC657" s="1399"/>
      <c r="CD657" s="1399"/>
      <c r="CE657" s="1399"/>
      <c r="CF657" s="1399"/>
      <c r="CG657" s="1399"/>
      <c r="CH657" s="1399"/>
      <c r="CI657" s="1399"/>
      <c r="CJ657" s="1399"/>
      <c r="CK657" s="1399"/>
      <c r="CL657" s="1399"/>
      <c r="CM657" s="1399"/>
      <c r="CN657" s="1399"/>
      <c r="CO657" s="1399"/>
      <c r="CP657" s="1399"/>
      <c r="CQ657" s="1399"/>
      <c r="CR657" s="1399"/>
      <c r="CS657" s="1399"/>
      <c r="CT657" s="1399"/>
      <c r="CU657" s="1399"/>
      <c r="CV657" s="1399"/>
      <c r="CW657" s="1399"/>
      <c r="CX657" s="1399"/>
      <c r="CY657" s="1399"/>
      <c r="CZ657" s="1399"/>
      <c r="DA657" s="1399"/>
      <c r="DB657" s="1399"/>
      <c r="DC657" s="1399"/>
      <c r="DD657" s="1399"/>
      <c r="DE657" s="1399"/>
      <c r="DF657" s="1399"/>
      <c r="DG657" s="1399"/>
      <c r="DH657" s="1399"/>
      <c r="DI657" s="1399"/>
      <c r="DJ657" s="1399"/>
      <c r="DK657" s="1399"/>
      <c r="DL657" s="1399"/>
      <c r="DM657" s="1399"/>
      <c r="DN657" s="1399"/>
      <c r="DO657" s="1399"/>
      <c r="DP657" s="1399"/>
      <c r="DQ657" s="1399"/>
      <c r="DR657" s="1399"/>
      <c r="DS657" s="1399"/>
      <c r="DT657" s="1399"/>
      <c r="DU657" s="1399"/>
    </row>
    <row r="658" spans="1:125">
      <c r="A658" s="1414"/>
      <c r="B658" s="1414"/>
      <c r="C658" s="1414"/>
      <c r="D658" s="1414"/>
      <c r="E658" s="1414"/>
      <c r="F658" s="1414"/>
      <c r="G658" s="1414"/>
      <c r="H658" s="1414"/>
      <c r="I658" s="1414"/>
      <c r="J658" s="1414"/>
      <c r="K658" s="1414"/>
      <c r="L658" s="1414"/>
      <c r="M658" s="1414"/>
      <c r="N658" s="1414"/>
      <c r="O658" s="1414"/>
      <c r="P658" s="1414"/>
      <c r="Q658" s="1414"/>
      <c r="R658" s="1414"/>
      <c r="S658" s="1414"/>
      <c r="T658" s="1414"/>
      <c r="U658" s="1414"/>
      <c r="V658" s="1414"/>
      <c r="W658" s="1414"/>
      <c r="X658" s="1414"/>
      <c r="Y658" s="1414"/>
      <c r="Z658" s="1414"/>
      <c r="AA658" s="1414"/>
      <c r="AB658" s="1414"/>
      <c r="AC658" s="1414"/>
      <c r="AD658" s="1414"/>
      <c r="AE658" s="1414"/>
      <c r="AF658" s="1414"/>
      <c r="AG658" s="1414"/>
      <c r="AH658" s="1414"/>
      <c r="AI658" s="1414"/>
      <c r="AJ658" s="1414"/>
      <c r="AK658" s="1414"/>
      <c r="AL658" s="1414"/>
      <c r="AM658" s="1414"/>
      <c r="AN658" s="1414"/>
      <c r="AO658" s="1414"/>
      <c r="AP658" s="1414"/>
      <c r="AQ658" s="1414"/>
      <c r="AR658" s="1414"/>
      <c r="AS658" s="1414"/>
      <c r="AT658" s="1414"/>
      <c r="AU658" s="1414"/>
      <c r="AV658" s="1414"/>
      <c r="AW658" s="1414"/>
      <c r="AX658" s="1414"/>
      <c r="AY658" s="1399"/>
      <c r="AZ658" s="1399"/>
      <c r="BA658" s="1399"/>
      <c r="BB658" s="1399"/>
      <c r="BC658" s="1399"/>
      <c r="BD658" s="1399"/>
      <c r="BE658" s="1414"/>
      <c r="BF658" s="1399"/>
      <c r="BG658" s="1399"/>
      <c r="BH658" s="1399"/>
      <c r="BI658" s="1399"/>
      <c r="BJ658" s="1399"/>
      <c r="BK658" s="1399"/>
      <c r="BL658" s="1399"/>
      <c r="BM658" s="1399"/>
      <c r="BN658" s="1399"/>
      <c r="BO658" s="1399"/>
      <c r="BP658" s="1399"/>
      <c r="BQ658" s="1399"/>
      <c r="BR658" s="1399"/>
      <c r="BS658" s="1399"/>
      <c r="BT658" s="1399"/>
      <c r="BU658" s="1399"/>
      <c r="BV658" s="1399"/>
      <c r="BW658" s="1399"/>
      <c r="BX658" s="1399"/>
      <c r="BY658" s="1399"/>
      <c r="BZ658" s="1399"/>
      <c r="CA658" s="1399"/>
      <c r="CB658" s="1399"/>
      <c r="CC658" s="1399"/>
      <c r="CD658" s="1399"/>
      <c r="CE658" s="1399"/>
      <c r="CF658" s="1399"/>
      <c r="CG658" s="1399"/>
      <c r="CH658" s="1399"/>
      <c r="CI658" s="1399"/>
      <c r="CJ658" s="1399"/>
      <c r="CK658" s="1399"/>
      <c r="CL658" s="1399"/>
      <c r="CM658" s="1399"/>
      <c r="CN658" s="1399"/>
      <c r="CO658" s="1399"/>
      <c r="CP658" s="1399"/>
      <c r="CQ658" s="1399"/>
      <c r="CR658" s="1399"/>
      <c r="CS658" s="1399"/>
      <c r="CT658" s="1399"/>
      <c r="CU658" s="1399"/>
      <c r="CV658" s="1399"/>
      <c r="CW658" s="1399"/>
      <c r="CX658" s="1399"/>
      <c r="CY658" s="1399"/>
      <c r="CZ658" s="1399"/>
      <c r="DA658" s="1399"/>
      <c r="DB658" s="1399"/>
      <c r="DC658" s="1399"/>
      <c r="DD658" s="1399"/>
      <c r="DE658" s="1399"/>
      <c r="DF658" s="1399"/>
      <c r="DG658" s="1399"/>
      <c r="DH658" s="1399"/>
      <c r="DI658" s="1399"/>
      <c r="DJ658" s="1399"/>
      <c r="DK658" s="1399"/>
      <c r="DL658" s="1399"/>
      <c r="DM658" s="1399"/>
      <c r="DN658" s="1399"/>
      <c r="DO658" s="1399"/>
      <c r="DP658" s="1399"/>
      <c r="DQ658" s="1399"/>
      <c r="DR658" s="1399"/>
      <c r="DS658" s="1399"/>
      <c r="DT658" s="1399"/>
      <c r="DU658" s="1399"/>
    </row>
    <row r="659" spans="1:125">
      <c r="A659" s="1414"/>
      <c r="B659" s="1414"/>
      <c r="C659" s="1414"/>
      <c r="D659" s="1414"/>
      <c r="E659" s="1414"/>
      <c r="F659" s="1414"/>
      <c r="G659" s="1414"/>
      <c r="H659" s="1414"/>
      <c r="I659" s="1414"/>
      <c r="J659" s="1414"/>
      <c r="K659" s="1414"/>
      <c r="L659" s="1414"/>
      <c r="M659" s="1414"/>
      <c r="N659" s="1414"/>
      <c r="O659" s="1414"/>
      <c r="P659" s="1414"/>
      <c r="Q659" s="1414"/>
      <c r="R659" s="1414"/>
      <c r="S659" s="1414"/>
      <c r="T659" s="1414"/>
      <c r="U659" s="1414"/>
      <c r="V659" s="1414"/>
      <c r="W659" s="1414"/>
      <c r="X659" s="1414"/>
      <c r="Y659" s="1414"/>
      <c r="Z659" s="1414"/>
      <c r="AA659" s="1414"/>
      <c r="AB659" s="1414"/>
      <c r="AC659" s="1414"/>
      <c r="AD659" s="1414"/>
      <c r="AE659" s="1414"/>
      <c r="AF659" s="1414"/>
      <c r="AG659" s="1414"/>
      <c r="AH659" s="1414"/>
      <c r="AI659" s="1414"/>
      <c r="AJ659" s="1414"/>
      <c r="AK659" s="1414"/>
      <c r="AL659" s="1414"/>
      <c r="AM659" s="1414"/>
      <c r="AN659" s="1414"/>
      <c r="AO659" s="1414"/>
      <c r="AP659" s="1414"/>
      <c r="AQ659" s="1414"/>
      <c r="AR659" s="1414"/>
      <c r="AS659" s="1414"/>
      <c r="AT659" s="1414"/>
      <c r="AU659" s="1414"/>
      <c r="AV659" s="1414"/>
      <c r="AW659" s="1414"/>
      <c r="AX659" s="1414"/>
      <c r="AY659" s="1399"/>
      <c r="AZ659" s="1399"/>
      <c r="BA659" s="1399"/>
      <c r="BB659" s="1399"/>
      <c r="BC659" s="1399"/>
      <c r="BD659" s="1399"/>
      <c r="BE659" s="1414"/>
      <c r="BF659" s="1399"/>
      <c r="BG659" s="1399"/>
      <c r="BH659" s="1399"/>
      <c r="BI659" s="1399"/>
      <c r="BJ659" s="1399"/>
      <c r="BK659" s="1399"/>
      <c r="BL659" s="1399"/>
      <c r="BM659" s="1399"/>
      <c r="BN659" s="1399"/>
      <c r="BO659" s="1399"/>
      <c r="BP659" s="1399"/>
      <c r="BQ659" s="1399"/>
      <c r="BR659" s="1399"/>
      <c r="BS659" s="1399"/>
      <c r="BT659" s="1399"/>
      <c r="BU659" s="1399"/>
      <c r="BV659" s="1399"/>
      <c r="BW659" s="1399"/>
      <c r="BX659" s="1399"/>
      <c r="BY659" s="1399"/>
      <c r="BZ659" s="1399"/>
      <c r="CA659" s="1399"/>
      <c r="CB659" s="1399"/>
      <c r="CC659" s="1399"/>
      <c r="CD659" s="1399"/>
      <c r="CE659" s="1399"/>
      <c r="CF659" s="1399"/>
      <c r="CG659" s="1399"/>
      <c r="CH659" s="1399"/>
      <c r="CI659" s="1399"/>
      <c r="CJ659" s="1399"/>
      <c r="CK659" s="1399"/>
      <c r="CL659" s="1399"/>
      <c r="CM659" s="1399"/>
      <c r="CN659" s="1399"/>
      <c r="CO659" s="1399"/>
      <c r="CP659" s="1399"/>
      <c r="CQ659" s="1399"/>
      <c r="CR659" s="1399"/>
      <c r="CS659" s="1399"/>
      <c r="CT659" s="1399"/>
      <c r="CU659" s="1399"/>
      <c r="CV659" s="1399"/>
      <c r="CW659" s="1399"/>
      <c r="CX659" s="1399"/>
      <c r="CY659" s="1399"/>
      <c r="CZ659" s="1399"/>
      <c r="DA659" s="1399"/>
      <c r="DB659" s="1399"/>
      <c r="DC659" s="1399"/>
      <c r="DD659" s="1399"/>
      <c r="DE659" s="1399"/>
      <c r="DF659" s="1399"/>
      <c r="DG659" s="1399"/>
      <c r="DH659" s="1399"/>
      <c r="DI659" s="1399"/>
      <c r="DJ659" s="1399"/>
      <c r="DK659" s="1399"/>
      <c r="DL659" s="1399"/>
      <c r="DM659" s="1399"/>
      <c r="DN659" s="1399"/>
      <c r="DO659" s="1399"/>
      <c r="DP659" s="1399"/>
      <c r="DQ659" s="1399"/>
      <c r="DR659" s="1399"/>
      <c r="DS659" s="1399"/>
      <c r="DT659" s="1399"/>
      <c r="DU659" s="1399"/>
    </row>
    <row r="660" spans="1:125">
      <c r="A660" s="1414"/>
      <c r="B660" s="1414"/>
      <c r="C660" s="1414"/>
      <c r="D660" s="1414"/>
      <c r="E660" s="1414"/>
      <c r="F660" s="1414"/>
      <c r="G660" s="1414"/>
      <c r="H660" s="1414"/>
      <c r="I660" s="1414"/>
      <c r="J660" s="1414"/>
      <c r="K660" s="1414"/>
      <c r="L660" s="1414"/>
      <c r="M660" s="1414"/>
      <c r="N660" s="1414"/>
      <c r="O660" s="1414"/>
      <c r="P660" s="1414"/>
      <c r="Q660" s="1414"/>
      <c r="R660" s="1414"/>
      <c r="S660" s="1414"/>
      <c r="T660" s="1414"/>
      <c r="U660" s="1414"/>
      <c r="V660" s="1414"/>
      <c r="W660" s="1414"/>
      <c r="X660" s="1414"/>
      <c r="Y660" s="1414"/>
      <c r="Z660" s="1414"/>
      <c r="AA660" s="1414"/>
      <c r="AB660" s="1414"/>
      <c r="AC660" s="1414"/>
      <c r="AD660" s="1414"/>
      <c r="AE660" s="1414"/>
      <c r="AF660" s="1414"/>
      <c r="AG660" s="1414"/>
      <c r="AH660" s="1414"/>
      <c r="AI660" s="1414"/>
      <c r="AJ660" s="1414"/>
      <c r="AK660" s="1414"/>
      <c r="AL660" s="1414"/>
      <c r="AM660" s="1414"/>
      <c r="AN660" s="1414"/>
      <c r="AO660" s="1414"/>
      <c r="AP660" s="1414"/>
      <c r="AQ660" s="1414"/>
      <c r="AR660" s="1414"/>
      <c r="AS660" s="1414"/>
      <c r="AT660" s="1414"/>
      <c r="AU660" s="1414"/>
      <c r="AV660" s="1414"/>
      <c r="AW660" s="1414"/>
      <c r="AX660" s="1414"/>
      <c r="AY660" s="1399"/>
      <c r="AZ660" s="1399"/>
      <c r="BA660" s="1399"/>
      <c r="BB660" s="1399"/>
      <c r="BC660" s="1399"/>
      <c r="BD660" s="1399"/>
      <c r="BE660" s="1414"/>
      <c r="BF660" s="1399"/>
      <c r="BG660" s="1399"/>
      <c r="BH660" s="1399"/>
      <c r="BI660" s="1399"/>
      <c r="BJ660" s="1399"/>
      <c r="BK660" s="1399"/>
      <c r="BL660" s="1399"/>
      <c r="BM660" s="1399"/>
      <c r="BN660" s="1399"/>
      <c r="BO660" s="1399"/>
      <c r="BP660" s="1399"/>
      <c r="BQ660" s="1399"/>
      <c r="BR660" s="1399"/>
      <c r="BS660" s="1399"/>
      <c r="BT660" s="1399"/>
      <c r="BU660" s="1399"/>
      <c r="BV660" s="1399"/>
      <c r="BW660" s="1399"/>
      <c r="BX660" s="1399"/>
      <c r="BY660" s="1399"/>
      <c r="BZ660" s="1399"/>
      <c r="CA660" s="1399"/>
      <c r="CB660" s="1399"/>
      <c r="CC660" s="1399"/>
      <c r="CD660" s="1399"/>
      <c r="CE660" s="1399"/>
      <c r="CF660" s="1399"/>
      <c r="CG660" s="1399"/>
      <c r="CH660" s="1399"/>
      <c r="CI660" s="1399"/>
      <c r="CJ660" s="1399"/>
      <c r="CK660" s="1399"/>
      <c r="CL660" s="1399"/>
      <c r="CM660" s="1399"/>
      <c r="CN660" s="1399"/>
      <c r="CO660" s="1399"/>
      <c r="CP660" s="1399"/>
      <c r="CQ660" s="1399"/>
      <c r="CR660" s="1399"/>
      <c r="CS660" s="1399"/>
      <c r="CT660" s="1399"/>
      <c r="CU660" s="1399"/>
      <c r="CV660" s="1399"/>
      <c r="CW660" s="1399"/>
      <c r="CX660" s="1399"/>
      <c r="CY660" s="1399"/>
      <c r="CZ660" s="1399"/>
      <c r="DA660" s="1399"/>
      <c r="DB660" s="1399"/>
      <c r="DC660" s="1399"/>
      <c r="DD660" s="1399"/>
      <c r="DE660" s="1399"/>
      <c r="DF660" s="1399"/>
      <c r="DG660" s="1399"/>
      <c r="DH660" s="1399"/>
      <c r="DI660" s="1399"/>
      <c r="DJ660" s="1399"/>
      <c r="DK660" s="1399"/>
      <c r="DL660" s="1399"/>
      <c r="DM660" s="1399"/>
      <c r="DN660" s="1399"/>
      <c r="DO660" s="1399"/>
      <c r="DP660" s="1399"/>
      <c r="DQ660" s="1399"/>
      <c r="DR660" s="1399"/>
      <c r="DS660" s="1399"/>
      <c r="DT660" s="1399"/>
      <c r="DU660" s="1399"/>
    </row>
    <row r="661" spans="1:125">
      <c r="A661" s="1414"/>
      <c r="B661" s="1414"/>
      <c r="C661" s="1414"/>
      <c r="D661" s="1414"/>
      <c r="E661" s="1414"/>
      <c r="F661" s="1414"/>
      <c r="G661" s="1414"/>
      <c r="H661" s="1414"/>
      <c r="I661" s="1414"/>
      <c r="J661" s="1414"/>
      <c r="K661" s="1414"/>
      <c r="L661" s="1414"/>
      <c r="M661" s="1414"/>
      <c r="N661" s="1414"/>
      <c r="O661" s="1414"/>
      <c r="P661" s="1414"/>
      <c r="Q661" s="1414"/>
      <c r="R661" s="1414"/>
      <c r="S661" s="1414"/>
      <c r="T661" s="1414"/>
      <c r="U661" s="1414"/>
      <c r="V661" s="1414"/>
      <c r="W661" s="1414"/>
      <c r="X661" s="1414"/>
      <c r="Y661" s="1414"/>
      <c r="Z661" s="1414"/>
      <c r="AA661" s="1414"/>
      <c r="AB661" s="1414"/>
      <c r="AC661" s="1414"/>
      <c r="AD661" s="1414"/>
      <c r="AE661" s="1414"/>
      <c r="AF661" s="1414"/>
      <c r="AG661" s="1414"/>
      <c r="AH661" s="1414"/>
      <c r="AI661" s="1414"/>
      <c r="AJ661" s="1414"/>
      <c r="AK661" s="1414"/>
      <c r="AL661" s="1414"/>
      <c r="AM661" s="1414"/>
      <c r="AN661" s="1414"/>
      <c r="AO661" s="1414"/>
      <c r="AP661" s="1414"/>
      <c r="AQ661" s="1414"/>
      <c r="AR661" s="1414"/>
      <c r="AS661" s="1414"/>
      <c r="AT661" s="1414"/>
      <c r="AU661" s="1414"/>
      <c r="AV661" s="1414"/>
      <c r="AW661" s="1414"/>
      <c r="AX661" s="1414"/>
      <c r="AY661" s="1399"/>
      <c r="AZ661" s="1399"/>
      <c r="BA661" s="1399"/>
      <c r="BB661" s="1399"/>
      <c r="BC661" s="1399"/>
      <c r="BD661" s="1399"/>
      <c r="BE661" s="1414"/>
      <c r="BF661" s="1399"/>
      <c r="BG661" s="1399"/>
      <c r="BH661" s="1399"/>
      <c r="BI661" s="1399"/>
      <c r="BJ661" s="1399"/>
      <c r="BK661" s="1399"/>
      <c r="BL661" s="1399"/>
      <c r="BM661" s="1399"/>
      <c r="BN661" s="1399"/>
      <c r="BO661" s="1399"/>
      <c r="BP661" s="1399"/>
      <c r="BQ661" s="1399"/>
      <c r="BR661" s="1399"/>
      <c r="BS661" s="1399"/>
      <c r="BT661" s="1399"/>
      <c r="BU661" s="1399"/>
      <c r="BV661" s="1399"/>
      <c r="BW661" s="1399"/>
      <c r="BX661" s="1399"/>
      <c r="BY661" s="1399"/>
      <c r="BZ661" s="1399"/>
      <c r="CA661" s="1399"/>
      <c r="CB661" s="1399"/>
      <c r="CC661" s="1399"/>
      <c r="CD661" s="1399"/>
      <c r="CE661" s="1399"/>
      <c r="CF661" s="1399"/>
      <c r="CG661" s="1399"/>
      <c r="CH661" s="1399"/>
      <c r="CI661" s="1399"/>
      <c r="CJ661" s="1399"/>
      <c r="CK661" s="1399"/>
      <c r="CL661" s="1399"/>
      <c r="CM661" s="1399"/>
      <c r="CN661" s="1399"/>
      <c r="CO661" s="1399"/>
      <c r="CP661" s="1399"/>
      <c r="CQ661" s="1399"/>
      <c r="CR661" s="1399"/>
      <c r="CS661" s="1399"/>
      <c r="CT661" s="1399"/>
      <c r="CU661" s="1399"/>
      <c r="CV661" s="1399"/>
      <c r="CW661" s="1399"/>
      <c r="CX661" s="1399"/>
      <c r="CY661" s="1399"/>
      <c r="CZ661" s="1399"/>
      <c r="DA661" s="1399"/>
      <c r="DB661" s="1399"/>
      <c r="DC661" s="1399"/>
      <c r="DD661" s="1399"/>
      <c r="DE661" s="1399"/>
      <c r="DF661" s="1399"/>
      <c r="DG661" s="1399"/>
      <c r="DH661" s="1399"/>
      <c r="DI661" s="1399"/>
      <c r="DJ661" s="1399"/>
      <c r="DK661" s="1399"/>
      <c r="DL661" s="1399"/>
      <c r="DM661" s="1399"/>
      <c r="DN661" s="1399"/>
      <c r="DO661" s="1399"/>
      <c r="DP661" s="1399"/>
      <c r="DQ661" s="1399"/>
      <c r="DR661" s="1399"/>
      <c r="DS661" s="1399"/>
      <c r="DT661" s="1399"/>
      <c r="DU661" s="1399"/>
    </row>
    <row r="662" spans="1:125">
      <c r="A662" s="1414"/>
      <c r="B662" s="1414"/>
      <c r="C662" s="1414"/>
      <c r="D662" s="1414"/>
      <c r="E662" s="1414"/>
      <c r="F662" s="1414"/>
      <c r="G662" s="1414"/>
      <c r="H662" s="1414"/>
      <c r="I662" s="1414"/>
      <c r="J662" s="1414"/>
      <c r="K662" s="1414"/>
      <c r="L662" s="1414"/>
      <c r="M662" s="1414"/>
      <c r="N662" s="1414"/>
      <c r="O662" s="1414"/>
      <c r="P662" s="1414"/>
      <c r="Q662" s="1414"/>
      <c r="R662" s="1414"/>
      <c r="S662" s="1414"/>
      <c r="T662" s="1414"/>
      <c r="U662" s="1414"/>
      <c r="V662" s="1414"/>
      <c r="W662" s="1414"/>
      <c r="X662" s="1414"/>
      <c r="Y662" s="1414"/>
      <c r="Z662" s="1414"/>
      <c r="AA662" s="1414"/>
      <c r="AB662" s="1414"/>
      <c r="AC662" s="1414"/>
      <c r="AD662" s="1414"/>
      <c r="AE662" s="1414"/>
      <c r="AF662" s="1414"/>
      <c r="AG662" s="1414"/>
      <c r="AH662" s="1414"/>
      <c r="AI662" s="1414"/>
      <c r="AJ662" s="1414"/>
      <c r="AK662" s="1414"/>
      <c r="AL662" s="1414"/>
      <c r="AM662" s="1414"/>
      <c r="AN662" s="1414"/>
      <c r="AO662" s="1414"/>
      <c r="AP662" s="1414"/>
      <c r="AQ662" s="1414"/>
      <c r="AR662" s="1414"/>
      <c r="AS662" s="1414"/>
      <c r="AT662" s="1414"/>
      <c r="AU662" s="1414"/>
      <c r="AV662" s="1414"/>
      <c r="AW662" s="1414"/>
      <c r="AX662" s="1414"/>
      <c r="AY662" s="1399"/>
      <c r="AZ662" s="1399"/>
      <c r="BA662" s="1399"/>
      <c r="BB662" s="1399"/>
      <c r="BC662" s="1399"/>
      <c r="BD662" s="1399"/>
      <c r="BE662" s="1414"/>
      <c r="BF662" s="1399"/>
      <c r="BG662" s="1399"/>
      <c r="BH662" s="1399"/>
      <c r="BI662" s="1399"/>
      <c r="BJ662" s="1399"/>
      <c r="BK662" s="1399"/>
      <c r="BL662" s="1399"/>
      <c r="BM662" s="1399"/>
      <c r="BN662" s="1399"/>
      <c r="BO662" s="1399"/>
      <c r="BP662" s="1399"/>
      <c r="BQ662" s="1399"/>
      <c r="BR662" s="1399"/>
      <c r="BS662" s="1399"/>
      <c r="BT662" s="1399"/>
      <c r="BU662" s="1399"/>
      <c r="BV662" s="1399"/>
      <c r="BW662" s="1399"/>
      <c r="BX662" s="1399"/>
      <c r="BY662" s="1399"/>
      <c r="BZ662" s="1399"/>
      <c r="CA662" s="1399"/>
      <c r="CB662" s="1399"/>
      <c r="CC662" s="1399"/>
      <c r="CD662" s="1399"/>
      <c r="CE662" s="1399"/>
      <c r="CF662" s="1399"/>
      <c r="CG662" s="1399"/>
      <c r="CH662" s="1399"/>
      <c r="CI662" s="1399"/>
      <c r="CJ662" s="1399"/>
      <c r="CK662" s="1399"/>
      <c r="CL662" s="1399"/>
      <c r="CM662" s="1399"/>
      <c r="CN662" s="1399"/>
      <c r="CO662" s="1399"/>
      <c r="CP662" s="1399"/>
      <c r="CQ662" s="1399"/>
      <c r="CR662" s="1399"/>
      <c r="CS662" s="1399"/>
      <c r="CT662" s="1399"/>
      <c r="CU662" s="1399"/>
      <c r="CV662" s="1399"/>
      <c r="CW662" s="1399"/>
      <c r="CX662" s="1399"/>
      <c r="CY662" s="1399"/>
      <c r="CZ662" s="1399"/>
      <c r="DA662" s="1399"/>
      <c r="DB662" s="1399"/>
      <c r="DC662" s="1399"/>
      <c r="DD662" s="1399"/>
      <c r="DE662" s="1399"/>
      <c r="DF662" s="1399"/>
      <c r="DG662" s="1399"/>
      <c r="DH662" s="1399"/>
      <c r="DI662" s="1399"/>
      <c r="DJ662" s="1399"/>
      <c r="DK662" s="1399"/>
      <c r="DL662" s="1399"/>
      <c r="DM662" s="1399"/>
      <c r="DN662" s="1399"/>
      <c r="DO662" s="1399"/>
      <c r="DP662" s="1399"/>
      <c r="DQ662" s="1399"/>
      <c r="DR662" s="1399"/>
      <c r="DS662" s="1399"/>
      <c r="DT662" s="1399"/>
      <c r="DU662" s="1399"/>
    </row>
    <row r="663" spans="1:125">
      <c r="A663" s="1414"/>
      <c r="B663" s="1414"/>
      <c r="C663" s="1414"/>
      <c r="D663" s="1414"/>
      <c r="E663" s="1414"/>
      <c r="F663" s="1414"/>
      <c r="G663" s="1414"/>
      <c r="H663" s="1414"/>
      <c r="I663" s="1414"/>
      <c r="J663" s="1414"/>
      <c r="K663" s="1414"/>
      <c r="L663" s="1414"/>
      <c r="M663" s="1414"/>
      <c r="N663" s="1414"/>
      <c r="O663" s="1414"/>
      <c r="P663" s="1414"/>
      <c r="Q663" s="1414"/>
      <c r="R663" s="1414"/>
      <c r="S663" s="1414"/>
      <c r="T663" s="1414"/>
      <c r="U663" s="1414"/>
      <c r="V663" s="1414"/>
      <c r="W663" s="1414"/>
      <c r="X663" s="1414"/>
      <c r="Y663" s="1414"/>
      <c r="Z663" s="1414"/>
      <c r="AA663" s="1414"/>
      <c r="AB663" s="1414"/>
      <c r="AC663" s="1414"/>
      <c r="AD663" s="1414"/>
      <c r="AE663" s="1414"/>
      <c r="AF663" s="1414"/>
      <c r="AG663" s="1414"/>
      <c r="AH663" s="1414"/>
      <c r="AI663" s="1414"/>
      <c r="AJ663" s="1414"/>
      <c r="AK663" s="1414"/>
      <c r="AL663" s="1414"/>
      <c r="AM663" s="1414"/>
      <c r="AN663" s="1414"/>
      <c r="AO663" s="1414"/>
      <c r="AP663" s="1414"/>
      <c r="AQ663" s="1414"/>
      <c r="AR663" s="1414"/>
      <c r="AS663" s="1414"/>
      <c r="AT663" s="1414"/>
      <c r="AU663" s="1414"/>
      <c r="AV663" s="1414"/>
      <c r="AW663" s="1414"/>
      <c r="AX663" s="1414"/>
      <c r="AY663" s="1399"/>
      <c r="AZ663" s="1399"/>
      <c r="BA663" s="1399"/>
      <c r="BB663" s="1399"/>
      <c r="BC663" s="1399"/>
      <c r="BD663" s="1399"/>
      <c r="BE663" s="1414"/>
      <c r="BF663" s="1399"/>
      <c r="BG663" s="1399"/>
      <c r="BH663" s="1399"/>
      <c r="BI663" s="1399"/>
      <c r="BJ663" s="1399"/>
      <c r="BK663" s="1399"/>
      <c r="BL663" s="1399"/>
      <c r="BM663" s="1399"/>
      <c r="BN663" s="1399"/>
      <c r="BO663" s="1399"/>
      <c r="BP663" s="1399"/>
      <c r="BQ663" s="1399"/>
      <c r="BR663" s="1399"/>
      <c r="BS663" s="1399"/>
      <c r="BT663" s="1399"/>
      <c r="BU663" s="1399"/>
      <c r="BV663" s="1399"/>
      <c r="BW663" s="1399"/>
      <c r="BX663" s="1399"/>
      <c r="BY663" s="1399"/>
      <c r="BZ663" s="1399"/>
      <c r="CA663" s="1399"/>
      <c r="CB663" s="1399"/>
      <c r="CC663" s="1399"/>
      <c r="CD663" s="1399"/>
      <c r="CE663" s="1399"/>
      <c r="CF663" s="1399"/>
      <c r="CG663" s="1399"/>
      <c r="CH663" s="1399"/>
      <c r="CI663" s="1399"/>
      <c r="CJ663" s="1399"/>
      <c r="CK663" s="1399"/>
      <c r="CL663" s="1399"/>
      <c r="CM663" s="1399"/>
      <c r="CN663" s="1399"/>
      <c r="CO663" s="1399"/>
      <c r="CP663" s="1399"/>
      <c r="CQ663" s="1399"/>
      <c r="CR663" s="1399"/>
      <c r="CS663" s="1399"/>
      <c r="CT663" s="1399"/>
      <c r="CU663" s="1399"/>
      <c r="CV663" s="1399"/>
      <c r="CW663" s="1399"/>
      <c r="CX663" s="1399"/>
      <c r="CY663" s="1399"/>
      <c r="CZ663" s="1399"/>
      <c r="DA663" s="1399"/>
      <c r="DB663" s="1399"/>
      <c r="DC663" s="1399"/>
      <c r="DD663" s="1399"/>
      <c r="DE663" s="1399"/>
      <c r="DF663" s="1399"/>
      <c r="DG663" s="1399"/>
      <c r="DH663" s="1399"/>
      <c r="DI663" s="1399"/>
      <c r="DJ663" s="1399"/>
      <c r="DK663" s="1399"/>
      <c r="DL663" s="1399"/>
      <c r="DM663" s="1399"/>
      <c r="DN663" s="1399"/>
      <c r="DO663" s="1399"/>
      <c r="DP663" s="1399"/>
      <c r="DQ663" s="1399"/>
      <c r="DR663" s="1399"/>
      <c r="DS663" s="1399"/>
      <c r="DT663" s="1399"/>
      <c r="DU663" s="1399"/>
    </row>
    <row r="664" spans="1:125">
      <c r="A664" s="1414"/>
      <c r="B664" s="1414"/>
      <c r="C664" s="1414"/>
      <c r="D664" s="1414"/>
      <c r="E664" s="1414"/>
      <c r="F664" s="1414"/>
      <c r="G664" s="1414"/>
      <c r="H664" s="1414"/>
      <c r="I664" s="1414"/>
      <c r="J664" s="1414"/>
      <c r="K664" s="1414"/>
      <c r="L664" s="1414"/>
      <c r="M664" s="1414"/>
      <c r="N664" s="1414"/>
      <c r="O664" s="1414"/>
      <c r="P664" s="1414"/>
      <c r="Q664" s="1414"/>
      <c r="R664" s="1414"/>
      <c r="S664" s="1414"/>
      <c r="T664" s="1414"/>
      <c r="U664" s="1414"/>
      <c r="V664" s="1414"/>
      <c r="W664" s="1414"/>
      <c r="X664" s="1414"/>
      <c r="Y664" s="1414"/>
      <c r="Z664" s="1414"/>
      <c r="AA664" s="1414"/>
      <c r="AB664" s="1414"/>
      <c r="AC664" s="1414"/>
      <c r="AD664" s="1414"/>
      <c r="AE664" s="1414"/>
      <c r="AF664" s="1414"/>
      <c r="AG664" s="1414"/>
      <c r="AH664" s="1414"/>
      <c r="AI664" s="1414"/>
      <c r="AJ664" s="1414"/>
      <c r="AK664" s="1414"/>
      <c r="AL664" s="1414"/>
      <c r="AM664" s="1414"/>
      <c r="AN664" s="1414"/>
      <c r="AO664" s="1414"/>
      <c r="AP664" s="1414"/>
      <c r="AQ664" s="1414"/>
      <c r="AR664" s="1414"/>
      <c r="AS664" s="1414"/>
      <c r="AT664" s="1414"/>
      <c r="AU664" s="1414"/>
      <c r="AV664" s="1414"/>
      <c r="AW664" s="1414"/>
      <c r="AX664" s="1414"/>
      <c r="AY664" s="1399"/>
      <c r="AZ664" s="1399"/>
      <c r="BA664" s="1399"/>
      <c r="BB664" s="1399"/>
      <c r="BC664" s="1399"/>
      <c r="BD664" s="1399"/>
      <c r="BE664" s="1414"/>
      <c r="BF664" s="1399"/>
      <c r="BG664" s="1399"/>
      <c r="BH664" s="1399"/>
      <c r="BI664" s="1399"/>
      <c r="BJ664" s="1399"/>
      <c r="BK664" s="1399"/>
      <c r="BL664" s="1399"/>
      <c r="BM664" s="1399"/>
      <c r="BN664" s="1399"/>
      <c r="BO664" s="1399"/>
      <c r="BP664" s="1399"/>
      <c r="BQ664" s="1399"/>
      <c r="BR664" s="1399"/>
      <c r="BS664" s="1399"/>
      <c r="BT664" s="1399"/>
      <c r="BU664" s="1399"/>
      <c r="BV664" s="1399"/>
      <c r="BW664" s="1399"/>
      <c r="BX664" s="1399"/>
      <c r="BY664" s="1399"/>
      <c r="BZ664" s="1399"/>
      <c r="CA664" s="1399"/>
      <c r="CB664" s="1399"/>
      <c r="CC664" s="1399"/>
      <c r="CD664" s="1399"/>
      <c r="CE664" s="1399"/>
      <c r="CF664" s="1399"/>
      <c r="CG664" s="1399"/>
      <c r="CH664" s="1399"/>
      <c r="CI664" s="1399"/>
      <c r="CJ664" s="1399"/>
      <c r="CK664" s="1399"/>
      <c r="CL664" s="1399"/>
      <c r="CM664" s="1399"/>
      <c r="CN664" s="1399"/>
      <c r="CO664" s="1399"/>
      <c r="CP664" s="1399"/>
      <c r="CQ664" s="1399"/>
      <c r="CR664" s="1399"/>
      <c r="CS664" s="1399"/>
      <c r="CT664" s="1399"/>
      <c r="CU664" s="1399"/>
      <c r="CV664" s="1399"/>
      <c r="CW664" s="1399"/>
      <c r="CX664" s="1399"/>
      <c r="CY664" s="1399"/>
      <c r="CZ664" s="1399"/>
      <c r="DA664" s="1399"/>
      <c r="DB664" s="1399"/>
      <c r="DC664" s="1399"/>
      <c r="DD664" s="1399"/>
      <c r="DE664" s="1399"/>
      <c r="DF664" s="1399"/>
      <c r="DG664" s="1399"/>
      <c r="DH664" s="1399"/>
      <c r="DI664" s="1399"/>
      <c r="DJ664" s="1399"/>
      <c r="DK664" s="1399"/>
      <c r="DL664" s="1399"/>
      <c r="DM664" s="1399"/>
      <c r="DN664" s="1399"/>
      <c r="DO664" s="1399"/>
      <c r="DP664" s="1399"/>
      <c r="DQ664" s="1399"/>
      <c r="DR664" s="1399"/>
      <c r="DS664" s="1399"/>
      <c r="DT664" s="1399"/>
      <c r="DU664" s="1399"/>
    </row>
    <row r="665" spans="1:125">
      <c r="A665" s="1414"/>
      <c r="B665" s="1414"/>
      <c r="C665" s="1414"/>
      <c r="D665" s="1414"/>
      <c r="E665" s="1414"/>
      <c r="F665" s="1414"/>
      <c r="G665" s="1414"/>
      <c r="H665" s="1414"/>
      <c r="I665" s="1414"/>
      <c r="J665" s="1414"/>
      <c r="K665" s="1414"/>
      <c r="L665" s="1414"/>
      <c r="M665" s="1414"/>
      <c r="N665" s="1414"/>
      <c r="O665" s="1414"/>
      <c r="P665" s="1414"/>
      <c r="Q665" s="1414"/>
      <c r="R665" s="1414"/>
      <c r="S665" s="1414"/>
      <c r="T665" s="1414"/>
      <c r="U665" s="1414"/>
      <c r="V665" s="1414"/>
      <c r="W665" s="1414"/>
      <c r="X665" s="1414"/>
      <c r="Y665" s="1414"/>
      <c r="Z665" s="1414"/>
      <c r="AA665" s="1414"/>
      <c r="AB665" s="1414"/>
      <c r="AC665" s="1414"/>
      <c r="AD665" s="1414"/>
      <c r="AE665" s="1414"/>
      <c r="AF665" s="1414"/>
      <c r="AG665" s="1414"/>
      <c r="AH665" s="1414"/>
      <c r="AI665" s="1414"/>
      <c r="AJ665" s="1414"/>
      <c r="AK665" s="1414"/>
      <c r="AL665" s="1414"/>
      <c r="AM665" s="1414"/>
      <c r="AN665" s="1414"/>
      <c r="AO665" s="1414"/>
      <c r="AP665" s="1414"/>
      <c r="AQ665" s="1414"/>
      <c r="AR665" s="1414"/>
      <c r="AS665" s="1414"/>
      <c r="AT665" s="1414"/>
      <c r="AU665" s="1414"/>
      <c r="AV665" s="1414"/>
      <c r="AW665" s="1414"/>
      <c r="AX665" s="1414"/>
      <c r="AY665" s="1399"/>
      <c r="AZ665" s="1399"/>
      <c r="BA665" s="1399"/>
      <c r="BB665" s="1399"/>
      <c r="BC665" s="1399"/>
      <c r="BD665" s="1399"/>
      <c r="BE665" s="1414"/>
      <c r="BF665" s="1399"/>
      <c r="BG665" s="1399"/>
      <c r="BH665" s="1399"/>
      <c r="BI665" s="1399"/>
      <c r="BJ665" s="1399"/>
      <c r="BK665" s="1399"/>
      <c r="BL665" s="1399"/>
      <c r="BM665" s="1399"/>
      <c r="BN665" s="1399"/>
      <c r="BO665" s="1399"/>
      <c r="BP665" s="1399"/>
      <c r="BQ665" s="1399"/>
      <c r="BR665" s="1399"/>
      <c r="BS665" s="1399"/>
      <c r="BT665" s="1399"/>
      <c r="BU665" s="1399"/>
      <c r="BV665" s="1399"/>
      <c r="BW665" s="1399"/>
      <c r="BX665" s="1399"/>
      <c r="BY665" s="1399"/>
      <c r="BZ665" s="1399"/>
      <c r="CA665" s="1399"/>
      <c r="CB665" s="1399"/>
      <c r="CC665" s="1399"/>
      <c r="CD665" s="1399"/>
      <c r="CE665" s="1399"/>
      <c r="CF665" s="1399"/>
      <c r="CG665" s="1399"/>
      <c r="CH665" s="1399"/>
      <c r="CI665" s="1399"/>
      <c r="CJ665" s="1399"/>
      <c r="CK665" s="1399"/>
      <c r="CL665" s="1399"/>
      <c r="CM665" s="1399"/>
      <c r="CN665" s="1399"/>
      <c r="CO665" s="1399"/>
      <c r="CP665" s="1399"/>
      <c r="CQ665" s="1399"/>
      <c r="CR665" s="1399"/>
      <c r="CS665" s="1399"/>
      <c r="CT665" s="1399"/>
      <c r="CU665" s="1399"/>
      <c r="CV665" s="1399"/>
      <c r="CW665" s="1399"/>
      <c r="CX665" s="1399"/>
      <c r="CY665" s="1399"/>
      <c r="CZ665" s="1399"/>
      <c r="DA665" s="1399"/>
      <c r="DB665" s="1399"/>
      <c r="DC665" s="1399"/>
      <c r="DD665" s="1399"/>
      <c r="DE665" s="1399"/>
      <c r="DF665" s="1399"/>
      <c r="DG665" s="1399"/>
      <c r="DH665" s="1399"/>
      <c r="DI665" s="1399"/>
      <c r="DJ665" s="1399"/>
      <c r="DK665" s="1399"/>
      <c r="DL665" s="1399"/>
      <c r="DM665" s="1399"/>
      <c r="DN665" s="1399"/>
      <c r="DO665" s="1399"/>
      <c r="DP665" s="1399"/>
      <c r="DQ665" s="1399"/>
      <c r="DR665" s="1399"/>
      <c r="DS665" s="1399"/>
      <c r="DT665" s="1399"/>
      <c r="DU665" s="1399"/>
    </row>
    <row r="666" spans="1:125">
      <c r="A666" s="1414"/>
      <c r="B666" s="1414"/>
      <c r="C666" s="1414"/>
      <c r="D666" s="1414"/>
      <c r="E666" s="1414"/>
      <c r="F666" s="1414"/>
      <c r="G666" s="1414"/>
      <c r="H666" s="1414"/>
      <c r="I666" s="1414"/>
      <c r="J666" s="1414"/>
      <c r="K666" s="1414"/>
      <c r="L666" s="1414"/>
      <c r="M666" s="1414"/>
      <c r="N666" s="1414"/>
      <c r="O666" s="1414"/>
      <c r="P666" s="1414"/>
      <c r="Q666" s="1414"/>
      <c r="R666" s="1414"/>
      <c r="S666" s="1414"/>
      <c r="T666" s="1414"/>
      <c r="U666" s="1414"/>
      <c r="V666" s="1414"/>
      <c r="W666" s="1414"/>
      <c r="X666" s="1414"/>
      <c r="Y666" s="1414"/>
      <c r="Z666" s="1414"/>
      <c r="AA666" s="1414"/>
      <c r="AB666" s="1414"/>
      <c r="AC666" s="1414"/>
      <c r="AD666" s="1414"/>
      <c r="AE666" s="1414"/>
      <c r="AF666" s="1414"/>
      <c r="AG666" s="1414"/>
      <c r="AH666" s="1414"/>
      <c r="AI666" s="1414"/>
      <c r="AJ666" s="1414"/>
      <c r="AK666" s="1414"/>
      <c r="AL666" s="1414"/>
      <c r="AM666" s="1414"/>
      <c r="AN666" s="1414"/>
      <c r="AO666" s="1414"/>
      <c r="AP666" s="1414"/>
      <c r="AQ666" s="1414"/>
      <c r="AR666" s="1414"/>
      <c r="AS666" s="1414"/>
      <c r="AT666" s="1414"/>
      <c r="AU666" s="1414"/>
      <c r="AV666" s="1414"/>
      <c r="AW666" s="1414"/>
      <c r="AX666" s="1414"/>
      <c r="AY666" s="1399"/>
      <c r="AZ666" s="1399"/>
      <c r="BA666" s="1399"/>
      <c r="BB666" s="1399"/>
      <c r="BC666" s="1399"/>
      <c r="BD666" s="1399"/>
      <c r="BE666" s="1414"/>
      <c r="BF666" s="1399"/>
      <c r="BG666" s="1399"/>
      <c r="BH666" s="1399"/>
      <c r="BI666" s="1399"/>
      <c r="BJ666" s="1399"/>
      <c r="BK666" s="1399"/>
      <c r="BL666" s="1399"/>
      <c r="BM666" s="1399"/>
      <c r="BN666" s="1399"/>
      <c r="BO666" s="1399"/>
      <c r="BP666" s="1399"/>
      <c r="BQ666" s="1399"/>
      <c r="BR666" s="1399"/>
      <c r="BS666" s="1399"/>
      <c r="BT666" s="1399"/>
      <c r="BU666" s="1399"/>
      <c r="BV666" s="1399"/>
      <c r="BW666" s="1399"/>
      <c r="BX666" s="1399"/>
      <c r="BY666" s="1399"/>
      <c r="BZ666" s="1399"/>
      <c r="CA666" s="1399"/>
      <c r="CB666" s="1399"/>
      <c r="CC666" s="1399"/>
      <c r="CD666" s="1399"/>
      <c r="CE666" s="1399"/>
      <c r="CF666" s="1399"/>
      <c r="CG666" s="1399"/>
      <c r="CH666" s="1399"/>
      <c r="CI666" s="1399"/>
      <c r="CJ666" s="1399"/>
      <c r="CK666" s="1399"/>
      <c r="CL666" s="1399"/>
      <c r="CM666" s="1399"/>
      <c r="CN666" s="1399"/>
      <c r="CO666" s="1399"/>
      <c r="CP666" s="1399"/>
      <c r="CQ666" s="1399"/>
      <c r="CR666" s="1399"/>
      <c r="CS666" s="1399"/>
      <c r="CT666" s="1399"/>
      <c r="CU666" s="1399"/>
      <c r="CV666" s="1399"/>
      <c r="CW666" s="1399"/>
      <c r="CX666" s="1399"/>
      <c r="CY666" s="1399"/>
      <c r="CZ666" s="1399"/>
      <c r="DA666" s="1399"/>
      <c r="DB666" s="1399"/>
      <c r="DC666" s="1399"/>
      <c r="DD666" s="1399"/>
      <c r="DE666" s="1399"/>
      <c r="DF666" s="1399"/>
      <c r="DG666" s="1399"/>
      <c r="DH666" s="1399"/>
      <c r="DI666" s="1399"/>
      <c r="DJ666" s="1399"/>
      <c r="DK666" s="1399"/>
      <c r="DL666" s="1399"/>
      <c r="DM666" s="1399"/>
      <c r="DN666" s="1399"/>
      <c r="DO666" s="1399"/>
      <c r="DP666" s="1399"/>
      <c r="DQ666" s="1399"/>
      <c r="DR666" s="1399"/>
      <c r="DS666" s="1399"/>
      <c r="DT666" s="1399"/>
      <c r="DU666" s="1399"/>
    </row>
    <row r="667" spans="1:125">
      <c r="A667" s="1414"/>
      <c r="B667" s="1414"/>
      <c r="C667" s="1414"/>
      <c r="D667" s="1414"/>
      <c r="E667" s="1414"/>
      <c r="F667" s="1414"/>
      <c r="G667" s="1414"/>
      <c r="H667" s="1414"/>
      <c r="I667" s="1414"/>
      <c r="J667" s="1414"/>
      <c r="K667" s="1414"/>
      <c r="L667" s="1414"/>
      <c r="M667" s="1414"/>
      <c r="N667" s="1414"/>
      <c r="O667" s="1414"/>
      <c r="P667" s="1414"/>
      <c r="Q667" s="1414"/>
      <c r="R667" s="1414"/>
      <c r="S667" s="1414"/>
      <c r="T667" s="1414"/>
      <c r="U667" s="1414"/>
      <c r="V667" s="1414"/>
      <c r="W667" s="1414"/>
      <c r="X667" s="1414"/>
      <c r="Y667" s="1414"/>
      <c r="Z667" s="1414"/>
      <c r="AA667" s="1414"/>
      <c r="AB667" s="1414"/>
      <c r="AC667" s="1414"/>
      <c r="AD667" s="1414"/>
      <c r="AE667" s="1414"/>
      <c r="AF667" s="1414"/>
      <c r="AG667" s="1414"/>
      <c r="AH667" s="1414"/>
      <c r="AI667" s="1414"/>
      <c r="AJ667" s="1414"/>
      <c r="AK667" s="1414"/>
      <c r="AL667" s="1414"/>
      <c r="AM667" s="1414"/>
      <c r="AN667" s="1414"/>
      <c r="AO667" s="1414"/>
      <c r="AP667" s="1414"/>
      <c r="AQ667" s="1414"/>
      <c r="AR667" s="1414"/>
      <c r="AS667" s="1414"/>
      <c r="AT667" s="1414"/>
      <c r="AU667" s="1414"/>
      <c r="AV667" s="1414"/>
      <c r="AW667" s="1414"/>
      <c r="AX667" s="1414"/>
      <c r="AY667" s="1399"/>
      <c r="AZ667" s="1399"/>
      <c r="BA667" s="1399"/>
      <c r="BB667" s="1399"/>
      <c r="BC667" s="1399"/>
      <c r="BD667" s="1399"/>
      <c r="BE667" s="1414"/>
      <c r="BF667" s="1399"/>
      <c r="BG667" s="1399"/>
      <c r="BH667" s="1399"/>
      <c r="BI667" s="1399"/>
      <c r="BJ667" s="1399"/>
      <c r="BK667" s="1399"/>
      <c r="BL667" s="1399"/>
      <c r="BM667" s="1399"/>
      <c r="BN667" s="1399"/>
      <c r="BO667" s="1399"/>
      <c r="BP667" s="1399"/>
      <c r="BQ667" s="1399"/>
      <c r="BR667" s="1399"/>
      <c r="BS667" s="1399"/>
      <c r="BT667" s="1399"/>
      <c r="BU667" s="1399"/>
      <c r="BV667" s="1399"/>
      <c r="BW667" s="1399"/>
      <c r="BX667" s="1399"/>
      <c r="BY667" s="1399"/>
      <c r="BZ667" s="1399"/>
      <c r="CA667" s="1399"/>
      <c r="CB667" s="1399"/>
      <c r="CC667" s="1399"/>
      <c r="CD667" s="1399"/>
      <c r="CE667" s="1399"/>
      <c r="CF667" s="1399"/>
      <c r="CG667" s="1399"/>
      <c r="CH667" s="1399"/>
      <c r="CI667" s="1399"/>
      <c r="CJ667" s="1399"/>
      <c r="CK667" s="1399"/>
      <c r="CL667" s="1399"/>
      <c r="CM667" s="1399"/>
      <c r="CN667" s="1399"/>
      <c r="CO667" s="1399"/>
      <c r="CP667" s="1399"/>
      <c r="CQ667" s="1399"/>
      <c r="CR667" s="1399"/>
      <c r="CS667" s="1399"/>
      <c r="CT667" s="1399"/>
      <c r="CU667" s="1399"/>
      <c r="CV667" s="1399"/>
      <c r="CW667" s="1399"/>
      <c r="CX667" s="1399"/>
      <c r="CY667" s="1399"/>
      <c r="CZ667" s="1399"/>
      <c r="DA667" s="1399"/>
      <c r="DB667" s="1399"/>
      <c r="DC667" s="1399"/>
      <c r="DD667" s="1399"/>
      <c r="DE667" s="1399"/>
      <c r="DF667" s="1399"/>
      <c r="DG667" s="1399"/>
      <c r="DH667" s="1399"/>
      <c r="DI667" s="1399"/>
      <c r="DJ667" s="1399"/>
      <c r="DK667" s="1399"/>
      <c r="DL667" s="1399"/>
      <c r="DM667" s="1399"/>
      <c r="DN667" s="1399"/>
      <c r="DO667" s="1399"/>
      <c r="DP667" s="1399"/>
      <c r="DQ667" s="1399"/>
      <c r="DR667" s="1399"/>
      <c r="DS667" s="1399"/>
      <c r="DT667" s="1399"/>
      <c r="DU667" s="1399"/>
    </row>
    <row r="668" spans="1:125">
      <c r="A668" s="1414"/>
      <c r="B668" s="1414"/>
      <c r="C668" s="1414"/>
      <c r="D668" s="1414"/>
      <c r="E668" s="1414"/>
      <c r="F668" s="1414"/>
      <c r="G668" s="1414"/>
      <c r="H668" s="1414"/>
      <c r="I668" s="1414"/>
      <c r="J668" s="1414"/>
      <c r="K668" s="1414"/>
      <c r="L668" s="1414"/>
      <c r="M668" s="1414"/>
      <c r="N668" s="1414"/>
      <c r="O668" s="1414"/>
      <c r="P668" s="1414"/>
      <c r="Q668" s="1414"/>
      <c r="R668" s="1414"/>
      <c r="S668" s="1414"/>
      <c r="T668" s="1414"/>
      <c r="U668" s="1414"/>
      <c r="V668" s="1414"/>
      <c r="W668" s="1414"/>
      <c r="X668" s="1414"/>
      <c r="Y668" s="1414"/>
      <c r="Z668" s="1414"/>
      <c r="AA668" s="1414"/>
      <c r="AB668" s="1414"/>
      <c r="AC668" s="1414"/>
      <c r="AD668" s="1414"/>
      <c r="AE668" s="1414"/>
      <c r="AF668" s="1414"/>
      <c r="AG668" s="1414"/>
      <c r="AH668" s="1414"/>
      <c r="AI668" s="1414"/>
      <c r="AJ668" s="1414"/>
      <c r="AK668" s="1414"/>
      <c r="AL668" s="1414"/>
      <c r="AM668" s="1414"/>
      <c r="AN668" s="1414"/>
      <c r="AO668" s="1414"/>
      <c r="AP668" s="1414"/>
      <c r="AQ668" s="1414"/>
      <c r="AR668" s="1414"/>
      <c r="AS668" s="1414"/>
      <c r="AT668" s="1414"/>
      <c r="AU668" s="1414"/>
      <c r="AV668" s="1414"/>
      <c r="AW668" s="1414"/>
      <c r="AX668" s="1414"/>
      <c r="AY668" s="1399"/>
      <c r="AZ668" s="1399"/>
      <c r="BA668" s="1399"/>
      <c r="BB668" s="1399"/>
      <c r="BC668" s="1399"/>
      <c r="BD668" s="1399"/>
      <c r="BE668" s="1414"/>
      <c r="BF668" s="1399"/>
      <c r="BG668" s="1399"/>
      <c r="BH668" s="1399"/>
      <c r="BI668" s="1399"/>
      <c r="BJ668" s="1399"/>
      <c r="BK668" s="1399"/>
      <c r="BL668" s="1399"/>
      <c r="BM668" s="1399"/>
      <c r="BN668" s="1399"/>
      <c r="BO668" s="1399"/>
      <c r="BP668" s="1399"/>
      <c r="BQ668" s="1399"/>
      <c r="BR668" s="1399"/>
      <c r="BS668" s="1399"/>
      <c r="BT668" s="1399"/>
      <c r="BU668" s="1399"/>
      <c r="BV668" s="1399"/>
      <c r="BW668" s="1399"/>
      <c r="BX668" s="1399"/>
      <c r="BY668" s="1399"/>
      <c r="BZ668" s="1399"/>
      <c r="CA668" s="1399"/>
      <c r="CB668" s="1399"/>
      <c r="CC668" s="1399"/>
      <c r="CD668" s="1399"/>
      <c r="CE668" s="1399"/>
      <c r="CF668" s="1399"/>
      <c r="CG668" s="1399"/>
      <c r="CH668" s="1399"/>
      <c r="CI668" s="1399"/>
      <c r="CJ668" s="1399"/>
      <c r="CK668" s="1399"/>
      <c r="CL668" s="1399"/>
      <c r="CM668" s="1399"/>
      <c r="CN668" s="1399"/>
      <c r="CO668" s="1399"/>
      <c r="CP668" s="1399"/>
      <c r="CQ668" s="1399"/>
      <c r="CR668" s="1399"/>
      <c r="CS668" s="1399"/>
      <c r="CT668" s="1399"/>
      <c r="CU668" s="1399"/>
      <c r="CV668" s="1399"/>
      <c r="CW668" s="1399"/>
      <c r="CX668" s="1399"/>
      <c r="CY668" s="1399"/>
      <c r="CZ668" s="1399"/>
      <c r="DA668" s="1399"/>
      <c r="DB668" s="1399"/>
      <c r="DC668" s="1399"/>
      <c r="DD668" s="1399"/>
      <c r="DE668" s="1399"/>
      <c r="DF668" s="1399"/>
      <c r="DG668" s="1399"/>
      <c r="DH668" s="1399"/>
      <c r="DI668" s="1399"/>
      <c r="DJ668" s="1399"/>
      <c r="DK668" s="1399"/>
      <c r="DL668" s="1399"/>
      <c r="DM668" s="1399"/>
      <c r="DN668" s="1399"/>
      <c r="DO668" s="1399"/>
      <c r="DP668" s="1399"/>
      <c r="DQ668" s="1399"/>
      <c r="DR668" s="1399"/>
      <c r="DS668" s="1399"/>
      <c r="DT668" s="1399"/>
      <c r="DU668" s="1399"/>
    </row>
    <row r="669" spans="1:125">
      <c r="A669" s="1414"/>
      <c r="B669" s="1414"/>
      <c r="C669" s="1414"/>
      <c r="D669" s="1414"/>
      <c r="E669" s="1414"/>
      <c r="F669" s="1414"/>
      <c r="G669" s="1414"/>
      <c r="H669" s="1414"/>
      <c r="I669" s="1414"/>
      <c r="J669" s="1414"/>
      <c r="K669" s="1414"/>
      <c r="L669" s="1414"/>
      <c r="M669" s="1414"/>
      <c r="N669" s="1414"/>
      <c r="O669" s="1414"/>
      <c r="P669" s="1414"/>
      <c r="Q669" s="1414"/>
      <c r="R669" s="1414"/>
      <c r="S669" s="1414"/>
      <c r="T669" s="1414"/>
      <c r="U669" s="1414"/>
      <c r="V669" s="1414"/>
      <c r="W669" s="1414"/>
      <c r="X669" s="1414"/>
      <c r="Y669" s="1414"/>
      <c r="Z669" s="1414"/>
      <c r="AA669" s="1414"/>
      <c r="AB669" s="1414"/>
      <c r="AC669" s="1414"/>
      <c r="AD669" s="1414"/>
      <c r="AE669" s="1414"/>
      <c r="AF669" s="1414"/>
      <c r="AG669" s="1414"/>
      <c r="AH669" s="1414"/>
      <c r="AI669" s="1414"/>
      <c r="AJ669" s="1414"/>
      <c r="AK669" s="1414"/>
      <c r="AL669" s="1414"/>
      <c r="AM669" s="1414"/>
      <c r="AN669" s="1414"/>
      <c r="AO669" s="1414"/>
      <c r="AP669" s="1414"/>
      <c r="AQ669" s="1414"/>
      <c r="AR669" s="1414"/>
      <c r="AS669" s="1414"/>
      <c r="AT669" s="1414"/>
      <c r="AU669" s="1414"/>
      <c r="AV669" s="1414"/>
      <c r="AW669" s="1414"/>
      <c r="AX669" s="1414"/>
      <c r="AY669" s="1399"/>
      <c r="AZ669" s="1399"/>
      <c r="BA669" s="1399"/>
      <c r="BB669" s="1399"/>
      <c r="BC669" s="1399"/>
      <c r="BD669" s="1399"/>
      <c r="BE669" s="1414"/>
      <c r="BF669" s="1399"/>
      <c r="BG669" s="1399"/>
      <c r="BH669" s="1399"/>
      <c r="BI669" s="1399"/>
      <c r="BJ669" s="1399"/>
      <c r="BK669" s="1399"/>
      <c r="BL669" s="1399"/>
      <c r="BM669" s="1399"/>
      <c r="BN669" s="1399"/>
      <c r="BO669" s="1399"/>
      <c r="BP669" s="1399"/>
      <c r="BQ669" s="1399"/>
      <c r="BR669" s="1399"/>
      <c r="BS669" s="1399"/>
      <c r="BT669" s="1399"/>
      <c r="BU669" s="1399"/>
      <c r="BV669" s="1399"/>
      <c r="BW669" s="1399"/>
      <c r="BX669" s="1399"/>
      <c r="BY669" s="1399"/>
      <c r="BZ669" s="1399"/>
      <c r="CA669" s="1399"/>
      <c r="CB669" s="1399"/>
      <c r="CC669" s="1399"/>
      <c r="CD669" s="1399"/>
      <c r="CE669" s="1399"/>
      <c r="CF669" s="1399"/>
      <c r="CG669" s="1399"/>
      <c r="CH669" s="1399"/>
      <c r="CI669" s="1399"/>
      <c r="CJ669" s="1399"/>
      <c r="CK669" s="1399"/>
      <c r="CL669" s="1399"/>
      <c r="CM669" s="1399"/>
      <c r="CN669" s="1399"/>
      <c r="CO669" s="1399"/>
      <c r="CP669" s="1399"/>
      <c r="CQ669" s="1399"/>
      <c r="CR669" s="1399"/>
      <c r="CS669" s="1399"/>
      <c r="CT669" s="1399"/>
      <c r="CU669" s="1399"/>
      <c r="CV669" s="1399"/>
      <c r="CW669" s="1399"/>
      <c r="CX669" s="1399"/>
      <c r="CY669" s="1399"/>
      <c r="CZ669" s="1399"/>
      <c r="DA669" s="1399"/>
      <c r="DB669" s="1399"/>
      <c r="DC669" s="1399"/>
      <c r="DD669" s="1399"/>
      <c r="DE669" s="1399"/>
      <c r="DF669" s="1399"/>
      <c r="DG669" s="1399"/>
      <c r="DH669" s="1399"/>
      <c r="DI669" s="1399"/>
      <c r="DJ669" s="1399"/>
      <c r="DK669" s="1399"/>
      <c r="DL669" s="1399"/>
      <c r="DM669" s="1399"/>
      <c r="DN669" s="1399"/>
      <c r="DO669" s="1399"/>
      <c r="DP669" s="1399"/>
      <c r="DQ669" s="1399"/>
      <c r="DR669" s="1399"/>
      <c r="DS669" s="1399"/>
      <c r="DT669" s="1399"/>
      <c r="DU669" s="1399"/>
    </row>
    <row r="670" spans="1:125">
      <c r="A670" s="1414"/>
      <c r="B670" s="1414"/>
      <c r="C670" s="1414"/>
      <c r="D670" s="1414"/>
      <c r="E670" s="1414"/>
      <c r="F670" s="1414"/>
      <c r="G670" s="1414"/>
      <c r="H670" s="1414"/>
      <c r="I670" s="1414"/>
      <c r="J670" s="1414"/>
      <c r="K670" s="1414"/>
      <c r="L670" s="1414"/>
      <c r="M670" s="1414"/>
      <c r="N670" s="1414"/>
      <c r="O670" s="1414"/>
      <c r="P670" s="1414"/>
      <c r="Q670" s="1414"/>
      <c r="R670" s="1414"/>
      <c r="S670" s="1414"/>
      <c r="T670" s="1414"/>
      <c r="U670" s="1414"/>
      <c r="V670" s="1414"/>
      <c r="W670" s="1414"/>
      <c r="X670" s="1414"/>
      <c r="Y670" s="1414"/>
      <c r="Z670" s="1414"/>
      <c r="AA670" s="1414"/>
      <c r="AB670" s="1414"/>
      <c r="AC670" s="1414"/>
      <c r="AD670" s="1414"/>
      <c r="AE670" s="1414"/>
      <c r="AF670" s="1414"/>
      <c r="AG670" s="1414"/>
      <c r="AH670" s="1414"/>
      <c r="AI670" s="1414"/>
      <c r="AJ670" s="1414"/>
      <c r="AK670" s="1414"/>
      <c r="AL670" s="1414"/>
      <c r="AM670" s="1414"/>
      <c r="AN670" s="1414"/>
      <c r="AO670" s="1414"/>
      <c r="AP670" s="1414"/>
      <c r="AQ670" s="1414"/>
      <c r="AR670" s="1414"/>
      <c r="AS670" s="1414"/>
      <c r="AT670" s="1414"/>
      <c r="AU670" s="1414"/>
      <c r="AV670" s="1414"/>
      <c r="AW670" s="1414"/>
      <c r="AX670" s="1414"/>
      <c r="AY670" s="1399"/>
      <c r="AZ670" s="1399"/>
      <c r="BA670" s="1399"/>
      <c r="BB670" s="1399"/>
      <c r="BC670" s="1399"/>
      <c r="BD670" s="1399"/>
      <c r="BE670" s="1414"/>
      <c r="BF670" s="1399"/>
      <c r="BG670" s="1399"/>
      <c r="BH670" s="1399"/>
      <c r="BI670" s="1399"/>
      <c r="BJ670" s="1399"/>
      <c r="BK670" s="1399"/>
      <c r="BL670" s="1399"/>
      <c r="BM670" s="1399"/>
      <c r="BN670" s="1399"/>
      <c r="BO670" s="1399"/>
      <c r="BP670" s="1399"/>
      <c r="BQ670" s="1399"/>
      <c r="BR670" s="1399"/>
      <c r="BS670" s="1399"/>
      <c r="BT670" s="1399"/>
      <c r="BU670" s="1399"/>
      <c r="BV670" s="1399"/>
      <c r="BW670" s="1399"/>
      <c r="BX670" s="1399"/>
      <c r="BY670" s="1399"/>
      <c r="BZ670" s="1399"/>
      <c r="CA670" s="1399"/>
      <c r="CB670" s="1399"/>
      <c r="CC670" s="1399"/>
      <c r="CD670" s="1399"/>
      <c r="CE670" s="1399"/>
      <c r="CF670" s="1399"/>
      <c r="CG670" s="1399"/>
      <c r="CH670" s="1399"/>
      <c r="CI670" s="1399"/>
      <c r="CJ670" s="1399"/>
      <c r="CK670" s="1399"/>
      <c r="CL670" s="1399"/>
      <c r="CM670" s="1399"/>
      <c r="CN670" s="1399"/>
      <c r="CO670" s="1399"/>
      <c r="CP670" s="1399"/>
      <c r="CQ670" s="1399"/>
      <c r="CR670" s="1399"/>
      <c r="CS670" s="1399"/>
      <c r="CT670" s="1399"/>
      <c r="CU670" s="1399"/>
      <c r="CV670" s="1399"/>
      <c r="CW670" s="1399"/>
      <c r="CX670" s="1399"/>
      <c r="CY670" s="1399"/>
      <c r="CZ670" s="1399"/>
      <c r="DA670" s="1399"/>
      <c r="DB670" s="1399"/>
      <c r="DC670" s="1399"/>
      <c r="DD670" s="1399"/>
      <c r="DE670" s="1399"/>
      <c r="DF670" s="1399"/>
      <c r="DG670" s="1399"/>
      <c r="DH670" s="1399"/>
      <c r="DI670" s="1399"/>
      <c r="DJ670" s="1399"/>
      <c r="DK670" s="1399"/>
      <c r="DL670" s="1399"/>
      <c r="DM670" s="1399"/>
      <c r="DN670" s="1399"/>
      <c r="DO670" s="1399"/>
      <c r="DP670" s="1399"/>
      <c r="DQ670" s="1399"/>
      <c r="DR670" s="1399"/>
      <c r="DS670" s="1399"/>
      <c r="DT670" s="1399"/>
      <c r="DU670" s="1399"/>
    </row>
    <row r="671" spans="1:125">
      <c r="A671" s="1414"/>
      <c r="B671" s="1414"/>
      <c r="C671" s="1414"/>
      <c r="D671" s="1414"/>
      <c r="E671" s="1414"/>
      <c r="F671" s="1414"/>
      <c r="G671" s="1414"/>
      <c r="H671" s="1414"/>
      <c r="I671" s="1414"/>
      <c r="J671" s="1414"/>
      <c r="K671" s="1414"/>
      <c r="L671" s="1414"/>
      <c r="M671" s="1414"/>
      <c r="N671" s="1414"/>
      <c r="O671" s="1414"/>
      <c r="P671" s="1414"/>
      <c r="Q671" s="1414"/>
      <c r="R671" s="1414"/>
      <c r="S671" s="1414"/>
      <c r="T671" s="1414"/>
      <c r="U671" s="1414"/>
      <c r="V671" s="1414"/>
      <c r="W671" s="1414"/>
      <c r="X671" s="1414"/>
      <c r="Y671" s="1414"/>
      <c r="Z671" s="1414"/>
      <c r="AA671" s="1414"/>
      <c r="AB671" s="1414"/>
      <c r="AC671" s="1414"/>
      <c r="AD671" s="1414"/>
      <c r="AE671" s="1414"/>
      <c r="AF671" s="1414"/>
      <c r="AG671" s="1414"/>
      <c r="AH671" s="1414"/>
      <c r="AI671" s="1414"/>
      <c r="AJ671" s="1414"/>
      <c r="AK671" s="1414"/>
      <c r="AL671" s="1414"/>
      <c r="AM671" s="1414"/>
      <c r="AN671" s="1414"/>
      <c r="AO671" s="1414"/>
      <c r="AP671" s="1414"/>
      <c r="AQ671" s="1414"/>
      <c r="AR671" s="1414"/>
      <c r="AS671" s="1414"/>
      <c r="AT671" s="1414"/>
      <c r="AU671" s="1414"/>
      <c r="AV671" s="1414"/>
      <c r="AW671" s="1414"/>
      <c r="AX671" s="1414"/>
      <c r="AY671" s="1399"/>
      <c r="AZ671" s="1399"/>
      <c r="BA671" s="1399"/>
      <c r="BB671" s="1399"/>
      <c r="BC671" s="1399"/>
      <c r="BD671" s="1399"/>
      <c r="BE671" s="1414"/>
      <c r="BF671" s="1399"/>
      <c r="BG671" s="1399"/>
      <c r="BH671" s="1399"/>
      <c r="BI671" s="1399"/>
      <c r="BJ671" s="1399"/>
      <c r="BK671" s="1399"/>
      <c r="BL671" s="1399"/>
      <c r="BM671" s="1399"/>
      <c r="BN671" s="1399"/>
      <c r="BO671" s="1399"/>
      <c r="BP671" s="1399"/>
      <c r="BQ671" s="1399"/>
      <c r="BR671" s="1399"/>
      <c r="BS671" s="1399"/>
      <c r="BT671" s="1399"/>
      <c r="BU671" s="1399"/>
      <c r="BV671" s="1399"/>
      <c r="BW671" s="1399"/>
      <c r="BX671" s="1399"/>
      <c r="BY671" s="1399"/>
      <c r="BZ671" s="1399"/>
      <c r="CA671" s="1399"/>
      <c r="CB671" s="1399"/>
      <c r="CC671" s="1399"/>
      <c r="CD671" s="1399"/>
      <c r="CE671" s="1399"/>
      <c r="CF671" s="1399"/>
      <c r="CG671" s="1399"/>
      <c r="CH671" s="1399"/>
      <c r="CI671" s="1399"/>
      <c r="CJ671" s="1399"/>
      <c r="CK671" s="1399"/>
      <c r="CL671" s="1399"/>
      <c r="CM671" s="1399"/>
      <c r="CN671" s="1399"/>
      <c r="CO671" s="1399"/>
      <c r="CP671" s="1399"/>
      <c r="CQ671" s="1399"/>
      <c r="CR671" s="1399"/>
      <c r="CS671" s="1399"/>
      <c r="CT671" s="1399"/>
      <c r="CU671" s="1399"/>
      <c r="CV671" s="1399"/>
      <c r="CW671" s="1399"/>
      <c r="CX671" s="1399"/>
      <c r="CY671" s="1399"/>
      <c r="CZ671" s="1399"/>
      <c r="DA671" s="1399"/>
      <c r="DB671" s="1399"/>
      <c r="DC671" s="1399"/>
      <c r="DD671" s="1399"/>
      <c r="DE671" s="1399"/>
      <c r="DF671" s="1399"/>
      <c r="DG671" s="1399"/>
      <c r="DH671" s="1399"/>
      <c r="DI671" s="1399"/>
      <c r="DJ671" s="1399"/>
      <c r="DK671" s="1399"/>
      <c r="DL671" s="1399"/>
      <c r="DM671" s="1399"/>
      <c r="DN671" s="1399"/>
      <c r="DO671" s="1399"/>
      <c r="DP671" s="1399"/>
      <c r="DQ671" s="1399"/>
      <c r="DR671" s="1399"/>
      <c r="DS671" s="1399"/>
      <c r="DT671" s="1399"/>
      <c r="DU671" s="1399"/>
    </row>
    <row r="672" spans="1:125">
      <c r="A672" s="1414"/>
      <c r="B672" s="1414"/>
      <c r="C672" s="1414"/>
      <c r="D672" s="1414"/>
      <c r="E672" s="1414"/>
      <c r="F672" s="1414"/>
      <c r="G672" s="1414"/>
      <c r="H672" s="1414"/>
      <c r="I672" s="1414"/>
      <c r="J672" s="1414"/>
      <c r="K672" s="1414"/>
      <c r="L672" s="1414"/>
      <c r="M672" s="1414"/>
      <c r="N672" s="1414"/>
      <c r="O672" s="1414"/>
      <c r="P672" s="1414"/>
      <c r="Q672" s="1414"/>
      <c r="R672" s="1414"/>
      <c r="S672" s="1414"/>
      <c r="T672" s="1414"/>
      <c r="U672" s="1414"/>
      <c r="V672" s="1414"/>
      <c r="W672" s="1414"/>
      <c r="X672" s="1414"/>
      <c r="Y672" s="1414"/>
      <c r="Z672" s="1414"/>
      <c r="AA672" s="1414"/>
      <c r="AB672" s="1414"/>
      <c r="AC672" s="1414"/>
      <c r="AD672" s="1414"/>
      <c r="AE672" s="1414"/>
      <c r="AF672" s="1414"/>
      <c r="AG672" s="1414"/>
      <c r="AH672" s="1414"/>
      <c r="AI672" s="1414"/>
      <c r="AJ672" s="1414"/>
      <c r="AK672" s="1414"/>
      <c r="AL672" s="1414"/>
      <c r="AM672" s="1414"/>
      <c r="AN672" s="1414"/>
      <c r="AO672" s="1414"/>
      <c r="AP672" s="1414"/>
      <c r="AQ672" s="1414"/>
      <c r="AR672" s="1414"/>
      <c r="AS672" s="1414"/>
      <c r="AT672" s="1414"/>
      <c r="AU672" s="1414"/>
      <c r="AV672" s="1414"/>
      <c r="AW672" s="1414"/>
      <c r="AX672" s="1414"/>
      <c r="AY672" s="1399"/>
      <c r="AZ672" s="1399"/>
      <c r="BA672" s="1399"/>
      <c r="BB672" s="1399"/>
      <c r="BC672" s="1399"/>
      <c r="BD672" s="1399"/>
      <c r="BE672" s="1414"/>
      <c r="BF672" s="1399"/>
      <c r="BG672" s="1399"/>
      <c r="BH672" s="1399"/>
      <c r="BI672" s="1399"/>
      <c r="BJ672" s="1399"/>
      <c r="BK672" s="1399"/>
      <c r="BL672" s="1399"/>
      <c r="BM672" s="1399"/>
      <c r="BN672" s="1399"/>
      <c r="BO672" s="1399"/>
      <c r="BP672" s="1399"/>
      <c r="BQ672" s="1399"/>
      <c r="BR672" s="1399"/>
      <c r="BS672" s="1399"/>
      <c r="BT672" s="1399"/>
      <c r="BU672" s="1399"/>
      <c r="BV672" s="1399"/>
      <c r="BW672" s="1399"/>
      <c r="BX672" s="1399"/>
      <c r="BY672" s="1399"/>
      <c r="BZ672" s="1399"/>
      <c r="CA672" s="1399"/>
      <c r="CB672" s="1399"/>
      <c r="CC672" s="1399"/>
      <c r="CD672" s="1399"/>
      <c r="CE672" s="1399"/>
      <c r="CF672" s="1399"/>
      <c r="CG672" s="1399"/>
      <c r="CH672" s="1399"/>
      <c r="CI672" s="1399"/>
      <c r="CJ672" s="1399"/>
      <c r="CK672" s="1399"/>
      <c r="CL672" s="1399"/>
      <c r="CM672" s="1399"/>
      <c r="CN672" s="1399"/>
      <c r="CO672" s="1399"/>
      <c r="CP672" s="1399"/>
      <c r="CQ672" s="1399"/>
      <c r="CR672" s="1399"/>
      <c r="CS672" s="1399"/>
      <c r="CT672" s="1399"/>
      <c r="CU672" s="1399"/>
      <c r="CV672" s="1399"/>
      <c r="CW672" s="1399"/>
      <c r="CX672" s="1399"/>
      <c r="CY672" s="1399"/>
      <c r="CZ672" s="1399"/>
      <c r="DA672" s="1399"/>
      <c r="DB672" s="1399"/>
      <c r="DC672" s="1399"/>
      <c r="DD672" s="1399"/>
      <c r="DE672" s="1399"/>
      <c r="DF672" s="1399"/>
      <c r="DG672" s="1399"/>
      <c r="DH672" s="1399"/>
      <c r="DI672" s="1399"/>
      <c r="DJ672" s="1399"/>
      <c r="DK672" s="1399"/>
      <c r="DL672" s="1399"/>
      <c r="DM672" s="1399"/>
      <c r="DN672" s="1399"/>
      <c r="DO672" s="1399"/>
      <c r="DP672" s="1399"/>
      <c r="DQ672" s="1399"/>
      <c r="DR672" s="1399"/>
      <c r="DS672" s="1399"/>
      <c r="DT672" s="1399"/>
      <c r="DU672" s="1399"/>
    </row>
    <row r="673" spans="1:125">
      <c r="A673" s="1414"/>
      <c r="B673" s="1414"/>
      <c r="C673" s="1414"/>
      <c r="D673" s="1414"/>
      <c r="E673" s="1414"/>
      <c r="F673" s="1414"/>
      <c r="G673" s="1414"/>
      <c r="H673" s="1414"/>
      <c r="I673" s="1414"/>
      <c r="J673" s="1414"/>
      <c r="K673" s="1414"/>
      <c r="L673" s="1414"/>
      <c r="M673" s="1414"/>
      <c r="N673" s="1414"/>
      <c r="O673" s="1414"/>
      <c r="P673" s="1414"/>
      <c r="Q673" s="1414"/>
      <c r="R673" s="1414"/>
      <c r="S673" s="1414"/>
      <c r="T673" s="1414"/>
      <c r="U673" s="1414"/>
      <c r="V673" s="1414"/>
      <c r="W673" s="1414"/>
      <c r="X673" s="1414"/>
      <c r="Y673" s="1414"/>
      <c r="Z673" s="1414"/>
      <c r="AA673" s="1414"/>
      <c r="AB673" s="1414"/>
      <c r="AC673" s="1414"/>
      <c r="AD673" s="1414"/>
      <c r="AE673" s="1414"/>
      <c r="AF673" s="1414"/>
      <c r="AG673" s="1414"/>
      <c r="AH673" s="1414"/>
      <c r="AI673" s="1414"/>
      <c r="AJ673" s="1414"/>
      <c r="AK673" s="1414"/>
      <c r="AL673" s="1414"/>
      <c r="AM673" s="1414"/>
      <c r="AN673" s="1414"/>
      <c r="AO673" s="1414"/>
      <c r="AP673" s="1414"/>
      <c r="AQ673" s="1414"/>
      <c r="AR673" s="1414"/>
      <c r="AS673" s="1414"/>
      <c r="AT673" s="1414"/>
      <c r="AU673" s="1414"/>
      <c r="AV673" s="1414"/>
      <c r="AW673" s="1414"/>
      <c r="AX673" s="1414"/>
      <c r="AY673" s="1399"/>
      <c r="AZ673" s="1399"/>
      <c r="BA673" s="1399"/>
      <c r="BB673" s="1399"/>
      <c r="BC673" s="1399"/>
      <c r="BD673" s="1399"/>
      <c r="BE673" s="1414"/>
      <c r="BF673" s="1399"/>
      <c r="BG673" s="1399"/>
      <c r="BH673" s="1399"/>
      <c r="BI673" s="1399"/>
      <c r="BJ673" s="1399"/>
      <c r="BK673" s="1399"/>
      <c r="BL673" s="1399"/>
      <c r="BM673" s="1399"/>
      <c r="BN673" s="1399"/>
      <c r="BO673" s="1399"/>
      <c r="BP673" s="1399"/>
      <c r="BQ673" s="1399"/>
      <c r="BR673" s="1399"/>
      <c r="BS673" s="1399"/>
      <c r="BT673" s="1399"/>
      <c r="BU673" s="1399"/>
      <c r="BV673" s="1399"/>
      <c r="BW673" s="1399"/>
      <c r="BX673" s="1399"/>
      <c r="BY673" s="1399"/>
      <c r="BZ673" s="1399"/>
      <c r="CA673" s="1399"/>
      <c r="CB673" s="1399"/>
      <c r="CC673" s="1399"/>
      <c r="CD673" s="1399"/>
      <c r="CE673" s="1399"/>
      <c r="CF673" s="1399"/>
      <c r="CG673" s="1399"/>
      <c r="CH673" s="1399"/>
      <c r="CI673" s="1399"/>
      <c r="CJ673" s="1399"/>
      <c r="CK673" s="1399"/>
      <c r="CL673" s="1399"/>
      <c r="CM673" s="1399"/>
      <c r="CN673" s="1399"/>
      <c r="CO673" s="1399"/>
      <c r="CP673" s="1399"/>
      <c r="CQ673" s="1399"/>
      <c r="CR673" s="1399"/>
      <c r="CS673" s="1399"/>
      <c r="CT673" s="1399"/>
      <c r="CU673" s="1399"/>
      <c r="CV673" s="1399"/>
      <c r="CW673" s="1399"/>
      <c r="CX673" s="1399"/>
      <c r="CY673" s="1399"/>
      <c r="CZ673" s="1399"/>
      <c r="DA673" s="1399"/>
      <c r="DB673" s="1399"/>
      <c r="DC673" s="1399"/>
      <c r="DD673" s="1399"/>
      <c r="DE673" s="1399"/>
      <c r="DF673" s="1399"/>
      <c r="DG673" s="1399"/>
      <c r="DH673" s="1399"/>
      <c r="DI673" s="1399"/>
      <c r="DJ673" s="1399"/>
      <c r="DK673" s="1399"/>
      <c r="DL673" s="1399"/>
      <c r="DM673" s="1399"/>
      <c r="DN673" s="1399"/>
      <c r="DO673" s="1399"/>
      <c r="DP673" s="1399"/>
      <c r="DQ673" s="1399"/>
      <c r="DR673" s="1399"/>
      <c r="DS673" s="1399"/>
      <c r="DT673" s="1399"/>
      <c r="DU673" s="1399"/>
    </row>
    <row r="674" spans="1:125">
      <c r="A674" s="1414"/>
      <c r="B674" s="1414"/>
      <c r="C674" s="1414"/>
      <c r="D674" s="1414"/>
      <c r="E674" s="1414"/>
      <c r="F674" s="1414"/>
      <c r="G674" s="1414"/>
      <c r="H674" s="1414"/>
      <c r="I674" s="1414"/>
      <c r="J674" s="1414"/>
      <c r="K674" s="1414"/>
      <c r="L674" s="1414"/>
      <c r="M674" s="1414"/>
      <c r="N674" s="1414"/>
      <c r="O674" s="1414"/>
      <c r="P674" s="1414"/>
      <c r="Q674" s="1414"/>
      <c r="R674" s="1414"/>
      <c r="S674" s="1414"/>
      <c r="T674" s="1414"/>
      <c r="U674" s="1414"/>
      <c r="V674" s="1414"/>
      <c r="W674" s="1414"/>
      <c r="X674" s="1414"/>
      <c r="Y674" s="1414"/>
      <c r="Z674" s="1414"/>
      <c r="AA674" s="1414"/>
      <c r="AB674" s="1414"/>
      <c r="AC674" s="1414"/>
      <c r="AD674" s="1414"/>
      <c r="AE674" s="1414"/>
      <c r="AF674" s="1414"/>
      <c r="AG674" s="1414"/>
      <c r="AH674" s="1414"/>
      <c r="AI674" s="1414"/>
      <c r="AJ674" s="1414"/>
      <c r="AK674" s="1414"/>
      <c r="AL674" s="1414"/>
      <c r="AM674" s="1414"/>
      <c r="AN674" s="1414"/>
      <c r="AO674" s="1414"/>
      <c r="AP674" s="1414"/>
      <c r="AQ674" s="1414"/>
      <c r="AR674" s="1414"/>
      <c r="AS674" s="1414"/>
      <c r="AT674" s="1414"/>
      <c r="AU674" s="1414"/>
      <c r="AV674" s="1414"/>
      <c r="AW674" s="1414"/>
      <c r="AX674" s="1414"/>
      <c r="AY674" s="1399"/>
      <c r="AZ674" s="1399"/>
      <c r="BA674" s="1399"/>
      <c r="BB674" s="1399"/>
      <c r="BC674" s="1399"/>
      <c r="BD674" s="1399"/>
      <c r="BE674" s="1414"/>
      <c r="BF674" s="1399"/>
      <c r="BG674" s="1399"/>
      <c r="BH674" s="1399"/>
      <c r="BI674" s="1399"/>
      <c r="BJ674" s="1399"/>
      <c r="BK674" s="1399"/>
      <c r="BL674" s="1399"/>
      <c r="BM674" s="1399"/>
      <c r="BN674" s="1399"/>
      <c r="BO674" s="1399"/>
      <c r="BP674" s="1399"/>
      <c r="BQ674" s="1399"/>
      <c r="BR674" s="1399"/>
      <c r="BS674" s="1399"/>
      <c r="BT674" s="1399"/>
      <c r="BU674" s="1399"/>
      <c r="BV674" s="1399"/>
      <c r="BW674" s="1399"/>
      <c r="BX674" s="1399"/>
      <c r="BY674" s="1399"/>
      <c r="BZ674" s="1399"/>
      <c r="CA674" s="1399"/>
      <c r="CB674" s="1399"/>
      <c r="CC674" s="1399"/>
      <c r="CD674" s="1399"/>
      <c r="CE674" s="1399"/>
      <c r="CF674" s="1399"/>
      <c r="CG674" s="1399"/>
      <c r="CH674" s="1399"/>
      <c r="CI674" s="1399"/>
      <c r="CJ674" s="1399"/>
      <c r="CK674" s="1399"/>
      <c r="CL674" s="1399"/>
      <c r="CM674" s="1399"/>
      <c r="CN674" s="1399"/>
      <c r="CO674" s="1399"/>
      <c r="CP674" s="1399"/>
      <c r="CQ674" s="1399"/>
      <c r="CR674" s="1399"/>
      <c r="CS674" s="1399"/>
      <c r="CT674" s="1399"/>
      <c r="CU674" s="1399"/>
      <c r="CV674" s="1399"/>
      <c r="CW674" s="1399"/>
      <c r="CX674" s="1399"/>
      <c r="CY674" s="1399"/>
      <c r="CZ674" s="1399"/>
      <c r="DA674" s="1399"/>
      <c r="DB674" s="1399"/>
      <c r="DC674" s="1399"/>
      <c r="DD674" s="1399"/>
      <c r="DE674" s="1399"/>
      <c r="DF674" s="1399"/>
      <c r="DG674" s="1399"/>
      <c r="DH674" s="1399"/>
      <c r="DI674" s="1399"/>
      <c r="DJ674" s="1399"/>
      <c r="DK674" s="1399"/>
      <c r="DL674" s="1399"/>
      <c r="DM674" s="1399"/>
      <c r="DN674" s="1399"/>
      <c r="DO674" s="1399"/>
      <c r="DP674" s="1399"/>
      <c r="DQ674" s="1399"/>
      <c r="DR674" s="1399"/>
      <c r="DS674" s="1399"/>
      <c r="DT674" s="1399"/>
      <c r="DU674" s="1399"/>
    </row>
    <row r="675" spans="1:125">
      <c r="A675" s="1414"/>
      <c r="B675" s="1414"/>
      <c r="C675" s="1414"/>
      <c r="D675" s="1414"/>
      <c r="E675" s="1414"/>
      <c r="F675" s="1414"/>
      <c r="G675" s="1414"/>
      <c r="H675" s="1414"/>
      <c r="I675" s="1414"/>
      <c r="J675" s="1414"/>
      <c r="K675" s="1414"/>
      <c r="L675" s="1414"/>
      <c r="M675" s="1414"/>
      <c r="N675" s="1414"/>
      <c r="O675" s="1414"/>
      <c r="P675" s="1414"/>
      <c r="Q675" s="1414"/>
      <c r="R675" s="1414"/>
      <c r="S675" s="1414"/>
      <c r="T675" s="1414"/>
      <c r="U675" s="1414"/>
      <c r="V675" s="1414"/>
      <c r="W675" s="1414"/>
      <c r="X675" s="1414"/>
      <c r="Y675" s="1414"/>
      <c r="Z675" s="1414"/>
      <c r="AA675" s="1414"/>
      <c r="AB675" s="1414"/>
      <c r="AC675" s="1414"/>
      <c r="AD675" s="1414"/>
      <c r="AE675" s="1414"/>
      <c r="AF675" s="1414"/>
      <c r="AG675" s="1414"/>
      <c r="AH675" s="1414"/>
      <c r="AI675" s="1414"/>
      <c r="AJ675" s="1414"/>
      <c r="AK675" s="1414"/>
      <c r="AL675" s="1414"/>
      <c r="AM675" s="1414"/>
      <c r="AN675" s="1414"/>
      <c r="AO675" s="1414"/>
      <c r="AP675" s="1414"/>
      <c r="AQ675" s="1414"/>
      <c r="AR675" s="1414"/>
      <c r="AS675" s="1414"/>
      <c r="AT675" s="1414"/>
      <c r="AU675" s="1414"/>
      <c r="AV675" s="1414"/>
      <c r="AW675" s="1414"/>
      <c r="AX675" s="1414"/>
      <c r="AY675" s="1399"/>
      <c r="AZ675" s="1399"/>
      <c r="BA675" s="1399"/>
      <c r="BB675" s="1399"/>
      <c r="BC675" s="1399"/>
      <c r="BD675" s="1399"/>
      <c r="BE675" s="1414"/>
      <c r="BF675" s="1399"/>
      <c r="BG675" s="1399"/>
      <c r="BH675" s="1399"/>
      <c r="BI675" s="1399"/>
      <c r="BJ675" s="1399"/>
      <c r="BK675" s="1399"/>
      <c r="BL675" s="1399"/>
      <c r="BM675" s="1399"/>
      <c r="BN675" s="1399"/>
      <c r="BO675" s="1399"/>
      <c r="BP675" s="1399"/>
      <c r="BQ675" s="1399"/>
      <c r="BR675" s="1399"/>
      <c r="BS675" s="1399"/>
      <c r="BT675" s="1399"/>
      <c r="BU675" s="1399"/>
      <c r="BV675" s="1399"/>
      <c r="BW675" s="1399"/>
      <c r="BX675" s="1399"/>
      <c r="BY675" s="1399"/>
      <c r="BZ675" s="1399"/>
      <c r="CA675" s="1399"/>
      <c r="CB675" s="1399"/>
      <c r="CC675" s="1399"/>
      <c r="CD675" s="1399"/>
      <c r="CE675" s="1399"/>
      <c r="CF675" s="1399"/>
      <c r="CG675" s="1399"/>
      <c r="CH675" s="1399"/>
      <c r="CI675" s="1399"/>
      <c r="CJ675" s="1399"/>
      <c r="CK675" s="1399"/>
      <c r="CL675" s="1399"/>
      <c r="CM675" s="1399"/>
      <c r="CN675" s="1399"/>
      <c r="CO675" s="1399"/>
      <c r="CP675" s="1399"/>
      <c r="CQ675" s="1399"/>
      <c r="CR675" s="1399"/>
      <c r="CS675" s="1399"/>
      <c r="CT675" s="1399"/>
      <c r="CU675" s="1399"/>
      <c r="CV675" s="1399"/>
      <c r="CW675" s="1399"/>
      <c r="CX675" s="1399"/>
      <c r="CY675" s="1399"/>
      <c r="CZ675" s="1399"/>
      <c r="DA675" s="1399"/>
      <c r="DB675" s="1399"/>
      <c r="DC675" s="1399"/>
      <c r="DD675" s="1399"/>
      <c r="DE675" s="1399"/>
      <c r="DF675" s="1399"/>
      <c r="DG675" s="1399"/>
      <c r="DH675" s="1399"/>
      <c r="DI675" s="1399"/>
      <c r="DJ675" s="1399"/>
      <c r="DK675" s="1399"/>
      <c r="DL675" s="1399"/>
      <c r="DM675" s="1399"/>
      <c r="DN675" s="1399"/>
      <c r="DO675" s="1399"/>
      <c r="DP675" s="1399"/>
      <c r="DQ675" s="1399"/>
      <c r="DR675" s="1399"/>
      <c r="DS675" s="1399"/>
      <c r="DT675" s="1399"/>
      <c r="DU675" s="1399"/>
    </row>
    <row r="676" spans="1:125">
      <c r="A676" s="1414"/>
      <c r="B676" s="1414"/>
      <c r="C676" s="1414"/>
      <c r="D676" s="1414"/>
      <c r="E676" s="1414"/>
      <c r="F676" s="1414"/>
      <c r="G676" s="1414"/>
      <c r="H676" s="1414"/>
      <c r="I676" s="1414"/>
      <c r="J676" s="1414"/>
      <c r="K676" s="1414"/>
      <c r="L676" s="1414"/>
      <c r="M676" s="1414"/>
      <c r="N676" s="1414"/>
      <c r="O676" s="1414"/>
      <c r="P676" s="1414"/>
      <c r="Q676" s="1414"/>
      <c r="R676" s="1414"/>
      <c r="S676" s="1414"/>
      <c r="T676" s="1414"/>
      <c r="U676" s="1414"/>
      <c r="V676" s="1414"/>
      <c r="W676" s="1414"/>
      <c r="X676" s="1414"/>
      <c r="Y676" s="1414"/>
      <c r="Z676" s="1414"/>
      <c r="AA676" s="1414"/>
      <c r="AB676" s="1414"/>
      <c r="AC676" s="1414"/>
      <c r="AD676" s="1414"/>
      <c r="AE676" s="1414"/>
      <c r="AF676" s="1414"/>
      <c r="AG676" s="1414"/>
      <c r="AH676" s="1414"/>
      <c r="AI676" s="1414"/>
      <c r="AJ676" s="1414"/>
      <c r="AK676" s="1414"/>
      <c r="AL676" s="1414"/>
      <c r="AM676" s="1414"/>
      <c r="AN676" s="1414"/>
      <c r="AO676" s="1414"/>
      <c r="AP676" s="1414"/>
      <c r="AQ676" s="1414"/>
      <c r="AR676" s="1414"/>
      <c r="AS676" s="1414"/>
      <c r="AT676" s="1414"/>
      <c r="AU676" s="1414"/>
      <c r="AV676" s="1414"/>
      <c r="AW676" s="1414"/>
      <c r="AX676" s="1414"/>
      <c r="AY676" s="1399"/>
      <c r="AZ676" s="1399"/>
      <c r="BA676" s="1399"/>
      <c r="BB676" s="1399"/>
      <c r="BC676" s="1399"/>
      <c r="BD676" s="1399"/>
      <c r="BE676" s="1414"/>
      <c r="BF676" s="1399"/>
      <c r="BG676" s="1399"/>
      <c r="BH676" s="1399"/>
      <c r="BI676" s="1399"/>
      <c r="BJ676" s="1399"/>
      <c r="BK676" s="1399"/>
      <c r="BL676" s="1399"/>
      <c r="BM676" s="1399"/>
      <c r="BN676" s="1399"/>
      <c r="BO676" s="1399"/>
      <c r="BP676" s="1399"/>
      <c r="BQ676" s="1399"/>
      <c r="BR676" s="1399"/>
      <c r="BS676" s="1399"/>
      <c r="BT676" s="1399"/>
      <c r="BU676" s="1399"/>
      <c r="BV676" s="1399"/>
      <c r="BW676" s="1399"/>
      <c r="BX676" s="1399"/>
      <c r="BY676" s="1399"/>
      <c r="BZ676" s="1399"/>
      <c r="CA676" s="1399"/>
      <c r="CB676" s="1399"/>
      <c r="CC676" s="1399"/>
      <c r="CD676" s="1399"/>
      <c r="CE676" s="1399"/>
      <c r="CF676" s="1399"/>
      <c r="CG676" s="1399"/>
      <c r="CH676" s="1399"/>
      <c r="CI676" s="1399"/>
      <c r="CJ676" s="1399"/>
      <c r="CK676" s="1399"/>
      <c r="CL676" s="1399"/>
      <c r="CM676" s="1399"/>
      <c r="CN676" s="1399"/>
      <c r="CO676" s="1399"/>
      <c r="CP676" s="1399"/>
      <c r="CQ676" s="1399"/>
      <c r="CR676" s="1399"/>
      <c r="CS676" s="1399"/>
      <c r="CT676" s="1399"/>
      <c r="CU676" s="1399"/>
      <c r="CV676" s="1399"/>
      <c r="CW676" s="1399"/>
      <c r="CX676" s="1399"/>
      <c r="CY676" s="1399"/>
      <c r="CZ676" s="1399"/>
      <c r="DA676" s="1399"/>
      <c r="DB676" s="1399"/>
      <c r="DC676" s="1399"/>
      <c r="DD676" s="1399"/>
      <c r="DE676" s="1399"/>
      <c r="DF676" s="1399"/>
      <c r="DG676" s="1399"/>
      <c r="DH676" s="1399"/>
      <c r="DI676" s="1399"/>
      <c r="DJ676" s="1399"/>
      <c r="DK676" s="1399"/>
      <c r="DL676" s="1399"/>
      <c r="DM676" s="1399"/>
      <c r="DN676" s="1399"/>
      <c r="DO676" s="1399"/>
      <c r="DP676" s="1399"/>
      <c r="DQ676" s="1399"/>
      <c r="DR676" s="1399"/>
      <c r="DS676" s="1399"/>
      <c r="DT676" s="1399"/>
      <c r="DU676" s="1399"/>
    </row>
    <row r="677" spans="1:125">
      <c r="A677" s="1414"/>
      <c r="B677" s="1414"/>
      <c r="C677" s="1414"/>
      <c r="D677" s="1414"/>
      <c r="E677" s="1414"/>
      <c r="F677" s="1414"/>
      <c r="G677" s="1414"/>
      <c r="H677" s="1414"/>
      <c r="I677" s="1414"/>
      <c r="J677" s="1414"/>
      <c r="K677" s="1414"/>
      <c r="L677" s="1414"/>
      <c r="M677" s="1414"/>
      <c r="N677" s="1414"/>
      <c r="O677" s="1414"/>
      <c r="P677" s="1414"/>
      <c r="Q677" s="1414"/>
      <c r="R677" s="1414"/>
      <c r="S677" s="1414"/>
      <c r="T677" s="1414"/>
      <c r="U677" s="1414"/>
      <c r="V677" s="1414"/>
      <c r="W677" s="1414"/>
      <c r="X677" s="1414"/>
      <c r="Y677" s="1414"/>
      <c r="Z677" s="1414"/>
      <c r="AA677" s="1414"/>
      <c r="AB677" s="1414"/>
      <c r="AC677" s="1414"/>
      <c r="AD677" s="1414"/>
      <c r="AE677" s="1414"/>
      <c r="AF677" s="1414"/>
      <c r="AG677" s="1414"/>
      <c r="AH677" s="1414"/>
      <c r="AI677" s="1414"/>
      <c r="AJ677" s="1414"/>
      <c r="AK677" s="1414"/>
      <c r="AL677" s="1414"/>
      <c r="AM677" s="1414"/>
      <c r="AN677" s="1414"/>
      <c r="AO677" s="1414"/>
      <c r="AP677" s="1414"/>
      <c r="AQ677" s="1414"/>
      <c r="AR677" s="1414"/>
      <c r="AS677" s="1414"/>
      <c r="AT677" s="1414"/>
      <c r="AU677" s="1414"/>
      <c r="AV677" s="1414"/>
      <c r="AW677" s="1414"/>
      <c r="AX677" s="1414"/>
      <c r="AY677" s="1399"/>
      <c r="AZ677" s="1399"/>
      <c r="BA677" s="1399"/>
      <c r="BB677" s="1399"/>
      <c r="BC677" s="1399"/>
      <c r="BD677" s="1399"/>
      <c r="BE677" s="1414"/>
      <c r="BF677" s="1399"/>
      <c r="BG677" s="1399"/>
      <c r="BH677" s="1399"/>
      <c r="BI677" s="1399"/>
      <c r="BJ677" s="1399"/>
      <c r="BK677" s="1399"/>
      <c r="BL677" s="1399"/>
      <c r="BM677" s="1399"/>
      <c r="BN677" s="1399"/>
      <c r="BO677" s="1399"/>
      <c r="BP677" s="1399"/>
      <c r="BQ677" s="1399"/>
      <c r="BR677" s="1399"/>
      <c r="BS677" s="1399"/>
      <c r="BT677" s="1399"/>
      <c r="BU677" s="1399"/>
      <c r="BV677" s="1399"/>
      <c r="BW677" s="1399"/>
      <c r="BX677" s="1399"/>
      <c r="BY677" s="1399"/>
      <c r="BZ677" s="1399"/>
      <c r="CA677" s="1399"/>
      <c r="CB677" s="1399"/>
      <c r="CC677" s="1399"/>
      <c r="CD677" s="1399"/>
      <c r="CE677" s="1399"/>
      <c r="CF677" s="1399"/>
      <c r="CG677" s="1399"/>
      <c r="CH677" s="1399"/>
      <c r="CI677" s="1399"/>
      <c r="CJ677" s="1399"/>
      <c r="CK677" s="1399"/>
      <c r="CL677" s="1399"/>
      <c r="CM677" s="1399"/>
      <c r="CN677" s="1399"/>
      <c r="CO677" s="1399"/>
      <c r="CP677" s="1399"/>
      <c r="CQ677" s="1399"/>
      <c r="CR677" s="1399"/>
      <c r="CS677" s="1399"/>
      <c r="CT677" s="1399"/>
      <c r="CU677" s="1399"/>
      <c r="CV677" s="1399"/>
      <c r="CW677" s="1399"/>
      <c r="CX677" s="1399"/>
      <c r="CY677" s="1399"/>
      <c r="CZ677" s="1399"/>
      <c r="DA677" s="1399"/>
      <c r="DB677" s="1399"/>
      <c r="DC677" s="1399"/>
      <c r="DD677" s="1399"/>
      <c r="DE677" s="1399"/>
      <c r="DF677" s="1399"/>
      <c r="DG677" s="1399"/>
      <c r="DH677" s="1399"/>
      <c r="DI677" s="1399"/>
      <c r="DJ677" s="1399"/>
      <c r="DK677" s="1399"/>
      <c r="DL677" s="1399"/>
      <c r="DM677" s="1399"/>
      <c r="DN677" s="1399"/>
      <c r="DO677" s="1399"/>
      <c r="DP677" s="1399"/>
      <c r="DQ677" s="1399"/>
      <c r="DR677" s="1399"/>
      <c r="DS677" s="1399"/>
      <c r="DT677" s="1399"/>
      <c r="DU677" s="1399"/>
    </row>
    <row r="678" spans="1:125">
      <c r="A678" s="1414"/>
      <c r="B678" s="1414"/>
      <c r="C678" s="1414"/>
      <c r="D678" s="1414"/>
      <c r="E678" s="1414"/>
      <c r="F678" s="1414"/>
      <c r="G678" s="1414"/>
      <c r="H678" s="1414"/>
      <c r="I678" s="1414"/>
      <c r="J678" s="1414"/>
      <c r="K678" s="1414"/>
      <c r="L678" s="1414"/>
      <c r="M678" s="1414"/>
      <c r="N678" s="1414"/>
      <c r="O678" s="1414"/>
      <c r="P678" s="1414"/>
      <c r="Q678" s="1414"/>
      <c r="R678" s="1414"/>
      <c r="S678" s="1414"/>
      <c r="T678" s="1414"/>
      <c r="U678" s="1414"/>
      <c r="V678" s="1414"/>
      <c r="W678" s="1414"/>
      <c r="X678" s="1414"/>
      <c r="Y678" s="1414"/>
      <c r="Z678" s="1414"/>
      <c r="AA678" s="1414"/>
      <c r="AB678" s="1414"/>
      <c r="AC678" s="1414"/>
      <c r="AD678" s="1414"/>
      <c r="AE678" s="1414"/>
      <c r="AF678" s="1414"/>
      <c r="AG678" s="1414"/>
      <c r="AH678" s="1414"/>
      <c r="AI678" s="1414"/>
      <c r="AJ678" s="1414"/>
      <c r="AK678" s="1414"/>
      <c r="AL678" s="1414"/>
      <c r="AM678" s="1414"/>
      <c r="AN678" s="1414"/>
      <c r="AO678" s="1414"/>
      <c r="AP678" s="1414"/>
      <c r="AQ678" s="1414"/>
      <c r="AR678" s="1414"/>
      <c r="AS678" s="1414"/>
      <c r="AT678" s="1414"/>
      <c r="AU678" s="1414"/>
      <c r="AV678" s="1414"/>
      <c r="AW678" s="1414"/>
      <c r="AX678" s="1414"/>
      <c r="AY678" s="1399"/>
      <c r="AZ678" s="1399"/>
      <c r="BA678" s="1399"/>
      <c r="BB678" s="1399"/>
      <c r="BC678" s="1399"/>
      <c r="BD678" s="1399"/>
      <c r="BE678" s="1414"/>
      <c r="BF678" s="1399"/>
      <c r="BG678" s="1399"/>
      <c r="BH678" s="1399"/>
      <c r="BI678" s="1399"/>
      <c r="BJ678" s="1399"/>
      <c r="BK678" s="1399"/>
      <c r="BL678" s="1399"/>
      <c r="BM678" s="1399"/>
      <c r="BN678" s="1399"/>
      <c r="BO678" s="1399"/>
      <c r="BP678" s="1399"/>
      <c r="BQ678" s="1399"/>
      <c r="BR678" s="1399"/>
      <c r="BS678" s="1399"/>
      <c r="BT678" s="1399"/>
      <c r="BU678" s="1399"/>
      <c r="BV678" s="1399"/>
      <c r="BW678" s="1399"/>
      <c r="BX678" s="1399"/>
      <c r="BY678" s="1399"/>
      <c r="BZ678" s="1399"/>
      <c r="CA678" s="1399"/>
      <c r="CB678" s="1399"/>
      <c r="CC678" s="1399"/>
      <c r="CD678" s="1399"/>
      <c r="CE678" s="1399"/>
      <c r="CF678" s="1399"/>
      <c r="CG678" s="1399"/>
      <c r="CH678" s="1399"/>
      <c r="CI678" s="1399"/>
      <c r="CJ678" s="1399"/>
      <c r="CK678" s="1399"/>
      <c r="CL678" s="1399"/>
      <c r="CM678" s="1399"/>
      <c r="CN678" s="1399"/>
      <c r="CO678" s="1399"/>
      <c r="CP678" s="1399"/>
      <c r="CQ678" s="1399"/>
      <c r="CR678" s="1399"/>
      <c r="CS678" s="1399"/>
      <c r="CT678" s="1399"/>
      <c r="CU678" s="1399"/>
      <c r="CV678" s="1399"/>
      <c r="CW678" s="1399"/>
      <c r="CX678" s="1399"/>
      <c r="CY678" s="1399"/>
      <c r="CZ678" s="1399"/>
      <c r="DA678" s="1399"/>
      <c r="DB678" s="1399"/>
      <c r="DC678" s="1399"/>
      <c r="DD678" s="1399"/>
      <c r="DE678" s="1399"/>
      <c r="DF678" s="1399"/>
      <c r="DG678" s="1399"/>
      <c r="DH678" s="1399"/>
      <c r="DI678" s="1399"/>
      <c r="DJ678" s="1399"/>
      <c r="DK678" s="1399"/>
      <c r="DL678" s="1399"/>
      <c r="DM678" s="1399"/>
      <c r="DN678" s="1399"/>
      <c r="DO678" s="1399"/>
      <c r="DP678" s="1399"/>
      <c r="DQ678" s="1399"/>
      <c r="DR678" s="1399"/>
      <c r="DS678" s="1399"/>
      <c r="DT678" s="1399"/>
      <c r="DU678" s="1399"/>
    </row>
    <row r="679" spans="1:125">
      <c r="A679" s="1414"/>
      <c r="B679" s="1414"/>
      <c r="C679" s="1414"/>
      <c r="D679" s="1414"/>
      <c r="E679" s="1414"/>
      <c r="F679" s="1414"/>
      <c r="G679" s="1414"/>
      <c r="H679" s="1414"/>
      <c r="I679" s="1414"/>
      <c r="J679" s="1414"/>
      <c r="K679" s="1414"/>
      <c r="L679" s="1414"/>
      <c r="M679" s="1414"/>
      <c r="N679" s="1414"/>
      <c r="O679" s="1414"/>
      <c r="P679" s="1414"/>
      <c r="Q679" s="1414"/>
      <c r="R679" s="1414"/>
      <c r="S679" s="1414"/>
      <c r="T679" s="1414"/>
      <c r="U679" s="1414"/>
      <c r="V679" s="1414"/>
      <c r="W679" s="1414"/>
      <c r="X679" s="1414"/>
      <c r="Y679" s="1414"/>
      <c r="Z679" s="1414"/>
      <c r="AA679" s="1414"/>
      <c r="AB679" s="1414"/>
      <c r="AC679" s="1414"/>
      <c r="AD679" s="1414"/>
      <c r="AE679" s="1414"/>
      <c r="AF679" s="1414"/>
      <c r="AG679" s="1414"/>
      <c r="AH679" s="1414"/>
      <c r="AI679" s="1414"/>
      <c r="AJ679" s="1414"/>
      <c r="AK679" s="1414"/>
      <c r="AL679" s="1414"/>
      <c r="AM679" s="1414"/>
      <c r="AN679" s="1414"/>
      <c r="AO679" s="1414"/>
      <c r="AP679" s="1414"/>
      <c r="AQ679" s="1414"/>
      <c r="AR679" s="1414"/>
      <c r="AS679" s="1414"/>
      <c r="AT679" s="1414"/>
      <c r="AU679" s="1414"/>
      <c r="AV679" s="1414"/>
      <c r="AW679" s="1414"/>
      <c r="AX679" s="1414"/>
      <c r="AY679" s="1399"/>
      <c r="AZ679" s="1399"/>
      <c r="BA679" s="1399"/>
      <c r="BB679" s="1399"/>
      <c r="BC679" s="1399"/>
      <c r="BD679" s="1399"/>
      <c r="BE679" s="1414"/>
      <c r="BF679" s="1399"/>
      <c r="BG679" s="1399"/>
      <c r="BH679" s="1399"/>
      <c r="BI679" s="1399"/>
      <c r="BJ679" s="1399"/>
      <c r="BK679" s="1399"/>
      <c r="BL679" s="1399"/>
      <c r="BM679" s="1399"/>
      <c r="BN679" s="1399"/>
      <c r="BO679" s="1399"/>
      <c r="BP679" s="1399"/>
      <c r="BQ679" s="1399"/>
      <c r="BR679" s="1399"/>
      <c r="BS679" s="1399"/>
      <c r="BT679" s="1399"/>
      <c r="BU679" s="1399"/>
      <c r="BV679" s="1399"/>
      <c r="BW679" s="1399"/>
      <c r="BX679" s="1399"/>
      <c r="BY679" s="1399"/>
      <c r="BZ679" s="1399"/>
      <c r="CA679" s="1399"/>
      <c r="CB679" s="1399"/>
      <c r="CC679" s="1399"/>
      <c r="CD679" s="1399"/>
      <c r="CE679" s="1399"/>
      <c r="CF679" s="1399"/>
      <c r="CG679" s="1399"/>
      <c r="CH679" s="1399"/>
      <c r="CI679" s="1399"/>
      <c r="CJ679" s="1399"/>
      <c r="CK679" s="1399"/>
      <c r="CL679" s="1399"/>
      <c r="CM679" s="1399"/>
      <c r="CN679" s="1399"/>
      <c r="CO679" s="1399"/>
      <c r="CP679" s="1399"/>
      <c r="CQ679" s="1399"/>
      <c r="CR679" s="1399"/>
      <c r="CS679" s="1399"/>
      <c r="CT679" s="1399"/>
      <c r="CU679" s="1399"/>
      <c r="CV679" s="1399"/>
      <c r="CW679" s="1399"/>
      <c r="CX679" s="1399"/>
      <c r="CY679" s="1399"/>
      <c r="CZ679" s="1399"/>
      <c r="DA679" s="1399"/>
      <c r="DB679" s="1399"/>
      <c r="DC679" s="1399"/>
      <c r="DD679" s="1399"/>
      <c r="DE679" s="1399"/>
      <c r="DF679" s="1399"/>
      <c r="DG679" s="1399"/>
      <c r="DH679" s="1399"/>
      <c r="DI679" s="1399"/>
      <c r="DJ679" s="1399"/>
      <c r="DK679" s="1399"/>
      <c r="DL679" s="1399"/>
      <c r="DM679" s="1399"/>
      <c r="DN679" s="1399"/>
      <c r="DO679" s="1399"/>
      <c r="DP679" s="1399"/>
      <c r="DQ679" s="1399"/>
      <c r="DR679" s="1399"/>
      <c r="DS679" s="1399"/>
      <c r="DT679" s="1399"/>
      <c r="DU679" s="1399"/>
    </row>
    <row r="680" spans="1:125">
      <c r="A680" s="1414"/>
      <c r="B680" s="1414"/>
      <c r="C680" s="1414"/>
      <c r="D680" s="1414"/>
      <c r="E680" s="1414"/>
      <c r="F680" s="1414"/>
      <c r="G680" s="1414"/>
      <c r="H680" s="1414"/>
      <c r="I680" s="1414"/>
      <c r="J680" s="1414"/>
      <c r="K680" s="1414"/>
      <c r="L680" s="1414"/>
      <c r="M680" s="1414"/>
      <c r="N680" s="1414"/>
      <c r="O680" s="1414"/>
      <c r="P680" s="1414"/>
      <c r="Q680" s="1414"/>
      <c r="R680" s="1414"/>
      <c r="S680" s="1414"/>
      <c r="T680" s="1414"/>
      <c r="U680" s="1414"/>
      <c r="V680" s="1414"/>
      <c r="W680" s="1414"/>
      <c r="X680" s="1414"/>
      <c r="Y680" s="1414"/>
      <c r="Z680" s="1414"/>
      <c r="AA680" s="1414"/>
      <c r="AB680" s="1414"/>
      <c r="AC680" s="1414"/>
      <c r="AD680" s="1414"/>
      <c r="AE680" s="1414"/>
      <c r="AF680" s="1414"/>
      <c r="AG680" s="1414"/>
      <c r="AH680" s="1414"/>
      <c r="AI680" s="1414"/>
      <c r="AJ680" s="1414"/>
      <c r="AK680" s="1414"/>
      <c r="AL680" s="1414"/>
      <c r="AM680" s="1414"/>
      <c r="AN680" s="1414"/>
      <c r="AO680" s="1414"/>
      <c r="AP680" s="1414"/>
      <c r="AQ680" s="1414"/>
      <c r="AR680" s="1414"/>
      <c r="AS680" s="1414"/>
      <c r="AT680" s="1414"/>
      <c r="AU680" s="1414"/>
      <c r="AV680" s="1414"/>
      <c r="AW680" s="1414"/>
      <c r="AX680" s="1414"/>
      <c r="AY680" s="1399"/>
      <c r="AZ680" s="1399"/>
      <c r="BA680" s="1399"/>
      <c r="BB680" s="1399"/>
      <c r="BC680" s="1399"/>
      <c r="BD680" s="1399"/>
      <c r="BE680" s="1414"/>
      <c r="BF680" s="1399"/>
      <c r="BG680" s="1399"/>
      <c r="BH680" s="1399"/>
      <c r="BI680" s="1399"/>
      <c r="BJ680" s="1399"/>
      <c r="BK680" s="1399"/>
      <c r="BL680" s="1399"/>
      <c r="BM680" s="1399"/>
      <c r="BN680" s="1399"/>
      <c r="BO680" s="1399"/>
      <c r="BP680" s="1399"/>
      <c r="BQ680" s="1399"/>
      <c r="BR680" s="1399"/>
      <c r="BS680" s="1399"/>
      <c r="BT680" s="1399"/>
      <c r="BU680" s="1399"/>
      <c r="BV680" s="1399"/>
      <c r="BW680" s="1399"/>
      <c r="BX680" s="1399"/>
      <c r="BY680" s="1399"/>
      <c r="BZ680" s="1399"/>
      <c r="CA680" s="1399"/>
      <c r="CB680" s="1399"/>
      <c r="CC680" s="1399"/>
      <c r="CD680" s="1399"/>
      <c r="CE680" s="1399"/>
      <c r="CF680" s="1399"/>
      <c r="CG680" s="1399"/>
      <c r="CH680" s="1399"/>
      <c r="CI680" s="1399"/>
      <c r="CJ680" s="1399"/>
      <c r="CK680" s="1399"/>
      <c r="CL680" s="1399"/>
      <c r="CM680" s="1399"/>
      <c r="CN680" s="1399"/>
      <c r="CO680" s="1399"/>
      <c r="CP680" s="1399"/>
      <c r="CQ680" s="1399"/>
      <c r="CR680" s="1399"/>
      <c r="CS680" s="1399"/>
      <c r="CT680" s="1399"/>
      <c r="CU680" s="1399"/>
      <c r="CV680" s="1399"/>
      <c r="CW680" s="1399"/>
      <c r="CX680" s="1399"/>
      <c r="CY680" s="1399"/>
      <c r="CZ680" s="1399"/>
      <c r="DA680" s="1399"/>
      <c r="DB680" s="1399"/>
      <c r="DC680" s="1399"/>
      <c r="DD680" s="1399"/>
      <c r="DE680" s="1399"/>
      <c r="DF680" s="1399"/>
      <c r="DG680" s="1399"/>
      <c r="DH680" s="1399"/>
      <c r="DI680" s="1399"/>
      <c r="DJ680" s="1399"/>
      <c r="DK680" s="1399"/>
      <c r="DL680" s="1399"/>
      <c r="DM680" s="1399"/>
      <c r="DN680" s="1399"/>
      <c r="DO680" s="1399"/>
      <c r="DP680" s="1399"/>
      <c r="DQ680" s="1399"/>
      <c r="DR680" s="1399"/>
      <c r="DS680" s="1399"/>
      <c r="DT680" s="1399"/>
      <c r="DU680" s="1399"/>
    </row>
    <row r="681" spans="1:125">
      <c r="A681" s="1414"/>
      <c r="B681" s="1414"/>
      <c r="C681" s="1414"/>
      <c r="D681" s="1414"/>
      <c r="E681" s="1414"/>
      <c r="F681" s="1414"/>
      <c r="G681" s="1414"/>
      <c r="H681" s="1414"/>
      <c r="I681" s="1414"/>
      <c r="J681" s="1414"/>
      <c r="K681" s="1414"/>
      <c r="L681" s="1414"/>
      <c r="M681" s="1414"/>
      <c r="N681" s="1414"/>
      <c r="O681" s="1414"/>
      <c r="P681" s="1414"/>
      <c r="Q681" s="1414"/>
      <c r="R681" s="1414"/>
      <c r="S681" s="1414"/>
      <c r="T681" s="1414"/>
      <c r="U681" s="1414"/>
      <c r="V681" s="1414"/>
      <c r="W681" s="1414"/>
      <c r="X681" s="1414"/>
      <c r="Y681" s="1414"/>
      <c r="Z681" s="1414"/>
      <c r="AA681" s="1414"/>
      <c r="AB681" s="1414"/>
      <c r="AC681" s="1414"/>
      <c r="AD681" s="1414"/>
      <c r="AE681" s="1414"/>
      <c r="AF681" s="1414"/>
      <c r="AG681" s="1414"/>
      <c r="AH681" s="1414"/>
      <c r="AI681" s="1414"/>
      <c r="AJ681" s="1414"/>
      <c r="AK681" s="1414"/>
      <c r="AL681" s="1414"/>
      <c r="AM681" s="1414"/>
      <c r="AN681" s="1414"/>
      <c r="AO681" s="1414"/>
      <c r="AP681" s="1414"/>
      <c r="AQ681" s="1414"/>
      <c r="AR681" s="1414"/>
      <c r="AS681" s="1414"/>
      <c r="AT681" s="1414"/>
      <c r="AU681" s="1414"/>
      <c r="AV681" s="1414"/>
      <c r="AW681" s="1414"/>
      <c r="AX681" s="1414"/>
      <c r="AY681" s="1399"/>
      <c r="AZ681" s="1399"/>
      <c r="BA681" s="1399"/>
      <c r="BB681" s="1399"/>
      <c r="BC681" s="1399"/>
      <c r="BD681" s="1399"/>
      <c r="BE681" s="1414"/>
      <c r="BF681" s="1399"/>
      <c r="BG681" s="1399"/>
      <c r="BH681" s="1399"/>
      <c r="BI681" s="1399"/>
      <c r="BJ681" s="1399"/>
      <c r="BK681" s="1399"/>
      <c r="BL681" s="1399"/>
      <c r="BM681" s="1399"/>
      <c r="BN681" s="1399"/>
      <c r="BO681" s="1399"/>
      <c r="BP681" s="1399"/>
      <c r="BQ681" s="1399"/>
      <c r="BR681" s="1399"/>
      <c r="BS681" s="1399"/>
      <c r="BT681" s="1399"/>
      <c r="BU681" s="1399"/>
      <c r="BV681" s="1399"/>
      <c r="BW681" s="1399"/>
      <c r="BX681" s="1399"/>
      <c r="BY681" s="1399"/>
      <c r="BZ681" s="1399"/>
      <c r="CA681" s="1399"/>
      <c r="CB681" s="1399"/>
      <c r="CC681" s="1399"/>
      <c r="CD681" s="1399"/>
      <c r="CE681" s="1399"/>
      <c r="CF681" s="1399"/>
      <c r="CG681" s="1399"/>
      <c r="CH681" s="1399"/>
      <c r="CI681" s="1399"/>
      <c r="CJ681" s="1399"/>
      <c r="CK681" s="1399"/>
      <c r="CL681" s="1399"/>
      <c r="CM681" s="1399"/>
      <c r="CN681" s="1399"/>
      <c r="CO681" s="1399"/>
      <c r="CP681" s="1399"/>
      <c r="CQ681" s="1399"/>
      <c r="CR681" s="1399"/>
      <c r="CS681" s="1399"/>
      <c r="CT681" s="1399"/>
      <c r="CU681" s="1399"/>
      <c r="CV681" s="1399"/>
      <c r="CW681" s="1399"/>
      <c r="CX681" s="1399"/>
      <c r="CY681" s="1399"/>
      <c r="CZ681" s="1399"/>
      <c r="DA681" s="1399"/>
      <c r="DB681" s="1399"/>
      <c r="DC681" s="1399"/>
      <c r="DD681" s="1399"/>
      <c r="DE681" s="1399"/>
      <c r="DF681" s="1399"/>
      <c r="DG681" s="1399"/>
      <c r="DH681" s="1399"/>
      <c r="DI681" s="1399"/>
      <c r="DJ681" s="1399"/>
      <c r="DK681" s="1399"/>
      <c r="DL681" s="1399"/>
      <c r="DM681" s="1399"/>
      <c r="DN681" s="1399"/>
      <c r="DO681" s="1399"/>
      <c r="DP681" s="1399"/>
      <c r="DQ681" s="1399"/>
      <c r="DR681" s="1399"/>
      <c r="DS681" s="1399"/>
      <c r="DT681" s="1399"/>
      <c r="DU681" s="1399"/>
    </row>
    <row r="682" spans="1:125">
      <c r="A682" s="1414"/>
      <c r="B682" s="1414"/>
      <c r="C682" s="1414"/>
      <c r="D682" s="1414"/>
      <c r="E682" s="1414"/>
      <c r="F682" s="1414"/>
      <c r="G682" s="1414"/>
      <c r="H682" s="1414"/>
      <c r="I682" s="1414"/>
      <c r="J682" s="1414"/>
      <c r="K682" s="1414"/>
      <c r="L682" s="1414"/>
      <c r="M682" s="1414"/>
      <c r="N682" s="1414"/>
      <c r="O682" s="1414"/>
      <c r="P682" s="1414"/>
      <c r="Q682" s="1414"/>
      <c r="R682" s="1414"/>
      <c r="S682" s="1414"/>
      <c r="T682" s="1414"/>
      <c r="U682" s="1414"/>
      <c r="V682" s="1414"/>
      <c r="W682" s="1414"/>
      <c r="X682" s="1414"/>
      <c r="Y682" s="1414"/>
      <c r="Z682" s="1414"/>
      <c r="AA682" s="1414"/>
      <c r="AB682" s="1414"/>
      <c r="AC682" s="1414"/>
      <c r="AD682" s="1414"/>
      <c r="AE682" s="1414"/>
      <c r="AF682" s="1414"/>
      <c r="AG682" s="1414"/>
      <c r="AH682" s="1414"/>
      <c r="AI682" s="1414"/>
      <c r="AJ682" s="1414"/>
      <c r="AK682" s="1414"/>
      <c r="AL682" s="1414"/>
      <c r="AM682" s="1414"/>
      <c r="AN682" s="1414"/>
      <c r="AO682" s="1414"/>
      <c r="AP682" s="1414"/>
      <c r="AQ682" s="1414"/>
      <c r="AR682" s="1414"/>
      <c r="AS682" s="1414"/>
      <c r="AT682" s="1414"/>
      <c r="AU682" s="1414"/>
      <c r="AV682" s="1414"/>
      <c r="AW682" s="1414"/>
      <c r="AX682" s="1414"/>
      <c r="AY682" s="1399"/>
      <c r="AZ682" s="1399"/>
      <c r="BA682" s="1399"/>
      <c r="BB682" s="1399"/>
      <c r="BC682" s="1399"/>
      <c r="BD682" s="1399"/>
      <c r="BE682" s="1414"/>
      <c r="BF682" s="1399"/>
      <c r="BG682" s="1399"/>
      <c r="BH682" s="1399"/>
      <c r="BI682" s="1399"/>
      <c r="BJ682" s="1399"/>
      <c r="BK682" s="1399"/>
      <c r="BL682" s="1399"/>
      <c r="BM682" s="1399"/>
      <c r="BN682" s="1399"/>
      <c r="BO682" s="1399"/>
      <c r="BP682" s="1399"/>
      <c r="BQ682" s="1399"/>
      <c r="BR682" s="1399"/>
      <c r="BS682" s="1399"/>
      <c r="BT682" s="1399"/>
      <c r="BU682" s="1399"/>
      <c r="BV682" s="1399"/>
      <c r="BW682" s="1399"/>
      <c r="BX682" s="1399"/>
      <c r="BY682" s="1399"/>
      <c r="BZ682" s="1399"/>
      <c r="CA682" s="1399"/>
      <c r="CB682" s="1399"/>
      <c r="CC682" s="1399"/>
      <c r="CD682" s="1399"/>
      <c r="CE682" s="1399"/>
      <c r="CF682" s="1399"/>
      <c r="CG682" s="1399"/>
      <c r="CH682" s="1399"/>
      <c r="CI682" s="1399"/>
      <c r="CJ682" s="1399"/>
      <c r="CK682" s="1399"/>
      <c r="CL682" s="1399"/>
      <c r="CM682" s="1399"/>
      <c r="CN682" s="1399"/>
      <c r="CO682" s="1399"/>
      <c r="CP682" s="1399"/>
      <c r="CQ682" s="1399"/>
      <c r="CR682" s="1399"/>
      <c r="CS682" s="1399"/>
      <c r="CT682" s="1399"/>
      <c r="CU682" s="1399"/>
      <c r="CV682" s="1399"/>
      <c r="CW682" s="1399"/>
      <c r="CX682" s="1399"/>
      <c r="CY682" s="1399"/>
      <c r="CZ682" s="1399"/>
      <c r="DA682" s="1399"/>
      <c r="DB682" s="1399"/>
      <c r="DC682" s="1399"/>
      <c r="DD682" s="1399"/>
      <c r="DE682" s="1399"/>
      <c r="DF682" s="1399"/>
      <c r="DG682" s="1399"/>
      <c r="DH682" s="1399"/>
      <c r="DI682" s="1399"/>
      <c r="DJ682" s="1399"/>
      <c r="DK682" s="1399"/>
      <c r="DL682" s="1399"/>
      <c r="DM682" s="1399"/>
      <c r="DN682" s="1399"/>
      <c r="DO682" s="1399"/>
      <c r="DP682" s="1399"/>
      <c r="DQ682" s="1399"/>
      <c r="DR682" s="1399"/>
      <c r="DS682" s="1399"/>
      <c r="DT682" s="1399"/>
      <c r="DU682" s="1399"/>
    </row>
    <row r="683" spans="1:125">
      <c r="A683" s="1414"/>
      <c r="B683" s="1414"/>
      <c r="C683" s="1414"/>
      <c r="D683" s="1414"/>
      <c r="E683" s="1414"/>
      <c r="F683" s="1414"/>
      <c r="G683" s="1414"/>
      <c r="H683" s="1414"/>
      <c r="I683" s="1414"/>
      <c r="J683" s="1414"/>
      <c r="K683" s="1414"/>
      <c r="L683" s="1414"/>
      <c r="M683" s="1414"/>
      <c r="N683" s="1414"/>
      <c r="O683" s="1414"/>
      <c r="P683" s="1414"/>
      <c r="Q683" s="1414"/>
      <c r="R683" s="1414"/>
      <c r="S683" s="1414"/>
      <c r="T683" s="1414"/>
      <c r="U683" s="1414"/>
      <c r="V683" s="1414"/>
      <c r="W683" s="1414"/>
      <c r="X683" s="1414"/>
      <c r="Y683" s="1414"/>
      <c r="Z683" s="1414"/>
      <c r="AA683" s="1414"/>
      <c r="AB683" s="1414"/>
      <c r="AC683" s="1414"/>
      <c r="AD683" s="1414"/>
      <c r="AE683" s="1414"/>
      <c r="AF683" s="1414"/>
      <c r="AG683" s="1414"/>
      <c r="AH683" s="1414"/>
      <c r="AI683" s="1414"/>
      <c r="AJ683" s="1414"/>
      <c r="AK683" s="1414"/>
      <c r="AL683" s="1414"/>
      <c r="AM683" s="1414"/>
      <c r="AN683" s="1414"/>
      <c r="AO683" s="1414"/>
      <c r="AP683" s="1414"/>
      <c r="AQ683" s="1414"/>
      <c r="AR683" s="1414"/>
      <c r="AS683" s="1414"/>
      <c r="AT683" s="1414"/>
      <c r="AU683" s="1414"/>
      <c r="AV683" s="1414"/>
      <c r="AW683" s="1414"/>
      <c r="AX683" s="1414"/>
      <c r="AY683" s="1399"/>
      <c r="AZ683" s="1399"/>
      <c r="BA683" s="1399"/>
      <c r="BB683" s="1399"/>
      <c r="BC683" s="1399"/>
      <c r="BD683" s="1399"/>
      <c r="BE683" s="1414"/>
      <c r="BF683" s="1399"/>
      <c r="BG683" s="1399"/>
      <c r="BH683" s="1399"/>
      <c r="BI683" s="1399"/>
      <c r="BJ683" s="1399"/>
      <c r="BK683" s="1399"/>
      <c r="BL683" s="1399"/>
      <c r="BM683" s="1399"/>
      <c r="BN683" s="1399"/>
      <c r="BO683" s="1399"/>
      <c r="BP683" s="1399"/>
      <c r="BQ683" s="1399"/>
      <c r="BR683" s="1399"/>
      <c r="BS683" s="1399"/>
      <c r="BT683" s="1399"/>
      <c r="BU683" s="1399"/>
      <c r="BV683" s="1399"/>
      <c r="BW683" s="1399"/>
      <c r="BX683" s="1399"/>
      <c r="BY683" s="1399"/>
      <c r="BZ683" s="1399"/>
      <c r="CA683" s="1399"/>
      <c r="CB683" s="1399"/>
      <c r="CC683" s="1399"/>
      <c r="CD683" s="1399"/>
      <c r="CE683" s="1399"/>
      <c r="CF683" s="1399"/>
      <c r="CG683" s="1399"/>
      <c r="CH683" s="1399"/>
      <c r="CI683" s="1399"/>
      <c r="CJ683" s="1399"/>
      <c r="CK683" s="1399"/>
      <c r="CL683" s="1399"/>
      <c r="CM683" s="1399"/>
      <c r="CN683" s="1399"/>
      <c r="CO683" s="1399"/>
      <c r="CP683" s="1399"/>
      <c r="CQ683" s="1399"/>
      <c r="CR683" s="1399"/>
      <c r="CS683" s="1399"/>
      <c r="CT683" s="1399"/>
      <c r="CU683" s="1399"/>
      <c r="CV683" s="1399"/>
      <c r="CW683" s="1399"/>
      <c r="CX683" s="1399"/>
      <c r="CY683" s="1399"/>
      <c r="CZ683" s="1399"/>
      <c r="DA683" s="1399"/>
      <c r="DB683" s="1399"/>
      <c r="DC683" s="1399"/>
      <c r="DD683" s="1399"/>
      <c r="DE683" s="1399"/>
      <c r="DF683" s="1399"/>
      <c r="DG683" s="1399"/>
      <c r="DH683" s="1399"/>
      <c r="DI683" s="1399"/>
      <c r="DJ683" s="1399"/>
      <c r="DK683" s="1399"/>
      <c r="DL683" s="1399"/>
      <c r="DM683" s="1399"/>
      <c r="DN683" s="1399"/>
      <c r="DO683" s="1399"/>
      <c r="DP683" s="1399"/>
      <c r="DQ683" s="1399"/>
      <c r="DR683" s="1399"/>
      <c r="DS683" s="1399"/>
      <c r="DT683" s="1399"/>
      <c r="DU683" s="1399"/>
    </row>
    <row r="684" spans="1:125">
      <c r="A684" s="1414"/>
      <c r="B684" s="1414"/>
      <c r="C684" s="1414"/>
      <c r="D684" s="1414"/>
      <c r="E684" s="1414"/>
      <c r="F684" s="1414"/>
      <c r="G684" s="1414"/>
      <c r="H684" s="1414"/>
      <c r="I684" s="1414"/>
      <c r="J684" s="1414"/>
      <c r="K684" s="1414"/>
      <c r="L684" s="1414"/>
      <c r="M684" s="1414"/>
      <c r="N684" s="1414"/>
      <c r="O684" s="1414"/>
      <c r="P684" s="1414"/>
      <c r="Q684" s="1414"/>
      <c r="R684" s="1414"/>
      <c r="S684" s="1414"/>
      <c r="T684" s="1414"/>
      <c r="U684" s="1414"/>
      <c r="V684" s="1414"/>
      <c r="W684" s="1414"/>
      <c r="X684" s="1414"/>
      <c r="Y684" s="1414"/>
      <c r="Z684" s="1414"/>
      <c r="AA684" s="1414"/>
      <c r="AB684" s="1414"/>
      <c r="AC684" s="1414"/>
      <c r="AD684" s="1414"/>
      <c r="AE684" s="1414"/>
      <c r="AF684" s="1414"/>
      <c r="AG684" s="1414"/>
      <c r="AH684" s="1414"/>
      <c r="AI684" s="1414"/>
      <c r="AJ684" s="1414"/>
      <c r="AK684" s="1414"/>
      <c r="AL684" s="1414"/>
      <c r="AM684" s="1414"/>
      <c r="AN684" s="1414"/>
      <c r="AO684" s="1414"/>
      <c r="AP684" s="1414"/>
      <c r="AQ684" s="1414"/>
      <c r="AR684" s="1414"/>
      <c r="AS684" s="1414"/>
      <c r="AT684" s="1414"/>
      <c r="AU684" s="1414"/>
      <c r="AV684" s="1414"/>
      <c r="AW684" s="1414"/>
      <c r="AX684" s="1414"/>
      <c r="AY684" s="1399"/>
      <c r="AZ684" s="1399"/>
      <c r="BA684" s="1399"/>
      <c r="BB684" s="1399"/>
      <c r="BC684" s="1399"/>
      <c r="BD684" s="1399"/>
      <c r="BE684" s="1414"/>
      <c r="BF684" s="1399"/>
      <c r="BG684" s="1399"/>
      <c r="BH684" s="1399"/>
      <c r="BI684" s="1399"/>
      <c r="BJ684" s="1399"/>
      <c r="BK684" s="1399"/>
      <c r="BL684" s="1399"/>
      <c r="BM684" s="1399"/>
      <c r="BN684" s="1399"/>
      <c r="BO684" s="1399"/>
      <c r="BP684" s="1399"/>
      <c r="BQ684" s="1399"/>
      <c r="BR684" s="1399"/>
      <c r="BS684" s="1399"/>
      <c r="BT684" s="1399"/>
      <c r="BU684" s="1399"/>
      <c r="BV684" s="1399"/>
      <c r="BW684" s="1399"/>
      <c r="BX684" s="1399"/>
      <c r="BY684" s="1399"/>
      <c r="BZ684" s="1399"/>
      <c r="CA684" s="1399"/>
      <c r="CB684" s="1399"/>
      <c r="CC684" s="1399"/>
      <c r="CD684" s="1399"/>
      <c r="CE684" s="1399"/>
      <c r="CF684" s="1399"/>
      <c r="CG684" s="1399"/>
      <c r="CH684" s="1399"/>
      <c r="CI684" s="1399"/>
      <c r="CJ684" s="1399"/>
      <c r="CK684" s="1399"/>
      <c r="CL684" s="1399"/>
      <c r="CM684" s="1399"/>
      <c r="CN684" s="1399"/>
      <c r="CO684" s="1399"/>
      <c r="CP684" s="1399"/>
      <c r="CQ684" s="1399"/>
      <c r="CR684" s="1399"/>
      <c r="CS684" s="1399"/>
      <c r="CT684" s="1399"/>
      <c r="CU684" s="1399"/>
      <c r="CV684" s="1399"/>
      <c r="CW684" s="1399"/>
      <c r="CX684" s="1399"/>
      <c r="CY684" s="1399"/>
      <c r="CZ684" s="1399"/>
      <c r="DA684" s="1399"/>
      <c r="DB684" s="1399"/>
      <c r="DC684" s="1399"/>
      <c r="DD684" s="1399"/>
      <c r="DE684" s="1399"/>
      <c r="DF684" s="1399"/>
      <c r="DG684" s="1399"/>
      <c r="DH684" s="1399"/>
      <c r="DI684" s="1399"/>
      <c r="DJ684" s="1399"/>
      <c r="DK684" s="1399"/>
      <c r="DL684" s="1399"/>
      <c r="DM684" s="1399"/>
      <c r="DN684" s="1399"/>
      <c r="DO684" s="1399"/>
      <c r="DP684" s="1399"/>
      <c r="DQ684" s="1399"/>
      <c r="DR684" s="1399"/>
      <c r="DS684" s="1399"/>
      <c r="DT684" s="1399"/>
      <c r="DU684" s="1399"/>
    </row>
    <row r="685" spans="1:125">
      <c r="A685" s="1414"/>
      <c r="B685" s="1414"/>
      <c r="C685" s="1414"/>
      <c r="D685" s="1414"/>
      <c r="E685" s="1414"/>
      <c r="F685" s="1414"/>
      <c r="G685" s="1414"/>
      <c r="H685" s="1414"/>
      <c r="I685" s="1414"/>
      <c r="J685" s="1414"/>
      <c r="K685" s="1414"/>
      <c r="L685" s="1414"/>
      <c r="M685" s="1414"/>
      <c r="N685" s="1414"/>
      <c r="O685" s="1414"/>
      <c r="P685" s="1414"/>
      <c r="Q685" s="1414"/>
      <c r="R685" s="1414"/>
      <c r="S685" s="1414"/>
      <c r="T685" s="1414"/>
      <c r="U685" s="1414"/>
      <c r="V685" s="1414"/>
      <c r="W685" s="1414"/>
      <c r="X685" s="1414"/>
      <c r="Y685" s="1414"/>
      <c r="Z685" s="1414"/>
      <c r="AA685" s="1414"/>
      <c r="AB685" s="1414"/>
      <c r="AC685" s="1414"/>
      <c r="AD685" s="1414"/>
      <c r="AE685" s="1414"/>
      <c r="AF685" s="1414"/>
      <c r="AG685" s="1414"/>
      <c r="AH685" s="1414"/>
      <c r="AI685" s="1414"/>
      <c r="AJ685" s="1414"/>
      <c r="AK685" s="1414"/>
      <c r="AL685" s="1414"/>
      <c r="AM685" s="1414"/>
      <c r="AN685" s="1414"/>
      <c r="AO685" s="1414"/>
      <c r="AP685" s="1414"/>
      <c r="AQ685" s="1414"/>
      <c r="AR685" s="1414"/>
      <c r="AS685" s="1414"/>
      <c r="AT685" s="1414"/>
      <c r="AU685" s="1414"/>
      <c r="AV685" s="1414"/>
      <c r="AW685" s="1414"/>
      <c r="AX685" s="1414"/>
      <c r="AY685" s="1399"/>
      <c r="AZ685" s="1399"/>
      <c r="BA685" s="1399"/>
      <c r="BB685" s="1399"/>
      <c r="BC685" s="1399"/>
      <c r="BD685" s="1399"/>
      <c r="BE685" s="1414"/>
      <c r="BF685" s="1399"/>
      <c r="BG685" s="1399"/>
      <c r="BH685" s="1399"/>
      <c r="BI685" s="1399"/>
      <c r="BJ685" s="1399"/>
      <c r="BK685" s="1399"/>
      <c r="BL685" s="1399"/>
      <c r="BM685" s="1399"/>
      <c r="BN685" s="1399"/>
      <c r="BO685" s="1399"/>
      <c r="BP685" s="1399"/>
      <c r="BQ685" s="1399"/>
      <c r="BR685" s="1399"/>
      <c r="BS685" s="1399"/>
      <c r="BT685" s="1399"/>
      <c r="BU685" s="1399"/>
      <c r="BV685" s="1399"/>
      <c r="BW685" s="1399"/>
      <c r="BX685" s="1399"/>
      <c r="BY685" s="1399"/>
      <c r="BZ685" s="1399"/>
      <c r="CA685" s="1399"/>
      <c r="CB685" s="1399"/>
      <c r="CC685" s="1399"/>
      <c r="CD685" s="1399"/>
      <c r="CE685" s="1399"/>
      <c r="CF685" s="1399"/>
      <c r="CG685" s="1399"/>
      <c r="CH685" s="1399"/>
      <c r="CI685" s="1399"/>
      <c r="CJ685" s="1399"/>
      <c r="CK685" s="1399"/>
      <c r="CL685" s="1399"/>
      <c r="CM685" s="1399"/>
      <c r="CN685" s="1399"/>
      <c r="CO685" s="1399"/>
      <c r="CP685" s="1399"/>
      <c r="CQ685" s="1399"/>
      <c r="CR685" s="1399"/>
      <c r="CS685" s="1399"/>
      <c r="CT685" s="1399"/>
      <c r="CU685" s="1399"/>
      <c r="CV685" s="1399"/>
      <c r="CW685" s="1399"/>
      <c r="CX685" s="1399"/>
      <c r="CY685" s="1399"/>
      <c r="CZ685" s="1399"/>
      <c r="DA685" s="1399"/>
      <c r="DB685" s="1399"/>
      <c r="DC685" s="1399"/>
      <c r="DD685" s="1399"/>
      <c r="DE685" s="1399"/>
      <c r="DF685" s="1399"/>
      <c r="DG685" s="1399"/>
      <c r="DH685" s="1399"/>
      <c r="DI685" s="1399"/>
      <c r="DJ685" s="1399"/>
      <c r="DK685" s="1399"/>
      <c r="DL685" s="1399"/>
      <c r="DM685" s="1399"/>
      <c r="DN685" s="1399"/>
      <c r="DO685" s="1399"/>
      <c r="DP685" s="1399"/>
      <c r="DQ685" s="1399"/>
      <c r="DR685" s="1399"/>
      <c r="DS685" s="1399"/>
      <c r="DT685" s="1399"/>
      <c r="DU685" s="1399"/>
    </row>
    <row r="686" spans="1:125">
      <c r="A686" s="1414"/>
      <c r="B686" s="1414"/>
      <c r="C686" s="1414"/>
      <c r="D686" s="1414"/>
      <c r="E686" s="1414"/>
      <c r="F686" s="1414"/>
      <c r="G686" s="1414"/>
      <c r="H686" s="1414"/>
      <c r="I686" s="1414"/>
      <c r="J686" s="1414"/>
      <c r="K686" s="1414"/>
      <c r="L686" s="1414"/>
      <c r="M686" s="1414"/>
      <c r="N686" s="1414"/>
      <c r="O686" s="1414"/>
      <c r="P686" s="1414"/>
      <c r="Q686" s="1414"/>
      <c r="R686" s="1414"/>
      <c r="S686" s="1414"/>
      <c r="T686" s="1414"/>
      <c r="U686" s="1414"/>
      <c r="V686" s="1414"/>
      <c r="W686" s="1414"/>
      <c r="X686" s="1414"/>
      <c r="Y686" s="1414"/>
      <c r="Z686" s="1414"/>
      <c r="AA686" s="1414"/>
      <c r="AB686" s="1414"/>
      <c r="AC686" s="1414"/>
      <c r="AD686" s="1414"/>
      <c r="AE686" s="1414"/>
      <c r="AF686" s="1414"/>
      <c r="AG686" s="1414"/>
      <c r="AH686" s="1414"/>
      <c r="AI686" s="1414"/>
      <c r="AJ686" s="1414"/>
      <c r="AK686" s="1414"/>
      <c r="AL686" s="1414"/>
      <c r="AM686" s="1414"/>
      <c r="AN686" s="1414"/>
      <c r="AO686" s="1414"/>
      <c r="AP686" s="1414"/>
      <c r="AQ686" s="1414"/>
      <c r="AR686" s="1414"/>
      <c r="AS686" s="1414"/>
      <c r="AT686" s="1414"/>
      <c r="AU686" s="1414"/>
      <c r="AV686" s="1414"/>
      <c r="AW686" s="1414"/>
      <c r="AX686" s="1414"/>
      <c r="AY686" s="1399"/>
      <c r="AZ686" s="1399"/>
      <c r="BA686" s="1399"/>
      <c r="BB686" s="1399"/>
      <c r="BC686" s="1399"/>
      <c r="BD686" s="1399"/>
      <c r="BE686" s="1414"/>
      <c r="BF686" s="1399"/>
      <c r="BG686" s="1399"/>
      <c r="BH686" s="1399"/>
      <c r="BI686" s="1399"/>
      <c r="BJ686" s="1399"/>
      <c r="BK686" s="1399"/>
      <c r="BL686" s="1399"/>
      <c r="BM686" s="1399"/>
      <c r="BN686" s="1399"/>
      <c r="BO686" s="1399"/>
      <c r="BP686" s="1399"/>
      <c r="BQ686" s="1399"/>
      <c r="BR686" s="1399"/>
      <c r="BS686" s="1399"/>
      <c r="BT686" s="1399"/>
      <c r="BU686" s="1399"/>
      <c r="BV686" s="1399"/>
      <c r="BW686" s="1399"/>
      <c r="BX686" s="1399"/>
      <c r="BY686" s="1399"/>
      <c r="BZ686" s="1399"/>
      <c r="CA686" s="1399"/>
      <c r="CB686" s="1399"/>
      <c r="CC686" s="1399"/>
      <c r="CD686" s="1399"/>
      <c r="CE686" s="1399"/>
      <c r="CF686" s="1399"/>
      <c r="CG686" s="1399"/>
      <c r="CH686" s="1399"/>
      <c r="CI686" s="1399"/>
      <c r="CJ686" s="1399"/>
      <c r="CK686" s="1399"/>
      <c r="CL686" s="1399"/>
      <c r="CM686" s="1399"/>
      <c r="CN686" s="1399"/>
      <c r="CO686" s="1399"/>
      <c r="CP686" s="1399"/>
      <c r="CQ686" s="1399"/>
      <c r="CR686" s="1399"/>
      <c r="CS686" s="1399"/>
      <c r="CT686" s="1399"/>
      <c r="CU686" s="1399"/>
      <c r="CV686" s="1399"/>
      <c r="CW686" s="1399"/>
      <c r="CX686" s="1399"/>
      <c r="CY686" s="1399"/>
      <c r="CZ686" s="1399"/>
      <c r="DA686" s="1399"/>
      <c r="DB686" s="1399"/>
      <c r="DC686" s="1399"/>
      <c r="DD686" s="1399"/>
      <c r="DE686" s="1399"/>
      <c r="DF686" s="1399"/>
      <c r="DG686" s="1399"/>
      <c r="DH686" s="1399"/>
      <c r="DI686" s="1399"/>
      <c r="DJ686" s="1399"/>
      <c r="DK686" s="1399"/>
      <c r="DL686" s="1399"/>
      <c r="DM686" s="1399"/>
      <c r="DN686" s="1399"/>
      <c r="DO686" s="1399"/>
      <c r="DP686" s="1399"/>
      <c r="DQ686" s="1399"/>
      <c r="DR686" s="1399"/>
      <c r="DS686" s="1399"/>
      <c r="DT686" s="1399"/>
      <c r="DU686" s="1399"/>
    </row>
    <row r="687" spans="1:125">
      <c r="A687" s="1414"/>
      <c r="B687" s="1414"/>
      <c r="C687" s="1414"/>
      <c r="D687" s="1414"/>
      <c r="E687" s="1414"/>
      <c r="F687" s="1414"/>
      <c r="G687" s="1414"/>
      <c r="H687" s="1414"/>
      <c r="I687" s="1414"/>
      <c r="J687" s="1414"/>
      <c r="K687" s="1414"/>
      <c r="L687" s="1414"/>
      <c r="M687" s="1414"/>
      <c r="N687" s="1414"/>
      <c r="O687" s="1414"/>
      <c r="P687" s="1414"/>
      <c r="Q687" s="1414"/>
      <c r="R687" s="1414"/>
      <c r="S687" s="1414"/>
      <c r="T687" s="1414"/>
      <c r="U687" s="1414"/>
      <c r="V687" s="1414"/>
      <c r="W687" s="1414"/>
      <c r="X687" s="1414"/>
      <c r="Y687" s="1414"/>
      <c r="Z687" s="1414"/>
      <c r="AA687" s="1414"/>
      <c r="AB687" s="1414"/>
      <c r="AC687" s="1414"/>
      <c r="AD687" s="1414"/>
      <c r="AE687" s="1414"/>
      <c r="AF687" s="1414"/>
      <c r="AG687" s="1414"/>
      <c r="AH687" s="1414"/>
      <c r="AI687" s="1414"/>
      <c r="AJ687" s="1414"/>
      <c r="AK687" s="1414"/>
      <c r="AL687" s="1414"/>
      <c r="AM687" s="1414"/>
      <c r="AN687" s="1414"/>
      <c r="AO687" s="1414"/>
      <c r="AP687" s="1414"/>
      <c r="AQ687" s="1414"/>
      <c r="AR687" s="1414"/>
      <c r="AS687" s="1414"/>
      <c r="AT687" s="1414"/>
      <c r="AU687" s="1414"/>
      <c r="AV687" s="1414"/>
      <c r="AW687" s="1414"/>
      <c r="AX687" s="1414"/>
      <c r="AY687" s="1399"/>
      <c r="AZ687" s="1399"/>
      <c r="BA687" s="1399"/>
      <c r="BB687" s="1399"/>
      <c r="BC687" s="1399"/>
      <c r="BD687" s="1399"/>
      <c r="BE687" s="1414"/>
      <c r="BF687" s="1399"/>
      <c r="BG687" s="1399"/>
      <c r="BH687" s="1399"/>
      <c r="BI687" s="1399"/>
      <c r="BJ687" s="1399"/>
      <c r="BK687" s="1399"/>
      <c r="BL687" s="1399"/>
      <c r="BM687" s="1399"/>
      <c r="BN687" s="1399"/>
      <c r="BO687" s="1399"/>
      <c r="BP687" s="1399"/>
      <c r="BQ687" s="1399"/>
      <c r="BR687" s="1399"/>
      <c r="BS687" s="1399"/>
      <c r="BT687" s="1399"/>
      <c r="BU687" s="1399"/>
      <c r="BV687" s="1399"/>
      <c r="BW687" s="1399"/>
      <c r="BX687" s="1399"/>
      <c r="BY687" s="1399"/>
      <c r="BZ687" s="1399"/>
      <c r="CA687" s="1399"/>
      <c r="CB687" s="1399"/>
      <c r="CC687" s="1399"/>
      <c r="CD687" s="1399"/>
      <c r="CE687" s="1399"/>
      <c r="CF687" s="1399"/>
      <c r="CG687" s="1399"/>
      <c r="CH687" s="1399"/>
      <c r="CI687" s="1399"/>
      <c r="CJ687" s="1399"/>
      <c r="CK687" s="1399"/>
      <c r="CL687" s="1399"/>
      <c r="CM687" s="1399"/>
      <c r="CN687" s="1399"/>
      <c r="CO687" s="1399"/>
      <c r="CP687" s="1399"/>
      <c r="CQ687" s="1399"/>
      <c r="CR687" s="1399"/>
      <c r="CS687" s="1399"/>
      <c r="CT687" s="1399"/>
      <c r="CU687" s="1399"/>
      <c r="CV687" s="1399"/>
      <c r="CW687" s="1399"/>
      <c r="CX687" s="1399"/>
      <c r="CY687" s="1399"/>
      <c r="CZ687" s="1399"/>
      <c r="DA687" s="1399"/>
      <c r="DB687" s="1399"/>
      <c r="DC687" s="1399"/>
      <c r="DD687" s="1399"/>
      <c r="DE687" s="1399"/>
      <c r="DF687" s="1399"/>
      <c r="DG687" s="1399"/>
      <c r="DH687" s="1399"/>
      <c r="DI687" s="1399"/>
      <c r="DJ687" s="1399"/>
      <c r="DK687" s="1399"/>
      <c r="DL687" s="1399"/>
      <c r="DM687" s="1399"/>
      <c r="DN687" s="1399"/>
      <c r="DO687" s="1399"/>
      <c r="DP687" s="1399"/>
      <c r="DQ687" s="1399"/>
      <c r="DR687" s="1399"/>
      <c r="DS687" s="1399"/>
      <c r="DT687" s="1399"/>
      <c r="DU687" s="1399"/>
    </row>
    <row r="688" spans="1:125">
      <c r="A688" s="1414"/>
      <c r="B688" s="1414"/>
      <c r="C688" s="1414"/>
      <c r="D688" s="1414"/>
      <c r="E688" s="1414"/>
      <c r="F688" s="1414"/>
      <c r="G688" s="1414"/>
      <c r="H688" s="1414"/>
      <c r="I688" s="1414"/>
      <c r="J688" s="1414"/>
      <c r="K688" s="1414"/>
      <c r="L688" s="1414"/>
      <c r="M688" s="1414"/>
      <c r="N688" s="1414"/>
      <c r="O688" s="1414"/>
      <c r="P688" s="1414"/>
      <c r="Q688" s="1414"/>
      <c r="R688" s="1414"/>
      <c r="S688" s="1414"/>
      <c r="T688" s="1414"/>
      <c r="U688" s="1414"/>
      <c r="V688" s="1414"/>
      <c r="W688" s="1414"/>
      <c r="X688" s="1414"/>
      <c r="Y688" s="1414"/>
      <c r="Z688" s="1414"/>
      <c r="AA688" s="1414"/>
      <c r="AB688" s="1414"/>
      <c r="AC688" s="1414"/>
      <c r="AD688" s="1414"/>
      <c r="AE688" s="1414"/>
      <c r="AF688" s="1414"/>
      <c r="AG688" s="1414"/>
      <c r="AH688" s="1414"/>
      <c r="AI688" s="1414"/>
      <c r="AJ688" s="1414"/>
      <c r="AK688" s="1414"/>
      <c r="AL688" s="1414"/>
      <c r="AM688" s="1414"/>
      <c r="AN688" s="1414"/>
      <c r="AO688" s="1414"/>
      <c r="AP688" s="1414"/>
      <c r="AQ688" s="1414"/>
      <c r="AR688" s="1414"/>
      <c r="AS688" s="1414"/>
      <c r="AT688" s="1414"/>
      <c r="AU688" s="1414"/>
      <c r="AV688" s="1414"/>
      <c r="AW688" s="1414"/>
      <c r="AX688" s="1414"/>
      <c r="AY688" s="1399"/>
      <c r="AZ688" s="1399"/>
      <c r="BA688" s="1399"/>
      <c r="BB688" s="1399"/>
      <c r="BC688" s="1399"/>
      <c r="BD688" s="1399"/>
      <c r="BE688" s="1414"/>
      <c r="BF688" s="1399"/>
      <c r="BG688" s="1399"/>
      <c r="BH688" s="1399"/>
      <c r="BI688" s="1399"/>
      <c r="BJ688" s="1399"/>
      <c r="BK688" s="1399"/>
      <c r="BL688" s="1399"/>
      <c r="BM688" s="1399"/>
      <c r="BN688" s="1399"/>
      <c r="BO688" s="1399"/>
      <c r="BP688" s="1399"/>
      <c r="BQ688" s="1399"/>
      <c r="BR688" s="1399"/>
      <c r="BS688" s="1399"/>
      <c r="BT688" s="1399"/>
      <c r="BU688" s="1399"/>
      <c r="BV688" s="1399"/>
      <c r="BW688" s="1399"/>
      <c r="BX688" s="1399"/>
      <c r="BY688" s="1399"/>
      <c r="BZ688" s="1399"/>
      <c r="CA688" s="1399"/>
      <c r="CB688" s="1399"/>
      <c r="CC688" s="1399"/>
      <c r="CD688" s="1399"/>
      <c r="CE688" s="1399"/>
      <c r="CF688" s="1399"/>
      <c r="CG688" s="1399"/>
      <c r="CH688" s="1399"/>
      <c r="CI688" s="1399"/>
      <c r="CJ688" s="1399"/>
      <c r="CK688" s="1399"/>
      <c r="CL688" s="1399"/>
      <c r="CM688" s="1399"/>
      <c r="CN688" s="1399"/>
      <c r="CO688" s="1399"/>
      <c r="CP688" s="1399"/>
      <c r="CQ688" s="1399"/>
      <c r="CR688" s="1399"/>
      <c r="CS688" s="1399"/>
      <c r="CT688" s="1399"/>
      <c r="CU688" s="1399"/>
      <c r="CV688" s="1399"/>
      <c r="CW688" s="1399"/>
      <c r="CX688" s="1399"/>
      <c r="CY688" s="1399"/>
      <c r="CZ688" s="1399"/>
      <c r="DA688" s="1399"/>
      <c r="DB688" s="1399"/>
      <c r="DC688" s="1399"/>
      <c r="DD688" s="1399"/>
      <c r="DE688" s="1399"/>
      <c r="DF688" s="1399"/>
      <c r="DG688" s="1399"/>
      <c r="DH688" s="1399"/>
      <c r="DI688" s="1399"/>
      <c r="DJ688" s="1399"/>
      <c r="DK688" s="1399"/>
      <c r="DL688" s="1399"/>
      <c r="DM688" s="1399"/>
      <c r="DN688" s="1399"/>
      <c r="DO688" s="1399"/>
      <c r="DP688" s="1399"/>
      <c r="DQ688" s="1399"/>
      <c r="DR688" s="1399"/>
      <c r="DS688" s="1399"/>
      <c r="DT688" s="1399"/>
      <c r="DU688" s="1399"/>
    </row>
    <row r="689" spans="1:125">
      <c r="A689" s="1414"/>
      <c r="B689" s="1414"/>
      <c r="C689" s="1414"/>
      <c r="D689" s="1414"/>
      <c r="E689" s="1414"/>
      <c r="F689" s="1414"/>
      <c r="G689" s="1414"/>
      <c r="H689" s="1414"/>
      <c r="I689" s="1414"/>
      <c r="J689" s="1414"/>
      <c r="K689" s="1414"/>
      <c r="L689" s="1414"/>
      <c r="M689" s="1414"/>
      <c r="N689" s="1414"/>
      <c r="O689" s="1414"/>
      <c r="P689" s="1414"/>
      <c r="Q689" s="1414"/>
      <c r="R689" s="1414"/>
      <c r="S689" s="1414"/>
      <c r="T689" s="1414"/>
      <c r="U689" s="1414"/>
      <c r="V689" s="1414"/>
      <c r="W689" s="1414"/>
      <c r="X689" s="1414"/>
      <c r="Y689" s="1414"/>
      <c r="Z689" s="1414"/>
      <c r="AA689" s="1414"/>
      <c r="AB689" s="1414"/>
      <c r="AC689" s="1414"/>
      <c r="AD689" s="1414"/>
      <c r="AE689" s="1414"/>
      <c r="AF689" s="1414"/>
      <c r="AG689" s="1414"/>
      <c r="AH689" s="1414"/>
      <c r="AI689" s="1414"/>
      <c r="AJ689" s="1414"/>
      <c r="AK689" s="1414"/>
      <c r="AL689" s="1414"/>
      <c r="AM689" s="1414"/>
      <c r="AN689" s="1414"/>
      <c r="AO689" s="1414"/>
      <c r="AP689" s="1414"/>
      <c r="AQ689" s="1414"/>
      <c r="AR689" s="1414"/>
      <c r="AS689" s="1414"/>
      <c r="AT689" s="1414"/>
      <c r="AU689" s="1414"/>
      <c r="AV689" s="1414"/>
      <c r="AW689" s="1414"/>
      <c r="AX689" s="1414"/>
      <c r="AY689" s="1399"/>
      <c r="AZ689" s="1399"/>
      <c r="BA689" s="1399"/>
      <c r="BB689" s="1399"/>
      <c r="BC689" s="1399"/>
      <c r="BD689" s="1399"/>
      <c r="BE689" s="1414"/>
      <c r="BF689" s="1399"/>
      <c r="BG689" s="1399"/>
      <c r="BH689" s="1399"/>
      <c r="BI689" s="1399"/>
      <c r="BJ689" s="1399"/>
      <c r="BK689" s="1399"/>
      <c r="BL689" s="1399"/>
      <c r="BM689" s="1399"/>
      <c r="BN689" s="1399"/>
      <c r="BO689" s="1399"/>
      <c r="BP689" s="1399"/>
      <c r="BQ689" s="1399"/>
      <c r="BR689" s="1399"/>
      <c r="BS689" s="1399"/>
      <c r="BT689" s="1399"/>
      <c r="BU689" s="1399"/>
      <c r="BV689" s="1399"/>
      <c r="BW689" s="1399"/>
      <c r="BX689" s="1399"/>
      <c r="BY689" s="1399"/>
      <c r="BZ689" s="1399"/>
      <c r="CA689" s="1399"/>
      <c r="CB689" s="1399"/>
      <c r="CC689" s="1399"/>
      <c r="CD689" s="1399"/>
      <c r="CE689" s="1399"/>
      <c r="CF689" s="1399"/>
      <c r="CG689" s="1399"/>
      <c r="CH689" s="1399"/>
      <c r="CI689" s="1399"/>
      <c r="CJ689" s="1399"/>
      <c r="CK689" s="1399"/>
      <c r="CL689" s="1399"/>
      <c r="CM689" s="1399"/>
      <c r="CN689" s="1399"/>
      <c r="CO689" s="1399"/>
      <c r="CP689" s="1399"/>
      <c r="CQ689" s="1399"/>
      <c r="CR689" s="1399"/>
      <c r="CS689" s="1399"/>
      <c r="CT689" s="1399"/>
      <c r="CU689" s="1399"/>
      <c r="CV689" s="1399"/>
      <c r="CW689" s="1399"/>
      <c r="CX689" s="1399"/>
      <c r="CY689" s="1399"/>
      <c r="CZ689" s="1399"/>
      <c r="DA689" s="1399"/>
      <c r="DB689" s="1399"/>
      <c r="DC689" s="1399"/>
      <c r="DD689" s="1399"/>
      <c r="DE689" s="1399"/>
      <c r="DF689" s="1399"/>
      <c r="DG689" s="1399"/>
      <c r="DH689" s="1399"/>
      <c r="DI689" s="1399"/>
      <c r="DJ689" s="1399"/>
      <c r="DK689" s="1399"/>
      <c r="DL689" s="1399"/>
      <c r="DM689" s="1399"/>
      <c r="DN689" s="1399"/>
      <c r="DO689" s="1399"/>
      <c r="DP689" s="1399"/>
      <c r="DQ689" s="1399"/>
      <c r="DR689" s="1399"/>
      <c r="DS689" s="1399"/>
      <c r="DT689" s="1399"/>
      <c r="DU689" s="1399"/>
    </row>
    <row r="690" spans="1:125">
      <c r="A690" s="1414"/>
      <c r="B690" s="1414"/>
      <c r="C690" s="1414"/>
      <c r="D690" s="1414"/>
      <c r="E690" s="1414"/>
      <c r="F690" s="1414"/>
      <c r="G690" s="1414"/>
      <c r="H690" s="1414"/>
      <c r="I690" s="1414"/>
      <c r="J690" s="1414"/>
      <c r="K690" s="1414"/>
      <c r="L690" s="1414"/>
      <c r="M690" s="1414"/>
      <c r="N690" s="1414"/>
      <c r="O690" s="1414"/>
      <c r="P690" s="1414"/>
      <c r="Q690" s="1414"/>
      <c r="R690" s="1414"/>
      <c r="S690" s="1414"/>
      <c r="T690" s="1414"/>
      <c r="U690" s="1414"/>
      <c r="V690" s="1414"/>
      <c r="W690" s="1414"/>
      <c r="X690" s="1414"/>
      <c r="Y690" s="1414"/>
      <c r="Z690" s="1414"/>
      <c r="AA690" s="1414"/>
      <c r="AB690" s="1414"/>
      <c r="AC690" s="1414"/>
      <c r="AD690" s="1414"/>
      <c r="AE690" s="1414"/>
      <c r="AF690" s="1414"/>
      <c r="AG690" s="1414"/>
      <c r="AH690" s="1414"/>
      <c r="AI690" s="1414"/>
      <c r="AJ690" s="1414"/>
      <c r="AK690" s="1414"/>
      <c r="AL690" s="1414"/>
      <c r="AM690" s="1414"/>
      <c r="AN690" s="1414"/>
      <c r="AO690" s="1414"/>
      <c r="AP690" s="1414"/>
      <c r="AQ690" s="1414"/>
      <c r="AR690" s="1414"/>
      <c r="AS690" s="1414"/>
      <c r="AT690" s="1414"/>
      <c r="AU690" s="1414"/>
      <c r="AV690" s="1414"/>
      <c r="AW690" s="1414"/>
      <c r="AX690" s="1414"/>
      <c r="AY690" s="1399"/>
      <c r="AZ690" s="1399"/>
      <c r="BA690" s="1399"/>
      <c r="BB690" s="1399"/>
      <c r="BC690" s="1399"/>
      <c r="BD690" s="1399"/>
      <c r="BE690" s="1414"/>
      <c r="BF690" s="1399"/>
      <c r="BG690" s="1399"/>
      <c r="BH690" s="1399"/>
      <c r="BI690" s="1399"/>
      <c r="BJ690" s="1399"/>
      <c r="BK690" s="1399"/>
      <c r="BL690" s="1399"/>
      <c r="BM690" s="1399"/>
      <c r="BN690" s="1399"/>
      <c r="BO690" s="1399"/>
      <c r="BP690" s="1399"/>
      <c r="BQ690" s="1399"/>
      <c r="BR690" s="1399"/>
      <c r="BS690" s="1399"/>
      <c r="BT690" s="1399"/>
      <c r="BU690" s="1399"/>
      <c r="BV690" s="1399"/>
      <c r="BW690" s="1399"/>
      <c r="BX690" s="1399"/>
      <c r="BY690" s="1399"/>
      <c r="BZ690" s="1399"/>
      <c r="CA690" s="1399"/>
      <c r="CB690" s="1399"/>
      <c r="CC690" s="1399"/>
      <c r="CD690" s="1399"/>
      <c r="CE690" s="1399"/>
      <c r="CF690" s="1399"/>
      <c r="CG690" s="1399"/>
      <c r="CH690" s="1399"/>
      <c r="CI690" s="1399"/>
      <c r="CJ690" s="1399"/>
      <c r="CK690" s="1399"/>
      <c r="CL690" s="1399"/>
      <c r="CM690" s="1399"/>
      <c r="CN690" s="1399"/>
      <c r="CO690" s="1399"/>
      <c r="CP690" s="1399"/>
      <c r="CQ690" s="1399"/>
      <c r="CR690" s="1399"/>
      <c r="CS690" s="1399"/>
      <c r="CT690" s="1399"/>
      <c r="CU690" s="1399"/>
      <c r="CV690" s="1399"/>
      <c r="CW690" s="1399"/>
      <c r="CX690" s="1399"/>
      <c r="CY690" s="1399"/>
      <c r="CZ690" s="1399"/>
      <c r="DA690" s="1399"/>
      <c r="DB690" s="1399"/>
      <c r="DC690" s="1399"/>
      <c r="DD690" s="1399"/>
      <c r="DE690" s="1399"/>
      <c r="DF690" s="1399"/>
      <c r="DG690" s="1399"/>
      <c r="DH690" s="1399"/>
      <c r="DI690" s="1399"/>
      <c r="DJ690" s="1399"/>
      <c r="DK690" s="1399"/>
      <c r="DL690" s="1399"/>
      <c r="DM690" s="1399"/>
      <c r="DN690" s="1399"/>
      <c r="DO690" s="1399"/>
      <c r="DP690" s="1399"/>
      <c r="DQ690" s="1399"/>
      <c r="DR690" s="1399"/>
      <c r="DS690" s="1399"/>
      <c r="DT690" s="1399"/>
      <c r="DU690" s="1399"/>
    </row>
    <row r="691" spans="1:125">
      <c r="A691" s="1414"/>
      <c r="B691" s="1414"/>
      <c r="C691" s="1414"/>
      <c r="D691" s="1414"/>
      <c r="E691" s="1414"/>
      <c r="F691" s="1414"/>
      <c r="G691" s="1414"/>
      <c r="H691" s="1414"/>
      <c r="I691" s="1414"/>
      <c r="J691" s="1414"/>
      <c r="K691" s="1414"/>
      <c r="L691" s="1414"/>
      <c r="M691" s="1414"/>
      <c r="N691" s="1414"/>
      <c r="O691" s="1414"/>
      <c r="P691" s="1414"/>
      <c r="Q691" s="1414"/>
      <c r="R691" s="1414"/>
      <c r="S691" s="1414"/>
      <c r="T691" s="1414"/>
      <c r="U691" s="1414"/>
      <c r="V691" s="1414"/>
      <c r="W691" s="1414"/>
      <c r="X691" s="1414"/>
      <c r="Y691" s="1414"/>
      <c r="Z691" s="1414"/>
      <c r="AA691" s="1414"/>
      <c r="AB691" s="1414"/>
      <c r="AC691" s="1414"/>
      <c r="AD691" s="1414"/>
      <c r="AE691" s="1414"/>
      <c r="AF691" s="1414"/>
      <c r="AG691" s="1414"/>
      <c r="AH691" s="1414"/>
      <c r="AI691" s="1414"/>
      <c r="AJ691" s="1414"/>
      <c r="AK691" s="1414"/>
      <c r="AL691" s="1414"/>
      <c r="AM691" s="1414"/>
      <c r="AN691" s="1414"/>
      <c r="AO691" s="1414"/>
      <c r="AP691" s="1414"/>
      <c r="AQ691" s="1414"/>
      <c r="AR691" s="1414"/>
      <c r="AS691" s="1414"/>
      <c r="AT691" s="1414"/>
      <c r="AU691" s="1414"/>
      <c r="AV691" s="1414"/>
      <c r="AW691" s="1414"/>
      <c r="AX691" s="1414"/>
      <c r="AY691" s="1399"/>
      <c r="AZ691" s="1399"/>
      <c r="BA691" s="1399"/>
      <c r="BB691" s="1399"/>
      <c r="BC691" s="1399"/>
      <c r="BD691" s="1399"/>
      <c r="BE691" s="1414"/>
      <c r="BF691" s="1399"/>
      <c r="BG691" s="1399"/>
      <c r="BH691" s="1399"/>
      <c r="BI691" s="1399"/>
      <c r="BJ691" s="1399"/>
      <c r="BK691" s="1399"/>
      <c r="BL691" s="1399"/>
      <c r="BM691" s="1399"/>
      <c r="BN691" s="1399"/>
      <c r="BO691" s="1399"/>
      <c r="BP691" s="1399"/>
      <c r="BQ691" s="1399"/>
      <c r="BR691" s="1399"/>
      <c r="BS691" s="1399"/>
      <c r="BT691" s="1399"/>
      <c r="BU691" s="1399"/>
      <c r="BV691" s="1399"/>
      <c r="BW691" s="1399"/>
      <c r="BX691" s="1399"/>
      <c r="BY691" s="1399"/>
      <c r="BZ691" s="1399"/>
      <c r="CA691" s="1399"/>
      <c r="CB691" s="1399"/>
      <c r="CC691" s="1399"/>
      <c r="CD691" s="1399"/>
      <c r="CE691" s="1399"/>
      <c r="CF691" s="1399"/>
      <c r="CG691" s="1399"/>
      <c r="CH691" s="1399"/>
      <c r="CI691" s="1399"/>
      <c r="CJ691" s="1399"/>
      <c r="CK691" s="1399"/>
      <c r="CL691" s="1399"/>
      <c r="CM691" s="1399"/>
      <c r="CN691" s="1399"/>
      <c r="CO691" s="1399"/>
      <c r="CP691" s="1399"/>
      <c r="CQ691" s="1399"/>
      <c r="CR691" s="1399"/>
      <c r="CS691" s="1399"/>
      <c r="CT691" s="1399"/>
      <c r="CU691" s="1399"/>
      <c r="CV691" s="1399"/>
      <c r="CW691" s="1399"/>
      <c r="CX691" s="1399"/>
      <c r="CY691" s="1399"/>
      <c r="CZ691" s="1399"/>
      <c r="DA691" s="1399"/>
      <c r="DB691" s="1399"/>
      <c r="DC691" s="1399"/>
      <c r="DD691" s="1399"/>
      <c r="DE691" s="1399"/>
      <c r="DF691" s="1399"/>
      <c r="DG691" s="1399"/>
      <c r="DH691" s="1399"/>
      <c r="DI691" s="1399"/>
      <c r="DJ691" s="1399"/>
      <c r="DK691" s="1399"/>
      <c r="DL691" s="1399"/>
      <c r="DM691" s="1399"/>
      <c r="DN691" s="1399"/>
      <c r="DO691" s="1399"/>
      <c r="DP691" s="1399"/>
      <c r="DQ691" s="1399"/>
      <c r="DR691" s="1399"/>
      <c r="DS691" s="1399"/>
      <c r="DT691" s="1399"/>
      <c r="DU691" s="1399"/>
    </row>
    <row r="692" spans="1:125">
      <c r="A692" s="1414"/>
      <c r="B692" s="1414"/>
      <c r="C692" s="1414"/>
      <c r="D692" s="1414"/>
      <c r="E692" s="1414"/>
      <c r="F692" s="1414"/>
      <c r="G692" s="1414"/>
      <c r="H692" s="1414"/>
      <c r="I692" s="1414"/>
      <c r="J692" s="1414"/>
      <c r="K692" s="1414"/>
      <c r="L692" s="1414"/>
      <c r="M692" s="1414"/>
      <c r="N692" s="1414"/>
      <c r="O692" s="1414"/>
      <c r="P692" s="1414"/>
      <c r="Q692" s="1414"/>
      <c r="R692" s="1414"/>
      <c r="S692" s="1414"/>
      <c r="T692" s="1414"/>
      <c r="U692" s="1414"/>
      <c r="V692" s="1414"/>
      <c r="W692" s="1414"/>
      <c r="X692" s="1414"/>
      <c r="Y692" s="1414"/>
      <c r="Z692" s="1414"/>
      <c r="AA692" s="1414"/>
      <c r="AB692" s="1414"/>
      <c r="AC692" s="1414"/>
      <c r="AD692" s="1414"/>
      <c r="AE692" s="1414"/>
      <c r="AF692" s="1414"/>
      <c r="AG692" s="1414"/>
      <c r="AH692" s="1414"/>
      <c r="AI692" s="1414"/>
      <c r="AJ692" s="1414"/>
      <c r="AK692" s="1414"/>
      <c r="AL692" s="1414"/>
      <c r="AM692" s="1414"/>
      <c r="AN692" s="1414"/>
      <c r="AO692" s="1414"/>
      <c r="AP692" s="1414"/>
      <c r="AQ692" s="1414"/>
      <c r="AR692" s="1414"/>
      <c r="AS692" s="1414"/>
      <c r="AT692" s="1414"/>
      <c r="AU692" s="1414"/>
      <c r="AV692" s="1414"/>
      <c r="AW692" s="1414"/>
      <c r="AX692" s="1414"/>
      <c r="AY692" s="1399"/>
      <c r="AZ692" s="1399"/>
      <c r="BA692" s="1399"/>
      <c r="BB692" s="1399"/>
      <c r="BC692" s="1399"/>
      <c r="BD692" s="1399"/>
      <c r="BE692" s="1414"/>
      <c r="BF692" s="1399"/>
      <c r="BG692" s="1399"/>
      <c r="BH692" s="1399"/>
      <c r="BI692" s="1399"/>
      <c r="BJ692" s="1399"/>
      <c r="BK692" s="1399"/>
      <c r="BL692" s="1399"/>
      <c r="BM692" s="1399"/>
      <c r="BN692" s="1399"/>
      <c r="BO692" s="1399"/>
      <c r="BP692" s="1399"/>
      <c r="BQ692" s="1399"/>
      <c r="BR692" s="1399"/>
      <c r="BS692" s="1399"/>
      <c r="BT692" s="1399"/>
      <c r="BU692" s="1399"/>
      <c r="BV692" s="1399"/>
      <c r="BW692" s="1399"/>
      <c r="BX692" s="1399"/>
      <c r="BY692" s="1399"/>
      <c r="BZ692" s="1399"/>
      <c r="CA692" s="1399"/>
      <c r="CB692" s="1399"/>
      <c r="CC692" s="1399"/>
      <c r="CD692" s="1399"/>
      <c r="CE692" s="1399"/>
      <c r="CF692" s="1399"/>
      <c r="CG692" s="1399"/>
      <c r="CH692" s="1399"/>
      <c r="CI692" s="1399"/>
      <c r="CJ692" s="1399"/>
      <c r="CK692" s="1399"/>
      <c r="CL692" s="1399"/>
      <c r="CM692" s="1399"/>
      <c r="CN692" s="1399"/>
      <c r="CO692" s="1399"/>
      <c r="CP692" s="1399"/>
      <c r="CQ692" s="1399"/>
      <c r="CR692" s="1399"/>
      <c r="CS692" s="1399"/>
      <c r="CT692" s="1399"/>
      <c r="CU692" s="1399"/>
      <c r="CV692" s="1399"/>
      <c r="CW692" s="1399"/>
      <c r="CX692" s="1399"/>
      <c r="CY692" s="1399"/>
      <c r="CZ692" s="1399"/>
      <c r="DA692" s="1399"/>
      <c r="DB692" s="1399"/>
      <c r="DC692" s="1399"/>
      <c r="DD692" s="1399"/>
      <c r="DE692" s="1399"/>
      <c r="DF692" s="1399"/>
      <c r="DG692" s="1399"/>
      <c r="DH692" s="1399"/>
      <c r="DI692" s="1399"/>
      <c r="DJ692" s="1399"/>
      <c r="DK692" s="1399"/>
      <c r="DL692" s="1399"/>
      <c r="DM692" s="1399"/>
      <c r="DN692" s="1399"/>
      <c r="DO692" s="1399"/>
      <c r="DP692" s="1399"/>
      <c r="DQ692" s="1399"/>
      <c r="DR692" s="1399"/>
      <c r="DS692" s="1399"/>
      <c r="DT692" s="1399"/>
      <c r="DU692" s="1399"/>
    </row>
    <row r="693" spans="1:125">
      <c r="A693" s="1414"/>
      <c r="B693" s="1414"/>
      <c r="C693" s="1414"/>
      <c r="D693" s="1414"/>
      <c r="E693" s="1414"/>
      <c r="F693" s="1414"/>
      <c r="G693" s="1414"/>
      <c r="H693" s="1414"/>
      <c r="I693" s="1414"/>
      <c r="J693" s="1414"/>
      <c r="K693" s="1414"/>
      <c r="L693" s="1414"/>
      <c r="M693" s="1414"/>
      <c r="N693" s="1414"/>
      <c r="O693" s="1414"/>
      <c r="P693" s="1414"/>
      <c r="Q693" s="1414"/>
      <c r="R693" s="1414"/>
      <c r="S693" s="1414"/>
      <c r="T693" s="1414"/>
      <c r="U693" s="1414"/>
      <c r="V693" s="1414"/>
      <c r="W693" s="1414"/>
      <c r="X693" s="1414"/>
      <c r="Y693" s="1414"/>
      <c r="Z693" s="1414"/>
      <c r="AA693" s="1414"/>
      <c r="AB693" s="1414"/>
      <c r="AC693" s="1414"/>
      <c r="AD693" s="1414"/>
      <c r="AE693" s="1414"/>
      <c r="AF693" s="1414"/>
      <c r="AG693" s="1414"/>
      <c r="AH693" s="1414"/>
      <c r="AI693" s="1414"/>
      <c r="AJ693" s="1414"/>
      <c r="AK693" s="1414"/>
      <c r="AL693" s="1414"/>
      <c r="AM693" s="1414"/>
      <c r="AN693" s="1414"/>
      <c r="AO693" s="1414"/>
      <c r="AP693" s="1414"/>
      <c r="AQ693" s="1414"/>
      <c r="AR693" s="1414"/>
      <c r="AS693" s="1414"/>
      <c r="AT693" s="1414"/>
      <c r="AU693" s="1414"/>
      <c r="AV693" s="1414"/>
      <c r="AW693" s="1414"/>
      <c r="AX693" s="1414"/>
      <c r="AY693" s="1399"/>
      <c r="AZ693" s="1399"/>
      <c r="BA693" s="1399"/>
      <c r="BB693" s="1399"/>
      <c r="BC693" s="1399"/>
      <c r="BD693" s="1399"/>
      <c r="BE693" s="1414"/>
      <c r="BF693" s="1399"/>
      <c r="BG693" s="1399"/>
      <c r="BH693" s="1399"/>
      <c r="BI693" s="1399"/>
      <c r="BJ693" s="1399"/>
      <c r="BK693" s="1399"/>
      <c r="BL693" s="1399"/>
      <c r="BM693" s="1399"/>
      <c r="BN693" s="1399"/>
      <c r="BO693" s="1399"/>
      <c r="BP693" s="1399"/>
      <c r="BQ693" s="1399"/>
      <c r="BR693" s="1399"/>
      <c r="BS693" s="1399"/>
      <c r="BT693" s="1399"/>
      <c r="BU693" s="1399"/>
      <c r="BV693" s="1399"/>
      <c r="BW693" s="1399"/>
      <c r="BX693" s="1399"/>
      <c r="BY693" s="1399"/>
      <c r="BZ693" s="1399"/>
      <c r="CA693" s="1399"/>
      <c r="CB693" s="1399"/>
      <c r="CC693" s="1399"/>
      <c r="CD693" s="1399"/>
      <c r="CE693" s="1399"/>
      <c r="CF693" s="1399"/>
      <c r="CG693" s="1399"/>
      <c r="CH693" s="1399"/>
      <c r="CI693" s="1399"/>
      <c r="CJ693" s="1399"/>
      <c r="CK693" s="1399"/>
      <c r="CL693" s="1399"/>
      <c r="CM693" s="1399"/>
      <c r="CN693" s="1399"/>
      <c r="CO693" s="1399"/>
      <c r="CP693" s="1399"/>
      <c r="CQ693" s="1399"/>
      <c r="CR693" s="1399"/>
      <c r="CS693" s="1399"/>
      <c r="CT693" s="1399"/>
      <c r="CU693" s="1399"/>
      <c r="CV693" s="1399"/>
      <c r="CW693" s="1399"/>
      <c r="CX693" s="1399"/>
      <c r="CY693" s="1399"/>
      <c r="CZ693" s="1399"/>
      <c r="DA693" s="1399"/>
      <c r="DB693" s="1399"/>
      <c r="DC693" s="1399"/>
      <c r="DD693" s="1399"/>
      <c r="DE693" s="1399"/>
      <c r="DF693" s="1399"/>
      <c r="DG693" s="1399"/>
      <c r="DH693" s="1399"/>
      <c r="DI693" s="1399"/>
      <c r="DJ693" s="1399"/>
      <c r="DK693" s="1399"/>
      <c r="DL693" s="1399"/>
      <c r="DM693" s="1399"/>
      <c r="DN693" s="1399"/>
      <c r="DO693" s="1399"/>
      <c r="DP693" s="1399"/>
      <c r="DQ693" s="1399"/>
      <c r="DR693" s="1399"/>
      <c r="DS693" s="1399"/>
      <c r="DT693" s="1399"/>
      <c r="DU693" s="1399"/>
    </row>
    <row r="694" spans="1:125">
      <c r="A694" s="1414"/>
      <c r="B694" s="1414"/>
      <c r="C694" s="1414"/>
      <c r="D694" s="1414"/>
      <c r="E694" s="1414"/>
      <c r="F694" s="1414"/>
      <c r="G694" s="1414"/>
      <c r="H694" s="1414"/>
      <c r="I694" s="1414"/>
      <c r="J694" s="1414"/>
      <c r="K694" s="1414"/>
      <c r="L694" s="1414"/>
      <c r="M694" s="1414"/>
      <c r="N694" s="1414"/>
      <c r="O694" s="1414"/>
      <c r="P694" s="1414"/>
      <c r="Q694" s="1414"/>
      <c r="R694" s="1414"/>
      <c r="S694" s="1414"/>
      <c r="T694" s="1414"/>
      <c r="U694" s="1414"/>
      <c r="V694" s="1414"/>
      <c r="W694" s="1414"/>
      <c r="X694" s="1414"/>
      <c r="Y694" s="1414"/>
      <c r="Z694" s="1414"/>
      <c r="AA694" s="1414"/>
      <c r="AB694" s="1414"/>
      <c r="AC694" s="1414"/>
      <c r="AD694" s="1414"/>
      <c r="AE694" s="1414"/>
      <c r="AF694" s="1414"/>
      <c r="AG694" s="1414"/>
      <c r="AH694" s="1414"/>
      <c r="AI694" s="1414"/>
      <c r="AJ694" s="1414"/>
      <c r="AK694" s="1414"/>
      <c r="AL694" s="1414"/>
      <c r="AM694" s="1414"/>
      <c r="AN694" s="1414"/>
      <c r="AO694" s="1414"/>
      <c r="AP694" s="1414"/>
      <c r="AQ694" s="1414"/>
      <c r="AR694" s="1414"/>
      <c r="AS694" s="1414"/>
      <c r="AT694" s="1414"/>
      <c r="AU694" s="1414"/>
      <c r="AV694" s="1414"/>
      <c r="AW694" s="1414"/>
      <c r="AX694" s="1414"/>
      <c r="AY694" s="1399"/>
      <c r="AZ694" s="1399"/>
      <c r="BA694" s="1399"/>
      <c r="BB694" s="1399"/>
      <c r="BC694" s="1399"/>
      <c r="BD694" s="1399"/>
      <c r="BE694" s="1414"/>
      <c r="BF694" s="1399"/>
      <c r="BG694" s="1399"/>
      <c r="BH694" s="1399"/>
      <c r="BI694" s="1399"/>
      <c r="BJ694" s="1399"/>
      <c r="BK694" s="1399"/>
      <c r="BL694" s="1399"/>
      <c r="BM694" s="1399"/>
      <c r="BN694" s="1399"/>
      <c r="BO694" s="1399"/>
      <c r="BP694" s="1399"/>
      <c r="BQ694" s="1399"/>
      <c r="BR694" s="1399"/>
      <c r="BS694" s="1399"/>
      <c r="BT694" s="1399"/>
      <c r="BU694" s="1399"/>
      <c r="BV694" s="1399"/>
      <c r="BW694" s="1399"/>
      <c r="BX694" s="1399"/>
      <c r="BY694" s="1399"/>
      <c r="BZ694" s="1399"/>
      <c r="CA694" s="1399"/>
      <c r="CB694" s="1399"/>
      <c r="CC694" s="1399"/>
      <c r="CD694" s="1399"/>
      <c r="CE694" s="1399"/>
      <c r="CF694" s="1399"/>
      <c r="CG694" s="1399"/>
      <c r="CH694" s="1399"/>
      <c r="CI694" s="1399"/>
      <c r="CJ694" s="1399"/>
      <c r="CK694" s="1399"/>
      <c r="CL694" s="1399"/>
      <c r="CM694" s="1399"/>
      <c r="CN694" s="1399"/>
      <c r="CO694" s="1399"/>
      <c r="CP694" s="1399"/>
      <c r="CQ694" s="1399"/>
      <c r="CR694" s="1399"/>
      <c r="CS694" s="1399"/>
      <c r="CT694" s="1399"/>
      <c r="CU694" s="1399"/>
      <c r="CV694" s="1399"/>
      <c r="CW694" s="1399"/>
      <c r="CX694" s="1399"/>
      <c r="CY694" s="1399"/>
      <c r="CZ694" s="1399"/>
      <c r="DA694" s="1399"/>
      <c r="DB694" s="1399"/>
      <c r="DC694" s="1399"/>
      <c r="DD694" s="1399"/>
      <c r="DE694" s="1399"/>
      <c r="DF694" s="1399"/>
      <c r="DG694" s="1399"/>
      <c r="DH694" s="1399"/>
      <c r="DI694" s="1399"/>
      <c r="DJ694" s="1399"/>
      <c r="DK694" s="1399"/>
      <c r="DL694" s="1399"/>
      <c r="DM694" s="1399"/>
      <c r="DN694" s="1399"/>
      <c r="DO694" s="1399"/>
      <c r="DP694" s="1399"/>
      <c r="DQ694" s="1399"/>
      <c r="DR694" s="1399"/>
      <c r="DS694" s="1399"/>
      <c r="DT694" s="1399"/>
      <c r="DU694" s="1399"/>
    </row>
    <row r="695" spans="1:125">
      <c r="A695" s="1414"/>
      <c r="B695" s="1414"/>
      <c r="C695" s="1414"/>
      <c r="D695" s="1414"/>
      <c r="E695" s="1414"/>
      <c r="F695" s="1414"/>
      <c r="G695" s="1414"/>
      <c r="H695" s="1414"/>
      <c r="I695" s="1414"/>
      <c r="J695" s="1414"/>
      <c r="K695" s="1414"/>
      <c r="L695" s="1414"/>
      <c r="M695" s="1414"/>
      <c r="N695" s="1414"/>
      <c r="O695" s="1414"/>
      <c r="P695" s="1414"/>
      <c r="Q695" s="1414"/>
      <c r="R695" s="1414"/>
      <c r="S695" s="1414"/>
      <c r="T695" s="1414"/>
      <c r="U695" s="1414"/>
      <c r="V695" s="1414"/>
      <c r="W695" s="1414"/>
      <c r="X695" s="1414"/>
      <c r="Y695" s="1414"/>
      <c r="Z695" s="1414"/>
      <c r="AA695" s="1414"/>
      <c r="AB695" s="1414"/>
      <c r="AC695" s="1414"/>
      <c r="AD695" s="1414"/>
      <c r="AE695" s="1414"/>
      <c r="AF695" s="1414"/>
      <c r="AG695" s="1414"/>
      <c r="AH695" s="1414"/>
      <c r="AI695" s="1414"/>
      <c r="AJ695" s="1414"/>
      <c r="AK695" s="1414"/>
      <c r="AL695" s="1414"/>
      <c r="AM695" s="1414"/>
      <c r="AN695" s="1414"/>
      <c r="AO695" s="1414"/>
      <c r="AP695" s="1414"/>
      <c r="AQ695" s="1414"/>
      <c r="AR695" s="1414"/>
      <c r="AS695" s="1414"/>
      <c r="AT695" s="1414"/>
      <c r="AU695" s="1414"/>
      <c r="AV695" s="1414"/>
      <c r="AW695" s="1414"/>
      <c r="AX695" s="1414"/>
      <c r="AY695" s="1399"/>
      <c r="AZ695" s="1399"/>
      <c r="BA695" s="1399"/>
      <c r="BB695" s="1399"/>
      <c r="BC695" s="1399"/>
      <c r="BD695" s="1399"/>
      <c r="BE695" s="1414"/>
      <c r="BF695" s="1399"/>
      <c r="BG695" s="1399"/>
      <c r="BH695" s="1399"/>
      <c r="BI695" s="1399"/>
      <c r="BJ695" s="1399"/>
      <c r="BK695" s="1399"/>
      <c r="BL695" s="1399"/>
      <c r="BM695" s="1399"/>
      <c r="BN695" s="1399"/>
      <c r="BO695" s="1399"/>
      <c r="BP695" s="1399"/>
      <c r="BQ695" s="1399"/>
      <c r="BR695" s="1399"/>
      <c r="BS695" s="1399"/>
      <c r="BT695" s="1399"/>
      <c r="BU695" s="1399"/>
      <c r="BV695" s="1399"/>
      <c r="BW695" s="1399"/>
      <c r="BX695" s="1399"/>
      <c r="BY695" s="1399"/>
      <c r="BZ695" s="1399"/>
      <c r="CA695" s="1399"/>
      <c r="CB695" s="1399"/>
      <c r="CC695" s="1399"/>
      <c r="CD695" s="1399"/>
      <c r="CE695" s="1399"/>
      <c r="CF695" s="1399"/>
      <c r="CG695" s="1399"/>
      <c r="CH695" s="1399"/>
      <c r="CI695" s="1399"/>
      <c r="CJ695" s="1399"/>
      <c r="CK695" s="1399"/>
      <c r="CL695" s="1399"/>
      <c r="CM695" s="1399"/>
      <c r="CN695" s="1399"/>
      <c r="CO695" s="1399"/>
      <c r="CP695" s="1399"/>
      <c r="CQ695" s="1399"/>
      <c r="CR695" s="1399"/>
      <c r="CS695" s="1399"/>
      <c r="CT695" s="1399"/>
      <c r="CU695" s="1399"/>
      <c r="CV695" s="1399"/>
      <c r="CW695" s="1399"/>
      <c r="CX695" s="1399"/>
      <c r="CY695" s="1399"/>
      <c r="CZ695" s="1399"/>
      <c r="DA695" s="1399"/>
      <c r="DB695" s="1399"/>
      <c r="DC695" s="1399"/>
      <c r="DD695" s="1399"/>
      <c r="DE695" s="1399"/>
      <c r="DF695" s="1399"/>
      <c r="DG695" s="1399"/>
      <c r="DH695" s="1399"/>
      <c r="DI695" s="1399"/>
      <c r="DJ695" s="1399"/>
      <c r="DK695" s="1399"/>
      <c r="DL695" s="1399"/>
      <c r="DM695" s="1399"/>
      <c r="DN695" s="1399"/>
      <c r="DO695" s="1399"/>
      <c r="DP695" s="1399"/>
      <c r="DQ695" s="1399"/>
      <c r="DR695" s="1399"/>
      <c r="DS695" s="1399"/>
      <c r="DT695" s="1399"/>
      <c r="DU695" s="1399"/>
    </row>
    <row r="696" spans="1:125">
      <c r="A696" s="1414"/>
      <c r="B696" s="1414"/>
      <c r="C696" s="1414"/>
      <c r="D696" s="1414"/>
      <c r="E696" s="1414"/>
      <c r="F696" s="1414"/>
      <c r="G696" s="1414"/>
      <c r="H696" s="1414"/>
      <c r="I696" s="1414"/>
      <c r="J696" s="1414"/>
      <c r="K696" s="1414"/>
      <c r="L696" s="1414"/>
      <c r="M696" s="1414"/>
      <c r="N696" s="1414"/>
      <c r="O696" s="1414"/>
      <c r="P696" s="1414"/>
      <c r="Q696" s="1414"/>
      <c r="R696" s="1414"/>
      <c r="S696" s="1414"/>
      <c r="T696" s="1414"/>
      <c r="U696" s="1414"/>
      <c r="V696" s="1414"/>
      <c r="W696" s="1414"/>
      <c r="X696" s="1414"/>
      <c r="Y696" s="1414"/>
      <c r="Z696" s="1414"/>
      <c r="AA696" s="1414"/>
      <c r="AB696" s="1414"/>
      <c r="AC696" s="1414"/>
      <c r="AD696" s="1414"/>
      <c r="AE696" s="1414"/>
      <c r="AF696" s="1414"/>
      <c r="AG696" s="1414"/>
      <c r="AH696" s="1414"/>
      <c r="AI696" s="1414"/>
      <c r="AJ696" s="1414"/>
      <c r="AK696" s="1414"/>
      <c r="AL696" s="1414"/>
      <c r="AM696" s="1414"/>
      <c r="AN696" s="1414"/>
      <c r="AO696" s="1414"/>
      <c r="AP696" s="1414"/>
      <c r="AQ696" s="1414"/>
      <c r="AR696" s="1414"/>
      <c r="AS696" s="1414"/>
      <c r="AT696" s="1414"/>
      <c r="AU696" s="1414"/>
      <c r="AV696" s="1414"/>
      <c r="AW696" s="1414"/>
      <c r="AX696" s="1414"/>
      <c r="AY696" s="1399"/>
      <c r="AZ696" s="1399"/>
      <c r="BA696" s="1399"/>
      <c r="BB696" s="1399"/>
      <c r="BC696" s="1399"/>
      <c r="BD696" s="1399"/>
      <c r="BE696" s="1414"/>
      <c r="BF696" s="1399"/>
      <c r="BG696" s="1399"/>
      <c r="BH696" s="1399"/>
      <c r="BI696" s="1399"/>
      <c r="BJ696" s="1399"/>
      <c r="BK696" s="1399"/>
      <c r="BL696" s="1399"/>
      <c r="BM696" s="1399"/>
      <c r="BN696" s="1399"/>
      <c r="BO696" s="1399"/>
      <c r="BP696" s="1399"/>
      <c r="BQ696" s="1399"/>
      <c r="BR696" s="1399"/>
      <c r="BS696" s="1399"/>
      <c r="BT696" s="1399"/>
      <c r="BU696" s="1399"/>
      <c r="BV696" s="1399"/>
      <c r="BW696" s="1399"/>
      <c r="BX696" s="1399"/>
      <c r="BY696" s="1399"/>
      <c r="BZ696" s="1399"/>
      <c r="CA696" s="1399"/>
      <c r="CB696" s="1399"/>
      <c r="CC696" s="1399"/>
      <c r="CD696" s="1399"/>
      <c r="CE696" s="1399"/>
      <c r="CF696" s="1399"/>
      <c r="CG696" s="1399"/>
      <c r="CH696" s="1399"/>
      <c r="CI696" s="1399"/>
      <c r="CJ696" s="1399"/>
      <c r="CK696" s="1399"/>
      <c r="CL696" s="1399"/>
      <c r="CM696" s="1399"/>
      <c r="CN696" s="1399"/>
      <c r="CO696" s="1399"/>
      <c r="CP696" s="1399"/>
      <c r="CQ696" s="1399"/>
      <c r="CR696" s="1399"/>
      <c r="CS696" s="1399"/>
      <c r="CT696" s="1399"/>
      <c r="CU696" s="1399"/>
      <c r="CV696" s="1399"/>
      <c r="CW696" s="1399"/>
      <c r="CX696" s="1399"/>
      <c r="CY696" s="1399"/>
      <c r="CZ696" s="1399"/>
      <c r="DA696" s="1399"/>
      <c r="DB696" s="1399"/>
      <c r="DC696" s="1399"/>
      <c r="DD696" s="1399"/>
      <c r="DE696" s="1399"/>
      <c r="DF696" s="1399"/>
      <c r="DG696" s="1399"/>
      <c r="DH696" s="1399"/>
      <c r="DI696" s="1399"/>
      <c r="DJ696" s="1399"/>
      <c r="DK696" s="1399"/>
      <c r="DL696" s="1399"/>
      <c r="DM696" s="1399"/>
      <c r="DN696" s="1399"/>
      <c r="DO696" s="1399"/>
      <c r="DP696" s="1399"/>
      <c r="DQ696" s="1399"/>
      <c r="DR696" s="1399"/>
      <c r="DS696" s="1399"/>
      <c r="DT696" s="1399"/>
      <c r="DU696" s="1399"/>
    </row>
    <row r="697" spans="1:125">
      <c r="A697" s="1414"/>
      <c r="B697" s="1414"/>
      <c r="C697" s="1414"/>
      <c r="D697" s="1414"/>
      <c r="E697" s="1414"/>
      <c r="F697" s="1414"/>
      <c r="G697" s="1414"/>
      <c r="H697" s="1414"/>
      <c r="I697" s="1414"/>
      <c r="J697" s="1414"/>
      <c r="K697" s="1414"/>
      <c r="L697" s="1414"/>
      <c r="M697" s="1414"/>
      <c r="N697" s="1414"/>
      <c r="O697" s="1414"/>
      <c r="P697" s="1414"/>
      <c r="Q697" s="1414"/>
      <c r="R697" s="1414"/>
      <c r="S697" s="1414"/>
      <c r="T697" s="1414"/>
      <c r="U697" s="1414"/>
      <c r="V697" s="1414"/>
      <c r="W697" s="1414"/>
      <c r="X697" s="1414"/>
      <c r="Y697" s="1414"/>
      <c r="Z697" s="1414"/>
      <c r="AA697" s="1414"/>
      <c r="AB697" s="1414"/>
      <c r="AC697" s="1414"/>
      <c r="AD697" s="1414"/>
      <c r="AE697" s="1414"/>
      <c r="AF697" s="1414"/>
      <c r="AG697" s="1414"/>
      <c r="AH697" s="1414"/>
      <c r="AI697" s="1414"/>
      <c r="AJ697" s="1414"/>
      <c r="AK697" s="1414"/>
      <c r="AL697" s="1414"/>
      <c r="AM697" s="1414"/>
      <c r="AN697" s="1414"/>
      <c r="AO697" s="1414"/>
      <c r="AP697" s="1414"/>
      <c r="AQ697" s="1414"/>
      <c r="AR697" s="1414"/>
      <c r="AS697" s="1414"/>
      <c r="AT697" s="1414"/>
      <c r="AU697" s="1414"/>
      <c r="AV697" s="1414"/>
      <c r="AW697" s="1414"/>
      <c r="AX697" s="1414"/>
      <c r="AY697" s="1399"/>
      <c r="AZ697" s="1399"/>
      <c r="BA697" s="1399"/>
      <c r="BB697" s="1399"/>
      <c r="BC697" s="1399"/>
      <c r="BD697" s="1399"/>
      <c r="BE697" s="1414"/>
      <c r="BF697" s="1399"/>
      <c r="BG697" s="1399"/>
      <c r="BH697" s="1399"/>
      <c r="BI697" s="1399"/>
      <c r="BJ697" s="1399"/>
      <c r="BK697" s="1399"/>
      <c r="BL697" s="1399"/>
      <c r="BM697" s="1399"/>
      <c r="BN697" s="1399"/>
      <c r="BO697" s="1399"/>
      <c r="BP697" s="1399"/>
      <c r="BQ697" s="1399"/>
      <c r="BR697" s="1399"/>
      <c r="BS697" s="1399"/>
      <c r="BT697" s="1399"/>
      <c r="BU697" s="1399"/>
      <c r="BV697" s="1399"/>
      <c r="BW697" s="1399"/>
      <c r="BX697" s="1399"/>
      <c r="BY697" s="1399"/>
      <c r="BZ697" s="1399"/>
      <c r="CA697" s="1399"/>
      <c r="CB697" s="1399"/>
      <c r="CC697" s="1399"/>
      <c r="CD697" s="1399"/>
      <c r="CE697" s="1399"/>
      <c r="CF697" s="1399"/>
      <c r="CG697" s="1399"/>
      <c r="CH697" s="1399"/>
      <c r="CI697" s="1399"/>
      <c r="CJ697" s="1399"/>
      <c r="CK697" s="1399"/>
      <c r="CL697" s="1399"/>
      <c r="CM697" s="1399"/>
      <c r="CN697" s="1399"/>
      <c r="CO697" s="1399"/>
      <c r="CP697" s="1399"/>
      <c r="CQ697" s="1399"/>
      <c r="CR697" s="1399"/>
      <c r="CS697" s="1399"/>
      <c r="CT697" s="1399"/>
      <c r="CU697" s="1399"/>
      <c r="CV697" s="1399"/>
      <c r="CW697" s="1399"/>
      <c r="CX697" s="1399"/>
      <c r="CY697" s="1399"/>
      <c r="CZ697" s="1399"/>
      <c r="DA697" s="1399"/>
      <c r="DB697" s="1399"/>
      <c r="DC697" s="1399"/>
      <c r="DD697" s="1399"/>
      <c r="DE697" s="1399"/>
      <c r="DF697" s="1399"/>
      <c r="DG697" s="1399"/>
      <c r="DH697" s="1399"/>
      <c r="DI697" s="1399"/>
      <c r="DJ697" s="1399"/>
      <c r="DK697" s="1399"/>
      <c r="DL697" s="1399"/>
      <c r="DM697" s="1399"/>
      <c r="DN697" s="1399"/>
      <c r="DO697" s="1399"/>
      <c r="DP697" s="1399"/>
      <c r="DQ697" s="1399"/>
      <c r="DR697" s="1399"/>
      <c r="DS697" s="1399"/>
      <c r="DT697" s="1399"/>
      <c r="DU697" s="1399"/>
    </row>
    <row r="698" spans="1:125">
      <c r="A698" s="1414"/>
      <c r="B698" s="1414"/>
      <c r="C698" s="1414"/>
      <c r="D698" s="1414"/>
      <c r="E698" s="1414"/>
      <c r="F698" s="1414"/>
      <c r="G698" s="1414"/>
      <c r="H698" s="1414"/>
      <c r="I698" s="1414"/>
      <c r="J698" s="1414"/>
      <c r="K698" s="1414"/>
      <c r="L698" s="1414"/>
      <c r="M698" s="1414"/>
      <c r="N698" s="1414"/>
      <c r="O698" s="1414"/>
      <c r="P698" s="1414"/>
      <c r="Q698" s="1414"/>
      <c r="R698" s="1414"/>
      <c r="S698" s="1414"/>
      <c r="T698" s="1414"/>
      <c r="U698" s="1414"/>
      <c r="V698" s="1414"/>
      <c r="W698" s="1414"/>
      <c r="X698" s="1414"/>
      <c r="Y698" s="1414"/>
      <c r="Z698" s="1414"/>
      <c r="AA698" s="1414"/>
      <c r="AB698" s="1414"/>
      <c r="AC698" s="1414"/>
      <c r="AD698" s="1414"/>
      <c r="AE698" s="1414"/>
      <c r="AF698" s="1414"/>
      <c r="AG698" s="1414"/>
      <c r="AH698" s="1414"/>
      <c r="AI698" s="1414"/>
      <c r="AJ698" s="1414"/>
      <c r="AK698" s="1414"/>
      <c r="AL698" s="1414"/>
      <c r="AM698" s="1414"/>
      <c r="AN698" s="1414"/>
      <c r="AO698" s="1414"/>
      <c r="AP698" s="1414"/>
      <c r="AQ698" s="1414"/>
      <c r="AR698" s="1414"/>
      <c r="AS698" s="1414"/>
      <c r="AT698" s="1414"/>
      <c r="AU698" s="1414"/>
      <c r="AV698" s="1414"/>
      <c r="AW698" s="1414"/>
      <c r="AX698" s="1414"/>
      <c r="AY698" s="1399"/>
      <c r="AZ698" s="1399"/>
      <c r="BA698" s="1399"/>
      <c r="BB698" s="1399"/>
      <c r="BC698" s="1399"/>
      <c r="BD698" s="1399"/>
      <c r="BE698" s="1414"/>
      <c r="BF698" s="1399"/>
      <c r="BG698" s="1399"/>
      <c r="BH698" s="1399"/>
      <c r="BI698" s="1399"/>
      <c r="BJ698" s="1399"/>
      <c r="BK698" s="1399"/>
      <c r="BL698" s="1399"/>
      <c r="BM698" s="1399"/>
      <c r="BN698" s="1399"/>
      <c r="BO698" s="1399"/>
      <c r="BP698" s="1399"/>
      <c r="BQ698" s="1399"/>
      <c r="BR698" s="1399"/>
      <c r="BS698" s="1399"/>
      <c r="BT698" s="1399"/>
      <c r="BU698" s="1399"/>
      <c r="BV698" s="1399"/>
      <c r="BW698" s="1399"/>
      <c r="BX698" s="1399"/>
      <c r="BY698" s="1399"/>
      <c r="BZ698" s="1399"/>
      <c r="CA698" s="1399"/>
      <c r="CB698" s="1399"/>
      <c r="CC698" s="1399"/>
      <c r="CD698" s="1399"/>
      <c r="CE698" s="1399"/>
      <c r="CF698" s="1399"/>
      <c r="CG698" s="1399"/>
      <c r="CH698" s="1399"/>
      <c r="CI698" s="1399"/>
      <c r="CJ698" s="1399"/>
      <c r="CK698" s="1399"/>
      <c r="CL698" s="1399"/>
      <c r="CM698" s="1399"/>
      <c r="CN698" s="1399"/>
      <c r="CO698" s="1399"/>
      <c r="CP698" s="1399"/>
      <c r="CQ698" s="1399"/>
      <c r="CR698" s="1399"/>
      <c r="CS698" s="1399"/>
      <c r="CT698" s="1399"/>
      <c r="CU698" s="1399"/>
      <c r="CV698" s="1399"/>
      <c r="CW698" s="1399"/>
      <c r="CX698" s="1399"/>
      <c r="CY698" s="1399"/>
      <c r="CZ698" s="1399"/>
      <c r="DA698" s="1399"/>
      <c r="DB698" s="1399"/>
      <c r="DC698" s="1399"/>
      <c r="DD698" s="1399"/>
      <c r="DE698" s="1399"/>
      <c r="DF698" s="1399"/>
      <c r="DG698" s="1399"/>
      <c r="DH698" s="1399"/>
      <c r="DI698" s="1399"/>
      <c r="DJ698" s="1399"/>
      <c r="DK698" s="1399"/>
      <c r="DL698" s="1399"/>
      <c r="DM698" s="1399"/>
      <c r="DN698" s="1399"/>
      <c r="DO698" s="1399"/>
      <c r="DP698" s="1399"/>
      <c r="DQ698" s="1399"/>
      <c r="DR698" s="1399"/>
      <c r="DS698" s="1399"/>
      <c r="DT698" s="1399"/>
      <c r="DU698" s="1399"/>
    </row>
    <row r="699" spans="1:125">
      <c r="A699" s="1414"/>
      <c r="B699" s="1414"/>
      <c r="C699" s="1414"/>
      <c r="D699" s="1414"/>
      <c r="E699" s="1414"/>
      <c r="F699" s="1414"/>
      <c r="G699" s="1414"/>
      <c r="H699" s="1414"/>
      <c r="I699" s="1414"/>
      <c r="J699" s="1414"/>
      <c r="K699" s="1414"/>
      <c r="L699" s="1414"/>
      <c r="M699" s="1414"/>
      <c r="N699" s="1414"/>
      <c r="O699" s="1414"/>
      <c r="P699" s="1414"/>
      <c r="Q699" s="1414"/>
      <c r="R699" s="1414"/>
      <c r="S699" s="1414"/>
      <c r="T699" s="1414"/>
      <c r="U699" s="1414"/>
      <c r="V699" s="1414"/>
      <c r="W699" s="1414"/>
      <c r="X699" s="1414"/>
      <c r="Y699" s="1414"/>
      <c r="Z699" s="1414"/>
      <c r="AA699" s="1414"/>
      <c r="AB699" s="1414"/>
      <c r="AC699" s="1414"/>
      <c r="AD699" s="1414"/>
      <c r="AE699" s="1414"/>
      <c r="AF699" s="1414"/>
      <c r="AG699" s="1414"/>
      <c r="AH699" s="1414"/>
      <c r="AI699" s="1414"/>
      <c r="AJ699" s="1414"/>
      <c r="AK699" s="1414"/>
      <c r="AL699" s="1414"/>
      <c r="AM699" s="1414"/>
      <c r="AN699" s="1414"/>
      <c r="AO699" s="1414"/>
      <c r="AP699" s="1414"/>
      <c r="AQ699" s="1414"/>
      <c r="AR699" s="1414"/>
      <c r="AS699" s="1414"/>
      <c r="AT699" s="1414"/>
      <c r="AU699" s="1414"/>
      <c r="AV699" s="1414"/>
      <c r="AW699" s="1414"/>
      <c r="AX699" s="1414"/>
      <c r="AY699" s="1399"/>
      <c r="AZ699" s="1399"/>
      <c r="BA699" s="1399"/>
      <c r="BB699" s="1399"/>
      <c r="BC699" s="1399"/>
      <c r="BD699" s="1399"/>
      <c r="BE699" s="1414"/>
      <c r="BF699" s="1399"/>
      <c r="BG699" s="1399"/>
      <c r="BH699" s="1399"/>
      <c r="BI699" s="1399"/>
      <c r="BJ699" s="1399"/>
      <c r="BK699" s="1399"/>
      <c r="BL699" s="1399"/>
      <c r="BM699" s="1399"/>
      <c r="BN699" s="1399"/>
      <c r="BO699" s="1399"/>
      <c r="BP699" s="1399"/>
      <c r="BQ699" s="1399"/>
      <c r="BR699" s="1399"/>
      <c r="BS699" s="1399"/>
      <c r="BT699" s="1399"/>
      <c r="BU699" s="1399"/>
      <c r="BV699" s="1399"/>
      <c r="BW699" s="1399"/>
      <c r="BX699" s="1399"/>
      <c r="BY699" s="1399"/>
      <c r="BZ699" s="1399"/>
      <c r="CA699" s="1399"/>
      <c r="CB699" s="1399"/>
      <c r="CC699" s="1399"/>
      <c r="CD699" s="1399"/>
      <c r="CE699" s="1399"/>
      <c r="CF699" s="1399"/>
      <c r="CG699" s="1399"/>
      <c r="CH699" s="1399"/>
      <c r="CI699" s="1399"/>
      <c r="CJ699" s="1399"/>
      <c r="CK699" s="1399"/>
      <c r="CL699" s="1399"/>
      <c r="CM699" s="1399"/>
      <c r="CN699" s="1399"/>
      <c r="CO699" s="1399"/>
      <c r="CP699" s="1399"/>
      <c r="CQ699" s="1399"/>
      <c r="CR699" s="1399"/>
      <c r="CS699" s="1399"/>
      <c r="CT699" s="1399"/>
      <c r="CU699" s="1399"/>
      <c r="CV699" s="1399"/>
      <c r="CW699" s="1399"/>
      <c r="CX699" s="1399"/>
      <c r="CY699" s="1399"/>
      <c r="CZ699" s="1399"/>
      <c r="DA699" s="1399"/>
      <c r="DB699" s="1399"/>
      <c r="DC699" s="1399"/>
      <c r="DD699" s="1399"/>
      <c r="DE699" s="1399"/>
      <c r="DF699" s="1399"/>
      <c r="DG699" s="1399"/>
      <c r="DH699" s="1399"/>
      <c r="DI699" s="1399"/>
      <c r="DJ699" s="1399"/>
      <c r="DK699" s="1399"/>
      <c r="DL699" s="1399"/>
      <c r="DM699" s="1399"/>
      <c r="DN699" s="1399"/>
      <c r="DO699" s="1399"/>
      <c r="DP699" s="1399"/>
      <c r="DQ699" s="1399"/>
      <c r="DR699" s="1399"/>
      <c r="DS699" s="1399"/>
      <c r="DT699" s="1399"/>
      <c r="DU699" s="1399"/>
    </row>
    <row r="700" spans="1:125">
      <c r="A700" s="1414"/>
      <c r="B700" s="1414"/>
      <c r="C700" s="1414"/>
      <c r="D700" s="1414"/>
      <c r="E700" s="1414"/>
      <c r="F700" s="1414"/>
      <c r="G700" s="1414"/>
      <c r="H700" s="1414"/>
      <c r="I700" s="1414"/>
      <c r="J700" s="1414"/>
      <c r="K700" s="1414"/>
      <c r="L700" s="1414"/>
      <c r="M700" s="1414"/>
      <c r="N700" s="1414"/>
      <c r="O700" s="1414"/>
      <c r="P700" s="1414"/>
      <c r="Q700" s="1414"/>
      <c r="R700" s="1414"/>
      <c r="S700" s="1414"/>
      <c r="T700" s="1414"/>
      <c r="U700" s="1414"/>
      <c r="V700" s="1414"/>
      <c r="W700" s="1414"/>
      <c r="X700" s="1414"/>
      <c r="Y700" s="1414"/>
      <c r="Z700" s="1414"/>
      <c r="AA700" s="1414"/>
      <c r="AB700" s="1414"/>
      <c r="AC700" s="1414"/>
      <c r="AD700" s="1414"/>
      <c r="AE700" s="1414"/>
      <c r="AF700" s="1414"/>
      <c r="AG700" s="1414"/>
      <c r="AH700" s="1414"/>
      <c r="AI700" s="1414"/>
      <c r="AJ700" s="1414"/>
      <c r="AK700" s="1414"/>
      <c r="AL700" s="1414"/>
      <c r="AM700" s="1414"/>
      <c r="AN700" s="1414"/>
      <c r="AO700" s="1414"/>
      <c r="AP700" s="1414"/>
      <c r="AQ700" s="1414"/>
      <c r="AR700" s="1414"/>
      <c r="AS700" s="1414"/>
      <c r="AT700" s="1414"/>
      <c r="AU700" s="1414"/>
      <c r="AV700" s="1414"/>
      <c r="AW700" s="1414"/>
      <c r="AX700" s="1414"/>
      <c r="AY700" s="1399"/>
      <c r="AZ700" s="1399"/>
      <c r="BA700" s="1399"/>
      <c r="BB700" s="1399"/>
      <c r="BC700" s="1399"/>
      <c r="BD700" s="1399"/>
      <c r="BE700" s="1414"/>
      <c r="BF700" s="1399"/>
      <c r="BG700" s="1399"/>
      <c r="BH700" s="1399"/>
      <c r="BI700" s="1399"/>
      <c r="BJ700" s="1399"/>
      <c r="BK700" s="1399"/>
      <c r="BL700" s="1399"/>
      <c r="BM700" s="1399"/>
      <c r="BN700" s="1399"/>
      <c r="BO700" s="1399"/>
      <c r="BP700" s="1399"/>
      <c r="BQ700" s="1399"/>
      <c r="BR700" s="1399"/>
      <c r="BS700" s="1399"/>
      <c r="BT700" s="1399"/>
      <c r="BU700" s="1399"/>
      <c r="BV700" s="1399"/>
      <c r="BW700" s="1399"/>
      <c r="BX700" s="1399"/>
      <c r="BY700" s="1399"/>
      <c r="BZ700" s="1399"/>
      <c r="CA700" s="1399"/>
      <c r="CB700" s="1399"/>
      <c r="CC700" s="1399"/>
      <c r="CD700" s="1399"/>
      <c r="CE700" s="1399"/>
      <c r="CF700" s="1399"/>
      <c r="CG700" s="1399"/>
      <c r="CH700" s="1399"/>
      <c r="CI700" s="1399"/>
      <c r="CJ700" s="1399"/>
      <c r="CK700" s="1399"/>
      <c r="CL700" s="1399"/>
      <c r="CM700" s="1399"/>
      <c r="CN700" s="1399"/>
      <c r="CO700" s="1399"/>
      <c r="CP700" s="1399"/>
      <c r="CQ700" s="1399"/>
      <c r="CR700" s="1399"/>
      <c r="CS700" s="1399"/>
      <c r="CT700" s="1399"/>
      <c r="CU700" s="1399"/>
      <c r="CV700" s="1399"/>
      <c r="CW700" s="1399"/>
      <c r="CX700" s="1399"/>
      <c r="CY700" s="1399"/>
      <c r="CZ700" s="1399"/>
      <c r="DA700" s="1399"/>
      <c r="DB700" s="1399"/>
      <c r="DC700" s="1399"/>
      <c r="DD700" s="1399"/>
      <c r="DE700" s="1399"/>
      <c r="DF700" s="1399"/>
      <c r="DG700" s="1399"/>
      <c r="DH700" s="1399"/>
      <c r="DI700" s="1399"/>
      <c r="DJ700" s="1399"/>
      <c r="DK700" s="1399"/>
      <c r="DL700" s="1399"/>
      <c r="DM700" s="1399"/>
      <c r="DN700" s="1399"/>
      <c r="DO700" s="1399"/>
      <c r="DP700" s="1399"/>
      <c r="DQ700" s="1399"/>
      <c r="DR700" s="1399"/>
      <c r="DS700" s="1399"/>
      <c r="DT700" s="1399"/>
      <c r="DU700" s="1399"/>
    </row>
    <row r="701" spans="1:125">
      <c r="A701" s="1414"/>
      <c r="B701" s="1414"/>
      <c r="C701" s="1414"/>
      <c r="D701" s="1414"/>
      <c r="E701" s="1414"/>
      <c r="F701" s="1414"/>
      <c r="G701" s="1414"/>
      <c r="H701" s="1414"/>
      <c r="I701" s="1414"/>
      <c r="J701" s="1414"/>
      <c r="K701" s="1414"/>
      <c r="L701" s="1414"/>
      <c r="M701" s="1414"/>
      <c r="N701" s="1414"/>
      <c r="O701" s="1414"/>
      <c r="P701" s="1414"/>
      <c r="Q701" s="1414"/>
      <c r="R701" s="1414"/>
      <c r="S701" s="1414"/>
      <c r="T701" s="1414"/>
      <c r="U701" s="1414"/>
      <c r="V701" s="1414"/>
      <c r="W701" s="1414"/>
      <c r="X701" s="1414"/>
      <c r="Y701" s="1414"/>
      <c r="Z701" s="1414"/>
      <c r="AA701" s="1414"/>
      <c r="AB701" s="1414"/>
      <c r="AC701" s="1414"/>
      <c r="AD701" s="1414"/>
      <c r="AE701" s="1414"/>
      <c r="AF701" s="1414"/>
      <c r="AG701" s="1414"/>
      <c r="AH701" s="1414"/>
      <c r="AI701" s="1414"/>
      <c r="AJ701" s="1414"/>
      <c r="AK701" s="1414"/>
      <c r="AL701" s="1414"/>
      <c r="AM701" s="1414"/>
      <c r="AN701" s="1414"/>
      <c r="AO701" s="1414"/>
      <c r="AP701" s="1414"/>
      <c r="AQ701" s="1414"/>
      <c r="AR701" s="1414"/>
      <c r="AS701" s="1414"/>
      <c r="AT701" s="1414"/>
      <c r="AU701" s="1414"/>
      <c r="AV701" s="1414"/>
      <c r="AW701" s="1414"/>
      <c r="AX701" s="1414"/>
      <c r="AY701" s="1399"/>
      <c r="AZ701" s="1399"/>
      <c r="BA701" s="1399"/>
      <c r="BB701" s="1399"/>
      <c r="BC701" s="1399"/>
      <c r="BD701" s="1399"/>
      <c r="BE701" s="1414"/>
      <c r="BF701" s="1399"/>
      <c r="BG701" s="1399"/>
      <c r="BH701" s="1399"/>
      <c r="BI701" s="1399"/>
      <c r="BJ701" s="1399"/>
      <c r="BK701" s="1399"/>
      <c r="BL701" s="1399"/>
      <c r="BM701" s="1399"/>
      <c r="BN701" s="1399"/>
      <c r="BO701" s="1399"/>
      <c r="BP701" s="1399"/>
      <c r="BQ701" s="1399"/>
      <c r="BR701" s="1399"/>
      <c r="BS701" s="1399"/>
      <c r="BT701" s="1399"/>
      <c r="BU701" s="1399"/>
      <c r="BV701" s="1399"/>
      <c r="BW701" s="1399"/>
      <c r="BX701" s="1399"/>
      <c r="BY701" s="1399"/>
      <c r="BZ701" s="1399"/>
      <c r="CA701" s="1399"/>
      <c r="CB701" s="1399"/>
      <c r="CC701" s="1399"/>
      <c r="CD701" s="1399"/>
      <c r="CE701" s="1399"/>
      <c r="CF701" s="1399"/>
      <c r="CG701" s="1399"/>
      <c r="CH701" s="1399"/>
      <c r="CI701" s="1399"/>
      <c r="CJ701" s="1399"/>
      <c r="CK701" s="1399"/>
      <c r="CL701" s="1399"/>
      <c r="CM701" s="1399"/>
      <c r="CN701" s="1399"/>
      <c r="CO701" s="1399"/>
      <c r="CP701" s="1399"/>
      <c r="CQ701" s="1399"/>
      <c r="CR701" s="1399"/>
      <c r="CS701" s="1399"/>
      <c r="CT701" s="1399"/>
      <c r="CU701" s="1399"/>
      <c r="CV701" s="1399"/>
      <c r="CW701" s="1399"/>
      <c r="CX701" s="1399"/>
      <c r="CY701" s="1399"/>
      <c r="CZ701" s="1399"/>
      <c r="DA701" s="1399"/>
      <c r="DB701" s="1399"/>
      <c r="DC701" s="1399"/>
      <c r="DD701" s="1399"/>
      <c r="DE701" s="1399"/>
      <c r="DF701" s="1399"/>
      <c r="DG701" s="1399"/>
      <c r="DH701" s="1399"/>
      <c r="DI701" s="1399"/>
      <c r="DJ701" s="1399"/>
      <c r="DK701" s="1399"/>
      <c r="DL701" s="1399"/>
      <c r="DM701" s="1399"/>
      <c r="DN701" s="1399"/>
      <c r="DO701" s="1399"/>
      <c r="DP701" s="1399"/>
      <c r="DQ701" s="1399"/>
      <c r="DR701" s="1399"/>
      <c r="DS701" s="1399"/>
      <c r="DT701" s="1399"/>
      <c r="DU701" s="1399"/>
    </row>
    <row r="702" spans="1:125">
      <c r="A702" s="1414"/>
      <c r="B702" s="1414"/>
      <c r="C702" s="1414"/>
      <c r="D702" s="1414"/>
      <c r="E702" s="1414"/>
      <c r="F702" s="1414"/>
      <c r="G702" s="1414"/>
      <c r="H702" s="1414"/>
      <c r="I702" s="1414"/>
      <c r="J702" s="1414"/>
      <c r="K702" s="1414"/>
      <c r="L702" s="1414"/>
      <c r="M702" s="1414"/>
      <c r="N702" s="1414"/>
      <c r="O702" s="1414"/>
      <c r="P702" s="1414"/>
      <c r="Q702" s="1414"/>
      <c r="R702" s="1414"/>
      <c r="S702" s="1414"/>
      <c r="T702" s="1414"/>
      <c r="U702" s="1414"/>
      <c r="V702" s="1414"/>
      <c r="W702" s="1414"/>
      <c r="X702" s="1414"/>
      <c r="Y702" s="1414"/>
      <c r="Z702" s="1414"/>
      <c r="AA702" s="1414"/>
      <c r="AB702" s="1414"/>
      <c r="AC702" s="1414"/>
      <c r="AD702" s="1414"/>
      <c r="AE702" s="1414"/>
      <c r="AF702" s="1414"/>
      <c r="AG702" s="1414"/>
      <c r="AH702" s="1414"/>
      <c r="AI702" s="1414"/>
      <c r="AJ702" s="1414"/>
      <c r="AK702" s="1414"/>
      <c r="AL702" s="1414"/>
      <c r="AM702" s="1414"/>
      <c r="AN702" s="1414"/>
      <c r="AO702" s="1414"/>
      <c r="AP702" s="1414"/>
      <c r="AQ702" s="1414"/>
      <c r="AR702" s="1414"/>
      <c r="AS702" s="1414"/>
      <c r="AT702" s="1414"/>
      <c r="AU702" s="1414"/>
      <c r="AV702" s="1414"/>
      <c r="AW702" s="1414"/>
      <c r="AX702" s="1414"/>
      <c r="AY702" s="1399"/>
      <c r="AZ702" s="1399"/>
      <c r="BA702" s="1399"/>
      <c r="BB702" s="1399"/>
      <c r="BC702" s="1399"/>
      <c r="BD702" s="1399"/>
      <c r="BE702" s="1414"/>
      <c r="BF702" s="1399"/>
      <c r="BG702" s="1399"/>
      <c r="BH702" s="1399"/>
      <c r="BI702" s="1399"/>
      <c r="BJ702" s="1399"/>
      <c r="BK702" s="1399"/>
      <c r="BL702" s="1399"/>
      <c r="BM702" s="1399"/>
      <c r="BN702" s="1399"/>
      <c r="BO702" s="1399"/>
      <c r="BP702" s="1399"/>
      <c r="BQ702" s="1399"/>
      <c r="BR702" s="1399"/>
      <c r="BS702" s="1399"/>
      <c r="BT702" s="1399"/>
      <c r="BU702" s="1399"/>
      <c r="BV702" s="1399"/>
      <c r="BW702" s="1399"/>
      <c r="BX702" s="1399"/>
      <c r="BY702" s="1399"/>
      <c r="BZ702" s="1399"/>
      <c r="CA702" s="1399"/>
      <c r="CB702" s="1399"/>
      <c r="CC702" s="1399"/>
      <c r="CD702" s="1399"/>
      <c r="CE702" s="1399"/>
      <c r="CF702" s="1399"/>
      <c r="CG702" s="1399"/>
      <c r="CH702" s="1399"/>
      <c r="CI702" s="1399"/>
      <c r="CJ702" s="1399"/>
      <c r="CK702" s="1399"/>
      <c r="CL702" s="1399"/>
      <c r="CM702" s="1399"/>
      <c r="CN702" s="1399"/>
      <c r="CO702" s="1399"/>
      <c r="CP702" s="1399"/>
      <c r="CQ702" s="1399"/>
      <c r="CR702" s="1399"/>
      <c r="CS702" s="1399"/>
      <c r="CT702" s="1399"/>
      <c r="CU702" s="1399"/>
      <c r="CV702" s="1399"/>
      <c r="CW702" s="1399"/>
      <c r="CX702" s="1399"/>
      <c r="CY702" s="1399"/>
      <c r="CZ702" s="1399"/>
      <c r="DA702" s="1399"/>
      <c r="DB702" s="1399"/>
      <c r="DC702" s="1399"/>
      <c r="DD702" s="1399"/>
      <c r="DE702" s="1399"/>
      <c r="DF702" s="1399"/>
      <c r="DG702" s="1399"/>
      <c r="DH702" s="1399"/>
      <c r="DI702" s="1399"/>
      <c r="DJ702" s="1399"/>
      <c r="DK702" s="1399"/>
      <c r="DL702" s="1399"/>
      <c r="DM702" s="1399"/>
      <c r="DN702" s="1399"/>
      <c r="DO702" s="1399"/>
      <c r="DP702" s="1399"/>
      <c r="DQ702" s="1399"/>
      <c r="DR702" s="1399"/>
      <c r="DS702" s="1399"/>
      <c r="DT702" s="1399"/>
      <c r="DU702" s="1399"/>
    </row>
    <row r="703" spans="1:125">
      <c r="A703" s="1414"/>
      <c r="B703" s="1414"/>
      <c r="C703" s="1414"/>
      <c r="D703" s="1414"/>
      <c r="E703" s="1414"/>
      <c r="F703" s="1414"/>
      <c r="G703" s="1414"/>
      <c r="H703" s="1414"/>
      <c r="I703" s="1414"/>
      <c r="J703" s="1414"/>
      <c r="K703" s="1414"/>
      <c r="L703" s="1414"/>
      <c r="M703" s="1414"/>
      <c r="N703" s="1414"/>
      <c r="O703" s="1414"/>
      <c r="P703" s="1414"/>
      <c r="Q703" s="1414"/>
      <c r="R703" s="1414"/>
      <c r="S703" s="1414"/>
      <c r="T703" s="1414"/>
      <c r="U703" s="1414"/>
      <c r="V703" s="1414"/>
      <c r="W703" s="1414"/>
      <c r="X703" s="1414"/>
      <c r="Y703" s="1414"/>
      <c r="Z703" s="1414"/>
      <c r="AA703" s="1414"/>
      <c r="AB703" s="1414"/>
      <c r="AC703" s="1414"/>
      <c r="AD703" s="1414"/>
      <c r="AE703" s="1414"/>
      <c r="AF703" s="1414"/>
      <c r="AG703" s="1414"/>
      <c r="AH703" s="1414"/>
      <c r="AI703" s="1414"/>
      <c r="AJ703" s="1414"/>
      <c r="AK703" s="1414"/>
      <c r="AL703" s="1414"/>
      <c r="AM703" s="1414"/>
      <c r="AN703" s="1414"/>
      <c r="AO703" s="1414"/>
      <c r="AP703" s="1414"/>
      <c r="AQ703" s="1414"/>
      <c r="AR703" s="1414"/>
      <c r="AS703" s="1414"/>
      <c r="AT703" s="1414"/>
      <c r="AU703" s="1414"/>
      <c r="AV703" s="1414"/>
      <c r="AW703" s="1414"/>
      <c r="AX703" s="1414"/>
      <c r="AY703" s="1399"/>
      <c r="AZ703" s="1399"/>
      <c r="BA703" s="1399"/>
      <c r="BB703" s="1399"/>
      <c r="BC703" s="1399"/>
      <c r="BD703" s="1399"/>
      <c r="BE703" s="1414"/>
      <c r="BF703" s="1399"/>
      <c r="BG703" s="1399"/>
      <c r="BH703" s="1399"/>
      <c r="BI703" s="1399"/>
      <c r="BJ703" s="1399"/>
      <c r="BK703" s="1399"/>
      <c r="BL703" s="1399"/>
      <c r="BM703" s="1399"/>
      <c r="BN703" s="1399"/>
      <c r="BO703" s="1399"/>
      <c r="BP703" s="1399"/>
      <c r="BQ703" s="1399"/>
      <c r="BR703" s="1399"/>
      <c r="BS703" s="1399"/>
      <c r="BT703" s="1399"/>
      <c r="BU703" s="1399"/>
      <c r="BV703" s="1399"/>
      <c r="BW703" s="1399"/>
      <c r="BX703" s="1399"/>
      <c r="BY703" s="1399"/>
      <c r="BZ703" s="1399"/>
      <c r="CA703" s="1399"/>
      <c r="CB703" s="1399"/>
      <c r="CC703" s="1399"/>
      <c r="CD703" s="1399"/>
      <c r="CE703" s="1399"/>
      <c r="CF703" s="1399"/>
      <c r="CG703" s="1399"/>
      <c r="CH703" s="1399"/>
      <c r="CI703" s="1399"/>
      <c r="CJ703" s="1399"/>
      <c r="CK703" s="1399"/>
      <c r="CL703" s="1399"/>
      <c r="CM703" s="1399"/>
      <c r="CN703" s="1399"/>
      <c r="CO703" s="1399"/>
      <c r="CP703" s="1399"/>
      <c r="CQ703" s="1399"/>
      <c r="CR703" s="1399"/>
      <c r="CS703" s="1399"/>
      <c r="CT703" s="1399"/>
      <c r="CU703" s="1399"/>
      <c r="CV703" s="1399"/>
      <c r="CW703" s="1399"/>
      <c r="CX703" s="1399"/>
      <c r="CY703" s="1399"/>
      <c r="CZ703" s="1399"/>
      <c r="DA703" s="1399"/>
      <c r="DB703" s="1399"/>
      <c r="DC703" s="1399"/>
      <c r="DD703" s="1399"/>
      <c r="DE703" s="1399"/>
      <c r="DF703" s="1399"/>
      <c r="DG703" s="1399"/>
      <c r="DH703" s="1399"/>
      <c r="DI703" s="1399"/>
      <c r="DJ703" s="1399"/>
      <c r="DK703" s="1399"/>
      <c r="DL703" s="1399"/>
      <c r="DM703" s="1399"/>
      <c r="DN703" s="1399"/>
      <c r="DO703" s="1399"/>
      <c r="DP703" s="1399"/>
      <c r="DQ703" s="1399"/>
      <c r="DR703" s="1399"/>
      <c r="DS703" s="1399"/>
      <c r="DT703" s="1399"/>
      <c r="DU703" s="1399"/>
    </row>
    <row r="704" spans="1:125">
      <c r="A704" s="1414"/>
      <c r="B704" s="1414"/>
      <c r="C704" s="1414"/>
      <c r="D704" s="1414"/>
      <c r="E704" s="1414"/>
      <c r="F704" s="1414"/>
      <c r="G704" s="1414"/>
      <c r="H704" s="1414"/>
      <c r="I704" s="1414"/>
      <c r="J704" s="1414"/>
      <c r="K704" s="1414"/>
      <c r="L704" s="1414"/>
      <c r="M704" s="1414"/>
      <c r="N704" s="1414"/>
      <c r="O704" s="1414"/>
      <c r="P704" s="1414"/>
      <c r="Q704" s="1414"/>
      <c r="R704" s="1414"/>
      <c r="S704" s="1414"/>
      <c r="T704" s="1414"/>
      <c r="U704" s="1414"/>
      <c r="V704" s="1414"/>
      <c r="W704" s="1414"/>
      <c r="X704" s="1414"/>
      <c r="Y704" s="1414"/>
      <c r="Z704" s="1414"/>
      <c r="AA704" s="1414"/>
      <c r="AB704" s="1414"/>
      <c r="AC704" s="1414"/>
      <c r="AD704" s="1414"/>
      <c r="AE704" s="1414"/>
      <c r="AF704" s="1414"/>
      <c r="AG704" s="1414"/>
      <c r="AH704" s="1414"/>
      <c r="AI704" s="1414"/>
      <c r="AJ704" s="1414"/>
      <c r="AK704" s="1414"/>
      <c r="AL704" s="1414"/>
      <c r="AM704" s="1414"/>
      <c r="AN704" s="1414"/>
      <c r="AO704" s="1414"/>
      <c r="AP704" s="1414"/>
      <c r="AQ704" s="1414"/>
      <c r="AR704" s="1414"/>
      <c r="AS704" s="1414"/>
      <c r="AT704" s="1414"/>
      <c r="AU704" s="1414"/>
      <c r="AV704" s="1414"/>
      <c r="AW704" s="1414"/>
      <c r="AX704" s="1414"/>
      <c r="AY704" s="1399"/>
      <c r="AZ704" s="1399"/>
      <c r="BA704" s="1399"/>
      <c r="BB704" s="1399"/>
      <c r="BC704" s="1399"/>
      <c r="BD704" s="1399"/>
      <c r="BE704" s="1414"/>
      <c r="BF704" s="1399"/>
      <c r="BG704" s="1399"/>
      <c r="BH704" s="1399"/>
      <c r="BI704" s="1399"/>
      <c r="BJ704" s="1399"/>
      <c r="BK704" s="1399"/>
      <c r="BL704" s="1399"/>
      <c r="BM704" s="1399"/>
      <c r="BN704" s="1399"/>
      <c r="BO704" s="1399"/>
      <c r="BP704" s="1399"/>
      <c r="BQ704" s="1399"/>
      <c r="BR704" s="1399"/>
      <c r="BS704" s="1399"/>
      <c r="BT704" s="1399"/>
      <c r="BU704" s="1399"/>
      <c r="BV704" s="1399"/>
      <c r="BW704" s="1399"/>
      <c r="BX704" s="1399"/>
      <c r="BY704" s="1399"/>
      <c r="BZ704" s="1399"/>
      <c r="CA704" s="1399"/>
      <c r="CB704" s="1399"/>
      <c r="CC704" s="1399"/>
      <c r="CD704" s="1399"/>
      <c r="CE704" s="1399"/>
      <c r="CF704" s="1399"/>
      <c r="CG704" s="1399"/>
      <c r="CH704" s="1399"/>
      <c r="CI704" s="1399"/>
      <c r="CJ704" s="1399"/>
      <c r="CK704" s="1399"/>
      <c r="CL704" s="1399"/>
      <c r="CM704" s="1399"/>
      <c r="CN704" s="1399"/>
      <c r="CO704" s="1399"/>
      <c r="CP704" s="1399"/>
      <c r="CQ704" s="1399"/>
      <c r="CR704" s="1399"/>
      <c r="CS704" s="1399"/>
      <c r="CT704" s="1399"/>
      <c r="CU704" s="1399"/>
      <c r="CV704" s="1399"/>
      <c r="CW704" s="1399"/>
      <c r="CX704" s="1399"/>
      <c r="CY704" s="1399"/>
      <c r="CZ704" s="1399"/>
      <c r="DA704" s="1399"/>
      <c r="DB704" s="1399"/>
      <c r="DC704" s="1399"/>
      <c r="DD704" s="1399"/>
      <c r="DE704" s="1399"/>
      <c r="DF704" s="1399"/>
      <c r="DG704" s="1399"/>
      <c r="DH704" s="1399"/>
      <c r="DI704" s="1399"/>
      <c r="DJ704" s="1399"/>
      <c r="DK704" s="1399"/>
      <c r="DL704" s="1399"/>
      <c r="DM704" s="1399"/>
      <c r="DN704" s="1399"/>
      <c r="DO704" s="1399"/>
      <c r="DP704" s="1399"/>
      <c r="DQ704" s="1399"/>
      <c r="DR704" s="1399"/>
      <c r="DS704" s="1399"/>
      <c r="DT704" s="1399"/>
      <c r="DU704" s="1399"/>
    </row>
    <row r="705" spans="1:125">
      <c r="A705" s="1414"/>
      <c r="B705" s="1414"/>
      <c r="C705" s="1414"/>
      <c r="D705" s="1414"/>
      <c r="E705" s="1414"/>
      <c r="F705" s="1414"/>
      <c r="G705" s="1414"/>
      <c r="H705" s="1414"/>
      <c r="I705" s="1414"/>
      <c r="J705" s="1414"/>
      <c r="K705" s="1414"/>
      <c r="L705" s="1414"/>
      <c r="M705" s="1414"/>
      <c r="N705" s="1414"/>
      <c r="O705" s="1414"/>
      <c r="P705" s="1414"/>
      <c r="Q705" s="1414"/>
      <c r="R705" s="1414"/>
      <c r="S705" s="1414"/>
      <c r="T705" s="1414"/>
      <c r="U705" s="1414"/>
      <c r="V705" s="1414"/>
      <c r="W705" s="1414"/>
      <c r="X705" s="1414"/>
      <c r="Y705" s="1414"/>
      <c r="Z705" s="1414"/>
      <c r="AA705" s="1414"/>
      <c r="AB705" s="1414"/>
      <c r="AC705" s="1414"/>
      <c r="AD705" s="1414"/>
      <c r="AE705" s="1414"/>
      <c r="AF705" s="1414"/>
      <c r="AG705" s="1414"/>
      <c r="AH705" s="1414"/>
      <c r="AI705" s="1414"/>
      <c r="AJ705" s="1414"/>
      <c r="AK705" s="1414"/>
      <c r="AL705" s="1414"/>
      <c r="AM705" s="1414"/>
      <c r="AN705" s="1414"/>
      <c r="AO705" s="1414"/>
      <c r="AP705" s="1414"/>
      <c r="AQ705" s="1414"/>
      <c r="AR705" s="1414"/>
      <c r="AS705" s="1414"/>
      <c r="AT705" s="1414"/>
      <c r="AU705" s="1414"/>
      <c r="AV705" s="1414"/>
      <c r="AW705" s="1414"/>
      <c r="AX705" s="1414"/>
      <c r="AY705" s="1399"/>
      <c r="AZ705" s="1399"/>
      <c r="BA705" s="1399"/>
      <c r="BB705" s="1399"/>
      <c r="BC705" s="1399"/>
      <c r="BD705" s="1399"/>
      <c r="BE705" s="1414"/>
      <c r="BF705" s="1399"/>
      <c r="BG705" s="1399"/>
      <c r="BH705" s="1399"/>
      <c r="BI705" s="1399"/>
      <c r="BJ705" s="1399"/>
      <c r="BK705" s="1399"/>
      <c r="BL705" s="1399"/>
      <c r="BM705" s="1399"/>
      <c r="BN705" s="1399"/>
      <c r="BO705" s="1399"/>
      <c r="BP705" s="1399"/>
      <c r="BQ705" s="1399"/>
      <c r="BR705" s="1399"/>
      <c r="BS705" s="1399"/>
      <c r="BT705" s="1399"/>
      <c r="BU705" s="1399"/>
      <c r="BV705" s="1399"/>
      <c r="BW705" s="1399"/>
      <c r="BX705" s="1399"/>
      <c r="BY705" s="1399"/>
      <c r="BZ705" s="1399"/>
      <c r="CA705" s="1399"/>
      <c r="CB705" s="1399"/>
      <c r="CC705" s="1399"/>
      <c r="CD705" s="1399"/>
      <c r="CE705" s="1399"/>
      <c r="CF705" s="1399"/>
      <c r="CG705" s="1399"/>
      <c r="CH705" s="1399"/>
      <c r="CI705" s="1399"/>
      <c r="CJ705" s="1399"/>
      <c r="CK705" s="1399"/>
      <c r="CL705" s="1399"/>
      <c r="CM705" s="1399"/>
      <c r="CN705" s="1399"/>
      <c r="CO705" s="1399"/>
      <c r="CP705" s="1399"/>
      <c r="CQ705" s="1399"/>
      <c r="CR705" s="1399"/>
      <c r="CS705" s="1399"/>
      <c r="CT705" s="1399"/>
      <c r="CU705" s="1399"/>
      <c r="CV705" s="1399"/>
      <c r="CW705" s="1399"/>
      <c r="CX705" s="1399"/>
      <c r="CY705" s="1399"/>
      <c r="CZ705" s="1399"/>
      <c r="DA705" s="1399"/>
      <c r="DB705" s="1399"/>
      <c r="DC705" s="1399"/>
      <c r="DD705" s="1399"/>
      <c r="DE705" s="1399"/>
      <c r="DF705" s="1399"/>
      <c r="DG705" s="1399"/>
      <c r="DH705" s="1399"/>
      <c r="DI705" s="1399"/>
      <c r="DJ705" s="1399"/>
      <c r="DK705" s="1399"/>
      <c r="DL705" s="1399"/>
      <c r="DM705" s="1399"/>
      <c r="DN705" s="1399"/>
      <c r="DO705" s="1399"/>
      <c r="DP705" s="1399"/>
      <c r="DQ705" s="1399"/>
      <c r="DR705" s="1399"/>
      <c r="DS705" s="1399"/>
      <c r="DT705" s="1399"/>
      <c r="DU705" s="1399"/>
    </row>
    <row r="706" spans="1:125">
      <c r="A706" s="1414"/>
      <c r="B706" s="1414"/>
      <c r="C706" s="1414"/>
      <c r="D706" s="1414"/>
      <c r="E706" s="1414"/>
      <c r="F706" s="1414"/>
      <c r="G706" s="1414"/>
      <c r="H706" s="1414"/>
      <c r="I706" s="1414"/>
      <c r="J706" s="1414"/>
      <c r="K706" s="1414"/>
      <c r="L706" s="1414"/>
      <c r="M706" s="1414"/>
      <c r="N706" s="1414"/>
      <c r="O706" s="1414"/>
      <c r="P706" s="1414"/>
      <c r="Q706" s="1414"/>
      <c r="R706" s="1414"/>
      <c r="S706" s="1414"/>
      <c r="T706" s="1414"/>
      <c r="U706" s="1414"/>
      <c r="V706" s="1414"/>
      <c r="W706" s="1414"/>
      <c r="X706" s="1414"/>
      <c r="Y706" s="1414"/>
      <c r="Z706" s="1414"/>
      <c r="AA706" s="1414"/>
      <c r="AB706" s="1414"/>
      <c r="AC706" s="1414"/>
      <c r="AD706" s="1414"/>
      <c r="AE706" s="1414"/>
      <c r="AF706" s="1414"/>
      <c r="AG706" s="1414"/>
      <c r="AH706" s="1414"/>
      <c r="AI706" s="1414"/>
      <c r="AJ706" s="1414"/>
      <c r="AK706" s="1414"/>
      <c r="AL706" s="1414"/>
      <c r="AM706" s="1414"/>
      <c r="AN706" s="1414"/>
      <c r="AO706" s="1414"/>
      <c r="AP706" s="1414"/>
      <c r="AQ706" s="1414"/>
      <c r="AR706" s="1414"/>
      <c r="AS706" s="1414"/>
      <c r="AT706" s="1414"/>
      <c r="AU706" s="1414"/>
      <c r="AV706" s="1414"/>
      <c r="AW706" s="1414"/>
      <c r="AX706" s="1414"/>
      <c r="AY706" s="1399"/>
      <c r="AZ706" s="1399"/>
      <c r="BA706" s="1399"/>
      <c r="BB706" s="1399"/>
      <c r="BC706" s="1399"/>
      <c r="BD706" s="1399"/>
      <c r="BE706" s="1414"/>
      <c r="BF706" s="1399"/>
      <c r="BG706" s="1399"/>
      <c r="BH706" s="1399"/>
      <c r="BI706" s="1399"/>
      <c r="BJ706" s="1399"/>
      <c r="BK706" s="1399"/>
      <c r="BL706" s="1399"/>
      <c r="BM706" s="1399"/>
      <c r="BN706" s="1399"/>
      <c r="BO706" s="1399"/>
      <c r="BP706" s="1399"/>
      <c r="BQ706" s="1399"/>
      <c r="BR706" s="1399"/>
      <c r="BS706" s="1399"/>
      <c r="BT706" s="1399"/>
      <c r="BU706" s="1399"/>
      <c r="BV706" s="1399"/>
      <c r="BW706" s="1399"/>
      <c r="BX706" s="1399"/>
      <c r="BY706" s="1399"/>
      <c r="BZ706" s="1399"/>
      <c r="CA706" s="1399"/>
      <c r="CB706" s="1399"/>
      <c r="CC706" s="1399"/>
      <c r="CD706" s="1399"/>
      <c r="CE706" s="1399"/>
      <c r="CF706" s="1399"/>
      <c r="CG706" s="1399"/>
      <c r="CH706" s="1399"/>
      <c r="CI706" s="1399"/>
      <c r="CJ706" s="1399"/>
      <c r="CK706" s="1399"/>
      <c r="CL706" s="1399"/>
      <c r="CM706" s="1399"/>
      <c r="CN706" s="1399"/>
      <c r="CO706" s="1399"/>
      <c r="CP706" s="1399"/>
      <c r="CQ706" s="1399"/>
      <c r="CR706" s="1399"/>
      <c r="CS706" s="1399"/>
      <c r="CT706" s="1399"/>
      <c r="CU706" s="1399"/>
      <c r="CV706" s="1399"/>
      <c r="CW706" s="1399"/>
      <c r="CX706" s="1399"/>
      <c r="CY706" s="1399"/>
      <c r="CZ706" s="1399"/>
      <c r="DA706" s="1399"/>
      <c r="DB706" s="1399"/>
      <c r="DC706" s="1399"/>
      <c r="DD706" s="1399"/>
      <c r="DE706" s="1399"/>
      <c r="DF706" s="1399"/>
      <c r="DG706" s="1399"/>
      <c r="DH706" s="1399"/>
      <c r="DI706" s="1399"/>
      <c r="DJ706" s="1399"/>
      <c r="DK706" s="1399"/>
      <c r="DL706" s="1399"/>
      <c r="DM706" s="1399"/>
      <c r="DN706" s="1399"/>
      <c r="DO706" s="1399"/>
      <c r="DP706" s="1399"/>
      <c r="DQ706" s="1399"/>
      <c r="DR706" s="1399"/>
      <c r="DS706" s="1399"/>
      <c r="DT706" s="1399"/>
      <c r="DU706" s="1399"/>
    </row>
    <row r="707" spans="1:125">
      <c r="A707" s="1414"/>
      <c r="B707" s="1414"/>
      <c r="C707" s="1414"/>
      <c r="D707" s="1414"/>
      <c r="E707" s="1414"/>
      <c r="F707" s="1414"/>
      <c r="G707" s="1414"/>
      <c r="H707" s="1414"/>
      <c r="I707" s="1414"/>
      <c r="J707" s="1414"/>
      <c r="K707" s="1414"/>
      <c r="L707" s="1414"/>
      <c r="M707" s="1414"/>
      <c r="N707" s="1414"/>
      <c r="O707" s="1414"/>
      <c r="P707" s="1414"/>
      <c r="Q707" s="1414"/>
      <c r="R707" s="1414"/>
      <c r="S707" s="1414"/>
      <c r="T707" s="1414"/>
      <c r="U707" s="1414"/>
      <c r="V707" s="1414"/>
      <c r="W707" s="1414"/>
      <c r="X707" s="1414"/>
      <c r="Y707" s="1414"/>
      <c r="Z707" s="1414"/>
      <c r="AA707" s="1414"/>
      <c r="AB707" s="1414"/>
      <c r="AC707" s="1414"/>
      <c r="AD707" s="1414"/>
      <c r="AE707" s="1414"/>
      <c r="AF707" s="1414"/>
      <c r="AG707" s="1414"/>
      <c r="AH707" s="1414"/>
      <c r="AI707" s="1414"/>
      <c r="AJ707" s="1414"/>
      <c r="AK707" s="1414"/>
      <c r="AL707" s="1414"/>
      <c r="AM707" s="1414"/>
      <c r="AN707" s="1414"/>
      <c r="AO707" s="1414"/>
      <c r="AP707" s="1414"/>
      <c r="AQ707" s="1414"/>
      <c r="AR707" s="1414"/>
      <c r="AS707" s="1414"/>
      <c r="AT707" s="1414"/>
      <c r="AU707" s="1414"/>
      <c r="AV707" s="1414"/>
      <c r="AW707" s="1414"/>
      <c r="AX707" s="1414"/>
      <c r="AY707" s="1399"/>
      <c r="AZ707" s="1399"/>
      <c r="BA707" s="1399"/>
      <c r="BB707" s="1399"/>
      <c r="BC707" s="1399"/>
      <c r="BD707" s="1399"/>
      <c r="BE707" s="1414"/>
      <c r="BF707" s="1399"/>
      <c r="BG707" s="1399"/>
      <c r="BH707" s="1399"/>
      <c r="BI707" s="1399"/>
      <c r="BJ707" s="1399"/>
      <c r="BK707" s="1399"/>
      <c r="BL707" s="1399"/>
      <c r="BM707" s="1399"/>
      <c r="BN707" s="1399"/>
      <c r="BO707" s="1399"/>
      <c r="BP707" s="1399"/>
      <c r="BQ707" s="1399"/>
      <c r="BR707" s="1399"/>
      <c r="BS707" s="1399"/>
      <c r="BT707" s="1399"/>
      <c r="BU707" s="1399"/>
      <c r="BV707" s="1399"/>
      <c r="BW707" s="1399"/>
      <c r="BX707" s="1399"/>
      <c r="BY707" s="1399"/>
      <c r="BZ707" s="1399"/>
      <c r="CA707" s="1399"/>
      <c r="CB707" s="1399"/>
      <c r="CC707" s="1399"/>
      <c r="CD707" s="1399"/>
      <c r="CE707" s="1399"/>
      <c r="CF707" s="1399"/>
      <c r="CG707" s="1399"/>
      <c r="CH707" s="1399"/>
      <c r="CI707" s="1399"/>
      <c r="CJ707" s="1399"/>
      <c r="CK707" s="1399"/>
      <c r="CL707" s="1399"/>
      <c r="CM707" s="1399"/>
      <c r="CN707" s="1399"/>
      <c r="CO707" s="1399"/>
      <c r="CP707" s="1399"/>
      <c r="CQ707" s="1399"/>
      <c r="CR707" s="1399"/>
      <c r="CS707" s="1399"/>
      <c r="CT707" s="1399"/>
      <c r="CU707" s="1399"/>
      <c r="CV707" s="1399"/>
      <c r="CW707" s="1399"/>
      <c r="CX707" s="1399"/>
      <c r="CY707" s="1399"/>
      <c r="CZ707" s="1399"/>
      <c r="DA707" s="1399"/>
      <c r="DB707" s="1399"/>
      <c r="DC707" s="1399"/>
      <c r="DD707" s="1399"/>
      <c r="DE707" s="1399"/>
      <c r="DF707" s="1399"/>
      <c r="DG707" s="1399"/>
      <c r="DH707" s="1399"/>
      <c r="DI707" s="1399"/>
      <c r="DJ707" s="1399"/>
      <c r="DK707" s="1399"/>
      <c r="DL707" s="1399"/>
      <c r="DM707" s="1399"/>
      <c r="DN707" s="1399"/>
      <c r="DO707" s="1399"/>
      <c r="DP707" s="1399"/>
      <c r="DQ707" s="1399"/>
      <c r="DR707" s="1399"/>
      <c r="DS707" s="1399"/>
      <c r="DT707" s="1399"/>
      <c r="DU707" s="1399"/>
    </row>
    <row r="708" spans="1:125">
      <c r="A708" s="1414"/>
      <c r="B708" s="1414"/>
      <c r="C708" s="1414"/>
      <c r="D708" s="1414"/>
      <c r="E708" s="1414"/>
      <c r="F708" s="1414"/>
      <c r="G708" s="1414"/>
      <c r="H708" s="1414"/>
      <c r="I708" s="1414"/>
      <c r="J708" s="1414"/>
      <c r="K708" s="1414"/>
      <c r="L708" s="1414"/>
      <c r="M708" s="1414"/>
      <c r="N708" s="1414"/>
      <c r="O708" s="1414"/>
      <c r="P708" s="1414"/>
      <c r="Q708" s="1414"/>
      <c r="R708" s="1414"/>
      <c r="S708" s="1414"/>
      <c r="T708" s="1414"/>
      <c r="U708" s="1414"/>
      <c r="V708" s="1414"/>
      <c r="W708" s="1414"/>
      <c r="X708" s="1414"/>
      <c r="Y708" s="1414"/>
      <c r="Z708" s="1414"/>
      <c r="AA708" s="1414"/>
      <c r="AB708" s="1414"/>
      <c r="AC708" s="1414"/>
      <c r="AD708" s="1414"/>
      <c r="AE708" s="1414"/>
      <c r="AF708" s="1414"/>
      <c r="AG708" s="1414"/>
      <c r="AH708" s="1414"/>
      <c r="AI708" s="1414"/>
      <c r="AJ708" s="1414"/>
      <c r="AK708" s="1414"/>
      <c r="AL708" s="1414"/>
      <c r="AM708" s="1414"/>
      <c r="AN708" s="1414"/>
      <c r="AO708" s="1414"/>
      <c r="AP708" s="1414"/>
      <c r="AQ708" s="1414"/>
      <c r="AR708" s="1414"/>
      <c r="AS708" s="1414"/>
      <c r="AT708" s="1414"/>
      <c r="AU708" s="1414"/>
      <c r="AV708" s="1414"/>
      <c r="AW708" s="1414"/>
      <c r="AX708" s="1414"/>
      <c r="AY708" s="1399"/>
      <c r="AZ708" s="1399"/>
      <c r="BA708" s="1399"/>
      <c r="BB708" s="1399"/>
      <c r="BC708" s="1399"/>
      <c r="BD708" s="1399"/>
      <c r="BE708" s="1414"/>
      <c r="BF708" s="1399"/>
      <c r="BG708" s="1399"/>
      <c r="BH708" s="1399"/>
      <c r="BI708" s="1399"/>
      <c r="BJ708" s="1399"/>
      <c r="BK708" s="1399"/>
      <c r="BL708" s="1399"/>
      <c r="BM708" s="1399"/>
      <c r="BN708" s="1399"/>
      <c r="BO708" s="1399"/>
      <c r="BP708" s="1399"/>
      <c r="BQ708" s="1399"/>
      <c r="BR708" s="1399"/>
      <c r="BS708" s="1399"/>
      <c r="BT708" s="1399"/>
      <c r="BU708" s="1399"/>
      <c r="BV708" s="1399"/>
      <c r="BW708" s="1399"/>
      <c r="BX708" s="1399"/>
      <c r="BY708" s="1399"/>
      <c r="BZ708" s="1399"/>
      <c r="CA708" s="1399"/>
      <c r="CB708" s="1399"/>
      <c r="CC708" s="1399"/>
      <c r="CD708" s="1399"/>
      <c r="CE708" s="1399"/>
      <c r="CF708" s="1399"/>
      <c r="CG708" s="1399"/>
      <c r="CH708" s="1399"/>
      <c r="CI708" s="1399"/>
      <c r="CJ708" s="1399"/>
      <c r="CK708" s="1399"/>
      <c r="CL708" s="1399"/>
      <c r="CM708" s="1399"/>
      <c r="CN708" s="1399"/>
      <c r="CO708" s="1399"/>
      <c r="CP708" s="1399"/>
      <c r="CQ708" s="1399"/>
      <c r="CR708" s="1399"/>
      <c r="CS708" s="1399"/>
      <c r="CT708" s="1399"/>
      <c r="CU708" s="1399"/>
      <c r="CV708" s="1399"/>
      <c r="CW708" s="1399"/>
      <c r="CX708" s="1399"/>
      <c r="CY708" s="1399"/>
      <c r="CZ708" s="1399"/>
      <c r="DA708" s="1399"/>
      <c r="DB708" s="1399"/>
      <c r="DC708" s="1399"/>
      <c r="DD708" s="1399"/>
      <c r="DE708" s="1399"/>
      <c r="DF708" s="1399"/>
      <c r="DG708" s="1399"/>
      <c r="DH708" s="1399"/>
      <c r="DI708" s="1399"/>
      <c r="DJ708" s="1399"/>
      <c r="DK708" s="1399"/>
      <c r="DL708" s="1399"/>
      <c r="DM708" s="1399"/>
      <c r="DN708" s="1399"/>
      <c r="DO708" s="1399"/>
      <c r="DP708" s="1399"/>
      <c r="DQ708" s="1399"/>
      <c r="DR708" s="1399"/>
      <c r="DS708" s="1399"/>
      <c r="DT708" s="1399"/>
      <c r="DU708" s="1399"/>
    </row>
    <row r="709" spans="1:125">
      <c r="A709" s="1414"/>
      <c r="B709" s="1414"/>
      <c r="C709" s="1414"/>
      <c r="D709" s="1414"/>
      <c r="E709" s="1414"/>
      <c r="F709" s="1414"/>
      <c r="G709" s="1414"/>
      <c r="H709" s="1414"/>
      <c r="I709" s="1414"/>
      <c r="J709" s="1414"/>
      <c r="K709" s="1414"/>
      <c r="L709" s="1414"/>
      <c r="M709" s="1414"/>
      <c r="N709" s="1414"/>
      <c r="O709" s="1414"/>
      <c r="P709" s="1414"/>
      <c r="Q709" s="1414"/>
      <c r="R709" s="1414"/>
      <c r="S709" s="1414"/>
      <c r="T709" s="1414"/>
      <c r="U709" s="1414"/>
      <c r="V709" s="1414"/>
      <c r="W709" s="1414"/>
      <c r="X709" s="1414"/>
      <c r="Y709" s="1414"/>
      <c r="Z709" s="1414"/>
      <c r="AA709" s="1414"/>
      <c r="AB709" s="1414"/>
      <c r="AC709" s="1414"/>
      <c r="AD709" s="1414"/>
      <c r="AE709" s="1414"/>
      <c r="AF709" s="1414"/>
      <c r="AG709" s="1414"/>
      <c r="AH709" s="1414"/>
      <c r="AI709" s="1414"/>
      <c r="AJ709" s="1414"/>
      <c r="AK709" s="1414"/>
      <c r="AL709" s="1414"/>
      <c r="AM709" s="1414"/>
      <c r="AN709" s="1414"/>
      <c r="AO709" s="1414"/>
      <c r="AP709" s="1414"/>
      <c r="AQ709" s="1414"/>
      <c r="AR709" s="1414"/>
      <c r="AS709" s="1414"/>
      <c r="AT709" s="1414"/>
      <c r="AU709" s="1414"/>
      <c r="AV709" s="1414"/>
      <c r="AW709" s="1414"/>
      <c r="AX709" s="1414"/>
      <c r="AY709" s="1399"/>
      <c r="AZ709" s="1399"/>
      <c r="BA709" s="1399"/>
      <c r="BB709" s="1399"/>
      <c r="BC709" s="1399"/>
      <c r="BD709" s="1399"/>
      <c r="BE709" s="1414"/>
      <c r="BF709" s="1399"/>
      <c r="BG709" s="1399"/>
      <c r="BH709" s="1399"/>
      <c r="BI709" s="1399"/>
      <c r="BJ709" s="1399"/>
      <c r="BK709" s="1399"/>
      <c r="BL709" s="1399"/>
      <c r="BM709" s="1399"/>
      <c r="BN709" s="1399"/>
      <c r="BO709" s="1399"/>
      <c r="BP709" s="1399"/>
      <c r="BQ709" s="1399"/>
      <c r="BR709" s="1399"/>
      <c r="BS709" s="1399"/>
      <c r="BT709" s="1399"/>
      <c r="BU709" s="1399"/>
      <c r="BV709" s="1399"/>
      <c r="BW709" s="1399"/>
      <c r="BX709" s="1399"/>
      <c r="BY709" s="1399"/>
      <c r="BZ709" s="1399"/>
      <c r="CA709" s="1399"/>
      <c r="CB709" s="1399"/>
      <c r="CC709" s="1399"/>
      <c r="CD709" s="1399"/>
      <c r="CE709" s="1399"/>
      <c r="CF709" s="1399"/>
      <c r="CG709" s="1399"/>
      <c r="CH709" s="1399"/>
      <c r="CI709" s="1399"/>
      <c r="CJ709" s="1399"/>
      <c r="CK709" s="1399"/>
      <c r="CL709" s="1399"/>
      <c r="CM709" s="1399"/>
      <c r="CN709" s="1399"/>
      <c r="CO709" s="1399"/>
      <c r="CP709" s="1399"/>
      <c r="CQ709" s="1399"/>
      <c r="CR709" s="1399"/>
      <c r="CS709" s="1399"/>
      <c r="CT709" s="1399"/>
      <c r="CU709" s="1399"/>
      <c r="CV709" s="1399"/>
      <c r="CW709" s="1399"/>
      <c r="CX709" s="1399"/>
      <c r="CY709" s="1399"/>
      <c r="CZ709" s="1399"/>
      <c r="DA709" s="1399"/>
      <c r="DB709" s="1399"/>
      <c r="DC709" s="1399"/>
      <c r="DD709" s="1399"/>
      <c r="DE709" s="1399"/>
      <c r="DF709" s="1399"/>
      <c r="DG709" s="1399"/>
      <c r="DH709" s="1399"/>
      <c r="DI709" s="1399"/>
      <c r="DJ709" s="1399"/>
      <c r="DK709" s="1399"/>
      <c r="DL709" s="1399"/>
      <c r="DM709" s="1399"/>
      <c r="DN709" s="1399"/>
      <c r="DO709" s="1399"/>
      <c r="DP709" s="1399"/>
      <c r="DQ709" s="1399"/>
      <c r="DR709" s="1399"/>
      <c r="DS709" s="1399"/>
      <c r="DT709" s="1399"/>
      <c r="DU709" s="1399"/>
    </row>
    <row r="710" spans="1:125">
      <c r="A710" s="1414"/>
      <c r="B710" s="1414"/>
      <c r="C710" s="1414"/>
      <c r="D710" s="1414"/>
      <c r="E710" s="1414"/>
      <c r="F710" s="1414"/>
      <c r="G710" s="1414"/>
      <c r="H710" s="1414"/>
      <c r="I710" s="1414"/>
      <c r="J710" s="1414"/>
      <c r="K710" s="1414"/>
      <c r="L710" s="1414"/>
      <c r="M710" s="1414"/>
      <c r="N710" s="1414"/>
      <c r="O710" s="1414"/>
      <c r="P710" s="1414"/>
      <c r="Q710" s="1414"/>
      <c r="R710" s="1414"/>
      <c r="S710" s="1414"/>
      <c r="T710" s="1414"/>
      <c r="U710" s="1414"/>
      <c r="V710" s="1414"/>
      <c r="W710" s="1414"/>
      <c r="X710" s="1414"/>
      <c r="Y710" s="1414"/>
      <c r="Z710" s="1414"/>
      <c r="AA710" s="1414"/>
      <c r="AB710" s="1414"/>
      <c r="AC710" s="1414"/>
      <c r="AD710" s="1414"/>
      <c r="AE710" s="1414"/>
      <c r="AF710" s="1414"/>
      <c r="AG710" s="1414"/>
      <c r="AH710" s="1414"/>
      <c r="AI710" s="1414"/>
      <c r="AJ710" s="1414"/>
      <c r="AK710" s="1414"/>
      <c r="AL710" s="1414"/>
      <c r="AM710" s="1414"/>
      <c r="AN710" s="1414"/>
      <c r="AO710" s="1414"/>
      <c r="AP710" s="1414"/>
      <c r="AQ710" s="1414"/>
      <c r="AR710" s="1414"/>
      <c r="AS710" s="1414"/>
      <c r="AT710" s="1414"/>
      <c r="AU710" s="1414"/>
      <c r="AV710" s="1414"/>
      <c r="AW710" s="1414"/>
      <c r="AX710" s="1414"/>
      <c r="AY710" s="1399"/>
      <c r="AZ710" s="1399"/>
      <c r="BA710" s="1399"/>
      <c r="BB710" s="1399"/>
      <c r="BC710" s="1399"/>
      <c r="BD710" s="1399"/>
      <c r="BE710" s="1414"/>
      <c r="BF710" s="1399"/>
      <c r="BG710" s="1399"/>
      <c r="BH710" s="1399"/>
      <c r="BI710" s="1399"/>
      <c r="BJ710" s="1399"/>
      <c r="BK710" s="1399"/>
      <c r="BL710" s="1399"/>
      <c r="BM710" s="1399"/>
      <c r="BN710" s="1399"/>
      <c r="BO710" s="1399"/>
      <c r="BP710" s="1399"/>
      <c r="BQ710" s="1399"/>
      <c r="BR710" s="1399"/>
      <c r="BS710" s="1399"/>
      <c r="BT710" s="1399"/>
      <c r="BU710" s="1399"/>
      <c r="BV710" s="1399"/>
      <c r="BW710" s="1399"/>
      <c r="BX710" s="1399"/>
      <c r="BY710" s="1399"/>
      <c r="BZ710" s="1399"/>
      <c r="CA710" s="1399"/>
      <c r="CB710" s="1399"/>
      <c r="CC710" s="1399"/>
      <c r="CD710" s="1399"/>
      <c r="CE710" s="1399"/>
      <c r="CF710" s="1399"/>
      <c r="CG710" s="1399"/>
      <c r="CH710" s="1399"/>
      <c r="CI710" s="1399"/>
      <c r="CJ710" s="1399"/>
      <c r="CK710" s="1399"/>
      <c r="CL710" s="1399"/>
      <c r="CM710" s="1399"/>
      <c r="CN710" s="1399"/>
      <c r="CO710" s="1399"/>
      <c r="CP710" s="1399"/>
      <c r="CQ710" s="1399"/>
      <c r="CR710" s="1399"/>
      <c r="CS710" s="1399"/>
      <c r="CT710" s="1399"/>
      <c r="CU710" s="1399"/>
      <c r="CV710" s="1399"/>
      <c r="CW710" s="1399"/>
      <c r="CX710" s="1399"/>
      <c r="CY710" s="1399"/>
      <c r="CZ710" s="1399"/>
      <c r="DA710" s="1399"/>
      <c r="DB710" s="1399"/>
      <c r="DC710" s="1399"/>
      <c r="DD710" s="1399"/>
      <c r="DE710" s="1399"/>
      <c r="DF710" s="1399"/>
      <c r="DG710" s="1399"/>
      <c r="DH710" s="1399"/>
      <c r="DI710" s="1399"/>
      <c r="DJ710" s="1399"/>
      <c r="DK710" s="1399"/>
      <c r="DL710" s="1399"/>
      <c r="DM710" s="1399"/>
      <c r="DN710" s="1399"/>
      <c r="DO710" s="1399"/>
      <c r="DP710" s="1399"/>
      <c r="DQ710" s="1399"/>
      <c r="DR710" s="1399"/>
      <c r="DS710" s="1399"/>
      <c r="DT710" s="1399"/>
      <c r="DU710" s="1399"/>
    </row>
    <row r="711" spans="1:125">
      <c r="A711" s="1414"/>
      <c r="B711" s="1414"/>
      <c r="C711" s="1414"/>
      <c r="D711" s="1414"/>
      <c r="E711" s="1414"/>
      <c r="F711" s="1414"/>
      <c r="G711" s="1414"/>
      <c r="H711" s="1414"/>
      <c r="I711" s="1414"/>
      <c r="J711" s="1414"/>
      <c r="K711" s="1414"/>
      <c r="L711" s="1414"/>
      <c r="M711" s="1414"/>
      <c r="N711" s="1414"/>
      <c r="O711" s="1414"/>
      <c r="P711" s="1414"/>
      <c r="Q711" s="1414"/>
      <c r="R711" s="1414"/>
      <c r="S711" s="1414"/>
      <c r="T711" s="1414"/>
      <c r="U711" s="1414"/>
      <c r="V711" s="1414"/>
      <c r="W711" s="1414"/>
      <c r="X711" s="1414"/>
      <c r="Y711" s="1414"/>
      <c r="Z711" s="1414"/>
      <c r="AA711" s="1414"/>
      <c r="AB711" s="1414"/>
      <c r="AC711" s="1414"/>
      <c r="AD711" s="1414"/>
      <c r="AE711" s="1414"/>
      <c r="AF711" s="1414"/>
      <c r="AG711" s="1414"/>
      <c r="AH711" s="1414"/>
      <c r="AI711" s="1414"/>
      <c r="AJ711" s="1414"/>
      <c r="AK711" s="1414"/>
      <c r="AL711" s="1414"/>
      <c r="AM711" s="1414"/>
      <c r="AN711" s="1414"/>
      <c r="AO711" s="1414"/>
      <c r="AP711" s="1414"/>
      <c r="AQ711" s="1414"/>
      <c r="AR711" s="1414"/>
      <c r="AS711" s="1414"/>
      <c r="AT711" s="1414"/>
      <c r="AU711" s="1414"/>
      <c r="AV711" s="1414"/>
      <c r="AW711" s="1414"/>
      <c r="AX711" s="1414"/>
      <c r="AY711" s="1399"/>
      <c r="AZ711" s="1399"/>
      <c r="BA711" s="1399"/>
      <c r="BB711" s="1399"/>
      <c r="BC711" s="1399"/>
      <c r="BD711" s="1399"/>
      <c r="BE711" s="1414"/>
      <c r="BF711" s="1399"/>
      <c r="BG711" s="1399"/>
      <c r="BH711" s="1399"/>
      <c r="BI711" s="1399"/>
      <c r="BJ711" s="1399"/>
      <c r="BK711" s="1399"/>
      <c r="BL711" s="1399"/>
      <c r="BM711" s="1399"/>
      <c r="BN711" s="1399"/>
      <c r="BO711" s="1399"/>
      <c r="BP711" s="1399"/>
      <c r="BQ711" s="1399"/>
      <c r="BR711" s="1399"/>
      <c r="BS711" s="1399"/>
      <c r="BT711" s="1399"/>
      <c r="BU711" s="1399"/>
      <c r="BV711" s="1399"/>
      <c r="BW711" s="1399"/>
      <c r="BX711" s="1399"/>
      <c r="BY711" s="1399"/>
      <c r="BZ711" s="1399"/>
      <c r="CA711" s="1399"/>
      <c r="CB711" s="1399"/>
      <c r="CC711" s="1399"/>
      <c r="CD711" s="1399"/>
      <c r="CE711" s="1399"/>
      <c r="CF711" s="1399"/>
      <c r="CG711" s="1399"/>
      <c r="CH711" s="1399"/>
      <c r="CI711" s="1399"/>
      <c r="CJ711" s="1399"/>
      <c r="CK711" s="1399"/>
      <c r="CL711" s="1399"/>
      <c r="CM711" s="1399"/>
      <c r="CN711" s="1399"/>
      <c r="CO711" s="1399"/>
      <c r="CP711" s="1399"/>
      <c r="CQ711" s="1399"/>
      <c r="CR711" s="1399"/>
      <c r="CS711" s="1399"/>
      <c r="CT711" s="1399"/>
      <c r="CU711" s="1399"/>
      <c r="CV711" s="1399"/>
      <c r="CW711" s="1399"/>
      <c r="CX711" s="1399"/>
      <c r="CY711" s="1399"/>
      <c r="CZ711" s="1399"/>
      <c r="DA711" s="1399"/>
      <c r="DB711" s="1399"/>
      <c r="DC711" s="1399"/>
      <c r="DD711" s="1399"/>
      <c r="DE711" s="1399"/>
      <c r="DF711" s="1399"/>
      <c r="DG711" s="1399"/>
      <c r="DH711" s="1399"/>
      <c r="DI711" s="1399"/>
      <c r="DJ711" s="1399"/>
      <c r="DK711" s="1399"/>
      <c r="DL711" s="1399"/>
      <c r="DM711" s="1399"/>
      <c r="DN711" s="1399"/>
      <c r="DO711" s="1399"/>
      <c r="DP711" s="1399"/>
      <c r="DQ711" s="1399"/>
      <c r="DR711" s="1399"/>
      <c r="DS711" s="1399"/>
      <c r="DT711" s="1399"/>
      <c r="DU711" s="1399"/>
    </row>
    <row r="712" spans="1:125">
      <c r="A712" s="1414"/>
      <c r="B712" s="1414"/>
      <c r="C712" s="1414"/>
      <c r="D712" s="1414"/>
      <c r="E712" s="1414"/>
      <c r="F712" s="1414"/>
      <c r="G712" s="1414"/>
      <c r="H712" s="1414"/>
      <c r="I712" s="1414"/>
      <c r="J712" s="1414"/>
      <c r="K712" s="1414"/>
      <c r="L712" s="1414"/>
      <c r="M712" s="1414"/>
      <c r="N712" s="1414"/>
      <c r="O712" s="1414"/>
      <c r="P712" s="1414"/>
      <c r="Q712" s="1414"/>
      <c r="R712" s="1414"/>
      <c r="S712" s="1414"/>
      <c r="T712" s="1414"/>
      <c r="U712" s="1414"/>
      <c r="V712" s="1414"/>
      <c r="W712" s="1414"/>
      <c r="X712" s="1414"/>
      <c r="Y712" s="1414"/>
      <c r="Z712" s="1414"/>
      <c r="AA712" s="1414"/>
      <c r="AB712" s="1414"/>
      <c r="AC712" s="1414"/>
      <c r="AD712" s="1414"/>
      <c r="AE712" s="1414"/>
      <c r="AF712" s="1414"/>
      <c r="AG712" s="1414"/>
      <c r="AH712" s="1414"/>
      <c r="AI712" s="1414"/>
      <c r="AJ712" s="1414"/>
      <c r="AK712" s="1414"/>
      <c r="AL712" s="1414"/>
      <c r="AM712" s="1414"/>
      <c r="AN712" s="1414"/>
      <c r="AO712" s="1414"/>
      <c r="AP712" s="1414"/>
      <c r="AQ712" s="1414"/>
      <c r="AR712" s="1414"/>
      <c r="AS712" s="1414"/>
      <c r="AT712" s="1414"/>
      <c r="AU712" s="1414"/>
      <c r="AV712" s="1414"/>
      <c r="AW712" s="1414"/>
      <c r="AX712" s="1414"/>
      <c r="AY712" s="1399"/>
      <c r="AZ712" s="1399"/>
      <c r="BA712" s="1399"/>
      <c r="BB712" s="1399"/>
      <c r="BC712" s="1399"/>
      <c r="BD712" s="1399"/>
      <c r="BE712" s="1414"/>
      <c r="BF712" s="1399"/>
      <c r="BG712" s="1399"/>
      <c r="BH712" s="1399"/>
      <c r="BI712" s="1399"/>
      <c r="BJ712" s="1399"/>
      <c r="BK712" s="1399"/>
      <c r="BL712" s="1399"/>
      <c r="BM712" s="1399"/>
      <c r="BN712" s="1399"/>
      <c r="BO712" s="1399"/>
      <c r="BP712" s="1399"/>
      <c r="BQ712" s="1399"/>
      <c r="BR712" s="1399"/>
      <c r="BS712" s="1399"/>
      <c r="BT712" s="1399"/>
      <c r="BU712" s="1399"/>
      <c r="BV712" s="1399"/>
      <c r="BW712" s="1399"/>
      <c r="BX712" s="1399"/>
      <c r="BY712" s="1399"/>
      <c r="BZ712" s="1399"/>
      <c r="CA712" s="1399"/>
      <c r="CB712" s="1399"/>
      <c r="CC712" s="1399"/>
      <c r="CD712" s="1399"/>
      <c r="CE712" s="1399"/>
      <c r="CF712" s="1399"/>
      <c r="CG712" s="1399"/>
      <c r="CH712" s="1399"/>
      <c r="CI712" s="1399"/>
      <c r="CJ712" s="1399"/>
      <c r="CK712" s="1399"/>
      <c r="CL712" s="1399"/>
      <c r="CM712" s="1399"/>
      <c r="CN712" s="1399"/>
      <c r="CO712" s="1399"/>
      <c r="CP712" s="1399"/>
      <c r="CQ712" s="1399"/>
      <c r="CR712" s="1399"/>
      <c r="CS712" s="1399"/>
      <c r="CT712" s="1399"/>
      <c r="CU712" s="1399"/>
      <c r="CV712" s="1399"/>
      <c r="CW712" s="1399"/>
      <c r="CX712" s="1399"/>
      <c r="CY712" s="1399"/>
      <c r="CZ712" s="1399"/>
      <c r="DA712" s="1399"/>
      <c r="DB712" s="1399"/>
      <c r="DC712" s="1399"/>
      <c r="DD712" s="1399"/>
      <c r="DE712" s="1399"/>
      <c r="DF712" s="1399"/>
      <c r="DG712" s="1399"/>
      <c r="DH712" s="1399"/>
      <c r="DI712" s="1399"/>
      <c r="DJ712" s="1399"/>
      <c r="DK712" s="1399"/>
      <c r="DL712" s="1399"/>
      <c r="DM712" s="1399"/>
      <c r="DN712" s="1399"/>
      <c r="DO712" s="1399"/>
      <c r="DP712" s="1399"/>
      <c r="DQ712" s="1399"/>
      <c r="DR712" s="1399"/>
      <c r="DS712" s="1399"/>
      <c r="DT712" s="1399"/>
      <c r="DU712" s="1399"/>
    </row>
    <row r="713" spans="1:125">
      <c r="A713" s="1414"/>
      <c r="B713" s="1414"/>
      <c r="C713" s="1414"/>
      <c r="D713" s="1414"/>
      <c r="E713" s="1414"/>
      <c r="F713" s="1414"/>
      <c r="G713" s="1414"/>
      <c r="H713" s="1414"/>
      <c r="I713" s="1414"/>
      <c r="J713" s="1414"/>
      <c r="K713" s="1414"/>
      <c r="L713" s="1414"/>
      <c r="M713" s="1414"/>
      <c r="N713" s="1414"/>
      <c r="O713" s="1414"/>
      <c r="P713" s="1414"/>
      <c r="Q713" s="1414"/>
      <c r="R713" s="1414"/>
      <c r="S713" s="1414"/>
      <c r="T713" s="1414"/>
      <c r="U713" s="1414"/>
      <c r="V713" s="1414"/>
      <c r="W713" s="1414"/>
      <c r="X713" s="1414"/>
      <c r="Y713" s="1414"/>
      <c r="Z713" s="1414"/>
      <c r="AA713" s="1414"/>
      <c r="AB713" s="1414"/>
      <c r="AC713" s="1414"/>
      <c r="AD713" s="1414"/>
      <c r="AE713" s="1414"/>
      <c r="AF713" s="1414"/>
      <c r="AG713" s="1414"/>
      <c r="AH713" s="1414"/>
      <c r="AI713" s="1414"/>
      <c r="AJ713" s="1414"/>
      <c r="AK713" s="1414"/>
      <c r="AL713" s="1414"/>
      <c r="AM713" s="1414"/>
      <c r="AN713" s="1414"/>
      <c r="AO713" s="1414"/>
      <c r="AP713" s="1414"/>
      <c r="AQ713" s="1414"/>
      <c r="AR713" s="1414"/>
      <c r="AS713" s="1414"/>
      <c r="AT713" s="1414"/>
      <c r="AU713" s="1414"/>
      <c r="AV713" s="1414"/>
      <c r="AW713" s="1414"/>
      <c r="AX713" s="1414"/>
      <c r="AY713" s="1399"/>
      <c r="AZ713" s="1399"/>
      <c r="BA713" s="1399"/>
      <c r="BB713" s="1399"/>
      <c r="BC713" s="1399"/>
      <c r="BD713" s="1399"/>
      <c r="BE713" s="1414"/>
      <c r="BF713" s="1399"/>
      <c r="BG713" s="1399"/>
      <c r="BH713" s="1399"/>
      <c r="BI713" s="1399"/>
      <c r="BJ713" s="1399"/>
      <c r="BK713" s="1399"/>
      <c r="BL713" s="1399"/>
      <c r="BM713" s="1399"/>
      <c r="BN713" s="1399"/>
      <c r="BO713" s="1399"/>
      <c r="BP713" s="1399"/>
      <c r="BQ713" s="1399"/>
      <c r="BR713" s="1399"/>
      <c r="BS713" s="1399"/>
      <c r="BT713" s="1399"/>
      <c r="BU713" s="1399"/>
      <c r="BV713" s="1399"/>
      <c r="BW713" s="1399"/>
      <c r="BX713" s="1399"/>
      <c r="BY713" s="1399"/>
      <c r="BZ713" s="1399"/>
      <c r="CA713" s="1399"/>
      <c r="CB713" s="1399"/>
      <c r="CC713" s="1399"/>
      <c r="CD713" s="1399"/>
      <c r="CE713" s="1399"/>
      <c r="CF713" s="1399"/>
      <c r="CG713" s="1399"/>
      <c r="CH713" s="1399"/>
      <c r="CI713" s="1399"/>
      <c r="CJ713" s="1399"/>
      <c r="CK713" s="1399"/>
      <c r="CL713" s="1399"/>
      <c r="CM713" s="1399"/>
      <c r="CN713" s="1399"/>
      <c r="CO713" s="1399"/>
      <c r="CP713" s="1399"/>
      <c r="CQ713" s="1399"/>
      <c r="CR713" s="1399"/>
      <c r="CS713" s="1399"/>
      <c r="CT713" s="1399"/>
      <c r="CU713" s="1399"/>
      <c r="CV713" s="1399"/>
      <c r="CW713" s="1399"/>
      <c r="CX713" s="1399"/>
      <c r="CY713" s="1399"/>
      <c r="CZ713" s="1399"/>
      <c r="DA713" s="1399"/>
      <c r="DB713" s="1399"/>
      <c r="DC713" s="1399"/>
      <c r="DD713" s="1399"/>
      <c r="DE713" s="1399"/>
      <c r="DF713" s="1399"/>
      <c r="DG713" s="1399"/>
      <c r="DH713" s="1399"/>
      <c r="DI713" s="1399"/>
      <c r="DJ713" s="1399"/>
      <c r="DK713" s="1399"/>
      <c r="DL713" s="1399"/>
      <c r="DM713" s="1399"/>
      <c r="DN713" s="1399"/>
      <c r="DO713" s="1399"/>
      <c r="DP713" s="1399"/>
      <c r="DQ713" s="1399"/>
      <c r="DR713" s="1399"/>
      <c r="DS713" s="1399"/>
      <c r="DT713" s="1399"/>
      <c r="DU713" s="1399"/>
    </row>
    <row r="714" spans="1:125">
      <c r="A714" s="1414"/>
      <c r="B714" s="1414"/>
      <c r="C714" s="1414"/>
      <c r="D714" s="1414"/>
      <c r="E714" s="1414"/>
      <c r="F714" s="1414"/>
      <c r="G714" s="1414"/>
      <c r="H714" s="1414"/>
      <c r="I714" s="1414"/>
      <c r="J714" s="1414"/>
      <c r="K714" s="1414"/>
      <c r="L714" s="1414"/>
      <c r="M714" s="1414"/>
      <c r="N714" s="1414"/>
      <c r="O714" s="1414"/>
      <c r="P714" s="1414"/>
      <c r="Q714" s="1414"/>
      <c r="R714" s="1414"/>
      <c r="S714" s="1414"/>
      <c r="T714" s="1414"/>
      <c r="U714" s="1414"/>
      <c r="V714" s="1414"/>
      <c r="W714" s="1414"/>
      <c r="X714" s="1414"/>
      <c r="Y714" s="1414"/>
      <c r="Z714" s="1414"/>
      <c r="AA714" s="1414"/>
      <c r="AB714" s="1414"/>
      <c r="AC714" s="1414"/>
      <c r="AD714" s="1414"/>
      <c r="AE714" s="1414"/>
      <c r="AF714" s="1414"/>
      <c r="AG714" s="1414"/>
      <c r="AH714" s="1414"/>
      <c r="AI714" s="1414"/>
      <c r="AJ714" s="1414"/>
      <c r="AK714" s="1414"/>
      <c r="AL714" s="1414"/>
      <c r="AM714" s="1414"/>
      <c r="AN714" s="1414"/>
      <c r="AO714" s="1414"/>
      <c r="AP714" s="1414"/>
      <c r="AQ714" s="1414"/>
      <c r="AR714" s="1414"/>
      <c r="AS714" s="1414"/>
      <c r="AT714" s="1414"/>
      <c r="AU714" s="1414"/>
      <c r="AV714" s="1414"/>
      <c r="AW714" s="1414"/>
      <c r="AX714" s="1414"/>
      <c r="AY714" s="1399"/>
      <c r="AZ714" s="1399"/>
      <c r="BA714" s="1399"/>
      <c r="BB714" s="1399"/>
      <c r="BC714" s="1399"/>
      <c r="BD714" s="1399"/>
      <c r="BE714" s="1414"/>
      <c r="BF714" s="1399"/>
      <c r="BG714" s="1399"/>
      <c r="BH714" s="1399"/>
      <c r="BI714" s="1399"/>
      <c r="BJ714" s="1399"/>
      <c r="BK714" s="1399"/>
      <c r="BL714" s="1399"/>
      <c r="BM714" s="1399"/>
      <c r="BN714" s="1399"/>
      <c r="BO714" s="1399"/>
      <c r="BP714" s="1399"/>
      <c r="BQ714" s="1399"/>
      <c r="BR714" s="1399"/>
      <c r="BS714" s="1399"/>
      <c r="BT714" s="1399"/>
      <c r="BU714" s="1399"/>
      <c r="BV714" s="1399"/>
      <c r="BW714" s="1399"/>
      <c r="BX714" s="1399"/>
      <c r="BY714" s="1399"/>
      <c r="BZ714" s="1399"/>
      <c r="CA714" s="1399"/>
      <c r="CB714" s="1399"/>
      <c r="CC714" s="1399"/>
      <c r="CD714" s="1399"/>
      <c r="CE714" s="1399"/>
      <c r="CF714" s="1399"/>
      <c r="CG714" s="1399"/>
      <c r="CH714" s="1399"/>
      <c r="CI714" s="1399"/>
      <c r="CJ714" s="1399"/>
      <c r="CK714" s="1399"/>
      <c r="CL714" s="1399"/>
      <c r="CM714" s="1399"/>
      <c r="CN714" s="1399"/>
      <c r="CO714" s="1399"/>
      <c r="CP714" s="1399"/>
      <c r="CQ714" s="1399"/>
      <c r="CR714" s="1399"/>
      <c r="CS714" s="1399"/>
      <c r="CT714" s="1399"/>
      <c r="CU714" s="1399"/>
      <c r="CV714" s="1399"/>
      <c r="CW714" s="1399"/>
      <c r="CX714" s="1399"/>
      <c r="CY714" s="1399"/>
      <c r="CZ714" s="1399"/>
      <c r="DA714" s="1399"/>
      <c r="DB714" s="1399"/>
      <c r="DC714" s="1399"/>
      <c r="DD714" s="1399"/>
      <c r="DE714" s="1399"/>
      <c r="DF714" s="1399"/>
      <c r="DG714" s="1399"/>
      <c r="DH714" s="1399"/>
      <c r="DI714" s="1399"/>
      <c r="DJ714" s="1399"/>
      <c r="DK714" s="1399"/>
      <c r="DL714" s="1399"/>
      <c r="DM714" s="1399"/>
      <c r="DN714" s="1399"/>
      <c r="DO714" s="1399"/>
      <c r="DP714" s="1399"/>
      <c r="DQ714" s="1399"/>
      <c r="DR714" s="1399"/>
      <c r="DS714" s="1399"/>
      <c r="DT714" s="1399"/>
      <c r="DU714" s="1399"/>
    </row>
    <row r="715" spans="1:125">
      <c r="A715" s="1414"/>
      <c r="B715" s="1414"/>
      <c r="C715" s="1414"/>
      <c r="D715" s="1414"/>
      <c r="E715" s="1414"/>
      <c r="F715" s="1414"/>
      <c r="G715" s="1414"/>
      <c r="H715" s="1414"/>
      <c r="I715" s="1414"/>
      <c r="J715" s="1414"/>
      <c r="K715" s="1414"/>
      <c r="L715" s="1414"/>
      <c r="M715" s="1414"/>
      <c r="N715" s="1414"/>
      <c r="O715" s="1414"/>
      <c r="P715" s="1414"/>
      <c r="Q715" s="1414"/>
      <c r="R715" s="1414"/>
      <c r="S715" s="1414"/>
      <c r="T715" s="1414"/>
      <c r="U715" s="1414"/>
      <c r="V715" s="1414"/>
      <c r="W715" s="1414"/>
      <c r="X715" s="1414"/>
      <c r="Y715" s="1414"/>
      <c r="Z715" s="1414"/>
      <c r="AA715" s="1414"/>
      <c r="AB715" s="1414"/>
      <c r="AC715" s="1414"/>
      <c r="AD715" s="1414"/>
      <c r="AE715" s="1414"/>
      <c r="AF715" s="1414"/>
      <c r="AG715" s="1414"/>
      <c r="AH715" s="1414"/>
      <c r="AI715" s="1414"/>
      <c r="AJ715" s="1414"/>
      <c r="AK715" s="1414"/>
      <c r="AL715" s="1414"/>
      <c r="AM715" s="1414"/>
      <c r="AN715" s="1414"/>
      <c r="AO715" s="1414"/>
      <c r="AP715" s="1414"/>
      <c r="AQ715" s="1414"/>
      <c r="AR715" s="1414"/>
      <c r="AS715" s="1414"/>
      <c r="AT715" s="1414"/>
      <c r="AU715" s="1414"/>
      <c r="AV715" s="1414"/>
      <c r="AW715" s="1414"/>
      <c r="AX715" s="1414"/>
      <c r="AY715" s="1399"/>
      <c r="AZ715" s="1399"/>
      <c r="BA715" s="1399"/>
      <c r="BB715" s="1399"/>
      <c r="BC715" s="1399"/>
      <c r="BD715" s="1399"/>
      <c r="BE715" s="1414"/>
      <c r="BF715" s="1399"/>
      <c r="BG715" s="1399"/>
      <c r="BH715" s="1399"/>
      <c r="BI715" s="1399"/>
      <c r="BJ715" s="1399"/>
      <c r="BK715" s="1399"/>
      <c r="BL715" s="1399"/>
      <c r="BM715" s="1399"/>
      <c r="BN715" s="1399"/>
      <c r="BO715" s="1399"/>
      <c r="BP715" s="1399"/>
      <c r="BQ715" s="1399"/>
      <c r="BR715" s="1399"/>
      <c r="BS715" s="1399"/>
      <c r="BT715" s="1399"/>
      <c r="BU715" s="1399"/>
      <c r="BV715" s="1399"/>
      <c r="BW715" s="1399"/>
      <c r="BX715" s="1399"/>
      <c r="BY715" s="1399"/>
      <c r="BZ715" s="1399"/>
      <c r="CA715" s="1399"/>
      <c r="CB715" s="1399"/>
      <c r="CC715" s="1399"/>
      <c r="CD715" s="1399"/>
      <c r="CE715" s="1399"/>
      <c r="CF715" s="1399"/>
      <c r="CG715" s="1399"/>
      <c r="CH715" s="1399"/>
      <c r="CI715" s="1399"/>
      <c r="CJ715" s="1399"/>
      <c r="CK715" s="1399"/>
      <c r="CL715" s="1399"/>
      <c r="CM715" s="1399"/>
      <c r="CN715" s="1399"/>
      <c r="CO715" s="1399"/>
      <c r="CP715" s="1399"/>
      <c r="CQ715" s="1399"/>
      <c r="CR715" s="1399"/>
      <c r="CS715" s="1399"/>
      <c r="CT715" s="1399"/>
      <c r="CU715" s="1399"/>
      <c r="CV715" s="1399"/>
      <c r="CW715" s="1399"/>
      <c r="CX715" s="1399"/>
      <c r="CY715" s="1399"/>
      <c r="CZ715" s="1399"/>
      <c r="DA715" s="1399"/>
      <c r="DB715" s="1399"/>
      <c r="DC715" s="1399"/>
      <c r="DD715" s="1399"/>
      <c r="DE715" s="1399"/>
      <c r="DF715" s="1399"/>
      <c r="DG715" s="1399"/>
      <c r="DH715" s="1399"/>
      <c r="DI715" s="1399"/>
      <c r="DJ715" s="1399"/>
      <c r="DK715" s="1399"/>
      <c r="DL715" s="1399"/>
      <c r="DM715" s="1399"/>
      <c r="DN715" s="1399"/>
      <c r="DO715" s="1399"/>
      <c r="DP715" s="1399"/>
      <c r="DQ715" s="1399"/>
      <c r="DR715" s="1399"/>
      <c r="DS715" s="1399"/>
      <c r="DT715" s="1399"/>
      <c r="DU715" s="1399"/>
    </row>
    <row r="716" spans="1:125">
      <c r="A716" s="1414"/>
      <c r="B716" s="1414"/>
      <c r="C716" s="1414"/>
      <c r="D716" s="1414"/>
      <c r="E716" s="1414"/>
      <c r="F716" s="1414"/>
      <c r="G716" s="1414"/>
      <c r="H716" s="1414"/>
      <c r="I716" s="1414"/>
      <c r="J716" s="1414"/>
      <c r="K716" s="1414"/>
      <c r="L716" s="1414"/>
      <c r="M716" s="1414"/>
      <c r="N716" s="1414"/>
      <c r="O716" s="1414"/>
      <c r="P716" s="1414"/>
      <c r="Q716" s="1414"/>
      <c r="R716" s="1414"/>
      <c r="S716" s="1414"/>
      <c r="T716" s="1414"/>
      <c r="U716" s="1414"/>
      <c r="V716" s="1414"/>
      <c r="W716" s="1414"/>
      <c r="X716" s="1414"/>
      <c r="Y716" s="1414"/>
      <c r="Z716" s="1414"/>
      <c r="AA716" s="1414"/>
      <c r="AB716" s="1414"/>
      <c r="AC716" s="1414"/>
      <c r="AD716" s="1414"/>
      <c r="AE716" s="1414"/>
      <c r="AF716" s="1414"/>
      <c r="AG716" s="1414"/>
      <c r="AH716" s="1414"/>
      <c r="AI716" s="1414"/>
      <c r="AJ716" s="1414"/>
      <c r="AK716" s="1414"/>
      <c r="AL716" s="1414"/>
      <c r="AM716" s="1414"/>
      <c r="AN716" s="1414"/>
      <c r="AO716" s="1414"/>
      <c r="AP716" s="1414"/>
      <c r="AQ716" s="1414"/>
      <c r="AR716" s="1414"/>
      <c r="AS716" s="1414"/>
      <c r="AT716" s="1414"/>
      <c r="AU716" s="1414"/>
      <c r="AV716" s="1414"/>
      <c r="AW716" s="1414"/>
      <c r="AX716" s="1414"/>
      <c r="AY716" s="1399"/>
      <c r="AZ716" s="1399"/>
      <c r="BA716" s="1399"/>
      <c r="BB716" s="1399"/>
      <c r="BC716" s="1399"/>
      <c r="BD716" s="1399"/>
      <c r="BE716" s="1414"/>
      <c r="BF716" s="1399"/>
      <c r="BG716" s="1399"/>
      <c r="BH716" s="1399"/>
      <c r="BI716" s="1399"/>
      <c r="BJ716" s="1399"/>
      <c r="BK716" s="1399"/>
      <c r="BL716" s="1399"/>
      <c r="BM716" s="1399"/>
      <c r="BN716" s="1399"/>
      <c r="BO716" s="1399"/>
      <c r="BP716" s="1399"/>
      <c r="BQ716" s="1399"/>
      <c r="BR716" s="1399"/>
      <c r="BS716" s="1399"/>
      <c r="BT716" s="1399"/>
      <c r="BU716" s="1399"/>
      <c r="BV716" s="1399"/>
      <c r="BW716" s="1399"/>
      <c r="BX716" s="1399"/>
      <c r="BY716" s="1399"/>
      <c r="BZ716" s="1399"/>
      <c r="CA716" s="1399"/>
      <c r="CB716" s="1399"/>
      <c r="CC716" s="1399"/>
      <c r="CD716" s="1399"/>
      <c r="CE716" s="1399"/>
      <c r="CF716" s="1399"/>
      <c r="CG716" s="1399"/>
      <c r="CH716" s="1399"/>
      <c r="CI716" s="1399"/>
      <c r="CJ716" s="1399"/>
      <c r="CK716" s="1399"/>
      <c r="CL716" s="1399"/>
      <c r="CM716" s="1399"/>
      <c r="CN716" s="1399"/>
      <c r="CO716" s="1399"/>
      <c r="CP716" s="1399"/>
      <c r="CQ716" s="1399"/>
      <c r="CR716" s="1399"/>
      <c r="CS716" s="1399"/>
      <c r="CT716" s="1399"/>
      <c r="CU716" s="1399"/>
      <c r="CV716" s="1399"/>
      <c r="CW716" s="1399"/>
      <c r="CX716" s="1399"/>
      <c r="CY716" s="1399"/>
      <c r="CZ716" s="1399"/>
      <c r="DA716" s="1399"/>
      <c r="DB716" s="1399"/>
      <c r="DC716" s="1399"/>
      <c r="DD716" s="1399"/>
      <c r="DE716" s="1399"/>
      <c r="DF716" s="1399"/>
      <c r="DG716" s="1399"/>
      <c r="DH716" s="1399"/>
      <c r="DI716" s="1399"/>
      <c r="DJ716" s="1399"/>
      <c r="DK716" s="1399"/>
      <c r="DL716" s="1399"/>
      <c r="DM716" s="1399"/>
      <c r="DN716" s="1399"/>
      <c r="DO716" s="1399"/>
      <c r="DP716" s="1399"/>
      <c r="DQ716" s="1399"/>
      <c r="DR716" s="1399"/>
      <c r="DS716" s="1399"/>
      <c r="DT716" s="1399"/>
      <c r="DU716" s="1399"/>
    </row>
    <row r="717" spans="1:125">
      <c r="A717" s="1414"/>
      <c r="B717" s="1414"/>
      <c r="C717" s="1414"/>
      <c r="D717" s="1414"/>
      <c r="E717" s="1414"/>
      <c r="F717" s="1414"/>
      <c r="G717" s="1414"/>
      <c r="H717" s="1414"/>
      <c r="I717" s="1414"/>
      <c r="J717" s="1414"/>
      <c r="K717" s="1414"/>
      <c r="L717" s="1414"/>
      <c r="M717" s="1414"/>
      <c r="N717" s="1414"/>
      <c r="O717" s="1414"/>
      <c r="P717" s="1414"/>
      <c r="Q717" s="1414"/>
      <c r="R717" s="1414"/>
      <c r="S717" s="1414"/>
      <c r="T717" s="1414"/>
      <c r="U717" s="1414"/>
      <c r="V717" s="1414"/>
      <c r="W717" s="1414"/>
      <c r="X717" s="1414"/>
      <c r="Y717" s="1414"/>
      <c r="Z717" s="1414"/>
      <c r="AA717" s="1414"/>
      <c r="AB717" s="1414"/>
      <c r="AC717" s="1414"/>
      <c r="AD717" s="1414"/>
      <c r="AE717" s="1414"/>
      <c r="AF717" s="1414"/>
      <c r="AG717" s="1414"/>
      <c r="AH717" s="1414"/>
      <c r="AI717" s="1414"/>
      <c r="AJ717" s="1414"/>
      <c r="AK717" s="1414"/>
      <c r="AL717" s="1414"/>
      <c r="AM717" s="1414"/>
      <c r="AN717" s="1414"/>
      <c r="AO717" s="1414"/>
      <c r="AP717" s="1414"/>
      <c r="AQ717" s="1414"/>
      <c r="AR717" s="1414"/>
      <c r="AS717" s="1414"/>
      <c r="AT717" s="1414"/>
      <c r="AU717" s="1414"/>
      <c r="AV717" s="1414"/>
      <c r="AW717" s="1414"/>
      <c r="AX717" s="1414"/>
      <c r="AY717" s="1399"/>
      <c r="AZ717" s="1399"/>
      <c r="BA717" s="1399"/>
      <c r="BB717" s="1399"/>
      <c r="BC717" s="1399"/>
      <c r="BD717" s="1399"/>
      <c r="BE717" s="1414"/>
      <c r="BF717" s="1399"/>
      <c r="BG717" s="1399"/>
      <c r="BH717" s="1399"/>
      <c r="BI717" s="1399"/>
      <c r="BJ717" s="1399"/>
      <c r="BK717" s="1399"/>
      <c r="BL717" s="1399"/>
      <c r="BM717" s="1399"/>
      <c r="BN717" s="1399"/>
      <c r="BO717" s="1399"/>
      <c r="BP717" s="1399"/>
      <c r="BQ717" s="1399"/>
      <c r="BR717" s="1399"/>
      <c r="BS717" s="1399"/>
      <c r="BT717" s="1399"/>
      <c r="BU717" s="1399"/>
      <c r="BV717" s="1399"/>
      <c r="BW717" s="1399"/>
      <c r="BX717" s="1399"/>
      <c r="BY717" s="1399"/>
      <c r="BZ717" s="1399"/>
      <c r="CA717" s="1399"/>
      <c r="CB717" s="1399"/>
      <c r="CC717" s="1399"/>
      <c r="CD717" s="1399"/>
      <c r="CE717" s="1399"/>
      <c r="CF717" s="1399"/>
      <c r="CG717" s="1399"/>
      <c r="CH717" s="1399"/>
      <c r="CI717" s="1399"/>
      <c r="CJ717" s="1399"/>
      <c r="CK717" s="1399"/>
      <c r="CL717" s="1399"/>
      <c r="CM717" s="1399"/>
      <c r="CN717" s="1399"/>
      <c r="CO717" s="1399"/>
      <c r="CP717" s="1399"/>
      <c r="CQ717" s="1399"/>
      <c r="CR717" s="1399"/>
      <c r="CS717" s="1399"/>
      <c r="CT717" s="1399"/>
      <c r="CU717" s="1399"/>
      <c r="CV717" s="1399"/>
      <c r="CW717" s="1399"/>
      <c r="CX717" s="1399"/>
      <c r="CY717" s="1399"/>
      <c r="CZ717" s="1399"/>
      <c r="DA717" s="1399"/>
      <c r="DB717" s="1399"/>
      <c r="DC717" s="1399"/>
      <c r="DD717" s="1399"/>
      <c r="DE717" s="1399"/>
      <c r="DF717" s="1399"/>
      <c r="DG717" s="1399"/>
      <c r="DH717" s="1399"/>
      <c r="DI717" s="1399"/>
      <c r="DJ717" s="1399"/>
      <c r="DK717" s="1399"/>
      <c r="DL717" s="1399"/>
      <c r="DM717" s="1399"/>
      <c r="DN717" s="1399"/>
      <c r="DO717" s="1399"/>
      <c r="DP717" s="1399"/>
      <c r="DQ717" s="1399"/>
      <c r="DR717" s="1399"/>
      <c r="DS717" s="1399"/>
      <c r="DT717" s="1399"/>
      <c r="DU717" s="1399"/>
    </row>
    <row r="718" spans="1:125">
      <c r="A718" s="1414"/>
      <c r="B718" s="1414"/>
      <c r="C718" s="1414"/>
      <c r="D718" s="1414"/>
      <c r="E718" s="1414"/>
      <c r="F718" s="1414"/>
      <c r="G718" s="1414"/>
      <c r="H718" s="1414"/>
      <c r="I718" s="1414"/>
      <c r="J718" s="1414"/>
      <c r="K718" s="1414"/>
      <c r="L718" s="1414"/>
      <c r="M718" s="1414"/>
      <c r="N718" s="1414"/>
      <c r="O718" s="1414"/>
      <c r="P718" s="1414"/>
      <c r="Q718" s="1414"/>
      <c r="R718" s="1414"/>
      <c r="S718" s="1414"/>
      <c r="T718" s="1414"/>
      <c r="U718" s="1414"/>
      <c r="V718" s="1414"/>
      <c r="W718" s="1414"/>
      <c r="X718" s="1414"/>
      <c r="Y718" s="1414"/>
      <c r="Z718" s="1414"/>
      <c r="AA718" s="1414"/>
      <c r="AB718" s="1414"/>
      <c r="AC718" s="1414"/>
      <c r="AD718" s="1414"/>
      <c r="AE718" s="1414"/>
      <c r="AF718" s="1414"/>
      <c r="AG718" s="1414"/>
      <c r="AH718" s="1414"/>
      <c r="AI718" s="1414"/>
      <c r="AJ718" s="1414"/>
      <c r="AK718" s="1414"/>
      <c r="AL718" s="1414"/>
      <c r="AM718" s="1414"/>
      <c r="AN718" s="1414"/>
      <c r="AO718" s="1414"/>
      <c r="AP718" s="1414"/>
      <c r="AQ718" s="1414"/>
      <c r="AR718" s="1414"/>
      <c r="AS718" s="1414"/>
      <c r="AT718" s="1414"/>
      <c r="AU718" s="1414"/>
      <c r="AV718" s="1414"/>
      <c r="AW718" s="1414"/>
      <c r="AX718" s="1414"/>
      <c r="AY718" s="1399"/>
      <c r="AZ718" s="1399"/>
      <c r="BA718" s="1399"/>
      <c r="BB718" s="1399"/>
      <c r="BC718" s="1399"/>
      <c r="BD718" s="1399"/>
      <c r="BE718" s="1414"/>
      <c r="BF718" s="1399"/>
      <c r="BG718" s="1399"/>
      <c r="BH718" s="1399"/>
      <c r="BI718" s="1399"/>
      <c r="BJ718" s="1399"/>
      <c r="BK718" s="1399"/>
      <c r="BL718" s="1399"/>
      <c r="BM718" s="1399"/>
      <c r="BN718" s="1399"/>
      <c r="BO718" s="1399"/>
      <c r="BP718" s="1399"/>
      <c r="BQ718" s="1399"/>
      <c r="BR718" s="1399"/>
      <c r="BS718" s="1399"/>
      <c r="BT718" s="1399"/>
      <c r="BU718" s="1399"/>
      <c r="BV718" s="1399"/>
      <c r="BW718" s="1399"/>
      <c r="BX718" s="1399"/>
      <c r="BY718" s="1399"/>
      <c r="BZ718" s="1399"/>
      <c r="CA718" s="1399"/>
      <c r="CB718" s="1399"/>
      <c r="CC718" s="1399"/>
      <c r="CD718" s="1399"/>
      <c r="CE718" s="1399"/>
      <c r="CF718" s="1399"/>
      <c r="CG718" s="1399"/>
      <c r="CH718" s="1399"/>
      <c r="CI718" s="1399"/>
      <c r="CJ718" s="1399"/>
      <c r="CK718" s="1399"/>
      <c r="CL718" s="1399"/>
      <c r="CM718" s="1399"/>
      <c r="CN718" s="1399"/>
      <c r="CO718" s="1399"/>
      <c r="CP718" s="1399"/>
      <c r="CQ718" s="1399"/>
      <c r="CR718" s="1399"/>
      <c r="CS718" s="1399"/>
      <c r="CT718" s="1399"/>
      <c r="CU718" s="1399"/>
      <c r="CV718" s="1399"/>
      <c r="CW718" s="1399"/>
      <c r="CX718" s="1399"/>
      <c r="CY718" s="1399"/>
      <c r="CZ718" s="1399"/>
      <c r="DA718" s="1399"/>
      <c r="DB718" s="1399"/>
      <c r="DC718" s="1399"/>
      <c r="DD718" s="1399"/>
      <c r="DE718" s="1399"/>
      <c r="DF718" s="1399"/>
      <c r="DG718" s="1399"/>
      <c r="DH718" s="1399"/>
      <c r="DI718" s="1399"/>
      <c r="DJ718" s="1399"/>
      <c r="DK718" s="1399"/>
      <c r="DL718" s="1399"/>
      <c r="DM718" s="1399"/>
      <c r="DN718" s="1399"/>
      <c r="DO718" s="1399"/>
      <c r="DP718" s="1399"/>
      <c r="DQ718" s="1399"/>
      <c r="DR718" s="1399"/>
      <c r="DS718" s="1399"/>
      <c r="DT718" s="1399"/>
      <c r="DU718" s="1399"/>
    </row>
    <row r="719" spans="1:125">
      <c r="A719" s="1414"/>
      <c r="B719" s="1414"/>
      <c r="C719" s="1414"/>
      <c r="D719" s="1414"/>
      <c r="E719" s="1414"/>
      <c r="F719" s="1414"/>
      <c r="G719" s="1414"/>
      <c r="H719" s="1414"/>
      <c r="I719" s="1414"/>
      <c r="J719" s="1414"/>
      <c r="K719" s="1414"/>
      <c r="L719" s="1414"/>
      <c r="M719" s="1414"/>
      <c r="N719" s="1414"/>
      <c r="O719" s="1414"/>
      <c r="P719" s="1414"/>
      <c r="Q719" s="1414"/>
      <c r="R719" s="1414"/>
      <c r="S719" s="1414"/>
      <c r="T719" s="1414"/>
      <c r="U719" s="1414"/>
      <c r="V719" s="1414"/>
      <c r="W719" s="1414"/>
      <c r="X719" s="1414"/>
      <c r="Y719" s="1414"/>
      <c r="Z719" s="1414"/>
      <c r="AA719" s="1414"/>
      <c r="AB719" s="1414"/>
      <c r="AC719" s="1414"/>
      <c r="AD719" s="1414"/>
      <c r="AE719" s="1414"/>
      <c r="AF719" s="1414"/>
      <c r="AG719" s="1414"/>
      <c r="AH719" s="1414"/>
      <c r="AI719" s="1414"/>
      <c r="AJ719" s="1414"/>
      <c r="AK719" s="1414"/>
      <c r="AL719" s="1414"/>
      <c r="AM719" s="1414"/>
      <c r="AN719" s="1414"/>
      <c r="AO719" s="1414"/>
      <c r="AP719" s="1414"/>
      <c r="AQ719" s="1414"/>
      <c r="AR719" s="1414"/>
      <c r="AS719" s="1414"/>
      <c r="AT719" s="1414"/>
      <c r="AU719" s="1414"/>
      <c r="AV719" s="1414"/>
      <c r="AW719" s="1414"/>
      <c r="AX719" s="1414"/>
      <c r="AY719" s="1399"/>
      <c r="AZ719" s="1399"/>
      <c r="BA719" s="1399"/>
      <c r="BB719" s="1399"/>
      <c r="BC719" s="1399"/>
      <c r="BD719" s="1399"/>
      <c r="BE719" s="1414"/>
      <c r="BF719" s="1399"/>
      <c r="BG719" s="1399"/>
      <c r="BH719" s="1399"/>
      <c r="BI719" s="1399"/>
      <c r="BJ719" s="1399"/>
      <c r="BK719" s="1399"/>
      <c r="BL719" s="1399"/>
      <c r="BM719" s="1399"/>
      <c r="BN719" s="1399"/>
      <c r="BO719" s="1399"/>
      <c r="BP719" s="1399"/>
      <c r="BQ719" s="1399"/>
      <c r="BR719" s="1399"/>
      <c r="BS719" s="1399"/>
      <c r="BT719" s="1399"/>
      <c r="BU719" s="1399"/>
      <c r="BV719" s="1399"/>
      <c r="BW719" s="1399"/>
      <c r="BX719" s="1399"/>
      <c r="BY719" s="1399"/>
      <c r="BZ719" s="1399"/>
      <c r="CA719" s="1399"/>
      <c r="CB719" s="1399"/>
      <c r="CC719" s="1399"/>
      <c r="CD719" s="1399"/>
      <c r="CE719" s="1399"/>
      <c r="CF719" s="1399"/>
      <c r="CG719" s="1399"/>
      <c r="CH719" s="1399"/>
      <c r="CI719" s="1399"/>
      <c r="CJ719" s="1399"/>
      <c r="CK719" s="1399"/>
      <c r="CL719" s="1399"/>
      <c r="CM719" s="1399"/>
      <c r="CN719" s="1399"/>
      <c r="CO719" s="1399"/>
      <c r="CP719" s="1399"/>
      <c r="CQ719" s="1399"/>
      <c r="CR719" s="1399"/>
      <c r="CS719" s="1399"/>
      <c r="CT719" s="1399"/>
      <c r="CU719" s="1399"/>
      <c r="CV719" s="1399"/>
      <c r="CW719" s="1399"/>
      <c r="CX719" s="1399"/>
      <c r="CY719" s="1399"/>
      <c r="CZ719" s="1399"/>
      <c r="DA719" s="1399"/>
      <c r="DB719" s="1399"/>
      <c r="DC719" s="1399"/>
      <c r="DD719" s="1399"/>
      <c r="DE719" s="1399"/>
      <c r="DF719" s="1399"/>
      <c r="DG719" s="1399"/>
      <c r="DH719" s="1399"/>
      <c r="DI719" s="1399"/>
      <c r="DJ719" s="1399"/>
      <c r="DK719" s="1399"/>
      <c r="DL719" s="1399"/>
      <c r="DM719" s="1399"/>
      <c r="DN719" s="1399"/>
      <c r="DO719" s="1399"/>
      <c r="DP719" s="1399"/>
      <c r="DQ719" s="1399"/>
      <c r="DR719" s="1399"/>
      <c r="DS719" s="1399"/>
      <c r="DT719" s="1399"/>
      <c r="DU719" s="1399"/>
    </row>
    <row r="720" spans="1:125">
      <c r="A720" s="1414"/>
      <c r="B720" s="1414"/>
      <c r="C720" s="1414"/>
      <c r="D720" s="1414"/>
      <c r="E720" s="1414"/>
      <c r="F720" s="1414"/>
      <c r="G720" s="1414"/>
      <c r="H720" s="1414"/>
      <c r="I720" s="1414"/>
      <c r="J720" s="1414"/>
      <c r="K720" s="1414"/>
      <c r="L720" s="1414"/>
      <c r="M720" s="1414"/>
      <c r="N720" s="1414"/>
      <c r="O720" s="1414"/>
      <c r="P720" s="1414"/>
      <c r="Q720" s="1414"/>
      <c r="R720" s="1414"/>
      <c r="S720" s="1414"/>
      <c r="T720" s="1414"/>
      <c r="U720" s="1414"/>
      <c r="V720" s="1414"/>
      <c r="W720" s="1414"/>
      <c r="X720" s="1414"/>
      <c r="Y720" s="1414"/>
      <c r="Z720" s="1414"/>
      <c r="AA720" s="1414"/>
      <c r="AB720" s="1414"/>
      <c r="AC720" s="1414"/>
      <c r="AD720" s="1414"/>
      <c r="AE720" s="1414"/>
      <c r="AF720" s="1414"/>
      <c r="AG720" s="1414"/>
      <c r="AH720" s="1414"/>
      <c r="AI720" s="1414"/>
      <c r="AJ720" s="1414"/>
      <c r="AK720" s="1414"/>
      <c r="AL720" s="1414"/>
      <c r="AM720" s="1414"/>
      <c r="AN720" s="1414"/>
      <c r="AO720" s="1414"/>
      <c r="AP720" s="1414"/>
      <c r="AQ720" s="1414"/>
      <c r="AR720" s="1414"/>
      <c r="AS720" s="1414"/>
      <c r="AT720" s="1414"/>
      <c r="AU720" s="1414"/>
      <c r="AV720" s="1414"/>
      <c r="AW720" s="1414"/>
      <c r="AX720" s="1414"/>
      <c r="AY720" s="1399"/>
      <c r="AZ720" s="1399"/>
      <c r="BA720" s="1399"/>
      <c r="BB720" s="1399"/>
      <c r="BC720" s="1399"/>
      <c r="BD720" s="1399"/>
      <c r="BE720" s="1414"/>
      <c r="BF720" s="1399"/>
      <c r="BG720" s="1399"/>
      <c r="BH720" s="1399"/>
      <c r="BI720" s="1399"/>
      <c r="BJ720" s="1399"/>
      <c r="BK720" s="1399"/>
      <c r="BL720" s="1399"/>
      <c r="BM720" s="1399"/>
      <c r="BN720" s="1399"/>
      <c r="BO720" s="1399"/>
      <c r="BP720" s="1399"/>
      <c r="BQ720" s="1399"/>
      <c r="BR720" s="1399"/>
      <c r="BS720" s="1399"/>
      <c r="BT720" s="1399"/>
      <c r="BU720" s="1399"/>
      <c r="BV720" s="1399"/>
      <c r="BW720" s="1399"/>
      <c r="BX720" s="1399"/>
      <c r="BY720" s="1399"/>
      <c r="BZ720" s="1399"/>
      <c r="CA720" s="1399"/>
      <c r="CB720" s="1399"/>
      <c r="CC720" s="1399"/>
      <c r="CD720" s="1399"/>
      <c r="CE720" s="1399"/>
      <c r="CF720" s="1399"/>
      <c r="CG720" s="1399"/>
      <c r="CH720" s="1399"/>
      <c r="CI720" s="1399"/>
      <c r="CJ720" s="1399"/>
      <c r="CK720" s="1399"/>
      <c r="CL720" s="1399"/>
      <c r="CM720" s="1399"/>
      <c r="CN720" s="1399"/>
      <c r="CO720" s="1399"/>
      <c r="CP720" s="1399"/>
      <c r="CQ720" s="1399"/>
      <c r="CR720" s="1399"/>
      <c r="CS720" s="1399"/>
      <c r="CT720" s="1399"/>
      <c r="CU720" s="1399"/>
      <c r="CV720" s="1399"/>
      <c r="CW720" s="1399"/>
      <c r="CX720" s="1399"/>
      <c r="CY720" s="1399"/>
      <c r="CZ720" s="1399"/>
      <c r="DA720" s="1399"/>
      <c r="DB720" s="1399"/>
      <c r="DC720" s="1399"/>
      <c r="DD720" s="1399"/>
      <c r="DE720" s="1399"/>
      <c r="DF720" s="1399"/>
      <c r="DG720" s="1399"/>
      <c r="DH720" s="1399"/>
      <c r="DI720" s="1399"/>
      <c r="DJ720" s="1399"/>
      <c r="DK720" s="1399"/>
      <c r="DL720" s="1399"/>
      <c r="DM720" s="1399"/>
      <c r="DN720" s="1399"/>
      <c r="DO720" s="1399"/>
      <c r="DP720" s="1399"/>
      <c r="DQ720" s="1399"/>
      <c r="DR720" s="1399"/>
      <c r="DS720" s="1399"/>
      <c r="DT720" s="1399"/>
      <c r="DU720" s="1399"/>
    </row>
    <row r="721" spans="1:125">
      <c r="A721" s="1414"/>
      <c r="B721" s="1414"/>
      <c r="C721" s="1414"/>
      <c r="D721" s="1414"/>
      <c r="E721" s="1414"/>
      <c r="F721" s="1414"/>
      <c r="G721" s="1414"/>
      <c r="H721" s="1414"/>
      <c r="I721" s="1414"/>
      <c r="J721" s="1414"/>
      <c r="K721" s="1414"/>
      <c r="L721" s="1414"/>
      <c r="M721" s="1414"/>
      <c r="N721" s="1414"/>
      <c r="O721" s="1414"/>
      <c r="P721" s="1414"/>
      <c r="Q721" s="1414"/>
      <c r="R721" s="1414"/>
      <c r="S721" s="1414"/>
      <c r="T721" s="1414"/>
      <c r="U721" s="1414"/>
      <c r="V721" s="1414"/>
      <c r="W721" s="1414"/>
      <c r="X721" s="1414"/>
      <c r="Y721" s="1414"/>
      <c r="Z721" s="1414"/>
      <c r="AA721" s="1414"/>
      <c r="AB721" s="1414"/>
      <c r="AC721" s="1414"/>
      <c r="AD721" s="1414"/>
      <c r="AE721" s="1414"/>
      <c r="AF721" s="1414"/>
      <c r="AG721" s="1414"/>
      <c r="AH721" s="1414"/>
      <c r="AI721" s="1414"/>
      <c r="AJ721" s="1414"/>
      <c r="AK721" s="1414"/>
      <c r="AL721" s="1414"/>
      <c r="AM721" s="1414"/>
      <c r="AN721" s="1414"/>
      <c r="AO721" s="1414"/>
      <c r="AP721" s="1414"/>
      <c r="AQ721" s="1414"/>
      <c r="AR721" s="1414"/>
      <c r="AS721" s="1414"/>
      <c r="AT721" s="1414"/>
      <c r="AU721" s="1414"/>
      <c r="AV721" s="1414"/>
      <c r="AW721" s="1414"/>
      <c r="AX721" s="1414"/>
      <c r="AY721" s="1399"/>
      <c r="AZ721" s="1399"/>
      <c r="BA721" s="1399"/>
      <c r="BB721" s="1399"/>
      <c r="BC721" s="1399"/>
      <c r="BD721" s="1399"/>
      <c r="BE721" s="1414"/>
      <c r="BF721" s="1399"/>
      <c r="BG721" s="1399"/>
      <c r="BH721" s="1399"/>
      <c r="BI721" s="1399"/>
      <c r="BJ721" s="1399"/>
      <c r="BK721" s="1399"/>
      <c r="BL721" s="1399"/>
      <c r="BM721" s="1399"/>
      <c r="BN721" s="1399"/>
      <c r="BO721" s="1399"/>
      <c r="BP721" s="1399"/>
      <c r="BQ721" s="1399"/>
      <c r="BR721" s="1399"/>
      <c r="BS721" s="1399"/>
      <c r="BT721" s="1399"/>
      <c r="BU721" s="1399"/>
      <c r="BV721" s="1399"/>
      <c r="BW721" s="1399"/>
      <c r="BX721" s="1399"/>
      <c r="BY721" s="1399"/>
      <c r="BZ721" s="1399"/>
      <c r="CA721" s="1399"/>
      <c r="CB721" s="1399"/>
      <c r="CC721" s="1399"/>
      <c r="CD721" s="1399"/>
      <c r="CE721" s="1399"/>
      <c r="CF721" s="1399"/>
      <c r="CG721" s="1399"/>
      <c r="CH721" s="1399"/>
      <c r="CI721" s="1399"/>
      <c r="CJ721" s="1399"/>
      <c r="CK721" s="1399"/>
      <c r="CL721" s="1399"/>
      <c r="CM721" s="1399"/>
      <c r="CN721" s="1399"/>
      <c r="CO721" s="1399"/>
      <c r="CP721" s="1399"/>
      <c r="CQ721" s="1399"/>
      <c r="CR721" s="1399"/>
      <c r="CS721" s="1399"/>
      <c r="CT721" s="1399"/>
      <c r="CU721" s="1399"/>
      <c r="CV721" s="1399"/>
      <c r="CW721" s="1399"/>
      <c r="CX721" s="1399"/>
      <c r="CY721" s="1399"/>
      <c r="CZ721" s="1399"/>
      <c r="DA721" s="1399"/>
      <c r="DB721" s="1399"/>
      <c r="DC721" s="1399"/>
      <c r="DD721" s="1399"/>
      <c r="DE721" s="1399"/>
      <c r="DF721" s="1399"/>
      <c r="DG721" s="1399"/>
      <c r="DH721" s="1399"/>
      <c r="DI721" s="1399"/>
      <c r="DJ721" s="1399"/>
      <c r="DK721" s="1399"/>
      <c r="DL721" s="1399"/>
      <c r="DM721" s="1399"/>
      <c r="DN721" s="1399"/>
      <c r="DO721" s="1399"/>
      <c r="DP721" s="1399"/>
      <c r="DQ721" s="1399"/>
      <c r="DR721" s="1399"/>
      <c r="DS721" s="1399"/>
      <c r="DT721" s="1399"/>
      <c r="DU721" s="1399"/>
    </row>
    <row r="722" spans="1:125">
      <c r="A722" s="1414"/>
      <c r="B722" s="1414"/>
      <c r="C722" s="1414"/>
      <c r="D722" s="1414"/>
      <c r="E722" s="1414"/>
      <c r="F722" s="1414"/>
      <c r="G722" s="1414"/>
      <c r="H722" s="1414"/>
      <c r="I722" s="1414"/>
      <c r="J722" s="1414"/>
      <c r="K722" s="1414"/>
      <c r="L722" s="1414"/>
      <c r="M722" s="1414"/>
      <c r="N722" s="1414"/>
      <c r="O722" s="1414"/>
      <c r="P722" s="1414"/>
      <c r="Q722" s="1414"/>
      <c r="R722" s="1414"/>
      <c r="S722" s="1414"/>
      <c r="T722" s="1414"/>
      <c r="U722" s="1414"/>
      <c r="V722" s="1414"/>
      <c r="W722" s="1414"/>
      <c r="X722" s="1414"/>
      <c r="Y722" s="1414"/>
      <c r="Z722" s="1414"/>
      <c r="AA722" s="1414"/>
      <c r="AB722" s="1414"/>
      <c r="AC722" s="1414"/>
      <c r="AD722" s="1414"/>
      <c r="AE722" s="1414"/>
      <c r="AF722" s="1414"/>
      <c r="AG722" s="1414"/>
      <c r="AH722" s="1414"/>
      <c r="AI722" s="1414"/>
      <c r="AJ722" s="1414"/>
      <c r="AK722" s="1414"/>
      <c r="AL722" s="1414"/>
      <c r="AM722" s="1414"/>
      <c r="AN722" s="1414"/>
      <c r="AO722" s="1414"/>
      <c r="AP722" s="1414"/>
      <c r="AQ722" s="1414"/>
      <c r="AR722" s="1414"/>
      <c r="AS722" s="1414"/>
      <c r="AT722" s="1414"/>
      <c r="AU722" s="1414"/>
      <c r="AV722" s="1414"/>
      <c r="AW722" s="1414"/>
      <c r="AX722" s="1414"/>
      <c r="AY722" s="1399"/>
      <c r="AZ722" s="1399"/>
      <c r="BA722" s="1399"/>
      <c r="BB722" s="1399"/>
      <c r="BC722" s="1399"/>
      <c r="BD722" s="1399"/>
      <c r="BE722" s="1414"/>
      <c r="BF722" s="1399"/>
      <c r="BG722" s="1399"/>
      <c r="BH722" s="1399"/>
      <c r="BI722" s="1399"/>
      <c r="BJ722" s="1399"/>
      <c r="BK722" s="1399"/>
      <c r="BL722" s="1399"/>
      <c r="BM722" s="1399"/>
      <c r="BN722" s="1399"/>
      <c r="BO722" s="1399"/>
      <c r="BP722" s="1399"/>
      <c r="BQ722" s="1399"/>
      <c r="BR722" s="1399"/>
      <c r="BS722" s="1399"/>
      <c r="BT722" s="1399"/>
      <c r="BU722" s="1399"/>
      <c r="BV722" s="1399"/>
      <c r="BW722" s="1399"/>
      <c r="BX722" s="1399"/>
      <c r="BY722" s="1399"/>
      <c r="BZ722" s="1399"/>
      <c r="CA722" s="1399"/>
      <c r="CB722" s="1399"/>
      <c r="CC722" s="1399"/>
      <c r="CD722" s="1399"/>
      <c r="CE722" s="1399"/>
      <c r="CF722" s="1399"/>
      <c r="CG722" s="1399"/>
      <c r="CH722" s="1399"/>
      <c r="CI722" s="1399"/>
      <c r="CJ722" s="1399"/>
      <c r="CK722" s="1399"/>
      <c r="CL722" s="1399"/>
      <c r="CM722" s="1399"/>
      <c r="CN722" s="1399"/>
      <c r="CO722" s="1399"/>
      <c r="CP722" s="1399"/>
      <c r="CQ722" s="1399"/>
      <c r="CR722" s="1399"/>
      <c r="CS722" s="1399"/>
      <c r="CT722" s="1399"/>
      <c r="CU722" s="1399"/>
      <c r="CV722" s="1399"/>
      <c r="CW722" s="1399"/>
      <c r="CX722" s="1399"/>
      <c r="CY722" s="1399"/>
      <c r="CZ722" s="1399"/>
      <c r="DA722" s="1399"/>
      <c r="DB722" s="1399"/>
      <c r="DC722" s="1399"/>
      <c r="DD722" s="1399"/>
      <c r="DE722" s="1399"/>
      <c r="DF722" s="1399"/>
      <c r="DG722" s="1399"/>
      <c r="DH722" s="1399"/>
      <c r="DI722" s="1399"/>
      <c r="DJ722" s="1399"/>
      <c r="DK722" s="1399"/>
      <c r="DL722" s="1399"/>
      <c r="DM722" s="1399"/>
      <c r="DN722" s="1399"/>
      <c r="DO722" s="1399"/>
      <c r="DP722" s="1399"/>
      <c r="DQ722" s="1399"/>
      <c r="DR722" s="1399"/>
      <c r="DS722" s="1399"/>
      <c r="DT722" s="1399"/>
      <c r="DU722" s="1399"/>
    </row>
    <row r="723" spans="1:125">
      <c r="A723" s="1414"/>
      <c r="B723" s="1414"/>
      <c r="C723" s="1414"/>
      <c r="D723" s="1414"/>
      <c r="E723" s="1414"/>
      <c r="F723" s="1414"/>
      <c r="G723" s="1414"/>
      <c r="H723" s="1414"/>
      <c r="I723" s="1414"/>
      <c r="J723" s="1414"/>
      <c r="K723" s="1414"/>
      <c r="L723" s="1414"/>
      <c r="M723" s="1414"/>
      <c r="N723" s="1414"/>
      <c r="O723" s="1414"/>
      <c r="P723" s="1414"/>
      <c r="Q723" s="1414"/>
      <c r="R723" s="1414"/>
      <c r="S723" s="1414"/>
      <c r="T723" s="1414"/>
      <c r="U723" s="1414"/>
      <c r="V723" s="1414"/>
      <c r="W723" s="1414"/>
      <c r="X723" s="1414"/>
      <c r="Y723" s="1414"/>
      <c r="Z723" s="1414"/>
      <c r="AA723" s="1414"/>
      <c r="AB723" s="1414"/>
      <c r="AC723" s="1414"/>
      <c r="AD723" s="1414"/>
      <c r="AE723" s="1414"/>
      <c r="AF723" s="1414"/>
      <c r="AG723" s="1414"/>
      <c r="AH723" s="1414"/>
      <c r="AI723" s="1414"/>
      <c r="AJ723" s="1414"/>
      <c r="AK723" s="1414"/>
      <c r="AL723" s="1414"/>
      <c r="AM723" s="1414"/>
      <c r="AN723" s="1414"/>
      <c r="AO723" s="1414"/>
      <c r="AP723" s="1414"/>
      <c r="AQ723" s="1414"/>
      <c r="AR723" s="1414"/>
      <c r="AS723" s="1414"/>
      <c r="AT723" s="1414"/>
      <c r="AU723" s="1414"/>
      <c r="AV723" s="1414"/>
      <c r="AW723" s="1414"/>
      <c r="AX723" s="1414"/>
      <c r="AY723" s="1399"/>
      <c r="AZ723" s="1399"/>
      <c r="BA723" s="1399"/>
      <c r="BB723" s="1399"/>
      <c r="BC723" s="1399"/>
      <c r="BD723" s="1399"/>
      <c r="BE723" s="1414"/>
      <c r="BF723" s="1399"/>
      <c r="BG723" s="1399"/>
      <c r="BH723" s="1399"/>
      <c r="BI723" s="1399"/>
      <c r="BJ723" s="1399"/>
      <c r="BK723" s="1399"/>
      <c r="BL723" s="1399"/>
      <c r="BM723" s="1399"/>
      <c r="BN723" s="1399"/>
      <c r="BO723" s="1399"/>
      <c r="BP723" s="1399"/>
      <c r="BQ723" s="1399"/>
      <c r="BR723" s="1399"/>
      <c r="BS723" s="1399"/>
      <c r="BT723" s="1399"/>
      <c r="BU723" s="1399"/>
      <c r="BV723" s="1399"/>
      <c r="BW723" s="1399"/>
      <c r="BX723" s="1399"/>
      <c r="BY723" s="1399"/>
      <c r="BZ723" s="1399"/>
      <c r="CA723" s="1399"/>
      <c r="CB723" s="1399"/>
      <c r="CC723" s="1399"/>
      <c r="CD723" s="1399"/>
      <c r="CE723" s="1399"/>
      <c r="CF723" s="1399"/>
      <c r="CG723" s="1399"/>
      <c r="CH723" s="1399"/>
      <c r="CI723" s="1399"/>
      <c r="CJ723" s="1399"/>
      <c r="CK723" s="1399"/>
      <c r="CL723" s="1399"/>
      <c r="CM723" s="1399"/>
      <c r="CN723" s="1399"/>
      <c r="CO723" s="1399"/>
      <c r="CP723" s="1399"/>
      <c r="CQ723" s="1399"/>
      <c r="CR723" s="1399"/>
      <c r="CS723" s="1399"/>
      <c r="CT723" s="1399"/>
      <c r="CU723" s="1399"/>
      <c r="CV723" s="1399"/>
      <c r="CW723" s="1399"/>
      <c r="CX723" s="1399"/>
      <c r="CY723" s="1399"/>
      <c r="CZ723" s="1399"/>
      <c r="DA723" s="1399"/>
      <c r="DB723" s="1399"/>
      <c r="DC723" s="1399"/>
      <c r="DD723" s="1399"/>
      <c r="DE723" s="1399"/>
      <c r="DF723" s="1399"/>
      <c r="DG723" s="1399"/>
      <c r="DH723" s="1399"/>
      <c r="DI723" s="1399"/>
      <c r="DJ723" s="1399"/>
      <c r="DK723" s="1399"/>
      <c r="DL723" s="1399"/>
      <c r="DM723" s="1399"/>
      <c r="DN723" s="1399"/>
      <c r="DO723" s="1399"/>
      <c r="DP723" s="1399"/>
      <c r="DQ723" s="1399"/>
      <c r="DR723" s="1399"/>
      <c r="DS723" s="1399"/>
      <c r="DT723" s="1399"/>
      <c r="DU723" s="1399"/>
    </row>
    <row r="724" spans="1:125">
      <c r="A724" s="1414"/>
      <c r="B724" s="1414"/>
      <c r="C724" s="1414"/>
      <c r="D724" s="1414"/>
      <c r="E724" s="1414"/>
      <c r="F724" s="1414"/>
      <c r="G724" s="1414"/>
      <c r="H724" s="1414"/>
      <c r="I724" s="1414"/>
      <c r="J724" s="1414"/>
      <c r="K724" s="1414"/>
      <c r="L724" s="1414"/>
      <c r="M724" s="1414"/>
      <c r="N724" s="1414"/>
      <c r="O724" s="1414"/>
      <c r="P724" s="1414"/>
      <c r="Q724" s="1414"/>
      <c r="R724" s="1414"/>
      <c r="S724" s="1414"/>
      <c r="T724" s="1414"/>
      <c r="U724" s="1414"/>
      <c r="V724" s="1414"/>
      <c r="W724" s="1414"/>
      <c r="X724" s="1414"/>
      <c r="Y724" s="1414"/>
      <c r="Z724" s="1414"/>
      <c r="AA724" s="1414"/>
      <c r="AB724" s="1414"/>
      <c r="AC724" s="1414"/>
      <c r="AD724" s="1414"/>
      <c r="AE724" s="1414"/>
      <c r="AF724" s="1414"/>
      <c r="AG724" s="1414"/>
      <c r="AH724" s="1414"/>
      <c r="AI724" s="1414"/>
      <c r="AJ724" s="1414"/>
      <c r="AK724" s="1414"/>
      <c r="AL724" s="1414"/>
      <c r="AM724" s="1414"/>
      <c r="AN724" s="1414"/>
      <c r="AO724" s="1414"/>
      <c r="AP724" s="1414"/>
      <c r="AQ724" s="1414"/>
      <c r="AR724" s="1414"/>
      <c r="AS724" s="1414"/>
      <c r="AT724" s="1414"/>
      <c r="AU724" s="1414"/>
      <c r="AV724" s="1414"/>
      <c r="AW724" s="1414"/>
      <c r="AX724" s="1414"/>
      <c r="AY724" s="1399"/>
      <c r="AZ724" s="1399"/>
      <c r="BA724" s="1399"/>
      <c r="BB724" s="1399"/>
      <c r="BC724" s="1399"/>
      <c r="BD724" s="1399"/>
      <c r="BE724" s="1414"/>
      <c r="BF724" s="1399"/>
      <c r="BG724" s="1399"/>
      <c r="BH724" s="1399"/>
      <c r="BI724" s="1399"/>
      <c r="BJ724" s="1399"/>
      <c r="BK724" s="1399"/>
      <c r="BL724" s="1399"/>
      <c r="BM724" s="1399"/>
      <c r="BN724" s="1399"/>
      <c r="BO724" s="1399"/>
      <c r="BP724" s="1399"/>
      <c r="BQ724" s="1399"/>
      <c r="BR724" s="1399"/>
      <c r="BS724" s="1399"/>
      <c r="BT724" s="1399"/>
      <c r="BU724" s="1399"/>
      <c r="BV724" s="1399"/>
      <c r="BW724" s="1399"/>
      <c r="BX724" s="1399"/>
      <c r="BY724" s="1399"/>
      <c r="BZ724" s="1399"/>
      <c r="CA724" s="1399"/>
      <c r="CB724" s="1399"/>
      <c r="CC724" s="1399"/>
      <c r="CD724" s="1399"/>
      <c r="CE724" s="1399"/>
      <c r="CF724" s="1399"/>
      <c r="CG724" s="1399"/>
      <c r="CH724" s="1399"/>
      <c r="CI724" s="1399"/>
      <c r="CJ724" s="1399"/>
      <c r="CK724" s="1399"/>
      <c r="CL724" s="1399"/>
      <c r="CM724" s="1399"/>
      <c r="CN724" s="1399"/>
      <c r="CO724" s="1399"/>
      <c r="CP724" s="1399"/>
      <c r="CQ724" s="1399"/>
      <c r="CR724" s="1399"/>
      <c r="CS724" s="1399"/>
      <c r="CT724" s="1399"/>
      <c r="CU724" s="1399"/>
      <c r="CV724" s="1399"/>
      <c r="CW724" s="1399"/>
      <c r="CX724" s="1399"/>
      <c r="CY724" s="1399"/>
      <c r="CZ724" s="1399"/>
      <c r="DA724" s="1399"/>
      <c r="DB724" s="1399"/>
      <c r="DC724" s="1399"/>
      <c r="DD724" s="1399"/>
      <c r="DE724" s="1399"/>
      <c r="DF724" s="1399"/>
      <c r="DG724" s="1399"/>
      <c r="DH724" s="1399"/>
      <c r="DI724" s="1399"/>
      <c r="DJ724" s="1399"/>
      <c r="DK724" s="1399"/>
      <c r="DL724" s="1399"/>
      <c r="DM724" s="1399"/>
      <c r="DN724" s="1399"/>
      <c r="DO724" s="1399"/>
      <c r="DP724" s="1399"/>
      <c r="DQ724" s="1399"/>
      <c r="DR724" s="1399"/>
      <c r="DS724" s="1399"/>
      <c r="DT724" s="1399"/>
      <c r="DU724" s="1399"/>
    </row>
    <row r="725" spans="1:125">
      <c r="A725" s="1414"/>
      <c r="B725" s="1414"/>
      <c r="C725" s="1414"/>
      <c r="D725" s="1414"/>
      <c r="E725" s="1414"/>
      <c r="F725" s="1414"/>
      <c r="G725" s="1414"/>
      <c r="H725" s="1414"/>
      <c r="I725" s="1414"/>
      <c r="J725" s="1414"/>
      <c r="K725" s="1414"/>
      <c r="L725" s="1414"/>
      <c r="M725" s="1414"/>
      <c r="N725" s="1414"/>
      <c r="O725" s="1414"/>
      <c r="P725" s="1414"/>
      <c r="Q725" s="1414"/>
      <c r="R725" s="1414"/>
      <c r="S725" s="1414"/>
      <c r="T725" s="1414"/>
      <c r="U725" s="1414"/>
      <c r="V725" s="1414"/>
      <c r="W725" s="1414"/>
      <c r="X725" s="1414"/>
      <c r="Y725" s="1414"/>
      <c r="Z725" s="1414"/>
      <c r="AA725" s="1414"/>
      <c r="AB725" s="1414"/>
      <c r="AC725" s="1414"/>
      <c r="AD725" s="1414"/>
      <c r="AE725" s="1414"/>
      <c r="AF725" s="1414"/>
      <c r="AG725" s="1414"/>
      <c r="AH725" s="1414"/>
      <c r="AI725" s="1414"/>
      <c r="AJ725" s="1414"/>
      <c r="AK725" s="1414"/>
      <c r="AL725" s="1414"/>
      <c r="AM725" s="1414"/>
      <c r="AN725" s="1414"/>
      <c r="AO725" s="1414"/>
      <c r="AP725" s="1414"/>
      <c r="AQ725" s="1414"/>
      <c r="AR725" s="1414"/>
      <c r="AS725" s="1414"/>
      <c r="AT725" s="1414"/>
      <c r="AU725" s="1414"/>
      <c r="AV725" s="1414"/>
      <c r="AW725" s="1414"/>
      <c r="AX725" s="1414"/>
      <c r="AY725" s="1399"/>
      <c r="AZ725" s="1399"/>
      <c r="BA725" s="1399"/>
      <c r="BB725" s="1399"/>
      <c r="BC725" s="1399"/>
      <c r="BD725" s="1399"/>
      <c r="BE725" s="1414"/>
      <c r="BF725" s="1399"/>
      <c r="BG725" s="1399"/>
      <c r="BH725" s="1399"/>
      <c r="BI725" s="1399"/>
      <c r="BJ725" s="1399"/>
      <c r="BK725" s="1399"/>
      <c r="BL725" s="1399"/>
      <c r="BM725" s="1399"/>
      <c r="BN725" s="1399"/>
      <c r="BO725" s="1399"/>
      <c r="BP725" s="1399"/>
      <c r="BQ725" s="1399"/>
      <c r="BR725" s="1399"/>
      <c r="BS725" s="1399"/>
      <c r="BT725" s="1399"/>
      <c r="BU725" s="1399"/>
      <c r="BV725" s="1399"/>
      <c r="BW725" s="1399"/>
      <c r="BX725" s="1399"/>
      <c r="BY725" s="1399"/>
      <c r="BZ725" s="1399"/>
      <c r="CA725" s="1399"/>
      <c r="CB725" s="1399"/>
      <c r="CC725" s="1399"/>
      <c r="CD725" s="1399"/>
      <c r="CE725" s="1399"/>
      <c r="CF725" s="1399"/>
      <c r="CG725" s="1399"/>
      <c r="CH725" s="1399"/>
      <c r="CI725" s="1399"/>
      <c r="CJ725" s="1399"/>
      <c r="CK725" s="1399"/>
      <c r="CL725" s="1399"/>
      <c r="CM725" s="1399"/>
      <c r="CN725" s="1399"/>
      <c r="CO725" s="1399"/>
      <c r="CP725" s="1399"/>
      <c r="CQ725" s="1399"/>
      <c r="CR725" s="1399"/>
      <c r="CS725" s="1399"/>
      <c r="CT725" s="1399"/>
      <c r="CU725" s="1399"/>
      <c r="CV725" s="1399"/>
      <c r="CW725" s="1399"/>
      <c r="CX725" s="1399"/>
      <c r="CY725" s="1399"/>
      <c r="CZ725" s="1399"/>
      <c r="DA725" s="1399"/>
      <c r="DB725" s="1399"/>
      <c r="DC725" s="1399"/>
      <c r="DD725" s="1399"/>
      <c r="DE725" s="1399"/>
      <c r="DF725" s="1399"/>
      <c r="DG725" s="1399"/>
      <c r="DH725" s="1399"/>
      <c r="DI725" s="1399"/>
      <c r="DJ725" s="1399"/>
      <c r="DK725" s="1399"/>
      <c r="DL725" s="1399"/>
      <c r="DM725" s="1399"/>
      <c r="DN725" s="1399"/>
      <c r="DO725" s="1399"/>
      <c r="DP725" s="1399"/>
      <c r="DQ725" s="1399"/>
      <c r="DR725" s="1399"/>
      <c r="DS725" s="1399"/>
      <c r="DT725" s="1399"/>
      <c r="DU725" s="1399"/>
    </row>
    <row r="726" spans="1:125">
      <c r="A726" s="1414"/>
      <c r="B726" s="1414"/>
      <c r="C726" s="1414"/>
      <c r="D726" s="1414"/>
      <c r="E726" s="1414"/>
      <c r="F726" s="1414"/>
      <c r="G726" s="1414"/>
      <c r="H726" s="1414"/>
      <c r="I726" s="1414"/>
      <c r="J726" s="1414"/>
      <c r="K726" s="1414"/>
      <c r="L726" s="1414"/>
      <c r="M726" s="1414"/>
      <c r="N726" s="1414"/>
      <c r="O726" s="1414"/>
      <c r="P726" s="1414"/>
      <c r="Q726" s="1414"/>
      <c r="R726" s="1414"/>
      <c r="S726" s="1414"/>
      <c r="T726" s="1414"/>
      <c r="U726" s="1414"/>
      <c r="V726" s="1414"/>
      <c r="W726" s="1414"/>
      <c r="X726" s="1414"/>
      <c r="Y726" s="1414"/>
      <c r="Z726" s="1414"/>
      <c r="AA726" s="1414"/>
      <c r="AB726" s="1414"/>
      <c r="AC726" s="1414"/>
      <c r="AD726" s="1414"/>
      <c r="AE726" s="1414"/>
      <c r="AF726" s="1414"/>
      <c r="AG726" s="1414"/>
      <c r="AH726" s="1414"/>
      <c r="AI726" s="1414"/>
      <c r="AJ726" s="1414"/>
      <c r="AK726" s="1414"/>
      <c r="AL726" s="1414"/>
      <c r="AM726" s="1414"/>
      <c r="AN726" s="1414"/>
      <c r="AO726" s="1414"/>
      <c r="AP726" s="1414"/>
      <c r="AQ726" s="1414"/>
      <c r="AR726" s="1414"/>
      <c r="AS726" s="1414"/>
      <c r="AT726" s="1414"/>
      <c r="AU726" s="1414"/>
      <c r="AV726" s="1414"/>
      <c r="AW726" s="1414"/>
      <c r="AX726" s="1414"/>
      <c r="AY726" s="1399"/>
      <c r="AZ726" s="1399"/>
      <c r="BA726" s="1399"/>
      <c r="BB726" s="1399"/>
      <c r="BC726" s="1399"/>
      <c r="BD726" s="1399"/>
      <c r="BE726" s="1414"/>
      <c r="BF726" s="1399"/>
      <c r="BG726" s="1399"/>
      <c r="BH726" s="1399"/>
      <c r="BI726" s="1399"/>
      <c r="BJ726" s="1399"/>
      <c r="BK726" s="1399"/>
      <c r="BL726" s="1399"/>
      <c r="BM726" s="1399"/>
      <c r="BN726" s="1399"/>
      <c r="BO726" s="1399"/>
      <c r="BP726" s="1399"/>
      <c r="BQ726" s="1399"/>
      <c r="BR726" s="1399"/>
      <c r="BS726" s="1399"/>
      <c r="BT726" s="1399"/>
      <c r="BU726" s="1399"/>
      <c r="BV726" s="1399"/>
      <c r="BW726" s="1399"/>
      <c r="BX726" s="1399"/>
      <c r="BY726" s="1399"/>
      <c r="BZ726" s="1399"/>
      <c r="CA726" s="1399"/>
      <c r="CB726" s="1399"/>
      <c r="CC726" s="1399"/>
      <c r="CD726" s="1399"/>
      <c r="CE726" s="1399"/>
      <c r="CF726" s="1399"/>
      <c r="CG726" s="1399"/>
      <c r="CH726" s="1399"/>
      <c r="CI726" s="1399"/>
      <c r="CJ726" s="1399"/>
      <c r="CK726" s="1399"/>
      <c r="CL726" s="1399"/>
      <c r="CM726" s="1399"/>
      <c r="CN726" s="1399"/>
      <c r="CO726" s="1399"/>
      <c r="CP726" s="1399"/>
      <c r="CQ726" s="1399"/>
      <c r="CR726" s="1399"/>
      <c r="CS726" s="1399"/>
      <c r="CT726" s="1399"/>
      <c r="CU726" s="1399"/>
      <c r="CV726" s="1399"/>
      <c r="CW726" s="1399"/>
      <c r="CX726" s="1399"/>
      <c r="CY726" s="1399"/>
      <c r="CZ726" s="1399"/>
      <c r="DA726" s="1399"/>
      <c r="DB726" s="1399"/>
      <c r="DC726" s="1399"/>
      <c r="DD726" s="1399"/>
      <c r="DE726" s="1399"/>
      <c r="DF726" s="1399"/>
      <c r="DG726" s="1399"/>
      <c r="DH726" s="1399"/>
      <c r="DI726" s="1399"/>
      <c r="DJ726" s="1399"/>
      <c r="DK726" s="1399"/>
      <c r="DL726" s="1399"/>
      <c r="DM726" s="1399"/>
      <c r="DN726" s="1399"/>
      <c r="DO726" s="1399"/>
      <c r="DP726" s="1399"/>
      <c r="DQ726" s="1399"/>
      <c r="DR726" s="1399"/>
      <c r="DS726" s="1399"/>
      <c r="DT726" s="1399"/>
      <c r="DU726" s="1399"/>
    </row>
    <row r="727" spans="1:125">
      <c r="A727" s="1414"/>
      <c r="B727" s="1414"/>
      <c r="C727" s="1414"/>
      <c r="D727" s="1414"/>
      <c r="E727" s="1414"/>
      <c r="F727" s="1414"/>
      <c r="G727" s="1414"/>
      <c r="H727" s="1414"/>
      <c r="I727" s="1414"/>
      <c r="J727" s="1414"/>
      <c r="K727" s="1414"/>
      <c r="L727" s="1414"/>
      <c r="M727" s="1414"/>
      <c r="N727" s="1414"/>
      <c r="O727" s="1414"/>
      <c r="P727" s="1414"/>
      <c r="Q727" s="1414"/>
      <c r="R727" s="1414"/>
      <c r="S727" s="1414"/>
      <c r="T727" s="1414"/>
      <c r="U727" s="1414"/>
      <c r="V727" s="1414"/>
      <c r="W727" s="1414"/>
      <c r="X727" s="1414"/>
      <c r="Y727" s="1414"/>
      <c r="Z727" s="1414"/>
      <c r="AA727" s="1414"/>
      <c r="AB727" s="1414"/>
      <c r="AC727" s="1414"/>
      <c r="AD727" s="1414"/>
      <c r="AE727" s="1414"/>
      <c r="AF727" s="1414"/>
      <c r="AG727" s="1414"/>
      <c r="AH727" s="1414"/>
      <c r="AI727" s="1414"/>
      <c r="AJ727" s="1414"/>
      <c r="AK727" s="1414"/>
      <c r="AL727" s="1414"/>
      <c r="AM727" s="1414"/>
      <c r="AN727" s="1414"/>
      <c r="AO727" s="1414"/>
      <c r="AP727" s="1414"/>
      <c r="AQ727" s="1414"/>
      <c r="AR727" s="1414"/>
      <c r="AS727" s="1414"/>
      <c r="AT727" s="1414"/>
      <c r="AU727" s="1414"/>
      <c r="AV727" s="1414"/>
      <c r="AW727" s="1414"/>
      <c r="AX727" s="1414"/>
      <c r="AY727" s="1399"/>
      <c r="AZ727" s="1399"/>
      <c r="BA727" s="1399"/>
      <c r="BB727" s="1399"/>
      <c r="BC727" s="1399"/>
      <c r="BD727" s="1399"/>
      <c r="BE727" s="1414"/>
      <c r="BF727" s="1399"/>
      <c r="BG727" s="1399"/>
      <c r="BH727" s="1399"/>
      <c r="BI727" s="1399"/>
      <c r="BJ727" s="1399"/>
      <c r="BK727" s="1399"/>
      <c r="BL727" s="1399"/>
      <c r="BM727" s="1399"/>
      <c r="BN727" s="1399"/>
      <c r="BO727" s="1399"/>
      <c r="BP727" s="1399"/>
      <c r="BQ727" s="1399"/>
      <c r="BR727" s="1399"/>
      <c r="BS727" s="1399"/>
      <c r="BT727" s="1399"/>
      <c r="BU727" s="1399"/>
      <c r="BV727" s="1399"/>
      <c r="BW727" s="1399"/>
      <c r="BX727" s="1399"/>
      <c r="BY727" s="1399"/>
      <c r="BZ727" s="1399"/>
      <c r="CA727" s="1399"/>
      <c r="CB727" s="1399"/>
      <c r="CC727" s="1399"/>
      <c r="CD727" s="1399"/>
      <c r="CE727" s="1399"/>
      <c r="CF727" s="1399"/>
      <c r="CG727" s="1399"/>
      <c r="CH727" s="1399"/>
      <c r="CI727" s="1399"/>
      <c r="CJ727" s="1399"/>
      <c r="CK727" s="1399"/>
      <c r="CL727" s="1399"/>
      <c r="CM727" s="1399"/>
      <c r="CN727" s="1399"/>
      <c r="CO727" s="1399"/>
      <c r="CP727" s="1399"/>
      <c r="CQ727" s="1399"/>
      <c r="CR727" s="1399"/>
      <c r="CS727" s="1399"/>
      <c r="CT727" s="1399"/>
      <c r="CU727" s="1399"/>
      <c r="CV727" s="1399"/>
      <c r="CW727" s="1399"/>
      <c r="CX727" s="1399"/>
      <c r="CY727" s="1399"/>
      <c r="CZ727" s="1399"/>
      <c r="DA727" s="1399"/>
      <c r="DB727" s="1399"/>
      <c r="DC727" s="1399"/>
      <c r="DD727" s="1399"/>
      <c r="DE727" s="1399"/>
      <c r="DF727" s="1399"/>
      <c r="DG727" s="1399"/>
      <c r="DH727" s="1399"/>
      <c r="DI727" s="1399"/>
      <c r="DJ727" s="1399"/>
      <c r="DK727" s="1399"/>
      <c r="DL727" s="1399"/>
      <c r="DM727" s="1399"/>
      <c r="DN727" s="1399"/>
      <c r="DO727" s="1399"/>
      <c r="DP727" s="1399"/>
      <c r="DQ727" s="1399"/>
      <c r="DR727" s="1399"/>
      <c r="DS727" s="1399"/>
      <c r="DT727" s="1399"/>
      <c r="DU727" s="1399"/>
    </row>
    <row r="728" spans="1:125">
      <c r="A728" s="1414"/>
      <c r="B728" s="1414"/>
      <c r="C728" s="1414"/>
      <c r="D728" s="1414"/>
      <c r="E728" s="1414"/>
      <c r="F728" s="1414"/>
      <c r="G728" s="1414"/>
      <c r="H728" s="1414"/>
      <c r="I728" s="1414"/>
      <c r="J728" s="1414"/>
      <c r="K728" s="1414"/>
      <c r="L728" s="1414"/>
      <c r="M728" s="1414"/>
      <c r="N728" s="1414"/>
      <c r="O728" s="1414"/>
      <c r="P728" s="1414"/>
      <c r="Q728" s="1414"/>
      <c r="R728" s="1414"/>
      <c r="S728" s="1414"/>
      <c r="T728" s="1414"/>
      <c r="U728" s="1414"/>
      <c r="V728" s="1414"/>
      <c r="W728" s="1414"/>
      <c r="X728" s="1414"/>
      <c r="Y728" s="1414"/>
      <c r="Z728" s="1414"/>
      <c r="AA728" s="1414"/>
      <c r="AB728" s="1414"/>
      <c r="AC728" s="1414"/>
      <c r="AD728" s="1414"/>
      <c r="AE728" s="1414"/>
      <c r="AF728" s="1414"/>
      <c r="AG728" s="1414"/>
      <c r="AH728" s="1414"/>
      <c r="AI728" s="1414"/>
      <c r="AJ728" s="1414"/>
      <c r="AK728" s="1414"/>
      <c r="AL728" s="1414"/>
      <c r="AM728" s="1414"/>
      <c r="AN728" s="1414"/>
      <c r="AO728" s="1414"/>
      <c r="AP728" s="1414"/>
      <c r="AQ728" s="1414"/>
      <c r="AR728" s="1414"/>
      <c r="AS728" s="1414"/>
      <c r="AT728" s="1414"/>
      <c r="AU728" s="1414"/>
      <c r="AV728" s="1414"/>
      <c r="AW728" s="1414"/>
      <c r="AX728" s="1414"/>
      <c r="AY728" s="1399"/>
      <c r="AZ728" s="1399"/>
      <c r="BA728" s="1399"/>
      <c r="BB728" s="1399"/>
      <c r="BC728" s="1399"/>
      <c r="BD728" s="1399"/>
      <c r="BE728" s="1414"/>
      <c r="BF728" s="1399"/>
      <c r="BG728" s="1399"/>
      <c r="BH728" s="1399"/>
      <c r="BI728" s="1399"/>
      <c r="BJ728" s="1399"/>
      <c r="BK728" s="1399"/>
      <c r="BL728" s="1399"/>
      <c r="BM728" s="1399"/>
      <c r="BN728" s="1399"/>
      <c r="BO728" s="1399"/>
      <c r="BP728" s="1399"/>
      <c r="BQ728" s="1399"/>
      <c r="BR728" s="1399"/>
      <c r="BS728" s="1399"/>
      <c r="BT728" s="1399"/>
      <c r="BU728" s="1399"/>
      <c r="BV728" s="1399"/>
      <c r="BW728" s="1399"/>
      <c r="BX728" s="1399"/>
      <c r="BY728" s="1399"/>
      <c r="BZ728" s="1399"/>
      <c r="CA728" s="1399"/>
      <c r="CB728" s="1399"/>
      <c r="CC728" s="1399"/>
      <c r="CD728" s="1399"/>
      <c r="CE728" s="1399"/>
      <c r="CF728" s="1399"/>
      <c r="CG728" s="1399"/>
      <c r="CH728" s="1399"/>
      <c r="CI728" s="1399"/>
      <c r="CJ728" s="1399"/>
      <c r="CK728" s="1399"/>
      <c r="CL728" s="1399"/>
      <c r="CM728" s="1399"/>
      <c r="CN728" s="1399"/>
      <c r="CO728" s="1399"/>
      <c r="CP728" s="1399"/>
      <c r="CQ728" s="1399"/>
      <c r="CR728" s="1399"/>
      <c r="CS728" s="1399"/>
      <c r="CT728" s="1399"/>
      <c r="CU728" s="1399"/>
      <c r="CV728" s="1399"/>
      <c r="CW728" s="1399"/>
      <c r="CX728" s="1399"/>
      <c r="CY728" s="1399"/>
      <c r="CZ728" s="1399"/>
      <c r="DA728" s="1399"/>
      <c r="DB728" s="1399"/>
      <c r="DC728" s="1399"/>
      <c r="DD728" s="1399"/>
      <c r="DE728" s="1399"/>
      <c r="DF728" s="1399"/>
      <c r="DG728" s="1399"/>
      <c r="DH728" s="1399"/>
      <c r="DI728" s="1399"/>
      <c r="DJ728" s="1399"/>
      <c r="DK728" s="1399"/>
      <c r="DL728" s="1399"/>
      <c r="DM728" s="1399"/>
      <c r="DN728" s="1399"/>
      <c r="DO728" s="1399"/>
      <c r="DP728" s="1399"/>
      <c r="DQ728" s="1399"/>
      <c r="DR728" s="1399"/>
      <c r="DS728" s="1399"/>
      <c r="DT728" s="1399"/>
      <c r="DU728" s="1399"/>
    </row>
    <row r="729" spans="1:125">
      <c r="A729" s="1414"/>
      <c r="B729" s="1414"/>
      <c r="C729" s="1414"/>
      <c r="D729" s="1414"/>
      <c r="E729" s="1414"/>
      <c r="F729" s="1414"/>
      <c r="G729" s="1414"/>
      <c r="H729" s="1414"/>
      <c r="I729" s="1414"/>
      <c r="J729" s="1414"/>
      <c r="K729" s="1414"/>
      <c r="L729" s="1414"/>
      <c r="M729" s="1414"/>
      <c r="N729" s="1414"/>
      <c r="O729" s="1414"/>
      <c r="P729" s="1414"/>
      <c r="Q729" s="1414"/>
      <c r="R729" s="1414"/>
      <c r="S729" s="1414"/>
      <c r="T729" s="1414"/>
      <c r="U729" s="1414"/>
      <c r="V729" s="1414"/>
      <c r="W729" s="1414"/>
      <c r="X729" s="1414"/>
      <c r="Y729" s="1414"/>
      <c r="Z729" s="1414"/>
      <c r="AA729" s="1414"/>
      <c r="AB729" s="1414"/>
      <c r="AC729" s="1414"/>
      <c r="AD729" s="1414"/>
      <c r="AE729" s="1414"/>
      <c r="AF729" s="1414"/>
      <c r="AG729" s="1414"/>
      <c r="AH729" s="1414"/>
      <c r="AI729" s="1414"/>
      <c r="AJ729" s="1414"/>
      <c r="AK729" s="1414"/>
      <c r="AL729" s="1414"/>
      <c r="AM729" s="1414"/>
      <c r="AN729" s="1414"/>
      <c r="AO729" s="1414"/>
      <c r="AP729" s="1414"/>
      <c r="AQ729" s="1414"/>
      <c r="AR729" s="1414"/>
      <c r="AS729" s="1414"/>
      <c r="AT729" s="1414"/>
      <c r="AU729" s="1414"/>
      <c r="AV729" s="1414"/>
      <c r="AW729" s="1414"/>
      <c r="AX729" s="1414"/>
      <c r="AY729" s="1399"/>
      <c r="AZ729" s="1399"/>
      <c r="BA729" s="1399"/>
      <c r="BB729" s="1399"/>
      <c r="BC729" s="1399"/>
      <c r="BD729" s="1399"/>
      <c r="BE729" s="1414"/>
      <c r="BF729" s="1399"/>
      <c r="BG729" s="1399"/>
      <c r="BH729" s="1399"/>
      <c r="BI729" s="1399"/>
      <c r="BJ729" s="1399"/>
      <c r="BK729" s="1399"/>
      <c r="BL729" s="1399"/>
      <c r="BM729" s="1399"/>
      <c r="BN729" s="1399"/>
      <c r="BO729" s="1399"/>
      <c r="BP729" s="1399"/>
      <c r="BQ729" s="1399"/>
      <c r="BR729" s="1399"/>
      <c r="BS729" s="1399"/>
      <c r="BT729" s="1399"/>
      <c r="BU729" s="1399"/>
      <c r="BV729" s="1399"/>
      <c r="BW729" s="1399"/>
      <c r="BX729" s="1399"/>
      <c r="BY729" s="1399"/>
      <c r="BZ729" s="1399"/>
      <c r="CA729" s="1399"/>
      <c r="CB729" s="1399"/>
      <c r="CC729" s="1399"/>
      <c r="CD729" s="1399"/>
      <c r="CE729" s="1399"/>
      <c r="CF729" s="1399"/>
      <c r="CG729" s="1399"/>
      <c r="CH729" s="1399"/>
      <c r="CI729" s="1399"/>
      <c r="CJ729" s="1399"/>
      <c r="CK729" s="1399"/>
      <c r="CL729" s="1399"/>
      <c r="CM729" s="1399"/>
      <c r="CN729" s="1399"/>
      <c r="CO729" s="1399"/>
      <c r="CP729" s="1399"/>
      <c r="CQ729" s="1399"/>
      <c r="CR729" s="1399"/>
      <c r="CS729" s="1399"/>
      <c r="CT729" s="1399"/>
      <c r="CU729" s="1399"/>
      <c r="CV729" s="1399"/>
      <c r="CW729" s="1399"/>
      <c r="CX729" s="1399"/>
      <c r="CY729" s="1399"/>
      <c r="CZ729" s="1399"/>
      <c r="DA729" s="1399"/>
      <c r="DB729" s="1399"/>
      <c r="DC729" s="1399"/>
      <c r="DD729" s="1399"/>
      <c r="DE729" s="1399"/>
      <c r="DF729" s="1399"/>
      <c r="DG729" s="1399"/>
      <c r="DH729" s="1399"/>
      <c r="DI729" s="1399"/>
      <c r="DJ729" s="1399"/>
      <c r="DK729" s="1399"/>
      <c r="DL729" s="1399"/>
      <c r="DM729" s="1399"/>
      <c r="DN729" s="1399"/>
      <c r="DO729" s="1399"/>
      <c r="DP729" s="1399"/>
      <c r="DQ729" s="1399"/>
      <c r="DR729" s="1399"/>
      <c r="DS729" s="1399"/>
      <c r="DT729" s="1399"/>
      <c r="DU729" s="1399"/>
    </row>
    <row r="730" spans="1:125">
      <c r="A730" s="1414"/>
      <c r="B730" s="1414"/>
      <c r="C730" s="1414"/>
      <c r="D730" s="1414"/>
      <c r="E730" s="1414"/>
      <c r="F730" s="1414"/>
      <c r="G730" s="1414"/>
      <c r="H730" s="1414"/>
      <c r="I730" s="1414"/>
      <c r="J730" s="1414"/>
      <c r="K730" s="1414"/>
      <c r="L730" s="1414"/>
      <c r="M730" s="1414"/>
      <c r="N730" s="1414"/>
      <c r="O730" s="1414"/>
      <c r="P730" s="1414"/>
      <c r="Q730" s="1414"/>
      <c r="R730" s="1414"/>
      <c r="S730" s="1414"/>
      <c r="T730" s="1414"/>
      <c r="U730" s="1414"/>
      <c r="V730" s="1414"/>
      <c r="W730" s="1414"/>
      <c r="X730" s="1414"/>
      <c r="Y730" s="1414"/>
      <c r="Z730" s="1414"/>
      <c r="AA730" s="1414"/>
      <c r="AB730" s="1414"/>
      <c r="AC730" s="1414"/>
      <c r="AD730" s="1414"/>
      <c r="AE730" s="1414"/>
      <c r="AF730" s="1414"/>
      <c r="AG730" s="1414"/>
      <c r="AH730" s="1414"/>
      <c r="AI730" s="1414"/>
      <c r="AJ730" s="1414"/>
      <c r="AK730" s="1414"/>
      <c r="AL730" s="1414"/>
      <c r="AM730" s="1414"/>
      <c r="AN730" s="1414"/>
      <c r="AO730" s="1414"/>
      <c r="AP730" s="1414"/>
      <c r="AQ730" s="1414"/>
      <c r="AR730" s="1414"/>
      <c r="AS730" s="1414"/>
      <c r="AT730" s="1414"/>
      <c r="AU730" s="1414"/>
      <c r="AV730" s="1414"/>
      <c r="AW730" s="1414"/>
      <c r="AX730" s="1414"/>
      <c r="AY730" s="1399"/>
      <c r="AZ730" s="1399"/>
      <c r="BA730" s="1399"/>
      <c r="BB730" s="1399"/>
      <c r="BC730" s="1399"/>
      <c r="BD730" s="1399"/>
      <c r="BE730" s="1414"/>
      <c r="BF730" s="1399"/>
      <c r="BG730" s="1399"/>
      <c r="BH730" s="1399"/>
      <c r="BI730" s="1399"/>
      <c r="BJ730" s="1399"/>
      <c r="BK730" s="1399"/>
      <c r="BL730" s="1399"/>
      <c r="BM730" s="1399"/>
      <c r="BN730" s="1399"/>
      <c r="BO730" s="1399"/>
      <c r="BP730" s="1399"/>
      <c r="BQ730" s="1399"/>
      <c r="BR730" s="1399"/>
      <c r="BS730" s="1399"/>
      <c r="BT730" s="1399"/>
      <c r="BU730" s="1399"/>
      <c r="BV730" s="1399"/>
      <c r="BW730" s="1399"/>
      <c r="BX730" s="1399"/>
      <c r="BY730" s="1399"/>
      <c r="BZ730" s="1399"/>
      <c r="CA730" s="1399"/>
      <c r="CB730" s="1399"/>
      <c r="CC730" s="1399"/>
      <c r="CD730" s="1399"/>
      <c r="CE730" s="1399"/>
      <c r="CF730" s="1399"/>
      <c r="CG730" s="1399"/>
      <c r="CH730" s="1399"/>
      <c r="CI730" s="1399"/>
      <c r="CJ730" s="1399"/>
      <c r="CK730" s="1399"/>
      <c r="CL730" s="1399"/>
      <c r="CM730" s="1399"/>
      <c r="CN730" s="1399"/>
      <c r="CO730" s="1399"/>
      <c r="CP730" s="1399"/>
      <c r="CQ730" s="1399"/>
      <c r="CR730" s="1399"/>
      <c r="CS730" s="1399"/>
      <c r="CT730" s="1399"/>
      <c r="CU730" s="1399"/>
      <c r="CV730" s="1399"/>
      <c r="CW730" s="1399"/>
      <c r="CX730" s="1399"/>
      <c r="CY730" s="1399"/>
      <c r="CZ730" s="1399"/>
      <c r="DA730" s="1399"/>
      <c r="DB730" s="1399"/>
      <c r="DC730" s="1399"/>
      <c r="DD730" s="1399"/>
      <c r="DE730" s="1399"/>
      <c r="DF730" s="1399"/>
      <c r="DG730" s="1399"/>
      <c r="DH730" s="1399"/>
      <c r="DI730" s="1399"/>
      <c r="DJ730" s="1399"/>
      <c r="DK730" s="1399"/>
      <c r="DL730" s="1399"/>
      <c r="DM730" s="1399"/>
      <c r="DN730" s="1399"/>
      <c r="DO730" s="1399"/>
      <c r="DP730" s="1399"/>
      <c r="DQ730" s="1399"/>
      <c r="DR730" s="1399"/>
      <c r="DS730" s="1399"/>
      <c r="DT730" s="1399"/>
      <c r="DU730" s="1399"/>
    </row>
    <row r="731" spans="1:125">
      <c r="A731" s="1414"/>
      <c r="B731" s="1414"/>
      <c r="C731" s="1414"/>
      <c r="D731" s="1414"/>
      <c r="E731" s="1414"/>
      <c r="F731" s="1414"/>
      <c r="G731" s="1414"/>
      <c r="H731" s="1414"/>
      <c r="I731" s="1414"/>
      <c r="J731" s="1414"/>
      <c r="K731" s="1414"/>
      <c r="L731" s="1414"/>
      <c r="M731" s="1414"/>
      <c r="N731" s="1414"/>
      <c r="O731" s="1414"/>
      <c r="P731" s="1414"/>
      <c r="Q731" s="1414"/>
      <c r="R731" s="1414"/>
      <c r="S731" s="1414"/>
      <c r="T731" s="1414"/>
      <c r="U731" s="1414"/>
      <c r="V731" s="1414"/>
      <c r="W731" s="1414"/>
      <c r="X731" s="1414"/>
      <c r="Y731" s="1414"/>
      <c r="Z731" s="1414"/>
      <c r="AA731" s="1414"/>
      <c r="AB731" s="1414"/>
      <c r="AC731" s="1414"/>
      <c r="AD731" s="1414"/>
      <c r="AE731" s="1414"/>
      <c r="AF731" s="1414"/>
      <c r="AG731" s="1414"/>
      <c r="AH731" s="1414"/>
      <c r="AI731" s="1414"/>
      <c r="AJ731" s="1414"/>
      <c r="AK731" s="1414"/>
      <c r="AL731" s="1414"/>
      <c r="AM731" s="1414"/>
      <c r="AN731" s="1414"/>
      <c r="AO731" s="1414"/>
      <c r="AP731" s="1414"/>
      <c r="AQ731" s="1414"/>
      <c r="AR731" s="1414"/>
      <c r="AS731" s="1414"/>
      <c r="AT731" s="1414"/>
      <c r="AU731" s="1414"/>
      <c r="AV731" s="1414"/>
      <c r="AW731" s="1414"/>
      <c r="AX731" s="1414"/>
      <c r="AY731" s="1399"/>
      <c r="AZ731" s="1399"/>
      <c r="BA731" s="1399"/>
      <c r="BB731" s="1399"/>
      <c r="BC731" s="1399"/>
      <c r="BD731" s="1399"/>
      <c r="BE731" s="1414"/>
      <c r="BF731" s="1399"/>
      <c r="BG731" s="1399"/>
      <c r="BH731" s="1399"/>
      <c r="BI731" s="1399"/>
      <c r="BJ731" s="1399"/>
      <c r="BK731" s="1399"/>
      <c r="BL731" s="1399"/>
      <c r="BM731" s="1399"/>
      <c r="BN731" s="1399"/>
      <c r="BO731" s="1399"/>
      <c r="BP731" s="1399"/>
      <c r="BQ731" s="1399"/>
      <c r="BR731" s="1399"/>
      <c r="BS731" s="1399"/>
      <c r="BT731" s="1399"/>
      <c r="BU731" s="1399"/>
      <c r="BV731" s="1399"/>
      <c r="BW731" s="1399"/>
      <c r="BX731" s="1399"/>
      <c r="BY731" s="1399"/>
      <c r="BZ731" s="1399"/>
      <c r="CA731" s="1399"/>
      <c r="CB731" s="1399"/>
      <c r="CC731" s="1399"/>
      <c r="CD731" s="1399"/>
      <c r="CE731" s="1399"/>
      <c r="CF731" s="1399"/>
      <c r="CG731" s="1399"/>
      <c r="CH731" s="1399"/>
      <c r="CI731" s="1399"/>
      <c r="CJ731" s="1399"/>
      <c r="CK731" s="1399"/>
      <c r="CL731" s="1399"/>
      <c r="CM731" s="1399"/>
      <c r="CN731" s="1399"/>
      <c r="CO731" s="1399"/>
      <c r="CP731" s="1399"/>
      <c r="CQ731" s="1399"/>
      <c r="CR731" s="1399"/>
      <c r="CS731" s="1399"/>
      <c r="CT731" s="1399"/>
      <c r="CU731" s="1399"/>
      <c r="CV731" s="1399"/>
      <c r="CW731" s="1399"/>
      <c r="CX731" s="1399"/>
      <c r="CY731" s="1399"/>
      <c r="CZ731" s="1399"/>
      <c r="DA731" s="1399"/>
      <c r="DB731" s="1399"/>
      <c r="DC731" s="1399"/>
      <c r="DD731" s="1399"/>
      <c r="DE731" s="1399"/>
      <c r="DF731" s="1399"/>
      <c r="DG731" s="1399"/>
      <c r="DH731" s="1399"/>
      <c r="DI731" s="1399"/>
      <c r="DJ731" s="1399"/>
      <c r="DK731" s="1399"/>
      <c r="DL731" s="1399"/>
      <c r="DM731" s="1399"/>
      <c r="DN731" s="1399"/>
      <c r="DO731" s="1399"/>
      <c r="DP731" s="1399"/>
      <c r="DQ731" s="1399"/>
      <c r="DR731" s="1399"/>
      <c r="DS731" s="1399"/>
      <c r="DT731" s="1399"/>
      <c r="DU731" s="1399"/>
    </row>
    <row r="732" spans="1:125">
      <c r="A732" s="1414"/>
      <c r="B732" s="1414"/>
      <c r="C732" s="1414"/>
      <c r="D732" s="1414"/>
      <c r="E732" s="1414"/>
      <c r="F732" s="1414"/>
      <c r="G732" s="1414"/>
      <c r="H732" s="1414"/>
      <c r="I732" s="1414"/>
      <c r="J732" s="1414"/>
      <c r="K732" s="1414"/>
      <c r="L732" s="1414"/>
      <c r="M732" s="1414"/>
      <c r="N732" s="1414"/>
      <c r="O732" s="1414"/>
      <c r="P732" s="1414"/>
      <c r="Q732" s="1414"/>
      <c r="R732" s="1414"/>
      <c r="S732" s="1414"/>
      <c r="T732" s="1414"/>
      <c r="U732" s="1414"/>
      <c r="V732" s="1414"/>
      <c r="W732" s="1414"/>
      <c r="X732" s="1414"/>
      <c r="Y732" s="1414"/>
      <c r="Z732" s="1414"/>
      <c r="AA732" s="1414"/>
      <c r="AB732" s="1414"/>
      <c r="AC732" s="1414"/>
      <c r="AD732" s="1414"/>
      <c r="AE732" s="1414"/>
      <c r="AF732" s="1414"/>
      <c r="AG732" s="1414"/>
      <c r="AH732" s="1414"/>
      <c r="AI732" s="1414"/>
      <c r="AJ732" s="1414"/>
      <c r="AK732" s="1414"/>
      <c r="AL732" s="1414"/>
      <c r="AM732" s="1414"/>
      <c r="AN732" s="1414"/>
      <c r="AO732" s="1414"/>
      <c r="AP732" s="1414"/>
      <c r="AQ732" s="1414"/>
      <c r="AR732" s="1414"/>
      <c r="AS732" s="1414"/>
      <c r="AT732" s="1414"/>
      <c r="AU732" s="1414"/>
      <c r="AV732" s="1414"/>
      <c r="AW732" s="1414"/>
      <c r="AX732" s="1414"/>
      <c r="AY732" s="1399"/>
      <c r="AZ732" s="1399"/>
      <c r="BA732" s="1399"/>
      <c r="BB732" s="1399"/>
      <c r="BC732" s="1399"/>
      <c r="BD732" s="1399"/>
      <c r="BE732" s="1414"/>
      <c r="BF732" s="1399"/>
      <c r="BG732" s="1399"/>
      <c r="BH732" s="1399"/>
      <c r="BI732" s="1399"/>
      <c r="BJ732" s="1399"/>
      <c r="BK732" s="1399"/>
      <c r="BL732" s="1399"/>
      <c r="BM732" s="1399"/>
      <c r="BN732" s="1399"/>
      <c r="BO732" s="1399"/>
      <c r="BP732" s="1399"/>
      <c r="BQ732" s="1399"/>
      <c r="BR732" s="1399"/>
      <c r="BS732" s="1399"/>
      <c r="BT732" s="1399"/>
      <c r="BU732" s="1399"/>
      <c r="BV732" s="1399"/>
      <c r="BW732" s="1399"/>
      <c r="BX732" s="1399"/>
      <c r="BY732" s="1399"/>
      <c r="BZ732" s="1399"/>
      <c r="CA732" s="1399"/>
      <c r="CB732" s="1399"/>
      <c r="CC732" s="1399"/>
      <c r="CD732" s="1399"/>
      <c r="CE732" s="1399"/>
      <c r="CF732" s="1399"/>
      <c r="CG732" s="1399"/>
      <c r="CH732" s="1399"/>
      <c r="CI732" s="1399"/>
      <c r="CJ732" s="1399"/>
      <c r="CK732" s="1399"/>
      <c r="CL732" s="1399"/>
      <c r="CM732" s="1399"/>
      <c r="CN732" s="1399"/>
      <c r="CO732" s="1399"/>
      <c r="CP732" s="1399"/>
      <c r="CQ732" s="1399"/>
      <c r="CR732" s="1399"/>
      <c r="CS732" s="1399"/>
      <c r="CT732" s="1399"/>
      <c r="CU732" s="1399"/>
      <c r="CV732" s="1399"/>
      <c r="CW732" s="1399"/>
      <c r="CX732" s="1399"/>
      <c r="CY732" s="1399"/>
      <c r="CZ732" s="1399"/>
      <c r="DA732" s="1399"/>
      <c r="DB732" s="1399"/>
      <c r="DC732" s="1399"/>
      <c r="DD732" s="1399"/>
      <c r="DE732" s="1399"/>
      <c r="DF732" s="1399"/>
      <c r="DG732" s="1399"/>
      <c r="DH732" s="1399"/>
      <c r="DI732" s="1399"/>
      <c r="DJ732" s="1399"/>
      <c r="DK732" s="1399"/>
      <c r="DL732" s="1399"/>
      <c r="DM732" s="1399"/>
      <c r="DN732" s="1399"/>
      <c r="DO732" s="1399"/>
      <c r="DP732" s="1399"/>
      <c r="DQ732" s="1399"/>
      <c r="DR732" s="1399"/>
      <c r="DS732" s="1399"/>
      <c r="DT732" s="1399"/>
      <c r="DU732" s="1399"/>
    </row>
    <row r="733" spans="1:125">
      <c r="A733" s="1414"/>
      <c r="B733" s="1414"/>
      <c r="C733" s="1414"/>
      <c r="D733" s="1414"/>
      <c r="E733" s="1414"/>
      <c r="F733" s="1414"/>
      <c r="G733" s="1414"/>
      <c r="H733" s="1414"/>
      <c r="I733" s="1414"/>
      <c r="J733" s="1414"/>
      <c r="K733" s="1414"/>
      <c r="L733" s="1414"/>
      <c r="M733" s="1414"/>
      <c r="N733" s="1414"/>
      <c r="O733" s="1414"/>
      <c r="P733" s="1414"/>
      <c r="Q733" s="1414"/>
      <c r="R733" s="1414"/>
      <c r="S733" s="1414"/>
      <c r="T733" s="1414"/>
      <c r="U733" s="1414"/>
      <c r="V733" s="1414"/>
      <c r="W733" s="1414"/>
      <c r="X733" s="1414"/>
      <c r="Y733" s="1414"/>
      <c r="Z733" s="1414"/>
      <c r="AA733" s="1414"/>
      <c r="AB733" s="1414"/>
      <c r="AC733" s="1414"/>
      <c r="AD733" s="1414"/>
      <c r="AE733" s="1414"/>
      <c r="AF733" s="1414"/>
      <c r="AG733" s="1414"/>
      <c r="AH733" s="1414"/>
      <c r="AI733" s="1414"/>
      <c r="AJ733" s="1414"/>
      <c r="AK733" s="1414"/>
      <c r="AL733" s="1414"/>
      <c r="AM733" s="1414"/>
      <c r="AN733" s="1414"/>
      <c r="AO733" s="1414"/>
      <c r="AP733" s="1414"/>
      <c r="AQ733" s="1414"/>
      <c r="AR733" s="1414"/>
      <c r="AS733" s="1414"/>
      <c r="AT733" s="1414"/>
      <c r="AU733" s="1414"/>
      <c r="AV733" s="1414"/>
      <c r="AW733" s="1414"/>
      <c r="AX733" s="1414"/>
      <c r="AY733" s="1399"/>
      <c r="AZ733" s="1399"/>
      <c r="BA733" s="1399"/>
      <c r="BB733" s="1399"/>
      <c r="BC733" s="1399"/>
      <c r="BD733" s="1399"/>
      <c r="BE733" s="1414"/>
      <c r="BF733" s="1399"/>
      <c r="BG733" s="1399"/>
      <c r="BH733" s="1399"/>
      <c r="BI733" s="1399"/>
      <c r="BJ733" s="1399"/>
      <c r="BK733" s="1399"/>
      <c r="BL733" s="1399"/>
      <c r="BM733" s="1399"/>
      <c r="BN733" s="1399"/>
      <c r="BO733" s="1399"/>
      <c r="BP733" s="1399"/>
      <c r="BQ733" s="1399"/>
      <c r="BR733" s="1399"/>
      <c r="BS733" s="1399"/>
      <c r="BT733" s="1399"/>
      <c r="BU733" s="1399"/>
      <c r="BV733" s="1399"/>
      <c r="BW733" s="1399"/>
      <c r="BX733" s="1399"/>
      <c r="BY733" s="1399"/>
      <c r="BZ733" s="1399"/>
      <c r="CA733" s="1399"/>
      <c r="CB733" s="1399"/>
      <c r="CC733" s="1399"/>
      <c r="CD733" s="1399"/>
      <c r="CE733" s="1399"/>
      <c r="CF733" s="1399"/>
      <c r="CG733" s="1399"/>
      <c r="CH733" s="1399"/>
      <c r="CI733" s="1399"/>
      <c r="CJ733" s="1399"/>
      <c r="CK733" s="1399"/>
      <c r="CL733" s="1399"/>
      <c r="CM733" s="1399"/>
      <c r="CN733" s="1399"/>
      <c r="CO733" s="1399"/>
      <c r="CP733" s="1399"/>
      <c r="CQ733" s="1399"/>
      <c r="CR733" s="1399"/>
      <c r="CS733" s="1399"/>
      <c r="CT733" s="1399"/>
      <c r="CU733" s="1399"/>
      <c r="CV733" s="1399"/>
      <c r="CW733" s="1399"/>
      <c r="CX733" s="1399"/>
      <c r="CY733" s="1399"/>
      <c r="CZ733" s="1399"/>
      <c r="DA733" s="1399"/>
      <c r="DB733" s="1399"/>
      <c r="DC733" s="1399"/>
      <c r="DD733" s="1399"/>
      <c r="DE733" s="1399"/>
      <c r="DF733" s="1399"/>
      <c r="DG733" s="1399"/>
      <c r="DH733" s="1399"/>
      <c r="DI733" s="1399"/>
      <c r="DJ733" s="1399"/>
      <c r="DK733" s="1399"/>
      <c r="DL733" s="1399"/>
      <c r="DM733" s="1399"/>
      <c r="DN733" s="1399"/>
      <c r="DO733" s="1399"/>
      <c r="DP733" s="1399"/>
      <c r="DQ733" s="1399"/>
      <c r="DR733" s="1399"/>
      <c r="DS733" s="1399"/>
      <c r="DT733" s="1399"/>
      <c r="DU733" s="1399"/>
    </row>
    <row r="734" spans="1:125">
      <c r="A734" s="1414"/>
      <c r="B734" s="1414"/>
      <c r="C734" s="1414"/>
      <c r="D734" s="1414"/>
      <c r="E734" s="1414"/>
      <c r="F734" s="1414"/>
      <c r="G734" s="1414"/>
      <c r="H734" s="1414"/>
      <c r="I734" s="1414"/>
      <c r="J734" s="1414"/>
      <c r="K734" s="1414"/>
      <c r="L734" s="1414"/>
      <c r="M734" s="1414"/>
      <c r="N734" s="1414"/>
      <c r="O734" s="1414"/>
      <c r="P734" s="1414"/>
      <c r="Q734" s="1414"/>
      <c r="R734" s="1414"/>
      <c r="S734" s="1414"/>
      <c r="T734" s="1414"/>
      <c r="U734" s="1414"/>
      <c r="V734" s="1414"/>
      <c r="W734" s="1414"/>
      <c r="X734" s="1414"/>
      <c r="Y734" s="1414"/>
      <c r="Z734" s="1414"/>
      <c r="AA734" s="1414"/>
      <c r="AB734" s="1414"/>
      <c r="AC734" s="1414"/>
      <c r="AD734" s="1414"/>
      <c r="AE734" s="1414"/>
      <c r="AF734" s="1414"/>
      <c r="AG734" s="1414"/>
      <c r="AH734" s="1414"/>
      <c r="AI734" s="1414"/>
      <c r="AJ734" s="1414"/>
      <c r="AK734" s="1414"/>
      <c r="AL734" s="1414"/>
      <c r="AM734" s="1414"/>
      <c r="AN734" s="1414"/>
      <c r="AO734" s="1414"/>
      <c r="AP734" s="1414"/>
      <c r="AQ734" s="1414"/>
      <c r="AR734" s="1414"/>
      <c r="AS734" s="1414"/>
      <c r="AT734" s="1414"/>
      <c r="AU734" s="1414"/>
      <c r="AV734" s="1414"/>
      <c r="AW734" s="1414"/>
      <c r="AX734" s="1414"/>
      <c r="AY734" s="1399"/>
      <c r="AZ734" s="1399"/>
      <c r="BA734" s="1399"/>
      <c r="BB734" s="1399"/>
      <c r="BC734" s="1399"/>
      <c r="BD734" s="1399"/>
      <c r="BE734" s="1414"/>
      <c r="BF734" s="1399"/>
      <c r="BG734" s="1399"/>
      <c r="BH734" s="1399"/>
      <c r="BI734" s="1399"/>
      <c r="BJ734" s="1399"/>
      <c r="BK734" s="1399"/>
      <c r="BL734" s="1399"/>
      <c r="BM734" s="1399"/>
      <c r="BN734" s="1399"/>
      <c r="BO734" s="1399"/>
      <c r="BP734" s="1399"/>
      <c r="BQ734" s="1399"/>
      <c r="BR734" s="1399"/>
      <c r="BS734" s="1399"/>
      <c r="BT734" s="1399"/>
      <c r="BU734" s="1399"/>
      <c r="BV734" s="1399"/>
      <c r="BW734" s="1399"/>
      <c r="BX734" s="1399"/>
      <c r="BY734" s="1399"/>
      <c r="BZ734" s="1399"/>
      <c r="CA734" s="1399"/>
      <c r="CB734" s="1399"/>
      <c r="CC734" s="1399"/>
      <c r="CD734" s="1399"/>
      <c r="CE734" s="1399"/>
      <c r="CF734" s="1399"/>
      <c r="CG734" s="1399"/>
      <c r="CH734" s="1399"/>
      <c r="CI734" s="1399"/>
      <c r="CJ734" s="1399"/>
      <c r="CK734" s="1399"/>
      <c r="CL734" s="1399"/>
      <c r="CM734" s="1399"/>
      <c r="CN734" s="1399"/>
      <c r="CO734" s="1399"/>
      <c r="CP734" s="1399"/>
      <c r="CQ734" s="1399"/>
      <c r="CR734" s="1399"/>
      <c r="CS734" s="1399"/>
      <c r="CT734" s="1399"/>
      <c r="CU734" s="1399"/>
      <c r="CV734" s="1399"/>
      <c r="CW734" s="1399"/>
      <c r="CX734" s="1399"/>
      <c r="CY734" s="1399"/>
      <c r="CZ734" s="1399"/>
      <c r="DA734" s="1399"/>
      <c r="DB734" s="1399"/>
      <c r="DC734" s="1399"/>
      <c r="DD734" s="1399"/>
      <c r="DE734" s="1399"/>
      <c r="DF734" s="1399"/>
      <c r="DG734" s="1399"/>
      <c r="DH734" s="1399"/>
      <c r="DI734" s="1399"/>
      <c r="DJ734" s="1399"/>
      <c r="DK734" s="1399"/>
      <c r="DL734" s="1399"/>
      <c r="DM734" s="1399"/>
      <c r="DN734" s="1399"/>
      <c r="DO734" s="1399"/>
      <c r="DP734" s="1399"/>
      <c r="DQ734" s="1399"/>
      <c r="DR734" s="1399"/>
      <c r="DS734" s="1399"/>
      <c r="DT734" s="1399"/>
      <c r="DU734" s="1399"/>
    </row>
    <row r="735" spans="1:125">
      <c r="A735" s="1414"/>
      <c r="B735" s="1414"/>
      <c r="C735" s="1414"/>
      <c r="D735" s="1414"/>
      <c r="E735" s="1414"/>
      <c r="F735" s="1414"/>
      <c r="G735" s="1414"/>
      <c r="H735" s="1414"/>
      <c r="I735" s="1414"/>
      <c r="J735" s="1414"/>
      <c r="K735" s="1414"/>
      <c r="L735" s="1414"/>
      <c r="M735" s="1414"/>
      <c r="N735" s="1414"/>
      <c r="O735" s="1414"/>
      <c r="P735" s="1414"/>
      <c r="Q735" s="1414"/>
      <c r="R735" s="1414"/>
      <c r="S735" s="1414"/>
      <c r="T735" s="1414"/>
      <c r="U735" s="1414"/>
      <c r="V735" s="1414"/>
      <c r="W735" s="1414"/>
      <c r="X735" s="1414"/>
      <c r="Y735" s="1414"/>
      <c r="Z735" s="1414"/>
      <c r="AA735" s="1414"/>
      <c r="AB735" s="1414"/>
      <c r="AC735" s="1414"/>
      <c r="AD735" s="1414"/>
      <c r="AE735" s="1414"/>
      <c r="AF735" s="1414"/>
      <c r="AG735" s="1414"/>
      <c r="AH735" s="1414"/>
      <c r="AI735" s="1414"/>
      <c r="AJ735" s="1414"/>
      <c r="AK735" s="1414"/>
      <c r="AL735" s="1414"/>
      <c r="AM735" s="1414"/>
      <c r="AN735" s="1414"/>
      <c r="AO735" s="1414"/>
      <c r="AP735" s="1414"/>
      <c r="AQ735" s="1414"/>
      <c r="AR735" s="1414"/>
      <c r="AS735" s="1414"/>
      <c r="AT735" s="1414"/>
      <c r="AU735" s="1414"/>
      <c r="AV735" s="1414"/>
      <c r="AW735" s="1414"/>
      <c r="AX735" s="1414"/>
      <c r="AY735" s="1399"/>
      <c r="AZ735" s="1399"/>
      <c r="BA735" s="1399"/>
      <c r="BB735" s="1399"/>
      <c r="BC735" s="1399"/>
      <c r="BD735" s="1399"/>
      <c r="BE735" s="1414"/>
      <c r="BF735" s="1399"/>
      <c r="BG735" s="1399"/>
      <c r="BH735" s="1399"/>
      <c r="BI735" s="1399"/>
      <c r="BJ735" s="1399"/>
      <c r="BK735" s="1399"/>
      <c r="BL735" s="1399"/>
      <c r="BM735" s="1399"/>
      <c r="BN735" s="1399"/>
      <c r="BO735" s="1399"/>
      <c r="BP735" s="1399"/>
      <c r="BQ735" s="1399"/>
      <c r="BR735" s="1399"/>
      <c r="BS735" s="1399"/>
      <c r="BT735" s="1399"/>
      <c r="BU735" s="1399"/>
      <c r="BV735" s="1399"/>
      <c r="BW735" s="1399"/>
      <c r="BX735" s="1399"/>
      <c r="BY735" s="1399"/>
      <c r="BZ735" s="1399"/>
      <c r="CA735" s="1399"/>
      <c r="CB735" s="1399"/>
      <c r="CC735" s="1399"/>
      <c r="CD735" s="1399"/>
      <c r="CE735" s="1399"/>
      <c r="CF735" s="1399"/>
      <c r="CG735" s="1399"/>
      <c r="CH735" s="1399"/>
      <c r="CI735" s="1399"/>
      <c r="CJ735" s="1399"/>
      <c r="CK735" s="1399"/>
      <c r="CL735" s="1399"/>
      <c r="CM735" s="1399"/>
      <c r="CN735" s="1399"/>
      <c r="CO735" s="1399"/>
      <c r="CP735" s="1399"/>
      <c r="CQ735" s="1399"/>
      <c r="CR735" s="1399"/>
      <c r="CS735" s="1399"/>
      <c r="CT735" s="1399"/>
      <c r="CU735" s="1399"/>
      <c r="CV735" s="1399"/>
      <c r="CW735" s="1399"/>
      <c r="CX735" s="1399"/>
      <c r="CY735" s="1399"/>
      <c r="CZ735" s="1399"/>
      <c r="DA735" s="1399"/>
      <c r="DB735" s="1399"/>
      <c r="DC735" s="1399"/>
      <c r="DD735" s="1399"/>
      <c r="DE735" s="1399"/>
      <c r="DF735" s="1399"/>
      <c r="DG735" s="1399"/>
      <c r="DH735" s="1399"/>
      <c r="DI735" s="1399"/>
      <c r="DJ735" s="1399"/>
      <c r="DK735" s="1399"/>
      <c r="DL735" s="1399"/>
      <c r="DM735" s="1399"/>
      <c r="DN735" s="1399"/>
      <c r="DO735" s="1399"/>
      <c r="DP735" s="1399"/>
      <c r="DQ735" s="1399"/>
      <c r="DR735" s="1399"/>
      <c r="DS735" s="1399"/>
      <c r="DT735" s="1399"/>
      <c r="DU735" s="1399"/>
    </row>
    <row r="736" spans="1:125">
      <c r="A736" s="1414"/>
      <c r="B736" s="1414"/>
      <c r="C736" s="1414"/>
      <c r="D736" s="1414"/>
      <c r="E736" s="1414"/>
      <c r="F736" s="1414"/>
      <c r="G736" s="1414"/>
      <c r="H736" s="1414"/>
      <c r="I736" s="1414"/>
      <c r="J736" s="1414"/>
      <c r="K736" s="1414"/>
      <c r="L736" s="1414"/>
      <c r="M736" s="1414"/>
      <c r="N736" s="1414"/>
      <c r="O736" s="1414"/>
      <c r="P736" s="1414"/>
      <c r="Q736" s="1414"/>
      <c r="R736" s="1414"/>
      <c r="S736" s="1414"/>
      <c r="T736" s="1414"/>
      <c r="U736" s="1414"/>
      <c r="V736" s="1414"/>
      <c r="W736" s="1414"/>
      <c r="X736" s="1414"/>
      <c r="Y736" s="1414"/>
      <c r="Z736" s="1414"/>
      <c r="AA736" s="1414"/>
      <c r="AB736" s="1414"/>
      <c r="AC736" s="1414"/>
      <c r="AD736" s="1414"/>
      <c r="AE736" s="1414"/>
      <c r="AF736" s="1414"/>
      <c r="AG736" s="1414"/>
      <c r="AH736" s="1414"/>
      <c r="AI736" s="1414"/>
      <c r="AJ736" s="1414"/>
      <c r="AK736" s="1414"/>
      <c r="AL736" s="1414"/>
      <c r="AM736" s="1414"/>
      <c r="AN736" s="1414"/>
      <c r="AO736" s="1414"/>
      <c r="AP736" s="1414"/>
      <c r="AQ736" s="1414"/>
      <c r="AR736" s="1414"/>
      <c r="AS736" s="1414"/>
      <c r="AT736" s="1414"/>
      <c r="AU736" s="1414"/>
      <c r="AV736" s="1414"/>
      <c r="AW736" s="1414"/>
      <c r="AX736" s="1414"/>
      <c r="AY736" s="1399"/>
      <c r="AZ736" s="1399"/>
      <c r="BA736" s="1399"/>
      <c r="BB736" s="1399"/>
      <c r="BC736" s="1399"/>
      <c r="BD736" s="1399"/>
      <c r="BE736" s="1414"/>
      <c r="BF736" s="1399"/>
      <c r="BG736" s="1399"/>
      <c r="BH736" s="1399"/>
      <c r="BI736" s="1399"/>
      <c r="BJ736" s="1399"/>
      <c r="BK736" s="1399"/>
      <c r="BL736" s="1399"/>
      <c r="BM736" s="1399"/>
      <c r="BN736" s="1399"/>
      <c r="BO736" s="1399"/>
      <c r="BP736" s="1399"/>
      <c r="BQ736" s="1399"/>
      <c r="BR736" s="1399"/>
      <c r="BS736" s="1399"/>
      <c r="BT736" s="1399"/>
      <c r="BU736" s="1399"/>
      <c r="BV736" s="1399"/>
      <c r="BW736" s="1399"/>
      <c r="BX736" s="1399"/>
      <c r="BY736" s="1399"/>
      <c r="BZ736" s="1399"/>
      <c r="CA736" s="1399"/>
      <c r="CB736" s="1399"/>
      <c r="CC736" s="1399"/>
      <c r="CD736" s="1399"/>
      <c r="CE736" s="1399"/>
      <c r="CF736" s="1399"/>
      <c r="CG736" s="1399"/>
      <c r="CH736" s="1399"/>
      <c r="CI736" s="1399"/>
      <c r="CJ736" s="1399"/>
      <c r="CK736" s="1399"/>
      <c r="CL736" s="1399"/>
      <c r="CM736" s="1399"/>
      <c r="CN736" s="1399"/>
      <c r="CO736" s="1399"/>
      <c r="CP736" s="1399"/>
      <c r="CQ736" s="1399"/>
      <c r="CR736" s="1399"/>
      <c r="CS736" s="1399"/>
      <c r="CT736" s="1399"/>
      <c r="CU736" s="1399"/>
      <c r="CV736" s="1399"/>
      <c r="CW736" s="1399"/>
      <c r="CX736" s="1399"/>
      <c r="CY736" s="1399"/>
      <c r="CZ736" s="1399"/>
      <c r="DA736" s="1399"/>
      <c r="DB736" s="1399"/>
      <c r="DC736" s="1399"/>
      <c r="DD736" s="1399"/>
      <c r="DE736" s="1399"/>
      <c r="DF736" s="1399"/>
      <c r="DG736" s="1399"/>
      <c r="DH736" s="1399"/>
      <c r="DI736" s="1399"/>
      <c r="DJ736" s="1399"/>
      <c r="DK736" s="1399"/>
      <c r="DL736" s="1399"/>
      <c r="DM736" s="1399"/>
      <c r="DN736" s="1399"/>
      <c r="DO736" s="1399"/>
      <c r="DP736" s="1399"/>
      <c r="DQ736" s="1399"/>
      <c r="DR736" s="1399"/>
      <c r="DS736" s="1399"/>
      <c r="DT736" s="1399"/>
      <c r="DU736" s="1399"/>
    </row>
    <row r="737" spans="1:125">
      <c r="A737" s="1414"/>
      <c r="B737" s="1414"/>
      <c r="C737" s="1414"/>
      <c r="D737" s="1414"/>
      <c r="E737" s="1414"/>
      <c r="F737" s="1414"/>
      <c r="G737" s="1414"/>
      <c r="H737" s="1414"/>
      <c r="I737" s="1414"/>
      <c r="J737" s="1414"/>
      <c r="K737" s="1414"/>
      <c r="L737" s="1414"/>
      <c r="M737" s="1414"/>
      <c r="N737" s="1414"/>
      <c r="O737" s="1414"/>
      <c r="P737" s="1414"/>
      <c r="Q737" s="1414"/>
      <c r="R737" s="1414"/>
      <c r="S737" s="1414"/>
      <c r="T737" s="1414"/>
      <c r="U737" s="1414"/>
      <c r="V737" s="1414"/>
      <c r="W737" s="1414"/>
      <c r="X737" s="1414"/>
      <c r="Y737" s="1414"/>
      <c r="Z737" s="1414"/>
      <c r="AA737" s="1414"/>
      <c r="AB737" s="1414"/>
      <c r="AC737" s="1414"/>
      <c r="AD737" s="1414"/>
      <c r="AE737" s="1414"/>
      <c r="AF737" s="1414"/>
      <c r="AG737" s="1414"/>
      <c r="AH737" s="1414"/>
      <c r="AI737" s="1414"/>
      <c r="AJ737" s="1414"/>
      <c r="AK737" s="1414"/>
      <c r="AL737" s="1414"/>
      <c r="AM737" s="1414"/>
      <c r="AN737" s="1414"/>
      <c r="AO737" s="1414"/>
      <c r="AP737" s="1414"/>
      <c r="AQ737" s="1414"/>
      <c r="AR737" s="1414"/>
      <c r="AS737" s="1414"/>
      <c r="AT737" s="1414"/>
      <c r="AU737" s="1414"/>
      <c r="AV737" s="1414"/>
      <c r="AW737" s="1414"/>
      <c r="AX737" s="1414"/>
      <c r="AY737" s="1399"/>
      <c r="AZ737" s="1399"/>
      <c r="BA737" s="1399"/>
      <c r="BB737" s="1399"/>
      <c r="BC737" s="1399"/>
      <c r="BD737" s="1399"/>
      <c r="BE737" s="1414"/>
      <c r="BF737" s="1399"/>
      <c r="BG737" s="1399"/>
      <c r="BH737" s="1399"/>
      <c r="BI737" s="1399"/>
      <c r="BJ737" s="1399"/>
      <c r="BK737" s="1399"/>
      <c r="BL737" s="1399"/>
      <c r="BM737" s="1399"/>
      <c r="BN737" s="1399"/>
      <c r="BO737" s="1399"/>
      <c r="BP737" s="1399"/>
      <c r="BQ737" s="1399"/>
      <c r="BR737" s="1399"/>
      <c r="BS737" s="1399"/>
      <c r="BT737" s="1399"/>
      <c r="BU737" s="1399"/>
      <c r="BV737" s="1399"/>
      <c r="BW737" s="1399"/>
      <c r="BX737" s="1399"/>
      <c r="BY737" s="1399"/>
      <c r="BZ737" s="1399"/>
      <c r="CA737" s="1399"/>
      <c r="CB737" s="1399"/>
      <c r="CC737" s="1399"/>
      <c r="CD737" s="1399"/>
      <c r="CE737" s="1399"/>
      <c r="CF737" s="1399"/>
      <c r="CG737" s="1399"/>
      <c r="CH737" s="1399"/>
      <c r="CI737" s="1399"/>
      <c r="CJ737" s="1399"/>
      <c r="CK737" s="1399"/>
      <c r="CL737" s="1399"/>
      <c r="CM737" s="1399"/>
      <c r="CN737" s="1399"/>
      <c r="CO737" s="1399"/>
      <c r="CP737" s="1399"/>
      <c r="CQ737" s="1399"/>
      <c r="CR737" s="1399"/>
      <c r="CS737" s="1399"/>
      <c r="CT737" s="1399"/>
      <c r="CU737" s="1399"/>
      <c r="CV737" s="1399"/>
      <c r="CW737" s="1399"/>
      <c r="CX737" s="1399"/>
      <c r="CY737" s="1399"/>
      <c r="CZ737" s="1399"/>
      <c r="DA737" s="1399"/>
      <c r="DB737" s="1399"/>
      <c r="DC737" s="1399"/>
      <c r="DD737" s="1399"/>
      <c r="DE737" s="1399"/>
      <c r="DF737" s="1399"/>
      <c r="DG737" s="1399"/>
      <c r="DH737" s="1399"/>
      <c r="DI737" s="1399"/>
      <c r="DJ737" s="1399"/>
      <c r="DK737" s="1399"/>
      <c r="DL737" s="1399"/>
      <c r="DM737" s="1399"/>
      <c r="DN737" s="1399"/>
      <c r="DO737" s="1399"/>
      <c r="DP737" s="1399"/>
      <c r="DQ737" s="1399"/>
      <c r="DR737" s="1399"/>
      <c r="DS737" s="1399"/>
      <c r="DT737" s="1399"/>
      <c r="DU737" s="1399"/>
    </row>
    <row r="738" spans="1:125">
      <c r="A738" s="1414"/>
      <c r="B738" s="1414"/>
      <c r="C738" s="1414"/>
      <c r="D738" s="1414"/>
      <c r="E738" s="1414"/>
      <c r="F738" s="1414"/>
      <c r="G738" s="1414"/>
      <c r="H738" s="1414"/>
      <c r="I738" s="1414"/>
      <c r="J738" s="1414"/>
      <c r="K738" s="1414"/>
      <c r="L738" s="1414"/>
      <c r="M738" s="1414"/>
      <c r="N738" s="1414"/>
      <c r="O738" s="1414"/>
      <c r="P738" s="1414"/>
      <c r="Q738" s="1414"/>
      <c r="R738" s="1414"/>
      <c r="S738" s="1414"/>
      <c r="T738" s="1414"/>
      <c r="U738" s="1414"/>
      <c r="V738" s="1414"/>
      <c r="W738" s="1414"/>
      <c r="X738" s="1414"/>
      <c r="Y738" s="1414"/>
      <c r="Z738" s="1414"/>
      <c r="AA738" s="1414"/>
      <c r="AB738" s="1414"/>
      <c r="AC738" s="1414"/>
      <c r="AD738" s="1414"/>
      <c r="AE738" s="1414"/>
      <c r="AF738" s="1414"/>
      <c r="AG738" s="1414"/>
      <c r="AH738" s="1414"/>
      <c r="AI738" s="1414"/>
      <c r="AJ738" s="1414"/>
      <c r="AK738" s="1414"/>
      <c r="AL738" s="1414"/>
      <c r="AM738" s="1414"/>
      <c r="AN738" s="1414"/>
      <c r="AO738" s="1414"/>
      <c r="AP738" s="1414"/>
      <c r="AQ738" s="1414"/>
      <c r="AR738" s="1414"/>
      <c r="AS738" s="1414"/>
      <c r="AT738" s="1414"/>
      <c r="AU738" s="1414"/>
      <c r="AV738" s="1414"/>
      <c r="AW738" s="1414"/>
      <c r="AX738" s="1414"/>
      <c r="AY738" s="1399"/>
      <c r="AZ738" s="1399"/>
      <c r="BA738" s="1399"/>
      <c r="BB738" s="1399"/>
      <c r="BC738" s="1399"/>
      <c r="BD738" s="1399"/>
      <c r="BE738" s="1414"/>
      <c r="BF738" s="1399"/>
      <c r="BG738" s="1399"/>
      <c r="BH738" s="1399"/>
      <c r="BI738" s="1399"/>
      <c r="BJ738" s="1399"/>
      <c r="BK738" s="1399"/>
      <c r="BL738" s="1399"/>
      <c r="BM738" s="1399"/>
      <c r="BN738" s="1399"/>
      <c r="BO738" s="1399"/>
      <c r="BP738" s="1399"/>
      <c r="BQ738" s="1399"/>
      <c r="BR738" s="1399"/>
      <c r="BS738" s="1399"/>
      <c r="BT738" s="1399"/>
      <c r="BU738" s="1399"/>
      <c r="BV738" s="1399"/>
      <c r="BW738" s="1399"/>
      <c r="BX738" s="1399"/>
      <c r="BY738" s="1399"/>
      <c r="BZ738" s="1399"/>
      <c r="CA738" s="1399"/>
      <c r="CB738" s="1399"/>
      <c r="CC738" s="1399"/>
      <c r="CD738" s="1399"/>
      <c r="CE738" s="1399"/>
      <c r="CF738" s="1399"/>
      <c r="CG738" s="1399"/>
      <c r="CH738" s="1399"/>
      <c r="CI738" s="1399"/>
      <c r="CJ738" s="1399"/>
      <c r="CK738" s="1399"/>
      <c r="CL738" s="1399"/>
      <c r="CM738" s="1399"/>
      <c r="CN738" s="1399"/>
      <c r="CO738" s="1399"/>
      <c r="CP738" s="1399"/>
      <c r="CQ738" s="1399"/>
      <c r="CR738" s="1399"/>
      <c r="CS738" s="1399"/>
      <c r="CT738" s="1399"/>
      <c r="CU738" s="1399"/>
      <c r="CV738" s="1399"/>
      <c r="CW738" s="1399"/>
      <c r="CX738" s="1399"/>
      <c r="CY738" s="1399"/>
      <c r="CZ738" s="1399"/>
      <c r="DA738" s="1399"/>
      <c r="DB738" s="1399"/>
      <c r="DC738" s="1399"/>
      <c r="DD738" s="1399"/>
      <c r="DE738" s="1399"/>
      <c r="DF738" s="1399"/>
      <c r="DG738" s="1399"/>
      <c r="DH738" s="1399"/>
      <c r="DI738" s="1399"/>
      <c r="DJ738" s="1399"/>
      <c r="DK738" s="1399"/>
      <c r="DL738" s="1399"/>
      <c r="DM738" s="1399"/>
      <c r="DN738" s="1399"/>
      <c r="DO738" s="1399"/>
      <c r="DP738" s="1399"/>
      <c r="DQ738" s="1399"/>
      <c r="DR738" s="1399"/>
      <c r="DS738" s="1399"/>
      <c r="DT738" s="1399"/>
      <c r="DU738" s="1399"/>
    </row>
    <row r="739" spans="1:125">
      <c r="A739" s="1414"/>
      <c r="B739" s="1414"/>
      <c r="C739" s="1414"/>
      <c r="D739" s="1414"/>
      <c r="E739" s="1414"/>
      <c r="F739" s="1414"/>
      <c r="G739" s="1414"/>
      <c r="H739" s="1414"/>
      <c r="I739" s="1414"/>
      <c r="J739" s="1414"/>
      <c r="K739" s="1414"/>
      <c r="L739" s="1414"/>
      <c r="M739" s="1414"/>
      <c r="N739" s="1414"/>
      <c r="O739" s="1414"/>
      <c r="P739" s="1414"/>
      <c r="Q739" s="1414"/>
      <c r="R739" s="1414"/>
      <c r="S739" s="1414"/>
      <c r="T739" s="1414"/>
      <c r="U739" s="1414"/>
      <c r="V739" s="1414"/>
      <c r="W739" s="1414"/>
      <c r="X739" s="1414"/>
      <c r="Y739" s="1414"/>
      <c r="Z739" s="1414"/>
      <c r="AA739" s="1414"/>
      <c r="AB739" s="1414"/>
      <c r="AC739" s="1414"/>
      <c r="AD739" s="1414"/>
      <c r="AE739" s="1414"/>
      <c r="AF739" s="1414"/>
      <c r="AG739" s="1414"/>
      <c r="AH739" s="1414"/>
      <c r="AI739" s="1414"/>
      <c r="AJ739" s="1414"/>
      <c r="AK739" s="1414"/>
      <c r="AL739" s="1414"/>
      <c r="AM739" s="1414"/>
      <c r="AN739" s="1414"/>
      <c r="AO739" s="1414"/>
      <c r="AP739" s="1414"/>
      <c r="AQ739" s="1414"/>
      <c r="AR739" s="1414"/>
      <c r="AS739" s="1414"/>
      <c r="AT739" s="1414"/>
      <c r="AU739" s="1414"/>
      <c r="AV739" s="1414"/>
      <c r="AW739" s="1414"/>
      <c r="AX739" s="1414"/>
      <c r="AY739" s="1399"/>
      <c r="AZ739" s="1399"/>
      <c r="BA739" s="1399"/>
      <c r="BB739" s="1399"/>
      <c r="BC739" s="1399"/>
      <c r="BD739" s="1399"/>
      <c r="BE739" s="1414"/>
      <c r="BF739" s="1399"/>
      <c r="BG739" s="1399"/>
      <c r="BH739" s="1399"/>
      <c r="BI739" s="1399"/>
      <c r="BJ739" s="1399"/>
      <c r="BK739" s="1399"/>
      <c r="BL739" s="1399"/>
      <c r="BM739" s="1399"/>
      <c r="BN739" s="1399"/>
      <c r="BO739" s="1399"/>
      <c r="BP739" s="1399"/>
      <c r="BQ739" s="1399"/>
      <c r="BR739" s="1399"/>
      <c r="BS739" s="1399"/>
      <c r="BT739" s="1399"/>
      <c r="BU739" s="1399"/>
      <c r="BV739" s="1399"/>
      <c r="BW739" s="1399"/>
      <c r="BX739" s="1399"/>
      <c r="BY739" s="1399"/>
      <c r="BZ739" s="1399"/>
      <c r="CA739" s="1399"/>
      <c r="CB739" s="1399"/>
      <c r="CC739" s="1399"/>
      <c r="CD739" s="1399"/>
      <c r="CE739" s="1399"/>
      <c r="CF739" s="1399"/>
      <c r="CG739" s="1399"/>
      <c r="CH739" s="1399"/>
      <c r="CI739" s="1399"/>
      <c r="CJ739" s="1399"/>
      <c r="CK739" s="1399"/>
      <c r="CL739" s="1399"/>
      <c r="CM739" s="1399"/>
      <c r="CN739" s="1399"/>
      <c r="CO739" s="1399"/>
      <c r="CP739" s="1399"/>
      <c r="CQ739" s="1399"/>
      <c r="CR739" s="1399"/>
      <c r="CS739" s="1399"/>
      <c r="CT739" s="1399"/>
      <c r="CU739" s="1399"/>
      <c r="CV739" s="1399"/>
      <c r="CW739" s="1399"/>
      <c r="CX739" s="1399"/>
      <c r="CY739" s="1399"/>
      <c r="CZ739" s="1399"/>
      <c r="DA739" s="1399"/>
      <c r="DB739" s="1399"/>
      <c r="DC739" s="1399"/>
      <c r="DD739" s="1399"/>
      <c r="DE739" s="1399"/>
      <c r="DF739" s="1399"/>
      <c r="DG739" s="1399"/>
      <c r="DH739" s="1399"/>
      <c r="DI739" s="1399"/>
      <c r="DJ739" s="1399"/>
      <c r="DK739" s="1399"/>
      <c r="DL739" s="1399"/>
      <c r="DM739" s="1399"/>
      <c r="DN739" s="1399"/>
      <c r="DO739" s="1399"/>
      <c r="DP739" s="1399"/>
      <c r="DQ739" s="1399"/>
      <c r="DR739" s="1399"/>
      <c r="DS739" s="1399"/>
      <c r="DT739" s="1399"/>
      <c r="DU739" s="1399"/>
    </row>
    <row r="740" spans="1:125">
      <c r="A740" s="1414"/>
      <c r="B740" s="1414"/>
      <c r="C740" s="1414"/>
      <c r="D740" s="1414"/>
      <c r="E740" s="1414"/>
      <c r="F740" s="1414"/>
      <c r="G740" s="1414"/>
      <c r="H740" s="1414"/>
      <c r="I740" s="1414"/>
      <c r="J740" s="1414"/>
      <c r="K740" s="1414"/>
      <c r="L740" s="1414"/>
      <c r="M740" s="1414"/>
      <c r="N740" s="1414"/>
      <c r="O740" s="1414"/>
      <c r="P740" s="1414"/>
      <c r="Q740" s="1414"/>
      <c r="R740" s="1414"/>
      <c r="S740" s="1414"/>
      <c r="T740" s="1414"/>
      <c r="U740" s="1414"/>
      <c r="V740" s="1414"/>
      <c r="W740" s="1414"/>
      <c r="X740" s="1414"/>
      <c r="Y740" s="1414"/>
      <c r="Z740" s="1414"/>
      <c r="AA740" s="1414"/>
      <c r="AB740" s="1414"/>
      <c r="AC740" s="1414"/>
      <c r="AD740" s="1414"/>
      <c r="AE740" s="1414"/>
      <c r="AF740" s="1414"/>
      <c r="AG740" s="1414"/>
      <c r="AH740" s="1414"/>
      <c r="AI740" s="1414"/>
      <c r="AJ740" s="1414"/>
      <c r="AK740" s="1414"/>
      <c r="AL740" s="1414"/>
      <c r="AM740" s="1414"/>
      <c r="AN740" s="1414"/>
      <c r="AO740" s="1414"/>
      <c r="AP740" s="1414"/>
      <c r="AQ740" s="1414"/>
      <c r="AR740" s="1414"/>
      <c r="AS740" s="1414"/>
      <c r="AT740" s="1414"/>
      <c r="AU740" s="1414"/>
      <c r="AV740" s="1414"/>
      <c r="AW740" s="1414"/>
      <c r="AX740" s="1414"/>
      <c r="AY740" s="1399"/>
      <c r="AZ740" s="1399"/>
      <c r="BA740" s="1399"/>
      <c r="BB740" s="1399"/>
      <c r="BC740" s="1399"/>
      <c r="BD740" s="1399"/>
      <c r="BE740" s="1414"/>
      <c r="BF740" s="1399"/>
      <c r="BG740" s="1399"/>
      <c r="BH740" s="1399"/>
      <c r="BI740" s="1399"/>
      <c r="BJ740" s="1399"/>
      <c r="BK740" s="1399"/>
      <c r="BL740" s="1399"/>
      <c r="BM740" s="1399"/>
      <c r="BN740" s="1399"/>
      <c r="BO740" s="1399"/>
      <c r="BP740" s="1399"/>
      <c r="BQ740" s="1399"/>
      <c r="BR740" s="1399"/>
      <c r="BS740" s="1399"/>
      <c r="BT740" s="1399"/>
      <c r="BU740" s="1399"/>
      <c r="BV740" s="1399"/>
      <c r="BW740" s="1399"/>
      <c r="BX740" s="1399"/>
      <c r="BY740" s="1399"/>
      <c r="BZ740" s="1399"/>
      <c r="CA740" s="1399"/>
      <c r="CB740" s="1399"/>
      <c r="CC740" s="1399"/>
      <c r="CD740" s="1399"/>
      <c r="CE740" s="1399"/>
      <c r="CF740" s="1399"/>
      <c r="CG740" s="1399"/>
      <c r="CH740" s="1399"/>
      <c r="CI740" s="1399"/>
      <c r="CJ740" s="1399"/>
      <c r="CK740" s="1399"/>
      <c r="CL740" s="1399"/>
      <c r="CM740" s="1399"/>
      <c r="CN740" s="1399"/>
      <c r="CO740" s="1399"/>
      <c r="CP740" s="1399"/>
      <c r="CQ740" s="1399"/>
      <c r="CR740" s="1399"/>
      <c r="CS740" s="1399"/>
      <c r="CT740" s="1399"/>
      <c r="CU740" s="1399"/>
      <c r="CV740" s="1399"/>
      <c r="CW740" s="1399"/>
      <c r="CX740" s="1399"/>
      <c r="CY740" s="1399"/>
      <c r="CZ740" s="1399"/>
      <c r="DA740" s="1399"/>
      <c r="DB740" s="1399"/>
      <c r="DC740" s="1399"/>
      <c r="DD740" s="1399"/>
      <c r="DE740" s="1399"/>
      <c r="DF740" s="1399"/>
      <c r="DG740" s="1399"/>
      <c r="DH740" s="1399"/>
      <c r="DI740" s="1399"/>
      <c r="DJ740" s="1399"/>
      <c r="DK740" s="1399"/>
      <c r="DL740" s="1399"/>
      <c r="DM740" s="1399"/>
      <c r="DN740" s="1399"/>
      <c r="DO740" s="1399"/>
      <c r="DP740" s="1399"/>
      <c r="DQ740" s="1399"/>
      <c r="DR740" s="1399"/>
      <c r="DS740" s="1399"/>
      <c r="DT740" s="1399"/>
      <c r="DU740" s="1399"/>
    </row>
    <row r="741" spans="1:125">
      <c r="A741" s="1414"/>
      <c r="B741" s="1414"/>
      <c r="C741" s="1414"/>
      <c r="D741" s="1414"/>
      <c r="E741" s="1414"/>
      <c r="F741" s="1414"/>
      <c r="G741" s="1414"/>
      <c r="H741" s="1414"/>
      <c r="I741" s="1414"/>
      <c r="J741" s="1414"/>
      <c r="K741" s="1414"/>
      <c r="L741" s="1414"/>
      <c r="M741" s="1414"/>
      <c r="N741" s="1414"/>
      <c r="O741" s="1414"/>
      <c r="P741" s="1414"/>
      <c r="Q741" s="1414"/>
      <c r="R741" s="1414"/>
      <c r="S741" s="1414"/>
      <c r="T741" s="1414"/>
      <c r="U741" s="1414"/>
      <c r="V741" s="1414"/>
      <c r="W741" s="1414"/>
      <c r="X741" s="1414"/>
      <c r="Y741" s="1414"/>
      <c r="Z741" s="1414"/>
      <c r="AA741" s="1414"/>
      <c r="AB741" s="1414"/>
      <c r="AC741" s="1414"/>
      <c r="AD741" s="1414"/>
      <c r="AE741" s="1414"/>
      <c r="AF741" s="1414"/>
      <c r="AG741" s="1414"/>
      <c r="AH741" s="1414"/>
      <c r="AI741" s="1414"/>
      <c r="AJ741" s="1414"/>
      <c r="AK741" s="1414"/>
      <c r="AL741" s="1414"/>
      <c r="AM741" s="1414"/>
      <c r="AN741" s="1414"/>
      <c r="AO741" s="1414"/>
      <c r="AP741" s="1414"/>
      <c r="AQ741" s="1414"/>
      <c r="AR741" s="1414"/>
      <c r="AS741" s="1414"/>
      <c r="AT741" s="1414"/>
      <c r="AU741" s="1414"/>
      <c r="AV741" s="1414"/>
      <c r="AW741" s="1414"/>
      <c r="AX741" s="1414"/>
      <c r="AY741" s="1399"/>
      <c r="AZ741" s="1399"/>
      <c r="BA741" s="1399"/>
      <c r="BB741" s="1399"/>
      <c r="BC741" s="1399"/>
      <c r="BD741" s="1399"/>
      <c r="BE741" s="1414"/>
      <c r="BF741" s="1399"/>
      <c r="BG741" s="1399"/>
      <c r="BH741" s="1399"/>
      <c r="BI741" s="1399"/>
      <c r="BJ741" s="1399"/>
      <c r="BK741" s="1399"/>
      <c r="BL741" s="1399"/>
      <c r="BM741" s="1399"/>
      <c r="BN741" s="1399"/>
      <c r="BO741" s="1399"/>
      <c r="BP741" s="1399"/>
      <c r="BQ741" s="1399"/>
      <c r="BR741" s="1399"/>
      <c r="BS741" s="1399"/>
      <c r="BT741" s="1399"/>
      <c r="BU741" s="1399"/>
      <c r="BV741" s="1399"/>
      <c r="BW741" s="1399"/>
      <c r="BX741" s="1399"/>
      <c r="BY741" s="1399"/>
      <c r="BZ741" s="1399"/>
      <c r="CA741" s="1399"/>
      <c r="CB741" s="1399"/>
      <c r="CC741" s="1399"/>
      <c r="CD741" s="1399"/>
      <c r="CE741" s="1399"/>
      <c r="CF741" s="1399"/>
      <c r="CG741" s="1399"/>
      <c r="CH741" s="1399"/>
      <c r="CI741" s="1399"/>
      <c r="CJ741" s="1399"/>
      <c r="CK741" s="1399"/>
      <c r="CL741" s="1399"/>
      <c r="CM741" s="1399"/>
      <c r="CN741" s="1399"/>
      <c r="CO741" s="1399"/>
      <c r="CP741" s="1399"/>
      <c r="CQ741" s="1399"/>
      <c r="CR741" s="1399"/>
      <c r="CS741" s="1399"/>
      <c r="CT741" s="1399"/>
      <c r="CU741" s="1399"/>
      <c r="CV741" s="1399"/>
      <c r="CW741" s="1399"/>
      <c r="CX741" s="1399"/>
      <c r="CY741" s="1399"/>
      <c r="CZ741" s="1399"/>
      <c r="DA741" s="1399"/>
      <c r="DB741" s="1399"/>
      <c r="DC741" s="1399"/>
      <c r="DD741" s="1399"/>
      <c r="DE741" s="1399"/>
      <c r="DF741" s="1399"/>
      <c r="DG741" s="1399"/>
      <c r="DH741" s="1399"/>
      <c r="DI741" s="1399"/>
      <c r="DJ741" s="1399"/>
      <c r="DK741" s="1399"/>
      <c r="DL741" s="1399"/>
      <c r="DM741" s="1399"/>
      <c r="DN741" s="1399"/>
      <c r="DO741" s="1399"/>
      <c r="DP741" s="1399"/>
      <c r="DQ741" s="1399"/>
      <c r="DR741" s="1399"/>
      <c r="DS741" s="1399"/>
      <c r="DT741" s="1399"/>
      <c r="DU741" s="1399"/>
    </row>
    <row r="742" spans="1:125">
      <c r="A742" s="1414"/>
      <c r="B742" s="1414"/>
      <c r="C742" s="1414"/>
      <c r="D742" s="1414"/>
      <c r="E742" s="1414"/>
      <c r="F742" s="1414"/>
      <c r="G742" s="1414"/>
      <c r="H742" s="1414"/>
      <c r="I742" s="1414"/>
      <c r="J742" s="1414"/>
      <c r="K742" s="1414"/>
      <c r="L742" s="1414"/>
      <c r="M742" s="1414"/>
      <c r="N742" s="1414"/>
      <c r="O742" s="1414"/>
      <c r="P742" s="1414"/>
      <c r="Q742" s="1414"/>
      <c r="R742" s="1414"/>
      <c r="S742" s="1414"/>
      <c r="T742" s="1414"/>
      <c r="U742" s="1414"/>
      <c r="V742" s="1414"/>
      <c r="W742" s="1414"/>
      <c r="X742" s="1414"/>
      <c r="Y742" s="1414"/>
      <c r="Z742" s="1414"/>
      <c r="AA742" s="1414"/>
      <c r="AB742" s="1414"/>
      <c r="AC742" s="1414"/>
      <c r="AD742" s="1414"/>
      <c r="AE742" s="1414"/>
      <c r="AF742" s="1414"/>
      <c r="AG742" s="1414"/>
      <c r="AH742" s="1414"/>
      <c r="AI742" s="1414"/>
      <c r="AJ742" s="1414"/>
      <c r="AK742" s="1414"/>
      <c r="AL742" s="1414"/>
      <c r="AM742" s="1414"/>
      <c r="AN742" s="1414"/>
      <c r="AO742" s="1414"/>
      <c r="AP742" s="1414"/>
      <c r="AQ742" s="1414"/>
      <c r="AR742" s="1414"/>
      <c r="AS742" s="1414"/>
      <c r="AT742" s="1414"/>
      <c r="AU742" s="1414"/>
      <c r="AV742" s="1414"/>
      <c r="AW742" s="1414"/>
      <c r="AX742" s="1414"/>
      <c r="AY742" s="1399"/>
      <c r="AZ742" s="1399"/>
      <c r="BA742" s="1399"/>
      <c r="BB742" s="1399"/>
      <c r="BC742" s="1399"/>
      <c r="BD742" s="1399"/>
      <c r="BE742" s="1414"/>
      <c r="BF742" s="1399"/>
      <c r="BG742" s="1399"/>
      <c r="BH742" s="1399"/>
      <c r="BI742" s="1399"/>
      <c r="BJ742" s="1399"/>
      <c r="BK742" s="1399"/>
      <c r="BL742" s="1399"/>
      <c r="BM742" s="1399"/>
      <c r="BN742" s="1399"/>
      <c r="BO742" s="1399"/>
      <c r="BP742" s="1399"/>
      <c r="BQ742" s="1399"/>
      <c r="BR742" s="1399"/>
      <c r="BS742" s="1399"/>
      <c r="BT742" s="1399"/>
      <c r="BU742" s="1399"/>
      <c r="BV742" s="1399"/>
      <c r="BW742" s="1399"/>
      <c r="BX742" s="1399"/>
      <c r="BY742" s="1399"/>
      <c r="BZ742" s="1399"/>
      <c r="CA742" s="1399"/>
      <c r="CB742" s="1399"/>
      <c r="CC742" s="1399"/>
      <c r="CD742" s="1399"/>
      <c r="CE742" s="1399"/>
      <c r="CF742" s="1399"/>
      <c r="CG742" s="1399"/>
      <c r="CH742" s="1399"/>
      <c r="CI742" s="1399"/>
      <c r="CJ742" s="1399"/>
      <c r="CK742" s="1399"/>
      <c r="CL742" s="1399"/>
      <c r="CM742" s="1399"/>
      <c r="CN742" s="1399"/>
      <c r="CO742" s="1399"/>
      <c r="CP742" s="1399"/>
      <c r="CQ742" s="1399"/>
      <c r="CR742" s="1399"/>
      <c r="CS742" s="1399"/>
      <c r="CT742" s="1399"/>
      <c r="CU742" s="1399"/>
      <c r="CV742" s="1399"/>
      <c r="CW742" s="1399"/>
      <c r="CX742" s="1399"/>
      <c r="CY742" s="1399"/>
      <c r="CZ742" s="1399"/>
      <c r="DA742" s="1399"/>
      <c r="DB742" s="1399"/>
      <c r="DC742" s="1399"/>
      <c r="DD742" s="1399"/>
      <c r="DE742" s="1399"/>
      <c r="DF742" s="1399"/>
      <c r="DG742" s="1399"/>
      <c r="DH742" s="1399"/>
      <c r="DI742" s="1399"/>
      <c r="DJ742" s="1399"/>
      <c r="DK742" s="1399"/>
      <c r="DL742" s="1399"/>
      <c r="DM742" s="1399"/>
      <c r="DN742" s="1399"/>
      <c r="DO742" s="1399"/>
      <c r="DP742" s="1399"/>
      <c r="DQ742" s="1399"/>
      <c r="DR742" s="1399"/>
      <c r="DS742" s="1399"/>
      <c r="DT742" s="1399"/>
      <c r="DU742" s="1399"/>
    </row>
    <row r="743" spans="1:125">
      <c r="A743" s="1414"/>
      <c r="B743" s="1414"/>
      <c r="C743" s="1414"/>
      <c r="D743" s="1414"/>
      <c r="E743" s="1414"/>
      <c r="F743" s="1414"/>
      <c r="G743" s="1414"/>
      <c r="H743" s="1414"/>
      <c r="I743" s="1414"/>
      <c r="J743" s="1414"/>
      <c r="K743" s="1414"/>
      <c r="L743" s="1414"/>
      <c r="M743" s="1414"/>
      <c r="N743" s="1414"/>
      <c r="O743" s="1414"/>
      <c r="P743" s="1414"/>
      <c r="Q743" s="1414"/>
      <c r="R743" s="1414"/>
      <c r="S743" s="1414"/>
      <c r="T743" s="1414"/>
      <c r="U743" s="1414"/>
      <c r="V743" s="1414"/>
      <c r="W743" s="1414"/>
      <c r="X743" s="1414"/>
      <c r="Y743" s="1414"/>
      <c r="Z743" s="1414"/>
      <c r="AA743" s="1414"/>
      <c r="AB743" s="1414"/>
      <c r="AC743" s="1414"/>
      <c r="AD743" s="1414"/>
      <c r="AE743" s="1414"/>
      <c r="AF743" s="1414"/>
      <c r="AG743" s="1414"/>
      <c r="AH743" s="1414"/>
      <c r="AI743" s="1414"/>
      <c r="AJ743" s="1414"/>
      <c r="AK743" s="1414"/>
      <c r="AL743" s="1414"/>
      <c r="AM743" s="1414"/>
      <c r="AN743" s="1414"/>
      <c r="AO743" s="1414"/>
      <c r="AP743" s="1414"/>
      <c r="AQ743" s="1414"/>
      <c r="AR743" s="1414"/>
      <c r="AS743" s="1414"/>
      <c r="AT743" s="1414"/>
      <c r="AU743" s="1414"/>
      <c r="AV743" s="1414"/>
      <c r="AW743" s="1414"/>
      <c r="AX743" s="1414"/>
      <c r="AY743" s="1399"/>
      <c r="AZ743" s="1399"/>
      <c r="BA743" s="1399"/>
      <c r="BB743" s="1399"/>
      <c r="BC743" s="1399"/>
      <c r="BD743" s="1399"/>
      <c r="BE743" s="1414"/>
      <c r="BF743" s="1399"/>
      <c r="BG743" s="1399"/>
      <c r="BH743" s="1399"/>
      <c r="BI743" s="1399"/>
      <c r="BJ743" s="1399"/>
      <c r="BK743" s="1399"/>
      <c r="BL743" s="1399"/>
      <c r="BM743" s="1399"/>
      <c r="BN743" s="1399"/>
      <c r="BO743" s="1399"/>
      <c r="BP743" s="1399"/>
      <c r="BQ743" s="1399"/>
      <c r="BR743" s="1399"/>
      <c r="BS743" s="1399"/>
      <c r="BT743" s="1399"/>
      <c r="BU743" s="1399"/>
      <c r="BV743" s="1399"/>
      <c r="BW743" s="1399"/>
      <c r="BX743" s="1399"/>
      <c r="BY743" s="1399"/>
      <c r="BZ743" s="1399"/>
      <c r="CA743" s="1399"/>
      <c r="CB743" s="1399"/>
      <c r="CC743" s="1399"/>
      <c r="CD743" s="1399"/>
      <c r="CE743" s="1399"/>
      <c r="CF743" s="1399"/>
      <c r="CG743" s="1399"/>
      <c r="CH743" s="1399"/>
      <c r="CI743" s="1399"/>
      <c r="CJ743" s="1399"/>
      <c r="CK743" s="1399"/>
      <c r="CL743" s="1399"/>
      <c r="CM743" s="1399"/>
      <c r="CN743" s="1399"/>
      <c r="CO743" s="1399"/>
      <c r="CP743" s="1399"/>
      <c r="CQ743" s="1399"/>
      <c r="CR743" s="1399"/>
      <c r="CS743" s="1399"/>
      <c r="CT743" s="1399"/>
      <c r="CU743" s="1399"/>
      <c r="CV743" s="1399"/>
      <c r="CW743" s="1399"/>
      <c r="CX743" s="1399"/>
      <c r="CY743" s="1399"/>
      <c r="CZ743" s="1399"/>
      <c r="DA743" s="1399"/>
      <c r="DB743" s="1399"/>
      <c r="DC743" s="1399"/>
      <c r="DD743" s="1399"/>
      <c r="DE743" s="1399"/>
      <c r="DF743" s="1399"/>
      <c r="DG743" s="1399"/>
      <c r="DH743" s="1399"/>
      <c r="DI743" s="1399"/>
      <c r="DJ743" s="1399"/>
      <c r="DK743" s="1399"/>
      <c r="DL743" s="1399"/>
      <c r="DM743" s="1399"/>
      <c r="DN743" s="1399"/>
      <c r="DO743" s="1399"/>
      <c r="DP743" s="1399"/>
      <c r="DQ743" s="1399"/>
      <c r="DR743" s="1399"/>
      <c r="DS743" s="1399"/>
      <c r="DT743" s="1399"/>
      <c r="DU743" s="1399"/>
    </row>
    <row r="744" spans="1:125">
      <c r="A744" s="1414"/>
      <c r="B744" s="1414"/>
      <c r="C744" s="1414"/>
      <c r="D744" s="1414"/>
      <c r="E744" s="1414"/>
      <c r="F744" s="1414"/>
      <c r="G744" s="1414"/>
      <c r="H744" s="1414"/>
      <c r="I744" s="1414"/>
      <c r="J744" s="1414"/>
      <c r="K744" s="1414"/>
      <c r="L744" s="1414"/>
      <c r="M744" s="1414"/>
      <c r="N744" s="1414"/>
      <c r="O744" s="1414"/>
      <c r="P744" s="1414"/>
      <c r="Q744" s="1414"/>
      <c r="R744" s="1414"/>
      <c r="S744" s="1414"/>
      <c r="T744" s="1414"/>
      <c r="U744" s="1414"/>
      <c r="V744" s="1414"/>
      <c r="W744" s="1414"/>
      <c r="X744" s="1414"/>
      <c r="Y744" s="1414"/>
      <c r="Z744" s="1414"/>
      <c r="AA744" s="1414"/>
      <c r="AB744" s="1414"/>
      <c r="AC744" s="1414"/>
      <c r="AD744" s="1414"/>
      <c r="AE744" s="1414"/>
      <c r="AF744" s="1414"/>
      <c r="AG744" s="1414"/>
      <c r="AH744" s="1414"/>
      <c r="AI744" s="1414"/>
      <c r="AJ744" s="1414"/>
      <c r="AK744" s="1414"/>
      <c r="AL744" s="1414"/>
      <c r="AM744" s="1414"/>
      <c r="AN744" s="1414"/>
      <c r="AO744" s="1414"/>
      <c r="AP744" s="1414"/>
      <c r="AQ744" s="1414"/>
      <c r="AR744" s="1414"/>
      <c r="AS744" s="1414"/>
      <c r="AT744" s="1414"/>
      <c r="AU744" s="1414"/>
      <c r="AV744" s="1414"/>
      <c r="AW744" s="1414"/>
      <c r="AX744" s="1414"/>
      <c r="AY744" s="1399"/>
      <c r="AZ744" s="1399"/>
      <c r="BA744" s="1399"/>
      <c r="BB744" s="1399"/>
      <c r="BC744" s="1399"/>
      <c r="BD744" s="1399"/>
      <c r="BE744" s="1414"/>
      <c r="BF744" s="1399"/>
      <c r="BG744" s="1399"/>
      <c r="BH744" s="1399"/>
      <c r="BI744" s="1399"/>
      <c r="BJ744" s="1399"/>
      <c r="BK744" s="1399"/>
      <c r="BL744" s="1399"/>
      <c r="BM744" s="1399"/>
      <c r="BN744" s="1399"/>
      <c r="BO744" s="1399"/>
      <c r="BP744" s="1399"/>
      <c r="BQ744" s="1399"/>
      <c r="BR744" s="1399"/>
      <c r="BS744" s="1399"/>
      <c r="BT744" s="1399"/>
      <c r="BU744" s="1399"/>
      <c r="BV744" s="1399"/>
      <c r="BW744" s="1399"/>
      <c r="BX744" s="1399"/>
      <c r="BY744" s="1399"/>
      <c r="BZ744" s="1399"/>
      <c r="CA744" s="1399"/>
      <c r="CB744" s="1399"/>
      <c r="CC744" s="1399"/>
      <c r="CD744" s="1399"/>
      <c r="CE744" s="1399"/>
      <c r="CF744" s="1399"/>
      <c r="CG744" s="1399"/>
      <c r="CH744" s="1399"/>
      <c r="CI744" s="1399"/>
      <c r="CJ744" s="1399"/>
      <c r="CK744" s="1399"/>
      <c r="CL744" s="1399"/>
      <c r="CM744" s="1399"/>
      <c r="CN744" s="1399"/>
      <c r="CO744" s="1399"/>
      <c r="CP744" s="1399"/>
      <c r="CQ744" s="1399"/>
      <c r="CR744" s="1399"/>
      <c r="CS744" s="1399"/>
      <c r="CT744" s="1399"/>
      <c r="CU744" s="1399"/>
      <c r="CV744" s="1399"/>
      <c r="CW744" s="1399"/>
      <c r="CX744" s="1399"/>
      <c r="CY744" s="1399"/>
      <c r="CZ744" s="1399"/>
      <c r="DA744" s="1399"/>
      <c r="DB744" s="1399"/>
      <c r="DC744" s="1399"/>
      <c r="DD744" s="1399"/>
      <c r="DE744" s="1399"/>
      <c r="DF744" s="1399"/>
      <c r="DG744" s="1399"/>
      <c r="DH744" s="1399"/>
      <c r="DI744" s="1399"/>
      <c r="DJ744" s="1399"/>
      <c r="DK744" s="1399"/>
      <c r="DL744" s="1399"/>
      <c r="DM744" s="1399"/>
      <c r="DN744" s="1399"/>
      <c r="DO744" s="1399"/>
      <c r="DP744" s="1399"/>
      <c r="DQ744" s="1399"/>
      <c r="DR744" s="1399"/>
      <c r="DS744" s="1399"/>
      <c r="DT744" s="1399"/>
      <c r="DU744" s="1399"/>
    </row>
    <row r="745" spans="1:125">
      <c r="A745" s="1414"/>
      <c r="B745" s="1414"/>
      <c r="C745" s="1414"/>
      <c r="D745" s="1414"/>
      <c r="E745" s="1414"/>
      <c r="F745" s="1414"/>
      <c r="G745" s="1414"/>
      <c r="H745" s="1414"/>
      <c r="I745" s="1414"/>
      <c r="J745" s="1414"/>
      <c r="K745" s="1414"/>
      <c r="L745" s="1414"/>
      <c r="M745" s="1414"/>
      <c r="N745" s="1414"/>
      <c r="O745" s="1414"/>
      <c r="P745" s="1414"/>
      <c r="Q745" s="1414"/>
      <c r="R745" s="1414"/>
      <c r="S745" s="1414"/>
      <c r="T745" s="1414"/>
      <c r="U745" s="1414"/>
      <c r="V745" s="1414"/>
      <c r="W745" s="1414"/>
      <c r="X745" s="1414"/>
      <c r="Y745" s="1414"/>
      <c r="Z745" s="1414"/>
      <c r="AA745" s="1414"/>
      <c r="AB745" s="1414"/>
      <c r="AC745" s="1414"/>
      <c r="AD745" s="1414"/>
      <c r="AE745" s="1414"/>
      <c r="AF745" s="1414"/>
      <c r="AG745" s="1414"/>
      <c r="AH745" s="1414"/>
      <c r="AI745" s="1414"/>
      <c r="AJ745" s="1414"/>
      <c r="AK745" s="1414"/>
      <c r="AL745" s="1414"/>
      <c r="AM745" s="1414"/>
      <c r="AN745" s="1414"/>
      <c r="AO745" s="1414"/>
      <c r="AP745" s="1414"/>
      <c r="AQ745" s="1414"/>
      <c r="AR745" s="1414"/>
      <c r="AS745" s="1414"/>
      <c r="AT745" s="1414"/>
      <c r="AU745" s="1414"/>
      <c r="AV745" s="1414"/>
      <c r="AW745" s="1414"/>
      <c r="AX745" s="1414"/>
      <c r="AY745" s="1399"/>
      <c r="AZ745" s="1399"/>
      <c r="BA745" s="1399"/>
      <c r="BB745" s="1399"/>
      <c r="BC745" s="1399"/>
      <c r="BD745" s="1399"/>
      <c r="BE745" s="1414"/>
      <c r="BF745" s="1399"/>
      <c r="BG745" s="1399"/>
      <c r="BH745" s="1399"/>
      <c r="BI745" s="1399"/>
      <c r="BJ745" s="1399"/>
      <c r="BK745" s="1399"/>
      <c r="BL745" s="1399"/>
      <c r="BM745" s="1399"/>
      <c r="BN745" s="1399"/>
      <c r="BO745" s="1399"/>
      <c r="BP745" s="1399"/>
      <c r="BQ745" s="1399"/>
      <c r="BR745" s="1399"/>
      <c r="BS745" s="1399"/>
      <c r="BT745" s="1399"/>
      <c r="BU745" s="1399"/>
      <c r="BV745" s="1399"/>
      <c r="BW745" s="1399"/>
      <c r="BX745" s="1399"/>
      <c r="BY745" s="1399"/>
      <c r="BZ745" s="1399"/>
      <c r="CA745" s="1399"/>
      <c r="CB745" s="1399"/>
      <c r="CC745" s="1399"/>
      <c r="CD745" s="1399"/>
      <c r="CE745" s="1399"/>
      <c r="CF745" s="1399"/>
      <c r="CG745" s="1399"/>
      <c r="CH745" s="1399"/>
      <c r="CI745" s="1399"/>
      <c r="CJ745" s="1399"/>
      <c r="CK745" s="1399"/>
      <c r="CL745" s="1399"/>
      <c r="CM745" s="1399"/>
      <c r="CN745" s="1399"/>
      <c r="CO745" s="1399"/>
      <c r="CP745" s="1399"/>
      <c r="CQ745" s="1399"/>
      <c r="CR745" s="1399"/>
      <c r="CS745" s="1399"/>
      <c r="CT745" s="1399"/>
      <c r="CU745" s="1399"/>
      <c r="CV745" s="1399"/>
      <c r="CW745" s="1399"/>
      <c r="CX745" s="1399"/>
      <c r="CY745" s="1399"/>
      <c r="CZ745" s="1399"/>
      <c r="DA745" s="1399"/>
      <c r="DB745" s="1399"/>
      <c r="DC745" s="1399"/>
      <c r="DD745" s="1399"/>
      <c r="DE745" s="1399"/>
      <c r="DF745" s="1399"/>
      <c r="DG745" s="1399"/>
      <c r="DH745" s="1399"/>
      <c r="DI745" s="1399"/>
      <c r="DJ745" s="1399"/>
      <c r="DK745" s="1399"/>
      <c r="DL745" s="1399"/>
      <c r="DM745" s="1399"/>
      <c r="DN745" s="1399"/>
      <c r="DO745" s="1399"/>
      <c r="DP745" s="1399"/>
      <c r="DQ745" s="1399"/>
      <c r="DR745" s="1399"/>
      <c r="DS745" s="1399"/>
      <c r="DT745" s="1399"/>
      <c r="DU745" s="1399"/>
    </row>
    <row r="746" spans="1:125">
      <c r="A746" s="1414"/>
      <c r="B746" s="1414"/>
      <c r="C746" s="1414"/>
      <c r="D746" s="1414"/>
      <c r="E746" s="1414"/>
      <c r="F746" s="1414"/>
      <c r="G746" s="1414"/>
      <c r="H746" s="1414"/>
      <c r="I746" s="1414"/>
      <c r="J746" s="1414"/>
      <c r="K746" s="1414"/>
      <c r="L746" s="1414"/>
      <c r="M746" s="1414"/>
      <c r="N746" s="1414"/>
      <c r="O746" s="1414"/>
      <c r="P746" s="1414"/>
      <c r="Q746" s="1414"/>
      <c r="R746" s="1414"/>
      <c r="S746" s="1414"/>
      <c r="T746" s="1414"/>
      <c r="U746" s="1414"/>
      <c r="V746" s="1414"/>
      <c r="W746" s="1414"/>
      <c r="X746" s="1414"/>
      <c r="Y746" s="1414"/>
      <c r="Z746" s="1414"/>
      <c r="AA746" s="1414"/>
      <c r="AB746" s="1414"/>
      <c r="AC746" s="1414"/>
      <c r="AD746" s="1414"/>
      <c r="AE746" s="1414"/>
      <c r="AF746" s="1414"/>
      <c r="AG746" s="1414"/>
      <c r="AH746" s="1414"/>
      <c r="AI746" s="1414"/>
      <c r="AJ746" s="1414"/>
      <c r="AK746" s="1414"/>
      <c r="AL746" s="1414"/>
      <c r="AM746" s="1414"/>
      <c r="AN746" s="1414"/>
      <c r="AO746" s="1414"/>
      <c r="AP746" s="1414"/>
      <c r="AQ746" s="1414"/>
      <c r="AR746" s="1414"/>
      <c r="AS746" s="1414"/>
      <c r="AT746" s="1414"/>
      <c r="AU746" s="1414"/>
      <c r="AV746" s="1414"/>
      <c r="AW746" s="1414"/>
      <c r="AX746" s="1414"/>
      <c r="AY746" s="1399"/>
      <c r="AZ746" s="1399"/>
      <c r="BA746" s="1399"/>
      <c r="BB746" s="1399"/>
      <c r="BC746" s="1399"/>
      <c r="BD746" s="1399"/>
      <c r="BE746" s="1414"/>
      <c r="BF746" s="1399"/>
      <c r="BG746" s="1399"/>
      <c r="BH746" s="1399"/>
      <c r="BI746" s="1399"/>
      <c r="BJ746" s="1399"/>
      <c r="BK746" s="1399"/>
      <c r="BL746" s="1399"/>
      <c r="BM746" s="1399"/>
      <c r="BN746" s="1399"/>
      <c r="BO746" s="1399"/>
      <c r="BP746" s="1399"/>
      <c r="BQ746" s="1399"/>
      <c r="BR746" s="1399"/>
      <c r="BS746" s="1399"/>
      <c r="BT746" s="1399"/>
      <c r="BU746" s="1399"/>
      <c r="BV746" s="1399"/>
      <c r="BW746" s="1399"/>
      <c r="BX746" s="1399"/>
      <c r="BY746" s="1399"/>
      <c r="BZ746" s="1399"/>
      <c r="CA746" s="1399"/>
      <c r="CB746" s="1399"/>
      <c r="CC746" s="1399"/>
      <c r="CD746" s="1399"/>
      <c r="CE746" s="1399"/>
      <c r="CF746" s="1399"/>
      <c r="CG746" s="1399"/>
      <c r="CH746" s="1399"/>
      <c r="CI746" s="1399"/>
      <c r="CJ746" s="1399"/>
      <c r="CK746" s="1399"/>
      <c r="CL746" s="1399"/>
      <c r="CM746" s="1399"/>
      <c r="CN746" s="1399"/>
      <c r="CO746" s="1399"/>
      <c r="CP746" s="1399"/>
      <c r="CQ746" s="1399"/>
      <c r="CR746" s="1399"/>
      <c r="CS746" s="1399"/>
      <c r="CT746" s="1399"/>
      <c r="CU746" s="1399"/>
      <c r="CV746" s="1399"/>
      <c r="CW746" s="1399"/>
      <c r="CX746" s="1399"/>
      <c r="CY746" s="1399"/>
      <c r="CZ746" s="1399"/>
      <c r="DA746" s="1399"/>
      <c r="DB746" s="1399"/>
      <c r="DC746" s="1399"/>
      <c r="DD746" s="1399"/>
      <c r="DE746" s="1399"/>
      <c r="DF746" s="1399"/>
      <c r="DG746" s="1399"/>
      <c r="DH746" s="1399"/>
      <c r="DI746" s="1399"/>
      <c r="DJ746" s="1399"/>
      <c r="DK746" s="1399"/>
      <c r="DL746" s="1399"/>
      <c r="DM746" s="1399"/>
      <c r="DN746" s="1399"/>
      <c r="DO746" s="1399"/>
      <c r="DP746" s="1399"/>
      <c r="DQ746" s="1399"/>
      <c r="DR746" s="1399"/>
      <c r="DS746" s="1399"/>
      <c r="DT746" s="1399"/>
      <c r="DU746" s="1399"/>
    </row>
    <row r="747" spans="1:125">
      <c r="A747" s="1414"/>
      <c r="B747" s="1414"/>
      <c r="C747" s="1414"/>
      <c r="D747" s="1414"/>
      <c r="E747" s="1414"/>
      <c r="F747" s="1414"/>
      <c r="G747" s="1414"/>
      <c r="H747" s="1414"/>
      <c r="I747" s="1414"/>
      <c r="J747" s="1414"/>
      <c r="K747" s="1414"/>
      <c r="L747" s="1414"/>
      <c r="M747" s="1414"/>
      <c r="N747" s="1414"/>
      <c r="O747" s="1414"/>
      <c r="P747" s="1414"/>
      <c r="Q747" s="1414"/>
      <c r="R747" s="1414"/>
      <c r="S747" s="1414"/>
      <c r="T747" s="1414"/>
      <c r="U747" s="1414"/>
      <c r="V747" s="1414"/>
      <c r="W747" s="1414"/>
      <c r="X747" s="1414"/>
      <c r="Y747" s="1414"/>
      <c r="Z747" s="1414"/>
      <c r="AA747" s="1414"/>
      <c r="AB747" s="1414"/>
      <c r="AC747" s="1414"/>
      <c r="AD747" s="1414"/>
      <c r="AE747" s="1414"/>
      <c r="AF747" s="1414"/>
      <c r="AG747" s="1414"/>
      <c r="AH747" s="1414"/>
      <c r="AI747" s="1414"/>
      <c r="AJ747" s="1414"/>
      <c r="AK747" s="1414"/>
      <c r="AL747" s="1414"/>
      <c r="AM747" s="1414"/>
      <c r="AN747" s="1414"/>
      <c r="AO747" s="1414"/>
      <c r="AP747" s="1414"/>
      <c r="AQ747" s="1414"/>
      <c r="AR747" s="1414"/>
      <c r="AS747" s="1414"/>
      <c r="AT747" s="1414"/>
      <c r="AU747" s="1414"/>
      <c r="AV747" s="1414"/>
      <c r="AW747" s="1414"/>
      <c r="AX747" s="1414"/>
      <c r="AY747" s="1399"/>
      <c r="AZ747" s="1399"/>
      <c r="BA747" s="1399"/>
      <c r="BB747" s="1399"/>
      <c r="BC747" s="1399"/>
      <c r="BD747" s="1399"/>
      <c r="BE747" s="1414"/>
      <c r="BF747" s="1399"/>
      <c r="BG747" s="1399"/>
      <c r="BH747" s="1399"/>
      <c r="BI747" s="1399"/>
      <c r="BJ747" s="1399"/>
      <c r="BK747" s="1399"/>
      <c r="BL747" s="1399"/>
      <c r="BM747" s="1399"/>
      <c r="BN747" s="1399"/>
      <c r="BO747" s="1399"/>
      <c r="BP747" s="1399"/>
      <c r="BQ747" s="1399"/>
      <c r="BR747" s="1399"/>
      <c r="BS747" s="1399"/>
      <c r="BT747" s="1399"/>
      <c r="BU747" s="1399"/>
      <c r="BV747" s="1399"/>
      <c r="BW747" s="1399"/>
      <c r="BX747" s="1399"/>
      <c r="BY747" s="1399"/>
      <c r="BZ747" s="1399"/>
      <c r="CA747" s="1399"/>
      <c r="CB747" s="1399"/>
      <c r="CC747" s="1399"/>
      <c r="CD747" s="1399"/>
      <c r="CE747" s="1399"/>
      <c r="CF747" s="1399"/>
      <c r="CG747" s="1399"/>
      <c r="CH747" s="1399"/>
      <c r="CI747" s="1399"/>
      <c r="CJ747" s="1399"/>
      <c r="CK747" s="1399"/>
      <c r="CL747" s="1399"/>
      <c r="CM747" s="1399"/>
      <c r="CN747" s="1399"/>
      <c r="CO747" s="1399"/>
      <c r="CP747" s="1399"/>
      <c r="CQ747" s="1399"/>
      <c r="CR747" s="1399"/>
      <c r="CS747" s="1399"/>
      <c r="CT747" s="1399"/>
      <c r="CU747" s="1399"/>
      <c r="CV747" s="1399"/>
      <c r="CW747" s="1399"/>
      <c r="CX747" s="1399"/>
      <c r="CY747" s="1399"/>
      <c r="CZ747" s="1399"/>
      <c r="DA747" s="1399"/>
      <c r="DB747" s="1399"/>
      <c r="DC747" s="1399"/>
      <c r="DD747" s="1399"/>
      <c r="DE747" s="1399"/>
      <c r="DF747" s="1399"/>
      <c r="DG747" s="1399"/>
      <c r="DH747" s="1399"/>
      <c r="DI747" s="1399"/>
      <c r="DJ747" s="1399"/>
      <c r="DK747" s="1399"/>
      <c r="DL747" s="1399"/>
      <c r="DM747" s="1399"/>
      <c r="DN747" s="1399"/>
      <c r="DO747" s="1399"/>
      <c r="DP747" s="1399"/>
      <c r="DQ747" s="1399"/>
      <c r="DR747" s="1399"/>
      <c r="DS747" s="1399"/>
      <c r="DT747" s="1399"/>
      <c r="DU747" s="1399"/>
    </row>
    <row r="748" spans="1:125">
      <c r="A748" s="1414"/>
      <c r="B748" s="1414"/>
      <c r="C748" s="1414"/>
      <c r="D748" s="1414"/>
      <c r="E748" s="1414"/>
      <c r="F748" s="1414"/>
      <c r="G748" s="1414"/>
      <c r="H748" s="1414"/>
      <c r="I748" s="1414"/>
      <c r="J748" s="1414"/>
      <c r="K748" s="1414"/>
      <c r="L748" s="1414"/>
      <c r="M748" s="1414"/>
      <c r="N748" s="1414"/>
      <c r="O748" s="1414"/>
      <c r="P748" s="1414"/>
      <c r="Q748" s="1414"/>
      <c r="R748" s="1414"/>
      <c r="S748" s="1414"/>
      <c r="T748" s="1414"/>
      <c r="U748" s="1414"/>
      <c r="V748" s="1414"/>
      <c r="W748" s="1414"/>
      <c r="X748" s="1414"/>
      <c r="Y748" s="1414"/>
      <c r="Z748" s="1414"/>
      <c r="AA748" s="1414"/>
      <c r="AB748" s="1414"/>
      <c r="AC748" s="1414"/>
      <c r="AD748" s="1414"/>
      <c r="AE748" s="1414"/>
      <c r="AF748" s="1414"/>
      <c r="AG748" s="1414"/>
      <c r="AH748" s="1414"/>
      <c r="AI748" s="1414"/>
      <c r="AJ748" s="1414"/>
      <c r="AK748" s="1414"/>
      <c r="AL748" s="1414"/>
      <c r="AM748" s="1414"/>
      <c r="AN748" s="1414"/>
      <c r="AO748" s="1414"/>
      <c r="AP748" s="1414"/>
      <c r="AQ748" s="1414"/>
      <c r="AR748" s="1414"/>
      <c r="AS748" s="1414"/>
      <c r="AT748" s="1414"/>
      <c r="AU748" s="1414"/>
      <c r="AV748" s="1414"/>
      <c r="AW748" s="1414"/>
      <c r="AX748" s="1414"/>
      <c r="AY748" s="1399"/>
      <c r="AZ748" s="1399"/>
      <c r="BA748" s="1399"/>
      <c r="BB748" s="1399"/>
      <c r="BC748" s="1399"/>
      <c r="BD748" s="1399"/>
      <c r="BE748" s="1414"/>
      <c r="BF748" s="1399"/>
      <c r="BG748" s="1399"/>
      <c r="BH748" s="1399"/>
      <c r="BI748" s="1399"/>
      <c r="BJ748" s="1399"/>
      <c r="BK748" s="1399"/>
      <c r="BL748" s="1399"/>
      <c r="BM748" s="1399"/>
      <c r="BN748" s="1399"/>
      <c r="BO748" s="1399"/>
      <c r="BP748" s="1399"/>
      <c r="BQ748" s="1399"/>
      <c r="BR748" s="1399"/>
      <c r="BS748" s="1399"/>
      <c r="BT748" s="1399"/>
      <c r="BU748" s="1399"/>
      <c r="BV748" s="1399"/>
      <c r="BW748" s="1399"/>
      <c r="BX748" s="1399"/>
      <c r="BY748" s="1399"/>
      <c r="BZ748" s="1399"/>
      <c r="CA748" s="1399"/>
      <c r="CB748" s="1399"/>
      <c r="CC748" s="1399"/>
      <c r="CD748" s="1399"/>
      <c r="CE748" s="1399"/>
      <c r="CF748" s="1399"/>
      <c r="CG748" s="1399"/>
      <c r="CH748" s="1399"/>
      <c r="CI748" s="1399"/>
      <c r="CJ748" s="1399"/>
      <c r="CK748" s="1399"/>
      <c r="CL748" s="1399"/>
      <c r="CM748" s="1399"/>
      <c r="CN748" s="1399"/>
      <c r="CO748" s="1399"/>
      <c r="CP748" s="1399"/>
      <c r="CQ748" s="1399"/>
      <c r="CR748" s="1399"/>
      <c r="CS748" s="1399"/>
      <c r="CT748" s="1399"/>
      <c r="CU748" s="1399"/>
      <c r="CV748" s="1399"/>
      <c r="CW748" s="1399"/>
      <c r="CX748" s="1399"/>
      <c r="CY748" s="1399"/>
      <c r="CZ748" s="1399"/>
      <c r="DA748" s="1399"/>
      <c r="DB748" s="1399"/>
      <c r="DC748" s="1399"/>
      <c r="DD748" s="1399"/>
      <c r="DE748" s="1399"/>
      <c r="DF748" s="1399"/>
      <c r="DG748" s="1399"/>
      <c r="DH748" s="1399"/>
      <c r="DI748" s="1399"/>
      <c r="DJ748" s="1399"/>
      <c r="DK748" s="1399"/>
      <c r="DL748" s="1399"/>
      <c r="DM748" s="1399"/>
      <c r="DN748" s="1399"/>
      <c r="DO748" s="1399"/>
      <c r="DP748" s="1399"/>
      <c r="DQ748" s="1399"/>
      <c r="DR748" s="1399"/>
      <c r="DS748" s="1399"/>
      <c r="DT748" s="1399"/>
      <c r="DU748" s="1399"/>
    </row>
    <row r="749" spans="1:125">
      <c r="A749" s="1414"/>
      <c r="B749" s="1414"/>
      <c r="C749" s="1414"/>
      <c r="D749" s="1414"/>
      <c r="E749" s="1414"/>
      <c r="F749" s="1414"/>
      <c r="G749" s="1414"/>
      <c r="H749" s="1414"/>
      <c r="I749" s="1414"/>
      <c r="J749" s="1414"/>
      <c r="K749" s="1414"/>
      <c r="L749" s="1414"/>
      <c r="M749" s="1414"/>
      <c r="N749" s="1414"/>
      <c r="O749" s="1414"/>
      <c r="P749" s="1414"/>
      <c r="Q749" s="1414"/>
      <c r="R749" s="1414"/>
      <c r="S749" s="1414"/>
      <c r="T749" s="1414"/>
      <c r="U749" s="1414"/>
      <c r="V749" s="1414"/>
      <c r="W749" s="1414"/>
      <c r="X749" s="1414"/>
      <c r="Y749" s="1414"/>
      <c r="Z749" s="1414"/>
      <c r="AA749" s="1414"/>
      <c r="AB749" s="1414"/>
      <c r="AC749" s="1414"/>
      <c r="AD749" s="1414"/>
      <c r="AE749" s="1414"/>
      <c r="AF749" s="1414"/>
      <c r="AG749" s="1414"/>
      <c r="AH749" s="1414"/>
      <c r="AI749" s="1414"/>
      <c r="AJ749" s="1414"/>
      <c r="AK749" s="1414"/>
      <c r="AL749" s="1414"/>
      <c r="AM749" s="1414"/>
      <c r="AN749" s="1414"/>
      <c r="AO749" s="1414"/>
      <c r="AP749" s="1414"/>
      <c r="AQ749" s="1414"/>
      <c r="AR749" s="1414"/>
      <c r="AS749" s="1414"/>
      <c r="AT749" s="1414"/>
      <c r="AU749" s="1414"/>
      <c r="AV749" s="1414"/>
      <c r="AW749" s="1414"/>
      <c r="AX749" s="1414"/>
      <c r="AY749" s="1399"/>
      <c r="AZ749" s="1399"/>
      <c r="BA749" s="1399"/>
      <c r="BB749" s="1399"/>
      <c r="BC749" s="1399"/>
      <c r="BD749" s="1399"/>
      <c r="BE749" s="1414"/>
      <c r="BF749" s="1399"/>
      <c r="BG749" s="1399"/>
      <c r="BH749" s="1399"/>
      <c r="BI749" s="1399"/>
      <c r="BJ749" s="1399"/>
      <c r="BK749" s="1399"/>
      <c r="BL749" s="1399"/>
      <c r="BM749" s="1399"/>
      <c r="BN749" s="1399"/>
      <c r="BO749" s="1399"/>
      <c r="BP749" s="1399"/>
      <c r="BQ749" s="1399"/>
      <c r="BR749" s="1399"/>
      <c r="BS749" s="1399"/>
      <c r="BT749" s="1399"/>
      <c r="BU749" s="1399"/>
      <c r="BV749" s="1399"/>
      <c r="BW749" s="1399"/>
      <c r="BX749" s="1399"/>
      <c r="BY749" s="1399"/>
      <c r="BZ749" s="1399"/>
      <c r="CA749" s="1399"/>
      <c r="CB749" s="1399"/>
      <c r="CC749" s="1399"/>
      <c r="CD749" s="1399"/>
      <c r="CE749" s="1399"/>
      <c r="CF749" s="1399"/>
      <c r="CG749" s="1399"/>
      <c r="CH749" s="1399"/>
      <c r="CI749" s="1399"/>
      <c r="CJ749" s="1399"/>
      <c r="CK749" s="1399"/>
      <c r="CL749" s="1399"/>
      <c r="CM749" s="1399"/>
      <c r="CN749" s="1399"/>
      <c r="CO749" s="1399"/>
      <c r="CP749" s="1399"/>
      <c r="CQ749" s="1399"/>
      <c r="CR749" s="1399"/>
      <c r="CS749" s="1399"/>
      <c r="CT749" s="1399"/>
      <c r="CU749" s="1399"/>
      <c r="CV749" s="1399"/>
      <c r="CW749" s="1399"/>
      <c r="CX749" s="1399"/>
      <c r="CY749" s="1399"/>
      <c r="CZ749" s="1399"/>
      <c r="DA749" s="1399"/>
      <c r="DB749" s="1399"/>
      <c r="DC749" s="1399"/>
      <c r="DD749" s="1399"/>
      <c r="DE749" s="1399"/>
      <c r="DF749" s="1399"/>
      <c r="DG749" s="1399"/>
      <c r="DH749" s="1399"/>
      <c r="DI749" s="1399"/>
      <c r="DJ749" s="1399"/>
      <c r="DK749" s="1399"/>
      <c r="DL749" s="1399"/>
      <c r="DM749" s="1399"/>
      <c r="DN749" s="1399"/>
      <c r="DO749" s="1399"/>
      <c r="DP749" s="1399"/>
      <c r="DQ749" s="1399"/>
      <c r="DR749" s="1399"/>
      <c r="DS749" s="1399"/>
      <c r="DT749" s="1399"/>
      <c r="DU749" s="1399"/>
    </row>
    <row r="750" spans="1:125">
      <c r="A750" s="1414"/>
      <c r="B750" s="1414"/>
      <c r="C750" s="1414"/>
      <c r="D750" s="1414"/>
      <c r="E750" s="1414"/>
      <c r="F750" s="1414"/>
      <c r="G750" s="1414"/>
      <c r="H750" s="1414"/>
      <c r="I750" s="1414"/>
      <c r="J750" s="1414"/>
      <c r="K750" s="1414"/>
      <c r="L750" s="1414"/>
      <c r="M750" s="1414"/>
      <c r="N750" s="1414"/>
      <c r="O750" s="1414"/>
      <c r="P750" s="1414"/>
      <c r="Q750" s="1414"/>
      <c r="R750" s="1414"/>
      <c r="S750" s="1414"/>
      <c r="T750" s="1414"/>
      <c r="U750" s="1414"/>
      <c r="V750" s="1414"/>
      <c r="W750" s="1414"/>
      <c r="X750" s="1414"/>
      <c r="Y750" s="1414"/>
      <c r="Z750" s="1414"/>
      <c r="AA750" s="1414"/>
      <c r="AB750" s="1414"/>
      <c r="AC750" s="1414"/>
      <c r="AD750" s="1414"/>
      <c r="AE750" s="1414"/>
      <c r="AF750" s="1414"/>
      <c r="AG750" s="1414"/>
      <c r="AH750" s="1414"/>
      <c r="AI750" s="1414"/>
      <c r="AJ750" s="1414"/>
      <c r="AK750" s="1414"/>
      <c r="AL750" s="1414"/>
      <c r="AM750" s="1414"/>
      <c r="AN750" s="1414"/>
      <c r="AO750" s="1414"/>
      <c r="AP750" s="1414"/>
      <c r="AQ750" s="1414"/>
      <c r="AR750" s="1414"/>
      <c r="AS750" s="1414"/>
      <c r="AT750" s="1414"/>
      <c r="AU750" s="1414"/>
      <c r="AV750" s="1414"/>
      <c r="AW750" s="1414"/>
      <c r="AX750" s="1414"/>
      <c r="AY750" s="1399"/>
      <c r="AZ750" s="1399"/>
      <c r="BA750" s="1399"/>
      <c r="BB750" s="1399"/>
      <c r="BC750" s="1399"/>
      <c r="BD750" s="1399"/>
      <c r="BE750" s="1414"/>
      <c r="BF750" s="1399"/>
      <c r="BG750" s="1399"/>
      <c r="BH750" s="1399"/>
      <c r="BI750" s="1399"/>
      <c r="BJ750" s="1399"/>
      <c r="BK750" s="1399"/>
      <c r="BL750" s="1399"/>
      <c r="BM750" s="1399"/>
      <c r="BN750" s="1399"/>
      <c r="BO750" s="1399"/>
      <c r="BP750" s="1399"/>
      <c r="BQ750" s="1399"/>
      <c r="BR750" s="1399"/>
      <c r="BS750" s="1399"/>
      <c r="BT750" s="1399"/>
      <c r="BU750" s="1399"/>
      <c r="BV750" s="1399"/>
      <c r="BW750" s="1399"/>
      <c r="BX750" s="1399"/>
      <c r="BY750" s="1399"/>
      <c r="BZ750" s="1399"/>
      <c r="CA750" s="1399"/>
      <c r="CB750" s="1399"/>
      <c r="CC750" s="1399"/>
      <c r="CD750" s="1399"/>
      <c r="CE750" s="1399"/>
      <c r="CF750" s="1399"/>
      <c r="CG750" s="1399"/>
      <c r="CH750" s="1399"/>
      <c r="CI750" s="1399"/>
      <c r="CJ750" s="1399"/>
      <c r="CK750" s="1399"/>
      <c r="CL750" s="1399"/>
      <c r="CM750" s="1399"/>
      <c r="CN750" s="1399"/>
      <c r="CO750" s="1399"/>
      <c r="CP750" s="1399"/>
      <c r="CQ750" s="1399"/>
      <c r="CR750" s="1399"/>
      <c r="CS750" s="1399"/>
      <c r="CT750" s="1399"/>
      <c r="CU750" s="1399"/>
      <c r="CV750" s="1399"/>
      <c r="CW750" s="1399"/>
      <c r="CX750" s="1399"/>
      <c r="CY750" s="1399"/>
      <c r="CZ750" s="1399"/>
      <c r="DA750" s="1399"/>
      <c r="DB750" s="1399"/>
      <c r="DC750" s="1399"/>
      <c r="DD750" s="1399"/>
      <c r="DE750" s="1399"/>
      <c r="DF750" s="1399"/>
      <c r="DG750" s="1399"/>
      <c r="DH750" s="1399"/>
      <c r="DI750" s="1399"/>
      <c r="DJ750" s="1399"/>
      <c r="DK750" s="1399"/>
      <c r="DL750" s="1399"/>
      <c r="DM750" s="1399"/>
      <c r="DN750" s="1399"/>
      <c r="DO750" s="1399"/>
      <c r="DP750" s="1399"/>
      <c r="DQ750" s="1399"/>
      <c r="DR750" s="1399"/>
      <c r="DS750" s="1399"/>
      <c r="DT750" s="1399"/>
      <c r="DU750" s="1399"/>
    </row>
    <row r="751" spans="1:125">
      <c r="A751" s="1414"/>
      <c r="B751" s="1414"/>
      <c r="C751" s="1414"/>
      <c r="D751" s="1414"/>
      <c r="E751" s="1414"/>
      <c r="F751" s="1414"/>
      <c r="G751" s="1414"/>
      <c r="H751" s="1414"/>
      <c r="I751" s="1414"/>
      <c r="J751" s="1414"/>
      <c r="K751" s="1414"/>
      <c r="L751" s="1414"/>
      <c r="M751" s="1414"/>
      <c r="N751" s="1414"/>
      <c r="O751" s="1414"/>
      <c r="P751" s="1414"/>
      <c r="Q751" s="1414"/>
      <c r="R751" s="1414"/>
      <c r="S751" s="1414"/>
      <c r="T751" s="1414"/>
      <c r="U751" s="1414"/>
      <c r="V751" s="1414"/>
      <c r="W751" s="1414"/>
      <c r="X751" s="1414"/>
      <c r="Y751" s="1414"/>
      <c r="Z751" s="1414"/>
      <c r="AA751" s="1414"/>
      <c r="AB751" s="1414"/>
      <c r="AC751" s="1414"/>
      <c r="AD751" s="1414"/>
      <c r="AE751" s="1414"/>
      <c r="AF751" s="1414"/>
      <c r="AG751" s="1414"/>
      <c r="AH751" s="1414"/>
      <c r="AI751" s="1414"/>
      <c r="AJ751" s="1414"/>
      <c r="AK751" s="1414"/>
      <c r="AL751" s="1414"/>
      <c r="AM751" s="1414"/>
      <c r="AN751" s="1414"/>
      <c r="AO751" s="1414"/>
      <c r="AP751" s="1414"/>
      <c r="AQ751" s="1414"/>
      <c r="AR751" s="1414"/>
      <c r="AS751" s="1414"/>
      <c r="AT751" s="1414"/>
      <c r="AU751" s="1414"/>
      <c r="AV751" s="1414"/>
      <c r="AW751" s="1414"/>
      <c r="AX751" s="1414"/>
      <c r="AY751" s="1399"/>
      <c r="AZ751" s="1399"/>
      <c r="BA751" s="1399"/>
      <c r="BB751" s="1399"/>
      <c r="BC751" s="1399"/>
      <c r="BD751" s="1399"/>
      <c r="BE751" s="1414"/>
      <c r="BF751" s="1399"/>
      <c r="BG751" s="1399"/>
      <c r="BH751" s="1399"/>
      <c r="BI751" s="1399"/>
      <c r="BJ751" s="1399"/>
      <c r="BK751" s="1399"/>
      <c r="BL751" s="1399"/>
      <c r="BM751" s="1399"/>
      <c r="BN751" s="1399"/>
      <c r="BO751" s="1399"/>
      <c r="BP751" s="1399"/>
      <c r="BQ751" s="1399"/>
      <c r="BR751" s="1399"/>
      <c r="BS751" s="1399"/>
      <c r="BT751" s="1399"/>
      <c r="BU751" s="1399"/>
      <c r="BV751" s="1399"/>
      <c r="BW751" s="1399"/>
      <c r="BX751" s="1399"/>
      <c r="BY751" s="1399"/>
      <c r="BZ751" s="1399"/>
      <c r="CA751" s="1399"/>
      <c r="CB751" s="1399"/>
      <c r="CC751" s="1399"/>
      <c r="CD751" s="1399"/>
      <c r="CE751" s="1399"/>
      <c r="CF751" s="1399"/>
      <c r="CG751" s="1399"/>
      <c r="CH751" s="1399"/>
      <c r="CI751" s="1399"/>
      <c r="CJ751" s="1399"/>
      <c r="CK751" s="1399"/>
      <c r="CL751" s="1399"/>
      <c r="CM751" s="1399"/>
      <c r="CN751" s="1399"/>
      <c r="CO751" s="1399"/>
      <c r="CP751" s="1399"/>
      <c r="CQ751" s="1399"/>
      <c r="CR751" s="1399"/>
      <c r="CS751" s="1399"/>
      <c r="CT751" s="1399"/>
      <c r="CU751" s="1399"/>
      <c r="CV751" s="1399"/>
      <c r="CW751" s="1399"/>
      <c r="CX751" s="1399"/>
      <c r="CY751" s="1399"/>
      <c r="CZ751" s="1399"/>
      <c r="DA751" s="1399"/>
      <c r="DB751" s="1399"/>
      <c r="DC751" s="1399"/>
      <c r="DD751" s="1399"/>
      <c r="DE751" s="1399"/>
      <c r="DF751" s="1399"/>
      <c r="DG751" s="1399"/>
      <c r="DH751" s="1399"/>
      <c r="DI751" s="1399"/>
      <c r="DJ751" s="1399"/>
      <c r="DK751" s="1399"/>
      <c r="DL751" s="1399"/>
      <c r="DM751" s="1399"/>
      <c r="DN751" s="1399"/>
      <c r="DO751" s="1399"/>
      <c r="DP751" s="1399"/>
      <c r="DQ751" s="1399"/>
      <c r="DR751" s="1399"/>
      <c r="DS751" s="1399"/>
      <c r="DT751" s="1399"/>
      <c r="DU751" s="1399"/>
    </row>
    <row r="752" spans="1:125">
      <c r="A752" s="1414"/>
      <c r="B752" s="1414"/>
      <c r="C752" s="1414"/>
      <c r="D752" s="1414"/>
      <c r="E752" s="1414"/>
      <c r="F752" s="1414"/>
      <c r="G752" s="1414"/>
      <c r="H752" s="1414"/>
      <c r="I752" s="1414"/>
      <c r="J752" s="1414"/>
      <c r="K752" s="1414"/>
      <c r="L752" s="1414"/>
      <c r="M752" s="1414"/>
      <c r="N752" s="1414"/>
      <c r="O752" s="1414"/>
      <c r="P752" s="1414"/>
      <c r="Q752" s="1414"/>
      <c r="R752" s="1414"/>
      <c r="S752" s="1414"/>
      <c r="T752" s="1414"/>
      <c r="U752" s="1414"/>
      <c r="V752" s="1414"/>
      <c r="W752" s="1414"/>
      <c r="X752" s="1414"/>
      <c r="Y752" s="1414"/>
      <c r="Z752" s="1414"/>
      <c r="AA752" s="1414"/>
      <c r="AB752" s="1414"/>
      <c r="AC752" s="1414"/>
      <c r="AD752" s="1414"/>
      <c r="AE752" s="1414"/>
      <c r="AF752" s="1414"/>
      <c r="AG752" s="1414"/>
      <c r="AH752" s="1414"/>
      <c r="AI752" s="1414"/>
      <c r="AJ752" s="1414"/>
      <c r="AK752" s="1414"/>
      <c r="AL752" s="1414"/>
      <c r="AM752" s="1414"/>
      <c r="AN752" s="1414"/>
      <c r="AO752" s="1414"/>
      <c r="AP752" s="1414"/>
      <c r="AQ752" s="1414"/>
      <c r="AR752" s="1414"/>
      <c r="AS752" s="1414"/>
      <c r="AT752" s="1414"/>
      <c r="AU752" s="1414"/>
      <c r="AV752" s="1414"/>
      <c r="AW752" s="1414"/>
      <c r="AX752" s="1414"/>
      <c r="AY752" s="1399"/>
      <c r="AZ752" s="1399"/>
      <c r="BA752" s="1399"/>
      <c r="BB752" s="1399"/>
      <c r="BC752" s="1399"/>
      <c r="BD752" s="1399"/>
      <c r="BE752" s="1414"/>
      <c r="BF752" s="1399"/>
      <c r="BG752" s="1399"/>
      <c r="BH752" s="1399"/>
      <c r="BI752" s="1399"/>
      <c r="BJ752" s="1399"/>
      <c r="BK752" s="1399"/>
      <c r="BL752" s="1399"/>
      <c r="BM752" s="1399"/>
      <c r="BN752" s="1399"/>
      <c r="BO752" s="1399"/>
      <c r="BP752" s="1399"/>
      <c r="BQ752" s="1399"/>
      <c r="BR752" s="1399"/>
      <c r="BS752" s="1399"/>
      <c r="BT752" s="1399"/>
      <c r="BU752" s="1399"/>
      <c r="BV752" s="1399"/>
      <c r="BW752" s="1399"/>
      <c r="BX752" s="1399"/>
      <c r="BY752" s="1399"/>
      <c r="BZ752" s="1399"/>
      <c r="CA752" s="1399"/>
      <c r="CB752" s="1399"/>
      <c r="CC752" s="1399"/>
      <c r="CD752" s="1399"/>
      <c r="CE752" s="1399"/>
      <c r="CF752" s="1399"/>
      <c r="CG752" s="1399"/>
      <c r="CH752" s="1399"/>
      <c r="CI752" s="1399"/>
      <c r="CJ752" s="1399"/>
      <c r="CK752" s="1399"/>
      <c r="CL752" s="1399"/>
      <c r="CM752" s="1399"/>
      <c r="CN752" s="1399"/>
      <c r="CO752" s="1399"/>
      <c r="CP752" s="1399"/>
      <c r="CQ752" s="1399"/>
      <c r="CR752" s="1399"/>
      <c r="CS752" s="1399"/>
      <c r="CT752" s="1399"/>
      <c r="CU752" s="1399"/>
      <c r="CV752" s="1399"/>
      <c r="CW752" s="1399"/>
      <c r="CX752" s="1399"/>
      <c r="CY752" s="1399"/>
      <c r="CZ752" s="1399"/>
      <c r="DA752" s="1399"/>
      <c r="DB752" s="1399"/>
      <c r="DC752" s="1399"/>
      <c r="DD752" s="1399"/>
      <c r="DE752" s="1399"/>
      <c r="DF752" s="1399"/>
      <c r="DG752" s="1399"/>
      <c r="DH752" s="1399"/>
      <c r="DI752" s="1399"/>
      <c r="DJ752" s="1399"/>
      <c r="DK752" s="1399"/>
      <c r="DL752" s="1399"/>
      <c r="DM752" s="1399"/>
      <c r="DN752" s="1399"/>
      <c r="DO752" s="1399"/>
      <c r="DP752" s="1399"/>
      <c r="DQ752" s="1399"/>
      <c r="DR752" s="1399"/>
      <c r="DS752" s="1399"/>
      <c r="DT752" s="1399"/>
      <c r="DU752" s="1399"/>
    </row>
    <row r="753" spans="1:125">
      <c r="A753" s="1414"/>
      <c r="B753" s="1414"/>
      <c r="C753" s="1414"/>
      <c r="D753" s="1414"/>
      <c r="E753" s="1414"/>
      <c r="F753" s="1414"/>
      <c r="G753" s="1414"/>
      <c r="H753" s="1414"/>
      <c r="I753" s="1414"/>
      <c r="J753" s="1414"/>
      <c r="K753" s="1414"/>
      <c r="L753" s="1414"/>
      <c r="M753" s="1414"/>
      <c r="N753" s="1414"/>
      <c r="O753" s="1414"/>
      <c r="P753" s="1414"/>
      <c r="Q753" s="1414"/>
      <c r="R753" s="1414"/>
      <c r="S753" s="1414"/>
      <c r="T753" s="1414"/>
      <c r="U753" s="1414"/>
      <c r="V753" s="1414"/>
      <c r="W753" s="1414"/>
      <c r="X753" s="1414"/>
      <c r="Y753" s="1414"/>
      <c r="Z753" s="1414"/>
      <c r="AA753" s="1414"/>
      <c r="AB753" s="1414"/>
      <c r="AC753" s="1414"/>
      <c r="AD753" s="1414"/>
      <c r="AE753" s="1414"/>
      <c r="AF753" s="1414"/>
      <c r="AG753" s="1414"/>
      <c r="AH753" s="1414"/>
      <c r="AI753" s="1414"/>
      <c r="AJ753" s="1414"/>
      <c r="AK753" s="1414"/>
      <c r="AL753" s="1414"/>
      <c r="AM753" s="1414"/>
      <c r="AN753" s="1414"/>
      <c r="AO753" s="1414"/>
      <c r="AP753" s="1414"/>
      <c r="AQ753" s="1414"/>
      <c r="AR753" s="1414"/>
      <c r="AS753" s="1414"/>
      <c r="AT753" s="1414"/>
      <c r="AU753" s="1414"/>
      <c r="AV753" s="1414"/>
      <c r="AW753" s="1414"/>
      <c r="AX753" s="1414"/>
      <c r="AY753" s="1399"/>
      <c r="AZ753" s="1399"/>
      <c r="BA753" s="1399"/>
      <c r="BB753" s="1399"/>
      <c r="BC753" s="1399"/>
      <c r="BD753" s="1399"/>
      <c r="BE753" s="1414"/>
      <c r="BF753" s="1399"/>
      <c r="BG753" s="1399"/>
      <c r="BH753" s="1399"/>
      <c r="BI753" s="1399"/>
      <c r="BJ753" s="1399"/>
      <c r="BK753" s="1399"/>
      <c r="BL753" s="1399"/>
      <c r="BM753" s="1399"/>
      <c r="BN753" s="1399"/>
      <c r="BO753" s="1399"/>
      <c r="BP753" s="1399"/>
      <c r="BQ753" s="1399"/>
      <c r="BR753" s="1399"/>
      <c r="BS753" s="1399"/>
      <c r="BT753" s="1399"/>
      <c r="BU753" s="1399"/>
      <c r="BV753" s="1399"/>
      <c r="BW753" s="1399"/>
      <c r="BX753" s="1399"/>
      <c r="BY753" s="1399"/>
      <c r="BZ753" s="1399"/>
      <c r="CA753" s="1399"/>
      <c r="CB753" s="1399"/>
      <c r="CC753" s="1399"/>
      <c r="CD753" s="1399"/>
      <c r="CE753" s="1399"/>
      <c r="CF753" s="1399"/>
      <c r="CG753" s="1399"/>
      <c r="CH753" s="1399"/>
      <c r="CI753" s="1399"/>
      <c r="CJ753" s="1399"/>
      <c r="CK753" s="1399"/>
      <c r="CL753" s="1399"/>
      <c r="CM753" s="1399"/>
      <c r="CN753" s="1399"/>
      <c r="CO753" s="1399"/>
      <c r="CP753" s="1399"/>
      <c r="CQ753" s="1399"/>
      <c r="CR753" s="1399"/>
      <c r="CS753" s="1399"/>
      <c r="CT753" s="1399"/>
      <c r="CU753" s="1399"/>
      <c r="CV753" s="1399"/>
      <c r="CW753" s="1399"/>
      <c r="CX753" s="1399"/>
      <c r="CY753" s="1399"/>
      <c r="CZ753" s="1399"/>
      <c r="DA753" s="1399"/>
      <c r="DB753" s="1399"/>
      <c r="DC753" s="1399"/>
      <c r="DD753" s="1399"/>
      <c r="DE753" s="1399"/>
      <c r="DF753" s="1399"/>
      <c r="DG753" s="1399"/>
      <c r="DH753" s="1399"/>
      <c r="DI753" s="1399"/>
      <c r="DJ753" s="1399"/>
      <c r="DK753" s="1399"/>
      <c r="DL753" s="1399"/>
      <c r="DM753" s="1399"/>
      <c r="DN753" s="1399"/>
      <c r="DO753" s="1399"/>
      <c r="DP753" s="1399"/>
      <c r="DQ753" s="1399"/>
      <c r="DR753" s="1399"/>
      <c r="DS753" s="1399"/>
      <c r="DT753" s="1399"/>
      <c r="DU753" s="1399"/>
    </row>
    <row r="754" spans="1:125">
      <c r="A754" s="1414"/>
      <c r="B754" s="1414"/>
      <c r="C754" s="1414"/>
      <c r="D754" s="1414"/>
      <c r="E754" s="1414"/>
      <c r="F754" s="1414"/>
      <c r="G754" s="1414"/>
      <c r="H754" s="1414"/>
      <c r="I754" s="1414"/>
      <c r="J754" s="1414"/>
      <c r="K754" s="1414"/>
      <c r="L754" s="1414"/>
      <c r="M754" s="1414"/>
      <c r="N754" s="1414"/>
      <c r="O754" s="1414"/>
      <c r="P754" s="1414"/>
      <c r="Q754" s="1414"/>
      <c r="R754" s="1414"/>
      <c r="S754" s="1414"/>
      <c r="T754" s="1414"/>
      <c r="U754" s="1414"/>
      <c r="V754" s="1414"/>
      <c r="W754" s="1414"/>
      <c r="X754" s="1414"/>
      <c r="Y754" s="1414"/>
      <c r="Z754" s="1414"/>
      <c r="AA754" s="1414"/>
      <c r="AB754" s="1414"/>
      <c r="AC754" s="1414"/>
      <c r="AD754" s="1414"/>
      <c r="AE754" s="1414"/>
      <c r="AF754" s="1414"/>
      <c r="AG754" s="1414"/>
      <c r="AH754" s="1414"/>
      <c r="AI754" s="1414"/>
      <c r="AJ754" s="1414"/>
      <c r="AK754" s="1414"/>
      <c r="AL754" s="1414"/>
      <c r="AM754" s="1414"/>
      <c r="AN754" s="1414"/>
      <c r="AO754" s="1414"/>
      <c r="AP754" s="1414"/>
      <c r="AQ754" s="1414"/>
      <c r="AR754" s="1414"/>
      <c r="AS754" s="1414"/>
      <c r="AT754" s="1414"/>
      <c r="AU754" s="1414"/>
      <c r="AV754" s="1414"/>
      <c r="AW754" s="1414"/>
      <c r="AX754" s="1414"/>
      <c r="AY754" s="1399"/>
      <c r="AZ754" s="1399"/>
      <c r="BA754" s="1399"/>
      <c r="BB754" s="1399"/>
      <c r="BC754" s="1399"/>
      <c r="BD754" s="1399"/>
      <c r="BE754" s="1414"/>
      <c r="BF754" s="1399"/>
      <c r="BG754" s="1399"/>
      <c r="BH754" s="1399"/>
      <c r="BI754" s="1399"/>
      <c r="BJ754" s="1399"/>
      <c r="BK754" s="1399"/>
      <c r="BL754" s="1399"/>
      <c r="BM754" s="1399"/>
      <c r="BN754" s="1399"/>
      <c r="BO754" s="1399"/>
      <c r="BP754" s="1399"/>
      <c r="BQ754" s="1399"/>
      <c r="BR754" s="1399"/>
      <c r="BS754" s="1399"/>
      <c r="BT754" s="1399"/>
      <c r="BU754" s="1399"/>
      <c r="BV754" s="1399"/>
      <c r="BW754" s="1399"/>
      <c r="BX754" s="1399"/>
      <c r="BY754" s="1399"/>
      <c r="BZ754" s="1399"/>
      <c r="CA754" s="1399"/>
      <c r="CB754" s="1399"/>
      <c r="CC754" s="1399"/>
      <c r="CD754" s="1399"/>
      <c r="CE754" s="1399"/>
      <c r="CF754" s="1399"/>
      <c r="CG754" s="1399"/>
      <c r="CH754" s="1399"/>
      <c r="CI754" s="1399"/>
      <c r="CJ754" s="1399"/>
      <c r="CK754" s="1399"/>
      <c r="CL754" s="1399"/>
      <c r="CM754" s="1399"/>
      <c r="CN754" s="1399"/>
      <c r="CO754" s="1399"/>
      <c r="CP754" s="1399"/>
      <c r="CQ754" s="1399"/>
      <c r="CR754" s="1399"/>
      <c r="CS754" s="1399"/>
      <c r="CT754" s="1399"/>
      <c r="CU754" s="1399"/>
      <c r="CV754" s="1399"/>
      <c r="CW754" s="1399"/>
      <c r="CX754" s="1399"/>
      <c r="CY754" s="1399"/>
      <c r="CZ754" s="1399"/>
      <c r="DA754" s="1399"/>
      <c r="DB754" s="1399"/>
      <c r="DC754" s="1399"/>
      <c r="DD754" s="1399"/>
      <c r="DE754" s="1399"/>
      <c r="DF754" s="1399"/>
      <c r="DG754" s="1399"/>
      <c r="DH754" s="1399"/>
      <c r="DI754" s="1399"/>
      <c r="DJ754" s="1399"/>
      <c r="DK754" s="1399"/>
      <c r="DL754" s="1399"/>
      <c r="DM754" s="1399"/>
      <c r="DN754" s="1399"/>
      <c r="DO754" s="1399"/>
      <c r="DP754" s="1399"/>
      <c r="DQ754" s="1399"/>
      <c r="DR754" s="1399"/>
      <c r="DS754" s="1399"/>
      <c r="DT754" s="1399"/>
      <c r="DU754" s="1399"/>
    </row>
    <row r="755" spans="1:125">
      <c r="A755" s="1414"/>
      <c r="B755" s="1414"/>
      <c r="C755" s="1414"/>
      <c r="D755" s="1414"/>
      <c r="E755" s="1414"/>
      <c r="F755" s="1414"/>
      <c r="G755" s="1414"/>
      <c r="H755" s="1414"/>
      <c r="I755" s="1414"/>
      <c r="J755" s="1414"/>
      <c r="K755" s="1414"/>
      <c r="L755" s="1414"/>
      <c r="M755" s="1414"/>
      <c r="N755" s="1414"/>
      <c r="O755" s="1414"/>
      <c r="P755" s="1414"/>
      <c r="Q755" s="1414"/>
      <c r="R755" s="1414"/>
      <c r="S755" s="1414"/>
      <c r="T755" s="1414"/>
      <c r="U755" s="1414"/>
      <c r="V755" s="1414"/>
      <c r="W755" s="1414"/>
      <c r="X755" s="1414"/>
      <c r="Y755" s="1414"/>
      <c r="Z755" s="1414"/>
      <c r="AA755" s="1414"/>
      <c r="AB755" s="1414"/>
      <c r="AC755" s="1414"/>
      <c r="AD755" s="1414"/>
      <c r="AE755" s="1414"/>
      <c r="AF755" s="1414"/>
      <c r="AG755" s="1414"/>
      <c r="AH755" s="1414"/>
      <c r="AI755" s="1414"/>
      <c r="AJ755" s="1414"/>
      <c r="AK755" s="1414"/>
      <c r="AL755" s="1414"/>
      <c r="AM755" s="1414"/>
      <c r="AN755" s="1414"/>
      <c r="AO755" s="1414"/>
      <c r="AP755" s="1414"/>
      <c r="AQ755" s="1414"/>
      <c r="AR755" s="1414"/>
      <c r="AS755" s="1414"/>
      <c r="AT755" s="1414"/>
      <c r="AU755" s="1414"/>
      <c r="AV755" s="1414"/>
      <c r="AW755" s="1414"/>
      <c r="AX755" s="1414"/>
      <c r="AY755" s="1399"/>
      <c r="AZ755" s="1399"/>
      <c r="BA755" s="1399"/>
      <c r="BB755" s="1399"/>
      <c r="BC755" s="1399"/>
      <c r="BD755" s="1399"/>
      <c r="BE755" s="1414"/>
      <c r="BF755" s="1399"/>
      <c r="BG755" s="1399"/>
      <c r="BH755" s="1399"/>
      <c r="BI755" s="1399"/>
      <c r="BJ755" s="1399"/>
      <c r="BK755" s="1399"/>
      <c r="BL755" s="1399"/>
      <c r="BM755" s="1399"/>
      <c r="BN755" s="1399"/>
      <c r="BO755" s="1399"/>
      <c r="BP755" s="1399"/>
      <c r="BQ755" s="1399"/>
      <c r="BR755" s="1399"/>
      <c r="BS755" s="1399"/>
      <c r="BT755" s="1399"/>
      <c r="BU755" s="1399"/>
      <c r="BV755" s="1399"/>
      <c r="BW755" s="1399"/>
      <c r="BX755" s="1399"/>
      <c r="BY755" s="1399"/>
      <c r="BZ755" s="1399"/>
      <c r="CA755" s="1399"/>
      <c r="CB755" s="1399"/>
      <c r="CC755" s="1399"/>
      <c r="CD755" s="1399"/>
      <c r="CE755" s="1399"/>
      <c r="CF755" s="1399"/>
      <c r="CG755" s="1399"/>
      <c r="CH755" s="1399"/>
      <c r="CI755" s="1399"/>
      <c r="CJ755" s="1399"/>
      <c r="CK755" s="1399"/>
      <c r="CL755" s="1399"/>
      <c r="CM755" s="1399"/>
      <c r="CN755" s="1399"/>
      <c r="CO755" s="1399"/>
      <c r="CP755" s="1399"/>
      <c r="CQ755" s="1399"/>
      <c r="CR755" s="1399"/>
      <c r="CS755" s="1399"/>
      <c r="CT755" s="1399"/>
      <c r="CU755" s="1399"/>
      <c r="CV755" s="1399"/>
      <c r="CW755" s="1399"/>
      <c r="CX755" s="1399"/>
      <c r="CY755" s="1399"/>
      <c r="CZ755" s="1399"/>
      <c r="DA755" s="1399"/>
      <c r="DB755" s="1399"/>
      <c r="DC755" s="1399"/>
      <c r="DD755" s="1399"/>
      <c r="DE755" s="1399"/>
      <c r="DF755" s="1399"/>
      <c r="DG755" s="1399"/>
      <c r="DH755" s="1399"/>
      <c r="DI755" s="1399"/>
      <c r="DJ755" s="1399"/>
      <c r="DK755" s="1399"/>
      <c r="DL755" s="1399"/>
      <c r="DM755" s="1399"/>
      <c r="DN755" s="1399"/>
      <c r="DO755" s="1399"/>
      <c r="DP755" s="1399"/>
      <c r="DQ755" s="1399"/>
      <c r="DR755" s="1399"/>
      <c r="DS755" s="1399"/>
      <c r="DT755" s="1399"/>
      <c r="DU755" s="1399"/>
    </row>
    <row r="756" spans="1:125">
      <c r="A756" s="1414"/>
      <c r="B756" s="1414"/>
      <c r="C756" s="1414"/>
      <c r="D756" s="1414"/>
      <c r="E756" s="1414"/>
      <c r="F756" s="1414"/>
      <c r="G756" s="1414"/>
      <c r="H756" s="1414"/>
      <c r="I756" s="1414"/>
      <c r="J756" s="1414"/>
      <c r="K756" s="1414"/>
      <c r="L756" s="1414"/>
      <c r="M756" s="1414"/>
      <c r="N756" s="1414"/>
      <c r="O756" s="1414"/>
      <c r="P756" s="1414"/>
      <c r="Q756" s="1414"/>
      <c r="R756" s="1414"/>
      <c r="S756" s="1414"/>
      <c r="T756" s="1414"/>
      <c r="U756" s="1414"/>
      <c r="V756" s="1414"/>
      <c r="W756" s="1414"/>
      <c r="X756" s="1414"/>
      <c r="Y756" s="1414"/>
      <c r="Z756" s="1414"/>
      <c r="AA756" s="1414"/>
      <c r="AB756" s="1414"/>
      <c r="AC756" s="1414"/>
      <c r="AD756" s="1414"/>
      <c r="AE756" s="1414"/>
      <c r="AF756" s="1414"/>
      <c r="AG756" s="1414"/>
      <c r="AH756" s="1414"/>
      <c r="AI756" s="1414"/>
      <c r="AJ756" s="1414"/>
      <c r="AK756" s="1414"/>
      <c r="AL756" s="1414"/>
      <c r="AM756" s="1414"/>
      <c r="AN756" s="1414"/>
      <c r="AO756" s="1414"/>
      <c r="AP756" s="1414"/>
      <c r="AQ756" s="1414"/>
      <c r="AR756" s="1414"/>
      <c r="AS756" s="1414"/>
      <c r="AT756" s="1414"/>
      <c r="AU756" s="1414"/>
      <c r="AV756" s="1414"/>
      <c r="AW756" s="1414"/>
      <c r="AX756" s="1414"/>
      <c r="AY756" s="1399"/>
      <c r="AZ756" s="1399"/>
      <c r="BA756" s="1399"/>
      <c r="BB756" s="1399"/>
      <c r="BC756" s="1399"/>
      <c r="BD756" s="1399"/>
      <c r="BE756" s="1414"/>
      <c r="BF756" s="1399"/>
      <c r="BG756" s="1399"/>
      <c r="BH756" s="1399"/>
      <c r="BI756" s="1399"/>
      <c r="BJ756" s="1399"/>
      <c r="BK756" s="1399"/>
      <c r="BL756" s="1399"/>
      <c r="BM756" s="1399"/>
      <c r="BN756" s="1399"/>
      <c r="BO756" s="1399"/>
      <c r="BP756" s="1399"/>
      <c r="BQ756" s="1399"/>
      <c r="BR756" s="1399"/>
      <c r="BS756" s="1399"/>
      <c r="BT756" s="1399"/>
      <c r="BU756" s="1399"/>
      <c r="BV756" s="1399"/>
      <c r="BW756" s="1399"/>
      <c r="BX756" s="1399"/>
      <c r="BY756" s="1399"/>
      <c r="BZ756" s="1399"/>
      <c r="CA756" s="1399"/>
      <c r="CB756" s="1399"/>
      <c r="CC756" s="1399"/>
      <c r="CD756" s="1399"/>
      <c r="CE756" s="1399"/>
      <c r="CF756" s="1399"/>
      <c r="CG756" s="1399"/>
      <c r="CH756" s="1399"/>
      <c r="CI756" s="1399"/>
      <c r="CJ756" s="1399"/>
      <c r="CK756" s="1399"/>
      <c r="CL756" s="1399"/>
      <c r="CM756" s="1399"/>
      <c r="CN756" s="1399"/>
      <c r="CO756" s="1399"/>
      <c r="CP756" s="1399"/>
      <c r="CQ756" s="1399"/>
      <c r="CR756" s="1399"/>
      <c r="CS756" s="1399"/>
      <c r="CT756" s="1399"/>
      <c r="CU756" s="1399"/>
      <c r="CV756" s="1399"/>
      <c r="CW756" s="1399"/>
      <c r="CX756" s="1399"/>
      <c r="CY756" s="1399"/>
      <c r="CZ756" s="1399"/>
      <c r="DA756" s="1399"/>
      <c r="DB756" s="1399"/>
      <c r="DC756" s="1399"/>
      <c r="DD756" s="1399"/>
      <c r="DE756" s="1399"/>
      <c r="DF756" s="1399"/>
      <c r="DG756" s="1399"/>
      <c r="DH756" s="1399"/>
      <c r="DI756" s="1399"/>
      <c r="DJ756" s="1399"/>
      <c r="DK756" s="1399"/>
      <c r="DL756" s="1399"/>
      <c r="DM756" s="1399"/>
      <c r="DN756" s="1399"/>
      <c r="DO756" s="1399"/>
      <c r="DP756" s="1399"/>
      <c r="DQ756" s="1399"/>
      <c r="DR756" s="1399"/>
      <c r="DS756" s="1399"/>
      <c r="DT756" s="1399"/>
      <c r="DU756" s="1399"/>
    </row>
    <row r="757" spans="1:125">
      <c r="A757" s="1414"/>
      <c r="B757" s="1414"/>
      <c r="C757" s="1414"/>
      <c r="D757" s="1414"/>
      <c r="E757" s="1414"/>
      <c r="F757" s="1414"/>
      <c r="G757" s="1414"/>
      <c r="H757" s="1414"/>
      <c r="I757" s="1414"/>
      <c r="J757" s="1414"/>
      <c r="K757" s="1414"/>
      <c r="L757" s="1414"/>
      <c r="M757" s="1414"/>
      <c r="N757" s="1414"/>
      <c r="O757" s="1414"/>
      <c r="P757" s="1414"/>
      <c r="Q757" s="1414"/>
      <c r="R757" s="1414"/>
      <c r="S757" s="1414"/>
      <c r="T757" s="1414"/>
      <c r="U757" s="1414"/>
      <c r="V757" s="1414"/>
      <c r="W757" s="1414"/>
      <c r="X757" s="1414"/>
      <c r="Y757" s="1414"/>
      <c r="Z757" s="1414"/>
      <c r="AA757" s="1414"/>
      <c r="AB757" s="1414"/>
      <c r="AC757" s="1414"/>
      <c r="AD757" s="1414"/>
      <c r="AE757" s="1414"/>
      <c r="AF757" s="1414"/>
      <c r="AG757" s="1414"/>
      <c r="AH757" s="1414"/>
      <c r="AI757" s="1414"/>
      <c r="AJ757" s="1414"/>
      <c r="AK757" s="1414"/>
      <c r="AL757" s="1414"/>
      <c r="AM757" s="1414"/>
      <c r="AN757" s="1414"/>
      <c r="AO757" s="1414"/>
      <c r="AP757" s="1414"/>
      <c r="AQ757" s="1414"/>
      <c r="AR757" s="1414"/>
      <c r="AS757" s="1414"/>
      <c r="AT757" s="1414"/>
      <c r="AU757" s="1414"/>
      <c r="AV757" s="1414"/>
      <c r="AW757" s="1414"/>
      <c r="AX757" s="1414"/>
      <c r="AY757" s="1399"/>
      <c r="AZ757" s="1399"/>
      <c r="BA757" s="1399"/>
      <c r="BB757" s="1399"/>
      <c r="BC757" s="1399"/>
      <c r="BD757" s="1399"/>
      <c r="BE757" s="1414"/>
      <c r="BF757" s="1399"/>
      <c r="BG757" s="1399"/>
      <c r="BH757" s="1399"/>
      <c r="BI757" s="1399"/>
      <c r="BJ757" s="1399"/>
      <c r="BK757" s="1399"/>
      <c r="BL757" s="1399"/>
      <c r="BM757" s="1399"/>
      <c r="BN757" s="1399"/>
      <c r="BO757" s="1399"/>
      <c r="BP757" s="1399"/>
      <c r="BQ757" s="1399"/>
      <c r="BR757" s="1399"/>
      <c r="BS757" s="1399"/>
      <c r="BT757" s="1399"/>
      <c r="BU757" s="1399"/>
      <c r="BV757" s="1399"/>
      <c r="BW757" s="1399"/>
      <c r="BX757" s="1399"/>
      <c r="BY757" s="1399"/>
      <c r="BZ757" s="1399"/>
      <c r="CA757" s="1399"/>
      <c r="CB757" s="1399"/>
      <c r="CC757" s="1399"/>
      <c r="CD757" s="1399"/>
      <c r="CE757" s="1399"/>
      <c r="CF757" s="1399"/>
      <c r="CG757" s="1399"/>
      <c r="CH757" s="1399"/>
      <c r="CI757" s="1399"/>
      <c r="CJ757" s="1399"/>
      <c r="CK757" s="1399"/>
      <c r="CL757" s="1399"/>
      <c r="CM757" s="1399"/>
      <c r="CN757" s="1399"/>
      <c r="CO757" s="1399"/>
      <c r="CP757" s="1399"/>
      <c r="CQ757" s="1399"/>
      <c r="CR757" s="1399"/>
      <c r="CS757" s="1399"/>
      <c r="CT757" s="1399"/>
      <c r="CU757" s="1399"/>
      <c r="CV757" s="1399"/>
      <c r="CW757" s="1399"/>
      <c r="CX757" s="1399"/>
      <c r="CY757" s="1399"/>
      <c r="CZ757" s="1399"/>
      <c r="DA757" s="1399"/>
      <c r="DB757" s="1399"/>
      <c r="DC757" s="1399"/>
      <c r="DD757" s="1399"/>
      <c r="DE757" s="1399"/>
      <c r="DF757" s="1399"/>
      <c r="DG757" s="1399"/>
      <c r="DH757" s="1399"/>
      <c r="DI757" s="1399"/>
      <c r="DJ757" s="1399"/>
      <c r="DK757" s="1399"/>
      <c r="DL757" s="1399"/>
      <c r="DM757" s="1399"/>
      <c r="DN757" s="1399"/>
      <c r="DO757" s="1399"/>
      <c r="DP757" s="1399"/>
      <c r="DQ757" s="1399"/>
      <c r="DR757" s="1399"/>
      <c r="DS757" s="1399"/>
      <c r="DT757" s="1399"/>
      <c r="DU757" s="1399"/>
    </row>
    <row r="758" spans="1:125">
      <c r="A758" s="1414"/>
      <c r="B758" s="1414"/>
      <c r="C758" s="1414"/>
      <c r="D758" s="1414"/>
      <c r="E758" s="1414"/>
      <c r="F758" s="1414"/>
      <c r="G758" s="1414"/>
      <c r="H758" s="1414"/>
      <c r="I758" s="1414"/>
      <c r="J758" s="1414"/>
      <c r="K758" s="1414"/>
      <c r="L758" s="1414"/>
      <c r="M758" s="1414"/>
      <c r="N758" s="1414"/>
      <c r="O758" s="1414"/>
      <c r="P758" s="1414"/>
      <c r="Q758" s="1414"/>
      <c r="R758" s="1414"/>
      <c r="S758" s="1414"/>
      <c r="T758" s="1414"/>
      <c r="U758" s="1414"/>
      <c r="V758" s="1414"/>
      <c r="W758" s="1414"/>
      <c r="X758" s="1414"/>
      <c r="Y758" s="1414"/>
      <c r="Z758" s="1414"/>
      <c r="AA758" s="1414"/>
      <c r="AB758" s="1414"/>
      <c r="AC758" s="1414"/>
      <c r="AD758" s="1414"/>
      <c r="AE758" s="1414"/>
      <c r="AF758" s="1414"/>
      <c r="AG758" s="1414"/>
      <c r="AH758" s="1414"/>
      <c r="AI758" s="1414"/>
      <c r="AJ758" s="1414"/>
      <c r="AK758" s="1414"/>
      <c r="AL758" s="1414"/>
      <c r="AM758" s="1414"/>
      <c r="AN758" s="1414"/>
      <c r="AO758" s="1414"/>
      <c r="AP758" s="1414"/>
      <c r="AQ758" s="1414"/>
      <c r="AR758" s="1414"/>
      <c r="AS758" s="1414"/>
      <c r="AT758" s="1414"/>
      <c r="AU758" s="1414"/>
      <c r="AV758" s="1414"/>
      <c r="AW758" s="1414"/>
      <c r="AX758" s="1414"/>
      <c r="AY758" s="1399"/>
      <c r="AZ758" s="1399"/>
      <c r="BA758" s="1399"/>
      <c r="BB758" s="1399"/>
      <c r="BC758" s="1399"/>
      <c r="BD758" s="1399"/>
      <c r="BE758" s="1414"/>
      <c r="BF758" s="1399"/>
      <c r="BG758" s="1399"/>
      <c r="BH758" s="1399"/>
      <c r="BI758" s="1399"/>
      <c r="BJ758" s="1399"/>
      <c r="BK758" s="1399"/>
      <c r="BL758" s="1399"/>
      <c r="BM758" s="1399"/>
      <c r="BN758" s="1399"/>
      <c r="BO758" s="1399"/>
      <c r="BP758" s="1399"/>
      <c r="BQ758" s="1399"/>
      <c r="BR758" s="1399"/>
      <c r="BS758" s="1399"/>
      <c r="BT758" s="1399"/>
      <c r="BU758" s="1399"/>
      <c r="BV758" s="1399"/>
      <c r="BW758" s="1399"/>
      <c r="BX758" s="1399"/>
      <c r="BY758" s="1399"/>
      <c r="BZ758" s="1399"/>
      <c r="CA758" s="1399"/>
      <c r="CB758" s="1399"/>
      <c r="CC758" s="1399"/>
      <c r="CD758" s="1399"/>
      <c r="CE758" s="1399"/>
      <c r="CF758" s="1399"/>
      <c r="CG758" s="1399"/>
      <c r="CH758" s="1399"/>
      <c r="CI758" s="1399"/>
      <c r="CJ758" s="1399"/>
      <c r="CK758" s="1399"/>
      <c r="CL758" s="1399"/>
      <c r="CM758" s="1399"/>
      <c r="CN758" s="1399"/>
      <c r="CO758" s="1399"/>
      <c r="CP758" s="1399"/>
      <c r="CQ758" s="1399"/>
      <c r="CR758" s="1399"/>
      <c r="CS758" s="1399"/>
      <c r="CT758" s="1399"/>
      <c r="CU758" s="1399"/>
      <c r="CV758" s="1399"/>
      <c r="CW758" s="1399"/>
      <c r="CX758" s="1399"/>
      <c r="CY758" s="1399"/>
      <c r="CZ758" s="1399"/>
      <c r="DA758" s="1399"/>
      <c r="DB758" s="1399"/>
      <c r="DC758" s="1399"/>
      <c r="DD758" s="1399"/>
      <c r="DE758" s="1399"/>
      <c r="DF758" s="1399"/>
      <c r="DG758" s="1399"/>
      <c r="DH758" s="1399"/>
      <c r="DI758" s="1399"/>
      <c r="DJ758" s="1399"/>
      <c r="DK758" s="1399"/>
      <c r="DL758" s="1399"/>
      <c r="DM758" s="1399"/>
      <c r="DN758" s="1399"/>
      <c r="DO758" s="1399"/>
      <c r="DP758" s="1399"/>
      <c r="DQ758" s="1399"/>
      <c r="DR758" s="1399"/>
      <c r="DS758" s="1399"/>
      <c r="DT758" s="1399"/>
      <c r="DU758" s="1399"/>
    </row>
    <row r="759" spans="1:125">
      <c r="A759" s="1414"/>
      <c r="B759" s="1414"/>
      <c r="C759" s="1414"/>
      <c r="D759" s="1414"/>
      <c r="E759" s="1414"/>
      <c r="F759" s="1414"/>
      <c r="G759" s="1414"/>
      <c r="H759" s="1414"/>
      <c r="I759" s="1414"/>
      <c r="J759" s="1414"/>
      <c r="K759" s="1414"/>
      <c r="L759" s="1414"/>
      <c r="M759" s="1414"/>
      <c r="N759" s="1414"/>
      <c r="O759" s="1414"/>
      <c r="P759" s="1414"/>
      <c r="Q759" s="1414"/>
      <c r="R759" s="1414"/>
      <c r="S759" s="1414"/>
      <c r="T759" s="1414"/>
      <c r="U759" s="1414"/>
      <c r="V759" s="1414"/>
      <c r="W759" s="1414"/>
      <c r="X759" s="1414"/>
      <c r="Y759" s="1414"/>
      <c r="Z759" s="1414"/>
      <c r="AA759" s="1414"/>
      <c r="AB759" s="1414"/>
      <c r="AC759" s="1414"/>
      <c r="AD759" s="1414"/>
      <c r="AE759" s="1414"/>
      <c r="AF759" s="1414"/>
      <c r="AG759" s="1414"/>
      <c r="AH759" s="1414"/>
      <c r="AI759" s="1414"/>
      <c r="AJ759" s="1414"/>
      <c r="AK759" s="1414"/>
      <c r="AL759" s="1414"/>
      <c r="AM759" s="1414"/>
      <c r="AN759" s="1414"/>
      <c r="AO759" s="1414"/>
      <c r="AP759" s="1414"/>
      <c r="AQ759" s="1414"/>
      <c r="AR759" s="1414"/>
      <c r="AS759" s="1414"/>
      <c r="AT759" s="1414"/>
      <c r="AU759" s="1414"/>
      <c r="AV759" s="1414"/>
      <c r="AW759" s="1414"/>
      <c r="AX759" s="1414"/>
      <c r="AY759" s="1399"/>
      <c r="AZ759" s="1399"/>
      <c r="BA759" s="1399"/>
      <c r="BB759" s="1399"/>
      <c r="BC759" s="1399"/>
      <c r="BD759" s="1399"/>
      <c r="BE759" s="1414"/>
      <c r="BF759" s="1399"/>
      <c r="BG759" s="1399"/>
      <c r="BH759" s="1399"/>
      <c r="BI759" s="1399"/>
      <c r="BJ759" s="1399"/>
      <c r="BK759" s="1399"/>
      <c r="BL759" s="1399"/>
      <c r="BM759" s="1399"/>
      <c r="BN759" s="1399"/>
      <c r="BO759" s="1399"/>
      <c r="BP759" s="1399"/>
      <c r="BQ759" s="1399"/>
      <c r="BR759" s="1399"/>
      <c r="BS759" s="1399"/>
      <c r="BT759" s="1399"/>
      <c r="BU759" s="1399"/>
      <c r="BV759" s="1399"/>
      <c r="BW759" s="1399"/>
      <c r="BX759" s="1399"/>
      <c r="BY759" s="1399"/>
      <c r="BZ759" s="1399"/>
      <c r="CA759" s="1399"/>
      <c r="CB759" s="1399"/>
      <c r="CC759" s="1399"/>
      <c r="CD759" s="1399"/>
      <c r="CE759" s="1399"/>
      <c r="CF759" s="1399"/>
      <c r="CG759" s="1399"/>
      <c r="CH759" s="1399"/>
      <c r="CI759" s="1399"/>
      <c r="CJ759" s="1399"/>
      <c r="CK759" s="1399"/>
      <c r="CL759" s="1399"/>
      <c r="CM759" s="1399"/>
      <c r="CN759" s="1399"/>
      <c r="CO759" s="1399"/>
      <c r="CP759" s="1399"/>
      <c r="CQ759" s="1399"/>
      <c r="CR759" s="1399"/>
      <c r="CS759" s="1399"/>
      <c r="CT759" s="1399"/>
      <c r="CU759" s="1399"/>
      <c r="CV759" s="1399"/>
      <c r="CW759" s="1399"/>
      <c r="CX759" s="1399"/>
      <c r="CY759" s="1399"/>
      <c r="CZ759" s="1399"/>
      <c r="DA759" s="1399"/>
      <c r="DB759" s="1399"/>
      <c r="DC759" s="1399"/>
      <c r="DD759" s="1399"/>
      <c r="DE759" s="1399"/>
      <c r="DF759" s="1399"/>
      <c r="DG759" s="1399"/>
      <c r="DH759" s="1399"/>
      <c r="DI759" s="1399"/>
      <c r="DJ759" s="1399"/>
      <c r="DK759" s="1399"/>
      <c r="DL759" s="1399"/>
      <c r="DM759" s="1399"/>
      <c r="DN759" s="1399"/>
      <c r="DO759" s="1399"/>
      <c r="DP759" s="1399"/>
      <c r="DQ759" s="1399"/>
      <c r="DR759" s="1399"/>
      <c r="DS759" s="1399"/>
      <c r="DT759" s="1399"/>
      <c r="DU759" s="1399"/>
    </row>
    <row r="760" spans="1:125">
      <c r="A760" s="1414"/>
      <c r="B760" s="1414"/>
      <c r="C760" s="1414"/>
      <c r="D760" s="1414"/>
      <c r="E760" s="1414"/>
      <c r="F760" s="1414"/>
      <c r="G760" s="1414"/>
      <c r="H760" s="1414"/>
      <c r="I760" s="1414"/>
      <c r="J760" s="1414"/>
      <c r="K760" s="1414"/>
      <c r="L760" s="1414"/>
      <c r="M760" s="1414"/>
      <c r="N760" s="1414"/>
      <c r="O760" s="1414"/>
      <c r="P760" s="1414"/>
      <c r="Q760" s="1414"/>
      <c r="R760" s="1414"/>
      <c r="S760" s="1414"/>
      <c r="T760" s="1414"/>
      <c r="U760" s="1414"/>
      <c r="V760" s="1414"/>
      <c r="W760" s="1414"/>
      <c r="X760" s="1414"/>
      <c r="Y760" s="1414"/>
      <c r="Z760" s="1414"/>
      <c r="AA760" s="1414"/>
      <c r="AB760" s="1414"/>
      <c r="AC760" s="1414"/>
      <c r="AD760" s="1414"/>
      <c r="AE760" s="1414"/>
      <c r="AF760" s="1414"/>
      <c r="AG760" s="1414"/>
      <c r="AH760" s="1414"/>
      <c r="AI760" s="1414"/>
      <c r="AJ760" s="1414"/>
      <c r="AK760" s="1414"/>
      <c r="AL760" s="1414"/>
      <c r="AM760" s="1414"/>
      <c r="AN760" s="1414"/>
      <c r="AO760" s="1414"/>
      <c r="AP760" s="1414"/>
      <c r="AQ760" s="1414"/>
      <c r="AR760" s="1414"/>
      <c r="AS760" s="1414"/>
      <c r="AT760" s="1414"/>
      <c r="AU760" s="1414"/>
      <c r="AV760" s="1414"/>
      <c r="AW760" s="1414"/>
      <c r="AX760" s="1414"/>
      <c r="AY760" s="1399"/>
      <c r="AZ760" s="1399"/>
      <c r="BA760" s="1399"/>
      <c r="BB760" s="1399"/>
      <c r="BC760" s="1399"/>
      <c r="BD760" s="1399"/>
      <c r="BE760" s="1414"/>
      <c r="BF760" s="1399"/>
      <c r="BG760" s="1399"/>
      <c r="BH760" s="1399"/>
      <c r="BI760" s="1399"/>
      <c r="BJ760" s="1399"/>
      <c r="BK760" s="1399"/>
      <c r="BL760" s="1399"/>
      <c r="BM760" s="1399"/>
      <c r="BN760" s="1399"/>
      <c r="BO760" s="1399"/>
      <c r="BP760" s="1399"/>
      <c r="BQ760" s="1399"/>
      <c r="BR760" s="1399"/>
      <c r="BS760" s="1399"/>
      <c r="BT760" s="1399"/>
      <c r="BU760" s="1399"/>
      <c r="BV760" s="1399"/>
      <c r="BW760" s="1399"/>
      <c r="BX760" s="1399"/>
      <c r="BY760" s="1399"/>
      <c r="BZ760" s="1399"/>
      <c r="CA760" s="1399"/>
      <c r="CB760" s="1399"/>
      <c r="CC760" s="1399"/>
      <c r="CD760" s="1399"/>
      <c r="CE760" s="1399"/>
      <c r="CF760" s="1399"/>
      <c r="CG760" s="1399"/>
      <c r="CH760" s="1399"/>
      <c r="CI760" s="1399"/>
      <c r="CJ760" s="1399"/>
      <c r="CK760" s="1399"/>
      <c r="CL760" s="1399"/>
      <c r="CM760" s="1399"/>
      <c r="CN760" s="1399"/>
      <c r="CO760" s="1399"/>
      <c r="CP760" s="1399"/>
      <c r="CQ760" s="1399"/>
      <c r="CR760" s="1399"/>
      <c r="CS760" s="1399"/>
      <c r="CT760" s="1399"/>
      <c r="CU760" s="1399"/>
      <c r="CV760" s="1399"/>
      <c r="CW760" s="1399"/>
      <c r="CX760" s="1399"/>
      <c r="CY760" s="1399"/>
      <c r="CZ760" s="1399"/>
      <c r="DA760" s="1399"/>
      <c r="DB760" s="1399"/>
      <c r="DC760" s="1399"/>
      <c r="DD760" s="1399"/>
      <c r="DE760" s="1399"/>
      <c r="DF760" s="1399"/>
      <c r="DG760" s="1399"/>
      <c r="DH760" s="1399"/>
      <c r="DI760" s="1399"/>
      <c r="DJ760" s="1399"/>
      <c r="DK760" s="1399"/>
      <c r="DL760" s="1399"/>
      <c r="DM760" s="1399"/>
      <c r="DN760" s="1399"/>
      <c r="DO760" s="1399"/>
      <c r="DP760" s="1399"/>
      <c r="DQ760" s="1399"/>
      <c r="DR760" s="1399"/>
      <c r="DS760" s="1399"/>
      <c r="DT760" s="1399"/>
      <c r="DU760" s="1399"/>
    </row>
    <row r="761" spans="1:125">
      <c r="A761" s="1414"/>
      <c r="B761" s="1414"/>
      <c r="C761" s="1414"/>
      <c r="D761" s="1414"/>
      <c r="E761" s="1414"/>
      <c r="F761" s="1414"/>
      <c r="G761" s="1414"/>
      <c r="H761" s="1414"/>
      <c r="I761" s="1414"/>
      <c r="J761" s="1414"/>
      <c r="K761" s="1414"/>
      <c r="L761" s="1414"/>
      <c r="M761" s="1414"/>
      <c r="N761" s="1414"/>
      <c r="O761" s="1414"/>
      <c r="P761" s="1414"/>
      <c r="Q761" s="1414"/>
      <c r="R761" s="1414"/>
      <c r="S761" s="1414"/>
      <c r="T761" s="1414"/>
      <c r="U761" s="1414"/>
      <c r="V761" s="1414"/>
      <c r="W761" s="1414"/>
      <c r="X761" s="1414"/>
      <c r="Y761" s="1414"/>
      <c r="Z761" s="1414"/>
      <c r="AA761" s="1414"/>
      <c r="AB761" s="1414"/>
      <c r="AC761" s="1414"/>
      <c r="AD761" s="1414"/>
      <c r="AE761" s="1414"/>
      <c r="AF761" s="1414"/>
      <c r="AG761" s="1414"/>
      <c r="AH761" s="1414"/>
      <c r="AI761" s="1414"/>
      <c r="AJ761" s="1414"/>
      <c r="AK761" s="1414"/>
      <c r="AL761" s="1414"/>
      <c r="AM761" s="1414"/>
      <c r="AN761" s="1414"/>
      <c r="AO761" s="1414"/>
      <c r="AP761" s="1414"/>
      <c r="AQ761" s="1414"/>
      <c r="AR761" s="1414"/>
      <c r="AS761" s="1414"/>
      <c r="AT761" s="1414"/>
      <c r="AU761" s="1414"/>
      <c r="AV761" s="1414"/>
      <c r="AW761" s="1414"/>
      <c r="AX761" s="1414"/>
      <c r="AY761" s="1399"/>
      <c r="AZ761" s="1399"/>
      <c r="BA761" s="1399"/>
      <c r="BB761" s="1399"/>
      <c r="BC761" s="1399"/>
      <c r="BD761" s="1399"/>
      <c r="BE761" s="1414"/>
      <c r="BF761" s="1399"/>
      <c r="BG761" s="1399"/>
      <c r="BH761" s="1399"/>
      <c r="BI761" s="1399"/>
      <c r="BJ761" s="1399"/>
      <c r="BK761" s="1399"/>
      <c r="BL761" s="1399"/>
      <c r="BM761" s="1399"/>
      <c r="BN761" s="1399"/>
      <c r="BO761" s="1399"/>
      <c r="BP761" s="1399"/>
      <c r="BQ761" s="1399"/>
      <c r="BR761" s="1399"/>
      <c r="BS761" s="1399"/>
      <c r="BT761" s="1399"/>
      <c r="BU761" s="1399"/>
      <c r="BV761" s="1399"/>
      <c r="BW761" s="1399"/>
      <c r="BX761" s="1399"/>
      <c r="BY761" s="1399"/>
      <c r="BZ761" s="1399"/>
      <c r="CA761" s="1399"/>
      <c r="CB761" s="1399"/>
      <c r="CC761" s="1399"/>
      <c r="CD761" s="1399"/>
      <c r="CE761" s="1399"/>
      <c r="CF761" s="1399"/>
      <c r="CG761" s="1399"/>
      <c r="CH761" s="1399"/>
      <c r="CI761" s="1399"/>
      <c r="CJ761" s="1399"/>
      <c r="CK761" s="1399"/>
      <c r="CL761" s="1399"/>
      <c r="CM761" s="1399"/>
      <c r="CN761" s="1399"/>
      <c r="CO761" s="1399"/>
      <c r="CP761" s="1399"/>
      <c r="CQ761" s="1399"/>
      <c r="CR761" s="1399"/>
      <c r="CS761" s="1399"/>
      <c r="CT761" s="1399"/>
      <c r="CU761" s="1399"/>
      <c r="CV761" s="1399"/>
      <c r="CW761" s="1399"/>
      <c r="CX761" s="1399"/>
      <c r="CY761" s="1399"/>
      <c r="CZ761" s="1399"/>
      <c r="DA761" s="1399"/>
      <c r="DB761" s="1399"/>
      <c r="DC761" s="1399"/>
      <c r="DD761" s="1399"/>
      <c r="DE761" s="1399"/>
      <c r="DF761" s="1399"/>
      <c r="DG761" s="1399"/>
      <c r="DH761" s="1399"/>
      <c r="DI761" s="1399"/>
      <c r="DJ761" s="1399"/>
      <c r="DK761" s="1399"/>
      <c r="DL761" s="1399"/>
      <c r="DM761" s="1399"/>
      <c r="DN761" s="1399"/>
      <c r="DO761" s="1399"/>
      <c r="DP761" s="1399"/>
      <c r="DQ761" s="1399"/>
      <c r="DR761" s="1399"/>
      <c r="DS761" s="1399"/>
      <c r="DT761" s="1399"/>
      <c r="DU761" s="1399"/>
    </row>
    <row r="762" spans="1:125">
      <c r="A762" s="1414"/>
      <c r="B762" s="1414"/>
      <c r="C762" s="1414"/>
      <c r="D762" s="1414"/>
      <c r="E762" s="1414"/>
      <c r="F762" s="1414"/>
      <c r="G762" s="1414"/>
      <c r="H762" s="1414"/>
      <c r="I762" s="1414"/>
      <c r="J762" s="1414"/>
      <c r="K762" s="1414"/>
      <c r="L762" s="1414"/>
      <c r="M762" s="1414"/>
      <c r="N762" s="1414"/>
      <c r="O762" s="1414"/>
      <c r="P762" s="1414"/>
      <c r="Q762" s="1414"/>
      <c r="R762" s="1414"/>
      <c r="S762" s="1414"/>
      <c r="T762" s="1414"/>
      <c r="U762" s="1414"/>
      <c r="V762" s="1414"/>
      <c r="W762" s="1414"/>
      <c r="X762" s="1414"/>
      <c r="Y762" s="1414"/>
      <c r="Z762" s="1414"/>
      <c r="AA762" s="1414"/>
      <c r="AB762" s="1414"/>
      <c r="AC762" s="1414"/>
      <c r="AD762" s="1414"/>
      <c r="AE762" s="1414"/>
      <c r="AF762" s="1414"/>
      <c r="AG762" s="1414"/>
      <c r="AH762" s="1414"/>
      <c r="AI762" s="1414"/>
      <c r="AJ762" s="1414"/>
      <c r="AK762" s="1414"/>
      <c r="AL762" s="1414"/>
      <c r="AM762" s="1414"/>
      <c r="AN762" s="1414"/>
      <c r="AO762" s="1414"/>
      <c r="AP762" s="1414"/>
      <c r="AQ762" s="1414"/>
      <c r="AR762" s="1414"/>
      <c r="AS762" s="1414"/>
      <c r="AT762" s="1414"/>
      <c r="AU762" s="1414"/>
      <c r="AV762" s="1414"/>
      <c r="AW762" s="1414"/>
      <c r="AX762" s="1414"/>
      <c r="AY762" s="1399"/>
      <c r="AZ762" s="1399"/>
      <c r="BA762" s="1399"/>
      <c r="BB762" s="1399"/>
      <c r="BC762" s="1399"/>
      <c r="BD762" s="1399"/>
      <c r="BE762" s="1414"/>
      <c r="BF762" s="1399"/>
      <c r="BG762" s="1399"/>
      <c r="BH762" s="1399"/>
      <c r="BI762" s="1399"/>
      <c r="BJ762" s="1399"/>
      <c r="BK762" s="1399"/>
      <c r="BL762" s="1399"/>
      <c r="BM762" s="1399"/>
      <c r="BN762" s="1399"/>
      <c r="BO762" s="1399"/>
      <c r="BP762" s="1399"/>
      <c r="BQ762" s="1399"/>
      <c r="BR762" s="1399"/>
      <c r="BS762" s="1399"/>
      <c r="BT762" s="1399"/>
      <c r="BU762" s="1399"/>
      <c r="BV762" s="1399"/>
      <c r="BW762" s="1399"/>
      <c r="BX762" s="1399"/>
      <c r="BY762" s="1399"/>
      <c r="BZ762" s="1399"/>
      <c r="CA762" s="1399"/>
      <c r="CB762" s="1399"/>
      <c r="CC762" s="1399"/>
      <c r="CD762" s="1399"/>
      <c r="CE762" s="1399"/>
      <c r="CF762" s="1399"/>
      <c r="CG762" s="1399"/>
      <c r="CH762" s="1399"/>
      <c r="CI762" s="1399"/>
      <c r="CJ762" s="1399"/>
      <c r="CK762" s="1399"/>
      <c r="CL762" s="1399"/>
      <c r="CM762" s="1399"/>
      <c r="CN762" s="1399"/>
      <c r="CO762" s="1399"/>
      <c r="CP762" s="1399"/>
      <c r="CQ762" s="1399"/>
      <c r="CR762" s="1399"/>
      <c r="CS762" s="1399"/>
      <c r="CT762" s="1399"/>
      <c r="CU762" s="1399"/>
      <c r="CV762" s="1399"/>
      <c r="CW762" s="1399"/>
      <c r="CX762" s="1399"/>
      <c r="CY762" s="1399"/>
      <c r="CZ762" s="1399"/>
      <c r="DA762" s="1399"/>
      <c r="DB762" s="1399"/>
      <c r="DC762" s="1399"/>
      <c r="DD762" s="1399"/>
      <c r="DE762" s="1399"/>
      <c r="DF762" s="1399"/>
      <c r="DG762" s="1399"/>
      <c r="DH762" s="1399"/>
      <c r="DI762" s="1399"/>
      <c r="DJ762" s="1399"/>
      <c r="DK762" s="1399"/>
      <c r="DL762" s="1399"/>
      <c r="DM762" s="1399"/>
      <c r="DN762" s="1399"/>
      <c r="DO762" s="1399"/>
      <c r="DP762" s="1399"/>
      <c r="DQ762" s="1399"/>
      <c r="DR762" s="1399"/>
      <c r="DS762" s="1399"/>
      <c r="DT762" s="1399"/>
      <c r="DU762" s="1399"/>
    </row>
    <row r="763" spans="1:125">
      <c r="A763" s="1414"/>
      <c r="B763" s="1414"/>
      <c r="C763" s="1414"/>
      <c r="D763" s="1414"/>
      <c r="E763" s="1414"/>
      <c r="F763" s="1414"/>
      <c r="G763" s="1414"/>
      <c r="H763" s="1414"/>
      <c r="I763" s="1414"/>
      <c r="J763" s="1414"/>
      <c r="K763" s="1414"/>
      <c r="L763" s="1414"/>
      <c r="M763" s="1414"/>
      <c r="N763" s="1414"/>
      <c r="O763" s="1414"/>
      <c r="P763" s="1414"/>
      <c r="Q763" s="1414"/>
      <c r="R763" s="1414"/>
      <c r="S763" s="1414"/>
      <c r="T763" s="1414"/>
      <c r="U763" s="1414"/>
      <c r="V763" s="1414"/>
      <c r="W763" s="1414"/>
      <c r="X763" s="1414"/>
      <c r="Y763" s="1414"/>
      <c r="Z763" s="1414"/>
      <c r="AA763" s="1414"/>
      <c r="AB763" s="1414"/>
      <c r="AC763" s="1414"/>
      <c r="AD763" s="1414"/>
      <c r="AE763" s="1414"/>
      <c r="AF763" s="1414"/>
      <c r="AG763" s="1414"/>
      <c r="AH763" s="1414"/>
      <c r="AI763" s="1414"/>
      <c r="AJ763" s="1414"/>
      <c r="AK763" s="1414"/>
      <c r="AL763" s="1414"/>
      <c r="AM763" s="1414"/>
      <c r="AN763" s="1414"/>
      <c r="AO763" s="1414"/>
      <c r="AP763" s="1414"/>
      <c r="AQ763" s="1414"/>
      <c r="AR763" s="1414"/>
      <c r="AS763" s="1414"/>
      <c r="AT763" s="1414"/>
      <c r="AU763" s="1414"/>
      <c r="AV763" s="1414"/>
      <c r="AW763" s="1414"/>
      <c r="AX763" s="1414"/>
      <c r="AY763" s="1399"/>
      <c r="AZ763" s="1399"/>
      <c r="BA763" s="1399"/>
      <c r="BB763" s="1399"/>
      <c r="BC763" s="1399"/>
      <c r="BD763" s="1399"/>
      <c r="BE763" s="1414"/>
      <c r="BF763" s="1399"/>
      <c r="BG763" s="1399"/>
      <c r="BH763" s="1399"/>
      <c r="BI763" s="1399"/>
      <c r="BJ763" s="1399"/>
      <c r="BK763" s="1399"/>
      <c r="BL763" s="1399"/>
      <c r="BM763" s="1399"/>
      <c r="BN763" s="1399"/>
      <c r="BO763" s="1399"/>
      <c r="BP763" s="1399"/>
      <c r="BQ763" s="1399"/>
      <c r="BR763" s="1399"/>
      <c r="BS763" s="1399"/>
      <c r="BT763" s="1399"/>
      <c r="BU763" s="1399"/>
      <c r="BV763" s="1399"/>
      <c r="BW763" s="1399"/>
      <c r="BX763" s="1399"/>
      <c r="BY763" s="1399"/>
      <c r="BZ763" s="1399"/>
      <c r="CA763" s="1399"/>
      <c r="CB763" s="1399"/>
      <c r="CC763" s="1399"/>
      <c r="CD763" s="1399"/>
      <c r="CE763" s="1399"/>
      <c r="CF763" s="1399"/>
      <c r="CG763" s="1399"/>
      <c r="CH763" s="1399"/>
      <c r="CI763" s="1399"/>
      <c r="CJ763" s="1399"/>
      <c r="CK763" s="1399"/>
      <c r="CL763" s="1399"/>
      <c r="CM763" s="1399"/>
      <c r="CN763" s="1399"/>
      <c r="CO763" s="1399"/>
      <c r="CP763" s="1399"/>
      <c r="CQ763" s="1399"/>
      <c r="CR763" s="1399"/>
      <c r="CS763" s="1399"/>
      <c r="CT763" s="1399"/>
      <c r="CU763" s="1399"/>
      <c r="CV763" s="1399"/>
      <c r="CW763" s="1399"/>
      <c r="CX763" s="1399"/>
      <c r="CY763" s="1399"/>
      <c r="CZ763" s="1399"/>
      <c r="DA763" s="1399"/>
      <c r="DB763" s="1399"/>
      <c r="DC763" s="1399"/>
      <c r="DD763" s="1399"/>
      <c r="DE763" s="1399"/>
      <c r="DF763" s="1399"/>
      <c r="DG763" s="1399"/>
      <c r="DH763" s="1399"/>
      <c r="DI763" s="1399"/>
      <c r="DJ763" s="1399"/>
      <c r="DK763" s="1399"/>
      <c r="DL763" s="1399"/>
      <c r="DM763" s="1399"/>
      <c r="DN763" s="1399"/>
      <c r="DO763" s="1399"/>
      <c r="DP763" s="1399"/>
      <c r="DQ763" s="1399"/>
      <c r="DR763" s="1399"/>
      <c r="DS763" s="1399"/>
      <c r="DT763" s="1399"/>
      <c r="DU763" s="1399"/>
    </row>
    <row r="764" spans="1:125">
      <c r="A764" s="1414"/>
      <c r="B764" s="1414"/>
      <c r="C764" s="1414"/>
      <c r="D764" s="1414"/>
      <c r="E764" s="1414"/>
      <c r="F764" s="1414"/>
      <c r="G764" s="1414"/>
      <c r="H764" s="1414"/>
      <c r="I764" s="1414"/>
      <c r="J764" s="1414"/>
      <c r="K764" s="1414"/>
      <c r="L764" s="1414"/>
      <c r="M764" s="1414"/>
      <c r="N764" s="1414"/>
      <c r="O764" s="1414"/>
      <c r="P764" s="1414"/>
      <c r="Q764" s="1414"/>
      <c r="R764" s="1414"/>
      <c r="S764" s="1414"/>
      <c r="T764" s="1414"/>
      <c r="U764" s="1414"/>
      <c r="V764" s="1414"/>
      <c r="W764" s="1414"/>
      <c r="X764" s="1414"/>
      <c r="Y764" s="1414"/>
      <c r="Z764" s="1414"/>
      <c r="AA764" s="1414"/>
      <c r="AB764" s="1414"/>
      <c r="AC764" s="1414"/>
      <c r="AD764" s="1414"/>
      <c r="AE764" s="1414"/>
      <c r="AF764" s="1414"/>
      <c r="AG764" s="1414"/>
      <c r="AH764" s="1414"/>
      <c r="AI764" s="1414"/>
      <c r="AJ764" s="1414"/>
      <c r="AK764" s="1414"/>
      <c r="AL764" s="1414"/>
      <c r="AM764" s="1414"/>
      <c r="AN764" s="1414"/>
      <c r="AO764" s="1414"/>
      <c r="AP764" s="1414"/>
      <c r="AQ764" s="1414"/>
      <c r="AR764" s="1414"/>
      <c r="AS764" s="1414"/>
      <c r="AT764" s="1414"/>
      <c r="AU764" s="1414"/>
      <c r="AV764" s="1414"/>
      <c r="AW764" s="1414"/>
      <c r="AX764" s="1414"/>
      <c r="AY764" s="1399"/>
      <c r="AZ764" s="1399"/>
      <c r="BA764" s="1399"/>
      <c r="BB764" s="1399"/>
      <c r="BC764" s="1399"/>
      <c r="BD764" s="1399"/>
      <c r="BE764" s="1414"/>
      <c r="BF764" s="1399"/>
      <c r="BG764" s="1399"/>
      <c r="BH764" s="1399"/>
      <c r="BI764" s="1399"/>
      <c r="BJ764" s="1399"/>
      <c r="BK764" s="1399"/>
      <c r="BL764" s="1399"/>
      <c r="BM764" s="1399"/>
      <c r="BN764" s="1399"/>
      <c r="BO764" s="1399"/>
      <c r="BP764" s="1399"/>
      <c r="BQ764" s="1399"/>
      <c r="BR764" s="1399"/>
      <c r="BS764" s="1399"/>
      <c r="BT764" s="1399"/>
      <c r="BU764" s="1399"/>
      <c r="BV764" s="1399"/>
      <c r="BW764" s="1399"/>
      <c r="BX764" s="1399"/>
      <c r="BY764" s="1399"/>
      <c r="BZ764" s="1399"/>
      <c r="CA764" s="1399"/>
      <c r="CB764" s="1399"/>
      <c r="CC764" s="1399"/>
      <c r="CD764" s="1399"/>
      <c r="CE764" s="1399"/>
      <c r="CF764" s="1399"/>
      <c r="CG764" s="1399"/>
      <c r="CH764" s="1399"/>
      <c r="CI764" s="1399"/>
      <c r="CJ764" s="1399"/>
      <c r="CK764" s="1399"/>
      <c r="CL764" s="1399"/>
      <c r="CM764" s="1399"/>
      <c r="CN764" s="1399"/>
      <c r="CO764" s="1399"/>
      <c r="CP764" s="1399"/>
      <c r="CQ764" s="1399"/>
      <c r="CR764" s="1399"/>
      <c r="CS764" s="1399"/>
      <c r="CT764" s="1399"/>
      <c r="CU764" s="1399"/>
      <c r="CV764" s="1399"/>
      <c r="CW764" s="1399"/>
      <c r="CX764" s="1399"/>
      <c r="CY764" s="1399"/>
      <c r="CZ764" s="1399"/>
      <c r="DA764" s="1399"/>
      <c r="DB764" s="1399"/>
      <c r="DC764" s="1399"/>
      <c r="DD764" s="1399"/>
      <c r="DE764" s="1399"/>
      <c r="DF764" s="1399"/>
      <c r="DG764" s="1399"/>
      <c r="DH764" s="1399"/>
      <c r="DI764" s="1399"/>
      <c r="DJ764" s="1399"/>
      <c r="DK764" s="1399"/>
      <c r="DL764" s="1399"/>
      <c r="DM764" s="1399"/>
      <c r="DN764" s="1399"/>
      <c r="DO764" s="1399"/>
      <c r="DP764" s="1399"/>
      <c r="DQ764" s="1399"/>
      <c r="DR764" s="1399"/>
      <c r="DS764" s="1399"/>
      <c r="DT764" s="1399"/>
      <c r="DU764" s="1399"/>
    </row>
    <row r="765" spans="1:125">
      <c r="A765" s="1414"/>
      <c r="B765" s="1414"/>
      <c r="C765" s="1414"/>
      <c r="D765" s="1414"/>
      <c r="E765" s="1414"/>
      <c r="F765" s="1414"/>
      <c r="G765" s="1414"/>
      <c r="H765" s="1414"/>
      <c r="I765" s="1414"/>
      <c r="J765" s="1414"/>
      <c r="K765" s="1414"/>
      <c r="L765" s="1414"/>
      <c r="M765" s="1414"/>
      <c r="N765" s="1414"/>
      <c r="O765" s="1414"/>
      <c r="P765" s="1414"/>
      <c r="Q765" s="1414"/>
      <c r="R765" s="1414"/>
      <c r="S765" s="1414"/>
      <c r="T765" s="1414"/>
      <c r="U765" s="1414"/>
      <c r="V765" s="1414"/>
      <c r="W765" s="1414"/>
      <c r="X765" s="1414"/>
      <c r="Y765" s="1414"/>
      <c r="Z765" s="1414"/>
      <c r="AA765" s="1414"/>
      <c r="AB765" s="1414"/>
      <c r="AC765" s="1414"/>
      <c r="AD765" s="1414"/>
      <c r="AE765" s="1414"/>
      <c r="AF765" s="1414"/>
      <c r="AG765" s="1414"/>
      <c r="AH765" s="1414"/>
      <c r="AI765" s="1414"/>
      <c r="AJ765" s="1414"/>
      <c r="AK765" s="1414"/>
      <c r="AL765" s="1414"/>
      <c r="AM765" s="1414"/>
      <c r="AN765" s="1414"/>
      <c r="AO765" s="1414"/>
      <c r="AP765" s="1414"/>
      <c r="AQ765" s="1414"/>
      <c r="AR765" s="1414"/>
      <c r="AS765" s="1414"/>
      <c r="AT765" s="1414"/>
      <c r="AU765" s="1414"/>
      <c r="AV765" s="1414"/>
      <c r="AW765" s="1414"/>
      <c r="AX765" s="1414"/>
      <c r="AY765" s="1399"/>
      <c r="AZ765" s="1399"/>
      <c r="BA765" s="1399"/>
      <c r="BB765" s="1399"/>
      <c r="BC765" s="1399"/>
      <c r="BD765" s="1399"/>
      <c r="BE765" s="1414"/>
      <c r="BF765" s="1399"/>
      <c r="BG765" s="1399"/>
      <c r="BH765" s="1399"/>
      <c r="BI765" s="1399"/>
      <c r="BJ765" s="1399"/>
      <c r="BK765" s="1399"/>
      <c r="BL765" s="1399"/>
      <c r="BM765" s="1399"/>
      <c r="BN765" s="1399"/>
      <c r="BO765" s="1399"/>
      <c r="BP765" s="1399"/>
      <c r="BQ765" s="1399"/>
      <c r="BR765" s="1399"/>
      <c r="BS765" s="1399"/>
      <c r="BT765" s="1399"/>
      <c r="BU765" s="1399"/>
      <c r="BV765" s="1399"/>
      <c r="BW765" s="1399"/>
      <c r="BX765" s="1399"/>
      <c r="BY765" s="1399"/>
      <c r="BZ765" s="1399"/>
      <c r="CA765" s="1399"/>
      <c r="CB765" s="1399"/>
      <c r="CC765" s="1399"/>
      <c r="CD765" s="1399"/>
      <c r="CE765" s="1399"/>
      <c r="CF765" s="1399"/>
      <c r="CG765" s="1399"/>
      <c r="CH765" s="1399"/>
      <c r="CI765" s="1399"/>
      <c r="CJ765" s="1399"/>
      <c r="CK765" s="1399"/>
      <c r="CL765" s="1399"/>
      <c r="CM765" s="1399"/>
      <c r="CN765" s="1399"/>
      <c r="CO765" s="1399"/>
      <c r="CP765" s="1399"/>
      <c r="CQ765" s="1399"/>
      <c r="CR765" s="1399"/>
      <c r="CS765" s="1399"/>
      <c r="CT765" s="1399"/>
      <c r="CU765" s="1399"/>
      <c r="CV765" s="1399"/>
      <c r="CW765" s="1399"/>
      <c r="CX765" s="1399"/>
      <c r="CY765" s="1399"/>
      <c r="CZ765" s="1399"/>
      <c r="DA765" s="1399"/>
      <c r="DB765" s="1399"/>
      <c r="DC765" s="1399"/>
      <c r="DD765" s="1399"/>
      <c r="DE765" s="1399"/>
      <c r="DF765" s="1399"/>
      <c r="DG765" s="1399"/>
      <c r="DH765" s="1399"/>
      <c r="DI765" s="1399"/>
      <c r="DJ765" s="1399"/>
      <c r="DK765" s="1399"/>
      <c r="DL765" s="1399"/>
      <c r="DM765" s="1399"/>
      <c r="DN765" s="1399"/>
      <c r="DO765" s="1399"/>
      <c r="DP765" s="1399"/>
      <c r="DQ765" s="1399"/>
      <c r="DR765" s="1399"/>
      <c r="DS765" s="1399"/>
      <c r="DT765" s="1399"/>
      <c r="DU765" s="1399"/>
    </row>
    <row r="766" spans="1:125">
      <c r="A766" s="1414"/>
      <c r="B766" s="1414"/>
      <c r="C766" s="1414"/>
      <c r="D766" s="1414"/>
      <c r="E766" s="1414"/>
      <c r="F766" s="1414"/>
      <c r="G766" s="1414"/>
      <c r="H766" s="1414"/>
      <c r="I766" s="1414"/>
      <c r="J766" s="1414"/>
      <c r="K766" s="1414"/>
      <c r="L766" s="1414"/>
      <c r="M766" s="1414"/>
      <c r="N766" s="1414"/>
      <c r="O766" s="1414"/>
      <c r="P766" s="1414"/>
      <c r="Q766" s="1414"/>
      <c r="R766" s="1414"/>
      <c r="S766" s="1414"/>
      <c r="T766" s="1414"/>
      <c r="U766" s="1414"/>
      <c r="V766" s="1414"/>
      <c r="W766" s="1414"/>
      <c r="X766" s="1414"/>
      <c r="Y766" s="1414"/>
      <c r="Z766" s="1414"/>
      <c r="AA766" s="1414"/>
      <c r="AB766" s="1414"/>
      <c r="AC766" s="1414"/>
      <c r="AD766" s="1414"/>
      <c r="AE766" s="1414"/>
      <c r="AF766" s="1414"/>
      <c r="AG766" s="1414"/>
      <c r="AH766" s="1414"/>
      <c r="AI766" s="1414"/>
      <c r="AJ766" s="1414"/>
      <c r="AK766" s="1414"/>
      <c r="AL766" s="1414"/>
      <c r="AM766" s="1414"/>
      <c r="AN766" s="1414"/>
      <c r="AO766" s="1414"/>
      <c r="AP766" s="1414"/>
      <c r="AQ766" s="1414"/>
      <c r="AR766" s="1414"/>
      <c r="AS766" s="1414"/>
      <c r="AT766" s="1414"/>
      <c r="AU766" s="1414"/>
      <c r="AV766" s="1414"/>
      <c r="AW766" s="1414"/>
      <c r="AX766" s="1414"/>
      <c r="AY766" s="1399"/>
      <c r="AZ766" s="1399"/>
      <c r="BA766" s="1399"/>
      <c r="BB766" s="1399"/>
      <c r="BC766" s="1399"/>
      <c r="BD766" s="1399"/>
      <c r="BE766" s="1414"/>
      <c r="BF766" s="1399"/>
      <c r="BG766" s="1399"/>
      <c r="BH766" s="1399"/>
      <c r="BI766" s="1399"/>
      <c r="BJ766" s="1399"/>
      <c r="BK766" s="1399"/>
      <c r="BL766" s="1399"/>
      <c r="BM766" s="1399"/>
      <c r="BN766" s="1399"/>
      <c r="BO766" s="1399"/>
      <c r="BP766" s="1399"/>
      <c r="BQ766" s="1399"/>
      <c r="BR766" s="1399"/>
      <c r="BS766" s="1399"/>
      <c r="BT766" s="1399"/>
      <c r="BU766" s="1399"/>
      <c r="BV766" s="1399"/>
      <c r="BW766" s="1399"/>
      <c r="BX766" s="1399"/>
      <c r="BY766" s="1399"/>
      <c r="BZ766" s="1399"/>
      <c r="CA766" s="1399"/>
      <c r="CB766" s="1399"/>
      <c r="CC766" s="1399"/>
      <c r="CD766" s="1399"/>
      <c r="CE766" s="1399"/>
      <c r="CF766" s="1399"/>
      <c r="CG766" s="1399"/>
      <c r="CH766" s="1399"/>
      <c r="CI766" s="1399"/>
      <c r="CJ766" s="1399"/>
      <c r="CK766" s="1399"/>
      <c r="CL766" s="1399"/>
      <c r="CM766" s="1399"/>
      <c r="CN766" s="1399"/>
      <c r="CO766" s="1399"/>
      <c r="CP766" s="1399"/>
      <c r="CQ766" s="1399"/>
      <c r="CR766" s="1399"/>
      <c r="CS766" s="1399"/>
      <c r="CT766" s="1399"/>
      <c r="CU766" s="1399"/>
      <c r="CV766" s="1399"/>
      <c r="CW766" s="1399"/>
      <c r="CX766" s="1399"/>
      <c r="CY766" s="1399"/>
      <c r="CZ766" s="1399"/>
      <c r="DA766" s="1399"/>
      <c r="DB766" s="1399"/>
      <c r="DC766" s="1399"/>
      <c r="DD766" s="1399"/>
      <c r="DE766" s="1399"/>
      <c r="DF766" s="1399"/>
      <c r="DG766" s="1399"/>
      <c r="DH766" s="1399"/>
      <c r="DI766" s="1399"/>
      <c r="DJ766" s="1399"/>
      <c r="DK766" s="1399"/>
      <c r="DL766" s="1399"/>
      <c r="DM766" s="1399"/>
      <c r="DN766" s="1399"/>
      <c r="DO766" s="1399"/>
      <c r="DP766" s="1399"/>
      <c r="DQ766" s="1399"/>
      <c r="DR766" s="1399"/>
      <c r="DS766" s="1399"/>
      <c r="DT766" s="1399"/>
      <c r="DU766" s="1399"/>
    </row>
    <row r="767" spans="1:125">
      <c r="A767" s="1414"/>
      <c r="B767" s="1414"/>
      <c r="C767" s="1414"/>
      <c r="D767" s="1414"/>
      <c r="E767" s="1414"/>
      <c r="F767" s="1414"/>
      <c r="G767" s="1414"/>
      <c r="H767" s="1414"/>
      <c r="I767" s="1414"/>
      <c r="J767" s="1414"/>
      <c r="K767" s="1414"/>
      <c r="L767" s="1414"/>
      <c r="M767" s="1414"/>
      <c r="N767" s="1414"/>
      <c r="O767" s="1414"/>
      <c r="P767" s="1414"/>
      <c r="Q767" s="1414"/>
      <c r="R767" s="1414"/>
      <c r="S767" s="1414"/>
      <c r="T767" s="1414"/>
      <c r="U767" s="1414"/>
      <c r="V767" s="1414"/>
      <c r="W767" s="1414"/>
      <c r="X767" s="1414"/>
      <c r="Y767" s="1414"/>
      <c r="Z767" s="1414"/>
      <c r="AA767" s="1414"/>
      <c r="AB767" s="1414"/>
      <c r="AC767" s="1414"/>
      <c r="AD767" s="1414"/>
      <c r="AE767" s="1414"/>
      <c r="AF767" s="1414"/>
      <c r="AG767" s="1414"/>
      <c r="AH767" s="1414"/>
      <c r="AI767" s="1414"/>
      <c r="AJ767" s="1414"/>
      <c r="AK767" s="1414"/>
      <c r="AL767" s="1414"/>
      <c r="AM767" s="1414"/>
      <c r="AN767" s="1414"/>
      <c r="AO767" s="1414"/>
      <c r="AP767" s="1414"/>
      <c r="AQ767" s="1414"/>
      <c r="AR767" s="1414"/>
      <c r="AS767" s="1414"/>
      <c r="AT767" s="1414"/>
      <c r="AU767" s="1414"/>
      <c r="AV767" s="1414"/>
      <c r="AW767" s="1414"/>
      <c r="AX767" s="1414"/>
      <c r="AY767" s="1399"/>
      <c r="AZ767" s="1399"/>
      <c r="BA767" s="1399"/>
      <c r="BB767" s="1399"/>
      <c r="BC767" s="1399"/>
      <c r="BD767" s="1399"/>
      <c r="BE767" s="1414"/>
      <c r="BF767" s="1399"/>
      <c r="BG767" s="1399"/>
      <c r="BH767" s="1399"/>
      <c r="BI767" s="1399"/>
      <c r="BJ767" s="1399"/>
      <c r="BK767" s="1399"/>
      <c r="BL767" s="1399"/>
      <c r="BM767" s="1399"/>
      <c r="BN767" s="1399"/>
      <c r="BO767" s="1399"/>
      <c r="BP767" s="1399"/>
      <c r="BQ767" s="1399"/>
      <c r="BR767" s="1399"/>
      <c r="BS767" s="1399"/>
      <c r="BT767" s="1399"/>
      <c r="BU767" s="1399"/>
      <c r="BV767" s="1399"/>
      <c r="BW767" s="1399"/>
      <c r="BX767" s="1399"/>
      <c r="BY767" s="1399"/>
      <c r="BZ767" s="1399"/>
      <c r="CA767" s="1399"/>
      <c r="CB767" s="1399"/>
      <c r="CC767" s="1399"/>
      <c r="CD767" s="1399"/>
      <c r="CE767" s="1399"/>
      <c r="CF767" s="1399"/>
      <c r="CG767" s="1399"/>
      <c r="CH767" s="1399"/>
      <c r="CI767" s="1399"/>
      <c r="CJ767" s="1399"/>
      <c r="CK767" s="1399"/>
      <c r="CL767" s="1399"/>
      <c r="CM767" s="1399"/>
      <c r="CN767" s="1399"/>
      <c r="CO767" s="1399"/>
      <c r="CP767" s="1399"/>
      <c r="CQ767" s="1399"/>
      <c r="CR767" s="1399"/>
      <c r="CS767" s="1399"/>
      <c r="CT767" s="1399"/>
      <c r="CU767" s="1399"/>
      <c r="CV767" s="1399"/>
      <c r="CW767" s="1399"/>
      <c r="CX767" s="1399"/>
      <c r="CY767" s="1399"/>
      <c r="CZ767" s="1399"/>
      <c r="DA767" s="1399"/>
      <c r="DB767" s="1399"/>
      <c r="DC767" s="1399"/>
      <c r="DD767" s="1399"/>
      <c r="DE767" s="1399"/>
      <c r="DF767" s="1399"/>
      <c r="DG767" s="1399"/>
      <c r="DH767" s="1399"/>
      <c r="DI767" s="1399"/>
      <c r="DJ767" s="1399"/>
      <c r="DK767" s="1399"/>
      <c r="DL767" s="1399"/>
      <c r="DM767" s="1399"/>
      <c r="DN767" s="1399"/>
      <c r="DO767" s="1399"/>
      <c r="DP767" s="1399"/>
      <c r="DQ767" s="1399"/>
      <c r="DR767" s="1399"/>
      <c r="DS767" s="1399"/>
      <c r="DT767" s="1399"/>
      <c r="DU767" s="1399"/>
    </row>
    <row r="768" spans="1:125">
      <c r="A768" s="1414"/>
      <c r="B768" s="1414"/>
      <c r="C768" s="1414"/>
      <c r="D768" s="1414"/>
      <c r="E768" s="1414"/>
      <c r="F768" s="1414"/>
      <c r="G768" s="1414"/>
      <c r="H768" s="1414"/>
      <c r="I768" s="1414"/>
      <c r="J768" s="1414"/>
      <c r="K768" s="1414"/>
      <c r="L768" s="1414"/>
      <c r="M768" s="1414"/>
      <c r="N768" s="1414"/>
      <c r="O768" s="1414"/>
      <c r="P768" s="1414"/>
      <c r="Q768" s="1414"/>
      <c r="R768" s="1414"/>
      <c r="S768" s="1414"/>
      <c r="T768" s="1414"/>
      <c r="U768" s="1414"/>
      <c r="V768" s="1414"/>
      <c r="W768" s="1414"/>
      <c r="X768" s="1414"/>
      <c r="Y768" s="1414"/>
      <c r="Z768" s="1414"/>
      <c r="AA768" s="1414"/>
      <c r="AB768" s="1414"/>
      <c r="AC768" s="1414"/>
      <c r="AD768" s="1414"/>
      <c r="AE768" s="1414"/>
      <c r="AF768" s="1414"/>
      <c r="AG768" s="1414"/>
      <c r="AH768" s="1414"/>
      <c r="AI768" s="1414"/>
      <c r="AJ768" s="1414"/>
      <c r="AK768" s="1414"/>
      <c r="AL768" s="1414"/>
      <c r="AM768" s="1414"/>
      <c r="AN768" s="1414"/>
      <c r="AO768" s="1414"/>
      <c r="AP768" s="1414"/>
      <c r="AQ768" s="1414"/>
      <c r="AR768" s="1414"/>
      <c r="AS768" s="1414"/>
      <c r="AT768" s="1414"/>
      <c r="AU768" s="1414"/>
      <c r="AV768" s="1414"/>
      <c r="AW768" s="1414"/>
      <c r="AX768" s="1414"/>
      <c r="AY768" s="1399"/>
      <c r="AZ768" s="1399"/>
      <c r="BA768" s="1399"/>
      <c r="BB768" s="1399"/>
      <c r="BC768" s="1399"/>
      <c r="BD768" s="1399"/>
      <c r="BE768" s="1414"/>
      <c r="BF768" s="1399"/>
      <c r="BG768" s="1399"/>
      <c r="BH768" s="1399"/>
      <c r="BI768" s="1399"/>
      <c r="BJ768" s="1399"/>
      <c r="BK768" s="1399"/>
      <c r="BL768" s="1399"/>
      <c r="BM768" s="1399"/>
      <c r="BN768" s="1399"/>
      <c r="BO768" s="1399"/>
      <c r="BP768" s="1399"/>
      <c r="BQ768" s="1399"/>
      <c r="BR768" s="1399"/>
      <c r="BS768" s="1399"/>
      <c r="BT768" s="1399"/>
      <c r="BU768" s="1399"/>
      <c r="BV768" s="1399"/>
      <c r="BW768" s="1399"/>
      <c r="BX768" s="1399"/>
      <c r="BY768" s="1399"/>
      <c r="BZ768" s="1399"/>
      <c r="CA768" s="1399"/>
      <c r="CB768" s="1399"/>
      <c r="CC768" s="1399"/>
      <c r="CD768" s="1399"/>
      <c r="CE768" s="1399"/>
      <c r="CF768" s="1399"/>
      <c r="CG768" s="1399"/>
      <c r="CH768" s="1399"/>
      <c r="CI768" s="1399"/>
      <c r="CJ768" s="1399"/>
      <c r="CK768" s="1399"/>
      <c r="CL768" s="1399"/>
      <c r="CM768" s="1399"/>
      <c r="CN768" s="1399"/>
      <c r="CO768" s="1399"/>
      <c r="CP768" s="1399"/>
      <c r="CQ768" s="1399"/>
      <c r="CR768" s="1399"/>
      <c r="CS768" s="1399"/>
      <c r="CT768" s="1399"/>
      <c r="CU768" s="1399"/>
      <c r="CV768" s="1399"/>
      <c r="CW768" s="1399"/>
      <c r="CX768" s="1399"/>
      <c r="CY768" s="1399"/>
      <c r="CZ768" s="1399"/>
      <c r="DA768" s="1399"/>
      <c r="DB768" s="1399"/>
      <c r="DC768" s="1399"/>
      <c r="DD768" s="1399"/>
      <c r="DE768" s="1399"/>
      <c r="DF768" s="1399"/>
      <c r="DG768" s="1399"/>
      <c r="DH768" s="1399"/>
      <c r="DI768" s="1399"/>
      <c r="DJ768" s="1399"/>
      <c r="DK768" s="1399"/>
      <c r="DL768" s="1399"/>
      <c r="DM768" s="1399"/>
      <c r="DN768" s="1399"/>
      <c r="DO768" s="1399"/>
      <c r="DP768" s="1399"/>
      <c r="DQ768" s="1399"/>
      <c r="DR768" s="1399"/>
      <c r="DS768" s="1399"/>
      <c r="DT768" s="1399"/>
      <c r="DU768" s="1399"/>
    </row>
    <row r="769" spans="1:125">
      <c r="A769" s="1414"/>
      <c r="B769" s="1414"/>
      <c r="C769" s="1414"/>
      <c r="D769" s="1414"/>
      <c r="E769" s="1414"/>
      <c r="F769" s="1414"/>
      <c r="G769" s="1414"/>
      <c r="H769" s="1414"/>
      <c r="I769" s="1414"/>
      <c r="J769" s="1414"/>
      <c r="K769" s="1414"/>
      <c r="L769" s="1414"/>
      <c r="M769" s="1414"/>
      <c r="N769" s="1414"/>
      <c r="O769" s="1414"/>
      <c r="P769" s="1414"/>
      <c r="Q769" s="1414"/>
      <c r="R769" s="1414"/>
      <c r="S769" s="1414"/>
      <c r="T769" s="1414"/>
      <c r="U769" s="1414"/>
      <c r="V769" s="1414"/>
      <c r="W769" s="1414"/>
      <c r="X769" s="1414"/>
      <c r="Y769" s="1414"/>
      <c r="Z769" s="1414"/>
      <c r="AA769" s="1414"/>
      <c r="AB769" s="1414"/>
      <c r="AC769" s="1414"/>
      <c r="AD769" s="1414"/>
      <c r="AE769" s="1414"/>
      <c r="AF769" s="1414"/>
      <c r="AG769" s="1414"/>
      <c r="AH769" s="1414"/>
      <c r="AI769" s="1414"/>
      <c r="AJ769" s="1414"/>
      <c r="AK769" s="1414"/>
      <c r="AL769" s="1414"/>
      <c r="AM769" s="1414"/>
      <c r="AN769" s="1414"/>
      <c r="AO769" s="1414"/>
      <c r="AP769" s="1414"/>
      <c r="AQ769" s="1414"/>
      <c r="AR769" s="1414"/>
      <c r="AS769" s="1414"/>
      <c r="AT769" s="1414"/>
      <c r="AU769" s="1414"/>
      <c r="AV769" s="1414"/>
      <c r="AW769" s="1414"/>
      <c r="AX769" s="1414"/>
      <c r="AY769" s="1399"/>
      <c r="AZ769" s="1399"/>
      <c r="BA769" s="1399"/>
      <c r="BB769" s="1399"/>
      <c r="BC769" s="1399"/>
      <c r="BD769" s="1399"/>
      <c r="BE769" s="1414"/>
      <c r="BF769" s="1399"/>
      <c r="BG769" s="1399"/>
      <c r="BH769" s="1399"/>
      <c r="BI769" s="1399"/>
      <c r="BJ769" s="1399"/>
      <c r="BK769" s="1399"/>
      <c r="BL769" s="1399"/>
      <c r="BM769" s="1399"/>
      <c r="BN769" s="1399"/>
      <c r="BO769" s="1399"/>
      <c r="BP769" s="1399"/>
      <c r="BQ769" s="1399"/>
      <c r="BR769" s="1399"/>
      <c r="BS769" s="1399"/>
      <c r="BT769" s="1399"/>
      <c r="BU769" s="1399"/>
      <c r="BV769" s="1399"/>
      <c r="BW769" s="1399"/>
      <c r="BX769" s="1399"/>
      <c r="BY769" s="1399"/>
      <c r="BZ769" s="1399"/>
      <c r="CA769" s="1399"/>
      <c r="CB769" s="1399"/>
      <c r="CC769" s="1399"/>
      <c r="CD769" s="1399"/>
      <c r="CE769" s="1399"/>
      <c r="CF769" s="1399"/>
      <c r="CG769" s="1399"/>
      <c r="CH769" s="1399"/>
      <c r="CI769" s="1399"/>
      <c r="CJ769" s="1399"/>
      <c r="CK769" s="1399"/>
      <c r="CL769" s="1399"/>
      <c r="CM769" s="1399"/>
      <c r="CN769" s="1399"/>
      <c r="CO769" s="1399"/>
      <c r="CP769" s="1399"/>
      <c r="CQ769" s="1399"/>
      <c r="CR769" s="1399"/>
      <c r="CS769" s="1399"/>
      <c r="CT769" s="1399"/>
      <c r="CU769" s="1399"/>
      <c r="CV769" s="1399"/>
      <c r="CW769" s="1399"/>
      <c r="CX769" s="1399"/>
      <c r="CY769" s="1399"/>
      <c r="CZ769" s="1399"/>
      <c r="DA769" s="1399"/>
      <c r="DB769" s="1399"/>
      <c r="DC769" s="1399"/>
      <c r="DD769" s="1399"/>
      <c r="DE769" s="1399"/>
      <c r="DF769" s="1399"/>
      <c r="DG769" s="1399"/>
      <c r="DH769" s="1399"/>
      <c r="DI769" s="1399"/>
      <c r="DJ769" s="1399"/>
      <c r="DK769" s="1399"/>
      <c r="DL769" s="1399"/>
      <c r="DM769" s="1399"/>
      <c r="DN769" s="1399"/>
      <c r="DO769" s="1399"/>
      <c r="DP769" s="1399"/>
      <c r="DQ769" s="1399"/>
      <c r="DR769" s="1399"/>
      <c r="DS769" s="1399"/>
      <c r="DT769" s="1399"/>
      <c r="DU769" s="1399"/>
    </row>
    <row r="770" spans="1:125">
      <c r="A770" s="1414"/>
      <c r="B770" s="1414"/>
      <c r="C770" s="1414"/>
      <c r="D770" s="1414"/>
      <c r="E770" s="1414"/>
      <c r="F770" s="1414"/>
      <c r="G770" s="1414"/>
      <c r="H770" s="1414"/>
      <c r="I770" s="1414"/>
      <c r="J770" s="1414"/>
      <c r="K770" s="1414"/>
      <c r="L770" s="1414"/>
      <c r="M770" s="1414"/>
      <c r="N770" s="1414"/>
      <c r="O770" s="1414"/>
      <c r="P770" s="1414"/>
      <c r="Q770" s="1414"/>
      <c r="R770" s="1414"/>
      <c r="S770" s="1414"/>
      <c r="T770" s="1414"/>
      <c r="U770" s="1414"/>
      <c r="V770" s="1414"/>
      <c r="W770" s="1414"/>
      <c r="X770" s="1414"/>
      <c r="Y770" s="1414"/>
      <c r="Z770" s="1414"/>
      <c r="AA770" s="1414"/>
      <c r="AB770" s="1414"/>
      <c r="AC770" s="1414"/>
      <c r="AD770" s="1414"/>
      <c r="AE770" s="1414"/>
      <c r="AF770" s="1414"/>
      <c r="AG770" s="1414"/>
      <c r="AH770" s="1414"/>
      <c r="AI770" s="1414"/>
      <c r="AJ770" s="1414"/>
      <c r="AK770" s="1414"/>
      <c r="AL770" s="1414"/>
      <c r="AM770" s="1414"/>
      <c r="AN770" s="1414"/>
      <c r="AO770" s="1414"/>
      <c r="AP770" s="1414"/>
      <c r="AQ770" s="1414"/>
      <c r="AR770" s="1414"/>
      <c r="AS770" s="1414"/>
      <c r="AT770" s="1414"/>
      <c r="AU770" s="1414"/>
      <c r="AV770" s="1414"/>
      <c r="AW770" s="1414"/>
      <c r="AX770" s="1414"/>
      <c r="AY770" s="1399"/>
      <c r="AZ770" s="1399"/>
      <c r="BA770" s="1399"/>
      <c r="BB770" s="1399"/>
      <c r="BC770" s="1399"/>
      <c r="BD770" s="1399"/>
      <c r="BE770" s="1414"/>
      <c r="BF770" s="1399"/>
      <c r="BG770" s="1399"/>
      <c r="BH770" s="1399"/>
      <c r="BI770" s="1399"/>
      <c r="BJ770" s="1399"/>
      <c r="BK770" s="1399"/>
      <c r="BL770" s="1399"/>
      <c r="BM770" s="1399"/>
      <c r="BN770" s="1399"/>
      <c r="BO770" s="1399"/>
      <c r="BP770" s="1399"/>
      <c r="BQ770" s="1399"/>
      <c r="BR770" s="1399"/>
      <c r="BS770" s="1399"/>
      <c r="BT770" s="1399"/>
      <c r="BU770" s="1399"/>
      <c r="BV770" s="1399"/>
      <c r="BW770" s="1399"/>
      <c r="BX770" s="1399"/>
      <c r="BY770" s="1399"/>
      <c r="BZ770" s="1399"/>
      <c r="CA770" s="1399"/>
      <c r="CB770" s="1399"/>
      <c r="CC770" s="1399"/>
      <c r="CD770" s="1399"/>
      <c r="CE770" s="1399"/>
      <c r="CF770" s="1399"/>
      <c r="CG770" s="1399"/>
      <c r="CH770" s="1399"/>
      <c r="CI770" s="1399"/>
      <c r="CJ770" s="1399"/>
      <c r="CK770" s="1399"/>
      <c r="CL770" s="1399"/>
      <c r="CM770" s="1399"/>
      <c r="CN770" s="1399"/>
      <c r="CO770" s="1399"/>
      <c r="CP770" s="1399"/>
      <c r="CQ770" s="1399"/>
      <c r="CR770" s="1399"/>
      <c r="CS770" s="1399"/>
      <c r="CT770" s="1399"/>
      <c r="CU770" s="1399"/>
      <c r="CV770" s="1399"/>
      <c r="CW770" s="1399"/>
      <c r="CX770" s="1399"/>
      <c r="CY770" s="1399"/>
      <c r="CZ770" s="1399"/>
      <c r="DA770" s="1399"/>
      <c r="DB770" s="1399"/>
      <c r="DC770" s="1399"/>
      <c r="DD770" s="1399"/>
      <c r="DE770" s="1399"/>
      <c r="DF770" s="1399"/>
      <c r="DG770" s="1399"/>
      <c r="DH770" s="1399"/>
      <c r="DI770" s="1399"/>
      <c r="DJ770" s="1399"/>
      <c r="DK770" s="1399"/>
      <c r="DL770" s="1399"/>
      <c r="DM770" s="1399"/>
      <c r="DN770" s="1399"/>
      <c r="DO770" s="1399"/>
      <c r="DP770" s="1399"/>
      <c r="DQ770" s="1399"/>
      <c r="DR770" s="1399"/>
      <c r="DS770" s="1399"/>
      <c r="DT770" s="1399"/>
      <c r="DU770" s="1399"/>
    </row>
    <row r="771" spans="1:125">
      <c r="A771" s="1414"/>
      <c r="B771" s="1414"/>
      <c r="C771" s="1414"/>
      <c r="D771" s="1414"/>
      <c r="E771" s="1414"/>
      <c r="F771" s="1414"/>
      <c r="G771" s="1414"/>
      <c r="H771" s="1414"/>
      <c r="I771" s="1414"/>
      <c r="J771" s="1414"/>
      <c r="K771" s="1414"/>
      <c r="L771" s="1414"/>
      <c r="M771" s="1414"/>
      <c r="N771" s="1414"/>
      <c r="O771" s="1414"/>
      <c r="P771" s="1414"/>
      <c r="Q771" s="1414"/>
      <c r="R771" s="1414"/>
      <c r="S771" s="1414"/>
      <c r="T771" s="1414"/>
      <c r="U771" s="1414"/>
      <c r="V771" s="1414"/>
      <c r="W771" s="1414"/>
      <c r="X771" s="1414"/>
      <c r="Y771" s="1414"/>
      <c r="Z771" s="1414"/>
      <c r="AA771" s="1414"/>
      <c r="AB771" s="1414"/>
      <c r="AC771" s="1414"/>
      <c r="AD771" s="1414"/>
      <c r="AE771" s="1414"/>
      <c r="AF771" s="1414"/>
      <c r="AG771" s="1414"/>
      <c r="AH771" s="1414"/>
      <c r="AI771" s="1414"/>
      <c r="AJ771" s="1414"/>
      <c r="AK771" s="1414"/>
      <c r="AL771" s="1414"/>
      <c r="AM771" s="1414"/>
      <c r="AN771" s="1414"/>
      <c r="AO771" s="1414"/>
      <c r="AP771" s="1414"/>
      <c r="AQ771" s="1414"/>
      <c r="AR771" s="1414"/>
      <c r="AS771" s="1414"/>
      <c r="AT771" s="1414"/>
      <c r="AU771" s="1414"/>
      <c r="AV771" s="1414"/>
      <c r="AW771" s="1414"/>
      <c r="AX771" s="1414"/>
      <c r="AY771" s="1399"/>
      <c r="AZ771" s="1399"/>
      <c r="BA771" s="1399"/>
      <c r="BB771" s="1399"/>
      <c r="BC771" s="1399"/>
      <c r="BD771" s="1399"/>
      <c r="BE771" s="1414"/>
      <c r="BF771" s="1399"/>
      <c r="BG771" s="1399"/>
      <c r="BH771" s="1399"/>
      <c r="BI771" s="1399"/>
      <c r="BJ771" s="1399"/>
      <c r="BK771" s="1399"/>
      <c r="BL771" s="1399"/>
      <c r="BM771" s="1399"/>
      <c r="BN771" s="1399"/>
      <c r="BO771" s="1399"/>
      <c r="BP771" s="1399"/>
      <c r="BQ771" s="1399"/>
      <c r="BR771" s="1399"/>
      <c r="BS771" s="1399"/>
      <c r="BT771" s="1399"/>
      <c r="BU771" s="1399"/>
      <c r="BV771" s="1399"/>
      <c r="BW771" s="1399"/>
      <c r="BX771" s="1399"/>
      <c r="BY771" s="1399"/>
      <c r="BZ771" s="1399"/>
      <c r="CA771" s="1399"/>
      <c r="CB771" s="1399"/>
      <c r="CC771" s="1399"/>
      <c r="CD771" s="1399"/>
      <c r="CE771" s="1399"/>
      <c r="CF771" s="1399"/>
      <c r="CG771" s="1399"/>
      <c r="CH771" s="1399"/>
      <c r="CI771" s="1399"/>
      <c r="CJ771" s="1399"/>
      <c r="CK771" s="1399"/>
      <c r="CL771" s="1399"/>
      <c r="CM771" s="1399"/>
      <c r="CN771" s="1399"/>
      <c r="CO771" s="1399"/>
      <c r="CP771" s="1399"/>
      <c r="CQ771" s="1399"/>
      <c r="CR771" s="1399"/>
      <c r="CS771" s="1399"/>
      <c r="CT771" s="1399"/>
      <c r="CU771" s="1399"/>
      <c r="CV771" s="1399"/>
      <c r="CW771" s="1399"/>
      <c r="CX771" s="1399"/>
      <c r="CY771" s="1399"/>
      <c r="CZ771" s="1399"/>
      <c r="DA771" s="1399"/>
      <c r="DB771" s="1399"/>
      <c r="DC771" s="1399"/>
      <c r="DD771" s="1399"/>
      <c r="DE771" s="1399"/>
      <c r="DF771" s="1399"/>
      <c r="DG771" s="1399"/>
      <c r="DH771" s="1399"/>
      <c r="DI771" s="1399"/>
      <c r="DJ771" s="1399"/>
      <c r="DK771" s="1399"/>
      <c r="DL771" s="1399"/>
      <c r="DM771" s="1399"/>
      <c r="DN771" s="1399"/>
      <c r="DO771" s="1399"/>
      <c r="DP771" s="1399"/>
      <c r="DQ771" s="1399"/>
      <c r="DR771" s="1399"/>
      <c r="DS771" s="1399"/>
      <c r="DT771" s="1399"/>
      <c r="DU771" s="1399"/>
    </row>
    <row r="772" spans="1:125">
      <c r="A772" s="1414"/>
      <c r="B772" s="1414"/>
      <c r="C772" s="1414"/>
      <c r="D772" s="1414"/>
      <c r="E772" s="1414"/>
      <c r="F772" s="1414"/>
      <c r="G772" s="1414"/>
      <c r="H772" s="1414"/>
      <c r="I772" s="1414"/>
      <c r="J772" s="1414"/>
      <c r="K772" s="1414"/>
      <c r="L772" s="1414"/>
      <c r="M772" s="1414"/>
      <c r="N772" s="1414"/>
      <c r="O772" s="1414"/>
      <c r="P772" s="1414"/>
      <c r="Q772" s="1414"/>
      <c r="R772" s="1414"/>
      <c r="S772" s="1414"/>
      <c r="T772" s="1414"/>
      <c r="U772" s="1414"/>
      <c r="V772" s="1414"/>
      <c r="W772" s="1414"/>
      <c r="X772" s="1414"/>
      <c r="Y772" s="1414"/>
      <c r="Z772" s="1414"/>
      <c r="AA772" s="1414"/>
      <c r="AB772" s="1414"/>
      <c r="AC772" s="1414"/>
      <c r="AD772" s="1414"/>
      <c r="AE772" s="1414"/>
      <c r="AF772" s="1414"/>
      <c r="AG772" s="1414"/>
      <c r="AH772" s="1414"/>
      <c r="AI772" s="1414"/>
      <c r="AJ772" s="1414"/>
      <c r="AK772" s="1414"/>
      <c r="AL772" s="1414"/>
      <c r="AM772" s="1414"/>
      <c r="AN772" s="1414"/>
      <c r="AO772" s="1414"/>
      <c r="AP772" s="1414"/>
      <c r="AQ772" s="1414"/>
      <c r="AR772" s="1414"/>
      <c r="AS772" s="1414"/>
      <c r="AT772" s="1414"/>
      <c r="AU772" s="1414"/>
      <c r="AV772" s="1414"/>
      <c r="AW772" s="1414"/>
      <c r="AX772" s="1414"/>
      <c r="AY772" s="1399"/>
      <c r="AZ772" s="1399"/>
      <c r="BA772" s="1399"/>
      <c r="BB772" s="1399"/>
      <c r="BC772" s="1399"/>
      <c r="BD772" s="1399"/>
      <c r="BE772" s="1414"/>
      <c r="BF772" s="1399"/>
      <c r="BG772" s="1399"/>
      <c r="BH772" s="1399"/>
      <c r="BI772" s="1399"/>
      <c r="BJ772" s="1399"/>
      <c r="BK772" s="1399"/>
      <c r="BL772" s="1399"/>
      <c r="BM772" s="1399"/>
      <c r="BN772" s="1399"/>
      <c r="BO772" s="1399"/>
      <c r="BP772" s="1399"/>
      <c r="BQ772" s="1399"/>
      <c r="BR772" s="1399"/>
      <c r="BS772" s="1399"/>
      <c r="BT772" s="1399"/>
      <c r="BU772" s="1399"/>
      <c r="BV772" s="1399"/>
      <c r="BW772" s="1399"/>
      <c r="BX772" s="1399"/>
      <c r="BY772" s="1399"/>
      <c r="BZ772" s="1399"/>
      <c r="CA772" s="1399"/>
      <c r="CB772" s="1399"/>
      <c r="CC772" s="1399"/>
      <c r="CD772" s="1399"/>
      <c r="CE772" s="1399"/>
      <c r="CF772" s="1399"/>
      <c r="CG772" s="1399"/>
      <c r="CH772" s="1399"/>
      <c r="CI772" s="1399"/>
      <c r="CJ772" s="1399"/>
      <c r="CK772" s="1399"/>
      <c r="CL772" s="1399"/>
      <c r="CM772" s="1399"/>
      <c r="CN772" s="1399"/>
      <c r="CO772" s="1399"/>
      <c r="CP772" s="1399"/>
      <c r="CQ772" s="1399"/>
      <c r="CR772" s="1399"/>
      <c r="CS772" s="1399"/>
      <c r="CT772" s="1399"/>
      <c r="CU772" s="1399"/>
      <c r="CV772" s="1399"/>
      <c r="CW772" s="1399"/>
      <c r="CX772" s="1399"/>
      <c r="CY772" s="1399"/>
      <c r="CZ772" s="1399"/>
      <c r="DA772" s="1399"/>
      <c r="DB772" s="1399"/>
      <c r="DC772" s="1399"/>
      <c r="DD772" s="1399"/>
      <c r="DE772" s="1399"/>
      <c r="DF772" s="1399"/>
      <c r="DG772" s="1399"/>
      <c r="DH772" s="1399"/>
      <c r="DI772" s="1399"/>
      <c r="DJ772" s="1399"/>
      <c r="DK772" s="1399"/>
      <c r="DL772" s="1399"/>
      <c r="DM772" s="1399"/>
      <c r="DN772" s="1399"/>
      <c r="DO772" s="1399"/>
      <c r="DP772" s="1399"/>
      <c r="DQ772" s="1399"/>
      <c r="DR772" s="1399"/>
      <c r="DS772" s="1399"/>
      <c r="DT772" s="1399"/>
      <c r="DU772" s="1399"/>
    </row>
    <row r="773" spans="1:125">
      <c r="A773" s="1414"/>
      <c r="B773" s="1414"/>
      <c r="C773" s="1414"/>
      <c r="D773" s="1414"/>
      <c r="E773" s="1414"/>
      <c r="F773" s="1414"/>
      <c r="G773" s="1414"/>
      <c r="H773" s="1414"/>
      <c r="I773" s="1414"/>
      <c r="J773" s="1414"/>
      <c r="K773" s="1414"/>
      <c r="L773" s="1414"/>
      <c r="M773" s="1414"/>
      <c r="N773" s="1414"/>
      <c r="O773" s="1414"/>
      <c r="P773" s="1414"/>
      <c r="Q773" s="1414"/>
      <c r="R773" s="1414"/>
      <c r="S773" s="1414"/>
      <c r="T773" s="1414"/>
      <c r="U773" s="1414"/>
      <c r="V773" s="1414"/>
      <c r="W773" s="1414"/>
      <c r="X773" s="1414"/>
      <c r="Y773" s="1414"/>
      <c r="Z773" s="1414"/>
      <c r="AA773" s="1414"/>
      <c r="AB773" s="1414"/>
      <c r="AC773" s="1414"/>
      <c r="AD773" s="1414"/>
      <c r="AE773" s="1414"/>
      <c r="AF773" s="1414"/>
      <c r="AG773" s="1414"/>
      <c r="AH773" s="1414"/>
      <c r="AI773" s="1414"/>
      <c r="AJ773" s="1414"/>
      <c r="AK773" s="1414"/>
      <c r="AL773" s="1414"/>
      <c r="AM773" s="1414"/>
      <c r="AN773" s="1414"/>
      <c r="AO773" s="1414"/>
      <c r="AP773" s="1414"/>
      <c r="AQ773" s="1414"/>
      <c r="AR773" s="1414"/>
      <c r="AS773" s="1414"/>
      <c r="AT773" s="1414"/>
      <c r="AU773" s="1414"/>
      <c r="AV773" s="1414"/>
      <c r="AW773" s="1414"/>
      <c r="AX773" s="1414"/>
      <c r="AY773" s="1399"/>
      <c r="AZ773" s="1399"/>
      <c r="BA773" s="1399"/>
      <c r="BB773" s="1399"/>
      <c r="BC773" s="1399"/>
      <c r="BD773" s="1399"/>
      <c r="BE773" s="1414"/>
      <c r="BF773" s="1399"/>
      <c r="BG773" s="1399"/>
      <c r="BH773" s="1399"/>
      <c r="BI773" s="1399"/>
      <c r="BJ773" s="1399"/>
      <c r="BK773" s="1399"/>
      <c r="BL773" s="1399"/>
      <c r="BM773" s="1399"/>
      <c r="BN773" s="1399"/>
      <c r="BO773" s="1399"/>
      <c r="BP773" s="1399"/>
      <c r="BQ773" s="1399"/>
      <c r="BR773" s="1399"/>
      <c r="BS773" s="1399"/>
      <c r="BT773" s="1399"/>
      <c r="BU773" s="1399"/>
      <c r="BV773" s="1399"/>
      <c r="BW773" s="1399"/>
      <c r="BX773" s="1399"/>
      <c r="BY773" s="1399"/>
      <c r="BZ773" s="1399"/>
      <c r="CA773" s="1399"/>
      <c r="CB773" s="1399"/>
      <c r="CC773" s="1399"/>
      <c r="CD773" s="1399"/>
      <c r="CE773" s="1399"/>
      <c r="CF773" s="1399"/>
      <c r="CG773" s="1399"/>
      <c r="CH773" s="1399"/>
      <c r="CI773" s="1399"/>
      <c r="CJ773" s="1399"/>
      <c r="CK773" s="1399"/>
      <c r="CL773" s="1399"/>
      <c r="CM773" s="1399"/>
      <c r="CN773" s="1399"/>
      <c r="CO773" s="1399"/>
      <c r="CP773" s="1399"/>
      <c r="CQ773" s="1399"/>
      <c r="CR773" s="1399"/>
      <c r="CS773" s="1399"/>
      <c r="CT773" s="1399"/>
      <c r="CU773" s="1399"/>
      <c r="CV773" s="1399"/>
      <c r="CW773" s="1399"/>
      <c r="CX773" s="1399"/>
      <c r="CY773" s="1399"/>
      <c r="CZ773" s="1399"/>
      <c r="DA773" s="1399"/>
      <c r="DB773" s="1399"/>
      <c r="DC773" s="1399"/>
      <c r="DD773" s="1399"/>
      <c r="DE773" s="1399"/>
      <c r="DF773" s="1399"/>
      <c r="DG773" s="1399"/>
      <c r="DH773" s="1399"/>
      <c r="DI773" s="1399"/>
      <c r="DJ773" s="1399"/>
      <c r="DK773" s="1399"/>
      <c r="DL773" s="1399"/>
      <c r="DM773" s="1399"/>
      <c r="DN773" s="1399"/>
      <c r="DO773" s="1399"/>
      <c r="DP773" s="1399"/>
      <c r="DQ773" s="1399"/>
      <c r="DR773" s="1399"/>
      <c r="DS773" s="1399"/>
      <c r="DT773" s="1399"/>
      <c r="DU773" s="1399"/>
    </row>
    <row r="774" spans="1:125">
      <c r="A774" s="1414"/>
      <c r="B774" s="1414"/>
      <c r="C774" s="1414"/>
      <c r="D774" s="1414"/>
      <c r="E774" s="1414"/>
      <c r="F774" s="1414"/>
      <c r="G774" s="1414"/>
      <c r="H774" s="1414"/>
      <c r="I774" s="1414"/>
      <c r="J774" s="1414"/>
      <c r="K774" s="1414"/>
      <c r="L774" s="1414"/>
      <c r="M774" s="1414"/>
      <c r="N774" s="1414"/>
      <c r="O774" s="1414"/>
      <c r="P774" s="1414"/>
      <c r="Q774" s="1414"/>
      <c r="R774" s="1414"/>
      <c r="S774" s="1414"/>
      <c r="T774" s="1414"/>
      <c r="U774" s="1414"/>
      <c r="V774" s="1414"/>
      <c r="W774" s="1414"/>
      <c r="X774" s="1414"/>
      <c r="Y774" s="1414"/>
      <c r="Z774" s="1414"/>
      <c r="AA774" s="1414"/>
      <c r="AB774" s="1414"/>
      <c r="AC774" s="1414"/>
      <c r="AD774" s="1414"/>
      <c r="AE774" s="1414"/>
      <c r="AF774" s="1414"/>
      <c r="AG774" s="1414"/>
      <c r="AH774" s="1414"/>
      <c r="AI774" s="1414"/>
      <c r="AJ774" s="1414"/>
      <c r="AK774" s="1414"/>
      <c r="AL774" s="1414"/>
      <c r="AM774" s="1414"/>
      <c r="AN774" s="1414"/>
      <c r="AO774" s="1414"/>
      <c r="AP774" s="1414"/>
      <c r="AQ774" s="1414"/>
      <c r="AR774" s="1414"/>
      <c r="AS774" s="1414"/>
      <c r="AT774" s="1414"/>
      <c r="AU774" s="1414"/>
      <c r="AV774" s="1414"/>
      <c r="AW774" s="1414"/>
      <c r="AX774" s="1414"/>
      <c r="AY774" s="1399"/>
      <c r="AZ774" s="1399"/>
      <c r="BA774" s="1399"/>
      <c r="BB774" s="1399"/>
      <c r="BC774" s="1399"/>
      <c r="BD774" s="1399"/>
      <c r="BE774" s="1414"/>
      <c r="BF774" s="1399"/>
      <c r="BG774" s="1399"/>
      <c r="BH774" s="1399"/>
      <c r="BI774" s="1399"/>
      <c r="BJ774" s="1399"/>
      <c r="BK774" s="1399"/>
      <c r="BL774" s="1399"/>
      <c r="BM774" s="1399"/>
      <c r="BN774" s="1399"/>
      <c r="BO774" s="1399"/>
      <c r="BP774" s="1399"/>
      <c r="BQ774" s="1399"/>
      <c r="BR774" s="1399"/>
      <c r="BS774" s="1399"/>
      <c r="BT774" s="1399"/>
      <c r="BU774" s="1399"/>
      <c r="BV774" s="1399"/>
      <c r="BW774" s="1399"/>
      <c r="BX774" s="1399"/>
      <c r="BY774" s="1399"/>
      <c r="BZ774" s="1399"/>
      <c r="CA774" s="1399"/>
      <c r="CB774" s="1399"/>
      <c r="CC774" s="1399"/>
      <c r="CD774" s="1399"/>
      <c r="CE774" s="1399"/>
      <c r="CF774" s="1399"/>
      <c r="CG774" s="1399"/>
      <c r="CH774" s="1399"/>
      <c r="CI774" s="1399"/>
      <c r="CJ774" s="1399"/>
      <c r="CK774" s="1399"/>
      <c r="CL774" s="1399"/>
      <c r="CM774" s="1399"/>
      <c r="CN774" s="1399"/>
      <c r="CO774" s="1399"/>
      <c r="CP774" s="1399"/>
      <c r="CQ774" s="1399"/>
      <c r="CR774" s="1399"/>
      <c r="CS774" s="1399"/>
      <c r="CT774" s="1399"/>
      <c r="CU774" s="1399"/>
      <c r="CV774" s="1399"/>
      <c r="CW774" s="1399"/>
      <c r="CX774" s="1399"/>
      <c r="CY774" s="1399"/>
      <c r="CZ774" s="1399"/>
      <c r="DA774" s="1399"/>
      <c r="DB774" s="1399"/>
      <c r="DC774" s="1399"/>
      <c r="DD774" s="1399"/>
      <c r="DE774" s="1399"/>
      <c r="DF774" s="1399"/>
      <c r="DG774" s="1399"/>
      <c r="DH774" s="1399"/>
      <c r="DI774" s="1399"/>
      <c r="DJ774" s="1399"/>
      <c r="DK774" s="1399"/>
      <c r="DL774" s="1399"/>
      <c r="DM774" s="1399"/>
      <c r="DN774" s="1399"/>
      <c r="DO774" s="1399"/>
      <c r="DP774" s="1399"/>
      <c r="DQ774" s="1399"/>
      <c r="DR774" s="1399"/>
      <c r="DS774" s="1399"/>
      <c r="DT774" s="1399"/>
      <c r="DU774" s="1399"/>
    </row>
    <row r="775" spans="1:125">
      <c r="A775" s="1414"/>
      <c r="B775" s="1414"/>
      <c r="C775" s="1414"/>
      <c r="D775" s="1414"/>
      <c r="E775" s="1414"/>
      <c r="F775" s="1414"/>
      <c r="G775" s="1414"/>
      <c r="H775" s="1414"/>
      <c r="I775" s="1414"/>
      <c r="J775" s="1414"/>
      <c r="K775" s="1414"/>
      <c r="L775" s="1414"/>
      <c r="M775" s="1414"/>
      <c r="N775" s="1414"/>
      <c r="O775" s="1414"/>
      <c r="P775" s="1414"/>
      <c r="Q775" s="1414"/>
      <c r="R775" s="1414"/>
      <c r="S775" s="1414"/>
      <c r="T775" s="1414"/>
      <c r="U775" s="1414"/>
      <c r="V775" s="1414"/>
      <c r="W775" s="1414"/>
      <c r="X775" s="1414"/>
      <c r="Y775" s="1414"/>
      <c r="Z775" s="1414"/>
      <c r="AA775" s="1414"/>
      <c r="AB775" s="1414"/>
      <c r="AC775" s="1414"/>
      <c r="AD775" s="1414"/>
      <c r="AE775" s="1414"/>
      <c r="AF775" s="1414"/>
      <c r="AG775" s="1414"/>
      <c r="AH775" s="1414"/>
      <c r="AI775" s="1414"/>
      <c r="AJ775" s="1414"/>
      <c r="AK775" s="1414"/>
      <c r="AL775" s="1414"/>
      <c r="AM775" s="1414"/>
      <c r="AN775" s="1414"/>
      <c r="AO775" s="1414"/>
      <c r="AP775" s="1414"/>
      <c r="AQ775" s="1414"/>
      <c r="AR775" s="1414"/>
      <c r="AS775" s="1414"/>
      <c r="AT775" s="1414"/>
      <c r="AU775" s="1414"/>
      <c r="AV775" s="1414"/>
      <c r="AW775" s="1414"/>
      <c r="AX775" s="1414"/>
      <c r="AY775" s="1399"/>
      <c r="AZ775" s="1399"/>
      <c r="BA775" s="1399"/>
      <c r="BB775" s="1399"/>
      <c r="BC775" s="1399"/>
      <c r="BD775" s="1399"/>
      <c r="BE775" s="1414"/>
      <c r="BF775" s="1399"/>
      <c r="BG775" s="1399"/>
      <c r="BH775" s="1399"/>
      <c r="BI775" s="1399"/>
      <c r="BJ775" s="1399"/>
      <c r="BK775" s="1399"/>
      <c r="BL775" s="1399"/>
      <c r="BM775" s="1399"/>
      <c r="BN775" s="1399"/>
      <c r="BO775" s="1399"/>
      <c r="BP775" s="1399"/>
      <c r="BQ775" s="1399"/>
      <c r="BR775" s="1399"/>
      <c r="BS775" s="1399"/>
      <c r="BT775" s="1399"/>
      <c r="BU775" s="1399"/>
      <c r="BV775" s="1399"/>
      <c r="BW775" s="1399"/>
      <c r="BX775" s="1399"/>
      <c r="BY775" s="1399"/>
      <c r="BZ775" s="1399"/>
      <c r="CA775" s="1399"/>
      <c r="CB775" s="1399"/>
      <c r="CC775" s="1399"/>
      <c r="CD775" s="1399"/>
      <c r="CE775" s="1399"/>
      <c r="CF775" s="1399"/>
      <c r="CG775" s="1399"/>
      <c r="CH775" s="1399"/>
      <c r="CI775" s="1399"/>
      <c r="CJ775" s="1399"/>
      <c r="CK775" s="1399"/>
      <c r="CL775" s="1399"/>
      <c r="CM775" s="1399"/>
      <c r="CN775" s="1399"/>
      <c r="CO775" s="1399"/>
      <c r="CP775" s="1399"/>
      <c r="CQ775" s="1399"/>
      <c r="CR775" s="1399"/>
      <c r="CS775" s="1399"/>
      <c r="CT775" s="1399"/>
      <c r="CU775" s="1399"/>
      <c r="CV775" s="1399"/>
      <c r="CW775" s="1399"/>
      <c r="CX775" s="1399"/>
      <c r="CY775" s="1399"/>
      <c r="CZ775" s="1399"/>
      <c r="DA775" s="1399"/>
      <c r="DB775" s="1399"/>
      <c r="DC775" s="1399"/>
      <c r="DD775" s="1399"/>
      <c r="DE775" s="1399"/>
      <c r="DF775" s="1399"/>
      <c r="DG775" s="1399"/>
      <c r="DH775" s="1399"/>
      <c r="DI775" s="1399"/>
      <c r="DJ775" s="1399"/>
      <c r="DK775" s="1399"/>
      <c r="DL775" s="1399"/>
      <c r="DM775" s="1399"/>
      <c r="DN775" s="1399"/>
      <c r="DO775" s="1399"/>
      <c r="DP775" s="1399"/>
      <c r="DQ775" s="1399"/>
      <c r="DR775" s="1399"/>
      <c r="DS775" s="1399"/>
      <c r="DT775" s="1399"/>
      <c r="DU775" s="1399"/>
    </row>
    <row r="776" spans="1:125">
      <c r="A776" s="1414"/>
      <c r="B776" s="1414"/>
      <c r="C776" s="1414"/>
      <c r="D776" s="1414"/>
      <c r="E776" s="1414"/>
      <c r="F776" s="1414"/>
      <c r="G776" s="1414"/>
      <c r="H776" s="1414"/>
      <c r="I776" s="1414"/>
      <c r="J776" s="1414"/>
      <c r="K776" s="1414"/>
      <c r="L776" s="1414"/>
      <c r="M776" s="1414"/>
      <c r="N776" s="1414"/>
      <c r="O776" s="1414"/>
      <c r="P776" s="1414"/>
      <c r="Q776" s="1414"/>
      <c r="R776" s="1414"/>
      <c r="S776" s="1414"/>
      <c r="T776" s="1414"/>
      <c r="U776" s="1414"/>
      <c r="V776" s="1414"/>
      <c r="W776" s="1414"/>
      <c r="X776" s="1414"/>
      <c r="Y776" s="1414"/>
      <c r="Z776" s="1414"/>
      <c r="AA776" s="1414"/>
      <c r="AB776" s="1414"/>
      <c r="AC776" s="1414"/>
      <c r="AD776" s="1414"/>
      <c r="AE776" s="1414"/>
      <c r="AF776" s="1414"/>
      <c r="AG776" s="1414"/>
      <c r="AH776" s="1414"/>
      <c r="AI776" s="1414"/>
      <c r="AJ776" s="1414"/>
      <c r="AK776" s="1414"/>
      <c r="AL776" s="1414"/>
      <c r="AM776" s="1414"/>
      <c r="AN776" s="1414"/>
      <c r="AO776" s="1414"/>
      <c r="AP776" s="1414"/>
      <c r="AQ776" s="1414"/>
      <c r="AR776" s="1414"/>
      <c r="AS776" s="1414"/>
      <c r="AT776" s="1414"/>
      <c r="AU776" s="1414"/>
      <c r="AV776" s="1414"/>
      <c r="AW776" s="1414"/>
      <c r="AX776" s="1414"/>
      <c r="AY776" s="1399"/>
      <c r="AZ776" s="1399"/>
      <c r="BA776" s="1399"/>
      <c r="BB776" s="1399"/>
      <c r="BC776" s="1399"/>
      <c r="BD776" s="1399"/>
      <c r="BE776" s="1414"/>
      <c r="BF776" s="1399"/>
      <c r="BG776" s="1399"/>
      <c r="BH776" s="1399"/>
      <c r="BI776" s="1399"/>
      <c r="BJ776" s="1399"/>
      <c r="BK776" s="1399"/>
      <c r="BL776" s="1399"/>
      <c r="BM776" s="1399"/>
      <c r="BN776" s="1399"/>
      <c r="BO776" s="1399"/>
      <c r="BP776" s="1399"/>
      <c r="BQ776" s="1399"/>
      <c r="BR776" s="1399"/>
      <c r="BS776" s="1399"/>
      <c r="BT776" s="1399"/>
      <c r="BU776" s="1399"/>
      <c r="BV776" s="1399"/>
      <c r="BW776" s="1399"/>
      <c r="BX776" s="1399"/>
      <c r="BY776" s="1399"/>
      <c r="BZ776" s="1399"/>
      <c r="CA776" s="1399"/>
      <c r="CB776" s="1399"/>
      <c r="CC776" s="1399"/>
      <c r="CD776" s="1399"/>
      <c r="CE776" s="1399"/>
      <c r="CF776" s="1399"/>
      <c r="CG776" s="1399"/>
      <c r="CH776" s="1399"/>
      <c r="CI776" s="1399"/>
      <c r="CJ776" s="1399"/>
      <c r="CK776" s="1399"/>
      <c r="CL776" s="1399"/>
      <c r="CM776" s="1399"/>
      <c r="CN776" s="1399"/>
      <c r="CO776" s="1399"/>
      <c r="CP776" s="1399"/>
      <c r="CQ776" s="1399"/>
      <c r="CR776" s="1399"/>
      <c r="CS776" s="1399"/>
      <c r="CT776" s="1399"/>
      <c r="CU776" s="1399"/>
      <c r="CV776" s="1399"/>
      <c r="CW776" s="1399"/>
      <c r="CX776" s="1399"/>
      <c r="CY776" s="1399"/>
      <c r="CZ776" s="1399"/>
      <c r="DA776" s="1399"/>
      <c r="DB776" s="1399"/>
      <c r="DC776" s="1399"/>
      <c r="DD776" s="1399"/>
      <c r="DE776" s="1399"/>
      <c r="DF776" s="1399"/>
      <c r="DG776" s="1399"/>
      <c r="DH776" s="1399"/>
      <c r="DI776" s="1399"/>
      <c r="DJ776" s="1399"/>
      <c r="DK776" s="1399"/>
      <c r="DL776" s="1399"/>
      <c r="DM776" s="1399"/>
      <c r="DN776" s="1399"/>
      <c r="DO776" s="1399"/>
      <c r="DP776" s="1399"/>
      <c r="DQ776" s="1399"/>
      <c r="DR776" s="1399"/>
      <c r="DS776" s="1399"/>
      <c r="DT776" s="1399"/>
      <c r="DU776" s="1399"/>
    </row>
    <row r="777" spans="1:125">
      <c r="A777" s="1414"/>
      <c r="B777" s="1414"/>
      <c r="C777" s="1414"/>
      <c r="D777" s="1414"/>
      <c r="E777" s="1414"/>
      <c r="F777" s="1414"/>
      <c r="G777" s="1414"/>
      <c r="H777" s="1414"/>
      <c r="I777" s="1414"/>
      <c r="J777" s="1414"/>
      <c r="K777" s="1414"/>
      <c r="L777" s="1414"/>
      <c r="M777" s="1414"/>
      <c r="N777" s="1414"/>
      <c r="O777" s="1414"/>
      <c r="P777" s="1414"/>
      <c r="Q777" s="1414"/>
      <c r="R777" s="1414"/>
      <c r="S777" s="1414"/>
      <c r="T777" s="1414"/>
      <c r="U777" s="1414"/>
      <c r="V777" s="1414"/>
      <c r="W777" s="1414"/>
      <c r="X777" s="1414"/>
      <c r="Y777" s="1414"/>
      <c r="Z777" s="1414"/>
      <c r="AA777" s="1414"/>
      <c r="AB777" s="1414"/>
      <c r="AC777" s="1414"/>
      <c r="AD777" s="1414"/>
      <c r="AE777" s="1414"/>
      <c r="AF777" s="1414"/>
      <c r="AG777" s="1414"/>
      <c r="AH777" s="1414"/>
      <c r="AI777" s="1414"/>
      <c r="AJ777" s="1414"/>
      <c r="AK777" s="1414"/>
      <c r="AL777" s="1414"/>
      <c r="AM777" s="1414"/>
      <c r="AN777" s="1414"/>
      <c r="AO777" s="1414"/>
      <c r="AP777" s="1414"/>
      <c r="AQ777" s="1414"/>
      <c r="AR777" s="1414"/>
      <c r="AS777" s="1414"/>
      <c r="AT777" s="1414"/>
      <c r="AU777" s="1414"/>
      <c r="AV777" s="1414"/>
      <c r="AW777" s="1414"/>
      <c r="AX777" s="1414"/>
      <c r="AY777" s="1399"/>
      <c r="AZ777" s="1399"/>
      <c r="BA777" s="1399"/>
      <c r="BB777" s="1399"/>
      <c r="BC777" s="1399"/>
      <c r="BD777" s="1399"/>
      <c r="BE777" s="1414"/>
      <c r="BF777" s="1399"/>
      <c r="BG777" s="1399"/>
      <c r="BH777" s="1399"/>
      <c r="BI777" s="1399"/>
      <c r="BJ777" s="1399"/>
      <c r="BK777" s="1399"/>
      <c r="BL777" s="1399"/>
      <c r="BM777" s="1399"/>
      <c r="BN777" s="1399"/>
      <c r="BO777" s="1399"/>
      <c r="BP777" s="1399"/>
      <c r="BQ777" s="1399"/>
      <c r="BR777" s="1399"/>
      <c r="BS777" s="1399"/>
      <c r="BT777" s="1399"/>
      <c r="BU777" s="1399"/>
      <c r="BV777" s="1399"/>
      <c r="BW777" s="1399"/>
      <c r="BX777" s="1399"/>
      <c r="BY777" s="1399"/>
      <c r="BZ777" s="1399"/>
      <c r="CA777" s="1399"/>
      <c r="CB777" s="1399"/>
      <c r="CC777" s="1399"/>
      <c r="CD777" s="1399"/>
      <c r="CE777" s="1399"/>
      <c r="CF777" s="1399"/>
      <c r="CG777" s="1399"/>
      <c r="CH777" s="1399"/>
      <c r="CI777" s="1399"/>
      <c r="CJ777" s="1399"/>
      <c r="CK777" s="1399"/>
      <c r="CL777" s="1399"/>
      <c r="CM777" s="1399"/>
      <c r="CN777" s="1399"/>
      <c r="CO777" s="1399"/>
      <c r="CP777" s="1399"/>
      <c r="CQ777" s="1399"/>
      <c r="CR777" s="1399"/>
      <c r="CS777" s="1399"/>
      <c r="CT777" s="1399"/>
      <c r="CU777" s="1399"/>
      <c r="CV777" s="1399"/>
      <c r="CW777" s="1399"/>
      <c r="CX777" s="1399"/>
      <c r="CY777" s="1399"/>
      <c r="CZ777" s="1399"/>
      <c r="DA777" s="1399"/>
      <c r="DB777" s="1399"/>
      <c r="DC777" s="1399"/>
      <c r="DD777" s="1399"/>
      <c r="DE777" s="1399"/>
      <c r="DF777" s="1399"/>
      <c r="DG777" s="1399"/>
      <c r="DH777" s="1399"/>
      <c r="DI777" s="1399"/>
      <c r="DJ777" s="1399"/>
      <c r="DK777" s="1399"/>
      <c r="DL777" s="1399"/>
      <c r="DM777" s="1399"/>
      <c r="DN777" s="1399"/>
      <c r="DO777" s="1399"/>
      <c r="DP777" s="1399"/>
      <c r="DQ777" s="1399"/>
      <c r="DR777" s="1399"/>
      <c r="DS777" s="1399"/>
      <c r="DT777" s="1399"/>
      <c r="DU777" s="1399"/>
    </row>
    <row r="778" spans="1:125">
      <c r="A778" s="1414"/>
      <c r="B778" s="1414"/>
      <c r="C778" s="1414"/>
      <c r="D778" s="1414"/>
      <c r="E778" s="1414"/>
      <c r="F778" s="1414"/>
      <c r="G778" s="1414"/>
      <c r="H778" s="1414"/>
      <c r="I778" s="1414"/>
      <c r="J778" s="1414"/>
      <c r="K778" s="1414"/>
      <c r="L778" s="1414"/>
      <c r="M778" s="1414"/>
      <c r="N778" s="1414"/>
      <c r="O778" s="1414"/>
      <c r="P778" s="1414"/>
      <c r="Q778" s="1414"/>
      <c r="R778" s="1414"/>
      <c r="S778" s="1414"/>
      <c r="T778" s="1414"/>
      <c r="U778" s="1414"/>
      <c r="V778" s="1414"/>
      <c r="W778" s="1414"/>
      <c r="X778" s="1414"/>
      <c r="Y778" s="1414"/>
      <c r="Z778" s="1414"/>
      <c r="AA778" s="1414"/>
      <c r="AB778" s="1414"/>
      <c r="AC778" s="1414"/>
      <c r="AD778" s="1414"/>
      <c r="AE778" s="1414"/>
      <c r="AF778" s="1414"/>
      <c r="AG778" s="1414"/>
      <c r="AH778" s="1414"/>
      <c r="AI778" s="1414"/>
      <c r="AJ778" s="1414"/>
      <c r="AK778" s="1414"/>
      <c r="AL778" s="1414"/>
      <c r="AM778" s="1414"/>
      <c r="AN778" s="1414"/>
      <c r="AO778" s="1414"/>
      <c r="AP778" s="1414"/>
      <c r="AQ778" s="1414"/>
      <c r="AR778" s="1414"/>
      <c r="AS778" s="1414"/>
      <c r="AT778" s="1414"/>
      <c r="AU778" s="1414"/>
      <c r="AV778" s="1414"/>
      <c r="AW778" s="1414"/>
      <c r="AX778" s="1414"/>
      <c r="AY778" s="1399"/>
      <c r="AZ778" s="1399"/>
      <c r="BA778" s="1399"/>
      <c r="BB778" s="1399"/>
      <c r="BC778" s="1399"/>
      <c r="BD778" s="1399"/>
      <c r="BE778" s="1414"/>
      <c r="BF778" s="1399"/>
      <c r="BG778" s="1399"/>
      <c r="BH778" s="1399"/>
      <c r="BI778" s="1399"/>
      <c r="BJ778" s="1399"/>
      <c r="BK778" s="1399"/>
      <c r="BL778" s="1399"/>
      <c r="BM778" s="1399"/>
      <c r="BN778" s="1399"/>
      <c r="BO778" s="1399"/>
      <c r="BP778" s="1399"/>
      <c r="BQ778" s="1399"/>
      <c r="BR778" s="1399"/>
      <c r="BS778" s="1399"/>
      <c r="BT778" s="1399"/>
      <c r="BU778" s="1399"/>
      <c r="BV778" s="1399"/>
      <c r="BW778" s="1399"/>
      <c r="BX778" s="1399"/>
      <c r="BY778" s="1399"/>
      <c r="BZ778" s="1399"/>
      <c r="CA778" s="1399"/>
      <c r="CB778" s="1399"/>
      <c r="CC778" s="1399"/>
      <c r="CD778" s="1399"/>
      <c r="CE778" s="1399"/>
      <c r="CF778" s="1399"/>
      <c r="CG778" s="1399"/>
      <c r="CH778" s="1399"/>
      <c r="CI778" s="1399"/>
      <c r="CJ778" s="1399"/>
      <c r="CK778" s="1399"/>
      <c r="CL778" s="1399"/>
      <c r="CM778" s="1399"/>
      <c r="CN778" s="1399"/>
      <c r="CO778" s="1399"/>
      <c r="CP778" s="1399"/>
      <c r="CQ778" s="1399"/>
      <c r="CR778" s="1399"/>
      <c r="CS778" s="1399"/>
      <c r="CT778" s="1399"/>
      <c r="CU778" s="1399"/>
      <c r="CV778" s="1399"/>
      <c r="CW778" s="1399"/>
      <c r="CX778" s="1399"/>
      <c r="CY778" s="1399"/>
      <c r="CZ778" s="1399"/>
      <c r="DA778" s="1399"/>
      <c r="DB778" s="1399"/>
      <c r="DC778" s="1399"/>
      <c r="DD778" s="1399"/>
      <c r="DE778" s="1399"/>
      <c r="DF778" s="1399"/>
      <c r="DG778" s="1399"/>
      <c r="DH778" s="1399"/>
      <c r="DI778" s="1399"/>
      <c r="DJ778" s="1399"/>
      <c r="DK778" s="1399"/>
      <c r="DL778" s="1399"/>
      <c r="DM778" s="1399"/>
      <c r="DN778" s="1399"/>
      <c r="DO778" s="1399"/>
      <c r="DP778" s="1399"/>
      <c r="DQ778" s="1399"/>
      <c r="DR778" s="1399"/>
      <c r="DS778" s="1399"/>
      <c r="DT778" s="1399"/>
      <c r="DU778" s="1399"/>
    </row>
    <row r="779" spans="1:125">
      <c r="A779" s="1414"/>
      <c r="B779" s="1414"/>
      <c r="C779" s="1414"/>
      <c r="D779" s="1414"/>
      <c r="E779" s="1414"/>
      <c r="F779" s="1414"/>
      <c r="G779" s="1414"/>
      <c r="H779" s="1414"/>
      <c r="I779" s="1414"/>
      <c r="J779" s="1414"/>
      <c r="K779" s="1414"/>
      <c r="L779" s="1414"/>
      <c r="M779" s="1414"/>
      <c r="N779" s="1414"/>
      <c r="O779" s="1414"/>
      <c r="P779" s="1414"/>
      <c r="Q779" s="1414"/>
      <c r="R779" s="1414"/>
      <c r="S779" s="1414"/>
      <c r="T779" s="1414"/>
      <c r="U779" s="1414"/>
      <c r="V779" s="1414"/>
      <c r="W779" s="1414"/>
      <c r="X779" s="1414"/>
      <c r="Y779" s="1414"/>
      <c r="Z779" s="1414"/>
      <c r="AA779" s="1414"/>
      <c r="AB779" s="1414"/>
      <c r="AC779" s="1414"/>
      <c r="AD779" s="1414"/>
      <c r="AE779" s="1414"/>
      <c r="AF779" s="1414"/>
      <c r="AG779" s="1414"/>
      <c r="AH779" s="1414"/>
      <c r="AI779" s="1414"/>
      <c r="AJ779" s="1414"/>
      <c r="AK779" s="1414"/>
      <c r="AL779" s="1414"/>
      <c r="AM779" s="1414"/>
      <c r="AN779" s="1414"/>
      <c r="AO779" s="1414"/>
      <c r="AP779" s="1414"/>
      <c r="AQ779" s="1414"/>
      <c r="AR779" s="1414"/>
      <c r="AS779" s="1414"/>
      <c r="AT779" s="1414"/>
      <c r="AU779" s="1414"/>
      <c r="AV779" s="1414"/>
      <c r="AW779" s="1414"/>
      <c r="AX779" s="1414"/>
      <c r="AY779" s="1399"/>
      <c r="AZ779" s="1399"/>
      <c r="BA779" s="1399"/>
      <c r="BB779" s="1399"/>
      <c r="BC779" s="1399"/>
      <c r="BD779" s="1399"/>
      <c r="BE779" s="1414"/>
      <c r="BF779" s="1399"/>
      <c r="BG779" s="1399"/>
      <c r="BH779" s="1399"/>
      <c r="BI779" s="1399"/>
      <c r="BJ779" s="1399"/>
      <c r="BK779" s="1399"/>
      <c r="BL779" s="1399"/>
      <c r="BM779" s="1399"/>
      <c r="BN779" s="1399"/>
      <c r="BO779" s="1399"/>
      <c r="BP779" s="1399"/>
      <c r="BQ779" s="1399"/>
      <c r="BR779" s="1399"/>
      <c r="BS779" s="1399"/>
      <c r="BT779" s="1399"/>
      <c r="BU779" s="1399"/>
      <c r="BV779" s="1399"/>
      <c r="BW779" s="1399"/>
      <c r="BX779" s="1399"/>
      <c r="BY779" s="1399"/>
      <c r="BZ779" s="1399"/>
      <c r="CA779" s="1399"/>
      <c r="CB779" s="1399"/>
      <c r="CC779" s="1399"/>
      <c r="CD779" s="1399"/>
      <c r="CE779" s="1399"/>
      <c r="CF779" s="1399"/>
      <c r="CG779" s="1399"/>
      <c r="CH779" s="1399"/>
      <c r="CI779" s="1399"/>
      <c r="CJ779" s="1399"/>
      <c r="CK779" s="1399"/>
      <c r="CL779" s="1399"/>
      <c r="CM779" s="1399"/>
      <c r="CN779" s="1399"/>
      <c r="CO779" s="1399"/>
      <c r="CP779" s="1399"/>
      <c r="CQ779" s="1399"/>
      <c r="CR779" s="1399"/>
      <c r="CS779" s="1399"/>
      <c r="CT779" s="1399"/>
      <c r="CU779" s="1399"/>
      <c r="CV779" s="1399"/>
      <c r="CW779" s="1399"/>
      <c r="CX779" s="1399"/>
      <c r="CY779" s="1399"/>
      <c r="CZ779" s="1399"/>
      <c r="DA779" s="1399"/>
      <c r="DB779" s="1399"/>
      <c r="DC779" s="1399"/>
      <c r="DD779" s="1399"/>
      <c r="DE779" s="1399"/>
      <c r="DF779" s="1399"/>
      <c r="DG779" s="1399"/>
      <c r="DH779" s="1399"/>
      <c r="DI779" s="1399"/>
      <c r="DJ779" s="1399"/>
      <c r="DK779" s="1399"/>
      <c r="DL779" s="1399"/>
      <c r="DM779" s="1399"/>
      <c r="DN779" s="1399"/>
      <c r="DO779" s="1399"/>
      <c r="DP779" s="1399"/>
      <c r="DQ779" s="1399"/>
      <c r="DR779" s="1399"/>
      <c r="DS779" s="1399"/>
      <c r="DT779" s="1399"/>
      <c r="DU779" s="1399"/>
    </row>
    <row r="780" spans="1:125">
      <c r="A780" s="1414"/>
      <c r="B780" s="1414"/>
      <c r="C780" s="1414"/>
      <c r="D780" s="1414"/>
      <c r="E780" s="1414"/>
      <c r="F780" s="1414"/>
      <c r="G780" s="1414"/>
      <c r="H780" s="1414"/>
      <c r="I780" s="1414"/>
      <c r="J780" s="1414"/>
      <c r="K780" s="1414"/>
      <c r="L780" s="1414"/>
      <c r="M780" s="1414"/>
      <c r="N780" s="1414"/>
      <c r="O780" s="1414"/>
      <c r="P780" s="1414"/>
      <c r="Q780" s="1414"/>
      <c r="R780" s="1414"/>
      <c r="S780" s="1414"/>
      <c r="T780" s="1414"/>
      <c r="U780" s="1414"/>
      <c r="V780" s="1414"/>
      <c r="W780" s="1414"/>
      <c r="X780" s="1414"/>
      <c r="Y780" s="1414"/>
      <c r="Z780" s="1414"/>
      <c r="AA780" s="1414"/>
      <c r="AB780" s="1414"/>
      <c r="AC780" s="1414"/>
      <c r="AD780" s="1414"/>
      <c r="AE780" s="1414"/>
      <c r="AF780" s="1414"/>
      <c r="AG780" s="1414"/>
      <c r="AH780" s="1414"/>
      <c r="AI780" s="1414"/>
      <c r="AJ780" s="1414"/>
      <c r="AK780" s="1414"/>
      <c r="AL780" s="1414"/>
      <c r="AM780" s="1414"/>
      <c r="AN780" s="1414"/>
      <c r="AO780" s="1414"/>
      <c r="AP780" s="1414"/>
      <c r="AQ780" s="1414"/>
      <c r="AR780" s="1414"/>
      <c r="AS780" s="1414"/>
      <c r="AT780" s="1414"/>
      <c r="AU780" s="1414"/>
      <c r="AV780" s="1414"/>
      <c r="AW780" s="1414"/>
      <c r="AX780" s="1414"/>
      <c r="AY780" s="1399"/>
      <c r="AZ780" s="1399"/>
      <c r="BA780" s="1399"/>
      <c r="BB780" s="1399"/>
      <c r="BC780" s="1399"/>
      <c r="BD780" s="1399"/>
      <c r="BE780" s="1414"/>
      <c r="BF780" s="1399"/>
      <c r="BG780" s="1399"/>
      <c r="BH780" s="1399"/>
      <c r="BI780" s="1399"/>
      <c r="BJ780" s="1399"/>
      <c r="BK780" s="1399"/>
      <c r="BL780" s="1399"/>
      <c r="BM780" s="1399"/>
      <c r="BN780" s="1399"/>
      <c r="BO780" s="1399"/>
      <c r="BP780" s="1399"/>
      <c r="BQ780" s="1399"/>
      <c r="BR780" s="1399"/>
      <c r="BS780" s="1399"/>
      <c r="BT780" s="1399"/>
      <c r="BU780" s="1399"/>
      <c r="BV780" s="1399"/>
      <c r="BW780" s="1399"/>
      <c r="BX780" s="1399"/>
      <c r="BY780" s="1399"/>
      <c r="BZ780" s="1399"/>
      <c r="CA780" s="1399"/>
      <c r="CB780" s="1399"/>
      <c r="CC780" s="1399"/>
      <c r="CD780" s="1399"/>
      <c r="CE780" s="1399"/>
      <c r="CF780" s="1399"/>
      <c r="CG780" s="1399"/>
      <c r="CH780" s="1399"/>
      <c r="CI780" s="1399"/>
      <c r="CJ780" s="1399"/>
      <c r="CK780" s="1399"/>
      <c r="CL780" s="1399"/>
      <c r="CM780" s="1399"/>
      <c r="CN780" s="1399"/>
      <c r="CO780" s="1399"/>
      <c r="CP780" s="1399"/>
      <c r="CQ780" s="1399"/>
      <c r="CR780" s="1399"/>
      <c r="CS780" s="1399"/>
      <c r="CT780" s="1399"/>
      <c r="CU780" s="1399"/>
      <c r="CV780" s="1399"/>
      <c r="CW780" s="1399"/>
      <c r="CX780" s="1399"/>
      <c r="CY780" s="1399"/>
      <c r="CZ780" s="1399"/>
      <c r="DA780" s="1399"/>
      <c r="DB780" s="1399"/>
      <c r="DC780" s="1399"/>
      <c r="DD780" s="1399"/>
      <c r="DE780" s="1399"/>
      <c r="DF780" s="1399"/>
      <c r="DG780" s="1399"/>
      <c r="DH780" s="1399"/>
      <c r="DI780" s="1399"/>
      <c r="DJ780" s="1399"/>
      <c r="DK780" s="1399"/>
      <c r="DL780" s="1399"/>
      <c r="DM780" s="1399"/>
      <c r="DN780" s="1399"/>
      <c r="DO780" s="1399"/>
      <c r="DP780" s="1399"/>
      <c r="DQ780" s="1399"/>
      <c r="DR780" s="1399"/>
      <c r="DS780" s="1399"/>
      <c r="DT780" s="1399"/>
      <c r="DU780" s="1399"/>
    </row>
    <row r="781" spans="1:125">
      <c r="A781" s="1414"/>
      <c r="B781" s="1414"/>
      <c r="C781" s="1414"/>
      <c r="D781" s="1414"/>
      <c r="E781" s="1414"/>
      <c r="F781" s="1414"/>
      <c r="G781" s="1414"/>
      <c r="H781" s="1414"/>
      <c r="I781" s="1414"/>
      <c r="J781" s="1414"/>
      <c r="K781" s="1414"/>
      <c r="L781" s="1414"/>
      <c r="M781" s="1414"/>
      <c r="N781" s="1414"/>
      <c r="O781" s="1414"/>
      <c r="P781" s="1414"/>
      <c r="Q781" s="1414"/>
      <c r="R781" s="1414"/>
      <c r="S781" s="1414"/>
      <c r="T781" s="1414"/>
      <c r="U781" s="1414"/>
      <c r="V781" s="1414"/>
      <c r="W781" s="1414"/>
      <c r="X781" s="1414"/>
      <c r="Y781" s="1414"/>
      <c r="Z781" s="1414"/>
      <c r="AA781" s="1414"/>
      <c r="AB781" s="1414"/>
      <c r="AC781" s="1414"/>
      <c r="AD781" s="1414"/>
      <c r="AE781" s="1414"/>
      <c r="AF781" s="1414"/>
      <c r="AG781" s="1414"/>
      <c r="AH781" s="1414"/>
      <c r="AI781" s="1414"/>
      <c r="AJ781" s="1414"/>
      <c r="AK781" s="1414"/>
      <c r="AL781" s="1414"/>
      <c r="AM781" s="1414"/>
      <c r="AN781" s="1414"/>
      <c r="AO781" s="1414"/>
      <c r="AP781" s="1414"/>
      <c r="AQ781" s="1414"/>
      <c r="AR781" s="1414"/>
      <c r="AS781" s="1414"/>
      <c r="AT781" s="1414"/>
      <c r="AU781" s="1414"/>
      <c r="AV781" s="1414"/>
      <c r="AW781" s="1414"/>
      <c r="AX781" s="1414"/>
      <c r="AY781" s="1399"/>
      <c r="AZ781" s="1399"/>
      <c r="BA781" s="1399"/>
      <c r="BB781" s="1399"/>
      <c r="BC781" s="1399"/>
      <c r="BD781" s="1399"/>
      <c r="BE781" s="1414"/>
      <c r="BF781" s="1399"/>
      <c r="BG781" s="1399"/>
      <c r="BH781" s="1399"/>
      <c r="BI781" s="1399"/>
      <c r="BJ781" s="1399"/>
      <c r="BK781" s="1399"/>
      <c r="BL781" s="1399"/>
      <c r="BM781" s="1399"/>
      <c r="BN781" s="1399"/>
      <c r="BO781" s="1399"/>
      <c r="BP781" s="1399"/>
      <c r="BQ781" s="1399"/>
      <c r="BR781" s="1399"/>
      <c r="BS781" s="1399"/>
      <c r="BT781" s="1399"/>
      <c r="BU781" s="1399"/>
      <c r="BV781" s="1399"/>
      <c r="BW781" s="1399"/>
      <c r="BX781" s="1399"/>
      <c r="BY781" s="1399"/>
      <c r="BZ781" s="1399"/>
      <c r="CA781" s="1399"/>
      <c r="CB781" s="1399"/>
      <c r="CC781" s="1399"/>
      <c r="CD781" s="1399"/>
      <c r="CE781" s="1399"/>
      <c r="CF781" s="1399"/>
      <c r="CG781" s="1399"/>
      <c r="CH781" s="1399"/>
      <c r="CI781" s="1399"/>
      <c r="CJ781" s="1399"/>
      <c r="CK781" s="1399"/>
      <c r="CL781" s="1399"/>
      <c r="CM781" s="1399"/>
      <c r="CN781" s="1399"/>
      <c r="CO781" s="1399"/>
      <c r="CP781" s="1399"/>
      <c r="CQ781" s="1399"/>
      <c r="CR781" s="1399"/>
      <c r="CS781" s="1399"/>
      <c r="CT781" s="1399"/>
      <c r="CU781" s="1399"/>
      <c r="CV781" s="1399"/>
      <c r="CW781" s="1399"/>
      <c r="CX781" s="1399"/>
      <c r="CY781" s="1399"/>
      <c r="CZ781" s="1399"/>
      <c r="DA781" s="1399"/>
      <c r="DB781" s="1399"/>
      <c r="DC781" s="1399"/>
      <c r="DD781" s="1399"/>
      <c r="DE781" s="1399"/>
      <c r="DF781" s="1399"/>
      <c r="DG781" s="1399"/>
      <c r="DH781" s="1399"/>
      <c r="DI781" s="1399"/>
      <c r="DJ781" s="1399"/>
      <c r="DK781" s="1399"/>
      <c r="DL781" s="1399"/>
      <c r="DM781" s="1399"/>
      <c r="DN781" s="1399"/>
      <c r="DO781" s="1399"/>
      <c r="DP781" s="1399"/>
      <c r="DQ781" s="1399"/>
      <c r="DR781" s="1399"/>
      <c r="DS781" s="1399"/>
      <c r="DT781" s="1399"/>
      <c r="DU781" s="1399"/>
    </row>
    <row r="782" spans="1:125">
      <c r="A782" s="1414"/>
      <c r="B782" s="1414"/>
      <c r="C782" s="1414"/>
      <c r="D782" s="1414"/>
      <c r="E782" s="1414"/>
      <c r="F782" s="1414"/>
      <c r="G782" s="1414"/>
      <c r="H782" s="1414"/>
      <c r="I782" s="1414"/>
      <c r="J782" s="1414"/>
      <c r="K782" s="1414"/>
      <c r="L782" s="1414"/>
      <c r="M782" s="1414"/>
      <c r="N782" s="1414"/>
      <c r="O782" s="1414"/>
      <c r="P782" s="1414"/>
      <c r="Q782" s="1414"/>
      <c r="R782" s="1414"/>
      <c r="S782" s="1414"/>
      <c r="T782" s="1414"/>
      <c r="U782" s="1414"/>
      <c r="V782" s="1414"/>
      <c r="W782" s="1414"/>
      <c r="X782" s="1414"/>
      <c r="Y782" s="1414"/>
      <c r="Z782" s="1414"/>
      <c r="AA782" s="1414"/>
      <c r="AB782" s="1414"/>
      <c r="AC782" s="1414"/>
      <c r="AD782" s="1414"/>
      <c r="AE782" s="1414"/>
      <c r="AF782" s="1414"/>
      <c r="AG782" s="1414"/>
      <c r="AH782" s="1414"/>
      <c r="AI782" s="1414"/>
      <c r="AJ782" s="1414"/>
      <c r="AK782" s="1414"/>
      <c r="AL782" s="1414"/>
      <c r="AM782" s="1414"/>
      <c r="AN782" s="1414"/>
      <c r="AO782" s="1414"/>
      <c r="AP782" s="1414"/>
      <c r="AQ782" s="1414"/>
      <c r="AR782" s="1414"/>
      <c r="AS782" s="1414"/>
      <c r="AT782" s="1414"/>
      <c r="AU782" s="1414"/>
      <c r="AV782" s="1414"/>
      <c r="AW782" s="1414"/>
      <c r="AX782" s="1414"/>
      <c r="AY782" s="1399"/>
      <c r="AZ782" s="1399"/>
      <c r="BA782" s="1399"/>
      <c r="BB782" s="1399"/>
      <c r="BC782" s="1399"/>
      <c r="BD782" s="1399"/>
      <c r="BE782" s="1414"/>
      <c r="BF782" s="1399"/>
      <c r="BG782" s="1399"/>
      <c r="BH782" s="1399"/>
      <c r="BI782" s="1399"/>
      <c r="BJ782" s="1399"/>
      <c r="BK782" s="1399"/>
      <c r="BL782" s="1399"/>
      <c r="BM782" s="1399"/>
      <c r="BN782" s="1399"/>
      <c r="BO782" s="1399"/>
      <c r="BP782" s="1399"/>
      <c r="BQ782" s="1399"/>
      <c r="BR782" s="1399"/>
      <c r="BS782" s="1399"/>
      <c r="BT782" s="1399"/>
      <c r="BU782" s="1399"/>
      <c r="BV782" s="1399"/>
      <c r="BW782" s="1399"/>
      <c r="BX782" s="1399"/>
      <c r="BY782" s="1399"/>
      <c r="BZ782" s="1399"/>
      <c r="CA782" s="1399"/>
      <c r="CB782" s="1399"/>
      <c r="CC782" s="1399"/>
      <c r="CD782" s="1399"/>
      <c r="CE782" s="1399"/>
      <c r="CF782" s="1399"/>
      <c r="CG782" s="1399"/>
      <c r="CH782" s="1399"/>
      <c r="CI782" s="1399"/>
      <c r="CJ782" s="1399"/>
      <c r="CK782" s="1399"/>
      <c r="CL782" s="1399"/>
      <c r="CM782" s="1399"/>
      <c r="CN782" s="1399"/>
      <c r="CO782" s="1399"/>
      <c r="CP782" s="1399"/>
      <c r="CQ782" s="1399"/>
      <c r="CR782" s="1399"/>
      <c r="CS782" s="1399"/>
      <c r="CT782" s="1399"/>
      <c r="CU782" s="1399"/>
      <c r="CV782" s="1399"/>
      <c r="CW782" s="1399"/>
      <c r="CX782" s="1399"/>
      <c r="CY782" s="1399"/>
      <c r="CZ782" s="1399"/>
      <c r="DA782" s="1399"/>
      <c r="DB782" s="1399"/>
      <c r="DC782" s="1399"/>
      <c r="DD782" s="1399"/>
      <c r="DE782" s="1399"/>
      <c r="DF782" s="1399"/>
      <c r="DG782" s="1399"/>
      <c r="DH782" s="1399"/>
      <c r="DI782" s="1399"/>
      <c r="DJ782" s="1399"/>
      <c r="DK782" s="1399"/>
      <c r="DL782" s="1399"/>
      <c r="DM782" s="1399"/>
      <c r="DN782" s="1399"/>
      <c r="DO782" s="1399"/>
      <c r="DP782" s="1399"/>
      <c r="DQ782" s="1399"/>
      <c r="DR782" s="1399"/>
      <c r="DS782" s="1399"/>
      <c r="DT782" s="1399"/>
      <c r="DU782" s="1399"/>
    </row>
    <row r="783" spans="1:125">
      <c r="A783" s="1414"/>
      <c r="B783" s="1414"/>
      <c r="C783" s="1414"/>
      <c r="D783" s="1414"/>
      <c r="E783" s="1414"/>
      <c r="F783" s="1414"/>
      <c r="G783" s="1414"/>
      <c r="H783" s="1414"/>
      <c r="I783" s="1414"/>
      <c r="J783" s="1414"/>
      <c r="K783" s="1414"/>
      <c r="L783" s="1414"/>
      <c r="M783" s="1414"/>
      <c r="N783" s="1414"/>
      <c r="O783" s="1414"/>
      <c r="P783" s="1414"/>
      <c r="Q783" s="1414"/>
      <c r="R783" s="1414"/>
      <c r="S783" s="1414"/>
      <c r="T783" s="1414"/>
      <c r="U783" s="1414"/>
      <c r="V783" s="1414"/>
      <c r="W783" s="1414"/>
      <c r="X783" s="1414"/>
      <c r="Y783" s="1414"/>
      <c r="Z783" s="1414"/>
      <c r="AA783" s="1414"/>
      <c r="AB783" s="1414"/>
      <c r="AC783" s="1414"/>
      <c r="AD783" s="1414"/>
      <c r="AE783" s="1414"/>
      <c r="AF783" s="1414"/>
      <c r="AG783" s="1414"/>
      <c r="AH783" s="1414"/>
      <c r="AI783" s="1414"/>
      <c r="AJ783" s="1414"/>
      <c r="AK783" s="1414"/>
      <c r="AL783" s="1414"/>
      <c r="AM783" s="1414"/>
      <c r="AN783" s="1414"/>
      <c r="AO783" s="1414"/>
      <c r="AP783" s="1414"/>
      <c r="AQ783" s="1414"/>
      <c r="AR783" s="1414"/>
      <c r="AS783" s="1414"/>
      <c r="AT783" s="1414"/>
      <c r="AU783" s="1414"/>
      <c r="AV783" s="1414"/>
      <c r="AW783" s="1414"/>
      <c r="AX783" s="1414"/>
      <c r="AY783" s="1399"/>
      <c r="AZ783" s="1399"/>
      <c r="BA783" s="1399"/>
      <c r="BB783" s="1399"/>
      <c r="BC783" s="1399"/>
      <c r="BD783" s="1399"/>
      <c r="BE783" s="1414"/>
      <c r="BF783" s="1399"/>
      <c r="BG783" s="1399"/>
      <c r="BH783" s="1399"/>
      <c r="BI783" s="1399"/>
      <c r="BJ783" s="1399"/>
      <c r="BK783" s="1399"/>
      <c r="BL783" s="1399"/>
      <c r="BM783" s="1399"/>
      <c r="BN783" s="1399"/>
      <c r="BO783" s="1399"/>
      <c r="BP783" s="1399"/>
      <c r="BQ783" s="1399"/>
      <c r="BR783" s="1399"/>
      <c r="BS783" s="1399"/>
      <c r="BT783" s="1399"/>
      <c r="BU783" s="1399"/>
      <c r="BV783" s="1399"/>
      <c r="BW783" s="1399"/>
      <c r="BX783" s="1399"/>
      <c r="BY783" s="1399"/>
      <c r="BZ783" s="1399"/>
      <c r="CA783" s="1399"/>
      <c r="CB783" s="1399"/>
      <c r="CC783" s="1399"/>
      <c r="CD783" s="1399"/>
      <c r="CE783" s="1399"/>
      <c r="CF783" s="1399"/>
      <c r="CG783" s="1399"/>
      <c r="CH783" s="1399"/>
      <c r="CI783" s="1399"/>
      <c r="CJ783" s="1399"/>
      <c r="CK783" s="1399"/>
      <c r="CL783" s="1399"/>
      <c r="CM783" s="1399"/>
      <c r="CN783" s="1399"/>
      <c r="CO783" s="1399"/>
      <c r="CP783" s="1399"/>
      <c r="CQ783" s="1399"/>
      <c r="CR783" s="1399"/>
      <c r="CS783" s="1399"/>
      <c r="CT783" s="1399"/>
      <c r="CU783" s="1399"/>
      <c r="CV783" s="1399"/>
      <c r="CW783" s="1399"/>
      <c r="CX783" s="1399"/>
      <c r="CY783" s="1399"/>
      <c r="CZ783" s="1399"/>
      <c r="DA783" s="1399"/>
      <c r="DB783" s="1399"/>
      <c r="DC783" s="1399"/>
      <c r="DD783" s="1399"/>
      <c r="DE783" s="1399"/>
      <c r="DF783" s="1399"/>
      <c r="DG783" s="1399"/>
      <c r="DH783" s="1399"/>
      <c r="DI783" s="1399"/>
      <c r="DJ783" s="1399"/>
      <c r="DK783" s="1399"/>
      <c r="DL783" s="1399"/>
      <c r="DM783" s="1399"/>
      <c r="DN783" s="1399"/>
      <c r="DO783" s="1399"/>
      <c r="DP783" s="1399"/>
      <c r="DQ783" s="1399"/>
      <c r="DR783" s="1399"/>
      <c r="DS783" s="1399"/>
      <c r="DT783" s="1399"/>
      <c r="DU783" s="1399"/>
    </row>
    <row r="784" spans="1:125">
      <c r="A784" s="1414"/>
      <c r="B784" s="1414"/>
      <c r="C784" s="1414"/>
      <c r="D784" s="1414"/>
      <c r="E784" s="1414"/>
      <c r="F784" s="1414"/>
      <c r="G784" s="1414"/>
      <c r="H784" s="1414"/>
      <c r="I784" s="1414"/>
      <c r="J784" s="1414"/>
      <c r="K784" s="1414"/>
      <c r="L784" s="1414"/>
      <c r="M784" s="1414"/>
      <c r="N784" s="1414"/>
      <c r="O784" s="1414"/>
      <c r="P784" s="1414"/>
      <c r="Q784" s="1414"/>
      <c r="R784" s="1414"/>
      <c r="S784" s="1414"/>
      <c r="T784" s="1414"/>
      <c r="U784" s="1414"/>
      <c r="V784" s="1414"/>
      <c r="W784" s="1414"/>
      <c r="X784" s="1414"/>
      <c r="Y784" s="1414"/>
      <c r="Z784" s="1414"/>
      <c r="AA784" s="1414"/>
      <c r="AB784" s="1414"/>
      <c r="AC784" s="1414"/>
      <c r="AD784" s="1414"/>
      <c r="AE784" s="1414"/>
      <c r="AF784" s="1414"/>
      <c r="AG784" s="1414"/>
      <c r="AH784" s="1414"/>
      <c r="AI784" s="1414"/>
      <c r="AJ784" s="1414"/>
      <c r="AK784" s="1414"/>
      <c r="AL784" s="1414"/>
      <c r="AM784" s="1414"/>
      <c r="AN784" s="1414"/>
      <c r="AO784" s="1414"/>
      <c r="AP784" s="1414"/>
      <c r="AQ784" s="1414"/>
      <c r="AR784" s="1414"/>
      <c r="AS784" s="1414"/>
      <c r="AT784" s="1414"/>
      <c r="AU784" s="1414"/>
      <c r="AV784" s="1414"/>
      <c r="AW784" s="1414"/>
      <c r="AX784" s="1414"/>
      <c r="AY784" s="1399"/>
      <c r="AZ784" s="1399"/>
      <c r="BA784" s="1399"/>
      <c r="BB784" s="1399"/>
      <c r="BC784" s="1399"/>
      <c r="BD784" s="1399"/>
      <c r="BE784" s="1414"/>
      <c r="BF784" s="1399"/>
      <c r="BG784" s="1399"/>
      <c r="BH784" s="1399"/>
      <c r="BI784" s="1399"/>
      <c r="BJ784" s="1399"/>
      <c r="BK784" s="1399"/>
      <c r="BL784" s="1399"/>
      <c r="BM784" s="1399"/>
      <c r="BN784" s="1399"/>
      <c r="BO784" s="1399"/>
      <c r="BP784" s="1399"/>
      <c r="BQ784" s="1399"/>
      <c r="BR784" s="1399"/>
      <c r="BS784" s="1399"/>
      <c r="BT784" s="1399"/>
      <c r="BU784" s="1399"/>
      <c r="BV784" s="1399"/>
      <c r="BW784" s="1399"/>
      <c r="BX784" s="1399"/>
      <c r="BY784" s="1399"/>
      <c r="BZ784" s="1399"/>
      <c r="CA784" s="1399"/>
      <c r="CB784" s="1399"/>
      <c r="CC784" s="1399"/>
      <c r="CD784" s="1399"/>
      <c r="CE784" s="1399"/>
      <c r="CF784" s="1399"/>
      <c r="CG784" s="1399"/>
      <c r="CH784" s="1399"/>
      <c r="CI784" s="1399"/>
      <c r="CJ784" s="1399"/>
      <c r="CK784" s="1399"/>
      <c r="CL784" s="1399"/>
      <c r="CM784" s="1399"/>
      <c r="CN784" s="1399"/>
      <c r="CO784" s="1399"/>
      <c r="CP784" s="1399"/>
      <c r="CQ784" s="1399"/>
      <c r="CR784" s="1399"/>
      <c r="CS784" s="1399"/>
      <c r="CT784" s="1399"/>
      <c r="CU784" s="1399"/>
      <c r="CV784" s="1399"/>
      <c r="CW784" s="1399"/>
      <c r="CX784" s="1399"/>
      <c r="CY784" s="1399"/>
      <c r="CZ784" s="1399"/>
      <c r="DA784" s="1399"/>
      <c r="DB784" s="1399"/>
      <c r="DC784" s="1399"/>
      <c r="DD784" s="1399"/>
      <c r="DE784" s="1399"/>
      <c r="DF784" s="1399"/>
      <c r="DG784" s="1399"/>
      <c r="DH784" s="1399"/>
      <c r="DI784" s="1399"/>
      <c r="DJ784" s="1399"/>
      <c r="DK784" s="1399"/>
      <c r="DL784" s="1399"/>
      <c r="DM784" s="1399"/>
      <c r="DN784" s="1399"/>
      <c r="DO784" s="1399"/>
      <c r="DP784" s="1399"/>
      <c r="DQ784" s="1399"/>
      <c r="DR784" s="1399"/>
      <c r="DS784" s="1399"/>
      <c r="DT784" s="1399"/>
      <c r="DU784" s="1399"/>
    </row>
    <row r="785" spans="1:125">
      <c r="A785" s="1414"/>
      <c r="B785" s="1414"/>
      <c r="C785" s="1414"/>
      <c r="D785" s="1414"/>
      <c r="E785" s="1414"/>
      <c r="F785" s="1414"/>
      <c r="G785" s="1414"/>
      <c r="H785" s="1414"/>
      <c r="I785" s="1414"/>
      <c r="J785" s="1414"/>
      <c r="K785" s="1414"/>
      <c r="L785" s="1414"/>
      <c r="M785" s="1414"/>
      <c r="N785" s="1414"/>
      <c r="O785" s="1414"/>
      <c r="P785" s="1414"/>
      <c r="Q785" s="1414"/>
      <c r="R785" s="1414"/>
      <c r="S785" s="1414"/>
      <c r="T785" s="1414"/>
      <c r="U785" s="1414"/>
      <c r="V785" s="1414"/>
      <c r="W785" s="1414"/>
      <c r="X785" s="1414"/>
      <c r="Y785" s="1414"/>
      <c r="Z785" s="1414"/>
      <c r="AA785" s="1414"/>
      <c r="AB785" s="1414"/>
      <c r="AC785" s="1414"/>
      <c r="AD785" s="1414"/>
      <c r="AE785" s="1414"/>
      <c r="AF785" s="1414"/>
      <c r="AG785" s="1414"/>
      <c r="AH785" s="1414"/>
      <c r="AI785" s="1414"/>
      <c r="AJ785" s="1414"/>
      <c r="AK785" s="1414"/>
      <c r="AL785" s="1414"/>
      <c r="AM785" s="1414"/>
      <c r="AN785" s="1414"/>
      <c r="AO785" s="1414"/>
      <c r="AP785" s="1414"/>
      <c r="AQ785" s="1414"/>
      <c r="AR785" s="1414"/>
      <c r="AS785" s="1414"/>
      <c r="AT785" s="1414"/>
      <c r="AU785" s="1414"/>
      <c r="AV785" s="1414"/>
      <c r="AW785" s="1414"/>
      <c r="AX785" s="1414"/>
      <c r="AY785" s="1399"/>
      <c r="AZ785" s="1399"/>
      <c r="BA785" s="1399"/>
      <c r="BB785" s="1399"/>
      <c r="BC785" s="1399"/>
      <c r="BD785" s="1399"/>
      <c r="BE785" s="1414"/>
      <c r="BF785" s="1399"/>
      <c r="BG785" s="1399"/>
      <c r="BH785" s="1399"/>
      <c r="BI785" s="1399"/>
      <c r="BJ785" s="1399"/>
      <c r="BK785" s="1399"/>
      <c r="BL785" s="1399"/>
      <c r="BM785" s="1399"/>
      <c r="BN785" s="1399"/>
      <c r="BO785" s="1399"/>
      <c r="BP785" s="1399"/>
      <c r="BQ785" s="1399"/>
      <c r="BR785" s="1399"/>
      <c r="BS785" s="1399"/>
      <c r="BT785" s="1399"/>
      <c r="BU785" s="1399"/>
      <c r="BV785" s="1399"/>
      <c r="BW785" s="1399"/>
      <c r="BX785" s="1399"/>
      <c r="BY785" s="1399"/>
      <c r="BZ785" s="1399"/>
      <c r="CA785" s="1399"/>
      <c r="CB785" s="1399"/>
      <c r="CC785" s="1399"/>
      <c r="CD785" s="1399"/>
      <c r="CE785" s="1399"/>
      <c r="CF785" s="1399"/>
      <c r="CG785" s="1399"/>
      <c r="CH785" s="1399"/>
      <c r="CI785" s="1399"/>
      <c r="CJ785" s="1399"/>
      <c r="CK785" s="1399"/>
      <c r="CL785" s="1399"/>
      <c r="CM785" s="1399"/>
      <c r="CN785" s="1399"/>
      <c r="CO785" s="1399"/>
      <c r="CP785" s="1399"/>
      <c r="CQ785" s="1399"/>
      <c r="CR785" s="1399"/>
      <c r="CS785" s="1399"/>
      <c r="CT785" s="1399"/>
      <c r="CU785" s="1399"/>
      <c r="CV785" s="1399"/>
      <c r="CW785" s="1399"/>
      <c r="CX785" s="1399"/>
      <c r="CY785" s="1399"/>
      <c r="CZ785" s="1399"/>
      <c r="DA785" s="1399"/>
      <c r="DB785" s="1399"/>
      <c r="DC785" s="1399"/>
      <c r="DD785" s="1399"/>
      <c r="DE785" s="1399"/>
      <c r="DF785" s="1399"/>
      <c r="DG785" s="1399"/>
      <c r="DH785" s="1399"/>
      <c r="DI785" s="1399"/>
      <c r="DJ785" s="1399"/>
      <c r="DK785" s="1399"/>
      <c r="DL785" s="1399"/>
      <c r="DM785" s="1399"/>
      <c r="DN785" s="1399"/>
      <c r="DO785" s="1399"/>
      <c r="DP785" s="1399"/>
      <c r="DQ785" s="1399"/>
      <c r="DR785" s="1399"/>
      <c r="DS785" s="1399"/>
      <c r="DT785" s="1399"/>
      <c r="DU785" s="1399"/>
    </row>
    <row r="786" spans="1:125">
      <c r="A786" s="1414"/>
      <c r="B786" s="1414"/>
      <c r="C786" s="1414"/>
      <c r="D786" s="1414"/>
      <c r="E786" s="1414"/>
      <c r="F786" s="1414"/>
      <c r="G786" s="1414"/>
      <c r="H786" s="1414"/>
      <c r="I786" s="1414"/>
      <c r="J786" s="1414"/>
      <c r="K786" s="1414"/>
      <c r="L786" s="1414"/>
      <c r="M786" s="1414"/>
      <c r="N786" s="1414"/>
      <c r="O786" s="1414"/>
      <c r="P786" s="1414"/>
      <c r="Q786" s="1414"/>
      <c r="R786" s="1414"/>
      <c r="S786" s="1414"/>
      <c r="T786" s="1414"/>
      <c r="U786" s="1414"/>
      <c r="V786" s="1414"/>
      <c r="W786" s="1414"/>
      <c r="X786" s="1414"/>
      <c r="Y786" s="1414"/>
      <c r="Z786" s="1414"/>
      <c r="AA786" s="1414"/>
      <c r="AB786" s="1414"/>
      <c r="AC786" s="1414"/>
      <c r="AD786" s="1414"/>
      <c r="AE786" s="1414"/>
      <c r="AF786" s="1414"/>
      <c r="AG786" s="1414"/>
      <c r="AH786" s="1414"/>
      <c r="AI786" s="1414"/>
      <c r="AJ786" s="1414"/>
      <c r="AK786" s="1414"/>
      <c r="AL786" s="1414"/>
      <c r="AM786" s="1414"/>
      <c r="AN786" s="1414"/>
      <c r="AO786" s="1414"/>
      <c r="AP786" s="1414"/>
      <c r="AQ786" s="1414"/>
      <c r="AR786" s="1414"/>
      <c r="AS786" s="1414"/>
      <c r="AT786" s="1414"/>
      <c r="AU786" s="1414"/>
      <c r="AV786" s="1414"/>
      <c r="AW786" s="1414"/>
      <c r="AX786" s="1414"/>
      <c r="AY786" s="1399"/>
      <c r="AZ786" s="1399"/>
      <c r="BA786" s="1399"/>
      <c r="BB786" s="1399"/>
      <c r="BC786" s="1399"/>
      <c r="BD786" s="1399"/>
      <c r="BE786" s="1414"/>
      <c r="BF786" s="1399"/>
      <c r="BG786" s="1399"/>
      <c r="BH786" s="1399"/>
      <c r="BI786" s="1399"/>
      <c r="BJ786" s="1399"/>
      <c r="BK786" s="1399"/>
      <c r="BL786" s="1399"/>
      <c r="BM786" s="1399"/>
      <c r="BN786" s="1399"/>
      <c r="BO786" s="1399"/>
      <c r="BP786" s="1399"/>
      <c r="BQ786" s="1399"/>
      <c r="BR786" s="1399"/>
      <c r="BS786" s="1399"/>
      <c r="BT786" s="1399"/>
      <c r="BU786" s="1399"/>
      <c r="BV786" s="1399"/>
      <c r="BW786" s="1399"/>
      <c r="BX786" s="1399"/>
      <c r="BY786" s="1399"/>
      <c r="BZ786" s="1399"/>
      <c r="CA786" s="1399"/>
      <c r="CB786" s="1399"/>
      <c r="CC786" s="1399"/>
      <c r="CD786" s="1399"/>
      <c r="CE786" s="1399"/>
      <c r="CF786" s="1399"/>
      <c r="CG786" s="1399"/>
      <c r="CH786" s="1399"/>
      <c r="CI786" s="1399"/>
      <c r="CJ786" s="1399"/>
      <c r="CK786" s="1399"/>
      <c r="CL786" s="1399"/>
      <c r="CM786" s="1399"/>
      <c r="CN786" s="1399"/>
      <c r="CO786" s="1399"/>
      <c r="CP786" s="1399"/>
      <c r="CQ786" s="1399"/>
      <c r="CR786" s="1399"/>
      <c r="CS786" s="1399"/>
      <c r="CT786" s="1399"/>
      <c r="CU786" s="1399"/>
      <c r="CV786" s="1399"/>
      <c r="CW786" s="1399"/>
      <c r="CX786" s="1399"/>
      <c r="CY786" s="1399"/>
      <c r="CZ786" s="1399"/>
      <c r="DA786" s="1399"/>
      <c r="DB786" s="1399"/>
      <c r="DC786" s="1399"/>
      <c r="DD786" s="1399"/>
      <c r="DE786" s="1399"/>
      <c r="DF786" s="1399"/>
      <c r="DG786" s="1399"/>
      <c r="DH786" s="1399"/>
      <c r="DI786" s="1399"/>
      <c r="DJ786" s="1399"/>
      <c r="DK786" s="1399"/>
      <c r="DL786" s="1399"/>
      <c r="DM786" s="1399"/>
      <c r="DN786" s="1399"/>
      <c r="DO786" s="1399"/>
      <c r="DP786" s="1399"/>
      <c r="DQ786" s="1399"/>
      <c r="DR786" s="1399"/>
      <c r="DS786" s="1399"/>
      <c r="DT786" s="1399"/>
      <c r="DU786" s="1399"/>
    </row>
    <row r="787" spans="1:125">
      <c r="A787" s="1414"/>
      <c r="B787" s="1414"/>
      <c r="C787" s="1414"/>
      <c r="D787" s="1414"/>
      <c r="E787" s="1414"/>
      <c r="F787" s="1414"/>
      <c r="G787" s="1414"/>
      <c r="H787" s="1414"/>
      <c r="I787" s="1414"/>
      <c r="J787" s="1414"/>
      <c r="K787" s="1414"/>
      <c r="L787" s="1414"/>
      <c r="M787" s="1414"/>
      <c r="N787" s="1414"/>
      <c r="O787" s="1414"/>
      <c r="P787" s="1414"/>
      <c r="Q787" s="1414"/>
      <c r="R787" s="1414"/>
      <c r="S787" s="1414"/>
      <c r="T787" s="1414"/>
      <c r="U787" s="1414"/>
      <c r="V787" s="1414"/>
      <c r="W787" s="1414"/>
      <c r="X787" s="1414"/>
      <c r="Y787" s="1414"/>
      <c r="Z787" s="1414"/>
      <c r="AA787" s="1414"/>
      <c r="AB787" s="1414"/>
      <c r="AC787" s="1414"/>
      <c r="AD787" s="1414"/>
      <c r="AE787" s="1414"/>
      <c r="AF787" s="1414"/>
      <c r="AG787" s="1414"/>
      <c r="AH787" s="1414"/>
      <c r="AI787" s="1414"/>
      <c r="AJ787" s="1414"/>
      <c r="AK787" s="1414"/>
      <c r="AL787" s="1414"/>
      <c r="AM787" s="1414"/>
      <c r="AN787" s="1414"/>
      <c r="AO787" s="1414"/>
      <c r="AP787" s="1414"/>
      <c r="AQ787" s="1414"/>
      <c r="AR787" s="1414"/>
      <c r="AS787" s="1414"/>
      <c r="AT787" s="1414"/>
      <c r="AU787" s="1414"/>
      <c r="AV787" s="1414"/>
      <c r="AW787" s="1414"/>
      <c r="AX787" s="1414"/>
      <c r="AY787" s="1399"/>
      <c r="AZ787" s="1399"/>
      <c r="BA787" s="1399"/>
      <c r="BB787" s="1399"/>
      <c r="BC787" s="1399"/>
      <c r="BD787" s="1399"/>
      <c r="BE787" s="1414"/>
      <c r="BF787" s="1399"/>
      <c r="BG787" s="1399"/>
      <c r="BH787" s="1399"/>
      <c r="BI787" s="1399"/>
      <c r="BJ787" s="1399"/>
      <c r="BK787" s="1399"/>
      <c r="BL787" s="1399"/>
      <c r="BM787" s="1399"/>
      <c r="BN787" s="1399"/>
      <c r="BO787" s="1399"/>
      <c r="BP787" s="1399"/>
      <c r="BQ787" s="1399"/>
      <c r="BR787" s="1399"/>
      <c r="BS787" s="1399"/>
      <c r="BT787" s="1399"/>
      <c r="BU787" s="1399"/>
      <c r="BV787" s="1399"/>
      <c r="BW787" s="1399"/>
      <c r="BX787" s="1399"/>
      <c r="BY787" s="1399"/>
      <c r="BZ787" s="1399"/>
      <c r="CA787" s="1399"/>
      <c r="CB787" s="1399"/>
      <c r="CC787" s="1399"/>
      <c r="CD787" s="1399"/>
      <c r="CE787" s="1399"/>
      <c r="CF787" s="1399"/>
      <c r="CG787" s="1399"/>
      <c r="CH787" s="1399"/>
      <c r="CI787" s="1399"/>
      <c r="CJ787" s="1399"/>
      <c r="CK787" s="1399"/>
      <c r="CL787" s="1399"/>
      <c r="CM787" s="1399"/>
      <c r="CN787" s="1399"/>
      <c r="CO787" s="1399"/>
      <c r="CP787" s="1399"/>
      <c r="CQ787" s="1399"/>
      <c r="CR787" s="1399"/>
      <c r="CS787" s="1399"/>
      <c r="CT787" s="1399"/>
      <c r="CU787" s="1399"/>
      <c r="CV787" s="1399"/>
      <c r="CW787" s="1399"/>
      <c r="CX787" s="1399"/>
      <c r="CY787" s="1399"/>
      <c r="CZ787" s="1399"/>
      <c r="DA787" s="1399"/>
      <c r="DB787" s="1399"/>
      <c r="DC787" s="1399"/>
      <c r="DD787" s="1399"/>
      <c r="DE787" s="1399"/>
      <c r="DF787" s="1399"/>
      <c r="DG787" s="1399"/>
      <c r="DH787" s="1399"/>
      <c r="DI787" s="1399"/>
      <c r="DJ787" s="1399"/>
      <c r="DK787" s="1399"/>
      <c r="DL787" s="1399"/>
      <c r="DM787" s="1399"/>
      <c r="DN787" s="1399"/>
      <c r="DO787" s="1399"/>
      <c r="DP787" s="1399"/>
      <c r="DQ787" s="1399"/>
      <c r="DR787" s="1399"/>
      <c r="DS787" s="1399"/>
      <c r="DT787" s="1399"/>
      <c r="DU787" s="1399"/>
    </row>
    <row r="788" spans="1:125">
      <c r="A788" s="1414"/>
      <c r="B788" s="1414"/>
      <c r="C788" s="1414"/>
      <c r="D788" s="1414"/>
      <c r="E788" s="1414"/>
      <c r="F788" s="1414"/>
      <c r="G788" s="1414"/>
      <c r="H788" s="1414"/>
      <c r="I788" s="1414"/>
      <c r="J788" s="1414"/>
      <c r="K788" s="1414"/>
      <c r="L788" s="1414"/>
      <c r="M788" s="1414"/>
      <c r="N788" s="1414"/>
      <c r="O788" s="1414"/>
      <c r="P788" s="1414"/>
      <c r="Q788" s="1414"/>
      <c r="R788" s="1414"/>
      <c r="S788" s="1414"/>
      <c r="T788" s="1414"/>
      <c r="U788" s="1414"/>
      <c r="V788" s="1414"/>
      <c r="W788" s="1414"/>
      <c r="X788" s="1414"/>
      <c r="Y788" s="1414"/>
      <c r="Z788" s="1414"/>
      <c r="AA788" s="1414"/>
      <c r="AB788" s="1414"/>
      <c r="AC788" s="1414"/>
      <c r="AD788" s="1414"/>
      <c r="AE788" s="1414"/>
      <c r="AF788" s="1414"/>
      <c r="AG788" s="1414"/>
      <c r="AH788" s="1414"/>
      <c r="AI788" s="1414"/>
      <c r="AJ788" s="1414"/>
      <c r="AK788" s="1414"/>
      <c r="AL788" s="1414"/>
      <c r="AM788" s="1414"/>
      <c r="AN788" s="1414"/>
      <c r="AO788" s="1414"/>
      <c r="AP788" s="1414"/>
      <c r="AQ788" s="1414"/>
      <c r="AR788" s="1414"/>
      <c r="AS788" s="1414"/>
      <c r="AT788" s="1414"/>
      <c r="AU788" s="1414"/>
      <c r="AV788" s="1414"/>
      <c r="AW788" s="1414"/>
      <c r="AX788" s="1414"/>
      <c r="AY788" s="1399"/>
      <c r="AZ788" s="1399"/>
      <c r="BA788" s="1399"/>
      <c r="BB788" s="1399"/>
      <c r="BC788" s="1399"/>
      <c r="BD788" s="1399"/>
      <c r="BE788" s="1414"/>
      <c r="BF788" s="1399"/>
      <c r="BG788" s="1399"/>
      <c r="BH788" s="1399"/>
      <c r="BI788" s="1399"/>
      <c r="BJ788" s="1399"/>
      <c r="BK788" s="1399"/>
      <c r="BL788" s="1399"/>
      <c r="BM788" s="1399"/>
      <c r="BN788" s="1399"/>
      <c r="BO788" s="1399"/>
      <c r="BP788" s="1399"/>
      <c r="BQ788" s="1399"/>
      <c r="BR788" s="1399"/>
      <c r="BS788" s="1399"/>
      <c r="BT788" s="1399"/>
      <c r="BU788" s="1399"/>
      <c r="BV788" s="1399"/>
      <c r="BW788" s="1399"/>
      <c r="BX788" s="1399"/>
      <c r="BY788" s="1399"/>
      <c r="BZ788" s="1399"/>
      <c r="CA788" s="1399"/>
      <c r="CB788" s="1399"/>
      <c r="CC788" s="1399"/>
      <c r="CD788" s="1399"/>
      <c r="CE788" s="1399"/>
      <c r="CF788" s="1399"/>
      <c r="CG788" s="1399"/>
      <c r="CH788" s="1399"/>
      <c r="CI788" s="1399"/>
      <c r="CJ788" s="1399"/>
      <c r="CK788" s="1399"/>
      <c r="CL788" s="1399"/>
      <c r="CM788" s="1399"/>
      <c r="CN788" s="1399"/>
      <c r="CO788" s="1399"/>
      <c r="CP788" s="1399"/>
      <c r="CQ788" s="1399"/>
      <c r="CR788" s="1399"/>
      <c r="CS788" s="1399"/>
      <c r="CT788" s="1399"/>
      <c r="CU788" s="1399"/>
      <c r="CV788" s="1399"/>
      <c r="CW788" s="1399"/>
      <c r="CX788" s="1399"/>
      <c r="CY788" s="1399"/>
      <c r="CZ788" s="1399"/>
      <c r="DA788" s="1399"/>
      <c r="DB788" s="1399"/>
      <c r="DC788" s="1399"/>
      <c r="DD788" s="1399"/>
      <c r="DE788" s="1399"/>
      <c r="DF788" s="1399"/>
      <c r="DG788" s="1399"/>
      <c r="DH788" s="1399"/>
      <c r="DI788" s="1399"/>
      <c r="DJ788" s="1399"/>
      <c r="DK788" s="1399"/>
      <c r="DL788" s="1399"/>
      <c r="DM788" s="1399"/>
      <c r="DN788" s="1399"/>
      <c r="DO788" s="1399"/>
      <c r="DP788" s="1399"/>
      <c r="DQ788" s="1399"/>
      <c r="DR788" s="1399"/>
      <c r="DS788" s="1399"/>
      <c r="DT788" s="1399"/>
      <c r="DU788" s="1399"/>
    </row>
    <row r="789" spans="1:125">
      <c r="A789" s="1414"/>
      <c r="B789" s="1414"/>
      <c r="C789" s="1414"/>
      <c r="D789" s="1414"/>
      <c r="E789" s="1414"/>
      <c r="F789" s="1414"/>
      <c r="G789" s="1414"/>
      <c r="H789" s="1414"/>
      <c r="I789" s="1414"/>
      <c r="J789" s="1414"/>
      <c r="K789" s="1414"/>
      <c r="L789" s="1414"/>
      <c r="M789" s="1414"/>
      <c r="N789" s="1414"/>
      <c r="O789" s="1414"/>
      <c r="P789" s="1414"/>
      <c r="Q789" s="1414"/>
      <c r="R789" s="1414"/>
      <c r="S789" s="1414"/>
      <c r="T789" s="1414"/>
      <c r="U789" s="1414"/>
      <c r="V789" s="1414"/>
      <c r="W789" s="1414"/>
      <c r="X789" s="1414"/>
      <c r="Y789" s="1414"/>
      <c r="Z789" s="1414"/>
      <c r="AA789" s="1414"/>
      <c r="AB789" s="1414"/>
      <c r="AC789" s="1414"/>
      <c r="AD789" s="1414"/>
      <c r="AE789" s="1414"/>
      <c r="AF789" s="1414"/>
      <c r="AG789" s="1414"/>
      <c r="AH789" s="1414"/>
      <c r="AI789" s="1414"/>
      <c r="AJ789" s="1414"/>
      <c r="AK789" s="1414"/>
      <c r="AL789" s="1414"/>
      <c r="AM789" s="1414"/>
      <c r="AN789" s="1414"/>
      <c r="AO789" s="1414"/>
      <c r="AP789" s="1414"/>
      <c r="AQ789" s="1414"/>
      <c r="AR789" s="1414"/>
      <c r="AS789" s="1414"/>
      <c r="AT789" s="1414"/>
      <c r="AU789" s="1414"/>
      <c r="AV789" s="1414"/>
      <c r="AW789" s="1414"/>
      <c r="AX789" s="1414"/>
      <c r="AY789" s="1399"/>
      <c r="AZ789" s="1399"/>
      <c r="BA789" s="1399"/>
      <c r="BB789" s="1399"/>
      <c r="BC789" s="1399"/>
      <c r="BD789" s="1399"/>
      <c r="BE789" s="1414"/>
      <c r="BF789" s="1399"/>
      <c r="BG789" s="1399"/>
      <c r="BH789" s="1399"/>
      <c r="BI789" s="1399"/>
      <c r="BJ789" s="1399"/>
      <c r="BK789" s="1399"/>
      <c r="BL789" s="1399"/>
      <c r="BM789" s="1399"/>
      <c r="BN789" s="1399"/>
      <c r="BO789" s="1399"/>
      <c r="BP789" s="1399"/>
      <c r="BQ789" s="1399"/>
      <c r="BR789" s="1399"/>
      <c r="BS789" s="1399"/>
      <c r="BT789" s="1399"/>
      <c r="BU789" s="1399"/>
      <c r="BV789" s="1399"/>
      <c r="BW789" s="1399"/>
      <c r="BX789" s="1399"/>
      <c r="BY789" s="1399"/>
      <c r="BZ789" s="1399"/>
      <c r="CA789" s="1399"/>
      <c r="CB789" s="1399"/>
      <c r="CC789" s="1399"/>
      <c r="CD789" s="1399"/>
      <c r="CE789" s="1399"/>
      <c r="CF789" s="1399"/>
      <c r="CG789" s="1399"/>
      <c r="CH789" s="1399"/>
      <c r="CI789" s="1399"/>
      <c r="CJ789" s="1399"/>
      <c r="CK789" s="1399"/>
      <c r="CL789" s="1399"/>
      <c r="CM789" s="1399"/>
      <c r="CN789" s="1399"/>
      <c r="CO789" s="1399"/>
      <c r="CP789" s="1399"/>
      <c r="CQ789" s="1399"/>
      <c r="CR789" s="1399"/>
      <c r="CS789" s="1399"/>
      <c r="CT789" s="1399"/>
      <c r="CU789" s="1399"/>
      <c r="CV789" s="1399"/>
      <c r="CW789" s="1399"/>
      <c r="CX789" s="1399"/>
      <c r="CY789" s="1399"/>
      <c r="CZ789" s="1399"/>
      <c r="DA789" s="1399"/>
      <c r="DB789" s="1399"/>
      <c r="DC789" s="1399"/>
      <c r="DD789" s="1399"/>
      <c r="DE789" s="1399"/>
      <c r="DF789" s="1399"/>
      <c r="DG789" s="1399"/>
      <c r="DH789" s="1399"/>
      <c r="DI789" s="1399"/>
      <c r="DJ789" s="1399"/>
      <c r="DK789" s="1399"/>
      <c r="DL789" s="1399"/>
      <c r="DM789" s="1399"/>
      <c r="DN789" s="1399"/>
      <c r="DO789" s="1399"/>
      <c r="DP789" s="1399"/>
      <c r="DQ789" s="1399"/>
      <c r="DR789" s="1399"/>
      <c r="DS789" s="1399"/>
      <c r="DT789" s="1399"/>
      <c r="DU789" s="1399"/>
    </row>
    <row r="790" spans="1:125">
      <c r="A790" s="1414"/>
      <c r="B790" s="1414"/>
      <c r="C790" s="1414"/>
      <c r="D790" s="1414"/>
      <c r="E790" s="1414"/>
      <c r="F790" s="1414"/>
      <c r="G790" s="1414"/>
      <c r="H790" s="1414"/>
      <c r="I790" s="1414"/>
      <c r="J790" s="1414"/>
      <c r="K790" s="1414"/>
      <c r="L790" s="1414"/>
      <c r="M790" s="1414"/>
      <c r="N790" s="1414"/>
      <c r="O790" s="1414"/>
      <c r="P790" s="1414"/>
      <c r="Q790" s="1414"/>
      <c r="R790" s="1414"/>
      <c r="S790" s="1414"/>
      <c r="T790" s="1414"/>
      <c r="U790" s="1414"/>
      <c r="V790" s="1414"/>
      <c r="W790" s="1414"/>
      <c r="X790" s="1414"/>
      <c r="Y790" s="1414"/>
      <c r="Z790" s="1414"/>
      <c r="AA790" s="1414"/>
      <c r="AB790" s="1414"/>
      <c r="AC790" s="1414"/>
      <c r="AD790" s="1414"/>
      <c r="AE790" s="1414"/>
      <c r="AF790" s="1414"/>
      <c r="AG790" s="1414"/>
      <c r="AH790" s="1414"/>
      <c r="AI790" s="1414"/>
      <c r="AJ790" s="1414"/>
      <c r="AK790" s="1414"/>
      <c r="AL790" s="1414"/>
      <c r="AM790" s="1414"/>
      <c r="AN790" s="1414"/>
      <c r="AO790" s="1414"/>
      <c r="AP790" s="1414"/>
      <c r="AQ790" s="1414"/>
      <c r="AR790" s="1414"/>
      <c r="AS790" s="1414"/>
      <c r="AT790" s="1414"/>
      <c r="AU790" s="1414"/>
      <c r="AV790" s="1414"/>
      <c r="AW790" s="1414"/>
      <c r="AX790" s="1414"/>
      <c r="AY790" s="1399"/>
      <c r="AZ790" s="1399"/>
      <c r="BA790" s="1399"/>
      <c r="BB790" s="1399"/>
      <c r="BC790" s="1399"/>
      <c r="BD790" s="1399"/>
      <c r="BE790" s="1414"/>
      <c r="BF790" s="1399"/>
      <c r="BG790" s="1399"/>
      <c r="BH790" s="1399"/>
      <c r="BI790" s="1399"/>
      <c r="BJ790" s="1399"/>
      <c r="BK790" s="1399"/>
      <c r="BL790" s="1399"/>
      <c r="BM790" s="1399"/>
      <c r="BN790" s="1399"/>
      <c r="BO790" s="1399"/>
      <c r="BP790" s="1399"/>
      <c r="BQ790" s="1399"/>
      <c r="BR790" s="1399"/>
      <c r="BS790" s="1399"/>
      <c r="BT790" s="1399"/>
      <c r="BU790" s="1399"/>
      <c r="BV790" s="1399"/>
      <c r="BW790" s="1399"/>
      <c r="BX790" s="1399"/>
      <c r="BY790" s="1399"/>
      <c r="BZ790" s="1399"/>
      <c r="CA790" s="1399"/>
      <c r="CB790" s="1399"/>
      <c r="CC790" s="1399"/>
      <c r="CD790" s="1399"/>
      <c r="CE790" s="1399"/>
      <c r="CF790" s="1399"/>
      <c r="CG790" s="1399"/>
      <c r="CH790" s="1399"/>
      <c r="CI790" s="1399"/>
      <c r="CJ790" s="1399"/>
      <c r="CK790" s="1399"/>
      <c r="CL790" s="1399"/>
      <c r="CM790" s="1399"/>
      <c r="CN790" s="1399"/>
      <c r="CO790" s="1399"/>
      <c r="CP790" s="1399"/>
      <c r="CQ790" s="1399"/>
      <c r="CR790" s="1399"/>
      <c r="CS790" s="1399"/>
      <c r="CT790" s="1399"/>
      <c r="CU790" s="1399"/>
      <c r="CV790" s="1399"/>
      <c r="CW790" s="1399"/>
      <c r="CX790" s="1399"/>
      <c r="CY790" s="1399"/>
      <c r="CZ790" s="1399"/>
      <c r="DA790" s="1399"/>
      <c r="DB790" s="1399"/>
      <c r="DC790" s="1399"/>
      <c r="DD790" s="1399"/>
      <c r="DE790" s="1399"/>
      <c r="DF790" s="1399"/>
      <c r="DG790" s="1399"/>
      <c r="DH790" s="1399"/>
      <c r="DI790" s="1399"/>
      <c r="DJ790" s="1399"/>
      <c r="DK790" s="1399"/>
      <c r="DL790" s="1399"/>
      <c r="DM790" s="1399"/>
      <c r="DN790" s="1399"/>
      <c r="DO790" s="1399"/>
      <c r="DP790" s="1399"/>
      <c r="DQ790" s="1399"/>
      <c r="DR790" s="1399"/>
      <c r="DS790" s="1399"/>
      <c r="DT790" s="1399"/>
      <c r="DU790" s="1399"/>
    </row>
    <row r="791" spans="1:125">
      <c r="A791" s="1414"/>
      <c r="B791" s="1414"/>
      <c r="C791" s="1414"/>
      <c r="D791" s="1414"/>
      <c r="E791" s="1414"/>
      <c r="F791" s="1414"/>
      <c r="G791" s="1414"/>
      <c r="H791" s="1414"/>
      <c r="I791" s="1414"/>
      <c r="J791" s="1414"/>
      <c r="K791" s="1414"/>
      <c r="L791" s="1414"/>
      <c r="M791" s="1414"/>
      <c r="N791" s="1414"/>
      <c r="O791" s="1414"/>
      <c r="P791" s="1414"/>
      <c r="Q791" s="1414"/>
      <c r="R791" s="1414"/>
      <c r="S791" s="1414"/>
      <c r="T791" s="1414"/>
      <c r="U791" s="1414"/>
      <c r="V791" s="1414"/>
      <c r="W791" s="1414"/>
      <c r="X791" s="1414"/>
      <c r="Y791" s="1414"/>
      <c r="Z791" s="1414"/>
      <c r="AA791" s="1414"/>
      <c r="AB791" s="1414"/>
      <c r="AC791" s="1414"/>
      <c r="AD791" s="1414"/>
      <c r="AE791" s="1414"/>
      <c r="AF791" s="1414"/>
      <c r="AG791" s="1414"/>
      <c r="AH791" s="1414"/>
      <c r="AI791" s="1414"/>
      <c r="AJ791" s="1414"/>
      <c r="AK791" s="1414"/>
      <c r="AL791" s="1414"/>
      <c r="AM791" s="1414"/>
      <c r="AN791" s="1414"/>
      <c r="AO791" s="1414"/>
      <c r="AP791" s="1414"/>
      <c r="AQ791" s="1414"/>
      <c r="AR791" s="1414"/>
      <c r="AS791" s="1414"/>
      <c r="AT791" s="1414"/>
      <c r="AU791" s="1414"/>
      <c r="AV791" s="1414"/>
      <c r="AW791" s="1414"/>
      <c r="AX791" s="1414"/>
      <c r="AY791" s="1399"/>
      <c r="AZ791" s="1399"/>
      <c r="BA791" s="1399"/>
      <c r="BB791" s="1399"/>
      <c r="BC791" s="1399"/>
      <c r="BD791" s="1399"/>
      <c r="BE791" s="1414"/>
      <c r="BF791" s="1399"/>
      <c r="BG791" s="1399"/>
      <c r="BH791" s="1399"/>
      <c r="BI791" s="1399"/>
      <c r="BJ791" s="1399"/>
      <c r="BK791" s="1399"/>
      <c r="BL791" s="1399"/>
      <c r="BM791" s="1399"/>
      <c r="BN791" s="1399"/>
      <c r="BO791" s="1399"/>
      <c r="BP791" s="1399"/>
      <c r="BQ791" s="1399"/>
      <c r="BR791" s="1399"/>
      <c r="BS791" s="1399"/>
      <c r="BT791" s="1399"/>
      <c r="BU791" s="1399"/>
      <c r="BV791" s="1399"/>
      <c r="BW791" s="1399"/>
      <c r="BX791" s="1399"/>
      <c r="BY791" s="1399"/>
      <c r="BZ791" s="1399"/>
      <c r="CA791" s="1399"/>
      <c r="CB791" s="1399"/>
      <c r="CC791" s="1399"/>
      <c r="CD791" s="1399"/>
      <c r="CE791" s="1399"/>
      <c r="CF791" s="1399"/>
      <c r="CG791" s="1399"/>
      <c r="CH791" s="1399"/>
      <c r="CI791" s="1399"/>
      <c r="CJ791" s="1399"/>
      <c r="CK791" s="1399"/>
      <c r="CL791" s="1399"/>
      <c r="CM791" s="1399"/>
      <c r="CN791" s="1399"/>
      <c r="CO791" s="1399"/>
      <c r="CP791" s="1399"/>
      <c r="CQ791" s="1399"/>
      <c r="CR791" s="1399"/>
      <c r="CS791" s="1399"/>
      <c r="CT791" s="1399"/>
      <c r="CU791" s="1399"/>
      <c r="CV791" s="1399"/>
      <c r="CW791" s="1399"/>
      <c r="CX791" s="1399"/>
      <c r="CY791" s="1399"/>
      <c r="CZ791" s="1399"/>
      <c r="DA791" s="1399"/>
      <c r="DB791" s="1399"/>
      <c r="DC791" s="1399"/>
      <c r="DD791" s="1399"/>
      <c r="DE791" s="1399"/>
      <c r="DF791" s="1399"/>
      <c r="DG791" s="1399"/>
      <c r="DH791" s="1399"/>
      <c r="DI791" s="1399"/>
      <c r="DJ791" s="1399"/>
      <c r="DK791" s="1399"/>
      <c r="DL791" s="1399"/>
      <c r="DM791" s="1399"/>
      <c r="DN791" s="1399"/>
      <c r="DO791" s="1399"/>
      <c r="DP791" s="1399"/>
      <c r="DQ791" s="1399"/>
      <c r="DR791" s="1399"/>
      <c r="DS791" s="1399"/>
      <c r="DT791" s="1399"/>
      <c r="DU791" s="1399"/>
    </row>
    <row r="792" spans="1:125">
      <c r="A792" s="1414"/>
      <c r="B792" s="1414"/>
      <c r="C792" s="1414"/>
      <c r="D792" s="1414"/>
      <c r="E792" s="1414"/>
      <c r="F792" s="1414"/>
      <c r="G792" s="1414"/>
      <c r="H792" s="1414"/>
      <c r="I792" s="1414"/>
      <c r="J792" s="1414"/>
      <c r="K792" s="1414"/>
      <c r="L792" s="1414"/>
      <c r="M792" s="1414"/>
      <c r="N792" s="1414"/>
      <c r="O792" s="1414"/>
      <c r="P792" s="1414"/>
      <c r="Q792" s="1414"/>
      <c r="R792" s="1414"/>
      <c r="S792" s="1414"/>
      <c r="T792" s="1414"/>
      <c r="U792" s="1414"/>
      <c r="V792" s="1414"/>
      <c r="W792" s="1414"/>
      <c r="X792" s="1414"/>
      <c r="Y792" s="1414"/>
      <c r="Z792" s="1414"/>
      <c r="AA792" s="1414"/>
      <c r="AB792" s="1414"/>
      <c r="AC792" s="1414"/>
      <c r="AD792" s="1414"/>
      <c r="AE792" s="1414"/>
      <c r="AF792" s="1414"/>
      <c r="AG792" s="1414"/>
      <c r="AH792" s="1414"/>
      <c r="AI792" s="1414"/>
      <c r="AJ792" s="1414"/>
      <c r="AK792" s="1414"/>
      <c r="AL792" s="1414"/>
      <c r="AM792" s="1414"/>
      <c r="AN792" s="1414"/>
      <c r="AO792" s="1414"/>
      <c r="AP792" s="1414"/>
      <c r="AQ792" s="1414"/>
      <c r="AR792" s="1414"/>
      <c r="AS792" s="1414"/>
      <c r="AT792" s="1414"/>
      <c r="AU792" s="1414"/>
      <c r="AV792" s="1414"/>
      <c r="AW792" s="1414"/>
      <c r="AX792" s="1414"/>
      <c r="AY792" s="1399"/>
      <c r="AZ792" s="1399"/>
      <c r="BA792" s="1399"/>
      <c r="BB792" s="1399"/>
      <c r="BC792" s="1399"/>
      <c r="BD792" s="1399"/>
      <c r="BE792" s="1414"/>
      <c r="BF792" s="1399"/>
      <c r="BG792" s="1399"/>
      <c r="BH792" s="1399"/>
      <c r="BI792" s="1399"/>
      <c r="BJ792" s="1399"/>
      <c r="BK792" s="1399"/>
      <c r="BL792" s="1399"/>
      <c r="BM792" s="1399"/>
      <c r="BN792" s="1399"/>
      <c r="BO792" s="1399"/>
      <c r="BP792" s="1399"/>
      <c r="BQ792" s="1399"/>
      <c r="BR792" s="1399"/>
      <c r="BS792" s="1399"/>
      <c r="BT792" s="1399"/>
      <c r="BU792" s="1399"/>
      <c r="BV792" s="1399"/>
      <c r="BW792" s="1399"/>
      <c r="BX792" s="1399"/>
      <c r="BY792" s="1399"/>
      <c r="BZ792" s="1399"/>
      <c r="CA792" s="1399"/>
      <c r="CB792" s="1399"/>
      <c r="CC792" s="1399"/>
      <c r="CD792" s="1399"/>
      <c r="CE792" s="1399"/>
      <c r="CF792" s="1399"/>
      <c r="CG792" s="1399"/>
      <c r="CH792" s="1399"/>
      <c r="CI792" s="1399"/>
      <c r="CJ792" s="1399"/>
      <c r="CK792" s="1399"/>
      <c r="CL792" s="1399"/>
      <c r="CM792" s="1399"/>
      <c r="CN792" s="1399"/>
      <c r="CO792" s="1399"/>
      <c r="CP792" s="1399"/>
      <c r="CQ792" s="1399"/>
      <c r="CR792" s="1399"/>
      <c r="CS792" s="1399"/>
      <c r="CT792" s="1399"/>
      <c r="CU792" s="1399"/>
      <c r="CV792" s="1399"/>
      <c r="CW792" s="1399"/>
      <c r="CX792" s="1399"/>
      <c r="CY792" s="1399"/>
      <c r="CZ792" s="1399"/>
      <c r="DA792" s="1399"/>
      <c r="DB792" s="1399"/>
      <c r="DC792" s="1399"/>
      <c r="DD792" s="1399"/>
      <c r="DE792" s="1399"/>
      <c r="DF792" s="1399"/>
      <c r="DG792" s="1399"/>
      <c r="DH792" s="1399"/>
      <c r="DI792" s="1399"/>
      <c r="DJ792" s="1399"/>
      <c r="DK792" s="1399"/>
      <c r="DL792" s="1399"/>
      <c r="DM792" s="1399"/>
      <c r="DN792" s="1399"/>
      <c r="DO792" s="1399"/>
      <c r="DP792" s="1399"/>
      <c r="DQ792" s="1399"/>
      <c r="DR792" s="1399"/>
      <c r="DS792" s="1399"/>
      <c r="DT792" s="1399"/>
      <c r="DU792" s="1399"/>
    </row>
    <row r="793" spans="1:125">
      <c r="A793" s="1414"/>
      <c r="B793" s="1414"/>
      <c r="C793" s="1414"/>
      <c r="D793" s="1414"/>
      <c r="E793" s="1414"/>
      <c r="F793" s="1414"/>
      <c r="G793" s="1414"/>
      <c r="H793" s="1414"/>
      <c r="I793" s="1414"/>
      <c r="J793" s="1414"/>
      <c r="K793" s="1414"/>
      <c r="L793" s="1414"/>
      <c r="M793" s="1414"/>
      <c r="N793" s="1414"/>
      <c r="O793" s="1414"/>
      <c r="P793" s="1414"/>
      <c r="Q793" s="1414"/>
      <c r="R793" s="1414"/>
      <c r="S793" s="1414"/>
      <c r="T793" s="1414"/>
      <c r="U793" s="1414"/>
      <c r="V793" s="1414"/>
      <c r="W793" s="1414"/>
      <c r="X793" s="1414"/>
      <c r="Y793" s="1414"/>
      <c r="Z793" s="1414"/>
      <c r="AA793" s="1414"/>
      <c r="AB793" s="1414"/>
      <c r="AC793" s="1414"/>
      <c r="AD793" s="1414"/>
      <c r="AE793" s="1414"/>
      <c r="AF793" s="1414"/>
      <c r="AG793" s="1414"/>
      <c r="AH793" s="1414"/>
      <c r="AI793" s="1414"/>
      <c r="AJ793" s="1414"/>
      <c r="AK793" s="1414"/>
      <c r="AL793" s="1414"/>
      <c r="AM793" s="1414"/>
      <c r="AN793" s="1414"/>
      <c r="AO793" s="1414"/>
      <c r="AP793" s="1414"/>
      <c r="AQ793" s="1414"/>
      <c r="AR793" s="1414"/>
      <c r="AS793" s="1414"/>
      <c r="AT793" s="1414"/>
      <c r="AU793" s="1414"/>
      <c r="AV793" s="1414"/>
      <c r="AW793" s="1414"/>
      <c r="AX793" s="1414"/>
      <c r="AY793" s="1399"/>
      <c r="AZ793" s="1399"/>
      <c r="BA793" s="1399"/>
      <c r="BB793" s="1399"/>
      <c r="BC793" s="1399"/>
      <c r="BD793" s="1399"/>
      <c r="BE793" s="1414"/>
      <c r="BF793" s="1399"/>
      <c r="BG793" s="1399"/>
      <c r="BH793" s="1399"/>
      <c r="BI793" s="1399"/>
      <c r="BJ793" s="1399"/>
      <c r="BK793" s="1399"/>
      <c r="BL793" s="1399"/>
      <c r="BM793" s="1399"/>
      <c r="BN793" s="1399"/>
      <c r="BO793" s="1399"/>
      <c r="BP793" s="1399"/>
      <c r="BQ793" s="1399"/>
      <c r="BR793" s="1399"/>
      <c r="BS793" s="1399"/>
      <c r="BT793" s="1399"/>
      <c r="BU793" s="1399"/>
      <c r="BV793" s="1399"/>
      <c r="BW793" s="1399"/>
      <c r="BX793" s="1399"/>
      <c r="BY793" s="1399"/>
      <c r="BZ793" s="1399"/>
      <c r="CA793" s="1399"/>
      <c r="CB793" s="1399"/>
      <c r="CC793" s="1399"/>
      <c r="CD793" s="1399"/>
      <c r="CE793" s="1399"/>
      <c r="CF793" s="1399"/>
      <c r="CG793" s="1399"/>
      <c r="CH793" s="1399"/>
      <c r="CI793" s="1399"/>
      <c r="CJ793" s="1399"/>
      <c r="CK793" s="1399"/>
      <c r="CL793" s="1399"/>
      <c r="CM793" s="1399"/>
      <c r="CN793" s="1399"/>
      <c r="CO793" s="1399"/>
      <c r="CP793" s="1399"/>
      <c r="CQ793" s="1399"/>
      <c r="CR793" s="1399"/>
      <c r="CS793" s="1399"/>
      <c r="CT793" s="1399"/>
      <c r="CU793" s="1399"/>
      <c r="CV793" s="1399"/>
      <c r="CW793" s="1399"/>
      <c r="CX793" s="1399"/>
      <c r="CY793" s="1399"/>
      <c r="CZ793" s="1399"/>
      <c r="DA793" s="1399"/>
      <c r="DB793" s="1399"/>
      <c r="DC793" s="1399"/>
      <c r="DD793" s="1399"/>
      <c r="DE793" s="1399"/>
      <c r="DF793" s="1399"/>
      <c r="DG793" s="1399"/>
      <c r="DH793" s="1399"/>
      <c r="DI793" s="1399"/>
      <c r="DJ793" s="1399"/>
      <c r="DK793" s="1399"/>
      <c r="DL793" s="1399"/>
      <c r="DM793" s="1399"/>
      <c r="DN793" s="1399"/>
      <c r="DO793" s="1399"/>
      <c r="DP793" s="1399"/>
      <c r="DQ793" s="1399"/>
      <c r="DR793" s="1399"/>
      <c r="DS793" s="1399"/>
      <c r="DT793" s="1399"/>
      <c r="DU793" s="1399"/>
    </row>
    <row r="794" spans="1:125">
      <c r="A794" s="1414"/>
      <c r="B794" s="1414"/>
      <c r="C794" s="1414"/>
      <c r="D794" s="1414"/>
      <c r="E794" s="1414"/>
      <c r="F794" s="1414"/>
      <c r="G794" s="1414"/>
      <c r="H794" s="1414"/>
      <c r="I794" s="1414"/>
      <c r="J794" s="1414"/>
      <c r="K794" s="1414"/>
      <c r="L794" s="1414"/>
      <c r="M794" s="1414"/>
      <c r="N794" s="1414"/>
      <c r="O794" s="1414"/>
      <c r="P794" s="1414"/>
      <c r="Q794" s="1414"/>
      <c r="R794" s="1414"/>
      <c r="S794" s="1414"/>
      <c r="T794" s="1414"/>
      <c r="U794" s="1414"/>
      <c r="V794" s="1414"/>
      <c r="W794" s="1414"/>
      <c r="X794" s="1414"/>
      <c r="Y794" s="1414"/>
      <c r="Z794" s="1414"/>
      <c r="AA794" s="1414"/>
      <c r="AB794" s="1414"/>
      <c r="AC794" s="1414"/>
      <c r="AD794" s="1414"/>
      <c r="AE794" s="1414"/>
      <c r="AF794" s="1414"/>
      <c r="AG794" s="1414"/>
      <c r="AH794" s="1414"/>
      <c r="AI794" s="1414"/>
      <c r="AJ794" s="1414"/>
      <c r="AK794" s="1414"/>
      <c r="AL794" s="1414"/>
      <c r="AM794" s="1414"/>
      <c r="AN794" s="1414"/>
      <c r="AO794" s="1414"/>
      <c r="AP794" s="1414"/>
      <c r="AQ794" s="1414"/>
      <c r="AR794" s="1414"/>
      <c r="AS794" s="1414"/>
      <c r="AT794" s="1414"/>
      <c r="AU794" s="1414"/>
      <c r="AV794" s="1414"/>
      <c r="AW794" s="1414"/>
      <c r="AX794" s="1414"/>
      <c r="AY794" s="1399"/>
      <c r="AZ794" s="1399"/>
      <c r="BA794" s="1399"/>
      <c r="BB794" s="1399"/>
      <c r="BC794" s="1399"/>
      <c r="BD794" s="1399"/>
      <c r="BE794" s="1414"/>
      <c r="BF794" s="1399"/>
      <c r="BG794" s="1399"/>
      <c r="BH794" s="1399"/>
      <c r="BI794" s="1399"/>
      <c r="BJ794" s="1399"/>
      <c r="BK794" s="1399"/>
      <c r="BL794" s="1399"/>
      <c r="BM794" s="1399"/>
      <c r="BN794" s="1399"/>
      <c r="BO794" s="1399"/>
      <c r="BP794" s="1399"/>
      <c r="BQ794" s="1399"/>
      <c r="BR794" s="1399"/>
      <c r="BS794" s="1399"/>
      <c r="BT794" s="1399"/>
      <c r="BU794" s="1399"/>
      <c r="BV794" s="1399"/>
      <c r="BW794" s="1399"/>
      <c r="BX794" s="1399"/>
      <c r="BY794" s="1399"/>
      <c r="BZ794" s="1399"/>
      <c r="CA794" s="1399"/>
      <c r="CB794" s="1399"/>
      <c r="CC794" s="1399"/>
      <c r="CD794" s="1399"/>
      <c r="CE794" s="1399"/>
      <c r="CF794" s="1399"/>
      <c r="CG794" s="1399"/>
      <c r="CH794" s="1399"/>
      <c r="CI794" s="1399"/>
      <c r="CJ794" s="1399"/>
      <c r="CK794" s="1399"/>
      <c r="CL794" s="1399"/>
      <c r="CM794" s="1399"/>
      <c r="CN794" s="1399"/>
      <c r="CO794" s="1399"/>
      <c r="CP794" s="1399"/>
      <c r="CQ794" s="1399"/>
      <c r="CR794" s="1399"/>
      <c r="CS794" s="1399"/>
      <c r="CT794" s="1399"/>
      <c r="CU794" s="1399"/>
      <c r="CV794" s="1399"/>
      <c r="CW794" s="1399"/>
      <c r="CX794" s="1399"/>
      <c r="CY794" s="1399"/>
      <c r="CZ794" s="1399"/>
      <c r="DA794" s="1399"/>
      <c r="DB794" s="1399"/>
      <c r="DC794" s="1399"/>
      <c r="DD794" s="1399"/>
      <c r="DE794" s="1399"/>
      <c r="DF794" s="1399"/>
      <c r="DG794" s="1399"/>
      <c r="DH794" s="1399"/>
      <c r="DI794" s="1399"/>
      <c r="DJ794" s="1399"/>
      <c r="DK794" s="1399"/>
      <c r="DL794" s="1399"/>
      <c r="DM794" s="1399"/>
      <c r="DN794" s="1399"/>
      <c r="DO794" s="1399"/>
      <c r="DP794" s="1399"/>
      <c r="DQ794" s="1399"/>
      <c r="DR794" s="1399"/>
      <c r="DS794" s="1399"/>
      <c r="DT794" s="1399"/>
      <c r="DU794" s="1399"/>
    </row>
    <row r="795" spans="1:125">
      <c r="A795" s="1414"/>
      <c r="B795" s="1414"/>
      <c r="C795" s="1414"/>
      <c r="D795" s="1414"/>
      <c r="E795" s="1414"/>
      <c r="F795" s="1414"/>
      <c r="G795" s="1414"/>
      <c r="H795" s="1414"/>
      <c r="I795" s="1414"/>
      <c r="J795" s="1414"/>
      <c r="K795" s="1414"/>
      <c r="L795" s="1414"/>
      <c r="M795" s="1414"/>
      <c r="N795" s="1414"/>
      <c r="O795" s="1414"/>
      <c r="P795" s="1414"/>
      <c r="Q795" s="1414"/>
      <c r="R795" s="1414"/>
      <c r="S795" s="1414"/>
      <c r="T795" s="1414"/>
      <c r="U795" s="1414"/>
      <c r="V795" s="1414"/>
      <c r="W795" s="1414"/>
      <c r="X795" s="1414"/>
      <c r="Y795" s="1414"/>
      <c r="Z795" s="1414"/>
      <c r="AA795" s="1414"/>
      <c r="AB795" s="1414"/>
      <c r="AC795" s="1414"/>
      <c r="AD795" s="1414"/>
      <c r="AE795" s="1414"/>
      <c r="AF795" s="1414"/>
      <c r="AG795" s="1414"/>
      <c r="AH795" s="1414"/>
      <c r="AI795" s="1414"/>
      <c r="AJ795" s="1414"/>
      <c r="AK795" s="1414"/>
      <c r="AL795" s="1414"/>
      <c r="AM795" s="1414"/>
      <c r="AN795" s="1414"/>
      <c r="AO795" s="1414"/>
      <c r="AP795" s="1414"/>
      <c r="AQ795" s="1414"/>
      <c r="AR795" s="1414"/>
      <c r="AS795" s="1414"/>
      <c r="AT795" s="1414"/>
      <c r="AU795" s="1414"/>
      <c r="AV795" s="1414"/>
      <c r="AW795" s="1414"/>
      <c r="AX795" s="1414"/>
      <c r="AY795" s="1399"/>
      <c r="AZ795" s="1399"/>
      <c r="BA795" s="1399"/>
      <c r="BB795" s="1399"/>
      <c r="BC795" s="1399"/>
      <c r="BD795" s="1399"/>
      <c r="BE795" s="1414"/>
      <c r="BF795" s="1399"/>
      <c r="BG795" s="1399"/>
      <c r="BH795" s="1399"/>
      <c r="BI795" s="1399"/>
      <c r="BJ795" s="1399"/>
      <c r="BK795" s="1399"/>
      <c r="BL795" s="1399"/>
      <c r="BM795" s="1399"/>
      <c r="BN795" s="1399"/>
      <c r="BO795" s="1399"/>
      <c r="BP795" s="1399"/>
      <c r="BQ795" s="1399"/>
      <c r="BR795" s="1399"/>
      <c r="BS795" s="1399"/>
      <c r="BT795" s="1399"/>
      <c r="BU795" s="1399"/>
      <c r="BV795" s="1399"/>
      <c r="BW795" s="1399"/>
      <c r="BX795" s="1399"/>
      <c r="BY795" s="1399"/>
      <c r="BZ795" s="1399"/>
      <c r="CA795" s="1399"/>
      <c r="CB795" s="1399"/>
      <c r="CC795" s="1399"/>
      <c r="CD795" s="1399"/>
      <c r="CE795" s="1399"/>
      <c r="CF795" s="1399"/>
      <c r="CG795" s="1399"/>
      <c r="CH795" s="1399"/>
      <c r="CI795" s="1399"/>
      <c r="CJ795" s="1399"/>
      <c r="CK795" s="1399"/>
      <c r="CL795" s="1399"/>
      <c r="CM795" s="1399"/>
      <c r="CN795" s="1399"/>
      <c r="CO795" s="1399"/>
      <c r="CP795" s="1399"/>
      <c r="CQ795" s="1399"/>
      <c r="CR795" s="1399"/>
      <c r="CS795" s="1399"/>
      <c r="CT795" s="1399"/>
      <c r="CU795" s="1399"/>
      <c r="CV795" s="1399"/>
      <c r="CW795" s="1399"/>
      <c r="CX795" s="1399"/>
      <c r="CY795" s="1399"/>
      <c r="CZ795" s="1399"/>
      <c r="DA795" s="1399"/>
      <c r="DB795" s="1399"/>
      <c r="DC795" s="1399"/>
      <c r="DD795" s="1399"/>
      <c r="DE795" s="1399"/>
      <c r="DF795" s="1399"/>
      <c r="DG795" s="1399"/>
      <c r="DH795" s="1399"/>
      <c r="DI795" s="1399"/>
      <c r="DJ795" s="1399"/>
      <c r="DK795" s="1399"/>
      <c r="DL795" s="1399"/>
      <c r="DM795" s="1399"/>
      <c r="DN795" s="1399"/>
      <c r="DO795" s="1399"/>
      <c r="DP795" s="1399"/>
      <c r="DQ795" s="1399"/>
      <c r="DR795" s="1399"/>
      <c r="DS795" s="1399"/>
      <c r="DT795" s="1399"/>
      <c r="DU795" s="1399"/>
    </row>
    <row r="796" spans="1:125">
      <c r="A796" s="1414"/>
      <c r="B796" s="1414"/>
      <c r="C796" s="1414"/>
      <c r="D796" s="1414"/>
      <c r="E796" s="1414"/>
      <c r="F796" s="1414"/>
      <c r="G796" s="1414"/>
      <c r="H796" s="1414"/>
      <c r="I796" s="1414"/>
      <c r="J796" s="1414"/>
      <c r="K796" s="1414"/>
      <c r="L796" s="1414"/>
      <c r="M796" s="1414"/>
      <c r="N796" s="1414"/>
      <c r="O796" s="1414"/>
      <c r="P796" s="1414"/>
      <c r="Q796" s="1414"/>
      <c r="R796" s="1414"/>
      <c r="S796" s="1414"/>
      <c r="T796" s="1414"/>
      <c r="U796" s="1414"/>
      <c r="V796" s="1414"/>
      <c r="W796" s="1414"/>
      <c r="X796" s="1414"/>
      <c r="Y796" s="1414"/>
      <c r="Z796" s="1414"/>
      <c r="AA796" s="1414"/>
      <c r="AB796" s="1414"/>
      <c r="AC796" s="1414"/>
      <c r="AD796" s="1414"/>
      <c r="AE796" s="1414"/>
      <c r="AF796" s="1414"/>
      <c r="AG796" s="1414"/>
      <c r="AH796" s="1414"/>
      <c r="AI796" s="1414"/>
      <c r="AJ796" s="1414"/>
      <c r="AK796" s="1414"/>
      <c r="AL796" s="1414"/>
      <c r="AM796" s="1414"/>
      <c r="AN796" s="1414"/>
      <c r="AO796" s="1414"/>
      <c r="AP796" s="1414"/>
      <c r="AQ796" s="1414"/>
      <c r="AR796" s="1414"/>
      <c r="AS796" s="1414"/>
      <c r="AT796" s="1414"/>
      <c r="AU796" s="1414"/>
      <c r="AV796" s="1414"/>
      <c r="AW796" s="1414"/>
      <c r="AX796" s="1414"/>
      <c r="AY796" s="1399"/>
      <c r="AZ796" s="1399"/>
      <c r="BA796" s="1399"/>
      <c r="BB796" s="1399"/>
      <c r="BC796" s="1399"/>
      <c r="BD796" s="1399"/>
      <c r="BE796" s="1414"/>
      <c r="BF796" s="1399"/>
      <c r="BG796" s="1399"/>
      <c r="BH796" s="1399"/>
      <c r="BI796" s="1399"/>
      <c r="BJ796" s="1399"/>
      <c r="BK796" s="1399"/>
      <c r="BL796" s="1399"/>
      <c r="BM796" s="1399"/>
      <c r="BN796" s="1399"/>
      <c r="BO796" s="1399"/>
      <c r="BP796" s="1399"/>
      <c r="BQ796" s="1399"/>
      <c r="BR796" s="1399"/>
      <c r="BS796" s="1399"/>
      <c r="BT796" s="1399"/>
      <c r="BU796" s="1399"/>
      <c r="BV796" s="1399"/>
      <c r="BW796" s="1399"/>
      <c r="BX796" s="1399"/>
      <c r="BY796" s="1399"/>
      <c r="BZ796" s="1399"/>
      <c r="CA796" s="1399"/>
      <c r="CB796" s="1399"/>
      <c r="CC796" s="1399"/>
      <c r="CD796" s="1399"/>
      <c r="CE796" s="1399"/>
      <c r="CF796" s="1399"/>
      <c r="CG796" s="1399"/>
      <c r="CH796" s="1399"/>
      <c r="CI796" s="1399"/>
      <c r="CJ796" s="1399"/>
      <c r="CK796" s="1399"/>
      <c r="CL796" s="1399"/>
      <c r="CM796" s="1399"/>
      <c r="CN796" s="1399"/>
      <c r="CO796" s="1399"/>
      <c r="CP796" s="1399"/>
      <c r="CQ796" s="1399"/>
      <c r="CR796" s="1399"/>
      <c r="CS796" s="1399"/>
      <c r="CT796" s="1399"/>
      <c r="CU796" s="1399"/>
      <c r="CV796" s="1399"/>
      <c r="CW796" s="1399"/>
      <c r="CX796" s="1399"/>
      <c r="CY796" s="1399"/>
      <c r="CZ796" s="1399"/>
      <c r="DA796" s="1399"/>
      <c r="DB796" s="1399"/>
      <c r="DC796" s="1399"/>
      <c r="DD796" s="1399"/>
      <c r="DE796" s="1399"/>
      <c r="DF796" s="1399"/>
      <c r="DG796" s="1399"/>
      <c r="DH796" s="1399"/>
      <c r="DI796" s="1399"/>
      <c r="DJ796" s="1399"/>
      <c r="DK796" s="1399"/>
      <c r="DL796" s="1399"/>
      <c r="DM796" s="1399"/>
      <c r="DN796" s="1399"/>
      <c r="DO796" s="1399"/>
      <c r="DP796" s="1399"/>
      <c r="DQ796" s="1399"/>
      <c r="DR796" s="1399"/>
      <c r="DS796" s="1399"/>
      <c r="DT796" s="1399"/>
      <c r="DU796" s="1399"/>
    </row>
    <row r="797" spans="1:125">
      <c r="A797" s="1414"/>
      <c r="B797" s="1414"/>
      <c r="C797" s="1414"/>
      <c r="D797" s="1414"/>
      <c r="E797" s="1414"/>
      <c r="F797" s="1414"/>
      <c r="G797" s="1414"/>
      <c r="H797" s="1414"/>
      <c r="I797" s="1414"/>
      <c r="J797" s="1414"/>
      <c r="K797" s="1414"/>
      <c r="L797" s="1414"/>
      <c r="M797" s="1414"/>
      <c r="N797" s="1414"/>
      <c r="O797" s="1414"/>
      <c r="P797" s="1414"/>
      <c r="Q797" s="1414"/>
      <c r="R797" s="1414"/>
      <c r="S797" s="1414"/>
      <c r="T797" s="1414"/>
      <c r="U797" s="1414"/>
      <c r="V797" s="1414"/>
      <c r="W797" s="1414"/>
      <c r="X797" s="1414"/>
      <c r="Y797" s="1414"/>
      <c r="Z797" s="1414"/>
      <c r="AA797" s="1414"/>
      <c r="AB797" s="1414"/>
      <c r="AC797" s="1414"/>
      <c r="AD797" s="1414"/>
      <c r="AE797" s="1414"/>
      <c r="AF797" s="1414"/>
      <c r="AG797" s="1414"/>
      <c r="AH797" s="1414"/>
      <c r="AI797" s="1414"/>
      <c r="AJ797" s="1414"/>
      <c r="AK797" s="1414"/>
      <c r="AL797" s="1414"/>
      <c r="AM797" s="1414"/>
      <c r="AN797" s="1414"/>
      <c r="AO797" s="1414"/>
      <c r="AP797" s="1414"/>
      <c r="AQ797" s="1414"/>
      <c r="AR797" s="1414"/>
      <c r="AS797" s="1414"/>
      <c r="AT797" s="1414"/>
      <c r="AU797" s="1414"/>
      <c r="AV797" s="1414"/>
      <c r="AW797" s="1414"/>
      <c r="AX797" s="1414"/>
      <c r="AY797" s="1399"/>
      <c r="AZ797" s="1399"/>
      <c r="BA797" s="1399"/>
      <c r="BB797" s="1399"/>
      <c r="BC797" s="1399"/>
      <c r="BD797" s="1399"/>
      <c r="BE797" s="1414"/>
      <c r="BF797" s="1399"/>
      <c r="BG797" s="1399"/>
      <c r="BH797" s="1399"/>
      <c r="BI797" s="1399"/>
      <c r="BJ797" s="1399"/>
      <c r="BK797" s="1399"/>
      <c r="BL797" s="1399"/>
      <c r="BM797" s="1399"/>
      <c r="BN797" s="1399"/>
      <c r="BO797" s="1399"/>
      <c r="BP797" s="1399"/>
      <c r="BQ797" s="1399"/>
      <c r="BR797" s="1399"/>
      <c r="BS797" s="1399"/>
      <c r="BT797" s="1399"/>
      <c r="BU797" s="1399"/>
      <c r="BV797" s="1399"/>
      <c r="BW797" s="1399"/>
      <c r="BX797" s="1399"/>
      <c r="BY797" s="1399"/>
      <c r="BZ797" s="1399"/>
      <c r="CA797" s="1399"/>
      <c r="CB797" s="1399"/>
      <c r="CC797" s="1399"/>
      <c r="CD797" s="1399"/>
      <c r="CE797" s="1399"/>
      <c r="CF797" s="1399"/>
      <c r="CG797" s="1399"/>
      <c r="CH797" s="1399"/>
      <c r="CI797" s="1399"/>
      <c r="CJ797" s="1399"/>
      <c r="CK797" s="1399"/>
      <c r="CL797" s="1399"/>
      <c r="CM797" s="1399"/>
      <c r="CN797" s="1399"/>
      <c r="CO797" s="1399"/>
      <c r="CP797" s="1399"/>
      <c r="CQ797" s="1399"/>
      <c r="CR797" s="1399"/>
      <c r="CS797" s="1399"/>
      <c r="CT797" s="1399"/>
      <c r="CU797" s="1399"/>
      <c r="CV797" s="1399"/>
      <c r="CW797" s="1399"/>
      <c r="CX797" s="1399"/>
      <c r="CY797" s="1399"/>
      <c r="CZ797" s="1399"/>
      <c r="DA797" s="1399"/>
      <c r="DB797" s="1399"/>
      <c r="DC797" s="1399"/>
      <c r="DD797" s="1399"/>
      <c r="DE797" s="1399"/>
      <c r="DF797" s="1399"/>
      <c r="DG797" s="1399"/>
      <c r="DH797" s="1399"/>
      <c r="DI797" s="1399"/>
      <c r="DJ797" s="1399"/>
      <c r="DK797" s="1399"/>
      <c r="DL797" s="1399"/>
      <c r="DM797" s="1399"/>
      <c r="DN797" s="1399"/>
      <c r="DO797" s="1399"/>
      <c r="DP797" s="1399"/>
      <c r="DQ797" s="1399"/>
      <c r="DR797" s="1399"/>
      <c r="DS797" s="1399"/>
      <c r="DT797" s="1399"/>
      <c r="DU797" s="1399"/>
    </row>
    <row r="798" spans="1:125">
      <c r="A798" s="1414"/>
      <c r="B798" s="1414"/>
      <c r="C798" s="1414"/>
      <c r="D798" s="1414"/>
      <c r="E798" s="1414"/>
      <c r="F798" s="1414"/>
      <c r="G798" s="1414"/>
      <c r="H798" s="1414"/>
      <c r="I798" s="1414"/>
      <c r="J798" s="1414"/>
      <c r="K798" s="1414"/>
      <c r="L798" s="1414"/>
      <c r="M798" s="1414"/>
      <c r="N798" s="1414"/>
      <c r="O798" s="1414"/>
      <c r="P798" s="1414"/>
      <c r="Q798" s="1414"/>
      <c r="R798" s="1414"/>
      <c r="S798" s="1414"/>
      <c r="T798" s="1414"/>
      <c r="U798" s="1414"/>
      <c r="V798" s="1414"/>
      <c r="W798" s="1414"/>
      <c r="X798" s="1414"/>
      <c r="Y798" s="1414"/>
      <c r="Z798" s="1414"/>
      <c r="AA798" s="1414"/>
      <c r="AB798" s="1414"/>
      <c r="AC798" s="1414"/>
      <c r="AD798" s="1414"/>
      <c r="AE798" s="1414"/>
      <c r="AF798" s="1414"/>
      <c r="AG798" s="1414"/>
      <c r="AH798" s="1414"/>
      <c r="AI798" s="1414"/>
      <c r="AJ798" s="1414"/>
      <c r="AK798" s="1414"/>
      <c r="AL798" s="1414"/>
      <c r="AM798" s="1414"/>
      <c r="AN798" s="1414"/>
      <c r="AO798" s="1414"/>
      <c r="AP798" s="1414"/>
      <c r="AQ798" s="1414"/>
      <c r="AR798" s="1414"/>
      <c r="AS798" s="1414"/>
      <c r="AT798" s="1414"/>
      <c r="AU798" s="1414"/>
      <c r="AV798" s="1414"/>
      <c r="AW798" s="1414"/>
      <c r="AX798" s="1414"/>
      <c r="AY798" s="1399"/>
      <c r="AZ798" s="1399"/>
      <c r="BA798" s="1399"/>
      <c r="BB798" s="1399"/>
      <c r="BC798" s="1399"/>
      <c r="BD798" s="1399"/>
      <c r="BE798" s="1414"/>
      <c r="BF798" s="1399"/>
      <c r="BG798" s="1399"/>
      <c r="BH798" s="1399"/>
      <c r="BI798" s="1399"/>
      <c r="BJ798" s="1399"/>
      <c r="BK798" s="1399"/>
      <c r="BL798" s="1399"/>
      <c r="BM798" s="1399"/>
      <c r="BN798" s="1399"/>
      <c r="BO798" s="1399"/>
      <c r="BP798" s="1399"/>
      <c r="BQ798" s="1399"/>
      <c r="BR798" s="1399"/>
      <c r="BS798" s="1399"/>
      <c r="BT798" s="1399"/>
      <c r="BU798" s="1399"/>
      <c r="BV798" s="1399"/>
      <c r="BW798" s="1399"/>
      <c r="BX798" s="1399"/>
      <c r="BY798" s="1399"/>
      <c r="BZ798" s="1399"/>
      <c r="CA798" s="1399"/>
      <c r="CB798" s="1399"/>
      <c r="CC798" s="1399"/>
      <c r="CD798" s="1399"/>
      <c r="CE798" s="1399"/>
      <c r="CF798" s="1399"/>
      <c r="CG798" s="1399"/>
      <c r="CH798" s="1399"/>
      <c r="CI798" s="1399"/>
      <c r="CJ798" s="1399"/>
      <c r="CK798" s="1399"/>
      <c r="CL798" s="1399"/>
      <c r="CM798" s="1399"/>
      <c r="CN798" s="1399"/>
      <c r="CO798" s="1399"/>
      <c r="CP798" s="1399"/>
      <c r="CQ798" s="1399"/>
      <c r="CR798" s="1399"/>
      <c r="CS798" s="1399"/>
      <c r="CT798" s="1399"/>
      <c r="CU798" s="1399"/>
      <c r="CV798" s="1399"/>
      <c r="CW798" s="1399"/>
      <c r="CX798" s="1399"/>
      <c r="CY798" s="1399"/>
      <c r="CZ798" s="1399"/>
      <c r="DA798" s="1399"/>
      <c r="DB798" s="1399"/>
      <c r="DC798" s="1399"/>
      <c r="DD798" s="1399"/>
      <c r="DE798" s="1399"/>
      <c r="DF798" s="1399"/>
      <c r="DG798" s="1399"/>
      <c r="DH798" s="1399"/>
      <c r="DI798" s="1399"/>
      <c r="DJ798" s="1399"/>
      <c r="DK798" s="1399"/>
      <c r="DL798" s="1399"/>
      <c r="DM798" s="1399"/>
      <c r="DN798" s="1399"/>
      <c r="DO798" s="1399"/>
      <c r="DP798" s="1399"/>
      <c r="DQ798" s="1399"/>
      <c r="DR798" s="1399"/>
      <c r="DS798" s="1399"/>
      <c r="DT798" s="1399"/>
      <c r="DU798" s="1399"/>
    </row>
    <row r="799" spans="1:125">
      <c r="A799" s="1414"/>
      <c r="B799" s="1414"/>
      <c r="C799" s="1414"/>
      <c r="D799" s="1414"/>
      <c r="E799" s="1414"/>
      <c r="F799" s="1414"/>
      <c r="G799" s="1414"/>
      <c r="H799" s="1414"/>
      <c r="I799" s="1414"/>
      <c r="J799" s="1414"/>
      <c r="K799" s="1414"/>
      <c r="L799" s="1414"/>
      <c r="M799" s="1414"/>
      <c r="N799" s="1414"/>
      <c r="O799" s="1414"/>
      <c r="P799" s="1414"/>
      <c r="Q799" s="1414"/>
      <c r="R799" s="1414"/>
      <c r="S799" s="1414"/>
      <c r="T799" s="1414"/>
      <c r="U799" s="1414"/>
      <c r="V799" s="1414"/>
      <c r="W799" s="1414"/>
      <c r="X799" s="1414"/>
      <c r="Y799" s="1414"/>
      <c r="Z799" s="1414"/>
      <c r="AA799" s="1414"/>
      <c r="AB799" s="1414"/>
      <c r="AC799" s="1414"/>
      <c r="AD799" s="1414"/>
      <c r="AE799" s="1414"/>
      <c r="AF799" s="1414"/>
      <c r="AG799" s="1414"/>
      <c r="AH799" s="1414"/>
      <c r="AI799" s="1414"/>
      <c r="AJ799" s="1414"/>
      <c r="AK799" s="1414"/>
      <c r="AL799" s="1414"/>
      <c r="AM799" s="1414"/>
      <c r="AN799" s="1414"/>
      <c r="AO799" s="1414"/>
      <c r="AP799" s="1414"/>
      <c r="AQ799" s="1414"/>
      <c r="AR799" s="1414"/>
      <c r="AS799" s="1414"/>
      <c r="AT799" s="1414"/>
      <c r="AU799" s="1414"/>
      <c r="AV799" s="1414"/>
      <c r="AW799" s="1414"/>
      <c r="AX799" s="1414"/>
      <c r="AY799" s="1399"/>
      <c r="AZ799" s="1399"/>
      <c r="BA799" s="1399"/>
      <c r="BB799" s="1399"/>
      <c r="BC799" s="1399"/>
      <c r="BD799" s="1399"/>
      <c r="BE799" s="1414"/>
      <c r="BF799" s="1399"/>
      <c r="BG799" s="1399"/>
      <c r="BH799" s="1399"/>
      <c r="BI799" s="1399"/>
      <c r="BJ799" s="1399"/>
      <c r="BK799" s="1399"/>
      <c r="BL799" s="1399"/>
      <c r="BM799" s="1399"/>
      <c r="BN799" s="1399"/>
      <c r="BO799" s="1399"/>
      <c r="BP799" s="1399"/>
      <c r="BQ799" s="1399"/>
      <c r="BR799" s="1399"/>
      <c r="BS799" s="1399"/>
      <c r="BT799" s="1399"/>
      <c r="BU799" s="1399"/>
      <c r="BV799" s="1399"/>
      <c r="BW799" s="1399"/>
      <c r="BX799" s="1399"/>
      <c r="BY799" s="1399"/>
      <c r="BZ799" s="1399"/>
      <c r="CA799" s="1399"/>
      <c r="CB799" s="1399"/>
      <c r="CC799" s="1399"/>
      <c r="CD799" s="1399"/>
      <c r="CE799" s="1399"/>
      <c r="CF799" s="1399"/>
      <c r="CG799" s="1399"/>
      <c r="CH799" s="1399"/>
      <c r="CI799" s="1399"/>
      <c r="CJ799" s="1399"/>
      <c r="CK799" s="1399"/>
      <c r="CL799" s="1399"/>
      <c r="CM799" s="1399"/>
      <c r="CN799" s="1399"/>
      <c r="CO799" s="1399"/>
      <c r="CP799" s="1399"/>
      <c r="CQ799" s="1399"/>
      <c r="CR799" s="1399"/>
      <c r="CS799" s="1399"/>
      <c r="CT799" s="1399"/>
      <c r="CU799" s="1399"/>
      <c r="CV799" s="1399"/>
      <c r="CW799" s="1399"/>
      <c r="CX799" s="1399"/>
      <c r="CY799" s="1399"/>
      <c r="CZ799" s="1399"/>
      <c r="DA799" s="1399"/>
      <c r="DB799" s="1399"/>
      <c r="DC799" s="1399"/>
      <c r="DD799" s="1399"/>
      <c r="DE799" s="1399"/>
      <c r="DF799" s="1399"/>
      <c r="DG799" s="1399"/>
      <c r="DH799" s="1399"/>
      <c r="DI799" s="1399"/>
      <c r="DJ799" s="1399"/>
      <c r="DK799" s="1399"/>
      <c r="DL799" s="1399"/>
      <c r="DM799" s="1399"/>
      <c r="DN799" s="1399"/>
      <c r="DO799" s="1399"/>
      <c r="DP799" s="1399"/>
      <c r="DQ799" s="1399"/>
      <c r="DR799" s="1399"/>
      <c r="DS799" s="1399"/>
      <c r="DT799" s="1399"/>
      <c r="DU799" s="1399"/>
    </row>
    <row r="800" spans="1:125">
      <c r="A800" s="1414"/>
      <c r="B800" s="1414"/>
      <c r="C800" s="1414"/>
      <c r="D800" s="1414"/>
      <c r="E800" s="1414"/>
      <c r="F800" s="1414"/>
      <c r="G800" s="1414"/>
      <c r="H800" s="1414"/>
      <c r="I800" s="1414"/>
      <c r="J800" s="1414"/>
      <c r="K800" s="1414"/>
      <c r="L800" s="1414"/>
      <c r="M800" s="1414"/>
      <c r="N800" s="1414"/>
      <c r="O800" s="1414"/>
      <c r="P800" s="1414"/>
      <c r="Q800" s="1414"/>
      <c r="R800" s="1414"/>
      <c r="S800" s="1414"/>
      <c r="T800" s="1414"/>
      <c r="U800" s="1414"/>
      <c r="V800" s="1414"/>
      <c r="W800" s="1414"/>
      <c r="X800" s="1414"/>
      <c r="Y800" s="1414"/>
      <c r="Z800" s="1414"/>
      <c r="AA800" s="1414"/>
      <c r="AB800" s="1414"/>
      <c r="AC800" s="1414"/>
      <c r="AD800" s="1414"/>
      <c r="AE800" s="1414"/>
      <c r="AF800" s="1414"/>
      <c r="AG800" s="1414"/>
      <c r="AH800" s="1414"/>
      <c r="AI800" s="1414"/>
      <c r="AJ800" s="1414"/>
      <c r="AK800" s="1414"/>
      <c r="AL800" s="1414"/>
      <c r="AM800" s="1414"/>
      <c r="AN800" s="1414"/>
      <c r="AO800" s="1414"/>
      <c r="AP800" s="1414"/>
      <c r="AQ800" s="1414"/>
      <c r="AR800" s="1414"/>
      <c r="AS800" s="1414"/>
      <c r="AT800" s="1414"/>
      <c r="AU800" s="1414"/>
      <c r="AV800" s="1414"/>
      <c r="AW800" s="1414"/>
      <c r="AX800" s="1414"/>
      <c r="AY800" s="1399"/>
      <c r="AZ800" s="1399"/>
      <c r="BA800" s="1399"/>
      <c r="BB800" s="1399"/>
      <c r="BC800" s="1399"/>
      <c r="BD800" s="1399"/>
      <c r="BE800" s="1414"/>
      <c r="BF800" s="1399"/>
      <c r="BG800" s="1399"/>
      <c r="BH800" s="1399"/>
      <c r="BI800" s="1399"/>
      <c r="BJ800" s="1399"/>
      <c r="BK800" s="1399"/>
      <c r="BL800" s="1399"/>
      <c r="BM800" s="1399"/>
      <c r="BN800" s="1399"/>
      <c r="BO800" s="1399"/>
      <c r="BP800" s="1399"/>
      <c r="BQ800" s="1399"/>
      <c r="BR800" s="1399"/>
      <c r="BS800" s="1399"/>
      <c r="BT800" s="1399"/>
      <c r="BU800" s="1399"/>
      <c r="BV800" s="1399"/>
      <c r="BW800" s="1399"/>
      <c r="BX800" s="1399"/>
      <c r="BY800" s="1399"/>
      <c r="BZ800" s="1399"/>
      <c r="CA800" s="1399"/>
      <c r="CB800" s="1399"/>
      <c r="CC800" s="1399"/>
      <c r="CD800" s="1399"/>
      <c r="CE800" s="1399"/>
      <c r="CF800" s="1399"/>
      <c r="CG800" s="1399"/>
      <c r="CH800" s="1399"/>
      <c r="CI800" s="1399"/>
      <c r="CJ800" s="1399"/>
      <c r="CK800" s="1399"/>
      <c r="CL800" s="1399"/>
      <c r="CM800" s="1399"/>
      <c r="CN800" s="1399"/>
      <c r="CO800" s="1399"/>
      <c r="CP800" s="1399"/>
      <c r="CQ800" s="1399"/>
      <c r="CR800" s="1399"/>
      <c r="CS800" s="1399"/>
      <c r="CT800" s="1399"/>
      <c r="CU800" s="1399"/>
      <c r="CV800" s="1399"/>
      <c r="CW800" s="1399"/>
      <c r="CX800" s="1399"/>
      <c r="CY800" s="1399"/>
      <c r="CZ800" s="1399"/>
      <c r="DA800" s="1399"/>
      <c r="DB800" s="1399"/>
      <c r="DC800" s="1399"/>
      <c r="DD800" s="1399"/>
      <c r="DE800" s="1399"/>
      <c r="DF800" s="1399"/>
      <c r="DG800" s="1399"/>
      <c r="DH800" s="1399"/>
      <c r="DI800" s="1399"/>
      <c r="DJ800" s="1399"/>
      <c r="DK800" s="1399"/>
      <c r="DL800" s="1399"/>
      <c r="DM800" s="1399"/>
      <c r="DN800" s="1399"/>
      <c r="DO800" s="1399"/>
      <c r="DP800" s="1399"/>
      <c r="DQ800" s="1399"/>
      <c r="DR800" s="1399"/>
      <c r="DS800" s="1399"/>
      <c r="DT800" s="1399"/>
      <c r="DU800" s="1399"/>
    </row>
    <row r="801" spans="1:125">
      <c r="A801" s="1414"/>
      <c r="B801" s="1414"/>
      <c r="C801" s="1414"/>
      <c r="D801" s="1414"/>
      <c r="E801" s="1414"/>
      <c r="F801" s="1414"/>
      <c r="G801" s="1414"/>
      <c r="H801" s="1414"/>
      <c r="I801" s="1414"/>
      <c r="J801" s="1414"/>
      <c r="K801" s="1414"/>
      <c r="L801" s="1414"/>
      <c r="M801" s="1414"/>
      <c r="N801" s="1414"/>
      <c r="O801" s="1414"/>
      <c r="P801" s="1414"/>
      <c r="Q801" s="1414"/>
      <c r="R801" s="1414"/>
      <c r="S801" s="1414"/>
      <c r="T801" s="1414"/>
      <c r="U801" s="1414"/>
      <c r="V801" s="1414"/>
      <c r="W801" s="1414"/>
      <c r="X801" s="1414"/>
      <c r="Y801" s="1414"/>
      <c r="Z801" s="1414"/>
      <c r="AA801" s="1414"/>
      <c r="AB801" s="1414"/>
      <c r="AC801" s="1414"/>
      <c r="AD801" s="1414"/>
      <c r="AE801" s="1414"/>
      <c r="AF801" s="1414"/>
      <c r="AG801" s="1414"/>
      <c r="AH801" s="1414"/>
      <c r="AI801" s="1414"/>
      <c r="AJ801" s="1414"/>
      <c r="AK801" s="1414"/>
      <c r="AL801" s="1414"/>
      <c r="AM801" s="1414"/>
      <c r="AN801" s="1414"/>
      <c r="AO801" s="1414"/>
      <c r="AP801" s="1414"/>
      <c r="AQ801" s="1414"/>
      <c r="AR801" s="1414"/>
      <c r="AS801" s="1414"/>
      <c r="AT801" s="1414"/>
      <c r="AU801" s="1414"/>
      <c r="AV801" s="1414"/>
      <c r="AW801" s="1414"/>
      <c r="AX801" s="1414"/>
      <c r="AY801" s="1399"/>
      <c r="AZ801" s="1399"/>
      <c r="BA801" s="1399"/>
      <c r="BB801" s="1399"/>
      <c r="BC801" s="1399"/>
      <c r="BD801" s="1399"/>
      <c r="BE801" s="1414"/>
      <c r="BF801" s="1399"/>
      <c r="BG801" s="1399"/>
      <c r="BH801" s="1399"/>
      <c r="BI801" s="1399"/>
      <c r="BJ801" s="1399"/>
      <c r="BK801" s="1399"/>
      <c r="BL801" s="1399"/>
      <c r="BM801" s="1399"/>
      <c r="BN801" s="1399"/>
      <c r="BO801" s="1399"/>
      <c r="BP801" s="1399"/>
      <c r="BQ801" s="1399"/>
      <c r="BR801" s="1399"/>
      <c r="BS801" s="1399"/>
      <c r="BT801" s="1399"/>
      <c r="BU801" s="1399"/>
      <c r="BV801" s="1399"/>
      <c r="BW801" s="1399"/>
      <c r="BX801" s="1399"/>
      <c r="BY801" s="1399"/>
      <c r="BZ801" s="1399"/>
      <c r="CA801" s="1399"/>
      <c r="CB801" s="1399"/>
      <c r="CC801" s="1399"/>
      <c r="CD801" s="1399"/>
      <c r="CE801" s="1399"/>
      <c r="CF801" s="1399"/>
      <c r="CG801" s="1399"/>
      <c r="CH801" s="1399"/>
      <c r="CI801" s="1399"/>
      <c r="CJ801" s="1399"/>
      <c r="CK801" s="1399"/>
      <c r="CL801" s="1399"/>
      <c r="CM801" s="1399"/>
      <c r="CN801" s="1399"/>
      <c r="CO801" s="1399"/>
      <c r="CP801" s="1399"/>
      <c r="CQ801" s="1399"/>
      <c r="CR801" s="1399"/>
      <c r="CS801" s="1399"/>
      <c r="CT801" s="1399"/>
      <c r="CU801" s="1399"/>
      <c r="CV801" s="1399"/>
      <c r="CW801" s="1399"/>
      <c r="CX801" s="1399"/>
      <c r="CY801" s="1399"/>
      <c r="CZ801" s="1399"/>
      <c r="DA801" s="1399"/>
      <c r="DB801" s="1399"/>
      <c r="DC801" s="1399"/>
      <c r="DD801" s="1399"/>
      <c r="DE801" s="1399"/>
      <c r="DF801" s="1399"/>
      <c r="DG801" s="1399"/>
      <c r="DH801" s="1399"/>
      <c r="DI801" s="1399"/>
      <c r="DJ801" s="1399"/>
      <c r="DK801" s="1399"/>
      <c r="DL801" s="1399"/>
      <c r="DM801" s="1399"/>
      <c r="DN801" s="1399"/>
      <c r="DO801" s="1399"/>
      <c r="DP801" s="1399"/>
      <c r="DQ801" s="1399"/>
      <c r="DR801" s="1399"/>
      <c r="DS801" s="1399"/>
      <c r="DT801" s="1399"/>
      <c r="DU801" s="1399"/>
    </row>
    <row r="802" spans="1:125">
      <c r="A802" s="1414"/>
      <c r="B802" s="1414"/>
      <c r="C802" s="1414"/>
      <c r="D802" s="1414"/>
      <c r="E802" s="1414"/>
      <c r="F802" s="1414"/>
      <c r="G802" s="1414"/>
      <c r="H802" s="1414"/>
      <c r="I802" s="1414"/>
      <c r="J802" s="1414"/>
      <c r="K802" s="1414"/>
      <c r="L802" s="1414"/>
      <c r="M802" s="1414"/>
      <c r="N802" s="1414"/>
      <c r="O802" s="1414"/>
      <c r="P802" s="1414"/>
      <c r="Q802" s="1414"/>
      <c r="R802" s="1414"/>
      <c r="S802" s="1414"/>
      <c r="T802" s="1414"/>
      <c r="U802" s="1414"/>
      <c r="V802" s="1414"/>
      <c r="W802" s="1414"/>
      <c r="X802" s="1414"/>
      <c r="Y802" s="1414"/>
      <c r="Z802" s="1414"/>
      <c r="AA802" s="1414"/>
      <c r="AB802" s="1414"/>
      <c r="AC802" s="1414"/>
      <c r="AD802" s="1414"/>
      <c r="AE802" s="1414"/>
      <c r="AF802" s="1414"/>
      <c r="AG802" s="1414"/>
      <c r="AH802" s="1414"/>
      <c r="AI802" s="1414"/>
      <c r="AJ802" s="1414"/>
      <c r="AK802" s="1414"/>
      <c r="AL802" s="1414"/>
      <c r="AM802" s="1414"/>
      <c r="AN802" s="1414"/>
      <c r="AO802" s="1414"/>
      <c r="AP802" s="1414"/>
      <c r="AQ802" s="1414"/>
      <c r="AR802" s="1414"/>
      <c r="AS802" s="1414"/>
      <c r="AT802" s="1414"/>
      <c r="AU802" s="1414"/>
      <c r="AV802" s="1414"/>
      <c r="AW802" s="1414"/>
      <c r="AX802" s="1414"/>
      <c r="AY802" s="1399"/>
      <c r="AZ802" s="1399"/>
      <c r="BA802" s="1399"/>
      <c r="BB802" s="1399"/>
      <c r="BC802" s="1399"/>
      <c r="BD802" s="1399"/>
      <c r="BE802" s="1414"/>
      <c r="BF802" s="1399"/>
      <c r="BG802" s="1399"/>
      <c r="BH802" s="1399"/>
      <c r="BI802" s="1399"/>
      <c r="BJ802" s="1399"/>
      <c r="BK802" s="1399"/>
      <c r="BL802" s="1399"/>
      <c r="BM802" s="1399"/>
      <c r="BN802" s="1399"/>
      <c r="BO802" s="1399"/>
      <c r="BP802" s="1399"/>
      <c r="BQ802" s="1399"/>
      <c r="BR802" s="1399"/>
      <c r="BS802" s="1399"/>
      <c r="BT802" s="1399"/>
      <c r="BU802" s="1399"/>
      <c r="BV802" s="1399"/>
      <c r="BW802" s="1399"/>
      <c r="BX802" s="1399"/>
      <c r="BY802" s="1399"/>
      <c r="BZ802" s="1399"/>
      <c r="CA802" s="1399"/>
      <c r="CB802" s="1399"/>
      <c r="CC802" s="1399"/>
      <c r="CD802" s="1399"/>
      <c r="CE802" s="1399"/>
      <c r="CF802" s="1399"/>
      <c r="CG802" s="1399"/>
      <c r="CH802" s="1399"/>
      <c r="CI802" s="1399"/>
      <c r="CJ802" s="1399"/>
      <c r="CK802" s="1399"/>
      <c r="CL802" s="1399"/>
      <c r="CM802" s="1399"/>
      <c r="CN802" s="1399"/>
      <c r="CO802" s="1399"/>
      <c r="CP802" s="1399"/>
      <c r="CQ802" s="1399"/>
      <c r="CR802" s="1399"/>
      <c r="CS802" s="1399"/>
      <c r="CT802" s="1399"/>
      <c r="CU802" s="1399"/>
      <c r="CV802" s="1399"/>
      <c r="CW802" s="1399"/>
      <c r="CX802" s="1399"/>
      <c r="CY802" s="1399"/>
      <c r="CZ802" s="1399"/>
      <c r="DA802" s="1399"/>
      <c r="DB802" s="1399"/>
      <c r="DC802" s="1399"/>
      <c r="DD802" s="1399"/>
      <c r="DE802" s="1399"/>
      <c r="DF802" s="1399"/>
      <c r="DG802" s="1399"/>
      <c r="DH802" s="1399"/>
      <c r="DI802" s="1399"/>
      <c r="DJ802" s="1399"/>
      <c r="DK802" s="1399"/>
      <c r="DL802" s="1399"/>
      <c r="DM802" s="1399"/>
      <c r="DN802" s="1399"/>
      <c r="DO802" s="1399"/>
      <c r="DP802" s="1399"/>
      <c r="DQ802" s="1399"/>
      <c r="DR802" s="1399"/>
      <c r="DS802" s="1399"/>
      <c r="DT802" s="1399"/>
      <c r="DU802" s="1399"/>
    </row>
    <row r="803" spans="1:125">
      <c r="A803" s="1414"/>
      <c r="B803" s="1414"/>
      <c r="C803" s="1414"/>
      <c r="D803" s="1414"/>
      <c r="E803" s="1414"/>
      <c r="F803" s="1414"/>
      <c r="G803" s="1414"/>
      <c r="H803" s="1414"/>
      <c r="I803" s="1414"/>
      <c r="J803" s="1414"/>
      <c r="K803" s="1414"/>
      <c r="L803" s="1414"/>
      <c r="M803" s="1414"/>
      <c r="N803" s="1414"/>
      <c r="O803" s="1414"/>
      <c r="P803" s="1414"/>
      <c r="Q803" s="1414"/>
      <c r="R803" s="1414"/>
      <c r="S803" s="1414"/>
      <c r="T803" s="1414"/>
      <c r="U803" s="1414"/>
      <c r="V803" s="1414"/>
      <c r="W803" s="1414"/>
      <c r="X803" s="1414"/>
      <c r="Y803" s="1414"/>
      <c r="Z803" s="1414"/>
      <c r="AA803" s="1414"/>
      <c r="AB803" s="1414"/>
      <c r="AC803" s="1414"/>
      <c r="AD803" s="1414"/>
      <c r="AE803" s="1414"/>
      <c r="AF803" s="1414"/>
      <c r="AG803" s="1414"/>
      <c r="AH803" s="1414"/>
      <c r="AI803" s="1414"/>
      <c r="AJ803" s="1414"/>
      <c r="AK803" s="1414"/>
      <c r="AL803" s="1414"/>
      <c r="AM803" s="1414"/>
      <c r="AN803" s="1414"/>
      <c r="AO803" s="1414"/>
      <c r="AP803" s="1414"/>
      <c r="AQ803" s="1414"/>
      <c r="AR803" s="1414"/>
      <c r="AS803" s="1414"/>
      <c r="AT803" s="1414"/>
      <c r="AU803" s="1414"/>
      <c r="AV803" s="1414"/>
      <c r="AW803" s="1414"/>
      <c r="AX803" s="1414"/>
      <c r="AY803" s="1399"/>
      <c r="AZ803" s="1399"/>
      <c r="BA803" s="1399"/>
      <c r="BB803" s="1399"/>
      <c r="BC803" s="1399"/>
      <c r="BD803" s="1399"/>
      <c r="BE803" s="1414"/>
      <c r="BF803" s="1399"/>
      <c r="BG803" s="1399"/>
      <c r="BH803" s="1399"/>
      <c r="BI803" s="1399"/>
      <c r="BJ803" s="1399"/>
      <c r="BK803" s="1399"/>
      <c r="BL803" s="1399"/>
      <c r="BM803" s="1399"/>
      <c r="BN803" s="1399"/>
      <c r="BO803" s="1399"/>
      <c r="BP803" s="1399"/>
      <c r="BQ803" s="1399"/>
      <c r="BR803" s="1399"/>
      <c r="BS803" s="1399"/>
      <c r="BT803" s="1399"/>
      <c r="BU803" s="1399"/>
      <c r="BV803" s="1399"/>
      <c r="BW803" s="1399"/>
      <c r="BX803" s="1399"/>
      <c r="BY803" s="1399"/>
      <c r="BZ803" s="1399"/>
      <c r="CA803" s="1399"/>
      <c r="CB803" s="1399"/>
      <c r="CC803" s="1399"/>
      <c r="CD803" s="1399"/>
      <c r="CE803" s="1399"/>
      <c r="CF803" s="1399"/>
      <c r="CG803" s="1399"/>
      <c r="CH803" s="1399"/>
      <c r="CI803" s="1399"/>
      <c r="CJ803" s="1399"/>
      <c r="CK803" s="1399"/>
      <c r="CL803" s="1399"/>
      <c r="CM803" s="1399"/>
      <c r="CN803" s="1399"/>
      <c r="CO803" s="1399"/>
      <c r="CP803" s="1399"/>
      <c r="CQ803" s="1399"/>
      <c r="CR803" s="1399"/>
      <c r="CS803" s="1399"/>
      <c r="CT803" s="1399"/>
      <c r="CU803" s="1399"/>
      <c r="CV803" s="1399"/>
      <c r="CW803" s="1399"/>
      <c r="CX803" s="1399"/>
      <c r="CY803" s="1399"/>
      <c r="CZ803" s="1399"/>
      <c r="DA803" s="1399"/>
      <c r="DB803" s="1399"/>
      <c r="DC803" s="1399"/>
      <c r="DD803" s="1399"/>
      <c r="DE803" s="1399"/>
      <c r="DF803" s="1399"/>
      <c r="DG803" s="1399"/>
      <c r="DH803" s="1399"/>
      <c r="DI803" s="1399"/>
      <c r="DJ803" s="1399"/>
      <c r="DK803" s="1399"/>
      <c r="DL803" s="1399"/>
      <c r="DM803" s="1399"/>
      <c r="DN803" s="1399"/>
      <c r="DO803" s="1399"/>
      <c r="DP803" s="1399"/>
      <c r="DQ803" s="1399"/>
      <c r="DR803" s="1399"/>
      <c r="DS803" s="1399"/>
      <c r="DT803" s="1399"/>
      <c r="DU803" s="1399"/>
    </row>
    <row r="804" spans="1:125">
      <c r="A804" s="1414"/>
      <c r="B804" s="1414"/>
      <c r="C804" s="1414"/>
      <c r="D804" s="1414"/>
      <c r="E804" s="1414"/>
      <c r="F804" s="1414"/>
      <c r="G804" s="1414"/>
      <c r="H804" s="1414"/>
      <c r="I804" s="1414"/>
      <c r="J804" s="1414"/>
      <c r="K804" s="1414"/>
      <c r="L804" s="1414"/>
      <c r="M804" s="1414"/>
      <c r="N804" s="1414"/>
      <c r="O804" s="1414"/>
      <c r="P804" s="1414"/>
      <c r="Q804" s="1414"/>
      <c r="R804" s="1414"/>
      <c r="S804" s="1414"/>
      <c r="T804" s="1414"/>
      <c r="U804" s="1414"/>
      <c r="V804" s="1414"/>
      <c r="W804" s="1414"/>
      <c r="X804" s="1414"/>
      <c r="Y804" s="1414"/>
      <c r="Z804" s="1414"/>
      <c r="AA804" s="1414"/>
      <c r="AB804" s="1414"/>
      <c r="AC804" s="1414"/>
      <c r="AD804" s="1414"/>
      <c r="AE804" s="1414"/>
      <c r="AF804" s="1414"/>
      <c r="AG804" s="1414"/>
      <c r="AH804" s="1414"/>
      <c r="AI804" s="1414"/>
      <c r="AJ804" s="1414"/>
      <c r="AK804" s="1414"/>
      <c r="AL804" s="1414"/>
      <c r="AM804" s="1414"/>
      <c r="AN804" s="1414"/>
      <c r="AO804" s="1414"/>
      <c r="AP804" s="1414"/>
      <c r="AQ804" s="1414"/>
      <c r="AR804" s="1414"/>
      <c r="AS804" s="1414"/>
      <c r="AT804" s="1414"/>
      <c r="AU804" s="1414"/>
      <c r="AV804" s="1414"/>
      <c r="AW804" s="1414"/>
      <c r="AX804" s="1414"/>
      <c r="AY804" s="1399"/>
      <c r="AZ804" s="1399"/>
      <c r="BA804" s="1399"/>
      <c r="BB804" s="1399"/>
      <c r="BC804" s="1399"/>
      <c r="BD804" s="1399"/>
      <c r="BE804" s="1414"/>
      <c r="BF804" s="1399"/>
      <c r="BG804" s="1399"/>
      <c r="BH804" s="1399"/>
      <c r="BI804" s="1399"/>
      <c r="BJ804" s="1399"/>
      <c r="BK804" s="1399"/>
      <c r="BL804" s="1399"/>
      <c r="BM804" s="1399"/>
      <c r="BN804" s="1399"/>
      <c r="BO804" s="1399"/>
      <c r="BP804" s="1399"/>
      <c r="BQ804" s="1399"/>
      <c r="BR804" s="1399"/>
      <c r="BS804" s="1399"/>
      <c r="BT804" s="1399"/>
      <c r="BU804" s="1399"/>
      <c r="BV804" s="1399"/>
      <c r="BW804" s="1399"/>
      <c r="BX804" s="1399"/>
      <c r="BY804" s="1399"/>
      <c r="BZ804" s="1399"/>
      <c r="CA804" s="1399"/>
      <c r="CB804" s="1399"/>
      <c r="CC804" s="1399"/>
      <c r="CD804" s="1399"/>
      <c r="CE804" s="1399"/>
      <c r="CF804" s="1399"/>
      <c r="CG804" s="1399"/>
      <c r="CH804" s="1399"/>
      <c r="CI804" s="1399"/>
      <c r="CJ804" s="1399"/>
      <c r="CK804" s="1399"/>
      <c r="CL804" s="1399"/>
      <c r="CM804" s="1399"/>
      <c r="CN804" s="1399"/>
      <c r="CO804" s="1399"/>
      <c r="CP804" s="1399"/>
      <c r="CQ804" s="1399"/>
      <c r="CR804" s="1399"/>
      <c r="CS804" s="1399"/>
      <c r="CT804" s="1399"/>
      <c r="CU804" s="1399"/>
      <c r="CV804" s="1399"/>
      <c r="CW804" s="1399"/>
      <c r="CX804" s="1399"/>
      <c r="CY804" s="1399"/>
      <c r="CZ804" s="1399"/>
      <c r="DA804" s="1399"/>
      <c r="DB804" s="1399"/>
      <c r="DC804" s="1399"/>
      <c r="DD804" s="1399"/>
      <c r="DE804" s="1399"/>
      <c r="DF804" s="1399"/>
      <c r="DG804" s="1399"/>
      <c r="DH804" s="1399"/>
      <c r="DI804" s="1399"/>
      <c r="DJ804" s="1399"/>
      <c r="DK804" s="1399"/>
      <c r="DL804" s="1399"/>
      <c r="DM804" s="1399"/>
      <c r="DN804" s="1399"/>
      <c r="DO804" s="1399"/>
      <c r="DP804" s="1399"/>
      <c r="DQ804" s="1399"/>
      <c r="DR804" s="1399"/>
      <c r="DS804" s="1399"/>
      <c r="DT804" s="1399"/>
      <c r="DU804" s="1399"/>
    </row>
    <row r="805" spans="1:125">
      <c r="A805" s="1414"/>
      <c r="B805" s="1414"/>
      <c r="C805" s="1414"/>
      <c r="D805" s="1414"/>
      <c r="E805" s="1414"/>
      <c r="F805" s="1414"/>
      <c r="G805" s="1414"/>
      <c r="H805" s="1414"/>
      <c r="I805" s="1414"/>
      <c r="J805" s="1414"/>
      <c r="K805" s="1414"/>
      <c r="L805" s="1414"/>
      <c r="M805" s="1414"/>
      <c r="N805" s="1414"/>
      <c r="O805" s="1414"/>
      <c r="P805" s="1414"/>
      <c r="Q805" s="1414"/>
      <c r="R805" s="1414"/>
      <c r="S805" s="1414"/>
      <c r="T805" s="1414"/>
      <c r="U805" s="1414"/>
      <c r="V805" s="1414"/>
      <c r="W805" s="1414"/>
      <c r="X805" s="1414"/>
      <c r="Y805" s="1414"/>
      <c r="Z805" s="1414"/>
      <c r="AA805" s="1414"/>
      <c r="AB805" s="1414"/>
      <c r="AC805" s="1414"/>
      <c r="AD805" s="1414"/>
      <c r="AE805" s="1414"/>
      <c r="AF805" s="1414"/>
      <c r="AG805" s="1414"/>
      <c r="AH805" s="1414"/>
      <c r="AI805" s="1414"/>
      <c r="AJ805" s="1414"/>
      <c r="AK805" s="1414"/>
      <c r="AL805" s="1414"/>
      <c r="AM805" s="1414"/>
      <c r="AN805" s="1414"/>
      <c r="AO805" s="1414"/>
      <c r="AP805" s="1414"/>
      <c r="AQ805" s="1414"/>
      <c r="AR805" s="1414"/>
      <c r="AS805" s="1414"/>
      <c r="AT805" s="1414"/>
      <c r="AU805" s="1414"/>
      <c r="AV805" s="1414"/>
      <c r="AW805" s="1414"/>
      <c r="AX805" s="1414"/>
      <c r="AY805" s="1399"/>
      <c r="AZ805" s="1399"/>
      <c r="BA805" s="1399"/>
      <c r="BB805" s="1399"/>
      <c r="BC805" s="1399"/>
      <c r="BD805" s="1399"/>
      <c r="BE805" s="1414"/>
      <c r="BF805" s="1399"/>
      <c r="BG805" s="1399"/>
      <c r="BH805" s="1399"/>
      <c r="BI805" s="1399"/>
      <c r="BJ805" s="1399"/>
      <c r="BK805" s="1399"/>
      <c r="BL805" s="1399"/>
      <c r="BM805" s="1399"/>
      <c r="BN805" s="1399"/>
      <c r="BO805" s="1399"/>
      <c r="BP805" s="1399"/>
      <c r="BQ805" s="1399"/>
      <c r="BR805" s="1399"/>
      <c r="BS805" s="1399"/>
      <c r="BT805" s="1399"/>
      <c r="BU805" s="1399"/>
      <c r="BV805" s="1399"/>
      <c r="BW805" s="1399"/>
      <c r="BX805" s="1399"/>
      <c r="BY805" s="1399"/>
      <c r="BZ805" s="1399"/>
      <c r="CA805" s="1399"/>
      <c r="CB805" s="1399"/>
      <c r="CC805" s="1399"/>
      <c r="CD805" s="1399"/>
      <c r="CE805" s="1399"/>
      <c r="CF805" s="1399"/>
      <c r="CG805" s="1399"/>
      <c r="CH805" s="1399"/>
      <c r="CI805" s="1399"/>
      <c r="CJ805" s="1399"/>
      <c r="CK805" s="1399"/>
      <c r="CL805" s="1399"/>
      <c r="CM805" s="1399"/>
      <c r="CN805" s="1399"/>
      <c r="CO805" s="1399"/>
      <c r="CP805" s="1399"/>
      <c r="CQ805" s="1399"/>
      <c r="CR805" s="1399"/>
      <c r="CS805" s="1399"/>
      <c r="CT805" s="1399"/>
      <c r="CU805" s="1399"/>
      <c r="CV805" s="1399"/>
      <c r="CW805" s="1399"/>
      <c r="CX805" s="1399"/>
      <c r="CY805" s="1399"/>
      <c r="CZ805" s="1399"/>
      <c r="DA805" s="1399"/>
      <c r="DB805" s="1399"/>
      <c r="DC805" s="1399"/>
      <c r="DD805" s="1399"/>
      <c r="DE805" s="1399"/>
      <c r="DF805" s="1399"/>
      <c r="DG805" s="1399"/>
      <c r="DH805" s="1399"/>
      <c r="DI805" s="1399"/>
      <c r="DJ805" s="1399"/>
      <c r="DK805" s="1399"/>
      <c r="DL805" s="1399"/>
      <c r="DM805" s="1399"/>
      <c r="DN805" s="1399"/>
      <c r="DO805" s="1399"/>
      <c r="DP805" s="1399"/>
      <c r="DQ805" s="1399"/>
      <c r="DR805" s="1399"/>
      <c r="DS805" s="1399"/>
      <c r="DT805" s="1399"/>
      <c r="DU805" s="1399"/>
    </row>
    <row r="806" spans="1:125">
      <c r="A806" s="1414"/>
      <c r="B806" s="1414"/>
      <c r="C806" s="1414"/>
      <c r="D806" s="1414"/>
      <c r="E806" s="1414"/>
      <c r="F806" s="1414"/>
      <c r="G806" s="1414"/>
      <c r="H806" s="1414"/>
      <c r="I806" s="1414"/>
      <c r="J806" s="1414"/>
      <c r="K806" s="1414"/>
      <c r="L806" s="1414"/>
      <c r="M806" s="1414"/>
      <c r="N806" s="1414"/>
      <c r="O806" s="1414"/>
      <c r="P806" s="1414"/>
      <c r="Q806" s="1414"/>
      <c r="R806" s="1414"/>
      <c r="S806" s="1414"/>
      <c r="T806" s="1414"/>
      <c r="U806" s="1414"/>
      <c r="V806" s="1414"/>
      <c r="W806" s="1414"/>
      <c r="X806" s="1414"/>
      <c r="Y806" s="1414"/>
      <c r="Z806" s="1414"/>
      <c r="AA806" s="1414"/>
      <c r="AB806" s="1414"/>
      <c r="AC806" s="1414"/>
      <c r="AD806" s="1414"/>
      <c r="AE806" s="1414"/>
      <c r="AF806" s="1414"/>
      <c r="AG806" s="1414"/>
      <c r="AH806" s="1414"/>
      <c r="AI806" s="1414"/>
      <c r="AJ806" s="1414"/>
      <c r="AK806" s="1414"/>
      <c r="AL806" s="1414"/>
      <c r="AM806" s="1414"/>
      <c r="AN806" s="1414"/>
      <c r="AO806" s="1414"/>
      <c r="AP806" s="1414"/>
      <c r="AQ806" s="1414"/>
      <c r="AR806" s="1414"/>
      <c r="AS806" s="1414"/>
      <c r="AT806" s="1414"/>
      <c r="AU806" s="1414"/>
      <c r="AV806" s="1414"/>
      <c r="AW806" s="1414"/>
      <c r="AX806" s="1414"/>
      <c r="AY806" s="1399"/>
      <c r="AZ806" s="1399"/>
      <c r="BA806" s="1399"/>
      <c r="BB806" s="1399"/>
      <c r="BC806" s="1399"/>
      <c r="BD806" s="1399"/>
      <c r="BE806" s="1414"/>
      <c r="BF806" s="1399"/>
      <c r="BG806" s="1399"/>
      <c r="BH806" s="1399"/>
      <c r="BI806" s="1399"/>
      <c r="BJ806" s="1399"/>
      <c r="BK806" s="1399"/>
      <c r="BL806" s="1399"/>
      <c r="BM806" s="1399"/>
      <c r="BN806" s="1399"/>
      <c r="BO806" s="1399"/>
      <c r="BP806" s="1399"/>
      <c r="BQ806" s="1399"/>
      <c r="BR806" s="1399"/>
      <c r="BS806" s="1399"/>
      <c r="BT806" s="1399"/>
      <c r="BU806" s="1399"/>
      <c r="BV806" s="1399"/>
      <c r="BW806" s="1399"/>
      <c r="BX806" s="1399"/>
      <c r="BY806" s="1399"/>
      <c r="BZ806" s="1399"/>
      <c r="CA806" s="1399"/>
      <c r="CB806" s="1399"/>
      <c r="CC806" s="1399"/>
      <c r="CD806" s="1399"/>
      <c r="CE806" s="1399"/>
      <c r="CF806" s="1399"/>
      <c r="CG806" s="1399"/>
      <c r="CH806" s="1399"/>
      <c r="CI806" s="1399"/>
      <c r="CJ806" s="1399"/>
      <c r="CK806" s="1399"/>
      <c r="CL806" s="1399"/>
      <c r="CM806" s="1399"/>
      <c r="CN806" s="1399"/>
      <c r="CO806" s="1399"/>
      <c r="CP806" s="1399"/>
      <c r="CQ806" s="1399"/>
      <c r="CR806" s="1399"/>
      <c r="CS806" s="1399"/>
      <c r="CT806" s="1399"/>
      <c r="CU806" s="1399"/>
      <c r="CV806" s="1399"/>
      <c r="CW806" s="1399"/>
      <c r="CX806" s="1399"/>
      <c r="CY806" s="1399"/>
      <c r="CZ806" s="1399"/>
      <c r="DA806" s="1399"/>
      <c r="DB806" s="1399"/>
      <c r="DC806" s="1399"/>
      <c r="DD806" s="1399"/>
      <c r="DE806" s="1399"/>
      <c r="DF806" s="1399"/>
      <c r="DG806" s="1399"/>
      <c r="DH806" s="1399"/>
      <c r="DI806" s="1399"/>
      <c r="DJ806" s="1399"/>
      <c r="DK806" s="1399"/>
      <c r="DL806" s="1399"/>
      <c r="DM806" s="1399"/>
      <c r="DN806" s="1399"/>
      <c r="DO806" s="1399"/>
      <c r="DP806" s="1399"/>
      <c r="DQ806" s="1399"/>
      <c r="DR806" s="1399"/>
      <c r="DS806" s="1399"/>
      <c r="DT806" s="1399"/>
      <c r="DU806" s="1399"/>
    </row>
    <row r="807" spans="1:125">
      <c r="A807" s="1414"/>
      <c r="B807" s="1414"/>
      <c r="C807" s="1414"/>
      <c r="D807" s="1414"/>
      <c r="E807" s="1414"/>
      <c r="F807" s="1414"/>
      <c r="G807" s="1414"/>
      <c r="H807" s="1414"/>
      <c r="I807" s="1414"/>
      <c r="J807" s="1414"/>
      <c r="K807" s="1414"/>
      <c r="L807" s="1414"/>
      <c r="M807" s="1414"/>
      <c r="N807" s="1414"/>
      <c r="O807" s="1414"/>
      <c r="P807" s="1414"/>
      <c r="Q807" s="1414"/>
      <c r="R807" s="1414"/>
      <c r="S807" s="1414"/>
      <c r="T807" s="1414"/>
      <c r="U807" s="1414"/>
      <c r="V807" s="1414"/>
      <c r="W807" s="1414"/>
      <c r="X807" s="1414"/>
      <c r="Y807" s="1414"/>
      <c r="Z807" s="1414"/>
      <c r="AA807" s="1414"/>
      <c r="AB807" s="1414"/>
      <c r="AC807" s="1414"/>
      <c r="AD807" s="1414"/>
      <c r="AE807" s="1414"/>
      <c r="AF807" s="1414"/>
      <c r="AG807" s="1414"/>
      <c r="AH807" s="1414"/>
      <c r="AI807" s="1414"/>
      <c r="AJ807" s="1414"/>
      <c r="AK807" s="1414"/>
      <c r="AL807" s="1414"/>
      <c r="AM807" s="1414"/>
      <c r="AN807" s="1414"/>
      <c r="AO807" s="1414"/>
      <c r="AP807" s="1414"/>
      <c r="AQ807" s="1414"/>
      <c r="AR807" s="1414"/>
      <c r="AS807" s="1414"/>
      <c r="AT807" s="1414"/>
      <c r="AU807" s="1414"/>
      <c r="AV807" s="1414"/>
      <c r="AW807" s="1414"/>
      <c r="AX807" s="1414"/>
      <c r="AY807" s="1399"/>
      <c r="AZ807" s="1399"/>
      <c r="BA807" s="1399"/>
      <c r="BB807" s="1399"/>
      <c r="BC807" s="1399"/>
      <c r="BD807" s="1399"/>
      <c r="BE807" s="1414"/>
      <c r="BF807" s="1399"/>
      <c r="BG807" s="1399"/>
      <c r="BH807" s="1399"/>
      <c r="BI807" s="1399"/>
      <c r="BJ807" s="1399"/>
      <c r="BK807" s="1399"/>
      <c r="BL807" s="1399"/>
      <c r="BM807" s="1399"/>
      <c r="BN807" s="1399"/>
      <c r="BO807" s="1399"/>
      <c r="BP807" s="1399"/>
      <c r="BQ807" s="1399"/>
      <c r="BR807" s="1399"/>
      <c r="BS807" s="1399"/>
      <c r="BT807" s="1399"/>
      <c r="BU807" s="1399"/>
      <c r="BV807" s="1399"/>
      <c r="BW807" s="1399"/>
      <c r="BX807" s="1399"/>
      <c r="BY807" s="1399"/>
      <c r="BZ807" s="1399"/>
      <c r="CA807" s="1399"/>
      <c r="CB807" s="1399"/>
      <c r="CC807" s="1399"/>
      <c r="CD807" s="1399"/>
      <c r="CE807" s="1399"/>
      <c r="CF807" s="1399"/>
      <c r="CG807" s="1399"/>
      <c r="CH807" s="1399"/>
      <c r="CI807" s="1399"/>
      <c r="CJ807" s="1399"/>
      <c r="CK807" s="1399"/>
      <c r="CL807" s="1399"/>
      <c r="CM807" s="1399"/>
      <c r="CN807" s="1399"/>
      <c r="CO807" s="1399"/>
      <c r="CP807" s="1399"/>
      <c r="CQ807" s="1399"/>
      <c r="CR807" s="1399"/>
      <c r="CS807" s="1399"/>
      <c r="CT807" s="1399"/>
      <c r="CU807" s="1399"/>
      <c r="CV807" s="1399"/>
      <c r="CW807" s="1399"/>
      <c r="CX807" s="1399"/>
      <c r="CY807" s="1399"/>
      <c r="CZ807" s="1399"/>
      <c r="DA807" s="1399"/>
      <c r="DB807" s="1399"/>
      <c r="DC807" s="1399"/>
      <c r="DD807" s="1399"/>
      <c r="DE807" s="1399"/>
      <c r="DF807" s="1399"/>
      <c r="DG807" s="1399"/>
      <c r="DH807" s="1399"/>
      <c r="DI807" s="1399"/>
      <c r="DJ807" s="1399"/>
      <c r="DK807" s="1399"/>
      <c r="DL807" s="1399"/>
      <c r="DM807" s="1399"/>
      <c r="DN807" s="1399"/>
      <c r="DO807" s="1399"/>
      <c r="DP807" s="1399"/>
      <c r="DQ807" s="1399"/>
      <c r="DR807" s="1399"/>
      <c r="DS807" s="1399"/>
      <c r="DT807" s="1399"/>
      <c r="DU807" s="1399"/>
    </row>
    <row r="808" spans="1:125">
      <c r="A808" s="1414"/>
      <c r="B808" s="1414"/>
      <c r="C808" s="1414"/>
      <c r="D808" s="1414"/>
      <c r="E808" s="1414"/>
      <c r="F808" s="1414"/>
      <c r="G808" s="1414"/>
      <c r="H808" s="1414"/>
      <c r="I808" s="1414"/>
      <c r="J808" s="1414"/>
      <c r="K808" s="1414"/>
      <c r="L808" s="1414"/>
      <c r="M808" s="1414"/>
      <c r="N808" s="1414"/>
      <c r="O808" s="1414"/>
      <c r="P808" s="1414"/>
      <c r="Q808" s="1414"/>
      <c r="R808" s="1414"/>
      <c r="S808" s="1414"/>
      <c r="T808" s="1414"/>
      <c r="U808" s="1414"/>
      <c r="V808" s="1414"/>
      <c r="W808" s="1414"/>
      <c r="X808" s="1414"/>
      <c r="Y808" s="1414"/>
      <c r="Z808" s="1414"/>
      <c r="AA808" s="1414"/>
      <c r="AB808" s="1414"/>
      <c r="AC808" s="1414"/>
      <c r="AD808" s="1414"/>
      <c r="AE808" s="1414"/>
      <c r="AF808" s="1414"/>
      <c r="AG808" s="1414"/>
      <c r="AH808" s="1414"/>
      <c r="AI808" s="1414"/>
      <c r="AJ808" s="1414"/>
      <c r="AK808" s="1414"/>
      <c r="AL808" s="1414"/>
      <c r="AM808" s="1414"/>
      <c r="AN808" s="1414"/>
      <c r="AO808" s="1414"/>
      <c r="AP808" s="1414"/>
      <c r="AQ808" s="1414"/>
      <c r="AR808" s="1414"/>
      <c r="AS808" s="1414"/>
      <c r="AT808" s="1414"/>
      <c r="AU808" s="1414"/>
      <c r="AV808" s="1414"/>
      <c r="AW808" s="1414"/>
      <c r="AX808" s="1414"/>
      <c r="AY808" s="1399"/>
      <c r="AZ808" s="1399"/>
      <c r="BA808" s="1399"/>
      <c r="BB808" s="1399"/>
      <c r="BC808" s="1399"/>
      <c r="BD808" s="1399"/>
      <c r="BE808" s="1414"/>
      <c r="BF808" s="1399"/>
      <c r="BG808" s="1399"/>
      <c r="BH808" s="1399"/>
      <c r="BI808" s="1399"/>
      <c r="BJ808" s="1399"/>
      <c r="BK808" s="1399"/>
      <c r="BL808" s="1399"/>
      <c r="BM808" s="1399"/>
      <c r="BN808" s="1399"/>
      <c r="BO808" s="1399"/>
      <c r="BP808" s="1399"/>
      <c r="BQ808" s="1399"/>
      <c r="BR808" s="1399"/>
      <c r="BS808" s="1399"/>
      <c r="BT808" s="1399"/>
      <c r="BU808" s="1399"/>
      <c r="BV808" s="1399"/>
      <c r="BW808" s="1399"/>
      <c r="BX808" s="1399"/>
      <c r="BY808" s="1399"/>
      <c r="BZ808" s="1399"/>
      <c r="CA808" s="1399"/>
      <c r="CB808" s="1399"/>
      <c r="CC808" s="1399"/>
      <c r="CD808" s="1399"/>
      <c r="CE808" s="1399"/>
      <c r="CF808" s="1399"/>
      <c r="CG808" s="1399"/>
      <c r="CH808" s="1399"/>
      <c r="CI808" s="1399"/>
      <c r="CJ808" s="1399"/>
      <c r="CK808" s="1399"/>
      <c r="CL808" s="1399"/>
      <c r="CM808" s="1399"/>
      <c r="CN808" s="1399"/>
      <c r="CO808" s="1399"/>
      <c r="CP808" s="1399"/>
      <c r="CQ808" s="1399"/>
      <c r="CR808" s="1399"/>
      <c r="CS808" s="1399"/>
      <c r="CT808" s="1399"/>
      <c r="CU808" s="1399"/>
      <c r="CV808" s="1399"/>
      <c r="CW808" s="1399"/>
      <c r="CX808" s="1399"/>
      <c r="CY808" s="1399"/>
      <c r="CZ808" s="1399"/>
      <c r="DA808" s="1399"/>
      <c r="DB808" s="1399"/>
      <c r="DC808" s="1399"/>
      <c r="DD808" s="1399"/>
      <c r="DE808" s="1399"/>
      <c r="DF808" s="1399"/>
      <c r="DG808" s="1399"/>
      <c r="DH808" s="1399"/>
      <c r="DI808" s="1399"/>
      <c r="DJ808" s="1399"/>
      <c r="DK808" s="1399"/>
      <c r="DL808" s="1399"/>
      <c r="DM808" s="1399"/>
      <c r="DN808" s="1399"/>
      <c r="DO808" s="1399"/>
      <c r="DP808" s="1399"/>
      <c r="DQ808" s="1399"/>
      <c r="DR808" s="1399"/>
      <c r="DS808" s="1399"/>
      <c r="DT808" s="1399"/>
      <c r="DU808" s="1399"/>
    </row>
    <row r="809" spans="1:125">
      <c r="A809" s="1414"/>
      <c r="B809" s="1414"/>
      <c r="C809" s="1414"/>
      <c r="D809" s="1414"/>
      <c r="E809" s="1414"/>
      <c r="F809" s="1414"/>
      <c r="G809" s="1414"/>
      <c r="H809" s="1414"/>
      <c r="I809" s="1414"/>
      <c r="J809" s="1414"/>
      <c r="K809" s="1414"/>
      <c r="L809" s="1414"/>
      <c r="M809" s="1414"/>
      <c r="N809" s="1414"/>
      <c r="O809" s="1414"/>
      <c r="P809" s="1414"/>
      <c r="Q809" s="1414"/>
      <c r="R809" s="1414"/>
      <c r="S809" s="1414"/>
      <c r="T809" s="1414"/>
      <c r="U809" s="1414"/>
      <c r="V809" s="1414"/>
      <c r="W809" s="1414"/>
      <c r="X809" s="1414"/>
      <c r="Y809" s="1414"/>
      <c r="Z809" s="1414"/>
      <c r="AA809" s="1414"/>
      <c r="AB809" s="1414"/>
      <c r="AC809" s="1414"/>
      <c r="AD809" s="1414"/>
      <c r="AE809" s="1414"/>
      <c r="AF809" s="1414"/>
      <c r="AG809" s="1414"/>
      <c r="AH809" s="1414"/>
      <c r="AI809" s="1414"/>
      <c r="AJ809" s="1414"/>
      <c r="AK809" s="1414"/>
      <c r="AL809" s="1414"/>
      <c r="AM809" s="1414"/>
      <c r="AN809" s="1414"/>
      <c r="AO809" s="1414"/>
      <c r="AP809" s="1414"/>
      <c r="AQ809" s="1414"/>
      <c r="AR809" s="1414"/>
      <c r="AS809" s="1414"/>
      <c r="AT809" s="1414"/>
      <c r="AU809" s="1414"/>
      <c r="AV809" s="1414"/>
      <c r="AW809" s="1414"/>
      <c r="AX809" s="1414"/>
      <c r="AY809" s="1399"/>
      <c r="AZ809" s="1399"/>
      <c r="BA809" s="1399"/>
      <c r="BB809" s="1399"/>
      <c r="BC809" s="1399"/>
      <c r="BD809" s="1399"/>
      <c r="BE809" s="1414"/>
      <c r="BF809" s="1399"/>
      <c r="BG809" s="1399"/>
      <c r="BH809" s="1399"/>
      <c r="BI809" s="1399"/>
      <c r="BJ809" s="1399"/>
      <c r="BK809" s="1399"/>
      <c r="BL809" s="1399"/>
      <c r="BM809" s="1399"/>
      <c r="BN809" s="1399"/>
      <c r="BO809" s="1399"/>
      <c r="BP809" s="1399"/>
      <c r="BQ809" s="1399"/>
      <c r="BR809" s="1399"/>
      <c r="BS809" s="1399"/>
      <c r="BT809" s="1399"/>
      <c r="BU809" s="1399"/>
      <c r="BV809" s="1399"/>
      <c r="BW809" s="1399"/>
      <c r="BX809" s="1399"/>
      <c r="BY809" s="1399"/>
      <c r="BZ809" s="1399"/>
      <c r="CA809" s="1399"/>
      <c r="CB809" s="1399"/>
      <c r="CC809" s="1399"/>
      <c r="CD809" s="1399"/>
      <c r="CE809" s="1399"/>
      <c r="CF809" s="1399"/>
      <c r="CG809" s="1399"/>
      <c r="CH809" s="1399"/>
      <c r="CI809" s="1399"/>
      <c r="CJ809" s="1399"/>
      <c r="CK809" s="1399"/>
      <c r="CL809" s="1399"/>
      <c r="CM809" s="1399"/>
      <c r="CN809" s="1399"/>
      <c r="CO809" s="1399"/>
      <c r="CP809" s="1399"/>
      <c r="CQ809" s="1399"/>
      <c r="CR809" s="1399"/>
      <c r="CS809" s="1399"/>
      <c r="CT809" s="1399"/>
      <c r="CU809" s="1399"/>
      <c r="CV809" s="1399"/>
      <c r="CW809" s="1399"/>
      <c r="CX809" s="1399"/>
      <c r="CY809" s="1399"/>
      <c r="CZ809" s="1399"/>
      <c r="DA809" s="1399"/>
      <c r="DB809" s="1399"/>
      <c r="DC809" s="1399"/>
      <c r="DD809" s="1399"/>
      <c r="DE809" s="1399"/>
      <c r="DF809" s="1399"/>
      <c r="DG809" s="1399"/>
      <c r="DH809" s="1399"/>
      <c r="DI809" s="1399"/>
      <c r="DJ809" s="1399"/>
      <c r="DK809" s="1399"/>
      <c r="DL809" s="1399"/>
      <c r="DM809" s="1399"/>
      <c r="DN809" s="1399"/>
      <c r="DO809" s="1399"/>
      <c r="DP809" s="1399"/>
      <c r="DQ809" s="1399"/>
      <c r="DR809" s="1399"/>
      <c r="DS809" s="1399"/>
      <c r="DT809" s="1399"/>
      <c r="DU809" s="1399"/>
    </row>
    <row r="810" spans="1:125">
      <c r="A810" s="1414"/>
      <c r="B810" s="1414"/>
      <c r="C810" s="1414"/>
      <c r="D810" s="1414"/>
      <c r="E810" s="1414"/>
      <c r="F810" s="1414"/>
      <c r="G810" s="1414"/>
      <c r="H810" s="1414"/>
      <c r="I810" s="1414"/>
      <c r="J810" s="1414"/>
      <c r="K810" s="1414"/>
      <c r="L810" s="1414"/>
      <c r="M810" s="1414"/>
      <c r="N810" s="1414"/>
      <c r="O810" s="1414"/>
      <c r="P810" s="1414"/>
      <c r="Q810" s="1414"/>
      <c r="R810" s="1414"/>
      <c r="S810" s="1414"/>
      <c r="T810" s="1414"/>
      <c r="U810" s="1414"/>
      <c r="V810" s="1414"/>
      <c r="W810" s="1414"/>
      <c r="X810" s="1414"/>
      <c r="Y810" s="1414"/>
      <c r="Z810" s="1414"/>
      <c r="AA810" s="1414"/>
      <c r="AB810" s="1414"/>
      <c r="AC810" s="1414"/>
      <c r="AD810" s="1414"/>
      <c r="AE810" s="1414"/>
      <c r="AF810" s="1414"/>
      <c r="AG810" s="1414"/>
      <c r="AH810" s="1414"/>
      <c r="AI810" s="1414"/>
      <c r="AJ810" s="1414"/>
      <c r="AK810" s="1414"/>
      <c r="AL810" s="1414"/>
      <c r="AM810" s="1414"/>
      <c r="AN810" s="1414"/>
      <c r="AO810" s="1414"/>
      <c r="AP810" s="1414"/>
      <c r="AQ810" s="1414"/>
      <c r="AR810" s="1414"/>
      <c r="AS810" s="1414"/>
      <c r="AT810" s="1414"/>
      <c r="AU810" s="1414"/>
      <c r="AV810" s="1414"/>
      <c r="AW810" s="1414"/>
      <c r="AX810" s="1414"/>
      <c r="AY810" s="1399"/>
      <c r="AZ810" s="1399"/>
      <c r="BA810" s="1399"/>
      <c r="BB810" s="1399"/>
      <c r="BC810" s="1399"/>
      <c r="BD810" s="1399"/>
      <c r="BE810" s="1414"/>
      <c r="BF810" s="1399"/>
      <c r="BG810" s="1399"/>
      <c r="BH810" s="1399"/>
      <c r="BI810" s="1399"/>
      <c r="BJ810" s="1399"/>
      <c r="BK810" s="1399"/>
      <c r="BL810" s="1399"/>
      <c r="BM810" s="1399"/>
      <c r="BN810" s="1399"/>
      <c r="BO810" s="1399"/>
      <c r="BP810" s="1399"/>
      <c r="BQ810" s="1399"/>
      <c r="BR810" s="1399"/>
      <c r="BS810" s="1399"/>
      <c r="BT810" s="1399"/>
      <c r="BU810" s="1399"/>
      <c r="BV810" s="1399"/>
      <c r="BW810" s="1399"/>
      <c r="BX810" s="1399"/>
      <c r="BY810" s="1399"/>
      <c r="BZ810" s="1399"/>
      <c r="CA810" s="1399"/>
      <c r="CB810" s="1399"/>
      <c r="CC810" s="1399"/>
      <c r="CD810" s="1399"/>
      <c r="CE810" s="1399"/>
      <c r="CF810" s="1399"/>
      <c r="CG810" s="1399"/>
      <c r="CH810" s="1399"/>
      <c r="CI810" s="1399"/>
      <c r="CJ810" s="1399"/>
      <c r="CK810" s="1399"/>
      <c r="CL810" s="1399"/>
      <c r="CM810" s="1399"/>
      <c r="CN810" s="1399"/>
      <c r="CO810" s="1399"/>
      <c r="CP810" s="1399"/>
      <c r="CQ810" s="1399"/>
      <c r="CR810" s="1399"/>
      <c r="CS810" s="1399"/>
      <c r="CT810" s="1399"/>
      <c r="CU810" s="1399"/>
      <c r="CV810" s="1399"/>
      <c r="CW810" s="1399"/>
      <c r="CX810" s="1399"/>
      <c r="CY810" s="1399"/>
      <c r="CZ810" s="1399"/>
      <c r="DA810" s="1399"/>
      <c r="DB810" s="1399"/>
      <c r="DC810" s="1399"/>
      <c r="DD810" s="1399"/>
      <c r="DE810" s="1399"/>
      <c r="DF810" s="1399"/>
      <c r="DG810" s="1399"/>
      <c r="DH810" s="1399"/>
      <c r="DI810" s="1399"/>
      <c r="DJ810" s="1399"/>
      <c r="DK810" s="1399"/>
      <c r="DL810" s="1399"/>
      <c r="DM810" s="1399"/>
      <c r="DN810" s="1399"/>
      <c r="DO810" s="1399"/>
      <c r="DP810" s="1399"/>
      <c r="DQ810" s="1399"/>
      <c r="DR810" s="1399"/>
      <c r="DS810" s="1399"/>
      <c r="DT810" s="1399"/>
      <c r="DU810" s="1399"/>
    </row>
    <row r="811" spans="1:125">
      <c r="A811" s="1414"/>
      <c r="B811" s="1414"/>
      <c r="C811" s="1414"/>
      <c r="D811" s="1414"/>
      <c r="E811" s="1414"/>
      <c r="F811" s="1414"/>
      <c r="G811" s="1414"/>
      <c r="H811" s="1414"/>
      <c r="I811" s="1414"/>
      <c r="J811" s="1414"/>
      <c r="K811" s="1414"/>
      <c r="L811" s="1414"/>
      <c r="M811" s="1414"/>
      <c r="N811" s="1414"/>
      <c r="O811" s="1414"/>
      <c r="P811" s="1414"/>
      <c r="Q811" s="1414"/>
      <c r="R811" s="1414"/>
      <c r="S811" s="1414"/>
      <c r="T811" s="1414"/>
      <c r="U811" s="1414"/>
      <c r="V811" s="1414"/>
      <c r="W811" s="1414"/>
      <c r="X811" s="1414"/>
      <c r="Y811" s="1414"/>
      <c r="Z811" s="1414"/>
      <c r="AA811" s="1414"/>
      <c r="AB811" s="1414"/>
      <c r="AC811" s="1414"/>
      <c r="AD811" s="1414"/>
      <c r="AE811" s="1414"/>
      <c r="AF811" s="1414"/>
      <c r="AG811" s="1414"/>
      <c r="AH811" s="1414"/>
      <c r="AI811" s="1414"/>
      <c r="AJ811" s="1414"/>
      <c r="AK811" s="1414"/>
      <c r="AL811" s="1414"/>
      <c r="AM811" s="1414"/>
      <c r="AN811" s="1414"/>
      <c r="AO811" s="1414"/>
      <c r="AP811" s="1414"/>
      <c r="AQ811" s="1414"/>
      <c r="AR811" s="1414"/>
      <c r="AS811" s="1414"/>
      <c r="AT811" s="1414"/>
      <c r="AU811" s="1414"/>
      <c r="AV811" s="1414"/>
      <c r="AW811" s="1414"/>
      <c r="AX811" s="1414"/>
      <c r="AY811" s="1399"/>
      <c r="AZ811" s="1399"/>
      <c r="BA811" s="1399"/>
      <c r="BB811" s="1399"/>
      <c r="BC811" s="1399"/>
      <c r="BD811" s="1399"/>
      <c r="BE811" s="1414"/>
      <c r="BF811" s="1399"/>
      <c r="BG811" s="1399"/>
      <c r="BH811" s="1399"/>
      <c r="BI811" s="1399"/>
      <c r="BJ811" s="1399"/>
      <c r="BK811" s="1399"/>
      <c r="BL811" s="1399"/>
      <c r="BM811" s="1399"/>
      <c r="BN811" s="1399"/>
      <c r="BO811" s="1399"/>
      <c r="BP811" s="1399"/>
      <c r="BQ811" s="1399"/>
      <c r="BR811" s="1399"/>
      <c r="BS811" s="1399"/>
      <c r="BT811" s="1399"/>
      <c r="BU811" s="1399"/>
      <c r="BV811" s="1399"/>
      <c r="BW811" s="1399"/>
      <c r="BX811" s="1399"/>
      <c r="BY811" s="1399"/>
      <c r="BZ811" s="1399"/>
      <c r="CA811" s="1399"/>
      <c r="CB811" s="1399"/>
      <c r="CC811" s="1399"/>
      <c r="CD811" s="1399"/>
      <c r="CE811" s="1399"/>
      <c r="CF811" s="1399"/>
      <c r="CG811" s="1399"/>
      <c r="CH811" s="1399"/>
      <c r="CI811" s="1399"/>
      <c r="CJ811" s="1399"/>
      <c r="CK811" s="1399"/>
      <c r="CL811" s="1399"/>
      <c r="CM811" s="1399"/>
      <c r="CN811" s="1399"/>
      <c r="CO811" s="1399"/>
      <c r="CP811" s="1399"/>
      <c r="CQ811" s="1399"/>
      <c r="CR811" s="1399"/>
      <c r="CS811" s="1399"/>
      <c r="CT811" s="1399"/>
      <c r="CU811" s="1399"/>
      <c r="CV811" s="1399"/>
      <c r="CW811" s="1399"/>
      <c r="CX811" s="1399"/>
      <c r="CY811" s="1399"/>
      <c r="CZ811" s="1399"/>
      <c r="DA811" s="1399"/>
      <c r="DB811" s="1399"/>
      <c r="DC811" s="1399"/>
      <c r="DD811" s="1399"/>
      <c r="DE811" s="1399"/>
      <c r="DF811" s="1399"/>
      <c r="DG811" s="1399"/>
      <c r="DH811" s="1399"/>
      <c r="DI811" s="1399"/>
      <c r="DJ811" s="1399"/>
      <c r="DK811" s="1399"/>
      <c r="DL811" s="1399"/>
      <c r="DM811" s="1399"/>
      <c r="DN811" s="1399"/>
      <c r="DO811" s="1399"/>
      <c r="DP811" s="1399"/>
      <c r="DQ811" s="1399"/>
      <c r="DR811" s="1399"/>
      <c r="DS811" s="1399"/>
      <c r="DT811" s="1399"/>
      <c r="DU811" s="1399"/>
    </row>
    <row r="812" spans="1:125">
      <c r="A812" s="1414"/>
      <c r="B812" s="1414"/>
      <c r="C812" s="1414"/>
      <c r="D812" s="1414"/>
      <c r="E812" s="1414"/>
      <c r="F812" s="1414"/>
      <c r="G812" s="1414"/>
      <c r="H812" s="1414"/>
      <c r="I812" s="1414"/>
      <c r="J812" s="1414"/>
      <c r="K812" s="1414"/>
      <c r="L812" s="1414"/>
      <c r="M812" s="1414"/>
      <c r="N812" s="1414"/>
      <c r="O812" s="1414"/>
      <c r="P812" s="1414"/>
      <c r="Q812" s="1414"/>
      <c r="R812" s="1414"/>
      <c r="S812" s="1414"/>
      <c r="T812" s="1414"/>
      <c r="U812" s="1414"/>
      <c r="V812" s="1414"/>
      <c r="W812" s="1414"/>
      <c r="X812" s="1414"/>
      <c r="Y812" s="1414"/>
      <c r="Z812" s="1414"/>
      <c r="AA812" s="1414"/>
      <c r="AB812" s="1414"/>
      <c r="AC812" s="1414"/>
      <c r="AD812" s="1414"/>
      <c r="AE812" s="1414"/>
      <c r="AF812" s="1414"/>
      <c r="AG812" s="1414"/>
      <c r="AH812" s="1414"/>
      <c r="AI812" s="1414"/>
      <c r="AJ812" s="1414"/>
      <c r="AK812" s="1414"/>
      <c r="AL812" s="1414"/>
      <c r="AM812" s="1414"/>
      <c r="AN812" s="1414"/>
      <c r="AO812" s="1414"/>
      <c r="AP812" s="1414"/>
      <c r="AQ812" s="1414"/>
      <c r="AR812" s="1414"/>
      <c r="AS812" s="1414"/>
      <c r="AT812" s="1414"/>
      <c r="AU812" s="1414"/>
      <c r="AV812" s="1414"/>
      <c r="AW812" s="1414"/>
      <c r="AX812" s="1414"/>
      <c r="AY812" s="1399"/>
      <c r="AZ812" s="1399"/>
      <c r="BA812" s="1399"/>
      <c r="BB812" s="1399"/>
      <c r="BC812" s="1399"/>
      <c r="BD812" s="1399"/>
      <c r="BE812" s="1414"/>
      <c r="BF812" s="1399"/>
      <c r="BG812" s="1399"/>
      <c r="BH812" s="1399"/>
      <c r="BI812" s="1399"/>
      <c r="BJ812" s="1399"/>
      <c r="BK812" s="1399"/>
      <c r="BL812" s="1399"/>
      <c r="BM812" s="1399"/>
      <c r="BN812" s="1399"/>
      <c r="BO812" s="1399"/>
      <c r="BP812" s="1399"/>
      <c r="BQ812" s="1399"/>
      <c r="BR812" s="1399"/>
      <c r="BS812" s="1399"/>
      <c r="BT812" s="1399"/>
      <c r="BU812" s="1399"/>
      <c r="BV812" s="1399"/>
      <c r="BW812" s="1399"/>
      <c r="BX812" s="1399"/>
      <c r="BY812" s="1399"/>
      <c r="BZ812" s="1399"/>
      <c r="CA812" s="1399"/>
      <c r="CB812" s="1399"/>
      <c r="CC812" s="1399"/>
      <c r="CD812" s="1399"/>
      <c r="CE812" s="1399"/>
      <c r="CF812" s="1399"/>
      <c r="CG812" s="1399"/>
      <c r="CH812" s="1399"/>
      <c r="CI812" s="1399"/>
      <c r="CJ812" s="1399"/>
      <c r="CK812" s="1399"/>
      <c r="CL812" s="1399"/>
      <c r="CM812" s="1399"/>
      <c r="CN812" s="1399"/>
      <c r="CO812" s="1399"/>
      <c r="CP812" s="1399"/>
      <c r="CQ812" s="1399"/>
      <c r="CR812" s="1399"/>
      <c r="CS812" s="1399"/>
      <c r="CT812" s="1399"/>
      <c r="CU812" s="1399"/>
      <c r="CV812" s="1399"/>
      <c r="CW812" s="1399"/>
      <c r="CX812" s="1399"/>
      <c r="CY812" s="1399"/>
      <c r="CZ812" s="1399"/>
      <c r="DA812" s="1399"/>
      <c r="DB812" s="1399"/>
      <c r="DC812" s="1399"/>
      <c r="DD812" s="1399"/>
      <c r="DE812" s="1399"/>
      <c r="DF812" s="1399"/>
      <c r="DG812" s="1399"/>
      <c r="DH812" s="1399"/>
      <c r="DI812" s="1399"/>
      <c r="DJ812" s="1399"/>
      <c r="DK812" s="1399"/>
      <c r="DL812" s="1399"/>
      <c r="DM812" s="1399"/>
      <c r="DN812" s="1399"/>
      <c r="DO812" s="1399"/>
      <c r="DP812" s="1399"/>
      <c r="DQ812" s="1399"/>
      <c r="DR812" s="1399"/>
      <c r="DS812" s="1399"/>
      <c r="DT812" s="1399"/>
      <c r="DU812" s="1399"/>
    </row>
    <row r="813" spans="1:125">
      <c r="A813" s="1414"/>
      <c r="B813" s="1414"/>
      <c r="C813" s="1414"/>
      <c r="D813" s="1414"/>
      <c r="E813" s="1414"/>
      <c r="F813" s="1414"/>
      <c r="G813" s="1414"/>
      <c r="H813" s="1414"/>
      <c r="I813" s="1414"/>
      <c r="J813" s="1414"/>
      <c r="K813" s="1414"/>
      <c r="L813" s="1414"/>
      <c r="M813" s="1414"/>
      <c r="N813" s="1414"/>
      <c r="O813" s="1414"/>
      <c r="P813" s="1414"/>
      <c r="Q813" s="1414"/>
      <c r="R813" s="1414"/>
      <c r="S813" s="1414"/>
      <c r="T813" s="1414"/>
      <c r="U813" s="1414"/>
      <c r="V813" s="1414"/>
      <c r="W813" s="1414"/>
      <c r="X813" s="1414"/>
      <c r="Y813" s="1414"/>
      <c r="Z813" s="1414"/>
      <c r="AA813" s="1414"/>
      <c r="AB813" s="1414"/>
      <c r="AC813" s="1414"/>
      <c r="AD813" s="1414"/>
      <c r="AE813" s="1414"/>
      <c r="AF813" s="1414"/>
      <c r="AG813" s="1414"/>
      <c r="AH813" s="1414"/>
      <c r="AI813" s="1414"/>
      <c r="AJ813" s="1414"/>
      <c r="AK813" s="1414"/>
      <c r="AL813" s="1414"/>
      <c r="AM813" s="1414"/>
      <c r="AN813" s="1414"/>
      <c r="AO813" s="1414"/>
      <c r="AP813" s="1414"/>
      <c r="AQ813" s="1414"/>
      <c r="AR813" s="1414"/>
      <c r="AS813" s="1414"/>
      <c r="AT813" s="1414"/>
      <c r="AU813" s="1414"/>
      <c r="AV813" s="1414"/>
      <c r="AW813" s="1414"/>
      <c r="AX813" s="1414"/>
      <c r="AY813" s="1399"/>
      <c r="AZ813" s="1399"/>
      <c r="BA813" s="1399"/>
      <c r="BB813" s="1399"/>
      <c r="BC813" s="1399"/>
      <c r="BD813" s="1399"/>
      <c r="BE813" s="1414"/>
      <c r="BF813" s="1399"/>
      <c r="BG813" s="1399"/>
      <c r="BH813" s="1399"/>
      <c r="BI813" s="1399"/>
      <c r="BJ813" s="1399"/>
      <c r="BK813" s="1399"/>
      <c r="BL813" s="1399"/>
      <c r="BM813" s="1399"/>
      <c r="BN813" s="1399"/>
      <c r="BO813" s="1399"/>
      <c r="BP813" s="1399"/>
      <c r="BQ813" s="1399"/>
      <c r="BR813" s="1399"/>
      <c r="BS813" s="1399"/>
      <c r="BT813" s="1399"/>
      <c r="BU813" s="1399"/>
      <c r="BV813" s="1399"/>
      <c r="BW813" s="1399"/>
      <c r="BX813" s="1399"/>
      <c r="BY813" s="1399"/>
      <c r="BZ813" s="1399"/>
      <c r="CA813" s="1399"/>
      <c r="CB813" s="1399"/>
      <c r="CC813" s="1399"/>
      <c r="CD813" s="1399"/>
      <c r="CE813" s="1399"/>
      <c r="CF813" s="1399"/>
      <c r="CG813" s="1399"/>
      <c r="CH813" s="1399"/>
      <c r="CI813" s="1399"/>
      <c r="CJ813" s="1399"/>
      <c r="CK813" s="1399"/>
      <c r="CL813" s="1399"/>
      <c r="CM813" s="1399"/>
      <c r="CN813" s="1399"/>
      <c r="CO813" s="1399"/>
      <c r="CP813" s="1399"/>
      <c r="CQ813" s="1399"/>
      <c r="CR813" s="1399"/>
      <c r="CS813" s="1399"/>
      <c r="CT813" s="1399"/>
      <c r="CU813" s="1399"/>
      <c r="CV813" s="1399"/>
      <c r="CW813" s="1399"/>
      <c r="CX813" s="1399"/>
      <c r="CY813" s="1399"/>
      <c r="CZ813" s="1399"/>
      <c r="DA813" s="1399"/>
      <c r="DB813" s="1399"/>
      <c r="DC813" s="1399"/>
      <c r="DD813" s="1399"/>
      <c r="DE813" s="1399"/>
      <c r="DF813" s="1399"/>
      <c r="DG813" s="1399"/>
      <c r="DH813" s="1399"/>
      <c r="DI813" s="1399"/>
      <c r="DJ813" s="1399"/>
      <c r="DK813" s="1399"/>
      <c r="DL813" s="1399"/>
      <c r="DM813" s="1399"/>
      <c r="DN813" s="1399"/>
      <c r="DO813" s="1399"/>
      <c r="DP813" s="1399"/>
      <c r="DQ813" s="1399"/>
      <c r="DR813" s="1399"/>
      <c r="DS813" s="1399"/>
      <c r="DT813" s="1399"/>
      <c r="DU813" s="1399"/>
    </row>
    <row r="814" spans="1:125">
      <c r="A814" s="1414"/>
      <c r="B814" s="1414"/>
      <c r="C814" s="1414"/>
      <c r="D814" s="1414"/>
      <c r="E814" s="1414"/>
      <c r="F814" s="1414"/>
      <c r="G814" s="1414"/>
      <c r="H814" s="1414"/>
      <c r="I814" s="1414"/>
      <c r="J814" s="1414"/>
      <c r="K814" s="1414"/>
      <c r="L814" s="1414"/>
      <c r="M814" s="1414"/>
      <c r="N814" s="1414"/>
      <c r="O814" s="1414"/>
      <c r="P814" s="1414"/>
      <c r="Q814" s="1414"/>
      <c r="R814" s="1414"/>
      <c r="S814" s="1414"/>
      <c r="T814" s="1414"/>
      <c r="U814" s="1414"/>
      <c r="V814" s="1414"/>
      <c r="W814" s="1414"/>
      <c r="X814" s="1414"/>
      <c r="Y814" s="1414"/>
      <c r="Z814" s="1414"/>
      <c r="AA814" s="1414"/>
      <c r="AB814" s="1414"/>
      <c r="AC814" s="1414"/>
      <c r="AD814" s="1414"/>
      <c r="AE814" s="1414"/>
      <c r="AF814" s="1414"/>
      <c r="AG814" s="1414"/>
      <c r="AH814" s="1414"/>
      <c r="AI814" s="1414"/>
      <c r="AJ814" s="1414"/>
      <c r="AK814" s="1414"/>
      <c r="AL814" s="1414"/>
      <c r="AM814" s="1414"/>
      <c r="AN814" s="1414"/>
      <c r="AO814" s="1414"/>
      <c r="AP814" s="1414"/>
      <c r="AQ814" s="1414"/>
      <c r="AR814" s="1414"/>
      <c r="AS814" s="1414"/>
      <c r="AT814" s="1414"/>
      <c r="AU814" s="1414"/>
      <c r="AV814" s="1414"/>
      <c r="AW814" s="1414"/>
      <c r="AX814" s="1414"/>
      <c r="AY814" s="1399"/>
      <c r="AZ814" s="1399"/>
      <c r="BA814" s="1399"/>
      <c r="BB814" s="1399"/>
      <c r="BC814" s="1399"/>
      <c r="BD814" s="1399"/>
      <c r="BE814" s="1414"/>
      <c r="BF814" s="1399"/>
      <c r="BG814" s="1399"/>
      <c r="BH814" s="1399"/>
      <c r="BI814" s="1399"/>
      <c r="BJ814" s="1399"/>
      <c r="BK814" s="1399"/>
      <c r="BL814" s="1399"/>
      <c r="BM814" s="1399"/>
      <c r="BN814" s="1399"/>
      <c r="BO814" s="1399"/>
      <c r="BP814" s="1399"/>
      <c r="BQ814" s="1399"/>
      <c r="BR814" s="1399"/>
      <c r="BS814" s="1399"/>
      <c r="BT814" s="1399"/>
      <c r="BU814" s="1399"/>
      <c r="BV814" s="1399"/>
      <c r="BW814" s="1399"/>
      <c r="BX814" s="1399"/>
      <c r="BY814" s="1399"/>
      <c r="BZ814" s="1399"/>
      <c r="CA814" s="1399"/>
      <c r="CB814" s="1399"/>
      <c r="CC814" s="1399"/>
      <c r="CD814" s="1399"/>
      <c r="CE814" s="1399"/>
      <c r="CF814" s="1399"/>
      <c r="CG814" s="1399"/>
      <c r="CH814" s="1399"/>
      <c r="CI814" s="1399"/>
      <c r="CJ814" s="1399"/>
      <c r="CK814" s="1399"/>
      <c r="CL814" s="1399"/>
      <c r="CM814" s="1399"/>
      <c r="CN814" s="1399"/>
      <c r="CO814" s="1399"/>
      <c r="CP814" s="1399"/>
      <c r="CQ814" s="1399"/>
      <c r="CR814" s="1399"/>
      <c r="CS814" s="1399"/>
      <c r="CT814" s="1399"/>
      <c r="CU814" s="1399"/>
      <c r="CV814" s="1399"/>
      <c r="CW814" s="1399"/>
      <c r="CX814" s="1399"/>
      <c r="CY814" s="1399"/>
      <c r="CZ814" s="1399"/>
      <c r="DA814" s="1399"/>
      <c r="DB814" s="1399"/>
      <c r="DC814" s="1399"/>
      <c r="DD814" s="1399"/>
      <c r="DE814" s="1399"/>
      <c r="DF814" s="1399"/>
      <c r="DG814" s="1399"/>
      <c r="DH814" s="1399"/>
      <c r="DI814" s="1399"/>
      <c r="DJ814" s="1399"/>
      <c r="DK814" s="1399"/>
      <c r="DL814" s="1399"/>
      <c r="DM814" s="1399"/>
      <c r="DN814" s="1399"/>
      <c r="DO814" s="1399"/>
      <c r="DP814" s="1399"/>
      <c r="DQ814" s="1399"/>
      <c r="DR814" s="1399"/>
      <c r="DS814" s="1399"/>
      <c r="DT814" s="1399"/>
      <c r="DU814" s="1399"/>
    </row>
    <row r="815" spans="1:125">
      <c r="A815" s="1414"/>
      <c r="B815" s="1414"/>
      <c r="C815" s="1414"/>
      <c r="D815" s="1414"/>
      <c r="E815" s="1414"/>
      <c r="F815" s="1414"/>
      <c r="G815" s="1414"/>
      <c r="H815" s="1414"/>
      <c r="I815" s="1414"/>
      <c r="J815" s="1414"/>
      <c r="K815" s="1414"/>
      <c r="L815" s="1414"/>
      <c r="M815" s="1414"/>
      <c r="N815" s="1414"/>
      <c r="O815" s="1414"/>
      <c r="P815" s="1414"/>
      <c r="Q815" s="1414"/>
      <c r="R815" s="1414"/>
      <c r="S815" s="1414"/>
      <c r="T815" s="1414"/>
      <c r="U815" s="1414"/>
      <c r="V815" s="1414"/>
      <c r="W815" s="1414"/>
      <c r="X815" s="1414"/>
      <c r="Y815" s="1414"/>
      <c r="Z815" s="1414"/>
      <c r="AA815" s="1414"/>
      <c r="AB815" s="1414"/>
      <c r="AC815" s="1414"/>
      <c r="AD815" s="1414"/>
      <c r="AE815" s="1414"/>
      <c r="AF815" s="1414"/>
      <c r="AG815" s="1414"/>
      <c r="AH815" s="1414"/>
      <c r="AI815" s="1414"/>
      <c r="AJ815" s="1414"/>
      <c r="AK815" s="1414"/>
      <c r="AL815" s="1414"/>
      <c r="AM815" s="1414"/>
      <c r="AN815" s="1414"/>
      <c r="AO815" s="1414"/>
      <c r="AP815" s="1414"/>
      <c r="AQ815" s="1414"/>
      <c r="AR815" s="1414"/>
      <c r="AS815" s="1414"/>
      <c r="AT815" s="1414"/>
      <c r="AU815" s="1414"/>
      <c r="AV815" s="1414"/>
      <c r="AW815" s="1414"/>
      <c r="AX815" s="1414"/>
      <c r="AY815" s="1399"/>
      <c r="AZ815" s="1399"/>
      <c r="BA815" s="1399"/>
      <c r="BB815" s="1399"/>
      <c r="BC815" s="1399"/>
      <c r="BD815" s="1399"/>
      <c r="BE815" s="1414"/>
      <c r="BF815" s="1399"/>
      <c r="BG815" s="1399"/>
      <c r="BH815" s="1399"/>
      <c r="BI815" s="1399"/>
      <c r="BJ815" s="1399"/>
      <c r="BK815" s="1399"/>
      <c r="BL815" s="1399"/>
      <c r="BM815" s="1399"/>
      <c r="BN815" s="1399"/>
      <c r="BO815" s="1399"/>
      <c r="BP815" s="1399"/>
      <c r="BQ815" s="1399"/>
      <c r="BR815" s="1399"/>
      <c r="BS815" s="1399"/>
      <c r="BT815" s="1399"/>
      <c r="BU815" s="1399"/>
      <c r="BV815" s="1399"/>
      <c r="BW815" s="1399"/>
      <c r="BX815" s="1399"/>
      <c r="BY815" s="1399"/>
      <c r="BZ815" s="1399"/>
      <c r="CA815" s="1399"/>
      <c r="CB815" s="1399"/>
      <c r="CC815" s="1399"/>
      <c r="CD815" s="1399"/>
      <c r="CE815" s="1399"/>
      <c r="CF815" s="1399"/>
      <c r="CG815" s="1399"/>
      <c r="CH815" s="1399"/>
      <c r="CI815" s="1399"/>
      <c r="CJ815" s="1399"/>
      <c r="CK815" s="1399"/>
      <c r="CL815" s="1399"/>
      <c r="CM815" s="1399"/>
      <c r="CN815" s="1399"/>
      <c r="CO815" s="1399"/>
      <c r="CP815" s="1399"/>
      <c r="CQ815" s="1399"/>
      <c r="CR815" s="1399"/>
      <c r="CS815" s="1399"/>
      <c r="CT815" s="1399"/>
      <c r="CU815" s="1399"/>
      <c r="CV815" s="1399"/>
      <c r="CW815" s="1399"/>
      <c r="CX815" s="1399"/>
      <c r="CY815" s="1399"/>
      <c r="CZ815" s="1399"/>
      <c r="DA815" s="1399"/>
      <c r="DB815" s="1399"/>
      <c r="DC815" s="1399"/>
      <c r="DD815" s="1399"/>
      <c r="DE815" s="1399"/>
      <c r="DF815" s="1399"/>
      <c r="DG815" s="1399"/>
      <c r="DH815" s="1399"/>
      <c r="DI815" s="1399"/>
      <c r="DJ815" s="1399"/>
      <c r="DK815" s="1399"/>
      <c r="DL815" s="1399"/>
      <c r="DM815" s="1399"/>
      <c r="DN815" s="1399"/>
      <c r="DO815" s="1399"/>
      <c r="DP815" s="1399"/>
      <c r="DQ815" s="1399"/>
      <c r="DR815" s="1399"/>
      <c r="DS815" s="1399"/>
      <c r="DT815" s="1399"/>
      <c r="DU815" s="1399"/>
    </row>
    <row r="816" spans="1:125">
      <c r="A816" s="1414"/>
      <c r="B816" s="1414"/>
      <c r="C816" s="1414"/>
      <c r="D816" s="1414"/>
      <c r="E816" s="1414"/>
      <c r="F816" s="1414"/>
      <c r="G816" s="1414"/>
      <c r="H816" s="1414"/>
      <c r="I816" s="1414"/>
      <c r="J816" s="1414"/>
      <c r="K816" s="1414"/>
      <c r="L816" s="1414"/>
      <c r="M816" s="1414"/>
      <c r="N816" s="1414"/>
      <c r="O816" s="1414"/>
      <c r="P816" s="1414"/>
      <c r="Q816" s="1414"/>
      <c r="R816" s="1414"/>
      <c r="S816" s="1414"/>
      <c r="T816" s="1414"/>
      <c r="U816" s="1414"/>
      <c r="V816" s="1414"/>
      <c r="W816" s="1414"/>
      <c r="X816" s="1414"/>
      <c r="Y816" s="1414"/>
      <c r="Z816" s="1414"/>
      <c r="AA816" s="1414"/>
      <c r="AB816" s="1414"/>
      <c r="AC816" s="1414"/>
      <c r="AD816" s="1414"/>
      <c r="AE816" s="1414"/>
      <c r="AF816" s="1414"/>
      <c r="AG816" s="1414"/>
      <c r="AH816" s="1414"/>
      <c r="AI816" s="1414"/>
      <c r="AJ816" s="1414"/>
      <c r="AK816" s="1414"/>
      <c r="AL816" s="1414"/>
      <c r="AM816" s="1414"/>
      <c r="AN816" s="1414"/>
      <c r="AO816" s="1414"/>
      <c r="AP816" s="1414"/>
      <c r="AQ816" s="1414"/>
      <c r="AR816" s="1414"/>
      <c r="AS816" s="1414"/>
      <c r="AT816" s="1414"/>
      <c r="AU816" s="1414"/>
      <c r="AV816" s="1414"/>
      <c r="AW816" s="1414"/>
      <c r="AX816" s="1414"/>
      <c r="AY816" s="1399"/>
      <c r="AZ816" s="1399"/>
      <c r="BA816" s="1399"/>
      <c r="BB816" s="1399"/>
      <c r="BC816" s="1399"/>
      <c r="BD816" s="1399"/>
      <c r="BE816" s="1414"/>
      <c r="BF816" s="1399"/>
      <c r="BG816" s="1399"/>
      <c r="BH816" s="1399"/>
      <c r="BI816" s="1399"/>
      <c r="BJ816" s="1399"/>
      <c r="BK816" s="1399"/>
      <c r="BL816" s="1399"/>
      <c r="BM816" s="1399"/>
      <c r="BN816" s="1399"/>
      <c r="BO816" s="1399"/>
      <c r="BP816" s="1399"/>
      <c r="BQ816" s="1399"/>
      <c r="BR816" s="1399"/>
      <c r="BS816" s="1399"/>
      <c r="BT816" s="1399"/>
      <c r="BU816" s="1399"/>
      <c r="BV816" s="1399"/>
      <c r="BW816" s="1399"/>
      <c r="BX816" s="1399"/>
      <c r="BY816" s="1399"/>
      <c r="BZ816" s="1399"/>
      <c r="CA816" s="1399"/>
      <c r="CB816" s="1399"/>
      <c r="CC816" s="1399"/>
      <c r="CD816" s="1399"/>
      <c r="CE816" s="1399"/>
      <c r="CF816" s="1399"/>
      <c r="CG816" s="1399"/>
      <c r="CH816" s="1399"/>
      <c r="CI816" s="1399"/>
      <c r="CJ816" s="1399"/>
      <c r="CK816" s="1399"/>
      <c r="CL816" s="1399"/>
      <c r="CM816" s="1399"/>
      <c r="CN816" s="1399"/>
      <c r="CO816" s="1399"/>
      <c r="CP816" s="1399"/>
      <c r="CQ816" s="1399"/>
      <c r="CR816" s="1399"/>
      <c r="CS816" s="1399"/>
      <c r="CT816" s="1399"/>
      <c r="CU816" s="1399"/>
      <c r="CV816" s="1399"/>
      <c r="CW816" s="1399"/>
      <c r="CX816" s="1399"/>
      <c r="CY816" s="1399"/>
      <c r="CZ816" s="1399"/>
      <c r="DA816" s="1399"/>
      <c r="DB816" s="1399"/>
      <c r="DC816" s="1399"/>
      <c r="DD816" s="1399"/>
      <c r="DE816" s="1399"/>
      <c r="DF816" s="1399"/>
      <c r="DG816" s="1399"/>
      <c r="DH816" s="1399"/>
      <c r="DI816" s="1399"/>
      <c r="DJ816" s="1399"/>
      <c r="DK816" s="1399"/>
      <c r="DL816" s="1399"/>
      <c r="DM816" s="1399"/>
      <c r="DN816" s="1399"/>
      <c r="DO816" s="1399"/>
      <c r="DP816" s="1399"/>
      <c r="DQ816" s="1399"/>
      <c r="DR816" s="1399"/>
      <c r="DS816" s="1399"/>
      <c r="DT816" s="1399"/>
      <c r="DU816" s="1399"/>
    </row>
    <row r="817" spans="1:125">
      <c r="A817" s="1414"/>
      <c r="B817" s="1414"/>
      <c r="C817" s="1414"/>
      <c r="D817" s="1414"/>
      <c r="E817" s="1414"/>
      <c r="F817" s="1414"/>
      <c r="G817" s="1414"/>
      <c r="H817" s="1414"/>
      <c r="I817" s="1414"/>
      <c r="J817" s="1414"/>
      <c r="K817" s="1414"/>
      <c r="L817" s="1414"/>
      <c r="M817" s="1414"/>
      <c r="N817" s="1414"/>
      <c r="O817" s="1414"/>
      <c r="P817" s="1414"/>
      <c r="Q817" s="1414"/>
      <c r="R817" s="1414"/>
      <c r="S817" s="1414"/>
      <c r="T817" s="1414"/>
      <c r="U817" s="1414"/>
      <c r="V817" s="1414"/>
      <c r="W817" s="1414"/>
      <c r="X817" s="1414"/>
      <c r="Y817" s="1414"/>
      <c r="Z817" s="1414"/>
      <c r="AA817" s="1414"/>
      <c r="AB817" s="1414"/>
      <c r="AC817" s="1414"/>
      <c r="AD817" s="1414"/>
      <c r="AE817" s="1414"/>
      <c r="AF817" s="1414"/>
      <c r="AG817" s="1414"/>
      <c r="AH817" s="1414"/>
      <c r="AI817" s="1414"/>
      <c r="AJ817" s="1414"/>
      <c r="AK817" s="1414"/>
      <c r="AL817" s="1414"/>
      <c r="AM817" s="1414"/>
      <c r="AN817" s="1414"/>
      <c r="AO817" s="1414"/>
      <c r="AP817" s="1414"/>
      <c r="AQ817" s="1414"/>
      <c r="AR817" s="1414"/>
      <c r="AS817" s="1414"/>
      <c r="AT817" s="1414"/>
      <c r="AU817" s="1414"/>
      <c r="AV817" s="1414"/>
      <c r="AW817" s="1414"/>
      <c r="AX817" s="1414"/>
      <c r="AY817" s="1399"/>
      <c r="AZ817" s="1399"/>
      <c r="BA817" s="1399"/>
      <c r="BB817" s="1399"/>
      <c r="BC817" s="1399"/>
      <c r="BD817" s="1399"/>
      <c r="BE817" s="1414"/>
      <c r="BF817" s="1399"/>
      <c r="BG817" s="1399"/>
      <c r="BH817" s="1399"/>
      <c r="BI817" s="1399"/>
      <c r="BJ817" s="1399"/>
      <c r="BK817" s="1399"/>
      <c r="BL817" s="1399"/>
      <c r="BM817" s="1399"/>
      <c r="BN817" s="1399"/>
      <c r="BO817" s="1399"/>
      <c r="BP817" s="1399"/>
      <c r="BQ817" s="1399"/>
      <c r="BR817" s="1399"/>
      <c r="BS817" s="1399"/>
      <c r="BT817" s="1399"/>
      <c r="BU817" s="1399"/>
      <c r="BV817" s="1399"/>
      <c r="BW817" s="1399"/>
      <c r="BX817" s="1399"/>
      <c r="BY817" s="1399"/>
      <c r="BZ817" s="1399"/>
      <c r="CA817" s="1399"/>
      <c r="CB817" s="1399"/>
      <c r="CC817" s="1399"/>
      <c r="CD817" s="1399"/>
      <c r="CE817" s="1399"/>
      <c r="CF817" s="1399"/>
      <c r="CG817" s="1399"/>
      <c r="CH817" s="1399"/>
      <c r="CI817" s="1399"/>
      <c r="CJ817" s="1399"/>
      <c r="CK817" s="1399"/>
      <c r="CL817" s="1399"/>
      <c r="CM817" s="1399"/>
      <c r="CN817" s="1399"/>
      <c r="CO817" s="1399"/>
      <c r="CP817" s="1399"/>
      <c r="CQ817" s="1399"/>
      <c r="CR817" s="1399"/>
      <c r="CS817" s="1399"/>
      <c r="CT817" s="1399"/>
      <c r="CU817" s="1399"/>
      <c r="CV817" s="1399"/>
      <c r="CW817" s="1399"/>
      <c r="CX817" s="1399"/>
      <c r="CY817" s="1399"/>
      <c r="CZ817" s="1399"/>
      <c r="DA817" s="1399"/>
      <c r="DB817" s="1399"/>
      <c r="DC817" s="1399"/>
      <c r="DD817" s="1399"/>
      <c r="DE817" s="1399"/>
      <c r="DF817" s="1399"/>
      <c r="DG817" s="1399"/>
      <c r="DH817" s="1399"/>
      <c r="DI817" s="1399"/>
      <c r="DJ817" s="1399"/>
      <c r="DK817" s="1399"/>
      <c r="DL817" s="1399"/>
      <c r="DM817" s="1399"/>
      <c r="DN817" s="1399"/>
      <c r="DO817" s="1399"/>
      <c r="DP817" s="1399"/>
      <c r="DQ817" s="1399"/>
      <c r="DR817" s="1399"/>
      <c r="DS817" s="1399"/>
      <c r="DT817" s="1399"/>
      <c r="DU817" s="1399"/>
    </row>
    <row r="818" spans="1:125">
      <c r="A818" s="1414"/>
      <c r="B818" s="1414"/>
      <c r="C818" s="1414"/>
      <c r="D818" s="1414"/>
      <c r="E818" s="1414"/>
      <c r="F818" s="1414"/>
      <c r="G818" s="1414"/>
      <c r="H818" s="1414"/>
      <c r="I818" s="1414"/>
      <c r="J818" s="1414"/>
      <c r="K818" s="1414"/>
      <c r="L818" s="1414"/>
      <c r="M818" s="1414"/>
      <c r="N818" s="1414"/>
      <c r="O818" s="1414"/>
      <c r="P818" s="1414"/>
      <c r="Q818" s="1414"/>
      <c r="R818" s="1414"/>
      <c r="S818" s="1414"/>
      <c r="T818" s="1414"/>
      <c r="U818" s="1414"/>
      <c r="V818" s="1414"/>
      <c r="W818" s="1414"/>
      <c r="X818" s="1414"/>
      <c r="Y818" s="1414"/>
      <c r="Z818" s="1414"/>
      <c r="AA818" s="1414"/>
      <c r="AB818" s="1414"/>
      <c r="AC818" s="1414"/>
      <c r="AD818" s="1414"/>
      <c r="AE818" s="1414"/>
      <c r="AF818" s="1414"/>
      <c r="AG818" s="1414"/>
      <c r="AH818" s="1414"/>
      <c r="AI818" s="1414"/>
      <c r="AJ818" s="1414"/>
      <c r="AK818" s="1414"/>
      <c r="AL818" s="1414"/>
      <c r="AM818" s="1414"/>
      <c r="AN818" s="1414"/>
      <c r="AO818" s="1414"/>
      <c r="AP818" s="1414"/>
      <c r="AQ818" s="1414"/>
      <c r="AR818" s="1414"/>
      <c r="AS818" s="1414"/>
      <c r="AT818" s="1414"/>
      <c r="AU818" s="1414"/>
      <c r="AV818" s="1414"/>
      <c r="AW818" s="1414"/>
      <c r="AX818" s="1414"/>
      <c r="AY818" s="1399"/>
      <c r="AZ818" s="1399"/>
      <c r="BA818" s="1399"/>
      <c r="BB818" s="1399"/>
      <c r="BC818" s="1399"/>
      <c r="BD818" s="1399"/>
      <c r="BE818" s="1414"/>
      <c r="BF818" s="1399"/>
      <c r="BG818" s="1399"/>
      <c r="BH818" s="1399"/>
      <c r="BI818" s="1399"/>
      <c r="BJ818" s="1399"/>
      <c r="BK818" s="1399"/>
      <c r="BL818" s="1399"/>
      <c r="BM818" s="1399"/>
      <c r="BN818" s="1399"/>
      <c r="BO818" s="1399"/>
      <c r="BP818" s="1399"/>
      <c r="BQ818" s="1399"/>
      <c r="BR818" s="1399"/>
      <c r="BS818" s="1399"/>
      <c r="BT818" s="1399"/>
      <c r="BU818" s="1399"/>
      <c r="BV818" s="1399"/>
      <c r="BW818" s="1399"/>
      <c r="BX818" s="1399"/>
      <c r="BY818" s="1399"/>
      <c r="BZ818" s="1399"/>
      <c r="CA818" s="1399"/>
      <c r="CB818" s="1399"/>
      <c r="CC818" s="1399"/>
      <c r="CD818" s="1399"/>
      <c r="CE818" s="1399"/>
      <c r="CF818" s="1399"/>
      <c r="CG818" s="1399"/>
      <c r="CH818" s="1399"/>
      <c r="CI818" s="1399"/>
      <c r="CJ818" s="1399"/>
      <c r="CK818" s="1399"/>
      <c r="CL818" s="1399"/>
      <c r="CM818" s="1399"/>
      <c r="CN818" s="1399"/>
      <c r="CO818" s="1399"/>
      <c r="CP818" s="1399"/>
      <c r="CQ818" s="1399"/>
      <c r="CR818" s="1399"/>
      <c r="CS818" s="1399"/>
      <c r="CT818" s="1399"/>
      <c r="CU818" s="1399"/>
      <c r="CV818" s="1399"/>
      <c r="CW818" s="1399"/>
      <c r="CX818" s="1399"/>
      <c r="CY818" s="1399"/>
      <c r="CZ818" s="1399"/>
      <c r="DA818" s="1399"/>
      <c r="DB818" s="1399"/>
      <c r="DC818" s="1399"/>
      <c r="DD818" s="1399"/>
      <c r="DE818" s="1399"/>
      <c r="DF818" s="1399"/>
      <c r="DG818" s="1399"/>
      <c r="DH818" s="1399"/>
      <c r="DI818" s="1399"/>
      <c r="DJ818" s="1399"/>
      <c r="DK818" s="1399"/>
      <c r="DL818" s="1399"/>
      <c r="DM818" s="1399"/>
      <c r="DN818" s="1399"/>
      <c r="DO818" s="1399"/>
      <c r="DP818" s="1399"/>
      <c r="DQ818" s="1399"/>
      <c r="DR818" s="1399"/>
      <c r="DS818" s="1399"/>
      <c r="DT818" s="1399"/>
      <c r="DU818" s="1399"/>
    </row>
    <row r="819" spans="1:125">
      <c r="A819" s="1414"/>
      <c r="B819" s="1414"/>
      <c r="C819" s="1414"/>
      <c r="D819" s="1414"/>
      <c r="E819" s="1414"/>
      <c r="F819" s="1414"/>
      <c r="G819" s="1414"/>
      <c r="H819" s="1414"/>
      <c r="I819" s="1414"/>
      <c r="J819" s="1414"/>
      <c r="K819" s="1414"/>
      <c r="L819" s="1414"/>
      <c r="M819" s="1414"/>
      <c r="N819" s="1414"/>
      <c r="O819" s="1414"/>
      <c r="P819" s="1414"/>
      <c r="Q819" s="1414"/>
      <c r="R819" s="1414"/>
      <c r="S819" s="1414"/>
      <c r="T819" s="1414"/>
      <c r="U819" s="1414"/>
      <c r="V819" s="1414"/>
      <c r="W819" s="1414"/>
      <c r="X819" s="1414"/>
      <c r="Y819" s="1414"/>
      <c r="Z819" s="1414"/>
      <c r="AA819" s="1414"/>
      <c r="AB819" s="1414"/>
      <c r="AC819" s="1414"/>
      <c r="AD819" s="1414"/>
      <c r="AE819" s="1414"/>
      <c r="AF819" s="1414"/>
      <c r="AG819" s="1414"/>
      <c r="AH819" s="1414"/>
      <c r="AI819" s="1414"/>
      <c r="AJ819" s="1414"/>
      <c r="AK819" s="1414"/>
      <c r="AL819" s="1414"/>
      <c r="AM819" s="1414"/>
      <c r="AN819" s="1414"/>
      <c r="AO819" s="1414"/>
      <c r="AP819" s="1414"/>
      <c r="AQ819" s="1414"/>
      <c r="AR819" s="1414"/>
      <c r="AS819" s="1414"/>
      <c r="AT819" s="1414"/>
      <c r="AU819" s="1414"/>
      <c r="AV819" s="1414"/>
      <c r="AW819" s="1414"/>
      <c r="AX819" s="1414"/>
      <c r="AY819" s="1399"/>
      <c r="AZ819" s="1399"/>
      <c r="BA819" s="1399"/>
      <c r="BB819" s="1399"/>
      <c r="BC819" s="1399"/>
      <c r="BD819" s="1399"/>
      <c r="BE819" s="1414"/>
      <c r="BF819" s="1399"/>
      <c r="BG819" s="1399"/>
      <c r="BH819" s="1399"/>
      <c r="BI819" s="1399"/>
      <c r="BJ819" s="1399"/>
      <c r="BK819" s="1399"/>
      <c r="BL819" s="1399"/>
      <c r="BM819" s="1399"/>
      <c r="BN819" s="1399"/>
      <c r="BO819" s="1399"/>
      <c r="BP819" s="1399"/>
      <c r="BQ819" s="1399"/>
      <c r="BR819" s="1399"/>
      <c r="BS819" s="1399"/>
      <c r="BT819" s="1399"/>
      <c r="BU819" s="1399"/>
      <c r="BV819" s="1399"/>
      <c r="BW819" s="1399"/>
      <c r="BX819" s="1399"/>
      <c r="BY819" s="1399"/>
      <c r="BZ819" s="1399"/>
      <c r="CA819" s="1399"/>
      <c r="CB819" s="1399"/>
      <c r="CC819" s="1399"/>
      <c r="CD819" s="1399"/>
      <c r="CE819" s="1399"/>
      <c r="CF819" s="1399"/>
      <c r="CG819" s="1399"/>
      <c r="CH819" s="1399"/>
      <c r="CI819" s="1399"/>
      <c r="CJ819" s="1399"/>
      <c r="CK819" s="1399"/>
      <c r="CL819" s="1399"/>
      <c r="CM819" s="1399"/>
      <c r="CN819" s="1399"/>
      <c r="CO819" s="1399"/>
      <c r="CP819" s="1399"/>
      <c r="CQ819" s="1399"/>
      <c r="CR819" s="1399"/>
      <c r="CS819" s="1399"/>
      <c r="CT819" s="1399"/>
      <c r="CU819" s="1399"/>
      <c r="CV819" s="1399"/>
      <c r="CW819" s="1399"/>
      <c r="CX819" s="1399"/>
      <c r="CY819" s="1399"/>
      <c r="CZ819" s="1399"/>
      <c r="DA819" s="1399"/>
      <c r="DB819" s="1399"/>
      <c r="DC819" s="1399"/>
      <c r="DD819" s="1399"/>
      <c r="DE819" s="1399"/>
      <c r="DF819" s="1399"/>
      <c r="DG819" s="1399"/>
      <c r="DH819" s="1399"/>
      <c r="DI819" s="1399"/>
      <c r="DJ819" s="1399"/>
      <c r="DK819" s="1399"/>
      <c r="DL819" s="1399"/>
      <c r="DM819" s="1399"/>
      <c r="DN819" s="1399"/>
      <c r="DO819" s="1399"/>
      <c r="DP819" s="1399"/>
      <c r="DQ819" s="1399"/>
      <c r="DR819" s="1399"/>
      <c r="DS819" s="1399"/>
      <c r="DT819" s="1399"/>
      <c r="DU819" s="1399"/>
    </row>
    <row r="820" spans="1:125">
      <c r="A820" s="1414"/>
      <c r="B820" s="1414"/>
      <c r="C820" s="1414"/>
      <c r="D820" s="1414"/>
      <c r="E820" s="1414"/>
      <c r="F820" s="1414"/>
      <c r="G820" s="1414"/>
      <c r="H820" s="1414"/>
      <c r="I820" s="1414"/>
      <c r="J820" s="1414"/>
      <c r="K820" s="1414"/>
      <c r="L820" s="1414"/>
      <c r="M820" s="1414"/>
      <c r="N820" s="1414"/>
      <c r="O820" s="1414"/>
      <c r="P820" s="1414"/>
      <c r="Q820" s="1414"/>
      <c r="R820" s="1414"/>
      <c r="S820" s="1414"/>
      <c r="T820" s="1414"/>
      <c r="U820" s="1414"/>
      <c r="V820" s="1414"/>
      <c r="W820" s="1414"/>
      <c r="X820" s="1414"/>
      <c r="Y820" s="1414"/>
      <c r="Z820" s="1414"/>
      <c r="AA820" s="1414"/>
      <c r="AB820" s="1414"/>
      <c r="AC820" s="1414"/>
      <c r="AD820" s="1414"/>
      <c r="AE820" s="1414"/>
      <c r="AF820" s="1414"/>
      <c r="AG820" s="1414"/>
      <c r="AH820" s="1414"/>
      <c r="AI820" s="1414"/>
      <c r="AJ820" s="1414"/>
      <c r="AK820" s="1414"/>
      <c r="AL820" s="1414"/>
      <c r="AM820" s="1414"/>
      <c r="AN820" s="1414"/>
      <c r="AO820" s="1414"/>
      <c r="AP820" s="1414"/>
      <c r="AQ820" s="1414"/>
      <c r="AR820" s="1414"/>
      <c r="AS820" s="1414"/>
      <c r="AT820" s="1414"/>
      <c r="AU820" s="1414"/>
      <c r="AV820" s="1414"/>
      <c r="AW820" s="1414"/>
      <c r="AX820" s="1414"/>
      <c r="AY820" s="1399"/>
      <c r="AZ820" s="1399"/>
      <c r="BA820" s="1399"/>
      <c r="BB820" s="1399"/>
      <c r="BC820" s="1399"/>
      <c r="BD820" s="1399"/>
      <c r="BE820" s="1414"/>
      <c r="BF820" s="1399"/>
      <c r="BG820" s="1399"/>
      <c r="BH820" s="1399"/>
      <c r="BI820" s="1399"/>
      <c r="BJ820" s="1399"/>
      <c r="BK820" s="1399"/>
      <c r="BL820" s="1399"/>
      <c r="BM820" s="1399"/>
      <c r="BN820" s="1399"/>
      <c r="BO820" s="1399"/>
      <c r="BP820" s="1399"/>
      <c r="BQ820" s="1399"/>
      <c r="BR820" s="1399"/>
      <c r="BS820" s="1399"/>
      <c r="BT820" s="1399"/>
      <c r="BU820" s="1399"/>
      <c r="BV820" s="1399"/>
      <c r="BW820" s="1399"/>
      <c r="BX820" s="1399"/>
      <c r="BY820" s="1399"/>
      <c r="BZ820" s="1399"/>
      <c r="CA820" s="1399"/>
      <c r="CB820" s="1399"/>
      <c r="CC820" s="1399"/>
      <c r="CD820" s="1399"/>
      <c r="CE820" s="1399"/>
      <c r="CF820" s="1399"/>
      <c r="CG820" s="1399"/>
      <c r="CH820" s="1399"/>
      <c r="CI820" s="1399"/>
      <c r="CJ820" s="1399"/>
      <c r="CK820" s="1399"/>
      <c r="CL820" s="1399"/>
      <c r="CM820" s="1399"/>
      <c r="CN820" s="1399"/>
      <c r="CO820" s="1399"/>
      <c r="CP820" s="1399"/>
      <c r="CQ820" s="1399"/>
      <c r="CR820" s="1399"/>
      <c r="CS820" s="1399"/>
      <c r="CT820" s="1399"/>
      <c r="CU820" s="1399"/>
      <c r="CV820" s="1399"/>
      <c r="CW820" s="1399"/>
      <c r="CX820" s="1399"/>
      <c r="CY820" s="1399"/>
      <c r="CZ820" s="1399"/>
      <c r="DA820" s="1399"/>
      <c r="DB820" s="1399"/>
      <c r="DC820" s="1399"/>
      <c r="DD820" s="1399"/>
      <c r="DE820" s="1399"/>
      <c r="DF820" s="1399"/>
      <c r="DG820" s="1399"/>
      <c r="DH820" s="1399"/>
      <c r="DI820" s="1399"/>
      <c r="DJ820" s="1399"/>
      <c r="DK820" s="1399"/>
      <c r="DL820" s="1399"/>
      <c r="DM820" s="1399"/>
      <c r="DN820" s="1399"/>
      <c r="DO820" s="1399"/>
      <c r="DP820" s="1399"/>
      <c r="DQ820" s="1399"/>
      <c r="DR820" s="1399"/>
      <c r="DS820" s="1399"/>
      <c r="DT820" s="1399"/>
      <c r="DU820" s="1399"/>
    </row>
    <row r="821" spans="1:125">
      <c r="A821" s="1414"/>
      <c r="B821" s="1414"/>
      <c r="C821" s="1414"/>
      <c r="D821" s="1414"/>
      <c r="E821" s="1414"/>
      <c r="F821" s="1414"/>
      <c r="G821" s="1414"/>
      <c r="H821" s="1414"/>
      <c r="I821" s="1414"/>
      <c r="J821" s="1414"/>
      <c r="K821" s="1414"/>
      <c r="L821" s="1414"/>
      <c r="M821" s="1414"/>
      <c r="N821" s="1414"/>
      <c r="O821" s="1414"/>
      <c r="P821" s="1414"/>
      <c r="Q821" s="1414"/>
      <c r="R821" s="1414"/>
      <c r="S821" s="1414"/>
      <c r="T821" s="1414"/>
      <c r="U821" s="1414"/>
      <c r="V821" s="1414"/>
      <c r="W821" s="1414"/>
      <c r="X821" s="1414"/>
      <c r="Y821" s="1414"/>
      <c r="Z821" s="1414"/>
      <c r="AA821" s="1414"/>
      <c r="AB821" s="1414"/>
      <c r="AC821" s="1414"/>
      <c r="AD821" s="1414"/>
      <c r="AE821" s="1414"/>
      <c r="AF821" s="1414"/>
      <c r="AG821" s="1414"/>
      <c r="AH821" s="1414"/>
      <c r="AI821" s="1414"/>
      <c r="AJ821" s="1414"/>
      <c r="AK821" s="1414"/>
      <c r="AL821" s="1414"/>
      <c r="AM821" s="1414"/>
      <c r="AN821" s="1414"/>
      <c r="AO821" s="1414"/>
      <c r="AP821" s="1414"/>
      <c r="AQ821" s="1414"/>
      <c r="AR821" s="1414"/>
      <c r="AS821" s="1414"/>
      <c r="AT821" s="1414"/>
      <c r="AU821" s="1414"/>
      <c r="AV821" s="1414"/>
      <c r="AW821" s="1414"/>
      <c r="AX821" s="1414"/>
      <c r="AY821" s="1399"/>
      <c r="AZ821" s="1399"/>
      <c r="BA821" s="1399"/>
      <c r="BB821" s="1399"/>
      <c r="BC821" s="1399"/>
      <c r="BD821" s="1399"/>
      <c r="BE821" s="1414"/>
      <c r="BF821" s="1399"/>
      <c r="BG821" s="1399"/>
      <c r="BH821" s="1399"/>
      <c r="BI821" s="1399"/>
      <c r="BJ821" s="1399"/>
      <c r="BK821" s="1399"/>
      <c r="BL821" s="1399"/>
      <c r="BM821" s="1399"/>
      <c r="BN821" s="1399"/>
      <c r="BO821" s="1399"/>
      <c r="BP821" s="1399"/>
      <c r="BQ821" s="1399"/>
      <c r="BR821" s="1399"/>
      <c r="BS821" s="1399"/>
      <c r="BT821" s="1399"/>
      <c r="BU821" s="1399"/>
      <c r="BV821" s="1399"/>
      <c r="BW821" s="1399"/>
      <c r="BX821" s="1399"/>
      <c r="BY821" s="1399"/>
      <c r="BZ821" s="1399"/>
      <c r="CA821" s="1399"/>
      <c r="CB821" s="1399"/>
      <c r="CC821" s="1399"/>
      <c r="CD821" s="1399"/>
      <c r="CE821" s="1399"/>
      <c r="CF821" s="1399"/>
      <c r="CG821" s="1399"/>
      <c r="CH821" s="1399"/>
      <c r="CI821" s="1399"/>
      <c r="CJ821" s="1399"/>
      <c r="CK821" s="1399"/>
      <c r="CL821" s="1399"/>
      <c r="CM821" s="1399"/>
      <c r="CN821" s="1399"/>
      <c r="CO821" s="1399"/>
      <c r="CP821" s="1399"/>
      <c r="CQ821" s="1399"/>
      <c r="CR821" s="1399"/>
      <c r="CS821" s="1399"/>
      <c r="CT821" s="1399"/>
      <c r="CU821" s="1399"/>
      <c r="CV821" s="1399"/>
      <c r="CW821" s="1399"/>
      <c r="CX821" s="1399"/>
      <c r="CY821" s="1399"/>
      <c r="CZ821" s="1399"/>
      <c r="DA821" s="1399"/>
      <c r="DB821" s="1399"/>
      <c r="DC821" s="1399"/>
      <c r="DD821" s="1399"/>
      <c r="DE821" s="1399"/>
      <c r="DF821" s="1399"/>
      <c r="DG821" s="1399"/>
      <c r="DH821" s="1399"/>
      <c r="DI821" s="1399"/>
      <c r="DJ821" s="1399"/>
      <c r="DK821" s="1399"/>
      <c r="DL821" s="1399"/>
      <c r="DM821" s="1399"/>
      <c r="DN821" s="1399"/>
      <c r="DO821" s="1399"/>
      <c r="DP821" s="1399"/>
      <c r="DQ821" s="1399"/>
      <c r="DR821" s="1399"/>
      <c r="DS821" s="1399"/>
      <c r="DT821" s="1399"/>
      <c r="DU821" s="1399"/>
    </row>
    <row r="822" spans="1:125">
      <c r="A822" s="1414"/>
      <c r="B822" s="1414"/>
      <c r="C822" s="1414"/>
      <c r="D822" s="1414"/>
      <c r="E822" s="1414"/>
      <c r="F822" s="1414"/>
      <c r="G822" s="1414"/>
      <c r="H822" s="1414"/>
      <c r="I822" s="1414"/>
      <c r="J822" s="1414"/>
      <c r="K822" s="1414"/>
      <c r="L822" s="1414"/>
      <c r="M822" s="1414"/>
      <c r="N822" s="1414"/>
      <c r="O822" s="1414"/>
      <c r="P822" s="1414"/>
      <c r="Q822" s="1414"/>
      <c r="R822" s="1414"/>
      <c r="S822" s="1414"/>
      <c r="T822" s="1414"/>
      <c r="U822" s="1414"/>
      <c r="V822" s="1414"/>
      <c r="W822" s="1414"/>
      <c r="X822" s="1414"/>
      <c r="Y822" s="1414"/>
      <c r="Z822" s="1414"/>
      <c r="AA822" s="1414"/>
      <c r="AB822" s="1414"/>
      <c r="AC822" s="1414"/>
      <c r="AD822" s="1414"/>
      <c r="AE822" s="1414"/>
      <c r="AF822" s="1414"/>
      <c r="AG822" s="1414"/>
      <c r="AH822" s="1414"/>
      <c r="AI822" s="1414"/>
      <c r="AJ822" s="1414"/>
      <c r="AK822" s="1414"/>
      <c r="AL822" s="1414"/>
      <c r="AM822" s="1414"/>
      <c r="AN822" s="1414"/>
      <c r="AO822" s="1414"/>
      <c r="AP822" s="1414"/>
      <c r="AQ822" s="1414"/>
      <c r="AR822" s="1414"/>
      <c r="AS822" s="1414"/>
      <c r="AT822" s="1414"/>
      <c r="AU822" s="1414"/>
      <c r="AV822" s="1414"/>
      <c r="AW822" s="1414"/>
      <c r="AX822" s="1414"/>
      <c r="AY822" s="1399"/>
      <c r="AZ822" s="1399"/>
      <c r="BA822" s="1399"/>
      <c r="BB822" s="1399"/>
      <c r="BC822" s="1399"/>
      <c r="BD822" s="1399"/>
      <c r="BE822" s="1414"/>
      <c r="BF822" s="1399"/>
      <c r="BG822" s="1399"/>
      <c r="BH822" s="1399"/>
      <c r="BI822" s="1399"/>
      <c r="BJ822" s="1399"/>
      <c r="BK822" s="1399"/>
      <c r="BL822" s="1399"/>
      <c r="BM822" s="1399"/>
      <c r="BN822" s="1399"/>
      <c r="BO822" s="1399"/>
      <c r="BP822" s="1399"/>
      <c r="BQ822" s="1399"/>
      <c r="BR822" s="1399"/>
      <c r="BS822" s="1399"/>
      <c r="BT822" s="1399"/>
      <c r="BU822" s="1399"/>
      <c r="BV822" s="1399"/>
      <c r="BW822" s="1399"/>
      <c r="BX822" s="1399"/>
      <c r="BY822" s="1399"/>
      <c r="BZ822" s="1399"/>
      <c r="CA822" s="1399"/>
      <c r="CB822" s="1399"/>
      <c r="CC822" s="1399"/>
      <c r="CD822" s="1399"/>
      <c r="CE822" s="1399"/>
      <c r="CF822" s="1399"/>
      <c r="CG822" s="1399"/>
      <c r="CH822" s="1399"/>
      <c r="CI822" s="1399"/>
      <c r="CJ822" s="1399"/>
      <c r="CK822" s="1399"/>
      <c r="CL822" s="1399"/>
      <c r="CM822" s="1399"/>
      <c r="CN822" s="1399"/>
      <c r="CO822" s="1399"/>
      <c r="CP822" s="1399"/>
      <c r="CQ822" s="1399"/>
      <c r="CR822" s="1399"/>
      <c r="CS822" s="1399"/>
      <c r="CT822" s="1399"/>
      <c r="CU822" s="1399"/>
      <c r="CV822" s="1399"/>
      <c r="CW822" s="1399"/>
      <c r="CX822" s="1399"/>
      <c r="CY822" s="1399"/>
      <c r="CZ822" s="1399"/>
      <c r="DA822" s="1399"/>
      <c r="DB822" s="1399"/>
      <c r="DC822" s="1399"/>
      <c r="DD822" s="1399"/>
      <c r="DE822" s="1399"/>
      <c r="DF822" s="1399"/>
      <c r="DG822" s="1399"/>
      <c r="DH822" s="1399"/>
      <c r="DI822" s="1399"/>
      <c r="DJ822" s="1399"/>
      <c r="DK822" s="1399"/>
      <c r="DL822" s="1399"/>
      <c r="DM822" s="1399"/>
      <c r="DN822" s="1399"/>
      <c r="DO822" s="1399"/>
      <c r="DP822" s="1399"/>
      <c r="DQ822" s="1399"/>
      <c r="DR822" s="1399"/>
      <c r="DS822" s="1399"/>
      <c r="DT822" s="1399"/>
      <c r="DU822" s="1399"/>
    </row>
    <row r="823" spans="1:125">
      <c r="A823" s="1414"/>
      <c r="B823" s="1414"/>
      <c r="C823" s="1414"/>
      <c r="D823" s="1414"/>
      <c r="E823" s="1414"/>
      <c r="F823" s="1414"/>
      <c r="G823" s="1414"/>
      <c r="H823" s="1414"/>
      <c r="I823" s="1414"/>
      <c r="J823" s="1414"/>
      <c r="K823" s="1414"/>
      <c r="L823" s="1414"/>
      <c r="M823" s="1414"/>
      <c r="N823" s="1414"/>
      <c r="O823" s="1414"/>
      <c r="P823" s="1414"/>
      <c r="Q823" s="1414"/>
      <c r="R823" s="1414"/>
      <c r="S823" s="1414"/>
      <c r="T823" s="1414"/>
      <c r="U823" s="1414"/>
      <c r="V823" s="1414"/>
      <c r="W823" s="1414"/>
      <c r="X823" s="1414"/>
      <c r="Y823" s="1414"/>
      <c r="Z823" s="1414"/>
      <c r="AA823" s="1414"/>
      <c r="AB823" s="1414"/>
      <c r="AC823" s="1414"/>
      <c r="AD823" s="1414"/>
      <c r="AE823" s="1414"/>
      <c r="AF823" s="1414"/>
      <c r="AG823" s="1414"/>
      <c r="AH823" s="1414"/>
      <c r="AI823" s="1414"/>
      <c r="AJ823" s="1414"/>
      <c r="AK823" s="1414"/>
      <c r="AL823" s="1414"/>
      <c r="AM823" s="1414"/>
      <c r="AN823" s="1414"/>
      <c r="AO823" s="1414"/>
      <c r="AP823" s="1414"/>
      <c r="AQ823" s="1414"/>
      <c r="AR823" s="1414"/>
      <c r="AS823" s="1414"/>
      <c r="AT823" s="1414"/>
      <c r="AU823" s="1414"/>
      <c r="AV823" s="1414"/>
      <c r="AW823" s="1414"/>
      <c r="AX823" s="1414"/>
      <c r="AY823" s="1399"/>
      <c r="AZ823" s="1399"/>
      <c r="BA823" s="1399"/>
      <c r="BB823" s="1399"/>
      <c r="BC823" s="1399"/>
      <c r="BD823" s="1399"/>
      <c r="BE823" s="1414"/>
      <c r="BF823" s="1399"/>
      <c r="BG823" s="1399"/>
      <c r="BH823" s="1399"/>
      <c r="BI823" s="1399"/>
      <c r="BJ823" s="1399"/>
      <c r="BK823" s="1399"/>
      <c r="BL823" s="1399"/>
      <c r="BM823" s="1399"/>
      <c r="BN823" s="1399"/>
      <c r="BO823" s="1399"/>
      <c r="BP823" s="1399"/>
      <c r="BQ823" s="1399"/>
      <c r="BR823" s="1399"/>
      <c r="BS823" s="1399"/>
      <c r="BT823" s="1399"/>
      <c r="BU823" s="1399"/>
      <c r="BV823" s="1399"/>
      <c r="BW823" s="1399"/>
      <c r="BX823" s="1399"/>
      <c r="BY823" s="1399"/>
      <c r="BZ823" s="1399"/>
      <c r="CA823" s="1399"/>
      <c r="CB823" s="1399"/>
      <c r="CC823" s="1399"/>
      <c r="CD823" s="1399"/>
      <c r="CE823" s="1399"/>
      <c r="CF823" s="1399"/>
      <c r="CG823" s="1399"/>
      <c r="CH823" s="1399"/>
      <c r="CI823" s="1399"/>
      <c r="CJ823" s="1399"/>
      <c r="CK823" s="1399"/>
      <c r="CL823" s="1399"/>
      <c r="CM823" s="1399"/>
      <c r="CN823" s="1399"/>
      <c r="CO823" s="1399"/>
      <c r="CP823" s="1399"/>
      <c r="CQ823" s="1399"/>
      <c r="CR823" s="1399"/>
      <c r="CS823" s="1399"/>
      <c r="CT823" s="1399"/>
      <c r="CU823" s="1399"/>
      <c r="CV823" s="1399"/>
      <c r="CW823" s="1399"/>
      <c r="CX823" s="1399"/>
      <c r="CY823" s="1399"/>
      <c r="CZ823" s="1399"/>
      <c r="DA823" s="1399"/>
      <c r="DB823" s="1399"/>
      <c r="DC823" s="1399"/>
      <c r="DD823" s="1399"/>
      <c r="DE823" s="1399"/>
      <c r="DF823" s="1399"/>
      <c r="DG823" s="1399"/>
      <c r="DH823" s="1399"/>
      <c r="DI823" s="1399"/>
      <c r="DJ823" s="1399"/>
      <c r="DK823" s="1399"/>
      <c r="DL823" s="1399"/>
      <c r="DM823" s="1399"/>
      <c r="DN823" s="1399"/>
      <c r="DO823" s="1399"/>
      <c r="DP823" s="1399"/>
      <c r="DQ823" s="1399"/>
      <c r="DR823" s="1399"/>
      <c r="DS823" s="1399"/>
      <c r="DT823" s="1399"/>
      <c r="DU823" s="1399"/>
    </row>
    <row r="824" spans="1:125">
      <c r="A824" s="1414"/>
      <c r="B824" s="1414"/>
      <c r="C824" s="1414"/>
      <c r="D824" s="1414"/>
      <c r="E824" s="1414"/>
      <c r="F824" s="1414"/>
      <c r="G824" s="1414"/>
      <c r="H824" s="1414"/>
      <c r="I824" s="1414"/>
      <c r="J824" s="1414"/>
      <c r="K824" s="1414"/>
      <c r="L824" s="1414"/>
      <c r="M824" s="1414"/>
      <c r="N824" s="1414"/>
      <c r="O824" s="1414"/>
      <c r="P824" s="1414"/>
      <c r="Q824" s="1414"/>
      <c r="R824" s="1414"/>
      <c r="S824" s="1414"/>
      <c r="T824" s="1414"/>
      <c r="U824" s="1414"/>
      <c r="V824" s="1414"/>
      <c r="W824" s="1414"/>
      <c r="X824" s="1414"/>
      <c r="Y824" s="1414"/>
      <c r="Z824" s="1414"/>
      <c r="AA824" s="1414"/>
      <c r="AB824" s="1414"/>
      <c r="AC824" s="1414"/>
      <c r="AD824" s="1414"/>
      <c r="AE824" s="1414"/>
      <c r="AF824" s="1414"/>
      <c r="AG824" s="1414"/>
      <c r="AH824" s="1414"/>
      <c r="AI824" s="1414"/>
      <c r="AJ824" s="1414"/>
      <c r="AK824" s="1414"/>
      <c r="AL824" s="1414"/>
      <c r="AM824" s="1414"/>
      <c r="AN824" s="1414"/>
      <c r="AO824" s="1414"/>
      <c r="AP824" s="1414"/>
      <c r="AQ824" s="1414"/>
      <c r="AR824" s="1414"/>
      <c r="AS824" s="1414"/>
      <c r="AT824" s="1414"/>
      <c r="AU824" s="1414"/>
      <c r="AV824" s="1414"/>
      <c r="AW824" s="1414"/>
      <c r="AX824" s="1414"/>
      <c r="AY824" s="1399"/>
      <c r="AZ824" s="1399"/>
      <c r="BA824" s="1399"/>
      <c r="BB824" s="1399"/>
      <c r="BC824" s="1399"/>
      <c r="BD824" s="1399"/>
      <c r="BE824" s="1414"/>
      <c r="BF824" s="1399"/>
      <c r="BG824" s="1399"/>
      <c r="BH824" s="1399"/>
      <c r="BI824" s="1399"/>
      <c r="BJ824" s="1399"/>
      <c r="BK824" s="1399"/>
      <c r="BL824" s="1399"/>
      <c r="BM824" s="1399"/>
      <c r="BN824" s="1399"/>
      <c r="BO824" s="1399"/>
      <c r="BP824" s="1399"/>
      <c r="BQ824" s="1399"/>
      <c r="BR824" s="1399"/>
      <c r="BS824" s="1399"/>
      <c r="BT824" s="1399"/>
      <c r="BU824" s="1399"/>
      <c r="BV824" s="1399"/>
      <c r="BW824" s="1399"/>
      <c r="BX824" s="1399"/>
      <c r="BY824" s="1399"/>
      <c r="BZ824" s="1399"/>
      <c r="CA824" s="1399"/>
      <c r="CB824" s="1399"/>
      <c r="CC824" s="1399"/>
      <c r="CD824" s="1399"/>
      <c r="CE824" s="1399"/>
      <c r="CF824" s="1399"/>
      <c r="CG824" s="1399"/>
      <c r="CH824" s="1399"/>
      <c r="CI824" s="1399"/>
      <c r="CJ824" s="1399"/>
      <c r="CK824" s="1399"/>
      <c r="CL824" s="1399"/>
      <c r="CM824" s="1399"/>
      <c r="CN824" s="1399"/>
      <c r="CO824" s="1399"/>
      <c r="CP824" s="1399"/>
      <c r="CQ824" s="1399"/>
      <c r="CR824" s="1399"/>
      <c r="CS824" s="1399"/>
      <c r="CT824" s="1399"/>
      <c r="CU824" s="1399"/>
      <c r="CV824" s="1399"/>
      <c r="CW824" s="1399"/>
      <c r="CX824" s="1399"/>
      <c r="CY824" s="1399"/>
      <c r="CZ824" s="1399"/>
      <c r="DA824" s="1399"/>
      <c r="DB824" s="1399"/>
      <c r="DC824" s="1399"/>
      <c r="DD824" s="1399"/>
      <c r="DE824" s="1399"/>
      <c r="DF824" s="1399"/>
      <c r="DG824" s="1399"/>
      <c r="DH824" s="1399"/>
      <c r="DI824" s="1399"/>
      <c r="DJ824" s="1399"/>
      <c r="DK824" s="1399"/>
      <c r="DL824" s="1399"/>
      <c r="DM824" s="1399"/>
      <c r="DN824" s="1399"/>
      <c r="DO824" s="1399"/>
      <c r="DP824" s="1399"/>
      <c r="DQ824" s="1399"/>
      <c r="DR824" s="1399"/>
      <c r="DS824" s="1399"/>
      <c r="DT824" s="1399"/>
      <c r="DU824" s="1399"/>
    </row>
    <row r="825" spans="1:125">
      <c r="A825" s="1414"/>
      <c r="B825" s="1414"/>
      <c r="C825" s="1414"/>
      <c r="D825" s="1414"/>
      <c r="E825" s="1414"/>
      <c r="F825" s="1414"/>
      <c r="G825" s="1414"/>
      <c r="H825" s="1414"/>
      <c r="I825" s="1414"/>
      <c r="J825" s="1414"/>
      <c r="K825" s="1414"/>
      <c r="L825" s="1414"/>
      <c r="M825" s="1414"/>
      <c r="N825" s="1414"/>
      <c r="O825" s="1414"/>
      <c r="P825" s="1414"/>
      <c r="Q825" s="1414"/>
      <c r="R825" s="1414"/>
      <c r="S825" s="1414"/>
      <c r="T825" s="1414"/>
      <c r="U825" s="1414"/>
      <c r="V825" s="1414"/>
      <c r="W825" s="1414"/>
      <c r="X825" s="1414"/>
      <c r="Y825" s="1414"/>
      <c r="Z825" s="1414"/>
      <c r="AA825" s="1414"/>
      <c r="AB825" s="1414"/>
      <c r="AC825" s="1414"/>
      <c r="AD825" s="1414"/>
      <c r="AE825" s="1414"/>
      <c r="AF825" s="1414"/>
      <c r="AG825" s="1414"/>
      <c r="AH825" s="1414"/>
      <c r="AI825" s="1414"/>
      <c r="AJ825" s="1414"/>
      <c r="AK825" s="1414"/>
      <c r="AL825" s="1414"/>
      <c r="AM825" s="1414"/>
      <c r="AN825" s="1414"/>
      <c r="AO825" s="1414"/>
      <c r="AP825" s="1414"/>
      <c r="AQ825" s="1414"/>
      <c r="AR825" s="1414"/>
      <c r="AS825" s="1414"/>
      <c r="AT825" s="1414"/>
      <c r="AU825" s="1414"/>
      <c r="AV825" s="1414"/>
      <c r="AW825" s="1414"/>
      <c r="AX825" s="1414"/>
      <c r="AY825" s="1399"/>
      <c r="AZ825" s="1399"/>
      <c r="BA825" s="1399"/>
      <c r="BB825" s="1399"/>
      <c r="BC825" s="1399"/>
      <c r="BD825" s="1399"/>
      <c r="BE825" s="1414"/>
      <c r="BF825" s="1399"/>
      <c r="BG825" s="1399"/>
      <c r="BH825" s="1399"/>
      <c r="BI825" s="1399"/>
      <c r="BJ825" s="1399"/>
      <c r="BK825" s="1399"/>
      <c r="BL825" s="1399"/>
      <c r="BM825" s="1399"/>
      <c r="BN825" s="1399"/>
      <c r="BO825" s="1399"/>
      <c r="BP825" s="1399"/>
      <c r="BQ825" s="1399"/>
      <c r="BR825" s="1399"/>
      <c r="BS825" s="1399"/>
      <c r="BT825" s="1399"/>
      <c r="BU825" s="1399"/>
      <c r="BV825" s="1399"/>
      <c r="BW825" s="1399"/>
      <c r="BX825" s="1399"/>
      <c r="BY825" s="1399"/>
      <c r="BZ825" s="1399"/>
      <c r="CA825" s="1399"/>
      <c r="CB825" s="1399"/>
      <c r="CC825" s="1399"/>
      <c r="CD825" s="1399"/>
      <c r="CE825" s="1399"/>
      <c r="CF825" s="1399"/>
      <c r="CG825" s="1399"/>
      <c r="CH825" s="1399"/>
      <c r="CI825" s="1399"/>
      <c r="CJ825" s="1399"/>
      <c r="CK825" s="1399"/>
      <c r="CL825" s="1399"/>
      <c r="CM825" s="1399"/>
      <c r="CN825" s="1399"/>
      <c r="CO825" s="1399"/>
      <c r="CP825" s="1399"/>
      <c r="CQ825" s="1399"/>
      <c r="CR825" s="1399"/>
      <c r="CS825" s="1399"/>
      <c r="CT825" s="1399"/>
      <c r="CU825" s="1399"/>
      <c r="CV825" s="1399"/>
      <c r="CW825" s="1399"/>
      <c r="CX825" s="1399"/>
      <c r="CY825" s="1399"/>
      <c r="CZ825" s="1399"/>
      <c r="DA825" s="1399"/>
      <c r="DB825" s="1399"/>
      <c r="DC825" s="1399"/>
      <c r="DD825" s="1399"/>
      <c r="DE825" s="1399"/>
      <c r="DF825" s="1399"/>
      <c r="DG825" s="1399"/>
      <c r="DH825" s="1399"/>
      <c r="DI825" s="1399"/>
      <c r="DJ825" s="1399"/>
      <c r="DK825" s="1399"/>
      <c r="DL825" s="1399"/>
      <c r="DM825" s="1399"/>
      <c r="DN825" s="1399"/>
      <c r="DO825" s="1399"/>
      <c r="DP825" s="1399"/>
      <c r="DQ825" s="1399"/>
      <c r="DR825" s="1399"/>
      <c r="DS825" s="1399"/>
      <c r="DT825" s="1399"/>
      <c r="DU825" s="1399"/>
    </row>
    <row r="826" spans="1:125">
      <c r="A826" s="1414"/>
      <c r="B826" s="1414"/>
      <c r="C826" s="1414"/>
      <c r="D826" s="1414"/>
      <c r="E826" s="1414"/>
      <c r="F826" s="1414"/>
      <c r="G826" s="1414"/>
      <c r="H826" s="1414"/>
      <c r="I826" s="1414"/>
      <c r="J826" s="1414"/>
      <c r="K826" s="1414"/>
      <c r="L826" s="1414"/>
      <c r="M826" s="1414"/>
      <c r="N826" s="1414"/>
      <c r="O826" s="1414"/>
      <c r="P826" s="1414"/>
      <c r="Q826" s="1414"/>
      <c r="R826" s="1414"/>
      <c r="S826" s="1414"/>
      <c r="T826" s="1414"/>
      <c r="U826" s="1414"/>
      <c r="V826" s="1414"/>
      <c r="W826" s="1414"/>
      <c r="X826" s="1414"/>
      <c r="Y826" s="1414"/>
      <c r="Z826" s="1414"/>
      <c r="AA826" s="1414"/>
      <c r="AB826" s="1414"/>
      <c r="AC826" s="1414"/>
      <c r="AD826" s="1414"/>
      <c r="AE826" s="1414"/>
      <c r="AF826" s="1414"/>
      <c r="AG826" s="1414"/>
      <c r="AH826" s="1414"/>
      <c r="AI826" s="1414"/>
      <c r="AJ826" s="1414"/>
      <c r="AK826" s="1414"/>
      <c r="AL826" s="1414"/>
      <c r="AM826" s="1414"/>
      <c r="AN826" s="1414"/>
      <c r="AO826" s="1414"/>
      <c r="AP826" s="1414"/>
      <c r="AQ826" s="1414"/>
      <c r="AR826" s="1414"/>
      <c r="AS826" s="1414"/>
      <c r="AT826" s="1414"/>
      <c r="AU826" s="1414"/>
      <c r="AV826" s="1414"/>
      <c r="AW826" s="1414"/>
      <c r="AX826" s="1414"/>
      <c r="AY826" s="1399"/>
      <c r="AZ826" s="1399"/>
      <c r="BA826" s="1399"/>
      <c r="BB826" s="1399"/>
      <c r="BC826" s="1399"/>
      <c r="BD826" s="1399"/>
      <c r="BE826" s="1414"/>
      <c r="BF826" s="1399"/>
      <c r="BG826" s="1399"/>
      <c r="BH826" s="1399"/>
      <c r="BI826" s="1399"/>
      <c r="BJ826" s="1399"/>
      <c r="BK826" s="1399"/>
      <c r="BL826" s="1399"/>
      <c r="BM826" s="1399"/>
      <c r="BN826" s="1399"/>
      <c r="BO826" s="1399"/>
      <c r="BP826" s="1399"/>
      <c r="BQ826" s="1399"/>
      <c r="BR826" s="1399"/>
      <c r="BS826" s="1399"/>
      <c r="BT826" s="1399"/>
      <c r="BU826" s="1399"/>
      <c r="BV826" s="1399"/>
      <c r="BW826" s="1399"/>
      <c r="BX826" s="1399"/>
      <c r="BY826" s="1399"/>
      <c r="BZ826" s="1399"/>
      <c r="CA826" s="1399"/>
      <c r="CB826" s="1399"/>
      <c r="CC826" s="1399"/>
      <c r="CD826" s="1399"/>
      <c r="CE826" s="1399"/>
      <c r="CF826" s="1399"/>
      <c r="CG826" s="1399"/>
      <c r="CH826" s="1399"/>
      <c r="CI826" s="1399"/>
      <c r="CJ826" s="1399"/>
      <c r="CK826" s="1399"/>
      <c r="CL826" s="1399"/>
      <c r="CM826" s="1399"/>
      <c r="CN826" s="1399"/>
      <c r="CO826" s="1399"/>
      <c r="CP826" s="1399"/>
      <c r="CQ826" s="1399"/>
      <c r="CR826" s="1399"/>
      <c r="CS826" s="1399"/>
      <c r="CT826" s="1399"/>
      <c r="CU826" s="1399"/>
      <c r="CV826" s="1399"/>
      <c r="CW826" s="1399"/>
      <c r="CX826" s="1399"/>
      <c r="CY826" s="1399"/>
      <c r="CZ826" s="1399"/>
      <c r="DA826" s="1399"/>
      <c r="DB826" s="1399"/>
      <c r="DC826" s="1399"/>
      <c r="DD826" s="1399"/>
      <c r="DE826" s="1399"/>
      <c r="DF826" s="1399"/>
      <c r="DG826" s="1399"/>
      <c r="DH826" s="1399"/>
      <c r="DI826" s="1399"/>
      <c r="DJ826" s="1399"/>
      <c r="DK826" s="1399"/>
      <c r="DL826" s="1399"/>
      <c r="DM826" s="1399"/>
      <c r="DN826" s="1399"/>
      <c r="DO826" s="1399"/>
      <c r="DP826" s="1399"/>
      <c r="DQ826" s="1399"/>
      <c r="DR826" s="1399"/>
      <c r="DS826" s="1399"/>
      <c r="DT826" s="1399"/>
      <c r="DU826" s="1399"/>
    </row>
    <row r="827" spans="1:125">
      <c r="A827" s="1414"/>
      <c r="B827" s="1414"/>
      <c r="C827" s="1414"/>
      <c r="D827" s="1414"/>
      <c r="E827" s="1414"/>
      <c r="F827" s="1414"/>
      <c r="G827" s="1414"/>
      <c r="H827" s="1414"/>
      <c r="I827" s="1414"/>
      <c r="J827" s="1414"/>
      <c r="K827" s="1414"/>
      <c r="L827" s="1414"/>
      <c r="M827" s="1414"/>
      <c r="N827" s="1414"/>
      <c r="O827" s="1414"/>
      <c r="P827" s="1414"/>
      <c r="Q827" s="1414"/>
      <c r="R827" s="1414"/>
      <c r="S827" s="1414"/>
      <c r="T827" s="1414"/>
      <c r="U827" s="1414"/>
      <c r="V827" s="1414"/>
      <c r="W827" s="1414"/>
      <c r="X827" s="1414"/>
      <c r="Y827" s="1414"/>
      <c r="Z827" s="1414"/>
      <c r="AA827" s="1414"/>
      <c r="AB827" s="1414"/>
      <c r="AC827" s="1414"/>
      <c r="AD827" s="1414"/>
      <c r="AE827" s="1414"/>
      <c r="AF827" s="1414"/>
      <c r="AG827" s="1414"/>
      <c r="AH827" s="1414"/>
      <c r="AI827" s="1414"/>
      <c r="AJ827" s="1414"/>
      <c r="AK827" s="1414"/>
      <c r="AL827" s="1414"/>
      <c r="AM827" s="1414"/>
      <c r="AN827" s="1414"/>
      <c r="AO827" s="1414"/>
      <c r="AP827" s="1414"/>
      <c r="AQ827" s="1414"/>
      <c r="AR827" s="1414"/>
      <c r="AS827" s="1414"/>
      <c r="AT827" s="1414"/>
      <c r="AU827" s="1414"/>
      <c r="AV827" s="1414"/>
      <c r="AW827" s="1414"/>
      <c r="AX827" s="1414"/>
      <c r="AY827" s="1399"/>
      <c r="AZ827" s="1399"/>
      <c r="BA827" s="1399"/>
      <c r="BB827" s="1399"/>
      <c r="BC827" s="1399"/>
      <c r="BD827" s="1399"/>
      <c r="BE827" s="1414"/>
      <c r="BF827" s="1399"/>
      <c r="BG827" s="1399"/>
      <c r="BH827" s="1399"/>
      <c r="BI827" s="1399"/>
      <c r="BJ827" s="1399"/>
      <c r="BK827" s="1399"/>
      <c r="BL827" s="1399"/>
      <c r="BM827" s="1399"/>
      <c r="BN827" s="1399"/>
      <c r="BO827" s="1399"/>
      <c r="BP827" s="1399"/>
      <c r="BQ827" s="1399"/>
      <c r="BR827" s="1399"/>
      <c r="BS827" s="1399"/>
      <c r="BT827" s="1399"/>
      <c r="BU827" s="1399"/>
      <c r="BV827" s="1399"/>
      <c r="BW827" s="1399"/>
      <c r="BX827" s="1399"/>
      <c r="BY827" s="1399"/>
      <c r="BZ827" s="1399"/>
      <c r="CA827" s="1399"/>
      <c r="CB827" s="1399"/>
      <c r="CC827" s="1399"/>
      <c r="CD827" s="1399"/>
      <c r="CE827" s="1399"/>
      <c r="CF827" s="1399"/>
      <c r="CG827" s="1399"/>
      <c r="CH827" s="1399"/>
      <c r="CI827" s="1399"/>
      <c r="CJ827" s="1399"/>
      <c r="CK827" s="1399"/>
      <c r="CL827" s="1399"/>
      <c r="CM827" s="1399"/>
      <c r="CN827" s="1399"/>
      <c r="CO827" s="1399"/>
      <c r="CP827" s="1399"/>
      <c r="CQ827" s="1399"/>
      <c r="CR827" s="1399"/>
      <c r="CS827" s="1399"/>
      <c r="CT827" s="1399"/>
      <c r="CU827" s="1399"/>
      <c r="CV827" s="1399"/>
      <c r="CW827" s="1399"/>
      <c r="CX827" s="1399"/>
      <c r="CY827" s="1399"/>
      <c r="CZ827" s="1399"/>
      <c r="DA827" s="1399"/>
      <c r="DB827" s="1399"/>
      <c r="DC827" s="1399"/>
      <c r="DD827" s="1399"/>
      <c r="DE827" s="1399"/>
      <c r="DF827" s="1399"/>
      <c r="DG827" s="1399"/>
      <c r="DH827" s="1399"/>
      <c r="DI827" s="1399"/>
      <c r="DJ827" s="1399"/>
      <c r="DK827" s="1399"/>
      <c r="DL827" s="1399"/>
      <c r="DM827" s="1399"/>
      <c r="DN827" s="1399"/>
      <c r="DO827" s="1399"/>
      <c r="DP827" s="1399"/>
      <c r="DQ827" s="1399"/>
      <c r="DR827" s="1399"/>
      <c r="DS827" s="1399"/>
      <c r="DT827" s="1399"/>
      <c r="DU827" s="1399"/>
    </row>
    <row r="828" spans="1:125">
      <c r="A828" s="1414"/>
      <c r="B828" s="1414"/>
      <c r="C828" s="1414"/>
      <c r="D828" s="1414"/>
      <c r="E828" s="1414"/>
      <c r="F828" s="1414"/>
      <c r="G828" s="1414"/>
      <c r="H828" s="1414"/>
      <c r="I828" s="1414"/>
      <c r="J828" s="1414"/>
      <c r="K828" s="1414"/>
      <c r="L828" s="1414"/>
      <c r="M828" s="1414"/>
      <c r="N828" s="1414"/>
      <c r="O828" s="1414"/>
      <c r="P828" s="1414"/>
      <c r="Q828" s="1414"/>
      <c r="R828" s="1414"/>
      <c r="S828" s="1414"/>
      <c r="T828" s="1414"/>
      <c r="U828" s="1414"/>
      <c r="V828" s="1414"/>
      <c r="W828" s="1414"/>
      <c r="X828" s="1414"/>
      <c r="Y828" s="1414"/>
      <c r="Z828" s="1414"/>
      <c r="AA828" s="1414"/>
      <c r="AB828" s="1414"/>
      <c r="AC828" s="1414"/>
      <c r="AD828" s="1414"/>
      <c r="AE828" s="1414"/>
      <c r="AF828" s="1414"/>
      <c r="AG828" s="1414"/>
      <c r="AH828" s="1414"/>
      <c r="AI828" s="1414"/>
      <c r="AJ828" s="1414"/>
      <c r="AK828" s="1414"/>
      <c r="AL828" s="1414"/>
      <c r="AM828" s="1414"/>
      <c r="AN828" s="1414"/>
      <c r="AO828" s="1414"/>
      <c r="AP828" s="1414"/>
      <c r="AQ828" s="1414"/>
      <c r="AR828" s="1414"/>
      <c r="AS828" s="1414"/>
      <c r="AT828" s="1414"/>
      <c r="AU828" s="1414"/>
      <c r="AV828" s="1414"/>
      <c r="AW828" s="1414"/>
      <c r="AX828" s="1414"/>
      <c r="AY828" s="1399"/>
      <c r="AZ828" s="1399"/>
      <c r="BA828" s="1399"/>
      <c r="BB828" s="1399"/>
      <c r="BC828" s="1399"/>
      <c r="BD828" s="1399"/>
      <c r="BE828" s="1414"/>
      <c r="BF828" s="1399"/>
      <c r="BG828" s="1399"/>
      <c r="BH828" s="1399"/>
      <c r="BI828" s="1399"/>
      <c r="BJ828" s="1399"/>
      <c r="BK828" s="1399"/>
      <c r="BL828" s="1399"/>
      <c r="BM828" s="1399"/>
      <c r="BN828" s="1399"/>
      <c r="BO828" s="1399"/>
      <c r="BP828" s="1399"/>
      <c r="BQ828" s="1399"/>
      <c r="BR828" s="1399"/>
      <c r="BS828" s="1399"/>
      <c r="BT828" s="1399"/>
      <c r="BU828" s="1399"/>
      <c r="BV828" s="1399"/>
      <c r="BW828" s="1399"/>
      <c r="BX828" s="1399"/>
      <c r="BY828" s="1399"/>
      <c r="BZ828" s="1399"/>
      <c r="CA828" s="1399"/>
      <c r="CB828" s="1399"/>
      <c r="CC828" s="1399"/>
      <c r="CD828" s="1399"/>
      <c r="CE828" s="1399"/>
      <c r="CF828" s="1399"/>
      <c r="CG828" s="1399"/>
      <c r="CH828" s="1399"/>
      <c r="CI828" s="1399"/>
      <c r="CJ828" s="1399"/>
      <c r="CK828" s="1399"/>
      <c r="CL828" s="1399"/>
      <c r="CM828" s="1399"/>
      <c r="CN828" s="1399"/>
      <c r="CO828" s="1399"/>
      <c r="CP828" s="1399"/>
      <c r="CQ828" s="1399"/>
      <c r="CR828" s="1399"/>
      <c r="CS828" s="1399"/>
      <c r="CT828" s="1399"/>
      <c r="CU828" s="1399"/>
      <c r="CV828" s="1399"/>
      <c r="CW828" s="1399"/>
      <c r="CX828" s="1399"/>
      <c r="CY828" s="1399"/>
      <c r="CZ828" s="1399"/>
      <c r="DA828" s="1399"/>
      <c r="DB828" s="1399"/>
      <c r="DC828" s="1399"/>
      <c r="DD828" s="1399"/>
      <c r="DE828" s="1399"/>
      <c r="DF828" s="1399"/>
      <c r="DG828" s="1399"/>
      <c r="DH828" s="1399"/>
      <c r="DI828" s="1399"/>
      <c r="DJ828" s="1399"/>
      <c r="DK828" s="1399"/>
      <c r="DL828" s="1399"/>
      <c r="DM828" s="1399"/>
      <c r="DN828" s="1399"/>
      <c r="DO828" s="1399"/>
      <c r="DP828" s="1399"/>
      <c r="DQ828" s="1399"/>
      <c r="DR828" s="1399"/>
      <c r="DS828" s="1399"/>
      <c r="DT828" s="1399"/>
      <c r="DU828" s="1399"/>
    </row>
    <row r="829" spans="1:125">
      <c r="A829" s="1414"/>
      <c r="B829" s="1414"/>
      <c r="C829" s="1414"/>
      <c r="D829" s="1414"/>
      <c r="E829" s="1414"/>
      <c r="F829" s="1414"/>
      <c r="G829" s="1414"/>
      <c r="H829" s="1414"/>
      <c r="I829" s="1414"/>
      <c r="J829" s="1414"/>
      <c r="K829" s="1414"/>
      <c r="L829" s="1414"/>
      <c r="M829" s="1414"/>
      <c r="N829" s="1414"/>
      <c r="O829" s="1414"/>
      <c r="P829" s="1414"/>
      <c r="Q829" s="1414"/>
      <c r="R829" s="1414"/>
      <c r="S829" s="1414"/>
      <c r="T829" s="1414"/>
      <c r="U829" s="1414"/>
      <c r="V829" s="1414"/>
      <c r="W829" s="1414"/>
      <c r="X829" s="1414"/>
      <c r="Y829" s="1414"/>
      <c r="Z829" s="1414"/>
      <c r="AA829" s="1414"/>
      <c r="AB829" s="1414"/>
      <c r="AC829" s="1414"/>
      <c r="AD829" s="1414"/>
      <c r="AE829" s="1414"/>
      <c r="AF829" s="1414"/>
      <c r="AG829" s="1414"/>
      <c r="AH829" s="1414"/>
      <c r="AI829" s="1414"/>
      <c r="AJ829" s="1414"/>
      <c r="AK829" s="1414"/>
      <c r="AL829" s="1414"/>
      <c r="AM829" s="1414"/>
      <c r="AN829" s="1414"/>
      <c r="AO829" s="1414"/>
      <c r="AP829" s="1414"/>
      <c r="AQ829" s="1414"/>
      <c r="AR829" s="1414"/>
      <c r="AS829" s="1414"/>
      <c r="AT829" s="1414"/>
      <c r="AU829" s="1414"/>
      <c r="AV829" s="1414"/>
      <c r="AW829" s="1414"/>
      <c r="AX829" s="1414"/>
      <c r="AY829" s="1399"/>
      <c r="AZ829" s="1399"/>
      <c r="BA829" s="1399"/>
      <c r="BB829" s="1399"/>
      <c r="BC829" s="1399"/>
      <c r="BD829" s="1399"/>
      <c r="BE829" s="1414"/>
      <c r="BF829" s="1399"/>
      <c r="BG829" s="1399"/>
      <c r="BH829" s="1399"/>
      <c r="BI829" s="1399"/>
      <c r="BJ829" s="1399"/>
      <c r="BK829" s="1399"/>
      <c r="BL829" s="1399"/>
      <c r="BM829" s="1399"/>
      <c r="BN829" s="1399"/>
      <c r="BO829" s="1399"/>
      <c r="BP829" s="1399"/>
      <c r="BQ829" s="1399"/>
      <c r="BR829" s="1399"/>
      <c r="BS829" s="1399"/>
      <c r="BT829" s="1399"/>
      <c r="BU829" s="1399"/>
      <c r="BV829" s="1399"/>
      <c r="BW829" s="1399"/>
      <c r="BX829" s="1399"/>
      <c r="BY829" s="1399"/>
      <c r="BZ829" s="1399"/>
      <c r="CA829" s="1399"/>
      <c r="CB829" s="1399"/>
      <c r="CC829" s="1399"/>
      <c r="CD829" s="1399"/>
      <c r="CE829" s="1399"/>
      <c r="CF829" s="1399"/>
      <c r="CG829" s="1399"/>
      <c r="CH829" s="1399"/>
      <c r="CI829" s="1399"/>
      <c r="CJ829" s="1399"/>
      <c r="CK829" s="1399"/>
      <c r="CL829" s="1399"/>
      <c r="CM829" s="1399"/>
      <c r="CN829" s="1399"/>
      <c r="CO829" s="1399"/>
      <c r="CP829" s="1399"/>
      <c r="CQ829" s="1399"/>
      <c r="CR829" s="1399"/>
      <c r="CS829" s="1399"/>
      <c r="CT829" s="1399"/>
      <c r="CU829" s="1399"/>
      <c r="CV829" s="1399"/>
      <c r="CW829" s="1399"/>
      <c r="CX829" s="1399"/>
      <c r="CY829" s="1399"/>
      <c r="CZ829" s="1399"/>
      <c r="DA829" s="1399"/>
      <c r="DB829" s="1399"/>
      <c r="DC829" s="1399"/>
      <c r="DD829" s="1399"/>
      <c r="DE829" s="1399"/>
      <c r="DF829" s="1399"/>
      <c r="DG829" s="1399"/>
      <c r="DH829" s="1399"/>
      <c r="DI829" s="1399"/>
      <c r="DJ829" s="1399"/>
      <c r="DK829" s="1399"/>
      <c r="DL829" s="1399"/>
      <c r="DM829" s="1399"/>
      <c r="DN829" s="1399"/>
      <c r="DO829" s="1399"/>
      <c r="DP829" s="1399"/>
      <c r="DQ829" s="1399"/>
      <c r="DR829" s="1399"/>
      <c r="DS829" s="1399"/>
      <c r="DT829" s="1399"/>
      <c r="DU829" s="1399"/>
    </row>
    <row r="830" spans="1:125">
      <c r="A830" s="1414"/>
      <c r="B830" s="1414"/>
      <c r="C830" s="1414"/>
      <c r="D830" s="1414"/>
      <c r="E830" s="1414"/>
      <c r="F830" s="1414"/>
      <c r="G830" s="1414"/>
      <c r="H830" s="1414"/>
      <c r="I830" s="1414"/>
      <c r="J830" s="1414"/>
      <c r="K830" s="1414"/>
      <c r="L830" s="1414"/>
      <c r="M830" s="1414"/>
      <c r="N830" s="1414"/>
      <c r="O830" s="1414"/>
      <c r="P830" s="1414"/>
      <c r="Q830" s="1414"/>
      <c r="R830" s="1414"/>
      <c r="S830" s="1414"/>
      <c r="T830" s="1414"/>
      <c r="U830" s="1414"/>
      <c r="V830" s="1414"/>
      <c r="W830" s="1414"/>
      <c r="X830" s="1414"/>
      <c r="Y830" s="1414"/>
      <c r="Z830" s="1414"/>
      <c r="AA830" s="1414"/>
      <c r="AB830" s="1414"/>
      <c r="AC830" s="1414"/>
      <c r="AD830" s="1414"/>
      <c r="AE830" s="1414"/>
      <c r="AF830" s="1414"/>
      <c r="AG830" s="1414"/>
      <c r="AH830" s="1414"/>
      <c r="AI830" s="1414"/>
      <c r="AJ830" s="1414"/>
      <c r="AK830" s="1414"/>
      <c r="AL830" s="1414"/>
      <c r="AM830" s="1414"/>
      <c r="AN830" s="1414"/>
      <c r="AO830" s="1414"/>
      <c r="AP830" s="1414"/>
      <c r="AQ830" s="1414"/>
      <c r="AR830" s="1414"/>
      <c r="AS830" s="1414"/>
      <c r="AT830" s="1414"/>
      <c r="AU830" s="1414"/>
      <c r="AV830" s="1414"/>
      <c r="AW830" s="1414"/>
      <c r="AX830" s="1414"/>
      <c r="AY830" s="1399"/>
      <c r="AZ830" s="1399"/>
      <c r="BA830" s="1399"/>
      <c r="BB830" s="1399"/>
      <c r="BC830" s="1399"/>
      <c r="BD830" s="1399"/>
      <c r="BE830" s="1414"/>
      <c r="BF830" s="1399"/>
      <c r="BG830" s="1399"/>
      <c r="BH830" s="1399"/>
      <c r="BI830" s="1399"/>
      <c r="BJ830" s="1399"/>
      <c r="BK830" s="1399"/>
      <c r="BL830" s="1399"/>
      <c r="BM830" s="1399"/>
      <c r="BN830" s="1399"/>
      <c r="BO830" s="1399"/>
      <c r="BP830" s="1399"/>
      <c r="BQ830" s="1399"/>
      <c r="BR830" s="1399"/>
      <c r="BS830" s="1399"/>
      <c r="BT830" s="1399"/>
      <c r="BU830" s="1399"/>
      <c r="BV830" s="1399"/>
      <c r="BW830" s="1399"/>
      <c r="BX830" s="1399"/>
      <c r="BY830" s="1399"/>
      <c r="BZ830" s="1399"/>
      <c r="CA830" s="1399"/>
      <c r="CB830" s="1399"/>
      <c r="CC830" s="1399"/>
      <c r="CD830" s="1399"/>
      <c r="CE830" s="1399"/>
      <c r="CF830" s="1399"/>
      <c r="CG830" s="1399"/>
      <c r="CH830" s="1399"/>
      <c r="CI830" s="1399"/>
      <c r="CJ830" s="1399"/>
      <c r="CK830" s="1399"/>
      <c r="CL830" s="1399"/>
      <c r="CM830" s="1399"/>
      <c r="CN830" s="1399"/>
      <c r="CO830" s="1399"/>
      <c r="CP830" s="1399"/>
      <c r="CQ830" s="1399"/>
      <c r="CR830" s="1399"/>
      <c r="CS830" s="1399"/>
      <c r="CT830" s="1399"/>
      <c r="CU830" s="1399"/>
      <c r="CV830" s="1399"/>
      <c r="CW830" s="1399"/>
      <c r="CX830" s="1399"/>
      <c r="CY830" s="1399"/>
      <c r="CZ830" s="1399"/>
      <c r="DA830" s="1399"/>
      <c r="DB830" s="1399"/>
      <c r="DC830" s="1399"/>
      <c r="DD830" s="1399"/>
      <c r="DE830" s="1399"/>
      <c r="DF830" s="1399"/>
      <c r="DG830" s="1399"/>
      <c r="DH830" s="1399"/>
      <c r="DI830" s="1399"/>
      <c r="DJ830" s="1399"/>
      <c r="DK830" s="1399"/>
      <c r="DL830" s="1399"/>
      <c r="DM830" s="1399"/>
      <c r="DN830" s="1399"/>
      <c r="DO830" s="1399"/>
      <c r="DP830" s="1399"/>
      <c r="DQ830" s="1399"/>
      <c r="DR830" s="1399"/>
      <c r="DS830" s="1399"/>
      <c r="DT830" s="1399"/>
      <c r="DU830" s="1399"/>
    </row>
    <row r="831" spans="1:125">
      <c r="A831" s="1414"/>
      <c r="B831" s="1414"/>
      <c r="C831" s="1414"/>
      <c r="D831" s="1414"/>
      <c r="E831" s="1414"/>
      <c r="F831" s="1414"/>
      <c r="G831" s="1414"/>
      <c r="H831" s="1414"/>
      <c r="I831" s="1414"/>
      <c r="J831" s="1414"/>
      <c r="K831" s="1414"/>
      <c r="L831" s="1414"/>
      <c r="M831" s="1414"/>
      <c r="N831" s="1414"/>
      <c r="O831" s="1414"/>
      <c r="P831" s="1414"/>
      <c r="Q831" s="1414"/>
      <c r="R831" s="1414"/>
      <c r="S831" s="1414"/>
      <c r="T831" s="1414"/>
      <c r="U831" s="1414"/>
      <c r="V831" s="1414"/>
      <c r="W831" s="1414"/>
      <c r="X831" s="1414"/>
      <c r="Y831" s="1414"/>
      <c r="Z831" s="1414"/>
      <c r="AA831" s="1414"/>
      <c r="AB831" s="1414"/>
      <c r="AC831" s="1414"/>
      <c r="AD831" s="1414"/>
      <c r="AE831" s="1414"/>
      <c r="AF831" s="1414"/>
      <c r="AG831" s="1414"/>
      <c r="AH831" s="1414"/>
      <c r="AI831" s="1414"/>
      <c r="AJ831" s="1414"/>
      <c r="AK831" s="1414"/>
      <c r="AL831" s="1414"/>
      <c r="AM831" s="1414"/>
      <c r="AN831" s="1414"/>
      <c r="AO831" s="1414"/>
      <c r="AP831" s="1414"/>
      <c r="AQ831" s="1414"/>
      <c r="AR831" s="1414"/>
      <c r="AS831" s="1414"/>
      <c r="AT831" s="1414"/>
      <c r="AU831" s="1414"/>
      <c r="AV831" s="1414"/>
      <c r="AW831" s="1414"/>
      <c r="AX831" s="1414"/>
      <c r="AY831" s="1399"/>
      <c r="AZ831" s="1399"/>
      <c r="BA831" s="1399"/>
      <c r="BB831" s="1399"/>
      <c r="BC831" s="1399"/>
      <c r="BD831" s="1399"/>
      <c r="BE831" s="1414"/>
      <c r="BF831" s="1399"/>
      <c r="BG831" s="1399"/>
      <c r="BH831" s="1399"/>
      <c r="BI831" s="1399"/>
      <c r="BJ831" s="1399"/>
      <c r="BK831" s="1399"/>
      <c r="BL831" s="1399"/>
      <c r="BM831" s="1399"/>
      <c r="BN831" s="1399"/>
      <c r="BO831" s="1399"/>
      <c r="BP831" s="1399"/>
      <c r="BQ831" s="1399"/>
      <c r="BR831" s="1399"/>
      <c r="BS831" s="1399"/>
      <c r="BT831" s="1399"/>
      <c r="BU831" s="1399"/>
      <c r="BV831" s="1399"/>
      <c r="BW831" s="1399"/>
      <c r="BX831" s="1399"/>
      <c r="BY831" s="1399"/>
      <c r="BZ831" s="1399"/>
      <c r="CA831" s="1399"/>
      <c r="CB831" s="1399"/>
      <c r="CC831" s="1399"/>
      <c r="CD831" s="1399"/>
      <c r="CE831" s="1399"/>
      <c r="CF831" s="1399"/>
      <c r="CG831" s="1399"/>
      <c r="CH831" s="1399"/>
      <c r="CI831" s="1399"/>
      <c r="CJ831" s="1399"/>
      <c r="CK831" s="1399"/>
      <c r="CL831" s="1399"/>
      <c r="CM831" s="1399"/>
      <c r="CN831" s="1399"/>
      <c r="CO831" s="1399"/>
      <c r="CP831" s="1399"/>
      <c r="CQ831" s="1399"/>
      <c r="CR831" s="1399"/>
      <c r="CS831" s="1399"/>
      <c r="CT831" s="1399"/>
      <c r="CU831" s="1399"/>
      <c r="CV831" s="1399"/>
      <c r="CW831" s="1399"/>
      <c r="CX831" s="1399"/>
      <c r="CY831" s="1399"/>
      <c r="CZ831" s="1399"/>
      <c r="DA831" s="1399"/>
      <c r="DB831" s="1399"/>
      <c r="DC831" s="1399"/>
      <c r="DD831" s="1399"/>
      <c r="DE831" s="1399"/>
      <c r="DF831" s="1399"/>
      <c r="DG831" s="1399"/>
      <c r="DH831" s="1399"/>
      <c r="DI831" s="1399"/>
      <c r="DJ831" s="1399"/>
      <c r="DK831" s="1399"/>
      <c r="DL831" s="1399"/>
      <c r="DM831" s="1399"/>
      <c r="DN831" s="1399"/>
      <c r="DO831" s="1399"/>
      <c r="DP831" s="1399"/>
      <c r="DQ831" s="1399"/>
      <c r="DR831" s="1399"/>
      <c r="DS831" s="1399"/>
      <c r="DT831" s="1399"/>
      <c r="DU831" s="1399"/>
    </row>
    <row r="832" spans="1:125">
      <c r="A832" s="1414"/>
      <c r="B832" s="1414"/>
      <c r="C832" s="1414"/>
      <c r="D832" s="1414"/>
      <c r="E832" s="1414"/>
      <c r="F832" s="1414"/>
      <c r="G832" s="1414"/>
      <c r="H832" s="1414"/>
      <c r="I832" s="1414"/>
      <c r="J832" s="1414"/>
      <c r="K832" s="1414"/>
      <c r="L832" s="1414"/>
      <c r="M832" s="1414"/>
      <c r="N832" s="1414"/>
      <c r="O832" s="1414"/>
      <c r="P832" s="1414"/>
      <c r="Q832" s="1414"/>
      <c r="R832" s="1414"/>
      <c r="S832" s="1414"/>
      <c r="T832" s="1414"/>
      <c r="U832" s="1414"/>
      <c r="V832" s="1414"/>
      <c r="W832" s="1414"/>
      <c r="X832" s="1414"/>
      <c r="Y832" s="1414"/>
      <c r="Z832" s="1414"/>
      <c r="AA832" s="1414"/>
      <c r="AB832" s="1414"/>
      <c r="AC832" s="1414"/>
      <c r="AD832" s="1414"/>
      <c r="AE832" s="1414"/>
      <c r="AF832" s="1414"/>
      <c r="AG832" s="1414"/>
      <c r="AH832" s="1414"/>
      <c r="AI832" s="1414"/>
      <c r="AJ832" s="1414"/>
      <c r="AK832" s="1414"/>
      <c r="AL832" s="1414"/>
      <c r="AM832" s="1414"/>
      <c r="AN832" s="1414"/>
      <c r="AO832" s="1414"/>
      <c r="AP832" s="1414"/>
      <c r="AQ832" s="1414"/>
      <c r="AR832" s="1414"/>
      <c r="AS832" s="1414"/>
      <c r="AT832" s="1414"/>
      <c r="AU832" s="1414"/>
      <c r="AV832" s="1414"/>
      <c r="AW832" s="1414"/>
      <c r="AX832" s="1414"/>
      <c r="AY832" s="1399"/>
      <c r="AZ832" s="1399"/>
      <c r="BA832" s="1399"/>
      <c r="BB832" s="1399"/>
      <c r="BC832" s="1399"/>
      <c r="BD832" s="1399"/>
      <c r="BE832" s="1414"/>
      <c r="BF832" s="1399"/>
      <c r="BG832" s="1399"/>
      <c r="BH832" s="1399"/>
      <c r="BI832" s="1399"/>
      <c r="BJ832" s="1399"/>
      <c r="BK832" s="1399"/>
      <c r="BL832" s="1399"/>
      <c r="BM832" s="1399"/>
      <c r="BN832" s="1399"/>
      <c r="BO832" s="1399"/>
      <c r="BP832" s="1399"/>
      <c r="BQ832" s="1399"/>
      <c r="BR832" s="1399"/>
      <c r="BS832" s="1399"/>
      <c r="BT832" s="1399"/>
      <c r="BU832" s="1399"/>
      <c r="BV832" s="1399"/>
      <c r="BW832" s="1399"/>
      <c r="BX832" s="1399"/>
      <c r="BY832" s="1399"/>
      <c r="BZ832" s="1399"/>
      <c r="CA832" s="1399"/>
      <c r="CB832" s="1399"/>
      <c r="CC832" s="1399"/>
      <c r="CD832" s="1399"/>
      <c r="CE832" s="1399"/>
      <c r="CF832" s="1399"/>
      <c r="CG832" s="1399"/>
      <c r="CH832" s="1399"/>
      <c r="CI832" s="1399"/>
      <c r="CJ832" s="1399"/>
      <c r="CK832" s="1399"/>
      <c r="CL832" s="1399"/>
      <c r="CM832" s="1399"/>
      <c r="CN832" s="1399"/>
      <c r="CO832" s="1399"/>
      <c r="CP832" s="1399"/>
      <c r="CQ832" s="1399"/>
      <c r="CR832" s="1399"/>
      <c r="CS832" s="1399"/>
      <c r="CT832" s="1399"/>
      <c r="CU832" s="1399"/>
      <c r="CV832" s="1399"/>
      <c r="CW832" s="1399"/>
      <c r="CX832" s="1399"/>
      <c r="CY832" s="1399"/>
      <c r="CZ832" s="1399"/>
      <c r="DA832" s="1399"/>
      <c r="DB832" s="1399"/>
      <c r="DC832" s="1399"/>
      <c r="DD832" s="1399"/>
      <c r="DE832" s="1399"/>
      <c r="DF832" s="1399"/>
      <c r="DG832" s="1399"/>
      <c r="DH832" s="1399"/>
      <c r="DI832" s="1399"/>
      <c r="DJ832" s="1399"/>
      <c r="DK832" s="1399"/>
      <c r="DL832" s="1399"/>
      <c r="DM832" s="1399"/>
      <c r="DN832" s="1399"/>
      <c r="DO832" s="1399"/>
      <c r="DP832" s="1399"/>
      <c r="DQ832" s="1399"/>
      <c r="DR832" s="1399"/>
      <c r="DS832" s="1399"/>
      <c r="DT832" s="1399"/>
      <c r="DU832" s="1399"/>
    </row>
    <row r="833" spans="1:125">
      <c r="A833" s="1414"/>
      <c r="B833" s="1414"/>
      <c r="C833" s="1414"/>
      <c r="D833" s="1414"/>
      <c r="E833" s="1414"/>
      <c r="F833" s="1414"/>
      <c r="G833" s="1414"/>
      <c r="H833" s="1414"/>
      <c r="I833" s="1414"/>
      <c r="J833" s="1414"/>
      <c r="K833" s="1414"/>
      <c r="L833" s="1414"/>
      <c r="M833" s="1414"/>
      <c r="N833" s="1414"/>
      <c r="O833" s="1414"/>
      <c r="P833" s="1414"/>
      <c r="Q833" s="1414"/>
      <c r="R833" s="1414"/>
      <c r="S833" s="1414"/>
      <c r="T833" s="1414"/>
      <c r="U833" s="1414"/>
      <c r="V833" s="1414"/>
      <c r="W833" s="1414"/>
      <c r="X833" s="1414"/>
      <c r="Y833" s="1414"/>
      <c r="Z833" s="1414"/>
      <c r="AA833" s="1414"/>
      <c r="AB833" s="1414"/>
      <c r="AC833" s="1414"/>
      <c r="AD833" s="1414"/>
      <c r="AE833" s="1414"/>
      <c r="AF833" s="1414"/>
      <c r="AG833" s="1414"/>
      <c r="AH833" s="1414"/>
      <c r="AI833" s="1414"/>
      <c r="AJ833" s="1414"/>
      <c r="AK833" s="1414"/>
      <c r="AL833" s="1414"/>
      <c r="AM833" s="1414"/>
      <c r="AN833" s="1414"/>
      <c r="AO833" s="1414"/>
      <c r="AP833" s="1414"/>
      <c r="AQ833" s="1414"/>
      <c r="AR833" s="1414"/>
      <c r="AS833" s="1414"/>
      <c r="AT833" s="1414"/>
      <c r="AU833" s="1414"/>
      <c r="AV833" s="1414"/>
      <c r="AW833" s="1414"/>
      <c r="AX833" s="1414"/>
      <c r="AY833" s="1399"/>
      <c r="AZ833" s="1399"/>
      <c r="BA833" s="1399"/>
      <c r="BB833" s="1399"/>
      <c r="BC833" s="1399"/>
      <c r="BD833" s="1399"/>
      <c r="BE833" s="1414"/>
      <c r="BF833" s="1399"/>
      <c r="BG833" s="1399"/>
      <c r="BH833" s="1399"/>
      <c r="BI833" s="1399"/>
      <c r="BJ833" s="1399"/>
      <c r="BK833" s="1399"/>
      <c r="BL833" s="1399"/>
      <c r="BM833" s="1399"/>
      <c r="BN833" s="1399"/>
      <c r="BO833" s="1399"/>
      <c r="BP833" s="1399"/>
      <c r="BQ833" s="1399"/>
      <c r="BR833" s="1399"/>
      <c r="BS833" s="1399"/>
      <c r="BT833" s="1399"/>
      <c r="BU833" s="1399"/>
      <c r="BV833" s="1399"/>
      <c r="BW833" s="1399"/>
      <c r="BX833" s="1399"/>
      <c r="BY833" s="1399"/>
      <c r="BZ833" s="1399"/>
      <c r="CA833" s="1399"/>
      <c r="CB833" s="1399"/>
      <c r="CC833" s="1399"/>
      <c r="CD833" s="1399"/>
      <c r="CE833" s="1399"/>
      <c r="CF833" s="1399"/>
      <c r="CG833" s="1399"/>
      <c r="CH833" s="1399"/>
      <c r="CI833" s="1399"/>
      <c r="CJ833" s="1399"/>
      <c r="CK833" s="1399"/>
      <c r="CL833" s="1399"/>
      <c r="CM833" s="1399"/>
      <c r="CN833" s="1399"/>
      <c r="CO833" s="1399"/>
      <c r="CP833" s="1399"/>
      <c r="CQ833" s="1399"/>
      <c r="CR833" s="1399"/>
      <c r="CS833" s="1399"/>
      <c r="CT833" s="1399"/>
      <c r="CU833" s="1399"/>
      <c r="CV833" s="1399"/>
      <c r="CW833" s="1399"/>
      <c r="CX833" s="1399"/>
      <c r="CY833" s="1399"/>
      <c r="CZ833" s="1399"/>
      <c r="DA833" s="1399"/>
      <c r="DB833" s="1399"/>
      <c r="DC833" s="1399"/>
      <c r="DD833" s="1399"/>
      <c r="DE833" s="1399"/>
      <c r="DF833" s="1399"/>
      <c r="DG833" s="1399"/>
      <c r="DH833" s="1399"/>
      <c r="DI833" s="1399"/>
      <c r="DJ833" s="1399"/>
      <c r="DK833" s="1399"/>
      <c r="DL833" s="1399"/>
      <c r="DM833" s="1399"/>
      <c r="DN833" s="1399"/>
      <c r="DO833" s="1399"/>
      <c r="DP833" s="1399"/>
      <c r="DQ833" s="1399"/>
      <c r="DR833" s="1399"/>
      <c r="DS833" s="1399"/>
      <c r="DT833" s="1399"/>
      <c r="DU833" s="1399"/>
    </row>
    <row r="834" spans="1:125">
      <c r="A834" s="1414"/>
      <c r="B834" s="1414"/>
      <c r="C834" s="1414"/>
      <c r="D834" s="1414"/>
      <c r="E834" s="1414"/>
      <c r="F834" s="1414"/>
      <c r="G834" s="1414"/>
      <c r="H834" s="1414"/>
      <c r="I834" s="1414"/>
      <c r="J834" s="1414"/>
      <c r="K834" s="1414"/>
      <c r="L834" s="1414"/>
      <c r="M834" s="1414"/>
      <c r="N834" s="1414"/>
      <c r="O834" s="1414"/>
      <c r="P834" s="1414"/>
      <c r="Q834" s="1414"/>
      <c r="R834" s="1414"/>
      <c r="S834" s="1414"/>
      <c r="T834" s="1414"/>
      <c r="U834" s="1414"/>
      <c r="V834" s="1414"/>
      <c r="W834" s="1414"/>
      <c r="X834" s="1414"/>
      <c r="Y834" s="1414"/>
      <c r="Z834" s="1414"/>
      <c r="AA834" s="1414"/>
      <c r="AB834" s="1414"/>
      <c r="AC834" s="1414"/>
      <c r="AD834" s="1414"/>
      <c r="AE834" s="1414"/>
      <c r="AF834" s="1414"/>
      <c r="AG834" s="1414"/>
      <c r="AH834" s="1414"/>
      <c r="AI834" s="1414"/>
      <c r="AJ834" s="1414"/>
      <c r="AK834" s="1414"/>
      <c r="AL834" s="1414"/>
      <c r="AM834" s="1414"/>
      <c r="AN834" s="1414"/>
      <c r="AO834" s="1414"/>
      <c r="AP834" s="1414"/>
      <c r="AQ834" s="1414"/>
      <c r="AR834" s="1414"/>
      <c r="AS834" s="1414"/>
      <c r="AT834" s="1414"/>
      <c r="AU834" s="1414"/>
      <c r="AV834" s="1414"/>
      <c r="AW834" s="1414"/>
      <c r="AX834" s="1414"/>
      <c r="AY834" s="1399"/>
      <c r="AZ834" s="1399"/>
      <c r="BA834" s="1399"/>
      <c r="BB834" s="1399"/>
      <c r="BC834" s="1399"/>
      <c r="BD834" s="1399"/>
      <c r="BE834" s="1414"/>
      <c r="BF834" s="1399"/>
      <c r="BG834" s="1399"/>
      <c r="BH834" s="1399"/>
      <c r="BI834" s="1399"/>
      <c r="BJ834" s="1399"/>
      <c r="BK834" s="1399"/>
      <c r="BL834" s="1399"/>
      <c r="BM834" s="1399"/>
      <c r="BN834" s="1399"/>
      <c r="BO834" s="1399"/>
      <c r="BP834" s="1399"/>
      <c r="BQ834" s="1399"/>
      <c r="BR834" s="1399"/>
      <c r="BS834" s="1399"/>
      <c r="BT834" s="1399"/>
      <c r="BU834" s="1399"/>
      <c r="BV834" s="1399"/>
      <c r="BW834" s="1399"/>
      <c r="BX834" s="1399"/>
      <c r="BY834" s="1399"/>
      <c r="BZ834" s="1399"/>
      <c r="CA834" s="1399"/>
      <c r="CB834" s="1399"/>
      <c r="CC834" s="1399"/>
      <c r="CD834" s="1399"/>
      <c r="CE834" s="1399"/>
      <c r="CF834" s="1399"/>
      <c r="CG834" s="1399"/>
      <c r="CH834" s="1399"/>
      <c r="CI834" s="1399"/>
      <c r="CJ834" s="1399"/>
      <c r="CK834" s="1399"/>
      <c r="CL834" s="1399"/>
      <c r="CM834" s="1399"/>
      <c r="CN834" s="1399"/>
      <c r="CO834" s="1399"/>
      <c r="CP834" s="1399"/>
      <c r="CQ834" s="1399"/>
      <c r="CR834" s="1399"/>
      <c r="CS834" s="1399"/>
      <c r="CT834" s="1399"/>
      <c r="CU834" s="1399"/>
      <c r="CV834" s="1399"/>
      <c r="CW834" s="1399"/>
      <c r="CX834" s="1399"/>
      <c r="CY834" s="1399"/>
      <c r="CZ834" s="1399"/>
      <c r="DA834" s="1399"/>
      <c r="DB834" s="1399"/>
      <c r="DC834" s="1399"/>
      <c r="DD834" s="1399"/>
      <c r="DE834" s="1399"/>
      <c r="DF834" s="1399"/>
      <c r="DG834" s="1399"/>
      <c r="DH834" s="1399"/>
      <c r="DI834" s="1399"/>
      <c r="DJ834" s="1399"/>
      <c r="DK834" s="1399"/>
      <c r="DL834" s="1399"/>
      <c r="DM834" s="1399"/>
      <c r="DN834" s="1399"/>
      <c r="DO834" s="1399"/>
      <c r="DP834" s="1399"/>
      <c r="DQ834" s="1399"/>
      <c r="DR834" s="1399"/>
      <c r="DS834" s="1399"/>
      <c r="DT834" s="1399"/>
      <c r="DU834" s="1399"/>
    </row>
    <row r="835" spans="1:125">
      <c r="A835" s="1414"/>
      <c r="B835" s="1414"/>
      <c r="C835" s="1414"/>
      <c r="D835" s="1414"/>
      <c r="E835" s="1414"/>
      <c r="F835" s="1414"/>
      <c r="G835" s="1414"/>
      <c r="H835" s="1414"/>
      <c r="I835" s="1414"/>
      <c r="J835" s="1414"/>
      <c r="K835" s="1414"/>
      <c r="L835" s="1414"/>
      <c r="M835" s="1414"/>
      <c r="N835" s="1414"/>
      <c r="O835" s="1414"/>
      <c r="P835" s="1414"/>
      <c r="Q835" s="1414"/>
      <c r="R835" s="1414"/>
      <c r="S835" s="1414"/>
      <c r="T835" s="1414"/>
      <c r="U835" s="1414"/>
      <c r="V835" s="1414"/>
      <c r="W835" s="1414"/>
      <c r="X835" s="1414"/>
      <c r="Y835" s="1414"/>
      <c r="Z835" s="1414"/>
      <c r="AA835" s="1414"/>
      <c r="AB835" s="1414"/>
      <c r="AC835" s="1414"/>
      <c r="AD835" s="1414"/>
      <c r="AE835" s="1414"/>
      <c r="AF835" s="1414"/>
      <c r="AG835" s="1414"/>
      <c r="AH835" s="1414"/>
      <c r="AI835" s="1414"/>
      <c r="AJ835" s="1414"/>
      <c r="AK835" s="1414"/>
      <c r="AL835" s="1414"/>
      <c r="AM835" s="1414"/>
      <c r="AN835" s="1414"/>
      <c r="AO835" s="1414"/>
      <c r="AP835" s="1414"/>
      <c r="AQ835" s="1414"/>
      <c r="AR835" s="1414"/>
      <c r="AS835" s="1414"/>
      <c r="AT835" s="1414"/>
      <c r="AU835" s="1414"/>
      <c r="AV835" s="1414"/>
      <c r="AW835" s="1414"/>
      <c r="AX835" s="1414"/>
      <c r="AY835" s="1399"/>
      <c r="AZ835" s="1399"/>
      <c r="BA835" s="1399"/>
      <c r="BB835" s="1399"/>
      <c r="BC835" s="1399"/>
      <c r="BD835" s="1399"/>
      <c r="BE835" s="1414"/>
      <c r="BF835" s="1399"/>
      <c r="BG835" s="1399"/>
      <c r="BH835" s="1399"/>
      <c r="BI835" s="1399"/>
      <c r="BJ835" s="1399"/>
      <c r="BK835" s="1399"/>
      <c r="BL835" s="1399"/>
      <c r="BM835" s="1399"/>
      <c r="BN835" s="1399"/>
      <c r="BO835" s="1399"/>
      <c r="BP835" s="1399"/>
      <c r="BQ835" s="1399"/>
      <c r="BR835" s="1399"/>
      <c r="BS835" s="1399"/>
      <c r="BT835" s="1399"/>
      <c r="BU835" s="1399"/>
      <c r="BV835" s="1399"/>
      <c r="BW835" s="1399"/>
      <c r="BX835" s="1399"/>
      <c r="BY835" s="1399"/>
      <c r="BZ835" s="1399"/>
      <c r="CA835" s="1399"/>
      <c r="CB835" s="1399"/>
      <c r="CC835" s="1399"/>
      <c r="CD835" s="1399"/>
      <c r="CE835" s="1399"/>
      <c r="CF835" s="1399"/>
      <c r="CG835" s="1399"/>
      <c r="CH835" s="1399"/>
      <c r="CI835" s="1399"/>
      <c r="CJ835" s="1399"/>
      <c r="CK835" s="1399"/>
      <c r="CL835" s="1399"/>
      <c r="CM835" s="1399"/>
      <c r="CN835" s="1399"/>
      <c r="CO835" s="1399"/>
      <c r="CP835" s="1399"/>
      <c r="CQ835" s="1399"/>
      <c r="CR835" s="1399"/>
      <c r="CS835" s="1399"/>
      <c r="CT835" s="1399"/>
      <c r="CU835" s="1399"/>
      <c r="CV835" s="1399"/>
      <c r="CW835" s="1399"/>
      <c r="CX835" s="1399"/>
      <c r="CY835" s="1399"/>
      <c r="CZ835" s="1399"/>
      <c r="DA835" s="1399"/>
      <c r="DB835" s="1399"/>
      <c r="DC835" s="1399"/>
      <c r="DD835" s="1399"/>
      <c r="DE835" s="1399"/>
      <c r="DF835" s="1399"/>
      <c r="DG835" s="1399"/>
      <c r="DH835" s="1399"/>
      <c r="DI835" s="1399"/>
      <c r="DJ835" s="1399"/>
      <c r="DK835" s="1399"/>
      <c r="DL835" s="1399"/>
      <c r="DM835" s="1399"/>
      <c r="DN835" s="1399"/>
      <c r="DO835" s="1399"/>
      <c r="DP835" s="1399"/>
      <c r="DQ835" s="1399"/>
      <c r="DR835" s="1399"/>
      <c r="DS835" s="1399"/>
      <c r="DT835" s="1399"/>
      <c r="DU835" s="1399"/>
    </row>
    <row r="836" spans="1:125">
      <c r="A836" s="1414"/>
      <c r="B836" s="1414"/>
      <c r="C836" s="1414"/>
      <c r="D836" s="1414"/>
      <c r="E836" s="1414"/>
      <c r="F836" s="1414"/>
      <c r="G836" s="1414"/>
      <c r="H836" s="1414"/>
      <c r="I836" s="1414"/>
      <c r="J836" s="1414"/>
      <c r="K836" s="1414"/>
      <c r="L836" s="1414"/>
      <c r="M836" s="1414"/>
      <c r="N836" s="1414"/>
      <c r="O836" s="1414"/>
      <c r="P836" s="1414"/>
      <c r="Q836" s="1414"/>
      <c r="R836" s="1414"/>
      <c r="S836" s="1414"/>
      <c r="T836" s="1414"/>
      <c r="U836" s="1414"/>
      <c r="V836" s="1414"/>
      <c r="W836" s="1414"/>
      <c r="X836" s="1414"/>
      <c r="Y836" s="1414"/>
      <c r="Z836" s="1414"/>
      <c r="AA836" s="1414"/>
      <c r="AB836" s="1414"/>
      <c r="AC836" s="1414"/>
      <c r="AD836" s="1414"/>
      <c r="AE836" s="1414"/>
      <c r="AF836" s="1414"/>
      <c r="AG836" s="1414"/>
      <c r="AH836" s="1414"/>
      <c r="AI836" s="1414"/>
      <c r="AJ836" s="1414"/>
      <c r="AK836" s="1414"/>
      <c r="AL836" s="1414"/>
      <c r="AM836" s="1414"/>
      <c r="AN836" s="1414"/>
      <c r="AO836" s="1414"/>
      <c r="AP836" s="1414"/>
      <c r="AQ836" s="1414"/>
      <c r="AR836" s="1414"/>
      <c r="AS836" s="1414"/>
      <c r="AT836" s="1414"/>
      <c r="AU836" s="1414"/>
      <c r="AV836" s="1414"/>
      <c r="AW836" s="1414"/>
      <c r="AX836" s="1414"/>
      <c r="AY836" s="1399"/>
      <c r="AZ836" s="1399"/>
      <c r="BA836" s="1399"/>
      <c r="BB836" s="1399"/>
      <c r="BC836" s="1399"/>
      <c r="BD836" s="1399"/>
      <c r="BE836" s="1414"/>
      <c r="BF836" s="1399"/>
      <c r="BG836" s="1399"/>
      <c r="BH836" s="1399"/>
      <c r="BI836" s="1399"/>
      <c r="BJ836" s="1399"/>
      <c r="BK836" s="1399"/>
      <c r="BL836" s="1399"/>
      <c r="BM836" s="1399"/>
      <c r="BN836" s="1399"/>
      <c r="BO836" s="1399"/>
      <c r="BP836" s="1399"/>
      <c r="BQ836" s="1399"/>
      <c r="BR836" s="1399"/>
      <c r="BS836" s="1399"/>
      <c r="BT836" s="1399"/>
      <c r="BU836" s="1399"/>
      <c r="BV836" s="1399"/>
      <c r="BW836" s="1399"/>
      <c r="BX836" s="1399"/>
      <c r="BY836" s="1399"/>
      <c r="BZ836" s="1399"/>
      <c r="CA836" s="1399"/>
      <c r="CB836" s="1399"/>
      <c r="CC836" s="1399"/>
      <c r="CD836" s="1399"/>
      <c r="CE836" s="1399"/>
      <c r="CF836" s="1399"/>
      <c r="CG836" s="1399"/>
      <c r="CH836" s="1399"/>
      <c r="CI836" s="1399"/>
      <c r="CJ836" s="1399"/>
      <c r="CK836" s="1399"/>
      <c r="CL836" s="1399"/>
      <c r="CM836" s="1399"/>
      <c r="CN836" s="1399"/>
      <c r="CO836" s="1399"/>
      <c r="CP836" s="1399"/>
      <c r="CQ836" s="1399"/>
      <c r="CR836" s="1399"/>
      <c r="CS836" s="1399"/>
      <c r="CT836" s="1399"/>
      <c r="CU836" s="1399"/>
      <c r="CV836" s="1399"/>
      <c r="CW836" s="1399"/>
      <c r="CX836" s="1399"/>
      <c r="CY836" s="1399"/>
      <c r="CZ836" s="1399"/>
      <c r="DA836" s="1399"/>
      <c r="DB836" s="1399"/>
      <c r="DC836" s="1399"/>
      <c r="DD836" s="1399"/>
      <c r="DE836" s="1399"/>
      <c r="DF836" s="1399"/>
      <c r="DG836" s="1399"/>
      <c r="DH836" s="1399"/>
      <c r="DI836" s="1399"/>
      <c r="DJ836" s="1399"/>
      <c r="DK836" s="1399"/>
      <c r="DL836" s="1399"/>
      <c r="DM836" s="1399"/>
      <c r="DN836" s="1399"/>
      <c r="DO836" s="1399"/>
      <c r="DP836" s="1399"/>
      <c r="DQ836" s="1399"/>
      <c r="DR836" s="1399"/>
      <c r="DS836" s="1399"/>
      <c r="DT836" s="1399"/>
      <c r="DU836" s="1399"/>
    </row>
    <row r="837" spans="1:125">
      <c r="A837" s="1414"/>
      <c r="B837" s="1414"/>
      <c r="C837" s="1414"/>
      <c r="D837" s="1414"/>
      <c r="E837" s="1414"/>
      <c r="F837" s="1414"/>
      <c r="G837" s="1414"/>
      <c r="H837" s="1414"/>
      <c r="I837" s="1414"/>
      <c r="J837" s="1414"/>
      <c r="K837" s="1414"/>
      <c r="L837" s="1414"/>
      <c r="M837" s="1414"/>
      <c r="N837" s="1414"/>
      <c r="O837" s="1414"/>
      <c r="P837" s="1414"/>
      <c r="Q837" s="1414"/>
      <c r="R837" s="1414"/>
      <c r="S837" s="1414"/>
      <c r="T837" s="1414"/>
      <c r="U837" s="1414"/>
      <c r="V837" s="1414"/>
      <c r="W837" s="1414"/>
      <c r="X837" s="1414"/>
      <c r="Y837" s="1414"/>
      <c r="Z837" s="1414"/>
      <c r="AA837" s="1414"/>
      <c r="AB837" s="1414"/>
      <c r="AC837" s="1414"/>
      <c r="AD837" s="1414"/>
      <c r="AE837" s="1414"/>
      <c r="AF837" s="1414"/>
      <c r="AG837" s="1414"/>
      <c r="AH837" s="1414"/>
      <c r="AI837" s="1414"/>
      <c r="AJ837" s="1414"/>
      <c r="AK837" s="1414"/>
      <c r="AL837" s="1414"/>
      <c r="AM837" s="1414"/>
      <c r="AN837" s="1414"/>
      <c r="AO837" s="1414"/>
      <c r="AP837" s="1414"/>
      <c r="AQ837" s="1414"/>
      <c r="AR837" s="1414"/>
      <c r="AS837" s="1414"/>
      <c r="AT837" s="1414"/>
      <c r="AU837" s="1414"/>
      <c r="AV837" s="1414"/>
      <c r="AW837" s="1414"/>
      <c r="AX837" s="1414"/>
      <c r="AY837" s="1399"/>
      <c r="AZ837" s="1399"/>
      <c r="BA837" s="1399"/>
      <c r="BB837" s="1399"/>
      <c r="BC837" s="1399"/>
      <c r="BD837" s="1399"/>
      <c r="BE837" s="1414"/>
      <c r="BF837" s="1399"/>
      <c r="BG837" s="1399"/>
      <c r="BH837" s="1399"/>
      <c r="BI837" s="1399"/>
      <c r="BJ837" s="1399"/>
      <c r="BK837" s="1399"/>
      <c r="BL837" s="1399"/>
      <c r="BM837" s="1399"/>
      <c r="BN837" s="1399"/>
      <c r="BO837" s="1399"/>
      <c r="BP837" s="1399"/>
      <c r="BQ837" s="1399"/>
      <c r="BR837" s="1399"/>
      <c r="BS837" s="1399"/>
      <c r="BT837" s="1399"/>
      <c r="BU837" s="1399"/>
      <c r="BV837" s="1399"/>
      <c r="BW837" s="1399"/>
      <c r="BX837" s="1399"/>
      <c r="BY837" s="1399"/>
      <c r="BZ837" s="1399"/>
      <c r="CA837" s="1399"/>
      <c r="CB837" s="1399"/>
      <c r="CC837" s="1399"/>
      <c r="CD837" s="1399"/>
      <c r="CE837" s="1399"/>
      <c r="CF837" s="1399"/>
      <c r="CG837" s="1399"/>
      <c r="CH837" s="1399"/>
      <c r="CI837" s="1399"/>
      <c r="CJ837" s="1399"/>
      <c r="CK837" s="1399"/>
      <c r="CL837" s="1399"/>
      <c r="CM837" s="1399"/>
      <c r="CN837" s="1399"/>
      <c r="CO837" s="1399"/>
      <c r="CP837" s="1399"/>
      <c r="CQ837" s="1399"/>
      <c r="CR837" s="1399"/>
      <c r="CS837" s="1399"/>
      <c r="CT837" s="1399"/>
      <c r="CU837" s="1399"/>
      <c r="CV837" s="1399"/>
      <c r="CW837" s="1399"/>
      <c r="CX837" s="1399"/>
      <c r="CY837" s="1399"/>
      <c r="CZ837" s="1399"/>
      <c r="DA837" s="1399"/>
      <c r="DB837" s="1399"/>
      <c r="DC837" s="1399"/>
      <c r="DD837" s="1399"/>
      <c r="DE837" s="1399"/>
      <c r="DF837" s="1399"/>
      <c r="DG837" s="1399"/>
      <c r="DH837" s="1399"/>
      <c r="DI837" s="1399"/>
      <c r="DJ837" s="1399"/>
      <c r="DK837" s="1399"/>
      <c r="DL837" s="1399"/>
      <c r="DM837" s="1399"/>
      <c r="DN837" s="1399"/>
      <c r="DO837" s="1399"/>
      <c r="DP837" s="1399"/>
      <c r="DQ837" s="1399"/>
      <c r="DR837" s="1399"/>
      <c r="DS837" s="1399"/>
      <c r="DT837" s="1399"/>
      <c r="DU837" s="1399"/>
    </row>
    <row r="838" spans="1:125">
      <c r="A838" s="1414"/>
      <c r="B838" s="1414"/>
      <c r="C838" s="1414"/>
      <c r="D838" s="1414"/>
      <c r="E838" s="1414"/>
      <c r="F838" s="1414"/>
      <c r="G838" s="1414"/>
      <c r="H838" s="1414"/>
      <c r="I838" s="1414"/>
      <c r="J838" s="1414"/>
      <c r="K838" s="1414"/>
      <c r="L838" s="1414"/>
      <c r="M838" s="1414"/>
      <c r="N838" s="1414"/>
      <c r="O838" s="1414"/>
      <c r="P838" s="1414"/>
      <c r="Q838" s="1414"/>
      <c r="R838" s="1414"/>
      <c r="S838" s="1414"/>
      <c r="T838" s="1414"/>
      <c r="U838" s="1414"/>
      <c r="V838" s="1414"/>
      <c r="W838" s="1414"/>
      <c r="X838" s="1414"/>
      <c r="Y838" s="1414"/>
      <c r="Z838" s="1414"/>
      <c r="AA838" s="1414"/>
      <c r="AB838" s="1414"/>
      <c r="AC838" s="1414"/>
      <c r="AD838" s="1414"/>
      <c r="AE838" s="1414"/>
      <c r="AF838" s="1414"/>
      <c r="AG838" s="1414"/>
      <c r="AH838" s="1414"/>
      <c r="AI838" s="1414"/>
      <c r="AJ838" s="1414"/>
      <c r="AK838" s="1414"/>
      <c r="AL838" s="1414"/>
      <c r="AM838" s="1414"/>
      <c r="AN838" s="1414"/>
      <c r="AO838" s="1414"/>
      <c r="AP838" s="1414"/>
      <c r="AQ838" s="1414"/>
      <c r="AR838" s="1414"/>
      <c r="AS838" s="1414"/>
      <c r="AT838" s="1414"/>
      <c r="AU838" s="1414"/>
      <c r="AV838" s="1414"/>
      <c r="AW838" s="1414"/>
      <c r="AX838" s="1414"/>
      <c r="AY838" s="1399"/>
      <c r="AZ838" s="1399"/>
      <c r="BA838" s="1399"/>
      <c r="BB838" s="1399"/>
      <c r="BC838" s="1399"/>
      <c r="BD838" s="1399"/>
      <c r="BE838" s="1414"/>
      <c r="BF838" s="1399"/>
      <c r="BG838" s="1399"/>
      <c r="BH838" s="1399"/>
      <c r="BI838" s="1399"/>
      <c r="BJ838" s="1399"/>
      <c r="BK838" s="1399"/>
      <c r="BL838" s="1399"/>
      <c r="BM838" s="1399"/>
      <c r="BN838" s="1399"/>
      <c r="BO838" s="1399"/>
      <c r="BP838" s="1399"/>
      <c r="BQ838" s="1399"/>
      <c r="BR838" s="1399"/>
      <c r="BS838" s="1399"/>
      <c r="BT838" s="1399"/>
      <c r="BU838" s="1399"/>
      <c r="BV838" s="1399"/>
      <c r="BW838" s="1399"/>
      <c r="BX838" s="1399"/>
      <c r="BY838" s="1399"/>
      <c r="BZ838" s="1399"/>
      <c r="CA838" s="1399"/>
      <c r="CB838" s="1399"/>
      <c r="CC838" s="1399"/>
      <c r="CD838" s="1399"/>
      <c r="CE838" s="1399"/>
      <c r="CF838" s="1399"/>
      <c r="CG838" s="1399"/>
      <c r="CH838" s="1399"/>
      <c r="CI838" s="1399"/>
      <c r="CJ838" s="1399"/>
      <c r="CK838" s="1399"/>
      <c r="CL838" s="1399"/>
      <c r="CM838" s="1399"/>
      <c r="CN838" s="1399"/>
      <c r="CO838" s="1399"/>
      <c r="CP838" s="1399"/>
      <c r="CQ838" s="1399"/>
      <c r="CR838" s="1399"/>
      <c r="CS838" s="1399"/>
      <c r="CT838" s="1399"/>
      <c r="CU838" s="1399"/>
      <c r="CV838" s="1399"/>
      <c r="CW838" s="1399"/>
      <c r="CX838" s="1399"/>
      <c r="CY838" s="1399"/>
      <c r="CZ838" s="1399"/>
      <c r="DA838" s="1399"/>
      <c r="DB838" s="1399"/>
      <c r="DC838" s="1399"/>
      <c r="DD838" s="1399"/>
      <c r="DE838" s="1399"/>
      <c r="DF838" s="1399"/>
      <c r="DG838" s="1399"/>
      <c r="DH838" s="1399"/>
      <c r="DI838" s="1399"/>
      <c r="DJ838" s="1399"/>
      <c r="DK838" s="1399"/>
      <c r="DL838" s="1399"/>
      <c r="DM838" s="1399"/>
      <c r="DN838" s="1399"/>
      <c r="DO838" s="1399"/>
      <c r="DP838" s="1399"/>
      <c r="DQ838" s="1399"/>
      <c r="DR838" s="1399"/>
      <c r="DS838" s="1399"/>
      <c r="DT838" s="1399"/>
      <c r="DU838" s="1399"/>
    </row>
    <row r="839" spans="1:125">
      <c r="A839" s="1414"/>
      <c r="B839" s="1414"/>
      <c r="C839" s="1414"/>
      <c r="D839" s="1414"/>
      <c r="E839" s="1414"/>
      <c r="F839" s="1414"/>
      <c r="G839" s="1414"/>
      <c r="H839" s="1414"/>
      <c r="I839" s="1414"/>
      <c r="J839" s="1414"/>
      <c r="K839" s="1414"/>
      <c r="L839" s="1414"/>
      <c r="M839" s="1414"/>
      <c r="N839" s="1414"/>
      <c r="O839" s="1414"/>
      <c r="P839" s="1414"/>
      <c r="Q839" s="1414"/>
      <c r="R839" s="1414"/>
      <c r="S839" s="1414"/>
      <c r="T839" s="1414"/>
      <c r="U839" s="1414"/>
      <c r="V839" s="1414"/>
      <c r="W839" s="1414"/>
      <c r="X839" s="1414"/>
      <c r="Y839" s="1414"/>
      <c r="Z839" s="1414"/>
      <c r="AA839" s="1414"/>
      <c r="AB839" s="1414"/>
      <c r="AC839" s="1414"/>
      <c r="AD839" s="1414"/>
      <c r="AE839" s="1414"/>
      <c r="AF839" s="1414"/>
      <c r="AG839" s="1414"/>
      <c r="AH839" s="1414"/>
      <c r="AI839" s="1414"/>
      <c r="AJ839" s="1414"/>
      <c r="AK839" s="1414"/>
      <c r="AL839" s="1414"/>
      <c r="AM839" s="1414"/>
      <c r="AN839" s="1414"/>
      <c r="AO839" s="1414"/>
      <c r="AP839" s="1414"/>
      <c r="AQ839" s="1414"/>
      <c r="AR839" s="1414"/>
      <c r="AS839" s="1414"/>
      <c r="AT839" s="1414"/>
      <c r="AU839" s="1414"/>
      <c r="AV839" s="1414"/>
      <c r="AW839" s="1414"/>
      <c r="AX839" s="1414"/>
      <c r="AY839" s="1399"/>
      <c r="AZ839" s="1399"/>
      <c r="BA839" s="1399"/>
      <c r="BB839" s="1399"/>
      <c r="BC839" s="1399"/>
      <c r="BD839" s="1399"/>
      <c r="BE839" s="1414"/>
      <c r="BF839" s="1399"/>
      <c r="BG839" s="1399"/>
      <c r="BH839" s="1399"/>
      <c r="BI839" s="1399"/>
      <c r="BJ839" s="1399"/>
      <c r="BK839" s="1399"/>
      <c r="BL839" s="1399"/>
      <c r="BM839" s="1399"/>
      <c r="BN839" s="1399"/>
      <c r="BO839" s="1399"/>
      <c r="BP839" s="1399"/>
      <c r="BQ839" s="1399"/>
      <c r="BR839" s="1399"/>
      <c r="BS839" s="1399"/>
      <c r="BT839" s="1399"/>
      <c r="BU839" s="1399"/>
      <c r="BV839" s="1399"/>
      <c r="BW839" s="1399"/>
      <c r="BX839" s="1399"/>
      <c r="BY839" s="1399"/>
      <c r="BZ839" s="1399"/>
      <c r="CA839" s="1399"/>
      <c r="CB839" s="1399"/>
      <c r="CC839" s="1399"/>
      <c r="CD839" s="1399"/>
      <c r="CE839" s="1399"/>
      <c r="CF839" s="1399"/>
      <c r="CG839" s="1399"/>
      <c r="CH839" s="1399"/>
      <c r="CI839" s="1399"/>
      <c r="CJ839" s="1399"/>
      <c r="CK839" s="1399"/>
      <c r="CL839" s="1399"/>
      <c r="CM839" s="1399"/>
      <c r="CN839" s="1399"/>
      <c r="CO839" s="1399"/>
      <c r="CP839" s="1399"/>
      <c r="CQ839" s="1399"/>
      <c r="CR839" s="1399"/>
      <c r="CS839" s="1399"/>
      <c r="CT839" s="1399"/>
      <c r="CU839" s="1399"/>
      <c r="CV839" s="1399"/>
      <c r="CW839" s="1399"/>
      <c r="CX839" s="1399"/>
      <c r="CY839" s="1399"/>
      <c r="CZ839" s="1399"/>
      <c r="DA839" s="1399"/>
      <c r="DB839" s="1399"/>
      <c r="DC839" s="1399"/>
      <c r="DD839" s="1399"/>
      <c r="DE839" s="1399"/>
      <c r="DF839" s="1399"/>
      <c r="DG839" s="1399"/>
      <c r="DH839" s="1399"/>
      <c r="DI839" s="1399"/>
      <c r="DJ839" s="1399"/>
      <c r="DK839" s="1399"/>
      <c r="DL839" s="1399"/>
      <c r="DM839" s="1399"/>
      <c r="DN839" s="1399"/>
      <c r="DO839" s="1399"/>
      <c r="DP839" s="1399"/>
      <c r="DQ839" s="1399"/>
      <c r="DR839" s="1399"/>
      <c r="DS839" s="1399"/>
      <c r="DT839" s="1399"/>
      <c r="DU839" s="1399"/>
    </row>
    <row r="840" spans="1:125">
      <c r="A840" s="1414"/>
      <c r="B840" s="1414"/>
      <c r="C840" s="1414"/>
      <c r="D840" s="1414"/>
      <c r="E840" s="1414"/>
      <c r="F840" s="1414"/>
      <c r="G840" s="1414"/>
      <c r="H840" s="1414"/>
      <c r="I840" s="1414"/>
      <c r="J840" s="1414"/>
      <c r="K840" s="1414"/>
      <c r="L840" s="1414"/>
      <c r="M840" s="1414"/>
      <c r="N840" s="1414"/>
      <c r="O840" s="1414"/>
      <c r="P840" s="1414"/>
      <c r="Q840" s="1414"/>
      <c r="R840" s="1414"/>
      <c r="S840" s="1414"/>
      <c r="T840" s="1414"/>
      <c r="U840" s="1414"/>
      <c r="V840" s="1414"/>
      <c r="W840" s="1414"/>
      <c r="X840" s="1414"/>
      <c r="Y840" s="1414"/>
      <c r="Z840" s="1414"/>
      <c r="AA840" s="1414"/>
      <c r="AB840" s="1414"/>
      <c r="AC840" s="1414"/>
      <c r="AD840" s="1414"/>
      <c r="AE840" s="1414"/>
      <c r="AF840" s="1414"/>
      <c r="AG840" s="1414"/>
      <c r="AH840" s="1414"/>
      <c r="AI840" s="1414"/>
      <c r="AJ840" s="1414"/>
      <c r="AK840" s="1414"/>
      <c r="AL840" s="1414"/>
      <c r="AM840" s="1414"/>
      <c r="AN840" s="1414"/>
      <c r="AO840" s="1414"/>
      <c r="AP840" s="1414"/>
      <c r="AQ840" s="1414"/>
      <c r="AR840" s="1414"/>
      <c r="AS840" s="1414"/>
      <c r="AT840" s="1414"/>
      <c r="AU840" s="1414"/>
      <c r="AV840" s="1414"/>
      <c r="AW840" s="1414"/>
      <c r="AX840" s="1414"/>
      <c r="AY840" s="1399"/>
      <c r="AZ840" s="1399"/>
      <c r="BA840" s="1399"/>
      <c r="BB840" s="1399"/>
      <c r="BC840" s="1399"/>
      <c r="BD840" s="1399"/>
      <c r="BE840" s="1414"/>
      <c r="BF840" s="1399"/>
      <c r="BG840" s="1399"/>
      <c r="BH840" s="1399"/>
      <c r="BI840" s="1399"/>
      <c r="BJ840" s="1399"/>
      <c r="BK840" s="1399"/>
      <c r="BL840" s="1399"/>
      <c r="BM840" s="1399"/>
      <c r="BN840" s="1399"/>
      <c r="BO840" s="1399"/>
      <c r="BP840" s="1399"/>
      <c r="BQ840" s="1399"/>
      <c r="BR840" s="1399"/>
      <c r="BS840" s="1399"/>
      <c r="BT840" s="1399"/>
      <c r="BU840" s="1399"/>
      <c r="BV840" s="1399"/>
      <c r="BW840" s="1399"/>
      <c r="BX840" s="1399"/>
      <c r="BY840" s="1399"/>
      <c r="BZ840" s="1399"/>
      <c r="CA840" s="1399"/>
      <c r="CB840" s="1399"/>
      <c r="CC840" s="1399"/>
      <c r="CD840" s="1399"/>
      <c r="CE840" s="1399"/>
      <c r="CF840" s="1399"/>
      <c r="CG840" s="1399"/>
      <c r="CH840" s="1399"/>
      <c r="CI840" s="1399"/>
      <c r="CJ840" s="1399"/>
      <c r="CK840" s="1399"/>
      <c r="CL840" s="1399"/>
      <c r="CM840" s="1399"/>
      <c r="CN840" s="1399"/>
      <c r="CO840" s="1399"/>
      <c r="CP840" s="1399"/>
      <c r="CQ840" s="1399"/>
      <c r="CR840" s="1399"/>
      <c r="CS840" s="1399"/>
      <c r="CT840" s="1399"/>
      <c r="CU840" s="1399"/>
      <c r="CV840" s="1399"/>
      <c r="CW840" s="1399"/>
      <c r="CX840" s="1399"/>
      <c r="CY840" s="1399"/>
      <c r="CZ840" s="1399"/>
      <c r="DA840" s="1399"/>
      <c r="DB840" s="1399"/>
      <c r="DC840" s="1399"/>
      <c r="DD840" s="1399"/>
      <c r="DE840" s="1399"/>
      <c r="DF840" s="1399"/>
      <c r="DG840" s="1399"/>
      <c r="DH840" s="1399"/>
      <c r="DI840" s="1399"/>
      <c r="DJ840" s="1399"/>
      <c r="DK840" s="1399"/>
      <c r="DL840" s="1399"/>
      <c r="DM840" s="1399"/>
      <c r="DN840" s="1399"/>
      <c r="DO840" s="1399"/>
      <c r="DP840" s="1399"/>
      <c r="DQ840" s="1399"/>
      <c r="DR840" s="1399"/>
      <c r="DS840" s="1399"/>
      <c r="DT840" s="1399"/>
      <c r="DU840" s="1399"/>
    </row>
    <row r="841" spans="1:125">
      <c r="A841" s="1414"/>
      <c r="B841" s="1414"/>
      <c r="C841" s="1414"/>
      <c r="D841" s="1414"/>
      <c r="E841" s="1414"/>
      <c r="F841" s="1414"/>
      <c r="G841" s="1414"/>
      <c r="H841" s="1414"/>
      <c r="I841" s="1414"/>
      <c r="J841" s="1414"/>
      <c r="K841" s="1414"/>
      <c r="L841" s="1414"/>
      <c r="M841" s="1414"/>
      <c r="N841" s="1414"/>
      <c r="O841" s="1414"/>
      <c r="P841" s="1414"/>
      <c r="Q841" s="1414"/>
      <c r="R841" s="1414"/>
      <c r="S841" s="1414"/>
      <c r="T841" s="1414"/>
      <c r="U841" s="1414"/>
      <c r="V841" s="1414"/>
      <c r="W841" s="1414"/>
      <c r="X841" s="1414"/>
      <c r="Y841" s="1414"/>
      <c r="Z841" s="1414"/>
      <c r="AA841" s="1414"/>
      <c r="AB841" s="1414"/>
      <c r="AC841" s="1414"/>
      <c r="AD841" s="1414"/>
      <c r="AE841" s="1414"/>
      <c r="AF841" s="1414"/>
      <c r="AG841" s="1414"/>
      <c r="AH841" s="1414"/>
      <c r="AI841" s="1414"/>
      <c r="AJ841" s="1414"/>
      <c r="AK841" s="1414"/>
      <c r="AL841" s="1414"/>
      <c r="AM841" s="1414"/>
      <c r="AN841" s="1414"/>
      <c r="AO841" s="1414"/>
      <c r="AP841" s="1414"/>
      <c r="AQ841" s="1414"/>
      <c r="AR841" s="1414"/>
      <c r="AS841" s="1414"/>
      <c r="AT841" s="1414"/>
      <c r="AU841" s="1414"/>
      <c r="AV841" s="1414"/>
      <c r="AW841" s="1414"/>
      <c r="AX841" s="1414"/>
      <c r="AY841" s="1399"/>
      <c r="AZ841" s="1399"/>
      <c r="BA841" s="1399"/>
      <c r="BB841" s="1399"/>
      <c r="BC841" s="1399"/>
      <c r="BD841" s="1399"/>
      <c r="BE841" s="1414"/>
      <c r="BF841" s="1399"/>
      <c r="BG841" s="1399"/>
      <c r="BH841" s="1399"/>
      <c r="BI841" s="1399"/>
      <c r="BJ841" s="1399"/>
      <c r="BK841" s="1399"/>
      <c r="BL841" s="1399"/>
      <c r="BM841" s="1399"/>
      <c r="BN841" s="1399"/>
      <c r="BO841" s="1399"/>
      <c r="BP841" s="1399"/>
      <c r="BQ841" s="1399"/>
      <c r="BR841" s="1399"/>
      <c r="BS841" s="1399"/>
      <c r="BT841" s="1399"/>
      <c r="BU841" s="1399"/>
      <c r="BV841" s="1399"/>
      <c r="BW841" s="1399"/>
      <c r="BX841" s="1399"/>
      <c r="BY841" s="1399"/>
      <c r="BZ841" s="1399"/>
      <c r="CA841" s="1399"/>
      <c r="CB841" s="1399"/>
      <c r="CC841" s="1399"/>
      <c r="CD841" s="1399"/>
      <c r="CE841" s="1399"/>
      <c r="CF841" s="1399"/>
      <c r="CG841" s="1399"/>
      <c r="CH841" s="1399"/>
      <c r="CI841" s="1399"/>
      <c r="CJ841" s="1399"/>
      <c r="CK841" s="1399"/>
      <c r="CL841" s="1399"/>
      <c r="CM841" s="1399"/>
      <c r="CN841" s="1399"/>
      <c r="CO841" s="1399"/>
      <c r="CP841" s="1399"/>
      <c r="CQ841" s="1399"/>
      <c r="CR841" s="1399"/>
      <c r="CS841" s="1399"/>
      <c r="CT841" s="1399"/>
      <c r="CU841" s="1399"/>
      <c r="CV841" s="1399"/>
      <c r="CW841" s="1399"/>
      <c r="CX841" s="1399"/>
      <c r="CY841" s="1399"/>
      <c r="CZ841" s="1399"/>
      <c r="DA841" s="1399"/>
      <c r="DB841" s="1399"/>
      <c r="DC841" s="1399"/>
      <c r="DD841" s="1399"/>
      <c r="DE841" s="1399"/>
      <c r="DF841" s="1399"/>
      <c r="DG841" s="1399"/>
      <c r="DH841" s="1399"/>
      <c r="DI841" s="1399"/>
      <c r="DJ841" s="1399"/>
      <c r="DK841" s="1399"/>
      <c r="DL841" s="1399"/>
      <c r="DM841" s="1399"/>
      <c r="DN841" s="1399"/>
      <c r="DO841" s="1399"/>
      <c r="DP841" s="1399"/>
      <c r="DQ841" s="1399"/>
      <c r="DR841" s="1399"/>
      <c r="DS841" s="1399"/>
      <c r="DT841" s="1399"/>
      <c r="DU841" s="1399"/>
    </row>
    <row r="842" spans="1:125">
      <c r="A842" s="1414"/>
      <c r="B842" s="1414"/>
      <c r="C842" s="1414"/>
      <c r="D842" s="1414"/>
      <c r="E842" s="1414"/>
      <c r="F842" s="1414"/>
      <c r="G842" s="1414"/>
      <c r="H842" s="1414"/>
      <c r="I842" s="1414"/>
      <c r="J842" s="1414"/>
      <c r="K842" s="1414"/>
      <c r="L842" s="1414"/>
      <c r="M842" s="1414"/>
      <c r="N842" s="1414"/>
      <c r="O842" s="1414"/>
      <c r="P842" s="1414"/>
      <c r="Q842" s="1414"/>
      <c r="R842" s="1414"/>
      <c r="S842" s="1414"/>
      <c r="T842" s="1414"/>
      <c r="U842" s="1414"/>
      <c r="V842" s="1414"/>
      <c r="W842" s="1414"/>
      <c r="X842" s="1414"/>
      <c r="Y842" s="1414"/>
      <c r="Z842" s="1414"/>
      <c r="AA842" s="1414"/>
      <c r="AB842" s="1414"/>
      <c r="AC842" s="1414"/>
      <c r="AD842" s="1414"/>
      <c r="AE842" s="1414"/>
      <c r="AF842" s="1414"/>
      <c r="AG842" s="1414"/>
      <c r="AH842" s="1414"/>
      <c r="AI842" s="1414"/>
      <c r="AJ842" s="1414"/>
      <c r="AK842" s="1414"/>
      <c r="AL842" s="1414"/>
      <c r="AM842" s="1414"/>
      <c r="AN842" s="1414"/>
      <c r="AO842" s="1414"/>
      <c r="AP842" s="1414"/>
      <c r="AQ842" s="1414"/>
      <c r="AR842" s="1414"/>
      <c r="AS842" s="1414"/>
      <c r="AT842" s="1414"/>
      <c r="AU842" s="1414"/>
      <c r="AV842" s="1414"/>
      <c r="AW842" s="1414"/>
      <c r="AX842" s="1414"/>
      <c r="AY842" s="1399"/>
      <c r="AZ842" s="1399"/>
      <c r="BA842" s="1399"/>
      <c r="BB842" s="1399"/>
      <c r="BC842" s="1399"/>
      <c r="BD842" s="1399"/>
      <c r="BE842" s="1414"/>
      <c r="BF842" s="1399"/>
      <c r="BG842" s="1399"/>
      <c r="BH842" s="1399"/>
      <c r="BI842" s="1399"/>
      <c r="BJ842" s="1399"/>
      <c r="BK842" s="1399"/>
      <c r="BL842" s="1399"/>
      <c r="BM842" s="1399"/>
      <c r="BN842" s="1399"/>
      <c r="BO842" s="1399"/>
      <c r="BP842" s="1399"/>
      <c r="BQ842" s="1399"/>
      <c r="BR842" s="1399"/>
      <c r="BS842" s="1399"/>
      <c r="BT842" s="1399"/>
      <c r="BU842" s="1399"/>
      <c r="BV842" s="1399"/>
      <c r="BW842" s="1399"/>
      <c r="BX842" s="1399"/>
      <c r="BY842" s="1399"/>
      <c r="BZ842" s="1399"/>
      <c r="CA842" s="1399"/>
      <c r="CB842" s="1399"/>
      <c r="CC842" s="1399"/>
      <c r="CD842" s="1399"/>
      <c r="CE842" s="1399"/>
      <c r="CF842" s="1399"/>
      <c r="CG842" s="1399"/>
      <c r="CH842" s="1399"/>
      <c r="CI842" s="1399"/>
      <c r="CJ842" s="1399"/>
      <c r="CK842" s="1399"/>
      <c r="CL842" s="1399"/>
      <c r="CM842" s="1399"/>
      <c r="CN842" s="1399"/>
      <c r="CO842" s="1399"/>
      <c r="CP842" s="1399"/>
      <c r="CQ842" s="1399"/>
      <c r="CR842" s="1399"/>
      <c r="CS842" s="1399"/>
      <c r="CT842" s="1399"/>
      <c r="CU842" s="1399"/>
      <c r="CV842" s="1399"/>
      <c r="CW842" s="1399"/>
      <c r="CX842" s="1399"/>
      <c r="CY842" s="1399"/>
      <c r="CZ842" s="1399"/>
      <c r="DA842" s="1399"/>
      <c r="DB842" s="1399"/>
      <c r="DC842" s="1399"/>
      <c r="DD842" s="1399"/>
      <c r="DE842" s="1399"/>
      <c r="DF842" s="1399"/>
      <c r="DG842" s="1399"/>
      <c r="DH842" s="1399"/>
      <c r="DI842" s="1399"/>
      <c r="DJ842" s="1399"/>
      <c r="DK842" s="1399"/>
      <c r="DL842" s="1399"/>
      <c r="DM842" s="1399"/>
      <c r="DN842" s="1399"/>
      <c r="DO842" s="1399"/>
      <c r="DP842" s="1399"/>
      <c r="DQ842" s="1399"/>
      <c r="DR842" s="1399"/>
      <c r="DS842" s="1399"/>
      <c r="DT842" s="1399"/>
      <c r="DU842" s="1399"/>
    </row>
    <row r="843" spans="1:125">
      <c r="A843" s="1414"/>
      <c r="B843" s="1414"/>
      <c r="C843" s="1414"/>
      <c r="D843" s="1414"/>
      <c r="E843" s="1414"/>
      <c r="F843" s="1414"/>
      <c r="G843" s="1414"/>
      <c r="H843" s="1414"/>
      <c r="I843" s="1414"/>
      <c r="J843" s="1414"/>
      <c r="K843" s="1414"/>
      <c r="L843" s="1414"/>
      <c r="M843" s="1414"/>
      <c r="N843" s="1414"/>
      <c r="O843" s="1414"/>
      <c r="P843" s="1414"/>
      <c r="Q843" s="1414"/>
      <c r="R843" s="1414"/>
      <c r="S843" s="1414"/>
      <c r="T843" s="1414"/>
      <c r="U843" s="1414"/>
      <c r="V843" s="1414"/>
      <c r="W843" s="1414"/>
      <c r="X843" s="1414"/>
      <c r="Y843" s="1414"/>
      <c r="Z843" s="1414"/>
      <c r="AA843" s="1414"/>
      <c r="AB843" s="1414"/>
      <c r="AC843" s="1414"/>
      <c r="AD843" s="1414"/>
      <c r="AE843" s="1414"/>
      <c r="AF843" s="1414"/>
      <c r="AG843" s="1414"/>
      <c r="AH843" s="1414"/>
      <c r="AI843" s="1414"/>
      <c r="AJ843" s="1414"/>
      <c r="AK843" s="1414"/>
      <c r="AL843" s="1414"/>
      <c r="AM843" s="1414"/>
      <c r="AN843" s="1414"/>
      <c r="AO843" s="1414"/>
      <c r="AP843" s="1414"/>
      <c r="AQ843" s="1414"/>
      <c r="AR843" s="1414"/>
      <c r="AS843" s="1414"/>
      <c r="AT843" s="1414"/>
      <c r="AU843" s="1414"/>
      <c r="AV843" s="1414"/>
      <c r="AW843" s="1414"/>
      <c r="AX843" s="1414"/>
      <c r="AY843" s="1399"/>
      <c r="AZ843" s="1399"/>
      <c r="BA843" s="1399"/>
      <c r="BB843" s="1399"/>
      <c r="BC843" s="1399"/>
      <c r="BD843" s="1399"/>
      <c r="BE843" s="1414"/>
      <c r="BF843" s="1399"/>
      <c r="BG843" s="1399"/>
      <c r="BH843" s="1399"/>
      <c r="BI843" s="1399"/>
      <c r="BJ843" s="1399"/>
      <c r="BK843" s="1399"/>
      <c r="BL843" s="1399"/>
      <c r="BM843" s="1399"/>
      <c r="BN843" s="1399"/>
      <c r="BO843" s="1399"/>
      <c r="BP843" s="1399"/>
      <c r="BQ843" s="1399"/>
      <c r="BR843" s="1399"/>
      <c r="BS843" s="1399"/>
      <c r="BT843" s="1399"/>
      <c r="BU843" s="1399"/>
      <c r="BV843" s="1399"/>
      <c r="BW843" s="1399"/>
      <c r="BX843" s="1399"/>
      <c r="BY843" s="1399"/>
      <c r="BZ843" s="1399"/>
      <c r="CA843" s="1399"/>
      <c r="CB843" s="1399"/>
      <c r="CC843" s="1399"/>
      <c r="CD843" s="1399"/>
      <c r="CE843" s="1399"/>
      <c r="CF843" s="1399"/>
      <c r="CG843" s="1399"/>
      <c r="CH843" s="1399"/>
      <c r="CI843" s="1399"/>
      <c r="CJ843" s="1399"/>
      <c r="CK843" s="1399"/>
      <c r="CL843" s="1399"/>
      <c r="CM843" s="1399"/>
      <c r="CN843" s="1399"/>
      <c r="CO843" s="1399"/>
      <c r="CP843" s="1399"/>
      <c r="CQ843" s="1399"/>
      <c r="CR843" s="1399"/>
      <c r="CS843" s="1399"/>
      <c r="CT843" s="1399"/>
      <c r="CU843" s="1399"/>
      <c r="CV843" s="1399"/>
      <c r="CW843" s="1399"/>
      <c r="CX843" s="1399"/>
      <c r="CY843" s="1399"/>
      <c r="CZ843" s="1399"/>
      <c r="DA843" s="1399"/>
      <c r="DB843" s="1399"/>
      <c r="DC843" s="1399"/>
      <c r="DD843" s="1399"/>
      <c r="DE843" s="1399"/>
      <c r="DF843" s="1399"/>
      <c r="DG843" s="1399"/>
      <c r="DH843" s="1399"/>
      <c r="DI843" s="1399"/>
      <c r="DJ843" s="1399"/>
      <c r="DK843" s="1399"/>
      <c r="DL843" s="1399"/>
      <c r="DM843" s="1399"/>
      <c r="DN843" s="1399"/>
      <c r="DO843" s="1399"/>
      <c r="DP843" s="1399"/>
      <c r="DQ843" s="1399"/>
      <c r="DR843" s="1399"/>
      <c r="DS843" s="1399"/>
      <c r="DT843" s="1399"/>
      <c r="DU843" s="1399"/>
    </row>
    <row r="844" spans="1:125">
      <c r="A844" s="1414"/>
      <c r="B844" s="1414"/>
      <c r="C844" s="1414"/>
      <c r="D844" s="1414"/>
      <c r="E844" s="1414"/>
      <c r="F844" s="1414"/>
      <c r="G844" s="1414"/>
      <c r="H844" s="1414"/>
      <c r="I844" s="1414"/>
      <c r="J844" s="1414"/>
      <c r="K844" s="1414"/>
      <c r="L844" s="1414"/>
      <c r="M844" s="1414"/>
      <c r="N844" s="1414"/>
      <c r="O844" s="1414"/>
      <c r="P844" s="1414"/>
      <c r="Q844" s="1414"/>
      <c r="R844" s="1414"/>
      <c r="S844" s="1414"/>
      <c r="T844" s="1414"/>
      <c r="U844" s="1414"/>
      <c r="V844" s="1414"/>
      <c r="W844" s="1414"/>
      <c r="X844" s="1414"/>
      <c r="Y844" s="1414"/>
      <c r="Z844" s="1414"/>
      <c r="AA844" s="1414"/>
      <c r="AB844" s="1414"/>
      <c r="AC844" s="1414"/>
      <c r="AD844" s="1414"/>
      <c r="AE844" s="1414"/>
      <c r="AF844" s="1414"/>
      <c r="AG844" s="1414"/>
      <c r="AH844" s="1414"/>
      <c r="AI844" s="1414"/>
      <c r="AJ844" s="1414"/>
      <c r="AK844" s="1414"/>
      <c r="AL844" s="1414"/>
      <c r="AM844" s="1414"/>
      <c r="AN844" s="1414"/>
      <c r="AO844" s="1414"/>
      <c r="AP844" s="1414"/>
      <c r="AQ844" s="1414"/>
      <c r="AR844" s="1414"/>
      <c r="AS844" s="1414"/>
      <c r="AT844" s="1414"/>
      <c r="AU844" s="1414"/>
      <c r="AV844" s="1414"/>
      <c r="AW844" s="1414"/>
      <c r="AX844" s="1414"/>
      <c r="AY844" s="1399"/>
      <c r="AZ844" s="1399"/>
      <c r="BA844" s="1399"/>
      <c r="BB844" s="1399"/>
      <c r="BC844" s="1399"/>
      <c r="BD844" s="1399"/>
      <c r="BE844" s="1414"/>
      <c r="BF844" s="1399"/>
      <c r="BG844" s="1399"/>
      <c r="BH844" s="1399"/>
      <c r="BI844" s="1399"/>
      <c r="BJ844" s="1399"/>
      <c r="BK844" s="1399"/>
      <c r="BL844" s="1399"/>
      <c r="BM844" s="1399"/>
      <c r="BN844" s="1399"/>
      <c r="BO844" s="1399"/>
      <c r="BP844" s="1399"/>
      <c r="BQ844" s="1399"/>
      <c r="BR844" s="1399"/>
      <c r="BS844" s="1399"/>
      <c r="BT844" s="1399"/>
      <c r="BU844" s="1399"/>
      <c r="BV844" s="1399"/>
      <c r="BW844" s="1399"/>
      <c r="BX844" s="1399"/>
      <c r="BY844" s="1399"/>
      <c r="BZ844" s="1399"/>
      <c r="CA844" s="1399"/>
      <c r="CB844" s="1399"/>
      <c r="CC844" s="1399"/>
      <c r="CD844" s="1399"/>
      <c r="CE844" s="1399"/>
      <c r="CF844" s="1399"/>
      <c r="CG844" s="1399"/>
      <c r="CH844" s="1399"/>
      <c r="CI844" s="1399"/>
      <c r="CJ844" s="1399"/>
      <c r="CK844" s="1399"/>
      <c r="CL844" s="1399"/>
      <c r="CM844" s="1399"/>
      <c r="CN844" s="1399"/>
      <c r="CO844" s="1399"/>
      <c r="CP844" s="1399"/>
      <c r="CQ844" s="1399"/>
      <c r="CR844" s="1399"/>
      <c r="CS844" s="1399"/>
      <c r="CT844" s="1399"/>
      <c r="CU844" s="1399"/>
      <c r="CV844" s="1399"/>
      <c r="CW844" s="1399"/>
      <c r="CX844" s="1399"/>
      <c r="CY844" s="1399"/>
      <c r="CZ844" s="1399"/>
      <c r="DA844" s="1399"/>
      <c r="DB844" s="1399"/>
      <c r="DC844" s="1399"/>
      <c r="DD844" s="1399"/>
      <c r="DE844" s="1399"/>
      <c r="DF844" s="1399"/>
      <c r="DG844" s="1399"/>
      <c r="DH844" s="1399"/>
      <c r="DI844" s="1399"/>
      <c r="DJ844" s="1399"/>
      <c r="DK844" s="1399"/>
      <c r="DL844" s="1399"/>
      <c r="DM844" s="1399"/>
      <c r="DN844" s="1399"/>
      <c r="DO844" s="1399"/>
      <c r="DP844" s="1399"/>
      <c r="DQ844" s="1399"/>
      <c r="DR844" s="1399"/>
      <c r="DS844" s="1399"/>
      <c r="DT844" s="1399"/>
      <c r="DU844" s="1399"/>
    </row>
    <row r="845" spans="1:125">
      <c r="A845" s="1414"/>
      <c r="B845" s="1414"/>
      <c r="C845" s="1414"/>
      <c r="D845" s="1414"/>
      <c r="E845" s="1414"/>
      <c r="F845" s="1414"/>
      <c r="G845" s="1414"/>
      <c r="H845" s="1414"/>
      <c r="I845" s="1414"/>
      <c r="J845" s="1414"/>
      <c r="K845" s="1414"/>
      <c r="L845" s="1414"/>
      <c r="M845" s="1414"/>
      <c r="N845" s="1414"/>
      <c r="O845" s="1414"/>
      <c r="P845" s="1414"/>
      <c r="Q845" s="1414"/>
      <c r="R845" s="1414"/>
      <c r="S845" s="1414"/>
      <c r="T845" s="1414"/>
      <c r="U845" s="1414"/>
      <c r="V845" s="1414"/>
      <c r="W845" s="1414"/>
      <c r="X845" s="1414"/>
      <c r="Y845" s="1414"/>
      <c r="Z845" s="1414"/>
      <c r="AA845" s="1414"/>
      <c r="AB845" s="1414"/>
      <c r="AC845" s="1414"/>
      <c r="AD845" s="1414"/>
      <c r="AE845" s="1414"/>
      <c r="AF845" s="1414"/>
      <c r="AG845" s="1414"/>
      <c r="AH845" s="1414"/>
      <c r="AI845" s="1414"/>
      <c r="AJ845" s="1414"/>
      <c r="AK845" s="1414"/>
      <c r="AL845" s="1414"/>
      <c r="AM845" s="1414"/>
      <c r="AN845" s="1414"/>
      <c r="AO845" s="1414"/>
      <c r="AP845" s="1414"/>
      <c r="AQ845" s="1414"/>
      <c r="AR845" s="1414"/>
      <c r="AS845" s="1414"/>
      <c r="AT845" s="1414"/>
      <c r="AU845" s="1414"/>
      <c r="AV845" s="1414"/>
      <c r="AW845" s="1414"/>
      <c r="AX845" s="1414"/>
      <c r="AY845" s="1399"/>
      <c r="AZ845" s="1399"/>
      <c r="BA845" s="1399"/>
      <c r="BB845" s="1399"/>
      <c r="BC845" s="1399"/>
      <c r="BD845" s="1399"/>
      <c r="BE845" s="1414"/>
      <c r="BF845" s="1399"/>
      <c r="BG845" s="1399"/>
      <c r="BH845" s="1399"/>
      <c r="BI845" s="1399"/>
      <c r="BJ845" s="1399"/>
      <c r="BK845" s="1399"/>
      <c r="BL845" s="1399"/>
      <c r="BM845" s="1399"/>
      <c r="BN845" s="1399"/>
      <c r="BO845" s="1399"/>
      <c r="BP845" s="1399"/>
      <c r="BQ845" s="1399"/>
      <c r="BR845" s="1399"/>
      <c r="BS845" s="1399"/>
      <c r="BT845" s="1399"/>
      <c r="BU845" s="1399"/>
      <c r="BV845" s="1399"/>
      <c r="BW845" s="1399"/>
      <c r="BX845" s="1399"/>
      <c r="BY845" s="1399"/>
      <c r="BZ845" s="1399"/>
      <c r="CA845" s="1399"/>
      <c r="CB845" s="1399"/>
      <c r="CC845" s="1399"/>
      <c r="CD845" s="1399"/>
      <c r="CE845" s="1399"/>
      <c r="CF845" s="1399"/>
      <c r="CG845" s="1399"/>
      <c r="CH845" s="1399"/>
      <c r="CI845" s="1399"/>
      <c r="CJ845" s="1399"/>
      <c r="CK845" s="1399"/>
      <c r="CL845" s="1399"/>
      <c r="CM845" s="1399"/>
      <c r="CN845" s="1399"/>
      <c r="CO845" s="1399"/>
      <c r="CP845" s="1399"/>
      <c r="CQ845" s="1399"/>
      <c r="CR845" s="1399"/>
      <c r="CS845" s="1399"/>
      <c r="CT845" s="1399"/>
      <c r="CU845" s="1399"/>
      <c r="CV845" s="1399"/>
      <c r="CW845" s="1399"/>
      <c r="CX845" s="1399"/>
      <c r="CY845" s="1399"/>
      <c r="CZ845" s="1399"/>
      <c r="DA845" s="1399"/>
      <c r="DB845" s="1399"/>
      <c r="DC845" s="1399"/>
      <c r="DD845" s="1399"/>
      <c r="DE845" s="1399"/>
      <c r="DF845" s="1399"/>
      <c r="DG845" s="1399"/>
      <c r="DH845" s="1399"/>
      <c r="DI845" s="1399"/>
      <c r="DJ845" s="1399"/>
      <c r="DK845" s="1399"/>
      <c r="DL845" s="1399"/>
      <c r="DM845" s="1399"/>
      <c r="DN845" s="1399"/>
      <c r="DO845" s="1399"/>
      <c r="DP845" s="1399"/>
      <c r="DQ845" s="1399"/>
      <c r="DR845" s="1399"/>
      <c r="DS845" s="1399"/>
      <c r="DT845" s="1399"/>
      <c r="DU845" s="1399"/>
    </row>
    <row r="846" spans="1:125">
      <c r="A846" s="1414"/>
      <c r="B846" s="1414"/>
      <c r="C846" s="1414"/>
      <c r="D846" s="1414"/>
      <c r="E846" s="1414"/>
      <c r="F846" s="1414"/>
      <c r="G846" s="1414"/>
      <c r="H846" s="1414"/>
      <c r="I846" s="1414"/>
      <c r="J846" s="1414"/>
      <c r="K846" s="1414"/>
      <c r="L846" s="1414"/>
      <c r="M846" s="1414"/>
      <c r="N846" s="1414"/>
      <c r="O846" s="1414"/>
      <c r="P846" s="1414"/>
      <c r="Q846" s="1414"/>
      <c r="R846" s="1414"/>
      <c r="S846" s="1414"/>
      <c r="T846" s="1414"/>
      <c r="U846" s="1414"/>
      <c r="V846" s="1414"/>
      <c r="W846" s="1414"/>
      <c r="X846" s="1414"/>
      <c r="Y846" s="1414"/>
      <c r="Z846" s="1414"/>
      <c r="AA846" s="1414"/>
      <c r="AB846" s="1414"/>
      <c r="AC846" s="1414"/>
      <c r="AD846" s="1414"/>
      <c r="AE846" s="1414"/>
      <c r="AF846" s="1414"/>
      <c r="AG846" s="1414"/>
      <c r="AH846" s="1414"/>
      <c r="AI846" s="1414"/>
      <c r="AJ846" s="1414"/>
      <c r="AK846" s="1414"/>
      <c r="AL846" s="1414"/>
      <c r="AM846" s="1414"/>
      <c r="AN846" s="1414"/>
      <c r="AO846" s="1414"/>
      <c r="AP846" s="1414"/>
      <c r="AQ846" s="1414"/>
      <c r="AR846" s="1414"/>
      <c r="AS846" s="1414"/>
      <c r="AT846" s="1414"/>
      <c r="AU846" s="1414"/>
      <c r="AV846" s="1414"/>
      <c r="AW846" s="1414"/>
      <c r="AX846" s="1414"/>
      <c r="AY846" s="1399"/>
      <c r="AZ846" s="1399"/>
      <c r="BA846" s="1399"/>
      <c r="BB846" s="1399"/>
      <c r="BC846" s="1399"/>
      <c r="BD846" s="1399"/>
      <c r="BE846" s="1414"/>
      <c r="BF846" s="1399"/>
      <c r="BG846" s="1399"/>
      <c r="BH846" s="1399"/>
      <c r="BI846" s="1399"/>
      <c r="BJ846" s="1399"/>
      <c r="BK846" s="1399"/>
      <c r="BL846" s="1399"/>
      <c r="BM846" s="1399"/>
      <c r="BN846" s="1399"/>
      <c r="BO846" s="1399"/>
      <c r="BP846" s="1399"/>
      <c r="BQ846" s="1399"/>
      <c r="BR846" s="1399"/>
      <c r="BS846" s="1399"/>
      <c r="BT846" s="1399"/>
      <c r="BU846" s="1399"/>
      <c r="BV846" s="1399"/>
      <c r="BW846" s="1399"/>
      <c r="BX846" s="1399"/>
      <c r="BY846" s="1399"/>
      <c r="BZ846" s="1399"/>
      <c r="CA846" s="1399"/>
      <c r="CB846" s="1399"/>
      <c r="CC846" s="1399"/>
      <c r="CD846" s="1399"/>
      <c r="CE846" s="1399"/>
      <c r="CF846" s="1399"/>
      <c r="CG846" s="1399"/>
      <c r="CH846" s="1399"/>
      <c r="CI846" s="1399"/>
      <c r="CJ846" s="1399"/>
      <c r="CK846" s="1399"/>
      <c r="CL846" s="1399"/>
      <c r="CM846" s="1399"/>
      <c r="CN846" s="1399"/>
      <c r="CO846" s="1399"/>
      <c r="CP846" s="1399"/>
      <c r="CQ846" s="1399"/>
      <c r="CR846" s="1399"/>
      <c r="CS846" s="1399"/>
      <c r="CT846" s="1399"/>
      <c r="CU846" s="1399"/>
      <c r="CV846" s="1399"/>
      <c r="CW846" s="1399"/>
      <c r="CX846" s="1399"/>
      <c r="CY846" s="1399"/>
      <c r="CZ846" s="1399"/>
      <c r="DA846" s="1399"/>
      <c r="DB846" s="1399"/>
      <c r="DC846" s="1399"/>
      <c r="DD846" s="1399"/>
      <c r="DE846" s="1399"/>
      <c r="DF846" s="1399"/>
      <c r="DG846" s="1399"/>
      <c r="DH846" s="1399"/>
      <c r="DI846" s="1399"/>
      <c r="DJ846" s="1399"/>
      <c r="DK846" s="1399"/>
      <c r="DL846" s="1399"/>
      <c r="DM846" s="1399"/>
      <c r="DN846" s="1399"/>
      <c r="DO846" s="1399"/>
      <c r="DP846" s="1399"/>
      <c r="DQ846" s="1399"/>
      <c r="DR846" s="1399"/>
      <c r="DS846" s="1399"/>
      <c r="DT846" s="1399"/>
      <c r="DU846" s="1399"/>
    </row>
    <row r="847" spans="1:125">
      <c r="A847" s="1414"/>
      <c r="B847" s="1414"/>
      <c r="C847" s="1414"/>
      <c r="D847" s="1414"/>
      <c r="E847" s="1414"/>
      <c r="F847" s="1414"/>
      <c r="G847" s="1414"/>
      <c r="H847" s="1414"/>
      <c r="I847" s="1414"/>
      <c r="J847" s="1414"/>
      <c r="K847" s="1414"/>
      <c r="L847" s="1414"/>
      <c r="M847" s="1414"/>
      <c r="N847" s="1414"/>
      <c r="O847" s="1414"/>
      <c r="P847" s="1414"/>
      <c r="Q847" s="1414"/>
      <c r="R847" s="1414"/>
      <c r="S847" s="1414"/>
      <c r="T847" s="1414"/>
      <c r="U847" s="1414"/>
      <c r="V847" s="1414"/>
      <c r="W847" s="1414"/>
      <c r="X847" s="1414"/>
      <c r="Y847" s="1414"/>
      <c r="Z847" s="1414"/>
      <c r="AA847" s="1414"/>
      <c r="AB847" s="1414"/>
      <c r="AC847" s="1414"/>
      <c r="AD847" s="1414"/>
      <c r="AE847" s="1414"/>
      <c r="AF847" s="1414"/>
      <c r="AG847" s="1414"/>
      <c r="AH847" s="1414"/>
      <c r="AI847" s="1414"/>
      <c r="AJ847" s="1414"/>
      <c r="AK847" s="1414"/>
      <c r="AL847" s="1414"/>
      <c r="AM847" s="1414"/>
      <c r="AN847" s="1414"/>
      <c r="AO847" s="1414"/>
      <c r="AP847" s="1414"/>
      <c r="AQ847" s="1414"/>
      <c r="AR847" s="1414"/>
      <c r="AS847" s="1414"/>
      <c r="AT847" s="1414"/>
      <c r="AU847" s="1414"/>
      <c r="AV847" s="1414"/>
      <c r="AW847" s="1414"/>
      <c r="AX847" s="1414"/>
      <c r="AY847" s="1399"/>
      <c r="AZ847" s="1399"/>
      <c r="BA847" s="1399"/>
      <c r="BB847" s="1399"/>
      <c r="BC847" s="1399"/>
      <c r="BD847" s="1399"/>
      <c r="BE847" s="1414"/>
      <c r="BF847" s="1399"/>
      <c r="BG847" s="1399"/>
      <c r="BH847" s="1399"/>
      <c r="BI847" s="1399"/>
      <c r="BJ847" s="1399"/>
      <c r="BK847" s="1399"/>
      <c r="BL847" s="1399"/>
      <c r="BM847" s="1399"/>
      <c r="BN847" s="1399"/>
      <c r="BO847" s="1399"/>
      <c r="BP847" s="1399"/>
      <c r="BQ847" s="1399"/>
      <c r="BR847" s="1399"/>
      <c r="BS847" s="1399"/>
      <c r="BT847" s="1399"/>
      <c r="BU847" s="1399"/>
      <c r="BV847" s="1399"/>
      <c r="BW847" s="1399"/>
      <c r="BX847" s="1399"/>
      <c r="BY847" s="1399"/>
      <c r="BZ847" s="1399"/>
      <c r="CA847" s="1399"/>
      <c r="CB847" s="1399"/>
      <c r="CC847" s="1399"/>
      <c r="CD847" s="1399"/>
      <c r="CE847" s="1399"/>
      <c r="CF847" s="1399"/>
      <c r="CG847" s="1399"/>
      <c r="CH847" s="1399"/>
      <c r="CI847" s="1399"/>
      <c r="CJ847" s="1399"/>
      <c r="CK847" s="1399"/>
      <c r="CL847" s="1399"/>
      <c r="CM847" s="1399"/>
      <c r="CN847" s="1399"/>
      <c r="CO847" s="1399"/>
      <c r="CP847" s="1399"/>
      <c r="CQ847" s="1399"/>
      <c r="CR847" s="1399"/>
      <c r="CS847" s="1399"/>
      <c r="CT847" s="1399"/>
      <c r="CU847" s="1399"/>
      <c r="CV847" s="1399"/>
      <c r="CW847" s="1399"/>
      <c r="CX847" s="1399"/>
      <c r="CY847" s="1399"/>
      <c r="CZ847" s="1399"/>
      <c r="DA847" s="1399"/>
      <c r="DB847" s="1399"/>
      <c r="DC847" s="1399"/>
      <c r="DD847" s="1399"/>
      <c r="DE847" s="1399"/>
      <c r="DF847" s="1399"/>
      <c r="DG847" s="1399"/>
      <c r="DH847" s="1399"/>
      <c r="DI847" s="1399"/>
      <c r="DJ847" s="1399"/>
      <c r="DK847" s="1399"/>
      <c r="DL847" s="1399"/>
      <c r="DM847" s="1399"/>
      <c r="DN847" s="1399"/>
      <c r="DO847" s="1399"/>
      <c r="DP847" s="1399"/>
      <c r="DQ847" s="1399"/>
      <c r="DR847" s="1399"/>
      <c r="DS847" s="1399"/>
      <c r="DT847" s="1399"/>
      <c r="DU847" s="1399"/>
    </row>
    <row r="848" spans="1:125">
      <c r="A848" s="1414"/>
      <c r="B848" s="1414"/>
      <c r="C848" s="1414"/>
      <c r="D848" s="1414"/>
      <c r="E848" s="1414"/>
      <c r="F848" s="1414"/>
      <c r="G848" s="1414"/>
      <c r="H848" s="1414"/>
      <c r="I848" s="1414"/>
      <c r="J848" s="1414"/>
      <c r="K848" s="1414"/>
      <c r="L848" s="1414"/>
      <c r="M848" s="1414"/>
      <c r="N848" s="1414"/>
      <c r="O848" s="1414"/>
      <c r="P848" s="1414"/>
      <c r="Q848" s="1414"/>
      <c r="R848" s="1414"/>
      <c r="S848" s="1414"/>
      <c r="T848" s="1414"/>
      <c r="U848" s="1414"/>
      <c r="V848" s="1414"/>
      <c r="W848" s="1414"/>
      <c r="X848" s="1414"/>
      <c r="Y848" s="1414"/>
      <c r="Z848" s="1414"/>
      <c r="AA848" s="1414"/>
      <c r="AB848" s="1414"/>
      <c r="AC848" s="1414"/>
      <c r="AD848" s="1414"/>
      <c r="AE848" s="1414"/>
      <c r="AF848" s="1414"/>
      <c r="AG848" s="1414"/>
      <c r="AH848" s="1414"/>
      <c r="AI848" s="1414"/>
      <c r="AJ848" s="1414"/>
      <c r="AK848" s="1414"/>
      <c r="AL848" s="1414"/>
      <c r="AM848" s="1414"/>
      <c r="AN848" s="1414"/>
      <c r="AO848" s="1414"/>
      <c r="AP848" s="1414"/>
      <c r="AQ848" s="1414"/>
      <c r="AR848" s="1414"/>
      <c r="AS848" s="1414"/>
      <c r="AT848" s="1414"/>
      <c r="AU848" s="1414"/>
      <c r="AV848" s="1414"/>
      <c r="AW848" s="1414"/>
      <c r="AX848" s="1414"/>
      <c r="AY848" s="1399"/>
      <c r="AZ848" s="1399"/>
      <c r="BA848" s="1399"/>
      <c r="BB848" s="1399"/>
      <c r="BC848" s="1399"/>
      <c r="BD848" s="1399"/>
      <c r="BE848" s="1414"/>
      <c r="BF848" s="1399"/>
      <c r="BG848" s="1399"/>
      <c r="BH848" s="1399"/>
      <c r="BI848" s="1399"/>
      <c r="BJ848" s="1399"/>
      <c r="BK848" s="1399"/>
      <c r="BL848" s="1399"/>
      <c r="BM848" s="1399"/>
      <c r="BN848" s="1399"/>
      <c r="BO848" s="1399"/>
      <c r="BP848" s="1399"/>
      <c r="BQ848" s="1399"/>
      <c r="BR848" s="1399"/>
      <c r="BS848" s="1399"/>
      <c r="BT848" s="1399"/>
      <c r="BU848" s="1399"/>
      <c r="BV848" s="1399"/>
      <c r="BW848" s="1399"/>
      <c r="BX848" s="1399"/>
      <c r="BY848" s="1399"/>
      <c r="BZ848" s="1399"/>
      <c r="CA848" s="1399"/>
      <c r="CB848" s="1399"/>
      <c r="CC848" s="1399"/>
      <c r="CD848" s="1399"/>
      <c r="CE848" s="1399"/>
      <c r="CF848" s="1399"/>
      <c r="CG848" s="1399"/>
      <c r="CH848" s="1399"/>
      <c r="CI848" s="1399"/>
      <c r="CJ848" s="1399"/>
      <c r="CK848" s="1399"/>
      <c r="CL848" s="1399"/>
      <c r="CM848" s="1399"/>
      <c r="CN848" s="1399"/>
      <c r="CO848" s="1399"/>
      <c r="CP848" s="1399"/>
      <c r="CQ848" s="1399"/>
      <c r="CR848" s="1399"/>
      <c r="CS848" s="1399"/>
      <c r="CT848" s="1399"/>
      <c r="CU848" s="1399"/>
      <c r="CV848" s="1399"/>
      <c r="CW848" s="1399"/>
      <c r="CX848" s="1399"/>
      <c r="CY848" s="1399"/>
      <c r="CZ848" s="1399"/>
      <c r="DA848" s="1399"/>
      <c r="DB848" s="1399"/>
      <c r="DC848" s="1399"/>
      <c r="DD848" s="1399"/>
      <c r="DE848" s="1399"/>
      <c r="DF848" s="1399"/>
      <c r="DG848" s="1399"/>
      <c r="DH848" s="1399"/>
      <c r="DI848" s="1399"/>
      <c r="DJ848" s="1399"/>
      <c r="DK848" s="1399"/>
      <c r="DL848" s="1399"/>
      <c r="DM848" s="1399"/>
      <c r="DN848" s="1399"/>
      <c r="DO848" s="1399"/>
      <c r="DP848" s="1399"/>
      <c r="DQ848" s="1399"/>
      <c r="DR848" s="1399"/>
      <c r="DS848" s="1399"/>
      <c r="DT848" s="1399"/>
      <c r="DU848" s="1399"/>
    </row>
    <row r="849" spans="1:125">
      <c r="A849" s="1414"/>
      <c r="B849" s="1414"/>
      <c r="C849" s="1414"/>
      <c r="D849" s="1414"/>
      <c r="E849" s="1414"/>
      <c r="F849" s="1414"/>
      <c r="G849" s="1414"/>
      <c r="H849" s="1414"/>
      <c r="I849" s="1414"/>
      <c r="J849" s="1414"/>
      <c r="K849" s="1414"/>
      <c r="L849" s="1414"/>
      <c r="M849" s="1414"/>
      <c r="N849" s="1414"/>
      <c r="O849" s="1414"/>
      <c r="P849" s="1414"/>
      <c r="Q849" s="1414"/>
      <c r="R849" s="1414"/>
      <c r="S849" s="1414"/>
      <c r="T849" s="1414"/>
      <c r="U849" s="1414"/>
      <c r="V849" s="1414"/>
      <c r="W849" s="1414"/>
      <c r="X849" s="1414"/>
      <c r="Y849" s="1414"/>
      <c r="Z849" s="1414"/>
      <c r="AA849" s="1414"/>
      <c r="AB849" s="1414"/>
      <c r="AC849" s="1414"/>
      <c r="AD849" s="1414"/>
      <c r="AE849" s="1414"/>
      <c r="AF849" s="1414"/>
      <c r="AG849" s="1414"/>
      <c r="AH849" s="1414"/>
      <c r="AI849" s="1414"/>
      <c r="AJ849" s="1414"/>
      <c r="AK849" s="1414"/>
      <c r="AL849" s="1414"/>
      <c r="AM849" s="1414"/>
      <c r="AN849" s="1414"/>
      <c r="AO849" s="1414"/>
      <c r="AP849" s="1414"/>
      <c r="AQ849" s="1414"/>
      <c r="AR849" s="1414"/>
      <c r="AS849" s="1414"/>
      <c r="AT849" s="1414"/>
      <c r="AU849" s="1414"/>
      <c r="AV849" s="1414"/>
      <c r="AW849" s="1414"/>
      <c r="AX849" s="1414"/>
      <c r="AY849" s="1399"/>
      <c r="AZ849" s="1399"/>
      <c r="BA849" s="1399"/>
      <c r="BB849" s="1399"/>
      <c r="BC849" s="1399"/>
      <c r="BD849" s="1399"/>
      <c r="BE849" s="1414"/>
      <c r="BF849" s="1399"/>
      <c r="BG849" s="1399"/>
      <c r="BH849" s="1399"/>
      <c r="BI849" s="1399"/>
      <c r="BJ849" s="1399"/>
      <c r="BK849" s="1399"/>
      <c r="BL849" s="1399"/>
      <c r="BM849" s="1399"/>
      <c r="BN849" s="1399"/>
      <c r="BO849" s="1399"/>
      <c r="BP849" s="1399"/>
      <c r="BQ849" s="1399"/>
      <c r="BR849" s="1399"/>
      <c r="BS849" s="1399"/>
      <c r="BT849" s="1399"/>
      <c r="BU849" s="1399"/>
      <c r="BV849" s="1399"/>
      <c r="BW849" s="1399"/>
      <c r="BX849" s="1399"/>
      <c r="BY849" s="1399"/>
      <c r="BZ849" s="1399"/>
      <c r="CA849" s="1399"/>
      <c r="CB849" s="1399"/>
      <c r="CC849" s="1399"/>
      <c r="CD849" s="1399"/>
      <c r="CE849" s="1399"/>
      <c r="CF849" s="1399"/>
      <c r="CG849" s="1399"/>
      <c r="CH849" s="1399"/>
      <c r="CI849" s="1399"/>
      <c r="CJ849" s="1399"/>
      <c r="CK849" s="1399"/>
      <c r="CL849" s="1399"/>
      <c r="CM849" s="1399"/>
      <c r="CN849" s="1399"/>
      <c r="CO849" s="1399"/>
      <c r="CP849" s="1399"/>
      <c r="CQ849" s="1399"/>
      <c r="CR849" s="1399"/>
      <c r="CS849" s="1399"/>
      <c r="CT849" s="1399"/>
      <c r="CU849" s="1399"/>
      <c r="CV849" s="1399"/>
      <c r="CW849" s="1399"/>
      <c r="CX849" s="1399"/>
      <c r="CY849" s="1399"/>
      <c r="CZ849" s="1399"/>
      <c r="DA849" s="1399"/>
      <c r="DB849" s="1399"/>
      <c r="DC849" s="1399"/>
      <c r="DD849" s="1399"/>
      <c r="DE849" s="1399"/>
      <c r="DF849" s="1399"/>
      <c r="DG849" s="1399"/>
      <c r="DH849" s="1399"/>
      <c r="DI849" s="1399"/>
      <c r="DJ849" s="1399"/>
      <c r="DK849" s="1399"/>
      <c r="DL849" s="1399"/>
      <c r="DM849" s="1399"/>
      <c r="DN849" s="1399"/>
      <c r="DO849" s="1399"/>
      <c r="DP849" s="1399"/>
      <c r="DQ849" s="1399"/>
      <c r="DR849" s="1399"/>
      <c r="DS849" s="1399"/>
      <c r="DT849" s="1399"/>
      <c r="DU849" s="1399"/>
    </row>
    <row r="850" spans="1:125">
      <c r="A850" s="1414"/>
      <c r="B850" s="1414"/>
      <c r="C850" s="1414"/>
      <c r="D850" s="1414"/>
      <c r="E850" s="1414"/>
      <c r="F850" s="1414"/>
      <c r="G850" s="1414"/>
      <c r="H850" s="1414"/>
      <c r="I850" s="1414"/>
      <c r="J850" s="1414"/>
      <c r="K850" s="1414"/>
      <c r="L850" s="1414"/>
      <c r="M850" s="1414"/>
      <c r="N850" s="1414"/>
      <c r="O850" s="1414"/>
      <c r="P850" s="1414"/>
      <c r="Q850" s="1414"/>
      <c r="R850" s="1414"/>
      <c r="S850" s="1414"/>
      <c r="T850" s="1414"/>
      <c r="U850" s="1414"/>
      <c r="V850" s="1414"/>
      <c r="W850" s="1414"/>
      <c r="X850" s="1414"/>
      <c r="Y850" s="1414"/>
      <c r="Z850" s="1414"/>
      <c r="AA850" s="1414"/>
      <c r="AB850" s="1414"/>
      <c r="AC850" s="1414"/>
      <c r="AD850" s="1414"/>
      <c r="AE850" s="1414"/>
      <c r="AF850" s="1414"/>
      <c r="AG850" s="1414"/>
      <c r="AH850" s="1414"/>
      <c r="AI850" s="1414"/>
      <c r="AJ850" s="1414"/>
      <c r="AK850" s="1414"/>
      <c r="AL850" s="1414"/>
      <c r="AM850" s="1414"/>
      <c r="AN850" s="1414"/>
      <c r="AO850" s="1414"/>
      <c r="AP850" s="1414"/>
      <c r="AQ850" s="1414"/>
      <c r="AR850" s="1414"/>
      <c r="AS850" s="1414"/>
      <c r="AT850" s="1414"/>
      <c r="AU850" s="1414"/>
      <c r="AV850" s="1414"/>
      <c r="AW850" s="1414"/>
      <c r="AX850" s="1414"/>
      <c r="AY850" s="1399"/>
      <c r="AZ850" s="1399"/>
      <c r="BA850" s="1399"/>
      <c r="BB850" s="1399"/>
      <c r="BC850" s="1399"/>
      <c r="BD850" s="1399"/>
      <c r="BE850" s="1414"/>
      <c r="BF850" s="1399"/>
      <c r="BG850" s="1399"/>
      <c r="BH850" s="1399"/>
      <c r="BI850" s="1399"/>
      <c r="BJ850" s="1399"/>
      <c r="BK850" s="1399"/>
      <c r="BL850" s="1399"/>
      <c r="BM850" s="1399"/>
      <c r="BN850" s="1399"/>
      <c r="BO850" s="1399"/>
      <c r="BP850" s="1399"/>
      <c r="BQ850" s="1399"/>
      <c r="BR850" s="1399"/>
      <c r="BS850" s="1399"/>
      <c r="BT850" s="1399"/>
      <c r="BU850" s="1399"/>
      <c r="BV850" s="1399"/>
      <c r="BW850" s="1399"/>
      <c r="BX850" s="1399"/>
      <c r="BY850" s="1399"/>
      <c r="BZ850" s="1399"/>
      <c r="CA850" s="1399"/>
      <c r="CB850" s="1399"/>
      <c r="CC850" s="1399"/>
      <c r="CD850" s="1399"/>
      <c r="CE850" s="1399"/>
      <c r="CF850" s="1399"/>
      <c r="CG850" s="1399"/>
      <c r="CH850" s="1399"/>
      <c r="CI850" s="1399"/>
      <c r="CJ850" s="1399"/>
      <c r="CK850" s="1399"/>
      <c r="CL850" s="1399"/>
      <c r="CM850" s="1399"/>
      <c r="CN850" s="1399"/>
      <c r="CO850" s="1399"/>
      <c r="CP850" s="1399"/>
      <c r="CQ850" s="1399"/>
      <c r="CR850" s="1399"/>
      <c r="CS850" s="1399"/>
      <c r="CT850" s="1399"/>
      <c r="CU850" s="1399"/>
      <c r="CV850" s="1399"/>
      <c r="CW850" s="1399"/>
      <c r="CX850" s="1399"/>
      <c r="CY850" s="1399"/>
      <c r="CZ850" s="1399"/>
      <c r="DA850" s="1399"/>
      <c r="DB850" s="1399"/>
      <c r="DC850" s="1399"/>
      <c r="DD850" s="1399"/>
      <c r="DE850" s="1399"/>
      <c r="DF850" s="1399"/>
      <c r="DG850" s="1399"/>
      <c r="DH850" s="1399"/>
      <c r="DI850" s="1399"/>
      <c r="DJ850" s="1399"/>
      <c r="DK850" s="1399"/>
      <c r="DL850" s="1399"/>
      <c r="DM850" s="1399"/>
      <c r="DN850" s="1399"/>
      <c r="DO850" s="1399"/>
      <c r="DP850" s="1399"/>
      <c r="DQ850" s="1399"/>
      <c r="DR850" s="1399"/>
      <c r="DS850" s="1399"/>
      <c r="DT850" s="1399"/>
      <c r="DU850" s="1399"/>
    </row>
    <row r="851" spans="1:125">
      <c r="A851" s="1414"/>
      <c r="B851" s="1414"/>
      <c r="C851" s="1414"/>
      <c r="D851" s="1414"/>
      <c r="E851" s="1414"/>
      <c r="F851" s="1414"/>
      <c r="G851" s="1414"/>
      <c r="H851" s="1414"/>
      <c r="I851" s="1414"/>
      <c r="J851" s="1414"/>
      <c r="K851" s="1414"/>
      <c r="L851" s="1414"/>
      <c r="M851" s="1414"/>
      <c r="N851" s="1414"/>
      <c r="O851" s="1414"/>
      <c r="P851" s="1414"/>
      <c r="Q851" s="1414"/>
      <c r="R851" s="1414"/>
      <c r="S851" s="1414"/>
      <c r="T851" s="1414"/>
      <c r="U851" s="1414"/>
      <c r="V851" s="1414"/>
      <c r="W851" s="1414"/>
      <c r="X851" s="1414"/>
      <c r="Y851" s="1414"/>
      <c r="Z851" s="1414"/>
      <c r="AA851" s="1414"/>
      <c r="AB851" s="1414"/>
      <c r="AC851" s="1414"/>
      <c r="AD851" s="1414"/>
      <c r="AE851" s="1414"/>
      <c r="AF851" s="1414"/>
      <c r="AG851" s="1414"/>
      <c r="AH851" s="1414"/>
      <c r="AI851" s="1414"/>
      <c r="AJ851" s="1414"/>
      <c r="AK851" s="1414"/>
      <c r="AL851" s="1414"/>
      <c r="AM851" s="1414"/>
      <c r="AN851" s="1414"/>
      <c r="AO851" s="1414"/>
      <c r="AP851" s="1414"/>
      <c r="AQ851" s="1414"/>
      <c r="AR851" s="1414"/>
      <c r="AS851" s="1414"/>
      <c r="AT851" s="1414"/>
      <c r="AU851" s="1414"/>
      <c r="AV851" s="1414"/>
      <c r="AW851" s="1414"/>
      <c r="AX851" s="1414"/>
      <c r="AY851" s="1399"/>
      <c r="AZ851" s="1399"/>
      <c r="BA851" s="1399"/>
      <c r="BB851" s="1399"/>
      <c r="BC851" s="1399"/>
      <c r="BD851" s="1399"/>
      <c r="BE851" s="1414"/>
      <c r="BF851" s="1399"/>
      <c r="BG851" s="1399"/>
      <c r="BH851" s="1399"/>
      <c r="BI851" s="1399"/>
      <c r="BJ851" s="1399"/>
      <c r="BK851" s="1399"/>
      <c r="BL851" s="1399"/>
      <c r="BM851" s="1399"/>
      <c r="BN851" s="1399"/>
      <c r="BO851" s="1399"/>
      <c r="BP851" s="1399"/>
      <c r="BQ851" s="1399"/>
      <c r="BR851" s="1399"/>
      <c r="BS851" s="1399"/>
      <c r="BT851" s="1399"/>
      <c r="BU851" s="1399"/>
      <c r="BV851" s="1399"/>
      <c r="BW851" s="1399"/>
      <c r="BX851" s="1399"/>
      <c r="BY851" s="1399"/>
      <c r="BZ851" s="1399"/>
      <c r="CA851" s="1399"/>
      <c r="CB851" s="1399"/>
      <c r="CC851" s="1399"/>
      <c r="CD851" s="1399"/>
      <c r="CE851" s="1399"/>
      <c r="CF851" s="1399"/>
      <c r="CG851" s="1399"/>
      <c r="CH851" s="1399"/>
      <c r="CI851" s="1399"/>
      <c r="CJ851" s="1399"/>
      <c r="CK851" s="1399"/>
      <c r="CL851" s="1399"/>
      <c r="CM851" s="1399"/>
      <c r="CN851" s="1399"/>
      <c r="CO851" s="1399"/>
      <c r="CP851" s="1399"/>
      <c r="CQ851" s="1399"/>
      <c r="CR851" s="1399"/>
      <c r="CS851" s="1399"/>
      <c r="CT851" s="1399"/>
      <c r="CU851" s="1399"/>
      <c r="CV851" s="1399"/>
      <c r="CW851" s="1399"/>
      <c r="CX851" s="1399"/>
      <c r="CY851" s="1399"/>
      <c r="CZ851" s="1399"/>
      <c r="DA851" s="1399"/>
      <c r="DB851" s="1399"/>
      <c r="DC851" s="1399"/>
      <c r="DD851" s="1399"/>
      <c r="DE851" s="1399"/>
      <c r="DF851" s="1399"/>
      <c r="DG851" s="1399"/>
      <c r="DH851" s="1399"/>
      <c r="DI851" s="1399"/>
      <c r="DJ851" s="1399"/>
      <c r="DK851" s="1399"/>
      <c r="DL851" s="1399"/>
      <c r="DM851" s="1399"/>
      <c r="DN851" s="1399"/>
      <c r="DO851" s="1399"/>
      <c r="DP851" s="1399"/>
      <c r="DQ851" s="1399"/>
      <c r="DR851" s="1399"/>
      <c r="DS851" s="1399"/>
      <c r="DT851" s="1399"/>
      <c r="DU851" s="1399"/>
    </row>
    <row r="852" spans="1:125">
      <c r="A852" s="1414"/>
      <c r="B852" s="1414"/>
      <c r="C852" s="1414"/>
      <c r="D852" s="1414"/>
      <c r="E852" s="1414"/>
      <c r="F852" s="1414"/>
      <c r="G852" s="1414"/>
      <c r="H852" s="1414"/>
      <c r="I852" s="1414"/>
      <c r="J852" s="1414"/>
      <c r="K852" s="1414"/>
      <c r="L852" s="1414"/>
      <c r="M852" s="1414"/>
      <c r="N852" s="1414"/>
      <c r="O852" s="1414"/>
      <c r="P852" s="1414"/>
      <c r="Q852" s="1414"/>
      <c r="R852" s="1414"/>
      <c r="S852" s="1414"/>
      <c r="T852" s="1414"/>
      <c r="U852" s="1414"/>
      <c r="V852" s="1414"/>
      <c r="W852" s="1414"/>
      <c r="X852" s="1414"/>
      <c r="Y852" s="1414"/>
      <c r="Z852" s="1414"/>
      <c r="AA852" s="1414"/>
      <c r="AB852" s="1414"/>
      <c r="AC852" s="1414"/>
      <c r="AD852" s="1414"/>
      <c r="AE852" s="1414"/>
      <c r="AF852" s="1414"/>
      <c r="AG852" s="1414"/>
      <c r="AH852" s="1414"/>
      <c r="AI852" s="1414"/>
      <c r="AJ852" s="1414"/>
      <c r="AK852" s="1414"/>
      <c r="AL852" s="1414"/>
      <c r="AM852" s="1414"/>
      <c r="AN852" s="1414"/>
      <c r="AO852" s="1414"/>
      <c r="AP852" s="1414"/>
      <c r="AQ852" s="1414"/>
      <c r="AR852" s="1414"/>
      <c r="AS852" s="1414"/>
      <c r="AT852" s="1414"/>
      <c r="AU852" s="1414"/>
      <c r="AV852" s="1414"/>
      <c r="AW852" s="1414"/>
      <c r="AX852" s="1414"/>
      <c r="AY852" s="1399"/>
      <c r="AZ852" s="1399"/>
      <c r="BA852" s="1399"/>
      <c r="BB852" s="1399"/>
      <c r="BC852" s="1399"/>
      <c r="BD852" s="1399"/>
      <c r="BE852" s="1414"/>
      <c r="BF852" s="1399"/>
      <c r="BG852" s="1399"/>
      <c r="BH852" s="1399"/>
      <c r="BI852" s="1399"/>
      <c r="BJ852" s="1399"/>
      <c r="BK852" s="1399"/>
      <c r="BL852" s="1399"/>
      <c r="BM852" s="1399"/>
      <c r="BN852" s="1399"/>
      <c r="BO852" s="1399"/>
      <c r="BP852" s="1399"/>
      <c r="BQ852" s="1399"/>
      <c r="BR852" s="1399"/>
      <c r="BS852" s="1399"/>
      <c r="BT852" s="1399"/>
      <c r="BU852" s="1399"/>
      <c r="BV852" s="1399"/>
      <c r="BW852" s="1399"/>
      <c r="BX852" s="1399"/>
      <c r="BY852" s="1399"/>
      <c r="BZ852" s="1399"/>
      <c r="CA852" s="1399"/>
      <c r="CB852" s="1399"/>
      <c r="CC852" s="1399"/>
      <c r="CD852" s="1399"/>
      <c r="CE852" s="1399"/>
      <c r="CF852" s="1399"/>
      <c r="CG852" s="1399"/>
      <c r="CH852" s="1399"/>
      <c r="CI852" s="1399"/>
      <c r="CJ852" s="1399"/>
      <c r="CK852" s="1399"/>
      <c r="CL852" s="1399"/>
      <c r="CM852" s="1399"/>
      <c r="CN852" s="1399"/>
      <c r="CO852" s="1399"/>
      <c r="CP852" s="1399"/>
      <c r="CQ852" s="1399"/>
      <c r="CR852" s="1399"/>
      <c r="CS852" s="1399"/>
      <c r="CT852" s="1399"/>
      <c r="CU852" s="1399"/>
      <c r="CV852" s="1399"/>
      <c r="CW852" s="1399"/>
      <c r="CX852" s="1399"/>
      <c r="CY852" s="1399"/>
      <c r="CZ852" s="1399"/>
      <c r="DA852" s="1399"/>
      <c r="DB852" s="1399"/>
      <c r="DC852" s="1399"/>
      <c r="DD852" s="1399"/>
      <c r="DE852" s="1399"/>
      <c r="DF852" s="1399"/>
      <c r="DG852" s="1399"/>
      <c r="DH852" s="1399"/>
      <c r="DI852" s="1399"/>
      <c r="DJ852" s="1399"/>
      <c r="DK852" s="1399"/>
      <c r="DL852" s="1399"/>
      <c r="DM852" s="1399"/>
      <c r="DN852" s="1399"/>
      <c r="DO852" s="1399"/>
      <c r="DP852" s="1399"/>
      <c r="DQ852" s="1399"/>
      <c r="DR852" s="1399"/>
      <c r="DS852" s="1399"/>
      <c r="DT852" s="1399"/>
      <c r="DU852" s="1399"/>
    </row>
    <row r="853" spans="1:125">
      <c r="A853" s="1414"/>
      <c r="B853" s="1414"/>
      <c r="C853" s="1414"/>
      <c r="D853" s="1414"/>
      <c r="E853" s="1414"/>
      <c r="F853" s="1414"/>
      <c r="G853" s="1414"/>
      <c r="H853" s="1414"/>
      <c r="I853" s="1414"/>
      <c r="J853" s="1414"/>
      <c r="K853" s="1414"/>
      <c r="L853" s="1414"/>
      <c r="M853" s="1414"/>
      <c r="N853" s="1414"/>
      <c r="O853" s="1414"/>
      <c r="P853" s="1414"/>
      <c r="Q853" s="1414"/>
      <c r="R853" s="1414"/>
      <c r="S853" s="1414"/>
      <c r="T853" s="1414"/>
      <c r="U853" s="1414"/>
      <c r="V853" s="1414"/>
      <c r="W853" s="1414"/>
      <c r="X853" s="1414"/>
      <c r="Y853" s="1414"/>
      <c r="Z853" s="1414"/>
      <c r="AA853" s="1414"/>
      <c r="AB853" s="1414"/>
      <c r="AC853" s="1414"/>
      <c r="AD853" s="1414"/>
      <c r="AE853" s="1414"/>
      <c r="AF853" s="1414"/>
      <c r="AG853" s="1414"/>
      <c r="AH853" s="1414"/>
      <c r="AI853" s="1414"/>
      <c r="AJ853" s="1414"/>
      <c r="AK853" s="1414"/>
      <c r="AL853" s="1414"/>
      <c r="AM853" s="1414"/>
      <c r="AN853" s="1414"/>
      <c r="AO853" s="1414"/>
      <c r="AP853" s="1414"/>
      <c r="AQ853" s="1414"/>
      <c r="AR853" s="1414"/>
      <c r="AS853" s="1414"/>
      <c r="AT853" s="1414"/>
      <c r="AU853" s="1414"/>
      <c r="AV853" s="1414"/>
      <c r="AW853" s="1414"/>
      <c r="AX853" s="1414"/>
      <c r="AY853" s="1399"/>
      <c r="AZ853" s="1399"/>
      <c r="BA853" s="1399"/>
      <c r="BB853" s="1399"/>
      <c r="BC853" s="1399"/>
      <c r="BD853" s="1399"/>
      <c r="BE853" s="1414"/>
      <c r="BF853" s="1399"/>
      <c r="BG853" s="1399"/>
      <c r="BH853" s="1399"/>
      <c r="BI853" s="1399"/>
      <c r="BJ853" s="1399"/>
      <c r="BK853" s="1399"/>
      <c r="BL853" s="1399"/>
      <c r="BM853" s="1399"/>
      <c r="BN853" s="1399"/>
      <c r="BO853" s="1399"/>
      <c r="BP853" s="1399"/>
      <c r="BQ853" s="1399"/>
      <c r="BR853" s="1399"/>
      <c r="BS853" s="1399"/>
      <c r="BT853" s="1399"/>
      <c r="BU853" s="1399"/>
      <c r="BV853" s="1399"/>
      <c r="BW853" s="1399"/>
      <c r="BX853" s="1399"/>
      <c r="BY853" s="1399"/>
      <c r="BZ853" s="1399"/>
      <c r="CA853" s="1399"/>
      <c r="CB853" s="1399"/>
      <c r="CC853" s="1399"/>
      <c r="CD853" s="1399"/>
      <c r="CE853" s="1399"/>
      <c r="CF853" s="1399"/>
      <c r="CG853" s="1399"/>
      <c r="CH853" s="1399"/>
      <c r="CI853" s="1399"/>
      <c r="CJ853" s="1399"/>
      <c r="CK853" s="1399"/>
      <c r="CL853" s="1399"/>
      <c r="CM853" s="1399"/>
      <c r="CN853" s="1399"/>
      <c r="CO853" s="1399"/>
      <c r="CP853" s="1399"/>
      <c r="CQ853" s="1399"/>
      <c r="CR853" s="1399"/>
      <c r="CS853" s="1399"/>
      <c r="CT853" s="1399"/>
      <c r="CU853" s="1399"/>
      <c r="CV853" s="1399"/>
      <c r="CW853" s="1399"/>
      <c r="CX853" s="1399"/>
      <c r="CY853" s="1399"/>
      <c r="CZ853" s="1399"/>
      <c r="DA853" s="1399"/>
      <c r="DB853" s="1399"/>
      <c r="DC853" s="1399"/>
      <c r="DD853" s="1399"/>
      <c r="DE853" s="1399"/>
      <c r="DF853" s="1399"/>
      <c r="DG853" s="1399"/>
      <c r="DH853" s="1399"/>
      <c r="DI853" s="1399"/>
      <c r="DJ853" s="1399"/>
      <c r="DK853" s="1399"/>
      <c r="DL853" s="1399"/>
      <c r="DM853" s="1399"/>
      <c r="DN853" s="1399"/>
      <c r="DO853" s="1399"/>
      <c r="DP853" s="1399"/>
      <c r="DQ853" s="1399"/>
      <c r="DR853" s="1399"/>
      <c r="DS853" s="1399"/>
      <c r="DT853" s="1399"/>
      <c r="DU853" s="1399"/>
    </row>
    <row r="854" spans="1:125">
      <c r="A854" s="1414"/>
      <c r="B854" s="1414"/>
      <c r="C854" s="1414"/>
      <c r="D854" s="1414"/>
      <c r="E854" s="1414"/>
      <c r="F854" s="1414"/>
      <c r="G854" s="1414"/>
      <c r="H854" s="1414"/>
      <c r="I854" s="1414"/>
      <c r="J854" s="1414"/>
      <c r="K854" s="1414"/>
      <c r="L854" s="1414"/>
      <c r="M854" s="1414"/>
      <c r="N854" s="1414"/>
      <c r="O854" s="1414"/>
      <c r="P854" s="1414"/>
      <c r="Q854" s="1414"/>
      <c r="R854" s="1414"/>
      <c r="S854" s="1414"/>
      <c r="T854" s="1414"/>
      <c r="U854" s="1414"/>
      <c r="V854" s="1414"/>
      <c r="W854" s="1414"/>
      <c r="X854" s="1414"/>
      <c r="Y854" s="1414"/>
      <c r="Z854" s="1414"/>
      <c r="AA854" s="1414"/>
      <c r="AB854" s="1414"/>
      <c r="AC854" s="1414"/>
      <c r="AD854" s="1414"/>
      <c r="AE854" s="1414"/>
      <c r="AF854" s="1414"/>
      <c r="AG854" s="1414"/>
      <c r="AH854" s="1414"/>
      <c r="AI854" s="1414"/>
      <c r="AJ854" s="1414"/>
      <c r="AK854" s="1414"/>
      <c r="AL854" s="1414"/>
      <c r="AM854" s="1414"/>
      <c r="AN854" s="1414"/>
      <c r="AO854" s="1414"/>
      <c r="AP854" s="1414"/>
      <c r="AQ854" s="1414"/>
      <c r="AR854" s="1414"/>
      <c r="AS854" s="1414"/>
      <c r="AT854" s="1414"/>
      <c r="AU854" s="1414"/>
      <c r="AV854" s="1414"/>
      <c r="AW854" s="1414"/>
      <c r="AX854" s="1414"/>
      <c r="AY854" s="1399"/>
      <c r="AZ854" s="1399"/>
      <c r="BA854" s="1399"/>
      <c r="BB854" s="1399"/>
      <c r="BC854" s="1399"/>
      <c r="BD854" s="1399"/>
      <c r="BE854" s="1414"/>
      <c r="BF854" s="1399"/>
      <c r="BG854" s="1399"/>
      <c r="BH854" s="1399"/>
      <c r="BI854" s="1399"/>
      <c r="BJ854" s="1399"/>
      <c r="BK854" s="1399"/>
      <c r="BL854" s="1399"/>
      <c r="BM854" s="1399"/>
      <c r="BN854" s="1399"/>
      <c r="BO854" s="1399"/>
      <c r="BP854" s="1399"/>
      <c r="BQ854" s="1399"/>
      <c r="BR854" s="1399"/>
      <c r="BS854" s="1399"/>
      <c r="BT854" s="1399"/>
      <c r="BU854" s="1399"/>
      <c r="BV854" s="1399"/>
      <c r="BW854" s="1399"/>
      <c r="BX854" s="1399"/>
      <c r="BY854" s="1399"/>
      <c r="BZ854" s="1399"/>
      <c r="CA854" s="1399"/>
      <c r="CB854" s="1399"/>
      <c r="CC854" s="1399"/>
      <c r="CD854" s="1399"/>
      <c r="CE854" s="1399"/>
      <c r="CF854" s="1399"/>
      <c r="CG854" s="1399"/>
      <c r="CH854" s="1399"/>
      <c r="CI854" s="1399"/>
      <c r="CJ854" s="1399"/>
      <c r="CK854" s="1399"/>
      <c r="CL854" s="1399"/>
      <c r="CM854" s="1399"/>
      <c r="CN854" s="1399"/>
      <c r="CO854" s="1399"/>
      <c r="CP854" s="1399"/>
      <c r="CQ854" s="1399"/>
      <c r="CR854" s="1399"/>
      <c r="CS854" s="1399"/>
      <c r="CT854" s="1399"/>
      <c r="CU854" s="1399"/>
      <c r="CV854" s="1399"/>
      <c r="CW854" s="1399"/>
      <c r="CX854" s="1399"/>
      <c r="CY854" s="1399"/>
      <c r="CZ854" s="1399"/>
      <c r="DA854" s="1399"/>
      <c r="DB854" s="1399"/>
      <c r="DC854" s="1399"/>
      <c r="DD854" s="1399"/>
      <c r="DE854" s="1399"/>
      <c r="DF854" s="1399"/>
      <c r="DG854" s="1399"/>
      <c r="DH854" s="1399"/>
      <c r="DI854" s="1399"/>
      <c r="DJ854" s="1399"/>
      <c r="DK854" s="1399"/>
      <c r="DL854" s="1399"/>
      <c r="DM854" s="1399"/>
      <c r="DN854" s="1399"/>
      <c r="DO854" s="1399"/>
      <c r="DP854" s="1399"/>
      <c r="DQ854" s="1399"/>
      <c r="DR854" s="1399"/>
      <c r="DS854" s="1399"/>
      <c r="DT854" s="1399"/>
      <c r="DU854" s="1399"/>
    </row>
    <row r="855" spans="1:125">
      <c r="A855" s="1414"/>
      <c r="B855" s="1414"/>
      <c r="C855" s="1414"/>
      <c r="D855" s="1414"/>
      <c r="E855" s="1414"/>
      <c r="F855" s="1414"/>
      <c r="G855" s="1414"/>
      <c r="H855" s="1414"/>
      <c r="I855" s="1414"/>
      <c r="J855" s="1414"/>
      <c r="K855" s="1414"/>
      <c r="L855" s="1414"/>
      <c r="M855" s="1414"/>
      <c r="N855" s="1414"/>
      <c r="O855" s="1414"/>
      <c r="P855" s="1414"/>
      <c r="Q855" s="1414"/>
      <c r="R855" s="1414"/>
      <c r="S855" s="1414"/>
      <c r="T855" s="1414"/>
      <c r="U855" s="1414"/>
      <c r="V855" s="1414"/>
      <c r="W855" s="1414"/>
      <c r="X855" s="1414"/>
      <c r="Y855" s="1414"/>
      <c r="Z855" s="1414"/>
      <c r="AA855" s="1414"/>
      <c r="AB855" s="1414"/>
      <c r="AC855" s="1414"/>
      <c r="AD855" s="1414"/>
      <c r="AE855" s="1414"/>
      <c r="AF855" s="1414"/>
      <c r="AG855" s="1414"/>
      <c r="AH855" s="1414"/>
      <c r="AI855" s="1414"/>
      <c r="AJ855" s="1414"/>
      <c r="AK855" s="1414"/>
      <c r="AL855" s="1414"/>
      <c r="AM855" s="1414"/>
      <c r="AN855" s="1414"/>
      <c r="AO855" s="1414"/>
      <c r="AP855" s="1414"/>
      <c r="AQ855" s="1414"/>
      <c r="AR855" s="1414"/>
      <c r="AS855" s="1414"/>
      <c r="AT855" s="1414"/>
      <c r="AU855" s="1414"/>
      <c r="AV855" s="1414"/>
      <c r="AW855" s="1414"/>
      <c r="AX855" s="1414"/>
      <c r="AY855" s="1399"/>
      <c r="AZ855" s="1399"/>
      <c r="BA855" s="1399"/>
      <c r="BB855" s="1399"/>
      <c r="BC855" s="1399"/>
      <c r="BD855" s="1399"/>
      <c r="BE855" s="1414"/>
      <c r="BF855" s="1399"/>
      <c r="BG855" s="1399"/>
      <c r="BH855" s="1399"/>
      <c r="BI855" s="1399"/>
      <c r="BJ855" s="1399"/>
      <c r="BK855" s="1399"/>
      <c r="BL855" s="1399"/>
      <c r="BM855" s="1399"/>
      <c r="BN855" s="1399"/>
      <c r="BO855" s="1399"/>
      <c r="BP855" s="1399"/>
      <c r="BQ855" s="1399"/>
      <c r="BR855" s="1399"/>
      <c r="BS855" s="1399"/>
      <c r="BT855" s="1399"/>
      <c r="BU855" s="1399"/>
      <c r="BV855" s="1399"/>
      <c r="BW855" s="1399"/>
      <c r="BX855" s="1399"/>
      <c r="BY855" s="1399"/>
      <c r="BZ855" s="1399"/>
      <c r="CA855" s="1399"/>
      <c r="CB855" s="1399"/>
      <c r="CC855" s="1399"/>
      <c r="CD855" s="1399"/>
      <c r="CE855" s="1399"/>
      <c r="CF855" s="1399"/>
      <c r="CG855" s="1399"/>
      <c r="CH855" s="1399"/>
      <c r="CI855" s="1399"/>
      <c r="CJ855" s="1399"/>
      <c r="CK855" s="1399"/>
      <c r="CL855" s="1399"/>
      <c r="CM855" s="1399"/>
      <c r="CN855" s="1399"/>
      <c r="CO855" s="1399"/>
      <c r="CP855" s="1399"/>
      <c r="CQ855" s="1399"/>
      <c r="CR855" s="1399"/>
      <c r="CS855" s="1399"/>
      <c r="CT855" s="1399"/>
      <c r="CU855" s="1399"/>
      <c r="CV855" s="1399"/>
      <c r="CW855" s="1399"/>
      <c r="CX855" s="1399"/>
      <c r="CY855" s="1399"/>
      <c r="CZ855" s="1399"/>
      <c r="DA855" s="1399"/>
      <c r="DB855" s="1399"/>
      <c r="DC855" s="1399"/>
      <c r="DD855" s="1399"/>
      <c r="DE855" s="1399"/>
      <c r="DF855" s="1399"/>
      <c r="DG855" s="1399"/>
      <c r="DH855" s="1399"/>
      <c r="DI855" s="1399"/>
      <c r="DJ855" s="1399"/>
      <c r="DK855" s="1399"/>
      <c r="DL855" s="1399"/>
      <c r="DM855" s="1399"/>
      <c r="DN855" s="1399"/>
      <c r="DO855" s="1399"/>
      <c r="DP855" s="1399"/>
      <c r="DQ855" s="1399"/>
      <c r="DR855" s="1399"/>
      <c r="DS855" s="1399"/>
      <c r="DT855" s="1399"/>
      <c r="DU855" s="1399"/>
    </row>
    <row r="856" spans="1:125">
      <c r="A856" s="1414"/>
      <c r="B856" s="1414"/>
      <c r="C856" s="1414"/>
      <c r="D856" s="1414"/>
      <c r="E856" s="1414"/>
      <c r="F856" s="1414"/>
      <c r="G856" s="1414"/>
      <c r="H856" s="1414"/>
      <c r="I856" s="1414"/>
      <c r="J856" s="1414"/>
      <c r="K856" s="1414"/>
      <c r="L856" s="1414"/>
      <c r="M856" s="1414"/>
      <c r="N856" s="1414"/>
      <c r="O856" s="1414"/>
      <c r="P856" s="1414"/>
      <c r="Q856" s="1414"/>
      <c r="R856" s="1414"/>
      <c r="S856" s="1414"/>
      <c r="T856" s="1414"/>
      <c r="U856" s="1414"/>
      <c r="V856" s="1414"/>
      <c r="W856" s="1414"/>
      <c r="X856" s="1414"/>
      <c r="Y856" s="1414"/>
      <c r="Z856" s="1414"/>
      <c r="AA856" s="1414"/>
      <c r="AB856" s="1414"/>
      <c r="AC856" s="1414"/>
      <c r="AD856" s="1414"/>
      <c r="AE856" s="1414"/>
      <c r="AF856" s="1414"/>
      <c r="AG856" s="1414"/>
      <c r="AH856" s="1414"/>
      <c r="AI856" s="1414"/>
      <c r="AJ856" s="1414"/>
      <c r="AK856" s="1414"/>
      <c r="AL856" s="1414"/>
      <c r="AM856" s="1414"/>
      <c r="AN856" s="1414"/>
      <c r="AO856" s="1414"/>
      <c r="AP856" s="1414"/>
      <c r="AQ856" s="1414"/>
      <c r="AR856" s="1414"/>
      <c r="AS856" s="1414"/>
      <c r="AT856" s="1414"/>
      <c r="AU856" s="1414"/>
      <c r="AV856" s="1414"/>
      <c r="AW856" s="1414"/>
      <c r="AX856" s="1414"/>
      <c r="AY856" s="1399"/>
      <c r="AZ856" s="1399"/>
      <c r="BA856" s="1399"/>
      <c r="BB856" s="1399"/>
      <c r="BC856" s="1399"/>
      <c r="BD856" s="1399"/>
      <c r="BE856" s="1414"/>
      <c r="BF856" s="1399"/>
      <c r="BG856" s="1399"/>
      <c r="BH856" s="1399"/>
      <c r="BI856" s="1399"/>
      <c r="BJ856" s="1399"/>
      <c r="BK856" s="1399"/>
      <c r="BL856" s="1399"/>
      <c r="BM856" s="1399"/>
      <c r="BN856" s="1399"/>
      <c r="BO856" s="1399"/>
      <c r="BP856" s="1399"/>
      <c r="BQ856" s="1399"/>
      <c r="BR856" s="1399"/>
      <c r="BS856" s="1399"/>
      <c r="BT856" s="1399"/>
      <c r="BU856" s="1399"/>
      <c r="BV856" s="1399"/>
      <c r="BW856" s="1399"/>
      <c r="BX856" s="1399"/>
      <c r="BY856" s="1399"/>
      <c r="BZ856" s="1399"/>
      <c r="CA856" s="1399"/>
      <c r="CB856" s="1399"/>
      <c r="CC856" s="1399"/>
      <c r="CD856" s="1399"/>
      <c r="CE856" s="1399"/>
      <c r="CF856" s="1399"/>
      <c r="CG856" s="1399"/>
      <c r="CH856" s="1399"/>
      <c r="CI856" s="1399"/>
      <c r="CJ856" s="1399"/>
      <c r="CK856" s="1399"/>
      <c r="CL856" s="1399"/>
      <c r="CM856" s="1399"/>
      <c r="CN856" s="1399"/>
      <c r="CO856" s="1399"/>
      <c r="CP856" s="1399"/>
      <c r="CQ856" s="1399"/>
      <c r="CR856" s="1399"/>
      <c r="CS856" s="1399"/>
      <c r="CT856" s="1399"/>
      <c r="CU856" s="1399"/>
      <c r="CV856" s="1399"/>
      <c r="CW856" s="1399"/>
      <c r="CX856" s="1399"/>
      <c r="CY856" s="1399"/>
      <c r="CZ856" s="1399"/>
      <c r="DA856" s="1399"/>
      <c r="DB856" s="1399"/>
      <c r="DC856" s="1399"/>
      <c r="DD856" s="1399"/>
      <c r="DE856" s="1399"/>
      <c r="DF856" s="1399"/>
      <c r="DG856" s="1399"/>
      <c r="DH856" s="1399"/>
      <c r="DI856" s="1399"/>
      <c r="DJ856" s="1399"/>
      <c r="DK856" s="1399"/>
      <c r="DL856" s="1399"/>
      <c r="DM856" s="1399"/>
      <c r="DN856" s="1399"/>
      <c r="DO856" s="1399"/>
      <c r="DP856" s="1399"/>
      <c r="DQ856" s="1399"/>
      <c r="DR856" s="1399"/>
      <c r="DS856" s="1399"/>
      <c r="DT856" s="1399"/>
      <c r="DU856" s="1399"/>
    </row>
    <row r="857" spans="1:125">
      <c r="A857" s="1414"/>
      <c r="B857" s="1414"/>
      <c r="C857" s="1414"/>
      <c r="D857" s="1414"/>
      <c r="E857" s="1414"/>
      <c r="F857" s="1414"/>
      <c r="G857" s="1414"/>
      <c r="H857" s="1414"/>
      <c r="I857" s="1414"/>
      <c r="J857" s="1414"/>
      <c r="K857" s="1414"/>
      <c r="L857" s="1414"/>
      <c r="M857" s="1414"/>
      <c r="N857" s="1414"/>
      <c r="O857" s="1414"/>
      <c r="P857" s="1414"/>
      <c r="Q857" s="1414"/>
      <c r="R857" s="1414"/>
      <c r="S857" s="1414"/>
      <c r="T857" s="1414"/>
      <c r="U857" s="1414"/>
      <c r="V857" s="1414"/>
      <c r="W857" s="1414"/>
      <c r="X857" s="1414"/>
      <c r="Y857" s="1414"/>
      <c r="Z857" s="1414"/>
      <c r="AA857" s="1414"/>
      <c r="AB857" s="1414"/>
      <c r="AC857" s="1414"/>
      <c r="AD857" s="1414"/>
      <c r="AE857" s="1414"/>
      <c r="AF857" s="1414"/>
      <c r="AG857" s="1414"/>
      <c r="AH857" s="1414"/>
      <c r="AI857" s="1414"/>
      <c r="AJ857" s="1414"/>
      <c r="AK857" s="1414"/>
      <c r="AL857" s="1414"/>
      <c r="AM857" s="1414"/>
      <c r="AN857" s="1414"/>
      <c r="AO857" s="1414"/>
      <c r="AP857" s="1414"/>
      <c r="AQ857" s="1414"/>
      <c r="AR857" s="1414"/>
      <c r="AS857" s="1414"/>
      <c r="AT857" s="1414"/>
      <c r="AU857" s="1414"/>
      <c r="AV857" s="1414"/>
      <c r="AW857" s="1414"/>
      <c r="AX857" s="1414"/>
      <c r="AY857" s="1399"/>
      <c r="AZ857" s="1399"/>
      <c r="BA857" s="1399"/>
      <c r="BB857" s="1399"/>
      <c r="BC857" s="1399"/>
      <c r="BD857" s="1399"/>
      <c r="BE857" s="1414"/>
      <c r="BF857" s="1399"/>
      <c r="BG857" s="1399"/>
      <c r="BH857" s="1399"/>
      <c r="BI857" s="1399"/>
      <c r="BJ857" s="1399"/>
      <c r="BK857" s="1399"/>
      <c r="BL857" s="1399"/>
      <c r="BM857" s="1399"/>
      <c r="BN857" s="1399"/>
      <c r="BO857" s="1399"/>
      <c r="BP857" s="1399"/>
      <c r="BQ857" s="1399"/>
      <c r="BR857" s="1399"/>
      <c r="BS857" s="1399"/>
      <c r="BT857" s="1399"/>
      <c r="BU857" s="1399"/>
      <c r="BV857" s="1399"/>
      <c r="BW857" s="1399"/>
      <c r="BX857" s="1399"/>
      <c r="BY857" s="1399"/>
      <c r="BZ857" s="1399"/>
      <c r="CA857" s="1399"/>
      <c r="CB857" s="1399"/>
      <c r="CC857" s="1399"/>
      <c r="CD857" s="1399"/>
      <c r="CE857" s="1399"/>
      <c r="CF857" s="1399"/>
      <c r="CG857" s="1399"/>
      <c r="CH857" s="1399"/>
      <c r="CI857" s="1399"/>
      <c r="CJ857" s="1399"/>
      <c r="CK857" s="1399"/>
      <c r="CL857" s="1399"/>
      <c r="CM857" s="1399"/>
      <c r="CN857" s="1399"/>
      <c r="CO857" s="1399"/>
      <c r="CP857" s="1399"/>
      <c r="CQ857" s="1399"/>
      <c r="CR857" s="1399"/>
      <c r="CS857" s="1399"/>
      <c r="CT857" s="1399"/>
      <c r="CU857" s="1399"/>
      <c r="CV857" s="1399"/>
      <c r="CW857" s="1399"/>
      <c r="CX857" s="1399"/>
      <c r="CY857" s="1399"/>
      <c r="CZ857" s="1399"/>
      <c r="DA857" s="1399"/>
      <c r="DB857" s="1399"/>
      <c r="DC857" s="1399"/>
      <c r="DD857" s="1399"/>
      <c r="DE857" s="1399"/>
      <c r="DF857" s="1399"/>
      <c r="DG857" s="1399"/>
      <c r="DH857" s="1399"/>
      <c r="DI857" s="1399"/>
      <c r="DJ857" s="1399"/>
      <c r="DK857" s="1399"/>
      <c r="DL857" s="1399"/>
      <c r="DM857" s="1399"/>
      <c r="DN857" s="1399"/>
      <c r="DO857" s="1399"/>
      <c r="DP857" s="1399"/>
      <c r="DQ857" s="1399"/>
      <c r="DR857" s="1399"/>
      <c r="DS857" s="1399"/>
      <c r="DT857" s="1399"/>
      <c r="DU857" s="1399"/>
    </row>
    <row r="858" spans="1:125">
      <c r="A858" s="1414"/>
      <c r="B858" s="1414"/>
      <c r="C858" s="1414"/>
      <c r="D858" s="1414"/>
      <c r="E858" s="1414"/>
      <c r="F858" s="1414"/>
      <c r="G858" s="1414"/>
      <c r="H858" s="1414"/>
      <c r="I858" s="1414"/>
      <c r="J858" s="1414"/>
      <c r="K858" s="1414"/>
      <c r="L858" s="1414"/>
      <c r="M858" s="1414"/>
      <c r="N858" s="1414"/>
      <c r="O858" s="1414"/>
      <c r="P858" s="1414"/>
      <c r="Q858" s="1414"/>
      <c r="R858" s="1414"/>
      <c r="S858" s="1414"/>
      <c r="T858" s="1414"/>
      <c r="U858" s="1414"/>
      <c r="V858" s="1414"/>
      <c r="W858" s="1414"/>
      <c r="X858" s="1414"/>
      <c r="Y858" s="1414"/>
      <c r="Z858" s="1414"/>
      <c r="AA858" s="1414"/>
      <c r="AB858" s="1414"/>
      <c r="AC858" s="1414"/>
      <c r="AD858" s="1414"/>
      <c r="AE858" s="1414"/>
      <c r="AF858" s="1414"/>
      <c r="AG858" s="1414"/>
      <c r="AH858" s="1414"/>
      <c r="AI858" s="1414"/>
      <c r="AJ858" s="1414"/>
      <c r="AK858" s="1414"/>
      <c r="AL858" s="1414"/>
      <c r="AM858" s="1414"/>
      <c r="AN858" s="1414"/>
      <c r="AO858" s="1414"/>
      <c r="AP858" s="1414"/>
      <c r="AQ858" s="1414"/>
      <c r="AR858" s="1414"/>
      <c r="AS858" s="1414"/>
      <c r="AT858" s="1414"/>
      <c r="AU858" s="1414"/>
      <c r="AV858" s="1414"/>
      <c r="AW858" s="1414"/>
      <c r="AX858" s="1414"/>
      <c r="AY858" s="1399"/>
      <c r="AZ858" s="1399"/>
      <c r="BA858" s="1399"/>
      <c r="BB858" s="1399"/>
      <c r="BC858" s="1399"/>
      <c r="BD858" s="1399"/>
      <c r="BE858" s="1414"/>
      <c r="BF858" s="1399"/>
      <c r="BG858" s="1399"/>
      <c r="BH858" s="1399"/>
      <c r="BI858" s="1399"/>
      <c r="BJ858" s="1399"/>
      <c r="BK858" s="1399"/>
      <c r="BL858" s="1399"/>
      <c r="BM858" s="1399"/>
      <c r="BN858" s="1399"/>
      <c r="BO858" s="1399"/>
      <c r="BP858" s="1399"/>
      <c r="BQ858" s="1399"/>
      <c r="BR858" s="1399"/>
      <c r="BS858" s="1399"/>
      <c r="BT858" s="1399"/>
      <c r="BU858" s="1399"/>
      <c r="BV858" s="1399"/>
      <c r="BW858" s="1399"/>
      <c r="BX858" s="1399"/>
      <c r="BY858" s="1399"/>
      <c r="BZ858" s="1399"/>
      <c r="CA858" s="1399"/>
      <c r="CB858" s="1399"/>
      <c r="CC858" s="1399"/>
      <c r="CD858" s="1399"/>
      <c r="CE858" s="1399"/>
      <c r="CF858" s="1399"/>
      <c r="CG858" s="1399"/>
      <c r="CH858" s="1399"/>
      <c r="CI858" s="1399"/>
      <c r="CJ858" s="1399"/>
      <c r="CK858" s="1399"/>
      <c r="CL858" s="1399"/>
      <c r="CM858" s="1399"/>
      <c r="CN858" s="1399"/>
      <c r="CO858" s="1399"/>
      <c r="CP858" s="1399"/>
      <c r="CQ858" s="1399"/>
      <c r="CR858" s="1399"/>
      <c r="CS858" s="1399"/>
      <c r="CT858" s="1399"/>
      <c r="CU858" s="1399"/>
      <c r="CV858" s="1399"/>
      <c r="CW858" s="1399"/>
      <c r="CX858" s="1399"/>
      <c r="CY858" s="1399"/>
      <c r="CZ858" s="1399"/>
      <c r="DA858" s="1399"/>
      <c r="DB858" s="1399"/>
      <c r="DC858" s="1399"/>
      <c r="DD858" s="1399"/>
      <c r="DE858" s="1399"/>
      <c r="DF858" s="1399"/>
      <c r="DG858" s="1399"/>
      <c r="DH858" s="1399"/>
      <c r="DI858" s="1399"/>
      <c r="DJ858" s="1399"/>
      <c r="DK858" s="1399"/>
      <c r="DL858" s="1399"/>
      <c r="DM858" s="1399"/>
      <c r="DN858" s="1399"/>
      <c r="DO858" s="1399"/>
      <c r="DP858" s="1399"/>
      <c r="DQ858" s="1399"/>
      <c r="DR858" s="1399"/>
      <c r="DS858" s="1399"/>
      <c r="DT858" s="1399"/>
      <c r="DU858" s="1399"/>
    </row>
    <row r="859" spans="1:125">
      <c r="A859" s="1414"/>
      <c r="B859" s="1414"/>
      <c r="C859" s="1414"/>
      <c r="D859" s="1414"/>
      <c r="E859" s="1414"/>
      <c r="F859" s="1414"/>
      <c r="G859" s="1414"/>
      <c r="H859" s="1414"/>
      <c r="I859" s="1414"/>
      <c r="J859" s="1414"/>
      <c r="K859" s="1414"/>
      <c r="L859" s="1414"/>
      <c r="M859" s="1414"/>
      <c r="N859" s="1414"/>
      <c r="O859" s="1414"/>
      <c r="P859" s="1414"/>
      <c r="Q859" s="1414"/>
      <c r="R859" s="1414"/>
      <c r="S859" s="1414"/>
      <c r="T859" s="1414"/>
      <c r="U859" s="1414"/>
      <c r="V859" s="1414"/>
      <c r="W859" s="1414"/>
      <c r="X859" s="1414"/>
      <c r="Y859" s="1414"/>
      <c r="Z859" s="1414"/>
      <c r="AA859" s="1414"/>
      <c r="AB859" s="1414"/>
      <c r="AC859" s="1414"/>
      <c r="AD859" s="1414"/>
      <c r="AE859" s="1414"/>
      <c r="AF859" s="1414"/>
      <c r="AG859" s="1414"/>
      <c r="AH859" s="1414"/>
      <c r="AI859" s="1414"/>
      <c r="AJ859" s="1414"/>
      <c r="AK859" s="1414"/>
      <c r="AL859" s="1414"/>
      <c r="AM859" s="1414"/>
      <c r="AN859" s="1414"/>
      <c r="AO859" s="1414"/>
      <c r="AP859" s="1414"/>
      <c r="AQ859" s="1414"/>
      <c r="AR859" s="1414"/>
      <c r="AS859" s="1414"/>
      <c r="AT859" s="1414"/>
      <c r="AU859" s="1414"/>
      <c r="AV859" s="1414"/>
      <c r="AW859" s="1414"/>
      <c r="AX859" s="1414"/>
      <c r="AY859" s="1399"/>
      <c r="AZ859" s="1399"/>
      <c r="BA859" s="1399"/>
      <c r="BB859" s="1399"/>
      <c r="BC859" s="1399"/>
      <c r="BD859" s="1399"/>
      <c r="BE859" s="1414"/>
      <c r="BF859" s="1399"/>
      <c r="BG859" s="1399"/>
      <c r="BH859" s="1399"/>
      <c r="BI859" s="1399"/>
      <c r="BJ859" s="1399"/>
      <c r="BK859" s="1399"/>
      <c r="BL859" s="1399"/>
      <c r="BM859" s="1399"/>
      <c r="BN859" s="1399"/>
      <c r="BO859" s="1399"/>
      <c r="BP859" s="1399"/>
      <c r="BQ859" s="1399"/>
      <c r="BR859" s="1399"/>
      <c r="BS859" s="1399"/>
      <c r="BT859" s="1399"/>
      <c r="BU859" s="1399"/>
      <c r="BV859" s="1399"/>
      <c r="BW859" s="1399"/>
      <c r="BX859" s="1399"/>
      <c r="BY859" s="1399"/>
      <c r="BZ859" s="1399"/>
      <c r="CA859" s="1399"/>
      <c r="CB859" s="1399"/>
      <c r="CC859" s="1399"/>
      <c r="CD859" s="1399"/>
      <c r="CE859" s="1399"/>
      <c r="CF859" s="1399"/>
      <c r="CG859" s="1399"/>
      <c r="CH859" s="1399"/>
      <c r="CI859" s="1399"/>
      <c r="CJ859" s="1399"/>
      <c r="CK859" s="1399"/>
      <c r="CL859" s="1399"/>
      <c r="CM859" s="1399"/>
      <c r="CN859" s="1399"/>
      <c r="CO859" s="1399"/>
      <c r="CP859" s="1399"/>
      <c r="CQ859" s="1399"/>
      <c r="CR859" s="1399"/>
      <c r="CS859" s="1399"/>
      <c r="CT859" s="1399"/>
      <c r="CU859" s="1399"/>
      <c r="CV859" s="1399"/>
      <c r="CW859" s="1399"/>
      <c r="CX859" s="1399"/>
      <c r="CY859" s="1399"/>
      <c r="CZ859" s="1399"/>
      <c r="DA859" s="1399"/>
      <c r="DB859" s="1399"/>
      <c r="DC859" s="1399"/>
      <c r="DD859" s="1399"/>
      <c r="DE859" s="1399"/>
      <c r="DF859" s="1399"/>
      <c r="DG859" s="1399"/>
      <c r="DH859" s="1399"/>
      <c r="DI859" s="1399"/>
      <c r="DJ859" s="1399"/>
      <c r="DK859" s="1399"/>
      <c r="DL859" s="1399"/>
      <c r="DM859" s="1399"/>
      <c r="DN859" s="1399"/>
      <c r="DO859" s="1399"/>
      <c r="DP859" s="1399"/>
      <c r="DQ859" s="1399"/>
      <c r="DR859" s="1399"/>
      <c r="DS859" s="1399"/>
      <c r="DT859" s="1399"/>
      <c r="DU859" s="1399"/>
    </row>
    <row r="860" spans="1:125">
      <c r="A860" s="1414"/>
      <c r="B860" s="1414"/>
      <c r="C860" s="1414"/>
      <c r="D860" s="1414"/>
      <c r="E860" s="1414"/>
      <c r="F860" s="1414"/>
      <c r="G860" s="1414"/>
      <c r="H860" s="1414"/>
      <c r="I860" s="1414"/>
      <c r="J860" s="1414"/>
      <c r="K860" s="1414"/>
      <c r="L860" s="1414"/>
      <c r="M860" s="1414"/>
      <c r="N860" s="1414"/>
      <c r="O860" s="1414"/>
      <c r="P860" s="1414"/>
      <c r="Q860" s="1414"/>
      <c r="R860" s="1414"/>
      <c r="S860" s="1414"/>
      <c r="T860" s="1414"/>
      <c r="U860" s="1414"/>
      <c r="V860" s="1414"/>
      <c r="W860" s="1414"/>
      <c r="X860" s="1414"/>
      <c r="Y860" s="1414"/>
      <c r="Z860" s="1414"/>
      <c r="AA860" s="1414"/>
      <c r="AB860" s="1414"/>
      <c r="AC860" s="1414"/>
      <c r="AD860" s="1414"/>
      <c r="AE860" s="1414"/>
      <c r="AF860" s="1414"/>
      <c r="AG860" s="1414"/>
      <c r="AH860" s="1414"/>
      <c r="AI860" s="1414"/>
      <c r="AJ860" s="1414"/>
      <c r="AK860" s="1414"/>
      <c r="AL860" s="1414"/>
      <c r="AM860" s="1414"/>
      <c r="AN860" s="1414"/>
      <c r="AO860" s="1414"/>
      <c r="AP860" s="1414"/>
      <c r="AQ860" s="1414"/>
      <c r="AR860" s="1414"/>
      <c r="AS860" s="1414"/>
      <c r="AT860" s="1414"/>
      <c r="AU860" s="1414"/>
      <c r="AV860" s="1414"/>
      <c r="AW860" s="1414"/>
      <c r="AX860" s="1414"/>
      <c r="AY860" s="1399"/>
      <c r="AZ860" s="1399"/>
      <c r="BA860" s="1399"/>
      <c r="BB860" s="1399"/>
      <c r="BC860" s="1399"/>
      <c r="BD860" s="1399"/>
      <c r="BE860" s="1414"/>
      <c r="BF860" s="1399"/>
      <c r="BG860" s="1399"/>
      <c r="BH860" s="1399"/>
      <c r="BI860" s="1399"/>
      <c r="BJ860" s="1399"/>
      <c r="BK860" s="1399"/>
      <c r="BL860" s="1399"/>
      <c r="BM860" s="1399"/>
      <c r="BN860" s="1399"/>
      <c r="BO860" s="1399"/>
      <c r="BP860" s="1399"/>
      <c r="BQ860" s="1399"/>
      <c r="BR860" s="1399"/>
      <c r="BS860" s="1399"/>
      <c r="BT860" s="1399"/>
      <c r="BU860" s="1399"/>
      <c r="BV860" s="1399"/>
      <c r="BW860" s="1399"/>
      <c r="BX860" s="1399"/>
      <c r="BY860" s="1399"/>
      <c r="BZ860" s="1399"/>
      <c r="CA860" s="1399"/>
      <c r="CB860" s="1399"/>
      <c r="CC860" s="1399"/>
      <c r="CD860" s="1399"/>
      <c r="CE860" s="1399"/>
      <c r="CF860" s="1399"/>
      <c r="CG860" s="1399"/>
      <c r="CH860" s="1399"/>
      <c r="CI860" s="1399"/>
      <c r="CJ860" s="1399"/>
      <c r="CK860" s="1399"/>
      <c r="CL860" s="1399"/>
      <c r="CM860" s="1399"/>
      <c r="CN860" s="1399"/>
      <c r="CO860" s="1399"/>
      <c r="CP860" s="1399"/>
      <c r="CQ860" s="1399"/>
      <c r="CR860" s="1399"/>
      <c r="CS860" s="1399"/>
      <c r="CT860" s="1399"/>
      <c r="CU860" s="1399"/>
      <c r="CV860" s="1399"/>
      <c r="CW860" s="1399"/>
      <c r="CX860" s="1399"/>
      <c r="CY860" s="1399"/>
      <c r="CZ860" s="1399"/>
      <c r="DA860" s="1399"/>
      <c r="DB860" s="1399"/>
      <c r="DC860" s="1399"/>
      <c r="DD860" s="1399"/>
      <c r="DE860" s="1399"/>
      <c r="DF860" s="1399"/>
      <c r="DG860" s="1399"/>
      <c r="DH860" s="1399"/>
      <c r="DI860" s="1399"/>
      <c r="DJ860" s="1399"/>
      <c r="DK860" s="1399"/>
      <c r="DL860" s="1399"/>
      <c r="DM860" s="1399"/>
      <c r="DN860" s="1399"/>
      <c r="DO860" s="1399"/>
      <c r="DP860" s="1399"/>
      <c r="DQ860" s="1399"/>
      <c r="DR860" s="1399"/>
      <c r="DS860" s="1399"/>
      <c r="DT860" s="1399"/>
      <c r="DU860" s="1399"/>
    </row>
    <row r="861" spans="1:125">
      <c r="A861" s="1414"/>
      <c r="B861" s="1414"/>
      <c r="C861" s="1414"/>
      <c r="D861" s="1414"/>
      <c r="E861" s="1414"/>
      <c r="F861" s="1414"/>
      <c r="G861" s="1414"/>
      <c r="H861" s="1414"/>
      <c r="I861" s="1414"/>
      <c r="J861" s="1414"/>
      <c r="K861" s="1414"/>
      <c r="L861" s="1414"/>
      <c r="M861" s="1414"/>
      <c r="N861" s="1414"/>
      <c r="O861" s="1414"/>
      <c r="P861" s="1414"/>
      <c r="Q861" s="1414"/>
      <c r="R861" s="1414"/>
      <c r="S861" s="1414"/>
      <c r="T861" s="1414"/>
      <c r="U861" s="1414"/>
      <c r="V861" s="1414"/>
      <c r="W861" s="1414"/>
      <c r="X861" s="1414"/>
      <c r="Y861" s="1414"/>
      <c r="Z861" s="1414"/>
      <c r="AA861" s="1414"/>
      <c r="AB861" s="1414"/>
      <c r="AC861" s="1414"/>
      <c r="AD861" s="1414"/>
      <c r="AE861" s="1414"/>
      <c r="AF861" s="1414"/>
      <c r="AG861" s="1414"/>
      <c r="AH861" s="1414"/>
      <c r="AI861" s="1414"/>
      <c r="AJ861" s="1414"/>
      <c r="AK861" s="1414"/>
      <c r="AL861" s="1414"/>
      <c r="AM861" s="1414"/>
      <c r="AN861" s="1414"/>
      <c r="AO861" s="1414"/>
      <c r="AP861" s="1414"/>
      <c r="AQ861" s="1414"/>
      <c r="AR861" s="1414"/>
      <c r="AS861" s="1414"/>
      <c r="AT861" s="1414"/>
      <c r="AU861" s="1414"/>
      <c r="AV861" s="1414"/>
      <c r="AW861" s="1414"/>
      <c r="AX861" s="1414"/>
      <c r="AY861" s="1399"/>
      <c r="AZ861" s="1399"/>
      <c r="BA861" s="1399"/>
      <c r="BB861" s="1399"/>
      <c r="BC861" s="1399"/>
      <c r="BD861" s="1399"/>
      <c r="BE861" s="1414"/>
      <c r="BF861" s="1399"/>
      <c r="BG861" s="1399"/>
      <c r="BH861" s="1399"/>
      <c r="BI861" s="1399"/>
      <c r="BJ861" s="1399"/>
      <c r="BK861" s="1399"/>
      <c r="BL861" s="1399"/>
      <c r="BM861" s="1399"/>
      <c r="BN861" s="1399"/>
      <c r="BO861" s="1399"/>
      <c r="BP861" s="1399"/>
      <c r="BQ861" s="1399"/>
      <c r="BR861" s="1399"/>
      <c r="BS861" s="1399"/>
      <c r="BT861" s="1399"/>
      <c r="BU861" s="1399"/>
      <c r="BV861" s="1399"/>
      <c r="BW861" s="1399"/>
      <c r="BX861" s="1399"/>
      <c r="BY861" s="1399"/>
      <c r="BZ861" s="1399"/>
      <c r="CA861" s="1399"/>
      <c r="CB861" s="1399"/>
      <c r="CC861" s="1399"/>
      <c r="CD861" s="1399"/>
      <c r="CE861" s="1399"/>
      <c r="CF861" s="1399"/>
      <c r="CG861" s="1399"/>
      <c r="CH861" s="1399"/>
      <c r="CI861" s="1399"/>
      <c r="CJ861" s="1399"/>
      <c r="CK861" s="1399"/>
      <c r="CL861" s="1399"/>
      <c r="CM861" s="1399"/>
      <c r="CN861" s="1399"/>
      <c r="CO861" s="1399"/>
      <c r="CP861" s="1399"/>
      <c r="CQ861" s="1399"/>
      <c r="CR861" s="1399"/>
      <c r="CS861" s="1399"/>
      <c r="CT861" s="1399"/>
      <c r="CU861" s="1399"/>
      <c r="CV861" s="1399"/>
      <c r="CW861" s="1399"/>
      <c r="CX861" s="1399"/>
      <c r="CY861" s="1399"/>
      <c r="CZ861" s="1399"/>
      <c r="DA861" s="1399"/>
      <c r="DB861" s="1399"/>
      <c r="DC861" s="1399"/>
      <c r="DD861" s="1399"/>
      <c r="DE861" s="1399"/>
      <c r="DF861" s="1399"/>
      <c r="DG861" s="1399"/>
      <c r="DH861" s="1399"/>
      <c r="DI861" s="1399"/>
      <c r="DJ861" s="1399"/>
      <c r="DK861" s="1399"/>
      <c r="DL861" s="1399"/>
      <c r="DM861" s="1399"/>
      <c r="DN861" s="1399"/>
      <c r="DO861" s="1399"/>
      <c r="DP861" s="1399"/>
      <c r="DQ861" s="1399"/>
      <c r="DR861" s="1399"/>
      <c r="DS861" s="1399"/>
      <c r="DT861" s="1399"/>
      <c r="DU861" s="1399"/>
    </row>
    <row r="862" spans="1:125">
      <c r="A862" s="1414"/>
      <c r="B862" s="1414"/>
      <c r="C862" s="1414"/>
      <c r="D862" s="1414"/>
      <c r="E862" s="1414"/>
      <c r="F862" s="1414"/>
      <c r="G862" s="1414"/>
      <c r="H862" s="1414"/>
      <c r="I862" s="1414"/>
      <c r="J862" s="1414"/>
      <c r="K862" s="1414"/>
      <c r="L862" s="1414"/>
      <c r="M862" s="1414"/>
      <c r="N862" s="1414"/>
      <c r="O862" s="1414"/>
      <c r="P862" s="1414"/>
      <c r="Q862" s="1414"/>
      <c r="R862" s="1414"/>
      <c r="S862" s="1414"/>
      <c r="T862" s="1414"/>
      <c r="U862" s="1414"/>
      <c r="V862" s="1414"/>
      <c r="W862" s="1414"/>
      <c r="X862" s="1414"/>
      <c r="Y862" s="1414"/>
      <c r="Z862" s="1414"/>
      <c r="AA862" s="1414"/>
      <c r="AB862" s="1414"/>
      <c r="AC862" s="1414"/>
      <c r="AD862" s="1414"/>
      <c r="AE862" s="1414"/>
      <c r="AF862" s="1414"/>
      <c r="AG862" s="1414"/>
      <c r="AH862" s="1414"/>
      <c r="AI862" s="1414"/>
      <c r="AJ862" s="1414"/>
      <c r="AK862" s="1414"/>
      <c r="AL862" s="1414"/>
      <c r="AM862" s="1414"/>
      <c r="AN862" s="1414"/>
      <c r="AO862" s="1414"/>
      <c r="AP862" s="1414"/>
      <c r="AQ862" s="1414"/>
      <c r="AR862" s="1414"/>
      <c r="AS862" s="1414"/>
      <c r="AT862" s="1414"/>
      <c r="AU862" s="1414"/>
      <c r="AV862" s="1414"/>
      <c r="AW862" s="1414"/>
      <c r="AX862" s="1414"/>
      <c r="AY862" s="1399"/>
      <c r="AZ862" s="1399"/>
      <c r="BA862" s="1399"/>
      <c r="BB862" s="1399"/>
      <c r="BC862" s="1399"/>
      <c r="BD862" s="1399"/>
      <c r="BE862" s="1414"/>
      <c r="BF862" s="1399"/>
      <c r="BG862" s="1399"/>
      <c r="BH862" s="1399"/>
      <c r="BI862" s="1399"/>
      <c r="BJ862" s="1399"/>
      <c r="BK862" s="1399"/>
      <c r="BL862" s="1399"/>
      <c r="BM862" s="1399"/>
      <c r="BN862" s="1399"/>
      <c r="BO862" s="1399"/>
      <c r="BP862" s="1399"/>
      <c r="BQ862" s="1399"/>
      <c r="BR862" s="1399"/>
      <c r="BS862" s="1399"/>
      <c r="BT862" s="1399"/>
      <c r="BU862" s="1399"/>
      <c r="BV862" s="1399"/>
      <c r="BW862" s="1399"/>
      <c r="BX862" s="1399"/>
      <c r="BY862" s="1399"/>
      <c r="BZ862" s="1399"/>
      <c r="CA862" s="1399"/>
      <c r="CB862" s="1399"/>
      <c r="CC862" s="1399"/>
      <c r="CD862" s="1399"/>
      <c r="CE862" s="1399"/>
      <c r="CF862" s="1399"/>
      <c r="CG862" s="1399"/>
      <c r="CH862" s="1399"/>
      <c r="CI862" s="1399"/>
      <c r="CJ862" s="1399"/>
      <c r="CK862" s="1399"/>
      <c r="CL862" s="1399"/>
      <c r="CM862" s="1399"/>
      <c r="CN862" s="1399"/>
      <c r="CO862" s="1399"/>
      <c r="CP862" s="1399"/>
      <c r="CQ862" s="1399"/>
      <c r="CR862" s="1399"/>
      <c r="CS862" s="1399"/>
      <c r="CT862" s="1399"/>
      <c r="CU862" s="1399"/>
      <c r="CV862" s="1399"/>
      <c r="CW862" s="1399"/>
      <c r="CX862" s="1399"/>
      <c r="CY862" s="1399"/>
      <c r="CZ862" s="1399"/>
      <c r="DA862" s="1399"/>
      <c r="DB862" s="1399"/>
      <c r="DC862" s="1399"/>
      <c r="DD862" s="1399"/>
      <c r="DE862" s="1399"/>
      <c r="DF862" s="1399"/>
      <c r="DG862" s="1399"/>
      <c r="DH862" s="1399"/>
      <c r="DI862" s="1399"/>
      <c r="DJ862" s="1399"/>
      <c r="DK862" s="1399"/>
      <c r="DL862" s="1399"/>
      <c r="DM862" s="1399"/>
      <c r="DN862" s="1399"/>
      <c r="DO862" s="1399"/>
      <c r="DP862" s="1399"/>
      <c r="DQ862" s="1399"/>
      <c r="DR862" s="1399"/>
      <c r="DS862" s="1399"/>
      <c r="DT862" s="1399"/>
      <c r="DU862" s="1399"/>
    </row>
    <row r="863" spans="1:125">
      <c r="A863" s="1414"/>
      <c r="B863" s="1414"/>
      <c r="C863" s="1414"/>
      <c r="D863" s="1414"/>
      <c r="E863" s="1414"/>
      <c r="F863" s="1414"/>
      <c r="G863" s="1414"/>
      <c r="H863" s="1414"/>
      <c r="I863" s="1414"/>
      <c r="J863" s="1414"/>
      <c r="K863" s="1414"/>
      <c r="L863" s="1414"/>
      <c r="M863" s="1414"/>
      <c r="N863" s="1414"/>
      <c r="O863" s="1414"/>
      <c r="P863" s="1414"/>
      <c r="Q863" s="1414"/>
      <c r="R863" s="1414"/>
      <c r="S863" s="1414"/>
      <c r="T863" s="1414"/>
      <c r="U863" s="1414"/>
      <c r="V863" s="1414"/>
      <c r="W863" s="1414"/>
      <c r="X863" s="1414"/>
      <c r="Y863" s="1414"/>
      <c r="Z863" s="1414"/>
      <c r="AA863" s="1414"/>
      <c r="AB863" s="1414"/>
      <c r="AC863" s="1414"/>
      <c r="AD863" s="1414"/>
      <c r="AE863" s="1414"/>
      <c r="AF863" s="1414"/>
      <c r="AG863" s="1414"/>
      <c r="AH863" s="1414"/>
      <c r="AI863" s="1414"/>
      <c r="AJ863" s="1414"/>
      <c r="AK863" s="1414"/>
      <c r="AL863" s="1414"/>
      <c r="AM863" s="1414"/>
      <c r="AN863" s="1414"/>
      <c r="AO863" s="1414"/>
      <c r="AP863" s="1414"/>
      <c r="AQ863" s="1414"/>
      <c r="AR863" s="1414"/>
      <c r="AS863" s="1414"/>
      <c r="AT863" s="1414"/>
      <c r="AU863" s="1414"/>
      <c r="AV863" s="1414"/>
      <c r="AW863" s="1414"/>
      <c r="AX863" s="1414"/>
      <c r="AY863" s="1399"/>
      <c r="AZ863" s="1399"/>
      <c r="BA863" s="1399"/>
      <c r="BB863" s="1399"/>
      <c r="BC863" s="1399"/>
      <c r="BD863" s="1399"/>
      <c r="BE863" s="1414"/>
      <c r="BF863" s="1399"/>
      <c r="BG863" s="1399"/>
      <c r="BH863" s="1399"/>
      <c r="BI863" s="1399"/>
      <c r="BJ863" s="1399"/>
      <c r="BK863" s="1399"/>
      <c r="BL863" s="1399"/>
      <c r="BM863" s="1399"/>
      <c r="BN863" s="1399"/>
      <c r="BO863" s="1399"/>
      <c r="BP863" s="1399"/>
      <c r="BQ863" s="1399"/>
      <c r="BR863" s="1399"/>
      <c r="BS863" s="1399"/>
      <c r="BT863" s="1399"/>
      <c r="BU863" s="1399"/>
      <c r="BV863" s="1399"/>
      <c r="BW863" s="1399"/>
      <c r="BX863" s="1399"/>
      <c r="BY863" s="1399"/>
      <c r="BZ863" s="1399"/>
      <c r="CA863" s="1399"/>
      <c r="CB863" s="1399"/>
      <c r="CC863" s="1399"/>
      <c r="CD863" s="1399"/>
      <c r="CE863" s="1399"/>
      <c r="CF863" s="1399"/>
      <c r="CG863" s="1399"/>
      <c r="CH863" s="1399"/>
      <c r="CI863" s="1399"/>
      <c r="CJ863" s="1399"/>
      <c r="CK863" s="1399"/>
      <c r="CL863" s="1399"/>
      <c r="CM863" s="1399"/>
      <c r="CN863" s="1399"/>
      <c r="CO863" s="1399"/>
      <c r="CP863" s="1399"/>
      <c r="CQ863" s="1399"/>
      <c r="CR863" s="1399"/>
      <c r="CS863" s="1399"/>
      <c r="CT863" s="1399"/>
      <c r="CU863" s="1399"/>
      <c r="CV863" s="1399"/>
      <c r="CW863" s="1399"/>
      <c r="CX863" s="1399"/>
      <c r="CY863" s="1399"/>
      <c r="CZ863" s="1399"/>
      <c r="DA863" s="1399"/>
      <c r="DB863" s="1399"/>
      <c r="DC863" s="1399"/>
      <c r="DD863" s="1399"/>
      <c r="DE863" s="1399"/>
      <c r="DF863" s="1399"/>
      <c r="DG863" s="1399"/>
      <c r="DH863" s="1399"/>
      <c r="DI863" s="1399"/>
      <c r="DJ863" s="1399"/>
      <c r="DK863" s="1399"/>
      <c r="DL863" s="1399"/>
      <c r="DM863" s="1399"/>
      <c r="DN863" s="1399"/>
      <c r="DO863" s="1399"/>
      <c r="DP863" s="1399"/>
      <c r="DQ863" s="1399"/>
      <c r="DR863" s="1399"/>
      <c r="DS863" s="1399"/>
      <c r="DT863" s="1399"/>
      <c r="DU863" s="1399"/>
    </row>
    <row r="864" spans="1:125">
      <c r="A864" s="1414"/>
      <c r="B864" s="1414"/>
      <c r="C864" s="1414"/>
      <c r="D864" s="1414"/>
      <c r="E864" s="1414"/>
      <c r="F864" s="1414"/>
      <c r="G864" s="1414"/>
      <c r="H864" s="1414"/>
      <c r="I864" s="1414"/>
      <c r="J864" s="1414"/>
      <c r="K864" s="1414"/>
      <c r="L864" s="1414"/>
      <c r="M864" s="1414"/>
      <c r="N864" s="1414"/>
      <c r="O864" s="1414"/>
      <c r="P864" s="1414"/>
      <c r="Q864" s="1414"/>
      <c r="R864" s="1414"/>
      <c r="S864" s="1414"/>
      <c r="T864" s="1414"/>
      <c r="U864" s="1414"/>
      <c r="V864" s="1414"/>
      <c r="W864" s="1414"/>
      <c r="X864" s="1414"/>
      <c r="Y864" s="1414"/>
      <c r="Z864" s="1414"/>
      <c r="AA864" s="1414"/>
      <c r="AB864" s="1414"/>
      <c r="AC864" s="1414"/>
      <c r="AD864" s="1414"/>
      <c r="AE864" s="1414"/>
      <c r="AF864" s="1414"/>
      <c r="AG864" s="1414"/>
      <c r="AH864" s="1414"/>
      <c r="AI864" s="1414"/>
      <c r="AJ864" s="1414"/>
      <c r="AK864" s="1414"/>
      <c r="AL864" s="1414"/>
      <c r="AM864" s="1414"/>
      <c r="AN864" s="1414"/>
      <c r="AO864" s="1414"/>
      <c r="AP864" s="1414"/>
      <c r="AQ864" s="1414"/>
      <c r="AR864" s="1414"/>
      <c r="AS864" s="1414"/>
      <c r="AT864" s="1414"/>
      <c r="AU864" s="1414"/>
      <c r="AV864" s="1414"/>
      <c r="AW864" s="1414"/>
      <c r="AX864" s="1414"/>
      <c r="AY864" s="1399"/>
      <c r="AZ864" s="1399"/>
      <c r="BA864" s="1399"/>
      <c r="BB864" s="1399"/>
      <c r="BC864" s="1399"/>
      <c r="BD864" s="1399"/>
      <c r="BE864" s="1414"/>
      <c r="BF864" s="1399"/>
      <c r="BG864" s="1399"/>
      <c r="BH864" s="1399"/>
      <c r="BI864" s="1399"/>
      <c r="BJ864" s="1399"/>
      <c r="BK864" s="1399"/>
      <c r="BL864" s="1399"/>
      <c r="BM864" s="1399"/>
      <c r="BN864" s="1399"/>
      <c r="BO864" s="1399"/>
      <c r="BP864" s="1399"/>
      <c r="BQ864" s="1399"/>
      <c r="BR864" s="1399"/>
      <c r="BS864" s="1399"/>
      <c r="BT864" s="1399"/>
      <c r="BU864" s="1399"/>
      <c r="BV864" s="1399"/>
      <c r="BW864" s="1399"/>
      <c r="BX864" s="1399"/>
      <c r="BY864" s="1399"/>
      <c r="BZ864" s="1399"/>
      <c r="CA864" s="1399"/>
      <c r="CB864" s="1399"/>
      <c r="CC864" s="1399"/>
      <c r="CD864" s="1399"/>
      <c r="CE864" s="1399"/>
      <c r="CF864" s="1399"/>
      <c r="CG864" s="1399"/>
      <c r="CH864" s="1399"/>
      <c r="CI864" s="1399"/>
      <c r="CJ864" s="1399"/>
      <c r="CK864" s="1399"/>
      <c r="CL864" s="1399"/>
      <c r="CM864" s="1399"/>
      <c r="CN864" s="1399"/>
      <c r="CO864" s="1399"/>
      <c r="CP864" s="1399"/>
      <c r="CQ864" s="1399"/>
      <c r="CR864" s="1399"/>
      <c r="CS864" s="1399"/>
      <c r="CT864" s="1399"/>
      <c r="CU864" s="1399"/>
      <c r="CV864" s="1399"/>
      <c r="CW864" s="1399"/>
      <c r="CX864" s="1399"/>
      <c r="CY864" s="1399"/>
      <c r="CZ864" s="1399"/>
      <c r="DA864" s="1399"/>
      <c r="DB864" s="1399"/>
      <c r="DC864" s="1399"/>
      <c r="DD864" s="1399"/>
      <c r="DE864" s="1399"/>
      <c r="DF864" s="1399"/>
      <c r="DG864" s="1399"/>
      <c r="DH864" s="1399"/>
      <c r="DI864" s="1399"/>
      <c r="DJ864" s="1399"/>
      <c r="DK864" s="1399"/>
      <c r="DL864" s="1399"/>
      <c r="DM864" s="1399"/>
      <c r="DN864" s="1399"/>
      <c r="DO864" s="1399"/>
      <c r="DP864" s="1399"/>
      <c r="DQ864" s="1399"/>
      <c r="DR864" s="1399"/>
      <c r="DS864" s="1399"/>
      <c r="DT864" s="1399"/>
      <c r="DU864" s="1399"/>
    </row>
    <row r="865" spans="1:125">
      <c r="A865" s="1414"/>
      <c r="B865" s="1414"/>
      <c r="C865" s="1414"/>
      <c r="D865" s="1414"/>
      <c r="E865" s="1414"/>
      <c r="F865" s="1414"/>
      <c r="G865" s="1414"/>
      <c r="H865" s="1414"/>
      <c r="I865" s="1414"/>
      <c r="J865" s="1414"/>
      <c r="K865" s="1414"/>
      <c r="L865" s="1414"/>
      <c r="M865" s="1414"/>
      <c r="N865" s="1414"/>
      <c r="O865" s="1414"/>
      <c r="P865" s="1414"/>
      <c r="Q865" s="1414"/>
      <c r="R865" s="1414"/>
      <c r="S865" s="1414"/>
      <c r="T865" s="1414"/>
      <c r="U865" s="1414"/>
      <c r="V865" s="1414"/>
      <c r="W865" s="1414"/>
      <c r="X865" s="1414"/>
      <c r="Y865" s="1414"/>
      <c r="Z865" s="1414"/>
      <c r="AA865" s="1414"/>
      <c r="AB865" s="1414"/>
      <c r="AC865" s="1414"/>
      <c r="AD865" s="1414"/>
      <c r="AE865" s="1414"/>
      <c r="AF865" s="1414"/>
      <c r="AG865" s="1414"/>
      <c r="AH865" s="1414"/>
      <c r="AI865" s="1414"/>
      <c r="AJ865" s="1414"/>
      <c r="AK865" s="1414"/>
      <c r="AL865" s="1414"/>
      <c r="AM865" s="1414"/>
      <c r="AN865" s="1414"/>
      <c r="AO865" s="1414"/>
      <c r="AP865" s="1414"/>
      <c r="AQ865" s="1414"/>
      <c r="AR865" s="1414"/>
      <c r="AS865" s="1414"/>
      <c r="AT865" s="1414"/>
      <c r="AU865" s="1414"/>
      <c r="AV865" s="1414"/>
      <c r="AW865" s="1414"/>
      <c r="AX865" s="1414"/>
      <c r="AY865" s="1399"/>
      <c r="AZ865" s="1399"/>
      <c r="BA865" s="1399"/>
      <c r="BB865" s="1399"/>
      <c r="BC865" s="1399"/>
      <c r="BD865" s="1399"/>
      <c r="BE865" s="1414"/>
      <c r="BF865" s="1399"/>
      <c r="BG865" s="1399"/>
      <c r="BH865" s="1399"/>
      <c r="BI865" s="1399"/>
      <c r="BJ865" s="1399"/>
      <c r="BK865" s="1399"/>
      <c r="BL865" s="1399"/>
      <c r="BM865" s="1399"/>
      <c r="BN865" s="1399"/>
      <c r="BO865" s="1399"/>
      <c r="BP865" s="1399"/>
      <c r="BQ865" s="1399"/>
      <c r="BR865" s="1399"/>
      <c r="BS865" s="1399"/>
      <c r="BT865" s="1399"/>
      <c r="BU865" s="1399"/>
      <c r="BV865" s="1399"/>
      <c r="BW865" s="1399"/>
      <c r="BX865" s="1399"/>
      <c r="BY865" s="1399"/>
      <c r="BZ865" s="1399"/>
      <c r="CA865" s="1399"/>
      <c r="CB865" s="1399"/>
      <c r="CC865" s="1399"/>
      <c r="CD865" s="1399"/>
      <c r="CE865" s="1399"/>
      <c r="CF865" s="1399"/>
      <c r="CG865" s="1399"/>
      <c r="CH865" s="1399"/>
      <c r="CI865" s="1399"/>
      <c r="CJ865" s="1399"/>
      <c r="CK865" s="1399"/>
      <c r="CL865" s="1399"/>
      <c r="CM865" s="1399"/>
      <c r="CN865" s="1399"/>
      <c r="CO865" s="1399"/>
      <c r="CP865" s="1399"/>
      <c r="CQ865" s="1399"/>
      <c r="CR865" s="1399"/>
      <c r="CS865" s="1399"/>
      <c r="CT865" s="1399"/>
      <c r="CU865" s="1399"/>
      <c r="CV865" s="1399"/>
      <c r="CW865" s="1399"/>
      <c r="CX865" s="1399"/>
      <c r="CY865" s="1399"/>
      <c r="CZ865" s="1399"/>
      <c r="DA865" s="1399"/>
      <c r="DB865" s="1399"/>
      <c r="DC865" s="1399"/>
      <c r="DD865" s="1399"/>
      <c r="DE865" s="1399"/>
      <c r="DF865" s="1399"/>
      <c r="DG865" s="1399"/>
      <c r="DH865" s="1399"/>
      <c r="DI865" s="1399"/>
      <c r="DJ865" s="1399"/>
      <c r="DK865" s="1399"/>
      <c r="DL865" s="1399"/>
      <c r="DM865" s="1399"/>
      <c r="DN865" s="1399"/>
      <c r="DO865" s="1399"/>
      <c r="DP865" s="1399"/>
      <c r="DQ865" s="1399"/>
      <c r="DR865" s="1399"/>
      <c r="DS865" s="1399"/>
      <c r="DT865" s="1399"/>
      <c r="DU865" s="1399"/>
    </row>
    <row r="866" spans="1:125">
      <c r="A866" s="1414"/>
      <c r="B866" s="1414"/>
      <c r="C866" s="1414"/>
      <c r="D866" s="1414"/>
      <c r="E866" s="1414"/>
      <c r="F866" s="1414"/>
      <c r="G866" s="1414"/>
      <c r="H866" s="1414"/>
      <c r="I866" s="1414"/>
      <c r="J866" s="1414"/>
      <c r="K866" s="1414"/>
      <c r="L866" s="1414"/>
      <c r="M866" s="1414"/>
      <c r="N866" s="1414"/>
      <c r="O866" s="1414"/>
      <c r="P866" s="1414"/>
      <c r="Q866" s="1414"/>
      <c r="R866" s="1414"/>
      <c r="S866" s="1414"/>
      <c r="T866" s="1414"/>
      <c r="U866" s="1414"/>
      <c r="V866" s="1414"/>
      <c r="W866" s="1414"/>
      <c r="X866" s="1414"/>
      <c r="Y866" s="1414"/>
      <c r="Z866" s="1414"/>
      <c r="AA866" s="1414"/>
      <c r="AB866" s="1414"/>
      <c r="AC866" s="1414"/>
      <c r="AD866" s="1414"/>
      <c r="AE866" s="1414"/>
      <c r="AF866" s="1414"/>
      <c r="AG866" s="1414"/>
      <c r="AH866" s="1414"/>
      <c r="AI866" s="1414"/>
      <c r="AJ866" s="1414"/>
      <c r="AK866" s="1414"/>
      <c r="AL866" s="1414"/>
      <c r="AM866" s="1414"/>
      <c r="AN866" s="1414"/>
      <c r="AO866" s="1414"/>
      <c r="AP866" s="1414"/>
      <c r="AQ866" s="1414"/>
      <c r="AR866" s="1414"/>
      <c r="AS866" s="1414"/>
      <c r="AT866" s="1414"/>
      <c r="AU866" s="1414"/>
      <c r="AV866" s="1414"/>
      <c r="AW866" s="1414"/>
      <c r="AX866" s="1414"/>
      <c r="AY866" s="1399"/>
      <c r="AZ866" s="1399"/>
      <c r="BA866" s="1399"/>
      <c r="BB866" s="1399"/>
      <c r="BC866" s="1399"/>
      <c r="BD866" s="1399"/>
      <c r="BE866" s="1414"/>
      <c r="BF866" s="1399"/>
      <c r="BG866" s="1399"/>
      <c r="BH866" s="1399"/>
      <c r="BI866" s="1399"/>
      <c r="BJ866" s="1399"/>
      <c r="BK866" s="1399"/>
      <c r="BL866" s="1399"/>
      <c r="BM866" s="1399"/>
      <c r="BN866" s="1399"/>
      <c r="BO866" s="1399"/>
      <c r="BP866" s="1399"/>
      <c r="BQ866" s="1399"/>
      <c r="BR866" s="1399"/>
      <c r="BS866" s="1399"/>
      <c r="BT866" s="1399"/>
      <c r="BU866" s="1399"/>
      <c r="BV866" s="1399"/>
      <c r="BW866" s="1399"/>
      <c r="BX866" s="1399"/>
      <c r="BY866" s="1399"/>
      <c r="BZ866" s="1399"/>
      <c r="CA866" s="1399"/>
      <c r="CB866" s="1399"/>
      <c r="CC866" s="1399"/>
      <c r="CD866" s="1399"/>
      <c r="CE866" s="1399"/>
      <c r="CF866" s="1399"/>
      <c r="CG866" s="1399"/>
      <c r="CH866" s="1399"/>
      <c r="CI866" s="1399"/>
      <c r="CJ866" s="1399"/>
      <c r="CK866" s="1399"/>
      <c r="CL866" s="1399"/>
      <c r="CM866" s="1399"/>
      <c r="CN866" s="1399"/>
      <c r="CO866" s="1399"/>
      <c r="CP866" s="1399"/>
      <c r="CQ866" s="1399"/>
      <c r="CR866" s="1399"/>
      <c r="CS866" s="1399"/>
      <c r="CT866" s="1399"/>
      <c r="CU866" s="1399"/>
      <c r="CV866" s="1399"/>
      <c r="CW866" s="1399"/>
      <c r="CX866" s="1399"/>
      <c r="CY866" s="1399"/>
      <c r="CZ866" s="1399"/>
      <c r="DA866" s="1399"/>
      <c r="DB866" s="1399"/>
      <c r="DC866" s="1399"/>
      <c r="DD866" s="1399"/>
      <c r="DE866" s="1399"/>
      <c r="DF866" s="1399"/>
      <c r="DG866" s="1399"/>
      <c r="DH866" s="1399"/>
      <c r="DI866" s="1399"/>
      <c r="DJ866" s="1399"/>
      <c r="DK866" s="1399"/>
      <c r="DL866" s="1399"/>
      <c r="DM866" s="1399"/>
      <c r="DN866" s="1399"/>
      <c r="DO866" s="1399"/>
      <c r="DP866" s="1399"/>
      <c r="DQ866" s="1399"/>
      <c r="DR866" s="1399"/>
      <c r="DS866" s="1399"/>
      <c r="DT866" s="1399"/>
      <c r="DU866" s="1399"/>
    </row>
    <row r="867" spans="1:125">
      <c r="A867" s="1414"/>
      <c r="B867" s="1414"/>
      <c r="C867" s="1414"/>
      <c r="D867" s="1414"/>
      <c r="E867" s="1414"/>
      <c r="F867" s="1414"/>
      <c r="G867" s="1414"/>
      <c r="H867" s="1414"/>
      <c r="I867" s="1414"/>
      <c r="J867" s="1414"/>
      <c r="K867" s="1414"/>
      <c r="L867" s="1414"/>
      <c r="M867" s="1414"/>
      <c r="N867" s="1414"/>
      <c r="O867" s="1414"/>
      <c r="P867" s="1414"/>
      <c r="Q867" s="1414"/>
      <c r="R867" s="1414"/>
      <c r="S867" s="1414"/>
      <c r="T867" s="1414"/>
      <c r="U867" s="1414"/>
      <c r="V867" s="1414"/>
      <c r="W867" s="1414"/>
      <c r="X867" s="1414"/>
      <c r="Y867" s="1414"/>
      <c r="Z867" s="1414"/>
      <c r="AA867" s="1414"/>
      <c r="AB867" s="1414"/>
      <c r="AC867" s="1414"/>
      <c r="AD867" s="1414"/>
      <c r="AE867" s="1414"/>
      <c r="AF867" s="1414"/>
      <c r="AG867" s="1414"/>
      <c r="AH867" s="1414"/>
      <c r="AI867" s="1414"/>
      <c r="AJ867" s="1414"/>
      <c r="AK867" s="1414"/>
      <c r="AL867" s="1414"/>
      <c r="AM867" s="1414"/>
      <c r="AN867" s="1414"/>
      <c r="AO867" s="1414"/>
      <c r="AP867" s="1414"/>
      <c r="AQ867" s="1414"/>
      <c r="AR867" s="1414"/>
      <c r="AS867" s="1414"/>
      <c r="AT867" s="1414"/>
      <c r="AU867" s="1414"/>
      <c r="AV867" s="1414"/>
      <c r="AW867" s="1414"/>
      <c r="AX867" s="1414"/>
      <c r="AY867" s="1399"/>
      <c r="AZ867" s="1399"/>
      <c r="BA867" s="1399"/>
      <c r="BB867" s="1399"/>
      <c r="BC867" s="1399"/>
      <c r="BD867" s="1399"/>
      <c r="BE867" s="1414"/>
      <c r="BF867" s="1399"/>
      <c r="BG867" s="1399"/>
      <c r="BH867" s="1399"/>
      <c r="BI867" s="1399"/>
      <c r="BJ867" s="1399"/>
      <c r="BK867" s="1399"/>
      <c r="BL867" s="1399"/>
      <c r="BM867" s="1399"/>
      <c r="BN867" s="1399"/>
      <c r="BO867" s="1399"/>
      <c r="BP867" s="1399"/>
      <c r="BQ867" s="1399"/>
      <c r="BR867" s="1399"/>
      <c r="BS867" s="1399"/>
      <c r="BT867" s="1399"/>
      <c r="BU867" s="1399"/>
      <c r="BV867" s="1399"/>
      <c r="BW867" s="1399"/>
      <c r="BX867" s="1399"/>
      <c r="BY867" s="1399"/>
      <c r="BZ867" s="1399"/>
      <c r="CA867" s="1399"/>
      <c r="CB867" s="1399"/>
      <c r="CC867" s="1399"/>
      <c r="CD867" s="1399"/>
      <c r="CE867" s="1399"/>
      <c r="CF867" s="1399"/>
      <c r="CG867" s="1399"/>
      <c r="CH867" s="1399"/>
      <c r="CI867" s="1399"/>
      <c r="CJ867" s="1399"/>
      <c r="CK867" s="1399"/>
      <c r="CL867" s="1399"/>
      <c r="CM867" s="1399"/>
      <c r="CN867" s="1399"/>
      <c r="CO867" s="1399"/>
      <c r="CP867" s="1399"/>
      <c r="CQ867" s="1399"/>
      <c r="CR867" s="1399"/>
      <c r="CS867" s="1399"/>
      <c r="CT867" s="1399"/>
      <c r="CU867" s="1399"/>
      <c r="CV867" s="1399"/>
      <c r="CW867" s="1399"/>
      <c r="CX867" s="1399"/>
      <c r="CY867" s="1399"/>
      <c r="CZ867" s="1399"/>
      <c r="DA867" s="1399"/>
      <c r="DB867" s="1399"/>
      <c r="DC867" s="1399"/>
      <c r="DD867" s="1399"/>
      <c r="DE867" s="1399"/>
      <c r="DF867" s="1399"/>
      <c r="DG867" s="1399"/>
      <c r="DH867" s="1399"/>
      <c r="DI867" s="1399"/>
      <c r="DJ867" s="1399"/>
      <c r="DK867" s="1399"/>
      <c r="DL867" s="1399"/>
      <c r="DM867" s="1399"/>
      <c r="DN867" s="1399"/>
      <c r="DO867" s="1399"/>
      <c r="DP867" s="1399"/>
      <c r="DQ867" s="1399"/>
      <c r="DR867" s="1399"/>
      <c r="DS867" s="1399"/>
      <c r="DT867" s="1399"/>
      <c r="DU867" s="1399"/>
    </row>
    <row r="868" spans="1:125">
      <c r="A868" s="1414"/>
      <c r="B868" s="1414"/>
      <c r="C868" s="1414"/>
      <c r="D868" s="1414"/>
      <c r="E868" s="1414"/>
      <c r="F868" s="1414"/>
      <c r="G868" s="1414"/>
      <c r="H868" s="1414"/>
      <c r="I868" s="1414"/>
      <c r="J868" s="1414"/>
      <c r="K868" s="1414"/>
      <c r="L868" s="1414"/>
      <c r="M868" s="1414"/>
      <c r="N868" s="1414"/>
      <c r="O868" s="1414"/>
      <c r="P868" s="1414"/>
      <c r="Q868" s="1414"/>
      <c r="R868" s="1414"/>
      <c r="S868" s="1414"/>
      <c r="T868" s="1414"/>
      <c r="U868" s="1414"/>
      <c r="V868" s="1414"/>
      <c r="W868" s="1414"/>
      <c r="X868" s="1414"/>
      <c r="Y868" s="1414"/>
      <c r="Z868" s="1414"/>
      <c r="AA868" s="1414"/>
      <c r="AB868" s="1414"/>
      <c r="AC868" s="1414"/>
      <c r="AD868" s="1414"/>
      <c r="AE868" s="1414"/>
      <c r="AF868" s="1414"/>
      <c r="AG868" s="1414"/>
      <c r="AH868" s="1414"/>
      <c r="AI868" s="1414"/>
      <c r="AJ868" s="1414"/>
      <c r="AK868" s="1414"/>
      <c r="AL868" s="1414"/>
      <c r="AM868" s="1414"/>
      <c r="AN868" s="1414"/>
      <c r="AO868" s="1414"/>
      <c r="AP868" s="1414"/>
      <c r="AQ868" s="1414"/>
      <c r="AR868" s="1414"/>
      <c r="AS868" s="1414"/>
      <c r="AT868" s="1414"/>
      <c r="AU868" s="1414"/>
      <c r="AV868" s="1414"/>
      <c r="AW868" s="1414"/>
      <c r="AX868" s="1414"/>
      <c r="AY868" s="1399"/>
      <c r="AZ868" s="1399"/>
      <c r="BA868" s="1399"/>
      <c r="BB868" s="1399"/>
      <c r="BC868" s="1399"/>
      <c r="BD868" s="1399"/>
      <c r="BE868" s="1414"/>
      <c r="BF868" s="1399"/>
      <c r="BG868" s="1399"/>
      <c r="BH868" s="1399"/>
      <c r="BI868" s="1399"/>
      <c r="BJ868" s="1399"/>
      <c r="BK868" s="1399"/>
      <c r="BL868" s="1399"/>
      <c r="BM868" s="1399"/>
      <c r="BN868" s="1399"/>
      <c r="BO868" s="1399"/>
      <c r="BP868" s="1399"/>
      <c r="BQ868" s="1399"/>
      <c r="BR868" s="1399"/>
      <c r="BS868" s="1399"/>
      <c r="BT868" s="1399"/>
      <c r="BU868" s="1399"/>
      <c r="BV868" s="1399"/>
      <c r="BW868" s="1399"/>
      <c r="BX868" s="1399"/>
      <c r="BY868" s="1399"/>
      <c r="BZ868" s="1399"/>
      <c r="CA868" s="1399"/>
      <c r="CB868" s="1399"/>
      <c r="CC868" s="1399"/>
      <c r="CD868" s="1399"/>
      <c r="CE868" s="1399"/>
      <c r="CF868" s="1399"/>
      <c r="CG868" s="1399"/>
      <c r="CH868" s="1399"/>
      <c r="CI868" s="1399"/>
      <c r="CJ868" s="1399"/>
      <c r="CK868" s="1399"/>
      <c r="CL868" s="1399"/>
      <c r="CM868" s="1399"/>
      <c r="CN868" s="1399"/>
      <c r="CO868" s="1399"/>
      <c r="CP868" s="1399"/>
      <c r="CQ868" s="1399"/>
      <c r="CR868" s="1399"/>
      <c r="CS868" s="1399"/>
      <c r="CT868" s="1399"/>
      <c r="CU868" s="1399"/>
      <c r="CV868" s="1399"/>
      <c r="CW868" s="1399"/>
      <c r="CX868" s="1399"/>
      <c r="CY868" s="1399"/>
      <c r="CZ868" s="1399"/>
      <c r="DA868" s="1399"/>
      <c r="DB868" s="1399"/>
      <c r="DC868" s="1399"/>
      <c r="DD868" s="1399"/>
      <c r="DE868" s="1399"/>
      <c r="DF868" s="1399"/>
      <c r="DG868" s="1399"/>
      <c r="DH868" s="1399"/>
      <c r="DI868" s="1399"/>
      <c r="DJ868" s="1399"/>
      <c r="DK868" s="1399"/>
      <c r="DL868" s="1399"/>
      <c r="DM868" s="1399"/>
      <c r="DN868" s="1399"/>
      <c r="DO868" s="1399"/>
      <c r="DP868" s="1399"/>
      <c r="DQ868" s="1399"/>
      <c r="DR868" s="1399"/>
      <c r="DS868" s="1399"/>
      <c r="DT868" s="1399"/>
      <c r="DU868" s="1399"/>
    </row>
    <row r="869" spans="1:125">
      <c r="A869" s="1414"/>
      <c r="B869" s="1414"/>
      <c r="C869" s="1414"/>
      <c r="D869" s="1414"/>
      <c r="E869" s="1414"/>
      <c r="F869" s="1414"/>
      <c r="G869" s="1414"/>
      <c r="H869" s="1414"/>
      <c r="I869" s="1414"/>
      <c r="J869" s="1414"/>
      <c r="K869" s="1414"/>
      <c r="L869" s="1414"/>
      <c r="M869" s="1414"/>
      <c r="N869" s="1414"/>
      <c r="O869" s="1414"/>
      <c r="P869" s="1414"/>
      <c r="Q869" s="1414"/>
      <c r="R869" s="1414"/>
      <c r="S869" s="1414"/>
      <c r="T869" s="1414"/>
      <c r="U869" s="1414"/>
      <c r="V869" s="1414"/>
      <c r="W869" s="1414"/>
      <c r="X869" s="1414"/>
      <c r="Y869" s="1414"/>
      <c r="Z869" s="1414"/>
      <c r="AA869" s="1414"/>
      <c r="AB869" s="1414"/>
      <c r="AC869" s="1414"/>
      <c r="AD869" s="1414"/>
      <c r="AE869" s="1414"/>
      <c r="AF869" s="1414"/>
      <c r="AG869" s="1414"/>
      <c r="AH869" s="1414"/>
      <c r="AI869" s="1414"/>
      <c r="AJ869" s="1414"/>
      <c r="AK869" s="1414"/>
      <c r="AL869" s="1414"/>
      <c r="AM869" s="1414"/>
      <c r="AN869" s="1414"/>
      <c r="AO869" s="1414"/>
      <c r="AP869" s="1414"/>
      <c r="AQ869" s="1414"/>
      <c r="AR869" s="1414"/>
      <c r="AS869" s="1414"/>
      <c r="AT869" s="1414"/>
      <c r="AU869" s="1414"/>
      <c r="AV869" s="1414"/>
      <c r="AW869" s="1414"/>
      <c r="AX869" s="1414"/>
      <c r="AY869" s="1399"/>
      <c r="AZ869" s="1399"/>
      <c r="BA869" s="1399"/>
      <c r="BB869" s="1399"/>
      <c r="BC869" s="1399"/>
      <c r="BD869" s="1399"/>
      <c r="BE869" s="1414"/>
      <c r="BF869" s="1399"/>
      <c r="BG869" s="1399"/>
      <c r="BH869" s="1399"/>
      <c r="BI869" s="1399"/>
      <c r="BJ869" s="1399"/>
      <c r="BK869" s="1399"/>
      <c r="BL869" s="1399"/>
      <c r="BM869" s="1399"/>
      <c r="BN869" s="1399"/>
      <c r="BO869" s="1399"/>
      <c r="BP869" s="1399"/>
      <c r="BQ869" s="1399"/>
      <c r="BR869" s="1399"/>
      <c r="BS869" s="1399"/>
      <c r="BT869" s="1399"/>
      <c r="BU869" s="1399"/>
      <c r="BV869" s="1399"/>
      <c r="BW869" s="1399"/>
      <c r="BX869" s="1399"/>
      <c r="BY869" s="1399"/>
      <c r="BZ869" s="1399"/>
      <c r="CA869" s="1399"/>
      <c r="CB869" s="1399"/>
      <c r="CC869" s="1399"/>
      <c r="CD869" s="1399"/>
      <c r="CE869" s="1399"/>
      <c r="CF869" s="1399"/>
      <c r="CG869" s="1399"/>
      <c r="CH869" s="1399"/>
      <c r="CI869" s="1399"/>
      <c r="CJ869" s="1399"/>
      <c r="CK869" s="1399"/>
      <c r="CL869" s="1399"/>
      <c r="CM869" s="1399"/>
      <c r="CN869" s="1399"/>
      <c r="CO869" s="1399"/>
      <c r="CP869" s="1399"/>
      <c r="CQ869" s="1399"/>
      <c r="CR869" s="1399"/>
      <c r="CS869" s="1399"/>
      <c r="CT869" s="1399"/>
      <c r="CU869" s="1399"/>
      <c r="CV869" s="1399"/>
      <c r="CW869" s="1399"/>
      <c r="CX869" s="1399"/>
      <c r="CY869" s="1399"/>
      <c r="CZ869" s="1399"/>
      <c r="DA869" s="1399"/>
      <c r="DB869" s="1399"/>
      <c r="DC869" s="1399"/>
      <c r="DD869" s="1399"/>
      <c r="DE869" s="1399"/>
      <c r="DF869" s="1399"/>
      <c r="DG869" s="1399"/>
      <c r="DH869" s="1399"/>
      <c r="DI869" s="1399"/>
      <c r="DJ869" s="1399"/>
      <c r="DK869" s="1399"/>
      <c r="DL869" s="1399"/>
      <c r="DM869" s="1399"/>
      <c r="DN869" s="1399"/>
      <c r="DO869" s="1399"/>
      <c r="DP869" s="1399"/>
      <c r="DQ869" s="1399"/>
      <c r="DR869" s="1399"/>
      <c r="DS869" s="1399"/>
      <c r="DT869" s="1399"/>
      <c r="DU869" s="1399"/>
    </row>
    <row r="870" spans="1:125">
      <c r="A870" s="1414"/>
      <c r="B870" s="1414"/>
      <c r="C870" s="1414"/>
      <c r="D870" s="1414"/>
      <c r="E870" s="1414"/>
      <c r="F870" s="1414"/>
      <c r="G870" s="1414"/>
      <c r="H870" s="1414"/>
      <c r="I870" s="1414"/>
      <c r="J870" s="1414"/>
      <c r="K870" s="1414"/>
      <c r="L870" s="1414"/>
      <c r="M870" s="1414"/>
      <c r="N870" s="1414"/>
      <c r="O870" s="1414"/>
      <c r="P870" s="1414"/>
      <c r="Q870" s="1414"/>
      <c r="R870" s="1414"/>
      <c r="S870" s="1414"/>
      <c r="T870" s="1414"/>
      <c r="U870" s="1414"/>
      <c r="V870" s="1414"/>
      <c r="W870" s="1414"/>
      <c r="X870" s="1414"/>
      <c r="Y870" s="1414"/>
      <c r="Z870" s="1414"/>
      <c r="AA870" s="1414"/>
      <c r="AB870" s="1414"/>
      <c r="AC870" s="1414"/>
      <c r="AD870" s="1414"/>
      <c r="AE870" s="1414"/>
      <c r="AF870" s="1414"/>
      <c r="AG870" s="1414"/>
      <c r="AH870" s="1414"/>
      <c r="AI870" s="1414"/>
      <c r="AJ870" s="1414"/>
      <c r="AK870" s="1414"/>
      <c r="AL870" s="1414"/>
      <c r="AM870" s="1414"/>
      <c r="AN870" s="1414"/>
      <c r="AO870" s="1414"/>
      <c r="AP870" s="1414"/>
      <c r="AQ870" s="1414"/>
      <c r="AR870" s="1414"/>
      <c r="AS870" s="1414"/>
      <c r="AT870" s="1414"/>
      <c r="AU870" s="1414"/>
      <c r="AV870" s="1414"/>
      <c r="AW870" s="1414"/>
      <c r="AX870" s="1414"/>
      <c r="AY870" s="1399"/>
      <c r="AZ870" s="1399"/>
      <c r="BA870" s="1399"/>
      <c r="BB870" s="1399"/>
      <c r="BC870" s="1399"/>
      <c r="BD870" s="1399"/>
      <c r="BE870" s="1414"/>
      <c r="BF870" s="1399"/>
      <c r="BG870" s="1399"/>
      <c r="BH870" s="1399"/>
      <c r="BI870" s="1399"/>
      <c r="BJ870" s="1399"/>
      <c r="BK870" s="1399"/>
      <c r="BL870" s="1399"/>
      <c r="BM870" s="1399"/>
      <c r="BN870" s="1399"/>
      <c r="BO870" s="1399"/>
      <c r="BP870" s="1399"/>
      <c r="BQ870" s="1399"/>
      <c r="BR870" s="1399"/>
      <c r="BS870" s="1399"/>
      <c r="BT870" s="1399"/>
      <c r="BU870" s="1399"/>
      <c r="BV870" s="1399"/>
      <c r="BW870" s="1399"/>
      <c r="BX870" s="1399"/>
      <c r="BY870" s="1399"/>
      <c r="BZ870" s="1399"/>
      <c r="CA870" s="1399"/>
      <c r="CB870" s="1399"/>
      <c r="CC870" s="1399"/>
      <c r="CD870" s="1399"/>
      <c r="CE870" s="1399"/>
      <c r="CF870" s="1399"/>
      <c r="CG870" s="1399"/>
      <c r="CH870" s="1399"/>
      <c r="CI870" s="1399"/>
      <c r="CJ870" s="1399"/>
      <c r="CK870" s="1399"/>
      <c r="CL870" s="1399"/>
      <c r="CM870" s="1399"/>
      <c r="CN870" s="1399"/>
      <c r="CO870" s="1399"/>
      <c r="CP870" s="1399"/>
      <c r="CQ870" s="1399"/>
      <c r="CR870" s="1399"/>
      <c r="CS870" s="1399"/>
      <c r="CT870" s="1399"/>
      <c r="CU870" s="1399"/>
      <c r="CV870" s="1399"/>
      <c r="CW870" s="1399"/>
      <c r="CX870" s="1399"/>
      <c r="CY870" s="1399"/>
      <c r="CZ870" s="1399"/>
      <c r="DA870" s="1399"/>
      <c r="DB870" s="1399"/>
      <c r="DC870" s="1399"/>
      <c r="DD870" s="1399"/>
      <c r="DE870" s="1399"/>
      <c r="DF870" s="1399"/>
      <c r="DG870" s="1399"/>
      <c r="DH870" s="1399"/>
      <c r="DI870" s="1399"/>
      <c r="DJ870" s="1399"/>
      <c r="DK870" s="1399"/>
      <c r="DL870" s="1399"/>
      <c r="DM870" s="1399"/>
      <c r="DN870" s="1399"/>
      <c r="DO870" s="1399"/>
      <c r="DP870" s="1399"/>
      <c r="DQ870" s="1399"/>
      <c r="DR870" s="1399"/>
      <c r="DS870" s="1399"/>
      <c r="DT870" s="1399"/>
      <c r="DU870" s="1399"/>
    </row>
    <row r="871" spans="1:125">
      <c r="A871" s="1414"/>
      <c r="B871" s="1414"/>
      <c r="C871" s="1414"/>
      <c r="D871" s="1414"/>
      <c r="E871" s="1414"/>
      <c r="F871" s="1414"/>
      <c r="G871" s="1414"/>
      <c r="H871" s="1414"/>
      <c r="I871" s="1414"/>
      <c r="J871" s="1414"/>
      <c r="K871" s="1414"/>
      <c r="L871" s="1414"/>
      <c r="M871" s="1414"/>
      <c r="N871" s="1414"/>
      <c r="O871" s="1414"/>
      <c r="P871" s="1414"/>
      <c r="Q871" s="1414"/>
      <c r="R871" s="1414"/>
      <c r="S871" s="1414"/>
      <c r="T871" s="1414"/>
      <c r="U871" s="1414"/>
      <c r="V871" s="1414"/>
      <c r="W871" s="1414"/>
      <c r="X871" s="1414"/>
      <c r="Y871" s="1414"/>
      <c r="Z871" s="1414"/>
      <c r="AA871" s="1414"/>
      <c r="AB871" s="1414"/>
      <c r="AC871" s="1414"/>
      <c r="AD871" s="1414"/>
      <c r="AE871" s="1414"/>
      <c r="AF871" s="1414"/>
      <c r="AG871" s="1414"/>
      <c r="AH871" s="1414"/>
      <c r="AI871" s="1414"/>
      <c r="AJ871" s="1414"/>
      <c r="AK871" s="1414"/>
      <c r="AL871" s="1414"/>
      <c r="AM871" s="1414"/>
      <c r="AN871" s="1414"/>
      <c r="AO871" s="1414"/>
      <c r="AP871" s="1414"/>
      <c r="AQ871" s="1414"/>
      <c r="AR871" s="1414"/>
      <c r="AS871" s="1414"/>
      <c r="AT871" s="1414"/>
      <c r="AU871" s="1414"/>
      <c r="AV871" s="1414"/>
      <c r="AW871" s="1414"/>
      <c r="AX871" s="1414"/>
      <c r="AY871" s="1399"/>
      <c r="AZ871" s="1399"/>
      <c r="BA871" s="1399"/>
      <c r="BB871" s="1399"/>
      <c r="BC871" s="1399"/>
      <c r="BD871" s="1399"/>
      <c r="BE871" s="1414"/>
      <c r="BF871" s="1399"/>
      <c r="BG871" s="1399"/>
      <c r="BH871" s="1399"/>
      <c r="BI871" s="1399"/>
      <c r="BJ871" s="1399"/>
      <c r="BK871" s="1399"/>
      <c r="BL871" s="1399"/>
      <c r="BM871" s="1399"/>
      <c r="BN871" s="1399"/>
      <c r="BO871" s="1399"/>
      <c r="BP871" s="1399"/>
      <c r="BQ871" s="1399"/>
      <c r="BR871" s="1399"/>
      <c r="BS871" s="1399"/>
      <c r="BT871" s="1399"/>
      <c r="BU871" s="1399"/>
      <c r="BV871" s="1399"/>
      <c r="BW871" s="1399"/>
      <c r="BX871" s="1399"/>
      <c r="BY871" s="1399"/>
      <c r="BZ871" s="1399"/>
      <c r="CA871" s="1399"/>
      <c r="CB871" s="1399"/>
      <c r="CC871" s="1399"/>
      <c r="CD871" s="1399"/>
      <c r="CE871" s="1399"/>
      <c r="CF871" s="1399"/>
      <c r="CG871" s="1399"/>
      <c r="CH871" s="1399"/>
      <c r="CI871" s="1399"/>
      <c r="CJ871" s="1399"/>
      <c r="CK871" s="1399"/>
      <c r="CL871" s="1399"/>
      <c r="CM871" s="1399"/>
      <c r="CN871" s="1399"/>
      <c r="CO871" s="1399"/>
      <c r="CP871" s="1399"/>
      <c r="CQ871" s="1399"/>
      <c r="CR871" s="1399"/>
      <c r="CS871" s="1399"/>
      <c r="CT871" s="1399"/>
      <c r="CU871" s="1399"/>
      <c r="CV871" s="1399"/>
      <c r="CW871" s="1399"/>
      <c r="CX871" s="1399"/>
      <c r="CY871" s="1399"/>
      <c r="CZ871" s="1399"/>
      <c r="DA871" s="1399"/>
      <c r="DB871" s="1399"/>
      <c r="DC871" s="1399"/>
      <c r="DD871" s="1399"/>
      <c r="DE871" s="1399"/>
      <c r="DF871" s="1399"/>
      <c r="DG871" s="1399"/>
      <c r="DH871" s="1399"/>
      <c r="DI871" s="1399"/>
      <c r="DJ871" s="1399"/>
      <c r="DK871" s="1399"/>
      <c r="DL871" s="1399"/>
      <c r="DM871" s="1399"/>
      <c r="DN871" s="1399"/>
      <c r="DO871" s="1399"/>
      <c r="DP871" s="1399"/>
      <c r="DQ871" s="1399"/>
      <c r="DR871" s="1399"/>
      <c r="DS871" s="1399"/>
      <c r="DT871" s="1399"/>
      <c r="DU871" s="1399"/>
    </row>
    <row r="872" spans="1:125">
      <c r="A872" s="1414"/>
      <c r="B872" s="1414"/>
      <c r="C872" s="1414"/>
      <c r="D872" s="1414"/>
      <c r="E872" s="1414"/>
      <c r="F872" s="1414"/>
      <c r="G872" s="1414"/>
      <c r="H872" s="1414"/>
      <c r="I872" s="1414"/>
      <c r="J872" s="1414"/>
      <c r="K872" s="1414"/>
      <c r="L872" s="1414"/>
      <c r="M872" s="1414"/>
      <c r="N872" s="1414"/>
      <c r="O872" s="1414"/>
      <c r="P872" s="1414"/>
      <c r="Q872" s="1414"/>
      <c r="R872" s="1414"/>
      <c r="S872" s="1414"/>
      <c r="T872" s="1414"/>
      <c r="U872" s="1414"/>
      <c r="V872" s="1414"/>
      <c r="W872" s="1414"/>
      <c r="X872" s="1414"/>
      <c r="Y872" s="1414"/>
      <c r="Z872" s="1414"/>
      <c r="AA872" s="1414"/>
      <c r="AB872" s="1414"/>
      <c r="AC872" s="1414"/>
      <c r="AD872" s="1414"/>
      <c r="AE872" s="1414"/>
      <c r="AF872" s="1414"/>
      <c r="AG872" s="1414"/>
      <c r="AH872" s="1414"/>
      <c r="AI872" s="1414"/>
      <c r="AJ872" s="1414"/>
      <c r="AK872" s="1414"/>
      <c r="AL872" s="1414"/>
      <c r="AM872" s="1414"/>
      <c r="AN872" s="1414"/>
      <c r="AO872" s="1414"/>
      <c r="AP872" s="1414"/>
      <c r="AQ872" s="1414"/>
      <c r="AR872" s="1414"/>
      <c r="AS872" s="1414"/>
      <c r="AT872" s="1414"/>
      <c r="AU872" s="1414"/>
      <c r="AV872" s="1414"/>
      <c r="AW872" s="1414"/>
      <c r="AX872" s="1414"/>
      <c r="AY872" s="1399"/>
      <c r="AZ872" s="1399"/>
      <c r="BA872" s="1399"/>
      <c r="BB872" s="1399"/>
      <c r="BC872" s="1399"/>
      <c r="BD872" s="1399"/>
      <c r="BE872" s="1414"/>
      <c r="BF872" s="1399"/>
      <c r="BG872" s="1399"/>
      <c r="BH872" s="1399"/>
      <c r="BI872" s="1399"/>
      <c r="BJ872" s="1399"/>
      <c r="BK872" s="1399"/>
      <c r="BL872" s="1399"/>
      <c r="BM872" s="1399"/>
      <c r="BN872" s="1399"/>
      <c r="BO872" s="1399"/>
      <c r="BP872" s="1399"/>
      <c r="BQ872" s="1399"/>
      <c r="BR872" s="1399"/>
      <c r="BS872" s="1399"/>
      <c r="BT872" s="1399"/>
      <c r="BU872" s="1399"/>
      <c r="BV872" s="1399"/>
      <c r="BW872" s="1399"/>
      <c r="BX872" s="1399"/>
      <c r="BY872" s="1399"/>
      <c r="BZ872" s="1399"/>
      <c r="CA872" s="1399"/>
      <c r="CB872" s="1399"/>
      <c r="CC872" s="1399"/>
      <c r="CD872" s="1399"/>
      <c r="CE872" s="1399"/>
      <c r="CF872" s="1399"/>
      <c r="CG872" s="1399"/>
      <c r="CH872" s="1399"/>
      <c r="CI872" s="1399"/>
      <c r="CJ872" s="1399"/>
      <c r="CK872" s="1399"/>
      <c r="CL872" s="1399"/>
      <c r="CM872" s="1399"/>
      <c r="CN872" s="1399"/>
      <c r="CO872" s="1399"/>
      <c r="CP872" s="1399"/>
      <c r="CQ872" s="1399"/>
      <c r="CR872" s="1399"/>
      <c r="CS872" s="1399"/>
      <c r="CT872" s="1399"/>
      <c r="CU872" s="1399"/>
      <c r="CV872" s="1399"/>
      <c r="CW872" s="1399"/>
      <c r="CX872" s="1399"/>
      <c r="CY872" s="1399"/>
      <c r="CZ872" s="1399"/>
      <c r="DA872" s="1399"/>
      <c r="DB872" s="1399"/>
      <c r="DC872" s="1399"/>
      <c r="DD872" s="1399"/>
      <c r="DE872" s="1399"/>
      <c r="DF872" s="1399"/>
      <c r="DG872" s="1399"/>
      <c r="DH872" s="1399"/>
      <c r="DI872" s="1399"/>
      <c r="DJ872" s="1399"/>
      <c r="DK872" s="1399"/>
      <c r="DL872" s="1399"/>
      <c r="DM872" s="1399"/>
      <c r="DN872" s="1399"/>
      <c r="DO872" s="1399"/>
      <c r="DP872" s="1399"/>
      <c r="DQ872" s="1399"/>
      <c r="DR872" s="1399"/>
      <c r="DS872" s="1399"/>
      <c r="DT872" s="1399"/>
      <c r="DU872" s="1399"/>
    </row>
    <row r="873" spans="1:125">
      <c r="A873" s="1414"/>
      <c r="B873" s="1414"/>
      <c r="C873" s="1414"/>
      <c r="D873" s="1414"/>
      <c r="E873" s="1414"/>
      <c r="F873" s="1414"/>
      <c r="G873" s="1414"/>
      <c r="H873" s="1414"/>
      <c r="I873" s="1414"/>
      <c r="J873" s="1414"/>
      <c r="K873" s="1414"/>
      <c r="L873" s="1414"/>
      <c r="M873" s="1414"/>
      <c r="N873" s="1414"/>
      <c r="O873" s="1414"/>
      <c r="P873" s="1414"/>
      <c r="Q873" s="1414"/>
      <c r="R873" s="1414"/>
      <c r="S873" s="1414"/>
      <c r="T873" s="1414"/>
      <c r="U873" s="1414"/>
      <c r="V873" s="1414"/>
      <c r="W873" s="1414"/>
      <c r="X873" s="1414"/>
      <c r="Y873" s="1414"/>
      <c r="Z873" s="1414"/>
      <c r="AA873" s="1414"/>
      <c r="AB873" s="1414"/>
      <c r="AC873" s="1414"/>
      <c r="AD873" s="1414"/>
      <c r="AE873" s="1414"/>
      <c r="AF873" s="1414"/>
      <c r="AG873" s="1414"/>
      <c r="AH873" s="1414"/>
      <c r="AI873" s="1414"/>
      <c r="AJ873" s="1414"/>
      <c r="AK873" s="1414"/>
      <c r="AL873" s="1414"/>
      <c r="AM873" s="1414"/>
      <c r="AN873" s="1414"/>
      <c r="AO873" s="1414"/>
      <c r="AP873" s="1414"/>
      <c r="AQ873" s="1414"/>
      <c r="AR873" s="1414"/>
      <c r="AS873" s="1414"/>
      <c r="AT873" s="1414"/>
      <c r="AU873" s="1414"/>
      <c r="AV873" s="1414"/>
      <c r="AW873" s="1414"/>
      <c r="AX873" s="1414"/>
      <c r="AY873" s="1399"/>
      <c r="AZ873" s="1399"/>
      <c r="BA873" s="1399"/>
      <c r="BB873" s="1399"/>
      <c r="BC873" s="1399"/>
      <c r="BD873" s="1399"/>
      <c r="BE873" s="1414"/>
      <c r="BF873" s="1399"/>
      <c r="BG873" s="1399"/>
      <c r="BH873" s="1399"/>
      <c r="BI873" s="1399"/>
      <c r="BJ873" s="1399"/>
      <c r="BK873" s="1399"/>
      <c r="BL873" s="1399"/>
      <c r="BM873" s="1399"/>
      <c r="BN873" s="1399"/>
      <c r="BO873" s="1399"/>
      <c r="BP873" s="1399"/>
      <c r="BQ873" s="1399"/>
      <c r="BR873" s="1399"/>
      <c r="BS873" s="1399"/>
      <c r="BT873" s="1399"/>
      <c r="BU873" s="1399"/>
      <c r="BV873" s="1399"/>
      <c r="BW873" s="1399"/>
      <c r="BX873" s="1399"/>
      <c r="BY873" s="1399"/>
      <c r="BZ873" s="1399"/>
      <c r="CA873" s="1399"/>
      <c r="CB873" s="1399"/>
      <c r="CC873" s="1399"/>
      <c r="CD873" s="1399"/>
      <c r="CE873" s="1399"/>
      <c r="CF873" s="1399"/>
      <c r="CG873" s="1399"/>
      <c r="CH873" s="1399"/>
      <c r="CI873" s="1399"/>
      <c r="CJ873" s="1399"/>
      <c r="CK873" s="1399"/>
      <c r="CL873" s="1399"/>
      <c r="CM873" s="1399"/>
      <c r="CN873" s="1399"/>
      <c r="CO873" s="1399"/>
      <c r="CP873" s="1399"/>
      <c r="CQ873" s="1399"/>
      <c r="CR873" s="1399"/>
      <c r="CS873" s="1399"/>
      <c r="CT873" s="1399"/>
      <c r="CU873" s="1399"/>
      <c r="CV873" s="1399"/>
      <c r="CW873" s="1399"/>
      <c r="CX873" s="1399"/>
      <c r="CY873" s="1399"/>
      <c r="CZ873" s="1399"/>
      <c r="DA873" s="1399"/>
      <c r="DB873" s="1399"/>
      <c r="DC873" s="1399"/>
      <c r="DD873" s="1399"/>
      <c r="DE873" s="1399"/>
      <c r="DF873" s="1399"/>
      <c r="DG873" s="1399"/>
      <c r="DH873" s="1399"/>
      <c r="DI873" s="1399"/>
      <c r="DJ873" s="1399"/>
      <c r="DK873" s="1399"/>
      <c r="DL873" s="1399"/>
      <c r="DM873" s="1399"/>
      <c r="DN873" s="1399"/>
      <c r="DO873" s="1399"/>
      <c r="DP873" s="1399"/>
      <c r="DQ873" s="1399"/>
      <c r="DR873" s="1399"/>
      <c r="DS873" s="1399"/>
      <c r="DT873" s="1399"/>
      <c r="DU873" s="1399"/>
    </row>
    <row r="874" spans="1:125">
      <c r="A874" s="1414"/>
      <c r="B874" s="1414"/>
      <c r="C874" s="1414"/>
      <c r="D874" s="1414"/>
      <c r="E874" s="1414"/>
      <c r="F874" s="1414"/>
      <c r="G874" s="1414"/>
      <c r="H874" s="1414"/>
      <c r="I874" s="1414"/>
      <c r="J874" s="1414"/>
      <c r="K874" s="1414"/>
      <c r="L874" s="1414"/>
      <c r="M874" s="1414"/>
      <c r="N874" s="1414"/>
      <c r="O874" s="1414"/>
      <c r="P874" s="1414"/>
      <c r="Q874" s="1414"/>
      <c r="R874" s="1414"/>
      <c r="S874" s="1414"/>
      <c r="T874" s="1414"/>
      <c r="U874" s="1414"/>
      <c r="V874" s="1414"/>
      <c r="W874" s="1414"/>
      <c r="X874" s="1414"/>
      <c r="Y874" s="1414"/>
      <c r="Z874" s="1414"/>
      <c r="AA874" s="1414"/>
      <c r="AB874" s="1414"/>
      <c r="AC874" s="1414"/>
      <c r="AD874" s="1414"/>
      <c r="AE874" s="1414"/>
      <c r="AF874" s="1414"/>
      <c r="AG874" s="1414"/>
      <c r="AH874" s="1414"/>
      <c r="AI874" s="1414"/>
      <c r="AJ874" s="1414"/>
      <c r="AK874" s="1414"/>
      <c r="AL874" s="1414"/>
      <c r="AM874" s="1414"/>
      <c r="AN874" s="1414"/>
      <c r="AO874" s="1414"/>
      <c r="AP874" s="1414"/>
      <c r="AQ874" s="1414"/>
      <c r="AR874" s="1414"/>
      <c r="AS874" s="1414"/>
      <c r="AT874" s="1414"/>
      <c r="AU874" s="1414"/>
      <c r="AV874" s="1414"/>
      <c r="AW874" s="1414"/>
      <c r="AX874" s="1414"/>
      <c r="AY874" s="1399"/>
      <c r="AZ874" s="1399"/>
      <c r="BA874" s="1399"/>
      <c r="BB874" s="1399"/>
      <c r="BC874" s="1399"/>
      <c r="BD874" s="1399"/>
      <c r="BE874" s="1414"/>
      <c r="BF874" s="1399"/>
      <c r="BG874" s="1399"/>
      <c r="BH874" s="1399"/>
      <c r="BI874" s="1399"/>
      <c r="BJ874" s="1399"/>
      <c r="BK874" s="1399"/>
      <c r="BL874" s="1399"/>
      <c r="BM874" s="1399"/>
      <c r="BN874" s="1399"/>
      <c r="BO874" s="1399"/>
      <c r="BP874" s="1399"/>
      <c r="BQ874" s="1399"/>
      <c r="BR874" s="1399"/>
      <c r="BS874" s="1399"/>
      <c r="BT874" s="1399"/>
      <c r="BU874" s="1399"/>
      <c r="BV874" s="1399"/>
      <c r="BW874" s="1399"/>
      <c r="BX874" s="1399"/>
      <c r="BY874" s="1399"/>
      <c r="BZ874" s="1399"/>
      <c r="CA874" s="1399"/>
      <c r="CB874" s="1399"/>
      <c r="CC874" s="1399"/>
      <c r="CD874" s="1399"/>
      <c r="CE874" s="1399"/>
      <c r="CF874" s="1399"/>
      <c r="CG874" s="1399"/>
      <c r="CH874" s="1399"/>
      <c r="CI874" s="1399"/>
      <c r="CJ874" s="1399"/>
      <c r="CK874" s="1399"/>
      <c r="CL874" s="1399"/>
      <c r="CM874" s="1399"/>
      <c r="CN874" s="1399"/>
      <c r="CO874" s="1399"/>
      <c r="CP874" s="1399"/>
      <c r="CQ874" s="1399"/>
      <c r="CR874" s="1399"/>
      <c r="CS874" s="1399"/>
      <c r="CT874" s="1399"/>
      <c r="CU874" s="1399"/>
      <c r="CV874" s="1399"/>
      <c r="CW874" s="1399"/>
      <c r="CX874" s="1399"/>
      <c r="CY874" s="1399"/>
      <c r="CZ874" s="1399"/>
      <c r="DA874" s="1399"/>
      <c r="DB874" s="1399"/>
      <c r="DC874" s="1399"/>
      <c r="DD874" s="1399"/>
      <c r="DE874" s="1399"/>
      <c r="DF874" s="1399"/>
      <c r="DG874" s="1399"/>
      <c r="DH874" s="1399"/>
      <c r="DI874" s="1399"/>
      <c r="DJ874" s="1399"/>
      <c r="DK874" s="1399"/>
      <c r="DL874" s="1399"/>
      <c r="DM874" s="1399"/>
      <c r="DN874" s="1399"/>
      <c r="DO874" s="1399"/>
      <c r="DP874" s="1399"/>
      <c r="DQ874" s="1399"/>
      <c r="DR874" s="1399"/>
      <c r="DS874" s="1399"/>
      <c r="DT874" s="1399"/>
      <c r="DU874" s="1399"/>
    </row>
    <row r="875" spans="1:125">
      <c r="A875" s="1414"/>
      <c r="B875" s="1414"/>
      <c r="C875" s="1414"/>
      <c r="D875" s="1414"/>
      <c r="E875" s="1414"/>
      <c r="F875" s="1414"/>
      <c r="G875" s="1414"/>
      <c r="H875" s="1414"/>
      <c r="I875" s="1414"/>
      <c r="J875" s="1414"/>
      <c r="K875" s="1414"/>
      <c r="L875" s="1414"/>
      <c r="M875" s="1414"/>
      <c r="N875" s="1414"/>
      <c r="O875" s="1414"/>
      <c r="P875" s="1414"/>
      <c r="Q875" s="1414"/>
      <c r="R875" s="1414"/>
      <c r="S875" s="1414"/>
      <c r="T875" s="1414"/>
      <c r="U875" s="1414"/>
      <c r="V875" s="1414"/>
      <c r="W875" s="1414"/>
      <c r="X875" s="1414"/>
      <c r="Y875" s="1414"/>
      <c r="Z875" s="1414"/>
      <c r="AA875" s="1414"/>
      <c r="AB875" s="1414"/>
      <c r="AC875" s="1414"/>
      <c r="AD875" s="1414"/>
      <c r="AE875" s="1414"/>
      <c r="AF875" s="1414"/>
      <c r="AG875" s="1414"/>
      <c r="AH875" s="1414"/>
      <c r="AI875" s="1414"/>
      <c r="AJ875" s="1414"/>
      <c r="AK875" s="1414"/>
      <c r="AL875" s="1414"/>
      <c r="AM875" s="1414"/>
      <c r="AN875" s="1414"/>
      <c r="AO875" s="1414"/>
      <c r="AP875" s="1414"/>
      <c r="AQ875" s="1414"/>
      <c r="AR875" s="1414"/>
      <c r="AS875" s="1414"/>
      <c r="AT875" s="1414"/>
      <c r="AU875" s="1414"/>
      <c r="AV875" s="1414"/>
      <c r="AW875" s="1414"/>
      <c r="AX875" s="1414"/>
      <c r="AY875" s="1399"/>
      <c r="AZ875" s="1399"/>
      <c r="BA875" s="1399"/>
      <c r="BB875" s="1399"/>
      <c r="BC875" s="1399"/>
      <c r="BD875" s="1399"/>
      <c r="BE875" s="1414"/>
      <c r="BF875" s="1399"/>
      <c r="BG875" s="1399"/>
      <c r="BH875" s="1399"/>
      <c r="BI875" s="1399"/>
      <c r="BJ875" s="1399"/>
      <c r="BK875" s="1399"/>
      <c r="BL875" s="1399"/>
      <c r="BM875" s="1399"/>
      <c r="BN875" s="1399"/>
      <c r="BO875" s="1399"/>
      <c r="BP875" s="1399"/>
      <c r="BQ875" s="1399"/>
      <c r="BR875" s="1399"/>
      <c r="BS875" s="1399"/>
      <c r="BT875" s="1399"/>
      <c r="BU875" s="1399"/>
      <c r="BV875" s="1399"/>
      <c r="BW875" s="1399"/>
      <c r="BX875" s="1399"/>
      <c r="BY875" s="1399"/>
      <c r="BZ875" s="1399"/>
      <c r="CA875" s="1399"/>
      <c r="CB875" s="1399"/>
      <c r="CC875" s="1399"/>
      <c r="CD875" s="1399"/>
      <c r="CE875" s="1399"/>
      <c r="CF875" s="1399"/>
      <c r="CG875" s="1399"/>
      <c r="CH875" s="1399"/>
      <c r="CI875" s="1399"/>
      <c r="CJ875" s="1399"/>
      <c r="CK875" s="1399"/>
      <c r="CL875" s="1399"/>
      <c r="CM875" s="1399"/>
      <c r="CN875" s="1399"/>
      <c r="CO875" s="1399"/>
      <c r="CP875" s="1399"/>
      <c r="CQ875" s="1399"/>
      <c r="CR875" s="1399"/>
      <c r="CS875" s="1399"/>
      <c r="CT875" s="1399"/>
      <c r="CU875" s="1399"/>
      <c r="CV875" s="1399"/>
      <c r="CW875" s="1399"/>
      <c r="CX875" s="1399"/>
      <c r="CY875" s="1399"/>
      <c r="CZ875" s="1399"/>
      <c r="DA875" s="1399"/>
      <c r="DB875" s="1399"/>
      <c r="DC875" s="1399"/>
      <c r="DD875" s="1399"/>
      <c r="DE875" s="1399"/>
      <c r="DF875" s="1399"/>
      <c r="DG875" s="1399"/>
      <c r="DH875" s="1399"/>
      <c r="DI875" s="1399"/>
      <c r="DJ875" s="1399"/>
      <c r="DK875" s="1399"/>
      <c r="DL875" s="1399"/>
      <c r="DM875" s="1399"/>
      <c r="DN875" s="1399"/>
      <c r="DO875" s="1399"/>
      <c r="DP875" s="1399"/>
      <c r="DQ875" s="1399"/>
      <c r="DR875" s="1399"/>
      <c r="DS875" s="1399"/>
      <c r="DT875" s="1399"/>
      <c r="DU875" s="1399"/>
    </row>
    <row r="876" spans="1:125">
      <c r="A876" s="1414"/>
      <c r="B876" s="1414"/>
      <c r="C876" s="1414"/>
      <c r="D876" s="1414"/>
      <c r="E876" s="1414"/>
      <c r="F876" s="1414"/>
      <c r="G876" s="1414"/>
      <c r="H876" s="1414"/>
      <c r="I876" s="1414"/>
      <c r="J876" s="1414"/>
      <c r="K876" s="1414"/>
      <c r="L876" s="1414"/>
      <c r="M876" s="1414"/>
      <c r="N876" s="1414"/>
      <c r="O876" s="1414"/>
      <c r="P876" s="1414"/>
      <c r="Q876" s="1414"/>
      <c r="R876" s="1414"/>
      <c r="S876" s="1414"/>
      <c r="T876" s="1414"/>
      <c r="U876" s="1414"/>
      <c r="V876" s="1414"/>
      <c r="W876" s="1414"/>
      <c r="X876" s="1414"/>
      <c r="Y876" s="1414"/>
      <c r="Z876" s="1414"/>
      <c r="AA876" s="1414"/>
      <c r="AB876" s="1414"/>
      <c r="AC876" s="1414"/>
      <c r="AD876" s="1414"/>
      <c r="AE876" s="1414"/>
      <c r="AF876" s="1414"/>
      <c r="AG876" s="1414"/>
      <c r="AH876" s="1414"/>
      <c r="AI876" s="1414"/>
      <c r="AJ876" s="1414"/>
      <c r="AK876" s="1414"/>
      <c r="AL876" s="1414"/>
      <c r="AM876" s="1414"/>
      <c r="AN876" s="1414"/>
      <c r="AO876" s="1414"/>
      <c r="AP876" s="1414"/>
      <c r="AQ876" s="1414"/>
      <c r="AR876" s="1414"/>
      <c r="AS876" s="1414"/>
      <c r="AT876" s="1414"/>
      <c r="AU876" s="1414"/>
      <c r="AV876" s="1414"/>
      <c r="AW876" s="1414"/>
      <c r="AX876" s="1414"/>
      <c r="AY876" s="1399"/>
      <c r="AZ876" s="1399"/>
      <c r="BA876" s="1399"/>
      <c r="BB876" s="1399"/>
      <c r="BC876" s="1399"/>
      <c r="BD876" s="1399"/>
      <c r="BE876" s="1414"/>
      <c r="BF876" s="1399"/>
      <c r="BG876" s="1399"/>
      <c r="BH876" s="1399"/>
      <c r="BI876" s="1399"/>
      <c r="BJ876" s="1399"/>
      <c r="BK876" s="1399"/>
      <c r="BL876" s="1399"/>
      <c r="BM876" s="1399"/>
      <c r="BN876" s="1399"/>
      <c r="BO876" s="1399"/>
      <c r="BP876" s="1399"/>
      <c r="BQ876" s="1399"/>
      <c r="BR876" s="1399"/>
      <c r="BS876" s="1399"/>
      <c r="BT876" s="1399"/>
      <c r="BU876" s="1399"/>
      <c r="BV876" s="1399"/>
      <c r="BW876" s="1399"/>
      <c r="BX876" s="1399"/>
      <c r="BY876" s="1399"/>
      <c r="BZ876" s="1399"/>
      <c r="CA876" s="1399"/>
      <c r="CB876" s="1399"/>
      <c r="CC876" s="1399"/>
      <c r="CD876" s="1399"/>
      <c r="CE876" s="1399"/>
      <c r="CF876" s="1399"/>
      <c r="CG876" s="1399"/>
      <c r="CH876" s="1399"/>
      <c r="CI876" s="1399"/>
      <c r="CJ876" s="1399"/>
      <c r="CK876" s="1399"/>
      <c r="CL876" s="1399"/>
      <c r="CM876" s="1399"/>
      <c r="CN876" s="1399"/>
      <c r="CO876" s="1399"/>
      <c r="CP876" s="1399"/>
      <c r="CQ876" s="1399"/>
      <c r="CR876" s="1399"/>
      <c r="CS876" s="1399"/>
      <c r="CT876" s="1399"/>
      <c r="CU876" s="1399"/>
      <c r="CV876" s="1399"/>
      <c r="CW876" s="1399"/>
      <c r="CX876" s="1399"/>
      <c r="CY876" s="1399"/>
      <c r="CZ876" s="1399"/>
      <c r="DA876" s="1399"/>
      <c r="DB876" s="1399"/>
      <c r="DC876" s="1399"/>
      <c r="DD876" s="1399"/>
      <c r="DE876" s="1399"/>
      <c r="DF876" s="1399"/>
      <c r="DG876" s="1399"/>
      <c r="DH876" s="1399"/>
      <c r="DI876" s="1399"/>
      <c r="DJ876" s="1399"/>
      <c r="DK876" s="1399"/>
      <c r="DL876" s="1399"/>
      <c r="DM876" s="1399"/>
      <c r="DN876" s="1399"/>
      <c r="DO876" s="1399"/>
      <c r="DP876" s="1399"/>
      <c r="DQ876" s="1399"/>
      <c r="DR876" s="1399"/>
      <c r="DS876" s="1399"/>
      <c r="DT876" s="1399"/>
      <c r="DU876" s="1399"/>
    </row>
    <row r="877" spans="1:125">
      <c r="A877" s="1414"/>
      <c r="B877" s="1414"/>
      <c r="C877" s="1414"/>
      <c r="D877" s="1414"/>
      <c r="E877" s="1414"/>
      <c r="F877" s="1414"/>
      <c r="G877" s="1414"/>
      <c r="H877" s="1414"/>
      <c r="I877" s="1414"/>
      <c r="J877" s="1414"/>
      <c r="K877" s="1414"/>
      <c r="L877" s="1414"/>
      <c r="M877" s="1414"/>
      <c r="N877" s="1414"/>
      <c r="O877" s="1414"/>
      <c r="P877" s="1414"/>
      <c r="Q877" s="1414"/>
      <c r="R877" s="1414"/>
      <c r="S877" s="1414"/>
      <c r="T877" s="1414"/>
      <c r="U877" s="1414"/>
      <c r="V877" s="1414"/>
      <c r="W877" s="1414"/>
      <c r="X877" s="1414"/>
      <c r="Y877" s="1414"/>
      <c r="Z877" s="1414"/>
      <c r="AA877" s="1414"/>
      <c r="AB877" s="1414"/>
      <c r="AC877" s="1414"/>
      <c r="AD877" s="1414"/>
      <c r="AE877" s="1414"/>
      <c r="AF877" s="1414"/>
      <c r="AG877" s="1414"/>
      <c r="AH877" s="1414"/>
      <c r="AI877" s="1414"/>
      <c r="AJ877" s="1414"/>
      <c r="AK877" s="1414"/>
      <c r="AL877" s="1414"/>
      <c r="AM877" s="1414"/>
      <c r="AN877" s="1414"/>
      <c r="AO877" s="1414"/>
      <c r="AP877" s="1414"/>
      <c r="AQ877" s="1414"/>
      <c r="AR877" s="1414"/>
      <c r="AS877" s="1414"/>
      <c r="AT877" s="1414"/>
      <c r="AU877" s="1414"/>
      <c r="AV877" s="1414"/>
      <c r="AW877" s="1414"/>
      <c r="AX877" s="1414"/>
      <c r="AY877" s="1399"/>
      <c r="AZ877" s="1399"/>
      <c r="BA877" s="1399"/>
      <c r="BB877" s="1399"/>
      <c r="BC877" s="1399"/>
      <c r="BD877" s="1399"/>
      <c r="BE877" s="1414"/>
      <c r="BF877" s="1399"/>
      <c r="BG877" s="1399"/>
      <c r="BH877" s="1399"/>
      <c r="BI877" s="1399"/>
      <c r="BJ877" s="1399"/>
      <c r="BK877" s="1399"/>
      <c r="BL877" s="1399"/>
      <c r="BM877" s="1399"/>
      <c r="BN877" s="1399"/>
      <c r="BO877" s="1399"/>
      <c r="BP877" s="1399"/>
      <c r="BQ877" s="1399"/>
      <c r="BR877" s="1399"/>
      <c r="BS877" s="1399"/>
      <c r="BT877" s="1399"/>
      <c r="BU877" s="1399"/>
      <c r="BV877" s="1399"/>
      <c r="BW877" s="1399"/>
      <c r="BX877" s="1399"/>
      <c r="BY877" s="1399"/>
      <c r="BZ877" s="1399"/>
      <c r="CA877" s="1399"/>
      <c r="CB877" s="1399"/>
      <c r="CC877" s="1399"/>
      <c r="CD877" s="1399"/>
      <c r="CE877" s="1399"/>
      <c r="CF877" s="1399"/>
      <c r="CG877" s="1399"/>
      <c r="CH877" s="1399"/>
      <c r="CI877" s="1399"/>
      <c r="CJ877" s="1399"/>
      <c r="CK877" s="1399"/>
      <c r="CL877" s="1399"/>
      <c r="CM877" s="1399"/>
      <c r="CN877" s="1399"/>
      <c r="CO877" s="1399"/>
      <c r="CP877" s="1399"/>
      <c r="CQ877" s="1399"/>
      <c r="CR877" s="1399"/>
      <c r="CS877" s="1399"/>
      <c r="CT877" s="1399"/>
      <c r="CU877" s="1399"/>
      <c r="CV877" s="1399"/>
      <c r="CW877" s="1399"/>
      <c r="CX877" s="1399"/>
      <c r="CY877" s="1399"/>
      <c r="CZ877" s="1399"/>
      <c r="DA877" s="1399"/>
      <c r="DB877" s="1399"/>
      <c r="DC877" s="1399"/>
      <c r="DD877" s="1399"/>
      <c r="DE877" s="1399"/>
      <c r="DF877" s="1399"/>
      <c r="DG877" s="1399"/>
      <c r="DH877" s="1399"/>
      <c r="DI877" s="1399"/>
      <c r="DJ877" s="1399"/>
      <c r="DK877" s="1399"/>
      <c r="DL877" s="1399"/>
      <c r="DM877" s="1399"/>
      <c r="DN877" s="1399"/>
      <c r="DO877" s="1399"/>
      <c r="DP877" s="1399"/>
      <c r="DQ877" s="1399"/>
      <c r="DR877" s="1399"/>
      <c r="DS877" s="1399"/>
      <c r="DT877" s="1399"/>
      <c r="DU877" s="1399"/>
    </row>
    <row r="878" spans="1:125">
      <c r="A878" s="1414"/>
      <c r="B878" s="1414"/>
      <c r="C878" s="1414"/>
      <c r="D878" s="1414"/>
      <c r="E878" s="1414"/>
      <c r="F878" s="1414"/>
      <c r="G878" s="1414"/>
      <c r="H878" s="1414"/>
      <c r="I878" s="1414"/>
      <c r="J878" s="1414"/>
      <c r="K878" s="1414"/>
      <c r="L878" s="1414"/>
      <c r="M878" s="1414"/>
      <c r="N878" s="1414"/>
      <c r="O878" s="1414"/>
      <c r="P878" s="1414"/>
      <c r="Q878" s="1414"/>
      <c r="R878" s="1414"/>
      <c r="S878" s="1414"/>
      <c r="T878" s="1414"/>
      <c r="U878" s="1414"/>
      <c r="V878" s="1414"/>
      <c r="W878" s="1414"/>
      <c r="X878" s="1414"/>
      <c r="Y878" s="1414"/>
      <c r="Z878" s="1414"/>
      <c r="AA878" s="1414"/>
      <c r="AB878" s="1414"/>
      <c r="AC878" s="1414"/>
      <c r="AD878" s="1414"/>
      <c r="AE878" s="1414"/>
      <c r="AF878" s="1414"/>
      <c r="AG878" s="1414"/>
      <c r="AH878" s="1414"/>
      <c r="AI878" s="1414"/>
      <c r="AJ878" s="1414"/>
      <c r="AK878" s="1414"/>
      <c r="AL878" s="1414"/>
      <c r="AM878" s="1414"/>
      <c r="AN878" s="1414"/>
      <c r="AO878" s="1414"/>
      <c r="AP878" s="1414"/>
      <c r="AQ878" s="1414"/>
      <c r="AR878" s="1414"/>
      <c r="AS878" s="1414"/>
      <c r="AT878" s="1414"/>
      <c r="AU878" s="1414"/>
      <c r="AV878" s="1414"/>
      <c r="AW878" s="1414"/>
      <c r="AX878" s="1414"/>
      <c r="AY878" s="1399"/>
      <c r="AZ878" s="1399"/>
      <c r="BA878" s="1399"/>
      <c r="BB878" s="1399"/>
      <c r="BC878" s="1399"/>
      <c r="BD878" s="1399"/>
      <c r="BE878" s="1414"/>
      <c r="BF878" s="1399"/>
      <c r="BG878" s="1399"/>
      <c r="BH878" s="1399"/>
      <c r="BI878" s="1399"/>
      <c r="BJ878" s="1399"/>
      <c r="BK878" s="1399"/>
      <c r="BL878" s="1399"/>
      <c r="BM878" s="1399"/>
      <c r="BN878" s="1399"/>
      <c r="BO878" s="1399"/>
      <c r="BP878" s="1399"/>
      <c r="BQ878" s="1399"/>
      <c r="BR878" s="1399"/>
      <c r="BS878" s="1399"/>
      <c r="BT878" s="1399"/>
      <c r="BU878" s="1399"/>
      <c r="BV878" s="1399"/>
      <c r="BW878" s="1399"/>
      <c r="BX878" s="1399"/>
      <c r="BY878" s="1399"/>
      <c r="BZ878" s="1399"/>
      <c r="CA878" s="1399"/>
      <c r="CB878" s="1399"/>
      <c r="CC878" s="1399"/>
      <c r="CD878" s="1399"/>
      <c r="CE878" s="1399"/>
      <c r="CF878" s="1399"/>
      <c r="CG878" s="1399"/>
      <c r="CH878" s="1399"/>
      <c r="CI878" s="1399"/>
      <c r="CJ878" s="1399"/>
      <c r="CK878" s="1399"/>
      <c r="CL878" s="1399"/>
      <c r="CM878" s="1399"/>
      <c r="CN878" s="1399"/>
      <c r="CO878" s="1399"/>
      <c r="CP878" s="1399"/>
      <c r="CQ878" s="1399"/>
      <c r="CR878" s="1399"/>
      <c r="CS878" s="1399"/>
      <c r="CT878" s="1399"/>
      <c r="CU878" s="1399"/>
      <c r="CV878" s="1399"/>
      <c r="CW878" s="1399"/>
      <c r="CX878" s="1399"/>
      <c r="CY878" s="1399"/>
      <c r="CZ878" s="1399"/>
      <c r="DA878" s="1399"/>
      <c r="DB878" s="1399"/>
      <c r="DC878" s="1399"/>
      <c r="DD878" s="1399"/>
      <c r="DE878" s="1399"/>
      <c r="DF878" s="1399"/>
      <c r="DG878" s="1399"/>
      <c r="DH878" s="1399"/>
      <c r="DI878" s="1399"/>
      <c r="DJ878" s="1399"/>
      <c r="DK878" s="1399"/>
      <c r="DL878" s="1399"/>
      <c r="DM878" s="1399"/>
      <c r="DN878" s="1399"/>
      <c r="DO878" s="1399"/>
      <c r="DP878" s="1399"/>
      <c r="DQ878" s="1399"/>
      <c r="DR878" s="1399"/>
      <c r="DS878" s="1399"/>
      <c r="DT878" s="1399"/>
      <c r="DU878" s="1399"/>
    </row>
    <row r="879" spans="1:125">
      <c r="A879" s="1414"/>
      <c r="B879" s="1414"/>
      <c r="C879" s="1414"/>
      <c r="D879" s="1414"/>
      <c r="E879" s="1414"/>
      <c r="F879" s="1414"/>
      <c r="G879" s="1414"/>
      <c r="H879" s="1414"/>
      <c r="I879" s="1414"/>
      <c r="J879" s="1414"/>
      <c r="K879" s="1414"/>
      <c r="L879" s="1414"/>
      <c r="M879" s="1414"/>
      <c r="N879" s="1414"/>
      <c r="O879" s="1414"/>
      <c r="P879" s="1414"/>
      <c r="Q879" s="1414"/>
      <c r="R879" s="1414"/>
      <c r="S879" s="1414"/>
      <c r="T879" s="1414"/>
      <c r="U879" s="1414"/>
      <c r="V879" s="1414"/>
      <c r="W879" s="1414"/>
      <c r="X879" s="1414"/>
      <c r="Y879" s="1414"/>
      <c r="Z879" s="1414"/>
      <c r="AA879" s="1414"/>
      <c r="AB879" s="1414"/>
      <c r="AC879" s="1414"/>
      <c r="AD879" s="1414"/>
      <c r="AE879" s="1414"/>
      <c r="AF879" s="1414"/>
      <c r="AG879" s="1414"/>
      <c r="AH879" s="1414"/>
      <c r="AI879" s="1414"/>
      <c r="AJ879" s="1414"/>
      <c r="AK879" s="1414"/>
      <c r="AL879" s="1414"/>
      <c r="AM879" s="1414"/>
      <c r="AN879" s="1414"/>
      <c r="AO879" s="1414"/>
      <c r="AP879" s="1414"/>
      <c r="AQ879" s="1414"/>
      <c r="AR879" s="1414"/>
      <c r="AS879" s="1414"/>
      <c r="AT879" s="1414"/>
      <c r="AU879" s="1414"/>
      <c r="AV879" s="1414"/>
      <c r="AW879" s="1414"/>
      <c r="AX879" s="1414"/>
      <c r="AY879" s="1399"/>
      <c r="AZ879" s="1399"/>
      <c r="BA879" s="1399"/>
      <c r="BB879" s="1399"/>
      <c r="BC879" s="1399"/>
      <c r="BD879" s="1399"/>
      <c r="BE879" s="1414"/>
      <c r="BF879" s="1399"/>
      <c r="BG879" s="1399"/>
      <c r="BH879" s="1399"/>
      <c r="BI879" s="1399"/>
      <c r="BJ879" s="1399"/>
      <c r="BK879" s="1399"/>
      <c r="BL879" s="1399"/>
      <c r="BM879" s="1399"/>
      <c r="BN879" s="1399"/>
      <c r="BO879" s="1399"/>
      <c r="BP879" s="1399"/>
      <c r="BQ879" s="1399"/>
      <c r="BR879" s="1399"/>
      <c r="BS879" s="1399"/>
      <c r="BT879" s="1399"/>
      <c r="BU879" s="1399"/>
      <c r="BV879" s="1399"/>
      <c r="BW879" s="1399"/>
      <c r="BX879" s="1399"/>
      <c r="BY879" s="1399"/>
      <c r="BZ879" s="1399"/>
      <c r="CA879" s="1399"/>
      <c r="CB879" s="1399"/>
      <c r="CC879" s="1399"/>
      <c r="CD879" s="1399"/>
      <c r="CE879" s="1399"/>
      <c r="CF879" s="1399"/>
      <c r="CG879" s="1399"/>
      <c r="CH879" s="1399"/>
      <c r="CI879" s="1399"/>
      <c r="CJ879" s="1399"/>
      <c r="CK879" s="1399"/>
      <c r="CL879" s="1399"/>
      <c r="CM879" s="1399"/>
      <c r="CN879" s="1399"/>
      <c r="CO879" s="1399"/>
      <c r="CP879" s="1399"/>
      <c r="CQ879" s="1399"/>
      <c r="CR879" s="1399"/>
      <c r="CS879" s="1399"/>
      <c r="CT879" s="1399"/>
      <c r="CU879" s="1399"/>
      <c r="CV879" s="1399"/>
      <c r="CW879" s="1399"/>
      <c r="CX879" s="1399"/>
      <c r="CY879" s="1399"/>
      <c r="CZ879" s="1399"/>
      <c r="DA879" s="1399"/>
      <c r="DB879" s="1399"/>
      <c r="DC879" s="1399"/>
      <c r="DD879" s="1399"/>
      <c r="DE879" s="1399"/>
      <c r="DF879" s="1399"/>
      <c r="DG879" s="1399"/>
      <c r="DH879" s="1399"/>
      <c r="DI879" s="1399"/>
      <c r="DJ879" s="1399"/>
      <c r="DK879" s="1399"/>
      <c r="DL879" s="1399"/>
      <c r="DM879" s="1399"/>
      <c r="DN879" s="1399"/>
      <c r="DO879" s="1399"/>
      <c r="DP879" s="1399"/>
      <c r="DQ879" s="1399"/>
      <c r="DR879" s="1399"/>
      <c r="DS879" s="1399"/>
      <c r="DT879" s="1399"/>
      <c r="DU879" s="1399"/>
    </row>
    <row r="880" spans="1:125">
      <c r="A880" s="1414"/>
      <c r="B880" s="1414"/>
      <c r="C880" s="1414"/>
      <c r="D880" s="1414"/>
      <c r="E880" s="1414"/>
      <c r="F880" s="1414"/>
      <c r="G880" s="1414"/>
      <c r="H880" s="1414"/>
      <c r="I880" s="1414"/>
      <c r="J880" s="1414"/>
      <c r="K880" s="1414"/>
      <c r="L880" s="1414"/>
      <c r="M880" s="1414"/>
      <c r="N880" s="1414"/>
      <c r="O880" s="1414"/>
      <c r="P880" s="1414"/>
      <c r="Q880" s="1414"/>
      <c r="R880" s="1414"/>
      <c r="S880" s="1414"/>
      <c r="T880" s="1414"/>
      <c r="U880" s="1414"/>
      <c r="V880" s="1414"/>
      <c r="W880" s="1414"/>
      <c r="X880" s="1414"/>
      <c r="Y880" s="1414"/>
      <c r="Z880" s="1414"/>
      <c r="AA880" s="1414"/>
      <c r="AB880" s="1414"/>
      <c r="AC880" s="1414"/>
      <c r="AD880" s="1414"/>
      <c r="AE880" s="1414"/>
      <c r="AF880" s="1414"/>
      <c r="AG880" s="1414"/>
      <c r="AH880" s="1414"/>
      <c r="AI880" s="1414"/>
      <c r="AJ880" s="1414"/>
      <c r="AK880" s="1414"/>
      <c r="AL880" s="1414"/>
      <c r="AM880" s="1414"/>
      <c r="AN880" s="1414"/>
      <c r="AO880" s="1414"/>
      <c r="AP880" s="1414"/>
      <c r="AQ880" s="1414"/>
      <c r="AR880" s="1414"/>
      <c r="AS880" s="1414"/>
      <c r="AT880" s="1414"/>
      <c r="AU880" s="1414"/>
      <c r="AV880" s="1414"/>
      <c r="AW880" s="1414"/>
      <c r="AX880" s="1414"/>
      <c r="AY880" s="1399"/>
      <c r="AZ880" s="1399"/>
      <c r="BA880" s="1399"/>
      <c r="BB880" s="1399"/>
      <c r="BC880" s="1399"/>
      <c r="BD880" s="1399"/>
      <c r="BE880" s="1414"/>
      <c r="BF880" s="1399"/>
      <c r="BG880" s="1399"/>
      <c r="BH880" s="1399"/>
      <c r="BI880" s="1399"/>
      <c r="BJ880" s="1399"/>
      <c r="BK880" s="1399"/>
      <c r="BL880" s="1399"/>
      <c r="BM880" s="1399"/>
      <c r="BN880" s="1399"/>
      <c r="BO880" s="1399"/>
      <c r="BP880" s="1399"/>
      <c r="BQ880" s="1399"/>
      <c r="BR880" s="1399"/>
      <c r="BS880" s="1399"/>
      <c r="BT880" s="1399"/>
      <c r="BU880" s="1399"/>
      <c r="BV880" s="1399"/>
      <c r="BW880" s="1399"/>
      <c r="BX880" s="1399"/>
      <c r="BY880" s="1399"/>
      <c r="BZ880" s="1399"/>
      <c r="CA880" s="1399"/>
      <c r="CB880" s="1399"/>
      <c r="CC880" s="1399"/>
      <c r="CD880" s="1399"/>
      <c r="CE880" s="1399"/>
      <c r="CF880" s="1399"/>
      <c r="CG880" s="1399"/>
      <c r="CH880" s="1399"/>
      <c r="CI880" s="1399"/>
      <c r="CJ880" s="1399"/>
      <c r="CK880" s="1399"/>
      <c r="CL880" s="1399"/>
      <c r="CM880" s="1399"/>
      <c r="CN880" s="1399"/>
      <c r="CO880" s="1399"/>
      <c r="CP880" s="1399"/>
      <c r="CQ880" s="1399"/>
      <c r="CR880" s="1399"/>
      <c r="CS880" s="1399"/>
      <c r="CT880" s="1399"/>
      <c r="CU880" s="1399"/>
      <c r="CV880" s="1399"/>
      <c r="CW880" s="1399"/>
      <c r="CX880" s="1399"/>
      <c r="CY880" s="1399"/>
      <c r="CZ880" s="1399"/>
      <c r="DA880" s="1399"/>
      <c r="DB880" s="1399"/>
      <c r="DC880" s="1399"/>
      <c r="DD880" s="1399"/>
      <c r="DE880" s="1399"/>
      <c r="DF880" s="1399"/>
      <c r="DG880" s="1399"/>
      <c r="DH880" s="1399"/>
      <c r="DI880" s="1399"/>
      <c r="DJ880" s="1399"/>
      <c r="DK880" s="1399"/>
      <c r="DL880" s="1399"/>
      <c r="DM880" s="1399"/>
      <c r="DN880" s="1399"/>
      <c r="DO880" s="1399"/>
      <c r="DP880" s="1399"/>
      <c r="DQ880" s="1399"/>
      <c r="DR880" s="1399"/>
      <c r="DS880" s="1399"/>
      <c r="DT880" s="1399"/>
      <c r="DU880" s="1399"/>
    </row>
    <row r="881" spans="1:125">
      <c r="A881" s="1414"/>
      <c r="B881" s="1414"/>
      <c r="C881" s="1414"/>
      <c r="D881" s="1414"/>
      <c r="E881" s="1414"/>
      <c r="F881" s="1414"/>
      <c r="G881" s="1414"/>
      <c r="H881" s="1414"/>
      <c r="I881" s="1414"/>
      <c r="J881" s="1414"/>
      <c r="K881" s="1414"/>
      <c r="L881" s="1414"/>
      <c r="M881" s="1414"/>
      <c r="N881" s="1414"/>
      <c r="O881" s="1414"/>
      <c r="P881" s="1414"/>
      <c r="Q881" s="1414"/>
      <c r="R881" s="1414"/>
      <c r="S881" s="1414"/>
      <c r="T881" s="1414"/>
      <c r="U881" s="1414"/>
      <c r="V881" s="1414"/>
      <c r="W881" s="1414"/>
      <c r="X881" s="1414"/>
      <c r="Y881" s="1414"/>
      <c r="Z881" s="1414"/>
      <c r="AA881" s="1414"/>
      <c r="AB881" s="1414"/>
      <c r="AC881" s="1414"/>
      <c r="AD881" s="1414"/>
      <c r="AE881" s="1414"/>
      <c r="AF881" s="1414"/>
      <c r="AG881" s="1414"/>
      <c r="AH881" s="1414"/>
      <c r="AI881" s="1414"/>
      <c r="AJ881" s="1414"/>
      <c r="AK881" s="1414"/>
      <c r="AL881" s="1414"/>
      <c r="AM881" s="1414"/>
      <c r="AN881" s="1414"/>
      <c r="AO881" s="1414"/>
      <c r="AP881" s="1414"/>
      <c r="AQ881" s="1414"/>
      <c r="AR881" s="1414"/>
      <c r="AS881" s="1414"/>
      <c r="AT881" s="1414"/>
      <c r="AU881" s="1414"/>
      <c r="AV881" s="1414"/>
      <c r="AW881" s="1414"/>
      <c r="AX881" s="1414"/>
      <c r="AY881" s="1399"/>
      <c r="AZ881" s="1399"/>
      <c r="BA881" s="1399"/>
      <c r="BB881" s="1399"/>
      <c r="BC881" s="1399"/>
      <c r="BD881" s="1399"/>
      <c r="BE881" s="1414"/>
      <c r="BF881" s="1399"/>
      <c r="BG881" s="1399"/>
      <c r="BH881" s="1399"/>
      <c r="BI881" s="1399"/>
      <c r="BJ881" s="1399"/>
      <c r="BK881" s="1399"/>
      <c r="BL881" s="1399"/>
      <c r="BM881" s="1399"/>
      <c r="BN881" s="1399"/>
      <c r="BO881" s="1399"/>
      <c r="BP881" s="1399"/>
      <c r="BQ881" s="1399"/>
      <c r="BR881" s="1399"/>
      <c r="BS881" s="1399"/>
      <c r="BT881" s="1399"/>
      <c r="BU881" s="1399"/>
      <c r="BV881" s="1399"/>
      <c r="BW881" s="1399"/>
      <c r="BX881" s="1399"/>
      <c r="BY881" s="1399"/>
      <c r="BZ881" s="1399"/>
      <c r="CA881" s="1399"/>
      <c r="CB881" s="1399"/>
      <c r="CC881" s="1399"/>
      <c r="CD881" s="1399"/>
      <c r="CE881" s="1399"/>
      <c r="CF881" s="1399"/>
      <c r="CG881" s="1399"/>
      <c r="CH881" s="1399"/>
      <c r="CI881" s="1399"/>
      <c r="CJ881" s="1399"/>
      <c r="CK881" s="1399"/>
      <c r="CL881" s="1399"/>
      <c r="CM881" s="1399"/>
      <c r="CN881" s="1399"/>
      <c r="CO881" s="1399"/>
      <c r="CP881" s="1399"/>
      <c r="CQ881" s="1399"/>
      <c r="CR881" s="1399"/>
      <c r="CS881" s="1399"/>
      <c r="CT881" s="1399"/>
      <c r="CU881" s="1399"/>
      <c r="CV881" s="1399"/>
      <c r="CW881" s="1399"/>
      <c r="CX881" s="1399"/>
      <c r="CY881" s="1399"/>
      <c r="CZ881" s="1399"/>
      <c r="DA881" s="1399"/>
      <c r="DB881" s="1399"/>
      <c r="DC881" s="1399"/>
      <c r="DD881" s="1399"/>
      <c r="DE881" s="1399"/>
      <c r="DF881" s="1399"/>
      <c r="DG881" s="1399"/>
      <c r="DH881" s="1399"/>
      <c r="DI881" s="1399"/>
      <c r="DJ881" s="1399"/>
      <c r="DK881" s="1399"/>
      <c r="DL881" s="1399"/>
      <c r="DM881" s="1399"/>
      <c r="DN881" s="1399"/>
      <c r="DO881" s="1399"/>
      <c r="DP881" s="1399"/>
      <c r="DQ881" s="1399"/>
      <c r="DR881" s="1399"/>
      <c r="DS881" s="1399"/>
      <c r="DT881" s="1399"/>
      <c r="DU881" s="1399"/>
    </row>
    <row r="882" spans="1:125">
      <c r="A882" s="1414"/>
      <c r="B882" s="1414"/>
      <c r="C882" s="1414"/>
      <c r="D882" s="1414"/>
      <c r="E882" s="1414"/>
      <c r="F882" s="1414"/>
      <c r="G882" s="1414"/>
      <c r="H882" s="1414"/>
      <c r="I882" s="1414"/>
      <c r="J882" s="1414"/>
      <c r="K882" s="1414"/>
      <c r="L882" s="1414"/>
      <c r="M882" s="1414"/>
      <c r="N882" s="1414"/>
      <c r="O882" s="1414"/>
      <c r="P882" s="1414"/>
      <c r="Q882" s="1414"/>
      <c r="R882" s="1414"/>
      <c r="S882" s="1414"/>
      <c r="T882" s="1414"/>
      <c r="U882" s="1414"/>
      <c r="V882" s="1414"/>
      <c r="W882" s="1414"/>
      <c r="X882" s="1414"/>
      <c r="Y882" s="1414"/>
      <c r="Z882" s="1414"/>
      <c r="AA882" s="1414"/>
      <c r="AB882" s="1414"/>
      <c r="AC882" s="1414"/>
      <c r="AD882" s="1414"/>
      <c r="AE882" s="1414"/>
      <c r="AF882" s="1414"/>
      <c r="AG882" s="1414"/>
      <c r="AH882" s="1414"/>
      <c r="AI882" s="1414"/>
      <c r="AJ882" s="1414"/>
      <c r="AK882" s="1414"/>
      <c r="AL882" s="1414"/>
      <c r="AM882" s="1414"/>
      <c r="AN882" s="1414"/>
      <c r="AO882" s="1414"/>
      <c r="AP882" s="1414"/>
      <c r="AQ882" s="1414"/>
      <c r="AR882" s="1414"/>
      <c r="AS882" s="1414"/>
      <c r="AT882" s="1414"/>
      <c r="AU882" s="1414"/>
      <c r="AV882" s="1414"/>
      <c r="AW882" s="1414"/>
      <c r="AX882" s="1414"/>
      <c r="AY882" s="1399"/>
      <c r="AZ882" s="1399"/>
      <c r="BA882" s="1399"/>
      <c r="BB882" s="1399"/>
      <c r="BC882" s="1399"/>
      <c r="BD882" s="1399"/>
      <c r="BE882" s="1414"/>
      <c r="BF882" s="1399"/>
      <c r="BG882" s="1399"/>
      <c r="BH882" s="1399"/>
      <c r="BI882" s="1399"/>
      <c r="BJ882" s="1399"/>
      <c r="BK882" s="1399"/>
      <c r="BL882" s="1399"/>
      <c r="BM882" s="1399"/>
      <c r="BN882" s="1399"/>
      <c r="BO882" s="1399"/>
      <c r="BP882" s="1399"/>
      <c r="BQ882" s="1399"/>
      <c r="BR882" s="1399"/>
      <c r="BS882" s="1399"/>
      <c r="BT882" s="1399"/>
      <c r="BU882" s="1399"/>
      <c r="BV882" s="1399"/>
      <c r="BW882" s="1399"/>
      <c r="BX882" s="1399"/>
      <c r="BY882" s="1399"/>
      <c r="BZ882" s="1399"/>
      <c r="CA882" s="1399"/>
      <c r="CB882" s="1399"/>
      <c r="CC882" s="1399"/>
      <c r="CD882" s="1399"/>
      <c r="CE882" s="1399"/>
      <c r="CF882" s="1399"/>
      <c r="CG882" s="1399"/>
      <c r="CH882" s="1399"/>
      <c r="CI882" s="1399"/>
      <c r="CJ882" s="1399"/>
      <c r="CK882" s="1399"/>
      <c r="CL882" s="1399"/>
      <c r="CM882" s="1399"/>
      <c r="CN882" s="1399"/>
      <c r="CO882" s="1399"/>
      <c r="CP882" s="1399"/>
      <c r="CQ882" s="1399"/>
      <c r="CR882" s="1399"/>
      <c r="CS882" s="1399"/>
      <c r="CT882" s="1399"/>
      <c r="CU882" s="1399"/>
      <c r="CV882" s="1399"/>
      <c r="CW882" s="1399"/>
      <c r="CX882" s="1399"/>
      <c r="CY882" s="1399"/>
      <c r="CZ882" s="1399"/>
      <c r="DA882" s="1399"/>
      <c r="DB882" s="1399"/>
      <c r="DC882" s="1399"/>
      <c r="DD882" s="1399"/>
      <c r="DE882" s="1399"/>
      <c r="DF882" s="1399"/>
      <c r="DG882" s="1399"/>
      <c r="DH882" s="1399"/>
      <c r="DI882" s="1399"/>
      <c r="DJ882" s="1399"/>
      <c r="DK882" s="1399"/>
      <c r="DL882" s="1399"/>
      <c r="DM882" s="1399"/>
      <c r="DN882" s="1399"/>
      <c r="DO882" s="1399"/>
      <c r="DP882" s="1399"/>
      <c r="DQ882" s="1399"/>
      <c r="DR882" s="1399"/>
      <c r="DS882" s="1399"/>
      <c r="DT882" s="1399"/>
      <c r="DU882" s="1399"/>
    </row>
    <row r="883" spans="1:125">
      <c r="A883" s="1414"/>
      <c r="B883" s="1414"/>
      <c r="C883" s="1414"/>
      <c r="D883" s="1414"/>
      <c r="E883" s="1414"/>
      <c r="F883" s="1414"/>
      <c r="G883" s="1414"/>
      <c r="H883" s="1414"/>
      <c r="I883" s="1414"/>
      <c r="J883" s="1414"/>
      <c r="K883" s="1414"/>
      <c r="L883" s="1414"/>
      <c r="M883" s="1414"/>
      <c r="N883" s="1414"/>
      <c r="O883" s="1414"/>
      <c r="P883" s="1414"/>
      <c r="Q883" s="1414"/>
      <c r="R883" s="1414"/>
      <c r="S883" s="1414"/>
      <c r="T883" s="1414"/>
      <c r="U883" s="1414"/>
      <c r="V883" s="1414"/>
      <c r="W883" s="1414"/>
      <c r="X883" s="1414"/>
      <c r="Y883" s="1414"/>
      <c r="Z883" s="1414"/>
      <c r="AA883" s="1414"/>
      <c r="AB883" s="1414"/>
      <c r="AC883" s="1414"/>
      <c r="AD883" s="1414"/>
      <c r="AE883" s="1414"/>
      <c r="AF883" s="1414"/>
      <c r="AG883" s="1414"/>
      <c r="AH883" s="1414"/>
      <c r="AI883" s="1414"/>
      <c r="AJ883" s="1414"/>
      <c r="AK883" s="1414"/>
      <c r="AL883" s="1414"/>
      <c r="AM883" s="1414"/>
      <c r="AN883" s="1414"/>
      <c r="AO883" s="1414"/>
      <c r="AP883" s="1414"/>
      <c r="AQ883" s="1414"/>
      <c r="AR883" s="1414"/>
      <c r="AS883" s="1414"/>
      <c r="AT883" s="1414"/>
      <c r="AU883" s="1414"/>
      <c r="AV883" s="1414"/>
      <c r="AW883" s="1414"/>
      <c r="AX883" s="1414"/>
      <c r="AY883" s="1399"/>
      <c r="AZ883" s="1399"/>
      <c r="BA883" s="1399"/>
      <c r="BB883" s="1399"/>
      <c r="BC883" s="1399"/>
      <c r="BD883" s="1399"/>
      <c r="BE883" s="1414"/>
      <c r="BF883" s="1399"/>
      <c r="BG883" s="1399"/>
      <c r="BH883" s="1399"/>
      <c r="BI883" s="1399"/>
      <c r="BJ883" s="1399"/>
      <c r="BK883" s="1399"/>
      <c r="BL883" s="1399"/>
      <c r="BM883" s="1399"/>
      <c r="BN883" s="1399"/>
      <c r="BO883" s="1399"/>
      <c r="BP883" s="1399"/>
      <c r="BQ883" s="1399"/>
      <c r="BR883" s="1399"/>
      <c r="BS883" s="1399"/>
      <c r="BT883" s="1399"/>
      <c r="BU883" s="1399"/>
      <c r="BV883" s="1399"/>
      <c r="BW883" s="1399"/>
      <c r="BX883" s="1399"/>
      <c r="BY883" s="1399"/>
      <c r="BZ883" s="1399"/>
      <c r="CA883" s="1399"/>
      <c r="CB883" s="1399"/>
      <c r="CC883" s="1399"/>
      <c r="CD883" s="1399"/>
      <c r="CE883" s="1399"/>
      <c r="CF883" s="1399"/>
      <c r="CG883" s="1399"/>
      <c r="CH883" s="1399"/>
      <c r="CI883" s="1399"/>
      <c r="CJ883" s="1399"/>
      <c r="CK883" s="1399"/>
      <c r="CL883" s="1399"/>
      <c r="CM883" s="1399"/>
      <c r="CN883" s="1399"/>
      <c r="CO883" s="1399"/>
      <c r="CP883" s="1399"/>
      <c r="CQ883" s="1399"/>
      <c r="CR883" s="1399"/>
      <c r="CS883" s="1399"/>
      <c r="CT883" s="1399"/>
      <c r="CU883" s="1399"/>
      <c r="CV883" s="1399"/>
      <c r="CW883" s="1399"/>
      <c r="CX883" s="1399"/>
      <c r="CY883" s="1399"/>
      <c r="CZ883" s="1399"/>
      <c r="DA883" s="1399"/>
      <c r="DB883" s="1399"/>
      <c r="DC883" s="1399"/>
      <c r="DD883" s="1399"/>
      <c r="DE883" s="1399"/>
      <c r="DF883" s="1399"/>
      <c r="DG883" s="1399"/>
      <c r="DH883" s="1399"/>
      <c r="DI883" s="1399"/>
      <c r="DJ883" s="1399"/>
      <c r="DK883" s="1399"/>
      <c r="DL883" s="1399"/>
      <c r="DM883" s="1399"/>
      <c r="DN883" s="1399"/>
      <c r="DO883" s="1399"/>
      <c r="DP883" s="1399"/>
      <c r="DQ883" s="1399"/>
      <c r="DR883" s="1399"/>
      <c r="DS883" s="1399"/>
      <c r="DT883" s="1399"/>
      <c r="DU883" s="1399"/>
    </row>
    <row r="884" spans="1:125">
      <c r="A884" s="1414"/>
      <c r="B884" s="1414"/>
      <c r="C884" s="1414"/>
      <c r="D884" s="1414"/>
      <c r="E884" s="1414"/>
      <c r="F884" s="1414"/>
      <c r="G884" s="1414"/>
      <c r="H884" s="1414"/>
      <c r="I884" s="1414"/>
      <c r="J884" s="1414"/>
      <c r="K884" s="1414"/>
      <c r="L884" s="1414"/>
      <c r="M884" s="1414"/>
      <c r="N884" s="1414"/>
      <c r="O884" s="1414"/>
      <c r="P884" s="1414"/>
      <c r="Q884" s="1414"/>
      <c r="R884" s="1414"/>
      <c r="S884" s="1414"/>
      <c r="T884" s="1414"/>
      <c r="U884" s="1414"/>
      <c r="V884" s="1414"/>
      <c r="W884" s="1414"/>
      <c r="X884" s="1414"/>
      <c r="Y884" s="1414"/>
      <c r="Z884" s="1414"/>
      <c r="AA884" s="1414"/>
      <c r="AB884" s="1414"/>
      <c r="AC884" s="1414"/>
      <c r="AD884" s="1414"/>
      <c r="AE884" s="1414"/>
      <c r="AF884" s="1414"/>
      <c r="AG884" s="1414"/>
      <c r="AH884" s="1414"/>
      <c r="AI884" s="1414"/>
      <c r="AJ884" s="1414"/>
      <c r="AK884" s="1414"/>
      <c r="AL884" s="1414"/>
      <c r="AM884" s="1414"/>
      <c r="AN884" s="1414"/>
      <c r="AO884" s="1414"/>
      <c r="AP884" s="1414"/>
      <c r="AQ884" s="1414"/>
      <c r="AR884" s="1414"/>
      <c r="AS884" s="1414"/>
      <c r="AT884" s="1414"/>
      <c r="AU884" s="1414"/>
      <c r="AV884" s="1414"/>
      <c r="AW884" s="1414"/>
      <c r="AX884" s="1414"/>
      <c r="AY884" s="1399"/>
      <c r="AZ884" s="1399"/>
      <c r="BA884" s="1399"/>
      <c r="BB884" s="1399"/>
      <c r="BC884" s="1399"/>
      <c r="BD884" s="1399"/>
      <c r="BE884" s="1414"/>
      <c r="BF884" s="1399"/>
      <c r="BG884" s="1399"/>
      <c r="BH884" s="1399"/>
      <c r="BI884" s="1399"/>
      <c r="BJ884" s="1399"/>
      <c r="BK884" s="1399"/>
      <c r="BL884" s="1399"/>
      <c r="BM884" s="1399"/>
      <c r="BN884" s="1399"/>
      <c r="BO884" s="1399"/>
      <c r="BP884" s="1399"/>
      <c r="BQ884" s="1399"/>
      <c r="BR884" s="1399"/>
      <c r="BS884" s="1399"/>
      <c r="BT884" s="1399"/>
      <c r="BU884" s="1399"/>
      <c r="BV884" s="1399"/>
      <c r="BW884" s="1399"/>
      <c r="BX884" s="1399"/>
      <c r="BY884" s="1399"/>
      <c r="BZ884" s="1399"/>
      <c r="CA884" s="1399"/>
      <c r="CB884" s="1399"/>
      <c r="CC884" s="1399"/>
      <c r="CD884" s="1399"/>
      <c r="CE884" s="1399"/>
      <c r="CF884" s="1399"/>
      <c r="CG884" s="1399"/>
      <c r="CH884" s="1399"/>
      <c r="CI884" s="1399"/>
      <c r="CJ884" s="1399"/>
      <c r="CK884" s="1399"/>
      <c r="CL884" s="1399"/>
      <c r="CM884" s="1399"/>
      <c r="CN884" s="1399"/>
      <c r="CO884" s="1399"/>
      <c r="CP884" s="1399"/>
      <c r="CQ884" s="1399"/>
      <c r="CR884" s="1399"/>
      <c r="CS884" s="1399"/>
      <c r="CT884" s="1399"/>
      <c r="CU884" s="1399"/>
      <c r="CV884" s="1399"/>
      <c r="CW884" s="1399"/>
      <c r="CX884" s="1399"/>
      <c r="CY884" s="1399"/>
      <c r="CZ884" s="1399"/>
      <c r="DA884" s="1399"/>
      <c r="DB884" s="1399"/>
      <c r="DC884" s="1399"/>
      <c r="DD884" s="1399"/>
      <c r="DE884" s="1399"/>
      <c r="DF884" s="1399"/>
      <c r="DG884" s="1399"/>
      <c r="DH884" s="1399"/>
      <c r="DI884" s="1399"/>
      <c r="DJ884" s="1399"/>
      <c r="DK884" s="1399"/>
      <c r="DL884" s="1399"/>
      <c r="DM884" s="1399"/>
      <c r="DN884" s="1399"/>
      <c r="DO884" s="1399"/>
      <c r="DP884" s="1399"/>
      <c r="DQ884" s="1399"/>
      <c r="DR884" s="1399"/>
      <c r="DS884" s="1399"/>
      <c r="DT884" s="1399"/>
      <c r="DU884" s="1399"/>
    </row>
    <row r="885" spans="1:125">
      <c r="A885" s="1414"/>
      <c r="B885" s="1414"/>
      <c r="C885" s="1414"/>
      <c r="D885" s="1414"/>
      <c r="E885" s="1414"/>
      <c r="F885" s="1414"/>
      <c r="G885" s="1414"/>
      <c r="H885" s="1414"/>
      <c r="I885" s="1414"/>
      <c r="J885" s="1414"/>
      <c r="K885" s="1414"/>
      <c r="L885" s="1414"/>
      <c r="M885" s="1414"/>
      <c r="N885" s="1414"/>
      <c r="O885" s="1414"/>
      <c r="P885" s="1414"/>
      <c r="Q885" s="1414"/>
      <c r="R885" s="1414"/>
      <c r="S885" s="1414"/>
      <c r="T885" s="1414"/>
      <c r="U885" s="1414"/>
      <c r="V885" s="1414"/>
      <c r="W885" s="1414"/>
      <c r="X885" s="1414"/>
      <c r="Y885" s="1414"/>
      <c r="Z885" s="1414"/>
      <c r="AA885" s="1414"/>
      <c r="AB885" s="1414"/>
      <c r="AC885" s="1414"/>
      <c r="AD885" s="1414"/>
      <c r="AE885" s="1414"/>
      <c r="AF885" s="1414"/>
      <c r="AG885" s="1414"/>
      <c r="AH885" s="1414"/>
      <c r="AI885" s="1414"/>
      <c r="AJ885" s="1414"/>
      <c r="AK885" s="1414"/>
      <c r="AL885" s="1414"/>
      <c r="AM885" s="1414"/>
      <c r="AN885" s="1414"/>
      <c r="AO885" s="1414"/>
      <c r="AP885" s="1414"/>
      <c r="AQ885" s="1414"/>
      <c r="AR885" s="1414"/>
      <c r="AS885" s="1414"/>
      <c r="AT885" s="1414"/>
      <c r="AU885" s="1414"/>
      <c r="AV885" s="1414"/>
      <c r="AW885" s="1414"/>
      <c r="AX885" s="1414"/>
      <c r="AY885" s="1399"/>
      <c r="AZ885" s="1399"/>
      <c r="BA885" s="1399"/>
      <c r="BB885" s="1399"/>
      <c r="BC885" s="1399"/>
      <c r="BD885" s="1399"/>
      <c r="BE885" s="1414"/>
      <c r="BF885" s="1399"/>
      <c r="BG885" s="1399"/>
      <c r="BH885" s="1399"/>
      <c r="BI885" s="1399"/>
      <c r="BJ885" s="1399"/>
      <c r="BK885" s="1399"/>
      <c r="BL885" s="1399"/>
      <c r="BM885" s="1399"/>
      <c r="BN885" s="1399"/>
      <c r="BO885" s="1399"/>
      <c r="BP885" s="1399"/>
      <c r="BQ885" s="1399"/>
      <c r="BR885" s="1399"/>
      <c r="BS885" s="1399"/>
      <c r="BT885" s="1399"/>
      <c r="BU885" s="1399"/>
      <c r="BV885" s="1399"/>
      <c r="BW885" s="1399"/>
      <c r="BX885" s="1399"/>
      <c r="BY885" s="1399"/>
      <c r="BZ885" s="1399"/>
      <c r="CA885" s="1399"/>
      <c r="CB885" s="1399"/>
      <c r="CC885" s="1399"/>
      <c r="CD885" s="1399"/>
      <c r="CE885" s="1399"/>
      <c r="CF885" s="1399"/>
      <c r="CG885" s="1399"/>
      <c r="CH885" s="1399"/>
      <c r="CI885" s="1399"/>
      <c r="CJ885" s="1399"/>
      <c r="CK885" s="1399"/>
      <c r="CL885" s="1399"/>
      <c r="CM885" s="1399"/>
      <c r="CN885" s="1399"/>
      <c r="CO885" s="1399"/>
      <c r="CP885" s="1399"/>
      <c r="CQ885" s="1399"/>
      <c r="CR885" s="1399"/>
      <c r="CS885" s="1399"/>
      <c r="CT885" s="1399"/>
      <c r="CU885" s="1399"/>
      <c r="CV885" s="1399"/>
      <c r="CW885" s="1399"/>
      <c r="CX885" s="1399"/>
      <c r="CY885" s="1399"/>
      <c r="CZ885" s="1399"/>
      <c r="DA885" s="1399"/>
      <c r="DB885" s="1399"/>
      <c r="DC885" s="1399"/>
      <c r="DD885" s="1399"/>
      <c r="DE885" s="1399"/>
      <c r="DF885" s="1399"/>
      <c r="DG885" s="1399"/>
      <c r="DH885" s="1399"/>
      <c r="DI885" s="1399"/>
      <c r="DJ885" s="1399"/>
      <c r="DK885" s="1399"/>
      <c r="DL885" s="1399"/>
      <c r="DM885" s="1399"/>
      <c r="DN885" s="1399"/>
      <c r="DO885" s="1399"/>
      <c r="DP885" s="1399"/>
      <c r="DQ885" s="1399"/>
      <c r="DR885" s="1399"/>
      <c r="DS885" s="1399"/>
      <c r="DT885" s="1399"/>
      <c r="DU885" s="1399"/>
    </row>
    <row r="886" spans="1:125">
      <c r="A886" s="1414"/>
      <c r="B886" s="1414"/>
      <c r="C886" s="1414"/>
      <c r="D886" s="1414"/>
      <c r="E886" s="1414"/>
      <c r="F886" s="1414"/>
      <c r="G886" s="1414"/>
      <c r="H886" s="1414"/>
      <c r="I886" s="1414"/>
      <c r="J886" s="1414"/>
      <c r="K886" s="1414"/>
      <c r="L886" s="1414"/>
      <c r="M886" s="1414"/>
      <c r="N886" s="1414"/>
      <c r="O886" s="1414"/>
      <c r="P886" s="1414"/>
      <c r="Q886" s="1414"/>
      <c r="R886" s="1414"/>
      <c r="S886" s="1414"/>
      <c r="T886" s="1414"/>
      <c r="U886" s="1414"/>
      <c r="V886" s="1414"/>
      <c r="W886" s="1414"/>
      <c r="X886" s="1414"/>
      <c r="Y886" s="1414"/>
      <c r="Z886" s="1414"/>
      <c r="AA886" s="1414"/>
      <c r="AB886" s="1414"/>
      <c r="AC886" s="1414"/>
      <c r="AD886" s="1414"/>
      <c r="AE886" s="1414"/>
      <c r="AF886" s="1414"/>
      <c r="AG886" s="1414"/>
      <c r="AH886" s="1414"/>
      <c r="AI886" s="1414"/>
      <c r="AJ886" s="1414"/>
      <c r="AK886" s="1414"/>
      <c r="AL886" s="1414"/>
      <c r="AM886" s="1414"/>
      <c r="AN886" s="1414"/>
      <c r="AO886" s="1414"/>
      <c r="AP886" s="1414"/>
      <c r="AQ886" s="1414"/>
      <c r="AR886" s="1414"/>
      <c r="AS886" s="1414"/>
      <c r="AT886" s="1414"/>
      <c r="AU886" s="1414"/>
      <c r="AV886" s="1414"/>
      <c r="AW886" s="1414"/>
      <c r="AX886" s="1414"/>
      <c r="AY886" s="1399"/>
      <c r="AZ886" s="1399"/>
      <c r="BA886" s="1399"/>
      <c r="BB886" s="1399"/>
      <c r="BC886" s="1399"/>
      <c r="BD886" s="1399"/>
      <c r="BE886" s="1414"/>
      <c r="BF886" s="1399"/>
      <c r="BG886" s="1399"/>
      <c r="BH886" s="1399"/>
      <c r="BI886" s="1399"/>
      <c r="BJ886" s="1399"/>
      <c r="BK886" s="1399"/>
      <c r="BL886" s="1399"/>
      <c r="BM886" s="1399"/>
      <c r="BN886" s="1399"/>
      <c r="BO886" s="1399"/>
      <c r="BP886" s="1399"/>
      <c r="BQ886" s="1399"/>
      <c r="BR886" s="1399"/>
      <c r="BS886" s="1399"/>
      <c r="BT886" s="1399"/>
      <c r="BU886" s="1399"/>
      <c r="BV886" s="1399"/>
      <c r="BW886" s="1399"/>
      <c r="BX886" s="1399"/>
      <c r="BY886" s="1399"/>
      <c r="BZ886" s="1399"/>
      <c r="CA886" s="1399"/>
      <c r="CB886" s="1399"/>
      <c r="CC886" s="1399"/>
      <c r="CD886" s="1399"/>
      <c r="CE886" s="1399"/>
      <c r="CF886" s="1399"/>
      <c r="CG886" s="1399"/>
      <c r="CH886" s="1399"/>
      <c r="CI886" s="1399"/>
      <c r="CJ886" s="1399"/>
      <c r="CK886" s="1399"/>
      <c r="CL886" s="1399"/>
      <c r="CM886" s="1399"/>
      <c r="CN886" s="1399"/>
      <c r="CO886" s="1399"/>
      <c r="CP886" s="1399"/>
      <c r="CQ886" s="1399"/>
      <c r="CR886" s="1399"/>
      <c r="CS886" s="1399"/>
      <c r="CT886" s="1399"/>
      <c r="CU886" s="1399"/>
      <c r="CV886" s="1399"/>
      <c r="CW886" s="1399"/>
      <c r="CX886" s="1399"/>
      <c r="CY886" s="1399"/>
      <c r="CZ886" s="1399"/>
      <c r="DA886" s="1399"/>
      <c r="DB886" s="1399"/>
      <c r="DC886" s="1399"/>
      <c r="DD886" s="1399"/>
      <c r="DE886" s="1399"/>
      <c r="DF886" s="1399"/>
      <c r="DG886" s="1399"/>
      <c r="DH886" s="1399"/>
      <c r="DI886" s="1399"/>
      <c r="DJ886" s="1399"/>
      <c r="DK886" s="1399"/>
      <c r="DL886" s="1399"/>
      <c r="DM886" s="1399"/>
      <c r="DN886" s="1399"/>
      <c r="DO886" s="1399"/>
      <c r="DP886" s="1399"/>
      <c r="DQ886" s="1399"/>
      <c r="DR886" s="1399"/>
      <c r="DS886" s="1399"/>
      <c r="DT886" s="1399"/>
      <c r="DU886" s="1399"/>
    </row>
    <row r="887" spans="1:125">
      <c r="A887" s="1414"/>
      <c r="B887" s="1414"/>
      <c r="C887" s="1414"/>
      <c r="D887" s="1414"/>
      <c r="E887" s="1414"/>
      <c r="F887" s="1414"/>
      <c r="G887" s="1414"/>
      <c r="H887" s="1414"/>
      <c r="I887" s="1414"/>
      <c r="J887" s="1414"/>
      <c r="K887" s="1414"/>
      <c r="L887" s="1414"/>
      <c r="M887" s="1414"/>
      <c r="N887" s="1414"/>
      <c r="O887" s="1414"/>
      <c r="P887" s="1414"/>
      <c r="Q887" s="1414"/>
      <c r="R887" s="1414"/>
      <c r="S887" s="1414"/>
      <c r="T887" s="1414"/>
      <c r="U887" s="1414"/>
      <c r="V887" s="1414"/>
      <c r="W887" s="1414"/>
      <c r="X887" s="1414"/>
      <c r="Y887" s="1414"/>
      <c r="Z887" s="1414"/>
      <c r="AA887" s="1414"/>
      <c r="AB887" s="1414"/>
      <c r="AC887" s="1414"/>
      <c r="AD887" s="1414"/>
      <c r="AE887" s="1414"/>
      <c r="AF887" s="1414"/>
      <c r="AG887" s="1414"/>
      <c r="AH887" s="1414"/>
      <c r="AI887" s="1414"/>
      <c r="AJ887" s="1414"/>
      <c r="AK887" s="1414"/>
      <c r="AL887" s="1414"/>
      <c r="AM887" s="1414"/>
      <c r="AN887" s="1414"/>
      <c r="AO887" s="1414"/>
      <c r="AP887" s="1414"/>
      <c r="AQ887" s="1414"/>
      <c r="AR887" s="1414"/>
      <c r="AS887" s="1414"/>
      <c r="AT887" s="1414"/>
      <c r="AU887" s="1414"/>
      <c r="AV887" s="1414"/>
      <c r="AW887" s="1414"/>
      <c r="AX887" s="1414"/>
      <c r="AY887" s="1399"/>
      <c r="AZ887" s="1399"/>
      <c r="BA887" s="1399"/>
      <c r="BB887" s="1399"/>
      <c r="BC887" s="1399"/>
      <c r="BD887" s="1399"/>
      <c r="BE887" s="1414"/>
      <c r="BF887" s="1399"/>
      <c r="BG887" s="1399"/>
      <c r="BH887" s="1399"/>
      <c r="BI887" s="1399"/>
      <c r="BJ887" s="1399"/>
      <c r="BK887" s="1399"/>
      <c r="BL887" s="1399"/>
      <c r="BM887" s="1399"/>
      <c r="BN887" s="1399"/>
      <c r="BO887" s="1399"/>
      <c r="BP887" s="1399"/>
      <c r="BQ887" s="1399"/>
      <c r="BR887" s="1399"/>
      <c r="BS887" s="1399"/>
      <c r="BT887" s="1399"/>
      <c r="BU887" s="1399"/>
      <c r="BV887" s="1399"/>
      <c r="BW887" s="1399"/>
      <c r="BX887" s="1399"/>
      <c r="BY887" s="1399"/>
      <c r="BZ887" s="1399"/>
      <c r="CA887" s="1399"/>
      <c r="CB887" s="1399"/>
      <c r="CC887" s="1399"/>
      <c r="CD887" s="1399"/>
      <c r="CE887" s="1399"/>
      <c r="CF887" s="1399"/>
      <c r="CG887" s="1399"/>
      <c r="CH887" s="1399"/>
      <c r="CI887" s="1399"/>
      <c r="CJ887" s="1399"/>
      <c r="CK887" s="1399"/>
      <c r="CL887" s="1399"/>
      <c r="CM887" s="1399"/>
      <c r="CN887" s="1399"/>
      <c r="CO887" s="1399"/>
      <c r="CP887" s="1399"/>
      <c r="CQ887" s="1399"/>
      <c r="CR887" s="1399"/>
      <c r="CS887" s="1399"/>
      <c r="CT887" s="1399"/>
      <c r="CU887" s="1399"/>
      <c r="CV887" s="1399"/>
      <c r="CW887" s="1399"/>
      <c r="CX887" s="1399"/>
      <c r="CY887" s="1399"/>
      <c r="CZ887" s="1399"/>
      <c r="DA887" s="1399"/>
      <c r="DB887" s="1399"/>
      <c r="DC887" s="1399"/>
      <c r="DD887" s="1399"/>
      <c r="DE887" s="1399"/>
      <c r="DF887" s="1399"/>
      <c r="DG887" s="1399"/>
      <c r="DH887" s="1399"/>
      <c r="DI887" s="1399"/>
      <c r="DJ887" s="1399"/>
      <c r="DK887" s="1399"/>
      <c r="DL887" s="1399"/>
      <c r="DM887" s="1399"/>
      <c r="DN887" s="1399"/>
      <c r="DO887" s="1399"/>
      <c r="DP887" s="1399"/>
      <c r="DQ887" s="1399"/>
      <c r="DR887" s="1399"/>
      <c r="DS887" s="1399"/>
      <c r="DT887" s="1399"/>
      <c r="DU887" s="1399"/>
    </row>
    <row r="888" spans="1:125">
      <c r="A888" s="1414"/>
      <c r="B888" s="1414"/>
      <c r="C888" s="1414"/>
      <c r="D888" s="1414"/>
      <c r="E888" s="1414"/>
      <c r="F888" s="1414"/>
      <c r="G888" s="1414"/>
      <c r="H888" s="1414"/>
      <c r="I888" s="1414"/>
      <c r="J888" s="1414"/>
      <c r="K888" s="1414"/>
      <c r="L888" s="1414"/>
      <c r="M888" s="1414"/>
      <c r="N888" s="1414"/>
      <c r="O888" s="1414"/>
      <c r="P888" s="1414"/>
      <c r="Q888" s="1414"/>
      <c r="R888" s="1414"/>
      <c r="S888" s="1414"/>
      <c r="T888" s="1414"/>
      <c r="U888" s="1414"/>
      <c r="V888" s="1414"/>
      <c r="W888" s="1414"/>
      <c r="X888" s="1414"/>
      <c r="Y888" s="1414"/>
      <c r="Z888" s="1414"/>
      <c r="AA888" s="1414"/>
      <c r="AB888" s="1414"/>
      <c r="AC888" s="1414"/>
      <c r="AD888" s="1414"/>
      <c r="AE888" s="1414"/>
      <c r="AF888" s="1414"/>
      <c r="AG888" s="1414"/>
      <c r="AH888" s="1414"/>
      <c r="AI888" s="1414"/>
      <c r="AJ888" s="1414"/>
      <c r="AK888" s="1414"/>
      <c r="AL888" s="1414"/>
      <c r="AM888" s="1414"/>
      <c r="AN888" s="1414"/>
      <c r="AO888" s="1414"/>
      <c r="AP888" s="1414"/>
      <c r="AQ888" s="1414"/>
      <c r="AR888" s="1414"/>
      <c r="AS888" s="1414"/>
      <c r="AT888" s="1414"/>
      <c r="AU888" s="1414"/>
      <c r="AV888" s="1414"/>
      <c r="AW888" s="1414"/>
      <c r="AX888" s="1414"/>
      <c r="AY888" s="1399"/>
      <c r="AZ888" s="1399"/>
      <c r="BA888" s="1399"/>
      <c r="BB888" s="1399"/>
      <c r="BC888" s="1399"/>
      <c r="BD888" s="1399"/>
      <c r="BE888" s="1414"/>
      <c r="BF888" s="1399"/>
      <c r="BG888" s="1399"/>
      <c r="BH888" s="1399"/>
      <c r="BI888" s="1399"/>
      <c r="BJ888" s="1399"/>
      <c r="BK888" s="1399"/>
      <c r="BL888" s="1399"/>
      <c r="BM888" s="1399"/>
      <c r="BN888" s="1399"/>
      <c r="BO888" s="1399"/>
      <c r="BP888" s="1399"/>
      <c r="BQ888" s="1399"/>
      <c r="BR888" s="1399"/>
      <c r="BS888" s="1399"/>
      <c r="BT888" s="1399"/>
      <c r="BU888" s="1399"/>
      <c r="BV888" s="1399"/>
      <c r="BW888" s="1399"/>
      <c r="BX888" s="1399"/>
      <c r="BY888" s="1399"/>
      <c r="BZ888" s="1399"/>
      <c r="CA888" s="1399"/>
      <c r="CB888" s="1399"/>
      <c r="CC888" s="1399"/>
      <c r="CD888" s="1399"/>
      <c r="CE888" s="1399"/>
      <c r="CF888" s="1399"/>
      <c r="CG888" s="1399"/>
      <c r="CH888" s="1399"/>
      <c r="CI888" s="1399"/>
      <c r="CJ888" s="1399"/>
      <c r="CK888" s="1399"/>
      <c r="CL888" s="1399"/>
      <c r="CM888" s="1399"/>
      <c r="CN888" s="1399"/>
      <c r="CO888" s="1399"/>
      <c r="CP888" s="1399"/>
      <c r="CQ888" s="1399"/>
      <c r="CR888" s="1399"/>
      <c r="CS888" s="1399"/>
      <c r="CT888" s="1399"/>
      <c r="CU888" s="1399"/>
      <c r="CV888" s="1399"/>
      <c r="CW888" s="1399"/>
      <c r="CX888" s="1399"/>
      <c r="CY888" s="1399"/>
      <c r="CZ888" s="1399"/>
      <c r="DA888" s="1399"/>
      <c r="DB888" s="1399"/>
      <c r="DC888" s="1399"/>
      <c r="DD888" s="1399"/>
      <c r="DE888" s="1399"/>
      <c r="DF888" s="1399"/>
      <c r="DG888" s="1399"/>
      <c r="DH888" s="1399"/>
      <c r="DI888" s="1399"/>
      <c r="DJ888" s="1399"/>
      <c r="DK888" s="1399"/>
      <c r="DL888" s="1399"/>
      <c r="DM888" s="1399"/>
      <c r="DN888" s="1399"/>
      <c r="DO888" s="1399"/>
      <c r="DP888" s="1399"/>
      <c r="DQ888" s="1399"/>
      <c r="DR888" s="1399"/>
      <c r="DS888" s="1399"/>
      <c r="DT888" s="1399"/>
      <c r="DU888" s="1399"/>
    </row>
    <row r="889" spans="1:125">
      <c r="A889" s="1414"/>
      <c r="B889" s="1414"/>
      <c r="C889" s="1414"/>
      <c r="D889" s="1414"/>
      <c r="E889" s="1414"/>
      <c r="F889" s="1414"/>
      <c r="G889" s="1414"/>
      <c r="H889" s="1414"/>
      <c r="I889" s="1414"/>
      <c r="J889" s="1414"/>
      <c r="K889" s="1414"/>
      <c r="L889" s="1414"/>
      <c r="M889" s="1414"/>
      <c r="N889" s="1414"/>
      <c r="O889" s="1414"/>
      <c r="P889" s="1414"/>
      <c r="Q889" s="1414"/>
      <c r="R889" s="1414"/>
      <c r="S889" s="1414"/>
      <c r="T889" s="1414"/>
      <c r="U889" s="1414"/>
      <c r="V889" s="1414"/>
      <c r="W889" s="1414"/>
      <c r="X889" s="1414"/>
      <c r="Y889" s="1414"/>
      <c r="Z889" s="1414"/>
      <c r="AA889" s="1414"/>
      <c r="AB889" s="1414"/>
      <c r="AC889" s="1414"/>
      <c r="AD889" s="1414"/>
      <c r="AE889" s="1414"/>
      <c r="AF889" s="1414"/>
      <c r="AG889" s="1414"/>
      <c r="AH889" s="1414"/>
      <c r="AI889" s="1414"/>
      <c r="AJ889" s="1414"/>
      <c r="AK889" s="1414"/>
      <c r="AL889" s="1414"/>
      <c r="AM889" s="1414"/>
      <c r="AN889" s="1414"/>
      <c r="AO889" s="1414"/>
      <c r="AP889" s="1414"/>
      <c r="AQ889" s="1414"/>
      <c r="AR889" s="1414"/>
      <c r="AS889" s="1414"/>
      <c r="AT889" s="1414"/>
      <c r="AU889" s="1414"/>
      <c r="AV889" s="1414"/>
      <c r="AW889" s="1414"/>
      <c r="AX889" s="1414"/>
      <c r="AY889" s="1399"/>
      <c r="AZ889" s="1399"/>
      <c r="BA889" s="1399"/>
      <c r="BB889" s="1399"/>
      <c r="BC889" s="1399"/>
      <c r="BD889" s="1399"/>
      <c r="BE889" s="1414"/>
      <c r="BF889" s="1399"/>
      <c r="BG889" s="1399"/>
      <c r="BH889" s="1399"/>
      <c r="BI889" s="1399"/>
      <c r="BJ889" s="1399"/>
      <c r="BK889" s="1399"/>
      <c r="BL889" s="1399"/>
      <c r="BM889" s="1399"/>
      <c r="BN889" s="1399"/>
      <c r="BO889" s="1399"/>
      <c r="BP889" s="1399"/>
      <c r="BQ889" s="1399"/>
      <c r="BR889" s="1399"/>
      <c r="BS889" s="1399"/>
      <c r="BT889" s="1399"/>
      <c r="BU889" s="1399"/>
      <c r="BV889" s="1399"/>
      <c r="BW889" s="1399"/>
      <c r="BX889" s="1399"/>
      <c r="BY889" s="1399"/>
      <c r="BZ889" s="1399"/>
      <c r="CA889" s="1399"/>
      <c r="CB889" s="1399"/>
      <c r="CC889" s="1399"/>
      <c r="CD889" s="1399"/>
      <c r="CE889" s="1399"/>
      <c r="CF889" s="1399"/>
      <c r="CG889" s="1399"/>
      <c r="CH889" s="1399"/>
      <c r="CI889" s="1399"/>
      <c r="CJ889" s="1399"/>
      <c r="CK889" s="1399"/>
      <c r="CL889" s="1399"/>
      <c r="CM889" s="1399"/>
      <c r="CN889" s="1399"/>
      <c r="CO889" s="1399"/>
      <c r="CP889" s="1399"/>
      <c r="CQ889" s="1399"/>
      <c r="CR889" s="1399"/>
      <c r="CS889" s="1399"/>
      <c r="CT889" s="1399"/>
      <c r="CU889" s="1399"/>
      <c r="CV889" s="1399"/>
      <c r="CW889" s="1399"/>
      <c r="CX889" s="1399"/>
      <c r="CY889" s="1399"/>
      <c r="CZ889" s="1399"/>
      <c r="DA889" s="1399"/>
      <c r="DB889" s="1399"/>
      <c r="DC889" s="1399"/>
      <c r="DD889" s="1399"/>
      <c r="DE889" s="1399"/>
      <c r="DF889" s="1399"/>
      <c r="DG889" s="1399"/>
      <c r="DH889" s="1399"/>
      <c r="DI889" s="1399"/>
      <c r="DJ889" s="1399"/>
      <c r="DK889" s="1399"/>
      <c r="DL889" s="1399"/>
      <c r="DM889" s="1399"/>
      <c r="DN889" s="1399"/>
      <c r="DO889" s="1399"/>
      <c r="DP889" s="1399"/>
      <c r="DQ889" s="1399"/>
      <c r="DR889" s="1399"/>
      <c r="DS889" s="1399"/>
      <c r="DT889" s="1399"/>
      <c r="DU889" s="1399"/>
    </row>
    <row r="890" spans="1:125">
      <c r="A890" s="1414"/>
      <c r="B890" s="1414"/>
      <c r="C890" s="1414"/>
      <c r="D890" s="1414"/>
      <c r="E890" s="1414"/>
      <c r="F890" s="1414"/>
      <c r="G890" s="1414"/>
      <c r="H890" s="1414"/>
      <c r="I890" s="1414"/>
      <c r="J890" s="1414"/>
      <c r="K890" s="1414"/>
      <c r="L890" s="1414"/>
      <c r="M890" s="1414"/>
      <c r="N890" s="1414"/>
      <c r="O890" s="1414"/>
      <c r="P890" s="1414"/>
      <c r="Q890" s="1414"/>
      <c r="R890" s="1414"/>
      <c r="S890" s="1414"/>
      <c r="T890" s="1414"/>
      <c r="U890" s="1414"/>
      <c r="V890" s="1414"/>
      <c r="W890" s="1414"/>
      <c r="X890" s="1414"/>
      <c r="Y890" s="1414"/>
      <c r="Z890" s="1414"/>
      <c r="AA890" s="1414"/>
      <c r="AB890" s="1414"/>
      <c r="AC890" s="1414"/>
      <c r="AD890" s="1414"/>
      <c r="AE890" s="1414"/>
      <c r="AF890" s="1414"/>
      <c r="AG890" s="1414"/>
      <c r="AH890" s="1414"/>
      <c r="AI890" s="1414"/>
      <c r="AJ890" s="1414"/>
      <c r="AK890" s="1414"/>
      <c r="AL890" s="1414"/>
      <c r="AM890" s="1414"/>
      <c r="AN890" s="1414"/>
      <c r="AO890" s="1414"/>
      <c r="AP890" s="1414"/>
      <c r="AQ890" s="1414"/>
      <c r="AR890" s="1414"/>
      <c r="AS890" s="1414"/>
      <c r="AT890" s="1414"/>
      <c r="AU890" s="1414"/>
      <c r="AV890" s="1414"/>
      <c r="AW890" s="1414"/>
      <c r="AX890" s="1414"/>
      <c r="AY890" s="1399"/>
      <c r="AZ890" s="1399"/>
      <c r="BA890" s="1399"/>
      <c r="BB890" s="1399"/>
      <c r="BC890" s="1399"/>
      <c r="BD890" s="1399"/>
      <c r="BE890" s="1414"/>
      <c r="BF890" s="1399"/>
      <c r="BG890" s="1399"/>
      <c r="BH890" s="1399"/>
      <c r="BI890" s="1399"/>
      <c r="BJ890" s="1399"/>
      <c r="BK890" s="1399"/>
      <c r="BL890" s="1399"/>
      <c r="BM890" s="1399"/>
      <c r="BN890" s="1399"/>
      <c r="BO890" s="1399"/>
      <c r="BP890" s="1399"/>
      <c r="BQ890" s="1399"/>
      <c r="BR890" s="1399"/>
      <c r="BS890" s="1399"/>
      <c r="BT890" s="1399"/>
      <c r="BU890" s="1399"/>
      <c r="BV890" s="1399"/>
      <c r="BW890" s="1399"/>
      <c r="BX890" s="1399"/>
      <c r="BY890" s="1399"/>
      <c r="BZ890" s="1399"/>
      <c r="CA890" s="1399"/>
      <c r="CB890" s="1399"/>
      <c r="CC890" s="1399"/>
      <c r="CD890" s="1399"/>
      <c r="CE890" s="1399"/>
      <c r="CF890" s="1399"/>
      <c r="CG890" s="1399"/>
      <c r="CH890" s="1399"/>
      <c r="CI890" s="1399"/>
      <c r="CJ890" s="1399"/>
      <c r="CK890" s="1399"/>
      <c r="CL890" s="1399"/>
      <c r="CM890" s="1399"/>
      <c r="CN890" s="1399"/>
      <c r="CO890" s="1399"/>
      <c r="CP890" s="1399"/>
      <c r="CQ890" s="1399"/>
      <c r="CR890" s="1399"/>
      <c r="CS890" s="1399"/>
      <c r="CT890" s="1399"/>
      <c r="CU890" s="1399"/>
      <c r="CV890" s="1399"/>
      <c r="CW890" s="1399"/>
      <c r="CX890" s="1399"/>
      <c r="CY890" s="1399"/>
      <c r="CZ890" s="1399"/>
      <c r="DA890" s="1399"/>
      <c r="DB890" s="1399"/>
      <c r="DC890" s="1399"/>
      <c r="DD890" s="1399"/>
      <c r="DE890" s="1399"/>
      <c r="DF890" s="1399"/>
      <c r="DG890" s="1399"/>
      <c r="DH890" s="1399"/>
      <c r="DI890" s="1399"/>
      <c r="DJ890" s="1399"/>
      <c r="DK890" s="1399"/>
      <c r="DL890" s="1399"/>
      <c r="DM890" s="1399"/>
      <c r="DN890" s="1399"/>
      <c r="DO890" s="1399"/>
      <c r="DP890" s="1399"/>
      <c r="DQ890" s="1399"/>
      <c r="DR890" s="1399"/>
      <c r="DS890" s="1399"/>
      <c r="DT890" s="1399"/>
      <c r="DU890" s="1399"/>
    </row>
    <row r="891" spans="1:125">
      <c r="A891" s="1414"/>
      <c r="B891" s="1414"/>
      <c r="C891" s="1414"/>
      <c r="D891" s="1414"/>
      <c r="E891" s="1414"/>
      <c r="F891" s="1414"/>
      <c r="G891" s="1414"/>
      <c r="H891" s="1414"/>
      <c r="I891" s="1414"/>
      <c r="J891" s="1414"/>
      <c r="K891" s="1414"/>
      <c r="L891" s="1414"/>
      <c r="M891" s="1414"/>
      <c r="N891" s="1414"/>
      <c r="O891" s="1414"/>
      <c r="P891" s="1414"/>
      <c r="Q891" s="1414"/>
      <c r="R891" s="1414"/>
      <c r="S891" s="1414"/>
      <c r="T891" s="1414"/>
      <c r="U891" s="1414"/>
      <c r="V891" s="1414"/>
      <c r="W891" s="1414"/>
      <c r="X891" s="1414"/>
      <c r="Y891" s="1414"/>
      <c r="Z891" s="1414"/>
      <c r="AA891" s="1414"/>
      <c r="AB891" s="1414"/>
      <c r="AC891" s="1414"/>
      <c r="AD891" s="1414"/>
      <c r="AE891" s="1414"/>
      <c r="AF891" s="1414"/>
      <c r="AG891" s="1414"/>
      <c r="AH891" s="1414"/>
      <c r="AI891" s="1414"/>
      <c r="AJ891" s="1414"/>
      <c r="AK891" s="1414"/>
      <c r="AL891" s="1414"/>
      <c r="AM891" s="1414"/>
      <c r="AN891" s="1414"/>
      <c r="AO891" s="1414"/>
      <c r="AP891" s="1414"/>
      <c r="AQ891" s="1414"/>
      <c r="AR891" s="1414"/>
      <c r="AS891" s="1414"/>
      <c r="AT891" s="1414"/>
      <c r="AU891" s="1414"/>
      <c r="AV891" s="1414"/>
      <c r="AW891" s="1414"/>
      <c r="AX891" s="1414"/>
      <c r="AY891" s="1399"/>
      <c r="AZ891" s="1399"/>
      <c r="BA891" s="1399"/>
      <c r="BB891" s="1399"/>
      <c r="BC891" s="1399"/>
      <c r="BD891" s="1399"/>
      <c r="BE891" s="1414"/>
      <c r="BF891" s="1399"/>
      <c r="BG891" s="1399"/>
      <c r="BH891" s="1399"/>
      <c r="BI891" s="1399"/>
      <c r="BJ891" s="1399"/>
      <c r="BK891" s="1399"/>
      <c r="BL891" s="1399"/>
      <c r="BM891" s="1399"/>
      <c r="BN891" s="1399"/>
      <c r="BO891" s="1399"/>
      <c r="BP891" s="1399"/>
      <c r="BQ891" s="1399"/>
      <c r="BR891" s="1399"/>
      <c r="BS891" s="1399"/>
      <c r="BT891" s="1399"/>
      <c r="BU891" s="1399"/>
      <c r="BV891" s="1399"/>
      <c r="BW891" s="1399"/>
      <c r="BX891" s="1399"/>
      <c r="BY891" s="1399"/>
      <c r="BZ891" s="1399"/>
      <c r="CA891" s="1399"/>
      <c r="CB891" s="1399"/>
      <c r="CC891" s="1399"/>
      <c r="CD891" s="1399"/>
      <c r="CE891" s="1399"/>
      <c r="CF891" s="1399"/>
      <c r="CG891" s="1399"/>
      <c r="CH891" s="1399"/>
      <c r="CI891" s="1399"/>
      <c r="CJ891" s="1399"/>
      <c r="CK891" s="1399"/>
      <c r="CL891" s="1399"/>
      <c r="CM891" s="1399"/>
      <c r="CN891" s="1399"/>
      <c r="CO891" s="1399"/>
      <c r="CP891" s="1399"/>
      <c r="CQ891" s="1399"/>
      <c r="CR891" s="1399"/>
      <c r="CS891" s="1399"/>
      <c r="CT891" s="1399"/>
      <c r="CU891" s="1399"/>
      <c r="CV891" s="1399"/>
      <c r="CW891" s="1399"/>
      <c r="CX891" s="1399"/>
      <c r="CY891" s="1399"/>
      <c r="CZ891" s="1399"/>
      <c r="DA891" s="1399"/>
      <c r="DB891" s="1399"/>
      <c r="DC891" s="1399"/>
      <c r="DD891" s="1399"/>
      <c r="DE891" s="1399"/>
      <c r="DF891" s="1399"/>
      <c r="DG891" s="1399"/>
      <c r="DH891" s="1399"/>
      <c r="DI891" s="1399"/>
      <c r="DJ891" s="1399"/>
      <c r="DK891" s="1399"/>
      <c r="DL891" s="1399"/>
      <c r="DM891" s="1399"/>
      <c r="DN891" s="1399"/>
      <c r="DO891" s="1399"/>
      <c r="DP891" s="1399"/>
      <c r="DQ891" s="1399"/>
      <c r="DR891" s="1399"/>
      <c r="DS891" s="1399"/>
      <c r="DT891" s="1399"/>
      <c r="DU891" s="1399"/>
    </row>
    <row r="892" spans="1:125">
      <c r="A892" s="1414"/>
      <c r="B892" s="1414"/>
      <c r="C892" s="1414"/>
      <c r="D892" s="1414"/>
      <c r="E892" s="1414"/>
      <c r="F892" s="1414"/>
      <c r="G892" s="1414"/>
      <c r="H892" s="1414"/>
      <c r="I892" s="1414"/>
      <c r="J892" s="1414"/>
      <c r="K892" s="1414"/>
      <c r="L892" s="1414"/>
      <c r="M892" s="1414"/>
      <c r="N892" s="1414"/>
      <c r="O892" s="1414"/>
      <c r="P892" s="1414"/>
      <c r="Q892" s="1414"/>
      <c r="R892" s="1414"/>
      <c r="S892" s="1414"/>
      <c r="T892" s="1414"/>
      <c r="U892" s="1414"/>
      <c r="V892" s="1414"/>
      <c r="W892" s="1414"/>
      <c r="X892" s="1414"/>
      <c r="Y892" s="1414"/>
      <c r="Z892" s="1414"/>
      <c r="AA892" s="1414"/>
      <c r="AB892" s="1414"/>
      <c r="AC892" s="1414"/>
      <c r="AD892" s="1414"/>
      <c r="AE892" s="1414"/>
      <c r="AF892" s="1414"/>
      <c r="AG892" s="1414"/>
      <c r="AH892" s="1414"/>
      <c r="AI892" s="1414"/>
      <c r="AJ892" s="1414"/>
      <c r="AK892" s="1414"/>
      <c r="AL892" s="1414"/>
      <c r="AM892" s="1414"/>
      <c r="AN892" s="1414"/>
      <c r="AO892" s="1414"/>
      <c r="AP892" s="1414"/>
      <c r="AQ892" s="1414"/>
      <c r="AR892" s="1414"/>
      <c r="AS892" s="1414"/>
      <c r="AT892" s="1414"/>
      <c r="AU892" s="1414"/>
      <c r="AV892" s="1414"/>
      <c r="AW892" s="1414"/>
      <c r="AX892" s="1414"/>
      <c r="AY892" s="1399"/>
      <c r="AZ892" s="1399"/>
      <c r="BA892" s="1399"/>
      <c r="BB892" s="1399"/>
      <c r="BC892" s="1399"/>
      <c r="BD892" s="1399"/>
      <c r="BE892" s="1414"/>
      <c r="BF892" s="1399"/>
      <c r="BG892" s="1399"/>
      <c r="BH892" s="1399"/>
      <c r="BI892" s="1399"/>
      <c r="BJ892" s="1399"/>
      <c r="BK892" s="1399"/>
      <c r="BL892" s="1399"/>
      <c r="BM892" s="1399"/>
      <c r="BN892" s="1399"/>
      <c r="BO892" s="1399"/>
      <c r="BP892" s="1399"/>
      <c r="BQ892" s="1399"/>
      <c r="BR892" s="1399"/>
      <c r="BS892" s="1399"/>
      <c r="BT892" s="1399"/>
      <c r="BU892" s="1399"/>
      <c r="BV892" s="1399"/>
      <c r="BW892" s="1399"/>
      <c r="BX892" s="1399"/>
      <c r="BY892" s="1399"/>
      <c r="BZ892" s="1399"/>
      <c r="CA892" s="1399"/>
      <c r="CB892" s="1399"/>
      <c r="CC892" s="1399"/>
      <c r="CD892" s="1399"/>
      <c r="CE892" s="1399"/>
      <c r="CF892" s="1399"/>
      <c r="CG892" s="1399"/>
      <c r="CH892" s="1399"/>
      <c r="CI892" s="1399"/>
      <c r="CJ892" s="1399"/>
      <c r="CK892" s="1399"/>
      <c r="CL892" s="1399"/>
      <c r="CM892" s="1399"/>
      <c r="CN892" s="1399"/>
      <c r="CO892" s="1399"/>
      <c r="CP892" s="1399"/>
      <c r="CQ892" s="1399"/>
      <c r="CR892" s="1399"/>
      <c r="CS892" s="1399"/>
      <c r="CT892" s="1399"/>
      <c r="CU892" s="1399"/>
      <c r="CV892" s="1399"/>
      <c r="CW892" s="1399"/>
      <c r="CX892" s="1399"/>
      <c r="CY892" s="1399"/>
      <c r="CZ892" s="1399"/>
      <c r="DA892" s="1399"/>
      <c r="DB892" s="1399"/>
      <c r="DC892" s="1399"/>
      <c r="DD892" s="1399"/>
      <c r="DE892" s="1399"/>
      <c r="DF892" s="1399"/>
      <c r="DG892" s="1399"/>
      <c r="DH892" s="1399"/>
      <c r="DI892" s="1399"/>
      <c r="DJ892" s="1399"/>
      <c r="DK892" s="1399"/>
      <c r="DL892" s="1399"/>
      <c r="DM892" s="1399"/>
      <c r="DN892" s="1399"/>
      <c r="DO892" s="1399"/>
      <c r="DP892" s="1399"/>
      <c r="DQ892" s="1399"/>
      <c r="DR892" s="1399"/>
      <c r="DS892" s="1399"/>
      <c r="DT892" s="1399"/>
      <c r="DU892" s="1399"/>
    </row>
    <row r="893" spans="1:125">
      <c r="A893" s="1414"/>
      <c r="B893" s="1414"/>
      <c r="C893" s="1414"/>
      <c r="D893" s="1414"/>
      <c r="E893" s="1414"/>
      <c r="F893" s="1414"/>
      <c r="G893" s="1414"/>
      <c r="H893" s="1414"/>
      <c r="I893" s="1414"/>
      <c r="J893" s="1414"/>
      <c r="K893" s="1414"/>
      <c r="L893" s="1414"/>
      <c r="M893" s="1414"/>
      <c r="N893" s="1414"/>
      <c r="O893" s="1414"/>
      <c r="P893" s="1414"/>
      <c r="Q893" s="1414"/>
      <c r="R893" s="1414"/>
      <c r="S893" s="1414"/>
      <c r="T893" s="1414"/>
      <c r="U893" s="1414"/>
      <c r="V893" s="1414"/>
      <c r="W893" s="1414"/>
      <c r="X893" s="1414"/>
      <c r="Y893" s="1414"/>
      <c r="Z893" s="1414"/>
      <c r="AA893" s="1414"/>
      <c r="AB893" s="1414"/>
      <c r="AC893" s="1414"/>
      <c r="AD893" s="1414"/>
      <c r="AE893" s="1414"/>
      <c r="AF893" s="1414"/>
      <c r="AG893" s="1414"/>
      <c r="AH893" s="1414"/>
      <c r="AI893" s="1414"/>
      <c r="AJ893" s="1414"/>
      <c r="AK893" s="1414"/>
      <c r="AL893" s="1414"/>
      <c r="AM893" s="1414"/>
      <c r="AN893" s="1414"/>
      <c r="AO893" s="1414"/>
      <c r="AP893" s="1414"/>
      <c r="AQ893" s="1414"/>
      <c r="AR893" s="1414"/>
      <c r="AS893" s="1414"/>
      <c r="AT893" s="1414"/>
      <c r="AU893" s="1414"/>
      <c r="AV893" s="1414"/>
      <c r="AW893" s="1414"/>
      <c r="AX893" s="1414"/>
      <c r="AY893" s="1399"/>
      <c r="AZ893" s="1399"/>
      <c r="BA893" s="1399"/>
      <c r="BB893" s="1399"/>
      <c r="BC893" s="1399"/>
      <c r="BD893" s="1399"/>
      <c r="BE893" s="1414"/>
      <c r="BF893" s="1399"/>
      <c r="BG893" s="1399"/>
      <c r="BH893" s="1399"/>
      <c r="BI893" s="1399"/>
      <c r="BJ893" s="1399"/>
      <c r="BK893" s="1399"/>
      <c r="BL893" s="1399"/>
      <c r="BM893" s="1399"/>
      <c r="BN893" s="1399"/>
      <c r="BO893" s="1399"/>
      <c r="BP893" s="1399"/>
      <c r="BQ893" s="1399"/>
      <c r="BR893" s="1399"/>
      <c r="BS893" s="1399"/>
      <c r="BT893" s="1399"/>
      <c r="BU893" s="1399"/>
      <c r="BV893" s="1399"/>
      <c r="BW893" s="1399"/>
      <c r="BX893" s="1399"/>
      <c r="BY893" s="1399"/>
      <c r="BZ893" s="1399"/>
      <c r="CA893" s="1399"/>
      <c r="CB893" s="1399"/>
      <c r="CC893" s="1399"/>
      <c r="CD893" s="1399"/>
      <c r="CE893" s="1399"/>
      <c r="CF893" s="1399"/>
      <c r="CG893" s="1399"/>
      <c r="CH893" s="1399"/>
      <c r="CI893" s="1399"/>
      <c r="CJ893" s="1399"/>
      <c r="CK893" s="1399"/>
      <c r="CL893" s="1399"/>
      <c r="CM893" s="1399"/>
      <c r="CN893" s="1399"/>
      <c r="CO893" s="1399"/>
      <c r="CP893" s="1399"/>
      <c r="CQ893" s="1399"/>
      <c r="CR893" s="1399"/>
      <c r="CS893" s="1399"/>
      <c r="CT893" s="1399"/>
      <c r="CU893" s="1399"/>
      <c r="CV893" s="1399"/>
      <c r="CW893" s="1399"/>
      <c r="CX893" s="1399"/>
      <c r="CY893" s="1399"/>
      <c r="CZ893" s="1399"/>
      <c r="DA893" s="1399"/>
      <c r="DB893" s="1399"/>
      <c r="DC893" s="1399"/>
      <c r="DD893" s="1399"/>
      <c r="DE893" s="1399"/>
      <c r="DF893" s="1399"/>
      <c r="DG893" s="1399"/>
      <c r="DH893" s="1399"/>
      <c r="DI893" s="1399"/>
      <c r="DJ893" s="1399"/>
      <c r="DK893" s="1399"/>
      <c r="DL893" s="1399"/>
      <c r="DM893" s="1399"/>
      <c r="DN893" s="1399"/>
      <c r="DO893" s="1399"/>
      <c r="DP893" s="1399"/>
      <c r="DQ893" s="1399"/>
      <c r="DR893" s="1399"/>
      <c r="DS893" s="1399"/>
      <c r="DT893" s="1399"/>
      <c r="DU893" s="1399"/>
    </row>
    <row r="894" spans="1:125">
      <c r="A894" s="1414"/>
      <c r="B894" s="1414"/>
      <c r="C894" s="1414"/>
      <c r="D894" s="1414"/>
      <c r="E894" s="1414"/>
      <c r="F894" s="1414"/>
      <c r="G894" s="1414"/>
      <c r="H894" s="1414"/>
      <c r="I894" s="1414"/>
      <c r="J894" s="1414"/>
      <c r="K894" s="1414"/>
      <c r="L894" s="1414"/>
      <c r="M894" s="1414"/>
      <c r="N894" s="1414"/>
      <c r="O894" s="1414"/>
      <c r="P894" s="1414"/>
      <c r="Q894" s="1414"/>
      <c r="R894" s="1414"/>
      <c r="S894" s="1414"/>
      <c r="T894" s="1414"/>
      <c r="U894" s="1414"/>
      <c r="V894" s="1414"/>
      <c r="W894" s="1414"/>
      <c r="X894" s="1414"/>
      <c r="Y894" s="1414"/>
      <c r="Z894" s="1414"/>
      <c r="AA894" s="1414"/>
      <c r="AB894" s="1414"/>
      <c r="AC894" s="1414"/>
      <c r="AD894" s="1414"/>
      <c r="AE894" s="1414"/>
      <c r="AF894" s="1414"/>
      <c r="AG894" s="1414"/>
      <c r="AH894" s="1414"/>
      <c r="AI894" s="1414"/>
      <c r="AJ894" s="1414"/>
      <c r="AK894" s="1414"/>
      <c r="AL894" s="1414"/>
      <c r="AM894" s="1414"/>
      <c r="AN894" s="1414"/>
      <c r="AO894" s="1414"/>
      <c r="AP894" s="1414"/>
      <c r="AQ894" s="1414"/>
      <c r="AR894" s="1414"/>
      <c r="AS894" s="1414"/>
      <c r="AT894" s="1414"/>
      <c r="AU894" s="1414"/>
      <c r="AV894" s="1414"/>
      <c r="AW894" s="1414"/>
      <c r="AX894" s="1414"/>
      <c r="AY894" s="1399"/>
      <c r="AZ894" s="1399"/>
      <c r="BA894" s="1399"/>
      <c r="BB894" s="1399"/>
      <c r="BC894" s="1399"/>
      <c r="BD894" s="1399"/>
      <c r="BE894" s="1414"/>
      <c r="BF894" s="1399"/>
      <c r="BG894" s="1399"/>
      <c r="BH894" s="1399"/>
      <c r="BI894" s="1399"/>
      <c r="BJ894" s="1399"/>
      <c r="BK894" s="1399"/>
      <c r="BL894" s="1399"/>
      <c r="BM894" s="1399"/>
      <c r="BN894" s="1399"/>
      <c r="BO894" s="1399"/>
      <c r="BP894" s="1399"/>
      <c r="BQ894" s="1399"/>
      <c r="BR894" s="1399"/>
      <c r="BS894" s="1399"/>
      <c r="BT894" s="1399"/>
      <c r="BU894" s="1399"/>
      <c r="BV894" s="1399"/>
      <c r="BW894" s="1399"/>
      <c r="BX894" s="1399"/>
      <c r="BY894" s="1399"/>
      <c r="BZ894" s="1399"/>
      <c r="CA894" s="1399"/>
      <c r="CB894" s="1399"/>
      <c r="CC894" s="1399"/>
      <c r="CD894" s="1399"/>
      <c r="CE894" s="1399"/>
      <c r="CF894" s="1399"/>
      <c r="CG894" s="1399"/>
      <c r="CH894" s="1399"/>
      <c r="CI894" s="1399"/>
      <c r="CJ894" s="1399"/>
      <c r="CK894" s="1399"/>
      <c r="CL894" s="1399"/>
      <c r="CM894" s="1399"/>
      <c r="CN894" s="1399"/>
      <c r="CO894" s="1399"/>
      <c r="CP894" s="1399"/>
      <c r="CQ894" s="1399"/>
      <c r="CR894" s="1399"/>
      <c r="CS894" s="1399"/>
      <c r="CT894" s="1399"/>
      <c r="CU894" s="1399"/>
      <c r="CV894" s="1399"/>
      <c r="CW894" s="1399"/>
      <c r="CX894" s="1399"/>
      <c r="CY894" s="1399"/>
      <c r="CZ894" s="1399"/>
      <c r="DA894" s="1399"/>
      <c r="DB894" s="1399"/>
      <c r="DC894" s="1399"/>
      <c r="DD894" s="1399"/>
      <c r="DE894" s="1399"/>
      <c r="DF894" s="1399"/>
      <c r="DG894" s="1399"/>
      <c r="DH894" s="1399"/>
      <c r="DI894" s="1399"/>
      <c r="DJ894" s="1399"/>
      <c r="DK894" s="1399"/>
      <c r="DL894" s="1399"/>
      <c r="DM894" s="1399"/>
      <c r="DN894" s="1399"/>
      <c r="DO894" s="1399"/>
      <c r="DP894" s="1399"/>
      <c r="DQ894" s="1399"/>
      <c r="DR894" s="1399"/>
      <c r="DS894" s="1399"/>
      <c r="DT894" s="1399"/>
      <c r="DU894" s="1399"/>
    </row>
    <row r="895" spans="1:125">
      <c r="A895" s="1414"/>
      <c r="B895" s="1414"/>
      <c r="C895" s="1414"/>
      <c r="D895" s="1414"/>
      <c r="E895" s="1414"/>
      <c r="F895" s="1414"/>
      <c r="G895" s="1414"/>
      <c r="H895" s="1414"/>
      <c r="I895" s="1414"/>
      <c r="J895" s="1414"/>
      <c r="K895" s="1414"/>
      <c r="L895" s="1414"/>
      <c r="M895" s="1414"/>
      <c r="N895" s="1414"/>
      <c r="O895" s="1414"/>
      <c r="P895" s="1414"/>
      <c r="Q895" s="1414"/>
      <c r="R895" s="1414"/>
      <c r="S895" s="1414"/>
      <c r="T895" s="1414"/>
      <c r="U895" s="1414"/>
      <c r="V895" s="1414"/>
      <c r="W895" s="1414"/>
      <c r="X895" s="1414"/>
      <c r="Y895" s="1414"/>
      <c r="Z895" s="1414"/>
      <c r="AA895" s="1414"/>
      <c r="AB895" s="1414"/>
      <c r="AC895" s="1414"/>
      <c r="AD895" s="1414"/>
      <c r="AE895" s="1414"/>
      <c r="AF895" s="1414"/>
      <c r="AG895" s="1414"/>
      <c r="AH895" s="1414"/>
      <c r="AI895" s="1414"/>
      <c r="AJ895" s="1414"/>
      <c r="AK895" s="1414"/>
      <c r="AL895" s="1414"/>
      <c r="AM895" s="1414"/>
      <c r="AN895" s="1414"/>
      <c r="AO895" s="1414"/>
      <c r="AP895" s="1414"/>
      <c r="AQ895" s="1414"/>
      <c r="AR895" s="1414"/>
      <c r="AS895" s="1414"/>
      <c r="AT895" s="1414"/>
      <c r="AU895" s="1414"/>
      <c r="AV895" s="1414"/>
      <c r="AW895" s="1414"/>
      <c r="AX895" s="1414"/>
      <c r="AY895" s="1399"/>
      <c r="AZ895" s="1399"/>
      <c r="BA895" s="1399"/>
      <c r="BB895" s="1399"/>
      <c r="BC895" s="1399"/>
      <c r="BD895" s="1399"/>
      <c r="BE895" s="1414"/>
      <c r="BF895" s="1399"/>
      <c r="BG895" s="1399"/>
      <c r="BH895" s="1399"/>
      <c r="BI895" s="1399"/>
      <c r="BJ895" s="1399"/>
      <c r="BK895" s="1399"/>
      <c r="BL895" s="1399"/>
      <c r="BM895" s="1399"/>
      <c r="BN895" s="1399"/>
      <c r="BO895" s="1399"/>
      <c r="BP895" s="1399"/>
      <c r="BQ895" s="1399"/>
      <c r="BR895" s="1399"/>
      <c r="BS895" s="1399"/>
      <c r="BT895" s="1399"/>
      <c r="BU895" s="1399"/>
      <c r="BV895" s="1399"/>
      <c r="BW895" s="1399"/>
      <c r="BX895" s="1399"/>
      <c r="BY895" s="1399"/>
      <c r="BZ895" s="1399"/>
      <c r="CA895" s="1399"/>
      <c r="CB895" s="1399"/>
      <c r="CC895" s="1399"/>
      <c r="CD895" s="1399"/>
      <c r="CE895" s="1399"/>
      <c r="CF895" s="1399"/>
      <c r="CG895" s="1399"/>
      <c r="CH895" s="1399"/>
      <c r="CI895" s="1399"/>
      <c r="CJ895" s="1399"/>
      <c r="CK895" s="1399"/>
      <c r="CL895" s="1399"/>
      <c r="CM895" s="1399"/>
      <c r="CN895" s="1399"/>
      <c r="CO895" s="1399"/>
      <c r="CP895" s="1399"/>
      <c r="CQ895" s="1399"/>
      <c r="CR895" s="1399"/>
      <c r="CS895" s="1399"/>
      <c r="CT895" s="1399"/>
      <c r="CU895" s="1399"/>
      <c r="CV895" s="1399"/>
      <c r="CW895" s="1399"/>
      <c r="CX895" s="1399"/>
      <c r="CY895" s="1399"/>
      <c r="CZ895" s="1399"/>
      <c r="DA895" s="1399"/>
      <c r="DB895" s="1399"/>
      <c r="DC895" s="1399"/>
      <c r="DD895" s="1399"/>
      <c r="DE895" s="1399"/>
      <c r="DF895" s="1399"/>
      <c r="DG895" s="1399"/>
      <c r="DH895" s="1399"/>
      <c r="DI895" s="1399"/>
      <c r="DJ895" s="1399"/>
      <c r="DK895" s="1399"/>
      <c r="DL895" s="1399"/>
      <c r="DM895" s="1399"/>
      <c r="DN895" s="1399"/>
      <c r="DO895" s="1399"/>
      <c r="DP895" s="1399"/>
      <c r="DQ895" s="1399"/>
      <c r="DR895" s="1399"/>
      <c r="DS895" s="1399"/>
      <c r="DT895" s="1399"/>
      <c r="DU895" s="1399"/>
    </row>
    <row r="896" spans="1:125">
      <c r="A896" s="1414"/>
      <c r="B896" s="1414"/>
      <c r="C896" s="1414"/>
      <c r="D896" s="1414"/>
      <c r="E896" s="1414"/>
      <c r="F896" s="1414"/>
      <c r="G896" s="1414"/>
      <c r="H896" s="1414"/>
      <c r="I896" s="1414"/>
      <c r="J896" s="1414"/>
      <c r="K896" s="1414"/>
      <c r="L896" s="1414"/>
      <c r="M896" s="1414"/>
      <c r="N896" s="1414"/>
      <c r="O896" s="1414"/>
      <c r="P896" s="1414"/>
      <c r="Q896" s="1414"/>
      <c r="R896" s="1414"/>
      <c r="S896" s="1414"/>
      <c r="T896" s="1414"/>
      <c r="U896" s="1414"/>
      <c r="V896" s="1414"/>
      <c r="W896" s="1414"/>
      <c r="X896" s="1414"/>
      <c r="Y896" s="1414"/>
      <c r="Z896" s="1414"/>
      <c r="AA896" s="1414"/>
      <c r="AB896" s="1414"/>
      <c r="AC896" s="1414"/>
      <c r="AD896" s="1414"/>
      <c r="AE896" s="1414"/>
      <c r="AF896" s="1414"/>
      <c r="AG896" s="1414"/>
      <c r="AH896" s="1414"/>
      <c r="AI896" s="1414"/>
      <c r="AJ896" s="1414"/>
      <c r="AK896" s="1414"/>
      <c r="AL896" s="1414"/>
      <c r="AM896" s="1414"/>
      <c r="AN896" s="1414"/>
      <c r="AO896" s="1414"/>
      <c r="AP896" s="1414"/>
      <c r="AQ896" s="1414"/>
      <c r="AR896" s="1414"/>
      <c r="AS896" s="1414"/>
      <c r="AT896" s="1414"/>
      <c r="AU896" s="1414"/>
      <c r="AV896" s="1414"/>
      <c r="AW896" s="1414"/>
      <c r="AX896" s="1414"/>
      <c r="AY896" s="1399"/>
      <c r="AZ896" s="1399"/>
      <c r="BA896" s="1399"/>
      <c r="BB896" s="1399"/>
      <c r="BC896" s="1399"/>
      <c r="BD896" s="1399"/>
      <c r="BE896" s="1414"/>
      <c r="BF896" s="1399"/>
      <c r="BG896" s="1399"/>
      <c r="BH896" s="1399"/>
      <c r="BI896" s="1399"/>
      <c r="BJ896" s="1399"/>
      <c r="BK896" s="1399"/>
      <c r="BL896" s="1399"/>
      <c r="BM896" s="1399"/>
      <c r="BN896" s="1399"/>
      <c r="BO896" s="1399"/>
      <c r="BP896" s="1399"/>
      <c r="BQ896" s="1399"/>
      <c r="BR896" s="1399"/>
      <c r="BS896" s="1399"/>
      <c r="BT896" s="1399"/>
      <c r="BU896" s="1399"/>
      <c r="BV896" s="1399"/>
      <c r="BW896" s="1399"/>
      <c r="BX896" s="1399"/>
      <c r="BY896" s="1399"/>
      <c r="BZ896" s="1399"/>
      <c r="CA896" s="1399"/>
      <c r="CB896" s="1399"/>
      <c r="CC896" s="1399"/>
      <c r="CD896" s="1399"/>
      <c r="CE896" s="1399"/>
      <c r="CF896" s="1399"/>
      <c r="CG896" s="1399"/>
      <c r="CH896" s="1399"/>
      <c r="CI896" s="1399"/>
      <c r="CJ896" s="1399"/>
      <c r="CK896" s="1399"/>
      <c r="CL896" s="1399"/>
      <c r="CM896" s="1399"/>
      <c r="CN896" s="1399"/>
      <c r="CO896" s="1399"/>
      <c r="CP896" s="1399"/>
      <c r="CQ896" s="1399"/>
      <c r="CR896" s="1399"/>
      <c r="CS896" s="1399"/>
      <c r="CT896" s="1399"/>
      <c r="CU896" s="1399"/>
      <c r="CV896" s="1399"/>
      <c r="CW896" s="1399"/>
      <c r="CX896" s="1399"/>
      <c r="CY896" s="1399"/>
      <c r="CZ896" s="1399"/>
      <c r="DA896" s="1399"/>
      <c r="DB896" s="1399"/>
      <c r="DC896" s="1399"/>
      <c r="DD896" s="1399"/>
      <c r="DE896" s="1399"/>
      <c r="DF896" s="1399"/>
      <c r="DG896" s="1399"/>
      <c r="DH896" s="1399"/>
      <c r="DI896" s="1399"/>
      <c r="DJ896" s="1399"/>
      <c r="DK896" s="1399"/>
      <c r="DL896" s="1399"/>
      <c r="DM896" s="1399"/>
      <c r="DN896" s="1399"/>
      <c r="DO896" s="1399"/>
      <c r="DP896" s="1399"/>
      <c r="DQ896" s="1399"/>
      <c r="DR896" s="1399"/>
      <c r="DS896" s="1399"/>
      <c r="DT896" s="1399"/>
      <c r="DU896" s="1399"/>
    </row>
    <row r="897" spans="1:125">
      <c r="A897" s="1414"/>
      <c r="B897" s="1414"/>
      <c r="C897" s="1414"/>
      <c r="D897" s="1414"/>
      <c r="E897" s="1414"/>
      <c r="F897" s="1414"/>
      <c r="G897" s="1414"/>
      <c r="H897" s="1414"/>
      <c r="I897" s="1414"/>
      <c r="J897" s="1414"/>
      <c r="K897" s="1414"/>
      <c r="L897" s="1414"/>
      <c r="M897" s="1414"/>
      <c r="N897" s="1414"/>
      <c r="O897" s="1414"/>
      <c r="P897" s="1414"/>
      <c r="Q897" s="1414"/>
      <c r="R897" s="1414"/>
      <c r="S897" s="1414"/>
      <c r="T897" s="1414"/>
      <c r="U897" s="1414"/>
      <c r="V897" s="1414"/>
      <c r="W897" s="1414"/>
      <c r="X897" s="1414"/>
      <c r="Y897" s="1414"/>
      <c r="Z897" s="1414"/>
      <c r="AA897" s="1414"/>
      <c r="AB897" s="1414"/>
      <c r="AC897" s="1414"/>
      <c r="AD897" s="1414"/>
      <c r="AE897" s="1414"/>
      <c r="AF897" s="1414"/>
      <c r="AG897" s="1414"/>
      <c r="AH897" s="1414"/>
      <c r="AI897" s="1414"/>
      <c r="AJ897" s="1414"/>
      <c r="AK897" s="1414"/>
      <c r="AL897" s="1414"/>
      <c r="AM897" s="1414"/>
      <c r="AN897" s="1414"/>
      <c r="AO897" s="1414"/>
      <c r="AP897" s="1414"/>
      <c r="AQ897" s="1414"/>
      <c r="AR897" s="1414"/>
      <c r="AS897" s="1414"/>
      <c r="AT897" s="1414"/>
      <c r="AU897" s="1414"/>
      <c r="AV897" s="1414"/>
      <c r="AW897" s="1414"/>
      <c r="AX897" s="1414"/>
      <c r="AY897" s="1399"/>
      <c r="AZ897" s="1399"/>
      <c r="BA897" s="1399"/>
      <c r="BB897" s="1399"/>
      <c r="BC897" s="1399"/>
      <c r="BD897" s="1399"/>
      <c r="BE897" s="1414"/>
      <c r="BF897" s="1399"/>
      <c r="BG897" s="1399"/>
      <c r="BH897" s="1399"/>
      <c r="BI897" s="1399"/>
      <c r="BJ897" s="1399"/>
      <c r="BK897" s="1399"/>
      <c r="BL897" s="1399"/>
      <c r="BM897" s="1399"/>
      <c r="BN897" s="1399"/>
      <c r="BO897" s="1399"/>
      <c r="BP897" s="1399"/>
      <c r="BQ897" s="1399"/>
      <c r="BR897" s="1399"/>
      <c r="BS897" s="1399"/>
      <c r="BT897" s="1399"/>
      <c r="BU897" s="1399"/>
      <c r="BV897" s="1399"/>
      <c r="BW897" s="1399"/>
      <c r="BX897" s="1399"/>
      <c r="BY897" s="1399"/>
      <c r="BZ897" s="1399"/>
      <c r="CA897" s="1399"/>
      <c r="CB897" s="1399"/>
      <c r="CC897" s="1399"/>
      <c r="CD897" s="1399"/>
      <c r="CE897" s="1399"/>
      <c r="CF897" s="1399"/>
      <c r="CG897" s="1399"/>
      <c r="CH897" s="1399"/>
      <c r="CI897" s="1399"/>
      <c r="CJ897" s="1399"/>
      <c r="CK897" s="1399"/>
      <c r="CL897" s="1399"/>
      <c r="CM897" s="1399"/>
      <c r="CN897" s="1399"/>
      <c r="CO897" s="1399"/>
      <c r="CP897" s="1399"/>
      <c r="CQ897" s="1399"/>
      <c r="CR897" s="1399"/>
      <c r="CS897" s="1399"/>
      <c r="CT897" s="1399"/>
      <c r="CU897" s="1399"/>
      <c r="CV897" s="1399"/>
      <c r="CW897" s="1399"/>
      <c r="CX897" s="1399"/>
      <c r="CY897" s="1399"/>
      <c r="CZ897" s="1399"/>
      <c r="DA897" s="1399"/>
      <c r="DB897" s="1399"/>
      <c r="DC897" s="1399"/>
      <c r="DD897" s="1399"/>
      <c r="DE897" s="1399"/>
      <c r="DF897" s="1399"/>
      <c r="DG897" s="1399"/>
      <c r="DH897" s="1399"/>
      <c r="DI897" s="1399"/>
      <c r="DJ897" s="1399"/>
      <c r="DK897" s="1399"/>
      <c r="DL897" s="1399"/>
      <c r="DM897" s="1399"/>
      <c r="DN897" s="1399"/>
      <c r="DO897" s="1399"/>
      <c r="DP897" s="1399"/>
      <c r="DQ897" s="1399"/>
      <c r="DR897" s="1399"/>
      <c r="DS897" s="1399"/>
      <c r="DT897" s="1399"/>
      <c r="DU897" s="1399"/>
    </row>
    <row r="898" spans="1:125">
      <c r="A898" s="1414"/>
      <c r="B898" s="1414"/>
      <c r="C898" s="1414"/>
      <c r="D898" s="1414"/>
      <c r="E898" s="1414"/>
      <c r="F898" s="1414"/>
      <c r="G898" s="1414"/>
      <c r="H898" s="1414"/>
      <c r="I898" s="1414"/>
      <c r="J898" s="1414"/>
      <c r="K898" s="1414"/>
      <c r="L898" s="1414"/>
      <c r="M898" s="1414"/>
      <c r="N898" s="1414"/>
      <c r="O898" s="1414"/>
      <c r="P898" s="1414"/>
      <c r="Q898" s="1414"/>
      <c r="R898" s="1414"/>
      <c r="S898" s="1414"/>
      <c r="T898" s="1414"/>
      <c r="U898" s="1414"/>
      <c r="V898" s="1414"/>
      <c r="W898" s="1414"/>
      <c r="X898" s="1414"/>
      <c r="Y898" s="1414"/>
      <c r="Z898" s="1414"/>
      <c r="AA898" s="1414"/>
      <c r="AB898" s="1414"/>
      <c r="AC898" s="1414"/>
      <c r="AD898" s="1414"/>
      <c r="AE898" s="1414"/>
      <c r="AF898" s="1414"/>
      <c r="AG898" s="1414"/>
      <c r="AH898" s="1414"/>
      <c r="AI898" s="1414"/>
      <c r="AJ898" s="1414"/>
      <c r="AK898" s="1414"/>
      <c r="AL898" s="1414"/>
      <c r="AM898" s="1414"/>
      <c r="AN898" s="1414"/>
      <c r="AO898" s="1414"/>
      <c r="AP898" s="1414"/>
      <c r="AQ898" s="1414"/>
      <c r="AR898" s="1414"/>
      <c r="AS898" s="1414"/>
      <c r="AT898" s="1414"/>
      <c r="AU898" s="1414"/>
      <c r="AV898" s="1414"/>
      <c r="AW898" s="1414"/>
      <c r="AX898" s="1414"/>
      <c r="AY898" s="1399"/>
      <c r="AZ898" s="1399"/>
      <c r="BA898" s="1399"/>
      <c r="BB898" s="1399"/>
      <c r="BC898" s="1399"/>
      <c r="BD898" s="1399"/>
      <c r="BE898" s="1414"/>
      <c r="BF898" s="1399"/>
      <c r="BG898" s="1399"/>
      <c r="BH898" s="1399"/>
      <c r="BI898" s="1399"/>
      <c r="BJ898" s="1399"/>
      <c r="BK898" s="1399"/>
      <c r="BL898" s="1399"/>
      <c r="BM898" s="1399"/>
      <c r="BN898" s="1399"/>
      <c r="BO898" s="1399"/>
      <c r="BP898" s="1399"/>
      <c r="BQ898" s="1399"/>
      <c r="BR898" s="1399"/>
      <c r="BS898" s="1399"/>
      <c r="BT898" s="1399"/>
      <c r="BU898" s="1399"/>
      <c r="BV898" s="1399"/>
      <c r="BW898" s="1399"/>
      <c r="BX898" s="1399"/>
      <c r="BY898" s="1399"/>
      <c r="BZ898" s="1399"/>
      <c r="CA898" s="1399"/>
      <c r="CB898" s="1399"/>
      <c r="CC898" s="1399"/>
      <c r="CD898" s="1399"/>
      <c r="CE898" s="1399"/>
      <c r="CF898" s="1399"/>
      <c r="CG898" s="1399"/>
      <c r="CH898" s="1399"/>
      <c r="CI898" s="1399"/>
      <c r="CJ898" s="1399"/>
      <c r="CK898" s="1399"/>
      <c r="CL898" s="1399"/>
      <c r="CM898" s="1399"/>
      <c r="CN898" s="1399"/>
      <c r="CO898" s="1399"/>
      <c r="CP898" s="1399"/>
      <c r="CQ898" s="1399"/>
      <c r="CR898" s="1399"/>
      <c r="CS898" s="1399"/>
      <c r="CT898" s="1399"/>
      <c r="CU898" s="1399"/>
      <c r="CV898" s="1399"/>
      <c r="CW898" s="1399"/>
      <c r="CX898" s="1399"/>
      <c r="CY898" s="1399"/>
      <c r="CZ898" s="1399"/>
      <c r="DA898" s="1399"/>
      <c r="DB898" s="1399"/>
      <c r="DC898" s="1399"/>
      <c r="DD898" s="1399"/>
      <c r="DE898" s="1399"/>
      <c r="DF898" s="1399"/>
      <c r="DG898" s="1399"/>
      <c r="DH898" s="1399"/>
      <c r="DI898" s="1399"/>
      <c r="DJ898" s="1399"/>
      <c r="DK898" s="1399"/>
      <c r="DL898" s="1399"/>
      <c r="DM898" s="1399"/>
      <c r="DN898" s="1399"/>
      <c r="DO898" s="1399"/>
      <c r="DP898" s="1399"/>
      <c r="DQ898" s="1399"/>
      <c r="DR898" s="1399"/>
      <c r="DS898" s="1399"/>
      <c r="DT898" s="1399"/>
      <c r="DU898" s="1399"/>
    </row>
    <row r="899" spans="1:125">
      <c r="A899" s="1414"/>
      <c r="B899" s="1414"/>
      <c r="C899" s="1414"/>
      <c r="D899" s="1414"/>
      <c r="E899" s="1414"/>
      <c r="F899" s="1414"/>
      <c r="G899" s="1414"/>
      <c r="H899" s="1414"/>
      <c r="I899" s="1414"/>
      <c r="J899" s="1414"/>
      <c r="K899" s="1414"/>
      <c r="L899" s="1414"/>
      <c r="M899" s="1414"/>
      <c r="N899" s="1414"/>
      <c r="O899" s="1414"/>
      <c r="P899" s="1414"/>
      <c r="Q899" s="1414"/>
      <c r="R899" s="1414"/>
      <c r="S899" s="1414"/>
      <c r="T899" s="1414"/>
      <c r="U899" s="1414"/>
      <c r="V899" s="1414"/>
      <c r="W899" s="1414"/>
      <c r="X899" s="1414"/>
      <c r="Y899" s="1414"/>
      <c r="Z899" s="1414"/>
      <c r="AA899" s="1414"/>
      <c r="AB899" s="1414"/>
      <c r="AC899" s="1414"/>
      <c r="AD899" s="1414"/>
      <c r="AE899" s="1414"/>
      <c r="AF899" s="1414"/>
      <c r="AG899" s="1414"/>
      <c r="AH899" s="1414"/>
      <c r="AI899" s="1414"/>
      <c r="AJ899" s="1414"/>
      <c r="AK899" s="1414"/>
      <c r="AL899" s="1414"/>
      <c r="AM899" s="1414"/>
      <c r="AN899" s="1414"/>
      <c r="AO899" s="1414"/>
      <c r="AP899" s="1414"/>
      <c r="AQ899" s="1414"/>
      <c r="AR899" s="1414"/>
      <c r="AS899" s="1414"/>
      <c r="AT899" s="1414"/>
      <c r="AU899" s="1414"/>
      <c r="AV899" s="1414"/>
      <c r="AW899" s="1414"/>
      <c r="AX899" s="1414"/>
      <c r="AY899" s="1399"/>
      <c r="AZ899" s="1399"/>
      <c r="BA899" s="1399"/>
      <c r="BB899" s="1399"/>
      <c r="BC899" s="1399"/>
      <c r="BD899" s="1399"/>
      <c r="BE899" s="1414"/>
      <c r="BF899" s="1399"/>
      <c r="BG899" s="1399"/>
      <c r="BH899" s="1399"/>
      <c r="BI899" s="1399"/>
      <c r="BJ899" s="1399"/>
      <c r="BK899" s="1399"/>
      <c r="BL899" s="1399"/>
      <c r="BM899" s="1399"/>
      <c r="BN899" s="1399"/>
      <c r="BO899" s="1399"/>
      <c r="BP899" s="1399"/>
      <c r="BQ899" s="1399"/>
      <c r="BR899" s="1399"/>
      <c r="BS899" s="1399"/>
      <c r="BT899" s="1399"/>
      <c r="BU899" s="1399"/>
      <c r="BV899" s="1399"/>
      <c r="BW899" s="1399"/>
      <c r="BX899" s="1399"/>
      <c r="BY899" s="1399"/>
      <c r="BZ899" s="1399"/>
      <c r="CA899" s="1399"/>
      <c r="CB899" s="1399"/>
      <c r="CC899" s="1399"/>
      <c r="CD899" s="1399"/>
      <c r="CE899" s="1399"/>
      <c r="CF899" s="1399"/>
      <c r="CG899" s="1399"/>
      <c r="CH899" s="1399"/>
      <c r="CI899" s="1399"/>
      <c r="CJ899" s="1399"/>
      <c r="CK899" s="1399"/>
      <c r="CL899" s="1399"/>
      <c r="CM899" s="1399"/>
      <c r="CN899" s="1399"/>
      <c r="CO899" s="1399"/>
      <c r="CP899" s="1399"/>
      <c r="CQ899" s="1399"/>
      <c r="CR899" s="1399"/>
      <c r="CS899" s="1399"/>
      <c r="CT899" s="1399"/>
      <c r="CU899" s="1399"/>
      <c r="CV899" s="1399"/>
      <c r="CW899" s="1399"/>
      <c r="CX899" s="1399"/>
      <c r="CY899" s="1399"/>
      <c r="CZ899" s="1399"/>
      <c r="DA899" s="1399"/>
      <c r="DB899" s="1399"/>
      <c r="DC899" s="1399"/>
      <c r="DD899" s="1399"/>
      <c r="DE899" s="1399"/>
      <c r="DF899" s="1399"/>
      <c r="DG899" s="1399"/>
      <c r="DH899" s="1399"/>
      <c r="DI899" s="1399"/>
      <c r="DJ899" s="1399"/>
      <c r="DK899" s="1399"/>
      <c r="DL899" s="1399"/>
      <c r="DM899" s="1399"/>
      <c r="DN899" s="1399"/>
      <c r="DO899" s="1399"/>
      <c r="DP899" s="1399"/>
      <c r="DQ899" s="1399"/>
      <c r="DR899" s="1399"/>
      <c r="DS899" s="1399"/>
      <c r="DT899" s="1399"/>
      <c r="DU899" s="1399"/>
    </row>
    <row r="900" spans="1:125">
      <c r="A900" s="1414"/>
      <c r="B900" s="1414"/>
      <c r="C900" s="1414"/>
      <c r="D900" s="1414"/>
      <c r="E900" s="1414"/>
      <c r="F900" s="1414"/>
      <c r="G900" s="1414"/>
      <c r="H900" s="1414"/>
      <c r="I900" s="1414"/>
      <c r="J900" s="1414"/>
      <c r="K900" s="1414"/>
      <c r="L900" s="1414"/>
      <c r="M900" s="1414"/>
      <c r="N900" s="1414"/>
      <c r="O900" s="1414"/>
      <c r="P900" s="1414"/>
      <c r="Q900" s="1414"/>
      <c r="R900" s="1414"/>
      <c r="S900" s="1414"/>
      <c r="T900" s="1414"/>
      <c r="U900" s="1414"/>
      <c r="V900" s="1414"/>
      <c r="W900" s="1414"/>
      <c r="X900" s="1414"/>
      <c r="Y900" s="1414"/>
      <c r="Z900" s="1414"/>
      <c r="AA900" s="1414"/>
      <c r="AB900" s="1414"/>
      <c r="AC900" s="1414"/>
      <c r="AD900" s="1414"/>
      <c r="AE900" s="1414"/>
      <c r="AF900" s="1414"/>
      <c r="AG900" s="1414"/>
      <c r="AH900" s="1414"/>
      <c r="AI900" s="1414"/>
      <c r="AJ900" s="1414"/>
      <c r="AK900" s="1414"/>
      <c r="AL900" s="1414"/>
      <c r="AM900" s="1414"/>
      <c r="AN900" s="1414"/>
      <c r="AO900" s="1414"/>
      <c r="AP900" s="1414"/>
      <c r="AQ900" s="1414"/>
      <c r="AR900" s="1414"/>
      <c r="AS900" s="1414"/>
      <c r="AT900" s="1414"/>
      <c r="AU900" s="1414"/>
      <c r="AV900" s="1414"/>
      <c r="AW900" s="1414"/>
      <c r="AX900" s="1414"/>
      <c r="AY900" s="1399"/>
      <c r="AZ900" s="1399"/>
      <c r="BA900" s="1399"/>
      <c r="BB900" s="1399"/>
      <c r="BC900" s="1399"/>
      <c r="BD900" s="1399"/>
      <c r="BE900" s="1414"/>
      <c r="BF900" s="1399"/>
      <c r="BG900" s="1399"/>
      <c r="BH900" s="1399"/>
      <c r="BI900" s="1399"/>
      <c r="BJ900" s="1399"/>
      <c r="BK900" s="1399"/>
      <c r="BL900" s="1399"/>
      <c r="BM900" s="1399"/>
      <c r="BN900" s="1399"/>
      <c r="BO900" s="1399"/>
      <c r="BP900" s="1399"/>
      <c r="BQ900" s="1399"/>
      <c r="BR900" s="1399"/>
      <c r="BS900" s="1399"/>
      <c r="BT900" s="1399"/>
      <c r="BU900" s="1399"/>
      <c r="BV900" s="1399"/>
      <c r="BW900" s="1399"/>
      <c r="BX900" s="1399"/>
      <c r="BY900" s="1399"/>
      <c r="BZ900" s="1399"/>
      <c r="CA900" s="1399"/>
      <c r="CB900" s="1399"/>
      <c r="CC900" s="1399"/>
      <c r="CD900" s="1399"/>
      <c r="CE900" s="1399"/>
      <c r="CF900" s="1399"/>
      <c r="CG900" s="1399"/>
      <c r="CH900" s="1399"/>
      <c r="CI900" s="1399"/>
      <c r="CJ900" s="1399"/>
      <c r="CK900" s="1399"/>
      <c r="CL900" s="1399"/>
      <c r="CM900" s="1399"/>
      <c r="CN900" s="1399"/>
      <c r="CO900" s="1399"/>
      <c r="CP900" s="1399"/>
      <c r="CQ900" s="1399"/>
      <c r="CR900" s="1399"/>
      <c r="CS900" s="1399"/>
      <c r="CT900" s="1399"/>
      <c r="CU900" s="1399"/>
      <c r="CV900" s="1399"/>
      <c r="CW900" s="1399"/>
      <c r="CX900" s="1399"/>
      <c r="CY900" s="1399"/>
      <c r="CZ900" s="1399"/>
      <c r="DA900" s="1399"/>
      <c r="DB900" s="1399"/>
      <c r="DC900" s="1399"/>
      <c r="DD900" s="1399"/>
      <c r="DE900" s="1399"/>
      <c r="DF900" s="1399"/>
      <c r="DG900" s="1399"/>
      <c r="DH900" s="1399"/>
      <c r="DI900" s="1399"/>
      <c r="DJ900" s="1399"/>
      <c r="DK900" s="1399"/>
      <c r="DL900" s="1399"/>
      <c r="DM900" s="1399"/>
      <c r="DN900" s="1399"/>
      <c r="DO900" s="1399"/>
      <c r="DP900" s="1399"/>
      <c r="DQ900" s="1399"/>
      <c r="DR900" s="1399"/>
      <c r="DS900" s="1399"/>
      <c r="DT900" s="1399"/>
      <c r="DU900" s="1399"/>
    </row>
    <row r="901" spans="1:125">
      <c r="A901" s="1414"/>
      <c r="B901" s="1414"/>
      <c r="C901" s="1414"/>
      <c r="D901" s="1414"/>
      <c r="E901" s="1414"/>
      <c r="F901" s="1414"/>
      <c r="G901" s="1414"/>
      <c r="H901" s="1414"/>
      <c r="I901" s="1414"/>
      <c r="J901" s="1414"/>
      <c r="K901" s="1414"/>
      <c r="L901" s="1414"/>
      <c r="M901" s="1414"/>
      <c r="N901" s="1414"/>
      <c r="O901" s="1414"/>
      <c r="P901" s="1414"/>
      <c r="Q901" s="1414"/>
      <c r="R901" s="1414"/>
      <c r="S901" s="1414"/>
      <c r="T901" s="1414"/>
      <c r="U901" s="1414"/>
      <c r="V901" s="1414"/>
      <c r="W901" s="1414"/>
      <c r="X901" s="1414"/>
      <c r="Y901" s="1414"/>
      <c r="Z901" s="1414"/>
      <c r="AA901" s="1414"/>
      <c r="AB901" s="1414"/>
      <c r="AC901" s="1414"/>
      <c r="AD901" s="1414"/>
      <c r="AE901" s="1414"/>
      <c r="AF901" s="1414"/>
      <c r="AG901" s="1414"/>
      <c r="AH901" s="1414"/>
      <c r="AI901" s="1414"/>
      <c r="AJ901" s="1414"/>
      <c r="AK901" s="1414"/>
      <c r="AL901" s="1414"/>
      <c r="AM901" s="1414"/>
      <c r="AN901" s="1414"/>
      <c r="AO901" s="1414"/>
      <c r="AP901" s="1414"/>
      <c r="AQ901" s="1414"/>
      <c r="AR901" s="1414"/>
      <c r="AS901" s="1414"/>
      <c r="AT901" s="1414"/>
      <c r="AU901" s="1414"/>
      <c r="AV901" s="1414"/>
      <c r="AW901" s="1414"/>
      <c r="AX901" s="1414"/>
      <c r="AY901" s="1399"/>
      <c r="AZ901" s="1399"/>
      <c r="BA901" s="1399"/>
      <c r="BB901" s="1399"/>
      <c r="BC901" s="1399"/>
      <c r="BD901" s="1399"/>
      <c r="BE901" s="1414"/>
      <c r="BF901" s="1399"/>
      <c r="BG901" s="1399"/>
      <c r="BH901" s="1399"/>
      <c r="BI901" s="1399"/>
      <c r="BJ901" s="1399"/>
      <c r="BK901" s="1399"/>
      <c r="BL901" s="1399"/>
      <c r="BM901" s="1399"/>
      <c r="BN901" s="1399"/>
      <c r="BO901" s="1399"/>
      <c r="BP901" s="1399"/>
      <c r="BQ901" s="1399"/>
      <c r="BR901" s="1399"/>
      <c r="BS901" s="1399"/>
      <c r="BT901" s="1399"/>
      <c r="BU901" s="1399"/>
      <c r="BV901" s="1399"/>
      <c r="BW901" s="1399"/>
      <c r="BX901" s="1399"/>
      <c r="BY901" s="1399"/>
      <c r="BZ901" s="1399"/>
      <c r="CA901" s="1399"/>
      <c r="CB901" s="1399"/>
      <c r="CC901" s="1399"/>
      <c r="CD901" s="1399"/>
      <c r="CE901" s="1399"/>
      <c r="CF901" s="1399"/>
      <c r="CG901" s="1399"/>
      <c r="CH901" s="1399"/>
      <c r="CI901" s="1399"/>
      <c r="CJ901" s="1399"/>
      <c r="CK901" s="1399"/>
      <c r="CL901" s="1399"/>
      <c r="CM901" s="1399"/>
      <c r="CN901" s="1399"/>
      <c r="CO901" s="1399"/>
      <c r="CP901" s="1399"/>
      <c r="CQ901" s="1399"/>
      <c r="CR901" s="1399"/>
      <c r="CS901" s="1399"/>
      <c r="CT901" s="1399"/>
      <c r="CU901" s="1399"/>
      <c r="CV901" s="1399"/>
      <c r="CW901" s="1399"/>
      <c r="CX901" s="1399"/>
      <c r="CY901" s="1399"/>
      <c r="CZ901" s="1399"/>
      <c r="DA901" s="1399"/>
      <c r="DB901" s="1399"/>
      <c r="DC901" s="1399"/>
      <c r="DD901" s="1399"/>
      <c r="DE901" s="1399"/>
      <c r="DF901" s="1399"/>
      <c r="DG901" s="1399"/>
      <c r="DH901" s="1399"/>
      <c r="DI901" s="1399"/>
      <c r="DJ901" s="1399"/>
      <c r="DK901" s="1399"/>
      <c r="DL901" s="1399"/>
      <c r="DM901" s="1399"/>
      <c r="DN901" s="1399"/>
      <c r="DO901" s="1399"/>
      <c r="DP901" s="1399"/>
      <c r="DQ901" s="1399"/>
      <c r="DR901" s="1399"/>
      <c r="DS901" s="1399"/>
      <c r="DT901" s="1399"/>
      <c r="DU901" s="1399"/>
    </row>
    <row r="902" spans="1:125">
      <c r="A902" s="1414"/>
      <c r="B902" s="1414"/>
      <c r="C902" s="1414"/>
      <c r="D902" s="1414"/>
      <c r="E902" s="1414"/>
      <c r="F902" s="1414"/>
      <c r="G902" s="1414"/>
      <c r="H902" s="1414"/>
      <c r="I902" s="1414"/>
      <c r="J902" s="1414"/>
      <c r="K902" s="1414"/>
      <c r="L902" s="1414"/>
      <c r="M902" s="1414"/>
      <c r="N902" s="1414"/>
      <c r="O902" s="1414"/>
      <c r="P902" s="1414"/>
      <c r="Q902" s="1414"/>
      <c r="R902" s="1414"/>
      <c r="S902" s="1414"/>
      <c r="T902" s="1414"/>
      <c r="U902" s="1414"/>
      <c r="V902" s="1414"/>
      <c r="W902" s="1414"/>
      <c r="X902" s="1414"/>
      <c r="Y902" s="1414"/>
      <c r="Z902" s="1414"/>
      <c r="AA902" s="1414"/>
      <c r="AB902" s="1414"/>
      <c r="AC902" s="1414"/>
      <c r="AD902" s="1414"/>
      <c r="AE902" s="1414"/>
      <c r="AF902" s="1414"/>
      <c r="AG902" s="1414"/>
      <c r="AH902" s="1414"/>
      <c r="AI902" s="1414"/>
      <c r="AJ902" s="1414"/>
      <c r="AK902" s="1414"/>
      <c r="AL902" s="1414"/>
      <c r="AM902" s="1414"/>
      <c r="AN902" s="1414"/>
      <c r="AO902" s="1414"/>
      <c r="AP902" s="1414"/>
      <c r="AQ902" s="1414"/>
      <c r="AR902" s="1414"/>
      <c r="AS902" s="1414"/>
      <c r="AT902" s="1414"/>
      <c r="AU902" s="1414"/>
      <c r="AV902" s="1414"/>
      <c r="AW902" s="1414"/>
      <c r="AX902" s="1414"/>
      <c r="AY902" s="1399"/>
      <c r="AZ902" s="1399"/>
      <c r="BA902" s="1399"/>
      <c r="BB902" s="1399"/>
      <c r="BC902" s="1399"/>
      <c r="BD902" s="1399"/>
      <c r="BE902" s="1414"/>
      <c r="BF902" s="1399"/>
      <c r="BG902" s="1399"/>
      <c r="BH902" s="1399"/>
      <c r="BI902" s="1399"/>
      <c r="BJ902" s="1399"/>
      <c r="BK902" s="1399"/>
      <c r="BL902" s="1399"/>
      <c r="BM902" s="1399"/>
      <c r="BN902" s="1399"/>
      <c r="BO902" s="1399"/>
      <c r="BP902" s="1399"/>
      <c r="BQ902" s="1399"/>
      <c r="BR902" s="1399"/>
      <c r="BS902" s="1399"/>
      <c r="BT902" s="1399"/>
      <c r="BU902" s="1399"/>
      <c r="BV902" s="1399"/>
      <c r="BW902" s="1399"/>
      <c r="BX902" s="1399"/>
      <c r="BY902" s="1399"/>
      <c r="BZ902" s="1399"/>
      <c r="CA902" s="1399"/>
      <c r="CB902" s="1399"/>
      <c r="CC902" s="1399"/>
      <c r="CD902" s="1399"/>
      <c r="CE902" s="1399"/>
      <c r="CF902" s="1399"/>
      <c r="CG902" s="1399"/>
      <c r="CH902" s="1399"/>
      <c r="CI902" s="1399"/>
      <c r="CJ902" s="1399"/>
      <c r="CK902" s="1399"/>
      <c r="CL902" s="1399"/>
      <c r="CM902" s="1399"/>
      <c r="CN902" s="1399"/>
      <c r="CO902" s="1399"/>
      <c r="CP902" s="1399"/>
      <c r="CQ902" s="1399"/>
      <c r="CR902" s="1399"/>
      <c r="CS902" s="1399"/>
      <c r="CT902" s="1399"/>
      <c r="CU902" s="1399"/>
      <c r="CV902" s="1399"/>
      <c r="CW902" s="1399"/>
      <c r="CX902" s="1399"/>
      <c r="CY902" s="1399"/>
      <c r="CZ902" s="1399"/>
      <c r="DA902" s="1399"/>
      <c r="DB902" s="1399"/>
      <c r="DC902" s="1399"/>
      <c r="DD902" s="1399"/>
      <c r="DE902" s="1399"/>
      <c r="DF902" s="1399"/>
      <c r="DG902" s="1399"/>
      <c r="DH902" s="1399"/>
      <c r="DI902" s="1399"/>
      <c r="DJ902" s="1399"/>
      <c r="DK902" s="1399"/>
      <c r="DL902" s="1399"/>
      <c r="DM902" s="1399"/>
      <c r="DN902" s="1399"/>
      <c r="DO902" s="1399"/>
      <c r="DP902" s="1399"/>
      <c r="DQ902" s="1399"/>
      <c r="DR902" s="1399"/>
      <c r="DS902" s="1399"/>
      <c r="DT902" s="1399"/>
      <c r="DU902" s="1399"/>
    </row>
    <row r="903" spans="1:125">
      <c r="A903" s="1414"/>
      <c r="B903" s="1414"/>
      <c r="C903" s="1414"/>
      <c r="D903" s="1414"/>
      <c r="E903" s="1414"/>
      <c r="F903" s="1414"/>
      <c r="G903" s="1414"/>
      <c r="H903" s="1414"/>
      <c r="I903" s="1414"/>
      <c r="J903" s="1414"/>
      <c r="K903" s="1414"/>
      <c r="L903" s="1414"/>
      <c r="M903" s="1414"/>
      <c r="N903" s="1414"/>
      <c r="O903" s="1414"/>
      <c r="P903" s="1414"/>
      <c r="Q903" s="1414"/>
      <c r="R903" s="1414"/>
      <c r="S903" s="1414"/>
      <c r="T903" s="1414"/>
      <c r="U903" s="1414"/>
      <c r="V903" s="1414"/>
      <c r="W903" s="1414"/>
      <c r="X903" s="1414"/>
      <c r="Y903" s="1414"/>
      <c r="Z903" s="1414"/>
      <c r="AA903" s="1414"/>
      <c r="AB903" s="1414"/>
      <c r="AC903" s="1414"/>
      <c r="AD903" s="1414"/>
      <c r="AE903" s="1414"/>
      <c r="AF903" s="1414"/>
      <c r="AG903" s="1414"/>
      <c r="AH903" s="1414"/>
      <c r="AI903" s="1414"/>
      <c r="AJ903" s="1414"/>
      <c r="AK903" s="1414"/>
      <c r="AL903" s="1414"/>
      <c r="AM903" s="1414"/>
      <c r="AN903" s="1414"/>
      <c r="AO903" s="1414"/>
      <c r="AP903" s="1414"/>
      <c r="AQ903" s="1414"/>
      <c r="AR903" s="1414"/>
      <c r="AS903" s="1414"/>
      <c r="AT903" s="1414"/>
      <c r="AU903" s="1414"/>
      <c r="AV903" s="1414"/>
      <c r="AW903" s="1414"/>
      <c r="AX903" s="1414"/>
      <c r="AY903" s="1399"/>
      <c r="AZ903" s="1399"/>
      <c r="BA903" s="1399"/>
      <c r="BB903" s="1399"/>
      <c r="BC903" s="1399"/>
      <c r="BD903" s="1399"/>
      <c r="BE903" s="1414"/>
      <c r="BF903" s="1399"/>
      <c r="BG903" s="1399"/>
      <c r="BH903" s="1399"/>
      <c r="BI903" s="1399"/>
      <c r="BJ903" s="1399"/>
      <c r="BK903" s="1399"/>
      <c r="BL903" s="1399"/>
      <c r="BM903" s="1399"/>
      <c r="BN903" s="1399"/>
      <c r="BO903" s="1399"/>
      <c r="BP903" s="1399"/>
      <c r="BQ903" s="1399"/>
      <c r="BR903" s="1399"/>
      <c r="BS903" s="1399"/>
      <c r="BT903" s="1399"/>
      <c r="BU903" s="1399"/>
      <c r="BV903" s="1399"/>
      <c r="BW903" s="1399"/>
      <c r="BX903" s="1399"/>
      <c r="BY903" s="1399"/>
      <c r="BZ903" s="1399"/>
      <c r="CA903" s="1399"/>
      <c r="CB903" s="1399"/>
      <c r="CC903" s="1399"/>
      <c r="CD903" s="1399"/>
      <c r="CE903" s="1399"/>
      <c r="CF903" s="1399"/>
      <c r="CG903" s="1399"/>
      <c r="CH903" s="1399"/>
      <c r="CI903" s="1399"/>
      <c r="CJ903" s="1399"/>
      <c r="CK903" s="1399"/>
      <c r="CL903" s="1399"/>
      <c r="CM903" s="1399"/>
      <c r="CN903" s="1399"/>
      <c r="CO903" s="1399"/>
      <c r="CP903" s="1399"/>
      <c r="CQ903" s="1399"/>
      <c r="CR903" s="1399"/>
      <c r="CS903" s="1399"/>
      <c r="CT903" s="1399"/>
      <c r="CU903" s="1399"/>
      <c r="CV903" s="1399"/>
      <c r="CW903" s="1399"/>
      <c r="CX903" s="1399"/>
      <c r="CY903" s="1399"/>
      <c r="CZ903" s="1399"/>
      <c r="DA903" s="1399"/>
      <c r="DB903" s="1399"/>
      <c r="DC903" s="1399"/>
      <c r="DD903" s="1399"/>
      <c r="DE903" s="1399"/>
      <c r="DF903" s="1399"/>
      <c r="DG903" s="1399"/>
      <c r="DH903" s="1399"/>
      <c r="DI903" s="1399"/>
      <c r="DJ903" s="1399"/>
      <c r="DK903" s="1399"/>
      <c r="DL903" s="1399"/>
      <c r="DM903" s="1399"/>
      <c r="DN903" s="1399"/>
      <c r="DO903" s="1399"/>
      <c r="DP903" s="1399"/>
      <c r="DQ903" s="1399"/>
      <c r="DR903" s="1399"/>
      <c r="DS903" s="1399"/>
      <c r="DT903" s="1399"/>
      <c r="DU903" s="1399"/>
    </row>
    <row r="904" spans="1:125">
      <c r="A904" s="1414"/>
      <c r="B904" s="1414"/>
      <c r="C904" s="1414"/>
      <c r="D904" s="1414"/>
      <c r="E904" s="1414"/>
      <c r="F904" s="1414"/>
      <c r="G904" s="1414"/>
      <c r="H904" s="1414"/>
      <c r="I904" s="1414"/>
      <c r="J904" s="1414"/>
      <c r="K904" s="1414"/>
      <c r="L904" s="1414"/>
      <c r="M904" s="1414"/>
      <c r="N904" s="1414"/>
      <c r="O904" s="1414"/>
      <c r="P904" s="1414"/>
      <c r="Q904" s="1414"/>
      <c r="R904" s="1414"/>
      <c r="S904" s="1414"/>
      <c r="T904" s="1414"/>
      <c r="U904" s="1414"/>
      <c r="V904" s="1414"/>
      <c r="W904" s="1414"/>
      <c r="X904" s="1414"/>
      <c r="Y904" s="1414"/>
      <c r="Z904" s="1414"/>
      <c r="AA904" s="1414"/>
      <c r="AB904" s="1414"/>
      <c r="AC904" s="1414"/>
      <c r="AD904" s="1414"/>
      <c r="AE904" s="1414"/>
      <c r="AF904" s="1414"/>
      <c r="AG904" s="1414"/>
      <c r="AH904" s="1414"/>
      <c r="AI904" s="1414"/>
      <c r="AJ904" s="1414"/>
      <c r="AK904" s="1414"/>
      <c r="AL904" s="1414"/>
      <c r="AM904" s="1414"/>
      <c r="AN904" s="1414"/>
      <c r="AO904" s="1414"/>
      <c r="AP904" s="1414"/>
      <c r="AQ904" s="1414"/>
      <c r="AR904" s="1414"/>
      <c r="AS904" s="1414"/>
      <c r="AT904" s="1414"/>
      <c r="AU904" s="1414"/>
      <c r="AV904" s="1414"/>
      <c r="AW904" s="1414"/>
      <c r="AX904" s="1414"/>
      <c r="AY904" s="1399"/>
      <c r="AZ904" s="1399"/>
      <c r="BA904" s="1399"/>
      <c r="BB904" s="1399"/>
      <c r="BC904" s="1399"/>
      <c r="BD904" s="1399"/>
      <c r="BE904" s="1414"/>
      <c r="BF904" s="1399"/>
      <c r="BG904" s="1399"/>
      <c r="BH904" s="1399"/>
      <c r="BI904" s="1399"/>
      <c r="BJ904" s="1399"/>
      <c r="BK904" s="1399"/>
      <c r="BL904" s="1399"/>
      <c r="BM904" s="1399"/>
      <c r="BN904" s="1399"/>
      <c r="BO904" s="1399"/>
      <c r="BP904" s="1399"/>
      <c r="BQ904" s="1399"/>
      <c r="BR904" s="1399"/>
      <c r="BS904" s="1399"/>
      <c r="BT904" s="1399"/>
      <c r="BU904" s="1399"/>
      <c r="BV904" s="1399"/>
      <c r="BW904" s="1399"/>
      <c r="BX904" s="1399"/>
      <c r="BY904" s="1399"/>
      <c r="BZ904" s="1399"/>
      <c r="CA904" s="1399"/>
      <c r="CB904" s="1399"/>
      <c r="CC904" s="1399"/>
      <c r="CD904" s="1399"/>
      <c r="CE904" s="1399"/>
      <c r="CF904" s="1399"/>
      <c r="CG904" s="1399"/>
      <c r="CH904" s="1399"/>
      <c r="CI904" s="1399"/>
      <c r="CJ904" s="1399"/>
      <c r="CK904" s="1399"/>
      <c r="CL904" s="1399"/>
      <c r="CM904" s="1399"/>
      <c r="CN904" s="1399"/>
      <c r="CO904" s="1399"/>
      <c r="CP904" s="1399"/>
      <c r="CQ904" s="1399"/>
      <c r="CR904" s="1399"/>
      <c r="CS904" s="1399"/>
      <c r="CT904" s="1399"/>
      <c r="CU904" s="1399"/>
      <c r="CV904" s="1399"/>
      <c r="CW904" s="1399"/>
      <c r="CX904" s="1399"/>
      <c r="CY904" s="1399"/>
      <c r="CZ904" s="1399"/>
      <c r="DA904" s="1399"/>
      <c r="DB904" s="1399"/>
      <c r="DC904" s="1399"/>
      <c r="DD904" s="1399"/>
      <c r="DE904" s="1399"/>
      <c r="DF904" s="1399"/>
      <c r="DG904" s="1399"/>
      <c r="DH904" s="1399"/>
      <c r="DI904" s="1399"/>
      <c r="DJ904" s="1399"/>
      <c r="DK904" s="1399"/>
      <c r="DL904" s="1399"/>
      <c r="DM904" s="1399"/>
      <c r="DN904" s="1399"/>
      <c r="DO904" s="1399"/>
      <c r="DP904" s="1399"/>
      <c r="DQ904" s="1399"/>
      <c r="DR904" s="1399"/>
      <c r="DS904" s="1399"/>
      <c r="DT904" s="1399"/>
      <c r="DU904" s="1399"/>
    </row>
    <row r="905" spans="1:125">
      <c r="A905" s="1414"/>
      <c r="B905" s="1414"/>
      <c r="C905" s="1414"/>
      <c r="D905" s="1414"/>
      <c r="E905" s="1414"/>
      <c r="F905" s="1414"/>
      <c r="G905" s="1414"/>
      <c r="H905" s="1414"/>
      <c r="I905" s="1414"/>
      <c r="J905" s="1414"/>
      <c r="K905" s="1414"/>
      <c r="L905" s="1414"/>
      <c r="M905" s="1414"/>
      <c r="N905" s="1414"/>
      <c r="O905" s="1414"/>
      <c r="P905" s="1414"/>
      <c r="Q905" s="1414"/>
      <c r="R905" s="1414"/>
      <c r="S905" s="1414"/>
      <c r="T905" s="1414"/>
      <c r="U905" s="1414"/>
      <c r="V905" s="1414"/>
      <c r="W905" s="1414"/>
      <c r="X905" s="1414"/>
      <c r="Y905" s="1414"/>
      <c r="Z905" s="1414"/>
      <c r="AA905" s="1414"/>
      <c r="AB905" s="1414"/>
      <c r="AC905" s="1414"/>
      <c r="AD905" s="1414"/>
      <c r="AE905" s="1414"/>
      <c r="AF905" s="1414"/>
      <c r="AG905" s="1414"/>
      <c r="AH905" s="1414"/>
      <c r="AI905" s="1414"/>
      <c r="AJ905" s="1414"/>
      <c r="AK905" s="1414"/>
      <c r="AL905" s="1414"/>
      <c r="AM905" s="1414"/>
      <c r="AN905" s="1414"/>
      <c r="AO905" s="1414"/>
      <c r="AP905" s="1414"/>
      <c r="AQ905" s="1414"/>
      <c r="AR905" s="1414"/>
      <c r="AS905" s="1414"/>
      <c r="AT905" s="1414"/>
      <c r="AU905" s="1414"/>
      <c r="AV905" s="1414"/>
      <c r="AW905" s="1414"/>
      <c r="AX905" s="1414"/>
      <c r="AY905" s="1399"/>
      <c r="AZ905" s="1399"/>
      <c r="BA905" s="1399"/>
      <c r="BB905" s="1399"/>
      <c r="BC905" s="1399"/>
      <c r="BD905" s="1399"/>
      <c r="BE905" s="1414"/>
      <c r="BF905" s="1399"/>
      <c r="BG905" s="1399"/>
      <c r="BH905" s="1399"/>
      <c r="BI905" s="1399"/>
      <c r="BJ905" s="1399"/>
      <c r="BK905" s="1399"/>
      <c r="BL905" s="1399"/>
      <c r="BM905" s="1399"/>
      <c r="BN905" s="1399"/>
      <c r="BO905" s="1399"/>
      <c r="BP905" s="1399"/>
      <c r="BQ905" s="1399"/>
      <c r="BR905" s="1399"/>
      <c r="BS905" s="1399"/>
      <c r="BT905" s="1399"/>
      <c r="BU905" s="1399"/>
      <c r="BV905" s="1399"/>
      <c r="BW905" s="1399"/>
      <c r="BX905" s="1399"/>
      <c r="BY905" s="1399"/>
      <c r="BZ905" s="1399"/>
      <c r="CA905" s="1399"/>
      <c r="CB905" s="1399"/>
      <c r="CC905" s="1399"/>
      <c r="CD905" s="1399"/>
      <c r="CE905" s="1399"/>
      <c r="CF905" s="1399"/>
      <c r="CG905" s="1399"/>
      <c r="CH905" s="1399"/>
      <c r="CI905" s="1399"/>
      <c r="CJ905" s="1399"/>
      <c r="CK905" s="1399"/>
      <c r="CL905" s="1399"/>
      <c r="CM905" s="1399"/>
      <c r="CN905" s="1399"/>
      <c r="CO905" s="1399"/>
      <c r="CP905" s="1399"/>
      <c r="CQ905" s="1399"/>
      <c r="CR905" s="1399"/>
      <c r="CS905" s="1399"/>
      <c r="CT905" s="1399"/>
      <c r="CU905" s="1399"/>
      <c r="CV905" s="1399"/>
      <c r="CW905" s="1399"/>
      <c r="CX905" s="1399"/>
      <c r="CY905" s="1399"/>
      <c r="CZ905" s="1399"/>
      <c r="DA905" s="1399"/>
      <c r="DB905" s="1399"/>
      <c r="DC905" s="1399"/>
      <c r="DD905" s="1399"/>
      <c r="DE905" s="1399"/>
      <c r="DF905" s="1399"/>
      <c r="DG905" s="1399"/>
      <c r="DH905" s="1399"/>
      <c r="DI905" s="1399"/>
      <c r="DJ905" s="1399"/>
      <c r="DK905" s="1399"/>
      <c r="DL905" s="1399"/>
      <c r="DM905" s="1399"/>
      <c r="DN905" s="1399"/>
      <c r="DO905" s="1399"/>
      <c r="DP905" s="1399"/>
      <c r="DQ905" s="1399"/>
      <c r="DR905" s="1399"/>
      <c r="DS905" s="1399"/>
      <c r="DT905" s="1399"/>
      <c r="DU905" s="1399"/>
    </row>
    <row r="906" spans="1:125">
      <c r="A906" s="1414"/>
      <c r="B906" s="1414"/>
      <c r="C906" s="1414"/>
      <c r="D906" s="1414"/>
      <c r="E906" s="1414"/>
      <c r="F906" s="1414"/>
      <c r="G906" s="1414"/>
      <c r="H906" s="1414"/>
      <c r="I906" s="1414"/>
      <c r="J906" s="1414"/>
      <c r="K906" s="1414"/>
      <c r="L906" s="1414"/>
      <c r="M906" s="1414"/>
      <c r="N906" s="1414"/>
      <c r="O906" s="1414"/>
      <c r="P906" s="1414"/>
      <c r="Q906" s="1414"/>
      <c r="R906" s="1414"/>
      <c r="S906" s="1414"/>
      <c r="T906" s="1414"/>
      <c r="U906" s="1414"/>
      <c r="V906" s="1414"/>
      <c r="W906" s="1414"/>
      <c r="X906" s="1414"/>
      <c r="Y906" s="1414"/>
      <c r="Z906" s="1414"/>
      <c r="AA906" s="1414"/>
      <c r="AB906" s="1414"/>
      <c r="AC906" s="1414"/>
      <c r="AD906" s="1414"/>
      <c r="AE906" s="1414"/>
      <c r="AF906" s="1414"/>
      <c r="AG906" s="1414"/>
      <c r="AH906" s="1414"/>
      <c r="AI906" s="1414"/>
      <c r="AJ906" s="1414"/>
      <c r="AK906" s="1414"/>
      <c r="AL906" s="1414"/>
      <c r="AM906" s="1414"/>
      <c r="AN906" s="1414"/>
      <c r="AO906" s="1414"/>
      <c r="AP906" s="1414"/>
      <c r="AQ906" s="1414"/>
      <c r="AR906" s="1414"/>
      <c r="AS906" s="1414"/>
      <c r="AT906" s="1414"/>
      <c r="AU906" s="1414"/>
      <c r="AV906" s="1414"/>
      <c r="AW906" s="1414"/>
      <c r="AX906" s="1414"/>
      <c r="AY906" s="1399"/>
      <c r="AZ906" s="1399"/>
      <c r="BA906" s="1399"/>
      <c r="BB906" s="1399"/>
      <c r="BC906" s="1399"/>
      <c r="BD906" s="1399"/>
      <c r="BE906" s="1414"/>
      <c r="BF906" s="1399"/>
      <c r="BG906" s="1399"/>
      <c r="BH906" s="1399"/>
      <c r="BI906" s="1399"/>
      <c r="BJ906" s="1399"/>
      <c r="BK906" s="1399"/>
      <c r="BL906" s="1399"/>
      <c r="BM906" s="1399"/>
      <c r="BN906" s="1399"/>
      <c r="BO906" s="1399"/>
      <c r="BP906" s="1399"/>
      <c r="BQ906" s="1399"/>
      <c r="BR906" s="1399"/>
      <c r="BS906" s="1399"/>
      <c r="BT906" s="1399"/>
      <c r="BU906" s="1399"/>
      <c r="BV906" s="1399"/>
      <c r="BW906" s="1399"/>
      <c r="BX906" s="1399"/>
      <c r="BY906" s="1399"/>
      <c r="BZ906" s="1399"/>
      <c r="CA906" s="1399"/>
      <c r="CB906" s="1399"/>
      <c r="CC906" s="1399"/>
      <c r="CD906" s="1399"/>
      <c r="CE906" s="1399"/>
      <c r="CF906" s="1399"/>
      <c r="CG906" s="1399"/>
      <c r="CH906" s="1399"/>
      <c r="CI906" s="1399"/>
      <c r="CJ906" s="1399"/>
      <c r="CK906" s="1399"/>
      <c r="CL906" s="1399"/>
      <c r="CM906" s="1399"/>
      <c r="CN906" s="1399"/>
      <c r="CO906" s="1399"/>
      <c r="CP906" s="1399"/>
      <c r="CQ906" s="1399"/>
      <c r="CR906" s="1399"/>
      <c r="CS906" s="1399"/>
      <c r="CT906" s="1399"/>
      <c r="CU906" s="1399"/>
      <c r="CV906" s="1399"/>
      <c r="CW906" s="1399"/>
      <c r="CX906" s="1399"/>
      <c r="CY906" s="1399"/>
      <c r="CZ906" s="1399"/>
      <c r="DA906" s="1399"/>
      <c r="DB906" s="1399"/>
      <c r="DC906" s="1399"/>
      <c r="DD906" s="1399"/>
      <c r="DE906" s="1399"/>
      <c r="DF906" s="1399"/>
      <c r="DG906" s="1399"/>
      <c r="DH906" s="1399"/>
      <c r="DI906" s="1399"/>
      <c r="DJ906" s="1399"/>
      <c r="DK906" s="1399"/>
      <c r="DL906" s="1399"/>
      <c r="DM906" s="1399"/>
      <c r="DN906" s="1399"/>
      <c r="DO906" s="1399"/>
      <c r="DP906" s="1399"/>
      <c r="DQ906" s="1399"/>
      <c r="DR906" s="1399"/>
      <c r="DS906" s="1399"/>
      <c r="DT906" s="1399"/>
      <c r="DU906" s="1399"/>
    </row>
    <row r="907" spans="1:125">
      <c r="A907" s="1414"/>
      <c r="B907" s="1414"/>
      <c r="C907" s="1414"/>
      <c r="D907" s="1414"/>
      <c r="E907" s="1414"/>
      <c r="F907" s="1414"/>
      <c r="G907" s="1414"/>
      <c r="H907" s="1414"/>
      <c r="I907" s="1414"/>
      <c r="J907" s="1414"/>
      <c r="K907" s="1414"/>
      <c r="L907" s="1414"/>
      <c r="M907" s="1414"/>
      <c r="N907" s="1414"/>
      <c r="O907" s="1414"/>
      <c r="P907" s="1414"/>
      <c r="Q907" s="1414"/>
      <c r="R907" s="1414"/>
      <c r="S907" s="1414"/>
      <c r="T907" s="1414"/>
      <c r="U907" s="1414"/>
      <c r="V907" s="1414"/>
      <c r="W907" s="1414"/>
      <c r="X907" s="1414"/>
      <c r="Y907" s="1414"/>
      <c r="Z907" s="1414"/>
      <c r="AA907" s="1414"/>
      <c r="AB907" s="1414"/>
      <c r="AC907" s="1414"/>
      <c r="AD907" s="1414"/>
      <c r="AE907" s="1414"/>
      <c r="AF907" s="1414"/>
      <c r="AG907" s="1414"/>
      <c r="AH907" s="1414"/>
      <c r="AI907" s="1414"/>
      <c r="AJ907" s="1414"/>
      <c r="AK907" s="1414"/>
      <c r="AL907" s="1414"/>
      <c r="AM907" s="1414"/>
      <c r="AN907" s="1414"/>
      <c r="AO907" s="1414"/>
      <c r="AP907" s="1414"/>
      <c r="AQ907" s="1414"/>
      <c r="AR907" s="1414"/>
      <c r="AS907" s="1414"/>
      <c r="AT907" s="1414"/>
      <c r="AU907" s="1414"/>
      <c r="AV907" s="1414"/>
      <c r="AW907" s="1414"/>
      <c r="AX907" s="1414"/>
      <c r="AY907" s="1399"/>
      <c r="AZ907" s="1399"/>
      <c r="BA907" s="1399"/>
      <c r="BB907" s="1399"/>
      <c r="BC907" s="1399"/>
      <c r="BD907" s="1399"/>
      <c r="BE907" s="1414"/>
      <c r="BF907" s="1399"/>
      <c r="BG907" s="1399"/>
      <c r="BH907" s="1399"/>
      <c r="BI907" s="1399"/>
      <c r="BJ907" s="1399"/>
      <c r="BK907" s="1399"/>
      <c r="BL907" s="1399"/>
      <c r="BM907" s="1399"/>
      <c r="BN907" s="1399"/>
      <c r="BO907" s="1399"/>
      <c r="BP907" s="1399"/>
      <c r="BQ907" s="1399"/>
      <c r="BR907" s="1399"/>
      <c r="BS907" s="1399"/>
      <c r="BT907" s="1399"/>
      <c r="BU907" s="1399"/>
      <c r="BV907" s="1399"/>
      <c r="BW907" s="1399"/>
      <c r="BX907" s="1399"/>
      <c r="BY907" s="1399"/>
      <c r="BZ907" s="1399"/>
      <c r="CA907" s="1399"/>
      <c r="CB907" s="1399"/>
      <c r="CC907" s="1399"/>
      <c r="CD907" s="1399"/>
      <c r="CE907" s="1399"/>
      <c r="CF907" s="1399"/>
      <c r="CG907" s="1399"/>
      <c r="CH907" s="1399"/>
      <c r="CI907" s="1399"/>
      <c r="CJ907" s="1399"/>
      <c r="CK907" s="1399"/>
      <c r="CL907" s="1399"/>
      <c r="CM907" s="1399"/>
      <c r="CN907" s="1399"/>
      <c r="CO907" s="1399"/>
      <c r="CP907" s="1399"/>
      <c r="CQ907" s="1399"/>
      <c r="CR907" s="1399"/>
      <c r="CS907" s="1399"/>
      <c r="CT907" s="1399"/>
      <c r="CU907" s="1399"/>
      <c r="CV907" s="1399"/>
      <c r="CW907" s="1399"/>
      <c r="CX907" s="1399"/>
      <c r="CY907" s="1399"/>
      <c r="CZ907" s="1399"/>
      <c r="DA907" s="1399"/>
      <c r="DB907" s="1399"/>
      <c r="DC907" s="1399"/>
      <c r="DD907" s="1399"/>
      <c r="DE907" s="1399"/>
      <c r="DF907" s="1399"/>
      <c r="DG907" s="1399"/>
      <c r="DH907" s="1399"/>
      <c r="DI907" s="1399"/>
      <c r="DJ907" s="1399"/>
      <c r="DK907" s="1399"/>
      <c r="DL907" s="1399"/>
      <c r="DM907" s="1399"/>
      <c r="DN907" s="1399"/>
      <c r="DO907" s="1399"/>
      <c r="DP907" s="1399"/>
      <c r="DQ907" s="1399"/>
      <c r="DR907" s="1399"/>
      <c r="DS907" s="1399"/>
      <c r="DT907" s="1399"/>
      <c r="DU907" s="1399"/>
    </row>
    <row r="908" spans="1:125">
      <c r="A908" s="1414"/>
      <c r="B908" s="1414"/>
      <c r="C908" s="1414"/>
      <c r="D908" s="1414"/>
      <c r="E908" s="1414"/>
      <c r="F908" s="1414"/>
      <c r="G908" s="1414"/>
      <c r="H908" s="1414"/>
      <c r="I908" s="1414"/>
      <c r="J908" s="1414"/>
      <c r="K908" s="1414"/>
      <c r="L908" s="1414"/>
      <c r="M908" s="1414"/>
      <c r="N908" s="1414"/>
      <c r="O908" s="1414"/>
      <c r="P908" s="1414"/>
      <c r="Q908" s="1414"/>
      <c r="R908" s="1414"/>
      <c r="S908" s="1414"/>
      <c r="T908" s="1414"/>
      <c r="U908" s="1414"/>
      <c r="V908" s="1414"/>
      <c r="W908" s="1414"/>
      <c r="X908" s="1414"/>
      <c r="Y908" s="1414"/>
      <c r="Z908" s="1414"/>
      <c r="AA908" s="1414"/>
      <c r="AB908" s="1414"/>
      <c r="AC908" s="1414"/>
      <c r="AD908" s="1414"/>
      <c r="AE908" s="1414"/>
      <c r="AF908" s="1414"/>
      <c r="AG908" s="1414"/>
      <c r="AH908" s="1414"/>
      <c r="AI908" s="1414"/>
      <c r="AJ908" s="1414"/>
      <c r="AK908" s="1414"/>
      <c r="AL908" s="1414"/>
      <c r="AM908" s="1414"/>
      <c r="AN908" s="1414"/>
      <c r="AO908" s="1414"/>
      <c r="AP908" s="1414"/>
      <c r="AQ908" s="1414"/>
      <c r="AR908" s="1414"/>
      <c r="AS908" s="1414"/>
      <c r="AT908" s="1414"/>
      <c r="AU908" s="1414"/>
      <c r="AV908" s="1414"/>
      <c r="AW908" s="1414"/>
      <c r="AX908" s="1414"/>
      <c r="AY908" s="1399"/>
      <c r="AZ908" s="1399"/>
      <c r="BA908" s="1399"/>
      <c r="BB908" s="1399"/>
      <c r="BC908" s="1399"/>
      <c r="BD908" s="1399"/>
      <c r="BE908" s="1414"/>
      <c r="BF908" s="1399"/>
      <c r="BG908" s="1399"/>
      <c r="BH908" s="1399"/>
      <c r="BI908" s="1399"/>
      <c r="BJ908" s="1399"/>
      <c r="BK908" s="1399"/>
      <c r="BL908" s="1399"/>
      <c r="BM908" s="1399"/>
      <c r="BN908" s="1399"/>
      <c r="BO908" s="1399"/>
      <c r="BP908" s="1399"/>
      <c r="BQ908" s="1399"/>
      <c r="BR908" s="1399"/>
      <c r="BS908" s="1399"/>
      <c r="BT908" s="1399"/>
      <c r="BU908" s="1399"/>
      <c r="BV908" s="1399"/>
      <c r="BW908" s="1399"/>
      <c r="BX908" s="1399"/>
      <c r="BY908" s="1399"/>
      <c r="BZ908" s="1399"/>
      <c r="CA908" s="1399"/>
      <c r="CB908" s="1399"/>
      <c r="CC908" s="1399"/>
      <c r="CD908" s="1399"/>
      <c r="CE908" s="1399"/>
      <c r="CF908" s="1399"/>
      <c r="CG908" s="1399"/>
      <c r="CH908" s="1399"/>
      <c r="CI908" s="1399"/>
      <c r="CJ908" s="1399"/>
      <c r="CK908" s="1399"/>
      <c r="CL908" s="1399"/>
      <c r="CM908" s="1399"/>
      <c r="CN908" s="1399"/>
      <c r="CO908" s="1399"/>
      <c r="CP908" s="1399"/>
      <c r="CQ908" s="1399"/>
      <c r="CR908" s="1399"/>
      <c r="CS908" s="1399"/>
      <c r="CT908" s="1399"/>
      <c r="CU908" s="1399"/>
      <c r="CV908" s="1399"/>
      <c r="CW908" s="1399"/>
      <c r="CX908" s="1399"/>
      <c r="CY908" s="1399"/>
      <c r="CZ908" s="1399"/>
      <c r="DA908" s="1399"/>
      <c r="DB908" s="1399"/>
      <c r="DC908" s="1399"/>
      <c r="DD908" s="1399"/>
      <c r="DE908" s="1399"/>
      <c r="DF908" s="1399"/>
      <c r="DG908" s="1399"/>
      <c r="DH908" s="1399"/>
      <c r="DI908" s="1399"/>
      <c r="DJ908" s="1399"/>
      <c r="DK908" s="1399"/>
      <c r="DL908" s="1399"/>
      <c r="DM908" s="1399"/>
      <c r="DN908" s="1399"/>
      <c r="DO908" s="1399"/>
      <c r="DP908" s="1399"/>
      <c r="DQ908" s="1399"/>
      <c r="DR908" s="1399"/>
      <c r="DS908" s="1399"/>
      <c r="DT908" s="1399"/>
      <c r="DU908" s="1399"/>
    </row>
    <row r="909" spans="1:125">
      <c r="A909" s="1414"/>
      <c r="B909" s="1414"/>
      <c r="C909" s="1414"/>
      <c r="D909" s="1414"/>
      <c r="E909" s="1414"/>
      <c r="F909" s="1414"/>
      <c r="G909" s="1414"/>
      <c r="H909" s="1414"/>
      <c r="I909" s="1414"/>
      <c r="J909" s="1414"/>
      <c r="K909" s="1414"/>
      <c r="L909" s="1414"/>
      <c r="M909" s="1414"/>
      <c r="N909" s="1414"/>
      <c r="O909" s="1414"/>
      <c r="P909" s="1414"/>
      <c r="Q909" s="1414"/>
      <c r="R909" s="1414"/>
      <c r="S909" s="1414"/>
      <c r="T909" s="1414"/>
      <c r="U909" s="1414"/>
      <c r="V909" s="1414"/>
      <c r="W909" s="1414"/>
      <c r="X909" s="1414"/>
      <c r="Y909" s="1414"/>
      <c r="Z909" s="1414"/>
      <c r="AA909" s="1414"/>
      <c r="AB909" s="1414"/>
      <c r="AC909" s="1414"/>
      <c r="AD909" s="1414"/>
      <c r="AE909" s="1414"/>
      <c r="AF909" s="1414"/>
      <c r="AG909" s="1414"/>
      <c r="AH909" s="1414"/>
      <c r="AI909" s="1414"/>
      <c r="AJ909" s="1414"/>
      <c r="AK909" s="1414"/>
      <c r="AL909" s="1414"/>
      <c r="AM909" s="1414"/>
      <c r="AN909" s="1414"/>
      <c r="AO909" s="1414"/>
      <c r="AP909" s="1414"/>
      <c r="AQ909" s="1414"/>
      <c r="AR909" s="1414"/>
      <c r="AS909" s="1414"/>
      <c r="AT909" s="1414"/>
      <c r="AU909" s="1414"/>
      <c r="AV909" s="1414"/>
      <c r="AW909" s="1414"/>
      <c r="AX909" s="1414"/>
      <c r="AY909" s="1399"/>
      <c r="AZ909" s="1399"/>
      <c r="BA909" s="1399"/>
      <c r="BB909" s="1399"/>
      <c r="BC909" s="1399"/>
      <c r="BD909" s="1399"/>
      <c r="BE909" s="1414"/>
      <c r="BF909" s="1399"/>
      <c r="BG909" s="1399"/>
      <c r="BH909" s="1399"/>
      <c r="BI909" s="1399"/>
      <c r="BJ909" s="1399"/>
      <c r="BK909" s="1399"/>
      <c r="BL909" s="1399"/>
      <c r="BM909" s="1399"/>
      <c r="BN909" s="1399"/>
      <c r="BO909" s="1399"/>
      <c r="BP909" s="1399"/>
      <c r="BQ909" s="1399"/>
      <c r="BR909" s="1399"/>
      <c r="BS909" s="1399"/>
      <c r="BT909" s="1399"/>
      <c r="BU909" s="1399"/>
      <c r="BV909" s="1399"/>
      <c r="BW909" s="1399"/>
      <c r="BX909" s="1399"/>
      <c r="BY909" s="1399"/>
      <c r="BZ909" s="1399"/>
      <c r="CA909" s="1399"/>
      <c r="CB909" s="1399"/>
      <c r="CC909" s="1399"/>
      <c r="CD909" s="1399"/>
      <c r="CE909" s="1399"/>
      <c r="CF909" s="1399"/>
      <c r="CG909" s="1399"/>
      <c r="CH909" s="1399"/>
      <c r="CI909" s="1399"/>
      <c r="CJ909" s="1399"/>
      <c r="CK909" s="1399"/>
      <c r="CL909" s="1399"/>
      <c r="CM909" s="1399"/>
      <c r="CN909" s="1399"/>
      <c r="CO909" s="1399"/>
      <c r="CP909" s="1399"/>
      <c r="CQ909" s="1399"/>
      <c r="CR909" s="1399"/>
      <c r="CS909" s="1399"/>
      <c r="CT909" s="1399"/>
      <c r="CU909" s="1399"/>
      <c r="CV909" s="1399"/>
      <c r="CW909" s="1399"/>
      <c r="CX909" s="1399"/>
      <c r="CY909" s="1399"/>
      <c r="CZ909" s="1399"/>
      <c r="DA909" s="1399"/>
      <c r="DB909" s="1399"/>
      <c r="DC909" s="1399"/>
      <c r="DD909" s="1399"/>
      <c r="DE909" s="1399"/>
      <c r="DF909" s="1399"/>
      <c r="DG909" s="1399"/>
      <c r="DH909" s="1399"/>
      <c r="DI909" s="1399"/>
      <c r="DJ909" s="1399"/>
      <c r="DK909" s="1399"/>
      <c r="DL909" s="1399"/>
      <c r="DM909" s="1399"/>
      <c r="DN909" s="1399"/>
      <c r="DO909" s="1399"/>
      <c r="DP909" s="1399"/>
      <c r="DQ909" s="1399"/>
      <c r="DR909" s="1399"/>
      <c r="DS909" s="1399"/>
      <c r="DT909" s="1399"/>
      <c r="DU909" s="1399"/>
    </row>
    <row r="910" spans="1:125">
      <c r="A910" s="1414"/>
      <c r="B910" s="1414"/>
      <c r="C910" s="1414"/>
      <c r="D910" s="1414"/>
      <c r="E910" s="1414"/>
      <c r="F910" s="1414"/>
      <c r="G910" s="1414"/>
      <c r="H910" s="1414"/>
      <c r="I910" s="1414"/>
      <c r="J910" s="1414"/>
      <c r="K910" s="1414"/>
      <c r="L910" s="1414"/>
      <c r="M910" s="1414"/>
      <c r="N910" s="1414"/>
      <c r="O910" s="1414"/>
      <c r="P910" s="1414"/>
      <c r="Q910" s="1414"/>
      <c r="R910" s="1414"/>
      <c r="S910" s="1414"/>
      <c r="T910" s="1414"/>
      <c r="U910" s="1414"/>
      <c r="V910" s="1414"/>
      <c r="W910" s="1414"/>
      <c r="X910" s="1414"/>
      <c r="Y910" s="1414"/>
      <c r="Z910" s="1414"/>
      <c r="AA910" s="1414"/>
      <c r="AB910" s="1414"/>
      <c r="AC910" s="1414"/>
      <c r="AD910" s="1414"/>
      <c r="AE910" s="1414"/>
      <c r="AF910" s="1414"/>
      <c r="AG910" s="1414"/>
      <c r="AH910" s="1414"/>
      <c r="AI910" s="1414"/>
      <c r="AJ910" s="1414"/>
      <c r="AK910" s="1414"/>
      <c r="AL910" s="1414"/>
      <c r="AM910" s="1414"/>
      <c r="AN910" s="1414"/>
      <c r="AO910" s="1414"/>
      <c r="AP910" s="1414"/>
      <c r="AQ910" s="1414"/>
      <c r="AR910" s="1414"/>
      <c r="AS910" s="1414"/>
      <c r="AT910" s="1414"/>
      <c r="AU910" s="1414"/>
      <c r="AV910" s="1414"/>
      <c r="AW910" s="1414"/>
      <c r="AX910" s="1414"/>
      <c r="AY910" s="1399"/>
      <c r="AZ910" s="1399"/>
      <c r="BA910" s="1399"/>
      <c r="BB910" s="1399"/>
      <c r="BC910" s="1399"/>
      <c r="BD910" s="1399"/>
      <c r="BE910" s="1414"/>
      <c r="BF910" s="1399"/>
      <c r="BG910" s="1399"/>
      <c r="BH910" s="1399"/>
      <c r="BI910" s="1399"/>
      <c r="BJ910" s="1399"/>
      <c r="BK910" s="1399"/>
      <c r="BL910" s="1399"/>
      <c r="BM910" s="1399"/>
      <c r="BN910" s="1399"/>
      <c r="BO910" s="1399"/>
      <c r="BP910" s="1399"/>
      <c r="BQ910" s="1399"/>
      <c r="BR910" s="1399"/>
      <c r="BS910" s="1399"/>
      <c r="BT910" s="1399"/>
      <c r="BU910" s="1399"/>
      <c r="BV910" s="1399"/>
      <c r="BW910" s="1399"/>
      <c r="BX910" s="1399"/>
      <c r="BY910" s="1399"/>
      <c r="BZ910" s="1399"/>
      <c r="CA910" s="1399"/>
      <c r="CB910" s="1399"/>
      <c r="CC910" s="1399"/>
      <c r="CD910" s="1399"/>
      <c r="CE910" s="1399"/>
      <c r="CF910" s="1399"/>
      <c r="CG910" s="1399"/>
      <c r="CH910" s="1399"/>
      <c r="CI910" s="1399"/>
      <c r="CJ910" s="1399"/>
      <c r="CK910" s="1399"/>
      <c r="CL910" s="1399"/>
      <c r="CM910" s="1399"/>
      <c r="CN910" s="1399"/>
      <c r="CO910" s="1399"/>
      <c r="CP910" s="1399"/>
      <c r="CQ910" s="1399"/>
      <c r="CR910" s="1399"/>
      <c r="CS910" s="1399"/>
      <c r="CT910" s="1399"/>
      <c r="CU910" s="1399"/>
      <c r="CV910" s="1399"/>
      <c r="CW910" s="1399"/>
      <c r="CX910" s="1399"/>
      <c r="CY910" s="1399"/>
      <c r="CZ910" s="1399"/>
      <c r="DA910" s="1399"/>
      <c r="DB910" s="1399"/>
      <c r="DC910" s="1399"/>
      <c r="DD910" s="1399"/>
      <c r="DE910" s="1399"/>
      <c r="DF910" s="1399"/>
      <c r="DG910" s="1399"/>
      <c r="DH910" s="1399"/>
      <c r="DI910" s="1399"/>
      <c r="DJ910" s="1399"/>
      <c r="DK910" s="1399"/>
      <c r="DL910" s="1399"/>
      <c r="DM910" s="1399"/>
      <c r="DN910" s="1399"/>
      <c r="DO910" s="1399"/>
      <c r="DP910" s="1399"/>
      <c r="DQ910" s="1399"/>
      <c r="DR910" s="1399"/>
      <c r="DS910" s="1399"/>
      <c r="DT910" s="1399"/>
      <c r="DU910" s="1399"/>
    </row>
    <row r="911" spans="1:125">
      <c r="A911" s="1414"/>
      <c r="B911" s="1414"/>
      <c r="C911" s="1414"/>
      <c r="D911" s="1414"/>
      <c r="E911" s="1414"/>
      <c r="F911" s="1414"/>
      <c r="G911" s="1414"/>
      <c r="H911" s="1414"/>
      <c r="I911" s="1414"/>
      <c r="J911" s="1414"/>
      <c r="K911" s="1414"/>
      <c r="L911" s="1414"/>
      <c r="M911" s="1414"/>
      <c r="N911" s="1414"/>
      <c r="O911" s="1414"/>
      <c r="P911" s="1414"/>
      <c r="Q911" s="1414"/>
      <c r="R911" s="1414"/>
      <c r="S911" s="1414"/>
      <c r="T911" s="1414"/>
      <c r="U911" s="1414"/>
      <c r="V911" s="1414"/>
      <c r="W911" s="1414"/>
      <c r="X911" s="1414"/>
      <c r="Y911" s="1414"/>
      <c r="Z911" s="1414"/>
      <c r="AA911" s="1414"/>
      <c r="AB911" s="1414"/>
      <c r="AC911" s="1414"/>
      <c r="AD911" s="1414"/>
      <c r="AE911" s="1414"/>
      <c r="AF911" s="1414"/>
      <c r="AG911" s="1414"/>
      <c r="AH911" s="1414"/>
      <c r="AI911" s="1414"/>
      <c r="AJ911" s="1414"/>
      <c r="AK911" s="1414"/>
      <c r="AL911" s="1414"/>
      <c r="AM911" s="1414"/>
      <c r="AN911" s="1414"/>
      <c r="AO911" s="1414"/>
      <c r="AP911" s="1414"/>
      <c r="AQ911" s="1414"/>
      <c r="AR911" s="1414"/>
      <c r="AS911" s="1414"/>
      <c r="AT911" s="1414"/>
      <c r="AU911" s="1414"/>
      <c r="AV911" s="1414"/>
      <c r="AW911" s="1414"/>
      <c r="AX911" s="1414"/>
      <c r="AY911" s="1399"/>
      <c r="AZ911" s="1399"/>
      <c r="BA911" s="1399"/>
      <c r="BB911" s="1399"/>
      <c r="BC911" s="1399"/>
      <c r="BD911" s="1399"/>
      <c r="BE911" s="1414"/>
      <c r="BF911" s="1399"/>
      <c r="BG911" s="1399"/>
      <c r="BH911" s="1399"/>
      <c r="BI911" s="1399"/>
      <c r="BJ911" s="1399"/>
      <c r="BK911" s="1399"/>
      <c r="BL911" s="1399"/>
      <c r="BM911" s="1399"/>
      <c r="BN911" s="1399"/>
      <c r="BO911" s="1399"/>
      <c r="BP911" s="1399"/>
      <c r="BQ911" s="1399"/>
      <c r="BR911" s="1399"/>
      <c r="BS911" s="1399"/>
      <c r="BT911" s="1399"/>
      <c r="BU911" s="1399"/>
      <c r="BV911" s="1399"/>
      <c r="BW911" s="1399"/>
      <c r="BX911" s="1399"/>
      <c r="BY911" s="1399"/>
      <c r="BZ911" s="1399"/>
      <c r="CA911" s="1399"/>
      <c r="CB911" s="1399"/>
      <c r="CC911" s="1399"/>
      <c r="CD911" s="1399"/>
      <c r="CE911" s="1399"/>
      <c r="CF911" s="1399"/>
      <c r="CG911" s="1399"/>
      <c r="CH911" s="1399"/>
      <c r="CI911" s="1399"/>
      <c r="CJ911" s="1399"/>
      <c r="CK911" s="1399"/>
      <c r="CL911" s="1399"/>
      <c r="CM911" s="1399"/>
      <c r="CN911" s="1399"/>
      <c r="CO911" s="1399"/>
      <c r="CP911" s="1399"/>
      <c r="CQ911" s="1399"/>
      <c r="CR911" s="1399"/>
      <c r="CS911" s="1399"/>
      <c r="CT911" s="1399"/>
      <c r="CU911" s="1399"/>
      <c r="CV911" s="1399"/>
      <c r="CW911" s="1399"/>
      <c r="CX911" s="1399"/>
      <c r="CY911" s="1399"/>
      <c r="CZ911" s="1399"/>
      <c r="DA911" s="1399"/>
      <c r="DB911" s="1399"/>
      <c r="DC911" s="1399"/>
      <c r="DD911" s="1399"/>
      <c r="DE911" s="1399"/>
      <c r="DF911" s="1399"/>
      <c r="DG911" s="1399"/>
      <c r="DH911" s="1399"/>
      <c r="DI911" s="1399"/>
      <c r="DJ911" s="1399"/>
      <c r="DK911" s="1399"/>
      <c r="DL911" s="1399"/>
      <c r="DM911" s="1399"/>
      <c r="DN911" s="1399"/>
      <c r="DO911" s="1399"/>
      <c r="DP911" s="1399"/>
      <c r="DQ911" s="1399"/>
      <c r="DR911" s="1399"/>
      <c r="DS911" s="1399"/>
      <c r="DT911" s="1399"/>
      <c r="DU911" s="1399"/>
    </row>
    <row r="912" spans="1:125">
      <c r="A912" s="1414"/>
      <c r="B912" s="1414"/>
      <c r="C912" s="1414"/>
      <c r="D912" s="1414"/>
      <c r="E912" s="1414"/>
      <c r="F912" s="1414"/>
      <c r="G912" s="1414"/>
      <c r="H912" s="1414"/>
      <c r="I912" s="1414"/>
      <c r="J912" s="1414"/>
      <c r="K912" s="1414"/>
      <c r="L912" s="1414"/>
      <c r="M912" s="1414"/>
      <c r="N912" s="1414"/>
      <c r="O912" s="1414"/>
      <c r="P912" s="1414"/>
      <c r="Q912" s="1414"/>
      <c r="R912" s="1414"/>
      <c r="S912" s="1414"/>
      <c r="T912" s="1414"/>
      <c r="U912" s="1414"/>
      <c r="V912" s="1414"/>
      <c r="W912" s="1414"/>
      <c r="X912" s="1414"/>
      <c r="Y912" s="1414"/>
      <c r="Z912" s="1414"/>
      <c r="AA912" s="1414"/>
      <c r="AB912" s="1414"/>
      <c r="AC912" s="1414"/>
      <c r="AD912" s="1414"/>
      <c r="AE912" s="1414"/>
      <c r="AF912" s="1414"/>
      <c r="AG912" s="1414"/>
      <c r="AH912" s="1414"/>
      <c r="AI912" s="1414"/>
      <c r="AJ912" s="1414"/>
      <c r="AK912" s="1414"/>
      <c r="AL912" s="1414"/>
      <c r="AM912" s="1414"/>
      <c r="AN912" s="1414"/>
      <c r="AO912" s="1414"/>
      <c r="AP912" s="1414"/>
      <c r="AQ912" s="1414"/>
      <c r="AR912" s="1414"/>
      <c r="AS912" s="1414"/>
      <c r="AT912" s="1414"/>
      <c r="AU912" s="1414"/>
      <c r="AV912" s="1414"/>
      <c r="AW912" s="1414"/>
      <c r="AX912" s="1414"/>
      <c r="AY912" s="1399"/>
      <c r="AZ912" s="1399"/>
      <c r="BA912" s="1399"/>
      <c r="BB912" s="1399"/>
      <c r="BC912" s="1399"/>
      <c r="BD912" s="1399"/>
      <c r="BE912" s="1414"/>
      <c r="BF912" s="1399"/>
      <c r="BG912" s="1399"/>
      <c r="BH912" s="1399"/>
      <c r="BI912" s="1399"/>
      <c r="BJ912" s="1399"/>
      <c r="BK912" s="1399"/>
      <c r="BL912" s="1399"/>
      <c r="BM912" s="1399"/>
      <c r="BN912" s="1399"/>
      <c r="BO912" s="1399"/>
      <c r="BP912" s="1399"/>
      <c r="BQ912" s="1399"/>
      <c r="BR912" s="1399"/>
      <c r="BS912" s="1399"/>
      <c r="BT912" s="1399"/>
      <c r="BU912" s="1399"/>
      <c r="BV912" s="1399"/>
      <c r="BW912" s="1399"/>
      <c r="BX912" s="1399"/>
      <c r="BY912" s="1399"/>
      <c r="BZ912" s="1399"/>
      <c r="CA912" s="1399"/>
      <c r="CB912" s="1399"/>
      <c r="CC912" s="1399"/>
      <c r="CD912" s="1399"/>
      <c r="CE912" s="1399"/>
      <c r="CF912" s="1399"/>
      <c r="CG912" s="1399"/>
      <c r="CH912" s="1399"/>
      <c r="CI912" s="1399"/>
      <c r="CJ912" s="1399"/>
      <c r="CK912" s="1399"/>
      <c r="CL912" s="1399"/>
      <c r="CM912" s="1399"/>
      <c r="CN912" s="1399"/>
      <c r="CO912" s="1399"/>
      <c r="CP912" s="1399"/>
      <c r="CQ912" s="1399"/>
      <c r="CR912" s="1399"/>
      <c r="CS912" s="1399"/>
      <c r="CT912" s="1399"/>
      <c r="CU912" s="1399"/>
      <c r="CV912" s="1399"/>
      <c r="CW912" s="1399"/>
      <c r="CX912" s="1399"/>
      <c r="CY912" s="1399"/>
      <c r="CZ912" s="1399"/>
      <c r="DA912" s="1399"/>
      <c r="DB912" s="1399"/>
      <c r="DC912" s="1399"/>
      <c r="DD912" s="1399"/>
      <c r="DE912" s="1399"/>
      <c r="DF912" s="1399"/>
      <c r="DG912" s="1399"/>
      <c r="DH912" s="1399"/>
      <c r="DI912" s="1399"/>
      <c r="DJ912" s="1399"/>
      <c r="DK912" s="1399"/>
      <c r="DL912" s="1399"/>
      <c r="DM912" s="1399"/>
      <c r="DN912" s="1399"/>
      <c r="DO912" s="1399"/>
      <c r="DP912" s="1399"/>
      <c r="DQ912" s="1399"/>
      <c r="DR912" s="1399"/>
      <c r="DS912" s="1399"/>
      <c r="DT912" s="1399"/>
      <c r="DU912" s="1399"/>
    </row>
    <row r="913" spans="1:125">
      <c r="A913" s="1414"/>
      <c r="B913" s="1414"/>
      <c r="C913" s="1414"/>
      <c r="D913" s="1414"/>
      <c r="E913" s="1414"/>
      <c r="F913" s="1414"/>
      <c r="G913" s="1414"/>
      <c r="H913" s="1414"/>
      <c r="I913" s="1414"/>
      <c r="J913" s="1414"/>
      <c r="K913" s="1414"/>
      <c r="L913" s="1414"/>
      <c r="M913" s="1414"/>
      <c r="N913" s="1414"/>
      <c r="O913" s="1414"/>
      <c r="P913" s="1414"/>
      <c r="Q913" s="1414"/>
      <c r="R913" s="1414"/>
      <c r="S913" s="1414"/>
      <c r="T913" s="1414"/>
      <c r="U913" s="1414"/>
      <c r="V913" s="1414"/>
      <c r="W913" s="1414"/>
      <c r="X913" s="1414"/>
      <c r="Y913" s="1414"/>
      <c r="Z913" s="1414"/>
      <c r="AA913" s="1414"/>
      <c r="AB913" s="1414"/>
      <c r="AC913" s="1414"/>
      <c r="AD913" s="1414"/>
      <c r="AE913" s="1414"/>
      <c r="AF913" s="1414"/>
      <c r="AG913" s="1414"/>
      <c r="AH913" s="1414"/>
      <c r="AI913" s="1414"/>
      <c r="AJ913" s="1414"/>
      <c r="AK913" s="1414"/>
      <c r="AL913" s="1414"/>
      <c r="AM913" s="1414"/>
      <c r="AN913" s="1414"/>
      <c r="AO913" s="1414"/>
      <c r="AP913" s="1414"/>
      <c r="AQ913" s="1414"/>
      <c r="AR913" s="1414"/>
      <c r="AS913" s="1414"/>
      <c r="AT913" s="1414"/>
      <c r="AU913" s="1414"/>
      <c r="AV913" s="1414"/>
      <c r="AW913" s="1414"/>
      <c r="AX913" s="1414"/>
      <c r="AY913" s="1399"/>
      <c r="AZ913" s="1399"/>
      <c r="BA913" s="1399"/>
      <c r="BB913" s="1399"/>
      <c r="BC913" s="1399"/>
      <c r="BD913" s="1399"/>
      <c r="BE913" s="1414"/>
      <c r="BF913" s="1399"/>
      <c r="BG913" s="1399"/>
      <c r="BH913" s="1399"/>
      <c r="BI913" s="1399"/>
      <c r="BJ913" s="1399"/>
      <c r="BK913" s="1399"/>
      <c r="BL913" s="1399"/>
      <c r="BM913" s="1399"/>
      <c r="BN913" s="1399"/>
      <c r="BO913" s="1399"/>
      <c r="BP913" s="1399"/>
      <c r="BQ913" s="1399"/>
      <c r="BR913" s="1399"/>
      <c r="BS913" s="1399"/>
      <c r="BT913" s="1399"/>
      <c r="BU913" s="1399"/>
      <c r="BV913" s="1399"/>
      <c r="BW913" s="1399"/>
      <c r="BX913" s="1399"/>
      <c r="BY913" s="1399"/>
      <c r="BZ913" s="1399"/>
      <c r="CA913" s="1399"/>
      <c r="CB913" s="1399"/>
      <c r="CC913" s="1399"/>
      <c r="CD913" s="1399"/>
      <c r="CE913" s="1399"/>
      <c r="CF913" s="1399"/>
      <c r="CG913" s="1399"/>
      <c r="CH913" s="1399"/>
      <c r="CI913" s="1399"/>
      <c r="CJ913" s="1399"/>
      <c r="CK913" s="1399"/>
      <c r="CL913" s="1399"/>
      <c r="CM913" s="1399"/>
      <c r="CN913" s="1399"/>
      <c r="CO913" s="1399"/>
      <c r="CP913" s="1399"/>
      <c r="CQ913" s="1399"/>
      <c r="CR913" s="1399"/>
      <c r="CS913" s="1399"/>
      <c r="CT913" s="1399"/>
      <c r="CU913" s="1399"/>
      <c r="CV913" s="1399"/>
      <c r="CW913" s="1399"/>
      <c r="CX913" s="1399"/>
      <c r="CY913" s="1399"/>
      <c r="CZ913" s="1399"/>
      <c r="DA913" s="1399"/>
      <c r="DB913" s="1399"/>
      <c r="DC913" s="1399"/>
      <c r="DD913" s="1399"/>
      <c r="DE913" s="1399"/>
      <c r="DF913" s="1399"/>
      <c r="DG913" s="1399"/>
      <c r="DH913" s="1399"/>
      <c r="DI913" s="1399"/>
      <c r="DJ913" s="1399"/>
      <c r="DK913" s="1399"/>
      <c r="DL913" s="1399"/>
      <c r="DM913" s="1399"/>
      <c r="DN913" s="1399"/>
      <c r="DO913" s="1399"/>
      <c r="DP913" s="1399"/>
      <c r="DQ913" s="1399"/>
      <c r="DR913" s="1399"/>
      <c r="DS913" s="1399"/>
      <c r="DT913" s="1399"/>
      <c r="DU913" s="1399"/>
    </row>
    <row r="914" spans="1:125">
      <c r="A914" s="1414"/>
      <c r="B914" s="1414"/>
      <c r="C914" s="1414"/>
      <c r="D914" s="1414"/>
      <c r="E914" s="1414"/>
      <c r="F914" s="1414"/>
      <c r="G914" s="1414"/>
      <c r="H914" s="1414"/>
      <c r="I914" s="1414"/>
      <c r="J914" s="1414"/>
      <c r="K914" s="1414"/>
      <c r="L914" s="1414"/>
      <c r="M914" s="1414"/>
      <c r="N914" s="1414"/>
      <c r="O914" s="1414"/>
      <c r="P914" s="1414"/>
      <c r="Q914" s="1414"/>
      <c r="R914" s="1414"/>
      <c r="S914" s="1414"/>
      <c r="T914" s="1414"/>
      <c r="U914" s="1414"/>
      <c r="V914" s="1414"/>
      <c r="W914" s="1414"/>
      <c r="X914" s="1414"/>
      <c r="Y914" s="1414"/>
      <c r="Z914" s="1414"/>
      <c r="AA914" s="1414"/>
      <c r="AB914" s="1414"/>
      <c r="AC914" s="1414"/>
      <c r="AD914" s="1414"/>
      <c r="AE914" s="1414"/>
      <c r="AF914" s="1414"/>
      <c r="AG914" s="1414"/>
      <c r="AH914" s="1414"/>
      <c r="AI914" s="1414"/>
      <c r="AJ914" s="1414"/>
      <c r="AK914" s="1414"/>
      <c r="AL914" s="1414"/>
      <c r="AM914" s="1414"/>
      <c r="AN914" s="1414"/>
      <c r="AO914" s="1414"/>
      <c r="AP914" s="1414"/>
      <c r="AQ914" s="1414"/>
      <c r="AR914" s="1414"/>
      <c r="AS914" s="1414"/>
      <c r="AT914" s="1414"/>
      <c r="AU914" s="1414"/>
      <c r="AV914" s="1414"/>
      <c r="AW914" s="1414"/>
      <c r="AX914" s="1414"/>
      <c r="AY914" s="1399"/>
      <c r="AZ914" s="1399"/>
      <c r="BA914" s="1399"/>
      <c r="BB914" s="1399"/>
      <c r="BC914" s="1399"/>
      <c r="BD914" s="1399"/>
      <c r="BE914" s="1414"/>
      <c r="BF914" s="1399"/>
      <c r="BG914" s="1399"/>
      <c r="BH914" s="1399"/>
      <c r="BI914" s="1399"/>
      <c r="BJ914" s="1399"/>
      <c r="BK914" s="1399"/>
      <c r="BL914" s="1399"/>
      <c r="BM914" s="1399"/>
      <c r="BN914" s="1399"/>
      <c r="BO914" s="1399"/>
      <c r="BP914" s="1399"/>
      <c r="BQ914" s="1399"/>
      <c r="BR914" s="1399"/>
      <c r="BS914" s="1399"/>
      <c r="BT914" s="1399"/>
      <c r="BU914" s="1399"/>
      <c r="BV914" s="1399"/>
      <c r="BW914" s="1399"/>
      <c r="BX914" s="1399"/>
      <c r="BY914" s="1399"/>
      <c r="BZ914" s="1399"/>
      <c r="CA914" s="1399"/>
      <c r="CB914" s="1399"/>
      <c r="CC914" s="1399"/>
      <c r="CD914" s="1399"/>
      <c r="CE914" s="1399"/>
      <c r="CF914" s="1399"/>
      <c r="CG914" s="1399"/>
      <c r="CH914" s="1399"/>
      <c r="CI914" s="1399"/>
      <c r="CJ914" s="1399"/>
      <c r="CK914" s="1399"/>
      <c r="CL914" s="1399"/>
      <c r="CM914" s="1399"/>
      <c r="CN914" s="1399"/>
      <c r="CO914" s="1399"/>
      <c r="CP914" s="1399"/>
      <c r="CQ914" s="1399"/>
      <c r="CR914" s="1399"/>
      <c r="CS914" s="1399"/>
      <c r="CT914" s="1399"/>
      <c r="CU914" s="1399"/>
      <c r="CV914" s="1399"/>
      <c r="CW914" s="1399"/>
      <c r="CX914" s="1399"/>
      <c r="CY914" s="1399"/>
      <c r="CZ914" s="1399"/>
      <c r="DA914" s="1399"/>
      <c r="DB914" s="1399"/>
      <c r="DC914" s="1399"/>
      <c r="DD914" s="1399"/>
      <c r="DE914" s="1399"/>
      <c r="DF914" s="1399"/>
      <c r="DG914" s="1399"/>
      <c r="DH914" s="1399"/>
      <c r="DI914" s="1399"/>
      <c r="DJ914" s="1399"/>
      <c r="DK914" s="1399"/>
      <c r="DL914" s="1399"/>
      <c r="DM914" s="1399"/>
      <c r="DN914" s="1399"/>
      <c r="DO914" s="1399"/>
      <c r="DP914" s="1399"/>
      <c r="DQ914" s="1399"/>
      <c r="DR914" s="1399"/>
      <c r="DS914" s="1399"/>
      <c r="DT914" s="1399"/>
      <c r="DU914" s="1399"/>
    </row>
    <row r="915" spans="1:125">
      <c r="A915" s="1414"/>
      <c r="B915" s="1414"/>
      <c r="C915" s="1414"/>
      <c r="D915" s="1414"/>
      <c r="E915" s="1414"/>
      <c r="F915" s="1414"/>
      <c r="G915" s="1414"/>
      <c r="H915" s="1414"/>
      <c r="I915" s="1414"/>
      <c r="J915" s="1414"/>
      <c r="K915" s="1414"/>
      <c r="L915" s="1414"/>
      <c r="M915" s="1414"/>
      <c r="N915" s="1414"/>
      <c r="O915" s="1414"/>
      <c r="P915" s="1414"/>
      <c r="Q915" s="1414"/>
      <c r="R915" s="1414"/>
      <c r="S915" s="1414"/>
      <c r="T915" s="1414"/>
      <c r="U915" s="1414"/>
      <c r="V915" s="1414"/>
      <c r="W915" s="1414"/>
      <c r="X915" s="1414"/>
      <c r="Y915" s="1414"/>
      <c r="Z915" s="1414"/>
      <c r="AA915" s="1414"/>
      <c r="AB915" s="1414"/>
      <c r="AC915" s="1414"/>
      <c r="AD915" s="1414"/>
      <c r="AE915" s="1414"/>
      <c r="AF915" s="1414"/>
      <c r="AG915" s="1414"/>
      <c r="AH915" s="1414"/>
      <c r="AI915" s="1414"/>
      <c r="AJ915" s="1414"/>
      <c r="AK915" s="1414"/>
      <c r="AL915" s="1414"/>
      <c r="AM915" s="1414"/>
      <c r="AN915" s="1414"/>
      <c r="AO915" s="1414"/>
      <c r="AP915" s="1414"/>
      <c r="AQ915" s="1414"/>
      <c r="AR915" s="1414"/>
      <c r="AS915" s="1414"/>
      <c r="AT915" s="1414"/>
      <c r="AU915" s="1414"/>
      <c r="AV915" s="1414"/>
      <c r="AW915" s="1414"/>
      <c r="AX915" s="1414"/>
      <c r="AY915" s="1399"/>
      <c r="AZ915" s="1399"/>
      <c r="BA915" s="1399"/>
      <c r="BB915" s="1399"/>
      <c r="BC915" s="1399"/>
      <c r="BD915" s="1399"/>
      <c r="BE915" s="1414"/>
      <c r="BF915" s="1399"/>
      <c r="BG915" s="1399"/>
      <c r="BH915" s="1399"/>
      <c r="BI915" s="1399"/>
      <c r="BJ915" s="1399"/>
      <c r="BK915" s="1399"/>
      <c r="BL915" s="1399"/>
      <c r="BM915" s="1399"/>
      <c r="BN915" s="1399"/>
      <c r="BO915" s="1399"/>
      <c r="BP915" s="1399"/>
      <c r="BQ915" s="1399"/>
      <c r="BR915" s="1399"/>
      <c r="BS915" s="1399"/>
      <c r="BT915" s="1399"/>
      <c r="BU915" s="1399"/>
      <c r="BV915" s="1399"/>
      <c r="BW915" s="1399"/>
      <c r="BX915" s="1399"/>
      <c r="BY915" s="1399"/>
      <c r="BZ915" s="1399"/>
      <c r="CA915" s="1399"/>
      <c r="CB915" s="1399"/>
      <c r="CC915" s="1399"/>
      <c r="CD915" s="1399"/>
      <c r="CE915" s="1399"/>
      <c r="CF915" s="1399"/>
      <c r="CG915" s="1399"/>
      <c r="CH915" s="1399"/>
      <c r="CI915" s="1399"/>
      <c r="CJ915" s="1399"/>
      <c r="CK915" s="1399"/>
      <c r="CL915" s="1399"/>
      <c r="CM915" s="1399"/>
      <c r="CN915" s="1399"/>
      <c r="CO915" s="1399"/>
      <c r="CP915" s="1399"/>
      <c r="CQ915" s="1399"/>
      <c r="CR915" s="1399"/>
      <c r="CS915" s="1399"/>
      <c r="CT915" s="1399"/>
      <c r="CU915" s="1399"/>
      <c r="CV915" s="1399"/>
      <c r="CW915" s="1399"/>
      <c r="CX915" s="1399"/>
      <c r="CY915" s="1399"/>
      <c r="CZ915" s="1399"/>
      <c r="DA915" s="1399"/>
      <c r="DB915" s="1399"/>
      <c r="DC915" s="1399"/>
      <c r="DD915" s="1399"/>
      <c r="DE915" s="1399"/>
      <c r="DF915" s="1399"/>
      <c r="DG915" s="1399"/>
      <c r="DH915" s="1399"/>
      <c r="DI915" s="1399"/>
      <c r="DJ915" s="1399"/>
      <c r="DK915" s="1399"/>
      <c r="DL915" s="1399"/>
      <c r="DM915" s="1399"/>
      <c r="DN915" s="1399"/>
      <c r="DO915" s="1399"/>
      <c r="DP915" s="1399"/>
      <c r="DQ915" s="1399"/>
      <c r="DR915" s="1399"/>
      <c r="DS915" s="1399"/>
      <c r="DT915" s="1399"/>
      <c r="DU915" s="1399"/>
    </row>
    <row r="916" spans="1:125">
      <c r="A916" s="1414"/>
      <c r="B916" s="1414"/>
      <c r="C916" s="1414"/>
      <c r="D916" s="1414"/>
      <c r="E916" s="1414"/>
      <c r="F916" s="1414"/>
      <c r="G916" s="1414"/>
      <c r="H916" s="1414"/>
      <c r="I916" s="1414"/>
      <c r="J916" s="1414"/>
      <c r="K916" s="1414"/>
      <c r="L916" s="1414"/>
      <c r="M916" s="1414"/>
      <c r="N916" s="1414"/>
      <c r="O916" s="1414"/>
      <c r="P916" s="1414"/>
      <c r="Q916" s="1414"/>
      <c r="R916" s="1414"/>
      <c r="S916" s="1414"/>
      <c r="T916" s="1414"/>
      <c r="U916" s="1414"/>
      <c r="V916" s="1414"/>
      <c r="W916" s="1414"/>
      <c r="X916" s="1414"/>
      <c r="Y916" s="1414"/>
      <c r="Z916" s="1414"/>
      <c r="AA916" s="1414"/>
      <c r="AB916" s="1414"/>
      <c r="AC916" s="1414"/>
      <c r="AD916" s="1414"/>
      <c r="AE916" s="1414"/>
      <c r="AF916" s="1414"/>
      <c r="AG916" s="1414"/>
      <c r="AH916" s="1414"/>
      <c r="AI916" s="1414"/>
      <c r="AJ916" s="1414"/>
      <c r="AK916" s="1414"/>
      <c r="AL916" s="1414"/>
      <c r="AM916" s="1414"/>
      <c r="AN916" s="1414"/>
      <c r="AO916" s="1414"/>
      <c r="AP916" s="1414"/>
      <c r="AQ916" s="1414"/>
      <c r="AR916" s="1414"/>
      <c r="AS916" s="1414"/>
      <c r="AT916" s="1414"/>
      <c r="AU916" s="1414"/>
      <c r="AV916" s="1414"/>
      <c r="AW916" s="1414"/>
      <c r="AX916" s="1414"/>
      <c r="AY916" s="1399"/>
      <c r="AZ916" s="1399"/>
      <c r="BA916" s="1399"/>
      <c r="BB916" s="1399"/>
      <c r="BC916" s="1399"/>
      <c r="BD916" s="1399"/>
      <c r="BE916" s="1414"/>
      <c r="BF916" s="1399"/>
      <c r="BG916" s="1399"/>
      <c r="BH916" s="1399"/>
      <c r="BI916" s="1399"/>
      <c r="BJ916" s="1399"/>
      <c r="BK916" s="1399"/>
      <c r="BL916" s="1399"/>
      <c r="BM916" s="1399"/>
      <c r="BN916" s="1399"/>
      <c r="BO916" s="1399"/>
      <c r="BP916" s="1399"/>
      <c r="BQ916" s="1399"/>
      <c r="BR916" s="1399"/>
      <c r="BS916" s="1399"/>
      <c r="BT916" s="1399"/>
      <c r="BU916" s="1399"/>
      <c r="BV916" s="1399"/>
      <c r="BW916" s="1399"/>
      <c r="BX916" s="1399"/>
      <c r="BY916" s="1399"/>
      <c r="BZ916" s="1399"/>
      <c r="CA916" s="1399"/>
      <c r="CB916" s="1399"/>
      <c r="CC916" s="1399"/>
      <c r="CD916" s="1399"/>
      <c r="CE916" s="1399"/>
      <c r="CF916" s="1399"/>
      <c r="CG916" s="1399"/>
      <c r="CH916" s="1399"/>
      <c r="CI916" s="1399"/>
      <c r="CJ916" s="1399"/>
      <c r="CK916" s="1399"/>
      <c r="CL916" s="1399"/>
      <c r="CM916" s="1399"/>
      <c r="CN916" s="1399"/>
      <c r="CO916" s="1399"/>
      <c r="CP916" s="1399"/>
      <c r="CQ916" s="1399"/>
      <c r="CR916" s="1399"/>
      <c r="CS916" s="1399"/>
      <c r="CT916" s="1399"/>
      <c r="CU916" s="1399"/>
      <c r="CV916" s="1399"/>
      <c r="CW916" s="1399"/>
      <c r="CX916" s="1399"/>
      <c r="CY916" s="1399"/>
      <c r="CZ916" s="1399"/>
      <c r="DA916" s="1399"/>
      <c r="DB916" s="1399"/>
      <c r="DC916" s="1399"/>
      <c r="DD916" s="1399"/>
      <c r="DE916" s="1399"/>
      <c r="DF916" s="1399"/>
      <c r="DG916" s="1399"/>
      <c r="DH916" s="1399"/>
      <c r="DI916" s="1399"/>
      <c r="DJ916" s="1399"/>
      <c r="DK916" s="1399"/>
      <c r="DL916" s="1399"/>
      <c r="DM916" s="1399"/>
      <c r="DN916" s="1399"/>
      <c r="DO916" s="1399"/>
      <c r="DP916" s="1399"/>
      <c r="DQ916" s="1399"/>
      <c r="DR916" s="1399"/>
      <c r="DS916" s="1399"/>
      <c r="DT916" s="1399"/>
      <c r="DU916" s="1399"/>
    </row>
    <row r="917" spans="1:125">
      <c r="A917" s="1414"/>
      <c r="B917" s="1414"/>
      <c r="C917" s="1414"/>
      <c r="D917" s="1414"/>
      <c r="E917" s="1414"/>
      <c r="F917" s="1414"/>
      <c r="G917" s="1414"/>
      <c r="H917" s="1414"/>
      <c r="I917" s="1414"/>
      <c r="J917" s="1414"/>
      <c r="K917" s="1414"/>
      <c r="L917" s="1414"/>
      <c r="M917" s="1414"/>
      <c r="N917" s="1414"/>
      <c r="O917" s="1414"/>
      <c r="P917" s="1414"/>
      <c r="Q917" s="1414"/>
      <c r="R917" s="1414"/>
      <c r="S917" s="1414"/>
      <c r="T917" s="1414"/>
      <c r="U917" s="1414"/>
      <c r="V917" s="1414"/>
      <c r="W917" s="1414"/>
      <c r="X917" s="1414"/>
      <c r="Y917" s="1414"/>
      <c r="Z917" s="1414"/>
      <c r="AA917" s="1414"/>
      <c r="AB917" s="1414"/>
      <c r="AC917" s="1414"/>
      <c r="AD917" s="1414"/>
      <c r="AE917" s="1414"/>
      <c r="AF917" s="1414"/>
      <c r="AG917" s="1414"/>
      <c r="AH917" s="1414"/>
      <c r="AI917" s="1414"/>
      <c r="AJ917" s="1414"/>
      <c r="AK917" s="1414"/>
      <c r="AL917" s="1414"/>
      <c r="AM917" s="1414"/>
      <c r="AN917" s="1414"/>
      <c r="AO917" s="1414"/>
      <c r="AP917" s="1414"/>
      <c r="AQ917" s="1414"/>
      <c r="AR917" s="1414"/>
      <c r="AS917" s="1414"/>
      <c r="AT917" s="1414"/>
      <c r="AU917" s="1414"/>
      <c r="AV917" s="1414"/>
      <c r="AW917" s="1414"/>
      <c r="AX917" s="1414"/>
      <c r="AY917" s="1399"/>
      <c r="AZ917" s="1399"/>
      <c r="BA917" s="1399"/>
      <c r="BB917" s="1399"/>
      <c r="BC917" s="1399"/>
      <c r="BD917" s="1399"/>
      <c r="BE917" s="1414"/>
      <c r="BF917" s="1399"/>
      <c r="BG917" s="1399"/>
      <c r="BH917" s="1399"/>
      <c r="BI917" s="1399"/>
      <c r="BJ917" s="1399"/>
      <c r="BK917" s="1399"/>
      <c r="BL917" s="1399"/>
      <c r="BM917" s="1399"/>
      <c r="BN917" s="1399"/>
      <c r="BO917" s="1399"/>
      <c r="BP917" s="1399"/>
      <c r="BQ917" s="1399"/>
      <c r="BR917" s="1399"/>
      <c r="BS917" s="1399"/>
      <c r="BT917" s="1399"/>
      <c r="BU917" s="1399"/>
      <c r="BV917" s="1399"/>
      <c r="BW917" s="1399"/>
      <c r="BX917" s="1399"/>
      <c r="BY917" s="1399"/>
      <c r="BZ917" s="1399"/>
      <c r="CA917" s="1399"/>
      <c r="CB917" s="1399"/>
      <c r="CC917" s="1399"/>
      <c r="CD917" s="1399"/>
      <c r="CE917" s="1399"/>
      <c r="CF917" s="1399"/>
      <c r="CG917" s="1399"/>
      <c r="CH917" s="1399"/>
      <c r="CI917" s="1399"/>
      <c r="CJ917" s="1399"/>
      <c r="CK917" s="1399"/>
      <c r="CL917" s="1399"/>
      <c r="CM917" s="1399"/>
      <c r="CN917" s="1399"/>
      <c r="CO917" s="1399"/>
      <c r="CP917" s="1399"/>
      <c r="CQ917" s="1399"/>
      <c r="CR917" s="1399"/>
      <c r="CS917" s="1399"/>
      <c r="CT917" s="1399"/>
      <c r="CU917" s="1399"/>
      <c r="CV917" s="1399"/>
      <c r="CW917" s="1399"/>
      <c r="CX917" s="1399"/>
      <c r="CY917" s="1399"/>
      <c r="CZ917" s="1399"/>
      <c r="DA917" s="1399"/>
      <c r="DB917" s="1399"/>
      <c r="DC917" s="1399"/>
      <c r="DD917" s="1399"/>
      <c r="DE917" s="1399"/>
      <c r="DF917" s="1399"/>
      <c r="DG917" s="1399"/>
      <c r="DH917" s="1399"/>
      <c r="DI917" s="1399"/>
      <c r="DJ917" s="1399"/>
      <c r="DK917" s="1399"/>
      <c r="DL917" s="1399"/>
      <c r="DM917" s="1399"/>
      <c r="DN917" s="1399"/>
      <c r="DO917" s="1399"/>
      <c r="DP917" s="1399"/>
      <c r="DQ917" s="1399"/>
      <c r="DR917" s="1399"/>
      <c r="DS917" s="1399"/>
      <c r="DT917" s="1399"/>
      <c r="DU917" s="1399"/>
    </row>
    <row r="918" spans="1:125">
      <c r="A918" s="1414"/>
      <c r="B918" s="1414"/>
      <c r="C918" s="1414"/>
      <c r="D918" s="1414"/>
      <c r="E918" s="1414"/>
      <c r="F918" s="1414"/>
      <c r="G918" s="1414"/>
      <c r="H918" s="1414"/>
      <c r="I918" s="1414"/>
      <c r="J918" s="1414"/>
      <c r="K918" s="1414"/>
      <c r="L918" s="1414"/>
      <c r="M918" s="1414"/>
      <c r="N918" s="1414"/>
      <c r="O918" s="1414"/>
      <c r="P918" s="1414"/>
      <c r="Q918" s="1414"/>
      <c r="R918" s="1414"/>
      <c r="S918" s="1414"/>
      <c r="T918" s="1414"/>
      <c r="U918" s="1414"/>
      <c r="V918" s="1414"/>
      <c r="W918" s="1414"/>
      <c r="X918" s="1414"/>
      <c r="Y918" s="1414"/>
      <c r="Z918" s="1414"/>
      <c r="AA918" s="1414"/>
      <c r="AB918" s="1414"/>
      <c r="AC918" s="1414"/>
      <c r="AD918" s="1414"/>
      <c r="AE918" s="1414"/>
      <c r="AF918" s="1414"/>
      <c r="AG918" s="1414"/>
      <c r="AH918" s="1414"/>
      <c r="AI918" s="1414"/>
      <c r="AJ918" s="1414"/>
      <c r="AK918" s="1414"/>
      <c r="AL918" s="1414"/>
      <c r="AM918" s="1414"/>
      <c r="AN918" s="1414"/>
      <c r="AO918" s="1414"/>
      <c r="AP918" s="1414"/>
      <c r="AQ918" s="1414"/>
      <c r="AR918" s="1414"/>
      <c r="AS918" s="1414"/>
      <c r="AT918" s="1414"/>
      <c r="AU918" s="1414"/>
      <c r="AV918" s="1414"/>
      <c r="AW918" s="1414"/>
      <c r="AX918" s="1414"/>
      <c r="AY918" s="1399"/>
      <c r="AZ918" s="1399"/>
      <c r="BA918" s="1399"/>
      <c r="BB918" s="1399"/>
      <c r="BC918" s="1399"/>
      <c r="BD918" s="1399"/>
      <c r="BE918" s="1414"/>
      <c r="BF918" s="1399"/>
      <c r="BG918" s="1399"/>
      <c r="BH918" s="1399"/>
      <c r="BI918" s="1399"/>
      <c r="BJ918" s="1399"/>
      <c r="BK918" s="1399"/>
      <c r="BL918" s="1399"/>
      <c r="BM918" s="1399"/>
      <c r="BN918" s="1399"/>
      <c r="BO918" s="1399"/>
      <c r="BP918" s="1399"/>
      <c r="BQ918" s="1399"/>
      <c r="BR918" s="1399"/>
      <c r="BS918" s="1399"/>
      <c r="BT918" s="1399"/>
      <c r="BU918" s="1399"/>
      <c r="BV918" s="1399"/>
      <c r="BW918" s="1399"/>
      <c r="BX918" s="1399"/>
      <c r="BY918" s="1399"/>
      <c r="BZ918" s="1399"/>
      <c r="CA918" s="1399"/>
      <c r="CB918" s="1399"/>
      <c r="CC918" s="1399"/>
      <c r="CD918" s="1399"/>
      <c r="CE918" s="1399"/>
      <c r="CF918" s="1399"/>
      <c r="CG918" s="1399"/>
      <c r="CH918" s="1399"/>
      <c r="CI918" s="1399"/>
      <c r="CJ918" s="1399"/>
      <c r="CK918" s="1399"/>
      <c r="CL918" s="1399"/>
      <c r="CM918" s="1399"/>
      <c r="CN918" s="1399"/>
      <c r="CO918" s="1399"/>
      <c r="CP918" s="1399"/>
      <c r="CQ918" s="1399"/>
      <c r="CR918" s="1399"/>
      <c r="CS918" s="1399"/>
      <c r="CT918" s="1399"/>
      <c r="CU918" s="1399"/>
      <c r="CV918" s="1399"/>
      <c r="CW918" s="1399"/>
      <c r="CX918" s="1399"/>
      <c r="CY918" s="1399"/>
      <c r="CZ918" s="1399"/>
      <c r="DA918" s="1399"/>
      <c r="DB918" s="1399"/>
      <c r="DC918" s="1399"/>
      <c r="DD918" s="1399"/>
      <c r="DE918" s="1399"/>
      <c r="DF918" s="1399"/>
      <c r="DG918" s="1399"/>
      <c r="DH918" s="1399"/>
      <c r="DI918" s="1399"/>
      <c r="DJ918" s="1399"/>
      <c r="DK918" s="1399"/>
      <c r="DL918" s="1399"/>
      <c r="DM918" s="1399"/>
      <c r="DN918" s="1399"/>
      <c r="DO918" s="1399"/>
      <c r="DP918" s="1399"/>
      <c r="DQ918" s="1399"/>
      <c r="DR918" s="1399"/>
      <c r="DS918" s="1399"/>
      <c r="DT918" s="1399"/>
      <c r="DU918" s="1399"/>
    </row>
    <row r="919" spans="1:125">
      <c r="A919" s="1414"/>
      <c r="B919" s="1414"/>
      <c r="C919" s="1414"/>
      <c r="D919" s="1414"/>
      <c r="E919" s="1414"/>
      <c r="F919" s="1414"/>
      <c r="G919" s="1414"/>
      <c r="H919" s="1414"/>
      <c r="I919" s="1414"/>
      <c r="J919" s="1414"/>
      <c r="K919" s="1414"/>
      <c r="L919" s="1414"/>
      <c r="M919" s="1414"/>
      <c r="N919" s="1414"/>
      <c r="O919" s="1414"/>
      <c r="P919" s="1414"/>
      <c r="Q919" s="1414"/>
      <c r="R919" s="1414"/>
      <c r="S919" s="1414"/>
      <c r="T919" s="1414"/>
      <c r="U919" s="1414"/>
      <c r="V919" s="1414"/>
      <c r="W919" s="1414"/>
      <c r="X919" s="1414"/>
      <c r="Y919" s="1414"/>
      <c r="Z919" s="1414"/>
      <c r="AA919" s="1414"/>
      <c r="AB919" s="1414"/>
      <c r="AC919" s="1414"/>
      <c r="AD919" s="1414"/>
      <c r="AE919" s="1414"/>
      <c r="AF919" s="1414"/>
      <c r="AG919" s="1414"/>
      <c r="AH919" s="1414"/>
      <c r="AI919" s="1414"/>
      <c r="AJ919" s="1414"/>
      <c r="AK919" s="1414"/>
      <c r="AL919" s="1414"/>
      <c r="AM919" s="1414"/>
      <c r="AN919" s="1414"/>
      <c r="AO919" s="1414"/>
      <c r="AP919" s="1414"/>
      <c r="AQ919" s="1414"/>
      <c r="AR919" s="1414"/>
      <c r="AS919" s="1414"/>
      <c r="AT919" s="1414"/>
      <c r="AU919" s="1414"/>
      <c r="AV919" s="1414"/>
      <c r="AW919" s="1414"/>
      <c r="AX919" s="1414"/>
      <c r="AY919" s="1399"/>
      <c r="AZ919" s="1399"/>
      <c r="BA919" s="1399"/>
      <c r="BB919" s="1399"/>
      <c r="BC919" s="1399"/>
      <c r="BD919" s="1399"/>
      <c r="BE919" s="1414"/>
      <c r="BF919" s="1399"/>
      <c r="BG919" s="1399"/>
      <c r="BH919" s="1399"/>
      <c r="BI919" s="1399"/>
      <c r="BJ919" s="1399"/>
      <c r="BK919" s="1399"/>
      <c r="BL919" s="1399"/>
      <c r="BM919" s="1399"/>
      <c r="BN919" s="1399"/>
      <c r="BO919" s="1399"/>
      <c r="BP919" s="1399"/>
      <c r="BQ919" s="1399"/>
      <c r="BR919" s="1399"/>
      <c r="BS919" s="1399"/>
      <c r="BT919" s="1399"/>
      <c r="BU919" s="1399"/>
      <c r="BV919" s="1399"/>
      <c r="BW919" s="1399"/>
      <c r="BX919" s="1399"/>
      <c r="BY919" s="1399"/>
      <c r="BZ919" s="1399"/>
      <c r="CA919" s="1399"/>
      <c r="CB919" s="1399"/>
      <c r="CC919" s="1399"/>
      <c r="CD919" s="1399"/>
      <c r="CE919" s="1399"/>
      <c r="CF919" s="1399"/>
      <c r="CG919" s="1399"/>
      <c r="CH919" s="1399"/>
      <c r="CI919" s="1399"/>
      <c r="CJ919" s="1399"/>
      <c r="CK919" s="1399"/>
      <c r="CL919" s="1399"/>
      <c r="CM919" s="1399"/>
      <c r="CN919" s="1399"/>
      <c r="CO919" s="1399"/>
      <c r="CP919" s="1399"/>
      <c r="CQ919" s="1399"/>
      <c r="CR919" s="1399"/>
      <c r="CS919" s="1399"/>
      <c r="CT919" s="1399"/>
      <c r="CU919" s="1399"/>
      <c r="CV919" s="1399"/>
      <c r="CW919" s="1399"/>
      <c r="CX919" s="1399"/>
      <c r="CY919" s="1399"/>
      <c r="CZ919" s="1399"/>
      <c r="DA919" s="1399"/>
      <c r="DB919" s="1399"/>
      <c r="DC919" s="1399"/>
      <c r="DD919" s="1399"/>
      <c r="DE919" s="1399"/>
      <c r="DF919" s="1399"/>
      <c r="DG919" s="1399"/>
      <c r="DH919" s="1399"/>
      <c r="DI919" s="1399"/>
      <c r="DJ919" s="1399"/>
      <c r="DK919" s="1399"/>
      <c r="DL919" s="1399"/>
      <c r="DM919" s="1399"/>
      <c r="DN919" s="1399"/>
      <c r="DO919" s="1399"/>
      <c r="DP919" s="1399"/>
      <c r="DQ919" s="1399"/>
      <c r="DR919" s="1399"/>
      <c r="DS919" s="1399"/>
      <c r="DT919" s="1399"/>
      <c r="DU919" s="1399"/>
    </row>
    <row r="920" spans="1:125">
      <c r="A920" s="1414"/>
      <c r="B920" s="1414"/>
      <c r="C920" s="1414"/>
      <c r="D920" s="1414"/>
      <c r="E920" s="1414"/>
      <c r="F920" s="1414"/>
      <c r="G920" s="1414"/>
      <c r="H920" s="1414"/>
      <c r="I920" s="1414"/>
      <c r="J920" s="1414"/>
      <c r="K920" s="1414"/>
      <c r="L920" s="1414"/>
      <c r="M920" s="1414"/>
      <c r="N920" s="1414"/>
      <c r="O920" s="1414"/>
      <c r="P920" s="1414"/>
      <c r="Q920" s="1414"/>
      <c r="R920" s="1414"/>
      <c r="S920" s="1414"/>
      <c r="T920" s="1414"/>
      <c r="U920" s="1414"/>
      <c r="V920" s="1414"/>
      <c r="W920" s="1414"/>
      <c r="X920" s="1414"/>
      <c r="Y920" s="1414"/>
      <c r="Z920" s="1414"/>
      <c r="AA920" s="1414"/>
      <c r="AB920" s="1414"/>
      <c r="AC920" s="1414"/>
      <c r="AD920" s="1414"/>
      <c r="AE920" s="1414"/>
      <c r="AF920" s="1414"/>
      <c r="AG920" s="1414"/>
      <c r="AH920" s="1414"/>
      <c r="AI920" s="1414"/>
      <c r="AJ920" s="1414"/>
      <c r="AK920" s="1414"/>
      <c r="AL920" s="1414"/>
      <c r="AM920" s="1414"/>
      <c r="AN920" s="1414"/>
      <c r="AO920" s="1414"/>
      <c r="AP920" s="1414"/>
      <c r="AQ920" s="1414"/>
      <c r="AR920" s="1414"/>
      <c r="AS920" s="1414"/>
      <c r="AT920" s="1414"/>
      <c r="AU920" s="1414"/>
      <c r="AV920" s="1414"/>
      <c r="AW920" s="1414"/>
      <c r="AX920" s="1414"/>
      <c r="AY920" s="1399"/>
      <c r="AZ920" s="1399"/>
      <c r="BA920" s="1399"/>
      <c r="BB920" s="1399"/>
      <c r="BC920" s="1399"/>
      <c r="BD920" s="1399"/>
      <c r="BE920" s="1414"/>
      <c r="BF920" s="1399"/>
      <c r="BG920" s="1399"/>
      <c r="BH920" s="1399"/>
      <c r="BI920" s="1399"/>
      <c r="BJ920" s="1399"/>
      <c r="BK920" s="1399"/>
      <c r="BL920" s="1399"/>
      <c r="BM920" s="1399"/>
      <c r="BN920" s="1399"/>
      <c r="BO920" s="1399"/>
      <c r="BP920" s="1399"/>
      <c r="BQ920" s="1399"/>
      <c r="BR920" s="1399"/>
      <c r="BS920" s="1399"/>
      <c r="BT920" s="1399"/>
      <c r="BU920" s="1399"/>
      <c r="BV920" s="1399"/>
      <c r="BW920" s="1399"/>
      <c r="BX920" s="1399"/>
      <c r="BY920" s="1399"/>
      <c r="BZ920" s="1399"/>
      <c r="CA920" s="1399"/>
      <c r="CB920" s="1399"/>
      <c r="CC920" s="1399"/>
      <c r="CD920" s="1399"/>
      <c r="CE920" s="1399"/>
      <c r="CF920" s="1399"/>
      <c r="CG920" s="1399"/>
      <c r="CH920" s="1399"/>
      <c r="CI920" s="1399"/>
      <c r="CJ920" s="1399"/>
      <c r="CK920" s="1399"/>
      <c r="CL920" s="1399"/>
      <c r="CM920" s="1399"/>
      <c r="CN920" s="1399"/>
      <c r="CO920" s="1399"/>
      <c r="CP920" s="1399"/>
      <c r="CQ920" s="1399"/>
      <c r="CR920" s="1399"/>
      <c r="CS920" s="1399"/>
      <c r="CT920" s="1399"/>
      <c r="CU920" s="1399"/>
      <c r="CV920" s="1399"/>
      <c r="CW920" s="1399"/>
      <c r="CX920" s="1399"/>
      <c r="CY920" s="1399"/>
      <c r="CZ920" s="1399"/>
      <c r="DA920" s="1399"/>
      <c r="DB920" s="1399"/>
      <c r="DC920" s="1399"/>
      <c r="DD920" s="1399"/>
      <c r="DE920" s="1399"/>
      <c r="DF920" s="1399"/>
      <c r="DG920" s="1399"/>
      <c r="DH920" s="1399"/>
      <c r="DI920" s="1399"/>
      <c r="DJ920" s="1399"/>
      <c r="DK920" s="1399"/>
      <c r="DL920" s="1399"/>
      <c r="DM920" s="1399"/>
      <c r="DN920" s="1399"/>
      <c r="DO920" s="1399"/>
      <c r="DP920" s="1399"/>
      <c r="DQ920" s="1399"/>
      <c r="DR920" s="1399"/>
      <c r="DS920" s="1399"/>
      <c r="DT920" s="1399"/>
      <c r="DU920" s="1399"/>
    </row>
    <row r="921" spans="1:125">
      <c r="A921" s="1414"/>
      <c r="B921" s="1414"/>
      <c r="C921" s="1414"/>
      <c r="D921" s="1414"/>
      <c r="E921" s="1414"/>
      <c r="F921" s="1414"/>
      <c r="G921" s="1414"/>
      <c r="H921" s="1414"/>
      <c r="I921" s="1414"/>
      <c r="J921" s="1414"/>
      <c r="K921" s="1414"/>
      <c r="L921" s="1414"/>
      <c r="M921" s="1414"/>
      <c r="N921" s="1414"/>
      <c r="O921" s="1414"/>
      <c r="P921" s="1414"/>
      <c r="Q921" s="1414"/>
      <c r="R921" s="1414"/>
      <c r="S921" s="1414"/>
      <c r="T921" s="1414"/>
      <c r="U921" s="1414"/>
      <c r="V921" s="1414"/>
      <c r="W921" s="1414"/>
      <c r="X921" s="1414"/>
      <c r="Y921" s="1414"/>
      <c r="Z921" s="1414"/>
      <c r="AA921" s="1414"/>
      <c r="AB921" s="1414"/>
      <c r="AC921" s="1414"/>
      <c r="AD921" s="1414"/>
      <c r="AE921" s="1414"/>
      <c r="AF921" s="1414"/>
      <c r="AG921" s="1414"/>
      <c r="AH921" s="1414"/>
      <c r="AI921" s="1414"/>
      <c r="AJ921" s="1414"/>
      <c r="AK921" s="1414"/>
      <c r="AL921" s="1414"/>
      <c r="AM921" s="1414"/>
      <c r="AN921" s="1414"/>
      <c r="AO921" s="1414"/>
      <c r="AP921" s="1414"/>
      <c r="AQ921" s="1414"/>
      <c r="AR921" s="1414"/>
      <c r="AS921" s="1414"/>
      <c r="AT921" s="1414"/>
      <c r="AU921" s="1414"/>
      <c r="AV921" s="1414"/>
      <c r="AW921" s="1414"/>
      <c r="AX921" s="1414"/>
      <c r="AY921" s="1399"/>
      <c r="AZ921" s="1399"/>
      <c r="BA921" s="1399"/>
      <c r="BB921" s="1399"/>
      <c r="BC921" s="1399"/>
      <c r="BD921" s="1399"/>
      <c r="BE921" s="1414"/>
      <c r="BF921" s="1399"/>
      <c r="BG921" s="1399"/>
      <c r="BH921" s="1399"/>
      <c r="BI921" s="1399"/>
      <c r="BJ921" s="1399"/>
      <c r="BK921" s="1399"/>
      <c r="BL921" s="1399"/>
      <c r="BM921" s="1399"/>
      <c r="BN921" s="1399"/>
      <c r="BO921" s="1399"/>
      <c r="BP921" s="1399"/>
      <c r="BQ921" s="1399"/>
      <c r="BR921" s="1399"/>
      <c r="BS921" s="1399"/>
      <c r="BT921" s="1399"/>
      <c r="BU921" s="1399"/>
      <c r="BV921" s="1399"/>
      <c r="BW921" s="1399"/>
      <c r="BX921" s="1399"/>
      <c r="BY921" s="1399"/>
      <c r="BZ921" s="1399"/>
      <c r="CA921" s="1399"/>
      <c r="CB921" s="1399"/>
      <c r="CC921" s="1399"/>
      <c r="CD921" s="1399"/>
      <c r="CE921" s="1399"/>
      <c r="CF921" s="1399"/>
      <c r="CG921" s="1399"/>
      <c r="CH921" s="1399"/>
      <c r="CI921" s="1399"/>
      <c r="CJ921" s="1399"/>
      <c r="CK921" s="1399"/>
      <c r="CL921" s="1399"/>
      <c r="CM921" s="1399"/>
      <c r="CN921" s="1399"/>
      <c r="CO921" s="1399"/>
      <c r="CP921" s="1399"/>
      <c r="CQ921" s="1399"/>
      <c r="CR921" s="1399"/>
      <c r="CS921" s="1399"/>
      <c r="CT921" s="1399"/>
      <c r="CU921" s="1399"/>
      <c r="CV921" s="1399"/>
      <c r="CW921" s="1399"/>
      <c r="CX921" s="1399"/>
      <c r="CY921" s="1399"/>
      <c r="CZ921" s="1399"/>
      <c r="DA921" s="1399"/>
      <c r="DB921" s="1399"/>
      <c r="DC921" s="1399"/>
      <c r="DD921" s="1399"/>
      <c r="DE921" s="1399"/>
      <c r="DF921" s="1399"/>
      <c r="DG921" s="1399"/>
      <c r="DH921" s="1399"/>
      <c r="DI921" s="1399"/>
      <c r="DJ921" s="1399"/>
      <c r="DK921" s="1399"/>
      <c r="DL921" s="1399"/>
      <c r="DM921" s="1399"/>
      <c r="DN921" s="1399"/>
      <c r="DO921" s="1399"/>
      <c r="DP921" s="1399"/>
      <c r="DQ921" s="1399"/>
      <c r="DR921" s="1399"/>
      <c r="DS921" s="1399"/>
      <c r="DT921" s="1399"/>
      <c r="DU921" s="1399"/>
    </row>
    <row r="922" spans="1:125">
      <c r="A922" s="1414"/>
      <c r="B922" s="1414"/>
      <c r="C922" s="1414"/>
      <c r="D922" s="1414"/>
      <c r="E922" s="1414"/>
      <c r="F922" s="1414"/>
      <c r="G922" s="1414"/>
      <c r="H922" s="1414"/>
      <c r="I922" s="1414"/>
      <c r="J922" s="1414"/>
      <c r="K922" s="1414"/>
      <c r="L922" s="1414"/>
      <c r="M922" s="1414"/>
      <c r="N922" s="1414"/>
      <c r="O922" s="1414"/>
      <c r="P922" s="1414"/>
      <c r="Q922" s="1414"/>
      <c r="R922" s="1414"/>
      <c r="S922" s="1414"/>
      <c r="T922" s="1414"/>
      <c r="U922" s="1414"/>
      <c r="V922" s="1414"/>
      <c r="W922" s="1414"/>
      <c r="X922" s="1414"/>
      <c r="Y922" s="1414"/>
      <c r="Z922" s="1414"/>
      <c r="AA922" s="1414"/>
      <c r="AB922" s="1414"/>
      <c r="AC922" s="1414"/>
      <c r="AD922" s="1414"/>
      <c r="AE922" s="1414"/>
      <c r="AF922" s="1414"/>
      <c r="AG922" s="1414"/>
      <c r="AH922" s="1414"/>
      <c r="AI922" s="1414"/>
      <c r="AJ922" s="1414"/>
      <c r="AK922" s="1414"/>
      <c r="AL922" s="1414"/>
      <c r="AM922" s="1414"/>
      <c r="AN922" s="1414"/>
      <c r="AO922" s="1414"/>
      <c r="AP922" s="1414"/>
      <c r="AQ922" s="1414"/>
      <c r="AR922" s="1414"/>
      <c r="AS922" s="1414"/>
      <c r="AT922" s="1414"/>
      <c r="AU922" s="1414"/>
      <c r="AV922" s="1414"/>
      <c r="AW922" s="1414"/>
      <c r="AX922" s="1414"/>
      <c r="AY922" s="1399"/>
      <c r="AZ922" s="1399"/>
      <c r="BA922" s="1399"/>
      <c r="BB922" s="1399"/>
      <c r="BC922" s="1399"/>
      <c r="BD922" s="1399"/>
      <c r="BE922" s="1414"/>
      <c r="BF922" s="1399"/>
      <c r="BG922" s="1399"/>
      <c r="BH922" s="1399"/>
      <c r="BI922" s="1399"/>
      <c r="BJ922" s="1399"/>
      <c r="BK922" s="1399"/>
      <c r="BL922" s="1399"/>
      <c r="BM922" s="1399"/>
      <c r="BN922" s="1399"/>
      <c r="BO922" s="1399"/>
      <c r="BP922" s="1399"/>
      <c r="BQ922" s="1399"/>
      <c r="BR922" s="1399"/>
      <c r="BS922" s="1399"/>
      <c r="BT922" s="1399"/>
      <c r="BU922" s="1399"/>
      <c r="BV922" s="1399"/>
      <c r="BW922" s="1399"/>
      <c r="BX922" s="1399"/>
      <c r="BY922" s="1399"/>
      <c r="BZ922" s="1399"/>
      <c r="CA922" s="1399"/>
      <c r="CB922" s="1399"/>
      <c r="CC922" s="1399"/>
      <c r="CD922" s="1399"/>
      <c r="CE922" s="1399"/>
      <c r="CF922" s="1399"/>
      <c r="CG922" s="1399"/>
      <c r="CH922" s="1399"/>
      <c r="CI922" s="1399"/>
      <c r="CJ922" s="1399"/>
      <c r="CK922" s="1399"/>
      <c r="CL922" s="1399"/>
      <c r="CM922" s="1399"/>
      <c r="CN922" s="1399"/>
      <c r="CO922" s="1399"/>
      <c r="CP922" s="1399"/>
      <c r="CQ922" s="1399"/>
      <c r="CR922" s="1399"/>
      <c r="CS922" s="1399"/>
      <c r="CT922" s="1399"/>
      <c r="CU922" s="1399"/>
      <c r="CV922" s="1399"/>
      <c r="CW922" s="1399"/>
      <c r="CX922" s="1399"/>
      <c r="CY922" s="1399"/>
      <c r="CZ922" s="1399"/>
      <c r="DA922" s="1399"/>
      <c r="DB922" s="1399"/>
      <c r="DC922" s="1399"/>
      <c r="DD922" s="1399"/>
      <c r="DE922" s="1399"/>
      <c r="DF922" s="1399"/>
      <c r="DG922" s="1399"/>
      <c r="DH922" s="1399"/>
      <c r="DI922" s="1399"/>
      <c r="DJ922" s="1399"/>
      <c r="DK922" s="1399"/>
      <c r="DL922" s="1399"/>
      <c r="DM922" s="1399"/>
      <c r="DN922" s="1399"/>
      <c r="DO922" s="1399"/>
      <c r="DP922" s="1399"/>
      <c r="DQ922" s="1399"/>
      <c r="DR922" s="1399"/>
      <c r="DS922" s="1399"/>
      <c r="DT922" s="1399"/>
      <c r="DU922" s="1399"/>
    </row>
    <row r="923" spans="1:125">
      <c r="A923" s="1414"/>
      <c r="B923" s="1414"/>
      <c r="C923" s="1414"/>
      <c r="D923" s="1414"/>
      <c r="E923" s="1414"/>
      <c r="F923" s="1414"/>
      <c r="G923" s="1414"/>
      <c r="H923" s="1414"/>
      <c r="I923" s="1414"/>
      <c r="J923" s="1414"/>
      <c r="K923" s="1414"/>
      <c r="L923" s="1414"/>
      <c r="M923" s="1414"/>
      <c r="N923" s="1414"/>
      <c r="O923" s="1414"/>
      <c r="P923" s="1414"/>
      <c r="Q923" s="1414"/>
      <c r="R923" s="1414"/>
      <c r="S923" s="1414"/>
      <c r="T923" s="1414"/>
      <c r="U923" s="1414"/>
      <c r="V923" s="1414"/>
      <c r="W923" s="1414"/>
      <c r="X923" s="1414"/>
      <c r="Y923" s="1414"/>
      <c r="Z923" s="1414"/>
      <c r="AA923" s="1414"/>
      <c r="AB923" s="1414"/>
      <c r="AC923" s="1414"/>
      <c r="AD923" s="1414"/>
      <c r="AE923" s="1414"/>
      <c r="AF923" s="1414"/>
      <c r="AG923" s="1414"/>
      <c r="AH923" s="1414"/>
      <c r="AI923" s="1414"/>
      <c r="AJ923" s="1414"/>
      <c r="AK923" s="1414"/>
      <c r="AL923" s="1414"/>
      <c r="AM923" s="1414"/>
      <c r="AN923" s="1414"/>
      <c r="AO923" s="1414"/>
      <c r="AP923" s="1414"/>
      <c r="AQ923" s="1414"/>
      <c r="AR923" s="1414"/>
      <c r="AS923" s="1414"/>
      <c r="AT923" s="1414"/>
      <c r="AU923" s="1414"/>
      <c r="AV923" s="1414"/>
      <c r="AW923" s="1414"/>
      <c r="AX923" s="1414"/>
      <c r="AY923" s="1399"/>
      <c r="AZ923" s="1399"/>
      <c r="BA923" s="1399"/>
      <c r="BB923" s="1399"/>
      <c r="BC923" s="1399"/>
      <c r="BD923" s="1399"/>
      <c r="BE923" s="1414"/>
      <c r="BF923" s="1399"/>
      <c r="BG923" s="1399"/>
      <c r="BH923" s="1399"/>
      <c r="BI923" s="1399"/>
      <c r="BJ923" s="1399"/>
      <c r="BK923" s="1399"/>
      <c r="BL923" s="1399"/>
      <c r="BM923" s="1399"/>
      <c r="BN923" s="1399"/>
      <c r="BO923" s="1399"/>
      <c r="BP923" s="1399"/>
      <c r="BQ923" s="1399"/>
      <c r="BR923" s="1399"/>
      <c r="BS923" s="1399"/>
      <c r="BT923" s="1399"/>
      <c r="BU923" s="1399"/>
      <c r="BV923" s="1399"/>
      <c r="BW923" s="1399"/>
      <c r="BX923" s="1399"/>
      <c r="BY923" s="1399"/>
      <c r="BZ923" s="1399"/>
      <c r="CA923" s="1399"/>
      <c r="CB923" s="1399"/>
      <c r="CC923" s="1399"/>
      <c r="CD923" s="1399"/>
      <c r="CE923" s="1399"/>
      <c r="CF923" s="1399"/>
      <c r="CG923" s="1399"/>
      <c r="CH923" s="1399"/>
      <c r="CI923" s="1399"/>
      <c r="CJ923" s="1399"/>
      <c r="CK923" s="1399"/>
      <c r="CL923" s="1399"/>
      <c r="CM923" s="1399"/>
      <c r="CN923" s="1399"/>
      <c r="CO923" s="1399"/>
      <c r="CP923" s="1399"/>
      <c r="CQ923" s="1399"/>
      <c r="CR923" s="1399"/>
      <c r="CS923" s="1399"/>
      <c r="CT923" s="1399"/>
      <c r="CU923" s="1399"/>
      <c r="CV923" s="1399"/>
      <c r="CW923" s="1399"/>
      <c r="CX923" s="1399"/>
      <c r="CY923" s="1399"/>
      <c r="CZ923" s="1399"/>
      <c r="DA923" s="1399"/>
      <c r="DB923" s="1399"/>
      <c r="DC923" s="1399"/>
      <c r="DD923" s="1399"/>
      <c r="DE923" s="1399"/>
      <c r="DF923" s="1399"/>
      <c r="DG923" s="1399"/>
      <c r="DH923" s="1399"/>
      <c r="DI923" s="1399"/>
      <c r="DJ923" s="1399"/>
      <c r="DK923" s="1399"/>
      <c r="DL923" s="1399"/>
      <c r="DM923" s="1399"/>
      <c r="DN923" s="1399"/>
      <c r="DO923" s="1399"/>
      <c r="DP923" s="1399"/>
      <c r="DQ923" s="1399"/>
      <c r="DR923" s="1399"/>
      <c r="DS923" s="1399"/>
      <c r="DT923" s="1399"/>
      <c r="DU923" s="1399"/>
    </row>
    <row r="924" spans="1:125">
      <c r="A924" s="1414"/>
      <c r="B924" s="1414"/>
      <c r="C924" s="1414"/>
      <c r="D924" s="1414"/>
      <c r="E924" s="1414"/>
      <c r="F924" s="1414"/>
      <c r="G924" s="1414"/>
      <c r="H924" s="1414"/>
      <c r="I924" s="1414"/>
      <c r="J924" s="1414"/>
      <c r="K924" s="1414"/>
      <c r="L924" s="1414"/>
      <c r="M924" s="1414"/>
      <c r="N924" s="1414"/>
      <c r="O924" s="1414"/>
      <c r="P924" s="1414"/>
      <c r="Q924" s="1414"/>
      <c r="R924" s="1414"/>
      <c r="S924" s="1414"/>
      <c r="T924" s="1414"/>
      <c r="U924" s="1414"/>
      <c r="V924" s="1414"/>
      <c r="W924" s="1414"/>
      <c r="X924" s="1414"/>
      <c r="Y924" s="1414"/>
      <c r="Z924" s="1414"/>
      <c r="AA924" s="1414"/>
      <c r="AB924" s="1414"/>
      <c r="AC924" s="1414"/>
      <c r="AD924" s="1414"/>
      <c r="AE924" s="1414"/>
      <c r="AF924" s="1414"/>
      <c r="AG924" s="1414"/>
      <c r="AH924" s="1414"/>
      <c r="AI924" s="1414"/>
      <c r="AJ924" s="1414"/>
      <c r="AK924" s="1414"/>
      <c r="AL924" s="1414"/>
      <c r="AM924" s="1414"/>
      <c r="AN924" s="1414"/>
      <c r="AO924" s="1414"/>
      <c r="AP924" s="1414"/>
      <c r="AQ924" s="1414"/>
      <c r="AR924" s="1414"/>
      <c r="AS924" s="1414"/>
      <c r="AT924" s="1414"/>
      <c r="AU924" s="1414"/>
      <c r="AV924" s="1414"/>
      <c r="AW924" s="1414"/>
      <c r="AX924" s="1414"/>
      <c r="AY924" s="1399"/>
      <c r="AZ924" s="1399"/>
      <c r="BA924" s="1399"/>
      <c r="BB924" s="1399"/>
      <c r="BC924" s="1399"/>
      <c r="BD924" s="1399"/>
      <c r="BE924" s="1414"/>
      <c r="BF924" s="1399"/>
      <c r="BG924" s="1399"/>
      <c r="BH924" s="1399"/>
      <c r="BI924" s="1399"/>
      <c r="BJ924" s="1399"/>
      <c r="BK924" s="1399"/>
      <c r="BL924" s="1399"/>
      <c r="BM924" s="1399"/>
      <c r="BN924" s="1399"/>
      <c r="BO924" s="1399"/>
      <c r="BP924" s="1399"/>
      <c r="BQ924" s="1399"/>
      <c r="BR924" s="1399"/>
      <c r="BS924" s="1399"/>
      <c r="BT924" s="1399"/>
      <c r="BU924" s="1399"/>
      <c r="BV924" s="1399"/>
      <c r="BW924" s="1399"/>
      <c r="BX924" s="1399"/>
      <c r="BY924" s="1399"/>
      <c r="BZ924" s="1399"/>
      <c r="CA924" s="1399"/>
      <c r="CB924" s="1399"/>
      <c r="CC924" s="1399"/>
      <c r="CD924" s="1399"/>
      <c r="CE924" s="1399"/>
      <c r="CF924" s="1399"/>
      <c r="CG924" s="1399"/>
      <c r="CH924" s="1399"/>
      <c r="CI924" s="1399"/>
      <c r="CJ924" s="1399"/>
      <c r="CK924" s="1399"/>
      <c r="CL924" s="1399"/>
      <c r="CM924" s="1399"/>
      <c r="CN924" s="1399"/>
      <c r="CO924" s="1399"/>
      <c r="CP924" s="1399"/>
      <c r="CQ924" s="1399"/>
      <c r="CR924" s="1399"/>
      <c r="CS924" s="1399"/>
      <c r="CT924" s="1399"/>
      <c r="CU924" s="1399"/>
      <c r="CV924" s="1399"/>
      <c r="CW924" s="1399"/>
      <c r="CX924" s="1399"/>
      <c r="CY924" s="1399"/>
      <c r="CZ924" s="1399"/>
      <c r="DA924" s="1399"/>
      <c r="DB924" s="1399"/>
      <c r="DC924" s="1399"/>
      <c r="DD924" s="1399"/>
      <c r="DE924" s="1399"/>
      <c r="DF924" s="1399"/>
      <c r="DG924" s="1399"/>
      <c r="DH924" s="1399"/>
      <c r="DI924" s="1399"/>
      <c r="DJ924" s="1399"/>
      <c r="DK924" s="1399"/>
      <c r="DL924" s="1399"/>
      <c r="DM924" s="1399"/>
      <c r="DN924" s="1399"/>
      <c r="DO924" s="1399"/>
      <c r="DP924" s="1399"/>
      <c r="DQ924" s="1399"/>
      <c r="DR924" s="1399"/>
      <c r="DS924" s="1399"/>
      <c r="DT924" s="1399"/>
      <c r="DU924" s="1399"/>
    </row>
    <row r="925" spans="1:125">
      <c r="A925" s="1414"/>
      <c r="B925" s="1414"/>
      <c r="C925" s="1414"/>
      <c r="D925" s="1414"/>
      <c r="E925" s="1414"/>
      <c r="F925" s="1414"/>
      <c r="G925" s="1414"/>
      <c r="H925" s="1414"/>
      <c r="I925" s="1414"/>
      <c r="J925" s="1414"/>
      <c r="K925" s="1414"/>
      <c r="L925" s="1414"/>
      <c r="M925" s="1414"/>
      <c r="N925" s="1414"/>
      <c r="O925" s="1414"/>
      <c r="P925" s="1414"/>
      <c r="Q925" s="1414"/>
      <c r="R925" s="1414"/>
      <c r="S925" s="1414"/>
      <c r="T925" s="1414"/>
      <c r="U925" s="1414"/>
      <c r="V925" s="1414"/>
      <c r="W925" s="1414"/>
      <c r="X925" s="1414"/>
      <c r="Y925" s="1414"/>
      <c r="Z925" s="1414"/>
      <c r="AA925" s="1414"/>
      <c r="AB925" s="1414"/>
      <c r="AC925" s="1414"/>
      <c r="AD925" s="1414"/>
      <c r="AE925" s="1414"/>
      <c r="AF925" s="1414"/>
      <c r="AG925" s="1414"/>
      <c r="AH925" s="1414"/>
      <c r="AI925" s="1414"/>
      <c r="AJ925" s="1414"/>
      <c r="AK925" s="1414"/>
      <c r="AL925" s="1414"/>
      <c r="AM925" s="1414"/>
      <c r="AN925" s="1414"/>
      <c r="AO925" s="1414"/>
      <c r="AP925" s="1414"/>
      <c r="AQ925" s="1414"/>
      <c r="AR925" s="1414"/>
      <c r="AS925" s="1414"/>
      <c r="AT925" s="1414"/>
      <c r="AU925" s="1414"/>
      <c r="AV925" s="1414"/>
      <c r="AW925" s="1414"/>
      <c r="AX925" s="1414"/>
      <c r="AY925" s="1399"/>
      <c r="AZ925" s="1399"/>
      <c r="BA925" s="1399"/>
      <c r="BB925" s="1399"/>
      <c r="BC925" s="1399"/>
      <c r="BD925" s="1399"/>
      <c r="BE925" s="1414"/>
      <c r="BF925" s="1399"/>
      <c r="BG925" s="1399"/>
      <c r="BH925" s="1399"/>
      <c r="BI925" s="1399"/>
      <c r="BJ925" s="1399"/>
      <c r="BK925" s="1399"/>
      <c r="BL925" s="1399"/>
      <c r="BM925" s="1399"/>
      <c r="BN925" s="1399"/>
      <c r="BO925" s="1399"/>
      <c r="BP925" s="1399"/>
      <c r="BQ925" s="1399"/>
      <c r="BR925" s="1399"/>
      <c r="BS925" s="1399"/>
      <c r="BT925" s="1399"/>
      <c r="BU925" s="1399"/>
      <c r="BV925" s="1399"/>
      <c r="BW925" s="1399"/>
      <c r="BX925" s="1399"/>
      <c r="BY925" s="1399"/>
      <c r="BZ925" s="1399"/>
      <c r="CA925" s="1399"/>
      <c r="CB925" s="1399"/>
      <c r="CC925" s="1399"/>
      <c r="CD925" s="1399"/>
      <c r="CE925" s="1399"/>
      <c r="CF925" s="1399"/>
      <c r="CG925" s="1399"/>
      <c r="CH925" s="1399"/>
      <c r="CI925" s="1399"/>
      <c r="CJ925" s="1399"/>
      <c r="CK925" s="1399"/>
      <c r="CL925" s="1399"/>
      <c r="CM925" s="1399"/>
      <c r="CN925" s="1399"/>
      <c r="CO925" s="1399"/>
      <c r="CP925" s="1399"/>
      <c r="CQ925" s="1399"/>
      <c r="CR925" s="1399"/>
      <c r="CS925" s="1399"/>
      <c r="CT925" s="1399"/>
      <c r="CU925" s="1399"/>
      <c r="CV925" s="1399"/>
      <c r="CW925" s="1399"/>
      <c r="CX925" s="1399"/>
      <c r="CY925" s="1399"/>
      <c r="CZ925" s="1399"/>
      <c r="DA925" s="1399"/>
      <c r="DB925" s="1399"/>
      <c r="DC925" s="1399"/>
      <c r="DD925" s="1399"/>
      <c r="DE925" s="1399"/>
      <c r="DF925" s="1399"/>
      <c r="DG925" s="1399"/>
      <c r="DH925" s="1399"/>
      <c r="DI925" s="1399"/>
      <c r="DJ925" s="1399"/>
      <c r="DK925" s="1399"/>
      <c r="DL925" s="1399"/>
      <c r="DM925" s="1399"/>
      <c r="DN925" s="1399"/>
      <c r="DO925" s="1399"/>
      <c r="DP925" s="1399"/>
      <c r="DQ925" s="1399"/>
      <c r="DR925" s="1399"/>
      <c r="DS925" s="1399"/>
      <c r="DT925" s="1399"/>
      <c r="DU925" s="1399"/>
    </row>
    <row r="926" spans="1:125">
      <c r="A926" s="1414"/>
      <c r="B926" s="1414"/>
      <c r="C926" s="1414"/>
      <c r="D926" s="1414"/>
      <c r="E926" s="1414"/>
      <c r="F926" s="1414"/>
      <c r="G926" s="1414"/>
      <c r="H926" s="1414"/>
      <c r="I926" s="1414"/>
      <c r="J926" s="1414"/>
      <c r="K926" s="1414"/>
      <c r="L926" s="1414"/>
      <c r="M926" s="1414"/>
      <c r="N926" s="1414"/>
      <c r="O926" s="1414"/>
      <c r="P926" s="1414"/>
      <c r="Q926" s="1414"/>
      <c r="R926" s="1414"/>
      <c r="S926" s="1414"/>
      <c r="T926" s="1414"/>
      <c r="U926" s="1414"/>
      <c r="V926" s="1414"/>
      <c r="W926" s="1414"/>
      <c r="X926" s="1414"/>
      <c r="Y926" s="1414"/>
      <c r="Z926" s="1414"/>
      <c r="AA926" s="1414"/>
      <c r="AB926" s="1414"/>
      <c r="AC926" s="1414"/>
      <c r="AD926" s="1414"/>
      <c r="AE926" s="1414"/>
      <c r="AF926" s="1414"/>
      <c r="AG926" s="1414"/>
      <c r="AH926" s="1414"/>
      <c r="AI926" s="1414"/>
      <c r="AJ926" s="1414"/>
      <c r="AK926" s="1414"/>
      <c r="AL926" s="1414"/>
      <c r="AM926" s="1414"/>
      <c r="AN926" s="1414"/>
      <c r="AO926" s="1414"/>
      <c r="AP926" s="1414"/>
      <c r="AQ926" s="1414"/>
      <c r="AR926" s="1414"/>
      <c r="AS926" s="1414"/>
      <c r="AT926" s="1414"/>
      <c r="AU926" s="1414"/>
      <c r="AV926" s="1414"/>
      <c r="AW926" s="1414"/>
      <c r="AX926" s="1414"/>
      <c r="AY926" s="1399"/>
      <c r="AZ926" s="1399"/>
      <c r="BA926" s="1399"/>
      <c r="BB926" s="1399"/>
      <c r="BC926" s="1399"/>
      <c r="BD926" s="1399"/>
      <c r="BE926" s="1414"/>
      <c r="BF926" s="1399"/>
      <c r="BG926" s="1399"/>
      <c r="BH926" s="1399"/>
      <c r="BI926" s="1399"/>
      <c r="BJ926" s="1399"/>
      <c r="BK926" s="1399"/>
      <c r="BL926" s="1399"/>
      <c r="BM926" s="1399"/>
      <c r="BN926" s="1399"/>
      <c r="BO926" s="1399"/>
      <c r="BP926" s="1399"/>
      <c r="BQ926" s="1399"/>
      <c r="BR926" s="1399"/>
      <c r="BS926" s="1399"/>
      <c r="BT926" s="1399"/>
      <c r="BU926" s="1399"/>
      <c r="BV926" s="1399"/>
      <c r="BW926" s="1399"/>
      <c r="BX926" s="1399"/>
      <c r="BY926" s="1399"/>
      <c r="BZ926" s="1399"/>
      <c r="CA926" s="1399"/>
      <c r="CB926" s="1399"/>
      <c r="CC926" s="1399"/>
      <c r="CD926" s="1399"/>
      <c r="CE926" s="1399"/>
      <c r="CF926" s="1399"/>
      <c r="CG926" s="1399"/>
      <c r="CH926" s="1399"/>
      <c r="CI926" s="1399"/>
      <c r="CJ926" s="1399"/>
      <c r="CK926" s="1399"/>
      <c r="CL926" s="1399"/>
      <c r="CM926" s="1399"/>
      <c r="CN926" s="1399"/>
      <c r="CO926" s="1399"/>
      <c r="CP926" s="1399"/>
      <c r="CQ926" s="1399"/>
      <c r="CR926" s="1399"/>
      <c r="CS926" s="1399"/>
      <c r="CT926" s="1399"/>
      <c r="CU926" s="1399"/>
      <c r="CV926" s="1399"/>
      <c r="CW926" s="1399"/>
      <c r="CX926" s="1399"/>
      <c r="CY926" s="1399"/>
      <c r="CZ926" s="1399"/>
      <c r="DA926" s="1399"/>
      <c r="DB926" s="1399"/>
      <c r="DC926" s="1399"/>
      <c r="DD926" s="1399"/>
      <c r="DE926" s="1399"/>
      <c r="DF926" s="1399"/>
      <c r="DG926" s="1399"/>
      <c r="DH926" s="1399"/>
      <c r="DI926" s="1399"/>
      <c r="DJ926" s="1399"/>
      <c r="DK926" s="1399"/>
      <c r="DL926" s="1399"/>
      <c r="DM926" s="1399"/>
      <c r="DN926" s="1399"/>
      <c r="DO926" s="1399"/>
      <c r="DP926" s="1399"/>
      <c r="DQ926" s="1399"/>
      <c r="DR926" s="1399"/>
      <c r="DS926" s="1399"/>
      <c r="DT926" s="1399"/>
      <c r="DU926" s="1399"/>
    </row>
    <row r="927" spans="1:125">
      <c r="A927" s="1414"/>
      <c r="B927" s="1414"/>
      <c r="C927" s="1414"/>
      <c r="D927" s="1414"/>
      <c r="E927" s="1414"/>
      <c r="F927" s="1414"/>
      <c r="G927" s="1414"/>
      <c r="H927" s="1414"/>
      <c r="I927" s="1414"/>
      <c r="J927" s="1414"/>
      <c r="K927" s="1414"/>
      <c r="L927" s="1414"/>
      <c r="M927" s="1414"/>
      <c r="N927" s="1414"/>
      <c r="O927" s="1414"/>
      <c r="P927" s="1414"/>
      <c r="Q927" s="1414"/>
      <c r="R927" s="1414"/>
      <c r="S927" s="1414"/>
      <c r="T927" s="1414"/>
      <c r="U927" s="1414"/>
      <c r="V927" s="1414"/>
      <c r="W927" s="1414"/>
      <c r="X927" s="1414"/>
      <c r="Y927" s="1414"/>
      <c r="Z927" s="1414"/>
      <c r="AA927" s="1414"/>
      <c r="AB927" s="1414"/>
      <c r="AC927" s="1414"/>
      <c r="AD927" s="1414"/>
      <c r="AE927" s="1414"/>
      <c r="AF927" s="1414"/>
      <c r="AG927" s="1414"/>
      <c r="AH927" s="1414"/>
      <c r="AI927" s="1414"/>
      <c r="AJ927" s="1414"/>
      <c r="AK927" s="1414"/>
      <c r="AL927" s="1414"/>
      <c r="AM927" s="1414"/>
      <c r="AN927" s="1414"/>
      <c r="AO927" s="1414"/>
      <c r="AP927" s="1414"/>
      <c r="AQ927" s="1414"/>
      <c r="AR927" s="1414"/>
      <c r="AS927" s="1414"/>
      <c r="AT927" s="1414"/>
      <c r="AU927" s="1414"/>
      <c r="AV927" s="1414"/>
      <c r="AW927" s="1414"/>
      <c r="AX927" s="1414"/>
      <c r="AY927" s="1399"/>
      <c r="AZ927" s="1399"/>
      <c r="BA927" s="1399"/>
      <c r="BB927" s="1399"/>
      <c r="BC927" s="1399"/>
      <c r="BD927" s="1399"/>
      <c r="BE927" s="1414"/>
      <c r="BF927" s="1399"/>
      <c r="BG927" s="1399"/>
      <c r="BH927" s="1399"/>
      <c r="BI927" s="1399"/>
      <c r="BJ927" s="1399"/>
      <c r="BK927" s="1399"/>
      <c r="BL927" s="1399"/>
      <c r="BM927" s="1399"/>
      <c r="BN927" s="1399"/>
      <c r="BO927" s="1399"/>
      <c r="BP927" s="1399"/>
      <c r="BQ927" s="1399"/>
      <c r="BR927" s="1399"/>
      <c r="BS927" s="1399"/>
      <c r="BT927" s="1399"/>
      <c r="BU927" s="1399"/>
      <c r="BV927" s="1399"/>
      <c r="BW927" s="1399"/>
      <c r="BX927" s="1399"/>
      <c r="BY927" s="1399"/>
      <c r="BZ927" s="1399"/>
      <c r="CA927" s="1399"/>
      <c r="CB927" s="1399"/>
      <c r="CC927" s="1399"/>
      <c r="CD927" s="1399"/>
      <c r="CE927" s="1399"/>
      <c r="CF927" s="1399"/>
      <c r="CG927" s="1399"/>
      <c r="CH927" s="1399"/>
      <c r="CI927" s="1399"/>
      <c r="CJ927" s="1399"/>
      <c r="CK927" s="1399"/>
      <c r="CL927" s="1399"/>
      <c r="CM927" s="1399"/>
      <c r="CN927" s="1399"/>
      <c r="CO927" s="1399"/>
      <c r="CP927" s="1399"/>
      <c r="CQ927" s="1399"/>
      <c r="CR927" s="1399"/>
      <c r="CS927" s="1399"/>
      <c r="CT927" s="1399"/>
      <c r="CU927" s="1399"/>
      <c r="CV927" s="1399"/>
      <c r="CW927" s="1399"/>
      <c r="CX927" s="1399"/>
      <c r="CY927" s="1399"/>
      <c r="CZ927" s="1399"/>
      <c r="DA927" s="1399"/>
      <c r="DB927" s="1399"/>
      <c r="DC927" s="1399"/>
      <c r="DD927" s="1399"/>
      <c r="DE927" s="1399"/>
      <c r="DF927" s="1399"/>
      <c r="DG927" s="1399"/>
      <c r="DH927" s="1399"/>
      <c r="DI927" s="1399"/>
      <c r="DJ927" s="1399"/>
      <c r="DK927" s="1399"/>
      <c r="DL927" s="1399"/>
      <c r="DM927" s="1399"/>
      <c r="DN927" s="1399"/>
      <c r="DO927" s="1399"/>
      <c r="DP927" s="1399"/>
      <c r="DQ927" s="1399"/>
      <c r="DR927" s="1399"/>
      <c r="DS927" s="1399"/>
      <c r="DT927" s="1399"/>
      <c r="DU927" s="1399"/>
    </row>
    <row r="928" spans="1:125">
      <c r="A928" s="1414"/>
      <c r="B928" s="1414"/>
      <c r="C928" s="1414"/>
      <c r="D928" s="1414"/>
      <c r="E928" s="1414"/>
      <c r="F928" s="1414"/>
      <c r="G928" s="1414"/>
      <c r="H928" s="1414"/>
      <c r="I928" s="1414"/>
      <c r="J928" s="1414"/>
      <c r="K928" s="1414"/>
      <c r="L928" s="1414"/>
      <c r="M928" s="1414"/>
      <c r="N928" s="1414"/>
      <c r="O928" s="1414"/>
      <c r="P928" s="1414"/>
      <c r="Q928" s="1414"/>
      <c r="R928" s="1414"/>
      <c r="S928" s="1414"/>
      <c r="T928" s="1414"/>
      <c r="U928" s="1414"/>
      <c r="V928" s="1414"/>
      <c r="W928" s="1414"/>
      <c r="X928" s="1414"/>
      <c r="Y928" s="1414"/>
      <c r="Z928" s="1414"/>
      <c r="AA928" s="1414"/>
      <c r="AB928" s="1414"/>
      <c r="AC928" s="1414"/>
      <c r="AD928" s="1414"/>
      <c r="AE928" s="1414"/>
      <c r="AF928" s="1414"/>
      <c r="AG928" s="1414"/>
      <c r="AH928" s="1414"/>
      <c r="AI928" s="1414"/>
      <c r="AJ928" s="1414"/>
      <c r="AK928" s="1414"/>
      <c r="AL928" s="1414"/>
      <c r="AM928" s="1414"/>
      <c r="AN928" s="1414"/>
      <c r="AO928" s="1414"/>
      <c r="AP928" s="1414"/>
      <c r="AQ928" s="1414"/>
      <c r="AR928" s="1414"/>
      <c r="AS928" s="1414"/>
      <c r="AT928" s="1414"/>
      <c r="AU928" s="1414"/>
      <c r="AV928" s="1414"/>
      <c r="AW928" s="1414"/>
      <c r="AX928" s="1414"/>
      <c r="AY928" s="1399"/>
      <c r="AZ928" s="1399"/>
      <c r="BA928" s="1399"/>
      <c r="BB928" s="1399"/>
      <c r="BC928" s="1399"/>
      <c r="BD928" s="1399"/>
      <c r="BE928" s="1414"/>
      <c r="BF928" s="1399"/>
      <c r="BG928" s="1399"/>
      <c r="BH928" s="1399"/>
      <c r="BI928" s="1399"/>
      <c r="BJ928" s="1399"/>
      <c r="BK928" s="1399"/>
      <c r="BL928" s="1399"/>
      <c r="BM928" s="1399"/>
      <c r="BN928" s="1399"/>
      <c r="BO928" s="1399"/>
      <c r="BP928" s="1399"/>
      <c r="BQ928" s="1399"/>
      <c r="BR928" s="1399"/>
      <c r="BS928" s="1399"/>
      <c r="BT928" s="1399"/>
      <c r="BU928" s="1399"/>
      <c r="BV928" s="1399"/>
      <c r="BW928" s="1399"/>
      <c r="BX928" s="1399"/>
      <c r="BY928" s="1399"/>
      <c r="BZ928" s="1399"/>
      <c r="CA928" s="1399"/>
      <c r="CB928" s="1399"/>
      <c r="CC928" s="1399"/>
      <c r="CD928" s="1399"/>
      <c r="CE928" s="1399"/>
      <c r="CF928" s="1399"/>
      <c r="CG928" s="1399"/>
      <c r="CH928" s="1399"/>
      <c r="CI928" s="1399"/>
      <c r="CJ928" s="1399"/>
      <c r="CK928" s="1399"/>
      <c r="CL928" s="1399"/>
      <c r="CM928" s="1399"/>
      <c r="CN928" s="1399"/>
      <c r="CO928" s="1399"/>
      <c r="CP928" s="1399"/>
      <c r="CQ928" s="1399"/>
      <c r="CR928" s="1399"/>
      <c r="CS928" s="1399"/>
      <c r="CT928" s="1399"/>
      <c r="CU928" s="1399"/>
      <c r="CV928" s="1399"/>
      <c r="CW928" s="1399"/>
      <c r="CX928" s="1399"/>
      <c r="CY928" s="1399"/>
      <c r="CZ928" s="1399"/>
      <c r="DA928" s="1399"/>
      <c r="DB928" s="1399"/>
      <c r="DC928" s="1399"/>
      <c r="DD928" s="1399"/>
      <c r="DE928" s="1399"/>
      <c r="DF928" s="1399"/>
      <c r="DG928" s="1399"/>
      <c r="DH928" s="1399"/>
      <c r="DI928" s="1399"/>
      <c r="DJ928" s="1399"/>
      <c r="DK928" s="1399"/>
      <c r="DL928" s="1399"/>
      <c r="DM928" s="1399"/>
      <c r="DN928" s="1399"/>
      <c r="DO928" s="1399"/>
      <c r="DP928" s="1399"/>
      <c r="DQ928" s="1399"/>
      <c r="DR928" s="1399"/>
      <c r="DS928" s="1399"/>
      <c r="DT928" s="1399"/>
      <c r="DU928" s="1399"/>
    </row>
    <row r="929" spans="1:125">
      <c r="A929" s="1414"/>
      <c r="B929" s="1414"/>
      <c r="C929" s="1414"/>
      <c r="D929" s="1414"/>
      <c r="E929" s="1414"/>
      <c r="F929" s="1414"/>
      <c r="G929" s="1414"/>
      <c r="H929" s="1414"/>
      <c r="I929" s="1414"/>
      <c r="J929" s="1414"/>
      <c r="K929" s="1414"/>
      <c r="L929" s="1414"/>
      <c r="M929" s="1414"/>
      <c r="N929" s="1414"/>
      <c r="O929" s="1414"/>
      <c r="P929" s="1414"/>
      <c r="Q929" s="1414"/>
      <c r="R929" s="1414"/>
      <c r="S929" s="1414"/>
      <c r="T929" s="1414"/>
      <c r="U929" s="1414"/>
      <c r="V929" s="1414"/>
      <c r="W929" s="1414"/>
      <c r="X929" s="1414"/>
      <c r="Y929" s="1414"/>
      <c r="Z929" s="1414"/>
      <c r="AA929" s="1414"/>
      <c r="AB929" s="1414"/>
      <c r="AC929" s="1414"/>
      <c r="AD929" s="1414"/>
      <c r="AE929" s="1414"/>
      <c r="AF929" s="1414"/>
      <c r="AG929" s="1414"/>
      <c r="AH929" s="1414"/>
      <c r="AI929" s="1414"/>
      <c r="AJ929" s="1414"/>
      <c r="AK929" s="1414"/>
      <c r="AL929" s="1414"/>
      <c r="AM929" s="1414"/>
      <c r="AN929" s="1414"/>
      <c r="AO929" s="1414"/>
      <c r="AP929" s="1414"/>
      <c r="AQ929" s="1414"/>
      <c r="AR929" s="1414"/>
      <c r="AS929" s="1414"/>
      <c r="AT929" s="1414"/>
      <c r="AU929" s="1414"/>
      <c r="AV929" s="1414"/>
      <c r="AW929" s="1414"/>
      <c r="AX929" s="1414"/>
      <c r="AY929" s="1399"/>
      <c r="AZ929" s="1399"/>
      <c r="BA929" s="1399"/>
      <c r="BB929" s="1399"/>
      <c r="BC929" s="1399"/>
      <c r="BD929" s="1399"/>
      <c r="BE929" s="1414"/>
      <c r="BF929" s="1399"/>
      <c r="BG929" s="1399"/>
      <c r="BH929" s="1399"/>
      <c r="BI929" s="1399"/>
      <c r="BJ929" s="1399"/>
      <c r="BK929" s="1399"/>
      <c r="BL929" s="1399"/>
      <c r="BM929" s="1399"/>
      <c r="BN929" s="1399"/>
      <c r="BO929" s="1399"/>
      <c r="BP929" s="1399"/>
      <c r="BQ929" s="1399"/>
      <c r="BR929" s="1399"/>
      <c r="BS929" s="1399"/>
      <c r="BT929" s="1399"/>
      <c r="BU929" s="1399"/>
      <c r="BV929" s="1399"/>
      <c r="BW929" s="1399"/>
      <c r="BX929" s="1399"/>
      <c r="BY929" s="1399"/>
      <c r="BZ929" s="1399"/>
      <c r="CA929" s="1399"/>
      <c r="CB929" s="1399"/>
      <c r="CC929" s="1399"/>
      <c r="CD929" s="1399"/>
      <c r="CE929" s="1399"/>
      <c r="CF929" s="1399"/>
      <c r="CG929" s="1399"/>
      <c r="CH929" s="1399"/>
      <c r="CI929" s="1399"/>
      <c r="CJ929" s="1399"/>
      <c r="CK929" s="1399"/>
      <c r="CL929" s="1399"/>
      <c r="CM929" s="1399"/>
      <c r="CN929" s="1399"/>
      <c r="CO929" s="1399"/>
      <c r="CP929" s="1399"/>
      <c r="CQ929" s="1399"/>
      <c r="CR929" s="1399"/>
      <c r="CS929" s="1399"/>
      <c r="CT929" s="1399"/>
      <c r="CU929" s="1399"/>
      <c r="CV929" s="1399"/>
      <c r="CW929" s="1399"/>
      <c r="CX929" s="1399"/>
      <c r="CY929" s="1399"/>
      <c r="CZ929" s="1399"/>
      <c r="DA929" s="1399"/>
      <c r="DB929" s="1399"/>
      <c r="DC929" s="1399"/>
      <c r="DD929" s="1399"/>
      <c r="DE929" s="1399"/>
      <c r="DF929" s="1399"/>
      <c r="DG929" s="1399"/>
      <c r="DH929" s="1399"/>
      <c r="DI929" s="1399"/>
      <c r="DJ929" s="1399"/>
      <c r="DK929" s="1399"/>
      <c r="DL929" s="1399"/>
      <c r="DM929" s="1399"/>
      <c r="DN929" s="1399"/>
      <c r="DO929" s="1399"/>
      <c r="DP929" s="1399"/>
      <c r="DQ929" s="1399"/>
      <c r="DR929" s="1399"/>
      <c r="DS929" s="1399"/>
      <c r="DT929" s="1399"/>
      <c r="DU929" s="1399"/>
    </row>
    <row r="930" spans="1:125">
      <c r="A930" s="1414"/>
      <c r="B930" s="1414"/>
      <c r="C930" s="1414"/>
      <c r="D930" s="1414"/>
      <c r="E930" s="1414"/>
      <c r="F930" s="1414"/>
      <c r="G930" s="1414"/>
      <c r="H930" s="1414"/>
      <c r="I930" s="1414"/>
      <c r="J930" s="1414"/>
      <c r="K930" s="1414"/>
      <c r="L930" s="1414"/>
      <c r="M930" s="1414"/>
      <c r="N930" s="1414"/>
      <c r="O930" s="1414"/>
      <c r="P930" s="1414"/>
      <c r="Q930" s="1414"/>
      <c r="R930" s="1414"/>
      <c r="S930" s="1414"/>
      <c r="T930" s="1414"/>
      <c r="U930" s="1414"/>
      <c r="V930" s="1414"/>
      <c r="W930" s="1414"/>
      <c r="X930" s="1414"/>
      <c r="Y930" s="1414"/>
      <c r="Z930" s="1414"/>
      <c r="AA930" s="1414"/>
      <c r="AB930" s="1414"/>
      <c r="AC930" s="1414"/>
      <c r="AD930" s="1414"/>
      <c r="AE930" s="1414"/>
      <c r="AF930" s="1414"/>
      <c r="AG930" s="1414"/>
      <c r="AH930" s="1414"/>
      <c r="AI930" s="1414"/>
      <c r="AJ930" s="1414"/>
      <c r="AK930" s="1414"/>
      <c r="AL930" s="1414"/>
      <c r="AM930" s="1414"/>
      <c r="AN930" s="1414"/>
      <c r="AO930" s="1414"/>
      <c r="AP930" s="1414"/>
      <c r="AQ930" s="1414"/>
      <c r="AR930" s="1414"/>
      <c r="AS930" s="1414"/>
      <c r="AT930" s="1414"/>
      <c r="AU930" s="1414"/>
      <c r="AV930" s="1414"/>
      <c r="AW930" s="1414"/>
      <c r="AX930" s="1414"/>
      <c r="AY930" s="1399"/>
      <c r="AZ930" s="1399"/>
      <c r="BA930" s="1399"/>
      <c r="BB930" s="1399"/>
      <c r="BC930" s="1399"/>
      <c r="BD930" s="1399"/>
      <c r="BE930" s="1414"/>
      <c r="BF930" s="1399"/>
      <c r="BG930" s="1399"/>
      <c r="BH930" s="1399"/>
      <c r="BI930" s="1399"/>
      <c r="BJ930" s="1399"/>
      <c r="BK930" s="1399"/>
      <c r="BL930" s="1399"/>
      <c r="BM930" s="1399"/>
      <c r="BN930" s="1399"/>
      <c r="BO930" s="1399"/>
      <c r="BP930" s="1399"/>
      <c r="BQ930" s="1399"/>
      <c r="BR930" s="1399"/>
      <c r="BS930" s="1399"/>
      <c r="BT930" s="1399"/>
      <c r="BU930" s="1399"/>
      <c r="BV930" s="1399"/>
      <c r="BW930" s="1399"/>
      <c r="BX930" s="1399"/>
      <c r="BY930" s="1399"/>
      <c r="BZ930" s="1399"/>
      <c r="CA930" s="1399"/>
      <c r="CB930" s="1399"/>
      <c r="CC930" s="1399"/>
      <c r="CD930" s="1399"/>
      <c r="CE930" s="1399"/>
      <c r="CF930" s="1399"/>
      <c r="CG930" s="1399"/>
      <c r="CH930" s="1399"/>
      <c r="CI930" s="1399"/>
      <c r="CJ930" s="1399"/>
      <c r="CK930" s="1399"/>
      <c r="CL930" s="1399"/>
      <c r="CM930" s="1399"/>
      <c r="CN930" s="1399"/>
      <c r="CO930" s="1399"/>
      <c r="CP930" s="1399"/>
      <c r="CQ930" s="1399"/>
      <c r="CR930" s="1399"/>
      <c r="CS930" s="1399"/>
      <c r="CT930" s="1399"/>
      <c r="CU930" s="1399"/>
      <c r="CV930" s="1399"/>
      <c r="CW930" s="1399"/>
      <c r="CX930" s="1399"/>
      <c r="CY930" s="1399"/>
      <c r="CZ930" s="1399"/>
      <c r="DA930" s="1399"/>
      <c r="DB930" s="1399"/>
      <c r="DC930" s="1399"/>
      <c r="DD930" s="1399"/>
      <c r="DE930" s="1399"/>
      <c r="DF930" s="1399"/>
      <c r="DG930" s="1399"/>
      <c r="DH930" s="1399"/>
      <c r="DI930" s="1399"/>
      <c r="DJ930" s="1399"/>
      <c r="DK930" s="1399"/>
      <c r="DL930" s="1399"/>
      <c r="DM930" s="1399"/>
      <c r="DN930" s="1399"/>
      <c r="DO930" s="1399"/>
      <c r="DP930" s="1399"/>
      <c r="DQ930" s="1399"/>
      <c r="DR930" s="1399"/>
      <c r="DS930" s="1399"/>
      <c r="DT930" s="1399"/>
      <c r="DU930" s="1399"/>
    </row>
    <row r="931" spans="1:125">
      <c r="A931" s="1414"/>
      <c r="B931" s="1414"/>
      <c r="C931" s="1414"/>
      <c r="D931" s="1414"/>
      <c r="E931" s="1414"/>
      <c r="F931" s="1414"/>
      <c r="G931" s="1414"/>
      <c r="H931" s="1414"/>
      <c r="I931" s="1414"/>
      <c r="J931" s="1414"/>
      <c r="K931" s="1414"/>
      <c r="L931" s="1414"/>
      <c r="M931" s="1414"/>
      <c r="N931" s="1414"/>
      <c r="O931" s="1414"/>
      <c r="P931" s="1414"/>
      <c r="Q931" s="1414"/>
      <c r="R931" s="1414"/>
      <c r="S931" s="1414"/>
      <c r="T931" s="1414"/>
      <c r="U931" s="1414"/>
      <c r="V931" s="1414"/>
      <c r="W931" s="1414"/>
      <c r="X931" s="1414"/>
      <c r="Y931" s="1414"/>
      <c r="Z931" s="1414"/>
      <c r="AA931" s="1414"/>
      <c r="AB931" s="1414"/>
      <c r="AC931" s="1414"/>
      <c r="AD931" s="1414"/>
      <c r="AE931" s="1414"/>
      <c r="AF931" s="1414"/>
      <c r="AG931" s="1414"/>
      <c r="AH931" s="1414"/>
      <c r="AI931" s="1414"/>
      <c r="AJ931" s="1414"/>
      <c r="AK931" s="1414"/>
      <c r="AL931" s="1414"/>
      <c r="AM931" s="1414"/>
      <c r="AN931" s="1414"/>
      <c r="AO931" s="1414"/>
      <c r="AP931" s="1414"/>
      <c r="AQ931" s="1414"/>
      <c r="AR931" s="1414"/>
      <c r="AS931" s="1414"/>
      <c r="AT931" s="1414"/>
      <c r="AU931" s="1414"/>
      <c r="AV931" s="1414"/>
      <c r="AW931" s="1414"/>
      <c r="AX931" s="1414"/>
      <c r="AY931" s="1399"/>
      <c r="AZ931" s="1399"/>
      <c r="BA931" s="1399"/>
      <c r="BB931" s="1399"/>
      <c r="BC931" s="1399"/>
      <c r="BD931" s="1399"/>
      <c r="BE931" s="1414"/>
      <c r="BF931" s="1399"/>
      <c r="BG931" s="1399"/>
      <c r="BH931" s="1399"/>
      <c r="BI931" s="1399"/>
      <c r="BJ931" s="1399"/>
      <c r="BK931" s="1399"/>
      <c r="BL931" s="1399"/>
      <c r="BM931" s="1399"/>
      <c r="BN931" s="1399"/>
      <c r="BO931" s="1399"/>
      <c r="BP931" s="1399"/>
      <c r="BQ931" s="1399"/>
      <c r="BR931" s="1399"/>
      <c r="BS931" s="1399"/>
      <c r="BT931" s="1399"/>
      <c r="BU931" s="1399"/>
      <c r="BV931" s="1399"/>
      <c r="BW931" s="1399"/>
      <c r="BX931" s="1399"/>
      <c r="BY931" s="1399"/>
      <c r="BZ931" s="1399"/>
      <c r="CA931" s="1399"/>
      <c r="CB931" s="1399"/>
      <c r="CC931" s="1399"/>
      <c r="CD931" s="1399"/>
      <c r="CE931" s="1399"/>
      <c r="CF931" s="1399"/>
      <c r="CG931" s="1399"/>
      <c r="CH931" s="1399"/>
      <c r="CI931" s="1399"/>
      <c r="CJ931" s="1399"/>
      <c r="CK931" s="1399"/>
      <c r="CL931" s="1399"/>
      <c r="CM931" s="1399"/>
      <c r="CN931" s="1399"/>
      <c r="CO931" s="1399"/>
      <c r="CP931" s="1399"/>
      <c r="CQ931" s="1399"/>
      <c r="CR931" s="1399"/>
      <c r="CS931" s="1399"/>
      <c r="CT931" s="1399"/>
      <c r="CU931" s="1399"/>
      <c r="CV931" s="1399"/>
      <c r="CW931" s="1399"/>
      <c r="CX931" s="1399"/>
      <c r="CY931" s="1399"/>
      <c r="CZ931" s="1399"/>
      <c r="DA931" s="1399"/>
      <c r="DB931" s="1399"/>
      <c r="DC931" s="1399"/>
      <c r="DD931" s="1399"/>
      <c r="DE931" s="1399"/>
      <c r="DF931" s="1399"/>
      <c r="DG931" s="1399"/>
      <c r="DH931" s="1399"/>
      <c r="DI931" s="1399"/>
      <c r="DJ931" s="1399"/>
      <c r="DK931" s="1399"/>
      <c r="DL931" s="1399"/>
      <c r="DM931" s="1399"/>
      <c r="DN931" s="1399"/>
      <c r="DO931" s="1399"/>
      <c r="DP931" s="1399"/>
      <c r="DQ931" s="1399"/>
      <c r="DR931" s="1399"/>
      <c r="DS931" s="1399"/>
      <c r="DT931" s="1399"/>
      <c r="DU931" s="1399"/>
    </row>
    <row r="932" spans="1:125">
      <c r="A932" s="1414"/>
      <c r="B932" s="1414"/>
      <c r="C932" s="1414"/>
      <c r="D932" s="1414"/>
      <c r="E932" s="1414"/>
      <c r="F932" s="1414"/>
      <c r="G932" s="1414"/>
      <c r="H932" s="1414"/>
      <c r="I932" s="1414"/>
      <c r="J932" s="1414"/>
      <c r="K932" s="1414"/>
      <c r="L932" s="1414"/>
      <c r="M932" s="1414"/>
      <c r="N932" s="1414"/>
      <c r="O932" s="1414"/>
      <c r="P932" s="1414"/>
      <c r="Q932" s="1414"/>
      <c r="R932" s="1414"/>
      <c r="S932" s="1414"/>
      <c r="T932" s="1414"/>
      <c r="U932" s="1414"/>
      <c r="V932" s="1414"/>
      <c r="W932" s="1414"/>
      <c r="X932" s="1414"/>
      <c r="Y932" s="1414"/>
      <c r="Z932" s="1414"/>
      <c r="AA932" s="1414"/>
      <c r="AB932" s="1414"/>
      <c r="AC932" s="1414"/>
      <c r="AD932" s="1414"/>
      <c r="AE932" s="1414"/>
      <c r="AF932" s="1414"/>
      <c r="AG932" s="1414"/>
      <c r="AH932" s="1414"/>
      <c r="AI932" s="1414"/>
      <c r="AJ932" s="1414"/>
      <c r="AK932" s="1414"/>
      <c r="AL932" s="1414"/>
      <c r="AM932" s="1414"/>
      <c r="AN932" s="1414"/>
      <c r="AO932" s="1414"/>
      <c r="AP932" s="1414"/>
      <c r="AQ932" s="1414"/>
      <c r="AR932" s="1414"/>
      <c r="AS932" s="1414"/>
      <c r="AT932" s="1414"/>
      <c r="AU932" s="1414"/>
      <c r="AV932" s="1414"/>
      <c r="AW932" s="1414"/>
      <c r="AX932" s="1414"/>
      <c r="AY932" s="1399"/>
      <c r="AZ932" s="1399"/>
      <c r="BA932" s="1399"/>
      <c r="BB932" s="1399"/>
      <c r="BC932" s="1399"/>
      <c r="BD932" s="1399"/>
      <c r="BE932" s="1414"/>
      <c r="BF932" s="1399"/>
      <c r="BG932" s="1399"/>
      <c r="BH932" s="1399"/>
      <c r="BI932" s="1399"/>
      <c r="BJ932" s="1399"/>
      <c r="BK932" s="1399"/>
      <c r="BL932" s="1399"/>
      <c r="BM932" s="1399"/>
      <c r="BN932" s="1399"/>
      <c r="BO932" s="1399"/>
      <c r="BP932" s="1399"/>
      <c r="BQ932" s="1399"/>
      <c r="BR932" s="1399"/>
      <c r="BS932" s="1399"/>
      <c r="BT932" s="1399"/>
      <c r="BU932" s="1399"/>
      <c r="BV932" s="1399"/>
      <c r="BW932" s="1399"/>
      <c r="BX932" s="1399"/>
      <c r="BY932" s="1399"/>
      <c r="BZ932" s="1399"/>
      <c r="CA932" s="1399"/>
      <c r="CB932" s="1399"/>
      <c r="CC932" s="1399"/>
      <c r="CD932" s="1399"/>
      <c r="CE932" s="1399"/>
      <c r="CF932" s="1399"/>
      <c r="CG932" s="1399"/>
      <c r="CH932" s="1399"/>
      <c r="CI932" s="1399"/>
      <c r="CJ932" s="1399"/>
      <c r="CK932" s="1399"/>
      <c r="CL932" s="1399"/>
      <c r="CM932" s="1399"/>
      <c r="CN932" s="1399"/>
      <c r="CO932" s="1399"/>
      <c r="CP932" s="1399"/>
      <c r="CQ932" s="1399"/>
      <c r="CR932" s="1399"/>
      <c r="CS932" s="1399"/>
      <c r="CT932" s="1399"/>
      <c r="CU932" s="1399"/>
      <c r="CV932" s="1399"/>
      <c r="CW932" s="1399"/>
      <c r="CX932" s="1399"/>
      <c r="CY932" s="1399"/>
      <c r="CZ932" s="1399"/>
      <c r="DA932" s="1399"/>
      <c r="DB932" s="1399"/>
      <c r="DC932" s="1399"/>
      <c r="DD932" s="1399"/>
      <c r="DE932" s="1399"/>
      <c r="DF932" s="1399"/>
      <c r="DG932" s="1399"/>
      <c r="DH932" s="1399"/>
      <c r="DI932" s="1399"/>
      <c r="DJ932" s="1399"/>
      <c r="DK932" s="1399"/>
      <c r="DL932" s="1399"/>
      <c r="DM932" s="1399"/>
      <c r="DN932" s="1399"/>
      <c r="DO932" s="1399"/>
      <c r="DP932" s="1399"/>
      <c r="DQ932" s="1399"/>
      <c r="DR932" s="1399"/>
      <c r="DS932" s="1399"/>
      <c r="DT932" s="1399"/>
      <c r="DU932" s="1399"/>
    </row>
    <row r="933" spans="1:125">
      <c r="A933" s="1414"/>
      <c r="B933" s="1414"/>
      <c r="C933" s="1414"/>
      <c r="D933" s="1414"/>
      <c r="E933" s="1414"/>
      <c r="F933" s="1414"/>
      <c r="G933" s="1414"/>
      <c r="H933" s="1414"/>
      <c r="I933" s="1414"/>
      <c r="J933" s="1414"/>
      <c r="K933" s="1414"/>
      <c r="L933" s="1414"/>
      <c r="M933" s="1414"/>
      <c r="N933" s="1414"/>
      <c r="O933" s="1414"/>
      <c r="P933" s="1414"/>
      <c r="Q933" s="1414"/>
      <c r="R933" s="1414"/>
      <c r="S933" s="1414"/>
      <c r="T933" s="1414"/>
      <c r="U933" s="1414"/>
      <c r="V933" s="1414"/>
      <c r="W933" s="1414"/>
      <c r="X933" s="1414"/>
      <c r="Y933" s="1414"/>
      <c r="Z933" s="1414"/>
      <c r="AA933" s="1414"/>
      <c r="AB933" s="1414"/>
      <c r="AC933" s="1414"/>
      <c r="AD933" s="1414"/>
      <c r="AE933" s="1414"/>
      <c r="AF933" s="1414"/>
      <c r="AG933" s="1414"/>
      <c r="AH933" s="1414"/>
      <c r="AI933" s="1414"/>
      <c r="AJ933" s="1414"/>
      <c r="AK933" s="1414"/>
      <c r="AL933" s="1414"/>
      <c r="AM933" s="1414"/>
      <c r="AN933" s="1414"/>
      <c r="AO933" s="1414"/>
      <c r="AP933" s="1414"/>
      <c r="AQ933" s="1414"/>
      <c r="AR933" s="1414"/>
      <c r="AS933" s="1414"/>
      <c r="AT933" s="1414"/>
      <c r="AU933" s="1414"/>
      <c r="AV933" s="1414"/>
      <c r="AW933" s="1414"/>
      <c r="AX933" s="1414"/>
      <c r="AY933" s="1399"/>
      <c r="AZ933" s="1399"/>
      <c r="BA933" s="1399"/>
      <c r="BB933" s="1399"/>
      <c r="BC933" s="1399"/>
      <c r="BD933" s="1399"/>
      <c r="BE933" s="1414"/>
      <c r="BF933" s="1399"/>
      <c r="BG933" s="1399"/>
      <c r="BH933" s="1399"/>
      <c r="BI933" s="1399"/>
      <c r="BJ933" s="1399"/>
      <c r="BK933" s="1399"/>
      <c r="BL933" s="1399"/>
      <c r="BM933" s="1399"/>
      <c r="BN933" s="1399"/>
      <c r="BO933" s="1399"/>
      <c r="BP933" s="1399"/>
      <c r="BQ933" s="1399"/>
      <c r="BR933" s="1399"/>
      <c r="BS933" s="1399"/>
      <c r="BT933" s="1399"/>
      <c r="BU933" s="1399"/>
      <c r="BV933" s="1399"/>
      <c r="BW933" s="1399"/>
      <c r="BX933" s="1399"/>
      <c r="BY933" s="1399"/>
      <c r="BZ933" s="1399"/>
      <c r="CA933" s="1399"/>
      <c r="CB933" s="1399"/>
      <c r="CC933" s="1399"/>
      <c r="CD933" s="1399"/>
      <c r="CE933" s="1399"/>
      <c r="CF933" s="1399"/>
      <c r="CG933" s="1399"/>
      <c r="CH933" s="1399"/>
      <c r="CI933" s="1399"/>
      <c r="CJ933" s="1399"/>
      <c r="CK933" s="1399"/>
      <c r="CL933" s="1399"/>
      <c r="CM933" s="1399"/>
      <c r="CN933" s="1399"/>
      <c r="CO933" s="1399"/>
      <c r="CP933" s="1399"/>
      <c r="CQ933" s="1399"/>
      <c r="CR933" s="1399"/>
      <c r="CS933" s="1399"/>
      <c r="CT933" s="1399"/>
      <c r="CU933" s="1399"/>
      <c r="CV933" s="1399"/>
      <c r="CW933" s="1399"/>
      <c r="CX933" s="1399"/>
      <c r="CY933" s="1399"/>
      <c r="CZ933" s="1399"/>
      <c r="DA933" s="1399"/>
      <c r="DB933" s="1399"/>
      <c r="DC933" s="1399"/>
      <c r="DD933" s="1399"/>
      <c r="DE933" s="1399"/>
      <c r="DF933" s="1399"/>
      <c r="DG933" s="1399"/>
      <c r="DH933" s="1399"/>
      <c r="DI933" s="1399"/>
      <c r="DJ933" s="1399"/>
      <c r="DK933" s="1399"/>
      <c r="DL933" s="1399"/>
      <c r="DM933" s="1399"/>
      <c r="DN933" s="1399"/>
      <c r="DO933" s="1399"/>
      <c r="DP933" s="1399"/>
      <c r="DQ933" s="1399"/>
      <c r="DR933" s="1399"/>
      <c r="DS933" s="1399"/>
      <c r="DT933" s="1399"/>
      <c r="DU933" s="1399"/>
    </row>
    <row r="934" spans="1:125">
      <c r="A934" s="1414"/>
      <c r="B934" s="1414"/>
      <c r="C934" s="1414"/>
      <c r="D934" s="1414"/>
      <c r="E934" s="1414"/>
      <c r="F934" s="1414"/>
      <c r="G934" s="1414"/>
      <c r="H934" s="1414"/>
      <c r="I934" s="1414"/>
      <c r="J934" s="1414"/>
      <c r="K934" s="1414"/>
      <c r="L934" s="1414"/>
      <c r="M934" s="1414"/>
      <c r="N934" s="1414"/>
      <c r="O934" s="1414"/>
      <c r="P934" s="1414"/>
      <c r="Q934" s="1414"/>
      <c r="R934" s="1414"/>
      <c r="S934" s="1414"/>
      <c r="T934" s="1414"/>
      <c r="U934" s="1414"/>
      <c r="V934" s="1414"/>
      <c r="W934" s="1414"/>
      <c r="X934" s="1414"/>
      <c r="Y934" s="1414"/>
      <c r="Z934" s="1414"/>
      <c r="AA934" s="1414"/>
      <c r="AB934" s="1414"/>
      <c r="AC934" s="1414"/>
      <c r="AD934" s="1414"/>
      <c r="AE934" s="1414"/>
      <c r="AF934" s="1414"/>
      <c r="AG934" s="1414"/>
      <c r="AH934" s="1414"/>
      <c r="AI934" s="1414"/>
      <c r="AJ934" s="1414"/>
      <c r="AK934" s="1414"/>
      <c r="AL934" s="1414"/>
      <c r="AM934" s="1414"/>
      <c r="AN934" s="1414"/>
      <c r="AO934" s="1414"/>
      <c r="AP934" s="1414"/>
      <c r="AQ934" s="1414"/>
      <c r="AR934" s="1414"/>
      <c r="AS934" s="1414"/>
      <c r="AT934" s="1414"/>
      <c r="AU934" s="1414"/>
      <c r="AV934" s="1414"/>
      <c r="AW934" s="1414"/>
      <c r="AX934" s="1414"/>
      <c r="AY934" s="1399"/>
      <c r="AZ934" s="1399"/>
      <c r="BA934" s="1399"/>
      <c r="BB934" s="1399"/>
      <c r="BC934" s="1399"/>
      <c r="BD934" s="1399"/>
      <c r="BE934" s="1414"/>
      <c r="BF934" s="1399"/>
      <c r="BG934" s="1399"/>
      <c r="BH934" s="1399"/>
      <c r="BI934" s="1399"/>
      <c r="BJ934" s="1399"/>
      <c r="BK934" s="1399"/>
      <c r="BL934" s="1399"/>
      <c r="BM934" s="1399"/>
      <c r="BN934" s="1399"/>
      <c r="BO934" s="1399"/>
      <c r="BP934" s="1399"/>
      <c r="BQ934" s="1399"/>
      <c r="BR934" s="1399"/>
      <c r="BS934" s="1399"/>
      <c r="BT934" s="1399"/>
      <c r="BU934" s="1399"/>
      <c r="BV934" s="1399"/>
      <c r="BW934" s="1399"/>
      <c r="BX934" s="1399"/>
      <c r="BY934" s="1399"/>
      <c r="BZ934" s="1399"/>
      <c r="CA934" s="1399"/>
      <c r="CB934" s="1399"/>
      <c r="CC934" s="1399"/>
      <c r="CD934" s="1399"/>
      <c r="CE934" s="1399"/>
      <c r="CF934" s="1399"/>
      <c r="CG934" s="1399"/>
      <c r="CH934" s="1399"/>
      <c r="CI934" s="1399"/>
      <c r="CJ934" s="1399"/>
      <c r="CK934" s="1399"/>
      <c r="CL934" s="1399"/>
      <c r="CM934" s="1399"/>
      <c r="CN934" s="1399"/>
      <c r="CO934" s="1399"/>
      <c r="CP934" s="1399"/>
      <c r="CQ934" s="1399"/>
      <c r="CR934" s="1399"/>
      <c r="CS934" s="1399"/>
      <c r="CT934" s="1399"/>
      <c r="CU934" s="1399"/>
      <c r="CV934" s="1399"/>
      <c r="CW934" s="1399"/>
      <c r="CX934" s="1399"/>
      <c r="CY934" s="1399"/>
      <c r="CZ934" s="1399"/>
      <c r="DA934" s="1399"/>
      <c r="DB934" s="1399"/>
      <c r="DC934" s="1399"/>
      <c r="DD934" s="1399"/>
      <c r="DE934" s="1399"/>
      <c r="DF934" s="1399"/>
      <c r="DG934" s="1399"/>
      <c r="DH934" s="1399"/>
      <c r="DI934" s="1399"/>
      <c r="DJ934" s="1399"/>
      <c r="DK934" s="1399"/>
      <c r="DL934" s="1399"/>
      <c r="DM934" s="1399"/>
      <c r="DN934" s="1399"/>
      <c r="DO934" s="1399"/>
      <c r="DP934" s="1399"/>
      <c r="DQ934" s="1399"/>
      <c r="DR934" s="1399"/>
      <c r="DS934" s="1399"/>
      <c r="DT934" s="1399"/>
      <c r="DU934" s="1399"/>
    </row>
    <row r="935" spans="1:125">
      <c r="A935" s="1414"/>
      <c r="B935" s="1414"/>
      <c r="C935" s="1414"/>
      <c r="D935" s="1414"/>
      <c r="E935" s="1414"/>
      <c r="F935" s="1414"/>
      <c r="G935" s="1414"/>
      <c r="H935" s="1414"/>
      <c r="I935" s="1414"/>
      <c r="J935" s="1414"/>
      <c r="K935" s="1414"/>
      <c r="L935" s="1414"/>
      <c r="M935" s="1414"/>
      <c r="N935" s="1414"/>
      <c r="O935" s="1414"/>
      <c r="P935" s="1414"/>
      <c r="Q935" s="1414"/>
      <c r="R935" s="1414"/>
      <c r="S935" s="1414"/>
      <c r="T935" s="1414"/>
      <c r="U935" s="1414"/>
      <c r="V935" s="1414"/>
      <c r="W935" s="1414"/>
      <c r="X935" s="1414"/>
      <c r="Y935" s="1414"/>
      <c r="Z935" s="1414"/>
      <c r="AA935" s="1414"/>
      <c r="AB935" s="1414"/>
      <c r="AC935" s="1414"/>
      <c r="AD935" s="1414"/>
      <c r="AE935" s="1414"/>
      <c r="AF935" s="1414"/>
      <c r="AG935" s="1414"/>
      <c r="AH935" s="1414"/>
      <c r="AI935" s="1414"/>
      <c r="AJ935" s="1414"/>
      <c r="AK935" s="1414"/>
      <c r="AL935" s="1414"/>
      <c r="AM935" s="1414"/>
      <c r="AN935" s="1414"/>
      <c r="AO935" s="1414"/>
      <c r="AP935" s="1414"/>
      <c r="AQ935" s="1414"/>
      <c r="AR935" s="1414"/>
      <c r="AS935" s="1414"/>
      <c r="AT935" s="1414"/>
      <c r="AU935" s="1414"/>
      <c r="AV935" s="1414"/>
      <c r="AW935" s="1414"/>
      <c r="AX935" s="1414"/>
      <c r="AY935" s="1399"/>
      <c r="AZ935" s="1399"/>
      <c r="BA935" s="1399"/>
      <c r="BB935" s="1399"/>
      <c r="BC935" s="1399"/>
      <c r="BD935" s="1399"/>
      <c r="BE935" s="1414"/>
      <c r="BF935" s="1399"/>
      <c r="BG935" s="1399"/>
      <c r="BH935" s="1399"/>
      <c r="BI935" s="1399"/>
      <c r="BJ935" s="1399"/>
      <c r="BK935" s="1399"/>
      <c r="BL935" s="1399"/>
      <c r="BM935" s="1399"/>
      <c r="BN935" s="1399"/>
      <c r="BO935" s="1399"/>
      <c r="BP935" s="1399"/>
      <c r="BQ935" s="1399"/>
      <c r="BR935" s="1399"/>
      <c r="BS935" s="1399"/>
      <c r="BT935" s="1399"/>
      <c r="BU935" s="1399"/>
      <c r="BV935" s="1399"/>
      <c r="BW935" s="1399"/>
      <c r="BX935" s="1399"/>
      <c r="BY935" s="1399"/>
      <c r="BZ935" s="1399"/>
      <c r="CA935" s="1399"/>
      <c r="CB935" s="1399"/>
      <c r="CC935" s="1399"/>
      <c r="CD935" s="1399"/>
      <c r="CE935" s="1399"/>
      <c r="CF935" s="1399"/>
      <c r="CG935" s="1399"/>
      <c r="CH935" s="1399"/>
      <c r="CI935" s="1399"/>
      <c r="CJ935" s="1399"/>
      <c r="CK935" s="1399"/>
      <c r="CL935" s="1399"/>
      <c r="CM935" s="1399"/>
      <c r="CN935" s="1399"/>
      <c r="CO935" s="1399"/>
      <c r="CP935" s="1399"/>
      <c r="CQ935" s="1399"/>
      <c r="CR935" s="1399"/>
      <c r="CS935" s="1399"/>
      <c r="CT935" s="1399"/>
      <c r="CU935" s="1399"/>
      <c r="CV935" s="1399"/>
      <c r="CW935" s="1399"/>
      <c r="CX935" s="1399"/>
      <c r="CY935" s="1399"/>
      <c r="CZ935" s="1399"/>
      <c r="DA935" s="1399"/>
      <c r="DB935" s="1399"/>
      <c r="DC935" s="1399"/>
      <c r="DD935" s="1399"/>
      <c r="DE935" s="1399"/>
      <c r="DF935" s="1399"/>
      <c r="DG935" s="1399"/>
      <c r="DH935" s="1399"/>
      <c r="DI935" s="1399"/>
      <c r="DJ935" s="1399"/>
      <c r="DK935" s="1399"/>
      <c r="DL935" s="1399"/>
      <c r="DM935" s="1399"/>
      <c r="DN935" s="1399"/>
      <c r="DO935" s="1399"/>
      <c r="DP935" s="1399"/>
      <c r="DQ935" s="1399"/>
      <c r="DR935" s="1399"/>
      <c r="DS935" s="1399"/>
      <c r="DT935" s="1399"/>
      <c r="DU935" s="1399"/>
    </row>
    <row r="936" spans="1:125">
      <c r="A936" s="1414"/>
      <c r="B936" s="1414"/>
      <c r="C936" s="1414"/>
      <c r="D936" s="1414"/>
      <c r="E936" s="1414"/>
      <c r="F936" s="1414"/>
      <c r="G936" s="1414"/>
      <c r="H936" s="1414"/>
      <c r="I936" s="1414"/>
      <c r="J936" s="1414"/>
      <c r="K936" s="1414"/>
      <c r="L936" s="1414"/>
      <c r="M936" s="1414"/>
      <c r="N936" s="1414"/>
      <c r="O936" s="1414"/>
      <c r="P936" s="1414"/>
      <c r="Q936" s="1414"/>
      <c r="R936" s="1414"/>
      <c r="S936" s="1414"/>
      <c r="T936" s="1414"/>
      <c r="U936" s="1414"/>
      <c r="V936" s="1414"/>
      <c r="W936" s="1414"/>
      <c r="X936" s="1414"/>
      <c r="Y936" s="1414"/>
      <c r="Z936" s="1414"/>
      <c r="AA936" s="1414"/>
      <c r="AB936" s="1414"/>
      <c r="AC936" s="1414"/>
      <c r="AD936" s="1414"/>
      <c r="AE936" s="1414"/>
      <c r="AF936" s="1414"/>
      <c r="AG936" s="1414"/>
      <c r="AH936" s="1414"/>
      <c r="AI936" s="1414"/>
      <c r="AJ936" s="1414"/>
      <c r="AK936" s="1414"/>
      <c r="AL936" s="1414"/>
      <c r="AM936" s="1414"/>
      <c r="AN936" s="1414"/>
      <c r="AO936" s="1414"/>
      <c r="AP936" s="1414"/>
      <c r="AQ936" s="1414"/>
      <c r="AR936" s="1414"/>
      <c r="AS936" s="1414"/>
      <c r="AT936" s="1414"/>
      <c r="AU936" s="1414"/>
      <c r="AV936" s="1414"/>
      <c r="AW936" s="1414"/>
      <c r="AX936" s="1414"/>
      <c r="AY936" s="1399"/>
      <c r="AZ936" s="1399"/>
      <c r="BA936" s="1399"/>
      <c r="BB936" s="1399"/>
      <c r="BC936" s="1399"/>
      <c r="BD936" s="1399"/>
      <c r="BE936" s="1414"/>
      <c r="BF936" s="1399"/>
      <c r="BG936" s="1399"/>
      <c r="BH936" s="1399"/>
      <c r="BI936" s="1399"/>
      <c r="BJ936" s="1399"/>
      <c r="BK936" s="1399"/>
      <c r="BL936" s="1399"/>
      <c r="BM936" s="1399"/>
      <c r="BN936" s="1399"/>
      <c r="BO936" s="1399"/>
      <c r="BP936" s="1399"/>
      <c r="BQ936" s="1399"/>
      <c r="BR936" s="1399"/>
      <c r="BS936" s="1399"/>
      <c r="BT936" s="1399"/>
      <c r="BU936" s="1399"/>
      <c r="BV936" s="1399"/>
      <c r="BW936" s="1399"/>
      <c r="BX936" s="1399"/>
      <c r="BY936" s="1399"/>
      <c r="BZ936" s="1399"/>
      <c r="CA936" s="1399"/>
      <c r="CB936" s="1399"/>
      <c r="CC936" s="1399"/>
      <c r="CD936" s="1399"/>
      <c r="CE936" s="1399"/>
      <c r="CF936" s="1399"/>
      <c r="CG936" s="1399"/>
      <c r="CH936" s="1399"/>
      <c r="CI936" s="1399"/>
      <c r="CJ936" s="1399"/>
      <c r="CK936" s="1399"/>
      <c r="CL936" s="1399"/>
      <c r="CM936" s="1399"/>
      <c r="CN936" s="1399"/>
      <c r="CO936" s="1399"/>
      <c r="CP936" s="1399"/>
      <c r="CQ936" s="1399"/>
      <c r="CR936" s="1399"/>
      <c r="CS936" s="1399"/>
      <c r="CT936" s="1399"/>
      <c r="CU936" s="1399"/>
      <c r="CV936" s="1399"/>
      <c r="CW936" s="1399"/>
      <c r="CX936" s="1399"/>
      <c r="CY936" s="1399"/>
      <c r="CZ936" s="1399"/>
      <c r="DA936" s="1399"/>
      <c r="DB936" s="1399"/>
      <c r="DC936" s="1399"/>
      <c r="DD936" s="1399"/>
      <c r="DE936" s="1399"/>
      <c r="DF936" s="1399"/>
      <c r="DG936" s="1399"/>
      <c r="DH936" s="1399"/>
      <c r="DI936" s="1399"/>
      <c r="DJ936" s="1399"/>
      <c r="DK936" s="1399"/>
      <c r="DL936" s="1399"/>
      <c r="DM936" s="1399"/>
      <c r="DN936" s="1399"/>
      <c r="DO936" s="1399"/>
      <c r="DP936" s="1399"/>
      <c r="DQ936" s="1399"/>
      <c r="DR936" s="1399"/>
      <c r="DS936" s="1399"/>
      <c r="DT936" s="1399"/>
      <c r="DU936" s="1399"/>
    </row>
    <row r="937" spans="1:125">
      <c r="A937" s="1414"/>
      <c r="B937" s="1414"/>
      <c r="C937" s="1414"/>
      <c r="D937" s="1414"/>
      <c r="E937" s="1414"/>
      <c r="F937" s="1414"/>
      <c r="G937" s="1414"/>
      <c r="H937" s="1414"/>
      <c r="I937" s="1414"/>
      <c r="J937" s="1414"/>
      <c r="K937" s="1414"/>
      <c r="L937" s="1414"/>
      <c r="M937" s="1414"/>
      <c r="N937" s="1414"/>
      <c r="O937" s="1414"/>
      <c r="P937" s="1414"/>
      <c r="Q937" s="1414"/>
      <c r="R937" s="1414"/>
      <c r="S937" s="1414"/>
      <c r="T937" s="1414"/>
      <c r="U937" s="1414"/>
      <c r="V937" s="1414"/>
      <c r="W937" s="1414"/>
      <c r="X937" s="1414"/>
      <c r="Y937" s="1414"/>
      <c r="Z937" s="1414"/>
      <c r="AA937" s="1414"/>
      <c r="AB937" s="1414"/>
      <c r="AC937" s="1414"/>
      <c r="AD937" s="1414"/>
      <c r="AE937" s="1414"/>
      <c r="AF937" s="1414"/>
      <c r="AG937" s="1414"/>
      <c r="AH937" s="1414"/>
      <c r="AI937" s="1414"/>
      <c r="AJ937" s="1414"/>
      <c r="AK937" s="1414"/>
      <c r="AL937" s="1414"/>
      <c r="AM937" s="1414"/>
      <c r="AN937" s="1414"/>
      <c r="AO937" s="1414"/>
      <c r="AP937" s="1414"/>
      <c r="AQ937" s="1414"/>
      <c r="AR937" s="1414"/>
      <c r="AS937" s="1414"/>
      <c r="AT937" s="1414"/>
      <c r="AU937" s="1414"/>
      <c r="AV937" s="1414"/>
      <c r="AW937" s="1414"/>
      <c r="AX937" s="1414"/>
      <c r="AY937" s="1399"/>
      <c r="AZ937" s="1399"/>
      <c r="BA937" s="1399"/>
      <c r="BB937" s="1399"/>
      <c r="BC937" s="1399"/>
      <c r="BD937" s="1399"/>
      <c r="BE937" s="1414"/>
      <c r="BF937" s="1399"/>
      <c r="BG937" s="1399"/>
      <c r="BH937" s="1399"/>
      <c r="BI937" s="1399"/>
      <c r="BJ937" s="1399"/>
      <c r="BK937" s="1399"/>
      <c r="BL937" s="1399"/>
      <c r="BM937" s="1399"/>
      <c r="BN937" s="1399"/>
      <c r="BO937" s="1399"/>
      <c r="BP937" s="1399"/>
      <c r="BQ937" s="1399"/>
      <c r="BR937" s="1399"/>
      <c r="BS937" s="1399"/>
      <c r="BT937" s="1399"/>
      <c r="BU937" s="1399"/>
      <c r="BV937" s="1399"/>
      <c r="BW937" s="1399"/>
      <c r="BX937" s="1399"/>
      <c r="BY937" s="1399"/>
      <c r="BZ937" s="1399"/>
      <c r="CA937" s="1399"/>
      <c r="CB937" s="1399"/>
      <c r="CC937" s="1399"/>
      <c r="CD937" s="1399"/>
      <c r="CE937" s="1399"/>
      <c r="CF937" s="1399"/>
      <c r="CG937" s="1399"/>
      <c r="CH937" s="1399"/>
      <c r="CI937" s="1399"/>
      <c r="CJ937" s="1399"/>
      <c r="CK937" s="1399"/>
      <c r="CL937" s="1399"/>
      <c r="CM937" s="1399"/>
      <c r="CN937" s="1399"/>
      <c r="CO937" s="1399"/>
      <c r="CP937" s="1399"/>
      <c r="CQ937" s="1399"/>
      <c r="CR937" s="1399"/>
      <c r="CS937" s="1399"/>
      <c r="CT937" s="1399"/>
      <c r="CU937" s="1399"/>
      <c r="CV937" s="1399"/>
      <c r="CW937" s="1399"/>
      <c r="CX937" s="1399"/>
      <c r="CY937" s="1399"/>
      <c r="CZ937" s="1399"/>
      <c r="DA937" s="1399"/>
      <c r="DB937" s="1399"/>
      <c r="DC937" s="1399"/>
      <c r="DD937" s="1399"/>
      <c r="DE937" s="1399"/>
      <c r="DF937" s="1399"/>
      <c r="DG937" s="1399"/>
      <c r="DH937" s="1399"/>
      <c r="DI937" s="1399"/>
      <c r="DJ937" s="1399"/>
      <c r="DK937" s="1399"/>
      <c r="DL937" s="1399"/>
      <c r="DM937" s="1399"/>
      <c r="DN937" s="1399"/>
      <c r="DO937" s="1399"/>
      <c r="DP937" s="1399"/>
      <c r="DQ937" s="1399"/>
      <c r="DR937" s="1399"/>
      <c r="DS937" s="1399"/>
      <c r="DT937" s="1399"/>
      <c r="DU937" s="1399"/>
    </row>
    <row r="938" spans="1:125">
      <c r="A938" s="1414"/>
      <c r="B938" s="1414"/>
      <c r="C938" s="1414"/>
      <c r="D938" s="1414"/>
      <c r="E938" s="1414"/>
      <c r="F938" s="1414"/>
      <c r="G938" s="1414"/>
      <c r="H938" s="1414"/>
      <c r="I938" s="1414"/>
      <c r="J938" s="1414"/>
      <c r="K938" s="1414"/>
      <c r="L938" s="1414"/>
      <c r="M938" s="1414"/>
      <c r="N938" s="1414"/>
      <c r="O938" s="1414"/>
      <c r="P938" s="1414"/>
      <c r="Q938" s="1414"/>
      <c r="R938" s="1414"/>
      <c r="S938" s="1414"/>
      <c r="T938" s="1414"/>
      <c r="U938" s="1414"/>
      <c r="V938" s="1414"/>
      <c r="W938" s="1414"/>
      <c r="X938" s="1414"/>
      <c r="Y938" s="1414"/>
      <c r="Z938" s="1414"/>
      <c r="AA938" s="1414"/>
      <c r="AB938" s="1414"/>
      <c r="AC938" s="1414"/>
      <c r="AD938" s="1414"/>
      <c r="AE938" s="1414"/>
      <c r="AF938" s="1414"/>
      <c r="AG938" s="1414"/>
      <c r="AH938" s="1414"/>
      <c r="AI938" s="1414"/>
      <c r="AJ938" s="1414"/>
      <c r="AK938" s="1414"/>
      <c r="AL938" s="1414"/>
      <c r="AM938" s="1414"/>
      <c r="AN938" s="1414"/>
      <c r="AO938" s="1414"/>
      <c r="AP938" s="1414"/>
      <c r="AQ938" s="1414"/>
      <c r="AR938" s="1414"/>
      <c r="AS938" s="1414"/>
      <c r="AT938" s="1414"/>
      <c r="AU938" s="1414"/>
      <c r="AV938" s="1414"/>
      <c r="AW938" s="1414"/>
      <c r="AX938" s="1414"/>
      <c r="AY938" s="1399"/>
      <c r="AZ938" s="1399"/>
      <c r="BA938" s="1399"/>
      <c r="BB938" s="1399"/>
      <c r="BC938" s="1399"/>
      <c r="BD938" s="1399"/>
      <c r="BE938" s="1414"/>
      <c r="BF938" s="1399"/>
      <c r="BG938" s="1399"/>
      <c r="BH938" s="1399"/>
      <c r="BI938" s="1399"/>
      <c r="BJ938" s="1399"/>
      <c r="BK938" s="1399"/>
      <c r="BL938" s="1399"/>
      <c r="BM938" s="1399"/>
      <c r="BN938" s="1399"/>
      <c r="BO938" s="1399"/>
      <c r="BP938" s="1399"/>
      <c r="BQ938" s="1399"/>
      <c r="BR938" s="1399"/>
      <c r="BS938" s="1399"/>
      <c r="BT938" s="1399"/>
      <c r="BU938" s="1399"/>
      <c r="BV938" s="1399"/>
      <c r="BW938" s="1399"/>
      <c r="BX938" s="1399"/>
      <c r="BY938" s="1399"/>
      <c r="BZ938" s="1399"/>
      <c r="CA938" s="1399"/>
      <c r="CB938" s="1399"/>
      <c r="CC938" s="1399"/>
      <c r="CD938" s="1399"/>
      <c r="CE938" s="1399"/>
      <c r="CF938" s="1399"/>
      <c r="CG938" s="1399"/>
      <c r="CH938" s="1399"/>
      <c r="CI938" s="1399"/>
      <c r="CJ938" s="1399"/>
      <c r="CK938" s="1399"/>
      <c r="CL938" s="1399"/>
      <c r="CM938" s="1399"/>
      <c r="CN938" s="1399"/>
      <c r="CO938" s="1399"/>
      <c r="CP938" s="1399"/>
      <c r="CQ938" s="1399"/>
      <c r="CR938" s="1399"/>
      <c r="CS938" s="1399"/>
      <c r="CT938" s="1399"/>
      <c r="CU938" s="1399"/>
      <c r="CV938" s="1399"/>
      <c r="CW938" s="1399"/>
      <c r="CX938" s="1399"/>
      <c r="CY938" s="1399"/>
      <c r="CZ938" s="1399"/>
      <c r="DA938" s="1399"/>
      <c r="DB938" s="1399"/>
      <c r="DC938" s="1399"/>
      <c r="DD938" s="1399"/>
      <c r="DE938" s="1399"/>
      <c r="DF938" s="1399"/>
      <c r="DG938" s="1399"/>
      <c r="DH938" s="1399"/>
      <c r="DI938" s="1399"/>
      <c r="DJ938" s="1399"/>
      <c r="DK938" s="1399"/>
      <c r="DL938" s="1399"/>
      <c r="DM938" s="1399"/>
      <c r="DN938" s="1399"/>
      <c r="DO938" s="1399"/>
      <c r="DP938" s="1399"/>
      <c r="DQ938" s="1399"/>
      <c r="DR938" s="1399"/>
      <c r="DS938" s="1399"/>
      <c r="DT938" s="1399"/>
      <c r="DU938" s="1399"/>
    </row>
    <row r="939" spans="1:125">
      <c r="A939" s="1414"/>
      <c r="B939" s="1414"/>
      <c r="C939" s="1414"/>
      <c r="D939" s="1414"/>
      <c r="E939" s="1414"/>
      <c r="F939" s="1414"/>
      <c r="G939" s="1414"/>
      <c r="H939" s="1414"/>
      <c r="I939" s="1414"/>
      <c r="J939" s="1414"/>
      <c r="K939" s="1414"/>
      <c r="L939" s="1414"/>
      <c r="M939" s="1414"/>
      <c r="N939" s="1414"/>
      <c r="O939" s="1414"/>
      <c r="P939" s="1414"/>
      <c r="Q939" s="1414"/>
      <c r="R939" s="1414"/>
      <c r="S939" s="1414"/>
      <c r="T939" s="1414"/>
      <c r="U939" s="1414"/>
      <c r="V939" s="1414"/>
      <c r="W939" s="1414"/>
      <c r="X939" s="1414"/>
      <c r="Y939" s="1414"/>
      <c r="Z939" s="1414"/>
      <c r="AA939" s="1414"/>
      <c r="AB939" s="1414"/>
      <c r="AC939" s="1414"/>
      <c r="AD939" s="1414"/>
      <c r="AE939" s="1414"/>
      <c r="AF939" s="1414"/>
      <c r="AG939" s="1414"/>
      <c r="AH939" s="1414"/>
      <c r="AI939" s="1414"/>
      <c r="AJ939" s="1414"/>
      <c r="AK939" s="1414"/>
      <c r="AL939" s="1414"/>
      <c r="AM939" s="1414"/>
      <c r="AN939" s="1414"/>
      <c r="AO939" s="1414"/>
      <c r="AP939" s="1414"/>
      <c r="AQ939" s="1414"/>
      <c r="AR939" s="1414"/>
      <c r="AS939" s="1414"/>
      <c r="AT939" s="1414"/>
      <c r="AU939" s="1414"/>
      <c r="AV939" s="1414"/>
      <c r="AW939" s="1414"/>
      <c r="AX939" s="1414"/>
      <c r="AY939" s="1399"/>
      <c r="AZ939" s="1399"/>
      <c r="BA939" s="1399"/>
      <c r="BB939" s="1399"/>
      <c r="BC939" s="1399"/>
      <c r="BD939" s="1399"/>
      <c r="BE939" s="1414"/>
      <c r="BF939" s="1399"/>
      <c r="BG939" s="1399"/>
      <c r="BH939" s="1399"/>
      <c r="BI939" s="1399"/>
      <c r="BJ939" s="1399"/>
      <c r="BK939" s="1399"/>
      <c r="BL939" s="1399"/>
      <c r="BM939" s="1399"/>
      <c r="BN939" s="1399"/>
      <c r="BO939" s="1399"/>
      <c r="BP939" s="1399"/>
      <c r="BQ939" s="1399"/>
      <c r="BR939" s="1399"/>
      <c r="BS939" s="1399"/>
      <c r="BT939" s="1399"/>
      <c r="BU939" s="1399"/>
      <c r="BV939" s="1399"/>
      <c r="BW939" s="1399"/>
      <c r="BX939" s="1399"/>
      <c r="BY939" s="1399"/>
      <c r="BZ939" s="1399"/>
      <c r="CA939" s="1399"/>
      <c r="CB939" s="1399"/>
      <c r="CC939" s="1399"/>
      <c r="CD939" s="1399"/>
      <c r="CE939" s="1399"/>
      <c r="CF939" s="1399"/>
      <c r="CG939" s="1399"/>
      <c r="CH939" s="1399"/>
      <c r="CI939" s="1399"/>
      <c r="CJ939" s="1399"/>
      <c r="CK939" s="1399"/>
      <c r="CL939" s="1399"/>
      <c r="CM939" s="1399"/>
      <c r="CN939" s="1399"/>
      <c r="CO939" s="1399"/>
      <c r="CP939" s="1399"/>
      <c r="CQ939" s="1399"/>
      <c r="CR939" s="1399"/>
      <c r="CS939" s="1399"/>
      <c r="CT939" s="1399"/>
      <c r="CU939" s="1399"/>
      <c r="CV939" s="1399"/>
      <c r="CW939" s="1399"/>
      <c r="CX939" s="1399"/>
      <c r="CY939" s="1399"/>
      <c r="CZ939" s="1399"/>
      <c r="DA939" s="1399"/>
      <c r="DB939" s="1399"/>
      <c r="DC939" s="1399"/>
      <c r="DD939" s="1399"/>
      <c r="DE939" s="1399"/>
      <c r="DF939" s="1399"/>
      <c r="DG939" s="1399"/>
      <c r="DH939" s="1399"/>
      <c r="DI939" s="1399"/>
      <c r="DJ939" s="1399"/>
      <c r="DK939" s="1399"/>
      <c r="DL939" s="1399"/>
      <c r="DM939" s="1399"/>
      <c r="DN939" s="1399"/>
      <c r="DO939" s="1399"/>
      <c r="DP939" s="1399"/>
      <c r="DQ939" s="1399"/>
      <c r="DR939" s="1399"/>
      <c r="DS939" s="1399"/>
      <c r="DT939" s="1399"/>
      <c r="DU939" s="1399"/>
    </row>
    <row r="940" spans="1:125">
      <c r="A940" s="1414"/>
      <c r="B940" s="1414"/>
      <c r="C940" s="1414"/>
      <c r="D940" s="1414"/>
      <c r="E940" s="1414"/>
      <c r="F940" s="1414"/>
      <c r="G940" s="1414"/>
      <c r="H940" s="1414"/>
      <c r="I940" s="1414"/>
      <c r="J940" s="1414"/>
      <c r="K940" s="1414"/>
      <c r="L940" s="1414"/>
      <c r="M940" s="1414"/>
      <c r="N940" s="1414"/>
      <c r="O940" s="1414"/>
      <c r="P940" s="1414"/>
      <c r="Q940" s="1414"/>
      <c r="R940" s="1414"/>
      <c r="S940" s="1414"/>
      <c r="T940" s="1414"/>
      <c r="U940" s="1414"/>
      <c r="V940" s="1414"/>
      <c r="W940" s="1414"/>
      <c r="X940" s="1414"/>
      <c r="Y940" s="1414"/>
      <c r="Z940" s="1414"/>
      <c r="AA940" s="1414"/>
      <c r="AB940" s="1414"/>
      <c r="AC940" s="1414"/>
      <c r="AD940" s="1414"/>
      <c r="AE940" s="1414"/>
      <c r="AF940" s="1414"/>
      <c r="AG940" s="1414"/>
      <c r="AH940" s="1414"/>
      <c r="AI940" s="1414"/>
      <c r="AJ940" s="1414"/>
      <c r="AK940" s="1414"/>
      <c r="AL940" s="1414"/>
      <c r="AM940" s="1414"/>
      <c r="AN940" s="1414"/>
      <c r="AO940" s="1414"/>
      <c r="AP940" s="1414"/>
      <c r="AQ940" s="1414"/>
      <c r="AR940" s="1414"/>
      <c r="AS940" s="1414"/>
      <c r="AT940" s="1414"/>
      <c r="AU940" s="1414"/>
      <c r="AV940" s="1414"/>
      <c r="AW940" s="1414"/>
      <c r="AX940" s="1414"/>
      <c r="AY940" s="1399"/>
      <c r="AZ940" s="1399"/>
      <c r="BA940" s="1399"/>
      <c r="BB940" s="1399"/>
      <c r="BC940" s="1399"/>
      <c r="BD940" s="1399"/>
      <c r="BE940" s="1414"/>
      <c r="BF940" s="1399"/>
      <c r="BG940" s="1399"/>
      <c r="BH940" s="1399"/>
      <c r="BI940" s="1399"/>
      <c r="BJ940" s="1399"/>
      <c r="BK940" s="1399"/>
      <c r="BL940" s="1399"/>
      <c r="BM940" s="1399"/>
      <c r="BN940" s="1399"/>
      <c r="BO940" s="1399"/>
      <c r="BP940" s="1399"/>
      <c r="BQ940" s="1399"/>
      <c r="BR940" s="1399"/>
      <c r="BS940" s="1399"/>
      <c r="BT940" s="1399"/>
      <c r="BU940" s="1399"/>
      <c r="BV940" s="1399"/>
      <c r="BW940" s="1399"/>
      <c r="BX940" s="1399"/>
      <c r="BY940" s="1399"/>
      <c r="BZ940" s="1399"/>
      <c r="CA940" s="1399"/>
      <c r="CB940" s="1399"/>
      <c r="CC940" s="1399"/>
      <c r="CD940" s="1399"/>
      <c r="CE940" s="1399"/>
      <c r="CF940" s="1399"/>
      <c r="CG940" s="1399"/>
      <c r="CH940" s="1399"/>
      <c r="CI940" s="1399"/>
      <c r="CJ940" s="1399"/>
      <c r="CK940" s="1399"/>
      <c r="CL940" s="1399"/>
      <c r="CM940" s="1399"/>
      <c r="CN940" s="1399"/>
      <c r="CO940" s="1399"/>
      <c r="CP940" s="1399"/>
      <c r="CQ940" s="1399"/>
      <c r="CR940" s="1399"/>
      <c r="CS940" s="1399"/>
      <c r="CT940" s="1399"/>
      <c r="CU940" s="1399"/>
      <c r="CV940" s="1399"/>
      <c r="CW940" s="1399"/>
      <c r="CX940" s="1399"/>
      <c r="CY940" s="1399"/>
      <c r="CZ940" s="1399"/>
      <c r="DA940" s="1399"/>
      <c r="DB940" s="1399"/>
      <c r="DC940" s="1399"/>
      <c r="DD940" s="1399"/>
      <c r="DE940" s="1399"/>
      <c r="DF940" s="1399"/>
      <c r="DG940" s="1399"/>
      <c r="DH940" s="1399"/>
      <c r="DI940" s="1399"/>
      <c r="DJ940" s="1399"/>
      <c r="DK940" s="1399"/>
      <c r="DL940" s="1399"/>
      <c r="DM940" s="1399"/>
      <c r="DN940" s="1399"/>
      <c r="DO940" s="1399"/>
      <c r="DP940" s="1399"/>
      <c r="DQ940" s="1399"/>
      <c r="DR940" s="1399"/>
      <c r="DS940" s="1399"/>
      <c r="DT940" s="1399"/>
      <c r="DU940" s="1399"/>
    </row>
    <row r="941" spans="1:125">
      <c r="A941" s="1414"/>
      <c r="B941" s="1414"/>
      <c r="C941" s="1414"/>
      <c r="D941" s="1414"/>
      <c r="E941" s="1414"/>
      <c r="F941" s="1414"/>
      <c r="G941" s="1414"/>
      <c r="H941" s="1414"/>
      <c r="I941" s="1414"/>
      <c r="J941" s="1414"/>
      <c r="K941" s="1414"/>
      <c r="L941" s="1414"/>
      <c r="M941" s="1414"/>
      <c r="N941" s="1414"/>
      <c r="O941" s="1414"/>
      <c r="P941" s="1414"/>
      <c r="Q941" s="1414"/>
      <c r="R941" s="1414"/>
      <c r="S941" s="1414"/>
      <c r="T941" s="1414"/>
      <c r="U941" s="1414"/>
      <c r="V941" s="1414"/>
      <c r="W941" s="1414"/>
      <c r="X941" s="1414"/>
      <c r="Y941" s="1414"/>
      <c r="Z941" s="1414"/>
      <c r="AA941" s="1414"/>
      <c r="AB941" s="1414"/>
      <c r="AC941" s="1414"/>
      <c r="AD941" s="1414"/>
      <c r="AE941" s="1414"/>
      <c r="AF941" s="1414"/>
      <c r="AG941" s="1414"/>
      <c r="AH941" s="1414"/>
      <c r="AI941" s="1414"/>
      <c r="AJ941" s="1414"/>
      <c r="AK941" s="1414"/>
      <c r="AL941" s="1414"/>
      <c r="AM941" s="1414"/>
      <c r="AN941" s="1414"/>
      <c r="AO941" s="1414"/>
      <c r="AP941" s="1414"/>
      <c r="AQ941" s="1414"/>
      <c r="AR941" s="1414"/>
      <c r="AS941" s="1414"/>
      <c r="AT941" s="1414"/>
      <c r="AU941" s="1414"/>
      <c r="AV941" s="1414"/>
      <c r="AW941" s="1414"/>
      <c r="AX941" s="1414"/>
      <c r="AY941" s="1399"/>
      <c r="AZ941" s="1399"/>
      <c r="BA941" s="1399"/>
      <c r="BB941" s="1399"/>
      <c r="BC941" s="1399"/>
      <c r="BD941" s="1399"/>
      <c r="BE941" s="1414"/>
      <c r="BF941" s="1399"/>
      <c r="BG941" s="1399"/>
      <c r="BH941" s="1399"/>
      <c r="BI941" s="1399"/>
      <c r="BJ941" s="1399"/>
      <c r="BK941" s="1399"/>
      <c r="BL941" s="1399"/>
      <c r="BM941" s="1399"/>
      <c r="BN941" s="1399"/>
      <c r="BO941" s="1399"/>
      <c r="BP941" s="1399"/>
      <c r="BQ941" s="1399"/>
      <c r="BR941" s="1399"/>
      <c r="BS941" s="1399"/>
      <c r="BT941" s="1399"/>
      <c r="BU941" s="1399"/>
      <c r="BV941" s="1399"/>
      <c r="BW941" s="1399"/>
      <c r="BX941" s="1399"/>
      <c r="BY941" s="1399"/>
      <c r="BZ941" s="1399"/>
      <c r="CA941" s="1399"/>
      <c r="CB941" s="1399"/>
      <c r="CC941" s="1399"/>
      <c r="CD941" s="1399"/>
      <c r="CE941" s="1399"/>
      <c r="CF941" s="1399"/>
      <c r="CG941" s="1399"/>
      <c r="CH941" s="1399"/>
      <c r="CI941" s="1399"/>
      <c r="CJ941" s="1399"/>
      <c r="CK941" s="1399"/>
      <c r="CL941" s="1399"/>
      <c r="CM941" s="1399"/>
      <c r="CN941" s="1399"/>
      <c r="CO941" s="1399"/>
      <c r="CP941" s="1399"/>
      <c r="CQ941" s="1399"/>
      <c r="CR941" s="1399"/>
      <c r="CS941" s="1399"/>
      <c r="CT941" s="1399"/>
      <c r="CU941" s="1399"/>
      <c r="CV941" s="1399"/>
      <c r="CW941" s="1399"/>
      <c r="CX941" s="1399"/>
      <c r="CY941" s="1399"/>
      <c r="CZ941" s="1399"/>
      <c r="DA941" s="1399"/>
      <c r="DB941" s="1399"/>
      <c r="DC941" s="1399"/>
      <c r="DD941" s="1399"/>
      <c r="DE941" s="1399"/>
      <c r="DF941" s="1399"/>
      <c r="DG941" s="1399"/>
      <c r="DH941" s="1399"/>
      <c r="DI941" s="1399"/>
      <c r="DJ941" s="1399"/>
      <c r="DK941" s="1399"/>
      <c r="DL941" s="1399"/>
      <c r="DM941" s="1399"/>
      <c r="DN941" s="1399"/>
      <c r="DO941" s="1399"/>
      <c r="DP941" s="1399"/>
      <c r="DQ941" s="1399"/>
      <c r="DR941" s="1399"/>
      <c r="DS941" s="1399"/>
      <c r="DT941" s="1399"/>
      <c r="DU941" s="1399"/>
    </row>
    <row r="942" spans="1:125">
      <c r="A942" s="1414"/>
      <c r="B942" s="1414"/>
      <c r="C942" s="1414"/>
      <c r="D942" s="1414"/>
      <c r="E942" s="1414"/>
      <c r="F942" s="1414"/>
      <c r="G942" s="1414"/>
      <c r="H942" s="1414"/>
      <c r="I942" s="1414"/>
      <c r="J942" s="1414"/>
      <c r="K942" s="1414"/>
      <c r="L942" s="1414"/>
      <c r="M942" s="1414"/>
      <c r="N942" s="1414"/>
      <c r="O942" s="1414"/>
      <c r="P942" s="1414"/>
      <c r="Q942" s="1414"/>
      <c r="R942" s="1414"/>
      <c r="S942" s="1414"/>
      <c r="T942" s="1414"/>
      <c r="U942" s="1414"/>
      <c r="V942" s="1414"/>
      <c r="W942" s="1414"/>
      <c r="X942" s="1414"/>
      <c r="Y942" s="1414"/>
      <c r="Z942" s="1414"/>
      <c r="AA942" s="1414"/>
      <c r="AB942" s="1414"/>
      <c r="AC942" s="1414"/>
      <c r="AD942" s="1414"/>
      <c r="AE942" s="1414"/>
      <c r="AF942" s="1414"/>
      <c r="AG942" s="1414"/>
      <c r="AH942" s="1414"/>
      <c r="AI942" s="1414"/>
      <c r="AJ942" s="1414"/>
      <c r="AK942" s="1414"/>
      <c r="AL942" s="1414"/>
      <c r="AM942" s="1414"/>
      <c r="AN942" s="1414"/>
      <c r="AO942" s="1414"/>
      <c r="AP942" s="1414"/>
      <c r="AQ942" s="1414"/>
      <c r="AR942" s="1414"/>
      <c r="AS942" s="1414"/>
      <c r="AT942" s="1414"/>
      <c r="AU942" s="1414"/>
      <c r="AV942" s="1414"/>
      <c r="AW942" s="1414"/>
      <c r="AX942" s="1414"/>
      <c r="AY942" s="1399"/>
      <c r="AZ942" s="1399"/>
      <c r="BA942" s="1399"/>
      <c r="BB942" s="1399"/>
      <c r="BC942" s="1399"/>
      <c r="BD942" s="1399"/>
      <c r="BE942" s="1414"/>
      <c r="BF942" s="1399"/>
      <c r="BG942" s="1399"/>
      <c r="BH942" s="1399"/>
      <c r="BI942" s="1399"/>
      <c r="BJ942" s="1399"/>
      <c r="BK942" s="1399"/>
      <c r="BL942" s="1399"/>
      <c r="BM942" s="1399"/>
      <c r="BN942" s="1399"/>
      <c r="BO942" s="1399"/>
      <c r="BP942" s="1399"/>
      <c r="BQ942" s="1399"/>
      <c r="BR942" s="1399"/>
      <c r="BS942" s="1399"/>
      <c r="BT942" s="1399"/>
      <c r="BU942" s="1399"/>
      <c r="BV942" s="1399"/>
      <c r="BW942" s="1399"/>
      <c r="BX942" s="1399"/>
      <c r="BY942" s="1399"/>
      <c r="BZ942" s="1399"/>
      <c r="CA942" s="1399"/>
      <c r="CB942" s="1399"/>
      <c r="CC942" s="1399"/>
      <c r="CD942" s="1399"/>
      <c r="CE942" s="1399"/>
      <c r="CF942" s="1399"/>
      <c r="CG942" s="1399"/>
      <c r="CH942" s="1399"/>
      <c r="CI942" s="1399"/>
      <c r="CJ942" s="1399"/>
      <c r="CK942" s="1399"/>
      <c r="CL942" s="1399"/>
      <c r="CM942" s="1399"/>
      <c r="CN942" s="1399"/>
      <c r="CO942" s="1399"/>
      <c r="CP942" s="1399"/>
      <c r="CQ942" s="1399"/>
      <c r="CR942" s="1399"/>
      <c r="CS942" s="1399"/>
      <c r="CT942" s="1399"/>
      <c r="CU942" s="1399"/>
      <c r="CV942" s="1399"/>
      <c r="CW942" s="1399"/>
      <c r="CX942" s="1399"/>
      <c r="CY942" s="1399"/>
      <c r="CZ942" s="1399"/>
      <c r="DA942" s="1399"/>
      <c r="DB942" s="1399"/>
      <c r="DC942" s="1399"/>
      <c r="DD942" s="1399"/>
      <c r="DE942" s="1399"/>
      <c r="DF942" s="1399"/>
      <c r="DG942" s="1399"/>
      <c r="DH942" s="1399"/>
      <c r="DI942" s="1399"/>
      <c r="DJ942" s="1399"/>
      <c r="DK942" s="1399"/>
      <c r="DL942" s="1399"/>
      <c r="DM942" s="1399"/>
      <c r="DN942" s="1399"/>
      <c r="DO942" s="1399"/>
      <c r="DP942" s="1399"/>
      <c r="DQ942" s="1399"/>
      <c r="DR942" s="1399"/>
      <c r="DS942" s="1399"/>
      <c r="DT942" s="1399"/>
      <c r="DU942" s="1399"/>
    </row>
    <row r="943" spans="1:125">
      <c r="A943" s="1414"/>
      <c r="B943" s="1414"/>
      <c r="C943" s="1414"/>
      <c r="D943" s="1414"/>
      <c r="E943" s="1414"/>
      <c r="F943" s="1414"/>
      <c r="G943" s="1414"/>
      <c r="H943" s="1414"/>
      <c r="I943" s="1414"/>
      <c r="J943" s="1414"/>
      <c r="K943" s="1414"/>
      <c r="L943" s="1414"/>
      <c r="M943" s="1414"/>
      <c r="N943" s="1414"/>
      <c r="O943" s="1414"/>
      <c r="P943" s="1414"/>
      <c r="Q943" s="1414"/>
      <c r="R943" s="1414"/>
      <c r="S943" s="1414"/>
      <c r="T943" s="1414"/>
      <c r="U943" s="1414"/>
      <c r="V943" s="1414"/>
      <c r="W943" s="1414"/>
      <c r="X943" s="1414"/>
      <c r="Y943" s="1414"/>
      <c r="Z943" s="1414"/>
      <c r="AA943" s="1414"/>
      <c r="AB943" s="1414"/>
      <c r="AC943" s="1414"/>
      <c r="AD943" s="1414"/>
      <c r="AE943" s="1414"/>
      <c r="AF943" s="1414"/>
      <c r="AG943" s="1414"/>
      <c r="AH943" s="1414"/>
      <c r="AI943" s="1414"/>
      <c r="AJ943" s="1414"/>
      <c r="AK943" s="1414"/>
      <c r="AL943" s="1414"/>
      <c r="AM943" s="1414"/>
      <c r="AN943" s="1414"/>
      <c r="AO943" s="1414"/>
      <c r="AP943" s="1414"/>
      <c r="AQ943" s="1414"/>
      <c r="AR943" s="1414"/>
      <c r="AS943" s="1414"/>
      <c r="AT943" s="1414"/>
      <c r="AU943" s="1414"/>
      <c r="AV943" s="1414"/>
      <c r="AW943" s="1414"/>
      <c r="AX943" s="1414"/>
      <c r="AY943" s="1399"/>
      <c r="AZ943" s="1399"/>
      <c r="BA943" s="1399"/>
      <c r="BB943" s="1399"/>
      <c r="BC943" s="1399"/>
      <c r="BD943" s="1399"/>
      <c r="BE943" s="1414"/>
      <c r="BF943" s="1399"/>
      <c r="BG943" s="1399"/>
      <c r="BH943" s="1399"/>
      <c r="BI943" s="1399"/>
      <c r="BJ943" s="1399"/>
      <c r="BK943" s="1399"/>
      <c r="BL943" s="1399"/>
      <c r="BM943" s="1399"/>
      <c r="BN943" s="1399"/>
      <c r="BO943" s="1399"/>
      <c r="BP943" s="1399"/>
      <c r="BQ943" s="1399"/>
      <c r="BR943" s="1399"/>
      <c r="BS943" s="1399"/>
      <c r="BT943" s="1399"/>
      <c r="BU943" s="1399"/>
      <c r="BV943" s="1399"/>
      <c r="BW943" s="1399"/>
      <c r="BX943" s="1399"/>
      <c r="BY943" s="1399"/>
      <c r="BZ943" s="1399"/>
      <c r="CA943" s="1399"/>
      <c r="CB943" s="1399"/>
      <c r="CC943" s="1399"/>
      <c r="CD943" s="1399"/>
      <c r="CE943" s="1399"/>
      <c r="CF943" s="1399"/>
      <c r="CG943" s="1399"/>
      <c r="CH943" s="1399"/>
      <c r="CI943" s="1399"/>
      <c r="CJ943" s="1399"/>
      <c r="CK943" s="1399"/>
      <c r="CL943" s="1399"/>
      <c r="CM943" s="1399"/>
      <c r="CN943" s="1399"/>
      <c r="CO943" s="1399"/>
      <c r="CP943" s="1399"/>
      <c r="CQ943" s="1399"/>
      <c r="CR943" s="1399"/>
      <c r="CS943" s="1399"/>
      <c r="CT943" s="1399"/>
      <c r="CU943" s="1399"/>
      <c r="CV943" s="1399"/>
      <c r="CW943" s="1399"/>
      <c r="CX943" s="1399"/>
      <c r="CY943" s="1399"/>
      <c r="CZ943" s="1399"/>
      <c r="DA943" s="1399"/>
      <c r="DB943" s="1399"/>
      <c r="DC943" s="1399"/>
      <c r="DD943" s="1399"/>
      <c r="DE943" s="1399"/>
      <c r="DF943" s="1399"/>
      <c r="DG943" s="1399"/>
      <c r="DH943" s="1399"/>
      <c r="DI943" s="1399"/>
      <c r="DJ943" s="1399"/>
      <c r="DK943" s="1399"/>
      <c r="DL943" s="1399"/>
      <c r="DM943" s="1399"/>
      <c r="DN943" s="1399"/>
      <c r="DO943" s="1399"/>
      <c r="DP943" s="1399"/>
      <c r="DQ943" s="1399"/>
      <c r="DR943" s="1399"/>
      <c r="DS943" s="1399"/>
      <c r="DT943" s="1399"/>
      <c r="DU943" s="1399"/>
    </row>
    <row r="944" spans="1:125">
      <c r="A944" s="1414"/>
      <c r="B944" s="1414"/>
      <c r="C944" s="1414"/>
      <c r="D944" s="1414"/>
      <c r="E944" s="1414"/>
      <c r="F944" s="1414"/>
      <c r="G944" s="1414"/>
      <c r="H944" s="1414"/>
      <c r="I944" s="1414"/>
      <c r="J944" s="1414"/>
      <c r="K944" s="1414"/>
      <c r="L944" s="1414"/>
      <c r="M944" s="1414"/>
      <c r="N944" s="1414"/>
      <c r="O944" s="1414"/>
      <c r="P944" s="1414"/>
      <c r="Q944" s="1414"/>
      <c r="R944" s="1414"/>
      <c r="S944" s="1414"/>
      <c r="T944" s="1414"/>
      <c r="U944" s="1414"/>
      <c r="V944" s="1414"/>
      <c r="W944" s="1414"/>
      <c r="X944" s="1414"/>
      <c r="Y944" s="1414"/>
      <c r="Z944" s="1414"/>
      <c r="AA944" s="1414"/>
      <c r="AB944" s="1414"/>
      <c r="AC944" s="1414"/>
      <c r="AD944" s="1414"/>
      <c r="AE944" s="1414"/>
      <c r="AF944" s="1414"/>
      <c r="AG944" s="1414"/>
      <c r="AH944" s="1414"/>
      <c r="AI944" s="1414"/>
      <c r="AJ944" s="1414"/>
      <c r="AK944" s="1414"/>
      <c r="AL944" s="1414"/>
      <c r="AM944" s="1414"/>
      <c r="AN944" s="1414"/>
      <c r="AO944" s="1414"/>
      <c r="AP944" s="1414"/>
      <c r="AQ944" s="1414"/>
      <c r="AR944" s="1414"/>
      <c r="AS944" s="1414"/>
      <c r="AT944" s="1414"/>
      <c r="AU944" s="1414"/>
      <c r="AV944" s="1414"/>
      <c r="AW944" s="1414"/>
      <c r="AX944" s="1414"/>
      <c r="AY944" s="1399"/>
      <c r="AZ944" s="1399"/>
      <c r="BA944" s="1399"/>
      <c r="BB944" s="1399"/>
      <c r="BC944" s="1399"/>
      <c r="BD944" s="1399"/>
      <c r="BE944" s="1414"/>
      <c r="BF944" s="1399"/>
      <c r="BG944" s="1399"/>
      <c r="BH944" s="1399"/>
      <c r="BI944" s="1399"/>
      <c r="BJ944" s="1399"/>
      <c r="BK944" s="1399"/>
      <c r="BL944" s="1399"/>
      <c r="BM944" s="1399"/>
      <c r="BN944" s="1399"/>
      <c r="BO944" s="1399"/>
      <c r="BP944" s="1399"/>
      <c r="BQ944" s="1399"/>
      <c r="BR944" s="1399"/>
      <c r="BS944" s="1399"/>
      <c r="BT944" s="1399"/>
      <c r="BU944" s="1399"/>
      <c r="BV944" s="1399"/>
      <c r="BW944" s="1399"/>
      <c r="BX944" s="1399"/>
      <c r="BY944" s="1399"/>
      <c r="BZ944" s="1399"/>
      <c r="CA944" s="1399"/>
      <c r="CB944" s="1399"/>
      <c r="CC944" s="1399"/>
      <c r="CD944" s="1399"/>
      <c r="CE944" s="1399"/>
      <c r="CF944" s="1399"/>
      <c r="CG944" s="1399"/>
      <c r="CH944" s="1399"/>
      <c r="CI944" s="1399"/>
      <c r="CJ944" s="1399"/>
      <c r="CK944" s="1399"/>
      <c r="CL944" s="1399"/>
      <c r="CM944" s="1399"/>
      <c r="CN944" s="1399"/>
      <c r="CO944" s="1399"/>
      <c r="CP944" s="1399"/>
      <c r="CQ944" s="1399"/>
      <c r="CR944" s="1399"/>
      <c r="CS944" s="1399"/>
      <c r="CT944" s="1399"/>
      <c r="CU944" s="1399"/>
      <c r="CV944" s="1399"/>
      <c r="CW944" s="1399"/>
      <c r="CX944" s="1399"/>
      <c r="CY944" s="1399"/>
      <c r="CZ944" s="1399"/>
      <c r="DA944" s="1399"/>
      <c r="DB944" s="1399"/>
      <c r="DC944" s="1399"/>
      <c r="DD944" s="1399"/>
      <c r="DE944" s="1399"/>
      <c r="DF944" s="1399"/>
      <c r="DG944" s="1399"/>
      <c r="DH944" s="1399"/>
      <c r="DI944" s="1399"/>
      <c r="DJ944" s="1399"/>
      <c r="DK944" s="1399"/>
      <c r="DL944" s="1399"/>
      <c r="DM944" s="1399"/>
      <c r="DN944" s="1399"/>
      <c r="DO944" s="1399"/>
      <c r="DP944" s="1399"/>
      <c r="DQ944" s="1399"/>
      <c r="DR944" s="1399"/>
      <c r="DS944" s="1399"/>
      <c r="DT944" s="1399"/>
      <c r="DU944" s="1399"/>
    </row>
    <row r="945" spans="1:125">
      <c r="A945" s="1414"/>
      <c r="B945" s="1414"/>
      <c r="C945" s="1414"/>
      <c r="D945" s="1414"/>
      <c r="E945" s="1414"/>
      <c r="F945" s="1414"/>
      <c r="G945" s="1414"/>
      <c r="H945" s="1414"/>
      <c r="I945" s="1414"/>
      <c r="J945" s="1414"/>
      <c r="K945" s="1414"/>
      <c r="L945" s="1414"/>
      <c r="M945" s="1414"/>
      <c r="N945" s="1414"/>
      <c r="O945" s="1414"/>
      <c r="P945" s="1414"/>
      <c r="Q945" s="1414"/>
      <c r="R945" s="1414"/>
      <c r="S945" s="1414"/>
      <c r="T945" s="1414"/>
      <c r="U945" s="1414"/>
      <c r="V945" s="1414"/>
      <c r="W945" s="1414"/>
      <c r="X945" s="1414"/>
      <c r="Y945" s="1414"/>
      <c r="Z945" s="1414"/>
      <c r="AA945" s="1414"/>
      <c r="AB945" s="1414"/>
      <c r="AC945" s="1414"/>
      <c r="AD945" s="1414"/>
      <c r="AE945" s="1414"/>
      <c r="AF945" s="1414"/>
      <c r="AG945" s="1414"/>
      <c r="AH945" s="1414"/>
      <c r="AI945" s="1414"/>
      <c r="AJ945" s="1414"/>
      <c r="AK945" s="1414"/>
      <c r="AL945" s="1414"/>
      <c r="AM945" s="1414"/>
      <c r="AN945" s="1414"/>
      <c r="AO945" s="1414"/>
      <c r="AP945" s="1414"/>
      <c r="AQ945" s="1414"/>
      <c r="AR945" s="1414"/>
      <c r="AS945" s="1414"/>
      <c r="AT945" s="1414"/>
      <c r="AU945" s="1414"/>
      <c r="AV945" s="1414"/>
      <c r="AW945" s="1414"/>
      <c r="AX945" s="1414"/>
      <c r="AY945" s="1399"/>
      <c r="AZ945" s="1399"/>
      <c r="BA945" s="1399"/>
      <c r="BB945" s="1399"/>
      <c r="BC945" s="1399"/>
      <c r="BD945" s="1399"/>
      <c r="BE945" s="1414"/>
      <c r="BF945" s="1399"/>
      <c r="BG945" s="1399"/>
      <c r="BH945" s="1399"/>
      <c r="BI945" s="1399"/>
      <c r="BJ945" s="1399"/>
      <c r="BK945" s="1399"/>
      <c r="BL945" s="1399"/>
      <c r="BM945" s="1399"/>
      <c r="BN945" s="1399"/>
      <c r="BO945" s="1399"/>
      <c r="BP945" s="1399"/>
      <c r="BQ945" s="1399"/>
      <c r="BR945" s="1399"/>
      <c r="BS945" s="1399"/>
      <c r="BT945" s="1399"/>
      <c r="BU945" s="1399"/>
      <c r="BV945" s="1399"/>
      <c r="BW945" s="1399"/>
      <c r="BX945" s="1399"/>
      <c r="BY945" s="1399"/>
      <c r="BZ945" s="1399"/>
      <c r="CA945" s="1399"/>
      <c r="CB945" s="1399"/>
      <c r="CC945" s="1399"/>
      <c r="CD945" s="1399"/>
      <c r="CE945" s="1399"/>
      <c r="CF945" s="1399"/>
      <c r="CG945" s="1399"/>
      <c r="CH945" s="1399"/>
      <c r="CI945" s="1399"/>
      <c r="CJ945" s="1399"/>
      <c r="CK945" s="1399"/>
      <c r="CL945" s="1399"/>
      <c r="CM945" s="1399"/>
      <c r="CN945" s="1399"/>
      <c r="CO945" s="1399"/>
      <c r="CP945" s="1399"/>
      <c r="CQ945" s="1399"/>
      <c r="CR945" s="1399"/>
      <c r="CS945" s="1399"/>
      <c r="CT945" s="1399"/>
      <c r="CU945" s="1399"/>
      <c r="CV945" s="1399"/>
      <c r="CW945" s="1399"/>
      <c r="CX945" s="1399"/>
      <c r="CY945" s="1399"/>
      <c r="CZ945" s="1399"/>
      <c r="DA945" s="1399"/>
      <c r="DB945" s="1399"/>
      <c r="DC945" s="1399"/>
      <c r="DD945" s="1399"/>
      <c r="DE945" s="1399"/>
      <c r="DF945" s="1399"/>
      <c r="DG945" s="1399"/>
      <c r="DH945" s="1399"/>
      <c r="DI945" s="1399"/>
      <c r="DJ945" s="1399"/>
      <c r="DK945" s="1399"/>
      <c r="DL945" s="1399"/>
      <c r="DM945" s="1399"/>
      <c r="DN945" s="1399"/>
      <c r="DO945" s="1399"/>
      <c r="DP945" s="1399"/>
      <c r="DQ945" s="1399"/>
      <c r="DR945" s="1399"/>
      <c r="DS945" s="1399"/>
      <c r="DT945" s="1399"/>
      <c r="DU945" s="1399"/>
    </row>
    <row r="946" spans="1:125">
      <c r="A946" s="1414"/>
      <c r="B946" s="1414"/>
      <c r="C946" s="1414"/>
      <c r="D946" s="1414"/>
      <c r="E946" s="1414"/>
      <c r="F946" s="1414"/>
      <c r="G946" s="1414"/>
      <c r="H946" s="1414"/>
      <c r="I946" s="1414"/>
      <c r="J946" s="1414"/>
      <c r="K946" s="1414"/>
      <c r="L946" s="1414"/>
      <c r="M946" s="1414"/>
      <c r="N946" s="1414"/>
      <c r="O946" s="1414"/>
      <c r="P946" s="1414"/>
      <c r="Q946" s="1414"/>
      <c r="R946" s="1414"/>
      <c r="S946" s="1414"/>
      <c r="T946" s="1414"/>
      <c r="U946" s="1414"/>
      <c r="V946" s="1414"/>
      <c r="W946" s="1414"/>
      <c r="X946" s="1414"/>
      <c r="Y946" s="1414"/>
      <c r="Z946" s="1414"/>
      <c r="AA946" s="1414"/>
      <c r="AB946" s="1414"/>
      <c r="AC946" s="1414"/>
      <c r="AD946" s="1414"/>
      <c r="AE946" s="1414"/>
      <c r="AF946" s="1414"/>
      <c r="AG946" s="1414"/>
      <c r="AH946" s="1414"/>
      <c r="AI946" s="1414"/>
      <c r="AJ946" s="1414"/>
      <c r="AK946" s="1414"/>
      <c r="AL946" s="1414"/>
      <c r="AM946" s="1414"/>
      <c r="AN946" s="1414"/>
      <c r="AO946" s="1414"/>
      <c r="AP946" s="1414"/>
      <c r="AQ946" s="1414"/>
      <c r="AR946" s="1414"/>
      <c r="AS946" s="1414"/>
      <c r="AT946" s="1414"/>
      <c r="AU946" s="1414"/>
      <c r="AV946" s="1414"/>
      <c r="AW946" s="1414"/>
      <c r="AX946" s="1414"/>
      <c r="AY946" s="1399"/>
      <c r="AZ946" s="1399"/>
      <c r="BA946" s="1399"/>
      <c r="BB946" s="1399"/>
      <c r="BC946" s="1399"/>
      <c r="BD946" s="1399"/>
      <c r="BE946" s="1414"/>
      <c r="BF946" s="1399"/>
      <c r="BG946" s="1399"/>
      <c r="BH946" s="1399"/>
      <c r="BI946" s="1399"/>
      <c r="BJ946" s="1399"/>
      <c r="BK946" s="1399"/>
      <c r="BL946" s="1399"/>
      <c r="BM946" s="1399"/>
      <c r="BN946" s="1399"/>
      <c r="BO946" s="1399"/>
      <c r="BP946" s="1399"/>
      <c r="BQ946" s="1399"/>
      <c r="BR946" s="1399"/>
      <c r="BS946" s="1399"/>
      <c r="BT946" s="1399"/>
      <c r="BU946" s="1399"/>
      <c r="BV946" s="1399"/>
      <c r="BW946" s="1399"/>
      <c r="BX946" s="1399"/>
      <c r="BY946" s="1399"/>
      <c r="BZ946" s="1399"/>
      <c r="CA946" s="1399"/>
      <c r="CB946" s="1399"/>
      <c r="CC946" s="1399"/>
      <c r="CD946" s="1399"/>
      <c r="CE946" s="1399"/>
      <c r="CF946" s="1399"/>
      <c r="CG946" s="1399"/>
      <c r="CH946" s="1399"/>
      <c r="CI946" s="1399"/>
      <c r="CJ946" s="1399"/>
      <c r="CK946" s="1399"/>
      <c r="CL946" s="1399"/>
      <c r="CM946" s="1399"/>
      <c r="CN946" s="1399"/>
      <c r="CO946" s="1399"/>
      <c r="CP946" s="1399"/>
      <c r="CQ946" s="1399"/>
      <c r="CR946" s="1399"/>
      <c r="CS946" s="1399"/>
      <c r="CT946" s="1399"/>
      <c r="CU946" s="1399"/>
      <c r="CV946" s="1399"/>
      <c r="CW946" s="1399"/>
      <c r="CX946" s="1399"/>
      <c r="CY946" s="1399"/>
      <c r="CZ946" s="1399"/>
      <c r="DA946" s="1399"/>
      <c r="DB946" s="1399"/>
      <c r="DC946" s="1399"/>
      <c r="DD946" s="1399"/>
      <c r="DE946" s="1399"/>
      <c r="DF946" s="1399"/>
      <c r="DG946" s="1399"/>
      <c r="DH946" s="1399"/>
      <c r="DI946" s="1399"/>
      <c r="DJ946" s="1399"/>
      <c r="DK946" s="1399"/>
      <c r="DL946" s="1399"/>
      <c r="DM946" s="1399"/>
      <c r="DN946" s="1399"/>
      <c r="DO946" s="1399"/>
      <c r="DP946" s="1399"/>
      <c r="DQ946" s="1399"/>
      <c r="DR946" s="1399"/>
      <c r="DS946" s="1399"/>
      <c r="DT946" s="1399"/>
      <c r="DU946" s="1399"/>
    </row>
    <row r="947" spans="1:125">
      <c r="A947" s="1414"/>
      <c r="B947" s="1414"/>
      <c r="C947" s="1414"/>
      <c r="D947" s="1414"/>
      <c r="E947" s="1414"/>
      <c r="F947" s="1414"/>
      <c r="G947" s="1414"/>
      <c r="H947" s="1414"/>
      <c r="I947" s="1414"/>
      <c r="J947" s="1414"/>
      <c r="K947" s="1414"/>
      <c r="L947" s="1414"/>
      <c r="M947" s="1414"/>
      <c r="N947" s="1414"/>
      <c r="O947" s="1414"/>
      <c r="P947" s="1414"/>
      <c r="Q947" s="1414"/>
      <c r="R947" s="1414"/>
      <c r="S947" s="1414"/>
      <c r="T947" s="1414"/>
      <c r="U947" s="1414"/>
      <c r="V947" s="1414"/>
      <c r="W947" s="1414"/>
      <c r="X947" s="1414"/>
      <c r="Y947" s="1414"/>
      <c r="Z947" s="1414"/>
      <c r="AA947" s="1414"/>
      <c r="AB947" s="1414"/>
      <c r="AC947" s="1414"/>
      <c r="AD947" s="1414"/>
      <c r="AE947" s="1414"/>
      <c r="AF947" s="1414"/>
      <c r="AG947" s="1414"/>
      <c r="AH947" s="1414"/>
      <c r="AI947" s="1414"/>
      <c r="AJ947" s="1414"/>
      <c r="AK947" s="1414"/>
      <c r="AL947" s="1414"/>
      <c r="AM947" s="1414"/>
      <c r="AN947" s="1414"/>
      <c r="AO947" s="1414"/>
      <c r="AP947" s="1414"/>
      <c r="AQ947" s="1414"/>
      <c r="AR947" s="1414"/>
      <c r="AS947" s="1414"/>
      <c r="AT947" s="1414"/>
      <c r="AU947" s="1414"/>
      <c r="AV947" s="1414"/>
      <c r="AW947" s="1414"/>
      <c r="AX947" s="1414"/>
      <c r="AY947" s="1399"/>
      <c r="AZ947" s="1399"/>
      <c r="BA947" s="1399"/>
      <c r="BB947" s="1399"/>
      <c r="BC947" s="1399"/>
      <c r="BD947" s="1399"/>
      <c r="BE947" s="1414"/>
      <c r="BF947" s="1399"/>
      <c r="BG947" s="1399"/>
      <c r="BH947" s="1399"/>
      <c r="BI947" s="1399"/>
      <c r="BJ947" s="1399"/>
      <c r="BK947" s="1399"/>
      <c r="BL947" s="1399"/>
      <c r="BM947" s="1399"/>
      <c r="BN947" s="1399"/>
      <c r="BO947" s="1399"/>
      <c r="BP947" s="1399"/>
      <c r="BQ947" s="1399"/>
      <c r="BR947" s="1399"/>
      <c r="BS947" s="1399"/>
      <c r="BT947" s="1399"/>
      <c r="BU947" s="1399"/>
      <c r="BV947" s="1399"/>
      <c r="BW947" s="1399"/>
      <c r="BX947" s="1399"/>
      <c r="BY947" s="1399"/>
      <c r="BZ947" s="1399"/>
      <c r="CA947" s="1399"/>
      <c r="CB947" s="1399"/>
      <c r="CC947" s="1399"/>
      <c r="CD947" s="1399"/>
      <c r="CE947" s="1399"/>
      <c r="CF947" s="1399"/>
      <c r="CG947" s="1399"/>
      <c r="CH947" s="1399"/>
      <c r="CI947" s="1399"/>
      <c r="CJ947" s="1399"/>
      <c r="CK947" s="1399"/>
      <c r="CL947" s="1399"/>
      <c r="CM947" s="1399"/>
      <c r="CN947" s="1399"/>
      <c r="CO947" s="1399"/>
      <c r="CP947" s="1399"/>
      <c r="CQ947" s="1399"/>
      <c r="CR947" s="1399"/>
      <c r="CS947" s="1399"/>
      <c r="CT947" s="1399"/>
      <c r="CU947" s="1399"/>
      <c r="CV947" s="1399"/>
      <c r="CW947" s="1399"/>
      <c r="CX947" s="1399"/>
      <c r="CY947" s="1399"/>
      <c r="CZ947" s="1399"/>
      <c r="DA947" s="1399"/>
      <c r="DB947" s="1399"/>
      <c r="DC947" s="1399"/>
      <c r="DD947" s="1399"/>
      <c r="DE947" s="1399"/>
      <c r="DF947" s="1399"/>
      <c r="DG947" s="1399"/>
      <c r="DH947" s="1399"/>
      <c r="DI947" s="1399"/>
      <c r="DJ947" s="1399"/>
      <c r="DK947" s="1399"/>
      <c r="DL947" s="1399"/>
      <c r="DM947" s="1399"/>
      <c r="DN947" s="1399"/>
      <c r="DO947" s="1399"/>
      <c r="DP947" s="1399"/>
      <c r="DQ947" s="1399"/>
      <c r="DR947" s="1399"/>
      <c r="DS947" s="1399"/>
      <c r="DT947" s="1399"/>
      <c r="DU947" s="1399"/>
    </row>
    <row r="948" spans="1:125">
      <c r="A948" s="1414"/>
      <c r="B948" s="1414"/>
      <c r="C948" s="1414"/>
      <c r="D948" s="1414"/>
      <c r="E948" s="1414"/>
      <c r="F948" s="1414"/>
      <c r="G948" s="1414"/>
      <c r="H948" s="1414"/>
      <c r="I948" s="1414"/>
      <c r="J948" s="1414"/>
      <c r="K948" s="1414"/>
      <c r="L948" s="1414"/>
      <c r="M948" s="1414"/>
      <c r="N948" s="1414"/>
      <c r="O948" s="1414"/>
      <c r="P948" s="1414"/>
      <c r="Q948" s="1414"/>
      <c r="R948" s="1414"/>
      <c r="S948" s="1414"/>
      <c r="T948" s="1414"/>
      <c r="U948" s="1414"/>
      <c r="V948" s="1414"/>
      <c r="W948" s="1414"/>
      <c r="X948" s="1414"/>
      <c r="Y948" s="1414"/>
      <c r="Z948" s="1414"/>
      <c r="AA948" s="1414"/>
      <c r="AB948" s="1414"/>
      <c r="AC948" s="1414"/>
      <c r="AD948" s="1414"/>
      <c r="AE948" s="1414"/>
      <c r="AF948" s="1414"/>
      <c r="AG948" s="1414"/>
      <c r="AH948" s="1414"/>
      <c r="AI948" s="1414"/>
      <c r="AJ948" s="1414"/>
      <c r="AK948" s="1414"/>
      <c r="AL948" s="1414"/>
      <c r="AM948" s="1414"/>
      <c r="AN948" s="1414"/>
      <c r="AO948" s="1414"/>
      <c r="AP948" s="1414"/>
      <c r="AQ948" s="1414"/>
      <c r="AR948" s="1414"/>
      <c r="AS948" s="1414"/>
      <c r="AT948" s="1414"/>
      <c r="AU948" s="1414"/>
      <c r="AV948" s="1414"/>
      <c r="AW948" s="1414"/>
      <c r="AX948" s="1414"/>
      <c r="AY948" s="1399"/>
      <c r="AZ948" s="1399"/>
      <c r="BA948" s="1399"/>
      <c r="BB948" s="1399"/>
      <c r="BC948" s="1399"/>
      <c r="BD948" s="1399"/>
      <c r="BE948" s="1414"/>
      <c r="BF948" s="1399"/>
      <c r="BG948" s="1399"/>
      <c r="BH948" s="1399"/>
      <c r="BI948" s="1399"/>
      <c r="BJ948" s="1399"/>
      <c r="BK948" s="1399"/>
      <c r="BL948" s="1399"/>
      <c r="BM948" s="1399"/>
      <c r="BN948" s="1399"/>
      <c r="BO948" s="1399"/>
      <c r="BP948" s="1399"/>
      <c r="BQ948" s="1399"/>
      <c r="BR948" s="1399"/>
      <c r="BS948" s="1399"/>
      <c r="BT948" s="1399"/>
      <c r="BU948" s="1399"/>
      <c r="BV948" s="1399"/>
      <c r="BW948" s="1399"/>
      <c r="BX948" s="1399"/>
      <c r="BY948" s="1399"/>
      <c r="BZ948" s="1399"/>
      <c r="CA948" s="1399"/>
      <c r="CB948" s="1399"/>
      <c r="CC948" s="1399"/>
      <c r="CD948" s="1399"/>
      <c r="CE948" s="1399"/>
      <c r="CF948" s="1399"/>
      <c r="CG948" s="1399"/>
      <c r="CH948" s="1399"/>
      <c r="CI948" s="1399"/>
      <c r="CJ948" s="1399"/>
      <c r="CK948" s="1399"/>
      <c r="CL948" s="1399"/>
      <c r="CM948" s="1399"/>
      <c r="CN948" s="1399"/>
      <c r="CO948" s="1399"/>
      <c r="CP948" s="1399"/>
      <c r="CQ948" s="1399"/>
      <c r="CR948" s="1399"/>
      <c r="CS948" s="1399"/>
      <c r="CT948" s="1399"/>
      <c r="CU948" s="1399"/>
      <c r="CV948" s="1399"/>
      <c r="CW948" s="1399"/>
      <c r="CX948" s="1399"/>
      <c r="CY948" s="1399"/>
      <c r="CZ948" s="1399"/>
      <c r="DA948" s="1399"/>
      <c r="DB948" s="1399"/>
      <c r="DC948" s="1399"/>
      <c r="DD948" s="1399"/>
      <c r="DE948" s="1399"/>
      <c r="DF948" s="1399"/>
      <c r="DG948" s="1399"/>
      <c r="DH948" s="1399"/>
      <c r="DI948" s="1399"/>
      <c r="DJ948" s="1399"/>
      <c r="DK948" s="1399"/>
      <c r="DL948" s="1399"/>
      <c r="DM948" s="1399"/>
      <c r="DN948" s="1399"/>
      <c r="DO948" s="1399"/>
      <c r="DP948" s="1399"/>
      <c r="DQ948" s="1399"/>
      <c r="DR948" s="1399"/>
      <c r="DS948" s="1399"/>
      <c r="DT948" s="1399"/>
      <c r="DU948" s="1399"/>
    </row>
    <row r="949" spans="1:125">
      <c r="A949" s="1414"/>
      <c r="B949" s="1414"/>
      <c r="C949" s="1414"/>
      <c r="D949" s="1414"/>
      <c r="E949" s="1414"/>
      <c r="F949" s="1414"/>
      <c r="G949" s="1414"/>
      <c r="H949" s="1414"/>
      <c r="I949" s="1414"/>
      <c r="J949" s="1414"/>
      <c r="K949" s="1414"/>
      <c r="L949" s="1414"/>
      <c r="M949" s="1414"/>
      <c r="N949" s="1414"/>
      <c r="O949" s="1414"/>
      <c r="P949" s="1414"/>
      <c r="Q949" s="1414"/>
      <c r="R949" s="1414"/>
      <c r="S949" s="1414"/>
      <c r="T949" s="1414"/>
      <c r="U949" s="1414"/>
      <c r="V949" s="1414"/>
      <c r="W949" s="1414"/>
      <c r="X949" s="1414"/>
      <c r="Y949" s="1414"/>
      <c r="Z949" s="1414"/>
      <c r="AA949" s="1414"/>
      <c r="AB949" s="1414"/>
      <c r="AC949" s="1414"/>
      <c r="AD949" s="1414"/>
      <c r="AE949" s="1414"/>
      <c r="AF949" s="1414"/>
      <c r="AG949" s="1414"/>
      <c r="AH949" s="1414"/>
      <c r="AI949" s="1414"/>
      <c r="AJ949" s="1414"/>
      <c r="AK949" s="1414"/>
      <c r="AL949" s="1414"/>
      <c r="AM949" s="1414"/>
      <c r="AN949" s="1414"/>
      <c r="AO949" s="1414"/>
      <c r="AP949" s="1414"/>
      <c r="AQ949" s="1414"/>
      <c r="AR949" s="1414"/>
      <c r="AS949" s="1414"/>
      <c r="AT949" s="1414"/>
      <c r="AU949" s="1414"/>
      <c r="AV949" s="1414"/>
      <c r="AW949" s="1414"/>
      <c r="AX949" s="1414"/>
      <c r="AY949" s="1399"/>
      <c r="AZ949" s="1399"/>
      <c r="BA949" s="1399"/>
      <c r="BB949" s="1399"/>
      <c r="BC949" s="1399"/>
      <c r="BD949" s="1399"/>
      <c r="BE949" s="1414"/>
      <c r="BF949" s="1399"/>
      <c r="BG949" s="1399"/>
      <c r="BH949" s="1399"/>
      <c r="BI949" s="1399"/>
      <c r="BJ949" s="1399"/>
      <c r="BK949" s="1399"/>
      <c r="BL949" s="1399"/>
      <c r="BM949" s="1399"/>
      <c r="BN949" s="1399"/>
      <c r="BO949" s="1399"/>
      <c r="BP949" s="1399"/>
      <c r="BQ949" s="1399"/>
      <c r="BR949" s="1399"/>
      <c r="BS949" s="1399"/>
      <c r="BT949" s="1399"/>
      <c r="BU949" s="1399"/>
      <c r="BV949" s="1399"/>
      <c r="BW949" s="1399"/>
      <c r="BX949" s="1399"/>
      <c r="BY949" s="1399"/>
      <c r="BZ949" s="1399"/>
      <c r="CA949" s="1399"/>
      <c r="CB949" s="1399"/>
      <c r="CC949" s="1399"/>
      <c r="CD949" s="1399"/>
      <c r="CE949" s="1399"/>
      <c r="CF949" s="1399"/>
      <c r="CG949" s="1399"/>
      <c r="CH949" s="1399"/>
      <c r="CI949" s="1399"/>
      <c r="CJ949" s="1399"/>
      <c r="CK949" s="1399"/>
      <c r="CL949" s="1399"/>
      <c r="CM949" s="1399"/>
      <c r="CN949" s="1399"/>
      <c r="CO949" s="1399"/>
      <c r="CP949" s="1399"/>
      <c r="CQ949" s="1399"/>
      <c r="CR949" s="1399"/>
      <c r="CS949" s="1399"/>
      <c r="CT949" s="1399"/>
      <c r="CU949" s="1399"/>
      <c r="CV949" s="1399"/>
      <c r="CW949" s="1399"/>
      <c r="CX949" s="1399"/>
      <c r="CY949" s="1399"/>
      <c r="CZ949" s="1399"/>
      <c r="DA949" s="1399"/>
      <c r="DB949" s="1399"/>
      <c r="DC949" s="1399"/>
      <c r="DD949" s="1399"/>
      <c r="DE949" s="1399"/>
      <c r="DF949" s="1399"/>
      <c r="DG949" s="1399"/>
      <c r="DH949" s="1399"/>
      <c r="DI949" s="1399"/>
      <c r="DJ949" s="1399"/>
      <c r="DK949" s="1399"/>
      <c r="DL949" s="1399"/>
      <c r="DM949" s="1399"/>
      <c r="DN949" s="1399"/>
      <c r="DO949" s="1399"/>
      <c r="DP949" s="1399"/>
      <c r="DQ949" s="1399"/>
      <c r="DR949" s="1399"/>
      <c r="DS949" s="1399"/>
      <c r="DT949" s="1399"/>
      <c r="DU949" s="1399"/>
    </row>
    <row r="950" spans="1:125">
      <c r="A950" s="1414"/>
      <c r="B950" s="1414"/>
      <c r="C950" s="1414"/>
      <c r="D950" s="1414"/>
      <c r="E950" s="1414"/>
      <c r="F950" s="1414"/>
      <c r="G950" s="1414"/>
      <c r="H950" s="1414"/>
      <c r="I950" s="1414"/>
      <c r="J950" s="1414"/>
      <c r="K950" s="1414"/>
      <c r="L950" s="1414"/>
      <c r="M950" s="1414"/>
      <c r="N950" s="1414"/>
      <c r="O950" s="1414"/>
      <c r="P950" s="1414"/>
      <c r="Q950" s="1414"/>
      <c r="R950" s="1414"/>
      <c r="S950" s="1414"/>
      <c r="T950" s="1414"/>
      <c r="U950" s="1414"/>
      <c r="V950" s="1414"/>
      <c r="W950" s="1414"/>
      <c r="X950" s="1414"/>
      <c r="Y950" s="1414"/>
      <c r="Z950" s="1414"/>
      <c r="AA950" s="1414"/>
      <c r="AB950" s="1414"/>
      <c r="AC950" s="1414"/>
      <c r="AD950" s="1414"/>
      <c r="AE950" s="1414"/>
      <c r="AF950" s="1414"/>
      <c r="AG950" s="1414"/>
      <c r="AH950" s="1414"/>
      <c r="AI950" s="1414"/>
      <c r="AJ950" s="1414"/>
      <c r="AK950" s="1414"/>
      <c r="AL950" s="1414"/>
      <c r="AM950" s="1414"/>
      <c r="AN950" s="1414"/>
      <c r="AO950" s="1414"/>
      <c r="AP950" s="1414"/>
      <c r="AQ950" s="1414"/>
      <c r="AR950" s="1414"/>
      <c r="AS950" s="1414"/>
      <c r="AT950" s="1414"/>
      <c r="AU950" s="1414"/>
      <c r="AV950" s="1414"/>
      <c r="AW950" s="1414"/>
      <c r="AX950" s="1414"/>
      <c r="AY950" s="1399"/>
      <c r="AZ950" s="1399"/>
      <c r="BA950" s="1399"/>
      <c r="BB950" s="1399"/>
      <c r="BC950" s="1399"/>
      <c r="BD950" s="1399"/>
      <c r="BE950" s="1414"/>
      <c r="BF950" s="1399"/>
      <c r="BG950" s="1399"/>
      <c r="BH950" s="1399"/>
      <c r="BI950" s="1399"/>
      <c r="BJ950" s="1399"/>
      <c r="BK950" s="1399"/>
      <c r="BL950" s="1399"/>
      <c r="BM950" s="1399"/>
      <c r="BN950" s="1399"/>
      <c r="BO950" s="1399"/>
      <c r="BP950" s="1399"/>
      <c r="BQ950" s="1399"/>
      <c r="BR950" s="1399"/>
      <c r="BS950" s="1399"/>
      <c r="BT950" s="1399"/>
      <c r="BU950" s="1399"/>
      <c r="BV950" s="1399"/>
      <c r="BW950" s="1399"/>
      <c r="BX950" s="1399"/>
      <c r="BY950" s="1399"/>
      <c r="BZ950" s="1399"/>
      <c r="CA950" s="1399"/>
      <c r="CB950" s="1399"/>
      <c r="CC950" s="1399"/>
      <c r="CD950" s="1399"/>
      <c r="CE950" s="1399"/>
      <c r="CF950" s="1399"/>
      <c r="CG950" s="1399"/>
      <c r="CH950" s="1399"/>
      <c r="CI950" s="1399"/>
      <c r="CJ950" s="1399"/>
      <c r="CK950" s="1399"/>
      <c r="CL950" s="1399"/>
      <c r="CM950" s="1399"/>
      <c r="CN950" s="1399"/>
      <c r="CO950" s="1399"/>
      <c r="CP950" s="1399"/>
      <c r="CQ950" s="1399"/>
      <c r="CR950" s="1399"/>
      <c r="CS950" s="1399"/>
      <c r="CT950" s="1399"/>
      <c r="CU950" s="1399"/>
      <c r="CV950" s="1399"/>
      <c r="CW950" s="1399"/>
      <c r="CX950" s="1399"/>
      <c r="CY950" s="1399"/>
      <c r="CZ950" s="1399"/>
      <c r="DA950" s="1399"/>
      <c r="DB950" s="1399"/>
      <c r="DC950" s="1399"/>
      <c r="DD950" s="1399"/>
      <c r="DE950" s="1399"/>
      <c r="DF950" s="1399"/>
      <c r="DG950" s="1399"/>
      <c r="DH950" s="1399"/>
      <c r="DI950" s="1399"/>
      <c r="DJ950" s="1399"/>
      <c r="DK950" s="1399"/>
      <c r="DL950" s="1399"/>
      <c r="DM950" s="1399"/>
      <c r="DN950" s="1399"/>
      <c r="DO950" s="1399"/>
      <c r="DP950" s="1399"/>
      <c r="DQ950" s="1399"/>
      <c r="DR950" s="1399"/>
      <c r="DS950" s="1399"/>
      <c r="DT950" s="1399"/>
      <c r="DU950" s="1399"/>
    </row>
    <row r="951" spans="1:125">
      <c r="A951" s="1414"/>
      <c r="B951" s="1414"/>
      <c r="C951" s="1414"/>
      <c r="D951" s="1414"/>
      <c r="E951" s="1414"/>
      <c r="F951" s="1414"/>
      <c r="G951" s="1414"/>
      <c r="H951" s="1414"/>
      <c r="I951" s="1414"/>
      <c r="J951" s="1414"/>
      <c r="K951" s="1414"/>
      <c r="L951" s="1414"/>
      <c r="M951" s="1414"/>
      <c r="N951" s="1414"/>
      <c r="O951" s="1414"/>
      <c r="P951" s="1414"/>
      <c r="Q951" s="1414"/>
      <c r="R951" s="1414"/>
      <c r="S951" s="1414"/>
      <c r="T951" s="1414"/>
      <c r="U951" s="1414"/>
      <c r="V951" s="1414"/>
      <c r="W951" s="1414"/>
      <c r="X951" s="1414"/>
      <c r="Y951" s="1414"/>
      <c r="Z951" s="1414"/>
      <c r="AA951" s="1414"/>
      <c r="AB951" s="1414"/>
      <c r="AC951" s="1414"/>
      <c r="AD951" s="1414"/>
      <c r="AE951" s="1414"/>
      <c r="AF951" s="1414"/>
      <c r="AG951" s="1414"/>
      <c r="AH951" s="1414"/>
      <c r="AI951" s="1414"/>
      <c r="AJ951" s="1414"/>
      <c r="AK951" s="1414"/>
      <c r="AL951" s="1414"/>
      <c r="AM951" s="1414"/>
      <c r="AN951" s="1414"/>
      <c r="AO951" s="1414"/>
      <c r="AP951" s="1414"/>
      <c r="AQ951" s="1414"/>
      <c r="AR951" s="1414"/>
      <c r="AS951" s="1414"/>
      <c r="AT951" s="1414"/>
      <c r="AU951" s="1414"/>
      <c r="AV951" s="1414"/>
      <c r="AW951" s="1414"/>
      <c r="AX951" s="1414"/>
      <c r="AY951" s="1399"/>
      <c r="AZ951" s="1399"/>
      <c r="BA951" s="1399"/>
      <c r="BB951" s="1399"/>
      <c r="BC951" s="1399"/>
      <c r="BD951" s="1399"/>
      <c r="BE951" s="1414"/>
      <c r="BF951" s="1399"/>
      <c r="BG951" s="1399"/>
      <c r="BH951" s="1399"/>
      <c r="BI951" s="1399"/>
      <c r="BJ951" s="1399"/>
      <c r="BK951" s="1399"/>
      <c r="BL951" s="1399"/>
      <c r="BM951" s="1399"/>
      <c r="BN951" s="1399"/>
      <c r="BO951" s="1399"/>
      <c r="BP951" s="1399"/>
      <c r="BQ951" s="1399"/>
      <c r="BR951" s="1399"/>
      <c r="BS951" s="1399"/>
      <c r="BT951" s="1399"/>
      <c r="BU951" s="1399"/>
      <c r="BV951" s="1399"/>
      <c r="BW951" s="1399"/>
      <c r="BX951" s="1399"/>
      <c r="BY951" s="1399"/>
      <c r="BZ951" s="1399"/>
      <c r="CA951" s="1399"/>
      <c r="CB951" s="1399"/>
      <c r="CC951" s="1399"/>
      <c r="CD951" s="1399"/>
      <c r="CE951" s="1399"/>
      <c r="CF951" s="1399"/>
      <c r="CG951" s="1399"/>
      <c r="CH951" s="1399"/>
      <c r="CI951" s="1399"/>
      <c r="CJ951" s="1399"/>
      <c r="CK951" s="1399"/>
      <c r="CL951" s="1399"/>
      <c r="CM951" s="1399"/>
      <c r="CN951" s="1399"/>
      <c r="CO951" s="1399"/>
      <c r="CP951" s="1399"/>
      <c r="CQ951" s="1399"/>
      <c r="CR951" s="1399"/>
      <c r="CS951" s="1399"/>
      <c r="CT951" s="1399"/>
      <c r="CU951" s="1399"/>
      <c r="CV951" s="1399"/>
      <c r="CW951" s="1399"/>
      <c r="CX951" s="1399"/>
      <c r="CY951" s="1399"/>
      <c r="CZ951" s="1399"/>
      <c r="DA951" s="1399"/>
      <c r="DB951" s="1399"/>
      <c r="DC951" s="1399"/>
      <c r="DD951" s="1399"/>
      <c r="DE951" s="1399"/>
      <c r="DF951" s="1399"/>
      <c r="DG951" s="1399"/>
      <c r="DH951" s="1399"/>
      <c r="DI951" s="1399"/>
      <c r="DJ951" s="1399"/>
      <c r="DK951" s="1399"/>
      <c r="DL951" s="1399"/>
      <c r="DM951" s="1399"/>
      <c r="DN951" s="1399"/>
      <c r="DO951" s="1399"/>
      <c r="DP951" s="1399"/>
      <c r="DQ951" s="1399"/>
      <c r="DR951" s="1399"/>
      <c r="DS951" s="1399"/>
      <c r="DT951" s="1399"/>
      <c r="DU951" s="1399"/>
    </row>
    <row r="952" spans="1:125">
      <c r="A952" s="1414"/>
      <c r="B952" s="1414"/>
      <c r="C952" s="1414"/>
      <c r="D952" s="1414"/>
      <c r="E952" s="1414"/>
      <c r="F952" s="1414"/>
      <c r="G952" s="1414"/>
      <c r="H952" s="1414"/>
      <c r="I952" s="1414"/>
      <c r="J952" s="1414"/>
      <c r="K952" s="1414"/>
      <c r="L952" s="1414"/>
      <c r="M952" s="1414"/>
      <c r="N952" s="1414"/>
      <c r="O952" s="1414"/>
      <c r="P952" s="1414"/>
      <c r="Q952" s="1414"/>
      <c r="R952" s="1414"/>
      <c r="S952" s="1414"/>
      <c r="T952" s="1414"/>
      <c r="U952" s="1414"/>
      <c r="V952" s="1414"/>
      <c r="W952" s="1414"/>
      <c r="X952" s="1414"/>
      <c r="Y952" s="1414"/>
      <c r="Z952" s="1414"/>
      <c r="AA952" s="1414"/>
      <c r="AB952" s="1414"/>
      <c r="AC952" s="1414"/>
      <c r="AD952" s="1414"/>
      <c r="AE952" s="1414"/>
      <c r="AF952" s="1414"/>
      <c r="AG952" s="1414"/>
      <c r="AH952" s="1414"/>
      <c r="AI952" s="1414"/>
      <c r="AJ952" s="1414"/>
      <c r="AK952" s="1414"/>
      <c r="AL952" s="1414"/>
      <c r="AM952" s="1414"/>
      <c r="AN952" s="1414"/>
      <c r="AO952" s="1414"/>
      <c r="AP952" s="1414"/>
      <c r="AQ952" s="1414"/>
      <c r="AR952" s="1414"/>
      <c r="AS952" s="1414"/>
      <c r="AT952" s="1414"/>
      <c r="AU952" s="1414"/>
      <c r="AV952" s="1414"/>
      <c r="AW952" s="1414"/>
      <c r="AX952" s="1414"/>
      <c r="AY952" s="1399"/>
      <c r="AZ952" s="1399"/>
      <c r="BA952" s="1399"/>
      <c r="BB952" s="1399"/>
      <c r="BC952" s="1399"/>
      <c r="BD952" s="1399"/>
      <c r="BE952" s="1414"/>
      <c r="BF952" s="1399"/>
      <c r="BG952" s="1399"/>
      <c r="BH952" s="1399"/>
      <c r="BI952" s="1399"/>
      <c r="BJ952" s="1399"/>
      <c r="BK952" s="1399"/>
      <c r="BL952" s="1399"/>
      <c r="BM952" s="1399"/>
      <c r="BN952" s="1399"/>
      <c r="BO952" s="1399"/>
      <c r="BP952" s="1399"/>
      <c r="BQ952" s="1399"/>
      <c r="BR952" s="1399"/>
      <c r="BS952" s="1399"/>
      <c r="BT952" s="1399"/>
      <c r="BU952" s="1399"/>
      <c r="BV952" s="1399"/>
      <c r="BW952" s="1399"/>
      <c r="BX952" s="1399"/>
      <c r="BY952" s="1399"/>
      <c r="BZ952" s="1399"/>
      <c r="CA952" s="1399"/>
      <c r="CB952" s="1399"/>
      <c r="CC952" s="1399"/>
      <c r="CD952" s="1399"/>
      <c r="CE952" s="1399"/>
      <c r="CF952" s="1399"/>
      <c r="CG952" s="1399"/>
      <c r="CH952" s="1399"/>
      <c r="CI952" s="1399"/>
      <c r="CJ952" s="1399"/>
      <c r="CK952" s="1399"/>
      <c r="CL952" s="1399"/>
      <c r="CM952" s="1399"/>
      <c r="CN952" s="1399"/>
      <c r="CO952" s="1399"/>
      <c r="CP952" s="1399"/>
      <c r="CQ952" s="1399"/>
      <c r="CR952" s="1399"/>
      <c r="CS952" s="1399"/>
      <c r="CT952" s="1399"/>
      <c r="CU952" s="1399"/>
      <c r="CV952" s="1399"/>
      <c r="CW952" s="1399"/>
      <c r="CX952" s="1399"/>
      <c r="CY952" s="1399"/>
      <c r="CZ952" s="1399"/>
      <c r="DA952" s="1399"/>
      <c r="DB952" s="1399"/>
      <c r="DC952" s="1399"/>
      <c r="DD952" s="1399"/>
      <c r="DE952" s="1399"/>
      <c r="DF952" s="1399"/>
      <c r="DG952" s="1399"/>
      <c r="DH952" s="1399"/>
      <c r="DI952" s="1399"/>
      <c r="DJ952" s="1399"/>
      <c r="DK952" s="1399"/>
      <c r="DL952" s="1399"/>
      <c r="DM952" s="1399"/>
      <c r="DN952" s="1399"/>
      <c r="DO952" s="1399"/>
      <c r="DP952" s="1399"/>
      <c r="DQ952" s="1399"/>
      <c r="DR952" s="1399"/>
      <c r="DS952" s="1399"/>
      <c r="DT952" s="1399"/>
      <c r="DU952" s="1399"/>
    </row>
    <row r="953" spans="1:125">
      <c r="A953" s="1414"/>
      <c r="B953" s="1414"/>
      <c r="C953" s="1414"/>
      <c r="D953" s="1414"/>
      <c r="E953" s="1414"/>
      <c r="F953" s="1414"/>
      <c r="G953" s="1414"/>
      <c r="H953" s="1414"/>
      <c r="I953" s="1414"/>
      <c r="J953" s="1414"/>
      <c r="K953" s="1414"/>
      <c r="L953" s="1414"/>
      <c r="M953" s="1414"/>
      <c r="N953" s="1414"/>
      <c r="O953" s="1414"/>
      <c r="P953" s="1414"/>
      <c r="Q953" s="1414"/>
      <c r="R953" s="1414"/>
      <c r="S953" s="1414"/>
      <c r="T953" s="1414"/>
      <c r="U953" s="1414"/>
      <c r="V953" s="1414"/>
      <c r="W953" s="1414"/>
      <c r="X953" s="1414"/>
      <c r="Y953" s="1414"/>
      <c r="Z953" s="1414"/>
      <c r="AA953" s="1414"/>
      <c r="AB953" s="1414"/>
      <c r="AC953" s="1414"/>
      <c r="AD953" s="1414"/>
      <c r="AE953" s="1414"/>
      <c r="AF953" s="1414"/>
      <c r="AG953" s="1414"/>
      <c r="AH953" s="1414"/>
      <c r="AI953" s="1414"/>
      <c r="AJ953" s="1414"/>
      <c r="AK953" s="1414"/>
      <c r="AL953" s="1414"/>
      <c r="AM953" s="1414"/>
      <c r="AN953" s="1414"/>
      <c r="AO953" s="1414"/>
      <c r="AP953" s="1414"/>
      <c r="AQ953" s="1414"/>
      <c r="AR953" s="1414"/>
      <c r="AS953" s="1414"/>
      <c r="AT953" s="1414"/>
      <c r="AU953" s="1414"/>
      <c r="AV953" s="1414"/>
      <c r="AW953" s="1414"/>
      <c r="AX953" s="1414"/>
      <c r="AY953" s="1399"/>
      <c r="AZ953" s="1399"/>
      <c r="BA953" s="1399"/>
      <c r="BB953" s="1399"/>
      <c r="BC953" s="1399"/>
      <c r="BD953" s="1399"/>
      <c r="BE953" s="1414"/>
      <c r="BF953" s="1399"/>
      <c r="BG953" s="1399"/>
      <c r="BH953" s="1399"/>
      <c r="BI953" s="1399"/>
      <c r="BJ953" s="1399"/>
      <c r="BK953" s="1399"/>
      <c r="BL953" s="1399"/>
      <c r="BM953" s="1399"/>
      <c r="BN953" s="1399"/>
      <c r="BO953" s="1399"/>
      <c r="BP953" s="1399"/>
      <c r="BQ953" s="1399"/>
      <c r="BR953" s="1399"/>
      <c r="BS953" s="1399"/>
      <c r="BT953" s="1399"/>
      <c r="BU953" s="1399"/>
      <c r="BV953" s="1399"/>
      <c r="BW953" s="1399"/>
      <c r="BX953" s="1399"/>
      <c r="BY953" s="1399"/>
      <c r="BZ953" s="1399"/>
      <c r="CA953" s="1399"/>
      <c r="CB953" s="1399"/>
      <c r="CC953" s="1399"/>
      <c r="CD953" s="1399"/>
      <c r="CE953" s="1399"/>
      <c r="CF953" s="1399"/>
      <c r="CG953" s="1399"/>
      <c r="CH953" s="1399"/>
      <c r="CI953" s="1399"/>
      <c r="CJ953" s="1399"/>
      <c r="CK953" s="1399"/>
      <c r="CL953" s="1399"/>
      <c r="CM953" s="1399"/>
      <c r="CN953" s="1399"/>
      <c r="CO953" s="1399"/>
      <c r="CP953" s="1399"/>
      <c r="CQ953" s="1399"/>
      <c r="CR953" s="1399"/>
      <c r="CS953" s="1399"/>
      <c r="CT953" s="1399"/>
      <c r="CU953" s="1399"/>
      <c r="CV953" s="1399"/>
      <c r="CW953" s="1399"/>
      <c r="CX953" s="1399"/>
      <c r="CY953" s="1399"/>
      <c r="CZ953" s="1399"/>
      <c r="DA953" s="1399"/>
      <c r="DB953" s="1399"/>
      <c r="DC953" s="1399"/>
      <c r="DD953" s="1399"/>
      <c r="DE953" s="1399"/>
      <c r="DF953" s="1399"/>
      <c r="DG953" s="1399"/>
      <c r="DH953" s="1399"/>
      <c r="DI953" s="1399"/>
      <c r="DJ953" s="1399"/>
      <c r="DK953" s="1399"/>
      <c r="DL953" s="1399"/>
      <c r="DM953" s="1399"/>
      <c r="DN953" s="1399"/>
      <c r="DO953" s="1399"/>
      <c r="DP953" s="1399"/>
      <c r="DQ953" s="1399"/>
      <c r="DR953" s="1399"/>
      <c r="DS953" s="1399"/>
      <c r="DT953" s="1399"/>
      <c r="DU953" s="1399"/>
    </row>
    <row r="954" spans="1:125">
      <c r="A954" s="1414"/>
      <c r="B954" s="1414"/>
      <c r="C954" s="1414"/>
      <c r="D954" s="1414"/>
      <c r="E954" s="1414"/>
      <c r="F954" s="1414"/>
      <c r="G954" s="1414"/>
      <c r="H954" s="1414"/>
      <c r="I954" s="1414"/>
      <c r="J954" s="1414"/>
      <c r="K954" s="1414"/>
      <c r="L954" s="1414"/>
      <c r="M954" s="1414"/>
      <c r="N954" s="1414"/>
      <c r="O954" s="1414"/>
      <c r="P954" s="1414"/>
      <c r="Q954" s="1414"/>
      <c r="R954" s="1414"/>
      <c r="S954" s="1414"/>
      <c r="T954" s="1414"/>
      <c r="U954" s="1414"/>
      <c r="V954" s="1414"/>
      <c r="W954" s="1414"/>
      <c r="X954" s="1414"/>
      <c r="Y954" s="1414"/>
      <c r="Z954" s="1414"/>
      <c r="AA954" s="1414"/>
      <c r="AB954" s="1414"/>
      <c r="AC954" s="1414"/>
      <c r="AD954" s="1414"/>
      <c r="AE954" s="1414"/>
      <c r="AF954" s="1414"/>
      <c r="AG954" s="1414"/>
      <c r="AH954" s="1414"/>
      <c r="AI954" s="1414"/>
      <c r="AJ954" s="1414"/>
      <c r="AK954" s="1414"/>
      <c r="AL954" s="1414"/>
      <c r="AM954" s="1414"/>
      <c r="AN954" s="1414"/>
      <c r="AO954" s="1414"/>
      <c r="AP954" s="1414"/>
      <c r="AQ954" s="1414"/>
      <c r="AR954" s="1414"/>
      <c r="AS954" s="1414"/>
      <c r="AT954" s="1414"/>
      <c r="AU954" s="1414"/>
      <c r="AV954" s="1414"/>
      <c r="AW954" s="1414"/>
      <c r="AX954" s="1414"/>
      <c r="AY954" s="1399"/>
      <c r="AZ954" s="1399"/>
      <c r="BA954" s="1399"/>
      <c r="BB954" s="1399"/>
      <c r="BC954" s="1399"/>
      <c r="BD954" s="1399"/>
      <c r="BE954" s="1414"/>
      <c r="BF954" s="1399"/>
      <c r="BG954" s="1399"/>
      <c r="BH954" s="1399"/>
      <c r="BI954" s="1399"/>
      <c r="BJ954" s="1399"/>
      <c r="BK954" s="1399"/>
      <c r="BL954" s="1399"/>
      <c r="BM954" s="1399"/>
      <c r="BN954" s="1399"/>
      <c r="BO954" s="1399"/>
      <c r="BP954" s="1399"/>
      <c r="BQ954" s="1399"/>
      <c r="BR954" s="1399"/>
      <c r="BS954" s="1399"/>
      <c r="BT954" s="1399"/>
      <c r="BU954" s="1399"/>
      <c r="BV954" s="1399"/>
      <c r="BW954" s="1399"/>
      <c r="BX954" s="1399"/>
      <c r="BY954" s="1399"/>
      <c r="BZ954" s="1399"/>
      <c r="CA954" s="1399"/>
      <c r="CB954" s="1399"/>
      <c r="CC954" s="1399"/>
      <c r="CD954" s="1399"/>
      <c r="CE954" s="1399"/>
      <c r="CF954" s="1399"/>
      <c r="CG954" s="1399"/>
      <c r="CH954" s="1399"/>
      <c r="CI954" s="1399"/>
      <c r="CJ954" s="1399"/>
      <c r="CK954" s="1399"/>
      <c r="CL954" s="1399"/>
      <c r="CM954" s="1399"/>
      <c r="CN954" s="1399"/>
      <c r="CO954" s="1399"/>
      <c r="CP954" s="1399"/>
      <c r="CQ954" s="1399"/>
      <c r="CR954" s="1399"/>
      <c r="CS954" s="1399"/>
      <c r="CT954" s="1399"/>
      <c r="CU954" s="1399"/>
      <c r="CV954" s="1399"/>
      <c r="CW954" s="1399"/>
      <c r="CX954" s="1399"/>
      <c r="CY954" s="1399"/>
      <c r="CZ954" s="1399"/>
      <c r="DA954" s="1399"/>
      <c r="DB954" s="1399"/>
      <c r="DC954" s="1399"/>
      <c r="DD954" s="1399"/>
      <c r="DE954" s="1399"/>
      <c r="DF954" s="1399"/>
      <c r="DG954" s="1399"/>
      <c r="DH954" s="1399"/>
      <c r="DI954" s="1399"/>
      <c r="DJ954" s="1399"/>
      <c r="DK954" s="1399"/>
      <c r="DL954" s="1399"/>
      <c r="DM954" s="1399"/>
      <c r="DN954" s="1399"/>
      <c r="DO954" s="1399"/>
      <c r="DP954" s="1399"/>
      <c r="DQ954" s="1399"/>
      <c r="DR954" s="1399"/>
      <c r="DS954" s="1399"/>
      <c r="DT954" s="1399"/>
      <c r="DU954" s="1399"/>
    </row>
    <row r="955" spans="1:125">
      <c r="A955" s="1414"/>
      <c r="B955" s="1414"/>
      <c r="C955" s="1414"/>
      <c r="D955" s="1414"/>
      <c r="E955" s="1414"/>
      <c r="F955" s="1414"/>
      <c r="G955" s="1414"/>
      <c r="H955" s="1414"/>
      <c r="I955" s="1414"/>
      <c r="J955" s="1414"/>
      <c r="K955" s="1414"/>
      <c r="L955" s="1414"/>
      <c r="M955" s="1414"/>
      <c r="N955" s="1414"/>
      <c r="O955" s="1414"/>
      <c r="P955" s="1414"/>
      <c r="Q955" s="1414"/>
      <c r="R955" s="1414"/>
      <c r="S955" s="1414"/>
      <c r="T955" s="1414"/>
      <c r="U955" s="1414"/>
      <c r="V955" s="1414"/>
      <c r="W955" s="1414"/>
      <c r="X955" s="1414"/>
      <c r="Y955" s="1414"/>
      <c r="Z955" s="1414"/>
      <c r="AA955" s="1414"/>
      <c r="AB955" s="1414"/>
      <c r="AC955" s="1414"/>
      <c r="AD955" s="1414"/>
      <c r="AE955" s="1414"/>
      <c r="AF955" s="1414"/>
      <c r="AG955" s="1414"/>
      <c r="AH955" s="1414"/>
      <c r="AI955" s="1414"/>
      <c r="AJ955" s="1414"/>
      <c r="AK955" s="1414"/>
      <c r="AL955" s="1414"/>
      <c r="AM955" s="1414"/>
      <c r="AN955" s="1414"/>
      <c r="AO955" s="1414"/>
      <c r="AP955" s="1414"/>
      <c r="AQ955" s="1414"/>
      <c r="AR955" s="1414"/>
      <c r="AS955" s="1414"/>
      <c r="AT955" s="1414"/>
      <c r="AU955" s="1414"/>
      <c r="AV955" s="1414"/>
      <c r="AW955" s="1414"/>
      <c r="AX955" s="1414"/>
      <c r="AY955" s="1399"/>
      <c r="AZ955" s="1399"/>
      <c r="BA955" s="1399"/>
      <c r="BB955" s="1399"/>
      <c r="BC955" s="1399"/>
      <c r="BD955" s="1399"/>
      <c r="BE955" s="1414"/>
      <c r="BF955" s="1399"/>
      <c r="BG955" s="1399"/>
      <c r="BH955" s="1399"/>
      <c r="BI955" s="1399"/>
      <c r="BJ955" s="1399"/>
      <c r="BK955" s="1399"/>
      <c r="BL955" s="1399"/>
      <c r="BM955" s="1399"/>
      <c r="BN955" s="1399"/>
      <c r="BO955" s="1399"/>
      <c r="BP955" s="1399"/>
      <c r="BQ955" s="1399"/>
      <c r="BR955" s="1399"/>
      <c r="BS955" s="1399"/>
      <c r="BT955" s="1399"/>
      <c r="BU955" s="1399"/>
      <c r="BV955" s="1399"/>
      <c r="BW955" s="1399"/>
      <c r="BX955" s="1399"/>
      <c r="BY955" s="1399"/>
      <c r="BZ955" s="1399"/>
      <c r="CA955" s="1399"/>
      <c r="CB955" s="1399"/>
      <c r="CC955" s="1399"/>
      <c r="CD955" s="1399"/>
      <c r="CE955" s="1399"/>
      <c r="CF955" s="1399"/>
      <c r="CG955" s="1399"/>
      <c r="CH955" s="1399"/>
      <c r="CI955" s="1399"/>
      <c r="CJ955" s="1399"/>
      <c r="CK955" s="1399"/>
      <c r="CL955" s="1399"/>
      <c r="CM955" s="1399"/>
      <c r="CN955" s="1399"/>
      <c r="CO955" s="1399"/>
      <c r="CP955" s="1399"/>
      <c r="CQ955" s="1399"/>
      <c r="CR955" s="1399"/>
      <c r="CS955" s="1399"/>
      <c r="CT955" s="1399"/>
      <c r="CU955" s="1399"/>
      <c r="CV955" s="1399"/>
      <c r="CW955" s="1399"/>
      <c r="CX955" s="1399"/>
      <c r="CY955" s="1399"/>
      <c r="CZ955" s="1399"/>
      <c r="DA955" s="1399"/>
      <c r="DB955" s="1399"/>
      <c r="DC955" s="1399"/>
      <c r="DD955" s="1399"/>
      <c r="DE955" s="1399"/>
      <c r="DF955" s="1399"/>
      <c r="DG955" s="1399"/>
      <c r="DH955" s="1399"/>
      <c r="DI955" s="1399"/>
      <c r="DJ955" s="1399"/>
      <c r="DK955" s="1399"/>
      <c r="DL955" s="1399"/>
      <c r="DM955" s="1399"/>
      <c r="DN955" s="1399"/>
      <c r="DO955" s="1399"/>
      <c r="DP955" s="1399"/>
      <c r="DQ955" s="1399"/>
      <c r="DR955" s="1399"/>
      <c r="DS955" s="1399"/>
      <c r="DT955" s="1399"/>
      <c r="DU955" s="1399"/>
    </row>
    <row r="956" spans="1:125">
      <c r="A956" s="1414"/>
      <c r="B956" s="1414"/>
      <c r="C956" s="1414"/>
      <c r="D956" s="1414"/>
      <c r="E956" s="1414"/>
      <c r="F956" s="1414"/>
      <c r="G956" s="1414"/>
      <c r="H956" s="1414"/>
      <c r="I956" s="1414"/>
      <c r="J956" s="1414"/>
      <c r="K956" s="1414"/>
      <c r="L956" s="1414"/>
      <c r="M956" s="1414"/>
      <c r="N956" s="1414"/>
      <c r="O956" s="1414"/>
      <c r="P956" s="1414"/>
      <c r="Q956" s="1414"/>
      <c r="R956" s="1414"/>
      <c r="S956" s="1414"/>
      <c r="T956" s="1414"/>
      <c r="U956" s="1414"/>
      <c r="V956" s="1414"/>
      <c r="W956" s="1414"/>
      <c r="X956" s="1414"/>
      <c r="Y956" s="1414"/>
      <c r="Z956" s="1414"/>
      <c r="AA956" s="1414"/>
      <c r="AB956" s="1414"/>
      <c r="AC956" s="1414"/>
      <c r="AD956" s="1414"/>
      <c r="AE956" s="1414"/>
      <c r="AF956" s="1414"/>
      <c r="AG956" s="1414"/>
      <c r="AH956" s="1414"/>
      <c r="AI956" s="1414"/>
      <c r="AJ956" s="1414"/>
      <c r="AK956" s="1414"/>
      <c r="AL956" s="1414"/>
      <c r="AM956" s="1414"/>
      <c r="AN956" s="1414"/>
      <c r="AO956" s="1414"/>
      <c r="AP956" s="1414"/>
      <c r="AQ956" s="1414"/>
      <c r="AR956" s="1414"/>
      <c r="AS956" s="1414"/>
      <c r="AT956" s="1414"/>
      <c r="AU956" s="1414"/>
      <c r="AV956" s="1414"/>
      <c r="AW956" s="1414"/>
      <c r="AX956" s="1414"/>
      <c r="AY956" s="1399"/>
      <c r="AZ956" s="1399"/>
      <c r="BA956" s="1399"/>
      <c r="BB956" s="1399"/>
      <c r="BC956" s="1399"/>
      <c r="BD956" s="1399"/>
      <c r="BE956" s="1414"/>
      <c r="BF956" s="1399"/>
      <c r="BG956" s="1399"/>
      <c r="BH956" s="1399"/>
      <c r="BI956" s="1399"/>
      <c r="BJ956" s="1399"/>
      <c r="BK956" s="1399"/>
      <c r="BL956" s="1399"/>
      <c r="BM956" s="1399"/>
      <c r="BN956" s="1399"/>
      <c r="BO956" s="1399"/>
      <c r="BP956" s="1399"/>
      <c r="BQ956" s="1399"/>
      <c r="BR956" s="1399"/>
      <c r="BS956" s="1399"/>
      <c r="BT956" s="1399"/>
      <c r="BU956" s="1399"/>
      <c r="BV956" s="1399"/>
      <c r="BW956" s="1399"/>
      <c r="BX956" s="1399"/>
      <c r="BY956" s="1399"/>
      <c r="BZ956" s="1399"/>
      <c r="CA956" s="1399"/>
      <c r="CB956" s="1399"/>
      <c r="CC956" s="1399"/>
      <c r="CD956" s="1399"/>
      <c r="CE956" s="1399"/>
      <c r="CF956" s="1399"/>
      <c r="CG956" s="1399"/>
      <c r="CH956" s="1399"/>
      <c r="CI956" s="1399"/>
      <c r="CJ956" s="1399"/>
      <c r="CK956" s="1399"/>
      <c r="CL956" s="1399"/>
      <c r="CM956" s="1399"/>
      <c r="CN956" s="1399"/>
      <c r="CO956" s="1399"/>
      <c r="CP956" s="1399"/>
      <c r="CQ956" s="1399"/>
      <c r="CR956" s="1399"/>
      <c r="CS956" s="1399"/>
      <c r="CT956" s="1399"/>
      <c r="CU956" s="1399"/>
      <c r="CV956" s="1399"/>
      <c r="CW956" s="1399"/>
      <c r="CX956" s="1399"/>
      <c r="CY956" s="1399"/>
      <c r="CZ956" s="1399"/>
      <c r="DA956" s="1399"/>
      <c r="DB956" s="1399"/>
      <c r="DC956" s="1399"/>
      <c r="DD956" s="1399"/>
      <c r="DE956" s="1399"/>
      <c r="DF956" s="1399"/>
      <c r="DG956" s="1399"/>
      <c r="DH956" s="1399"/>
      <c r="DI956" s="1399"/>
      <c r="DJ956" s="1399"/>
      <c r="DK956" s="1399"/>
      <c r="DL956" s="1399"/>
      <c r="DM956" s="1399"/>
      <c r="DN956" s="1399"/>
      <c r="DO956" s="1399"/>
      <c r="DP956" s="1399"/>
      <c r="DQ956" s="1399"/>
      <c r="DR956" s="1399"/>
      <c r="DS956" s="1399"/>
      <c r="DT956" s="1399"/>
      <c r="DU956" s="1399"/>
    </row>
    <row r="957" spans="1:125">
      <c r="A957" s="1414"/>
      <c r="B957" s="1414"/>
      <c r="C957" s="1414"/>
      <c r="D957" s="1414"/>
      <c r="E957" s="1414"/>
      <c r="F957" s="1414"/>
      <c r="G957" s="1414"/>
      <c r="H957" s="1414"/>
      <c r="I957" s="1414"/>
      <c r="J957" s="1414"/>
      <c r="K957" s="1414"/>
      <c r="L957" s="1414"/>
      <c r="M957" s="1414"/>
      <c r="N957" s="1414"/>
      <c r="O957" s="1414"/>
      <c r="P957" s="1414"/>
      <c r="Q957" s="1414"/>
      <c r="R957" s="1414"/>
      <c r="S957" s="1414"/>
      <c r="T957" s="1414"/>
      <c r="U957" s="1414"/>
      <c r="V957" s="1414"/>
      <c r="W957" s="1414"/>
      <c r="X957" s="1414"/>
      <c r="Y957" s="1414"/>
      <c r="Z957" s="1414"/>
      <c r="AA957" s="1414"/>
      <c r="AB957" s="1414"/>
      <c r="AC957" s="1414"/>
      <c r="AD957" s="1414"/>
      <c r="AE957" s="1414"/>
      <c r="AF957" s="1414"/>
      <c r="AG957" s="1414"/>
      <c r="AH957" s="1414"/>
      <c r="AI957" s="1414"/>
      <c r="AJ957" s="1414"/>
      <c r="AK957" s="1414"/>
      <c r="AL957" s="1414"/>
      <c r="AM957" s="1414"/>
      <c r="AN957" s="1414"/>
      <c r="AO957" s="1414"/>
      <c r="AP957" s="1414"/>
      <c r="AQ957" s="1414"/>
      <c r="AR957" s="1414"/>
      <c r="AS957" s="1414"/>
      <c r="AT957" s="1414"/>
      <c r="AU957" s="1414"/>
      <c r="AV957" s="1414"/>
      <c r="AW957" s="1414"/>
      <c r="AX957" s="1414"/>
      <c r="AY957" s="1399"/>
      <c r="AZ957" s="1399"/>
      <c r="BA957" s="1399"/>
      <c r="BB957" s="1399"/>
      <c r="BC957" s="1399"/>
      <c r="BD957" s="1399"/>
      <c r="BE957" s="1414"/>
      <c r="BF957" s="1399"/>
      <c r="BG957" s="1399"/>
      <c r="BH957" s="1399"/>
      <c r="BI957" s="1399"/>
      <c r="BJ957" s="1399"/>
      <c r="BK957" s="1399"/>
      <c r="BL957" s="1399"/>
      <c r="BM957" s="1399"/>
      <c r="BN957" s="1399"/>
      <c r="BO957" s="1399"/>
      <c r="BP957" s="1399"/>
      <c r="BQ957" s="1399"/>
      <c r="BR957" s="1399"/>
      <c r="BS957" s="1399"/>
      <c r="BT957" s="1399"/>
      <c r="BU957" s="1399"/>
      <c r="BV957" s="1399"/>
      <c r="BW957" s="1399"/>
      <c r="BX957" s="1399"/>
      <c r="BY957" s="1399"/>
      <c r="BZ957" s="1399"/>
      <c r="CA957" s="1399"/>
      <c r="CB957" s="1399"/>
      <c r="CC957" s="1399"/>
      <c r="CD957" s="1399"/>
      <c r="CE957" s="1399"/>
      <c r="CF957" s="1399"/>
      <c r="CG957" s="1399"/>
      <c r="CH957" s="1399"/>
      <c r="CI957" s="1399"/>
      <c r="CJ957" s="1399"/>
      <c r="CK957" s="1399"/>
      <c r="CL957" s="1399"/>
      <c r="CM957" s="1399"/>
      <c r="CN957" s="1399"/>
      <c r="CO957" s="1399"/>
      <c r="CP957" s="1399"/>
      <c r="CQ957" s="1399"/>
      <c r="CR957" s="1399"/>
      <c r="CS957" s="1399"/>
      <c r="CT957" s="1399"/>
      <c r="CU957" s="1399"/>
      <c r="CV957" s="1399"/>
      <c r="CW957" s="1399"/>
      <c r="CX957" s="1399"/>
      <c r="CY957" s="1399"/>
      <c r="CZ957" s="1399"/>
      <c r="DA957" s="1399"/>
      <c r="DB957" s="1399"/>
      <c r="DC957" s="1399"/>
      <c r="DD957" s="1399"/>
      <c r="DE957" s="1399"/>
      <c r="DF957" s="1399"/>
      <c r="DG957" s="1399"/>
      <c r="DH957" s="1399"/>
      <c r="DI957" s="1399"/>
      <c r="DJ957" s="1399"/>
      <c r="DK957" s="1399"/>
      <c r="DL957" s="1399"/>
      <c r="DM957" s="1399"/>
      <c r="DN957" s="1399"/>
      <c r="DO957" s="1399"/>
      <c r="DP957" s="1399"/>
      <c r="DQ957" s="1399"/>
      <c r="DR957" s="1399"/>
      <c r="DS957" s="1399"/>
      <c r="DT957" s="1399"/>
      <c r="DU957" s="1399"/>
    </row>
    <row r="958" spans="1:125">
      <c r="A958" s="1414"/>
      <c r="B958" s="1414"/>
      <c r="C958" s="1414"/>
      <c r="D958" s="1414"/>
      <c r="E958" s="1414"/>
      <c r="F958" s="1414"/>
      <c r="G958" s="1414"/>
      <c r="H958" s="1414"/>
      <c r="I958" s="1414"/>
      <c r="J958" s="1414"/>
      <c r="K958" s="1414"/>
      <c r="L958" s="1414"/>
      <c r="M958" s="1414"/>
      <c r="N958" s="1414"/>
      <c r="O958" s="1414"/>
      <c r="P958" s="1414"/>
      <c r="Q958" s="1414"/>
      <c r="R958" s="1414"/>
      <c r="S958" s="1414"/>
      <c r="T958" s="1414"/>
      <c r="U958" s="1414"/>
      <c r="V958" s="1414"/>
      <c r="W958" s="1414"/>
      <c r="X958" s="1414"/>
      <c r="Y958" s="1414"/>
      <c r="Z958" s="1414"/>
      <c r="AA958" s="1414"/>
      <c r="AB958" s="1414"/>
      <c r="AC958" s="1414"/>
      <c r="AD958" s="1414"/>
      <c r="AE958" s="1414"/>
      <c r="AF958" s="1414"/>
      <c r="AG958" s="1414"/>
      <c r="AH958" s="1414"/>
      <c r="AI958" s="1414"/>
      <c r="AJ958" s="1414"/>
      <c r="AK958" s="1414"/>
      <c r="AL958" s="1414"/>
      <c r="AM958" s="1414"/>
      <c r="AN958" s="1414"/>
      <c r="AO958" s="1414"/>
      <c r="AP958" s="1414"/>
      <c r="AQ958" s="1414"/>
      <c r="AR958" s="1414"/>
      <c r="AS958" s="1414"/>
      <c r="AT958" s="1414"/>
      <c r="AU958" s="1414"/>
      <c r="AV958" s="1414"/>
      <c r="AW958" s="1414"/>
      <c r="AX958" s="1414"/>
      <c r="AY958" s="1399"/>
      <c r="AZ958" s="1399"/>
      <c r="BA958" s="1399"/>
      <c r="BB958" s="1399"/>
      <c r="BC958" s="1399"/>
      <c r="BD958" s="1399"/>
      <c r="BE958" s="1414"/>
      <c r="BF958" s="1399"/>
      <c r="BG958" s="1399"/>
      <c r="BH958" s="1399"/>
      <c r="BI958" s="1399"/>
      <c r="BJ958" s="1399"/>
      <c r="BK958" s="1399"/>
      <c r="BL958" s="1399"/>
      <c r="BM958" s="1399"/>
      <c r="BN958" s="1399"/>
      <c r="BO958" s="1399"/>
      <c r="BP958" s="1399"/>
      <c r="BQ958" s="1399"/>
      <c r="BR958" s="1399"/>
      <c r="BS958" s="1399"/>
      <c r="BT958" s="1399"/>
      <c r="BU958" s="1399"/>
      <c r="BV958" s="1399"/>
      <c r="BW958" s="1399"/>
      <c r="BX958" s="1399"/>
      <c r="BY958" s="1399"/>
      <c r="BZ958" s="1399"/>
      <c r="CA958" s="1399"/>
      <c r="CB958" s="1399"/>
      <c r="CC958" s="1399"/>
      <c r="CD958" s="1399"/>
      <c r="CE958" s="1399"/>
      <c r="CF958" s="1399"/>
      <c r="CG958" s="1399"/>
      <c r="CH958" s="1399"/>
      <c r="CI958" s="1399"/>
      <c r="CJ958" s="1399"/>
      <c r="CK958" s="1399"/>
      <c r="CL958" s="1399"/>
      <c r="CM958" s="1399"/>
      <c r="CN958" s="1399"/>
      <c r="CO958" s="1399"/>
      <c r="CP958" s="1399"/>
      <c r="CQ958" s="1399"/>
      <c r="CR958" s="1399"/>
      <c r="CS958" s="1399"/>
      <c r="CT958" s="1399"/>
      <c r="CU958" s="1399"/>
      <c r="CV958" s="1399"/>
      <c r="CW958" s="1399"/>
      <c r="CX958" s="1399"/>
      <c r="CY958" s="1399"/>
      <c r="CZ958" s="1399"/>
      <c r="DA958" s="1399"/>
      <c r="DB958" s="1399"/>
      <c r="DC958" s="1399"/>
      <c r="DD958" s="1399"/>
      <c r="DE958" s="1399"/>
      <c r="DF958" s="1399"/>
      <c r="DG958" s="1399"/>
      <c r="DH958" s="1399"/>
      <c r="DI958" s="1399"/>
      <c r="DJ958" s="1399"/>
      <c r="DK958" s="1399"/>
      <c r="DL958" s="1399"/>
      <c r="DM958" s="1399"/>
      <c r="DN958" s="1399"/>
      <c r="DO958" s="1399"/>
      <c r="DP958" s="1399"/>
      <c r="DQ958" s="1399"/>
      <c r="DR958" s="1399"/>
      <c r="DS958" s="1399"/>
      <c r="DT958" s="1399"/>
      <c r="DU958" s="1399"/>
    </row>
    <row r="959" spans="1:125">
      <c r="A959" s="1414"/>
      <c r="B959" s="1414"/>
      <c r="C959" s="1414"/>
      <c r="D959" s="1414"/>
      <c r="E959" s="1414"/>
      <c r="F959" s="1414"/>
      <c r="G959" s="1414"/>
      <c r="H959" s="1414"/>
      <c r="I959" s="1414"/>
      <c r="J959" s="1414"/>
      <c r="K959" s="1414"/>
      <c r="L959" s="1414"/>
      <c r="M959" s="1414"/>
      <c r="N959" s="1414"/>
      <c r="O959" s="1414"/>
      <c r="P959" s="1414"/>
      <c r="Q959" s="1414"/>
      <c r="R959" s="1414"/>
      <c r="S959" s="1414"/>
      <c r="T959" s="1414"/>
      <c r="U959" s="1414"/>
      <c r="V959" s="1414"/>
      <c r="W959" s="1414"/>
      <c r="X959" s="1414"/>
      <c r="Y959" s="1414"/>
      <c r="Z959" s="1414"/>
      <c r="AA959" s="1414"/>
      <c r="AB959" s="1414"/>
      <c r="AC959" s="1414"/>
      <c r="AD959" s="1414"/>
      <c r="AE959" s="1414"/>
      <c r="AF959" s="1414"/>
      <c r="AG959" s="1414"/>
      <c r="AH959" s="1414"/>
      <c r="AI959" s="1414"/>
      <c r="AJ959" s="1414"/>
      <c r="AK959" s="1414"/>
      <c r="AL959" s="1414"/>
      <c r="AM959" s="1414"/>
      <c r="AN959" s="1414"/>
      <c r="AO959" s="1414"/>
      <c r="AP959" s="1414"/>
      <c r="AQ959" s="1414"/>
      <c r="AR959" s="1414"/>
      <c r="AS959" s="1414"/>
      <c r="AT959" s="1414"/>
      <c r="AU959" s="1414"/>
      <c r="AV959" s="1414"/>
      <c r="AW959" s="1414"/>
      <c r="AX959" s="1414"/>
      <c r="AY959" s="1399"/>
      <c r="AZ959" s="1399"/>
      <c r="BA959" s="1399"/>
      <c r="BB959" s="1399"/>
      <c r="BC959" s="1399"/>
      <c r="BD959" s="1399"/>
      <c r="BE959" s="1414"/>
      <c r="BF959" s="1399"/>
      <c r="BG959" s="1399"/>
      <c r="BH959" s="1399"/>
      <c r="BI959" s="1399"/>
      <c r="BJ959" s="1399"/>
      <c r="BK959" s="1399"/>
      <c r="BL959" s="1399"/>
      <c r="BM959" s="1399"/>
      <c r="BN959" s="1399"/>
      <c r="BO959" s="1399"/>
      <c r="BP959" s="1399"/>
      <c r="BQ959" s="1399"/>
      <c r="BR959" s="1399"/>
      <c r="BS959" s="1399"/>
      <c r="BT959" s="1399"/>
      <c r="BU959" s="1399"/>
      <c r="BV959" s="1399"/>
      <c r="BW959" s="1399"/>
      <c r="BX959" s="1399"/>
      <c r="BY959" s="1399"/>
      <c r="BZ959" s="1399"/>
      <c r="CA959" s="1399"/>
      <c r="CB959" s="1399"/>
      <c r="CC959" s="1399"/>
      <c r="CD959" s="1399"/>
      <c r="CE959" s="1399"/>
      <c r="CF959" s="1399"/>
      <c r="CG959" s="1399"/>
      <c r="CH959" s="1399"/>
      <c r="CI959" s="1399"/>
      <c r="CJ959" s="1399"/>
      <c r="CK959" s="1399"/>
      <c r="CL959" s="1399"/>
      <c r="CM959" s="1399"/>
      <c r="CN959" s="1399"/>
      <c r="CO959" s="1399"/>
      <c r="CP959" s="1399"/>
      <c r="CQ959" s="1399"/>
      <c r="CR959" s="1399"/>
      <c r="CS959" s="1399"/>
      <c r="CT959" s="1399"/>
      <c r="CU959" s="1399"/>
      <c r="CV959" s="1399"/>
      <c r="CW959" s="1399"/>
      <c r="CX959" s="1399"/>
      <c r="CY959" s="1399"/>
      <c r="CZ959" s="1399"/>
      <c r="DA959" s="1399"/>
      <c r="DB959" s="1399"/>
      <c r="DC959" s="1399"/>
      <c r="DD959" s="1399"/>
      <c r="DE959" s="1399"/>
      <c r="DF959" s="1399"/>
      <c r="DG959" s="1399"/>
      <c r="DH959" s="1399"/>
      <c r="DI959" s="1399"/>
      <c r="DJ959" s="1399"/>
      <c r="DK959" s="1399"/>
      <c r="DL959" s="1399"/>
      <c r="DM959" s="1399"/>
      <c r="DN959" s="1399"/>
      <c r="DO959" s="1399"/>
      <c r="DP959" s="1399"/>
      <c r="DQ959" s="1399"/>
      <c r="DR959" s="1399"/>
      <c r="DS959" s="1399"/>
      <c r="DT959" s="1399"/>
      <c r="DU959" s="1399"/>
    </row>
    <row r="960" spans="1:125">
      <c r="A960" s="1414"/>
      <c r="B960" s="1414"/>
      <c r="C960" s="1414"/>
      <c r="D960" s="1414"/>
      <c r="E960" s="1414"/>
      <c r="F960" s="1414"/>
      <c r="G960" s="1414"/>
      <c r="H960" s="1414"/>
      <c r="I960" s="1414"/>
      <c r="J960" s="1414"/>
      <c r="K960" s="1414"/>
      <c r="L960" s="1414"/>
      <c r="M960" s="1414"/>
      <c r="N960" s="1414"/>
      <c r="O960" s="1414"/>
      <c r="P960" s="1414"/>
      <c r="Q960" s="1414"/>
      <c r="R960" s="1414"/>
      <c r="S960" s="1414"/>
      <c r="T960" s="1414"/>
      <c r="U960" s="1414"/>
      <c r="V960" s="1414"/>
      <c r="W960" s="1414"/>
      <c r="X960" s="1414"/>
      <c r="Y960" s="1414"/>
      <c r="Z960" s="1414"/>
      <c r="AA960" s="1414"/>
      <c r="AB960" s="1414"/>
      <c r="AC960" s="1414"/>
      <c r="AD960" s="1414"/>
      <c r="AE960" s="1414"/>
      <c r="AF960" s="1414"/>
      <c r="AG960" s="1414"/>
      <c r="AH960" s="1414"/>
      <c r="AI960" s="1414"/>
      <c r="AJ960" s="1414"/>
      <c r="AK960" s="1414"/>
      <c r="AL960" s="1414"/>
      <c r="AM960" s="1414"/>
      <c r="AN960" s="1414"/>
      <c r="AO960" s="1414"/>
      <c r="AP960" s="1414"/>
      <c r="AQ960" s="1414"/>
      <c r="AR960" s="1414"/>
      <c r="AS960" s="1414"/>
      <c r="AT960" s="1414"/>
      <c r="AU960" s="1414"/>
      <c r="AV960" s="1414"/>
      <c r="AW960" s="1414"/>
      <c r="AX960" s="1414"/>
      <c r="AY960" s="1399"/>
      <c r="AZ960" s="1399"/>
      <c r="BA960" s="1399"/>
      <c r="BB960" s="1399"/>
      <c r="BC960" s="1399"/>
      <c r="BD960" s="1399"/>
      <c r="BE960" s="1414"/>
      <c r="BF960" s="1399"/>
      <c r="BG960" s="1399"/>
      <c r="BH960" s="1399"/>
      <c r="BI960" s="1399"/>
      <c r="BJ960" s="1399"/>
      <c r="BK960" s="1399"/>
      <c r="BL960" s="1399"/>
      <c r="BM960" s="1399"/>
      <c r="BN960" s="1399"/>
      <c r="BO960" s="1399"/>
      <c r="BP960" s="1399"/>
      <c r="BQ960" s="1399"/>
      <c r="BR960" s="1399"/>
      <c r="BS960" s="1399"/>
      <c r="BT960" s="1399"/>
      <c r="BU960" s="1399"/>
      <c r="BV960" s="1399"/>
      <c r="BW960" s="1399"/>
      <c r="BX960" s="1399"/>
      <c r="BY960" s="1399"/>
      <c r="BZ960" s="1399"/>
      <c r="CA960" s="1399"/>
      <c r="CB960" s="1399"/>
      <c r="CC960" s="1399"/>
      <c r="CD960" s="1399"/>
      <c r="CE960" s="1399"/>
      <c r="CF960" s="1399"/>
      <c r="CG960" s="1399"/>
      <c r="CH960" s="1399"/>
      <c r="CI960" s="1399"/>
      <c r="CJ960" s="1399"/>
      <c r="CK960" s="1399"/>
      <c r="CL960" s="1399"/>
      <c r="CM960" s="1399"/>
      <c r="CN960" s="1399"/>
      <c r="CO960" s="1399"/>
      <c r="CP960" s="1399"/>
      <c r="CQ960" s="1399"/>
      <c r="CR960" s="1399"/>
      <c r="CS960" s="1399"/>
      <c r="CT960" s="1399"/>
      <c r="CU960" s="1399"/>
      <c r="CV960" s="1399"/>
      <c r="CW960" s="1399"/>
      <c r="CX960" s="1399"/>
      <c r="CY960" s="1399"/>
      <c r="CZ960" s="1399"/>
      <c r="DA960" s="1399"/>
      <c r="DB960" s="1399"/>
      <c r="DC960" s="1399"/>
      <c r="DD960" s="1399"/>
      <c r="DE960" s="1399"/>
      <c r="DF960" s="1399"/>
      <c r="DG960" s="1399"/>
      <c r="DH960" s="1399"/>
      <c r="DI960" s="1399"/>
      <c r="DJ960" s="1399"/>
      <c r="DK960" s="1399"/>
      <c r="DL960" s="1399"/>
      <c r="DM960" s="1399"/>
      <c r="DN960" s="1399"/>
      <c r="DO960" s="1399"/>
      <c r="DP960" s="1399"/>
      <c r="DQ960" s="1399"/>
      <c r="DR960" s="1399"/>
      <c r="DS960" s="1399"/>
      <c r="DT960" s="1399"/>
      <c r="DU960" s="1399"/>
    </row>
    <row r="961" spans="1:125">
      <c r="A961" s="1414"/>
      <c r="B961" s="1414"/>
      <c r="C961" s="1414"/>
      <c r="D961" s="1414"/>
      <c r="E961" s="1414"/>
      <c r="F961" s="1414"/>
      <c r="G961" s="1414"/>
      <c r="H961" s="1414"/>
      <c r="I961" s="1414"/>
      <c r="J961" s="1414"/>
      <c r="K961" s="1414"/>
      <c r="L961" s="1414"/>
      <c r="M961" s="1414"/>
      <c r="N961" s="1414"/>
      <c r="O961" s="1414"/>
      <c r="P961" s="1414"/>
      <c r="Q961" s="1414"/>
      <c r="R961" s="1414"/>
      <c r="S961" s="1414"/>
      <c r="T961" s="1414"/>
      <c r="U961" s="1414"/>
      <c r="V961" s="1414"/>
      <c r="W961" s="1414"/>
      <c r="X961" s="1414"/>
      <c r="Y961" s="1414"/>
      <c r="Z961" s="1414"/>
      <c r="AA961" s="1414"/>
      <c r="AB961" s="1414"/>
      <c r="AC961" s="1414"/>
      <c r="AD961" s="1414"/>
      <c r="AE961" s="1414"/>
      <c r="AF961" s="1414"/>
      <c r="AG961" s="1414"/>
      <c r="AH961" s="1414"/>
      <c r="AI961" s="1414"/>
      <c r="AJ961" s="1414"/>
      <c r="AK961" s="1414"/>
      <c r="AL961" s="1414"/>
      <c r="AM961" s="1414"/>
      <c r="AN961" s="1414"/>
      <c r="AO961" s="1414"/>
      <c r="AP961" s="1414"/>
      <c r="AQ961" s="1414"/>
      <c r="AR961" s="1414"/>
      <c r="AS961" s="1414"/>
      <c r="AT961" s="1414"/>
      <c r="AU961" s="1414"/>
      <c r="AV961" s="1414"/>
      <c r="AW961" s="1414"/>
      <c r="AX961" s="1414"/>
      <c r="AY961" s="1399"/>
      <c r="AZ961" s="1399"/>
      <c r="BA961" s="1399"/>
      <c r="BB961" s="1399"/>
      <c r="BC961" s="1399"/>
      <c r="BD961" s="1399"/>
      <c r="BE961" s="1414"/>
      <c r="BF961" s="1399"/>
      <c r="BG961" s="1399"/>
      <c r="BH961" s="1399"/>
      <c r="BI961" s="1399"/>
      <c r="BJ961" s="1399"/>
      <c r="BK961" s="1399"/>
      <c r="BL961" s="1399"/>
      <c r="BM961" s="1399"/>
      <c r="BN961" s="1399"/>
      <c r="BO961" s="1399"/>
      <c r="BP961" s="1399"/>
      <c r="BQ961" s="1399"/>
      <c r="BR961" s="1399"/>
      <c r="BS961" s="1399"/>
      <c r="BT961" s="1399"/>
      <c r="BU961" s="1399"/>
      <c r="BV961" s="1399"/>
      <c r="BW961" s="1399"/>
      <c r="BX961" s="1399"/>
      <c r="BY961" s="1399"/>
      <c r="BZ961" s="1399"/>
      <c r="CA961" s="1399"/>
      <c r="CB961" s="1399"/>
      <c r="CC961" s="1399"/>
      <c r="CD961" s="1399"/>
      <c r="CE961" s="1399"/>
      <c r="CF961" s="1399"/>
      <c r="CG961" s="1399"/>
      <c r="CH961" s="1399"/>
      <c r="CI961" s="1399"/>
      <c r="CJ961" s="1399"/>
      <c r="CK961" s="1399"/>
      <c r="CL961" s="1399"/>
      <c r="CM961" s="1399"/>
      <c r="CN961" s="1399"/>
      <c r="CO961" s="1399"/>
      <c r="CP961" s="1399"/>
      <c r="CQ961" s="1399"/>
      <c r="CR961" s="1399"/>
      <c r="CS961" s="1399"/>
      <c r="CT961" s="1399"/>
      <c r="CU961" s="1399"/>
      <c r="CV961" s="1399"/>
      <c r="CW961" s="1399"/>
      <c r="CX961" s="1399"/>
      <c r="CY961" s="1399"/>
      <c r="CZ961" s="1399"/>
      <c r="DA961" s="1399"/>
      <c r="DB961" s="1399"/>
      <c r="DC961" s="1399"/>
      <c r="DD961" s="1399"/>
      <c r="DE961" s="1399"/>
      <c r="DF961" s="1399"/>
      <c r="DG961" s="1399"/>
      <c r="DH961" s="1399"/>
      <c r="DI961" s="1399"/>
      <c r="DJ961" s="1399"/>
      <c r="DK961" s="1399"/>
      <c r="DL961" s="1399"/>
      <c r="DM961" s="1399"/>
      <c r="DN961" s="1399"/>
      <c r="DO961" s="1399"/>
      <c r="DP961" s="1399"/>
      <c r="DQ961" s="1399"/>
      <c r="DR961" s="1399"/>
      <c r="DS961" s="1399"/>
      <c r="DT961" s="1399"/>
      <c r="DU961" s="1399"/>
    </row>
    <row r="962" spans="1:125">
      <c r="A962" s="1414"/>
      <c r="B962" s="1414"/>
      <c r="C962" s="1414"/>
      <c r="D962" s="1414"/>
      <c r="E962" s="1414"/>
      <c r="F962" s="1414"/>
      <c r="G962" s="1414"/>
      <c r="H962" s="1414"/>
      <c r="I962" s="1414"/>
      <c r="J962" s="1414"/>
      <c r="K962" s="1414"/>
      <c r="L962" s="1414"/>
      <c r="M962" s="1414"/>
      <c r="N962" s="1414"/>
      <c r="O962" s="1414"/>
      <c r="P962" s="1414"/>
      <c r="Q962" s="1414"/>
      <c r="R962" s="1414"/>
      <c r="S962" s="1414"/>
      <c r="T962" s="1414"/>
      <c r="U962" s="1414"/>
      <c r="V962" s="1414"/>
      <c r="W962" s="1414"/>
      <c r="X962" s="1414"/>
      <c r="Y962" s="1414"/>
      <c r="Z962" s="1414"/>
      <c r="AA962" s="1414"/>
      <c r="AB962" s="1414"/>
      <c r="AC962" s="1414"/>
      <c r="AD962" s="1414"/>
      <c r="AE962" s="1414"/>
      <c r="AF962" s="1414"/>
      <c r="AG962" s="1414"/>
      <c r="AH962" s="1414"/>
      <c r="AI962" s="1414"/>
      <c r="AJ962" s="1414"/>
      <c r="AK962" s="1414"/>
      <c r="AL962" s="1414"/>
      <c r="AM962" s="1414"/>
      <c r="AN962" s="1414"/>
      <c r="AO962" s="1414"/>
      <c r="AP962" s="1414"/>
      <c r="AQ962" s="1414"/>
      <c r="AR962" s="1414"/>
      <c r="AS962" s="1414"/>
      <c r="AT962" s="1414"/>
      <c r="AU962" s="1414"/>
      <c r="AV962" s="1414"/>
      <c r="AW962" s="1414"/>
      <c r="AX962" s="1414"/>
      <c r="AY962" s="1399"/>
      <c r="AZ962" s="1399"/>
      <c r="BA962" s="1399"/>
      <c r="BB962" s="1399"/>
      <c r="BC962" s="1399"/>
      <c r="BD962" s="1399"/>
      <c r="BE962" s="1414"/>
      <c r="BF962" s="1399"/>
      <c r="BG962" s="1399"/>
      <c r="BH962" s="1399"/>
      <c r="BI962" s="1399"/>
      <c r="BJ962" s="1399"/>
      <c r="BK962" s="1399"/>
      <c r="BL962" s="1399"/>
      <c r="BM962" s="1399"/>
      <c r="BN962" s="1399"/>
      <c r="BO962" s="1399"/>
      <c r="BP962" s="1399"/>
      <c r="BQ962" s="1399"/>
      <c r="BR962" s="1399"/>
      <c r="BS962" s="1399"/>
      <c r="BT962" s="1399"/>
      <c r="BU962" s="1399"/>
      <c r="BV962" s="1399"/>
      <c r="BW962" s="1399"/>
      <c r="BX962" s="1399"/>
      <c r="BY962" s="1399"/>
      <c r="BZ962" s="1399"/>
      <c r="CA962" s="1399"/>
      <c r="CB962" s="1399"/>
      <c r="CC962" s="1399"/>
      <c r="CD962" s="1399"/>
      <c r="CE962" s="1399"/>
      <c r="CF962" s="1399"/>
      <c r="CG962" s="1399"/>
      <c r="CH962" s="1399"/>
      <c r="CI962" s="1399"/>
      <c r="CJ962" s="1399"/>
      <c r="CK962" s="1399"/>
      <c r="CL962" s="1399"/>
      <c r="CM962" s="1399"/>
      <c r="CN962" s="1399"/>
      <c r="CO962" s="1399"/>
      <c r="CP962" s="1399"/>
      <c r="CQ962" s="1399"/>
      <c r="CR962" s="1399"/>
      <c r="CS962" s="1399"/>
      <c r="CT962" s="1399"/>
      <c r="CU962" s="1399"/>
      <c r="CV962" s="1399"/>
      <c r="CW962" s="1399"/>
      <c r="CX962" s="1399"/>
      <c r="CY962" s="1399"/>
      <c r="CZ962" s="1399"/>
      <c r="DA962" s="1399"/>
      <c r="DB962" s="1399"/>
      <c r="DC962" s="1399"/>
      <c r="DD962" s="1399"/>
      <c r="DE962" s="1399"/>
      <c r="DF962" s="1399"/>
      <c r="DG962" s="1399"/>
      <c r="DH962" s="1399"/>
      <c r="DI962" s="1399"/>
      <c r="DJ962" s="1399"/>
      <c r="DK962" s="1399"/>
      <c r="DL962" s="1399"/>
      <c r="DM962" s="1399"/>
      <c r="DN962" s="1399"/>
      <c r="DO962" s="1399"/>
      <c r="DP962" s="1399"/>
      <c r="DQ962" s="1399"/>
      <c r="DR962" s="1399"/>
      <c r="DS962" s="1399"/>
      <c r="DT962" s="1399"/>
      <c r="DU962" s="1399"/>
    </row>
    <row r="963" spans="1:125">
      <c r="A963" s="1414"/>
      <c r="B963" s="1414"/>
      <c r="C963" s="1414"/>
      <c r="D963" s="1414"/>
      <c r="E963" s="1414"/>
      <c r="F963" s="1414"/>
      <c r="G963" s="1414"/>
      <c r="H963" s="1414"/>
      <c r="I963" s="1414"/>
      <c r="J963" s="1414"/>
      <c r="K963" s="1414"/>
      <c r="L963" s="1414"/>
      <c r="M963" s="1414"/>
      <c r="N963" s="1414"/>
      <c r="O963" s="1414"/>
      <c r="P963" s="1414"/>
      <c r="Q963" s="1414"/>
      <c r="R963" s="1414"/>
      <c r="S963" s="1414"/>
      <c r="T963" s="1414"/>
      <c r="U963" s="1414"/>
      <c r="V963" s="1414"/>
      <c r="W963" s="1414"/>
      <c r="X963" s="1414"/>
      <c r="Y963" s="1414"/>
      <c r="Z963" s="1414"/>
      <c r="AA963" s="1414"/>
      <c r="AB963" s="1414"/>
      <c r="AC963" s="1414"/>
      <c r="AD963" s="1414"/>
      <c r="AE963" s="1414"/>
      <c r="AF963" s="1414"/>
      <c r="AG963" s="1414"/>
      <c r="AH963" s="1414"/>
      <c r="AI963" s="1414"/>
      <c r="AJ963" s="1414"/>
      <c r="AK963" s="1414"/>
      <c r="AL963" s="1414"/>
      <c r="AM963" s="1414"/>
      <c r="AN963" s="1414"/>
      <c r="AO963" s="1414"/>
      <c r="AP963" s="1414"/>
      <c r="AQ963" s="1414"/>
      <c r="AR963" s="1414"/>
      <c r="AS963" s="1414"/>
      <c r="AT963" s="1414"/>
      <c r="AU963" s="1414"/>
      <c r="AV963" s="1414"/>
      <c r="AW963" s="1414"/>
      <c r="AX963" s="1414"/>
      <c r="AY963" s="1399"/>
      <c r="AZ963" s="1399"/>
      <c r="BA963" s="1399"/>
      <c r="BB963" s="1399"/>
      <c r="BC963" s="1399"/>
      <c r="BD963" s="1399"/>
      <c r="BE963" s="1414"/>
      <c r="BF963" s="1399"/>
      <c r="BG963" s="1399"/>
      <c r="BH963" s="1399"/>
      <c r="BI963" s="1399"/>
      <c r="BJ963" s="1399"/>
      <c r="BK963" s="1399"/>
      <c r="BL963" s="1399"/>
      <c r="BM963" s="1399"/>
      <c r="BN963" s="1399"/>
      <c r="BO963" s="1399"/>
      <c r="BP963" s="1399"/>
      <c r="BQ963" s="1399"/>
      <c r="BR963" s="1399"/>
      <c r="BS963" s="1399"/>
      <c r="BT963" s="1399"/>
      <c r="BU963" s="1399"/>
      <c r="BV963" s="1399"/>
      <c r="BW963" s="1399"/>
      <c r="BX963" s="1399"/>
      <c r="BY963" s="1399"/>
      <c r="BZ963" s="1399"/>
      <c r="CA963" s="1399"/>
      <c r="CB963" s="1399"/>
      <c r="CC963" s="1399"/>
      <c r="CD963" s="1399"/>
      <c r="CE963" s="1399"/>
      <c r="CF963" s="1399"/>
      <c r="CG963" s="1399"/>
      <c r="CH963" s="1399"/>
      <c r="CI963" s="1399"/>
      <c r="CJ963" s="1399"/>
      <c r="CK963" s="1399"/>
      <c r="CL963" s="1399"/>
      <c r="CM963" s="1399"/>
      <c r="CN963" s="1399"/>
      <c r="CO963" s="1399"/>
      <c r="CP963" s="1399"/>
      <c r="CQ963" s="1399"/>
      <c r="CR963" s="1399"/>
      <c r="CS963" s="1399"/>
      <c r="CT963" s="1399"/>
      <c r="CU963" s="1399"/>
      <c r="CV963" s="1399"/>
      <c r="CW963" s="1399"/>
      <c r="CX963" s="1399"/>
      <c r="CY963" s="1399"/>
      <c r="CZ963" s="1399"/>
      <c r="DA963" s="1399"/>
      <c r="DB963" s="1399"/>
      <c r="DC963" s="1399"/>
      <c r="DD963" s="1399"/>
      <c r="DE963" s="1399"/>
      <c r="DF963" s="1399"/>
      <c r="DG963" s="1399"/>
      <c r="DH963" s="1399"/>
      <c r="DI963" s="1399"/>
      <c r="DJ963" s="1399"/>
      <c r="DK963" s="1399"/>
      <c r="DL963" s="1399"/>
      <c r="DM963" s="1399"/>
      <c r="DN963" s="1399"/>
      <c r="DO963" s="1399"/>
      <c r="DP963" s="1399"/>
      <c r="DQ963" s="1399"/>
      <c r="DR963" s="1399"/>
      <c r="DS963" s="1399"/>
      <c r="DT963" s="1399"/>
      <c r="DU963" s="1399"/>
    </row>
    <row r="964" spans="1:125">
      <c r="A964" s="1414"/>
      <c r="B964" s="1414"/>
      <c r="C964" s="1414"/>
      <c r="D964" s="1414"/>
      <c r="E964" s="1414"/>
      <c r="F964" s="1414"/>
      <c r="G964" s="1414"/>
      <c r="H964" s="1414"/>
      <c r="I964" s="1414"/>
      <c r="J964" s="1414"/>
      <c r="K964" s="1414"/>
      <c r="L964" s="1414"/>
      <c r="M964" s="1414"/>
      <c r="N964" s="1414"/>
      <c r="O964" s="1414"/>
      <c r="P964" s="1414"/>
      <c r="Q964" s="1414"/>
      <c r="R964" s="1414"/>
      <c r="S964" s="1414"/>
      <c r="T964" s="1414"/>
      <c r="U964" s="1414"/>
      <c r="V964" s="1414"/>
      <c r="W964" s="1414"/>
      <c r="X964" s="1414"/>
      <c r="Y964" s="1414"/>
      <c r="Z964" s="1414"/>
      <c r="AA964" s="1414"/>
      <c r="AB964" s="1414"/>
      <c r="AC964" s="1414"/>
      <c r="AD964" s="1414"/>
      <c r="AE964" s="1414"/>
      <c r="AF964" s="1414"/>
      <c r="AG964" s="1414"/>
      <c r="AH964" s="1414"/>
      <c r="AI964" s="1414"/>
      <c r="AJ964" s="1414"/>
      <c r="AK964" s="1414"/>
      <c r="AL964" s="1414"/>
      <c r="AM964" s="1414"/>
      <c r="AN964" s="1414"/>
      <c r="AO964" s="1414"/>
      <c r="AP964" s="1414"/>
      <c r="AQ964" s="1414"/>
      <c r="AR964" s="1414"/>
      <c r="AS964" s="1414"/>
      <c r="AT964" s="1414"/>
      <c r="AU964" s="1414"/>
      <c r="AV964" s="1414"/>
      <c r="AW964" s="1414"/>
      <c r="AX964" s="1414"/>
      <c r="AY964" s="1399"/>
      <c r="AZ964" s="1399"/>
      <c r="BA964" s="1399"/>
      <c r="BB964" s="1399"/>
      <c r="BC964" s="1399"/>
      <c r="BD964" s="1399"/>
      <c r="BE964" s="1414"/>
      <c r="BF964" s="1399"/>
      <c r="BG964" s="1399"/>
      <c r="BH964" s="1399"/>
      <c r="BI964" s="1399"/>
      <c r="BJ964" s="1399"/>
      <c r="BK964" s="1399"/>
      <c r="BL964" s="1399"/>
      <c r="BM964" s="1399"/>
      <c r="BN964" s="1399"/>
      <c r="BO964" s="1399"/>
      <c r="BP964" s="1399"/>
      <c r="BQ964" s="1399"/>
      <c r="BR964" s="1399"/>
      <c r="BS964" s="1399"/>
      <c r="BT964" s="1399"/>
      <c r="BU964" s="1399"/>
      <c r="BV964" s="1399"/>
      <c r="BW964" s="1399"/>
      <c r="BX964" s="1399"/>
      <c r="BY964" s="1399"/>
      <c r="BZ964" s="1399"/>
      <c r="CA964" s="1399"/>
      <c r="CB964" s="1399"/>
      <c r="CC964" s="1399"/>
      <c r="CD964" s="1399"/>
      <c r="CE964" s="1399"/>
      <c r="CF964" s="1399"/>
      <c r="CG964" s="1399"/>
      <c r="CH964" s="1399"/>
      <c r="CI964" s="1399"/>
      <c r="CJ964" s="1399"/>
      <c r="CK964" s="1399"/>
      <c r="CL964" s="1399"/>
      <c r="CM964" s="1399"/>
      <c r="CN964" s="1399"/>
      <c r="CO964" s="1399"/>
      <c r="CP964" s="1399"/>
      <c r="CQ964" s="1399"/>
      <c r="CR964" s="1399"/>
      <c r="CS964" s="1399"/>
      <c r="CT964" s="1399"/>
      <c r="CU964" s="1399"/>
      <c r="CV964" s="1399"/>
      <c r="CW964" s="1399"/>
      <c r="CX964" s="1399"/>
      <c r="CY964" s="1399"/>
      <c r="CZ964" s="1399"/>
      <c r="DA964" s="1399"/>
      <c r="DB964" s="1399"/>
      <c r="DC964" s="1399"/>
      <c r="DD964" s="1399"/>
      <c r="DE964" s="1399"/>
      <c r="DF964" s="1399"/>
      <c r="DG964" s="1399"/>
      <c r="DH964" s="1399"/>
      <c r="DI964" s="1399"/>
      <c r="DJ964" s="1399"/>
      <c r="DK964" s="1399"/>
      <c r="DL964" s="1399"/>
      <c r="DM964" s="1399"/>
      <c r="DN964" s="1399"/>
      <c r="DO964" s="1399"/>
      <c r="DP964" s="1399"/>
      <c r="DQ964" s="1399"/>
      <c r="DR964" s="1399"/>
      <c r="DS964" s="1399"/>
      <c r="DT964" s="1399"/>
      <c r="DU964" s="1399"/>
    </row>
    <row r="965" spans="1:125">
      <c r="A965" s="1414"/>
      <c r="B965" s="1414"/>
      <c r="C965" s="1414"/>
      <c r="D965" s="1414"/>
      <c r="E965" s="1414"/>
      <c r="F965" s="1414"/>
      <c r="G965" s="1414"/>
      <c r="H965" s="1414"/>
      <c r="I965" s="1414"/>
      <c r="J965" s="1414"/>
      <c r="K965" s="1414"/>
      <c r="L965" s="1414"/>
      <c r="M965" s="1414"/>
      <c r="N965" s="1414"/>
      <c r="O965" s="1414"/>
      <c r="P965" s="1414"/>
      <c r="Q965" s="1414"/>
      <c r="R965" s="1414"/>
      <c r="S965" s="1414"/>
      <c r="T965" s="1414"/>
      <c r="U965" s="1414"/>
      <c r="V965" s="1414"/>
      <c r="W965" s="1414"/>
      <c r="X965" s="1414"/>
      <c r="Y965" s="1414"/>
      <c r="Z965" s="1414"/>
      <c r="AA965" s="1414"/>
      <c r="AB965" s="1414"/>
      <c r="AC965" s="1414"/>
      <c r="AD965" s="1414"/>
      <c r="AE965" s="1414"/>
      <c r="AF965" s="1414"/>
      <c r="AG965" s="1414"/>
      <c r="AH965" s="1414"/>
      <c r="AI965" s="1414"/>
      <c r="AJ965" s="1414"/>
      <c r="AK965" s="1414"/>
      <c r="AL965" s="1414"/>
      <c r="AM965" s="1414"/>
      <c r="AN965" s="1414"/>
      <c r="AO965" s="1414"/>
      <c r="AP965" s="1414"/>
      <c r="AQ965" s="1414"/>
      <c r="AR965" s="1414"/>
      <c r="AS965" s="1414"/>
      <c r="AT965" s="1414"/>
      <c r="AU965" s="1414"/>
      <c r="AV965" s="1414"/>
      <c r="AW965" s="1414"/>
      <c r="AX965" s="1414"/>
      <c r="AY965" s="1399"/>
      <c r="AZ965" s="1399"/>
      <c r="BA965" s="1399"/>
      <c r="BB965" s="1399"/>
      <c r="BC965" s="1399"/>
      <c r="BD965" s="1399"/>
      <c r="BE965" s="1414"/>
      <c r="BF965" s="1399"/>
      <c r="BG965" s="1399"/>
      <c r="BH965" s="1399"/>
      <c r="BI965" s="1399"/>
      <c r="BJ965" s="1399"/>
      <c r="BK965" s="1399"/>
      <c r="BL965" s="1399"/>
      <c r="BM965" s="1399"/>
      <c r="BN965" s="1399"/>
      <c r="BO965" s="1399"/>
      <c r="BP965" s="1399"/>
      <c r="BQ965" s="1399"/>
      <c r="BR965" s="1399"/>
      <c r="BS965" s="1399"/>
      <c r="BT965" s="1399"/>
      <c r="BU965" s="1399"/>
      <c r="BV965" s="1399"/>
      <c r="BW965" s="1399"/>
      <c r="BX965" s="1399"/>
      <c r="BY965" s="1399"/>
      <c r="BZ965" s="1399"/>
      <c r="CA965" s="1399"/>
      <c r="CB965" s="1399"/>
      <c r="CC965" s="1399"/>
      <c r="CD965" s="1399"/>
      <c r="CE965" s="1399"/>
      <c r="CF965" s="1399"/>
      <c r="CG965" s="1399"/>
      <c r="CH965" s="1399"/>
      <c r="CI965" s="1399"/>
      <c r="CJ965" s="1399"/>
      <c r="CK965" s="1399"/>
      <c r="CL965" s="1399"/>
      <c r="CM965" s="1399"/>
      <c r="CN965" s="1399"/>
      <c r="CO965" s="1399"/>
      <c r="CP965" s="1399"/>
      <c r="CQ965" s="1399"/>
      <c r="CR965" s="1399"/>
      <c r="CS965" s="1399"/>
      <c r="CT965" s="1399"/>
      <c r="CU965" s="1399"/>
      <c r="CV965" s="1399"/>
      <c r="CW965" s="1399"/>
      <c r="CX965" s="1399"/>
      <c r="CY965" s="1399"/>
      <c r="CZ965" s="1399"/>
      <c r="DA965" s="1399"/>
      <c r="DB965" s="1399"/>
      <c r="DC965" s="1399"/>
      <c r="DD965" s="1399"/>
      <c r="DE965" s="1399"/>
      <c r="DF965" s="1399"/>
      <c r="DG965" s="1399"/>
      <c r="DH965" s="1399"/>
      <c r="DI965" s="1399"/>
      <c r="DJ965" s="1399"/>
      <c r="DK965" s="1399"/>
      <c r="DL965" s="1399"/>
      <c r="DM965" s="1399"/>
      <c r="DN965" s="1399"/>
      <c r="DO965" s="1399"/>
      <c r="DP965" s="1399"/>
      <c r="DQ965" s="1399"/>
      <c r="DR965" s="1399"/>
      <c r="DS965" s="1399"/>
      <c r="DT965" s="1399"/>
      <c r="DU965" s="1399"/>
    </row>
    <row r="966" spans="1:125">
      <c r="A966" s="1414"/>
      <c r="B966" s="1414"/>
      <c r="C966" s="1414"/>
      <c r="D966" s="1414"/>
      <c r="E966" s="1414"/>
      <c r="F966" s="1414"/>
      <c r="G966" s="1414"/>
      <c r="H966" s="1414"/>
      <c r="I966" s="1414"/>
      <c r="J966" s="1414"/>
      <c r="K966" s="1414"/>
      <c r="L966" s="1414"/>
      <c r="M966" s="1414"/>
      <c r="N966" s="1414"/>
      <c r="O966" s="1414"/>
      <c r="P966" s="1414"/>
      <c r="Q966" s="1414"/>
      <c r="R966" s="1414"/>
      <c r="S966" s="1414"/>
      <c r="T966" s="1414"/>
      <c r="U966" s="1414"/>
      <c r="V966" s="1414"/>
      <c r="W966" s="1414"/>
      <c r="X966" s="1414"/>
      <c r="Y966" s="1414"/>
      <c r="Z966" s="1414"/>
      <c r="AA966" s="1414"/>
      <c r="AB966" s="1414"/>
      <c r="AC966" s="1414"/>
      <c r="AD966" s="1414"/>
      <c r="AE966" s="1414"/>
      <c r="AF966" s="1414"/>
      <c r="AG966" s="1414"/>
      <c r="AH966" s="1414"/>
      <c r="AI966" s="1414"/>
      <c r="AJ966" s="1414"/>
      <c r="AK966" s="1414"/>
      <c r="AL966" s="1414"/>
      <c r="AM966" s="1414"/>
      <c r="AN966" s="1414"/>
      <c r="AO966" s="1414"/>
      <c r="AP966" s="1414"/>
      <c r="AQ966" s="1414"/>
      <c r="AR966" s="1414"/>
      <c r="AS966" s="1414"/>
      <c r="AT966" s="1414"/>
      <c r="AU966" s="1414"/>
      <c r="AV966" s="1414"/>
      <c r="AW966" s="1414"/>
      <c r="AX966" s="1414"/>
      <c r="AY966" s="1399"/>
      <c r="AZ966" s="1399"/>
      <c r="BA966" s="1399"/>
      <c r="BB966" s="1399"/>
      <c r="BC966" s="1399"/>
      <c r="BD966" s="1399"/>
      <c r="BE966" s="1414"/>
      <c r="BF966" s="1399"/>
      <c r="BG966" s="1399"/>
      <c r="BH966" s="1399"/>
      <c r="BI966" s="1399"/>
      <c r="BJ966" s="1399"/>
      <c r="BK966" s="1399"/>
      <c r="BL966" s="1399"/>
      <c r="BM966" s="1399"/>
      <c r="BN966" s="1399"/>
      <c r="BO966" s="1399"/>
      <c r="BP966" s="1399"/>
      <c r="BQ966" s="1399"/>
      <c r="BR966" s="1399"/>
      <c r="BS966" s="1399"/>
      <c r="BT966" s="1399"/>
      <c r="BU966" s="1399"/>
      <c r="BV966" s="1399"/>
      <c r="BW966" s="1399"/>
      <c r="BX966" s="1399"/>
      <c r="BY966" s="1399"/>
      <c r="BZ966" s="1399"/>
      <c r="CA966" s="1399"/>
      <c r="CB966" s="1399"/>
      <c r="CC966" s="1399"/>
      <c r="CD966" s="1399"/>
      <c r="CE966" s="1399"/>
      <c r="CF966" s="1399"/>
      <c r="CG966" s="1399"/>
      <c r="CH966" s="1399"/>
      <c r="CI966" s="1399"/>
      <c r="CJ966" s="1399"/>
      <c r="CK966" s="1399"/>
      <c r="CL966" s="1399"/>
      <c r="CM966" s="1399"/>
      <c r="CN966" s="1399"/>
      <c r="CO966" s="1399"/>
      <c r="CP966" s="1399"/>
      <c r="CQ966" s="1399"/>
      <c r="CR966" s="1399"/>
      <c r="CS966" s="1399"/>
      <c r="CT966" s="1399"/>
      <c r="CU966" s="1399"/>
      <c r="CV966" s="1399"/>
      <c r="CW966" s="1399"/>
      <c r="CX966" s="1399"/>
      <c r="CY966" s="1399"/>
      <c r="CZ966" s="1399"/>
      <c r="DA966" s="1399"/>
      <c r="DB966" s="1399"/>
      <c r="DC966" s="1399"/>
      <c r="DD966" s="1399"/>
      <c r="DE966" s="1399"/>
      <c r="DF966" s="1399"/>
      <c r="DG966" s="1399"/>
      <c r="DH966" s="1399"/>
      <c r="DI966" s="1399"/>
      <c r="DJ966" s="1399"/>
      <c r="DK966" s="1399"/>
      <c r="DL966" s="1399"/>
      <c r="DM966" s="1399"/>
      <c r="DN966" s="1399"/>
      <c r="DO966" s="1399"/>
      <c r="DP966" s="1399"/>
      <c r="DQ966" s="1399"/>
      <c r="DR966" s="1399"/>
      <c r="DS966" s="1399"/>
      <c r="DT966" s="1399"/>
      <c r="DU966" s="1399"/>
    </row>
    <row r="967" spans="1:125">
      <c r="A967" s="1414"/>
      <c r="B967" s="1414"/>
      <c r="C967" s="1414"/>
      <c r="D967" s="1414"/>
      <c r="E967" s="1414"/>
      <c r="F967" s="1414"/>
      <c r="G967" s="1414"/>
      <c r="H967" s="1414"/>
      <c r="I967" s="1414"/>
      <c r="J967" s="1414"/>
      <c r="K967" s="1414"/>
      <c r="L967" s="1414"/>
      <c r="M967" s="1414"/>
      <c r="N967" s="1414"/>
      <c r="O967" s="1414"/>
      <c r="P967" s="1414"/>
      <c r="Q967" s="1414"/>
      <c r="R967" s="1414"/>
      <c r="S967" s="1414"/>
      <c r="T967" s="1414"/>
      <c r="U967" s="1414"/>
      <c r="V967" s="1414"/>
      <c r="W967" s="1414"/>
      <c r="X967" s="1414"/>
      <c r="Y967" s="1414"/>
      <c r="Z967" s="1414"/>
      <c r="AA967" s="1414"/>
      <c r="AB967" s="1414"/>
      <c r="AC967" s="1414"/>
      <c r="AD967" s="1414"/>
      <c r="AE967" s="1414"/>
      <c r="AF967" s="1414"/>
      <c r="AG967" s="1414"/>
      <c r="AH967" s="1414"/>
      <c r="AI967" s="1414"/>
      <c r="AJ967" s="1414"/>
      <c r="AK967" s="1414"/>
      <c r="AL967" s="1414"/>
      <c r="AM967" s="1414"/>
      <c r="AN967" s="1414"/>
      <c r="AO967" s="1414"/>
      <c r="AP967" s="1414"/>
      <c r="AQ967" s="1414"/>
      <c r="AR967" s="1414"/>
      <c r="AS967" s="1414"/>
      <c r="AT967" s="1414"/>
      <c r="AU967" s="1414"/>
      <c r="AV967" s="1414"/>
      <c r="AW967" s="1414"/>
      <c r="AX967" s="1414"/>
      <c r="AY967" s="1399"/>
      <c r="AZ967" s="1399"/>
      <c r="BA967" s="1399"/>
      <c r="BB967" s="1399"/>
      <c r="BC967" s="1399"/>
      <c r="BD967" s="1399"/>
      <c r="BE967" s="1414"/>
      <c r="BF967" s="1399"/>
      <c r="BG967" s="1399"/>
      <c r="BH967" s="1399"/>
      <c r="BI967" s="1399"/>
      <c r="BJ967" s="1399"/>
      <c r="BK967" s="1399"/>
      <c r="BL967" s="1399"/>
      <c r="BM967" s="1399"/>
      <c r="BN967" s="1399"/>
      <c r="BO967" s="1399"/>
      <c r="BP967" s="1399"/>
      <c r="BQ967" s="1399"/>
      <c r="BR967" s="1399"/>
      <c r="BS967" s="1399"/>
      <c r="BT967" s="1399"/>
      <c r="BU967" s="1399"/>
      <c r="BV967" s="1399"/>
      <c r="BW967" s="1399"/>
      <c r="BX967" s="1399"/>
      <c r="BY967" s="1399"/>
      <c r="BZ967" s="1399"/>
      <c r="CA967" s="1399"/>
      <c r="CB967" s="1399"/>
      <c r="CC967" s="1399"/>
      <c r="CD967" s="1399"/>
      <c r="CE967" s="1399"/>
      <c r="CF967" s="1399"/>
      <c r="CG967" s="1399"/>
      <c r="CH967" s="1399"/>
      <c r="CI967" s="1399"/>
      <c r="CJ967" s="1399"/>
      <c r="CK967" s="1399"/>
      <c r="CL967" s="1399"/>
      <c r="CM967" s="1399"/>
      <c r="CN967" s="1399"/>
      <c r="CO967" s="1399"/>
      <c r="CP967" s="1399"/>
      <c r="CQ967" s="1399"/>
      <c r="CR967" s="1399"/>
      <c r="CS967" s="1399"/>
      <c r="CT967" s="1399"/>
      <c r="CU967" s="1399"/>
      <c r="CV967" s="1399"/>
      <c r="CW967" s="1399"/>
      <c r="CX967" s="1399"/>
      <c r="CY967" s="1399"/>
      <c r="CZ967" s="1399"/>
      <c r="DA967" s="1399"/>
      <c r="DB967" s="1399"/>
      <c r="DC967" s="1399"/>
      <c r="DD967" s="1399"/>
      <c r="DE967" s="1399"/>
      <c r="DF967" s="1399"/>
      <c r="DG967" s="1399"/>
      <c r="DH967" s="1399"/>
      <c r="DI967" s="1399"/>
      <c r="DJ967" s="1399"/>
      <c r="DK967" s="1399"/>
      <c r="DL967" s="1399"/>
      <c r="DM967" s="1399"/>
      <c r="DN967" s="1399"/>
      <c r="DO967" s="1399"/>
      <c r="DP967" s="1399"/>
      <c r="DQ967" s="1399"/>
      <c r="DR967" s="1399"/>
      <c r="DS967" s="1399"/>
      <c r="DT967" s="1399"/>
      <c r="DU967" s="1399"/>
    </row>
    <row r="968" spans="1:125">
      <c r="A968" s="1414"/>
      <c r="B968" s="1414"/>
      <c r="C968" s="1414"/>
      <c r="D968" s="1414"/>
      <c r="E968" s="1414"/>
      <c r="F968" s="1414"/>
      <c r="G968" s="1414"/>
      <c r="H968" s="1414"/>
      <c r="I968" s="1414"/>
      <c r="J968" s="1414"/>
      <c r="K968" s="1414"/>
      <c r="L968" s="1414"/>
      <c r="M968" s="1414"/>
      <c r="N968" s="1414"/>
      <c r="O968" s="1414"/>
      <c r="P968" s="1414"/>
      <c r="Q968" s="1414"/>
      <c r="R968" s="1414"/>
      <c r="S968" s="1414"/>
      <c r="T968" s="1414"/>
      <c r="U968" s="1414"/>
      <c r="V968" s="1414"/>
      <c r="W968" s="1414"/>
      <c r="X968" s="1414"/>
      <c r="Y968" s="1414"/>
      <c r="Z968" s="1414"/>
      <c r="AA968" s="1414"/>
      <c r="AB968" s="1414"/>
      <c r="AC968" s="1414"/>
      <c r="AD968" s="1414"/>
      <c r="AE968" s="1414"/>
      <c r="AF968" s="1414"/>
      <c r="AG968" s="1414"/>
      <c r="AH968" s="1414"/>
      <c r="AI968" s="1414"/>
      <c r="AJ968" s="1414"/>
      <c r="AK968" s="1414"/>
      <c r="AL968" s="1414"/>
      <c r="AM968" s="1414"/>
      <c r="AN968" s="1414"/>
      <c r="AO968" s="1414"/>
      <c r="AP968" s="1414"/>
      <c r="AQ968" s="1414"/>
      <c r="AR968" s="1414"/>
      <c r="AS968" s="1414"/>
      <c r="AT968" s="1414"/>
      <c r="AU968" s="1414"/>
      <c r="AV968" s="1414"/>
      <c r="AW968" s="1414"/>
      <c r="AX968" s="1414"/>
      <c r="AY968" s="1399"/>
      <c r="AZ968" s="1399"/>
      <c r="BA968" s="1399"/>
      <c r="BB968" s="1399"/>
      <c r="BC968" s="1399"/>
      <c r="BD968" s="1399"/>
      <c r="BE968" s="1414"/>
      <c r="BF968" s="1399"/>
      <c r="BG968" s="1399"/>
      <c r="BH968" s="1399"/>
      <c r="BI968" s="1399"/>
      <c r="BJ968" s="1399"/>
      <c r="BK968" s="1399"/>
      <c r="BL968" s="1399"/>
      <c r="BM968" s="1399"/>
      <c r="BN968" s="1399"/>
      <c r="BO968" s="1399"/>
      <c r="BP968" s="1399"/>
      <c r="BQ968" s="1399"/>
      <c r="BR968" s="1399"/>
      <c r="BS968" s="1399"/>
      <c r="BT968" s="1399"/>
      <c r="BU968" s="1399"/>
      <c r="BV968" s="1399"/>
      <c r="BW968" s="1399"/>
      <c r="BX968" s="1399"/>
      <c r="BY968" s="1399"/>
      <c r="BZ968" s="1399"/>
      <c r="CA968" s="1399"/>
      <c r="CB968" s="1399"/>
      <c r="CC968" s="1399"/>
      <c r="CD968" s="1399"/>
      <c r="CE968" s="1399"/>
      <c r="CF968" s="1399"/>
      <c r="CG968" s="1399"/>
      <c r="CH968" s="1399"/>
      <c r="CI968" s="1399"/>
      <c r="CJ968" s="1399"/>
      <c r="CK968" s="1399"/>
      <c r="CL968" s="1399"/>
      <c r="CM968" s="1399"/>
      <c r="CN968" s="1399"/>
      <c r="CO968" s="1399"/>
      <c r="CP968" s="1399"/>
      <c r="CQ968" s="1399"/>
      <c r="CR968" s="1399"/>
      <c r="CS968" s="1399"/>
      <c r="CT968" s="1399"/>
      <c r="CU968" s="1399"/>
      <c r="CV968" s="1399"/>
      <c r="CW968" s="1399"/>
      <c r="CX968" s="1399"/>
      <c r="CY968" s="1399"/>
      <c r="CZ968" s="1399"/>
      <c r="DA968" s="1399"/>
      <c r="DB968" s="1399"/>
      <c r="DC968" s="1399"/>
      <c r="DD968" s="1399"/>
      <c r="DE968" s="1399"/>
      <c r="DF968" s="1399"/>
      <c r="DG968" s="1399"/>
      <c r="DH968" s="1399"/>
      <c r="DI968" s="1399"/>
      <c r="DJ968" s="1399"/>
      <c r="DK968" s="1399"/>
      <c r="DL968" s="1399"/>
      <c r="DM968" s="1399"/>
      <c r="DN968" s="1399"/>
      <c r="DO968" s="1399"/>
      <c r="DP968" s="1399"/>
      <c r="DQ968" s="1399"/>
      <c r="DR968" s="1399"/>
      <c r="DS968" s="1399"/>
      <c r="DT968" s="1399"/>
      <c r="DU968" s="1399"/>
    </row>
    <row r="969" spans="1:125">
      <c r="A969" s="1414"/>
      <c r="B969" s="1414"/>
      <c r="C969" s="1414"/>
      <c r="D969" s="1414"/>
      <c r="E969" s="1414"/>
      <c r="F969" s="1414"/>
      <c r="G969" s="1414"/>
      <c r="H969" s="1414"/>
      <c r="I969" s="1414"/>
      <c r="J969" s="1414"/>
      <c r="K969" s="1414"/>
      <c r="L969" s="1414"/>
      <c r="M969" s="1414"/>
      <c r="N969" s="1414"/>
      <c r="O969" s="1414"/>
      <c r="P969" s="1414"/>
      <c r="Q969" s="1414"/>
      <c r="R969" s="1414"/>
      <c r="S969" s="1414"/>
      <c r="T969" s="1414"/>
      <c r="U969" s="1414"/>
      <c r="V969" s="1414"/>
      <c r="W969" s="1414"/>
      <c r="X969" s="1414"/>
      <c r="Y969" s="1414"/>
      <c r="Z969" s="1414"/>
      <c r="AA969" s="1414"/>
      <c r="AB969" s="1414"/>
      <c r="AC969" s="1414"/>
      <c r="AD969" s="1414"/>
      <c r="AE969" s="1414"/>
      <c r="AF969" s="1414"/>
      <c r="AG969" s="1414"/>
      <c r="AH969" s="1414"/>
      <c r="AI969" s="1414"/>
      <c r="AJ969" s="1414"/>
      <c r="AK969" s="1414"/>
      <c r="AL969" s="1414"/>
      <c r="AM969" s="1414"/>
      <c r="AN969" s="1414"/>
      <c r="AO969" s="1414"/>
      <c r="AP969" s="1414"/>
      <c r="AQ969" s="1414"/>
      <c r="AR969" s="1414"/>
      <c r="AS969" s="1414"/>
      <c r="AT969" s="1414"/>
      <c r="AU969" s="1414"/>
      <c r="AV969" s="1414"/>
      <c r="AW969" s="1414"/>
      <c r="AX969" s="1414"/>
      <c r="AY969" s="1399"/>
      <c r="AZ969" s="1399"/>
      <c r="BA969" s="1399"/>
      <c r="BB969" s="1399"/>
      <c r="BC969" s="1399"/>
      <c r="BD969" s="1399"/>
      <c r="BE969" s="1414"/>
      <c r="BF969" s="1399"/>
      <c r="BG969" s="1399"/>
      <c r="BH969" s="1399"/>
      <c r="BI969" s="1399"/>
      <c r="BJ969" s="1399"/>
      <c r="BK969" s="1399"/>
      <c r="BL969" s="1399"/>
      <c r="BM969" s="1399"/>
      <c r="BN969" s="1399"/>
      <c r="BO969" s="1399"/>
      <c r="BP969" s="1399"/>
      <c r="BQ969" s="1399"/>
      <c r="BR969" s="1399"/>
      <c r="BS969" s="1399"/>
      <c r="BT969" s="1399"/>
      <c r="BU969" s="1399"/>
      <c r="BV969" s="1399"/>
      <c r="BW969" s="1399"/>
      <c r="BX969" s="1399"/>
      <c r="BY969" s="1399"/>
      <c r="BZ969" s="1399"/>
      <c r="CA969" s="1399"/>
      <c r="CB969" s="1399"/>
      <c r="CC969" s="1399"/>
      <c r="CD969" s="1399"/>
      <c r="CE969" s="1399"/>
      <c r="CF969" s="1399"/>
      <c r="CG969" s="1399"/>
      <c r="CH969" s="1399"/>
      <c r="CI969" s="1399"/>
      <c r="CJ969" s="1399"/>
      <c r="CK969" s="1399"/>
      <c r="CL969" s="1399"/>
      <c r="CM969" s="1399"/>
      <c r="CN969" s="1399"/>
      <c r="CO969" s="1399"/>
      <c r="CP969" s="1399"/>
      <c r="CQ969" s="1399"/>
      <c r="CR969" s="1399"/>
      <c r="CS969" s="1399"/>
      <c r="CT969" s="1399"/>
      <c r="CU969" s="1399"/>
      <c r="CV969" s="1399"/>
      <c r="CW969" s="1399"/>
      <c r="CX969" s="1399"/>
      <c r="CY969" s="1399"/>
      <c r="CZ969" s="1399"/>
      <c r="DA969" s="1399"/>
      <c r="DB969" s="1399"/>
      <c r="DC969" s="1399"/>
      <c r="DD969" s="1399"/>
      <c r="DE969" s="1399"/>
      <c r="DF969" s="1399"/>
      <c r="DG969" s="1399"/>
      <c r="DH969" s="1399"/>
      <c r="DI969" s="1399"/>
      <c r="DJ969" s="1399"/>
      <c r="DK969" s="1399"/>
      <c r="DL969" s="1399"/>
      <c r="DM969" s="1399"/>
      <c r="DN969" s="1399"/>
      <c r="DO969" s="1399"/>
      <c r="DP969" s="1399"/>
      <c r="DQ969" s="1399"/>
      <c r="DR969" s="1399"/>
      <c r="DS969" s="1399"/>
      <c r="DT969" s="1399"/>
      <c r="DU969" s="1399"/>
    </row>
    <row r="970" spans="1:125">
      <c r="A970" s="1414"/>
      <c r="B970" s="1414"/>
      <c r="C970" s="1414"/>
      <c r="D970" s="1414"/>
      <c r="E970" s="1414"/>
      <c r="F970" s="1414"/>
      <c r="G970" s="1414"/>
      <c r="H970" s="1414"/>
      <c r="I970" s="1414"/>
      <c r="J970" s="1414"/>
      <c r="K970" s="1414"/>
      <c r="L970" s="1414"/>
      <c r="M970" s="1414"/>
      <c r="N970" s="1414"/>
      <c r="O970" s="1414"/>
      <c r="P970" s="1414"/>
      <c r="Q970" s="1414"/>
      <c r="R970" s="1414"/>
      <c r="S970" s="1414"/>
      <c r="T970" s="1414"/>
      <c r="U970" s="1414"/>
      <c r="V970" s="1414"/>
      <c r="W970" s="1414"/>
      <c r="X970" s="1414"/>
      <c r="Y970" s="1414"/>
      <c r="Z970" s="1414"/>
      <c r="AA970" s="1414"/>
      <c r="AB970" s="1414"/>
      <c r="AC970" s="1414"/>
      <c r="AD970" s="1414"/>
      <c r="AE970" s="1414"/>
      <c r="AF970" s="1414"/>
      <c r="AG970" s="1414"/>
      <c r="AH970" s="1414"/>
      <c r="AI970" s="1414"/>
      <c r="AJ970" s="1414"/>
      <c r="AK970" s="1414"/>
      <c r="AL970" s="1414"/>
      <c r="AM970" s="1414"/>
      <c r="AN970" s="1414"/>
      <c r="AO970" s="1414"/>
      <c r="AP970" s="1414"/>
      <c r="AQ970" s="1414"/>
      <c r="AR970" s="1414"/>
      <c r="AS970" s="1414"/>
      <c r="AT970" s="1414"/>
      <c r="AU970" s="1414"/>
      <c r="AV970" s="1414"/>
      <c r="AW970" s="1414"/>
      <c r="AX970" s="1414"/>
      <c r="AY970" s="1399"/>
      <c r="AZ970" s="1399"/>
      <c r="BA970" s="1399"/>
      <c r="BB970" s="1399"/>
      <c r="BC970" s="1399"/>
      <c r="BD970" s="1399"/>
      <c r="BE970" s="1414"/>
      <c r="BF970" s="1399"/>
      <c r="BG970" s="1399"/>
      <c r="BH970" s="1399"/>
      <c r="BI970" s="1399"/>
      <c r="BJ970" s="1399"/>
      <c r="BK970" s="1399"/>
      <c r="BL970" s="1399"/>
      <c r="BM970" s="1399"/>
      <c r="BN970" s="1399"/>
      <c r="BO970" s="1399"/>
      <c r="BP970" s="1399"/>
      <c r="BQ970" s="1399"/>
      <c r="BR970" s="1399"/>
      <c r="BS970" s="1399"/>
      <c r="BT970" s="1399"/>
      <c r="BU970" s="1399"/>
      <c r="BV970" s="1399"/>
      <c r="BW970" s="1399"/>
      <c r="BX970" s="1399"/>
      <c r="BY970" s="1399"/>
      <c r="BZ970" s="1399"/>
      <c r="CA970" s="1399"/>
      <c r="CB970" s="1399"/>
      <c r="CC970" s="1399"/>
      <c r="CD970" s="1399"/>
      <c r="CE970" s="1399"/>
      <c r="CF970" s="1399"/>
      <c r="CG970" s="1399"/>
      <c r="CH970" s="1399"/>
      <c r="CI970" s="1399"/>
      <c r="CJ970" s="1399"/>
      <c r="CK970" s="1399"/>
      <c r="CL970" s="1399"/>
      <c r="CM970" s="1399"/>
      <c r="CN970" s="1399"/>
      <c r="CO970" s="1399"/>
      <c r="CP970" s="1399"/>
      <c r="CQ970" s="1399"/>
      <c r="CR970" s="1399"/>
      <c r="CS970" s="1399"/>
      <c r="CT970" s="1399"/>
      <c r="CU970" s="1399"/>
      <c r="CV970" s="1399"/>
      <c r="CW970" s="1399"/>
      <c r="CX970" s="1399"/>
      <c r="CY970" s="1399"/>
      <c r="CZ970" s="1399"/>
      <c r="DA970" s="1399"/>
      <c r="DB970" s="1399"/>
      <c r="DC970" s="1399"/>
      <c r="DD970" s="1399"/>
      <c r="DE970" s="1399"/>
      <c r="DF970" s="1399"/>
      <c r="DG970" s="1399"/>
      <c r="DH970" s="1399"/>
      <c r="DI970" s="1399"/>
      <c r="DJ970" s="1399"/>
      <c r="DK970" s="1399"/>
      <c r="DL970" s="1399"/>
      <c r="DM970" s="1399"/>
      <c r="DN970" s="1399"/>
      <c r="DO970" s="1399"/>
      <c r="DP970" s="1399"/>
      <c r="DQ970" s="1399"/>
      <c r="DR970" s="1399"/>
      <c r="DS970" s="1399"/>
      <c r="DT970" s="1399"/>
      <c r="DU970" s="1399"/>
    </row>
    <row r="971" spans="1:125">
      <c r="A971" s="1414"/>
      <c r="B971" s="1414"/>
      <c r="C971" s="1414"/>
      <c r="D971" s="1414"/>
      <c r="E971" s="1414"/>
      <c r="F971" s="1414"/>
      <c r="G971" s="1414"/>
      <c r="H971" s="1414"/>
      <c r="I971" s="1414"/>
      <c r="J971" s="1414"/>
      <c r="K971" s="1414"/>
      <c r="L971" s="1414"/>
      <c r="M971" s="1414"/>
      <c r="N971" s="1414"/>
      <c r="O971" s="1414"/>
      <c r="P971" s="1414"/>
      <c r="Q971" s="1414"/>
      <c r="R971" s="1414"/>
      <c r="S971" s="1414"/>
      <c r="T971" s="1414"/>
      <c r="U971" s="1414"/>
      <c r="V971" s="1414"/>
      <c r="W971" s="1414"/>
      <c r="X971" s="1414"/>
      <c r="Y971" s="1414"/>
      <c r="Z971" s="1414"/>
      <c r="AA971" s="1414"/>
      <c r="AB971" s="1414"/>
      <c r="AC971" s="1414"/>
      <c r="AD971" s="1414"/>
      <c r="AE971" s="1414"/>
      <c r="AF971" s="1414"/>
      <c r="AG971" s="1414"/>
      <c r="AH971" s="1414"/>
      <c r="AI971" s="1414"/>
      <c r="AJ971" s="1414"/>
      <c r="AK971" s="1414"/>
      <c r="AL971" s="1414"/>
      <c r="AM971" s="1414"/>
      <c r="AN971" s="1414"/>
      <c r="AO971" s="1414"/>
      <c r="AP971" s="1414"/>
      <c r="AQ971" s="1414"/>
      <c r="AR971" s="1414"/>
      <c r="AS971" s="1414"/>
      <c r="AT971" s="1414"/>
      <c r="AU971" s="1414"/>
      <c r="AV971" s="1414"/>
      <c r="AW971" s="1414"/>
      <c r="AX971" s="1414"/>
      <c r="AY971" s="1399"/>
      <c r="AZ971" s="1399"/>
      <c r="BA971" s="1399"/>
      <c r="BB971" s="1399"/>
      <c r="BC971" s="1399"/>
      <c r="BD971" s="1399"/>
      <c r="BE971" s="1414"/>
      <c r="BF971" s="1399"/>
      <c r="BG971" s="1399"/>
      <c r="BH971" s="1399"/>
      <c r="BI971" s="1399"/>
      <c r="BJ971" s="1399"/>
      <c r="BK971" s="1399"/>
      <c r="BL971" s="1399"/>
      <c r="BM971" s="1399"/>
      <c r="BN971" s="1399"/>
      <c r="BO971" s="1399"/>
      <c r="BP971" s="1399"/>
      <c r="BQ971" s="1399"/>
      <c r="BR971" s="1399"/>
      <c r="BS971" s="1399"/>
      <c r="BT971" s="1399"/>
      <c r="BU971" s="1399"/>
      <c r="BV971" s="1399"/>
      <c r="BW971" s="1399"/>
      <c r="BX971" s="1399"/>
      <c r="BY971" s="1399"/>
      <c r="BZ971" s="1399"/>
      <c r="CA971" s="1399"/>
      <c r="CB971" s="1399"/>
      <c r="CC971" s="1399"/>
      <c r="CD971" s="1399"/>
      <c r="CE971" s="1399"/>
      <c r="CF971" s="1399"/>
      <c r="CG971" s="1399"/>
      <c r="CH971" s="1399"/>
      <c r="CI971" s="1399"/>
      <c r="CJ971" s="1399"/>
      <c r="CK971" s="1399"/>
      <c r="CL971" s="1399"/>
      <c r="CM971" s="1399"/>
      <c r="CN971" s="1399"/>
      <c r="CO971" s="1399"/>
      <c r="CP971" s="1399"/>
      <c r="CQ971" s="1399"/>
      <c r="CR971" s="1399"/>
      <c r="CS971" s="1399"/>
      <c r="CT971" s="1399"/>
      <c r="CU971" s="1399"/>
      <c r="CV971" s="1399"/>
      <c r="CW971" s="1399"/>
      <c r="CX971" s="1399"/>
      <c r="CY971" s="1399"/>
      <c r="CZ971" s="1399"/>
      <c r="DA971" s="1399"/>
      <c r="DB971" s="1399"/>
      <c r="DC971" s="1399"/>
      <c r="DD971" s="1399"/>
      <c r="DE971" s="1399"/>
      <c r="DF971" s="1399"/>
      <c r="DG971" s="1399"/>
      <c r="DH971" s="1399"/>
      <c r="DI971" s="1399"/>
      <c r="DJ971" s="1399"/>
      <c r="DK971" s="1399"/>
      <c r="DL971" s="1399"/>
      <c r="DM971" s="1399"/>
      <c r="DN971" s="1399"/>
      <c r="DO971" s="1399"/>
      <c r="DP971" s="1399"/>
      <c r="DQ971" s="1399"/>
      <c r="DR971" s="1399"/>
      <c r="DS971" s="1399"/>
      <c r="DT971" s="1399"/>
      <c r="DU971" s="1399"/>
    </row>
    <row r="972" spans="1:125">
      <c r="A972" s="1414"/>
      <c r="B972" s="1414"/>
      <c r="C972" s="1414"/>
      <c r="D972" s="1414"/>
      <c r="E972" s="1414"/>
      <c r="F972" s="1414"/>
      <c r="G972" s="1414"/>
      <c r="H972" s="1414"/>
      <c r="I972" s="1414"/>
      <c r="J972" s="1414"/>
      <c r="K972" s="1414"/>
      <c r="L972" s="1414"/>
      <c r="M972" s="1414"/>
      <c r="N972" s="1414"/>
      <c r="O972" s="1414"/>
      <c r="P972" s="1414"/>
      <c r="Q972" s="1414"/>
      <c r="R972" s="1414"/>
      <c r="S972" s="1414"/>
      <c r="T972" s="1414"/>
      <c r="U972" s="1414"/>
      <c r="V972" s="1414"/>
      <c r="W972" s="1414"/>
      <c r="X972" s="1414"/>
      <c r="Y972" s="1414"/>
      <c r="Z972" s="1414"/>
      <c r="AA972" s="1414"/>
      <c r="AB972" s="1414"/>
      <c r="AC972" s="1414"/>
      <c r="AD972" s="1414"/>
      <c r="AE972" s="1414"/>
      <c r="AF972" s="1414"/>
      <c r="AG972" s="1414"/>
      <c r="AH972" s="1414"/>
      <c r="AI972" s="1414"/>
      <c r="AJ972" s="1414"/>
      <c r="AK972" s="1414"/>
      <c r="AL972" s="1414"/>
      <c r="AM972" s="1414"/>
      <c r="AN972" s="1414"/>
      <c r="AO972" s="1414"/>
      <c r="AP972" s="1414"/>
      <c r="AQ972" s="1414"/>
      <c r="AR972" s="1414"/>
      <c r="AS972" s="1414"/>
      <c r="AT972" s="1414"/>
      <c r="AU972" s="1414"/>
      <c r="AV972" s="1414"/>
      <c r="AW972" s="1414"/>
      <c r="AX972" s="1414"/>
      <c r="AY972" s="1399"/>
      <c r="AZ972" s="1399"/>
      <c r="BA972" s="1399"/>
      <c r="BB972" s="1399"/>
      <c r="BC972" s="1399"/>
      <c r="BD972" s="1399"/>
      <c r="BE972" s="1414"/>
      <c r="BF972" s="1399"/>
      <c r="BG972" s="1399"/>
      <c r="BH972" s="1399"/>
      <c r="BI972" s="1399"/>
      <c r="BJ972" s="1399"/>
      <c r="BK972" s="1399"/>
      <c r="BL972" s="1399"/>
      <c r="BM972" s="1399"/>
      <c r="BN972" s="1399"/>
      <c r="BO972" s="1399"/>
      <c r="BP972" s="1399"/>
      <c r="BQ972" s="1399"/>
      <c r="BR972" s="1399"/>
      <c r="BS972" s="1399"/>
      <c r="BT972" s="1399"/>
      <c r="BU972" s="1399"/>
      <c r="BV972" s="1399"/>
      <c r="BW972" s="1399"/>
      <c r="BX972" s="1399"/>
      <c r="BY972" s="1399"/>
      <c r="BZ972" s="1399"/>
      <c r="CA972" s="1399"/>
      <c r="CB972" s="1399"/>
      <c r="CC972" s="1399"/>
      <c r="CD972" s="1399"/>
      <c r="CE972" s="1399"/>
      <c r="CF972" s="1399"/>
      <c r="CG972" s="1399"/>
      <c r="CH972" s="1399"/>
      <c r="CI972" s="1399"/>
      <c r="CJ972" s="1399"/>
      <c r="CK972" s="1399"/>
      <c r="CL972" s="1399"/>
      <c r="CM972" s="1399"/>
      <c r="CN972" s="1399"/>
      <c r="CO972" s="1399"/>
      <c r="CP972" s="1399"/>
      <c r="CQ972" s="1399"/>
      <c r="CR972" s="1399"/>
      <c r="CS972" s="1399"/>
      <c r="CT972" s="1399"/>
      <c r="CU972" s="1399"/>
      <c r="CV972" s="1399"/>
      <c r="CW972" s="1399"/>
      <c r="CX972" s="1399"/>
      <c r="CY972" s="1399"/>
      <c r="CZ972" s="1399"/>
      <c r="DA972" s="1399"/>
      <c r="DB972" s="1399"/>
      <c r="DC972" s="1399"/>
      <c r="DD972" s="1399"/>
      <c r="DE972" s="1399"/>
      <c r="DF972" s="1399"/>
      <c r="DG972" s="1399"/>
      <c r="DH972" s="1399"/>
      <c r="DI972" s="1399"/>
      <c r="DJ972" s="1399"/>
      <c r="DK972" s="1399"/>
      <c r="DL972" s="1399"/>
      <c r="DM972" s="1399"/>
      <c r="DN972" s="1399"/>
      <c r="DO972" s="1399"/>
      <c r="DP972" s="1399"/>
      <c r="DQ972" s="1399"/>
      <c r="DR972" s="1399"/>
      <c r="DS972" s="1399"/>
      <c r="DT972" s="1399"/>
      <c r="DU972" s="1399"/>
    </row>
    <row r="973" spans="1:125">
      <c r="A973" s="1414"/>
      <c r="B973" s="1414"/>
      <c r="C973" s="1414"/>
      <c r="D973" s="1414"/>
      <c r="E973" s="1414"/>
      <c r="F973" s="1414"/>
      <c r="G973" s="1414"/>
      <c r="H973" s="1414"/>
      <c r="I973" s="1414"/>
      <c r="J973" s="1414"/>
      <c r="K973" s="1414"/>
      <c r="L973" s="1414"/>
      <c r="M973" s="1414"/>
      <c r="N973" s="1414"/>
      <c r="O973" s="1414"/>
      <c r="P973" s="1414"/>
      <c r="Q973" s="1414"/>
      <c r="R973" s="1414"/>
      <c r="S973" s="1414"/>
      <c r="T973" s="1414"/>
      <c r="U973" s="1414"/>
      <c r="V973" s="1414"/>
      <c r="W973" s="1414"/>
      <c r="X973" s="1414"/>
      <c r="Y973" s="1414"/>
      <c r="Z973" s="1414"/>
      <c r="AA973" s="1414"/>
      <c r="AB973" s="1414"/>
      <c r="AC973" s="1414"/>
      <c r="AD973" s="1414"/>
      <c r="AE973" s="1414"/>
      <c r="AF973" s="1414"/>
      <c r="AG973" s="1414"/>
      <c r="AH973" s="1414"/>
      <c r="AI973" s="1414"/>
      <c r="AJ973" s="1414"/>
      <c r="AK973" s="1414"/>
      <c r="AL973" s="1414"/>
      <c r="AM973" s="1414"/>
      <c r="AN973" s="1414"/>
      <c r="AO973" s="1414"/>
      <c r="AP973" s="1414"/>
      <c r="AQ973" s="1414"/>
      <c r="AR973" s="1414"/>
      <c r="AS973" s="1414"/>
      <c r="AT973" s="1414"/>
      <c r="AU973" s="1414"/>
      <c r="AV973" s="1414"/>
      <c r="AW973" s="1414"/>
      <c r="AX973" s="1414"/>
      <c r="AY973" s="1399"/>
      <c r="AZ973" s="1399"/>
      <c r="BA973" s="1399"/>
      <c r="BB973" s="1399"/>
      <c r="BC973" s="1399"/>
      <c r="BD973" s="1399"/>
      <c r="BE973" s="1414"/>
      <c r="BF973" s="1399"/>
      <c r="BG973" s="1399"/>
      <c r="BH973" s="1399"/>
      <c r="BI973" s="1399"/>
      <c r="BJ973" s="1399"/>
      <c r="BK973" s="1399"/>
      <c r="BL973" s="1399"/>
      <c r="BM973" s="1399"/>
      <c r="BN973" s="1399"/>
      <c r="BO973" s="1399"/>
      <c r="BP973" s="1399"/>
      <c r="BQ973" s="1399"/>
      <c r="BR973" s="1399"/>
      <c r="BS973" s="1399"/>
      <c r="BT973" s="1399"/>
      <c r="BU973" s="1399"/>
      <c r="BV973" s="1399"/>
      <c r="BW973" s="1399"/>
      <c r="BX973" s="1399"/>
      <c r="BY973" s="1399"/>
      <c r="BZ973" s="1399"/>
      <c r="CA973" s="1399"/>
      <c r="CB973" s="1399"/>
      <c r="CC973" s="1399"/>
      <c r="CD973" s="1399"/>
      <c r="CE973" s="1399"/>
      <c r="CF973" s="1399"/>
      <c r="CG973" s="1399"/>
      <c r="CH973" s="1399"/>
      <c r="CI973" s="1399"/>
      <c r="CJ973" s="1399"/>
      <c r="CK973" s="1399"/>
      <c r="CL973" s="1399"/>
      <c r="CM973" s="1399"/>
      <c r="CN973" s="1399"/>
      <c r="CO973" s="1399"/>
      <c r="CP973" s="1399"/>
      <c r="CQ973" s="1399"/>
      <c r="CR973" s="1399"/>
      <c r="CS973" s="1399"/>
      <c r="CT973" s="1399"/>
      <c r="CU973" s="1399"/>
      <c r="CV973" s="1399"/>
      <c r="CW973" s="1399"/>
      <c r="CX973" s="1399"/>
      <c r="CY973" s="1399"/>
      <c r="CZ973" s="1399"/>
      <c r="DA973" s="1399"/>
      <c r="DB973" s="1399"/>
      <c r="DC973" s="1399"/>
      <c r="DD973" s="1399"/>
      <c r="DE973" s="1399"/>
      <c r="DF973" s="1399"/>
      <c r="DG973" s="1399"/>
      <c r="DH973" s="1399"/>
      <c r="DI973" s="1399"/>
      <c r="DJ973" s="1399"/>
      <c r="DK973" s="1399"/>
      <c r="DL973" s="1399"/>
      <c r="DM973" s="1399"/>
      <c r="DN973" s="1399"/>
      <c r="DO973" s="1399"/>
      <c r="DP973" s="1399"/>
      <c r="DQ973" s="1399"/>
      <c r="DR973" s="1399"/>
      <c r="DS973" s="1399"/>
      <c r="DT973" s="1399"/>
      <c r="DU973" s="1399"/>
    </row>
    <row r="974" spans="1:125">
      <c r="A974" s="1414"/>
      <c r="B974" s="1414"/>
      <c r="C974" s="1414"/>
      <c r="D974" s="1414"/>
      <c r="E974" s="1414"/>
      <c r="F974" s="1414"/>
      <c r="G974" s="1414"/>
      <c r="H974" s="1414"/>
      <c r="I974" s="1414"/>
      <c r="J974" s="1414"/>
      <c r="K974" s="1414"/>
      <c r="L974" s="1414"/>
      <c r="M974" s="1414"/>
      <c r="N974" s="1414"/>
      <c r="O974" s="1414"/>
      <c r="P974" s="1414"/>
      <c r="Q974" s="1414"/>
      <c r="R974" s="1414"/>
      <c r="S974" s="1414"/>
      <c r="T974" s="1414"/>
      <c r="U974" s="1414"/>
      <c r="V974" s="1414"/>
      <c r="W974" s="1414"/>
      <c r="X974" s="1414"/>
      <c r="Y974" s="1414"/>
      <c r="Z974" s="1414"/>
      <c r="AA974" s="1414"/>
      <c r="AB974" s="1414"/>
      <c r="AC974" s="1414"/>
      <c r="AD974" s="1414"/>
      <c r="AE974" s="1414"/>
      <c r="AF974" s="1414"/>
      <c r="AG974" s="1414"/>
      <c r="AH974" s="1414"/>
      <c r="AI974" s="1414"/>
      <c r="AJ974" s="1414"/>
      <c r="AK974" s="1414"/>
      <c r="AL974" s="1414"/>
      <c r="AM974" s="1414"/>
      <c r="AN974" s="1414"/>
      <c r="AO974" s="1414"/>
      <c r="AP974" s="1414"/>
      <c r="AQ974" s="1414"/>
      <c r="AR974" s="1414"/>
      <c r="AS974" s="1414"/>
      <c r="AT974" s="1414"/>
      <c r="AU974" s="1414"/>
      <c r="AV974" s="1414"/>
      <c r="AW974" s="1414"/>
      <c r="AX974" s="1414"/>
      <c r="AY974" s="1399"/>
      <c r="AZ974" s="1399"/>
      <c r="BA974" s="1399"/>
      <c r="BB974" s="1399"/>
      <c r="BC974" s="1399"/>
      <c r="BD974" s="1399"/>
      <c r="BE974" s="1414"/>
      <c r="BF974" s="1399"/>
      <c r="BG974" s="1399"/>
      <c r="BH974" s="1399"/>
      <c r="BI974" s="1399"/>
      <c r="BJ974" s="1399"/>
      <c r="BK974" s="1399"/>
      <c r="BL974" s="1399"/>
      <c r="BM974" s="1399"/>
      <c r="BN974" s="1399"/>
      <c r="BO974" s="1399"/>
      <c r="BP974" s="1399"/>
      <c r="BQ974" s="1399"/>
      <c r="BR974" s="1399"/>
      <c r="BS974" s="1399"/>
      <c r="BT974" s="1399"/>
      <c r="BU974" s="1399"/>
      <c r="BV974" s="1399"/>
      <c r="BW974" s="1399"/>
      <c r="BX974" s="1399"/>
      <c r="BY974" s="1399"/>
      <c r="BZ974" s="1399"/>
      <c r="CA974" s="1399"/>
      <c r="CB974" s="1399"/>
      <c r="CC974" s="1399"/>
      <c r="CD974" s="1399"/>
      <c r="CE974" s="1399"/>
      <c r="CF974" s="1399"/>
      <c r="CG974" s="1399"/>
      <c r="CH974" s="1399"/>
      <c r="CI974" s="1399"/>
      <c r="CJ974" s="1399"/>
      <c r="CK974" s="1399"/>
      <c r="CL974" s="1399"/>
      <c r="CM974" s="1399"/>
      <c r="CN974" s="1399"/>
      <c r="CO974" s="1399"/>
      <c r="CP974" s="1399"/>
      <c r="CQ974" s="1399"/>
      <c r="CR974" s="1399"/>
      <c r="CS974" s="1399"/>
      <c r="CT974" s="1399"/>
      <c r="CU974" s="1399"/>
      <c r="CV974" s="1399"/>
      <c r="CW974" s="1399"/>
      <c r="CX974" s="1399"/>
      <c r="CY974" s="1399"/>
      <c r="CZ974" s="1399"/>
      <c r="DA974" s="1399"/>
      <c r="DB974" s="1399"/>
      <c r="DC974" s="1399"/>
      <c r="DD974" s="1399"/>
      <c r="DE974" s="1399"/>
      <c r="DF974" s="1399"/>
      <c r="DG974" s="1399"/>
      <c r="DH974" s="1399"/>
      <c r="DI974" s="1399"/>
      <c r="DJ974" s="1399"/>
      <c r="DK974" s="1399"/>
      <c r="DL974" s="1399"/>
      <c r="DM974" s="1399"/>
      <c r="DN974" s="1399"/>
      <c r="DO974" s="1399"/>
      <c r="DP974" s="1399"/>
      <c r="DQ974" s="1399"/>
      <c r="DR974" s="1399"/>
      <c r="DS974" s="1399"/>
      <c r="DT974" s="1399"/>
      <c r="DU974" s="1399"/>
    </row>
    <row r="975" spans="1:125">
      <c r="A975" s="1414"/>
      <c r="B975" s="1414"/>
      <c r="C975" s="1414"/>
      <c r="D975" s="1414"/>
      <c r="E975" s="1414"/>
      <c r="F975" s="1414"/>
      <c r="G975" s="1414"/>
      <c r="H975" s="1414"/>
      <c r="I975" s="1414"/>
      <c r="J975" s="1414"/>
      <c r="K975" s="1414"/>
      <c r="L975" s="1414"/>
      <c r="M975" s="1414"/>
      <c r="N975" s="1414"/>
      <c r="O975" s="1414"/>
      <c r="P975" s="1414"/>
      <c r="Q975" s="1414"/>
      <c r="R975" s="1414"/>
      <c r="S975" s="1414"/>
      <c r="T975" s="1414"/>
      <c r="U975" s="1414"/>
      <c r="V975" s="1414"/>
      <c r="W975" s="1414"/>
      <c r="X975" s="1414"/>
      <c r="Y975" s="1414"/>
      <c r="Z975" s="1414"/>
      <c r="AA975" s="1414"/>
      <c r="AB975" s="1414"/>
      <c r="AC975" s="1414"/>
      <c r="AD975" s="1414"/>
      <c r="AE975" s="1414"/>
      <c r="AF975" s="1414"/>
      <c r="AG975" s="1414"/>
      <c r="AH975" s="1414"/>
      <c r="AI975" s="1414"/>
      <c r="AJ975" s="1414"/>
      <c r="AK975" s="1414"/>
      <c r="AL975" s="1414"/>
      <c r="AM975" s="1414"/>
      <c r="AN975" s="1414"/>
      <c r="AO975" s="1414"/>
      <c r="AP975" s="1414"/>
      <c r="AQ975" s="1414"/>
      <c r="AR975" s="1414"/>
      <c r="AS975" s="1414"/>
      <c r="AT975" s="1414"/>
      <c r="AU975" s="1414"/>
      <c r="AV975" s="1414"/>
      <c r="AW975" s="1414"/>
      <c r="AX975" s="1414"/>
      <c r="AY975" s="1399"/>
      <c r="AZ975" s="1399"/>
      <c r="BA975" s="1399"/>
      <c r="BB975" s="1399"/>
      <c r="BC975" s="1399"/>
      <c r="BD975" s="1399"/>
      <c r="BE975" s="1414"/>
      <c r="BF975" s="1399"/>
      <c r="BG975" s="1399"/>
      <c r="BH975" s="1399"/>
      <c r="BI975" s="1399"/>
      <c r="BJ975" s="1399"/>
      <c r="BK975" s="1399"/>
      <c r="BL975" s="1399"/>
      <c r="BM975" s="1399"/>
      <c r="BN975" s="1399"/>
      <c r="BO975" s="1399"/>
      <c r="BP975" s="1399"/>
      <c r="BQ975" s="1399"/>
      <c r="BR975" s="1399"/>
      <c r="BS975" s="1399"/>
      <c r="BT975" s="1399"/>
      <c r="BU975" s="1399"/>
      <c r="BV975" s="1399"/>
      <c r="BW975" s="1399"/>
      <c r="BX975" s="1399"/>
      <c r="BY975" s="1399"/>
      <c r="BZ975" s="1399"/>
      <c r="CA975" s="1399"/>
      <c r="CB975" s="1399"/>
      <c r="CC975" s="1399"/>
      <c r="CD975" s="1399"/>
      <c r="CE975" s="1399"/>
      <c r="CF975" s="1399"/>
      <c r="CG975" s="1399"/>
      <c r="CH975" s="1399"/>
      <c r="CI975" s="1399"/>
      <c r="CJ975" s="1399"/>
      <c r="CK975" s="1399"/>
      <c r="CL975" s="1399"/>
      <c r="CM975" s="1399"/>
      <c r="CN975" s="1399"/>
      <c r="CO975" s="1399"/>
      <c r="CP975" s="1399"/>
      <c r="CQ975" s="1399"/>
      <c r="CR975" s="1399"/>
      <c r="CS975" s="1399"/>
      <c r="CT975" s="1399"/>
      <c r="CU975" s="1399"/>
      <c r="CV975" s="1399"/>
      <c r="CW975" s="1399"/>
      <c r="CX975" s="1399"/>
      <c r="CY975" s="1399"/>
      <c r="CZ975" s="1399"/>
      <c r="DA975" s="1399"/>
      <c r="DB975" s="1399"/>
      <c r="DC975" s="1399"/>
      <c r="DD975" s="1399"/>
      <c r="DE975" s="1399"/>
      <c r="DF975" s="1399"/>
      <c r="DG975" s="1399"/>
      <c r="DH975" s="1399"/>
      <c r="DI975" s="1399"/>
      <c r="DJ975" s="1399"/>
      <c r="DK975" s="1399"/>
      <c r="DL975" s="1399"/>
      <c r="DM975" s="1399"/>
      <c r="DN975" s="1399"/>
      <c r="DO975" s="1399"/>
      <c r="DP975" s="1399"/>
      <c r="DQ975" s="1399"/>
      <c r="DR975" s="1399"/>
      <c r="DS975" s="1399"/>
      <c r="DT975" s="1399"/>
      <c r="DU975" s="1399"/>
    </row>
    <row r="976" spans="1:125">
      <c r="A976" s="1414"/>
      <c r="B976" s="1414"/>
      <c r="C976" s="1414"/>
      <c r="D976" s="1414"/>
      <c r="E976" s="1414"/>
      <c r="F976" s="1414"/>
      <c r="G976" s="1414"/>
      <c r="H976" s="1414"/>
      <c r="I976" s="1414"/>
      <c r="J976" s="1414"/>
      <c r="K976" s="1414"/>
      <c r="L976" s="1414"/>
      <c r="M976" s="1414"/>
      <c r="N976" s="1414"/>
      <c r="O976" s="1414"/>
      <c r="P976" s="1414"/>
      <c r="Q976" s="1414"/>
      <c r="R976" s="1414"/>
      <c r="S976" s="1414"/>
      <c r="T976" s="1414"/>
      <c r="U976" s="1414"/>
      <c r="V976" s="1414"/>
      <c r="W976" s="1414"/>
      <c r="X976" s="1414"/>
      <c r="Y976" s="1414"/>
      <c r="Z976" s="1414"/>
      <c r="AA976" s="1414"/>
      <c r="AB976" s="1414"/>
      <c r="AC976" s="1414"/>
      <c r="AD976" s="1414"/>
      <c r="AE976" s="1414"/>
      <c r="AF976" s="1414"/>
      <c r="AG976" s="1414"/>
      <c r="AH976" s="1414"/>
      <c r="AI976" s="1414"/>
      <c r="AJ976" s="1414"/>
      <c r="AK976" s="1414"/>
      <c r="AL976" s="1414"/>
      <c r="AM976" s="1414"/>
      <c r="AN976" s="1414"/>
      <c r="AO976" s="1414"/>
      <c r="AP976" s="1414"/>
      <c r="AQ976" s="1414"/>
      <c r="AR976" s="1414"/>
      <c r="AS976" s="1414"/>
      <c r="AT976" s="1414"/>
      <c r="AU976" s="1414"/>
      <c r="AV976" s="1414"/>
      <c r="AW976" s="1414"/>
      <c r="AX976" s="1414"/>
      <c r="AY976" s="1399"/>
      <c r="AZ976" s="1399"/>
      <c r="BA976" s="1399"/>
      <c r="BB976" s="1399"/>
      <c r="BC976" s="1399"/>
      <c r="BD976" s="1399"/>
      <c r="BE976" s="1414"/>
      <c r="BF976" s="1399"/>
      <c r="BG976" s="1399"/>
      <c r="BH976" s="1399"/>
      <c r="BI976" s="1399"/>
      <c r="BJ976" s="1399"/>
      <c r="BK976" s="1399"/>
      <c r="BL976" s="1399"/>
      <c r="BM976" s="1399"/>
      <c r="BN976" s="1399"/>
      <c r="BO976" s="1399"/>
      <c r="BP976" s="1399"/>
      <c r="BQ976" s="1399"/>
      <c r="BR976" s="1399"/>
      <c r="BS976" s="1399"/>
      <c r="BT976" s="1399"/>
      <c r="BU976" s="1399"/>
      <c r="BV976" s="1399"/>
      <c r="BW976" s="1399"/>
      <c r="BX976" s="1399"/>
      <c r="BY976" s="1399"/>
      <c r="BZ976" s="1399"/>
      <c r="CA976" s="1399"/>
      <c r="CB976" s="1399"/>
      <c r="CC976" s="1399"/>
      <c r="CD976" s="1399"/>
      <c r="CE976" s="1399"/>
      <c r="CF976" s="1399"/>
      <c r="CG976" s="1399"/>
      <c r="CH976" s="1399"/>
      <c r="CI976" s="1399"/>
      <c r="CJ976" s="1399"/>
      <c r="CK976" s="1399"/>
      <c r="CL976" s="1399"/>
      <c r="CM976" s="1399"/>
      <c r="CN976" s="1399"/>
      <c r="CO976" s="1399"/>
      <c r="CP976" s="1399"/>
      <c r="CQ976" s="1399"/>
      <c r="CR976" s="1399"/>
      <c r="CS976" s="1399"/>
      <c r="CT976" s="1399"/>
      <c r="CU976" s="1399"/>
      <c r="CV976" s="1399"/>
      <c r="CW976" s="1399"/>
      <c r="CX976" s="1399"/>
      <c r="CY976" s="1399"/>
      <c r="CZ976" s="1399"/>
      <c r="DA976" s="1399"/>
      <c r="DB976" s="1399"/>
      <c r="DC976" s="1399"/>
      <c r="DD976" s="1399"/>
      <c r="DE976" s="1399"/>
      <c r="DF976" s="1399"/>
      <c r="DG976" s="1399"/>
      <c r="DH976" s="1399"/>
      <c r="DI976" s="1399"/>
      <c r="DJ976" s="1399"/>
      <c r="DK976" s="1399"/>
      <c r="DL976" s="1399"/>
      <c r="DM976" s="1399"/>
      <c r="DN976" s="1399"/>
      <c r="DO976" s="1399"/>
      <c r="DP976" s="1399"/>
      <c r="DQ976" s="1399"/>
      <c r="DR976" s="1399"/>
      <c r="DS976" s="1399"/>
      <c r="DT976" s="1399"/>
      <c r="DU976" s="1399"/>
    </row>
    <row r="977" spans="1:125">
      <c r="A977" s="1414"/>
      <c r="B977" s="1414"/>
      <c r="C977" s="1414"/>
      <c r="D977" s="1414"/>
      <c r="E977" s="1414"/>
      <c r="F977" s="1414"/>
      <c r="G977" s="1414"/>
      <c r="H977" s="1414"/>
      <c r="I977" s="1414"/>
      <c r="J977" s="1414"/>
      <c r="K977" s="1414"/>
      <c r="L977" s="1414"/>
      <c r="M977" s="1414"/>
      <c r="N977" s="1414"/>
      <c r="O977" s="1414"/>
      <c r="P977" s="1414"/>
      <c r="Q977" s="1414"/>
      <c r="R977" s="1414"/>
      <c r="S977" s="1414"/>
      <c r="T977" s="1414"/>
      <c r="U977" s="1414"/>
      <c r="V977" s="1414"/>
      <c r="W977" s="1414"/>
      <c r="X977" s="1414"/>
      <c r="Y977" s="1414"/>
      <c r="Z977" s="1414"/>
      <c r="AA977" s="1414"/>
      <c r="AB977" s="1414"/>
      <c r="AC977" s="1414"/>
      <c r="AD977" s="1414"/>
      <c r="AE977" s="1414"/>
      <c r="AF977" s="1414"/>
      <c r="AG977" s="1414"/>
      <c r="AH977" s="1414"/>
      <c r="AI977" s="1414"/>
      <c r="AJ977" s="1414"/>
      <c r="AK977" s="1414"/>
      <c r="AL977" s="1414"/>
      <c r="AM977" s="1414"/>
      <c r="AN977" s="1414"/>
      <c r="AO977" s="1414"/>
      <c r="AP977" s="1414"/>
      <c r="AQ977" s="1414"/>
      <c r="AR977" s="1414"/>
      <c r="AS977" s="1414"/>
      <c r="AT977" s="1414"/>
      <c r="AU977" s="1414"/>
      <c r="AV977" s="1414"/>
      <c r="AW977" s="1414"/>
      <c r="AX977" s="1414"/>
      <c r="AY977" s="1399"/>
      <c r="AZ977" s="1399"/>
      <c r="BA977" s="1399"/>
      <c r="BB977" s="1399"/>
      <c r="BC977" s="1399"/>
      <c r="BD977" s="1399"/>
      <c r="BE977" s="1414"/>
      <c r="BF977" s="1399"/>
      <c r="BG977" s="1399"/>
      <c r="BH977" s="1399"/>
      <c r="BI977" s="1399"/>
      <c r="BJ977" s="1399"/>
      <c r="BK977" s="1399"/>
      <c r="BL977" s="1399"/>
      <c r="BM977" s="1399"/>
      <c r="BN977" s="1399"/>
      <c r="BO977" s="1399"/>
      <c r="BP977" s="1399"/>
      <c r="BQ977" s="1399"/>
      <c r="BR977" s="1399"/>
      <c r="BS977" s="1399"/>
      <c r="BT977" s="1399"/>
      <c r="BU977" s="1399"/>
      <c r="BV977" s="1399"/>
      <c r="BW977" s="1399"/>
      <c r="BX977" s="1399"/>
      <c r="BY977" s="1399"/>
      <c r="BZ977" s="1399"/>
      <c r="CA977" s="1399"/>
      <c r="CB977" s="1399"/>
      <c r="CC977" s="1399"/>
      <c r="CD977" s="1399"/>
      <c r="CE977" s="1399"/>
      <c r="CF977" s="1399"/>
      <c r="CG977" s="1399"/>
      <c r="CH977" s="1399"/>
      <c r="CI977" s="1399"/>
      <c r="CJ977" s="1399"/>
      <c r="CK977" s="1399"/>
      <c r="CL977" s="1399"/>
      <c r="CM977" s="1399"/>
      <c r="CN977" s="1399"/>
      <c r="CO977" s="1399"/>
      <c r="CP977" s="1399"/>
      <c r="CQ977" s="1399"/>
      <c r="CR977" s="1399"/>
      <c r="CS977" s="1399"/>
      <c r="CT977" s="1399"/>
      <c r="CU977" s="1399"/>
      <c r="CV977" s="1399"/>
      <c r="CW977" s="1399"/>
      <c r="CX977" s="1399"/>
      <c r="CY977" s="1399"/>
      <c r="CZ977" s="1399"/>
      <c r="DA977" s="1399"/>
      <c r="DB977" s="1399"/>
      <c r="DC977" s="1399"/>
      <c r="DD977" s="1399"/>
      <c r="DE977" s="1399"/>
      <c r="DF977" s="1399"/>
      <c r="DG977" s="1399"/>
      <c r="DH977" s="1399"/>
      <c r="DI977" s="1399"/>
      <c r="DJ977" s="1399"/>
      <c r="DK977" s="1399"/>
      <c r="DL977" s="1399"/>
      <c r="DM977" s="1399"/>
      <c r="DN977" s="1399"/>
      <c r="DO977" s="1399"/>
      <c r="DP977" s="1399"/>
      <c r="DQ977" s="1399"/>
      <c r="DR977" s="1399"/>
      <c r="DS977" s="1399"/>
      <c r="DT977" s="1399"/>
      <c r="DU977" s="1399"/>
    </row>
    <row r="978" spans="1:125">
      <c r="A978" s="1414"/>
      <c r="B978" s="1414"/>
      <c r="C978" s="1414"/>
      <c r="D978" s="1414"/>
      <c r="E978" s="1414"/>
      <c r="F978" s="1414"/>
      <c r="G978" s="1414"/>
      <c r="H978" s="1414"/>
      <c r="I978" s="1414"/>
      <c r="J978" s="1414"/>
      <c r="K978" s="1414"/>
      <c r="L978" s="1414"/>
      <c r="M978" s="1414"/>
      <c r="N978" s="1414"/>
      <c r="O978" s="1414"/>
      <c r="P978" s="1414"/>
      <c r="Q978" s="1414"/>
      <c r="R978" s="1414"/>
      <c r="S978" s="1414"/>
      <c r="T978" s="1414"/>
      <c r="U978" s="1414"/>
      <c r="V978" s="1414"/>
      <c r="W978" s="1414"/>
      <c r="X978" s="1414"/>
      <c r="Y978" s="1414"/>
      <c r="Z978" s="1414"/>
      <c r="AA978" s="1414"/>
      <c r="AB978" s="1414"/>
      <c r="AC978" s="1414"/>
      <c r="AD978" s="1414"/>
      <c r="AE978" s="1414"/>
      <c r="AF978" s="1414"/>
      <c r="AG978" s="1414"/>
      <c r="AH978" s="1414"/>
      <c r="AI978" s="1414"/>
      <c r="AJ978" s="1414"/>
      <c r="AK978" s="1414"/>
      <c r="AL978" s="1414"/>
      <c r="AM978" s="1414"/>
      <c r="AN978" s="1414"/>
      <c r="AO978" s="1414"/>
      <c r="AP978" s="1414"/>
      <c r="AQ978" s="1414"/>
      <c r="AR978" s="1414"/>
      <c r="AS978" s="1414"/>
      <c r="AT978" s="1414"/>
      <c r="AU978" s="1414"/>
      <c r="AV978" s="1414"/>
      <c r="AW978" s="1414"/>
      <c r="AX978" s="1414"/>
      <c r="AY978" s="1399"/>
      <c r="AZ978" s="1399"/>
      <c r="BA978" s="1399"/>
      <c r="BB978" s="1399"/>
      <c r="BC978" s="1399"/>
      <c r="BD978" s="1399"/>
      <c r="BE978" s="1414"/>
      <c r="BF978" s="1399"/>
      <c r="BG978" s="1399"/>
      <c r="BH978" s="1399"/>
      <c r="BI978" s="1399"/>
      <c r="BJ978" s="1399"/>
      <c r="BK978" s="1399"/>
      <c r="BL978" s="1399"/>
      <c r="BM978" s="1399"/>
      <c r="BN978" s="1399"/>
      <c r="BO978" s="1399"/>
      <c r="BP978" s="1399"/>
      <c r="BQ978" s="1399"/>
      <c r="BR978" s="1399"/>
      <c r="BS978" s="1399"/>
      <c r="BT978" s="1399"/>
      <c r="BU978" s="1399"/>
      <c r="BV978" s="1399"/>
      <c r="BW978" s="1399"/>
      <c r="BX978" s="1399"/>
      <c r="BY978" s="1399"/>
      <c r="BZ978" s="1399"/>
      <c r="CA978" s="1399"/>
      <c r="CB978" s="1399"/>
      <c r="CC978" s="1399"/>
      <c r="CD978" s="1399"/>
      <c r="CE978" s="1399"/>
      <c r="CF978" s="1399"/>
      <c r="CG978" s="1399"/>
      <c r="CH978" s="1399"/>
      <c r="CI978" s="1399"/>
      <c r="CJ978" s="1399"/>
      <c r="CK978" s="1399"/>
      <c r="CL978" s="1399"/>
      <c r="CM978" s="1399"/>
      <c r="CN978" s="1399"/>
      <c r="CO978" s="1399"/>
      <c r="CP978" s="1399"/>
      <c r="CQ978" s="1399"/>
      <c r="CR978" s="1399"/>
      <c r="CS978" s="1399"/>
      <c r="CT978" s="1399"/>
      <c r="CU978" s="1399"/>
      <c r="CV978" s="1399"/>
      <c r="CW978" s="1399"/>
      <c r="CX978" s="1399"/>
      <c r="CY978" s="1399"/>
      <c r="CZ978" s="1399"/>
      <c r="DA978" s="1399"/>
      <c r="DB978" s="1399"/>
      <c r="DC978" s="1399"/>
      <c r="DD978" s="1399"/>
      <c r="DE978" s="1399"/>
      <c r="DF978" s="1399"/>
      <c r="DG978" s="1399"/>
      <c r="DH978" s="1399"/>
      <c r="DI978" s="1399"/>
      <c r="DJ978" s="1399"/>
      <c r="DK978" s="1399"/>
      <c r="DL978" s="1399"/>
      <c r="DM978" s="1399"/>
      <c r="DN978" s="1399"/>
      <c r="DO978" s="1399"/>
      <c r="DP978" s="1399"/>
      <c r="DQ978" s="1399"/>
      <c r="DR978" s="1399"/>
      <c r="DS978" s="1399"/>
      <c r="DT978" s="1399"/>
      <c r="DU978" s="1399"/>
    </row>
    <row r="979" spans="1:125">
      <c r="A979" s="1414"/>
      <c r="B979" s="1414"/>
      <c r="C979" s="1414"/>
      <c r="D979" s="1414"/>
      <c r="E979" s="1414"/>
      <c r="F979" s="1414"/>
      <c r="G979" s="1414"/>
      <c r="H979" s="1414"/>
      <c r="I979" s="1414"/>
      <c r="J979" s="1414"/>
      <c r="K979" s="1414"/>
      <c r="L979" s="1414"/>
      <c r="M979" s="1414"/>
      <c r="N979" s="1414"/>
      <c r="O979" s="1414"/>
      <c r="P979" s="1414"/>
      <c r="Q979" s="1414"/>
      <c r="R979" s="1414"/>
      <c r="S979" s="1414"/>
      <c r="T979" s="1414"/>
      <c r="U979" s="1414"/>
      <c r="V979" s="1414"/>
      <c r="W979" s="1414"/>
      <c r="X979" s="1414"/>
      <c r="Y979" s="1414"/>
      <c r="Z979" s="1414"/>
      <c r="AA979" s="1414"/>
      <c r="AB979" s="1414"/>
      <c r="AC979" s="1414"/>
      <c r="AD979" s="1414"/>
      <c r="AE979" s="1414"/>
      <c r="AF979" s="1414"/>
      <c r="AG979" s="1414"/>
      <c r="AH979" s="1414"/>
      <c r="AI979" s="1414"/>
      <c r="AJ979" s="1414"/>
      <c r="AK979" s="1414"/>
      <c r="AL979" s="1414"/>
      <c r="AM979" s="1414"/>
      <c r="AN979" s="1414"/>
      <c r="AO979" s="1414"/>
      <c r="AP979" s="1414"/>
      <c r="AQ979" s="1414"/>
      <c r="AR979" s="1414"/>
      <c r="AS979" s="1414"/>
      <c r="AT979" s="1414"/>
      <c r="AU979" s="1414"/>
      <c r="AV979" s="1414"/>
      <c r="AW979" s="1414"/>
      <c r="AX979" s="1414"/>
      <c r="AY979" s="1399"/>
      <c r="AZ979" s="1399"/>
      <c r="BA979" s="1399"/>
      <c r="BB979" s="1399"/>
      <c r="BC979" s="1399"/>
      <c r="BD979" s="1399"/>
      <c r="BE979" s="1414"/>
      <c r="BF979" s="1399"/>
      <c r="BG979" s="1399"/>
      <c r="BH979" s="1399"/>
      <c r="BI979" s="1399"/>
      <c r="BJ979" s="1399"/>
      <c r="BK979" s="1399"/>
      <c r="BL979" s="1399"/>
      <c r="BM979" s="1399"/>
      <c r="BN979" s="1399"/>
      <c r="BO979" s="1399"/>
      <c r="BP979" s="1399"/>
      <c r="BQ979" s="1399"/>
      <c r="BR979" s="1399"/>
      <c r="BS979" s="1399"/>
      <c r="BT979" s="1399"/>
      <c r="BU979" s="1399"/>
      <c r="BV979" s="1399"/>
      <c r="BW979" s="1399"/>
      <c r="BX979" s="1399"/>
      <c r="BY979" s="1399"/>
      <c r="BZ979" s="1399"/>
      <c r="CA979" s="1399"/>
      <c r="CB979" s="1399"/>
      <c r="CC979" s="1399"/>
      <c r="CD979" s="1399"/>
      <c r="CE979" s="1399"/>
      <c r="CF979" s="1399"/>
      <c r="CG979" s="1399"/>
      <c r="CH979" s="1399"/>
      <c r="CI979" s="1399"/>
      <c r="CJ979" s="1399"/>
      <c r="CK979" s="1399"/>
      <c r="CL979" s="1399"/>
      <c r="CM979" s="1399"/>
      <c r="CN979" s="1399"/>
      <c r="CO979" s="1399"/>
      <c r="CP979" s="1399"/>
      <c r="CQ979" s="1399"/>
      <c r="CR979" s="1399"/>
      <c r="CS979" s="1399"/>
      <c r="CT979" s="1399"/>
      <c r="CU979" s="1399"/>
      <c r="CV979" s="1399"/>
      <c r="CW979" s="1399"/>
      <c r="CX979" s="1399"/>
      <c r="CY979" s="1399"/>
      <c r="CZ979" s="1399"/>
      <c r="DA979" s="1399"/>
      <c r="DB979" s="1399"/>
      <c r="DC979" s="1399"/>
      <c r="DD979" s="1399"/>
      <c r="DE979" s="1399"/>
      <c r="DF979" s="1399"/>
      <c r="DG979" s="1399"/>
      <c r="DH979" s="1399"/>
      <c r="DI979" s="1399"/>
      <c r="DJ979" s="1399"/>
      <c r="DK979" s="1399"/>
      <c r="DL979" s="1399"/>
      <c r="DM979" s="1399"/>
      <c r="DN979" s="1399"/>
      <c r="DO979" s="1399"/>
      <c r="DP979" s="1399"/>
      <c r="DQ979" s="1399"/>
      <c r="DR979" s="1399"/>
      <c r="DS979" s="1399"/>
      <c r="DT979" s="1399"/>
      <c r="DU979" s="1399"/>
    </row>
    <row r="980" spans="1:125">
      <c r="A980" s="1414"/>
      <c r="B980" s="1414"/>
      <c r="C980" s="1414"/>
      <c r="D980" s="1414"/>
      <c r="E980" s="1414"/>
      <c r="F980" s="1414"/>
      <c r="G980" s="1414"/>
      <c r="H980" s="1414"/>
      <c r="I980" s="1414"/>
      <c r="J980" s="1414"/>
      <c r="K980" s="1414"/>
      <c r="L980" s="1414"/>
      <c r="M980" s="1414"/>
      <c r="N980" s="1414"/>
      <c r="O980" s="1414"/>
      <c r="P980" s="1414"/>
      <c r="Q980" s="1414"/>
      <c r="R980" s="1414"/>
      <c r="S980" s="1414"/>
      <c r="T980" s="1414"/>
      <c r="U980" s="1414"/>
      <c r="V980" s="1414"/>
      <c r="W980" s="1414"/>
      <c r="X980" s="1414"/>
      <c r="Y980" s="1414"/>
      <c r="Z980" s="1414"/>
      <c r="AA980" s="1414"/>
      <c r="AB980" s="1414"/>
      <c r="AC980" s="1414"/>
      <c r="AD980" s="1414"/>
      <c r="AE980" s="1414"/>
      <c r="AF980" s="1414"/>
      <c r="AG980" s="1414"/>
      <c r="AH980" s="1414"/>
      <c r="AI980" s="1414"/>
      <c r="AJ980" s="1414"/>
      <c r="AK980" s="1414"/>
      <c r="AL980" s="1414"/>
      <c r="AM980" s="1414"/>
      <c r="AN980" s="1414"/>
      <c r="AO980" s="1414"/>
      <c r="AP980" s="1414"/>
      <c r="AQ980" s="1414"/>
      <c r="AR980" s="1414"/>
      <c r="AS980" s="1414"/>
      <c r="AT980" s="1414"/>
      <c r="AU980" s="1414"/>
      <c r="AV980" s="1414"/>
      <c r="AW980" s="1414"/>
      <c r="AX980" s="1414"/>
      <c r="AY980" s="1399"/>
      <c r="AZ980" s="1399"/>
      <c r="BA980" s="1399"/>
      <c r="BB980" s="1399"/>
      <c r="BC980" s="1399"/>
      <c r="BD980" s="1399"/>
      <c r="BE980" s="1414"/>
      <c r="BF980" s="1399"/>
      <c r="BG980" s="1399"/>
      <c r="BH980" s="1399"/>
      <c r="BI980" s="1399"/>
      <c r="BJ980" s="1399"/>
      <c r="BK980" s="1399"/>
      <c r="BL980" s="1399"/>
      <c r="BM980" s="1399"/>
      <c r="BN980" s="1399"/>
      <c r="BO980" s="1399"/>
      <c r="BP980" s="1399"/>
      <c r="BQ980" s="1399"/>
      <c r="BR980" s="1399"/>
      <c r="BS980" s="1399"/>
      <c r="BT980" s="1399"/>
      <c r="BU980" s="1399"/>
      <c r="BV980" s="1399"/>
      <c r="BW980" s="1399"/>
      <c r="BX980" s="1399"/>
      <c r="BY980" s="1399"/>
      <c r="BZ980" s="1399"/>
      <c r="CA980" s="1399"/>
      <c r="CB980" s="1399"/>
      <c r="CC980" s="1399"/>
      <c r="CD980" s="1399"/>
      <c r="CE980" s="1399"/>
      <c r="CF980" s="1399"/>
      <c r="CG980" s="1399"/>
      <c r="CH980" s="1399"/>
      <c r="CI980" s="1399"/>
      <c r="CJ980" s="1399"/>
      <c r="CK980" s="1399"/>
      <c r="CL980" s="1399"/>
      <c r="CM980" s="1399"/>
      <c r="CN980" s="1399"/>
      <c r="CO980" s="1399"/>
      <c r="CP980" s="1399"/>
      <c r="CQ980" s="1399"/>
      <c r="CR980" s="1399"/>
      <c r="CS980" s="1399"/>
      <c r="CT980" s="1399"/>
      <c r="CU980" s="1399"/>
      <c r="CV980" s="1399"/>
      <c r="CW980" s="1399"/>
      <c r="CX980" s="1399"/>
      <c r="CY980" s="1399"/>
      <c r="CZ980" s="1399"/>
      <c r="DA980" s="1399"/>
      <c r="DB980" s="1399"/>
      <c r="DC980" s="1399"/>
      <c r="DD980" s="1399"/>
      <c r="DE980" s="1399"/>
      <c r="DF980" s="1399"/>
      <c r="DG980" s="1399"/>
      <c r="DH980" s="1399"/>
      <c r="DI980" s="1399"/>
      <c r="DJ980" s="1399"/>
      <c r="DK980" s="1399"/>
      <c r="DL980" s="1399"/>
      <c r="DM980" s="1399"/>
      <c r="DN980" s="1399"/>
      <c r="DO980" s="1399"/>
      <c r="DP980" s="1399"/>
      <c r="DQ980" s="1399"/>
      <c r="DR980" s="1399"/>
      <c r="DS980" s="1399"/>
      <c r="DT980" s="1399"/>
      <c r="DU980" s="1399"/>
    </row>
    <row r="981" spans="1:125">
      <c r="A981" s="1414"/>
      <c r="B981" s="1414"/>
      <c r="C981" s="1414"/>
      <c r="D981" s="1414"/>
      <c r="E981" s="1414"/>
      <c r="F981" s="1414"/>
      <c r="G981" s="1414"/>
      <c r="H981" s="1414"/>
      <c r="I981" s="1414"/>
      <c r="J981" s="1414"/>
      <c r="K981" s="1414"/>
      <c r="L981" s="1414"/>
      <c r="M981" s="1414"/>
      <c r="N981" s="1414"/>
      <c r="O981" s="1414"/>
      <c r="P981" s="1414"/>
      <c r="Q981" s="1414"/>
      <c r="R981" s="1414"/>
      <c r="S981" s="1414"/>
      <c r="T981" s="1414"/>
      <c r="U981" s="1414"/>
      <c r="V981" s="1414"/>
      <c r="W981" s="1414"/>
      <c r="X981" s="1414"/>
      <c r="Y981" s="1414"/>
      <c r="Z981" s="1414"/>
      <c r="AA981" s="1414"/>
      <c r="AB981" s="1414"/>
      <c r="AC981" s="1414"/>
      <c r="AD981" s="1414"/>
      <c r="AE981" s="1414"/>
      <c r="AF981" s="1414"/>
      <c r="AG981" s="1414"/>
      <c r="AH981" s="1414"/>
      <c r="AI981" s="1414"/>
      <c r="AJ981" s="1414"/>
      <c r="AK981" s="1414"/>
      <c r="AL981" s="1414"/>
      <c r="AM981" s="1414"/>
      <c r="AN981" s="1414"/>
      <c r="AO981" s="1414"/>
      <c r="AP981" s="1414"/>
      <c r="AQ981" s="1414"/>
      <c r="AR981" s="1414"/>
      <c r="AS981" s="1414"/>
      <c r="AT981" s="1414"/>
      <c r="AU981" s="1414"/>
      <c r="AV981" s="1414"/>
      <c r="AW981" s="1414"/>
      <c r="AX981" s="1414"/>
      <c r="AY981" s="1399"/>
      <c r="AZ981" s="1399"/>
      <c r="BA981" s="1399"/>
      <c r="BB981" s="1399"/>
      <c r="BC981" s="1399"/>
      <c r="BD981" s="1399"/>
      <c r="BE981" s="1414"/>
      <c r="BF981" s="1399"/>
      <c r="BG981" s="1399"/>
      <c r="BH981" s="1399"/>
      <c r="BI981" s="1399"/>
      <c r="BJ981" s="1399"/>
      <c r="BK981" s="1399"/>
      <c r="BL981" s="1399"/>
      <c r="BM981" s="1399"/>
      <c r="BN981" s="1399"/>
      <c r="BO981" s="1399"/>
      <c r="BP981" s="1399"/>
      <c r="BQ981" s="1399"/>
      <c r="BR981" s="1399"/>
      <c r="BS981" s="1399"/>
      <c r="BT981" s="1399"/>
      <c r="BU981" s="1399"/>
      <c r="BV981" s="1399"/>
      <c r="BW981" s="1399"/>
      <c r="BX981" s="1399"/>
      <c r="BY981" s="1399"/>
      <c r="BZ981" s="1399"/>
      <c r="CA981" s="1399"/>
      <c r="CB981" s="1399"/>
      <c r="CC981" s="1399"/>
      <c r="CD981" s="1399"/>
      <c r="CE981" s="1399"/>
      <c r="CF981" s="1399"/>
      <c r="CG981" s="1399"/>
      <c r="CH981" s="1399"/>
      <c r="CI981" s="1399"/>
      <c r="CJ981" s="1399"/>
      <c r="CK981" s="1399"/>
      <c r="CL981" s="1399"/>
      <c r="CM981" s="1399"/>
      <c r="CN981" s="1399"/>
      <c r="CO981" s="1399"/>
      <c r="CP981" s="1399"/>
      <c r="CQ981" s="1399"/>
      <c r="CR981" s="1399"/>
      <c r="CS981" s="1399"/>
      <c r="CT981" s="1399"/>
      <c r="CU981" s="1399"/>
      <c r="CV981" s="1399"/>
      <c r="CW981" s="1399"/>
      <c r="CX981" s="1399"/>
      <c r="CY981" s="1399"/>
      <c r="CZ981" s="1399"/>
      <c r="DA981" s="1399"/>
      <c r="DB981" s="1399"/>
      <c r="DC981" s="1399"/>
      <c r="DD981" s="1399"/>
      <c r="DE981" s="1399"/>
      <c r="DF981" s="1399"/>
      <c r="DG981" s="1399"/>
      <c r="DH981" s="1399"/>
      <c r="DI981" s="1399"/>
      <c r="DJ981" s="1399"/>
      <c r="DK981" s="1399"/>
      <c r="DL981" s="1399"/>
      <c r="DM981" s="1399"/>
      <c r="DN981" s="1399"/>
      <c r="DO981" s="1399"/>
      <c r="DP981" s="1399"/>
      <c r="DQ981" s="1399"/>
      <c r="DR981" s="1399"/>
      <c r="DS981" s="1399"/>
      <c r="DT981" s="1399"/>
      <c r="DU981" s="1399"/>
    </row>
    <row r="982" spans="1:125">
      <c r="A982" s="1414"/>
      <c r="B982" s="1414"/>
      <c r="C982" s="1414"/>
      <c r="D982" s="1414"/>
      <c r="E982" s="1414"/>
      <c r="F982" s="1414"/>
      <c r="G982" s="1414"/>
      <c r="H982" s="1414"/>
      <c r="I982" s="1414"/>
      <c r="J982" s="1414"/>
      <c r="K982" s="1414"/>
      <c r="L982" s="1414"/>
      <c r="M982" s="1414"/>
      <c r="N982" s="1414"/>
      <c r="O982" s="1414"/>
      <c r="P982" s="1414"/>
      <c r="Q982" s="1414"/>
      <c r="R982" s="1414"/>
      <c r="S982" s="1414"/>
      <c r="T982" s="1414"/>
      <c r="U982" s="1414"/>
      <c r="V982" s="1414"/>
      <c r="W982" s="1414"/>
      <c r="X982" s="1414"/>
      <c r="Y982" s="1414"/>
      <c r="Z982" s="1414"/>
      <c r="AA982" s="1414"/>
      <c r="AB982" s="1414"/>
      <c r="AC982" s="1414"/>
      <c r="AD982" s="1414"/>
      <c r="AE982" s="1414"/>
      <c r="AF982" s="1414"/>
      <c r="AG982" s="1414"/>
      <c r="AH982" s="1414"/>
      <c r="AI982" s="1414"/>
      <c r="AJ982" s="1414"/>
      <c r="AK982" s="1414"/>
      <c r="AL982" s="1414"/>
      <c r="AM982" s="1414"/>
      <c r="AN982" s="1414"/>
      <c r="AO982" s="1414"/>
      <c r="AP982" s="1414"/>
      <c r="AQ982" s="1414"/>
      <c r="AR982" s="1414"/>
      <c r="AS982" s="1414"/>
      <c r="AT982" s="1414"/>
      <c r="AU982" s="1414"/>
      <c r="AV982" s="1414"/>
      <c r="AW982" s="1414"/>
      <c r="AX982" s="1414"/>
      <c r="AY982" s="1399"/>
      <c r="AZ982" s="1399"/>
      <c r="BA982" s="1399"/>
      <c r="BB982" s="1399"/>
      <c r="BC982" s="1399"/>
      <c r="BD982" s="1399"/>
      <c r="BE982" s="1414"/>
      <c r="BF982" s="1399"/>
      <c r="BG982" s="1399"/>
      <c r="BH982" s="1399"/>
      <c r="BI982" s="1399"/>
      <c r="BJ982" s="1399"/>
      <c r="BK982" s="1399"/>
      <c r="BL982" s="1399"/>
      <c r="BM982" s="1399"/>
      <c r="BN982" s="1399"/>
      <c r="BO982" s="1399"/>
      <c r="BP982" s="1399"/>
      <c r="BQ982" s="1399"/>
      <c r="BR982" s="1399"/>
      <c r="BS982" s="1399"/>
      <c r="BT982" s="1399"/>
      <c r="BU982" s="1399"/>
      <c r="BV982" s="1399"/>
      <c r="BW982" s="1399"/>
      <c r="BX982" s="1399"/>
      <c r="BY982" s="1399"/>
      <c r="BZ982" s="1399"/>
      <c r="CA982" s="1399"/>
      <c r="CB982" s="1399"/>
      <c r="CC982" s="1399"/>
      <c r="CD982" s="1399"/>
      <c r="CE982" s="1399"/>
      <c r="CF982" s="1399"/>
      <c r="CG982" s="1399"/>
      <c r="CH982" s="1399"/>
      <c r="CI982" s="1399"/>
      <c r="CJ982" s="1399"/>
      <c r="CK982" s="1399"/>
      <c r="CL982" s="1399"/>
      <c r="CM982" s="1399"/>
      <c r="CN982" s="1399"/>
      <c r="CO982" s="1399"/>
      <c r="CP982" s="1399"/>
      <c r="CQ982" s="1399"/>
      <c r="CR982" s="1399"/>
      <c r="CS982" s="1399"/>
      <c r="CT982" s="1399"/>
      <c r="CU982" s="1399"/>
      <c r="CV982" s="1399"/>
      <c r="CW982" s="1399"/>
      <c r="CX982" s="1399"/>
      <c r="CY982" s="1399"/>
      <c r="CZ982" s="1399"/>
      <c r="DA982" s="1399"/>
      <c r="DB982" s="1399"/>
      <c r="DC982" s="1399"/>
      <c r="DD982" s="1399"/>
      <c r="DE982" s="1399"/>
      <c r="DF982" s="1399"/>
      <c r="DG982" s="1399"/>
      <c r="DH982" s="1399"/>
      <c r="DI982" s="1399"/>
      <c r="DJ982" s="1399"/>
      <c r="DK982" s="1399"/>
      <c r="DL982" s="1399"/>
      <c r="DM982" s="1399"/>
      <c r="DN982" s="1399"/>
      <c r="DO982" s="1399"/>
      <c r="DP982" s="1399"/>
      <c r="DQ982" s="1399"/>
      <c r="DR982" s="1399"/>
      <c r="DS982" s="1399"/>
      <c r="DT982" s="1399"/>
      <c r="DU982" s="1399"/>
    </row>
    <row r="983" spans="1:125">
      <c r="A983" s="1414"/>
      <c r="B983" s="1414"/>
      <c r="C983" s="1414"/>
      <c r="D983" s="1414"/>
      <c r="E983" s="1414"/>
      <c r="F983" s="1414"/>
      <c r="G983" s="1414"/>
      <c r="H983" s="1414"/>
      <c r="I983" s="1414"/>
      <c r="J983" s="1414"/>
      <c r="K983" s="1414"/>
      <c r="L983" s="1414"/>
      <c r="M983" s="1414"/>
      <c r="N983" s="1414"/>
      <c r="O983" s="1414"/>
      <c r="P983" s="1414"/>
      <c r="Q983" s="1414"/>
      <c r="R983" s="1414"/>
      <c r="S983" s="1414"/>
      <c r="T983" s="1414"/>
      <c r="U983" s="1414"/>
      <c r="V983" s="1414"/>
      <c r="W983" s="1414"/>
      <c r="X983" s="1414"/>
      <c r="Y983" s="1414"/>
      <c r="Z983" s="1414"/>
      <c r="AA983" s="1414"/>
      <c r="AB983" s="1414"/>
      <c r="AC983" s="1414"/>
      <c r="AD983" s="1414"/>
      <c r="AE983" s="1414"/>
      <c r="AF983" s="1414"/>
      <c r="AG983" s="1414"/>
      <c r="AH983" s="1414"/>
      <c r="AI983" s="1414"/>
      <c r="AJ983" s="1414"/>
      <c r="AK983" s="1414"/>
      <c r="AL983" s="1414"/>
      <c r="AM983" s="1414"/>
      <c r="AN983" s="1414"/>
      <c r="AO983" s="1414"/>
      <c r="AP983" s="1414"/>
      <c r="AQ983" s="1414"/>
      <c r="AR983" s="1414"/>
      <c r="AS983" s="1414"/>
      <c r="AT983" s="1414"/>
      <c r="AU983" s="1414"/>
      <c r="AV983" s="1414"/>
      <c r="AW983" s="1414"/>
      <c r="AX983" s="1414"/>
      <c r="AY983" s="1399"/>
      <c r="AZ983" s="1399"/>
      <c r="BA983" s="1399"/>
      <c r="BB983" s="1399"/>
      <c r="BC983" s="1399"/>
      <c r="BD983" s="1399"/>
      <c r="BE983" s="1414"/>
      <c r="BF983" s="1399"/>
      <c r="BG983" s="1399"/>
      <c r="BH983" s="1399"/>
      <c r="BI983" s="1399"/>
      <c r="BJ983" s="1399"/>
      <c r="BK983" s="1399"/>
      <c r="BL983" s="1399"/>
      <c r="BM983" s="1399"/>
      <c r="BN983" s="1399"/>
      <c r="BO983" s="1399"/>
      <c r="BP983" s="1399"/>
      <c r="BQ983" s="1399"/>
      <c r="BR983" s="1399"/>
      <c r="BS983" s="1399"/>
      <c r="BT983" s="1399"/>
      <c r="BU983" s="1399"/>
      <c r="BV983" s="1399"/>
      <c r="BW983" s="1399"/>
      <c r="BX983" s="1399"/>
      <c r="BY983" s="1399"/>
      <c r="BZ983" s="1399"/>
      <c r="CA983" s="1399"/>
      <c r="CB983" s="1399"/>
      <c r="CC983" s="1399"/>
      <c r="CD983" s="1399"/>
      <c r="CE983" s="1399"/>
      <c r="CF983" s="1399"/>
      <c r="CG983" s="1399"/>
      <c r="CH983" s="1399"/>
      <c r="CI983" s="1399"/>
      <c r="CJ983" s="1399"/>
      <c r="CK983" s="1399"/>
      <c r="CL983" s="1399"/>
      <c r="CM983" s="1399"/>
      <c r="CN983" s="1399"/>
      <c r="CO983" s="1399"/>
      <c r="CP983" s="1399"/>
      <c r="CQ983" s="1399"/>
      <c r="CR983" s="1399"/>
      <c r="CS983" s="1399"/>
      <c r="CT983" s="1399"/>
      <c r="CU983" s="1399"/>
      <c r="CV983" s="1399"/>
      <c r="CW983" s="1399"/>
      <c r="CX983" s="1399"/>
      <c r="CY983" s="1399"/>
      <c r="CZ983" s="1399"/>
      <c r="DA983" s="1399"/>
      <c r="DB983" s="1399"/>
      <c r="DC983" s="1399"/>
      <c r="DD983" s="1399"/>
      <c r="DE983" s="1399"/>
      <c r="DF983" s="1399"/>
      <c r="DG983" s="1399"/>
      <c r="DH983" s="1399"/>
      <c r="DI983" s="1399"/>
      <c r="DJ983" s="1399"/>
      <c r="DK983" s="1399"/>
      <c r="DL983" s="1399"/>
      <c r="DM983" s="1399"/>
      <c r="DN983" s="1399"/>
      <c r="DO983" s="1399"/>
      <c r="DP983" s="1399"/>
      <c r="DQ983" s="1399"/>
      <c r="DR983" s="1399"/>
      <c r="DS983" s="1399"/>
      <c r="DT983" s="1399"/>
      <c r="DU983" s="1399"/>
    </row>
    <row r="984" spans="1:125">
      <c r="A984" s="1414"/>
      <c r="B984" s="1414"/>
      <c r="C984" s="1414"/>
      <c r="D984" s="1414"/>
      <c r="E984" s="1414"/>
      <c r="F984" s="1414"/>
      <c r="G984" s="1414"/>
      <c r="H984" s="1414"/>
      <c r="I984" s="1414"/>
      <c r="J984" s="1414"/>
      <c r="K984" s="1414"/>
      <c r="L984" s="1414"/>
      <c r="M984" s="1414"/>
      <c r="N984" s="1414"/>
      <c r="O984" s="1414"/>
      <c r="P984" s="1414"/>
      <c r="Q984" s="1414"/>
      <c r="R984" s="1414"/>
      <c r="S984" s="1414"/>
      <c r="T984" s="1414"/>
      <c r="U984" s="1414"/>
      <c r="V984" s="1414"/>
      <c r="W984" s="1414"/>
      <c r="X984" s="1414"/>
      <c r="Y984" s="1414"/>
      <c r="Z984" s="1414"/>
      <c r="AA984" s="1414"/>
      <c r="AB984" s="1414"/>
      <c r="AC984" s="1414"/>
      <c r="AD984" s="1414"/>
      <c r="AE984" s="1414"/>
      <c r="AF984" s="1414"/>
      <c r="AG984" s="1414"/>
      <c r="AH984" s="1414"/>
      <c r="AI984" s="1414"/>
      <c r="AJ984" s="1414"/>
      <c r="AK984" s="1414"/>
      <c r="AL984" s="1414"/>
      <c r="AM984" s="1414"/>
      <c r="AN984" s="1414"/>
      <c r="AO984" s="1414"/>
      <c r="AP984" s="1414"/>
      <c r="AQ984" s="1414"/>
      <c r="AR984" s="1414"/>
      <c r="AS984" s="1414"/>
      <c r="AT984" s="1414"/>
      <c r="AU984" s="1414"/>
      <c r="AV984" s="1414"/>
      <c r="AW984" s="1414"/>
      <c r="AX984" s="1414"/>
      <c r="AY984" s="1399"/>
      <c r="AZ984" s="1399"/>
      <c r="BA984" s="1399"/>
      <c r="BB984" s="1399"/>
      <c r="BC984" s="1399"/>
      <c r="BD984" s="1399"/>
      <c r="BE984" s="1414"/>
      <c r="BF984" s="1399"/>
      <c r="BG984" s="1399"/>
      <c r="BH984" s="1399"/>
      <c r="BI984" s="1399"/>
      <c r="BJ984" s="1399"/>
      <c r="BK984" s="1399"/>
      <c r="BL984" s="1399"/>
      <c r="BM984" s="1399"/>
      <c r="BN984" s="1399"/>
      <c r="BO984" s="1399"/>
      <c r="BP984" s="1399"/>
      <c r="BQ984" s="1399"/>
      <c r="BR984" s="1399"/>
      <c r="BS984" s="1399"/>
      <c r="BT984" s="1399"/>
      <c r="BU984" s="1399"/>
      <c r="BV984" s="1399"/>
      <c r="BW984" s="1399"/>
      <c r="BX984" s="1399"/>
      <c r="BY984" s="1399"/>
      <c r="BZ984" s="1399"/>
      <c r="CA984" s="1399"/>
      <c r="CB984" s="1399"/>
      <c r="CC984" s="1399"/>
      <c r="CD984" s="1399"/>
      <c r="CE984" s="1399"/>
      <c r="CF984" s="1399"/>
      <c r="CG984" s="1399"/>
      <c r="CH984" s="1399"/>
      <c r="CI984" s="1399"/>
      <c r="CJ984" s="1399"/>
      <c r="CK984" s="1399"/>
      <c r="CL984" s="1399"/>
      <c r="CM984" s="1399"/>
      <c r="CN984" s="1399"/>
      <c r="CO984" s="1399"/>
      <c r="CP984" s="1399"/>
      <c r="CQ984" s="1399"/>
      <c r="CR984" s="1399"/>
      <c r="CS984" s="1399"/>
      <c r="CT984" s="1399"/>
      <c r="CU984" s="1399"/>
      <c r="CV984" s="1399"/>
      <c r="CW984" s="1399"/>
      <c r="CX984" s="1399"/>
      <c r="CY984" s="1399"/>
      <c r="CZ984" s="1399"/>
      <c r="DA984" s="1399"/>
      <c r="DB984" s="1399"/>
      <c r="DC984" s="1399"/>
      <c r="DD984" s="1399"/>
      <c r="DE984" s="1399"/>
      <c r="DF984" s="1399"/>
      <c r="DG984" s="1399"/>
      <c r="DH984" s="1399"/>
      <c r="DI984" s="1399"/>
      <c r="DJ984" s="1399"/>
      <c r="DK984" s="1399"/>
      <c r="DL984" s="1399"/>
      <c r="DM984" s="1399"/>
      <c r="DN984" s="1399"/>
      <c r="DO984" s="1399"/>
      <c r="DP984" s="1399"/>
      <c r="DQ984" s="1399"/>
      <c r="DR984" s="1399"/>
      <c r="DS984" s="1399"/>
      <c r="DT984" s="1399"/>
      <c r="DU984" s="1399"/>
    </row>
    <row r="985" spans="1:125">
      <c r="A985" s="1414"/>
      <c r="B985" s="1414"/>
      <c r="C985" s="1414"/>
      <c r="D985" s="1414"/>
      <c r="E985" s="1414"/>
      <c r="F985" s="1414"/>
      <c r="G985" s="1414"/>
      <c r="H985" s="1414"/>
      <c r="I985" s="1414"/>
      <c r="J985" s="1414"/>
      <c r="K985" s="1414"/>
      <c r="L985" s="1414"/>
      <c r="M985" s="1414"/>
      <c r="N985" s="1414"/>
      <c r="O985" s="1414"/>
      <c r="P985" s="1414"/>
      <c r="Q985" s="1414"/>
      <c r="R985" s="1414"/>
      <c r="S985" s="1414"/>
      <c r="T985" s="1414"/>
      <c r="U985" s="1414"/>
      <c r="V985" s="1414"/>
      <c r="W985" s="1414"/>
      <c r="X985" s="1414"/>
      <c r="Y985" s="1414"/>
      <c r="Z985" s="1414"/>
      <c r="AA985" s="1414"/>
      <c r="AB985" s="1414"/>
      <c r="AC985" s="1414"/>
      <c r="AD985" s="1414"/>
      <c r="AE985" s="1414"/>
      <c r="AF985" s="1414"/>
      <c r="AG985" s="1414"/>
      <c r="AH985" s="1414"/>
      <c r="AI985" s="1414"/>
      <c r="AJ985" s="1414"/>
      <c r="AK985" s="1414"/>
      <c r="AL985" s="1414"/>
      <c r="AM985" s="1414"/>
      <c r="AN985" s="1414"/>
      <c r="AO985" s="1414"/>
      <c r="AP985" s="1414"/>
      <c r="AQ985" s="1414"/>
      <c r="AR985" s="1414"/>
      <c r="AS985" s="1414"/>
      <c r="AT985" s="1414"/>
      <c r="AU985" s="1414"/>
      <c r="AV985" s="1414"/>
      <c r="AW985" s="1414"/>
      <c r="AX985" s="1414"/>
      <c r="AY985" s="1399"/>
      <c r="AZ985" s="1399"/>
      <c r="BA985" s="1399"/>
      <c r="BB985" s="1399"/>
      <c r="BC985" s="1399"/>
      <c r="BD985" s="1399"/>
      <c r="BE985" s="1414"/>
      <c r="BF985" s="1399"/>
      <c r="BG985" s="1399"/>
      <c r="BH985" s="1399"/>
      <c r="BI985" s="1399"/>
      <c r="BJ985" s="1399"/>
      <c r="BK985" s="1399"/>
      <c r="BL985" s="1399"/>
      <c r="BM985" s="1399"/>
      <c r="BN985" s="1399"/>
      <c r="BO985" s="1399"/>
      <c r="BP985" s="1399"/>
      <c r="BQ985" s="1399"/>
      <c r="BR985" s="1399"/>
      <c r="BS985" s="1399"/>
      <c r="BT985" s="1399"/>
      <c r="BU985" s="1399"/>
      <c r="BV985" s="1399"/>
      <c r="BW985" s="1399"/>
      <c r="BX985" s="1399"/>
      <c r="BY985" s="1399"/>
      <c r="BZ985" s="1399"/>
      <c r="CA985" s="1399"/>
      <c r="CB985" s="1399"/>
      <c r="CC985" s="1399"/>
      <c r="CD985" s="1399"/>
      <c r="CE985" s="1399"/>
      <c r="CF985" s="1399"/>
      <c r="CG985" s="1399"/>
      <c r="CH985" s="1399"/>
      <c r="CI985" s="1399"/>
      <c r="CJ985" s="1399"/>
      <c r="CK985" s="1399"/>
      <c r="CL985" s="1399"/>
      <c r="CM985" s="1399"/>
      <c r="CN985" s="1399"/>
      <c r="CO985" s="1399"/>
      <c r="CP985" s="1399"/>
      <c r="CQ985" s="1399"/>
      <c r="CR985" s="1399"/>
      <c r="CS985" s="1399"/>
      <c r="CT985" s="1399"/>
      <c r="CU985" s="1399"/>
      <c r="CV985" s="1399"/>
      <c r="CW985" s="1399"/>
      <c r="CX985" s="1399"/>
      <c r="CY985" s="1399"/>
      <c r="CZ985" s="1399"/>
      <c r="DA985" s="1399"/>
      <c r="DB985" s="1399"/>
      <c r="DC985" s="1399"/>
      <c r="DD985" s="1399"/>
      <c r="DE985" s="1399"/>
      <c r="DF985" s="1399"/>
      <c r="DG985" s="1399"/>
      <c r="DH985" s="1399"/>
      <c r="DI985" s="1399"/>
      <c r="DJ985" s="1399"/>
      <c r="DK985" s="1399"/>
      <c r="DL985" s="1399"/>
      <c r="DM985" s="1399"/>
      <c r="DN985" s="1399"/>
      <c r="DO985" s="1399"/>
      <c r="DP985" s="1399"/>
      <c r="DQ985" s="1399"/>
      <c r="DR985" s="1399"/>
      <c r="DS985" s="1399"/>
      <c r="DT985" s="1399"/>
      <c r="DU985" s="1399"/>
    </row>
    <row r="986" spans="1:125">
      <c r="A986" s="1414"/>
      <c r="B986" s="1414"/>
      <c r="C986" s="1414"/>
      <c r="D986" s="1414"/>
      <c r="E986" s="1414"/>
      <c r="F986" s="1414"/>
      <c r="G986" s="1414"/>
      <c r="H986" s="1414"/>
      <c r="I986" s="1414"/>
      <c r="J986" s="1414"/>
      <c r="K986" s="1414"/>
      <c r="L986" s="1414"/>
      <c r="M986" s="1414"/>
      <c r="N986" s="1414"/>
      <c r="O986" s="1414"/>
      <c r="P986" s="1414"/>
      <c r="Q986" s="1414"/>
      <c r="R986" s="1414"/>
      <c r="S986" s="1414"/>
      <c r="T986" s="1414"/>
      <c r="U986" s="1414"/>
      <c r="V986" s="1414"/>
      <c r="W986" s="1414"/>
      <c r="X986" s="1414"/>
      <c r="Y986" s="1414"/>
      <c r="Z986" s="1414"/>
      <c r="AA986" s="1414"/>
      <c r="AB986" s="1414"/>
      <c r="AC986" s="1414"/>
      <c r="AD986" s="1414"/>
      <c r="AE986" s="1414"/>
      <c r="AF986" s="1414"/>
      <c r="AG986" s="1414"/>
      <c r="AH986" s="1414"/>
      <c r="AI986" s="1414"/>
      <c r="AJ986" s="1414"/>
      <c r="AK986" s="1414"/>
      <c r="AL986" s="1414"/>
      <c r="AM986" s="1414"/>
      <c r="AN986" s="1414"/>
      <c r="AO986" s="1414"/>
      <c r="AP986" s="1414"/>
      <c r="AQ986" s="1414"/>
      <c r="AR986" s="1414"/>
      <c r="AS986" s="1414"/>
      <c r="AT986" s="1414"/>
      <c r="AU986" s="1414"/>
      <c r="AV986" s="1414"/>
      <c r="AW986" s="1414"/>
      <c r="AX986" s="1414"/>
      <c r="AY986" s="1399"/>
      <c r="AZ986" s="1399"/>
      <c r="BA986" s="1399"/>
      <c r="BB986" s="1399"/>
      <c r="BC986" s="1399"/>
      <c r="BD986" s="1399"/>
      <c r="BE986" s="1414"/>
      <c r="BF986" s="1399"/>
      <c r="BG986" s="1399"/>
      <c r="BH986" s="1399"/>
      <c r="BI986" s="1399"/>
      <c r="BJ986" s="1399"/>
      <c r="BK986" s="1399"/>
      <c r="BL986" s="1399"/>
      <c r="BM986" s="1399"/>
      <c r="BN986" s="1399"/>
      <c r="BO986" s="1399"/>
      <c r="BP986" s="1399"/>
      <c r="BQ986" s="1399"/>
      <c r="BR986" s="1399"/>
      <c r="BS986" s="1399"/>
      <c r="BT986" s="1399"/>
      <c r="BU986" s="1399"/>
      <c r="BV986" s="1399"/>
      <c r="BW986" s="1399"/>
      <c r="BX986" s="1399"/>
      <c r="BY986" s="1399"/>
      <c r="BZ986" s="1399"/>
      <c r="CA986" s="1399"/>
      <c r="CB986" s="1399"/>
      <c r="CC986" s="1399"/>
      <c r="CD986" s="1399"/>
      <c r="CE986" s="1399"/>
      <c r="CF986" s="1399"/>
      <c r="CG986" s="1399"/>
      <c r="CH986" s="1399"/>
      <c r="CI986" s="1399"/>
      <c r="CJ986" s="1399"/>
      <c r="CK986" s="1399"/>
      <c r="CL986" s="1399"/>
      <c r="CM986" s="1399"/>
      <c r="CN986" s="1399"/>
      <c r="CO986" s="1399"/>
      <c r="CP986" s="1399"/>
      <c r="CQ986" s="1399"/>
      <c r="CR986" s="1399"/>
      <c r="CS986" s="1399"/>
      <c r="CT986" s="1399"/>
      <c r="CU986" s="1399"/>
      <c r="CV986" s="1399"/>
      <c r="CW986" s="1399"/>
      <c r="CX986" s="1399"/>
      <c r="CY986" s="1399"/>
      <c r="CZ986" s="1399"/>
      <c r="DA986" s="1399"/>
      <c r="DB986" s="1399"/>
      <c r="DC986" s="1399"/>
      <c r="DD986" s="1399"/>
      <c r="DE986" s="1399"/>
      <c r="DF986" s="1399"/>
      <c r="DG986" s="1399"/>
      <c r="DH986" s="1399"/>
      <c r="DI986" s="1399"/>
      <c r="DJ986" s="1399"/>
      <c r="DK986" s="1399"/>
      <c r="DL986" s="1399"/>
      <c r="DM986" s="1399"/>
      <c r="DN986" s="1399"/>
      <c r="DO986" s="1399"/>
      <c r="DP986" s="1399"/>
      <c r="DQ986" s="1399"/>
      <c r="DR986" s="1399"/>
      <c r="DS986" s="1399"/>
      <c r="DT986" s="1399"/>
      <c r="DU986" s="1399"/>
    </row>
    <row r="987" spans="1:125">
      <c r="A987" s="1414"/>
      <c r="B987" s="1414"/>
      <c r="C987" s="1414"/>
      <c r="D987" s="1414"/>
      <c r="E987" s="1414"/>
      <c r="F987" s="1414"/>
      <c r="G987" s="1414"/>
      <c r="H987" s="1414"/>
      <c r="I987" s="1414"/>
      <c r="J987" s="1414"/>
      <c r="K987" s="1414"/>
      <c r="L987" s="1414"/>
      <c r="M987" s="1414"/>
      <c r="N987" s="1414"/>
      <c r="O987" s="1414"/>
      <c r="P987" s="1414"/>
      <c r="Q987" s="1414"/>
      <c r="R987" s="1414"/>
      <c r="S987" s="1414"/>
      <c r="T987" s="1414"/>
      <c r="U987" s="1414"/>
      <c r="V987" s="1414"/>
      <c r="W987" s="1414"/>
      <c r="X987" s="1414"/>
      <c r="Y987" s="1414"/>
      <c r="Z987" s="1414"/>
      <c r="AA987" s="1414"/>
      <c r="AB987" s="1414"/>
      <c r="AC987" s="1414"/>
      <c r="AD987" s="1414"/>
      <c r="AE987" s="1414"/>
      <c r="AF987" s="1414"/>
      <c r="AG987" s="1414"/>
      <c r="AH987" s="1414"/>
      <c r="AI987" s="1414"/>
      <c r="AJ987" s="1414"/>
      <c r="AK987" s="1414"/>
      <c r="AL987" s="1414"/>
      <c r="AM987" s="1414"/>
      <c r="AN987" s="1414"/>
      <c r="AO987" s="1414"/>
      <c r="AP987" s="1414"/>
      <c r="AQ987" s="1414"/>
      <c r="AR987" s="1414"/>
      <c r="AS987" s="1414"/>
      <c r="AT987" s="1414"/>
      <c r="AU987" s="1414"/>
      <c r="AV987" s="1414"/>
      <c r="AW987" s="1414"/>
      <c r="AX987" s="1414"/>
      <c r="AY987" s="1399"/>
      <c r="AZ987" s="1399"/>
      <c r="BA987" s="1399"/>
      <c r="BB987" s="1399"/>
      <c r="BC987" s="1399"/>
      <c r="BD987" s="1399"/>
      <c r="BE987" s="1414"/>
      <c r="BF987" s="1399"/>
      <c r="BG987" s="1399"/>
      <c r="BH987" s="1399"/>
      <c r="BI987" s="1399"/>
      <c r="BJ987" s="1399"/>
      <c r="BK987" s="1399"/>
      <c r="BL987" s="1399"/>
      <c r="BM987" s="1399"/>
      <c r="BN987" s="1399"/>
      <c r="BO987" s="1399"/>
      <c r="BP987" s="1399"/>
      <c r="BQ987" s="1399"/>
      <c r="BR987" s="1399"/>
      <c r="BS987" s="1399"/>
      <c r="BT987" s="1399"/>
      <c r="BU987" s="1399"/>
      <c r="BV987" s="1399"/>
      <c r="BW987" s="1399"/>
      <c r="BX987" s="1399"/>
      <c r="BY987" s="1399"/>
      <c r="BZ987" s="1399"/>
      <c r="CA987" s="1399"/>
      <c r="CB987" s="1399"/>
      <c r="CC987" s="1399"/>
      <c r="CD987" s="1399"/>
      <c r="CE987" s="1399"/>
      <c r="CF987" s="1399"/>
      <c r="CG987" s="1399"/>
      <c r="CH987" s="1399"/>
      <c r="CI987" s="1399"/>
      <c r="CJ987" s="1399"/>
      <c r="CK987" s="1399"/>
      <c r="CL987" s="1399"/>
      <c r="CM987" s="1399"/>
      <c r="CN987" s="1399"/>
      <c r="CO987" s="1399"/>
      <c r="CP987" s="1399"/>
      <c r="CQ987" s="1399"/>
      <c r="CR987" s="1399"/>
      <c r="CS987" s="1399"/>
      <c r="CT987" s="1399"/>
      <c r="CU987" s="1399"/>
      <c r="CV987" s="1399"/>
      <c r="CW987" s="1399"/>
      <c r="CX987" s="1399"/>
      <c r="CY987" s="1399"/>
      <c r="CZ987" s="1399"/>
      <c r="DA987" s="1399"/>
      <c r="DB987" s="1399"/>
      <c r="DC987" s="1399"/>
      <c r="DD987" s="1399"/>
      <c r="DE987" s="1399"/>
      <c r="DF987" s="1399"/>
      <c r="DG987" s="1399"/>
      <c r="DH987" s="1399"/>
      <c r="DI987" s="1399"/>
      <c r="DJ987" s="1399"/>
      <c r="DK987" s="1399"/>
      <c r="DL987" s="1399"/>
      <c r="DM987" s="1399"/>
      <c r="DN987" s="1399"/>
      <c r="DO987" s="1399"/>
      <c r="DP987" s="1399"/>
      <c r="DQ987" s="1399"/>
      <c r="DR987" s="1399"/>
      <c r="DS987" s="1399"/>
      <c r="DT987" s="1399"/>
      <c r="DU987" s="1399"/>
    </row>
    <row r="988" spans="1:125">
      <c r="A988" s="1414"/>
      <c r="B988" s="1414"/>
      <c r="C988" s="1414"/>
      <c r="D988" s="1414"/>
      <c r="E988" s="1414"/>
      <c r="F988" s="1414"/>
      <c r="G988" s="1414"/>
      <c r="H988" s="1414"/>
      <c r="I988" s="1414"/>
      <c r="J988" s="1414"/>
      <c r="K988" s="1414"/>
      <c r="L988" s="1414"/>
      <c r="M988" s="1414"/>
      <c r="N988" s="1414"/>
      <c r="O988" s="1414"/>
      <c r="P988" s="1414"/>
      <c r="Q988" s="1414"/>
      <c r="R988" s="1414"/>
      <c r="S988" s="1414"/>
      <c r="T988" s="1414"/>
      <c r="U988" s="1414"/>
      <c r="V988" s="1414"/>
      <c r="W988" s="1414"/>
      <c r="X988" s="1414"/>
      <c r="Y988" s="1414"/>
      <c r="Z988" s="1414"/>
      <c r="AA988" s="1414"/>
      <c r="AB988" s="1414"/>
      <c r="AC988" s="1414"/>
      <c r="AD988" s="1414"/>
      <c r="AE988" s="1414"/>
      <c r="AF988" s="1414"/>
      <c r="AG988" s="1414"/>
      <c r="AH988" s="1414"/>
      <c r="AI988" s="1414"/>
      <c r="AJ988" s="1414"/>
      <c r="AK988" s="1414"/>
      <c r="AL988" s="1414"/>
      <c r="AM988" s="1414"/>
      <c r="AN988" s="1414"/>
      <c r="AO988" s="1414"/>
      <c r="AP988" s="1414"/>
      <c r="AQ988" s="1414"/>
      <c r="AR988" s="1414"/>
      <c r="AS988" s="1414"/>
      <c r="AT988" s="1414"/>
      <c r="AU988" s="1414"/>
      <c r="AV988" s="1414"/>
      <c r="AW988" s="1414"/>
      <c r="AX988" s="1414"/>
      <c r="AY988" s="1399"/>
      <c r="AZ988" s="1399"/>
      <c r="BA988" s="1399"/>
      <c r="BB988" s="1399"/>
      <c r="BC988" s="1399"/>
      <c r="BD988" s="1399"/>
      <c r="BE988" s="1414"/>
      <c r="BF988" s="1399"/>
      <c r="BG988" s="1399"/>
      <c r="BH988" s="1399"/>
      <c r="BI988" s="1399"/>
      <c r="BJ988" s="1399"/>
      <c r="BK988" s="1399"/>
      <c r="BL988" s="1399"/>
      <c r="BM988" s="1399"/>
      <c r="BN988" s="1399"/>
      <c r="BO988" s="1399"/>
      <c r="BP988" s="1399"/>
      <c r="BQ988" s="1399"/>
      <c r="BR988" s="1399"/>
      <c r="BS988" s="1399"/>
      <c r="BT988" s="1399"/>
      <c r="BU988" s="1399"/>
      <c r="BV988" s="1399"/>
      <c r="BW988" s="1399"/>
      <c r="BX988" s="1399"/>
      <c r="BY988" s="1399"/>
      <c r="BZ988" s="1399"/>
      <c r="CA988" s="1399"/>
      <c r="CB988" s="1399"/>
      <c r="CC988" s="1399"/>
      <c r="CD988" s="1399"/>
      <c r="CE988" s="1399"/>
      <c r="CF988" s="1399"/>
      <c r="CG988" s="1399"/>
      <c r="CH988" s="1399"/>
      <c r="CI988" s="1399"/>
      <c r="CJ988" s="1399"/>
      <c r="CK988" s="1399"/>
      <c r="CL988" s="1399"/>
      <c r="CM988" s="1399"/>
      <c r="CN988" s="1399"/>
      <c r="CO988" s="1399"/>
      <c r="CP988" s="1399"/>
      <c r="CQ988" s="1399"/>
      <c r="CR988" s="1399"/>
      <c r="CS988" s="1399"/>
      <c r="CT988" s="1399"/>
      <c r="CU988" s="1399"/>
      <c r="CV988" s="1399"/>
      <c r="CW988" s="1399"/>
      <c r="CX988" s="1399"/>
      <c r="CY988" s="1399"/>
      <c r="CZ988" s="1399"/>
      <c r="DA988" s="1399"/>
      <c r="DB988" s="1399"/>
      <c r="DC988" s="1399"/>
      <c r="DD988" s="1399"/>
      <c r="DE988" s="1399"/>
      <c r="DF988" s="1399"/>
      <c r="DG988" s="1399"/>
      <c r="DH988" s="1399"/>
      <c r="DI988" s="1399"/>
      <c r="DJ988" s="1399"/>
      <c r="DK988" s="1399"/>
      <c r="DL988" s="1399"/>
      <c r="DM988" s="1399"/>
      <c r="DN988" s="1399"/>
      <c r="DO988" s="1399"/>
      <c r="DP988" s="1399"/>
      <c r="DQ988" s="1399"/>
      <c r="DR988" s="1399"/>
      <c r="DS988" s="1399"/>
      <c r="DT988" s="1399"/>
      <c r="DU988" s="1399"/>
    </row>
    <row r="989" spans="1:125">
      <c r="A989" s="1414"/>
      <c r="B989" s="1414"/>
      <c r="C989" s="1414"/>
      <c r="D989" s="1414"/>
      <c r="E989" s="1414"/>
      <c r="F989" s="1414"/>
      <c r="G989" s="1414"/>
      <c r="H989" s="1414"/>
      <c r="I989" s="1414"/>
      <c r="J989" s="1414"/>
      <c r="K989" s="1414"/>
      <c r="L989" s="1414"/>
      <c r="M989" s="1414"/>
      <c r="N989" s="1414"/>
      <c r="O989" s="1414"/>
      <c r="P989" s="1414"/>
      <c r="Q989" s="1414"/>
      <c r="R989" s="1414"/>
      <c r="S989" s="1414"/>
      <c r="T989" s="1414"/>
      <c r="U989" s="1414"/>
      <c r="V989" s="1414"/>
      <c r="W989" s="1414"/>
      <c r="X989" s="1414"/>
      <c r="Y989" s="1414"/>
      <c r="Z989" s="1414"/>
      <c r="AA989" s="1414"/>
      <c r="AB989" s="1414"/>
      <c r="AC989" s="1414"/>
      <c r="AD989" s="1414"/>
      <c r="AE989" s="1414"/>
      <c r="AF989" s="1414"/>
      <c r="AG989" s="1414"/>
      <c r="AH989" s="1414"/>
      <c r="AI989" s="1414"/>
      <c r="AJ989" s="1414"/>
      <c r="AK989" s="1414"/>
      <c r="AL989" s="1414"/>
      <c r="AM989" s="1414"/>
      <c r="AN989" s="1414"/>
      <c r="AO989" s="1414"/>
      <c r="AP989" s="1414"/>
      <c r="AQ989" s="1414"/>
      <c r="AR989" s="1414"/>
      <c r="AS989" s="1414"/>
      <c r="AT989" s="1414"/>
      <c r="AU989" s="1414"/>
      <c r="AV989" s="1414"/>
      <c r="AW989" s="1414"/>
      <c r="AX989" s="1414"/>
      <c r="AY989" s="1399"/>
      <c r="AZ989" s="1399"/>
      <c r="BA989" s="1399"/>
      <c r="BB989" s="1399"/>
      <c r="BC989" s="1399"/>
      <c r="BD989" s="1399"/>
      <c r="BE989" s="1414"/>
      <c r="BF989" s="1399"/>
      <c r="BG989" s="1399"/>
      <c r="BH989" s="1399"/>
      <c r="BI989" s="1399"/>
      <c r="BJ989" s="1399"/>
      <c r="BK989" s="1399"/>
      <c r="BL989" s="1399"/>
      <c r="BM989" s="1399"/>
      <c r="BN989" s="1399"/>
      <c r="BO989" s="1399"/>
      <c r="BP989" s="1399"/>
      <c r="BQ989" s="1399"/>
      <c r="BR989" s="1399"/>
      <c r="BS989" s="1399"/>
      <c r="BT989" s="1399"/>
      <c r="BU989" s="1399"/>
      <c r="BV989" s="1399"/>
      <c r="BW989" s="1399"/>
      <c r="BX989" s="1399"/>
      <c r="BY989" s="1399"/>
      <c r="BZ989" s="1399"/>
      <c r="CA989" s="1399"/>
      <c r="CB989" s="1399"/>
      <c r="CC989" s="1399"/>
      <c r="CD989" s="1399"/>
      <c r="CE989" s="1399"/>
      <c r="CF989" s="1399"/>
      <c r="CG989" s="1399"/>
      <c r="CH989" s="1399"/>
      <c r="CI989" s="1399"/>
      <c r="CJ989" s="1399"/>
      <c r="CK989" s="1399"/>
      <c r="CL989" s="1399"/>
      <c r="CM989" s="1399"/>
      <c r="CN989" s="1399"/>
      <c r="CO989" s="1399"/>
      <c r="CP989" s="1399"/>
      <c r="CQ989" s="1399"/>
      <c r="CR989" s="1399"/>
      <c r="CS989" s="1399"/>
      <c r="CT989" s="1399"/>
      <c r="CU989" s="1399"/>
      <c r="CV989" s="1399"/>
      <c r="CW989" s="1399"/>
      <c r="CX989" s="1399"/>
      <c r="CY989" s="1399"/>
      <c r="CZ989" s="1399"/>
      <c r="DA989" s="1399"/>
      <c r="DB989" s="1399"/>
      <c r="DC989" s="1399"/>
      <c r="DD989" s="1399"/>
      <c r="DE989" s="1399"/>
      <c r="DF989" s="1399"/>
      <c r="DG989" s="1399"/>
      <c r="DH989" s="1399"/>
      <c r="DI989" s="1399"/>
      <c r="DJ989" s="1399"/>
      <c r="DK989" s="1399"/>
      <c r="DL989" s="1399"/>
      <c r="DM989" s="1399"/>
      <c r="DN989" s="1399"/>
      <c r="DO989" s="1399"/>
      <c r="DP989" s="1399"/>
      <c r="DQ989" s="1399"/>
      <c r="DR989" s="1399"/>
      <c r="DS989" s="1399"/>
      <c r="DT989" s="1399"/>
      <c r="DU989" s="1399"/>
    </row>
    <row r="990" spans="1:125">
      <c r="A990" s="1414"/>
      <c r="B990" s="1414"/>
      <c r="C990" s="1414"/>
      <c r="D990" s="1414"/>
      <c r="E990" s="1414"/>
      <c r="F990" s="1414"/>
      <c r="G990" s="1414"/>
      <c r="H990" s="1414"/>
      <c r="I990" s="1414"/>
      <c r="J990" s="1414"/>
      <c r="K990" s="1414"/>
      <c r="L990" s="1414"/>
      <c r="M990" s="1414"/>
      <c r="N990" s="1414"/>
      <c r="O990" s="1414"/>
      <c r="P990" s="1414"/>
      <c r="Q990" s="1414"/>
      <c r="R990" s="1414"/>
      <c r="S990" s="1414"/>
      <c r="T990" s="1414"/>
      <c r="U990" s="1414"/>
      <c r="V990" s="1414"/>
      <c r="W990" s="1414"/>
      <c r="X990" s="1414"/>
      <c r="Y990" s="1414"/>
      <c r="Z990" s="1414"/>
      <c r="AA990" s="1414"/>
      <c r="AB990" s="1414"/>
      <c r="AC990" s="1414"/>
      <c r="AD990" s="1414"/>
      <c r="AE990" s="1414"/>
      <c r="AF990" s="1414"/>
      <c r="AG990" s="1414"/>
      <c r="AH990" s="1414"/>
      <c r="AI990" s="1414"/>
      <c r="AJ990" s="1414"/>
      <c r="AK990" s="1414"/>
      <c r="AL990" s="1414"/>
      <c r="AM990" s="1414"/>
      <c r="AN990" s="1414"/>
      <c r="AO990" s="1414"/>
      <c r="AP990" s="1414"/>
      <c r="AQ990" s="1414"/>
      <c r="AR990" s="1414"/>
      <c r="AS990" s="1414"/>
      <c r="AT990" s="1414"/>
      <c r="AU990" s="1414"/>
      <c r="AV990" s="1414"/>
      <c r="AW990" s="1414"/>
      <c r="AX990" s="1414"/>
      <c r="AY990" s="1399"/>
      <c r="AZ990" s="1399"/>
      <c r="BA990" s="1399"/>
      <c r="BB990" s="1399"/>
      <c r="BC990" s="1399"/>
      <c r="BD990" s="1399"/>
      <c r="BE990" s="1414"/>
      <c r="BF990" s="1399"/>
      <c r="BG990" s="1399"/>
      <c r="BH990" s="1399"/>
      <c r="BI990" s="1399"/>
      <c r="BJ990" s="1399"/>
      <c r="BK990" s="1399"/>
      <c r="BL990" s="1399"/>
      <c r="BM990" s="1399"/>
      <c r="BN990" s="1399"/>
      <c r="BO990" s="1399"/>
      <c r="BP990" s="1399"/>
      <c r="BQ990" s="1399"/>
      <c r="BR990" s="1399"/>
      <c r="BS990" s="1399"/>
      <c r="BT990" s="1399"/>
      <c r="BU990" s="1399"/>
      <c r="BV990" s="1399"/>
      <c r="BW990" s="1399"/>
      <c r="BX990" s="1399"/>
      <c r="BY990" s="1399"/>
      <c r="BZ990" s="1399"/>
      <c r="CA990" s="1399"/>
      <c r="CB990" s="1399"/>
      <c r="CC990" s="1399"/>
      <c r="CD990" s="1399"/>
      <c r="CE990" s="1399"/>
      <c r="CF990" s="1399"/>
      <c r="CG990" s="1399"/>
      <c r="CH990" s="1399"/>
      <c r="CI990" s="1399"/>
      <c r="CJ990" s="1399"/>
      <c r="CK990" s="1399"/>
      <c r="CL990" s="1399"/>
      <c r="CM990" s="1399"/>
      <c r="CN990" s="1399"/>
      <c r="CO990" s="1399"/>
      <c r="CP990" s="1399"/>
      <c r="CQ990" s="1399"/>
      <c r="CR990" s="1399"/>
      <c r="CS990" s="1399"/>
      <c r="CT990" s="1399"/>
      <c r="CU990" s="1399"/>
      <c r="CV990" s="1399"/>
      <c r="CW990" s="1399"/>
      <c r="CX990" s="1399"/>
      <c r="CY990" s="1399"/>
      <c r="CZ990" s="1399"/>
      <c r="DA990" s="1399"/>
      <c r="DB990" s="1399"/>
      <c r="DC990" s="1399"/>
      <c r="DD990" s="1399"/>
      <c r="DE990" s="1399"/>
      <c r="DF990" s="1399"/>
      <c r="DG990" s="1399"/>
      <c r="DH990" s="1399"/>
      <c r="DI990" s="1399"/>
      <c r="DJ990" s="1399"/>
      <c r="DK990" s="1399"/>
      <c r="DL990" s="1399"/>
      <c r="DM990" s="1399"/>
      <c r="DN990" s="1399"/>
      <c r="DO990" s="1399"/>
      <c r="DP990" s="1399"/>
      <c r="DQ990" s="1399"/>
      <c r="DR990" s="1399"/>
      <c r="DS990" s="1399"/>
      <c r="DT990" s="1399"/>
      <c r="DU990" s="1399"/>
    </row>
    <row r="991" spans="1:125">
      <c r="A991" s="1414"/>
      <c r="B991" s="1414"/>
      <c r="C991" s="1414"/>
      <c r="D991" s="1414"/>
      <c r="E991" s="1414"/>
      <c r="F991" s="1414"/>
      <c r="G991" s="1414"/>
      <c r="H991" s="1414"/>
      <c r="I991" s="1414"/>
      <c r="J991" s="1414"/>
      <c r="K991" s="1414"/>
      <c r="L991" s="1414"/>
      <c r="M991" s="1414"/>
      <c r="N991" s="1414"/>
      <c r="O991" s="1414"/>
      <c r="P991" s="1414"/>
      <c r="Q991" s="1414"/>
      <c r="R991" s="1414"/>
      <c r="S991" s="1414"/>
      <c r="T991" s="1414"/>
      <c r="U991" s="1414"/>
      <c r="V991" s="1414"/>
      <c r="W991" s="1414"/>
      <c r="X991" s="1414"/>
      <c r="Y991" s="1414"/>
      <c r="Z991" s="1414"/>
      <c r="AA991" s="1414"/>
      <c r="AB991" s="1414"/>
      <c r="AC991" s="1414"/>
      <c r="AD991" s="1414"/>
      <c r="AE991" s="1414"/>
      <c r="AF991" s="1414"/>
      <c r="AG991" s="1414"/>
      <c r="AH991" s="1414"/>
      <c r="AI991" s="1414"/>
      <c r="AJ991" s="1414"/>
      <c r="AK991" s="1414"/>
      <c r="AL991" s="1414"/>
      <c r="AM991" s="1414"/>
      <c r="AN991" s="1414"/>
      <c r="AO991" s="1414"/>
      <c r="AP991" s="1414"/>
      <c r="AQ991" s="1414"/>
      <c r="AR991" s="1414"/>
      <c r="AS991" s="1414"/>
      <c r="AT991" s="1414"/>
      <c r="AU991" s="1414"/>
      <c r="AV991" s="1414"/>
      <c r="AW991" s="1414"/>
      <c r="AX991" s="1414"/>
      <c r="AY991" s="1399"/>
      <c r="AZ991" s="1399"/>
      <c r="BA991" s="1399"/>
      <c r="BB991" s="1399"/>
      <c r="BC991" s="1399"/>
      <c r="BD991" s="1399"/>
      <c r="BE991" s="1414"/>
      <c r="BF991" s="1399"/>
      <c r="BG991" s="1399"/>
      <c r="BH991" s="1399"/>
      <c r="BI991" s="1399"/>
      <c r="BJ991" s="1399"/>
      <c r="BK991" s="1399"/>
      <c r="BL991" s="1399"/>
      <c r="BM991" s="1399"/>
      <c r="BN991" s="1399"/>
      <c r="BO991" s="1399"/>
      <c r="BP991" s="1399"/>
      <c r="BQ991" s="1399"/>
      <c r="BR991" s="1399"/>
      <c r="BS991" s="1399"/>
      <c r="BT991" s="1399"/>
      <c r="BU991" s="1399"/>
      <c r="BV991" s="1399"/>
      <c r="BW991" s="1399"/>
      <c r="BX991" s="1399"/>
      <c r="BY991" s="1399"/>
      <c r="BZ991" s="1399"/>
      <c r="CA991" s="1399"/>
      <c r="CB991" s="1399"/>
      <c r="CC991" s="1399"/>
      <c r="CD991" s="1399"/>
      <c r="CE991" s="1399"/>
      <c r="CF991" s="1399"/>
      <c r="CG991" s="1399"/>
      <c r="CH991" s="1399"/>
      <c r="CI991" s="1399"/>
      <c r="CJ991" s="1399"/>
      <c r="CK991" s="1399"/>
      <c r="CL991" s="1399"/>
      <c r="CM991" s="1399"/>
      <c r="CN991" s="1399"/>
      <c r="CO991" s="1399"/>
      <c r="CP991" s="1399"/>
      <c r="CQ991" s="1399"/>
      <c r="CR991" s="1399"/>
      <c r="CS991" s="1399"/>
      <c r="CT991" s="1399"/>
      <c r="CU991" s="1399"/>
      <c r="CV991" s="1399"/>
      <c r="CW991" s="1399"/>
      <c r="CX991" s="1399"/>
      <c r="CY991" s="1399"/>
      <c r="CZ991" s="1399"/>
      <c r="DA991" s="1399"/>
      <c r="DB991" s="1399"/>
      <c r="DC991" s="1399"/>
      <c r="DD991" s="1399"/>
      <c r="DE991" s="1399"/>
      <c r="DF991" s="1399"/>
      <c r="DG991" s="1399"/>
      <c r="DH991" s="1399"/>
      <c r="DI991" s="1399"/>
      <c r="DJ991" s="1399"/>
      <c r="DK991" s="1399"/>
      <c r="DL991" s="1399"/>
      <c r="DM991" s="1399"/>
      <c r="DN991" s="1399"/>
      <c r="DO991" s="1399"/>
      <c r="DP991" s="1399"/>
      <c r="DQ991" s="1399"/>
      <c r="DR991" s="1399"/>
      <c r="DS991" s="1399"/>
      <c r="DT991" s="1399"/>
      <c r="DU991" s="1399"/>
    </row>
    <row r="992" spans="1:125">
      <c r="A992" s="1414"/>
      <c r="B992" s="1414"/>
      <c r="C992" s="1414"/>
      <c r="D992" s="1414"/>
      <c r="E992" s="1414"/>
      <c r="F992" s="1414"/>
      <c r="G992" s="1414"/>
      <c r="H992" s="1414"/>
      <c r="I992" s="1414"/>
      <c r="J992" s="1414"/>
      <c r="K992" s="1414"/>
      <c r="L992" s="1414"/>
      <c r="M992" s="1414"/>
      <c r="N992" s="1414"/>
      <c r="O992" s="1414"/>
      <c r="P992" s="1414"/>
      <c r="Q992" s="1414"/>
      <c r="R992" s="1414"/>
      <c r="S992" s="1414"/>
      <c r="T992" s="1414"/>
      <c r="U992" s="1414"/>
      <c r="V992" s="1414"/>
      <c r="W992" s="1414"/>
      <c r="X992" s="1414"/>
      <c r="Y992" s="1414"/>
      <c r="Z992" s="1414"/>
      <c r="AA992" s="1414"/>
      <c r="AB992" s="1414"/>
      <c r="AC992" s="1414"/>
      <c r="AD992" s="1414"/>
      <c r="AE992" s="1414"/>
      <c r="AF992" s="1414"/>
      <c r="AG992" s="1414"/>
      <c r="AH992" s="1414"/>
      <c r="AI992" s="1414"/>
      <c r="AJ992" s="1414"/>
      <c r="AK992" s="1414"/>
      <c r="AL992" s="1414"/>
      <c r="AM992" s="1414"/>
      <c r="AN992" s="1414"/>
      <c r="AO992" s="1414"/>
      <c r="AP992" s="1414"/>
      <c r="AQ992" s="1414"/>
      <c r="AR992" s="1414"/>
      <c r="AS992" s="1414"/>
      <c r="AT992" s="1414"/>
      <c r="AU992" s="1414"/>
      <c r="AV992" s="1414"/>
      <c r="AW992" s="1414"/>
      <c r="AX992" s="1414"/>
      <c r="AY992" s="1399"/>
      <c r="AZ992" s="1399"/>
      <c r="BA992" s="1399"/>
      <c r="BB992" s="1399"/>
      <c r="BC992" s="1399"/>
      <c r="BD992" s="1399"/>
      <c r="BE992" s="1414"/>
      <c r="BF992" s="1399"/>
      <c r="BG992" s="1399"/>
      <c r="BH992" s="1399"/>
      <c r="BI992" s="1399"/>
      <c r="BJ992" s="1399"/>
      <c r="BK992" s="1399"/>
      <c r="BL992" s="1399"/>
      <c r="BM992" s="1399"/>
      <c r="BN992" s="1399"/>
      <c r="BO992" s="1399"/>
      <c r="BP992" s="1399"/>
      <c r="BQ992" s="1399"/>
      <c r="BR992" s="1399"/>
      <c r="BS992" s="1399"/>
      <c r="BT992" s="1399"/>
      <c r="BU992" s="1399"/>
      <c r="BV992" s="1399"/>
      <c r="BW992" s="1399"/>
      <c r="BX992" s="1399"/>
      <c r="BY992" s="1399"/>
      <c r="BZ992" s="1399"/>
      <c r="CA992" s="1399"/>
      <c r="CB992" s="1399"/>
      <c r="CC992" s="1399"/>
      <c r="CD992" s="1399"/>
      <c r="CE992" s="1399"/>
      <c r="CF992" s="1399"/>
      <c r="CG992" s="1399"/>
      <c r="CH992" s="1399"/>
      <c r="CI992" s="1399"/>
      <c r="CJ992" s="1399"/>
      <c r="CK992" s="1399"/>
      <c r="CL992" s="1399"/>
      <c r="CM992" s="1399"/>
      <c r="CN992" s="1399"/>
      <c r="CO992" s="1399"/>
      <c r="CP992" s="1399"/>
      <c r="CQ992" s="1399"/>
      <c r="CR992" s="1399"/>
      <c r="CS992" s="1399"/>
      <c r="CT992" s="1399"/>
      <c r="CU992" s="1399"/>
      <c r="CV992" s="1399"/>
      <c r="CW992" s="1399"/>
      <c r="CX992" s="1399"/>
      <c r="CY992" s="1399"/>
      <c r="CZ992" s="1399"/>
      <c r="DA992" s="1399"/>
      <c r="DB992" s="1399"/>
      <c r="DC992" s="1399"/>
      <c r="DD992" s="1399"/>
      <c r="DE992" s="1399"/>
      <c r="DF992" s="1399"/>
      <c r="DG992" s="1399"/>
      <c r="DH992" s="1399"/>
      <c r="DI992" s="1399"/>
      <c r="DJ992" s="1399"/>
      <c r="DK992" s="1399"/>
      <c r="DL992" s="1399"/>
      <c r="DM992" s="1399"/>
      <c r="DN992" s="1399"/>
      <c r="DO992" s="1399"/>
      <c r="DP992" s="1399"/>
      <c r="DQ992" s="1399"/>
      <c r="DR992" s="1399"/>
      <c r="DS992" s="1399"/>
      <c r="DT992" s="1399"/>
      <c r="DU992" s="1399"/>
    </row>
    <row r="993" spans="1:125">
      <c r="A993" s="1414"/>
      <c r="B993" s="1414"/>
      <c r="C993" s="1414"/>
      <c r="D993" s="1414"/>
      <c r="E993" s="1414"/>
      <c r="F993" s="1414"/>
      <c r="G993" s="1414"/>
      <c r="H993" s="1414"/>
      <c r="I993" s="1414"/>
      <c r="J993" s="1414"/>
      <c r="K993" s="1414"/>
      <c r="L993" s="1414"/>
      <c r="M993" s="1414"/>
      <c r="N993" s="1414"/>
      <c r="O993" s="1414"/>
      <c r="P993" s="1414"/>
      <c r="Q993" s="1414"/>
      <c r="R993" s="1414"/>
      <c r="S993" s="1414"/>
      <c r="T993" s="1414"/>
      <c r="U993" s="1414"/>
      <c r="V993" s="1414"/>
      <c r="W993" s="1414"/>
      <c r="X993" s="1414"/>
      <c r="Y993" s="1414"/>
      <c r="Z993" s="1414"/>
      <c r="AA993" s="1414"/>
      <c r="AB993" s="1414"/>
      <c r="AC993" s="1414"/>
      <c r="AD993" s="1414"/>
      <c r="AE993" s="1414"/>
      <c r="AF993" s="1414"/>
      <c r="AG993" s="1414"/>
      <c r="AH993" s="1414"/>
      <c r="AI993" s="1414"/>
      <c r="AJ993" s="1414"/>
      <c r="AK993" s="1414"/>
      <c r="AL993" s="1414"/>
      <c r="AM993" s="1414"/>
      <c r="AN993" s="1414"/>
      <c r="AO993" s="1414"/>
      <c r="AP993" s="1414"/>
      <c r="AQ993" s="1414"/>
      <c r="AR993" s="1414"/>
      <c r="AS993" s="1414"/>
      <c r="AT993" s="1414"/>
      <c r="AU993" s="1414"/>
      <c r="AV993" s="1414"/>
      <c r="AW993" s="1414"/>
      <c r="AX993" s="1414"/>
      <c r="AY993" s="1399"/>
      <c r="AZ993" s="1399"/>
      <c r="BA993" s="1399"/>
      <c r="BB993" s="1399"/>
      <c r="BC993" s="1399"/>
      <c r="BD993" s="1399"/>
      <c r="BE993" s="1414"/>
      <c r="BF993" s="1399"/>
      <c r="BG993" s="1399"/>
      <c r="BH993" s="1399"/>
      <c r="BI993" s="1399"/>
      <c r="BJ993" s="1399"/>
      <c r="BK993" s="1399"/>
      <c r="BL993" s="1399"/>
      <c r="BM993" s="1399"/>
      <c r="BN993" s="1399"/>
      <c r="BO993" s="1399"/>
      <c r="BP993" s="1399"/>
      <c r="BQ993" s="1399"/>
      <c r="BR993" s="1399"/>
      <c r="BS993" s="1399"/>
      <c r="BT993" s="1399"/>
      <c r="BU993" s="1399"/>
      <c r="BV993" s="1399"/>
      <c r="BW993" s="1399"/>
      <c r="BX993" s="1399"/>
      <c r="BY993" s="1399"/>
      <c r="BZ993" s="1399"/>
      <c r="CA993" s="1399"/>
      <c r="CB993" s="1399"/>
      <c r="CC993" s="1399"/>
      <c r="CD993" s="1399"/>
      <c r="CE993" s="1399"/>
      <c r="CF993" s="1399"/>
      <c r="CG993" s="1399"/>
      <c r="CH993" s="1399"/>
      <c r="CI993" s="1399"/>
      <c r="CJ993" s="1399"/>
      <c r="CK993" s="1399"/>
      <c r="CL993" s="1399"/>
      <c r="CM993" s="1399"/>
      <c r="CN993" s="1399"/>
      <c r="CO993" s="1399"/>
      <c r="CP993" s="1399"/>
      <c r="CQ993" s="1399"/>
      <c r="CR993" s="1399"/>
      <c r="CS993" s="1399"/>
      <c r="CT993" s="1399"/>
      <c r="CU993" s="1399"/>
      <c r="CV993" s="1399"/>
      <c r="CW993" s="1399"/>
      <c r="CX993" s="1399"/>
      <c r="CY993" s="1399"/>
      <c r="CZ993" s="1399"/>
      <c r="DA993" s="1399"/>
      <c r="DB993" s="1399"/>
      <c r="DC993" s="1399"/>
      <c r="DD993" s="1399"/>
      <c r="DE993" s="1399"/>
      <c r="DF993" s="1399"/>
      <c r="DG993" s="1399"/>
      <c r="DH993" s="1399"/>
      <c r="DI993" s="1399"/>
      <c r="DJ993" s="1399"/>
      <c r="DK993" s="1399"/>
      <c r="DL993" s="1399"/>
      <c r="DM993" s="1399"/>
      <c r="DN993" s="1399"/>
      <c r="DO993" s="1399"/>
      <c r="DP993" s="1399"/>
      <c r="DQ993" s="1399"/>
      <c r="DR993" s="1399"/>
      <c r="DS993" s="1399"/>
      <c r="DT993" s="1399"/>
      <c r="DU993" s="1399"/>
    </row>
    <row r="994" spans="1:125">
      <c r="A994" s="1414"/>
      <c r="B994" s="1414"/>
      <c r="C994" s="1414"/>
      <c r="D994" s="1414"/>
      <c r="E994" s="1414"/>
      <c r="F994" s="1414"/>
      <c r="G994" s="1414"/>
      <c r="H994" s="1414"/>
      <c r="I994" s="1414"/>
      <c r="J994" s="1414"/>
      <c r="K994" s="1414"/>
      <c r="L994" s="1414"/>
      <c r="M994" s="1414"/>
      <c r="N994" s="1414"/>
      <c r="O994" s="1414"/>
      <c r="P994" s="1414"/>
      <c r="Q994" s="1414"/>
      <c r="R994" s="1414"/>
      <c r="S994" s="1414"/>
      <c r="T994" s="1414"/>
      <c r="U994" s="1414"/>
      <c r="V994" s="1414"/>
      <c r="W994" s="1414"/>
      <c r="X994" s="1414"/>
      <c r="Y994" s="1414"/>
      <c r="Z994" s="1414"/>
      <c r="AA994" s="1414"/>
      <c r="AB994" s="1414"/>
      <c r="AC994" s="1414"/>
      <c r="AD994" s="1414"/>
      <c r="AE994" s="1414"/>
      <c r="AF994" s="1414"/>
      <c r="AG994" s="1414"/>
      <c r="AH994" s="1414"/>
      <c r="AI994" s="1414"/>
      <c r="AJ994" s="1414"/>
      <c r="AK994" s="1414"/>
      <c r="AL994" s="1414"/>
      <c r="AM994" s="1414"/>
      <c r="AN994" s="1414"/>
      <c r="AO994" s="1414"/>
      <c r="AP994" s="1414"/>
      <c r="AQ994" s="1414"/>
      <c r="AR994" s="1414"/>
      <c r="AS994" s="1414"/>
      <c r="AT994" s="1414"/>
      <c r="AU994" s="1414"/>
      <c r="AV994" s="1414"/>
      <c r="AW994" s="1414"/>
      <c r="AX994" s="1414"/>
      <c r="AY994" s="1399"/>
      <c r="AZ994" s="1399"/>
      <c r="BA994" s="1399"/>
      <c r="BB994" s="1399"/>
      <c r="BC994" s="1399"/>
      <c r="BD994" s="1399"/>
      <c r="BE994" s="1414"/>
      <c r="BF994" s="1399"/>
      <c r="BG994" s="1399"/>
      <c r="BH994" s="1399"/>
      <c r="BI994" s="1399"/>
      <c r="BJ994" s="1399"/>
      <c r="BK994" s="1399"/>
      <c r="BL994" s="1399"/>
      <c r="BM994" s="1399"/>
      <c r="BN994" s="1399"/>
      <c r="BO994" s="1399"/>
      <c r="BP994" s="1399"/>
      <c r="BQ994" s="1399"/>
      <c r="BR994" s="1399"/>
      <c r="BS994" s="1399"/>
      <c r="BT994" s="1399"/>
      <c r="BU994" s="1399"/>
      <c r="BV994" s="1399"/>
      <c r="BW994" s="1399"/>
      <c r="BX994" s="1399"/>
      <c r="BY994" s="1399"/>
      <c r="BZ994" s="1399"/>
      <c r="CA994" s="1399"/>
      <c r="CB994" s="1399"/>
      <c r="CC994" s="1399"/>
      <c r="CD994" s="1399"/>
      <c r="CE994" s="1399"/>
      <c r="CF994" s="1399"/>
      <c r="CG994" s="1399"/>
      <c r="CH994" s="1399"/>
      <c r="CI994" s="1399"/>
      <c r="CJ994" s="1399"/>
      <c r="CK994" s="1399"/>
      <c r="CL994" s="1399"/>
      <c r="CM994" s="1399"/>
      <c r="CN994" s="1399"/>
      <c r="CO994" s="1399"/>
      <c r="CP994" s="1399"/>
      <c r="CQ994" s="1399"/>
      <c r="CR994" s="1399"/>
      <c r="CS994" s="1399"/>
      <c r="CT994" s="1399"/>
      <c r="CU994" s="1399"/>
      <c r="CV994" s="1399"/>
      <c r="CW994" s="1399"/>
      <c r="CX994" s="1399"/>
      <c r="CY994" s="1399"/>
      <c r="CZ994" s="1399"/>
      <c r="DA994" s="1399"/>
      <c r="DB994" s="1399"/>
      <c r="DC994" s="1399"/>
      <c r="DD994" s="1399"/>
      <c r="DE994" s="1399"/>
      <c r="DF994" s="1399"/>
      <c r="DG994" s="1399"/>
      <c r="DH994" s="1399"/>
      <c r="DI994" s="1399"/>
      <c r="DJ994" s="1399"/>
      <c r="DK994" s="1399"/>
      <c r="DL994" s="1399"/>
      <c r="DM994" s="1399"/>
      <c r="DN994" s="1399"/>
      <c r="DO994" s="1399"/>
      <c r="DP994" s="1399"/>
      <c r="DQ994" s="1399"/>
      <c r="DR994" s="1399"/>
      <c r="DS994" s="1399"/>
      <c r="DT994" s="1399"/>
      <c r="DU994" s="1399"/>
    </row>
    <row r="995" spans="1:125">
      <c r="A995" s="1414"/>
      <c r="B995" s="1414"/>
      <c r="C995" s="1414"/>
      <c r="D995" s="1414"/>
      <c r="E995" s="1414"/>
      <c r="F995" s="1414"/>
      <c r="G995" s="1414"/>
      <c r="H995" s="1414"/>
      <c r="I995" s="1414"/>
      <c r="J995" s="1414"/>
      <c r="K995" s="1414"/>
      <c r="L995" s="1414"/>
      <c r="M995" s="1414"/>
      <c r="N995" s="1414"/>
      <c r="O995" s="1414"/>
      <c r="P995" s="1414"/>
      <c r="Q995" s="1414"/>
      <c r="R995" s="1414"/>
      <c r="S995" s="1414"/>
      <c r="T995" s="1414"/>
      <c r="U995" s="1414"/>
      <c r="V995" s="1414"/>
      <c r="W995" s="1414"/>
      <c r="X995" s="1414"/>
      <c r="Y995" s="1414"/>
      <c r="Z995" s="1414"/>
      <c r="AA995" s="1414"/>
      <c r="AB995" s="1414"/>
      <c r="AC995" s="1414"/>
      <c r="AD995" s="1414"/>
      <c r="AE995" s="1414"/>
      <c r="AF995" s="1414"/>
      <c r="AG995" s="1414"/>
      <c r="AH995" s="1414"/>
      <c r="AI995" s="1414"/>
      <c r="AJ995" s="1414"/>
      <c r="AK995" s="1414"/>
      <c r="AL995" s="1414"/>
      <c r="AM995" s="1414"/>
      <c r="AN995" s="1414"/>
      <c r="AO995" s="1414"/>
      <c r="AP995" s="1414"/>
      <c r="AQ995" s="1414"/>
      <c r="AR995" s="1414"/>
      <c r="AS995" s="1414"/>
      <c r="AT995" s="1414"/>
      <c r="AU995" s="1414"/>
      <c r="AV995" s="1414"/>
      <c r="AW995" s="1414"/>
      <c r="AX995" s="1414"/>
      <c r="AY995" s="1399"/>
      <c r="AZ995" s="1399"/>
      <c r="BA995" s="1399"/>
      <c r="BB995" s="1399"/>
      <c r="BC995" s="1399"/>
      <c r="BD995" s="1399"/>
      <c r="BE995" s="1414"/>
      <c r="BF995" s="1399"/>
      <c r="BG995" s="1399"/>
      <c r="BH995" s="1399"/>
      <c r="BI995" s="1399"/>
      <c r="BJ995" s="1399"/>
      <c r="BK995" s="1399"/>
      <c r="BL995" s="1399"/>
      <c r="BM995" s="1399"/>
      <c r="BN995" s="1399"/>
      <c r="BO995" s="1399"/>
      <c r="BP995" s="1399"/>
      <c r="BQ995" s="1399"/>
      <c r="BR995" s="1399"/>
      <c r="BS995" s="1399"/>
      <c r="BT995" s="1399"/>
      <c r="BU995" s="1399"/>
      <c r="BV995" s="1399"/>
      <c r="BW995" s="1399"/>
      <c r="BX995" s="1399"/>
      <c r="BY995" s="1399"/>
      <c r="BZ995" s="1399"/>
      <c r="CA995" s="1399"/>
      <c r="CB995" s="1399"/>
      <c r="CC995" s="1399"/>
      <c r="CD995" s="1399"/>
      <c r="CE995" s="1399"/>
      <c r="CF995" s="1399"/>
      <c r="CG995" s="1399"/>
      <c r="CH995" s="1399"/>
      <c r="CI995" s="1399"/>
      <c r="CJ995" s="1399"/>
      <c r="CK995" s="1399"/>
      <c r="CL995" s="1399"/>
      <c r="CM995" s="1399"/>
      <c r="CN995" s="1399"/>
      <c r="CO995" s="1399"/>
      <c r="CP995" s="1399"/>
      <c r="CQ995" s="1399"/>
      <c r="CR995" s="1399"/>
      <c r="CS995" s="1399"/>
      <c r="CT995" s="1399"/>
      <c r="CU995" s="1399"/>
      <c r="CV995" s="1399"/>
      <c r="CW995" s="1399"/>
      <c r="CX995" s="1399"/>
      <c r="CY995" s="1399"/>
      <c r="CZ995" s="1399"/>
      <c r="DA995" s="1399"/>
      <c r="DB995" s="1399"/>
      <c r="DC995" s="1399"/>
      <c r="DD995" s="1399"/>
      <c r="DE995" s="1399"/>
      <c r="DF995" s="1399"/>
      <c r="DG995" s="1399"/>
      <c r="DH995" s="1399"/>
      <c r="DI995" s="1399"/>
      <c r="DJ995" s="1399"/>
      <c r="DK995" s="1399"/>
      <c r="DL995" s="1399"/>
      <c r="DM995" s="1399"/>
      <c r="DN995" s="1399"/>
      <c r="DO995" s="1399"/>
      <c r="DP995" s="1399"/>
      <c r="DQ995" s="1399"/>
      <c r="DR995" s="1399"/>
      <c r="DS995" s="1399"/>
      <c r="DT995" s="1399"/>
      <c r="DU995" s="1399"/>
    </row>
    <row r="996" spans="1:125">
      <c r="A996" s="1414"/>
      <c r="B996" s="1414"/>
      <c r="C996" s="1414"/>
      <c r="D996" s="1414"/>
      <c r="E996" s="1414"/>
      <c r="F996" s="1414"/>
      <c r="G996" s="1414"/>
      <c r="H996" s="1414"/>
      <c r="I996" s="1414"/>
      <c r="J996" s="1414"/>
      <c r="K996" s="1414"/>
      <c r="L996" s="1414"/>
      <c r="M996" s="1414"/>
      <c r="N996" s="1414"/>
      <c r="O996" s="1414"/>
      <c r="P996" s="1414"/>
      <c r="Q996" s="1414"/>
      <c r="R996" s="1414"/>
      <c r="S996" s="1414"/>
      <c r="T996" s="1414"/>
      <c r="U996" s="1414"/>
      <c r="V996" s="1414"/>
      <c r="W996" s="1414"/>
      <c r="X996" s="1414"/>
      <c r="Y996" s="1414"/>
      <c r="Z996" s="1414"/>
      <c r="AA996" s="1414"/>
      <c r="AB996" s="1414"/>
      <c r="AC996" s="1414"/>
      <c r="AD996" s="1414"/>
      <c r="AE996" s="1414"/>
      <c r="AF996" s="1414"/>
      <c r="AG996" s="1414"/>
      <c r="AH996" s="1414"/>
      <c r="AI996" s="1414"/>
      <c r="AJ996" s="1414"/>
      <c r="AK996" s="1414"/>
      <c r="AL996" s="1414"/>
      <c r="AM996" s="1414"/>
      <c r="AN996" s="1414"/>
      <c r="AO996" s="1414"/>
      <c r="AP996" s="1414"/>
      <c r="AQ996" s="1414"/>
      <c r="AR996" s="1414"/>
      <c r="AS996" s="1414"/>
      <c r="AT996" s="1414"/>
      <c r="AU996" s="1414"/>
      <c r="AV996" s="1414"/>
      <c r="AW996" s="1414"/>
      <c r="AX996" s="1414"/>
      <c r="AY996" s="1399"/>
      <c r="AZ996" s="1399"/>
      <c r="BA996" s="1399"/>
      <c r="BB996" s="1399"/>
      <c r="BC996" s="1399"/>
      <c r="BD996" s="1399"/>
      <c r="BE996" s="1414"/>
      <c r="BF996" s="1399"/>
      <c r="BG996" s="1399"/>
      <c r="BH996" s="1399"/>
      <c r="BI996" s="1399"/>
      <c r="BJ996" s="1399"/>
      <c r="BK996" s="1399"/>
      <c r="BL996" s="1399"/>
      <c r="BM996" s="1399"/>
      <c r="BN996" s="1399"/>
      <c r="BO996" s="1399"/>
      <c r="BP996" s="1399"/>
      <c r="BQ996" s="1399"/>
      <c r="BR996" s="1399"/>
      <c r="BS996" s="1399"/>
      <c r="BT996" s="1399"/>
      <c r="BU996" s="1399"/>
      <c r="BV996" s="1399"/>
      <c r="BW996" s="1399"/>
      <c r="BX996" s="1399"/>
      <c r="BY996" s="1399"/>
      <c r="BZ996" s="1399"/>
      <c r="CA996" s="1399"/>
      <c r="CB996" s="1399"/>
      <c r="CC996" s="1399"/>
      <c r="CD996" s="1399"/>
      <c r="CE996" s="1399"/>
      <c r="CF996" s="1399"/>
      <c r="CG996" s="1399"/>
      <c r="CH996" s="1399"/>
      <c r="CI996" s="1399"/>
      <c r="CJ996" s="1399"/>
      <c r="CK996" s="1399"/>
      <c r="CL996" s="1399"/>
      <c r="CM996" s="1399"/>
      <c r="CN996" s="1399"/>
      <c r="CO996" s="1399"/>
      <c r="CP996" s="1399"/>
      <c r="CQ996" s="1399"/>
      <c r="CR996" s="1399"/>
      <c r="CS996" s="1399"/>
      <c r="CT996" s="1399"/>
      <c r="CU996" s="1399"/>
      <c r="CV996" s="1399"/>
      <c r="CW996" s="1399"/>
      <c r="CX996" s="1399"/>
      <c r="CY996" s="1399"/>
      <c r="CZ996" s="1399"/>
      <c r="DA996" s="1399"/>
      <c r="DB996" s="1399"/>
      <c r="DC996" s="1399"/>
      <c r="DD996" s="1399"/>
      <c r="DE996" s="1399"/>
      <c r="DF996" s="1399"/>
      <c r="DG996" s="1399"/>
      <c r="DH996" s="1399"/>
      <c r="DI996" s="1399"/>
      <c r="DJ996" s="1399"/>
      <c r="DK996" s="1399"/>
      <c r="DL996" s="1399"/>
      <c r="DM996" s="1399"/>
      <c r="DN996" s="1399"/>
      <c r="DO996" s="1399"/>
      <c r="DP996" s="1399"/>
      <c r="DQ996" s="1399"/>
      <c r="DR996" s="1399"/>
      <c r="DS996" s="1399"/>
      <c r="DT996" s="1399"/>
      <c r="DU996" s="1399"/>
    </row>
    <row r="997" spans="1:125">
      <c r="A997" s="1414"/>
      <c r="B997" s="1414"/>
      <c r="C997" s="1414"/>
      <c r="D997" s="1414"/>
      <c r="E997" s="1414"/>
      <c r="F997" s="1414"/>
      <c r="G997" s="1414"/>
      <c r="H997" s="1414"/>
      <c r="I997" s="1414"/>
      <c r="J997" s="1414"/>
      <c r="K997" s="1414"/>
      <c r="L997" s="1414"/>
      <c r="M997" s="1414"/>
      <c r="N997" s="1414"/>
      <c r="O997" s="1414"/>
      <c r="P997" s="1414"/>
      <c r="Q997" s="1414"/>
      <c r="R997" s="1414"/>
      <c r="S997" s="1414"/>
      <c r="T997" s="1414"/>
      <c r="U997" s="1414"/>
      <c r="V997" s="1414"/>
      <c r="W997" s="1414"/>
      <c r="X997" s="1414"/>
      <c r="Y997" s="1414"/>
      <c r="Z997" s="1414"/>
      <c r="AA997" s="1414"/>
      <c r="AB997" s="1414"/>
      <c r="AC997" s="1414"/>
      <c r="AD997" s="1414"/>
      <c r="AE997" s="1414"/>
      <c r="AF997" s="1414"/>
      <c r="AG997" s="1414"/>
      <c r="AH997" s="1414"/>
      <c r="AI997" s="1414"/>
      <c r="AJ997" s="1414"/>
      <c r="AK997" s="1414"/>
      <c r="AL997" s="1414"/>
      <c r="AM997" s="1414"/>
      <c r="AN997" s="1414"/>
      <c r="AO997" s="1414"/>
      <c r="AP997" s="1414"/>
      <c r="AQ997" s="1414"/>
      <c r="AR997" s="1414"/>
      <c r="AS997" s="1414"/>
      <c r="AT997" s="1414"/>
      <c r="AU997" s="1414"/>
      <c r="AV997" s="1414"/>
      <c r="AW997" s="1414"/>
      <c r="AX997" s="1414"/>
      <c r="AY997" s="1399"/>
      <c r="AZ997" s="1399"/>
      <c r="BA997" s="1399"/>
      <c r="BB997" s="1399"/>
      <c r="BC997" s="1399"/>
      <c r="BD997" s="1399"/>
      <c r="BE997" s="1414"/>
      <c r="BF997" s="1399"/>
      <c r="BG997" s="1399"/>
      <c r="BH997" s="1399"/>
      <c r="BI997" s="1399"/>
      <c r="BJ997" s="1399"/>
      <c r="BK997" s="1399"/>
      <c r="BL997" s="1399"/>
      <c r="BM997" s="1399"/>
      <c r="BN997" s="1399"/>
      <c r="BO997" s="1399"/>
      <c r="BP997" s="1399"/>
      <c r="BQ997" s="1399"/>
      <c r="BR997" s="1399"/>
      <c r="BS997" s="1399"/>
      <c r="BT997" s="1399"/>
      <c r="BU997" s="1399"/>
      <c r="BV997" s="1399"/>
      <c r="BW997" s="1399"/>
      <c r="BX997" s="1399"/>
      <c r="BY997" s="1399"/>
      <c r="BZ997" s="1399"/>
      <c r="CA997" s="1399"/>
      <c r="CB997" s="1399"/>
      <c r="CC997" s="1399"/>
      <c r="CD997" s="1399"/>
      <c r="CE997" s="1399"/>
      <c r="CF997" s="1399"/>
      <c r="CG997" s="1399"/>
      <c r="CH997" s="1399"/>
      <c r="CI997" s="1399"/>
      <c r="CJ997" s="1399"/>
      <c r="CK997" s="1399"/>
      <c r="CL997" s="1399"/>
      <c r="CM997" s="1399"/>
      <c r="CN997" s="1399"/>
      <c r="CO997" s="1399"/>
      <c r="CP997" s="1399"/>
      <c r="CQ997" s="1399"/>
      <c r="CR997" s="1399"/>
      <c r="CS997" s="1399"/>
      <c r="CT997" s="1399"/>
      <c r="CU997" s="1399"/>
      <c r="CV997" s="1399"/>
      <c r="CW997" s="1399"/>
      <c r="CX997" s="1399"/>
      <c r="CY997" s="1399"/>
      <c r="CZ997" s="1399"/>
      <c r="DA997" s="1399"/>
      <c r="DB997" s="1399"/>
      <c r="DC997" s="1399"/>
      <c r="DD997" s="1399"/>
      <c r="DE997" s="1399"/>
      <c r="DF997" s="1399"/>
      <c r="DG997" s="1399"/>
      <c r="DH997" s="1399"/>
      <c r="DI997" s="1399"/>
      <c r="DJ997" s="1399"/>
      <c r="DK997" s="1399"/>
      <c r="DL997" s="1399"/>
      <c r="DM997" s="1399"/>
      <c r="DN997" s="1399"/>
      <c r="DO997" s="1399"/>
      <c r="DP997" s="1399"/>
      <c r="DQ997" s="1399"/>
      <c r="DR997" s="1399"/>
      <c r="DS997" s="1399"/>
      <c r="DT997" s="1399"/>
      <c r="DU997" s="1399"/>
    </row>
    <row r="998" spans="1:125">
      <c r="A998" s="1414"/>
      <c r="B998" s="1414"/>
      <c r="C998" s="1414"/>
      <c r="D998" s="1414"/>
      <c r="E998" s="1414"/>
      <c r="F998" s="1414"/>
      <c r="G998" s="1414"/>
      <c r="H998" s="1414"/>
      <c r="I998" s="1414"/>
      <c r="J998" s="1414"/>
      <c r="K998" s="1414"/>
      <c r="L998" s="1414"/>
      <c r="M998" s="1414"/>
      <c r="N998" s="1414"/>
      <c r="O998" s="1414"/>
      <c r="P998" s="1414"/>
      <c r="Q998" s="1414"/>
      <c r="R998" s="1414"/>
      <c r="S998" s="1414"/>
      <c r="T998" s="1414"/>
      <c r="U998" s="1414"/>
      <c r="V998" s="1414"/>
      <c r="W998" s="1414"/>
      <c r="X998" s="1414"/>
      <c r="Y998" s="1414"/>
      <c r="Z998" s="1414"/>
      <c r="AA998" s="1414"/>
      <c r="AB998" s="1414"/>
      <c r="AC998" s="1414"/>
      <c r="AD998" s="1414"/>
      <c r="AE998" s="1414"/>
      <c r="AF998" s="1414"/>
      <c r="AG998" s="1414"/>
      <c r="AH998" s="1414"/>
      <c r="AI998" s="1414"/>
      <c r="AJ998" s="1414"/>
      <c r="AK998" s="1414"/>
      <c r="AL998" s="1414"/>
      <c r="AM998" s="1414"/>
      <c r="AN998" s="1414"/>
      <c r="AO998" s="1414"/>
      <c r="AP998" s="1414"/>
      <c r="AQ998" s="1414"/>
      <c r="AR998" s="1414"/>
      <c r="AS998" s="1414"/>
      <c r="AT998" s="1414"/>
      <c r="AU998" s="1414"/>
      <c r="AV998" s="1414"/>
      <c r="AW998" s="1414"/>
      <c r="AX998" s="1414"/>
      <c r="AY998" s="1399"/>
      <c r="AZ998" s="1399"/>
      <c r="BA998" s="1399"/>
      <c r="BB998" s="1399"/>
      <c r="BC998" s="1399"/>
      <c r="BD998" s="1399"/>
      <c r="BE998" s="1414"/>
      <c r="BF998" s="1399"/>
      <c r="BG998" s="1399"/>
      <c r="BH998" s="1399"/>
      <c r="BI998" s="1399"/>
      <c r="BJ998" s="1399"/>
      <c r="BK998" s="1399"/>
      <c r="BL998" s="1399"/>
      <c r="BM998" s="1399"/>
      <c r="BN998" s="1399"/>
      <c r="BO998" s="1399"/>
      <c r="BP998" s="1399"/>
      <c r="BQ998" s="1399"/>
      <c r="BR998" s="1399"/>
      <c r="BS998" s="1399"/>
      <c r="BT998" s="1399"/>
      <c r="BU998" s="1399"/>
      <c r="BV998" s="1399"/>
      <c r="BW998" s="1399"/>
      <c r="BX998" s="1399"/>
      <c r="BY998" s="1399"/>
      <c r="BZ998" s="1399"/>
      <c r="CA998" s="1399"/>
      <c r="CB998" s="1399"/>
      <c r="CC998" s="1399"/>
      <c r="CD998" s="1399"/>
      <c r="CE998" s="1399"/>
      <c r="CF998" s="1399"/>
      <c r="CG998" s="1399"/>
      <c r="CH998" s="1399"/>
      <c r="CI998" s="1399"/>
      <c r="CJ998" s="1399"/>
      <c r="CK998" s="1399"/>
      <c r="CL998" s="1399"/>
      <c r="CM998" s="1399"/>
      <c r="CN998" s="1399"/>
      <c r="CO998" s="1399"/>
      <c r="CP998" s="1399"/>
      <c r="CQ998" s="1399"/>
      <c r="CR998" s="1399"/>
      <c r="CS998" s="1399"/>
      <c r="CT998" s="1399"/>
      <c r="CU998" s="1399"/>
      <c r="CV998" s="1399"/>
      <c r="CW998" s="1399"/>
      <c r="CX998" s="1399"/>
      <c r="CY998" s="1399"/>
      <c r="CZ998" s="1399"/>
      <c r="DA998" s="1399"/>
      <c r="DB998" s="1399"/>
      <c r="DC998" s="1399"/>
      <c r="DD998" s="1399"/>
      <c r="DE998" s="1399"/>
      <c r="DF998" s="1399"/>
      <c r="DG998" s="1399"/>
      <c r="DH998" s="1399"/>
      <c r="DI998" s="1399"/>
      <c r="DJ998" s="1399"/>
      <c r="DK998" s="1399"/>
      <c r="DL998" s="1399"/>
      <c r="DM998" s="1399"/>
      <c r="DN998" s="1399"/>
      <c r="DO998" s="1399"/>
      <c r="DP998" s="1399"/>
      <c r="DQ998" s="1399"/>
      <c r="DR998" s="1399"/>
      <c r="DS998" s="1399"/>
      <c r="DT998" s="1399"/>
      <c r="DU998" s="1399"/>
    </row>
    <row r="999" spans="1:125">
      <c r="A999" s="1414"/>
      <c r="B999" s="1414"/>
      <c r="C999" s="1414"/>
      <c r="D999" s="1414"/>
      <c r="E999" s="1414"/>
      <c r="F999" s="1414"/>
      <c r="G999" s="1414"/>
      <c r="H999" s="1414"/>
      <c r="I999" s="1414"/>
      <c r="J999" s="1414"/>
      <c r="K999" s="1414"/>
      <c r="L999" s="1414"/>
      <c r="M999" s="1414"/>
      <c r="N999" s="1414"/>
      <c r="O999" s="1414"/>
      <c r="P999" s="1414"/>
      <c r="Q999" s="1414"/>
      <c r="R999" s="1414"/>
      <c r="S999" s="1414"/>
      <c r="T999" s="1414"/>
      <c r="U999" s="1414"/>
      <c r="V999" s="1414"/>
      <c r="W999" s="1414"/>
      <c r="X999" s="1414"/>
      <c r="Y999" s="1414"/>
      <c r="Z999" s="1414"/>
      <c r="AA999" s="1414"/>
      <c r="AB999" s="1414"/>
      <c r="AC999" s="1414"/>
      <c r="AD999" s="1414"/>
      <c r="AE999" s="1414"/>
      <c r="AF999" s="1414"/>
      <c r="AG999" s="1414"/>
      <c r="AH999" s="1414"/>
      <c r="AI999" s="1414"/>
      <c r="AJ999" s="1414"/>
      <c r="AK999" s="1414"/>
      <c r="AL999" s="1414"/>
      <c r="AM999" s="1414"/>
      <c r="AN999" s="1414"/>
      <c r="AO999" s="1414"/>
      <c r="AP999" s="1414"/>
      <c r="AQ999" s="1414"/>
      <c r="AR999" s="1414"/>
      <c r="AS999" s="1414"/>
      <c r="AT999" s="1414"/>
      <c r="AU999" s="1414"/>
      <c r="AV999" s="1414"/>
      <c r="AW999" s="1414"/>
      <c r="AX999" s="1414"/>
      <c r="AY999" s="1399"/>
      <c r="AZ999" s="1399"/>
      <c r="BA999" s="1399"/>
      <c r="BB999" s="1399"/>
      <c r="BC999" s="1399"/>
      <c r="BD999" s="1399"/>
      <c r="BE999" s="1414"/>
      <c r="BF999" s="1399"/>
      <c r="BG999" s="1399"/>
      <c r="BH999" s="1399"/>
      <c r="BI999" s="1399"/>
      <c r="BJ999" s="1399"/>
      <c r="BK999" s="1399"/>
      <c r="BL999" s="1399"/>
      <c r="BM999" s="1399"/>
      <c r="BN999" s="1399"/>
      <c r="BO999" s="1399"/>
      <c r="BP999" s="1399"/>
      <c r="BQ999" s="1399"/>
      <c r="BR999" s="1399"/>
      <c r="BS999" s="1399"/>
      <c r="BT999" s="1399"/>
      <c r="BU999" s="1399"/>
      <c r="BV999" s="1399"/>
      <c r="BW999" s="1399"/>
      <c r="BX999" s="1399"/>
      <c r="BY999" s="1399"/>
      <c r="BZ999" s="1399"/>
      <c r="CA999" s="1399"/>
      <c r="CB999" s="1399"/>
      <c r="CC999" s="1399"/>
      <c r="CD999" s="1399"/>
      <c r="CE999" s="1399"/>
      <c r="CF999" s="1399"/>
      <c r="CG999" s="1399"/>
      <c r="CH999" s="1399"/>
      <c r="CI999" s="1399"/>
      <c r="CJ999" s="1399"/>
      <c r="CK999" s="1399"/>
      <c r="CL999" s="1399"/>
      <c r="CM999" s="1399"/>
      <c r="CN999" s="1399"/>
      <c r="CO999" s="1399"/>
      <c r="CP999" s="1399"/>
      <c r="CQ999" s="1399"/>
      <c r="CR999" s="1399"/>
      <c r="CS999" s="1399"/>
      <c r="CT999" s="1399"/>
      <c r="CU999" s="1399"/>
      <c r="CV999" s="1399"/>
      <c r="CW999" s="1399"/>
      <c r="CX999" s="1399"/>
      <c r="CY999" s="1399"/>
      <c r="CZ999" s="1399"/>
      <c r="DA999" s="1399"/>
      <c r="DB999" s="1399"/>
      <c r="DC999" s="1399"/>
      <c r="DD999" s="1399"/>
      <c r="DE999" s="1399"/>
      <c r="DF999" s="1399"/>
      <c r="DG999" s="1399"/>
      <c r="DH999" s="1399"/>
      <c r="DI999" s="1399"/>
      <c r="DJ999" s="1399"/>
      <c r="DK999" s="1399"/>
      <c r="DL999" s="1399"/>
      <c r="DM999" s="1399"/>
      <c r="DN999" s="1399"/>
      <c r="DO999" s="1399"/>
      <c r="DP999" s="1399"/>
      <c r="DQ999" s="1399"/>
      <c r="DR999" s="1399"/>
      <c r="DS999" s="1399"/>
      <c r="DT999" s="1399"/>
      <c r="DU999" s="1399"/>
    </row>
    <row r="1000" spans="1:125">
      <c r="A1000" s="1414"/>
      <c r="B1000" s="1414"/>
      <c r="C1000" s="1414"/>
      <c r="D1000" s="1414"/>
      <c r="E1000" s="1414"/>
      <c r="F1000" s="1414"/>
      <c r="G1000" s="1414"/>
      <c r="H1000" s="1414"/>
      <c r="I1000" s="1414"/>
      <c r="J1000" s="1414"/>
      <c r="K1000" s="1414"/>
      <c r="L1000" s="1414"/>
      <c r="M1000" s="1414"/>
      <c r="N1000" s="1414"/>
      <c r="O1000" s="1414"/>
      <c r="P1000" s="1414"/>
      <c r="Q1000" s="1414"/>
      <c r="R1000" s="1414"/>
      <c r="S1000" s="1414"/>
      <c r="T1000" s="1414"/>
      <c r="U1000" s="1414"/>
      <c r="V1000" s="1414"/>
      <c r="W1000" s="1414"/>
      <c r="X1000" s="1414"/>
      <c r="Y1000" s="1414"/>
      <c r="Z1000" s="1414"/>
      <c r="AA1000" s="1414"/>
      <c r="AB1000" s="1414"/>
      <c r="AC1000" s="1414"/>
      <c r="AD1000" s="1414"/>
      <c r="AE1000" s="1414"/>
      <c r="AF1000" s="1414"/>
      <c r="AG1000" s="1414"/>
      <c r="AH1000" s="1414"/>
      <c r="AI1000" s="1414"/>
      <c r="AJ1000" s="1414"/>
      <c r="AK1000" s="1414"/>
      <c r="AL1000" s="1414"/>
      <c r="AM1000" s="1414"/>
      <c r="AN1000" s="1414"/>
      <c r="AO1000" s="1414"/>
      <c r="AP1000" s="1414"/>
      <c r="AQ1000" s="1414"/>
      <c r="AR1000" s="1414"/>
      <c r="AS1000" s="1414"/>
      <c r="AT1000" s="1414"/>
      <c r="AU1000" s="1414"/>
      <c r="AV1000" s="1414"/>
      <c r="AW1000" s="1414"/>
      <c r="AX1000" s="1414"/>
      <c r="AY1000" s="1399"/>
      <c r="AZ1000" s="1399"/>
      <c r="BA1000" s="1399"/>
      <c r="BB1000" s="1399"/>
      <c r="BC1000" s="1399"/>
      <c r="BD1000" s="1399"/>
      <c r="BE1000" s="1414"/>
      <c r="BF1000" s="1399"/>
      <c r="BG1000" s="1399"/>
      <c r="BH1000" s="1399"/>
      <c r="BI1000" s="1399"/>
      <c r="BJ1000" s="1399"/>
      <c r="BK1000" s="1399"/>
      <c r="BL1000" s="1399"/>
      <c r="BM1000" s="1399"/>
      <c r="BN1000" s="1399"/>
      <c r="BO1000" s="1399"/>
      <c r="BP1000" s="1399"/>
      <c r="BQ1000" s="1399"/>
      <c r="BR1000" s="1399"/>
      <c r="BS1000" s="1399"/>
      <c r="BT1000" s="1399"/>
      <c r="BU1000" s="1399"/>
      <c r="BV1000" s="1399"/>
      <c r="BW1000" s="1399"/>
      <c r="BX1000" s="1399"/>
      <c r="BY1000" s="1399"/>
      <c r="BZ1000" s="1399"/>
      <c r="CA1000" s="1399"/>
      <c r="CB1000" s="1399"/>
      <c r="CC1000" s="1399"/>
      <c r="CD1000" s="1399"/>
      <c r="CE1000" s="1399"/>
      <c r="CF1000" s="1399"/>
      <c r="CG1000" s="1399"/>
      <c r="CH1000" s="1399"/>
      <c r="CI1000" s="1399"/>
      <c r="CJ1000" s="1399"/>
      <c r="CK1000" s="1399"/>
      <c r="CL1000" s="1399"/>
      <c r="CM1000" s="1399"/>
      <c r="CN1000" s="1399"/>
      <c r="CO1000" s="1399"/>
      <c r="CP1000" s="1399"/>
      <c r="CQ1000" s="1399"/>
      <c r="CR1000" s="1399"/>
      <c r="CS1000" s="1399"/>
      <c r="CT1000" s="1399"/>
      <c r="CU1000" s="1399"/>
      <c r="CV1000" s="1399"/>
      <c r="CW1000" s="1399"/>
      <c r="CX1000" s="1399"/>
      <c r="CY1000" s="1399"/>
      <c r="CZ1000" s="1399"/>
      <c r="DA1000" s="1399"/>
      <c r="DB1000" s="1399"/>
      <c r="DC1000" s="1399"/>
      <c r="DD1000" s="1399"/>
      <c r="DE1000" s="1399"/>
      <c r="DF1000" s="1399"/>
      <c r="DG1000" s="1399"/>
      <c r="DH1000" s="1399"/>
      <c r="DI1000" s="1399"/>
      <c r="DJ1000" s="1399"/>
      <c r="DK1000" s="1399"/>
      <c r="DL1000" s="1399"/>
      <c r="DM1000" s="1399"/>
      <c r="DN1000" s="1399"/>
      <c r="DO1000" s="1399"/>
      <c r="DP1000" s="1399"/>
      <c r="DQ1000" s="1399"/>
      <c r="DR1000" s="1399"/>
      <c r="DS1000" s="1399"/>
      <c r="DT1000" s="1399"/>
      <c r="DU1000" s="1399"/>
    </row>
    <row r="1001" spans="1:125">
      <c r="A1001" s="1414"/>
      <c r="B1001" s="1414"/>
      <c r="C1001" s="1414"/>
      <c r="D1001" s="1414"/>
      <c r="E1001" s="1414"/>
      <c r="F1001" s="1414"/>
      <c r="G1001" s="1414"/>
      <c r="H1001" s="1414"/>
      <c r="I1001" s="1414"/>
      <c r="J1001" s="1414"/>
      <c r="K1001" s="1414"/>
      <c r="L1001" s="1414"/>
      <c r="M1001" s="1414"/>
      <c r="N1001" s="1414"/>
      <c r="O1001" s="1414"/>
      <c r="P1001" s="1414"/>
      <c r="Q1001" s="1414"/>
      <c r="R1001" s="1414"/>
      <c r="S1001" s="1414"/>
      <c r="T1001" s="1414"/>
      <c r="U1001" s="1414"/>
      <c r="V1001" s="1414"/>
      <c r="W1001" s="1414"/>
      <c r="X1001" s="1414"/>
      <c r="Y1001" s="1414"/>
      <c r="Z1001" s="1414"/>
      <c r="AA1001" s="1414"/>
      <c r="AB1001" s="1414"/>
      <c r="AC1001" s="1414"/>
      <c r="AD1001" s="1414"/>
      <c r="AE1001" s="1414"/>
      <c r="AF1001" s="1414"/>
      <c r="AG1001" s="1414"/>
      <c r="AH1001" s="1414"/>
      <c r="AI1001" s="1414"/>
      <c r="AJ1001" s="1414"/>
      <c r="AK1001" s="1414"/>
      <c r="AL1001" s="1414"/>
      <c r="AM1001" s="1414"/>
      <c r="AN1001" s="1414"/>
      <c r="AO1001" s="1414"/>
      <c r="AP1001" s="1414"/>
      <c r="AQ1001" s="1414"/>
      <c r="AR1001" s="1414"/>
      <c r="AS1001" s="1414"/>
      <c r="AT1001" s="1414"/>
      <c r="AU1001" s="1414"/>
      <c r="AV1001" s="1414"/>
      <c r="AW1001" s="1414"/>
      <c r="AX1001" s="1414"/>
      <c r="AY1001" s="1399"/>
      <c r="AZ1001" s="1399"/>
      <c r="BA1001" s="1399"/>
      <c r="BB1001" s="1399"/>
      <c r="BC1001" s="1399"/>
      <c r="BD1001" s="1399"/>
      <c r="BE1001" s="1414"/>
      <c r="BF1001" s="1399"/>
      <c r="BG1001" s="1399"/>
      <c r="BH1001" s="1399"/>
      <c r="BI1001" s="1399"/>
      <c r="BJ1001" s="1399"/>
      <c r="BK1001" s="1399"/>
      <c r="BL1001" s="1399"/>
      <c r="BM1001" s="1399"/>
      <c r="BN1001" s="1399"/>
      <c r="BO1001" s="1399"/>
      <c r="BP1001" s="1399"/>
      <c r="BQ1001" s="1399"/>
      <c r="BR1001" s="1399"/>
      <c r="BS1001" s="1399"/>
      <c r="BT1001" s="1399"/>
      <c r="BU1001" s="1399"/>
      <c r="BV1001" s="1399"/>
      <c r="BW1001" s="1399"/>
      <c r="BX1001" s="1399"/>
      <c r="BY1001" s="1399"/>
      <c r="BZ1001" s="1399"/>
      <c r="CA1001" s="1399"/>
      <c r="CB1001" s="1399"/>
      <c r="CC1001" s="1399"/>
      <c r="CD1001" s="1399"/>
      <c r="CE1001" s="1399"/>
      <c r="CF1001" s="1399"/>
      <c r="CG1001" s="1399"/>
      <c r="CH1001" s="1399"/>
      <c r="CI1001" s="1399"/>
      <c r="CJ1001" s="1399"/>
      <c r="CK1001" s="1399"/>
      <c r="CL1001" s="1399"/>
      <c r="CM1001" s="1399"/>
      <c r="CN1001" s="1399"/>
      <c r="CO1001" s="1399"/>
      <c r="CP1001" s="1399"/>
      <c r="CQ1001" s="1399"/>
      <c r="CR1001" s="1399"/>
      <c r="CS1001" s="1399"/>
      <c r="CT1001" s="1399"/>
      <c r="CU1001" s="1399"/>
      <c r="CV1001" s="1399"/>
      <c r="CW1001" s="1399"/>
      <c r="CX1001" s="1399"/>
      <c r="CY1001" s="1399"/>
      <c r="CZ1001" s="1399"/>
      <c r="DA1001" s="1399"/>
      <c r="DB1001" s="1399"/>
      <c r="DC1001" s="1399"/>
      <c r="DD1001" s="1399"/>
      <c r="DE1001" s="1399"/>
      <c r="DF1001" s="1399"/>
      <c r="DG1001" s="1399"/>
      <c r="DH1001" s="1399"/>
      <c r="DI1001" s="1399"/>
      <c r="DJ1001" s="1399"/>
      <c r="DK1001" s="1399"/>
      <c r="DL1001" s="1399"/>
      <c r="DM1001" s="1399"/>
      <c r="DN1001" s="1399"/>
      <c r="DO1001" s="1399"/>
      <c r="DP1001" s="1399"/>
      <c r="DQ1001" s="1399"/>
      <c r="DR1001" s="1399"/>
      <c r="DS1001" s="1399"/>
      <c r="DT1001" s="1399"/>
      <c r="DU1001" s="1399"/>
    </row>
    <row r="1002" spans="1:125">
      <c r="A1002" s="1414"/>
      <c r="B1002" s="1414"/>
      <c r="C1002" s="1414"/>
      <c r="D1002" s="1414"/>
      <c r="E1002" s="1414"/>
      <c r="F1002" s="1414"/>
      <c r="G1002" s="1414"/>
      <c r="H1002" s="1414"/>
      <c r="I1002" s="1414"/>
      <c r="J1002" s="1414"/>
      <c r="K1002" s="1414"/>
      <c r="L1002" s="1414"/>
      <c r="M1002" s="1414"/>
      <c r="N1002" s="1414"/>
      <c r="O1002" s="1414"/>
      <c r="P1002" s="1414"/>
      <c r="Q1002" s="1414"/>
      <c r="R1002" s="1414"/>
      <c r="S1002" s="1414"/>
      <c r="T1002" s="1414"/>
      <c r="U1002" s="1414"/>
      <c r="V1002" s="1414"/>
      <c r="W1002" s="1414"/>
      <c r="X1002" s="1414"/>
      <c r="Y1002" s="1414"/>
      <c r="Z1002" s="1414"/>
      <c r="AA1002" s="1414"/>
      <c r="AB1002" s="1414"/>
      <c r="AC1002" s="1414"/>
      <c r="AD1002" s="1414"/>
      <c r="AE1002" s="1414"/>
      <c r="AF1002" s="1414"/>
      <c r="AG1002" s="1414"/>
      <c r="AH1002" s="1414"/>
      <c r="AI1002" s="1414"/>
      <c r="AJ1002" s="1414"/>
      <c r="AK1002" s="1414"/>
      <c r="AL1002" s="1414"/>
      <c r="AM1002" s="1414"/>
      <c r="AN1002" s="1414"/>
      <c r="AO1002" s="1414"/>
      <c r="AP1002" s="1414"/>
      <c r="AQ1002" s="1414"/>
      <c r="AR1002" s="1414"/>
      <c r="AS1002" s="1414"/>
      <c r="AT1002" s="1414"/>
      <c r="AU1002" s="1414"/>
      <c r="AV1002" s="1414"/>
      <c r="AW1002" s="1414"/>
      <c r="AX1002" s="1414"/>
      <c r="AY1002" s="1399"/>
      <c r="AZ1002" s="1399"/>
      <c r="BA1002" s="1399"/>
      <c r="BB1002" s="1399"/>
      <c r="BC1002" s="1399"/>
      <c r="BD1002" s="1399"/>
      <c r="BE1002" s="1414"/>
      <c r="BF1002" s="1399"/>
      <c r="BG1002" s="1399"/>
      <c r="BH1002" s="1399"/>
      <c r="BI1002" s="1399"/>
      <c r="BJ1002" s="1399"/>
      <c r="BK1002" s="1399"/>
      <c r="BL1002" s="1399"/>
      <c r="BM1002" s="1399"/>
      <c r="BN1002" s="1399"/>
      <c r="BO1002" s="1399"/>
      <c r="BP1002" s="1399"/>
      <c r="BQ1002" s="1399"/>
      <c r="BR1002" s="1399"/>
      <c r="BS1002" s="1399"/>
      <c r="BT1002" s="1399"/>
      <c r="BU1002" s="1399"/>
      <c r="BV1002" s="1399"/>
      <c r="BW1002" s="1399"/>
      <c r="BX1002" s="1399"/>
      <c r="BY1002" s="1399"/>
      <c r="BZ1002" s="1399"/>
      <c r="CA1002" s="1399"/>
      <c r="CB1002" s="1399"/>
      <c r="CC1002" s="1399"/>
      <c r="CD1002" s="1399"/>
      <c r="CE1002" s="1399"/>
      <c r="CF1002" s="1399"/>
      <c r="CG1002" s="1399"/>
      <c r="CH1002" s="1399"/>
      <c r="CI1002" s="1399"/>
      <c r="CJ1002" s="1399"/>
      <c r="CK1002" s="1399"/>
      <c r="CL1002" s="1399"/>
      <c r="CM1002" s="1399"/>
      <c r="CN1002" s="1399"/>
      <c r="CO1002" s="1399"/>
      <c r="CP1002" s="1399"/>
      <c r="CQ1002" s="1399"/>
      <c r="CR1002" s="1399"/>
      <c r="CS1002" s="1399"/>
      <c r="CT1002" s="1399"/>
      <c r="CU1002" s="1399"/>
      <c r="CV1002" s="1399"/>
      <c r="CW1002" s="1399"/>
      <c r="CX1002" s="1399"/>
      <c r="CY1002" s="1399"/>
      <c r="CZ1002" s="1399"/>
      <c r="DA1002" s="1399"/>
      <c r="DB1002" s="1399"/>
      <c r="DC1002" s="1399"/>
      <c r="DD1002" s="1399"/>
      <c r="DE1002" s="1399"/>
      <c r="DF1002" s="1399"/>
      <c r="DG1002" s="1399"/>
      <c r="DH1002" s="1399"/>
      <c r="DI1002" s="1399"/>
      <c r="DJ1002" s="1399"/>
      <c r="DK1002" s="1399"/>
      <c r="DL1002" s="1399"/>
      <c r="DM1002" s="1399"/>
      <c r="DN1002" s="1399"/>
      <c r="DO1002" s="1399"/>
      <c r="DP1002" s="1399"/>
      <c r="DQ1002" s="1399"/>
      <c r="DR1002" s="1399"/>
      <c r="DS1002" s="1399"/>
      <c r="DT1002" s="1399"/>
      <c r="DU1002" s="1399"/>
    </row>
    <row r="1003" spans="1:125">
      <c r="A1003" s="1414"/>
      <c r="B1003" s="1414"/>
      <c r="C1003" s="1414"/>
      <c r="D1003" s="1414"/>
      <c r="E1003" s="1414"/>
      <c r="F1003" s="1414"/>
      <c r="G1003" s="1414"/>
      <c r="H1003" s="1414"/>
      <c r="I1003" s="1414"/>
      <c r="J1003" s="1414"/>
      <c r="K1003" s="1414"/>
      <c r="L1003" s="1414"/>
      <c r="M1003" s="1414"/>
      <c r="N1003" s="1414"/>
      <c r="O1003" s="1414"/>
      <c r="P1003" s="1414"/>
      <c r="Q1003" s="1414"/>
      <c r="R1003" s="1414"/>
      <c r="S1003" s="1414"/>
      <c r="T1003" s="1414"/>
      <c r="U1003" s="1414"/>
      <c r="V1003" s="1414"/>
      <c r="W1003" s="1414"/>
      <c r="X1003" s="1414"/>
      <c r="Y1003" s="1414"/>
      <c r="Z1003" s="1414"/>
      <c r="AA1003" s="1414"/>
      <c r="AB1003" s="1414"/>
      <c r="AC1003" s="1414"/>
      <c r="AD1003" s="1414"/>
      <c r="AE1003" s="1414"/>
      <c r="AF1003" s="1414"/>
      <c r="AG1003" s="1414"/>
      <c r="AH1003" s="1414"/>
      <c r="AI1003" s="1414"/>
      <c r="AJ1003" s="1414"/>
      <c r="AK1003" s="1414"/>
      <c r="AL1003" s="1414"/>
      <c r="AM1003" s="1414"/>
      <c r="AN1003" s="1414"/>
      <c r="AO1003" s="1414"/>
      <c r="AP1003" s="1414"/>
      <c r="AQ1003" s="1414"/>
      <c r="AR1003" s="1414"/>
      <c r="AS1003" s="1414"/>
      <c r="AT1003" s="1414"/>
      <c r="AU1003" s="1414"/>
      <c r="AV1003" s="1414"/>
      <c r="AW1003" s="1414"/>
      <c r="AX1003" s="1414"/>
      <c r="AY1003" s="1399"/>
      <c r="AZ1003" s="1399"/>
      <c r="BA1003" s="1399"/>
      <c r="BB1003" s="1399"/>
      <c r="BC1003" s="1399"/>
      <c r="BD1003" s="1399"/>
      <c r="BE1003" s="1414"/>
      <c r="BF1003" s="1399"/>
      <c r="BG1003" s="1399"/>
      <c r="BH1003" s="1399"/>
      <c r="BI1003" s="1399"/>
      <c r="BJ1003" s="1399"/>
      <c r="BK1003" s="1399"/>
      <c r="BL1003" s="1399"/>
      <c r="BM1003" s="1399"/>
      <c r="BN1003" s="1399"/>
      <c r="BO1003" s="1399"/>
      <c r="BP1003" s="1399"/>
      <c r="BQ1003" s="1399"/>
      <c r="BR1003" s="1399"/>
      <c r="BS1003" s="1399"/>
      <c r="BT1003" s="1399"/>
      <c r="BU1003" s="1399"/>
      <c r="BV1003" s="1399"/>
      <c r="BW1003" s="1399"/>
      <c r="BX1003" s="1399"/>
      <c r="BY1003" s="1399"/>
      <c r="BZ1003" s="1399"/>
      <c r="CA1003" s="1399"/>
      <c r="CB1003" s="1399"/>
      <c r="CC1003" s="1399"/>
      <c r="CD1003" s="1399"/>
      <c r="CE1003" s="1399"/>
      <c r="CF1003" s="1399"/>
      <c r="CG1003" s="1399"/>
      <c r="CH1003" s="1399"/>
      <c r="CI1003" s="1399"/>
      <c r="CJ1003" s="1399"/>
      <c r="CK1003" s="1399"/>
      <c r="CL1003" s="1399"/>
      <c r="CM1003" s="1399"/>
      <c r="CN1003" s="1399"/>
      <c r="CO1003" s="1399"/>
      <c r="CP1003" s="1399"/>
      <c r="CQ1003" s="1399"/>
      <c r="CR1003" s="1399"/>
      <c r="CS1003" s="1399"/>
      <c r="CT1003" s="1399"/>
      <c r="CU1003" s="1399"/>
      <c r="CV1003" s="1399"/>
      <c r="CW1003" s="1399"/>
      <c r="CX1003" s="1399"/>
      <c r="CY1003" s="1399"/>
      <c r="CZ1003" s="1399"/>
      <c r="DA1003" s="1399"/>
      <c r="DB1003" s="1399"/>
      <c r="DC1003" s="1399"/>
      <c r="DD1003" s="1399"/>
      <c r="DE1003" s="1399"/>
      <c r="DF1003" s="1399"/>
      <c r="DG1003" s="1399"/>
      <c r="DH1003" s="1399"/>
      <c r="DI1003" s="1399"/>
      <c r="DJ1003" s="1399"/>
      <c r="DK1003" s="1399"/>
      <c r="DL1003" s="1399"/>
      <c r="DM1003" s="1399"/>
      <c r="DN1003" s="1399"/>
      <c r="DO1003" s="1399"/>
      <c r="DP1003" s="1399"/>
      <c r="DQ1003" s="1399"/>
      <c r="DR1003" s="1399"/>
      <c r="DS1003" s="1399"/>
      <c r="DT1003" s="1399"/>
      <c r="DU1003" s="1399"/>
    </row>
    <row r="1004" spans="1:125">
      <c r="A1004" s="1414"/>
      <c r="B1004" s="1414"/>
      <c r="C1004" s="1414"/>
      <c r="D1004" s="1414"/>
      <c r="E1004" s="1414"/>
      <c r="F1004" s="1414"/>
      <c r="G1004" s="1414"/>
      <c r="H1004" s="1414"/>
      <c r="I1004" s="1414"/>
      <c r="J1004" s="1414"/>
      <c r="K1004" s="1414"/>
      <c r="L1004" s="1414"/>
      <c r="M1004" s="1414"/>
      <c r="N1004" s="1414"/>
      <c r="O1004" s="1414"/>
      <c r="P1004" s="1414"/>
      <c r="Q1004" s="1414"/>
      <c r="R1004" s="1414"/>
      <c r="S1004" s="1414"/>
      <c r="T1004" s="1414"/>
      <c r="U1004" s="1414"/>
      <c r="V1004" s="1414"/>
      <c r="W1004" s="1414"/>
      <c r="X1004" s="1414"/>
      <c r="Y1004" s="1414"/>
      <c r="Z1004" s="1414"/>
      <c r="AA1004" s="1414"/>
      <c r="AB1004" s="1414"/>
      <c r="AC1004" s="1414"/>
      <c r="AD1004" s="1414"/>
      <c r="AE1004" s="1414"/>
      <c r="AF1004" s="1414"/>
      <c r="AG1004" s="1414"/>
      <c r="AH1004" s="1414"/>
      <c r="AI1004" s="1414"/>
      <c r="AJ1004" s="1414"/>
      <c r="AK1004" s="1414"/>
      <c r="AL1004" s="1414"/>
      <c r="AM1004" s="1414"/>
      <c r="AN1004" s="1414"/>
      <c r="AO1004" s="1414"/>
      <c r="AP1004" s="1414"/>
      <c r="AQ1004" s="1414"/>
      <c r="AR1004" s="1414"/>
      <c r="AS1004" s="1414"/>
      <c r="AT1004" s="1414"/>
      <c r="AU1004" s="1414"/>
      <c r="AV1004" s="1414"/>
      <c r="AW1004" s="1414"/>
      <c r="AX1004" s="1414"/>
      <c r="AY1004" s="1399"/>
      <c r="AZ1004" s="1399"/>
      <c r="BA1004" s="1399"/>
      <c r="BB1004" s="1399"/>
      <c r="BC1004" s="1399"/>
      <c r="BD1004" s="1399"/>
      <c r="BE1004" s="1414"/>
      <c r="BF1004" s="1399"/>
      <c r="BG1004" s="1399"/>
      <c r="BH1004" s="1399"/>
      <c r="BI1004" s="1399"/>
      <c r="BJ1004" s="1399"/>
      <c r="BK1004" s="1399"/>
      <c r="BL1004" s="1399"/>
      <c r="BM1004" s="1399"/>
      <c r="BN1004" s="1399"/>
      <c r="BO1004" s="1399"/>
      <c r="BP1004" s="1399"/>
      <c r="BQ1004" s="1399"/>
      <c r="BR1004" s="1399"/>
      <c r="BS1004" s="1399"/>
      <c r="BT1004" s="1399"/>
      <c r="BU1004" s="1399"/>
      <c r="BV1004" s="1399"/>
      <c r="BW1004" s="1399"/>
      <c r="BX1004" s="1399"/>
      <c r="BY1004" s="1399"/>
      <c r="BZ1004" s="1399"/>
      <c r="CA1004" s="1399"/>
      <c r="CB1004" s="1399"/>
      <c r="CC1004" s="1399"/>
      <c r="CD1004" s="1399"/>
      <c r="CE1004" s="1399"/>
      <c r="CF1004" s="1399"/>
      <c r="CG1004" s="1399"/>
      <c r="CH1004" s="1399"/>
      <c r="CI1004" s="1399"/>
      <c r="CJ1004" s="1399"/>
      <c r="CK1004" s="1399"/>
      <c r="CL1004" s="1399"/>
      <c r="CM1004" s="1399"/>
      <c r="CN1004" s="1399"/>
      <c r="CO1004" s="1399"/>
      <c r="CP1004" s="1399"/>
      <c r="CQ1004" s="1399"/>
      <c r="CR1004" s="1399"/>
      <c r="CS1004" s="1399"/>
      <c r="CT1004" s="1399"/>
      <c r="CU1004" s="1399"/>
      <c r="CV1004" s="1399"/>
      <c r="CW1004" s="1399"/>
      <c r="CX1004" s="1399"/>
      <c r="CY1004" s="1399"/>
      <c r="CZ1004" s="1399"/>
      <c r="DA1004" s="1399"/>
      <c r="DB1004" s="1399"/>
      <c r="DC1004" s="1399"/>
      <c r="DD1004" s="1399"/>
      <c r="DE1004" s="1399"/>
      <c r="DF1004" s="1399"/>
      <c r="DG1004" s="1399"/>
      <c r="DH1004" s="1399"/>
      <c r="DI1004" s="1399"/>
      <c r="DJ1004" s="1399"/>
      <c r="DK1004" s="1399"/>
      <c r="DL1004" s="1399"/>
      <c r="DM1004" s="1399"/>
      <c r="DN1004" s="1399"/>
      <c r="DO1004" s="1399"/>
      <c r="DP1004" s="1399"/>
      <c r="DQ1004" s="1399"/>
      <c r="DR1004" s="1399"/>
      <c r="DS1004" s="1399"/>
      <c r="DT1004" s="1399"/>
      <c r="DU1004" s="1399"/>
    </row>
    <row r="1005" spans="1:125">
      <c r="A1005" s="1414"/>
      <c r="B1005" s="1414"/>
      <c r="C1005" s="1414"/>
      <c r="D1005" s="1414"/>
      <c r="E1005" s="1414"/>
      <c r="F1005" s="1414"/>
      <c r="G1005" s="1414"/>
      <c r="H1005" s="1414"/>
      <c r="I1005" s="1414"/>
      <c r="J1005" s="1414"/>
      <c r="K1005" s="1414"/>
      <c r="L1005" s="1414"/>
      <c r="M1005" s="1414"/>
      <c r="N1005" s="1414"/>
      <c r="O1005" s="1414"/>
      <c r="P1005" s="1414"/>
      <c r="Q1005" s="1414"/>
      <c r="R1005" s="1414"/>
      <c r="S1005" s="1414"/>
      <c r="T1005" s="1414"/>
      <c r="U1005" s="1414"/>
      <c r="V1005" s="1414"/>
      <c r="W1005" s="1414"/>
      <c r="X1005" s="1414"/>
      <c r="Y1005" s="1414"/>
      <c r="Z1005" s="1414"/>
      <c r="AA1005" s="1414"/>
      <c r="AB1005" s="1414"/>
      <c r="AC1005" s="1414"/>
      <c r="AD1005" s="1414"/>
      <c r="AE1005" s="1414"/>
      <c r="AF1005" s="1414"/>
      <c r="AG1005" s="1414"/>
      <c r="AH1005" s="1414"/>
      <c r="AI1005" s="1414"/>
      <c r="AJ1005" s="1414"/>
      <c r="AK1005" s="1414"/>
      <c r="AL1005" s="1414"/>
      <c r="AM1005" s="1414"/>
      <c r="AN1005" s="1414"/>
      <c r="AO1005" s="1414"/>
      <c r="AP1005" s="1414"/>
      <c r="AQ1005" s="1414"/>
      <c r="AR1005" s="1414"/>
      <c r="AS1005" s="1414"/>
      <c r="AT1005" s="1414"/>
      <c r="AU1005" s="1414"/>
      <c r="AV1005" s="1414"/>
      <c r="AW1005" s="1414"/>
      <c r="AX1005" s="1414"/>
      <c r="AY1005" s="1399"/>
      <c r="AZ1005" s="1399"/>
      <c r="BA1005" s="1399"/>
      <c r="BB1005" s="1399"/>
      <c r="BC1005" s="1399"/>
      <c r="BD1005" s="1399"/>
      <c r="BE1005" s="1414"/>
      <c r="BF1005" s="1399"/>
      <c r="BG1005" s="1399"/>
      <c r="BH1005" s="1399"/>
      <c r="BI1005" s="1399"/>
      <c r="BJ1005" s="1399"/>
      <c r="BK1005" s="1399"/>
      <c r="BL1005" s="1399"/>
      <c r="BM1005" s="1399"/>
      <c r="BN1005" s="1399"/>
      <c r="BO1005" s="1399"/>
      <c r="BP1005" s="1399"/>
      <c r="BQ1005" s="1399"/>
      <c r="BR1005" s="1399"/>
      <c r="BS1005" s="1399"/>
      <c r="BT1005" s="1399"/>
      <c r="BU1005" s="1399"/>
      <c r="BV1005" s="1399"/>
      <c r="BW1005" s="1399"/>
      <c r="BX1005" s="1399"/>
      <c r="BY1005" s="1399"/>
      <c r="BZ1005" s="1399"/>
      <c r="CA1005" s="1399"/>
      <c r="CB1005" s="1399"/>
      <c r="CC1005" s="1399"/>
      <c r="CD1005" s="1399"/>
      <c r="CE1005" s="1399"/>
      <c r="CF1005" s="1399"/>
      <c r="CG1005" s="1399"/>
      <c r="CH1005" s="1399"/>
      <c r="CI1005" s="1399"/>
      <c r="CJ1005" s="1399"/>
      <c r="CK1005" s="1399"/>
      <c r="CL1005" s="1399"/>
      <c r="CM1005" s="1399"/>
      <c r="CN1005" s="1399"/>
      <c r="CO1005" s="1399"/>
      <c r="CP1005" s="1399"/>
      <c r="CQ1005" s="1399"/>
      <c r="CR1005" s="1399"/>
      <c r="CS1005" s="1399"/>
      <c r="CT1005" s="1399"/>
      <c r="CU1005" s="1399"/>
      <c r="CV1005" s="1399"/>
      <c r="CW1005" s="1399"/>
      <c r="CX1005" s="1399"/>
      <c r="CY1005" s="1399"/>
      <c r="CZ1005" s="1399"/>
      <c r="DA1005" s="1399"/>
      <c r="DB1005" s="1399"/>
      <c r="DC1005" s="1399"/>
      <c r="DD1005" s="1399"/>
      <c r="DE1005" s="1399"/>
      <c r="DF1005" s="1399"/>
      <c r="DG1005" s="1399"/>
      <c r="DH1005" s="1399"/>
      <c r="DI1005" s="1399"/>
      <c r="DJ1005" s="1399"/>
      <c r="DK1005" s="1399"/>
      <c r="DL1005" s="1399"/>
      <c r="DM1005" s="1399"/>
      <c r="DN1005" s="1399"/>
      <c r="DO1005" s="1399"/>
      <c r="DP1005" s="1399"/>
      <c r="DQ1005" s="1399"/>
      <c r="DR1005" s="1399"/>
      <c r="DS1005" s="1399"/>
      <c r="DT1005" s="1399"/>
      <c r="DU1005" s="1399"/>
    </row>
    <row r="1006" spans="1:125">
      <c r="A1006" s="1414"/>
      <c r="B1006" s="1414"/>
      <c r="C1006" s="1414"/>
      <c r="D1006" s="1414"/>
      <c r="E1006" s="1414"/>
      <c r="F1006" s="1414"/>
      <c r="G1006" s="1414"/>
      <c r="H1006" s="1414"/>
      <c r="I1006" s="1414"/>
      <c r="J1006" s="1414"/>
      <c r="K1006" s="1414"/>
      <c r="L1006" s="1414"/>
      <c r="M1006" s="1414"/>
      <c r="N1006" s="1414"/>
      <c r="O1006" s="1414"/>
      <c r="P1006" s="1414"/>
      <c r="Q1006" s="1414"/>
      <c r="R1006" s="1414"/>
      <c r="S1006" s="1414"/>
      <c r="T1006" s="1414"/>
      <c r="U1006" s="1414"/>
      <c r="V1006" s="1414"/>
      <c r="W1006" s="1414"/>
      <c r="X1006" s="1414"/>
      <c r="Y1006" s="1414"/>
      <c r="Z1006" s="1414"/>
      <c r="AA1006" s="1414"/>
      <c r="AB1006" s="1414"/>
      <c r="AC1006" s="1414"/>
      <c r="AD1006" s="1414"/>
      <c r="AE1006" s="1414"/>
      <c r="AF1006" s="1414"/>
      <c r="AG1006" s="1414"/>
      <c r="AH1006" s="1414"/>
      <c r="AI1006" s="1414"/>
      <c r="AJ1006" s="1414"/>
      <c r="AK1006" s="1414"/>
      <c r="AL1006" s="1414"/>
      <c r="AM1006" s="1414"/>
      <c r="AN1006" s="1414"/>
      <c r="AO1006" s="1414"/>
      <c r="AP1006" s="1414"/>
      <c r="AQ1006" s="1414"/>
      <c r="AR1006" s="1414"/>
      <c r="AS1006" s="1414"/>
      <c r="AT1006" s="1414"/>
      <c r="AU1006" s="1414"/>
      <c r="AV1006" s="1414"/>
      <c r="AW1006" s="1414"/>
      <c r="AX1006" s="1414"/>
      <c r="AY1006" s="1399"/>
      <c r="AZ1006" s="1399"/>
      <c r="BA1006" s="1399"/>
      <c r="BB1006" s="1399"/>
      <c r="BC1006" s="1399"/>
      <c r="BD1006" s="1399"/>
      <c r="BE1006" s="1414"/>
      <c r="BF1006" s="1399"/>
      <c r="BG1006" s="1399"/>
      <c r="BH1006" s="1399"/>
      <c r="BI1006" s="1399"/>
      <c r="BJ1006" s="1399"/>
      <c r="BK1006" s="1399"/>
      <c r="BL1006" s="1399"/>
      <c r="BM1006" s="1399"/>
      <c r="BN1006" s="1399"/>
      <c r="BO1006" s="1399"/>
      <c r="BP1006" s="1399"/>
      <c r="BQ1006" s="1399"/>
      <c r="BR1006" s="1399"/>
      <c r="BS1006" s="1399"/>
      <c r="BT1006" s="1399"/>
      <c r="BU1006" s="1399"/>
      <c r="BV1006" s="1399"/>
      <c r="BW1006" s="1399"/>
      <c r="BX1006" s="1399"/>
      <c r="BY1006" s="1399"/>
      <c r="BZ1006" s="1399"/>
      <c r="CA1006" s="1399"/>
      <c r="CB1006" s="1399"/>
      <c r="CC1006" s="1399"/>
      <c r="CD1006" s="1399"/>
      <c r="CE1006" s="1399"/>
      <c r="CF1006" s="1399"/>
      <c r="CG1006" s="1399"/>
      <c r="CH1006" s="1399"/>
      <c r="CI1006" s="1399"/>
      <c r="CJ1006" s="1399"/>
      <c r="CK1006" s="1399"/>
      <c r="CL1006" s="1399"/>
      <c r="CM1006" s="1399"/>
      <c r="CN1006" s="1399"/>
      <c r="CO1006" s="1399"/>
      <c r="CP1006" s="1399"/>
      <c r="CQ1006" s="1399"/>
      <c r="CR1006" s="1399"/>
      <c r="CS1006" s="1399"/>
      <c r="CT1006" s="1399"/>
      <c r="CU1006" s="1399"/>
      <c r="CV1006" s="1399"/>
      <c r="CW1006" s="1399"/>
      <c r="CX1006" s="1399"/>
      <c r="CY1006" s="1399"/>
      <c r="CZ1006" s="1399"/>
      <c r="DA1006" s="1399"/>
      <c r="DB1006" s="1399"/>
      <c r="DC1006" s="1399"/>
      <c r="DD1006" s="1399"/>
      <c r="DE1006" s="1399"/>
      <c r="DF1006" s="1399"/>
      <c r="DG1006" s="1399"/>
      <c r="DH1006" s="1399"/>
      <c r="DI1006" s="1399"/>
      <c r="DJ1006" s="1399"/>
      <c r="DK1006" s="1399"/>
      <c r="DL1006" s="1399"/>
      <c r="DM1006" s="1399"/>
      <c r="DN1006" s="1399"/>
      <c r="DO1006" s="1399"/>
      <c r="DP1006" s="1399"/>
      <c r="DQ1006" s="1399"/>
      <c r="DR1006" s="1399"/>
      <c r="DS1006" s="1399"/>
      <c r="DT1006" s="1399"/>
      <c r="DU1006" s="1399"/>
    </row>
    <row r="1007" spans="1:125">
      <c r="A1007" s="1414"/>
      <c r="B1007" s="1414"/>
      <c r="C1007" s="1414"/>
      <c r="D1007" s="1414"/>
      <c r="E1007" s="1414"/>
      <c r="F1007" s="1414"/>
      <c r="G1007" s="1414"/>
      <c r="H1007" s="1414"/>
      <c r="I1007" s="1414"/>
      <c r="J1007" s="1414"/>
      <c r="K1007" s="1414"/>
      <c r="L1007" s="1414"/>
      <c r="M1007" s="1414"/>
      <c r="N1007" s="1414"/>
      <c r="O1007" s="1414"/>
      <c r="P1007" s="1414"/>
      <c r="Q1007" s="1414"/>
      <c r="R1007" s="1414"/>
      <c r="S1007" s="1414"/>
      <c r="T1007" s="1414"/>
      <c r="U1007" s="1414"/>
      <c r="V1007" s="1414"/>
      <c r="W1007" s="1414"/>
      <c r="X1007" s="1414"/>
      <c r="Y1007" s="1414"/>
      <c r="Z1007" s="1414"/>
      <c r="AA1007" s="1414"/>
      <c r="AB1007" s="1414"/>
      <c r="AC1007" s="1414"/>
      <c r="AD1007" s="1414"/>
      <c r="AE1007" s="1414"/>
      <c r="AF1007" s="1414"/>
      <c r="AG1007" s="1414"/>
      <c r="AH1007" s="1414"/>
      <c r="AI1007" s="1414"/>
      <c r="AJ1007" s="1414"/>
      <c r="AK1007" s="1414"/>
      <c r="AL1007" s="1414"/>
      <c r="AM1007" s="1414"/>
      <c r="AN1007" s="1414"/>
      <c r="AO1007" s="1414"/>
      <c r="AP1007" s="1414"/>
      <c r="AQ1007" s="1414"/>
      <c r="AR1007" s="1414"/>
      <c r="AS1007" s="1414"/>
      <c r="AT1007" s="1414"/>
      <c r="AU1007" s="1414"/>
      <c r="AV1007" s="1414"/>
      <c r="AW1007" s="1414"/>
      <c r="AX1007" s="1414"/>
      <c r="AY1007" s="1399"/>
      <c r="AZ1007" s="1399"/>
      <c r="BA1007" s="1399"/>
      <c r="BB1007" s="1399"/>
      <c r="BC1007" s="1399"/>
      <c r="BD1007" s="1399"/>
      <c r="BE1007" s="1414"/>
      <c r="BF1007" s="1399"/>
      <c r="BG1007" s="1399"/>
      <c r="BH1007" s="1399"/>
      <c r="BI1007" s="1399"/>
      <c r="BJ1007" s="1399"/>
      <c r="BK1007" s="1399"/>
      <c r="BL1007" s="1399"/>
      <c r="BM1007" s="1399"/>
      <c r="BN1007" s="1399"/>
      <c r="BO1007" s="1399"/>
      <c r="BP1007" s="1399"/>
      <c r="BQ1007" s="1399"/>
      <c r="BR1007" s="1399"/>
      <c r="BS1007" s="1399"/>
      <c r="BT1007" s="1399"/>
      <c r="BU1007" s="1399"/>
      <c r="BV1007" s="1399"/>
      <c r="BW1007" s="1399"/>
      <c r="BX1007" s="1399"/>
      <c r="BY1007" s="1399"/>
      <c r="BZ1007" s="1399"/>
      <c r="CA1007" s="1399"/>
      <c r="CB1007" s="1399"/>
      <c r="CC1007" s="1399"/>
      <c r="CD1007" s="1399"/>
      <c r="CE1007" s="1399"/>
      <c r="CF1007" s="1399"/>
      <c r="CG1007" s="1399"/>
      <c r="CH1007" s="1399"/>
      <c r="CI1007" s="1399"/>
      <c r="CJ1007" s="1399"/>
      <c r="CK1007" s="1399"/>
      <c r="CL1007" s="1399"/>
      <c r="CM1007" s="1399"/>
      <c r="CN1007" s="1399"/>
      <c r="CO1007" s="1399"/>
      <c r="CP1007" s="1399"/>
      <c r="CQ1007" s="1399"/>
      <c r="CR1007" s="1399"/>
      <c r="CS1007" s="1399"/>
      <c r="CT1007" s="1399"/>
      <c r="CU1007" s="1399"/>
      <c r="CV1007" s="1399"/>
      <c r="CW1007" s="1399"/>
      <c r="CX1007" s="1399"/>
      <c r="CY1007" s="1399"/>
      <c r="CZ1007" s="1399"/>
      <c r="DA1007" s="1399"/>
      <c r="DB1007" s="1399"/>
      <c r="DC1007" s="1399"/>
      <c r="DD1007" s="1399"/>
      <c r="DE1007" s="1399"/>
      <c r="DF1007" s="1399"/>
      <c r="DG1007" s="1399"/>
      <c r="DH1007" s="1399"/>
      <c r="DI1007" s="1399"/>
      <c r="DJ1007" s="1399"/>
      <c r="DK1007" s="1399"/>
      <c r="DL1007" s="1399"/>
      <c r="DM1007" s="1399"/>
      <c r="DN1007" s="1399"/>
      <c r="DO1007" s="1399"/>
      <c r="DP1007" s="1399"/>
      <c r="DQ1007" s="1399"/>
      <c r="DR1007" s="1399"/>
      <c r="DS1007" s="1399"/>
      <c r="DT1007" s="1399"/>
      <c r="DU1007" s="1399"/>
    </row>
    <row r="1008" spans="1:125">
      <c r="A1008" s="1414"/>
      <c r="B1008" s="1414"/>
      <c r="C1008" s="1414"/>
      <c r="D1008" s="1414"/>
      <c r="E1008" s="1414"/>
      <c r="F1008" s="1414"/>
      <c r="G1008" s="1414"/>
      <c r="H1008" s="1414"/>
      <c r="I1008" s="1414"/>
      <c r="J1008" s="1414"/>
      <c r="K1008" s="1414"/>
      <c r="L1008" s="1414"/>
      <c r="M1008" s="1414"/>
      <c r="N1008" s="1414"/>
      <c r="O1008" s="1414"/>
      <c r="P1008" s="1414"/>
      <c r="Q1008" s="1414"/>
      <c r="R1008" s="1414"/>
      <c r="S1008" s="1414"/>
      <c r="T1008" s="1414"/>
      <c r="U1008" s="1414"/>
      <c r="V1008" s="1414"/>
      <c r="W1008" s="1414"/>
      <c r="X1008" s="1414"/>
      <c r="Y1008" s="1414"/>
      <c r="Z1008" s="1414"/>
      <c r="AA1008" s="1414"/>
      <c r="AB1008" s="1414"/>
      <c r="AC1008" s="1414"/>
      <c r="AD1008" s="1414"/>
      <c r="AE1008" s="1414"/>
      <c r="AF1008" s="1414"/>
      <c r="AG1008" s="1414"/>
      <c r="AH1008" s="1414"/>
      <c r="AI1008" s="1414"/>
      <c r="AJ1008" s="1414"/>
      <c r="AK1008" s="1414"/>
      <c r="AL1008" s="1414"/>
      <c r="AM1008" s="1414"/>
      <c r="AN1008" s="1414"/>
      <c r="AO1008" s="1414"/>
      <c r="AP1008" s="1414"/>
      <c r="AQ1008" s="1414"/>
      <c r="AR1008" s="1414"/>
      <c r="AS1008" s="1414"/>
      <c r="AT1008" s="1414"/>
      <c r="AU1008" s="1414"/>
      <c r="AV1008" s="1414"/>
      <c r="AW1008" s="1414"/>
      <c r="AX1008" s="1414"/>
      <c r="AY1008" s="1399"/>
      <c r="AZ1008" s="1399"/>
      <c r="BA1008" s="1399"/>
      <c r="BB1008" s="1399"/>
      <c r="BC1008" s="1399"/>
      <c r="BD1008" s="1399"/>
      <c r="BE1008" s="1414"/>
      <c r="BF1008" s="1399"/>
      <c r="BG1008" s="1399"/>
      <c r="BH1008" s="1399"/>
      <c r="BI1008" s="1399"/>
      <c r="BJ1008" s="1399"/>
      <c r="BK1008" s="1399"/>
      <c r="BL1008" s="1399"/>
      <c r="BM1008" s="1399"/>
      <c r="BN1008" s="1399"/>
      <c r="BO1008" s="1399"/>
      <c r="BP1008" s="1399"/>
      <c r="BQ1008" s="1399"/>
      <c r="BR1008" s="1399"/>
      <c r="BS1008" s="1399"/>
      <c r="BT1008" s="1399"/>
      <c r="BU1008" s="1399"/>
      <c r="BV1008" s="1399"/>
      <c r="BW1008" s="1399"/>
      <c r="BX1008" s="1399"/>
      <c r="BY1008" s="1399"/>
      <c r="BZ1008" s="1399"/>
      <c r="CA1008" s="1399"/>
      <c r="CB1008" s="1399"/>
      <c r="CC1008" s="1399"/>
      <c r="CD1008" s="1399"/>
      <c r="CE1008" s="1399"/>
      <c r="CF1008" s="1399"/>
      <c r="CG1008" s="1399"/>
      <c r="CH1008" s="1399"/>
      <c r="CI1008" s="1399"/>
      <c r="CJ1008" s="1399"/>
      <c r="CK1008" s="1399"/>
      <c r="CL1008" s="1399"/>
      <c r="CM1008" s="1399"/>
      <c r="CN1008" s="1399"/>
      <c r="CO1008" s="1399"/>
      <c r="CP1008" s="1399"/>
      <c r="CQ1008" s="1399"/>
      <c r="CR1008" s="1399"/>
      <c r="CS1008" s="1399"/>
      <c r="CT1008" s="1399"/>
      <c r="CU1008" s="1399"/>
      <c r="CV1008" s="1399"/>
      <c r="CW1008" s="1399"/>
      <c r="CX1008" s="1399"/>
      <c r="CY1008" s="1399"/>
      <c r="CZ1008" s="1399"/>
      <c r="DA1008" s="1399"/>
      <c r="DB1008" s="1399"/>
      <c r="DC1008" s="1399"/>
      <c r="DD1008" s="1399"/>
      <c r="DE1008" s="1399"/>
      <c r="DF1008" s="1399"/>
      <c r="DG1008" s="1399"/>
      <c r="DH1008" s="1399"/>
      <c r="DI1008" s="1399"/>
      <c r="DJ1008" s="1399"/>
      <c r="DK1008" s="1399"/>
      <c r="DL1008" s="1399"/>
      <c r="DM1008" s="1399"/>
      <c r="DN1008" s="1399"/>
      <c r="DO1008" s="1399"/>
      <c r="DP1008" s="1399"/>
      <c r="DQ1008" s="1399"/>
      <c r="DR1008" s="1399"/>
      <c r="DS1008" s="1399"/>
      <c r="DT1008" s="1399"/>
      <c r="DU1008" s="1399"/>
    </row>
    <row r="1009" spans="1:125">
      <c r="A1009" s="1414"/>
      <c r="B1009" s="1414"/>
      <c r="C1009" s="1414"/>
      <c r="D1009" s="1414"/>
      <c r="E1009" s="1414"/>
      <c r="F1009" s="1414"/>
      <c r="G1009" s="1414"/>
      <c r="H1009" s="1414"/>
      <c r="I1009" s="1414"/>
      <c r="J1009" s="1414"/>
      <c r="K1009" s="1414"/>
      <c r="L1009" s="1414"/>
      <c r="M1009" s="1414"/>
      <c r="N1009" s="1414"/>
      <c r="O1009" s="1414"/>
      <c r="P1009" s="1414"/>
      <c r="Q1009" s="1414"/>
      <c r="R1009" s="1414"/>
      <c r="S1009" s="1414"/>
      <c r="T1009" s="1414"/>
      <c r="U1009" s="1414"/>
      <c r="V1009" s="1414"/>
      <c r="W1009" s="1414"/>
      <c r="X1009" s="1414"/>
      <c r="Y1009" s="1414"/>
      <c r="Z1009" s="1414"/>
      <c r="AA1009" s="1414"/>
      <c r="AB1009" s="1414"/>
      <c r="AC1009" s="1414"/>
      <c r="AD1009" s="1414"/>
      <c r="AE1009" s="1414"/>
      <c r="AF1009" s="1414"/>
      <c r="AG1009" s="1414"/>
      <c r="AH1009" s="1414"/>
      <c r="AI1009" s="1414"/>
      <c r="AJ1009" s="1414"/>
      <c r="AK1009" s="1414"/>
      <c r="AL1009" s="1414"/>
      <c r="AM1009" s="1414"/>
      <c r="AN1009" s="1414"/>
      <c r="AO1009" s="1414"/>
      <c r="AP1009" s="1414"/>
      <c r="AQ1009" s="1414"/>
      <c r="AR1009" s="1414"/>
      <c r="AS1009" s="1414"/>
      <c r="AT1009" s="1414"/>
      <c r="AU1009" s="1414"/>
      <c r="AV1009" s="1414"/>
      <c r="AW1009" s="1414"/>
      <c r="AX1009" s="1414"/>
      <c r="AY1009" s="1399"/>
      <c r="AZ1009" s="1399"/>
      <c r="BA1009" s="1399"/>
      <c r="BB1009" s="1399"/>
      <c r="BC1009" s="1399"/>
      <c r="BD1009" s="1399"/>
      <c r="BE1009" s="1414"/>
      <c r="BF1009" s="1399"/>
      <c r="BG1009" s="1399"/>
      <c r="BH1009" s="1399"/>
      <c r="BI1009" s="1399"/>
      <c r="BJ1009" s="1399"/>
      <c r="BK1009" s="1399"/>
      <c r="BL1009" s="1399"/>
      <c r="BM1009" s="1399"/>
      <c r="BN1009" s="1399"/>
      <c r="BO1009" s="1399"/>
      <c r="BP1009" s="1399"/>
      <c r="BQ1009" s="1399"/>
      <c r="BR1009" s="1399"/>
      <c r="BS1009" s="1399"/>
      <c r="BT1009" s="1399"/>
      <c r="BU1009" s="1399"/>
      <c r="BV1009" s="1399"/>
      <c r="BW1009" s="1399"/>
      <c r="BX1009" s="1399"/>
      <c r="BY1009" s="1399"/>
      <c r="BZ1009" s="1399"/>
      <c r="CA1009" s="1399"/>
      <c r="CB1009" s="1399"/>
      <c r="CC1009" s="1399"/>
      <c r="CD1009" s="1399"/>
      <c r="CE1009" s="1399"/>
      <c r="CF1009" s="1399"/>
      <c r="CG1009" s="1399"/>
      <c r="CH1009" s="1399"/>
      <c r="CI1009" s="1399"/>
      <c r="CJ1009" s="1399"/>
      <c r="CK1009" s="1399"/>
      <c r="CL1009" s="1399"/>
      <c r="CM1009" s="1399"/>
      <c r="CN1009" s="1399"/>
      <c r="CO1009" s="1399"/>
      <c r="CP1009" s="1399"/>
      <c r="CQ1009" s="1399"/>
      <c r="CR1009" s="1399"/>
      <c r="CS1009" s="1399"/>
      <c r="CT1009" s="1399"/>
      <c r="CU1009" s="1399"/>
      <c r="CV1009" s="1399"/>
      <c r="CW1009" s="1399"/>
      <c r="CX1009" s="1399"/>
      <c r="CY1009" s="1399"/>
      <c r="CZ1009" s="1399"/>
      <c r="DA1009" s="1399"/>
      <c r="DB1009" s="1399"/>
      <c r="DC1009" s="1399"/>
      <c r="DD1009" s="1399"/>
      <c r="DE1009" s="1399"/>
      <c r="DF1009" s="1399"/>
      <c r="DG1009" s="1399"/>
      <c r="DH1009" s="1399"/>
      <c r="DI1009" s="1399"/>
      <c r="DJ1009" s="1399"/>
      <c r="DK1009" s="1399"/>
      <c r="DL1009" s="1399"/>
      <c r="DM1009" s="1399"/>
      <c r="DN1009" s="1399"/>
      <c r="DO1009" s="1399"/>
      <c r="DP1009" s="1399"/>
      <c r="DQ1009" s="1399"/>
      <c r="DR1009" s="1399"/>
      <c r="DS1009" s="1399"/>
      <c r="DT1009" s="1399"/>
      <c r="DU1009" s="1399"/>
    </row>
    <row r="1010" spans="1:125">
      <c r="A1010" s="1414"/>
      <c r="B1010" s="1414"/>
      <c r="C1010" s="1414"/>
      <c r="D1010" s="1414"/>
      <c r="E1010" s="1414"/>
      <c r="F1010" s="1414"/>
      <c r="G1010" s="1414"/>
      <c r="H1010" s="1414"/>
      <c r="I1010" s="1414"/>
      <c r="J1010" s="1414"/>
      <c r="K1010" s="1414"/>
      <c r="L1010" s="1414"/>
      <c r="M1010" s="1414"/>
      <c r="N1010" s="1414"/>
      <c r="O1010" s="1414"/>
      <c r="P1010" s="1414"/>
      <c r="Q1010" s="1414"/>
      <c r="R1010" s="1414"/>
      <c r="S1010" s="1414"/>
      <c r="T1010" s="1414"/>
      <c r="U1010" s="1414"/>
      <c r="V1010" s="1414"/>
      <c r="W1010" s="1414"/>
      <c r="X1010" s="1414"/>
      <c r="Y1010" s="1414"/>
      <c r="Z1010" s="1414"/>
      <c r="AA1010" s="1414"/>
      <c r="AB1010" s="1414"/>
      <c r="AC1010" s="1414"/>
      <c r="AD1010" s="1414"/>
      <c r="AE1010" s="1414"/>
      <c r="AF1010" s="1414"/>
      <c r="AG1010" s="1414"/>
      <c r="AH1010" s="1414"/>
      <c r="AI1010" s="1414"/>
      <c r="AJ1010" s="1414"/>
      <c r="AK1010" s="1414"/>
      <c r="AL1010" s="1414"/>
      <c r="AM1010" s="1414"/>
      <c r="AN1010" s="1414"/>
      <c r="AO1010" s="1414"/>
      <c r="AP1010" s="1414"/>
      <c r="AQ1010" s="1414"/>
      <c r="AR1010" s="1414"/>
      <c r="AS1010" s="1414"/>
      <c r="AT1010" s="1414"/>
      <c r="AU1010" s="1414"/>
      <c r="AV1010" s="1414"/>
      <c r="AW1010" s="1414"/>
      <c r="AX1010" s="1414"/>
      <c r="AY1010" s="1399"/>
      <c r="AZ1010" s="1399"/>
      <c r="BA1010" s="1399"/>
      <c r="BB1010" s="1399"/>
      <c r="BC1010" s="1399"/>
      <c r="BD1010" s="1399"/>
      <c r="BE1010" s="1414"/>
      <c r="BF1010" s="1399"/>
      <c r="BG1010" s="1399"/>
      <c r="BH1010" s="1399"/>
      <c r="BI1010" s="1399"/>
      <c r="BJ1010" s="1399"/>
      <c r="BK1010" s="1399"/>
      <c r="BL1010" s="1399"/>
      <c r="BM1010" s="1399"/>
      <c r="BN1010" s="1399"/>
      <c r="BO1010" s="1399"/>
      <c r="BP1010" s="1399"/>
      <c r="BQ1010" s="1399"/>
      <c r="BR1010" s="1399"/>
      <c r="BS1010" s="1399"/>
      <c r="BT1010" s="1399"/>
      <c r="BU1010" s="1399"/>
      <c r="BV1010" s="1399"/>
      <c r="BW1010" s="1399"/>
      <c r="BX1010" s="1399"/>
      <c r="BY1010" s="1399"/>
      <c r="BZ1010" s="1399"/>
      <c r="CA1010" s="1399"/>
      <c r="CB1010" s="1399"/>
      <c r="CC1010" s="1399"/>
      <c r="CD1010" s="1399"/>
      <c r="CE1010" s="1399"/>
      <c r="CF1010" s="1399"/>
      <c r="CG1010" s="1399"/>
      <c r="CH1010" s="1399"/>
      <c r="CI1010" s="1399"/>
      <c r="CJ1010" s="1399"/>
      <c r="CK1010" s="1399"/>
      <c r="CL1010" s="1399"/>
      <c r="CM1010" s="1399"/>
      <c r="CN1010" s="1399"/>
      <c r="CO1010" s="1399"/>
      <c r="CP1010" s="1399"/>
      <c r="CQ1010" s="1399"/>
      <c r="CR1010" s="1399"/>
      <c r="CS1010" s="1399"/>
      <c r="CT1010" s="1399"/>
      <c r="CU1010" s="1399"/>
      <c r="CV1010" s="1399"/>
      <c r="CW1010" s="1399"/>
      <c r="CX1010" s="1399"/>
      <c r="CY1010" s="1399"/>
      <c r="CZ1010" s="1399"/>
      <c r="DA1010" s="1399"/>
      <c r="DB1010" s="1399"/>
      <c r="DC1010" s="1399"/>
      <c r="DD1010" s="1399"/>
      <c r="DE1010" s="1399"/>
      <c r="DF1010" s="1399"/>
      <c r="DG1010" s="1399"/>
      <c r="DH1010" s="1399"/>
      <c r="DI1010" s="1399"/>
      <c r="DJ1010" s="1399"/>
      <c r="DK1010" s="1399"/>
      <c r="DL1010" s="1399"/>
      <c r="DM1010" s="1399"/>
      <c r="DN1010" s="1399"/>
      <c r="DO1010" s="1399"/>
      <c r="DP1010" s="1399"/>
      <c r="DQ1010" s="1399"/>
      <c r="DR1010" s="1399"/>
      <c r="DS1010" s="1399"/>
      <c r="DT1010" s="1399"/>
      <c r="DU1010" s="1399"/>
    </row>
    <row r="1011" spans="1:125">
      <c r="A1011" s="1414"/>
      <c r="B1011" s="1414"/>
      <c r="C1011" s="1414"/>
      <c r="D1011" s="1414"/>
      <c r="E1011" s="1414"/>
      <c r="F1011" s="1414"/>
      <c r="G1011" s="1414"/>
      <c r="H1011" s="1414"/>
      <c r="I1011" s="1414"/>
      <c r="J1011" s="1414"/>
      <c r="K1011" s="1414"/>
      <c r="L1011" s="1414"/>
      <c r="M1011" s="1414"/>
      <c r="N1011" s="1414"/>
      <c r="O1011" s="1414"/>
      <c r="P1011" s="1414"/>
      <c r="Q1011" s="1414"/>
      <c r="R1011" s="1414"/>
      <c r="S1011" s="1414"/>
      <c r="T1011" s="1414"/>
      <c r="U1011" s="1414"/>
      <c r="V1011" s="1414"/>
      <c r="W1011" s="1414"/>
      <c r="X1011" s="1414"/>
      <c r="Y1011" s="1414"/>
      <c r="Z1011" s="1414"/>
      <c r="AA1011" s="1414"/>
      <c r="AB1011" s="1414"/>
      <c r="AC1011" s="1414"/>
      <c r="AD1011" s="1414"/>
      <c r="AE1011" s="1414"/>
      <c r="AF1011" s="1414"/>
      <c r="AG1011" s="1414"/>
      <c r="AH1011" s="1414"/>
      <c r="AI1011" s="1414"/>
      <c r="AJ1011" s="1414"/>
      <c r="AK1011" s="1414"/>
      <c r="AL1011" s="1414"/>
      <c r="AM1011" s="1414"/>
      <c r="AN1011" s="1414"/>
      <c r="AO1011" s="1414"/>
      <c r="AP1011" s="1414"/>
      <c r="AQ1011" s="1414"/>
      <c r="AR1011" s="1414"/>
      <c r="AS1011" s="1414"/>
      <c r="AT1011" s="1414"/>
      <c r="AU1011" s="1414"/>
      <c r="AV1011" s="1414"/>
      <c r="AW1011" s="1414"/>
      <c r="AX1011" s="1414"/>
      <c r="AY1011" s="1399"/>
      <c r="AZ1011" s="1399"/>
      <c r="BA1011" s="1399"/>
      <c r="BB1011" s="1399"/>
      <c r="BC1011" s="1399"/>
      <c r="BD1011" s="1399"/>
      <c r="BE1011" s="1414"/>
      <c r="BF1011" s="1399"/>
      <c r="BG1011" s="1399"/>
      <c r="BH1011" s="1399"/>
      <c r="BI1011" s="1399"/>
      <c r="BJ1011" s="1399"/>
      <c r="BK1011" s="1399"/>
      <c r="BL1011" s="1399"/>
      <c r="BM1011" s="1399"/>
      <c r="BN1011" s="1399"/>
      <c r="BO1011" s="1399"/>
      <c r="BP1011" s="1399"/>
      <c r="BQ1011" s="1399"/>
      <c r="BR1011" s="1399"/>
      <c r="BS1011" s="1399"/>
      <c r="BT1011" s="1399"/>
      <c r="BU1011" s="1399"/>
      <c r="BV1011" s="1399"/>
      <c r="BW1011" s="1399"/>
      <c r="BX1011" s="1399"/>
      <c r="BY1011" s="1399"/>
      <c r="BZ1011" s="1399"/>
      <c r="CA1011" s="1399"/>
      <c r="CB1011" s="1399"/>
      <c r="CC1011" s="1399"/>
      <c r="CD1011" s="1399"/>
      <c r="CE1011" s="1399"/>
      <c r="CF1011" s="1399"/>
      <c r="CG1011" s="1399"/>
      <c r="CH1011" s="1399"/>
      <c r="CI1011" s="1399"/>
      <c r="CJ1011" s="1399"/>
      <c r="CK1011" s="1399"/>
      <c r="CL1011" s="1399"/>
      <c r="CM1011" s="1399"/>
      <c r="CN1011" s="1399"/>
      <c r="CO1011" s="1399"/>
      <c r="CP1011" s="1399"/>
      <c r="CQ1011" s="1399"/>
      <c r="CR1011" s="1399"/>
      <c r="CS1011" s="1399"/>
      <c r="CT1011" s="1399"/>
      <c r="CU1011" s="1399"/>
      <c r="CV1011" s="1399"/>
      <c r="CW1011" s="1399"/>
      <c r="CX1011" s="1399"/>
      <c r="CY1011" s="1399"/>
      <c r="CZ1011" s="1399"/>
      <c r="DA1011" s="1399"/>
      <c r="DB1011" s="1399"/>
      <c r="DC1011" s="1399"/>
      <c r="DD1011" s="1399"/>
      <c r="DE1011" s="1399"/>
      <c r="DF1011" s="1399"/>
      <c r="DG1011" s="1399"/>
      <c r="DH1011" s="1399"/>
      <c r="DI1011" s="1399"/>
      <c r="DJ1011" s="1399"/>
      <c r="DK1011" s="1399"/>
      <c r="DL1011" s="1399"/>
      <c r="DM1011" s="1399"/>
      <c r="DN1011" s="1399"/>
      <c r="DO1011" s="1399"/>
      <c r="DP1011" s="1399"/>
      <c r="DQ1011" s="1399"/>
      <c r="DR1011" s="1399"/>
      <c r="DS1011" s="1399"/>
      <c r="DT1011" s="1399"/>
      <c r="DU1011" s="1399"/>
    </row>
    <row r="1012" spans="1:125">
      <c r="A1012" s="1414"/>
      <c r="B1012" s="1414"/>
      <c r="C1012" s="1414"/>
      <c r="D1012" s="1414"/>
      <c r="E1012" s="1414"/>
      <c r="F1012" s="1414"/>
      <c r="G1012" s="1414"/>
      <c r="H1012" s="1414"/>
      <c r="I1012" s="1414"/>
      <c r="J1012" s="1414"/>
      <c r="K1012" s="1414"/>
      <c r="L1012" s="1414"/>
      <c r="M1012" s="1414"/>
      <c r="N1012" s="1414"/>
      <c r="O1012" s="1414"/>
      <c r="P1012" s="1414"/>
      <c r="Q1012" s="1414"/>
      <c r="R1012" s="1414"/>
      <c r="S1012" s="1414"/>
      <c r="T1012" s="1414"/>
      <c r="U1012" s="1414"/>
      <c r="V1012" s="1414"/>
      <c r="W1012" s="1414"/>
      <c r="X1012" s="1414"/>
      <c r="Y1012" s="1414"/>
      <c r="Z1012" s="1414"/>
      <c r="AA1012" s="1414"/>
      <c r="AB1012" s="1414"/>
      <c r="AC1012" s="1414"/>
      <c r="AD1012" s="1414"/>
      <c r="AE1012" s="1414"/>
      <c r="AF1012" s="1414"/>
      <c r="AG1012" s="1414"/>
      <c r="AH1012" s="1414"/>
      <c r="AI1012" s="1414"/>
      <c r="AJ1012" s="1414"/>
      <c r="AK1012" s="1414"/>
      <c r="AL1012" s="1414"/>
      <c r="AM1012" s="1414"/>
      <c r="AN1012" s="1414"/>
      <c r="AO1012" s="1414"/>
      <c r="AP1012" s="1414"/>
      <c r="AQ1012" s="1414"/>
      <c r="AR1012" s="1414"/>
      <c r="AS1012" s="1414"/>
      <c r="AT1012" s="1414"/>
      <c r="AU1012" s="1414"/>
      <c r="AV1012" s="1414"/>
      <c r="AW1012" s="1414"/>
      <c r="AX1012" s="1414"/>
      <c r="AY1012" s="1399"/>
      <c r="AZ1012" s="1399"/>
      <c r="BA1012" s="1399"/>
      <c r="BB1012" s="1399"/>
      <c r="BC1012" s="1399"/>
      <c r="BD1012" s="1399"/>
      <c r="BE1012" s="1414"/>
      <c r="BF1012" s="1399"/>
      <c r="BG1012" s="1399"/>
      <c r="BH1012" s="1399"/>
      <c r="BI1012" s="1399"/>
      <c r="BJ1012" s="1399"/>
      <c r="BK1012" s="1399"/>
      <c r="BL1012" s="1399"/>
      <c r="BM1012" s="1399"/>
      <c r="BN1012" s="1399"/>
      <c r="BO1012" s="1399"/>
      <c r="BP1012" s="1399"/>
      <c r="BQ1012" s="1399"/>
      <c r="BR1012" s="1399"/>
      <c r="BS1012" s="1399"/>
      <c r="BT1012" s="1399"/>
      <c r="BU1012" s="1399"/>
      <c r="BV1012" s="1399"/>
      <c r="BW1012" s="1399"/>
      <c r="BX1012" s="1399"/>
      <c r="BY1012" s="1399"/>
      <c r="BZ1012" s="1399"/>
      <c r="CA1012" s="1399"/>
      <c r="CB1012" s="1399"/>
      <c r="CC1012" s="1399"/>
      <c r="CD1012" s="1399"/>
      <c r="CE1012" s="1399"/>
      <c r="CF1012" s="1399"/>
      <c r="CG1012" s="1399"/>
      <c r="CH1012" s="1399"/>
      <c r="CI1012" s="1399"/>
      <c r="CJ1012" s="1399"/>
      <c r="CK1012" s="1399"/>
      <c r="CL1012" s="1399"/>
      <c r="CM1012" s="1399"/>
      <c r="CN1012" s="1399"/>
      <c r="CO1012" s="1399"/>
      <c r="CP1012" s="1399"/>
      <c r="CQ1012" s="1399"/>
      <c r="CR1012" s="1399"/>
      <c r="CS1012" s="1399"/>
      <c r="CT1012" s="1399"/>
      <c r="CU1012" s="1399"/>
      <c r="CV1012" s="1399"/>
      <c r="CW1012" s="1399"/>
      <c r="CX1012" s="1399"/>
      <c r="CY1012" s="1399"/>
      <c r="CZ1012" s="1399"/>
      <c r="DA1012" s="1399"/>
      <c r="DB1012" s="1399"/>
      <c r="DC1012" s="1399"/>
      <c r="DD1012" s="1399"/>
      <c r="DE1012" s="1399"/>
      <c r="DF1012" s="1399"/>
      <c r="DG1012" s="1399"/>
      <c r="DH1012" s="1399"/>
      <c r="DI1012" s="1399"/>
      <c r="DJ1012" s="1399"/>
      <c r="DK1012" s="1399"/>
      <c r="DL1012" s="1399"/>
      <c r="DM1012" s="1399"/>
      <c r="DN1012" s="1399"/>
      <c r="DO1012" s="1399"/>
      <c r="DP1012" s="1399"/>
      <c r="DQ1012" s="1399"/>
      <c r="DR1012" s="1399"/>
      <c r="DS1012" s="1399"/>
      <c r="DT1012" s="1399"/>
      <c r="DU1012" s="1399"/>
    </row>
    <row r="1013" spans="1:125">
      <c r="A1013" s="1414"/>
      <c r="B1013" s="1414"/>
      <c r="C1013" s="1414"/>
      <c r="D1013" s="1414"/>
      <c r="E1013" s="1414"/>
      <c r="F1013" s="1414"/>
      <c r="G1013" s="1414"/>
      <c r="H1013" s="1414"/>
      <c r="I1013" s="1414"/>
      <c r="J1013" s="1414"/>
      <c r="K1013" s="1414"/>
      <c r="L1013" s="1414"/>
      <c r="M1013" s="1414"/>
      <c r="N1013" s="1414"/>
      <c r="O1013" s="1414"/>
      <c r="P1013" s="1414"/>
      <c r="Q1013" s="1414"/>
      <c r="R1013" s="1414"/>
      <c r="S1013" s="1414"/>
      <c r="T1013" s="1414"/>
      <c r="U1013" s="1414"/>
      <c r="V1013" s="1414"/>
      <c r="W1013" s="1414"/>
      <c r="X1013" s="1414"/>
      <c r="Y1013" s="1414"/>
      <c r="Z1013" s="1414"/>
      <c r="AA1013" s="1414"/>
      <c r="AB1013" s="1414"/>
      <c r="AC1013" s="1414"/>
      <c r="AD1013" s="1414"/>
      <c r="AE1013" s="1414"/>
      <c r="AF1013" s="1414"/>
      <c r="AG1013" s="1414"/>
      <c r="AH1013" s="1414"/>
      <c r="AI1013" s="1414"/>
      <c r="AJ1013" s="1414"/>
      <c r="AK1013" s="1414"/>
      <c r="AL1013" s="1414"/>
      <c r="AM1013" s="1414"/>
      <c r="AN1013" s="1414"/>
      <c r="AO1013" s="1414"/>
      <c r="AP1013" s="1414"/>
      <c r="AQ1013" s="1414"/>
      <c r="AR1013" s="1414"/>
      <c r="AS1013" s="1414"/>
      <c r="AT1013" s="1414"/>
      <c r="AU1013" s="1414"/>
      <c r="AV1013" s="1414"/>
      <c r="AW1013" s="1414"/>
      <c r="AX1013" s="1414"/>
      <c r="AY1013" s="1399"/>
      <c r="AZ1013" s="1399"/>
      <c r="BA1013" s="1399"/>
      <c r="BB1013" s="1399"/>
      <c r="BC1013" s="1399"/>
      <c r="BD1013" s="1399"/>
      <c r="BE1013" s="1414"/>
      <c r="BF1013" s="1399"/>
      <c r="BG1013" s="1399"/>
      <c r="BH1013" s="1399"/>
      <c r="BI1013" s="1399"/>
      <c r="BJ1013" s="1399"/>
      <c r="BK1013" s="1399"/>
      <c r="BL1013" s="1399"/>
      <c r="BM1013" s="1399"/>
      <c r="BN1013" s="1399"/>
      <c r="BO1013" s="1399"/>
      <c r="BP1013" s="1399"/>
      <c r="BQ1013" s="1399"/>
      <c r="BR1013" s="1399"/>
      <c r="BS1013" s="1399"/>
      <c r="BT1013" s="1399"/>
      <c r="BU1013" s="1399"/>
      <c r="BV1013" s="1399"/>
      <c r="BW1013" s="1399"/>
      <c r="BX1013" s="1399"/>
      <c r="BY1013" s="1399"/>
      <c r="BZ1013" s="1399"/>
      <c r="CA1013" s="1399"/>
      <c r="CB1013" s="1399"/>
      <c r="CC1013" s="1399"/>
      <c r="CD1013" s="1399"/>
      <c r="CE1013" s="1399"/>
      <c r="CF1013" s="1399"/>
      <c r="CG1013" s="1399"/>
      <c r="CH1013" s="1399"/>
      <c r="CI1013" s="1399"/>
      <c r="CJ1013" s="1399"/>
      <c r="CK1013" s="1399"/>
      <c r="CL1013" s="1399"/>
      <c r="CM1013" s="1399"/>
      <c r="CN1013" s="1399"/>
      <c r="CO1013" s="1399"/>
      <c r="CP1013" s="1399"/>
      <c r="CQ1013" s="1399"/>
      <c r="CR1013" s="1399"/>
      <c r="CS1013" s="1399"/>
      <c r="CT1013" s="1399"/>
      <c r="CU1013" s="1399"/>
      <c r="CV1013" s="1399"/>
      <c r="CW1013" s="1399"/>
      <c r="CX1013" s="1399"/>
      <c r="CY1013" s="1399"/>
      <c r="CZ1013" s="1399"/>
      <c r="DA1013" s="1399"/>
      <c r="DB1013" s="1399"/>
      <c r="DC1013" s="1399"/>
      <c r="DD1013" s="1399"/>
      <c r="DE1013" s="1399"/>
      <c r="DF1013" s="1399"/>
      <c r="DG1013" s="1399"/>
      <c r="DH1013" s="1399"/>
      <c r="DI1013" s="1399"/>
      <c r="DJ1013" s="1399"/>
      <c r="DK1013" s="1399"/>
      <c r="DL1013" s="1399"/>
      <c r="DM1013" s="1399"/>
      <c r="DN1013" s="1399"/>
      <c r="DO1013" s="1399"/>
      <c r="DP1013" s="1399"/>
      <c r="DQ1013" s="1399"/>
      <c r="DR1013" s="1399"/>
      <c r="DS1013" s="1399"/>
      <c r="DT1013" s="1399"/>
      <c r="DU1013" s="1399"/>
    </row>
    <row r="1014" spans="1:125">
      <c r="A1014" s="1414"/>
      <c r="B1014" s="1414"/>
      <c r="C1014" s="1414"/>
      <c r="D1014" s="1414"/>
      <c r="E1014" s="1414"/>
      <c r="F1014" s="1414"/>
      <c r="G1014" s="1414"/>
      <c r="H1014" s="1414"/>
      <c r="I1014" s="1414"/>
      <c r="J1014" s="1414"/>
      <c r="K1014" s="1414"/>
      <c r="L1014" s="1414"/>
      <c r="M1014" s="1414"/>
      <c r="N1014" s="1414"/>
      <c r="O1014" s="1414"/>
      <c r="P1014" s="1414"/>
      <c r="Q1014" s="1414"/>
      <c r="R1014" s="1414"/>
      <c r="S1014" s="1414"/>
      <c r="T1014" s="1414"/>
      <c r="U1014" s="1414"/>
      <c r="V1014" s="1414"/>
      <c r="W1014" s="1414"/>
      <c r="X1014" s="1414"/>
      <c r="Y1014" s="1414"/>
      <c r="Z1014" s="1414"/>
      <c r="AA1014" s="1414"/>
      <c r="AB1014" s="1414"/>
      <c r="AC1014" s="1414"/>
      <c r="AD1014" s="1414"/>
      <c r="AE1014" s="1414"/>
      <c r="AF1014" s="1414"/>
      <c r="AG1014" s="1414"/>
      <c r="AH1014" s="1414"/>
      <c r="AI1014" s="1414"/>
      <c r="AJ1014" s="1414"/>
      <c r="AK1014" s="1414"/>
      <c r="AL1014" s="1414"/>
      <c r="AM1014" s="1414"/>
      <c r="AN1014" s="1414"/>
      <c r="AO1014" s="1414"/>
      <c r="AP1014" s="1414"/>
      <c r="AQ1014" s="1414"/>
      <c r="AR1014" s="1414"/>
      <c r="AS1014" s="1414"/>
      <c r="AT1014" s="1414"/>
      <c r="AU1014" s="1414"/>
      <c r="AV1014" s="1414"/>
      <c r="AW1014" s="1414"/>
      <c r="AX1014" s="1414"/>
      <c r="AY1014" s="1399"/>
      <c r="AZ1014" s="1399"/>
      <c r="BA1014" s="1399"/>
      <c r="BB1014" s="1399"/>
      <c r="BC1014" s="1399"/>
      <c r="BD1014" s="1399"/>
      <c r="BE1014" s="1414"/>
      <c r="BF1014" s="1399"/>
      <c r="BG1014" s="1399"/>
      <c r="BH1014" s="1399"/>
      <c r="BI1014" s="1399"/>
      <c r="BJ1014" s="1399"/>
      <c r="BK1014" s="1399"/>
      <c r="BL1014" s="1399"/>
      <c r="BM1014" s="1399"/>
      <c r="BN1014" s="1399"/>
      <c r="BO1014" s="1399"/>
      <c r="BP1014" s="1399"/>
      <c r="BQ1014" s="1399"/>
      <c r="BR1014" s="1399"/>
      <c r="BS1014" s="1399"/>
      <c r="BT1014" s="1399"/>
      <c r="BU1014" s="1399"/>
      <c r="BV1014" s="1399"/>
      <c r="BW1014" s="1399"/>
      <c r="BX1014" s="1399"/>
      <c r="BY1014" s="1399"/>
      <c r="BZ1014" s="1399"/>
      <c r="CA1014" s="1399"/>
      <c r="CB1014" s="1399"/>
      <c r="CC1014" s="1399"/>
      <c r="CD1014" s="1399"/>
      <c r="CE1014" s="1399"/>
      <c r="CF1014" s="1399"/>
      <c r="CG1014" s="1399"/>
      <c r="CH1014" s="1399"/>
      <c r="CI1014" s="1399"/>
      <c r="CJ1014" s="1399"/>
      <c r="CK1014" s="1399"/>
      <c r="CL1014" s="1399"/>
      <c r="CM1014" s="1399"/>
      <c r="CN1014" s="1399"/>
      <c r="CO1014" s="1399"/>
      <c r="CP1014" s="1399"/>
      <c r="CQ1014" s="1399"/>
      <c r="CR1014" s="1399"/>
      <c r="CS1014" s="1399"/>
      <c r="CT1014" s="1399"/>
      <c r="CU1014" s="1399"/>
      <c r="CV1014" s="1399"/>
      <c r="CW1014" s="1399"/>
      <c r="CX1014" s="1399"/>
      <c r="CY1014" s="1399"/>
      <c r="CZ1014" s="1399"/>
      <c r="DA1014" s="1399"/>
      <c r="DB1014" s="1399"/>
      <c r="DC1014" s="1399"/>
      <c r="DD1014" s="1399"/>
      <c r="DE1014" s="1399"/>
      <c r="DF1014" s="1399"/>
      <c r="DG1014" s="1399"/>
      <c r="DH1014" s="1399"/>
      <c r="DI1014" s="1399"/>
      <c r="DJ1014" s="1399"/>
      <c r="DK1014" s="1399"/>
      <c r="DL1014" s="1399"/>
      <c r="DM1014" s="1399"/>
      <c r="DN1014" s="1399"/>
      <c r="DO1014" s="1399"/>
      <c r="DP1014" s="1399"/>
      <c r="DQ1014" s="1399"/>
      <c r="DR1014" s="1399"/>
      <c r="DS1014" s="1399"/>
      <c r="DT1014" s="1399"/>
      <c r="DU1014" s="1399"/>
    </row>
    <row r="1015" spans="1:125">
      <c r="A1015" s="1414"/>
      <c r="B1015" s="1414"/>
      <c r="C1015" s="1414"/>
      <c r="D1015" s="1414"/>
      <c r="E1015" s="1414"/>
      <c r="F1015" s="1414"/>
      <c r="G1015" s="1414"/>
      <c r="H1015" s="1414"/>
      <c r="I1015" s="1414"/>
      <c r="J1015" s="1414"/>
      <c r="K1015" s="1414"/>
      <c r="L1015" s="1414"/>
      <c r="M1015" s="1414"/>
      <c r="N1015" s="1414"/>
      <c r="O1015" s="1414"/>
      <c r="P1015" s="1414"/>
      <c r="Q1015" s="1414"/>
      <c r="R1015" s="1414"/>
      <c r="S1015" s="1414"/>
      <c r="T1015" s="1414"/>
      <c r="U1015" s="1414"/>
      <c r="V1015" s="1414"/>
      <c r="W1015" s="1414"/>
      <c r="X1015" s="1414"/>
      <c r="Y1015" s="1414"/>
      <c r="Z1015" s="1414"/>
      <c r="AA1015" s="1414"/>
      <c r="AB1015" s="1414"/>
      <c r="AC1015" s="1414"/>
      <c r="AD1015" s="1414"/>
      <c r="AE1015" s="1414"/>
      <c r="AF1015" s="1414"/>
      <c r="AG1015" s="1414"/>
      <c r="AH1015" s="1414"/>
      <c r="AI1015" s="1414"/>
      <c r="AJ1015" s="1414"/>
      <c r="AK1015" s="1414"/>
      <c r="AL1015" s="1414"/>
      <c r="AM1015" s="1414"/>
      <c r="AN1015" s="1414"/>
      <c r="AO1015" s="1414"/>
      <c r="AP1015" s="1414"/>
      <c r="AQ1015" s="1414"/>
      <c r="AR1015" s="1414"/>
      <c r="AS1015" s="1414"/>
      <c r="AT1015" s="1414"/>
      <c r="AU1015" s="1414"/>
      <c r="AV1015" s="1414"/>
      <c r="AW1015" s="1414"/>
      <c r="AX1015" s="1414"/>
      <c r="AY1015" s="1399"/>
      <c r="AZ1015" s="1399"/>
      <c r="BA1015" s="1399"/>
      <c r="BB1015" s="1399"/>
      <c r="BC1015" s="1399"/>
      <c r="BD1015" s="1399"/>
      <c r="BE1015" s="1414"/>
      <c r="BF1015" s="1399"/>
      <c r="BG1015" s="1399"/>
      <c r="BH1015" s="1399"/>
      <c r="BI1015" s="1399"/>
      <c r="BJ1015" s="1399"/>
      <c r="BK1015" s="1399"/>
      <c r="BL1015" s="1399"/>
      <c r="BM1015" s="1399"/>
      <c r="BN1015" s="1399"/>
      <c r="BO1015" s="1399"/>
      <c r="BP1015" s="1399"/>
      <c r="BQ1015" s="1399"/>
      <c r="BR1015" s="1399"/>
      <c r="BS1015" s="1399"/>
      <c r="BT1015" s="1399"/>
      <c r="BU1015" s="1399"/>
      <c r="BV1015" s="1399"/>
      <c r="BW1015" s="1399"/>
      <c r="BX1015" s="1399"/>
      <c r="BY1015" s="1399"/>
      <c r="BZ1015" s="1399"/>
      <c r="CA1015" s="1399"/>
      <c r="CB1015" s="1399"/>
      <c r="CC1015" s="1399"/>
      <c r="CD1015" s="1399"/>
      <c r="CE1015" s="1399"/>
      <c r="CF1015" s="1399"/>
      <c r="CG1015" s="1399"/>
      <c r="CH1015" s="1399"/>
      <c r="CI1015" s="1399"/>
      <c r="CJ1015" s="1399"/>
      <c r="CK1015" s="1399"/>
      <c r="CL1015" s="1399"/>
      <c r="CM1015" s="1399"/>
      <c r="CN1015" s="1399"/>
      <c r="CO1015" s="1399"/>
      <c r="CP1015" s="1399"/>
      <c r="CQ1015" s="1399"/>
      <c r="CR1015" s="1399"/>
      <c r="CS1015" s="1399"/>
      <c r="CT1015" s="1399"/>
      <c r="CU1015" s="1399"/>
      <c r="CV1015" s="1399"/>
      <c r="CW1015" s="1399"/>
      <c r="CX1015" s="1399"/>
      <c r="CY1015" s="1399"/>
      <c r="CZ1015" s="1399"/>
      <c r="DA1015" s="1399"/>
      <c r="DB1015" s="1399"/>
      <c r="DC1015" s="1399"/>
      <c r="DD1015" s="1399"/>
      <c r="DE1015" s="1399"/>
      <c r="DF1015" s="1399"/>
      <c r="DG1015" s="1399"/>
      <c r="DH1015" s="1399"/>
      <c r="DI1015" s="1399"/>
      <c r="DJ1015" s="1399"/>
      <c r="DK1015" s="1399"/>
      <c r="DL1015" s="1399"/>
      <c r="DM1015" s="1399"/>
      <c r="DN1015" s="1399"/>
      <c r="DO1015" s="1399"/>
      <c r="DP1015" s="1399"/>
      <c r="DQ1015" s="1399"/>
      <c r="DR1015" s="1399"/>
      <c r="DS1015" s="1399"/>
      <c r="DT1015" s="1399"/>
      <c r="DU1015" s="1399"/>
    </row>
    <row r="1016" spans="1:125">
      <c r="A1016" s="1414"/>
      <c r="B1016" s="1414"/>
      <c r="C1016" s="1414"/>
      <c r="D1016" s="1414"/>
      <c r="E1016" s="1414"/>
      <c r="F1016" s="1414"/>
      <c r="G1016" s="1414"/>
      <c r="H1016" s="1414"/>
      <c r="I1016" s="1414"/>
      <c r="J1016" s="1414"/>
      <c r="K1016" s="1414"/>
      <c r="L1016" s="1414"/>
      <c r="M1016" s="1414"/>
      <c r="N1016" s="1414"/>
      <c r="O1016" s="1414"/>
      <c r="P1016" s="1414"/>
      <c r="Q1016" s="1414"/>
      <c r="R1016" s="1414"/>
      <c r="S1016" s="1414"/>
      <c r="T1016" s="1414"/>
      <c r="U1016" s="1414"/>
      <c r="V1016" s="1414"/>
      <c r="W1016" s="1414"/>
      <c r="X1016" s="1414"/>
      <c r="Y1016" s="1414"/>
      <c r="Z1016" s="1414"/>
      <c r="AA1016" s="1414"/>
      <c r="AB1016" s="1414"/>
      <c r="AC1016" s="1414"/>
      <c r="AD1016" s="1414"/>
      <c r="AE1016" s="1414"/>
      <c r="AF1016" s="1414"/>
      <c r="AG1016" s="1414"/>
      <c r="AH1016" s="1414"/>
      <c r="AI1016" s="1414"/>
      <c r="AJ1016" s="1414"/>
      <c r="AK1016" s="1414"/>
      <c r="AL1016" s="1414"/>
      <c r="AM1016" s="1414"/>
      <c r="AN1016" s="1414"/>
      <c r="AO1016" s="1414"/>
      <c r="AP1016" s="1414"/>
      <c r="AQ1016" s="1414"/>
      <c r="AR1016" s="1414"/>
      <c r="AS1016" s="1414"/>
      <c r="AT1016" s="1414"/>
      <c r="AU1016" s="1414"/>
      <c r="AV1016" s="1414"/>
      <c r="AW1016" s="1414"/>
      <c r="AX1016" s="1414"/>
      <c r="AY1016" s="1399"/>
      <c r="AZ1016" s="1399"/>
      <c r="BA1016" s="1399"/>
      <c r="BB1016" s="1399"/>
      <c r="BC1016" s="1399"/>
      <c r="BD1016" s="1399"/>
      <c r="BE1016" s="1414"/>
      <c r="BF1016" s="1399"/>
      <c r="BG1016" s="1399"/>
      <c r="BH1016" s="1399"/>
      <c r="BI1016" s="1399"/>
      <c r="BJ1016" s="1399"/>
      <c r="BK1016" s="1399"/>
      <c r="BL1016" s="1399"/>
      <c r="BM1016" s="1399"/>
      <c r="BN1016" s="1399"/>
      <c r="BO1016" s="1399"/>
      <c r="BP1016" s="1399"/>
      <c r="BQ1016" s="1399"/>
      <c r="BR1016" s="1399"/>
      <c r="BS1016" s="1399"/>
      <c r="BT1016" s="1399"/>
      <c r="BU1016" s="1399"/>
      <c r="BV1016" s="1399"/>
      <c r="BW1016" s="1399"/>
      <c r="BX1016" s="1399"/>
      <c r="BY1016" s="1399"/>
      <c r="BZ1016" s="1399"/>
      <c r="CA1016" s="1399"/>
      <c r="CB1016" s="1399"/>
      <c r="CC1016" s="1399"/>
      <c r="CD1016" s="1399"/>
      <c r="CE1016" s="1399"/>
      <c r="CF1016" s="1399"/>
      <c r="CG1016" s="1399"/>
      <c r="CH1016" s="1399"/>
      <c r="CI1016" s="1399"/>
      <c r="CJ1016" s="1399"/>
      <c r="CK1016" s="1399"/>
      <c r="CL1016" s="1399"/>
      <c r="CM1016" s="1399"/>
      <c r="CN1016" s="1399"/>
      <c r="CO1016" s="1399"/>
      <c r="CP1016" s="1399"/>
      <c r="CQ1016" s="1399"/>
      <c r="CR1016" s="1399"/>
      <c r="CS1016" s="1399"/>
      <c r="CT1016" s="1399"/>
      <c r="CU1016" s="1399"/>
      <c r="CV1016" s="1399"/>
      <c r="CW1016" s="1399"/>
      <c r="CX1016" s="1399"/>
      <c r="CY1016" s="1399"/>
      <c r="CZ1016" s="1399"/>
      <c r="DA1016" s="1399"/>
      <c r="DB1016" s="1399"/>
      <c r="DC1016" s="1399"/>
      <c r="DD1016" s="1399"/>
      <c r="DE1016" s="1399"/>
      <c r="DF1016" s="1399"/>
      <c r="DG1016" s="1399"/>
      <c r="DH1016" s="1399"/>
      <c r="DI1016" s="1399"/>
      <c r="DJ1016" s="1399"/>
      <c r="DK1016" s="1399"/>
      <c r="DL1016" s="1399"/>
      <c r="DM1016" s="1399"/>
      <c r="DN1016" s="1399"/>
      <c r="DO1016" s="1399"/>
      <c r="DP1016" s="1399"/>
      <c r="DQ1016" s="1399"/>
      <c r="DR1016" s="1399"/>
      <c r="DS1016" s="1399"/>
      <c r="DT1016" s="1399"/>
      <c r="DU1016" s="1399"/>
    </row>
    <row r="1017" spans="1:125">
      <c r="A1017" s="1414"/>
      <c r="B1017" s="1414"/>
      <c r="C1017" s="1414"/>
      <c r="D1017" s="1414"/>
      <c r="E1017" s="1414"/>
      <c r="F1017" s="1414"/>
      <c r="G1017" s="1414"/>
      <c r="H1017" s="1414"/>
      <c r="I1017" s="1414"/>
      <c r="J1017" s="1414"/>
      <c r="K1017" s="1414"/>
      <c r="L1017" s="1414"/>
      <c r="M1017" s="1414"/>
      <c r="N1017" s="1414"/>
      <c r="O1017" s="1414"/>
      <c r="P1017" s="1414"/>
      <c r="Q1017" s="1414"/>
      <c r="R1017" s="1414"/>
      <c r="S1017" s="1414"/>
      <c r="T1017" s="1414"/>
      <c r="U1017" s="1414"/>
      <c r="V1017" s="1414"/>
      <c r="W1017" s="1414"/>
      <c r="X1017" s="1414"/>
      <c r="Y1017" s="1414"/>
      <c r="Z1017" s="1414"/>
      <c r="AA1017" s="1414"/>
      <c r="AB1017" s="1414"/>
      <c r="AC1017" s="1414"/>
      <c r="AD1017" s="1414"/>
      <c r="AE1017" s="1414"/>
      <c r="AF1017" s="1414"/>
      <c r="AG1017" s="1414"/>
      <c r="AH1017" s="1414"/>
      <c r="AI1017" s="1414"/>
      <c r="AJ1017" s="1414"/>
      <c r="AK1017" s="1414"/>
      <c r="AL1017" s="1414"/>
      <c r="AM1017" s="1414"/>
      <c r="AN1017" s="1414"/>
      <c r="AO1017" s="1414"/>
      <c r="AP1017" s="1414"/>
      <c r="AQ1017" s="1414"/>
      <c r="AR1017" s="1414"/>
      <c r="AS1017" s="1414"/>
      <c r="AT1017" s="1414"/>
      <c r="AU1017" s="1414"/>
      <c r="AV1017" s="1414"/>
      <c r="AW1017" s="1414"/>
      <c r="AX1017" s="1414"/>
      <c r="AY1017" s="1399"/>
      <c r="AZ1017" s="1399"/>
      <c r="BA1017" s="1399"/>
      <c r="BB1017" s="1399"/>
      <c r="BC1017" s="1399"/>
      <c r="BD1017" s="1399"/>
      <c r="BE1017" s="1414"/>
      <c r="BF1017" s="1399"/>
      <c r="BG1017" s="1399"/>
      <c r="BH1017" s="1399"/>
      <c r="BI1017" s="1399"/>
      <c r="BJ1017" s="1399"/>
      <c r="BK1017" s="1399"/>
      <c r="BL1017" s="1399"/>
      <c r="BM1017" s="1399"/>
      <c r="BN1017" s="1399"/>
      <c r="BO1017" s="1399"/>
      <c r="BP1017" s="1399"/>
      <c r="BQ1017" s="1399"/>
      <c r="BR1017" s="1399"/>
      <c r="BS1017" s="1399"/>
      <c r="BT1017" s="1399"/>
      <c r="BU1017" s="1399"/>
      <c r="BV1017" s="1399"/>
      <c r="BW1017" s="1399"/>
      <c r="BX1017" s="1399"/>
      <c r="BY1017" s="1399"/>
      <c r="BZ1017" s="1399"/>
      <c r="CA1017" s="1399"/>
      <c r="CB1017" s="1399"/>
      <c r="CC1017" s="1399"/>
      <c r="CD1017" s="1399"/>
      <c r="CE1017" s="1399"/>
      <c r="CF1017" s="1399"/>
      <c r="CG1017" s="1399"/>
      <c r="CH1017" s="1399"/>
      <c r="CI1017" s="1399"/>
      <c r="CJ1017" s="1399"/>
      <c r="CK1017" s="1399"/>
      <c r="CL1017" s="1399"/>
      <c r="CM1017" s="1399"/>
      <c r="CN1017" s="1399"/>
      <c r="CO1017" s="1399"/>
      <c r="CP1017" s="1399"/>
      <c r="CQ1017" s="1399"/>
      <c r="CR1017" s="1399"/>
      <c r="CS1017" s="1399"/>
      <c r="CT1017" s="1399"/>
      <c r="CU1017" s="1399"/>
      <c r="CV1017" s="1399"/>
      <c r="CW1017" s="1399"/>
      <c r="CX1017" s="1399"/>
      <c r="CY1017" s="1399"/>
      <c r="CZ1017" s="1399"/>
      <c r="DA1017" s="1399"/>
      <c r="DB1017" s="1399"/>
      <c r="DC1017" s="1399"/>
      <c r="DD1017" s="1399"/>
      <c r="DE1017" s="1399"/>
      <c r="DF1017" s="1399"/>
      <c r="DG1017" s="1399"/>
      <c r="DH1017" s="1399"/>
      <c r="DI1017" s="1399"/>
      <c r="DJ1017" s="1399"/>
      <c r="DK1017" s="1399"/>
      <c r="DL1017" s="1399"/>
      <c r="DM1017" s="1399"/>
      <c r="DN1017" s="1399"/>
      <c r="DO1017" s="1399"/>
      <c r="DP1017" s="1399"/>
      <c r="DQ1017" s="1399"/>
      <c r="DR1017" s="1399"/>
      <c r="DS1017" s="1399"/>
      <c r="DT1017" s="1399"/>
      <c r="DU1017" s="1399"/>
    </row>
    <row r="1018" spans="1:125">
      <c r="A1018" s="1414"/>
      <c r="B1018" s="1414"/>
      <c r="C1018" s="1414"/>
      <c r="D1018" s="1414"/>
      <c r="E1018" s="1414"/>
      <c r="F1018" s="1414"/>
      <c r="G1018" s="1414"/>
      <c r="H1018" s="1414"/>
      <c r="I1018" s="1414"/>
      <c r="J1018" s="1414"/>
      <c r="K1018" s="1414"/>
      <c r="L1018" s="1414"/>
      <c r="M1018" s="1414"/>
      <c r="N1018" s="1414"/>
      <c r="O1018" s="1414"/>
      <c r="P1018" s="1414"/>
      <c r="Q1018" s="1414"/>
      <c r="R1018" s="1414"/>
      <c r="S1018" s="1414"/>
      <c r="T1018" s="1414"/>
      <c r="U1018" s="1414"/>
      <c r="V1018" s="1414"/>
      <c r="W1018" s="1414"/>
      <c r="X1018" s="1414"/>
      <c r="Y1018" s="1414"/>
      <c r="Z1018" s="1414"/>
      <c r="AA1018" s="1414"/>
      <c r="AB1018" s="1414"/>
      <c r="AC1018" s="1414"/>
      <c r="AD1018" s="1414"/>
      <c r="AE1018" s="1414"/>
      <c r="AF1018" s="1414"/>
      <c r="AG1018" s="1414"/>
      <c r="AH1018" s="1414"/>
      <c r="AI1018" s="1414"/>
      <c r="AJ1018" s="1414"/>
      <c r="AK1018" s="1414"/>
      <c r="AL1018" s="1414"/>
      <c r="AM1018" s="1414"/>
      <c r="AN1018" s="1414"/>
      <c r="AO1018" s="1414"/>
      <c r="AP1018" s="1414"/>
      <c r="AQ1018" s="1414"/>
      <c r="AR1018" s="1414"/>
      <c r="AS1018" s="1414"/>
      <c r="AT1018" s="1414"/>
      <c r="AU1018" s="1414"/>
      <c r="AV1018" s="1414"/>
      <c r="AW1018" s="1414"/>
      <c r="AX1018" s="1414"/>
      <c r="AY1018" s="1399"/>
      <c r="AZ1018" s="1399"/>
      <c r="BA1018" s="1399"/>
      <c r="BB1018" s="1399"/>
      <c r="BC1018" s="1399"/>
      <c r="BD1018" s="1399"/>
      <c r="BE1018" s="1414"/>
      <c r="BF1018" s="1399"/>
      <c r="BG1018" s="1399"/>
      <c r="BH1018" s="1399"/>
      <c r="BI1018" s="1399"/>
      <c r="BJ1018" s="1399"/>
      <c r="BK1018" s="1399"/>
      <c r="BL1018" s="1399"/>
      <c r="BM1018" s="1399"/>
      <c r="BN1018" s="1399"/>
      <c r="BO1018" s="1399"/>
      <c r="BP1018" s="1399"/>
      <c r="BQ1018" s="1399"/>
      <c r="BR1018" s="1399"/>
      <c r="BS1018" s="1399"/>
      <c r="BT1018" s="1399"/>
      <c r="BU1018" s="1399"/>
      <c r="BV1018" s="1399"/>
      <c r="BW1018" s="1399"/>
      <c r="BX1018" s="1399"/>
      <c r="BY1018" s="1399"/>
      <c r="BZ1018" s="1399"/>
      <c r="CA1018" s="1399"/>
      <c r="CB1018" s="1399"/>
      <c r="CC1018" s="1399"/>
      <c r="CD1018" s="1399"/>
      <c r="CE1018" s="1399"/>
      <c r="CF1018" s="1399"/>
      <c r="CG1018" s="1399"/>
      <c r="CH1018" s="1399"/>
      <c r="CI1018" s="1399"/>
      <c r="CJ1018" s="1399"/>
      <c r="CK1018" s="1399"/>
      <c r="CL1018" s="1399"/>
      <c r="CM1018" s="1399"/>
      <c r="CN1018" s="1399"/>
      <c r="CO1018" s="1399"/>
      <c r="CP1018" s="1399"/>
      <c r="CQ1018" s="1399"/>
      <c r="CR1018" s="1399"/>
      <c r="CS1018" s="1399"/>
      <c r="CT1018" s="1399"/>
      <c r="CU1018" s="1399"/>
      <c r="CV1018" s="1399"/>
      <c r="CW1018" s="1399"/>
      <c r="CX1018" s="1399"/>
      <c r="CY1018" s="1399"/>
      <c r="CZ1018" s="1399"/>
      <c r="DA1018" s="1399"/>
      <c r="DB1018" s="1399"/>
      <c r="DC1018" s="1399"/>
      <c r="DD1018" s="1399"/>
      <c r="DE1018" s="1399"/>
      <c r="DF1018" s="1399"/>
      <c r="DG1018" s="1399"/>
      <c r="DH1018" s="1399"/>
      <c r="DI1018" s="1399"/>
      <c r="DJ1018" s="1399"/>
      <c r="DK1018" s="1399"/>
      <c r="DL1018" s="1399"/>
      <c r="DM1018" s="1399"/>
      <c r="DN1018" s="1399"/>
      <c r="DO1018" s="1399"/>
      <c r="DP1018" s="1399"/>
      <c r="DQ1018" s="1399"/>
      <c r="DR1018" s="1399"/>
      <c r="DS1018" s="1399"/>
      <c r="DT1018" s="1399"/>
      <c r="DU1018" s="1399"/>
    </row>
    <row r="1019" spans="1:125">
      <c r="A1019" s="1414"/>
      <c r="B1019" s="1414"/>
      <c r="C1019" s="1414"/>
      <c r="D1019" s="1414"/>
      <c r="E1019" s="1414"/>
      <c r="F1019" s="1414"/>
      <c r="G1019" s="1414"/>
      <c r="H1019" s="1414"/>
      <c r="I1019" s="1414"/>
      <c r="J1019" s="1414"/>
      <c r="K1019" s="1414"/>
      <c r="L1019" s="1414"/>
      <c r="M1019" s="1414"/>
      <c r="N1019" s="1414"/>
      <c r="O1019" s="1414"/>
      <c r="P1019" s="1414"/>
      <c r="Q1019" s="1414"/>
      <c r="R1019" s="1414"/>
      <c r="S1019" s="1414"/>
      <c r="T1019" s="1414"/>
      <c r="U1019" s="1414"/>
      <c r="V1019" s="1414"/>
      <c r="W1019" s="1414"/>
      <c r="X1019" s="1414"/>
      <c r="Y1019" s="1414"/>
      <c r="Z1019" s="1414"/>
      <c r="AA1019" s="1414"/>
      <c r="AB1019" s="1414"/>
      <c r="AC1019" s="1414"/>
      <c r="AD1019" s="1414"/>
      <c r="AE1019" s="1414"/>
      <c r="AF1019" s="1414"/>
      <c r="AG1019" s="1414"/>
      <c r="AH1019" s="1414"/>
      <c r="AI1019" s="1414"/>
      <c r="AJ1019" s="1414"/>
      <c r="AK1019" s="1414"/>
      <c r="AL1019" s="1414"/>
      <c r="AM1019" s="1414"/>
      <c r="AN1019" s="1414"/>
      <c r="AO1019" s="1414"/>
      <c r="AP1019" s="1414"/>
      <c r="AQ1019" s="1414"/>
      <c r="AR1019" s="1414"/>
      <c r="AS1019" s="1414"/>
      <c r="AT1019" s="1414"/>
      <c r="AU1019" s="1414"/>
      <c r="AV1019" s="1414"/>
      <c r="AW1019" s="1414"/>
      <c r="AX1019" s="1414"/>
      <c r="AY1019" s="1399"/>
      <c r="AZ1019" s="1399"/>
      <c r="BA1019" s="1399"/>
      <c r="BB1019" s="1399"/>
      <c r="BC1019" s="1399"/>
      <c r="BD1019" s="1399"/>
      <c r="BE1019" s="1414"/>
      <c r="BF1019" s="1399"/>
      <c r="BG1019" s="1399"/>
      <c r="BH1019" s="1399"/>
      <c r="BI1019" s="1399"/>
      <c r="BJ1019" s="1399"/>
      <c r="BK1019" s="1399"/>
      <c r="BL1019" s="1399"/>
      <c r="BM1019" s="1399"/>
      <c r="BN1019" s="1399"/>
      <c r="BO1019" s="1399"/>
      <c r="BP1019" s="1399"/>
      <c r="BQ1019" s="1399"/>
      <c r="BR1019" s="1399"/>
      <c r="BS1019" s="1399"/>
      <c r="BT1019" s="1399"/>
      <c r="BU1019" s="1399"/>
      <c r="BV1019" s="1399"/>
      <c r="BW1019" s="1399"/>
      <c r="BX1019" s="1399"/>
      <c r="BY1019" s="1399"/>
      <c r="BZ1019" s="1399"/>
      <c r="CA1019" s="1399"/>
      <c r="CB1019" s="1399"/>
      <c r="CC1019" s="1399"/>
      <c r="CD1019" s="1399"/>
      <c r="CE1019" s="1399"/>
      <c r="CF1019" s="1399"/>
      <c r="CG1019" s="1399"/>
      <c r="CH1019" s="1399"/>
      <c r="CI1019" s="1399"/>
      <c r="CJ1019" s="1399"/>
      <c r="CK1019" s="1399"/>
      <c r="CL1019" s="1399"/>
      <c r="CM1019" s="1399"/>
      <c r="CN1019" s="1399"/>
      <c r="CO1019" s="1399"/>
      <c r="CP1019" s="1399"/>
      <c r="CQ1019" s="1399"/>
      <c r="CR1019" s="1399"/>
      <c r="CS1019" s="1399"/>
      <c r="CT1019" s="1399"/>
      <c r="CU1019" s="1399"/>
      <c r="CV1019" s="1399"/>
      <c r="CW1019" s="1399"/>
      <c r="CX1019" s="1399"/>
      <c r="CY1019" s="1399"/>
      <c r="CZ1019" s="1399"/>
      <c r="DA1019" s="1399"/>
      <c r="DB1019" s="1399"/>
      <c r="DC1019" s="1399"/>
      <c r="DD1019" s="1399"/>
      <c r="DE1019" s="1399"/>
      <c r="DF1019" s="1399"/>
      <c r="DG1019" s="1399"/>
      <c r="DH1019" s="1399"/>
      <c r="DI1019" s="1399"/>
      <c r="DJ1019" s="1399"/>
      <c r="DK1019" s="1399"/>
      <c r="DL1019" s="1399"/>
      <c r="DM1019" s="1399"/>
      <c r="DN1019" s="1399"/>
      <c r="DO1019" s="1399"/>
      <c r="DP1019" s="1399"/>
      <c r="DQ1019" s="1399"/>
      <c r="DR1019" s="1399"/>
      <c r="DS1019" s="1399"/>
      <c r="DT1019" s="1399"/>
      <c r="DU1019" s="1399"/>
    </row>
    <row r="1020" spans="1:125">
      <c r="A1020" s="1414"/>
      <c r="B1020" s="1414"/>
      <c r="C1020" s="1414"/>
      <c r="D1020" s="1414"/>
      <c r="E1020" s="1414"/>
      <c r="F1020" s="1414"/>
      <c r="G1020" s="1414"/>
      <c r="H1020" s="1414"/>
      <c r="I1020" s="1414"/>
      <c r="J1020" s="1414"/>
      <c r="K1020" s="1414"/>
      <c r="L1020" s="1414"/>
      <c r="M1020" s="1414"/>
      <c r="N1020" s="1414"/>
      <c r="O1020" s="1414"/>
      <c r="P1020" s="1414"/>
      <c r="Q1020" s="1414"/>
      <c r="R1020" s="1414"/>
      <c r="S1020" s="1414"/>
      <c r="T1020" s="1414"/>
      <c r="U1020" s="1414"/>
      <c r="V1020" s="1414"/>
      <c r="W1020" s="1414"/>
      <c r="X1020" s="1414"/>
      <c r="Y1020" s="1414"/>
      <c r="Z1020" s="1414"/>
      <c r="AA1020" s="1414"/>
      <c r="AB1020" s="1414"/>
      <c r="AC1020" s="1414"/>
      <c r="AD1020" s="1414"/>
      <c r="AE1020" s="1414"/>
      <c r="AF1020" s="1414"/>
      <c r="AG1020" s="1414"/>
      <c r="AH1020" s="1414"/>
      <c r="AI1020" s="1414"/>
      <c r="AJ1020" s="1414"/>
      <c r="AK1020" s="1414"/>
      <c r="AL1020" s="1414"/>
      <c r="AM1020" s="1414"/>
      <c r="AN1020" s="1414"/>
      <c r="AO1020" s="1414"/>
      <c r="AP1020" s="1414"/>
      <c r="AQ1020" s="1414"/>
      <c r="AR1020" s="1414"/>
      <c r="AS1020" s="1414"/>
      <c r="AT1020" s="1414"/>
      <c r="AU1020" s="1414"/>
      <c r="AV1020" s="1414"/>
      <c r="AW1020" s="1414"/>
      <c r="AX1020" s="1414"/>
      <c r="AY1020" s="1399"/>
      <c r="AZ1020" s="1399"/>
      <c r="BA1020" s="1399"/>
      <c r="BB1020" s="1399"/>
      <c r="BC1020" s="1399"/>
      <c r="BD1020" s="1399"/>
      <c r="BE1020" s="1414"/>
      <c r="BF1020" s="1399"/>
      <c r="BG1020" s="1399"/>
      <c r="BH1020" s="1399"/>
      <c r="BI1020" s="1399"/>
      <c r="BJ1020" s="1399"/>
      <c r="BK1020" s="1399"/>
      <c r="BL1020" s="1399"/>
      <c r="BM1020" s="1399"/>
      <c r="BN1020" s="1399"/>
      <c r="BO1020" s="1399"/>
      <c r="BP1020" s="1399"/>
      <c r="BQ1020" s="1399"/>
      <c r="BR1020" s="1399"/>
      <c r="BS1020" s="1399"/>
      <c r="BT1020" s="1399"/>
      <c r="BU1020" s="1399"/>
      <c r="BV1020" s="1399"/>
      <c r="BW1020" s="1399"/>
      <c r="BX1020" s="1399"/>
      <c r="BY1020" s="1399"/>
      <c r="BZ1020" s="1399"/>
      <c r="CA1020" s="1399"/>
      <c r="CB1020" s="1399"/>
      <c r="CC1020" s="1399"/>
      <c r="CD1020" s="1399"/>
      <c r="CE1020" s="1399"/>
      <c r="CF1020" s="1399"/>
      <c r="CG1020" s="1399"/>
      <c r="CH1020" s="1399"/>
      <c r="CI1020" s="1399"/>
      <c r="CJ1020" s="1399"/>
      <c r="CK1020" s="1399"/>
      <c r="CL1020" s="1399"/>
      <c r="CM1020" s="1399"/>
      <c r="CN1020" s="1399"/>
      <c r="CO1020" s="1399"/>
      <c r="CP1020" s="1399"/>
      <c r="CQ1020" s="1399"/>
      <c r="CR1020" s="1399"/>
      <c r="CS1020" s="1399"/>
      <c r="CT1020" s="1399"/>
      <c r="CU1020" s="1399"/>
      <c r="CV1020" s="1399"/>
      <c r="CW1020" s="1399"/>
      <c r="CX1020" s="1399"/>
      <c r="CY1020" s="1399"/>
      <c r="CZ1020" s="1399"/>
      <c r="DA1020" s="1399"/>
      <c r="DB1020" s="1399"/>
      <c r="DC1020" s="1399"/>
      <c r="DD1020" s="1399"/>
      <c r="DE1020" s="1399"/>
      <c r="DF1020" s="1399"/>
      <c r="DG1020" s="1399"/>
      <c r="DH1020" s="1399"/>
      <c r="DI1020" s="1399"/>
      <c r="DJ1020" s="1399"/>
      <c r="DK1020" s="1399"/>
      <c r="DL1020" s="1399"/>
      <c r="DM1020" s="1399"/>
      <c r="DN1020" s="1399"/>
      <c r="DO1020" s="1399"/>
      <c r="DP1020" s="1399"/>
      <c r="DQ1020" s="1399"/>
      <c r="DR1020" s="1399"/>
      <c r="DS1020" s="1399"/>
      <c r="DT1020" s="1399"/>
      <c r="DU1020" s="1399"/>
    </row>
    <row r="1021" spans="1:125">
      <c r="A1021" s="1414"/>
      <c r="B1021" s="1414"/>
      <c r="C1021" s="1414"/>
      <c r="D1021" s="1414"/>
      <c r="E1021" s="1414"/>
      <c r="F1021" s="1414"/>
      <c r="G1021" s="1414"/>
      <c r="H1021" s="1414"/>
      <c r="I1021" s="1414"/>
      <c r="J1021" s="1414"/>
      <c r="K1021" s="1414"/>
      <c r="L1021" s="1414"/>
      <c r="M1021" s="1414"/>
      <c r="N1021" s="1414"/>
      <c r="O1021" s="1414"/>
      <c r="P1021" s="1414"/>
      <c r="Q1021" s="1414"/>
      <c r="R1021" s="1414"/>
      <c r="S1021" s="1414"/>
      <c r="T1021" s="1414"/>
      <c r="U1021" s="1414"/>
      <c r="V1021" s="1414"/>
      <c r="W1021" s="1414"/>
      <c r="X1021" s="1414"/>
      <c r="Y1021" s="1414"/>
      <c r="Z1021" s="1414"/>
      <c r="AA1021" s="1414"/>
      <c r="AB1021" s="1414"/>
      <c r="AC1021" s="1414"/>
      <c r="AD1021" s="1414"/>
      <c r="AE1021" s="1414"/>
      <c r="AF1021" s="1414"/>
      <c r="AG1021" s="1414"/>
      <c r="AH1021" s="1414"/>
      <c r="AI1021" s="1414"/>
      <c r="AJ1021" s="1414"/>
      <c r="AK1021" s="1414"/>
      <c r="AL1021" s="1414"/>
      <c r="AM1021" s="1414"/>
      <c r="AN1021" s="1414"/>
      <c r="AO1021" s="1414"/>
      <c r="AP1021" s="1414"/>
      <c r="AQ1021" s="1414"/>
      <c r="AR1021" s="1414"/>
      <c r="AS1021" s="1414"/>
      <c r="AT1021" s="1414"/>
      <c r="AU1021" s="1414"/>
      <c r="AV1021" s="1414"/>
      <c r="AW1021" s="1414"/>
      <c r="AX1021" s="1414"/>
      <c r="AY1021" s="1399"/>
      <c r="AZ1021" s="1399"/>
      <c r="BA1021" s="1399"/>
      <c r="BB1021" s="1399"/>
      <c r="BC1021" s="1399"/>
      <c r="BD1021" s="1399"/>
      <c r="BE1021" s="1414"/>
      <c r="BF1021" s="1399"/>
      <c r="BG1021" s="1399"/>
      <c r="BH1021" s="1399"/>
      <c r="BI1021" s="1399"/>
      <c r="BJ1021" s="1399"/>
      <c r="BK1021" s="1399"/>
      <c r="BL1021" s="1399"/>
      <c r="BM1021" s="1399"/>
      <c r="BN1021" s="1399"/>
      <c r="BO1021" s="1399"/>
      <c r="BP1021" s="1399"/>
      <c r="BQ1021" s="1399"/>
      <c r="BR1021" s="1399"/>
      <c r="BS1021" s="1399"/>
      <c r="BT1021" s="1399"/>
      <c r="BU1021" s="1399"/>
      <c r="BV1021" s="1399"/>
      <c r="BW1021" s="1399"/>
      <c r="BX1021" s="1399"/>
      <c r="BY1021" s="1399"/>
      <c r="BZ1021" s="1399"/>
      <c r="CA1021" s="1399"/>
      <c r="CB1021" s="1399"/>
      <c r="CC1021" s="1399"/>
      <c r="CD1021" s="1399"/>
      <c r="CE1021" s="1399"/>
      <c r="CF1021" s="1399"/>
      <c r="CG1021" s="1399"/>
      <c r="CH1021" s="1399"/>
      <c r="CI1021" s="1399"/>
      <c r="CJ1021" s="1399"/>
      <c r="CK1021" s="1399"/>
      <c r="CL1021" s="1399"/>
      <c r="CM1021" s="1399"/>
      <c r="CN1021" s="1399"/>
      <c r="CO1021" s="1399"/>
      <c r="CP1021" s="1399"/>
      <c r="CQ1021" s="1399"/>
      <c r="CR1021" s="1399"/>
      <c r="CS1021" s="1399"/>
      <c r="CT1021" s="1399"/>
      <c r="CU1021" s="1399"/>
      <c r="CV1021" s="1399"/>
      <c r="CW1021" s="1399"/>
      <c r="CX1021" s="1399"/>
      <c r="CY1021" s="1399"/>
      <c r="CZ1021" s="1399"/>
      <c r="DA1021" s="1399"/>
      <c r="DB1021" s="1399"/>
      <c r="DC1021" s="1399"/>
      <c r="DD1021" s="1399"/>
      <c r="DE1021" s="1399"/>
      <c r="DF1021" s="1399"/>
      <c r="DG1021" s="1399"/>
      <c r="DH1021" s="1399"/>
      <c r="DI1021" s="1399"/>
      <c r="DJ1021" s="1399"/>
      <c r="DK1021" s="1399"/>
      <c r="DL1021" s="1399"/>
      <c r="DM1021" s="1399"/>
      <c r="DN1021" s="1399"/>
      <c r="DO1021" s="1399"/>
      <c r="DP1021" s="1399"/>
      <c r="DQ1021" s="1399"/>
      <c r="DR1021" s="1399"/>
      <c r="DS1021" s="1399"/>
      <c r="DT1021" s="1399"/>
      <c r="DU1021" s="1399"/>
    </row>
    <row r="1022" spans="1:125">
      <c r="A1022" s="1414"/>
      <c r="B1022" s="1414"/>
      <c r="C1022" s="1414"/>
      <c r="D1022" s="1414"/>
      <c r="E1022" s="1414"/>
      <c r="F1022" s="1414"/>
      <c r="G1022" s="1414"/>
      <c r="H1022" s="1414"/>
      <c r="I1022" s="1414"/>
      <c r="J1022" s="1414"/>
      <c r="K1022" s="1414"/>
      <c r="L1022" s="1414"/>
      <c r="M1022" s="1414"/>
      <c r="N1022" s="1414"/>
      <c r="O1022" s="1414"/>
      <c r="P1022" s="1414"/>
      <c r="Q1022" s="1414"/>
      <c r="R1022" s="1414"/>
      <c r="S1022" s="1414"/>
      <c r="T1022" s="1414"/>
      <c r="U1022" s="1414"/>
      <c r="V1022" s="1414"/>
      <c r="W1022" s="1414"/>
      <c r="X1022" s="1414"/>
      <c r="Y1022" s="1414"/>
      <c r="Z1022" s="1414"/>
      <c r="AA1022" s="1414"/>
      <c r="AB1022" s="1414"/>
      <c r="AC1022" s="1414"/>
      <c r="AD1022" s="1414"/>
      <c r="AE1022" s="1414"/>
      <c r="AF1022" s="1414"/>
      <c r="AG1022" s="1414"/>
      <c r="AH1022" s="1414"/>
      <c r="AI1022" s="1414"/>
      <c r="AJ1022" s="1414"/>
      <c r="AK1022" s="1414"/>
      <c r="AL1022" s="1414"/>
      <c r="AM1022" s="1414"/>
      <c r="AN1022" s="1414"/>
      <c r="AO1022" s="1414"/>
      <c r="AP1022" s="1414"/>
      <c r="AQ1022" s="1414"/>
      <c r="AR1022" s="1414"/>
      <c r="AS1022" s="1414"/>
      <c r="AT1022" s="1414"/>
      <c r="AU1022" s="1414"/>
      <c r="AV1022" s="1414"/>
      <c r="AW1022" s="1414"/>
      <c r="AX1022" s="1414"/>
      <c r="AY1022" s="1399"/>
      <c r="AZ1022" s="1399"/>
      <c r="BA1022" s="1399"/>
      <c r="BB1022" s="1399"/>
      <c r="BC1022" s="1399"/>
      <c r="BD1022" s="1399"/>
      <c r="BE1022" s="1414"/>
      <c r="BF1022" s="1399"/>
      <c r="BG1022" s="1399"/>
      <c r="BH1022" s="1399"/>
      <c r="BI1022" s="1399"/>
      <c r="BJ1022" s="1399"/>
      <c r="BK1022" s="1399"/>
      <c r="BL1022" s="1399"/>
      <c r="BM1022" s="1399"/>
      <c r="BN1022" s="1399"/>
      <c r="BO1022" s="1399"/>
      <c r="BP1022" s="1399"/>
      <c r="BQ1022" s="1399"/>
      <c r="BR1022" s="1399"/>
      <c r="BS1022" s="1399"/>
      <c r="BT1022" s="1399"/>
      <c r="BU1022" s="1399"/>
      <c r="BV1022" s="1399"/>
      <c r="BW1022" s="1399"/>
      <c r="BX1022" s="1399"/>
      <c r="BY1022" s="1399"/>
      <c r="BZ1022" s="1399"/>
      <c r="CA1022" s="1399"/>
      <c r="CB1022" s="1399"/>
      <c r="CC1022" s="1399"/>
      <c r="CD1022" s="1399"/>
      <c r="CE1022" s="1399"/>
      <c r="CF1022" s="1399"/>
      <c r="CG1022" s="1399"/>
      <c r="CH1022" s="1399"/>
      <c r="CI1022" s="1399"/>
      <c r="CJ1022" s="1399"/>
      <c r="CK1022" s="1399"/>
      <c r="CL1022" s="1399"/>
      <c r="CM1022" s="1399"/>
      <c r="CN1022" s="1399"/>
      <c r="CO1022" s="1399"/>
      <c r="CP1022" s="1399"/>
      <c r="CQ1022" s="1399"/>
      <c r="CR1022" s="1399"/>
      <c r="CS1022" s="1399"/>
      <c r="CT1022" s="1399"/>
      <c r="CU1022" s="1399"/>
      <c r="CV1022" s="1399"/>
      <c r="CW1022" s="1399"/>
      <c r="CX1022" s="1399"/>
      <c r="CY1022" s="1399"/>
      <c r="CZ1022" s="1399"/>
      <c r="DA1022" s="1399"/>
      <c r="DB1022" s="1399"/>
      <c r="DC1022" s="1399"/>
      <c r="DD1022" s="1399"/>
      <c r="DE1022" s="1399"/>
      <c r="DF1022" s="1399"/>
      <c r="DG1022" s="1399"/>
      <c r="DH1022" s="1399"/>
      <c r="DI1022" s="1399"/>
      <c r="DJ1022" s="1399"/>
      <c r="DK1022" s="1399"/>
      <c r="DL1022" s="1399"/>
      <c r="DM1022" s="1399"/>
      <c r="DN1022" s="1399"/>
      <c r="DO1022" s="1399"/>
      <c r="DP1022" s="1399"/>
      <c r="DQ1022" s="1399"/>
      <c r="DR1022" s="1399"/>
      <c r="DS1022" s="1399"/>
      <c r="DT1022" s="1399"/>
      <c r="DU1022" s="1399"/>
    </row>
    <row r="1023" spans="1:125">
      <c r="A1023" s="1414"/>
      <c r="B1023" s="1414"/>
      <c r="C1023" s="1414"/>
      <c r="D1023" s="1414"/>
      <c r="E1023" s="1414"/>
      <c r="F1023" s="1414"/>
      <c r="G1023" s="1414"/>
      <c r="H1023" s="1414"/>
      <c r="I1023" s="1414"/>
      <c r="J1023" s="1414"/>
      <c r="K1023" s="1414"/>
      <c r="L1023" s="1414"/>
      <c r="M1023" s="1414"/>
      <c r="N1023" s="1414"/>
      <c r="O1023" s="1414"/>
      <c r="P1023" s="1414"/>
      <c r="Q1023" s="1414"/>
      <c r="R1023" s="1414"/>
      <c r="S1023" s="1414"/>
      <c r="T1023" s="1414"/>
      <c r="U1023" s="1414"/>
      <c r="V1023" s="1414"/>
      <c r="W1023" s="1414"/>
      <c r="X1023" s="1414"/>
      <c r="Y1023" s="1414"/>
      <c r="Z1023" s="1414"/>
      <c r="AA1023" s="1414"/>
      <c r="AB1023" s="1414"/>
      <c r="AC1023" s="1414"/>
      <c r="AD1023" s="1414"/>
      <c r="AE1023" s="1414"/>
      <c r="AF1023" s="1414"/>
      <c r="AG1023" s="1414"/>
      <c r="AH1023" s="1414"/>
      <c r="AI1023" s="1414"/>
      <c r="AJ1023" s="1414"/>
      <c r="AK1023" s="1414"/>
      <c r="AL1023" s="1414"/>
      <c r="AM1023" s="1414"/>
      <c r="AN1023" s="1414"/>
      <c r="AO1023" s="1414"/>
      <c r="AP1023" s="1414"/>
      <c r="AQ1023" s="1414"/>
      <c r="AR1023" s="1414"/>
      <c r="AS1023" s="1414"/>
      <c r="AT1023" s="1414"/>
      <c r="AU1023" s="1414"/>
      <c r="AV1023" s="1414"/>
      <c r="AW1023" s="1414"/>
      <c r="AX1023" s="1414"/>
      <c r="AY1023" s="1399"/>
      <c r="AZ1023" s="1399"/>
      <c r="BA1023" s="1399"/>
      <c r="BB1023" s="1399"/>
      <c r="BC1023" s="1399"/>
      <c r="BD1023" s="1399"/>
      <c r="BE1023" s="1414"/>
      <c r="BF1023" s="1399"/>
      <c r="BG1023" s="1399"/>
      <c r="BH1023" s="1399"/>
      <c r="BI1023" s="1399"/>
      <c r="BJ1023" s="1399"/>
      <c r="BK1023" s="1399"/>
      <c r="BL1023" s="1399"/>
      <c r="BM1023" s="1399"/>
      <c r="BN1023" s="1399"/>
      <c r="BO1023" s="1399"/>
      <c r="BP1023" s="1399"/>
      <c r="BQ1023" s="1399"/>
      <c r="BR1023" s="1399"/>
      <c r="BS1023" s="1399"/>
      <c r="BT1023" s="1399"/>
      <c r="BU1023" s="1399"/>
      <c r="BV1023" s="1399"/>
      <c r="BW1023" s="1399"/>
      <c r="BX1023" s="1399"/>
      <c r="BY1023" s="1399"/>
      <c r="BZ1023" s="1399"/>
      <c r="CA1023" s="1399"/>
      <c r="CB1023" s="1399"/>
      <c r="CC1023" s="1399"/>
      <c r="CD1023" s="1399"/>
      <c r="CE1023" s="1399"/>
      <c r="CF1023" s="1399"/>
      <c r="CG1023" s="1399"/>
      <c r="CH1023" s="1399"/>
      <c r="CI1023" s="1399"/>
      <c r="CJ1023" s="1399"/>
      <c r="CK1023" s="1399"/>
      <c r="CL1023" s="1399"/>
      <c r="CM1023" s="1399"/>
      <c r="CN1023" s="1399"/>
      <c r="CO1023" s="1399"/>
      <c r="CP1023" s="1399"/>
      <c r="CQ1023" s="1399"/>
      <c r="CR1023" s="1399"/>
      <c r="CS1023" s="1399"/>
      <c r="CT1023" s="1399"/>
      <c r="CU1023" s="1399"/>
      <c r="CV1023" s="1399"/>
      <c r="CW1023" s="1399"/>
      <c r="CX1023" s="1399"/>
      <c r="CY1023" s="1399"/>
      <c r="CZ1023" s="1399"/>
      <c r="DA1023" s="1399"/>
      <c r="DB1023" s="1399"/>
      <c r="DC1023" s="1399"/>
      <c r="DD1023" s="1399"/>
      <c r="DE1023" s="1399"/>
      <c r="DF1023" s="1399"/>
      <c r="DG1023" s="1399"/>
      <c r="DH1023" s="1399"/>
      <c r="DI1023" s="1399"/>
      <c r="DJ1023" s="1399"/>
      <c r="DK1023" s="1399"/>
      <c r="DL1023" s="1399"/>
      <c r="DM1023" s="1399"/>
      <c r="DN1023" s="1399"/>
      <c r="DO1023" s="1399"/>
      <c r="DP1023" s="1399"/>
      <c r="DQ1023" s="1399"/>
      <c r="DR1023" s="1399"/>
      <c r="DS1023" s="1399"/>
      <c r="DT1023" s="1399"/>
      <c r="DU1023" s="1399"/>
    </row>
    <row r="1024" spans="1:125">
      <c r="A1024" s="1414"/>
      <c r="B1024" s="1414"/>
      <c r="C1024" s="1414"/>
      <c r="D1024" s="1414"/>
      <c r="E1024" s="1414"/>
      <c r="F1024" s="1414"/>
      <c r="G1024" s="1414"/>
      <c r="H1024" s="1414"/>
      <c r="I1024" s="1414"/>
      <c r="J1024" s="1414"/>
      <c r="K1024" s="1414"/>
      <c r="L1024" s="1414"/>
      <c r="M1024" s="1414"/>
      <c r="N1024" s="1414"/>
      <c r="O1024" s="1414"/>
      <c r="P1024" s="1414"/>
      <c r="Q1024" s="1414"/>
      <c r="R1024" s="1414"/>
      <c r="S1024" s="1414"/>
      <c r="T1024" s="1414"/>
      <c r="U1024" s="1414"/>
      <c r="V1024" s="1414"/>
      <c r="W1024" s="1414"/>
      <c r="X1024" s="1414"/>
      <c r="Y1024" s="1414"/>
      <c r="Z1024" s="1414"/>
      <c r="AA1024" s="1414"/>
      <c r="AB1024" s="1414"/>
      <c r="AC1024" s="1414"/>
      <c r="AD1024" s="1414"/>
      <c r="AE1024" s="1414"/>
      <c r="AF1024" s="1414"/>
      <c r="AG1024" s="1414"/>
      <c r="AH1024" s="1414"/>
      <c r="AI1024" s="1414"/>
      <c r="AJ1024" s="1414"/>
      <c r="AK1024" s="1414"/>
      <c r="AL1024" s="1414"/>
      <c r="AM1024" s="1414"/>
      <c r="AN1024" s="1414"/>
      <c r="AO1024" s="1414"/>
      <c r="AP1024" s="1414"/>
      <c r="AQ1024" s="1414"/>
      <c r="AR1024" s="1414"/>
      <c r="AS1024" s="1414"/>
      <c r="AT1024" s="1414"/>
      <c r="AU1024" s="1414"/>
      <c r="AV1024" s="1414"/>
      <c r="AW1024" s="1414"/>
      <c r="AX1024" s="1414"/>
      <c r="AY1024" s="1399"/>
      <c r="AZ1024" s="1399"/>
      <c r="BA1024" s="1399"/>
      <c r="BB1024" s="1399"/>
      <c r="BC1024" s="1399"/>
      <c r="BD1024" s="1399"/>
      <c r="BE1024" s="1414"/>
      <c r="BF1024" s="1399"/>
      <c r="BG1024" s="1399"/>
      <c r="BH1024" s="1399"/>
      <c r="BI1024" s="1399"/>
      <c r="BJ1024" s="1399"/>
      <c r="BK1024" s="1399"/>
      <c r="BL1024" s="1399"/>
      <c r="BM1024" s="1399"/>
      <c r="BN1024" s="1399"/>
      <c r="BO1024" s="1399"/>
      <c r="BP1024" s="1399"/>
      <c r="BQ1024" s="1399"/>
      <c r="BR1024" s="1399"/>
      <c r="BS1024" s="1399"/>
      <c r="BT1024" s="1399"/>
      <c r="BU1024" s="1399"/>
      <c r="BV1024" s="1399"/>
      <c r="BW1024" s="1399"/>
      <c r="BX1024" s="1399"/>
      <c r="BY1024" s="1399"/>
      <c r="BZ1024" s="1399"/>
      <c r="CA1024" s="1399"/>
      <c r="CB1024" s="1399"/>
      <c r="CC1024" s="1399"/>
      <c r="CD1024" s="1399"/>
      <c r="CE1024" s="1399"/>
      <c r="CF1024" s="1399"/>
      <c r="CG1024" s="1399"/>
      <c r="CH1024" s="1399"/>
      <c r="CI1024" s="1399"/>
      <c r="CJ1024" s="1399"/>
      <c r="CK1024" s="1399"/>
      <c r="CL1024" s="1399"/>
      <c r="CM1024" s="1399"/>
      <c r="CN1024" s="1399"/>
      <c r="CO1024" s="1399"/>
      <c r="CP1024" s="1399"/>
      <c r="CQ1024" s="1399"/>
      <c r="CR1024" s="1399"/>
      <c r="CS1024" s="1399"/>
      <c r="CT1024" s="1399"/>
      <c r="CU1024" s="1399"/>
      <c r="CV1024" s="1399"/>
      <c r="CW1024" s="1399"/>
      <c r="CX1024" s="1399"/>
      <c r="CY1024" s="1399"/>
      <c r="CZ1024" s="1399"/>
      <c r="DA1024" s="1399"/>
      <c r="DB1024" s="1399"/>
      <c r="DC1024" s="1399"/>
      <c r="DD1024" s="1399"/>
      <c r="DE1024" s="1399"/>
      <c r="DF1024" s="1399"/>
      <c r="DG1024" s="1399"/>
      <c r="DH1024" s="1399"/>
      <c r="DI1024" s="1399"/>
      <c r="DJ1024" s="1399"/>
      <c r="DK1024" s="1399"/>
      <c r="DL1024" s="1399"/>
      <c r="DM1024" s="1399"/>
      <c r="DN1024" s="1399"/>
      <c r="DO1024" s="1399"/>
      <c r="DP1024" s="1399"/>
      <c r="DQ1024" s="1399"/>
      <c r="DR1024" s="1399"/>
      <c r="DS1024" s="1399"/>
      <c r="DT1024" s="1399"/>
      <c r="DU1024" s="1399"/>
    </row>
    <row r="1025" spans="1:125">
      <c r="A1025" s="1414"/>
      <c r="B1025" s="1414"/>
      <c r="C1025" s="1414"/>
      <c r="D1025" s="1414"/>
      <c r="E1025" s="1414"/>
      <c r="F1025" s="1414"/>
      <c r="G1025" s="1414"/>
      <c r="H1025" s="1414"/>
      <c r="I1025" s="1414"/>
      <c r="J1025" s="1414"/>
      <c r="K1025" s="1414"/>
      <c r="L1025" s="1414"/>
      <c r="M1025" s="1414"/>
      <c r="N1025" s="1414"/>
      <c r="O1025" s="1414"/>
      <c r="P1025" s="1414"/>
      <c r="Q1025" s="1414"/>
      <c r="R1025" s="1414"/>
      <c r="S1025" s="1414"/>
      <c r="T1025" s="1414"/>
      <c r="U1025" s="1414"/>
      <c r="V1025" s="1414"/>
      <c r="W1025" s="1414"/>
      <c r="X1025" s="1414"/>
      <c r="Y1025" s="1414"/>
      <c r="Z1025" s="1414"/>
      <c r="AA1025" s="1414"/>
      <c r="AB1025" s="1414"/>
      <c r="AC1025" s="1414"/>
      <c r="AD1025" s="1414"/>
      <c r="AE1025" s="1414"/>
      <c r="AF1025" s="1414"/>
      <c r="AG1025" s="1414"/>
      <c r="AH1025" s="1414"/>
      <c r="AI1025" s="1414"/>
      <c r="AJ1025" s="1414"/>
      <c r="AK1025" s="1414"/>
      <c r="AL1025" s="1414"/>
      <c r="AM1025" s="1414"/>
      <c r="AN1025" s="1414"/>
      <c r="AO1025" s="1414"/>
      <c r="AP1025" s="1414"/>
      <c r="AQ1025" s="1414"/>
      <c r="AR1025" s="1414"/>
      <c r="AS1025" s="1414"/>
      <c r="AT1025" s="1414"/>
      <c r="AU1025" s="1414"/>
      <c r="AV1025" s="1414"/>
      <c r="AW1025" s="1414"/>
      <c r="AX1025" s="1414"/>
      <c r="AY1025" s="1399"/>
      <c r="AZ1025" s="1399"/>
      <c r="BA1025" s="1399"/>
      <c r="BB1025" s="1399"/>
      <c r="BC1025" s="1399"/>
      <c r="BD1025" s="1399"/>
      <c r="BE1025" s="1414"/>
      <c r="BF1025" s="1399"/>
      <c r="BG1025" s="1399"/>
      <c r="BH1025" s="1399"/>
      <c r="BI1025" s="1399"/>
      <c r="BJ1025" s="1399"/>
      <c r="BK1025" s="1399"/>
      <c r="BL1025" s="1399"/>
      <c r="BM1025" s="1399"/>
      <c r="BN1025" s="1399"/>
      <c r="BO1025" s="1399"/>
      <c r="BP1025" s="1399"/>
      <c r="BQ1025" s="1399"/>
      <c r="BR1025" s="1399"/>
      <c r="BS1025" s="1399"/>
      <c r="BT1025" s="1399"/>
      <c r="BU1025" s="1399"/>
      <c r="BV1025" s="1399"/>
      <c r="BW1025" s="1399"/>
      <c r="BX1025" s="1399"/>
      <c r="BY1025" s="1399"/>
      <c r="BZ1025" s="1399"/>
      <c r="CA1025" s="1399"/>
      <c r="CB1025" s="1399"/>
      <c r="CC1025" s="1399"/>
      <c r="CD1025" s="1399"/>
      <c r="CE1025" s="1399"/>
      <c r="CF1025" s="1399"/>
      <c r="CG1025" s="1399"/>
      <c r="CH1025" s="1399"/>
      <c r="CI1025" s="1399"/>
      <c r="CJ1025" s="1399"/>
      <c r="CK1025" s="1399"/>
      <c r="CL1025" s="1399"/>
      <c r="CM1025" s="1399"/>
      <c r="CN1025" s="1399"/>
      <c r="CO1025" s="1399"/>
      <c r="CP1025" s="1399"/>
      <c r="CQ1025" s="1399"/>
      <c r="CR1025" s="1399"/>
      <c r="CS1025" s="1399"/>
      <c r="CT1025" s="1399"/>
      <c r="CU1025" s="1399"/>
      <c r="CV1025" s="1399"/>
      <c r="CW1025" s="1399"/>
      <c r="CX1025" s="1399"/>
      <c r="CY1025" s="1399"/>
      <c r="CZ1025" s="1399"/>
      <c r="DA1025" s="1399"/>
      <c r="DB1025" s="1399"/>
      <c r="DC1025" s="1399"/>
      <c r="DD1025" s="1399"/>
      <c r="DE1025" s="1399"/>
      <c r="DF1025" s="1399"/>
      <c r="DG1025" s="1399"/>
      <c r="DH1025" s="1399"/>
      <c r="DI1025" s="1399"/>
      <c r="DJ1025" s="1399"/>
      <c r="DK1025" s="1399"/>
      <c r="DL1025" s="1399"/>
      <c r="DM1025" s="1399"/>
      <c r="DN1025" s="1399"/>
      <c r="DO1025" s="1399"/>
      <c r="DP1025" s="1399"/>
      <c r="DQ1025" s="1399"/>
      <c r="DR1025" s="1399"/>
      <c r="DS1025" s="1399"/>
      <c r="DT1025" s="1399"/>
      <c r="DU1025" s="1399"/>
    </row>
    <row r="1026" spans="1:125">
      <c r="A1026" s="1414"/>
      <c r="B1026" s="1414"/>
      <c r="C1026" s="1414"/>
      <c r="D1026" s="1414"/>
      <c r="E1026" s="1414"/>
      <c r="F1026" s="1414"/>
      <c r="G1026" s="1414"/>
      <c r="H1026" s="1414"/>
      <c r="I1026" s="1414"/>
      <c r="J1026" s="1414"/>
      <c r="K1026" s="1414"/>
      <c r="L1026" s="1414"/>
      <c r="M1026" s="1414"/>
      <c r="N1026" s="1414"/>
      <c r="O1026" s="1414"/>
      <c r="P1026" s="1414"/>
      <c r="Q1026" s="1414"/>
      <c r="R1026" s="1414"/>
      <c r="S1026" s="1414"/>
      <c r="T1026" s="1414"/>
      <c r="U1026" s="1414"/>
      <c r="V1026" s="1414"/>
      <c r="W1026" s="1414"/>
      <c r="X1026" s="1414"/>
      <c r="Y1026" s="1414"/>
      <c r="Z1026" s="1414"/>
      <c r="AA1026" s="1414"/>
      <c r="AB1026" s="1414"/>
      <c r="AC1026" s="1414"/>
      <c r="AD1026" s="1414"/>
      <c r="AE1026" s="1414"/>
      <c r="AF1026" s="1414"/>
      <c r="AG1026" s="1414"/>
      <c r="AH1026" s="1414"/>
      <c r="AI1026" s="1414"/>
      <c r="AJ1026" s="1414"/>
      <c r="AK1026" s="1414"/>
      <c r="AL1026" s="1414"/>
      <c r="AM1026" s="1414"/>
      <c r="AN1026" s="1414"/>
      <c r="AO1026" s="1414"/>
      <c r="AP1026" s="1414"/>
      <c r="AQ1026" s="1414"/>
      <c r="AR1026" s="1414"/>
      <c r="AS1026" s="1414"/>
      <c r="AT1026" s="1414"/>
      <c r="AU1026" s="1414"/>
      <c r="AV1026" s="1414"/>
      <c r="AW1026" s="1414"/>
      <c r="AX1026" s="1414"/>
      <c r="AY1026" s="1399"/>
      <c r="AZ1026" s="1399"/>
      <c r="BA1026" s="1399"/>
      <c r="BB1026" s="1399"/>
      <c r="BC1026" s="1399"/>
      <c r="BD1026" s="1399"/>
      <c r="BE1026" s="1414"/>
      <c r="BF1026" s="1399"/>
      <c r="BG1026" s="1399"/>
      <c r="BH1026" s="1399"/>
      <c r="BI1026" s="1399"/>
      <c r="BJ1026" s="1399"/>
      <c r="BK1026" s="1399"/>
      <c r="BL1026" s="1399"/>
      <c r="BM1026" s="1399"/>
      <c r="BN1026" s="1399"/>
      <c r="BO1026" s="1399"/>
      <c r="BP1026" s="1399"/>
      <c r="BQ1026" s="1399"/>
      <c r="BR1026" s="1399"/>
      <c r="BS1026" s="1399"/>
      <c r="BT1026" s="1399"/>
      <c r="BU1026" s="1399"/>
      <c r="BV1026" s="1399"/>
      <c r="BW1026" s="1399"/>
      <c r="BX1026" s="1399"/>
      <c r="BY1026" s="1399"/>
      <c r="BZ1026" s="1399"/>
      <c r="CA1026" s="1399"/>
      <c r="CB1026" s="1399"/>
      <c r="CC1026" s="1399"/>
      <c r="CD1026" s="1399"/>
      <c r="CE1026" s="1399"/>
      <c r="CF1026" s="1399"/>
      <c r="CG1026" s="1399"/>
      <c r="CH1026" s="1399"/>
      <c r="CI1026" s="1399"/>
      <c r="CJ1026" s="1399"/>
      <c r="CK1026" s="1399"/>
      <c r="CL1026" s="1399"/>
      <c r="CM1026" s="1399"/>
      <c r="CN1026" s="1399"/>
      <c r="CO1026" s="1399"/>
      <c r="CP1026" s="1399"/>
      <c r="CQ1026" s="1399"/>
      <c r="CR1026" s="1399"/>
      <c r="CS1026" s="1399"/>
      <c r="CT1026" s="1399"/>
      <c r="CU1026" s="1399"/>
      <c r="CV1026" s="1399"/>
      <c r="CW1026" s="1399"/>
      <c r="CX1026" s="1399"/>
      <c r="CY1026" s="1399"/>
      <c r="CZ1026" s="1399"/>
      <c r="DA1026" s="1399"/>
      <c r="DB1026" s="1399"/>
      <c r="DC1026" s="1399"/>
      <c r="DD1026" s="1399"/>
      <c r="DE1026" s="1399"/>
      <c r="DF1026" s="1399"/>
      <c r="DG1026" s="1399"/>
      <c r="DH1026" s="1399"/>
      <c r="DI1026" s="1399"/>
      <c r="DJ1026" s="1399"/>
      <c r="DK1026" s="1399"/>
      <c r="DL1026" s="1399"/>
      <c r="DM1026" s="1399"/>
      <c r="DN1026" s="1399"/>
      <c r="DO1026" s="1399"/>
      <c r="DP1026" s="1399"/>
      <c r="DQ1026" s="1399"/>
      <c r="DR1026" s="1399"/>
      <c r="DS1026" s="1399"/>
      <c r="DT1026" s="1399"/>
      <c r="DU1026" s="1399"/>
    </row>
    <row r="1027" spans="1:125">
      <c r="A1027" s="1414"/>
      <c r="B1027" s="1414"/>
      <c r="C1027" s="1414"/>
      <c r="D1027" s="1414"/>
      <c r="E1027" s="1414"/>
      <c r="F1027" s="1414"/>
      <c r="G1027" s="1414"/>
      <c r="H1027" s="1414"/>
      <c r="I1027" s="1414"/>
      <c r="J1027" s="1414"/>
      <c r="K1027" s="1414"/>
      <c r="L1027" s="1414"/>
      <c r="M1027" s="1414"/>
      <c r="N1027" s="1414"/>
      <c r="O1027" s="1414"/>
      <c r="P1027" s="1414"/>
      <c r="Q1027" s="1414"/>
      <c r="R1027" s="1414"/>
      <c r="S1027" s="1414"/>
      <c r="T1027" s="1414"/>
      <c r="U1027" s="1414"/>
      <c r="V1027" s="1414"/>
      <c r="W1027" s="1414"/>
      <c r="X1027" s="1414"/>
      <c r="Y1027" s="1414"/>
      <c r="Z1027" s="1414"/>
      <c r="AA1027" s="1414"/>
      <c r="AB1027" s="1414"/>
      <c r="AC1027" s="1414"/>
      <c r="AD1027" s="1414"/>
      <c r="AE1027" s="1414"/>
      <c r="AF1027" s="1414"/>
      <c r="AG1027" s="1414"/>
      <c r="AH1027" s="1414"/>
      <c r="AI1027" s="1414"/>
      <c r="AJ1027" s="1414"/>
      <c r="AK1027" s="1414"/>
      <c r="AL1027" s="1414"/>
      <c r="AM1027" s="1414"/>
      <c r="AN1027" s="1414"/>
      <c r="AO1027" s="1414"/>
      <c r="AP1027" s="1414"/>
      <c r="AQ1027" s="1414"/>
      <c r="AR1027" s="1414"/>
      <c r="AS1027" s="1414"/>
      <c r="AT1027" s="1414"/>
      <c r="AU1027" s="1414"/>
      <c r="AV1027" s="1414"/>
      <c r="AW1027" s="1414"/>
      <c r="AX1027" s="1414"/>
      <c r="AY1027" s="1399"/>
      <c r="AZ1027" s="1399"/>
      <c r="BA1027" s="1399"/>
      <c r="BB1027" s="1399"/>
      <c r="BC1027" s="1399"/>
      <c r="BD1027" s="1399"/>
      <c r="BE1027" s="1414"/>
      <c r="BF1027" s="1399"/>
      <c r="BG1027" s="1399"/>
      <c r="BH1027" s="1399"/>
      <c r="BI1027" s="1399"/>
      <c r="BJ1027" s="1399"/>
      <c r="BK1027" s="1399"/>
      <c r="BL1027" s="1399"/>
      <c r="BM1027" s="1399"/>
      <c r="BN1027" s="1399"/>
      <c r="BO1027" s="1399"/>
      <c r="BP1027" s="1399"/>
      <c r="BQ1027" s="1399"/>
      <c r="BR1027" s="1399"/>
      <c r="BS1027" s="1399"/>
      <c r="BT1027" s="1399"/>
      <c r="BU1027" s="1399"/>
      <c r="BV1027" s="1399"/>
      <c r="BW1027" s="1399"/>
      <c r="BX1027" s="1399"/>
      <c r="BY1027" s="1399"/>
      <c r="BZ1027" s="1399"/>
      <c r="CA1027" s="1399"/>
      <c r="CB1027" s="1399"/>
      <c r="CC1027" s="1399"/>
      <c r="CD1027" s="1399"/>
      <c r="CE1027" s="1399"/>
      <c r="CF1027" s="1399"/>
      <c r="CG1027" s="1399"/>
      <c r="CH1027" s="1399"/>
      <c r="CI1027" s="1399"/>
      <c r="CJ1027" s="1399"/>
      <c r="CK1027" s="1399"/>
      <c r="CL1027" s="1399"/>
      <c r="CM1027" s="1399"/>
      <c r="CN1027" s="1399"/>
      <c r="CO1027" s="1399"/>
      <c r="CP1027" s="1399"/>
      <c r="CQ1027" s="1399"/>
      <c r="CR1027" s="1399"/>
      <c r="CS1027" s="1399"/>
      <c r="CT1027" s="1399"/>
      <c r="CU1027" s="1399"/>
      <c r="CV1027" s="1399"/>
      <c r="CW1027" s="1399"/>
      <c r="CX1027" s="1399"/>
      <c r="CY1027" s="1399"/>
      <c r="CZ1027" s="1399"/>
      <c r="DA1027" s="1399"/>
      <c r="DB1027" s="1399"/>
      <c r="DC1027" s="1399"/>
      <c r="DD1027" s="1399"/>
      <c r="DE1027" s="1399"/>
      <c r="DF1027" s="1399"/>
      <c r="DG1027" s="1399"/>
      <c r="DH1027" s="1399"/>
      <c r="DI1027" s="1399"/>
      <c r="DJ1027" s="1399"/>
      <c r="DK1027" s="1399"/>
      <c r="DL1027" s="1399"/>
      <c r="DM1027" s="1399"/>
      <c r="DN1027" s="1399"/>
      <c r="DO1027" s="1399"/>
      <c r="DP1027" s="1399"/>
      <c r="DQ1027" s="1399"/>
      <c r="DR1027" s="1399"/>
      <c r="DS1027" s="1399"/>
      <c r="DT1027" s="1399"/>
      <c r="DU1027" s="1399"/>
    </row>
    <row r="1028" spans="1:125">
      <c r="A1028" s="1414"/>
      <c r="B1028" s="1414"/>
      <c r="C1028" s="1414"/>
      <c r="D1028" s="1414"/>
      <c r="E1028" s="1414"/>
      <c r="F1028" s="1414"/>
      <c r="G1028" s="1414"/>
      <c r="H1028" s="1414"/>
      <c r="I1028" s="1414"/>
      <c r="J1028" s="1414"/>
      <c r="K1028" s="1414"/>
      <c r="L1028" s="1414"/>
      <c r="M1028" s="1414"/>
      <c r="N1028" s="1414"/>
      <c r="O1028" s="1414"/>
      <c r="P1028" s="1414"/>
      <c r="Q1028" s="1414"/>
      <c r="R1028" s="1414"/>
      <c r="S1028" s="1414"/>
      <c r="T1028" s="1414"/>
      <c r="U1028" s="1414"/>
      <c r="V1028" s="1414"/>
      <c r="W1028" s="1414"/>
      <c r="X1028" s="1414"/>
      <c r="Y1028" s="1414"/>
      <c r="Z1028" s="1414"/>
      <c r="AA1028" s="1414"/>
      <c r="AB1028" s="1414"/>
      <c r="AC1028" s="1414"/>
      <c r="AD1028" s="1414"/>
      <c r="AE1028" s="1414"/>
      <c r="AF1028" s="1414"/>
      <c r="AG1028" s="1414"/>
      <c r="AH1028" s="1414"/>
      <c r="AI1028" s="1414"/>
      <c r="AJ1028" s="1414"/>
      <c r="AK1028" s="1414"/>
      <c r="AL1028" s="1414"/>
      <c r="AM1028" s="1414"/>
      <c r="AN1028" s="1414"/>
      <c r="AO1028" s="1414"/>
      <c r="AP1028" s="1414"/>
      <c r="AQ1028" s="1414"/>
      <c r="AR1028" s="1414"/>
      <c r="AS1028" s="1414"/>
      <c r="AT1028" s="1414"/>
      <c r="AU1028" s="1414"/>
      <c r="AV1028" s="1414"/>
      <c r="AW1028" s="1414"/>
      <c r="AX1028" s="1414"/>
      <c r="AY1028" s="1399"/>
      <c r="AZ1028" s="1399"/>
      <c r="BA1028" s="1399"/>
      <c r="BB1028" s="1399"/>
      <c r="BC1028" s="1399"/>
      <c r="BD1028" s="1399"/>
      <c r="BE1028" s="1414"/>
      <c r="BF1028" s="1399"/>
      <c r="BG1028" s="1399"/>
      <c r="BH1028" s="1399"/>
      <c r="BI1028" s="1399"/>
      <c r="BJ1028" s="1399"/>
      <c r="BK1028" s="1399"/>
      <c r="BL1028" s="1399"/>
      <c r="BM1028" s="1399"/>
      <c r="BN1028" s="1399"/>
      <c r="BO1028" s="1399"/>
      <c r="BP1028" s="1399"/>
      <c r="BQ1028" s="1399"/>
      <c r="BR1028" s="1399"/>
      <c r="BS1028" s="1399"/>
      <c r="BT1028" s="1399"/>
      <c r="BU1028" s="1399"/>
      <c r="BV1028" s="1399"/>
      <c r="BW1028" s="1399"/>
      <c r="BX1028" s="1399"/>
      <c r="BY1028" s="1399"/>
      <c r="BZ1028" s="1399"/>
      <c r="CA1028" s="1399"/>
      <c r="CB1028" s="1399"/>
      <c r="CC1028" s="1399"/>
      <c r="CD1028" s="1399"/>
      <c r="CE1028" s="1399"/>
      <c r="CF1028" s="1399"/>
      <c r="CG1028" s="1399"/>
      <c r="CH1028" s="1399"/>
      <c r="CI1028" s="1399"/>
      <c r="CJ1028" s="1399"/>
      <c r="CK1028" s="1399"/>
      <c r="CL1028" s="1399"/>
      <c r="CM1028" s="1399"/>
      <c r="CN1028" s="1399"/>
      <c r="CO1028" s="1399"/>
      <c r="CP1028" s="1399"/>
      <c r="CQ1028" s="1399"/>
      <c r="CR1028" s="1399"/>
      <c r="CS1028" s="1399"/>
      <c r="CT1028" s="1399"/>
      <c r="CU1028" s="1399"/>
      <c r="CV1028" s="1399"/>
      <c r="CW1028" s="1399"/>
      <c r="CX1028" s="1399"/>
      <c r="CY1028" s="1399"/>
      <c r="CZ1028" s="1399"/>
      <c r="DA1028" s="1399"/>
      <c r="DB1028" s="1399"/>
      <c r="DC1028" s="1399"/>
      <c r="DD1028" s="1399"/>
      <c r="DE1028" s="1399"/>
      <c r="DF1028" s="1399"/>
      <c r="DG1028" s="1399"/>
      <c r="DH1028" s="1399"/>
      <c r="DI1028" s="1399"/>
      <c r="DJ1028" s="1399"/>
      <c r="DK1028" s="1399"/>
      <c r="DL1028" s="1399"/>
      <c r="DM1028" s="1399"/>
      <c r="DN1028" s="1399"/>
      <c r="DO1028" s="1399"/>
      <c r="DP1028" s="1399"/>
      <c r="DQ1028" s="1399"/>
      <c r="DR1028" s="1399"/>
      <c r="DS1028" s="1399"/>
      <c r="DT1028" s="1399"/>
      <c r="DU1028" s="1399"/>
    </row>
    <row r="1029" spans="1:125">
      <c r="A1029" s="1414"/>
      <c r="B1029" s="1414"/>
      <c r="C1029" s="1414"/>
      <c r="D1029" s="1414"/>
      <c r="E1029" s="1414"/>
      <c r="F1029" s="1414"/>
      <c r="G1029" s="1414"/>
      <c r="H1029" s="1414"/>
      <c r="I1029" s="1414"/>
      <c r="J1029" s="1414"/>
      <c r="K1029" s="1414"/>
      <c r="L1029" s="1414"/>
      <c r="M1029" s="1414"/>
      <c r="N1029" s="1414"/>
      <c r="O1029" s="1414"/>
      <c r="P1029" s="1414"/>
      <c r="Q1029" s="1414"/>
      <c r="R1029" s="1414"/>
      <c r="S1029" s="1414"/>
      <c r="T1029" s="1414"/>
      <c r="U1029" s="1414"/>
      <c r="V1029" s="1414"/>
      <c r="W1029" s="1414"/>
      <c r="X1029" s="1414"/>
      <c r="Y1029" s="1414"/>
      <c r="Z1029" s="1414"/>
      <c r="AA1029" s="1414"/>
      <c r="AB1029" s="1414"/>
      <c r="AC1029" s="1414"/>
      <c r="AD1029" s="1414"/>
      <c r="AE1029" s="1414"/>
      <c r="AF1029" s="1414"/>
      <c r="AG1029" s="1414"/>
      <c r="AH1029" s="1414"/>
      <c r="AI1029" s="1414"/>
      <c r="AJ1029" s="1414"/>
      <c r="AK1029" s="1414"/>
      <c r="AL1029" s="1414"/>
      <c r="AM1029" s="1414"/>
      <c r="AN1029" s="1414"/>
      <c r="AO1029" s="1414"/>
      <c r="AP1029" s="1414"/>
      <c r="AQ1029" s="1414"/>
      <c r="AR1029" s="1414"/>
      <c r="AS1029" s="1414"/>
      <c r="AT1029" s="1414"/>
      <c r="AU1029" s="1414"/>
      <c r="AV1029" s="1414"/>
      <c r="AW1029" s="1414"/>
      <c r="AX1029" s="1414"/>
      <c r="AY1029" s="1399"/>
      <c r="AZ1029" s="1399"/>
      <c r="BA1029" s="1399"/>
      <c r="BB1029" s="1399"/>
      <c r="BC1029" s="1399"/>
      <c r="BD1029" s="1399"/>
      <c r="BE1029" s="1414"/>
      <c r="BF1029" s="1399"/>
      <c r="BG1029" s="1399"/>
      <c r="BH1029" s="1399"/>
      <c r="BI1029" s="1399"/>
      <c r="BJ1029" s="1399"/>
      <c r="BK1029" s="1399"/>
      <c r="BL1029" s="1399"/>
      <c r="BM1029" s="1399"/>
      <c r="BN1029" s="1399"/>
      <c r="BO1029" s="1399"/>
      <c r="BP1029" s="1399"/>
      <c r="BQ1029" s="1399"/>
      <c r="BR1029" s="1399"/>
      <c r="BS1029" s="1399"/>
      <c r="BT1029" s="1399"/>
      <c r="BU1029" s="1399"/>
      <c r="BV1029" s="1399"/>
      <c r="BW1029" s="1399"/>
      <c r="BX1029" s="1399"/>
      <c r="BY1029" s="1399"/>
      <c r="BZ1029" s="1399"/>
      <c r="CA1029" s="1399"/>
      <c r="CB1029" s="1399"/>
      <c r="CC1029" s="1399"/>
      <c r="CD1029" s="1399"/>
      <c r="CE1029" s="1399"/>
      <c r="CF1029" s="1399"/>
      <c r="CG1029" s="1399"/>
      <c r="CH1029" s="1399"/>
      <c r="CI1029" s="1399"/>
      <c r="CJ1029" s="1399"/>
      <c r="CK1029" s="1399"/>
      <c r="CL1029" s="1399"/>
      <c r="CM1029" s="1399"/>
      <c r="CN1029" s="1399"/>
      <c r="CO1029" s="1399"/>
      <c r="CP1029" s="1399"/>
      <c r="CQ1029" s="1399"/>
      <c r="CR1029" s="1399"/>
      <c r="CS1029" s="1399"/>
      <c r="CT1029" s="1399"/>
      <c r="CU1029" s="1399"/>
      <c r="CV1029" s="1399"/>
      <c r="CW1029" s="1399"/>
      <c r="CX1029" s="1399"/>
      <c r="CY1029" s="1399"/>
      <c r="CZ1029" s="1399"/>
      <c r="DA1029" s="1399"/>
      <c r="DB1029" s="1399"/>
      <c r="DC1029" s="1399"/>
      <c r="DD1029" s="1399"/>
      <c r="DE1029" s="1399"/>
      <c r="DF1029" s="1399"/>
      <c r="DG1029" s="1399"/>
      <c r="DH1029" s="1399"/>
      <c r="DI1029" s="1399"/>
      <c r="DJ1029" s="1399"/>
      <c r="DK1029" s="1399"/>
      <c r="DL1029" s="1399"/>
      <c r="DM1029" s="1399"/>
      <c r="DN1029" s="1399"/>
      <c r="DO1029" s="1399"/>
      <c r="DP1029" s="1399"/>
      <c r="DQ1029" s="1399"/>
      <c r="DR1029" s="1399"/>
      <c r="DS1029" s="1399"/>
      <c r="DT1029" s="1399"/>
      <c r="DU1029" s="1399"/>
    </row>
    <row r="1030" spans="1:125">
      <c r="A1030" s="1414"/>
      <c r="B1030" s="1414"/>
      <c r="C1030" s="1414"/>
      <c r="D1030" s="1414"/>
      <c r="E1030" s="1414"/>
      <c r="F1030" s="1414"/>
      <c r="G1030" s="1414"/>
      <c r="H1030" s="1414"/>
      <c r="I1030" s="1414"/>
      <c r="J1030" s="1414"/>
      <c r="K1030" s="1414"/>
      <c r="L1030" s="1414"/>
      <c r="M1030" s="1414"/>
      <c r="N1030" s="1414"/>
      <c r="O1030" s="1414"/>
      <c r="P1030" s="1414"/>
      <c r="Q1030" s="1414"/>
      <c r="R1030" s="1414"/>
      <c r="S1030" s="1414"/>
      <c r="T1030" s="1414"/>
      <c r="U1030" s="1414"/>
      <c r="V1030" s="1414"/>
      <c r="W1030" s="1414"/>
      <c r="X1030" s="1414"/>
      <c r="Y1030" s="1414"/>
      <c r="Z1030" s="1414"/>
      <c r="AA1030" s="1414"/>
      <c r="AB1030" s="1414"/>
      <c r="AC1030" s="1414"/>
      <c r="AD1030" s="1414"/>
      <c r="AE1030" s="1414"/>
      <c r="AF1030" s="1414"/>
      <c r="AG1030" s="1414"/>
      <c r="AH1030" s="1414"/>
      <c r="AI1030" s="1414"/>
      <c r="AJ1030" s="1414"/>
      <c r="AK1030" s="1414"/>
      <c r="AL1030" s="1414"/>
      <c r="AM1030" s="1414"/>
      <c r="AN1030" s="1414"/>
      <c r="AO1030" s="1414"/>
      <c r="AP1030" s="1414"/>
      <c r="AQ1030" s="1414"/>
      <c r="AR1030" s="1414"/>
      <c r="AS1030" s="1414"/>
      <c r="AT1030" s="1414"/>
      <c r="AU1030" s="1414"/>
      <c r="AV1030" s="1414"/>
      <c r="AW1030" s="1414"/>
      <c r="AX1030" s="1414"/>
      <c r="AY1030" s="1399"/>
      <c r="AZ1030" s="1399"/>
      <c r="BA1030" s="1399"/>
      <c r="BB1030" s="1399"/>
      <c r="BC1030" s="1399"/>
      <c r="BD1030" s="1399"/>
      <c r="BE1030" s="1414"/>
      <c r="BF1030" s="1399"/>
      <c r="BG1030" s="1399"/>
      <c r="BH1030" s="1399"/>
      <c r="BI1030" s="1399"/>
      <c r="BJ1030" s="1399"/>
      <c r="BK1030" s="1399"/>
      <c r="BL1030" s="1399"/>
      <c r="BM1030" s="1399"/>
      <c r="BN1030" s="1399"/>
      <c r="BO1030" s="1399"/>
      <c r="BP1030" s="1399"/>
      <c r="BQ1030" s="1399"/>
      <c r="BR1030" s="1399"/>
      <c r="BS1030" s="1399"/>
      <c r="BT1030" s="1399"/>
      <c r="BU1030" s="1399"/>
      <c r="BV1030" s="1399"/>
      <c r="BW1030" s="1399"/>
      <c r="BX1030" s="1399"/>
      <c r="BY1030" s="1399"/>
      <c r="BZ1030" s="1399"/>
      <c r="CA1030" s="1399"/>
      <c r="CB1030" s="1399"/>
      <c r="CC1030" s="1399"/>
      <c r="CD1030" s="1399"/>
      <c r="CE1030" s="1399"/>
      <c r="CF1030" s="1399"/>
      <c r="CG1030" s="1399"/>
      <c r="CH1030" s="1399"/>
      <c r="CI1030" s="1399"/>
      <c r="CJ1030" s="1399"/>
      <c r="CK1030" s="1399"/>
      <c r="CL1030" s="1399"/>
      <c r="CM1030" s="1399"/>
      <c r="CN1030" s="1399"/>
      <c r="CO1030" s="1399"/>
      <c r="CP1030" s="1399"/>
      <c r="CQ1030" s="1399"/>
      <c r="CR1030" s="1399"/>
      <c r="CS1030" s="1399"/>
      <c r="CT1030" s="1399"/>
      <c r="CU1030" s="1399"/>
      <c r="CV1030" s="1399"/>
      <c r="CW1030" s="1399"/>
      <c r="CX1030" s="1399"/>
      <c r="CY1030" s="1399"/>
      <c r="CZ1030" s="1399"/>
      <c r="DA1030" s="1399"/>
      <c r="DB1030" s="1399"/>
      <c r="DC1030" s="1399"/>
      <c r="DD1030" s="1399"/>
      <c r="DE1030" s="1399"/>
      <c r="DF1030" s="1399"/>
      <c r="DG1030" s="1399"/>
      <c r="DH1030" s="1399"/>
      <c r="DI1030" s="1399"/>
      <c r="DJ1030" s="1399"/>
      <c r="DK1030" s="1399"/>
      <c r="DL1030" s="1399"/>
      <c r="DM1030" s="1399"/>
      <c r="DN1030" s="1399"/>
      <c r="DO1030" s="1399"/>
      <c r="DP1030" s="1399"/>
      <c r="DQ1030" s="1399"/>
      <c r="DR1030" s="1399"/>
      <c r="DS1030" s="1399"/>
      <c r="DT1030" s="1399"/>
      <c r="DU1030" s="1399"/>
    </row>
    <row r="1031" spans="1:125">
      <c r="A1031" s="1414"/>
      <c r="B1031" s="1414"/>
      <c r="C1031" s="1414"/>
      <c r="D1031" s="1414"/>
      <c r="E1031" s="1414"/>
      <c r="F1031" s="1414"/>
      <c r="G1031" s="1414"/>
      <c r="H1031" s="1414"/>
      <c r="I1031" s="1414"/>
      <c r="J1031" s="1414"/>
      <c r="K1031" s="1414"/>
      <c r="L1031" s="1414"/>
      <c r="M1031" s="1414"/>
      <c r="N1031" s="1414"/>
      <c r="O1031" s="1414"/>
      <c r="P1031" s="1414"/>
      <c r="Q1031" s="1414"/>
      <c r="R1031" s="1414"/>
      <c r="S1031" s="1414"/>
      <c r="T1031" s="1414"/>
      <c r="U1031" s="1414"/>
      <c r="V1031" s="1414"/>
      <c r="W1031" s="1414"/>
      <c r="X1031" s="1414"/>
      <c r="Y1031" s="1414"/>
      <c r="Z1031" s="1414"/>
      <c r="AA1031" s="1414"/>
      <c r="AB1031" s="1414"/>
      <c r="AC1031" s="1414"/>
      <c r="AD1031" s="1414"/>
      <c r="AE1031" s="1414"/>
      <c r="AF1031" s="1414"/>
      <c r="AG1031" s="1414"/>
      <c r="AH1031" s="1414"/>
      <c r="AI1031" s="1414"/>
      <c r="AJ1031" s="1414"/>
      <c r="AK1031" s="1414"/>
      <c r="AL1031" s="1414"/>
      <c r="AM1031" s="1414"/>
      <c r="AN1031" s="1414"/>
      <c r="AO1031" s="1414"/>
      <c r="AP1031" s="1414"/>
      <c r="AQ1031" s="1414"/>
      <c r="AR1031" s="1414"/>
      <c r="AS1031" s="1414"/>
      <c r="AT1031" s="1414"/>
      <c r="AU1031" s="1414"/>
      <c r="AV1031" s="1414"/>
      <c r="AW1031" s="1414"/>
      <c r="AX1031" s="1414"/>
      <c r="AY1031" s="1399"/>
      <c r="AZ1031" s="1399"/>
      <c r="BA1031" s="1399"/>
      <c r="BB1031" s="1399"/>
      <c r="BC1031" s="1399"/>
      <c r="BD1031" s="1399"/>
      <c r="BE1031" s="1414"/>
      <c r="BF1031" s="1399"/>
      <c r="BG1031" s="1399"/>
      <c r="BH1031" s="1399"/>
      <c r="BI1031" s="1399"/>
      <c r="BJ1031" s="1399"/>
      <c r="BK1031" s="1399"/>
      <c r="BL1031" s="1399"/>
      <c r="BM1031" s="1399"/>
      <c r="BN1031" s="1399"/>
      <c r="BO1031" s="1399"/>
      <c r="BP1031" s="1399"/>
      <c r="BQ1031" s="1399"/>
      <c r="BR1031" s="1399"/>
      <c r="BS1031" s="1399"/>
      <c r="BT1031" s="1399"/>
      <c r="BU1031" s="1399"/>
      <c r="BV1031" s="1399"/>
      <c r="BW1031" s="1399"/>
      <c r="BX1031" s="1399"/>
      <c r="BY1031" s="1399"/>
      <c r="BZ1031" s="1399"/>
      <c r="CA1031" s="1399"/>
      <c r="CB1031" s="1399"/>
      <c r="CC1031" s="1399"/>
      <c r="CD1031" s="1399"/>
      <c r="CE1031" s="1399"/>
      <c r="CF1031" s="1399"/>
      <c r="CG1031" s="1399"/>
      <c r="CH1031" s="1399"/>
      <c r="CI1031" s="1399"/>
      <c r="CJ1031" s="1399"/>
      <c r="CK1031" s="1399"/>
      <c r="CL1031" s="1399"/>
      <c r="CM1031" s="1399"/>
      <c r="CN1031" s="1399"/>
      <c r="CO1031" s="1399"/>
      <c r="CP1031" s="1399"/>
      <c r="CQ1031" s="1399"/>
      <c r="CR1031" s="1399"/>
      <c r="CS1031" s="1399"/>
      <c r="CT1031" s="1399"/>
      <c r="CU1031" s="1399"/>
      <c r="CV1031" s="1399"/>
      <c r="CW1031" s="1399"/>
      <c r="CX1031" s="1399"/>
      <c r="CY1031" s="1399"/>
      <c r="CZ1031" s="1399"/>
      <c r="DA1031" s="1399"/>
      <c r="DB1031" s="1399"/>
      <c r="DC1031" s="1399"/>
      <c r="DD1031" s="1399"/>
      <c r="DE1031" s="1399"/>
      <c r="DF1031" s="1399"/>
      <c r="DG1031" s="1399"/>
      <c r="DH1031" s="1399"/>
      <c r="DI1031" s="1399"/>
      <c r="DJ1031" s="1399"/>
      <c r="DK1031" s="1399"/>
      <c r="DL1031" s="1399"/>
      <c r="DM1031" s="1399"/>
      <c r="DN1031" s="1399"/>
      <c r="DO1031" s="1399"/>
      <c r="DP1031" s="1399"/>
      <c r="DQ1031" s="1399"/>
      <c r="DR1031" s="1399"/>
      <c r="DS1031" s="1399"/>
      <c r="DT1031" s="1399"/>
      <c r="DU1031" s="1399"/>
    </row>
    <row r="1032" spans="1:125">
      <c r="A1032" s="1414"/>
      <c r="B1032" s="1414"/>
      <c r="C1032" s="1414"/>
      <c r="D1032" s="1414"/>
      <c r="E1032" s="1414"/>
      <c r="F1032" s="1414"/>
      <c r="G1032" s="1414"/>
      <c r="H1032" s="1414"/>
      <c r="I1032" s="1414"/>
      <c r="J1032" s="1414"/>
      <c r="K1032" s="1414"/>
      <c r="L1032" s="1414"/>
      <c r="M1032" s="1414"/>
      <c r="N1032" s="1414"/>
      <c r="O1032" s="1414"/>
      <c r="P1032" s="1414"/>
      <c r="Q1032" s="1414"/>
      <c r="R1032" s="1414"/>
      <c r="S1032" s="1414"/>
      <c r="T1032" s="1414"/>
      <c r="U1032" s="1414"/>
      <c r="V1032" s="1414"/>
      <c r="W1032" s="1414"/>
      <c r="X1032" s="1414"/>
      <c r="Y1032" s="1414"/>
      <c r="Z1032" s="1414"/>
      <c r="AA1032" s="1414"/>
      <c r="AB1032" s="1414"/>
      <c r="AC1032" s="1414"/>
      <c r="AD1032" s="1414"/>
      <c r="AE1032" s="1414"/>
      <c r="AF1032" s="1414"/>
      <c r="AG1032" s="1414"/>
      <c r="AH1032" s="1414"/>
      <c r="AI1032" s="1414"/>
      <c r="AJ1032" s="1414"/>
      <c r="AK1032" s="1414"/>
      <c r="AL1032" s="1414"/>
      <c r="AM1032" s="1414"/>
      <c r="AN1032" s="1414"/>
      <c r="AO1032" s="1414"/>
      <c r="AP1032" s="1414"/>
      <c r="AQ1032" s="1414"/>
      <c r="AR1032" s="1414"/>
      <c r="AS1032" s="1414"/>
      <c r="AT1032" s="1414"/>
      <c r="AU1032" s="1414"/>
      <c r="AV1032" s="1414"/>
      <c r="AW1032" s="1414"/>
      <c r="AX1032" s="1414"/>
      <c r="AY1032" s="1399"/>
      <c r="AZ1032" s="1399"/>
      <c r="BA1032" s="1399"/>
      <c r="BB1032" s="1399"/>
      <c r="BC1032" s="1399"/>
      <c r="BD1032" s="1399"/>
      <c r="BE1032" s="1414"/>
      <c r="BF1032" s="1399"/>
      <c r="BG1032" s="1399"/>
      <c r="BH1032" s="1399"/>
      <c r="BI1032" s="1399"/>
      <c r="BJ1032" s="1399"/>
      <c r="BK1032" s="1399"/>
      <c r="BL1032" s="1399"/>
      <c r="BM1032" s="1399"/>
      <c r="BN1032" s="1399"/>
      <c r="BO1032" s="1399"/>
      <c r="BP1032" s="1399"/>
      <c r="BQ1032" s="1399"/>
      <c r="BR1032" s="1399"/>
      <c r="BS1032" s="1399"/>
      <c r="BT1032" s="1399"/>
      <c r="BU1032" s="1399"/>
      <c r="BV1032" s="1399"/>
      <c r="BW1032" s="1399"/>
      <c r="BX1032" s="1399"/>
      <c r="BY1032" s="1399"/>
      <c r="BZ1032" s="1399"/>
      <c r="CA1032" s="1399"/>
      <c r="CB1032" s="1399"/>
      <c r="CC1032" s="1399"/>
      <c r="CD1032" s="1399"/>
      <c r="CE1032" s="1399"/>
      <c r="CF1032" s="1399"/>
      <c r="CG1032" s="1399"/>
      <c r="CH1032" s="1399"/>
      <c r="CI1032" s="1399"/>
      <c r="CJ1032" s="1399"/>
      <c r="CK1032" s="1399"/>
      <c r="CL1032" s="1399"/>
      <c r="CM1032" s="1399"/>
      <c r="CN1032" s="1399"/>
      <c r="CO1032" s="1399"/>
      <c r="CP1032" s="1399"/>
      <c r="CQ1032" s="1399"/>
      <c r="CR1032" s="1399"/>
      <c r="CS1032" s="1399"/>
      <c r="CT1032" s="1399"/>
      <c r="CU1032" s="1399"/>
      <c r="CV1032" s="1399"/>
      <c r="CW1032" s="1399"/>
      <c r="CX1032" s="1399"/>
      <c r="CY1032" s="1399"/>
      <c r="CZ1032" s="1399"/>
      <c r="DA1032" s="1399"/>
      <c r="DB1032" s="1399"/>
      <c r="DC1032" s="1399"/>
      <c r="DD1032" s="1399"/>
      <c r="DE1032" s="1399"/>
      <c r="DF1032" s="1399"/>
      <c r="DG1032" s="1399"/>
      <c r="DH1032" s="1399"/>
      <c r="DI1032" s="1399"/>
      <c r="DJ1032" s="1399"/>
      <c r="DK1032" s="1399"/>
      <c r="DL1032" s="1399"/>
      <c r="DM1032" s="1399"/>
      <c r="DN1032" s="1399"/>
      <c r="DO1032" s="1399"/>
      <c r="DP1032" s="1399"/>
      <c r="DQ1032" s="1399"/>
      <c r="DR1032" s="1399"/>
      <c r="DS1032" s="1399"/>
      <c r="DT1032" s="1399"/>
      <c r="DU1032" s="1399"/>
    </row>
    <row r="1033" spans="1:125">
      <c r="A1033" s="1414"/>
      <c r="B1033" s="1414"/>
      <c r="C1033" s="1414"/>
      <c r="D1033" s="1414"/>
      <c r="E1033" s="1414"/>
      <c r="F1033" s="1414"/>
      <c r="G1033" s="1414"/>
      <c r="H1033" s="1414"/>
      <c r="I1033" s="1414"/>
      <c r="J1033" s="1414"/>
      <c r="K1033" s="1414"/>
      <c r="L1033" s="1414"/>
      <c r="M1033" s="1414"/>
      <c r="N1033" s="1414"/>
      <c r="O1033" s="1414"/>
      <c r="P1033" s="1414"/>
      <c r="Q1033" s="1414"/>
      <c r="R1033" s="1414"/>
      <c r="S1033" s="1414"/>
      <c r="T1033" s="1414"/>
      <c r="U1033" s="1414"/>
      <c r="V1033" s="1414"/>
      <c r="W1033" s="1414"/>
      <c r="X1033" s="1414"/>
      <c r="Y1033" s="1414"/>
      <c r="Z1033" s="1414"/>
      <c r="AA1033" s="1414"/>
      <c r="AB1033" s="1414"/>
      <c r="AC1033" s="1414"/>
      <c r="AD1033" s="1414"/>
      <c r="AE1033" s="1414"/>
      <c r="AF1033" s="1414"/>
      <c r="AG1033" s="1414"/>
      <c r="AH1033" s="1414"/>
      <c r="AI1033" s="1414"/>
      <c r="AJ1033" s="1414"/>
      <c r="AK1033" s="1414"/>
      <c r="AL1033" s="1414"/>
      <c r="AM1033" s="1414"/>
      <c r="AN1033" s="1414"/>
      <c r="AO1033" s="1414"/>
      <c r="AP1033" s="1414"/>
      <c r="AQ1033" s="1414"/>
      <c r="AR1033" s="1414"/>
      <c r="AS1033" s="1414"/>
      <c r="AT1033" s="1414"/>
      <c r="AU1033" s="1414"/>
      <c r="AV1033" s="1414"/>
      <c r="AW1033" s="1414"/>
      <c r="AX1033" s="1414"/>
      <c r="AY1033" s="1399"/>
      <c r="AZ1033" s="1399"/>
      <c r="BA1033" s="1399"/>
      <c r="BB1033" s="1399"/>
      <c r="BC1033" s="1399"/>
      <c r="BD1033" s="1399"/>
      <c r="BE1033" s="1414"/>
      <c r="BF1033" s="1399"/>
      <c r="BG1033" s="1399"/>
      <c r="BH1033" s="1399"/>
      <c r="BI1033" s="1399"/>
      <c r="BJ1033" s="1399"/>
      <c r="BK1033" s="1399"/>
      <c r="BL1033" s="1399"/>
      <c r="BM1033" s="1399"/>
      <c r="BN1033" s="1399"/>
      <c r="BO1033" s="1399"/>
      <c r="BP1033" s="1399"/>
      <c r="BQ1033" s="1399"/>
      <c r="BR1033" s="1399"/>
      <c r="BS1033" s="1399"/>
      <c r="BT1033" s="1399"/>
      <c r="BU1033" s="1399"/>
      <c r="BV1033" s="1399"/>
      <c r="BW1033" s="1399"/>
      <c r="BX1033" s="1399"/>
      <c r="BY1033" s="1399"/>
      <c r="BZ1033" s="1399"/>
      <c r="CA1033" s="1399"/>
      <c r="CB1033" s="1399"/>
      <c r="CC1033" s="1399"/>
      <c r="CD1033" s="1399"/>
      <c r="CE1033" s="1399"/>
      <c r="CF1033" s="1399"/>
      <c r="CG1033" s="1399"/>
      <c r="CH1033" s="1399"/>
      <c r="CI1033" s="1399"/>
      <c r="CJ1033" s="1399"/>
      <c r="CK1033" s="1399"/>
      <c r="CL1033" s="1399"/>
      <c r="CM1033" s="1399"/>
      <c r="CN1033" s="1399"/>
      <c r="CO1033" s="1399"/>
      <c r="CP1033" s="1399"/>
      <c r="CQ1033" s="1399"/>
      <c r="CR1033" s="1399"/>
      <c r="CS1033" s="1399"/>
      <c r="CT1033" s="1399"/>
      <c r="CU1033" s="1399"/>
      <c r="CV1033" s="1399"/>
      <c r="CW1033" s="1399"/>
      <c r="CX1033" s="1399"/>
      <c r="CY1033" s="1399"/>
      <c r="CZ1033" s="1399"/>
      <c r="DA1033" s="1399"/>
      <c r="DB1033" s="1399"/>
      <c r="DC1033" s="1399"/>
      <c r="DD1033" s="1399"/>
      <c r="DE1033" s="1399"/>
      <c r="DF1033" s="1399"/>
      <c r="DG1033" s="1399"/>
      <c r="DH1033" s="1399"/>
      <c r="DI1033" s="1399"/>
      <c r="DJ1033" s="1399"/>
      <c r="DK1033" s="1399"/>
      <c r="DL1033" s="1399"/>
      <c r="DM1033" s="1399"/>
      <c r="DN1033" s="1399"/>
      <c r="DO1033" s="1399"/>
      <c r="DP1033" s="1399"/>
      <c r="DQ1033" s="1399"/>
      <c r="DR1033" s="1399"/>
      <c r="DS1033" s="1399"/>
      <c r="DT1033" s="1399"/>
      <c r="DU1033" s="1399"/>
    </row>
    <row r="1034" spans="1:125">
      <c r="A1034" s="1414"/>
      <c r="B1034" s="1414"/>
      <c r="C1034" s="1414"/>
      <c r="D1034" s="1414"/>
      <c r="E1034" s="1414"/>
      <c r="F1034" s="1414"/>
      <c r="G1034" s="1414"/>
      <c r="H1034" s="1414"/>
      <c r="I1034" s="1414"/>
      <c r="J1034" s="1414"/>
      <c r="K1034" s="1414"/>
      <c r="L1034" s="1414"/>
      <c r="M1034" s="1414"/>
      <c r="N1034" s="1414"/>
      <c r="O1034" s="1414"/>
      <c r="P1034" s="1414"/>
      <c r="Q1034" s="1414"/>
      <c r="R1034" s="1414"/>
      <c r="S1034" s="1414"/>
      <c r="T1034" s="1414"/>
      <c r="U1034" s="1414"/>
      <c r="V1034" s="1414"/>
      <c r="W1034" s="1414"/>
      <c r="X1034" s="1414"/>
      <c r="Y1034" s="1414"/>
      <c r="Z1034" s="1414"/>
      <c r="AA1034" s="1414"/>
      <c r="AB1034" s="1414"/>
      <c r="AC1034" s="1414"/>
      <c r="AD1034" s="1414"/>
      <c r="AE1034" s="1414"/>
      <c r="AF1034" s="1414"/>
      <c r="AG1034" s="1414"/>
      <c r="AH1034" s="1414"/>
      <c r="AI1034" s="1414"/>
      <c r="AJ1034" s="1414"/>
      <c r="AK1034" s="1414"/>
      <c r="AL1034" s="1414"/>
      <c r="AM1034" s="1414"/>
      <c r="AN1034" s="1414"/>
      <c r="AO1034" s="1414"/>
      <c r="AP1034" s="1414"/>
      <c r="AQ1034" s="1414"/>
      <c r="AR1034" s="1414"/>
      <c r="AS1034" s="1414"/>
      <c r="AT1034" s="1414"/>
      <c r="AU1034" s="1414"/>
      <c r="AV1034" s="1414"/>
      <c r="AW1034" s="1414"/>
      <c r="AX1034" s="1414"/>
      <c r="AY1034" s="1399"/>
      <c r="AZ1034" s="1399"/>
      <c r="BA1034" s="1399"/>
      <c r="BB1034" s="1399"/>
      <c r="BC1034" s="1399"/>
      <c r="BD1034" s="1399"/>
      <c r="BE1034" s="1414"/>
      <c r="BF1034" s="1399"/>
      <c r="BG1034" s="1399"/>
      <c r="BH1034" s="1399"/>
      <c r="BI1034" s="1399"/>
      <c r="BJ1034" s="1399"/>
      <c r="BK1034" s="1399"/>
      <c r="BL1034" s="1399"/>
      <c r="BM1034" s="1399"/>
      <c r="BN1034" s="1399"/>
      <c r="BO1034" s="1399"/>
      <c r="BP1034" s="1399"/>
      <c r="BQ1034" s="1399"/>
      <c r="BR1034" s="1399"/>
      <c r="BS1034" s="1399"/>
      <c r="BT1034" s="1399"/>
      <c r="BU1034" s="1399"/>
      <c r="BV1034" s="1399"/>
      <c r="BW1034" s="1399"/>
      <c r="BX1034" s="1399"/>
      <c r="BY1034" s="1399"/>
      <c r="BZ1034" s="1399"/>
      <c r="CA1034" s="1399"/>
      <c r="CB1034" s="1399"/>
      <c r="CC1034" s="1399"/>
      <c r="CD1034" s="1399"/>
      <c r="CE1034" s="1399"/>
      <c r="CF1034" s="1399"/>
      <c r="CG1034" s="1399"/>
      <c r="CH1034" s="1399"/>
      <c r="CI1034" s="1399"/>
      <c r="CJ1034" s="1399"/>
      <c r="CK1034" s="1399"/>
      <c r="CL1034" s="1399"/>
      <c r="CM1034" s="1399"/>
      <c r="CN1034" s="1399"/>
      <c r="CO1034" s="1399"/>
      <c r="CP1034" s="1399"/>
      <c r="CQ1034" s="1399"/>
      <c r="CR1034" s="1399"/>
      <c r="CS1034" s="1399"/>
      <c r="CT1034" s="1399"/>
      <c r="CU1034" s="1399"/>
      <c r="CV1034" s="1399"/>
      <c r="CW1034" s="1399"/>
      <c r="CX1034" s="1399"/>
      <c r="CY1034" s="1399"/>
      <c r="CZ1034" s="1399"/>
      <c r="DA1034" s="1399"/>
      <c r="DB1034" s="1399"/>
      <c r="DC1034" s="1399"/>
      <c r="DD1034" s="1399"/>
      <c r="DE1034" s="1399"/>
      <c r="DF1034" s="1399"/>
      <c r="DG1034" s="1399"/>
      <c r="DH1034" s="1399"/>
      <c r="DI1034" s="1399"/>
      <c r="DJ1034" s="1399"/>
      <c r="DK1034" s="1399"/>
      <c r="DL1034" s="1399"/>
      <c r="DM1034" s="1399"/>
      <c r="DN1034" s="1399"/>
      <c r="DO1034" s="1399"/>
      <c r="DP1034" s="1399"/>
      <c r="DQ1034" s="1399"/>
      <c r="DR1034" s="1399"/>
      <c r="DS1034" s="1399"/>
      <c r="DT1034" s="1399"/>
      <c r="DU1034" s="1399"/>
    </row>
    <row r="1035" spans="1:125">
      <c r="A1035" s="1414"/>
      <c r="B1035" s="1414"/>
      <c r="C1035" s="1414"/>
      <c r="D1035" s="1414"/>
      <c r="E1035" s="1414"/>
      <c r="F1035" s="1414"/>
      <c r="G1035" s="1414"/>
      <c r="H1035" s="1414"/>
      <c r="I1035" s="1414"/>
      <c r="J1035" s="1414"/>
      <c r="K1035" s="1414"/>
      <c r="L1035" s="1414"/>
      <c r="M1035" s="1414"/>
      <c r="N1035" s="1414"/>
      <c r="O1035" s="1414"/>
      <c r="P1035" s="1414"/>
      <c r="Q1035" s="1414"/>
      <c r="R1035" s="1414"/>
      <c r="S1035" s="1414"/>
      <c r="T1035" s="1414"/>
      <c r="U1035" s="1414"/>
      <c r="V1035" s="1414"/>
      <c r="W1035" s="1414"/>
      <c r="X1035" s="1414"/>
      <c r="Y1035" s="1414"/>
      <c r="Z1035" s="1414"/>
      <c r="AA1035" s="1414"/>
      <c r="AB1035" s="1414"/>
      <c r="AC1035" s="1414"/>
      <c r="AD1035" s="1414"/>
      <c r="AE1035" s="1414"/>
      <c r="AF1035" s="1414"/>
      <c r="AG1035" s="1414"/>
      <c r="AH1035" s="1414"/>
      <c r="AI1035" s="1414"/>
      <c r="AJ1035" s="1414"/>
      <c r="AK1035" s="1414"/>
      <c r="AL1035" s="1414"/>
      <c r="AM1035" s="1414"/>
      <c r="AN1035" s="1414"/>
      <c r="AO1035" s="1414"/>
      <c r="AP1035" s="1414"/>
      <c r="AQ1035" s="1414"/>
      <c r="AR1035" s="1414"/>
      <c r="AS1035" s="1414"/>
      <c r="AT1035" s="1414"/>
      <c r="AU1035" s="1414"/>
      <c r="AV1035" s="1414"/>
      <c r="AW1035" s="1414"/>
      <c r="AX1035" s="1414"/>
      <c r="AY1035" s="1399"/>
      <c r="AZ1035" s="1399"/>
      <c r="BA1035" s="1399"/>
      <c r="BB1035" s="1399"/>
      <c r="BC1035" s="1399"/>
      <c r="BD1035" s="1399"/>
      <c r="BE1035" s="1414"/>
      <c r="BF1035" s="1399"/>
      <c r="BG1035" s="1399"/>
      <c r="BH1035" s="1399"/>
      <c r="BI1035" s="1399"/>
      <c r="BJ1035" s="1399"/>
      <c r="BK1035" s="1399"/>
      <c r="BL1035" s="1399"/>
      <c r="BM1035" s="1399"/>
      <c r="BN1035" s="1399"/>
      <c r="BO1035" s="1399"/>
      <c r="BP1035" s="1399"/>
      <c r="BQ1035" s="1399"/>
      <c r="BR1035" s="1399"/>
      <c r="BS1035" s="1399"/>
      <c r="BT1035" s="1399"/>
      <c r="BU1035" s="1399"/>
      <c r="BV1035" s="1399"/>
      <c r="BW1035" s="1399"/>
      <c r="BX1035" s="1399"/>
      <c r="BY1035" s="1399"/>
      <c r="BZ1035" s="1399"/>
      <c r="CA1035" s="1399"/>
      <c r="CB1035" s="1399"/>
      <c r="CC1035" s="1399"/>
      <c r="CD1035" s="1399"/>
      <c r="CE1035" s="1399"/>
      <c r="CF1035" s="1399"/>
      <c r="CG1035" s="1399"/>
      <c r="CH1035" s="1399"/>
      <c r="CI1035" s="1399"/>
      <c r="CJ1035" s="1399"/>
      <c r="CK1035" s="1399"/>
      <c r="CL1035" s="1399"/>
      <c r="CM1035" s="1399"/>
      <c r="CN1035" s="1399"/>
      <c r="CO1035" s="1399"/>
      <c r="CP1035" s="1399"/>
      <c r="CQ1035" s="1399"/>
      <c r="CR1035" s="1399"/>
      <c r="CS1035" s="1399"/>
      <c r="CT1035" s="1399"/>
      <c r="CU1035" s="1399"/>
      <c r="CV1035" s="1399"/>
      <c r="CW1035" s="1399"/>
      <c r="CX1035" s="1399"/>
      <c r="CY1035" s="1399"/>
      <c r="CZ1035" s="1399"/>
      <c r="DA1035" s="1399"/>
      <c r="DB1035" s="1399"/>
      <c r="DC1035" s="1399"/>
      <c r="DD1035" s="1399"/>
      <c r="DE1035" s="1399"/>
      <c r="DF1035" s="1399"/>
      <c r="DG1035" s="1399"/>
      <c r="DH1035" s="1399"/>
      <c r="DI1035" s="1399"/>
      <c r="DJ1035" s="1399"/>
      <c r="DK1035" s="1399"/>
      <c r="DL1035" s="1399"/>
      <c r="DM1035" s="1399"/>
      <c r="DN1035" s="1399"/>
      <c r="DO1035" s="1399"/>
      <c r="DP1035" s="1399"/>
      <c r="DQ1035" s="1399"/>
      <c r="DR1035" s="1399"/>
      <c r="DS1035" s="1399"/>
      <c r="DT1035" s="1399"/>
      <c r="DU1035" s="1399"/>
    </row>
    <row r="1036" spans="1:125">
      <c r="A1036" s="1414"/>
      <c r="B1036" s="1414"/>
      <c r="C1036" s="1414"/>
      <c r="D1036" s="1414"/>
      <c r="E1036" s="1414"/>
      <c r="F1036" s="1414"/>
      <c r="G1036" s="1414"/>
      <c r="H1036" s="1414"/>
      <c r="I1036" s="1414"/>
      <c r="J1036" s="1414"/>
      <c r="K1036" s="1414"/>
      <c r="L1036" s="1414"/>
      <c r="M1036" s="1414"/>
      <c r="N1036" s="1414"/>
      <c r="O1036" s="1414"/>
      <c r="P1036" s="1414"/>
      <c r="Q1036" s="1414"/>
      <c r="R1036" s="1414"/>
      <c r="S1036" s="1414"/>
      <c r="T1036" s="1414"/>
      <c r="U1036" s="1414"/>
      <c r="V1036" s="1414"/>
      <c r="W1036" s="1414"/>
      <c r="X1036" s="1414"/>
      <c r="Y1036" s="1414"/>
      <c r="Z1036" s="1414"/>
      <c r="AA1036" s="1414"/>
      <c r="AB1036" s="1414"/>
      <c r="AC1036" s="1414"/>
      <c r="AD1036" s="1414"/>
      <c r="AE1036" s="1414"/>
      <c r="AF1036" s="1414"/>
      <c r="AG1036" s="1414"/>
      <c r="AH1036" s="1414"/>
      <c r="AI1036" s="1414"/>
      <c r="AJ1036" s="1414"/>
      <c r="AK1036" s="1414"/>
      <c r="AL1036" s="1414"/>
      <c r="AM1036" s="1414"/>
      <c r="AN1036" s="1414"/>
      <c r="AO1036" s="1414"/>
      <c r="AP1036" s="1414"/>
      <c r="AQ1036" s="1414"/>
      <c r="AR1036" s="1414"/>
      <c r="AS1036" s="1414"/>
      <c r="AT1036" s="1414"/>
      <c r="AU1036" s="1414"/>
      <c r="AV1036" s="1414"/>
      <c r="AW1036" s="1414"/>
      <c r="AX1036" s="1414"/>
      <c r="AY1036" s="1399"/>
      <c r="AZ1036" s="1399"/>
      <c r="BA1036" s="1399"/>
      <c r="BB1036" s="1399"/>
      <c r="BC1036" s="1399"/>
      <c r="BD1036" s="1399"/>
      <c r="BE1036" s="1414"/>
      <c r="BF1036" s="1399"/>
      <c r="BG1036" s="1399"/>
      <c r="BH1036" s="1399"/>
      <c r="BI1036" s="1399"/>
      <c r="BJ1036" s="1399"/>
      <c r="BK1036" s="1399"/>
      <c r="BL1036" s="1399"/>
      <c r="BM1036" s="1399"/>
      <c r="BN1036" s="1399"/>
      <c r="BO1036" s="1399"/>
      <c r="BP1036" s="1399"/>
      <c r="BQ1036" s="1399"/>
      <c r="BR1036" s="1399"/>
      <c r="BS1036" s="1399"/>
      <c r="BT1036" s="1399"/>
      <c r="BU1036" s="1399"/>
      <c r="BV1036" s="1399"/>
      <c r="BW1036" s="1399"/>
      <c r="BX1036" s="1399"/>
      <c r="BY1036" s="1399"/>
      <c r="BZ1036" s="1399"/>
      <c r="CA1036" s="1399"/>
      <c r="CB1036" s="1399"/>
      <c r="CC1036" s="1399"/>
      <c r="CD1036" s="1399"/>
      <c r="CE1036" s="1399"/>
      <c r="CF1036" s="1399"/>
      <c r="CG1036" s="1399"/>
      <c r="CH1036" s="1399"/>
      <c r="CI1036" s="1399"/>
      <c r="CJ1036" s="1399"/>
      <c r="CK1036" s="1399"/>
      <c r="CL1036" s="1399"/>
      <c r="CM1036" s="1399"/>
      <c r="CN1036" s="1399"/>
      <c r="CO1036" s="1399"/>
      <c r="CP1036" s="1399"/>
      <c r="CQ1036" s="1399"/>
      <c r="CR1036" s="1399"/>
      <c r="CS1036" s="1399"/>
      <c r="CT1036" s="1399"/>
      <c r="CU1036" s="1399"/>
      <c r="CV1036" s="1399"/>
      <c r="CW1036" s="1399"/>
      <c r="CX1036" s="1399"/>
      <c r="CY1036" s="1399"/>
      <c r="CZ1036" s="1399"/>
      <c r="DA1036" s="1399"/>
      <c r="DB1036" s="1399"/>
      <c r="DC1036" s="1399"/>
      <c r="DD1036" s="1399"/>
      <c r="DE1036" s="1399"/>
      <c r="DF1036" s="1399"/>
      <c r="DG1036" s="1399"/>
      <c r="DH1036" s="1399"/>
      <c r="DI1036" s="1399"/>
      <c r="DJ1036" s="1399"/>
      <c r="DK1036" s="1399"/>
      <c r="DL1036" s="1399"/>
      <c r="DM1036" s="1399"/>
      <c r="DN1036" s="1399"/>
      <c r="DO1036" s="1399"/>
      <c r="DP1036" s="1399"/>
      <c r="DQ1036" s="1399"/>
      <c r="DR1036" s="1399"/>
      <c r="DS1036" s="1399"/>
      <c r="DT1036" s="1399"/>
      <c r="DU1036" s="1399"/>
    </row>
    <row r="1037" spans="1:125">
      <c r="A1037" s="1414"/>
      <c r="B1037" s="1414"/>
      <c r="C1037" s="1414"/>
      <c r="D1037" s="1414"/>
      <c r="E1037" s="1414"/>
      <c r="F1037" s="1414"/>
      <c r="G1037" s="1414"/>
      <c r="H1037" s="1414"/>
      <c r="I1037" s="1414"/>
      <c r="J1037" s="1414"/>
      <c r="K1037" s="1414"/>
      <c r="L1037" s="1414"/>
      <c r="M1037" s="1414"/>
      <c r="N1037" s="1414"/>
      <c r="O1037" s="1414"/>
      <c r="P1037" s="1414"/>
      <c r="Q1037" s="1414"/>
      <c r="R1037" s="1414"/>
      <c r="S1037" s="1414"/>
      <c r="T1037" s="1414"/>
      <c r="U1037" s="1414"/>
      <c r="V1037" s="1414"/>
      <c r="W1037" s="1414"/>
      <c r="X1037" s="1414"/>
      <c r="Y1037" s="1414"/>
      <c r="Z1037" s="1414"/>
      <c r="AA1037" s="1414"/>
      <c r="AB1037" s="1414"/>
      <c r="AC1037" s="1414"/>
      <c r="AD1037" s="1414"/>
      <c r="AE1037" s="1414"/>
      <c r="AF1037" s="1414"/>
      <c r="AG1037" s="1414"/>
      <c r="AH1037" s="1414"/>
      <c r="AI1037" s="1414"/>
      <c r="AJ1037" s="1414"/>
      <c r="AK1037" s="1414"/>
      <c r="AL1037" s="1414"/>
      <c r="AM1037" s="1414"/>
      <c r="AN1037" s="1414"/>
      <c r="AO1037" s="1414"/>
      <c r="AP1037" s="1414"/>
      <c r="AQ1037" s="1414"/>
      <c r="AR1037" s="1414"/>
      <c r="AS1037" s="1414"/>
      <c r="AT1037" s="1414"/>
      <c r="AU1037" s="1414"/>
      <c r="AV1037" s="1414"/>
      <c r="AW1037" s="1414"/>
      <c r="AX1037" s="1414"/>
      <c r="AY1037" s="1399"/>
      <c r="AZ1037" s="1399"/>
      <c r="BA1037" s="1399"/>
      <c r="BB1037" s="1399"/>
      <c r="BC1037" s="1399"/>
      <c r="BD1037" s="1399"/>
      <c r="BE1037" s="1414"/>
      <c r="BF1037" s="1399"/>
      <c r="BG1037" s="1399"/>
      <c r="BH1037" s="1399"/>
      <c r="BI1037" s="1399"/>
      <c r="BJ1037" s="1399"/>
      <c r="BK1037" s="1399"/>
      <c r="BL1037" s="1399"/>
      <c r="BM1037" s="1399"/>
      <c r="BN1037" s="1399"/>
      <c r="BO1037" s="1399"/>
      <c r="BP1037" s="1399"/>
      <c r="BQ1037" s="1399"/>
      <c r="BR1037" s="1399"/>
      <c r="BS1037" s="1399"/>
      <c r="BT1037" s="1399"/>
      <c r="BU1037" s="1399"/>
      <c r="BV1037" s="1399"/>
      <c r="BW1037" s="1399"/>
      <c r="BX1037" s="1399"/>
      <c r="BY1037" s="1399"/>
      <c r="BZ1037" s="1399"/>
      <c r="CA1037" s="1399"/>
      <c r="CB1037" s="1399"/>
      <c r="CC1037" s="1399"/>
      <c r="CD1037" s="1399"/>
      <c r="CE1037" s="1399"/>
      <c r="CF1037" s="1399"/>
      <c r="CG1037" s="1399"/>
      <c r="CH1037" s="1399"/>
      <c r="CI1037" s="1399"/>
      <c r="CJ1037" s="1399"/>
      <c r="CK1037" s="1399"/>
      <c r="CL1037" s="1399"/>
      <c r="CM1037" s="1399"/>
      <c r="CN1037" s="1399"/>
      <c r="CO1037" s="1399"/>
      <c r="CP1037" s="1399"/>
      <c r="CQ1037" s="1399"/>
      <c r="CR1037" s="1399"/>
      <c r="CS1037" s="1399"/>
      <c r="CT1037" s="1399"/>
      <c r="CU1037" s="1399"/>
      <c r="CV1037" s="1399"/>
      <c r="CW1037" s="1399"/>
      <c r="CX1037" s="1399"/>
      <c r="CY1037" s="1399"/>
      <c r="CZ1037" s="1399"/>
      <c r="DA1037" s="1399"/>
      <c r="DB1037" s="1399"/>
      <c r="DC1037" s="1399"/>
      <c r="DD1037" s="1399"/>
      <c r="DE1037" s="1399"/>
      <c r="DF1037" s="1399"/>
      <c r="DG1037" s="1399"/>
      <c r="DH1037" s="1399"/>
      <c r="DI1037" s="1399"/>
      <c r="DJ1037" s="1399"/>
      <c r="DK1037" s="1399"/>
      <c r="DL1037" s="1399"/>
      <c r="DM1037" s="1399"/>
      <c r="DN1037" s="1399"/>
      <c r="DO1037" s="1399"/>
      <c r="DP1037" s="1399"/>
      <c r="DQ1037" s="1399"/>
      <c r="DR1037" s="1399"/>
      <c r="DS1037" s="1399"/>
      <c r="DT1037" s="1399"/>
      <c r="DU1037" s="1399"/>
    </row>
    <row r="1038" spans="1:125">
      <c r="A1038" s="1414"/>
      <c r="B1038" s="1414"/>
      <c r="C1038" s="1414"/>
      <c r="D1038" s="1414"/>
      <c r="E1038" s="1414"/>
      <c r="F1038" s="1414"/>
      <c r="G1038" s="1414"/>
      <c r="H1038" s="1414"/>
      <c r="I1038" s="1414"/>
      <c r="J1038" s="1414"/>
      <c r="K1038" s="1414"/>
      <c r="L1038" s="1414"/>
      <c r="M1038" s="1414"/>
      <c r="N1038" s="1414"/>
      <c r="O1038" s="1414"/>
      <c r="P1038" s="1414"/>
      <c r="Q1038" s="1414"/>
      <c r="R1038" s="1414"/>
      <c r="S1038" s="1414"/>
      <c r="T1038" s="1414"/>
      <c r="U1038" s="1414"/>
      <c r="V1038" s="1414"/>
      <c r="W1038" s="1414"/>
      <c r="X1038" s="1414"/>
      <c r="Y1038" s="1414"/>
      <c r="Z1038" s="1414"/>
      <c r="AA1038" s="1414"/>
      <c r="AB1038" s="1414"/>
      <c r="AC1038" s="1414"/>
      <c r="AD1038" s="1414"/>
      <c r="AE1038" s="1414"/>
      <c r="AF1038" s="1414"/>
      <c r="AG1038" s="1414"/>
      <c r="AH1038" s="1414"/>
      <c r="AI1038" s="1414"/>
      <c r="AJ1038" s="1414"/>
      <c r="AK1038" s="1414"/>
      <c r="AL1038" s="1414"/>
      <c r="AM1038" s="1414"/>
      <c r="AN1038" s="1414"/>
      <c r="AO1038" s="1414"/>
      <c r="AP1038" s="1414"/>
      <c r="AQ1038" s="1414"/>
      <c r="AR1038" s="1414"/>
      <c r="AS1038" s="1414"/>
      <c r="AT1038" s="1414"/>
      <c r="AU1038" s="1414"/>
      <c r="AV1038" s="1414"/>
      <c r="AW1038" s="1414"/>
      <c r="AX1038" s="1414"/>
      <c r="AY1038" s="1399"/>
      <c r="AZ1038" s="1399"/>
      <c r="BA1038" s="1399"/>
      <c r="BB1038" s="1399"/>
      <c r="BC1038" s="1399"/>
      <c r="BD1038" s="1399"/>
      <c r="BE1038" s="1414"/>
      <c r="BF1038" s="1399"/>
      <c r="BG1038" s="1399"/>
      <c r="BH1038" s="1399"/>
      <c r="BI1038" s="1399"/>
      <c r="BJ1038" s="1399"/>
      <c r="BK1038" s="1399"/>
      <c r="BL1038" s="1399"/>
      <c r="BM1038" s="1399"/>
      <c r="BN1038" s="1399"/>
      <c r="BO1038" s="1399"/>
      <c r="BP1038" s="1399"/>
      <c r="BQ1038" s="1399"/>
      <c r="BR1038" s="1399"/>
      <c r="BS1038" s="1399"/>
      <c r="BT1038" s="1399"/>
      <c r="BU1038" s="1399"/>
      <c r="BV1038" s="1399"/>
      <c r="BW1038" s="1399"/>
      <c r="BX1038" s="1399"/>
      <c r="BY1038" s="1399"/>
      <c r="BZ1038" s="1399"/>
      <c r="CA1038" s="1399"/>
      <c r="CB1038" s="1399"/>
      <c r="CC1038" s="1399"/>
      <c r="CD1038" s="1399"/>
      <c r="CE1038" s="1399"/>
      <c r="CF1038" s="1399"/>
      <c r="CG1038" s="1399"/>
      <c r="CH1038" s="1399"/>
      <c r="CI1038" s="1399"/>
      <c r="CJ1038" s="1399"/>
      <c r="CK1038" s="1399"/>
      <c r="CL1038" s="1399"/>
      <c r="CM1038" s="1399"/>
      <c r="CN1038" s="1399"/>
      <c r="CO1038" s="1399"/>
      <c r="CP1038" s="1399"/>
      <c r="CQ1038" s="1399"/>
      <c r="CR1038" s="1399"/>
      <c r="CS1038" s="1399"/>
      <c r="CT1038" s="1399"/>
      <c r="CU1038" s="1399"/>
      <c r="CV1038" s="1399"/>
      <c r="CW1038" s="1399"/>
      <c r="CX1038" s="1399"/>
      <c r="CY1038" s="1399"/>
      <c r="CZ1038" s="1399"/>
      <c r="DA1038" s="1399"/>
      <c r="DB1038" s="1399"/>
      <c r="DC1038" s="1399"/>
      <c r="DD1038" s="1399"/>
      <c r="DE1038" s="1399"/>
      <c r="DF1038" s="1399"/>
      <c r="DG1038" s="1399"/>
      <c r="DH1038" s="1399"/>
      <c r="DI1038" s="1399"/>
      <c r="DJ1038" s="1399"/>
      <c r="DK1038" s="1399"/>
      <c r="DL1038" s="1399"/>
      <c r="DM1038" s="1399"/>
      <c r="DN1038" s="1399"/>
      <c r="DO1038" s="1399"/>
      <c r="DP1038" s="1399"/>
      <c r="DQ1038" s="1399"/>
      <c r="DR1038" s="1399"/>
      <c r="DS1038" s="1399"/>
      <c r="DT1038" s="1399"/>
      <c r="DU1038" s="1399"/>
    </row>
    <row r="1039" spans="1:125">
      <c r="A1039" s="1414"/>
      <c r="B1039" s="1414"/>
      <c r="C1039" s="1414"/>
      <c r="D1039" s="1414"/>
      <c r="E1039" s="1414"/>
      <c r="F1039" s="1414"/>
      <c r="G1039" s="1414"/>
      <c r="H1039" s="1414"/>
      <c r="I1039" s="1414"/>
      <c r="J1039" s="1414"/>
      <c r="K1039" s="1414"/>
      <c r="L1039" s="1414"/>
      <c r="M1039" s="1414"/>
      <c r="N1039" s="1414"/>
      <c r="O1039" s="1414"/>
      <c r="P1039" s="1414"/>
      <c r="Q1039" s="1414"/>
      <c r="R1039" s="1414"/>
      <c r="S1039" s="1414"/>
      <c r="T1039" s="1414"/>
      <c r="U1039" s="1414"/>
      <c r="V1039" s="1414"/>
      <c r="W1039" s="1414"/>
      <c r="X1039" s="1414"/>
      <c r="Y1039" s="1414"/>
      <c r="Z1039" s="1414"/>
      <c r="AA1039" s="1414"/>
      <c r="AB1039" s="1414"/>
      <c r="AC1039" s="1414"/>
      <c r="AD1039" s="1414"/>
      <c r="AE1039" s="1414"/>
      <c r="AF1039" s="1414"/>
      <c r="AG1039" s="1414"/>
      <c r="AH1039" s="1414"/>
      <c r="AI1039" s="1414"/>
      <c r="AJ1039" s="1414"/>
      <c r="AK1039" s="1414"/>
      <c r="AL1039" s="1414"/>
      <c r="AM1039" s="1414"/>
      <c r="AN1039" s="1414"/>
      <c r="AO1039" s="1414"/>
      <c r="AP1039" s="1414"/>
      <c r="AQ1039" s="1414"/>
      <c r="AR1039" s="1414"/>
      <c r="AS1039" s="1414"/>
      <c r="AT1039" s="1414"/>
      <c r="AU1039" s="1414"/>
      <c r="AV1039" s="1414"/>
      <c r="AW1039" s="1414"/>
      <c r="AX1039" s="1414"/>
      <c r="AY1039" s="1399"/>
      <c r="AZ1039" s="1399"/>
      <c r="BA1039" s="1399"/>
      <c r="BB1039" s="1399"/>
      <c r="BC1039" s="1399"/>
      <c r="BD1039" s="1399"/>
      <c r="BE1039" s="1414"/>
      <c r="BF1039" s="1399"/>
      <c r="BG1039" s="1399"/>
      <c r="BH1039" s="1399"/>
      <c r="BI1039" s="1399"/>
      <c r="BJ1039" s="1399"/>
      <c r="BK1039" s="1399"/>
      <c r="BL1039" s="1399"/>
      <c r="BM1039" s="1399"/>
      <c r="BN1039" s="1399"/>
      <c r="BO1039" s="1399"/>
      <c r="BP1039" s="1399"/>
      <c r="BQ1039" s="1399"/>
      <c r="BR1039" s="1399"/>
      <c r="BS1039" s="1399"/>
      <c r="BT1039" s="1399"/>
      <c r="BU1039" s="1399"/>
      <c r="BV1039" s="1399"/>
      <c r="BW1039" s="1399"/>
      <c r="BX1039" s="1399"/>
      <c r="BY1039" s="1399"/>
      <c r="BZ1039" s="1399"/>
      <c r="CA1039" s="1399"/>
      <c r="CB1039" s="1399"/>
      <c r="CC1039" s="1399"/>
      <c r="CD1039" s="1399"/>
      <c r="CE1039" s="1399"/>
      <c r="CF1039" s="1399"/>
      <c r="CG1039" s="1399"/>
      <c r="CH1039" s="1399"/>
      <c r="CI1039" s="1399"/>
      <c r="CJ1039" s="1399"/>
      <c r="CK1039" s="1399"/>
      <c r="CL1039" s="1399"/>
      <c r="CM1039" s="1399"/>
      <c r="CN1039" s="1399"/>
      <c r="CO1039" s="1399"/>
      <c r="CP1039" s="1399"/>
      <c r="CQ1039" s="1399"/>
      <c r="CR1039" s="1399"/>
      <c r="CS1039" s="1399"/>
      <c r="CT1039" s="1399"/>
      <c r="CU1039" s="1399"/>
      <c r="CV1039" s="1399"/>
      <c r="CW1039" s="1399"/>
      <c r="CX1039" s="1399"/>
      <c r="CY1039" s="1399"/>
      <c r="CZ1039" s="1399"/>
      <c r="DA1039" s="1399"/>
      <c r="DB1039" s="1399"/>
      <c r="DC1039" s="1399"/>
      <c r="DD1039" s="1399"/>
      <c r="DE1039" s="1399"/>
      <c r="DF1039" s="1399"/>
      <c r="DG1039" s="1399"/>
      <c r="DH1039" s="1399"/>
      <c r="DI1039" s="1399"/>
      <c r="DJ1039" s="1399"/>
      <c r="DK1039" s="1399"/>
      <c r="DL1039" s="1399"/>
      <c r="DM1039" s="1399"/>
      <c r="DN1039" s="1399"/>
      <c r="DO1039" s="1399"/>
      <c r="DP1039" s="1399"/>
      <c r="DQ1039" s="1399"/>
      <c r="DR1039" s="1399"/>
      <c r="DS1039" s="1399"/>
      <c r="DT1039" s="1399"/>
      <c r="DU1039" s="1399"/>
    </row>
    <row r="1040" spans="1:125">
      <c r="A1040" s="1414"/>
      <c r="B1040" s="1414"/>
      <c r="C1040" s="1414"/>
      <c r="D1040" s="1414"/>
      <c r="E1040" s="1414"/>
      <c r="F1040" s="1414"/>
      <c r="G1040" s="1414"/>
      <c r="H1040" s="1414"/>
      <c r="I1040" s="1414"/>
      <c r="J1040" s="1414"/>
      <c r="K1040" s="1414"/>
      <c r="L1040" s="1414"/>
      <c r="M1040" s="1414"/>
      <c r="N1040" s="1414"/>
      <c r="O1040" s="1414"/>
      <c r="P1040" s="1414"/>
      <c r="Q1040" s="1414"/>
      <c r="R1040" s="1414"/>
      <c r="S1040" s="1414"/>
      <c r="T1040" s="1414"/>
      <c r="U1040" s="1414"/>
      <c r="V1040" s="1414"/>
      <c r="W1040" s="1414"/>
      <c r="X1040" s="1414"/>
      <c r="Y1040" s="1414"/>
      <c r="Z1040" s="1414"/>
      <c r="AA1040" s="1414"/>
      <c r="AB1040" s="1414"/>
      <c r="AC1040" s="1414"/>
      <c r="AD1040" s="1414"/>
      <c r="AE1040" s="1414"/>
      <c r="AF1040" s="1414"/>
      <c r="AG1040" s="1414"/>
      <c r="AH1040" s="1414"/>
      <c r="AI1040" s="1414"/>
      <c r="AJ1040" s="1414"/>
      <c r="AK1040" s="1414"/>
      <c r="AL1040" s="1414"/>
      <c r="AM1040" s="1414"/>
      <c r="AN1040" s="1414"/>
      <c r="AO1040" s="1414"/>
      <c r="AP1040" s="1414"/>
      <c r="AQ1040" s="1414"/>
      <c r="AR1040" s="1414"/>
      <c r="AS1040" s="1414"/>
      <c r="AT1040" s="1414"/>
      <c r="AU1040" s="1414"/>
      <c r="AV1040" s="1414"/>
      <c r="AW1040" s="1414"/>
      <c r="AX1040" s="1414"/>
      <c r="AY1040" s="1399"/>
      <c r="AZ1040" s="1399"/>
      <c r="BA1040" s="1399"/>
      <c r="BB1040" s="1399"/>
      <c r="BC1040" s="1399"/>
      <c r="BD1040" s="1399"/>
      <c r="BE1040" s="1414"/>
      <c r="BF1040" s="1399"/>
      <c r="BG1040" s="1399"/>
      <c r="BH1040" s="1399"/>
      <c r="BI1040" s="1399"/>
      <c r="BJ1040" s="1399"/>
      <c r="BK1040" s="1399"/>
      <c r="BL1040" s="1399"/>
      <c r="BM1040" s="1399"/>
      <c r="BN1040" s="1399"/>
      <c r="BO1040" s="1399"/>
      <c r="BP1040" s="1399"/>
      <c r="BQ1040" s="1399"/>
      <c r="BR1040" s="1399"/>
      <c r="BS1040" s="1399"/>
      <c r="BT1040" s="1399"/>
      <c r="BU1040" s="1399"/>
      <c r="BV1040" s="1399"/>
      <c r="BW1040" s="1399"/>
      <c r="BX1040" s="1399"/>
      <c r="BY1040" s="1399"/>
      <c r="BZ1040" s="1399"/>
      <c r="CA1040" s="1399"/>
      <c r="CB1040" s="1399"/>
      <c r="CC1040" s="1399"/>
      <c r="CD1040" s="1399"/>
      <c r="CE1040" s="1399"/>
      <c r="CF1040" s="1399"/>
      <c r="CG1040" s="1399"/>
      <c r="CH1040" s="1399"/>
      <c r="CI1040" s="1399"/>
      <c r="CJ1040" s="1399"/>
      <c r="CK1040" s="1399"/>
      <c r="CL1040" s="1399"/>
      <c r="CM1040" s="1399"/>
      <c r="CN1040" s="1399"/>
      <c r="CO1040" s="1399"/>
      <c r="CP1040" s="1399"/>
      <c r="CQ1040" s="1399"/>
      <c r="CR1040" s="1399"/>
      <c r="CS1040" s="1399"/>
      <c r="CT1040" s="1399"/>
      <c r="CU1040" s="1399"/>
      <c r="CV1040" s="1399"/>
      <c r="CW1040" s="1399"/>
      <c r="CX1040" s="1399"/>
      <c r="CY1040" s="1399"/>
      <c r="CZ1040" s="1399"/>
      <c r="DA1040" s="1399"/>
      <c r="DB1040" s="1399"/>
      <c r="DC1040" s="1399"/>
      <c r="DD1040" s="1399"/>
      <c r="DE1040" s="1399"/>
      <c r="DF1040" s="1399"/>
      <c r="DG1040" s="1399"/>
      <c r="DH1040" s="1399"/>
      <c r="DI1040" s="1399"/>
      <c r="DJ1040" s="1399"/>
      <c r="DK1040" s="1399"/>
      <c r="DL1040" s="1399"/>
      <c r="DM1040" s="1399"/>
      <c r="DN1040" s="1399"/>
      <c r="DO1040" s="1399"/>
      <c r="DP1040" s="1399"/>
      <c r="DQ1040" s="1399"/>
      <c r="DR1040" s="1399"/>
      <c r="DS1040" s="1399"/>
      <c r="DT1040" s="1399"/>
      <c r="DU1040" s="1399"/>
    </row>
    <row r="1041" spans="1:125">
      <c r="A1041" s="1414"/>
      <c r="B1041" s="1414"/>
      <c r="C1041" s="1414"/>
      <c r="D1041" s="1414"/>
      <c r="E1041" s="1414"/>
      <c r="F1041" s="1414"/>
      <c r="G1041" s="1414"/>
      <c r="H1041" s="1414"/>
      <c r="I1041" s="1414"/>
      <c r="J1041" s="1414"/>
      <c r="K1041" s="1414"/>
      <c r="L1041" s="1414"/>
      <c r="M1041" s="1414"/>
      <c r="N1041" s="1414"/>
      <c r="O1041" s="1414"/>
      <c r="P1041" s="1414"/>
      <c r="Q1041" s="1414"/>
      <c r="R1041" s="1414"/>
      <c r="S1041" s="1414"/>
      <c r="T1041" s="1414"/>
      <c r="U1041" s="1414"/>
      <c r="V1041" s="1414"/>
      <c r="W1041" s="1414"/>
      <c r="X1041" s="1414"/>
      <c r="Y1041" s="1414"/>
      <c r="Z1041" s="1414"/>
      <c r="AA1041" s="1414"/>
      <c r="AB1041" s="1414"/>
      <c r="AC1041" s="1414"/>
      <c r="AD1041" s="1414"/>
      <c r="AE1041" s="1414"/>
      <c r="AF1041" s="1414"/>
      <c r="AG1041" s="1414"/>
      <c r="AH1041" s="1414"/>
      <c r="AI1041" s="1414"/>
      <c r="AJ1041" s="1414"/>
      <c r="AK1041" s="1414"/>
      <c r="AL1041" s="1414"/>
      <c r="AM1041" s="1414"/>
      <c r="AN1041" s="1414"/>
      <c r="AO1041" s="1414"/>
      <c r="AP1041" s="1414"/>
      <c r="AQ1041" s="1414"/>
      <c r="AR1041" s="1414"/>
      <c r="AS1041" s="1414"/>
      <c r="AT1041" s="1414"/>
      <c r="AU1041" s="1414"/>
      <c r="AV1041" s="1414"/>
      <c r="AW1041" s="1414"/>
      <c r="AX1041" s="1414"/>
      <c r="AY1041" s="1399"/>
      <c r="AZ1041" s="1399"/>
      <c r="BA1041" s="1399"/>
      <c r="BB1041" s="1399"/>
      <c r="BC1041" s="1399"/>
      <c r="BD1041" s="1399"/>
      <c r="BE1041" s="1414"/>
      <c r="BF1041" s="1399"/>
      <c r="BG1041" s="1399"/>
      <c r="BH1041" s="1399"/>
      <c r="BI1041" s="1399"/>
      <c r="BJ1041" s="1399"/>
      <c r="BK1041" s="1399"/>
      <c r="BL1041" s="1399"/>
      <c r="BM1041" s="1399"/>
      <c r="BN1041" s="1399"/>
      <c r="BO1041" s="1399"/>
      <c r="BP1041" s="1399"/>
      <c r="BQ1041" s="1399"/>
      <c r="BR1041" s="1399"/>
      <c r="BS1041" s="1399"/>
      <c r="BT1041" s="1399"/>
      <c r="BU1041" s="1399"/>
      <c r="BV1041" s="1399"/>
      <c r="BW1041" s="1399"/>
      <c r="BX1041" s="1399"/>
      <c r="BY1041" s="1399"/>
      <c r="BZ1041" s="1399"/>
      <c r="CA1041" s="1399"/>
      <c r="CB1041" s="1399"/>
      <c r="CC1041" s="1399"/>
      <c r="CD1041" s="1399"/>
      <c r="CE1041" s="1399"/>
      <c r="CF1041" s="1399"/>
      <c r="CG1041" s="1399"/>
      <c r="CH1041" s="1399"/>
      <c r="CI1041" s="1399"/>
      <c r="CJ1041" s="1399"/>
      <c r="CK1041" s="1399"/>
      <c r="CL1041" s="1399"/>
      <c r="CM1041" s="1399"/>
      <c r="CN1041" s="1399"/>
      <c r="CO1041" s="1399"/>
      <c r="CP1041" s="1399"/>
      <c r="CQ1041" s="1399"/>
      <c r="CR1041" s="1399"/>
      <c r="CS1041" s="1399"/>
      <c r="CT1041" s="1399"/>
      <c r="CU1041" s="1399"/>
      <c r="CV1041" s="1399"/>
      <c r="CW1041" s="1399"/>
      <c r="CX1041" s="1399"/>
      <c r="CY1041" s="1399"/>
      <c r="CZ1041" s="1399"/>
      <c r="DA1041" s="1399"/>
      <c r="DB1041" s="1399"/>
      <c r="DC1041" s="1399"/>
      <c r="DD1041" s="1399"/>
      <c r="DE1041" s="1399"/>
      <c r="DF1041" s="1399"/>
      <c r="DG1041" s="1399"/>
      <c r="DH1041" s="1399"/>
      <c r="DI1041" s="1399"/>
      <c r="DJ1041" s="1399"/>
      <c r="DK1041" s="1399"/>
      <c r="DL1041" s="1399"/>
      <c r="DM1041" s="1399"/>
      <c r="DN1041" s="1399"/>
      <c r="DO1041" s="1399"/>
      <c r="DP1041" s="1399"/>
      <c r="DQ1041" s="1399"/>
      <c r="DR1041" s="1399"/>
      <c r="DS1041" s="1399"/>
      <c r="DT1041" s="1399"/>
      <c r="DU1041" s="1399"/>
    </row>
    <row r="1042" spans="1:125">
      <c r="A1042" s="1414"/>
      <c r="B1042" s="1414"/>
      <c r="C1042" s="1414"/>
      <c r="D1042" s="1414"/>
      <c r="E1042" s="1414"/>
      <c r="F1042" s="1414"/>
      <c r="G1042" s="1414"/>
      <c r="H1042" s="1414"/>
      <c r="I1042" s="1414"/>
      <c r="J1042" s="1414"/>
      <c r="K1042" s="1414"/>
      <c r="L1042" s="1414"/>
      <c r="M1042" s="1414"/>
      <c r="N1042" s="1414"/>
      <c r="O1042" s="1414"/>
      <c r="P1042" s="1414"/>
      <c r="Q1042" s="1414"/>
      <c r="R1042" s="1414"/>
      <c r="S1042" s="1414"/>
      <c r="T1042" s="1414"/>
      <c r="U1042" s="1414"/>
      <c r="V1042" s="1414"/>
      <c r="W1042" s="1414"/>
      <c r="X1042" s="1414"/>
      <c r="Y1042" s="1414"/>
      <c r="Z1042" s="1414"/>
      <c r="AA1042" s="1414"/>
      <c r="AB1042" s="1414"/>
      <c r="AC1042" s="1414"/>
      <c r="AD1042" s="1414"/>
      <c r="AE1042" s="1414"/>
      <c r="AF1042" s="1414"/>
      <c r="AG1042" s="1414"/>
      <c r="AH1042" s="1414"/>
      <c r="AI1042" s="1414"/>
      <c r="AJ1042" s="1414"/>
      <c r="AK1042" s="1414"/>
      <c r="AL1042" s="1414"/>
      <c r="AM1042" s="1414"/>
      <c r="AN1042" s="1414"/>
      <c r="AO1042" s="1414"/>
      <c r="AP1042" s="1414"/>
      <c r="AQ1042" s="1414"/>
      <c r="AR1042" s="1414"/>
      <c r="AS1042" s="1414"/>
      <c r="AT1042" s="1414"/>
      <c r="AU1042" s="1414"/>
      <c r="AV1042" s="1414"/>
      <c r="AW1042" s="1414"/>
      <c r="AX1042" s="1414"/>
      <c r="AY1042" s="1399"/>
      <c r="AZ1042" s="1399"/>
      <c r="BA1042" s="1399"/>
      <c r="BB1042" s="1399"/>
      <c r="BC1042" s="1399"/>
      <c r="BD1042" s="1399"/>
      <c r="BE1042" s="1414"/>
      <c r="BF1042" s="1399"/>
      <c r="BG1042" s="1399"/>
      <c r="BH1042" s="1399"/>
      <c r="BI1042" s="1399"/>
      <c r="BJ1042" s="1399"/>
      <c r="BK1042" s="1399"/>
      <c r="BL1042" s="1399"/>
      <c r="BM1042" s="1399"/>
      <c r="BN1042" s="1399"/>
      <c r="BO1042" s="1399"/>
      <c r="BP1042" s="1399"/>
      <c r="BQ1042" s="1399"/>
      <c r="BR1042" s="1399"/>
      <c r="BS1042" s="1399"/>
      <c r="BT1042" s="1399"/>
      <c r="BU1042" s="1399"/>
      <c r="BV1042" s="1399"/>
      <c r="BW1042" s="1399"/>
      <c r="BX1042" s="1399"/>
      <c r="BY1042" s="1399"/>
      <c r="BZ1042" s="1399"/>
      <c r="CA1042" s="1399"/>
      <c r="CB1042" s="1399"/>
      <c r="CC1042" s="1399"/>
      <c r="CD1042" s="1399"/>
      <c r="CE1042" s="1399"/>
      <c r="CF1042" s="1399"/>
      <c r="CG1042" s="1399"/>
      <c r="CH1042" s="1399"/>
      <c r="CI1042" s="1399"/>
      <c r="CJ1042" s="1399"/>
      <c r="CK1042" s="1399"/>
      <c r="CL1042" s="1399"/>
      <c r="CM1042" s="1399"/>
      <c r="CN1042" s="1399"/>
      <c r="CO1042" s="1399"/>
      <c r="CP1042" s="1399"/>
      <c r="CQ1042" s="1399"/>
      <c r="CR1042" s="1399"/>
      <c r="CS1042" s="1399"/>
      <c r="CT1042" s="1399"/>
      <c r="CU1042" s="1399"/>
      <c r="CV1042" s="1399"/>
      <c r="CW1042" s="1399"/>
      <c r="CX1042" s="1399"/>
      <c r="CY1042" s="1399"/>
      <c r="CZ1042" s="1399"/>
      <c r="DA1042" s="1399"/>
      <c r="DB1042" s="1399"/>
      <c r="DC1042" s="1399"/>
      <c r="DD1042" s="1399"/>
      <c r="DE1042" s="1399"/>
      <c r="DF1042" s="1399"/>
      <c r="DG1042" s="1399"/>
      <c r="DH1042" s="1399"/>
      <c r="DI1042" s="1399"/>
      <c r="DJ1042" s="1399"/>
      <c r="DK1042" s="1399"/>
      <c r="DL1042" s="1399"/>
      <c r="DM1042" s="1399"/>
      <c r="DN1042" s="1399"/>
      <c r="DO1042" s="1399"/>
      <c r="DP1042" s="1399"/>
      <c r="DQ1042" s="1399"/>
      <c r="DR1042" s="1399"/>
      <c r="DS1042" s="1399"/>
      <c r="DT1042" s="1399"/>
      <c r="DU1042" s="1399"/>
    </row>
    <row r="1043" spans="1:125">
      <c r="A1043" s="1414"/>
      <c r="B1043" s="1414"/>
      <c r="C1043" s="1414"/>
      <c r="D1043" s="1414"/>
      <c r="E1043" s="1414"/>
      <c r="F1043" s="1414"/>
      <c r="G1043" s="1414"/>
      <c r="H1043" s="1414"/>
      <c r="I1043" s="1414"/>
      <c r="J1043" s="1414"/>
      <c r="K1043" s="1414"/>
      <c r="L1043" s="1414"/>
      <c r="M1043" s="1414"/>
      <c r="N1043" s="1414"/>
      <c r="O1043" s="1414"/>
      <c r="P1043" s="1414"/>
      <c r="Q1043" s="1414"/>
      <c r="R1043" s="1414"/>
      <c r="S1043" s="1414"/>
      <c r="T1043" s="1414"/>
      <c r="U1043" s="1414"/>
      <c r="V1043" s="1414"/>
      <c r="W1043" s="1414"/>
      <c r="X1043" s="1414"/>
      <c r="Y1043" s="1414"/>
      <c r="Z1043" s="1414"/>
      <c r="AA1043" s="1414"/>
      <c r="AB1043" s="1414"/>
      <c r="AC1043" s="1414"/>
      <c r="AD1043" s="1414"/>
      <c r="AE1043" s="1414"/>
      <c r="AF1043" s="1414"/>
      <c r="AG1043" s="1414"/>
      <c r="AH1043" s="1414"/>
      <c r="AI1043" s="1414"/>
      <c r="AJ1043" s="1414"/>
      <c r="AK1043" s="1414"/>
      <c r="AL1043" s="1414"/>
      <c r="AM1043" s="1414"/>
      <c r="AN1043" s="1414"/>
      <c r="AO1043" s="1414"/>
      <c r="AP1043" s="1414"/>
      <c r="AQ1043" s="1414"/>
      <c r="AR1043" s="1414"/>
      <c r="AS1043" s="1414"/>
      <c r="AT1043" s="1414"/>
      <c r="AU1043" s="1414"/>
      <c r="AV1043" s="1414"/>
      <c r="AW1043" s="1414"/>
      <c r="AX1043" s="1414"/>
      <c r="AY1043" s="1399"/>
      <c r="AZ1043" s="1399"/>
      <c r="BA1043" s="1399"/>
      <c r="BB1043" s="1399"/>
      <c r="BC1043" s="1399"/>
      <c r="BD1043" s="1399"/>
      <c r="BE1043" s="1414"/>
      <c r="BF1043" s="1399"/>
      <c r="BG1043" s="1399"/>
      <c r="BH1043" s="1399"/>
      <c r="BI1043" s="1399"/>
      <c r="BJ1043" s="1399"/>
      <c r="BK1043" s="1399"/>
      <c r="BL1043" s="1399"/>
      <c r="BM1043" s="1399"/>
      <c r="BN1043" s="1399"/>
      <c r="BO1043" s="1399"/>
      <c r="BP1043" s="1399"/>
      <c r="BQ1043" s="1399"/>
      <c r="BR1043" s="1399"/>
      <c r="BS1043" s="1399"/>
      <c r="BT1043" s="1399"/>
      <c r="BU1043" s="1399"/>
      <c r="BV1043" s="1399"/>
      <c r="BW1043" s="1399"/>
      <c r="BX1043" s="1399"/>
      <c r="BY1043" s="1399"/>
      <c r="BZ1043" s="1399"/>
      <c r="CA1043" s="1399"/>
      <c r="CB1043" s="1399"/>
      <c r="CC1043" s="1399"/>
      <c r="CD1043" s="1399"/>
      <c r="CE1043" s="1399"/>
      <c r="CF1043" s="1399"/>
      <c r="CG1043" s="1399"/>
      <c r="CH1043" s="1399"/>
      <c r="CI1043" s="1399"/>
      <c r="CJ1043" s="1399"/>
      <c r="CK1043" s="1399"/>
      <c r="CL1043" s="1399"/>
      <c r="CM1043" s="1399"/>
      <c r="CN1043" s="1399"/>
      <c r="CO1043" s="1399"/>
      <c r="CP1043" s="1399"/>
      <c r="CQ1043" s="1399"/>
      <c r="CR1043" s="1399"/>
      <c r="CS1043" s="1399"/>
      <c r="CT1043" s="1399"/>
      <c r="CU1043" s="1399"/>
      <c r="CV1043" s="1399"/>
      <c r="CW1043" s="1399"/>
      <c r="CX1043" s="1399"/>
      <c r="CY1043" s="1399"/>
      <c r="CZ1043" s="1399"/>
      <c r="DA1043" s="1399"/>
      <c r="DB1043" s="1399"/>
      <c r="DC1043" s="1399"/>
      <c r="DD1043" s="1399"/>
      <c r="DE1043" s="1399"/>
      <c r="DF1043" s="1399"/>
      <c r="DG1043" s="1399"/>
      <c r="DH1043" s="1399"/>
      <c r="DI1043" s="1399"/>
      <c r="DJ1043" s="1399"/>
      <c r="DK1043" s="1399"/>
      <c r="DL1043" s="1399"/>
      <c r="DM1043" s="1399"/>
      <c r="DN1043" s="1399"/>
      <c r="DO1043" s="1399"/>
      <c r="DP1043" s="1399"/>
      <c r="DQ1043" s="1399"/>
      <c r="DR1043" s="1399"/>
      <c r="DS1043" s="1399"/>
      <c r="DT1043" s="1399"/>
      <c r="DU1043" s="1399"/>
    </row>
    <row r="1044" spans="1:125">
      <c r="A1044" s="1414"/>
      <c r="B1044" s="1414"/>
      <c r="C1044" s="1414"/>
      <c r="D1044" s="1414"/>
      <c r="E1044" s="1414"/>
      <c r="F1044" s="1414"/>
      <c r="G1044" s="1414"/>
      <c r="H1044" s="1414"/>
      <c r="I1044" s="1414"/>
      <c r="J1044" s="1414"/>
      <c r="K1044" s="1414"/>
      <c r="L1044" s="1414"/>
      <c r="M1044" s="1414"/>
      <c r="N1044" s="1414"/>
      <c r="O1044" s="1414"/>
      <c r="P1044" s="1414"/>
      <c r="Q1044" s="1414"/>
      <c r="R1044" s="1414"/>
      <c r="S1044" s="1414"/>
      <c r="T1044" s="1414"/>
      <c r="U1044" s="1414"/>
      <c r="V1044" s="1414"/>
      <c r="W1044" s="1414"/>
      <c r="X1044" s="1414"/>
      <c r="Y1044" s="1414"/>
      <c r="Z1044" s="1414"/>
      <c r="AA1044" s="1414"/>
      <c r="AB1044" s="1414"/>
      <c r="AC1044" s="1414"/>
      <c r="AD1044" s="1414"/>
      <c r="AE1044" s="1414"/>
      <c r="AF1044" s="1414"/>
      <c r="AG1044" s="1414"/>
      <c r="AH1044" s="1414"/>
      <c r="AI1044" s="1414"/>
      <c r="AJ1044" s="1414"/>
      <c r="AK1044" s="1414"/>
      <c r="AL1044" s="1414"/>
      <c r="AM1044" s="1414"/>
      <c r="AN1044" s="1414"/>
      <c r="AO1044" s="1414"/>
      <c r="AP1044" s="1414"/>
      <c r="AQ1044" s="1414"/>
      <c r="AR1044" s="1414"/>
      <c r="AS1044" s="1414"/>
      <c r="AT1044" s="1414"/>
      <c r="AU1044" s="1414"/>
      <c r="AV1044" s="1414"/>
      <c r="AW1044" s="1414"/>
      <c r="AX1044" s="1414"/>
      <c r="AY1044" s="1399"/>
      <c r="AZ1044" s="1399"/>
      <c r="BA1044" s="1399"/>
      <c r="BB1044" s="1399"/>
      <c r="BC1044" s="1399"/>
      <c r="BD1044" s="1399"/>
      <c r="BE1044" s="1414"/>
      <c r="BF1044" s="1399"/>
      <c r="BG1044" s="1399"/>
      <c r="BH1044" s="1399"/>
      <c r="BI1044" s="1399"/>
      <c r="BJ1044" s="1399"/>
      <c r="BK1044" s="1399"/>
      <c r="BL1044" s="1399"/>
      <c r="BM1044" s="1399"/>
      <c r="BN1044" s="1399"/>
      <c r="BO1044" s="1399"/>
      <c r="BP1044" s="1399"/>
      <c r="BQ1044" s="1399"/>
      <c r="BR1044" s="1399"/>
      <c r="BS1044" s="1399"/>
      <c r="BT1044" s="1399"/>
      <c r="BU1044" s="1399"/>
      <c r="BV1044" s="1399"/>
      <c r="BW1044" s="1399"/>
      <c r="BX1044" s="1399"/>
      <c r="BY1044" s="1399"/>
      <c r="BZ1044" s="1399"/>
      <c r="CA1044" s="1399"/>
      <c r="CB1044" s="1399"/>
      <c r="CC1044" s="1399"/>
      <c r="CD1044" s="1399"/>
      <c r="CE1044" s="1399"/>
      <c r="CF1044" s="1399"/>
      <c r="CG1044" s="1399"/>
      <c r="CH1044" s="1399"/>
      <c r="CI1044" s="1399"/>
      <c r="CJ1044" s="1399"/>
      <c r="CK1044" s="1399"/>
      <c r="CL1044" s="1399"/>
      <c r="CM1044" s="1399"/>
      <c r="CN1044" s="1399"/>
      <c r="CO1044" s="1399"/>
      <c r="CP1044" s="1399"/>
      <c r="CQ1044" s="1399"/>
      <c r="CR1044" s="1399"/>
      <c r="CS1044" s="1399"/>
      <c r="CT1044" s="1399"/>
      <c r="CU1044" s="1399"/>
      <c r="CV1044" s="1399"/>
      <c r="CW1044" s="1399"/>
      <c r="CX1044" s="1399"/>
      <c r="CY1044" s="1399"/>
      <c r="CZ1044" s="1399"/>
      <c r="DA1044" s="1399"/>
      <c r="DB1044" s="1399"/>
      <c r="DC1044" s="1399"/>
      <c r="DD1044" s="1399"/>
      <c r="DE1044" s="1399"/>
      <c r="DF1044" s="1399"/>
      <c r="DG1044" s="1399"/>
      <c r="DH1044" s="1399"/>
      <c r="DI1044" s="1399"/>
      <c r="DJ1044" s="1399"/>
      <c r="DK1044" s="1399"/>
      <c r="DL1044" s="1399"/>
      <c r="DM1044" s="1399"/>
      <c r="DN1044" s="1399"/>
      <c r="DO1044" s="1399"/>
      <c r="DP1044" s="1399"/>
      <c r="DQ1044" s="1399"/>
      <c r="DR1044" s="1399"/>
      <c r="DS1044" s="1399"/>
      <c r="DT1044" s="1399"/>
      <c r="DU1044" s="1399"/>
    </row>
    <row r="1045" spans="1:125">
      <c r="A1045" s="1414"/>
      <c r="B1045" s="1414"/>
      <c r="C1045" s="1414"/>
      <c r="D1045" s="1414"/>
      <c r="E1045" s="1414"/>
      <c r="F1045" s="1414"/>
      <c r="G1045" s="1414"/>
      <c r="H1045" s="1414"/>
      <c r="I1045" s="1414"/>
      <c r="J1045" s="1414"/>
      <c r="K1045" s="1414"/>
      <c r="L1045" s="1414"/>
      <c r="M1045" s="1414"/>
      <c r="N1045" s="1414"/>
      <c r="O1045" s="1414"/>
      <c r="P1045" s="1414"/>
      <c r="Q1045" s="1414"/>
      <c r="R1045" s="1414"/>
      <c r="S1045" s="1414"/>
      <c r="T1045" s="1414"/>
      <c r="U1045" s="1414"/>
      <c r="V1045" s="1414"/>
      <c r="W1045" s="1414"/>
      <c r="X1045" s="1414"/>
      <c r="Y1045" s="1414"/>
      <c r="Z1045" s="1414"/>
      <c r="AA1045" s="1414"/>
      <c r="AB1045" s="1414"/>
      <c r="AC1045" s="1414"/>
      <c r="AD1045" s="1414"/>
      <c r="AE1045" s="1414"/>
      <c r="AF1045" s="1414"/>
      <c r="AG1045" s="1414"/>
      <c r="AH1045" s="1414"/>
      <c r="AI1045" s="1414"/>
      <c r="AJ1045" s="1414"/>
      <c r="AK1045" s="1414"/>
      <c r="AL1045" s="1414"/>
      <c r="AM1045" s="1414"/>
      <c r="AN1045" s="1414"/>
      <c r="AO1045" s="1414"/>
      <c r="AP1045" s="1414"/>
      <c r="AQ1045" s="1414"/>
      <c r="AR1045" s="1414"/>
      <c r="AS1045" s="1414"/>
      <c r="AT1045" s="1414"/>
      <c r="AU1045" s="1414"/>
      <c r="AV1045" s="1414"/>
      <c r="AW1045" s="1414"/>
      <c r="AX1045" s="1414"/>
      <c r="AY1045" s="1399"/>
      <c r="AZ1045" s="1399"/>
      <c r="BA1045" s="1399"/>
      <c r="BB1045" s="1399"/>
      <c r="BC1045" s="1399"/>
      <c r="BD1045" s="1399"/>
      <c r="BE1045" s="1414"/>
      <c r="BF1045" s="1399"/>
      <c r="BG1045" s="1399"/>
      <c r="BH1045" s="1399"/>
      <c r="BI1045" s="1399"/>
      <c r="BJ1045" s="1399"/>
      <c r="BK1045" s="1399"/>
      <c r="BL1045" s="1399"/>
      <c r="BM1045" s="1399"/>
      <c r="BN1045" s="1399"/>
      <c r="BO1045" s="1399"/>
      <c r="BP1045" s="1399"/>
      <c r="BQ1045" s="1399"/>
      <c r="BR1045" s="1399"/>
      <c r="BS1045" s="1399"/>
      <c r="BT1045" s="1399"/>
      <c r="BU1045" s="1399"/>
      <c r="BV1045" s="1399"/>
      <c r="BW1045" s="1399"/>
      <c r="BX1045" s="1399"/>
      <c r="BY1045" s="1399"/>
      <c r="BZ1045" s="1399"/>
      <c r="CA1045" s="1399"/>
      <c r="CB1045" s="1399"/>
      <c r="CC1045" s="1399"/>
      <c r="CD1045" s="1399"/>
      <c r="CE1045" s="1399"/>
      <c r="CF1045" s="1399"/>
      <c r="CG1045" s="1399"/>
      <c r="CH1045" s="1399"/>
      <c r="CI1045" s="1399"/>
      <c r="CJ1045" s="1399"/>
      <c r="CK1045" s="1399"/>
      <c r="CL1045" s="1399"/>
      <c r="CM1045" s="1399"/>
      <c r="CN1045" s="1399"/>
      <c r="CO1045" s="1399"/>
      <c r="CP1045" s="1399"/>
      <c r="CQ1045" s="1399"/>
      <c r="CR1045" s="1399"/>
      <c r="CS1045" s="1399"/>
      <c r="CT1045" s="1399"/>
      <c r="CU1045" s="1399"/>
      <c r="CV1045" s="1399"/>
      <c r="CW1045" s="1399"/>
      <c r="CX1045" s="1399"/>
      <c r="CY1045" s="1399"/>
      <c r="CZ1045" s="1399"/>
      <c r="DA1045" s="1399"/>
      <c r="DB1045" s="1399"/>
      <c r="DC1045" s="1399"/>
      <c r="DD1045" s="1399"/>
      <c r="DE1045" s="1399"/>
      <c r="DF1045" s="1399"/>
      <c r="DG1045" s="1399"/>
      <c r="DH1045" s="1399"/>
      <c r="DI1045" s="1399"/>
      <c r="DJ1045" s="1399"/>
      <c r="DK1045" s="1399"/>
      <c r="DL1045" s="1399"/>
      <c r="DM1045" s="1399"/>
      <c r="DN1045" s="1399"/>
      <c r="DO1045" s="1399"/>
      <c r="DP1045" s="1399"/>
      <c r="DQ1045" s="1399"/>
      <c r="DR1045" s="1399"/>
      <c r="DS1045" s="1399"/>
      <c r="DT1045" s="1399"/>
      <c r="DU1045" s="1399"/>
    </row>
    <row r="1046" spans="1:125">
      <c r="A1046" s="1414"/>
      <c r="B1046" s="1414"/>
      <c r="C1046" s="1414"/>
      <c r="D1046" s="1414"/>
      <c r="E1046" s="1414"/>
      <c r="F1046" s="1414"/>
      <c r="G1046" s="1414"/>
      <c r="H1046" s="1414"/>
      <c r="I1046" s="1414"/>
      <c r="J1046" s="1414"/>
      <c r="K1046" s="1414"/>
      <c r="L1046" s="1414"/>
      <c r="M1046" s="1414"/>
      <c r="N1046" s="1414"/>
      <c r="O1046" s="1414"/>
      <c r="P1046" s="1414"/>
      <c r="Q1046" s="1414"/>
      <c r="R1046" s="1414"/>
      <c r="S1046" s="1414"/>
      <c r="T1046" s="1414"/>
      <c r="U1046" s="1414"/>
      <c r="V1046" s="1414"/>
      <c r="W1046" s="1414"/>
      <c r="X1046" s="1414"/>
      <c r="Y1046" s="1414"/>
      <c r="Z1046" s="1414"/>
      <c r="AA1046" s="1414"/>
      <c r="AB1046" s="1414"/>
      <c r="AC1046" s="1414"/>
      <c r="AD1046" s="1414"/>
      <c r="AE1046" s="1414"/>
      <c r="AF1046" s="1414"/>
      <c r="AG1046" s="1414"/>
      <c r="AH1046" s="1414"/>
      <c r="AI1046" s="1414"/>
      <c r="AJ1046" s="1414"/>
      <c r="AK1046" s="1414"/>
      <c r="AL1046" s="1414"/>
      <c r="AM1046" s="1414"/>
      <c r="AN1046" s="1414"/>
      <c r="AO1046" s="1414"/>
      <c r="AP1046" s="1414"/>
      <c r="AQ1046" s="1414"/>
      <c r="AR1046" s="1414"/>
      <c r="AS1046" s="1414"/>
      <c r="AT1046" s="1414"/>
      <c r="AU1046" s="1414"/>
      <c r="AV1046" s="1414"/>
      <c r="AW1046" s="1414"/>
      <c r="AX1046" s="1414"/>
      <c r="AY1046" s="1399"/>
      <c r="AZ1046" s="1399"/>
      <c r="BA1046" s="1399"/>
      <c r="BB1046" s="1399"/>
      <c r="BC1046" s="1399"/>
      <c r="BD1046" s="1399"/>
      <c r="BE1046" s="1414"/>
      <c r="BF1046" s="1399"/>
      <c r="BG1046" s="1399"/>
      <c r="BH1046" s="1399"/>
      <c r="BI1046" s="1399"/>
      <c r="BJ1046" s="1399"/>
      <c r="BK1046" s="1399"/>
      <c r="BL1046" s="1399"/>
      <c r="BM1046" s="1399"/>
      <c r="BN1046" s="1399"/>
      <c r="BO1046" s="1399"/>
      <c r="BP1046" s="1399"/>
      <c r="BQ1046" s="1399"/>
      <c r="BR1046" s="1399"/>
      <c r="BS1046" s="1399"/>
      <c r="BT1046" s="1399"/>
      <c r="BU1046" s="1399"/>
      <c r="BV1046" s="1399"/>
      <c r="BW1046" s="1399"/>
      <c r="BX1046" s="1399"/>
      <c r="BY1046" s="1399"/>
      <c r="BZ1046" s="1399"/>
      <c r="CA1046" s="1399"/>
      <c r="CB1046" s="1399"/>
      <c r="CC1046" s="1399"/>
      <c r="CD1046" s="1399"/>
      <c r="CE1046" s="1399"/>
      <c r="CF1046" s="1399"/>
      <c r="CG1046" s="1399"/>
      <c r="CH1046" s="1399"/>
      <c r="CI1046" s="1399"/>
      <c r="CJ1046" s="1399"/>
      <c r="CK1046" s="1399"/>
      <c r="CL1046" s="1399"/>
      <c r="CM1046" s="1399"/>
      <c r="CN1046" s="1399"/>
      <c r="CO1046" s="1399"/>
      <c r="CP1046" s="1399"/>
      <c r="CQ1046" s="1399"/>
      <c r="CR1046" s="1399"/>
      <c r="CS1046" s="1399"/>
      <c r="CT1046" s="1399"/>
      <c r="CU1046" s="1399"/>
      <c r="CV1046" s="1399"/>
      <c r="CW1046" s="1399"/>
      <c r="CX1046" s="1399"/>
      <c r="CY1046" s="1399"/>
      <c r="CZ1046" s="1399"/>
      <c r="DA1046" s="1399"/>
      <c r="DB1046" s="1399"/>
      <c r="DC1046" s="1399"/>
      <c r="DD1046" s="1399"/>
      <c r="DE1046" s="1399"/>
      <c r="DF1046" s="1399"/>
      <c r="DG1046" s="1399"/>
      <c r="DH1046" s="1399"/>
      <c r="DI1046" s="1399"/>
      <c r="DJ1046" s="1399"/>
      <c r="DK1046" s="1399"/>
      <c r="DL1046" s="1399"/>
      <c r="DM1046" s="1399"/>
      <c r="DN1046" s="1399"/>
      <c r="DO1046" s="1399"/>
      <c r="DP1046" s="1399"/>
      <c r="DQ1046" s="1399"/>
      <c r="DR1046" s="1399"/>
      <c r="DS1046" s="1399"/>
      <c r="DT1046" s="1399"/>
      <c r="DU1046" s="1399"/>
    </row>
    <row r="1047" spans="1:125">
      <c r="A1047" s="1414"/>
      <c r="B1047" s="1414"/>
      <c r="C1047" s="1414"/>
      <c r="D1047" s="1414"/>
      <c r="E1047" s="1414"/>
      <c r="F1047" s="1414"/>
      <c r="G1047" s="1414"/>
      <c r="H1047" s="1414"/>
      <c r="I1047" s="1414"/>
      <c r="J1047" s="1414"/>
      <c r="K1047" s="1414"/>
      <c r="L1047" s="1414"/>
      <c r="M1047" s="1414"/>
      <c r="N1047" s="1414"/>
      <c r="O1047" s="1414"/>
      <c r="P1047" s="1414"/>
      <c r="Q1047" s="1414"/>
      <c r="R1047" s="1414"/>
      <c r="S1047" s="1414"/>
      <c r="T1047" s="1414"/>
      <c r="U1047" s="1414"/>
      <c r="V1047" s="1414"/>
      <c r="W1047" s="1414"/>
      <c r="X1047" s="1414"/>
      <c r="Y1047" s="1414"/>
      <c r="Z1047" s="1414"/>
      <c r="AA1047" s="1414"/>
      <c r="AB1047" s="1414"/>
      <c r="AC1047" s="1414"/>
      <c r="AD1047" s="1414"/>
      <c r="AE1047" s="1414"/>
      <c r="AF1047" s="1414"/>
      <c r="AG1047" s="1414"/>
      <c r="AH1047" s="1414"/>
      <c r="AI1047" s="1414"/>
      <c r="AJ1047" s="1414"/>
      <c r="AK1047" s="1414"/>
      <c r="AL1047" s="1414"/>
      <c r="AM1047" s="1414"/>
      <c r="AN1047" s="1414"/>
      <c r="AO1047" s="1414"/>
      <c r="AP1047" s="1414"/>
      <c r="AQ1047" s="1414"/>
      <c r="AR1047" s="1414"/>
      <c r="AS1047" s="1414"/>
      <c r="AT1047" s="1414"/>
      <c r="AU1047" s="1414"/>
      <c r="AV1047" s="1414"/>
      <c r="AW1047" s="1414"/>
      <c r="AX1047" s="1414"/>
      <c r="AY1047" s="1399"/>
      <c r="AZ1047" s="1399"/>
      <c r="BA1047" s="1399"/>
      <c r="BB1047" s="1399"/>
      <c r="BC1047" s="1399"/>
      <c r="BD1047" s="1399"/>
      <c r="BE1047" s="1414"/>
      <c r="BF1047" s="1399"/>
      <c r="BG1047" s="1399"/>
      <c r="BH1047" s="1399"/>
      <c r="BI1047" s="1399"/>
      <c r="BJ1047" s="1399"/>
      <c r="BK1047" s="1399"/>
      <c r="BL1047" s="1399"/>
      <c r="BM1047" s="1399"/>
      <c r="BN1047" s="1399"/>
      <c r="BO1047" s="1399"/>
      <c r="BP1047" s="1399"/>
      <c r="BQ1047" s="1399"/>
      <c r="BR1047" s="1399"/>
      <c r="BS1047" s="1399"/>
      <c r="BT1047" s="1399"/>
      <c r="BU1047" s="1399"/>
      <c r="BV1047" s="1399"/>
      <c r="BW1047" s="1399"/>
      <c r="BX1047" s="1399"/>
      <c r="BY1047" s="1399"/>
      <c r="BZ1047" s="1399"/>
      <c r="CA1047" s="1399"/>
      <c r="CB1047" s="1399"/>
      <c r="CC1047" s="1399"/>
      <c r="CD1047" s="1399"/>
      <c r="CE1047" s="1399"/>
      <c r="CF1047" s="1399"/>
      <c r="CG1047" s="1399"/>
      <c r="CH1047" s="1399"/>
      <c r="CI1047" s="1399"/>
      <c r="CJ1047" s="1399"/>
      <c r="CK1047" s="1399"/>
      <c r="CL1047" s="1399"/>
      <c r="CM1047" s="1399"/>
      <c r="CN1047" s="1399"/>
      <c r="CO1047" s="1399"/>
      <c r="CP1047" s="1399"/>
      <c r="CQ1047" s="1399"/>
      <c r="CR1047" s="1399"/>
      <c r="CS1047" s="1399"/>
      <c r="CT1047" s="1399"/>
      <c r="CU1047" s="1399"/>
      <c r="CV1047" s="1399"/>
      <c r="CW1047" s="1399"/>
      <c r="CX1047" s="1399"/>
      <c r="CY1047" s="1399"/>
      <c r="CZ1047" s="1399"/>
      <c r="DA1047" s="1399"/>
      <c r="DB1047" s="1399"/>
      <c r="DC1047" s="1399"/>
      <c r="DD1047" s="1399"/>
      <c r="DE1047" s="1399"/>
      <c r="DF1047" s="1399"/>
      <c r="DG1047" s="1399"/>
      <c r="DH1047" s="1399"/>
      <c r="DI1047" s="1399"/>
      <c r="DJ1047" s="1399"/>
      <c r="DK1047" s="1399"/>
      <c r="DL1047" s="1399"/>
      <c r="DM1047" s="1399"/>
      <c r="DN1047" s="1399"/>
      <c r="DO1047" s="1399"/>
      <c r="DP1047" s="1399"/>
      <c r="DQ1047" s="1399"/>
      <c r="DR1047" s="1399"/>
      <c r="DS1047" s="1399"/>
      <c r="DT1047" s="1399"/>
      <c r="DU1047" s="1399"/>
    </row>
    <row r="1048" spans="1:125">
      <c r="A1048" s="1414"/>
      <c r="B1048" s="1414"/>
      <c r="C1048" s="1414"/>
      <c r="D1048" s="1414"/>
      <c r="E1048" s="1414"/>
      <c r="F1048" s="1414"/>
      <c r="G1048" s="1414"/>
      <c r="H1048" s="1414"/>
      <c r="I1048" s="1414"/>
      <c r="J1048" s="1414"/>
      <c r="K1048" s="1414"/>
      <c r="L1048" s="1414"/>
      <c r="M1048" s="1414"/>
      <c r="N1048" s="1414"/>
      <c r="O1048" s="1414"/>
      <c r="P1048" s="1414"/>
      <c r="Q1048" s="1414"/>
      <c r="R1048" s="1414"/>
      <c r="S1048" s="1414"/>
      <c r="T1048" s="1414"/>
      <c r="U1048" s="1414"/>
      <c r="V1048" s="1414"/>
      <c r="W1048" s="1414"/>
      <c r="X1048" s="1414"/>
      <c r="Y1048" s="1414"/>
      <c r="Z1048" s="1414"/>
      <c r="AA1048" s="1414"/>
      <c r="AB1048" s="1414"/>
      <c r="AC1048" s="1414"/>
      <c r="AD1048" s="1414"/>
      <c r="AE1048" s="1414"/>
      <c r="AF1048" s="1414"/>
      <c r="AG1048" s="1414"/>
      <c r="AH1048" s="1414"/>
      <c r="AI1048" s="1414"/>
      <c r="AJ1048" s="1414"/>
      <c r="AK1048" s="1414"/>
      <c r="AL1048" s="1414"/>
      <c r="AM1048" s="1414"/>
      <c r="AN1048" s="1414"/>
      <c r="AO1048" s="1414"/>
      <c r="AP1048" s="1414"/>
      <c r="AQ1048" s="1414"/>
      <c r="AR1048" s="1414"/>
      <c r="AS1048" s="1414"/>
      <c r="AT1048" s="1414"/>
      <c r="AU1048" s="1414"/>
      <c r="AV1048" s="1414"/>
      <c r="AW1048" s="1414"/>
      <c r="AX1048" s="1414"/>
      <c r="AY1048" s="1399"/>
      <c r="AZ1048" s="1399"/>
      <c r="BA1048" s="1399"/>
      <c r="BB1048" s="1399"/>
      <c r="BC1048" s="1399"/>
      <c r="BD1048" s="1399"/>
      <c r="BE1048" s="1414"/>
      <c r="BF1048" s="1399"/>
      <c r="BG1048" s="1399"/>
      <c r="BH1048" s="1399"/>
      <c r="BI1048" s="1399"/>
      <c r="BJ1048" s="1399"/>
      <c r="BK1048" s="1399"/>
      <c r="BL1048" s="1399"/>
      <c r="BM1048" s="1399"/>
      <c r="BN1048" s="1399"/>
      <c r="BO1048" s="1399"/>
      <c r="BP1048" s="1399"/>
      <c r="BQ1048" s="1399"/>
      <c r="BR1048" s="1399"/>
      <c r="BS1048" s="1399"/>
      <c r="BT1048" s="1399"/>
      <c r="BU1048" s="1399"/>
      <c r="BV1048" s="1399"/>
      <c r="BW1048" s="1399"/>
      <c r="BX1048" s="1399"/>
      <c r="BY1048" s="1399"/>
      <c r="BZ1048" s="1399"/>
      <c r="CA1048" s="1399"/>
      <c r="CB1048" s="1399"/>
      <c r="CC1048" s="1399"/>
      <c r="CD1048" s="1399"/>
      <c r="CE1048" s="1399"/>
      <c r="CF1048" s="1399"/>
      <c r="CG1048" s="1399"/>
      <c r="CH1048" s="1399"/>
      <c r="CI1048" s="1399"/>
      <c r="CJ1048" s="1399"/>
      <c r="CK1048" s="1399"/>
      <c r="CL1048" s="1399"/>
      <c r="CM1048" s="1399"/>
      <c r="CN1048" s="1399"/>
      <c r="CO1048" s="1399"/>
      <c r="CP1048" s="1399"/>
      <c r="CQ1048" s="1399"/>
      <c r="CR1048" s="1399"/>
      <c r="CS1048" s="1399"/>
      <c r="CT1048" s="1399"/>
      <c r="CU1048" s="1399"/>
      <c r="CV1048" s="1399"/>
      <c r="CW1048" s="1399"/>
      <c r="CX1048" s="1399"/>
      <c r="CY1048" s="1399"/>
      <c r="CZ1048" s="1399"/>
      <c r="DA1048" s="1399"/>
      <c r="DB1048" s="1399"/>
      <c r="DC1048" s="1399"/>
      <c r="DD1048" s="1399"/>
      <c r="DE1048" s="1399"/>
      <c r="DF1048" s="1399"/>
      <c r="DG1048" s="1399"/>
      <c r="DH1048" s="1399"/>
      <c r="DI1048" s="1399"/>
      <c r="DJ1048" s="1399"/>
      <c r="DK1048" s="1399"/>
      <c r="DL1048" s="1399"/>
      <c r="DM1048" s="1399"/>
      <c r="DN1048" s="1399"/>
      <c r="DO1048" s="1399"/>
      <c r="DP1048" s="1399"/>
      <c r="DQ1048" s="1399"/>
      <c r="DR1048" s="1399"/>
      <c r="DS1048" s="1399"/>
      <c r="DT1048" s="1399"/>
      <c r="DU1048" s="1399"/>
    </row>
    <row r="1049" spans="1:125">
      <c r="A1049" s="1414"/>
      <c r="B1049" s="1414"/>
      <c r="C1049" s="1414"/>
      <c r="D1049" s="1414"/>
      <c r="E1049" s="1414"/>
      <c r="F1049" s="1414"/>
      <c r="G1049" s="1414"/>
      <c r="H1049" s="1414"/>
      <c r="I1049" s="1414"/>
      <c r="J1049" s="1414"/>
      <c r="K1049" s="1414"/>
      <c r="L1049" s="1414"/>
      <c r="M1049" s="1414"/>
      <c r="N1049" s="1414"/>
      <c r="O1049" s="1414"/>
      <c r="P1049" s="1414"/>
      <c r="Q1049" s="1414"/>
      <c r="R1049" s="1414"/>
      <c r="S1049" s="1414"/>
      <c r="T1049" s="1414"/>
      <c r="U1049" s="1414"/>
      <c r="V1049" s="1414"/>
      <c r="W1049" s="1414"/>
      <c r="X1049" s="1414"/>
      <c r="Y1049" s="1414"/>
      <c r="Z1049" s="1414"/>
      <c r="AA1049" s="1414"/>
      <c r="AB1049" s="1414"/>
      <c r="AC1049" s="1414"/>
      <c r="AD1049" s="1414"/>
      <c r="AE1049" s="1414"/>
      <c r="AF1049" s="1414"/>
      <c r="AG1049" s="1414"/>
      <c r="AH1049" s="1414"/>
      <c r="AI1049" s="1414"/>
      <c r="AJ1049" s="1414"/>
      <c r="AK1049" s="1414"/>
      <c r="AL1049" s="1414"/>
      <c r="AM1049" s="1414"/>
      <c r="AN1049" s="1414"/>
      <c r="AO1049" s="1414"/>
      <c r="AP1049" s="1414"/>
      <c r="AQ1049" s="1414"/>
      <c r="AR1049" s="1414"/>
      <c r="AS1049" s="1414"/>
      <c r="AT1049" s="1414"/>
      <c r="AU1049" s="1414"/>
      <c r="AV1049" s="1414"/>
      <c r="AW1049" s="1414"/>
      <c r="AX1049" s="1414"/>
      <c r="AY1049" s="1399"/>
      <c r="AZ1049" s="1399"/>
      <c r="BA1049" s="1399"/>
      <c r="BB1049" s="1399"/>
      <c r="BC1049" s="1399"/>
      <c r="BD1049" s="1399"/>
      <c r="BE1049" s="1414"/>
      <c r="BF1049" s="1399"/>
      <c r="BG1049" s="1399"/>
      <c r="BH1049" s="1399"/>
      <c r="BI1049" s="1399"/>
      <c r="BJ1049" s="1399"/>
      <c r="BK1049" s="1399"/>
      <c r="BL1049" s="1399"/>
      <c r="BM1049" s="1399"/>
      <c r="BN1049" s="1399"/>
      <c r="BO1049" s="1399"/>
      <c r="BP1049" s="1399"/>
      <c r="BQ1049" s="1399"/>
      <c r="BR1049" s="1399"/>
      <c r="BS1049" s="1399"/>
      <c r="BT1049" s="1399"/>
      <c r="BU1049" s="1399"/>
      <c r="BV1049" s="1399"/>
      <c r="BW1049" s="1399"/>
      <c r="BX1049" s="1399"/>
      <c r="BY1049" s="1399"/>
      <c r="BZ1049" s="1399"/>
      <c r="CA1049" s="1399"/>
      <c r="CB1049" s="1399"/>
      <c r="CC1049" s="1399"/>
      <c r="CD1049" s="1399"/>
      <c r="CE1049" s="1399"/>
      <c r="CF1049" s="1399"/>
      <c r="CG1049" s="1399"/>
      <c r="CH1049" s="1399"/>
      <c r="CI1049" s="1399"/>
      <c r="CJ1049" s="1399"/>
      <c r="CK1049" s="1399"/>
      <c r="CL1049" s="1399"/>
      <c r="CM1049" s="1399"/>
      <c r="CN1049" s="1399"/>
      <c r="CO1049" s="1399"/>
      <c r="CP1049" s="1399"/>
      <c r="CQ1049" s="1399"/>
      <c r="CR1049" s="1399"/>
      <c r="CS1049" s="1399"/>
      <c r="CT1049" s="1399"/>
      <c r="CU1049" s="1399"/>
      <c r="CV1049" s="1399"/>
      <c r="CW1049" s="1399"/>
      <c r="CX1049" s="1399"/>
      <c r="CY1049" s="1399"/>
      <c r="CZ1049" s="1399"/>
      <c r="DA1049" s="1399"/>
      <c r="DB1049" s="1399"/>
      <c r="DC1049" s="1399"/>
      <c r="DD1049" s="1399"/>
      <c r="DE1049" s="1399"/>
      <c r="DF1049" s="1399"/>
      <c r="DG1049" s="1399"/>
      <c r="DH1049" s="1399"/>
      <c r="DI1049" s="1399"/>
      <c r="DJ1049" s="1399"/>
      <c r="DK1049" s="1399"/>
      <c r="DL1049" s="1399"/>
      <c r="DM1049" s="1399"/>
      <c r="DN1049" s="1399"/>
      <c r="DO1049" s="1399"/>
      <c r="DP1049" s="1399"/>
      <c r="DQ1049" s="1399"/>
      <c r="DR1049" s="1399"/>
      <c r="DS1049" s="1399"/>
      <c r="DT1049" s="1399"/>
      <c r="DU1049" s="1399"/>
    </row>
    <row r="1050" spans="1:125">
      <c r="A1050" s="1414"/>
      <c r="B1050" s="1414"/>
      <c r="C1050" s="1414"/>
      <c r="D1050" s="1414"/>
      <c r="E1050" s="1414"/>
      <c r="F1050" s="1414"/>
      <c r="G1050" s="1414"/>
      <c r="H1050" s="1414"/>
      <c r="I1050" s="1414"/>
      <c r="J1050" s="1414"/>
      <c r="K1050" s="1414"/>
      <c r="L1050" s="1414"/>
      <c r="M1050" s="1414"/>
      <c r="N1050" s="1414"/>
      <c r="O1050" s="1414"/>
      <c r="P1050" s="1414"/>
      <c r="Q1050" s="1414"/>
      <c r="R1050" s="1414"/>
      <c r="S1050" s="1414"/>
      <c r="T1050" s="1414"/>
      <c r="U1050" s="1414"/>
      <c r="V1050" s="1414"/>
      <c r="W1050" s="1414"/>
      <c r="X1050" s="1414"/>
      <c r="Y1050" s="1414"/>
      <c r="Z1050" s="1414"/>
      <c r="AA1050" s="1414"/>
      <c r="AB1050" s="1414"/>
      <c r="AC1050" s="1414"/>
      <c r="AD1050" s="1414"/>
      <c r="AE1050" s="1414"/>
      <c r="AF1050" s="1414"/>
      <c r="AG1050" s="1414"/>
      <c r="AH1050" s="1414"/>
      <c r="AI1050" s="1414"/>
      <c r="AJ1050" s="1414"/>
      <c r="AK1050" s="1414"/>
      <c r="AL1050" s="1414"/>
      <c r="AM1050" s="1414"/>
      <c r="AN1050" s="1414"/>
      <c r="AO1050" s="1414"/>
      <c r="AP1050" s="1414"/>
      <c r="AQ1050" s="1414"/>
      <c r="AR1050" s="1414"/>
      <c r="AS1050" s="1414"/>
      <c r="AT1050" s="1414"/>
      <c r="AU1050" s="1414"/>
      <c r="AV1050" s="1414"/>
      <c r="AW1050" s="1414"/>
      <c r="AX1050" s="1414"/>
      <c r="AY1050" s="1399"/>
      <c r="AZ1050" s="1399"/>
      <c r="BA1050" s="1399"/>
      <c r="BB1050" s="1399"/>
      <c r="BC1050" s="1399"/>
      <c r="BD1050" s="1399"/>
      <c r="BE1050" s="1414"/>
      <c r="BF1050" s="1399"/>
      <c r="BG1050" s="1399"/>
      <c r="BH1050" s="1399"/>
      <c r="BI1050" s="1399"/>
      <c r="BJ1050" s="1399"/>
      <c r="BK1050" s="1399"/>
      <c r="BL1050" s="1399"/>
      <c r="BM1050" s="1399"/>
      <c r="BN1050" s="1399"/>
      <c r="BO1050" s="1399"/>
      <c r="BP1050" s="1399"/>
      <c r="BQ1050" s="1399"/>
      <c r="BR1050" s="1399"/>
      <c r="BS1050" s="1399"/>
      <c r="BT1050" s="1399"/>
      <c r="BU1050" s="1399"/>
      <c r="BV1050" s="1399"/>
      <c r="BW1050" s="1399"/>
      <c r="BX1050" s="1399"/>
      <c r="BY1050" s="1399"/>
      <c r="BZ1050" s="1399"/>
      <c r="CA1050" s="1399"/>
      <c r="CB1050" s="1399"/>
      <c r="CC1050" s="1399"/>
      <c r="CD1050" s="1399"/>
      <c r="CE1050" s="1399"/>
      <c r="CF1050" s="1399"/>
      <c r="CG1050" s="1399"/>
      <c r="CH1050" s="1399"/>
      <c r="CI1050" s="1399"/>
      <c r="CJ1050" s="1399"/>
      <c r="CK1050" s="1399"/>
      <c r="CL1050" s="1399"/>
      <c r="CM1050" s="1399"/>
      <c r="CN1050" s="1399"/>
      <c r="CO1050" s="1399"/>
      <c r="CP1050" s="1399"/>
      <c r="CQ1050" s="1399"/>
      <c r="CR1050" s="1399"/>
      <c r="CS1050" s="1399"/>
      <c r="CT1050" s="1399"/>
      <c r="CU1050" s="1399"/>
      <c r="CV1050" s="1399"/>
      <c r="CW1050" s="1399"/>
      <c r="CX1050" s="1399"/>
      <c r="CY1050" s="1399"/>
      <c r="CZ1050" s="1399"/>
      <c r="DA1050" s="1399"/>
      <c r="DB1050" s="1399"/>
      <c r="DC1050" s="1399"/>
      <c r="DD1050" s="1399"/>
      <c r="DE1050" s="1399"/>
      <c r="DF1050" s="1399"/>
      <c r="DG1050" s="1399"/>
      <c r="DH1050" s="1399"/>
      <c r="DI1050" s="1399"/>
      <c r="DJ1050" s="1399"/>
      <c r="DK1050" s="1399"/>
      <c r="DL1050" s="1399"/>
      <c r="DM1050" s="1399"/>
      <c r="DN1050" s="1399"/>
      <c r="DO1050" s="1399"/>
      <c r="DP1050" s="1399"/>
      <c r="DQ1050" s="1399"/>
      <c r="DR1050" s="1399"/>
      <c r="DS1050" s="1399"/>
      <c r="DT1050" s="1399"/>
      <c r="DU1050" s="1399"/>
    </row>
    <row r="1051" spans="1:125">
      <c r="A1051" s="1414"/>
      <c r="B1051" s="1414"/>
      <c r="C1051" s="1414"/>
      <c r="D1051" s="1414"/>
      <c r="E1051" s="1414"/>
      <c r="F1051" s="1414"/>
      <c r="G1051" s="1414"/>
      <c r="H1051" s="1414"/>
      <c r="I1051" s="1414"/>
      <c r="J1051" s="1414"/>
      <c r="K1051" s="1414"/>
      <c r="L1051" s="1414"/>
      <c r="M1051" s="1414"/>
      <c r="N1051" s="1414"/>
      <c r="O1051" s="1414"/>
      <c r="P1051" s="1414"/>
      <c r="Q1051" s="1414"/>
      <c r="R1051" s="1414"/>
      <c r="S1051" s="1414"/>
      <c r="T1051" s="1414"/>
      <c r="U1051" s="1414"/>
      <c r="V1051" s="1414"/>
      <c r="W1051" s="1414"/>
      <c r="X1051" s="1414"/>
      <c r="Y1051" s="1414"/>
      <c r="Z1051" s="1414"/>
      <c r="AA1051" s="1414"/>
      <c r="AB1051" s="1414"/>
      <c r="AC1051" s="1414"/>
      <c r="AD1051" s="1414"/>
      <c r="AE1051" s="1414"/>
      <c r="AF1051" s="1414"/>
      <c r="AG1051" s="1414"/>
      <c r="AH1051" s="1414"/>
      <c r="AI1051" s="1414"/>
      <c r="AJ1051" s="1414"/>
      <c r="AK1051" s="1414"/>
      <c r="AL1051" s="1414"/>
      <c r="AM1051" s="1414"/>
      <c r="AN1051" s="1414"/>
      <c r="AO1051" s="1414"/>
      <c r="AP1051" s="1414"/>
      <c r="AQ1051" s="1414"/>
      <c r="AR1051" s="1414"/>
      <c r="AS1051" s="1414"/>
      <c r="AT1051" s="1414"/>
      <c r="AU1051" s="1414"/>
      <c r="AV1051" s="1414"/>
      <c r="AW1051" s="1414"/>
      <c r="AX1051" s="1414"/>
      <c r="AY1051" s="1399"/>
      <c r="AZ1051" s="1399"/>
      <c r="BA1051" s="1399"/>
      <c r="BB1051" s="1399"/>
      <c r="BC1051" s="1399"/>
      <c r="BD1051" s="1399"/>
      <c r="BE1051" s="1414"/>
      <c r="BF1051" s="1399"/>
      <c r="BG1051" s="1399"/>
      <c r="BH1051" s="1399"/>
      <c r="BI1051" s="1399"/>
      <c r="BJ1051" s="1399"/>
      <c r="BK1051" s="1399"/>
      <c r="BL1051" s="1399"/>
      <c r="BM1051" s="1399"/>
      <c r="BN1051" s="1399"/>
      <c r="BO1051" s="1399"/>
      <c r="BP1051" s="1399"/>
      <c r="BQ1051" s="1399"/>
      <c r="BR1051" s="1399"/>
      <c r="BS1051" s="1399"/>
      <c r="BT1051" s="1399"/>
      <c r="BU1051" s="1399"/>
      <c r="BV1051" s="1399"/>
      <c r="BW1051" s="1399"/>
      <c r="BX1051" s="1399"/>
      <c r="BY1051" s="1399"/>
      <c r="BZ1051" s="1399"/>
      <c r="CA1051" s="1399"/>
      <c r="CB1051" s="1399"/>
      <c r="CC1051" s="1399"/>
      <c r="CD1051" s="1399"/>
      <c r="CE1051" s="1399"/>
      <c r="CF1051" s="1399"/>
      <c r="CG1051" s="1399"/>
      <c r="CH1051" s="1399"/>
      <c r="CI1051" s="1399"/>
      <c r="CJ1051" s="1399"/>
      <c r="CK1051" s="1399"/>
      <c r="CL1051" s="1399"/>
      <c r="CM1051" s="1399"/>
      <c r="CN1051" s="1399"/>
      <c r="CO1051" s="1399"/>
      <c r="CP1051" s="1399"/>
      <c r="CQ1051" s="1399"/>
      <c r="CR1051" s="1399"/>
      <c r="CS1051" s="1399"/>
      <c r="CT1051" s="1399"/>
      <c r="CU1051" s="1399"/>
      <c r="CV1051" s="1399"/>
      <c r="CW1051" s="1399"/>
      <c r="CX1051" s="1399"/>
      <c r="CY1051" s="1399"/>
      <c r="CZ1051" s="1399"/>
      <c r="DA1051" s="1399"/>
      <c r="DB1051" s="1399"/>
      <c r="DC1051" s="1399"/>
      <c r="DD1051" s="1399"/>
      <c r="DE1051" s="1399"/>
      <c r="DF1051" s="1399"/>
      <c r="DG1051" s="1399"/>
      <c r="DH1051" s="1399"/>
      <c r="DI1051" s="1399"/>
      <c r="DJ1051" s="1399"/>
      <c r="DK1051" s="1399"/>
      <c r="DL1051" s="1399"/>
      <c r="DM1051" s="1399"/>
      <c r="DN1051" s="1399"/>
      <c r="DO1051" s="1399"/>
      <c r="DP1051" s="1399"/>
      <c r="DQ1051" s="1399"/>
      <c r="DR1051" s="1399"/>
      <c r="DS1051" s="1399"/>
      <c r="DT1051" s="1399"/>
      <c r="DU1051" s="1399"/>
    </row>
    <row r="1052" spans="1:125">
      <c r="A1052" s="1414"/>
      <c r="B1052" s="1414"/>
      <c r="C1052" s="1414"/>
      <c r="D1052" s="1414"/>
      <c r="E1052" s="1414"/>
      <c r="F1052" s="1414"/>
      <c r="G1052" s="1414"/>
      <c r="H1052" s="1414"/>
      <c r="I1052" s="1414"/>
      <c r="J1052" s="1414"/>
      <c r="K1052" s="1414"/>
      <c r="L1052" s="1414"/>
      <c r="M1052" s="1414"/>
      <c r="N1052" s="1414"/>
      <c r="O1052" s="1414"/>
      <c r="P1052" s="1414"/>
      <c r="Q1052" s="1414"/>
      <c r="R1052" s="1414"/>
      <c r="S1052" s="1414"/>
      <c r="T1052" s="1414"/>
      <c r="U1052" s="1414"/>
      <c r="V1052" s="1414"/>
      <c r="W1052" s="1414"/>
      <c r="X1052" s="1414"/>
      <c r="Y1052" s="1414"/>
      <c r="Z1052" s="1414"/>
      <c r="AA1052" s="1414"/>
      <c r="AB1052" s="1414"/>
      <c r="AC1052" s="1414"/>
      <c r="AD1052" s="1414"/>
      <c r="AE1052" s="1414"/>
      <c r="AF1052" s="1414"/>
      <c r="AG1052" s="1414"/>
      <c r="AH1052" s="1414"/>
      <c r="AI1052" s="1414"/>
      <c r="AJ1052" s="1414"/>
      <c r="AK1052" s="1414"/>
      <c r="AL1052" s="1414"/>
      <c r="AM1052" s="1414"/>
      <c r="AN1052" s="1414"/>
      <c r="AO1052" s="1414"/>
      <c r="AP1052" s="1414"/>
      <c r="AQ1052" s="1414"/>
      <c r="AR1052" s="1414"/>
      <c r="AS1052" s="1414"/>
      <c r="AT1052" s="1414"/>
      <c r="AU1052" s="1414"/>
      <c r="AV1052" s="1414"/>
      <c r="AW1052" s="1414"/>
      <c r="AX1052" s="1414"/>
      <c r="AY1052" s="1399"/>
      <c r="AZ1052" s="1399"/>
      <c r="BA1052" s="1399"/>
      <c r="BB1052" s="1399"/>
      <c r="BC1052" s="1399"/>
      <c r="BD1052" s="1399"/>
      <c r="BE1052" s="1414"/>
      <c r="BF1052" s="1399"/>
      <c r="BG1052" s="1399"/>
      <c r="BH1052" s="1399"/>
      <c r="BI1052" s="1399"/>
      <c r="BJ1052" s="1399"/>
      <c r="BK1052" s="1399"/>
      <c r="BL1052" s="1399"/>
      <c r="BM1052" s="1399"/>
      <c r="BN1052" s="1399"/>
      <c r="BO1052" s="1399"/>
      <c r="BP1052" s="1399"/>
      <c r="BQ1052" s="1399"/>
      <c r="BR1052" s="1399"/>
      <c r="BS1052" s="1399"/>
      <c r="BT1052" s="1399"/>
      <c r="BU1052" s="1399"/>
      <c r="BV1052" s="1399"/>
      <c r="BW1052" s="1399"/>
      <c r="BX1052" s="1399"/>
      <c r="BY1052" s="1399"/>
      <c r="BZ1052" s="1399"/>
      <c r="CA1052" s="1399"/>
      <c r="CB1052" s="1399"/>
      <c r="CC1052" s="1399"/>
      <c r="CD1052" s="1399"/>
      <c r="CE1052" s="1399"/>
      <c r="CF1052" s="1399"/>
      <c r="CG1052" s="1399"/>
      <c r="CH1052" s="1399"/>
      <c r="CI1052" s="1399"/>
      <c r="CJ1052" s="1399"/>
      <c r="CK1052" s="1399"/>
      <c r="CL1052" s="1399"/>
      <c r="CM1052" s="1399"/>
      <c r="CN1052" s="1399"/>
      <c r="CO1052" s="1399"/>
      <c r="CP1052" s="1399"/>
      <c r="CQ1052" s="1399"/>
      <c r="CR1052" s="1399"/>
      <c r="CS1052" s="1399"/>
      <c r="CT1052" s="1399"/>
      <c r="CU1052" s="1399"/>
      <c r="CV1052" s="1399"/>
      <c r="CW1052" s="1399"/>
      <c r="CX1052" s="1399"/>
      <c r="CY1052" s="1399"/>
      <c r="CZ1052" s="1399"/>
      <c r="DA1052" s="1399"/>
      <c r="DB1052" s="1399"/>
      <c r="DC1052" s="1399"/>
      <c r="DD1052" s="1399"/>
      <c r="DE1052" s="1399"/>
      <c r="DF1052" s="1399"/>
      <c r="DG1052" s="1399"/>
      <c r="DH1052" s="1399"/>
      <c r="DI1052" s="1399"/>
      <c r="DJ1052" s="1399"/>
      <c r="DK1052" s="1399"/>
      <c r="DL1052" s="1399"/>
      <c r="DM1052" s="1399"/>
      <c r="DN1052" s="1399"/>
      <c r="DO1052" s="1399"/>
      <c r="DP1052" s="1399"/>
      <c r="DQ1052" s="1399"/>
      <c r="DR1052" s="1399"/>
      <c r="DS1052" s="1399"/>
      <c r="DT1052" s="1399"/>
      <c r="DU1052" s="1399"/>
    </row>
    <row r="1053" spans="1:125">
      <c r="A1053" s="1414"/>
      <c r="B1053" s="1414"/>
      <c r="C1053" s="1414"/>
      <c r="D1053" s="1414"/>
      <c r="E1053" s="1414"/>
      <c r="F1053" s="1414"/>
      <c r="G1053" s="1414"/>
      <c r="H1053" s="1414"/>
      <c r="I1053" s="1414"/>
      <c r="J1053" s="1414"/>
      <c r="K1053" s="1414"/>
      <c r="L1053" s="1414"/>
      <c r="M1053" s="1414"/>
      <c r="N1053" s="1414"/>
      <c r="O1053" s="1414"/>
      <c r="P1053" s="1414"/>
      <c r="Q1053" s="1414"/>
      <c r="R1053" s="1414"/>
      <c r="S1053" s="1414"/>
      <c r="T1053" s="1414"/>
      <c r="U1053" s="1414"/>
      <c r="V1053" s="1414"/>
      <c r="W1053" s="1414"/>
      <c r="X1053" s="1414"/>
      <c r="Y1053" s="1414"/>
      <c r="Z1053" s="1414"/>
      <c r="AA1053" s="1414"/>
      <c r="AB1053" s="1414"/>
      <c r="AC1053" s="1414"/>
      <c r="AD1053" s="1414"/>
      <c r="AE1053" s="1414"/>
      <c r="AF1053" s="1414"/>
      <c r="AG1053" s="1414"/>
      <c r="AH1053" s="1414"/>
      <c r="AI1053" s="1414"/>
      <c r="AJ1053" s="1414"/>
      <c r="AK1053" s="1414"/>
      <c r="AL1053" s="1414"/>
      <c r="AM1053" s="1414"/>
      <c r="AN1053" s="1414"/>
      <c r="AO1053" s="1414"/>
      <c r="AP1053" s="1414"/>
      <c r="AQ1053" s="1414"/>
      <c r="AR1053" s="1414"/>
      <c r="AS1053" s="1414"/>
      <c r="AT1053" s="1414"/>
      <c r="AU1053" s="1414"/>
      <c r="AV1053" s="1414"/>
      <c r="AW1053" s="1414"/>
      <c r="AX1053" s="1414"/>
      <c r="AY1053" s="1399"/>
      <c r="AZ1053" s="1399"/>
      <c r="BA1053" s="1399"/>
      <c r="BB1053" s="1399"/>
      <c r="BC1053" s="1399"/>
      <c r="BD1053" s="1399"/>
      <c r="BE1053" s="1414"/>
      <c r="BF1053" s="1399"/>
      <c r="BG1053" s="1399"/>
      <c r="BH1053" s="1399"/>
      <c r="BI1053" s="1399"/>
      <c r="BJ1053" s="1399"/>
      <c r="BK1053" s="1399"/>
      <c r="BL1053" s="1399"/>
      <c r="BM1053" s="1399"/>
      <c r="BN1053" s="1399"/>
      <c r="BO1053" s="1399"/>
      <c r="BP1053" s="1399"/>
      <c r="BQ1053" s="1399"/>
      <c r="BR1053" s="1399"/>
      <c r="BS1053" s="1399"/>
      <c r="BT1053" s="1399"/>
      <c r="BU1053" s="1399"/>
      <c r="BV1053" s="1399"/>
      <c r="BW1053" s="1399"/>
      <c r="BX1053" s="1399"/>
      <c r="BY1053" s="1399"/>
      <c r="BZ1053" s="1399"/>
      <c r="CA1053" s="1399"/>
      <c r="CB1053" s="1399"/>
      <c r="CC1053" s="1399"/>
      <c r="CD1053" s="1399"/>
      <c r="CE1053" s="1399"/>
      <c r="CF1053" s="1399"/>
      <c r="CG1053" s="1399"/>
      <c r="CH1053" s="1399"/>
      <c r="CI1053" s="1399"/>
      <c r="CJ1053" s="1399"/>
      <c r="CK1053" s="1399"/>
      <c r="CL1053" s="1399"/>
      <c r="CM1053" s="1399"/>
      <c r="CN1053" s="1399"/>
      <c r="CO1053" s="1399"/>
      <c r="CP1053" s="1399"/>
      <c r="CQ1053" s="1399"/>
      <c r="CR1053" s="1399"/>
      <c r="CS1053" s="1399"/>
      <c r="CT1053" s="1399"/>
      <c r="CU1053" s="1399"/>
      <c r="CV1053" s="1399"/>
      <c r="CW1053" s="1399"/>
      <c r="CX1053" s="1399"/>
      <c r="CY1053" s="1399"/>
      <c r="CZ1053" s="1399"/>
      <c r="DA1053" s="1399"/>
      <c r="DB1053" s="1399"/>
      <c r="DC1053" s="1399"/>
      <c r="DD1053" s="1399"/>
      <c r="DE1053" s="1399"/>
      <c r="DF1053" s="1399"/>
      <c r="DG1053" s="1399"/>
      <c r="DH1053" s="1399"/>
      <c r="DI1053" s="1399"/>
      <c r="DJ1053" s="1399"/>
      <c r="DK1053" s="1399"/>
      <c r="DL1053" s="1399"/>
      <c r="DM1053" s="1399"/>
      <c r="DN1053" s="1399"/>
      <c r="DO1053" s="1399"/>
      <c r="DP1053" s="1399"/>
      <c r="DQ1053" s="1399"/>
      <c r="DR1053" s="1399"/>
      <c r="DS1053" s="1399"/>
      <c r="DT1053" s="1399"/>
      <c r="DU1053" s="1399"/>
    </row>
    <row r="1054" spans="1:125">
      <c r="A1054" s="1414"/>
      <c r="B1054" s="1414"/>
      <c r="C1054" s="1414"/>
      <c r="D1054" s="1414"/>
      <c r="E1054" s="1414"/>
      <c r="F1054" s="1414"/>
      <c r="G1054" s="1414"/>
      <c r="H1054" s="1414"/>
      <c r="I1054" s="1414"/>
      <c r="J1054" s="1414"/>
      <c r="K1054" s="1414"/>
      <c r="L1054" s="1414"/>
      <c r="M1054" s="1414"/>
      <c r="N1054" s="1414"/>
      <c r="O1054" s="1414"/>
      <c r="P1054" s="1414"/>
      <c r="Q1054" s="1414"/>
      <c r="R1054" s="1414"/>
      <c r="S1054" s="1414"/>
      <c r="T1054" s="1414"/>
      <c r="U1054" s="1414"/>
      <c r="V1054" s="1414"/>
      <c r="W1054" s="1414"/>
      <c r="X1054" s="1414"/>
      <c r="Y1054" s="1414"/>
      <c r="Z1054" s="1414"/>
      <c r="AA1054" s="1414"/>
      <c r="AB1054" s="1414"/>
      <c r="AC1054" s="1414"/>
      <c r="AD1054" s="1414"/>
      <c r="AE1054" s="1414"/>
      <c r="AF1054" s="1414"/>
      <c r="AG1054" s="1414"/>
      <c r="AH1054" s="1414"/>
      <c r="AI1054" s="1414"/>
      <c r="AJ1054" s="1414"/>
      <c r="AK1054" s="1414"/>
      <c r="AL1054" s="1414"/>
      <c r="AM1054" s="1414"/>
      <c r="AN1054" s="1414"/>
      <c r="AO1054" s="1414"/>
      <c r="AP1054" s="1414"/>
      <c r="AQ1054" s="1414"/>
      <c r="AR1054" s="1414"/>
      <c r="AS1054" s="1414"/>
      <c r="AT1054" s="1414"/>
      <c r="AU1054" s="1414"/>
      <c r="AV1054" s="1414"/>
      <c r="AW1054" s="1414"/>
      <c r="AX1054" s="1414"/>
      <c r="AY1054" s="1399"/>
      <c r="AZ1054" s="1399"/>
      <c r="BA1054" s="1399"/>
      <c r="BB1054" s="1399"/>
      <c r="BC1054" s="1399"/>
      <c r="BD1054" s="1399"/>
      <c r="BE1054" s="1414"/>
      <c r="BF1054" s="1399"/>
      <c r="BG1054" s="1399"/>
      <c r="BH1054" s="1399"/>
      <c r="BI1054" s="1399"/>
      <c r="BJ1054" s="1399"/>
      <c r="BK1054" s="1399"/>
      <c r="BL1054" s="1399"/>
      <c r="BM1054" s="1399"/>
      <c r="BN1054" s="1399"/>
      <c r="BO1054" s="1399"/>
      <c r="BP1054" s="1399"/>
      <c r="BQ1054" s="1399"/>
      <c r="BR1054" s="1399"/>
      <c r="BS1054" s="1399"/>
      <c r="BT1054" s="1399"/>
      <c r="BU1054" s="1399"/>
      <c r="BV1054" s="1399"/>
      <c r="BW1054" s="1399"/>
      <c r="BX1054" s="1399"/>
      <c r="BY1054" s="1399"/>
      <c r="BZ1054" s="1399"/>
      <c r="CA1054" s="1399"/>
      <c r="CB1054" s="1399"/>
      <c r="CC1054" s="1399"/>
      <c r="CD1054" s="1399"/>
      <c r="CE1054" s="1399"/>
      <c r="CF1054" s="1399"/>
      <c r="CG1054" s="1399"/>
      <c r="CH1054" s="1399"/>
      <c r="CI1054" s="1399"/>
      <c r="CJ1054" s="1399"/>
      <c r="CK1054" s="1399"/>
      <c r="CL1054" s="1399"/>
      <c r="CM1054" s="1399"/>
      <c r="CN1054" s="1399"/>
      <c r="CO1054" s="1399"/>
      <c r="CP1054" s="1399"/>
      <c r="CQ1054" s="1399"/>
      <c r="CR1054" s="1399"/>
      <c r="CS1054" s="1399"/>
      <c r="CT1054" s="1399"/>
      <c r="CU1054" s="1399"/>
      <c r="CV1054" s="1399"/>
      <c r="CW1054" s="1399"/>
      <c r="CX1054" s="1399"/>
      <c r="CY1054" s="1399"/>
      <c r="CZ1054" s="1399"/>
      <c r="DA1054" s="1399"/>
      <c r="DB1054" s="1399"/>
      <c r="DC1054" s="1399"/>
      <c r="DD1054" s="1399"/>
      <c r="DE1054" s="1399"/>
      <c r="DF1054" s="1399"/>
      <c r="DG1054" s="1399"/>
      <c r="DH1054" s="1399"/>
      <c r="DI1054" s="1399"/>
      <c r="DJ1054" s="1399"/>
      <c r="DK1054" s="1399"/>
      <c r="DL1054" s="1399"/>
      <c r="DM1054" s="1399"/>
      <c r="DN1054" s="1399"/>
      <c r="DO1054" s="1399"/>
      <c r="DP1054" s="1399"/>
      <c r="DQ1054" s="1399"/>
      <c r="DR1054" s="1399"/>
      <c r="DS1054" s="1399"/>
      <c r="DT1054" s="1399"/>
      <c r="DU1054" s="1399"/>
    </row>
    <row r="1055" spans="1:125">
      <c r="A1055" s="1414"/>
      <c r="B1055" s="1414"/>
      <c r="C1055" s="1414"/>
      <c r="D1055" s="1414"/>
      <c r="E1055" s="1414"/>
      <c r="F1055" s="1414"/>
      <c r="G1055" s="1414"/>
      <c r="H1055" s="1414"/>
      <c r="I1055" s="1414"/>
      <c r="J1055" s="1414"/>
      <c r="K1055" s="1414"/>
      <c r="L1055" s="1414"/>
      <c r="M1055" s="1414"/>
      <c r="N1055" s="1414"/>
      <c r="O1055" s="1414"/>
      <c r="P1055" s="1414"/>
      <c r="Q1055" s="1414"/>
      <c r="R1055" s="1414"/>
      <c r="S1055" s="1414"/>
      <c r="T1055" s="1414"/>
      <c r="U1055" s="1414"/>
      <c r="V1055" s="1414"/>
      <c r="W1055" s="1414"/>
      <c r="X1055" s="1414"/>
      <c r="Y1055" s="1414"/>
      <c r="Z1055" s="1414"/>
      <c r="AA1055" s="1414"/>
      <c r="AB1055" s="1414"/>
      <c r="AC1055" s="1414"/>
      <c r="AD1055" s="1414"/>
      <c r="AE1055" s="1414"/>
      <c r="AF1055" s="1414"/>
      <c r="AG1055" s="1414"/>
      <c r="AH1055" s="1414"/>
      <c r="AI1055" s="1414"/>
      <c r="AJ1055" s="1414"/>
      <c r="AK1055" s="1414"/>
      <c r="AL1055" s="1414"/>
      <c r="AM1055" s="1414"/>
      <c r="AN1055" s="1414"/>
      <c r="AO1055" s="1414"/>
      <c r="AP1055" s="1414"/>
      <c r="AQ1055" s="1414"/>
      <c r="AR1055" s="1414"/>
      <c r="AS1055" s="1414"/>
      <c r="AT1055" s="1414"/>
      <c r="AU1055" s="1414"/>
      <c r="AV1055" s="1414"/>
      <c r="AW1055" s="1414"/>
      <c r="AX1055" s="1414"/>
      <c r="AY1055" s="1399"/>
      <c r="AZ1055" s="1399"/>
      <c r="BA1055" s="1399"/>
      <c r="BB1055" s="1399"/>
      <c r="BC1055" s="1399"/>
      <c r="BD1055" s="1399"/>
      <c r="BE1055" s="1414"/>
      <c r="BF1055" s="1399"/>
      <c r="BG1055" s="1399"/>
      <c r="BH1055" s="1399"/>
      <c r="BI1055" s="1399"/>
      <c r="BJ1055" s="1399"/>
      <c r="BK1055" s="1399"/>
      <c r="BL1055" s="1399"/>
      <c r="BM1055" s="1399"/>
      <c r="BN1055" s="1399"/>
      <c r="BO1055" s="1399"/>
      <c r="BP1055" s="1399"/>
      <c r="BQ1055" s="1399"/>
      <c r="BR1055" s="1399"/>
      <c r="BS1055" s="1399"/>
      <c r="BT1055" s="1399"/>
      <c r="BU1055" s="1399"/>
      <c r="BV1055" s="1399"/>
      <c r="BW1055" s="1399"/>
      <c r="BX1055" s="1399"/>
      <c r="BY1055" s="1399"/>
      <c r="BZ1055" s="1399"/>
      <c r="CA1055" s="1399"/>
      <c r="CB1055" s="1399"/>
      <c r="CC1055" s="1399"/>
      <c r="CD1055" s="1399"/>
      <c r="CE1055" s="1399"/>
      <c r="CF1055" s="1399"/>
      <c r="CG1055" s="1399"/>
      <c r="CH1055" s="1399"/>
      <c r="CI1055" s="1399"/>
      <c r="CJ1055" s="1399"/>
      <c r="CK1055" s="1399"/>
      <c r="CL1055" s="1399"/>
      <c r="CM1055" s="1399"/>
      <c r="CN1055" s="1399"/>
      <c r="CO1055" s="1399"/>
      <c r="CP1055" s="1399"/>
      <c r="CQ1055" s="1399"/>
      <c r="CR1055" s="1399"/>
      <c r="CS1055" s="1399"/>
      <c r="CT1055" s="1399"/>
      <c r="CU1055" s="1399"/>
      <c r="CV1055" s="1399"/>
      <c r="CW1055" s="1399"/>
      <c r="CX1055" s="1399"/>
      <c r="CY1055" s="1399"/>
      <c r="CZ1055" s="1399"/>
      <c r="DA1055" s="1399"/>
      <c r="DB1055" s="1399"/>
      <c r="DC1055" s="1399"/>
      <c r="DD1055" s="1399"/>
      <c r="DE1055" s="1399"/>
      <c r="DF1055" s="1399"/>
      <c r="DG1055" s="1399"/>
      <c r="DH1055" s="1399"/>
      <c r="DI1055" s="1399"/>
      <c r="DJ1055" s="1399"/>
      <c r="DK1055" s="1399"/>
      <c r="DL1055" s="1399"/>
      <c r="DM1055" s="1399"/>
      <c r="DN1055" s="1399"/>
      <c r="DO1055" s="1399"/>
      <c r="DP1055" s="1399"/>
      <c r="DQ1055" s="1399"/>
      <c r="DR1055" s="1399"/>
      <c r="DS1055" s="1399"/>
      <c r="DT1055" s="1399"/>
      <c r="DU1055" s="1399"/>
    </row>
    <row r="1056" spans="1:125">
      <c r="A1056" s="1414"/>
      <c r="B1056" s="1414"/>
      <c r="C1056" s="1414"/>
      <c r="D1056" s="1414"/>
      <c r="E1056" s="1414"/>
      <c r="F1056" s="1414"/>
      <c r="G1056" s="1414"/>
      <c r="H1056" s="1414"/>
      <c r="I1056" s="1414"/>
      <c r="J1056" s="1414"/>
      <c r="K1056" s="1414"/>
      <c r="L1056" s="1414"/>
      <c r="M1056" s="1414"/>
      <c r="N1056" s="1414"/>
      <c r="O1056" s="1414"/>
      <c r="P1056" s="1414"/>
      <c r="Q1056" s="1414"/>
      <c r="R1056" s="1414"/>
      <c r="S1056" s="1414"/>
      <c r="T1056" s="1414"/>
      <c r="U1056" s="1414"/>
      <c r="V1056" s="1414"/>
      <c r="W1056" s="1414"/>
      <c r="X1056" s="1414"/>
      <c r="Y1056" s="1414"/>
      <c r="Z1056" s="1414"/>
      <c r="AA1056" s="1414"/>
      <c r="AB1056" s="1414"/>
      <c r="AC1056" s="1414"/>
      <c r="AD1056" s="1414"/>
      <c r="AE1056" s="1414"/>
      <c r="AF1056" s="1414"/>
      <c r="AG1056" s="1414"/>
      <c r="AH1056" s="1414"/>
      <c r="AI1056" s="1414"/>
      <c r="AJ1056" s="1414"/>
      <c r="AK1056" s="1414"/>
      <c r="AL1056" s="1414"/>
      <c r="AM1056" s="1414"/>
      <c r="AN1056" s="1414"/>
      <c r="AO1056" s="1414"/>
      <c r="AP1056" s="1414"/>
      <c r="AQ1056" s="1414"/>
      <c r="AR1056" s="1414"/>
      <c r="AS1056" s="1414"/>
      <c r="AT1056" s="1414"/>
      <c r="AU1056" s="1414"/>
      <c r="AV1056" s="1414"/>
      <c r="AW1056" s="1414"/>
      <c r="AX1056" s="1414"/>
      <c r="AY1056" s="1399"/>
      <c r="AZ1056" s="1399"/>
      <c r="BA1056" s="1399"/>
      <c r="BB1056" s="1399"/>
      <c r="BC1056" s="1399"/>
      <c r="BD1056" s="1399"/>
      <c r="BE1056" s="1414"/>
      <c r="BF1056" s="1399"/>
      <c r="BG1056" s="1399"/>
      <c r="BH1056" s="1399"/>
      <c r="BI1056" s="1399"/>
      <c r="BJ1056" s="1399"/>
      <c r="BK1056" s="1399"/>
      <c r="BL1056" s="1399"/>
      <c r="BM1056" s="1399"/>
      <c r="BN1056" s="1399"/>
      <c r="BO1056" s="1399"/>
      <c r="BP1056" s="1399"/>
      <c r="BQ1056" s="1399"/>
      <c r="BR1056" s="1399"/>
      <c r="BS1056" s="1399"/>
      <c r="BT1056" s="1399"/>
      <c r="BU1056" s="1399"/>
      <c r="BV1056" s="1399"/>
      <c r="BW1056" s="1399"/>
      <c r="BX1056" s="1399"/>
      <c r="BY1056" s="1399"/>
      <c r="BZ1056" s="1399"/>
      <c r="CA1056" s="1399"/>
      <c r="CB1056" s="1399"/>
      <c r="CC1056" s="1399"/>
      <c r="CD1056" s="1399"/>
      <c r="CE1056" s="1399"/>
      <c r="CF1056" s="1399"/>
      <c r="CG1056" s="1399"/>
      <c r="CH1056" s="1399"/>
      <c r="CI1056" s="1399"/>
      <c r="CJ1056" s="1399"/>
      <c r="CK1056" s="1399"/>
      <c r="CL1056" s="1399"/>
      <c r="CM1056" s="1399"/>
      <c r="CN1056" s="1399"/>
      <c r="CO1056" s="1399"/>
      <c r="CP1056" s="1399"/>
      <c r="CQ1056" s="1399"/>
      <c r="CR1056" s="1399"/>
      <c r="CS1056" s="1399"/>
      <c r="CT1056" s="1399"/>
      <c r="CU1056" s="1399"/>
      <c r="CV1056" s="1399"/>
      <c r="CW1056" s="1399"/>
      <c r="CX1056" s="1399"/>
      <c r="CY1056" s="1399"/>
      <c r="CZ1056" s="1399"/>
      <c r="DA1056" s="1399"/>
      <c r="DB1056" s="1399"/>
      <c r="DC1056" s="1399"/>
      <c r="DD1056" s="1399"/>
      <c r="DE1056" s="1399"/>
      <c r="DF1056" s="1399"/>
      <c r="DG1056" s="1399"/>
      <c r="DH1056" s="1399"/>
      <c r="DI1056" s="1399"/>
      <c r="DJ1056" s="1399"/>
      <c r="DK1056" s="1399"/>
      <c r="DL1056" s="1399"/>
      <c r="DM1056" s="1399"/>
      <c r="DN1056" s="1399"/>
      <c r="DO1056" s="1399"/>
      <c r="DP1056" s="1399"/>
      <c r="DQ1056" s="1399"/>
      <c r="DR1056" s="1399"/>
      <c r="DS1056" s="1399"/>
      <c r="DT1056" s="1399"/>
      <c r="DU1056" s="1399"/>
    </row>
    <row r="1057" spans="1:125">
      <c r="A1057" s="1414"/>
      <c r="B1057" s="1414"/>
      <c r="C1057" s="1414"/>
      <c r="D1057" s="1414"/>
      <c r="E1057" s="1414"/>
      <c r="F1057" s="1414"/>
      <c r="G1057" s="1414"/>
      <c r="H1057" s="1414"/>
      <c r="I1057" s="1414"/>
      <c r="J1057" s="1414"/>
      <c r="K1057" s="1414"/>
      <c r="L1057" s="1414"/>
      <c r="M1057" s="1414"/>
      <c r="N1057" s="1414"/>
      <c r="O1057" s="1414"/>
      <c r="P1057" s="1414"/>
      <c r="Q1057" s="1414"/>
      <c r="R1057" s="1414"/>
      <c r="S1057" s="1414"/>
      <c r="T1057" s="1414"/>
      <c r="U1057" s="1414"/>
      <c r="V1057" s="1414"/>
      <c r="W1057" s="1414"/>
      <c r="X1057" s="1414"/>
      <c r="Y1057" s="1414"/>
      <c r="Z1057" s="1414"/>
      <c r="AA1057" s="1414"/>
      <c r="AB1057" s="1414"/>
      <c r="AC1057" s="1414"/>
      <c r="AD1057" s="1414"/>
      <c r="AE1057" s="1414"/>
      <c r="AF1057" s="1414"/>
      <c r="AG1057" s="1414"/>
      <c r="AH1057" s="1414"/>
      <c r="AI1057" s="1414"/>
      <c r="AJ1057" s="1414"/>
      <c r="AK1057" s="1414"/>
      <c r="AL1057" s="1414"/>
      <c r="AM1057" s="1414"/>
      <c r="AN1057" s="1414"/>
      <c r="AO1057" s="1414"/>
      <c r="AP1057" s="1414"/>
      <c r="AQ1057" s="1414"/>
      <c r="AR1057" s="1414"/>
      <c r="AS1057" s="1414"/>
      <c r="AT1057" s="1414"/>
      <c r="AU1057" s="1414"/>
      <c r="AV1057" s="1414"/>
      <c r="AW1057" s="1414"/>
      <c r="AX1057" s="1414"/>
      <c r="AY1057" s="1399"/>
      <c r="AZ1057" s="1399"/>
      <c r="BA1057" s="1399"/>
      <c r="BB1057" s="1399"/>
      <c r="BC1057" s="1399"/>
      <c r="BD1057" s="1399"/>
      <c r="BE1057" s="1414"/>
      <c r="BF1057" s="1399"/>
      <c r="BG1057" s="1399"/>
      <c r="BH1057" s="1399"/>
      <c r="BI1057" s="1399"/>
      <c r="BJ1057" s="1399"/>
      <c r="BK1057" s="1399"/>
      <c r="BL1057" s="1399"/>
      <c r="BM1057" s="1399"/>
      <c r="BN1057" s="1399"/>
      <c r="BO1057" s="1399"/>
      <c r="BP1057" s="1399"/>
      <c r="BQ1057" s="1399"/>
      <c r="BR1057" s="1399"/>
      <c r="BS1057" s="1399"/>
      <c r="BT1057" s="1399"/>
      <c r="BU1057" s="1399"/>
      <c r="BV1057" s="1399"/>
      <c r="BW1057" s="1399"/>
      <c r="BX1057" s="1399"/>
      <c r="BY1057" s="1399"/>
      <c r="BZ1057" s="1399"/>
      <c r="CA1057" s="1399"/>
      <c r="CB1057" s="1399"/>
      <c r="CC1057" s="1399"/>
      <c r="CD1057" s="1399"/>
      <c r="CE1057" s="1399"/>
      <c r="CF1057" s="1399"/>
      <c r="CG1057" s="1399"/>
      <c r="CH1057" s="1399"/>
      <c r="CI1057" s="1399"/>
      <c r="CJ1057" s="1399"/>
      <c r="CK1057" s="1399"/>
      <c r="CL1057" s="1399"/>
      <c r="CM1057" s="1399"/>
      <c r="CN1057" s="1399"/>
      <c r="CO1057" s="1399"/>
      <c r="CP1057" s="1399"/>
      <c r="CQ1057" s="1399"/>
      <c r="CR1057" s="1399"/>
      <c r="CS1057" s="1399"/>
      <c r="CT1057" s="1399"/>
      <c r="CU1057" s="1399"/>
      <c r="CV1057" s="1399"/>
      <c r="CW1057" s="1399"/>
      <c r="CX1057" s="1399"/>
      <c r="CY1057" s="1399"/>
      <c r="CZ1057" s="1399"/>
      <c r="DA1057" s="1399"/>
      <c r="DB1057" s="1399"/>
      <c r="DC1057" s="1399"/>
      <c r="DD1057" s="1399"/>
      <c r="DE1057" s="1399"/>
      <c r="DF1057" s="1399"/>
      <c r="DG1057" s="1399"/>
      <c r="DH1057" s="1399"/>
      <c r="DI1057" s="1399"/>
      <c r="DJ1057" s="1399"/>
      <c r="DK1057" s="1399"/>
      <c r="DL1057" s="1399"/>
      <c r="DM1057" s="1399"/>
      <c r="DN1057" s="1399"/>
      <c r="DO1057" s="1399"/>
      <c r="DP1057" s="1399"/>
      <c r="DQ1057" s="1399"/>
      <c r="DR1057" s="1399"/>
      <c r="DS1057" s="1399"/>
      <c r="DT1057" s="1399"/>
      <c r="DU1057" s="1399"/>
    </row>
    <row r="1058" spans="1:125">
      <c r="A1058" s="1414"/>
      <c r="B1058" s="1414"/>
      <c r="C1058" s="1414"/>
      <c r="D1058" s="1414"/>
      <c r="E1058" s="1414"/>
      <c r="F1058" s="1414"/>
      <c r="G1058" s="1414"/>
      <c r="H1058" s="1414"/>
      <c r="I1058" s="1414"/>
      <c r="J1058" s="1414"/>
      <c r="K1058" s="1414"/>
      <c r="L1058" s="1414"/>
      <c r="M1058" s="1414"/>
      <c r="N1058" s="1414"/>
      <c r="O1058" s="1414"/>
      <c r="P1058" s="1414"/>
      <c r="Q1058" s="1414"/>
      <c r="R1058" s="1414"/>
      <c r="S1058" s="1414"/>
      <c r="T1058" s="1414"/>
      <c r="U1058" s="1414"/>
      <c r="V1058" s="1414"/>
      <c r="W1058" s="1414"/>
      <c r="X1058" s="1414"/>
      <c r="Y1058" s="1414"/>
      <c r="Z1058" s="1414"/>
      <c r="AA1058" s="1414"/>
      <c r="AB1058" s="1414"/>
      <c r="AC1058" s="1414"/>
      <c r="AD1058" s="1414"/>
      <c r="AE1058" s="1414"/>
      <c r="AF1058" s="1414"/>
      <c r="AG1058" s="1414"/>
      <c r="AH1058" s="1414"/>
      <c r="AI1058" s="1414"/>
      <c r="AJ1058" s="1414"/>
      <c r="AK1058" s="1414"/>
      <c r="AL1058" s="1414"/>
      <c r="AM1058" s="1414"/>
      <c r="AN1058" s="1414"/>
      <c r="AO1058" s="1414"/>
      <c r="AP1058" s="1414"/>
      <c r="AQ1058" s="1414"/>
      <c r="AR1058" s="1414"/>
      <c r="AS1058" s="1414"/>
      <c r="AT1058" s="1414"/>
      <c r="AU1058" s="1414"/>
      <c r="AV1058" s="1414"/>
      <c r="AW1058" s="1414"/>
      <c r="AX1058" s="1414"/>
      <c r="AY1058" s="1399"/>
      <c r="AZ1058" s="1399"/>
      <c r="BA1058" s="1399"/>
      <c r="BB1058" s="1399"/>
      <c r="BC1058" s="1399"/>
      <c r="BD1058" s="1399"/>
      <c r="BE1058" s="1414"/>
      <c r="BF1058" s="1399"/>
      <c r="BG1058" s="1399"/>
      <c r="BH1058" s="1399"/>
      <c r="BI1058" s="1399"/>
      <c r="BJ1058" s="1399"/>
      <c r="BK1058" s="1399"/>
      <c r="BL1058" s="1399"/>
      <c r="BM1058" s="1399"/>
      <c r="BN1058" s="1399"/>
      <c r="BO1058" s="1399"/>
      <c r="BP1058" s="1399"/>
      <c r="BQ1058" s="1399"/>
      <c r="BR1058" s="1399"/>
      <c r="BS1058" s="1399"/>
      <c r="BT1058" s="1399"/>
      <c r="BU1058" s="1399"/>
      <c r="BV1058" s="1399"/>
      <c r="BW1058" s="1399"/>
      <c r="BX1058" s="1399"/>
      <c r="BY1058" s="1399"/>
      <c r="BZ1058" s="1399"/>
      <c r="CA1058" s="1399"/>
      <c r="CB1058" s="1399"/>
      <c r="CC1058" s="1399"/>
      <c r="CD1058" s="1399"/>
      <c r="CE1058" s="1399"/>
      <c r="CF1058" s="1399"/>
      <c r="CG1058" s="1399"/>
      <c r="CH1058" s="1399"/>
      <c r="CI1058" s="1399"/>
      <c r="CJ1058" s="1399"/>
      <c r="CK1058" s="1399"/>
      <c r="CL1058" s="1399"/>
      <c r="CM1058" s="1399"/>
      <c r="CN1058" s="1399"/>
      <c r="CO1058" s="1399"/>
      <c r="CP1058" s="1399"/>
      <c r="CQ1058" s="1399"/>
      <c r="CR1058" s="1399"/>
      <c r="CS1058" s="1399"/>
      <c r="CT1058" s="1399"/>
      <c r="CU1058" s="1399"/>
      <c r="CV1058" s="1399"/>
      <c r="CW1058" s="1399"/>
      <c r="CX1058" s="1399"/>
      <c r="CY1058" s="1399"/>
      <c r="CZ1058" s="1399"/>
      <c r="DA1058" s="1399"/>
      <c r="DB1058" s="1399"/>
      <c r="DC1058" s="1399"/>
      <c r="DD1058" s="1399"/>
      <c r="DE1058" s="1399"/>
      <c r="DF1058" s="1399"/>
      <c r="DG1058" s="1399"/>
      <c r="DH1058" s="1399"/>
      <c r="DI1058" s="1399"/>
      <c r="DJ1058" s="1399"/>
      <c r="DK1058" s="1399"/>
      <c r="DL1058" s="1399"/>
      <c r="DM1058" s="1399"/>
      <c r="DN1058" s="1399"/>
      <c r="DO1058" s="1399"/>
      <c r="DP1058" s="1399"/>
      <c r="DQ1058" s="1399"/>
      <c r="DR1058" s="1399"/>
      <c r="DS1058" s="1399"/>
      <c r="DT1058" s="1399"/>
      <c r="DU1058" s="1399"/>
    </row>
    <row r="1059" spans="1:125">
      <c r="A1059" s="1414"/>
      <c r="B1059" s="1414"/>
      <c r="C1059" s="1414"/>
      <c r="D1059" s="1414"/>
      <c r="E1059" s="1414"/>
      <c r="F1059" s="1414"/>
      <c r="G1059" s="1414"/>
      <c r="H1059" s="1414"/>
      <c r="I1059" s="1414"/>
      <c r="J1059" s="1414"/>
      <c r="K1059" s="1414"/>
      <c r="L1059" s="1414"/>
      <c r="M1059" s="1414"/>
      <c r="N1059" s="1414"/>
      <c r="O1059" s="1414"/>
      <c r="P1059" s="1414"/>
      <c r="Q1059" s="1414"/>
      <c r="R1059" s="1414"/>
      <c r="S1059" s="1414"/>
      <c r="T1059" s="1414"/>
      <c r="U1059" s="1414"/>
      <c r="V1059" s="1414"/>
      <c r="W1059" s="1414"/>
      <c r="X1059" s="1414"/>
      <c r="Y1059" s="1414"/>
      <c r="Z1059" s="1414"/>
      <c r="AA1059" s="1414"/>
      <c r="AB1059" s="1414"/>
      <c r="AC1059" s="1414"/>
      <c r="AD1059" s="1414"/>
      <c r="AE1059" s="1414"/>
      <c r="AF1059" s="1414"/>
      <c r="AG1059" s="1414"/>
      <c r="AH1059" s="1414"/>
      <c r="AI1059" s="1414"/>
      <c r="AJ1059" s="1414"/>
      <c r="AK1059" s="1414"/>
      <c r="AL1059" s="1414"/>
      <c r="AM1059" s="1414"/>
      <c r="AN1059" s="1414"/>
      <c r="AO1059" s="1414"/>
      <c r="AP1059" s="1414"/>
      <c r="AQ1059" s="1414"/>
      <c r="AR1059" s="1414"/>
      <c r="AS1059" s="1414"/>
      <c r="AT1059" s="1414"/>
      <c r="AU1059" s="1414"/>
      <c r="AV1059" s="1414"/>
      <c r="AW1059" s="1414"/>
      <c r="AX1059" s="1414"/>
      <c r="AY1059" s="1399"/>
      <c r="AZ1059" s="1399"/>
      <c r="BA1059" s="1399"/>
      <c r="BB1059" s="1399"/>
      <c r="BC1059" s="1399"/>
      <c r="BD1059" s="1399"/>
      <c r="BE1059" s="1414"/>
      <c r="BF1059" s="1399"/>
      <c r="BG1059" s="1399"/>
      <c r="BH1059" s="1399"/>
      <c r="BI1059" s="1399"/>
      <c r="BJ1059" s="1399"/>
      <c r="BK1059" s="1399"/>
      <c r="BL1059" s="1399"/>
      <c r="BM1059" s="1399"/>
      <c r="BN1059" s="1399"/>
      <c r="BO1059" s="1399"/>
      <c r="BP1059" s="1399"/>
      <c r="BQ1059" s="1399"/>
      <c r="BR1059" s="1399"/>
      <c r="BS1059" s="1399"/>
      <c r="BT1059" s="1399"/>
      <c r="BU1059" s="1399"/>
      <c r="BV1059" s="1399"/>
      <c r="BW1059" s="1399"/>
      <c r="BX1059" s="1399"/>
      <c r="BY1059" s="1399"/>
      <c r="BZ1059" s="1399"/>
      <c r="CA1059" s="1399"/>
      <c r="CB1059" s="1399"/>
      <c r="CC1059" s="1399"/>
      <c r="CD1059" s="1399"/>
      <c r="CE1059" s="1399"/>
      <c r="CF1059" s="1399"/>
      <c r="CG1059" s="1399"/>
      <c r="CH1059" s="1399"/>
      <c r="CI1059" s="1399"/>
      <c r="CJ1059" s="1399"/>
      <c r="CK1059" s="1399"/>
      <c r="CL1059" s="1399"/>
      <c r="CM1059" s="1399"/>
      <c r="CN1059" s="1399"/>
      <c r="CO1059" s="1399"/>
      <c r="CP1059" s="1399"/>
      <c r="CQ1059" s="1399"/>
      <c r="CR1059" s="1399"/>
      <c r="CS1059" s="1399"/>
      <c r="CT1059" s="1399"/>
      <c r="CU1059" s="1399"/>
      <c r="CV1059" s="1399"/>
      <c r="CW1059" s="1399"/>
      <c r="CX1059" s="1399"/>
      <c r="CY1059" s="1399"/>
      <c r="CZ1059" s="1399"/>
      <c r="DA1059" s="1399"/>
      <c r="DB1059" s="1399"/>
      <c r="DC1059" s="1399"/>
      <c r="DD1059" s="1399"/>
      <c r="DE1059" s="1399"/>
      <c r="DF1059" s="1399"/>
      <c r="DG1059" s="1399"/>
      <c r="DH1059" s="1399"/>
      <c r="DI1059" s="1399"/>
      <c r="DJ1059" s="1399"/>
      <c r="DK1059" s="1399"/>
      <c r="DL1059" s="1399"/>
      <c r="DM1059" s="1399"/>
      <c r="DN1059" s="1399"/>
      <c r="DO1059" s="1399"/>
      <c r="DP1059" s="1399"/>
      <c r="DQ1059" s="1399"/>
      <c r="DR1059" s="1399"/>
      <c r="DS1059" s="1399"/>
      <c r="DT1059" s="1399"/>
      <c r="DU1059" s="1399"/>
    </row>
    <row r="1060" spans="1:125">
      <c r="A1060" s="1414"/>
      <c r="B1060" s="1414"/>
      <c r="C1060" s="1414"/>
      <c r="D1060" s="1414"/>
      <c r="E1060" s="1414"/>
      <c r="F1060" s="1414"/>
      <c r="G1060" s="1414"/>
      <c r="H1060" s="1414"/>
      <c r="I1060" s="1414"/>
      <c r="J1060" s="1414"/>
      <c r="K1060" s="1414"/>
      <c r="L1060" s="1414"/>
      <c r="M1060" s="1414"/>
      <c r="N1060" s="1414"/>
      <c r="O1060" s="1414"/>
      <c r="P1060" s="1414"/>
      <c r="Q1060" s="1414"/>
      <c r="R1060" s="1414"/>
      <c r="S1060" s="1414"/>
      <c r="T1060" s="1414"/>
      <c r="U1060" s="1414"/>
      <c r="V1060" s="1414"/>
      <c r="W1060" s="1414"/>
      <c r="X1060" s="1414"/>
      <c r="Y1060" s="1414"/>
      <c r="Z1060" s="1414"/>
      <c r="AA1060" s="1414"/>
      <c r="AB1060" s="1414"/>
      <c r="AC1060" s="1414"/>
      <c r="AD1060" s="1414"/>
      <c r="AE1060" s="1414"/>
      <c r="AF1060" s="1414"/>
      <c r="AG1060" s="1414"/>
      <c r="AH1060" s="1414"/>
      <c r="AI1060" s="1414"/>
      <c r="AJ1060" s="1414"/>
      <c r="AK1060" s="1414"/>
      <c r="AL1060" s="1414"/>
      <c r="AM1060" s="1414"/>
      <c r="AN1060" s="1414"/>
      <c r="AO1060" s="1414"/>
      <c r="AP1060" s="1414"/>
      <c r="AQ1060" s="1414"/>
      <c r="AR1060" s="1414"/>
      <c r="AS1060" s="1414"/>
      <c r="AT1060" s="1414"/>
      <c r="AU1060" s="1414"/>
      <c r="AV1060" s="1414"/>
      <c r="AW1060" s="1414"/>
      <c r="AX1060" s="1414"/>
      <c r="AY1060" s="1399"/>
      <c r="AZ1060" s="1399"/>
      <c r="BA1060" s="1399"/>
      <c r="BB1060" s="1399"/>
      <c r="BC1060" s="1399"/>
      <c r="BD1060" s="1399"/>
      <c r="BE1060" s="1414"/>
      <c r="BF1060" s="1399"/>
      <c r="BG1060" s="1399"/>
      <c r="BH1060" s="1399"/>
      <c r="BI1060" s="1399"/>
      <c r="BJ1060" s="1399"/>
      <c r="BK1060" s="1399"/>
      <c r="BL1060" s="1399"/>
      <c r="BM1060" s="1399"/>
      <c r="BN1060" s="1399"/>
      <c r="BO1060" s="1399"/>
      <c r="BP1060" s="1399"/>
      <c r="BQ1060" s="1399"/>
      <c r="BR1060" s="1399"/>
      <c r="BS1060" s="1399"/>
      <c r="BT1060" s="1399"/>
      <c r="BU1060" s="1399"/>
      <c r="BV1060" s="1399"/>
      <c r="BW1060" s="1399"/>
      <c r="BX1060" s="1399"/>
      <c r="BY1060" s="1399"/>
      <c r="BZ1060" s="1399"/>
      <c r="CA1060" s="1399"/>
      <c r="CB1060" s="1399"/>
      <c r="CC1060" s="1399"/>
      <c r="CD1060" s="1399"/>
      <c r="CE1060" s="1399"/>
      <c r="CF1060" s="1399"/>
      <c r="CG1060" s="1399"/>
      <c r="CH1060" s="1399"/>
      <c r="CI1060" s="1399"/>
      <c r="CJ1060" s="1399"/>
      <c r="CK1060" s="1399"/>
      <c r="CL1060" s="1399"/>
      <c r="CM1060" s="1399"/>
      <c r="CN1060" s="1399"/>
      <c r="CO1060" s="1399"/>
      <c r="CP1060" s="1399"/>
      <c r="CQ1060" s="1399"/>
      <c r="CR1060" s="1399"/>
      <c r="CS1060" s="1399"/>
      <c r="CT1060" s="1399"/>
      <c r="CU1060" s="1399"/>
      <c r="CV1060" s="1399"/>
      <c r="CW1060" s="1399"/>
      <c r="CX1060" s="1399"/>
      <c r="CY1060" s="1399"/>
      <c r="CZ1060" s="1399"/>
      <c r="DA1060" s="1399"/>
      <c r="DB1060" s="1399"/>
      <c r="DC1060" s="1399"/>
      <c r="DD1060" s="1399"/>
      <c r="DE1060" s="1399"/>
      <c r="DF1060" s="1399"/>
      <c r="DG1060" s="1399"/>
      <c r="DH1060" s="1399"/>
      <c r="DI1060" s="1399"/>
      <c r="DJ1060" s="1399"/>
      <c r="DK1060" s="1399"/>
      <c r="DL1060" s="1399"/>
      <c r="DM1060" s="1399"/>
      <c r="DN1060" s="1399"/>
      <c r="DO1060" s="1399"/>
      <c r="DP1060" s="1399"/>
      <c r="DQ1060" s="1399"/>
      <c r="DR1060" s="1399"/>
      <c r="DS1060" s="1399"/>
      <c r="DT1060" s="1399"/>
      <c r="DU1060" s="1399"/>
    </row>
    <row r="1061" spans="1:125">
      <c r="A1061" s="1414"/>
      <c r="B1061" s="1414"/>
      <c r="C1061" s="1414"/>
      <c r="D1061" s="1414"/>
      <c r="E1061" s="1414"/>
      <c r="F1061" s="1414"/>
      <c r="G1061" s="1414"/>
      <c r="H1061" s="1414"/>
      <c r="I1061" s="1414"/>
      <c r="J1061" s="1414"/>
      <c r="K1061" s="1414"/>
      <c r="L1061" s="1414"/>
      <c r="M1061" s="1414"/>
      <c r="N1061" s="1414"/>
      <c r="O1061" s="1414"/>
      <c r="P1061" s="1414"/>
      <c r="Q1061" s="1414"/>
      <c r="R1061" s="1414"/>
      <c r="S1061" s="1414"/>
      <c r="T1061" s="1414"/>
      <c r="U1061" s="1414"/>
      <c r="V1061" s="1414"/>
      <c r="W1061" s="1414"/>
      <c r="X1061" s="1414"/>
      <c r="Y1061" s="1414"/>
      <c r="Z1061" s="1414"/>
      <c r="AA1061" s="1414"/>
      <c r="AB1061" s="1414"/>
      <c r="AC1061" s="1414"/>
      <c r="AD1061" s="1414"/>
      <c r="AE1061" s="1414"/>
      <c r="AF1061" s="1414"/>
      <c r="AG1061" s="1414"/>
      <c r="AH1061" s="1414"/>
      <c r="AI1061" s="1414"/>
      <c r="AJ1061" s="1414"/>
      <c r="AK1061" s="1414"/>
      <c r="AL1061" s="1414"/>
      <c r="AM1061" s="1414"/>
      <c r="AN1061" s="1414"/>
      <c r="AO1061" s="1414"/>
      <c r="AP1061" s="1414"/>
      <c r="AQ1061" s="1414"/>
      <c r="AR1061" s="1414"/>
      <c r="AS1061" s="1414"/>
      <c r="AT1061" s="1414"/>
      <c r="AU1061" s="1414"/>
      <c r="AV1061" s="1414"/>
      <c r="AW1061" s="1414"/>
      <c r="AX1061" s="1414"/>
      <c r="AY1061" s="1399"/>
      <c r="AZ1061" s="1399"/>
      <c r="BA1061" s="1399"/>
      <c r="BB1061" s="1399"/>
      <c r="BC1061" s="1399"/>
      <c r="BD1061" s="1399"/>
      <c r="BE1061" s="1414"/>
      <c r="BF1061" s="1399"/>
      <c r="BG1061" s="1399"/>
      <c r="BH1061" s="1399"/>
      <c r="BI1061" s="1399"/>
      <c r="BJ1061" s="1399"/>
      <c r="BK1061" s="1399"/>
      <c r="BL1061" s="1399"/>
      <c r="BM1061" s="1399"/>
      <c r="BN1061" s="1399"/>
      <c r="BO1061" s="1399"/>
      <c r="BP1061" s="1399"/>
      <c r="BQ1061" s="1399"/>
      <c r="BR1061" s="1399"/>
      <c r="BS1061" s="1399"/>
      <c r="BT1061" s="1399"/>
      <c r="BU1061" s="1399"/>
      <c r="BV1061" s="1399"/>
      <c r="BW1061" s="1399"/>
      <c r="BX1061" s="1399"/>
      <c r="BY1061" s="1399"/>
      <c r="BZ1061" s="1399"/>
      <c r="CA1061" s="1399"/>
      <c r="CB1061" s="1399"/>
      <c r="CC1061" s="1399"/>
      <c r="CD1061" s="1399"/>
      <c r="CE1061" s="1399"/>
      <c r="CF1061" s="1399"/>
      <c r="CG1061" s="1399"/>
      <c r="CH1061" s="1399"/>
      <c r="CI1061" s="1399"/>
      <c r="CJ1061" s="1399"/>
      <c r="CK1061" s="1399"/>
      <c r="CL1061" s="1399"/>
      <c r="CM1061" s="1399"/>
      <c r="CN1061" s="1399"/>
      <c r="CO1061" s="1399"/>
      <c r="CP1061" s="1399"/>
      <c r="CQ1061" s="1399"/>
      <c r="CR1061" s="1399"/>
      <c r="CS1061" s="1399"/>
      <c r="CT1061" s="1399"/>
      <c r="CU1061" s="1399"/>
      <c r="CV1061" s="1399"/>
      <c r="CW1061" s="1399"/>
      <c r="CX1061" s="1399"/>
      <c r="CY1061" s="1399"/>
      <c r="CZ1061" s="1399"/>
      <c r="DA1061" s="1399"/>
      <c r="DB1061" s="1399"/>
      <c r="DC1061" s="1399"/>
      <c r="DD1061" s="1399"/>
      <c r="DE1061" s="1399"/>
      <c r="DF1061" s="1399"/>
      <c r="DG1061" s="1399"/>
      <c r="DH1061" s="1399"/>
      <c r="DI1061" s="1399"/>
      <c r="DJ1061" s="1399"/>
      <c r="DK1061" s="1399"/>
      <c r="DL1061" s="1399"/>
      <c r="DM1061" s="1399"/>
      <c r="DN1061" s="1399"/>
      <c r="DO1061" s="1399"/>
      <c r="DP1061" s="1399"/>
      <c r="DQ1061" s="1399"/>
      <c r="DR1061" s="1399"/>
      <c r="DS1061" s="1399"/>
      <c r="DT1061" s="1399"/>
      <c r="DU1061" s="1399"/>
    </row>
    <row r="1062" spans="1:125">
      <c r="A1062" s="1414"/>
      <c r="B1062" s="1414"/>
      <c r="C1062" s="1414"/>
      <c r="D1062" s="1414"/>
      <c r="E1062" s="1414"/>
      <c r="F1062" s="1414"/>
      <c r="G1062" s="1414"/>
      <c r="H1062" s="1414"/>
      <c r="I1062" s="1414"/>
      <c r="J1062" s="1414"/>
      <c r="K1062" s="1414"/>
      <c r="L1062" s="1414"/>
      <c r="M1062" s="1414"/>
      <c r="N1062" s="1414"/>
      <c r="O1062" s="1414"/>
      <c r="P1062" s="1414"/>
      <c r="Q1062" s="1414"/>
      <c r="R1062" s="1414"/>
      <c r="S1062" s="1414"/>
      <c r="T1062" s="1414"/>
      <c r="U1062" s="1414"/>
      <c r="V1062" s="1414"/>
      <c r="W1062" s="1414"/>
      <c r="X1062" s="1414"/>
      <c r="Y1062" s="1414"/>
      <c r="Z1062" s="1414"/>
      <c r="AA1062" s="1414"/>
      <c r="AB1062" s="1414"/>
      <c r="AC1062" s="1414"/>
      <c r="AD1062" s="1414"/>
      <c r="AE1062" s="1414"/>
      <c r="AF1062" s="1414"/>
      <c r="AG1062" s="1414"/>
      <c r="AH1062" s="1414"/>
      <c r="AI1062" s="1414"/>
      <c r="AJ1062" s="1414"/>
      <c r="AK1062" s="1414"/>
      <c r="AL1062" s="1414"/>
      <c r="AM1062" s="1414"/>
      <c r="AN1062" s="1414"/>
      <c r="AO1062" s="1414"/>
      <c r="AP1062" s="1414"/>
      <c r="AQ1062" s="1414"/>
      <c r="AR1062" s="1414"/>
      <c r="AS1062" s="1414"/>
      <c r="AT1062" s="1414"/>
      <c r="AU1062" s="1414"/>
      <c r="AV1062" s="1414"/>
      <c r="AW1062" s="1414"/>
      <c r="AX1062" s="1414"/>
      <c r="AY1062" s="1399"/>
      <c r="AZ1062" s="1399"/>
      <c r="BA1062" s="1399"/>
      <c r="BB1062" s="1399"/>
      <c r="BC1062" s="1399"/>
      <c r="BD1062" s="1399"/>
      <c r="BE1062" s="1414"/>
      <c r="BF1062" s="1399"/>
      <c r="BG1062" s="1399"/>
      <c r="BH1062" s="1399"/>
      <c r="BI1062" s="1399"/>
      <c r="BJ1062" s="1399"/>
      <c r="BK1062" s="1399"/>
      <c r="BL1062" s="1399"/>
      <c r="BM1062" s="1399"/>
      <c r="BN1062" s="1399"/>
      <c r="BO1062" s="1399"/>
      <c r="BP1062" s="1399"/>
      <c r="BQ1062" s="1399"/>
      <c r="BR1062" s="1399"/>
      <c r="BS1062" s="1399"/>
      <c r="BT1062" s="1399"/>
      <c r="BU1062" s="1399"/>
      <c r="BV1062" s="1399"/>
      <c r="BW1062" s="1399"/>
      <c r="BX1062" s="1399"/>
      <c r="BY1062" s="1399"/>
      <c r="BZ1062" s="1399"/>
      <c r="CA1062" s="1399"/>
      <c r="CB1062" s="1399"/>
      <c r="CC1062" s="1399"/>
      <c r="CD1062" s="1399"/>
      <c r="CE1062" s="1399"/>
      <c r="CF1062" s="1399"/>
      <c r="CG1062" s="1399"/>
      <c r="CH1062" s="1399"/>
      <c r="CI1062" s="1399"/>
      <c r="CJ1062" s="1399"/>
      <c r="CK1062" s="1399"/>
      <c r="CL1062" s="1399"/>
      <c r="CM1062" s="1399"/>
      <c r="CN1062" s="1399"/>
      <c r="CO1062" s="1399"/>
      <c r="CP1062" s="1399"/>
      <c r="CQ1062" s="1399"/>
      <c r="CR1062" s="1399"/>
      <c r="CS1062" s="1399"/>
      <c r="CT1062" s="1399"/>
      <c r="CU1062" s="1399"/>
      <c r="CV1062" s="1399"/>
      <c r="CW1062" s="1399"/>
      <c r="CX1062" s="1399"/>
      <c r="CY1062" s="1399"/>
      <c r="CZ1062" s="1399"/>
      <c r="DA1062" s="1399"/>
      <c r="DB1062" s="1399"/>
      <c r="DC1062" s="1399"/>
      <c r="DD1062" s="1399"/>
      <c r="DE1062" s="1399"/>
      <c r="DF1062" s="1399"/>
      <c r="DG1062" s="1399"/>
      <c r="DH1062" s="1399"/>
      <c r="DI1062" s="1399"/>
      <c r="DJ1062" s="1399"/>
      <c r="DK1062" s="1399"/>
      <c r="DL1062" s="1399"/>
      <c r="DM1062" s="1399"/>
      <c r="DN1062" s="1399"/>
      <c r="DO1062" s="1399"/>
      <c r="DP1062" s="1399"/>
      <c r="DQ1062" s="1399"/>
      <c r="DR1062" s="1399"/>
      <c r="DS1062" s="1399"/>
      <c r="DT1062" s="1399"/>
      <c r="DU1062" s="1399"/>
    </row>
    <row r="1063" spans="1:125">
      <c r="A1063" s="1414"/>
      <c r="B1063" s="1414"/>
      <c r="C1063" s="1414"/>
      <c r="D1063" s="1414"/>
      <c r="E1063" s="1414"/>
      <c r="F1063" s="1414"/>
      <c r="G1063" s="1414"/>
      <c r="H1063" s="1414"/>
      <c r="I1063" s="1414"/>
      <c r="J1063" s="1414"/>
      <c r="K1063" s="1414"/>
      <c r="L1063" s="1414"/>
      <c r="M1063" s="1414"/>
      <c r="N1063" s="1414"/>
      <c r="O1063" s="1414"/>
      <c r="P1063" s="1414"/>
      <c r="Q1063" s="1414"/>
      <c r="R1063" s="1414"/>
      <c r="S1063" s="1414"/>
      <c r="T1063" s="1414"/>
      <c r="U1063" s="1414"/>
      <c r="V1063" s="1414"/>
      <c r="W1063" s="1414"/>
      <c r="X1063" s="1414"/>
      <c r="Y1063" s="1414"/>
      <c r="Z1063" s="1414"/>
      <c r="AA1063" s="1414"/>
      <c r="AB1063" s="1414"/>
      <c r="AC1063" s="1414"/>
      <c r="AD1063" s="1414"/>
      <c r="AE1063" s="1414"/>
      <c r="AF1063" s="1414"/>
      <c r="AG1063" s="1414"/>
      <c r="AH1063" s="1414"/>
      <c r="AI1063" s="1414"/>
      <c r="AJ1063" s="1414"/>
      <c r="AK1063" s="1414"/>
      <c r="AL1063" s="1414"/>
      <c r="AM1063" s="1414"/>
      <c r="AN1063" s="1414"/>
      <c r="AO1063" s="1414"/>
      <c r="AP1063" s="1414"/>
      <c r="AQ1063" s="1414"/>
      <c r="AR1063" s="1414"/>
      <c r="AS1063" s="1414"/>
      <c r="AT1063" s="1414"/>
      <c r="AU1063" s="1414"/>
      <c r="AV1063" s="1414"/>
      <c r="AW1063" s="1414"/>
      <c r="AX1063" s="1414"/>
      <c r="AY1063" s="1399"/>
      <c r="AZ1063" s="1399"/>
      <c r="BA1063" s="1399"/>
      <c r="BB1063" s="1399"/>
      <c r="BC1063" s="1399"/>
      <c r="BD1063" s="1399"/>
      <c r="BE1063" s="1414"/>
      <c r="BF1063" s="1399"/>
      <c r="BG1063" s="1399"/>
      <c r="BH1063" s="1399"/>
      <c r="BI1063" s="1399"/>
      <c r="BJ1063" s="1399"/>
      <c r="BK1063" s="1399"/>
      <c r="BL1063" s="1399"/>
      <c r="BM1063" s="1399"/>
      <c r="BN1063" s="1399"/>
      <c r="BO1063" s="1399"/>
      <c r="BP1063" s="1399"/>
      <c r="BQ1063" s="1399"/>
      <c r="BR1063" s="1399"/>
      <c r="BS1063" s="1399"/>
      <c r="BT1063" s="1399"/>
      <c r="BU1063" s="1399"/>
      <c r="BV1063" s="1399"/>
      <c r="BW1063" s="1399"/>
      <c r="BX1063" s="1399"/>
      <c r="BY1063" s="1399"/>
      <c r="BZ1063" s="1399"/>
      <c r="CA1063" s="1399"/>
      <c r="CB1063" s="1399"/>
      <c r="CC1063" s="1399"/>
      <c r="CD1063" s="1399"/>
      <c r="CE1063" s="1399"/>
      <c r="CF1063" s="1399"/>
      <c r="CG1063" s="1399"/>
      <c r="CH1063" s="1399"/>
      <c r="CI1063" s="1399"/>
      <c r="CJ1063" s="1399"/>
      <c r="CK1063" s="1399"/>
      <c r="CL1063" s="1399"/>
      <c r="CM1063" s="1399"/>
      <c r="CN1063" s="1399"/>
      <c r="CO1063" s="1399"/>
      <c r="CP1063" s="1399"/>
      <c r="CQ1063" s="1399"/>
      <c r="CR1063" s="1399"/>
      <c r="CS1063" s="1399"/>
      <c r="CT1063" s="1399"/>
      <c r="CU1063" s="1399"/>
      <c r="CV1063" s="1399"/>
      <c r="CW1063" s="1399"/>
      <c r="CX1063" s="1399"/>
      <c r="CY1063" s="1399"/>
      <c r="CZ1063" s="1399"/>
      <c r="DA1063" s="1399"/>
      <c r="DB1063" s="1399"/>
      <c r="DC1063" s="1399"/>
      <c r="DD1063" s="1399"/>
      <c r="DE1063" s="1399"/>
      <c r="DF1063" s="1399"/>
      <c r="DG1063" s="1399"/>
      <c r="DH1063" s="1399"/>
      <c r="DI1063" s="1399"/>
      <c r="DJ1063" s="1399"/>
      <c r="DK1063" s="1399"/>
      <c r="DL1063" s="1399"/>
      <c r="DM1063" s="1399"/>
      <c r="DN1063" s="1399"/>
      <c r="DO1063" s="1399"/>
      <c r="DP1063" s="1399"/>
      <c r="DQ1063" s="1399"/>
      <c r="DR1063" s="1399"/>
      <c r="DS1063" s="1399"/>
      <c r="DT1063" s="1399"/>
      <c r="DU1063" s="1399"/>
    </row>
    <row r="1064" spans="1:125">
      <c r="A1064" s="1414"/>
      <c r="B1064" s="1414"/>
      <c r="C1064" s="1414"/>
      <c r="D1064" s="1414"/>
      <c r="E1064" s="1414"/>
      <c r="F1064" s="1414"/>
      <c r="G1064" s="1414"/>
      <c r="H1064" s="1414"/>
      <c r="I1064" s="1414"/>
      <c r="J1064" s="1414"/>
      <c r="K1064" s="1414"/>
      <c r="L1064" s="1414"/>
      <c r="M1064" s="1414"/>
      <c r="N1064" s="1414"/>
      <c r="O1064" s="1414"/>
      <c r="P1064" s="1414"/>
      <c r="Q1064" s="1414"/>
      <c r="R1064" s="1414"/>
      <c r="S1064" s="1414"/>
      <c r="T1064" s="1414"/>
      <c r="U1064" s="1414"/>
      <c r="V1064" s="1414"/>
      <c r="W1064" s="1414"/>
      <c r="X1064" s="1414"/>
      <c r="Y1064" s="1414"/>
      <c r="Z1064" s="1414"/>
      <c r="AA1064" s="1414"/>
      <c r="AB1064" s="1414"/>
      <c r="AC1064" s="1414"/>
      <c r="AD1064" s="1414"/>
      <c r="AE1064" s="1414"/>
      <c r="AF1064" s="1414"/>
      <c r="AG1064" s="1414"/>
      <c r="AH1064" s="1414"/>
      <c r="AI1064" s="1414"/>
      <c r="AJ1064" s="1414"/>
      <c r="AK1064" s="1414"/>
      <c r="AL1064" s="1414"/>
      <c r="AM1064" s="1414"/>
      <c r="AN1064" s="1414"/>
      <c r="AO1064" s="1414"/>
      <c r="AP1064" s="1414"/>
      <c r="AQ1064" s="1414"/>
      <c r="AR1064" s="1414"/>
      <c r="AS1064" s="1414"/>
      <c r="AT1064" s="1414"/>
      <c r="AU1064" s="1414"/>
      <c r="AV1064" s="1414"/>
      <c r="AW1064" s="1414"/>
      <c r="AX1064" s="1414"/>
      <c r="AY1064" s="1399"/>
      <c r="AZ1064" s="1399"/>
      <c r="BA1064" s="1399"/>
      <c r="BB1064" s="1399"/>
      <c r="BC1064" s="1399"/>
      <c r="BD1064" s="1399"/>
      <c r="BE1064" s="1414"/>
      <c r="BF1064" s="1399"/>
      <c r="BG1064" s="1399"/>
      <c r="BH1064" s="1399"/>
      <c r="BI1064" s="1399"/>
      <c r="BJ1064" s="1399"/>
      <c r="BK1064" s="1399"/>
      <c r="BL1064" s="1399"/>
      <c r="BM1064" s="1399"/>
      <c r="BN1064" s="1399"/>
      <c r="BO1064" s="1399"/>
      <c r="BP1064" s="1399"/>
      <c r="BQ1064" s="1399"/>
      <c r="BR1064" s="1399"/>
      <c r="BS1064" s="1399"/>
      <c r="BT1064" s="1399"/>
      <c r="BU1064" s="1399"/>
      <c r="BV1064" s="1399"/>
      <c r="BW1064" s="1399"/>
      <c r="BX1064" s="1399"/>
      <c r="BY1064" s="1399"/>
      <c r="BZ1064" s="1399"/>
      <c r="CA1064" s="1399"/>
      <c r="CB1064" s="1399"/>
      <c r="CC1064" s="1399"/>
      <c r="CD1064" s="1399"/>
      <c r="CE1064" s="1399"/>
      <c r="CF1064" s="1399"/>
      <c r="CG1064" s="1399"/>
      <c r="CH1064" s="1399"/>
      <c r="CI1064" s="1399"/>
      <c r="CJ1064" s="1399"/>
      <c r="CK1064" s="1399"/>
      <c r="CL1064" s="1399"/>
      <c r="CM1064" s="1399"/>
      <c r="CN1064" s="1399"/>
      <c r="CO1064" s="1399"/>
      <c r="CP1064" s="1399"/>
      <c r="CQ1064" s="1399"/>
      <c r="CR1064" s="1399"/>
      <c r="CS1064" s="1399"/>
      <c r="CT1064" s="1399"/>
      <c r="CU1064" s="1399"/>
      <c r="CV1064" s="1399"/>
      <c r="CW1064" s="1399"/>
      <c r="CX1064" s="1399"/>
      <c r="CY1064" s="1399"/>
      <c r="CZ1064" s="1399"/>
      <c r="DA1064" s="1399"/>
      <c r="DB1064" s="1399"/>
      <c r="DC1064" s="1399"/>
      <c r="DD1064" s="1399"/>
      <c r="DE1064" s="1399"/>
      <c r="DF1064" s="1399"/>
      <c r="DG1064" s="1399"/>
      <c r="DH1064" s="1399"/>
      <c r="DI1064" s="1399"/>
      <c r="DJ1064" s="1399"/>
      <c r="DK1064" s="1399"/>
      <c r="DL1064" s="1399"/>
      <c r="DM1064" s="1399"/>
      <c r="DN1064" s="1399"/>
      <c r="DO1064" s="1399"/>
      <c r="DP1064" s="1399"/>
      <c r="DQ1064" s="1399"/>
      <c r="DR1064" s="1399"/>
      <c r="DS1064" s="1399"/>
      <c r="DT1064" s="1399"/>
      <c r="DU1064" s="1399"/>
    </row>
    <row r="1065" spans="1:125">
      <c r="A1065" s="1414"/>
      <c r="B1065" s="1414"/>
      <c r="C1065" s="1414"/>
      <c r="D1065" s="1414"/>
      <c r="E1065" s="1414"/>
      <c r="F1065" s="1414"/>
      <c r="G1065" s="1414"/>
      <c r="H1065" s="1414"/>
      <c r="I1065" s="1414"/>
      <c r="J1065" s="1414"/>
      <c r="K1065" s="1414"/>
      <c r="L1065" s="1414"/>
      <c r="M1065" s="1414"/>
      <c r="N1065" s="1414"/>
      <c r="O1065" s="1414"/>
      <c r="P1065" s="1414"/>
      <c r="Q1065" s="1414"/>
      <c r="R1065" s="1414"/>
      <c r="S1065" s="1414"/>
      <c r="T1065" s="1414"/>
      <c r="U1065" s="1414"/>
      <c r="V1065" s="1414"/>
      <c r="W1065" s="1414"/>
      <c r="X1065" s="1414"/>
      <c r="Y1065" s="1414"/>
      <c r="Z1065" s="1414"/>
      <c r="AA1065" s="1414"/>
      <c r="AB1065" s="1414"/>
      <c r="AC1065" s="1414"/>
      <c r="AD1065" s="1414"/>
      <c r="AE1065" s="1414"/>
      <c r="AF1065" s="1414"/>
      <c r="AG1065" s="1414"/>
      <c r="AH1065" s="1414"/>
      <c r="AI1065" s="1414"/>
      <c r="AJ1065" s="1414"/>
      <c r="AK1065" s="1414"/>
      <c r="AL1065" s="1414"/>
      <c r="AM1065" s="1414"/>
      <c r="AN1065" s="1414"/>
      <c r="AO1065" s="1414"/>
      <c r="AP1065" s="1414"/>
      <c r="AQ1065" s="1414"/>
      <c r="AR1065" s="1414"/>
      <c r="AS1065" s="1414"/>
      <c r="AT1065" s="1414"/>
      <c r="AU1065" s="1414"/>
      <c r="AV1065" s="1414"/>
      <c r="AW1065" s="1414"/>
      <c r="AX1065" s="1414"/>
      <c r="AY1065" s="1399"/>
      <c r="AZ1065" s="1399"/>
      <c r="BA1065" s="1399"/>
      <c r="BB1065" s="1399"/>
      <c r="BC1065" s="1399"/>
      <c r="BD1065" s="1399"/>
      <c r="BE1065" s="1414"/>
      <c r="BF1065" s="1399"/>
      <c r="BG1065" s="1399"/>
      <c r="BH1065" s="1399"/>
      <c r="BI1065" s="1399"/>
      <c r="BJ1065" s="1399"/>
      <c r="BK1065" s="1399"/>
      <c r="BL1065" s="1399"/>
      <c r="BM1065" s="1399"/>
      <c r="BN1065" s="1399"/>
      <c r="BO1065" s="1399"/>
      <c r="BP1065" s="1399"/>
      <c r="BQ1065" s="1399"/>
      <c r="BR1065" s="1399"/>
      <c r="BS1065" s="1399"/>
      <c r="BT1065" s="1399"/>
      <c r="BU1065" s="1399"/>
      <c r="BV1065" s="1399"/>
      <c r="BW1065" s="1399"/>
      <c r="BX1065" s="1399"/>
      <c r="BY1065" s="1399"/>
      <c r="BZ1065" s="1399"/>
      <c r="CA1065" s="1399"/>
      <c r="CB1065" s="1399"/>
      <c r="CC1065" s="1399"/>
      <c r="CD1065" s="1399"/>
      <c r="CE1065" s="1399"/>
      <c r="CF1065" s="1399"/>
      <c r="CG1065" s="1399"/>
      <c r="CH1065" s="1399"/>
      <c r="CI1065" s="1399"/>
      <c r="CJ1065" s="1399"/>
      <c r="CK1065" s="1399"/>
      <c r="CL1065" s="1399"/>
      <c r="CM1065" s="1399"/>
      <c r="CN1065" s="1399"/>
      <c r="CO1065" s="1399"/>
      <c r="CP1065" s="1399"/>
      <c r="CQ1065" s="1399"/>
      <c r="CR1065" s="1399"/>
      <c r="CS1065" s="1399"/>
      <c r="CT1065" s="1399"/>
      <c r="CU1065" s="1399"/>
      <c r="CV1065" s="1399"/>
      <c r="CW1065" s="1399"/>
      <c r="CX1065" s="1399"/>
      <c r="CY1065" s="1399"/>
      <c r="CZ1065" s="1399"/>
      <c r="DA1065" s="1399"/>
      <c r="DB1065" s="1399"/>
      <c r="DC1065" s="1399"/>
      <c r="DD1065" s="1399"/>
      <c r="DE1065" s="1399"/>
      <c r="DF1065" s="1399"/>
      <c r="DG1065" s="1399"/>
      <c r="DH1065" s="1399"/>
      <c r="DI1065" s="1399"/>
      <c r="DJ1065" s="1399"/>
      <c r="DK1065" s="1399"/>
      <c r="DL1065" s="1399"/>
      <c r="DM1065" s="1399"/>
      <c r="DN1065" s="1399"/>
      <c r="DO1065" s="1399"/>
      <c r="DP1065" s="1399"/>
      <c r="DQ1065" s="1399"/>
      <c r="DR1065" s="1399"/>
      <c r="DS1065" s="1399"/>
      <c r="DT1065" s="1399"/>
      <c r="DU1065" s="1399"/>
    </row>
    <row r="1066" spans="1:125">
      <c r="A1066" s="1414"/>
      <c r="B1066" s="1414"/>
      <c r="C1066" s="1414"/>
      <c r="D1066" s="1414"/>
      <c r="E1066" s="1414"/>
      <c r="F1066" s="1414"/>
      <c r="G1066" s="1414"/>
      <c r="H1066" s="1414"/>
      <c r="I1066" s="1414"/>
      <c r="J1066" s="1414"/>
      <c r="K1066" s="1414"/>
      <c r="L1066" s="1414"/>
      <c r="M1066" s="1414"/>
      <c r="N1066" s="1414"/>
      <c r="O1066" s="1414"/>
      <c r="P1066" s="1414"/>
      <c r="Q1066" s="1414"/>
      <c r="R1066" s="1414"/>
      <c r="S1066" s="1414"/>
      <c r="T1066" s="1414"/>
      <c r="U1066" s="1414"/>
      <c r="V1066" s="1414"/>
      <c r="W1066" s="1414"/>
      <c r="X1066" s="1414"/>
      <c r="Y1066" s="1414"/>
      <c r="Z1066" s="1414"/>
      <c r="AA1066" s="1414"/>
      <c r="AB1066" s="1414"/>
      <c r="AC1066" s="1414"/>
      <c r="AD1066" s="1414"/>
      <c r="AE1066" s="1414"/>
      <c r="AF1066" s="1414"/>
      <c r="AG1066" s="1414"/>
      <c r="AH1066" s="1414"/>
      <c r="AI1066" s="1414"/>
      <c r="AJ1066" s="1414"/>
      <c r="AK1066" s="1414"/>
      <c r="AL1066" s="1414"/>
      <c r="AM1066" s="1414"/>
      <c r="AN1066" s="1414"/>
      <c r="AO1066" s="1414"/>
      <c r="AP1066" s="1414"/>
      <c r="AQ1066" s="1414"/>
      <c r="AR1066" s="1414"/>
      <c r="AS1066" s="1414"/>
      <c r="AT1066" s="1414"/>
      <c r="AU1066" s="1414"/>
      <c r="AV1066" s="1414"/>
      <c r="AW1066" s="1414"/>
      <c r="AX1066" s="1414"/>
      <c r="AY1066" s="1399"/>
      <c r="AZ1066" s="1399"/>
      <c r="BA1066" s="1399"/>
      <c r="BB1066" s="1399"/>
      <c r="BC1066" s="1399"/>
      <c r="BD1066" s="1399"/>
      <c r="BE1066" s="1414"/>
      <c r="BF1066" s="1399"/>
      <c r="BG1066" s="1399"/>
      <c r="BH1066" s="1399"/>
      <c r="BI1066" s="1399"/>
      <c r="BJ1066" s="1399"/>
      <c r="BK1066" s="1399"/>
      <c r="BL1066" s="1399"/>
      <c r="BM1066" s="1399"/>
      <c r="BN1066" s="1399"/>
      <c r="BO1066" s="1399"/>
      <c r="BP1066" s="1399"/>
      <c r="BQ1066" s="1399"/>
      <c r="BR1066" s="1399"/>
      <c r="BS1066" s="1399"/>
      <c r="BT1066" s="1399"/>
      <c r="BU1066" s="1399"/>
      <c r="BV1066" s="1399"/>
      <c r="BW1066" s="1399"/>
      <c r="BX1066" s="1399"/>
      <c r="BY1066" s="1399"/>
      <c r="BZ1066" s="1399"/>
      <c r="CA1066" s="1399"/>
      <c r="CB1066" s="1399"/>
      <c r="CC1066" s="1399"/>
      <c r="CD1066" s="1399"/>
      <c r="CE1066" s="1399"/>
      <c r="CF1066" s="1399"/>
      <c r="CG1066" s="1399"/>
      <c r="CH1066" s="1399"/>
      <c r="CI1066" s="1399"/>
      <c r="CJ1066" s="1399"/>
      <c r="CK1066" s="1399"/>
      <c r="CL1066" s="1399"/>
      <c r="CM1066" s="1399"/>
      <c r="CN1066" s="1399"/>
      <c r="CO1066" s="1399"/>
      <c r="CP1066" s="1399"/>
      <c r="CQ1066" s="1399"/>
      <c r="CR1066" s="1399"/>
      <c r="CS1066" s="1399"/>
      <c r="CT1066" s="1399"/>
      <c r="CU1066" s="1399"/>
      <c r="CV1066" s="1399"/>
      <c r="CW1066" s="1399"/>
      <c r="CX1066" s="1399"/>
      <c r="CY1066" s="1399"/>
      <c r="CZ1066" s="1399"/>
      <c r="DA1066" s="1399"/>
      <c r="DB1066" s="1399"/>
      <c r="DC1066" s="1399"/>
      <c r="DD1066" s="1399"/>
      <c r="DE1066" s="1399"/>
      <c r="DF1066" s="1399"/>
      <c r="DG1066" s="1399"/>
      <c r="DH1066" s="1399"/>
      <c r="DI1066" s="1399"/>
      <c r="DJ1066" s="1399"/>
      <c r="DK1066" s="1399"/>
      <c r="DL1066" s="1399"/>
      <c r="DM1066" s="1399"/>
      <c r="DN1066" s="1399"/>
      <c r="DO1066" s="1399"/>
      <c r="DP1066" s="1399"/>
      <c r="DQ1066" s="1399"/>
      <c r="DR1066" s="1399"/>
      <c r="DS1066" s="1399"/>
      <c r="DT1066" s="1399"/>
      <c r="DU1066" s="1399"/>
    </row>
    <row r="1067" spans="1:125">
      <c r="A1067" s="1414"/>
      <c r="B1067" s="1414"/>
      <c r="C1067" s="1414"/>
      <c r="D1067" s="1414"/>
      <c r="E1067" s="1414"/>
      <c r="F1067" s="1414"/>
      <c r="G1067" s="1414"/>
      <c r="H1067" s="1414"/>
      <c r="I1067" s="1414"/>
      <c r="J1067" s="1414"/>
      <c r="K1067" s="1414"/>
      <c r="L1067" s="1414"/>
      <c r="M1067" s="1414"/>
      <c r="N1067" s="1414"/>
      <c r="O1067" s="1414"/>
      <c r="P1067" s="1414"/>
      <c r="Q1067" s="1414"/>
      <c r="R1067" s="1414"/>
      <c r="S1067" s="1414"/>
      <c r="T1067" s="1414"/>
      <c r="U1067" s="1414"/>
      <c r="V1067" s="1414"/>
      <c r="W1067" s="1414"/>
      <c r="X1067" s="1414"/>
      <c r="Y1067" s="1414"/>
      <c r="Z1067" s="1414"/>
      <c r="AA1067" s="1414"/>
      <c r="AB1067" s="1414"/>
      <c r="AC1067" s="1414"/>
      <c r="AD1067" s="1414"/>
      <c r="AE1067" s="1414"/>
      <c r="AF1067" s="1414"/>
      <c r="AG1067" s="1414"/>
      <c r="AH1067" s="1414"/>
      <c r="AI1067" s="1414"/>
      <c r="AJ1067" s="1414"/>
      <c r="AK1067" s="1414"/>
      <c r="AL1067" s="1414"/>
      <c r="AM1067" s="1414"/>
      <c r="AN1067" s="1414"/>
      <c r="AO1067" s="1414"/>
      <c r="AP1067" s="1414"/>
      <c r="AQ1067" s="1414"/>
      <c r="AR1067" s="1414"/>
      <c r="AS1067" s="1414"/>
      <c r="AT1067" s="1414"/>
      <c r="AU1067" s="1414"/>
      <c r="AV1067" s="1414"/>
      <c r="AW1067" s="1414"/>
      <c r="AX1067" s="1414"/>
      <c r="AY1067" s="1399"/>
      <c r="AZ1067" s="1399"/>
      <c r="BA1067" s="1399"/>
      <c r="BB1067" s="1399"/>
      <c r="BC1067" s="1399"/>
      <c r="BD1067" s="1399"/>
      <c r="BE1067" s="1414"/>
      <c r="BF1067" s="1399"/>
      <c r="BG1067" s="1399"/>
      <c r="BH1067" s="1399"/>
      <c r="BI1067" s="1399"/>
      <c r="BJ1067" s="1399"/>
      <c r="BK1067" s="1399"/>
      <c r="BL1067" s="1399"/>
      <c r="BM1067" s="1399"/>
      <c r="BN1067" s="1399"/>
      <c r="BO1067" s="1399"/>
      <c r="BP1067" s="1399"/>
      <c r="BQ1067" s="1399"/>
      <c r="BR1067" s="1399"/>
      <c r="BS1067" s="1399"/>
      <c r="BT1067" s="1399"/>
      <c r="BU1067" s="1399"/>
      <c r="BV1067" s="1399"/>
      <c r="BW1067" s="1399"/>
      <c r="BX1067" s="1399"/>
      <c r="BY1067" s="1399"/>
      <c r="BZ1067" s="1399"/>
      <c r="CA1067" s="1399"/>
      <c r="CB1067" s="1399"/>
      <c r="CC1067" s="1399"/>
      <c r="CD1067" s="1399"/>
      <c r="CE1067" s="1399"/>
      <c r="CF1067" s="1399"/>
      <c r="CG1067" s="1399"/>
      <c r="CH1067" s="1399"/>
      <c r="CI1067" s="1399"/>
      <c r="CJ1067" s="1399"/>
      <c r="CK1067" s="1399"/>
      <c r="CL1067" s="1399"/>
      <c r="CM1067" s="1399"/>
      <c r="CN1067" s="1399"/>
      <c r="CO1067" s="1399"/>
      <c r="CP1067" s="1399"/>
      <c r="CQ1067" s="1399"/>
      <c r="CR1067" s="1399"/>
      <c r="CS1067" s="1399"/>
      <c r="CT1067" s="1399"/>
      <c r="CU1067" s="1399"/>
      <c r="CV1067" s="1399"/>
      <c r="CW1067" s="1399"/>
      <c r="CX1067" s="1399"/>
      <c r="CY1067" s="1399"/>
      <c r="CZ1067" s="1399"/>
      <c r="DA1067" s="1399"/>
      <c r="DB1067" s="1399"/>
      <c r="DC1067" s="1399"/>
      <c r="DD1067" s="1399"/>
      <c r="DE1067" s="1399"/>
      <c r="DF1067" s="1399"/>
      <c r="DG1067" s="1399"/>
      <c r="DH1067" s="1399"/>
      <c r="DI1067" s="1399"/>
      <c r="DJ1067" s="1399"/>
      <c r="DK1067" s="1399"/>
      <c r="DL1067" s="1399"/>
      <c r="DM1067" s="1399"/>
      <c r="DN1067" s="1399"/>
      <c r="DO1067" s="1399"/>
      <c r="DP1067" s="1399"/>
      <c r="DQ1067" s="1399"/>
      <c r="DR1067" s="1399"/>
      <c r="DS1067" s="1399"/>
      <c r="DT1067" s="1399"/>
      <c r="DU1067" s="1399"/>
    </row>
    <row r="1068" spans="1:125">
      <c r="A1068" s="1414"/>
      <c r="B1068" s="1414"/>
      <c r="C1068" s="1414"/>
      <c r="D1068" s="1414"/>
      <c r="E1068" s="1414"/>
      <c r="F1068" s="1414"/>
      <c r="G1068" s="1414"/>
      <c r="H1068" s="1414"/>
      <c r="I1068" s="1414"/>
      <c r="J1068" s="1414"/>
      <c r="K1068" s="1414"/>
      <c r="L1068" s="1414"/>
      <c r="M1068" s="1414"/>
      <c r="N1068" s="1414"/>
      <c r="O1068" s="1414"/>
      <c r="P1068" s="1414"/>
      <c r="Q1068" s="1414"/>
      <c r="R1068" s="1414"/>
      <c r="S1068" s="1414"/>
      <c r="T1068" s="1414"/>
      <c r="U1068" s="1414"/>
      <c r="V1068" s="1414"/>
      <c r="W1068" s="1414"/>
      <c r="X1068" s="1414"/>
      <c r="Y1068" s="1414"/>
      <c r="Z1068" s="1414"/>
      <c r="AA1068" s="1414"/>
      <c r="AB1068" s="1414"/>
      <c r="AC1068" s="1414"/>
      <c r="AD1068" s="1414"/>
      <c r="AE1068" s="1414"/>
      <c r="AF1068" s="1414"/>
      <c r="AG1068" s="1414"/>
      <c r="AH1068" s="1414"/>
      <c r="AI1068" s="1414"/>
      <c r="AJ1068" s="1414"/>
      <c r="AK1068" s="1414"/>
      <c r="AL1068" s="1414"/>
      <c r="AM1068" s="1414"/>
      <c r="AN1068" s="1414"/>
      <c r="AO1068" s="1414"/>
      <c r="AP1068" s="1414"/>
      <c r="AQ1068" s="1414"/>
      <c r="AR1068" s="1414"/>
      <c r="AS1068" s="1414"/>
      <c r="AT1068" s="1414"/>
      <c r="AU1068" s="1414"/>
      <c r="AV1068" s="1414"/>
      <c r="AW1068" s="1414"/>
      <c r="AX1068" s="1414"/>
      <c r="AY1068" s="1399"/>
      <c r="AZ1068" s="1399"/>
      <c r="BA1068" s="1399"/>
      <c r="BB1068" s="1399"/>
      <c r="BC1068" s="1399"/>
      <c r="BD1068" s="1399"/>
      <c r="BE1068" s="1414"/>
      <c r="BF1068" s="1399"/>
      <c r="BG1068" s="1399"/>
      <c r="BH1068" s="1399"/>
      <c r="BI1068" s="1399"/>
      <c r="BJ1068" s="1399"/>
      <c r="BK1068" s="1399"/>
      <c r="BL1068" s="1399"/>
      <c r="BM1068" s="1399"/>
      <c r="BN1068" s="1399"/>
      <c r="BO1068" s="1399"/>
      <c r="BP1068" s="1399"/>
      <c r="BQ1068" s="1399"/>
      <c r="BR1068" s="1399"/>
      <c r="BS1068" s="1399"/>
      <c r="BT1068" s="1399"/>
      <c r="BU1068" s="1399"/>
      <c r="BV1068" s="1399"/>
      <c r="BW1068" s="1399"/>
      <c r="BX1068" s="1399"/>
      <c r="BY1068" s="1399"/>
      <c r="BZ1068" s="1399"/>
      <c r="CA1068" s="1399"/>
      <c r="CB1068" s="1399"/>
      <c r="CC1068" s="1399"/>
      <c r="CD1068" s="1399"/>
      <c r="CE1068" s="1399"/>
      <c r="CF1068" s="1399"/>
      <c r="CG1068" s="1399"/>
      <c r="CH1068" s="1399"/>
      <c r="CI1068" s="1399"/>
      <c r="CJ1068" s="1399"/>
      <c r="CK1068" s="1399"/>
      <c r="CL1068" s="1399"/>
      <c r="CM1068" s="1399"/>
      <c r="CN1068" s="1399"/>
      <c r="CO1068" s="1399"/>
      <c r="CP1068" s="1399"/>
      <c r="CQ1068" s="1399"/>
      <c r="CR1068" s="1399"/>
      <c r="CS1068" s="1399"/>
      <c r="CT1068" s="1399"/>
      <c r="CU1068" s="1399"/>
      <c r="CV1068" s="1399"/>
      <c r="CW1068" s="1399"/>
      <c r="CX1068" s="1399"/>
      <c r="CY1068" s="1399"/>
      <c r="CZ1068" s="1399"/>
      <c r="DA1068" s="1399"/>
      <c r="DB1068" s="1399"/>
      <c r="DC1068" s="1399"/>
      <c r="DD1068" s="1399"/>
      <c r="DE1068" s="1399"/>
      <c r="DF1068" s="1399"/>
      <c r="DG1068" s="1399"/>
      <c r="DH1068" s="1399"/>
      <c r="DI1068" s="1399"/>
      <c r="DJ1068" s="1399"/>
      <c r="DK1068" s="1399"/>
      <c r="DL1068" s="1399"/>
      <c r="DM1068" s="1399"/>
      <c r="DN1068" s="1399"/>
      <c r="DO1068" s="1399"/>
      <c r="DP1068" s="1399"/>
      <c r="DQ1068" s="1399"/>
      <c r="DR1068" s="1399"/>
      <c r="DS1068" s="1399"/>
      <c r="DT1068" s="1399"/>
      <c r="DU1068" s="1399"/>
    </row>
    <row r="1069" spans="1:125">
      <c r="A1069" s="1414"/>
      <c r="B1069" s="1414"/>
      <c r="C1069" s="1414"/>
      <c r="D1069" s="1414"/>
      <c r="E1069" s="1414"/>
      <c r="F1069" s="1414"/>
      <c r="G1069" s="1414"/>
      <c r="H1069" s="1414"/>
      <c r="I1069" s="1414"/>
      <c r="J1069" s="1414"/>
      <c r="K1069" s="1414"/>
      <c r="L1069" s="1414"/>
      <c r="M1069" s="1414"/>
      <c r="N1069" s="1414"/>
      <c r="O1069" s="1414"/>
      <c r="P1069" s="1414"/>
      <c r="Q1069" s="1414"/>
      <c r="R1069" s="1414"/>
      <c r="S1069" s="1414"/>
      <c r="T1069" s="1414"/>
      <c r="U1069" s="1414"/>
      <c r="V1069" s="1414"/>
      <c r="W1069" s="1414"/>
      <c r="X1069" s="1414"/>
      <c r="Y1069" s="1414"/>
      <c r="Z1069" s="1414"/>
      <c r="AA1069" s="1414"/>
      <c r="AB1069" s="1414"/>
      <c r="AC1069" s="1414"/>
      <c r="AD1069" s="1414"/>
      <c r="AE1069" s="1414"/>
      <c r="AF1069" s="1414"/>
      <c r="AG1069" s="1414"/>
      <c r="AH1069" s="1414"/>
      <c r="AI1069" s="1414"/>
      <c r="AJ1069" s="1414"/>
      <c r="AK1069" s="1414"/>
      <c r="AL1069" s="1414"/>
      <c r="AM1069" s="1414"/>
      <c r="AN1069" s="1414"/>
      <c r="AO1069" s="1414"/>
      <c r="AP1069" s="1414"/>
      <c r="AQ1069" s="1414"/>
      <c r="AR1069" s="1414"/>
      <c r="AS1069" s="1414"/>
      <c r="AT1069" s="1414"/>
      <c r="AU1069" s="1414"/>
      <c r="AV1069" s="1414"/>
      <c r="AW1069" s="1414"/>
      <c r="AX1069" s="1414"/>
      <c r="AY1069" s="1399"/>
      <c r="AZ1069" s="1399"/>
      <c r="BA1069" s="1399"/>
      <c r="BB1069" s="1399"/>
      <c r="BC1069" s="1399"/>
      <c r="BD1069" s="1399"/>
      <c r="BE1069" s="1414"/>
      <c r="BF1069" s="1399"/>
      <c r="BG1069" s="1399"/>
      <c r="BH1069" s="1399"/>
      <c r="BI1069" s="1399"/>
      <c r="BJ1069" s="1399"/>
      <c r="BK1069" s="1399"/>
      <c r="BL1069" s="1399"/>
      <c r="BM1069" s="1399"/>
      <c r="BN1069" s="1399"/>
      <c r="BO1069" s="1399"/>
      <c r="BP1069" s="1399"/>
      <c r="BQ1069" s="1399"/>
      <c r="BR1069" s="1399"/>
      <c r="BS1069" s="1399"/>
      <c r="BT1069" s="1399"/>
      <c r="BU1069" s="1399"/>
      <c r="BV1069" s="1399"/>
      <c r="BW1069" s="1399"/>
      <c r="BX1069" s="1399"/>
      <c r="BY1069" s="1399"/>
      <c r="BZ1069" s="1399"/>
      <c r="CA1069" s="1399"/>
      <c r="CB1069" s="1399"/>
      <c r="CC1069" s="1399"/>
      <c r="CD1069" s="1399"/>
      <c r="CE1069" s="1399"/>
      <c r="CF1069" s="1399"/>
      <c r="CG1069" s="1399"/>
      <c r="CH1069" s="1399"/>
      <c r="CI1069" s="1399"/>
      <c r="CJ1069" s="1399"/>
      <c r="CK1069" s="1399"/>
      <c r="CL1069" s="1399"/>
      <c r="CM1069" s="1399"/>
      <c r="CN1069" s="1399"/>
      <c r="CO1069" s="1399"/>
      <c r="CP1069" s="1399"/>
      <c r="CQ1069" s="1399"/>
      <c r="CR1069" s="1399"/>
      <c r="CS1069" s="1399"/>
      <c r="CT1069" s="1399"/>
      <c r="CU1069" s="1399"/>
      <c r="CV1069" s="1399"/>
      <c r="CW1069" s="1399"/>
      <c r="CX1069" s="1399"/>
      <c r="CY1069" s="1399"/>
      <c r="CZ1069" s="1399"/>
      <c r="DA1069" s="1399"/>
      <c r="DB1069" s="1399"/>
      <c r="DC1069" s="1399"/>
      <c r="DD1069" s="1399"/>
      <c r="DE1069" s="1399"/>
      <c r="DF1069" s="1399"/>
      <c r="DG1069" s="1399"/>
      <c r="DH1069" s="1399"/>
      <c r="DI1069" s="1399"/>
      <c r="DJ1069" s="1399"/>
      <c r="DK1069" s="1399"/>
      <c r="DL1069" s="1399"/>
      <c r="DM1069" s="1399"/>
      <c r="DN1069" s="1399"/>
      <c r="DO1069" s="1399"/>
      <c r="DP1069" s="1399"/>
      <c r="DQ1069" s="1399"/>
      <c r="DR1069" s="1399"/>
      <c r="DS1069" s="1399"/>
      <c r="DT1069" s="1399"/>
      <c r="DU1069" s="1399"/>
    </row>
    <row r="1070" spans="1:125">
      <c r="A1070" s="1414"/>
      <c r="B1070" s="1414"/>
      <c r="C1070" s="1414"/>
      <c r="D1070" s="1414"/>
      <c r="E1070" s="1414"/>
      <c r="F1070" s="1414"/>
      <c r="G1070" s="1414"/>
      <c r="H1070" s="1414"/>
      <c r="I1070" s="1414"/>
      <c r="J1070" s="1414"/>
      <c r="K1070" s="1414"/>
      <c r="L1070" s="1414"/>
      <c r="M1070" s="1414"/>
      <c r="N1070" s="1414"/>
      <c r="O1070" s="1414"/>
      <c r="P1070" s="1414"/>
      <c r="Q1070" s="1414"/>
      <c r="R1070" s="1414"/>
      <c r="S1070" s="1414"/>
      <c r="T1070" s="1414"/>
      <c r="U1070" s="1414"/>
      <c r="V1070" s="1414"/>
      <c r="W1070" s="1414"/>
      <c r="X1070" s="1414"/>
      <c r="Y1070" s="1414"/>
      <c r="Z1070" s="1414"/>
      <c r="AA1070" s="1414"/>
      <c r="AB1070" s="1414"/>
      <c r="AC1070" s="1414"/>
      <c r="AD1070" s="1414"/>
      <c r="AE1070" s="1414"/>
      <c r="AF1070" s="1414"/>
      <c r="AG1070" s="1414"/>
      <c r="AH1070" s="1414"/>
      <c r="AI1070" s="1414"/>
      <c r="AJ1070" s="1414"/>
      <c r="AK1070" s="1414"/>
      <c r="AL1070" s="1414"/>
      <c r="AM1070" s="1414"/>
      <c r="AN1070" s="1414"/>
      <c r="AO1070" s="1414"/>
      <c r="AP1070" s="1414"/>
      <c r="AQ1070" s="1414"/>
      <c r="AR1070" s="1414"/>
      <c r="AS1070" s="1414"/>
      <c r="AT1070" s="1414"/>
      <c r="AU1070" s="1414"/>
      <c r="AV1070" s="1414"/>
      <c r="AW1070" s="1414"/>
      <c r="AX1070" s="1414"/>
      <c r="AY1070" s="1399"/>
      <c r="AZ1070" s="1399"/>
      <c r="BA1070" s="1399"/>
      <c r="BB1070" s="1399"/>
      <c r="BC1070" s="1399"/>
      <c r="BD1070" s="1399"/>
      <c r="BE1070" s="1414"/>
      <c r="BF1070" s="1399"/>
      <c r="BG1070" s="1399"/>
      <c r="BH1070" s="1399"/>
      <c r="BI1070" s="1399"/>
      <c r="BJ1070" s="1399"/>
      <c r="BK1070" s="1399"/>
      <c r="BL1070" s="1399"/>
      <c r="BM1070" s="1399"/>
      <c r="BN1070" s="1399"/>
      <c r="BO1070" s="1399"/>
      <c r="BP1070" s="1399"/>
      <c r="BQ1070" s="1399"/>
      <c r="BR1070" s="1399"/>
      <c r="BS1070" s="1399"/>
      <c r="BT1070" s="1399"/>
      <c r="BU1070" s="1399"/>
      <c r="BV1070" s="1399"/>
      <c r="BW1070" s="1399"/>
      <c r="BX1070" s="1399"/>
      <c r="BY1070" s="1399"/>
      <c r="BZ1070" s="1399"/>
      <c r="CA1070" s="1399"/>
      <c r="CB1070" s="1399"/>
      <c r="CC1070" s="1399"/>
      <c r="CD1070" s="1399"/>
      <c r="CE1070" s="1399"/>
      <c r="CF1070" s="1399"/>
      <c r="CG1070" s="1399"/>
      <c r="CH1070" s="1399"/>
      <c r="CI1070" s="1399"/>
      <c r="CJ1070" s="1399"/>
      <c r="CK1070" s="1399"/>
      <c r="CL1070" s="1399"/>
      <c r="CM1070" s="1399"/>
      <c r="CN1070" s="1399"/>
      <c r="CO1070" s="1399"/>
      <c r="CP1070" s="1399"/>
      <c r="CQ1070" s="1399"/>
      <c r="CR1070" s="1399"/>
      <c r="CS1070" s="1399"/>
      <c r="CT1070" s="1399"/>
      <c r="CU1070" s="1399"/>
      <c r="CV1070" s="1399"/>
      <c r="CW1070" s="1399"/>
      <c r="CX1070" s="1399"/>
      <c r="CY1070" s="1399"/>
      <c r="CZ1070" s="1399"/>
      <c r="DA1070" s="1399"/>
      <c r="DB1070" s="1399"/>
      <c r="DC1070" s="1399"/>
      <c r="DD1070" s="1399"/>
      <c r="DE1070" s="1399"/>
      <c r="DF1070" s="1399"/>
      <c r="DG1070" s="1399"/>
      <c r="DH1070" s="1399"/>
      <c r="DI1070" s="1399"/>
      <c r="DJ1070" s="1399"/>
      <c r="DK1070" s="1399"/>
      <c r="DL1070" s="1399"/>
      <c r="DM1070" s="1399"/>
      <c r="DN1070" s="1399"/>
      <c r="DO1070" s="1399"/>
      <c r="DP1070" s="1399"/>
      <c r="DQ1070" s="1399"/>
      <c r="DR1070" s="1399"/>
      <c r="DS1070" s="1399"/>
      <c r="DT1070" s="1399"/>
      <c r="DU1070" s="1399"/>
    </row>
    <row r="1071" spans="1:125">
      <c r="A1071" s="1414"/>
      <c r="B1071" s="1414"/>
      <c r="C1071" s="1414"/>
      <c r="D1071" s="1414"/>
      <c r="E1071" s="1414"/>
      <c r="F1071" s="1414"/>
      <c r="G1071" s="1414"/>
      <c r="H1071" s="1414"/>
      <c r="I1071" s="1414"/>
      <c r="J1071" s="1414"/>
      <c r="K1071" s="1414"/>
      <c r="L1071" s="1414"/>
      <c r="M1071" s="1414"/>
      <c r="N1071" s="1414"/>
      <c r="O1071" s="1414"/>
      <c r="P1071" s="1414"/>
      <c r="Q1071" s="1414"/>
      <c r="R1071" s="1414"/>
      <c r="S1071" s="1414"/>
      <c r="T1071" s="1414"/>
      <c r="U1071" s="1414"/>
      <c r="V1071" s="1414"/>
      <c r="W1071" s="1414"/>
      <c r="X1071" s="1414"/>
      <c r="Y1071" s="1414"/>
      <c r="Z1071" s="1414"/>
      <c r="AA1071" s="1414"/>
      <c r="AB1071" s="1414"/>
      <c r="AC1071" s="1414"/>
      <c r="AD1071" s="1414"/>
      <c r="AE1071" s="1414"/>
      <c r="AF1071" s="1414"/>
      <c r="AG1071" s="1414"/>
      <c r="AH1071" s="1414"/>
      <c r="AI1071" s="1414"/>
      <c r="AJ1071" s="1414"/>
      <c r="AK1071" s="1414"/>
      <c r="AL1071" s="1414"/>
      <c r="AM1071" s="1414"/>
      <c r="AN1071" s="1414"/>
      <c r="AO1071" s="1414"/>
      <c r="AP1071" s="1414"/>
      <c r="AQ1071" s="1414"/>
      <c r="AR1071" s="1414"/>
      <c r="AS1071" s="1414"/>
      <c r="AT1071" s="1414"/>
      <c r="AU1071" s="1414"/>
      <c r="AV1071" s="1414"/>
      <c r="AW1071" s="1414"/>
      <c r="AX1071" s="1414"/>
      <c r="AY1071" s="1399"/>
      <c r="AZ1071" s="1399"/>
      <c r="BA1071" s="1399"/>
      <c r="BB1071" s="1399"/>
      <c r="BC1071" s="1399"/>
      <c r="BD1071" s="1399"/>
      <c r="BE1071" s="1414"/>
      <c r="BF1071" s="1399"/>
      <c r="BG1071" s="1399"/>
      <c r="BH1071" s="1399"/>
      <c r="BI1071" s="1399"/>
      <c r="BJ1071" s="1399"/>
      <c r="BK1071" s="1399"/>
      <c r="BL1071" s="1399"/>
      <c r="BM1071" s="1399"/>
      <c r="BN1071" s="1399"/>
      <c r="BO1071" s="1399"/>
      <c r="BP1071" s="1399"/>
      <c r="BQ1071" s="1399"/>
      <c r="BR1071" s="1399"/>
      <c r="BS1071" s="1399"/>
      <c r="BT1071" s="1399"/>
      <c r="BU1071" s="1399"/>
      <c r="BV1071" s="1399"/>
      <c r="BW1071" s="1399"/>
      <c r="BX1071" s="1399"/>
      <c r="BY1071" s="1399"/>
      <c r="BZ1071" s="1399"/>
      <c r="CA1071" s="1399"/>
      <c r="CB1071" s="1399"/>
      <c r="CC1071" s="1399"/>
      <c r="CD1071" s="1399"/>
      <c r="CE1071" s="1399"/>
      <c r="CF1071" s="1399"/>
      <c r="CG1071" s="1399"/>
      <c r="CH1071" s="1399"/>
      <c r="CI1071" s="1399"/>
      <c r="CJ1071" s="1399"/>
      <c r="CK1071" s="1399"/>
      <c r="CL1071" s="1399"/>
      <c r="CM1071" s="1399"/>
      <c r="CN1071" s="1399"/>
      <c r="CO1071" s="1399"/>
      <c r="CP1071" s="1399"/>
      <c r="CQ1071" s="1399"/>
      <c r="CR1071" s="1399"/>
      <c r="CS1071" s="1399"/>
      <c r="CT1071" s="1399"/>
      <c r="CU1071" s="1399"/>
      <c r="CV1071" s="1399"/>
      <c r="CW1071" s="1399"/>
      <c r="CX1071" s="1399"/>
      <c r="CY1071" s="1399"/>
      <c r="CZ1071" s="1399"/>
      <c r="DA1071" s="1399"/>
      <c r="DB1071" s="1399"/>
      <c r="DC1071" s="1399"/>
      <c r="DD1071" s="1399"/>
      <c r="DE1071" s="1399"/>
      <c r="DF1071" s="1399"/>
      <c r="DG1071" s="1399"/>
      <c r="DH1071" s="1399"/>
      <c r="DI1071" s="1399"/>
      <c r="DJ1071" s="1399"/>
      <c r="DK1071" s="1399"/>
      <c r="DL1071" s="1399"/>
      <c r="DM1071" s="1399"/>
      <c r="DN1071" s="1399"/>
      <c r="DO1071" s="1399"/>
      <c r="DP1071" s="1399"/>
      <c r="DQ1071" s="1399"/>
      <c r="DR1071" s="1399"/>
      <c r="DS1071" s="1399"/>
      <c r="DT1071" s="1399"/>
      <c r="DU1071" s="1399"/>
    </row>
    <row r="1072" spans="1:125">
      <c r="A1072" s="1414"/>
      <c r="B1072" s="1414"/>
      <c r="C1072" s="1414"/>
      <c r="D1072" s="1414"/>
      <c r="E1072" s="1414"/>
      <c r="F1072" s="1414"/>
      <c r="G1072" s="1414"/>
      <c r="H1072" s="1414"/>
      <c r="I1072" s="1414"/>
      <c r="J1072" s="1414"/>
      <c r="K1072" s="1414"/>
      <c r="L1072" s="1414"/>
      <c r="M1072" s="1414"/>
      <c r="N1072" s="1414"/>
      <c r="O1072" s="1414"/>
      <c r="P1072" s="1414"/>
      <c r="Q1072" s="1414"/>
      <c r="R1072" s="1414"/>
      <c r="S1072" s="1414"/>
      <c r="T1072" s="1414"/>
      <c r="U1072" s="1414"/>
      <c r="V1072" s="1414"/>
      <c r="W1072" s="1414"/>
      <c r="X1072" s="1414"/>
      <c r="Y1072" s="1414"/>
      <c r="Z1072" s="1414"/>
      <c r="AA1072" s="1414"/>
      <c r="AB1072" s="1414"/>
      <c r="AC1072" s="1414"/>
      <c r="AD1072" s="1414"/>
      <c r="AE1072" s="1414"/>
      <c r="AF1072" s="1414"/>
      <c r="AG1072" s="1414"/>
      <c r="AH1072" s="1414"/>
      <c r="AI1072" s="1414"/>
      <c r="AJ1072" s="1414"/>
      <c r="AK1072" s="1414"/>
      <c r="AL1072" s="1414"/>
      <c r="AM1072" s="1414"/>
      <c r="AN1072" s="1414"/>
      <c r="AO1072" s="1414"/>
      <c r="AP1072" s="1414"/>
      <c r="AQ1072" s="1414"/>
      <c r="AR1072" s="1414"/>
      <c r="AS1072" s="1414"/>
      <c r="AT1072" s="1414"/>
      <c r="AU1072" s="1414"/>
      <c r="AV1072" s="1414"/>
      <c r="AW1072" s="1414"/>
      <c r="AX1072" s="1414"/>
      <c r="AY1072" s="1399"/>
      <c r="AZ1072" s="1399"/>
      <c r="BA1072" s="1399"/>
      <c r="BB1072" s="1399"/>
      <c r="BC1072" s="1399"/>
      <c r="BD1072" s="1399"/>
      <c r="BE1072" s="1414"/>
      <c r="BF1072" s="1399"/>
      <c r="BG1072" s="1399"/>
      <c r="BH1072" s="1399"/>
      <c r="BI1072" s="1399"/>
      <c r="BJ1072" s="1399"/>
      <c r="BK1072" s="1399"/>
      <c r="BL1072" s="1399"/>
      <c r="BM1072" s="1399"/>
      <c r="BN1072" s="1399"/>
      <c r="BO1072" s="1399"/>
      <c r="BP1072" s="1399"/>
      <c r="BQ1072" s="1399"/>
      <c r="BR1072" s="1399"/>
      <c r="BS1072" s="1399"/>
      <c r="BT1072" s="1399"/>
      <c r="BU1072" s="1399"/>
      <c r="BV1072" s="1399"/>
      <c r="BW1072" s="1399"/>
      <c r="BX1072" s="1399"/>
      <c r="BY1072" s="1399"/>
      <c r="BZ1072" s="1399"/>
      <c r="CA1072" s="1399"/>
      <c r="CB1072" s="1399"/>
      <c r="CC1072" s="1399"/>
      <c r="CD1072" s="1399"/>
      <c r="CE1072" s="1399"/>
      <c r="CF1072" s="1399"/>
      <c r="CG1072" s="1399"/>
      <c r="CH1072" s="1399"/>
      <c r="CI1072" s="1399"/>
      <c r="CJ1072" s="1399"/>
      <c r="CK1072" s="1399"/>
      <c r="CL1072" s="1399"/>
      <c r="CM1072" s="1399"/>
      <c r="CN1072" s="1399"/>
      <c r="CO1072" s="1399"/>
      <c r="CP1072" s="1399"/>
      <c r="CQ1072" s="1399"/>
      <c r="CR1072" s="1399"/>
      <c r="CS1072" s="1399"/>
      <c r="CT1072" s="1399"/>
      <c r="CU1072" s="1399"/>
      <c r="CV1072" s="1399"/>
      <c r="CW1072" s="1399"/>
      <c r="CX1072" s="1399"/>
      <c r="CY1072" s="1399"/>
      <c r="CZ1072" s="1399"/>
      <c r="DA1072" s="1399"/>
      <c r="DB1072" s="1399"/>
      <c r="DC1072" s="1399"/>
      <c r="DD1072" s="1399"/>
      <c r="DE1072" s="1399"/>
      <c r="DF1072" s="1399"/>
      <c r="DG1072" s="1399"/>
      <c r="DH1072" s="1399"/>
      <c r="DI1072" s="1399"/>
      <c r="DJ1072" s="1399"/>
      <c r="DK1072" s="1399"/>
      <c r="DL1072" s="1399"/>
      <c r="DM1072" s="1399"/>
      <c r="DN1072" s="1399"/>
      <c r="DO1072" s="1399"/>
      <c r="DP1072" s="1399"/>
      <c r="DQ1072" s="1399"/>
      <c r="DR1072" s="1399"/>
      <c r="DS1072" s="1399"/>
      <c r="DT1072" s="1399"/>
      <c r="DU1072" s="1399"/>
    </row>
    <row r="1073" spans="1:125">
      <c r="A1073" s="1414"/>
      <c r="B1073" s="1414"/>
      <c r="C1073" s="1414"/>
      <c r="D1073" s="1414"/>
      <c r="E1073" s="1414"/>
      <c r="F1073" s="1414"/>
      <c r="G1073" s="1414"/>
      <c r="H1073" s="1414"/>
      <c r="I1073" s="1414"/>
      <c r="J1073" s="1414"/>
      <c r="K1073" s="1414"/>
      <c r="L1073" s="1414"/>
      <c r="M1073" s="1414"/>
      <c r="N1073" s="1414"/>
      <c r="O1073" s="1414"/>
      <c r="P1073" s="1414"/>
      <c r="Q1073" s="1414"/>
      <c r="R1073" s="1414"/>
      <c r="S1073" s="1414"/>
      <c r="T1073" s="1414"/>
      <c r="U1073" s="1414"/>
      <c r="V1073" s="1414"/>
      <c r="W1073" s="1414"/>
      <c r="X1073" s="1414"/>
      <c r="Y1073" s="1414"/>
      <c r="Z1073" s="1414"/>
      <c r="AA1073" s="1414"/>
      <c r="AB1073" s="1414"/>
      <c r="AC1073" s="1414"/>
      <c r="AD1073" s="1414"/>
      <c r="AE1073" s="1414"/>
      <c r="AF1073" s="1414"/>
      <c r="AG1073" s="1414"/>
      <c r="AH1073" s="1414"/>
      <c r="AI1073" s="1414"/>
      <c r="AJ1073" s="1414"/>
      <c r="AK1073" s="1414"/>
      <c r="AL1073" s="1414"/>
      <c r="AM1073" s="1414"/>
      <c r="AN1073" s="1414"/>
      <c r="AO1073" s="1414"/>
      <c r="AP1073" s="1414"/>
      <c r="AQ1073" s="1414"/>
      <c r="AR1073" s="1414"/>
      <c r="AS1073" s="1414"/>
      <c r="AT1073" s="1414"/>
      <c r="AU1073" s="1414"/>
      <c r="AV1073" s="1414"/>
      <c r="AW1073" s="1414"/>
      <c r="AX1073" s="1414"/>
      <c r="AY1073" s="1399"/>
      <c r="AZ1073" s="1399"/>
      <c r="BA1073" s="1399"/>
      <c r="BB1073" s="1399"/>
      <c r="BC1073" s="1399"/>
      <c r="BD1073" s="1399"/>
      <c r="BE1073" s="1414"/>
      <c r="BF1073" s="1399"/>
      <c r="BG1073" s="1399"/>
      <c r="BH1073" s="1399"/>
      <c r="BI1073" s="1399"/>
      <c r="BJ1073" s="1399"/>
      <c r="BK1073" s="1399"/>
      <c r="BL1073" s="1399"/>
      <c r="BM1073" s="1399"/>
      <c r="BN1073" s="1399"/>
      <c r="BO1073" s="1399"/>
      <c r="BP1073" s="1399"/>
      <c r="BQ1073" s="1399"/>
      <c r="BR1073" s="1399"/>
      <c r="BS1073" s="1399"/>
      <c r="BT1073" s="1399"/>
      <c r="BU1073" s="1399"/>
      <c r="BV1073" s="1399"/>
      <c r="BW1073" s="1399"/>
      <c r="BX1073" s="1399"/>
      <c r="BY1073" s="1399"/>
      <c r="BZ1073" s="1399"/>
      <c r="CA1073" s="1399"/>
      <c r="CB1073" s="1399"/>
      <c r="CC1073" s="1399"/>
      <c r="CD1073" s="1399"/>
      <c r="CE1073" s="1399"/>
      <c r="CF1073" s="1399"/>
      <c r="CG1073" s="1399"/>
      <c r="CH1073" s="1399"/>
      <c r="CI1073" s="1399"/>
      <c r="CJ1073" s="1399"/>
      <c r="CK1073" s="1399"/>
      <c r="CL1073" s="1399"/>
      <c r="CM1073" s="1399"/>
      <c r="CN1073" s="1399"/>
      <c r="CO1073" s="1399"/>
      <c r="CP1073" s="1399"/>
      <c r="CQ1073" s="1399"/>
      <c r="CR1073" s="1399"/>
      <c r="CS1073" s="1399"/>
      <c r="CT1073" s="1399"/>
      <c r="CU1073" s="1399"/>
      <c r="CV1073" s="1399"/>
      <c r="CW1073" s="1399"/>
      <c r="CX1073" s="1399"/>
      <c r="CY1073" s="1399"/>
      <c r="CZ1073" s="1399"/>
      <c r="DA1073" s="1399"/>
      <c r="DB1073" s="1399"/>
      <c r="DC1073" s="1399"/>
      <c r="DD1073" s="1399"/>
      <c r="DE1073" s="1399"/>
      <c r="DF1073" s="1399"/>
      <c r="DG1073" s="1399"/>
      <c r="DH1073" s="1399"/>
      <c r="DI1073" s="1399"/>
      <c r="DJ1073" s="1399"/>
      <c r="DK1073" s="1399"/>
      <c r="DL1073" s="1399"/>
      <c r="DM1073" s="1399"/>
      <c r="DN1073" s="1399"/>
      <c r="DO1073" s="1399"/>
      <c r="DP1073" s="1399"/>
      <c r="DQ1073" s="1399"/>
      <c r="DR1073" s="1399"/>
      <c r="DS1073" s="1399"/>
      <c r="DT1073" s="1399"/>
      <c r="DU1073" s="1399"/>
    </row>
    <row r="1074" spans="1:125">
      <c r="A1074" s="1414"/>
      <c r="B1074" s="1414"/>
      <c r="C1074" s="1414"/>
      <c r="D1074" s="1414"/>
      <c r="E1074" s="1414"/>
      <c r="F1074" s="1414"/>
      <c r="G1074" s="1414"/>
      <c r="H1074" s="1414"/>
      <c r="I1074" s="1414"/>
      <c r="J1074" s="1414"/>
      <c r="K1074" s="1414"/>
      <c r="L1074" s="1414"/>
      <c r="M1074" s="1414"/>
      <c r="N1074" s="1414"/>
      <c r="O1074" s="1414"/>
      <c r="P1074" s="1414"/>
      <c r="Q1074" s="1414"/>
      <c r="R1074" s="1414"/>
      <c r="S1074" s="1414"/>
      <c r="T1074" s="1414"/>
      <c r="U1074" s="1414"/>
      <c r="V1074" s="1414"/>
      <c r="W1074" s="1414"/>
      <c r="X1074" s="1414"/>
      <c r="Y1074" s="1414"/>
      <c r="Z1074" s="1414"/>
      <c r="AA1074" s="1414"/>
      <c r="AB1074" s="1414"/>
      <c r="AC1074" s="1414"/>
      <c r="AD1074" s="1414"/>
      <c r="AE1074" s="1414"/>
      <c r="AF1074" s="1414"/>
      <c r="AG1074" s="1414"/>
      <c r="AH1074" s="1414"/>
      <c r="AI1074" s="1414"/>
      <c r="AJ1074" s="1414"/>
      <c r="AK1074" s="1414"/>
      <c r="AL1074" s="1414"/>
      <c r="AM1074" s="1414"/>
      <c r="AN1074" s="1414"/>
      <c r="AO1074" s="1414"/>
      <c r="AP1074" s="1414"/>
      <c r="AQ1074" s="1414"/>
      <c r="AR1074" s="1414"/>
      <c r="AS1074" s="1414"/>
      <c r="AT1074" s="1414"/>
      <c r="AU1074" s="1414"/>
      <c r="AV1074" s="1414"/>
      <c r="AW1074" s="1414"/>
      <c r="AX1074" s="1414"/>
      <c r="AY1074" s="1399"/>
      <c r="AZ1074" s="1399"/>
      <c r="BA1074" s="1399"/>
      <c r="BB1074" s="1399"/>
      <c r="BC1074" s="1399"/>
      <c r="BD1074" s="1399"/>
      <c r="BE1074" s="1414"/>
      <c r="BF1074" s="1399"/>
      <c r="BG1074" s="1399"/>
      <c r="BH1074" s="1399"/>
      <c r="BI1074" s="1399"/>
      <c r="BJ1074" s="1399"/>
      <c r="BK1074" s="1399"/>
      <c r="BL1074" s="1399"/>
      <c r="BM1074" s="1399"/>
      <c r="BN1074" s="1399"/>
      <c r="BO1074" s="1399"/>
      <c r="BP1074" s="1399"/>
      <c r="BQ1074" s="1399"/>
      <c r="BR1074" s="1399"/>
      <c r="BS1074" s="1399"/>
      <c r="BT1074" s="1399"/>
      <c r="BU1074" s="1399"/>
      <c r="BV1074" s="1399"/>
      <c r="BW1074" s="1399"/>
      <c r="BX1074" s="1399"/>
      <c r="BY1074" s="1399"/>
      <c r="BZ1074" s="1399"/>
      <c r="CA1074" s="1399"/>
      <c r="CB1074" s="1399"/>
      <c r="CC1074" s="1399"/>
      <c r="CD1074" s="1399"/>
      <c r="CE1074" s="1399"/>
      <c r="CF1074" s="1399"/>
      <c r="CG1074" s="1399"/>
      <c r="CH1074" s="1399"/>
      <c r="CI1074" s="1399"/>
      <c r="CJ1074" s="1399"/>
      <c r="CK1074" s="1399"/>
      <c r="CL1074" s="1399"/>
      <c r="CM1074" s="1399"/>
      <c r="CN1074" s="1399"/>
      <c r="CO1074" s="1399"/>
      <c r="CP1074" s="1399"/>
      <c r="CQ1074" s="1399"/>
      <c r="CR1074" s="1399"/>
      <c r="CS1074" s="1399"/>
      <c r="CT1074" s="1399"/>
      <c r="CU1074" s="1399"/>
      <c r="CV1074" s="1399"/>
      <c r="CW1074" s="1399"/>
      <c r="CX1074" s="1399"/>
      <c r="CY1074" s="1399"/>
      <c r="CZ1074" s="1399"/>
      <c r="DA1074" s="1399"/>
      <c r="DB1074" s="1399"/>
      <c r="DC1074" s="1399"/>
      <c r="DD1074" s="1399"/>
      <c r="DE1074" s="1399"/>
      <c r="DF1074" s="1399"/>
      <c r="DG1074" s="1399"/>
      <c r="DH1074" s="1399"/>
      <c r="DI1074" s="1399"/>
      <c r="DJ1074" s="1399"/>
      <c r="DK1074" s="1399"/>
      <c r="DL1074" s="1399"/>
      <c r="DM1074" s="1399"/>
      <c r="DN1074" s="1399"/>
      <c r="DO1074" s="1399"/>
      <c r="DP1074" s="1399"/>
      <c r="DQ1074" s="1399"/>
      <c r="DR1074" s="1399"/>
      <c r="DS1074" s="1399"/>
      <c r="DT1074" s="1399"/>
      <c r="DU1074" s="1399"/>
    </row>
    <row r="1075" spans="1:125">
      <c r="A1075" s="1414"/>
      <c r="B1075" s="1414"/>
      <c r="C1075" s="1414"/>
      <c r="D1075" s="1414"/>
      <c r="E1075" s="1414"/>
      <c r="F1075" s="1414"/>
      <c r="G1075" s="1414"/>
      <c r="H1075" s="1414"/>
      <c r="I1075" s="1414"/>
      <c r="J1075" s="1414"/>
      <c r="K1075" s="1414"/>
      <c r="L1075" s="1414"/>
      <c r="M1075" s="1414"/>
      <c r="N1075" s="1414"/>
      <c r="O1075" s="1414"/>
      <c r="P1075" s="1414"/>
      <c r="Q1075" s="1414"/>
      <c r="R1075" s="1414"/>
      <c r="S1075" s="1414"/>
      <c r="T1075" s="1414"/>
      <c r="U1075" s="1414"/>
      <c r="V1075" s="1414"/>
      <c r="W1075" s="1414"/>
      <c r="X1075" s="1414"/>
      <c r="Y1075" s="1414"/>
      <c r="Z1075" s="1414"/>
      <c r="AA1075" s="1414"/>
      <c r="AB1075" s="1414"/>
      <c r="AC1075" s="1414"/>
      <c r="AD1075" s="1414"/>
      <c r="AE1075" s="1414"/>
      <c r="AF1075" s="1414"/>
      <c r="AG1075" s="1414"/>
      <c r="AH1075" s="1414"/>
      <c r="AI1075" s="1414"/>
      <c r="AJ1075" s="1414"/>
      <c r="AK1075" s="1414"/>
      <c r="AL1075" s="1414"/>
      <c r="AM1075" s="1414"/>
      <c r="AN1075" s="1414"/>
      <c r="AO1075" s="1414"/>
      <c r="AP1075" s="1414"/>
      <c r="AQ1075" s="1414"/>
      <c r="AR1075" s="1414"/>
      <c r="AS1075" s="1414"/>
      <c r="AT1075" s="1414"/>
      <c r="AU1075" s="1414"/>
      <c r="AV1075" s="1414"/>
      <c r="AW1075" s="1414"/>
      <c r="AX1075" s="1414"/>
      <c r="AY1075" s="1399"/>
      <c r="AZ1075" s="1399"/>
      <c r="BA1075" s="1399"/>
      <c r="BB1075" s="1399"/>
      <c r="BC1075" s="1399"/>
      <c r="BD1075" s="1399"/>
      <c r="BE1075" s="1414"/>
      <c r="BF1075" s="1399"/>
      <c r="BG1075" s="1399"/>
      <c r="BH1075" s="1399"/>
      <c r="BI1075" s="1399"/>
      <c r="BJ1075" s="1399"/>
      <c r="BK1075" s="1399"/>
      <c r="BL1075" s="1399"/>
      <c r="BM1075" s="1399"/>
      <c r="BN1075" s="1399"/>
      <c r="BO1075" s="1399"/>
      <c r="BP1075" s="1399"/>
      <c r="BQ1075" s="1399"/>
      <c r="BR1075" s="1399"/>
      <c r="BS1075" s="1399"/>
      <c r="BT1075" s="1399"/>
      <c r="BU1075" s="1399"/>
      <c r="BV1075" s="1399"/>
      <c r="BW1075" s="1399"/>
      <c r="BX1075" s="1399"/>
      <c r="BY1075" s="1399"/>
      <c r="BZ1075" s="1399"/>
      <c r="CA1075" s="1399"/>
      <c r="CB1075" s="1399"/>
      <c r="CC1075" s="1399"/>
      <c r="CD1075" s="1399"/>
      <c r="CE1075" s="1399"/>
      <c r="CF1075" s="1399"/>
      <c r="CG1075" s="1399"/>
      <c r="CH1075" s="1399"/>
      <c r="CI1075" s="1399"/>
      <c r="CJ1075" s="1399"/>
      <c r="CK1075" s="1399"/>
      <c r="CL1075" s="1399"/>
      <c r="CM1075" s="1399"/>
      <c r="CN1075" s="1399"/>
      <c r="CO1075" s="1399"/>
      <c r="CP1075" s="1399"/>
      <c r="CQ1075" s="1399"/>
      <c r="CR1075" s="1399"/>
      <c r="CS1075" s="1399"/>
      <c r="CT1075" s="1399"/>
      <c r="CU1075" s="1399"/>
      <c r="CV1075" s="1399"/>
      <c r="CW1075" s="1399"/>
      <c r="CX1075" s="1399"/>
      <c r="CY1075" s="1399"/>
      <c r="CZ1075" s="1399"/>
      <c r="DA1075" s="1399"/>
      <c r="DB1075" s="1399"/>
      <c r="DC1075" s="1399"/>
      <c r="DD1075" s="1399"/>
      <c r="DE1075" s="1399"/>
      <c r="DF1075" s="1399"/>
      <c r="DG1075" s="1399"/>
      <c r="DH1075" s="1399"/>
      <c r="DI1075" s="1399"/>
      <c r="DJ1075" s="1399"/>
      <c r="DK1075" s="1399"/>
      <c r="DL1075" s="1399"/>
      <c r="DM1075" s="1399"/>
      <c r="DN1075" s="1399"/>
      <c r="DO1075" s="1399"/>
      <c r="DP1075" s="1399"/>
      <c r="DQ1075" s="1399"/>
      <c r="DR1075" s="1399"/>
      <c r="DS1075" s="1399"/>
      <c r="DT1075" s="1399"/>
      <c r="DU1075" s="1399"/>
    </row>
    <row r="1076" spans="1:125">
      <c r="A1076" s="1414"/>
      <c r="B1076" s="1414"/>
      <c r="C1076" s="1414"/>
      <c r="D1076" s="1414"/>
      <c r="E1076" s="1414"/>
      <c r="F1076" s="1414"/>
      <c r="G1076" s="1414"/>
      <c r="H1076" s="1414"/>
      <c r="I1076" s="1414"/>
      <c r="J1076" s="1414"/>
      <c r="K1076" s="1414"/>
      <c r="L1076" s="1414"/>
      <c r="M1076" s="1414"/>
      <c r="N1076" s="1414"/>
      <c r="O1076" s="1414"/>
      <c r="P1076" s="1414"/>
      <c r="Q1076" s="1414"/>
      <c r="R1076" s="1414"/>
      <c r="S1076" s="1414"/>
      <c r="T1076" s="1414"/>
      <c r="U1076" s="1414"/>
      <c r="V1076" s="1414"/>
      <c r="W1076" s="1414"/>
      <c r="X1076" s="1414"/>
      <c r="Y1076" s="1414"/>
      <c r="Z1076" s="1414"/>
      <c r="AA1076" s="1414"/>
      <c r="AB1076" s="1414"/>
      <c r="AC1076" s="1414"/>
      <c r="AD1076" s="1414"/>
      <c r="AE1076" s="1414"/>
      <c r="AF1076" s="1414"/>
      <c r="AG1076" s="1414"/>
      <c r="AH1076" s="1414"/>
      <c r="AI1076" s="1414"/>
      <c r="AJ1076" s="1414"/>
      <c r="AK1076" s="1414"/>
      <c r="AL1076" s="1414"/>
      <c r="AM1076" s="1414"/>
      <c r="AN1076" s="1414"/>
      <c r="AO1076" s="1414"/>
      <c r="AP1076" s="1414"/>
      <c r="AQ1076" s="1414"/>
      <c r="AR1076" s="1414"/>
      <c r="AS1076" s="1414"/>
      <c r="AT1076" s="1414"/>
      <c r="AU1076" s="1414"/>
      <c r="AV1076" s="1414"/>
      <c r="AW1076" s="1414"/>
      <c r="AX1076" s="1414"/>
      <c r="AY1076" s="1399"/>
      <c r="AZ1076" s="1399"/>
      <c r="BA1076" s="1399"/>
      <c r="BB1076" s="1399"/>
      <c r="BC1076" s="1399"/>
      <c r="BD1076" s="1399"/>
      <c r="BE1076" s="1414"/>
      <c r="BF1076" s="1399"/>
      <c r="BG1076" s="1399"/>
      <c r="BH1076" s="1399"/>
      <c r="BI1076" s="1399"/>
      <c r="BJ1076" s="1399"/>
      <c r="BK1076" s="1399"/>
      <c r="BL1076" s="1399"/>
      <c r="BM1076" s="1399"/>
      <c r="BN1076" s="1399"/>
      <c r="BO1076" s="1399"/>
      <c r="BP1076" s="1399"/>
      <c r="BQ1076" s="1399"/>
      <c r="BR1076" s="1399"/>
      <c r="BS1076" s="1399"/>
      <c r="BT1076" s="1399"/>
      <c r="BU1076" s="1399"/>
      <c r="BV1076" s="1399"/>
      <c r="BW1076" s="1399"/>
      <c r="BX1076" s="1399"/>
      <c r="BY1076" s="1399"/>
      <c r="BZ1076" s="1399"/>
      <c r="CA1076" s="1399"/>
      <c r="CB1076" s="1399"/>
      <c r="CC1076" s="1399"/>
      <c r="CD1076" s="1399"/>
      <c r="CE1076" s="1399"/>
      <c r="CF1076" s="1399"/>
      <c r="CG1076" s="1399"/>
      <c r="CH1076" s="1399"/>
      <c r="CI1076" s="1399"/>
      <c r="CJ1076" s="1399"/>
      <c r="CK1076" s="1399"/>
      <c r="CL1076" s="1399"/>
      <c r="CM1076" s="1399"/>
      <c r="CN1076" s="1399"/>
      <c r="CO1076" s="1399"/>
      <c r="CP1076" s="1399"/>
      <c r="CQ1076" s="1399"/>
      <c r="CR1076" s="1399"/>
      <c r="CS1076" s="1399"/>
      <c r="CT1076" s="1399"/>
      <c r="CU1076" s="1399"/>
      <c r="CV1076" s="1399"/>
      <c r="CW1076" s="1399"/>
      <c r="CX1076" s="1399"/>
      <c r="CY1076" s="1399"/>
      <c r="CZ1076" s="1399"/>
      <c r="DA1076" s="1399"/>
      <c r="DB1076" s="1399"/>
      <c r="DC1076" s="1399"/>
      <c r="DD1076" s="1399"/>
      <c r="DE1076" s="1399"/>
      <c r="DF1076" s="1399"/>
      <c r="DG1076" s="1399"/>
      <c r="DH1076" s="1399"/>
      <c r="DI1076" s="1399"/>
      <c r="DJ1076" s="1399"/>
      <c r="DK1076" s="1399"/>
      <c r="DL1076" s="1399"/>
      <c r="DM1076" s="1399"/>
      <c r="DN1076" s="1399"/>
      <c r="DO1076" s="1399"/>
      <c r="DP1076" s="1399"/>
      <c r="DQ1076" s="1399"/>
      <c r="DR1076" s="1399"/>
      <c r="DS1076" s="1399"/>
      <c r="DT1076" s="1399"/>
      <c r="DU1076" s="1399"/>
    </row>
    <row r="1077" spans="1:125">
      <c r="A1077" s="1414"/>
      <c r="B1077" s="1414"/>
      <c r="C1077" s="1414"/>
      <c r="D1077" s="1414"/>
      <c r="E1077" s="1414"/>
      <c r="F1077" s="1414"/>
      <c r="G1077" s="1414"/>
      <c r="H1077" s="1414"/>
      <c r="I1077" s="1414"/>
      <c r="J1077" s="1414"/>
      <c r="K1077" s="1414"/>
      <c r="L1077" s="1414"/>
      <c r="M1077" s="1414"/>
      <c r="N1077" s="1414"/>
      <c r="O1077" s="1414"/>
      <c r="P1077" s="1414"/>
      <c r="Q1077" s="1414"/>
      <c r="R1077" s="1414"/>
      <c r="S1077" s="1414"/>
      <c r="T1077" s="1414"/>
      <c r="U1077" s="1414"/>
      <c r="V1077" s="1414"/>
      <c r="W1077" s="1414"/>
      <c r="X1077" s="1414"/>
      <c r="Y1077" s="1414"/>
      <c r="Z1077" s="1414"/>
      <c r="AA1077" s="1414"/>
      <c r="AB1077" s="1414"/>
      <c r="AC1077" s="1414"/>
      <c r="AD1077" s="1414"/>
      <c r="AE1077" s="1414"/>
      <c r="AF1077" s="1414"/>
      <c r="AG1077" s="1414"/>
      <c r="AH1077" s="1414"/>
      <c r="AI1077" s="1414"/>
      <c r="AJ1077" s="1414"/>
      <c r="AK1077" s="1414"/>
      <c r="AL1077" s="1414"/>
      <c r="AM1077" s="1414"/>
      <c r="AN1077" s="1414"/>
      <c r="AO1077" s="1414"/>
      <c r="AP1077" s="1414"/>
      <c r="AQ1077" s="1414"/>
      <c r="AR1077" s="1414"/>
      <c r="AS1077" s="1414"/>
      <c r="AT1077" s="1414"/>
      <c r="AU1077" s="1414"/>
      <c r="AV1077" s="1414"/>
      <c r="AW1077" s="1414"/>
      <c r="AX1077" s="1414"/>
      <c r="AY1077" s="1399"/>
      <c r="AZ1077" s="1399"/>
      <c r="BA1077" s="1399"/>
      <c r="BB1077" s="1399"/>
      <c r="BC1077" s="1399"/>
      <c r="BD1077" s="1399"/>
      <c r="BE1077" s="1414"/>
      <c r="BF1077" s="1399"/>
      <c r="BG1077" s="1399"/>
      <c r="BH1077" s="1399"/>
      <c r="BI1077" s="1399"/>
      <c r="BJ1077" s="1399"/>
      <c r="BK1077" s="1399"/>
      <c r="BL1077" s="1399"/>
      <c r="BM1077" s="1399"/>
      <c r="BN1077" s="1399"/>
      <c r="BO1077" s="1399"/>
      <c r="BP1077" s="1399"/>
      <c r="BQ1077" s="1399"/>
      <c r="BR1077" s="1399"/>
      <c r="BS1077" s="1399"/>
      <c r="BT1077" s="1399"/>
      <c r="BU1077" s="1399"/>
      <c r="BV1077" s="1399"/>
      <c r="BW1077" s="1399"/>
      <c r="BX1077" s="1399"/>
      <c r="BY1077" s="1399"/>
      <c r="BZ1077" s="1399"/>
      <c r="CA1077" s="1399"/>
      <c r="CB1077" s="1399"/>
      <c r="CC1077" s="1399"/>
      <c r="CD1077" s="1399"/>
      <c r="CE1077" s="1399"/>
      <c r="CF1077" s="1399"/>
      <c r="CG1077" s="1399"/>
      <c r="CH1077" s="1399"/>
      <c r="CI1077" s="1399"/>
      <c r="CJ1077" s="1399"/>
      <c r="CK1077" s="1399"/>
      <c r="CL1077" s="1399"/>
      <c r="CM1077" s="1399"/>
      <c r="CN1077" s="1399"/>
      <c r="CO1077" s="1399"/>
      <c r="CP1077" s="1399"/>
      <c r="CQ1077" s="1399"/>
      <c r="CR1077" s="1399"/>
      <c r="CS1077" s="1399"/>
      <c r="CT1077" s="1399"/>
      <c r="CU1077" s="1399"/>
      <c r="CV1077" s="1399"/>
      <c r="CW1077" s="1399"/>
      <c r="CX1077" s="1399"/>
      <c r="CY1077" s="1399"/>
      <c r="CZ1077" s="1399"/>
      <c r="DA1077" s="1399"/>
      <c r="DB1077" s="1399"/>
      <c r="DC1077" s="1399"/>
      <c r="DD1077" s="1399"/>
      <c r="DE1077" s="1399"/>
      <c r="DF1077" s="1399"/>
      <c r="DG1077" s="1399"/>
      <c r="DH1077" s="1399"/>
      <c r="DI1077" s="1399"/>
      <c r="DJ1077" s="1399"/>
      <c r="DK1077" s="1399"/>
      <c r="DL1077" s="1399"/>
      <c r="DM1077" s="1399"/>
      <c r="DN1077" s="1399"/>
      <c r="DO1077" s="1399"/>
      <c r="DP1077" s="1399"/>
      <c r="DQ1077" s="1399"/>
      <c r="DR1077" s="1399"/>
      <c r="DS1077" s="1399"/>
      <c r="DT1077" s="1399"/>
      <c r="DU1077" s="1399"/>
    </row>
    <row r="1078" spans="1:125">
      <c r="A1078" s="1414"/>
      <c r="B1078" s="1414"/>
      <c r="C1078" s="1414"/>
      <c r="D1078" s="1414"/>
      <c r="E1078" s="1414"/>
      <c r="F1078" s="1414"/>
      <c r="G1078" s="1414"/>
      <c r="H1078" s="1414"/>
      <c r="I1078" s="1414"/>
      <c r="J1078" s="1414"/>
      <c r="K1078" s="1414"/>
      <c r="L1078" s="1414"/>
      <c r="M1078" s="1414"/>
      <c r="N1078" s="1414"/>
      <c r="O1078" s="1414"/>
      <c r="P1078" s="1414"/>
      <c r="Q1078" s="1414"/>
      <c r="R1078" s="1414"/>
      <c r="S1078" s="1414"/>
      <c r="T1078" s="1414"/>
      <c r="U1078" s="1414"/>
      <c r="V1078" s="1414"/>
      <c r="W1078" s="1414"/>
      <c r="X1078" s="1414"/>
      <c r="Y1078" s="1414"/>
      <c r="Z1078" s="1414"/>
      <c r="AA1078" s="1414"/>
      <c r="AB1078" s="1414"/>
      <c r="AC1078" s="1414"/>
      <c r="AD1078" s="1414"/>
      <c r="AE1078" s="1414"/>
      <c r="AF1078" s="1414"/>
      <c r="AG1078" s="1414"/>
      <c r="AH1078" s="1414"/>
      <c r="AI1078" s="1414"/>
      <c r="AJ1078" s="1414"/>
      <c r="AK1078" s="1414"/>
      <c r="AL1078" s="1414"/>
      <c r="AM1078" s="1414"/>
      <c r="AN1078" s="1414"/>
      <c r="AO1078" s="1414"/>
      <c r="AP1078" s="1414"/>
      <c r="AQ1078" s="1414"/>
      <c r="AR1078" s="1414"/>
      <c r="AS1078" s="1414"/>
      <c r="AT1078" s="1414"/>
      <c r="AU1078" s="1414"/>
      <c r="AV1078" s="1414"/>
      <c r="AW1078" s="1414"/>
      <c r="AX1078" s="1414"/>
      <c r="AY1078" s="1399"/>
      <c r="AZ1078" s="1399"/>
      <c r="BA1078" s="1399"/>
      <c r="BB1078" s="1399"/>
      <c r="BC1078" s="1399"/>
      <c r="BD1078" s="1399"/>
      <c r="BE1078" s="1414"/>
      <c r="BF1078" s="1399"/>
      <c r="BG1078" s="1399"/>
      <c r="BH1078" s="1399"/>
      <c r="BI1078" s="1399"/>
      <c r="BJ1078" s="1399"/>
      <c r="BK1078" s="1399"/>
      <c r="BL1078" s="1399"/>
      <c r="BM1078" s="1399"/>
      <c r="BN1078" s="1399"/>
      <c r="BO1078" s="1399"/>
      <c r="BP1078" s="1399"/>
      <c r="BQ1078" s="1399"/>
      <c r="BR1078" s="1399"/>
      <c r="BS1078" s="1399"/>
      <c r="BT1078" s="1399"/>
      <c r="BU1078" s="1399"/>
      <c r="BV1078" s="1399"/>
      <c r="BW1078" s="1399"/>
      <c r="BX1078" s="1399"/>
      <c r="BY1078" s="1399"/>
      <c r="BZ1078" s="1399"/>
      <c r="CA1078" s="1399"/>
      <c r="CB1078" s="1399"/>
      <c r="CC1078" s="1399"/>
      <c r="CD1078" s="1399"/>
      <c r="CE1078" s="1399"/>
      <c r="CF1078" s="1399"/>
      <c r="CG1078" s="1399"/>
      <c r="CH1078" s="1399"/>
      <c r="CI1078" s="1399"/>
      <c r="CJ1078" s="1399"/>
      <c r="CK1078" s="1399"/>
      <c r="CL1078" s="1399"/>
      <c r="CM1078" s="1399"/>
      <c r="CN1078" s="1399"/>
      <c r="CO1078" s="1399"/>
      <c r="CP1078" s="1399"/>
      <c r="CQ1078" s="1399"/>
      <c r="CR1078" s="1399"/>
      <c r="CS1078" s="1399"/>
      <c r="CT1078" s="1399"/>
      <c r="CU1078" s="1399"/>
      <c r="CV1078" s="1399"/>
      <c r="CW1078" s="1399"/>
      <c r="CX1078" s="1399"/>
      <c r="CY1078" s="1399"/>
      <c r="CZ1078" s="1399"/>
      <c r="DA1078" s="1399"/>
      <c r="DB1078" s="1399"/>
      <c r="DC1078" s="1399"/>
      <c r="DD1078" s="1399"/>
      <c r="DE1078" s="1399"/>
      <c r="DF1078" s="1399"/>
      <c r="DG1078" s="1399"/>
      <c r="DH1078" s="1399"/>
      <c r="DI1078" s="1399"/>
      <c r="DJ1078" s="1399"/>
      <c r="DK1078" s="1399"/>
      <c r="DL1078" s="1399"/>
      <c r="DM1078" s="1399"/>
      <c r="DN1078" s="1399"/>
      <c r="DO1078" s="1399"/>
      <c r="DP1078" s="1399"/>
      <c r="DQ1078" s="1399"/>
      <c r="DR1078" s="1399"/>
      <c r="DS1078" s="1399"/>
      <c r="DT1078" s="1399"/>
      <c r="DU1078" s="1399"/>
    </row>
    <row r="1079" spans="1:125">
      <c r="A1079" s="1414"/>
      <c r="B1079" s="1414"/>
      <c r="C1079" s="1414"/>
      <c r="D1079" s="1414"/>
      <c r="E1079" s="1414"/>
      <c r="F1079" s="1414"/>
      <c r="G1079" s="1414"/>
      <c r="H1079" s="1414"/>
      <c r="I1079" s="1414"/>
      <c r="J1079" s="1414"/>
      <c r="K1079" s="1414"/>
      <c r="L1079" s="1414"/>
      <c r="M1079" s="1414"/>
      <c r="N1079" s="1414"/>
      <c r="O1079" s="1414"/>
      <c r="P1079" s="1414"/>
      <c r="Q1079" s="1414"/>
      <c r="R1079" s="1414"/>
      <c r="S1079" s="1414"/>
      <c r="T1079" s="1414"/>
      <c r="U1079" s="1414"/>
      <c r="V1079" s="1414"/>
      <c r="W1079" s="1414"/>
      <c r="X1079" s="1414"/>
      <c r="Y1079" s="1414"/>
      <c r="Z1079" s="1414"/>
      <c r="AA1079" s="1414"/>
      <c r="AB1079" s="1414"/>
      <c r="AC1079" s="1414"/>
      <c r="AD1079" s="1414"/>
      <c r="AE1079" s="1414"/>
      <c r="AF1079" s="1414"/>
      <c r="AG1079" s="1414"/>
      <c r="AH1079" s="1414"/>
      <c r="AI1079" s="1414"/>
      <c r="AJ1079" s="1414"/>
      <c r="AK1079" s="1414"/>
      <c r="AL1079" s="1414"/>
      <c r="AM1079" s="1414"/>
      <c r="AN1079" s="1414"/>
      <c r="AO1079" s="1414"/>
      <c r="AP1079" s="1414"/>
      <c r="AQ1079" s="1414"/>
      <c r="AR1079" s="1414"/>
      <c r="AS1079" s="1414"/>
      <c r="AT1079" s="1414"/>
      <c r="AU1079" s="1414"/>
      <c r="AV1079" s="1414"/>
      <c r="AW1079" s="1414"/>
      <c r="AX1079" s="1414"/>
      <c r="AY1079" s="1399"/>
      <c r="AZ1079" s="1399"/>
      <c r="BA1079" s="1399"/>
      <c r="BB1079" s="1399"/>
      <c r="BC1079" s="1399"/>
      <c r="BD1079" s="1399"/>
      <c r="BE1079" s="1414"/>
      <c r="BF1079" s="1399"/>
      <c r="BG1079" s="1399"/>
      <c r="BH1079" s="1399"/>
      <c r="BI1079" s="1399"/>
      <c r="BJ1079" s="1399"/>
      <c r="BK1079" s="1399"/>
      <c r="BL1079" s="1399"/>
      <c r="BM1079" s="1399"/>
      <c r="BN1079" s="1399"/>
      <c r="BO1079" s="1399"/>
      <c r="BP1079" s="1399"/>
      <c r="BQ1079" s="1399"/>
      <c r="BR1079" s="1399"/>
      <c r="BS1079" s="1399"/>
      <c r="BT1079" s="1399"/>
      <c r="BU1079" s="1399"/>
      <c r="BV1079" s="1399"/>
      <c r="BW1079" s="1399"/>
      <c r="BX1079" s="1399"/>
      <c r="BY1079" s="1399"/>
      <c r="BZ1079" s="1399"/>
      <c r="CA1079" s="1399"/>
      <c r="CB1079" s="1399"/>
      <c r="CC1079" s="1399"/>
      <c r="CD1079" s="1399"/>
      <c r="CE1079" s="1399"/>
      <c r="CF1079" s="1399"/>
      <c r="CG1079" s="1399"/>
      <c r="CH1079" s="1399"/>
      <c r="CI1079" s="1399"/>
      <c r="CJ1079" s="1399"/>
      <c r="CK1079" s="1399"/>
      <c r="CL1079" s="1399"/>
      <c r="CM1079" s="1399"/>
      <c r="CN1079" s="1399"/>
      <c r="CO1079" s="1399"/>
      <c r="CP1079" s="1399"/>
      <c r="CQ1079" s="1399"/>
      <c r="CR1079" s="1399"/>
      <c r="CS1079" s="1399"/>
      <c r="CT1079" s="1399"/>
      <c r="CU1079" s="1399"/>
      <c r="CV1079" s="1399"/>
      <c r="CW1079" s="1399"/>
      <c r="CX1079" s="1399"/>
      <c r="CY1079" s="1399"/>
      <c r="CZ1079" s="1399"/>
      <c r="DA1079" s="1399"/>
      <c r="DB1079" s="1399"/>
      <c r="DC1079" s="1399"/>
      <c r="DD1079" s="1399"/>
      <c r="DE1079" s="1399"/>
      <c r="DF1079" s="1399"/>
      <c r="DG1079" s="1399"/>
      <c r="DH1079" s="1399"/>
      <c r="DI1079" s="1399"/>
      <c r="DJ1079" s="1399"/>
      <c r="DK1079" s="1399"/>
      <c r="DL1079" s="1399"/>
      <c r="DM1079" s="1399"/>
      <c r="DN1079" s="1399"/>
      <c r="DO1079" s="1399"/>
      <c r="DP1079" s="1399"/>
      <c r="DQ1079" s="1399"/>
      <c r="DR1079" s="1399"/>
      <c r="DS1079" s="1399"/>
      <c r="DT1079" s="1399"/>
      <c r="DU1079" s="1399"/>
    </row>
    <row r="1080" spans="1:125">
      <c r="A1080" s="1414"/>
      <c r="B1080" s="1414"/>
      <c r="C1080" s="1414"/>
      <c r="D1080" s="1414"/>
      <c r="E1080" s="1414"/>
      <c r="F1080" s="1414"/>
      <c r="G1080" s="1414"/>
      <c r="H1080" s="1414"/>
      <c r="I1080" s="1414"/>
      <c r="J1080" s="1414"/>
      <c r="K1080" s="1414"/>
      <c r="L1080" s="1414"/>
      <c r="M1080" s="1414"/>
      <c r="N1080" s="1414"/>
      <c r="O1080" s="1414"/>
      <c r="P1080" s="1414"/>
      <c r="Q1080" s="1414"/>
      <c r="R1080" s="1414"/>
      <c r="S1080" s="1414"/>
      <c r="T1080" s="1414"/>
      <c r="U1080" s="1414"/>
      <c r="V1080" s="1414"/>
      <c r="W1080" s="1414"/>
      <c r="X1080" s="1414"/>
      <c r="Y1080" s="1414"/>
      <c r="Z1080" s="1414"/>
      <c r="AA1080" s="1414"/>
      <c r="AB1080" s="1414"/>
      <c r="AC1080" s="1414"/>
      <c r="AD1080" s="1414"/>
      <c r="AE1080" s="1414"/>
      <c r="AF1080" s="1414"/>
      <c r="AG1080" s="1414"/>
      <c r="AH1080" s="1414"/>
      <c r="AI1080" s="1414"/>
      <c r="AJ1080" s="1414"/>
      <c r="AK1080" s="1414"/>
      <c r="AL1080" s="1414"/>
      <c r="AM1080" s="1414"/>
      <c r="AN1080" s="1414"/>
      <c r="AO1080" s="1414"/>
      <c r="AP1080" s="1414"/>
      <c r="AQ1080" s="1414"/>
      <c r="AR1080" s="1414"/>
      <c r="AS1080" s="1414"/>
      <c r="AT1080" s="1414"/>
      <c r="AU1080" s="1414"/>
      <c r="AV1080" s="1414"/>
      <c r="AW1080" s="1414"/>
      <c r="AX1080" s="1414"/>
      <c r="AY1080" s="1399"/>
      <c r="AZ1080" s="1399"/>
      <c r="BA1080" s="1399"/>
      <c r="BB1080" s="1399"/>
      <c r="BC1080" s="1399"/>
      <c r="BD1080" s="1399"/>
      <c r="BE1080" s="1414"/>
      <c r="BF1080" s="1399"/>
      <c r="BG1080" s="1399"/>
      <c r="BH1080" s="1399"/>
      <c r="BI1080" s="1399"/>
      <c r="BJ1080" s="1399"/>
      <c r="BK1080" s="1399"/>
      <c r="BL1080" s="1399"/>
      <c r="BM1080" s="1399"/>
      <c r="BN1080" s="1399"/>
      <c r="BO1080" s="1399"/>
      <c r="BP1080" s="1399"/>
      <c r="BQ1080" s="1399"/>
      <c r="BR1080" s="1399"/>
      <c r="BS1080" s="1399"/>
      <c r="BT1080" s="1399"/>
      <c r="BU1080" s="1399"/>
      <c r="BV1080" s="1399"/>
      <c r="BW1080" s="1399"/>
      <c r="BX1080" s="1399"/>
      <c r="BY1080" s="1399"/>
      <c r="BZ1080" s="1399"/>
      <c r="CA1080" s="1399"/>
      <c r="CB1080" s="1399"/>
      <c r="CC1080" s="1399"/>
      <c r="CD1080" s="1399"/>
      <c r="CE1080" s="1399"/>
      <c r="CF1080" s="1399"/>
      <c r="CG1080" s="1399"/>
      <c r="CH1080" s="1399"/>
      <c r="CI1080" s="1399"/>
      <c r="CJ1080" s="1399"/>
      <c r="CK1080" s="1399"/>
      <c r="CL1080" s="1399"/>
      <c r="CM1080" s="1399"/>
      <c r="CN1080" s="1399"/>
      <c r="CO1080" s="1399"/>
      <c r="CP1080" s="1399"/>
      <c r="CQ1080" s="1399"/>
      <c r="CR1080" s="1399"/>
      <c r="CS1080" s="1399"/>
      <c r="CT1080" s="1399"/>
      <c r="CU1080" s="1399"/>
      <c r="CV1080" s="1399"/>
      <c r="CW1080" s="1399"/>
      <c r="CX1080" s="1399"/>
      <c r="CY1080" s="1399"/>
      <c r="CZ1080" s="1399"/>
      <c r="DA1080" s="1399"/>
      <c r="DB1080" s="1399"/>
      <c r="DC1080" s="1399"/>
      <c r="DD1080" s="1399"/>
      <c r="DE1080" s="1399"/>
      <c r="DF1080" s="1399"/>
      <c r="DG1080" s="1399"/>
      <c r="DH1080" s="1399"/>
      <c r="DI1080" s="1399"/>
      <c r="DJ1080" s="1399"/>
      <c r="DK1080" s="1399"/>
      <c r="DL1080" s="1399"/>
      <c r="DM1080" s="1399"/>
      <c r="DN1080" s="1399"/>
      <c r="DO1080" s="1399"/>
      <c r="DP1080" s="1399"/>
      <c r="DQ1080" s="1399"/>
      <c r="DR1080" s="1399"/>
      <c r="DS1080" s="1399"/>
      <c r="DT1080" s="1399"/>
      <c r="DU1080" s="1399"/>
    </row>
    <row r="1081" spans="1:125">
      <c r="A1081" s="1414"/>
      <c r="B1081" s="1414"/>
      <c r="C1081" s="1414"/>
      <c r="D1081" s="1414"/>
      <c r="E1081" s="1414"/>
      <c r="F1081" s="1414"/>
      <c r="G1081" s="1414"/>
      <c r="H1081" s="1414"/>
      <c r="I1081" s="1414"/>
      <c r="J1081" s="1414"/>
      <c r="K1081" s="1414"/>
      <c r="L1081" s="1414"/>
      <c r="M1081" s="1414"/>
      <c r="N1081" s="1414"/>
      <c r="O1081" s="1414"/>
      <c r="P1081" s="1414"/>
      <c r="Q1081" s="1414"/>
      <c r="R1081" s="1414"/>
      <c r="S1081" s="1414"/>
      <c r="T1081" s="1414"/>
      <c r="U1081" s="1414"/>
      <c r="V1081" s="1414"/>
      <c r="W1081" s="1414"/>
      <c r="X1081" s="1414"/>
      <c r="Y1081" s="1414"/>
      <c r="Z1081" s="1414"/>
      <c r="AA1081" s="1414"/>
      <c r="AB1081" s="1414"/>
      <c r="AC1081" s="1414"/>
      <c r="AD1081" s="1414"/>
      <c r="AE1081" s="1414"/>
      <c r="AF1081" s="1414"/>
      <c r="AG1081" s="1414"/>
      <c r="AH1081" s="1414"/>
      <c r="AI1081" s="1414"/>
      <c r="AJ1081" s="1414"/>
      <c r="AK1081" s="1414"/>
      <c r="AL1081" s="1414"/>
      <c r="AM1081" s="1414"/>
      <c r="AN1081" s="1414"/>
      <c r="AO1081" s="1414"/>
      <c r="AP1081" s="1414"/>
      <c r="AQ1081" s="1414"/>
      <c r="AR1081" s="1414"/>
      <c r="AS1081" s="1414"/>
      <c r="AT1081" s="1414"/>
      <c r="AU1081" s="1414"/>
      <c r="AV1081" s="1414"/>
      <c r="AW1081" s="1414"/>
      <c r="AX1081" s="1414"/>
      <c r="AY1081" s="1399"/>
      <c r="AZ1081" s="1399"/>
      <c r="BA1081" s="1399"/>
      <c r="BB1081" s="1399"/>
      <c r="BC1081" s="1399"/>
      <c r="BD1081" s="1399"/>
      <c r="BE1081" s="1414"/>
      <c r="BF1081" s="1399"/>
      <c r="BG1081" s="1399"/>
      <c r="BH1081" s="1399"/>
      <c r="BI1081" s="1399"/>
      <c r="BJ1081" s="1399"/>
      <c r="BK1081" s="1399"/>
      <c r="BL1081" s="1399"/>
      <c r="BM1081" s="1399"/>
      <c r="BN1081" s="1399"/>
      <c r="BO1081" s="1399"/>
      <c r="BP1081" s="1399"/>
      <c r="BQ1081" s="1399"/>
      <c r="BR1081" s="1399"/>
      <c r="BS1081" s="1399"/>
      <c r="BT1081" s="1399"/>
      <c r="BU1081" s="1399"/>
      <c r="BV1081" s="1399"/>
      <c r="BW1081" s="1399"/>
      <c r="BX1081" s="1399"/>
      <c r="BY1081" s="1399"/>
      <c r="BZ1081" s="1399"/>
      <c r="CA1081" s="1399"/>
      <c r="CB1081" s="1399"/>
      <c r="CC1081" s="1399"/>
      <c r="CD1081" s="1399"/>
      <c r="CE1081" s="1399"/>
      <c r="CF1081" s="1399"/>
      <c r="CG1081" s="1399"/>
      <c r="CH1081" s="1399"/>
      <c r="CI1081" s="1399"/>
      <c r="CJ1081" s="1399"/>
      <c r="CK1081" s="1399"/>
      <c r="CL1081" s="1399"/>
      <c r="CM1081" s="1399"/>
      <c r="CN1081" s="1399"/>
      <c r="CO1081" s="1399"/>
      <c r="CP1081" s="1399"/>
      <c r="CQ1081" s="1399"/>
      <c r="CR1081" s="1399"/>
      <c r="CS1081" s="1399"/>
      <c r="CT1081" s="1399"/>
      <c r="CU1081" s="1399"/>
      <c r="CV1081" s="1399"/>
      <c r="CW1081" s="1399"/>
      <c r="CX1081" s="1399"/>
      <c r="CY1081" s="1399"/>
      <c r="CZ1081" s="1399"/>
      <c r="DA1081" s="1399"/>
      <c r="DB1081" s="1399"/>
      <c r="DC1081" s="1399"/>
      <c r="DD1081" s="1399"/>
      <c r="DE1081" s="1399"/>
      <c r="DF1081" s="1399"/>
      <c r="DG1081" s="1399"/>
      <c r="DH1081" s="1399"/>
      <c r="DI1081" s="1399"/>
      <c r="DJ1081" s="1399"/>
      <c r="DK1081" s="1399"/>
      <c r="DL1081" s="1399"/>
      <c r="DM1081" s="1399"/>
      <c r="DN1081" s="1399"/>
      <c r="DO1081" s="1399"/>
      <c r="DP1081" s="1399"/>
      <c r="DQ1081" s="1399"/>
      <c r="DR1081" s="1399"/>
      <c r="DS1081" s="1399"/>
      <c r="DT1081" s="1399"/>
      <c r="DU1081" s="1399"/>
    </row>
    <row r="1082" spans="1:125">
      <c r="A1082" s="1414"/>
      <c r="B1082" s="1414"/>
      <c r="C1082" s="1414"/>
      <c r="D1082" s="1414"/>
      <c r="E1082" s="1414"/>
      <c r="F1082" s="1414"/>
      <c r="G1082" s="1414"/>
      <c r="H1082" s="1414"/>
      <c r="I1082" s="1414"/>
      <c r="J1082" s="1414"/>
      <c r="K1082" s="1414"/>
      <c r="L1082" s="1414"/>
      <c r="M1082" s="1414"/>
      <c r="N1082" s="1414"/>
      <c r="O1082" s="1414"/>
      <c r="P1082" s="1414"/>
      <c r="Q1082" s="1414"/>
      <c r="R1082" s="1414"/>
      <c r="S1082" s="1414"/>
      <c r="T1082" s="1414"/>
      <c r="U1082" s="1414"/>
      <c r="V1082" s="1414"/>
      <c r="W1082" s="1414"/>
      <c r="X1082" s="1414"/>
      <c r="Y1082" s="1414"/>
      <c r="Z1082" s="1414"/>
      <c r="AA1082" s="1414"/>
      <c r="AB1082" s="1414"/>
      <c r="AC1082" s="1414"/>
      <c r="AD1082" s="1414"/>
      <c r="AE1082" s="1414"/>
      <c r="AF1082" s="1414"/>
      <c r="AG1082" s="1414"/>
      <c r="AH1082" s="1414"/>
      <c r="AI1082" s="1414"/>
      <c r="AJ1082" s="1414"/>
      <c r="AK1082" s="1414"/>
      <c r="AL1082" s="1414"/>
      <c r="AM1082" s="1414"/>
      <c r="AN1082" s="1414"/>
      <c r="AO1082" s="1414"/>
      <c r="AP1082" s="1414"/>
      <c r="AQ1082" s="1414"/>
      <c r="AR1082" s="1414"/>
      <c r="AS1082" s="1414"/>
      <c r="AT1082" s="1414"/>
      <c r="AU1082" s="1414"/>
      <c r="AV1082" s="1414"/>
      <c r="AW1082" s="1414"/>
      <c r="AX1082" s="1414"/>
      <c r="AY1082" s="1399"/>
      <c r="AZ1082" s="1399"/>
      <c r="BA1082" s="1399"/>
      <c r="BB1082" s="1399"/>
      <c r="BC1082" s="1399"/>
      <c r="BD1082" s="1399"/>
      <c r="BE1082" s="1414"/>
      <c r="BF1082" s="1399"/>
      <c r="BG1082" s="1399"/>
      <c r="BH1082" s="1399"/>
      <c r="BI1082" s="1399"/>
      <c r="BJ1082" s="1399"/>
      <c r="BK1082" s="1399"/>
      <c r="BL1082" s="1399"/>
      <c r="BM1082" s="1399"/>
      <c r="BN1082" s="1399"/>
      <c r="BO1082" s="1399"/>
      <c r="BP1082" s="1399"/>
      <c r="BQ1082" s="1399"/>
      <c r="BR1082" s="1399"/>
      <c r="BS1082" s="1399"/>
      <c r="BT1082" s="1399"/>
      <c r="BU1082" s="1399"/>
      <c r="BV1082" s="1399"/>
      <c r="BW1082" s="1399"/>
      <c r="BX1082" s="1399"/>
      <c r="BY1082" s="1399"/>
      <c r="BZ1082" s="1399"/>
      <c r="CA1082" s="1399"/>
      <c r="CB1082" s="1399"/>
      <c r="CC1082" s="1399"/>
      <c r="CD1082" s="1399"/>
      <c r="CE1082" s="1399"/>
      <c r="CF1082" s="1399"/>
      <c r="CG1082" s="1399"/>
      <c r="CH1082" s="1399"/>
      <c r="CI1082" s="1399"/>
      <c r="CJ1082" s="1399"/>
      <c r="CK1082" s="1399"/>
      <c r="CL1082" s="1399"/>
      <c r="CM1082" s="1399"/>
      <c r="CN1082" s="1399"/>
      <c r="CO1082" s="1399"/>
      <c r="CP1082" s="1399"/>
      <c r="CQ1082" s="1399"/>
      <c r="CR1082" s="1399"/>
      <c r="CS1082" s="1399"/>
      <c r="CT1082" s="1399"/>
      <c r="CU1082" s="1399"/>
      <c r="CV1082" s="1399"/>
      <c r="CW1082" s="1399"/>
      <c r="CX1082" s="1399"/>
      <c r="CY1082" s="1399"/>
      <c r="CZ1082" s="1399"/>
      <c r="DA1082" s="1399"/>
      <c r="DB1082" s="1399"/>
      <c r="DC1082" s="1399"/>
      <c r="DD1082" s="1399"/>
      <c r="DE1082" s="1399"/>
      <c r="DF1082" s="1399"/>
      <c r="DG1082" s="1399"/>
      <c r="DH1082" s="1399"/>
      <c r="DI1082" s="1399"/>
      <c r="DJ1082" s="1399"/>
      <c r="DK1082" s="1399"/>
      <c r="DL1082" s="1399"/>
      <c r="DM1082" s="1399"/>
      <c r="DN1082" s="1399"/>
      <c r="DO1082" s="1399"/>
      <c r="DP1082" s="1399"/>
      <c r="DQ1082" s="1399"/>
      <c r="DR1082" s="1399"/>
      <c r="DS1082" s="1399"/>
      <c r="DT1082" s="1399"/>
      <c r="DU1082" s="1399"/>
    </row>
    <row r="1083" spans="1:125">
      <c r="A1083" s="1414"/>
      <c r="B1083" s="1414"/>
      <c r="C1083" s="1414"/>
      <c r="D1083" s="1414"/>
      <c r="E1083" s="1414"/>
      <c r="F1083" s="1414"/>
      <c r="G1083" s="1414"/>
      <c r="H1083" s="1414"/>
      <c r="I1083" s="1414"/>
      <c r="J1083" s="1414"/>
      <c r="K1083" s="1414"/>
      <c r="L1083" s="1414"/>
      <c r="M1083" s="1414"/>
      <c r="N1083" s="1414"/>
      <c r="O1083" s="1414"/>
      <c r="P1083" s="1414"/>
      <c r="Q1083" s="1414"/>
      <c r="R1083" s="1414"/>
      <c r="S1083" s="1414"/>
      <c r="T1083" s="1414"/>
      <c r="U1083" s="1414"/>
      <c r="V1083" s="1414"/>
      <c r="W1083" s="1414"/>
      <c r="X1083" s="1414"/>
      <c r="Y1083" s="1414"/>
      <c r="Z1083" s="1414"/>
      <c r="AA1083" s="1414"/>
      <c r="AB1083" s="1414"/>
      <c r="AC1083" s="1414"/>
      <c r="AD1083" s="1414"/>
      <c r="AE1083" s="1414"/>
      <c r="AF1083" s="1414"/>
      <c r="AG1083" s="1414"/>
      <c r="AH1083" s="1414"/>
      <c r="AI1083" s="1414"/>
      <c r="AJ1083" s="1414"/>
      <c r="AK1083" s="1414"/>
      <c r="AL1083" s="1414"/>
      <c r="AM1083" s="1414"/>
      <c r="AN1083" s="1414"/>
      <c r="AO1083" s="1414"/>
      <c r="AP1083" s="1414"/>
      <c r="AQ1083" s="1414"/>
      <c r="AR1083" s="1414"/>
      <c r="AS1083" s="1414"/>
      <c r="AT1083" s="1414"/>
      <c r="AU1083" s="1414"/>
      <c r="AV1083" s="1414"/>
      <c r="AW1083" s="1414"/>
      <c r="AX1083" s="1414"/>
      <c r="AY1083" s="1399"/>
      <c r="AZ1083" s="1399"/>
      <c r="BA1083" s="1399"/>
      <c r="BB1083" s="1399"/>
      <c r="BC1083" s="1399"/>
      <c r="BD1083" s="1399"/>
      <c r="BE1083" s="1414"/>
      <c r="BF1083" s="1399"/>
      <c r="BG1083" s="1399"/>
      <c r="BH1083" s="1399"/>
      <c r="BI1083" s="1399"/>
      <c r="BJ1083" s="1399"/>
      <c r="BK1083" s="1399"/>
      <c r="BL1083" s="1399"/>
      <c r="BM1083" s="1399"/>
      <c r="BN1083" s="1399"/>
      <c r="BO1083" s="1399"/>
      <c r="BP1083" s="1399"/>
      <c r="BQ1083" s="1399"/>
      <c r="BR1083" s="1399"/>
      <c r="BS1083" s="1399"/>
      <c r="BT1083" s="1399"/>
      <c r="BU1083" s="1399"/>
      <c r="BV1083" s="1399"/>
      <c r="BW1083" s="1399"/>
      <c r="BX1083" s="1399"/>
      <c r="BY1083" s="1399"/>
      <c r="BZ1083" s="1399"/>
      <c r="CA1083" s="1399"/>
      <c r="CB1083" s="1399"/>
      <c r="CC1083" s="1399"/>
      <c r="CD1083" s="1399"/>
      <c r="CE1083" s="1399"/>
      <c r="CF1083" s="1399"/>
      <c r="CG1083" s="1399"/>
      <c r="CH1083" s="1399"/>
      <c r="CI1083" s="1399"/>
      <c r="CJ1083" s="1399"/>
      <c r="CK1083" s="1399"/>
      <c r="CL1083" s="1399"/>
      <c r="CM1083" s="1399"/>
      <c r="CN1083" s="1399"/>
      <c r="CO1083" s="1399"/>
      <c r="CP1083" s="1399"/>
      <c r="CQ1083" s="1399"/>
      <c r="CR1083" s="1399"/>
      <c r="CS1083" s="1399"/>
      <c r="CT1083" s="1399"/>
      <c r="CU1083" s="1399"/>
      <c r="CV1083" s="1399"/>
      <c r="CW1083" s="1399"/>
      <c r="CX1083" s="1399"/>
      <c r="CY1083" s="1399"/>
      <c r="CZ1083" s="1399"/>
      <c r="DA1083" s="1399"/>
      <c r="DB1083" s="1399"/>
      <c r="DC1083" s="1399"/>
      <c r="DD1083" s="1399"/>
      <c r="DE1083" s="1399"/>
      <c r="DF1083" s="1399"/>
      <c r="DG1083" s="1399"/>
      <c r="DH1083" s="1399"/>
      <c r="DI1083" s="1399"/>
      <c r="DJ1083" s="1399"/>
      <c r="DK1083" s="1399"/>
      <c r="DL1083" s="1399"/>
      <c r="DM1083" s="1399"/>
      <c r="DN1083" s="1399"/>
      <c r="DO1083" s="1399"/>
      <c r="DP1083" s="1399"/>
      <c r="DQ1083" s="1399"/>
      <c r="DR1083" s="1399"/>
      <c r="DS1083" s="1399"/>
      <c r="DT1083" s="1399"/>
      <c r="DU1083" s="1399"/>
    </row>
    <row r="1084" spans="1:125">
      <c r="A1084" s="1414"/>
      <c r="B1084" s="1414"/>
      <c r="C1084" s="1414"/>
      <c r="D1084" s="1414"/>
      <c r="E1084" s="1414"/>
      <c r="F1084" s="1414"/>
      <c r="G1084" s="1414"/>
      <c r="H1084" s="1414"/>
      <c r="I1084" s="1414"/>
      <c r="J1084" s="1414"/>
      <c r="K1084" s="1414"/>
      <c r="L1084" s="1414"/>
      <c r="M1084" s="1414"/>
      <c r="N1084" s="1414"/>
      <c r="O1084" s="1414"/>
      <c r="P1084" s="1414"/>
      <c r="Q1084" s="1414"/>
      <c r="R1084" s="1414"/>
      <c r="S1084" s="1414"/>
      <c r="T1084" s="1414"/>
      <c r="U1084" s="1414"/>
      <c r="V1084" s="1414"/>
      <c r="W1084" s="1414"/>
      <c r="X1084" s="1414"/>
      <c r="Y1084" s="1414"/>
      <c r="Z1084" s="1414"/>
      <c r="AA1084" s="1414"/>
      <c r="AB1084" s="1414"/>
      <c r="AC1084" s="1414"/>
      <c r="AD1084" s="1414"/>
      <c r="AE1084" s="1414"/>
      <c r="AF1084" s="1414"/>
      <c r="AG1084" s="1414"/>
      <c r="AH1084" s="1414"/>
      <c r="AI1084" s="1414"/>
      <c r="AJ1084" s="1414"/>
      <c r="AK1084" s="1414"/>
      <c r="AL1084" s="1414"/>
      <c r="AM1084" s="1414"/>
      <c r="AN1084" s="1414"/>
      <c r="AO1084" s="1414"/>
      <c r="AP1084" s="1414"/>
      <c r="AQ1084" s="1414"/>
      <c r="AR1084" s="1414"/>
      <c r="AS1084" s="1414"/>
      <c r="AT1084" s="1414"/>
      <c r="AU1084" s="1414"/>
      <c r="AV1084" s="1414"/>
      <c r="AW1084" s="1414"/>
      <c r="AX1084" s="1414"/>
      <c r="AY1084" s="1399"/>
      <c r="AZ1084" s="1399"/>
      <c r="BA1084" s="1399"/>
      <c r="BB1084" s="1399"/>
      <c r="BC1084" s="1399"/>
      <c r="BD1084" s="1399"/>
      <c r="BE1084" s="1414"/>
      <c r="BF1084" s="1399"/>
      <c r="BG1084" s="1399"/>
      <c r="BH1084" s="1399"/>
      <c r="BI1084" s="1399"/>
      <c r="BJ1084" s="1399"/>
      <c r="BK1084" s="1399"/>
      <c r="BL1084" s="1399"/>
      <c r="BM1084" s="1399"/>
      <c r="BN1084" s="1399"/>
      <c r="BO1084" s="1399"/>
      <c r="BP1084" s="1399"/>
      <c r="BQ1084" s="1399"/>
      <c r="BR1084" s="1399"/>
      <c r="BS1084" s="1399"/>
      <c r="BT1084" s="1399"/>
      <c r="BU1084" s="1399"/>
      <c r="BV1084" s="1399"/>
      <c r="BW1084" s="1399"/>
      <c r="BX1084" s="1399"/>
      <c r="BY1084" s="1399"/>
      <c r="BZ1084" s="1399"/>
      <c r="CA1084" s="1399"/>
      <c r="CB1084" s="1399"/>
      <c r="CC1084" s="1399"/>
      <c r="CD1084" s="1399"/>
      <c r="CE1084" s="1399"/>
      <c r="CF1084" s="1399"/>
      <c r="CG1084" s="1399"/>
      <c r="CH1084" s="1399"/>
      <c r="CI1084" s="1399"/>
      <c r="CJ1084" s="1399"/>
      <c r="CK1084" s="1399"/>
      <c r="CL1084" s="1399"/>
      <c r="CM1084" s="1399"/>
      <c r="CN1084" s="1399"/>
      <c r="CO1084" s="1399"/>
      <c r="CP1084" s="1399"/>
      <c r="CQ1084" s="1399"/>
      <c r="CR1084" s="1399"/>
      <c r="CS1084" s="1399"/>
      <c r="CT1084" s="1399"/>
      <c r="CU1084" s="1399"/>
      <c r="CV1084" s="1399"/>
      <c r="CW1084" s="1399"/>
      <c r="CX1084" s="1399"/>
      <c r="CY1084" s="1399"/>
      <c r="CZ1084" s="1399"/>
      <c r="DA1084" s="1399"/>
      <c r="DB1084" s="1399"/>
      <c r="DC1084" s="1399"/>
      <c r="DD1084" s="1399"/>
      <c r="DE1084" s="1399"/>
      <c r="DF1084" s="1399"/>
      <c r="DG1084" s="1399"/>
      <c r="DH1084" s="1399"/>
      <c r="DI1084" s="1399"/>
      <c r="DJ1084" s="1399"/>
      <c r="DK1084" s="1399"/>
      <c r="DL1084" s="1399"/>
      <c r="DM1084" s="1399"/>
      <c r="DN1084" s="1399"/>
      <c r="DO1084" s="1399"/>
      <c r="DP1084" s="1399"/>
      <c r="DQ1084" s="1399"/>
      <c r="DR1084" s="1399"/>
      <c r="DS1084" s="1399"/>
      <c r="DT1084" s="1399"/>
      <c r="DU1084" s="1399"/>
    </row>
    <row r="1085" spans="1:125">
      <c r="A1085" s="1414"/>
      <c r="B1085" s="1414"/>
      <c r="C1085" s="1414"/>
      <c r="D1085" s="1414"/>
      <c r="E1085" s="1414"/>
      <c r="F1085" s="1414"/>
      <c r="G1085" s="1414"/>
      <c r="H1085" s="1414"/>
      <c r="I1085" s="1414"/>
      <c r="J1085" s="1414"/>
      <c r="K1085" s="1414"/>
      <c r="L1085" s="1414"/>
      <c r="M1085" s="1414"/>
      <c r="N1085" s="1414"/>
      <c r="O1085" s="1414"/>
      <c r="P1085" s="1414"/>
      <c r="Q1085" s="1414"/>
      <c r="R1085" s="1414"/>
      <c r="S1085" s="1414"/>
      <c r="T1085" s="1414"/>
      <c r="U1085" s="1414"/>
      <c r="V1085" s="1414"/>
      <c r="W1085" s="1414"/>
      <c r="X1085" s="1414"/>
      <c r="Y1085" s="1414"/>
      <c r="Z1085" s="1414"/>
      <c r="AA1085" s="1414"/>
      <c r="AB1085" s="1414"/>
      <c r="AC1085" s="1414"/>
      <c r="AD1085" s="1414"/>
      <c r="AE1085" s="1414"/>
      <c r="AF1085" s="1414"/>
      <c r="AG1085" s="1414"/>
      <c r="AH1085" s="1414"/>
      <c r="AI1085" s="1414"/>
      <c r="AJ1085" s="1414"/>
      <c r="AK1085" s="1414"/>
      <c r="AL1085" s="1414"/>
      <c r="AM1085" s="1414"/>
      <c r="AN1085" s="1414"/>
      <c r="AO1085" s="1414"/>
      <c r="AP1085" s="1414"/>
      <c r="AQ1085" s="1414"/>
      <c r="AR1085" s="1414"/>
      <c r="AS1085" s="1414"/>
      <c r="AT1085" s="1414"/>
      <c r="AU1085" s="1414"/>
      <c r="AV1085" s="1414"/>
      <c r="AW1085" s="1414"/>
      <c r="AX1085" s="1414"/>
      <c r="AY1085" s="1399"/>
      <c r="AZ1085" s="1399"/>
      <c r="BA1085" s="1399"/>
      <c r="BB1085" s="1399"/>
      <c r="BC1085" s="1399"/>
      <c r="BD1085" s="1399"/>
      <c r="BE1085" s="1414"/>
      <c r="BF1085" s="1399"/>
      <c r="BG1085" s="1399"/>
      <c r="BH1085" s="1399"/>
      <c r="BI1085" s="1399"/>
      <c r="BJ1085" s="1399"/>
      <c r="BK1085" s="1399"/>
      <c r="BL1085" s="1399"/>
      <c r="BM1085" s="1399"/>
      <c r="BN1085" s="1399"/>
      <c r="BO1085" s="1399"/>
      <c r="BP1085" s="1399"/>
      <c r="BQ1085" s="1399"/>
      <c r="BR1085" s="1399"/>
      <c r="BS1085" s="1399"/>
      <c r="BT1085" s="1399"/>
      <c r="BU1085" s="1399"/>
      <c r="BV1085" s="1399"/>
      <c r="BW1085" s="1399"/>
      <c r="BX1085" s="1399"/>
      <c r="BY1085" s="1399"/>
      <c r="BZ1085" s="1399"/>
      <c r="CA1085" s="1399"/>
      <c r="CB1085" s="1399"/>
      <c r="CC1085" s="1399"/>
      <c r="CD1085" s="1399"/>
      <c r="CE1085" s="1399"/>
      <c r="CF1085" s="1399"/>
      <c r="CG1085" s="1399"/>
      <c r="CH1085" s="1399"/>
      <c r="CI1085" s="1399"/>
      <c r="CJ1085" s="1399"/>
      <c r="CK1085" s="1399"/>
      <c r="CL1085" s="1399"/>
      <c r="CM1085" s="1399"/>
      <c r="CN1085" s="1399"/>
      <c r="CO1085" s="1399"/>
      <c r="CP1085" s="1399"/>
      <c r="CQ1085" s="1399"/>
      <c r="CR1085" s="1399"/>
      <c r="CS1085" s="1399"/>
      <c r="CT1085" s="1399"/>
      <c r="CU1085" s="1399"/>
      <c r="CV1085" s="1399"/>
      <c r="CW1085" s="1399"/>
      <c r="CX1085" s="1399"/>
      <c r="CY1085" s="1399"/>
      <c r="CZ1085" s="1399"/>
      <c r="DA1085" s="1399"/>
      <c r="DB1085" s="1399"/>
      <c r="DC1085" s="1399"/>
      <c r="DD1085" s="1399"/>
      <c r="DE1085" s="1399"/>
      <c r="DF1085" s="1399"/>
      <c r="DG1085" s="1399"/>
      <c r="DH1085" s="1399"/>
      <c r="DI1085" s="1399"/>
      <c r="DJ1085" s="1399"/>
      <c r="DK1085" s="1399"/>
      <c r="DL1085" s="1399"/>
      <c r="DM1085" s="1399"/>
      <c r="DN1085" s="1399"/>
      <c r="DO1085" s="1399"/>
      <c r="DP1085" s="1399"/>
      <c r="DQ1085" s="1399"/>
      <c r="DR1085" s="1399"/>
      <c r="DS1085" s="1399"/>
      <c r="DT1085" s="1399"/>
      <c r="DU1085" s="1399"/>
    </row>
    <row r="1086" spans="1:125">
      <c r="A1086" s="1414"/>
      <c r="B1086" s="1414"/>
      <c r="C1086" s="1414"/>
      <c r="D1086" s="1414"/>
      <c r="E1086" s="1414"/>
      <c r="F1086" s="1414"/>
      <c r="G1086" s="1414"/>
      <c r="H1086" s="1414"/>
      <c r="I1086" s="1414"/>
      <c r="J1086" s="1414"/>
      <c r="K1086" s="1414"/>
      <c r="L1086" s="1414"/>
      <c r="M1086" s="1414"/>
      <c r="N1086" s="1414"/>
      <c r="O1086" s="1414"/>
      <c r="P1086" s="1414"/>
      <c r="Q1086" s="1414"/>
      <c r="R1086" s="1414"/>
      <c r="S1086" s="1414"/>
      <c r="T1086" s="1414"/>
      <c r="U1086" s="1414"/>
      <c r="V1086" s="1414"/>
      <c r="W1086" s="1414"/>
      <c r="X1086" s="1414"/>
      <c r="Y1086" s="1414"/>
      <c r="Z1086" s="1414"/>
      <c r="AA1086" s="1414"/>
      <c r="AB1086" s="1414"/>
      <c r="AC1086" s="1414"/>
      <c r="AD1086" s="1414"/>
      <c r="AE1086" s="1414"/>
      <c r="AF1086" s="1414"/>
      <c r="AG1086" s="1414"/>
      <c r="AH1086" s="1414"/>
      <c r="AI1086" s="1414"/>
      <c r="AJ1086" s="1414"/>
      <c r="AK1086" s="1414"/>
      <c r="AL1086" s="1414"/>
      <c r="AM1086" s="1414"/>
      <c r="AN1086" s="1414"/>
      <c r="AO1086" s="1414"/>
      <c r="AP1086" s="1414"/>
      <c r="AQ1086" s="1414"/>
      <c r="AR1086" s="1414"/>
      <c r="AS1086" s="1414"/>
      <c r="AT1086" s="1414"/>
      <c r="AU1086" s="1414"/>
      <c r="AV1086" s="1414"/>
      <c r="AW1086" s="1414"/>
      <c r="AX1086" s="1414"/>
      <c r="AY1086" s="1399"/>
      <c r="AZ1086" s="1399"/>
      <c r="BA1086" s="1399"/>
      <c r="BB1086" s="1399"/>
      <c r="BC1086" s="1399"/>
      <c r="BD1086" s="1399"/>
      <c r="BE1086" s="1414"/>
      <c r="BF1086" s="1399"/>
      <c r="BG1086" s="1399"/>
      <c r="BH1086" s="1399"/>
      <c r="BI1086" s="1399"/>
      <c r="BJ1086" s="1399"/>
      <c r="BK1086" s="1399"/>
      <c r="BL1086" s="1399"/>
      <c r="BM1086" s="1399"/>
      <c r="BN1086" s="1399"/>
      <c r="BO1086" s="1399"/>
      <c r="BP1086" s="1399"/>
      <c r="BQ1086" s="1399"/>
      <c r="BR1086" s="1399"/>
      <c r="BS1086" s="1399"/>
      <c r="BT1086" s="1399"/>
      <c r="BU1086" s="1399"/>
      <c r="BV1086" s="1399"/>
      <c r="BW1086" s="1399"/>
      <c r="BX1086" s="1399"/>
      <c r="BY1086" s="1399"/>
      <c r="BZ1086" s="1399"/>
      <c r="CA1086" s="1399"/>
      <c r="CB1086" s="1399"/>
      <c r="CC1086" s="1399"/>
      <c r="CD1086" s="1399"/>
      <c r="CE1086" s="1399"/>
      <c r="CF1086" s="1399"/>
      <c r="CG1086" s="1399"/>
      <c r="CH1086" s="1399"/>
      <c r="CI1086" s="1399"/>
      <c r="CJ1086" s="1399"/>
      <c r="CK1086" s="1399"/>
      <c r="CL1086" s="1399"/>
      <c r="CM1086" s="1399"/>
      <c r="CN1086" s="1399"/>
      <c r="CO1086" s="1399"/>
      <c r="CP1086" s="1399"/>
      <c r="CQ1086" s="1399"/>
      <c r="CR1086" s="1399"/>
      <c r="CS1086" s="1399"/>
      <c r="CT1086" s="1399"/>
      <c r="CU1086" s="1399"/>
      <c r="CV1086" s="1399"/>
      <c r="CW1086" s="1399"/>
      <c r="CX1086" s="1399"/>
      <c r="CY1086" s="1399"/>
      <c r="CZ1086" s="1399"/>
      <c r="DA1086" s="1399"/>
      <c r="DB1086" s="1399"/>
      <c r="DC1086" s="1399"/>
      <c r="DD1086" s="1399"/>
      <c r="DE1086" s="1399"/>
      <c r="DF1086" s="1399"/>
      <c r="DG1086" s="1399"/>
      <c r="DH1086" s="1399"/>
      <c r="DI1086" s="1399"/>
      <c r="DJ1086" s="1399"/>
      <c r="DK1086" s="1399"/>
      <c r="DL1086" s="1399"/>
      <c r="DM1086" s="1399"/>
      <c r="DN1086" s="1399"/>
      <c r="DO1086" s="1399"/>
      <c r="DP1086" s="1399"/>
      <c r="DQ1086" s="1399"/>
      <c r="DR1086" s="1399"/>
      <c r="DS1086" s="1399"/>
      <c r="DT1086" s="1399"/>
      <c r="DU1086" s="1399"/>
    </row>
    <row r="1087" spans="1:125">
      <c r="A1087" s="1414"/>
      <c r="B1087" s="1414"/>
      <c r="C1087" s="1414"/>
      <c r="D1087" s="1414"/>
      <c r="E1087" s="1414"/>
      <c r="F1087" s="1414"/>
      <c r="G1087" s="1414"/>
      <c r="H1087" s="1414"/>
      <c r="I1087" s="1414"/>
      <c r="J1087" s="1414"/>
      <c r="K1087" s="1414"/>
      <c r="L1087" s="1414"/>
      <c r="M1087" s="1414"/>
      <c r="N1087" s="1414"/>
      <c r="O1087" s="1414"/>
      <c r="P1087" s="1414"/>
      <c r="Q1087" s="1414"/>
      <c r="R1087" s="1414"/>
      <c r="S1087" s="1414"/>
      <c r="T1087" s="1414"/>
      <c r="U1087" s="1414"/>
      <c r="V1087" s="1414"/>
      <c r="W1087" s="1414"/>
      <c r="X1087" s="1414"/>
      <c r="Y1087" s="1414"/>
      <c r="Z1087" s="1414"/>
      <c r="AA1087" s="1414"/>
      <c r="AB1087" s="1414"/>
      <c r="AC1087" s="1414"/>
      <c r="AD1087" s="1414"/>
      <c r="AE1087" s="1414"/>
      <c r="AF1087" s="1414"/>
      <c r="AG1087" s="1414"/>
      <c r="AH1087" s="1414"/>
      <c r="AI1087" s="1414"/>
      <c r="AJ1087" s="1414"/>
      <c r="AK1087" s="1414"/>
      <c r="AL1087" s="1414"/>
      <c r="AM1087" s="1414"/>
      <c r="AN1087" s="1414"/>
      <c r="AO1087" s="1414"/>
      <c r="AP1087" s="1414"/>
      <c r="AQ1087" s="1414"/>
      <c r="AR1087" s="1414"/>
      <c r="AS1087" s="1414"/>
      <c r="AT1087" s="1414"/>
      <c r="AU1087" s="1414"/>
      <c r="AV1087" s="1414"/>
      <c r="AW1087" s="1414"/>
      <c r="AX1087" s="1414"/>
      <c r="AY1087" s="1399"/>
      <c r="AZ1087" s="1399"/>
      <c r="BA1087" s="1399"/>
      <c r="BB1087" s="1399"/>
      <c r="BC1087" s="1399"/>
      <c r="BD1087" s="1399"/>
      <c r="BE1087" s="1414"/>
      <c r="BF1087" s="1399"/>
      <c r="BG1087" s="1399"/>
      <c r="BH1087" s="1399"/>
      <c r="BI1087" s="1399"/>
      <c r="BJ1087" s="1399"/>
      <c r="BK1087" s="1399"/>
      <c r="BL1087" s="1399"/>
      <c r="BM1087" s="1399"/>
      <c r="BN1087" s="1399"/>
      <c r="BO1087" s="1399"/>
      <c r="BP1087" s="1399"/>
      <c r="BQ1087" s="1399"/>
      <c r="BR1087" s="1399"/>
      <c r="BS1087" s="1399"/>
      <c r="BT1087" s="1399"/>
      <c r="BU1087" s="1399"/>
      <c r="BV1087" s="1399"/>
      <c r="BW1087" s="1399"/>
      <c r="BX1087" s="1399"/>
      <c r="BY1087" s="1399"/>
      <c r="BZ1087" s="1399"/>
      <c r="CA1087" s="1399"/>
      <c r="CB1087" s="1399"/>
      <c r="CC1087" s="1399"/>
      <c r="CD1087" s="1399"/>
      <c r="CE1087" s="1399"/>
      <c r="CF1087" s="1399"/>
      <c r="CG1087" s="1399"/>
      <c r="CH1087" s="1399"/>
      <c r="CI1087" s="1399"/>
      <c r="CJ1087" s="1399"/>
      <c r="CK1087" s="1399"/>
      <c r="CL1087" s="1399"/>
      <c r="CM1087" s="1399"/>
      <c r="CN1087" s="1399"/>
      <c r="CO1087" s="1399"/>
      <c r="CP1087" s="1399"/>
      <c r="CQ1087" s="1399"/>
      <c r="CR1087" s="1399"/>
      <c r="CS1087" s="1399"/>
      <c r="CT1087" s="1399"/>
      <c r="CU1087" s="1399"/>
      <c r="CV1087" s="1399"/>
      <c r="CW1087" s="1399"/>
      <c r="CX1087" s="1399"/>
      <c r="CY1087" s="1399"/>
      <c r="CZ1087" s="1399"/>
      <c r="DA1087" s="1399"/>
      <c r="DB1087" s="1399"/>
      <c r="DC1087" s="1399"/>
      <c r="DD1087" s="1399"/>
      <c r="DE1087" s="1399"/>
      <c r="DF1087" s="1399"/>
      <c r="DG1087" s="1399"/>
      <c r="DH1087" s="1399"/>
      <c r="DI1087" s="1399"/>
      <c r="DJ1087" s="1399"/>
      <c r="DK1087" s="1399"/>
      <c r="DL1087" s="1399"/>
      <c r="DM1087" s="1399"/>
      <c r="DN1087" s="1399"/>
      <c r="DO1087" s="1399"/>
      <c r="DP1087" s="1399"/>
      <c r="DQ1087" s="1399"/>
      <c r="DR1087" s="1399"/>
      <c r="DS1087" s="1399"/>
      <c r="DT1087" s="1399"/>
      <c r="DU1087" s="1399"/>
    </row>
    <row r="1088" spans="1:125">
      <c r="A1088" s="1414"/>
      <c r="B1088" s="1414"/>
      <c r="C1088" s="1414"/>
      <c r="D1088" s="1414"/>
      <c r="E1088" s="1414"/>
      <c r="F1088" s="1414"/>
      <c r="G1088" s="1414"/>
      <c r="H1088" s="1414"/>
      <c r="I1088" s="1414"/>
      <c r="J1088" s="1414"/>
      <c r="K1088" s="1414"/>
      <c r="L1088" s="1414"/>
      <c r="M1088" s="1414"/>
      <c r="N1088" s="1414"/>
      <c r="O1088" s="1414"/>
      <c r="P1088" s="1414"/>
      <c r="Q1088" s="1414"/>
      <c r="R1088" s="1414"/>
      <c r="S1088" s="1414"/>
      <c r="T1088" s="1414"/>
      <c r="U1088" s="1414"/>
      <c r="V1088" s="1414"/>
      <c r="W1088" s="1414"/>
      <c r="X1088" s="1414"/>
      <c r="Y1088" s="1414"/>
      <c r="Z1088" s="1414"/>
      <c r="AA1088" s="1414"/>
      <c r="AB1088" s="1414"/>
      <c r="AC1088" s="1414"/>
      <c r="AD1088" s="1414"/>
      <c r="AE1088" s="1414"/>
      <c r="AF1088" s="1414"/>
      <c r="AG1088" s="1414"/>
      <c r="AH1088" s="1414"/>
      <c r="AI1088" s="1414"/>
      <c r="AJ1088" s="1414"/>
      <c r="AK1088" s="1414"/>
      <c r="AL1088" s="1414"/>
      <c r="AM1088" s="1414"/>
      <c r="AN1088" s="1414"/>
      <c r="AO1088" s="1414"/>
      <c r="AP1088" s="1414"/>
      <c r="AQ1088" s="1414"/>
      <c r="AR1088" s="1414"/>
      <c r="AS1088" s="1414"/>
      <c r="AT1088" s="1414"/>
      <c r="AU1088" s="1414"/>
      <c r="AV1088" s="1414"/>
      <c r="AW1088" s="1414"/>
      <c r="AX1088" s="1414"/>
      <c r="AY1088" s="1399"/>
      <c r="AZ1088" s="1399"/>
      <c r="BA1088" s="1399"/>
      <c r="BB1088" s="1399"/>
      <c r="BC1088" s="1399"/>
      <c r="BD1088" s="1399"/>
      <c r="BE1088" s="1414"/>
      <c r="BF1088" s="1399"/>
      <c r="BG1088" s="1399"/>
      <c r="BH1088" s="1399"/>
      <c r="BI1088" s="1399"/>
      <c r="BJ1088" s="1399"/>
      <c r="BK1088" s="1399"/>
      <c r="BL1088" s="1399"/>
      <c r="BM1088" s="1399"/>
      <c r="BN1088" s="1399"/>
      <c r="BO1088" s="1399"/>
      <c r="BP1088" s="1399"/>
      <c r="BQ1088" s="1399"/>
      <c r="BR1088" s="1399"/>
      <c r="BS1088" s="1399"/>
      <c r="BT1088" s="1399"/>
      <c r="BU1088" s="1399"/>
      <c r="BV1088" s="1399"/>
      <c r="BW1088" s="1399"/>
      <c r="BX1088" s="1399"/>
      <c r="BY1088" s="1399"/>
      <c r="BZ1088" s="1399"/>
      <c r="CA1088" s="1399"/>
      <c r="CB1088" s="1399"/>
      <c r="CC1088" s="1399"/>
      <c r="CD1088" s="1399"/>
      <c r="CE1088" s="1399"/>
      <c r="CF1088" s="1399"/>
      <c r="CG1088" s="1399"/>
      <c r="CH1088" s="1399"/>
      <c r="CI1088" s="1399"/>
      <c r="CJ1088" s="1399"/>
      <c r="CK1088" s="1399"/>
      <c r="CL1088" s="1399"/>
      <c r="CM1088" s="1399"/>
      <c r="CN1088" s="1399"/>
      <c r="CO1088" s="1399"/>
      <c r="CP1088" s="1399"/>
      <c r="CQ1088" s="1399"/>
      <c r="CR1088" s="1399"/>
      <c r="CS1088" s="1399"/>
      <c r="CT1088" s="1399"/>
      <c r="CU1088" s="1399"/>
      <c r="CV1088" s="1399"/>
      <c r="CW1088" s="1399"/>
      <c r="CX1088" s="1399"/>
      <c r="CY1088" s="1399"/>
      <c r="CZ1088" s="1399"/>
      <c r="DA1088" s="1399"/>
      <c r="DB1088" s="1399"/>
      <c r="DC1088" s="1399"/>
      <c r="DD1088" s="1399"/>
      <c r="DE1088" s="1399"/>
      <c r="DF1088" s="1399"/>
      <c r="DG1088" s="1399"/>
      <c r="DH1088" s="1399"/>
      <c r="DI1088" s="1399"/>
      <c r="DJ1088" s="1399"/>
      <c r="DK1088" s="1399"/>
      <c r="DL1088" s="1399"/>
      <c r="DM1088" s="1399"/>
      <c r="DN1088" s="1399"/>
      <c r="DO1088" s="1399"/>
      <c r="DP1088" s="1399"/>
      <c r="DQ1088" s="1399"/>
      <c r="DR1088" s="1399"/>
      <c r="DS1088" s="1399"/>
      <c r="DT1088" s="1399"/>
      <c r="DU1088" s="1399"/>
    </row>
    <row r="1089" spans="1:125">
      <c r="A1089" s="1414"/>
      <c r="B1089" s="1414"/>
      <c r="C1089" s="1414"/>
      <c r="D1089" s="1414"/>
      <c r="E1089" s="1414"/>
      <c r="F1089" s="1414"/>
      <c r="G1089" s="1414"/>
      <c r="H1089" s="1414"/>
      <c r="I1089" s="1414"/>
      <c r="J1089" s="1414"/>
      <c r="K1089" s="1414"/>
      <c r="L1089" s="1414"/>
      <c r="M1089" s="1414"/>
      <c r="N1089" s="1414"/>
      <c r="O1089" s="1414"/>
      <c r="P1089" s="1414"/>
      <c r="Q1089" s="1414"/>
      <c r="R1089" s="1414"/>
      <c r="S1089" s="1414"/>
      <c r="T1089" s="1414"/>
      <c r="U1089" s="1414"/>
      <c r="V1089" s="1414"/>
      <c r="W1089" s="1414"/>
      <c r="X1089" s="1414"/>
      <c r="Y1089" s="1414"/>
      <c r="Z1089" s="1414"/>
      <c r="AA1089" s="1414"/>
      <c r="AB1089" s="1414"/>
      <c r="AC1089" s="1414"/>
      <c r="AD1089" s="1414"/>
      <c r="AE1089" s="1414"/>
      <c r="AF1089" s="1414"/>
      <c r="AG1089" s="1414"/>
      <c r="AH1089" s="1414"/>
      <c r="AI1089" s="1414"/>
      <c r="AJ1089" s="1414"/>
      <c r="AK1089" s="1414"/>
      <c r="AL1089" s="1414"/>
      <c r="AM1089" s="1414"/>
      <c r="AN1089" s="1414"/>
      <c r="AO1089" s="1414"/>
      <c r="AP1089" s="1414"/>
      <c r="AQ1089" s="1414"/>
      <c r="AR1089" s="1414"/>
      <c r="AS1089" s="1414"/>
      <c r="AT1089" s="1414"/>
      <c r="AU1089" s="1414"/>
      <c r="AV1089" s="1414"/>
      <c r="AW1089" s="1414"/>
      <c r="AX1089" s="1414"/>
      <c r="AY1089" s="1399"/>
      <c r="AZ1089" s="1399"/>
      <c r="BA1089" s="1399"/>
      <c r="BB1089" s="1399"/>
      <c r="BC1089" s="1399"/>
      <c r="BD1089" s="1399"/>
      <c r="BE1089" s="1414"/>
      <c r="BF1089" s="1399"/>
      <c r="BG1089" s="1399"/>
      <c r="BH1089" s="1399"/>
      <c r="BI1089" s="1399"/>
      <c r="BJ1089" s="1399"/>
      <c r="BK1089" s="1399"/>
      <c r="BL1089" s="1399"/>
      <c r="BM1089" s="1399"/>
      <c r="BN1089" s="1399"/>
      <c r="BO1089" s="1399"/>
      <c r="BP1089" s="1399"/>
      <c r="BQ1089" s="1399"/>
      <c r="BR1089" s="1399"/>
      <c r="BS1089" s="1399"/>
      <c r="BT1089" s="1399"/>
      <c r="BU1089" s="1399"/>
      <c r="BV1089" s="1399"/>
      <c r="BW1089" s="1399"/>
      <c r="BX1089" s="1399"/>
      <c r="BY1089" s="1399"/>
      <c r="BZ1089" s="1399"/>
      <c r="CA1089" s="1399"/>
      <c r="CB1089" s="1399"/>
      <c r="CC1089" s="1399"/>
      <c r="CD1089" s="1399"/>
      <c r="CE1089" s="1399"/>
      <c r="CF1089" s="1399"/>
      <c r="CG1089" s="1399"/>
      <c r="CH1089" s="1399"/>
      <c r="CI1089" s="1399"/>
      <c r="CJ1089" s="1399"/>
      <c r="CK1089" s="1399"/>
      <c r="CL1089" s="1399"/>
      <c r="CM1089" s="1399"/>
      <c r="CN1089" s="1399"/>
      <c r="CO1089" s="1399"/>
      <c r="CP1089" s="1399"/>
      <c r="CQ1089" s="1399"/>
      <c r="CR1089" s="1399"/>
      <c r="CS1089" s="1399"/>
      <c r="CT1089" s="1399"/>
      <c r="CU1089" s="1399"/>
      <c r="CV1089" s="1399"/>
      <c r="CW1089" s="1399"/>
      <c r="CX1089" s="1399"/>
      <c r="CY1089" s="1399"/>
      <c r="CZ1089" s="1399"/>
      <c r="DA1089" s="1399"/>
      <c r="DB1089" s="1399"/>
      <c r="DC1089" s="1399"/>
      <c r="DD1089" s="1399"/>
      <c r="DE1089" s="1399"/>
      <c r="DF1089" s="1399"/>
      <c r="DG1089" s="1399"/>
      <c r="DH1089" s="1399"/>
      <c r="DI1089" s="1399"/>
      <c r="DJ1089" s="1399"/>
      <c r="DK1089" s="1399"/>
      <c r="DL1089" s="1399"/>
      <c r="DM1089" s="1399"/>
      <c r="DN1089" s="1399"/>
      <c r="DO1089" s="1399"/>
      <c r="DP1089" s="1399"/>
      <c r="DQ1089" s="1399"/>
      <c r="DR1089" s="1399"/>
      <c r="DS1089" s="1399"/>
      <c r="DT1089" s="1399"/>
      <c r="DU1089" s="1399"/>
    </row>
    <row r="1090" spans="1:125">
      <c r="A1090" s="1414"/>
      <c r="B1090" s="1414"/>
      <c r="C1090" s="1414"/>
      <c r="D1090" s="1414"/>
      <c r="E1090" s="1414"/>
      <c r="F1090" s="1414"/>
      <c r="G1090" s="1414"/>
      <c r="H1090" s="1414"/>
      <c r="I1090" s="1414"/>
      <c r="J1090" s="1414"/>
      <c r="K1090" s="1414"/>
      <c r="L1090" s="1414"/>
      <c r="M1090" s="1414"/>
      <c r="N1090" s="1414"/>
      <c r="O1090" s="1414"/>
      <c r="P1090" s="1414"/>
      <c r="Q1090" s="1414"/>
      <c r="R1090" s="1414"/>
      <c r="S1090" s="1414"/>
      <c r="T1090" s="1414"/>
      <c r="U1090" s="1414"/>
      <c r="V1090" s="1414"/>
      <c r="W1090" s="1414"/>
      <c r="X1090" s="1414"/>
      <c r="Y1090" s="1414"/>
      <c r="Z1090" s="1414"/>
      <c r="AA1090" s="1414"/>
      <c r="AB1090" s="1414"/>
      <c r="AC1090" s="1414"/>
      <c r="AD1090" s="1414"/>
      <c r="AE1090" s="1414"/>
      <c r="AF1090" s="1414"/>
      <c r="AG1090" s="1414"/>
      <c r="AH1090" s="1414"/>
      <c r="AI1090" s="1414"/>
      <c r="AJ1090" s="1414"/>
      <c r="AK1090" s="1414"/>
      <c r="AL1090" s="1414"/>
      <c r="AM1090" s="1414"/>
      <c r="AN1090" s="1414"/>
      <c r="AO1090" s="1414"/>
      <c r="AP1090" s="1414"/>
      <c r="AQ1090" s="1414"/>
      <c r="AR1090" s="1414"/>
      <c r="AS1090" s="1414"/>
      <c r="AT1090" s="1414"/>
      <c r="AU1090" s="1414"/>
      <c r="AV1090" s="1414"/>
      <c r="AW1090" s="1414"/>
      <c r="AX1090" s="1414"/>
      <c r="AY1090" s="1399"/>
      <c r="AZ1090" s="1399"/>
      <c r="BA1090" s="1399"/>
      <c r="BB1090" s="1399"/>
      <c r="BC1090" s="1399"/>
      <c r="BD1090" s="1399"/>
      <c r="BE1090" s="1414"/>
      <c r="BF1090" s="1399"/>
      <c r="BG1090" s="1399"/>
      <c r="BH1090" s="1399"/>
      <c r="BI1090" s="1399"/>
      <c r="BJ1090" s="1399"/>
      <c r="BK1090" s="1399"/>
      <c r="BL1090" s="1399"/>
      <c r="BM1090" s="1399"/>
      <c r="BN1090" s="1399"/>
      <c r="BO1090" s="1399"/>
      <c r="BP1090" s="1399"/>
      <c r="BQ1090" s="1399"/>
      <c r="BR1090" s="1399"/>
      <c r="BS1090" s="1399"/>
      <c r="BT1090" s="1399"/>
      <c r="BU1090" s="1399"/>
      <c r="BV1090" s="1399"/>
      <c r="BW1090" s="1399"/>
      <c r="BX1090" s="1399"/>
      <c r="BY1090" s="1399"/>
      <c r="BZ1090" s="1399"/>
      <c r="CA1090" s="1399"/>
      <c r="CB1090" s="1399"/>
      <c r="CC1090" s="1399"/>
      <c r="CD1090" s="1399"/>
      <c r="CE1090" s="1399"/>
      <c r="CF1090" s="1399"/>
      <c r="CG1090" s="1399"/>
      <c r="CH1090" s="1399"/>
      <c r="CI1090" s="1399"/>
      <c r="CJ1090" s="1399"/>
      <c r="CK1090" s="1399"/>
      <c r="CL1090" s="1399"/>
      <c r="CM1090" s="1399"/>
      <c r="CN1090" s="1399"/>
      <c r="CO1090" s="1399"/>
      <c r="CP1090" s="1399"/>
      <c r="CQ1090" s="1399"/>
      <c r="CR1090" s="1399"/>
      <c r="CS1090" s="1399"/>
      <c r="CT1090" s="1399"/>
      <c r="CU1090" s="1399"/>
      <c r="CV1090" s="1399"/>
      <c r="CW1090" s="1399"/>
      <c r="CX1090" s="1399"/>
      <c r="CY1090" s="1399"/>
      <c r="CZ1090" s="1399"/>
      <c r="DA1090" s="1399"/>
      <c r="DB1090" s="1399"/>
      <c r="DC1090" s="1399"/>
      <c r="DD1090" s="1399"/>
      <c r="DE1090" s="1399"/>
      <c r="DF1090" s="1399"/>
      <c r="DG1090" s="1399"/>
      <c r="DH1090" s="1399"/>
      <c r="DI1090" s="1399"/>
      <c r="DJ1090" s="1399"/>
      <c r="DK1090" s="1399"/>
      <c r="DL1090" s="1399"/>
      <c r="DM1090" s="1399"/>
      <c r="DN1090" s="1399"/>
      <c r="DO1090" s="1399"/>
      <c r="DP1090" s="1399"/>
      <c r="DQ1090" s="1399"/>
      <c r="DR1090" s="1399"/>
      <c r="DS1090" s="1399"/>
      <c r="DT1090" s="1399"/>
      <c r="DU1090" s="1399"/>
    </row>
    <row r="1091" spans="1:125">
      <c r="A1091" s="1414"/>
      <c r="B1091" s="1414"/>
      <c r="C1091" s="1414"/>
      <c r="D1091" s="1414"/>
      <c r="E1091" s="1414"/>
      <c r="F1091" s="1414"/>
      <c r="G1091" s="1414"/>
      <c r="H1091" s="1414"/>
      <c r="I1091" s="1414"/>
      <c r="J1091" s="1414"/>
      <c r="K1091" s="1414"/>
      <c r="L1091" s="1414"/>
      <c r="M1091" s="1414"/>
      <c r="N1091" s="1414"/>
      <c r="O1091" s="1414"/>
      <c r="P1091" s="1414"/>
      <c r="Q1091" s="1414"/>
      <c r="R1091" s="1414"/>
      <c r="S1091" s="1414"/>
      <c r="T1091" s="1414"/>
      <c r="U1091" s="1414"/>
      <c r="V1091" s="1414"/>
      <c r="W1091" s="1414"/>
      <c r="X1091" s="1414"/>
      <c r="Y1091" s="1414"/>
      <c r="Z1091" s="1414"/>
      <c r="AA1091" s="1414"/>
      <c r="AB1091" s="1414"/>
      <c r="AC1091" s="1414"/>
      <c r="AD1091" s="1414"/>
      <c r="AE1091" s="1414"/>
      <c r="AF1091" s="1414"/>
      <c r="AG1091" s="1414"/>
      <c r="AH1091" s="1414"/>
      <c r="AI1091" s="1414"/>
      <c r="AJ1091" s="1414"/>
      <c r="AK1091" s="1414"/>
      <c r="AL1091" s="1414"/>
      <c r="AM1091" s="1414"/>
      <c r="AN1091" s="1414"/>
      <c r="AO1091" s="1414"/>
      <c r="AP1091" s="1414"/>
      <c r="AQ1091" s="1414"/>
      <c r="AR1091" s="1414"/>
      <c r="AS1091" s="1414"/>
      <c r="AT1091" s="1414"/>
      <c r="AU1091" s="1414"/>
      <c r="AV1091" s="1414"/>
      <c r="AW1091" s="1414"/>
      <c r="AX1091" s="1414"/>
      <c r="AY1091" s="1399"/>
      <c r="AZ1091" s="1399"/>
      <c r="BA1091" s="1399"/>
      <c r="BB1091" s="1399"/>
      <c r="BC1091" s="1399"/>
      <c r="BD1091" s="1399"/>
      <c r="BE1091" s="1414"/>
      <c r="BF1091" s="1399"/>
      <c r="BG1091" s="1399"/>
      <c r="BH1091" s="1399"/>
      <c r="BI1091" s="1399"/>
      <c r="BJ1091" s="1399"/>
      <c r="BK1091" s="1399"/>
      <c r="BL1091" s="1399"/>
      <c r="BM1091" s="1399"/>
      <c r="BN1091" s="1399"/>
      <c r="BO1091" s="1399"/>
      <c r="BP1091" s="1399"/>
      <c r="BQ1091" s="1399"/>
      <c r="BR1091" s="1399"/>
      <c r="BS1091" s="1399"/>
      <c r="BT1091" s="1399"/>
      <c r="BU1091" s="1399"/>
      <c r="BV1091" s="1399"/>
      <c r="BW1091" s="1399"/>
      <c r="BX1091" s="1399"/>
      <c r="BY1091" s="1399"/>
      <c r="BZ1091" s="1399"/>
      <c r="CA1091" s="1399"/>
      <c r="CB1091" s="1399"/>
      <c r="CC1091" s="1399"/>
      <c r="CD1091" s="1399"/>
      <c r="CE1091" s="1399"/>
      <c r="CF1091" s="1399"/>
      <c r="CG1091" s="1399"/>
      <c r="CH1091" s="1399"/>
      <c r="CI1091" s="1399"/>
      <c r="CJ1091" s="1399"/>
      <c r="CK1091" s="1399"/>
      <c r="CL1091" s="1399"/>
      <c r="CM1091" s="1399"/>
      <c r="CN1091" s="1399"/>
      <c r="CO1091" s="1399"/>
      <c r="CP1091" s="1399"/>
      <c r="CQ1091" s="1399"/>
      <c r="CR1091" s="1399"/>
      <c r="CS1091" s="1399"/>
      <c r="CT1091" s="1399"/>
      <c r="CU1091" s="1399"/>
      <c r="CV1091" s="1399"/>
      <c r="CW1091" s="1399"/>
      <c r="CX1091" s="1399"/>
      <c r="CY1091" s="1399"/>
      <c r="CZ1091" s="1399"/>
      <c r="DA1091" s="1399"/>
      <c r="DB1091" s="1399"/>
      <c r="DC1091" s="1399"/>
      <c r="DD1091" s="1399"/>
      <c r="DE1091" s="1399"/>
      <c r="DF1091" s="1399"/>
      <c r="DG1091" s="1399"/>
      <c r="DH1091" s="1399"/>
      <c r="DI1091" s="1399"/>
      <c r="DJ1091" s="1399"/>
      <c r="DK1091" s="1399"/>
      <c r="DL1091" s="1399"/>
      <c r="DM1091" s="1399"/>
      <c r="DN1091" s="1399"/>
      <c r="DO1091" s="1399"/>
      <c r="DP1091" s="1399"/>
      <c r="DQ1091" s="1399"/>
      <c r="DR1091" s="1399"/>
      <c r="DS1091" s="1399"/>
      <c r="DT1091" s="1399"/>
      <c r="DU1091" s="1399"/>
    </row>
    <row r="1092" spans="1:125">
      <c r="A1092" s="1414"/>
      <c r="B1092" s="1414"/>
      <c r="C1092" s="1414"/>
      <c r="D1092" s="1414"/>
      <c r="E1092" s="1414"/>
      <c r="F1092" s="1414"/>
      <c r="G1092" s="1414"/>
      <c r="H1092" s="1414"/>
      <c r="I1092" s="1414"/>
      <c r="J1092" s="1414"/>
      <c r="K1092" s="1414"/>
      <c r="L1092" s="1414"/>
      <c r="M1092" s="1414"/>
      <c r="N1092" s="1414"/>
      <c r="O1092" s="1414"/>
      <c r="P1092" s="1414"/>
      <c r="Q1092" s="1414"/>
      <c r="R1092" s="1414"/>
      <c r="S1092" s="1414"/>
      <c r="T1092" s="1414"/>
      <c r="U1092" s="1414"/>
      <c r="V1092" s="1414"/>
      <c r="W1092" s="1414"/>
      <c r="X1092" s="1414"/>
      <c r="Y1092" s="1414"/>
      <c r="Z1092" s="1414"/>
      <c r="AA1092" s="1414"/>
      <c r="AB1092" s="1414"/>
      <c r="AC1092" s="1414"/>
      <c r="AD1092" s="1414"/>
      <c r="AE1092" s="1414"/>
      <c r="AF1092" s="1414"/>
      <c r="AG1092" s="1414"/>
      <c r="AH1092" s="1414"/>
      <c r="AI1092" s="1414"/>
      <c r="AJ1092" s="1414"/>
      <c r="AK1092" s="1414"/>
      <c r="AL1092" s="1414"/>
      <c r="AM1092" s="1414"/>
      <c r="AN1092" s="1414"/>
      <c r="AO1092" s="1414"/>
      <c r="AP1092" s="1414"/>
      <c r="AQ1092" s="1414"/>
      <c r="AR1092" s="1414"/>
      <c r="AS1092" s="1414"/>
      <c r="AT1092" s="1414"/>
      <c r="AU1092" s="1414"/>
      <c r="AV1092" s="1414"/>
      <c r="AW1092" s="1414"/>
      <c r="AX1092" s="1414"/>
      <c r="AY1092" s="1399"/>
      <c r="AZ1092" s="1399"/>
      <c r="BA1092" s="1399"/>
      <c r="BB1092" s="1399"/>
      <c r="BC1092" s="1399"/>
      <c r="BD1092" s="1399"/>
      <c r="BE1092" s="1414"/>
      <c r="BF1092" s="1399"/>
      <c r="BG1092" s="1399"/>
      <c r="BH1092" s="1399"/>
      <c r="BI1092" s="1399"/>
      <c r="BJ1092" s="1399"/>
      <c r="BK1092" s="1399"/>
      <c r="BL1092" s="1399"/>
      <c r="BM1092" s="1399"/>
      <c r="BN1092" s="1399"/>
      <c r="BO1092" s="1399"/>
      <c r="BP1092" s="1399"/>
      <c r="BQ1092" s="1399"/>
      <c r="BR1092" s="1399"/>
      <c r="BS1092" s="1399"/>
      <c r="BT1092" s="1399"/>
      <c r="BU1092" s="1399"/>
      <c r="BV1092" s="1399"/>
      <c r="BW1092" s="1399"/>
      <c r="BX1092" s="1399"/>
      <c r="BY1092" s="1399"/>
      <c r="BZ1092" s="1399"/>
      <c r="CA1092" s="1399"/>
      <c r="CB1092" s="1399"/>
      <c r="CC1092" s="1399"/>
      <c r="CD1092" s="1399"/>
      <c r="CE1092" s="1399"/>
      <c r="CF1092" s="1399"/>
      <c r="CG1092" s="1399"/>
      <c r="CH1092" s="1399"/>
      <c r="CI1092" s="1399"/>
      <c r="CJ1092" s="1399"/>
      <c r="CK1092" s="1399"/>
      <c r="CL1092" s="1399"/>
      <c r="CM1092" s="1399"/>
      <c r="CN1092" s="1399"/>
      <c r="CO1092" s="1399"/>
      <c r="CP1092" s="1399"/>
      <c r="CQ1092" s="1399"/>
      <c r="CR1092" s="1399"/>
      <c r="CS1092" s="1399"/>
      <c r="CT1092" s="1399"/>
      <c r="CU1092" s="1399"/>
      <c r="CV1092" s="1399"/>
      <c r="CW1092" s="1399"/>
      <c r="CX1092" s="1399"/>
      <c r="CY1092" s="1399"/>
      <c r="CZ1092" s="1399"/>
      <c r="DA1092" s="1399"/>
      <c r="DB1092" s="1399"/>
      <c r="DC1092" s="1399"/>
      <c r="DD1092" s="1399"/>
      <c r="DE1092" s="1399"/>
      <c r="DF1092" s="1399"/>
      <c r="DG1092" s="1399"/>
      <c r="DH1092" s="1399"/>
      <c r="DI1092" s="1399"/>
      <c r="DJ1092" s="1399"/>
      <c r="DK1092" s="1399"/>
      <c r="DL1092" s="1399"/>
      <c r="DM1092" s="1399"/>
      <c r="DN1092" s="1399"/>
      <c r="DO1092" s="1399"/>
      <c r="DP1092" s="1399"/>
      <c r="DQ1092" s="1399"/>
      <c r="DR1092" s="1399"/>
      <c r="DS1092" s="1399"/>
      <c r="DT1092" s="1399"/>
      <c r="DU1092" s="1399"/>
    </row>
    <row r="1093" spans="1:125">
      <c r="A1093" s="1414"/>
      <c r="B1093" s="1414"/>
      <c r="C1093" s="1414"/>
      <c r="D1093" s="1414"/>
      <c r="E1093" s="1414"/>
      <c r="F1093" s="1414"/>
      <c r="G1093" s="1414"/>
      <c r="H1093" s="1414"/>
      <c r="I1093" s="1414"/>
      <c r="J1093" s="1414"/>
      <c r="K1093" s="1414"/>
      <c r="L1093" s="1414"/>
      <c r="M1093" s="1414"/>
      <c r="N1093" s="1414"/>
      <c r="O1093" s="1414"/>
      <c r="P1093" s="1414"/>
      <c r="Q1093" s="1414"/>
      <c r="R1093" s="1414"/>
      <c r="S1093" s="1414"/>
      <c r="T1093" s="1414"/>
      <c r="U1093" s="1414"/>
      <c r="V1093" s="1414"/>
      <c r="W1093" s="1414"/>
      <c r="X1093" s="1414"/>
      <c r="Y1093" s="1414"/>
      <c r="Z1093" s="1414"/>
      <c r="AA1093" s="1414"/>
      <c r="AB1093" s="1414"/>
      <c r="AC1093" s="1414"/>
      <c r="AD1093" s="1414"/>
      <c r="AE1093" s="1414"/>
      <c r="AF1093" s="1414"/>
      <c r="AG1093" s="1414"/>
      <c r="AH1093" s="1414"/>
      <c r="AI1093" s="1414"/>
      <c r="AJ1093" s="1414"/>
      <c r="AK1093" s="1414"/>
      <c r="AL1093" s="1414"/>
      <c r="AM1093" s="1414"/>
      <c r="AN1093" s="1414"/>
      <c r="AO1093" s="1414"/>
      <c r="AP1093" s="1414"/>
      <c r="AQ1093" s="1414"/>
      <c r="AR1093" s="1414"/>
      <c r="AS1093" s="1414"/>
      <c r="AT1093" s="1414"/>
      <c r="AU1093" s="1414"/>
      <c r="AV1093" s="1414"/>
      <c r="AW1093" s="1414"/>
      <c r="AX1093" s="1414"/>
      <c r="AY1093" s="1399"/>
      <c r="AZ1093" s="1399"/>
      <c r="BA1093" s="1399"/>
      <c r="BB1093" s="1399"/>
      <c r="BC1093" s="1399"/>
      <c r="BD1093" s="1399"/>
      <c r="BE1093" s="1414"/>
      <c r="BF1093" s="1399"/>
      <c r="BG1093" s="1399"/>
      <c r="BH1093" s="1399"/>
      <c r="BI1093" s="1399"/>
      <c r="BJ1093" s="1399"/>
      <c r="BK1093" s="1399"/>
      <c r="BL1093" s="1399"/>
      <c r="BM1093" s="1399"/>
      <c r="BN1093" s="1399"/>
      <c r="BO1093" s="1399"/>
      <c r="BP1093" s="1399"/>
      <c r="BQ1093" s="1399"/>
      <c r="BR1093" s="1399"/>
      <c r="BS1093" s="1399"/>
      <c r="BT1093" s="1399"/>
      <c r="BU1093" s="1399"/>
      <c r="BV1093" s="1399"/>
      <c r="BW1093" s="1399"/>
      <c r="BX1093" s="1399"/>
      <c r="BY1093" s="1399"/>
      <c r="BZ1093" s="1399"/>
      <c r="CA1093" s="1399"/>
      <c r="CB1093" s="1399"/>
      <c r="CC1093" s="1399"/>
      <c r="CD1093" s="1399"/>
      <c r="CE1093" s="1399"/>
      <c r="CF1093" s="1399"/>
      <c r="CG1093" s="1399"/>
      <c r="CH1093" s="1399"/>
      <c r="CI1093" s="1399"/>
      <c r="CJ1093" s="1399"/>
      <c r="CK1093" s="1399"/>
      <c r="CL1093" s="1399"/>
      <c r="CM1093" s="1399"/>
      <c r="CN1093" s="1399"/>
      <c r="CO1093" s="1399"/>
      <c r="CP1093" s="1399"/>
      <c r="CQ1093" s="1399"/>
      <c r="CR1093" s="1399"/>
      <c r="CS1093" s="1399"/>
      <c r="CT1093" s="1399"/>
      <c r="CU1093" s="1399"/>
      <c r="CV1093" s="1399"/>
      <c r="CW1093" s="1399"/>
      <c r="CX1093" s="1399"/>
      <c r="CY1093" s="1399"/>
      <c r="CZ1093" s="1399"/>
      <c r="DA1093" s="1399"/>
      <c r="DB1093" s="1399"/>
      <c r="DC1093" s="1399"/>
      <c r="DD1093" s="1399"/>
      <c r="DE1093" s="1399"/>
      <c r="DF1093" s="1399"/>
      <c r="DG1093" s="1399"/>
      <c r="DH1093" s="1399"/>
      <c r="DI1093" s="1399"/>
      <c r="DJ1093" s="1399"/>
      <c r="DK1093" s="1399"/>
      <c r="DL1093" s="1399"/>
      <c r="DM1093" s="1399"/>
      <c r="DN1093" s="1399"/>
      <c r="DO1093" s="1399"/>
      <c r="DP1093" s="1399"/>
      <c r="DQ1093" s="1399"/>
      <c r="DR1093" s="1399"/>
      <c r="DS1093" s="1399"/>
      <c r="DT1093" s="1399"/>
      <c r="DU1093" s="1399"/>
    </row>
    <row r="1094" spans="1:125">
      <c r="A1094" s="1414"/>
      <c r="B1094" s="1414"/>
      <c r="C1094" s="1414"/>
      <c r="D1094" s="1414"/>
      <c r="E1094" s="1414"/>
      <c r="F1094" s="1414"/>
      <c r="G1094" s="1414"/>
      <c r="H1094" s="1414"/>
      <c r="I1094" s="1414"/>
      <c r="J1094" s="1414"/>
      <c r="K1094" s="1414"/>
      <c r="L1094" s="1414"/>
      <c r="M1094" s="1414"/>
      <c r="N1094" s="1414"/>
      <c r="O1094" s="1414"/>
      <c r="P1094" s="1414"/>
      <c r="Q1094" s="1414"/>
      <c r="R1094" s="1414"/>
      <c r="S1094" s="1414"/>
      <c r="T1094" s="1414"/>
      <c r="U1094" s="1414"/>
      <c r="V1094" s="1414"/>
      <c r="W1094" s="1414"/>
      <c r="X1094" s="1414"/>
      <c r="Y1094" s="1414"/>
      <c r="Z1094" s="1414"/>
      <c r="AA1094" s="1414"/>
      <c r="AB1094" s="1414"/>
      <c r="AC1094" s="1414"/>
      <c r="AD1094" s="1414"/>
      <c r="AE1094" s="1414"/>
      <c r="AF1094" s="1414"/>
      <c r="AG1094" s="1414"/>
      <c r="AH1094" s="1414"/>
      <c r="AI1094" s="1414"/>
      <c r="AJ1094" s="1414"/>
      <c r="AK1094" s="1414"/>
      <c r="AL1094" s="1414"/>
      <c r="AM1094" s="1414"/>
      <c r="AN1094" s="1414"/>
      <c r="AO1094" s="1414"/>
      <c r="AP1094" s="1414"/>
      <c r="AQ1094" s="1414"/>
      <c r="AR1094" s="1414"/>
      <c r="AS1094" s="1414"/>
      <c r="AT1094" s="1414"/>
      <c r="AU1094" s="1414"/>
      <c r="AV1094" s="1414"/>
      <c r="AW1094" s="1414"/>
      <c r="AX1094" s="1414"/>
      <c r="AY1094" s="1399"/>
      <c r="AZ1094" s="1399"/>
      <c r="BA1094" s="1399"/>
      <c r="BB1094" s="1399"/>
      <c r="BC1094" s="1399"/>
      <c r="BD1094" s="1399"/>
      <c r="BE1094" s="1414"/>
      <c r="BF1094" s="1399"/>
      <c r="BG1094" s="1399"/>
      <c r="BH1094" s="1399"/>
      <c r="BI1094" s="1399"/>
      <c r="BJ1094" s="1399"/>
      <c r="BK1094" s="1399"/>
      <c r="BL1094" s="1399"/>
      <c r="BM1094" s="1399"/>
      <c r="BN1094" s="1399"/>
      <c r="BO1094" s="1399"/>
      <c r="BP1094" s="1399"/>
      <c r="BQ1094" s="1399"/>
      <c r="BR1094" s="1399"/>
      <c r="BS1094" s="1399"/>
      <c r="BT1094" s="1399"/>
      <c r="BU1094" s="1399"/>
      <c r="BV1094" s="1399"/>
      <c r="BW1094" s="1399"/>
      <c r="BX1094" s="1399"/>
      <c r="BY1094" s="1399"/>
      <c r="BZ1094" s="1399"/>
      <c r="CA1094" s="1399"/>
      <c r="CB1094" s="1399"/>
      <c r="CC1094" s="1399"/>
      <c r="CD1094" s="1399"/>
      <c r="CE1094" s="1399"/>
      <c r="CF1094" s="1399"/>
      <c r="CG1094" s="1399"/>
      <c r="CH1094" s="1399"/>
      <c r="CI1094" s="1399"/>
      <c r="CJ1094" s="1399"/>
      <c r="CK1094" s="1399"/>
      <c r="CL1094" s="1399"/>
      <c r="CM1094" s="1399"/>
      <c r="CN1094" s="1399"/>
      <c r="CO1094" s="1399"/>
      <c r="CP1094" s="1399"/>
      <c r="CQ1094" s="1399"/>
      <c r="CR1094" s="1399"/>
      <c r="CS1094" s="1399"/>
      <c r="CT1094" s="1399"/>
      <c r="CU1094" s="1399"/>
      <c r="CV1094" s="1399"/>
      <c r="CW1094" s="1399"/>
      <c r="CX1094" s="1399"/>
      <c r="CY1094" s="1399"/>
      <c r="CZ1094" s="1399"/>
      <c r="DA1094" s="1399"/>
      <c r="DB1094" s="1399"/>
      <c r="DC1094" s="1399"/>
      <c r="DD1094" s="1399"/>
      <c r="DE1094" s="1399"/>
      <c r="DF1094" s="1399"/>
      <c r="DG1094" s="1399"/>
      <c r="DH1094" s="1399"/>
      <c r="DI1094" s="1399"/>
      <c r="DJ1094" s="1399"/>
      <c r="DK1094" s="1399"/>
      <c r="DL1094" s="1399"/>
      <c r="DM1094" s="1399"/>
      <c r="DN1094" s="1399"/>
      <c r="DO1094" s="1399"/>
      <c r="DP1094" s="1399"/>
      <c r="DQ1094" s="1399"/>
      <c r="DR1094" s="1399"/>
      <c r="DS1094" s="1399"/>
      <c r="DT1094" s="1399"/>
      <c r="DU1094" s="1399"/>
    </row>
    <row r="1095" spans="1:125">
      <c r="A1095" s="1414"/>
      <c r="B1095" s="1414"/>
      <c r="C1095" s="1414"/>
      <c r="D1095" s="1414"/>
      <c r="E1095" s="1414"/>
      <c r="F1095" s="1414"/>
      <c r="G1095" s="1414"/>
      <c r="H1095" s="1414"/>
      <c r="I1095" s="1414"/>
      <c r="J1095" s="1414"/>
      <c r="K1095" s="1414"/>
      <c r="L1095" s="1414"/>
      <c r="M1095" s="1414"/>
      <c r="N1095" s="1414"/>
      <c r="O1095" s="1414"/>
      <c r="P1095" s="1414"/>
      <c r="Q1095" s="1414"/>
      <c r="R1095" s="1414"/>
      <c r="S1095" s="1414"/>
      <c r="T1095" s="1414"/>
      <c r="U1095" s="1414"/>
      <c r="V1095" s="1414"/>
      <c r="W1095" s="1414"/>
      <c r="X1095" s="1414"/>
      <c r="Y1095" s="1414"/>
      <c r="Z1095" s="1414"/>
      <c r="AA1095" s="1414"/>
      <c r="AB1095" s="1414"/>
      <c r="AC1095" s="1414"/>
      <c r="AD1095" s="1414"/>
      <c r="AE1095" s="1414"/>
      <c r="AF1095" s="1414"/>
      <c r="AG1095" s="1414"/>
      <c r="AH1095" s="1414"/>
      <c r="AI1095" s="1414"/>
      <c r="AJ1095" s="1414"/>
      <c r="AK1095" s="1414"/>
      <c r="AL1095" s="1414"/>
      <c r="AM1095" s="1414"/>
      <c r="AN1095" s="1414"/>
      <c r="AO1095" s="1414"/>
      <c r="AP1095" s="1414"/>
      <c r="AQ1095" s="1414"/>
      <c r="AR1095" s="1414"/>
      <c r="AS1095" s="1414"/>
      <c r="AT1095" s="1414"/>
      <c r="AU1095" s="1414"/>
      <c r="AV1095" s="1414"/>
      <c r="AW1095" s="1414"/>
      <c r="AX1095" s="1414"/>
      <c r="AY1095" s="1399"/>
      <c r="AZ1095" s="1399"/>
      <c r="BA1095" s="1399"/>
      <c r="BB1095" s="1399"/>
      <c r="BC1095" s="1399"/>
      <c r="BD1095" s="1399"/>
      <c r="BE1095" s="1414"/>
      <c r="BF1095" s="1399"/>
      <c r="BG1095" s="1399"/>
      <c r="BH1095" s="1399"/>
      <c r="BI1095" s="1399"/>
      <c r="BJ1095" s="1399"/>
      <c r="BK1095" s="1399"/>
      <c r="BL1095" s="1399"/>
      <c r="BM1095" s="1399"/>
      <c r="BN1095" s="1399"/>
      <c r="BO1095" s="1399"/>
      <c r="BP1095" s="1399"/>
      <c r="BQ1095" s="1399"/>
      <c r="BR1095" s="1399"/>
      <c r="BS1095" s="1399"/>
      <c r="BT1095" s="1399"/>
      <c r="BU1095" s="1399"/>
      <c r="BV1095" s="1399"/>
      <c r="BW1095" s="1399"/>
      <c r="BX1095" s="1399"/>
      <c r="BY1095" s="1399"/>
      <c r="BZ1095" s="1399"/>
      <c r="CA1095" s="1399"/>
      <c r="CB1095" s="1399"/>
      <c r="CC1095" s="1399"/>
      <c r="CD1095" s="1399"/>
      <c r="CE1095" s="1399"/>
      <c r="CF1095" s="1399"/>
      <c r="CG1095" s="1399"/>
      <c r="CH1095" s="1399"/>
      <c r="CI1095" s="1399"/>
      <c r="CJ1095" s="1399"/>
      <c r="CK1095" s="1399"/>
      <c r="CL1095" s="1399"/>
      <c r="CM1095" s="1399"/>
      <c r="CN1095" s="1399"/>
      <c r="CO1095" s="1399"/>
      <c r="CP1095" s="1399"/>
      <c r="CQ1095" s="1399"/>
      <c r="CR1095" s="1399"/>
      <c r="CS1095" s="1399"/>
      <c r="CT1095" s="1399"/>
      <c r="CU1095" s="1399"/>
      <c r="CV1095" s="1399"/>
      <c r="CW1095" s="1399"/>
      <c r="CX1095" s="1399"/>
      <c r="CY1095" s="1399"/>
      <c r="CZ1095" s="1399"/>
      <c r="DA1095" s="1399"/>
      <c r="DB1095" s="1399"/>
      <c r="DC1095" s="1399"/>
      <c r="DD1095" s="1399"/>
      <c r="DE1095" s="1399"/>
      <c r="DF1095" s="1399"/>
      <c r="DG1095" s="1399"/>
      <c r="DH1095" s="1399"/>
      <c r="DI1095" s="1399"/>
      <c r="DJ1095" s="1399"/>
      <c r="DK1095" s="1399"/>
      <c r="DL1095" s="1399"/>
      <c r="DM1095" s="1399"/>
      <c r="DN1095" s="1399"/>
      <c r="DO1095" s="1399"/>
      <c r="DP1095" s="1399"/>
      <c r="DQ1095" s="1399"/>
      <c r="DR1095" s="1399"/>
      <c r="DS1095" s="1399"/>
      <c r="DT1095" s="1399"/>
      <c r="DU1095" s="1399"/>
    </row>
    <row r="1096" spans="1:125">
      <c r="A1096" s="1414"/>
      <c r="B1096" s="1414"/>
      <c r="C1096" s="1414"/>
      <c r="D1096" s="1414"/>
      <c r="E1096" s="1414"/>
      <c r="F1096" s="1414"/>
      <c r="G1096" s="1414"/>
      <c r="H1096" s="1414"/>
      <c r="I1096" s="1414"/>
      <c r="J1096" s="1414"/>
      <c r="K1096" s="1414"/>
      <c r="L1096" s="1414"/>
      <c r="M1096" s="1414"/>
      <c r="N1096" s="1414"/>
      <c r="O1096" s="1414"/>
      <c r="P1096" s="1414"/>
      <c r="Q1096" s="1414"/>
      <c r="R1096" s="1414"/>
      <c r="S1096" s="1414"/>
      <c r="T1096" s="1414"/>
      <c r="U1096" s="1414"/>
      <c r="V1096" s="1414"/>
      <c r="W1096" s="1414"/>
      <c r="X1096" s="1414"/>
      <c r="Y1096" s="1414"/>
      <c r="Z1096" s="1414"/>
      <c r="AA1096" s="1414"/>
      <c r="AB1096" s="1414"/>
      <c r="AC1096" s="1414"/>
      <c r="AD1096" s="1414"/>
      <c r="AE1096" s="1414"/>
      <c r="AF1096" s="1414"/>
      <c r="AG1096" s="1414"/>
      <c r="AH1096" s="1414"/>
      <c r="AI1096" s="1414"/>
      <c r="AJ1096" s="1414"/>
      <c r="AK1096" s="1414"/>
      <c r="AL1096" s="1414"/>
      <c r="AM1096" s="1414"/>
      <c r="AN1096" s="1414"/>
      <c r="AO1096" s="1414"/>
      <c r="AP1096" s="1414"/>
      <c r="AQ1096" s="1414"/>
      <c r="AR1096" s="1414"/>
      <c r="AS1096" s="1414"/>
      <c r="AT1096" s="1414"/>
      <c r="AU1096" s="1414"/>
      <c r="AV1096" s="1414"/>
      <c r="AW1096" s="1414"/>
      <c r="AX1096" s="1414"/>
      <c r="AY1096" s="1399"/>
      <c r="AZ1096" s="1399"/>
      <c r="BA1096" s="1399"/>
      <c r="BB1096" s="1399"/>
      <c r="BC1096" s="1399"/>
      <c r="BD1096" s="1399"/>
      <c r="BE1096" s="1414"/>
      <c r="BF1096" s="1399"/>
      <c r="BG1096" s="1399"/>
      <c r="BH1096" s="1399"/>
      <c r="BI1096" s="1399"/>
      <c r="BJ1096" s="1399"/>
      <c r="BK1096" s="1399"/>
      <c r="BL1096" s="1399"/>
      <c r="BM1096" s="1399"/>
      <c r="BN1096" s="1399"/>
      <c r="BO1096" s="1399"/>
      <c r="BP1096" s="1399"/>
      <c r="BQ1096" s="1399"/>
      <c r="BR1096" s="1399"/>
      <c r="BS1096" s="1399"/>
      <c r="BT1096" s="1399"/>
      <c r="BU1096" s="1399"/>
      <c r="BV1096" s="1399"/>
      <c r="BW1096" s="1399"/>
      <c r="BX1096" s="1399"/>
      <c r="BY1096" s="1399"/>
      <c r="BZ1096" s="1399"/>
      <c r="CA1096" s="1399"/>
      <c r="CB1096" s="1399"/>
      <c r="CC1096" s="1399"/>
      <c r="CD1096" s="1399"/>
      <c r="CE1096" s="1399"/>
      <c r="CF1096" s="1399"/>
      <c r="CG1096" s="1399"/>
      <c r="CH1096" s="1399"/>
      <c r="CI1096" s="1399"/>
      <c r="CJ1096" s="1399"/>
      <c r="CK1096" s="1399"/>
      <c r="CL1096" s="1399"/>
      <c r="CM1096" s="1399"/>
      <c r="CN1096" s="1399"/>
      <c r="CO1096" s="1399"/>
      <c r="CP1096" s="1399"/>
      <c r="CQ1096" s="1399"/>
      <c r="CR1096" s="1399"/>
      <c r="CS1096" s="1399"/>
      <c r="CT1096" s="1399"/>
      <c r="CU1096" s="1399"/>
      <c r="CV1096" s="1399"/>
      <c r="CW1096" s="1399"/>
      <c r="CX1096" s="1399"/>
      <c r="CY1096" s="1399"/>
      <c r="CZ1096" s="1399"/>
      <c r="DA1096" s="1399"/>
      <c r="DB1096" s="1399"/>
      <c r="DC1096" s="1399"/>
      <c r="DD1096" s="1399"/>
      <c r="DE1096" s="1399"/>
      <c r="DF1096" s="1399"/>
      <c r="DG1096" s="1399"/>
      <c r="DH1096" s="1399"/>
      <c r="DI1096" s="1399"/>
      <c r="DJ1096" s="1399"/>
      <c r="DK1096" s="1399"/>
      <c r="DL1096" s="1399"/>
      <c r="DM1096" s="1399"/>
      <c r="DN1096" s="1399"/>
      <c r="DO1096" s="1399"/>
      <c r="DP1096" s="1399"/>
      <c r="DQ1096" s="1399"/>
      <c r="DR1096" s="1399"/>
      <c r="DS1096" s="1399"/>
      <c r="DT1096" s="1399"/>
      <c r="DU1096" s="1399"/>
    </row>
    <row r="1097" spans="1:125">
      <c r="A1097" s="1414"/>
      <c r="B1097" s="1414"/>
      <c r="C1097" s="1414"/>
      <c r="D1097" s="1414"/>
      <c r="E1097" s="1414"/>
      <c r="F1097" s="1414"/>
      <c r="G1097" s="1414"/>
      <c r="H1097" s="1414"/>
      <c r="I1097" s="1414"/>
      <c r="J1097" s="1414"/>
      <c r="K1097" s="1414"/>
      <c r="L1097" s="1414"/>
      <c r="M1097" s="1414"/>
      <c r="N1097" s="1414"/>
      <c r="O1097" s="1414"/>
      <c r="P1097" s="1414"/>
      <c r="Q1097" s="1414"/>
      <c r="R1097" s="1414"/>
      <c r="S1097" s="1414"/>
      <c r="T1097" s="1414"/>
      <c r="U1097" s="1414"/>
      <c r="V1097" s="1414"/>
      <c r="W1097" s="1414"/>
      <c r="X1097" s="1414"/>
      <c r="Y1097" s="1414"/>
      <c r="Z1097" s="1414"/>
      <c r="AA1097" s="1414"/>
      <c r="AB1097" s="1414"/>
      <c r="AC1097" s="1414"/>
      <c r="AD1097" s="1414"/>
      <c r="AE1097" s="1414"/>
      <c r="AF1097" s="1414"/>
      <c r="AG1097" s="1414"/>
      <c r="AH1097" s="1414"/>
      <c r="AI1097" s="1414"/>
      <c r="AJ1097" s="1414"/>
      <c r="AK1097" s="1414"/>
      <c r="AL1097" s="1414"/>
      <c r="AM1097" s="1414"/>
      <c r="AN1097" s="1414"/>
      <c r="AO1097" s="1414"/>
      <c r="AP1097" s="1414"/>
      <c r="AQ1097" s="1414"/>
      <c r="AR1097" s="1414"/>
      <c r="AS1097" s="1414"/>
      <c r="AT1097" s="1414"/>
      <c r="AU1097" s="1414"/>
      <c r="AV1097" s="1414"/>
      <c r="AW1097" s="1414"/>
      <c r="AX1097" s="1414"/>
      <c r="AY1097" s="1399"/>
      <c r="AZ1097" s="1399"/>
      <c r="BA1097" s="1399"/>
      <c r="BB1097" s="1399"/>
      <c r="BC1097" s="1399"/>
      <c r="BD1097" s="1399"/>
      <c r="BE1097" s="1414"/>
      <c r="BF1097" s="1399"/>
      <c r="BG1097" s="1399"/>
      <c r="BH1097" s="1399"/>
      <c r="BI1097" s="1399"/>
      <c r="BJ1097" s="1399"/>
      <c r="BK1097" s="1399"/>
      <c r="BL1097" s="1399"/>
      <c r="BM1097" s="1399"/>
      <c r="BN1097" s="1399"/>
      <c r="BO1097" s="1399"/>
      <c r="BP1097" s="1399"/>
      <c r="BQ1097" s="1399"/>
      <c r="BR1097" s="1399"/>
      <c r="BS1097" s="1399"/>
      <c r="BT1097" s="1399"/>
      <c r="BU1097" s="1399"/>
      <c r="BV1097" s="1399"/>
      <c r="BW1097" s="1399"/>
      <c r="BX1097" s="1399"/>
      <c r="BY1097" s="1399"/>
      <c r="BZ1097" s="1399"/>
      <c r="CA1097" s="1399"/>
      <c r="CB1097" s="1399"/>
      <c r="CC1097" s="1399"/>
      <c r="CD1097" s="1399"/>
      <c r="CE1097" s="1399"/>
      <c r="CF1097" s="1399"/>
      <c r="CG1097" s="1399"/>
      <c r="CH1097" s="1399"/>
      <c r="CI1097" s="1399"/>
      <c r="CJ1097" s="1399"/>
      <c r="CK1097" s="1399"/>
      <c r="CL1097" s="1399"/>
      <c r="CM1097" s="1399"/>
      <c r="CN1097" s="1399"/>
      <c r="CO1097" s="1399"/>
      <c r="CP1097" s="1399"/>
      <c r="CQ1097" s="1399"/>
      <c r="CR1097" s="1399"/>
      <c r="CS1097" s="1399"/>
      <c r="CT1097" s="1399"/>
      <c r="CU1097" s="1399"/>
      <c r="CV1097" s="1399"/>
      <c r="CW1097" s="1399"/>
      <c r="CX1097" s="1399"/>
      <c r="CY1097" s="1399"/>
      <c r="CZ1097" s="1399"/>
      <c r="DA1097" s="1399"/>
      <c r="DB1097" s="1399"/>
      <c r="DC1097" s="1399"/>
      <c r="DD1097" s="1399"/>
      <c r="DE1097" s="1399"/>
      <c r="DF1097" s="1399"/>
      <c r="DG1097" s="1399"/>
      <c r="DH1097" s="1399"/>
      <c r="DI1097" s="1399"/>
      <c r="DJ1097" s="1399"/>
      <c r="DK1097" s="1399"/>
      <c r="DL1097" s="1399"/>
      <c r="DM1097" s="1399"/>
      <c r="DN1097" s="1399"/>
      <c r="DO1097" s="1399"/>
      <c r="DP1097" s="1399"/>
      <c r="DQ1097" s="1399"/>
      <c r="DR1097" s="1399"/>
      <c r="DS1097" s="1399"/>
      <c r="DT1097" s="1399"/>
      <c r="DU1097" s="1399"/>
    </row>
    <row r="1098" spans="1:125">
      <c r="A1098" s="1414"/>
      <c r="B1098" s="1414"/>
      <c r="C1098" s="1414"/>
      <c r="D1098" s="1414"/>
      <c r="E1098" s="1414"/>
      <c r="F1098" s="1414"/>
      <c r="G1098" s="1414"/>
      <c r="H1098" s="1414"/>
      <c r="I1098" s="1414"/>
      <c r="J1098" s="1414"/>
      <c r="K1098" s="1414"/>
      <c r="L1098" s="1414"/>
      <c r="M1098" s="1414"/>
      <c r="N1098" s="1414"/>
      <c r="O1098" s="1414"/>
      <c r="P1098" s="1414"/>
      <c r="Q1098" s="1414"/>
      <c r="R1098" s="1414"/>
      <c r="S1098" s="1414"/>
      <c r="T1098" s="1414"/>
      <c r="U1098" s="1414"/>
      <c r="V1098" s="1414"/>
      <c r="W1098" s="1414"/>
      <c r="X1098" s="1414"/>
      <c r="Y1098" s="1414"/>
      <c r="Z1098" s="1414"/>
      <c r="AA1098" s="1414"/>
      <c r="AB1098" s="1414"/>
      <c r="AC1098" s="1414"/>
      <c r="AD1098" s="1414"/>
      <c r="AE1098" s="1414"/>
      <c r="AF1098" s="1414"/>
      <c r="AG1098" s="1414"/>
      <c r="AH1098" s="1414"/>
      <c r="AI1098" s="1414"/>
      <c r="AJ1098" s="1414"/>
      <c r="AK1098" s="1414"/>
      <c r="AL1098" s="1414"/>
      <c r="AM1098" s="1414"/>
      <c r="AN1098" s="1414"/>
      <c r="AO1098" s="1414"/>
      <c r="AP1098" s="1414"/>
      <c r="AQ1098" s="1414"/>
      <c r="AR1098" s="1414"/>
      <c r="AS1098" s="1414"/>
      <c r="AT1098" s="1414"/>
      <c r="AU1098" s="1414"/>
      <c r="AV1098" s="1414"/>
      <c r="AW1098" s="1414"/>
      <c r="AX1098" s="1414"/>
      <c r="AY1098" s="1399"/>
      <c r="AZ1098" s="1399"/>
      <c r="BA1098" s="1399"/>
      <c r="BB1098" s="1399"/>
      <c r="BC1098" s="1399"/>
      <c r="BD1098" s="1399"/>
      <c r="BE1098" s="1414"/>
      <c r="BF1098" s="1399"/>
      <c r="BG1098" s="1399"/>
      <c r="BH1098" s="1399"/>
      <c r="BI1098" s="1399"/>
      <c r="BJ1098" s="1399"/>
      <c r="BK1098" s="1399"/>
      <c r="BL1098" s="1399"/>
      <c r="BM1098" s="1399"/>
      <c r="BN1098" s="1399"/>
      <c r="BO1098" s="1399"/>
      <c r="BP1098" s="1399"/>
      <c r="BQ1098" s="1399"/>
      <c r="BR1098" s="1399"/>
      <c r="BS1098" s="1399"/>
      <c r="BT1098" s="1399"/>
      <c r="BU1098" s="1399"/>
      <c r="BV1098" s="1399"/>
      <c r="BW1098" s="1399"/>
      <c r="BX1098" s="1399"/>
      <c r="BY1098" s="1399"/>
      <c r="BZ1098" s="1399"/>
      <c r="CA1098" s="1399"/>
      <c r="CB1098" s="1399"/>
      <c r="CC1098" s="1399"/>
      <c r="CD1098" s="1399"/>
      <c r="CE1098" s="1399"/>
      <c r="CF1098" s="1399"/>
      <c r="CG1098" s="1399"/>
      <c r="CH1098" s="1399"/>
      <c r="CI1098" s="1399"/>
      <c r="CJ1098" s="1399"/>
      <c r="CK1098" s="1399"/>
      <c r="CL1098" s="1399"/>
      <c r="CM1098" s="1399"/>
      <c r="CN1098" s="1399"/>
      <c r="CO1098" s="1399"/>
      <c r="CP1098" s="1399"/>
      <c r="CQ1098" s="1399"/>
      <c r="CR1098" s="1399"/>
      <c r="CS1098" s="1399"/>
      <c r="CT1098" s="1399"/>
      <c r="CU1098" s="1399"/>
      <c r="CV1098" s="1399"/>
      <c r="CW1098" s="1399"/>
      <c r="CX1098" s="1399"/>
      <c r="CY1098" s="1399"/>
      <c r="CZ1098" s="1399"/>
      <c r="DA1098" s="1399"/>
      <c r="DB1098" s="1399"/>
      <c r="DC1098" s="1399"/>
      <c r="DD1098" s="1399"/>
      <c r="DE1098" s="1399"/>
      <c r="DF1098" s="1399"/>
      <c r="DG1098" s="1399"/>
      <c r="DH1098" s="1399"/>
      <c r="DI1098" s="1399"/>
      <c r="DJ1098" s="1399"/>
      <c r="DK1098" s="1399"/>
      <c r="DL1098" s="1399"/>
      <c r="DM1098" s="1399"/>
      <c r="DN1098" s="1399"/>
      <c r="DO1098" s="1399"/>
      <c r="DP1098" s="1399"/>
      <c r="DQ1098" s="1399"/>
      <c r="DR1098" s="1399"/>
      <c r="DS1098" s="1399"/>
      <c r="DT1098" s="1399"/>
      <c r="DU1098" s="1399"/>
    </row>
    <row r="1099" spans="1:125">
      <c r="A1099" s="1414"/>
      <c r="B1099" s="1414"/>
      <c r="C1099" s="1414"/>
      <c r="D1099" s="1414"/>
      <c r="E1099" s="1414"/>
      <c r="F1099" s="1414"/>
      <c r="G1099" s="1414"/>
      <c r="H1099" s="1414"/>
      <c r="I1099" s="1414"/>
      <c r="J1099" s="1414"/>
      <c r="K1099" s="1414"/>
      <c r="L1099" s="1414"/>
      <c r="M1099" s="1414"/>
      <c r="N1099" s="1414"/>
      <c r="O1099" s="1414"/>
      <c r="P1099" s="1414"/>
      <c r="Q1099" s="1414"/>
      <c r="R1099" s="1414"/>
      <c r="S1099" s="1414"/>
      <c r="T1099" s="1414"/>
      <c r="U1099" s="1414"/>
      <c r="V1099" s="1414"/>
      <c r="W1099" s="1414"/>
      <c r="X1099" s="1414"/>
      <c r="Y1099" s="1414"/>
      <c r="Z1099" s="1414"/>
      <c r="AA1099" s="1414"/>
      <c r="AB1099" s="1414"/>
      <c r="AC1099" s="1414"/>
      <c r="AD1099" s="1414"/>
      <c r="AE1099" s="1414"/>
      <c r="AF1099" s="1414"/>
      <c r="AG1099" s="1414"/>
      <c r="AH1099" s="1414"/>
      <c r="AI1099" s="1414"/>
      <c r="AJ1099" s="1414"/>
      <c r="AK1099" s="1414"/>
      <c r="AL1099" s="1414"/>
      <c r="AM1099" s="1414"/>
      <c r="AN1099" s="1414"/>
      <c r="AO1099" s="1414"/>
      <c r="AP1099" s="1414"/>
      <c r="AQ1099" s="1414"/>
      <c r="AR1099" s="1414"/>
      <c r="AS1099" s="1414"/>
      <c r="AT1099" s="1414"/>
      <c r="AU1099" s="1414"/>
      <c r="AV1099" s="1414"/>
      <c r="AW1099" s="1414"/>
      <c r="AX1099" s="1414"/>
      <c r="AY1099" s="1399"/>
      <c r="AZ1099" s="1399"/>
      <c r="BA1099" s="1399"/>
      <c r="BB1099" s="1399"/>
      <c r="BC1099" s="1399"/>
      <c r="BD1099" s="1399"/>
      <c r="BE1099" s="1414"/>
      <c r="BF1099" s="1399"/>
      <c r="BG1099" s="1399"/>
      <c r="BH1099" s="1399"/>
      <c r="BI1099" s="1399"/>
      <c r="BJ1099" s="1399"/>
      <c r="BK1099" s="1399"/>
      <c r="BL1099" s="1399"/>
      <c r="BM1099" s="1399"/>
      <c r="BN1099" s="1399"/>
      <c r="BO1099" s="1399"/>
      <c r="BP1099" s="1399"/>
      <c r="BQ1099" s="1399"/>
      <c r="BR1099" s="1399"/>
      <c r="BS1099" s="1399"/>
      <c r="BT1099" s="1399"/>
      <c r="BU1099" s="1399"/>
      <c r="BV1099" s="1399"/>
      <c r="BW1099" s="1399"/>
      <c r="BX1099" s="1399"/>
      <c r="BY1099" s="1399"/>
      <c r="BZ1099" s="1399"/>
      <c r="CA1099" s="1399"/>
      <c r="CB1099" s="1399"/>
      <c r="CC1099" s="1399"/>
      <c r="CD1099" s="1399"/>
      <c r="CE1099" s="1399"/>
      <c r="CF1099" s="1399"/>
      <c r="CG1099" s="1399"/>
      <c r="CH1099" s="1399"/>
      <c r="CI1099" s="1399"/>
      <c r="CJ1099" s="1399"/>
      <c r="CK1099" s="1399"/>
      <c r="CL1099" s="1399"/>
      <c r="CM1099" s="1399"/>
      <c r="CN1099" s="1399"/>
      <c r="CO1099" s="1399"/>
      <c r="CP1099" s="1399"/>
      <c r="CQ1099" s="1399"/>
      <c r="CR1099" s="1399"/>
      <c r="CS1099" s="1399"/>
      <c r="CT1099" s="1399"/>
      <c r="CU1099" s="1399"/>
      <c r="CV1099" s="1399"/>
      <c r="CW1099" s="1399"/>
      <c r="CX1099" s="1399"/>
      <c r="CY1099" s="1399"/>
      <c r="CZ1099" s="1399"/>
      <c r="DA1099" s="1399"/>
      <c r="DB1099" s="1399"/>
      <c r="DC1099" s="1399"/>
      <c r="DD1099" s="1399"/>
      <c r="DE1099" s="1399"/>
      <c r="DF1099" s="1399"/>
      <c r="DG1099" s="1399"/>
      <c r="DH1099" s="1399"/>
      <c r="DI1099" s="1399"/>
      <c r="DJ1099" s="1399"/>
      <c r="DK1099" s="1399"/>
      <c r="DL1099" s="1399"/>
      <c r="DM1099" s="1399"/>
      <c r="DN1099" s="1399"/>
      <c r="DO1099" s="1399"/>
      <c r="DP1099" s="1399"/>
      <c r="DQ1099" s="1399"/>
      <c r="DR1099" s="1399"/>
      <c r="DS1099" s="1399"/>
      <c r="DT1099" s="1399"/>
      <c r="DU1099" s="1399"/>
    </row>
    <row r="1100" spans="1:125">
      <c r="A1100" s="1414"/>
      <c r="B1100" s="1414"/>
      <c r="C1100" s="1414"/>
      <c r="D1100" s="1414"/>
      <c r="E1100" s="1414"/>
      <c r="F1100" s="1414"/>
      <c r="G1100" s="1414"/>
      <c r="H1100" s="1414"/>
      <c r="I1100" s="1414"/>
      <c r="J1100" s="1414"/>
      <c r="K1100" s="1414"/>
      <c r="L1100" s="1414"/>
      <c r="M1100" s="1414"/>
      <c r="N1100" s="1414"/>
      <c r="O1100" s="1414"/>
      <c r="P1100" s="1414"/>
      <c r="Q1100" s="1414"/>
      <c r="R1100" s="1414"/>
      <c r="S1100" s="1414"/>
      <c r="T1100" s="1414"/>
      <c r="U1100" s="1414"/>
      <c r="V1100" s="1414"/>
      <c r="W1100" s="1414"/>
      <c r="X1100" s="1414"/>
      <c r="Y1100" s="1414"/>
      <c r="Z1100" s="1414"/>
      <c r="AA1100" s="1414"/>
      <c r="AB1100" s="1414"/>
      <c r="AC1100" s="1414"/>
      <c r="AD1100" s="1414"/>
      <c r="AE1100" s="1414"/>
      <c r="AF1100" s="1414"/>
      <c r="AG1100" s="1414"/>
      <c r="AH1100" s="1414"/>
      <c r="AI1100" s="1414"/>
      <c r="AJ1100" s="1414"/>
      <c r="AK1100" s="1414"/>
      <c r="AL1100" s="1414"/>
      <c r="AM1100" s="1414"/>
      <c r="AN1100" s="1414"/>
      <c r="AO1100" s="1414"/>
      <c r="AP1100" s="1414"/>
      <c r="AQ1100" s="1414"/>
      <c r="AR1100" s="1414"/>
      <c r="AS1100" s="1414"/>
      <c r="AT1100" s="1414"/>
      <c r="AU1100" s="1414"/>
      <c r="AV1100" s="1414"/>
      <c r="AW1100" s="1414"/>
      <c r="AX1100" s="1414"/>
      <c r="AY1100" s="1399"/>
      <c r="AZ1100" s="1399"/>
      <c r="BA1100" s="1399"/>
      <c r="BB1100" s="1399"/>
      <c r="BC1100" s="1399"/>
      <c r="BD1100" s="1399"/>
      <c r="BE1100" s="1414"/>
      <c r="BF1100" s="1399"/>
      <c r="BG1100" s="1399"/>
      <c r="BH1100" s="1399"/>
      <c r="BI1100" s="1399"/>
      <c r="BJ1100" s="1399"/>
      <c r="BK1100" s="1399"/>
      <c r="BL1100" s="1399"/>
      <c r="BM1100" s="1399"/>
      <c r="BN1100" s="1399"/>
      <c r="BO1100" s="1399"/>
      <c r="BP1100" s="1399"/>
      <c r="BQ1100" s="1399"/>
      <c r="BR1100" s="1399"/>
      <c r="BS1100" s="1399"/>
      <c r="BT1100" s="1399"/>
      <c r="BU1100" s="1399"/>
      <c r="BV1100" s="1399"/>
      <c r="BW1100" s="1399"/>
      <c r="BX1100" s="1399"/>
      <c r="BY1100" s="1399"/>
      <c r="BZ1100" s="1399"/>
      <c r="CA1100" s="1399"/>
      <c r="CB1100" s="1399"/>
      <c r="CC1100" s="1399"/>
      <c r="CD1100" s="1399"/>
      <c r="CE1100" s="1399"/>
      <c r="CF1100" s="1399"/>
      <c r="CG1100" s="1399"/>
      <c r="CH1100" s="1399"/>
      <c r="CI1100" s="1399"/>
      <c r="CJ1100" s="1399"/>
      <c r="CK1100" s="1399"/>
      <c r="CL1100" s="1399"/>
      <c r="CM1100" s="1399"/>
      <c r="CN1100" s="1399"/>
      <c r="CO1100" s="1399"/>
      <c r="CP1100" s="1399"/>
      <c r="CQ1100" s="1399"/>
      <c r="CR1100" s="1399"/>
      <c r="CS1100" s="1399"/>
      <c r="CT1100" s="1399"/>
      <c r="CU1100" s="1399"/>
      <c r="CV1100" s="1399"/>
      <c r="CW1100" s="1399"/>
      <c r="CX1100" s="1399"/>
      <c r="CY1100" s="1399"/>
      <c r="CZ1100" s="1399"/>
      <c r="DA1100" s="1399"/>
      <c r="DB1100" s="1399"/>
      <c r="DC1100" s="1399"/>
      <c r="DD1100" s="1399"/>
      <c r="DE1100" s="1399"/>
      <c r="DF1100" s="1399"/>
      <c r="DG1100" s="1399"/>
      <c r="DH1100" s="1399"/>
      <c r="DI1100" s="1399"/>
      <c r="DJ1100" s="1399"/>
      <c r="DK1100" s="1399"/>
      <c r="DL1100" s="1399"/>
      <c r="DM1100" s="1399"/>
      <c r="DN1100" s="1399"/>
      <c r="DO1100" s="1399"/>
      <c r="DP1100" s="1399"/>
      <c r="DQ1100" s="1399"/>
      <c r="DR1100" s="1399"/>
      <c r="DS1100" s="1399"/>
      <c r="DT1100" s="1399"/>
      <c r="DU1100" s="1399"/>
    </row>
    <row r="1101" spans="1:125">
      <c r="A1101" s="1414"/>
      <c r="B1101" s="1414"/>
      <c r="C1101" s="1414"/>
      <c r="D1101" s="1414"/>
      <c r="E1101" s="1414"/>
      <c r="F1101" s="1414"/>
      <c r="G1101" s="1414"/>
      <c r="H1101" s="1414"/>
      <c r="I1101" s="1414"/>
      <c r="J1101" s="1414"/>
      <c r="K1101" s="1414"/>
      <c r="L1101" s="1414"/>
      <c r="M1101" s="1414"/>
      <c r="N1101" s="1414"/>
      <c r="O1101" s="1414"/>
      <c r="P1101" s="1414"/>
      <c r="Q1101" s="1414"/>
      <c r="R1101" s="1414"/>
      <c r="S1101" s="1414"/>
      <c r="T1101" s="1414"/>
      <c r="U1101" s="1414"/>
      <c r="V1101" s="1414"/>
      <c r="W1101" s="1414"/>
      <c r="X1101" s="1414"/>
      <c r="Y1101" s="1414"/>
      <c r="Z1101" s="1414"/>
      <c r="AA1101" s="1414"/>
      <c r="AB1101" s="1414"/>
      <c r="AC1101" s="1414"/>
      <c r="AD1101" s="1414"/>
      <c r="AE1101" s="1414"/>
      <c r="AF1101" s="1414"/>
      <c r="AG1101" s="1414"/>
      <c r="AH1101" s="1414"/>
      <c r="AI1101" s="1414"/>
      <c r="AJ1101" s="1414"/>
      <c r="AK1101" s="1414"/>
      <c r="AL1101" s="1414"/>
      <c r="AM1101" s="1414"/>
      <c r="AN1101" s="1414"/>
      <c r="AO1101" s="1414"/>
      <c r="AP1101" s="1414"/>
      <c r="AQ1101" s="1414"/>
      <c r="AR1101" s="1414"/>
      <c r="AS1101" s="1414"/>
      <c r="AT1101" s="1414"/>
      <c r="AU1101" s="1414"/>
      <c r="AV1101" s="1414"/>
      <c r="AW1101" s="1414"/>
      <c r="AX1101" s="1414"/>
      <c r="AY1101" s="1399"/>
      <c r="AZ1101" s="1399"/>
      <c r="BA1101" s="1399"/>
      <c r="BB1101" s="1399"/>
      <c r="BC1101" s="1399"/>
      <c r="BD1101" s="1399"/>
      <c r="BE1101" s="1414"/>
      <c r="BF1101" s="1399"/>
      <c r="BG1101" s="1399"/>
      <c r="BH1101" s="1399"/>
      <c r="BI1101" s="1399"/>
      <c r="BJ1101" s="1399"/>
      <c r="BK1101" s="1399"/>
      <c r="BL1101" s="1399"/>
      <c r="BM1101" s="1399"/>
      <c r="BN1101" s="1399"/>
      <c r="BO1101" s="1399"/>
      <c r="BP1101" s="1399"/>
      <c r="BQ1101" s="1399"/>
      <c r="BR1101" s="1399"/>
      <c r="BS1101" s="1399"/>
      <c r="BT1101" s="1399"/>
      <c r="BU1101" s="1399"/>
      <c r="BV1101" s="1399"/>
      <c r="BW1101" s="1399"/>
      <c r="BX1101" s="1399"/>
      <c r="BY1101" s="1399"/>
      <c r="BZ1101" s="1399"/>
      <c r="CA1101" s="1399"/>
      <c r="CB1101" s="1399"/>
      <c r="CC1101" s="1399"/>
      <c r="CD1101" s="1399"/>
      <c r="CE1101" s="1399"/>
      <c r="CF1101" s="1399"/>
      <c r="CG1101" s="1399"/>
      <c r="CH1101" s="1399"/>
      <c r="CI1101" s="1399"/>
      <c r="CJ1101" s="1399"/>
      <c r="CK1101" s="1399"/>
      <c r="CL1101" s="1399"/>
      <c r="CM1101" s="1399"/>
      <c r="CN1101" s="1399"/>
      <c r="CO1101" s="1399"/>
      <c r="CP1101" s="1399"/>
      <c r="CQ1101" s="1399"/>
      <c r="CR1101" s="1399"/>
      <c r="CS1101" s="1399"/>
      <c r="CT1101" s="1399"/>
      <c r="CU1101" s="1399"/>
      <c r="CV1101" s="1399"/>
      <c r="CW1101" s="1399"/>
      <c r="CX1101" s="1399"/>
      <c r="CY1101" s="1399"/>
      <c r="CZ1101" s="1399"/>
      <c r="DA1101" s="1399"/>
      <c r="DB1101" s="1399"/>
      <c r="DC1101" s="1399"/>
      <c r="DD1101" s="1399"/>
      <c r="DE1101" s="1399"/>
      <c r="DF1101" s="1399"/>
      <c r="DG1101" s="1399"/>
      <c r="DH1101" s="1399"/>
      <c r="DI1101" s="1399"/>
      <c r="DJ1101" s="1399"/>
      <c r="DK1101" s="1399"/>
      <c r="DL1101" s="1399"/>
      <c r="DM1101" s="1399"/>
      <c r="DN1101" s="1399"/>
      <c r="DO1101" s="1399"/>
      <c r="DP1101" s="1399"/>
      <c r="DQ1101" s="1399"/>
      <c r="DR1101" s="1399"/>
      <c r="DS1101" s="1399"/>
      <c r="DT1101" s="1399"/>
      <c r="DU1101" s="1399"/>
    </row>
    <row r="1102" spans="1:125">
      <c r="A1102" s="1414"/>
      <c r="B1102" s="1414"/>
      <c r="C1102" s="1414"/>
      <c r="D1102" s="1414"/>
      <c r="E1102" s="1414"/>
      <c r="F1102" s="1414"/>
      <c r="G1102" s="1414"/>
      <c r="H1102" s="1414"/>
      <c r="I1102" s="1414"/>
      <c r="J1102" s="1414"/>
      <c r="K1102" s="1414"/>
      <c r="L1102" s="1414"/>
      <c r="M1102" s="1414"/>
      <c r="N1102" s="1414"/>
      <c r="O1102" s="1414"/>
      <c r="P1102" s="1414"/>
      <c r="Q1102" s="1414"/>
      <c r="R1102" s="1414"/>
      <c r="S1102" s="1414"/>
      <c r="T1102" s="1414"/>
      <c r="U1102" s="1414"/>
      <c r="V1102" s="1414"/>
      <c r="W1102" s="1414"/>
      <c r="X1102" s="1414"/>
      <c r="Y1102" s="1414"/>
      <c r="Z1102" s="1414"/>
      <c r="AA1102" s="1414"/>
      <c r="AB1102" s="1414"/>
      <c r="AC1102" s="1414"/>
      <c r="AD1102" s="1414"/>
      <c r="AE1102" s="1414"/>
      <c r="AF1102" s="1414"/>
      <c r="AG1102" s="1414"/>
      <c r="AH1102" s="1414"/>
      <c r="AI1102" s="1414"/>
      <c r="AJ1102" s="1414"/>
      <c r="AK1102" s="1414"/>
      <c r="AL1102" s="1414"/>
      <c r="AM1102" s="1414"/>
      <c r="AN1102" s="1414"/>
      <c r="AO1102" s="1414"/>
      <c r="AP1102" s="1414"/>
      <c r="AQ1102" s="1414"/>
      <c r="AR1102" s="1414"/>
      <c r="AS1102" s="1414"/>
      <c r="AT1102" s="1414"/>
      <c r="AU1102" s="1414"/>
      <c r="AV1102" s="1414"/>
      <c r="AW1102" s="1414"/>
      <c r="AX1102" s="1414"/>
      <c r="AY1102" s="1399"/>
      <c r="AZ1102" s="1399"/>
      <c r="BA1102" s="1399"/>
      <c r="BB1102" s="1399"/>
      <c r="BC1102" s="1399"/>
      <c r="BD1102" s="1399"/>
      <c r="BE1102" s="1414"/>
      <c r="BF1102" s="1399"/>
      <c r="BG1102" s="1399"/>
      <c r="BH1102" s="1399"/>
      <c r="BI1102" s="1399"/>
      <c r="BJ1102" s="1399"/>
      <c r="BK1102" s="1399"/>
      <c r="BL1102" s="1399"/>
      <c r="BM1102" s="1399"/>
      <c r="BN1102" s="1399"/>
      <c r="BO1102" s="1399"/>
      <c r="BP1102" s="1399"/>
      <c r="BQ1102" s="1399"/>
      <c r="BR1102" s="1399"/>
      <c r="BS1102" s="1399"/>
      <c r="BT1102" s="1399"/>
      <c r="BU1102" s="1399"/>
      <c r="BV1102" s="1399"/>
      <c r="BW1102" s="1399"/>
      <c r="BX1102" s="1399"/>
      <c r="BY1102" s="1399"/>
      <c r="BZ1102" s="1399"/>
      <c r="CA1102" s="1399"/>
      <c r="CB1102" s="1399"/>
      <c r="CC1102" s="1399"/>
      <c r="CD1102" s="1399"/>
      <c r="CE1102" s="1399"/>
      <c r="CF1102" s="1399"/>
      <c r="CG1102" s="1399"/>
      <c r="CH1102" s="1399"/>
      <c r="CI1102" s="1399"/>
      <c r="CJ1102" s="1399"/>
      <c r="CK1102" s="1399"/>
      <c r="CL1102" s="1399"/>
      <c r="CM1102" s="1399"/>
      <c r="CN1102" s="1399"/>
      <c r="CO1102" s="1399"/>
      <c r="CP1102" s="1399"/>
      <c r="CQ1102" s="1399"/>
      <c r="CR1102" s="1399"/>
      <c r="CS1102" s="1399"/>
      <c r="CT1102" s="1399"/>
      <c r="CU1102" s="1399"/>
      <c r="CV1102" s="1399"/>
      <c r="CW1102" s="1399"/>
      <c r="CX1102" s="1399"/>
      <c r="CY1102" s="1399"/>
      <c r="CZ1102" s="1399"/>
      <c r="DA1102" s="1399"/>
      <c r="DB1102" s="1399"/>
      <c r="DC1102" s="1399"/>
      <c r="DD1102" s="1399"/>
      <c r="DE1102" s="1399"/>
      <c r="DF1102" s="1399"/>
      <c r="DG1102" s="1399"/>
      <c r="DH1102" s="1399"/>
      <c r="DI1102" s="1399"/>
      <c r="DJ1102" s="1399"/>
      <c r="DK1102" s="1399"/>
      <c r="DL1102" s="1399"/>
      <c r="DM1102" s="1399"/>
      <c r="DN1102" s="1399"/>
      <c r="DO1102" s="1399"/>
      <c r="DP1102" s="1399"/>
      <c r="DQ1102" s="1399"/>
      <c r="DR1102" s="1399"/>
      <c r="DS1102" s="1399"/>
      <c r="DT1102" s="1399"/>
      <c r="DU1102" s="1399"/>
    </row>
    <row r="1103" spans="1:125">
      <c r="A1103" s="1414"/>
      <c r="B1103" s="1414"/>
      <c r="C1103" s="1414"/>
      <c r="D1103" s="1414"/>
      <c r="E1103" s="1414"/>
      <c r="F1103" s="1414"/>
      <c r="G1103" s="1414"/>
      <c r="H1103" s="1414"/>
      <c r="I1103" s="1414"/>
      <c r="J1103" s="1414"/>
      <c r="K1103" s="1414"/>
      <c r="L1103" s="1414"/>
      <c r="M1103" s="1414"/>
      <c r="N1103" s="1414"/>
      <c r="O1103" s="1414"/>
      <c r="P1103" s="1414"/>
      <c r="Q1103" s="1414"/>
      <c r="R1103" s="1414"/>
      <c r="S1103" s="1414"/>
      <c r="T1103" s="1414"/>
      <c r="U1103" s="1414"/>
      <c r="V1103" s="1414"/>
      <c r="W1103" s="1414"/>
      <c r="X1103" s="1414"/>
      <c r="Y1103" s="1414"/>
      <c r="Z1103" s="1414"/>
      <c r="AA1103" s="1414"/>
      <c r="AB1103" s="1414"/>
      <c r="AC1103" s="1414"/>
      <c r="AD1103" s="1414"/>
      <c r="AE1103" s="1414"/>
      <c r="AF1103" s="1414"/>
      <c r="AG1103" s="1414"/>
      <c r="AH1103" s="1414"/>
      <c r="AI1103" s="1414"/>
      <c r="AJ1103" s="1414"/>
      <c r="AK1103" s="1414"/>
      <c r="AL1103" s="1414"/>
      <c r="AM1103" s="1414"/>
      <c r="AN1103" s="1414"/>
      <c r="AO1103" s="1414"/>
      <c r="AP1103" s="1414"/>
      <c r="AQ1103" s="1414"/>
      <c r="AR1103" s="1414"/>
      <c r="AS1103" s="1414"/>
      <c r="AT1103" s="1414"/>
      <c r="AU1103" s="1414"/>
      <c r="AV1103" s="1414"/>
      <c r="AW1103" s="1414"/>
      <c r="AX1103" s="1414"/>
      <c r="AY1103" s="1399"/>
      <c r="AZ1103" s="1399"/>
      <c r="BA1103" s="1399"/>
      <c r="BB1103" s="1399"/>
      <c r="BC1103" s="1399"/>
      <c r="BD1103" s="1399"/>
      <c r="BE1103" s="1414"/>
      <c r="BF1103" s="1399"/>
      <c r="BG1103" s="1399"/>
      <c r="BH1103" s="1399"/>
      <c r="BI1103" s="1399"/>
      <c r="BJ1103" s="1399"/>
      <c r="BK1103" s="1399"/>
      <c r="BL1103" s="1399"/>
      <c r="BM1103" s="1399"/>
      <c r="BN1103" s="1399"/>
      <c r="BO1103" s="1399"/>
      <c r="BP1103" s="1399"/>
      <c r="BQ1103" s="1399"/>
      <c r="BR1103" s="1399"/>
      <c r="BS1103" s="1399"/>
      <c r="BT1103" s="1399"/>
      <c r="BU1103" s="1399"/>
      <c r="BV1103" s="1399"/>
      <c r="BW1103" s="1399"/>
      <c r="BX1103" s="1399"/>
      <c r="BY1103" s="1399"/>
      <c r="BZ1103" s="1399"/>
      <c r="CA1103" s="1399"/>
      <c r="CB1103" s="1399"/>
      <c r="CC1103" s="1399"/>
      <c r="CD1103" s="1399"/>
      <c r="CE1103" s="1399"/>
      <c r="CF1103" s="1399"/>
      <c r="CG1103" s="1399"/>
      <c r="CH1103" s="1399"/>
      <c r="CI1103" s="1399"/>
      <c r="CJ1103" s="1399"/>
      <c r="CK1103" s="1399"/>
      <c r="CL1103" s="1399"/>
      <c r="CM1103" s="1399"/>
      <c r="CN1103" s="1399"/>
      <c r="CO1103" s="1399"/>
      <c r="CP1103" s="1399"/>
      <c r="CQ1103" s="1399"/>
      <c r="CR1103" s="1399"/>
      <c r="CS1103" s="1399"/>
      <c r="CT1103" s="1399"/>
      <c r="CU1103" s="1399"/>
      <c r="CV1103" s="1399"/>
      <c r="CW1103" s="1399"/>
      <c r="CX1103" s="1399"/>
      <c r="CY1103" s="1399"/>
      <c r="CZ1103" s="1399"/>
      <c r="DA1103" s="1399"/>
      <c r="DB1103" s="1399"/>
      <c r="DC1103" s="1399"/>
      <c r="DD1103" s="1399"/>
      <c r="DE1103" s="1399"/>
      <c r="DF1103" s="1399"/>
      <c r="DG1103" s="1399"/>
      <c r="DH1103" s="1399"/>
      <c r="DI1103" s="1399"/>
      <c r="DJ1103" s="1399"/>
      <c r="DK1103" s="1399"/>
      <c r="DL1103" s="1399"/>
      <c r="DM1103" s="1399"/>
      <c r="DN1103" s="1399"/>
      <c r="DO1103" s="1399"/>
      <c r="DP1103" s="1399"/>
      <c r="DQ1103" s="1399"/>
      <c r="DR1103" s="1399"/>
      <c r="DS1103" s="1399"/>
      <c r="DT1103" s="1399"/>
      <c r="DU1103" s="1399"/>
    </row>
    <row r="1104" spans="1:125">
      <c r="A1104" s="1414"/>
      <c r="B1104" s="1414"/>
      <c r="C1104" s="1414"/>
      <c r="D1104" s="1414"/>
      <c r="E1104" s="1414"/>
      <c r="F1104" s="1414"/>
      <c r="G1104" s="1414"/>
      <c r="H1104" s="1414"/>
      <c r="I1104" s="1414"/>
      <c r="J1104" s="1414"/>
      <c r="K1104" s="1414"/>
      <c r="L1104" s="1414"/>
      <c r="M1104" s="1414"/>
      <c r="N1104" s="1414"/>
      <c r="O1104" s="1414"/>
      <c r="P1104" s="1414"/>
      <c r="Q1104" s="1414"/>
      <c r="R1104" s="1414"/>
      <c r="S1104" s="1414"/>
      <c r="T1104" s="1414"/>
      <c r="U1104" s="1414"/>
      <c r="V1104" s="1414"/>
      <c r="W1104" s="1414"/>
      <c r="X1104" s="1414"/>
      <c r="Y1104" s="1414"/>
      <c r="Z1104" s="1414"/>
      <c r="AA1104" s="1414"/>
      <c r="AB1104" s="1414"/>
      <c r="AC1104" s="1414"/>
      <c r="AD1104" s="1414"/>
      <c r="AE1104" s="1414"/>
      <c r="AF1104" s="1414"/>
      <c r="AG1104" s="1414"/>
      <c r="AH1104" s="1414"/>
      <c r="AI1104" s="1414"/>
      <c r="AJ1104" s="1414"/>
      <c r="AK1104" s="1414"/>
      <c r="AL1104" s="1414"/>
      <c r="AM1104" s="1414"/>
      <c r="AN1104" s="1414"/>
      <c r="AO1104" s="1414"/>
      <c r="AP1104" s="1414"/>
      <c r="AQ1104" s="1414"/>
      <c r="AR1104" s="1414"/>
      <c r="AS1104" s="1414"/>
      <c r="AT1104" s="1414"/>
      <c r="AU1104" s="1414"/>
      <c r="AV1104" s="1414"/>
      <c r="AW1104" s="1414"/>
      <c r="AX1104" s="1414"/>
      <c r="AY1104" s="1399"/>
      <c r="AZ1104" s="1399"/>
      <c r="BA1104" s="1399"/>
      <c r="BB1104" s="1399"/>
      <c r="BC1104" s="1399"/>
      <c r="BD1104" s="1399"/>
      <c r="BE1104" s="1414"/>
      <c r="BF1104" s="1399"/>
      <c r="BG1104" s="1399"/>
      <c r="BH1104" s="1399"/>
      <c r="BI1104" s="1399"/>
      <c r="BJ1104" s="1399"/>
      <c r="BK1104" s="1399"/>
      <c r="BL1104" s="1399"/>
      <c r="BM1104" s="1399"/>
      <c r="BN1104" s="1399"/>
      <c r="BO1104" s="1399"/>
      <c r="BP1104" s="1399"/>
      <c r="BQ1104" s="1399"/>
      <c r="BR1104" s="1399"/>
      <c r="BS1104" s="1399"/>
      <c r="BT1104" s="1399"/>
      <c r="BU1104" s="1399"/>
      <c r="BV1104" s="1399"/>
      <c r="BW1104" s="1399"/>
      <c r="BX1104" s="1399"/>
      <c r="BY1104" s="1399"/>
      <c r="BZ1104" s="1399"/>
      <c r="CA1104" s="1399"/>
      <c r="CB1104" s="1399"/>
      <c r="CC1104" s="1399"/>
      <c r="CD1104" s="1399"/>
      <c r="CE1104" s="1399"/>
      <c r="CF1104" s="1399"/>
      <c r="CG1104" s="1399"/>
      <c r="CH1104" s="1399"/>
      <c r="CI1104" s="1399"/>
      <c r="CJ1104" s="1399"/>
      <c r="CK1104" s="1399"/>
      <c r="CL1104" s="1399"/>
      <c r="CM1104" s="1399"/>
      <c r="CN1104" s="1399"/>
      <c r="CO1104" s="1399"/>
      <c r="CP1104" s="1399"/>
      <c r="CQ1104" s="1399"/>
      <c r="CR1104" s="1399"/>
      <c r="CS1104" s="1399"/>
      <c r="CT1104" s="1399"/>
      <c r="CU1104" s="1399"/>
      <c r="CV1104" s="1399"/>
      <c r="CW1104" s="1399"/>
      <c r="CX1104" s="1399"/>
      <c r="CY1104" s="1399"/>
      <c r="CZ1104" s="1399"/>
      <c r="DA1104" s="1399"/>
      <c r="DB1104" s="1399"/>
      <c r="DC1104" s="1399"/>
      <c r="DD1104" s="1399"/>
      <c r="DE1104" s="1399"/>
      <c r="DF1104" s="1399"/>
      <c r="DG1104" s="1399"/>
      <c r="DH1104" s="1399"/>
      <c r="DI1104" s="1399"/>
      <c r="DJ1104" s="1399"/>
      <c r="DK1104" s="1399"/>
      <c r="DL1104" s="1399"/>
      <c r="DM1104" s="1399"/>
      <c r="DN1104" s="1399"/>
      <c r="DO1104" s="1399"/>
      <c r="DP1104" s="1399"/>
      <c r="DQ1104" s="1399"/>
      <c r="DR1104" s="1399"/>
      <c r="DS1104" s="1399"/>
      <c r="DT1104" s="1399"/>
      <c r="DU1104" s="1399"/>
    </row>
    <row r="1105" spans="1:125">
      <c r="A1105" s="1414"/>
      <c r="B1105" s="1414"/>
      <c r="C1105" s="1414"/>
      <c r="D1105" s="1414"/>
      <c r="E1105" s="1414"/>
      <c r="F1105" s="1414"/>
      <c r="G1105" s="1414"/>
      <c r="H1105" s="1414"/>
      <c r="I1105" s="1414"/>
      <c r="J1105" s="1414"/>
      <c r="K1105" s="1414"/>
      <c r="L1105" s="1414"/>
      <c r="M1105" s="1414"/>
      <c r="N1105" s="1414"/>
      <c r="O1105" s="1414"/>
      <c r="P1105" s="1414"/>
      <c r="Q1105" s="1414"/>
      <c r="R1105" s="1414"/>
      <c r="S1105" s="1414"/>
      <c r="T1105" s="1414"/>
      <c r="U1105" s="1414"/>
      <c r="V1105" s="1414"/>
      <c r="W1105" s="1414"/>
      <c r="X1105" s="1414"/>
      <c r="Y1105" s="1414"/>
      <c r="Z1105" s="1414"/>
      <c r="AA1105" s="1414"/>
      <c r="AB1105" s="1414"/>
      <c r="AC1105" s="1414"/>
      <c r="AD1105" s="1414"/>
      <c r="AE1105" s="1414"/>
      <c r="AF1105" s="1414"/>
      <c r="AG1105" s="1414"/>
      <c r="AH1105" s="1414"/>
      <c r="AI1105" s="1414"/>
      <c r="AJ1105" s="1414"/>
      <c r="AK1105" s="1414"/>
      <c r="AL1105" s="1414"/>
      <c r="AM1105" s="1414"/>
      <c r="AN1105" s="1414"/>
      <c r="AO1105" s="1414"/>
      <c r="AP1105" s="1414"/>
      <c r="AQ1105" s="1414"/>
      <c r="AR1105" s="1414"/>
      <c r="AS1105" s="1414"/>
      <c r="AT1105" s="1414"/>
      <c r="AU1105" s="1414"/>
      <c r="AV1105" s="1414"/>
      <c r="AW1105" s="1414"/>
      <c r="AX1105" s="1414"/>
      <c r="AY1105" s="1399"/>
      <c r="AZ1105" s="1399"/>
      <c r="BA1105" s="1399"/>
      <c r="BB1105" s="1399"/>
      <c r="BC1105" s="1399"/>
      <c r="BD1105" s="1399"/>
      <c r="BE1105" s="1414"/>
      <c r="BF1105" s="1399"/>
      <c r="BG1105" s="1399"/>
      <c r="BH1105" s="1399"/>
      <c r="BI1105" s="1399"/>
      <c r="BJ1105" s="1399"/>
      <c r="BK1105" s="1399"/>
      <c r="BL1105" s="1399"/>
      <c r="BM1105" s="1399"/>
      <c r="BN1105" s="1399"/>
      <c r="BO1105" s="1399"/>
      <c r="BP1105" s="1399"/>
      <c r="BQ1105" s="1399"/>
      <c r="BR1105" s="1399"/>
      <c r="BS1105" s="1399"/>
      <c r="BT1105" s="1399"/>
      <c r="BU1105" s="1399"/>
      <c r="BV1105" s="1399"/>
      <c r="BW1105" s="1399"/>
      <c r="BX1105" s="1399"/>
      <c r="BY1105" s="1399"/>
      <c r="BZ1105" s="1399"/>
      <c r="CA1105" s="1399"/>
      <c r="CB1105" s="1399"/>
      <c r="CC1105" s="1399"/>
      <c r="CD1105" s="1399"/>
      <c r="CE1105" s="1399"/>
      <c r="CF1105" s="1399"/>
      <c r="CG1105" s="1399"/>
      <c r="CH1105" s="1399"/>
      <c r="CI1105" s="1399"/>
      <c r="CJ1105" s="1399"/>
      <c r="CK1105" s="1399"/>
      <c r="CL1105" s="1399"/>
      <c r="CM1105" s="1399"/>
      <c r="CN1105" s="1399"/>
      <c r="CO1105" s="1399"/>
      <c r="CP1105" s="1399"/>
      <c r="CQ1105" s="1399"/>
      <c r="CR1105" s="1399"/>
      <c r="CS1105" s="1399"/>
      <c r="CT1105" s="1399"/>
      <c r="CU1105" s="1399"/>
      <c r="CV1105" s="1399"/>
      <c r="CW1105" s="1399"/>
      <c r="CX1105" s="1399"/>
      <c r="CY1105" s="1399"/>
      <c r="CZ1105" s="1399"/>
      <c r="DA1105" s="1399"/>
      <c r="DB1105" s="1399"/>
      <c r="DC1105" s="1399"/>
      <c r="DD1105" s="1399"/>
      <c r="DE1105" s="1399"/>
      <c r="DF1105" s="1399"/>
      <c r="DG1105" s="1399"/>
      <c r="DH1105" s="1399"/>
      <c r="DI1105" s="1399"/>
      <c r="DJ1105" s="1399"/>
      <c r="DK1105" s="1399"/>
      <c r="DL1105" s="1399"/>
      <c r="DM1105" s="1399"/>
      <c r="DN1105" s="1399"/>
      <c r="DO1105" s="1399"/>
      <c r="DP1105" s="1399"/>
      <c r="DQ1105" s="1399"/>
      <c r="DR1105" s="1399"/>
      <c r="DS1105" s="1399"/>
      <c r="DT1105" s="1399"/>
      <c r="DU1105" s="1399"/>
    </row>
    <row r="1106" spans="1:125">
      <c r="A1106" s="1414"/>
      <c r="B1106" s="1414"/>
      <c r="C1106" s="1414"/>
      <c r="D1106" s="1414"/>
      <c r="E1106" s="1414"/>
      <c r="F1106" s="1414"/>
      <c r="G1106" s="1414"/>
      <c r="H1106" s="1414"/>
      <c r="I1106" s="1414"/>
      <c r="J1106" s="1414"/>
      <c r="K1106" s="1414"/>
      <c r="L1106" s="1414"/>
      <c r="M1106" s="1414"/>
      <c r="N1106" s="1414"/>
      <c r="O1106" s="1414"/>
      <c r="P1106" s="1414"/>
      <c r="Q1106" s="1414"/>
      <c r="R1106" s="1414"/>
      <c r="S1106" s="1414"/>
      <c r="T1106" s="1414"/>
      <c r="U1106" s="1414"/>
      <c r="V1106" s="1414"/>
      <c r="W1106" s="1414"/>
      <c r="X1106" s="1414"/>
      <c r="Y1106" s="1414"/>
      <c r="Z1106" s="1414"/>
      <c r="AA1106" s="1414"/>
      <c r="AB1106" s="1414"/>
      <c r="AC1106" s="1414"/>
      <c r="AD1106" s="1414"/>
      <c r="AE1106" s="1414"/>
      <c r="AF1106" s="1414"/>
      <c r="AG1106" s="1414"/>
      <c r="AH1106" s="1414"/>
      <c r="AI1106" s="1414"/>
      <c r="AJ1106" s="1414"/>
      <c r="AK1106" s="1414"/>
      <c r="AL1106" s="1414"/>
      <c r="AM1106" s="1414"/>
      <c r="AN1106" s="1414"/>
      <c r="AO1106" s="1414"/>
      <c r="AP1106" s="1414"/>
      <c r="AQ1106" s="1414"/>
      <c r="AR1106" s="1414"/>
      <c r="AS1106" s="1414"/>
      <c r="AT1106" s="1414"/>
      <c r="AU1106" s="1414"/>
      <c r="AV1106" s="1414"/>
      <c r="AW1106" s="1414"/>
      <c r="AX1106" s="1414"/>
      <c r="AY1106" s="1399"/>
      <c r="AZ1106" s="1399"/>
      <c r="BA1106" s="1399"/>
      <c r="BB1106" s="1399"/>
      <c r="BC1106" s="1399"/>
      <c r="BD1106" s="1399"/>
      <c r="BE1106" s="1414"/>
      <c r="BF1106" s="1399"/>
      <c r="BG1106" s="1399"/>
      <c r="BH1106" s="1399"/>
      <c r="BI1106" s="1399"/>
      <c r="BJ1106" s="1399"/>
      <c r="BK1106" s="1399"/>
      <c r="BL1106" s="1399"/>
      <c r="BM1106" s="1399"/>
      <c r="BN1106" s="1399"/>
      <c r="BO1106" s="1399"/>
      <c r="BP1106" s="1399"/>
      <c r="BQ1106" s="1399"/>
      <c r="BR1106" s="1399"/>
      <c r="BS1106" s="1399"/>
      <c r="BT1106" s="1399"/>
      <c r="BU1106" s="1399"/>
      <c r="BV1106" s="1399"/>
      <c r="BW1106" s="1399"/>
      <c r="BX1106" s="1399"/>
      <c r="BY1106" s="1399"/>
      <c r="BZ1106" s="1399"/>
      <c r="CA1106" s="1399"/>
      <c r="CB1106" s="1399"/>
      <c r="CC1106" s="1399"/>
      <c r="CD1106" s="1399"/>
      <c r="CE1106" s="1399"/>
      <c r="CF1106" s="1399"/>
      <c r="CG1106" s="1399"/>
      <c r="CH1106" s="1399"/>
      <c r="CI1106" s="1399"/>
      <c r="CJ1106" s="1399"/>
      <c r="CK1106" s="1399"/>
      <c r="CL1106" s="1399"/>
      <c r="CM1106" s="1399"/>
      <c r="CN1106" s="1399"/>
      <c r="CO1106" s="1399"/>
      <c r="CP1106" s="1399"/>
      <c r="CQ1106" s="1399"/>
      <c r="CR1106" s="1399"/>
      <c r="CS1106" s="1399"/>
      <c r="CT1106" s="1399"/>
      <c r="CU1106" s="1399"/>
      <c r="CV1106" s="1399"/>
      <c r="CW1106" s="1399"/>
      <c r="CX1106" s="1399"/>
      <c r="CY1106" s="1399"/>
      <c r="CZ1106" s="1399"/>
      <c r="DA1106" s="1399"/>
      <c r="DB1106" s="1399"/>
      <c r="DC1106" s="1399"/>
      <c r="DD1106" s="1399"/>
      <c r="DE1106" s="1399"/>
      <c r="DF1106" s="1399"/>
      <c r="DG1106" s="1399"/>
      <c r="DH1106" s="1399"/>
      <c r="DI1106" s="1399"/>
      <c r="DJ1106" s="1399"/>
      <c r="DK1106" s="1399"/>
      <c r="DL1106" s="1399"/>
      <c r="DM1106" s="1399"/>
      <c r="DN1106" s="1399"/>
      <c r="DO1106" s="1399"/>
      <c r="DP1106" s="1399"/>
      <c r="DQ1106" s="1399"/>
      <c r="DR1106" s="1399"/>
      <c r="DS1106" s="1399"/>
      <c r="DT1106" s="1399"/>
      <c r="DU1106" s="1399"/>
    </row>
    <row r="1107" spans="1:125">
      <c r="A1107" s="1414"/>
      <c r="B1107" s="1414"/>
      <c r="C1107" s="1414"/>
      <c r="D1107" s="1414"/>
      <c r="E1107" s="1414"/>
      <c r="F1107" s="1414"/>
      <c r="G1107" s="1414"/>
      <c r="H1107" s="1414"/>
      <c r="I1107" s="1414"/>
      <c r="J1107" s="1414"/>
      <c r="K1107" s="1414"/>
      <c r="L1107" s="1414"/>
      <c r="M1107" s="1414"/>
      <c r="N1107" s="1414"/>
      <c r="O1107" s="1414"/>
      <c r="P1107" s="1414"/>
      <c r="Q1107" s="1414"/>
      <c r="R1107" s="1414"/>
      <c r="S1107" s="1414"/>
      <c r="T1107" s="1414"/>
      <c r="U1107" s="1414"/>
      <c r="V1107" s="1414"/>
      <c r="W1107" s="1414"/>
      <c r="X1107" s="1414"/>
      <c r="Y1107" s="1414"/>
      <c r="Z1107" s="1414"/>
      <c r="AA1107" s="1414"/>
      <c r="AB1107" s="1414"/>
      <c r="AC1107" s="1414"/>
      <c r="AD1107" s="1414"/>
      <c r="AE1107" s="1414"/>
      <c r="AF1107" s="1414"/>
      <c r="AG1107" s="1414"/>
      <c r="AH1107" s="1414"/>
      <c r="AI1107" s="1414"/>
      <c r="AJ1107" s="1414"/>
      <c r="AK1107" s="1414"/>
      <c r="AL1107" s="1414"/>
      <c r="AM1107" s="1414"/>
      <c r="AN1107" s="1414"/>
      <c r="AO1107" s="1414"/>
      <c r="AP1107" s="1414"/>
      <c r="AQ1107" s="1414"/>
      <c r="AR1107" s="1414"/>
      <c r="AS1107" s="1414"/>
      <c r="AT1107" s="1414"/>
      <c r="AU1107" s="1414"/>
      <c r="AV1107" s="1414"/>
      <c r="AW1107" s="1414"/>
      <c r="AX1107" s="1414"/>
      <c r="AY1107" s="1399"/>
      <c r="AZ1107" s="1399"/>
      <c r="BA1107" s="1399"/>
      <c r="BB1107" s="1399"/>
      <c r="BC1107" s="1399"/>
      <c r="BD1107" s="1399"/>
      <c r="BE1107" s="1414"/>
      <c r="BF1107" s="1399"/>
      <c r="BG1107" s="1399"/>
      <c r="BH1107" s="1399"/>
      <c r="BI1107" s="1399"/>
      <c r="BJ1107" s="1399"/>
      <c r="BK1107" s="1399"/>
      <c r="BL1107" s="1399"/>
      <c r="BM1107" s="1399"/>
      <c r="BN1107" s="1399"/>
      <c r="BO1107" s="1399"/>
      <c r="BP1107" s="1399"/>
      <c r="BQ1107" s="1399"/>
      <c r="BR1107" s="1399"/>
      <c r="BS1107" s="1399"/>
      <c r="BT1107" s="1399"/>
      <c r="BU1107" s="1399"/>
      <c r="BV1107" s="1399"/>
      <c r="BW1107" s="1399"/>
      <c r="BX1107" s="1399"/>
      <c r="BY1107" s="1399"/>
      <c r="BZ1107" s="1399"/>
      <c r="CA1107" s="1399"/>
      <c r="CB1107" s="1399"/>
      <c r="CC1107" s="1399"/>
      <c r="CD1107" s="1399"/>
      <c r="CE1107" s="1399"/>
      <c r="CF1107" s="1399"/>
      <c r="CG1107" s="1399"/>
      <c r="CH1107" s="1399"/>
      <c r="CI1107" s="1399"/>
      <c r="CJ1107" s="1399"/>
      <c r="CK1107" s="1399"/>
      <c r="CL1107" s="1399"/>
      <c r="CM1107" s="1399"/>
      <c r="CN1107" s="1399"/>
      <c r="CO1107" s="1399"/>
      <c r="CP1107" s="1399"/>
      <c r="CQ1107" s="1399"/>
      <c r="CR1107" s="1399"/>
      <c r="CS1107" s="1399"/>
      <c r="CT1107" s="1399"/>
      <c r="CU1107" s="1399"/>
      <c r="CV1107" s="1399"/>
      <c r="CW1107" s="1399"/>
      <c r="CX1107" s="1399"/>
      <c r="CY1107" s="1399"/>
      <c r="CZ1107" s="1399"/>
      <c r="DA1107" s="1399"/>
      <c r="DB1107" s="1399"/>
      <c r="DC1107" s="1399"/>
      <c r="DD1107" s="1399"/>
      <c r="DE1107" s="1399"/>
      <c r="DF1107" s="1399"/>
      <c r="DG1107" s="1399"/>
      <c r="DH1107" s="1399"/>
      <c r="DI1107" s="1399"/>
      <c r="DJ1107" s="1399"/>
      <c r="DK1107" s="1399"/>
      <c r="DL1107" s="1399"/>
      <c r="DM1107" s="1399"/>
      <c r="DN1107" s="1399"/>
      <c r="DO1107" s="1399"/>
      <c r="DP1107" s="1399"/>
      <c r="DQ1107" s="1399"/>
      <c r="DR1107" s="1399"/>
      <c r="DS1107" s="1399"/>
      <c r="DT1107" s="1399"/>
      <c r="DU1107" s="1399"/>
    </row>
    <row r="1108" spans="1:125">
      <c r="A1108" s="1414"/>
      <c r="B1108" s="1414"/>
      <c r="C1108" s="1414"/>
      <c r="D1108" s="1414"/>
      <c r="E1108" s="1414"/>
      <c r="F1108" s="1414"/>
      <c r="G1108" s="1414"/>
      <c r="H1108" s="1414"/>
      <c r="I1108" s="1414"/>
      <c r="J1108" s="1414"/>
      <c r="K1108" s="1414"/>
      <c r="L1108" s="1414"/>
      <c r="M1108" s="1414"/>
      <c r="N1108" s="1414"/>
      <c r="O1108" s="1414"/>
      <c r="P1108" s="1414"/>
      <c r="Q1108" s="1414"/>
      <c r="R1108" s="1414"/>
      <c r="S1108" s="1414"/>
      <c r="T1108" s="1414"/>
      <c r="U1108" s="1414"/>
      <c r="V1108" s="1414"/>
      <c r="W1108" s="1414"/>
      <c r="X1108" s="1414"/>
      <c r="Y1108" s="1414"/>
      <c r="Z1108" s="1414"/>
      <c r="AA1108" s="1414"/>
      <c r="AB1108" s="1414"/>
      <c r="AC1108" s="1414"/>
      <c r="AD1108" s="1414"/>
      <c r="AE1108" s="1414"/>
      <c r="AF1108" s="1414"/>
      <c r="AG1108" s="1414"/>
      <c r="AH1108" s="1414"/>
      <c r="AI1108" s="1414"/>
      <c r="AJ1108" s="1414"/>
      <c r="AK1108" s="1414"/>
      <c r="AL1108" s="1414"/>
      <c r="AM1108" s="1414"/>
      <c r="AN1108" s="1414"/>
      <c r="AO1108" s="1414"/>
      <c r="AP1108" s="1414"/>
      <c r="AQ1108" s="1414"/>
      <c r="AR1108" s="1414"/>
      <c r="AS1108" s="1414"/>
      <c r="AT1108" s="1414"/>
      <c r="AU1108" s="1414"/>
      <c r="AV1108" s="1414"/>
      <c r="AW1108" s="1414"/>
      <c r="AX1108" s="1414"/>
      <c r="AY1108" s="1399"/>
      <c r="AZ1108" s="1399"/>
      <c r="BA1108" s="1399"/>
      <c r="BB1108" s="1399"/>
      <c r="BC1108" s="1399"/>
      <c r="BD1108" s="1399"/>
      <c r="BE1108" s="1414"/>
      <c r="BF1108" s="1399"/>
      <c r="BG1108" s="1399"/>
      <c r="BH1108" s="1399"/>
      <c r="BI1108" s="1399"/>
      <c r="BJ1108" s="1399"/>
      <c r="BK1108" s="1399"/>
      <c r="BL1108" s="1399"/>
      <c r="BM1108" s="1399"/>
      <c r="BN1108" s="1399"/>
      <c r="BO1108" s="1399"/>
      <c r="BP1108" s="1399"/>
      <c r="BQ1108" s="1399"/>
      <c r="BR1108" s="1399"/>
      <c r="BS1108" s="1399"/>
      <c r="BT1108" s="1399"/>
      <c r="BU1108" s="1399"/>
      <c r="BV1108" s="1399"/>
      <c r="BW1108" s="1399"/>
      <c r="BX1108" s="1399"/>
      <c r="BY1108" s="1399"/>
      <c r="BZ1108" s="1399"/>
      <c r="CA1108" s="1399"/>
      <c r="CB1108" s="1399"/>
      <c r="CC1108" s="1399"/>
      <c r="CD1108" s="1399"/>
      <c r="CE1108" s="1399"/>
      <c r="CF1108" s="1399"/>
      <c r="CG1108" s="1399"/>
      <c r="CH1108" s="1399"/>
      <c r="CI1108" s="1399"/>
      <c r="CJ1108" s="1399"/>
      <c r="CK1108" s="1399"/>
      <c r="CL1108" s="1399"/>
      <c r="CM1108" s="1399"/>
      <c r="CN1108" s="1399"/>
      <c r="CO1108" s="1399"/>
      <c r="CP1108" s="1399"/>
      <c r="CQ1108" s="1399"/>
      <c r="CR1108" s="1399"/>
      <c r="CS1108" s="1399"/>
      <c r="CT1108" s="1399"/>
      <c r="CU1108" s="1399"/>
      <c r="CV1108" s="1399"/>
      <c r="CW1108" s="1399"/>
      <c r="CX1108" s="1399"/>
      <c r="CY1108" s="1399"/>
      <c r="CZ1108" s="1399"/>
      <c r="DA1108" s="1399"/>
      <c r="DB1108" s="1399"/>
      <c r="DC1108" s="1399"/>
      <c r="DD1108" s="1399"/>
      <c r="DE1108" s="1399"/>
      <c r="DF1108" s="1399"/>
      <c r="DG1108" s="1399"/>
      <c r="DH1108" s="1399"/>
      <c r="DI1108" s="1399"/>
      <c r="DJ1108" s="1399"/>
      <c r="DK1108" s="1399"/>
      <c r="DL1108" s="1399"/>
      <c r="DM1108" s="1399"/>
      <c r="DN1108" s="1399"/>
      <c r="DO1108" s="1399"/>
      <c r="DP1108" s="1399"/>
      <c r="DQ1108" s="1399"/>
      <c r="DR1108" s="1399"/>
      <c r="DS1108" s="1399"/>
      <c r="DT1108" s="1399"/>
      <c r="DU1108" s="1399"/>
    </row>
    <row r="1109" spans="1:125">
      <c r="A1109" s="1414"/>
      <c r="B1109" s="1414"/>
      <c r="C1109" s="1414"/>
      <c r="D1109" s="1414"/>
      <c r="E1109" s="1414"/>
      <c r="F1109" s="1414"/>
      <c r="G1109" s="1414"/>
      <c r="H1109" s="1414"/>
      <c r="I1109" s="1414"/>
      <c r="J1109" s="1414"/>
      <c r="K1109" s="1414"/>
      <c r="L1109" s="1414"/>
      <c r="M1109" s="1414"/>
      <c r="N1109" s="1414"/>
      <c r="O1109" s="1414"/>
      <c r="P1109" s="1414"/>
      <c r="Q1109" s="1414"/>
      <c r="R1109" s="1414"/>
      <c r="S1109" s="1414"/>
      <c r="T1109" s="1414"/>
      <c r="U1109" s="1414"/>
      <c r="V1109" s="1414"/>
      <c r="W1109" s="1414"/>
      <c r="X1109" s="1414"/>
      <c r="Y1109" s="1414"/>
      <c r="Z1109" s="1414"/>
      <c r="AA1109" s="1414"/>
      <c r="AB1109" s="1414"/>
      <c r="AC1109" s="1414"/>
      <c r="AD1109" s="1414"/>
      <c r="AE1109" s="1414"/>
      <c r="AF1109" s="1414"/>
      <c r="AG1109" s="1414"/>
      <c r="AH1109" s="1414"/>
      <c r="AI1109" s="1414"/>
      <c r="AJ1109" s="1414"/>
      <c r="AK1109" s="1414"/>
      <c r="AL1109" s="1414"/>
      <c r="AM1109" s="1414"/>
      <c r="AN1109" s="1414"/>
      <c r="AO1109" s="1414"/>
      <c r="AP1109" s="1414"/>
      <c r="AQ1109" s="1414"/>
      <c r="AR1109" s="1414"/>
      <c r="AS1109" s="1414"/>
      <c r="AT1109" s="1414"/>
      <c r="AU1109" s="1414"/>
      <c r="AV1109" s="1414"/>
      <c r="AW1109" s="1414"/>
      <c r="AX1109" s="1414"/>
      <c r="AY1109" s="1399"/>
      <c r="AZ1109" s="1399"/>
      <c r="BA1109" s="1399"/>
      <c r="BB1109" s="1399"/>
      <c r="BC1109" s="1399"/>
      <c r="BD1109" s="1399"/>
      <c r="BE1109" s="1414"/>
      <c r="BF1109" s="1399"/>
      <c r="BG1109" s="1399"/>
      <c r="BH1109" s="1399"/>
      <c r="BI1109" s="1399"/>
      <c r="BJ1109" s="1399"/>
      <c r="BK1109" s="1399"/>
      <c r="BL1109" s="1399"/>
      <c r="BM1109" s="1399"/>
      <c r="BN1109" s="1399"/>
      <c r="BO1109" s="1399"/>
      <c r="BP1109" s="1399"/>
      <c r="BQ1109" s="1399"/>
      <c r="BR1109" s="1399"/>
      <c r="BS1109" s="1399"/>
      <c r="BT1109" s="1399"/>
      <c r="BU1109" s="1399"/>
      <c r="BV1109" s="1399"/>
      <c r="BW1109" s="1399"/>
      <c r="BX1109" s="1399"/>
      <c r="BY1109" s="1399"/>
      <c r="BZ1109" s="1399"/>
      <c r="CA1109" s="1399"/>
      <c r="CB1109" s="1399"/>
      <c r="CC1109" s="1399"/>
      <c r="CD1109" s="1399"/>
      <c r="CE1109" s="1399"/>
      <c r="CF1109" s="1399"/>
      <c r="CG1109" s="1399"/>
      <c r="CH1109" s="1399"/>
      <c r="CI1109" s="1399"/>
      <c r="CJ1109" s="1399"/>
      <c r="CK1109" s="1399"/>
      <c r="CL1109" s="1399"/>
      <c r="CM1109" s="1399"/>
      <c r="CN1109" s="1399"/>
      <c r="CO1109" s="1399"/>
      <c r="CP1109" s="1399"/>
      <c r="CQ1109" s="1399"/>
      <c r="CR1109" s="1399"/>
      <c r="CS1109" s="1399"/>
      <c r="CT1109" s="1399"/>
      <c r="CU1109" s="1399"/>
      <c r="CV1109" s="1399"/>
      <c r="CW1109" s="1399"/>
      <c r="CX1109" s="1399"/>
      <c r="CY1109" s="1399"/>
      <c r="CZ1109" s="1399"/>
      <c r="DA1109" s="1399"/>
      <c r="DB1109" s="1399"/>
      <c r="DC1109" s="1399"/>
      <c r="DD1109" s="1399"/>
      <c r="DE1109" s="1399"/>
      <c r="DF1109" s="1399"/>
      <c r="DG1109" s="1399"/>
      <c r="DH1109" s="1399"/>
      <c r="DI1109" s="1399"/>
      <c r="DJ1109" s="1399"/>
      <c r="DK1109" s="1399"/>
      <c r="DL1109" s="1399"/>
      <c r="DM1109" s="1399"/>
      <c r="DN1109" s="1399"/>
      <c r="DO1109" s="1399"/>
      <c r="DP1109" s="1399"/>
      <c r="DQ1109" s="1399"/>
      <c r="DR1109" s="1399"/>
      <c r="DS1109" s="1399"/>
      <c r="DT1109" s="1399"/>
      <c r="DU1109" s="1399"/>
    </row>
    <row r="1110" spans="1:125">
      <c r="A1110" s="1414"/>
      <c r="B1110" s="1414"/>
      <c r="C1110" s="1414"/>
      <c r="D1110" s="1414"/>
      <c r="E1110" s="1414"/>
      <c r="F1110" s="1414"/>
      <c r="G1110" s="1414"/>
      <c r="H1110" s="1414"/>
      <c r="I1110" s="1414"/>
      <c r="J1110" s="1414"/>
      <c r="K1110" s="1414"/>
      <c r="L1110" s="1414"/>
      <c r="M1110" s="1414"/>
      <c r="N1110" s="1414"/>
      <c r="O1110" s="1414"/>
      <c r="P1110" s="1414"/>
      <c r="Q1110" s="1414"/>
      <c r="R1110" s="1414"/>
      <c r="S1110" s="1414"/>
      <c r="T1110" s="1414"/>
      <c r="U1110" s="1414"/>
      <c r="V1110" s="1414"/>
      <c r="W1110" s="1414"/>
      <c r="X1110" s="1414"/>
      <c r="Y1110" s="1414"/>
      <c r="Z1110" s="1414"/>
      <c r="AA1110" s="1414"/>
      <c r="AB1110" s="1414"/>
      <c r="AC1110" s="1414"/>
      <c r="AD1110" s="1414"/>
      <c r="AE1110" s="1414"/>
      <c r="AF1110" s="1414"/>
      <c r="AG1110" s="1414"/>
      <c r="AH1110" s="1414"/>
      <c r="AI1110" s="1414"/>
      <c r="AJ1110" s="1414"/>
      <c r="AK1110" s="1414"/>
      <c r="AL1110" s="1414"/>
      <c r="AM1110" s="1414"/>
      <c r="AN1110" s="1414"/>
      <c r="AO1110" s="1414"/>
      <c r="AP1110" s="1414"/>
      <c r="AQ1110" s="1414"/>
      <c r="AR1110" s="1414"/>
      <c r="AS1110" s="1414"/>
      <c r="AT1110" s="1414"/>
      <c r="AU1110" s="1414"/>
      <c r="AV1110" s="1414"/>
      <c r="AW1110" s="1414"/>
      <c r="AX1110" s="1414"/>
      <c r="AY1110" s="1399"/>
      <c r="AZ1110" s="1399"/>
      <c r="BA1110" s="1399"/>
      <c r="BB1110" s="1399"/>
      <c r="BC1110" s="1399"/>
      <c r="BD1110" s="1399"/>
      <c r="BE1110" s="1414"/>
      <c r="BF1110" s="1399"/>
      <c r="BG1110" s="1399"/>
      <c r="BH1110" s="1399"/>
      <c r="BI1110" s="1399"/>
      <c r="BJ1110" s="1399"/>
      <c r="BK1110" s="1399"/>
      <c r="BL1110" s="1399"/>
      <c r="BM1110" s="1399"/>
      <c r="BN1110" s="1399"/>
      <c r="BO1110" s="1399"/>
      <c r="BP1110" s="1399"/>
      <c r="BQ1110" s="1399"/>
      <c r="BR1110" s="1399"/>
      <c r="BS1110" s="1399"/>
      <c r="BT1110" s="1399"/>
      <c r="BU1110" s="1399"/>
      <c r="BV1110" s="1399"/>
      <c r="BW1110" s="1399"/>
      <c r="BX1110" s="1399"/>
      <c r="BY1110" s="1399"/>
      <c r="BZ1110" s="1399"/>
      <c r="CA1110" s="1399"/>
      <c r="CB1110" s="1399"/>
      <c r="CC1110" s="1399"/>
      <c r="CD1110" s="1399"/>
      <c r="CE1110" s="1399"/>
      <c r="CF1110" s="1399"/>
      <c r="CG1110" s="1399"/>
      <c r="CH1110" s="1399"/>
      <c r="CI1110" s="1399"/>
      <c r="CJ1110" s="1399"/>
      <c r="CK1110" s="1399"/>
      <c r="CL1110" s="1399"/>
      <c r="CM1110" s="1399"/>
      <c r="CN1110" s="1399"/>
      <c r="CO1110" s="1399"/>
      <c r="CP1110" s="1399"/>
      <c r="CQ1110" s="1399"/>
      <c r="CR1110" s="1399"/>
      <c r="CS1110" s="1399"/>
      <c r="CT1110" s="1399"/>
      <c r="CU1110" s="1399"/>
      <c r="CV1110" s="1399"/>
      <c r="CW1110" s="1399"/>
      <c r="CX1110" s="1399"/>
      <c r="CY1110" s="1399"/>
      <c r="CZ1110" s="1399"/>
      <c r="DA1110" s="1399"/>
      <c r="DB1110" s="1399"/>
      <c r="DC1110" s="1399"/>
      <c r="DD1110" s="1399"/>
      <c r="DE1110" s="1399"/>
      <c r="DF1110" s="1399"/>
      <c r="DG1110" s="1399"/>
      <c r="DH1110" s="1399"/>
      <c r="DI1110" s="1399"/>
      <c r="DJ1110" s="1399"/>
      <c r="DK1110" s="1399"/>
      <c r="DL1110" s="1399"/>
      <c r="DM1110" s="1399"/>
      <c r="DN1110" s="1399"/>
      <c r="DO1110" s="1399"/>
      <c r="DP1110" s="1399"/>
      <c r="DQ1110" s="1399"/>
      <c r="DR1110" s="1399"/>
      <c r="DS1110" s="1399"/>
      <c r="DT1110" s="1399"/>
      <c r="DU1110" s="1399"/>
    </row>
    <row r="1111" spans="1:125">
      <c r="A1111" s="1414"/>
      <c r="B1111" s="1414"/>
      <c r="C1111" s="1414"/>
      <c r="D1111" s="1414"/>
      <c r="E1111" s="1414"/>
      <c r="F1111" s="1414"/>
      <c r="G1111" s="1414"/>
      <c r="H1111" s="1414"/>
      <c r="I1111" s="1414"/>
      <c r="J1111" s="1414"/>
      <c r="K1111" s="1414"/>
      <c r="L1111" s="1414"/>
      <c r="M1111" s="1414"/>
      <c r="N1111" s="1414"/>
      <c r="O1111" s="1414"/>
      <c r="P1111" s="1414"/>
      <c r="Q1111" s="1414"/>
      <c r="R1111" s="1414"/>
      <c r="S1111" s="1414"/>
      <c r="T1111" s="1414"/>
      <c r="U1111" s="1414"/>
      <c r="V1111" s="1414"/>
      <c r="W1111" s="1414"/>
      <c r="X1111" s="1414"/>
      <c r="Y1111" s="1414"/>
      <c r="Z1111" s="1414"/>
      <c r="AA1111" s="1414"/>
      <c r="AB1111" s="1414"/>
      <c r="AC1111" s="1414"/>
      <c r="AD1111" s="1414"/>
      <c r="AE1111" s="1414"/>
      <c r="AF1111" s="1414"/>
      <c r="AG1111" s="1414"/>
      <c r="AH1111" s="1414"/>
      <c r="AI1111" s="1414"/>
      <c r="AJ1111" s="1414"/>
      <c r="AK1111" s="1414"/>
      <c r="AL1111" s="1414"/>
      <c r="AM1111" s="1414"/>
      <c r="AN1111" s="1414"/>
      <c r="AO1111" s="1414"/>
      <c r="AP1111" s="1414"/>
      <c r="AQ1111" s="1414"/>
      <c r="AR1111" s="1414"/>
      <c r="AS1111" s="1414"/>
      <c r="AT1111" s="1414"/>
      <c r="AU1111" s="1414"/>
      <c r="AV1111" s="1414"/>
      <c r="AW1111" s="1414"/>
      <c r="AX1111" s="1414"/>
      <c r="AY1111" s="1399"/>
      <c r="AZ1111" s="1399"/>
      <c r="BA1111" s="1399"/>
      <c r="BB1111" s="1399"/>
      <c r="BC1111" s="1399"/>
      <c r="BD1111" s="1399"/>
      <c r="BE1111" s="1414"/>
      <c r="BF1111" s="1399"/>
      <c r="BG1111" s="1399"/>
      <c r="BH1111" s="1399"/>
      <c r="BI1111" s="1399"/>
      <c r="BJ1111" s="1399"/>
      <c r="BK1111" s="1399"/>
      <c r="BL1111" s="1399"/>
      <c r="BM1111" s="1399"/>
      <c r="BN1111" s="1399"/>
      <c r="BO1111" s="1399"/>
      <c r="BP1111" s="1399"/>
      <c r="BQ1111" s="1399"/>
      <c r="BR1111" s="1399"/>
      <c r="BS1111" s="1399"/>
      <c r="BT1111" s="1399"/>
      <c r="BU1111" s="1399"/>
      <c r="BV1111" s="1399"/>
      <c r="BW1111" s="1399"/>
      <c r="BX1111" s="1399"/>
      <c r="BY1111" s="1399"/>
      <c r="BZ1111" s="1399"/>
      <c r="CA1111" s="1399"/>
      <c r="CB1111" s="1399"/>
      <c r="CC1111" s="1399"/>
      <c r="CD1111" s="1399"/>
      <c r="CE1111" s="1399"/>
      <c r="CF1111" s="1399"/>
      <c r="CG1111" s="1399"/>
      <c r="CH1111" s="1399"/>
      <c r="CI1111" s="1399"/>
      <c r="CJ1111" s="1399"/>
      <c r="CK1111" s="1399"/>
      <c r="CL1111" s="1399"/>
      <c r="CM1111" s="1399"/>
      <c r="CN1111" s="1399"/>
      <c r="CO1111" s="1399"/>
      <c r="CP1111" s="1399"/>
      <c r="CQ1111" s="1399"/>
      <c r="CR1111" s="1399"/>
      <c r="CS1111" s="1399"/>
      <c r="CT1111" s="1399"/>
      <c r="CU1111" s="1399"/>
      <c r="CV1111" s="1399"/>
      <c r="CW1111" s="1399"/>
      <c r="CX1111" s="1399"/>
      <c r="CY1111" s="1399"/>
      <c r="CZ1111" s="1399"/>
      <c r="DA1111" s="1399"/>
      <c r="DB1111" s="1399"/>
      <c r="DC1111" s="1399"/>
      <c r="DD1111" s="1399"/>
      <c r="DE1111" s="1399"/>
      <c r="DF1111" s="1399"/>
      <c r="DG1111" s="1399"/>
      <c r="DH1111" s="1399"/>
      <c r="DI1111" s="1399"/>
      <c r="DJ1111" s="1399"/>
      <c r="DK1111" s="1399"/>
      <c r="DL1111" s="1399"/>
      <c r="DM1111" s="1399"/>
      <c r="DN1111" s="1399"/>
      <c r="DO1111" s="1399"/>
      <c r="DP1111" s="1399"/>
      <c r="DQ1111" s="1399"/>
      <c r="DR1111" s="1399"/>
      <c r="DS1111" s="1399"/>
      <c r="DT1111" s="1399"/>
      <c r="DU1111" s="1399"/>
    </row>
    <row r="1112" spans="1:125">
      <c r="A1112" s="1414"/>
      <c r="B1112" s="1414"/>
      <c r="C1112" s="1414"/>
      <c r="D1112" s="1414"/>
      <c r="E1112" s="1414"/>
      <c r="F1112" s="1414"/>
      <c r="G1112" s="1414"/>
      <c r="H1112" s="1414"/>
      <c r="I1112" s="1414"/>
      <c r="J1112" s="1414"/>
      <c r="K1112" s="1414"/>
      <c r="L1112" s="1414"/>
      <c r="M1112" s="1414"/>
      <c r="N1112" s="1414"/>
      <c r="O1112" s="1414"/>
      <c r="P1112" s="1414"/>
      <c r="Q1112" s="1414"/>
      <c r="R1112" s="1414"/>
      <c r="S1112" s="1414"/>
      <c r="T1112" s="1414"/>
      <c r="U1112" s="1414"/>
      <c r="V1112" s="1414"/>
      <c r="W1112" s="1414"/>
      <c r="X1112" s="1414"/>
      <c r="Y1112" s="1414"/>
      <c r="Z1112" s="1414"/>
      <c r="AA1112" s="1414"/>
      <c r="AB1112" s="1414"/>
      <c r="AC1112" s="1414"/>
      <c r="AD1112" s="1414"/>
      <c r="AE1112" s="1414"/>
      <c r="AF1112" s="1414"/>
      <c r="AG1112" s="1414"/>
      <c r="AH1112" s="1414"/>
      <c r="AI1112" s="1414"/>
      <c r="AJ1112" s="1414"/>
      <c r="AK1112" s="1414"/>
      <c r="AL1112" s="1414"/>
      <c r="AM1112" s="1414"/>
      <c r="AN1112" s="1414"/>
      <c r="AO1112" s="1414"/>
      <c r="AP1112" s="1414"/>
      <c r="AQ1112" s="1414"/>
      <c r="AR1112" s="1414"/>
      <c r="AS1112" s="1414"/>
      <c r="AT1112" s="1414"/>
      <c r="AU1112" s="1414"/>
      <c r="AV1112" s="1414"/>
      <c r="AW1112" s="1414"/>
      <c r="AX1112" s="1414"/>
      <c r="AY1112" s="1399"/>
      <c r="AZ1112" s="1399"/>
      <c r="BA1112" s="1399"/>
      <c r="BB1112" s="1399"/>
      <c r="BC1112" s="1399"/>
      <c r="BD1112" s="1399"/>
      <c r="BE1112" s="1414"/>
      <c r="BF1112" s="1399"/>
      <c r="BG1112" s="1399"/>
      <c r="BH1112" s="1399"/>
      <c r="BI1112" s="1399"/>
      <c r="BJ1112" s="1399"/>
      <c r="BK1112" s="1399"/>
      <c r="BL1112" s="1399"/>
      <c r="BM1112" s="1399"/>
      <c r="BN1112" s="1399"/>
      <c r="BO1112" s="1399"/>
      <c r="BP1112" s="1399"/>
      <c r="BQ1112" s="1399"/>
      <c r="BR1112" s="1399"/>
      <c r="BS1112" s="1399"/>
      <c r="BT1112" s="1399"/>
      <c r="BU1112" s="1399"/>
      <c r="BV1112" s="1399"/>
      <c r="BW1112" s="1399"/>
      <c r="BX1112" s="1399"/>
      <c r="BY1112" s="1399"/>
      <c r="BZ1112" s="1399"/>
      <c r="CA1112" s="1399"/>
      <c r="CB1112" s="1399"/>
      <c r="CC1112" s="1399"/>
      <c r="CD1112" s="1399"/>
      <c r="CE1112" s="1399"/>
      <c r="CF1112" s="1399"/>
      <c r="CG1112" s="1399"/>
      <c r="CH1112" s="1399"/>
      <c r="CI1112" s="1399"/>
      <c r="CJ1112" s="1399"/>
      <c r="CK1112" s="1399"/>
      <c r="CL1112" s="1399"/>
      <c r="CM1112" s="1399"/>
      <c r="CN1112" s="1399"/>
      <c r="CO1112" s="1399"/>
      <c r="CP1112" s="1399"/>
      <c r="CQ1112" s="1399"/>
      <c r="CR1112" s="1399"/>
      <c r="CS1112" s="1399"/>
      <c r="CT1112" s="1399"/>
      <c r="CU1112" s="1399"/>
      <c r="CV1112" s="1399"/>
      <c r="CW1112" s="1399"/>
      <c r="CX1112" s="1399"/>
      <c r="CY1112" s="1399"/>
      <c r="CZ1112" s="1399"/>
      <c r="DA1112" s="1399"/>
      <c r="DB1112" s="1399"/>
      <c r="DC1112" s="1399"/>
      <c r="DD1112" s="1399"/>
      <c r="DE1112" s="1399"/>
      <c r="DF1112" s="1399"/>
      <c r="DG1112" s="1399"/>
      <c r="DH1112" s="1399"/>
      <c r="DI1112" s="1399"/>
      <c r="DJ1112" s="1399"/>
      <c r="DK1112" s="1399"/>
      <c r="DL1112" s="1399"/>
      <c r="DM1112" s="1399"/>
      <c r="DN1112" s="1399"/>
      <c r="DO1112" s="1399"/>
      <c r="DP1112" s="1399"/>
      <c r="DQ1112" s="1399"/>
      <c r="DR1112" s="1399"/>
      <c r="DS1112" s="1399"/>
      <c r="DT1112" s="1399"/>
      <c r="DU1112" s="1399"/>
    </row>
    <row r="1113" spans="1:125">
      <c r="A1113" s="1414"/>
      <c r="B1113" s="1414"/>
      <c r="C1113" s="1414"/>
      <c r="D1113" s="1414"/>
      <c r="E1113" s="1414"/>
      <c r="F1113" s="1414"/>
      <c r="G1113" s="1414"/>
      <c r="H1113" s="1414"/>
      <c r="I1113" s="1414"/>
      <c r="J1113" s="1414"/>
      <c r="K1113" s="1414"/>
      <c r="L1113" s="1414"/>
      <c r="M1113" s="1414"/>
      <c r="N1113" s="1414"/>
      <c r="O1113" s="1414"/>
      <c r="P1113" s="1414"/>
      <c r="Q1113" s="1414"/>
      <c r="R1113" s="1414"/>
      <c r="S1113" s="1414"/>
      <c r="T1113" s="1414"/>
      <c r="U1113" s="1414"/>
      <c r="V1113" s="1414"/>
      <c r="W1113" s="1414"/>
      <c r="X1113" s="1414"/>
      <c r="Y1113" s="1414"/>
      <c r="Z1113" s="1414"/>
      <c r="AA1113" s="1414"/>
      <c r="AB1113" s="1414"/>
      <c r="AC1113" s="1414"/>
      <c r="AD1113" s="1414"/>
      <c r="AE1113" s="1414"/>
      <c r="AF1113" s="1414"/>
      <c r="AG1113" s="1414"/>
      <c r="AH1113" s="1414"/>
      <c r="AI1113" s="1414"/>
      <c r="AJ1113" s="1414"/>
      <c r="AK1113" s="1414"/>
      <c r="AL1113" s="1414"/>
      <c r="AM1113" s="1414"/>
      <c r="AN1113" s="1414"/>
      <c r="AO1113" s="1414"/>
      <c r="AP1113" s="1414"/>
      <c r="AQ1113" s="1414"/>
      <c r="AR1113" s="1414"/>
      <c r="AS1113" s="1414"/>
      <c r="AT1113" s="1414"/>
      <c r="AU1113" s="1414"/>
      <c r="AV1113" s="1414"/>
      <c r="AW1113" s="1414"/>
      <c r="AX1113" s="1414"/>
      <c r="AY1113" s="1399"/>
      <c r="AZ1113" s="1399"/>
      <c r="BA1113" s="1399"/>
      <c r="BB1113" s="1399"/>
      <c r="BC1113" s="1399"/>
      <c r="BD1113" s="1399"/>
      <c r="BE1113" s="1414"/>
      <c r="BF1113" s="1399"/>
      <c r="BG1113" s="1399"/>
      <c r="BH1113" s="1399"/>
      <c r="BI1113" s="1399"/>
      <c r="BJ1113" s="1399"/>
      <c r="BK1113" s="1399"/>
      <c r="BL1113" s="1399"/>
      <c r="BM1113" s="1399"/>
      <c r="BN1113" s="1399"/>
      <c r="BO1113" s="1399"/>
      <c r="BP1113" s="1399"/>
      <c r="BQ1113" s="1399"/>
      <c r="BR1113" s="1399"/>
      <c r="BS1113" s="1399"/>
      <c r="BT1113" s="1399"/>
      <c r="BU1113" s="1399"/>
      <c r="BV1113" s="1399"/>
      <c r="BW1113" s="1399"/>
      <c r="BX1113" s="1399"/>
      <c r="BY1113" s="1399"/>
      <c r="BZ1113" s="1399"/>
      <c r="CA1113" s="1399"/>
      <c r="CB1113" s="1399"/>
      <c r="CC1113" s="1399"/>
      <c r="CD1113" s="1399"/>
      <c r="CE1113" s="1399"/>
      <c r="CF1113" s="1399"/>
      <c r="CG1113" s="1399"/>
      <c r="CH1113" s="1399"/>
      <c r="CI1113" s="1399"/>
      <c r="CJ1113" s="1399"/>
      <c r="CK1113" s="1399"/>
      <c r="CL1113" s="1399"/>
      <c r="CM1113" s="1399"/>
      <c r="CN1113" s="1399"/>
      <c r="CO1113" s="1399"/>
      <c r="CP1113" s="1399"/>
      <c r="CQ1113" s="1399"/>
      <c r="CR1113" s="1399"/>
      <c r="CS1113" s="1399"/>
      <c r="CT1113" s="1399"/>
      <c r="CU1113" s="1399"/>
      <c r="CV1113" s="1399"/>
      <c r="CW1113" s="1399"/>
      <c r="CX1113" s="1399"/>
      <c r="CY1113" s="1399"/>
      <c r="CZ1113" s="1399"/>
      <c r="DA1113" s="1399"/>
      <c r="DB1113" s="1399"/>
      <c r="DC1113" s="1399"/>
      <c r="DD1113" s="1399"/>
      <c r="DE1113" s="1399"/>
      <c r="DF1113" s="1399"/>
      <c r="DG1113" s="1399"/>
      <c r="DH1113" s="1399"/>
      <c r="DI1113" s="1399"/>
      <c r="DJ1113" s="1399"/>
      <c r="DK1113" s="1399"/>
      <c r="DL1113" s="1399"/>
      <c r="DM1113" s="1399"/>
      <c r="DN1113" s="1399"/>
      <c r="DO1113" s="1399"/>
      <c r="DP1113" s="1399"/>
      <c r="DQ1113" s="1399"/>
      <c r="DR1113" s="1399"/>
      <c r="DS1113" s="1399"/>
      <c r="DT1113" s="1399"/>
      <c r="DU1113" s="1399"/>
    </row>
    <row r="1114" spans="1:125">
      <c r="A1114" s="1414"/>
      <c r="B1114" s="1414"/>
      <c r="C1114" s="1414"/>
      <c r="D1114" s="1414"/>
      <c r="E1114" s="1414"/>
      <c r="F1114" s="1414"/>
      <c r="G1114" s="1414"/>
      <c r="H1114" s="1414"/>
      <c r="I1114" s="1414"/>
      <c r="J1114" s="1414"/>
      <c r="K1114" s="1414"/>
      <c r="L1114" s="1414"/>
      <c r="M1114" s="1414"/>
      <c r="N1114" s="1414"/>
      <c r="O1114" s="1414"/>
      <c r="P1114" s="1414"/>
      <c r="Q1114" s="1414"/>
      <c r="R1114" s="1414"/>
      <c r="S1114" s="1414"/>
      <c r="T1114" s="1414"/>
      <c r="U1114" s="1414"/>
      <c r="V1114" s="1414"/>
      <c r="W1114" s="1414"/>
      <c r="X1114" s="1414"/>
      <c r="Y1114" s="1414"/>
      <c r="Z1114" s="1414"/>
      <c r="AA1114" s="1414"/>
      <c r="AB1114" s="1414"/>
      <c r="AC1114" s="1414"/>
      <c r="AD1114" s="1414"/>
      <c r="AE1114" s="1414"/>
      <c r="AF1114" s="1414"/>
      <c r="AG1114" s="1414"/>
      <c r="AH1114" s="1414"/>
      <c r="AI1114" s="1414"/>
      <c r="AJ1114" s="1414"/>
      <c r="AK1114" s="1414"/>
      <c r="AL1114" s="1414"/>
      <c r="AM1114" s="1414"/>
      <c r="AN1114" s="1414"/>
      <c r="AO1114" s="1414"/>
      <c r="AP1114" s="1414"/>
      <c r="AQ1114" s="1414"/>
      <c r="AR1114" s="1414"/>
      <c r="AS1114" s="1414"/>
      <c r="AT1114" s="1414"/>
      <c r="AU1114" s="1414"/>
      <c r="AV1114" s="1414"/>
      <c r="AW1114" s="1414"/>
      <c r="AX1114" s="1414"/>
      <c r="AY1114" s="1399"/>
      <c r="AZ1114" s="1399"/>
      <c r="BA1114" s="1399"/>
      <c r="BB1114" s="1399"/>
      <c r="BC1114" s="1399"/>
      <c r="BD1114" s="1399"/>
      <c r="BE1114" s="1414"/>
      <c r="BF1114" s="1399"/>
      <c r="BG1114" s="1399"/>
      <c r="BH1114" s="1399"/>
      <c r="BI1114" s="1399"/>
      <c r="BJ1114" s="1399"/>
      <c r="BK1114" s="1399"/>
      <c r="BL1114" s="1399"/>
      <c r="BM1114" s="1399"/>
      <c r="BN1114" s="1399"/>
      <c r="BO1114" s="1399"/>
      <c r="BP1114" s="1399"/>
      <c r="BQ1114" s="1399"/>
      <c r="BR1114" s="1399"/>
      <c r="BS1114" s="1399"/>
      <c r="BT1114" s="1399"/>
      <c r="BU1114" s="1399"/>
      <c r="BV1114" s="1399"/>
      <c r="BW1114" s="1399"/>
      <c r="BX1114" s="1399"/>
      <c r="BY1114" s="1399"/>
      <c r="BZ1114" s="1399"/>
      <c r="CA1114" s="1399"/>
      <c r="CB1114" s="1399"/>
      <c r="CC1114" s="1399"/>
      <c r="CD1114" s="1399"/>
      <c r="CE1114" s="1399"/>
      <c r="CF1114" s="1399"/>
      <c r="CG1114" s="1399"/>
      <c r="CH1114" s="1399"/>
      <c r="CI1114" s="1399"/>
      <c r="CJ1114" s="1399"/>
      <c r="CK1114" s="1399"/>
      <c r="CL1114" s="1399"/>
      <c r="CM1114" s="1399"/>
      <c r="CN1114" s="1399"/>
      <c r="CO1114" s="1399"/>
      <c r="CP1114" s="1399"/>
      <c r="CQ1114" s="1399"/>
      <c r="CR1114" s="1399"/>
      <c r="CS1114" s="1399"/>
      <c r="CT1114" s="1399"/>
      <c r="CU1114" s="1399"/>
      <c r="CV1114" s="1399"/>
      <c r="CW1114" s="1399"/>
      <c r="CX1114" s="1399"/>
      <c r="CY1114" s="1399"/>
      <c r="CZ1114" s="1399"/>
      <c r="DA1114" s="1399"/>
      <c r="DB1114" s="1399"/>
      <c r="DC1114" s="1399"/>
      <c r="DD1114" s="1399"/>
      <c r="DE1114" s="1399"/>
      <c r="DF1114" s="1399"/>
      <c r="DG1114" s="1399"/>
      <c r="DH1114" s="1399"/>
      <c r="DI1114" s="1399"/>
      <c r="DJ1114" s="1399"/>
      <c r="DK1114" s="1399"/>
      <c r="DL1114" s="1399"/>
      <c r="DM1114" s="1399"/>
      <c r="DN1114" s="1399"/>
      <c r="DO1114" s="1399"/>
      <c r="DP1114" s="1399"/>
      <c r="DQ1114" s="1399"/>
      <c r="DR1114" s="1399"/>
      <c r="DS1114" s="1399"/>
      <c r="DT1114" s="1399"/>
      <c r="DU1114" s="1399"/>
    </row>
    <row r="1115" spans="1:125">
      <c r="A1115" s="1414"/>
      <c r="B1115" s="1414"/>
      <c r="C1115" s="1414"/>
      <c r="D1115" s="1414"/>
      <c r="E1115" s="1414"/>
      <c r="F1115" s="1414"/>
      <c r="G1115" s="1414"/>
      <c r="H1115" s="1414"/>
      <c r="I1115" s="1414"/>
      <c r="J1115" s="1414"/>
      <c r="K1115" s="1414"/>
      <c r="L1115" s="1414"/>
      <c r="M1115" s="1414"/>
      <c r="N1115" s="1414"/>
      <c r="O1115" s="1414"/>
      <c r="P1115" s="1414"/>
      <c r="Q1115" s="1414"/>
      <c r="R1115" s="1414"/>
      <c r="S1115" s="1414"/>
      <c r="T1115" s="1414"/>
      <c r="U1115" s="1414"/>
      <c r="V1115" s="1414"/>
      <c r="W1115" s="1414"/>
      <c r="X1115" s="1414"/>
      <c r="Y1115" s="1414"/>
      <c r="Z1115" s="1414"/>
      <c r="AA1115" s="1414"/>
      <c r="AB1115" s="1414"/>
      <c r="AC1115" s="1414"/>
      <c r="AD1115" s="1414"/>
      <c r="AE1115" s="1414"/>
      <c r="AF1115" s="1414"/>
      <c r="AG1115" s="1414"/>
      <c r="AH1115" s="1414"/>
      <c r="AI1115" s="1414"/>
      <c r="AJ1115" s="1414"/>
      <c r="AK1115" s="1414"/>
      <c r="AL1115" s="1414"/>
      <c r="AM1115" s="1414"/>
      <c r="AN1115" s="1414"/>
      <c r="AO1115" s="1414"/>
      <c r="AP1115" s="1414"/>
      <c r="AQ1115" s="1414"/>
      <c r="AR1115" s="1414"/>
      <c r="AS1115" s="1414"/>
      <c r="AT1115" s="1414"/>
      <c r="AU1115" s="1414"/>
      <c r="AV1115" s="1414"/>
      <c r="AW1115" s="1414"/>
      <c r="AX1115" s="1414"/>
      <c r="AY1115" s="1399"/>
      <c r="AZ1115" s="1399"/>
      <c r="BA1115" s="1399"/>
      <c r="BB1115" s="1399"/>
      <c r="BC1115" s="1399"/>
      <c r="BD1115" s="1399"/>
      <c r="BE1115" s="1414"/>
      <c r="BF1115" s="1399"/>
      <c r="BG1115" s="1399"/>
      <c r="BH1115" s="1399"/>
      <c r="BI1115" s="1399"/>
      <c r="BJ1115" s="1399"/>
      <c r="BK1115" s="1399"/>
      <c r="BL1115" s="1399"/>
      <c r="BM1115" s="1399"/>
      <c r="BN1115" s="1399"/>
      <c r="BO1115" s="1399"/>
      <c r="BP1115" s="1399"/>
      <c r="BQ1115" s="1399"/>
      <c r="BR1115" s="1399"/>
      <c r="BS1115" s="1399"/>
      <c r="BT1115" s="1399"/>
      <c r="BU1115" s="1399"/>
      <c r="BV1115" s="1399"/>
      <c r="BW1115" s="1399"/>
      <c r="BX1115" s="1399"/>
      <c r="BY1115" s="1399"/>
      <c r="BZ1115" s="1399"/>
      <c r="CA1115" s="1399"/>
      <c r="CB1115" s="1399"/>
      <c r="CC1115" s="1399"/>
      <c r="CD1115" s="1399"/>
      <c r="CE1115" s="1399"/>
      <c r="CF1115" s="1399"/>
      <c r="CG1115" s="1399"/>
      <c r="CH1115" s="1399"/>
      <c r="CI1115" s="1399"/>
      <c r="CJ1115" s="1399"/>
      <c r="CK1115" s="1399"/>
      <c r="CL1115" s="1399"/>
      <c r="CM1115" s="1399"/>
      <c r="CN1115" s="1399"/>
      <c r="CO1115" s="1399"/>
      <c r="CP1115" s="1399"/>
      <c r="CQ1115" s="1399"/>
      <c r="CR1115" s="1399"/>
      <c r="CS1115" s="1399"/>
      <c r="CT1115" s="1399"/>
      <c r="CU1115" s="1399"/>
      <c r="CV1115" s="1399"/>
      <c r="CW1115" s="1399"/>
      <c r="CX1115" s="1399"/>
      <c r="CY1115" s="1399"/>
      <c r="CZ1115" s="1399"/>
      <c r="DA1115" s="1399"/>
      <c r="DB1115" s="1399"/>
      <c r="DC1115" s="1399"/>
      <c r="DD1115" s="1399"/>
      <c r="DE1115" s="1399"/>
      <c r="DF1115" s="1399"/>
      <c r="DG1115" s="1399"/>
      <c r="DH1115" s="1399"/>
      <c r="DI1115" s="1399"/>
      <c r="DJ1115" s="1399"/>
      <c r="DK1115" s="1399"/>
      <c r="DL1115" s="1399"/>
      <c r="DM1115" s="1399"/>
      <c r="DN1115" s="1399"/>
      <c r="DO1115" s="1399"/>
      <c r="DP1115" s="1399"/>
      <c r="DQ1115" s="1399"/>
      <c r="DR1115" s="1399"/>
      <c r="DS1115" s="1399"/>
      <c r="DT1115" s="1399"/>
      <c r="DU1115" s="1399"/>
    </row>
    <row r="1116" spans="1:125">
      <c r="A1116" s="1414"/>
      <c r="B1116" s="1414"/>
      <c r="C1116" s="1414"/>
      <c r="D1116" s="1414"/>
      <c r="E1116" s="1414"/>
      <c r="F1116" s="1414"/>
      <c r="G1116" s="1414"/>
      <c r="H1116" s="1414"/>
      <c r="I1116" s="1414"/>
      <c r="J1116" s="1414"/>
      <c r="K1116" s="1414"/>
      <c r="L1116" s="1414"/>
      <c r="M1116" s="1414"/>
      <c r="N1116" s="1414"/>
      <c r="O1116" s="1414"/>
      <c r="P1116" s="1414"/>
      <c r="Q1116" s="1414"/>
      <c r="R1116" s="1414"/>
      <c r="S1116" s="1414"/>
      <c r="T1116" s="1414"/>
      <c r="U1116" s="1414"/>
      <c r="V1116" s="1414"/>
      <c r="W1116" s="1414"/>
      <c r="X1116" s="1414"/>
      <c r="Y1116" s="1414"/>
      <c r="Z1116" s="1414"/>
      <c r="AA1116" s="1414"/>
      <c r="AB1116" s="1414"/>
      <c r="AC1116" s="1414"/>
      <c r="AD1116" s="1414"/>
      <c r="AE1116" s="1414"/>
      <c r="AF1116" s="1414"/>
      <c r="AG1116" s="1414"/>
      <c r="AH1116" s="1414"/>
      <c r="AI1116" s="1414"/>
      <c r="AJ1116" s="1414"/>
      <c r="AK1116" s="1414"/>
      <c r="AL1116" s="1414"/>
      <c r="AM1116" s="1414"/>
      <c r="AN1116" s="1414"/>
      <c r="AO1116" s="1414"/>
      <c r="AP1116" s="1414"/>
      <c r="AQ1116" s="1414"/>
      <c r="AR1116" s="1414"/>
      <c r="AS1116" s="1414"/>
      <c r="AT1116" s="1414"/>
      <c r="AU1116" s="1414"/>
      <c r="AV1116" s="1414"/>
      <c r="AW1116" s="1414"/>
      <c r="AX1116" s="1414"/>
      <c r="AY1116" s="1399"/>
      <c r="AZ1116" s="1399"/>
      <c r="BA1116" s="1399"/>
      <c r="BB1116" s="1399"/>
      <c r="BC1116" s="1399"/>
      <c r="BD1116" s="1399"/>
      <c r="BE1116" s="1414"/>
      <c r="BF1116" s="1399"/>
      <c r="BG1116" s="1399"/>
      <c r="BH1116" s="1399"/>
      <c r="BI1116" s="1399"/>
      <c r="BJ1116" s="1399"/>
      <c r="BK1116" s="1399"/>
      <c r="BL1116" s="1399"/>
      <c r="BM1116" s="1399"/>
      <c r="BN1116" s="1399"/>
      <c r="BO1116" s="1399"/>
      <c r="BP1116" s="1399"/>
      <c r="BQ1116" s="1399"/>
      <c r="BR1116" s="1399"/>
      <c r="BS1116" s="1399"/>
      <c r="BT1116" s="1399"/>
      <c r="BU1116" s="1399"/>
      <c r="BV1116" s="1399"/>
      <c r="BW1116" s="1399"/>
      <c r="BX1116" s="1399"/>
      <c r="BY1116" s="1399"/>
      <c r="BZ1116" s="1399"/>
      <c r="CA1116" s="1399"/>
      <c r="CB1116" s="1399"/>
      <c r="CC1116" s="1399"/>
      <c r="CD1116" s="1399"/>
      <c r="CE1116" s="1399"/>
      <c r="CF1116" s="1399"/>
      <c r="CG1116" s="1399"/>
      <c r="CH1116" s="1399"/>
      <c r="CI1116" s="1399"/>
      <c r="CJ1116" s="1399"/>
      <c r="CK1116" s="1399"/>
      <c r="CL1116" s="1399"/>
      <c r="CM1116" s="1399"/>
      <c r="CN1116" s="1399"/>
      <c r="CO1116" s="1399"/>
      <c r="CP1116" s="1399"/>
      <c r="CQ1116" s="1399"/>
      <c r="CR1116" s="1399"/>
      <c r="CS1116" s="1399"/>
      <c r="CT1116" s="1399"/>
      <c r="CU1116" s="1399"/>
      <c r="CV1116" s="1399"/>
      <c r="CW1116" s="1399"/>
      <c r="CX1116" s="1399"/>
      <c r="CY1116" s="1399"/>
      <c r="CZ1116" s="1399"/>
      <c r="DA1116" s="1399"/>
      <c r="DB1116" s="1399"/>
      <c r="DC1116" s="1399"/>
      <c r="DD1116" s="1399"/>
      <c r="DE1116" s="1399"/>
      <c r="DF1116" s="1399"/>
      <c r="DG1116" s="1399"/>
      <c r="DH1116" s="1399"/>
      <c r="DI1116" s="1399"/>
      <c r="DJ1116" s="1399"/>
      <c r="DK1116" s="1399"/>
      <c r="DL1116" s="1399"/>
      <c r="DM1116" s="1399"/>
      <c r="DN1116" s="1399"/>
      <c r="DO1116" s="1399"/>
      <c r="DP1116" s="1399"/>
      <c r="DQ1116" s="1399"/>
      <c r="DR1116" s="1399"/>
      <c r="DS1116" s="1399"/>
      <c r="DT1116" s="1399"/>
      <c r="DU1116" s="1399"/>
    </row>
    <row r="1117" spans="1:125">
      <c r="A1117" s="1414"/>
      <c r="B1117" s="1414"/>
      <c r="C1117" s="1414"/>
      <c r="D1117" s="1414"/>
      <c r="E1117" s="1414"/>
      <c r="F1117" s="1414"/>
      <c r="G1117" s="1414"/>
      <c r="H1117" s="1414"/>
      <c r="I1117" s="1414"/>
      <c r="J1117" s="1414"/>
      <c r="K1117" s="1414"/>
      <c r="L1117" s="1414"/>
      <c r="M1117" s="1414"/>
      <c r="N1117" s="1414"/>
      <c r="O1117" s="1414"/>
      <c r="P1117" s="1414"/>
      <c r="Q1117" s="1414"/>
      <c r="R1117" s="1414"/>
      <c r="S1117" s="1414"/>
      <c r="T1117" s="1414"/>
      <c r="U1117" s="1414"/>
      <c r="V1117" s="1414"/>
      <c r="W1117" s="1414"/>
      <c r="X1117" s="1414"/>
      <c r="Y1117" s="1414"/>
      <c r="Z1117" s="1414"/>
      <c r="AA1117" s="1414"/>
      <c r="AB1117" s="1414"/>
      <c r="AC1117" s="1414"/>
      <c r="AD1117" s="1414"/>
      <c r="AE1117" s="1414"/>
      <c r="AF1117" s="1414"/>
      <c r="AG1117" s="1414"/>
      <c r="AH1117" s="1414"/>
      <c r="AI1117" s="1414"/>
      <c r="AJ1117" s="1414"/>
      <c r="AK1117" s="1414"/>
      <c r="AL1117" s="1414"/>
      <c r="AM1117" s="1414"/>
      <c r="AN1117" s="1414"/>
      <c r="AO1117" s="1414"/>
      <c r="AP1117" s="1414"/>
      <c r="AQ1117" s="1414"/>
      <c r="AR1117" s="1414"/>
      <c r="AS1117" s="1414"/>
      <c r="AT1117" s="1414"/>
      <c r="AU1117" s="1414"/>
      <c r="AV1117" s="1414"/>
      <c r="AW1117" s="1414"/>
      <c r="AX1117" s="1414"/>
      <c r="AY1117" s="1399"/>
      <c r="AZ1117" s="1399"/>
      <c r="BA1117" s="1399"/>
      <c r="BB1117" s="1399"/>
      <c r="BC1117" s="1399"/>
      <c r="BD1117" s="1399"/>
      <c r="BE1117" s="1414"/>
      <c r="BF1117" s="1399"/>
      <c r="BG1117" s="1399"/>
      <c r="BH1117" s="1399"/>
      <c r="BI1117" s="1399"/>
      <c r="BJ1117" s="1399"/>
      <c r="BK1117" s="1399"/>
      <c r="BL1117" s="1399"/>
      <c r="BM1117" s="1399"/>
      <c r="BN1117" s="1399"/>
      <c r="BO1117" s="1399"/>
      <c r="BP1117" s="1399"/>
      <c r="BQ1117" s="1399"/>
      <c r="BR1117" s="1399"/>
      <c r="BS1117" s="1399"/>
      <c r="BT1117" s="1399"/>
      <c r="BU1117" s="1399"/>
      <c r="BV1117" s="1399"/>
      <c r="BW1117" s="1399"/>
      <c r="BX1117" s="1399"/>
      <c r="BY1117" s="1399"/>
      <c r="BZ1117" s="1399"/>
      <c r="CA1117" s="1399"/>
      <c r="CB1117" s="1399"/>
      <c r="CC1117" s="1399"/>
      <c r="CD1117" s="1399"/>
      <c r="CE1117" s="1399"/>
      <c r="CF1117" s="1399"/>
      <c r="CG1117" s="1399"/>
      <c r="CH1117" s="1399"/>
      <c r="CI1117" s="1399"/>
      <c r="CJ1117" s="1399"/>
      <c r="CK1117" s="1399"/>
      <c r="CL1117" s="1399"/>
      <c r="CM1117" s="1399"/>
      <c r="CN1117" s="1399"/>
      <c r="CO1117" s="1399"/>
      <c r="CP1117" s="1399"/>
      <c r="CQ1117" s="1399"/>
      <c r="CR1117" s="1399"/>
      <c r="CS1117" s="1399"/>
      <c r="CT1117" s="1399"/>
      <c r="CU1117" s="1399"/>
      <c r="CV1117" s="1399"/>
      <c r="CW1117" s="1399"/>
      <c r="CX1117" s="1399"/>
      <c r="CY1117" s="1399"/>
      <c r="CZ1117" s="1399"/>
      <c r="DA1117" s="1399"/>
      <c r="DB1117" s="1399"/>
      <c r="DC1117" s="1399"/>
      <c r="DD1117" s="1399"/>
      <c r="DE1117" s="1399"/>
      <c r="DF1117" s="1399"/>
      <c r="DG1117" s="1399"/>
      <c r="DH1117" s="1399"/>
      <c r="DI1117" s="1399"/>
      <c r="DJ1117" s="1399"/>
      <c r="DK1117" s="1399"/>
      <c r="DL1117" s="1399"/>
      <c r="DM1117" s="1399"/>
      <c r="DN1117" s="1399"/>
      <c r="DO1117" s="1399"/>
      <c r="DP1117" s="1399"/>
      <c r="DQ1117" s="1399"/>
      <c r="DR1117" s="1399"/>
      <c r="DS1117" s="1399"/>
      <c r="DT1117" s="1399"/>
      <c r="DU1117" s="1399"/>
    </row>
    <row r="1118" spans="1:125">
      <c r="A1118" s="1414"/>
      <c r="B1118" s="1414"/>
      <c r="C1118" s="1414"/>
      <c r="D1118" s="1414"/>
      <c r="E1118" s="1414"/>
      <c r="F1118" s="1414"/>
      <c r="G1118" s="1414"/>
      <c r="H1118" s="1414"/>
      <c r="I1118" s="1414"/>
      <c r="J1118" s="1414"/>
      <c r="K1118" s="1414"/>
      <c r="L1118" s="1414"/>
      <c r="M1118" s="1414"/>
      <c r="N1118" s="1414"/>
      <c r="O1118" s="1414"/>
      <c r="P1118" s="1414"/>
      <c r="Q1118" s="1414"/>
      <c r="R1118" s="1414"/>
      <c r="S1118" s="1414"/>
      <c r="T1118" s="1414"/>
      <c r="U1118" s="1414"/>
      <c r="V1118" s="1414"/>
      <c r="W1118" s="1414"/>
      <c r="X1118" s="1414"/>
      <c r="Y1118" s="1414"/>
      <c r="Z1118" s="1414"/>
      <c r="AA1118" s="1414"/>
      <c r="AB1118" s="1414"/>
      <c r="AC1118" s="1414"/>
      <c r="AD1118" s="1414"/>
      <c r="AE1118" s="1414"/>
      <c r="AF1118" s="1414"/>
      <c r="AG1118" s="1414"/>
      <c r="AH1118" s="1414"/>
      <c r="AI1118" s="1414"/>
      <c r="AJ1118" s="1414"/>
      <c r="AK1118" s="1414"/>
      <c r="AL1118" s="1414"/>
      <c r="AM1118" s="1414"/>
      <c r="AN1118" s="1414"/>
      <c r="AO1118" s="1414"/>
      <c r="AP1118" s="1414"/>
      <c r="AQ1118" s="1414"/>
      <c r="AR1118" s="1414"/>
      <c r="AS1118" s="1414"/>
      <c r="AT1118" s="1414"/>
      <c r="AU1118" s="1414"/>
      <c r="AV1118" s="1414"/>
      <c r="AW1118" s="1414"/>
      <c r="AX1118" s="1414"/>
      <c r="AY1118" s="1399"/>
      <c r="AZ1118" s="1399"/>
      <c r="BA1118" s="1399"/>
      <c r="BB1118" s="1399"/>
      <c r="BC1118" s="1399"/>
      <c r="BD1118" s="1399"/>
      <c r="BE1118" s="1414"/>
      <c r="BF1118" s="1399"/>
      <c r="BG1118" s="1399"/>
      <c r="BH1118" s="1399"/>
      <c r="BI1118" s="1399"/>
      <c r="BJ1118" s="1399"/>
      <c r="BK1118" s="1399"/>
      <c r="BL1118" s="1399"/>
      <c r="BM1118" s="1399"/>
      <c r="BN1118" s="1399"/>
      <c r="BO1118" s="1399"/>
      <c r="BP1118" s="1399"/>
      <c r="BQ1118" s="1399"/>
      <c r="BR1118" s="1399"/>
      <c r="BS1118" s="1399"/>
      <c r="BT1118" s="1399"/>
      <c r="BU1118" s="1399"/>
      <c r="BV1118" s="1399"/>
      <c r="BW1118" s="1399"/>
      <c r="BX1118" s="1399"/>
      <c r="BY1118" s="1399"/>
      <c r="BZ1118" s="1399"/>
      <c r="CA1118" s="1399"/>
      <c r="CB1118" s="1399"/>
      <c r="CC1118" s="1399"/>
      <c r="CD1118" s="1399"/>
      <c r="CE1118" s="1399"/>
      <c r="CF1118" s="1399"/>
      <c r="CG1118" s="1399"/>
      <c r="CH1118" s="1399"/>
      <c r="CI1118" s="1399"/>
      <c r="CJ1118" s="1399"/>
      <c r="CK1118" s="1399"/>
      <c r="CL1118" s="1399"/>
      <c r="CM1118" s="1399"/>
      <c r="CN1118" s="1399"/>
      <c r="CO1118" s="1399"/>
      <c r="CP1118" s="1399"/>
      <c r="CQ1118" s="1399"/>
      <c r="CR1118" s="1399"/>
      <c r="CS1118" s="1399"/>
      <c r="CT1118" s="1399"/>
      <c r="CU1118" s="1399"/>
      <c r="CV1118" s="1399"/>
      <c r="CW1118" s="1399"/>
      <c r="CX1118" s="1399"/>
      <c r="CY1118" s="1399"/>
      <c r="CZ1118" s="1399"/>
      <c r="DA1118" s="1399"/>
      <c r="DB1118" s="1399"/>
      <c r="DC1118" s="1399"/>
      <c r="DD1118" s="1399"/>
      <c r="DE1118" s="1399"/>
      <c r="DF1118" s="1399"/>
      <c r="DG1118" s="1399"/>
      <c r="DH1118" s="1399"/>
      <c r="DI1118" s="1399"/>
      <c r="DJ1118" s="1399"/>
      <c r="DK1118" s="1399"/>
      <c r="DL1118" s="1399"/>
      <c r="DM1118" s="1399"/>
      <c r="DN1118" s="1399"/>
      <c r="DO1118" s="1399"/>
      <c r="DP1118" s="1399"/>
      <c r="DQ1118" s="1399"/>
      <c r="DR1118" s="1399"/>
      <c r="DS1118" s="1399"/>
      <c r="DT1118" s="1399"/>
      <c r="DU1118" s="1399"/>
    </row>
    <row r="1119" spans="1:125">
      <c r="A1119" s="1414"/>
      <c r="B1119" s="1414"/>
      <c r="C1119" s="1414"/>
      <c r="D1119" s="1414"/>
      <c r="E1119" s="1414"/>
      <c r="F1119" s="1414"/>
      <c r="G1119" s="1414"/>
      <c r="H1119" s="1414"/>
      <c r="I1119" s="1414"/>
      <c r="J1119" s="1414"/>
      <c r="K1119" s="1414"/>
      <c r="L1119" s="1414"/>
      <c r="M1119" s="1414"/>
      <c r="N1119" s="1414"/>
      <c r="O1119" s="1414"/>
      <c r="P1119" s="1414"/>
      <c r="Q1119" s="1414"/>
      <c r="R1119" s="1414"/>
      <c r="S1119" s="1414"/>
      <c r="T1119" s="1414"/>
      <c r="U1119" s="1414"/>
      <c r="V1119" s="1414"/>
      <c r="W1119" s="1414"/>
      <c r="X1119" s="1414"/>
      <c r="Y1119" s="1414"/>
      <c r="Z1119" s="1414"/>
      <c r="AA1119" s="1414"/>
      <c r="AB1119" s="1414"/>
      <c r="AC1119" s="1414"/>
      <c r="AD1119" s="1414"/>
      <c r="AE1119" s="1414"/>
      <c r="AF1119" s="1414"/>
      <c r="AG1119" s="1414"/>
      <c r="AH1119" s="1414"/>
      <c r="AI1119" s="1414"/>
      <c r="AJ1119" s="1414"/>
      <c r="AK1119" s="1414"/>
      <c r="AL1119" s="1414"/>
      <c r="AM1119" s="1414"/>
      <c r="AN1119" s="1414"/>
      <c r="AO1119" s="1414"/>
      <c r="AP1119" s="1414"/>
      <c r="AQ1119" s="1414"/>
      <c r="AR1119" s="1414"/>
      <c r="AS1119" s="1414"/>
      <c r="AT1119" s="1414"/>
      <c r="AU1119" s="1414"/>
      <c r="AV1119" s="1414"/>
      <c r="AW1119" s="1414"/>
      <c r="AX1119" s="1414"/>
      <c r="AY1119" s="1399"/>
      <c r="AZ1119" s="1399"/>
      <c r="BA1119" s="1399"/>
      <c r="BB1119" s="1399"/>
      <c r="BC1119" s="1399"/>
      <c r="BD1119" s="1399"/>
      <c r="BE1119" s="1414"/>
      <c r="BF1119" s="1399"/>
      <c r="BG1119" s="1399"/>
      <c r="BH1119" s="1399"/>
      <c r="BI1119" s="1399"/>
      <c r="BJ1119" s="1399"/>
      <c r="BK1119" s="1399"/>
      <c r="BL1119" s="1399"/>
      <c r="BM1119" s="1399"/>
      <c r="BN1119" s="1399"/>
      <c r="BO1119" s="1399"/>
      <c r="BP1119" s="1399"/>
      <c r="BQ1119" s="1399"/>
      <c r="BR1119" s="1399"/>
      <c r="BS1119" s="1399"/>
      <c r="BT1119" s="1399"/>
      <c r="BU1119" s="1399"/>
      <c r="BV1119" s="1399"/>
      <c r="BW1119" s="1399"/>
      <c r="BX1119" s="1399"/>
      <c r="BY1119" s="1399"/>
      <c r="BZ1119" s="1399"/>
      <c r="CA1119" s="1399"/>
      <c r="CB1119" s="1399"/>
      <c r="CC1119" s="1399"/>
      <c r="CD1119" s="1399"/>
      <c r="CE1119" s="1399"/>
      <c r="CF1119" s="1399"/>
      <c r="CG1119" s="1399"/>
      <c r="CH1119" s="1399"/>
      <c r="CI1119" s="1399"/>
      <c r="CJ1119" s="1399"/>
      <c r="CK1119" s="1399"/>
      <c r="CL1119" s="1399"/>
      <c r="CM1119" s="1399"/>
      <c r="CN1119" s="1399"/>
      <c r="CO1119" s="1399"/>
      <c r="CP1119" s="1399"/>
      <c r="CQ1119" s="1399"/>
      <c r="CR1119" s="1399"/>
      <c r="CS1119" s="1399"/>
      <c r="CT1119" s="1399"/>
      <c r="CU1119" s="1399"/>
      <c r="CV1119" s="1399"/>
      <c r="CW1119" s="1399"/>
      <c r="CX1119" s="1399"/>
      <c r="CY1119" s="1399"/>
      <c r="CZ1119" s="1399"/>
      <c r="DA1119" s="1399"/>
      <c r="DB1119" s="1399"/>
      <c r="DC1119" s="1399"/>
      <c r="DD1119" s="1399"/>
      <c r="DE1119" s="1399"/>
      <c r="DF1119" s="1399"/>
      <c r="DG1119" s="1399"/>
      <c r="DH1119" s="1399"/>
      <c r="DI1119" s="1399"/>
      <c r="DJ1119" s="1399"/>
      <c r="DK1119" s="1399"/>
      <c r="DL1119" s="1399"/>
      <c r="DM1119" s="1399"/>
      <c r="DN1119" s="1399"/>
      <c r="DO1119" s="1399"/>
      <c r="DP1119" s="1399"/>
      <c r="DQ1119" s="1399"/>
      <c r="DR1119" s="1399"/>
      <c r="DS1119" s="1399"/>
      <c r="DT1119" s="1399"/>
      <c r="DU1119" s="1399"/>
    </row>
    <row r="1120" spans="1:125">
      <c r="A1120" s="1414"/>
      <c r="B1120" s="1414"/>
      <c r="C1120" s="1414"/>
      <c r="D1120" s="1414"/>
      <c r="E1120" s="1414"/>
      <c r="F1120" s="1414"/>
      <c r="G1120" s="1414"/>
      <c r="H1120" s="1414"/>
      <c r="I1120" s="1414"/>
      <c r="J1120" s="1414"/>
      <c r="K1120" s="1414"/>
      <c r="L1120" s="1414"/>
      <c r="M1120" s="1414"/>
      <c r="N1120" s="1414"/>
      <c r="O1120" s="1414"/>
      <c r="P1120" s="1414"/>
      <c r="Q1120" s="1414"/>
      <c r="R1120" s="1414"/>
      <c r="S1120" s="1414"/>
      <c r="T1120" s="1414"/>
      <c r="U1120" s="1414"/>
      <c r="V1120" s="1414"/>
      <c r="W1120" s="1414"/>
      <c r="X1120" s="1414"/>
      <c r="Y1120" s="1414"/>
      <c r="Z1120" s="1414"/>
      <c r="AA1120" s="1414"/>
      <c r="AB1120" s="1414"/>
      <c r="AC1120" s="1414"/>
      <c r="AD1120" s="1414"/>
      <c r="AE1120" s="1414"/>
      <c r="AF1120" s="1414"/>
      <c r="AG1120" s="1414"/>
      <c r="AH1120" s="1414"/>
      <c r="AI1120" s="1414"/>
      <c r="AJ1120" s="1414"/>
      <c r="AK1120" s="1414"/>
      <c r="AL1120" s="1414"/>
      <c r="AM1120" s="1414"/>
      <c r="AN1120" s="1414"/>
      <c r="AO1120" s="1414"/>
      <c r="AP1120" s="1414"/>
      <c r="AQ1120" s="1414"/>
      <c r="AR1120" s="1414"/>
      <c r="AS1120" s="1414"/>
      <c r="AT1120" s="1414"/>
      <c r="AU1120" s="1414"/>
      <c r="AV1120" s="1414"/>
      <c r="AW1120" s="1414"/>
      <c r="AX1120" s="1414"/>
      <c r="AY1120" s="1399"/>
      <c r="AZ1120" s="1399"/>
      <c r="BA1120" s="1399"/>
      <c r="BB1120" s="1399"/>
      <c r="BC1120" s="1399"/>
      <c r="BD1120" s="1399"/>
      <c r="BE1120" s="1414"/>
      <c r="BF1120" s="1399"/>
      <c r="BG1120" s="1399"/>
      <c r="BH1120" s="1399"/>
      <c r="BI1120" s="1399"/>
      <c r="BJ1120" s="1399"/>
      <c r="BK1120" s="1399"/>
      <c r="BL1120" s="1399"/>
      <c r="BM1120" s="1399"/>
      <c r="BN1120" s="1399"/>
      <c r="BO1120" s="1399"/>
      <c r="BP1120" s="1399"/>
      <c r="BQ1120" s="1399"/>
      <c r="BR1120" s="1399"/>
      <c r="BS1120" s="1399"/>
      <c r="BT1120" s="1399"/>
      <c r="BU1120" s="1399"/>
      <c r="BV1120" s="1399"/>
      <c r="BW1120" s="1399"/>
      <c r="BX1120" s="1399"/>
      <c r="BY1120" s="1399"/>
      <c r="BZ1120" s="1399"/>
      <c r="CA1120" s="1399"/>
      <c r="CB1120" s="1399"/>
      <c r="CC1120" s="1399"/>
      <c r="CD1120" s="1399"/>
      <c r="CE1120" s="1399"/>
      <c r="CF1120" s="1399"/>
      <c r="CG1120" s="1399"/>
      <c r="CH1120" s="1399"/>
      <c r="CI1120" s="1399"/>
      <c r="CJ1120" s="1399"/>
      <c r="CK1120" s="1399"/>
      <c r="CL1120" s="1399"/>
      <c r="CM1120" s="1399"/>
      <c r="CN1120" s="1399"/>
      <c r="CO1120" s="1399"/>
      <c r="CP1120" s="1399"/>
      <c r="CQ1120" s="1399"/>
      <c r="CR1120" s="1399"/>
      <c r="CS1120" s="1399"/>
      <c r="CT1120" s="1399"/>
      <c r="CU1120" s="1399"/>
      <c r="CV1120" s="1399"/>
      <c r="CW1120" s="1399"/>
      <c r="CX1120" s="1399"/>
      <c r="CY1120" s="1399"/>
      <c r="CZ1120" s="1399"/>
      <c r="DA1120" s="1399"/>
      <c r="DB1120" s="1399"/>
      <c r="DC1120" s="1399"/>
      <c r="DD1120" s="1399"/>
      <c r="DE1120" s="1399"/>
      <c r="DF1120" s="1399"/>
      <c r="DG1120" s="1399"/>
      <c r="DH1120" s="1399"/>
      <c r="DI1120" s="1399"/>
      <c r="DJ1120" s="1399"/>
      <c r="DK1120" s="1399"/>
      <c r="DL1120" s="1399"/>
      <c r="DM1120" s="1399"/>
      <c r="DN1120" s="1399"/>
      <c r="DO1120" s="1399"/>
      <c r="DP1120" s="1399"/>
      <c r="DQ1120" s="1399"/>
      <c r="DR1120" s="1399"/>
      <c r="DS1120" s="1399"/>
      <c r="DT1120" s="1399"/>
      <c r="DU1120" s="1399"/>
    </row>
    <row r="1121" spans="1:125">
      <c r="A1121" s="1414"/>
      <c r="B1121" s="1414"/>
      <c r="C1121" s="1414"/>
      <c r="D1121" s="1414"/>
      <c r="E1121" s="1414"/>
      <c r="F1121" s="1414"/>
      <c r="G1121" s="1414"/>
      <c r="H1121" s="1414"/>
      <c r="I1121" s="1414"/>
      <c r="J1121" s="1414"/>
      <c r="K1121" s="1414"/>
      <c r="L1121" s="1414"/>
      <c r="M1121" s="1414"/>
      <c r="N1121" s="1414"/>
      <c r="O1121" s="1414"/>
      <c r="P1121" s="1414"/>
      <c r="Q1121" s="1414"/>
      <c r="R1121" s="1414"/>
      <c r="S1121" s="1414"/>
      <c r="T1121" s="1414"/>
      <c r="U1121" s="1414"/>
      <c r="V1121" s="1414"/>
      <c r="W1121" s="1414"/>
      <c r="X1121" s="1414"/>
      <c r="Y1121" s="1414"/>
      <c r="Z1121" s="1414"/>
      <c r="AA1121" s="1414"/>
      <c r="AB1121" s="1414"/>
      <c r="AC1121" s="1414"/>
      <c r="AD1121" s="1414"/>
      <c r="AE1121" s="1414"/>
      <c r="AF1121" s="1414"/>
      <c r="AG1121" s="1414"/>
      <c r="AH1121" s="1414"/>
      <c r="AI1121" s="1414"/>
      <c r="AJ1121" s="1414"/>
      <c r="AK1121" s="1414"/>
      <c r="AL1121" s="1414"/>
      <c r="AM1121" s="1414"/>
      <c r="AN1121" s="1414"/>
      <c r="AO1121" s="1414"/>
      <c r="AP1121" s="1414"/>
      <c r="AQ1121" s="1414"/>
      <c r="AR1121" s="1414"/>
      <c r="AS1121" s="1414"/>
      <c r="AT1121" s="1414"/>
      <c r="AU1121" s="1414"/>
      <c r="AV1121" s="1414"/>
      <c r="AW1121" s="1414"/>
      <c r="AX1121" s="1414"/>
      <c r="AY1121" s="1399"/>
      <c r="AZ1121" s="1399"/>
      <c r="BA1121" s="1399"/>
      <c r="BB1121" s="1399"/>
      <c r="BC1121" s="1399"/>
      <c r="BD1121" s="1399"/>
      <c r="BE1121" s="1414"/>
      <c r="BF1121" s="1399"/>
      <c r="BG1121" s="1399"/>
      <c r="BH1121" s="1399"/>
      <c r="BI1121" s="1399"/>
      <c r="BJ1121" s="1399"/>
      <c r="BK1121" s="1399"/>
      <c r="BL1121" s="1399"/>
      <c r="BM1121" s="1399"/>
      <c r="BN1121" s="1399"/>
      <c r="BO1121" s="1399"/>
      <c r="BP1121" s="1399"/>
      <c r="BQ1121" s="1399"/>
      <c r="BR1121" s="1399"/>
      <c r="BS1121" s="1399"/>
      <c r="BT1121" s="1399"/>
      <c r="BU1121" s="1399"/>
      <c r="BV1121" s="1399"/>
      <c r="BW1121" s="1399"/>
      <c r="BX1121" s="1399"/>
      <c r="BY1121" s="1399"/>
      <c r="BZ1121" s="1399"/>
      <c r="CA1121" s="1399"/>
      <c r="CB1121" s="1399"/>
      <c r="CC1121" s="1399"/>
      <c r="CD1121" s="1399"/>
      <c r="CE1121" s="1399"/>
      <c r="CF1121" s="1399"/>
      <c r="CG1121" s="1399"/>
      <c r="CH1121" s="1399"/>
      <c r="CI1121" s="1399"/>
      <c r="CJ1121" s="1399"/>
      <c r="CK1121" s="1399"/>
      <c r="CL1121" s="1399"/>
      <c r="CM1121" s="1399"/>
      <c r="CN1121" s="1399"/>
      <c r="CO1121" s="1399"/>
      <c r="CP1121" s="1399"/>
      <c r="CQ1121" s="1399"/>
      <c r="CR1121" s="1399"/>
      <c r="CS1121" s="1399"/>
      <c r="CT1121" s="1399"/>
      <c r="CU1121" s="1399"/>
      <c r="CV1121" s="1399"/>
      <c r="CW1121" s="1399"/>
      <c r="CX1121" s="1399"/>
      <c r="CY1121" s="1399"/>
      <c r="CZ1121" s="1399"/>
      <c r="DA1121" s="1399"/>
      <c r="DB1121" s="1399"/>
      <c r="DC1121" s="1399"/>
      <c r="DD1121" s="1399"/>
      <c r="DE1121" s="1399"/>
      <c r="DF1121" s="1399"/>
      <c r="DG1121" s="1399"/>
      <c r="DH1121" s="1399"/>
      <c r="DI1121" s="1399"/>
      <c r="DJ1121" s="1399"/>
      <c r="DK1121" s="1399"/>
      <c r="DL1121" s="1399"/>
      <c r="DM1121" s="1399"/>
      <c r="DN1121" s="1399"/>
      <c r="DO1121" s="1399"/>
      <c r="DP1121" s="1399"/>
      <c r="DQ1121" s="1399"/>
      <c r="DR1121" s="1399"/>
      <c r="DS1121" s="1399"/>
      <c r="DT1121" s="1399"/>
      <c r="DU1121" s="1399"/>
    </row>
    <row r="1122" spans="1:125">
      <c r="A1122" s="1414"/>
      <c r="B1122" s="1414"/>
      <c r="C1122" s="1414"/>
      <c r="D1122" s="1414"/>
      <c r="E1122" s="1414"/>
      <c r="F1122" s="1414"/>
      <c r="G1122" s="1414"/>
      <c r="H1122" s="1414"/>
      <c r="I1122" s="1414"/>
      <c r="J1122" s="1414"/>
      <c r="K1122" s="1414"/>
      <c r="L1122" s="1414"/>
      <c r="M1122" s="1414"/>
      <c r="N1122" s="1414"/>
      <c r="O1122" s="1414"/>
      <c r="P1122" s="1414"/>
      <c r="Q1122" s="1414"/>
      <c r="R1122" s="1414"/>
      <c r="S1122" s="1414"/>
      <c r="T1122" s="1414"/>
      <c r="U1122" s="1414"/>
      <c r="V1122" s="1414"/>
      <c r="W1122" s="1414"/>
      <c r="X1122" s="1414"/>
      <c r="Y1122" s="1414"/>
      <c r="Z1122" s="1414"/>
      <c r="AA1122" s="1414"/>
      <c r="AB1122" s="1414"/>
      <c r="AC1122" s="1414"/>
      <c r="AD1122" s="1414"/>
      <c r="AE1122" s="1414"/>
      <c r="AF1122" s="1414"/>
      <c r="AG1122" s="1414"/>
      <c r="AH1122" s="1414"/>
      <c r="AI1122" s="1414"/>
      <c r="AJ1122" s="1414"/>
      <c r="AK1122" s="1414"/>
      <c r="AL1122" s="1414"/>
      <c r="AM1122" s="1414"/>
      <c r="AN1122" s="1414"/>
      <c r="AO1122" s="1414"/>
      <c r="AP1122" s="1414"/>
      <c r="AQ1122" s="1414"/>
      <c r="AR1122" s="1414"/>
      <c r="AS1122" s="1414"/>
      <c r="AT1122" s="1414"/>
      <c r="AU1122" s="1414"/>
      <c r="AV1122" s="1414"/>
      <c r="AW1122" s="1414"/>
      <c r="AX1122" s="1414"/>
      <c r="AY1122" s="1399"/>
      <c r="AZ1122" s="1399"/>
      <c r="BA1122" s="1399"/>
      <c r="BB1122" s="1399"/>
      <c r="BC1122" s="1399"/>
      <c r="BD1122" s="1399"/>
      <c r="BE1122" s="1414"/>
      <c r="BF1122" s="1399"/>
      <c r="BG1122" s="1399"/>
      <c r="BH1122" s="1399"/>
      <c r="BI1122" s="1399"/>
      <c r="BJ1122" s="1399"/>
      <c r="BK1122" s="1399"/>
      <c r="BL1122" s="1399"/>
      <c r="BM1122" s="1399"/>
      <c r="BN1122" s="1399"/>
      <c r="BO1122" s="1399"/>
      <c r="BP1122" s="1399"/>
      <c r="BQ1122" s="1399"/>
      <c r="BR1122" s="1399"/>
      <c r="BS1122" s="1399"/>
      <c r="BT1122" s="1399"/>
      <c r="BU1122" s="1399"/>
      <c r="BV1122" s="1399"/>
      <c r="BW1122" s="1399"/>
      <c r="BX1122" s="1399"/>
      <c r="BY1122" s="1399"/>
      <c r="BZ1122" s="1399"/>
      <c r="CA1122" s="1399"/>
      <c r="CB1122" s="1399"/>
      <c r="CC1122" s="1399"/>
      <c r="CD1122" s="1399"/>
      <c r="CE1122" s="1399"/>
      <c r="CF1122" s="1399"/>
      <c r="CG1122" s="1399"/>
      <c r="CH1122" s="1399"/>
      <c r="CI1122" s="1399"/>
      <c r="CJ1122" s="1399"/>
      <c r="CK1122" s="1399"/>
      <c r="CL1122" s="1399"/>
      <c r="CM1122" s="1399"/>
      <c r="CN1122" s="1399"/>
      <c r="CO1122" s="1399"/>
      <c r="CP1122" s="1399"/>
      <c r="CQ1122" s="1399"/>
      <c r="CR1122" s="1399"/>
      <c r="CS1122" s="1399"/>
      <c r="CT1122" s="1399"/>
      <c r="CU1122" s="1399"/>
      <c r="CV1122" s="1399"/>
      <c r="CW1122" s="1399"/>
      <c r="CX1122" s="1399"/>
      <c r="CY1122" s="1399"/>
      <c r="CZ1122" s="1399"/>
      <c r="DA1122" s="1399"/>
      <c r="DB1122" s="1399"/>
      <c r="DC1122" s="1399"/>
      <c r="DD1122" s="1399"/>
      <c r="DE1122" s="1399"/>
      <c r="DF1122" s="1399"/>
      <c r="DG1122" s="1399"/>
      <c r="DH1122" s="1399"/>
      <c r="DI1122" s="1399"/>
      <c r="DJ1122" s="1399"/>
      <c r="DK1122" s="1399"/>
      <c r="DL1122" s="1399"/>
      <c r="DM1122" s="1399"/>
      <c r="DN1122" s="1399"/>
      <c r="DO1122" s="1399"/>
      <c r="DP1122" s="1399"/>
      <c r="DQ1122" s="1399"/>
      <c r="DR1122" s="1399"/>
      <c r="DS1122" s="1399"/>
      <c r="DT1122" s="1399"/>
      <c r="DU1122" s="1399"/>
    </row>
    <row r="1123" spans="1:125">
      <c r="A1123" s="1414"/>
      <c r="B1123" s="1414"/>
      <c r="C1123" s="1414"/>
      <c r="D1123" s="1414"/>
      <c r="E1123" s="1414"/>
      <c r="F1123" s="1414"/>
      <c r="G1123" s="1414"/>
      <c r="H1123" s="1414"/>
      <c r="I1123" s="1414"/>
      <c r="J1123" s="1414"/>
      <c r="K1123" s="1414"/>
      <c r="L1123" s="1414"/>
      <c r="M1123" s="1414"/>
      <c r="N1123" s="1414"/>
      <c r="O1123" s="1414"/>
      <c r="P1123" s="1414"/>
      <c r="Q1123" s="1414"/>
      <c r="R1123" s="1414"/>
      <c r="S1123" s="1414"/>
      <c r="T1123" s="1414"/>
      <c r="U1123" s="1414"/>
      <c r="V1123" s="1414"/>
      <c r="W1123" s="1414"/>
      <c r="X1123" s="1414"/>
      <c r="Y1123" s="1414"/>
      <c r="Z1123" s="1414"/>
      <c r="AA1123" s="1414"/>
      <c r="AB1123" s="1414"/>
      <c r="AC1123" s="1414"/>
      <c r="AD1123" s="1414"/>
      <c r="AE1123" s="1414"/>
      <c r="AF1123" s="1414"/>
      <c r="AG1123" s="1414"/>
      <c r="AH1123" s="1414"/>
      <c r="AI1123" s="1414"/>
      <c r="AJ1123" s="1414"/>
      <c r="AK1123" s="1414"/>
      <c r="AL1123" s="1414"/>
      <c r="AM1123" s="1414"/>
      <c r="AN1123" s="1414"/>
      <c r="AO1123" s="1414"/>
      <c r="AP1123" s="1414"/>
      <c r="AQ1123" s="1414"/>
      <c r="AR1123" s="1414"/>
      <c r="AS1123" s="1414"/>
      <c r="AT1123" s="1414"/>
      <c r="AU1123" s="1414"/>
      <c r="AV1123" s="1414"/>
      <c r="AW1123" s="1414"/>
      <c r="AX1123" s="1414"/>
      <c r="AY1123" s="1399"/>
      <c r="AZ1123" s="1399"/>
      <c r="BA1123" s="1399"/>
      <c r="BB1123" s="1399"/>
      <c r="BC1123" s="1399"/>
      <c r="BD1123" s="1399"/>
      <c r="BE1123" s="1414"/>
      <c r="BF1123" s="1399"/>
      <c r="BG1123" s="1399"/>
      <c r="BH1123" s="1399"/>
      <c r="BI1123" s="1399"/>
      <c r="BJ1123" s="1399"/>
      <c r="BK1123" s="1399"/>
      <c r="BL1123" s="1399"/>
      <c r="BM1123" s="1399"/>
      <c r="BN1123" s="1399"/>
      <c r="BO1123" s="1399"/>
      <c r="BP1123" s="1399"/>
      <c r="BQ1123" s="1399"/>
      <c r="BR1123" s="1399"/>
      <c r="BS1123" s="1399"/>
      <c r="BT1123" s="1399"/>
      <c r="BU1123" s="1399"/>
      <c r="BV1123" s="1399"/>
      <c r="BW1123" s="1399"/>
      <c r="BX1123" s="1399"/>
      <c r="BY1123" s="1399"/>
      <c r="BZ1123" s="1399"/>
      <c r="CA1123" s="1399"/>
      <c r="CB1123" s="1399"/>
      <c r="CC1123" s="1399"/>
      <c r="CD1123" s="1399"/>
      <c r="CE1123" s="1399"/>
      <c r="CF1123" s="1399"/>
      <c r="CG1123" s="1399"/>
      <c r="CH1123" s="1399"/>
      <c r="CI1123" s="1399"/>
      <c r="CJ1123" s="1399"/>
      <c r="CK1123" s="1399"/>
      <c r="CL1123" s="1399"/>
      <c r="CM1123" s="1399"/>
      <c r="CN1123" s="1399"/>
      <c r="CO1123" s="1399"/>
      <c r="CP1123" s="1399"/>
      <c r="CQ1123" s="1399"/>
      <c r="CR1123" s="1399"/>
      <c r="CS1123" s="1399"/>
      <c r="CT1123" s="1399"/>
      <c r="CU1123" s="1399"/>
      <c r="CV1123" s="1399"/>
      <c r="CW1123" s="1399"/>
      <c r="CX1123" s="1399"/>
      <c r="CY1123" s="1399"/>
      <c r="CZ1123" s="1399"/>
      <c r="DA1123" s="1399"/>
      <c r="DB1123" s="1399"/>
      <c r="DC1123" s="1399"/>
      <c r="DD1123" s="1399"/>
      <c r="DE1123" s="1399"/>
      <c r="DF1123" s="1399"/>
      <c r="DG1123" s="1399"/>
      <c r="DH1123" s="1399"/>
      <c r="DI1123" s="1399"/>
      <c r="DJ1123" s="1399"/>
      <c r="DK1123" s="1399"/>
      <c r="DL1123" s="1399"/>
      <c r="DM1123" s="1399"/>
      <c r="DN1123" s="1399"/>
      <c r="DO1123" s="1399"/>
      <c r="DP1123" s="1399"/>
      <c r="DQ1123" s="1399"/>
      <c r="DR1123" s="1399"/>
      <c r="DS1123" s="1399"/>
      <c r="DT1123" s="1399"/>
      <c r="DU1123" s="1399"/>
    </row>
    <row r="1124" spans="1:125">
      <c r="A1124" s="1414"/>
      <c r="B1124" s="1414"/>
      <c r="C1124" s="1414"/>
      <c r="D1124" s="1414"/>
      <c r="E1124" s="1414"/>
      <c r="F1124" s="1414"/>
      <c r="G1124" s="1414"/>
      <c r="H1124" s="1414"/>
      <c r="I1124" s="1414"/>
      <c r="J1124" s="1414"/>
      <c r="K1124" s="1414"/>
      <c r="L1124" s="1414"/>
      <c r="M1124" s="1414"/>
      <c r="N1124" s="1414"/>
      <c r="O1124" s="1414"/>
      <c r="P1124" s="1414"/>
      <c r="Q1124" s="1414"/>
      <c r="R1124" s="1414"/>
      <c r="S1124" s="1414"/>
      <c r="T1124" s="1414"/>
      <c r="U1124" s="1414"/>
      <c r="V1124" s="1414"/>
      <c r="W1124" s="1414"/>
      <c r="X1124" s="1414"/>
      <c r="Y1124" s="1414"/>
      <c r="Z1124" s="1414"/>
      <c r="AA1124" s="1414"/>
      <c r="AB1124" s="1414"/>
      <c r="AC1124" s="1414"/>
      <c r="AD1124" s="1414"/>
      <c r="AE1124" s="1414"/>
      <c r="AF1124" s="1414"/>
      <c r="AG1124" s="1414"/>
      <c r="AH1124" s="1414"/>
      <c r="AI1124" s="1414"/>
      <c r="AJ1124" s="1414"/>
      <c r="AK1124" s="1414"/>
      <c r="AL1124" s="1414"/>
      <c r="AM1124" s="1414"/>
      <c r="AN1124" s="1414"/>
      <c r="AO1124" s="1414"/>
      <c r="AP1124" s="1414"/>
      <c r="AQ1124" s="1414"/>
      <c r="AR1124" s="1414"/>
      <c r="AS1124" s="1414"/>
      <c r="AT1124" s="1414"/>
      <c r="AU1124" s="1414"/>
      <c r="AV1124" s="1414"/>
      <c r="AW1124" s="1414"/>
      <c r="AX1124" s="1414"/>
      <c r="AY1124" s="1399"/>
      <c r="AZ1124" s="1399"/>
      <c r="BA1124" s="1399"/>
      <c r="BB1124" s="1399"/>
      <c r="BC1124" s="1399"/>
      <c r="BD1124" s="1399"/>
      <c r="BE1124" s="1414"/>
      <c r="BF1124" s="1399"/>
      <c r="BG1124" s="1399"/>
      <c r="BH1124" s="1399"/>
      <c r="BI1124" s="1399"/>
      <c r="BJ1124" s="1399"/>
      <c r="BK1124" s="1399"/>
      <c r="BL1124" s="1399"/>
      <c r="BM1124" s="1399"/>
      <c r="BN1124" s="1399"/>
      <c r="BO1124" s="1399"/>
      <c r="BP1124" s="1399"/>
      <c r="BQ1124" s="1399"/>
      <c r="BR1124" s="1399"/>
      <c r="BS1124" s="1399"/>
      <c r="BT1124" s="1399"/>
      <c r="BU1124" s="1399"/>
      <c r="BV1124" s="1399"/>
      <c r="BW1124" s="1399"/>
      <c r="BX1124" s="1399"/>
      <c r="BY1124" s="1399"/>
      <c r="BZ1124" s="1399"/>
      <c r="CA1124" s="1399"/>
      <c r="CB1124" s="1399"/>
      <c r="CC1124" s="1399"/>
      <c r="CD1124" s="1399"/>
      <c r="CE1124" s="1399"/>
      <c r="CF1124" s="1399"/>
      <c r="CG1124" s="1399"/>
      <c r="CH1124" s="1399"/>
      <c r="CI1124" s="1399"/>
      <c r="CJ1124" s="1399"/>
      <c r="CK1124" s="1399"/>
      <c r="CL1124" s="1399"/>
      <c r="CM1124" s="1399"/>
      <c r="CN1124" s="1399"/>
      <c r="CO1124" s="1399"/>
      <c r="CP1124" s="1399"/>
      <c r="CQ1124" s="1399"/>
      <c r="CR1124" s="1399"/>
      <c r="CS1124" s="1399"/>
      <c r="CT1124" s="1399"/>
      <c r="CU1124" s="1399"/>
      <c r="CV1124" s="1399"/>
      <c r="CW1124" s="1399"/>
      <c r="CX1124" s="1399"/>
      <c r="CY1124" s="1399"/>
      <c r="CZ1124" s="1399"/>
      <c r="DA1124" s="1399"/>
      <c r="DB1124" s="1399"/>
      <c r="DC1124" s="1399"/>
      <c r="DD1124" s="1399"/>
      <c r="DE1124" s="1399"/>
      <c r="DF1124" s="1399"/>
      <c r="DG1124" s="1399"/>
      <c r="DH1124" s="1399"/>
      <c r="DI1124" s="1399"/>
      <c r="DJ1124" s="1399"/>
      <c r="DK1124" s="1399"/>
      <c r="DL1124" s="1399"/>
      <c r="DM1124" s="1399"/>
      <c r="DN1124" s="1399"/>
      <c r="DO1124" s="1399"/>
      <c r="DP1124" s="1399"/>
      <c r="DQ1124" s="1399"/>
      <c r="DR1124" s="1399"/>
      <c r="DS1124" s="1399"/>
      <c r="DT1124" s="1399"/>
      <c r="DU1124" s="1399"/>
    </row>
    <row r="1125" spans="1:125">
      <c r="A1125" s="1414"/>
      <c r="B1125" s="1414"/>
      <c r="C1125" s="1414"/>
      <c r="D1125" s="1414"/>
      <c r="E1125" s="1414"/>
      <c r="F1125" s="1414"/>
      <c r="G1125" s="1414"/>
      <c r="H1125" s="1414"/>
      <c r="I1125" s="1414"/>
      <c r="J1125" s="1414"/>
      <c r="K1125" s="1414"/>
      <c r="L1125" s="1414"/>
      <c r="M1125" s="1414"/>
      <c r="N1125" s="1414"/>
      <c r="O1125" s="1414"/>
      <c r="P1125" s="1414"/>
      <c r="Q1125" s="1414"/>
      <c r="R1125" s="1414"/>
      <c r="S1125" s="1414"/>
      <c r="T1125" s="1414"/>
      <c r="U1125" s="1414"/>
      <c r="V1125" s="1414"/>
      <c r="W1125" s="1414"/>
      <c r="X1125" s="1414"/>
      <c r="Y1125" s="1414"/>
      <c r="Z1125" s="1414"/>
      <c r="AA1125" s="1414"/>
      <c r="AB1125" s="1414"/>
      <c r="AC1125" s="1414"/>
      <c r="AD1125" s="1414"/>
      <c r="AE1125" s="1414"/>
      <c r="AF1125" s="1414"/>
      <c r="AG1125" s="1414"/>
      <c r="AH1125" s="1414"/>
      <c r="AI1125" s="1414"/>
      <c r="AJ1125" s="1414"/>
      <c r="AK1125" s="1414"/>
      <c r="AL1125" s="1414"/>
      <c r="AM1125" s="1414"/>
      <c r="AN1125" s="1414"/>
      <c r="AO1125" s="1414"/>
      <c r="AP1125" s="1414"/>
      <c r="AQ1125" s="1414"/>
      <c r="AR1125" s="1414"/>
      <c r="AS1125" s="1414"/>
      <c r="AT1125" s="1414"/>
      <c r="AU1125" s="1414"/>
      <c r="AV1125" s="1414"/>
      <c r="AW1125" s="1414"/>
      <c r="AX1125" s="1414"/>
      <c r="AY1125" s="1399"/>
      <c r="AZ1125" s="1399"/>
      <c r="BA1125" s="1399"/>
      <c r="BB1125" s="1399"/>
      <c r="BC1125" s="1399"/>
      <c r="BD1125" s="1399"/>
      <c r="BE1125" s="1414"/>
      <c r="BF1125" s="1399"/>
      <c r="BG1125" s="1399"/>
      <c r="BH1125" s="1399"/>
      <c r="BI1125" s="1399"/>
      <c r="BJ1125" s="1399"/>
      <c r="BK1125" s="1399"/>
      <c r="BL1125" s="1399"/>
      <c r="BM1125" s="1399"/>
      <c r="BN1125" s="1399"/>
      <c r="BO1125" s="1399"/>
      <c r="BP1125" s="1399"/>
      <c r="BQ1125" s="1399"/>
      <c r="BR1125" s="1399"/>
      <c r="BS1125" s="1399"/>
      <c r="BT1125" s="1399"/>
      <c r="BU1125" s="1399"/>
      <c r="BV1125" s="1399"/>
      <c r="BW1125" s="1399"/>
      <c r="BX1125" s="1399"/>
      <c r="BY1125" s="1399"/>
      <c r="BZ1125" s="1399"/>
      <c r="CA1125" s="1399"/>
      <c r="CB1125" s="1399"/>
      <c r="CC1125" s="1399"/>
      <c r="CD1125" s="1399"/>
      <c r="CE1125" s="1399"/>
      <c r="CF1125" s="1399"/>
      <c r="CG1125" s="1399"/>
      <c r="CH1125" s="1399"/>
      <c r="CI1125" s="1399"/>
      <c r="CJ1125" s="1399"/>
      <c r="CK1125" s="1399"/>
      <c r="CL1125" s="1399"/>
      <c r="CM1125" s="1399"/>
      <c r="CN1125" s="1399"/>
      <c r="CO1125" s="1399"/>
      <c r="CP1125" s="1399"/>
      <c r="CQ1125" s="1399"/>
      <c r="CR1125" s="1399"/>
      <c r="CS1125" s="1399"/>
      <c r="CT1125" s="1399"/>
      <c r="CU1125" s="1399"/>
      <c r="CV1125" s="1399"/>
      <c r="CW1125" s="1399"/>
      <c r="CX1125" s="1399"/>
      <c r="CY1125" s="1399"/>
      <c r="CZ1125" s="1399"/>
      <c r="DA1125" s="1399"/>
      <c r="DB1125" s="1399"/>
      <c r="DC1125" s="1399"/>
      <c r="DD1125" s="1399"/>
      <c r="DE1125" s="1399"/>
      <c r="DF1125" s="1399"/>
      <c r="DG1125" s="1399"/>
      <c r="DH1125" s="1399"/>
      <c r="DI1125" s="1399"/>
      <c r="DJ1125" s="1399"/>
      <c r="DK1125" s="1399"/>
      <c r="DL1125" s="1399"/>
      <c r="DM1125" s="1399"/>
      <c r="DN1125" s="1399"/>
      <c r="DO1125" s="1399"/>
      <c r="DP1125" s="1399"/>
      <c r="DQ1125" s="1399"/>
      <c r="DR1125" s="1399"/>
      <c r="DS1125" s="1399"/>
      <c r="DT1125" s="1399"/>
      <c r="DU1125" s="1399"/>
    </row>
    <row r="1126" spans="1:125">
      <c r="A1126" s="1414"/>
      <c r="B1126" s="1414"/>
      <c r="C1126" s="1414"/>
      <c r="D1126" s="1414"/>
      <c r="E1126" s="1414"/>
      <c r="F1126" s="1414"/>
      <c r="G1126" s="1414"/>
      <c r="H1126" s="1414"/>
      <c r="I1126" s="1414"/>
      <c r="J1126" s="1414"/>
      <c r="K1126" s="1414"/>
      <c r="L1126" s="1414"/>
      <c r="M1126" s="1414"/>
      <c r="N1126" s="1414"/>
      <c r="O1126" s="1414"/>
      <c r="P1126" s="1414"/>
      <c r="Q1126" s="1414"/>
      <c r="R1126" s="1414"/>
      <c r="S1126" s="1414"/>
      <c r="T1126" s="1414"/>
      <c r="U1126" s="1414"/>
      <c r="V1126" s="1414"/>
      <c r="W1126" s="1414"/>
      <c r="X1126" s="1414"/>
      <c r="Y1126" s="1414"/>
      <c r="Z1126" s="1414"/>
      <c r="AA1126" s="1414"/>
      <c r="AB1126" s="1414"/>
      <c r="AC1126" s="1414"/>
      <c r="AD1126" s="1414"/>
      <c r="AE1126" s="1414"/>
      <c r="AF1126" s="1414"/>
      <c r="AG1126" s="1414"/>
      <c r="AH1126" s="1414"/>
      <c r="AI1126" s="1414"/>
      <c r="AJ1126" s="1414"/>
      <c r="AK1126" s="1414"/>
      <c r="AL1126" s="1414"/>
      <c r="AM1126" s="1414"/>
      <c r="AN1126" s="1414"/>
      <c r="AO1126" s="1414"/>
      <c r="AP1126" s="1414"/>
      <c r="AQ1126" s="1414"/>
      <c r="AR1126" s="1414"/>
      <c r="AS1126" s="1414"/>
      <c r="AT1126" s="1414"/>
      <c r="AU1126" s="1414"/>
      <c r="AV1126" s="1414"/>
      <c r="AW1126" s="1414"/>
      <c r="AX1126" s="1414"/>
      <c r="AY1126" s="1399"/>
      <c r="AZ1126" s="1399"/>
      <c r="BA1126" s="1399"/>
      <c r="BB1126" s="1399"/>
      <c r="BC1126" s="1399"/>
      <c r="BD1126" s="1399"/>
      <c r="BE1126" s="1414"/>
      <c r="BF1126" s="1399"/>
      <c r="BG1126" s="1399"/>
      <c r="BH1126" s="1399"/>
      <c r="BI1126" s="1399"/>
      <c r="BJ1126" s="1399"/>
      <c r="BK1126" s="1399"/>
      <c r="BL1126" s="1399"/>
      <c r="BM1126" s="1399"/>
      <c r="BN1126" s="1399"/>
      <c r="BO1126" s="1399"/>
      <c r="BP1126" s="1399"/>
      <c r="BQ1126" s="1399"/>
      <c r="BR1126" s="1399"/>
      <c r="BS1126" s="1399"/>
      <c r="BT1126" s="1399"/>
      <c r="BU1126" s="1399"/>
      <c r="BV1126" s="1399"/>
      <c r="BW1126" s="1399"/>
      <c r="BX1126" s="1399"/>
      <c r="BY1126" s="1399"/>
      <c r="BZ1126" s="1399"/>
      <c r="CA1126" s="1399"/>
      <c r="CB1126" s="1399"/>
      <c r="CC1126" s="1399"/>
      <c r="CD1126" s="1399"/>
      <c r="CE1126" s="1399"/>
      <c r="CF1126" s="1399"/>
      <c r="CG1126" s="1399"/>
      <c r="CH1126" s="1399"/>
      <c r="CI1126" s="1399"/>
      <c r="CJ1126" s="1399"/>
      <c r="CK1126" s="1399"/>
      <c r="CL1126" s="1399"/>
      <c r="CM1126" s="1399"/>
      <c r="CN1126" s="1399"/>
      <c r="CO1126" s="1399"/>
      <c r="CP1126" s="1399"/>
      <c r="CQ1126" s="1399"/>
      <c r="CR1126" s="1399"/>
      <c r="CS1126" s="1399"/>
      <c r="CT1126" s="1399"/>
      <c r="CU1126" s="1399"/>
      <c r="CV1126" s="1399"/>
      <c r="CW1126" s="1399"/>
      <c r="CX1126" s="1399"/>
      <c r="CY1126" s="1399"/>
      <c r="CZ1126" s="1399"/>
      <c r="DA1126" s="1399"/>
      <c r="DB1126" s="1399"/>
      <c r="DC1126" s="1399"/>
      <c r="DD1126" s="1399"/>
      <c r="DE1126" s="1399"/>
      <c r="DF1126" s="1399"/>
      <c r="DG1126" s="1399"/>
      <c r="DH1126" s="1399"/>
      <c r="DI1126" s="1399"/>
      <c r="DJ1126" s="1399"/>
      <c r="DK1126" s="1399"/>
      <c r="DL1126" s="1399"/>
      <c r="DM1126" s="1399"/>
      <c r="DN1126" s="1399"/>
      <c r="DO1126" s="1399"/>
      <c r="DP1126" s="1399"/>
      <c r="DQ1126" s="1399"/>
      <c r="DR1126" s="1399"/>
      <c r="DS1126" s="1399"/>
      <c r="DT1126" s="1399"/>
      <c r="DU1126" s="1399"/>
    </row>
    <row r="1127" spans="1:125">
      <c r="A1127" s="1414"/>
      <c r="B1127" s="1414"/>
      <c r="C1127" s="1414"/>
      <c r="D1127" s="1414"/>
      <c r="E1127" s="1414"/>
      <c r="F1127" s="1414"/>
      <c r="G1127" s="1414"/>
      <c r="H1127" s="1414"/>
      <c r="I1127" s="1414"/>
      <c r="J1127" s="1414"/>
      <c r="K1127" s="1414"/>
      <c r="L1127" s="1414"/>
      <c r="M1127" s="1414"/>
      <c r="N1127" s="1414"/>
      <c r="O1127" s="1414"/>
      <c r="P1127" s="1414"/>
      <c r="Q1127" s="1414"/>
      <c r="R1127" s="1414"/>
      <c r="S1127" s="1414"/>
      <c r="T1127" s="1414"/>
      <c r="U1127" s="1414"/>
      <c r="V1127" s="1414"/>
      <c r="W1127" s="1414"/>
      <c r="X1127" s="1414"/>
      <c r="Y1127" s="1414"/>
      <c r="Z1127" s="1414"/>
      <c r="AA1127" s="1414"/>
      <c r="AB1127" s="1414"/>
      <c r="AC1127" s="1414"/>
      <c r="AD1127" s="1414"/>
      <c r="AE1127" s="1414"/>
      <c r="AF1127" s="1414"/>
      <c r="AG1127" s="1414"/>
      <c r="AH1127" s="1414"/>
      <c r="AI1127" s="1414"/>
      <c r="AJ1127" s="1414"/>
      <c r="AK1127" s="1414"/>
      <c r="AL1127" s="1414"/>
      <c r="AM1127" s="1414"/>
      <c r="AN1127" s="1414"/>
      <c r="AO1127" s="1414"/>
      <c r="AP1127" s="1414"/>
      <c r="AQ1127" s="1414"/>
      <c r="AR1127" s="1414"/>
      <c r="AS1127" s="1414"/>
      <c r="AT1127" s="1414"/>
      <c r="AU1127" s="1414"/>
      <c r="AV1127" s="1414"/>
      <c r="AW1127" s="1414"/>
      <c r="AX1127" s="1414"/>
      <c r="AY1127" s="1399"/>
      <c r="AZ1127" s="1399"/>
      <c r="BA1127" s="1399"/>
      <c r="BB1127" s="1399"/>
      <c r="BC1127" s="1399"/>
      <c r="BD1127" s="1399"/>
      <c r="BE1127" s="1414"/>
      <c r="BF1127" s="1399"/>
      <c r="BG1127" s="1399"/>
      <c r="BH1127" s="1399"/>
      <c r="BI1127" s="1399"/>
      <c r="BJ1127" s="1399"/>
      <c r="BK1127" s="1399"/>
      <c r="BL1127" s="1399"/>
      <c r="BM1127" s="1399"/>
      <c r="BN1127" s="1399"/>
      <c r="BO1127" s="1399"/>
      <c r="BP1127" s="1399"/>
      <c r="BQ1127" s="1399"/>
      <c r="BR1127" s="1399"/>
      <c r="BS1127" s="1399"/>
      <c r="BT1127" s="1399"/>
      <c r="BU1127" s="1399"/>
      <c r="BV1127" s="1399"/>
      <c r="BW1127" s="1399"/>
      <c r="BX1127" s="1399"/>
      <c r="BY1127" s="1399"/>
      <c r="BZ1127" s="1399"/>
      <c r="CA1127" s="1399"/>
      <c r="CB1127" s="1399"/>
      <c r="CC1127" s="1399"/>
      <c r="CD1127" s="1399"/>
      <c r="CE1127" s="1399"/>
      <c r="CF1127" s="1399"/>
      <c r="CG1127" s="1399"/>
      <c r="CH1127" s="1399"/>
      <c r="CI1127" s="1399"/>
      <c r="CJ1127" s="1399"/>
      <c r="CK1127" s="1399"/>
      <c r="CL1127" s="1399"/>
      <c r="CM1127" s="1399"/>
      <c r="CN1127" s="1399"/>
      <c r="CO1127" s="1399"/>
      <c r="CP1127" s="1399"/>
      <c r="CQ1127" s="1399"/>
      <c r="CR1127" s="1399"/>
      <c r="CS1127" s="1399"/>
      <c r="CT1127" s="1399"/>
      <c r="CU1127" s="1399"/>
      <c r="CV1127" s="1399"/>
      <c r="CW1127" s="1399"/>
      <c r="CX1127" s="1399"/>
      <c r="CY1127" s="1399"/>
      <c r="CZ1127" s="1399"/>
      <c r="DA1127" s="1399"/>
      <c r="DB1127" s="1399"/>
      <c r="DC1127" s="1399"/>
      <c r="DD1127" s="1399"/>
      <c r="DE1127" s="1399"/>
      <c r="DF1127" s="1399"/>
      <c r="DG1127" s="1399"/>
      <c r="DH1127" s="1399"/>
      <c r="DI1127" s="1399"/>
      <c r="DJ1127" s="1399"/>
      <c r="DK1127" s="1399"/>
      <c r="DL1127" s="1399"/>
      <c r="DM1127" s="1399"/>
      <c r="DN1127" s="1399"/>
      <c r="DO1127" s="1399"/>
      <c r="DP1127" s="1399"/>
      <c r="DQ1127" s="1399"/>
      <c r="DR1127" s="1399"/>
      <c r="DS1127" s="1399"/>
      <c r="DT1127" s="1399"/>
      <c r="DU1127" s="1399"/>
    </row>
    <row r="1128" spans="1:125">
      <c r="A1128" s="1414"/>
      <c r="B1128" s="1414"/>
      <c r="C1128" s="1414"/>
      <c r="D1128" s="1414"/>
      <c r="E1128" s="1414"/>
      <c r="F1128" s="1414"/>
      <c r="G1128" s="1414"/>
      <c r="H1128" s="1414"/>
      <c r="I1128" s="1414"/>
      <c r="J1128" s="1414"/>
      <c r="K1128" s="1414"/>
      <c r="L1128" s="1414"/>
      <c r="M1128" s="1414"/>
      <c r="N1128" s="1414"/>
      <c r="O1128" s="1414"/>
      <c r="P1128" s="1414"/>
      <c r="Q1128" s="1414"/>
      <c r="R1128" s="1414"/>
      <c r="S1128" s="1414"/>
      <c r="T1128" s="1414"/>
      <c r="U1128" s="1414"/>
      <c r="V1128" s="1414"/>
      <c r="W1128" s="1414"/>
      <c r="X1128" s="1414"/>
      <c r="Y1128" s="1414"/>
      <c r="Z1128" s="1414"/>
      <c r="AA1128" s="1414"/>
      <c r="AB1128" s="1414"/>
      <c r="AC1128" s="1414"/>
      <c r="AD1128" s="1414"/>
      <c r="AE1128" s="1414"/>
      <c r="AF1128" s="1414"/>
      <c r="AG1128" s="1414"/>
      <c r="AH1128" s="1414"/>
      <c r="AI1128" s="1414"/>
      <c r="AJ1128" s="1414"/>
      <c r="AK1128" s="1414"/>
      <c r="AL1128" s="1414"/>
      <c r="AM1128" s="1414"/>
      <c r="AN1128" s="1414"/>
      <c r="AO1128" s="1414"/>
      <c r="AP1128" s="1414"/>
      <c r="AQ1128" s="1414"/>
      <c r="AR1128" s="1414"/>
      <c r="AS1128" s="1414"/>
      <c r="AT1128" s="1414"/>
      <c r="AU1128" s="1414"/>
      <c r="AV1128" s="1414"/>
      <c r="AW1128" s="1414"/>
      <c r="AX1128" s="1414"/>
      <c r="AY1128" s="1399"/>
      <c r="AZ1128" s="1399"/>
      <c r="BA1128" s="1399"/>
      <c r="BB1128" s="1399"/>
      <c r="BC1128" s="1399"/>
      <c r="BD1128" s="1399"/>
      <c r="BE1128" s="1414"/>
      <c r="BF1128" s="1399"/>
      <c r="BG1128" s="1399"/>
      <c r="BH1128" s="1399"/>
      <c r="BI1128" s="1399"/>
      <c r="BJ1128" s="1399"/>
      <c r="BK1128" s="1399"/>
      <c r="BL1128" s="1399"/>
      <c r="BM1128" s="1399"/>
      <c r="BN1128" s="1399"/>
      <c r="BO1128" s="1399"/>
      <c r="BP1128" s="1399"/>
      <c r="BQ1128" s="1399"/>
      <c r="BR1128" s="1399"/>
      <c r="BS1128" s="1399"/>
      <c r="BT1128" s="1399"/>
      <c r="BU1128" s="1399"/>
      <c r="BV1128" s="1399"/>
      <c r="BW1128" s="1399"/>
      <c r="BX1128" s="1399"/>
      <c r="BY1128" s="1399"/>
      <c r="BZ1128" s="1399"/>
      <c r="CA1128" s="1399"/>
      <c r="CB1128" s="1399"/>
      <c r="CC1128" s="1399"/>
      <c r="CD1128" s="1399"/>
      <c r="CE1128" s="1399"/>
      <c r="CF1128" s="1399"/>
      <c r="CG1128" s="1399"/>
      <c r="CH1128" s="1399"/>
      <c r="CI1128" s="1399"/>
      <c r="CJ1128" s="1399"/>
      <c r="CK1128" s="1399"/>
      <c r="CL1128" s="1399"/>
      <c r="CM1128" s="1399"/>
      <c r="CN1128" s="1399"/>
      <c r="CO1128" s="1399"/>
      <c r="CP1128" s="1399"/>
      <c r="CQ1128" s="1399"/>
      <c r="CR1128" s="1399"/>
      <c r="CS1128" s="1399"/>
      <c r="CT1128" s="1399"/>
      <c r="CU1128" s="1399"/>
      <c r="CV1128" s="1399"/>
      <c r="CW1128" s="1399"/>
      <c r="CX1128" s="1399"/>
      <c r="CY1128" s="1399"/>
      <c r="CZ1128" s="1399"/>
      <c r="DA1128" s="1399"/>
      <c r="DB1128" s="1399"/>
      <c r="DC1128" s="1399"/>
      <c r="DD1128" s="1399"/>
      <c r="DE1128" s="1399"/>
      <c r="DF1128" s="1399"/>
      <c r="DG1128" s="1399"/>
      <c r="DH1128" s="1399"/>
      <c r="DI1128" s="1399"/>
      <c r="DJ1128" s="1399"/>
      <c r="DK1128" s="1399"/>
      <c r="DL1128" s="1399"/>
      <c r="DM1128" s="1399"/>
      <c r="DN1128" s="1399"/>
      <c r="DO1128" s="1399"/>
      <c r="DP1128" s="1399"/>
      <c r="DQ1128" s="1399"/>
      <c r="DR1128" s="1399"/>
      <c r="DS1128" s="1399"/>
      <c r="DT1128" s="1399"/>
      <c r="DU1128" s="1399"/>
    </row>
    <row r="1129" spans="1:125">
      <c r="A1129" s="1414"/>
      <c r="B1129" s="1414"/>
      <c r="C1129" s="1414"/>
      <c r="D1129" s="1414"/>
      <c r="E1129" s="1414"/>
      <c r="F1129" s="1414"/>
      <c r="G1129" s="1414"/>
      <c r="H1129" s="1414"/>
      <c r="I1129" s="1414"/>
      <c r="J1129" s="1414"/>
      <c r="K1129" s="1414"/>
      <c r="L1129" s="1414"/>
      <c r="M1129" s="1414"/>
      <c r="N1129" s="1414"/>
      <c r="O1129" s="1414"/>
      <c r="P1129" s="1414"/>
      <c r="Q1129" s="1414"/>
      <c r="R1129" s="1414"/>
      <c r="S1129" s="1414"/>
      <c r="T1129" s="1414"/>
      <c r="U1129" s="1414"/>
      <c r="V1129" s="1414"/>
      <c r="W1129" s="1414"/>
      <c r="X1129" s="1414"/>
      <c r="Y1129" s="1414"/>
      <c r="Z1129" s="1414"/>
      <c r="AA1129" s="1414"/>
      <c r="AB1129" s="1414"/>
      <c r="AC1129" s="1414"/>
      <c r="AD1129" s="1414"/>
      <c r="AE1129" s="1414"/>
      <c r="AF1129" s="1414"/>
      <c r="AG1129" s="1414"/>
      <c r="AH1129" s="1414"/>
      <c r="AI1129" s="1414"/>
      <c r="AJ1129" s="1414"/>
      <c r="AK1129" s="1414"/>
      <c r="AL1129" s="1414"/>
      <c r="AM1129" s="1414"/>
      <c r="AN1129" s="1414"/>
      <c r="AO1129" s="1414"/>
      <c r="AP1129" s="1414"/>
      <c r="AQ1129" s="1414"/>
      <c r="AR1129" s="1414"/>
      <c r="AS1129" s="1414"/>
      <c r="AT1129" s="1414"/>
      <c r="AU1129" s="1414"/>
      <c r="AV1129" s="1414"/>
      <c r="AW1129" s="1414"/>
      <c r="AX1129" s="1414"/>
      <c r="AY1129" s="1399"/>
      <c r="AZ1129" s="1399"/>
      <c r="BA1129" s="1399"/>
      <c r="BB1129" s="1399"/>
      <c r="BC1129" s="1399"/>
      <c r="BD1129" s="1399"/>
      <c r="BE1129" s="1414"/>
      <c r="BF1129" s="1399"/>
      <c r="BG1129" s="1399"/>
      <c r="BH1129" s="1399"/>
      <c r="BI1129" s="1399"/>
      <c r="BJ1129" s="1399"/>
      <c r="BK1129" s="1399"/>
      <c r="BL1129" s="1399"/>
      <c r="BM1129" s="1399"/>
      <c r="BN1129" s="1399"/>
      <c r="BO1129" s="1399"/>
      <c r="BP1129" s="1399"/>
      <c r="BQ1129" s="1399"/>
      <c r="BR1129" s="1399"/>
      <c r="BS1129" s="1399"/>
      <c r="BT1129" s="1399"/>
      <c r="BU1129" s="1399"/>
      <c r="BV1129" s="1399"/>
      <c r="BW1129" s="1399"/>
      <c r="BX1129" s="1399"/>
      <c r="BY1129" s="1399"/>
      <c r="BZ1129" s="1399"/>
      <c r="CA1129" s="1399"/>
      <c r="CB1129" s="1399"/>
      <c r="CC1129" s="1399"/>
      <c r="CD1129" s="1399"/>
      <c r="CE1129" s="1399"/>
      <c r="CF1129" s="1399"/>
      <c r="CG1129" s="1399"/>
      <c r="CH1129" s="1399"/>
      <c r="CI1129" s="1399"/>
      <c r="CJ1129" s="1399"/>
      <c r="CK1129" s="1399"/>
      <c r="CL1129" s="1399"/>
      <c r="CM1129" s="1399"/>
      <c r="CN1129" s="1399"/>
      <c r="CO1129" s="1399"/>
      <c r="CP1129" s="1399"/>
      <c r="CQ1129" s="1399"/>
      <c r="CR1129" s="1399"/>
      <c r="CS1129" s="1399"/>
      <c r="CT1129" s="1399"/>
      <c r="CU1129" s="1399"/>
      <c r="CV1129" s="1399"/>
      <c r="CW1129" s="1399"/>
      <c r="CX1129" s="1399"/>
      <c r="CY1129" s="1399"/>
      <c r="CZ1129" s="1399"/>
      <c r="DA1129" s="1399"/>
      <c r="DB1129" s="1399"/>
      <c r="DC1129" s="1399"/>
      <c r="DD1129" s="1399"/>
      <c r="DE1129" s="1399"/>
      <c r="DF1129" s="1399"/>
      <c r="DG1129" s="1399"/>
      <c r="DH1129" s="1399"/>
      <c r="DI1129" s="1399"/>
      <c r="DJ1129" s="1399"/>
      <c r="DK1129" s="1399"/>
      <c r="DL1129" s="1399"/>
      <c r="DM1129" s="1399"/>
      <c r="DN1129" s="1399"/>
      <c r="DO1129" s="1399"/>
      <c r="DP1129" s="1399"/>
      <c r="DQ1129" s="1399"/>
      <c r="DR1129" s="1399"/>
      <c r="DS1129" s="1399"/>
      <c r="DT1129" s="1399"/>
      <c r="DU1129" s="1399"/>
    </row>
    <row r="1130" spans="1:125">
      <c r="A1130" s="1414"/>
      <c r="B1130" s="1414"/>
      <c r="C1130" s="1414"/>
      <c r="D1130" s="1414"/>
      <c r="E1130" s="1414"/>
      <c r="F1130" s="1414"/>
      <c r="G1130" s="1414"/>
      <c r="H1130" s="1414"/>
      <c r="I1130" s="1414"/>
      <c r="J1130" s="1414"/>
      <c r="K1130" s="1414"/>
      <c r="L1130" s="1414"/>
      <c r="M1130" s="1414"/>
      <c r="N1130" s="1414"/>
      <c r="O1130" s="1414"/>
      <c r="P1130" s="1414"/>
      <c r="Q1130" s="1414"/>
      <c r="R1130" s="1414"/>
      <c r="S1130" s="1414"/>
      <c r="T1130" s="1414"/>
      <c r="U1130" s="1414"/>
      <c r="V1130" s="1414"/>
      <c r="W1130" s="1414"/>
      <c r="X1130" s="1414"/>
      <c r="Y1130" s="1414"/>
      <c r="Z1130" s="1414"/>
      <c r="AA1130" s="1414"/>
      <c r="AB1130" s="1414"/>
      <c r="AC1130" s="1414"/>
      <c r="AD1130" s="1414"/>
      <c r="AE1130" s="1414"/>
      <c r="AF1130" s="1414"/>
      <c r="AG1130" s="1414"/>
      <c r="AH1130" s="1414"/>
      <c r="AI1130" s="1414"/>
      <c r="AJ1130" s="1414"/>
      <c r="AK1130" s="1414"/>
      <c r="AL1130" s="1414"/>
      <c r="AM1130" s="1414"/>
      <c r="AN1130" s="1414"/>
      <c r="AO1130" s="1414"/>
      <c r="AP1130" s="1414"/>
      <c r="AQ1130" s="1414"/>
      <c r="AR1130" s="1414"/>
      <c r="AS1130" s="1414"/>
      <c r="AT1130" s="1414"/>
      <c r="AU1130" s="1414"/>
      <c r="AV1130" s="1414"/>
      <c r="AW1130" s="1414"/>
      <c r="AX1130" s="1414"/>
      <c r="AY1130" s="1399"/>
      <c r="AZ1130" s="1399"/>
      <c r="BA1130" s="1399"/>
      <c r="BB1130" s="1399"/>
      <c r="BC1130" s="1399"/>
      <c r="BD1130" s="1399"/>
      <c r="BE1130" s="1414"/>
      <c r="BF1130" s="1399"/>
      <c r="BG1130" s="1399"/>
      <c r="BH1130" s="1399"/>
      <c r="BI1130" s="1399"/>
      <c r="BJ1130" s="1399"/>
      <c r="BK1130" s="1399"/>
      <c r="BL1130" s="1399"/>
      <c r="BM1130" s="1399"/>
      <c r="BN1130" s="1399"/>
      <c r="BO1130" s="1399"/>
      <c r="BP1130" s="1399"/>
      <c r="BQ1130" s="1399"/>
      <c r="BR1130" s="1399"/>
      <c r="BS1130" s="1399"/>
      <c r="BT1130" s="1399"/>
      <c r="BU1130" s="1399"/>
      <c r="BV1130" s="1399"/>
      <c r="BW1130" s="1399"/>
      <c r="BX1130" s="1399"/>
      <c r="BY1130" s="1399"/>
      <c r="BZ1130" s="1399"/>
      <c r="CA1130" s="1399"/>
      <c r="CB1130" s="1399"/>
      <c r="CC1130" s="1399"/>
      <c r="CD1130" s="1399"/>
      <c r="CE1130" s="1399"/>
      <c r="CF1130" s="1399"/>
      <c r="CG1130" s="1399"/>
      <c r="CH1130" s="1399"/>
      <c r="CI1130" s="1399"/>
      <c r="CJ1130" s="1399"/>
      <c r="CK1130" s="1399"/>
      <c r="CL1130" s="1399"/>
      <c r="CM1130" s="1399"/>
      <c r="CN1130" s="1399"/>
      <c r="CO1130" s="1399"/>
      <c r="CP1130" s="1399"/>
      <c r="CQ1130" s="1399"/>
      <c r="CR1130" s="1399"/>
      <c r="CS1130" s="1399"/>
      <c r="CT1130" s="1399"/>
      <c r="CU1130" s="1399"/>
      <c r="CV1130" s="1399"/>
      <c r="CW1130" s="1399"/>
      <c r="CX1130" s="1399"/>
      <c r="CY1130" s="1399"/>
      <c r="CZ1130" s="1399"/>
      <c r="DA1130" s="1399"/>
      <c r="DB1130" s="1399"/>
      <c r="DC1130" s="1399"/>
      <c r="DD1130" s="1399"/>
      <c r="DE1130" s="1399"/>
      <c r="DF1130" s="1399"/>
      <c r="DG1130" s="1399"/>
      <c r="DH1130" s="1399"/>
      <c r="DI1130" s="1399"/>
      <c r="DJ1130" s="1399"/>
      <c r="DK1130" s="1399"/>
      <c r="DL1130" s="1399"/>
      <c r="DM1130" s="1399"/>
      <c r="DN1130" s="1399"/>
      <c r="DO1130" s="1399"/>
      <c r="DP1130" s="1399"/>
      <c r="DQ1130" s="1399"/>
      <c r="DR1130" s="1399"/>
      <c r="DS1130" s="1399"/>
      <c r="DT1130" s="1399"/>
      <c r="DU1130" s="1399"/>
    </row>
    <row r="1131" spans="1:125">
      <c r="A1131" s="1414"/>
      <c r="B1131" s="1414"/>
      <c r="C1131" s="1414"/>
      <c r="D1131" s="1414"/>
      <c r="E1131" s="1414"/>
      <c r="F1131" s="1414"/>
      <c r="G1131" s="1414"/>
      <c r="H1131" s="1414"/>
      <c r="I1131" s="1414"/>
      <c r="J1131" s="1414"/>
      <c r="K1131" s="1414"/>
      <c r="L1131" s="1414"/>
      <c r="M1131" s="1414"/>
      <c r="N1131" s="1414"/>
      <c r="O1131" s="1414"/>
      <c r="P1131" s="1414"/>
      <c r="Q1131" s="1414"/>
      <c r="R1131" s="1414"/>
      <c r="S1131" s="1414"/>
      <c r="T1131" s="1414"/>
      <c r="U1131" s="1414"/>
      <c r="V1131" s="1414"/>
      <c r="W1131" s="1414"/>
      <c r="X1131" s="1414"/>
      <c r="Y1131" s="1414"/>
      <c r="Z1131" s="1414"/>
      <c r="AA1131" s="1414"/>
      <c r="AB1131" s="1414"/>
      <c r="AC1131" s="1414"/>
      <c r="AD1131" s="1414"/>
      <c r="AE1131" s="1414"/>
      <c r="AF1131" s="1414"/>
      <c r="AG1131" s="1414"/>
      <c r="AH1131" s="1414"/>
      <c r="AI1131" s="1414"/>
      <c r="AJ1131" s="1414"/>
      <c r="AK1131" s="1414"/>
      <c r="AL1131" s="1414"/>
      <c r="AM1131" s="1414"/>
      <c r="AN1131" s="1414"/>
      <c r="AO1131" s="1414"/>
      <c r="AP1131" s="1414"/>
      <c r="AQ1131" s="1414"/>
      <c r="AR1131" s="1414"/>
      <c r="AS1131" s="1414"/>
      <c r="AT1131" s="1414"/>
      <c r="AU1131" s="1414"/>
      <c r="AV1131" s="1414"/>
      <c r="AW1131" s="1414"/>
      <c r="AX1131" s="1414"/>
      <c r="AY1131" s="1399"/>
      <c r="AZ1131" s="1399"/>
      <c r="BA1131" s="1399"/>
      <c r="BB1131" s="1399"/>
      <c r="BC1131" s="1399"/>
      <c r="BD1131" s="1399"/>
      <c r="BE1131" s="1414"/>
      <c r="BF1131" s="1399"/>
      <c r="BG1131" s="1399"/>
      <c r="BH1131" s="1399"/>
      <c r="BI1131" s="1399"/>
      <c r="BJ1131" s="1399"/>
      <c r="BK1131" s="1399"/>
      <c r="BL1131" s="1399"/>
      <c r="BM1131" s="1399"/>
      <c r="BN1131" s="1399"/>
      <c r="BO1131" s="1399"/>
      <c r="BP1131" s="1399"/>
      <c r="BQ1131" s="1399"/>
      <c r="BR1131" s="1399"/>
      <c r="BS1131" s="1399"/>
      <c r="BT1131" s="1399"/>
      <c r="BU1131" s="1399"/>
      <c r="BV1131" s="1399"/>
      <c r="BW1131" s="1399"/>
      <c r="BX1131" s="1399"/>
      <c r="BY1131" s="1399"/>
      <c r="BZ1131" s="1399"/>
      <c r="CA1131" s="1399"/>
      <c r="CB1131" s="1399"/>
      <c r="CC1131" s="1399"/>
      <c r="CD1131" s="1399"/>
      <c r="CE1131" s="1399"/>
      <c r="CF1131" s="1399"/>
      <c r="CG1131" s="1399"/>
      <c r="CH1131" s="1399"/>
      <c r="CI1131" s="1399"/>
      <c r="CJ1131" s="1399"/>
      <c r="CK1131" s="1399"/>
      <c r="CL1131" s="1399"/>
      <c r="CM1131" s="1399"/>
      <c r="CN1131" s="1399"/>
      <c r="CO1131" s="1399"/>
      <c r="CP1131" s="1399"/>
      <c r="CQ1131" s="1399"/>
      <c r="CR1131" s="1399"/>
      <c r="CS1131" s="1399"/>
      <c r="CT1131" s="1399"/>
      <c r="CU1131" s="1399"/>
      <c r="CV1131" s="1399"/>
      <c r="CW1131" s="1399"/>
      <c r="CX1131" s="1399"/>
      <c r="CY1131" s="1399"/>
      <c r="CZ1131" s="1399"/>
      <c r="DA1131" s="1399"/>
      <c r="DB1131" s="1399"/>
      <c r="DC1131" s="1399"/>
      <c r="DD1131" s="1399"/>
      <c r="DE1131" s="1399"/>
      <c r="DF1131" s="1399"/>
      <c r="DG1131" s="1399"/>
      <c r="DH1131" s="1399"/>
      <c r="DI1131" s="1399"/>
      <c r="DJ1131" s="1399"/>
      <c r="DK1131" s="1399"/>
      <c r="DL1131" s="1399"/>
      <c r="DM1131" s="1399"/>
      <c r="DN1131" s="1399"/>
      <c r="DO1131" s="1399"/>
      <c r="DP1131" s="1399"/>
      <c r="DQ1131" s="1399"/>
      <c r="DR1131" s="1399"/>
      <c r="DS1131" s="1399"/>
      <c r="DT1131" s="1399"/>
      <c r="DU1131" s="1399"/>
    </row>
    <row r="1132" spans="1:125">
      <c r="A1132" s="1414"/>
      <c r="B1132" s="1414"/>
      <c r="C1132" s="1414"/>
      <c r="D1132" s="1414"/>
      <c r="E1132" s="1414"/>
      <c r="F1132" s="1414"/>
      <c r="G1132" s="1414"/>
      <c r="H1132" s="1414"/>
      <c r="I1132" s="1414"/>
      <c r="J1132" s="1414"/>
      <c r="K1132" s="1414"/>
      <c r="L1132" s="1414"/>
      <c r="M1132" s="1414"/>
      <c r="N1132" s="1414"/>
      <c r="O1132" s="1414"/>
      <c r="P1132" s="1414"/>
      <c r="Q1132" s="1414"/>
      <c r="R1132" s="1414"/>
      <c r="S1132" s="1414"/>
      <c r="T1132" s="1414"/>
      <c r="U1132" s="1414"/>
      <c r="V1132" s="1414"/>
      <c r="W1132" s="1414"/>
      <c r="X1132" s="1414"/>
      <c r="Y1132" s="1414"/>
      <c r="Z1132" s="1414"/>
      <c r="AA1132" s="1414"/>
      <c r="AB1132" s="1414"/>
      <c r="AC1132" s="1414"/>
      <c r="AD1132" s="1414"/>
      <c r="AE1132" s="1414"/>
      <c r="AF1132" s="1414"/>
      <c r="AG1132" s="1414"/>
      <c r="AH1132" s="1414"/>
      <c r="AI1132" s="1414"/>
      <c r="AJ1132" s="1414"/>
      <c r="AK1132" s="1414"/>
      <c r="AL1132" s="1414"/>
      <c r="AM1132" s="1414"/>
      <c r="AN1132" s="1414"/>
      <c r="AO1132" s="1414"/>
      <c r="AP1132" s="1414"/>
      <c r="AQ1132" s="1414"/>
      <c r="AR1132" s="1414"/>
      <c r="AS1132" s="1414"/>
      <c r="AT1132" s="1414"/>
      <c r="AU1132" s="1414"/>
      <c r="AV1132" s="1414"/>
      <c r="AW1132" s="1414"/>
      <c r="AX1132" s="1414"/>
      <c r="AY1132" s="1399"/>
      <c r="AZ1132" s="1399"/>
      <c r="BA1132" s="1399"/>
      <c r="BB1132" s="1399"/>
      <c r="BC1132" s="1399"/>
      <c r="BD1132" s="1399"/>
      <c r="BE1132" s="1414"/>
      <c r="BF1132" s="1399"/>
      <c r="BG1132" s="1399"/>
      <c r="BH1132" s="1399"/>
      <c r="BI1132" s="1399"/>
      <c r="BJ1132" s="1399"/>
      <c r="BK1132" s="1399"/>
      <c r="BL1132" s="1399"/>
      <c r="BM1132" s="1399"/>
      <c r="BN1132" s="1399"/>
      <c r="BO1132" s="1399"/>
      <c r="BP1132" s="1399"/>
      <c r="BQ1132" s="1399"/>
      <c r="BR1132" s="1399"/>
      <c r="BS1132" s="1399"/>
      <c r="BT1132" s="1399"/>
      <c r="BU1132" s="1399"/>
      <c r="BV1132" s="1399"/>
      <c r="BW1132" s="1399"/>
      <c r="BX1132" s="1399"/>
      <c r="BY1132" s="1399"/>
      <c r="BZ1132" s="1399"/>
      <c r="CA1132" s="1399"/>
      <c r="CB1132" s="1399"/>
      <c r="CC1132" s="1399"/>
      <c r="CD1132" s="1399"/>
      <c r="CE1132" s="1399"/>
      <c r="CF1132" s="1399"/>
      <c r="CG1132" s="1399"/>
      <c r="CH1132" s="1399"/>
      <c r="CI1132" s="1399"/>
      <c r="CJ1132" s="1399"/>
      <c r="CK1132" s="1399"/>
      <c r="CL1132" s="1399"/>
      <c r="CM1132" s="1399"/>
      <c r="CN1132" s="1399"/>
      <c r="CO1132" s="1399"/>
      <c r="CP1132" s="1399"/>
      <c r="CQ1132" s="1399"/>
      <c r="CR1132" s="1399"/>
      <c r="CS1132" s="1399"/>
      <c r="CT1132" s="1399"/>
      <c r="CU1132" s="1399"/>
      <c r="CV1132" s="1399"/>
      <c r="CW1132" s="1399"/>
      <c r="CX1132" s="1399"/>
      <c r="CY1132" s="1399"/>
      <c r="CZ1132" s="1399"/>
      <c r="DA1132" s="1399"/>
      <c r="DB1132" s="1399"/>
      <c r="DC1132" s="1399"/>
      <c r="DD1132" s="1399"/>
      <c r="DE1132" s="1399"/>
      <c r="DF1132" s="1399"/>
      <c r="DG1132" s="1399"/>
      <c r="DH1132" s="1399"/>
      <c r="DI1132" s="1399"/>
      <c r="DJ1132" s="1399"/>
      <c r="DK1132" s="1399"/>
      <c r="DL1132" s="1399"/>
      <c r="DM1132" s="1399"/>
      <c r="DN1132" s="1399"/>
      <c r="DO1132" s="1399"/>
      <c r="DP1132" s="1399"/>
      <c r="DQ1132" s="1399"/>
      <c r="DR1132" s="1399"/>
      <c r="DS1132" s="1399"/>
      <c r="DT1132" s="1399"/>
      <c r="DU1132" s="1399"/>
    </row>
    <row r="1133" spans="1:125">
      <c r="A1133" s="1414"/>
      <c r="B1133" s="1414"/>
      <c r="C1133" s="1414"/>
      <c r="D1133" s="1414"/>
      <c r="E1133" s="1414"/>
      <c r="F1133" s="1414"/>
      <c r="G1133" s="1414"/>
      <c r="H1133" s="1414"/>
      <c r="I1133" s="1414"/>
      <c r="J1133" s="1414"/>
      <c r="K1133" s="1414"/>
      <c r="L1133" s="1414"/>
      <c r="M1133" s="1414"/>
      <c r="N1133" s="1414"/>
      <c r="O1133" s="1414"/>
      <c r="P1133" s="1414"/>
      <c r="Q1133" s="1414"/>
      <c r="R1133" s="1414"/>
      <c r="S1133" s="1414"/>
      <c r="T1133" s="1414"/>
      <c r="U1133" s="1414"/>
      <c r="V1133" s="1414"/>
      <c r="W1133" s="1414"/>
      <c r="X1133" s="1414"/>
      <c r="Y1133" s="1414"/>
      <c r="Z1133" s="1414"/>
      <c r="AA1133" s="1414"/>
      <c r="AB1133" s="1414"/>
      <c r="AC1133" s="1414"/>
      <c r="AD1133" s="1414"/>
      <c r="AE1133" s="1414"/>
      <c r="AF1133" s="1414"/>
      <c r="AG1133" s="1414"/>
      <c r="AH1133" s="1414"/>
      <c r="AI1133" s="1414"/>
      <c r="AJ1133" s="1414"/>
      <c r="AK1133" s="1414"/>
      <c r="AL1133" s="1414"/>
      <c r="AM1133" s="1414"/>
      <c r="AN1133" s="1414"/>
      <c r="AO1133" s="1414"/>
      <c r="AP1133" s="1414"/>
      <c r="AQ1133" s="1414"/>
      <c r="AR1133" s="1414"/>
      <c r="AS1133" s="1414"/>
      <c r="AT1133" s="1414"/>
      <c r="AU1133" s="1414"/>
      <c r="AV1133" s="1414"/>
      <c r="AW1133" s="1414"/>
      <c r="AX1133" s="1414"/>
      <c r="AY1133" s="1399"/>
      <c r="AZ1133" s="1399"/>
      <c r="BA1133" s="1399"/>
      <c r="BB1133" s="1399"/>
      <c r="BC1133" s="1399"/>
      <c r="BD1133" s="1399"/>
      <c r="BE1133" s="1414"/>
      <c r="BF1133" s="1399"/>
      <c r="BG1133" s="1399"/>
      <c r="BH1133" s="1399"/>
      <c r="BI1133" s="1399"/>
      <c r="BJ1133" s="1399"/>
      <c r="BK1133" s="1399"/>
      <c r="BL1133" s="1399"/>
      <c r="BM1133" s="1399"/>
      <c r="BN1133" s="1399"/>
      <c r="BO1133" s="1399"/>
      <c r="BP1133" s="1399"/>
      <c r="BQ1133" s="1399"/>
      <c r="BR1133" s="1399"/>
      <c r="BS1133" s="1399"/>
      <c r="BT1133" s="1399"/>
      <c r="BU1133" s="1399"/>
      <c r="BV1133" s="1399"/>
      <c r="BW1133" s="1399"/>
      <c r="BX1133" s="1399"/>
      <c r="BY1133" s="1399"/>
      <c r="BZ1133" s="1399"/>
      <c r="CA1133" s="1399"/>
      <c r="CB1133" s="1399"/>
      <c r="CC1133" s="1399"/>
      <c r="CD1133" s="1399"/>
      <c r="CE1133" s="1399"/>
      <c r="CF1133" s="1399"/>
      <c r="CG1133" s="1399"/>
      <c r="CH1133" s="1399"/>
      <c r="CI1133" s="1399"/>
      <c r="CJ1133" s="1399"/>
      <c r="CK1133" s="1399"/>
      <c r="CL1133" s="1399"/>
      <c r="CM1133" s="1399"/>
      <c r="CN1133" s="1399"/>
      <c r="CO1133" s="1399"/>
      <c r="CP1133" s="1399"/>
      <c r="CQ1133" s="1399"/>
      <c r="CR1133" s="1399"/>
      <c r="CS1133" s="1399"/>
      <c r="CT1133" s="1399"/>
      <c r="CU1133" s="1399"/>
      <c r="CV1133" s="1399"/>
      <c r="CW1133" s="1399"/>
      <c r="CX1133" s="1399"/>
      <c r="CY1133" s="1399"/>
      <c r="CZ1133" s="1399"/>
      <c r="DA1133" s="1399"/>
      <c r="DB1133" s="1399"/>
      <c r="DC1133" s="1399"/>
      <c r="DD1133" s="1399"/>
      <c r="DE1133" s="1399"/>
      <c r="DF1133" s="1399"/>
      <c r="DG1133" s="1399"/>
      <c r="DH1133" s="1399"/>
      <c r="DI1133" s="1399"/>
      <c r="DJ1133" s="1399"/>
      <c r="DK1133" s="1399"/>
      <c r="DL1133" s="1399"/>
      <c r="DM1133" s="1399"/>
      <c r="DN1133" s="1399"/>
      <c r="DO1133" s="1399"/>
      <c r="DP1133" s="1399"/>
      <c r="DQ1133" s="1399"/>
      <c r="DR1133" s="1399"/>
      <c r="DS1133" s="1399"/>
      <c r="DT1133" s="1399"/>
      <c r="DU1133" s="1399"/>
    </row>
    <row r="1134" spans="1:125">
      <c r="A1134" s="1414"/>
      <c r="B1134" s="1414"/>
      <c r="C1134" s="1414"/>
      <c r="D1134" s="1414"/>
      <c r="E1134" s="1414"/>
      <c r="F1134" s="1414"/>
      <c r="G1134" s="1414"/>
      <c r="H1134" s="1414"/>
      <c r="I1134" s="1414"/>
      <c r="J1134" s="1414"/>
      <c r="K1134" s="1414"/>
      <c r="L1134" s="1414"/>
      <c r="M1134" s="1414"/>
      <c r="N1134" s="1414"/>
      <c r="O1134" s="1414"/>
      <c r="P1134" s="1414"/>
      <c r="Q1134" s="1414"/>
      <c r="R1134" s="1414"/>
      <c r="S1134" s="1414"/>
      <c r="T1134" s="1414"/>
      <c r="U1134" s="1414"/>
      <c r="V1134" s="1414"/>
      <c r="W1134" s="1414"/>
      <c r="X1134" s="1414"/>
      <c r="Y1134" s="1414"/>
      <c r="Z1134" s="1414"/>
      <c r="AA1134" s="1414"/>
      <c r="AB1134" s="1414"/>
      <c r="AC1134" s="1414"/>
      <c r="AD1134" s="1414"/>
      <c r="AE1134" s="1414"/>
      <c r="AF1134" s="1414"/>
      <c r="AG1134" s="1414"/>
      <c r="AH1134" s="1414"/>
      <c r="AI1134" s="1414"/>
      <c r="AJ1134" s="1414"/>
      <c r="AK1134" s="1414"/>
      <c r="AL1134" s="1414"/>
      <c r="AM1134" s="1414"/>
      <c r="AN1134" s="1414"/>
      <c r="AO1134" s="1414"/>
      <c r="AP1134" s="1414"/>
      <c r="AQ1134" s="1414"/>
      <c r="AR1134" s="1414"/>
      <c r="AS1134" s="1414"/>
      <c r="AT1134" s="1414"/>
      <c r="AU1134" s="1414"/>
      <c r="AV1134" s="1414"/>
      <c r="AW1134" s="1414"/>
      <c r="AX1134" s="1414"/>
      <c r="AY1134" s="1399"/>
      <c r="AZ1134" s="1399"/>
      <c r="BA1134" s="1399"/>
      <c r="BB1134" s="1399"/>
      <c r="BC1134" s="1399"/>
      <c r="BD1134" s="1399"/>
      <c r="BE1134" s="1414"/>
      <c r="BF1134" s="1399"/>
      <c r="BG1134" s="1399"/>
      <c r="BH1134" s="1399"/>
      <c r="BI1134" s="1399"/>
      <c r="BJ1134" s="1399"/>
      <c r="BK1134" s="1399"/>
      <c r="BL1134" s="1399"/>
      <c r="BM1134" s="1399"/>
      <c r="BN1134" s="1399"/>
      <c r="BO1134" s="1399"/>
      <c r="BP1134" s="1399"/>
      <c r="BQ1134" s="1399"/>
      <c r="BR1134" s="1399"/>
      <c r="BS1134" s="1399"/>
      <c r="BT1134" s="1399"/>
      <c r="BU1134" s="1399"/>
      <c r="BV1134" s="1399"/>
      <c r="BW1134" s="1399"/>
      <c r="BX1134" s="1399"/>
      <c r="BY1134" s="1399"/>
      <c r="BZ1134" s="1399"/>
      <c r="CA1134" s="1399"/>
      <c r="CB1134" s="1399"/>
      <c r="CC1134" s="1399"/>
      <c r="CD1134" s="1399"/>
      <c r="CE1134" s="1399"/>
      <c r="CF1134" s="1399"/>
      <c r="CG1134" s="1399"/>
      <c r="CH1134" s="1399"/>
      <c r="CI1134" s="1399"/>
      <c r="CJ1134" s="1399"/>
      <c r="CK1134" s="1399"/>
      <c r="CL1134" s="1399"/>
      <c r="CM1134" s="1399"/>
      <c r="CN1134" s="1399"/>
      <c r="CO1134" s="1399"/>
      <c r="CP1134" s="1399"/>
      <c r="CQ1134" s="1399"/>
      <c r="CR1134" s="1399"/>
      <c r="CS1134" s="1399"/>
      <c r="CT1134" s="1399"/>
      <c r="CU1134" s="1399"/>
      <c r="CV1134" s="1399"/>
      <c r="CW1134" s="1399"/>
      <c r="CX1134" s="1399"/>
      <c r="CY1134" s="1399"/>
      <c r="CZ1134" s="1399"/>
      <c r="DA1134" s="1399"/>
      <c r="DB1134" s="1399"/>
      <c r="DC1134" s="1399"/>
      <c r="DD1134" s="1399"/>
      <c r="DE1134" s="1399"/>
      <c r="DF1134" s="1399"/>
      <c r="DG1134" s="1399"/>
      <c r="DH1134" s="1399"/>
      <c r="DI1134" s="1399"/>
      <c r="DJ1134" s="1399"/>
      <c r="DK1134" s="1399"/>
      <c r="DL1134" s="1399"/>
      <c r="DM1134" s="1399"/>
      <c r="DN1134" s="1399"/>
      <c r="DO1134" s="1399"/>
      <c r="DP1134" s="1399"/>
      <c r="DQ1134" s="1399"/>
      <c r="DR1134" s="1399"/>
      <c r="DS1134" s="1399"/>
      <c r="DT1134" s="1399"/>
      <c r="DU1134" s="1399"/>
    </row>
    <row r="1135" spans="1:125">
      <c r="A1135" s="1414"/>
      <c r="B1135" s="1414"/>
      <c r="C1135" s="1414"/>
      <c r="D1135" s="1414"/>
      <c r="E1135" s="1414"/>
      <c r="F1135" s="1414"/>
      <c r="G1135" s="1414"/>
      <c r="H1135" s="1414"/>
      <c r="I1135" s="1414"/>
      <c r="J1135" s="1414"/>
      <c r="K1135" s="1414"/>
      <c r="L1135" s="1414"/>
      <c r="M1135" s="1414"/>
      <c r="N1135" s="1414"/>
      <c r="O1135" s="1414"/>
      <c r="P1135" s="1414"/>
      <c r="Q1135" s="1414"/>
      <c r="R1135" s="1414"/>
      <c r="S1135" s="1414"/>
      <c r="T1135" s="1414"/>
      <c r="U1135" s="1414"/>
      <c r="V1135" s="1414"/>
      <c r="W1135" s="1414"/>
      <c r="X1135" s="1414"/>
      <c r="Y1135" s="1414"/>
      <c r="Z1135" s="1414"/>
      <c r="AA1135" s="1414"/>
      <c r="AB1135" s="1414"/>
      <c r="AC1135" s="1414"/>
      <c r="AD1135" s="1414"/>
      <c r="AE1135" s="1414"/>
      <c r="AF1135" s="1414"/>
      <c r="AG1135" s="1414"/>
      <c r="AH1135" s="1414"/>
      <c r="AI1135" s="1414"/>
      <c r="AJ1135" s="1414"/>
      <c r="AK1135" s="1414"/>
      <c r="AL1135" s="1414"/>
      <c r="AM1135" s="1414"/>
      <c r="AN1135" s="1414"/>
      <c r="AO1135" s="1414"/>
      <c r="AP1135" s="1414"/>
      <c r="AQ1135" s="1414"/>
      <c r="AR1135" s="1414"/>
      <c r="AS1135" s="1414"/>
      <c r="AT1135" s="1414"/>
      <c r="AU1135" s="1414"/>
      <c r="AV1135" s="1414"/>
      <c r="AW1135" s="1414"/>
      <c r="AX1135" s="1414"/>
      <c r="AY1135" s="1399"/>
      <c r="AZ1135" s="1399"/>
      <c r="BA1135" s="1399"/>
      <c r="BB1135" s="1399"/>
      <c r="BC1135" s="1399"/>
      <c r="BD1135" s="1399"/>
      <c r="BE1135" s="1414"/>
      <c r="BF1135" s="1399"/>
      <c r="BG1135" s="1399"/>
      <c r="BH1135" s="1399"/>
      <c r="BI1135" s="1399"/>
      <c r="BJ1135" s="1399"/>
      <c r="BK1135" s="1399"/>
      <c r="BL1135" s="1399"/>
      <c r="BM1135" s="1399"/>
      <c r="BN1135" s="1399"/>
      <c r="BO1135" s="1399"/>
      <c r="BP1135" s="1399"/>
      <c r="BQ1135" s="1399"/>
      <c r="BR1135" s="1399"/>
      <c r="BS1135" s="1399"/>
      <c r="BT1135" s="1399"/>
      <c r="BU1135" s="1399"/>
      <c r="BV1135" s="1399"/>
      <c r="BW1135" s="1399"/>
      <c r="BX1135" s="1399"/>
      <c r="BY1135" s="1399"/>
      <c r="BZ1135" s="1399"/>
      <c r="CA1135" s="1399"/>
      <c r="CB1135" s="1399"/>
      <c r="CC1135" s="1399"/>
      <c r="CD1135" s="1399"/>
      <c r="CE1135" s="1399"/>
      <c r="CF1135" s="1399"/>
      <c r="CG1135" s="1399"/>
      <c r="CH1135" s="1399"/>
      <c r="CI1135" s="1399"/>
      <c r="CJ1135" s="1399"/>
      <c r="CK1135" s="1399"/>
      <c r="CL1135" s="1399"/>
      <c r="CM1135" s="1399"/>
      <c r="CN1135" s="1399"/>
      <c r="CO1135" s="1399"/>
      <c r="CP1135" s="1399"/>
      <c r="CQ1135" s="1399"/>
      <c r="CR1135" s="1399"/>
      <c r="CS1135" s="1399"/>
      <c r="CT1135" s="1399"/>
      <c r="CU1135" s="1399"/>
      <c r="CV1135" s="1399"/>
      <c r="CW1135" s="1399"/>
      <c r="CX1135" s="1399"/>
      <c r="CY1135" s="1399"/>
      <c r="CZ1135" s="1399"/>
      <c r="DA1135" s="1399"/>
      <c r="DB1135" s="1399"/>
      <c r="DC1135" s="1399"/>
      <c r="DD1135" s="1399"/>
      <c r="DE1135" s="1399"/>
      <c r="DF1135" s="1399"/>
      <c r="DG1135" s="1399"/>
      <c r="DH1135" s="1399"/>
      <c r="DI1135" s="1399"/>
      <c r="DJ1135" s="1399"/>
      <c r="DK1135" s="1399"/>
      <c r="DL1135" s="1399"/>
      <c r="DM1135" s="1399"/>
      <c r="DN1135" s="1399"/>
      <c r="DO1135" s="1399"/>
      <c r="DP1135" s="1399"/>
      <c r="DQ1135" s="1399"/>
      <c r="DR1135" s="1399"/>
      <c r="DS1135" s="1399"/>
      <c r="DT1135" s="1399"/>
      <c r="DU1135" s="1399"/>
    </row>
    <row r="1136" spans="1:125">
      <c r="A1136" s="1414"/>
      <c r="B1136" s="1414"/>
      <c r="C1136" s="1414"/>
      <c r="D1136" s="1414"/>
      <c r="E1136" s="1414"/>
      <c r="F1136" s="1414"/>
      <c r="G1136" s="1414"/>
      <c r="H1136" s="1414"/>
      <c r="I1136" s="1414"/>
      <c r="J1136" s="1414"/>
      <c r="K1136" s="1414"/>
      <c r="L1136" s="1414"/>
      <c r="M1136" s="1414"/>
      <c r="N1136" s="1414"/>
      <c r="O1136" s="1414"/>
      <c r="P1136" s="1414"/>
      <c r="Q1136" s="1414"/>
      <c r="R1136" s="1414"/>
      <c r="S1136" s="1414"/>
      <c r="T1136" s="1414"/>
      <c r="U1136" s="1414"/>
      <c r="V1136" s="1414"/>
      <c r="W1136" s="1414"/>
      <c r="X1136" s="1414"/>
      <c r="Y1136" s="1414"/>
      <c r="Z1136" s="1414"/>
      <c r="AA1136" s="1414"/>
      <c r="AB1136" s="1414"/>
      <c r="AC1136" s="1414"/>
      <c r="AD1136" s="1414"/>
      <c r="AE1136" s="1414"/>
      <c r="AF1136" s="1414"/>
      <c r="AG1136" s="1414"/>
      <c r="AH1136" s="1414"/>
      <c r="AI1136" s="1414"/>
      <c r="AJ1136" s="1414"/>
      <c r="AK1136" s="1414"/>
      <c r="AL1136" s="1414"/>
      <c r="AM1136" s="1414"/>
      <c r="AN1136" s="1414"/>
      <c r="AO1136" s="1414"/>
      <c r="AP1136" s="1414"/>
      <c r="AQ1136" s="1414"/>
      <c r="AR1136" s="1414"/>
      <c r="AS1136" s="1414"/>
      <c r="AT1136" s="1414"/>
      <c r="AU1136" s="1414"/>
      <c r="AV1136" s="1414"/>
      <c r="AW1136" s="1414"/>
      <c r="AX1136" s="1414"/>
      <c r="AY1136" s="1399"/>
      <c r="AZ1136" s="1399"/>
      <c r="BA1136" s="1399"/>
      <c r="BB1136" s="1399"/>
      <c r="BC1136" s="1399"/>
      <c r="BD1136" s="1399"/>
      <c r="BE1136" s="1414"/>
      <c r="BF1136" s="1399"/>
      <c r="BG1136" s="1399"/>
      <c r="BH1136" s="1399"/>
      <c r="BI1136" s="1399"/>
      <c r="BJ1136" s="1399"/>
      <c r="BK1136" s="1399"/>
      <c r="BL1136" s="1399"/>
      <c r="BM1136" s="1399"/>
      <c r="BN1136" s="1399"/>
      <c r="BO1136" s="1399"/>
      <c r="BP1136" s="1399"/>
      <c r="BQ1136" s="1399"/>
      <c r="BR1136" s="1399"/>
      <c r="BS1136" s="1399"/>
      <c r="BT1136" s="1399"/>
      <c r="BU1136" s="1399"/>
      <c r="BV1136" s="1399"/>
      <c r="BW1136" s="1399"/>
      <c r="BX1136" s="1399"/>
      <c r="BY1136" s="1399"/>
      <c r="BZ1136" s="1399"/>
      <c r="CA1136" s="1399"/>
      <c r="CB1136" s="1399"/>
      <c r="CC1136" s="1399"/>
      <c r="CD1136" s="1399"/>
      <c r="CE1136" s="1399"/>
      <c r="CF1136" s="1399"/>
      <c r="CG1136" s="1399"/>
      <c r="CH1136" s="1399"/>
      <c r="CI1136" s="1399"/>
      <c r="CJ1136" s="1399"/>
      <c r="CK1136" s="1399"/>
      <c r="CL1136" s="1399"/>
      <c r="CM1136" s="1399"/>
      <c r="CN1136" s="1399"/>
      <c r="CO1136" s="1399"/>
      <c r="CP1136" s="1399"/>
      <c r="CQ1136" s="1399"/>
      <c r="CR1136" s="1399"/>
      <c r="CS1136" s="1399"/>
      <c r="CT1136" s="1399"/>
      <c r="CU1136" s="1399"/>
      <c r="CV1136" s="1399"/>
      <c r="CW1136" s="1399"/>
      <c r="CX1136" s="1399"/>
      <c r="CY1136" s="1399"/>
      <c r="CZ1136" s="1399"/>
      <c r="DA1136" s="1399"/>
      <c r="DB1136" s="1399"/>
      <c r="DC1136" s="1399"/>
      <c r="DD1136" s="1399"/>
      <c r="DE1136" s="1399"/>
      <c r="DF1136" s="1399"/>
      <c r="DG1136" s="1399"/>
      <c r="DH1136" s="1399"/>
      <c r="DI1136" s="1399"/>
      <c r="DJ1136" s="1399"/>
      <c r="DK1136" s="1399"/>
      <c r="DL1136" s="1399"/>
      <c r="DM1136" s="1399"/>
      <c r="DN1136" s="1399"/>
      <c r="DO1136" s="1399"/>
      <c r="DP1136" s="1399"/>
      <c r="DQ1136" s="1399"/>
      <c r="DR1136" s="1399"/>
      <c r="DS1136" s="1399"/>
      <c r="DT1136" s="1399"/>
      <c r="DU1136" s="1399"/>
    </row>
    <row r="1137" spans="1:125">
      <c r="A1137" s="1414"/>
      <c r="B1137" s="1414"/>
      <c r="C1137" s="1414"/>
      <c r="D1137" s="1414"/>
      <c r="E1137" s="1414"/>
      <c r="F1137" s="1414"/>
      <c r="G1137" s="1414"/>
      <c r="H1137" s="1414"/>
      <c r="I1137" s="1414"/>
      <c r="J1137" s="1414"/>
      <c r="K1137" s="1414"/>
      <c r="L1137" s="1414"/>
      <c r="M1137" s="1414"/>
      <c r="N1137" s="1414"/>
      <c r="O1137" s="1414"/>
      <c r="P1137" s="1414"/>
      <c r="Q1137" s="1414"/>
      <c r="R1137" s="1414"/>
      <c r="S1137" s="1414"/>
      <c r="T1137" s="1414"/>
      <c r="U1137" s="1414"/>
      <c r="V1137" s="1414"/>
      <c r="W1137" s="1414"/>
      <c r="X1137" s="1414"/>
      <c r="Y1137" s="1414"/>
      <c r="Z1137" s="1414"/>
      <c r="AA1137" s="1414"/>
      <c r="AB1137" s="1414"/>
      <c r="AC1137" s="1414"/>
      <c r="AD1137" s="1414"/>
      <c r="AE1137" s="1414"/>
      <c r="AF1137" s="1414"/>
      <c r="AG1137" s="1414"/>
      <c r="AH1137" s="1414"/>
      <c r="AI1137" s="1414"/>
      <c r="AJ1137" s="1414"/>
      <c r="AK1137" s="1414"/>
      <c r="AL1137" s="1414"/>
      <c r="AM1137" s="1414"/>
      <c r="AN1137" s="1414"/>
      <c r="AO1137" s="1414"/>
      <c r="AP1137" s="1414"/>
      <c r="AQ1137" s="1414"/>
      <c r="AR1137" s="1414"/>
      <c r="AS1137" s="1414"/>
      <c r="AT1137" s="1414"/>
      <c r="AU1137" s="1414"/>
      <c r="AV1137" s="1414"/>
      <c r="AW1137" s="1414"/>
      <c r="AX1137" s="1414"/>
      <c r="AY1137" s="1399"/>
      <c r="AZ1137" s="1399"/>
      <c r="BA1137" s="1399"/>
      <c r="BB1137" s="1399"/>
      <c r="BC1137" s="1399"/>
      <c r="BD1137" s="1399"/>
      <c r="BE1137" s="1414"/>
      <c r="BF1137" s="1399"/>
      <c r="BG1137" s="1399"/>
      <c r="BH1137" s="1399"/>
      <c r="BI1137" s="1399"/>
      <c r="BJ1137" s="1399"/>
      <c r="BK1137" s="1399"/>
      <c r="BL1137" s="1399"/>
      <c r="BM1137" s="1399"/>
      <c r="BN1137" s="1399"/>
      <c r="BO1137" s="1399"/>
      <c r="BP1137" s="1399"/>
      <c r="BQ1137" s="1399"/>
      <c r="BR1137" s="1399"/>
      <c r="BS1137" s="1399"/>
      <c r="BT1137" s="1399"/>
      <c r="BU1137" s="1399"/>
      <c r="BV1137" s="1399"/>
      <c r="BW1137" s="1399"/>
      <c r="BX1137" s="1399"/>
      <c r="BY1137" s="1399"/>
      <c r="BZ1137" s="1399"/>
      <c r="CA1137" s="1399"/>
      <c r="CB1137" s="1399"/>
      <c r="CC1137" s="1399"/>
      <c r="CD1137" s="1399"/>
      <c r="CE1137" s="1399"/>
      <c r="CF1137" s="1399"/>
      <c r="CG1137" s="1399"/>
      <c r="CH1137" s="1399"/>
      <c r="CI1137" s="1399"/>
      <c r="CJ1137" s="1399"/>
      <c r="CK1137" s="1399"/>
      <c r="CL1137" s="1399"/>
      <c r="CM1137" s="1399"/>
      <c r="CN1137" s="1399"/>
      <c r="CO1137" s="1399"/>
      <c r="CP1137" s="1399"/>
      <c r="CQ1137" s="1399"/>
      <c r="CR1137" s="1399"/>
      <c r="CS1137" s="1399"/>
      <c r="CT1137" s="1399"/>
      <c r="CU1137" s="1399"/>
      <c r="CV1137" s="1399"/>
      <c r="CW1137" s="1399"/>
      <c r="CX1137" s="1399"/>
      <c r="CY1137" s="1399"/>
      <c r="CZ1137" s="1399"/>
      <c r="DA1137" s="1399"/>
      <c r="DB1137" s="1399"/>
      <c r="DC1137" s="1399"/>
      <c r="DD1137" s="1399"/>
      <c r="DE1137" s="1399"/>
      <c r="DF1137" s="1399"/>
      <c r="DG1137" s="1399"/>
      <c r="DH1137" s="1399"/>
      <c r="DI1137" s="1399"/>
      <c r="DJ1137" s="1399"/>
      <c r="DK1137" s="1399"/>
      <c r="DL1137" s="1399"/>
      <c r="DM1137" s="1399"/>
      <c r="DN1137" s="1399"/>
      <c r="DO1137" s="1399"/>
      <c r="DP1137" s="1399"/>
      <c r="DQ1137" s="1399"/>
      <c r="DR1137" s="1399"/>
      <c r="DS1137" s="1399"/>
      <c r="DT1137" s="1399"/>
      <c r="DU1137" s="1399"/>
    </row>
    <row r="1138" spans="1:125">
      <c r="A1138" s="1414"/>
      <c r="B1138" s="1414"/>
      <c r="C1138" s="1414"/>
      <c r="D1138" s="1414"/>
      <c r="E1138" s="1414"/>
      <c r="F1138" s="1414"/>
      <c r="G1138" s="1414"/>
      <c r="H1138" s="1414"/>
      <c r="I1138" s="1414"/>
      <c r="J1138" s="1414"/>
      <c r="K1138" s="1414"/>
      <c r="L1138" s="1414"/>
      <c r="M1138" s="1414"/>
      <c r="N1138" s="1414"/>
      <c r="O1138" s="1414"/>
      <c r="P1138" s="1414"/>
      <c r="Q1138" s="1414"/>
      <c r="R1138" s="1414"/>
      <c r="S1138" s="1414"/>
      <c r="T1138" s="1414"/>
      <c r="U1138" s="1414"/>
      <c r="V1138" s="1414"/>
      <c r="W1138" s="1414"/>
      <c r="X1138" s="1414"/>
      <c r="Y1138" s="1414"/>
      <c r="Z1138" s="1414"/>
      <c r="AA1138" s="1414"/>
      <c r="AB1138" s="1414"/>
      <c r="AC1138" s="1414"/>
      <c r="AD1138" s="1414"/>
      <c r="AE1138" s="1414"/>
      <c r="AF1138" s="1414"/>
      <c r="AG1138" s="1414"/>
      <c r="AH1138" s="1414"/>
      <c r="AI1138" s="1414"/>
      <c r="AJ1138" s="1414"/>
      <c r="AK1138" s="1414"/>
      <c r="AL1138" s="1414"/>
      <c r="AM1138" s="1414"/>
      <c r="AN1138" s="1414"/>
      <c r="AO1138" s="1414"/>
      <c r="AP1138" s="1414"/>
      <c r="AQ1138" s="1414"/>
      <c r="AR1138" s="1414"/>
      <c r="AS1138" s="1414"/>
      <c r="AT1138" s="1414"/>
      <c r="AU1138" s="1414"/>
      <c r="AV1138" s="1414"/>
      <c r="AW1138" s="1414"/>
      <c r="AX1138" s="1414"/>
      <c r="AY1138" s="1399"/>
      <c r="AZ1138" s="1399"/>
      <c r="BA1138" s="1399"/>
      <c r="BB1138" s="1399"/>
      <c r="BC1138" s="1399"/>
      <c r="BD1138" s="1399"/>
      <c r="BE1138" s="1414"/>
      <c r="BF1138" s="1399"/>
      <c r="BG1138" s="1399"/>
      <c r="BH1138" s="1399"/>
      <c r="BI1138" s="1399"/>
      <c r="BJ1138" s="1399"/>
      <c r="BK1138" s="1399"/>
      <c r="BL1138" s="1399"/>
      <c r="BM1138" s="1399"/>
      <c r="BN1138" s="1399"/>
      <c r="BO1138" s="1399"/>
      <c r="BP1138" s="1399"/>
      <c r="BQ1138" s="1399"/>
      <c r="BR1138" s="1399"/>
      <c r="BS1138" s="1399"/>
      <c r="BT1138" s="1399"/>
      <c r="BU1138" s="1399"/>
      <c r="BV1138" s="1399"/>
      <c r="BW1138" s="1399"/>
      <c r="BX1138" s="1399"/>
      <c r="BY1138" s="1399"/>
      <c r="BZ1138" s="1399"/>
      <c r="CA1138" s="1399"/>
      <c r="CB1138" s="1399"/>
      <c r="CC1138" s="1399"/>
      <c r="CD1138" s="1399"/>
      <c r="CE1138" s="1399"/>
      <c r="CF1138" s="1399"/>
      <c r="CG1138" s="1399"/>
      <c r="CH1138" s="1399"/>
      <c r="CI1138" s="1399"/>
      <c r="CJ1138" s="1399"/>
      <c r="CK1138" s="1399"/>
      <c r="CL1138" s="1399"/>
      <c r="CM1138" s="1399"/>
      <c r="CN1138" s="1399"/>
      <c r="CO1138" s="1399"/>
      <c r="CP1138" s="1399"/>
      <c r="CQ1138" s="1399"/>
      <c r="CR1138" s="1399"/>
      <c r="CS1138" s="1399"/>
      <c r="CT1138" s="1399"/>
      <c r="CU1138" s="1399"/>
      <c r="CV1138" s="1399"/>
      <c r="CW1138" s="1399"/>
      <c r="CX1138" s="1399"/>
      <c r="CY1138" s="1399"/>
      <c r="CZ1138" s="1399"/>
      <c r="DA1138" s="1399"/>
      <c r="DB1138" s="1399"/>
      <c r="DC1138" s="1399"/>
      <c r="DD1138" s="1399"/>
      <c r="DE1138" s="1399"/>
      <c r="DF1138" s="1399"/>
      <c r="DG1138" s="1399"/>
      <c r="DH1138" s="1399"/>
      <c r="DI1138" s="1399"/>
      <c r="DJ1138" s="1399"/>
      <c r="DK1138" s="1399"/>
      <c r="DL1138" s="1399"/>
      <c r="DM1138" s="1399"/>
      <c r="DN1138" s="1399"/>
      <c r="DO1138" s="1399"/>
      <c r="DP1138" s="1399"/>
      <c r="DQ1138" s="1399"/>
      <c r="DR1138" s="1399"/>
      <c r="DS1138" s="1399"/>
      <c r="DT1138" s="1399"/>
      <c r="DU1138" s="1399"/>
    </row>
    <row r="1139" spans="1:125">
      <c r="A1139" s="1414"/>
      <c r="B1139" s="1414"/>
      <c r="C1139" s="1414"/>
      <c r="D1139" s="1414"/>
      <c r="E1139" s="1414"/>
      <c r="F1139" s="1414"/>
      <c r="G1139" s="1414"/>
      <c r="H1139" s="1414"/>
      <c r="I1139" s="1414"/>
      <c r="J1139" s="1414"/>
      <c r="K1139" s="1414"/>
      <c r="L1139" s="1414"/>
      <c r="M1139" s="1414"/>
      <c r="N1139" s="1414"/>
      <c r="O1139" s="1414"/>
      <c r="P1139" s="1414"/>
      <c r="Q1139" s="1414"/>
      <c r="R1139" s="1414"/>
      <c r="S1139" s="1414"/>
      <c r="T1139" s="1414"/>
      <c r="U1139" s="1414"/>
      <c r="V1139" s="1414"/>
      <c r="W1139" s="1414"/>
      <c r="X1139" s="1414"/>
      <c r="Y1139" s="1414"/>
      <c r="Z1139" s="1414"/>
      <c r="AA1139" s="1414"/>
      <c r="AB1139" s="1414"/>
      <c r="AC1139" s="1414"/>
      <c r="AD1139" s="1414"/>
      <c r="AE1139" s="1414"/>
      <c r="AF1139" s="1414"/>
      <c r="AG1139" s="1414"/>
      <c r="AH1139" s="1414"/>
      <c r="AI1139" s="1414"/>
      <c r="AJ1139" s="1414"/>
      <c r="AK1139" s="1414"/>
      <c r="AL1139" s="1414"/>
      <c r="AM1139" s="1414"/>
      <c r="AN1139" s="1414"/>
      <c r="AO1139" s="1414"/>
      <c r="AP1139" s="1414"/>
      <c r="AQ1139" s="1414"/>
      <c r="AR1139" s="1414"/>
      <c r="AS1139" s="1414"/>
      <c r="AT1139" s="1414"/>
      <c r="AU1139" s="1414"/>
      <c r="AV1139" s="1414"/>
      <c r="AW1139" s="1414"/>
      <c r="AX1139" s="1414"/>
      <c r="AY1139" s="1399"/>
      <c r="AZ1139" s="1399"/>
      <c r="BA1139" s="1399"/>
      <c r="BB1139" s="1399"/>
      <c r="BC1139" s="1399"/>
      <c r="BD1139" s="1399"/>
      <c r="BE1139" s="1414"/>
      <c r="BF1139" s="1399"/>
      <c r="BG1139" s="1399"/>
      <c r="BH1139" s="1399"/>
      <c r="BI1139" s="1399"/>
      <c r="BJ1139" s="1399"/>
      <c r="BK1139" s="1399"/>
      <c r="BL1139" s="1399"/>
      <c r="BM1139" s="1399"/>
      <c r="BN1139" s="1399"/>
      <c r="BO1139" s="1399"/>
      <c r="BP1139" s="1399"/>
      <c r="BQ1139" s="1399"/>
      <c r="BR1139" s="1399"/>
      <c r="BS1139" s="1399"/>
      <c r="BT1139" s="1399"/>
      <c r="BU1139" s="1399"/>
      <c r="BV1139" s="1399"/>
      <c r="BW1139" s="1399"/>
      <c r="BX1139" s="1399"/>
      <c r="BY1139" s="1399"/>
      <c r="BZ1139" s="1399"/>
      <c r="CA1139" s="1399"/>
      <c r="CB1139" s="1399"/>
      <c r="CC1139" s="1399"/>
      <c r="CD1139" s="1399"/>
      <c r="CE1139" s="1399"/>
      <c r="CF1139" s="1399"/>
      <c r="CG1139" s="1399"/>
      <c r="CH1139" s="1399"/>
      <c r="CI1139" s="1399"/>
      <c r="CJ1139" s="1399"/>
      <c r="CK1139" s="1399"/>
      <c r="CL1139" s="1399"/>
      <c r="CM1139" s="1399"/>
      <c r="CN1139" s="1399"/>
      <c r="CO1139" s="1399"/>
      <c r="CP1139" s="1399"/>
      <c r="CQ1139" s="1399"/>
      <c r="CR1139" s="1399"/>
      <c r="CS1139" s="1399"/>
      <c r="CT1139" s="1399"/>
      <c r="CU1139" s="1399"/>
      <c r="CV1139" s="1399"/>
      <c r="CW1139" s="1399"/>
      <c r="CX1139" s="1399"/>
      <c r="CY1139" s="1399"/>
      <c r="CZ1139" s="1399"/>
      <c r="DA1139" s="1399"/>
      <c r="DB1139" s="1399"/>
      <c r="DC1139" s="1399"/>
      <c r="DD1139" s="1399"/>
      <c r="DE1139" s="1399"/>
      <c r="DF1139" s="1399"/>
      <c r="DG1139" s="1399"/>
      <c r="DH1139" s="1399"/>
      <c r="DI1139" s="1399"/>
      <c r="DJ1139" s="1399"/>
      <c r="DK1139" s="1399"/>
      <c r="DL1139" s="1399"/>
      <c r="DM1139" s="1399"/>
      <c r="DN1139" s="1399"/>
      <c r="DO1139" s="1399"/>
      <c r="DP1139" s="1399"/>
      <c r="DQ1139" s="1399"/>
      <c r="DR1139" s="1399"/>
      <c r="DS1139" s="1399"/>
      <c r="DT1139" s="1399"/>
      <c r="DU1139" s="1399"/>
    </row>
    <row r="1140" spans="1:125">
      <c r="A1140" s="1414"/>
      <c r="B1140" s="1414"/>
      <c r="C1140" s="1414"/>
      <c r="D1140" s="1414"/>
      <c r="E1140" s="1414"/>
      <c r="F1140" s="1414"/>
      <c r="G1140" s="1414"/>
      <c r="H1140" s="1414"/>
      <c r="I1140" s="1414"/>
      <c r="J1140" s="1414"/>
      <c r="K1140" s="1414"/>
      <c r="L1140" s="1414"/>
      <c r="M1140" s="1414"/>
      <c r="N1140" s="1414"/>
      <c r="O1140" s="1414"/>
      <c r="P1140" s="1414"/>
      <c r="Q1140" s="1414"/>
      <c r="R1140" s="1414"/>
      <c r="S1140" s="1414"/>
      <c r="T1140" s="1414"/>
      <c r="U1140" s="1414"/>
      <c r="V1140" s="1414"/>
      <c r="W1140" s="1414"/>
      <c r="X1140" s="1414"/>
      <c r="Y1140" s="1414"/>
      <c r="Z1140" s="1414"/>
      <c r="AA1140" s="1414"/>
      <c r="AB1140" s="1414"/>
      <c r="AC1140" s="1414"/>
      <c r="AD1140" s="1414"/>
      <c r="AE1140" s="1414"/>
      <c r="AF1140" s="1414"/>
      <c r="AG1140" s="1414"/>
      <c r="AH1140" s="1414"/>
      <c r="AI1140" s="1414"/>
      <c r="AJ1140" s="1414"/>
      <c r="AK1140" s="1414"/>
      <c r="AL1140" s="1414"/>
      <c r="AM1140" s="1414"/>
      <c r="AN1140" s="1414"/>
      <c r="AO1140" s="1414"/>
      <c r="AP1140" s="1414"/>
      <c r="AQ1140" s="1414"/>
      <c r="AR1140" s="1414"/>
      <c r="AS1140" s="1414"/>
      <c r="AT1140" s="1414"/>
      <c r="AU1140" s="1414"/>
      <c r="AV1140" s="1414"/>
      <c r="AW1140" s="1414"/>
      <c r="AX1140" s="1414"/>
      <c r="AY1140" s="1399"/>
      <c r="AZ1140" s="1399"/>
      <c r="BA1140" s="1399"/>
      <c r="BB1140" s="1399"/>
      <c r="BC1140" s="1399"/>
      <c r="BD1140" s="1399"/>
      <c r="BE1140" s="1414"/>
      <c r="BF1140" s="1399"/>
      <c r="BG1140" s="1399"/>
      <c r="BH1140" s="1399"/>
      <c r="BI1140" s="1399"/>
      <c r="BJ1140" s="1399"/>
      <c r="BK1140" s="1399"/>
      <c r="BL1140" s="1399"/>
      <c r="BM1140" s="1399"/>
      <c r="BN1140" s="1399"/>
      <c r="BO1140" s="1399"/>
      <c r="BP1140" s="1399"/>
      <c r="BQ1140" s="1399"/>
      <c r="BR1140" s="1399"/>
      <c r="BS1140" s="1399"/>
      <c r="BT1140" s="1399"/>
      <c r="BU1140" s="1399"/>
      <c r="BV1140" s="1399"/>
      <c r="BW1140" s="1399"/>
      <c r="BX1140" s="1399"/>
      <c r="BY1140" s="1399"/>
      <c r="BZ1140" s="1399"/>
      <c r="CA1140" s="1399"/>
      <c r="CB1140" s="1399"/>
      <c r="CC1140" s="1399"/>
      <c r="CD1140" s="1399"/>
      <c r="CE1140" s="1399"/>
      <c r="CF1140" s="1399"/>
      <c r="CG1140" s="1399"/>
      <c r="CH1140" s="1399"/>
      <c r="CI1140" s="1399"/>
      <c r="CJ1140" s="1399"/>
      <c r="CK1140" s="1399"/>
      <c r="CL1140" s="1399"/>
      <c r="CM1140" s="1399"/>
      <c r="CN1140" s="1399"/>
      <c r="CO1140" s="1399"/>
      <c r="CP1140" s="1399"/>
      <c r="CQ1140" s="1399"/>
      <c r="CR1140" s="1399"/>
      <c r="CS1140" s="1399"/>
      <c r="CT1140" s="1399"/>
      <c r="CU1140" s="1399"/>
      <c r="CV1140" s="1399"/>
      <c r="CW1140" s="1399"/>
      <c r="CX1140" s="1399"/>
      <c r="CY1140" s="1399"/>
      <c r="CZ1140" s="1399"/>
      <c r="DA1140" s="1399"/>
      <c r="DB1140" s="1399"/>
      <c r="DC1140" s="1399"/>
      <c r="DD1140" s="1399"/>
      <c r="DE1140" s="1399"/>
      <c r="DF1140" s="1399"/>
      <c r="DG1140" s="1399"/>
      <c r="DH1140" s="1399"/>
      <c r="DI1140" s="1399"/>
      <c r="DJ1140" s="1399"/>
      <c r="DK1140" s="1399"/>
      <c r="DL1140" s="1399"/>
      <c r="DM1140" s="1399"/>
      <c r="DN1140" s="1399"/>
      <c r="DO1140" s="1399"/>
      <c r="DP1140" s="1399"/>
      <c r="DQ1140" s="1399"/>
      <c r="DR1140" s="1399"/>
      <c r="DS1140" s="1399"/>
      <c r="DT1140" s="1399"/>
      <c r="DU1140" s="1399"/>
    </row>
    <row r="1141" spans="1:125">
      <c r="A1141" s="1414"/>
      <c r="B1141" s="1414"/>
      <c r="C1141" s="1414"/>
      <c r="D1141" s="1414"/>
      <c r="E1141" s="1414"/>
      <c r="F1141" s="1414"/>
      <c r="G1141" s="1414"/>
      <c r="H1141" s="1414"/>
      <c r="I1141" s="1414"/>
      <c r="J1141" s="1414"/>
      <c r="K1141" s="1414"/>
      <c r="L1141" s="1414"/>
      <c r="M1141" s="1414"/>
      <c r="N1141" s="1414"/>
      <c r="O1141" s="1414"/>
      <c r="P1141" s="1414"/>
      <c r="Q1141" s="1414"/>
      <c r="R1141" s="1414"/>
      <c r="S1141" s="1414"/>
      <c r="T1141" s="1414"/>
      <c r="U1141" s="1414"/>
      <c r="V1141" s="1414"/>
      <c r="W1141" s="1414"/>
      <c r="X1141" s="1414"/>
      <c r="Y1141" s="1414"/>
      <c r="Z1141" s="1414"/>
      <c r="AA1141" s="1414"/>
      <c r="AB1141" s="1414"/>
      <c r="AC1141" s="1414"/>
      <c r="AD1141" s="1414"/>
      <c r="AE1141" s="1414"/>
      <c r="AF1141" s="1414"/>
      <c r="AG1141" s="1414"/>
      <c r="AH1141" s="1414"/>
      <c r="AI1141" s="1414"/>
      <c r="AJ1141" s="1414"/>
      <c r="AK1141" s="1414"/>
      <c r="AL1141" s="1414"/>
      <c r="AM1141" s="1414"/>
      <c r="AN1141" s="1414"/>
      <c r="AO1141" s="1414"/>
      <c r="AP1141" s="1414"/>
      <c r="AQ1141" s="1414"/>
      <c r="AR1141" s="1414"/>
      <c r="AS1141" s="1414"/>
      <c r="AT1141" s="1414"/>
      <c r="AU1141" s="1414"/>
      <c r="AV1141" s="1414"/>
      <c r="AW1141" s="1414"/>
      <c r="AX1141" s="1414"/>
      <c r="AY1141" s="1399"/>
      <c r="AZ1141" s="1399"/>
      <c r="BA1141" s="1399"/>
      <c r="BB1141" s="1399"/>
      <c r="BC1141" s="1399"/>
      <c r="BD1141" s="1399"/>
      <c r="BE1141" s="1414"/>
      <c r="BF1141" s="1399"/>
      <c r="BG1141" s="1399"/>
      <c r="BH1141" s="1399"/>
      <c r="BI1141" s="1399"/>
      <c r="BJ1141" s="1399"/>
      <c r="BK1141" s="1399"/>
      <c r="BL1141" s="1399"/>
      <c r="BM1141" s="1399"/>
      <c r="BN1141" s="1399"/>
      <c r="BO1141" s="1399"/>
      <c r="BP1141" s="1399"/>
      <c r="BQ1141" s="1399"/>
      <c r="BR1141" s="1399"/>
      <c r="BS1141" s="1399"/>
      <c r="BT1141" s="1399"/>
      <c r="BU1141" s="1399"/>
      <c r="BV1141" s="1399"/>
      <c r="BW1141" s="1399"/>
      <c r="BX1141" s="1399"/>
      <c r="BY1141" s="1399"/>
      <c r="BZ1141" s="1399"/>
      <c r="CA1141" s="1399"/>
      <c r="CB1141" s="1399"/>
      <c r="CC1141" s="1399"/>
      <c r="CD1141" s="1399"/>
      <c r="CE1141" s="1399"/>
      <c r="CF1141" s="1399"/>
      <c r="CG1141" s="1399"/>
      <c r="CH1141" s="1399"/>
      <c r="CI1141" s="1399"/>
      <c r="CJ1141" s="1399"/>
      <c r="CK1141" s="1399"/>
      <c r="CL1141" s="1399"/>
      <c r="CM1141" s="1399"/>
      <c r="CN1141" s="1399"/>
      <c r="CO1141" s="1399"/>
      <c r="CP1141" s="1399"/>
      <c r="CQ1141" s="1399"/>
      <c r="CR1141" s="1399"/>
      <c r="CS1141" s="1399"/>
      <c r="CT1141" s="1399"/>
      <c r="CU1141" s="1399"/>
      <c r="CV1141" s="1399"/>
      <c r="CW1141" s="1399"/>
      <c r="CX1141" s="1399"/>
      <c r="CY1141" s="1399"/>
      <c r="CZ1141" s="1399"/>
      <c r="DA1141" s="1399"/>
      <c r="DB1141" s="1399"/>
      <c r="DC1141" s="1399"/>
      <c r="DD1141" s="1399"/>
      <c r="DE1141" s="1399"/>
      <c r="DF1141" s="1399"/>
      <c r="DG1141" s="1399"/>
      <c r="DH1141" s="1399"/>
      <c r="DI1141" s="1399"/>
      <c r="DJ1141" s="1399"/>
      <c r="DK1141" s="1399"/>
      <c r="DL1141" s="1399"/>
      <c r="DM1141" s="1399"/>
      <c r="DN1141" s="1399"/>
      <c r="DO1141" s="1399"/>
      <c r="DP1141" s="1399"/>
      <c r="DQ1141" s="1399"/>
      <c r="DR1141" s="1399"/>
      <c r="DS1141" s="1399"/>
      <c r="DT1141" s="1399"/>
      <c r="DU1141" s="1399"/>
    </row>
    <row r="1142" spans="1:125">
      <c r="A1142" s="1414"/>
      <c r="B1142" s="1414"/>
      <c r="C1142" s="1414"/>
      <c r="D1142" s="1414"/>
      <c r="E1142" s="1414"/>
      <c r="F1142" s="1414"/>
      <c r="G1142" s="1414"/>
      <c r="H1142" s="1414"/>
      <c r="I1142" s="1414"/>
      <c r="J1142" s="1414"/>
      <c r="K1142" s="1414"/>
      <c r="L1142" s="1414"/>
      <c r="M1142" s="1414"/>
      <c r="N1142" s="1414"/>
      <c r="O1142" s="1414"/>
      <c r="P1142" s="1414"/>
      <c r="Q1142" s="1414"/>
      <c r="R1142" s="1414"/>
      <c r="S1142" s="1414"/>
      <c r="T1142" s="1414"/>
      <c r="U1142" s="1414"/>
      <c r="V1142" s="1414"/>
      <c r="W1142" s="1414"/>
      <c r="X1142" s="1414"/>
      <c r="Y1142" s="1414"/>
      <c r="Z1142" s="1414"/>
      <c r="AA1142" s="1414"/>
      <c r="AB1142" s="1414"/>
      <c r="AC1142" s="1414"/>
      <c r="AD1142" s="1414"/>
      <c r="AE1142" s="1414"/>
      <c r="AF1142" s="1414"/>
      <c r="AG1142" s="1414"/>
      <c r="AH1142" s="1414"/>
      <c r="AI1142" s="1414"/>
      <c r="AJ1142" s="1414"/>
      <c r="AK1142" s="1414"/>
      <c r="AL1142" s="1414"/>
      <c r="AM1142" s="1414"/>
      <c r="AN1142" s="1414"/>
      <c r="AO1142" s="1414"/>
      <c r="AP1142" s="1414"/>
      <c r="AQ1142" s="1414"/>
      <c r="AR1142" s="1414"/>
      <c r="AS1142" s="1414"/>
      <c r="AT1142" s="1414"/>
      <c r="AU1142" s="1414"/>
      <c r="AV1142" s="1414"/>
      <c r="AW1142" s="1414"/>
      <c r="AX1142" s="1414"/>
      <c r="AY1142" s="1399"/>
      <c r="AZ1142" s="1399"/>
      <c r="BA1142" s="1399"/>
      <c r="BB1142" s="1399"/>
      <c r="BC1142" s="1399"/>
      <c r="BD1142" s="1399"/>
      <c r="BE1142" s="1414"/>
      <c r="BF1142" s="1399"/>
      <c r="BG1142" s="1399"/>
      <c r="BH1142" s="1399"/>
      <c r="BI1142" s="1399"/>
      <c r="BJ1142" s="1399"/>
      <c r="BK1142" s="1399"/>
      <c r="BL1142" s="1399"/>
      <c r="BM1142" s="1399"/>
      <c r="BN1142" s="1399"/>
      <c r="BO1142" s="1399"/>
      <c r="BP1142" s="1399"/>
      <c r="BQ1142" s="1399"/>
      <c r="BR1142" s="1399"/>
      <c r="BS1142" s="1399"/>
      <c r="BT1142" s="1399"/>
      <c r="BU1142" s="1399"/>
      <c r="BV1142" s="1399"/>
      <c r="BW1142" s="1399"/>
      <c r="BX1142" s="1399"/>
      <c r="BY1142" s="1399"/>
      <c r="BZ1142" s="1399"/>
      <c r="CA1142" s="1399"/>
      <c r="CB1142" s="1399"/>
      <c r="CC1142" s="1399"/>
      <c r="CD1142" s="1399"/>
      <c r="CE1142" s="1399"/>
      <c r="CF1142" s="1399"/>
      <c r="CG1142" s="1399"/>
      <c r="CH1142" s="1399"/>
      <c r="CI1142" s="1399"/>
      <c r="CJ1142" s="1399"/>
      <c r="CK1142" s="1399"/>
      <c r="CL1142" s="1399"/>
      <c r="CM1142" s="1399"/>
      <c r="CN1142" s="1399"/>
      <c r="CO1142" s="1399"/>
      <c r="CP1142" s="1399"/>
      <c r="CQ1142" s="1399"/>
      <c r="CR1142" s="1399"/>
      <c r="CS1142" s="1399"/>
      <c r="CT1142" s="1399"/>
      <c r="CU1142" s="1399"/>
      <c r="CV1142" s="1399"/>
      <c r="CW1142" s="1399"/>
      <c r="CX1142" s="1399"/>
      <c r="CY1142" s="1399"/>
      <c r="CZ1142" s="1399"/>
      <c r="DA1142" s="1399"/>
      <c r="DB1142" s="1399"/>
      <c r="DC1142" s="1399"/>
      <c r="DD1142" s="1399"/>
      <c r="DE1142" s="1399"/>
      <c r="DF1142" s="1399"/>
      <c r="DG1142" s="1399"/>
      <c r="DH1142" s="1399"/>
      <c r="DI1142" s="1399"/>
      <c r="DJ1142" s="1399"/>
      <c r="DK1142" s="1399"/>
      <c r="DL1142" s="1399"/>
      <c r="DM1142" s="1399"/>
      <c r="DN1142" s="1399"/>
      <c r="DO1142" s="1399"/>
      <c r="DP1142" s="1399"/>
      <c r="DQ1142" s="1399"/>
      <c r="DR1142" s="1399"/>
      <c r="DS1142" s="1399"/>
      <c r="DT1142" s="1399"/>
      <c r="DU1142" s="1399"/>
    </row>
    <row r="1143" spans="1:125">
      <c r="A1143" s="1414"/>
      <c r="B1143" s="1414"/>
      <c r="C1143" s="1414"/>
      <c r="D1143" s="1414"/>
      <c r="E1143" s="1414"/>
      <c r="F1143" s="1414"/>
      <c r="G1143" s="1414"/>
      <c r="H1143" s="1414"/>
      <c r="I1143" s="1414"/>
      <c r="J1143" s="1414"/>
      <c r="K1143" s="1414"/>
      <c r="L1143" s="1414"/>
      <c r="M1143" s="1414"/>
      <c r="N1143" s="1414"/>
      <c r="O1143" s="1414"/>
      <c r="P1143" s="1414"/>
      <c r="Q1143" s="1414"/>
      <c r="R1143" s="1414"/>
      <c r="S1143" s="1414"/>
      <c r="T1143" s="1414"/>
      <c r="U1143" s="1414"/>
      <c r="V1143" s="1414"/>
      <c r="W1143" s="1414"/>
      <c r="X1143" s="1414"/>
      <c r="Y1143" s="1414"/>
      <c r="Z1143" s="1414"/>
      <c r="AA1143" s="1414"/>
      <c r="AB1143" s="1414"/>
      <c r="AC1143" s="1414"/>
      <c r="AD1143" s="1414"/>
      <c r="AE1143" s="1414"/>
      <c r="AF1143" s="1414"/>
      <c r="AG1143" s="1414"/>
      <c r="AH1143" s="1414"/>
      <c r="AI1143" s="1414"/>
      <c r="AJ1143" s="1414"/>
      <c r="AK1143" s="1414"/>
      <c r="AL1143" s="1414"/>
      <c r="AM1143" s="1414"/>
      <c r="AN1143" s="1414"/>
      <c r="AO1143" s="1414"/>
      <c r="AP1143" s="1414"/>
      <c r="AQ1143" s="1414"/>
      <c r="AR1143" s="1414"/>
      <c r="AS1143" s="1414"/>
      <c r="AT1143" s="1414"/>
      <c r="AU1143" s="1414"/>
      <c r="AV1143" s="1414"/>
      <c r="AW1143" s="1414"/>
      <c r="AX1143" s="1414"/>
      <c r="AY1143" s="1399"/>
      <c r="AZ1143" s="1399"/>
      <c r="BA1143" s="1399"/>
      <c r="BB1143" s="1399"/>
      <c r="BC1143" s="1399"/>
      <c r="BD1143" s="1399"/>
      <c r="BE1143" s="1414"/>
      <c r="BF1143" s="1399"/>
      <c r="BG1143" s="1399"/>
      <c r="BH1143" s="1399"/>
      <c r="BI1143" s="1399"/>
      <c r="BJ1143" s="1399"/>
      <c r="BK1143" s="1399"/>
      <c r="BL1143" s="1399"/>
      <c r="BM1143" s="1399"/>
      <c r="BN1143" s="1399"/>
      <c r="BO1143" s="1399"/>
      <c r="BP1143" s="1399"/>
      <c r="BQ1143" s="1399"/>
      <c r="BR1143" s="1399"/>
      <c r="BS1143" s="1399"/>
      <c r="BT1143" s="1399"/>
      <c r="BU1143" s="1399"/>
      <c r="BV1143" s="1399"/>
      <c r="BW1143" s="1399"/>
      <c r="BX1143" s="1399"/>
      <c r="BY1143" s="1399"/>
      <c r="BZ1143" s="1399"/>
      <c r="CA1143" s="1399"/>
      <c r="CB1143" s="1399"/>
      <c r="CC1143" s="1399"/>
      <c r="CD1143" s="1399"/>
      <c r="CE1143" s="1399"/>
      <c r="CF1143" s="1399"/>
      <c r="CG1143" s="1399"/>
      <c r="CH1143" s="1399"/>
      <c r="CI1143" s="1399"/>
      <c r="CJ1143" s="1399"/>
      <c r="CK1143" s="1399"/>
      <c r="CL1143" s="1399"/>
      <c r="CM1143" s="1399"/>
      <c r="CN1143" s="1399"/>
      <c r="CO1143" s="1399"/>
      <c r="CP1143" s="1399"/>
      <c r="CQ1143" s="1399"/>
      <c r="CR1143" s="1399"/>
      <c r="CS1143" s="1399"/>
      <c r="CT1143" s="1399"/>
      <c r="CU1143" s="1399"/>
      <c r="CV1143" s="1399"/>
      <c r="CW1143" s="1399"/>
      <c r="CX1143" s="1399"/>
      <c r="CY1143" s="1399"/>
      <c r="CZ1143" s="1399"/>
      <c r="DA1143" s="1399"/>
      <c r="DB1143" s="1399"/>
      <c r="DC1143" s="1399"/>
      <c r="DD1143" s="1399"/>
      <c r="DE1143" s="1399"/>
      <c r="DF1143" s="1399"/>
      <c r="DG1143" s="1399"/>
      <c r="DH1143" s="1399"/>
      <c r="DI1143" s="1399"/>
      <c r="DJ1143" s="1399"/>
      <c r="DK1143" s="1399"/>
      <c r="DL1143" s="1399"/>
      <c r="DM1143" s="1399"/>
      <c r="DN1143" s="1399"/>
      <c r="DO1143" s="1399"/>
      <c r="DP1143" s="1399"/>
      <c r="DQ1143" s="1399"/>
      <c r="DR1143" s="1399"/>
      <c r="DS1143" s="1399"/>
      <c r="DT1143" s="1399"/>
      <c r="DU1143" s="1399"/>
    </row>
    <row r="1144" spans="1:125">
      <c r="A1144" s="1414"/>
      <c r="B1144" s="1414"/>
      <c r="C1144" s="1414"/>
      <c r="D1144" s="1414"/>
      <c r="E1144" s="1414"/>
      <c r="F1144" s="1414"/>
      <c r="G1144" s="1414"/>
      <c r="H1144" s="1414"/>
      <c r="I1144" s="1414"/>
      <c r="J1144" s="1414"/>
      <c r="K1144" s="1414"/>
      <c r="L1144" s="1414"/>
      <c r="M1144" s="1414"/>
      <c r="N1144" s="1414"/>
      <c r="O1144" s="1414"/>
      <c r="P1144" s="1414"/>
      <c r="Q1144" s="1414"/>
      <c r="R1144" s="1414"/>
      <c r="S1144" s="1414"/>
      <c r="T1144" s="1414"/>
      <c r="U1144" s="1414"/>
      <c r="V1144" s="1414"/>
      <c r="W1144" s="1414"/>
      <c r="X1144" s="1414"/>
      <c r="Y1144" s="1414"/>
      <c r="Z1144" s="1414"/>
      <c r="AA1144" s="1414"/>
      <c r="AB1144" s="1414"/>
      <c r="AC1144" s="1414"/>
      <c r="AD1144" s="1414"/>
      <c r="AE1144" s="1414"/>
      <c r="AF1144" s="1414"/>
      <c r="AG1144" s="1414"/>
      <c r="AH1144" s="1414"/>
      <c r="AI1144" s="1414"/>
      <c r="AJ1144" s="1414"/>
      <c r="AK1144" s="1414"/>
      <c r="AL1144" s="1414"/>
      <c r="AM1144" s="1414"/>
      <c r="AN1144" s="1414"/>
      <c r="AO1144" s="1414"/>
      <c r="AP1144" s="1414"/>
      <c r="AQ1144" s="1414"/>
      <c r="AR1144" s="1414"/>
      <c r="AS1144" s="1414"/>
      <c r="AT1144" s="1414"/>
      <c r="AU1144" s="1414"/>
      <c r="AV1144" s="1414"/>
      <c r="AW1144" s="1414"/>
      <c r="AX1144" s="1414"/>
      <c r="AY1144" s="1399"/>
      <c r="AZ1144" s="1399"/>
      <c r="BA1144" s="1399"/>
      <c r="BB1144" s="1399"/>
      <c r="BC1144" s="1399"/>
      <c r="BD1144" s="1399"/>
      <c r="BE1144" s="1414"/>
      <c r="BF1144" s="1399"/>
      <c r="BG1144" s="1399"/>
      <c r="BH1144" s="1399"/>
      <c r="BI1144" s="1399"/>
      <c r="BJ1144" s="1399"/>
      <c r="BK1144" s="1399"/>
      <c r="BL1144" s="1399"/>
      <c r="BM1144" s="1399"/>
      <c r="BN1144" s="1399"/>
      <c r="BO1144" s="1399"/>
      <c r="BP1144" s="1399"/>
      <c r="BQ1144" s="1399"/>
      <c r="BR1144" s="1399"/>
      <c r="BS1144" s="1399"/>
      <c r="BT1144" s="1399"/>
      <c r="BU1144" s="1399"/>
      <c r="BV1144" s="1399"/>
      <c r="BW1144" s="1399"/>
      <c r="BX1144" s="1399"/>
      <c r="BY1144" s="1399"/>
      <c r="BZ1144" s="1399"/>
      <c r="CA1144" s="1399"/>
      <c r="CB1144" s="1399"/>
      <c r="CC1144" s="1399"/>
      <c r="CD1144" s="1399"/>
      <c r="CE1144" s="1399"/>
      <c r="CF1144" s="1399"/>
      <c r="CG1144" s="1399"/>
      <c r="CH1144" s="1399"/>
      <c r="CI1144" s="1399"/>
      <c r="CJ1144" s="1399"/>
      <c r="CK1144" s="1399"/>
      <c r="CL1144" s="1399"/>
      <c r="CM1144" s="1399"/>
      <c r="CN1144" s="1399"/>
      <c r="CO1144" s="1399"/>
      <c r="CP1144" s="1399"/>
      <c r="CQ1144" s="1399"/>
      <c r="CR1144" s="1399"/>
      <c r="CS1144" s="1399"/>
      <c r="CT1144" s="1399"/>
      <c r="CU1144" s="1399"/>
      <c r="CV1144" s="1399"/>
      <c r="CW1144" s="1399"/>
      <c r="CX1144" s="1399"/>
      <c r="CY1144" s="1399"/>
      <c r="CZ1144" s="1399"/>
      <c r="DA1144" s="1399"/>
      <c r="DB1144" s="1399"/>
      <c r="DC1144" s="1399"/>
      <c r="DD1144" s="1399"/>
      <c r="DE1144" s="1399"/>
      <c r="DF1144" s="1399"/>
      <c r="DG1144" s="1399"/>
      <c r="DH1144" s="1399"/>
      <c r="DI1144" s="1399"/>
      <c r="DJ1144" s="1399"/>
      <c r="DK1144" s="1399"/>
      <c r="DL1144" s="1399"/>
      <c r="DM1144" s="1399"/>
      <c r="DN1144" s="1399"/>
      <c r="DO1144" s="1399"/>
      <c r="DP1144" s="1399"/>
      <c r="DQ1144" s="1399"/>
      <c r="DR1144" s="1399"/>
      <c r="DS1144" s="1399"/>
      <c r="DT1144" s="1399"/>
      <c r="DU1144" s="1399"/>
    </row>
    <row r="1145" spans="1:125">
      <c r="A1145" s="1414"/>
      <c r="B1145" s="1414"/>
      <c r="C1145" s="1414"/>
      <c r="D1145" s="1414"/>
      <c r="E1145" s="1414"/>
      <c r="F1145" s="1414"/>
      <c r="G1145" s="1414"/>
      <c r="H1145" s="1414"/>
      <c r="I1145" s="1414"/>
      <c r="J1145" s="1414"/>
      <c r="K1145" s="1414"/>
      <c r="L1145" s="1414"/>
      <c r="M1145" s="1414"/>
      <c r="N1145" s="1414"/>
      <c r="O1145" s="1414"/>
      <c r="P1145" s="1414"/>
      <c r="Q1145" s="1414"/>
      <c r="R1145" s="1414"/>
      <c r="S1145" s="1414"/>
      <c r="T1145" s="1414"/>
      <c r="U1145" s="1414"/>
      <c r="V1145" s="1414"/>
      <c r="W1145" s="1414"/>
      <c r="X1145" s="1414"/>
      <c r="Y1145" s="1414"/>
      <c r="Z1145" s="1414"/>
      <c r="AA1145" s="1414"/>
      <c r="AB1145" s="1414"/>
      <c r="AC1145" s="1414"/>
      <c r="AD1145" s="1414"/>
      <c r="AE1145" s="1414"/>
      <c r="AF1145" s="1414"/>
      <c r="AG1145" s="1414"/>
      <c r="AH1145" s="1414"/>
      <c r="AI1145" s="1414"/>
      <c r="AJ1145" s="1414"/>
      <c r="AK1145" s="1414"/>
      <c r="AL1145" s="1414"/>
      <c r="AM1145" s="1414"/>
      <c r="AN1145" s="1414"/>
      <c r="AO1145" s="1414"/>
      <c r="AP1145" s="1414"/>
      <c r="AQ1145" s="1414"/>
      <c r="AR1145" s="1414"/>
      <c r="AS1145" s="1414"/>
      <c r="AT1145" s="1414"/>
      <c r="AU1145" s="1414"/>
      <c r="AV1145" s="1414"/>
      <c r="AW1145" s="1414"/>
      <c r="AX1145" s="1414"/>
      <c r="AY1145" s="1399"/>
      <c r="AZ1145" s="1399"/>
      <c r="BA1145" s="1399"/>
      <c r="BB1145" s="1399"/>
      <c r="BC1145" s="1399"/>
      <c r="BD1145" s="1399"/>
      <c r="BE1145" s="1414"/>
      <c r="BF1145" s="1399"/>
      <c r="BG1145" s="1399"/>
      <c r="BH1145" s="1399"/>
      <c r="BI1145" s="1399"/>
      <c r="BJ1145" s="1399"/>
      <c r="BK1145" s="1399"/>
      <c r="BL1145" s="1399"/>
      <c r="BM1145" s="1399"/>
      <c r="BN1145" s="1399"/>
      <c r="BO1145" s="1399"/>
      <c r="BP1145" s="1399"/>
      <c r="BQ1145" s="1399"/>
      <c r="BR1145" s="1399"/>
      <c r="BS1145" s="1399"/>
      <c r="BT1145" s="1399"/>
      <c r="BU1145" s="1399"/>
      <c r="BV1145" s="1399"/>
      <c r="BW1145" s="1399"/>
      <c r="BX1145" s="1399"/>
      <c r="BY1145" s="1399"/>
      <c r="BZ1145" s="1399"/>
      <c r="CA1145" s="1399"/>
      <c r="CB1145" s="1399"/>
      <c r="CC1145" s="1399"/>
      <c r="CD1145" s="1399"/>
      <c r="CE1145" s="1399"/>
      <c r="CF1145" s="1399"/>
      <c r="CG1145" s="1399"/>
      <c r="CH1145" s="1399"/>
      <c r="CI1145" s="1399"/>
      <c r="CJ1145" s="1399"/>
      <c r="CK1145" s="1399"/>
      <c r="CL1145" s="1399"/>
      <c r="CM1145" s="1399"/>
      <c r="CN1145" s="1399"/>
      <c r="CO1145" s="1399"/>
      <c r="CP1145" s="1399"/>
      <c r="CQ1145" s="1399"/>
      <c r="CR1145" s="1399"/>
      <c r="CS1145" s="1399"/>
      <c r="CT1145" s="1399"/>
      <c r="CU1145" s="1399"/>
      <c r="CV1145" s="1399"/>
      <c r="CW1145" s="1399"/>
      <c r="CX1145" s="1399"/>
      <c r="CY1145" s="1399"/>
      <c r="CZ1145" s="1399"/>
      <c r="DA1145" s="1399"/>
      <c r="DB1145" s="1399"/>
      <c r="DC1145" s="1399"/>
      <c r="DD1145" s="1399"/>
      <c r="DE1145" s="1399"/>
      <c r="DF1145" s="1399"/>
      <c r="DG1145" s="1399"/>
      <c r="DH1145" s="1399"/>
      <c r="DI1145" s="1399"/>
      <c r="DJ1145" s="1399"/>
      <c r="DK1145" s="1399"/>
      <c r="DL1145" s="1399"/>
      <c r="DM1145" s="1399"/>
      <c r="DN1145" s="1399"/>
      <c r="DO1145" s="1399"/>
      <c r="DP1145" s="1399"/>
      <c r="DQ1145" s="1399"/>
      <c r="DR1145" s="1399"/>
      <c r="DS1145" s="1399"/>
      <c r="DT1145" s="1399"/>
      <c r="DU1145" s="1399"/>
    </row>
    <row r="1146" spans="1:125">
      <c r="A1146" s="1414"/>
      <c r="B1146" s="1414"/>
      <c r="C1146" s="1414"/>
      <c r="D1146" s="1414"/>
      <c r="E1146" s="1414"/>
      <c r="F1146" s="1414"/>
      <c r="G1146" s="1414"/>
      <c r="H1146" s="1414"/>
      <c r="I1146" s="1414"/>
      <c r="J1146" s="1414"/>
      <c r="K1146" s="1414"/>
      <c r="L1146" s="1414"/>
      <c r="M1146" s="1414"/>
      <c r="N1146" s="1414"/>
      <c r="O1146" s="1414"/>
      <c r="P1146" s="1414"/>
      <c r="Q1146" s="1414"/>
      <c r="R1146" s="1414"/>
      <c r="S1146" s="1414"/>
      <c r="T1146" s="1414"/>
      <c r="U1146" s="1414"/>
      <c r="V1146" s="1414"/>
      <c r="W1146" s="1414"/>
      <c r="X1146" s="1414"/>
      <c r="Y1146" s="1414"/>
      <c r="Z1146" s="1414"/>
      <c r="AA1146" s="1414"/>
      <c r="AB1146" s="1414"/>
      <c r="AC1146" s="1414"/>
      <c r="AD1146" s="1414"/>
      <c r="AE1146" s="1414"/>
      <c r="AF1146" s="1414"/>
      <c r="AG1146" s="1414"/>
      <c r="AH1146" s="1414"/>
      <c r="AI1146" s="1414"/>
      <c r="AJ1146" s="1414"/>
      <c r="AK1146" s="1414"/>
      <c r="AL1146" s="1414"/>
      <c r="AM1146" s="1414"/>
      <c r="AN1146" s="1414"/>
      <c r="AO1146" s="1414"/>
      <c r="AP1146" s="1414"/>
      <c r="AQ1146" s="1414"/>
      <c r="AR1146" s="1414"/>
      <c r="AS1146" s="1414"/>
      <c r="AT1146" s="1414"/>
      <c r="AU1146" s="1414"/>
      <c r="AV1146" s="1414"/>
      <c r="AW1146" s="1414"/>
      <c r="AX1146" s="1414"/>
      <c r="AY1146" s="1399"/>
      <c r="AZ1146" s="1399"/>
      <c r="BA1146" s="1399"/>
      <c r="BB1146" s="1399"/>
      <c r="BC1146" s="1399"/>
      <c r="BD1146" s="1399"/>
      <c r="BE1146" s="1414"/>
      <c r="BF1146" s="1399"/>
      <c r="BG1146" s="1399"/>
      <c r="BH1146" s="1399"/>
      <c r="BI1146" s="1399"/>
      <c r="BJ1146" s="1399"/>
      <c r="BK1146" s="1399"/>
      <c r="BL1146" s="1399"/>
      <c r="BM1146" s="1399"/>
      <c r="BN1146" s="1399"/>
      <c r="BO1146" s="1399"/>
      <c r="BP1146" s="1399"/>
      <c r="BQ1146" s="1399"/>
      <c r="BR1146" s="1399"/>
      <c r="BS1146" s="1399"/>
      <c r="BT1146" s="1399"/>
      <c r="BU1146" s="1399"/>
      <c r="BV1146" s="1399"/>
      <c r="BW1146" s="1399"/>
      <c r="BX1146" s="1399"/>
      <c r="BY1146" s="1399"/>
      <c r="BZ1146" s="1399"/>
      <c r="CA1146" s="1399"/>
      <c r="CB1146" s="1399"/>
      <c r="CC1146" s="1399"/>
      <c r="CD1146" s="1399"/>
      <c r="CE1146" s="1399"/>
      <c r="CF1146" s="1399"/>
      <c r="CG1146" s="1399"/>
      <c r="CH1146" s="1399"/>
      <c r="CI1146" s="1399"/>
      <c r="CJ1146" s="1399"/>
      <c r="CK1146" s="1399"/>
      <c r="CL1146" s="1399"/>
      <c r="CM1146" s="1399"/>
      <c r="CN1146" s="1399"/>
      <c r="CO1146" s="1399"/>
      <c r="CP1146" s="1399"/>
      <c r="CQ1146" s="1399"/>
      <c r="CR1146" s="1399"/>
      <c r="CS1146" s="1399"/>
      <c r="CT1146" s="1399"/>
      <c r="CU1146" s="1399"/>
      <c r="CV1146" s="1399"/>
      <c r="CW1146" s="1399"/>
      <c r="CX1146" s="1399"/>
      <c r="CY1146" s="1399"/>
      <c r="CZ1146" s="1399"/>
      <c r="DA1146" s="1399"/>
      <c r="DB1146" s="1399"/>
      <c r="DC1146" s="1399"/>
      <c r="DD1146" s="1399"/>
      <c r="DE1146" s="1399"/>
      <c r="DF1146" s="1399"/>
      <c r="DG1146" s="1399"/>
      <c r="DH1146" s="1399"/>
      <c r="DI1146" s="1399"/>
      <c r="DJ1146" s="1399"/>
      <c r="DK1146" s="1399"/>
      <c r="DL1146" s="1399"/>
      <c r="DM1146" s="1399"/>
      <c r="DN1146" s="1399"/>
      <c r="DO1146" s="1399"/>
      <c r="DP1146" s="1399"/>
      <c r="DQ1146" s="1399"/>
      <c r="DR1146" s="1399"/>
      <c r="DS1146" s="1399"/>
      <c r="DT1146" s="1399"/>
      <c r="DU1146" s="1399"/>
    </row>
    <row r="1147" spans="1:125">
      <c r="A1147" s="1414"/>
      <c r="B1147" s="1414"/>
      <c r="C1147" s="1414"/>
      <c r="D1147" s="1414"/>
      <c r="E1147" s="1414"/>
      <c r="F1147" s="1414"/>
      <c r="G1147" s="1414"/>
      <c r="H1147" s="1414"/>
      <c r="I1147" s="1414"/>
      <c r="J1147" s="1414"/>
      <c r="K1147" s="1414"/>
      <c r="L1147" s="1414"/>
      <c r="M1147" s="1414"/>
      <c r="N1147" s="1414"/>
      <c r="O1147" s="1414"/>
      <c r="P1147" s="1414"/>
      <c r="Q1147" s="1414"/>
      <c r="R1147" s="1414"/>
      <c r="S1147" s="1414"/>
      <c r="T1147" s="1414"/>
      <c r="U1147" s="1414"/>
      <c r="V1147" s="1414"/>
      <c r="W1147" s="1414"/>
      <c r="X1147" s="1414"/>
      <c r="Y1147" s="1414"/>
      <c r="Z1147" s="1414"/>
      <c r="AA1147" s="1414"/>
      <c r="AB1147" s="1414"/>
      <c r="AC1147" s="1414"/>
      <c r="AD1147" s="1414"/>
      <c r="AE1147" s="1414"/>
      <c r="AF1147" s="1414"/>
      <c r="AG1147" s="1414"/>
      <c r="AH1147" s="1414"/>
      <c r="AI1147" s="1414"/>
      <c r="AJ1147" s="1414"/>
      <c r="AK1147" s="1414"/>
      <c r="AL1147" s="1414"/>
      <c r="AM1147" s="1414"/>
      <c r="AN1147" s="1414"/>
      <c r="AO1147" s="1414"/>
      <c r="AP1147" s="1414"/>
      <c r="AQ1147" s="1414"/>
      <c r="AR1147" s="1414"/>
      <c r="AS1147" s="1414"/>
      <c r="AT1147" s="1414"/>
      <c r="AU1147" s="1414"/>
      <c r="AV1147" s="1414"/>
      <c r="AW1147" s="1414"/>
      <c r="AX1147" s="1414"/>
      <c r="AY1147" s="1399"/>
      <c r="AZ1147" s="1399"/>
      <c r="BA1147" s="1399"/>
      <c r="BB1147" s="1399"/>
      <c r="BC1147" s="1399"/>
      <c r="BD1147" s="1399"/>
      <c r="BE1147" s="1414"/>
      <c r="BF1147" s="1399"/>
      <c r="BG1147" s="1399"/>
      <c r="BH1147" s="1399"/>
      <c r="BI1147" s="1399"/>
      <c r="BJ1147" s="1399"/>
      <c r="BK1147" s="1399"/>
      <c r="BL1147" s="1399"/>
      <c r="BM1147" s="1399"/>
      <c r="BN1147" s="1399"/>
      <c r="BO1147" s="1399"/>
      <c r="BP1147" s="1399"/>
      <c r="BQ1147" s="1399"/>
      <c r="BR1147" s="1399"/>
      <c r="BS1147" s="1399"/>
      <c r="BT1147" s="1399"/>
      <c r="BU1147" s="1399"/>
      <c r="BV1147" s="1399"/>
      <c r="BW1147" s="1399"/>
      <c r="BX1147" s="1399"/>
      <c r="BY1147" s="1399"/>
      <c r="BZ1147" s="1399"/>
      <c r="CA1147" s="1399"/>
      <c r="CB1147" s="1399"/>
      <c r="CC1147" s="1399"/>
      <c r="CD1147" s="1399"/>
      <c r="CE1147" s="1399"/>
      <c r="CF1147" s="1399"/>
      <c r="CG1147" s="1399"/>
      <c r="CH1147" s="1399"/>
      <c r="CI1147" s="1399"/>
      <c r="CJ1147" s="1399"/>
      <c r="CK1147" s="1399"/>
      <c r="CL1147" s="1399"/>
      <c r="CM1147" s="1399"/>
      <c r="CN1147" s="1399"/>
      <c r="CO1147" s="1399"/>
      <c r="CP1147" s="1399"/>
      <c r="CQ1147" s="1399"/>
      <c r="CR1147" s="1399"/>
      <c r="CS1147" s="1399"/>
      <c r="CT1147" s="1399"/>
      <c r="CU1147" s="1399"/>
      <c r="CV1147" s="1399"/>
      <c r="CW1147" s="1399"/>
      <c r="CX1147" s="1399"/>
      <c r="CY1147" s="1399"/>
      <c r="CZ1147" s="1399"/>
      <c r="DA1147" s="1399"/>
      <c r="DB1147" s="1399"/>
      <c r="DC1147" s="1399"/>
      <c r="DD1147" s="1399"/>
      <c r="DE1147" s="1399"/>
      <c r="DF1147" s="1399"/>
      <c r="DG1147" s="1399"/>
      <c r="DH1147" s="1399"/>
      <c r="DI1147" s="1399"/>
      <c r="DJ1147" s="1399"/>
      <c r="DK1147" s="1399"/>
      <c r="DL1147" s="1399"/>
      <c r="DM1147" s="1399"/>
      <c r="DN1147" s="1399"/>
      <c r="DO1147" s="1399"/>
      <c r="DP1147" s="1399"/>
      <c r="DQ1147" s="1399"/>
      <c r="DR1147" s="1399"/>
      <c r="DS1147" s="1399"/>
      <c r="DT1147" s="1399"/>
      <c r="DU1147" s="1399"/>
    </row>
    <row r="1148" spans="1:125">
      <c r="A1148" s="1414"/>
      <c r="B1148" s="1414"/>
      <c r="C1148" s="1414"/>
      <c r="D1148" s="1414"/>
      <c r="E1148" s="1414"/>
      <c r="F1148" s="1414"/>
      <c r="G1148" s="1414"/>
      <c r="H1148" s="1414"/>
      <c r="I1148" s="1414"/>
      <c r="J1148" s="1414"/>
      <c r="K1148" s="1414"/>
      <c r="L1148" s="1414"/>
      <c r="M1148" s="1414"/>
      <c r="N1148" s="1414"/>
      <c r="O1148" s="1414"/>
      <c r="P1148" s="1414"/>
      <c r="Q1148" s="1414"/>
      <c r="R1148" s="1414"/>
      <c r="S1148" s="1414"/>
      <c r="T1148" s="1414"/>
      <c r="U1148" s="1414"/>
      <c r="V1148" s="1414"/>
      <c r="W1148" s="1414"/>
      <c r="X1148" s="1414"/>
      <c r="Y1148" s="1414"/>
      <c r="Z1148" s="1414"/>
      <c r="AA1148" s="1414"/>
      <c r="AB1148" s="1414"/>
      <c r="AC1148" s="1414"/>
      <c r="AD1148" s="1414"/>
      <c r="AE1148" s="1414"/>
      <c r="AF1148" s="1414"/>
      <c r="AG1148" s="1414"/>
      <c r="AH1148" s="1414"/>
      <c r="AI1148" s="1414"/>
      <c r="AJ1148" s="1414"/>
      <c r="AK1148" s="1414"/>
      <c r="AL1148" s="1414"/>
      <c r="AM1148" s="1414"/>
      <c r="AN1148" s="1414"/>
      <c r="AO1148" s="1414"/>
      <c r="AP1148" s="1414"/>
      <c r="AQ1148" s="1414"/>
      <c r="AR1148" s="1414"/>
      <c r="AS1148" s="1414"/>
      <c r="AT1148" s="1414"/>
      <c r="AU1148" s="1414"/>
      <c r="AV1148" s="1414"/>
      <c r="AW1148" s="1414"/>
      <c r="AX1148" s="1414"/>
      <c r="AY1148" s="1399"/>
      <c r="AZ1148" s="1399"/>
      <c r="BA1148" s="1399"/>
      <c r="BB1148" s="1399"/>
      <c r="BC1148" s="1399"/>
      <c r="BD1148" s="1399"/>
      <c r="BE1148" s="1414"/>
      <c r="BF1148" s="1399"/>
      <c r="BG1148" s="1399"/>
      <c r="BH1148" s="1399"/>
      <c r="BI1148" s="1399"/>
      <c r="BJ1148" s="1399"/>
      <c r="BK1148" s="1399"/>
      <c r="BL1148" s="1399"/>
      <c r="BM1148" s="1399"/>
      <c r="BN1148" s="1399"/>
      <c r="BO1148" s="1399"/>
      <c r="BP1148" s="1399"/>
      <c r="BQ1148" s="1399"/>
      <c r="BR1148" s="1399"/>
      <c r="BS1148" s="1399"/>
      <c r="BT1148" s="1399"/>
      <c r="BU1148" s="1399"/>
      <c r="BV1148" s="1399"/>
      <c r="BW1148" s="1399"/>
      <c r="BX1148" s="1399"/>
      <c r="BY1148" s="1399"/>
      <c r="BZ1148" s="1399"/>
      <c r="CA1148" s="1399"/>
      <c r="CB1148" s="1399"/>
      <c r="CC1148" s="1399"/>
      <c r="CD1148" s="1399"/>
      <c r="CE1148" s="1399"/>
      <c r="CF1148" s="1399"/>
      <c r="CG1148" s="1399"/>
      <c r="CH1148" s="1399"/>
      <c r="CI1148" s="1399"/>
      <c r="CJ1148" s="1399"/>
      <c r="CK1148" s="1399"/>
      <c r="CL1148" s="1399"/>
      <c r="CM1148" s="1399"/>
      <c r="CN1148" s="1399"/>
      <c r="CO1148" s="1399"/>
      <c r="CP1148" s="1399"/>
      <c r="CQ1148" s="1399"/>
      <c r="CR1148" s="1399"/>
      <c r="CS1148" s="1399"/>
      <c r="CT1148" s="1399"/>
      <c r="CU1148" s="1399"/>
      <c r="CV1148" s="1399"/>
      <c r="CW1148" s="1399"/>
      <c r="CX1148" s="1399"/>
      <c r="CY1148" s="1399"/>
      <c r="CZ1148" s="1399"/>
      <c r="DA1148" s="1399"/>
      <c r="DB1148" s="1399"/>
      <c r="DC1148" s="1399"/>
      <c r="DD1148" s="1399"/>
      <c r="DE1148" s="1399"/>
      <c r="DF1148" s="1399"/>
      <c r="DG1148" s="1399"/>
      <c r="DH1148" s="1399"/>
      <c r="DI1148" s="1399"/>
      <c r="DJ1148" s="1399"/>
      <c r="DK1148" s="1399"/>
      <c r="DL1148" s="1399"/>
      <c r="DM1148" s="1399"/>
      <c r="DN1148" s="1399"/>
      <c r="DO1148" s="1399"/>
      <c r="DP1148" s="1399"/>
      <c r="DQ1148" s="1399"/>
      <c r="DR1148" s="1399"/>
      <c r="DS1148" s="1399"/>
      <c r="DT1148" s="1399"/>
      <c r="DU1148" s="1399"/>
    </row>
    <row r="1149" spans="1:125">
      <c r="A1149" s="1414"/>
      <c r="B1149" s="1414"/>
      <c r="C1149" s="1414"/>
      <c r="D1149" s="1414"/>
      <c r="E1149" s="1414"/>
      <c r="F1149" s="1414"/>
      <c r="G1149" s="1414"/>
      <c r="H1149" s="1414"/>
      <c r="I1149" s="1414"/>
      <c r="J1149" s="1414"/>
      <c r="K1149" s="1414"/>
      <c r="L1149" s="1414"/>
      <c r="M1149" s="1414"/>
      <c r="N1149" s="1414"/>
      <c r="O1149" s="1414"/>
      <c r="P1149" s="1414"/>
      <c r="Q1149" s="1414"/>
      <c r="R1149" s="1414"/>
      <c r="S1149" s="1414"/>
      <c r="T1149" s="1414"/>
      <c r="U1149" s="1414"/>
      <c r="V1149" s="1414"/>
      <c r="W1149" s="1414"/>
      <c r="X1149" s="1414"/>
      <c r="Y1149" s="1414"/>
      <c r="Z1149" s="1414"/>
      <c r="AA1149" s="1414"/>
      <c r="AB1149" s="1414"/>
      <c r="AC1149" s="1414"/>
      <c r="AD1149" s="1414"/>
      <c r="AE1149" s="1414"/>
      <c r="AF1149" s="1414"/>
      <c r="AG1149" s="1414"/>
      <c r="AH1149" s="1414"/>
      <c r="AI1149" s="1414"/>
      <c r="AJ1149" s="1414"/>
      <c r="AK1149" s="1414"/>
      <c r="AL1149" s="1414"/>
      <c r="AM1149" s="1414"/>
      <c r="AN1149" s="1414"/>
      <c r="AO1149" s="1414"/>
      <c r="AP1149" s="1414"/>
      <c r="AQ1149" s="1414"/>
      <c r="AR1149" s="1414"/>
      <c r="AS1149" s="1414"/>
      <c r="AT1149" s="1414"/>
      <c r="AU1149" s="1414"/>
      <c r="AV1149" s="1414"/>
      <c r="AW1149" s="1414"/>
      <c r="AX1149" s="1414"/>
      <c r="AY1149" s="1399"/>
      <c r="AZ1149" s="1399"/>
      <c r="BA1149" s="1399"/>
      <c r="BB1149" s="1399"/>
      <c r="BC1149" s="1399"/>
      <c r="BD1149" s="1399"/>
      <c r="BE1149" s="1414"/>
      <c r="BF1149" s="1399"/>
      <c r="BG1149" s="1399"/>
      <c r="BH1149" s="1399"/>
      <c r="BI1149" s="1399"/>
      <c r="BJ1149" s="1399"/>
      <c r="BK1149" s="1399"/>
      <c r="BL1149" s="1399"/>
      <c r="BM1149" s="1399"/>
      <c r="BN1149" s="1399"/>
      <c r="BO1149" s="1399"/>
      <c r="BP1149" s="1399"/>
      <c r="BQ1149" s="1399"/>
      <c r="BR1149" s="1399"/>
      <c r="BS1149" s="1399"/>
      <c r="BT1149" s="1399"/>
      <c r="BU1149" s="1399"/>
      <c r="BV1149" s="1399"/>
      <c r="BW1149" s="1399"/>
      <c r="BX1149" s="1399"/>
      <c r="BY1149" s="1399"/>
      <c r="BZ1149" s="1399"/>
      <c r="CA1149" s="1399"/>
      <c r="CB1149" s="1399"/>
      <c r="CC1149" s="1399"/>
      <c r="CD1149" s="1399"/>
      <c r="CE1149" s="1399"/>
      <c r="CF1149" s="1399"/>
      <c r="CG1149" s="1399"/>
      <c r="CH1149" s="1399"/>
      <c r="CI1149" s="1399"/>
      <c r="CJ1149" s="1399"/>
      <c r="CK1149" s="1399"/>
      <c r="CL1149" s="1399"/>
      <c r="CM1149" s="1399"/>
      <c r="CN1149" s="1399"/>
      <c r="CO1149" s="1399"/>
      <c r="CP1149" s="1399"/>
      <c r="CQ1149" s="1399"/>
      <c r="CR1149" s="1399"/>
      <c r="CS1149" s="1399"/>
      <c r="CT1149" s="1399"/>
      <c r="CU1149" s="1399"/>
      <c r="CV1149" s="1399"/>
      <c r="CW1149" s="1399"/>
      <c r="CX1149" s="1399"/>
      <c r="CY1149" s="1399"/>
      <c r="CZ1149" s="1399"/>
      <c r="DA1149" s="1399"/>
      <c r="DB1149" s="1399"/>
      <c r="DC1149" s="1399"/>
      <c r="DD1149" s="1399"/>
      <c r="DE1149" s="1399"/>
      <c r="DF1149" s="1399"/>
      <c r="DG1149" s="1399"/>
      <c r="DH1149" s="1399"/>
      <c r="DI1149" s="1399"/>
      <c r="DJ1149" s="1399"/>
      <c r="DK1149" s="1399"/>
      <c r="DL1149" s="1399"/>
      <c r="DM1149" s="1399"/>
      <c r="DN1149" s="1399"/>
      <c r="DO1149" s="1399"/>
      <c r="DP1149" s="1399"/>
      <c r="DQ1149" s="1399"/>
      <c r="DR1149" s="1399"/>
      <c r="DS1149" s="1399"/>
      <c r="DT1149" s="1399"/>
      <c r="DU1149" s="1399"/>
    </row>
    <row r="1150" spans="1:125">
      <c r="A1150" s="1414"/>
      <c r="B1150" s="1414"/>
      <c r="C1150" s="1414"/>
      <c r="D1150" s="1414"/>
      <c r="E1150" s="1414"/>
      <c r="F1150" s="1414"/>
      <c r="G1150" s="1414"/>
      <c r="H1150" s="1414"/>
      <c r="I1150" s="1414"/>
      <c r="J1150" s="1414"/>
      <c r="K1150" s="1414"/>
      <c r="L1150" s="1414"/>
      <c r="M1150" s="1414"/>
      <c r="N1150" s="1414"/>
      <c r="O1150" s="1414"/>
      <c r="P1150" s="1414"/>
      <c r="Q1150" s="1414"/>
      <c r="R1150" s="1414"/>
      <c r="S1150" s="1414"/>
      <c r="T1150" s="1414"/>
      <c r="U1150" s="1414"/>
      <c r="V1150" s="1414"/>
      <c r="W1150" s="1414"/>
      <c r="X1150" s="1414"/>
      <c r="Y1150" s="1414"/>
      <c r="Z1150" s="1414"/>
      <c r="AA1150" s="1414"/>
      <c r="AB1150" s="1414"/>
      <c r="AC1150" s="1414"/>
      <c r="AD1150" s="1414"/>
      <c r="AE1150" s="1414"/>
      <c r="AF1150" s="1414"/>
      <c r="AG1150" s="1414"/>
      <c r="AH1150" s="1414"/>
      <c r="AI1150" s="1414"/>
      <c r="AJ1150" s="1414"/>
      <c r="AK1150" s="1414"/>
      <c r="AL1150" s="1414"/>
      <c r="AM1150" s="1414"/>
      <c r="AN1150" s="1414"/>
      <c r="AO1150" s="1414"/>
      <c r="AP1150" s="1414"/>
      <c r="AQ1150" s="1414"/>
      <c r="AR1150" s="1414"/>
      <c r="AS1150" s="1414"/>
      <c r="AT1150" s="1414"/>
      <c r="AU1150" s="1414"/>
      <c r="AV1150" s="1414"/>
      <c r="AW1150" s="1414"/>
      <c r="AX1150" s="1414"/>
      <c r="AY1150" s="1399"/>
      <c r="AZ1150" s="1399"/>
      <c r="BA1150" s="1399"/>
      <c r="BB1150" s="1399"/>
      <c r="BC1150" s="1399"/>
      <c r="BD1150" s="1399"/>
      <c r="BE1150" s="1414"/>
      <c r="BF1150" s="1399"/>
      <c r="BG1150" s="1399"/>
      <c r="BH1150" s="1399"/>
      <c r="BI1150" s="1399"/>
      <c r="BJ1150" s="1399"/>
      <c r="BK1150" s="1399"/>
      <c r="BL1150" s="1399"/>
      <c r="BM1150" s="1399"/>
      <c r="BN1150" s="1399"/>
      <c r="BO1150" s="1399"/>
      <c r="BP1150" s="1399"/>
      <c r="BQ1150" s="1399"/>
      <c r="BR1150" s="1399"/>
      <c r="BS1150" s="1399"/>
      <c r="BT1150" s="1399"/>
      <c r="BU1150" s="1399"/>
      <c r="BV1150" s="1399"/>
      <c r="BW1150" s="1399"/>
      <c r="BX1150" s="1399"/>
      <c r="BY1150" s="1399"/>
      <c r="BZ1150" s="1399"/>
      <c r="CA1150" s="1399"/>
      <c r="CB1150" s="1399"/>
      <c r="CC1150" s="1399"/>
      <c r="CD1150" s="1399"/>
      <c r="CE1150" s="1399"/>
      <c r="CF1150" s="1399"/>
      <c r="CG1150" s="1399"/>
      <c r="CH1150" s="1399"/>
      <c r="CI1150" s="1399"/>
      <c r="CJ1150" s="1399"/>
      <c r="CK1150" s="1399"/>
      <c r="CL1150" s="1399"/>
      <c r="CM1150" s="1399"/>
      <c r="CN1150" s="1399"/>
      <c r="CO1150" s="1399"/>
      <c r="CP1150" s="1399"/>
      <c r="CQ1150" s="1399"/>
      <c r="CR1150" s="1399"/>
      <c r="CS1150" s="1399"/>
      <c r="CT1150" s="1399"/>
      <c r="CU1150" s="1399"/>
      <c r="CV1150" s="1399"/>
      <c r="CW1150" s="1399"/>
      <c r="CX1150" s="1399"/>
      <c r="CY1150" s="1399"/>
      <c r="CZ1150" s="1399"/>
      <c r="DA1150" s="1399"/>
      <c r="DB1150" s="1399"/>
      <c r="DC1150" s="1399"/>
      <c r="DD1150" s="1399"/>
      <c r="DE1150" s="1399"/>
      <c r="DF1150" s="1399"/>
      <c r="DG1150" s="1399"/>
      <c r="DH1150" s="1399"/>
      <c r="DI1150" s="1399"/>
      <c r="DJ1150" s="1399"/>
      <c r="DK1150" s="1399"/>
      <c r="DL1150" s="1399"/>
      <c r="DM1150" s="1399"/>
      <c r="DN1150" s="1399"/>
      <c r="DO1150" s="1399"/>
      <c r="DP1150" s="1399"/>
      <c r="DQ1150" s="1399"/>
      <c r="DR1150" s="1399"/>
      <c r="DS1150" s="1399"/>
      <c r="DT1150" s="1399"/>
      <c r="DU1150" s="1399"/>
    </row>
    <row r="1151" spans="1:125">
      <c r="A1151" s="1414"/>
      <c r="B1151" s="1414"/>
      <c r="C1151" s="1414"/>
      <c r="D1151" s="1414"/>
      <c r="E1151" s="1414"/>
      <c r="F1151" s="1414"/>
      <c r="G1151" s="1414"/>
      <c r="H1151" s="1414"/>
      <c r="I1151" s="1414"/>
      <c r="J1151" s="1414"/>
      <c r="K1151" s="1414"/>
      <c r="L1151" s="1414"/>
      <c r="M1151" s="1414"/>
      <c r="N1151" s="1414"/>
      <c r="O1151" s="1414"/>
      <c r="P1151" s="1414"/>
      <c r="Q1151" s="1414"/>
      <c r="R1151" s="1414"/>
      <c r="S1151" s="1414"/>
      <c r="T1151" s="1414"/>
      <c r="U1151" s="1414"/>
      <c r="V1151" s="1414"/>
      <c r="W1151" s="1414"/>
      <c r="X1151" s="1414"/>
      <c r="Y1151" s="1414"/>
      <c r="Z1151" s="1414"/>
      <c r="AA1151" s="1414"/>
      <c r="AB1151" s="1414"/>
      <c r="AC1151" s="1414"/>
      <c r="AD1151" s="1414"/>
      <c r="AE1151" s="1414"/>
      <c r="AF1151" s="1414"/>
      <c r="AG1151" s="1414"/>
      <c r="AH1151" s="1414"/>
      <c r="AI1151" s="1414"/>
      <c r="AJ1151" s="1414"/>
      <c r="AK1151" s="1414"/>
      <c r="AL1151" s="1414"/>
      <c r="AM1151" s="1414"/>
      <c r="AN1151" s="1414"/>
      <c r="AO1151" s="1414"/>
      <c r="AP1151" s="1414"/>
      <c r="AQ1151" s="1414"/>
      <c r="AR1151" s="1414"/>
      <c r="AS1151" s="1414"/>
      <c r="AT1151" s="1414"/>
      <c r="AU1151" s="1414"/>
      <c r="AV1151" s="1414"/>
      <c r="AW1151" s="1414"/>
      <c r="AX1151" s="1414"/>
      <c r="AY1151" s="1399"/>
      <c r="AZ1151" s="1399"/>
      <c r="BA1151" s="1399"/>
      <c r="BB1151" s="1399"/>
      <c r="BC1151" s="1399"/>
      <c r="BD1151" s="1399"/>
      <c r="BE1151" s="1414"/>
      <c r="BF1151" s="1399"/>
      <c r="BG1151" s="1399"/>
      <c r="BH1151" s="1399"/>
      <c r="BI1151" s="1399"/>
      <c r="BJ1151" s="1399"/>
      <c r="BK1151" s="1399"/>
      <c r="BL1151" s="1399"/>
      <c r="BM1151" s="1399"/>
      <c r="BN1151" s="1399"/>
      <c r="BO1151" s="1399"/>
      <c r="BP1151" s="1399"/>
      <c r="BQ1151" s="1399"/>
      <c r="BR1151" s="1399"/>
      <c r="BS1151" s="1399"/>
      <c r="BT1151" s="1399"/>
      <c r="BU1151" s="1399"/>
      <c r="BV1151" s="1399"/>
      <c r="BW1151" s="1399"/>
      <c r="BX1151" s="1399"/>
      <c r="BY1151" s="1399"/>
      <c r="BZ1151" s="1399"/>
      <c r="CA1151" s="1399"/>
      <c r="CB1151" s="1399"/>
      <c r="CC1151" s="1399"/>
      <c r="CD1151" s="1399"/>
      <c r="CE1151" s="1399"/>
      <c r="CF1151" s="1399"/>
      <c r="CG1151" s="1399"/>
      <c r="CH1151" s="1399"/>
      <c r="CI1151" s="1399"/>
      <c r="CJ1151" s="1399"/>
      <c r="CK1151" s="1399"/>
      <c r="CL1151" s="1399"/>
      <c r="CM1151" s="1399"/>
      <c r="CN1151" s="1399"/>
      <c r="CO1151" s="1399"/>
      <c r="CP1151" s="1399"/>
      <c r="CQ1151" s="1399"/>
      <c r="CR1151" s="1399"/>
      <c r="CS1151" s="1399"/>
      <c r="CT1151" s="1399"/>
      <c r="CU1151" s="1399"/>
      <c r="CV1151" s="1399"/>
      <c r="CW1151" s="1399"/>
      <c r="CX1151" s="1399"/>
      <c r="CY1151" s="1399"/>
      <c r="CZ1151" s="1399"/>
      <c r="DA1151" s="1399"/>
      <c r="DB1151" s="1399"/>
      <c r="DC1151" s="1399"/>
      <c r="DD1151" s="1399"/>
      <c r="DE1151" s="1399"/>
      <c r="DF1151" s="1399"/>
      <c r="DG1151" s="1399"/>
      <c r="DH1151" s="1399"/>
      <c r="DI1151" s="1399"/>
      <c r="DJ1151" s="1399"/>
      <c r="DK1151" s="1399"/>
      <c r="DL1151" s="1399"/>
      <c r="DM1151" s="1399"/>
      <c r="DN1151" s="1399"/>
      <c r="DO1151" s="1399"/>
      <c r="DP1151" s="1399"/>
      <c r="DQ1151" s="1399"/>
      <c r="DR1151" s="1399"/>
      <c r="DS1151" s="1399"/>
      <c r="DT1151" s="1399"/>
      <c r="DU1151" s="1399"/>
    </row>
    <row r="1152" spans="1:125">
      <c r="A1152" s="1414"/>
      <c r="B1152" s="1414"/>
      <c r="C1152" s="1414"/>
      <c r="D1152" s="1414"/>
      <c r="E1152" s="1414"/>
      <c r="F1152" s="1414"/>
      <c r="G1152" s="1414"/>
      <c r="H1152" s="1414"/>
      <c r="I1152" s="1414"/>
      <c r="J1152" s="1414"/>
      <c r="K1152" s="1414"/>
      <c r="L1152" s="1414"/>
      <c r="M1152" s="1414"/>
      <c r="N1152" s="1414"/>
      <c r="O1152" s="1414"/>
      <c r="P1152" s="1414"/>
      <c r="Q1152" s="1414"/>
      <c r="R1152" s="1414"/>
      <c r="S1152" s="1414"/>
      <c r="T1152" s="1414"/>
      <c r="U1152" s="1414"/>
      <c r="V1152" s="1414"/>
      <c r="W1152" s="1414"/>
      <c r="X1152" s="1414"/>
      <c r="Y1152" s="1414"/>
      <c r="Z1152" s="1414"/>
      <c r="AA1152" s="1414"/>
      <c r="AB1152" s="1414"/>
      <c r="AC1152" s="1414"/>
      <c r="AD1152" s="1414"/>
      <c r="AE1152" s="1414"/>
      <c r="AF1152" s="1414"/>
      <c r="AG1152" s="1414"/>
      <c r="AH1152" s="1414"/>
      <c r="AI1152" s="1414"/>
      <c r="AJ1152" s="1414"/>
      <c r="AK1152" s="1414"/>
      <c r="AL1152" s="1414"/>
      <c r="AM1152" s="1414"/>
      <c r="AN1152" s="1414"/>
      <c r="AO1152" s="1414"/>
      <c r="AP1152" s="1414"/>
      <c r="AQ1152" s="1414"/>
      <c r="AR1152" s="1414"/>
      <c r="AS1152" s="1414"/>
      <c r="AT1152" s="1414"/>
      <c r="AU1152" s="1414"/>
      <c r="AV1152" s="1414"/>
      <c r="AW1152" s="1414"/>
      <c r="AX1152" s="1414"/>
      <c r="AY1152" s="1399"/>
      <c r="AZ1152" s="1399"/>
      <c r="BA1152" s="1399"/>
      <c r="BB1152" s="1399"/>
      <c r="BC1152" s="1399"/>
      <c r="BD1152" s="1399"/>
      <c r="BE1152" s="1414"/>
      <c r="BF1152" s="1399"/>
      <c r="BG1152" s="1399"/>
      <c r="BH1152" s="1399"/>
      <c r="BI1152" s="1399"/>
      <c r="BJ1152" s="1399"/>
      <c r="BK1152" s="1399"/>
      <c r="BL1152" s="1399"/>
      <c r="BM1152" s="1399"/>
      <c r="BN1152" s="1399"/>
      <c r="BO1152" s="1399"/>
      <c r="BP1152" s="1399"/>
      <c r="BQ1152" s="1399"/>
      <c r="BR1152" s="1399"/>
      <c r="BS1152" s="1399"/>
      <c r="BT1152" s="1399"/>
      <c r="BU1152" s="1399"/>
      <c r="BV1152" s="1399"/>
      <c r="BW1152" s="1399"/>
      <c r="BX1152" s="1399"/>
      <c r="BY1152" s="1399"/>
      <c r="BZ1152" s="1399"/>
      <c r="CA1152" s="1399"/>
      <c r="CB1152" s="1399"/>
      <c r="CC1152" s="1399"/>
      <c r="CD1152" s="1399"/>
      <c r="CE1152" s="1399"/>
      <c r="CF1152" s="1399"/>
      <c r="CG1152" s="1399"/>
      <c r="CH1152" s="1399"/>
      <c r="CI1152" s="1399"/>
      <c r="CJ1152" s="1399"/>
      <c r="CK1152" s="1399"/>
      <c r="CL1152" s="1399"/>
      <c r="CM1152" s="1399"/>
      <c r="CN1152" s="1399"/>
      <c r="CO1152" s="1399"/>
      <c r="CP1152" s="1399"/>
      <c r="CQ1152" s="1399"/>
      <c r="CR1152" s="1399"/>
      <c r="CS1152" s="1399"/>
      <c r="CT1152" s="1399"/>
      <c r="CU1152" s="1399"/>
      <c r="CV1152" s="1399"/>
      <c r="CW1152" s="1399"/>
      <c r="CX1152" s="1399"/>
      <c r="CY1152" s="1399"/>
      <c r="CZ1152" s="1399"/>
      <c r="DA1152" s="1399"/>
      <c r="DB1152" s="1399"/>
      <c r="DC1152" s="1399"/>
      <c r="DD1152" s="1399"/>
      <c r="DE1152" s="1399"/>
      <c r="DF1152" s="1399"/>
      <c r="DG1152" s="1399"/>
      <c r="DH1152" s="1399"/>
      <c r="DI1152" s="1399"/>
      <c r="DJ1152" s="1399"/>
      <c r="DK1152" s="1399"/>
      <c r="DL1152" s="1399"/>
      <c r="DM1152" s="1399"/>
      <c r="DN1152" s="1399"/>
      <c r="DO1152" s="1399"/>
      <c r="DP1152" s="1399"/>
      <c r="DQ1152" s="1399"/>
      <c r="DR1152" s="1399"/>
      <c r="DS1152" s="1399"/>
      <c r="DT1152" s="1399"/>
      <c r="DU1152" s="1399"/>
    </row>
    <row r="1153" spans="1:125">
      <c r="A1153" s="1414"/>
      <c r="B1153" s="1414"/>
      <c r="C1153" s="1414"/>
      <c r="D1153" s="1414"/>
      <c r="E1153" s="1414"/>
      <c r="F1153" s="1414"/>
      <c r="G1153" s="1414"/>
      <c r="H1153" s="1414"/>
      <c r="I1153" s="1414"/>
      <c r="J1153" s="1414"/>
      <c r="K1153" s="1414"/>
      <c r="L1153" s="1414"/>
      <c r="M1153" s="1414"/>
      <c r="N1153" s="1414"/>
      <c r="O1153" s="1414"/>
      <c r="P1153" s="1414"/>
      <c r="Q1153" s="1414"/>
      <c r="R1153" s="1414"/>
      <c r="S1153" s="1414"/>
      <c r="T1153" s="1414"/>
      <c r="U1153" s="1414"/>
      <c r="V1153" s="1414"/>
      <c r="W1153" s="1414"/>
      <c r="X1153" s="1414"/>
      <c r="Y1153" s="1414"/>
      <c r="Z1153" s="1414"/>
      <c r="AA1153" s="1414"/>
      <c r="AB1153" s="1414"/>
      <c r="AC1153" s="1414"/>
      <c r="AD1153" s="1414"/>
      <c r="AE1153" s="1414"/>
      <c r="AF1153" s="1414"/>
      <c r="AG1153" s="1414"/>
      <c r="AH1153" s="1414"/>
      <c r="AI1153" s="1414"/>
      <c r="AJ1153" s="1414"/>
      <c r="AK1153" s="1414"/>
      <c r="AL1153" s="1414"/>
      <c r="AM1153" s="1414"/>
      <c r="AN1153" s="1414"/>
      <c r="AO1153" s="1414"/>
      <c r="AP1153" s="1414"/>
      <c r="AQ1153" s="1414"/>
      <c r="AR1153" s="1414"/>
      <c r="AS1153" s="1414"/>
      <c r="AT1153" s="1414"/>
      <c r="AU1153" s="1414"/>
      <c r="AV1153" s="1414"/>
      <c r="AW1153" s="1414"/>
      <c r="AX1153" s="1414"/>
      <c r="AY1153" s="1399"/>
      <c r="AZ1153" s="1399"/>
      <c r="BA1153" s="1399"/>
      <c r="BB1153" s="1399"/>
      <c r="BC1153" s="1399"/>
      <c r="BD1153" s="1399"/>
      <c r="BE1153" s="1414"/>
      <c r="BF1153" s="1399"/>
      <c r="BG1153" s="1399"/>
      <c r="BH1153" s="1399"/>
      <c r="BI1153" s="1399"/>
      <c r="BJ1153" s="1399"/>
      <c r="BK1153" s="1399"/>
      <c r="BL1153" s="1399"/>
      <c r="BM1153" s="1399"/>
      <c r="BN1153" s="1399"/>
      <c r="BO1153" s="1399"/>
      <c r="BP1153" s="1399"/>
      <c r="BQ1153" s="1399"/>
      <c r="BR1153" s="1399"/>
      <c r="BS1153" s="1399"/>
      <c r="BT1153" s="1399"/>
      <c r="BU1153" s="1399"/>
      <c r="BV1153" s="1399"/>
      <c r="BW1153" s="1399"/>
      <c r="BX1153" s="1399"/>
      <c r="BY1153" s="1399"/>
      <c r="BZ1153" s="1399"/>
      <c r="CA1153" s="1399"/>
      <c r="CB1153" s="1399"/>
      <c r="CC1153" s="1399"/>
      <c r="CD1153" s="1399"/>
      <c r="CE1153" s="1399"/>
      <c r="CF1153" s="1399"/>
      <c r="CG1153" s="1399"/>
      <c r="CH1153" s="1399"/>
      <c r="CI1153" s="1399"/>
      <c r="CJ1153" s="1399"/>
      <c r="CK1153" s="1399"/>
      <c r="CL1153" s="1399"/>
      <c r="CM1153" s="1399"/>
      <c r="CN1153" s="1399"/>
      <c r="CO1153" s="1399"/>
      <c r="CP1153" s="1399"/>
      <c r="CQ1153" s="1399"/>
      <c r="CR1153" s="1399"/>
      <c r="CS1153" s="1399"/>
      <c r="CT1153" s="1399"/>
      <c r="CU1153" s="1399"/>
      <c r="CV1153" s="1399"/>
      <c r="CW1153" s="1399"/>
      <c r="CX1153" s="1399"/>
      <c r="CY1153" s="1399"/>
      <c r="CZ1153" s="1399"/>
      <c r="DA1153" s="1399"/>
      <c r="DB1153" s="1399"/>
      <c r="DC1153" s="1399"/>
      <c r="DD1153" s="1399"/>
      <c r="DE1153" s="1399"/>
      <c r="DF1153" s="1399"/>
      <c r="DG1153" s="1399"/>
      <c r="DH1153" s="1399"/>
      <c r="DI1153" s="1399"/>
      <c r="DJ1153" s="1399"/>
      <c r="DK1153" s="1399"/>
      <c r="DL1153" s="1399"/>
      <c r="DM1153" s="1399"/>
      <c r="DN1153" s="1399"/>
      <c r="DO1153" s="1399"/>
      <c r="DP1153" s="1399"/>
      <c r="DQ1153" s="1399"/>
      <c r="DR1153" s="1399"/>
      <c r="DS1153" s="1399"/>
      <c r="DT1153" s="1399"/>
      <c r="DU1153" s="1399"/>
    </row>
    <row r="1154" spans="1:125">
      <c r="A1154" s="1414"/>
      <c r="B1154" s="1414"/>
      <c r="C1154" s="1414"/>
      <c r="D1154" s="1414"/>
      <c r="E1154" s="1414"/>
      <c r="F1154" s="1414"/>
      <c r="G1154" s="1414"/>
      <c r="H1154" s="1414"/>
      <c r="I1154" s="1414"/>
      <c r="J1154" s="1414"/>
      <c r="K1154" s="1414"/>
      <c r="L1154" s="1414"/>
      <c r="M1154" s="1414"/>
      <c r="N1154" s="1414"/>
      <c r="O1154" s="1414"/>
      <c r="P1154" s="1414"/>
      <c r="Q1154" s="1414"/>
      <c r="R1154" s="1414"/>
      <c r="S1154" s="1414"/>
      <c r="T1154" s="1414"/>
      <c r="U1154" s="1414"/>
      <c r="V1154" s="1414"/>
      <c r="W1154" s="1414"/>
      <c r="X1154" s="1414"/>
      <c r="Y1154" s="1414"/>
      <c r="Z1154" s="1414"/>
      <c r="AA1154" s="1414"/>
      <c r="AB1154" s="1414"/>
      <c r="AC1154" s="1414"/>
      <c r="AD1154" s="1414"/>
      <c r="AE1154" s="1414"/>
      <c r="AF1154" s="1414"/>
      <c r="AG1154" s="1414"/>
      <c r="AH1154" s="1414"/>
      <c r="AI1154" s="1414"/>
      <c r="AJ1154" s="1414"/>
      <c r="AK1154" s="1414"/>
      <c r="AL1154" s="1414"/>
      <c r="AM1154" s="1414"/>
      <c r="AN1154" s="1414"/>
      <c r="AO1154" s="1414"/>
      <c r="AP1154" s="1414"/>
      <c r="AQ1154" s="1414"/>
      <c r="AR1154" s="1414"/>
      <c r="AS1154" s="1414"/>
      <c r="AT1154" s="1414"/>
      <c r="AU1154" s="1414"/>
      <c r="AV1154" s="1414"/>
      <c r="AW1154" s="1414"/>
      <c r="AX1154" s="1414"/>
      <c r="AY1154" s="1399"/>
      <c r="AZ1154" s="1399"/>
      <c r="BA1154" s="1399"/>
      <c r="BB1154" s="1399"/>
      <c r="BC1154" s="1399"/>
      <c r="BD1154" s="1399"/>
      <c r="BE1154" s="1414"/>
      <c r="BF1154" s="1399"/>
      <c r="BG1154" s="1399"/>
      <c r="BH1154" s="1399"/>
      <c r="BI1154" s="1399"/>
      <c r="BJ1154" s="1399"/>
      <c r="BK1154" s="1399"/>
      <c r="BL1154" s="1399"/>
      <c r="BM1154" s="1399"/>
      <c r="BN1154" s="1399"/>
      <c r="BO1154" s="1399"/>
      <c r="BP1154" s="1399"/>
      <c r="BQ1154" s="1399"/>
      <c r="BR1154" s="1399"/>
      <c r="BS1154" s="1399"/>
      <c r="BT1154" s="1399"/>
      <c r="BU1154" s="1399"/>
      <c r="BV1154" s="1399"/>
      <c r="BW1154" s="1399"/>
      <c r="BX1154" s="1399"/>
      <c r="BY1154" s="1399"/>
      <c r="BZ1154" s="1399"/>
      <c r="CA1154" s="1399"/>
      <c r="CB1154" s="1399"/>
      <c r="CC1154" s="1399"/>
      <c r="CD1154" s="1399"/>
      <c r="CE1154" s="1399"/>
      <c r="CF1154" s="1399"/>
      <c r="CG1154" s="1399"/>
      <c r="CH1154" s="1399"/>
      <c r="CI1154" s="1399"/>
      <c r="CJ1154" s="1399"/>
      <c r="CK1154" s="1399"/>
      <c r="CL1154" s="1399"/>
      <c r="CM1154" s="1399"/>
      <c r="CN1154" s="1399"/>
      <c r="CO1154" s="1399"/>
      <c r="CP1154" s="1399"/>
      <c r="CQ1154" s="1399"/>
      <c r="CR1154" s="1399"/>
      <c r="CS1154" s="1399"/>
      <c r="CT1154" s="1399"/>
      <c r="CU1154" s="1399"/>
      <c r="CV1154" s="1399"/>
      <c r="CW1154" s="1399"/>
      <c r="CX1154" s="1399"/>
      <c r="CY1154" s="1399"/>
      <c r="CZ1154" s="1399"/>
      <c r="DA1154" s="1399"/>
      <c r="DB1154" s="1399"/>
      <c r="DC1154" s="1399"/>
      <c r="DD1154" s="1399"/>
      <c r="DE1154" s="1399"/>
      <c r="DF1154" s="1399"/>
      <c r="DG1154" s="1399"/>
      <c r="DH1154" s="1399"/>
      <c r="DI1154" s="1399"/>
      <c r="DJ1154" s="1399"/>
      <c r="DK1154" s="1399"/>
      <c r="DL1154" s="1399"/>
      <c r="DM1154" s="1399"/>
      <c r="DN1154" s="1399"/>
      <c r="DO1154" s="1399"/>
      <c r="DP1154" s="1399"/>
      <c r="DQ1154" s="1399"/>
      <c r="DR1154" s="1399"/>
      <c r="DS1154" s="1399"/>
      <c r="DT1154" s="1399"/>
      <c r="DU1154" s="1399"/>
    </row>
    <row r="1155" spans="1:125">
      <c r="A1155" s="1414"/>
      <c r="B1155" s="1414"/>
      <c r="C1155" s="1414"/>
      <c r="D1155" s="1414"/>
      <c r="E1155" s="1414"/>
      <c r="F1155" s="1414"/>
      <c r="G1155" s="1414"/>
      <c r="H1155" s="1414"/>
      <c r="I1155" s="1414"/>
      <c r="J1155" s="1414"/>
      <c r="K1155" s="1414"/>
      <c r="L1155" s="1414"/>
      <c r="M1155" s="1414"/>
      <c r="N1155" s="1414"/>
      <c r="O1155" s="1414"/>
      <c r="P1155" s="1414"/>
      <c r="Q1155" s="1414"/>
      <c r="R1155" s="1414"/>
      <c r="S1155" s="1414"/>
      <c r="T1155" s="1414"/>
      <c r="U1155" s="1414"/>
      <c r="V1155" s="1414"/>
      <c r="W1155" s="1414"/>
      <c r="X1155" s="1414"/>
      <c r="Y1155" s="1414"/>
      <c r="Z1155" s="1414"/>
      <c r="AA1155" s="1414"/>
      <c r="AB1155" s="1414"/>
      <c r="AC1155" s="1414"/>
      <c r="AD1155" s="1414"/>
      <c r="AE1155" s="1414"/>
      <c r="AF1155" s="1414"/>
      <c r="AG1155" s="1414"/>
      <c r="AH1155" s="1414"/>
      <c r="AI1155" s="1414"/>
      <c r="AJ1155" s="1414"/>
      <c r="AK1155" s="1414"/>
      <c r="AL1155" s="1414"/>
      <c r="AM1155" s="1414"/>
      <c r="AN1155" s="1414"/>
      <c r="AO1155" s="1414"/>
      <c r="AP1155" s="1414"/>
      <c r="AQ1155" s="1414"/>
      <c r="AR1155" s="1414"/>
      <c r="AS1155" s="1414"/>
      <c r="AT1155" s="1414"/>
      <c r="AU1155" s="1414"/>
      <c r="AV1155" s="1414"/>
      <c r="AW1155" s="1414"/>
      <c r="AX1155" s="1414"/>
      <c r="AY1155" s="1399"/>
      <c r="AZ1155" s="1399"/>
      <c r="BA1155" s="1399"/>
      <c r="BB1155" s="1399"/>
      <c r="BC1155" s="1399"/>
      <c r="BD1155" s="1399"/>
      <c r="BE1155" s="1414"/>
      <c r="BF1155" s="1399"/>
      <c r="BG1155" s="1399"/>
      <c r="BH1155" s="1399"/>
      <c r="BI1155" s="1399"/>
      <c r="BJ1155" s="1399"/>
      <c r="BK1155" s="1399"/>
      <c r="BL1155" s="1399"/>
      <c r="BM1155" s="1399"/>
      <c r="BN1155" s="1399"/>
      <c r="BO1155" s="1399"/>
      <c r="BP1155" s="1399"/>
      <c r="BQ1155" s="1399"/>
      <c r="BR1155" s="1399"/>
      <c r="BS1155" s="1399"/>
      <c r="BT1155" s="1399"/>
      <c r="BU1155" s="1399"/>
      <c r="BV1155" s="1399"/>
      <c r="BW1155" s="1399"/>
      <c r="BX1155" s="1399"/>
      <c r="BY1155" s="1399"/>
      <c r="BZ1155" s="1399"/>
      <c r="CA1155" s="1399"/>
      <c r="CB1155" s="1399"/>
      <c r="CC1155" s="1399"/>
      <c r="CD1155" s="1399"/>
      <c r="CE1155" s="1399"/>
      <c r="CF1155" s="1399"/>
      <c r="CG1155" s="1399"/>
      <c r="CH1155" s="1399"/>
      <c r="CI1155" s="1399"/>
      <c r="CJ1155" s="1399"/>
      <c r="CK1155" s="1399"/>
      <c r="CL1155" s="1399"/>
      <c r="CM1155" s="1399"/>
      <c r="CN1155" s="1399"/>
      <c r="CO1155" s="1399"/>
      <c r="CP1155" s="1399"/>
      <c r="CQ1155" s="1399"/>
      <c r="CR1155" s="1399"/>
      <c r="CS1155" s="1399"/>
      <c r="CT1155" s="1399"/>
      <c r="CU1155" s="1399"/>
      <c r="CV1155" s="1399"/>
      <c r="CW1155" s="1399"/>
      <c r="CX1155" s="1399"/>
      <c r="CY1155" s="1399"/>
      <c r="CZ1155" s="1399"/>
      <c r="DA1155" s="1399"/>
      <c r="DB1155" s="1399"/>
      <c r="DC1155" s="1399"/>
      <c r="DD1155" s="1399"/>
      <c r="DE1155" s="1399"/>
      <c r="DF1155" s="1399"/>
      <c r="DG1155" s="1399"/>
      <c r="DH1155" s="1399"/>
      <c r="DI1155" s="1399"/>
      <c r="DJ1155" s="1399"/>
      <c r="DK1155" s="1399"/>
      <c r="DL1155" s="1399"/>
      <c r="DM1155" s="1399"/>
      <c r="DN1155" s="1399"/>
      <c r="DO1155" s="1399"/>
      <c r="DP1155" s="1399"/>
      <c r="DQ1155" s="1399"/>
      <c r="DR1155" s="1399"/>
      <c r="DS1155" s="1399"/>
      <c r="DT1155" s="1399"/>
      <c r="DU1155" s="1399"/>
    </row>
    <row r="1156" spans="1:125">
      <c r="A1156" s="1414"/>
      <c r="B1156" s="1414"/>
      <c r="C1156" s="1414"/>
      <c r="D1156" s="1414"/>
      <c r="E1156" s="1414"/>
      <c r="F1156" s="1414"/>
      <c r="G1156" s="1414"/>
      <c r="H1156" s="1414"/>
      <c r="I1156" s="1414"/>
      <c r="J1156" s="1414"/>
      <c r="K1156" s="1414"/>
      <c r="L1156" s="1414"/>
      <c r="M1156" s="1414"/>
      <c r="N1156" s="1414"/>
      <c r="O1156" s="1414"/>
      <c r="P1156" s="1414"/>
      <c r="Q1156" s="1414"/>
      <c r="R1156" s="1414"/>
      <c r="S1156" s="1414"/>
      <c r="T1156" s="1414"/>
      <c r="U1156" s="1414"/>
      <c r="V1156" s="1414"/>
      <c r="W1156" s="1414"/>
      <c r="X1156" s="1414"/>
      <c r="Y1156" s="1414"/>
      <c r="Z1156" s="1414"/>
      <c r="AA1156" s="1414"/>
      <c r="AB1156" s="1414"/>
      <c r="AC1156" s="1414"/>
      <c r="AD1156" s="1414"/>
      <c r="AE1156" s="1414"/>
      <c r="AF1156" s="1414"/>
      <c r="AG1156" s="1414"/>
      <c r="AH1156" s="1414"/>
      <c r="AI1156" s="1414"/>
      <c r="AJ1156" s="1414"/>
      <c r="AK1156" s="1414"/>
      <c r="AL1156" s="1414"/>
      <c r="AM1156" s="1414"/>
      <c r="AN1156" s="1414"/>
      <c r="AO1156" s="1414"/>
      <c r="AP1156" s="1414"/>
      <c r="AQ1156" s="1414"/>
      <c r="AR1156" s="1414"/>
      <c r="AS1156" s="1414"/>
      <c r="AT1156" s="1414"/>
      <c r="AU1156" s="1414"/>
      <c r="AV1156" s="1414"/>
      <c r="AW1156" s="1414"/>
      <c r="AX1156" s="1414"/>
      <c r="AY1156" s="1399"/>
      <c r="AZ1156" s="1399"/>
      <c r="BA1156" s="1399"/>
      <c r="BB1156" s="1399"/>
      <c r="BC1156" s="1399"/>
      <c r="BD1156" s="1399"/>
      <c r="BE1156" s="1414"/>
      <c r="BF1156" s="1399"/>
      <c r="BG1156" s="1399"/>
      <c r="BH1156" s="1399"/>
      <c r="BI1156" s="1399"/>
      <c r="BJ1156" s="1399"/>
      <c r="BK1156" s="1399"/>
      <c r="BL1156" s="1399"/>
      <c r="BM1156" s="1399"/>
      <c r="BN1156" s="1399"/>
      <c r="BO1156" s="1399"/>
      <c r="BP1156" s="1399"/>
      <c r="BQ1156" s="1399"/>
      <c r="BR1156" s="1399"/>
      <c r="BS1156" s="1399"/>
      <c r="BT1156" s="1399"/>
      <c r="BU1156" s="1399"/>
      <c r="BV1156" s="1399"/>
      <c r="BW1156" s="1399"/>
      <c r="BX1156" s="1399"/>
      <c r="BY1156" s="1399"/>
      <c r="BZ1156" s="1399"/>
      <c r="CA1156" s="1399"/>
      <c r="CB1156" s="1399"/>
      <c r="CC1156" s="1399"/>
      <c r="CD1156" s="1399"/>
      <c r="CE1156" s="1399"/>
      <c r="CF1156" s="1399"/>
      <c r="CG1156" s="1399"/>
      <c r="CH1156" s="1399"/>
      <c r="CI1156" s="1399"/>
      <c r="CJ1156" s="1399"/>
      <c r="CK1156" s="1399"/>
      <c r="CL1156" s="1399"/>
      <c r="CM1156" s="1399"/>
      <c r="CN1156" s="1399"/>
      <c r="CO1156" s="1399"/>
      <c r="CP1156" s="1399"/>
      <c r="CQ1156" s="1399"/>
      <c r="CR1156" s="1399"/>
      <c r="CS1156" s="1399"/>
      <c r="CT1156" s="1399"/>
      <c r="CU1156" s="1399"/>
      <c r="CV1156" s="1399"/>
      <c r="CW1156" s="1399"/>
      <c r="CX1156" s="1399"/>
      <c r="CY1156" s="1399"/>
      <c r="CZ1156" s="1399"/>
      <c r="DA1156" s="1399"/>
      <c r="DB1156" s="1399"/>
      <c r="DC1156" s="1399"/>
      <c r="DD1156" s="1399"/>
      <c r="DE1156" s="1399"/>
      <c r="DF1156" s="1399"/>
      <c r="DG1156" s="1399"/>
      <c r="DH1156" s="1399"/>
      <c r="DI1156" s="1399"/>
      <c r="DJ1156" s="1399"/>
      <c r="DK1156" s="1399"/>
      <c r="DL1156" s="1399"/>
      <c r="DM1156" s="1399"/>
      <c r="DN1156" s="1399"/>
      <c r="DO1156" s="1399"/>
      <c r="DP1156" s="1399"/>
      <c r="DQ1156" s="1399"/>
      <c r="DR1156" s="1399"/>
      <c r="DS1156" s="1399"/>
      <c r="DT1156" s="1399"/>
      <c r="DU1156" s="1399"/>
    </row>
    <row r="1157" spans="1:125">
      <c r="A1157" s="1414"/>
      <c r="B1157" s="1414"/>
      <c r="C1157" s="1414"/>
      <c r="D1157" s="1414"/>
      <c r="E1157" s="1414"/>
      <c r="F1157" s="1414"/>
      <c r="G1157" s="1414"/>
      <c r="H1157" s="1414"/>
      <c r="I1157" s="1414"/>
      <c r="J1157" s="1414"/>
      <c r="K1157" s="1414"/>
      <c r="L1157" s="1414"/>
      <c r="M1157" s="1414"/>
      <c r="N1157" s="1414"/>
      <c r="O1157" s="1414"/>
      <c r="P1157" s="1414"/>
      <c r="Q1157" s="1414"/>
      <c r="R1157" s="1414"/>
      <c r="S1157" s="1414"/>
      <c r="T1157" s="1414"/>
      <c r="U1157" s="1414"/>
      <c r="V1157" s="1414"/>
      <c r="W1157" s="1414"/>
      <c r="X1157" s="1414"/>
      <c r="Y1157" s="1414"/>
      <c r="Z1157" s="1414"/>
      <c r="AA1157" s="1414"/>
      <c r="AB1157" s="1414"/>
      <c r="AC1157" s="1414"/>
      <c r="AD1157" s="1414"/>
      <c r="AE1157" s="1414"/>
      <c r="AF1157" s="1414"/>
      <c r="AG1157" s="1414"/>
      <c r="AH1157" s="1414"/>
      <c r="AI1157" s="1414"/>
      <c r="AJ1157" s="1414"/>
      <c r="AK1157" s="1414"/>
      <c r="AL1157" s="1414"/>
      <c r="AM1157" s="1414"/>
      <c r="AN1157" s="1414"/>
      <c r="AO1157" s="1414"/>
      <c r="AP1157" s="1414"/>
      <c r="AQ1157" s="1414"/>
      <c r="AR1157" s="1414"/>
      <c r="AS1157" s="1414"/>
      <c r="AT1157" s="1414"/>
      <c r="AU1157" s="1414"/>
      <c r="AV1157" s="1414"/>
      <c r="AW1157" s="1414"/>
      <c r="AX1157" s="1414"/>
      <c r="AY1157" s="1399"/>
      <c r="AZ1157" s="1399"/>
      <c r="BA1157" s="1399"/>
      <c r="BB1157" s="1399"/>
      <c r="BC1157" s="1399"/>
      <c r="BD1157" s="1399"/>
      <c r="BE1157" s="1414"/>
      <c r="BF1157" s="1399"/>
      <c r="BG1157" s="1399"/>
      <c r="BH1157" s="1399"/>
      <c r="BI1157" s="1399"/>
      <c r="BJ1157" s="1399"/>
      <c r="BK1157" s="1399"/>
      <c r="BL1157" s="1399"/>
      <c r="BM1157" s="1399"/>
      <c r="BN1157" s="1399"/>
      <c r="BO1157" s="1399"/>
      <c r="BP1157" s="1399"/>
      <c r="BQ1157" s="1399"/>
      <c r="BR1157" s="1399"/>
      <c r="BS1157" s="1399"/>
      <c r="BT1157" s="1399"/>
      <c r="BU1157" s="1399"/>
      <c r="BV1157" s="1399"/>
      <c r="BW1157" s="1399"/>
      <c r="BX1157" s="1399"/>
      <c r="BY1157" s="1399"/>
      <c r="BZ1157" s="1399"/>
      <c r="CA1157" s="1399"/>
      <c r="CB1157" s="1399"/>
      <c r="CC1157" s="1399"/>
      <c r="CD1157" s="1399"/>
      <c r="CE1157" s="1399"/>
      <c r="CF1157" s="1399"/>
      <c r="CG1157" s="1399"/>
      <c r="CH1157" s="1399"/>
      <c r="CI1157" s="1399"/>
      <c r="CJ1157" s="1399"/>
      <c r="CK1157" s="1399"/>
      <c r="CL1157" s="1399"/>
      <c r="CM1157" s="1399"/>
      <c r="CN1157" s="1399"/>
      <c r="CO1157" s="1399"/>
      <c r="CP1157" s="1399"/>
      <c r="CQ1157" s="1399"/>
      <c r="CR1157" s="1399"/>
      <c r="CS1157" s="1399"/>
      <c r="CT1157" s="1399"/>
      <c r="CU1157" s="1399"/>
      <c r="CV1157" s="1399"/>
      <c r="CW1157" s="1399"/>
      <c r="CX1157" s="1399"/>
      <c r="CY1157" s="1399"/>
      <c r="CZ1157" s="1399"/>
      <c r="DA1157" s="1399"/>
      <c r="DB1157" s="1399"/>
      <c r="DC1157" s="1399"/>
      <c r="DD1157" s="1399"/>
      <c r="DE1157" s="1399"/>
      <c r="DF1157" s="1399"/>
      <c r="DG1157" s="1399"/>
      <c r="DH1157" s="1399"/>
      <c r="DI1157" s="1399"/>
      <c r="DJ1157" s="1399"/>
      <c r="DK1157" s="1399"/>
      <c r="DL1157" s="1399"/>
      <c r="DM1157" s="1399"/>
      <c r="DN1157" s="1399"/>
      <c r="DO1157" s="1399"/>
      <c r="DP1157" s="1399"/>
      <c r="DQ1157" s="1399"/>
      <c r="DR1157" s="1399"/>
      <c r="DS1157" s="1399"/>
      <c r="DT1157" s="1399"/>
      <c r="DU1157" s="1399"/>
    </row>
    <row r="1158" spans="1:125">
      <c r="A1158" s="1414"/>
      <c r="B1158" s="1414"/>
      <c r="C1158" s="1414"/>
      <c r="D1158" s="1414"/>
      <c r="E1158" s="1414"/>
      <c r="F1158" s="1414"/>
      <c r="G1158" s="1414"/>
      <c r="H1158" s="1414"/>
      <c r="I1158" s="1414"/>
      <c r="J1158" s="1414"/>
      <c r="K1158" s="1414"/>
      <c r="L1158" s="1414"/>
      <c r="M1158" s="1414"/>
      <c r="N1158" s="1414"/>
      <c r="O1158" s="1414"/>
      <c r="P1158" s="1414"/>
      <c r="Q1158" s="1414"/>
      <c r="R1158" s="1414"/>
      <c r="S1158" s="1414"/>
      <c r="T1158" s="1414"/>
      <c r="U1158" s="1414"/>
      <c r="V1158" s="1414"/>
      <c r="W1158" s="1414"/>
      <c r="X1158" s="1414"/>
      <c r="Y1158" s="1414"/>
      <c r="Z1158" s="1414"/>
      <c r="AA1158" s="1414"/>
      <c r="AB1158" s="1414"/>
      <c r="AC1158" s="1414"/>
      <c r="AD1158" s="1414"/>
      <c r="AE1158" s="1414"/>
      <c r="AF1158" s="1414"/>
      <c r="AG1158" s="1414"/>
      <c r="AH1158" s="1414"/>
      <c r="AI1158" s="1414"/>
      <c r="AJ1158" s="1414"/>
      <c r="AK1158" s="1414"/>
      <c r="AL1158" s="1414"/>
      <c r="AM1158" s="1414"/>
      <c r="AN1158" s="1414"/>
      <c r="AO1158" s="1414"/>
      <c r="AP1158" s="1414"/>
      <c r="AQ1158" s="1414"/>
      <c r="AR1158" s="1414"/>
      <c r="AS1158" s="1414"/>
      <c r="AT1158" s="1414"/>
      <c r="AU1158" s="1414"/>
      <c r="AV1158" s="1414"/>
      <c r="AW1158" s="1414"/>
      <c r="AX1158" s="1414"/>
      <c r="AY1158" s="1399"/>
      <c r="AZ1158" s="1399"/>
      <c r="BA1158" s="1399"/>
      <c r="BB1158" s="1399"/>
      <c r="BC1158" s="1399"/>
      <c r="BD1158" s="1399"/>
      <c r="BE1158" s="1414"/>
      <c r="BF1158" s="1399"/>
      <c r="BG1158" s="1399"/>
      <c r="BH1158" s="1399"/>
      <c r="BI1158" s="1399"/>
      <c r="BJ1158" s="1399"/>
      <c r="BK1158" s="1399"/>
      <c r="BL1158" s="1399"/>
      <c r="BM1158" s="1399"/>
      <c r="BN1158" s="1399"/>
      <c r="BO1158" s="1399"/>
      <c r="BP1158" s="1399"/>
      <c r="BQ1158" s="1399"/>
      <c r="BR1158" s="1399"/>
      <c r="BS1158" s="1399"/>
      <c r="BT1158" s="1399"/>
      <c r="BU1158" s="1399"/>
      <c r="BV1158" s="1399"/>
      <c r="BW1158" s="1399"/>
      <c r="BX1158" s="1399"/>
      <c r="BY1158" s="1399"/>
      <c r="BZ1158" s="1399"/>
      <c r="CA1158" s="1399"/>
      <c r="CB1158" s="1399"/>
      <c r="CC1158" s="1399"/>
      <c r="CD1158" s="1399"/>
      <c r="CE1158" s="1399"/>
      <c r="CF1158" s="1399"/>
      <c r="CG1158" s="1399"/>
      <c r="CH1158" s="1399"/>
      <c r="CI1158" s="1399"/>
      <c r="CJ1158" s="1399"/>
      <c r="CK1158" s="1399"/>
      <c r="CL1158" s="1399"/>
      <c r="CM1158" s="1399"/>
      <c r="CN1158" s="1399"/>
      <c r="CO1158" s="1399"/>
      <c r="CP1158" s="1399"/>
      <c r="CQ1158" s="1399"/>
      <c r="CR1158" s="1399"/>
      <c r="CS1158" s="1399"/>
      <c r="CT1158" s="1399"/>
      <c r="CU1158" s="1399"/>
      <c r="CV1158" s="1399"/>
      <c r="CW1158" s="1399"/>
      <c r="CX1158" s="1399"/>
      <c r="CY1158" s="1399"/>
      <c r="CZ1158" s="1399"/>
      <c r="DA1158" s="1399"/>
      <c r="DB1158" s="1399"/>
      <c r="DC1158" s="1399"/>
      <c r="DD1158" s="1399"/>
      <c r="DE1158" s="1399"/>
      <c r="DF1158" s="1399"/>
      <c r="DG1158" s="1399"/>
      <c r="DH1158" s="1399"/>
      <c r="DI1158" s="1399"/>
      <c r="DJ1158" s="1399"/>
      <c r="DK1158" s="1399"/>
      <c r="DL1158" s="1399"/>
      <c r="DM1158" s="1399"/>
      <c r="DN1158" s="1399"/>
      <c r="DO1158" s="1399"/>
      <c r="DP1158" s="1399"/>
      <c r="DQ1158" s="1399"/>
      <c r="DR1158" s="1399"/>
      <c r="DS1158" s="1399"/>
      <c r="DT1158" s="1399"/>
      <c r="DU1158" s="1399"/>
    </row>
    <row r="1159" spans="1:125">
      <c r="A1159" s="1414"/>
      <c r="B1159" s="1414"/>
      <c r="C1159" s="1414"/>
      <c r="D1159" s="1414"/>
      <c r="E1159" s="1414"/>
      <c r="F1159" s="1414"/>
      <c r="G1159" s="1414"/>
      <c r="H1159" s="1414"/>
      <c r="I1159" s="1414"/>
      <c r="J1159" s="1414"/>
      <c r="K1159" s="1414"/>
      <c r="L1159" s="1414"/>
      <c r="M1159" s="1414"/>
      <c r="N1159" s="1414"/>
      <c r="O1159" s="1414"/>
      <c r="P1159" s="1414"/>
      <c r="Q1159" s="1414"/>
      <c r="R1159" s="1414"/>
      <c r="S1159" s="1414"/>
      <c r="T1159" s="1414"/>
      <c r="U1159" s="1414"/>
      <c r="V1159" s="1414"/>
      <c r="W1159" s="1414"/>
      <c r="X1159" s="1414"/>
      <c r="Y1159" s="1414"/>
      <c r="Z1159" s="1414"/>
      <c r="AA1159" s="1414"/>
      <c r="AB1159" s="1414"/>
      <c r="AC1159" s="1414"/>
      <c r="AD1159" s="1414"/>
      <c r="AE1159" s="1414"/>
      <c r="AF1159" s="1414"/>
      <c r="AG1159" s="1414"/>
      <c r="AH1159" s="1414"/>
      <c r="AI1159" s="1414"/>
      <c r="AJ1159" s="1414"/>
      <c r="AK1159" s="1414"/>
      <c r="AL1159" s="1414"/>
      <c r="AM1159" s="1414"/>
      <c r="AN1159" s="1414"/>
      <c r="AO1159" s="1414"/>
      <c r="AP1159" s="1414"/>
      <c r="AQ1159" s="1414"/>
      <c r="AR1159" s="1414"/>
      <c r="AS1159" s="1414"/>
      <c r="AT1159" s="1414"/>
      <c r="AU1159" s="1414"/>
      <c r="AV1159" s="1414"/>
      <c r="AW1159" s="1414"/>
      <c r="AX1159" s="1414"/>
      <c r="AY1159" s="1399"/>
      <c r="AZ1159" s="1399"/>
      <c r="BA1159" s="1399"/>
      <c r="BB1159" s="1399"/>
      <c r="BC1159" s="1399"/>
      <c r="BD1159" s="1399"/>
      <c r="BE1159" s="1414"/>
      <c r="BF1159" s="1399"/>
      <c r="BG1159" s="1399"/>
      <c r="BH1159" s="1399"/>
      <c r="BI1159" s="1399"/>
      <c r="BJ1159" s="1399"/>
      <c r="BK1159" s="1399"/>
      <c r="BL1159" s="1399"/>
      <c r="BM1159" s="1399"/>
      <c r="BN1159" s="1399"/>
      <c r="BO1159" s="1399"/>
      <c r="BP1159" s="1399"/>
      <c r="BQ1159" s="1399"/>
      <c r="BR1159" s="1399"/>
      <c r="BS1159" s="1399"/>
      <c r="BT1159" s="1399"/>
      <c r="BU1159" s="1399"/>
      <c r="BV1159" s="1399"/>
      <c r="BW1159" s="1399"/>
      <c r="BX1159" s="1399"/>
      <c r="BY1159" s="1399"/>
      <c r="BZ1159" s="1399"/>
      <c r="CA1159" s="1399"/>
      <c r="CB1159" s="1399"/>
      <c r="CC1159" s="1399"/>
      <c r="CD1159" s="1399"/>
      <c r="CE1159" s="1399"/>
      <c r="CF1159" s="1399"/>
      <c r="CG1159" s="1399"/>
      <c r="CH1159" s="1399"/>
      <c r="CI1159" s="1399"/>
      <c r="CJ1159" s="1399"/>
      <c r="CK1159" s="1399"/>
      <c r="CL1159" s="1399"/>
      <c r="CM1159" s="1399"/>
      <c r="CN1159" s="1399"/>
      <c r="CO1159" s="1399"/>
      <c r="CP1159" s="1399"/>
      <c r="CQ1159" s="1399"/>
      <c r="CR1159" s="1399"/>
      <c r="CS1159" s="1399"/>
      <c r="CT1159" s="1399"/>
      <c r="CU1159" s="1399"/>
      <c r="CV1159" s="1399"/>
      <c r="CW1159" s="1399"/>
      <c r="CX1159" s="1399"/>
      <c r="CY1159" s="1399"/>
      <c r="CZ1159" s="1399"/>
      <c r="DA1159" s="1399"/>
      <c r="DB1159" s="1399"/>
      <c r="DC1159" s="1399"/>
      <c r="DD1159" s="1399"/>
      <c r="DE1159" s="1399"/>
      <c r="DF1159" s="1399"/>
      <c r="DG1159" s="1399"/>
      <c r="DH1159" s="1399"/>
      <c r="DI1159" s="1399"/>
      <c r="DJ1159" s="1399"/>
      <c r="DK1159" s="1399"/>
      <c r="DL1159" s="1399"/>
      <c r="DM1159" s="1399"/>
      <c r="DN1159" s="1399"/>
      <c r="DO1159" s="1399"/>
      <c r="DP1159" s="1399"/>
      <c r="DQ1159" s="1399"/>
      <c r="DR1159" s="1399"/>
      <c r="DS1159" s="1399"/>
      <c r="DT1159" s="1399"/>
      <c r="DU1159" s="1399"/>
    </row>
    <row r="1160" spans="1:125">
      <c r="A1160" s="1414"/>
      <c r="B1160" s="1414"/>
      <c r="C1160" s="1414"/>
      <c r="D1160" s="1414"/>
      <c r="E1160" s="1414"/>
      <c r="F1160" s="1414"/>
      <c r="G1160" s="1414"/>
      <c r="H1160" s="1414"/>
      <c r="I1160" s="1414"/>
      <c r="J1160" s="1414"/>
      <c r="K1160" s="1414"/>
      <c r="L1160" s="1414"/>
      <c r="M1160" s="1414"/>
      <c r="N1160" s="1414"/>
      <c r="O1160" s="1414"/>
      <c r="P1160" s="1414"/>
      <c r="Q1160" s="1414"/>
      <c r="R1160" s="1414"/>
      <c r="S1160" s="1414"/>
      <c r="T1160" s="1414"/>
      <c r="U1160" s="1414"/>
      <c r="V1160" s="1414"/>
      <c r="W1160" s="1414"/>
      <c r="X1160" s="1414"/>
      <c r="Y1160" s="1414"/>
      <c r="Z1160" s="1414"/>
      <c r="AA1160" s="1414"/>
      <c r="AB1160" s="1414"/>
      <c r="AC1160" s="1414"/>
      <c r="AD1160" s="1414"/>
      <c r="AE1160" s="1414"/>
      <c r="AF1160" s="1414"/>
      <c r="AG1160" s="1414"/>
      <c r="AH1160" s="1414"/>
      <c r="AI1160" s="1414"/>
      <c r="AJ1160" s="1414"/>
      <c r="AK1160" s="1414"/>
      <c r="AL1160" s="1414"/>
      <c r="AM1160" s="1414"/>
      <c r="AN1160" s="1414"/>
      <c r="AO1160" s="1414"/>
      <c r="AP1160" s="1414"/>
      <c r="AQ1160" s="1414"/>
      <c r="AR1160" s="1414"/>
      <c r="AS1160" s="1414"/>
      <c r="AT1160" s="1414"/>
      <c r="AU1160" s="1414"/>
      <c r="AV1160" s="1414"/>
      <c r="AW1160" s="1414"/>
      <c r="AX1160" s="1414"/>
      <c r="AY1160" s="1399"/>
      <c r="AZ1160" s="1399"/>
      <c r="BA1160" s="1399"/>
      <c r="BB1160" s="1399"/>
      <c r="BC1160" s="1399"/>
      <c r="BD1160" s="1399"/>
      <c r="BE1160" s="1414"/>
      <c r="BF1160" s="1399"/>
      <c r="BG1160" s="1399"/>
      <c r="BH1160" s="1399"/>
      <c r="BI1160" s="1399"/>
      <c r="BJ1160" s="1399"/>
      <c r="BK1160" s="1399"/>
      <c r="BL1160" s="1399"/>
      <c r="BM1160" s="1399"/>
      <c r="BN1160" s="1399"/>
      <c r="BO1160" s="1399"/>
      <c r="BP1160" s="1399"/>
      <c r="BQ1160" s="1399"/>
      <c r="BR1160" s="1399"/>
      <c r="BS1160" s="1399"/>
      <c r="BT1160" s="1399"/>
      <c r="BU1160" s="1399"/>
      <c r="BV1160" s="1399"/>
      <c r="BW1160" s="1399"/>
      <c r="BX1160" s="1399"/>
      <c r="BY1160" s="1399"/>
      <c r="BZ1160" s="1399"/>
      <c r="CA1160" s="1399"/>
      <c r="CB1160" s="1399"/>
      <c r="CC1160" s="1399"/>
      <c r="CD1160" s="1399"/>
      <c r="CE1160" s="1399"/>
      <c r="CF1160" s="1399"/>
      <c r="CG1160" s="1399"/>
      <c r="CH1160" s="1399"/>
      <c r="CI1160" s="1399"/>
      <c r="CJ1160" s="1399"/>
      <c r="CK1160" s="1399"/>
      <c r="CL1160" s="1399"/>
      <c r="CM1160" s="1399"/>
      <c r="CN1160" s="1399"/>
      <c r="CO1160" s="1399"/>
      <c r="CP1160" s="1399"/>
      <c r="CQ1160" s="1399"/>
      <c r="CR1160" s="1399"/>
      <c r="CS1160" s="1399"/>
      <c r="CT1160" s="1399"/>
      <c r="CU1160" s="1399"/>
      <c r="CV1160" s="1399"/>
      <c r="CW1160" s="1399"/>
      <c r="CX1160" s="1399"/>
      <c r="CY1160" s="1399"/>
      <c r="CZ1160" s="1399"/>
      <c r="DA1160" s="1399"/>
      <c r="DB1160" s="1399"/>
      <c r="DC1160" s="1399"/>
      <c r="DD1160" s="1399"/>
      <c r="DE1160" s="1399"/>
      <c r="DF1160" s="1399"/>
      <c r="DG1160" s="1399"/>
      <c r="DH1160" s="1399"/>
      <c r="DI1160" s="1399"/>
      <c r="DJ1160" s="1399"/>
      <c r="DK1160" s="1399"/>
      <c r="DL1160" s="1399"/>
      <c r="DM1160" s="1399"/>
      <c r="DN1160" s="1399"/>
      <c r="DO1160" s="1399"/>
      <c r="DP1160" s="1399"/>
      <c r="DQ1160" s="1399"/>
      <c r="DR1160" s="1399"/>
      <c r="DS1160" s="1399"/>
      <c r="DT1160" s="1399"/>
      <c r="DU1160" s="1399"/>
    </row>
    <row r="1161" spans="1:125">
      <c r="A1161" s="1414"/>
      <c r="B1161" s="1414"/>
      <c r="C1161" s="1414"/>
      <c r="D1161" s="1414"/>
      <c r="E1161" s="1414"/>
      <c r="F1161" s="1414"/>
      <c r="G1161" s="1414"/>
      <c r="H1161" s="1414"/>
      <c r="I1161" s="1414"/>
      <c r="J1161" s="1414"/>
      <c r="K1161" s="1414"/>
      <c r="L1161" s="1414"/>
      <c r="M1161" s="1414"/>
      <c r="N1161" s="1414"/>
      <c r="O1161" s="1414"/>
      <c r="P1161" s="1414"/>
      <c r="Q1161" s="1414"/>
      <c r="R1161" s="1414"/>
      <c r="S1161" s="1414"/>
      <c r="T1161" s="1414"/>
      <c r="U1161" s="1414"/>
      <c r="V1161" s="1414"/>
      <c r="W1161" s="1414"/>
      <c r="X1161" s="1414"/>
      <c r="Y1161" s="1414"/>
      <c r="Z1161" s="1414"/>
      <c r="AA1161" s="1414"/>
      <c r="AB1161" s="1414"/>
      <c r="AC1161" s="1414"/>
      <c r="AD1161" s="1414"/>
      <c r="AE1161" s="1414"/>
      <c r="AF1161" s="1414"/>
      <c r="AG1161" s="1414"/>
      <c r="AH1161" s="1414"/>
      <c r="AI1161" s="1414"/>
      <c r="AJ1161" s="1414"/>
      <c r="AK1161" s="1414"/>
      <c r="AL1161" s="1414"/>
      <c r="AM1161" s="1414"/>
      <c r="AN1161" s="1414"/>
      <c r="AO1161" s="1414"/>
      <c r="AP1161" s="1414"/>
      <c r="AQ1161" s="1414"/>
      <c r="AR1161" s="1414"/>
      <c r="AS1161" s="1414"/>
      <c r="AT1161" s="1414"/>
      <c r="AU1161" s="1414"/>
      <c r="AV1161" s="1414"/>
      <c r="AW1161" s="1414"/>
      <c r="AX1161" s="1414"/>
      <c r="AY1161" s="1399"/>
      <c r="AZ1161" s="1399"/>
      <c r="BA1161" s="1399"/>
      <c r="BB1161" s="1399"/>
      <c r="BC1161" s="1399"/>
      <c r="BD1161" s="1399"/>
      <c r="BE1161" s="1414"/>
      <c r="BF1161" s="1399"/>
      <c r="BG1161" s="1399"/>
      <c r="BH1161" s="1399"/>
      <c r="BI1161" s="1399"/>
      <c r="BJ1161" s="1399"/>
      <c r="BK1161" s="1399"/>
      <c r="BL1161" s="1399"/>
      <c r="BM1161" s="1399"/>
      <c r="BN1161" s="1399"/>
      <c r="BO1161" s="1399"/>
      <c r="BP1161" s="1399"/>
      <c r="BQ1161" s="1399"/>
      <c r="BR1161" s="1399"/>
      <c r="BS1161" s="1399"/>
      <c r="BT1161" s="1399"/>
      <c r="BU1161" s="1399"/>
      <c r="BV1161" s="1399"/>
      <c r="BW1161" s="1399"/>
      <c r="BX1161" s="1399"/>
      <c r="BY1161" s="1399"/>
      <c r="BZ1161" s="1399"/>
      <c r="CA1161" s="1399"/>
      <c r="CB1161" s="1399"/>
      <c r="CC1161" s="1399"/>
      <c r="CD1161" s="1399"/>
      <c r="CE1161" s="1399"/>
      <c r="CF1161" s="1399"/>
      <c r="CG1161" s="1399"/>
      <c r="CH1161" s="1399"/>
      <c r="CI1161" s="1399"/>
      <c r="CJ1161" s="1399"/>
      <c r="CK1161" s="1399"/>
      <c r="CL1161" s="1399"/>
      <c r="CM1161" s="1399"/>
      <c r="CN1161" s="1399"/>
      <c r="CO1161" s="1399"/>
      <c r="CP1161" s="1399"/>
      <c r="CQ1161" s="1399"/>
      <c r="CR1161" s="1399"/>
      <c r="CS1161" s="1399"/>
      <c r="CT1161" s="1399"/>
      <c r="CU1161" s="1399"/>
      <c r="CV1161" s="1399"/>
      <c r="CW1161" s="1399"/>
      <c r="CX1161" s="1399"/>
      <c r="CY1161" s="1399"/>
      <c r="CZ1161" s="1399"/>
      <c r="DA1161" s="1399"/>
      <c r="DB1161" s="1399"/>
      <c r="DC1161" s="1399"/>
      <c r="DD1161" s="1399"/>
      <c r="DE1161" s="1399"/>
      <c r="DF1161" s="1399"/>
      <c r="DG1161" s="1399"/>
      <c r="DH1161" s="1399"/>
      <c r="DI1161" s="1399"/>
      <c r="DJ1161" s="1399"/>
      <c r="DK1161" s="1399"/>
      <c r="DL1161" s="1399"/>
      <c r="DM1161" s="1399"/>
      <c r="DN1161" s="1399"/>
      <c r="DO1161" s="1399"/>
      <c r="DP1161" s="1399"/>
      <c r="DQ1161" s="1399"/>
      <c r="DR1161" s="1399"/>
      <c r="DS1161" s="1399"/>
      <c r="DT1161" s="1399"/>
      <c r="DU1161" s="1399"/>
    </row>
    <row r="1162" spans="1:125">
      <c r="A1162" s="1414"/>
      <c r="B1162" s="1414"/>
      <c r="C1162" s="1414"/>
      <c r="D1162" s="1414"/>
      <c r="E1162" s="1414"/>
      <c r="F1162" s="1414"/>
      <c r="G1162" s="1414"/>
      <c r="H1162" s="1414"/>
      <c r="I1162" s="1414"/>
      <c r="J1162" s="1414"/>
      <c r="K1162" s="1414"/>
      <c r="L1162" s="1414"/>
      <c r="M1162" s="1414"/>
      <c r="N1162" s="1414"/>
      <c r="O1162" s="1414"/>
      <c r="P1162" s="1414"/>
      <c r="Q1162" s="1414"/>
      <c r="R1162" s="1414"/>
      <c r="S1162" s="1414"/>
      <c r="T1162" s="1414"/>
      <c r="U1162" s="1414"/>
      <c r="V1162" s="1414"/>
      <c r="W1162" s="1414"/>
      <c r="X1162" s="1414"/>
      <c r="Y1162" s="1414"/>
      <c r="Z1162" s="1414"/>
      <c r="AA1162" s="1414"/>
      <c r="AB1162" s="1414"/>
      <c r="AC1162" s="1414"/>
      <c r="AD1162" s="1414"/>
      <c r="AE1162" s="1414"/>
      <c r="AF1162" s="1414"/>
      <c r="AG1162" s="1414"/>
      <c r="AH1162" s="1414"/>
      <c r="AI1162" s="1414"/>
      <c r="AJ1162" s="1414"/>
      <c r="AK1162" s="1414"/>
      <c r="AL1162" s="1414"/>
      <c r="AM1162" s="1414"/>
      <c r="AN1162" s="1414"/>
      <c r="AO1162" s="1414"/>
      <c r="AP1162" s="1414"/>
      <c r="AQ1162" s="1414"/>
      <c r="AR1162" s="1414"/>
      <c r="AS1162" s="1414"/>
      <c r="AT1162" s="1414"/>
      <c r="AU1162" s="1414"/>
      <c r="AV1162" s="1414"/>
      <c r="AW1162" s="1414"/>
      <c r="AX1162" s="1414"/>
      <c r="AY1162" s="1399"/>
      <c r="AZ1162" s="1399"/>
      <c r="BA1162" s="1399"/>
      <c r="BB1162" s="1399"/>
      <c r="BC1162" s="1399"/>
      <c r="BD1162" s="1399"/>
      <c r="BE1162" s="1414"/>
      <c r="BF1162" s="1399"/>
      <c r="BG1162" s="1399"/>
      <c r="BH1162" s="1399"/>
      <c r="BI1162" s="1399"/>
      <c r="BJ1162" s="1399"/>
      <c r="BK1162" s="1399"/>
      <c r="BL1162" s="1399"/>
      <c r="BM1162" s="1399"/>
      <c r="BN1162" s="1399"/>
      <c r="BO1162" s="1399"/>
      <c r="BP1162" s="1399"/>
      <c r="BQ1162" s="1399"/>
      <c r="BR1162" s="1399"/>
      <c r="BS1162" s="1399"/>
      <c r="BT1162" s="1399"/>
      <c r="BU1162" s="1399"/>
      <c r="BV1162" s="1399"/>
      <c r="BW1162" s="1399"/>
      <c r="BX1162" s="1399"/>
      <c r="BY1162" s="1399"/>
      <c r="BZ1162" s="1399"/>
      <c r="CA1162" s="1399"/>
      <c r="CB1162" s="1399"/>
      <c r="CC1162" s="1399"/>
      <c r="CD1162" s="1399"/>
      <c r="CE1162" s="1399"/>
      <c r="CF1162" s="1399"/>
      <c r="CG1162" s="1399"/>
      <c r="CH1162" s="1399"/>
      <c r="CI1162" s="1399"/>
      <c r="CJ1162" s="1399"/>
      <c r="CK1162" s="1399"/>
      <c r="CL1162" s="1399"/>
      <c r="CM1162" s="1399"/>
      <c r="CN1162" s="1399"/>
      <c r="CO1162" s="1399"/>
      <c r="CP1162" s="1399"/>
      <c r="CQ1162" s="1399"/>
      <c r="CR1162" s="1399"/>
      <c r="CS1162" s="1399"/>
      <c r="CT1162" s="1399"/>
      <c r="CU1162" s="1399"/>
      <c r="CV1162" s="1399"/>
      <c r="CW1162" s="1399"/>
      <c r="CX1162" s="1399"/>
      <c r="CY1162" s="1399"/>
      <c r="CZ1162" s="1399"/>
      <c r="DA1162" s="1399"/>
      <c r="DB1162" s="1399"/>
      <c r="DC1162" s="1399"/>
      <c r="DD1162" s="1399"/>
      <c r="DE1162" s="1399"/>
      <c r="DF1162" s="1399"/>
      <c r="DG1162" s="1399"/>
      <c r="DH1162" s="1399"/>
      <c r="DI1162" s="1399"/>
      <c r="DJ1162" s="1399"/>
      <c r="DK1162" s="1399"/>
      <c r="DL1162" s="1399"/>
      <c r="DM1162" s="1399"/>
      <c r="DN1162" s="1399"/>
      <c r="DO1162" s="1399"/>
      <c r="DP1162" s="1399"/>
      <c r="DQ1162" s="1399"/>
      <c r="DR1162" s="1399"/>
      <c r="DS1162" s="1399"/>
      <c r="DT1162" s="1399"/>
      <c r="DU1162" s="1399"/>
    </row>
    <row r="1163" spans="1:125">
      <c r="A1163" s="1414"/>
      <c r="B1163" s="1414"/>
      <c r="C1163" s="1414"/>
      <c r="D1163" s="1414"/>
      <c r="E1163" s="1414"/>
      <c r="F1163" s="1414"/>
      <c r="G1163" s="1414"/>
      <c r="H1163" s="1414"/>
      <c r="I1163" s="1414"/>
      <c r="J1163" s="1414"/>
      <c r="K1163" s="1414"/>
      <c r="L1163" s="1414"/>
      <c r="M1163" s="1414"/>
      <c r="N1163" s="1414"/>
      <c r="O1163" s="1414"/>
      <c r="P1163" s="1414"/>
      <c r="Q1163" s="1414"/>
      <c r="R1163" s="1414"/>
      <c r="S1163" s="1414"/>
      <c r="T1163" s="1414"/>
      <c r="U1163" s="1414"/>
      <c r="V1163" s="1414"/>
      <c r="W1163" s="1414"/>
      <c r="X1163" s="1414"/>
      <c r="Y1163" s="1414"/>
      <c r="Z1163" s="1414"/>
      <c r="AA1163" s="1414"/>
      <c r="AB1163" s="1414"/>
      <c r="AC1163" s="1414"/>
      <c r="AD1163" s="1414"/>
      <c r="AE1163" s="1414"/>
      <c r="AF1163" s="1414"/>
      <c r="AG1163" s="1414"/>
      <c r="AH1163" s="1414"/>
      <c r="AI1163" s="1414"/>
      <c r="AJ1163" s="1414"/>
      <c r="AK1163" s="1414"/>
      <c r="AL1163" s="1414"/>
      <c r="AM1163" s="1414"/>
      <c r="AN1163" s="1414"/>
      <c r="AO1163" s="1414"/>
      <c r="AP1163" s="1414"/>
      <c r="AQ1163" s="1414"/>
      <c r="AR1163" s="1414"/>
      <c r="AS1163" s="1414"/>
      <c r="AT1163" s="1414"/>
      <c r="AU1163" s="1414"/>
      <c r="AV1163" s="1414"/>
      <c r="AW1163" s="1414"/>
      <c r="AX1163" s="1414"/>
      <c r="AY1163" s="1399"/>
      <c r="AZ1163" s="1399"/>
      <c r="BA1163" s="1399"/>
      <c r="BB1163" s="1399"/>
      <c r="BC1163" s="1399"/>
      <c r="BD1163" s="1399"/>
      <c r="BE1163" s="1414"/>
      <c r="BF1163" s="1399"/>
      <c r="BG1163" s="1399"/>
      <c r="BH1163" s="1399"/>
      <c r="BI1163" s="1399"/>
      <c r="BJ1163" s="1399"/>
      <c r="BK1163" s="1399"/>
      <c r="BL1163" s="1399"/>
      <c r="BM1163" s="1399"/>
      <c r="BN1163" s="1399"/>
      <c r="BO1163" s="1399"/>
      <c r="BP1163" s="1399"/>
      <c r="BQ1163" s="1399"/>
      <c r="BR1163" s="1399"/>
      <c r="BS1163" s="1399"/>
      <c r="BT1163" s="1399"/>
      <c r="BU1163" s="1399"/>
      <c r="BV1163" s="1399"/>
      <c r="BW1163" s="1399"/>
      <c r="BX1163" s="1399"/>
      <c r="BY1163" s="1399"/>
      <c r="BZ1163" s="1399"/>
      <c r="CA1163" s="1399"/>
      <c r="CB1163" s="1399"/>
      <c r="CC1163" s="1399"/>
      <c r="CD1163" s="1399"/>
      <c r="CE1163" s="1399"/>
      <c r="CF1163" s="1399"/>
      <c r="CG1163" s="1399"/>
      <c r="CH1163" s="1399"/>
      <c r="CI1163" s="1399"/>
      <c r="CJ1163" s="1399"/>
      <c r="CK1163" s="1399"/>
      <c r="CL1163" s="1399"/>
      <c r="CM1163" s="1399"/>
      <c r="CN1163" s="1399"/>
      <c r="CO1163" s="1399"/>
      <c r="CP1163" s="1399"/>
      <c r="CQ1163" s="1399"/>
      <c r="CR1163" s="1399"/>
      <c r="CS1163" s="1399"/>
      <c r="CT1163" s="1399"/>
      <c r="CU1163" s="1399"/>
      <c r="CV1163" s="1399"/>
      <c r="CW1163" s="1399"/>
      <c r="CX1163" s="1399"/>
      <c r="CY1163" s="1399"/>
      <c r="CZ1163" s="1399"/>
      <c r="DA1163" s="1399"/>
      <c r="DB1163" s="1399"/>
      <c r="DC1163" s="1399"/>
      <c r="DD1163" s="1399"/>
      <c r="DE1163" s="1399"/>
      <c r="DF1163" s="1399"/>
      <c r="DG1163" s="1399"/>
      <c r="DH1163" s="1399"/>
      <c r="DI1163" s="1399"/>
      <c r="DJ1163" s="1399"/>
      <c r="DK1163" s="1399"/>
      <c r="DL1163" s="1399"/>
      <c r="DM1163" s="1399"/>
      <c r="DN1163" s="1399"/>
      <c r="DO1163" s="1399"/>
      <c r="DP1163" s="1399"/>
      <c r="DQ1163" s="1399"/>
      <c r="DR1163" s="1399"/>
      <c r="DS1163" s="1399"/>
      <c r="DT1163" s="1399"/>
      <c r="DU1163" s="1399"/>
    </row>
    <row r="1164" spans="1:125">
      <c r="A1164" s="1414"/>
      <c r="B1164" s="1414"/>
      <c r="C1164" s="1414"/>
      <c r="D1164" s="1414"/>
      <c r="E1164" s="1414"/>
      <c r="F1164" s="1414"/>
      <c r="G1164" s="1414"/>
      <c r="H1164" s="1414"/>
      <c r="I1164" s="1414"/>
      <c r="J1164" s="1414"/>
      <c r="K1164" s="1414"/>
      <c r="L1164" s="1414"/>
      <c r="M1164" s="1414"/>
      <c r="N1164" s="1414"/>
      <c r="O1164" s="1414"/>
      <c r="P1164" s="1414"/>
      <c r="Q1164" s="1414"/>
      <c r="R1164" s="1414"/>
      <c r="S1164" s="1414"/>
      <c r="T1164" s="1414"/>
      <c r="U1164" s="1414"/>
      <c r="V1164" s="1414"/>
      <c r="W1164" s="1414"/>
      <c r="X1164" s="1414"/>
      <c r="Y1164" s="1414"/>
      <c r="Z1164" s="1414"/>
      <c r="AA1164" s="1414"/>
      <c r="AB1164" s="1414"/>
      <c r="AC1164" s="1414"/>
      <c r="AD1164" s="1414"/>
      <c r="AE1164" s="1414"/>
      <c r="AF1164" s="1414"/>
      <c r="AG1164" s="1414"/>
      <c r="AH1164" s="1414"/>
      <c r="AI1164" s="1414"/>
      <c r="AJ1164" s="1414"/>
      <c r="AK1164" s="1414"/>
      <c r="AL1164" s="1414"/>
      <c r="AM1164" s="1414"/>
      <c r="AN1164" s="1414"/>
      <c r="AO1164" s="1414"/>
      <c r="AP1164" s="1414"/>
      <c r="AQ1164" s="1414"/>
      <c r="AR1164" s="1414"/>
      <c r="AS1164" s="1414"/>
      <c r="AT1164" s="1414"/>
      <c r="AU1164" s="1414"/>
      <c r="AV1164" s="1414"/>
      <c r="AW1164" s="1414"/>
      <c r="AX1164" s="1414"/>
      <c r="AY1164" s="1399"/>
      <c r="AZ1164" s="1399"/>
      <c r="BA1164" s="1399"/>
      <c r="BB1164" s="1399"/>
      <c r="BC1164" s="1399"/>
      <c r="BD1164" s="1399"/>
      <c r="BE1164" s="1414"/>
      <c r="BF1164" s="1399"/>
      <c r="BG1164" s="1399"/>
      <c r="BH1164" s="1399"/>
      <c r="BI1164" s="1399"/>
      <c r="BJ1164" s="1399"/>
      <c r="BK1164" s="1399"/>
      <c r="BL1164" s="1399"/>
      <c r="BM1164" s="1399"/>
      <c r="BN1164" s="1399"/>
      <c r="BO1164" s="1399"/>
      <c r="BP1164" s="1399"/>
      <c r="BQ1164" s="1399"/>
      <c r="BR1164" s="1399"/>
      <c r="BS1164" s="1399"/>
      <c r="BT1164" s="1399"/>
      <c r="BU1164" s="1399"/>
      <c r="BV1164" s="1399"/>
      <c r="BW1164" s="1399"/>
      <c r="BX1164" s="1399"/>
      <c r="BY1164" s="1399"/>
      <c r="BZ1164" s="1399"/>
      <c r="CA1164" s="1399"/>
      <c r="CB1164" s="1399"/>
      <c r="CC1164" s="1399"/>
      <c r="CD1164" s="1399"/>
      <c r="CE1164" s="1399"/>
      <c r="CF1164" s="1399"/>
      <c r="CG1164" s="1399"/>
      <c r="CH1164" s="1399"/>
      <c r="CI1164" s="1399"/>
      <c r="CJ1164" s="1399"/>
      <c r="CK1164" s="1399"/>
      <c r="CL1164" s="1399"/>
      <c r="CM1164" s="1399"/>
      <c r="CN1164" s="1399"/>
      <c r="CO1164" s="1399"/>
      <c r="CP1164" s="1399"/>
      <c r="CQ1164" s="1399"/>
      <c r="CR1164" s="1399"/>
      <c r="CS1164" s="1399"/>
      <c r="CT1164" s="1399"/>
      <c r="CU1164" s="1399"/>
      <c r="CV1164" s="1399"/>
      <c r="CW1164" s="1399"/>
      <c r="CX1164" s="1399"/>
      <c r="CY1164" s="1399"/>
      <c r="CZ1164" s="1399"/>
      <c r="DA1164" s="1399"/>
      <c r="DB1164" s="1399"/>
      <c r="DC1164" s="1399"/>
      <c r="DD1164" s="1399"/>
      <c r="DE1164" s="1399"/>
      <c r="DF1164" s="1399"/>
      <c r="DG1164" s="1399"/>
      <c r="DH1164" s="1399"/>
      <c r="DI1164" s="1399"/>
      <c r="DJ1164" s="1399"/>
      <c r="DK1164" s="1399"/>
      <c r="DL1164" s="1399"/>
      <c r="DM1164" s="1399"/>
      <c r="DN1164" s="1399"/>
      <c r="DO1164" s="1399"/>
      <c r="DP1164" s="1399"/>
      <c r="DQ1164" s="1399"/>
      <c r="DR1164" s="1399"/>
      <c r="DS1164" s="1399"/>
      <c r="DT1164" s="1399"/>
      <c r="DU1164" s="1399"/>
    </row>
    <row r="1165" spans="1:125">
      <c r="A1165" s="1414"/>
      <c r="B1165" s="1414"/>
      <c r="C1165" s="1414"/>
      <c r="D1165" s="1414"/>
      <c r="E1165" s="1414"/>
      <c r="F1165" s="1414"/>
      <c r="G1165" s="1414"/>
      <c r="H1165" s="1414"/>
      <c r="I1165" s="1414"/>
      <c r="J1165" s="1414"/>
      <c r="K1165" s="1414"/>
      <c r="L1165" s="1414"/>
      <c r="M1165" s="1414"/>
      <c r="N1165" s="1414"/>
      <c r="O1165" s="1414"/>
      <c r="P1165" s="1414"/>
      <c r="Q1165" s="1414"/>
      <c r="R1165" s="1414"/>
      <c r="S1165" s="1414"/>
      <c r="T1165" s="1414"/>
      <c r="U1165" s="1414"/>
      <c r="V1165" s="1414"/>
      <c r="W1165" s="1414"/>
      <c r="X1165" s="1414"/>
      <c r="Y1165" s="1414"/>
      <c r="Z1165" s="1414"/>
      <c r="AA1165" s="1414"/>
      <c r="AB1165" s="1414"/>
      <c r="AC1165" s="1414"/>
      <c r="AD1165" s="1414"/>
      <c r="AE1165" s="1414"/>
      <c r="AF1165" s="1414"/>
      <c r="AG1165" s="1414"/>
      <c r="AH1165" s="1414"/>
      <c r="AI1165" s="1414"/>
      <c r="AJ1165" s="1414"/>
      <c r="AK1165" s="1414"/>
      <c r="AL1165" s="1414"/>
      <c r="AM1165" s="1414"/>
      <c r="AN1165" s="1414"/>
      <c r="AO1165" s="1414"/>
      <c r="AP1165" s="1414"/>
      <c r="AQ1165" s="1414"/>
      <c r="AR1165" s="1414"/>
      <c r="AS1165" s="1414"/>
      <c r="AT1165" s="1414"/>
      <c r="AU1165" s="1414"/>
      <c r="AV1165" s="1414"/>
      <c r="AW1165" s="1414"/>
      <c r="AX1165" s="1414"/>
      <c r="AY1165" s="1399"/>
      <c r="AZ1165" s="1399"/>
      <c r="BA1165" s="1399"/>
      <c r="BB1165" s="1399"/>
      <c r="BC1165" s="1399"/>
      <c r="BD1165" s="1399"/>
      <c r="BE1165" s="1414"/>
      <c r="BF1165" s="1399"/>
      <c r="BG1165" s="1399"/>
      <c r="BH1165" s="1399"/>
      <c r="BI1165" s="1399"/>
      <c r="BJ1165" s="1399"/>
      <c r="BK1165" s="1399"/>
      <c r="BL1165" s="1399"/>
      <c r="BM1165" s="1399"/>
      <c r="BN1165" s="1399"/>
      <c r="BO1165" s="1399"/>
      <c r="BP1165" s="1399"/>
      <c r="BQ1165" s="1399"/>
      <c r="BR1165" s="1399"/>
      <c r="BS1165" s="1399"/>
      <c r="BT1165" s="1399"/>
      <c r="BU1165" s="1399"/>
      <c r="BV1165" s="1399"/>
      <c r="BW1165" s="1399"/>
      <c r="BX1165" s="1399"/>
      <c r="BY1165" s="1399"/>
      <c r="BZ1165" s="1399"/>
      <c r="CA1165" s="1399"/>
      <c r="CB1165" s="1399"/>
      <c r="CC1165" s="1399"/>
      <c r="CD1165" s="1399"/>
      <c r="CE1165" s="1399"/>
      <c r="CF1165" s="1399"/>
      <c r="CG1165" s="1399"/>
      <c r="CH1165" s="1399"/>
      <c r="CI1165" s="1399"/>
      <c r="CJ1165" s="1399"/>
      <c r="CK1165" s="1399"/>
      <c r="CL1165" s="1399"/>
      <c r="CM1165" s="1399"/>
      <c r="CN1165" s="1399"/>
      <c r="CO1165" s="1399"/>
      <c r="CP1165" s="1399"/>
      <c r="CQ1165" s="1399"/>
      <c r="CR1165" s="1399"/>
      <c r="CS1165" s="1399"/>
      <c r="CT1165" s="1399"/>
      <c r="CU1165" s="1399"/>
      <c r="CV1165" s="1399"/>
      <c r="CW1165" s="1399"/>
      <c r="CX1165" s="1399"/>
      <c r="CY1165" s="1399"/>
      <c r="CZ1165" s="1399"/>
      <c r="DA1165" s="1399"/>
      <c r="DB1165" s="1399"/>
      <c r="DC1165" s="1399"/>
      <c r="DD1165" s="1399"/>
      <c r="DE1165" s="1399"/>
      <c r="DF1165" s="1399"/>
      <c r="DG1165" s="1399"/>
      <c r="DH1165" s="1399"/>
      <c r="DI1165" s="1399"/>
      <c r="DJ1165" s="1399"/>
      <c r="DK1165" s="1399"/>
      <c r="DL1165" s="1399"/>
      <c r="DM1165" s="1399"/>
      <c r="DN1165" s="1399"/>
      <c r="DO1165" s="1399"/>
      <c r="DP1165" s="1399"/>
      <c r="DQ1165" s="1399"/>
      <c r="DR1165" s="1399"/>
      <c r="DS1165" s="1399"/>
      <c r="DT1165" s="1399"/>
      <c r="DU1165" s="1399"/>
    </row>
    <row r="1166" spans="1:125">
      <c r="A1166" s="1414"/>
      <c r="B1166" s="1414"/>
      <c r="C1166" s="1414"/>
      <c r="D1166" s="1414"/>
      <c r="E1166" s="1414"/>
      <c r="F1166" s="1414"/>
      <c r="G1166" s="1414"/>
      <c r="H1166" s="1414"/>
      <c r="I1166" s="1414"/>
      <c r="J1166" s="1414"/>
      <c r="K1166" s="1414"/>
      <c r="L1166" s="1414"/>
      <c r="M1166" s="1414"/>
      <c r="N1166" s="1414"/>
      <c r="O1166" s="1414"/>
      <c r="P1166" s="1414"/>
      <c r="Q1166" s="1414"/>
      <c r="R1166" s="1414"/>
      <c r="S1166" s="1414"/>
      <c r="T1166" s="1414"/>
      <c r="U1166" s="1414"/>
      <c r="V1166" s="1414"/>
      <c r="W1166" s="1414"/>
      <c r="X1166" s="1414"/>
      <c r="Y1166" s="1414"/>
      <c r="Z1166" s="1414"/>
      <c r="AA1166" s="1414"/>
      <c r="AB1166" s="1414"/>
      <c r="AC1166" s="1414"/>
      <c r="AD1166" s="1414"/>
      <c r="AE1166" s="1414"/>
      <c r="AF1166" s="1414"/>
      <c r="AG1166" s="1414"/>
      <c r="AH1166" s="1414"/>
      <c r="AI1166" s="1414"/>
      <c r="AJ1166" s="1414"/>
      <c r="AK1166" s="1414"/>
      <c r="AL1166" s="1414"/>
      <c r="AM1166" s="1414"/>
      <c r="AN1166" s="1414"/>
      <c r="AO1166" s="1414"/>
      <c r="AP1166" s="1414"/>
      <c r="AQ1166" s="1414"/>
      <c r="AR1166" s="1414"/>
      <c r="AS1166" s="1414"/>
      <c r="AT1166" s="1414"/>
      <c r="AU1166" s="1414"/>
      <c r="AV1166" s="1414"/>
      <c r="AW1166" s="1414"/>
      <c r="AX1166" s="1414"/>
      <c r="AY1166" s="1399"/>
      <c r="AZ1166" s="1399"/>
      <c r="BA1166" s="1399"/>
      <c r="BB1166" s="1399"/>
      <c r="BC1166" s="1399"/>
      <c r="BD1166" s="1399"/>
      <c r="BE1166" s="1414"/>
      <c r="BF1166" s="1399"/>
      <c r="BG1166" s="1399"/>
      <c r="BH1166" s="1399"/>
      <c r="BI1166" s="1399"/>
      <c r="BJ1166" s="1399"/>
      <c r="BK1166" s="1399"/>
      <c r="BL1166" s="1399"/>
      <c r="BM1166" s="1399"/>
      <c r="BN1166" s="1399"/>
      <c r="BO1166" s="1399"/>
      <c r="BP1166" s="1399"/>
      <c r="BQ1166" s="1399"/>
      <c r="BR1166" s="1399"/>
      <c r="BS1166" s="1399"/>
      <c r="BT1166" s="1399"/>
      <c r="BU1166" s="1399"/>
      <c r="BV1166" s="1399"/>
      <c r="BW1166" s="1399"/>
      <c r="BX1166" s="1399"/>
      <c r="BY1166" s="1399"/>
      <c r="BZ1166" s="1399"/>
      <c r="CA1166" s="1399"/>
      <c r="CB1166" s="1399"/>
      <c r="CC1166" s="1399"/>
      <c r="CD1166" s="1399"/>
      <c r="CE1166" s="1399"/>
      <c r="CF1166" s="1399"/>
      <c r="CG1166" s="1399"/>
      <c r="CH1166" s="1399"/>
      <c r="CI1166" s="1399"/>
      <c r="CJ1166" s="1399"/>
      <c r="CK1166" s="1399"/>
      <c r="CL1166" s="1399"/>
      <c r="CM1166" s="1399"/>
      <c r="CN1166" s="1399"/>
      <c r="CO1166" s="1399"/>
      <c r="CP1166" s="1399"/>
      <c r="CQ1166" s="1399"/>
      <c r="CR1166" s="1399"/>
      <c r="CS1166" s="1399"/>
      <c r="CT1166" s="1399"/>
      <c r="CU1166" s="1399"/>
      <c r="CV1166" s="1399"/>
      <c r="CW1166" s="1399"/>
      <c r="CX1166" s="1399"/>
      <c r="CY1166" s="1399"/>
      <c r="CZ1166" s="1399"/>
      <c r="DA1166" s="1399"/>
      <c r="DB1166" s="1399"/>
      <c r="DC1166" s="1399"/>
      <c r="DD1166" s="1399"/>
      <c r="DE1166" s="1399"/>
      <c r="DF1166" s="1399"/>
      <c r="DG1166" s="1399"/>
      <c r="DH1166" s="1399"/>
      <c r="DI1166" s="1399"/>
      <c r="DJ1166" s="1399"/>
      <c r="DK1166" s="1399"/>
      <c r="DL1166" s="1399"/>
      <c r="DM1166" s="1399"/>
      <c r="DN1166" s="1399"/>
      <c r="DO1166" s="1399"/>
      <c r="DP1166" s="1399"/>
      <c r="DQ1166" s="1399"/>
      <c r="DR1166" s="1399"/>
      <c r="DS1166" s="1399"/>
      <c r="DT1166" s="1399"/>
      <c r="DU1166" s="1399"/>
    </row>
    <row r="1167" spans="1:125">
      <c r="A1167" s="1414"/>
      <c r="B1167" s="1414"/>
      <c r="C1167" s="1414"/>
      <c r="D1167" s="1414"/>
      <c r="E1167" s="1414"/>
      <c r="F1167" s="1414"/>
      <c r="G1167" s="1414"/>
      <c r="H1167" s="1414"/>
      <c r="I1167" s="1414"/>
      <c r="J1167" s="1414"/>
      <c r="K1167" s="1414"/>
      <c r="L1167" s="1414"/>
      <c r="M1167" s="1414"/>
      <c r="N1167" s="1414"/>
      <c r="O1167" s="1414"/>
      <c r="P1167" s="1414"/>
      <c r="Q1167" s="1414"/>
      <c r="R1167" s="1414"/>
      <c r="S1167" s="1414"/>
      <c r="T1167" s="1414"/>
      <c r="U1167" s="1414"/>
      <c r="V1167" s="1414"/>
      <c r="W1167" s="1414"/>
      <c r="X1167" s="1414"/>
      <c r="Y1167" s="1414"/>
      <c r="Z1167" s="1414"/>
      <c r="AA1167" s="1414"/>
      <c r="AB1167" s="1414"/>
      <c r="AC1167" s="1414"/>
      <c r="AD1167" s="1414"/>
      <c r="AE1167" s="1414"/>
      <c r="AF1167" s="1414"/>
      <c r="AG1167" s="1414"/>
      <c r="AH1167" s="1414"/>
      <c r="AI1167" s="1414"/>
      <c r="AJ1167" s="1414"/>
      <c r="AK1167" s="1414"/>
      <c r="AL1167" s="1414"/>
      <c r="AM1167" s="1414"/>
      <c r="AN1167" s="1414"/>
      <c r="AO1167" s="1414"/>
      <c r="AP1167" s="1414"/>
      <c r="AQ1167" s="1414"/>
      <c r="AR1167" s="1414"/>
      <c r="AS1167" s="1414"/>
      <c r="AT1167" s="1414"/>
      <c r="AU1167" s="1414"/>
      <c r="AV1167" s="1414"/>
      <c r="AW1167" s="1414"/>
      <c r="AX1167" s="1414"/>
      <c r="AY1167" s="1399"/>
      <c r="AZ1167" s="1399"/>
      <c r="BA1167" s="1399"/>
      <c r="BB1167" s="1399"/>
      <c r="BC1167" s="1399"/>
      <c r="BD1167" s="1399"/>
      <c r="BE1167" s="1414"/>
      <c r="BF1167" s="1399"/>
      <c r="BG1167" s="1399"/>
      <c r="BH1167" s="1399"/>
      <c r="BI1167" s="1399"/>
      <c r="BJ1167" s="1399"/>
      <c r="BK1167" s="1399"/>
      <c r="BL1167" s="1399"/>
      <c r="BM1167" s="1399"/>
      <c r="BN1167" s="1399"/>
      <c r="BO1167" s="1399"/>
      <c r="BP1167" s="1399"/>
      <c r="BQ1167" s="1399"/>
      <c r="BR1167" s="1399"/>
      <c r="BS1167" s="1399"/>
      <c r="BT1167" s="1399"/>
      <c r="BU1167" s="1399"/>
      <c r="BV1167" s="1399"/>
      <c r="BW1167" s="1399"/>
      <c r="BX1167" s="1399"/>
      <c r="BY1167" s="1399"/>
      <c r="BZ1167" s="1399"/>
      <c r="CA1167" s="1399"/>
      <c r="CB1167" s="1399"/>
      <c r="CC1167" s="1399"/>
      <c r="CD1167" s="1399"/>
      <c r="CE1167" s="1399"/>
      <c r="CF1167" s="1399"/>
      <c r="CG1167" s="1399"/>
      <c r="CH1167" s="1399"/>
      <c r="CI1167" s="1399"/>
      <c r="CJ1167" s="1399"/>
      <c r="CK1167" s="1399"/>
      <c r="CL1167" s="1399"/>
      <c r="CM1167" s="1399"/>
      <c r="CN1167" s="1399"/>
      <c r="CO1167" s="1399"/>
      <c r="CP1167" s="1399"/>
      <c r="CQ1167" s="1399"/>
      <c r="CR1167" s="1399"/>
      <c r="CS1167" s="1399"/>
      <c r="CT1167" s="1399"/>
      <c r="CU1167" s="1399"/>
      <c r="CV1167" s="1399"/>
      <c r="CW1167" s="1399"/>
      <c r="CX1167" s="1399"/>
      <c r="CY1167" s="1399"/>
      <c r="CZ1167" s="1399"/>
      <c r="DA1167" s="1399"/>
      <c r="DB1167" s="1399"/>
      <c r="DC1167" s="1399"/>
      <c r="DD1167" s="1399"/>
      <c r="DE1167" s="1399"/>
      <c r="DF1167" s="1399"/>
      <c r="DG1167" s="1399"/>
      <c r="DH1167" s="1399"/>
      <c r="DI1167" s="1399"/>
      <c r="DJ1167" s="1399"/>
      <c r="DK1167" s="1399"/>
      <c r="DL1167" s="1399"/>
      <c r="DM1167" s="1399"/>
      <c r="DN1167" s="1399"/>
      <c r="DO1167" s="1399"/>
      <c r="DP1167" s="1399"/>
      <c r="DQ1167" s="1399"/>
      <c r="DR1167" s="1399"/>
      <c r="DS1167" s="1399"/>
      <c r="DT1167" s="1399"/>
      <c r="DU1167" s="1399"/>
    </row>
    <row r="1168" spans="1:125">
      <c r="A1168" s="1414"/>
      <c r="B1168" s="1414"/>
      <c r="C1168" s="1414"/>
      <c r="D1168" s="1414"/>
      <c r="E1168" s="1414"/>
      <c r="F1168" s="1414"/>
      <c r="G1168" s="1414"/>
      <c r="H1168" s="1414"/>
      <c r="I1168" s="1414"/>
      <c r="J1168" s="1414"/>
      <c r="K1168" s="1414"/>
      <c r="L1168" s="1414"/>
      <c r="M1168" s="1414"/>
      <c r="N1168" s="1414"/>
      <c r="O1168" s="1414"/>
      <c r="P1168" s="1414"/>
      <c r="Q1168" s="1414"/>
      <c r="R1168" s="1414"/>
      <c r="S1168" s="1414"/>
      <c r="T1168" s="1414"/>
      <c r="U1168" s="1414"/>
      <c r="V1168" s="1414"/>
      <c r="W1168" s="1414"/>
      <c r="X1168" s="1414"/>
      <c r="Y1168" s="1414"/>
      <c r="Z1168" s="1414"/>
      <c r="AA1168" s="1414"/>
      <c r="AB1168" s="1414"/>
      <c r="AC1168" s="1414"/>
      <c r="AD1168" s="1414"/>
      <c r="AE1168" s="1414"/>
      <c r="AF1168" s="1414"/>
      <c r="AG1168" s="1414"/>
      <c r="AH1168" s="1414"/>
      <c r="AI1168" s="1414"/>
      <c r="AJ1168" s="1414"/>
      <c r="AK1168" s="1414"/>
      <c r="AL1168" s="1414"/>
      <c r="AM1168" s="1414"/>
      <c r="AN1168" s="1414"/>
      <c r="AO1168" s="1414"/>
      <c r="AP1168" s="1414"/>
      <c r="AQ1168" s="1414"/>
      <c r="AR1168" s="1414"/>
      <c r="AS1168" s="1414"/>
      <c r="AT1168" s="1414"/>
      <c r="AU1168" s="1414"/>
      <c r="AV1168" s="1414"/>
      <c r="AW1168" s="1414"/>
      <c r="AX1168" s="1414"/>
      <c r="AY1168" s="1399"/>
      <c r="AZ1168" s="1399"/>
      <c r="BA1168" s="1399"/>
      <c r="BB1168" s="1399"/>
      <c r="BC1168" s="1399"/>
      <c r="BD1168" s="1399"/>
      <c r="BE1168" s="1414"/>
      <c r="BF1168" s="1399"/>
      <c r="BG1168" s="1399"/>
      <c r="BH1168" s="1399"/>
      <c r="BI1168" s="1399"/>
      <c r="BJ1168" s="1399"/>
      <c r="BK1168" s="1399"/>
      <c r="BL1168" s="1399"/>
      <c r="BM1168" s="1399"/>
      <c r="BN1168" s="1399"/>
      <c r="BO1168" s="1399"/>
      <c r="BP1168" s="1399"/>
      <c r="BQ1168" s="1399"/>
      <c r="BR1168" s="1399"/>
      <c r="BS1168" s="1399"/>
      <c r="BT1168" s="1399"/>
      <c r="BU1168" s="1399"/>
      <c r="BV1168" s="1399"/>
      <c r="BW1168" s="1399"/>
      <c r="BX1168" s="1399"/>
      <c r="BY1168" s="1399"/>
      <c r="BZ1168" s="1399"/>
      <c r="CA1168" s="1399"/>
      <c r="CB1168" s="1399"/>
      <c r="CC1168" s="1399"/>
      <c r="CD1168" s="1399"/>
      <c r="CE1168" s="1399"/>
      <c r="CF1168" s="1399"/>
      <c r="CG1168" s="1399"/>
      <c r="CH1168" s="1399"/>
      <c r="CI1168" s="1399"/>
      <c r="CJ1168" s="1399"/>
      <c r="CK1168" s="1399"/>
      <c r="CL1168" s="1399"/>
      <c r="CM1168" s="1399"/>
      <c r="CN1168" s="1399"/>
      <c r="CO1168" s="1399"/>
      <c r="CP1168" s="1399"/>
      <c r="CQ1168" s="1399"/>
      <c r="CR1168" s="1399"/>
      <c r="CS1168" s="1399"/>
      <c r="CT1168" s="1399"/>
      <c r="CU1168" s="1399"/>
      <c r="CV1168" s="1399"/>
      <c r="CW1168" s="1399"/>
      <c r="CX1168" s="1399"/>
      <c r="CY1168" s="1399"/>
      <c r="CZ1168" s="1399"/>
      <c r="DA1168" s="1399"/>
      <c r="DB1168" s="1399"/>
      <c r="DC1168" s="1399"/>
      <c r="DD1168" s="1399"/>
      <c r="DE1168" s="1399"/>
      <c r="DF1168" s="1399"/>
      <c r="DG1168" s="1399"/>
      <c r="DH1168" s="1399"/>
      <c r="DI1168" s="1399"/>
      <c r="DJ1168" s="1399"/>
      <c r="DK1168" s="1399"/>
      <c r="DL1168" s="1399"/>
      <c r="DM1168" s="1399"/>
      <c r="DN1168" s="1399"/>
      <c r="DO1168" s="1399"/>
      <c r="DP1168" s="1399"/>
      <c r="DQ1168" s="1399"/>
      <c r="DR1168" s="1399"/>
      <c r="DS1168" s="1399"/>
      <c r="DT1168" s="1399"/>
      <c r="DU1168" s="1399"/>
    </row>
    <row r="1169" spans="1:125">
      <c r="A1169" s="1414"/>
      <c r="B1169" s="1414"/>
      <c r="C1169" s="1414"/>
      <c r="D1169" s="1414"/>
      <c r="E1169" s="1414"/>
      <c r="F1169" s="1414"/>
      <c r="G1169" s="1414"/>
      <c r="H1169" s="1414"/>
      <c r="I1169" s="1414"/>
      <c r="J1169" s="1414"/>
      <c r="K1169" s="1414"/>
      <c r="L1169" s="1414"/>
      <c r="M1169" s="1414"/>
      <c r="N1169" s="1414"/>
      <c r="O1169" s="1414"/>
      <c r="P1169" s="1414"/>
      <c r="Q1169" s="1414"/>
      <c r="R1169" s="1414"/>
      <c r="S1169" s="1414"/>
      <c r="T1169" s="1414"/>
      <c r="U1169" s="1414"/>
      <c r="V1169" s="1414"/>
      <c r="W1169" s="1414"/>
      <c r="X1169" s="1414"/>
      <c r="Y1169" s="1414"/>
      <c r="Z1169" s="1414"/>
      <c r="AA1169" s="1414"/>
      <c r="AB1169" s="1414"/>
      <c r="AC1169" s="1414"/>
      <c r="AD1169" s="1414"/>
      <c r="AE1169" s="1414"/>
      <c r="AF1169" s="1414"/>
      <c r="AG1169" s="1414"/>
      <c r="AH1169" s="1414"/>
      <c r="AI1169" s="1414"/>
      <c r="AJ1169" s="1414"/>
      <c r="AK1169" s="1414"/>
      <c r="AL1169" s="1414"/>
      <c r="AM1169" s="1414"/>
      <c r="AN1169" s="1414"/>
      <c r="AO1169" s="1414"/>
      <c r="AP1169" s="1414"/>
      <c r="AQ1169" s="1414"/>
      <c r="AR1169" s="1414"/>
      <c r="AS1169" s="1414"/>
      <c r="AT1169" s="1414"/>
      <c r="AU1169" s="1414"/>
      <c r="AV1169" s="1414"/>
      <c r="AW1169" s="1414"/>
      <c r="AX1169" s="1414"/>
      <c r="AY1169" s="1399"/>
      <c r="AZ1169" s="1399"/>
      <c r="BA1169" s="1399"/>
      <c r="BB1169" s="1399"/>
      <c r="BC1169" s="1399"/>
      <c r="BD1169" s="1399"/>
      <c r="BE1169" s="1414"/>
      <c r="BF1169" s="1399"/>
      <c r="BG1169" s="1399"/>
      <c r="BH1169" s="1399"/>
      <c r="BI1169" s="1399"/>
      <c r="BJ1169" s="1399"/>
      <c r="BK1169" s="1399"/>
      <c r="BL1169" s="1399"/>
      <c r="BM1169" s="1399"/>
      <c r="BN1169" s="1399"/>
      <c r="BO1169" s="1399"/>
      <c r="BP1169" s="1399"/>
      <c r="BQ1169" s="1399"/>
      <c r="BR1169" s="1399"/>
      <c r="BS1169" s="1399"/>
      <c r="BT1169" s="1399"/>
      <c r="BU1169" s="1399"/>
      <c r="BV1169" s="1399"/>
      <c r="BW1169" s="1399"/>
      <c r="BX1169" s="1399"/>
      <c r="BY1169" s="1399"/>
      <c r="BZ1169" s="1399"/>
      <c r="CA1169" s="1399"/>
      <c r="CB1169" s="1399"/>
      <c r="CC1169" s="1399"/>
      <c r="CD1169" s="1399"/>
      <c r="CE1169" s="1399"/>
      <c r="CF1169" s="1399"/>
      <c r="CG1169" s="1399"/>
      <c r="CH1169" s="1399"/>
      <c r="CI1169" s="1399"/>
      <c r="CJ1169" s="1399"/>
      <c r="CK1169" s="1399"/>
      <c r="CL1169" s="1399"/>
      <c r="CM1169" s="1399"/>
      <c r="CN1169" s="1399"/>
      <c r="CO1169" s="1399"/>
      <c r="CP1169" s="1399"/>
      <c r="CQ1169" s="1399"/>
      <c r="CR1169" s="1399"/>
      <c r="CS1169" s="1399"/>
      <c r="CT1169" s="1399"/>
      <c r="CU1169" s="1399"/>
      <c r="CV1169" s="1399"/>
      <c r="CW1169" s="1399"/>
      <c r="CX1169" s="1399"/>
      <c r="CY1169" s="1399"/>
      <c r="CZ1169" s="1399"/>
      <c r="DA1169" s="1399"/>
      <c r="DB1169" s="1399"/>
      <c r="DC1169" s="1399"/>
      <c r="DD1169" s="1399"/>
      <c r="DE1169" s="1399"/>
      <c r="DF1169" s="1399"/>
      <c r="DG1169" s="1399"/>
      <c r="DH1169" s="1399"/>
      <c r="DI1169" s="1399"/>
      <c r="DJ1169" s="1399"/>
      <c r="DK1169" s="1399"/>
      <c r="DL1169" s="1399"/>
      <c r="DM1169" s="1399"/>
      <c r="DN1169" s="1399"/>
      <c r="DO1169" s="1399"/>
      <c r="DP1169" s="1399"/>
      <c r="DQ1169" s="1399"/>
      <c r="DR1169" s="1399"/>
      <c r="DS1169" s="1399"/>
      <c r="DT1169" s="1399"/>
      <c r="DU1169" s="1399"/>
    </row>
    <row r="1170" spans="1:125">
      <c r="A1170" s="1414"/>
      <c r="B1170" s="1414"/>
      <c r="C1170" s="1414"/>
      <c r="D1170" s="1414"/>
      <c r="E1170" s="1414"/>
      <c r="F1170" s="1414"/>
      <c r="G1170" s="1414"/>
      <c r="H1170" s="1414"/>
      <c r="I1170" s="1414"/>
      <c r="J1170" s="1414"/>
      <c r="K1170" s="1414"/>
      <c r="L1170" s="1414"/>
      <c r="M1170" s="1414"/>
      <c r="N1170" s="1414"/>
      <c r="O1170" s="1414"/>
      <c r="P1170" s="1414"/>
      <c r="Q1170" s="1414"/>
      <c r="R1170" s="1414"/>
      <c r="S1170" s="1414"/>
      <c r="T1170" s="1414"/>
      <c r="U1170" s="1414"/>
      <c r="V1170" s="1414"/>
      <c r="W1170" s="1414"/>
      <c r="X1170" s="1414"/>
      <c r="Y1170" s="1414"/>
      <c r="Z1170" s="1414"/>
      <c r="AA1170" s="1414"/>
      <c r="AB1170" s="1414"/>
      <c r="AC1170" s="1414"/>
      <c r="AD1170" s="1414"/>
      <c r="AE1170" s="1414"/>
      <c r="AF1170" s="1414"/>
      <c r="AG1170" s="1414"/>
      <c r="AH1170" s="1414"/>
      <c r="AI1170" s="1414"/>
      <c r="AJ1170" s="1414"/>
      <c r="AK1170" s="1414"/>
      <c r="AL1170" s="1414"/>
      <c r="AM1170" s="1414"/>
      <c r="AN1170" s="1414"/>
      <c r="AO1170" s="1414"/>
      <c r="AP1170" s="1414"/>
      <c r="AQ1170" s="1414"/>
      <c r="AR1170" s="1414"/>
      <c r="AS1170" s="1414"/>
      <c r="AT1170" s="1414"/>
      <c r="AU1170" s="1414"/>
      <c r="AV1170" s="1414"/>
      <c r="AW1170" s="1414"/>
      <c r="AX1170" s="1414"/>
      <c r="AY1170" s="1399"/>
      <c r="AZ1170" s="1399"/>
      <c r="BA1170" s="1399"/>
      <c r="BB1170" s="1399"/>
      <c r="BC1170" s="1399"/>
      <c r="BD1170" s="1399"/>
      <c r="BE1170" s="1414"/>
      <c r="BF1170" s="1399"/>
      <c r="BG1170" s="1399"/>
      <c r="BH1170" s="1399"/>
      <c r="BI1170" s="1399"/>
      <c r="BJ1170" s="1399"/>
      <c r="BK1170" s="1399"/>
      <c r="BL1170" s="1399"/>
      <c r="BM1170" s="1399"/>
      <c r="BN1170" s="1399"/>
      <c r="BO1170" s="1399"/>
      <c r="BP1170" s="1399"/>
      <c r="BQ1170" s="1399"/>
      <c r="BR1170" s="1399"/>
      <c r="BS1170" s="1399"/>
      <c r="BT1170" s="1399"/>
      <c r="BU1170" s="1399"/>
      <c r="BV1170" s="1399"/>
      <c r="BW1170" s="1399"/>
      <c r="BX1170" s="1399"/>
      <c r="BY1170" s="1399"/>
      <c r="BZ1170" s="1399"/>
      <c r="CA1170" s="1399"/>
      <c r="CB1170" s="1399"/>
      <c r="CC1170" s="1399"/>
      <c r="CD1170" s="1399"/>
      <c r="CE1170" s="1399"/>
      <c r="CF1170" s="1399"/>
      <c r="CG1170" s="1399"/>
      <c r="CH1170" s="1399"/>
      <c r="CI1170" s="1399"/>
      <c r="CJ1170" s="1399"/>
      <c r="CK1170" s="1399"/>
      <c r="CL1170" s="1399"/>
      <c r="CM1170" s="1399"/>
      <c r="CN1170" s="1399"/>
      <c r="CO1170" s="1399"/>
      <c r="CP1170" s="1399"/>
      <c r="CQ1170" s="1399"/>
      <c r="CR1170" s="1399"/>
      <c r="CS1170" s="1399"/>
      <c r="CT1170" s="1399"/>
      <c r="CU1170" s="1399"/>
      <c r="CV1170" s="1399"/>
      <c r="CW1170" s="1399"/>
      <c r="CX1170" s="1399"/>
      <c r="CY1170" s="1399"/>
      <c r="CZ1170" s="1399"/>
      <c r="DA1170" s="1399"/>
      <c r="DB1170" s="1399"/>
      <c r="DC1170" s="1399"/>
      <c r="DD1170" s="1399"/>
      <c r="DE1170" s="1399"/>
      <c r="DF1170" s="1399"/>
      <c r="DG1170" s="1399"/>
      <c r="DH1170" s="1399"/>
      <c r="DI1170" s="1399"/>
      <c r="DJ1170" s="1399"/>
      <c r="DK1170" s="1399"/>
      <c r="DL1170" s="1399"/>
      <c r="DM1170" s="1399"/>
      <c r="DN1170" s="1399"/>
      <c r="DO1170" s="1399"/>
      <c r="DP1170" s="1399"/>
      <c r="DQ1170" s="1399"/>
      <c r="DR1170" s="1399"/>
      <c r="DS1170" s="1399"/>
      <c r="DT1170" s="1399"/>
      <c r="DU1170" s="1399"/>
    </row>
    <row r="1171" spans="1:125">
      <c r="A1171" s="1414"/>
      <c r="B1171" s="1414"/>
      <c r="C1171" s="1414"/>
      <c r="D1171" s="1414"/>
      <c r="E1171" s="1414"/>
      <c r="F1171" s="1414"/>
      <c r="G1171" s="1414"/>
      <c r="H1171" s="1414"/>
      <c r="I1171" s="1414"/>
      <c r="J1171" s="1414"/>
      <c r="K1171" s="1414"/>
      <c r="L1171" s="1414"/>
      <c r="M1171" s="1414"/>
      <c r="N1171" s="1414"/>
      <c r="O1171" s="1414"/>
      <c r="P1171" s="1414"/>
      <c r="Q1171" s="1414"/>
      <c r="R1171" s="1414"/>
      <c r="S1171" s="1414"/>
      <c r="T1171" s="1414"/>
      <c r="U1171" s="1414"/>
      <c r="V1171" s="1414"/>
      <c r="W1171" s="1414"/>
      <c r="X1171" s="1414"/>
      <c r="Y1171" s="1414"/>
      <c r="Z1171" s="1414"/>
      <c r="AA1171" s="1414"/>
      <c r="AB1171" s="1414"/>
      <c r="AC1171" s="1414"/>
      <c r="AD1171" s="1414"/>
      <c r="AE1171" s="1414"/>
      <c r="AF1171" s="1414"/>
      <c r="AG1171" s="1414"/>
      <c r="AH1171" s="1414"/>
      <c r="AI1171" s="1414"/>
      <c r="AJ1171" s="1414"/>
      <c r="AK1171" s="1414"/>
      <c r="AL1171" s="1414"/>
      <c r="AM1171" s="1414"/>
      <c r="AN1171" s="1414"/>
      <c r="AO1171" s="1414"/>
      <c r="AP1171" s="1414"/>
      <c r="AQ1171" s="1414"/>
      <c r="AR1171" s="1414"/>
      <c r="AS1171" s="1414"/>
      <c r="AT1171" s="1414"/>
      <c r="AU1171" s="1414"/>
      <c r="AV1171" s="1414"/>
      <c r="AW1171" s="1414"/>
      <c r="AX1171" s="1414"/>
      <c r="AY1171" s="1399"/>
      <c r="AZ1171" s="1399"/>
      <c r="BA1171" s="1399"/>
      <c r="BB1171" s="1399"/>
      <c r="BC1171" s="1399"/>
      <c r="BD1171" s="1399"/>
      <c r="BE1171" s="1414"/>
      <c r="BF1171" s="1399"/>
      <c r="BG1171" s="1399"/>
      <c r="BH1171" s="1399"/>
      <c r="BI1171" s="1399"/>
      <c r="BJ1171" s="1399"/>
      <c r="BK1171" s="1399"/>
      <c r="BL1171" s="1399"/>
      <c r="BM1171" s="1399"/>
      <c r="BN1171" s="1399"/>
      <c r="BO1171" s="1399"/>
      <c r="BP1171" s="1399"/>
      <c r="BQ1171" s="1399"/>
      <c r="BR1171" s="1399"/>
      <c r="BS1171" s="1399"/>
      <c r="BT1171" s="1399"/>
      <c r="BU1171" s="1399"/>
      <c r="BV1171" s="1399"/>
      <c r="BW1171" s="1399"/>
      <c r="BX1171" s="1399"/>
      <c r="BY1171" s="1399"/>
      <c r="BZ1171" s="1399"/>
      <c r="CA1171" s="1399"/>
      <c r="CB1171" s="1399"/>
      <c r="CC1171" s="1399"/>
      <c r="CD1171" s="1399"/>
      <c r="CE1171" s="1399"/>
      <c r="CF1171" s="1399"/>
      <c r="CG1171" s="1399"/>
      <c r="CH1171" s="1399"/>
      <c r="CI1171" s="1399"/>
      <c r="CJ1171" s="1399"/>
      <c r="CK1171" s="1399"/>
      <c r="CL1171" s="1399"/>
      <c r="CM1171" s="1399"/>
      <c r="CN1171" s="1399"/>
      <c r="CO1171" s="1399"/>
      <c r="CP1171" s="1399"/>
      <c r="CQ1171" s="1399"/>
      <c r="CR1171" s="1399"/>
      <c r="CS1171" s="1399"/>
      <c r="CT1171" s="1399"/>
      <c r="CU1171" s="1399"/>
      <c r="CV1171" s="1399"/>
      <c r="CW1171" s="1399"/>
      <c r="CX1171" s="1399"/>
      <c r="CY1171" s="1399"/>
      <c r="CZ1171" s="1399"/>
      <c r="DA1171" s="1399"/>
      <c r="DB1171" s="1399"/>
      <c r="DC1171" s="1399"/>
      <c r="DD1171" s="1399"/>
      <c r="DE1171" s="1399"/>
      <c r="DF1171" s="1399"/>
      <c r="DG1171" s="1399"/>
      <c r="DH1171" s="1399"/>
      <c r="DI1171" s="1399"/>
      <c r="DJ1171" s="1399"/>
      <c r="DK1171" s="1399"/>
      <c r="DL1171" s="1399"/>
      <c r="DM1171" s="1399"/>
      <c r="DN1171" s="1399"/>
      <c r="DO1171" s="1399"/>
      <c r="DP1171" s="1399"/>
      <c r="DQ1171" s="1399"/>
      <c r="DR1171" s="1399"/>
      <c r="DS1171" s="1399"/>
      <c r="DT1171" s="1399"/>
      <c r="DU1171" s="1399"/>
    </row>
    <row r="1172" spans="1:125">
      <c r="A1172" s="1414"/>
      <c r="B1172" s="1414"/>
      <c r="C1172" s="1414"/>
      <c r="D1172" s="1414"/>
      <c r="E1172" s="1414"/>
      <c r="F1172" s="1414"/>
      <c r="G1172" s="1414"/>
      <c r="H1172" s="1414"/>
      <c r="I1172" s="1414"/>
      <c r="J1172" s="1414"/>
      <c r="K1172" s="1414"/>
      <c r="L1172" s="1414"/>
      <c r="M1172" s="1414"/>
      <c r="N1172" s="1414"/>
      <c r="O1172" s="1414"/>
      <c r="P1172" s="1414"/>
      <c r="Q1172" s="1414"/>
      <c r="R1172" s="1414"/>
      <c r="S1172" s="1414"/>
      <c r="T1172" s="1414"/>
      <c r="U1172" s="1414"/>
      <c r="V1172" s="1414"/>
      <c r="W1172" s="1414"/>
      <c r="X1172" s="1414"/>
      <c r="Y1172" s="1414"/>
      <c r="Z1172" s="1414"/>
      <c r="AA1172" s="1414"/>
      <c r="AB1172" s="1414"/>
      <c r="AC1172" s="1414"/>
      <c r="AD1172" s="1414"/>
      <c r="AE1172" s="1414"/>
      <c r="AF1172" s="1414"/>
      <c r="AG1172" s="1414"/>
      <c r="AH1172" s="1414"/>
      <c r="AI1172" s="1414"/>
      <c r="AJ1172" s="1414"/>
      <c r="AK1172" s="1414"/>
      <c r="AL1172" s="1414"/>
      <c r="AM1172" s="1414"/>
      <c r="AN1172" s="1414"/>
      <c r="AO1172" s="1414"/>
      <c r="AP1172" s="1414"/>
      <c r="AQ1172" s="1414"/>
      <c r="AR1172" s="1414"/>
      <c r="AS1172" s="1414"/>
      <c r="AT1172" s="1414"/>
      <c r="AU1172" s="1414"/>
      <c r="AV1172" s="1414"/>
      <c r="AW1172" s="1414"/>
      <c r="AX1172" s="1414"/>
      <c r="AY1172" s="1399"/>
      <c r="AZ1172" s="1399"/>
      <c r="BA1172" s="1399"/>
      <c r="BB1172" s="1399"/>
      <c r="BC1172" s="1399"/>
      <c r="BD1172" s="1399"/>
      <c r="BE1172" s="1414"/>
      <c r="BF1172" s="1399"/>
      <c r="BG1172" s="1399"/>
      <c r="BH1172" s="1399"/>
      <c r="BI1172" s="1399"/>
      <c r="BJ1172" s="1399"/>
      <c r="BK1172" s="1399"/>
      <c r="BL1172" s="1399"/>
      <c r="BM1172" s="1399"/>
      <c r="BN1172" s="1399"/>
      <c r="BO1172" s="1399"/>
      <c r="BP1172" s="1399"/>
      <c r="BQ1172" s="1399"/>
      <c r="BR1172" s="1399"/>
      <c r="BS1172" s="1399"/>
      <c r="BT1172" s="1399"/>
      <c r="BU1172" s="1399"/>
      <c r="BV1172" s="1399"/>
      <c r="BW1172" s="1399"/>
      <c r="BX1172" s="1399"/>
      <c r="BY1172" s="1399"/>
      <c r="BZ1172" s="1399"/>
      <c r="CA1172" s="1399"/>
      <c r="CB1172" s="1399"/>
      <c r="CC1172" s="1399"/>
      <c r="CD1172" s="1399"/>
      <c r="CE1172" s="1399"/>
      <c r="CF1172" s="1399"/>
      <c r="CG1172" s="1399"/>
      <c r="CH1172" s="1399"/>
      <c r="CI1172" s="1399"/>
      <c r="CJ1172" s="1399"/>
      <c r="CK1172" s="1399"/>
      <c r="CL1172" s="1399"/>
      <c r="CM1172" s="1399"/>
      <c r="CN1172" s="1399"/>
      <c r="CO1172" s="1399"/>
      <c r="CP1172" s="1399"/>
      <c r="CQ1172" s="1399"/>
      <c r="CR1172" s="1399"/>
      <c r="CS1172" s="1399"/>
      <c r="CT1172" s="1399"/>
      <c r="CU1172" s="1399"/>
      <c r="CV1172" s="1399"/>
      <c r="CW1172" s="1399"/>
      <c r="CX1172" s="1399"/>
      <c r="CY1172" s="1399"/>
      <c r="CZ1172" s="1399"/>
      <c r="DA1172" s="1399"/>
      <c r="DB1172" s="1399"/>
      <c r="DC1172" s="1399"/>
      <c r="DD1172" s="1399"/>
      <c r="DE1172" s="1399"/>
      <c r="DF1172" s="1399"/>
      <c r="DG1172" s="1399"/>
      <c r="DH1172" s="1399"/>
      <c r="DI1172" s="1399"/>
      <c r="DJ1172" s="1399"/>
      <c r="DK1172" s="1399"/>
      <c r="DL1172" s="1399"/>
      <c r="DM1172" s="1399"/>
      <c r="DN1172" s="1399"/>
      <c r="DO1172" s="1399"/>
      <c r="DP1172" s="1399"/>
      <c r="DQ1172" s="1399"/>
      <c r="DR1172" s="1399"/>
      <c r="DS1172" s="1399"/>
      <c r="DT1172" s="1399"/>
      <c r="DU1172" s="1399"/>
    </row>
    <row r="1173" spans="1:125">
      <c r="A1173" s="1414"/>
      <c r="B1173" s="1414"/>
      <c r="C1173" s="1414"/>
      <c r="D1173" s="1414"/>
      <c r="E1173" s="1414"/>
      <c r="F1173" s="1414"/>
      <c r="G1173" s="1414"/>
      <c r="H1173" s="1414"/>
      <c r="I1173" s="1414"/>
      <c r="J1173" s="1414"/>
      <c r="K1173" s="1414"/>
      <c r="L1173" s="1414"/>
      <c r="M1173" s="1414"/>
      <c r="N1173" s="1414"/>
      <c r="O1173" s="1414"/>
      <c r="P1173" s="1414"/>
      <c r="Q1173" s="1414"/>
      <c r="R1173" s="1414"/>
      <c r="S1173" s="1414"/>
      <c r="T1173" s="1414"/>
      <c r="U1173" s="1414"/>
      <c r="V1173" s="1414"/>
      <c r="W1173" s="1414"/>
      <c r="X1173" s="1414"/>
      <c r="Y1173" s="1414"/>
      <c r="Z1173" s="1414"/>
      <c r="AA1173" s="1414"/>
      <c r="AB1173" s="1414"/>
      <c r="AC1173" s="1414"/>
      <c r="AD1173" s="1414"/>
      <c r="AE1173" s="1414"/>
      <c r="AF1173" s="1414"/>
      <c r="AG1173" s="1414"/>
      <c r="AH1173" s="1414"/>
      <c r="AI1173" s="1414"/>
      <c r="AJ1173" s="1414"/>
      <c r="AK1173" s="1414"/>
      <c r="AL1173" s="1414"/>
      <c r="AM1173" s="1414"/>
      <c r="AN1173" s="1414"/>
      <c r="AO1173" s="1414"/>
      <c r="AP1173" s="1414"/>
      <c r="AQ1173" s="1414"/>
      <c r="AR1173" s="1414"/>
      <c r="AS1173" s="1414"/>
      <c r="AT1173" s="1414"/>
      <c r="AU1173" s="1414"/>
      <c r="AV1173" s="1414"/>
      <c r="AW1173" s="1414"/>
      <c r="AX1173" s="1414"/>
      <c r="AY1173" s="1399"/>
      <c r="AZ1173" s="1399"/>
      <c r="BA1173" s="1399"/>
      <c r="BB1173" s="1399"/>
      <c r="BC1173" s="1399"/>
      <c r="BD1173" s="1399"/>
      <c r="BE1173" s="1414"/>
      <c r="BF1173" s="1399"/>
      <c r="BG1173" s="1399"/>
      <c r="BH1173" s="1399"/>
      <c r="BI1173" s="1399"/>
      <c r="BJ1173" s="1399"/>
      <c r="BK1173" s="1399"/>
      <c r="BL1173" s="1399"/>
      <c r="BM1173" s="1399"/>
      <c r="BN1173" s="1399"/>
      <c r="BO1173" s="1399"/>
      <c r="BP1173" s="1399"/>
      <c r="BQ1173" s="1399"/>
      <c r="BR1173" s="1399"/>
      <c r="BS1173" s="1399"/>
      <c r="BT1173" s="1399"/>
      <c r="BU1173" s="1399"/>
      <c r="BV1173" s="1399"/>
      <c r="BW1173" s="1399"/>
      <c r="BX1173" s="1399"/>
      <c r="BY1173" s="1399"/>
      <c r="BZ1173" s="1399"/>
      <c r="CA1173" s="1399"/>
      <c r="CB1173" s="1399"/>
      <c r="CC1173" s="1399"/>
      <c r="CD1173" s="1399"/>
      <c r="CE1173" s="1399"/>
      <c r="CF1173" s="1399"/>
      <c r="CG1173" s="1399"/>
      <c r="CH1173" s="1399"/>
      <c r="CI1173" s="1399"/>
      <c r="CJ1173" s="1399"/>
      <c r="CK1173" s="1399"/>
      <c r="CL1173" s="1399"/>
      <c r="CM1173" s="1399"/>
      <c r="CN1173" s="1399"/>
      <c r="CO1173" s="1399"/>
      <c r="CP1173" s="1399"/>
      <c r="CQ1173" s="1399"/>
      <c r="CR1173" s="1399"/>
      <c r="CS1173" s="1399"/>
      <c r="CT1173" s="1399"/>
      <c r="CU1173" s="1399"/>
      <c r="CV1173" s="1399"/>
      <c r="CW1173" s="1399"/>
      <c r="CX1173" s="1399"/>
      <c r="CY1173" s="1399"/>
      <c r="CZ1173" s="1399"/>
      <c r="DA1173" s="1399"/>
      <c r="DB1173" s="1399"/>
      <c r="DC1173" s="1399"/>
      <c r="DD1173" s="1399"/>
      <c r="DE1173" s="1399"/>
      <c r="DF1173" s="1399"/>
      <c r="DG1173" s="1399"/>
      <c r="DH1173" s="1399"/>
      <c r="DI1173" s="1399"/>
      <c r="DJ1173" s="1399"/>
      <c r="DK1173" s="1399"/>
      <c r="DL1173" s="1399"/>
      <c r="DM1173" s="1399"/>
      <c r="DN1173" s="1399"/>
      <c r="DO1173" s="1399"/>
      <c r="DP1173" s="1399"/>
      <c r="DQ1173" s="1399"/>
      <c r="DR1173" s="1399"/>
      <c r="DS1173" s="1399"/>
      <c r="DT1173" s="1399"/>
      <c r="DU1173" s="1399"/>
    </row>
    <row r="1174" spans="1:125">
      <c r="A1174" s="1414"/>
      <c r="B1174" s="1414"/>
      <c r="C1174" s="1414"/>
      <c r="D1174" s="1414"/>
      <c r="E1174" s="1414"/>
      <c r="F1174" s="1414"/>
      <c r="G1174" s="1414"/>
      <c r="H1174" s="1414"/>
      <c r="I1174" s="1414"/>
      <c r="J1174" s="1414"/>
      <c r="K1174" s="1414"/>
      <c r="L1174" s="1414"/>
      <c r="M1174" s="1414"/>
      <c r="N1174" s="1414"/>
      <c r="O1174" s="1414"/>
      <c r="P1174" s="1414"/>
      <c r="Q1174" s="1414"/>
      <c r="R1174" s="1414"/>
      <c r="S1174" s="1414"/>
      <c r="T1174" s="1414"/>
      <c r="U1174" s="1414"/>
      <c r="V1174" s="1414"/>
      <c r="W1174" s="1414"/>
      <c r="X1174" s="1414"/>
      <c r="Y1174" s="1414"/>
      <c r="Z1174" s="1414"/>
      <c r="AA1174" s="1414"/>
      <c r="AB1174" s="1414"/>
      <c r="AC1174" s="1414"/>
      <c r="AD1174" s="1414"/>
      <c r="AE1174" s="1414"/>
      <c r="AF1174" s="1414"/>
      <c r="AG1174" s="1414"/>
      <c r="AH1174" s="1414"/>
      <c r="AI1174" s="1414"/>
      <c r="AJ1174" s="1414"/>
      <c r="AK1174" s="1414"/>
      <c r="AL1174" s="1414"/>
      <c r="AM1174" s="1414"/>
      <c r="AN1174" s="1414"/>
      <c r="AO1174" s="1414"/>
      <c r="AP1174" s="1414"/>
      <c r="AQ1174" s="1414"/>
      <c r="AR1174" s="1414"/>
      <c r="AS1174" s="1414"/>
      <c r="AT1174" s="1414"/>
      <c r="AU1174" s="1414"/>
      <c r="AV1174" s="1414"/>
      <c r="AW1174" s="1414"/>
      <c r="AX1174" s="1414"/>
      <c r="AY1174" s="1399"/>
      <c r="AZ1174" s="1399"/>
      <c r="BA1174" s="1399"/>
      <c r="BB1174" s="1399"/>
      <c r="BC1174" s="1399"/>
      <c r="BD1174" s="1399"/>
      <c r="BE1174" s="1414"/>
      <c r="BF1174" s="1399"/>
      <c r="BG1174" s="1399"/>
      <c r="BH1174" s="1399"/>
      <c r="BI1174" s="1399"/>
      <c r="BJ1174" s="1399"/>
      <c r="BK1174" s="1399"/>
      <c r="BL1174" s="1399"/>
      <c r="BM1174" s="1399"/>
      <c r="BN1174" s="1399"/>
      <c r="BO1174" s="1399"/>
      <c r="BP1174" s="1399"/>
      <c r="BQ1174" s="1399"/>
      <c r="BR1174" s="1399"/>
      <c r="BS1174" s="1399"/>
      <c r="BT1174" s="1399"/>
      <c r="BU1174" s="1399"/>
      <c r="BV1174" s="1399"/>
      <c r="BW1174" s="1399"/>
      <c r="BX1174" s="1399"/>
      <c r="BY1174" s="1399"/>
      <c r="BZ1174" s="1399"/>
      <c r="CA1174" s="1399"/>
      <c r="CB1174" s="1399"/>
      <c r="CC1174" s="1399"/>
      <c r="CD1174" s="1399"/>
      <c r="CE1174" s="1399"/>
      <c r="CF1174" s="1399"/>
      <c r="CG1174" s="1399"/>
      <c r="CH1174" s="1399"/>
      <c r="CI1174" s="1399"/>
      <c r="CJ1174" s="1399"/>
      <c r="CK1174" s="1399"/>
      <c r="CL1174" s="1399"/>
      <c r="CM1174" s="1399"/>
      <c r="CN1174" s="1399"/>
      <c r="CO1174" s="1399"/>
      <c r="CP1174" s="1399"/>
      <c r="CQ1174" s="1399"/>
      <c r="CR1174" s="1399"/>
      <c r="CS1174" s="1399"/>
      <c r="CT1174" s="1399"/>
      <c r="CU1174" s="1399"/>
      <c r="CV1174" s="1399"/>
      <c r="CW1174" s="1399"/>
      <c r="CX1174" s="1399"/>
      <c r="CY1174" s="1399"/>
      <c r="CZ1174" s="1399"/>
      <c r="DA1174" s="1399"/>
      <c r="DB1174" s="1399"/>
      <c r="DC1174" s="1399"/>
      <c r="DD1174" s="1399"/>
      <c r="DE1174" s="1399"/>
      <c r="DF1174" s="1399"/>
      <c r="DG1174" s="1399"/>
      <c r="DH1174" s="1399"/>
      <c r="DI1174" s="1399"/>
      <c r="DJ1174" s="1399"/>
      <c r="DK1174" s="1399"/>
      <c r="DL1174" s="1399"/>
      <c r="DM1174" s="1399"/>
      <c r="DN1174" s="1399"/>
      <c r="DO1174" s="1399"/>
      <c r="DP1174" s="1399"/>
      <c r="DQ1174" s="1399"/>
      <c r="DR1174" s="1399"/>
      <c r="DS1174" s="1399"/>
      <c r="DT1174" s="1399"/>
      <c r="DU1174" s="1399"/>
    </row>
    <row r="1175" spans="1:125">
      <c r="A1175" s="1414"/>
      <c r="B1175" s="1414"/>
      <c r="C1175" s="1414"/>
      <c r="D1175" s="1414"/>
      <c r="E1175" s="1414"/>
      <c r="F1175" s="1414"/>
      <c r="G1175" s="1414"/>
      <c r="H1175" s="1414"/>
      <c r="I1175" s="1414"/>
      <c r="J1175" s="1414"/>
      <c r="K1175" s="1414"/>
      <c r="L1175" s="1414"/>
      <c r="M1175" s="1414"/>
      <c r="N1175" s="1414"/>
      <c r="O1175" s="1414"/>
      <c r="P1175" s="1414"/>
      <c r="Q1175" s="1414"/>
      <c r="R1175" s="1414"/>
      <c r="S1175" s="1414"/>
      <c r="T1175" s="1414"/>
      <c r="U1175" s="1414"/>
      <c r="V1175" s="1414"/>
      <c r="W1175" s="1414"/>
      <c r="X1175" s="1414"/>
      <c r="Y1175" s="1414"/>
      <c r="Z1175" s="1414"/>
      <c r="AA1175" s="1414"/>
      <c r="AB1175" s="1414"/>
      <c r="AC1175" s="1414"/>
      <c r="AD1175" s="1414"/>
      <c r="AE1175" s="1414"/>
      <c r="AF1175" s="1414"/>
      <c r="AG1175" s="1414"/>
      <c r="AH1175" s="1414"/>
      <c r="AI1175" s="1414"/>
      <c r="AJ1175" s="1414"/>
      <c r="AK1175" s="1414"/>
      <c r="AL1175" s="1414"/>
      <c r="AM1175" s="1414"/>
      <c r="AN1175" s="1414"/>
      <c r="AO1175" s="1414"/>
      <c r="AP1175" s="1414"/>
      <c r="AQ1175" s="1414"/>
      <c r="AR1175" s="1414"/>
      <c r="AS1175" s="1414"/>
      <c r="AT1175" s="1414"/>
      <c r="AU1175" s="1414"/>
      <c r="AV1175" s="1414"/>
      <c r="AW1175" s="1414"/>
      <c r="AX1175" s="1414"/>
      <c r="AY1175" s="1399"/>
      <c r="AZ1175" s="1399"/>
      <c r="BA1175" s="1399"/>
      <c r="BB1175" s="1399"/>
      <c r="BC1175" s="1399"/>
      <c r="BD1175" s="1399"/>
      <c r="BE1175" s="1414"/>
      <c r="BF1175" s="1399"/>
      <c r="BG1175" s="1399"/>
      <c r="BH1175" s="1399"/>
      <c r="BI1175" s="1399"/>
      <c r="BJ1175" s="1399"/>
      <c r="BK1175" s="1399"/>
      <c r="BL1175" s="1399"/>
      <c r="BM1175" s="1399"/>
      <c r="BN1175" s="1399"/>
      <c r="BO1175" s="1399"/>
      <c r="BP1175" s="1399"/>
      <c r="BQ1175" s="1399"/>
      <c r="BR1175" s="1399"/>
      <c r="BS1175" s="1399"/>
      <c r="BT1175" s="1399"/>
      <c r="BU1175" s="1399"/>
      <c r="BV1175" s="1399"/>
      <c r="BW1175" s="1399"/>
      <c r="BX1175" s="1399"/>
      <c r="BY1175" s="1399"/>
      <c r="BZ1175" s="1399"/>
      <c r="CA1175" s="1399"/>
      <c r="CB1175" s="1399"/>
      <c r="CC1175" s="1399"/>
      <c r="CD1175" s="1399"/>
      <c r="CE1175" s="1399"/>
      <c r="CF1175" s="1399"/>
      <c r="CG1175" s="1399"/>
      <c r="CH1175" s="1399"/>
      <c r="CI1175" s="1399"/>
      <c r="CJ1175" s="1399"/>
      <c r="CK1175" s="1399"/>
      <c r="CL1175" s="1399"/>
      <c r="CM1175" s="1399"/>
      <c r="CN1175" s="1399"/>
      <c r="CO1175" s="1399"/>
      <c r="CP1175" s="1399"/>
      <c r="CQ1175" s="1399"/>
      <c r="CR1175" s="1399"/>
      <c r="CS1175" s="1399"/>
      <c r="CT1175" s="1399"/>
      <c r="CU1175" s="1399"/>
      <c r="CV1175" s="1399"/>
      <c r="CW1175" s="1399"/>
      <c r="CX1175" s="1399"/>
      <c r="CY1175" s="1399"/>
      <c r="CZ1175" s="1399"/>
      <c r="DA1175" s="1399"/>
      <c r="DB1175" s="1399"/>
      <c r="DC1175" s="1399"/>
      <c r="DD1175" s="1399"/>
      <c r="DE1175" s="1399"/>
      <c r="DF1175" s="1399"/>
      <c r="DG1175" s="1399"/>
      <c r="DH1175" s="1399"/>
      <c r="DI1175" s="1399"/>
      <c r="DJ1175" s="1399"/>
      <c r="DK1175" s="1399"/>
      <c r="DL1175" s="1399"/>
      <c r="DM1175" s="1399"/>
      <c r="DN1175" s="1399"/>
      <c r="DO1175" s="1399"/>
      <c r="DP1175" s="1399"/>
      <c r="DQ1175" s="1399"/>
      <c r="DR1175" s="1399"/>
      <c r="DS1175" s="1399"/>
      <c r="DT1175" s="1399"/>
      <c r="DU1175" s="1399"/>
    </row>
    <row r="1176" spans="1:125">
      <c r="A1176" s="1414"/>
      <c r="B1176" s="1414"/>
      <c r="C1176" s="1414"/>
      <c r="D1176" s="1414"/>
      <c r="E1176" s="1414"/>
      <c r="F1176" s="1414"/>
      <c r="G1176" s="1414"/>
      <c r="H1176" s="1414"/>
      <c r="I1176" s="1414"/>
      <c r="J1176" s="1414"/>
      <c r="K1176" s="1414"/>
      <c r="L1176" s="1414"/>
      <c r="M1176" s="1414"/>
      <c r="N1176" s="1414"/>
      <c r="O1176" s="1414"/>
      <c r="P1176" s="1414"/>
      <c r="Q1176" s="1414"/>
      <c r="R1176" s="1414"/>
      <c r="S1176" s="1414"/>
      <c r="T1176" s="1414"/>
      <c r="U1176" s="1414"/>
      <c r="V1176" s="1414"/>
      <c r="W1176" s="1414"/>
      <c r="X1176" s="1414"/>
      <c r="Y1176" s="1414"/>
      <c r="Z1176" s="1414"/>
      <c r="AA1176" s="1414"/>
      <c r="AB1176" s="1414"/>
      <c r="AC1176" s="1414"/>
      <c r="AD1176" s="1414"/>
      <c r="AE1176" s="1414"/>
      <c r="AF1176" s="1414"/>
      <c r="AG1176" s="1414"/>
      <c r="AH1176" s="1414"/>
      <c r="AI1176" s="1414"/>
      <c r="AJ1176" s="1414"/>
      <c r="AK1176" s="1414"/>
      <c r="AL1176" s="1414"/>
      <c r="AM1176" s="1414"/>
      <c r="AN1176" s="1414"/>
      <c r="AO1176" s="1414"/>
      <c r="AP1176" s="1414"/>
      <c r="AQ1176" s="1414"/>
      <c r="AR1176" s="1414"/>
      <c r="AS1176" s="1414"/>
      <c r="AT1176" s="1414"/>
      <c r="AU1176" s="1414"/>
      <c r="AV1176" s="1414"/>
      <c r="AW1176" s="1414"/>
      <c r="AX1176" s="1414"/>
      <c r="AY1176" s="1399"/>
      <c r="AZ1176" s="1399"/>
      <c r="BA1176" s="1399"/>
      <c r="BB1176" s="1399"/>
      <c r="BC1176" s="1399"/>
      <c r="BD1176" s="1399"/>
      <c r="BE1176" s="1414"/>
      <c r="BF1176" s="1399"/>
      <c r="BG1176" s="1399"/>
      <c r="BH1176" s="1399"/>
      <c r="BI1176" s="1399"/>
      <c r="BJ1176" s="1399"/>
      <c r="BK1176" s="1399"/>
      <c r="BL1176" s="1399"/>
      <c r="BM1176" s="1399"/>
      <c r="BN1176" s="1399"/>
      <c r="BO1176" s="1399"/>
      <c r="BP1176" s="1399"/>
      <c r="BQ1176" s="1399"/>
      <c r="BR1176" s="1399"/>
      <c r="BS1176" s="1399"/>
      <c r="BT1176" s="1399"/>
      <c r="BU1176" s="1399"/>
      <c r="BV1176" s="1399"/>
      <c r="BW1176" s="1399"/>
      <c r="BX1176" s="1399"/>
      <c r="BY1176" s="1399"/>
      <c r="BZ1176" s="1399"/>
      <c r="CA1176" s="1399"/>
      <c r="CB1176" s="1399"/>
      <c r="CC1176" s="1399"/>
      <c r="CD1176" s="1399"/>
      <c r="CE1176" s="1399"/>
      <c r="CF1176" s="1399"/>
      <c r="CG1176" s="1399"/>
      <c r="CH1176" s="1399"/>
      <c r="CI1176" s="1399"/>
      <c r="CJ1176" s="1399"/>
      <c r="CK1176" s="1399"/>
      <c r="CL1176" s="1399"/>
      <c r="CM1176" s="1399"/>
      <c r="CN1176" s="1399"/>
      <c r="CO1176" s="1399"/>
      <c r="CP1176" s="1399"/>
      <c r="CQ1176" s="1399"/>
      <c r="CR1176" s="1399"/>
      <c r="CS1176" s="1399"/>
      <c r="CT1176" s="1399"/>
      <c r="CU1176" s="1399"/>
      <c r="CV1176" s="1399"/>
      <c r="CW1176" s="1399"/>
      <c r="CX1176" s="1399"/>
      <c r="CY1176" s="1399"/>
      <c r="CZ1176" s="1399"/>
      <c r="DA1176" s="1399"/>
      <c r="DB1176" s="1399"/>
      <c r="DC1176" s="1399"/>
      <c r="DD1176" s="1399"/>
      <c r="DE1176" s="1399"/>
      <c r="DF1176" s="1399"/>
      <c r="DG1176" s="1399"/>
      <c r="DH1176" s="1399"/>
      <c r="DI1176" s="1399"/>
      <c r="DJ1176" s="1399"/>
      <c r="DK1176" s="1399"/>
      <c r="DL1176" s="1399"/>
      <c r="DM1176" s="1399"/>
      <c r="DN1176" s="1399"/>
      <c r="DO1176" s="1399"/>
      <c r="DP1176" s="1399"/>
      <c r="DQ1176" s="1399"/>
      <c r="DR1176" s="1399"/>
      <c r="DS1176" s="1399"/>
      <c r="DT1176" s="1399"/>
      <c r="DU1176" s="1399"/>
    </row>
    <row r="1177" spans="1:125">
      <c r="A1177" s="1414"/>
      <c r="B1177" s="1414"/>
      <c r="C1177" s="1414"/>
      <c r="D1177" s="1414"/>
      <c r="E1177" s="1414"/>
      <c r="F1177" s="1414"/>
      <c r="G1177" s="1414"/>
      <c r="H1177" s="1414"/>
      <c r="I1177" s="1414"/>
      <c r="J1177" s="1414"/>
      <c r="K1177" s="1414"/>
      <c r="L1177" s="1414"/>
      <c r="M1177" s="1414"/>
      <c r="N1177" s="1414"/>
      <c r="O1177" s="1414"/>
      <c r="P1177" s="1414"/>
      <c r="Q1177" s="1414"/>
      <c r="R1177" s="1414"/>
      <c r="S1177" s="1414"/>
      <c r="T1177" s="1414"/>
      <c r="U1177" s="1414"/>
      <c r="V1177" s="1414"/>
      <c r="W1177" s="1414"/>
      <c r="X1177" s="1414"/>
      <c r="Y1177" s="1414"/>
      <c r="Z1177" s="1414"/>
      <c r="AA1177" s="1414"/>
      <c r="AB1177" s="1414"/>
      <c r="AC1177" s="1414"/>
      <c r="AD1177" s="1414"/>
      <c r="AE1177" s="1414"/>
      <c r="AF1177" s="1414"/>
      <c r="AG1177" s="1414"/>
      <c r="AH1177" s="1414"/>
      <c r="AI1177" s="1414"/>
      <c r="AJ1177" s="1414"/>
      <c r="AK1177" s="1414"/>
      <c r="AL1177" s="1414"/>
      <c r="AM1177" s="1414"/>
      <c r="AN1177" s="1414"/>
      <c r="AO1177" s="1414"/>
      <c r="AP1177" s="1414"/>
      <c r="AQ1177" s="1414"/>
      <c r="AR1177" s="1414"/>
      <c r="AS1177" s="1414"/>
      <c r="AT1177" s="1414"/>
      <c r="AU1177" s="1414"/>
      <c r="AV1177" s="1414"/>
      <c r="AW1177" s="1414"/>
      <c r="AX1177" s="1414"/>
      <c r="AY1177" s="1399"/>
      <c r="AZ1177" s="1399"/>
      <c r="BA1177" s="1399"/>
      <c r="BB1177" s="1399"/>
      <c r="BC1177" s="1399"/>
      <c r="BD1177" s="1399"/>
      <c r="BE1177" s="1414"/>
      <c r="BF1177" s="1399"/>
      <c r="BG1177" s="1399"/>
      <c r="BH1177" s="1399"/>
      <c r="BI1177" s="1399"/>
      <c r="BJ1177" s="1399"/>
      <c r="BK1177" s="1399"/>
      <c r="BL1177" s="1399"/>
      <c r="BM1177" s="1399"/>
      <c r="BN1177" s="1399"/>
      <c r="BO1177" s="1399"/>
      <c r="BP1177" s="1399"/>
      <c r="BQ1177" s="1399"/>
      <c r="BR1177" s="1399"/>
      <c r="BS1177" s="1399"/>
      <c r="BT1177" s="1399"/>
      <c r="BU1177" s="1399"/>
      <c r="BV1177" s="1399"/>
      <c r="BW1177" s="1399"/>
      <c r="BX1177" s="1399"/>
      <c r="BY1177" s="1399"/>
      <c r="BZ1177" s="1399"/>
      <c r="CA1177" s="1399"/>
      <c r="CB1177" s="1399"/>
      <c r="CC1177" s="1399"/>
      <c r="CD1177" s="1399"/>
      <c r="CE1177" s="1399"/>
      <c r="CF1177" s="1399"/>
      <c r="CG1177" s="1399"/>
      <c r="CH1177" s="1399"/>
      <c r="CI1177" s="1399"/>
      <c r="CJ1177" s="1399"/>
      <c r="CK1177" s="1399"/>
      <c r="CL1177" s="1399"/>
      <c r="CM1177" s="1399"/>
      <c r="CN1177" s="1399"/>
      <c r="CO1177" s="1399"/>
      <c r="CP1177" s="1399"/>
      <c r="CQ1177" s="1399"/>
      <c r="CR1177" s="1399"/>
      <c r="CS1177" s="1399"/>
      <c r="CT1177" s="1399"/>
      <c r="CU1177" s="1399"/>
      <c r="CV1177" s="1399"/>
      <c r="CW1177" s="1399"/>
      <c r="CX1177" s="1399"/>
      <c r="CY1177" s="1399"/>
      <c r="CZ1177" s="1399"/>
      <c r="DA1177" s="1399"/>
      <c r="DB1177" s="1399"/>
      <c r="DC1177" s="1399"/>
      <c r="DD1177" s="1399"/>
      <c r="DE1177" s="1399"/>
      <c r="DF1177" s="1399"/>
      <c r="DG1177" s="1399"/>
      <c r="DH1177" s="1399"/>
      <c r="DI1177" s="1399"/>
      <c r="DJ1177" s="1399"/>
      <c r="DK1177" s="1399"/>
      <c r="DL1177" s="1399"/>
      <c r="DM1177" s="1399"/>
      <c r="DN1177" s="1399"/>
      <c r="DO1177" s="1399"/>
      <c r="DP1177" s="1399"/>
      <c r="DQ1177" s="1399"/>
      <c r="DR1177" s="1399"/>
      <c r="DS1177" s="1399"/>
      <c r="DT1177" s="1399"/>
      <c r="DU1177" s="1399"/>
    </row>
    <row r="1178" spans="1:125">
      <c r="A1178" s="1414"/>
      <c r="B1178" s="1414"/>
      <c r="C1178" s="1414"/>
      <c r="D1178" s="1414"/>
      <c r="E1178" s="1414"/>
      <c r="F1178" s="1414"/>
      <c r="G1178" s="1414"/>
      <c r="H1178" s="1414"/>
      <c r="I1178" s="1414"/>
      <c r="J1178" s="1414"/>
      <c r="K1178" s="1414"/>
      <c r="L1178" s="1414"/>
      <c r="M1178" s="1414"/>
      <c r="N1178" s="1414"/>
      <c r="O1178" s="1414"/>
      <c r="P1178" s="1414"/>
      <c r="Q1178" s="1414"/>
      <c r="R1178" s="1414"/>
      <c r="S1178" s="1414"/>
      <c r="T1178" s="1414"/>
      <c r="U1178" s="1414"/>
      <c r="V1178" s="1414"/>
      <c r="W1178" s="1414"/>
      <c r="X1178" s="1414"/>
      <c r="Y1178" s="1414"/>
      <c r="Z1178" s="1414"/>
      <c r="AA1178" s="1414"/>
      <c r="AB1178" s="1414"/>
      <c r="AC1178" s="1414"/>
      <c r="AD1178" s="1414"/>
      <c r="AE1178" s="1414"/>
      <c r="AF1178" s="1414"/>
      <c r="AG1178" s="1414"/>
      <c r="AH1178" s="1414"/>
      <c r="AI1178" s="1414"/>
      <c r="AJ1178" s="1414"/>
      <c r="AK1178" s="1414"/>
      <c r="AL1178" s="1414"/>
      <c r="AM1178" s="1414"/>
      <c r="AN1178" s="1414"/>
      <c r="AO1178" s="1414"/>
      <c r="AP1178" s="1414"/>
      <c r="AQ1178" s="1414"/>
      <c r="AR1178" s="1414"/>
      <c r="AS1178" s="1414"/>
      <c r="AT1178" s="1414"/>
      <c r="AU1178" s="1414"/>
      <c r="AV1178" s="1414"/>
      <c r="AW1178" s="1414"/>
      <c r="AX1178" s="1414"/>
      <c r="AY1178" s="1399"/>
      <c r="AZ1178" s="1399"/>
      <c r="BA1178" s="1399"/>
      <c r="BB1178" s="1399"/>
      <c r="BC1178" s="1399"/>
      <c r="BD1178" s="1399"/>
      <c r="BE1178" s="1414"/>
      <c r="BF1178" s="1399"/>
      <c r="BG1178" s="1399"/>
      <c r="BH1178" s="1399"/>
      <c r="BI1178" s="1399"/>
      <c r="BJ1178" s="1399"/>
      <c r="BK1178" s="1399"/>
      <c r="BL1178" s="1399"/>
      <c r="BM1178" s="1399"/>
      <c r="BN1178" s="1399"/>
      <c r="BO1178" s="1399"/>
      <c r="BP1178" s="1399"/>
      <c r="BQ1178" s="1399"/>
      <c r="BR1178" s="1399"/>
      <c r="BS1178" s="1399"/>
      <c r="BT1178" s="1399"/>
      <c r="BU1178" s="1399"/>
      <c r="BV1178" s="1399"/>
      <c r="BW1178" s="1399"/>
      <c r="BX1178" s="1399"/>
      <c r="BY1178" s="1399"/>
      <c r="BZ1178" s="1399"/>
      <c r="CA1178" s="1399"/>
      <c r="CB1178" s="1399"/>
      <c r="CC1178" s="1399"/>
      <c r="CD1178" s="1399"/>
      <c r="CE1178" s="1399"/>
      <c r="CF1178" s="1399"/>
      <c r="CG1178" s="1399"/>
      <c r="CH1178" s="1399"/>
      <c r="CI1178" s="1399"/>
      <c r="CJ1178" s="1399"/>
      <c r="CK1178" s="1399"/>
      <c r="CL1178" s="1399"/>
      <c r="CM1178" s="1399"/>
      <c r="CN1178" s="1399"/>
      <c r="CO1178" s="1399"/>
      <c r="CP1178" s="1399"/>
      <c r="CQ1178" s="1399"/>
      <c r="CR1178" s="1399"/>
      <c r="CS1178" s="1399"/>
      <c r="CT1178" s="1399"/>
      <c r="CU1178" s="1399"/>
      <c r="CV1178" s="1399"/>
      <c r="CW1178" s="1399"/>
      <c r="CX1178" s="1399"/>
      <c r="CY1178" s="1399"/>
      <c r="CZ1178" s="1399"/>
      <c r="DA1178" s="1399"/>
      <c r="DB1178" s="1399"/>
      <c r="DC1178" s="1399"/>
      <c r="DD1178" s="1399"/>
      <c r="DE1178" s="1399"/>
      <c r="DF1178" s="1399"/>
      <c r="DG1178" s="1399"/>
      <c r="DH1178" s="1399"/>
      <c r="DI1178" s="1399"/>
      <c r="DJ1178" s="1399"/>
      <c r="DK1178" s="1399"/>
      <c r="DL1178" s="1399"/>
      <c r="DM1178" s="1399"/>
      <c r="DN1178" s="1399"/>
      <c r="DO1178" s="1399"/>
      <c r="DP1178" s="1399"/>
      <c r="DQ1178" s="1399"/>
      <c r="DR1178" s="1399"/>
      <c r="DS1178" s="1399"/>
      <c r="DT1178" s="1399"/>
      <c r="DU1178" s="1399"/>
    </row>
    <row r="1179" spans="1:125">
      <c r="A1179" s="1414"/>
      <c r="B1179" s="1414"/>
      <c r="C1179" s="1414"/>
      <c r="D1179" s="1414"/>
      <c r="E1179" s="1414"/>
      <c r="F1179" s="1414"/>
      <c r="G1179" s="1414"/>
      <c r="H1179" s="1414"/>
      <c r="I1179" s="1414"/>
      <c r="J1179" s="1414"/>
      <c r="K1179" s="1414"/>
      <c r="L1179" s="1414"/>
      <c r="M1179" s="1414"/>
      <c r="N1179" s="1414"/>
      <c r="O1179" s="1414"/>
      <c r="P1179" s="1414"/>
      <c r="Q1179" s="1414"/>
      <c r="R1179" s="1414"/>
      <c r="S1179" s="1414"/>
      <c r="T1179" s="1414"/>
      <c r="U1179" s="1414"/>
      <c r="V1179" s="1414"/>
      <c r="W1179" s="1414"/>
      <c r="X1179" s="1414"/>
      <c r="Y1179" s="1414"/>
      <c r="Z1179" s="1414"/>
      <c r="AA1179" s="1414"/>
      <c r="AB1179" s="1414"/>
      <c r="AC1179" s="1414"/>
      <c r="AD1179" s="1414"/>
      <c r="AE1179" s="1414"/>
      <c r="AF1179" s="1414"/>
      <c r="AG1179" s="1414"/>
      <c r="AH1179" s="1414"/>
      <c r="AI1179" s="1414"/>
      <c r="AJ1179" s="1414"/>
      <c r="AK1179" s="1414"/>
      <c r="AL1179" s="1414"/>
      <c r="AM1179" s="1414"/>
      <c r="AN1179" s="1414"/>
      <c r="AO1179" s="1414"/>
      <c r="AP1179" s="1414"/>
      <c r="AQ1179" s="1414"/>
      <c r="AR1179" s="1414"/>
      <c r="AS1179" s="1414"/>
      <c r="AT1179" s="1414"/>
      <c r="AU1179" s="1414"/>
      <c r="AV1179" s="1414"/>
      <c r="AW1179" s="1414"/>
      <c r="AX1179" s="1414"/>
      <c r="AY1179" s="1399"/>
      <c r="AZ1179" s="1399"/>
      <c r="BA1179" s="1399"/>
      <c r="BB1179" s="1399"/>
      <c r="BC1179" s="1399"/>
      <c r="BD1179" s="1399"/>
      <c r="BE1179" s="1414"/>
      <c r="BF1179" s="1399"/>
      <c r="BG1179" s="1399"/>
      <c r="BH1179" s="1399"/>
      <c r="BI1179" s="1399"/>
      <c r="BJ1179" s="1399"/>
      <c r="BK1179" s="1399"/>
      <c r="BL1179" s="1399"/>
      <c r="BM1179" s="1399"/>
      <c r="BN1179" s="1399"/>
      <c r="BO1179" s="1399"/>
      <c r="BP1179" s="1399"/>
      <c r="BQ1179" s="1399"/>
      <c r="BR1179" s="1399"/>
      <c r="BS1179" s="1399"/>
      <c r="BT1179" s="1399"/>
      <c r="BU1179" s="1399"/>
      <c r="BV1179" s="1399"/>
      <c r="BW1179" s="1399"/>
      <c r="BX1179" s="1399"/>
      <c r="BY1179" s="1399"/>
      <c r="BZ1179" s="1399"/>
      <c r="CA1179" s="1399"/>
      <c r="CB1179" s="1399"/>
      <c r="CC1179" s="1399"/>
      <c r="CD1179" s="1399"/>
      <c r="CE1179" s="1399"/>
      <c r="CF1179" s="1399"/>
      <c r="CG1179" s="1399"/>
      <c r="CH1179" s="1399"/>
      <c r="CI1179" s="1399"/>
      <c r="CJ1179" s="1399"/>
      <c r="CK1179" s="1399"/>
      <c r="CL1179" s="1399"/>
      <c r="CM1179" s="1399"/>
      <c r="CN1179" s="1399"/>
      <c r="CO1179" s="1399"/>
      <c r="CP1179" s="1399"/>
      <c r="CQ1179" s="1399"/>
      <c r="CR1179" s="1399"/>
      <c r="CS1179" s="1399"/>
      <c r="CT1179" s="1399"/>
      <c r="CU1179" s="1399"/>
      <c r="CV1179" s="1399"/>
      <c r="CW1179" s="1399"/>
      <c r="CX1179" s="1399"/>
      <c r="CY1179" s="1399"/>
      <c r="CZ1179" s="1399"/>
      <c r="DA1179" s="1399"/>
      <c r="DB1179" s="1399"/>
      <c r="DC1179" s="1399"/>
      <c r="DD1179" s="1399"/>
      <c r="DE1179" s="1399"/>
      <c r="DF1179" s="1399"/>
      <c r="DG1179" s="1399"/>
      <c r="DH1179" s="1399"/>
      <c r="DI1179" s="1399"/>
      <c r="DJ1179" s="1399"/>
      <c r="DK1179" s="1399"/>
      <c r="DL1179" s="1399"/>
      <c r="DM1179" s="1399"/>
      <c r="DN1179" s="1399"/>
      <c r="DO1179" s="1399"/>
      <c r="DP1179" s="1399"/>
      <c r="DQ1179" s="1399"/>
      <c r="DR1179" s="1399"/>
      <c r="DS1179" s="1399"/>
      <c r="DT1179" s="1399"/>
      <c r="DU1179" s="1399"/>
    </row>
    <row r="1180" spans="1:125">
      <c r="A1180" s="1414"/>
      <c r="B1180" s="1414"/>
      <c r="C1180" s="1414"/>
      <c r="D1180" s="1414"/>
      <c r="E1180" s="1414"/>
      <c r="F1180" s="1414"/>
      <c r="G1180" s="1414"/>
      <c r="H1180" s="1414"/>
      <c r="I1180" s="1414"/>
      <c r="J1180" s="1414"/>
      <c r="K1180" s="1414"/>
      <c r="L1180" s="1414"/>
      <c r="M1180" s="1414"/>
      <c r="N1180" s="1414"/>
      <c r="O1180" s="1414"/>
      <c r="P1180" s="1414"/>
      <c r="Q1180" s="1414"/>
      <c r="R1180" s="1414"/>
      <c r="S1180" s="1414"/>
      <c r="T1180" s="1414"/>
      <c r="U1180" s="1414"/>
      <c r="V1180" s="1414"/>
      <c r="W1180" s="1414"/>
      <c r="X1180" s="1414"/>
      <c r="Y1180" s="1414"/>
      <c r="Z1180" s="1414"/>
      <c r="AA1180" s="1414"/>
      <c r="AB1180" s="1414"/>
      <c r="AC1180" s="1414"/>
      <c r="AD1180" s="1414"/>
      <c r="AE1180" s="1414"/>
      <c r="AF1180" s="1414"/>
      <c r="AG1180" s="1414"/>
      <c r="AH1180" s="1414"/>
      <c r="AI1180" s="1414"/>
      <c r="AJ1180" s="1414"/>
      <c r="AK1180" s="1414"/>
      <c r="AL1180" s="1414"/>
      <c r="AM1180" s="1414"/>
      <c r="AN1180" s="1414"/>
      <c r="AO1180" s="1414"/>
      <c r="AP1180" s="1414"/>
      <c r="AQ1180" s="1414"/>
      <c r="AR1180" s="1414"/>
      <c r="AS1180" s="1414"/>
      <c r="AT1180" s="1414"/>
      <c r="AU1180" s="1414"/>
      <c r="AV1180" s="1414"/>
      <c r="AW1180" s="1414"/>
      <c r="AX1180" s="1414"/>
      <c r="AY1180" s="1399"/>
      <c r="AZ1180" s="1399"/>
      <c r="BA1180" s="1399"/>
      <c r="BB1180" s="1399"/>
      <c r="BC1180" s="1399"/>
      <c r="BD1180" s="1399"/>
      <c r="BE1180" s="1414"/>
      <c r="BF1180" s="1399"/>
      <c r="BG1180" s="1399"/>
      <c r="BH1180" s="1399"/>
      <c r="BI1180" s="1399"/>
      <c r="BJ1180" s="1399"/>
      <c r="BK1180" s="1399"/>
      <c r="BL1180" s="1399"/>
      <c r="BM1180" s="1399"/>
      <c r="BN1180" s="1399"/>
      <c r="BO1180" s="1399"/>
      <c r="BP1180" s="1399"/>
      <c r="BQ1180" s="1399"/>
      <c r="BR1180" s="1399"/>
      <c r="BS1180" s="1399"/>
      <c r="BT1180" s="1399"/>
      <c r="BU1180" s="1399"/>
      <c r="BV1180" s="1399"/>
      <c r="BW1180" s="1399"/>
      <c r="BX1180" s="1399"/>
      <c r="BY1180" s="1399"/>
      <c r="BZ1180" s="1399"/>
      <c r="CA1180" s="1399"/>
      <c r="CB1180" s="1399"/>
      <c r="CC1180" s="1399"/>
      <c r="CD1180" s="1399"/>
      <c r="CE1180" s="1399"/>
      <c r="CF1180" s="1399"/>
      <c r="CG1180" s="1399"/>
      <c r="CH1180" s="1399"/>
      <c r="CI1180" s="1399"/>
      <c r="CJ1180" s="1399"/>
      <c r="CK1180" s="1399"/>
      <c r="CL1180" s="1399"/>
      <c r="CM1180" s="1399"/>
      <c r="CN1180" s="1399"/>
      <c r="CO1180" s="1399"/>
      <c r="CP1180" s="1399"/>
      <c r="CQ1180" s="1399"/>
      <c r="CR1180" s="1399"/>
      <c r="CS1180" s="1399"/>
      <c r="CT1180" s="1399"/>
      <c r="CU1180" s="1399"/>
      <c r="CV1180" s="1399"/>
      <c r="CW1180" s="1399"/>
      <c r="CX1180" s="1399"/>
      <c r="CY1180" s="1399"/>
      <c r="CZ1180" s="1399"/>
      <c r="DA1180" s="1399"/>
      <c r="DB1180" s="1399"/>
      <c r="DC1180" s="1399"/>
      <c r="DD1180" s="1399"/>
      <c r="DE1180" s="1399"/>
      <c r="DF1180" s="1399"/>
      <c r="DG1180" s="1399"/>
      <c r="DH1180" s="1399"/>
      <c r="DI1180" s="1399"/>
      <c r="DJ1180" s="1399"/>
      <c r="DK1180" s="1399"/>
      <c r="DL1180" s="1399"/>
      <c r="DM1180" s="1399"/>
      <c r="DN1180" s="1399"/>
      <c r="DO1180" s="1399"/>
      <c r="DP1180" s="1399"/>
      <c r="DQ1180" s="1399"/>
      <c r="DR1180" s="1399"/>
      <c r="DS1180" s="1399"/>
      <c r="DT1180" s="1399"/>
      <c r="DU1180" s="1399"/>
    </row>
    <row r="1181" spans="1:125">
      <c r="A1181" s="1414"/>
      <c r="B1181" s="1414"/>
      <c r="C1181" s="1414"/>
      <c r="D1181" s="1414"/>
      <c r="E1181" s="1414"/>
      <c r="F1181" s="1414"/>
      <c r="G1181" s="1414"/>
      <c r="H1181" s="1414"/>
      <c r="I1181" s="1414"/>
      <c r="J1181" s="1414"/>
      <c r="K1181" s="1414"/>
      <c r="L1181" s="1414"/>
      <c r="M1181" s="1414"/>
      <c r="N1181" s="1414"/>
      <c r="O1181" s="1414"/>
      <c r="P1181" s="1414"/>
      <c r="Q1181" s="1414"/>
      <c r="R1181" s="1414"/>
      <c r="S1181" s="1414"/>
      <c r="T1181" s="1414"/>
      <c r="U1181" s="1414"/>
      <c r="V1181" s="1414"/>
      <c r="W1181" s="1414"/>
      <c r="X1181" s="1414"/>
      <c r="Y1181" s="1414"/>
      <c r="Z1181" s="1414"/>
      <c r="AA1181" s="1414"/>
      <c r="AB1181" s="1414"/>
      <c r="AC1181" s="1414"/>
      <c r="AD1181" s="1414"/>
      <c r="AE1181" s="1414"/>
      <c r="AF1181" s="1414"/>
      <c r="AG1181" s="1414"/>
      <c r="AH1181" s="1414"/>
      <c r="AI1181" s="1414"/>
      <c r="AJ1181" s="1414"/>
      <c r="AK1181" s="1414"/>
      <c r="AL1181" s="1414"/>
      <c r="AM1181" s="1414"/>
      <c r="AN1181" s="1414"/>
      <c r="AO1181" s="1414"/>
      <c r="AP1181" s="1414"/>
      <c r="AQ1181" s="1414"/>
      <c r="AR1181" s="1414"/>
      <c r="AS1181" s="1414"/>
      <c r="AT1181" s="1414"/>
      <c r="AU1181" s="1414"/>
      <c r="AV1181" s="1414"/>
      <c r="AW1181" s="1414"/>
      <c r="AX1181" s="1414"/>
      <c r="AY1181" s="1399"/>
      <c r="AZ1181" s="1399"/>
      <c r="BA1181" s="1399"/>
      <c r="BB1181" s="1399"/>
      <c r="BC1181" s="1399"/>
      <c r="BD1181" s="1399"/>
      <c r="BE1181" s="1414"/>
      <c r="BF1181" s="1399"/>
      <c r="BG1181" s="1399"/>
      <c r="BH1181" s="1399"/>
      <c r="BI1181" s="1399"/>
      <c r="BJ1181" s="1399"/>
      <c r="BK1181" s="1399"/>
      <c r="BL1181" s="1399"/>
      <c r="BM1181" s="1399"/>
      <c r="BN1181" s="1399"/>
      <c r="BO1181" s="1399"/>
      <c r="BP1181" s="1399"/>
      <c r="BQ1181" s="1399"/>
      <c r="BR1181" s="1399"/>
      <c r="BS1181" s="1399"/>
      <c r="BT1181" s="1399"/>
      <c r="BU1181" s="1399"/>
      <c r="BV1181" s="1399"/>
      <c r="BW1181" s="1399"/>
      <c r="BX1181" s="1399"/>
      <c r="BY1181" s="1399"/>
      <c r="BZ1181" s="1399"/>
      <c r="CA1181" s="1399"/>
      <c r="CB1181" s="1399"/>
      <c r="CC1181" s="1399"/>
      <c r="CD1181" s="1399"/>
      <c r="CE1181" s="1399"/>
      <c r="CF1181" s="1399"/>
      <c r="CG1181" s="1399"/>
      <c r="CH1181" s="1399"/>
      <c r="CI1181" s="1399"/>
      <c r="CJ1181" s="1399"/>
      <c r="CK1181" s="1399"/>
      <c r="CL1181" s="1399"/>
      <c r="CM1181" s="1399"/>
      <c r="CN1181" s="1399"/>
      <c r="CO1181" s="1399"/>
      <c r="CP1181" s="1399"/>
      <c r="CQ1181" s="1399"/>
      <c r="CR1181" s="1399"/>
      <c r="CS1181" s="1399"/>
      <c r="CT1181" s="1399"/>
      <c r="CU1181" s="1399"/>
      <c r="CV1181" s="1399"/>
      <c r="CW1181" s="1399"/>
      <c r="CX1181" s="1399"/>
      <c r="CY1181" s="1399"/>
      <c r="CZ1181" s="1399"/>
      <c r="DA1181" s="1399"/>
      <c r="DB1181" s="1399"/>
      <c r="DC1181" s="1399"/>
      <c r="DD1181" s="1399"/>
      <c r="DE1181" s="1399"/>
      <c r="DF1181" s="1399"/>
      <c r="DG1181" s="1399"/>
      <c r="DH1181" s="1399"/>
      <c r="DI1181" s="1399"/>
      <c r="DJ1181" s="1399"/>
      <c r="DK1181" s="1399"/>
      <c r="DL1181" s="1399"/>
      <c r="DM1181" s="1399"/>
      <c r="DN1181" s="1399"/>
      <c r="DO1181" s="1399"/>
      <c r="DP1181" s="1399"/>
      <c r="DQ1181" s="1399"/>
      <c r="DR1181" s="1399"/>
      <c r="DS1181" s="1399"/>
      <c r="DT1181" s="1399"/>
      <c r="DU1181" s="1399"/>
    </row>
    <row r="1182" spans="1:125">
      <c r="A1182" s="1414"/>
      <c r="B1182" s="1414"/>
      <c r="C1182" s="1414"/>
      <c r="D1182" s="1414"/>
      <c r="E1182" s="1414"/>
      <c r="F1182" s="1414"/>
      <c r="G1182" s="1414"/>
      <c r="H1182" s="1414"/>
      <c r="I1182" s="1414"/>
      <c r="J1182" s="1414"/>
      <c r="K1182" s="1414"/>
      <c r="L1182" s="1414"/>
      <c r="M1182" s="1414"/>
      <c r="N1182" s="1414"/>
      <c r="O1182" s="1414"/>
      <c r="P1182" s="1414"/>
      <c r="Q1182" s="1414"/>
      <c r="R1182" s="1414"/>
      <c r="S1182" s="1414"/>
      <c r="T1182" s="1414"/>
      <c r="U1182" s="1414"/>
      <c r="V1182" s="1414"/>
      <c r="W1182" s="1414"/>
      <c r="X1182" s="1414"/>
      <c r="Y1182" s="1414"/>
      <c r="Z1182" s="1414"/>
      <c r="AA1182" s="1414"/>
      <c r="AB1182" s="1414"/>
      <c r="AC1182" s="1414"/>
      <c r="AD1182" s="1414"/>
      <c r="AE1182" s="1414"/>
      <c r="AF1182" s="1414"/>
      <c r="AG1182" s="1414"/>
      <c r="AH1182" s="1414"/>
      <c r="AI1182" s="1414"/>
      <c r="AJ1182" s="1414"/>
      <c r="AK1182" s="1414"/>
      <c r="AL1182" s="1414"/>
      <c r="AM1182" s="1414"/>
      <c r="AN1182" s="1414"/>
      <c r="AO1182" s="1414"/>
      <c r="AP1182" s="1414"/>
      <c r="AQ1182" s="1414"/>
      <c r="AR1182" s="1414"/>
      <c r="AS1182" s="1414"/>
      <c r="AT1182" s="1414"/>
      <c r="AU1182" s="1414"/>
      <c r="AV1182" s="1414"/>
      <c r="AW1182" s="1414"/>
      <c r="AX1182" s="1414"/>
      <c r="AY1182" s="1399"/>
      <c r="AZ1182" s="1399"/>
      <c r="BA1182" s="1399"/>
      <c r="BB1182" s="1399"/>
      <c r="BC1182" s="1399"/>
      <c r="BD1182" s="1399"/>
      <c r="BE1182" s="1414"/>
      <c r="BF1182" s="1399"/>
      <c r="BG1182" s="1399"/>
      <c r="BH1182" s="1399"/>
      <c r="BI1182" s="1399"/>
      <c r="BJ1182" s="1399"/>
      <c r="BK1182" s="1399"/>
      <c r="BL1182" s="1399"/>
      <c r="BM1182" s="1399"/>
      <c r="BN1182" s="1399"/>
      <c r="BO1182" s="1399"/>
      <c r="BP1182" s="1399"/>
      <c r="BQ1182" s="1399"/>
      <c r="BR1182" s="1399"/>
      <c r="BS1182" s="1399"/>
      <c r="BT1182" s="1399"/>
      <c r="BU1182" s="1399"/>
      <c r="BV1182" s="1399"/>
      <c r="BW1182" s="1399"/>
      <c r="BX1182" s="1399"/>
      <c r="BY1182" s="1399"/>
      <c r="BZ1182" s="1399"/>
      <c r="CA1182" s="1399"/>
      <c r="CB1182" s="1399"/>
      <c r="CC1182" s="1399"/>
      <c r="CD1182" s="1399"/>
      <c r="CE1182" s="1399"/>
      <c r="CF1182" s="1399"/>
      <c r="CG1182" s="1399"/>
      <c r="CH1182" s="1399"/>
      <c r="CI1182" s="1399"/>
      <c r="CJ1182" s="1399"/>
      <c r="CK1182" s="1399"/>
      <c r="CL1182" s="1399"/>
      <c r="CM1182" s="1399"/>
      <c r="CN1182" s="1399"/>
      <c r="CO1182" s="1399"/>
      <c r="CP1182" s="1399"/>
      <c r="CQ1182" s="1399"/>
      <c r="CR1182" s="1399"/>
      <c r="CS1182" s="1399"/>
      <c r="CT1182" s="1399"/>
      <c r="CU1182" s="1399"/>
      <c r="CV1182" s="1399"/>
      <c r="CW1182" s="1399"/>
      <c r="CX1182" s="1399"/>
      <c r="CY1182" s="1399"/>
      <c r="CZ1182" s="1399"/>
      <c r="DA1182" s="1399"/>
      <c r="DB1182" s="1399"/>
      <c r="DC1182" s="1399"/>
      <c r="DD1182" s="1399"/>
      <c r="DE1182" s="1399"/>
      <c r="DF1182" s="1399"/>
      <c r="DG1182" s="1399"/>
      <c r="DH1182" s="1399"/>
      <c r="DI1182" s="1399"/>
      <c r="DJ1182" s="1399"/>
      <c r="DK1182" s="1399"/>
      <c r="DL1182" s="1399"/>
      <c r="DM1182" s="1399"/>
      <c r="DN1182" s="1399"/>
      <c r="DO1182" s="1399"/>
      <c r="DP1182" s="1399"/>
      <c r="DQ1182" s="1399"/>
      <c r="DR1182" s="1399"/>
      <c r="DS1182" s="1399"/>
      <c r="DT1182" s="1399"/>
      <c r="DU1182" s="1399"/>
    </row>
    <row r="1183" spans="1:125">
      <c r="A1183" s="1414"/>
      <c r="B1183" s="1414"/>
      <c r="C1183" s="1414"/>
      <c r="D1183" s="1414"/>
      <c r="E1183" s="1414"/>
      <c r="F1183" s="1414"/>
      <c r="G1183" s="1414"/>
      <c r="H1183" s="1414"/>
      <c r="I1183" s="1414"/>
      <c r="J1183" s="1414"/>
      <c r="K1183" s="1414"/>
      <c r="L1183" s="1414"/>
      <c r="M1183" s="1414"/>
      <c r="N1183" s="1414"/>
      <c r="O1183" s="1414"/>
      <c r="P1183" s="1414"/>
      <c r="Q1183" s="1414"/>
      <c r="R1183" s="1414"/>
      <c r="S1183" s="1414"/>
      <c r="T1183" s="1414"/>
      <c r="U1183" s="1414"/>
      <c r="V1183" s="1414"/>
      <c r="W1183" s="1414"/>
      <c r="X1183" s="1414"/>
      <c r="Y1183" s="1414"/>
      <c r="Z1183" s="1414"/>
      <c r="AA1183" s="1414"/>
      <c r="AB1183" s="1414"/>
      <c r="AC1183" s="1414"/>
      <c r="AD1183" s="1414"/>
      <c r="AE1183" s="1414"/>
      <c r="AF1183" s="1414"/>
      <c r="AG1183" s="1414"/>
      <c r="AH1183" s="1414"/>
      <c r="AI1183" s="1414"/>
      <c r="AJ1183" s="1414"/>
      <c r="AK1183" s="1414"/>
      <c r="AL1183" s="1414"/>
      <c r="AM1183" s="1414"/>
      <c r="AN1183" s="1414"/>
      <c r="AO1183" s="1414"/>
      <c r="AP1183" s="1414"/>
      <c r="AQ1183" s="1414"/>
      <c r="AR1183" s="1414"/>
      <c r="AS1183" s="1414"/>
      <c r="AT1183" s="1414"/>
      <c r="AU1183" s="1414"/>
      <c r="AV1183" s="1414"/>
      <c r="AW1183" s="1414"/>
      <c r="AX1183" s="1414"/>
      <c r="AY1183" s="1399"/>
      <c r="AZ1183" s="1399"/>
      <c r="BA1183" s="1399"/>
      <c r="BB1183" s="1399"/>
      <c r="BC1183" s="1399"/>
      <c r="BD1183" s="1399"/>
      <c r="BE1183" s="1414"/>
      <c r="BF1183" s="1399"/>
      <c r="BG1183" s="1399"/>
      <c r="BH1183" s="1399"/>
      <c r="BI1183" s="1399"/>
      <c r="BJ1183" s="1399"/>
      <c r="BK1183" s="1399"/>
      <c r="BL1183" s="1399"/>
      <c r="BM1183" s="1399"/>
      <c r="BN1183" s="1399"/>
      <c r="BO1183" s="1399"/>
      <c r="BP1183" s="1399"/>
      <c r="BQ1183" s="1399"/>
      <c r="BR1183" s="1399"/>
      <c r="BS1183" s="1399"/>
      <c r="BT1183" s="1399"/>
      <c r="BU1183" s="1399"/>
      <c r="BV1183" s="1399"/>
      <c r="BW1183" s="1399"/>
      <c r="BX1183" s="1399"/>
      <c r="BY1183" s="1399"/>
      <c r="BZ1183" s="1399"/>
      <c r="CA1183" s="1399"/>
      <c r="CB1183" s="1399"/>
      <c r="CC1183" s="1399"/>
      <c r="CD1183" s="1399"/>
      <c r="CE1183" s="1399"/>
      <c r="CF1183" s="1399"/>
      <c r="CG1183" s="1399"/>
      <c r="CH1183" s="1399"/>
      <c r="CI1183" s="1399"/>
      <c r="CJ1183" s="1399"/>
      <c r="CK1183" s="1399"/>
      <c r="CL1183" s="1399"/>
      <c r="CM1183" s="1399"/>
      <c r="CN1183" s="1399"/>
      <c r="CO1183" s="1399"/>
      <c r="CP1183" s="1399"/>
      <c r="CQ1183" s="1399"/>
      <c r="CR1183" s="1399"/>
      <c r="CS1183" s="1399"/>
      <c r="CT1183" s="1399"/>
      <c r="CU1183" s="1399"/>
      <c r="CV1183" s="1399"/>
      <c r="CW1183" s="1399"/>
      <c r="CX1183" s="1399"/>
      <c r="CY1183" s="1399"/>
      <c r="CZ1183" s="1399"/>
      <c r="DA1183" s="1399"/>
      <c r="DB1183" s="1399"/>
      <c r="DC1183" s="1399"/>
      <c r="DD1183" s="1399"/>
      <c r="DE1183" s="1399"/>
      <c r="DF1183" s="1399"/>
      <c r="DG1183" s="1399"/>
      <c r="DH1183" s="1399"/>
      <c r="DI1183" s="1399"/>
      <c r="DJ1183" s="1399"/>
      <c r="DK1183" s="1399"/>
      <c r="DL1183" s="1399"/>
      <c r="DM1183" s="1399"/>
      <c r="DN1183" s="1399"/>
      <c r="DO1183" s="1399"/>
      <c r="DP1183" s="1399"/>
      <c r="DQ1183" s="1399"/>
      <c r="DR1183" s="1399"/>
      <c r="DS1183" s="1399"/>
      <c r="DT1183" s="1399"/>
      <c r="DU1183" s="1399"/>
    </row>
    <row r="1184" spans="1:125">
      <c r="A1184" s="1414"/>
      <c r="B1184" s="1414"/>
      <c r="C1184" s="1414"/>
      <c r="D1184" s="1414"/>
      <c r="E1184" s="1414"/>
      <c r="F1184" s="1414"/>
      <c r="G1184" s="1414"/>
      <c r="H1184" s="1414"/>
      <c r="I1184" s="1414"/>
      <c r="J1184" s="1414"/>
      <c r="K1184" s="1414"/>
      <c r="L1184" s="1414"/>
      <c r="M1184" s="1414"/>
      <c r="N1184" s="1414"/>
      <c r="O1184" s="1414"/>
      <c r="P1184" s="1414"/>
      <c r="Q1184" s="1414"/>
      <c r="R1184" s="1414"/>
      <c r="S1184" s="1414"/>
      <c r="T1184" s="1414"/>
      <c r="U1184" s="1414"/>
      <c r="V1184" s="1414"/>
      <c r="W1184" s="1414"/>
      <c r="X1184" s="1414"/>
      <c r="Y1184" s="1414"/>
      <c r="Z1184" s="1414"/>
      <c r="AA1184" s="1414"/>
      <c r="AB1184" s="1414"/>
      <c r="AC1184" s="1414"/>
      <c r="AD1184" s="1414"/>
      <c r="AE1184" s="1414"/>
      <c r="AF1184" s="1414"/>
      <c r="AG1184" s="1414"/>
      <c r="AH1184" s="1414"/>
      <c r="AI1184" s="1414"/>
      <c r="AJ1184" s="1414"/>
      <c r="AK1184" s="1414"/>
      <c r="AL1184" s="1414"/>
      <c r="AM1184" s="1414"/>
      <c r="AN1184" s="1414"/>
      <c r="AO1184" s="1414"/>
      <c r="AP1184" s="1414"/>
      <c r="AQ1184" s="1414"/>
      <c r="AR1184" s="1414"/>
      <c r="AS1184" s="1414"/>
      <c r="AT1184" s="1414"/>
      <c r="AU1184" s="1414"/>
      <c r="AV1184" s="1414"/>
      <c r="AW1184" s="1414"/>
      <c r="AX1184" s="1414"/>
      <c r="AY1184" s="1399"/>
      <c r="AZ1184" s="1399"/>
      <c r="BA1184" s="1399"/>
      <c r="BB1184" s="1399"/>
      <c r="BC1184" s="1399"/>
      <c r="BD1184" s="1399"/>
      <c r="BE1184" s="1414"/>
      <c r="BF1184" s="1399"/>
      <c r="BG1184" s="1399"/>
      <c r="BH1184" s="1399"/>
      <c r="BI1184" s="1399"/>
      <c r="BJ1184" s="1399"/>
      <c r="BK1184" s="1399"/>
      <c r="BL1184" s="1399"/>
      <c r="BM1184" s="1399"/>
      <c r="BN1184" s="1399"/>
      <c r="BO1184" s="1399"/>
      <c r="BP1184" s="1399"/>
      <c r="BQ1184" s="1399"/>
      <c r="BR1184" s="1399"/>
      <c r="BS1184" s="1399"/>
      <c r="BT1184" s="1399"/>
      <c r="BU1184" s="1399"/>
      <c r="BV1184" s="1399"/>
      <c r="BW1184" s="1399"/>
      <c r="BX1184" s="1399"/>
      <c r="BY1184" s="1399"/>
      <c r="BZ1184" s="1399"/>
      <c r="CA1184" s="1399"/>
      <c r="CB1184" s="1399"/>
      <c r="CC1184" s="1399"/>
      <c r="CD1184" s="1399"/>
      <c r="CE1184" s="1399"/>
      <c r="CF1184" s="1399"/>
      <c r="CG1184" s="1399"/>
      <c r="CH1184" s="1399"/>
      <c r="CI1184" s="1399"/>
      <c r="CJ1184" s="1399"/>
      <c r="CK1184" s="1399"/>
      <c r="CL1184" s="1399"/>
      <c r="CM1184" s="1399"/>
      <c r="CN1184" s="1399"/>
      <c r="CO1184" s="1399"/>
      <c r="CP1184" s="1399"/>
      <c r="CQ1184" s="1399"/>
      <c r="CR1184" s="1399"/>
      <c r="CS1184" s="1399"/>
      <c r="CT1184" s="1399"/>
      <c r="CU1184" s="1399"/>
      <c r="CV1184" s="1399"/>
      <c r="CW1184" s="1399"/>
      <c r="CX1184" s="1399"/>
      <c r="CY1184" s="1399"/>
      <c r="CZ1184" s="1399"/>
      <c r="DA1184" s="1399"/>
      <c r="DB1184" s="1399"/>
      <c r="DC1184" s="1399"/>
      <c r="DD1184" s="1399"/>
      <c r="DE1184" s="1399"/>
      <c r="DF1184" s="1399"/>
      <c r="DG1184" s="1399"/>
      <c r="DH1184" s="1399"/>
      <c r="DI1184" s="1399"/>
      <c r="DJ1184" s="1399"/>
      <c r="DK1184" s="1399"/>
      <c r="DL1184" s="1399"/>
      <c r="DM1184" s="1399"/>
      <c r="DN1184" s="1399"/>
      <c r="DO1184" s="1399"/>
      <c r="DP1184" s="1399"/>
      <c r="DQ1184" s="1399"/>
      <c r="DR1184" s="1399"/>
      <c r="DS1184" s="1399"/>
      <c r="DT1184" s="1399"/>
      <c r="DU1184" s="1399"/>
    </row>
    <row r="1185" spans="1:125">
      <c r="A1185" s="1414"/>
      <c r="B1185" s="1414"/>
      <c r="C1185" s="1414"/>
      <c r="D1185" s="1414"/>
      <c r="E1185" s="1414"/>
      <c r="F1185" s="1414"/>
      <c r="G1185" s="1414"/>
      <c r="H1185" s="1414"/>
      <c r="I1185" s="1414"/>
      <c r="J1185" s="1414"/>
      <c r="K1185" s="1414"/>
      <c r="L1185" s="1414"/>
      <c r="M1185" s="1414"/>
      <c r="N1185" s="1414"/>
      <c r="O1185" s="1414"/>
      <c r="P1185" s="1414"/>
      <c r="Q1185" s="1414"/>
      <c r="R1185" s="1414"/>
      <c r="S1185" s="1414"/>
      <c r="T1185" s="1414"/>
      <c r="U1185" s="1414"/>
      <c r="V1185" s="1414"/>
      <c r="W1185" s="1414"/>
      <c r="X1185" s="1414"/>
      <c r="Y1185" s="1414"/>
      <c r="Z1185" s="1414"/>
      <c r="AA1185" s="1414"/>
      <c r="AB1185" s="1414"/>
      <c r="AC1185" s="1414"/>
      <c r="AD1185" s="1414"/>
      <c r="AE1185" s="1414"/>
      <c r="AF1185" s="1414"/>
      <c r="AG1185" s="1414"/>
      <c r="AH1185" s="1414"/>
      <c r="AI1185" s="1414"/>
      <c r="AJ1185" s="1414"/>
      <c r="AK1185" s="1414"/>
      <c r="AL1185" s="1414"/>
      <c r="AM1185" s="1414"/>
      <c r="AN1185" s="1414"/>
      <c r="AO1185" s="1414"/>
      <c r="AP1185" s="1414"/>
      <c r="AQ1185" s="1414"/>
      <c r="AR1185" s="1414"/>
      <c r="AS1185" s="1414"/>
      <c r="AT1185" s="1414"/>
      <c r="AU1185" s="1414"/>
      <c r="AV1185" s="1414"/>
      <c r="AW1185" s="1414"/>
      <c r="AX1185" s="1414"/>
      <c r="AY1185" s="1399"/>
      <c r="AZ1185" s="1399"/>
      <c r="BA1185" s="1399"/>
      <c r="BB1185" s="1399"/>
      <c r="BC1185" s="1399"/>
      <c r="BD1185" s="1399"/>
      <c r="BE1185" s="1414"/>
      <c r="BF1185" s="1399"/>
      <c r="BG1185" s="1399"/>
      <c r="BH1185" s="1399"/>
      <c r="BI1185" s="1399"/>
      <c r="BJ1185" s="1399"/>
      <c r="BK1185" s="1399"/>
      <c r="BL1185" s="1399"/>
      <c r="BM1185" s="1399"/>
      <c r="BN1185" s="1399"/>
      <c r="BO1185" s="1399"/>
      <c r="BP1185" s="1399"/>
      <c r="BQ1185" s="1399"/>
      <c r="BR1185" s="1399"/>
      <c r="BS1185" s="1399"/>
      <c r="BT1185" s="1399"/>
      <c r="BU1185" s="1399"/>
      <c r="BV1185" s="1399"/>
      <c r="BW1185" s="1399"/>
      <c r="BX1185" s="1399"/>
      <c r="BY1185" s="1399"/>
      <c r="BZ1185" s="1399"/>
      <c r="CA1185" s="1399"/>
      <c r="CB1185" s="1399"/>
      <c r="CC1185" s="1399"/>
      <c r="CD1185" s="1399"/>
      <c r="CE1185" s="1399"/>
      <c r="CF1185" s="1399"/>
      <c r="CG1185" s="1399"/>
      <c r="CH1185" s="1399"/>
      <c r="CI1185" s="1399"/>
      <c r="CJ1185" s="1399"/>
      <c r="CK1185" s="1399"/>
      <c r="CL1185" s="1399"/>
      <c r="CM1185" s="1399"/>
      <c r="CN1185" s="1399"/>
      <c r="CO1185" s="1399"/>
      <c r="CP1185" s="1399"/>
      <c r="CQ1185" s="1399"/>
      <c r="CR1185" s="1399"/>
      <c r="CS1185" s="1399"/>
      <c r="CT1185" s="1399"/>
      <c r="CU1185" s="1399"/>
      <c r="CV1185" s="1399"/>
      <c r="CW1185" s="1399"/>
      <c r="CX1185" s="1399"/>
      <c r="CY1185" s="1399"/>
      <c r="CZ1185" s="1399"/>
      <c r="DA1185" s="1399"/>
      <c r="DB1185" s="1399"/>
      <c r="DC1185" s="1399"/>
      <c r="DD1185" s="1399"/>
      <c r="DE1185" s="1399"/>
      <c r="DF1185" s="1399"/>
      <c r="DG1185" s="1399"/>
      <c r="DH1185" s="1399"/>
      <c r="DI1185" s="1399"/>
      <c r="DJ1185" s="1399"/>
      <c r="DK1185" s="1399"/>
      <c r="DL1185" s="1399"/>
      <c r="DM1185" s="1399"/>
      <c r="DN1185" s="1399"/>
      <c r="DO1185" s="1399"/>
      <c r="DP1185" s="1399"/>
      <c r="DQ1185" s="1399"/>
      <c r="DR1185" s="1399"/>
      <c r="DS1185" s="1399"/>
      <c r="DT1185" s="1399"/>
      <c r="DU1185" s="1399"/>
    </row>
    <row r="1186" spans="1:125">
      <c r="A1186" s="1414"/>
      <c r="B1186" s="1414"/>
      <c r="C1186" s="1414"/>
      <c r="D1186" s="1414"/>
      <c r="E1186" s="1414"/>
      <c r="F1186" s="1414"/>
      <c r="G1186" s="1414"/>
      <c r="H1186" s="1414"/>
      <c r="I1186" s="1414"/>
      <c r="J1186" s="1414"/>
      <c r="K1186" s="1414"/>
      <c r="L1186" s="1414"/>
      <c r="M1186" s="1414"/>
      <c r="N1186" s="1414"/>
      <c r="O1186" s="1414"/>
      <c r="P1186" s="1414"/>
      <c r="Q1186" s="1414"/>
      <c r="R1186" s="1414"/>
      <c r="S1186" s="1414"/>
      <c r="T1186" s="1414"/>
      <c r="U1186" s="1414"/>
      <c r="V1186" s="1414"/>
      <c r="W1186" s="1414"/>
      <c r="X1186" s="1414"/>
      <c r="Y1186" s="1414"/>
      <c r="Z1186" s="1414"/>
      <c r="AA1186" s="1414"/>
      <c r="AB1186" s="1414"/>
      <c r="AC1186" s="1414"/>
      <c r="AD1186" s="1414"/>
      <c r="AE1186" s="1414"/>
      <c r="AF1186" s="1414"/>
      <c r="AG1186" s="1414"/>
      <c r="AH1186" s="1414"/>
      <c r="AI1186" s="1414"/>
      <c r="AJ1186" s="1414"/>
      <c r="AK1186" s="1414"/>
      <c r="AL1186" s="1414"/>
      <c r="AM1186" s="1414"/>
      <c r="AN1186" s="1414"/>
      <c r="AO1186" s="1414"/>
      <c r="AP1186" s="1414"/>
      <c r="AQ1186" s="1414"/>
      <c r="AR1186" s="1414"/>
      <c r="AS1186" s="1414"/>
      <c r="AT1186" s="1414"/>
      <c r="AU1186" s="1414"/>
      <c r="AV1186" s="1414"/>
      <c r="AW1186" s="1414"/>
      <c r="AX1186" s="1414"/>
      <c r="AY1186" s="1399"/>
      <c r="AZ1186" s="1399"/>
      <c r="BA1186" s="1399"/>
      <c r="BB1186" s="1399"/>
      <c r="BC1186" s="1399"/>
      <c r="BD1186" s="1399"/>
      <c r="BE1186" s="1414"/>
      <c r="BF1186" s="1399"/>
      <c r="BG1186" s="1399"/>
      <c r="BH1186" s="1399"/>
      <c r="BI1186" s="1399"/>
      <c r="BJ1186" s="1399"/>
      <c r="BK1186" s="1399"/>
      <c r="BL1186" s="1399"/>
      <c r="BM1186" s="1399"/>
      <c r="BN1186" s="1399"/>
      <c r="BO1186" s="1399"/>
      <c r="BP1186" s="1399"/>
      <c r="BQ1186" s="1399"/>
      <c r="BR1186" s="1399"/>
      <c r="BS1186" s="1399"/>
      <c r="BT1186" s="1399"/>
      <c r="BU1186" s="1399"/>
      <c r="BV1186" s="1399"/>
      <c r="BW1186" s="1399"/>
      <c r="BX1186" s="1399"/>
      <c r="BY1186" s="1399"/>
      <c r="BZ1186" s="1399"/>
      <c r="CA1186" s="1399"/>
      <c r="CB1186" s="1399"/>
      <c r="CC1186" s="1399"/>
      <c r="CD1186" s="1399"/>
      <c r="CE1186" s="1399"/>
      <c r="CF1186" s="1399"/>
      <c r="CG1186" s="1399"/>
      <c r="CH1186" s="1399"/>
      <c r="CI1186" s="1399"/>
      <c r="CJ1186" s="1399"/>
      <c r="CK1186" s="1399"/>
      <c r="CL1186" s="1399"/>
      <c r="CM1186" s="1399"/>
      <c r="CN1186" s="1399"/>
      <c r="CO1186" s="1399"/>
      <c r="CP1186" s="1399"/>
      <c r="CQ1186" s="1399"/>
      <c r="CR1186" s="1399"/>
      <c r="CS1186" s="1399"/>
      <c r="CT1186" s="1399"/>
      <c r="CU1186" s="1399"/>
      <c r="CV1186" s="1399"/>
      <c r="CW1186" s="1399"/>
      <c r="CX1186" s="1399"/>
      <c r="CY1186" s="1399"/>
      <c r="CZ1186" s="1399"/>
      <c r="DA1186" s="1399"/>
      <c r="DB1186" s="1399"/>
      <c r="DC1186" s="1399"/>
      <c r="DD1186" s="1399"/>
      <c r="DE1186" s="1399"/>
      <c r="DF1186" s="1399"/>
      <c r="DG1186" s="1399"/>
      <c r="DH1186" s="1399"/>
      <c r="DI1186" s="1399"/>
      <c r="DJ1186" s="1399"/>
      <c r="DK1186" s="1399"/>
      <c r="DL1186" s="1399"/>
      <c r="DM1186" s="1399"/>
      <c r="DN1186" s="1399"/>
      <c r="DO1186" s="1399"/>
      <c r="DP1186" s="1399"/>
      <c r="DQ1186" s="1399"/>
      <c r="DR1186" s="1399"/>
      <c r="DS1186" s="1399"/>
      <c r="DT1186" s="1399"/>
      <c r="DU1186" s="1399"/>
    </row>
    <row r="1187" spans="1:125">
      <c r="A1187" s="1414"/>
      <c r="B1187" s="1414"/>
      <c r="C1187" s="1414"/>
      <c r="D1187" s="1414"/>
      <c r="E1187" s="1414"/>
      <c r="F1187" s="1414"/>
      <c r="G1187" s="1414"/>
      <c r="H1187" s="1414"/>
      <c r="I1187" s="1414"/>
      <c r="J1187" s="1414"/>
      <c r="K1187" s="1414"/>
      <c r="L1187" s="1414"/>
      <c r="M1187" s="1414"/>
      <c r="N1187" s="1414"/>
      <c r="O1187" s="1414"/>
      <c r="P1187" s="1414"/>
      <c r="Q1187" s="1414"/>
      <c r="R1187" s="1414"/>
      <c r="S1187" s="1414"/>
      <c r="T1187" s="1414"/>
      <c r="U1187" s="1414"/>
      <c r="V1187" s="1414"/>
      <c r="W1187" s="1414"/>
      <c r="X1187" s="1414"/>
      <c r="Y1187" s="1414"/>
      <c r="Z1187" s="1414"/>
      <c r="AA1187" s="1414"/>
      <c r="AB1187" s="1414"/>
      <c r="AC1187" s="1414"/>
      <c r="AD1187" s="1414"/>
      <c r="AE1187" s="1414"/>
      <c r="AF1187" s="1414"/>
      <c r="AG1187" s="1414"/>
      <c r="AH1187" s="1414"/>
      <c r="AI1187" s="1414"/>
      <c r="AJ1187" s="1414"/>
      <c r="AK1187" s="1414"/>
      <c r="AL1187" s="1414"/>
      <c r="AM1187" s="1414"/>
      <c r="AN1187" s="1414"/>
      <c r="AO1187" s="1414"/>
      <c r="AP1187" s="1414"/>
      <c r="AQ1187" s="1414"/>
      <c r="AR1187" s="1414"/>
      <c r="AS1187" s="1414"/>
      <c r="AT1187" s="1414"/>
      <c r="AU1187" s="1414"/>
      <c r="AV1187" s="1414"/>
      <c r="AW1187" s="1414"/>
      <c r="AX1187" s="1414"/>
      <c r="AY1187" s="1399"/>
      <c r="AZ1187" s="1399"/>
      <c r="BA1187" s="1399"/>
      <c r="BB1187" s="1399"/>
      <c r="BC1187" s="1399"/>
      <c r="BD1187" s="1399"/>
      <c r="BE1187" s="1414"/>
      <c r="BF1187" s="1399"/>
      <c r="BG1187" s="1399"/>
      <c r="BH1187" s="1399"/>
      <c r="BI1187" s="1399"/>
      <c r="BJ1187" s="1399"/>
      <c r="BK1187" s="1399"/>
      <c r="BL1187" s="1399"/>
      <c r="BM1187" s="1399"/>
      <c r="BN1187" s="1399"/>
      <c r="BO1187" s="1399"/>
      <c r="BP1187" s="1399"/>
      <c r="BQ1187" s="1399"/>
      <c r="BR1187" s="1399"/>
      <c r="BS1187" s="1399"/>
      <c r="BT1187" s="1399"/>
      <c r="BU1187" s="1399"/>
      <c r="BV1187" s="1399"/>
      <c r="BW1187" s="1399"/>
      <c r="BX1187" s="1399"/>
      <c r="BY1187" s="1399"/>
      <c r="BZ1187" s="1399"/>
      <c r="CA1187" s="1399"/>
      <c r="CB1187" s="1399"/>
      <c r="CC1187" s="1399"/>
      <c r="CD1187" s="1399"/>
      <c r="CE1187" s="1399"/>
      <c r="CF1187" s="1399"/>
      <c r="CG1187" s="1399"/>
      <c r="CH1187" s="1399"/>
      <c r="CI1187" s="1399"/>
      <c r="CJ1187" s="1399"/>
      <c r="CK1187" s="1399"/>
      <c r="CL1187" s="1399"/>
      <c r="CM1187" s="1399"/>
      <c r="CN1187" s="1399"/>
      <c r="CO1187" s="1399"/>
      <c r="CP1187" s="1399"/>
      <c r="CQ1187" s="1399"/>
      <c r="CR1187" s="1399"/>
      <c r="CS1187" s="1399"/>
      <c r="CT1187" s="1399"/>
      <c r="CU1187" s="1399"/>
      <c r="CV1187" s="1399"/>
      <c r="CW1187" s="1399"/>
      <c r="CX1187" s="1399"/>
      <c r="CY1187" s="1399"/>
      <c r="CZ1187" s="1399"/>
      <c r="DA1187" s="1399"/>
      <c r="DB1187" s="1399"/>
      <c r="DC1187" s="1399"/>
      <c r="DD1187" s="1399"/>
      <c r="DE1187" s="1399"/>
      <c r="DF1187" s="1399"/>
      <c r="DG1187" s="1399"/>
      <c r="DH1187" s="1399"/>
      <c r="DI1187" s="1399"/>
      <c r="DJ1187" s="1399"/>
      <c r="DK1187" s="1399"/>
      <c r="DL1187" s="1399"/>
      <c r="DM1187" s="1399"/>
      <c r="DN1187" s="1399"/>
      <c r="DO1187" s="1399"/>
      <c r="DP1187" s="1399"/>
      <c r="DQ1187" s="1399"/>
      <c r="DR1187" s="1399"/>
      <c r="DS1187" s="1399"/>
      <c r="DT1187" s="1399"/>
      <c r="DU1187" s="1399"/>
    </row>
    <row r="1188" spans="1:125">
      <c r="A1188" s="1414"/>
      <c r="B1188" s="1414"/>
      <c r="C1188" s="1414"/>
      <c r="D1188" s="1414"/>
      <c r="E1188" s="1414"/>
      <c r="F1188" s="1414"/>
      <c r="G1188" s="1414"/>
      <c r="H1188" s="1414"/>
      <c r="I1188" s="1414"/>
      <c r="J1188" s="1414"/>
      <c r="K1188" s="1414"/>
      <c r="L1188" s="1414"/>
      <c r="M1188" s="1414"/>
      <c r="N1188" s="1414"/>
      <c r="O1188" s="1414"/>
      <c r="P1188" s="1414"/>
      <c r="Q1188" s="1414"/>
      <c r="R1188" s="1414"/>
      <c r="S1188" s="1414"/>
      <c r="T1188" s="1414"/>
      <c r="U1188" s="1414"/>
      <c r="V1188" s="1414"/>
      <c r="W1188" s="1414"/>
      <c r="X1188" s="1414"/>
      <c r="Y1188" s="1414"/>
      <c r="Z1188" s="1414"/>
      <c r="AA1188" s="1414"/>
      <c r="AB1188" s="1414"/>
      <c r="AC1188" s="1414"/>
      <c r="AD1188" s="1414"/>
      <c r="AE1188" s="1414"/>
      <c r="AF1188" s="1414"/>
      <c r="AG1188" s="1414"/>
      <c r="AH1188" s="1414"/>
      <c r="AI1188" s="1414"/>
      <c r="AJ1188" s="1414"/>
      <c r="AK1188" s="1414"/>
      <c r="AL1188" s="1414"/>
      <c r="AM1188" s="1414"/>
      <c r="AN1188" s="1414"/>
      <c r="AO1188" s="1414"/>
      <c r="AP1188" s="1414"/>
      <c r="AQ1188" s="1414"/>
      <c r="AR1188" s="1414"/>
      <c r="AS1188" s="1414"/>
      <c r="AT1188" s="1414"/>
      <c r="AU1188" s="1414"/>
      <c r="AV1188" s="1414"/>
      <c r="AW1188" s="1414"/>
      <c r="AX1188" s="1414"/>
      <c r="AY1188" s="1399"/>
      <c r="AZ1188" s="1399"/>
      <c r="BA1188" s="1399"/>
      <c r="BB1188" s="1399"/>
      <c r="BC1188" s="1399"/>
      <c r="BD1188" s="1399"/>
      <c r="BE1188" s="1414"/>
      <c r="BF1188" s="1399"/>
      <c r="BG1188" s="1399"/>
      <c r="BH1188" s="1399"/>
      <c r="BI1188" s="1399"/>
      <c r="BJ1188" s="1399"/>
      <c r="BK1188" s="1399"/>
      <c r="BL1188" s="1399"/>
      <c r="BM1188" s="1399"/>
      <c r="BN1188" s="1399"/>
      <c r="BO1188" s="1399"/>
      <c r="BP1188" s="1399"/>
      <c r="BQ1188" s="1399"/>
      <c r="BR1188" s="1399"/>
      <c r="BS1188" s="1399"/>
      <c r="BT1188" s="1399"/>
      <c r="BU1188" s="1399"/>
      <c r="BV1188" s="1399"/>
      <c r="BW1188" s="1399"/>
      <c r="BX1188" s="1399"/>
      <c r="BY1188" s="1399"/>
      <c r="BZ1188" s="1399"/>
      <c r="CA1188" s="1399"/>
      <c r="CB1188" s="1399"/>
      <c r="CC1188" s="1399"/>
      <c r="CD1188" s="1399"/>
      <c r="CE1188" s="1399"/>
      <c r="CF1188" s="1399"/>
      <c r="CG1188" s="1399"/>
      <c r="CH1188" s="1399"/>
      <c r="CI1188" s="1399"/>
      <c r="CJ1188" s="1399"/>
      <c r="CK1188" s="1399"/>
      <c r="CL1188" s="1399"/>
      <c r="CM1188" s="1399"/>
      <c r="CN1188" s="1399"/>
      <c r="CO1188" s="1399"/>
      <c r="CP1188" s="1399"/>
      <c r="CQ1188" s="1399"/>
      <c r="CR1188" s="1399"/>
      <c r="CS1188" s="1399"/>
      <c r="CT1188" s="1399"/>
      <c r="CU1188" s="1399"/>
      <c r="CV1188" s="1399"/>
      <c r="CW1188" s="1399"/>
      <c r="CX1188" s="1399"/>
      <c r="CY1188" s="1399"/>
      <c r="CZ1188" s="1399"/>
      <c r="DA1188" s="1399"/>
      <c r="DB1188" s="1399"/>
      <c r="DC1188" s="1399"/>
      <c r="DD1188" s="1399"/>
      <c r="DE1188" s="1399"/>
      <c r="DF1188" s="1399"/>
      <c r="DG1188" s="1399"/>
      <c r="DH1188" s="1399"/>
      <c r="DI1188" s="1399"/>
      <c r="DJ1188" s="1399"/>
      <c r="DK1188" s="1399"/>
      <c r="DL1188" s="1399"/>
      <c r="DM1188" s="1399"/>
      <c r="DN1188" s="1399"/>
      <c r="DO1188" s="1399"/>
      <c r="DP1188" s="1399"/>
      <c r="DQ1188" s="1399"/>
      <c r="DR1188" s="1399"/>
      <c r="DS1188" s="1399"/>
      <c r="DT1188" s="1399"/>
      <c r="DU1188" s="1399"/>
    </row>
    <row r="1189" spans="1:125">
      <c r="A1189" s="1414"/>
      <c r="B1189" s="1414"/>
      <c r="C1189" s="1414"/>
      <c r="D1189" s="1414"/>
      <c r="E1189" s="1414"/>
      <c r="F1189" s="1414"/>
      <c r="G1189" s="1414"/>
      <c r="H1189" s="1414"/>
      <c r="I1189" s="1414"/>
      <c r="J1189" s="1414"/>
      <c r="K1189" s="1414"/>
      <c r="L1189" s="1414"/>
      <c r="M1189" s="1414"/>
      <c r="N1189" s="1414"/>
      <c r="O1189" s="1414"/>
      <c r="P1189" s="1414"/>
      <c r="Q1189" s="1414"/>
      <c r="R1189" s="1414"/>
      <c r="S1189" s="1414"/>
      <c r="T1189" s="1414"/>
      <c r="U1189" s="1414"/>
      <c r="V1189" s="1414"/>
      <c r="W1189" s="1414"/>
      <c r="X1189" s="1414"/>
      <c r="Y1189" s="1414"/>
      <c r="Z1189" s="1414"/>
      <c r="AA1189" s="1414"/>
      <c r="AB1189" s="1414"/>
      <c r="AC1189" s="1414"/>
      <c r="AD1189" s="1414"/>
      <c r="AE1189" s="1414"/>
      <c r="AF1189" s="1414"/>
      <c r="AG1189" s="1414"/>
      <c r="AH1189" s="1414"/>
      <c r="AI1189" s="1414"/>
      <c r="AJ1189" s="1414"/>
      <c r="AK1189" s="1414"/>
      <c r="AL1189" s="1414"/>
      <c r="AM1189" s="1414"/>
      <c r="AN1189" s="1414"/>
      <c r="AO1189" s="1414"/>
      <c r="AP1189" s="1414"/>
      <c r="AQ1189" s="1414"/>
      <c r="AR1189" s="1414"/>
      <c r="AS1189" s="1414"/>
      <c r="AT1189" s="1414"/>
      <c r="AU1189" s="1414"/>
      <c r="AV1189" s="1414"/>
      <c r="AW1189" s="1414"/>
      <c r="AX1189" s="1414"/>
      <c r="AY1189" s="1399"/>
      <c r="AZ1189" s="1399"/>
      <c r="BA1189" s="1399"/>
      <c r="BB1189" s="1399"/>
      <c r="BC1189" s="1399"/>
      <c r="BD1189" s="1399"/>
      <c r="BE1189" s="1414"/>
      <c r="BF1189" s="1399"/>
      <c r="BG1189" s="1399"/>
      <c r="BH1189" s="1399"/>
      <c r="BI1189" s="1399"/>
      <c r="BJ1189" s="1399"/>
      <c r="BK1189" s="1399"/>
      <c r="BL1189" s="1399"/>
      <c r="BM1189" s="1399"/>
      <c r="BN1189" s="1399"/>
      <c r="BO1189" s="1399"/>
      <c r="BP1189" s="1399"/>
      <c r="BQ1189" s="1399"/>
      <c r="BR1189" s="1399"/>
      <c r="BS1189" s="1399"/>
      <c r="BT1189" s="1399"/>
      <c r="BU1189" s="1399"/>
      <c r="BV1189" s="1399"/>
      <c r="BW1189" s="1399"/>
      <c r="BX1189" s="1399"/>
      <c r="BY1189" s="1399"/>
      <c r="BZ1189" s="1399"/>
      <c r="CA1189" s="1399"/>
      <c r="CB1189" s="1399"/>
      <c r="CC1189" s="1399"/>
      <c r="CD1189" s="1399"/>
      <c r="CE1189" s="1399"/>
      <c r="CF1189" s="1399"/>
      <c r="CG1189" s="1399"/>
      <c r="CH1189" s="1399"/>
      <c r="CI1189" s="1399"/>
      <c r="CJ1189" s="1399"/>
      <c r="CK1189" s="1399"/>
      <c r="CL1189" s="1399"/>
      <c r="CM1189" s="1399"/>
      <c r="CN1189" s="1399"/>
      <c r="CO1189" s="1399"/>
      <c r="CP1189" s="1399"/>
      <c r="CQ1189" s="1399"/>
      <c r="CR1189" s="1399"/>
      <c r="CS1189" s="1399"/>
      <c r="CT1189" s="1399"/>
      <c r="CU1189" s="1399"/>
      <c r="CV1189" s="1399"/>
      <c r="CW1189" s="1399"/>
      <c r="CX1189" s="1399"/>
      <c r="CY1189" s="1399"/>
      <c r="CZ1189" s="1399"/>
      <c r="DA1189" s="1399"/>
      <c r="DB1189" s="1399"/>
      <c r="DC1189" s="1399"/>
      <c r="DD1189" s="1399"/>
      <c r="DE1189" s="1399"/>
      <c r="DF1189" s="1399"/>
      <c r="DG1189" s="1399"/>
      <c r="DH1189" s="1399"/>
      <c r="DI1189" s="1399"/>
      <c r="DJ1189" s="1399"/>
      <c r="DK1189" s="1399"/>
      <c r="DL1189" s="1399"/>
      <c r="DM1189" s="1399"/>
      <c r="DN1189" s="1399"/>
      <c r="DO1189" s="1399"/>
      <c r="DP1189" s="1399"/>
      <c r="DQ1189" s="1399"/>
      <c r="DR1189" s="1399"/>
      <c r="DS1189" s="1399"/>
      <c r="DT1189" s="1399"/>
      <c r="DU1189" s="1399"/>
    </row>
    <row r="1190" spans="1:125">
      <c r="A1190" s="1414"/>
      <c r="B1190" s="1414"/>
      <c r="C1190" s="1414"/>
      <c r="D1190" s="1414"/>
      <c r="E1190" s="1414"/>
      <c r="F1190" s="1414"/>
      <c r="G1190" s="1414"/>
      <c r="H1190" s="1414"/>
      <c r="I1190" s="1414"/>
      <c r="J1190" s="1414"/>
      <c r="K1190" s="1414"/>
      <c r="L1190" s="1414"/>
      <c r="M1190" s="1414"/>
      <c r="N1190" s="1414"/>
      <c r="O1190" s="1414"/>
      <c r="P1190" s="1414"/>
      <c r="Q1190" s="1414"/>
      <c r="R1190" s="1414"/>
      <c r="S1190" s="1414"/>
      <c r="T1190" s="1414"/>
      <c r="U1190" s="1414"/>
      <c r="V1190" s="1414"/>
      <c r="W1190" s="1414"/>
      <c r="X1190" s="1414"/>
      <c r="Y1190" s="1414"/>
      <c r="Z1190" s="1414"/>
      <c r="AA1190" s="1414"/>
      <c r="AB1190" s="1414"/>
      <c r="AC1190" s="1414"/>
      <c r="AD1190" s="1414"/>
      <c r="AE1190" s="1414"/>
      <c r="AF1190" s="1414"/>
      <c r="AG1190" s="1414"/>
      <c r="AH1190" s="1414"/>
      <c r="AI1190" s="1414"/>
      <c r="AJ1190" s="1414"/>
      <c r="AK1190" s="1414"/>
      <c r="AL1190" s="1414"/>
      <c r="AM1190" s="1414"/>
      <c r="AN1190" s="1414"/>
      <c r="AO1190" s="1414"/>
      <c r="AP1190" s="1414"/>
      <c r="AQ1190" s="1414"/>
      <c r="AR1190" s="1414"/>
      <c r="AS1190" s="1414"/>
      <c r="AT1190" s="1414"/>
      <c r="AU1190" s="1414"/>
      <c r="AV1190" s="1414"/>
      <c r="AW1190" s="1414"/>
      <c r="AX1190" s="1414"/>
      <c r="AY1190" s="1399"/>
      <c r="AZ1190" s="1399"/>
      <c r="BA1190" s="1399"/>
      <c r="BB1190" s="1399"/>
      <c r="BC1190" s="1399"/>
      <c r="BD1190" s="1399"/>
      <c r="BE1190" s="1414"/>
      <c r="BF1190" s="1399"/>
      <c r="BG1190" s="1399"/>
      <c r="BH1190" s="1399"/>
      <c r="BI1190" s="1399"/>
      <c r="BJ1190" s="1399"/>
      <c r="BK1190" s="1399"/>
      <c r="BL1190" s="1399"/>
      <c r="BM1190" s="1399"/>
      <c r="BN1190" s="1399"/>
      <c r="BO1190" s="1399"/>
      <c r="BP1190" s="1399"/>
      <c r="BQ1190" s="1399"/>
      <c r="BR1190" s="1399"/>
      <c r="BS1190" s="1399"/>
      <c r="BT1190" s="1399"/>
      <c r="BU1190" s="1399"/>
      <c r="BV1190" s="1399"/>
      <c r="BW1190" s="1399"/>
      <c r="BX1190" s="1399"/>
      <c r="BY1190" s="1399"/>
      <c r="BZ1190" s="1399"/>
      <c r="CA1190" s="1399"/>
      <c r="CB1190" s="1399"/>
      <c r="CC1190" s="1399"/>
      <c r="CD1190" s="1399"/>
      <c r="CE1190" s="1399"/>
      <c r="CF1190" s="1399"/>
      <c r="CG1190" s="1399"/>
      <c r="CH1190" s="1399"/>
      <c r="CI1190" s="1399"/>
      <c r="CJ1190" s="1399"/>
      <c r="CK1190" s="1399"/>
      <c r="CL1190" s="1399"/>
      <c r="CM1190" s="1399"/>
      <c r="CN1190" s="1399"/>
      <c r="CO1190" s="1399"/>
      <c r="CP1190" s="1399"/>
      <c r="CQ1190" s="1399"/>
      <c r="CR1190" s="1399"/>
      <c r="CS1190" s="1399"/>
      <c r="CT1190" s="1399"/>
      <c r="CU1190" s="1399"/>
      <c r="CV1190" s="1399"/>
      <c r="CW1190" s="1399"/>
      <c r="CX1190" s="1399"/>
      <c r="CY1190" s="1399"/>
      <c r="CZ1190" s="1399"/>
      <c r="DA1190" s="1399"/>
      <c r="DB1190" s="1399"/>
      <c r="DC1190" s="1399"/>
      <c r="DD1190" s="1399"/>
      <c r="DE1190" s="1399"/>
      <c r="DF1190" s="1399"/>
      <c r="DG1190" s="1399"/>
      <c r="DH1190" s="1399"/>
      <c r="DI1190" s="1399"/>
      <c r="DJ1190" s="1399"/>
      <c r="DK1190" s="1399"/>
      <c r="DL1190" s="1399"/>
      <c r="DM1190" s="1399"/>
      <c r="DN1190" s="1399"/>
      <c r="DO1190" s="1399"/>
      <c r="DP1190" s="1399"/>
      <c r="DQ1190" s="1399"/>
      <c r="DR1190" s="1399"/>
      <c r="DS1190" s="1399"/>
      <c r="DT1190" s="1399"/>
      <c r="DU1190" s="1399"/>
    </row>
    <row r="1191" spans="1:125">
      <c r="A1191" s="1414"/>
      <c r="B1191" s="1414"/>
      <c r="C1191" s="1414"/>
      <c r="D1191" s="1414"/>
      <c r="E1191" s="1414"/>
      <c r="F1191" s="1414"/>
      <c r="G1191" s="1414"/>
      <c r="H1191" s="1414"/>
      <c r="I1191" s="1414"/>
      <c r="J1191" s="1414"/>
      <c r="K1191" s="1414"/>
      <c r="L1191" s="1414"/>
      <c r="M1191" s="1414"/>
      <c r="N1191" s="1414"/>
      <c r="O1191" s="1414"/>
      <c r="P1191" s="1414"/>
      <c r="Q1191" s="1414"/>
      <c r="R1191" s="1414"/>
      <c r="S1191" s="1414"/>
      <c r="T1191" s="1414"/>
      <c r="U1191" s="1414"/>
      <c r="V1191" s="1414"/>
      <c r="W1191" s="1414"/>
      <c r="X1191" s="1414"/>
      <c r="Y1191" s="1414"/>
      <c r="Z1191" s="1414"/>
      <c r="AA1191" s="1414"/>
      <c r="AB1191" s="1414"/>
      <c r="AC1191" s="1414"/>
      <c r="AD1191" s="1414"/>
      <c r="AE1191" s="1414"/>
      <c r="AF1191" s="1414"/>
      <c r="AG1191" s="1414"/>
      <c r="AH1191" s="1414"/>
      <c r="AI1191" s="1414"/>
      <c r="AJ1191" s="1414"/>
      <c r="AK1191" s="1414"/>
      <c r="AL1191" s="1414"/>
      <c r="AM1191" s="1414"/>
      <c r="AN1191" s="1414"/>
      <c r="AO1191" s="1414"/>
      <c r="AP1191" s="1414"/>
      <c r="AQ1191" s="1414"/>
      <c r="AR1191" s="1414"/>
      <c r="AS1191" s="1414"/>
      <c r="AT1191" s="1414"/>
      <c r="AU1191" s="1414"/>
      <c r="AV1191" s="1414"/>
      <c r="AW1191" s="1414"/>
      <c r="AX1191" s="1414"/>
      <c r="AY1191" s="1399"/>
      <c r="AZ1191" s="1399"/>
      <c r="BA1191" s="1399"/>
      <c r="BB1191" s="1399"/>
      <c r="BC1191" s="1399"/>
      <c r="BD1191" s="1399"/>
      <c r="BE1191" s="1414"/>
      <c r="BF1191" s="1399"/>
      <c r="BG1191" s="1399"/>
      <c r="BH1191" s="1399"/>
      <c r="BI1191" s="1399"/>
      <c r="BJ1191" s="1399"/>
      <c r="BK1191" s="1399"/>
      <c r="BL1191" s="1399"/>
      <c r="BM1191" s="1399"/>
      <c r="BN1191" s="1399"/>
      <c r="BO1191" s="1399"/>
      <c r="BP1191" s="1399"/>
      <c r="BQ1191" s="1399"/>
      <c r="BR1191" s="1399"/>
      <c r="BS1191" s="1399"/>
      <c r="BT1191" s="1399"/>
      <c r="BU1191" s="1399"/>
      <c r="BV1191" s="1399"/>
      <c r="BW1191" s="1399"/>
      <c r="BX1191" s="1399"/>
      <c r="BY1191" s="1399"/>
      <c r="BZ1191" s="1399"/>
      <c r="CA1191" s="1399"/>
      <c r="CB1191" s="1399"/>
      <c r="CC1191" s="1399"/>
      <c r="CD1191" s="1399"/>
      <c r="CE1191" s="1399"/>
      <c r="CF1191" s="1399"/>
      <c r="CG1191" s="1399"/>
      <c r="CH1191" s="1399"/>
      <c r="CI1191" s="1399"/>
      <c r="CJ1191" s="1399"/>
      <c r="CK1191" s="1399"/>
      <c r="CL1191" s="1399"/>
      <c r="CM1191" s="1399"/>
      <c r="CN1191" s="1399"/>
      <c r="CO1191" s="1399"/>
      <c r="CP1191" s="1399"/>
      <c r="CQ1191" s="1399"/>
      <c r="CR1191" s="1399"/>
      <c r="CS1191" s="1399"/>
      <c r="CT1191" s="1399"/>
      <c r="CU1191" s="1399"/>
      <c r="CV1191" s="1399"/>
      <c r="CW1191" s="1399"/>
      <c r="CX1191" s="1399"/>
      <c r="CY1191" s="1399"/>
      <c r="CZ1191" s="1399"/>
      <c r="DA1191" s="1399"/>
      <c r="DB1191" s="1399"/>
      <c r="DC1191" s="1399"/>
      <c r="DD1191" s="1399"/>
      <c r="DE1191" s="1399"/>
      <c r="DF1191" s="1399"/>
      <c r="DG1191" s="1399"/>
      <c r="DH1191" s="1399"/>
      <c r="DI1191" s="1399"/>
      <c r="DJ1191" s="1399"/>
      <c r="DK1191" s="1399"/>
      <c r="DL1191" s="1399"/>
      <c r="DM1191" s="1399"/>
      <c r="DN1191" s="1399"/>
      <c r="DO1191" s="1399"/>
      <c r="DP1191" s="1399"/>
      <c r="DQ1191" s="1399"/>
      <c r="DR1191" s="1399"/>
      <c r="DS1191" s="1399"/>
      <c r="DT1191" s="1399"/>
      <c r="DU1191" s="1399"/>
    </row>
    <row r="1192" spans="1:125">
      <c r="A1192" s="1414"/>
      <c r="B1192" s="1414"/>
      <c r="C1192" s="1414"/>
      <c r="D1192" s="1414"/>
      <c r="E1192" s="1414"/>
      <c r="F1192" s="1414"/>
      <c r="G1192" s="1414"/>
      <c r="H1192" s="1414"/>
      <c r="I1192" s="1414"/>
      <c r="J1192" s="1414"/>
      <c r="K1192" s="1414"/>
      <c r="L1192" s="1414"/>
      <c r="M1192" s="1414"/>
      <c r="N1192" s="1414"/>
      <c r="O1192" s="1414"/>
      <c r="P1192" s="1414"/>
      <c r="Q1192" s="1414"/>
      <c r="R1192" s="1414"/>
      <c r="S1192" s="1414"/>
      <c r="T1192" s="1414"/>
      <c r="U1192" s="1414"/>
      <c r="V1192" s="1414"/>
      <c r="W1192" s="1414"/>
      <c r="X1192" s="1414"/>
      <c r="Y1192" s="1414"/>
      <c r="Z1192" s="1414"/>
      <c r="AA1192" s="1414"/>
      <c r="AB1192" s="1414"/>
      <c r="AC1192" s="1414"/>
      <c r="AD1192" s="1414"/>
      <c r="AE1192" s="1414"/>
      <c r="AF1192" s="1414"/>
      <c r="AG1192" s="1414"/>
      <c r="AH1192" s="1414"/>
      <c r="AI1192" s="1414"/>
      <c r="AJ1192" s="1414"/>
      <c r="AK1192" s="1414"/>
      <c r="AL1192" s="1414"/>
      <c r="AM1192" s="1414"/>
      <c r="AN1192" s="1414"/>
      <c r="AO1192" s="1414"/>
      <c r="AP1192" s="1414"/>
      <c r="AQ1192" s="1414"/>
      <c r="AR1192" s="1414"/>
      <c r="AS1192" s="1414"/>
      <c r="AT1192" s="1414"/>
      <c r="AU1192" s="1414"/>
      <c r="AV1192" s="1414"/>
      <c r="AW1192" s="1414"/>
      <c r="AX1192" s="1414"/>
      <c r="AY1192" s="1399"/>
      <c r="AZ1192" s="1399"/>
      <c r="BA1192" s="1399"/>
      <c r="BB1192" s="1399"/>
      <c r="BC1192" s="1399"/>
      <c r="BD1192" s="1399"/>
      <c r="BE1192" s="1414"/>
      <c r="BF1192" s="1399"/>
      <c r="BG1192" s="1399"/>
      <c r="BH1192" s="1399"/>
      <c r="BI1192" s="1399"/>
      <c r="BJ1192" s="1399"/>
      <c r="BK1192" s="1399"/>
      <c r="BL1192" s="1399"/>
      <c r="BM1192" s="1399"/>
      <c r="BN1192" s="1399"/>
      <c r="BO1192" s="1399"/>
      <c r="BP1192" s="1399"/>
      <c r="BQ1192" s="1399"/>
      <c r="BR1192" s="1399"/>
      <c r="BS1192" s="1399"/>
      <c r="BT1192" s="1399"/>
      <c r="BU1192" s="1399"/>
      <c r="BV1192" s="1399"/>
      <c r="BW1192" s="1399"/>
      <c r="BX1192" s="1399"/>
      <c r="BY1192" s="1399"/>
      <c r="BZ1192" s="1399"/>
      <c r="CA1192" s="1399"/>
      <c r="CB1192" s="1399"/>
      <c r="CC1192" s="1399"/>
      <c r="CD1192" s="1399"/>
      <c r="CE1192" s="1399"/>
      <c r="CF1192" s="1399"/>
      <c r="CG1192" s="1399"/>
      <c r="CH1192" s="1399"/>
      <c r="CI1192" s="1399"/>
      <c r="CJ1192" s="1399"/>
      <c r="CK1192" s="1399"/>
      <c r="CL1192" s="1399"/>
      <c r="CM1192" s="1399"/>
      <c r="CN1192" s="1399"/>
      <c r="CO1192" s="1399"/>
      <c r="CP1192" s="1399"/>
      <c r="CQ1192" s="1399"/>
      <c r="CR1192" s="1399"/>
      <c r="CS1192" s="1399"/>
      <c r="CT1192" s="1399"/>
      <c r="CU1192" s="1399"/>
      <c r="CV1192" s="1399"/>
      <c r="CW1192" s="1399"/>
      <c r="CX1192" s="1399"/>
      <c r="CY1192" s="1399"/>
      <c r="CZ1192" s="1399"/>
      <c r="DA1192" s="1399"/>
      <c r="DB1192" s="1399"/>
      <c r="DC1192" s="1399"/>
      <c r="DD1192" s="1399"/>
      <c r="DE1192" s="1399"/>
      <c r="DF1192" s="1399"/>
      <c r="DG1192" s="1399"/>
      <c r="DH1192" s="1399"/>
      <c r="DI1192" s="1399"/>
      <c r="DJ1192" s="1399"/>
      <c r="DK1192" s="1399"/>
      <c r="DL1192" s="1399"/>
      <c r="DM1192" s="1399"/>
      <c r="DN1192" s="1399"/>
      <c r="DO1192" s="1399"/>
      <c r="DP1192" s="1399"/>
      <c r="DQ1192" s="1399"/>
      <c r="DR1192" s="1399"/>
      <c r="DS1192" s="1399"/>
      <c r="DT1192" s="1399"/>
      <c r="DU1192" s="1399"/>
    </row>
    <row r="1193" spans="1:125">
      <c r="A1193" s="1414"/>
      <c r="B1193" s="1414"/>
      <c r="C1193" s="1414"/>
      <c r="D1193" s="1414"/>
      <c r="E1193" s="1414"/>
      <c r="F1193" s="1414"/>
      <c r="G1193" s="1414"/>
      <c r="H1193" s="1414"/>
      <c r="I1193" s="1414"/>
      <c r="J1193" s="1414"/>
      <c r="K1193" s="1414"/>
      <c r="L1193" s="1414"/>
      <c r="M1193" s="1414"/>
      <c r="N1193" s="1414"/>
      <c r="O1193" s="1414"/>
      <c r="P1193" s="1414"/>
      <c r="Q1193" s="1414"/>
      <c r="R1193" s="1414"/>
      <c r="S1193" s="1414"/>
      <c r="T1193" s="1414"/>
      <c r="U1193" s="1414"/>
      <c r="V1193" s="1414"/>
      <c r="W1193" s="1414"/>
      <c r="X1193" s="1414"/>
      <c r="Y1193" s="1414"/>
      <c r="Z1193" s="1414"/>
      <c r="AA1193" s="1414"/>
      <c r="AB1193" s="1414"/>
      <c r="AC1193" s="1414"/>
      <c r="AD1193" s="1414"/>
      <c r="AE1193" s="1414"/>
      <c r="AF1193" s="1414"/>
      <c r="AG1193" s="1414"/>
      <c r="AH1193" s="1414"/>
      <c r="AI1193" s="1414"/>
      <c r="AJ1193" s="1414"/>
      <c r="AK1193" s="1414"/>
      <c r="AL1193" s="1414"/>
      <c r="AM1193" s="1414"/>
      <c r="AN1193" s="1414"/>
      <c r="AO1193" s="1414"/>
      <c r="AP1193" s="1414"/>
      <c r="AQ1193" s="1414"/>
      <c r="AR1193" s="1414"/>
      <c r="AS1193" s="1414"/>
      <c r="AT1193" s="1414"/>
      <c r="AU1193" s="1414"/>
      <c r="AV1193" s="1414"/>
      <c r="AW1193" s="1414"/>
      <c r="AX1193" s="1414"/>
      <c r="AY1193" s="1399"/>
      <c r="AZ1193" s="1399"/>
      <c r="BA1193" s="1399"/>
      <c r="BB1193" s="1399"/>
      <c r="BC1193" s="1399"/>
      <c r="BD1193" s="1399"/>
      <c r="BE1193" s="1414"/>
      <c r="BF1193" s="1399"/>
      <c r="BG1193" s="1399"/>
      <c r="BH1193" s="1399"/>
      <c r="BI1193" s="1399"/>
      <c r="BJ1193" s="1399"/>
      <c r="BK1193" s="1399"/>
      <c r="BL1193" s="1399"/>
      <c r="BM1193" s="1399"/>
      <c r="BN1193" s="1399"/>
      <c r="BO1193" s="1399"/>
      <c r="BP1193" s="1399"/>
      <c r="BQ1193" s="1399"/>
      <c r="BR1193" s="1399"/>
      <c r="BS1193" s="1399"/>
      <c r="BT1193" s="1399"/>
      <c r="BU1193" s="1399"/>
      <c r="BV1193" s="1399"/>
      <c r="BW1193" s="1399"/>
      <c r="BX1193" s="1399"/>
      <c r="BY1193" s="1399"/>
      <c r="BZ1193" s="1399"/>
      <c r="CA1193" s="1399"/>
      <c r="CB1193" s="1399"/>
      <c r="CC1193" s="1399"/>
      <c r="CD1193" s="1399"/>
      <c r="CE1193" s="1399"/>
      <c r="CF1193" s="1399"/>
      <c r="CG1193" s="1399"/>
      <c r="CH1193" s="1399"/>
      <c r="CI1193" s="1399"/>
      <c r="CJ1193" s="1399"/>
      <c r="CK1193" s="1399"/>
      <c r="CL1193" s="1399"/>
      <c r="CM1193" s="1399"/>
      <c r="CN1193" s="1399"/>
      <c r="CO1193" s="1399"/>
      <c r="CP1193" s="1399"/>
      <c r="CQ1193" s="1399"/>
      <c r="CR1193" s="1399"/>
      <c r="CS1193" s="1399"/>
      <c r="CT1193" s="1399"/>
      <c r="CU1193" s="1399"/>
      <c r="CV1193" s="1399"/>
      <c r="CW1193" s="1399"/>
      <c r="CX1193" s="1399"/>
      <c r="CY1193" s="1399"/>
      <c r="CZ1193" s="1399"/>
      <c r="DA1193" s="1399"/>
      <c r="DB1193" s="1399"/>
      <c r="DC1193" s="1399"/>
      <c r="DD1193" s="1399"/>
      <c r="DE1193" s="1399"/>
      <c r="DF1193" s="1399"/>
      <c r="DG1193" s="1399"/>
      <c r="DH1193" s="1399"/>
      <c r="DI1193" s="1399"/>
      <c r="DJ1193" s="1399"/>
      <c r="DK1193" s="1399"/>
      <c r="DL1193" s="1399"/>
      <c r="DM1193" s="1399"/>
      <c r="DN1193" s="1399"/>
      <c r="DO1193" s="1399"/>
      <c r="DP1193" s="1399"/>
      <c r="DQ1193" s="1399"/>
      <c r="DR1193" s="1399"/>
      <c r="DS1193" s="1399"/>
      <c r="DT1193" s="1399"/>
      <c r="DU1193" s="1399"/>
    </row>
    <row r="1194" spans="1:125">
      <c r="A1194" s="1414"/>
      <c r="B1194" s="1414"/>
      <c r="C1194" s="1414"/>
      <c r="D1194" s="1414"/>
      <c r="E1194" s="1414"/>
      <c r="F1194" s="1414"/>
      <c r="G1194" s="1414"/>
      <c r="H1194" s="1414"/>
      <c r="I1194" s="1414"/>
      <c r="J1194" s="1414"/>
      <c r="K1194" s="1414"/>
      <c r="L1194" s="1414"/>
      <c r="M1194" s="1414"/>
      <c r="N1194" s="1414"/>
      <c r="O1194" s="1414"/>
      <c r="P1194" s="1414"/>
      <c r="Q1194" s="1414"/>
      <c r="R1194" s="1414"/>
      <c r="S1194" s="1414"/>
      <c r="T1194" s="1414"/>
      <c r="U1194" s="1414"/>
      <c r="V1194" s="1414"/>
      <c r="W1194" s="1414"/>
      <c r="X1194" s="1414"/>
      <c r="Y1194" s="1414"/>
      <c r="Z1194" s="1414"/>
      <c r="AA1194" s="1414"/>
      <c r="AB1194" s="1414"/>
      <c r="AC1194" s="1414"/>
      <c r="AD1194" s="1414"/>
      <c r="AE1194" s="1414"/>
      <c r="AF1194" s="1414"/>
      <c r="AG1194" s="1414"/>
      <c r="AH1194" s="1414"/>
      <c r="AI1194" s="1414"/>
      <c r="AJ1194" s="1414"/>
      <c r="AK1194" s="1414"/>
      <c r="AL1194" s="1414"/>
      <c r="AM1194" s="1414"/>
      <c r="AN1194" s="1414"/>
      <c r="AO1194" s="1414"/>
      <c r="AP1194" s="1414"/>
      <c r="AQ1194" s="1414"/>
      <c r="AR1194" s="1414"/>
      <c r="AS1194" s="1414"/>
      <c r="AT1194" s="1414"/>
      <c r="AU1194" s="1414"/>
      <c r="AV1194" s="1414"/>
      <c r="AW1194" s="1414"/>
      <c r="AX1194" s="1414"/>
      <c r="AY1194" s="1399"/>
      <c r="AZ1194" s="1399"/>
      <c r="BA1194" s="1399"/>
      <c r="BB1194" s="1399"/>
      <c r="BC1194" s="1399"/>
      <c r="BD1194" s="1399"/>
      <c r="BE1194" s="1414"/>
      <c r="BF1194" s="1399"/>
      <c r="BG1194" s="1399"/>
      <c r="BH1194" s="1399"/>
      <c r="BI1194" s="1399"/>
      <c r="BJ1194" s="1399"/>
      <c r="BK1194" s="1399"/>
      <c r="BL1194" s="1399"/>
      <c r="BM1194" s="1399"/>
      <c r="BN1194" s="1399"/>
      <c r="BO1194" s="1399"/>
      <c r="BP1194" s="1399"/>
      <c r="BQ1194" s="1399"/>
      <c r="BR1194" s="1399"/>
      <c r="BS1194" s="1399"/>
      <c r="BT1194" s="1399"/>
      <c r="BU1194" s="1399"/>
      <c r="BV1194" s="1399"/>
      <c r="BW1194" s="1399"/>
      <c r="BX1194" s="1399"/>
      <c r="BY1194" s="1399"/>
      <c r="BZ1194" s="1399"/>
      <c r="CA1194" s="1399"/>
      <c r="CB1194" s="1399"/>
      <c r="CC1194" s="1399"/>
      <c r="CD1194" s="1399"/>
      <c r="CE1194" s="1399"/>
      <c r="CF1194" s="1399"/>
      <c r="CG1194" s="1399"/>
      <c r="CH1194" s="1399"/>
      <c r="CI1194" s="1399"/>
      <c r="CJ1194" s="1399"/>
      <c r="CK1194" s="1399"/>
      <c r="CL1194" s="1399"/>
      <c r="CM1194" s="1399"/>
      <c r="CN1194" s="1399"/>
      <c r="CO1194" s="1399"/>
      <c r="CP1194" s="1399"/>
      <c r="CQ1194" s="1399"/>
      <c r="CR1194" s="1399"/>
      <c r="CS1194" s="1399"/>
      <c r="CT1194" s="1399"/>
      <c r="CU1194" s="1399"/>
      <c r="CV1194" s="1399"/>
      <c r="CW1194" s="1399"/>
      <c r="CX1194" s="1399"/>
      <c r="CY1194" s="1399"/>
      <c r="CZ1194" s="1399"/>
      <c r="DA1194" s="1399"/>
      <c r="DB1194" s="1399"/>
      <c r="DC1194" s="1399"/>
      <c r="DD1194" s="1399"/>
      <c r="DE1194" s="1399"/>
      <c r="DF1194" s="1399"/>
      <c r="DG1194" s="1399"/>
      <c r="DH1194" s="1399"/>
      <c r="DI1194" s="1399"/>
      <c r="DJ1194" s="1399"/>
      <c r="DK1194" s="1399"/>
      <c r="DL1194" s="1399"/>
      <c r="DM1194" s="1399"/>
      <c r="DN1194" s="1399"/>
      <c r="DO1194" s="1399"/>
      <c r="DP1194" s="1399"/>
      <c r="DQ1194" s="1399"/>
      <c r="DR1194" s="1399"/>
      <c r="DS1194" s="1399"/>
      <c r="DT1194" s="1399"/>
      <c r="DU1194" s="1399"/>
    </row>
    <row r="1195" spans="1:125">
      <c r="A1195" s="1414"/>
      <c r="B1195" s="1414"/>
      <c r="C1195" s="1414"/>
      <c r="D1195" s="1414"/>
      <c r="E1195" s="1414"/>
      <c r="F1195" s="1414"/>
      <c r="G1195" s="1414"/>
      <c r="H1195" s="1414"/>
      <c r="I1195" s="1414"/>
      <c r="J1195" s="1414"/>
      <c r="K1195" s="1414"/>
      <c r="L1195" s="1414"/>
      <c r="M1195" s="1414"/>
      <c r="N1195" s="1414"/>
      <c r="O1195" s="1414"/>
      <c r="P1195" s="1414"/>
      <c r="Q1195" s="1414"/>
      <c r="R1195" s="1414"/>
      <c r="S1195" s="1414"/>
      <c r="T1195" s="1414"/>
      <c r="U1195" s="1414"/>
      <c r="V1195" s="1414"/>
      <c r="W1195" s="1414"/>
      <c r="X1195" s="1414"/>
      <c r="Y1195" s="1414"/>
      <c r="Z1195" s="1414"/>
      <c r="AA1195" s="1414"/>
      <c r="AB1195" s="1414"/>
      <c r="AC1195" s="1414"/>
      <c r="AD1195" s="1414"/>
      <c r="AE1195" s="1414"/>
      <c r="AF1195" s="1414"/>
      <c r="AG1195" s="1414"/>
      <c r="AH1195" s="1414"/>
      <c r="AI1195" s="1414"/>
      <c r="AJ1195" s="1414"/>
      <c r="AK1195" s="1414"/>
      <c r="AL1195" s="1414"/>
      <c r="AM1195" s="1414"/>
      <c r="AN1195" s="1414"/>
      <c r="AO1195" s="1414"/>
      <c r="AP1195" s="1414"/>
      <c r="AQ1195" s="1414"/>
      <c r="AR1195" s="1414"/>
      <c r="AS1195" s="1414"/>
      <c r="AT1195" s="1414"/>
      <c r="AU1195" s="1414"/>
      <c r="AV1195" s="1414"/>
      <c r="AW1195" s="1414"/>
      <c r="AX1195" s="1414"/>
      <c r="AY1195" s="1399"/>
      <c r="AZ1195" s="1399"/>
      <c r="BA1195" s="1399"/>
      <c r="BB1195" s="1399"/>
      <c r="BC1195" s="1399"/>
      <c r="BD1195" s="1399"/>
      <c r="BE1195" s="1414"/>
      <c r="BF1195" s="1399"/>
      <c r="BG1195" s="1399"/>
      <c r="BH1195" s="1399"/>
      <c r="BI1195" s="1399"/>
      <c r="BJ1195" s="1399"/>
      <c r="BK1195" s="1399"/>
      <c r="BL1195" s="1399"/>
      <c r="BM1195" s="1399"/>
      <c r="BN1195" s="1399"/>
      <c r="BO1195" s="1399"/>
      <c r="BP1195" s="1399"/>
      <c r="BQ1195" s="1399"/>
      <c r="BR1195" s="1399"/>
      <c r="BS1195" s="1399"/>
      <c r="BT1195" s="1399"/>
      <c r="BU1195" s="1399"/>
      <c r="BV1195" s="1399"/>
      <c r="BW1195" s="1399"/>
      <c r="BX1195" s="1399"/>
      <c r="BY1195" s="1399"/>
      <c r="BZ1195" s="1399"/>
      <c r="CA1195" s="1399"/>
      <c r="CB1195" s="1399"/>
      <c r="CC1195" s="1399"/>
      <c r="CD1195" s="1399"/>
      <c r="CE1195" s="1399"/>
      <c r="CF1195" s="1399"/>
      <c r="CG1195" s="1399"/>
      <c r="CH1195" s="1399"/>
      <c r="CI1195" s="1399"/>
      <c r="CJ1195" s="1399"/>
      <c r="CK1195" s="1399"/>
      <c r="CL1195" s="1399"/>
      <c r="CM1195" s="1399"/>
      <c r="CN1195" s="1399"/>
      <c r="CO1195" s="1399"/>
      <c r="CP1195" s="1399"/>
      <c r="CQ1195" s="1399"/>
      <c r="CR1195" s="1399"/>
      <c r="CS1195" s="1399"/>
      <c r="CT1195" s="1399"/>
      <c r="CU1195" s="1399"/>
      <c r="CV1195" s="1399"/>
      <c r="CW1195" s="1399"/>
      <c r="CX1195" s="1399"/>
      <c r="CY1195" s="1399"/>
      <c r="CZ1195" s="1399"/>
      <c r="DA1195" s="1399"/>
      <c r="DB1195" s="1399"/>
      <c r="DC1195" s="1399"/>
      <c r="DD1195" s="1399"/>
      <c r="DE1195" s="1399"/>
      <c r="DF1195" s="1399"/>
      <c r="DG1195" s="1399"/>
      <c r="DH1195" s="1399"/>
      <c r="DI1195" s="1399"/>
      <c r="DJ1195" s="1399"/>
      <c r="DK1195" s="1399"/>
      <c r="DL1195" s="1399"/>
      <c r="DM1195" s="1399"/>
      <c r="DN1195" s="1399"/>
      <c r="DO1195" s="1399"/>
      <c r="DP1195" s="1399"/>
      <c r="DQ1195" s="1399"/>
      <c r="DR1195" s="1399"/>
      <c r="DS1195" s="1399"/>
      <c r="DT1195" s="1399"/>
      <c r="DU1195" s="1399"/>
    </row>
    <row r="1196" spans="1:125">
      <c r="A1196" s="1414"/>
      <c r="B1196" s="1414"/>
      <c r="C1196" s="1414"/>
      <c r="D1196" s="1414"/>
      <c r="E1196" s="1414"/>
      <c r="F1196" s="1414"/>
      <c r="G1196" s="1414"/>
      <c r="H1196" s="1414"/>
      <c r="I1196" s="1414"/>
      <c r="J1196" s="1414"/>
      <c r="K1196" s="1414"/>
      <c r="L1196" s="1414"/>
      <c r="M1196" s="1414"/>
      <c r="N1196" s="1414"/>
      <c r="O1196" s="1414"/>
      <c r="P1196" s="1414"/>
      <c r="Q1196" s="1414"/>
      <c r="R1196" s="1414"/>
      <c r="S1196" s="1414"/>
      <c r="T1196" s="1414"/>
      <c r="U1196" s="1414"/>
      <c r="V1196" s="1414"/>
      <c r="W1196" s="1414"/>
      <c r="X1196" s="1414"/>
      <c r="Y1196" s="1414"/>
      <c r="Z1196" s="1414"/>
      <c r="AA1196" s="1414"/>
      <c r="AB1196" s="1414"/>
      <c r="AC1196" s="1414"/>
      <c r="AD1196" s="1414"/>
      <c r="AE1196" s="1414"/>
      <c r="AF1196" s="1414"/>
      <c r="AG1196" s="1414"/>
      <c r="AH1196" s="1414"/>
      <c r="AI1196" s="1414"/>
      <c r="AJ1196" s="1414"/>
      <c r="AK1196" s="1414"/>
      <c r="AL1196" s="1414"/>
      <c r="AM1196" s="1414"/>
      <c r="AN1196" s="1414"/>
      <c r="AO1196" s="1414"/>
      <c r="AP1196" s="1414"/>
      <c r="AQ1196" s="1414"/>
      <c r="AR1196" s="1414"/>
      <c r="AS1196" s="1414"/>
      <c r="AT1196" s="1414"/>
      <c r="AU1196" s="1414"/>
      <c r="AV1196" s="1414"/>
      <c r="AW1196" s="1414"/>
      <c r="AX1196" s="1414"/>
      <c r="AY1196" s="1399"/>
      <c r="AZ1196" s="1399"/>
      <c r="BA1196" s="1399"/>
      <c r="BB1196" s="1399"/>
      <c r="BC1196" s="1399"/>
      <c r="BD1196" s="1399"/>
      <c r="BE1196" s="1414"/>
      <c r="BF1196" s="1399"/>
      <c r="BG1196" s="1399"/>
      <c r="BH1196" s="1399"/>
      <c r="BI1196" s="1399"/>
      <c r="BJ1196" s="1399"/>
      <c r="BK1196" s="1399"/>
      <c r="BL1196" s="1399"/>
      <c r="BM1196" s="1399"/>
      <c r="BN1196" s="1399"/>
      <c r="BO1196" s="1399"/>
      <c r="BP1196" s="1399"/>
      <c r="BQ1196" s="1399"/>
      <c r="BR1196" s="1399"/>
      <c r="BS1196" s="1399"/>
      <c r="BT1196" s="1399"/>
      <c r="BU1196" s="1399"/>
      <c r="BV1196" s="1399"/>
      <c r="BW1196" s="1399"/>
      <c r="BX1196" s="1399"/>
      <c r="BY1196" s="1399"/>
      <c r="BZ1196" s="1399"/>
      <c r="CA1196" s="1399"/>
      <c r="CB1196" s="1399"/>
      <c r="CC1196" s="1399"/>
      <c r="CD1196" s="1399"/>
      <c r="CE1196" s="1399"/>
      <c r="CF1196" s="1399"/>
      <c r="CG1196" s="1399"/>
      <c r="CH1196" s="1399"/>
      <c r="CI1196" s="1399"/>
      <c r="CJ1196" s="1399"/>
      <c r="CK1196" s="1399"/>
      <c r="CL1196" s="1399"/>
      <c r="CM1196" s="1399"/>
      <c r="CN1196" s="1399"/>
      <c r="CO1196" s="1399"/>
      <c r="CP1196" s="1399"/>
      <c r="CQ1196" s="1399"/>
      <c r="CR1196" s="1399"/>
      <c r="CS1196" s="1399"/>
      <c r="CT1196" s="1399"/>
      <c r="CU1196" s="1399"/>
      <c r="CV1196" s="1399"/>
      <c r="CW1196" s="1399"/>
      <c r="CX1196" s="1399"/>
      <c r="CY1196" s="1399"/>
      <c r="CZ1196" s="1399"/>
      <c r="DA1196" s="1399"/>
      <c r="DB1196" s="1399"/>
      <c r="DC1196" s="1399"/>
      <c r="DD1196" s="1399"/>
      <c r="DE1196" s="1399"/>
      <c r="DF1196" s="1399"/>
      <c r="DG1196" s="1399"/>
      <c r="DH1196" s="1399"/>
      <c r="DI1196" s="1399"/>
      <c r="DJ1196" s="1399"/>
      <c r="DK1196" s="1399"/>
      <c r="DL1196" s="1399"/>
      <c r="DM1196" s="1399"/>
      <c r="DN1196" s="1399"/>
      <c r="DO1196" s="1399"/>
      <c r="DP1196" s="1399"/>
      <c r="DQ1196" s="1399"/>
      <c r="DR1196" s="1399"/>
      <c r="DS1196" s="1399"/>
      <c r="DT1196" s="1399"/>
      <c r="DU1196" s="1399"/>
    </row>
    <row r="1197" spans="1:125">
      <c r="A1197" s="1414"/>
      <c r="B1197" s="1414"/>
      <c r="C1197" s="1414"/>
      <c r="D1197" s="1414"/>
      <c r="E1197" s="1414"/>
      <c r="F1197" s="1414"/>
      <c r="G1197" s="1414"/>
      <c r="H1197" s="1414"/>
      <c r="I1197" s="1414"/>
      <c r="J1197" s="1414"/>
      <c r="K1197" s="1414"/>
      <c r="L1197" s="1414"/>
      <c r="M1197" s="1414"/>
      <c r="N1197" s="1414"/>
      <c r="O1197" s="1414"/>
      <c r="P1197" s="1414"/>
      <c r="Q1197" s="1414"/>
      <c r="R1197" s="1414"/>
      <c r="S1197" s="1414"/>
      <c r="T1197" s="1414"/>
      <c r="U1197" s="1414"/>
      <c r="V1197" s="1414"/>
      <c r="W1197" s="1414"/>
      <c r="X1197" s="1414"/>
      <c r="Y1197" s="1414"/>
      <c r="Z1197" s="1414"/>
      <c r="AA1197" s="1414"/>
      <c r="AB1197" s="1414"/>
      <c r="AC1197" s="1414"/>
      <c r="AD1197" s="1414"/>
      <c r="AE1197" s="1414"/>
      <c r="AF1197" s="1414"/>
      <c r="AG1197" s="1414"/>
      <c r="AH1197" s="1414"/>
      <c r="AI1197" s="1414"/>
      <c r="AJ1197" s="1414"/>
      <c r="AK1197" s="1414"/>
      <c r="AL1197" s="1414"/>
      <c r="AM1197" s="1414"/>
      <c r="AN1197" s="1414"/>
      <c r="AO1197" s="1414"/>
      <c r="AP1197" s="1414"/>
      <c r="AQ1197" s="1414"/>
      <c r="AR1197" s="1414"/>
      <c r="AS1197" s="1414"/>
      <c r="AT1197" s="1414"/>
      <c r="AU1197" s="1414"/>
      <c r="AV1197" s="1414"/>
      <c r="AW1197" s="1414"/>
      <c r="AX1197" s="1414"/>
      <c r="AY1197" s="1399"/>
      <c r="AZ1197" s="1399"/>
      <c r="BA1197" s="1399"/>
      <c r="BB1197" s="1399"/>
      <c r="BC1197" s="1399"/>
      <c r="BD1197" s="1399"/>
      <c r="BE1197" s="1414"/>
      <c r="BF1197" s="1399"/>
      <c r="BG1197" s="1399"/>
      <c r="BH1197" s="1399"/>
      <c r="BI1197" s="1399"/>
      <c r="BJ1197" s="1399"/>
      <c r="BK1197" s="1399"/>
      <c r="BL1197" s="1399"/>
      <c r="BM1197" s="1399"/>
      <c r="BN1197" s="1399"/>
      <c r="BO1197" s="1399"/>
      <c r="BP1197" s="1399"/>
      <c r="BQ1197" s="1399"/>
      <c r="BR1197" s="1399"/>
      <c r="BS1197" s="1399"/>
      <c r="BT1197" s="1399"/>
      <c r="BU1197" s="1399"/>
      <c r="BV1197" s="1399"/>
      <c r="BW1197" s="1399"/>
      <c r="BX1197" s="1399"/>
      <c r="BY1197" s="1399"/>
      <c r="BZ1197" s="1399"/>
      <c r="CA1197" s="1399"/>
      <c r="CB1197" s="1399"/>
      <c r="CC1197" s="1399"/>
      <c r="CD1197" s="1399"/>
      <c r="CE1197" s="1399"/>
      <c r="CF1197" s="1399"/>
      <c r="CG1197" s="1399"/>
      <c r="CH1197" s="1399"/>
      <c r="CI1197" s="1399"/>
      <c r="CJ1197" s="1399"/>
      <c r="CK1197" s="1399"/>
      <c r="CL1197" s="1399"/>
      <c r="CM1197" s="1399"/>
      <c r="CN1197" s="1399"/>
      <c r="CO1197" s="1399"/>
      <c r="CP1197" s="1399"/>
      <c r="CQ1197" s="1399"/>
      <c r="CR1197" s="1399"/>
      <c r="CS1197" s="1399"/>
      <c r="CT1197" s="1399"/>
      <c r="CU1197" s="1399"/>
      <c r="CV1197" s="1399"/>
      <c r="CW1197" s="1399"/>
      <c r="CX1197" s="1399"/>
      <c r="CY1197" s="1399"/>
      <c r="CZ1197" s="1399"/>
      <c r="DA1197" s="1399"/>
      <c r="DB1197" s="1399"/>
      <c r="DC1197" s="1399"/>
      <c r="DD1197" s="1399"/>
      <c r="DE1197" s="1399"/>
      <c r="DF1197" s="1399"/>
      <c r="DG1197" s="1399"/>
      <c r="DH1197" s="1399"/>
      <c r="DI1197" s="1399"/>
      <c r="DJ1197" s="1399"/>
      <c r="DK1197" s="1399"/>
      <c r="DL1197" s="1399"/>
      <c r="DM1197" s="1399"/>
      <c r="DN1197" s="1399"/>
      <c r="DO1197" s="1399"/>
      <c r="DP1197" s="1399"/>
      <c r="DQ1197" s="1399"/>
      <c r="DR1197" s="1399"/>
      <c r="DS1197" s="1399"/>
      <c r="DT1197" s="1399"/>
      <c r="DU1197" s="1399"/>
    </row>
    <row r="1198" spans="1:125">
      <c r="A1198" s="1414"/>
      <c r="B1198" s="1414"/>
      <c r="C1198" s="1414"/>
      <c r="D1198" s="1414"/>
      <c r="E1198" s="1414"/>
      <c r="F1198" s="1414"/>
      <c r="G1198" s="1414"/>
      <c r="H1198" s="1414"/>
      <c r="I1198" s="1414"/>
      <c r="J1198" s="1414"/>
      <c r="K1198" s="1414"/>
      <c r="L1198" s="1414"/>
      <c r="M1198" s="1414"/>
      <c r="N1198" s="1414"/>
      <c r="O1198" s="1414"/>
      <c r="P1198" s="1414"/>
      <c r="Q1198" s="1414"/>
      <c r="R1198" s="1414"/>
      <c r="S1198" s="1414"/>
      <c r="T1198" s="1414"/>
      <c r="U1198" s="1414"/>
      <c r="V1198" s="1414"/>
      <c r="W1198" s="1414"/>
      <c r="X1198" s="1414"/>
      <c r="Y1198" s="1414"/>
      <c r="Z1198" s="1414"/>
      <c r="AA1198" s="1414"/>
      <c r="AB1198" s="1414"/>
      <c r="AC1198" s="1414"/>
      <c r="AD1198" s="1414"/>
      <c r="AE1198" s="1414"/>
      <c r="AF1198" s="1414"/>
      <c r="AG1198" s="1414"/>
      <c r="AH1198" s="1414"/>
      <c r="AI1198" s="1414"/>
      <c r="AJ1198" s="1414"/>
      <c r="AK1198" s="1414"/>
      <c r="AL1198" s="1414"/>
      <c r="AM1198" s="1414"/>
      <c r="AN1198" s="1414"/>
      <c r="AO1198" s="1414"/>
      <c r="AP1198" s="1414"/>
      <c r="AQ1198" s="1414"/>
      <c r="AR1198" s="1414"/>
      <c r="AS1198" s="1414"/>
      <c r="AT1198" s="1414"/>
      <c r="AU1198" s="1414"/>
      <c r="AV1198" s="1414"/>
      <c r="AW1198" s="1414"/>
      <c r="AX1198" s="1414"/>
      <c r="AY1198" s="1399"/>
      <c r="AZ1198" s="1399"/>
      <c r="BA1198" s="1399"/>
      <c r="BB1198" s="1399"/>
      <c r="BC1198" s="1399"/>
      <c r="BD1198" s="1399"/>
      <c r="BE1198" s="1414"/>
      <c r="BF1198" s="1399"/>
      <c r="BG1198" s="1399"/>
      <c r="BH1198" s="1399"/>
      <c r="BI1198" s="1399"/>
      <c r="BJ1198" s="1399"/>
      <c r="BK1198" s="1399"/>
      <c r="BL1198" s="1399"/>
      <c r="BM1198" s="1399"/>
      <c r="BN1198" s="1399"/>
      <c r="BO1198" s="1399"/>
      <c r="BP1198" s="1399"/>
      <c r="BQ1198" s="1399"/>
      <c r="BR1198" s="1399"/>
      <c r="BS1198" s="1399"/>
      <c r="BT1198" s="1399"/>
      <c r="BU1198" s="1399"/>
      <c r="BV1198" s="1399"/>
      <c r="BW1198" s="1399"/>
      <c r="BX1198" s="1399"/>
      <c r="BY1198" s="1399"/>
      <c r="BZ1198" s="1399"/>
      <c r="CA1198" s="1399"/>
      <c r="CB1198" s="1399"/>
      <c r="CC1198" s="1399"/>
      <c r="CD1198" s="1399"/>
      <c r="CE1198" s="1399"/>
      <c r="CF1198" s="1399"/>
      <c r="CG1198" s="1399"/>
      <c r="CH1198" s="1399"/>
      <c r="CI1198" s="1399"/>
      <c r="CJ1198" s="1399"/>
      <c r="CK1198" s="1399"/>
      <c r="CL1198" s="1399"/>
      <c r="CM1198" s="1399"/>
      <c r="CN1198" s="1399"/>
      <c r="CO1198" s="1399"/>
      <c r="CP1198" s="1399"/>
      <c r="CQ1198" s="1399"/>
      <c r="CR1198" s="1399"/>
      <c r="CS1198" s="1399"/>
      <c r="CT1198" s="1399"/>
      <c r="CU1198" s="1399"/>
      <c r="CV1198" s="1399"/>
      <c r="CW1198" s="1399"/>
      <c r="CX1198" s="1399"/>
      <c r="CY1198" s="1399"/>
      <c r="CZ1198" s="1399"/>
      <c r="DA1198" s="1399"/>
      <c r="DB1198" s="1399"/>
      <c r="DC1198" s="1399"/>
      <c r="DD1198" s="1399"/>
      <c r="DE1198" s="1399"/>
      <c r="DF1198" s="1399"/>
      <c r="DG1198" s="1399"/>
      <c r="DH1198" s="1399"/>
      <c r="DI1198" s="1399"/>
      <c r="DJ1198" s="1399"/>
      <c r="DK1198" s="1399"/>
      <c r="DL1198" s="1399"/>
      <c r="DM1198" s="1399"/>
      <c r="DN1198" s="1399"/>
      <c r="DO1198" s="1399"/>
      <c r="DP1198" s="1399"/>
      <c r="DQ1198" s="1399"/>
      <c r="DR1198" s="1399"/>
      <c r="DS1198" s="1399"/>
      <c r="DT1198" s="1399"/>
      <c r="DU1198" s="1399"/>
    </row>
    <row r="1199" spans="1:125">
      <c r="A1199" s="1414"/>
      <c r="B1199" s="1414"/>
      <c r="C1199" s="1414"/>
      <c r="D1199" s="1414"/>
      <c r="E1199" s="1414"/>
      <c r="F1199" s="1414"/>
      <c r="G1199" s="1414"/>
      <c r="H1199" s="1414"/>
      <c r="I1199" s="1414"/>
      <c r="J1199" s="1414"/>
      <c r="K1199" s="1414"/>
      <c r="L1199" s="1414"/>
      <c r="M1199" s="1414"/>
      <c r="N1199" s="1414"/>
      <c r="O1199" s="1414"/>
      <c r="P1199" s="1414"/>
      <c r="Q1199" s="1414"/>
      <c r="R1199" s="1414"/>
      <c r="S1199" s="1414"/>
      <c r="T1199" s="1414"/>
      <c r="U1199" s="1414"/>
      <c r="V1199" s="1414"/>
      <c r="W1199" s="1414"/>
      <c r="X1199" s="1414"/>
      <c r="Y1199" s="1414"/>
      <c r="Z1199" s="1414"/>
      <c r="AA1199" s="1414"/>
      <c r="AB1199" s="1414"/>
      <c r="AC1199" s="1414"/>
      <c r="AD1199" s="1414"/>
      <c r="AE1199" s="1414"/>
      <c r="AF1199" s="1414"/>
      <c r="AG1199" s="1414"/>
      <c r="AH1199" s="1414"/>
      <c r="AI1199" s="1414"/>
      <c r="AJ1199" s="1414"/>
      <c r="AK1199" s="1414"/>
      <c r="AL1199" s="1414"/>
      <c r="AM1199" s="1414"/>
      <c r="AN1199" s="1414"/>
      <c r="AO1199" s="1414"/>
      <c r="AP1199" s="1414"/>
      <c r="AQ1199" s="1414"/>
      <c r="AR1199" s="1414"/>
      <c r="AS1199" s="1414"/>
      <c r="AT1199" s="1414"/>
      <c r="AU1199" s="1414"/>
      <c r="AV1199" s="1414"/>
      <c r="AW1199" s="1414"/>
      <c r="AX1199" s="1414"/>
      <c r="AY1199" s="1399"/>
      <c r="AZ1199" s="1399"/>
      <c r="BA1199" s="1399"/>
      <c r="BB1199" s="1399"/>
      <c r="BC1199" s="1399"/>
      <c r="BD1199" s="1399"/>
      <c r="BE1199" s="1414"/>
      <c r="BF1199" s="1399"/>
      <c r="BG1199" s="1399"/>
      <c r="BH1199" s="1399"/>
      <c r="BI1199" s="1399"/>
      <c r="BJ1199" s="1399"/>
      <c r="BK1199" s="1399"/>
      <c r="BL1199" s="1399"/>
      <c r="BM1199" s="1399"/>
      <c r="BN1199" s="1399"/>
      <c r="BO1199" s="1399"/>
      <c r="BP1199" s="1399"/>
      <c r="BQ1199" s="1399"/>
      <c r="BR1199" s="1399"/>
      <c r="BS1199" s="1399"/>
      <c r="BT1199" s="1399"/>
      <c r="BU1199" s="1399"/>
      <c r="BV1199" s="1399"/>
      <c r="BW1199" s="1399"/>
      <c r="BX1199" s="1399"/>
      <c r="BY1199" s="1399"/>
      <c r="BZ1199" s="1399"/>
      <c r="CA1199" s="1399"/>
      <c r="CB1199" s="1399"/>
      <c r="CC1199" s="1399"/>
      <c r="CD1199" s="1399"/>
      <c r="CE1199" s="1399"/>
      <c r="CF1199" s="1399"/>
      <c r="CG1199" s="1399"/>
      <c r="CH1199" s="1399"/>
      <c r="CI1199" s="1399"/>
      <c r="CJ1199" s="1399"/>
      <c r="CK1199" s="1399"/>
      <c r="CL1199" s="1399"/>
      <c r="CM1199" s="1399"/>
      <c r="CN1199" s="1399"/>
      <c r="CO1199" s="1399"/>
      <c r="CP1199" s="1399"/>
      <c r="CQ1199" s="1399"/>
      <c r="CR1199" s="1399"/>
      <c r="CS1199" s="1399"/>
      <c r="CT1199" s="1399"/>
      <c r="CU1199" s="1399"/>
      <c r="CV1199" s="1399"/>
      <c r="CW1199" s="1399"/>
      <c r="CX1199" s="1399"/>
      <c r="CY1199" s="1399"/>
      <c r="CZ1199" s="1399"/>
      <c r="DA1199" s="1399"/>
      <c r="DB1199" s="1399"/>
      <c r="DC1199" s="1399"/>
      <c r="DD1199" s="1399"/>
      <c r="DE1199" s="1399"/>
      <c r="DF1199" s="1399"/>
      <c r="DG1199" s="1399"/>
      <c r="DH1199" s="1399"/>
      <c r="DI1199" s="1399"/>
      <c r="DJ1199" s="1399"/>
      <c r="DK1199" s="1399"/>
      <c r="DL1199" s="1399"/>
      <c r="DM1199" s="1399"/>
      <c r="DN1199" s="1399"/>
      <c r="DO1199" s="1399"/>
      <c r="DP1199" s="1399"/>
      <c r="DQ1199" s="1399"/>
      <c r="DR1199" s="1399"/>
      <c r="DS1199" s="1399"/>
      <c r="DT1199" s="1399"/>
      <c r="DU1199" s="1399"/>
    </row>
    <row r="1200" spans="1:125">
      <c r="A1200" s="1414"/>
      <c r="B1200" s="1414"/>
      <c r="C1200" s="1414"/>
      <c r="D1200" s="1414"/>
      <c r="E1200" s="1414"/>
      <c r="F1200" s="1414"/>
      <c r="G1200" s="1414"/>
      <c r="H1200" s="1414"/>
      <c r="I1200" s="1414"/>
      <c r="J1200" s="1414"/>
      <c r="K1200" s="1414"/>
      <c r="L1200" s="1414"/>
      <c r="M1200" s="1414"/>
      <c r="N1200" s="1414"/>
      <c r="O1200" s="1414"/>
      <c r="P1200" s="1414"/>
      <c r="Q1200" s="1414"/>
      <c r="R1200" s="1414"/>
      <c r="S1200" s="1414"/>
      <c r="T1200" s="1414"/>
      <c r="U1200" s="1414"/>
      <c r="V1200" s="1414"/>
      <c r="W1200" s="1414"/>
      <c r="X1200" s="1414"/>
      <c r="Y1200" s="1414"/>
      <c r="Z1200" s="1414"/>
      <c r="AA1200" s="1414"/>
      <c r="AB1200" s="1414"/>
      <c r="AC1200" s="1414"/>
      <c r="AD1200" s="1414"/>
      <c r="AE1200" s="1414"/>
      <c r="AF1200" s="1414"/>
      <c r="AG1200" s="1414"/>
      <c r="AH1200" s="1414"/>
      <c r="AI1200" s="1414"/>
      <c r="AJ1200" s="1414"/>
      <c r="AK1200" s="1414"/>
      <c r="AL1200" s="1414"/>
      <c r="AM1200" s="1414"/>
      <c r="AN1200" s="1414"/>
      <c r="AO1200" s="1414"/>
      <c r="AP1200" s="1414"/>
      <c r="AQ1200" s="1414"/>
      <c r="AR1200" s="1414"/>
      <c r="AS1200" s="1414"/>
      <c r="AT1200" s="1414"/>
      <c r="AU1200" s="1414"/>
      <c r="AV1200" s="1414"/>
      <c r="AW1200" s="1414"/>
      <c r="AX1200" s="1414"/>
      <c r="AY1200" s="1399"/>
      <c r="AZ1200" s="1399"/>
      <c r="BA1200" s="1399"/>
      <c r="BB1200" s="1399"/>
      <c r="BC1200" s="1399"/>
      <c r="BD1200" s="1399"/>
      <c r="BE1200" s="1414"/>
      <c r="BF1200" s="1399"/>
      <c r="BG1200" s="1399"/>
      <c r="BH1200" s="1399"/>
      <c r="BI1200" s="1399"/>
      <c r="BJ1200" s="1399"/>
      <c r="BK1200" s="1399"/>
      <c r="BL1200" s="1399"/>
      <c r="BM1200" s="1399"/>
      <c r="BN1200" s="1399"/>
      <c r="BO1200" s="1399"/>
      <c r="BP1200" s="1399"/>
      <c r="BQ1200" s="1399"/>
      <c r="BR1200" s="1399"/>
      <c r="BS1200" s="1399"/>
      <c r="BT1200" s="1399"/>
      <c r="BU1200" s="1399"/>
      <c r="BV1200" s="1399"/>
      <c r="BW1200" s="1399"/>
      <c r="BX1200" s="1399"/>
      <c r="BY1200" s="1399"/>
      <c r="BZ1200" s="1399"/>
      <c r="CA1200" s="1399"/>
      <c r="CB1200" s="1399"/>
      <c r="CC1200" s="1399"/>
      <c r="CD1200" s="1399"/>
      <c r="CE1200" s="1399"/>
      <c r="CF1200" s="1399"/>
      <c r="CG1200" s="1399"/>
      <c r="CH1200" s="1399"/>
      <c r="CI1200" s="1399"/>
      <c r="CJ1200" s="1399"/>
      <c r="CK1200" s="1399"/>
      <c r="CL1200" s="1399"/>
      <c r="CM1200" s="1399"/>
      <c r="CN1200" s="1399"/>
      <c r="CO1200" s="1399"/>
      <c r="CP1200" s="1399"/>
      <c r="CQ1200" s="1399"/>
      <c r="CR1200" s="1399"/>
      <c r="CS1200" s="1399"/>
      <c r="CT1200" s="1399"/>
      <c r="CU1200" s="1399"/>
      <c r="CV1200" s="1399"/>
      <c r="CW1200" s="1399"/>
      <c r="CX1200" s="1399"/>
      <c r="CY1200" s="1399"/>
      <c r="CZ1200" s="1399"/>
      <c r="DA1200" s="1399"/>
      <c r="DB1200" s="1399"/>
      <c r="DC1200" s="1399"/>
      <c r="DD1200" s="1399"/>
      <c r="DE1200" s="1399"/>
      <c r="DF1200" s="1399"/>
      <c r="DG1200" s="1399"/>
      <c r="DH1200" s="1399"/>
      <c r="DI1200" s="1399"/>
      <c r="DJ1200" s="1399"/>
      <c r="DK1200" s="1399"/>
      <c r="DL1200" s="1399"/>
      <c r="DM1200" s="1399"/>
      <c r="DN1200" s="1399"/>
      <c r="DO1200" s="1399"/>
      <c r="DP1200" s="1399"/>
      <c r="DQ1200" s="1399"/>
      <c r="DR1200" s="1399"/>
      <c r="DS1200" s="1399"/>
      <c r="DT1200" s="1399"/>
      <c r="DU1200" s="1399"/>
    </row>
    <row r="1201" spans="1:125">
      <c r="A1201" s="1414"/>
      <c r="B1201" s="1414"/>
      <c r="C1201" s="1414"/>
      <c r="D1201" s="1414"/>
      <c r="E1201" s="1414"/>
      <c r="F1201" s="1414"/>
      <c r="G1201" s="1414"/>
      <c r="H1201" s="1414"/>
      <c r="I1201" s="1414"/>
      <c r="J1201" s="1414"/>
      <c r="K1201" s="1414"/>
      <c r="L1201" s="1414"/>
      <c r="M1201" s="1414"/>
      <c r="N1201" s="1414"/>
      <c r="O1201" s="1414"/>
      <c r="P1201" s="1414"/>
      <c r="Q1201" s="1414"/>
      <c r="R1201" s="1414"/>
      <c r="S1201" s="1414"/>
      <c r="T1201" s="1414"/>
      <c r="U1201" s="1414"/>
      <c r="V1201" s="1414"/>
      <c r="W1201" s="1414"/>
      <c r="X1201" s="1414"/>
      <c r="Y1201" s="1414"/>
      <c r="Z1201" s="1414"/>
      <c r="AA1201" s="1414"/>
      <c r="AB1201" s="1414"/>
      <c r="AC1201" s="1414"/>
      <c r="AD1201" s="1414"/>
      <c r="AE1201" s="1414"/>
      <c r="AF1201" s="1414"/>
      <c r="AG1201" s="1414"/>
      <c r="AH1201" s="1414"/>
      <c r="AI1201" s="1414"/>
      <c r="AJ1201" s="1414"/>
      <c r="AK1201" s="1414"/>
      <c r="AL1201" s="1414"/>
      <c r="AM1201" s="1414"/>
      <c r="AN1201" s="1414"/>
      <c r="AO1201" s="1414"/>
      <c r="AP1201" s="1414"/>
      <c r="AQ1201" s="1414"/>
      <c r="AR1201" s="1414"/>
      <c r="AS1201" s="1414"/>
      <c r="AT1201" s="1414"/>
      <c r="AU1201" s="1414"/>
      <c r="AV1201" s="1414"/>
      <c r="AW1201" s="1414"/>
      <c r="AX1201" s="1414"/>
      <c r="AY1201" s="1399"/>
      <c r="AZ1201" s="1399"/>
      <c r="BA1201" s="1399"/>
      <c r="BB1201" s="1399"/>
      <c r="BC1201" s="1399"/>
      <c r="BD1201" s="1399"/>
      <c r="BE1201" s="1414"/>
      <c r="BF1201" s="1399"/>
      <c r="BG1201" s="1399"/>
      <c r="BH1201" s="1399"/>
      <c r="BI1201" s="1399"/>
      <c r="BJ1201" s="1399"/>
      <c r="BK1201" s="1399"/>
      <c r="BL1201" s="1399"/>
      <c r="BM1201" s="1399"/>
      <c r="BN1201" s="1399"/>
      <c r="BO1201" s="1399"/>
      <c r="BP1201" s="1399"/>
      <c r="BQ1201" s="1399"/>
      <c r="BR1201" s="1399"/>
      <c r="BS1201" s="1399"/>
      <c r="BT1201" s="1399"/>
      <c r="BU1201" s="1399"/>
      <c r="BV1201" s="1399"/>
      <c r="BW1201" s="1399"/>
      <c r="BX1201" s="1399"/>
      <c r="BY1201" s="1399"/>
      <c r="BZ1201" s="1399"/>
      <c r="CA1201" s="1399"/>
      <c r="CB1201" s="1399"/>
      <c r="CC1201" s="1399"/>
      <c r="CD1201" s="1399"/>
      <c r="CE1201" s="1399"/>
      <c r="CF1201" s="1399"/>
      <c r="CG1201" s="1399"/>
      <c r="CH1201" s="1399"/>
      <c r="CI1201" s="1399"/>
      <c r="CJ1201" s="1399"/>
      <c r="CK1201" s="1399"/>
      <c r="CL1201" s="1399"/>
      <c r="CM1201" s="1399"/>
      <c r="CN1201" s="1399"/>
      <c r="CO1201" s="1399"/>
      <c r="CP1201" s="1399"/>
      <c r="CQ1201" s="1399"/>
      <c r="CR1201" s="1399"/>
      <c r="CS1201" s="1399"/>
      <c r="CT1201" s="1399"/>
      <c r="CU1201" s="1399"/>
      <c r="CV1201" s="1399"/>
      <c r="CW1201" s="1399"/>
      <c r="CX1201" s="1399"/>
      <c r="CY1201" s="1399"/>
      <c r="CZ1201" s="1399"/>
      <c r="DA1201" s="1399"/>
      <c r="DB1201" s="1399"/>
      <c r="DC1201" s="1399"/>
      <c r="DD1201" s="1399"/>
      <c r="DE1201" s="1399"/>
      <c r="DF1201" s="1399"/>
      <c r="DG1201" s="1399"/>
      <c r="DH1201" s="1399"/>
      <c r="DI1201" s="1399"/>
      <c r="DJ1201" s="1399"/>
      <c r="DK1201" s="1399"/>
      <c r="DL1201" s="1399"/>
      <c r="DM1201" s="1399"/>
      <c r="DN1201" s="1399"/>
      <c r="DO1201" s="1399"/>
      <c r="DP1201" s="1399"/>
      <c r="DQ1201" s="1399"/>
      <c r="DR1201" s="1399"/>
      <c r="DS1201" s="1399"/>
      <c r="DT1201" s="1399"/>
      <c r="DU1201" s="1399"/>
    </row>
    <row r="1202" spans="1:125">
      <c r="A1202" s="1414"/>
      <c r="B1202" s="1414"/>
      <c r="C1202" s="1414"/>
      <c r="D1202" s="1414"/>
      <c r="E1202" s="1414"/>
      <c r="F1202" s="1414"/>
      <c r="G1202" s="1414"/>
      <c r="H1202" s="1414"/>
      <c r="I1202" s="1414"/>
      <c r="J1202" s="1414"/>
      <c r="K1202" s="1414"/>
      <c r="L1202" s="1414"/>
      <c r="M1202" s="1414"/>
      <c r="N1202" s="1414"/>
      <c r="O1202" s="1414"/>
      <c r="P1202" s="1414"/>
      <c r="Q1202" s="1414"/>
      <c r="R1202" s="1414"/>
      <c r="S1202" s="1414"/>
      <c r="T1202" s="1414"/>
      <c r="U1202" s="1414"/>
      <c r="V1202" s="1414"/>
      <c r="W1202" s="1414"/>
      <c r="X1202" s="1414"/>
      <c r="Y1202" s="1414"/>
      <c r="Z1202" s="1414"/>
      <c r="AA1202" s="1414"/>
      <c r="AB1202" s="1414"/>
      <c r="AC1202" s="1414"/>
      <c r="AD1202" s="1414"/>
      <c r="AE1202" s="1414"/>
      <c r="AF1202" s="1414"/>
      <c r="AG1202" s="1414"/>
      <c r="AH1202" s="1414"/>
      <c r="AI1202" s="1414"/>
      <c r="AJ1202" s="1414"/>
      <c r="AK1202" s="1414"/>
      <c r="AL1202" s="1414"/>
      <c r="AM1202" s="1414"/>
      <c r="AN1202" s="1414"/>
      <c r="AO1202" s="1414"/>
      <c r="AP1202" s="1414"/>
      <c r="AQ1202" s="1414"/>
      <c r="AR1202" s="1414"/>
      <c r="AS1202" s="1414"/>
      <c r="AT1202" s="1414"/>
      <c r="AU1202" s="1414"/>
      <c r="AV1202" s="1414"/>
      <c r="AW1202" s="1414"/>
      <c r="AX1202" s="1414"/>
      <c r="AY1202" s="1399"/>
      <c r="AZ1202" s="1399"/>
      <c r="BA1202" s="1399"/>
      <c r="BB1202" s="1399"/>
      <c r="BC1202" s="1399"/>
      <c r="BD1202" s="1399"/>
      <c r="BE1202" s="1414"/>
      <c r="BF1202" s="1399"/>
      <c r="BG1202" s="1399"/>
      <c r="BH1202" s="1399"/>
      <c r="BI1202" s="1399"/>
      <c r="BJ1202" s="1399"/>
      <c r="BK1202" s="1399"/>
      <c r="BL1202" s="1399"/>
      <c r="BM1202" s="1399"/>
      <c r="BN1202" s="1399"/>
      <c r="BO1202" s="1399"/>
      <c r="BP1202" s="1399"/>
      <c r="BQ1202" s="1399"/>
      <c r="BR1202" s="1399"/>
      <c r="BS1202" s="1399"/>
      <c r="BT1202" s="1399"/>
      <c r="BU1202" s="1399"/>
      <c r="BV1202" s="1399"/>
      <c r="BW1202" s="1399"/>
      <c r="BX1202" s="1399"/>
      <c r="BY1202" s="1399"/>
      <c r="BZ1202" s="1399"/>
      <c r="CA1202" s="1399"/>
      <c r="CB1202" s="1399"/>
      <c r="CC1202" s="1399"/>
      <c r="CD1202" s="1399"/>
      <c r="CE1202" s="1399"/>
      <c r="CF1202" s="1399"/>
      <c r="CG1202" s="1399"/>
      <c r="CH1202" s="1399"/>
      <c r="CI1202" s="1399"/>
      <c r="CJ1202" s="1399"/>
      <c r="CK1202" s="1399"/>
      <c r="CL1202" s="1399"/>
      <c r="CM1202" s="1399"/>
      <c r="CN1202" s="1399"/>
      <c r="CO1202" s="1399"/>
      <c r="CP1202" s="1399"/>
      <c r="CQ1202" s="1399"/>
      <c r="CR1202" s="1399"/>
      <c r="CS1202" s="1399"/>
      <c r="CT1202" s="1399"/>
      <c r="CU1202" s="1399"/>
      <c r="CV1202" s="1399"/>
      <c r="CW1202" s="1399"/>
      <c r="CX1202" s="1399"/>
      <c r="CY1202" s="1399"/>
      <c r="CZ1202" s="1399"/>
      <c r="DA1202" s="1399"/>
      <c r="DB1202" s="1399"/>
      <c r="DC1202" s="1399"/>
      <c r="DD1202" s="1399"/>
      <c r="DE1202" s="1399"/>
      <c r="DF1202" s="1399"/>
      <c r="DG1202" s="1399"/>
      <c r="DH1202" s="1399"/>
      <c r="DI1202" s="1399"/>
      <c r="DJ1202" s="1399"/>
      <c r="DK1202" s="1399"/>
      <c r="DL1202" s="1399"/>
      <c r="DM1202" s="1399"/>
      <c r="DN1202" s="1399"/>
      <c r="DO1202" s="1399"/>
      <c r="DP1202" s="1399"/>
      <c r="DQ1202" s="1399"/>
      <c r="DR1202" s="1399"/>
      <c r="DS1202" s="1399"/>
      <c r="DT1202" s="1399"/>
      <c r="DU1202" s="1399"/>
    </row>
    <row r="1203" spans="1:125">
      <c r="A1203" s="1414"/>
      <c r="B1203" s="1414"/>
      <c r="C1203" s="1414"/>
      <c r="D1203" s="1414"/>
      <c r="E1203" s="1414"/>
      <c r="F1203" s="1414"/>
      <c r="G1203" s="1414"/>
      <c r="H1203" s="1414"/>
      <c r="I1203" s="1414"/>
      <c r="J1203" s="1414"/>
      <c r="K1203" s="1414"/>
      <c r="L1203" s="1414"/>
      <c r="M1203" s="1414"/>
      <c r="N1203" s="1414"/>
      <c r="O1203" s="1414"/>
      <c r="P1203" s="1414"/>
      <c r="Q1203" s="1414"/>
      <c r="R1203" s="1414"/>
      <c r="S1203" s="1414"/>
      <c r="T1203" s="1414"/>
      <c r="U1203" s="1414"/>
      <c r="V1203" s="1414"/>
      <c r="W1203" s="1414"/>
      <c r="X1203" s="1414"/>
      <c r="Y1203" s="1414"/>
      <c r="Z1203" s="1414"/>
      <c r="AA1203" s="1414"/>
      <c r="AB1203" s="1414"/>
      <c r="AC1203" s="1414"/>
      <c r="AD1203" s="1414"/>
      <c r="AE1203" s="1414"/>
      <c r="AF1203" s="1414"/>
      <c r="AG1203" s="1414"/>
      <c r="AH1203" s="1414"/>
      <c r="AI1203" s="1414"/>
      <c r="AJ1203" s="1414"/>
      <c r="AK1203" s="1414"/>
      <c r="AL1203" s="1414"/>
      <c r="AM1203" s="1414"/>
      <c r="AN1203" s="1414"/>
      <c r="AO1203" s="1414"/>
      <c r="AP1203" s="1414"/>
      <c r="AQ1203" s="1414"/>
      <c r="AR1203" s="1414"/>
      <c r="AS1203" s="1414"/>
      <c r="AT1203" s="1414"/>
      <c r="AU1203" s="1414"/>
      <c r="AV1203" s="1414"/>
      <c r="AW1203" s="1414"/>
      <c r="AX1203" s="1414"/>
      <c r="AY1203" s="1399"/>
      <c r="AZ1203" s="1399"/>
      <c r="BA1203" s="1399"/>
      <c r="BB1203" s="1399"/>
      <c r="BC1203" s="1399"/>
      <c r="BD1203" s="1399"/>
      <c r="BE1203" s="1414"/>
      <c r="BF1203" s="1399"/>
      <c r="BG1203" s="1399"/>
      <c r="BH1203" s="1399"/>
      <c r="BI1203" s="1399"/>
      <c r="BJ1203" s="1399"/>
      <c r="BK1203" s="1399"/>
      <c r="BL1203" s="1399"/>
      <c r="BM1203" s="1399"/>
      <c r="BN1203" s="1399"/>
      <c r="BO1203" s="1399"/>
      <c r="BP1203" s="1399"/>
      <c r="BQ1203" s="1399"/>
      <c r="BR1203" s="1399"/>
      <c r="BS1203" s="1399"/>
      <c r="BT1203" s="1399"/>
      <c r="BU1203" s="1399"/>
      <c r="BV1203" s="1399"/>
      <c r="BW1203" s="1399"/>
      <c r="BX1203" s="1399"/>
      <c r="BY1203" s="1399"/>
      <c r="BZ1203" s="1399"/>
      <c r="CA1203" s="1399"/>
      <c r="CB1203" s="1399"/>
      <c r="CC1203" s="1399"/>
      <c r="CD1203" s="1399"/>
      <c r="CE1203" s="1399"/>
      <c r="CF1203" s="1399"/>
      <c r="CG1203" s="1399"/>
      <c r="CH1203" s="1399"/>
      <c r="CI1203" s="1399"/>
      <c r="CJ1203" s="1399"/>
      <c r="CK1203" s="1399"/>
      <c r="CL1203" s="1399"/>
      <c r="CM1203" s="1399"/>
      <c r="CN1203" s="1399"/>
      <c r="CO1203" s="1399"/>
      <c r="CP1203" s="1399"/>
      <c r="CQ1203" s="1399"/>
      <c r="CR1203" s="1399"/>
      <c r="CS1203" s="1399"/>
      <c r="CT1203" s="1399"/>
      <c r="CU1203" s="1399"/>
      <c r="CV1203" s="1399"/>
      <c r="CW1203" s="1399"/>
      <c r="CX1203" s="1399"/>
      <c r="CY1203" s="1399"/>
      <c r="CZ1203" s="1399"/>
      <c r="DA1203" s="1399"/>
      <c r="DB1203" s="1399"/>
      <c r="DC1203" s="1399"/>
      <c r="DD1203" s="1399"/>
      <c r="DE1203" s="1399"/>
      <c r="DF1203" s="1399"/>
      <c r="DG1203" s="1399"/>
      <c r="DH1203" s="1399"/>
      <c r="DI1203" s="1399"/>
      <c r="DJ1203" s="1399"/>
      <c r="DK1203" s="1399"/>
      <c r="DL1203" s="1399"/>
      <c r="DM1203" s="1399"/>
      <c r="DN1203" s="1399"/>
      <c r="DO1203" s="1399"/>
      <c r="DP1203" s="1399"/>
      <c r="DQ1203" s="1399"/>
      <c r="DR1203" s="1399"/>
      <c r="DS1203" s="1399"/>
      <c r="DT1203" s="1399"/>
      <c r="DU1203" s="1399"/>
    </row>
    <row r="1204" spans="1:125">
      <c r="A1204" s="1414"/>
      <c r="B1204" s="1414"/>
      <c r="C1204" s="1414"/>
      <c r="D1204" s="1414"/>
      <c r="E1204" s="1414"/>
      <c r="F1204" s="1414"/>
      <c r="G1204" s="1414"/>
      <c r="H1204" s="1414"/>
      <c r="I1204" s="1414"/>
      <c r="J1204" s="1414"/>
      <c r="K1204" s="1414"/>
      <c r="L1204" s="1414"/>
      <c r="M1204" s="1414"/>
      <c r="N1204" s="1414"/>
      <c r="O1204" s="1414"/>
      <c r="P1204" s="1414"/>
      <c r="Q1204" s="1414"/>
      <c r="R1204" s="1414"/>
      <c r="S1204" s="1414"/>
      <c r="T1204" s="1414"/>
      <c r="U1204" s="1414"/>
      <c r="V1204" s="1414"/>
      <c r="W1204" s="1414"/>
      <c r="X1204" s="1414"/>
      <c r="Y1204" s="1414"/>
      <c r="Z1204" s="1414"/>
      <c r="AA1204" s="1414"/>
      <c r="AB1204" s="1414"/>
      <c r="AC1204" s="1414"/>
      <c r="AD1204" s="1414"/>
      <c r="AE1204" s="1414"/>
      <c r="AF1204" s="1414"/>
      <c r="AG1204" s="1414"/>
      <c r="AH1204" s="1414"/>
      <c r="AI1204" s="1414"/>
      <c r="AJ1204" s="1414"/>
      <c r="AK1204" s="1414"/>
      <c r="AL1204" s="1414"/>
      <c r="AM1204" s="1414"/>
      <c r="AN1204" s="1414"/>
      <c r="AO1204" s="1414"/>
      <c r="AP1204" s="1414"/>
      <c r="AQ1204" s="1414"/>
      <c r="AR1204" s="1414"/>
      <c r="AS1204" s="1414"/>
      <c r="AT1204" s="1414"/>
      <c r="AU1204" s="1414"/>
      <c r="AV1204" s="1414"/>
      <c r="AW1204" s="1414"/>
      <c r="AX1204" s="1414"/>
      <c r="AY1204" s="1399"/>
      <c r="AZ1204" s="1399"/>
      <c r="BA1204" s="1399"/>
      <c r="BB1204" s="1399"/>
      <c r="BC1204" s="1399"/>
      <c r="BD1204" s="1399"/>
      <c r="BE1204" s="1414"/>
      <c r="BF1204" s="1399"/>
      <c r="BG1204" s="1399"/>
      <c r="BH1204" s="1399"/>
      <c r="BI1204" s="1399"/>
      <c r="BJ1204" s="1399"/>
      <c r="BK1204" s="1399"/>
      <c r="BL1204" s="1399"/>
      <c r="BM1204" s="1399"/>
      <c r="BN1204" s="1399"/>
      <c r="BO1204" s="1399"/>
      <c r="BP1204" s="1399"/>
      <c r="BQ1204" s="1399"/>
      <c r="BR1204" s="1399"/>
      <c r="BS1204" s="1399"/>
      <c r="BT1204" s="1399"/>
      <c r="BU1204" s="1399"/>
      <c r="BV1204" s="1399"/>
      <c r="BW1204" s="1399"/>
      <c r="BX1204" s="1399"/>
      <c r="BY1204" s="1399"/>
      <c r="BZ1204" s="1399"/>
      <c r="CA1204" s="1399"/>
      <c r="CB1204" s="1399"/>
      <c r="CC1204" s="1399"/>
      <c r="CD1204" s="1399"/>
      <c r="CE1204" s="1399"/>
      <c r="CF1204" s="1399"/>
      <c r="CG1204" s="1399"/>
      <c r="CH1204" s="1399"/>
      <c r="CI1204" s="1399"/>
      <c r="CJ1204" s="1399"/>
      <c r="CK1204" s="1399"/>
      <c r="CL1204" s="1399"/>
      <c r="CM1204" s="1399"/>
      <c r="CN1204" s="1399"/>
      <c r="CO1204" s="1399"/>
      <c r="CP1204" s="1399"/>
      <c r="CQ1204" s="1399"/>
      <c r="CR1204" s="1399"/>
      <c r="CS1204" s="1399"/>
      <c r="CT1204" s="1399"/>
      <c r="CU1204" s="1399"/>
      <c r="CV1204" s="1399"/>
      <c r="CW1204" s="1399"/>
      <c r="CX1204" s="1399"/>
      <c r="CY1204" s="1399"/>
      <c r="CZ1204" s="1399"/>
      <c r="DA1204" s="1399"/>
      <c r="DB1204" s="1399"/>
      <c r="DC1204" s="1399"/>
      <c r="DD1204" s="1399"/>
      <c r="DE1204" s="1399"/>
      <c r="DF1204" s="1399"/>
      <c r="DG1204" s="1399"/>
      <c r="DH1204" s="1399"/>
      <c r="DI1204" s="1399"/>
      <c r="DJ1204" s="1399"/>
      <c r="DK1204" s="1399"/>
      <c r="DL1204" s="1399"/>
      <c r="DM1204" s="1399"/>
      <c r="DN1204" s="1399"/>
      <c r="DO1204" s="1399"/>
      <c r="DP1204" s="1399"/>
      <c r="DQ1204" s="1399"/>
      <c r="DR1204" s="1399"/>
      <c r="DS1204" s="1399"/>
      <c r="DT1204" s="1399"/>
      <c r="DU1204" s="1399"/>
    </row>
    <row r="1205" spans="1:125">
      <c r="A1205" s="1414"/>
      <c r="B1205" s="1414"/>
      <c r="C1205" s="1414"/>
      <c r="D1205" s="1414"/>
      <c r="E1205" s="1414"/>
      <c r="F1205" s="1414"/>
      <c r="G1205" s="1414"/>
      <c r="H1205" s="1414"/>
      <c r="I1205" s="1414"/>
      <c r="J1205" s="1414"/>
      <c r="K1205" s="1414"/>
      <c r="L1205" s="1414"/>
      <c r="M1205" s="1414"/>
      <c r="N1205" s="1414"/>
      <c r="O1205" s="1414"/>
      <c r="P1205" s="1414"/>
      <c r="Q1205" s="1414"/>
      <c r="R1205" s="1414"/>
      <c r="S1205" s="1414"/>
      <c r="T1205" s="1414"/>
      <c r="U1205" s="1414"/>
      <c r="V1205" s="1414"/>
      <c r="W1205" s="1414"/>
      <c r="X1205" s="1414"/>
      <c r="Y1205" s="1414"/>
      <c r="Z1205" s="1414"/>
      <c r="AA1205" s="1414"/>
      <c r="AB1205" s="1414"/>
      <c r="AC1205" s="1414"/>
      <c r="AD1205" s="1414"/>
      <c r="AE1205" s="1414"/>
      <c r="AF1205" s="1414"/>
      <c r="AG1205" s="1414"/>
      <c r="AH1205" s="1414"/>
      <c r="AI1205" s="1414"/>
      <c r="AJ1205" s="1414"/>
      <c r="AK1205" s="1414"/>
      <c r="AL1205" s="1414"/>
      <c r="AM1205" s="1414"/>
      <c r="AN1205" s="1414"/>
      <c r="AO1205" s="1414"/>
      <c r="AP1205" s="1414"/>
      <c r="AQ1205" s="1414"/>
      <c r="AR1205" s="1414"/>
      <c r="AS1205" s="1414"/>
      <c r="AT1205" s="1414"/>
      <c r="AU1205" s="1414"/>
      <c r="AV1205" s="1414"/>
      <c r="AW1205" s="1414"/>
      <c r="AX1205" s="1414"/>
      <c r="AY1205" s="1399"/>
      <c r="AZ1205" s="1399"/>
      <c r="BA1205" s="1399"/>
      <c r="BB1205" s="1399"/>
      <c r="BC1205" s="1399"/>
      <c r="BD1205" s="1399"/>
      <c r="BE1205" s="1414"/>
      <c r="BF1205" s="1399"/>
      <c r="BG1205" s="1399"/>
      <c r="BH1205" s="1399"/>
      <c r="BI1205" s="1399"/>
      <c r="BJ1205" s="1399"/>
      <c r="BK1205" s="1399"/>
      <c r="BL1205" s="1399"/>
      <c r="BM1205" s="1399"/>
      <c r="BN1205" s="1399"/>
      <c r="BO1205" s="1399"/>
      <c r="BP1205" s="1399"/>
      <c r="BQ1205" s="1399"/>
      <c r="BR1205" s="1399"/>
      <c r="BS1205" s="1399"/>
      <c r="BT1205" s="1399"/>
      <c r="BU1205" s="1399"/>
      <c r="BV1205" s="1399"/>
      <c r="BW1205" s="1399"/>
      <c r="BX1205" s="1399"/>
      <c r="BY1205" s="1399"/>
      <c r="BZ1205" s="1399"/>
      <c r="CA1205" s="1399"/>
      <c r="CB1205" s="1399"/>
      <c r="CC1205" s="1399"/>
      <c r="CD1205" s="1399"/>
      <c r="CE1205" s="1399"/>
      <c r="CF1205" s="1399"/>
      <c r="CG1205" s="1399"/>
      <c r="CH1205" s="1399"/>
      <c r="CI1205" s="1399"/>
      <c r="CJ1205" s="1399"/>
      <c r="CK1205" s="1399"/>
      <c r="CL1205" s="1399"/>
      <c r="CM1205" s="1399"/>
      <c r="CN1205" s="1399"/>
      <c r="CO1205" s="1399"/>
      <c r="CP1205" s="1399"/>
      <c r="CQ1205" s="1399"/>
      <c r="CR1205" s="1399"/>
      <c r="CS1205" s="1399"/>
      <c r="CT1205" s="1399"/>
      <c r="CU1205" s="1399"/>
      <c r="CV1205" s="1399"/>
      <c r="CW1205" s="1399"/>
      <c r="CX1205" s="1399"/>
      <c r="CY1205" s="1399"/>
      <c r="CZ1205" s="1399"/>
      <c r="DA1205" s="1399"/>
      <c r="DB1205" s="1399"/>
      <c r="DC1205" s="1399"/>
      <c r="DD1205" s="1399"/>
      <c r="DE1205" s="1399"/>
      <c r="DF1205" s="1399"/>
      <c r="DG1205" s="1399"/>
      <c r="DH1205" s="1399"/>
      <c r="DI1205" s="1399"/>
      <c r="DJ1205" s="1399"/>
      <c r="DK1205" s="1399"/>
      <c r="DL1205" s="1399"/>
      <c r="DM1205" s="1399"/>
      <c r="DN1205" s="1399"/>
      <c r="DO1205" s="1399"/>
      <c r="DP1205" s="1399"/>
      <c r="DQ1205" s="1399"/>
      <c r="DR1205" s="1399"/>
      <c r="DS1205" s="1399"/>
      <c r="DT1205" s="1399"/>
      <c r="DU1205" s="1399"/>
    </row>
    <row r="1206" spans="1:125">
      <c r="A1206" s="1414"/>
      <c r="B1206" s="1414"/>
      <c r="C1206" s="1414"/>
      <c r="D1206" s="1414"/>
      <c r="E1206" s="1414"/>
      <c r="F1206" s="1414"/>
      <c r="G1206" s="1414"/>
      <c r="H1206" s="1414"/>
      <c r="I1206" s="1414"/>
      <c r="J1206" s="1414"/>
      <c r="K1206" s="1414"/>
      <c r="L1206" s="1414"/>
      <c r="M1206" s="1414"/>
      <c r="N1206" s="1414"/>
      <c r="O1206" s="1414"/>
      <c r="P1206" s="1414"/>
      <c r="Q1206" s="1414"/>
      <c r="R1206" s="1414"/>
      <c r="S1206" s="1414"/>
      <c r="T1206" s="1414"/>
      <c r="U1206" s="1414"/>
      <c r="V1206" s="1414"/>
      <c r="W1206" s="1414"/>
      <c r="X1206" s="1414"/>
      <c r="Y1206" s="1414"/>
      <c r="Z1206" s="1414"/>
      <c r="AA1206" s="1414"/>
      <c r="AB1206" s="1414"/>
      <c r="AC1206" s="1414"/>
      <c r="AD1206" s="1414"/>
      <c r="AE1206" s="1414"/>
      <c r="AF1206" s="1414"/>
      <c r="AG1206" s="1414"/>
      <c r="AH1206" s="1414"/>
      <c r="AI1206" s="1414"/>
      <c r="AJ1206" s="1414"/>
      <c r="AK1206" s="1414"/>
      <c r="AL1206" s="1414"/>
      <c r="AM1206" s="1414"/>
      <c r="AN1206" s="1414"/>
      <c r="AO1206" s="1414"/>
      <c r="AP1206" s="1414"/>
      <c r="AQ1206" s="1414"/>
      <c r="AR1206" s="1414"/>
      <c r="AS1206" s="1414"/>
      <c r="AT1206" s="1414"/>
      <c r="AU1206" s="1414"/>
      <c r="AV1206" s="1414"/>
      <c r="AW1206" s="1414"/>
      <c r="AX1206" s="1414"/>
      <c r="AY1206" s="1399"/>
      <c r="AZ1206" s="1399"/>
      <c r="BA1206" s="1399"/>
      <c r="BB1206" s="1399"/>
      <c r="BC1206" s="1399"/>
      <c r="BD1206" s="1399"/>
      <c r="BE1206" s="1414"/>
      <c r="BF1206" s="1399"/>
      <c r="BG1206" s="1399"/>
      <c r="BH1206" s="1399"/>
      <c r="BI1206" s="1399"/>
      <c r="BJ1206" s="1399"/>
      <c r="BK1206" s="1399"/>
      <c r="BL1206" s="1399"/>
      <c r="BM1206" s="1399"/>
      <c r="BN1206" s="1399"/>
      <c r="BO1206" s="1399"/>
      <c r="BP1206" s="1399"/>
      <c r="BQ1206" s="1399"/>
      <c r="BR1206" s="1399"/>
      <c r="BS1206" s="1399"/>
      <c r="BT1206" s="1399"/>
      <c r="BU1206" s="1399"/>
      <c r="BV1206" s="1399"/>
      <c r="BW1206" s="1399"/>
      <c r="BX1206" s="1399"/>
      <c r="BY1206" s="1399"/>
      <c r="BZ1206" s="1399"/>
      <c r="CA1206" s="1399"/>
      <c r="CB1206" s="1399"/>
      <c r="CC1206" s="1399"/>
      <c r="CD1206" s="1399"/>
      <c r="CE1206" s="1399"/>
      <c r="CF1206" s="1399"/>
      <c r="CG1206" s="1399"/>
      <c r="CH1206" s="1399"/>
      <c r="CI1206" s="1399"/>
      <c r="CJ1206" s="1399"/>
      <c r="CK1206" s="1399"/>
      <c r="CL1206" s="1399"/>
      <c r="CM1206" s="1399"/>
      <c r="CN1206" s="1399"/>
      <c r="CO1206" s="1399"/>
      <c r="CP1206" s="1399"/>
      <c r="CQ1206" s="1399"/>
      <c r="CR1206" s="1399"/>
      <c r="CS1206" s="1399"/>
      <c r="CT1206" s="1399"/>
      <c r="CU1206" s="1399"/>
      <c r="CV1206" s="1399"/>
      <c r="CW1206" s="1399"/>
      <c r="CX1206" s="1399"/>
      <c r="CY1206" s="1399"/>
      <c r="CZ1206" s="1399"/>
      <c r="DA1206" s="1399"/>
      <c r="DB1206" s="1399"/>
      <c r="DC1206" s="1399"/>
      <c r="DD1206" s="1399"/>
      <c r="DE1206" s="1399"/>
      <c r="DF1206" s="1399"/>
      <c r="DG1206" s="1399"/>
      <c r="DH1206" s="1399"/>
      <c r="DI1206" s="1399"/>
      <c r="DJ1206" s="1399"/>
      <c r="DK1206" s="1399"/>
      <c r="DL1206" s="1399"/>
      <c r="DM1206" s="1399"/>
      <c r="DN1206" s="1399"/>
      <c r="DO1206" s="1399"/>
      <c r="DP1206" s="1399"/>
      <c r="DQ1206" s="1399"/>
      <c r="DR1206" s="1399"/>
      <c r="DS1206" s="1399"/>
      <c r="DT1206" s="1399"/>
      <c r="DU1206" s="1399"/>
    </row>
    <row r="1207" spans="1:125">
      <c r="A1207" s="1414"/>
      <c r="B1207" s="1414"/>
      <c r="C1207" s="1414"/>
      <c r="D1207" s="1414"/>
      <c r="E1207" s="1414"/>
      <c r="F1207" s="1414"/>
      <c r="G1207" s="1414"/>
      <c r="H1207" s="1414"/>
      <c r="I1207" s="1414"/>
      <c r="J1207" s="1414"/>
      <c r="K1207" s="1414"/>
      <c r="L1207" s="1414"/>
      <c r="M1207" s="1414"/>
      <c r="N1207" s="1414"/>
      <c r="O1207" s="1414"/>
      <c r="P1207" s="1414"/>
      <c r="Q1207" s="1414"/>
      <c r="R1207" s="1414"/>
      <c r="S1207" s="1414"/>
      <c r="T1207" s="1414"/>
      <c r="U1207" s="1414"/>
      <c r="V1207" s="1414"/>
      <c r="W1207" s="1414"/>
      <c r="X1207" s="1414"/>
      <c r="Y1207" s="1414"/>
      <c r="Z1207" s="1414"/>
      <c r="AA1207" s="1414"/>
      <c r="AB1207" s="1414"/>
      <c r="AC1207" s="1414"/>
      <c r="AD1207" s="1414"/>
      <c r="AE1207" s="1414"/>
      <c r="AF1207" s="1414"/>
      <c r="AG1207" s="1414"/>
      <c r="AH1207" s="1414"/>
      <c r="AI1207" s="1414"/>
      <c r="AJ1207" s="1414"/>
      <c r="AK1207" s="1414"/>
      <c r="AL1207" s="1414"/>
      <c r="AM1207" s="1414"/>
      <c r="AN1207" s="1414"/>
      <c r="AO1207" s="1414"/>
      <c r="AP1207" s="1414"/>
      <c r="AQ1207" s="1414"/>
      <c r="AR1207" s="1414"/>
      <c r="AS1207" s="1414"/>
      <c r="AT1207" s="1414"/>
      <c r="AU1207" s="1414"/>
      <c r="AV1207" s="1414"/>
      <c r="AW1207" s="1414"/>
      <c r="AX1207" s="1414"/>
      <c r="AY1207" s="1399"/>
      <c r="AZ1207" s="1399"/>
      <c r="BA1207" s="1399"/>
      <c r="BB1207" s="1399"/>
      <c r="BC1207" s="1399"/>
      <c r="BD1207" s="1399"/>
      <c r="BE1207" s="1414"/>
      <c r="BF1207" s="1399"/>
      <c r="BG1207" s="1399"/>
      <c r="BH1207" s="1399"/>
      <c r="BI1207" s="1399"/>
      <c r="BJ1207" s="1399"/>
      <c r="BK1207" s="1399"/>
      <c r="BL1207" s="1399"/>
      <c r="BM1207" s="1399"/>
      <c r="BN1207" s="1399"/>
      <c r="BO1207" s="1399"/>
      <c r="BP1207" s="1399"/>
      <c r="BQ1207" s="1399"/>
      <c r="BR1207" s="1399"/>
      <c r="BS1207" s="1399"/>
      <c r="BT1207" s="1399"/>
      <c r="BU1207" s="1399"/>
      <c r="BV1207" s="1399"/>
      <c r="BW1207" s="1399"/>
      <c r="BX1207" s="1399"/>
      <c r="BY1207" s="1399"/>
      <c r="BZ1207" s="1399"/>
      <c r="CA1207" s="1399"/>
      <c r="CB1207" s="1399"/>
      <c r="CC1207" s="1399"/>
      <c r="CD1207" s="1399"/>
      <c r="CE1207" s="1399"/>
      <c r="CF1207" s="1399"/>
      <c r="CG1207" s="1399"/>
      <c r="CH1207" s="1399"/>
      <c r="CI1207" s="1399"/>
      <c r="CJ1207" s="1399"/>
      <c r="CK1207" s="1399"/>
      <c r="CL1207" s="1399"/>
      <c r="CM1207" s="1399"/>
      <c r="CN1207" s="1399"/>
      <c r="CO1207" s="1399"/>
      <c r="CP1207" s="1399"/>
      <c r="CQ1207" s="1399"/>
      <c r="CR1207" s="1399"/>
      <c r="CS1207" s="1399"/>
      <c r="CT1207" s="1399"/>
      <c r="CU1207" s="1399"/>
      <c r="CV1207" s="1399"/>
      <c r="CW1207" s="1399"/>
      <c r="CX1207" s="1399"/>
      <c r="CY1207" s="1399"/>
      <c r="CZ1207" s="1399"/>
      <c r="DA1207" s="1399"/>
      <c r="DB1207" s="1399"/>
      <c r="DC1207" s="1399"/>
      <c r="DD1207" s="1399"/>
      <c r="DE1207" s="1399"/>
      <c r="DF1207" s="1399"/>
      <c r="DG1207" s="1399"/>
      <c r="DH1207" s="1399"/>
      <c r="DI1207" s="1399"/>
      <c r="DJ1207" s="1399"/>
      <c r="DK1207" s="1399"/>
      <c r="DL1207" s="1399"/>
      <c r="DM1207" s="1399"/>
      <c r="DN1207" s="1399"/>
      <c r="DO1207" s="1399"/>
      <c r="DP1207" s="1399"/>
      <c r="DQ1207" s="1399"/>
      <c r="DR1207" s="1399"/>
      <c r="DS1207" s="1399"/>
      <c r="DT1207" s="1399"/>
      <c r="DU1207" s="1399"/>
    </row>
    <row r="1208" spans="1:125">
      <c r="A1208" s="1414"/>
      <c r="B1208" s="1414"/>
      <c r="C1208" s="1414"/>
      <c r="D1208" s="1414"/>
      <c r="E1208" s="1414"/>
      <c r="F1208" s="1414"/>
      <c r="G1208" s="1414"/>
      <c r="H1208" s="1414"/>
      <c r="I1208" s="1414"/>
      <c r="J1208" s="1414"/>
      <c r="K1208" s="1414"/>
      <c r="L1208" s="1414"/>
      <c r="M1208" s="1414"/>
      <c r="N1208" s="1414"/>
      <c r="O1208" s="1414"/>
      <c r="P1208" s="1414"/>
      <c r="Q1208" s="1414"/>
      <c r="R1208" s="1414"/>
      <c r="S1208" s="1414"/>
      <c r="T1208" s="1414"/>
      <c r="U1208" s="1414"/>
      <c r="V1208" s="1414"/>
      <c r="W1208" s="1414"/>
      <c r="X1208" s="1414"/>
      <c r="Y1208" s="1414"/>
      <c r="Z1208" s="1414"/>
      <c r="AA1208" s="1414"/>
      <c r="AB1208" s="1414"/>
      <c r="AC1208" s="1414"/>
      <c r="AD1208" s="1414"/>
      <c r="AE1208" s="1414"/>
      <c r="AF1208" s="1414"/>
      <c r="AG1208" s="1414"/>
      <c r="AH1208" s="1414"/>
      <c r="AI1208" s="1414"/>
      <c r="AJ1208" s="1414"/>
      <c r="AK1208" s="1414"/>
      <c r="AL1208" s="1414"/>
      <c r="AM1208" s="1414"/>
      <c r="AN1208" s="1414"/>
      <c r="AO1208" s="1414"/>
      <c r="AP1208" s="1414"/>
      <c r="AQ1208" s="1414"/>
      <c r="AR1208" s="1414"/>
      <c r="AS1208" s="1414"/>
      <c r="AT1208" s="1414"/>
      <c r="AU1208" s="1414"/>
      <c r="AV1208" s="1414"/>
      <c r="AW1208" s="1414"/>
      <c r="AX1208" s="1414"/>
      <c r="AY1208" s="1399"/>
      <c r="AZ1208" s="1399"/>
      <c r="BA1208" s="1399"/>
      <c r="BB1208" s="1399"/>
      <c r="BC1208" s="1399"/>
      <c r="BD1208" s="1399"/>
      <c r="BE1208" s="1414"/>
      <c r="BF1208" s="1399"/>
      <c r="BG1208" s="1399"/>
      <c r="BH1208" s="1399"/>
      <c r="BI1208" s="1399"/>
      <c r="BJ1208" s="1399"/>
      <c r="BK1208" s="1399"/>
      <c r="BL1208" s="1399"/>
      <c r="BM1208" s="1399"/>
      <c r="BN1208" s="1399"/>
      <c r="BO1208" s="1399"/>
      <c r="BP1208" s="1399"/>
      <c r="BQ1208" s="1399"/>
      <c r="BR1208" s="1399"/>
      <c r="BS1208" s="1399"/>
      <c r="BT1208" s="1399"/>
      <c r="BU1208" s="1399"/>
      <c r="BV1208" s="1399"/>
      <c r="BW1208" s="1399"/>
      <c r="BX1208" s="1399"/>
      <c r="BY1208" s="1399"/>
      <c r="BZ1208" s="1399"/>
      <c r="CA1208" s="1399"/>
      <c r="CB1208" s="1399"/>
      <c r="CC1208" s="1399"/>
      <c r="CD1208" s="1399"/>
      <c r="CE1208" s="1399"/>
      <c r="CF1208" s="1399"/>
      <c r="CG1208" s="1399"/>
      <c r="CH1208" s="1399"/>
      <c r="CI1208" s="1399"/>
      <c r="CJ1208" s="1399"/>
      <c r="CK1208" s="1399"/>
      <c r="CL1208" s="1399"/>
      <c r="CM1208" s="1399"/>
      <c r="CN1208" s="1399"/>
      <c r="CO1208" s="1399"/>
      <c r="CP1208" s="1399"/>
      <c r="CQ1208" s="1399"/>
      <c r="CR1208" s="1399"/>
      <c r="CS1208" s="1399"/>
      <c r="CT1208" s="1399"/>
      <c r="CU1208" s="1399"/>
      <c r="CV1208" s="1399"/>
      <c r="CW1208" s="1399"/>
      <c r="CX1208" s="1399"/>
      <c r="CY1208" s="1399"/>
      <c r="CZ1208" s="1399"/>
      <c r="DA1208" s="1399"/>
      <c r="DB1208" s="1399"/>
      <c r="DC1208" s="1399"/>
      <c r="DD1208" s="1399"/>
      <c r="DE1208" s="1399"/>
      <c r="DF1208" s="1399"/>
      <c r="DG1208" s="1399"/>
      <c r="DH1208" s="1399"/>
      <c r="DI1208" s="1399"/>
      <c r="DJ1208" s="1399"/>
      <c r="DK1208" s="1399"/>
      <c r="DL1208" s="1399"/>
      <c r="DM1208" s="1399"/>
      <c r="DN1208" s="1399"/>
      <c r="DO1208" s="1399"/>
      <c r="DP1208" s="1399"/>
      <c r="DQ1208" s="1399"/>
      <c r="DR1208" s="1399"/>
      <c r="DS1208" s="1399"/>
      <c r="DT1208" s="1399"/>
      <c r="DU1208" s="1399"/>
    </row>
    <row r="1209" spans="1:125">
      <c r="A1209" s="1414"/>
      <c r="B1209" s="1414"/>
      <c r="C1209" s="1414"/>
      <c r="D1209" s="1414"/>
      <c r="E1209" s="1414"/>
      <c r="F1209" s="1414"/>
      <c r="G1209" s="1414"/>
      <c r="H1209" s="1414"/>
      <c r="I1209" s="1414"/>
      <c r="J1209" s="1414"/>
      <c r="K1209" s="1414"/>
      <c r="L1209" s="1414"/>
      <c r="M1209" s="1414"/>
      <c r="N1209" s="1414"/>
      <c r="O1209" s="1414"/>
      <c r="P1209" s="1414"/>
      <c r="Q1209" s="1414"/>
      <c r="R1209" s="1414"/>
      <c r="S1209" s="1414"/>
      <c r="T1209" s="1414"/>
      <c r="U1209" s="1414"/>
      <c r="V1209" s="1414"/>
      <c r="W1209" s="1414"/>
      <c r="X1209" s="1414"/>
      <c r="Y1209" s="1414"/>
      <c r="Z1209" s="1414"/>
      <c r="AA1209" s="1414"/>
      <c r="AB1209" s="1414"/>
      <c r="AC1209" s="1414"/>
      <c r="AD1209" s="1414"/>
      <c r="AE1209" s="1414"/>
      <c r="AF1209" s="1414"/>
      <c r="AG1209" s="1414"/>
      <c r="AH1209" s="1414"/>
      <c r="AI1209" s="1414"/>
      <c r="AJ1209" s="1414"/>
      <c r="AK1209" s="1414"/>
      <c r="AL1209" s="1414"/>
      <c r="AM1209" s="1414"/>
      <c r="AN1209" s="1414"/>
      <c r="AO1209" s="1414"/>
      <c r="AP1209" s="1414"/>
      <c r="AQ1209" s="1414"/>
      <c r="AR1209" s="1414"/>
      <c r="AS1209" s="1414"/>
      <c r="AT1209" s="1414"/>
      <c r="AU1209" s="1414"/>
      <c r="AV1209" s="1414"/>
      <c r="AW1209" s="1414"/>
      <c r="AX1209" s="1414"/>
      <c r="AY1209" s="1399"/>
      <c r="AZ1209" s="1399"/>
      <c r="BA1209" s="1399"/>
      <c r="BB1209" s="1399"/>
      <c r="BC1209" s="1399"/>
      <c r="BD1209" s="1399"/>
      <c r="BE1209" s="1414"/>
      <c r="BF1209" s="1399"/>
      <c r="BG1209" s="1399"/>
      <c r="BH1209" s="1399"/>
      <c r="BI1209" s="1399"/>
      <c r="BJ1209" s="1399"/>
      <c r="BK1209" s="1399"/>
      <c r="BL1209" s="1399"/>
      <c r="BM1209" s="1399"/>
      <c r="BN1209" s="1399"/>
      <c r="BO1209" s="1399"/>
      <c r="BP1209" s="1399"/>
      <c r="BQ1209" s="1399"/>
      <c r="BR1209" s="1399"/>
      <c r="BS1209" s="1399"/>
      <c r="BT1209" s="1399"/>
      <c r="BU1209" s="1399"/>
      <c r="BV1209" s="1399"/>
      <c r="BW1209" s="1399"/>
      <c r="BX1209" s="1399"/>
      <c r="BY1209" s="1399"/>
      <c r="BZ1209" s="1399"/>
      <c r="CA1209" s="1399"/>
      <c r="CB1209" s="1399"/>
      <c r="CC1209" s="1399"/>
      <c r="CD1209" s="1399"/>
      <c r="CE1209" s="1399"/>
      <c r="CF1209" s="1399"/>
      <c r="CG1209" s="1399"/>
      <c r="CH1209" s="1399"/>
      <c r="CI1209" s="1399"/>
      <c r="CJ1209" s="1399"/>
      <c r="CK1209" s="1399"/>
      <c r="CL1209" s="1399"/>
      <c r="CM1209" s="1399"/>
      <c r="CN1209" s="1399"/>
      <c r="CO1209" s="1399"/>
      <c r="CP1209" s="1399"/>
      <c r="CQ1209" s="1399"/>
      <c r="CR1209" s="1399"/>
      <c r="CS1209" s="1399"/>
      <c r="CT1209" s="1399"/>
      <c r="CU1209" s="1399"/>
      <c r="CV1209" s="1399"/>
      <c r="CW1209" s="1399"/>
      <c r="CX1209" s="1399"/>
      <c r="CY1209" s="1399"/>
      <c r="CZ1209" s="1399"/>
      <c r="DA1209" s="1399"/>
      <c r="DB1209" s="1399"/>
      <c r="DC1209" s="1399"/>
      <c r="DD1209" s="1399"/>
      <c r="DE1209" s="1399"/>
      <c r="DF1209" s="1399"/>
      <c r="DG1209" s="1399"/>
      <c r="DH1209" s="1399"/>
      <c r="DI1209" s="1399"/>
      <c r="DJ1209" s="1399"/>
      <c r="DK1209" s="1399"/>
      <c r="DL1209" s="1399"/>
      <c r="DM1209" s="1399"/>
      <c r="DN1209" s="1399"/>
      <c r="DO1209" s="1399"/>
      <c r="DP1209" s="1399"/>
      <c r="DQ1209" s="1399"/>
      <c r="DR1209" s="1399"/>
      <c r="DS1209" s="1399"/>
      <c r="DT1209" s="1399"/>
      <c r="DU1209" s="1399"/>
    </row>
    <row r="1210" spans="1:125">
      <c r="A1210" s="1414"/>
      <c r="B1210" s="1414"/>
      <c r="C1210" s="1414"/>
      <c r="D1210" s="1414"/>
      <c r="E1210" s="1414"/>
      <c r="F1210" s="1414"/>
      <c r="G1210" s="1414"/>
      <c r="H1210" s="1414"/>
      <c r="I1210" s="1414"/>
      <c r="J1210" s="1414"/>
      <c r="K1210" s="1414"/>
      <c r="L1210" s="1414"/>
      <c r="M1210" s="1414"/>
      <c r="N1210" s="1414"/>
      <c r="O1210" s="1414"/>
      <c r="P1210" s="1414"/>
      <c r="Q1210" s="1414"/>
      <c r="R1210" s="1414"/>
      <c r="S1210" s="1414"/>
      <c r="T1210" s="1414"/>
      <c r="U1210" s="1414"/>
      <c r="V1210" s="1414"/>
      <c r="W1210" s="1414"/>
      <c r="X1210" s="1414"/>
      <c r="Y1210" s="1414"/>
      <c r="Z1210" s="1414"/>
      <c r="AA1210" s="1414"/>
      <c r="AB1210" s="1414"/>
      <c r="AC1210" s="1414"/>
      <c r="AD1210" s="1414"/>
      <c r="AE1210" s="1414"/>
      <c r="AF1210" s="1414"/>
      <c r="AG1210" s="1414"/>
      <c r="AH1210" s="1414"/>
      <c r="AI1210" s="1414"/>
      <c r="AJ1210" s="1414"/>
      <c r="AK1210" s="1414"/>
      <c r="AL1210" s="1414"/>
      <c r="AM1210" s="1414"/>
      <c r="AN1210" s="1414"/>
      <c r="AO1210" s="1414"/>
      <c r="AP1210" s="1414"/>
      <c r="AQ1210" s="1414"/>
      <c r="AR1210" s="1414"/>
      <c r="AS1210" s="1414"/>
      <c r="AT1210" s="1414"/>
      <c r="AU1210" s="1414"/>
      <c r="AV1210" s="1414"/>
      <c r="AW1210" s="1414"/>
      <c r="AX1210" s="1414"/>
      <c r="AY1210" s="1399"/>
      <c r="AZ1210" s="1399"/>
      <c r="BA1210" s="1399"/>
      <c r="BB1210" s="1399"/>
      <c r="BC1210" s="1399"/>
      <c r="BD1210" s="1399"/>
      <c r="BE1210" s="1414"/>
      <c r="BF1210" s="1399"/>
      <c r="BG1210" s="1399"/>
      <c r="BH1210" s="1399"/>
      <c r="BI1210" s="1399"/>
      <c r="BJ1210" s="1399"/>
      <c r="BK1210" s="1399"/>
      <c r="BL1210" s="1399"/>
      <c r="BM1210" s="1399"/>
      <c r="BN1210" s="1399"/>
      <c r="BO1210" s="1399"/>
      <c r="BP1210" s="1399"/>
      <c r="BQ1210" s="1399"/>
      <c r="BR1210" s="1399"/>
      <c r="BS1210" s="1399"/>
      <c r="BT1210" s="1399"/>
      <c r="BU1210" s="1399"/>
      <c r="BV1210" s="1399"/>
      <c r="BW1210" s="1399"/>
      <c r="BX1210" s="1399"/>
      <c r="BY1210" s="1399"/>
      <c r="BZ1210" s="1399"/>
      <c r="CA1210" s="1399"/>
      <c r="CB1210" s="1399"/>
      <c r="CC1210" s="1399"/>
      <c r="CD1210" s="1399"/>
      <c r="CE1210" s="1399"/>
      <c r="CF1210" s="1399"/>
      <c r="CG1210" s="1399"/>
      <c r="CH1210" s="1399"/>
      <c r="CI1210" s="1399"/>
      <c r="CJ1210" s="1399"/>
      <c r="CK1210" s="1399"/>
      <c r="CL1210" s="1399"/>
      <c r="CM1210" s="1399"/>
      <c r="CN1210" s="1399"/>
      <c r="CO1210" s="1399"/>
      <c r="CP1210" s="1399"/>
      <c r="CQ1210" s="1399"/>
      <c r="CR1210" s="1399"/>
      <c r="CS1210" s="1399"/>
      <c r="CT1210" s="1399"/>
      <c r="CU1210" s="1399"/>
      <c r="CV1210" s="1399"/>
      <c r="CW1210" s="1399"/>
      <c r="CX1210" s="1399"/>
      <c r="CY1210" s="1399"/>
      <c r="CZ1210" s="1399"/>
      <c r="DA1210" s="1399"/>
      <c r="DB1210" s="1399"/>
      <c r="DC1210" s="1399"/>
      <c r="DD1210" s="1399"/>
      <c r="DE1210" s="1399"/>
      <c r="DF1210" s="1399"/>
      <c r="DG1210" s="1399"/>
      <c r="DH1210" s="1399"/>
      <c r="DI1210" s="1399"/>
      <c r="DJ1210" s="1399"/>
      <c r="DK1210" s="1399"/>
      <c r="DL1210" s="1399"/>
      <c r="DM1210" s="1399"/>
      <c r="DN1210" s="1399"/>
      <c r="DO1210" s="1399"/>
      <c r="DP1210" s="1399"/>
      <c r="DQ1210" s="1399"/>
      <c r="DR1210" s="1399"/>
      <c r="DS1210" s="1399"/>
      <c r="DT1210" s="1399"/>
      <c r="DU1210" s="1399"/>
    </row>
    <row r="1211" spans="1:125">
      <c r="A1211" s="1414"/>
      <c r="B1211" s="1414"/>
      <c r="C1211" s="1414"/>
      <c r="D1211" s="1414"/>
      <c r="E1211" s="1414"/>
      <c r="F1211" s="1414"/>
      <c r="G1211" s="1414"/>
      <c r="H1211" s="1414"/>
      <c r="I1211" s="1414"/>
      <c r="J1211" s="1414"/>
      <c r="K1211" s="1414"/>
      <c r="L1211" s="1414"/>
      <c r="M1211" s="1414"/>
      <c r="N1211" s="1414"/>
      <c r="O1211" s="1414"/>
      <c r="P1211" s="1414"/>
      <c r="Q1211" s="1414"/>
      <c r="R1211" s="1414"/>
      <c r="S1211" s="1414"/>
      <c r="T1211" s="1414"/>
      <c r="U1211" s="1414"/>
      <c r="V1211" s="1414"/>
      <c r="W1211" s="1414"/>
      <c r="X1211" s="1414"/>
      <c r="Y1211" s="1414"/>
      <c r="Z1211" s="1414"/>
      <c r="AA1211" s="1414"/>
      <c r="AB1211" s="1414"/>
      <c r="AC1211" s="1414"/>
      <c r="AD1211" s="1414"/>
      <c r="AE1211" s="1414"/>
      <c r="AF1211" s="1414"/>
      <c r="AG1211" s="1414"/>
      <c r="AH1211" s="1414"/>
      <c r="AI1211" s="1414"/>
      <c r="AJ1211" s="1414"/>
      <c r="AK1211" s="1414"/>
      <c r="AL1211" s="1414"/>
      <c r="AM1211" s="1414"/>
      <c r="AN1211" s="1414"/>
      <c r="AO1211" s="1414"/>
      <c r="AP1211" s="1414"/>
      <c r="AQ1211" s="1414"/>
      <c r="AR1211" s="1414"/>
      <c r="AS1211" s="1414"/>
      <c r="AT1211" s="1414"/>
      <c r="AU1211" s="1414"/>
      <c r="AV1211" s="1414"/>
      <c r="AW1211" s="1414"/>
      <c r="AX1211" s="1414"/>
      <c r="AY1211" s="1399"/>
      <c r="AZ1211" s="1399"/>
      <c r="BA1211" s="1399"/>
      <c r="BB1211" s="1399"/>
      <c r="BC1211" s="1399"/>
      <c r="BD1211" s="1399"/>
      <c r="BE1211" s="1414"/>
      <c r="BF1211" s="1399"/>
      <c r="BG1211" s="1399"/>
      <c r="BH1211" s="1399"/>
      <c r="BI1211" s="1399"/>
      <c r="BJ1211" s="1399"/>
      <c r="BK1211" s="1399"/>
      <c r="BL1211" s="1399"/>
      <c r="BM1211" s="1399"/>
      <c r="BN1211" s="1399"/>
      <c r="BO1211" s="1399"/>
      <c r="BP1211" s="1399"/>
      <c r="BQ1211" s="1399"/>
      <c r="BR1211" s="1399"/>
      <c r="BS1211" s="1399"/>
      <c r="BT1211" s="1399"/>
      <c r="BU1211" s="1399"/>
      <c r="BV1211" s="1399"/>
      <c r="BW1211" s="1399"/>
      <c r="BX1211" s="1399"/>
      <c r="BY1211" s="1399"/>
      <c r="BZ1211" s="1399"/>
      <c r="CA1211" s="1399"/>
      <c r="CB1211" s="1399"/>
      <c r="CC1211" s="1399"/>
      <c r="CD1211" s="1399"/>
      <c r="CE1211" s="1399"/>
      <c r="CF1211" s="1399"/>
      <c r="CG1211" s="1399"/>
      <c r="CH1211" s="1399"/>
      <c r="CI1211" s="1399"/>
      <c r="CJ1211" s="1399"/>
      <c r="CK1211" s="1399"/>
      <c r="CL1211" s="1399"/>
      <c r="CM1211" s="1399"/>
      <c r="CN1211" s="1399"/>
      <c r="CO1211" s="1399"/>
      <c r="CP1211" s="1399"/>
      <c r="CQ1211" s="1399"/>
      <c r="CR1211" s="1399"/>
      <c r="CS1211" s="1399"/>
      <c r="CT1211" s="1399"/>
      <c r="CU1211" s="1399"/>
      <c r="CV1211" s="1399"/>
      <c r="CW1211" s="1399"/>
      <c r="CX1211" s="1399"/>
      <c r="CY1211" s="1399"/>
      <c r="CZ1211" s="1399"/>
      <c r="DA1211" s="1399"/>
      <c r="DB1211" s="1399"/>
      <c r="DC1211" s="1399"/>
      <c r="DD1211" s="1399"/>
      <c r="DE1211" s="1399"/>
      <c r="DF1211" s="1399"/>
      <c r="DG1211" s="1399"/>
      <c r="DH1211" s="1399"/>
      <c r="DI1211" s="1399"/>
      <c r="DJ1211" s="1399"/>
      <c r="DK1211" s="1399"/>
      <c r="DL1211" s="1399"/>
      <c r="DM1211" s="1399"/>
      <c r="DN1211" s="1399"/>
      <c r="DO1211" s="1399"/>
      <c r="DP1211" s="1399"/>
      <c r="DQ1211" s="1399"/>
      <c r="DR1211" s="1399"/>
      <c r="DS1211" s="1399"/>
      <c r="DT1211" s="1399"/>
      <c r="DU1211" s="1399"/>
    </row>
    <row r="1212" spans="1:125">
      <c r="A1212" s="1414"/>
      <c r="B1212" s="1414"/>
      <c r="C1212" s="1414"/>
      <c r="D1212" s="1414"/>
      <c r="E1212" s="1414"/>
      <c r="F1212" s="1414"/>
      <c r="G1212" s="1414"/>
      <c r="H1212" s="1414"/>
      <c r="I1212" s="1414"/>
      <c r="J1212" s="1414"/>
      <c r="K1212" s="1414"/>
      <c r="L1212" s="1414"/>
      <c r="M1212" s="1414"/>
      <c r="N1212" s="1414"/>
      <c r="O1212" s="1414"/>
      <c r="P1212" s="1414"/>
      <c r="Q1212" s="1414"/>
      <c r="R1212" s="1414"/>
      <c r="S1212" s="1414"/>
      <c r="T1212" s="1414"/>
      <c r="U1212" s="1414"/>
      <c r="V1212" s="1414"/>
      <c r="W1212" s="1414"/>
      <c r="X1212" s="1414"/>
      <c r="Y1212" s="1414"/>
      <c r="Z1212" s="1414"/>
      <c r="AA1212" s="1414"/>
      <c r="AB1212" s="1414"/>
      <c r="AC1212" s="1414"/>
      <c r="AD1212" s="1414"/>
      <c r="AE1212" s="1414"/>
      <c r="AF1212" s="1414"/>
      <c r="AG1212" s="1414"/>
      <c r="AH1212" s="1414"/>
      <c r="AI1212" s="1414"/>
      <c r="AJ1212" s="1414"/>
      <c r="AK1212" s="1414"/>
      <c r="AL1212" s="1414"/>
      <c r="AM1212" s="1414"/>
      <c r="AN1212" s="1414"/>
      <c r="AO1212" s="1414"/>
      <c r="AP1212" s="1414"/>
      <c r="AQ1212" s="1414"/>
      <c r="AR1212" s="1414"/>
      <c r="AS1212" s="1414"/>
      <c r="AT1212" s="1414"/>
      <c r="AU1212" s="1414"/>
      <c r="AV1212" s="1414"/>
      <c r="AW1212" s="1414"/>
      <c r="AX1212" s="1414"/>
      <c r="AY1212" s="1399"/>
      <c r="AZ1212" s="1399"/>
      <c r="BA1212" s="1399"/>
      <c r="BB1212" s="1399"/>
      <c r="BC1212" s="1399"/>
      <c r="BD1212" s="1399"/>
      <c r="BE1212" s="1414"/>
      <c r="BF1212" s="1399"/>
      <c r="BG1212" s="1399"/>
      <c r="BH1212" s="1399"/>
      <c r="BI1212" s="1399"/>
      <c r="BJ1212" s="1399"/>
      <c r="BK1212" s="1399"/>
      <c r="BL1212" s="1399"/>
      <c r="BM1212" s="1399"/>
      <c r="BN1212" s="1399"/>
      <c r="BO1212" s="1399"/>
      <c r="BP1212" s="1399"/>
      <c r="BQ1212" s="1399"/>
      <c r="BR1212" s="1399"/>
      <c r="BS1212" s="1399"/>
      <c r="BT1212" s="1399"/>
      <c r="BU1212" s="1399"/>
      <c r="BV1212" s="1399"/>
      <c r="BW1212" s="1399"/>
      <c r="BX1212" s="1399"/>
      <c r="BY1212" s="1399"/>
      <c r="BZ1212" s="1399"/>
      <c r="CA1212" s="1399"/>
      <c r="CB1212" s="1399"/>
      <c r="CC1212" s="1399"/>
      <c r="CD1212" s="1399"/>
      <c r="CE1212" s="1399"/>
      <c r="CF1212" s="1399"/>
      <c r="CG1212" s="1399"/>
      <c r="CH1212" s="1399"/>
      <c r="CI1212" s="1399"/>
      <c r="CJ1212" s="1399"/>
      <c r="CK1212" s="1399"/>
      <c r="CL1212" s="1399"/>
      <c r="CM1212" s="1399"/>
      <c r="CN1212" s="1399"/>
      <c r="CO1212" s="1399"/>
      <c r="CP1212" s="1399"/>
      <c r="CQ1212" s="1399"/>
      <c r="CR1212" s="1399"/>
      <c r="CS1212" s="1399"/>
      <c r="CT1212" s="1399"/>
      <c r="CU1212" s="1399"/>
      <c r="CV1212" s="1399"/>
      <c r="CW1212" s="1399"/>
      <c r="CX1212" s="1399"/>
      <c r="CY1212" s="1399"/>
      <c r="CZ1212" s="1399"/>
      <c r="DA1212" s="1399"/>
      <c r="DB1212" s="1399"/>
      <c r="DC1212" s="1399"/>
      <c r="DD1212" s="1399"/>
      <c r="DE1212" s="1399"/>
      <c r="DF1212" s="1399"/>
      <c r="DG1212" s="1399"/>
      <c r="DH1212" s="1399"/>
      <c r="DI1212" s="1399"/>
      <c r="DJ1212" s="1399"/>
      <c r="DK1212" s="1399"/>
      <c r="DL1212" s="1399"/>
      <c r="DM1212" s="1399"/>
      <c r="DN1212" s="1399"/>
      <c r="DO1212" s="1399"/>
      <c r="DP1212" s="1399"/>
      <c r="DQ1212" s="1399"/>
      <c r="DR1212" s="1399"/>
      <c r="DS1212" s="1399"/>
      <c r="DT1212" s="1399"/>
      <c r="DU1212" s="1399"/>
    </row>
    <row r="1213" spans="1:125">
      <c r="A1213" s="1414"/>
      <c r="B1213" s="1414"/>
      <c r="C1213" s="1414"/>
      <c r="D1213" s="1414"/>
      <c r="E1213" s="1414"/>
      <c r="F1213" s="1414"/>
      <c r="G1213" s="1414"/>
      <c r="H1213" s="1414"/>
      <c r="I1213" s="1414"/>
      <c r="J1213" s="1414"/>
      <c r="K1213" s="1414"/>
      <c r="L1213" s="1414"/>
      <c r="M1213" s="1414"/>
      <c r="N1213" s="1414"/>
      <c r="O1213" s="1414"/>
      <c r="P1213" s="1414"/>
      <c r="Q1213" s="1414"/>
      <c r="R1213" s="1414"/>
      <c r="S1213" s="1414"/>
      <c r="T1213" s="1414"/>
      <c r="U1213" s="1414"/>
      <c r="V1213" s="1414"/>
      <c r="W1213" s="1414"/>
      <c r="X1213" s="1414"/>
      <c r="Y1213" s="1414"/>
      <c r="Z1213" s="1414"/>
      <c r="AA1213" s="1414"/>
      <c r="AB1213" s="1414"/>
      <c r="AC1213" s="1414"/>
      <c r="AD1213" s="1414"/>
      <c r="AE1213" s="1414"/>
      <c r="AF1213" s="1414"/>
      <c r="AG1213" s="1414"/>
      <c r="AH1213" s="1414"/>
      <c r="AI1213" s="1414"/>
      <c r="AJ1213" s="1414"/>
      <c r="AK1213" s="1414"/>
      <c r="AL1213" s="1414"/>
      <c r="AM1213" s="1414"/>
      <c r="AN1213" s="1414"/>
      <c r="AO1213" s="1414"/>
      <c r="AP1213" s="1414"/>
      <c r="AQ1213" s="1414"/>
      <c r="AR1213" s="1414"/>
      <c r="AS1213" s="1414"/>
      <c r="AT1213" s="1414"/>
      <c r="AU1213" s="1414"/>
      <c r="AV1213" s="1414"/>
      <c r="AW1213" s="1414"/>
      <c r="AX1213" s="1414"/>
      <c r="AY1213" s="1399"/>
      <c r="AZ1213" s="1399"/>
      <c r="BA1213" s="1399"/>
      <c r="BB1213" s="1399"/>
      <c r="BC1213" s="1399"/>
      <c r="BD1213" s="1399"/>
      <c r="BE1213" s="1414"/>
      <c r="BF1213" s="1399"/>
      <c r="BG1213" s="1399"/>
      <c r="BH1213" s="1399"/>
      <c r="BI1213" s="1399"/>
      <c r="BJ1213" s="1399"/>
      <c r="BK1213" s="1399"/>
      <c r="BL1213" s="1399"/>
      <c r="BM1213" s="1399"/>
      <c r="BN1213" s="1399"/>
      <c r="BO1213" s="1399"/>
      <c r="BP1213" s="1399"/>
      <c r="BQ1213" s="1399"/>
      <c r="BR1213" s="1399"/>
      <c r="BS1213" s="1399"/>
      <c r="BT1213" s="1399"/>
      <c r="BU1213" s="1399"/>
      <c r="BV1213" s="1399"/>
      <c r="BW1213" s="1399"/>
      <c r="BX1213" s="1399"/>
      <c r="BY1213" s="1399"/>
      <c r="BZ1213" s="1399"/>
      <c r="CA1213" s="1399"/>
      <c r="CB1213" s="1399"/>
      <c r="CC1213" s="1399"/>
      <c r="CD1213" s="1399"/>
      <c r="CE1213" s="1399"/>
      <c r="CF1213" s="1399"/>
      <c r="CG1213" s="1399"/>
      <c r="CH1213" s="1399"/>
      <c r="CI1213" s="1399"/>
      <c r="CJ1213" s="1399"/>
      <c r="CK1213" s="1399"/>
      <c r="CL1213" s="1399"/>
      <c r="CM1213" s="1399"/>
      <c r="CN1213" s="1399"/>
      <c r="CO1213" s="1399"/>
      <c r="CP1213" s="1399"/>
      <c r="CQ1213" s="1399"/>
      <c r="CR1213" s="1399"/>
      <c r="CS1213" s="1399"/>
      <c r="CT1213" s="1399"/>
      <c r="CU1213" s="1399"/>
      <c r="CV1213" s="1399"/>
      <c r="CW1213" s="1399"/>
      <c r="CX1213" s="1399"/>
      <c r="CY1213" s="1399"/>
      <c r="CZ1213" s="1399"/>
      <c r="DA1213" s="1399"/>
      <c r="DB1213" s="1399"/>
      <c r="DC1213" s="1399"/>
      <c r="DD1213" s="1399"/>
      <c r="DE1213" s="1399"/>
      <c r="DF1213" s="1399"/>
      <c r="DG1213" s="1399"/>
      <c r="DH1213" s="1399"/>
      <c r="DI1213" s="1399"/>
      <c r="DJ1213" s="1399"/>
      <c r="DK1213" s="1399"/>
      <c r="DL1213" s="1399"/>
      <c r="DM1213" s="1399"/>
      <c r="DN1213" s="1399"/>
      <c r="DO1213" s="1399"/>
      <c r="DP1213" s="1399"/>
      <c r="DQ1213" s="1399"/>
      <c r="DR1213" s="1399"/>
      <c r="DS1213" s="1399"/>
      <c r="DT1213" s="1399"/>
      <c r="DU1213" s="1399"/>
    </row>
    <row r="1214" spans="1:125">
      <c r="A1214" s="1414"/>
      <c r="B1214" s="1414"/>
      <c r="C1214" s="1414"/>
      <c r="D1214" s="1414"/>
      <c r="E1214" s="1414"/>
      <c r="F1214" s="1414"/>
      <c r="G1214" s="1414"/>
      <c r="H1214" s="1414"/>
      <c r="I1214" s="1414"/>
      <c r="J1214" s="1414"/>
      <c r="K1214" s="1414"/>
      <c r="L1214" s="1414"/>
      <c r="M1214" s="1414"/>
      <c r="N1214" s="1414"/>
      <c r="O1214" s="1414"/>
      <c r="P1214" s="1414"/>
      <c r="Q1214" s="1414"/>
      <c r="R1214" s="1414"/>
      <c r="S1214" s="1414"/>
      <c r="T1214" s="1414"/>
      <c r="U1214" s="1414"/>
      <c r="V1214" s="1414"/>
      <c r="W1214" s="1414"/>
      <c r="X1214" s="1414"/>
      <c r="Y1214" s="1414"/>
      <c r="Z1214" s="1414"/>
      <c r="AA1214" s="1414"/>
      <c r="AB1214" s="1414"/>
      <c r="AC1214" s="1414"/>
      <c r="AD1214" s="1414"/>
      <c r="AE1214" s="1414"/>
      <c r="AF1214" s="1414"/>
      <c r="AG1214" s="1414"/>
      <c r="AH1214" s="1414"/>
      <c r="AI1214" s="1414"/>
      <c r="AJ1214" s="1414"/>
      <c r="AK1214" s="1414"/>
      <c r="AL1214" s="1414"/>
      <c r="AM1214" s="1414"/>
      <c r="AN1214" s="1414"/>
      <c r="AO1214" s="1414"/>
      <c r="AP1214" s="1414"/>
      <c r="AQ1214" s="1414"/>
      <c r="AR1214" s="1414"/>
      <c r="AS1214" s="1414"/>
      <c r="AT1214" s="1414"/>
      <c r="AU1214" s="1414"/>
      <c r="AV1214" s="1414"/>
      <c r="AW1214" s="1414"/>
      <c r="AX1214" s="1414"/>
      <c r="AY1214" s="1399"/>
      <c r="AZ1214" s="1399"/>
      <c r="BA1214" s="1399"/>
      <c r="BB1214" s="1399"/>
      <c r="BC1214" s="1399"/>
      <c r="BD1214" s="1399"/>
      <c r="BE1214" s="1414"/>
      <c r="BF1214" s="1399"/>
      <c r="BG1214" s="1399"/>
      <c r="BH1214" s="1399"/>
      <c r="BI1214" s="1399"/>
      <c r="BJ1214" s="1399"/>
      <c r="BK1214" s="1399"/>
      <c r="BL1214" s="1399"/>
      <c r="BM1214" s="1399"/>
      <c r="BN1214" s="1399"/>
      <c r="BO1214" s="1399"/>
      <c r="BP1214" s="1399"/>
      <c r="BQ1214" s="1399"/>
      <c r="BR1214" s="1399"/>
      <c r="BS1214" s="1399"/>
      <c r="BT1214" s="1399"/>
      <c r="BU1214" s="1399"/>
      <c r="BV1214" s="1399"/>
      <c r="BW1214" s="1399"/>
      <c r="BX1214" s="1399"/>
      <c r="BY1214" s="1399"/>
      <c r="BZ1214" s="1399"/>
      <c r="CA1214" s="1399"/>
      <c r="CB1214" s="1399"/>
      <c r="CC1214" s="1399"/>
      <c r="CD1214" s="1399"/>
      <c r="CE1214" s="1399"/>
      <c r="CF1214" s="1399"/>
      <c r="CG1214" s="1399"/>
      <c r="CH1214" s="1399"/>
      <c r="CI1214" s="1399"/>
      <c r="CJ1214" s="1399"/>
      <c r="CK1214" s="1399"/>
      <c r="CL1214" s="1399"/>
      <c r="CM1214" s="1399"/>
      <c r="CN1214" s="1399"/>
      <c r="CO1214" s="1399"/>
      <c r="CP1214" s="1399"/>
      <c r="CQ1214" s="1399"/>
      <c r="CR1214" s="1399"/>
      <c r="CS1214" s="1399"/>
      <c r="CT1214" s="1399"/>
      <c r="CU1214" s="1399"/>
      <c r="CV1214" s="1399"/>
      <c r="CW1214" s="1399"/>
      <c r="CX1214" s="1399"/>
      <c r="CY1214" s="1399"/>
      <c r="CZ1214" s="1399"/>
      <c r="DA1214" s="1399"/>
      <c r="DB1214" s="1399"/>
      <c r="DC1214" s="1399"/>
      <c r="DD1214" s="1399"/>
      <c r="DE1214" s="1399"/>
      <c r="DF1214" s="1399"/>
      <c r="DG1214" s="1399"/>
      <c r="DH1214" s="1399"/>
      <c r="DI1214" s="1399"/>
      <c r="DJ1214" s="1399"/>
      <c r="DK1214" s="1399"/>
      <c r="DL1214" s="1399"/>
      <c r="DM1214" s="1399"/>
      <c r="DN1214" s="1399"/>
      <c r="DO1214" s="1399"/>
      <c r="DP1214" s="1399"/>
      <c r="DQ1214" s="1399"/>
      <c r="DR1214" s="1399"/>
      <c r="DS1214" s="1399"/>
      <c r="DT1214" s="1399"/>
      <c r="DU1214" s="1399"/>
    </row>
    <row r="1215" spans="1:125">
      <c r="A1215" s="1414"/>
      <c r="B1215" s="1414"/>
      <c r="C1215" s="1414"/>
      <c r="D1215" s="1414"/>
      <c r="E1215" s="1414"/>
      <c r="F1215" s="1414"/>
      <c r="G1215" s="1414"/>
      <c r="H1215" s="1414"/>
      <c r="I1215" s="1414"/>
      <c r="J1215" s="1414"/>
      <c r="K1215" s="1414"/>
      <c r="L1215" s="1414"/>
      <c r="M1215" s="1414"/>
      <c r="N1215" s="1414"/>
      <c r="O1215" s="1414"/>
      <c r="P1215" s="1414"/>
      <c r="Q1215" s="1414"/>
      <c r="R1215" s="1414"/>
      <c r="S1215" s="1414"/>
      <c r="T1215" s="1414"/>
      <c r="U1215" s="1414"/>
      <c r="V1215" s="1414"/>
      <c r="W1215" s="1414"/>
      <c r="X1215" s="1414"/>
      <c r="Y1215" s="1414"/>
      <c r="Z1215" s="1414"/>
      <c r="AA1215" s="1414"/>
      <c r="AB1215" s="1414"/>
      <c r="AC1215" s="1414"/>
      <c r="AD1215" s="1414"/>
      <c r="AE1215" s="1414"/>
      <c r="AF1215" s="1414"/>
      <c r="AG1215" s="1414"/>
      <c r="AH1215" s="1414"/>
      <c r="AI1215" s="1414"/>
      <c r="AJ1215" s="1414"/>
      <c r="AK1215" s="1414"/>
      <c r="AL1215" s="1414"/>
      <c r="AM1215" s="1414"/>
      <c r="AN1215" s="1414"/>
      <c r="AO1215" s="1414"/>
      <c r="AP1215" s="1414"/>
      <c r="AQ1215" s="1414"/>
      <c r="AR1215" s="1414"/>
      <c r="AS1215" s="1414"/>
      <c r="AT1215" s="1414"/>
      <c r="AU1215" s="1414"/>
      <c r="AV1215" s="1414"/>
      <c r="AW1215" s="1414"/>
      <c r="AX1215" s="1414"/>
      <c r="AY1215" s="1399"/>
      <c r="AZ1215" s="1399"/>
      <c r="BA1215" s="1399"/>
      <c r="BB1215" s="1399"/>
      <c r="BC1215" s="1399"/>
      <c r="BD1215" s="1399"/>
      <c r="BE1215" s="1414"/>
      <c r="BF1215" s="1399"/>
      <c r="BG1215" s="1399"/>
      <c r="BH1215" s="1399"/>
      <c r="BI1215" s="1399"/>
      <c r="BJ1215" s="1399"/>
      <c r="BK1215" s="1399"/>
      <c r="BL1215" s="1399"/>
      <c r="BM1215" s="1399"/>
      <c r="BN1215" s="1399"/>
      <c r="BO1215" s="1399"/>
      <c r="BP1215" s="1399"/>
      <c r="BQ1215" s="1399"/>
      <c r="BR1215" s="1399"/>
      <c r="BS1215" s="1399"/>
      <c r="BT1215" s="1399"/>
      <c r="BU1215" s="1399"/>
      <c r="BV1215" s="1399"/>
      <c r="BW1215" s="1399"/>
      <c r="BX1215" s="1399"/>
      <c r="BY1215" s="1399"/>
      <c r="BZ1215" s="1399"/>
      <c r="CA1215" s="1399"/>
      <c r="CB1215" s="1399"/>
      <c r="CC1215" s="1399"/>
      <c r="CD1215" s="1399"/>
      <c r="CE1215" s="1399"/>
      <c r="CF1215" s="1399"/>
      <c r="CG1215" s="1399"/>
      <c r="CH1215" s="1399"/>
      <c r="CI1215" s="1399"/>
      <c r="CJ1215" s="1399"/>
      <c r="CK1215" s="1399"/>
      <c r="CL1215" s="1399"/>
      <c r="CM1215" s="1399"/>
      <c r="CN1215" s="1399"/>
      <c r="CO1215" s="1399"/>
      <c r="CP1215" s="1399"/>
      <c r="CQ1215" s="1399"/>
      <c r="CR1215" s="1399"/>
      <c r="CS1215" s="1399"/>
      <c r="CT1215" s="1399"/>
      <c r="CU1215" s="1399"/>
      <c r="CV1215" s="1399"/>
      <c r="CW1215" s="1399"/>
      <c r="CX1215" s="1399"/>
      <c r="CY1215" s="1399"/>
      <c r="CZ1215" s="1399"/>
      <c r="DA1215" s="1399"/>
      <c r="DB1215" s="1399"/>
      <c r="DC1215" s="1399"/>
      <c r="DD1215" s="1399"/>
      <c r="DE1215" s="1399"/>
      <c r="DF1215" s="1399"/>
      <c r="DG1215" s="1399"/>
      <c r="DH1215" s="1399"/>
      <c r="DI1215" s="1399"/>
      <c r="DJ1215" s="1399"/>
      <c r="DK1215" s="1399"/>
      <c r="DL1215" s="1399"/>
      <c r="DM1215" s="1399"/>
      <c r="DN1215" s="1399"/>
      <c r="DO1215" s="1399"/>
      <c r="DP1215" s="1399"/>
      <c r="DQ1215" s="1399"/>
      <c r="DR1215" s="1399"/>
      <c r="DS1215" s="1399"/>
      <c r="DT1215" s="1399"/>
      <c r="DU1215" s="1399"/>
    </row>
    <row r="1216" spans="1:125">
      <c r="A1216" s="1414"/>
      <c r="B1216" s="1414"/>
      <c r="C1216" s="1414"/>
      <c r="D1216" s="1414"/>
      <c r="E1216" s="1414"/>
      <c r="F1216" s="1414"/>
      <c r="G1216" s="1414"/>
      <c r="H1216" s="1414"/>
      <c r="I1216" s="1414"/>
      <c r="J1216" s="1414"/>
      <c r="K1216" s="1414"/>
      <c r="L1216" s="1414"/>
      <c r="M1216" s="1414"/>
      <c r="N1216" s="1414"/>
      <c r="O1216" s="1414"/>
      <c r="P1216" s="1414"/>
      <c r="Q1216" s="1414"/>
      <c r="R1216" s="1414"/>
      <c r="S1216" s="1414"/>
      <c r="T1216" s="1414"/>
      <c r="U1216" s="1414"/>
      <c r="V1216" s="1414"/>
      <c r="W1216" s="1414"/>
      <c r="X1216" s="1414"/>
      <c r="Y1216" s="1414"/>
      <c r="Z1216" s="1414"/>
      <c r="AA1216" s="1414"/>
      <c r="AB1216" s="1414"/>
      <c r="AC1216" s="1414"/>
      <c r="AD1216" s="1414"/>
      <c r="AE1216" s="1414"/>
      <c r="AF1216" s="1414"/>
      <c r="AG1216" s="1414"/>
      <c r="AH1216" s="1414"/>
      <c r="AI1216" s="1414"/>
      <c r="AJ1216" s="1414"/>
      <c r="AK1216" s="1414"/>
      <c r="AL1216" s="1414"/>
      <c r="AM1216" s="1414"/>
      <c r="AN1216" s="1414"/>
      <c r="AO1216" s="1414"/>
      <c r="AP1216" s="1414"/>
      <c r="AQ1216" s="1414"/>
      <c r="AR1216" s="1414"/>
      <c r="AS1216" s="1414"/>
      <c r="AT1216" s="1414"/>
      <c r="AU1216" s="1414"/>
      <c r="AV1216" s="1414"/>
      <c r="AW1216" s="1414"/>
      <c r="AX1216" s="1414"/>
      <c r="AY1216" s="1399"/>
      <c r="AZ1216" s="1399"/>
      <c r="BA1216" s="1399"/>
      <c r="BB1216" s="1399"/>
      <c r="BC1216" s="1399"/>
      <c r="BD1216" s="1399"/>
      <c r="BE1216" s="1414"/>
      <c r="BF1216" s="1399"/>
      <c r="BG1216" s="1399"/>
      <c r="BH1216" s="1399"/>
      <c r="BI1216" s="1399"/>
      <c r="BJ1216" s="1399"/>
      <c r="BK1216" s="1399"/>
      <c r="BL1216" s="1399"/>
      <c r="BM1216" s="1399"/>
      <c r="BN1216" s="1399"/>
      <c r="BO1216" s="1399"/>
      <c r="BP1216" s="1399"/>
      <c r="BQ1216" s="1399"/>
      <c r="BR1216" s="1399"/>
      <c r="BS1216" s="1399"/>
      <c r="BT1216" s="1399"/>
      <c r="BU1216" s="1399"/>
      <c r="BV1216" s="1399"/>
      <c r="BW1216" s="1399"/>
      <c r="BX1216" s="1399"/>
      <c r="BY1216" s="1399"/>
      <c r="BZ1216" s="1399"/>
      <c r="CA1216" s="1399"/>
      <c r="CB1216" s="1399"/>
      <c r="CC1216" s="1399"/>
      <c r="CD1216" s="1399"/>
      <c r="CE1216" s="1399"/>
      <c r="CF1216" s="1399"/>
      <c r="CG1216" s="1399"/>
      <c r="CH1216" s="1399"/>
      <c r="CI1216" s="1399"/>
      <c r="CJ1216" s="1399"/>
      <c r="CK1216" s="1399"/>
      <c r="CL1216" s="1399"/>
      <c r="CM1216" s="1399"/>
      <c r="CN1216" s="1399"/>
      <c r="CO1216" s="1399"/>
      <c r="CP1216" s="1399"/>
      <c r="CQ1216" s="1399"/>
      <c r="CR1216" s="1399"/>
      <c r="CS1216" s="1399"/>
      <c r="CT1216" s="1399"/>
      <c r="CU1216" s="1399"/>
      <c r="CV1216" s="1399"/>
      <c r="CW1216" s="1399"/>
      <c r="CX1216" s="1399"/>
      <c r="CY1216" s="1399"/>
      <c r="CZ1216" s="1399"/>
      <c r="DA1216" s="1399"/>
      <c r="DB1216" s="1399"/>
      <c r="DC1216" s="1399"/>
      <c r="DD1216" s="1399"/>
      <c r="DE1216" s="1399"/>
      <c r="DF1216" s="1399"/>
      <c r="DG1216" s="1399"/>
      <c r="DH1216" s="1399"/>
      <c r="DI1216" s="1399"/>
      <c r="DJ1216" s="1399"/>
      <c r="DK1216" s="1399"/>
      <c r="DL1216" s="1399"/>
      <c r="DM1216" s="1399"/>
      <c r="DN1216" s="1399"/>
      <c r="DO1216" s="1399"/>
      <c r="DP1216" s="1399"/>
      <c r="DQ1216" s="1399"/>
      <c r="DR1216" s="1399"/>
      <c r="DS1216" s="1399"/>
      <c r="DT1216" s="1399"/>
      <c r="DU1216" s="1399"/>
    </row>
    <row r="1217" spans="1:125">
      <c r="A1217" s="1414"/>
      <c r="B1217" s="1414"/>
      <c r="C1217" s="1414"/>
      <c r="D1217" s="1414"/>
      <c r="E1217" s="1414"/>
      <c r="F1217" s="1414"/>
      <c r="G1217" s="1414"/>
      <c r="H1217" s="1414"/>
      <c r="I1217" s="1414"/>
      <c r="J1217" s="1414"/>
      <c r="K1217" s="1414"/>
      <c r="L1217" s="1414"/>
      <c r="M1217" s="1414"/>
      <c r="N1217" s="1414"/>
      <c r="O1217" s="1414"/>
      <c r="P1217" s="1414"/>
      <c r="Q1217" s="1414"/>
      <c r="R1217" s="1414"/>
      <c r="S1217" s="1414"/>
      <c r="T1217" s="1414"/>
      <c r="U1217" s="1414"/>
      <c r="V1217" s="1414"/>
      <c r="W1217" s="1414"/>
      <c r="X1217" s="1414"/>
      <c r="Y1217" s="1414"/>
      <c r="Z1217" s="1414"/>
      <c r="AA1217" s="1414"/>
      <c r="AB1217" s="1414"/>
      <c r="AC1217" s="1414"/>
      <c r="AD1217" s="1414"/>
      <c r="AE1217" s="1414"/>
      <c r="AF1217" s="1414"/>
      <c r="AG1217" s="1414"/>
      <c r="AH1217" s="1414"/>
      <c r="AI1217" s="1414"/>
      <c r="AJ1217" s="1414"/>
      <c r="AK1217" s="1414"/>
      <c r="AL1217" s="1414"/>
      <c r="AM1217" s="1414"/>
      <c r="AN1217" s="1414"/>
      <c r="AO1217" s="1414"/>
      <c r="AP1217" s="1414"/>
      <c r="AQ1217" s="1414"/>
      <c r="AR1217" s="1414"/>
      <c r="AS1217" s="1414"/>
      <c r="AT1217" s="1414"/>
      <c r="AU1217" s="1414"/>
      <c r="AV1217" s="1414"/>
      <c r="AW1217" s="1414"/>
      <c r="AX1217" s="1414"/>
      <c r="AY1217" s="1399"/>
      <c r="AZ1217" s="1399"/>
      <c r="BA1217" s="1399"/>
      <c r="BB1217" s="1399"/>
      <c r="BC1217" s="1399"/>
      <c r="BD1217" s="1399"/>
      <c r="BE1217" s="1414"/>
      <c r="BF1217" s="1399"/>
      <c r="BG1217" s="1399"/>
      <c r="BH1217" s="1399"/>
      <c r="BI1217" s="1399"/>
      <c r="BJ1217" s="1399"/>
      <c r="BK1217" s="1399"/>
      <c r="BL1217" s="1399"/>
      <c r="BM1217" s="1399"/>
      <c r="BN1217" s="1399"/>
      <c r="BO1217" s="1399"/>
      <c r="BP1217" s="1399"/>
      <c r="BQ1217" s="1399"/>
      <c r="BR1217" s="1399"/>
      <c r="BS1217" s="1399"/>
      <c r="BT1217" s="1399"/>
      <c r="BU1217" s="1399"/>
      <c r="BV1217" s="1399"/>
      <c r="BW1217" s="1399"/>
      <c r="BX1217" s="1399"/>
      <c r="BY1217" s="1399"/>
      <c r="BZ1217" s="1399"/>
      <c r="CA1217" s="1399"/>
      <c r="CB1217" s="1399"/>
      <c r="CC1217" s="1399"/>
      <c r="CD1217" s="1399"/>
      <c r="CE1217" s="1399"/>
      <c r="CF1217" s="1399"/>
      <c r="CG1217" s="1399"/>
      <c r="CH1217" s="1399"/>
      <c r="CI1217" s="1399"/>
      <c r="CJ1217" s="1399"/>
      <c r="CK1217" s="1399"/>
      <c r="CL1217" s="1399"/>
      <c r="CM1217" s="1399"/>
      <c r="CN1217" s="1399"/>
      <c r="CO1217" s="1399"/>
      <c r="CP1217" s="1399"/>
      <c r="CQ1217" s="1399"/>
      <c r="CR1217" s="1399"/>
      <c r="CS1217" s="1399"/>
      <c r="CT1217" s="1399"/>
      <c r="CU1217" s="1399"/>
      <c r="CV1217" s="1399"/>
      <c r="CW1217" s="1399"/>
      <c r="CX1217" s="1399"/>
      <c r="CY1217" s="1399"/>
      <c r="CZ1217" s="1399"/>
      <c r="DA1217" s="1399"/>
      <c r="DB1217" s="1399"/>
      <c r="DC1217" s="1399"/>
      <c r="DD1217" s="1399"/>
      <c r="DE1217" s="1399"/>
      <c r="DF1217" s="1399"/>
      <c r="DG1217" s="1399"/>
      <c r="DH1217" s="1399"/>
      <c r="DI1217" s="1399"/>
      <c r="DJ1217" s="1399"/>
      <c r="DK1217" s="1399"/>
      <c r="DL1217" s="1399"/>
      <c r="DM1217" s="1399"/>
      <c r="DN1217" s="1399"/>
      <c r="DO1217" s="1399"/>
      <c r="DP1217" s="1399"/>
      <c r="DQ1217" s="1399"/>
      <c r="DR1217" s="1399"/>
      <c r="DS1217" s="1399"/>
      <c r="DT1217" s="1399"/>
      <c r="DU1217" s="1399"/>
    </row>
    <row r="1218" spans="1:125">
      <c r="A1218" s="1414"/>
      <c r="B1218" s="1414"/>
      <c r="C1218" s="1414"/>
      <c r="D1218" s="1414"/>
      <c r="E1218" s="1414"/>
      <c r="F1218" s="1414"/>
      <c r="G1218" s="1414"/>
      <c r="H1218" s="1414"/>
      <c r="I1218" s="1414"/>
      <c r="J1218" s="1414"/>
      <c r="K1218" s="1414"/>
      <c r="L1218" s="1414"/>
      <c r="M1218" s="1414"/>
      <c r="N1218" s="1414"/>
      <c r="O1218" s="1414"/>
      <c r="P1218" s="1414"/>
      <c r="Q1218" s="1414"/>
      <c r="R1218" s="1414"/>
      <c r="S1218" s="1414"/>
      <c r="T1218" s="1414"/>
      <c r="U1218" s="1414"/>
      <c r="V1218" s="1414"/>
      <c r="W1218" s="1414"/>
      <c r="X1218" s="1414"/>
      <c r="Y1218" s="1414"/>
      <c r="Z1218" s="1414"/>
      <c r="AA1218" s="1414"/>
      <c r="AB1218" s="1414"/>
      <c r="AC1218" s="1414"/>
      <c r="AD1218" s="1414"/>
      <c r="AE1218" s="1414"/>
      <c r="AF1218" s="1414"/>
      <c r="AG1218" s="1414"/>
      <c r="AH1218" s="1414"/>
      <c r="AI1218" s="1414"/>
      <c r="AJ1218" s="1414"/>
      <c r="AK1218" s="1414"/>
      <c r="AL1218" s="1414"/>
      <c r="AM1218" s="1414"/>
      <c r="AN1218" s="1414"/>
      <c r="AO1218" s="1414"/>
      <c r="AP1218" s="1414"/>
      <c r="AQ1218" s="1414"/>
      <c r="AR1218" s="1414"/>
      <c r="AS1218" s="1414"/>
      <c r="AT1218" s="1414"/>
      <c r="AU1218" s="1414"/>
      <c r="AV1218" s="1414"/>
      <c r="AW1218" s="1414"/>
      <c r="AX1218" s="1414"/>
      <c r="AY1218" s="1399"/>
      <c r="AZ1218" s="1399"/>
      <c r="BA1218" s="1399"/>
      <c r="BB1218" s="1399"/>
      <c r="BC1218" s="1399"/>
      <c r="BD1218" s="1399"/>
      <c r="BE1218" s="1414"/>
      <c r="BF1218" s="1399"/>
      <c r="BG1218" s="1399"/>
      <c r="BH1218" s="1399"/>
      <c r="BI1218" s="1399"/>
      <c r="BJ1218" s="1399"/>
      <c r="BK1218" s="1399"/>
      <c r="BL1218" s="1399"/>
      <c r="BM1218" s="1399"/>
      <c r="BN1218" s="1399"/>
      <c r="BO1218" s="1399"/>
      <c r="BP1218" s="1399"/>
      <c r="BQ1218" s="1399"/>
      <c r="BR1218" s="1399"/>
      <c r="BS1218" s="1399"/>
      <c r="BT1218" s="1399"/>
      <c r="BU1218" s="1399"/>
      <c r="BV1218" s="1399"/>
      <c r="BW1218" s="1399"/>
      <c r="BX1218" s="1399"/>
      <c r="BY1218" s="1399"/>
      <c r="BZ1218" s="1399"/>
      <c r="CA1218" s="1399"/>
      <c r="CB1218" s="1399"/>
      <c r="CC1218" s="1399"/>
      <c r="CD1218" s="1399"/>
      <c r="CE1218" s="1399"/>
      <c r="CF1218" s="1399"/>
      <c r="CG1218" s="1399"/>
      <c r="CH1218" s="1399"/>
      <c r="CI1218" s="1399"/>
      <c r="CJ1218" s="1399"/>
      <c r="CK1218" s="1399"/>
      <c r="CL1218" s="1399"/>
      <c r="CM1218" s="1399"/>
      <c r="CN1218" s="1399"/>
      <c r="CO1218" s="1399"/>
      <c r="CP1218" s="1399"/>
      <c r="CQ1218" s="1399"/>
      <c r="CR1218" s="1399"/>
      <c r="CS1218" s="1399"/>
      <c r="CT1218" s="1399"/>
      <c r="CU1218" s="1399"/>
      <c r="CV1218" s="1399"/>
      <c r="CW1218" s="1399"/>
      <c r="CX1218" s="1399"/>
      <c r="CY1218" s="1399"/>
      <c r="CZ1218" s="1399"/>
      <c r="DA1218" s="1399"/>
      <c r="DB1218" s="1399"/>
      <c r="DC1218" s="1399"/>
      <c r="DD1218" s="1399"/>
      <c r="DE1218" s="1399"/>
      <c r="DF1218" s="1399"/>
      <c r="DG1218" s="1399"/>
      <c r="DH1218" s="1399"/>
      <c r="DI1218" s="1399"/>
      <c r="DJ1218" s="1399"/>
      <c r="DK1218" s="1399"/>
      <c r="DL1218" s="1399"/>
      <c r="DM1218" s="1399"/>
      <c r="DN1218" s="1399"/>
      <c r="DO1218" s="1399"/>
      <c r="DP1218" s="1399"/>
      <c r="DQ1218" s="1399"/>
      <c r="DR1218" s="1399"/>
      <c r="DS1218" s="1399"/>
      <c r="DT1218" s="1399"/>
      <c r="DU1218" s="1399"/>
    </row>
    <row r="1219" spans="1:125">
      <c r="A1219" s="1414"/>
      <c r="B1219" s="1414"/>
      <c r="C1219" s="1414"/>
      <c r="D1219" s="1414"/>
      <c r="E1219" s="1414"/>
      <c r="F1219" s="1414"/>
      <c r="G1219" s="1414"/>
      <c r="H1219" s="1414"/>
      <c r="I1219" s="1414"/>
      <c r="J1219" s="1414"/>
      <c r="K1219" s="1414"/>
      <c r="L1219" s="1414"/>
      <c r="M1219" s="1414"/>
      <c r="N1219" s="1414"/>
      <c r="O1219" s="1414"/>
      <c r="P1219" s="1414"/>
      <c r="Q1219" s="1414"/>
      <c r="R1219" s="1414"/>
      <c r="S1219" s="1414"/>
      <c r="T1219" s="1414"/>
      <c r="U1219" s="1414"/>
      <c r="V1219" s="1414"/>
      <c r="W1219" s="1414"/>
      <c r="X1219" s="1414"/>
      <c r="Y1219" s="1414"/>
      <c r="Z1219" s="1414"/>
      <c r="AA1219" s="1414"/>
      <c r="AB1219" s="1414"/>
      <c r="AC1219" s="1414"/>
      <c r="AD1219" s="1414"/>
      <c r="AE1219" s="1414"/>
      <c r="AF1219" s="1414"/>
      <c r="AG1219" s="1414"/>
      <c r="AH1219" s="1414"/>
      <c r="AI1219" s="1414"/>
      <c r="AJ1219" s="1414"/>
      <c r="AK1219" s="1414"/>
      <c r="AL1219" s="1414"/>
      <c r="AM1219" s="1414"/>
      <c r="AN1219" s="1414"/>
      <c r="AO1219" s="1414"/>
      <c r="AP1219" s="1414"/>
      <c r="AQ1219" s="1414"/>
      <c r="AR1219" s="1414"/>
      <c r="AS1219" s="1414"/>
      <c r="AT1219" s="1414"/>
      <c r="AU1219" s="1414"/>
      <c r="AV1219" s="1414"/>
      <c r="AW1219" s="1414"/>
      <c r="AX1219" s="1414"/>
      <c r="AY1219" s="1399"/>
      <c r="AZ1219" s="1399"/>
      <c r="BA1219" s="1399"/>
      <c r="BB1219" s="1399"/>
      <c r="BC1219" s="1399"/>
      <c r="BD1219" s="1399"/>
      <c r="BE1219" s="1414"/>
      <c r="BF1219" s="1399"/>
      <c r="BG1219" s="1399"/>
      <c r="BH1219" s="1399"/>
      <c r="BI1219" s="1399"/>
      <c r="BJ1219" s="1399"/>
      <c r="BK1219" s="1399"/>
      <c r="BL1219" s="1399"/>
      <c r="BM1219" s="1399"/>
      <c r="BN1219" s="1399"/>
      <c r="BO1219" s="1399"/>
      <c r="BP1219" s="1399"/>
      <c r="BQ1219" s="1399"/>
      <c r="BR1219" s="1399"/>
      <c r="BS1219" s="1399"/>
      <c r="BT1219" s="1399"/>
      <c r="BU1219" s="1399"/>
      <c r="BV1219" s="1399"/>
      <c r="BW1219" s="1399"/>
      <c r="BX1219" s="1399"/>
      <c r="BY1219" s="1399"/>
      <c r="BZ1219" s="1399"/>
      <c r="CA1219" s="1399"/>
      <c r="CB1219" s="1399"/>
      <c r="CC1219" s="1399"/>
      <c r="CD1219" s="1399"/>
      <c r="CE1219" s="1399"/>
      <c r="CF1219" s="1399"/>
      <c r="CG1219" s="1399"/>
      <c r="CH1219" s="1399"/>
      <c r="CI1219" s="1399"/>
      <c r="CJ1219" s="1399"/>
      <c r="CK1219" s="1399"/>
      <c r="CL1219" s="1399"/>
      <c r="CM1219" s="1399"/>
      <c r="CN1219" s="1399"/>
      <c r="CO1219" s="1399"/>
      <c r="CP1219" s="1399"/>
      <c r="CQ1219" s="1399"/>
      <c r="CR1219" s="1399"/>
      <c r="CS1219" s="1399"/>
      <c r="CT1219" s="1399"/>
      <c r="CU1219" s="1399"/>
      <c r="CV1219" s="1399"/>
      <c r="CW1219" s="1399"/>
      <c r="CX1219" s="1399"/>
      <c r="CY1219" s="1399"/>
      <c r="CZ1219" s="1399"/>
      <c r="DA1219" s="1399"/>
      <c r="DB1219" s="1399"/>
      <c r="DC1219" s="1399"/>
      <c r="DD1219" s="1399"/>
      <c r="DE1219" s="1399"/>
      <c r="DF1219" s="1399"/>
      <c r="DG1219" s="1399"/>
      <c r="DH1219" s="1399"/>
      <c r="DI1219" s="1399"/>
      <c r="DJ1219" s="1399"/>
      <c r="DK1219" s="1399"/>
      <c r="DL1219" s="1399"/>
      <c r="DM1219" s="1399"/>
      <c r="DN1219" s="1399"/>
      <c r="DO1219" s="1399"/>
      <c r="DP1219" s="1399"/>
      <c r="DQ1219" s="1399"/>
      <c r="DR1219" s="1399"/>
      <c r="DS1219" s="1399"/>
      <c r="DT1219" s="1399"/>
      <c r="DU1219" s="1399"/>
    </row>
    <row r="1220" spans="1:125">
      <c r="A1220" s="1414"/>
      <c r="B1220" s="1414"/>
      <c r="C1220" s="1414"/>
      <c r="D1220" s="1414"/>
      <c r="E1220" s="1414"/>
      <c r="F1220" s="1414"/>
      <c r="G1220" s="1414"/>
      <c r="H1220" s="1414"/>
      <c r="I1220" s="1414"/>
      <c r="J1220" s="1414"/>
      <c r="K1220" s="1414"/>
      <c r="L1220" s="1414"/>
      <c r="M1220" s="1414"/>
      <c r="N1220" s="1414"/>
      <c r="O1220" s="1414"/>
      <c r="P1220" s="1414"/>
      <c r="Q1220" s="1414"/>
      <c r="R1220" s="1414"/>
      <c r="S1220" s="1414"/>
      <c r="T1220" s="1414"/>
      <c r="U1220" s="1414"/>
      <c r="V1220" s="1414"/>
      <c r="W1220" s="1414"/>
      <c r="X1220" s="1414"/>
      <c r="Y1220" s="1414"/>
      <c r="Z1220" s="1414"/>
      <c r="AA1220" s="1414"/>
      <c r="AB1220" s="1414"/>
      <c r="AC1220" s="1414"/>
      <c r="AD1220" s="1414"/>
      <c r="AE1220" s="1414"/>
      <c r="AF1220" s="1414"/>
      <c r="AG1220" s="1414"/>
      <c r="AH1220" s="1414"/>
      <c r="AI1220" s="1414"/>
      <c r="AJ1220" s="1414"/>
      <c r="AK1220" s="1414"/>
      <c r="AL1220" s="1414"/>
      <c r="AM1220" s="1414"/>
      <c r="AN1220" s="1414"/>
      <c r="AO1220" s="1414"/>
      <c r="AP1220" s="1414"/>
      <c r="AQ1220" s="1414"/>
      <c r="AR1220" s="1414"/>
      <c r="AS1220" s="1414"/>
      <c r="AT1220" s="1414"/>
      <c r="AU1220" s="1414"/>
      <c r="AV1220" s="1414"/>
      <c r="AW1220" s="1414"/>
      <c r="AX1220" s="1414"/>
      <c r="AY1220" s="1399"/>
      <c r="AZ1220" s="1399"/>
      <c r="BA1220" s="1399"/>
      <c r="BB1220" s="1399"/>
      <c r="BC1220" s="1399"/>
      <c r="BD1220" s="1399"/>
      <c r="BE1220" s="1414"/>
      <c r="BF1220" s="1399"/>
      <c r="BG1220" s="1399"/>
      <c r="BH1220" s="1399"/>
      <c r="BI1220" s="1399"/>
      <c r="BJ1220" s="1399"/>
      <c r="BK1220" s="1399"/>
      <c r="BL1220" s="1399"/>
      <c r="BM1220" s="1399"/>
      <c r="BN1220" s="1399"/>
      <c r="BO1220" s="1399"/>
      <c r="BP1220" s="1399"/>
      <c r="BQ1220" s="1399"/>
      <c r="BR1220" s="1399"/>
      <c r="BS1220" s="1399"/>
      <c r="BT1220" s="1399"/>
      <c r="BU1220" s="1399"/>
      <c r="BV1220" s="1399"/>
      <c r="BW1220" s="1399"/>
      <c r="BX1220" s="1399"/>
      <c r="BY1220" s="1399"/>
      <c r="BZ1220" s="1399"/>
      <c r="CA1220" s="1399"/>
      <c r="CB1220" s="1399"/>
      <c r="CC1220" s="1399"/>
      <c r="CD1220" s="1399"/>
      <c r="CE1220" s="1399"/>
      <c r="CF1220" s="1399"/>
      <c r="CG1220" s="1399"/>
      <c r="CH1220" s="1399"/>
      <c r="CI1220" s="1399"/>
      <c r="CJ1220" s="1399"/>
      <c r="CK1220" s="1399"/>
      <c r="CL1220" s="1399"/>
      <c r="CM1220" s="1399"/>
      <c r="CN1220" s="1399"/>
      <c r="CO1220" s="1399"/>
      <c r="CP1220" s="1399"/>
      <c r="CQ1220" s="1399"/>
      <c r="CR1220" s="1399"/>
      <c r="CS1220" s="1399"/>
      <c r="CT1220" s="1399"/>
      <c r="CU1220" s="1399"/>
      <c r="CV1220" s="1399"/>
      <c r="CW1220" s="1399"/>
      <c r="CX1220" s="1399"/>
      <c r="CY1220" s="1399"/>
      <c r="CZ1220" s="1399"/>
      <c r="DA1220" s="1399"/>
      <c r="DB1220" s="1399"/>
      <c r="DC1220" s="1399"/>
      <c r="DD1220" s="1399"/>
      <c r="DE1220" s="1399"/>
      <c r="DF1220" s="1399"/>
      <c r="DG1220" s="1399"/>
      <c r="DH1220" s="1399"/>
      <c r="DI1220" s="1399"/>
      <c r="DJ1220" s="1399"/>
      <c r="DK1220" s="1399"/>
      <c r="DL1220" s="1399"/>
      <c r="DM1220" s="1399"/>
      <c r="DN1220" s="1399"/>
      <c r="DO1220" s="1399"/>
      <c r="DP1220" s="1399"/>
      <c r="DQ1220" s="1399"/>
      <c r="DR1220" s="1399"/>
      <c r="DS1220" s="1399"/>
      <c r="DT1220" s="1399"/>
      <c r="DU1220" s="1399"/>
    </row>
    <row r="1221" spans="1:125">
      <c r="A1221" s="1414"/>
      <c r="B1221" s="1414"/>
      <c r="C1221" s="1414"/>
      <c r="D1221" s="1414"/>
      <c r="E1221" s="1414"/>
      <c r="F1221" s="1414"/>
      <c r="G1221" s="1414"/>
      <c r="H1221" s="1414"/>
      <c r="I1221" s="1414"/>
      <c r="J1221" s="1414"/>
      <c r="K1221" s="1414"/>
      <c r="L1221" s="1414"/>
      <c r="M1221" s="1414"/>
      <c r="N1221" s="1414"/>
      <c r="O1221" s="1414"/>
      <c r="P1221" s="1414"/>
      <c r="Q1221" s="1414"/>
      <c r="R1221" s="1414"/>
      <c r="S1221" s="1414"/>
      <c r="T1221" s="1414"/>
      <c r="U1221" s="1414"/>
      <c r="V1221" s="1414"/>
      <c r="W1221" s="1414"/>
      <c r="X1221" s="1414"/>
      <c r="Y1221" s="1414"/>
      <c r="Z1221" s="1414"/>
      <c r="AA1221" s="1414"/>
      <c r="AB1221" s="1414"/>
      <c r="AC1221" s="1414"/>
      <c r="AD1221" s="1414"/>
      <c r="AE1221" s="1414"/>
      <c r="AF1221" s="1414"/>
      <c r="AG1221" s="1414"/>
      <c r="AH1221" s="1414"/>
      <c r="AI1221" s="1414"/>
      <c r="AJ1221" s="1414"/>
      <c r="AK1221" s="1414"/>
      <c r="AL1221" s="1414"/>
      <c r="AM1221" s="1414"/>
      <c r="AN1221" s="1414"/>
      <c r="AO1221" s="1414"/>
      <c r="AP1221" s="1414"/>
      <c r="AQ1221" s="1414"/>
      <c r="AR1221" s="1414"/>
      <c r="AS1221" s="1414"/>
      <c r="AT1221" s="1414"/>
      <c r="AU1221" s="1414"/>
      <c r="AV1221" s="1414"/>
      <c r="AW1221" s="1414"/>
      <c r="AX1221" s="1414"/>
      <c r="AY1221" s="1399"/>
      <c r="AZ1221" s="1399"/>
      <c r="BA1221" s="1399"/>
      <c r="BB1221" s="1399"/>
      <c r="BC1221" s="1399"/>
      <c r="BD1221" s="1399"/>
      <c r="BE1221" s="1414"/>
      <c r="BF1221" s="1399"/>
      <c r="BG1221" s="1399"/>
      <c r="BH1221" s="1399"/>
      <c r="BI1221" s="1399"/>
      <c r="BJ1221" s="1399"/>
      <c r="BK1221" s="1399"/>
      <c r="BL1221" s="1399"/>
      <c r="BM1221" s="1399"/>
      <c r="BN1221" s="1399"/>
      <c r="BO1221" s="1399"/>
      <c r="BP1221" s="1399"/>
      <c r="BQ1221" s="1399"/>
      <c r="BR1221" s="1399"/>
      <c r="BS1221" s="1399"/>
      <c r="BT1221" s="1399"/>
      <c r="BU1221" s="1399"/>
      <c r="BV1221" s="1399"/>
      <c r="BW1221" s="1399"/>
      <c r="BX1221" s="1399"/>
      <c r="BY1221" s="1399"/>
      <c r="BZ1221" s="1399"/>
      <c r="CA1221" s="1399"/>
      <c r="CB1221" s="1399"/>
      <c r="CC1221" s="1399"/>
      <c r="CD1221" s="1399"/>
      <c r="CE1221" s="1399"/>
      <c r="CF1221" s="1399"/>
      <c r="CG1221" s="1399"/>
      <c r="CH1221" s="1399"/>
      <c r="CI1221" s="1399"/>
      <c r="CJ1221" s="1399"/>
      <c r="CK1221" s="1399"/>
      <c r="CL1221" s="1399"/>
      <c r="CM1221" s="1399"/>
      <c r="CN1221" s="1399"/>
      <c r="CO1221" s="1399"/>
      <c r="CP1221" s="1399"/>
      <c r="CQ1221" s="1399"/>
      <c r="CR1221" s="1399"/>
      <c r="CS1221" s="1399"/>
      <c r="CT1221" s="1399"/>
      <c r="CU1221" s="1399"/>
      <c r="CV1221" s="1399"/>
      <c r="CW1221" s="1399"/>
      <c r="CX1221" s="1399"/>
      <c r="CY1221" s="1399"/>
      <c r="CZ1221" s="1399"/>
      <c r="DA1221" s="1399"/>
      <c r="DB1221" s="1399"/>
      <c r="DC1221" s="1399"/>
      <c r="DD1221" s="1399"/>
      <c r="DE1221" s="1399"/>
      <c r="DF1221" s="1399"/>
      <c r="DG1221" s="1399"/>
      <c r="DH1221" s="1399"/>
      <c r="DI1221" s="1399"/>
      <c r="DJ1221" s="1399"/>
      <c r="DK1221" s="1399"/>
      <c r="DL1221" s="1399"/>
      <c r="DM1221" s="1399"/>
      <c r="DN1221" s="1399"/>
      <c r="DO1221" s="1399"/>
      <c r="DP1221" s="1399"/>
      <c r="DQ1221" s="1399"/>
      <c r="DR1221" s="1399"/>
      <c r="DS1221" s="1399"/>
      <c r="DT1221" s="1399"/>
      <c r="DU1221" s="1399"/>
    </row>
    <row r="1222" spans="1:125">
      <c r="A1222" s="1414"/>
      <c r="B1222" s="1414"/>
      <c r="C1222" s="1414"/>
      <c r="D1222" s="1414"/>
      <c r="E1222" s="1414"/>
      <c r="F1222" s="1414"/>
      <c r="G1222" s="1414"/>
      <c r="H1222" s="1414"/>
      <c r="I1222" s="1414"/>
      <c r="J1222" s="1414"/>
      <c r="K1222" s="1414"/>
      <c r="L1222" s="1414"/>
      <c r="M1222" s="1414"/>
      <c r="N1222" s="1414"/>
      <c r="O1222" s="1414"/>
      <c r="P1222" s="1414"/>
      <c r="Q1222" s="1414"/>
      <c r="R1222" s="1414"/>
      <c r="S1222" s="1414"/>
      <c r="T1222" s="1414"/>
      <c r="U1222" s="1414"/>
      <c r="V1222" s="1414"/>
      <c r="W1222" s="1414"/>
      <c r="X1222" s="1414"/>
      <c r="Y1222" s="1414"/>
      <c r="Z1222" s="1414"/>
      <c r="AA1222" s="1414"/>
      <c r="AB1222" s="1414"/>
      <c r="AC1222" s="1414"/>
      <c r="AD1222" s="1414"/>
      <c r="AE1222" s="1414"/>
      <c r="AF1222" s="1414"/>
      <c r="AG1222" s="1414"/>
      <c r="AH1222" s="1414"/>
      <c r="AI1222" s="1414"/>
      <c r="AJ1222" s="1414"/>
      <c r="AK1222" s="1414"/>
      <c r="AL1222" s="1414"/>
      <c r="AM1222" s="1414"/>
      <c r="AN1222" s="1414"/>
      <c r="AO1222" s="1414"/>
      <c r="AP1222" s="1414"/>
      <c r="AQ1222" s="1414"/>
      <c r="AR1222" s="1414"/>
      <c r="AS1222" s="1414"/>
      <c r="AT1222" s="1414"/>
      <c r="AU1222" s="1414"/>
      <c r="AV1222" s="1414"/>
      <c r="AW1222" s="1414"/>
      <c r="AX1222" s="1414"/>
      <c r="AY1222" s="1399"/>
      <c r="AZ1222" s="1399"/>
      <c r="BA1222" s="1399"/>
      <c r="BB1222" s="1399"/>
      <c r="BC1222" s="1399"/>
      <c r="BD1222" s="1399"/>
      <c r="BE1222" s="1414"/>
      <c r="BF1222" s="1399"/>
      <c r="BG1222" s="1399"/>
      <c r="BH1222" s="1399"/>
      <c r="BI1222" s="1399"/>
      <c r="BJ1222" s="1399"/>
      <c r="BK1222" s="1399"/>
      <c r="BL1222" s="1399"/>
      <c r="BM1222" s="1399"/>
      <c r="BN1222" s="1399"/>
      <c r="BO1222" s="1399"/>
      <c r="BP1222" s="1399"/>
      <c r="BQ1222" s="1399"/>
      <c r="BR1222" s="1399"/>
      <c r="BS1222" s="1399"/>
      <c r="BT1222" s="1399"/>
      <c r="BU1222" s="1399"/>
      <c r="BV1222" s="1399"/>
      <c r="BW1222" s="1399"/>
      <c r="BX1222" s="1399"/>
      <c r="BY1222" s="1399"/>
      <c r="BZ1222" s="1399"/>
      <c r="CA1222" s="1399"/>
      <c r="CB1222" s="1399"/>
      <c r="CC1222" s="1399"/>
      <c r="CD1222" s="1399"/>
      <c r="CE1222" s="1399"/>
      <c r="CF1222" s="1399"/>
      <c r="CG1222" s="1399"/>
      <c r="CH1222" s="1399"/>
      <c r="CI1222" s="1399"/>
      <c r="CJ1222" s="1399"/>
      <c r="CK1222" s="1399"/>
      <c r="CL1222" s="1399"/>
      <c r="CM1222" s="1399"/>
      <c r="CN1222" s="1399"/>
      <c r="CO1222" s="1399"/>
      <c r="CP1222" s="1399"/>
      <c r="CQ1222" s="1399"/>
      <c r="CR1222" s="1399"/>
      <c r="CS1222" s="1399"/>
      <c r="CT1222" s="1399"/>
      <c r="CU1222" s="1399"/>
      <c r="CV1222" s="1399"/>
      <c r="CW1222" s="1399"/>
      <c r="CX1222" s="1399"/>
      <c r="CY1222" s="1399"/>
      <c r="CZ1222" s="1399"/>
      <c r="DA1222" s="1399"/>
      <c r="DB1222" s="1399"/>
      <c r="DC1222" s="1399"/>
      <c r="DD1222" s="1399"/>
      <c r="DE1222" s="1399"/>
      <c r="DF1222" s="1399"/>
      <c r="DG1222" s="1399"/>
      <c r="DH1222" s="1399"/>
      <c r="DI1222" s="1399"/>
      <c r="DJ1222" s="1399"/>
      <c r="DK1222" s="1399"/>
      <c r="DL1222" s="1399"/>
      <c r="DM1222" s="1399"/>
      <c r="DN1222" s="1399"/>
      <c r="DO1222" s="1399"/>
      <c r="DP1222" s="1399"/>
      <c r="DQ1222" s="1399"/>
      <c r="DR1222" s="1399"/>
      <c r="DS1222" s="1399"/>
      <c r="DT1222" s="1399"/>
      <c r="DU1222" s="1399"/>
    </row>
    <row r="1223" spans="1:125">
      <c r="A1223" s="1414"/>
      <c r="B1223" s="1414"/>
      <c r="C1223" s="1414"/>
      <c r="D1223" s="1414"/>
      <c r="E1223" s="1414"/>
      <c r="F1223" s="1414"/>
      <c r="G1223" s="1414"/>
      <c r="H1223" s="1414"/>
      <c r="I1223" s="1414"/>
      <c r="J1223" s="1414"/>
      <c r="K1223" s="1414"/>
      <c r="L1223" s="1414"/>
      <c r="M1223" s="1414"/>
      <c r="N1223" s="1414"/>
      <c r="O1223" s="1414"/>
      <c r="P1223" s="1414"/>
      <c r="Q1223" s="1414"/>
      <c r="R1223" s="1414"/>
      <c r="S1223" s="1414"/>
      <c r="T1223" s="1414"/>
      <c r="U1223" s="1414"/>
      <c r="V1223" s="1414"/>
      <c r="W1223" s="1414"/>
      <c r="X1223" s="1414"/>
      <c r="Y1223" s="1414"/>
      <c r="Z1223" s="1414"/>
      <c r="AA1223" s="1414"/>
      <c r="AB1223" s="1414"/>
      <c r="AC1223" s="1414"/>
      <c r="AD1223" s="1414"/>
      <c r="AE1223" s="1414"/>
      <c r="AF1223" s="1414"/>
      <c r="AG1223" s="1414"/>
      <c r="AH1223" s="1414"/>
      <c r="AI1223" s="1414"/>
      <c r="AJ1223" s="1414"/>
      <c r="AK1223" s="1414"/>
      <c r="AL1223" s="1414"/>
      <c r="AM1223" s="1414"/>
      <c r="AN1223" s="1414"/>
      <c r="AO1223" s="1414"/>
      <c r="AP1223" s="1414"/>
      <c r="AQ1223" s="1414"/>
      <c r="AR1223" s="1414"/>
      <c r="AS1223" s="1414"/>
      <c r="AT1223" s="1414"/>
      <c r="AU1223" s="1414"/>
      <c r="AV1223" s="1414"/>
      <c r="AW1223" s="1414"/>
      <c r="AX1223" s="1414"/>
      <c r="AY1223" s="1399"/>
      <c r="AZ1223" s="1399"/>
      <c r="BA1223" s="1399"/>
      <c r="BB1223" s="1399"/>
      <c r="BC1223" s="1399"/>
      <c r="BD1223" s="1399"/>
      <c r="BE1223" s="1414"/>
      <c r="BF1223" s="1399"/>
      <c r="BG1223" s="1399"/>
      <c r="BH1223" s="1399"/>
      <c r="BI1223" s="1399"/>
      <c r="BJ1223" s="1399"/>
      <c r="BK1223" s="1399"/>
      <c r="BL1223" s="1399"/>
      <c r="BM1223" s="1399"/>
      <c r="BN1223" s="1399"/>
      <c r="BO1223" s="1399"/>
      <c r="BP1223" s="1399"/>
      <c r="BQ1223" s="1399"/>
      <c r="BR1223" s="1399"/>
      <c r="BS1223" s="1399"/>
      <c r="BT1223" s="1399"/>
      <c r="BU1223" s="1399"/>
      <c r="BV1223" s="1399"/>
      <c r="BW1223" s="1399"/>
      <c r="BX1223" s="1399"/>
      <c r="BY1223" s="1399"/>
      <c r="BZ1223" s="1399"/>
      <c r="CA1223" s="1399"/>
      <c r="CB1223" s="1399"/>
      <c r="CC1223" s="1399"/>
      <c r="CD1223" s="1399"/>
      <c r="CE1223" s="1399"/>
      <c r="CF1223" s="1399"/>
      <c r="CG1223" s="1399"/>
      <c r="CH1223" s="1399"/>
      <c r="CI1223" s="1399"/>
      <c r="CJ1223" s="1399"/>
      <c r="CK1223" s="1399"/>
      <c r="CL1223" s="1399"/>
      <c r="CM1223" s="1399"/>
      <c r="CN1223" s="1399"/>
      <c r="CO1223" s="1399"/>
      <c r="CP1223" s="1399"/>
      <c r="CQ1223" s="1399"/>
      <c r="CR1223" s="1399"/>
      <c r="CS1223" s="1399"/>
      <c r="CT1223" s="1399"/>
      <c r="CU1223" s="1399"/>
      <c r="CV1223" s="1399"/>
      <c r="CW1223" s="1399"/>
      <c r="CX1223" s="1399"/>
      <c r="CY1223" s="1399"/>
      <c r="CZ1223" s="1399"/>
      <c r="DA1223" s="1399"/>
      <c r="DB1223" s="1399"/>
      <c r="DC1223" s="1399"/>
      <c r="DD1223" s="1399"/>
      <c r="DE1223" s="1399"/>
      <c r="DF1223" s="1399"/>
      <c r="DG1223" s="1399"/>
      <c r="DH1223" s="1399"/>
      <c r="DI1223" s="1399"/>
      <c r="DJ1223" s="1399"/>
      <c r="DK1223" s="1399"/>
      <c r="DL1223" s="1399"/>
      <c r="DM1223" s="1399"/>
      <c r="DN1223" s="1399"/>
      <c r="DO1223" s="1399"/>
      <c r="DP1223" s="1399"/>
      <c r="DQ1223" s="1399"/>
      <c r="DR1223" s="1399"/>
      <c r="DS1223" s="1399"/>
      <c r="DT1223" s="1399"/>
      <c r="DU1223" s="1399"/>
    </row>
    <row r="1224" spans="1:125">
      <c r="A1224" s="1414"/>
      <c r="B1224" s="1414"/>
      <c r="C1224" s="1414"/>
      <c r="D1224" s="1414"/>
      <c r="E1224" s="1414"/>
      <c r="F1224" s="1414"/>
      <c r="G1224" s="1414"/>
      <c r="H1224" s="1414"/>
      <c r="I1224" s="1414"/>
      <c r="J1224" s="1414"/>
      <c r="K1224" s="1414"/>
      <c r="L1224" s="1414"/>
      <c r="M1224" s="1414"/>
      <c r="N1224" s="1414"/>
      <c r="O1224" s="1414"/>
      <c r="P1224" s="1414"/>
      <c r="Q1224" s="1414"/>
      <c r="R1224" s="1414"/>
      <c r="S1224" s="1414"/>
      <c r="T1224" s="1414"/>
      <c r="U1224" s="1414"/>
      <c r="V1224" s="1414"/>
      <c r="W1224" s="1414"/>
      <c r="X1224" s="1414"/>
      <c r="Y1224" s="1414"/>
      <c r="Z1224" s="1414"/>
      <c r="AA1224" s="1414"/>
      <c r="AB1224" s="1414"/>
      <c r="AC1224" s="1414"/>
      <c r="AD1224" s="1414"/>
      <c r="AE1224" s="1414"/>
      <c r="AF1224" s="1414"/>
      <c r="AG1224" s="1414"/>
      <c r="AH1224" s="1414"/>
      <c r="AI1224" s="1414"/>
      <c r="AJ1224" s="1414"/>
      <c r="AK1224" s="1414"/>
      <c r="AL1224" s="1414"/>
      <c r="AM1224" s="1414"/>
      <c r="AN1224" s="1414"/>
      <c r="AO1224" s="1414"/>
      <c r="AP1224" s="1414"/>
      <c r="AQ1224" s="1414"/>
      <c r="AR1224" s="1414"/>
      <c r="AS1224" s="1414"/>
      <c r="AT1224" s="1414"/>
      <c r="AU1224" s="1414"/>
      <c r="AV1224" s="1414"/>
      <c r="AW1224" s="1414"/>
      <c r="AX1224" s="1414"/>
      <c r="AY1224" s="1399"/>
      <c r="AZ1224" s="1399"/>
      <c r="BA1224" s="1399"/>
      <c r="BB1224" s="1399"/>
      <c r="BC1224" s="1399"/>
      <c r="BD1224" s="1399"/>
      <c r="BE1224" s="1414"/>
      <c r="BF1224" s="1399"/>
      <c r="BG1224" s="1399"/>
      <c r="BH1224" s="1399"/>
      <c r="BI1224" s="1399"/>
      <c r="BJ1224" s="1399"/>
      <c r="BK1224" s="1399"/>
      <c r="BL1224" s="1399"/>
      <c r="BM1224" s="1399"/>
      <c r="BN1224" s="1399"/>
      <c r="BO1224" s="1399"/>
      <c r="BP1224" s="1399"/>
      <c r="BQ1224" s="1399"/>
      <c r="BR1224" s="1399"/>
      <c r="BS1224" s="1399"/>
      <c r="BT1224" s="1399"/>
      <c r="BU1224" s="1399"/>
      <c r="BV1224" s="1399"/>
      <c r="BW1224" s="1399"/>
      <c r="BX1224" s="1399"/>
      <c r="BY1224" s="1399"/>
      <c r="BZ1224" s="1399"/>
      <c r="CA1224" s="1399"/>
      <c r="CB1224" s="1399"/>
      <c r="CC1224" s="1399"/>
      <c r="CD1224" s="1399"/>
      <c r="CE1224" s="1399"/>
      <c r="CF1224" s="1399"/>
      <c r="CG1224" s="1399"/>
      <c r="CH1224" s="1399"/>
      <c r="CI1224" s="1399"/>
      <c r="CJ1224" s="1399"/>
      <c r="CK1224" s="1399"/>
      <c r="CL1224" s="1399"/>
      <c r="CM1224" s="1399"/>
      <c r="CN1224" s="1399"/>
      <c r="CO1224" s="1399"/>
      <c r="CP1224" s="1399"/>
      <c r="CQ1224" s="1399"/>
      <c r="CR1224" s="1399"/>
      <c r="CS1224" s="1399"/>
      <c r="CT1224" s="1399"/>
      <c r="CU1224" s="1399"/>
      <c r="CV1224" s="1399"/>
      <c r="CW1224" s="1399"/>
      <c r="CX1224" s="1399"/>
      <c r="CY1224" s="1399"/>
      <c r="CZ1224" s="1399"/>
      <c r="DA1224" s="1399"/>
      <c r="DB1224" s="1399"/>
      <c r="DC1224" s="1399"/>
      <c r="DD1224" s="1399"/>
      <c r="DE1224" s="1399"/>
      <c r="DF1224" s="1399"/>
      <c r="DG1224" s="1399"/>
      <c r="DH1224" s="1399"/>
      <c r="DI1224" s="1399"/>
      <c r="DJ1224" s="1399"/>
      <c r="DK1224" s="1399"/>
      <c r="DL1224" s="1399"/>
      <c r="DM1224" s="1399"/>
      <c r="DN1224" s="1399"/>
      <c r="DO1224" s="1399"/>
      <c r="DP1224" s="1399"/>
      <c r="DQ1224" s="1399"/>
      <c r="DR1224" s="1399"/>
      <c r="DS1224" s="1399"/>
      <c r="DT1224" s="1399"/>
      <c r="DU1224" s="1399"/>
    </row>
    <row r="1225" spans="1:125">
      <c r="A1225" s="1414"/>
      <c r="B1225" s="1414"/>
      <c r="C1225" s="1414"/>
      <c r="D1225" s="1414"/>
      <c r="E1225" s="1414"/>
      <c r="F1225" s="1414"/>
      <c r="G1225" s="1414"/>
      <c r="H1225" s="1414"/>
      <c r="I1225" s="1414"/>
      <c r="J1225" s="1414"/>
      <c r="K1225" s="1414"/>
      <c r="L1225" s="1414"/>
      <c r="M1225" s="1414"/>
      <c r="N1225" s="1414"/>
      <c r="O1225" s="1414"/>
      <c r="P1225" s="1414"/>
      <c r="Q1225" s="1414"/>
      <c r="R1225" s="1414"/>
      <c r="S1225" s="1414"/>
      <c r="T1225" s="1414"/>
      <c r="U1225" s="1414"/>
      <c r="V1225" s="1414"/>
      <c r="W1225" s="1414"/>
      <c r="X1225" s="1414"/>
      <c r="Y1225" s="1414"/>
      <c r="Z1225" s="1414"/>
      <c r="AA1225" s="1414"/>
      <c r="AB1225" s="1414"/>
      <c r="AC1225" s="1414"/>
      <c r="AD1225" s="1414"/>
      <c r="AE1225" s="1414"/>
      <c r="AF1225" s="1414"/>
      <c r="AG1225" s="1414"/>
      <c r="AH1225" s="1414"/>
      <c r="AI1225" s="1414"/>
      <c r="AJ1225" s="1414"/>
      <c r="AK1225" s="1414"/>
      <c r="AL1225" s="1414"/>
      <c r="AM1225" s="1414"/>
      <c r="AN1225" s="1414"/>
      <c r="AO1225" s="1414"/>
      <c r="AP1225" s="1414"/>
      <c r="AQ1225" s="1414"/>
      <c r="AR1225" s="1414"/>
      <c r="AS1225" s="1414"/>
      <c r="AT1225" s="1414"/>
      <c r="AU1225" s="1414"/>
      <c r="AV1225" s="1414"/>
      <c r="AW1225" s="1414"/>
      <c r="AX1225" s="1414"/>
      <c r="AY1225" s="1399"/>
      <c r="AZ1225" s="1399"/>
      <c r="BA1225" s="1399"/>
      <c r="BB1225" s="1399"/>
      <c r="BC1225" s="1399"/>
      <c r="BD1225" s="1399"/>
      <c r="BE1225" s="1414"/>
      <c r="BF1225" s="1399"/>
      <c r="BG1225" s="1399"/>
      <c r="BH1225" s="1399"/>
      <c r="BI1225" s="1399"/>
      <c r="BJ1225" s="1399"/>
      <c r="BK1225" s="1399"/>
      <c r="BL1225" s="1399"/>
      <c r="BM1225" s="1399"/>
      <c r="BN1225" s="1399"/>
      <c r="BO1225" s="1399"/>
      <c r="BP1225" s="1399"/>
      <c r="BQ1225" s="1399"/>
      <c r="BR1225" s="1399"/>
      <c r="BS1225" s="1399"/>
      <c r="BT1225" s="1399"/>
      <c r="BU1225" s="1399"/>
      <c r="BV1225" s="1399"/>
      <c r="BW1225" s="1399"/>
      <c r="BX1225" s="1399"/>
      <c r="BY1225" s="1399"/>
      <c r="BZ1225" s="1399"/>
      <c r="CA1225" s="1399"/>
      <c r="CB1225" s="1399"/>
      <c r="CC1225" s="1399"/>
      <c r="CD1225" s="1399"/>
      <c r="CE1225" s="1399"/>
      <c r="CF1225" s="1399"/>
      <c r="CG1225" s="1399"/>
      <c r="CH1225" s="1399"/>
      <c r="CI1225" s="1399"/>
      <c r="CJ1225" s="1399"/>
      <c r="CK1225" s="1399"/>
      <c r="CL1225" s="1399"/>
      <c r="CM1225" s="1399"/>
      <c r="CN1225" s="1399"/>
      <c r="CO1225" s="1399"/>
      <c r="CP1225" s="1399"/>
      <c r="CQ1225" s="1399"/>
      <c r="CR1225" s="1399"/>
      <c r="CS1225" s="1399"/>
      <c r="CT1225" s="1399"/>
      <c r="CU1225" s="1399"/>
      <c r="CV1225" s="1399"/>
      <c r="CW1225" s="1399"/>
      <c r="CX1225" s="1399"/>
      <c r="CY1225" s="1399"/>
      <c r="CZ1225" s="1399"/>
      <c r="DA1225" s="1399"/>
      <c r="DB1225" s="1399"/>
      <c r="DC1225" s="1399"/>
      <c r="DD1225" s="1399"/>
      <c r="DE1225" s="1399"/>
      <c r="DF1225" s="1399"/>
      <c r="DG1225" s="1399"/>
      <c r="DH1225" s="1399"/>
      <c r="DI1225" s="1399"/>
      <c r="DJ1225" s="1399"/>
      <c r="DK1225" s="1399"/>
      <c r="DL1225" s="1399"/>
      <c r="DM1225" s="1399"/>
      <c r="DN1225" s="1399"/>
      <c r="DO1225" s="1399"/>
      <c r="DP1225" s="1399"/>
      <c r="DQ1225" s="1399"/>
      <c r="DR1225" s="1399"/>
      <c r="DS1225" s="1399"/>
      <c r="DT1225" s="1399"/>
      <c r="DU1225" s="1399"/>
    </row>
    <row r="1226" spans="1:125">
      <c r="A1226" s="1414"/>
      <c r="B1226" s="1414"/>
      <c r="C1226" s="1414"/>
      <c r="D1226" s="1414"/>
      <c r="E1226" s="1414"/>
      <c r="F1226" s="1414"/>
      <c r="G1226" s="1414"/>
      <c r="H1226" s="1414"/>
      <c r="I1226" s="1414"/>
      <c r="J1226" s="1414"/>
      <c r="K1226" s="1414"/>
      <c r="L1226" s="1414"/>
      <c r="M1226" s="1414"/>
      <c r="N1226" s="1414"/>
      <c r="O1226" s="1414"/>
      <c r="P1226" s="1414"/>
      <c r="Q1226" s="1414"/>
      <c r="R1226" s="1414"/>
      <c r="S1226" s="1414"/>
      <c r="T1226" s="1414"/>
      <c r="U1226" s="1414"/>
      <c r="V1226" s="1414"/>
      <c r="W1226" s="1414"/>
      <c r="X1226" s="1414"/>
      <c r="Y1226" s="1414"/>
      <c r="Z1226" s="1414"/>
      <c r="AA1226" s="1414"/>
      <c r="AB1226" s="1414"/>
      <c r="AC1226" s="1414"/>
      <c r="AD1226" s="1414"/>
      <c r="AE1226" s="1414"/>
      <c r="AF1226" s="1414"/>
      <c r="AG1226" s="1414"/>
      <c r="AH1226" s="1414"/>
      <c r="AI1226" s="1414"/>
      <c r="AJ1226" s="1414"/>
      <c r="AK1226" s="1414"/>
      <c r="AL1226" s="1414"/>
      <c r="AM1226" s="1414"/>
      <c r="AN1226" s="1414"/>
      <c r="AO1226" s="1414"/>
      <c r="AP1226" s="1414"/>
      <c r="AQ1226" s="1414"/>
      <c r="AR1226" s="1414"/>
      <c r="AS1226" s="1414"/>
      <c r="AT1226" s="1414"/>
      <c r="AU1226" s="1414"/>
      <c r="AV1226" s="1414"/>
      <c r="AW1226" s="1414"/>
      <c r="AX1226" s="1414"/>
      <c r="AY1226" s="1399"/>
      <c r="AZ1226" s="1399"/>
      <c r="BA1226" s="1399"/>
      <c r="BB1226" s="1399"/>
      <c r="BC1226" s="1399"/>
      <c r="BD1226" s="1399"/>
      <c r="BE1226" s="1414"/>
      <c r="BF1226" s="1399"/>
      <c r="BG1226" s="1399"/>
      <c r="BH1226" s="1399"/>
      <c r="BI1226" s="1399"/>
      <c r="BJ1226" s="1399"/>
      <c r="BK1226" s="1399"/>
      <c r="BL1226" s="1399"/>
      <c r="BM1226" s="1399"/>
      <c r="BN1226" s="1399"/>
      <c r="BO1226" s="1399"/>
      <c r="BP1226" s="1399"/>
      <c r="BQ1226" s="1399"/>
      <c r="BR1226" s="1399"/>
      <c r="BS1226" s="1399"/>
      <c r="BT1226" s="1399"/>
      <c r="BU1226" s="1399"/>
      <c r="BV1226" s="1399"/>
      <c r="BW1226" s="1399"/>
      <c r="BX1226" s="1399"/>
      <c r="BY1226" s="1399"/>
      <c r="BZ1226" s="1399"/>
      <c r="CA1226" s="1399"/>
      <c r="CB1226" s="1399"/>
      <c r="CC1226" s="1399"/>
      <c r="CD1226" s="1399"/>
      <c r="CE1226" s="1399"/>
      <c r="CF1226" s="1399"/>
      <c r="CG1226" s="1399"/>
      <c r="CH1226" s="1399"/>
      <c r="CI1226" s="1399"/>
      <c r="CJ1226" s="1399"/>
      <c r="CK1226" s="1399"/>
      <c r="CL1226" s="1399"/>
      <c r="CM1226" s="1399"/>
      <c r="CN1226" s="1399"/>
      <c r="CO1226" s="1399"/>
      <c r="CP1226" s="1399"/>
      <c r="CQ1226" s="1399"/>
      <c r="CR1226" s="1399"/>
      <c r="CS1226" s="1399"/>
      <c r="CT1226" s="1399"/>
      <c r="CU1226" s="1399"/>
      <c r="CV1226" s="1399"/>
      <c r="CW1226" s="1399"/>
      <c r="CX1226" s="1399"/>
      <c r="CY1226" s="1399"/>
      <c r="CZ1226" s="1399"/>
      <c r="DA1226" s="1399"/>
      <c r="DB1226" s="1399"/>
      <c r="DC1226" s="1399"/>
      <c r="DD1226" s="1399"/>
      <c r="DE1226" s="1399"/>
      <c r="DF1226" s="1399"/>
      <c r="DG1226" s="1399"/>
      <c r="DH1226" s="1399"/>
      <c r="DI1226" s="1399"/>
      <c r="DJ1226" s="1399"/>
      <c r="DK1226" s="1399"/>
      <c r="DL1226" s="1399"/>
      <c r="DM1226" s="1399"/>
      <c r="DN1226" s="1399"/>
      <c r="DO1226" s="1399"/>
      <c r="DP1226" s="1399"/>
      <c r="DQ1226" s="1399"/>
      <c r="DR1226" s="1399"/>
      <c r="DS1226" s="1399"/>
      <c r="DT1226" s="1399"/>
      <c r="DU1226" s="1399"/>
    </row>
    <row r="1227" spans="1:125">
      <c r="A1227" s="1414"/>
      <c r="B1227" s="1414"/>
      <c r="C1227" s="1414"/>
      <c r="D1227" s="1414"/>
      <c r="E1227" s="1414"/>
      <c r="F1227" s="1414"/>
      <c r="G1227" s="1414"/>
      <c r="H1227" s="1414"/>
      <c r="I1227" s="1414"/>
      <c r="J1227" s="1414"/>
      <c r="K1227" s="1414"/>
      <c r="L1227" s="1414"/>
      <c r="M1227" s="1414"/>
      <c r="N1227" s="1414"/>
      <c r="O1227" s="1414"/>
      <c r="P1227" s="1414"/>
      <c r="Q1227" s="1414"/>
      <c r="R1227" s="1414"/>
      <c r="S1227" s="1414"/>
      <c r="T1227" s="1414"/>
      <c r="U1227" s="1414"/>
      <c r="V1227" s="1414"/>
      <c r="W1227" s="1414"/>
      <c r="X1227" s="1414"/>
      <c r="Y1227" s="1414"/>
      <c r="Z1227" s="1414"/>
      <c r="AA1227" s="1414"/>
      <c r="AB1227" s="1414"/>
      <c r="AC1227" s="1414"/>
      <c r="AD1227" s="1414"/>
      <c r="AE1227" s="1414"/>
      <c r="AF1227" s="1414"/>
      <c r="AG1227" s="1414"/>
      <c r="AH1227" s="1414"/>
      <c r="AI1227" s="1414"/>
      <c r="AJ1227" s="1414"/>
      <c r="AK1227" s="1414"/>
      <c r="AL1227" s="1414"/>
      <c r="AM1227" s="1414"/>
      <c r="AN1227" s="1414"/>
      <c r="AO1227" s="1414"/>
      <c r="AP1227" s="1414"/>
      <c r="AQ1227" s="1414"/>
      <c r="AR1227" s="1414"/>
      <c r="AS1227" s="1414"/>
      <c r="AT1227" s="1414"/>
      <c r="AU1227" s="1414"/>
      <c r="AV1227" s="1414"/>
      <c r="AW1227" s="1414"/>
      <c r="AX1227" s="1414"/>
      <c r="AY1227" s="1399"/>
      <c r="AZ1227" s="1399"/>
      <c r="BA1227" s="1399"/>
      <c r="BB1227" s="1399"/>
      <c r="BC1227" s="1399"/>
      <c r="BD1227" s="1399"/>
      <c r="BE1227" s="1414"/>
      <c r="BF1227" s="1399"/>
      <c r="BG1227" s="1399"/>
      <c r="BH1227" s="1399"/>
      <c r="BI1227" s="1399"/>
      <c r="BJ1227" s="1399"/>
      <c r="BK1227" s="1399"/>
      <c r="BL1227" s="1399"/>
      <c r="BM1227" s="1399"/>
      <c r="BN1227" s="1399"/>
      <c r="BO1227" s="1399"/>
      <c r="BP1227" s="1399"/>
      <c r="BQ1227" s="1399"/>
      <c r="BR1227" s="1399"/>
      <c r="BS1227" s="1399"/>
      <c r="BT1227" s="1399"/>
      <c r="BU1227" s="1399"/>
      <c r="BV1227" s="1399"/>
      <c r="BW1227" s="1399"/>
      <c r="BX1227" s="1399"/>
      <c r="BY1227" s="1399"/>
      <c r="BZ1227" s="1399"/>
      <c r="CA1227" s="1399"/>
      <c r="CB1227" s="1399"/>
      <c r="CC1227" s="1399"/>
      <c r="CD1227" s="1399"/>
      <c r="CE1227" s="1399"/>
      <c r="CF1227" s="1399"/>
      <c r="CG1227" s="1399"/>
      <c r="CH1227" s="1399"/>
      <c r="CI1227" s="1399"/>
      <c r="CJ1227" s="1399"/>
      <c r="CK1227" s="1399"/>
      <c r="CL1227" s="1399"/>
      <c r="CM1227" s="1399"/>
      <c r="CN1227" s="1399"/>
      <c r="CO1227" s="1399"/>
      <c r="CP1227" s="1399"/>
      <c r="CQ1227" s="1399"/>
      <c r="CR1227" s="1399"/>
      <c r="CS1227" s="1399"/>
      <c r="CT1227" s="1399"/>
      <c r="CU1227" s="1399"/>
      <c r="CV1227" s="1399"/>
      <c r="CW1227" s="1399"/>
      <c r="CX1227" s="1399"/>
      <c r="CY1227" s="1399"/>
      <c r="CZ1227" s="1399"/>
      <c r="DA1227" s="1399"/>
      <c r="DB1227" s="1399"/>
      <c r="DC1227" s="1399"/>
      <c r="DD1227" s="1399"/>
      <c r="DE1227" s="1399"/>
      <c r="DF1227" s="1399"/>
      <c r="DG1227" s="1399"/>
      <c r="DH1227" s="1399"/>
      <c r="DI1227" s="1399"/>
      <c r="DJ1227" s="1399"/>
      <c r="DK1227" s="1399"/>
      <c r="DL1227" s="1399"/>
      <c r="DM1227" s="1399"/>
      <c r="DN1227" s="1399"/>
      <c r="DO1227" s="1399"/>
      <c r="DP1227" s="1399"/>
      <c r="DQ1227" s="1399"/>
      <c r="DR1227" s="1399"/>
      <c r="DS1227" s="1399"/>
      <c r="DT1227" s="1399"/>
      <c r="DU1227" s="1399"/>
    </row>
    <row r="1228" spans="1:125">
      <c r="A1228" s="1414"/>
      <c r="B1228" s="1414"/>
      <c r="C1228" s="1414"/>
      <c r="D1228" s="1414"/>
      <c r="E1228" s="1414"/>
      <c r="F1228" s="1414"/>
      <c r="G1228" s="1414"/>
      <c r="H1228" s="1414"/>
      <c r="I1228" s="1414"/>
      <c r="J1228" s="1414"/>
      <c r="K1228" s="1414"/>
      <c r="L1228" s="1414"/>
      <c r="M1228" s="1414"/>
      <c r="N1228" s="1414"/>
      <c r="O1228" s="1414"/>
      <c r="P1228" s="1414"/>
      <c r="Q1228" s="1414"/>
      <c r="R1228" s="1414"/>
      <c r="S1228" s="1414"/>
      <c r="T1228" s="1414"/>
      <c r="U1228" s="1414"/>
      <c r="V1228" s="1414"/>
      <c r="W1228" s="1414"/>
      <c r="X1228" s="1414"/>
      <c r="Y1228" s="1414"/>
      <c r="Z1228" s="1414"/>
      <c r="AA1228" s="1414"/>
      <c r="AB1228" s="1414"/>
      <c r="AC1228" s="1414"/>
      <c r="AD1228" s="1414"/>
      <c r="AE1228" s="1414"/>
      <c r="AF1228" s="1414"/>
      <c r="AG1228" s="1414"/>
      <c r="AH1228" s="1414"/>
      <c r="AI1228" s="1414"/>
      <c r="AJ1228" s="1414"/>
      <c r="AK1228" s="1414"/>
      <c r="AL1228" s="1414"/>
      <c r="AM1228" s="1414"/>
      <c r="AN1228" s="1414"/>
      <c r="AO1228" s="1414"/>
      <c r="AP1228" s="1414"/>
      <c r="AQ1228" s="1414"/>
      <c r="AR1228" s="1414"/>
      <c r="AS1228" s="1414"/>
      <c r="AT1228" s="1414"/>
      <c r="AU1228" s="1414"/>
      <c r="AV1228" s="1414"/>
      <c r="AW1228" s="1414"/>
      <c r="AX1228" s="1414"/>
      <c r="AY1228" s="1399"/>
      <c r="AZ1228" s="1399"/>
      <c r="BA1228" s="1399"/>
      <c r="BB1228" s="1399"/>
      <c r="BC1228" s="1399"/>
      <c r="BD1228" s="1399"/>
      <c r="BE1228" s="1414"/>
      <c r="BF1228" s="1399"/>
      <c r="BG1228" s="1399"/>
      <c r="BH1228" s="1399"/>
      <c r="BI1228" s="1399"/>
      <c r="BJ1228" s="1399"/>
      <c r="BK1228" s="1399"/>
      <c r="BL1228" s="1399"/>
      <c r="BM1228" s="1399"/>
      <c r="BN1228" s="1399"/>
      <c r="BO1228" s="1399"/>
      <c r="BP1228" s="1399"/>
      <c r="BQ1228" s="1399"/>
      <c r="BR1228" s="1399"/>
      <c r="BS1228" s="1399"/>
      <c r="BT1228" s="1399"/>
      <c r="BU1228" s="1399"/>
      <c r="BV1228" s="1399"/>
      <c r="BW1228" s="1399"/>
      <c r="BX1228" s="1399"/>
      <c r="BY1228" s="1399"/>
      <c r="BZ1228" s="1399"/>
      <c r="CA1228" s="1399"/>
      <c r="CB1228" s="1399"/>
      <c r="CC1228" s="1399"/>
      <c r="CD1228" s="1399"/>
      <c r="CE1228" s="1399"/>
      <c r="CF1228" s="1399"/>
      <c r="CG1228" s="1399"/>
      <c r="CH1228" s="1399"/>
      <c r="CI1228" s="1399"/>
      <c r="CJ1228" s="1399"/>
      <c r="CK1228" s="1399"/>
      <c r="CL1228" s="1399"/>
      <c r="CM1228" s="1399"/>
      <c r="CN1228" s="1399"/>
      <c r="CO1228" s="1399"/>
      <c r="CP1228" s="1399"/>
      <c r="CQ1228" s="1399"/>
      <c r="CR1228" s="1399"/>
      <c r="CS1228" s="1399"/>
      <c r="CT1228" s="1399"/>
      <c r="CU1228" s="1399"/>
      <c r="CV1228" s="1399"/>
      <c r="CW1228" s="1399"/>
      <c r="CX1228" s="1399"/>
      <c r="CY1228" s="1399"/>
      <c r="CZ1228" s="1399"/>
      <c r="DA1228" s="1399"/>
      <c r="DB1228" s="1399"/>
      <c r="DC1228" s="1399"/>
      <c r="DD1228" s="1399"/>
      <c r="DE1228" s="1399"/>
      <c r="DF1228" s="1399"/>
      <c r="DG1228" s="1399"/>
      <c r="DH1228" s="1399"/>
      <c r="DI1228" s="1399"/>
      <c r="DJ1228" s="1399"/>
      <c r="DK1228" s="1399"/>
      <c r="DL1228" s="1399"/>
      <c r="DM1228" s="1399"/>
      <c r="DN1228" s="1399"/>
      <c r="DO1228" s="1399"/>
      <c r="DP1228" s="1399"/>
      <c r="DQ1228" s="1399"/>
      <c r="DR1228" s="1399"/>
      <c r="DS1228" s="1399"/>
      <c r="DT1228" s="1399"/>
      <c r="DU1228" s="1399"/>
    </row>
    <row r="1229" spans="1:125">
      <c r="A1229" s="1414"/>
      <c r="B1229" s="1414"/>
      <c r="C1229" s="1414"/>
      <c r="D1229" s="1414"/>
      <c r="E1229" s="1414"/>
      <c r="F1229" s="1414"/>
      <c r="G1229" s="1414"/>
      <c r="H1229" s="1414"/>
      <c r="I1229" s="1414"/>
      <c r="J1229" s="1414"/>
      <c r="K1229" s="1414"/>
      <c r="L1229" s="1414"/>
      <c r="M1229" s="1414"/>
      <c r="N1229" s="1414"/>
      <c r="O1229" s="1414"/>
      <c r="P1229" s="1414"/>
      <c r="Q1229" s="1414"/>
      <c r="R1229" s="1414"/>
      <c r="S1229" s="1414"/>
      <c r="T1229" s="1414"/>
      <c r="U1229" s="1414"/>
      <c r="V1229" s="1414"/>
      <c r="W1229" s="1414"/>
      <c r="X1229" s="1414"/>
      <c r="Y1229" s="1414"/>
      <c r="Z1229" s="1414"/>
      <c r="AA1229" s="1414"/>
      <c r="AB1229" s="1414"/>
      <c r="AC1229" s="1414"/>
      <c r="AD1229" s="1414"/>
      <c r="AE1229" s="1414"/>
      <c r="AF1229" s="1414"/>
      <c r="AG1229" s="1414"/>
      <c r="AH1229" s="1414"/>
      <c r="AI1229" s="1414"/>
      <c r="AJ1229" s="1414"/>
      <c r="AK1229" s="1414"/>
      <c r="AL1229" s="1414"/>
      <c r="AM1229" s="1414"/>
      <c r="AN1229" s="1414"/>
      <c r="AO1229" s="1414"/>
      <c r="AP1229" s="1414"/>
      <c r="AQ1229" s="1414"/>
      <c r="AR1229" s="1414"/>
      <c r="AS1229" s="1414"/>
      <c r="AT1229" s="1414"/>
      <c r="AU1229" s="1414"/>
      <c r="AV1229" s="1414"/>
      <c r="AW1229" s="1414"/>
      <c r="AX1229" s="1414"/>
      <c r="AY1229" s="1399"/>
      <c r="AZ1229" s="1399"/>
      <c r="BA1229" s="1399"/>
      <c r="BB1229" s="1399"/>
      <c r="BC1229" s="1399"/>
      <c r="BD1229" s="1399"/>
      <c r="BE1229" s="1414"/>
      <c r="BF1229" s="1399"/>
      <c r="BG1229" s="1399"/>
      <c r="BH1229" s="1399"/>
      <c r="BI1229" s="1399"/>
      <c r="BJ1229" s="1399"/>
      <c r="BK1229" s="1399"/>
      <c r="BL1229" s="1399"/>
      <c r="BM1229" s="1399"/>
      <c r="BN1229" s="1399"/>
      <c r="BO1229" s="1399"/>
      <c r="BP1229" s="1399"/>
      <c r="BQ1229" s="1399"/>
      <c r="BR1229" s="1399"/>
      <c r="BS1229" s="1399"/>
      <c r="BT1229" s="1399"/>
      <c r="BU1229" s="1399"/>
      <c r="BV1229" s="1399"/>
      <c r="BW1229" s="1399"/>
      <c r="BX1229" s="1399"/>
      <c r="BY1229" s="1399"/>
      <c r="BZ1229" s="1399"/>
      <c r="CA1229" s="1399"/>
      <c r="CB1229" s="1399"/>
      <c r="CC1229" s="1399"/>
      <c r="CD1229" s="1399"/>
      <c r="CE1229" s="1399"/>
      <c r="CF1229" s="1399"/>
      <c r="CG1229" s="1399"/>
      <c r="CH1229" s="1399"/>
      <c r="CI1229" s="1399"/>
      <c r="CJ1229" s="1399"/>
      <c r="CK1229" s="1399"/>
      <c r="CL1229" s="1399"/>
      <c r="CM1229" s="1399"/>
      <c r="CN1229" s="1399"/>
      <c r="CO1229" s="1399"/>
      <c r="CP1229" s="1399"/>
      <c r="CQ1229" s="1399"/>
      <c r="CR1229" s="1399"/>
      <c r="CS1229" s="1399"/>
      <c r="CT1229" s="1399"/>
      <c r="CU1229" s="1399"/>
      <c r="CV1229" s="1399"/>
      <c r="CW1229" s="1399"/>
      <c r="CX1229" s="1399"/>
      <c r="CY1229" s="1399"/>
      <c r="CZ1229" s="1399"/>
      <c r="DA1229" s="1399"/>
      <c r="DB1229" s="1399"/>
      <c r="DC1229" s="1399"/>
      <c r="DD1229" s="1399"/>
      <c r="DE1229" s="1399"/>
      <c r="DF1229" s="1399"/>
      <c r="DG1229" s="1399"/>
      <c r="DH1229" s="1399"/>
      <c r="DI1229" s="1399"/>
      <c r="DJ1229" s="1399"/>
      <c r="DK1229" s="1399"/>
      <c r="DL1229" s="1399"/>
      <c r="DM1229" s="1399"/>
      <c r="DN1229" s="1399"/>
      <c r="DO1229" s="1399"/>
      <c r="DP1229" s="1399"/>
      <c r="DQ1229" s="1399"/>
      <c r="DR1229" s="1399"/>
      <c r="DS1229" s="1399"/>
      <c r="DT1229" s="1399"/>
      <c r="DU1229" s="1399"/>
    </row>
    <row r="1230" spans="1:125">
      <c r="A1230" s="1414"/>
      <c r="B1230" s="1414"/>
      <c r="C1230" s="1414"/>
      <c r="D1230" s="1414"/>
      <c r="E1230" s="1414"/>
      <c r="F1230" s="1414"/>
      <c r="G1230" s="1414"/>
      <c r="H1230" s="1414"/>
      <c r="I1230" s="1414"/>
      <c r="J1230" s="1414"/>
      <c r="K1230" s="1414"/>
      <c r="L1230" s="1414"/>
      <c r="M1230" s="1414"/>
      <c r="N1230" s="1414"/>
      <c r="O1230" s="1414"/>
      <c r="P1230" s="1414"/>
      <c r="Q1230" s="1414"/>
      <c r="R1230" s="1414"/>
      <c r="S1230" s="1414"/>
      <c r="T1230" s="1414"/>
      <c r="U1230" s="1414"/>
      <c r="V1230" s="1414"/>
      <c r="W1230" s="1414"/>
      <c r="X1230" s="1414"/>
      <c r="Y1230" s="1414"/>
      <c r="Z1230" s="1414"/>
      <c r="AA1230" s="1414"/>
      <c r="AB1230" s="1414"/>
      <c r="AC1230" s="1414"/>
      <c r="AD1230" s="1414"/>
      <c r="AE1230" s="1414"/>
      <c r="AF1230" s="1414"/>
      <c r="AG1230" s="1414"/>
      <c r="AH1230" s="1414"/>
      <c r="AI1230" s="1414"/>
      <c r="AJ1230" s="1414"/>
      <c r="AK1230" s="1414"/>
      <c r="AL1230" s="1414"/>
      <c r="AM1230" s="1414"/>
      <c r="AN1230" s="1414"/>
      <c r="AO1230" s="1414"/>
      <c r="AP1230" s="1414"/>
      <c r="AQ1230" s="1414"/>
      <c r="AR1230" s="1414"/>
      <c r="AS1230" s="1414"/>
      <c r="AT1230" s="1414"/>
      <c r="AU1230" s="1414"/>
      <c r="AV1230" s="1414"/>
      <c r="AW1230" s="1414"/>
      <c r="AX1230" s="1414"/>
      <c r="AY1230" s="1399"/>
      <c r="AZ1230" s="1399"/>
      <c r="BA1230" s="1399"/>
      <c r="BB1230" s="1399"/>
      <c r="BC1230" s="1399"/>
      <c r="BD1230" s="1399"/>
      <c r="BE1230" s="1414"/>
      <c r="BF1230" s="1399"/>
      <c r="BG1230" s="1399"/>
      <c r="BH1230" s="1399"/>
      <c r="BI1230" s="1399"/>
      <c r="BJ1230" s="1399"/>
      <c r="BK1230" s="1399"/>
      <c r="BL1230" s="1399"/>
      <c r="BM1230" s="1399"/>
      <c r="BN1230" s="1399"/>
      <c r="BO1230" s="1399"/>
      <c r="BP1230" s="1399"/>
      <c r="BQ1230" s="1399"/>
      <c r="BR1230" s="1399"/>
      <c r="BS1230" s="1399"/>
      <c r="BT1230" s="1399"/>
      <c r="BU1230" s="1399"/>
      <c r="BV1230" s="1399"/>
      <c r="BW1230" s="1399"/>
      <c r="BX1230" s="1399"/>
      <c r="BY1230" s="1399"/>
      <c r="BZ1230" s="1399"/>
      <c r="CA1230" s="1399"/>
      <c r="CB1230" s="1399"/>
      <c r="CC1230" s="1399"/>
      <c r="CD1230" s="1399"/>
      <c r="CE1230" s="1399"/>
      <c r="CF1230" s="1399"/>
      <c r="CG1230" s="1399"/>
      <c r="CH1230" s="1399"/>
      <c r="CI1230" s="1399"/>
      <c r="CJ1230" s="1399"/>
      <c r="CK1230" s="1399"/>
      <c r="CL1230" s="1399"/>
      <c r="CM1230" s="1399"/>
      <c r="CN1230" s="1399"/>
      <c r="CO1230" s="1399"/>
      <c r="CP1230" s="1399"/>
      <c r="CQ1230" s="1399"/>
      <c r="CR1230" s="1399"/>
      <c r="CS1230" s="1399"/>
      <c r="CT1230" s="1399"/>
      <c r="CU1230" s="1399"/>
      <c r="CV1230" s="1399"/>
      <c r="CW1230" s="1399"/>
      <c r="CX1230" s="1399"/>
      <c r="CY1230" s="1399"/>
      <c r="CZ1230" s="1399"/>
      <c r="DA1230" s="1399"/>
      <c r="DB1230" s="1399"/>
      <c r="DC1230" s="1399"/>
      <c r="DD1230" s="1399"/>
      <c r="DE1230" s="1399"/>
      <c r="DF1230" s="1399"/>
      <c r="DG1230" s="1399"/>
      <c r="DH1230" s="1399"/>
      <c r="DI1230" s="1399"/>
      <c r="DJ1230" s="1399"/>
      <c r="DK1230" s="1399"/>
      <c r="DL1230" s="1399"/>
      <c r="DM1230" s="1399"/>
      <c r="DN1230" s="1399"/>
      <c r="DO1230" s="1399"/>
      <c r="DP1230" s="1399"/>
      <c r="DQ1230" s="1399"/>
      <c r="DR1230" s="1399"/>
      <c r="DS1230" s="1399"/>
      <c r="DT1230" s="1399"/>
      <c r="DU1230" s="1399"/>
    </row>
    <row r="1231" spans="1:125">
      <c r="A1231" s="1414"/>
      <c r="B1231" s="1414"/>
      <c r="C1231" s="1414"/>
      <c r="D1231" s="1414"/>
      <c r="E1231" s="1414"/>
      <c r="F1231" s="1414"/>
      <c r="G1231" s="1414"/>
      <c r="H1231" s="1414"/>
      <c r="I1231" s="1414"/>
      <c r="J1231" s="1414"/>
      <c r="K1231" s="1414"/>
      <c r="L1231" s="1414"/>
      <c r="M1231" s="1414"/>
      <c r="N1231" s="1414"/>
      <c r="O1231" s="1414"/>
      <c r="P1231" s="1414"/>
      <c r="Q1231" s="1414"/>
      <c r="R1231" s="1414"/>
      <c r="S1231" s="1414"/>
      <c r="T1231" s="1414"/>
      <c r="U1231" s="1414"/>
      <c r="V1231" s="1414"/>
      <c r="W1231" s="1414"/>
      <c r="X1231" s="1414"/>
      <c r="Y1231" s="1414"/>
      <c r="Z1231" s="1414"/>
      <c r="AA1231" s="1414"/>
      <c r="AB1231" s="1414"/>
      <c r="AC1231" s="1414"/>
      <c r="AD1231" s="1414"/>
      <c r="AE1231" s="1414"/>
      <c r="AF1231" s="1414"/>
      <c r="AG1231" s="1414"/>
      <c r="AH1231" s="1414"/>
      <c r="AI1231" s="1414"/>
      <c r="AJ1231" s="1414"/>
      <c r="AK1231" s="1414"/>
      <c r="AL1231" s="1414"/>
      <c r="AM1231" s="1414"/>
      <c r="AN1231" s="1414"/>
      <c r="AO1231" s="1414"/>
      <c r="AP1231" s="1414"/>
      <c r="AQ1231" s="1414"/>
      <c r="AR1231" s="1414"/>
      <c r="AS1231" s="1414"/>
      <c r="AT1231" s="1414"/>
      <c r="AU1231" s="1414"/>
      <c r="AV1231" s="1414"/>
      <c r="AW1231" s="1414"/>
      <c r="AX1231" s="1414"/>
      <c r="AY1231" s="1399"/>
      <c r="AZ1231" s="1399"/>
      <c r="BA1231" s="1399"/>
      <c r="BB1231" s="1399"/>
      <c r="BC1231" s="1399"/>
      <c r="BD1231" s="1399"/>
      <c r="BE1231" s="1414"/>
      <c r="BF1231" s="1399"/>
      <c r="BG1231" s="1399"/>
      <c r="BH1231" s="1399"/>
      <c r="BI1231" s="1399"/>
      <c r="BJ1231" s="1399"/>
      <c r="BK1231" s="1399"/>
      <c r="BL1231" s="1399"/>
      <c r="BM1231" s="1399"/>
      <c r="BN1231" s="1399"/>
      <c r="BO1231" s="1399"/>
      <c r="BP1231" s="1399"/>
      <c r="BQ1231" s="1399"/>
      <c r="BR1231" s="1399"/>
      <c r="BS1231" s="1399"/>
      <c r="BT1231" s="1399"/>
      <c r="BU1231" s="1399"/>
      <c r="BV1231" s="1399"/>
      <c r="BW1231" s="1399"/>
      <c r="BX1231" s="1399"/>
      <c r="BY1231" s="1399"/>
      <c r="BZ1231" s="1399"/>
      <c r="CA1231" s="1399"/>
      <c r="CB1231" s="1399"/>
      <c r="CC1231" s="1399"/>
      <c r="CD1231" s="1399"/>
      <c r="CE1231" s="1399"/>
      <c r="CF1231" s="1399"/>
      <c r="CG1231" s="1399"/>
      <c r="CH1231" s="1399"/>
      <c r="CI1231" s="1399"/>
      <c r="CJ1231" s="1399"/>
      <c r="CK1231" s="1399"/>
      <c r="CL1231" s="1399"/>
      <c r="CM1231" s="1399"/>
      <c r="CN1231" s="1399"/>
      <c r="CO1231" s="1399"/>
      <c r="CP1231" s="1399"/>
      <c r="CQ1231" s="1399"/>
      <c r="CR1231" s="1399"/>
      <c r="CS1231" s="1399"/>
      <c r="CT1231" s="1399"/>
      <c r="CU1231" s="1399"/>
      <c r="CV1231" s="1399"/>
      <c r="CW1231" s="1399"/>
      <c r="CX1231" s="1399"/>
      <c r="CY1231" s="1399"/>
      <c r="CZ1231" s="1399"/>
      <c r="DA1231" s="1399"/>
      <c r="DB1231" s="1399"/>
      <c r="DC1231" s="1399"/>
      <c r="DD1231" s="1399"/>
      <c r="DE1231" s="1399"/>
      <c r="DF1231" s="1399"/>
      <c r="DG1231" s="1399"/>
      <c r="DH1231" s="1399"/>
      <c r="DI1231" s="1399"/>
      <c r="DJ1231" s="1399"/>
      <c r="DK1231" s="1399"/>
      <c r="DL1231" s="1399"/>
      <c r="DM1231" s="1399"/>
      <c r="DN1231" s="1399"/>
      <c r="DO1231" s="1399"/>
      <c r="DP1231" s="1399"/>
      <c r="DQ1231" s="1399"/>
      <c r="DR1231" s="1399"/>
      <c r="DS1231" s="1399"/>
      <c r="DT1231" s="1399"/>
      <c r="DU1231" s="1399"/>
    </row>
    <row r="1232" spans="1:125">
      <c r="A1232" s="1414"/>
      <c r="B1232" s="1414"/>
      <c r="C1232" s="1414"/>
      <c r="D1232" s="1414"/>
      <c r="E1232" s="1414"/>
      <c r="F1232" s="1414"/>
      <c r="G1232" s="1414"/>
      <c r="H1232" s="1414"/>
      <c r="I1232" s="1414"/>
      <c r="J1232" s="1414"/>
      <c r="K1232" s="1414"/>
      <c r="L1232" s="1414"/>
      <c r="M1232" s="1414"/>
      <c r="N1232" s="1414"/>
      <c r="O1232" s="1414"/>
      <c r="P1232" s="1414"/>
      <c r="Q1232" s="1414"/>
      <c r="R1232" s="1414"/>
      <c r="S1232" s="1414"/>
      <c r="T1232" s="1414"/>
      <c r="U1232" s="1414"/>
      <c r="V1232" s="1414"/>
      <c r="W1232" s="1414"/>
      <c r="X1232" s="1414"/>
      <c r="Y1232" s="1414"/>
      <c r="Z1232" s="1414"/>
      <c r="AA1232" s="1414"/>
      <c r="AB1232" s="1414"/>
      <c r="AC1232" s="1414"/>
      <c r="AD1232" s="1414"/>
      <c r="AE1232" s="1414"/>
      <c r="AF1232" s="1414"/>
      <c r="AG1232" s="1414"/>
      <c r="AH1232" s="1414"/>
      <c r="AI1232" s="1414"/>
      <c r="AJ1232" s="1414"/>
      <c r="AK1232" s="1414"/>
      <c r="AL1232" s="1414"/>
      <c r="AM1232" s="1414"/>
      <c r="AN1232" s="1414"/>
      <c r="AO1232" s="1414"/>
      <c r="AP1232" s="1414"/>
      <c r="AQ1232" s="1414"/>
      <c r="AR1232" s="1414"/>
      <c r="AS1232" s="1414"/>
      <c r="AT1232" s="1414"/>
      <c r="AU1232" s="1414"/>
      <c r="AV1232" s="1414"/>
      <c r="AW1232" s="1414"/>
      <c r="AX1232" s="1414"/>
      <c r="AY1232" s="1399"/>
      <c r="AZ1232" s="1399"/>
      <c r="BA1232" s="1399"/>
      <c r="BB1232" s="1399"/>
      <c r="BC1232" s="1399"/>
      <c r="BD1232" s="1399"/>
      <c r="BE1232" s="1414"/>
      <c r="BF1232" s="1399"/>
      <c r="BG1232" s="1399"/>
      <c r="BH1232" s="1399"/>
      <c r="BI1232" s="1399"/>
      <c r="BJ1232" s="1399"/>
      <c r="BK1232" s="1399"/>
      <c r="BL1232" s="1399"/>
      <c r="BM1232" s="1399"/>
      <c r="BN1232" s="1399"/>
      <c r="BO1232" s="1399"/>
      <c r="BP1232" s="1399"/>
      <c r="BQ1232" s="1399"/>
      <c r="BR1232" s="1399"/>
      <c r="BS1232" s="1399"/>
      <c r="BT1232" s="1399"/>
      <c r="BU1232" s="1399"/>
      <c r="BV1232" s="1399"/>
      <c r="BW1232" s="1399"/>
      <c r="BX1232" s="1399"/>
      <c r="BY1232" s="1399"/>
      <c r="BZ1232" s="1399"/>
      <c r="CA1232" s="1399"/>
      <c r="CB1232" s="1399"/>
      <c r="CC1232" s="1399"/>
      <c r="CD1232" s="1399"/>
      <c r="CE1232" s="1399"/>
      <c r="CF1232" s="1399"/>
      <c r="CG1232" s="1399"/>
      <c r="CH1232" s="1399"/>
      <c r="CI1232" s="1399"/>
      <c r="CJ1232" s="1399"/>
      <c r="CK1232" s="1399"/>
      <c r="CL1232" s="1399"/>
      <c r="CM1232" s="1399"/>
      <c r="CN1232" s="1399"/>
      <c r="CO1232" s="1399"/>
      <c r="CP1232" s="1399"/>
      <c r="CQ1232" s="1399"/>
      <c r="CR1232" s="1399"/>
      <c r="CS1232" s="1399"/>
      <c r="CT1232" s="1399"/>
      <c r="CU1232" s="1399"/>
      <c r="CV1232" s="1399"/>
      <c r="CW1232" s="1399"/>
      <c r="CX1232" s="1399"/>
      <c r="CY1232" s="1399"/>
      <c r="CZ1232" s="1399"/>
      <c r="DA1232" s="1399"/>
      <c r="DB1232" s="1399"/>
      <c r="DC1232" s="1399"/>
      <c r="DD1232" s="1399"/>
      <c r="DE1232" s="1399"/>
      <c r="DF1232" s="1399"/>
      <c r="DG1232" s="1399"/>
      <c r="DH1232" s="1399"/>
      <c r="DI1232" s="1399"/>
      <c r="DJ1232" s="1399"/>
      <c r="DK1232" s="1399"/>
      <c r="DL1232" s="1399"/>
      <c r="DM1232" s="1399"/>
      <c r="DN1232" s="1399"/>
      <c r="DO1232" s="1399"/>
      <c r="DP1232" s="1399"/>
      <c r="DQ1232" s="1399"/>
      <c r="DR1232" s="1399"/>
      <c r="DS1232" s="1399"/>
      <c r="DT1232" s="1399"/>
      <c r="DU1232" s="1399"/>
    </row>
    <row r="1233" spans="1:125">
      <c r="A1233" s="1414"/>
      <c r="B1233" s="1414"/>
      <c r="C1233" s="1414"/>
      <c r="D1233" s="1414"/>
      <c r="E1233" s="1414"/>
      <c r="F1233" s="1414"/>
      <c r="G1233" s="1414"/>
      <c r="H1233" s="1414"/>
      <c r="I1233" s="1414"/>
      <c r="J1233" s="1414"/>
      <c r="K1233" s="1414"/>
      <c r="L1233" s="1414"/>
      <c r="M1233" s="1414"/>
      <c r="N1233" s="1414"/>
      <c r="O1233" s="1414"/>
      <c r="P1233" s="1414"/>
      <c r="Q1233" s="1414"/>
      <c r="R1233" s="1414"/>
      <c r="S1233" s="1414"/>
      <c r="T1233" s="1414"/>
      <c r="U1233" s="1414"/>
      <c r="V1233" s="1414"/>
      <c r="W1233" s="1414"/>
      <c r="X1233" s="1414"/>
      <c r="Y1233" s="1414"/>
      <c r="Z1233" s="1414"/>
      <c r="AA1233" s="1414"/>
      <c r="AB1233" s="1414"/>
      <c r="AC1233" s="1414"/>
      <c r="AD1233" s="1414"/>
      <c r="AE1233" s="1414"/>
      <c r="AF1233" s="1414"/>
      <c r="AG1233" s="1414"/>
      <c r="AH1233" s="1414"/>
      <c r="AI1233" s="1414"/>
      <c r="AJ1233" s="1414"/>
      <c r="AK1233" s="1414"/>
      <c r="AL1233" s="1414"/>
      <c r="AM1233" s="1414"/>
      <c r="AN1233" s="1414"/>
      <c r="AO1233" s="1414"/>
      <c r="AP1233" s="1414"/>
      <c r="AQ1233" s="1414"/>
      <c r="AR1233" s="1414"/>
      <c r="AS1233" s="1414"/>
      <c r="AT1233" s="1414"/>
      <c r="AU1233" s="1414"/>
      <c r="AV1233" s="1414"/>
      <c r="AW1233" s="1414"/>
      <c r="AX1233" s="1414"/>
      <c r="AY1233" s="1399"/>
      <c r="AZ1233" s="1399"/>
      <c r="BA1233" s="1399"/>
      <c r="BB1233" s="1399"/>
      <c r="BC1233" s="1399"/>
      <c r="BD1233" s="1399"/>
      <c r="BE1233" s="1414"/>
      <c r="BF1233" s="1399"/>
      <c r="BG1233" s="1399"/>
      <c r="BH1233" s="1399"/>
      <c r="BI1233" s="1399"/>
      <c r="BJ1233" s="1399"/>
      <c r="BK1233" s="1399"/>
      <c r="BL1233" s="1399"/>
      <c r="BM1233" s="1399"/>
      <c r="BN1233" s="1399"/>
      <c r="BO1233" s="1399"/>
      <c r="BP1233" s="1399"/>
      <c r="BQ1233" s="1399"/>
      <c r="BR1233" s="1399"/>
      <c r="BS1233" s="1399"/>
      <c r="BT1233" s="1399"/>
      <c r="BU1233" s="1399"/>
      <c r="BV1233" s="1399"/>
      <c r="BW1233" s="1399"/>
      <c r="BX1233" s="1399"/>
      <c r="BY1233" s="1399"/>
      <c r="BZ1233" s="1399"/>
      <c r="CA1233" s="1399"/>
      <c r="CB1233" s="1399"/>
      <c r="CC1233" s="1399"/>
      <c r="CD1233" s="1399"/>
      <c r="CE1233" s="1399"/>
      <c r="CF1233" s="1399"/>
      <c r="CG1233" s="1399"/>
      <c r="CH1233" s="1399"/>
      <c r="CI1233" s="1399"/>
      <c r="CJ1233" s="1399"/>
      <c r="CK1233" s="1399"/>
      <c r="CL1233" s="1399"/>
      <c r="CM1233" s="1399"/>
      <c r="CN1233" s="1399"/>
      <c r="CO1233" s="1399"/>
      <c r="CP1233" s="1399"/>
      <c r="CQ1233" s="1399"/>
      <c r="CR1233" s="1399"/>
      <c r="CS1233" s="1399"/>
      <c r="CT1233" s="1399"/>
      <c r="CU1233" s="1399"/>
      <c r="CV1233" s="1399"/>
      <c r="CW1233" s="1399"/>
      <c r="CX1233" s="1399"/>
      <c r="CY1233" s="1399"/>
      <c r="CZ1233" s="1399"/>
      <c r="DA1233" s="1399"/>
      <c r="DB1233" s="1399"/>
      <c r="DC1233" s="1399"/>
      <c r="DD1233" s="1399"/>
      <c r="DE1233" s="1399"/>
      <c r="DF1233" s="1399"/>
      <c r="DG1233" s="1399"/>
      <c r="DH1233" s="1399"/>
      <c r="DI1233" s="1399"/>
      <c r="DJ1233" s="1399"/>
      <c r="DK1233" s="1399"/>
      <c r="DL1233" s="1399"/>
      <c r="DM1233" s="1399"/>
      <c r="DN1233" s="1399"/>
      <c r="DO1233" s="1399"/>
      <c r="DP1233" s="1399"/>
      <c r="DQ1233" s="1399"/>
      <c r="DR1233" s="1399"/>
      <c r="DS1233" s="1399"/>
      <c r="DT1233" s="1399"/>
      <c r="DU1233" s="1399"/>
    </row>
    <row r="1234" spans="1:125">
      <c r="A1234" s="1414"/>
      <c r="B1234" s="1414"/>
      <c r="C1234" s="1414"/>
      <c r="D1234" s="1414"/>
      <c r="E1234" s="1414"/>
      <c r="F1234" s="1414"/>
      <c r="G1234" s="1414"/>
      <c r="H1234" s="1414"/>
      <c r="I1234" s="1414"/>
      <c r="J1234" s="1414"/>
      <c r="K1234" s="1414"/>
      <c r="L1234" s="1414"/>
      <c r="M1234" s="1414"/>
      <c r="N1234" s="1414"/>
      <c r="O1234" s="1414"/>
      <c r="P1234" s="1414"/>
      <c r="Q1234" s="1414"/>
      <c r="R1234" s="1414"/>
      <c r="S1234" s="1414"/>
      <c r="T1234" s="1414"/>
      <c r="U1234" s="1414"/>
      <c r="V1234" s="1414"/>
      <c r="W1234" s="1414"/>
      <c r="X1234" s="1414"/>
      <c r="Y1234" s="1414"/>
      <c r="Z1234" s="1414"/>
      <c r="AA1234" s="1414"/>
      <c r="AB1234" s="1414"/>
      <c r="AC1234" s="1414"/>
      <c r="AD1234" s="1414"/>
      <c r="AE1234" s="1414"/>
      <c r="AF1234" s="1414"/>
      <c r="AG1234" s="1414"/>
      <c r="AH1234" s="1414"/>
      <c r="AI1234" s="1414"/>
      <c r="AJ1234" s="1414"/>
      <c r="AK1234" s="1414"/>
      <c r="AL1234" s="1414"/>
      <c r="AM1234" s="1414"/>
      <c r="AN1234" s="1414"/>
      <c r="AO1234" s="1414"/>
      <c r="AP1234" s="1414"/>
      <c r="AQ1234" s="1414"/>
      <c r="AR1234" s="1414"/>
      <c r="AS1234" s="1414"/>
      <c r="AT1234" s="1414"/>
      <c r="AU1234" s="1414"/>
      <c r="AV1234" s="1414"/>
      <c r="AW1234" s="1414"/>
      <c r="AX1234" s="1414"/>
      <c r="AY1234" s="1399"/>
      <c r="AZ1234" s="1399"/>
      <c r="BA1234" s="1399"/>
      <c r="BB1234" s="1399"/>
      <c r="BC1234" s="1399"/>
      <c r="BD1234" s="1399"/>
      <c r="BE1234" s="1414"/>
      <c r="BF1234" s="1399"/>
      <c r="BG1234" s="1399"/>
      <c r="BH1234" s="1399"/>
      <c r="BI1234" s="1399"/>
      <c r="BJ1234" s="1399"/>
      <c r="BK1234" s="1399"/>
      <c r="BL1234" s="1399"/>
      <c r="BM1234" s="1399"/>
      <c r="BN1234" s="1399"/>
      <c r="BO1234" s="1399"/>
      <c r="BP1234" s="1399"/>
      <c r="BQ1234" s="1399"/>
      <c r="BR1234" s="1399"/>
      <c r="BS1234" s="1399"/>
      <c r="BT1234" s="1399"/>
      <c r="BU1234" s="1399"/>
      <c r="BV1234" s="1399"/>
      <c r="BW1234" s="1399"/>
      <c r="BX1234" s="1399"/>
      <c r="BY1234" s="1399"/>
      <c r="BZ1234" s="1399"/>
      <c r="CA1234" s="1399"/>
      <c r="CB1234" s="1399"/>
      <c r="CC1234" s="1399"/>
      <c r="CD1234" s="1399"/>
      <c r="CE1234" s="1399"/>
      <c r="CF1234" s="1399"/>
      <c r="CG1234" s="1399"/>
      <c r="CH1234" s="1399"/>
      <c r="CI1234" s="1399"/>
      <c r="CJ1234" s="1399"/>
      <c r="CK1234" s="1399"/>
      <c r="CL1234" s="1399"/>
      <c r="CM1234" s="1399"/>
      <c r="CN1234" s="1399"/>
      <c r="CO1234" s="1399"/>
      <c r="CP1234" s="1399"/>
      <c r="CQ1234" s="1399"/>
      <c r="CR1234" s="1399"/>
      <c r="CS1234" s="1399"/>
      <c r="CT1234" s="1399"/>
      <c r="CU1234" s="1399"/>
      <c r="CV1234" s="1399"/>
      <c r="CW1234" s="1399"/>
      <c r="CX1234" s="1399"/>
      <c r="CY1234" s="1399"/>
      <c r="CZ1234" s="1399"/>
      <c r="DA1234" s="1399"/>
      <c r="DB1234" s="1399"/>
      <c r="DC1234" s="1399"/>
      <c r="DD1234" s="1399"/>
      <c r="DE1234" s="1399"/>
      <c r="DF1234" s="1399"/>
      <c r="DG1234" s="1399"/>
      <c r="DH1234" s="1399"/>
      <c r="DI1234" s="1399"/>
      <c r="DJ1234" s="1399"/>
      <c r="DK1234" s="1399"/>
      <c r="DL1234" s="1399"/>
      <c r="DM1234" s="1399"/>
      <c r="DN1234" s="1399"/>
      <c r="DO1234" s="1399"/>
      <c r="DP1234" s="1399"/>
      <c r="DQ1234" s="1399"/>
      <c r="DR1234" s="1399"/>
      <c r="DS1234" s="1399"/>
      <c r="DT1234" s="1399"/>
      <c r="DU1234" s="1399"/>
    </row>
    <row r="1235" spans="1:125">
      <c r="A1235" s="1414"/>
      <c r="B1235" s="1414"/>
      <c r="C1235" s="1414"/>
      <c r="D1235" s="1414"/>
      <c r="E1235" s="1414"/>
      <c r="F1235" s="1414"/>
      <c r="G1235" s="1414"/>
      <c r="H1235" s="1414"/>
      <c r="I1235" s="1414"/>
      <c r="J1235" s="1414"/>
      <c r="K1235" s="1414"/>
      <c r="L1235" s="1414"/>
      <c r="M1235" s="1414"/>
      <c r="N1235" s="1414"/>
      <c r="O1235" s="1414"/>
      <c r="P1235" s="1414"/>
      <c r="Q1235" s="1414"/>
      <c r="R1235" s="1414"/>
      <c r="S1235" s="1414"/>
      <c r="T1235" s="1414"/>
      <c r="U1235" s="1414"/>
      <c r="V1235" s="1414"/>
      <c r="W1235" s="1414"/>
      <c r="X1235" s="1414"/>
      <c r="Y1235" s="1414"/>
      <c r="Z1235" s="1414"/>
      <c r="AA1235" s="1414"/>
      <c r="AB1235" s="1414"/>
      <c r="AC1235" s="1414"/>
      <c r="AD1235" s="1414"/>
      <c r="AE1235" s="1414"/>
      <c r="AF1235" s="1414"/>
      <c r="AG1235" s="1414"/>
      <c r="AH1235" s="1414"/>
      <c r="AI1235" s="1414"/>
      <c r="AJ1235" s="1414"/>
      <c r="AK1235" s="1414"/>
      <c r="AL1235" s="1414"/>
      <c r="AM1235" s="1414"/>
      <c r="AN1235" s="1414"/>
      <c r="AO1235" s="1414"/>
      <c r="AP1235" s="1414"/>
      <c r="AQ1235" s="1414"/>
      <c r="AR1235" s="1414"/>
      <c r="AS1235" s="1414"/>
      <c r="AT1235" s="1414"/>
      <c r="AU1235" s="1414"/>
      <c r="AV1235" s="1414"/>
      <c r="AW1235" s="1414"/>
      <c r="AX1235" s="1414"/>
      <c r="AY1235" s="1399"/>
      <c r="AZ1235" s="1399"/>
      <c r="BA1235" s="1399"/>
      <c r="BB1235" s="1399"/>
      <c r="BC1235" s="1399"/>
      <c r="BD1235" s="1399"/>
      <c r="BE1235" s="1414"/>
      <c r="BF1235" s="1399"/>
      <c r="BG1235" s="1399"/>
      <c r="BH1235" s="1399"/>
      <c r="BI1235" s="1399"/>
      <c r="BJ1235" s="1399"/>
      <c r="BK1235" s="1399"/>
      <c r="BL1235" s="1399"/>
      <c r="BM1235" s="1399"/>
      <c r="BN1235" s="1399"/>
      <c r="BO1235" s="1399"/>
      <c r="BP1235" s="1399"/>
      <c r="BQ1235" s="1399"/>
      <c r="BR1235" s="1399"/>
      <c r="BS1235" s="1399"/>
      <c r="BT1235" s="1399"/>
      <c r="BU1235" s="1399"/>
      <c r="BV1235" s="1399"/>
      <c r="BW1235" s="1399"/>
      <c r="BX1235" s="1399"/>
      <c r="BY1235" s="1399"/>
      <c r="BZ1235" s="1399"/>
      <c r="CA1235" s="1399"/>
      <c r="CB1235" s="1399"/>
      <c r="CC1235" s="1399"/>
      <c r="CD1235" s="1399"/>
      <c r="CE1235" s="1399"/>
      <c r="CF1235" s="1399"/>
      <c r="CG1235" s="1399"/>
      <c r="CH1235" s="1399"/>
      <c r="CI1235" s="1399"/>
      <c r="CJ1235" s="1399"/>
      <c r="CK1235" s="1399"/>
      <c r="CL1235" s="1399"/>
      <c r="CM1235" s="1399"/>
      <c r="CN1235" s="1399"/>
      <c r="CO1235" s="1399"/>
      <c r="CP1235" s="1399"/>
      <c r="CQ1235" s="1399"/>
      <c r="CR1235" s="1399"/>
      <c r="CS1235" s="1399"/>
      <c r="CT1235" s="1399"/>
      <c r="CU1235" s="1399"/>
      <c r="CV1235" s="1399"/>
      <c r="CW1235" s="1399"/>
      <c r="CX1235" s="1399"/>
      <c r="CY1235" s="1399"/>
      <c r="CZ1235" s="1399"/>
      <c r="DA1235" s="1399"/>
      <c r="DB1235" s="1399"/>
      <c r="DC1235" s="1399"/>
      <c r="DD1235" s="1399"/>
      <c r="DE1235" s="1399"/>
      <c r="DF1235" s="1399"/>
      <c r="DG1235" s="1399"/>
      <c r="DH1235" s="1399"/>
      <c r="DI1235" s="1399"/>
      <c r="DJ1235" s="1399"/>
      <c r="DK1235" s="1399"/>
      <c r="DL1235" s="1399"/>
      <c r="DM1235" s="1399"/>
      <c r="DN1235" s="1399"/>
      <c r="DO1235" s="1399"/>
      <c r="DP1235" s="1399"/>
      <c r="DQ1235" s="1399"/>
      <c r="DR1235" s="1399"/>
      <c r="DS1235" s="1399"/>
      <c r="DT1235" s="1399"/>
      <c r="DU1235" s="1399"/>
    </row>
    <row r="1236" spans="1:125">
      <c r="A1236" s="1414"/>
      <c r="B1236" s="1414"/>
      <c r="C1236" s="1414"/>
      <c r="D1236" s="1414"/>
      <c r="E1236" s="1414"/>
      <c r="F1236" s="1414"/>
      <c r="G1236" s="1414"/>
      <c r="H1236" s="1414"/>
      <c r="I1236" s="1414"/>
      <c r="J1236" s="1414"/>
      <c r="K1236" s="1414"/>
      <c r="L1236" s="1414"/>
      <c r="M1236" s="1414"/>
      <c r="N1236" s="1414"/>
      <c r="O1236" s="1414"/>
      <c r="P1236" s="1414"/>
      <c r="Q1236" s="1414"/>
      <c r="R1236" s="1414"/>
      <c r="S1236" s="1414"/>
      <c r="T1236" s="1414"/>
      <c r="U1236" s="1414"/>
      <c r="V1236" s="1414"/>
      <c r="W1236" s="1414"/>
      <c r="X1236" s="1414"/>
      <c r="Y1236" s="1414"/>
      <c r="Z1236" s="1414"/>
      <c r="AA1236" s="1414"/>
      <c r="AB1236" s="1414"/>
      <c r="AC1236" s="1414"/>
      <c r="AD1236" s="1414"/>
      <c r="AE1236" s="1414"/>
      <c r="AF1236" s="1414"/>
      <c r="AG1236" s="1414"/>
      <c r="AH1236" s="1414"/>
      <c r="AI1236" s="1414"/>
      <c r="AJ1236" s="1414"/>
      <c r="AK1236" s="1414"/>
      <c r="AL1236" s="1414"/>
      <c r="AM1236" s="1414"/>
      <c r="AN1236" s="1414"/>
      <c r="AO1236" s="1414"/>
      <c r="AP1236" s="1414"/>
      <c r="AQ1236" s="1414"/>
      <c r="AR1236" s="1414"/>
      <c r="AS1236" s="1414"/>
      <c r="AT1236" s="1414"/>
      <c r="AU1236" s="1414"/>
      <c r="AV1236" s="1414"/>
      <c r="AW1236" s="1414"/>
      <c r="AX1236" s="1414"/>
      <c r="AY1236" s="1399"/>
      <c r="AZ1236" s="1399"/>
      <c r="BA1236" s="1399"/>
      <c r="BB1236" s="1399"/>
      <c r="BC1236" s="1399"/>
      <c r="BD1236" s="1399"/>
      <c r="BE1236" s="1414"/>
      <c r="BF1236" s="1399"/>
      <c r="BG1236" s="1399"/>
      <c r="BH1236" s="1399"/>
      <c r="BI1236" s="1399"/>
      <c r="BJ1236" s="1399"/>
      <c r="BK1236" s="1399"/>
      <c r="BL1236" s="1399"/>
      <c r="BM1236" s="1399"/>
      <c r="BN1236" s="1399"/>
      <c r="BO1236" s="1399"/>
      <c r="BP1236" s="1399"/>
      <c r="BQ1236" s="1399"/>
      <c r="BR1236" s="1399"/>
      <c r="BS1236" s="1399"/>
      <c r="BT1236" s="1399"/>
      <c r="BU1236" s="1399"/>
      <c r="BV1236" s="1399"/>
      <c r="BW1236" s="1399"/>
      <c r="BX1236" s="1399"/>
      <c r="BY1236" s="1399"/>
      <c r="BZ1236" s="1399"/>
      <c r="CA1236" s="1399"/>
      <c r="CB1236" s="1399"/>
      <c r="CC1236" s="1399"/>
      <c r="CD1236" s="1399"/>
      <c r="CE1236" s="1399"/>
      <c r="CF1236" s="1399"/>
      <c r="CG1236" s="1399"/>
      <c r="CH1236" s="1399"/>
      <c r="CI1236" s="1399"/>
      <c r="CJ1236" s="1399"/>
      <c r="CK1236" s="1399"/>
      <c r="CL1236" s="1399"/>
      <c r="CM1236" s="1399"/>
      <c r="CN1236" s="1399"/>
      <c r="CO1236" s="1399"/>
      <c r="CP1236" s="1399"/>
      <c r="CQ1236" s="1399"/>
      <c r="CR1236" s="1399"/>
      <c r="CS1236" s="1399"/>
      <c r="CT1236" s="1399"/>
      <c r="CU1236" s="1399"/>
      <c r="CV1236" s="1399"/>
      <c r="CW1236" s="1399"/>
      <c r="CX1236" s="1399"/>
      <c r="CY1236" s="1399"/>
      <c r="CZ1236" s="1399"/>
      <c r="DA1236" s="1399"/>
      <c r="DB1236" s="1399"/>
      <c r="DC1236" s="1399"/>
      <c r="DD1236" s="1399"/>
      <c r="DE1236" s="1399"/>
      <c r="DF1236" s="1399"/>
      <c r="DG1236" s="1399"/>
      <c r="DH1236" s="1399"/>
      <c r="DI1236" s="1399"/>
      <c r="DJ1236" s="1399"/>
      <c r="DK1236" s="1399"/>
      <c r="DL1236" s="1399"/>
      <c r="DM1236" s="1399"/>
      <c r="DN1236" s="1399"/>
      <c r="DO1236" s="1399"/>
      <c r="DP1236" s="1399"/>
      <c r="DQ1236" s="1399"/>
      <c r="DR1236" s="1399"/>
      <c r="DS1236" s="1399"/>
      <c r="DT1236" s="1399"/>
      <c r="DU1236" s="1399"/>
    </row>
    <row r="1237" spans="1:125">
      <c r="A1237" s="1414"/>
      <c r="B1237" s="1414"/>
      <c r="C1237" s="1414"/>
      <c r="D1237" s="1414"/>
      <c r="E1237" s="1414"/>
      <c r="F1237" s="1414"/>
      <c r="G1237" s="1414"/>
      <c r="H1237" s="1414"/>
      <c r="I1237" s="1414"/>
      <c r="J1237" s="1414"/>
      <c r="K1237" s="1414"/>
      <c r="L1237" s="1414"/>
      <c r="M1237" s="1414"/>
      <c r="N1237" s="1414"/>
      <c r="O1237" s="1414"/>
      <c r="P1237" s="1414"/>
      <c r="Q1237" s="1414"/>
      <c r="R1237" s="1414"/>
      <c r="S1237" s="1414"/>
      <c r="T1237" s="1414"/>
      <c r="U1237" s="1414"/>
      <c r="V1237" s="1414"/>
      <c r="W1237" s="1414"/>
      <c r="X1237" s="1414"/>
      <c r="Y1237" s="1414"/>
      <c r="Z1237" s="1414"/>
      <c r="AA1237" s="1414"/>
      <c r="AB1237" s="1414"/>
      <c r="AC1237" s="1414"/>
      <c r="AD1237" s="1414"/>
      <c r="AE1237" s="1414"/>
      <c r="AF1237" s="1414"/>
      <c r="AG1237" s="1414"/>
      <c r="AH1237" s="1414"/>
      <c r="AI1237" s="1414"/>
      <c r="AJ1237" s="1414"/>
      <c r="AK1237" s="1414"/>
      <c r="AL1237" s="1414"/>
      <c r="AM1237" s="1414"/>
      <c r="AN1237" s="1414"/>
      <c r="AO1237" s="1414"/>
      <c r="AP1237" s="1414"/>
      <c r="AQ1237" s="1414"/>
      <c r="AR1237" s="1414"/>
      <c r="AS1237" s="1414"/>
      <c r="AT1237" s="1414"/>
      <c r="AU1237" s="1414"/>
      <c r="AV1237" s="1414"/>
      <c r="AW1237" s="1414"/>
      <c r="AX1237" s="1414"/>
      <c r="AY1237" s="1399"/>
      <c r="AZ1237" s="1399"/>
      <c r="BA1237" s="1399"/>
      <c r="BB1237" s="1399"/>
      <c r="BC1237" s="1399"/>
      <c r="BD1237" s="1399"/>
      <c r="BE1237" s="1414"/>
      <c r="BF1237" s="1399"/>
      <c r="BG1237" s="1399"/>
      <c r="BH1237" s="1399"/>
      <c r="BI1237" s="1399"/>
      <c r="BJ1237" s="1399"/>
      <c r="BK1237" s="1399"/>
      <c r="BL1237" s="1399"/>
      <c r="BM1237" s="1399"/>
      <c r="BN1237" s="1399"/>
      <c r="BO1237" s="1399"/>
      <c r="BP1237" s="1399"/>
      <c r="BQ1237" s="1399"/>
      <c r="BR1237" s="1399"/>
      <c r="BS1237" s="1399"/>
      <c r="BT1237" s="1399"/>
      <c r="BU1237" s="1399"/>
      <c r="BV1237" s="1399"/>
      <c r="BW1237" s="1399"/>
      <c r="BX1237" s="1399"/>
      <c r="BY1237" s="1399"/>
      <c r="BZ1237" s="1399"/>
      <c r="CA1237" s="1399"/>
      <c r="CB1237" s="1399"/>
      <c r="CC1237" s="1399"/>
      <c r="CD1237" s="1399"/>
      <c r="CE1237" s="1399"/>
      <c r="CF1237" s="1399"/>
      <c r="CG1237" s="1399"/>
      <c r="CH1237" s="1399"/>
      <c r="CI1237" s="1399"/>
      <c r="CJ1237" s="1399"/>
      <c r="CK1237" s="1399"/>
      <c r="CL1237" s="1399"/>
      <c r="CM1237" s="1399"/>
      <c r="CN1237" s="1399"/>
      <c r="CO1237" s="1399"/>
      <c r="CP1237" s="1399"/>
      <c r="CQ1237" s="1399"/>
      <c r="CR1237" s="1399"/>
      <c r="CS1237" s="1399"/>
      <c r="CT1237" s="1399"/>
      <c r="CU1237" s="1399"/>
      <c r="CV1237" s="1399"/>
      <c r="CW1237" s="1399"/>
      <c r="CX1237" s="1399"/>
      <c r="CY1237" s="1399"/>
      <c r="CZ1237" s="1399"/>
      <c r="DA1237" s="1399"/>
      <c r="DB1237" s="1399"/>
      <c r="DC1237" s="1399"/>
      <c r="DD1237" s="1399"/>
      <c r="DE1237" s="1399"/>
      <c r="DF1237" s="1399"/>
      <c r="DG1237" s="1399"/>
      <c r="DH1237" s="1399"/>
      <c r="DI1237" s="1399"/>
      <c r="DJ1237" s="1399"/>
      <c r="DK1237" s="1399"/>
      <c r="DL1237" s="1399"/>
      <c r="DM1237" s="1399"/>
      <c r="DN1237" s="1399"/>
      <c r="DO1237" s="1399"/>
      <c r="DP1237" s="1399"/>
      <c r="DQ1237" s="1399"/>
      <c r="DR1237" s="1399"/>
      <c r="DS1237" s="1399"/>
      <c r="DT1237" s="1399"/>
      <c r="DU1237" s="1399"/>
    </row>
    <row r="1238" spans="1:125">
      <c r="A1238" s="1414"/>
      <c r="B1238" s="1414"/>
      <c r="C1238" s="1414"/>
      <c r="D1238" s="1414"/>
      <c r="E1238" s="1414"/>
      <c r="F1238" s="1414"/>
      <c r="G1238" s="1414"/>
      <c r="H1238" s="1414"/>
      <c r="I1238" s="1414"/>
      <c r="J1238" s="1414"/>
      <c r="K1238" s="1414"/>
      <c r="L1238" s="1414"/>
      <c r="M1238" s="1414"/>
      <c r="N1238" s="1414"/>
      <c r="O1238" s="1414"/>
      <c r="P1238" s="1414"/>
      <c r="Q1238" s="1414"/>
      <c r="R1238" s="1414"/>
      <c r="S1238" s="1414"/>
      <c r="T1238" s="1414"/>
      <c r="U1238" s="1414"/>
      <c r="V1238" s="1414"/>
      <c r="W1238" s="1414"/>
      <c r="X1238" s="1414"/>
      <c r="Y1238" s="1414"/>
      <c r="Z1238" s="1414"/>
      <c r="AA1238" s="1414"/>
      <c r="AB1238" s="1414"/>
      <c r="AC1238" s="1414"/>
      <c r="AD1238" s="1414"/>
      <c r="AE1238" s="1414"/>
      <c r="AF1238" s="1414"/>
      <c r="AG1238" s="1414"/>
      <c r="AH1238" s="1414"/>
      <c r="AI1238" s="1414"/>
      <c r="AJ1238" s="1414"/>
      <c r="AK1238" s="1414"/>
      <c r="AL1238" s="1414"/>
      <c r="AM1238" s="1414"/>
      <c r="AN1238" s="1414"/>
      <c r="AO1238" s="1414"/>
      <c r="AP1238" s="1414"/>
      <c r="AQ1238" s="1414"/>
      <c r="AR1238" s="1414"/>
      <c r="AS1238" s="1414"/>
      <c r="AT1238" s="1414"/>
      <c r="AU1238" s="1414"/>
      <c r="AV1238" s="1414"/>
      <c r="AW1238" s="1414"/>
      <c r="AX1238" s="1414"/>
      <c r="AY1238" s="1399"/>
      <c r="AZ1238" s="1399"/>
      <c r="BA1238" s="1399"/>
      <c r="BB1238" s="1399"/>
      <c r="BC1238" s="1399"/>
      <c r="BD1238" s="1399"/>
      <c r="BE1238" s="1414"/>
      <c r="BF1238" s="1399"/>
      <c r="BG1238" s="1399"/>
      <c r="BH1238" s="1399"/>
      <c r="BI1238" s="1399"/>
      <c r="BJ1238" s="1399"/>
      <c r="BK1238" s="1399"/>
      <c r="BL1238" s="1399"/>
      <c r="BM1238" s="1399"/>
      <c r="BN1238" s="1399"/>
      <c r="BO1238" s="1399"/>
      <c r="BP1238" s="1399"/>
      <c r="BQ1238" s="1399"/>
      <c r="BR1238" s="1399"/>
      <c r="BS1238" s="1399"/>
      <c r="BT1238" s="1399"/>
      <c r="BU1238" s="1399"/>
      <c r="BV1238" s="1399"/>
      <c r="BW1238" s="1399"/>
      <c r="BX1238" s="1399"/>
      <c r="BY1238" s="1399"/>
      <c r="BZ1238" s="1399"/>
      <c r="CA1238" s="1399"/>
      <c r="CB1238" s="1399"/>
      <c r="CC1238" s="1399"/>
      <c r="CD1238" s="1399"/>
      <c r="CE1238" s="1399"/>
      <c r="CF1238" s="1399"/>
      <c r="CG1238" s="1399"/>
      <c r="CH1238" s="1399"/>
      <c r="CI1238" s="1399"/>
      <c r="CJ1238" s="1399"/>
      <c r="CK1238" s="1399"/>
      <c r="CL1238" s="1399"/>
      <c r="CM1238" s="1399"/>
      <c r="CN1238" s="1399"/>
      <c r="CO1238" s="1399"/>
      <c r="CP1238" s="1399"/>
      <c r="CQ1238" s="1399"/>
      <c r="CR1238" s="1399"/>
      <c r="CS1238" s="1399"/>
      <c r="CT1238" s="1399"/>
      <c r="CU1238" s="1399"/>
      <c r="CV1238" s="1399"/>
      <c r="CW1238" s="1399"/>
      <c r="CX1238" s="1399"/>
      <c r="CY1238" s="1399"/>
      <c r="CZ1238" s="1399"/>
      <c r="DA1238" s="1399"/>
      <c r="DB1238" s="1399"/>
      <c r="DC1238" s="1399"/>
      <c r="DD1238" s="1399"/>
      <c r="DE1238" s="1399"/>
      <c r="DF1238" s="1399"/>
      <c r="DG1238" s="1399"/>
      <c r="DH1238" s="1399"/>
      <c r="DI1238" s="1399"/>
      <c r="DJ1238" s="1399"/>
      <c r="DK1238" s="1399"/>
      <c r="DL1238" s="1399"/>
      <c r="DM1238" s="1399"/>
      <c r="DN1238" s="1399"/>
      <c r="DO1238" s="1399"/>
      <c r="DP1238" s="1399"/>
      <c r="DQ1238" s="1399"/>
      <c r="DR1238" s="1399"/>
      <c r="DS1238" s="1399"/>
      <c r="DT1238" s="1399"/>
      <c r="DU1238" s="1399"/>
    </row>
    <row r="1239" spans="1:125">
      <c r="A1239" s="1414"/>
      <c r="B1239" s="1414"/>
      <c r="C1239" s="1414"/>
      <c r="D1239" s="1414"/>
      <c r="E1239" s="1414"/>
      <c r="F1239" s="1414"/>
      <c r="G1239" s="1414"/>
      <c r="H1239" s="1414"/>
      <c r="I1239" s="1414"/>
      <c r="J1239" s="1414"/>
      <c r="K1239" s="1414"/>
      <c r="L1239" s="1414"/>
      <c r="M1239" s="1414"/>
      <c r="N1239" s="1414"/>
      <c r="O1239" s="1414"/>
      <c r="P1239" s="1414"/>
      <c r="Q1239" s="1414"/>
      <c r="R1239" s="1414"/>
      <c r="S1239" s="1414"/>
      <c r="T1239" s="1414"/>
      <c r="U1239" s="1414"/>
      <c r="V1239" s="1414"/>
      <c r="W1239" s="1414"/>
      <c r="X1239" s="1414"/>
      <c r="Y1239" s="1414"/>
      <c r="Z1239" s="1414"/>
      <c r="AA1239" s="1414"/>
      <c r="AB1239" s="1414"/>
      <c r="AC1239" s="1414"/>
      <c r="AD1239" s="1414"/>
      <c r="AE1239" s="1414"/>
      <c r="AF1239" s="1414"/>
      <c r="AG1239" s="1414"/>
      <c r="AH1239" s="1414"/>
      <c r="AI1239" s="1414"/>
      <c r="AJ1239" s="1414"/>
      <c r="AK1239" s="1414"/>
      <c r="AL1239" s="1414"/>
      <c r="AM1239" s="1414"/>
      <c r="AN1239" s="1414"/>
      <c r="AO1239" s="1414"/>
      <c r="AP1239" s="1414"/>
      <c r="AQ1239" s="1414"/>
      <c r="AR1239" s="1414"/>
      <c r="AS1239" s="1414"/>
      <c r="AT1239" s="1414"/>
      <c r="AU1239" s="1414"/>
      <c r="AV1239" s="1414"/>
      <c r="AW1239" s="1414"/>
      <c r="AX1239" s="1414"/>
      <c r="AY1239" s="1399"/>
      <c r="AZ1239" s="1399"/>
      <c r="BA1239" s="1399"/>
      <c r="BB1239" s="1399"/>
      <c r="BC1239" s="1399"/>
      <c r="BD1239" s="1399"/>
      <c r="BE1239" s="1414"/>
      <c r="BF1239" s="1399"/>
      <c r="BG1239" s="1399"/>
      <c r="BH1239" s="1399"/>
      <c r="BI1239" s="1399"/>
      <c r="BJ1239" s="1399"/>
      <c r="BK1239" s="1399"/>
      <c r="BL1239" s="1399"/>
      <c r="BM1239" s="1399"/>
      <c r="BN1239" s="1399"/>
      <c r="BO1239" s="1399"/>
      <c r="BP1239" s="1399"/>
      <c r="BQ1239" s="1399"/>
      <c r="BR1239" s="1399"/>
      <c r="BS1239" s="1399"/>
      <c r="BT1239" s="1399"/>
      <c r="BU1239" s="1399"/>
      <c r="BV1239" s="1399"/>
      <c r="BW1239" s="1399"/>
      <c r="BX1239" s="1399"/>
      <c r="BY1239" s="1399"/>
      <c r="BZ1239" s="1399"/>
      <c r="CA1239" s="1399"/>
      <c r="CB1239" s="1399"/>
      <c r="CC1239" s="1399"/>
      <c r="CD1239" s="1399"/>
      <c r="CE1239" s="1399"/>
      <c r="CF1239" s="1399"/>
      <c r="CG1239" s="1399"/>
      <c r="CH1239" s="1399"/>
      <c r="CI1239" s="1399"/>
      <c r="CJ1239" s="1399"/>
      <c r="CK1239" s="1399"/>
      <c r="CL1239" s="1399"/>
      <c r="CM1239" s="1399"/>
      <c r="CN1239" s="1399"/>
      <c r="CO1239" s="1399"/>
      <c r="CP1239" s="1399"/>
      <c r="CQ1239" s="1399"/>
      <c r="CR1239" s="1399"/>
      <c r="CS1239" s="1399"/>
      <c r="CT1239" s="1399"/>
      <c r="CU1239" s="1399"/>
      <c r="CV1239" s="1399"/>
      <c r="CW1239" s="1399"/>
      <c r="CX1239" s="1399"/>
      <c r="CY1239" s="1399"/>
      <c r="CZ1239" s="1399"/>
      <c r="DA1239" s="1399"/>
      <c r="DB1239" s="1399"/>
      <c r="DC1239" s="1399"/>
      <c r="DD1239" s="1399"/>
      <c r="DE1239" s="1399"/>
      <c r="DF1239" s="1399"/>
      <c r="DG1239" s="1399"/>
      <c r="DH1239" s="1399"/>
      <c r="DI1239" s="1399"/>
      <c r="DJ1239" s="1399"/>
      <c r="DK1239" s="1399"/>
      <c r="DL1239" s="1399"/>
      <c r="DM1239" s="1399"/>
      <c r="DN1239" s="1399"/>
      <c r="DO1239" s="1399"/>
      <c r="DP1239" s="1399"/>
      <c r="DQ1239" s="1399"/>
      <c r="DR1239" s="1399"/>
      <c r="DS1239" s="1399"/>
      <c r="DT1239" s="1399"/>
      <c r="DU1239" s="1399"/>
    </row>
    <row r="1240" spans="1:125">
      <c r="A1240" s="1414"/>
      <c r="B1240" s="1414"/>
      <c r="C1240" s="1414"/>
      <c r="D1240" s="1414"/>
      <c r="E1240" s="1414"/>
      <c r="F1240" s="1414"/>
      <c r="G1240" s="1414"/>
      <c r="H1240" s="1414"/>
      <c r="I1240" s="1414"/>
      <c r="J1240" s="1414"/>
      <c r="K1240" s="1414"/>
      <c r="L1240" s="1414"/>
      <c r="M1240" s="1414"/>
      <c r="N1240" s="1414"/>
      <c r="O1240" s="1414"/>
      <c r="P1240" s="1414"/>
      <c r="Q1240" s="1414"/>
      <c r="R1240" s="1414"/>
      <c r="S1240" s="1414"/>
      <c r="T1240" s="1414"/>
      <c r="U1240" s="1414"/>
      <c r="V1240" s="1414"/>
      <c r="W1240" s="1414"/>
      <c r="X1240" s="1414"/>
      <c r="Y1240" s="1414"/>
      <c r="Z1240" s="1414"/>
      <c r="AA1240" s="1414"/>
      <c r="AB1240" s="1414"/>
      <c r="AC1240" s="1414"/>
      <c r="AD1240" s="1414"/>
      <c r="AE1240" s="1414"/>
      <c r="AF1240" s="1414"/>
      <c r="AG1240" s="1414"/>
      <c r="AH1240" s="1414"/>
      <c r="AI1240" s="1414"/>
      <c r="AJ1240" s="1414"/>
      <c r="AK1240" s="1414"/>
      <c r="AL1240" s="1414"/>
      <c r="AM1240" s="1414"/>
      <c r="AN1240" s="1414"/>
      <c r="AO1240" s="1414"/>
      <c r="AP1240" s="1414"/>
      <c r="AQ1240" s="1414"/>
      <c r="AR1240" s="1414"/>
      <c r="AS1240" s="1414"/>
      <c r="AT1240" s="1414"/>
      <c r="AU1240" s="1414"/>
      <c r="AV1240" s="1414"/>
      <c r="AW1240" s="1414"/>
      <c r="AX1240" s="1414"/>
      <c r="AY1240" s="1399"/>
      <c r="AZ1240" s="1399"/>
      <c r="BA1240" s="1399"/>
      <c r="BB1240" s="1399"/>
      <c r="BC1240" s="1399"/>
      <c r="BD1240" s="1399"/>
      <c r="BE1240" s="1414"/>
      <c r="BF1240" s="1399"/>
      <c r="BG1240" s="1399"/>
      <c r="BH1240" s="1399"/>
      <c r="BI1240" s="1399"/>
      <c r="BJ1240" s="1399"/>
      <c r="BK1240" s="1399"/>
      <c r="BL1240" s="1399"/>
      <c r="BM1240" s="1399"/>
      <c r="BN1240" s="1399"/>
      <c r="BO1240" s="1399"/>
      <c r="BP1240" s="1399"/>
      <c r="BQ1240" s="1399"/>
      <c r="BR1240" s="1399"/>
      <c r="BS1240" s="1399"/>
      <c r="BT1240" s="1399"/>
      <c r="BU1240" s="1399"/>
      <c r="BV1240" s="1399"/>
      <c r="BW1240" s="1399"/>
      <c r="BX1240" s="1399"/>
      <c r="BY1240" s="1399"/>
      <c r="BZ1240" s="1399"/>
      <c r="CA1240" s="1399"/>
      <c r="CB1240" s="1399"/>
      <c r="CC1240" s="1399"/>
      <c r="CD1240" s="1399"/>
      <c r="CE1240" s="1399"/>
      <c r="CF1240" s="1399"/>
      <c r="CG1240" s="1399"/>
      <c r="CH1240" s="1399"/>
      <c r="CI1240" s="1399"/>
      <c r="CJ1240" s="1399"/>
      <c r="CK1240" s="1399"/>
      <c r="CL1240" s="1399"/>
      <c r="CM1240" s="1399"/>
      <c r="CN1240" s="1399"/>
      <c r="CO1240" s="1399"/>
      <c r="CP1240" s="1399"/>
      <c r="CQ1240" s="1399"/>
      <c r="CR1240" s="1399"/>
      <c r="CS1240" s="1399"/>
      <c r="CT1240" s="1399"/>
      <c r="CU1240" s="1399"/>
      <c r="CV1240" s="1399"/>
      <c r="CW1240" s="1399"/>
      <c r="CX1240" s="1399"/>
      <c r="CY1240" s="1399"/>
      <c r="CZ1240" s="1399"/>
      <c r="DA1240" s="1399"/>
      <c r="DB1240" s="1399"/>
      <c r="DC1240" s="1399"/>
      <c r="DD1240" s="1399"/>
      <c r="DE1240" s="1399"/>
      <c r="DF1240" s="1399"/>
      <c r="DG1240" s="1399"/>
      <c r="DH1240" s="1399"/>
      <c r="DI1240" s="1399"/>
      <c r="DJ1240" s="1399"/>
      <c r="DK1240" s="1399"/>
      <c r="DL1240" s="1399"/>
      <c r="DM1240" s="1399"/>
      <c r="DN1240" s="1399"/>
      <c r="DO1240" s="1399"/>
      <c r="DP1240" s="1399"/>
      <c r="DQ1240" s="1399"/>
      <c r="DR1240" s="1399"/>
      <c r="DS1240" s="1399"/>
      <c r="DT1240" s="1399"/>
      <c r="DU1240" s="1399"/>
    </row>
    <row r="1241" spans="1:125">
      <c r="A1241" s="1414"/>
      <c r="B1241" s="1414"/>
      <c r="C1241" s="1414"/>
      <c r="D1241" s="1414"/>
      <c r="E1241" s="1414"/>
      <c r="F1241" s="1414"/>
      <c r="G1241" s="1414"/>
      <c r="H1241" s="1414"/>
      <c r="I1241" s="1414"/>
      <c r="J1241" s="1414"/>
      <c r="K1241" s="1414"/>
      <c r="L1241" s="1414"/>
      <c r="M1241" s="1414"/>
      <c r="N1241" s="1414"/>
      <c r="O1241" s="1414"/>
      <c r="P1241" s="1414"/>
      <c r="Q1241" s="1414"/>
      <c r="R1241" s="1414"/>
      <c r="S1241" s="1414"/>
      <c r="T1241" s="1414"/>
      <c r="U1241" s="1414"/>
      <c r="V1241" s="1414"/>
      <c r="W1241" s="1414"/>
      <c r="X1241" s="1414"/>
      <c r="Y1241" s="1414"/>
      <c r="Z1241" s="1414"/>
      <c r="AA1241" s="1414"/>
      <c r="AB1241" s="1414"/>
      <c r="AC1241" s="1414"/>
      <c r="AD1241" s="1414"/>
      <c r="AE1241" s="1414"/>
      <c r="AF1241" s="1414"/>
      <c r="AG1241" s="1414"/>
      <c r="AH1241" s="1414"/>
      <c r="AI1241" s="1414"/>
      <c r="AJ1241" s="1414"/>
      <c r="AK1241" s="1414"/>
      <c r="AL1241" s="1414"/>
      <c r="AM1241" s="1414"/>
      <c r="AN1241" s="1414"/>
      <c r="AO1241" s="1414"/>
      <c r="AP1241" s="1414"/>
      <c r="AQ1241" s="1414"/>
      <c r="AR1241" s="1414"/>
      <c r="AS1241" s="1414"/>
      <c r="AT1241" s="1414"/>
      <c r="AU1241" s="1414"/>
      <c r="AV1241" s="1414"/>
      <c r="AW1241" s="1414"/>
      <c r="AX1241" s="1414"/>
      <c r="AY1241" s="1399"/>
      <c r="AZ1241" s="1399"/>
      <c r="BA1241" s="1399"/>
      <c r="BB1241" s="1399"/>
      <c r="BC1241" s="1399"/>
      <c r="BD1241" s="1399"/>
      <c r="BE1241" s="1414"/>
      <c r="BF1241" s="1399"/>
      <c r="BG1241" s="1399"/>
      <c r="BH1241" s="1399"/>
      <c r="BI1241" s="1399"/>
      <c r="BJ1241" s="1399"/>
      <c r="BK1241" s="1399"/>
      <c r="BL1241" s="1399"/>
      <c r="BM1241" s="1399"/>
      <c r="BN1241" s="1399"/>
      <c r="BO1241" s="1399"/>
      <c r="BP1241" s="1399"/>
      <c r="BQ1241" s="1399"/>
      <c r="BR1241" s="1399"/>
      <c r="BS1241" s="1399"/>
      <c r="BT1241" s="1399"/>
      <c r="BU1241" s="1399"/>
      <c r="BV1241" s="1399"/>
      <c r="BW1241" s="1399"/>
      <c r="BX1241" s="1399"/>
      <c r="BY1241" s="1399"/>
      <c r="BZ1241" s="1399"/>
      <c r="CA1241" s="1399"/>
      <c r="CB1241" s="1399"/>
      <c r="CC1241" s="1399"/>
      <c r="CD1241" s="1399"/>
      <c r="CE1241" s="1399"/>
      <c r="CF1241" s="1399"/>
      <c r="CG1241" s="1399"/>
      <c r="CH1241" s="1399"/>
      <c r="CI1241" s="1399"/>
      <c r="CJ1241" s="1399"/>
      <c r="CK1241" s="1399"/>
      <c r="CL1241" s="1399"/>
      <c r="CM1241" s="1399"/>
      <c r="CN1241" s="1399"/>
      <c r="CO1241" s="1399"/>
      <c r="CP1241" s="1399"/>
      <c r="CQ1241" s="1399"/>
      <c r="CR1241" s="1399"/>
      <c r="CS1241" s="1399"/>
      <c r="CT1241" s="1399"/>
      <c r="CU1241" s="1399"/>
      <c r="CV1241" s="1399"/>
      <c r="CW1241" s="1399"/>
      <c r="CX1241" s="1399"/>
      <c r="CY1241" s="1399"/>
      <c r="CZ1241" s="1399"/>
      <c r="DA1241" s="1399"/>
      <c r="DB1241" s="1399"/>
      <c r="DC1241" s="1399"/>
      <c r="DD1241" s="1399"/>
      <c r="DE1241" s="1399"/>
      <c r="DF1241" s="1399"/>
      <c r="DG1241" s="1399"/>
      <c r="DH1241" s="1399"/>
      <c r="DI1241" s="1399"/>
      <c r="DJ1241" s="1399"/>
      <c r="DK1241" s="1399"/>
      <c r="DL1241" s="1399"/>
      <c r="DM1241" s="1399"/>
      <c r="DN1241" s="1399"/>
      <c r="DO1241" s="1399"/>
      <c r="DP1241" s="1399"/>
      <c r="DQ1241" s="1399"/>
      <c r="DR1241" s="1399"/>
      <c r="DS1241" s="1399"/>
      <c r="DT1241" s="1399"/>
      <c r="DU1241" s="1399"/>
    </row>
    <row r="1242" spans="1:125">
      <c r="A1242" s="1414"/>
      <c r="B1242" s="1414"/>
      <c r="C1242" s="1414"/>
      <c r="D1242" s="1414"/>
      <c r="E1242" s="1414"/>
      <c r="F1242" s="1414"/>
      <c r="G1242" s="1414"/>
      <c r="H1242" s="1414"/>
      <c r="I1242" s="1414"/>
      <c r="J1242" s="1414"/>
      <c r="K1242" s="1414"/>
      <c r="L1242" s="1414"/>
      <c r="M1242" s="1414"/>
      <c r="N1242" s="1414"/>
      <c r="O1242" s="1414"/>
      <c r="P1242" s="1414"/>
      <c r="Q1242" s="1414"/>
      <c r="R1242" s="1414"/>
      <c r="S1242" s="1414"/>
      <c r="T1242" s="1414"/>
      <c r="U1242" s="1414"/>
      <c r="V1242" s="1414"/>
      <c r="W1242" s="1414"/>
      <c r="X1242" s="1414"/>
      <c r="Y1242" s="1414"/>
      <c r="Z1242" s="1414"/>
      <c r="AA1242" s="1414"/>
      <c r="AB1242" s="1414"/>
      <c r="AC1242" s="1414"/>
      <c r="AD1242" s="1414"/>
      <c r="AE1242" s="1414"/>
      <c r="AF1242" s="1414"/>
      <c r="AG1242" s="1414"/>
      <c r="AH1242" s="1414"/>
      <c r="AI1242" s="1414"/>
      <c r="AJ1242" s="1414"/>
      <c r="AK1242" s="1414"/>
      <c r="AL1242" s="1414"/>
      <c r="AM1242" s="1414"/>
      <c r="AN1242" s="1414"/>
      <c r="AO1242" s="1414"/>
      <c r="AP1242" s="1414"/>
      <c r="AQ1242" s="1414"/>
      <c r="AR1242" s="1414"/>
      <c r="AS1242" s="1414"/>
      <c r="AT1242" s="1414"/>
      <c r="AU1242" s="1414"/>
      <c r="AV1242" s="1414"/>
      <c r="AW1242" s="1414"/>
      <c r="AX1242" s="1414"/>
      <c r="AY1242" s="1399"/>
      <c r="AZ1242" s="1399"/>
      <c r="BA1242" s="1399"/>
      <c r="BB1242" s="1399"/>
      <c r="BC1242" s="1399"/>
      <c r="BD1242" s="1399"/>
      <c r="BE1242" s="1414"/>
      <c r="BF1242" s="1399"/>
      <c r="BG1242" s="1399"/>
      <c r="BH1242" s="1399"/>
      <c r="BI1242" s="1399"/>
      <c r="BJ1242" s="1399"/>
      <c r="BK1242" s="1399"/>
      <c r="BL1242" s="1399"/>
      <c r="BM1242" s="1399"/>
      <c r="BN1242" s="1399"/>
      <c r="BO1242" s="1399"/>
      <c r="BP1242" s="1399"/>
      <c r="BQ1242" s="1399"/>
      <c r="BR1242" s="1399"/>
      <c r="BS1242" s="1399"/>
      <c r="BT1242" s="1399"/>
      <c r="BU1242" s="1399"/>
      <c r="BV1242" s="1399"/>
      <c r="BW1242" s="1399"/>
      <c r="BX1242" s="1399"/>
      <c r="BY1242" s="1399"/>
      <c r="BZ1242" s="1399"/>
      <c r="CA1242" s="1399"/>
      <c r="CB1242" s="1399"/>
      <c r="CC1242" s="1399"/>
      <c r="CD1242" s="1399"/>
      <c r="CE1242" s="1399"/>
      <c r="CF1242" s="1399"/>
      <c r="CG1242" s="1399"/>
      <c r="CH1242" s="1399"/>
      <c r="CI1242" s="1399"/>
      <c r="CJ1242" s="1399"/>
      <c r="CK1242" s="1399"/>
      <c r="CL1242" s="1399"/>
      <c r="CM1242" s="1399"/>
      <c r="CN1242" s="1399"/>
      <c r="CO1242" s="1399"/>
      <c r="CP1242" s="1399"/>
      <c r="CQ1242" s="1399"/>
      <c r="CR1242" s="1399"/>
      <c r="CS1242" s="1399"/>
      <c r="CT1242" s="1399"/>
      <c r="CU1242" s="1399"/>
      <c r="CV1242" s="1399"/>
      <c r="CW1242" s="1399"/>
      <c r="CX1242" s="1399"/>
      <c r="CY1242" s="1399"/>
      <c r="CZ1242" s="1399"/>
      <c r="DA1242" s="1399"/>
      <c r="DB1242" s="1399"/>
      <c r="DC1242" s="1399"/>
      <c r="DD1242" s="1399"/>
      <c r="DE1242" s="1399"/>
      <c r="DF1242" s="1399"/>
      <c r="DG1242" s="1399"/>
      <c r="DH1242" s="1399"/>
      <c r="DI1242" s="1399"/>
      <c r="DJ1242" s="1399"/>
      <c r="DK1242" s="1399"/>
      <c r="DL1242" s="1399"/>
      <c r="DM1242" s="1399"/>
      <c r="DN1242" s="1399"/>
      <c r="DO1242" s="1399"/>
      <c r="DP1242" s="1399"/>
      <c r="DQ1242" s="1399"/>
      <c r="DR1242" s="1399"/>
      <c r="DS1242" s="1399"/>
      <c r="DT1242" s="1399"/>
      <c r="DU1242" s="1399"/>
    </row>
    <row r="1243" spans="1:125">
      <c r="A1243" s="1414"/>
      <c r="B1243" s="1414"/>
      <c r="C1243" s="1414"/>
      <c r="D1243" s="1414"/>
      <c r="E1243" s="1414"/>
      <c r="F1243" s="1414"/>
      <c r="G1243" s="1414"/>
      <c r="H1243" s="1414"/>
      <c r="I1243" s="1414"/>
      <c r="J1243" s="1414"/>
      <c r="K1243" s="1414"/>
      <c r="L1243" s="1414"/>
      <c r="M1243" s="1414"/>
      <c r="N1243" s="1414"/>
      <c r="O1243" s="1414"/>
      <c r="P1243" s="1414"/>
      <c r="Q1243" s="1414"/>
      <c r="R1243" s="1414"/>
      <c r="S1243" s="1414"/>
      <c r="T1243" s="1414"/>
      <c r="U1243" s="1414"/>
      <c r="V1243" s="1414"/>
      <c r="W1243" s="1414"/>
      <c r="X1243" s="1414"/>
      <c r="Y1243" s="1414"/>
      <c r="Z1243" s="1414"/>
      <c r="AA1243" s="1414"/>
      <c r="AB1243" s="1414"/>
      <c r="AC1243" s="1414"/>
      <c r="AD1243" s="1414"/>
      <c r="AE1243" s="1414"/>
      <c r="AF1243" s="1414"/>
      <c r="AG1243" s="1414"/>
      <c r="AH1243" s="1414"/>
      <c r="AI1243" s="1414"/>
      <c r="AJ1243" s="1414"/>
      <c r="AK1243" s="1414"/>
      <c r="AL1243" s="1414"/>
      <c r="AM1243" s="1414"/>
      <c r="AN1243" s="1414"/>
      <c r="AO1243" s="1414"/>
      <c r="AP1243" s="1414"/>
      <c r="AQ1243" s="1414"/>
      <c r="AR1243" s="1414"/>
      <c r="AS1243" s="1414"/>
      <c r="AT1243" s="1414"/>
      <c r="AU1243" s="1414"/>
      <c r="AV1243" s="1414"/>
      <c r="AW1243" s="1414"/>
      <c r="AX1243" s="1414"/>
      <c r="AY1243" s="1399"/>
      <c r="AZ1243" s="1399"/>
      <c r="BA1243" s="1399"/>
      <c r="BB1243" s="1399"/>
      <c r="BC1243" s="1399"/>
      <c r="BD1243" s="1399"/>
      <c r="BE1243" s="1414"/>
      <c r="BF1243" s="1399"/>
      <c r="BG1243" s="1399"/>
      <c r="BH1243" s="1399"/>
      <c r="BI1243" s="1399"/>
      <c r="BJ1243" s="1399"/>
      <c r="BK1243" s="1399"/>
      <c r="BL1243" s="1399"/>
      <c r="BM1243" s="1399"/>
      <c r="BN1243" s="1399"/>
      <c r="BO1243" s="1399"/>
      <c r="BP1243" s="1399"/>
      <c r="BQ1243" s="1399"/>
      <c r="BR1243" s="1399"/>
      <c r="BS1243" s="1399"/>
      <c r="BT1243" s="1399"/>
      <c r="BU1243" s="1399"/>
      <c r="BV1243" s="1399"/>
      <c r="BW1243" s="1399"/>
      <c r="BX1243" s="1399"/>
      <c r="BY1243" s="1399"/>
      <c r="BZ1243" s="1399"/>
      <c r="CA1243" s="1399"/>
      <c r="CB1243" s="1399"/>
      <c r="CC1243" s="1399"/>
      <c r="CD1243" s="1399"/>
      <c r="CE1243" s="1399"/>
      <c r="CF1243" s="1399"/>
      <c r="CG1243" s="1399"/>
      <c r="CH1243" s="1399"/>
      <c r="CI1243" s="1399"/>
      <c r="CJ1243" s="1399"/>
      <c r="CK1243" s="1399"/>
      <c r="CL1243" s="1399"/>
      <c r="CM1243" s="1399"/>
      <c r="CN1243" s="1399"/>
      <c r="CO1243" s="1399"/>
      <c r="CP1243" s="1399"/>
      <c r="CQ1243" s="1399"/>
      <c r="CR1243" s="1399"/>
      <c r="CS1243" s="1399"/>
      <c r="CT1243" s="1399"/>
      <c r="CU1243" s="1399"/>
      <c r="CV1243" s="1399"/>
      <c r="CW1243" s="1399"/>
      <c r="CX1243" s="1399"/>
      <c r="CY1243" s="1399"/>
      <c r="CZ1243" s="1399"/>
      <c r="DA1243" s="1399"/>
      <c r="DB1243" s="1399"/>
      <c r="DC1243" s="1399"/>
      <c r="DD1243" s="1399"/>
      <c r="DE1243" s="1399"/>
      <c r="DF1243" s="1399"/>
      <c r="DG1243" s="1399"/>
      <c r="DH1243" s="1399"/>
      <c r="DI1243" s="1399"/>
      <c r="DJ1243" s="1399"/>
      <c r="DK1243" s="1399"/>
      <c r="DL1243" s="1399"/>
      <c r="DM1243" s="1399"/>
      <c r="DN1243" s="1399"/>
      <c r="DO1243" s="1399"/>
      <c r="DP1243" s="1399"/>
      <c r="DQ1243" s="1399"/>
      <c r="DR1243" s="1399"/>
      <c r="DS1243" s="1399"/>
      <c r="DT1243" s="1399"/>
      <c r="DU1243" s="1399"/>
    </row>
    <row r="1244" spans="1:125">
      <c r="A1244" s="1414"/>
      <c r="B1244" s="1414"/>
      <c r="C1244" s="1414"/>
      <c r="D1244" s="1414"/>
      <c r="E1244" s="1414"/>
      <c r="F1244" s="1414"/>
      <c r="G1244" s="1414"/>
      <c r="H1244" s="1414"/>
      <c r="I1244" s="1414"/>
      <c r="J1244" s="1414"/>
      <c r="K1244" s="1414"/>
      <c r="L1244" s="1414"/>
      <c r="M1244" s="1414"/>
      <c r="N1244" s="1414"/>
      <c r="O1244" s="1414"/>
      <c r="P1244" s="1414"/>
      <c r="Q1244" s="1414"/>
      <c r="R1244" s="1414"/>
      <c r="S1244" s="1414"/>
      <c r="T1244" s="1414"/>
      <c r="U1244" s="1414"/>
      <c r="V1244" s="1414"/>
      <c r="W1244" s="1414"/>
      <c r="X1244" s="1414"/>
      <c r="Y1244" s="1414"/>
      <c r="Z1244" s="1414"/>
      <c r="AA1244" s="1414"/>
      <c r="AB1244" s="1414"/>
      <c r="AC1244" s="1414"/>
      <c r="AD1244" s="1414"/>
      <c r="AE1244" s="1414"/>
      <c r="AF1244" s="1414"/>
      <c r="AG1244" s="1414"/>
      <c r="AH1244" s="1414"/>
      <c r="AI1244" s="1414"/>
      <c r="AJ1244" s="1414"/>
      <c r="AK1244" s="1414"/>
      <c r="AL1244" s="1414"/>
      <c r="AM1244" s="1414"/>
      <c r="AN1244" s="1414"/>
      <c r="AO1244" s="1414"/>
      <c r="AP1244" s="1414"/>
      <c r="AQ1244" s="1414"/>
      <c r="AR1244" s="1414"/>
      <c r="AS1244" s="1414"/>
      <c r="AT1244" s="1414"/>
      <c r="AU1244" s="1414"/>
      <c r="AV1244" s="1414"/>
      <c r="AW1244" s="1414"/>
      <c r="AX1244" s="1414"/>
      <c r="AY1244" s="1399"/>
      <c r="AZ1244" s="1399"/>
      <c r="BA1244" s="1399"/>
      <c r="BB1244" s="1399"/>
      <c r="BC1244" s="1399"/>
      <c r="BD1244" s="1399"/>
      <c r="BE1244" s="1414"/>
      <c r="BF1244" s="1399"/>
      <c r="BG1244" s="1399"/>
      <c r="BH1244" s="1399"/>
      <c r="BI1244" s="1399"/>
      <c r="BJ1244" s="1399"/>
      <c r="BK1244" s="1399"/>
      <c r="BL1244" s="1399"/>
      <c r="BM1244" s="1399"/>
      <c r="BN1244" s="1399"/>
      <c r="BO1244" s="1399"/>
      <c r="BP1244" s="1399"/>
      <c r="BQ1244" s="1399"/>
      <c r="BR1244" s="1399"/>
      <c r="BS1244" s="1399"/>
      <c r="BT1244" s="1399"/>
      <c r="BU1244" s="1399"/>
      <c r="BV1244" s="1399"/>
      <c r="BW1244" s="1399"/>
      <c r="BX1244" s="1399"/>
      <c r="BY1244" s="1399"/>
      <c r="BZ1244" s="1399"/>
      <c r="CA1244" s="1399"/>
      <c r="CB1244" s="1399"/>
      <c r="CC1244" s="1399"/>
      <c r="CD1244" s="1399"/>
      <c r="CE1244" s="1399"/>
      <c r="CF1244" s="1399"/>
      <c r="CG1244" s="1399"/>
      <c r="CH1244" s="1399"/>
      <c r="CI1244" s="1399"/>
      <c r="CJ1244" s="1399"/>
      <c r="CK1244" s="1399"/>
      <c r="CL1244" s="1399"/>
      <c r="CM1244" s="1399"/>
      <c r="CN1244" s="1399"/>
      <c r="CO1244" s="1399"/>
      <c r="CP1244" s="1399"/>
      <c r="CQ1244" s="1399"/>
      <c r="CR1244" s="1399"/>
      <c r="CS1244" s="1399"/>
      <c r="CT1244" s="1399"/>
      <c r="CU1244" s="1399"/>
      <c r="CV1244" s="1399"/>
      <c r="CW1244" s="1399"/>
      <c r="CX1244" s="1399"/>
      <c r="CY1244" s="1399"/>
      <c r="CZ1244" s="1399"/>
      <c r="DA1244" s="1399"/>
      <c r="DB1244" s="1399"/>
      <c r="DC1244" s="1399"/>
      <c r="DD1244" s="1399"/>
      <c r="DE1244" s="1399"/>
      <c r="DF1244" s="1399"/>
      <c r="DG1244" s="1399"/>
      <c r="DH1244" s="1399"/>
      <c r="DI1244" s="1399"/>
      <c r="DJ1244" s="1399"/>
      <c r="DK1244" s="1399"/>
      <c r="DL1244" s="1399"/>
      <c r="DM1244" s="1399"/>
      <c r="DN1244" s="1399"/>
      <c r="DO1244" s="1399"/>
      <c r="DP1244" s="1399"/>
      <c r="DQ1244" s="1399"/>
      <c r="DR1244" s="1399"/>
      <c r="DS1244" s="1399"/>
      <c r="DT1244" s="1399"/>
      <c r="DU1244" s="1399"/>
    </row>
    <row r="1245" spans="1:125">
      <c r="A1245" s="1414"/>
      <c r="B1245" s="1414"/>
      <c r="C1245" s="1414"/>
      <c r="D1245" s="1414"/>
      <c r="E1245" s="1414"/>
      <c r="F1245" s="1414"/>
      <c r="G1245" s="1414"/>
      <c r="H1245" s="1414"/>
      <c r="I1245" s="1414"/>
      <c r="J1245" s="1414"/>
      <c r="K1245" s="1414"/>
      <c r="L1245" s="1414"/>
      <c r="M1245" s="1414"/>
      <c r="N1245" s="1414"/>
      <c r="O1245" s="1414"/>
      <c r="P1245" s="1414"/>
      <c r="Q1245" s="1414"/>
      <c r="R1245" s="1414"/>
      <c r="S1245" s="1414"/>
      <c r="T1245" s="1414"/>
      <c r="U1245" s="1414"/>
      <c r="V1245" s="1414"/>
      <c r="W1245" s="1414"/>
      <c r="X1245" s="1414"/>
      <c r="Y1245" s="1414"/>
      <c r="Z1245" s="1414"/>
      <c r="AA1245" s="1414"/>
      <c r="AB1245" s="1414"/>
      <c r="AC1245" s="1414"/>
      <c r="AD1245" s="1414"/>
      <c r="AE1245" s="1414"/>
      <c r="AF1245" s="1414"/>
      <c r="AG1245" s="1414"/>
      <c r="AH1245" s="1414"/>
      <c r="AI1245" s="1414"/>
      <c r="AJ1245" s="1414"/>
      <c r="AK1245" s="1414"/>
      <c r="AL1245" s="1414"/>
      <c r="AM1245" s="1414"/>
      <c r="AN1245" s="1414"/>
      <c r="AO1245" s="1414"/>
      <c r="AP1245" s="1414"/>
      <c r="AQ1245" s="1414"/>
      <c r="AR1245" s="1414"/>
      <c r="AS1245" s="1414"/>
      <c r="AT1245" s="1414"/>
      <c r="AU1245" s="1414"/>
      <c r="AV1245" s="1414"/>
      <c r="AW1245" s="1414"/>
      <c r="AX1245" s="1414"/>
      <c r="AY1245" s="1399"/>
      <c r="AZ1245" s="1399"/>
      <c r="BA1245" s="1399"/>
      <c r="BB1245" s="1399"/>
      <c r="BC1245" s="1399"/>
      <c r="BD1245" s="1399"/>
      <c r="BE1245" s="1414"/>
      <c r="BF1245" s="1399"/>
      <c r="BG1245" s="1399"/>
      <c r="BH1245" s="1399"/>
      <c r="BI1245" s="1399"/>
      <c r="BJ1245" s="1399"/>
      <c r="BK1245" s="1399"/>
      <c r="BL1245" s="1399"/>
      <c r="BM1245" s="1399"/>
      <c r="BN1245" s="1399"/>
      <c r="BO1245" s="1399"/>
      <c r="BP1245" s="1399"/>
      <c r="BQ1245" s="1399"/>
      <c r="BR1245" s="1399"/>
      <c r="BS1245" s="1399"/>
      <c r="BT1245" s="1399"/>
      <c r="BU1245" s="1399"/>
      <c r="BV1245" s="1399"/>
      <c r="BW1245" s="1399"/>
      <c r="BX1245" s="1399"/>
      <c r="BY1245" s="1399"/>
      <c r="BZ1245" s="1399"/>
      <c r="CA1245" s="1399"/>
      <c r="CB1245" s="1399"/>
      <c r="CC1245" s="1399"/>
      <c r="CD1245" s="1399"/>
      <c r="CE1245" s="1399"/>
      <c r="CF1245" s="1399"/>
      <c r="CG1245" s="1399"/>
      <c r="CH1245" s="1399"/>
      <c r="CI1245" s="1399"/>
      <c r="CJ1245" s="1399"/>
      <c r="CK1245" s="1399"/>
      <c r="CL1245" s="1399"/>
      <c r="CM1245" s="1399"/>
      <c r="CN1245" s="1399"/>
      <c r="CO1245" s="1399"/>
      <c r="CP1245" s="1399"/>
      <c r="CQ1245" s="1399"/>
      <c r="CR1245" s="1399"/>
      <c r="CS1245" s="1399"/>
      <c r="CT1245" s="1399"/>
      <c r="CU1245" s="1399"/>
      <c r="CV1245" s="1399"/>
      <c r="CW1245" s="1399"/>
      <c r="CX1245" s="1399"/>
      <c r="CY1245" s="1399"/>
      <c r="CZ1245" s="1399"/>
      <c r="DA1245" s="1399"/>
      <c r="DB1245" s="1399"/>
      <c r="DC1245" s="1399"/>
      <c r="DD1245" s="1399"/>
      <c r="DE1245" s="1399"/>
      <c r="DF1245" s="1399"/>
      <c r="DG1245" s="1399"/>
      <c r="DH1245" s="1399"/>
      <c r="DI1245" s="1399"/>
      <c r="DJ1245" s="1399"/>
      <c r="DK1245" s="1399"/>
      <c r="DL1245" s="1399"/>
      <c r="DM1245" s="1399"/>
      <c r="DN1245" s="1399"/>
      <c r="DO1245" s="1399"/>
      <c r="DP1245" s="1399"/>
      <c r="DQ1245" s="1399"/>
      <c r="DR1245" s="1399"/>
      <c r="DS1245" s="1399"/>
      <c r="DT1245" s="1399"/>
      <c r="DU1245" s="1399"/>
    </row>
    <row r="1246" spans="1:125">
      <c r="A1246" s="1414"/>
      <c r="B1246" s="1414"/>
      <c r="C1246" s="1414"/>
      <c r="D1246" s="1414"/>
      <c r="E1246" s="1414"/>
      <c r="F1246" s="1414"/>
      <c r="G1246" s="1414"/>
      <c r="H1246" s="1414"/>
      <c r="I1246" s="1414"/>
      <c r="J1246" s="1414"/>
      <c r="K1246" s="1414"/>
      <c r="L1246" s="1414"/>
      <c r="M1246" s="1414"/>
      <c r="N1246" s="1414"/>
      <c r="O1246" s="1414"/>
      <c r="P1246" s="1414"/>
      <c r="Q1246" s="1414"/>
      <c r="R1246" s="1414"/>
      <c r="S1246" s="1414"/>
      <c r="T1246" s="1414"/>
      <c r="U1246" s="1414"/>
      <c r="V1246" s="1414"/>
      <c r="W1246" s="1414"/>
      <c r="X1246" s="1414"/>
      <c r="Y1246" s="1414"/>
      <c r="Z1246" s="1414"/>
      <c r="AA1246" s="1414"/>
      <c r="AB1246" s="1414"/>
      <c r="AC1246" s="1414"/>
      <c r="AD1246" s="1414"/>
      <c r="AE1246" s="1414"/>
      <c r="AF1246" s="1414"/>
      <c r="AG1246" s="1414"/>
      <c r="AH1246" s="1414"/>
      <c r="AI1246" s="1414"/>
      <c r="AJ1246" s="1414"/>
      <c r="AK1246" s="1414"/>
      <c r="AL1246" s="1414"/>
      <c r="AM1246" s="1414"/>
      <c r="AN1246" s="1414"/>
      <c r="AO1246" s="1414"/>
      <c r="AP1246" s="1414"/>
      <c r="AQ1246" s="1414"/>
      <c r="AR1246" s="1414"/>
      <c r="AS1246" s="1414"/>
      <c r="AT1246" s="1414"/>
      <c r="AU1246" s="1414"/>
      <c r="AV1246" s="1414"/>
      <c r="AW1246" s="1414"/>
      <c r="AX1246" s="1414"/>
      <c r="AY1246" s="1399"/>
      <c r="AZ1246" s="1399"/>
      <c r="BA1246" s="1399"/>
      <c r="BB1246" s="1399"/>
      <c r="BC1246" s="1399"/>
      <c r="BD1246" s="1399"/>
      <c r="BE1246" s="1414"/>
      <c r="BF1246" s="1399"/>
      <c r="BG1246" s="1399"/>
      <c r="BH1246" s="1399"/>
      <c r="BI1246" s="1399"/>
      <c r="BJ1246" s="1399"/>
      <c r="BK1246" s="1399"/>
      <c r="BL1246" s="1399"/>
      <c r="BM1246" s="1399"/>
      <c r="BN1246" s="1399"/>
      <c r="BO1246" s="1399"/>
      <c r="BP1246" s="1399"/>
      <c r="BQ1246" s="1399"/>
      <c r="BR1246" s="1399"/>
      <c r="BS1246" s="1399"/>
      <c r="BT1246" s="1399"/>
      <c r="BU1246" s="1399"/>
      <c r="BV1246" s="1399"/>
      <c r="BW1246" s="1399"/>
      <c r="BX1246" s="1399"/>
      <c r="BY1246" s="1399"/>
      <c r="BZ1246" s="1399"/>
      <c r="CA1246" s="1399"/>
      <c r="CB1246" s="1399"/>
      <c r="CC1246" s="1399"/>
      <c r="CD1246" s="1399"/>
      <c r="CE1246" s="1399"/>
      <c r="CF1246" s="1399"/>
      <c r="CG1246" s="1399"/>
      <c r="CH1246" s="1399"/>
      <c r="CI1246" s="1399"/>
      <c r="CJ1246" s="1399"/>
      <c r="CK1246" s="1399"/>
      <c r="CL1246" s="1399"/>
      <c r="CM1246" s="1399"/>
      <c r="CN1246" s="1399"/>
      <c r="CO1246" s="1399"/>
      <c r="CP1246" s="1399"/>
      <c r="CQ1246" s="1399"/>
      <c r="CR1246" s="1399"/>
      <c r="CS1246" s="1399"/>
      <c r="CT1246" s="1399"/>
      <c r="CU1246" s="1399"/>
      <c r="CV1246" s="1399"/>
      <c r="CW1246" s="1399"/>
      <c r="CX1246" s="1399"/>
      <c r="CY1246" s="1399"/>
      <c r="CZ1246" s="1399"/>
      <c r="DA1246" s="1399"/>
      <c r="DB1246" s="1399"/>
      <c r="DC1246" s="1399"/>
      <c r="DD1246" s="1399"/>
      <c r="DE1246" s="1399"/>
      <c r="DF1246" s="1399"/>
      <c r="DG1246" s="1399"/>
      <c r="DH1246" s="1399"/>
      <c r="DI1246" s="1399"/>
      <c r="DJ1246" s="1399"/>
      <c r="DK1246" s="1399"/>
      <c r="DL1246" s="1399"/>
      <c r="DM1246" s="1399"/>
      <c r="DN1246" s="1399"/>
      <c r="DO1246" s="1399"/>
      <c r="DP1246" s="1399"/>
      <c r="DQ1246" s="1399"/>
      <c r="DR1246" s="1399"/>
      <c r="DS1246" s="1399"/>
      <c r="DT1246" s="1399"/>
      <c r="DU1246" s="1399"/>
    </row>
    <row r="1247" spans="1:125">
      <c r="A1247" s="1414"/>
      <c r="B1247" s="1414"/>
      <c r="C1247" s="1414"/>
      <c r="D1247" s="1414"/>
      <c r="E1247" s="1414"/>
      <c r="F1247" s="1414"/>
      <c r="G1247" s="1414"/>
      <c r="H1247" s="1414"/>
      <c r="I1247" s="1414"/>
      <c r="J1247" s="1414"/>
      <c r="K1247" s="1414"/>
      <c r="L1247" s="1414"/>
      <c r="M1247" s="1414"/>
      <c r="N1247" s="1414"/>
      <c r="O1247" s="1414"/>
      <c r="P1247" s="1414"/>
      <c r="Q1247" s="1414"/>
      <c r="R1247" s="1414"/>
      <c r="S1247" s="1414"/>
      <c r="T1247" s="1414"/>
      <c r="U1247" s="1414"/>
      <c r="V1247" s="1414"/>
      <c r="W1247" s="1414"/>
      <c r="X1247" s="1414"/>
      <c r="Y1247" s="1414"/>
      <c r="Z1247" s="1414"/>
      <c r="AA1247" s="1414"/>
      <c r="AB1247" s="1414"/>
      <c r="AC1247" s="1414"/>
      <c r="AD1247" s="1414"/>
      <c r="AE1247" s="1414"/>
      <c r="AF1247" s="1414"/>
      <c r="AG1247" s="1414"/>
      <c r="AH1247" s="1414"/>
      <c r="AI1247" s="1414"/>
      <c r="AJ1247" s="1414"/>
      <c r="AK1247" s="1414"/>
      <c r="AL1247" s="1414"/>
      <c r="AM1247" s="1414"/>
      <c r="AN1247" s="1414"/>
      <c r="AO1247" s="1414"/>
      <c r="AP1247" s="1414"/>
      <c r="AQ1247" s="1414"/>
      <c r="AR1247" s="1414"/>
      <c r="AS1247" s="1414"/>
      <c r="AT1247" s="1414"/>
      <c r="AU1247" s="1414"/>
      <c r="AV1247" s="1414"/>
      <c r="AW1247" s="1414"/>
      <c r="AX1247" s="1414"/>
      <c r="AY1247" s="1399"/>
      <c r="AZ1247" s="1399"/>
      <c r="BA1247" s="1399"/>
      <c r="BB1247" s="1399"/>
      <c r="BC1247" s="1399"/>
      <c r="BD1247" s="1399"/>
      <c r="BE1247" s="1414"/>
      <c r="BF1247" s="1399"/>
      <c r="BG1247" s="1399"/>
      <c r="BH1247" s="1399"/>
      <c r="BI1247" s="1399"/>
      <c r="BJ1247" s="1399"/>
      <c r="BK1247" s="1399"/>
      <c r="BL1247" s="1399"/>
      <c r="BM1247" s="1399"/>
      <c r="BN1247" s="1399"/>
      <c r="BO1247" s="1399"/>
      <c r="BP1247" s="1399"/>
      <c r="BQ1247" s="1399"/>
      <c r="BR1247" s="1399"/>
      <c r="BS1247" s="1399"/>
      <c r="BT1247" s="1399"/>
      <c r="BU1247" s="1399"/>
      <c r="BV1247" s="1399"/>
      <c r="BW1247" s="1399"/>
      <c r="BX1247" s="1399"/>
      <c r="BY1247" s="1399"/>
      <c r="BZ1247" s="1399"/>
      <c r="CA1247" s="1399"/>
      <c r="CB1247" s="1399"/>
      <c r="CC1247" s="1399"/>
      <c r="CD1247" s="1399"/>
      <c r="CE1247" s="1399"/>
      <c r="CF1247" s="1399"/>
      <c r="CG1247" s="1399"/>
      <c r="CH1247" s="1399"/>
      <c r="CI1247" s="1399"/>
      <c r="CJ1247" s="1399"/>
      <c r="CK1247" s="1399"/>
      <c r="CL1247" s="1399"/>
      <c r="CM1247" s="1399"/>
      <c r="CN1247" s="1399"/>
      <c r="CO1247" s="1399"/>
      <c r="CP1247" s="1399"/>
      <c r="CQ1247" s="1399"/>
      <c r="CR1247" s="1399"/>
      <c r="CS1247" s="1399"/>
      <c r="CT1247" s="1399"/>
      <c r="CU1247" s="1399"/>
      <c r="CV1247" s="1399"/>
      <c r="CW1247" s="1399"/>
      <c r="CX1247" s="1399"/>
      <c r="CY1247" s="1399"/>
      <c r="CZ1247" s="1399"/>
      <c r="DA1247" s="1399"/>
      <c r="DB1247" s="1399"/>
      <c r="DC1247" s="1399"/>
      <c r="DD1247" s="1399"/>
      <c r="DE1247" s="1399"/>
      <c r="DF1247" s="1399"/>
      <c r="DG1247" s="1399"/>
      <c r="DH1247" s="1399"/>
      <c r="DI1247" s="1399"/>
      <c r="DJ1247" s="1399"/>
      <c r="DK1247" s="1399"/>
      <c r="DL1247" s="1399"/>
      <c r="DM1247" s="1399"/>
      <c r="DN1247" s="1399"/>
      <c r="DO1247" s="1399"/>
      <c r="DP1247" s="1399"/>
      <c r="DQ1247" s="1399"/>
      <c r="DR1247" s="1399"/>
      <c r="DS1247" s="1399"/>
      <c r="DT1247" s="1399"/>
      <c r="DU1247" s="1399"/>
    </row>
    <row r="1248" spans="1:125">
      <c r="A1248" s="1414"/>
      <c r="B1248" s="1414"/>
      <c r="C1248" s="1414"/>
      <c r="D1248" s="1414"/>
      <c r="E1248" s="1414"/>
      <c r="F1248" s="1414"/>
      <c r="G1248" s="1414"/>
      <c r="H1248" s="1414"/>
      <c r="I1248" s="1414"/>
      <c r="J1248" s="1414"/>
      <c r="K1248" s="1414"/>
      <c r="L1248" s="1414"/>
      <c r="M1248" s="1414"/>
      <c r="N1248" s="1414"/>
      <c r="O1248" s="1414"/>
      <c r="P1248" s="1414"/>
      <c r="Q1248" s="1414"/>
      <c r="R1248" s="1414"/>
      <c r="S1248" s="1414"/>
      <c r="T1248" s="1414"/>
      <c r="U1248" s="1414"/>
      <c r="V1248" s="1414"/>
      <c r="W1248" s="1414"/>
      <c r="X1248" s="1414"/>
      <c r="Y1248" s="1414"/>
      <c r="Z1248" s="1414"/>
      <c r="AA1248" s="1414"/>
      <c r="AB1248" s="1414"/>
      <c r="AC1248" s="1414"/>
      <c r="AD1248" s="1414"/>
      <c r="AE1248" s="1414"/>
      <c r="AF1248" s="1414"/>
      <c r="AG1248" s="1414"/>
      <c r="AH1248" s="1414"/>
      <c r="AI1248" s="1414"/>
      <c r="AJ1248" s="1414"/>
      <c r="AK1248" s="1414"/>
      <c r="AL1248" s="1414"/>
      <c r="AM1248" s="1414"/>
      <c r="AN1248" s="1414"/>
      <c r="AO1248" s="1414"/>
      <c r="AP1248" s="1414"/>
      <c r="AQ1248" s="1414"/>
      <c r="AR1248" s="1414"/>
      <c r="AS1248" s="1414"/>
      <c r="AT1248" s="1414"/>
      <c r="AU1248" s="1414"/>
      <c r="AV1248" s="1414"/>
      <c r="AW1248" s="1414"/>
      <c r="AX1248" s="1414"/>
      <c r="AY1248" s="1399"/>
      <c r="AZ1248" s="1399"/>
      <c r="BA1248" s="1399"/>
      <c r="BB1248" s="1399"/>
      <c r="BC1248" s="1399"/>
      <c r="BD1248" s="1399"/>
      <c r="BE1248" s="1414"/>
      <c r="BF1248" s="1399"/>
      <c r="BG1248" s="1399"/>
      <c r="BH1248" s="1399"/>
      <c r="BI1248" s="1399"/>
      <c r="BJ1248" s="1399"/>
      <c r="BK1248" s="1399"/>
      <c r="BL1248" s="1399"/>
      <c r="BM1248" s="1399"/>
      <c r="BN1248" s="1399"/>
      <c r="BO1248" s="1399"/>
      <c r="BP1248" s="1399"/>
      <c r="BQ1248" s="1399"/>
      <c r="BR1248" s="1399"/>
      <c r="BS1248" s="1399"/>
      <c r="BT1248" s="1399"/>
      <c r="BU1248" s="1399"/>
      <c r="BV1248" s="1399"/>
      <c r="BW1248" s="1399"/>
      <c r="BX1248" s="1399"/>
      <c r="BY1248" s="1399"/>
      <c r="BZ1248" s="1399"/>
      <c r="CA1248" s="1399"/>
      <c r="CB1248" s="1399"/>
      <c r="CC1248" s="1399"/>
      <c r="CD1248" s="1399"/>
      <c r="CE1248" s="1399"/>
      <c r="CF1248" s="1399"/>
      <c r="CG1248" s="1399"/>
      <c r="CH1248" s="1399"/>
      <c r="CI1248" s="1399"/>
      <c r="CJ1248" s="1399"/>
      <c r="CK1248" s="1399"/>
      <c r="CL1248" s="1399"/>
      <c r="CM1248" s="1399"/>
      <c r="CN1248" s="1399"/>
      <c r="CO1248" s="1399"/>
      <c r="CP1248" s="1399"/>
      <c r="CQ1248" s="1399"/>
      <c r="CR1248" s="1399"/>
      <c r="CS1248" s="1399"/>
      <c r="CT1248" s="1399"/>
      <c r="CU1248" s="1399"/>
      <c r="CV1248" s="1399"/>
      <c r="CW1248" s="1399"/>
      <c r="CX1248" s="1399"/>
      <c r="CY1248" s="1399"/>
      <c r="CZ1248" s="1399"/>
      <c r="DA1248" s="1399"/>
      <c r="DB1248" s="1399"/>
      <c r="DC1248" s="1399"/>
      <c r="DD1248" s="1399"/>
      <c r="DE1248" s="1399"/>
      <c r="DF1248" s="1399"/>
      <c r="DG1248" s="1399"/>
      <c r="DH1248" s="1399"/>
      <c r="DI1248" s="1399"/>
      <c r="DJ1248" s="1399"/>
      <c r="DK1248" s="1399"/>
      <c r="DL1248" s="1399"/>
      <c r="DM1248" s="1399"/>
      <c r="DN1248" s="1399"/>
      <c r="DO1248" s="1399"/>
      <c r="DP1248" s="1399"/>
      <c r="DQ1248" s="1399"/>
      <c r="DR1248" s="1399"/>
      <c r="DS1248" s="1399"/>
      <c r="DT1248" s="1399"/>
      <c r="DU1248" s="1399"/>
    </row>
    <row r="1249" spans="1:125">
      <c r="A1249" s="1414"/>
      <c r="B1249" s="1414"/>
      <c r="C1249" s="1414"/>
      <c r="D1249" s="1414"/>
      <c r="E1249" s="1414"/>
      <c r="F1249" s="1414"/>
      <c r="G1249" s="1414"/>
      <c r="H1249" s="1414"/>
      <c r="I1249" s="1414"/>
      <c r="J1249" s="1414"/>
      <c r="K1249" s="1414"/>
      <c r="L1249" s="1414"/>
      <c r="M1249" s="1414"/>
      <c r="N1249" s="1414"/>
      <c r="O1249" s="1414"/>
      <c r="P1249" s="1414"/>
      <c r="Q1249" s="1414"/>
      <c r="R1249" s="1414"/>
      <c r="S1249" s="1414"/>
      <c r="T1249" s="1414"/>
      <c r="U1249" s="1414"/>
      <c r="V1249" s="1414"/>
      <c r="W1249" s="1414"/>
      <c r="X1249" s="1414"/>
      <c r="Y1249" s="1414"/>
      <c r="Z1249" s="1414"/>
      <c r="AA1249" s="1414"/>
      <c r="AB1249" s="1414"/>
      <c r="AC1249" s="1414"/>
      <c r="AD1249" s="1414"/>
      <c r="AE1249" s="1414"/>
      <c r="AF1249" s="1414"/>
      <c r="AG1249" s="1414"/>
      <c r="AH1249" s="1414"/>
      <c r="AI1249" s="1414"/>
      <c r="AJ1249" s="1414"/>
      <c r="AK1249" s="1414"/>
      <c r="AL1249" s="1414"/>
      <c r="AM1249" s="1414"/>
      <c r="AN1249" s="1414"/>
      <c r="AO1249" s="1414"/>
      <c r="AP1249" s="1414"/>
      <c r="AQ1249" s="1414"/>
      <c r="AR1249" s="1414"/>
      <c r="AS1249" s="1414"/>
      <c r="AT1249" s="1414"/>
      <c r="AU1249" s="1414"/>
      <c r="AV1249" s="1414"/>
      <c r="AW1249" s="1414"/>
      <c r="AX1249" s="1414"/>
      <c r="AY1249" s="1399"/>
      <c r="AZ1249" s="1399"/>
      <c r="BA1249" s="1399"/>
      <c r="BB1249" s="1399"/>
      <c r="BC1249" s="1399"/>
      <c r="BD1249" s="1399"/>
      <c r="BE1249" s="1414"/>
      <c r="BF1249" s="1399"/>
      <c r="BG1249" s="1399"/>
      <c r="BH1249" s="1399"/>
      <c r="BI1249" s="1399"/>
      <c r="BJ1249" s="1399"/>
      <c r="BK1249" s="1399"/>
      <c r="BL1249" s="1399"/>
      <c r="BM1249" s="1399"/>
      <c r="BN1249" s="1399"/>
      <c r="BO1249" s="1399"/>
      <c r="BP1249" s="1399"/>
      <c r="BQ1249" s="1399"/>
      <c r="BR1249" s="1399"/>
      <c r="BS1249" s="1399"/>
      <c r="BT1249" s="1399"/>
      <c r="BU1249" s="1399"/>
      <c r="BV1249" s="1399"/>
      <c r="BW1249" s="1399"/>
      <c r="BX1249" s="1399"/>
      <c r="BY1249" s="1399"/>
      <c r="BZ1249" s="1399"/>
      <c r="CA1249" s="1399"/>
      <c r="CB1249" s="1399"/>
      <c r="CC1249" s="1399"/>
      <c r="CD1249" s="1399"/>
      <c r="CE1249" s="1399"/>
      <c r="CF1249" s="1399"/>
      <c r="CG1249" s="1399"/>
      <c r="CH1249" s="1399"/>
      <c r="CI1249" s="1399"/>
      <c r="CJ1249" s="1399"/>
      <c r="CK1249" s="1399"/>
      <c r="CL1249" s="1399"/>
      <c r="CM1249" s="1399"/>
      <c r="CN1249" s="1399"/>
      <c r="CO1249" s="1399"/>
      <c r="CP1249" s="1399"/>
      <c r="CQ1249" s="1399"/>
      <c r="CR1249" s="1399"/>
      <c r="CS1249" s="1399"/>
      <c r="CT1249" s="1399"/>
      <c r="CU1249" s="1399"/>
      <c r="CV1249" s="1399"/>
      <c r="CW1249" s="1399"/>
      <c r="CX1249" s="1399"/>
      <c r="CY1249" s="1399"/>
      <c r="CZ1249" s="1399"/>
      <c r="DA1249" s="1399"/>
      <c r="DB1249" s="1399"/>
      <c r="DC1249" s="1399"/>
      <c r="DD1249" s="1399"/>
      <c r="DE1249" s="1399"/>
      <c r="DF1249" s="1399"/>
      <c r="DG1249" s="1399"/>
      <c r="DH1249" s="1399"/>
      <c r="DI1249" s="1399"/>
      <c r="DJ1249" s="1399"/>
      <c r="DK1249" s="1399"/>
      <c r="DL1249" s="1399"/>
      <c r="DM1249" s="1399"/>
      <c r="DN1249" s="1399"/>
      <c r="DO1249" s="1399"/>
      <c r="DP1249" s="1399"/>
      <c r="DQ1249" s="1399"/>
      <c r="DR1249" s="1399"/>
      <c r="DS1249" s="1399"/>
      <c r="DT1249" s="1399"/>
      <c r="DU1249" s="1399"/>
    </row>
    <row r="1250" spans="1:125">
      <c r="A1250" s="1414"/>
      <c r="B1250" s="1414"/>
      <c r="C1250" s="1414"/>
      <c r="D1250" s="1414"/>
      <c r="E1250" s="1414"/>
      <c r="F1250" s="1414"/>
      <c r="G1250" s="1414"/>
      <c r="H1250" s="1414"/>
      <c r="I1250" s="1414"/>
      <c r="J1250" s="1414"/>
      <c r="K1250" s="1414"/>
      <c r="L1250" s="1414"/>
      <c r="M1250" s="1414"/>
      <c r="N1250" s="1414"/>
      <c r="O1250" s="1414"/>
      <c r="P1250" s="1414"/>
      <c r="Q1250" s="1414"/>
      <c r="R1250" s="1414"/>
      <c r="S1250" s="1414"/>
      <c r="T1250" s="1414"/>
      <c r="U1250" s="1414"/>
      <c r="V1250" s="1414"/>
      <c r="W1250" s="1414"/>
      <c r="X1250" s="1414"/>
      <c r="Y1250" s="1414"/>
      <c r="Z1250" s="1414"/>
      <c r="AA1250" s="1414"/>
      <c r="AB1250" s="1414"/>
      <c r="AC1250" s="1414"/>
      <c r="AD1250" s="1414"/>
      <c r="AE1250" s="1414"/>
      <c r="AF1250" s="1414"/>
      <c r="AG1250" s="1414"/>
      <c r="AH1250" s="1414"/>
      <c r="AI1250" s="1414"/>
      <c r="AJ1250" s="1414"/>
      <c r="AK1250" s="1414"/>
      <c r="AL1250" s="1414"/>
      <c r="AM1250" s="1414"/>
      <c r="AN1250" s="1414"/>
      <c r="AO1250" s="1414"/>
      <c r="AP1250" s="1414"/>
      <c r="AQ1250" s="1414"/>
      <c r="AR1250" s="1414"/>
      <c r="AS1250" s="1414"/>
      <c r="AT1250" s="1414"/>
      <c r="AU1250" s="1414"/>
      <c r="AV1250" s="1414"/>
      <c r="AW1250" s="1414"/>
      <c r="AX1250" s="1414"/>
      <c r="AY1250" s="1399"/>
      <c r="AZ1250" s="1399"/>
      <c r="BA1250" s="1399"/>
      <c r="BB1250" s="1399"/>
      <c r="BC1250" s="1399"/>
      <c r="BD1250" s="1399"/>
      <c r="BE1250" s="1414"/>
      <c r="BF1250" s="1399"/>
      <c r="BG1250" s="1399"/>
      <c r="BH1250" s="1399"/>
      <c r="BI1250" s="1399"/>
      <c r="BJ1250" s="1399"/>
      <c r="BK1250" s="1399"/>
      <c r="BL1250" s="1399"/>
      <c r="BM1250" s="1399"/>
      <c r="BN1250" s="1399"/>
      <c r="BO1250" s="1399"/>
      <c r="BP1250" s="1399"/>
      <c r="BQ1250" s="1399"/>
      <c r="BR1250" s="1399"/>
      <c r="BS1250" s="1399"/>
      <c r="BT1250" s="1399"/>
      <c r="BU1250" s="1399"/>
      <c r="BV1250" s="1399"/>
      <c r="BW1250" s="1399"/>
      <c r="BX1250" s="1399"/>
      <c r="BY1250" s="1399"/>
      <c r="BZ1250" s="1399"/>
      <c r="CA1250" s="1399"/>
      <c r="CB1250" s="1399"/>
      <c r="CC1250" s="1399"/>
      <c r="CD1250" s="1399"/>
      <c r="CE1250" s="1399"/>
      <c r="CF1250" s="1399"/>
      <c r="CG1250" s="1399"/>
      <c r="CH1250" s="1399"/>
      <c r="CI1250" s="1399"/>
      <c r="CJ1250" s="1399"/>
      <c r="CK1250" s="1399"/>
      <c r="CL1250" s="1399"/>
      <c r="CM1250" s="1399"/>
      <c r="CN1250" s="1399"/>
      <c r="CO1250" s="1399"/>
      <c r="CP1250" s="1399"/>
      <c r="CQ1250" s="1399"/>
      <c r="CR1250" s="1399"/>
      <c r="CS1250" s="1399"/>
      <c r="CT1250" s="1399"/>
      <c r="CU1250" s="1399"/>
      <c r="CV1250" s="1399"/>
      <c r="CW1250" s="1399"/>
      <c r="CX1250" s="1399"/>
      <c r="CY1250" s="1399"/>
      <c r="CZ1250" s="1399"/>
      <c r="DA1250" s="1399"/>
      <c r="DB1250" s="1399"/>
      <c r="DC1250" s="1399"/>
      <c r="DD1250" s="1399"/>
      <c r="DE1250" s="1399"/>
      <c r="DF1250" s="1399"/>
      <c r="DG1250" s="1399"/>
      <c r="DH1250" s="1399"/>
      <c r="DI1250" s="1399"/>
      <c r="DJ1250" s="1399"/>
      <c r="DK1250" s="1399"/>
      <c r="DL1250" s="1399"/>
      <c r="DM1250" s="1399"/>
      <c r="DN1250" s="1399"/>
      <c r="DO1250" s="1399"/>
      <c r="DP1250" s="1399"/>
      <c r="DQ1250" s="1399"/>
      <c r="DR1250" s="1399"/>
      <c r="DS1250" s="1399"/>
      <c r="DT1250" s="1399"/>
      <c r="DU1250" s="1399"/>
    </row>
    <row r="1251" spans="1:125">
      <c r="A1251" s="1414"/>
      <c r="B1251" s="1414"/>
      <c r="C1251" s="1414"/>
      <c r="D1251" s="1414"/>
      <c r="E1251" s="1414"/>
      <c r="F1251" s="1414"/>
      <c r="G1251" s="1414"/>
      <c r="H1251" s="1414"/>
      <c r="I1251" s="1414"/>
      <c r="J1251" s="1414"/>
      <c r="K1251" s="1414"/>
      <c r="L1251" s="1414"/>
      <c r="M1251" s="1414"/>
      <c r="N1251" s="1414"/>
      <c r="O1251" s="1414"/>
      <c r="P1251" s="1414"/>
      <c r="Q1251" s="1414"/>
      <c r="R1251" s="1414"/>
      <c r="S1251" s="1414"/>
      <c r="T1251" s="1414"/>
      <c r="U1251" s="1414"/>
      <c r="V1251" s="1414"/>
      <c r="W1251" s="1414"/>
      <c r="X1251" s="1414"/>
      <c r="Y1251" s="1414"/>
      <c r="Z1251" s="1414"/>
      <c r="AA1251" s="1414"/>
      <c r="AB1251" s="1414"/>
      <c r="AC1251" s="1414"/>
      <c r="AD1251" s="1414"/>
      <c r="AE1251" s="1414"/>
      <c r="AF1251" s="1414"/>
      <c r="AG1251" s="1414"/>
      <c r="AH1251" s="1414"/>
      <c r="AI1251" s="1414"/>
      <c r="AJ1251" s="1414"/>
      <c r="AK1251" s="1414"/>
      <c r="AL1251" s="1414"/>
      <c r="AM1251" s="1414"/>
      <c r="AN1251" s="1414"/>
      <c r="AO1251" s="1414"/>
      <c r="AP1251" s="1414"/>
      <c r="AQ1251" s="1414"/>
      <c r="AR1251" s="1414"/>
      <c r="AS1251" s="1414"/>
      <c r="AT1251" s="1414"/>
      <c r="AU1251" s="1414"/>
      <c r="AV1251" s="1414"/>
      <c r="AW1251" s="1414"/>
      <c r="AX1251" s="1414"/>
      <c r="AY1251" s="1399"/>
      <c r="AZ1251" s="1399"/>
      <c r="BA1251" s="1399"/>
      <c r="BB1251" s="1399"/>
      <c r="BC1251" s="1399"/>
      <c r="BD1251" s="1399"/>
      <c r="BE1251" s="1414"/>
      <c r="BF1251" s="1399"/>
      <c r="BG1251" s="1399"/>
      <c r="BH1251" s="1399"/>
      <c r="BI1251" s="1399"/>
      <c r="BJ1251" s="1399"/>
      <c r="BK1251" s="1399"/>
      <c r="BL1251" s="1399"/>
      <c r="BM1251" s="1399"/>
      <c r="BN1251" s="1399"/>
      <c r="BO1251" s="1399"/>
      <c r="BP1251" s="1399"/>
      <c r="BQ1251" s="1399"/>
      <c r="BR1251" s="1399"/>
      <c r="BS1251" s="1399"/>
      <c r="BT1251" s="1399"/>
      <c r="BU1251" s="1399"/>
      <c r="BV1251" s="1399"/>
      <c r="BW1251" s="1399"/>
      <c r="BX1251" s="1399"/>
      <c r="BY1251" s="1399"/>
      <c r="BZ1251" s="1399"/>
      <c r="CA1251" s="1399"/>
      <c r="CB1251" s="1399"/>
      <c r="CC1251" s="1399"/>
      <c r="CD1251" s="1399"/>
      <c r="CE1251" s="1399"/>
      <c r="CF1251" s="1399"/>
      <c r="CG1251" s="1399"/>
      <c r="CH1251" s="1399"/>
      <c r="CI1251" s="1399"/>
      <c r="CJ1251" s="1399"/>
      <c r="CK1251" s="1399"/>
      <c r="CL1251" s="1399"/>
      <c r="CM1251" s="1399"/>
      <c r="CN1251" s="1399"/>
      <c r="CO1251" s="1399"/>
      <c r="CP1251" s="1399"/>
      <c r="CQ1251" s="1399"/>
      <c r="CR1251" s="1399"/>
      <c r="CS1251" s="1399"/>
      <c r="CT1251" s="1399"/>
      <c r="CU1251" s="1399"/>
      <c r="CV1251" s="1399"/>
      <c r="CW1251" s="1399"/>
      <c r="CX1251" s="1399"/>
      <c r="CY1251" s="1399"/>
      <c r="CZ1251" s="1399"/>
      <c r="DA1251" s="1399"/>
      <c r="DB1251" s="1399"/>
      <c r="DC1251" s="1399"/>
      <c r="DD1251" s="1399"/>
      <c r="DE1251" s="1399"/>
      <c r="DF1251" s="1399"/>
      <c r="DG1251" s="1399"/>
      <c r="DH1251" s="1399"/>
      <c r="DI1251" s="1399"/>
      <c r="DJ1251" s="1399"/>
      <c r="DK1251" s="1399"/>
      <c r="DL1251" s="1399"/>
      <c r="DM1251" s="1399"/>
      <c r="DN1251" s="1399"/>
      <c r="DO1251" s="1399"/>
      <c r="DP1251" s="1399"/>
      <c r="DQ1251" s="1399"/>
      <c r="DR1251" s="1399"/>
      <c r="DS1251" s="1399"/>
      <c r="DT1251" s="1399"/>
      <c r="DU1251" s="1399"/>
    </row>
    <row r="1252" spans="1:125">
      <c r="A1252" s="1414"/>
      <c r="B1252" s="1414"/>
      <c r="C1252" s="1414"/>
      <c r="D1252" s="1414"/>
      <c r="E1252" s="1414"/>
      <c r="F1252" s="1414"/>
      <c r="G1252" s="1414"/>
      <c r="H1252" s="1414"/>
      <c r="I1252" s="1414"/>
      <c r="J1252" s="1414"/>
      <c r="K1252" s="1414"/>
      <c r="L1252" s="1414"/>
      <c r="M1252" s="1414"/>
      <c r="N1252" s="1414"/>
      <c r="O1252" s="1414"/>
      <c r="P1252" s="1414"/>
      <c r="Q1252" s="1414"/>
      <c r="R1252" s="1414"/>
      <c r="S1252" s="1414"/>
      <c r="T1252" s="1414"/>
      <c r="U1252" s="1414"/>
      <c r="V1252" s="1414"/>
      <c r="W1252" s="1414"/>
      <c r="X1252" s="1414"/>
      <c r="Y1252" s="1414"/>
      <c r="Z1252" s="1414"/>
      <c r="AA1252" s="1414"/>
      <c r="AB1252" s="1414"/>
      <c r="AC1252" s="1414"/>
      <c r="AD1252" s="1414"/>
      <c r="AE1252" s="1414"/>
      <c r="AF1252" s="1414"/>
      <c r="AG1252" s="1414"/>
      <c r="AH1252" s="1414"/>
      <c r="AI1252" s="1414"/>
      <c r="AJ1252" s="1414"/>
      <c r="AK1252" s="1414"/>
      <c r="AL1252" s="1414"/>
      <c r="AM1252" s="1414"/>
      <c r="AN1252" s="1414"/>
      <c r="AO1252" s="1414"/>
      <c r="AP1252" s="1414"/>
      <c r="AQ1252" s="1414"/>
      <c r="AR1252" s="1414"/>
      <c r="AS1252" s="1414"/>
      <c r="AT1252" s="1414"/>
      <c r="AU1252" s="1414"/>
      <c r="AV1252" s="1414"/>
      <c r="AW1252" s="1414"/>
      <c r="AX1252" s="1414"/>
      <c r="AY1252" s="1399"/>
      <c r="AZ1252" s="1399"/>
      <c r="BA1252" s="1399"/>
      <c r="BB1252" s="1399"/>
      <c r="BC1252" s="1399"/>
      <c r="BD1252" s="1399"/>
      <c r="BE1252" s="1414"/>
      <c r="BF1252" s="1399"/>
      <c r="BG1252" s="1399"/>
      <c r="BH1252" s="1399"/>
      <c r="BI1252" s="1399"/>
      <c r="BJ1252" s="1399"/>
      <c r="BK1252" s="1399"/>
      <c r="BL1252" s="1399"/>
      <c r="BM1252" s="1399"/>
      <c r="BN1252" s="1399"/>
      <c r="BO1252" s="1399"/>
      <c r="BP1252" s="1399"/>
      <c r="BQ1252" s="1399"/>
      <c r="BR1252" s="1399"/>
      <c r="BS1252" s="1399"/>
      <c r="BT1252" s="1399"/>
      <c r="BU1252" s="1399"/>
      <c r="BV1252" s="1399"/>
      <c r="BW1252" s="1399"/>
      <c r="BX1252" s="1399"/>
      <c r="BY1252" s="1399"/>
      <c r="BZ1252" s="1399"/>
      <c r="CA1252" s="1399"/>
      <c r="CB1252" s="1399"/>
      <c r="CC1252" s="1399"/>
      <c r="CD1252" s="1399"/>
      <c r="CE1252" s="1399"/>
      <c r="CF1252" s="1399"/>
      <c r="CG1252" s="1399"/>
      <c r="CH1252" s="1399"/>
      <c r="CI1252" s="1399"/>
      <c r="CJ1252" s="1399"/>
      <c r="CK1252" s="1399"/>
      <c r="CL1252" s="1399"/>
      <c r="CM1252" s="1399"/>
      <c r="CN1252" s="1399"/>
      <c r="CO1252" s="1399"/>
      <c r="CP1252" s="1399"/>
      <c r="CQ1252" s="1399"/>
      <c r="CR1252" s="1399"/>
      <c r="CS1252" s="1399"/>
      <c r="CT1252" s="1399"/>
      <c r="CU1252" s="1399"/>
      <c r="CV1252" s="1399"/>
      <c r="CW1252" s="1399"/>
      <c r="CX1252" s="1399"/>
      <c r="CY1252" s="1399"/>
      <c r="CZ1252" s="1399"/>
      <c r="DA1252" s="1399"/>
      <c r="DB1252" s="1399"/>
      <c r="DC1252" s="1399"/>
      <c r="DD1252" s="1399"/>
      <c r="DE1252" s="1399"/>
      <c r="DF1252" s="1399"/>
      <c r="DG1252" s="1399"/>
      <c r="DH1252" s="1399"/>
      <c r="DI1252" s="1399"/>
      <c r="DJ1252" s="1399"/>
      <c r="DK1252" s="1399"/>
      <c r="DL1252" s="1399"/>
      <c r="DM1252" s="1399"/>
      <c r="DN1252" s="1399"/>
      <c r="DO1252" s="1399"/>
      <c r="DP1252" s="1399"/>
      <c r="DQ1252" s="1399"/>
      <c r="DR1252" s="1399"/>
      <c r="DS1252" s="1399"/>
      <c r="DT1252" s="1399"/>
      <c r="DU1252" s="1399"/>
    </row>
    <row r="1253" spans="1:125">
      <c r="A1253" s="1414"/>
      <c r="B1253" s="1414"/>
      <c r="C1253" s="1414"/>
      <c r="D1253" s="1414"/>
      <c r="E1253" s="1414"/>
      <c r="F1253" s="1414"/>
      <c r="G1253" s="1414"/>
      <c r="H1253" s="1414"/>
      <c r="I1253" s="1414"/>
      <c r="J1253" s="1414"/>
      <c r="K1253" s="1414"/>
      <c r="L1253" s="1414"/>
      <c r="M1253" s="1414"/>
      <c r="N1253" s="1414"/>
      <c r="O1253" s="1414"/>
      <c r="P1253" s="1414"/>
      <c r="Q1253" s="1414"/>
      <c r="R1253" s="1414"/>
      <c r="S1253" s="1414"/>
      <c r="T1253" s="1414"/>
      <c r="U1253" s="1414"/>
      <c r="V1253" s="1414"/>
      <c r="W1253" s="1414"/>
      <c r="X1253" s="1414"/>
      <c r="Y1253" s="1414"/>
      <c r="Z1253" s="1414"/>
      <c r="AA1253" s="1414"/>
      <c r="AB1253" s="1414"/>
      <c r="AC1253" s="1414"/>
      <c r="AD1253" s="1414"/>
      <c r="AE1253" s="1414"/>
      <c r="AF1253" s="1414"/>
      <c r="AG1253" s="1414"/>
      <c r="AH1253" s="1414"/>
      <c r="AI1253" s="1414"/>
      <c r="AJ1253" s="1414"/>
      <c r="AK1253" s="1414"/>
      <c r="AL1253" s="1414"/>
      <c r="AM1253" s="1414"/>
      <c r="AN1253" s="1414"/>
      <c r="AO1253" s="1414"/>
      <c r="AP1253" s="1414"/>
      <c r="AQ1253" s="1414"/>
      <c r="AR1253" s="1414"/>
      <c r="AS1253" s="1414"/>
      <c r="AT1253" s="1414"/>
      <c r="AU1253" s="1414"/>
      <c r="AV1253" s="1414"/>
      <c r="AW1253" s="1414"/>
      <c r="AX1253" s="1414"/>
      <c r="AY1253" s="1399"/>
      <c r="AZ1253" s="1399"/>
      <c r="BA1253" s="1399"/>
      <c r="BB1253" s="1399"/>
      <c r="BC1253" s="1399"/>
      <c r="BD1253" s="1399"/>
      <c r="BE1253" s="1414"/>
      <c r="BF1253" s="1399"/>
      <c r="BG1253" s="1399"/>
      <c r="BH1253" s="1399"/>
      <c r="BI1253" s="1399"/>
      <c r="BJ1253" s="1399"/>
      <c r="BK1253" s="1399"/>
      <c r="BL1253" s="1399"/>
      <c r="BM1253" s="1399"/>
      <c r="BN1253" s="1399"/>
      <c r="BO1253" s="1399"/>
      <c r="BP1253" s="1399"/>
      <c r="BQ1253" s="1399"/>
      <c r="BR1253" s="1399"/>
      <c r="BS1253" s="1399"/>
      <c r="BT1253" s="1399"/>
      <c r="BU1253" s="1399"/>
      <c r="BV1253" s="1399"/>
      <c r="BW1253" s="1399"/>
      <c r="BX1253" s="1399"/>
      <c r="BY1253" s="1399"/>
      <c r="BZ1253" s="1399"/>
      <c r="CA1253" s="1399"/>
      <c r="CB1253" s="1399"/>
      <c r="CC1253" s="1399"/>
      <c r="CD1253" s="1399"/>
      <c r="CE1253" s="1399"/>
      <c r="CF1253" s="1399"/>
      <c r="CG1253" s="1399"/>
      <c r="CH1253" s="1399"/>
      <c r="CI1253" s="1399"/>
      <c r="CJ1253" s="1399"/>
      <c r="CK1253" s="1399"/>
      <c r="CL1253" s="1399"/>
      <c r="CM1253" s="1399"/>
      <c r="CN1253" s="1399"/>
      <c r="CO1253" s="1399"/>
      <c r="CP1253" s="1399"/>
      <c r="CQ1253" s="1399"/>
      <c r="CR1253" s="1399"/>
      <c r="CS1253" s="1399"/>
      <c r="CT1253" s="1399"/>
      <c r="CU1253" s="1399"/>
      <c r="CV1253" s="1399"/>
      <c r="CW1253" s="1399"/>
      <c r="CX1253" s="1399"/>
      <c r="CY1253" s="1399"/>
      <c r="CZ1253" s="1399"/>
      <c r="DA1253" s="1399"/>
      <c r="DB1253" s="1399"/>
      <c r="DC1253" s="1399"/>
      <c r="DD1253" s="1399"/>
      <c r="DE1253" s="1399"/>
      <c r="DF1253" s="1399"/>
      <c r="DG1253" s="1399"/>
      <c r="DH1253" s="1399"/>
      <c r="DI1253" s="1399"/>
      <c r="DJ1253" s="1399"/>
      <c r="DK1253" s="1399"/>
      <c r="DL1253" s="1399"/>
      <c r="DM1253" s="1399"/>
      <c r="DN1253" s="1399"/>
      <c r="DO1253" s="1399"/>
      <c r="DP1253" s="1399"/>
      <c r="DQ1253" s="1399"/>
      <c r="DR1253" s="1399"/>
      <c r="DS1253" s="1399"/>
      <c r="DT1253" s="1399"/>
      <c r="DU1253" s="1399"/>
    </row>
    <row r="1254" spans="1:125">
      <c r="A1254" s="1414"/>
      <c r="B1254" s="1414"/>
      <c r="C1254" s="1414"/>
      <c r="D1254" s="1414"/>
      <c r="E1254" s="1414"/>
      <c r="F1254" s="1414"/>
      <c r="G1254" s="1414"/>
      <c r="H1254" s="1414"/>
      <c r="I1254" s="1414"/>
      <c r="J1254" s="1414"/>
      <c r="K1254" s="1414"/>
      <c r="L1254" s="1414"/>
      <c r="M1254" s="1414"/>
      <c r="N1254" s="1414"/>
      <c r="O1254" s="1414"/>
      <c r="P1254" s="1414"/>
      <c r="Q1254" s="1414"/>
      <c r="R1254" s="1414"/>
      <c r="S1254" s="1414"/>
      <c r="T1254" s="1414"/>
      <c r="U1254" s="1414"/>
      <c r="V1254" s="1414"/>
      <c r="W1254" s="1414"/>
      <c r="X1254" s="1414"/>
      <c r="Y1254" s="1414"/>
      <c r="Z1254" s="1414"/>
      <c r="AA1254" s="1414"/>
      <c r="AB1254" s="1414"/>
      <c r="AC1254" s="1414"/>
      <c r="AD1254" s="1414"/>
      <c r="AE1254" s="1414"/>
      <c r="AF1254" s="1414"/>
      <c r="AG1254" s="1414"/>
      <c r="AH1254" s="1414"/>
      <c r="AI1254" s="1414"/>
      <c r="AJ1254" s="1414"/>
      <c r="AK1254" s="1414"/>
      <c r="AL1254" s="1414"/>
      <c r="AM1254" s="1414"/>
      <c r="AN1254" s="1414"/>
      <c r="AO1254" s="1414"/>
      <c r="AP1254" s="1414"/>
      <c r="AQ1254" s="1414"/>
      <c r="AR1254" s="1414"/>
      <c r="AS1254" s="1414"/>
      <c r="AT1254" s="1414"/>
      <c r="AU1254" s="1414"/>
      <c r="AV1254" s="1414"/>
      <c r="AW1254" s="1414"/>
      <c r="AX1254" s="1414"/>
      <c r="AY1254" s="1399"/>
      <c r="AZ1254" s="1399"/>
      <c r="BA1254" s="1399"/>
      <c r="BB1254" s="1399"/>
      <c r="BC1254" s="1399"/>
      <c r="BD1254" s="1399"/>
      <c r="BE1254" s="1414"/>
      <c r="BF1254" s="1399"/>
      <c r="BG1254" s="1399"/>
      <c r="BH1254" s="1399"/>
      <c r="BI1254" s="1399"/>
      <c r="BJ1254" s="1399"/>
      <c r="BK1254" s="1399"/>
      <c r="BL1254" s="1399"/>
      <c r="BM1254" s="1399"/>
      <c r="BN1254" s="1399"/>
      <c r="BO1254" s="1399"/>
      <c r="BP1254" s="1399"/>
      <c r="BQ1254" s="1399"/>
      <c r="BR1254" s="1399"/>
      <c r="BS1254" s="1399"/>
      <c r="BT1254" s="1399"/>
      <c r="BU1254" s="1399"/>
      <c r="BV1254" s="1399"/>
      <c r="BW1254" s="1399"/>
      <c r="BX1254" s="1399"/>
      <c r="BY1254" s="1399"/>
      <c r="BZ1254" s="1399"/>
      <c r="CA1254" s="1399"/>
      <c r="CB1254" s="1399"/>
      <c r="CC1254" s="1399"/>
      <c r="CD1254" s="1399"/>
      <c r="CE1254" s="1399"/>
      <c r="CF1254" s="1399"/>
      <c r="CG1254" s="1399"/>
      <c r="CH1254" s="1399"/>
      <c r="CI1254" s="1399"/>
      <c r="CJ1254" s="1399"/>
      <c r="CK1254" s="1399"/>
      <c r="CL1254" s="1399"/>
      <c r="CM1254" s="1399"/>
      <c r="CN1254" s="1399"/>
      <c r="CO1254" s="1399"/>
      <c r="CP1254" s="1399"/>
      <c r="CQ1254" s="1399"/>
      <c r="CR1254" s="1399"/>
      <c r="CS1254" s="1399"/>
      <c r="CT1254" s="1399"/>
      <c r="CU1254" s="1399"/>
      <c r="CV1254" s="1399"/>
      <c r="CW1254" s="1399"/>
      <c r="CX1254" s="1399"/>
      <c r="CY1254" s="1399"/>
      <c r="CZ1254" s="1399"/>
      <c r="DA1254" s="1399"/>
      <c r="DB1254" s="1399"/>
      <c r="DC1254" s="1399"/>
      <c r="DD1254" s="1399"/>
      <c r="DE1254" s="1399"/>
      <c r="DF1254" s="1399"/>
      <c r="DG1254" s="1399"/>
      <c r="DH1254" s="1399"/>
      <c r="DI1254" s="1399"/>
      <c r="DJ1254" s="1399"/>
      <c r="DK1254" s="1399"/>
      <c r="DL1254" s="1399"/>
      <c r="DM1254" s="1399"/>
      <c r="DN1254" s="1399"/>
      <c r="DO1254" s="1399"/>
      <c r="DP1254" s="1399"/>
      <c r="DQ1254" s="1399"/>
      <c r="DR1254" s="1399"/>
      <c r="DS1254" s="1399"/>
      <c r="DT1254" s="1399"/>
      <c r="DU1254" s="1399"/>
    </row>
    <row r="1255" spans="1:125">
      <c r="A1255" s="1414"/>
      <c r="B1255" s="1414"/>
      <c r="C1255" s="1414"/>
      <c r="D1255" s="1414"/>
      <c r="E1255" s="1414"/>
      <c r="F1255" s="1414"/>
      <c r="G1255" s="1414"/>
      <c r="H1255" s="1414"/>
      <c r="I1255" s="1414"/>
      <c r="J1255" s="1414"/>
      <c r="K1255" s="1414"/>
      <c r="L1255" s="1414"/>
      <c r="M1255" s="1414"/>
      <c r="N1255" s="1414"/>
      <c r="O1255" s="1414"/>
      <c r="P1255" s="1414"/>
      <c r="Q1255" s="1414"/>
      <c r="R1255" s="1414"/>
      <c r="S1255" s="1414"/>
      <c r="T1255" s="1414"/>
      <c r="U1255" s="1414"/>
      <c r="V1255" s="1414"/>
      <c r="W1255" s="1414"/>
      <c r="X1255" s="1414"/>
      <c r="Y1255" s="1414"/>
      <c r="Z1255" s="1414"/>
      <c r="AA1255" s="1414"/>
      <c r="AB1255" s="1414"/>
      <c r="AC1255" s="1414"/>
      <c r="AD1255" s="1414"/>
      <c r="AE1255" s="1414"/>
      <c r="AF1255" s="1414"/>
      <c r="AG1255" s="1414"/>
      <c r="AH1255" s="1414"/>
      <c r="AI1255" s="1414"/>
      <c r="AJ1255" s="1414"/>
      <c r="AK1255" s="1414"/>
      <c r="AL1255" s="1414"/>
      <c r="AM1255" s="1414"/>
      <c r="AN1255" s="1414"/>
      <c r="AO1255" s="1414"/>
      <c r="AP1255" s="1414"/>
      <c r="AQ1255" s="1414"/>
      <c r="AR1255" s="1414"/>
      <c r="AS1255" s="1414"/>
      <c r="AT1255" s="1414"/>
      <c r="AU1255" s="1414"/>
      <c r="AV1255" s="1414"/>
      <c r="AW1255" s="1414"/>
      <c r="AX1255" s="1414"/>
      <c r="AY1255" s="1399"/>
      <c r="AZ1255" s="1399"/>
      <c r="BA1255" s="1399"/>
      <c r="BB1255" s="1399"/>
      <c r="BC1255" s="1399"/>
      <c r="BD1255" s="1399"/>
      <c r="BE1255" s="1414"/>
      <c r="BF1255" s="1399"/>
      <c r="BG1255" s="1399"/>
      <c r="BH1255" s="1399"/>
      <c r="BI1255" s="1399"/>
      <c r="BJ1255" s="1399"/>
      <c r="BK1255" s="1399"/>
      <c r="BL1255" s="1399"/>
      <c r="BM1255" s="1399"/>
      <c r="BN1255" s="1399"/>
      <c r="BO1255" s="1399"/>
      <c r="BP1255" s="1399"/>
      <c r="BQ1255" s="1399"/>
      <c r="BR1255" s="1399"/>
      <c r="BS1255" s="1399"/>
      <c r="BT1255" s="1399"/>
      <c r="BU1255" s="1399"/>
      <c r="BV1255" s="1399"/>
      <c r="BW1255" s="1399"/>
      <c r="BX1255" s="1399"/>
      <c r="BY1255" s="1399"/>
      <c r="BZ1255" s="1399"/>
      <c r="CA1255" s="1399"/>
      <c r="CB1255" s="1399"/>
      <c r="CC1255" s="1399"/>
      <c r="CD1255" s="1399"/>
      <c r="CE1255" s="1399"/>
      <c r="CF1255" s="1399"/>
      <c r="CG1255" s="1399"/>
      <c r="CH1255" s="1399"/>
      <c r="CI1255" s="1399"/>
      <c r="CJ1255" s="1399"/>
      <c r="CK1255" s="1399"/>
      <c r="CL1255" s="1399"/>
      <c r="CM1255" s="1399"/>
      <c r="CN1255" s="1399"/>
      <c r="CO1255" s="1399"/>
      <c r="CP1255" s="1399"/>
      <c r="CQ1255" s="1399"/>
      <c r="CR1255" s="1399"/>
      <c r="CS1255" s="1399"/>
      <c r="CT1255" s="1399"/>
      <c r="CU1255" s="1399"/>
      <c r="CV1255" s="1399"/>
      <c r="CW1255" s="1399"/>
      <c r="CX1255" s="1399"/>
      <c r="CY1255" s="1399"/>
      <c r="CZ1255" s="1399"/>
      <c r="DA1255" s="1399"/>
      <c r="DB1255" s="1399"/>
      <c r="DC1255" s="1399"/>
      <c r="DD1255" s="1399"/>
      <c r="DE1255" s="1399"/>
      <c r="DF1255" s="1399"/>
      <c r="DG1255" s="1399"/>
      <c r="DH1255" s="1399"/>
      <c r="DI1255" s="1399"/>
      <c r="DJ1255" s="1399"/>
      <c r="DK1255" s="1399"/>
      <c r="DL1255" s="1399"/>
      <c r="DM1255" s="1399"/>
      <c r="DN1255" s="1399"/>
      <c r="DO1255" s="1399"/>
      <c r="DP1255" s="1399"/>
      <c r="DQ1255" s="1399"/>
      <c r="DR1255" s="1399"/>
      <c r="DS1255" s="1399"/>
      <c r="DT1255" s="1399"/>
      <c r="DU1255" s="1399"/>
    </row>
    <row r="1256" spans="1:125">
      <c r="A1256" s="1414"/>
      <c r="B1256" s="1414"/>
      <c r="C1256" s="1414"/>
      <c r="D1256" s="1414"/>
      <c r="E1256" s="1414"/>
      <c r="F1256" s="1414"/>
      <c r="G1256" s="1414"/>
      <c r="H1256" s="1414"/>
      <c r="I1256" s="1414"/>
      <c r="J1256" s="1414"/>
      <c r="K1256" s="1414"/>
      <c r="L1256" s="1414"/>
      <c r="M1256" s="1414"/>
      <c r="N1256" s="1414"/>
      <c r="O1256" s="1414"/>
      <c r="P1256" s="1414"/>
      <c r="Q1256" s="1414"/>
      <c r="R1256" s="1414"/>
      <c r="S1256" s="1414"/>
      <c r="T1256" s="1414"/>
      <c r="U1256" s="1414"/>
      <c r="V1256" s="1414"/>
      <c r="W1256" s="1414"/>
      <c r="X1256" s="1414"/>
      <c r="Y1256" s="1414"/>
      <c r="Z1256" s="1414"/>
      <c r="AA1256" s="1414"/>
      <c r="AB1256" s="1414"/>
      <c r="AC1256" s="1414"/>
      <c r="AD1256" s="1414"/>
      <c r="AE1256" s="1414"/>
      <c r="AF1256" s="1414"/>
      <c r="AG1256" s="1414"/>
      <c r="AH1256" s="1414"/>
      <c r="AI1256" s="1414"/>
      <c r="AJ1256" s="1414"/>
      <c r="AK1256" s="1414"/>
      <c r="AL1256" s="1414"/>
      <c r="AM1256" s="1414"/>
      <c r="AN1256" s="1414"/>
      <c r="AO1256" s="1414"/>
      <c r="AP1256" s="1414"/>
      <c r="AQ1256" s="1414"/>
      <c r="AR1256" s="1414"/>
      <c r="AS1256" s="1414"/>
      <c r="AT1256" s="1414"/>
      <c r="AU1256" s="1414"/>
      <c r="AV1256" s="1414"/>
      <c r="AW1256" s="1414"/>
      <c r="AX1256" s="1414"/>
      <c r="AY1256" s="1399"/>
      <c r="AZ1256" s="1399"/>
      <c r="BA1256" s="1399"/>
      <c r="BB1256" s="1399"/>
      <c r="BC1256" s="1399"/>
      <c r="BD1256" s="1399"/>
      <c r="BE1256" s="1414"/>
      <c r="BF1256" s="1399"/>
      <c r="BG1256" s="1399"/>
      <c r="BH1256" s="1399"/>
      <c r="BI1256" s="1399"/>
      <c r="BJ1256" s="1399"/>
      <c r="BK1256" s="1399"/>
      <c r="BL1256" s="1399"/>
      <c r="BM1256" s="1399"/>
      <c r="BN1256" s="1399"/>
      <c r="BO1256" s="1399"/>
      <c r="BP1256" s="1399"/>
      <c r="BQ1256" s="1399"/>
      <c r="BR1256" s="1399"/>
      <c r="BS1256" s="1399"/>
      <c r="BT1256" s="1399"/>
      <c r="BU1256" s="1399"/>
      <c r="BV1256" s="1399"/>
      <c r="BW1256" s="1399"/>
      <c r="BX1256" s="1399"/>
      <c r="BY1256" s="1399"/>
      <c r="BZ1256" s="1399"/>
      <c r="CA1256" s="1399"/>
      <c r="CB1256" s="1399"/>
      <c r="CC1256" s="1399"/>
      <c r="CD1256" s="1399"/>
      <c r="CE1256" s="1399"/>
      <c r="CF1256" s="1399"/>
      <c r="CG1256" s="1399"/>
      <c r="CH1256" s="1399"/>
      <c r="CI1256" s="1399"/>
      <c r="CJ1256" s="1399"/>
      <c r="CK1256" s="1399"/>
      <c r="CL1256" s="1399"/>
      <c r="CM1256" s="1399"/>
      <c r="CN1256" s="1399"/>
      <c r="CO1256" s="1399"/>
      <c r="CP1256" s="1399"/>
      <c r="CQ1256" s="1399"/>
      <c r="CR1256" s="1399"/>
      <c r="CS1256" s="1399"/>
      <c r="CT1256" s="1399"/>
      <c r="CU1256" s="1399"/>
      <c r="CV1256" s="1399"/>
      <c r="CW1256" s="1399"/>
      <c r="CX1256" s="1399"/>
      <c r="CY1256" s="1399"/>
      <c r="CZ1256" s="1399"/>
      <c r="DA1256" s="1399"/>
      <c r="DB1256" s="1399"/>
      <c r="DC1256" s="1399"/>
      <c r="DD1256" s="1399"/>
      <c r="DE1256" s="1399"/>
      <c r="DF1256" s="1399"/>
      <c r="DG1256" s="1399"/>
      <c r="DH1256" s="1399"/>
      <c r="DI1256" s="1399"/>
      <c r="DJ1256" s="1399"/>
      <c r="DK1256" s="1399"/>
      <c r="DL1256" s="1399"/>
      <c r="DM1256" s="1399"/>
      <c r="DN1256" s="1399"/>
      <c r="DO1256" s="1399"/>
      <c r="DP1256" s="1399"/>
      <c r="DQ1256" s="1399"/>
      <c r="DR1256" s="1399"/>
      <c r="DS1256" s="1399"/>
      <c r="DT1256" s="1399"/>
      <c r="DU1256" s="1399"/>
    </row>
    <row r="1257" spans="1:125">
      <c r="A1257" s="1414"/>
      <c r="B1257" s="1414"/>
      <c r="C1257" s="1414"/>
      <c r="D1257" s="1414"/>
      <c r="E1257" s="1414"/>
      <c r="F1257" s="1414"/>
      <c r="G1257" s="1414"/>
      <c r="H1257" s="1414"/>
      <c r="I1257" s="1414"/>
      <c r="J1257" s="1414"/>
      <c r="K1257" s="1414"/>
      <c r="L1257" s="1414"/>
      <c r="M1257" s="1414"/>
      <c r="N1257" s="1414"/>
      <c r="O1257" s="1414"/>
      <c r="P1257" s="1414"/>
      <c r="Q1257" s="1414"/>
      <c r="R1257" s="1414"/>
      <c r="S1257" s="1414"/>
      <c r="T1257" s="1414"/>
      <c r="U1257" s="1414"/>
      <c r="V1257" s="1414"/>
      <c r="W1257" s="1414"/>
      <c r="X1257" s="1414"/>
      <c r="Y1257" s="1414"/>
      <c r="Z1257" s="1414"/>
      <c r="AA1257" s="1414"/>
      <c r="AB1257" s="1414"/>
      <c r="AC1257" s="1414"/>
      <c r="AD1257" s="1414"/>
      <c r="AE1257" s="1414"/>
      <c r="AF1257" s="1414"/>
      <c r="AG1257" s="1414"/>
      <c r="AH1257" s="1414"/>
      <c r="AI1257" s="1414"/>
      <c r="AJ1257" s="1414"/>
      <c r="AK1257" s="1414"/>
      <c r="AL1257" s="1414"/>
      <c r="AM1257" s="1414"/>
      <c r="AN1257" s="1414"/>
      <c r="AO1257" s="1414"/>
      <c r="AP1257" s="1414"/>
      <c r="AQ1257" s="1414"/>
      <c r="AR1257" s="1414"/>
      <c r="AS1257" s="1414"/>
      <c r="AT1257" s="1414"/>
      <c r="AU1257" s="1414"/>
      <c r="AV1257" s="1414"/>
      <c r="AW1257" s="1414"/>
      <c r="AX1257" s="1414"/>
      <c r="AY1257" s="1399"/>
      <c r="AZ1257" s="1399"/>
      <c r="BA1257" s="1399"/>
      <c r="BB1257" s="1399"/>
      <c r="BC1257" s="1399"/>
      <c r="BD1257" s="1399"/>
      <c r="BE1257" s="1414"/>
      <c r="BF1257" s="1399"/>
      <c r="BG1257" s="1399"/>
      <c r="BH1257" s="1399"/>
      <c r="BI1257" s="1399"/>
      <c r="BJ1257" s="1399"/>
      <c r="BK1257" s="1399"/>
      <c r="BL1257" s="1399"/>
      <c r="BM1257" s="1399"/>
      <c r="BN1257" s="1399"/>
      <c r="BO1257" s="1399"/>
      <c r="BP1257" s="1399"/>
      <c r="BQ1257" s="1399"/>
      <c r="BR1257" s="1399"/>
      <c r="BS1257" s="1399"/>
      <c r="BT1257" s="1399"/>
      <c r="BU1257" s="1399"/>
      <c r="BV1257" s="1399"/>
      <c r="BW1257" s="1399"/>
      <c r="BX1257" s="1399"/>
      <c r="BY1257" s="1399"/>
      <c r="BZ1257" s="1399"/>
      <c r="CA1257" s="1399"/>
      <c r="CB1257" s="1399"/>
      <c r="CC1257" s="1399"/>
      <c r="CD1257" s="1399"/>
      <c r="CE1257" s="1399"/>
      <c r="CF1257" s="1399"/>
      <c r="CG1257" s="1399"/>
      <c r="CH1257" s="1399"/>
      <c r="CI1257" s="1399"/>
      <c r="CJ1257" s="1399"/>
      <c r="CK1257" s="1399"/>
      <c r="CL1257" s="1399"/>
      <c r="CM1257" s="1399"/>
      <c r="CN1257" s="1399"/>
      <c r="CO1257" s="1399"/>
      <c r="CP1257" s="1399"/>
      <c r="CQ1257" s="1399"/>
      <c r="CR1257" s="1399"/>
      <c r="CS1257" s="1399"/>
      <c r="CT1257" s="1399"/>
      <c r="CU1257" s="1399"/>
      <c r="CV1257" s="1399"/>
      <c r="CW1257" s="1399"/>
      <c r="CX1257" s="1399"/>
      <c r="CY1257" s="1399"/>
      <c r="CZ1257" s="1399"/>
      <c r="DA1257" s="1399"/>
      <c r="DB1257" s="1399"/>
      <c r="DC1257" s="1399"/>
      <c r="DD1257" s="1399"/>
      <c r="DE1257" s="1399"/>
      <c r="DF1257" s="1399"/>
      <c r="DG1257" s="1399"/>
      <c r="DH1257" s="1399"/>
      <c r="DI1257" s="1399"/>
      <c r="DJ1257" s="1399"/>
      <c r="DK1257" s="1399"/>
      <c r="DL1257" s="1399"/>
      <c r="DM1257" s="1399"/>
      <c r="DN1257" s="1399"/>
      <c r="DO1257" s="1399"/>
      <c r="DP1257" s="1399"/>
      <c r="DQ1257" s="1399"/>
      <c r="DR1257" s="1399"/>
      <c r="DS1257" s="1399"/>
      <c r="DT1257" s="1399"/>
      <c r="DU1257" s="1399"/>
    </row>
    <row r="1258" spans="1:125">
      <c r="A1258" s="1414"/>
      <c r="B1258" s="1414"/>
      <c r="C1258" s="1414"/>
      <c r="D1258" s="1414"/>
      <c r="E1258" s="1414"/>
      <c r="F1258" s="1414"/>
      <c r="G1258" s="1414"/>
      <c r="H1258" s="1414"/>
      <c r="I1258" s="1414"/>
      <c r="J1258" s="1414"/>
      <c r="K1258" s="1414"/>
      <c r="L1258" s="1414"/>
      <c r="M1258" s="1414"/>
      <c r="N1258" s="1414"/>
      <c r="O1258" s="1414"/>
      <c r="P1258" s="1414"/>
      <c r="Q1258" s="1414"/>
      <c r="R1258" s="1414"/>
      <c r="S1258" s="1414"/>
      <c r="T1258" s="1414"/>
      <c r="U1258" s="1414"/>
      <c r="V1258" s="1414"/>
      <c r="W1258" s="1414"/>
      <c r="X1258" s="1414"/>
      <c r="Y1258" s="1414"/>
      <c r="Z1258" s="1414"/>
      <c r="AA1258" s="1414"/>
      <c r="AB1258" s="1414"/>
      <c r="AC1258" s="1414"/>
      <c r="AD1258" s="1414"/>
      <c r="AE1258" s="1414"/>
      <c r="AF1258" s="1414"/>
      <c r="AG1258" s="1414"/>
      <c r="AH1258" s="1414"/>
      <c r="AI1258" s="1414"/>
      <c r="AJ1258" s="1414"/>
      <c r="AK1258" s="1414"/>
      <c r="AL1258" s="1414"/>
      <c r="AM1258" s="1414"/>
      <c r="AN1258" s="1414"/>
      <c r="AO1258" s="1414"/>
      <c r="AP1258" s="1414"/>
      <c r="AQ1258" s="1414"/>
      <c r="AR1258" s="1414"/>
      <c r="AS1258" s="1414"/>
      <c r="AT1258" s="1414"/>
      <c r="AU1258" s="1414"/>
      <c r="AV1258" s="1414"/>
      <c r="AW1258" s="1414"/>
      <c r="AX1258" s="1414"/>
      <c r="AY1258" s="1399"/>
      <c r="AZ1258" s="1399"/>
      <c r="BA1258" s="1399"/>
      <c r="BB1258" s="1399"/>
      <c r="BC1258" s="1399"/>
      <c r="BD1258" s="1399"/>
      <c r="BE1258" s="1414"/>
      <c r="BF1258" s="1399"/>
      <c r="BG1258" s="1399"/>
      <c r="BH1258" s="1399"/>
      <c r="BI1258" s="1399"/>
      <c r="BJ1258" s="1399"/>
      <c r="BK1258" s="1399"/>
      <c r="BL1258" s="1399"/>
      <c r="BM1258" s="1399"/>
      <c r="BN1258" s="1399"/>
      <c r="BO1258" s="1399"/>
      <c r="BP1258" s="1399"/>
      <c r="BQ1258" s="1399"/>
      <c r="BR1258" s="1399"/>
      <c r="BS1258" s="1399"/>
      <c r="BT1258" s="1399"/>
      <c r="BU1258" s="1399"/>
      <c r="BV1258" s="1399"/>
      <c r="BW1258" s="1399"/>
      <c r="BX1258" s="1399"/>
      <c r="BY1258" s="1399"/>
      <c r="BZ1258" s="1399"/>
      <c r="CA1258" s="1399"/>
      <c r="CB1258" s="1399"/>
      <c r="CC1258" s="1399"/>
      <c r="CD1258" s="1399"/>
      <c r="CE1258" s="1399"/>
      <c r="CF1258" s="1399"/>
      <c r="CG1258" s="1399"/>
      <c r="CH1258" s="1399"/>
      <c r="CI1258" s="1399"/>
      <c r="CJ1258" s="1399"/>
      <c r="CK1258" s="1399"/>
      <c r="CL1258" s="1399"/>
      <c r="CM1258" s="1399"/>
      <c r="CN1258" s="1399"/>
      <c r="CO1258" s="1399"/>
      <c r="CP1258" s="1399"/>
      <c r="CQ1258" s="1399"/>
      <c r="CR1258" s="1399"/>
      <c r="CS1258" s="1399"/>
      <c r="CT1258" s="1399"/>
      <c r="CU1258" s="1399"/>
      <c r="CV1258" s="1399"/>
      <c r="CW1258" s="1399"/>
      <c r="CX1258" s="1399"/>
      <c r="CY1258" s="1399"/>
      <c r="CZ1258" s="1399"/>
      <c r="DA1258" s="1399"/>
      <c r="DB1258" s="1399"/>
      <c r="DC1258" s="1399"/>
      <c r="DD1258" s="1399"/>
      <c r="DE1258" s="1399"/>
      <c r="DF1258" s="1399"/>
      <c r="DG1258" s="1399"/>
      <c r="DH1258" s="1399"/>
      <c r="DI1258" s="1399"/>
      <c r="DJ1258" s="1399"/>
      <c r="DK1258" s="1399"/>
      <c r="DL1258" s="1399"/>
      <c r="DM1258" s="1399"/>
      <c r="DN1258" s="1399"/>
      <c r="DO1258" s="1399"/>
      <c r="DP1258" s="1399"/>
      <c r="DQ1258" s="1399"/>
      <c r="DR1258" s="1399"/>
      <c r="DS1258" s="1399"/>
      <c r="DT1258" s="1399"/>
      <c r="DU1258" s="1399"/>
    </row>
    <row r="1259" spans="1:125">
      <c r="A1259" s="1414"/>
      <c r="B1259" s="1414"/>
      <c r="C1259" s="1414"/>
      <c r="D1259" s="1414"/>
      <c r="E1259" s="1414"/>
      <c r="F1259" s="1414"/>
      <c r="G1259" s="1414"/>
      <c r="H1259" s="1414"/>
      <c r="I1259" s="1414"/>
      <c r="J1259" s="1414"/>
      <c r="K1259" s="1414"/>
      <c r="L1259" s="1414"/>
      <c r="M1259" s="1414"/>
      <c r="N1259" s="1414"/>
      <c r="O1259" s="1414"/>
      <c r="P1259" s="1414"/>
      <c r="Q1259" s="1414"/>
      <c r="R1259" s="1414"/>
      <c r="S1259" s="1414"/>
      <c r="T1259" s="1414"/>
      <c r="U1259" s="1414"/>
      <c r="V1259" s="1414"/>
      <c r="W1259" s="1414"/>
      <c r="X1259" s="1414"/>
      <c r="Y1259" s="1414"/>
      <c r="Z1259" s="1414"/>
      <c r="AA1259" s="1414"/>
      <c r="AB1259" s="1414"/>
      <c r="AC1259" s="1414"/>
      <c r="AD1259" s="1414"/>
      <c r="AE1259" s="1414"/>
      <c r="AF1259" s="1414"/>
      <c r="AG1259" s="1414"/>
      <c r="AH1259" s="1414"/>
      <c r="AI1259" s="1414"/>
      <c r="AJ1259" s="1414"/>
      <c r="AK1259" s="1414"/>
      <c r="AL1259" s="1414"/>
      <c r="AM1259" s="1414"/>
      <c r="AN1259" s="1414"/>
      <c r="AO1259" s="1414"/>
      <c r="AP1259" s="1414"/>
      <c r="AQ1259" s="1414"/>
      <c r="AR1259" s="1414"/>
      <c r="AS1259" s="1414"/>
      <c r="AT1259" s="1414"/>
      <c r="AU1259" s="1414"/>
      <c r="AV1259" s="1414"/>
      <c r="AW1259" s="1414"/>
      <c r="AX1259" s="1414"/>
      <c r="AY1259" s="1399"/>
      <c r="AZ1259" s="1399"/>
      <c r="BA1259" s="1399"/>
      <c r="BB1259" s="1399"/>
      <c r="BC1259" s="1399"/>
      <c r="BD1259" s="1399"/>
      <c r="BE1259" s="1414"/>
      <c r="BF1259" s="1399"/>
      <c r="BG1259" s="1399"/>
      <c r="BH1259" s="1399"/>
      <c r="BI1259" s="1399"/>
      <c r="BJ1259" s="1399"/>
      <c r="BK1259" s="1399"/>
      <c r="BL1259" s="1399"/>
      <c r="BM1259" s="1399"/>
      <c r="BN1259" s="1399"/>
      <c r="BO1259" s="1399"/>
      <c r="BP1259" s="1399"/>
      <c r="BQ1259" s="1399"/>
      <c r="BR1259" s="1399"/>
      <c r="BS1259" s="1399"/>
      <c r="BT1259" s="1399"/>
      <c r="BU1259" s="1399"/>
      <c r="BV1259" s="1399"/>
      <c r="BW1259" s="1399"/>
      <c r="BX1259" s="1399"/>
      <c r="BY1259" s="1399"/>
      <c r="BZ1259" s="1399"/>
      <c r="CA1259" s="1399"/>
      <c r="CB1259" s="1399"/>
      <c r="CC1259" s="1399"/>
      <c r="CD1259" s="1399"/>
      <c r="CE1259" s="1399"/>
      <c r="CF1259" s="1399"/>
      <c r="CG1259" s="1399"/>
      <c r="CH1259" s="1399"/>
      <c r="CI1259" s="1399"/>
      <c r="CJ1259" s="1399"/>
      <c r="CK1259" s="1399"/>
      <c r="CL1259" s="1399"/>
      <c r="CM1259" s="1399"/>
      <c r="CN1259" s="1399"/>
      <c r="CO1259" s="1399"/>
      <c r="CP1259" s="1399"/>
      <c r="CQ1259" s="1399"/>
      <c r="CR1259" s="1399"/>
      <c r="CS1259" s="1399"/>
      <c r="CT1259" s="1399"/>
      <c r="CU1259" s="1399"/>
      <c r="CV1259" s="1399"/>
      <c r="CW1259" s="1399"/>
      <c r="CX1259" s="1399"/>
      <c r="CY1259" s="1399"/>
      <c r="CZ1259" s="1399"/>
      <c r="DA1259" s="1399"/>
      <c r="DB1259" s="1399"/>
      <c r="DC1259" s="1399"/>
      <c r="DD1259" s="1399"/>
      <c r="DE1259" s="1399"/>
      <c r="DF1259" s="1399"/>
      <c r="DG1259" s="1399"/>
      <c r="DH1259" s="1399"/>
      <c r="DI1259" s="1399"/>
      <c r="DJ1259" s="1399"/>
      <c r="DK1259" s="1399"/>
      <c r="DL1259" s="1399"/>
      <c r="DM1259" s="1399"/>
      <c r="DN1259" s="1399"/>
      <c r="DO1259" s="1399"/>
      <c r="DP1259" s="1399"/>
      <c r="DQ1259" s="1399"/>
      <c r="DR1259" s="1399"/>
      <c r="DS1259" s="1399"/>
      <c r="DT1259" s="1399"/>
      <c r="DU1259" s="1399"/>
    </row>
    <row r="1260" spans="1:125">
      <c r="A1260" s="1414"/>
      <c r="B1260" s="1414"/>
      <c r="C1260" s="1414"/>
      <c r="D1260" s="1414"/>
      <c r="E1260" s="1414"/>
      <c r="F1260" s="1414"/>
      <c r="G1260" s="1414"/>
      <c r="H1260" s="1414"/>
      <c r="I1260" s="1414"/>
      <c r="J1260" s="1414"/>
      <c r="K1260" s="1414"/>
      <c r="L1260" s="1414"/>
      <c r="M1260" s="1414"/>
      <c r="N1260" s="1414"/>
      <c r="O1260" s="1414"/>
      <c r="P1260" s="1414"/>
      <c r="Q1260" s="1414"/>
      <c r="R1260" s="1414"/>
      <c r="S1260" s="1414"/>
      <c r="T1260" s="1414"/>
      <c r="U1260" s="1414"/>
      <c r="V1260" s="1414"/>
      <c r="W1260" s="1414"/>
      <c r="X1260" s="1414"/>
      <c r="Y1260" s="1414"/>
      <c r="Z1260" s="1414"/>
      <c r="AA1260" s="1414"/>
      <c r="AB1260" s="1414"/>
      <c r="AC1260" s="1414"/>
      <c r="AD1260" s="1414"/>
      <c r="AE1260" s="1414"/>
      <c r="AF1260" s="1414"/>
      <c r="AG1260" s="1414"/>
      <c r="AH1260" s="1414"/>
      <c r="AI1260" s="1414"/>
      <c r="AJ1260" s="1414"/>
      <c r="AK1260" s="1414"/>
      <c r="AL1260" s="1414"/>
      <c r="AM1260" s="1414"/>
      <c r="AN1260" s="1414"/>
      <c r="AO1260" s="1414"/>
      <c r="AP1260" s="1414"/>
      <c r="AQ1260" s="1414"/>
      <c r="AR1260" s="1414"/>
      <c r="AS1260" s="1414"/>
      <c r="AT1260" s="1414"/>
      <c r="AU1260" s="1414"/>
      <c r="AV1260" s="1414"/>
      <c r="AW1260" s="1414"/>
      <c r="AX1260" s="1414"/>
      <c r="AY1260" s="1399"/>
      <c r="AZ1260" s="1399"/>
      <c r="BA1260" s="1399"/>
      <c r="BB1260" s="1399"/>
      <c r="BC1260" s="1399"/>
      <c r="BD1260" s="1399"/>
      <c r="BE1260" s="1414"/>
      <c r="BF1260" s="1399"/>
      <c r="BG1260" s="1399"/>
      <c r="BH1260" s="1399"/>
      <c r="BI1260" s="1399"/>
      <c r="BJ1260" s="1399"/>
      <c r="BK1260" s="1399"/>
      <c r="BL1260" s="1399"/>
      <c r="BM1260" s="1399"/>
      <c r="BN1260" s="1399"/>
      <c r="BO1260" s="1399"/>
      <c r="BP1260" s="1399"/>
      <c r="BQ1260" s="1399"/>
      <c r="BR1260" s="1399"/>
      <c r="BS1260" s="1399"/>
      <c r="BT1260" s="1399"/>
      <c r="BU1260" s="1399"/>
      <c r="BV1260" s="1399"/>
      <c r="BW1260" s="1399"/>
      <c r="BX1260" s="1399"/>
      <c r="BY1260" s="1399"/>
      <c r="BZ1260" s="1399"/>
      <c r="CA1260" s="1399"/>
      <c r="CB1260" s="1399"/>
      <c r="CC1260" s="1399"/>
      <c r="CD1260" s="1399"/>
      <c r="CE1260" s="1399"/>
      <c r="CF1260" s="1399"/>
      <c r="CG1260" s="1399"/>
      <c r="CH1260" s="1399"/>
      <c r="CI1260" s="1399"/>
      <c r="CJ1260" s="1399"/>
      <c r="CK1260" s="1399"/>
      <c r="CL1260" s="1399"/>
      <c r="CM1260" s="1399"/>
      <c r="CN1260" s="1399"/>
      <c r="CO1260" s="1399"/>
      <c r="CP1260" s="1399"/>
      <c r="CQ1260" s="1399"/>
      <c r="CR1260" s="1399"/>
      <c r="CS1260" s="1399"/>
      <c r="CT1260" s="1399"/>
      <c r="CU1260" s="1399"/>
      <c r="CV1260" s="1399"/>
      <c r="CW1260" s="1399"/>
      <c r="CX1260" s="1399"/>
      <c r="CY1260" s="1399"/>
      <c r="CZ1260" s="1399"/>
      <c r="DA1260" s="1399"/>
      <c r="DB1260" s="1399"/>
      <c r="DC1260" s="1399"/>
      <c r="DD1260" s="1399"/>
      <c r="DE1260" s="1399"/>
      <c r="DF1260" s="1399"/>
      <c r="DG1260" s="1399"/>
      <c r="DH1260" s="1399"/>
      <c r="DI1260" s="1399"/>
      <c r="DJ1260" s="1399"/>
      <c r="DK1260" s="1399"/>
      <c r="DL1260" s="1399"/>
      <c r="DM1260" s="1399"/>
      <c r="DN1260" s="1399"/>
      <c r="DO1260" s="1399"/>
      <c r="DP1260" s="1399"/>
      <c r="DQ1260" s="1399"/>
      <c r="DR1260" s="1399"/>
      <c r="DS1260" s="1399"/>
      <c r="DT1260" s="1399"/>
      <c r="DU1260" s="1399"/>
    </row>
    <row r="1261" spans="1:125">
      <c r="A1261" s="1414"/>
      <c r="B1261" s="1414"/>
      <c r="C1261" s="1414"/>
      <c r="D1261" s="1414"/>
      <c r="E1261" s="1414"/>
      <c r="F1261" s="1414"/>
      <c r="G1261" s="1414"/>
      <c r="H1261" s="1414"/>
      <c r="I1261" s="1414"/>
      <c r="J1261" s="1414"/>
      <c r="K1261" s="1414"/>
      <c r="L1261" s="1414"/>
      <c r="M1261" s="1414"/>
      <c r="N1261" s="1414"/>
      <c r="O1261" s="1414"/>
      <c r="P1261" s="1414"/>
      <c r="Q1261" s="1414"/>
      <c r="R1261" s="1414"/>
      <c r="S1261" s="1414"/>
      <c r="T1261" s="1414"/>
      <c r="U1261" s="1414"/>
      <c r="V1261" s="1414"/>
      <c r="W1261" s="1414"/>
      <c r="X1261" s="1414"/>
      <c r="Y1261" s="1414"/>
      <c r="Z1261" s="1414"/>
      <c r="AA1261" s="1414"/>
      <c r="AB1261" s="1414"/>
      <c r="AC1261" s="1414"/>
      <c r="AD1261" s="1414"/>
      <c r="AE1261" s="1414"/>
      <c r="AF1261" s="1414"/>
      <c r="AG1261" s="1414"/>
      <c r="AH1261" s="1414"/>
      <c r="AI1261" s="1414"/>
      <c r="AJ1261" s="1414"/>
      <c r="AK1261" s="1414"/>
      <c r="AL1261" s="1414"/>
      <c r="AM1261" s="1414"/>
      <c r="AN1261" s="1414"/>
      <c r="AO1261" s="1414"/>
      <c r="AP1261" s="1414"/>
      <c r="AQ1261" s="1414"/>
      <c r="AR1261" s="1414"/>
      <c r="AS1261" s="1414"/>
      <c r="AT1261" s="1414"/>
      <c r="AU1261" s="1414"/>
      <c r="AV1261" s="1414"/>
      <c r="AW1261" s="1414"/>
      <c r="AX1261" s="1414"/>
      <c r="AY1261" s="1399"/>
      <c r="AZ1261" s="1399"/>
      <c r="BA1261" s="1399"/>
      <c r="BB1261" s="1399"/>
      <c r="BC1261" s="1399"/>
      <c r="BD1261" s="1399"/>
      <c r="BE1261" s="1414"/>
      <c r="BF1261" s="1399"/>
      <c r="BG1261" s="1399"/>
      <c r="BH1261" s="1399"/>
      <c r="BI1261" s="1399"/>
      <c r="BJ1261" s="1399"/>
      <c r="BK1261" s="1399"/>
      <c r="BL1261" s="1399"/>
      <c r="BM1261" s="1399"/>
      <c r="BN1261" s="1399"/>
      <c r="BO1261" s="1399"/>
      <c r="BP1261" s="1399"/>
      <c r="BQ1261" s="1399"/>
      <c r="BR1261" s="1399"/>
      <c r="BS1261" s="1399"/>
      <c r="BT1261" s="1399"/>
      <c r="BU1261" s="1399"/>
      <c r="BV1261" s="1399"/>
      <c r="BW1261" s="1399"/>
      <c r="BX1261" s="1399"/>
      <c r="BY1261" s="1399"/>
      <c r="BZ1261" s="1399"/>
      <c r="CA1261" s="1399"/>
      <c r="CB1261" s="1399"/>
      <c r="CC1261" s="1399"/>
      <c r="CD1261" s="1399"/>
      <c r="CE1261" s="1399"/>
      <c r="CF1261" s="1399"/>
      <c r="CG1261" s="1399"/>
      <c r="CH1261" s="1399"/>
      <c r="CI1261" s="1399"/>
      <c r="CJ1261" s="1399"/>
      <c r="CK1261" s="1399"/>
      <c r="CL1261" s="1399"/>
      <c r="CM1261" s="1399"/>
      <c r="CN1261" s="1399"/>
      <c r="CO1261" s="1399"/>
      <c r="CP1261" s="1399"/>
      <c r="CQ1261" s="1399"/>
      <c r="CR1261" s="1399"/>
      <c r="CS1261" s="1399"/>
      <c r="CT1261" s="1399"/>
      <c r="CU1261" s="1399"/>
      <c r="CV1261" s="1399"/>
      <c r="CW1261" s="1399"/>
      <c r="CX1261" s="1399"/>
      <c r="CY1261" s="1399"/>
      <c r="CZ1261" s="1399"/>
      <c r="DA1261" s="1399"/>
      <c r="DB1261" s="1399"/>
      <c r="DC1261" s="1399"/>
      <c r="DD1261" s="1399"/>
      <c r="DE1261" s="1399"/>
      <c r="DF1261" s="1399"/>
      <c r="DG1261" s="1399"/>
      <c r="DH1261" s="1399"/>
      <c r="DI1261" s="1399"/>
      <c r="DJ1261" s="1399"/>
      <c r="DK1261" s="1399"/>
      <c r="DL1261" s="1399"/>
      <c r="DM1261" s="1399"/>
      <c r="DN1261" s="1399"/>
      <c r="DO1261" s="1399"/>
      <c r="DP1261" s="1399"/>
      <c r="DQ1261" s="1399"/>
      <c r="DR1261" s="1399"/>
      <c r="DS1261" s="1399"/>
      <c r="DT1261" s="1399"/>
      <c r="DU1261" s="1399"/>
    </row>
    <row r="1262" spans="1:125">
      <c r="A1262" s="1414"/>
      <c r="B1262" s="1414"/>
      <c r="C1262" s="1414"/>
      <c r="D1262" s="1414"/>
      <c r="E1262" s="1414"/>
      <c r="F1262" s="1414"/>
      <c r="G1262" s="1414"/>
      <c r="H1262" s="1414"/>
      <c r="I1262" s="1414"/>
      <c r="J1262" s="1414"/>
      <c r="K1262" s="1414"/>
      <c r="L1262" s="1414"/>
      <c r="M1262" s="1414"/>
      <c r="N1262" s="1414"/>
      <c r="O1262" s="1414"/>
      <c r="P1262" s="1414"/>
      <c r="Q1262" s="1414"/>
      <c r="R1262" s="1414"/>
      <c r="S1262" s="1414"/>
      <c r="T1262" s="1414"/>
      <c r="U1262" s="1414"/>
      <c r="V1262" s="1414"/>
      <c r="W1262" s="1414"/>
      <c r="X1262" s="1414"/>
      <c r="Y1262" s="1414"/>
      <c r="Z1262" s="1414"/>
      <c r="AA1262" s="1414"/>
      <c r="AB1262" s="1414"/>
      <c r="AC1262" s="1414"/>
      <c r="AD1262" s="1414"/>
      <c r="AE1262" s="1414"/>
      <c r="AF1262" s="1414"/>
      <c r="AG1262" s="1414"/>
      <c r="AH1262" s="1414"/>
      <c r="AI1262" s="1414"/>
      <c r="AJ1262" s="1414"/>
      <c r="AK1262" s="1414"/>
      <c r="AL1262" s="1414"/>
      <c r="AM1262" s="1414"/>
      <c r="AN1262" s="1414"/>
      <c r="AO1262" s="1414"/>
      <c r="AP1262" s="1414"/>
      <c r="AQ1262" s="1414"/>
      <c r="AR1262" s="1414"/>
      <c r="AS1262" s="1414"/>
      <c r="AT1262" s="1414"/>
      <c r="AU1262" s="1414"/>
      <c r="AV1262" s="1414"/>
      <c r="AW1262" s="1414"/>
      <c r="AX1262" s="1414"/>
      <c r="AY1262" s="1399"/>
      <c r="AZ1262" s="1399"/>
      <c r="BA1262" s="1399"/>
      <c r="BB1262" s="1399"/>
      <c r="BC1262" s="1399"/>
      <c r="BD1262" s="1399"/>
      <c r="BE1262" s="1414"/>
      <c r="BF1262" s="1399"/>
      <c r="BG1262" s="1399"/>
      <c r="BH1262" s="1399"/>
      <c r="BI1262" s="1399"/>
      <c r="BJ1262" s="1399"/>
      <c r="BK1262" s="1399"/>
      <c r="BL1262" s="1399"/>
      <c r="BM1262" s="1399"/>
      <c r="BN1262" s="1399"/>
      <c r="BO1262" s="1399"/>
      <c r="BP1262" s="1399"/>
      <c r="BQ1262" s="1399"/>
      <c r="BR1262" s="1399"/>
      <c r="BS1262" s="1399"/>
      <c r="BT1262" s="1399"/>
      <c r="BU1262" s="1399"/>
      <c r="BV1262" s="1399"/>
      <c r="BW1262" s="1399"/>
      <c r="BX1262" s="1399"/>
      <c r="BY1262" s="1399"/>
      <c r="BZ1262" s="1399"/>
      <c r="CA1262" s="1399"/>
      <c r="CB1262" s="1399"/>
      <c r="CC1262" s="1399"/>
      <c r="CD1262" s="1399"/>
      <c r="CE1262" s="1399"/>
      <c r="CF1262" s="1399"/>
      <c r="CG1262" s="1399"/>
      <c r="CH1262" s="1399"/>
      <c r="CI1262" s="1399"/>
      <c r="CJ1262" s="1399"/>
      <c r="CK1262" s="1399"/>
      <c r="CL1262" s="1399"/>
      <c r="CM1262" s="1399"/>
      <c r="CN1262" s="1399"/>
      <c r="CO1262" s="1399"/>
      <c r="CP1262" s="1399"/>
      <c r="CQ1262" s="1399"/>
      <c r="CR1262" s="1399"/>
      <c r="CS1262" s="1399"/>
      <c r="CT1262" s="1399"/>
      <c r="CU1262" s="1399"/>
      <c r="CV1262" s="1399"/>
      <c r="CW1262" s="1399"/>
      <c r="CX1262" s="1399"/>
      <c r="CY1262" s="1399"/>
      <c r="CZ1262" s="1399"/>
      <c r="DA1262" s="1399"/>
      <c r="DB1262" s="1399"/>
      <c r="DC1262" s="1399"/>
      <c r="DD1262" s="1399"/>
      <c r="DE1262" s="1399"/>
      <c r="DF1262" s="1399"/>
      <c r="DG1262" s="1399"/>
      <c r="DH1262" s="1399"/>
      <c r="DI1262" s="1399"/>
      <c r="DJ1262" s="1399"/>
      <c r="DK1262" s="1399"/>
      <c r="DL1262" s="1399"/>
      <c r="DM1262" s="1399"/>
      <c r="DN1262" s="1399"/>
      <c r="DO1262" s="1399"/>
      <c r="DP1262" s="1399"/>
      <c r="DQ1262" s="1399"/>
      <c r="DR1262" s="1399"/>
      <c r="DS1262" s="1399"/>
      <c r="DT1262" s="1399"/>
      <c r="DU1262" s="1399"/>
    </row>
    <row r="1263" spans="1:125">
      <c r="A1263" s="1414"/>
      <c r="B1263" s="1414"/>
      <c r="C1263" s="1414"/>
      <c r="D1263" s="1414"/>
      <c r="E1263" s="1414"/>
      <c r="F1263" s="1414"/>
      <c r="G1263" s="1414"/>
      <c r="H1263" s="1414"/>
      <c r="I1263" s="1414"/>
      <c r="J1263" s="1414"/>
      <c r="K1263" s="1414"/>
      <c r="L1263" s="1414"/>
      <c r="M1263" s="1414"/>
      <c r="N1263" s="1414"/>
      <c r="O1263" s="1414"/>
      <c r="P1263" s="1414"/>
      <c r="Q1263" s="1414"/>
      <c r="R1263" s="1414"/>
      <c r="S1263" s="1414"/>
      <c r="T1263" s="1414"/>
      <c r="U1263" s="1414"/>
      <c r="V1263" s="1414"/>
      <c r="W1263" s="1414"/>
      <c r="X1263" s="1414"/>
      <c r="Y1263" s="1414"/>
      <c r="Z1263" s="1414"/>
      <c r="AA1263" s="1414"/>
      <c r="AB1263" s="1414"/>
      <c r="AC1263" s="1414"/>
      <c r="AD1263" s="1414"/>
      <c r="AE1263" s="1414"/>
      <c r="AF1263" s="1414"/>
      <c r="AG1263" s="1414"/>
      <c r="AH1263" s="1414"/>
      <c r="AI1263" s="1414"/>
      <c r="AJ1263" s="1414"/>
      <c r="AK1263" s="1414"/>
      <c r="AL1263" s="1414"/>
      <c r="AM1263" s="1414"/>
      <c r="AN1263" s="1414"/>
      <c r="AO1263" s="1414"/>
      <c r="AP1263" s="1414"/>
      <c r="AQ1263" s="1414"/>
      <c r="AR1263" s="1414"/>
      <c r="AS1263" s="1414"/>
      <c r="AT1263" s="1414"/>
      <c r="AU1263" s="1414"/>
      <c r="AV1263" s="1414"/>
      <c r="AW1263" s="1414"/>
      <c r="AX1263" s="1414"/>
      <c r="AY1263" s="1399"/>
      <c r="AZ1263" s="1399"/>
      <c r="BA1263" s="1399"/>
      <c r="BB1263" s="1399"/>
      <c r="BC1263" s="1399"/>
      <c r="BD1263" s="1399"/>
      <c r="BE1263" s="1414"/>
      <c r="BF1263" s="1399"/>
      <c r="BG1263" s="1399"/>
      <c r="BH1263" s="1399"/>
      <c r="BI1263" s="1399"/>
      <c r="BJ1263" s="1399"/>
      <c r="BK1263" s="1399"/>
      <c r="BL1263" s="1399"/>
      <c r="BM1263" s="1399"/>
      <c r="BN1263" s="1399"/>
      <c r="BO1263" s="1399"/>
      <c r="BP1263" s="1399"/>
      <c r="BQ1263" s="1399"/>
      <c r="BR1263" s="1399"/>
      <c r="BS1263" s="1399"/>
      <c r="BT1263" s="1399"/>
      <c r="BU1263" s="1399"/>
      <c r="BV1263" s="1399"/>
      <c r="BW1263" s="1399"/>
      <c r="BX1263" s="1399"/>
      <c r="BY1263" s="1399"/>
      <c r="BZ1263" s="1399"/>
      <c r="CA1263" s="1399"/>
      <c r="CB1263" s="1399"/>
      <c r="CC1263" s="1399"/>
      <c r="CD1263" s="1399"/>
      <c r="CE1263" s="1399"/>
      <c r="CF1263" s="1399"/>
      <c r="CG1263" s="1399"/>
      <c r="CH1263" s="1399"/>
      <c r="CI1263" s="1399"/>
      <c r="CJ1263" s="1399"/>
      <c r="CK1263" s="1399"/>
      <c r="CL1263" s="1399"/>
      <c r="CM1263" s="1399"/>
      <c r="CN1263" s="1399"/>
      <c r="CO1263" s="1399"/>
      <c r="CP1263" s="1399"/>
      <c r="CQ1263" s="1399"/>
      <c r="CR1263" s="1399"/>
      <c r="CS1263" s="1399"/>
      <c r="CT1263" s="1399"/>
      <c r="CU1263" s="1399"/>
      <c r="CV1263" s="1399"/>
      <c r="CW1263" s="1399"/>
      <c r="CX1263" s="1399"/>
      <c r="CY1263" s="1399"/>
      <c r="CZ1263" s="1399"/>
      <c r="DA1263" s="1399"/>
      <c r="DB1263" s="1399"/>
      <c r="DC1263" s="1399"/>
      <c r="DD1263" s="1399"/>
      <c r="DE1263" s="1399"/>
      <c r="DF1263" s="1399"/>
      <c r="DG1263" s="1399"/>
      <c r="DH1263" s="1399"/>
      <c r="DI1263" s="1399"/>
      <c r="DJ1263" s="1399"/>
      <c r="DK1263" s="1399"/>
      <c r="DL1263" s="1399"/>
      <c r="DM1263" s="1399"/>
      <c r="DN1263" s="1399"/>
      <c r="DO1263" s="1399"/>
      <c r="DP1263" s="1399"/>
      <c r="DQ1263" s="1399"/>
      <c r="DR1263" s="1399"/>
      <c r="DS1263" s="1399"/>
      <c r="DT1263" s="1399"/>
      <c r="DU1263" s="1399"/>
    </row>
    <row r="1264" spans="1:125">
      <c r="A1264" s="1414"/>
      <c r="B1264" s="1414"/>
      <c r="C1264" s="1414"/>
      <c r="D1264" s="1414"/>
      <c r="E1264" s="1414"/>
      <c r="F1264" s="1414"/>
      <c r="G1264" s="1414"/>
      <c r="H1264" s="1414"/>
      <c r="I1264" s="1414"/>
      <c r="J1264" s="1414"/>
      <c r="K1264" s="1414"/>
      <c r="L1264" s="1414"/>
      <c r="M1264" s="1414"/>
      <c r="N1264" s="1414"/>
      <c r="O1264" s="1414"/>
      <c r="P1264" s="1414"/>
      <c r="Q1264" s="1414"/>
      <c r="R1264" s="1414"/>
      <c r="S1264" s="1414"/>
      <c r="T1264" s="1414"/>
      <c r="U1264" s="1414"/>
      <c r="V1264" s="1414"/>
      <c r="W1264" s="1414"/>
      <c r="X1264" s="1414"/>
      <c r="Y1264" s="1414"/>
      <c r="Z1264" s="1414"/>
      <c r="AA1264" s="1414"/>
      <c r="AB1264" s="1414"/>
      <c r="AC1264" s="1414"/>
      <c r="AD1264" s="1414"/>
      <c r="AE1264" s="1414"/>
      <c r="AF1264" s="1414"/>
      <c r="AG1264" s="1414"/>
      <c r="AH1264" s="1414"/>
      <c r="AI1264" s="1414"/>
      <c r="AJ1264" s="1414"/>
      <c r="AK1264" s="1414"/>
      <c r="AL1264" s="1414"/>
      <c r="AM1264" s="1414"/>
      <c r="AN1264" s="1414"/>
      <c r="AO1264" s="1414"/>
      <c r="AP1264" s="1414"/>
      <c r="AQ1264" s="1414"/>
      <c r="AR1264" s="1414"/>
      <c r="AS1264" s="1414"/>
      <c r="AT1264" s="1414"/>
      <c r="AU1264" s="1414"/>
      <c r="AV1264" s="1414"/>
      <c r="AW1264" s="1414"/>
      <c r="AX1264" s="1414"/>
      <c r="AY1264" s="1399"/>
      <c r="AZ1264" s="1399"/>
      <c r="BA1264" s="1399"/>
      <c r="BB1264" s="1399"/>
      <c r="BC1264" s="1399"/>
      <c r="BD1264" s="1399"/>
      <c r="BE1264" s="1414"/>
      <c r="BF1264" s="1399"/>
      <c r="BG1264" s="1399"/>
      <c r="BH1264" s="1399"/>
      <c r="BI1264" s="1399"/>
      <c r="BJ1264" s="1399"/>
      <c r="BK1264" s="1399"/>
      <c r="BL1264" s="1399"/>
      <c r="BM1264" s="1399"/>
      <c r="BN1264" s="1399"/>
      <c r="BO1264" s="1399"/>
      <c r="BP1264" s="1399"/>
      <c r="BQ1264" s="1399"/>
      <c r="BR1264" s="1399"/>
      <c r="BS1264" s="1399"/>
      <c r="BT1264" s="1399"/>
      <c r="BU1264" s="1399"/>
      <c r="BV1264" s="1399"/>
      <c r="BW1264" s="1399"/>
      <c r="BX1264" s="1399"/>
      <c r="BY1264" s="1399"/>
      <c r="BZ1264" s="1399"/>
      <c r="CA1264" s="1399"/>
      <c r="CB1264" s="1399"/>
      <c r="CC1264" s="1399"/>
      <c r="CD1264" s="1399"/>
      <c r="CE1264" s="1399"/>
      <c r="CF1264" s="1399"/>
      <c r="CG1264" s="1399"/>
      <c r="CH1264" s="1399"/>
      <c r="CI1264" s="1399"/>
      <c r="CJ1264" s="1399"/>
      <c r="CK1264" s="1399"/>
      <c r="CL1264" s="1399"/>
      <c r="CM1264" s="1399"/>
      <c r="CN1264" s="1399"/>
      <c r="CO1264" s="1399"/>
      <c r="CP1264" s="1399"/>
      <c r="CQ1264" s="1399"/>
      <c r="CR1264" s="1399"/>
      <c r="CS1264" s="1399"/>
      <c r="CT1264" s="1399"/>
      <c r="CU1264" s="1399"/>
      <c r="CV1264" s="1399"/>
      <c r="CW1264" s="1399"/>
      <c r="CX1264" s="1399"/>
      <c r="CY1264" s="1399"/>
      <c r="CZ1264" s="1399"/>
      <c r="DA1264" s="1399"/>
      <c r="DB1264" s="1399"/>
      <c r="DC1264" s="1399"/>
      <c r="DD1264" s="1399"/>
      <c r="DE1264" s="1399"/>
      <c r="DF1264" s="1399"/>
      <c r="DG1264" s="1399"/>
      <c r="DH1264" s="1399"/>
      <c r="DI1264" s="1399"/>
      <c r="DJ1264" s="1399"/>
      <c r="DK1264" s="1399"/>
      <c r="DL1264" s="1399"/>
      <c r="DM1264" s="1399"/>
      <c r="DN1264" s="1399"/>
      <c r="DO1264" s="1399"/>
      <c r="DP1264" s="1399"/>
      <c r="DQ1264" s="1399"/>
      <c r="DR1264" s="1399"/>
      <c r="DS1264" s="1399"/>
      <c r="DT1264" s="1399"/>
      <c r="DU1264" s="1399"/>
    </row>
    <row r="1265" spans="1:125">
      <c r="A1265" s="1414"/>
      <c r="B1265" s="1414"/>
      <c r="C1265" s="1414"/>
      <c r="D1265" s="1414"/>
      <c r="E1265" s="1414"/>
      <c r="F1265" s="1414"/>
      <c r="G1265" s="1414"/>
      <c r="H1265" s="1414"/>
      <c r="I1265" s="1414"/>
      <c r="J1265" s="1414"/>
      <c r="K1265" s="1414"/>
      <c r="L1265" s="1414"/>
      <c r="M1265" s="1414"/>
      <c r="N1265" s="1414"/>
      <c r="O1265" s="1414"/>
      <c r="P1265" s="1414"/>
      <c r="Q1265" s="1414"/>
      <c r="R1265" s="1414"/>
      <c r="S1265" s="1414"/>
      <c r="T1265" s="1414"/>
      <c r="U1265" s="1414"/>
      <c r="V1265" s="1414"/>
      <c r="W1265" s="1414"/>
      <c r="X1265" s="1414"/>
      <c r="Y1265" s="1414"/>
      <c r="Z1265" s="1414"/>
      <c r="AA1265" s="1414"/>
      <c r="AB1265" s="1414"/>
      <c r="AC1265" s="1414"/>
      <c r="AD1265" s="1414"/>
      <c r="AE1265" s="1414"/>
      <c r="AF1265" s="1414"/>
      <c r="AG1265" s="1414"/>
      <c r="AH1265" s="1414"/>
      <c r="AI1265" s="1414"/>
      <c r="AJ1265" s="1414"/>
      <c r="AK1265" s="1414"/>
      <c r="AL1265" s="1414"/>
      <c r="AM1265" s="1414"/>
      <c r="AN1265" s="1414"/>
      <c r="AO1265" s="1414"/>
      <c r="AP1265" s="1414"/>
      <c r="AQ1265" s="1414"/>
      <c r="AR1265" s="1414"/>
      <c r="AS1265" s="1414"/>
      <c r="AT1265" s="1414"/>
      <c r="AU1265" s="1414"/>
      <c r="AV1265" s="1414"/>
      <c r="AW1265" s="1414"/>
      <c r="AX1265" s="1414"/>
      <c r="AY1265" s="1399"/>
      <c r="AZ1265" s="1399"/>
      <c r="BA1265" s="1399"/>
      <c r="BB1265" s="1399"/>
      <c r="BC1265" s="1399"/>
      <c r="BD1265" s="1399"/>
      <c r="BE1265" s="1414"/>
      <c r="BF1265" s="1399"/>
      <c r="BG1265" s="1399"/>
      <c r="BH1265" s="1399"/>
      <c r="BI1265" s="1399"/>
      <c r="BJ1265" s="1399"/>
      <c r="BK1265" s="1399"/>
      <c r="BL1265" s="1399"/>
      <c r="BM1265" s="1399"/>
      <c r="BN1265" s="1399"/>
      <c r="BO1265" s="1399"/>
      <c r="BP1265" s="1399"/>
      <c r="BQ1265" s="1399"/>
      <c r="BR1265" s="1399"/>
      <c r="BS1265" s="1399"/>
      <c r="BT1265" s="1399"/>
      <c r="BU1265" s="1399"/>
      <c r="BV1265" s="1399"/>
      <c r="BW1265" s="1399"/>
      <c r="BX1265" s="1399"/>
      <c r="BY1265" s="1399"/>
      <c r="BZ1265" s="1399"/>
      <c r="CA1265" s="1399"/>
      <c r="CB1265" s="1399"/>
      <c r="CC1265" s="1399"/>
      <c r="CD1265" s="1399"/>
      <c r="CE1265" s="1399"/>
      <c r="CF1265" s="1399"/>
      <c r="CG1265" s="1399"/>
      <c r="CH1265" s="1399"/>
      <c r="CI1265" s="1399"/>
      <c r="CJ1265" s="1399"/>
      <c r="CK1265" s="1399"/>
      <c r="CL1265" s="1399"/>
      <c r="CM1265" s="1399"/>
      <c r="CN1265" s="1399"/>
      <c r="CO1265" s="1399"/>
      <c r="CP1265" s="1399"/>
      <c r="CQ1265" s="1399"/>
      <c r="CR1265" s="1399"/>
      <c r="CS1265" s="1399"/>
      <c r="CT1265" s="1399"/>
      <c r="CU1265" s="1399"/>
      <c r="CV1265" s="1399"/>
      <c r="CW1265" s="1399"/>
      <c r="CX1265" s="1399"/>
      <c r="CY1265" s="1399"/>
      <c r="CZ1265" s="1399"/>
      <c r="DA1265" s="1399"/>
      <c r="DB1265" s="1399"/>
      <c r="DC1265" s="1399"/>
      <c r="DD1265" s="1399"/>
      <c r="DE1265" s="1399"/>
      <c r="DF1265" s="1399"/>
      <c r="DG1265" s="1399"/>
      <c r="DH1265" s="1399"/>
      <c r="DI1265" s="1399"/>
      <c r="DJ1265" s="1399"/>
      <c r="DK1265" s="1399"/>
      <c r="DL1265" s="1399"/>
      <c r="DM1265" s="1399"/>
      <c r="DN1265" s="1399"/>
      <c r="DO1265" s="1399"/>
      <c r="DP1265" s="1399"/>
      <c r="DQ1265" s="1399"/>
      <c r="DR1265" s="1399"/>
      <c r="DS1265" s="1399"/>
      <c r="DT1265" s="1399"/>
      <c r="DU1265" s="1399"/>
    </row>
    <row r="1266" spans="1:125">
      <c r="A1266" s="1414"/>
      <c r="B1266" s="1414"/>
      <c r="C1266" s="1414"/>
      <c r="D1266" s="1414"/>
      <c r="E1266" s="1414"/>
      <c r="F1266" s="1414"/>
      <c r="G1266" s="1414"/>
      <c r="H1266" s="1414"/>
      <c r="I1266" s="1414"/>
      <c r="J1266" s="1414"/>
      <c r="K1266" s="1414"/>
      <c r="L1266" s="1414"/>
      <c r="M1266" s="1414"/>
      <c r="N1266" s="1414"/>
      <c r="O1266" s="1414"/>
      <c r="P1266" s="1414"/>
      <c r="Q1266" s="1414"/>
      <c r="R1266" s="1414"/>
      <c r="S1266" s="1414"/>
      <c r="T1266" s="1414"/>
      <c r="U1266" s="1414"/>
      <c r="V1266" s="1414"/>
      <c r="W1266" s="1414"/>
      <c r="X1266" s="1414"/>
      <c r="Y1266" s="1414"/>
      <c r="Z1266" s="1414"/>
      <c r="AA1266" s="1414"/>
      <c r="AB1266" s="1414"/>
      <c r="AC1266" s="1414"/>
      <c r="AD1266" s="1414"/>
      <c r="AE1266" s="1414"/>
      <c r="AF1266" s="1414"/>
      <c r="AG1266" s="1414"/>
      <c r="AH1266" s="1414"/>
      <c r="AI1266" s="1414"/>
      <c r="AJ1266" s="1414"/>
      <c r="AK1266" s="1414"/>
      <c r="AL1266" s="1414"/>
      <c r="AM1266" s="1414"/>
      <c r="AN1266" s="1414"/>
      <c r="AO1266" s="1414"/>
      <c r="AP1266" s="1414"/>
      <c r="AQ1266" s="1414"/>
      <c r="AR1266" s="1414"/>
      <c r="AS1266" s="1414"/>
      <c r="AT1266" s="1414"/>
      <c r="AU1266" s="1414"/>
      <c r="AV1266" s="1414"/>
      <c r="AW1266" s="1414"/>
      <c r="AX1266" s="1414"/>
      <c r="AY1266" s="1399"/>
      <c r="AZ1266" s="1399"/>
      <c r="BA1266" s="1399"/>
      <c r="BB1266" s="1399"/>
      <c r="BC1266" s="1399"/>
      <c r="BD1266" s="1399"/>
      <c r="BE1266" s="1414"/>
      <c r="BF1266" s="1399"/>
      <c r="BG1266" s="1399"/>
      <c r="BH1266" s="1399"/>
      <c r="BI1266" s="1399"/>
      <c r="BJ1266" s="1399"/>
      <c r="BK1266" s="1399"/>
      <c r="BL1266" s="1399"/>
      <c r="BM1266" s="1399"/>
      <c r="BN1266" s="1399"/>
      <c r="BO1266" s="1399"/>
      <c r="BP1266" s="1399"/>
      <c r="BQ1266" s="1399"/>
      <c r="BR1266" s="1399"/>
      <c r="BS1266" s="1399"/>
      <c r="BT1266" s="1399"/>
      <c r="BU1266" s="1399"/>
      <c r="BV1266" s="1399"/>
      <c r="BW1266" s="1399"/>
      <c r="BX1266" s="1399"/>
      <c r="BY1266" s="1399"/>
      <c r="BZ1266" s="1399"/>
      <c r="CA1266" s="1399"/>
      <c r="CB1266" s="1399"/>
      <c r="CC1266" s="1399"/>
      <c r="CD1266" s="1399"/>
      <c r="CE1266" s="1399"/>
      <c r="CF1266" s="1399"/>
      <c r="CG1266" s="1399"/>
      <c r="CH1266" s="1399"/>
      <c r="CI1266" s="1399"/>
      <c r="CJ1266" s="1399"/>
      <c r="CK1266" s="1399"/>
      <c r="CL1266" s="1399"/>
      <c r="CM1266" s="1399"/>
      <c r="CN1266" s="1399"/>
      <c r="CO1266" s="1399"/>
      <c r="CP1266" s="1399"/>
      <c r="CQ1266" s="1399"/>
      <c r="CR1266" s="1399"/>
      <c r="CS1266" s="1399"/>
      <c r="CT1266" s="1399"/>
      <c r="CU1266" s="1399"/>
      <c r="CV1266" s="1399"/>
      <c r="CW1266" s="1399"/>
      <c r="CX1266" s="1399"/>
      <c r="CY1266" s="1399"/>
      <c r="CZ1266" s="1399"/>
      <c r="DA1266" s="1399"/>
      <c r="DB1266" s="1399"/>
      <c r="DC1266" s="1399"/>
      <c r="DD1266" s="1399"/>
      <c r="DE1266" s="1399"/>
      <c r="DF1266" s="1399"/>
      <c r="DG1266" s="1399"/>
      <c r="DH1266" s="1399"/>
      <c r="DI1266" s="1399"/>
      <c r="DJ1266" s="1399"/>
      <c r="DK1266" s="1399"/>
      <c r="DL1266" s="1399"/>
      <c r="DM1266" s="1399"/>
      <c r="DN1266" s="1399"/>
      <c r="DO1266" s="1399"/>
      <c r="DP1266" s="1399"/>
      <c r="DQ1266" s="1399"/>
      <c r="DR1266" s="1399"/>
      <c r="DS1266" s="1399"/>
      <c r="DT1266" s="1399"/>
      <c r="DU1266" s="1399"/>
    </row>
    <row r="1267" spans="1:125">
      <c r="A1267" s="1414"/>
      <c r="B1267" s="1414"/>
      <c r="C1267" s="1414"/>
      <c r="D1267" s="1414"/>
      <c r="E1267" s="1414"/>
      <c r="F1267" s="1414"/>
      <c r="G1267" s="1414"/>
      <c r="H1267" s="1414"/>
      <c r="I1267" s="1414"/>
      <c r="J1267" s="1414"/>
      <c r="K1267" s="1414"/>
      <c r="L1267" s="1414"/>
      <c r="M1267" s="1414"/>
      <c r="N1267" s="1414"/>
      <c r="O1267" s="1414"/>
      <c r="P1267" s="1414"/>
      <c r="Q1267" s="1414"/>
      <c r="R1267" s="1414"/>
      <c r="S1267" s="1414"/>
      <c r="T1267" s="1414"/>
      <c r="U1267" s="1414"/>
      <c r="V1267" s="1414"/>
      <c r="W1267" s="1414"/>
      <c r="X1267" s="1414"/>
      <c r="Y1267" s="1414"/>
      <c r="Z1267" s="1414"/>
      <c r="AA1267" s="1414"/>
      <c r="AB1267" s="1414"/>
      <c r="AC1267" s="1414"/>
      <c r="AD1267" s="1414"/>
      <c r="AE1267" s="1414"/>
      <c r="AF1267" s="1414"/>
      <c r="AG1267" s="1414"/>
      <c r="AH1267" s="1414"/>
      <c r="AI1267" s="1414"/>
      <c r="AJ1267" s="1414"/>
      <c r="AK1267" s="1414"/>
      <c r="AL1267" s="1414"/>
      <c r="AM1267" s="1414"/>
      <c r="AN1267" s="1414"/>
      <c r="AO1267" s="1414"/>
      <c r="AP1267" s="1414"/>
      <c r="AQ1267" s="1414"/>
      <c r="AR1267" s="1414"/>
      <c r="AS1267" s="1414"/>
      <c r="AT1267" s="1414"/>
      <c r="AU1267" s="1414"/>
      <c r="AV1267" s="1414"/>
      <c r="AW1267" s="1414"/>
      <c r="AX1267" s="1414"/>
      <c r="AY1267" s="1399"/>
      <c r="AZ1267" s="1399"/>
      <c r="BA1267" s="1399"/>
      <c r="BB1267" s="1399"/>
      <c r="BC1267" s="1399"/>
      <c r="BD1267" s="1399"/>
      <c r="BE1267" s="1414"/>
      <c r="BF1267" s="1399"/>
      <c r="BG1267" s="1399"/>
      <c r="BH1267" s="1399"/>
      <c r="BI1267" s="1399"/>
      <c r="BJ1267" s="1399"/>
      <c r="BK1267" s="1399"/>
      <c r="BL1267" s="1399"/>
      <c r="BM1267" s="1399"/>
      <c r="BN1267" s="1399"/>
      <c r="BO1267" s="1399"/>
      <c r="BP1267" s="1399"/>
      <c r="BQ1267" s="1399"/>
      <c r="BR1267" s="1399"/>
      <c r="BS1267" s="1399"/>
      <c r="BT1267" s="1399"/>
      <c r="BU1267" s="1399"/>
      <c r="BV1267" s="1399"/>
      <c r="BW1267" s="1399"/>
      <c r="BX1267" s="1399"/>
      <c r="BY1267" s="1399"/>
      <c r="BZ1267" s="1399"/>
      <c r="CA1267" s="1399"/>
      <c r="CB1267" s="1399"/>
      <c r="CC1267" s="1399"/>
      <c r="CD1267" s="1399"/>
      <c r="CE1267" s="1399"/>
      <c r="CF1267" s="1399"/>
      <c r="CG1267" s="1399"/>
      <c r="CH1267" s="1399"/>
      <c r="CI1267" s="1399"/>
      <c r="CJ1267" s="1399"/>
      <c r="CK1267" s="1399"/>
      <c r="CL1267" s="1399"/>
      <c r="CM1267" s="1399"/>
      <c r="CN1267" s="1399"/>
      <c r="CO1267" s="1399"/>
      <c r="CP1267" s="1399"/>
      <c r="CQ1267" s="1399"/>
      <c r="CR1267" s="1399"/>
      <c r="CS1267" s="1399"/>
      <c r="CT1267" s="1399"/>
      <c r="CU1267" s="1399"/>
      <c r="CV1267" s="1399"/>
      <c r="CW1267" s="1399"/>
      <c r="CX1267" s="1399"/>
      <c r="CY1267" s="1399"/>
      <c r="CZ1267" s="1399"/>
      <c r="DA1267" s="1399"/>
      <c r="DB1267" s="1399"/>
      <c r="DC1267" s="1399"/>
      <c r="DD1267" s="1399"/>
      <c r="DE1267" s="1399"/>
      <c r="DF1267" s="1399"/>
      <c r="DG1267" s="1399"/>
      <c r="DH1267" s="1399"/>
      <c r="DI1267" s="1399"/>
      <c r="DJ1267" s="1399"/>
      <c r="DK1267" s="1399"/>
      <c r="DL1267" s="1399"/>
      <c r="DM1267" s="1399"/>
      <c r="DN1267" s="1399"/>
      <c r="DO1267" s="1399"/>
      <c r="DP1267" s="1399"/>
      <c r="DQ1267" s="1399"/>
      <c r="DR1267" s="1399"/>
      <c r="DS1267" s="1399"/>
      <c r="DT1267" s="1399"/>
      <c r="DU1267" s="1399"/>
    </row>
    <row r="1268" spans="1:125">
      <c r="A1268" s="1414"/>
      <c r="B1268" s="1414"/>
      <c r="C1268" s="1414"/>
      <c r="D1268" s="1414"/>
      <c r="E1268" s="1414"/>
      <c r="F1268" s="1414"/>
      <c r="G1268" s="1414"/>
      <c r="H1268" s="1414"/>
      <c r="I1268" s="1414"/>
      <c r="J1268" s="1414"/>
      <c r="K1268" s="1414"/>
      <c r="L1268" s="1414"/>
      <c r="M1268" s="1414"/>
      <c r="N1268" s="1414"/>
      <c r="O1268" s="1414"/>
      <c r="P1268" s="1414"/>
      <c r="Q1268" s="1414"/>
      <c r="R1268" s="1414"/>
      <c r="S1268" s="1414"/>
      <c r="T1268" s="1414"/>
      <c r="U1268" s="1414"/>
      <c r="V1268" s="1414"/>
      <c r="W1268" s="1414"/>
      <c r="X1268" s="1414"/>
      <c r="Y1268" s="1414"/>
      <c r="Z1268" s="1414"/>
      <c r="AA1268" s="1414"/>
      <c r="AB1268" s="1414"/>
      <c r="AC1268" s="1414"/>
      <c r="AD1268" s="1414"/>
      <c r="AE1268" s="1414"/>
      <c r="AF1268" s="1414"/>
      <c r="AG1268" s="1414"/>
      <c r="AH1268" s="1414"/>
      <c r="AI1268" s="1414"/>
      <c r="AJ1268" s="1414"/>
      <c r="AK1268" s="1414"/>
      <c r="AL1268" s="1414"/>
      <c r="AM1268" s="1414"/>
      <c r="AN1268" s="1414"/>
      <c r="AO1268" s="1414"/>
      <c r="AP1268" s="1414"/>
      <c r="AQ1268" s="1414"/>
      <c r="AR1268" s="1414"/>
      <c r="AS1268" s="1414"/>
      <c r="AT1268" s="1414"/>
      <c r="AU1268" s="1414"/>
      <c r="AV1268" s="1414"/>
      <c r="AW1268" s="1414"/>
      <c r="AX1268" s="1414"/>
      <c r="AY1268" s="1399"/>
      <c r="AZ1268" s="1399"/>
      <c r="BA1268" s="1399"/>
      <c r="BB1268" s="1399"/>
      <c r="BC1268" s="1399"/>
      <c r="BD1268" s="1399"/>
      <c r="BE1268" s="1414"/>
      <c r="BF1268" s="1399"/>
      <c r="BG1268" s="1399"/>
      <c r="BH1268" s="1399"/>
      <c r="BI1268" s="1399"/>
      <c r="BJ1268" s="1399"/>
      <c r="BK1268" s="1399"/>
      <c r="BL1268" s="1399"/>
      <c r="BM1268" s="1399"/>
      <c r="BN1268" s="1399"/>
      <c r="BO1268" s="1399"/>
      <c r="BP1268" s="1399"/>
      <c r="BQ1268" s="1399"/>
      <c r="BR1268" s="1399"/>
      <c r="BS1268" s="1399"/>
      <c r="BT1268" s="1399"/>
      <c r="BU1268" s="1399"/>
      <c r="BV1268" s="1399"/>
      <c r="BW1268" s="1399"/>
      <c r="BX1268" s="1399"/>
      <c r="BY1268" s="1399"/>
      <c r="BZ1268" s="1399"/>
      <c r="CA1268" s="1399"/>
      <c r="CB1268" s="1399"/>
      <c r="CC1268" s="1399"/>
      <c r="CD1268" s="1399"/>
      <c r="CE1268" s="1399"/>
      <c r="CF1268" s="1399"/>
      <c r="CG1268" s="1399"/>
      <c r="CH1268" s="1399"/>
      <c r="CI1268" s="1399"/>
      <c r="CJ1268" s="1399"/>
      <c r="CK1268" s="1399"/>
      <c r="CL1268" s="1399"/>
      <c r="CM1268" s="1399"/>
      <c r="CN1268" s="1399"/>
      <c r="CO1268" s="1399"/>
      <c r="CP1268" s="1399"/>
      <c r="CQ1268" s="1399"/>
      <c r="CR1268" s="1399"/>
      <c r="CS1268" s="1399"/>
      <c r="CT1268" s="1399"/>
      <c r="CU1268" s="1399"/>
      <c r="CV1268" s="1399"/>
      <c r="CW1268" s="1399"/>
      <c r="CX1268" s="1399"/>
      <c r="CY1268" s="1399"/>
      <c r="CZ1268" s="1399"/>
      <c r="DA1268" s="1399"/>
      <c r="DB1268" s="1399"/>
      <c r="DC1268" s="1399"/>
      <c r="DD1268" s="1399"/>
      <c r="DE1268" s="1399"/>
      <c r="DF1268" s="1399"/>
      <c r="DG1268" s="1399"/>
      <c r="DH1268" s="1399"/>
      <c r="DI1268" s="1399"/>
      <c r="DJ1268" s="1399"/>
      <c r="DK1268" s="1399"/>
      <c r="DL1268" s="1399"/>
      <c r="DM1268" s="1399"/>
      <c r="DN1268" s="1399"/>
      <c r="DO1268" s="1399"/>
      <c r="DP1268" s="1399"/>
      <c r="DQ1268" s="1399"/>
      <c r="DR1268" s="1399"/>
      <c r="DS1268" s="1399"/>
      <c r="DT1268" s="1399"/>
      <c r="DU1268" s="1399"/>
    </row>
    <row r="1269" spans="1:125">
      <c r="A1269" s="1414"/>
      <c r="B1269" s="1414"/>
      <c r="C1269" s="1414"/>
      <c r="D1269" s="1414"/>
      <c r="E1269" s="1414"/>
      <c r="F1269" s="1414"/>
      <c r="G1269" s="1414"/>
      <c r="H1269" s="1414"/>
      <c r="I1269" s="1414"/>
      <c r="J1269" s="1414"/>
      <c r="K1269" s="1414"/>
      <c r="L1269" s="1414"/>
      <c r="M1269" s="1414"/>
      <c r="N1269" s="1414"/>
      <c r="O1269" s="1414"/>
      <c r="P1269" s="1414"/>
      <c r="Q1269" s="1414"/>
      <c r="R1269" s="1414"/>
      <c r="S1269" s="1414"/>
      <c r="T1269" s="1414"/>
      <c r="U1269" s="1414"/>
      <c r="V1269" s="1414"/>
      <c r="W1269" s="1414"/>
      <c r="X1269" s="1414"/>
      <c r="Y1269" s="1414"/>
      <c r="Z1269" s="1414"/>
      <c r="AA1269" s="1414"/>
      <c r="AB1269" s="1414"/>
      <c r="AC1269" s="1414"/>
      <c r="AD1269" s="1414"/>
      <c r="AE1269" s="1414"/>
      <c r="AF1269" s="1414"/>
      <c r="AG1269" s="1414"/>
      <c r="AH1269" s="1414"/>
      <c r="AI1269" s="1414"/>
      <c r="AJ1269" s="1414"/>
      <c r="AK1269" s="1414"/>
      <c r="AL1269" s="1414"/>
      <c r="AM1269" s="1414"/>
      <c r="AN1269" s="1414"/>
      <c r="AO1269" s="1414"/>
      <c r="AP1269" s="1414"/>
      <c r="AQ1269" s="1414"/>
      <c r="AR1269" s="1414"/>
      <c r="AS1269" s="1414"/>
      <c r="AT1269" s="1414"/>
      <c r="AU1269" s="1414"/>
      <c r="AV1269" s="1414"/>
      <c r="AW1269" s="1414"/>
      <c r="AX1269" s="1414"/>
      <c r="AY1269" s="1399"/>
      <c r="AZ1269" s="1399"/>
      <c r="BA1269" s="1399"/>
      <c r="BB1269" s="1399"/>
      <c r="BC1269" s="1399"/>
      <c r="BD1269" s="1399"/>
      <c r="BE1269" s="1414"/>
      <c r="BF1269" s="1399"/>
      <c r="BG1269" s="1399"/>
      <c r="BH1269" s="1399"/>
      <c r="BI1269" s="1399"/>
      <c r="BJ1269" s="1399"/>
      <c r="BK1269" s="1399"/>
      <c r="BL1269" s="1399"/>
      <c r="BM1269" s="1399"/>
      <c r="BN1269" s="1399"/>
      <c r="BO1269" s="1399"/>
      <c r="BP1269" s="1399"/>
      <c r="BQ1269" s="1399"/>
      <c r="BR1269" s="1399"/>
      <c r="BS1269" s="1399"/>
      <c r="BT1269" s="1399"/>
      <c r="BU1269" s="1399"/>
      <c r="BV1269" s="1399"/>
      <c r="BW1269" s="1399"/>
      <c r="BX1269" s="1399"/>
      <c r="BY1269" s="1399"/>
      <c r="BZ1269" s="1399"/>
      <c r="CA1269" s="1399"/>
      <c r="CB1269" s="1399"/>
      <c r="CC1269" s="1399"/>
      <c r="CD1269" s="1399"/>
      <c r="CE1269" s="1399"/>
      <c r="CF1269" s="1399"/>
      <c r="CG1269" s="1399"/>
      <c r="CH1269" s="1399"/>
      <c r="CI1269" s="1399"/>
      <c r="CJ1269" s="1399"/>
      <c r="CK1269" s="1399"/>
      <c r="CL1269" s="1399"/>
      <c r="CM1269" s="1399"/>
      <c r="CN1269" s="1399"/>
      <c r="CO1269" s="1399"/>
      <c r="CP1269" s="1399"/>
      <c r="CQ1269" s="1399"/>
      <c r="CR1269" s="1399"/>
      <c r="CS1269" s="1399"/>
      <c r="CT1269" s="1399"/>
      <c r="CU1269" s="1399"/>
      <c r="CV1269" s="1399"/>
      <c r="CW1269" s="1399"/>
      <c r="CX1269" s="1399"/>
      <c r="CY1269" s="1399"/>
      <c r="CZ1269" s="1399"/>
      <c r="DA1269" s="1399"/>
      <c r="DB1269" s="1399"/>
      <c r="DC1269" s="1399"/>
      <c r="DD1269" s="1399"/>
      <c r="DE1269" s="1399"/>
      <c r="DF1269" s="1399"/>
      <c r="DG1269" s="1399"/>
      <c r="DH1269" s="1399"/>
      <c r="DI1269" s="1399"/>
      <c r="DJ1269" s="1399"/>
      <c r="DK1269" s="1399"/>
      <c r="DL1269" s="1399"/>
      <c r="DM1269" s="1399"/>
      <c r="DN1269" s="1399"/>
      <c r="DO1269" s="1399"/>
      <c r="DP1269" s="1399"/>
      <c r="DQ1269" s="1399"/>
      <c r="DR1269" s="1399"/>
      <c r="DS1269" s="1399"/>
      <c r="DT1269" s="1399"/>
      <c r="DU1269" s="1399"/>
    </row>
    <row r="1270" spans="1:125">
      <c r="A1270" s="1414"/>
      <c r="B1270" s="1414"/>
      <c r="C1270" s="1414"/>
      <c r="D1270" s="1414"/>
      <c r="E1270" s="1414"/>
      <c r="F1270" s="1414"/>
      <c r="G1270" s="1414"/>
      <c r="H1270" s="1414"/>
      <c r="I1270" s="1414"/>
      <c r="J1270" s="1414"/>
      <c r="K1270" s="1414"/>
      <c r="L1270" s="1414"/>
      <c r="M1270" s="1414"/>
      <c r="N1270" s="1414"/>
      <c r="O1270" s="1414"/>
      <c r="P1270" s="1414"/>
      <c r="Q1270" s="1414"/>
      <c r="R1270" s="1414"/>
      <c r="S1270" s="1414"/>
      <c r="T1270" s="1414"/>
      <c r="U1270" s="1414"/>
      <c r="V1270" s="1414"/>
      <c r="W1270" s="1414"/>
      <c r="X1270" s="1414"/>
      <c r="Y1270" s="1414"/>
      <c r="Z1270" s="1414"/>
      <c r="AA1270" s="1414"/>
      <c r="AB1270" s="1414"/>
      <c r="AC1270" s="1414"/>
      <c r="AD1270" s="1414"/>
      <c r="AE1270" s="1414"/>
      <c r="AF1270" s="1414"/>
      <c r="AG1270" s="1414"/>
      <c r="AH1270" s="1414"/>
      <c r="AI1270" s="1414"/>
      <c r="AJ1270" s="1414"/>
      <c r="AK1270" s="1414"/>
      <c r="AL1270" s="1414"/>
      <c r="AM1270" s="1414"/>
      <c r="AN1270" s="1414"/>
      <c r="AO1270" s="1414"/>
      <c r="AP1270" s="1414"/>
      <c r="AQ1270" s="1414"/>
      <c r="AR1270" s="1414"/>
      <c r="AS1270" s="1414"/>
      <c r="AT1270" s="1414"/>
      <c r="AU1270" s="1414"/>
      <c r="AV1270" s="1414"/>
      <c r="AW1270" s="1414"/>
      <c r="AX1270" s="1414"/>
      <c r="AY1270" s="1399"/>
      <c r="AZ1270" s="1399"/>
      <c r="BA1270" s="1399"/>
      <c r="BB1270" s="1399"/>
      <c r="BC1270" s="1399"/>
      <c r="BD1270" s="1399"/>
      <c r="BE1270" s="1414"/>
      <c r="BF1270" s="1399"/>
      <c r="BG1270" s="1399"/>
      <c r="BH1270" s="1399"/>
      <c r="BI1270" s="1399"/>
      <c r="BJ1270" s="1399"/>
      <c r="BK1270" s="1399"/>
      <c r="BL1270" s="1399"/>
      <c r="BM1270" s="1399"/>
      <c r="BN1270" s="1399"/>
      <c r="BO1270" s="1399"/>
      <c r="BP1270" s="1399"/>
      <c r="BQ1270" s="1399"/>
      <c r="BR1270" s="1399"/>
      <c r="BS1270" s="1399"/>
      <c r="BT1270" s="1399"/>
      <c r="BU1270" s="1399"/>
      <c r="BV1270" s="1399"/>
      <c r="BW1270" s="1399"/>
      <c r="BX1270" s="1399"/>
      <c r="BY1270" s="1399"/>
      <c r="BZ1270" s="1399"/>
      <c r="CA1270" s="1399"/>
      <c r="CB1270" s="1399"/>
      <c r="CC1270" s="1399"/>
      <c r="CD1270" s="1399"/>
      <c r="CE1270" s="1399"/>
      <c r="CF1270" s="1399"/>
      <c r="CG1270" s="1399"/>
      <c r="CH1270" s="1399"/>
      <c r="CI1270" s="1399"/>
      <c r="CJ1270" s="1399"/>
      <c r="CK1270" s="1399"/>
      <c r="CL1270" s="1399"/>
      <c r="CM1270" s="1399"/>
      <c r="CN1270" s="1399"/>
      <c r="CO1270" s="1399"/>
      <c r="CP1270" s="1399"/>
      <c r="CQ1270" s="1399"/>
      <c r="CR1270" s="1399"/>
      <c r="CS1270" s="1399"/>
      <c r="CT1270" s="1399"/>
      <c r="CU1270" s="1399"/>
      <c r="CV1270" s="1399"/>
      <c r="CW1270" s="1399"/>
      <c r="CX1270" s="1399"/>
      <c r="CY1270" s="1399"/>
      <c r="CZ1270" s="1399"/>
      <c r="DA1270" s="1399"/>
      <c r="DB1270" s="1399"/>
      <c r="DC1270" s="1399"/>
      <c r="DD1270" s="1399"/>
      <c r="DE1270" s="1399"/>
      <c r="DF1270" s="1399"/>
      <c r="DG1270" s="1399"/>
      <c r="DH1270" s="1399"/>
      <c r="DI1270" s="1399"/>
      <c r="DJ1270" s="1399"/>
      <c r="DK1270" s="1399"/>
      <c r="DL1270" s="1399"/>
      <c r="DM1270" s="1399"/>
      <c r="DN1270" s="1399"/>
      <c r="DO1270" s="1399"/>
      <c r="DP1270" s="1399"/>
      <c r="DQ1270" s="1399"/>
      <c r="DR1270" s="1399"/>
      <c r="DS1270" s="1399"/>
      <c r="DT1270" s="1399"/>
      <c r="DU1270" s="1399"/>
    </row>
    <row r="1271" spans="1:125">
      <c r="A1271" s="1414"/>
      <c r="B1271" s="1414"/>
      <c r="C1271" s="1414"/>
      <c r="D1271" s="1414"/>
      <c r="E1271" s="1414"/>
      <c r="F1271" s="1414"/>
      <c r="G1271" s="1414"/>
      <c r="H1271" s="1414"/>
      <c r="I1271" s="1414"/>
      <c r="J1271" s="1414"/>
      <c r="K1271" s="1414"/>
      <c r="L1271" s="1414"/>
      <c r="M1271" s="1414"/>
      <c r="N1271" s="1414"/>
      <c r="O1271" s="1414"/>
      <c r="P1271" s="1414"/>
      <c r="Q1271" s="1414"/>
      <c r="R1271" s="1414"/>
      <c r="S1271" s="1414"/>
      <c r="T1271" s="1414"/>
      <c r="U1271" s="1414"/>
      <c r="V1271" s="1414"/>
      <c r="W1271" s="1414"/>
      <c r="X1271" s="1414"/>
      <c r="Y1271" s="1414"/>
      <c r="Z1271" s="1414"/>
      <c r="AA1271" s="1414"/>
      <c r="AB1271" s="1414"/>
      <c r="AC1271" s="1414"/>
      <c r="AD1271" s="1414"/>
      <c r="AE1271" s="1414"/>
      <c r="AF1271" s="1414"/>
      <c r="AG1271" s="1414"/>
      <c r="AH1271" s="1414"/>
      <c r="AI1271" s="1414"/>
      <c r="AJ1271" s="1414"/>
      <c r="AK1271" s="1414"/>
      <c r="AL1271" s="1414"/>
      <c r="AM1271" s="1414"/>
      <c r="AN1271" s="1414"/>
      <c r="AO1271" s="1414"/>
      <c r="AP1271" s="1414"/>
      <c r="AQ1271" s="1414"/>
      <c r="AR1271" s="1414"/>
      <c r="AS1271" s="1414"/>
      <c r="AT1271" s="1414"/>
      <c r="AU1271" s="1414"/>
      <c r="AV1271" s="1414"/>
      <c r="AW1271" s="1414"/>
      <c r="AX1271" s="1414"/>
      <c r="AY1271" s="1399"/>
      <c r="AZ1271" s="1399"/>
      <c r="BA1271" s="1399"/>
      <c r="BB1271" s="1399"/>
      <c r="BC1271" s="1399"/>
      <c r="BD1271" s="1399"/>
      <c r="BE1271" s="1414"/>
      <c r="BF1271" s="1399"/>
      <c r="BG1271" s="1399"/>
      <c r="BH1271" s="1399"/>
      <c r="BI1271" s="1399"/>
      <c r="BJ1271" s="1399"/>
      <c r="BK1271" s="1399"/>
      <c r="BL1271" s="1399"/>
      <c r="BM1271" s="1399"/>
      <c r="BN1271" s="1399"/>
      <c r="BO1271" s="1399"/>
      <c r="BP1271" s="1399"/>
      <c r="BQ1271" s="1399"/>
      <c r="BR1271" s="1399"/>
      <c r="BS1271" s="1399"/>
      <c r="BT1271" s="1399"/>
      <c r="BU1271" s="1399"/>
      <c r="BV1271" s="1399"/>
      <c r="BW1271" s="1399"/>
      <c r="BX1271" s="1399"/>
      <c r="BY1271" s="1399"/>
      <c r="BZ1271" s="1399"/>
      <c r="CA1271" s="1399"/>
      <c r="CB1271" s="1399"/>
      <c r="CC1271" s="1399"/>
      <c r="CD1271" s="1399"/>
      <c r="CE1271" s="1399"/>
      <c r="CF1271" s="1399"/>
      <c r="CG1271" s="1399"/>
      <c r="CH1271" s="1399"/>
      <c r="CI1271" s="1399"/>
      <c r="CJ1271" s="1399"/>
      <c r="CK1271" s="1399"/>
      <c r="CL1271" s="1399"/>
      <c r="CM1271" s="1399"/>
      <c r="CN1271" s="1399"/>
      <c r="CO1271" s="1399"/>
      <c r="CP1271" s="1399"/>
      <c r="CQ1271" s="1399"/>
      <c r="CR1271" s="1399"/>
      <c r="CS1271" s="1399"/>
      <c r="CT1271" s="1399"/>
      <c r="CU1271" s="1399"/>
      <c r="CV1271" s="1399"/>
      <c r="CW1271" s="1399"/>
      <c r="CX1271" s="1399"/>
      <c r="CY1271" s="1399"/>
      <c r="CZ1271" s="1399"/>
      <c r="DA1271" s="1399"/>
      <c r="DB1271" s="1399"/>
      <c r="DC1271" s="1399"/>
      <c r="DD1271" s="1399"/>
      <c r="DE1271" s="1399"/>
      <c r="DF1271" s="1399"/>
      <c r="DG1271" s="1399"/>
      <c r="DH1271" s="1399"/>
      <c r="DI1271" s="1399"/>
      <c r="DJ1271" s="1399"/>
      <c r="DK1271" s="1399"/>
      <c r="DL1271" s="1399"/>
      <c r="DM1271" s="1399"/>
      <c r="DN1271" s="1399"/>
      <c r="DO1271" s="1399"/>
      <c r="DP1271" s="1399"/>
      <c r="DQ1271" s="1399"/>
      <c r="DR1271" s="1399"/>
      <c r="DS1271" s="1399"/>
      <c r="DT1271" s="1399"/>
      <c r="DU1271" s="1399"/>
    </row>
    <row r="1272" spans="1:125">
      <c r="A1272" s="1414"/>
      <c r="B1272" s="1414"/>
      <c r="C1272" s="1414"/>
      <c r="D1272" s="1414"/>
      <c r="E1272" s="1414"/>
      <c r="F1272" s="1414"/>
      <c r="G1272" s="1414"/>
      <c r="H1272" s="1414"/>
      <c r="I1272" s="1414"/>
      <c r="J1272" s="1414"/>
      <c r="K1272" s="1414"/>
      <c r="L1272" s="1414"/>
      <c r="M1272" s="1414"/>
      <c r="N1272" s="1414"/>
      <c r="O1272" s="1414"/>
      <c r="P1272" s="1414"/>
      <c r="Q1272" s="1414"/>
      <c r="R1272" s="1414"/>
      <c r="S1272" s="1414"/>
      <c r="T1272" s="1414"/>
      <c r="U1272" s="1414"/>
      <c r="V1272" s="1414"/>
      <c r="W1272" s="1414"/>
      <c r="X1272" s="1414"/>
      <c r="Y1272" s="1414"/>
      <c r="Z1272" s="1414"/>
      <c r="AA1272" s="1414"/>
      <c r="AB1272" s="1414"/>
      <c r="AC1272" s="1414"/>
      <c r="AD1272" s="1414"/>
      <c r="AE1272" s="1414"/>
      <c r="AF1272" s="1414"/>
      <c r="AG1272" s="1414"/>
      <c r="AH1272" s="1414"/>
      <c r="AI1272" s="1414"/>
      <c r="AJ1272" s="1414"/>
      <c r="AK1272" s="1414"/>
      <c r="AL1272" s="1414"/>
      <c r="AM1272" s="1414"/>
      <c r="AN1272" s="1414"/>
      <c r="AO1272" s="1414"/>
      <c r="AP1272" s="1414"/>
      <c r="AQ1272" s="1414"/>
      <c r="AR1272" s="1414"/>
      <c r="AS1272" s="1414"/>
      <c r="AT1272" s="1414"/>
      <c r="AU1272" s="1414"/>
      <c r="AV1272" s="1414"/>
      <c r="AW1272" s="1414"/>
      <c r="AX1272" s="1414"/>
      <c r="AY1272" s="1399"/>
      <c r="AZ1272" s="1399"/>
      <c r="BA1272" s="1399"/>
      <c r="BB1272" s="1399"/>
      <c r="BC1272" s="1399"/>
      <c r="BD1272" s="1399"/>
      <c r="BE1272" s="1414"/>
      <c r="BF1272" s="1399"/>
      <c r="BG1272" s="1399"/>
      <c r="BH1272" s="1399"/>
      <c r="BI1272" s="1399"/>
      <c r="BJ1272" s="1399"/>
      <c r="BK1272" s="1399"/>
      <c r="BL1272" s="1399"/>
      <c r="BM1272" s="1399"/>
      <c r="BN1272" s="1399"/>
      <c r="BO1272" s="1399"/>
      <c r="BP1272" s="1399"/>
      <c r="BQ1272" s="1399"/>
      <c r="BR1272" s="1399"/>
      <c r="BS1272" s="1399"/>
      <c r="BT1272" s="1399"/>
      <c r="BU1272" s="1399"/>
      <c r="BV1272" s="1399"/>
      <c r="BW1272" s="1399"/>
      <c r="BX1272" s="1399"/>
      <c r="BY1272" s="1399"/>
      <c r="BZ1272" s="1399"/>
      <c r="CA1272" s="1399"/>
      <c r="CB1272" s="1399"/>
      <c r="CC1272" s="1399"/>
      <c r="CD1272" s="1399"/>
      <c r="CE1272" s="1399"/>
      <c r="CF1272" s="1399"/>
      <c r="CG1272" s="1399"/>
      <c r="CH1272" s="1399"/>
      <c r="CI1272" s="1399"/>
      <c r="CJ1272" s="1399"/>
      <c r="CK1272" s="1399"/>
      <c r="CL1272" s="1399"/>
      <c r="CM1272" s="1399"/>
      <c r="CN1272" s="1399"/>
      <c r="CO1272" s="1399"/>
      <c r="CP1272" s="1399"/>
      <c r="CQ1272" s="1399"/>
      <c r="CR1272" s="1399"/>
      <c r="CS1272" s="1399"/>
      <c r="CT1272" s="1399"/>
      <c r="CU1272" s="1399"/>
      <c r="CV1272" s="1399"/>
      <c r="CW1272" s="1399"/>
      <c r="CX1272" s="1399"/>
      <c r="CY1272" s="1399"/>
      <c r="CZ1272" s="1399"/>
      <c r="DA1272" s="1399"/>
      <c r="DB1272" s="1399"/>
      <c r="DC1272" s="1399"/>
      <c r="DD1272" s="1399"/>
      <c r="DE1272" s="1399"/>
      <c r="DF1272" s="1399"/>
      <c r="DG1272" s="1399"/>
      <c r="DH1272" s="1399"/>
      <c r="DI1272" s="1399"/>
      <c r="DJ1272" s="1399"/>
      <c r="DK1272" s="1399"/>
      <c r="DL1272" s="1399"/>
      <c r="DM1272" s="1399"/>
      <c r="DN1272" s="1399"/>
      <c r="DO1272" s="1399"/>
      <c r="DP1272" s="1399"/>
      <c r="DQ1272" s="1399"/>
      <c r="DR1272" s="1399"/>
      <c r="DS1272" s="1399"/>
      <c r="DT1272" s="1399"/>
      <c r="DU1272" s="1399"/>
    </row>
    <row r="1273" spans="1:125">
      <c r="A1273" s="1414"/>
      <c r="B1273" s="1414"/>
      <c r="C1273" s="1414"/>
      <c r="D1273" s="1414"/>
      <c r="E1273" s="1414"/>
      <c r="F1273" s="1414"/>
      <c r="G1273" s="1414"/>
      <c r="H1273" s="1414"/>
      <c r="I1273" s="1414"/>
      <c r="J1273" s="1414"/>
      <c r="K1273" s="1414"/>
      <c r="L1273" s="1414"/>
      <c r="M1273" s="1414"/>
      <c r="N1273" s="1414"/>
      <c r="O1273" s="1414"/>
      <c r="P1273" s="1414"/>
      <c r="Q1273" s="1414"/>
      <c r="R1273" s="1414"/>
      <c r="S1273" s="1414"/>
      <c r="T1273" s="1414"/>
      <c r="U1273" s="1414"/>
      <c r="V1273" s="1414"/>
      <c r="W1273" s="1414"/>
      <c r="X1273" s="1414"/>
      <c r="Y1273" s="1414"/>
      <c r="Z1273" s="1414"/>
      <c r="AA1273" s="1414"/>
      <c r="AB1273" s="1414"/>
      <c r="AC1273" s="1414"/>
      <c r="AD1273" s="1414"/>
      <c r="AE1273" s="1414"/>
      <c r="AF1273" s="1414"/>
      <c r="AG1273" s="1414"/>
      <c r="AH1273" s="1414"/>
      <c r="AI1273" s="1414"/>
      <c r="AJ1273" s="1414"/>
      <c r="AK1273" s="1414"/>
      <c r="AL1273" s="1414"/>
      <c r="AM1273" s="1414"/>
      <c r="AN1273" s="1414"/>
      <c r="AO1273" s="1414"/>
      <c r="AP1273" s="1414"/>
      <c r="AQ1273" s="1414"/>
      <c r="AR1273" s="1414"/>
      <c r="AS1273" s="1414"/>
      <c r="AT1273" s="1414"/>
      <c r="AU1273" s="1414"/>
      <c r="AV1273" s="1414"/>
      <c r="AW1273" s="1414"/>
      <c r="AX1273" s="1414"/>
      <c r="AY1273" s="1399"/>
      <c r="AZ1273" s="1399"/>
      <c r="BA1273" s="1399"/>
      <c r="BB1273" s="1399"/>
      <c r="BC1273" s="1399"/>
      <c r="BD1273" s="1399"/>
      <c r="BE1273" s="1414"/>
      <c r="BF1273" s="1399"/>
      <c r="BG1273" s="1399"/>
      <c r="BH1273" s="1399"/>
      <c r="BI1273" s="1399"/>
      <c r="BJ1273" s="1399"/>
      <c r="BK1273" s="1399"/>
      <c r="BL1273" s="1399"/>
      <c r="BM1273" s="1399"/>
      <c r="BN1273" s="1399"/>
      <c r="BO1273" s="1399"/>
      <c r="BP1273" s="1399"/>
      <c r="BQ1273" s="1399"/>
      <c r="BR1273" s="1399"/>
      <c r="BS1273" s="1399"/>
      <c r="BT1273" s="1399"/>
      <c r="BU1273" s="1399"/>
      <c r="BV1273" s="1399"/>
      <c r="BW1273" s="1399"/>
      <c r="BX1273" s="1399"/>
      <c r="BY1273" s="1399"/>
      <c r="BZ1273" s="1399"/>
      <c r="CA1273" s="1399"/>
      <c r="CB1273" s="1399"/>
      <c r="CC1273" s="1399"/>
      <c r="CD1273" s="1399"/>
      <c r="CE1273" s="1399"/>
      <c r="CF1273" s="1399"/>
      <c r="CG1273" s="1399"/>
      <c r="CH1273" s="1399"/>
      <c r="CI1273" s="1399"/>
      <c r="CJ1273" s="1399"/>
      <c r="CK1273" s="1399"/>
      <c r="CL1273" s="1399"/>
      <c r="CM1273" s="1399"/>
      <c r="CN1273" s="1399"/>
      <c r="CO1273" s="1399"/>
      <c r="CP1273" s="1399"/>
      <c r="CQ1273" s="1399"/>
      <c r="CR1273" s="1399"/>
      <c r="CS1273" s="1399"/>
      <c r="CT1273" s="1399"/>
      <c r="CU1273" s="1399"/>
      <c r="CV1273" s="1399"/>
      <c r="CW1273" s="1399"/>
      <c r="CX1273" s="1399"/>
      <c r="CY1273" s="1399"/>
      <c r="CZ1273" s="1399"/>
      <c r="DA1273" s="1399"/>
      <c r="DB1273" s="1399"/>
      <c r="DC1273" s="1399"/>
      <c r="DD1273" s="1399"/>
      <c r="DE1273" s="1399"/>
      <c r="DF1273" s="1399"/>
      <c r="DG1273" s="1399"/>
      <c r="DH1273" s="1399"/>
      <c r="DI1273" s="1399"/>
      <c r="DJ1273" s="1399"/>
      <c r="DK1273" s="1399"/>
      <c r="DL1273" s="1399"/>
      <c r="DM1273" s="1399"/>
      <c r="DN1273" s="1399"/>
      <c r="DO1273" s="1399"/>
      <c r="DP1273" s="1399"/>
      <c r="DQ1273" s="1399"/>
      <c r="DR1273" s="1399"/>
      <c r="DS1273" s="1399"/>
      <c r="DT1273" s="1399"/>
      <c r="DU1273" s="1399"/>
    </row>
    <row r="1274" spans="1:125">
      <c r="A1274" s="1414"/>
      <c r="B1274" s="1414"/>
      <c r="C1274" s="1414"/>
      <c r="D1274" s="1414"/>
      <c r="E1274" s="1414"/>
      <c r="F1274" s="1414"/>
      <c r="G1274" s="1414"/>
      <c r="H1274" s="1414"/>
      <c r="I1274" s="1414"/>
      <c r="J1274" s="1414"/>
      <c r="K1274" s="1414"/>
      <c r="L1274" s="1414"/>
      <c r="M1274" s="1414"/>
      <c r="N1274" s="1414"/>
      <c r="O1274" s="1414"/>
      <c r="P1274" s="1414"/>
      <c r="Q1274" s="1414"/>
      <c r="R1274" s="1414"/>
      <c r="S1274" s="1414"/>
      <c r="T1274" s="1414"/>
      <c r="U1274" s="1414"/>
      <c r="V1274" s="1414"/>
      <c r="W1274" s="1414"/>
      <c r="X1274" s="1414"/>
      <c r="Y1274" s="1414"/>
      <c r="Z1274" s="1414"/>
      <c r="AA1274" s="1414"/>
      <c r="AB1274" s="1414"/>
      <c r="AC1274" s="1414"/>
      <c r="AD1274" s="1414"/>
      <c r="AE1274" s="1414"/>
      <c r="AF1274" s="1414"/>
      <c r="AG1274" s="1414"/>
      <c r="AH1274" s="1414"/>
      <c r="AI1274" s="1414"/>
      <c r="AJ1274" s="1414"/>
      <c r="AK1274" s="1414"/>
      <c r="AL1274" s="1414"/>
      <c r="AM1274" s="1414"/>
      <c r="AN1274" s="1414"/>
      <c r="AO1274" s="1414"/>
      <c r="AP1274" s="1414"/>
      <c r="AQ1274" s="1414"/>
      <c r="AR1274" s="1414"/>
      <c r="AS1274" s="1414"/>
      <c r="AT1274" s="1414"/>
      <c r="AU1274" s="1414"/>
      <c r="AV1274" s="1414"/>
      <c r="AW1274" s="1414"/>
      <c r="AX1274" s="1414"/>
      <c r="AY1274" s="1399"/>
      <c r="AZ1274" s="1399"/>
      <c r="BA1274" s="1399"/>
      <c r="BB1274" s="1399"/>
      <c r="BC1274" s="1399"/>
      <c r="BD1274" s="1399"/>
      <c r="BE1274" s="1414"/>
      <c r="BF1274" s="1399"/>
      <c r="BG1274" s="1399"/>
      <c r="BH1274" s="1399"/>
      <c r="BI1274" s="1399"/>
      <c r="BJ1274" s="1399"/>
      <c r="BK1274" s="1399"/>
      <c r="BL1274" s="1399"/>
      <c r="BM1274" s="1399"/>
      <c r="BN1274" s="1399"/>
      <c r="BO1274" s="1399"/>
      <c r="BP1274" s="1399"/>
      <c r="BQ1274" s="1399"/>
      <c r="BR1274" s="1399"/>
      <c r="BS1274" s="1399"/>
      <c r="BT1274" s="1399"/>
      <c r="BU1274" s="1399"/>
      <c r="BV1274" s="1399"/>
      <c r="BW1274" s="1399"/>
      <c r="BX1274" s="1399"/>
      <c r="BY1274" s="1399"/>
      <c r="BZ1274" s="1399"/>
      <c r="CA1274" s="1399"/>
      <c r="CB1274" s="1399"/>
      <c r="CC1274" s="1399"/>
      <c r="CD1274" s="1399"/>
      <c r="CE1274" s="1399"/>
      <c r="CF1274" s="1399"/>
      <c r="CG1274" s="1399"/>
      <c r="CH1274" s="1399"/>
      <c r="CI1274" s="1399"/>
      <c r="CJ1274" s="1399"/>
      <c r="CK1274" s="1399"/>
      <c r="CL1274" s="1399"/>
      <c r="CM1274" s="1399"/>
      <c r="CN1274" s="1399"/>
      <c r="CO1274" s="1399"/>
      <c r="CP1274" s="1399"/>
      <c r="CQ1274" s="1399"/>
      <c r="CR1274" s="1399"/>
      <c r="CS1274" s="1399"/>
      <c r="CT1274" s="1399"/>
      <c r="CU1274" s="1399"/>
      <c r="CV1274" s="1399"/>
      <c r="CW1274" s="1399"/>
      <c r="CX1274" s="1399"/>
      <c r="CY1274" s="1399"/>
      <c r="CZ1274" s="1399"/>
      <c r="DA1274" s="1399"/>
      <c r="DB1274" s="1399"/>
      <c r="DC1274" s="1399"/>
      <c r="DD1274" s="1399"/>
      <c r="DE1274" s="1399"/>
      <c r="DF1274" s="1399"/>
      <c r="DG1274" s="1399"/>
      <c r="DH1274" s="1399"/>
      <c r="DI1274" s="1399"/>
      <c r="DJ1274" s="1399"/>
      <c r="DK1274" s="1399"/>
      <c r="DL1274" s="1399"/>
      <c r="DM1274" s="1399"/>
      <c r="DN1274" s="1399"/>
      <c r="DO1274" s="1399"/>
      <c r="DP1274" s="1399"/>
      <c r="DQ1274" s="1399"/>
      <c r="DR1274" s="1399"/>
      <c r="DS1274" s="1399"/>
      <c r="DT1274" s="1399"/>
      <c r="DU1274" s="1399"/>
    </row>
    <row r="1275" spans="1:125">
      <c r="A1275" s="1414"/>
      <c r="B1275" s="1414"/>
      <c r="C1275" s="1414"/>
      <c r="D1275" s="1414"/>
      <c r="E1275" s="1414"/>
      <c r="F1275" s="1414"/>
      <c r="G1275" s="1414"/>
      <c r="H1275" s="1414"/>
      <c r="I1275" s="1414"/>
      <c r="J1275" s="1414"/>
      <c r="K1275" s="1414"/>
      <c r="L1275" s="1414"/>
      <c r="M1275" s="1414"/>
      <c r="N1275" s="1414"/>
      <c r="O1275" s="1414"/>
      <c r="P1275" s="1414"/>
      <c r="Q1275" s="1414"/>
      <c r="R1275" s="1414"/>
      <c r="S1275" s="1414"/>
      <c r="T1275" s="1414"/>
      <c r="U1275" s="1414"/>
      <c r="V1275" s="1414"/>
      <c r="W1275" s="1414"/>
      <c r="X1275" s="1414"/>
      <c r="Y1275" s="1414"/>
      <c r="Z1275" s="1414"/>
      <c r="AA1275" s="1414"/>
      <c r="AB1275" s="1414"/>
      <c r="AC1275" s="1414"/>
      <c r="AD1275" s="1414"/>
      <c r="AE1275" s="1414"/>
      <c r="AF1275" s="1414"/>
      <c r="AG1275" s="1414"/>
      <c r="AH1275" s="1414"/>
      <c r="AI1275" s="1414"/>
      <c r="AJ1275" s="1414"/>
      <c r="AK1275" s="1414"/>
      <c r="AL1275" s="1414"/>
      <c r="AM1275" s="1414"/>
      <c r="AN1275" s="1414"/>
      <c r="AO1275" s="1414"/>
      <c r="AP1275" s="1414"/>
      <c r="AQ1275" s="1414"/>
      <c r="AR1275" s="1414"/>
      <c r="AS1275" s="1414"/>
      <c r="AT1275" s="1414"/>
      <c r="AU1275" s="1414"/>
      <c r="AV1275" s="1414"/>
      <c r="AW1275" s="1414"/>
      <c r="AX1275" s="1414"/>
      <c r="AY1275" s="1399"/>
      <c r="AZ1275" s="1399"/>
      <c r="BA1275" s="1399"/>
      <c r="BB1275" s="1399"/>
      <c r="BC1275" s="1399"/>
      <c r="BD1275" s="1399"/>
      <c r="BE1275" s="1414"/>
      <c r="BF1275" s="1399"/>
      <c r="BG1275" s="1399"/>
      <c r="BH1275" s="1399"/>
      <c r="BI1275" s="1399"/>
      <c r="BJ1275" s="1399"/>
      <c r="BK1275" s="1399"/>
      <c r="BL1275" s="1399"/>
      <c r="BM1275" s="1399"/>
      <c r="BN1275" s="1399"/>
      <c r="BO1275" s="1399"/>
      <c r="BP1275" s="1399"/>
      <c r="BQ1275" s="1399"/>
      <c r="BR1275" s="1399"/>
      <c r="BS1275" s="1399"/>
      <c r="BT1275" s="1399"/>
      <c r="BU1275" s="1399"/>
      <c r="BV1275" s="1399"/>
      <c r="BW1275" s="1399"/>
      <c r="BX1275" s="1399"/>
      <c r="BY1275" s="1399"/>
      <c r="BZ1275" s="1399"/>
      <c r="CA1275" s="1399"/>
      <c r="CB1275" s="1399"/>
      <c r="CC1275" s="1399"/>
      <c r="CD1275" s="1399"/>
      <c r="CE1275" s="1399"/>
      <c r="CF1275" s="1399"/>
      <c r="CG1275" s="1399"/>
      <c r="CH1275" s="1399"/>
      <c r="CI1275" s="1399"/>
      <c r="CJ1275" s="1399"/>
      <c r="CK1275" s="1399"/>
      <c r="CL1275" s="1399"/>
      <c r="CM1275" s="1399"/>
      <c r="CN1275" s="1399"/>
      <c r="CO1275" s="1399"/>
      <c r="CP1275" s="1399"/>
      <c r="CQ1275" s="1399"/>
      <c r="CR1275" s="1399"/>
      <c r="CS1275" s="1399"/>
      <c r="CT1275" s="1399"/>
      <c r="CU1275" s="1399"/>
      <c r="CV1275" s="1399"/>
      <c r="CW1275" s="1399"/>
      <c r="CX1275" s="1399"/>
      <c r="CY1275" s="1399"/>
      <c r="CZ1275" s="1399"/>
      <c r="DA1275" s="1399"/>
      <c r="DB1275" s="1399"/>
      <c r="DC1275" s="1399"/>
      <c r="DD1275" s="1399"/>
      <c r="DE1275" s="1399"/>
      <c r="DF1275" s="1399"/>
      <c r="DG1275" s="1399"/>
      <c r="DH1275" s="1399"/>
      <c r="DI1275" s="1399"/>
      <c r="DJ1275" s="1399"/>
      <c r="DK1275" s="1399"/>
      <c r="DL1275" s="1399"/>
      <c r="DM1275" s="1399"/>
      <c r="DN1275" s="1399"/>
      <c r="DO1275" s="1399"/>
      <c r="DP1275" s="1399"/>
      <c r="DQ1275" s="1399"/>
      <c r="DR1275" s="1399"/>
      <c r="DS1275" s="1399"/>
      <c r="DT1275" s="1399"/>
      <c r="DU1275" s="1399"/>
    </row>
    <row r="1276" spans="1:125">
      <c r="A1276" s="1414"/>
      <c r="B1276" s="1414"/>
      <c r="C1276" s="1414"/>
      <c r="D1276" s="1414"/>
      <c r="E1276" s="1414"/>
      <c r="F1276" s="1414"/>
      <c r="G1276" s="1414"/>
      <c r="H1276" s="1414"/>
      <c r="I1276" s="1414"/>
      <c r="J1276" s="1414"/>
      <c r="K1276" s="1414"/>
      <c r="L1276" s="1414"/>
      <c r="M1276" s="1414"/>
      <c r="N1276" s="1414"/>
      <c r="O1276" s="1414"/>
      <c r="P1276" s="1414"/>
      <c r="Q1276" s="1414"/>
      <c r="R1276" s="1414"/>
      <c r="S1276" s="1414"/>
      <c r="T1276" s="1414"/>
      <c r="U1276" s="1414"/>
      <c r="V1276" s="1414"/>
      <c r="W1276" s="1414"/>
      <c r="X1276" s="1414"/>
      <c r="Y1276" s="1414"/>
      <c r="Z1276" s="1414"/>
      <c r="AA1276" s="1414"/>
      <c r="AB1276" s="1414"/>
      <c r="AC1276" s="1414"/>
      <c r="AD1276" s="1414"/>
      <c r="AE1276" s="1414"/>
      <c r="AF1276" s="1414"/>
      <c r="AG1276" s="1414"/>
      <c r="AH1276" s="1414"/>
      <c r="AI1276" s="1414"/>
      <c r="AJ1276" s="1414"/>
      <c r="AK1276" s="1414"/>
      <c r="AL1276" s="1414"/>
      <c r="AM1276" s="1414"/>
      <c r="AN1276" s="1414"/>
      <c r="AO1276" s="1414"/>
      <c r="AP1276" s="1414"/>
      <c r="AQ1276" s="1414"/>
      <c r="AR1276" s="1414"/>
      <c r="AS1276" s="1414"/>
      <c r="AT1276" s="1414"/>
      <c r="AU1276" s="1414"/>
      <c r="AV1276" s="1414"/>
      <c r="AW1276" s="1414"/>
      <c r="AX1276" s="1414"/>
      <c r="AY1276" s="1399"/>
      <c r="AZ1276" s="1399"/>
      <c r="BA1276" s="1399"/>
      <c r="BB1276" s="1399"/>
      <c r="BC1276" s="1399"/>
      <c r="BD1276" s="1399"/>
      <c r="BE1276" s="1414"/>
      <c r="BF1276" s="1399"/>
      <c r="BG1276" s="1399"/>
      <c r="BH1276" s="1399"/>
      <c r="BI1276" s="1399"/>
      <c r="BJ1276" s="1399"/>
      <c r="BK1276" s="1399"/>
      <c r="BL1276" s="1399"/>
      <c r="BM1276" s="1399"/>
      <c r="BN1276" s="1399"/>
      <c r="BO1276" s="1399"/>
      <c r="BP1276" s="1399"/>
      <c r="BQ1276" s="1399"/>
      <c r="BR1276" s="1399"/>
      <c r="BS1276" s="1399"/>
      <c r="BT1276" s="1399"/>
      <c r="BU1276" s="1399"/>
      <c r="BV1276" s="1399"/>
      <c r="BW1276" s="1399"/>
      <c r="BX1276" s="1399"/>
      <c r="BY1276" s="1399"/>
      <c r="BZ1276" s="1399"/>
      <c r="CA1276" s="1399"/>
      <c r="CB1276" s="1399"/>
      <c r="CC1276" s="1399"/>
      <c r="CD1276" s="1399"/>
      <c r="CE1276" s="1399"/>
      <c r="CF1276" s="1399"/>
      <c r="CG1276" s="1399"/>
      <c r="CH1276" s="1399"/>
      <c r="CI1276" s="1399"/>
      <c r="CJ1276" s="1399"/>
      <c r="CK1276" s="1399"/>
      <c r="CL1276" s="1399"/>
      <c r="CM1276" s="1399"/>
      <c r="CN1276" s="1399"/>
      <c r="CO1276" s="1399"/>
      <c r="CP1276" s="1399"/>
      <c r="CQ1276" s="1399"/>
      <c r="CR1276" s="1399"/>
      <c r="CS1276" s="1399"/>
      <c r="CT1276" s="1399"/>
      <c r="CU1276" s="1399"/>
      <c r="CV1276" s="1399"/>
      <c r="CW1276" s="1399"/>
      <c r="CX1276" s="1399"/>
      <c r="CY1276" s="1399"/>
      <c r="CZ1276" s="1399"/>
      <c r="DA1276" s="1399"/>
      <c r="DB1276" s="1399"/>
      <c r="DC1276" s="1399"/>
      <c r="DD1276" s="1399"/>
      <c r="DE1276" s="1399"/>
      <c r="DF1276" s="1399"/>
      <c r="DG1276" s="1399"/>
      <c r="DH1276" s="1399"/>
      <c r="DI1276" s="1399"/>
      <c r="DJ1276" s="1399"/>
      <c r="DK1276" s="1399"/>
      <c r="DL1276" s="1399"/>
      <c r="DM1276" s="1399"/>
      <c r="DN1276" s="1399"/>
      <c r="DO1276" s="1399"/>
      <c r="DP1276" s="1399"/>
      <c r="DQ1276" s="1399"/>
      <c r="DR1276" s="1399"/>
      <c r="DS1276" s="1399"/>
      <c r="DT1276" s="1399"/>
      <c r="DU1276" s="1399"/>
    </row>
    <row r="1277" spans="1:125">
      <c r="A1277" s="1414"/>
      <c r="B1277" s="1414"/>
      <c r="C1277" s="1414"/>
      <c r="D1277" s="1414"/>
      <c r="E1277" s="1414"/>
      <c r="F1277" s="1414"/>
      <c r="G1277" s="1414"/>
      <c r="H1277" s="1414"/>
      <c r="I1277" s="1414"/>
      <c r="J1277" s="1414"/>
      <c r="K1277" s="1414"/>
      <c r="L1277" s="1414"/>
      <c r="M1277" s="1414"/>
      <c r="N1277" s="1414"/>
      <c r="O1277" s="1414"/>
      <c r="P1277" s="1414"/>
      <c r="Q1277" s="1414"/>
      <c r="R1277" s="1414"/>
      <c r="S1277" s="1414"/>
      <c r="T1277" s="1414"/>
      <c r="U1277" s="1414"/>
      <c r="V1277" s="1414"/>
      <c r="W1277" s="1414"/>
      <c r="X1277" s="1414"/>
      <c r="Y1277" s="1414"/>
      <c r="Z1277" s="1414"/>
      <c r="AA1277" s="1414"/>
      <c r="AB1277" s="1414"/>
      <c r="AC1277" s="1414"/>
      <c r="AD1277" s="1414"/>
      <c r="AE1277" s="1414"/>
      <c r="AF1277" s="1414"/>
      <c r="AG1277" s="1414"/>
      <c r="AH1277" s="1414"/>
      <c r="AI1277" s="1414"/>
      <c r="AJ1277" s="1414"/>
      <c r="AK1277" s="1414"/>
      <c r="AL1277" s="1414"/>
      <c r="AM1277" s="1414"/>
      <c r="AN1277" s="1414"/>
      <c r="AO1277" s="1414"/>
      <c r="AP1277" s="1414"/>
      <c r="AQ1277" s="1414"/>
      <c r="AR1277" s="1414"/>
      <c r="AS1277" s="1414"/>
      <c r="AT1277" s="1414"/>
      <c r="AU1277" s="1414"/>
      <c r="AV1277" s="1414"/>
      <c r="AW1277" s="1414"/>
      <c r="AX1277" s="1414"/>
      <c r="AY1277" s="1399"/>
      <c r="AZ1277" s="1399"/>
      <c r="BA1277" s="1399"/>
      <c r="BB1277" s="1399"/>
      <c r="BC1277" s="1399"/>
      <c r="BD1277" s="1399"/>
      <c r="BE1277" s="1414"/>
      <c r="BF1277" s="1399"/>
      <c r="BG1277" s="1399"/>
      <c r="BH1277" s="1399"/>
      <c r="BI1277" s="1399"/>
      <c r="BJ1277" s="1399"/>
      <c r="BK1277" s="1399"/>
      <c r="BL1277" s="1399"/>
      <c r="BM1277" s="1399"/>
      <c r="BN1277" s="1399"/>
      <c r="BO1277" s="1399"/>
      <c r="BP1277" s="1399"/>
      <c r="BQ1277" s="1399"/>
      <c r="BR1277" s="1399"/>
      <c r="BS1277" s="1399"/>
      <c r="BT1277" s="1399"/>
      <c r="BU1277" s="1399"/>
      <c r="BV1277" s="1399"/>
      <c r="BW1277" s="1399"/>
      <c r="BX1277" s="1399"/>
      <c r="BY1277" s="1399"/>
      <c r="BZ1277" s="1399"/>
      <c r="CA1277" s="1399"/>
      <c r="CB1277" s="1399"/>
      <c r="CC1277" s="1399"/>
      <c r="CD1277" s="1399"/>
      <c r="CE1277" s="1399"/>
      <c r="CF1277" s="1399"/>
      <c r="CG1277" s="1399"/>
      <c r="CH1277" s="1399"/>
      <c r="CI1277" s="1399"/>
      <c r="CJ1277" s="1399"/>
      <c r="CK1277" s="1399"/>
      <c r="CL1277" s="1399"/>
      <c r="CM1277" s="1399"/>
      <c r="CN1277" s="1399"/>
      <c r="CO1277" s="1399"/>
      <c r="CP1277" s="1399"/>
      <c r="CQ1277" s="1399"/>
      <c r="CR1277" s="1399"/>
      <c r="CS1277" s="1399"/>
      <c r="CT1277" s="1399"/>
      <c r="CU1277" s="1399"/>
      <c r="CV1277" s="1399"/>
      <c r="CW1277" s="1399"/>
      <c r="CX1277" s="1399"/>
      <c r="CY1277" s="1399"/>
      <c r="CZ1277" s="1399"/>
      <c r="DA1277" s="1399"/>
      <c r="DB1277" s="1399"/>
      <c r="DC1277" s="1399"/>
      <c r="DD1277" s="1399"/>
      <c r="DE1277" s="1399"/>
      <c r="DF1277" s="1399"/>
      <c r="DG1277" s="1399"/>
      <c r="DH1277" s="1399"/>
      <c r="DI1277" s="1399"/>
      <c r="DJ1277" s="1399"/>
      <c r="DK1277" s="1399"/>
      <c r="DL1277" s="1399"/>
      <c r="DM1277" s="1399"/>
      <c r="DN1277" s="1399"/>
      <c r="DO1277" s="1399"/>
      <c r="DP1277" s="1399"/>
      <c r="DQ1277" s="1399"/>
      <c r="DR1277" s="1399"/>
      <c r="DS1277" s="1399"/>
      <c r="DT1277" s="1399"/>
      <c r="DU1277" s="1399"/>
    </row>
    <row r="1278" spans="1:125">
      <c r="A1278" s="1414"/>
      <c r="B1278" s="1414"/>
      <c r="C1278" s="1414"/>
      <c r="D1278" s="1414"/>
      <c r="E1278" s="1414"/>
      <c r="F1278" s="1414"/>
      <c r="G1278" s="1414"/>
      <c r="H1278" s="1414"/>
      <c r="I1278" s="1414"/>
      <c r="J1278" s="1414"/>
      <c r="K1278" s="1414"/>
      <c r="L1278" s="1414"/>
      <c r="M1278" s="1414"/>
      <c r="N1278" s="1414"/>
      <c r="O1278" s="1414"/>
      <c r="P1278" s="1414"/>
      <c r="Q1278" s="1414"/>
      <c r="R1278" s="1414"/>
      <c r="S1278" s="1414"/>
      <c r="T1278" s="1414"/>
      <c r="U1278" s="1414"/>
      <c r="V1278" s="1414"/>
      <c r="W1278" s="1414"/>
      <c r="X1278" s="1414"/>
      <c r="Y1278" s="1414"/>
      <c r="Z1278" s="1414"/>
      <c r="AA1278" s="1414"/>
      <c r="AB1278" s="1414"/>
      <c r="AC1278" s="1414"/>
      <c r="AD1278" s="1414"/>
      <c r="AE1278" s="1414"/>
      <c r="AF1278" s="1414"/>
      <c r="AG1278" s="1414"/>
      <c r="AH1278" s="1414"/>
      <c r="AI1278" s="1414"/>
      <c r="AJ1278" s="1414"/>
      <c r="AK1278" s="1414"/>
      <c r="AL1278" s="1414"/>
      <c r="AM1278" s="1414"/>
      <c r="AN1278" s="1414"/>
      <c r="AO1278" s="1414"/>
      <c r="AP1278" s="1414"/>
      <c r="AQ1278" s="1414"/>
      <c r="AR1278" s="1414"/>
      <c r="AS1278" s="1414"/>
      <c r="AT1278" s="1414"/>
      <c r="AU1278" s="1414"/>
      <c r="AV1278" s="1414"/>
      <c r="AW1278" s="1414"/>
      <c r="AX1278" s="1414"/>
      <c r="AY1278" s="1399"/>
      <c r="AZ1278" s="1399"/>
      <c r="BA1278" s="1399"/>
      <c r="BB1278" s="1399"/>
      <c r="BC1278" s="1399"/>
      <c r="BD1278" s="1399"/>
      <c r="BE1278" s="1414"/>
      <c r="BF1278" s="1399"/>
      <c r="BG1278" s="1399"/>
      <c r="BH1278" s="1399"/>
      <c r="BI1278" s="1399"/>
      <c r="BJ1278" s="1399"/>
      <c r="BK1278" s="1399"/>
      <c r="BL1278" s="1399"/>
      <c r="BM1278" s="1399"/>
      <c r="BN1278" s="1399"/>
      <c r="BO1278" s="1399"/>
      <c r="BP1278" s="1399"/>
      <c r="BQ1278" s="1399"/>
      <c r="BR1278" s="1399"/>
      <c r="BS1278" s="1399"/>
      <c r="BT1278" s="1399"/>
      <c r="BU1278" s="1399"/>
      <c r="BV1278" s="1399"/>
      <c r="BW1278" s="1399"/>
      <c r="BX1278" s="1399"/>
      <c r="BY1278" s="1399"/>
      <c r="BZ1278" s="1399"/>
      <c r="CA1278" s="1399"/>
      <c r="CB1278" s="1399"/>
      <c r="CC1278" s="1399"/>
      <c r="CD1278" s="1399"/>
      <c r="CE1278" s="1399"/>
      <c r="CF1278" s="1399"/>
      <c r="CG1278" s="1399"/>
      <c r="CH1278" s="1399"/>
      <c r="CI1278" s="1399"/>
      <c r="CJ1278" s="1399"/>
      <c r="CK1278" s="1399"/>
      <c r="CL1278" s="1399"/>
      <c r="CM1278" s="1399"/>
      <c r="CN1278" s="1399"/>
      <c r="CO1278" s="1399"/>
      <c r="CP1278" s="1399"/>
      <c r="CQ1278" s="1399"/>
      <c r="CR1278" s="1399"/>
      <c r="CS1278" s="1399"/>
      <c r="CT1278" s="1399"/>
      <c r="CU1278" s="1399"/>
      <c r="CV1278" s="1399"/>
      <c r="CW1278" s="1399"/>
      <c r="CX1278" s="1399"/>
      <c r="CY1278" s="1399"/>
      <c r="CZ1278" s="1399"/>
      <c r="DA1278" s="1399"/>
      <c r="DB1278" s="1399"/>
      <c r="DC1278" s="1399"/>
      <c r="DD1278" s="1399"/>
      <c r="DE1278" s="1399"/>
      <c r="DF1278" s="1399"/>
      <c r="DG1278" s="1399"/>
      <c r="DH1278" s="1399"/>
      <c r="DI1278" s="1399"/>
      <c r="DJ1278" s="1399"/>
      <c r="DK1278" s="1399"/>
      <c r="DL1278" s="1399"/>
      <c r="DM1278" s="1399"/>
      <c r="DN1278" s="1399"/>
      <c r="DO1278" s="1399"/>
      <c r="DP1278" s="1399"/>
      <c r="DQ1278" s="1399"/>
      <c r="DR1278" s="1399"/>
      <c r="DS1278" s="1399"/>
      <c r="DT1278" s="1399"/>
      <c r="DU1278" s="1399"/>
    </row>
    <row r="1279" spans="1:125">
      <c r="A1279" s="1414"/>
      <c r="B1279" s="1414"/>
      <c r="C1279" s="1414"/>
      <c r="D1279" s="1414"/>
      <c r="E1279" s="1414"/>
      <c r="F1279" s="1414"/>
      <c r="G1279" s="1414"/>
      <c r="H1279" s="1414"/>
      <c r="I1279" s="1414"/>
      <c r="J1279" s="1414"/>
      <c r="K1279" s="1414"/>
      <c r="L1279" s="1414"/>
      <c r="M1279" s="1414"/>
      <c r="N1279" s="1414"/>
      <c r="O1279" s="1414"/>
      <c r="P1279" s="1414"/>
      <c r="Q1279" s="1414"/>
      <c r="R1279" s="1414"/>
      <c r="S1279" s="1414"/>
      <c r="T1279" s="1414"/>
      <c r="U1279" s="1414"/>
      <c r="V1279" s="1414"/>
      <c r="W1279" s="1414"/>
      <c r="X1279" s="1414"/>
      <c r="Y1279" s="1414"/>
      <c r="Z1279" s="1414"/>
      <c r="AA1279" s="1414"/>
      <c r="AB1279" s="1414"/>
      <c r="AC1279" s="1414"/>
      <c r="AD1279" s="1414"/>
      <c r="AE1279" s="1414"/>
      <c r="AF1279" s="1414"/>
      <c r="AG1279" s="1414"/>
      <c r="AH1279" s="1414"/>
      <c r="AI1279" s="1414"/>
      <c r="AJ1279" s="1414"/>
      <c r="AK1279" s="1414"/>
      <c r="AL1279" s="1414"/>
      <c r="AM1279" s="1414"/>
      <c r="AN1279" s="1414"/>
      <c r="AO1279" s="1414"/>
      <c r="AP1279" s="1414"/>
      <c r="AQ1279" s="1414"/>
      <c r="AR1279" s="1414"/>
      <c r="AS1279" s="1414"/>
      <c r="AT1279" s="1414"/>
      <c r="AU1279" s="1414"/>
      <c r="AV1279" s="1414"/>
      <c r="AW1279" s="1414"/>
      <c r="AX1279" s="1414"/>
      <c r="AY1279" s="1399"/>
      <c r="AZ1279" s="1399"/>
      <c r="BA1279" s="1399"/>
      <c r="BB1279" s="1399"/>
      <c r="BC1279" s="1399"/>
      <c r="BD1279" s="1399"/>
      <c r="BE1279" s="1414"/>
      <c r="BF1279" s="1399"/>
      <c r="BG1279" s="1399"/>
      <c r="BH1279" s="1399"/>
      <c r="BI1279" s="1399"/>
      <c r="BJ1279" s="1399"/>
      <c r="BK1279" s="1399"/>
      <c r="BL1279" s="1399"/>
      <c r="BM1279" s="1399"/>
      <c r="BN1279" s="1399"/>
      <c r="BO1279" s="1399"/>
      <c r="BP1279" s="1399"/>
      <c r="BQ1279" s="1399"/>
      <c r="BR1279" s="1399"/>
      <c r="BS1279" s="1399"/>
      <c r="BT1279" s="1399"/>
      <c r="BU1279" s="1399"/>
      <c r="BV1279" s="1399"/>
      <c r="BW1279" s="1399"/>
      <c r="BX1279" s="1399"/>
      <c r="BY1279" s="1399"/>
      <c r="BZ1279" s="1399"/>
      <c r="CA1279" s="1399"/>
      <c r="CB1279" s="1399"/>
      <c r="CC1279" s="1399"/>
      <c r="CD1279" s="1399"/>
      <c r="CE1279" s="1399"/>
      <c r="CF1279" s="1399"/>
      <c r="CG1279" s="1399"/>
      <c r="CH1279" s="1399"/>
      <c r="CI1279" s="1399"/>
      <c r="CJ1279" s="1399"/>
      <c r="CK1279" s="1399"/>
      <c r="CL1279" s="1399"/>
      <c r="CM1279" s="1399"/>
      <c r="CN1279" s="1399"/>
      <c r="CO1279" s="1399"/>
      <c r="CP1279" s="1399"/>
      <c r="CQ1279" s="1399"/>
      <c r="CR1279" s="1399"/>
      <c r="CS1279" s="1399"/>
      <c r="CT1279" s="1399"/>
      <c r="CU1279" s="1399"/>
      <c r="CV1279" s="1399"/>
      <c r="CW1279" s="1399"/>
      <c r="CX1279" s="1399"/>
      <c r="CY1279" s="1399"/>
      <c r="CZ1279" s="1399"/>
      <c r="DA1279" s="1399"/>
      <c r="DB1279" s="1399"/>
      <c r="DC1279" s="1399"/>
      <c r="DD1279" s="1399"/>
      <c r="DE1279" s="1399"/>
      <c r="DF1279" s="1399"/>
      <c r="DG1279" s="1399"/>
      <c r="DH1279" s="1399"/>
      <c r="DI1279" s="1399"/>
      <c r="DJ1279" s="1399"/>
      <c r="DK1279" s="1399"/>
      <c r="DL1279" s="1399"/>
      <c r="DM1279" s="1399"/>
      <c r="DN1279" s="1399"/>
      <c r="DO1279" s="1399"/>
      <c r="DP1279" s="1399"/>
      <c r="DQ1279" s="1399"/>
      <c r="DR1279" s="1399"/>
      <c r="DS1279" s="1399"/>
      <c r="DT1279" s="1399"/>
      <c r="DU1279" s="1399"/>
    </row>
    <row r="1280" spans="1:125">
      <c r="A1280" s="1414"/>
      <c r="B1280" s="1414"/>
      <c r="C1280" s="1414"/>
      <c r="D1280" s="1414"/>
      <c r="E1280" s="1414"/>
      <c r="F1280" s="1414"/>
      <c r="G1280" s="1414"/>
      <c r="H1280" s="1414"/>
      <c r="I1280" s="1414"/>
      <c r="J1280" s="1414"/>
      <c r="K1280" s="1414"/>
      <c r="L1280" s="1414"/>
      <c r="M1280" s="1414"/>
      <c r="N1280" s="1414"/>
      <c r="O1280" s="1414"/>
      <c r="P1280" s="1414"/>
      <c r="Q1280" s="1414"/>
      <c r="R1280" s="1414"/>
      <c r="S1280" s="1414"/>
      <c r="T1280" s="1414"/>
      <c r="U1280" s="1414"/>
      <c r="V1280" s="1414"/>
      <c r="W1280" s="1414"/>
      <c r="X1280" s="1414"/>
      <c r="Y1280" s="1414"/>
      <c r="Z1280" s="1414"/>
      <c r="AA1280" s="1414"/>
      <c r="AB1280" s="1414"/>
      <c r="AC1280" s="1414"/>
      <c r="AD1280" s="1414"/>
      <c r="AE1280" s="1414"/>
      <c r="AF1280" s="1414"/>
      <c r="AG1280" s="1414"/>
      <c r="AH1280" s="1414"/>
      <c r="AI1280" s="1414"/>
      <c r="AJ1280" s="1414"/>
      <c r="AK1280" s="1414"/>
      <c r="AL1280" s="1414"/>
      <c r="AM1280" s="1414"/>
      <c r="AN1280" s="1414"/>
      <c r="AO1280" s="1414"/>
      <c r="AP1280" s="1414"/>
      <c r="AQ1280" s="1414"/>
      <c r="AR1280" s="1414"/>
      <c r="AS1280" s="1414"/>
      <c r="AT1280" s="1414"/>
      <c r="AU1280" s="1414"/>
      <c r="AV1280" s="1414"/>
      <c r="AW1280" s="1414"/>
      <c r="AX1280" s="1414"/>
      <c r="AY1280" s="1399"/>
      <c r="AZ1280" s="1399"/>
      <c r="BA1280" s="1399"/>
      <c r="BB1280" s="1399"/>
      <c r="BC1280" s="1399"/>
      <c r="BD1280" s="1399"/>
      <c r="BE1280" s="1414"/>
      <c r="BF1280" s="1399"/>
      <c r="BG1280" s="1399"/>
      <c r="BH1280" s="1399"/>
      <c r="BI1280" s="1399"/>
      <c r="BJ1280" s="1399"/>
      <c r="BK1280" s="1399"/>
      <c r="BL1280" s="1399"/>
      <c r="BM1280" s="1399"/>
      <c r="BN1280" s="1399"/>
      <c r="BO1280" s="1399"/>
      <c r="BP1280" s="1399"/>
      <c r="BQ1280" s="1399"/>
      <c r="BR1280" s="1399"/>
      <c r="BS1280" s="1399"/>
      <c r="BT1280" s="1399"/>
      <c r="BU1280" s="1399"/>
      <c r="BV1280" s="1399"/>
      <c r="BW1280" s="1399"/>
      <c r="BX1280" s="1399"/>
      <c r="BY1280" s="1399"/>
      <c r="BZ1280" s="1399"/>
      <c r="CA1280" s="1399"/>
      <c r="CB1280" s="1399"/>
      <c r="CC1280" s="1399"/>
      <c r="CD1280" s="1399"/>
      <c r="CE1280" s="1399"/>
      <c r="CF1280" s="1399"/>
      <c r="CG1280" s="1399"/>
      <c r="CH1280" s="1399"/>
      <c r="CI1280" s="1399"/>
      <c r="CJ1280" s="1399"/>
      <c r="CK1280" s="1399"/>
      <c r="CL1280" s="1399"/>
      <c r="CM1280" s="1399"/>
      <c r="CN1280" s="1399"/>
      <c r="CO1280" s="1399"/>
      <c r="CP1280" s="1399"/>
      <c r="CQ1280" s="1399"/>
      <c r="CR1280" s="1399"/>
      <c r="CS1280" s="1399"/>
      <c r="CT1280" s="1399"/>
      <c r="CU1280" s="1399"/>
      <c r="CV1280" s="1399"/>
      <c r="CW1280" s="1399"/>
      <c r="CX1280" s="1399"/>
      <c r="CY1280" s="1399"/>
      <c r="CZ1280" s="1399"/>
      <c r="DA1280" s="1399"/>
      <c r="DB1280" s="1399"/>
      <c r="DC1280" s="1399"/>
      <c r="DD1280" s="1399"/>
      <c r="DE1280" s="1399"/>
      <c r="DF1280" s="1399"/>
      <c r="DG1280" s="1399"/>
      <c r="DH1280" s="1399"/>
      <c r="DI1280" s="1399"/>
      <c r="DJ1280" s="1399"/>
      <c r="DK1280" s="1399"/>
      <c r="DL1280" s="1399"/>
      <c r="DM1280" s="1399"/>
      <c r="DN1280" s="1399"/>
      <c r="DO1280" s="1399"/>
      <c r="DP1280" s="1399"/>
      <c r="DQ1280" s="1399"/>
      <c r="DR1280" s="1399"/>
      <c r="DS1280" s="1399"/>
      <c r="DT1280" s="1399"/>
      <c r="DU1280" s="1399"/>
    </row>
    <row r="1281" spans="1:125">
      <c r="A1281" s="1414"/>
      <c r="B1281" s="1414"/>
      <c r="C1281" s="1414"/>
      <c r="D1281" s="1414"/>
      <c r="E1281" s="1414"/>
      <c r="F1281" s="1414"/>
      <c r="G1281" s="1414"/>
      <c r="H1281" s="1414"/>
      <c r="I1281" s="1414"/>
      <c r="J1281" s="1414"/>
      <c r="K1281" s="1414"/>
      <c r="L1281" s="1414"/>
      <c r="M1281" s="1414"/>
      <c r="N1281" s="1414"/>
      <c r="O1281" s="1414"/>
      <c r="P1281" s="1414"/>
      <c r="Q1281" s="1414"/>
      <c r="R1281" s="1414"/>
      <c r="S1281" s="1414"/>
      <c r="T1281" s="1414"/>
      <c r="U1281" s="1414"/>
      <c r="V1281" s="1414"/>
      <c r="W1281" s="1414"/>
      <c r="X1281" s="1414"/>
      <c r="Y1281" s="1414"/>
      <c r="Z1281" s="1414"/>
      <c r="AA1281" s="1414"/>
      <c r="AB1281" s="1414"/>
      <c r="AC1281" s="1414"/>
      <c r="AD1281" s="1414"/>
      <c r="AE1281" s="1414"/>
      <c r="AF1281" s="1414"/>
      <c r="AG1281" s="1414"/>
      <c r="AH1281" s="1414"/>
      <c r="AI1281" s="1414"/>
      <c r="AJ1281" s="1414"/>
      <c r="AK1281" s="1414"/>
      <c r="AL1281" s="1414"/>
      <c r="AM1281" s="1414"/>
      <c r="AN1281" s="1414"/>
      <c r="AO1281" s="1414"/>
      <c r="AP1281" s="1414"/>
      <c r="AQ1281" s="1414"/>
      <c r="AR1281" s="1414"/>
      <c r="AS1281" s="1414"/>
      <c r="AT1281" s="1414"/>
      <c r="AU1281" s="1414"/>
      <c r="AV1281" s="1414"/>
      <c r="AW1281" s="1414"/>
      <c r="AX1281" s="1414"/>
      <c r="AY1281" s="1399"/>
      <c r="AZ1281" s="1399"/>
      <c r="BA1281" s="1399"/>
      <c r="BB1281" s="1399"/>
      <c r="BC1281" s="1399"/>
      <c r="BD1281" s="1399"/>
      <c r="BE1281" s="1414"/>
      <c r="BF1281" s="1399"/>
      <c r="BG1281" s="1399"/>
      <c r="BH1281" s="1399"/>
      <c r="BI1281" s="1399"/>
      <c r="BJ1281" s="1399"/>
      <c r="BK1281" s="1399"/>
      <c r="BL1281" s="1399"/>
      <c r="BM1281" s="1399"/>
      <c r="BN1281" s="1399"/>
      <c r="BO1281" s="1399"/>
      <c r="BP1281" s="1399"/>
      <c r="BQ1281" s="1399"/>
      <c r="BR1281" s="1399"/>
      <c r="BS1281" s="1399"/>
      <c r="BT1281" s="1399"/>
      <c r="BU1281" s="1399"/>
      <c r="BV1281" s="1399"/>
      <c r="BW1281" s="1399"/>
      <c r="BX1281" s="1399"/>
      <c r="BY1281" s="1399"/>
      <c r="BZ1281" s="1399"/>
      <c r="CA1281" s="1399"/>
      <c r="CB1281" s="1399"/>
      <c r="CC1281" s="1399"/>
      <c r="CD1281" s="1399"/>
      <c r="CE1281" s="1399"/>
      <c r="CF1281" s="1399"/>
      <c r="CG1281" s="1399"/>
      <c r="CH1281" s="1399"/>
      <c r="CI1281" s="1399"/>
      <c r="CJ1281" s="1399"/>
      <c r="CK1281" s="1399"/>
      <c r="CL1281" s="1399"/>
      <c r="CM1281" s="1399"/>
      <c r="CN1281" s="1399"/>
      <c r="CO1281" s="1399"/>
      <c r="CP1281" s="1399"/>
      <c r="CQ1281" s="1399"/>
      <c r="CR1281" s="1399"/>
      <c r="CS1281" s="1399"/>
      <c r="CT1281" s="1399"/>
      <c r="CU1281" s="1399"/>
      <c r="CV1281" s="1399"/>
      <c r="CW1281" s="1399"/>
      <c r="CX1281" s="1399"/>
      <c r="CY1281" s="1399"/>
      <c r="CZ1281" s="1399"/>
      <c r="DA1281" s="1399"/>
      <c r="DB1281" s="1399"/>
      <c r="DC1281" s="1399"/>
      <c r="DD1281" s="1399"/>
      <c r="DE1281" s="1399"/>
      <c r="DF1281" s="1399"/>
      <c r="DG1281" s="1399"/>
      <c r="DH1281" s="1399"/>
      <c r="DI1281" s="1399"/>
      <c r="DJ1281" s="1399"/>
      <c r="DK1281" s="1399"/>
      <c r="DL1281" s="1399"/>
      <c r="DM1281" s="1399"/>
      <c r="DN1281" s="1399"/>
      <c r="DO1281" s="1399"/>
      <c r="DP1281" s="1399"/>
      <c r="DQ1281" s="1399"/>
      <c r="DR1281" s="1399"/>
      <c r="DS1281" s="1399"/>
      <c r="DT1281" s="1399"/>
      <c r="DU1281" s="1399"/>
    </row>
    <row r="1282" spans="1:125">
      <c r="A1282" s="1414"/>
      <c r="B1282" s="1414"/>
      <c r="C1282" s="1414"/>
      <c r="D1282" s="1414"/>
      <c r="E1282" s="1414"/>
      <c r="F1282" s="1414"/>
      <c r="G1282" s="1414"/>
      <c r="H1282" s="1414"/>
      <c r="I1282" s="1414"/>
      <c r="J1282" s="1414"/>
      <c r="K1282" s="1414"/>
      <c r="L1282" s="1414"/>
      <c r="M1282" s="1414"/>
      <c r="N1282" s="1414"/>
      <c r="O1282" s="1414"/>
      <c r="P1282" s="1414"/>
      <c r="Q1282" s="1414"/>
      <c r="R1282" s="1414"/>
      <c r="S1282" s="1414"/>
      <c r="T1282" s="1414"/>
      <c r="U1282" s="1414"/>
      <c r="V1282" s="1414"/>
      <c r="W1282" s="1414"/>
      <c r="X1282" s="1414"/>
      <c r="Y1282" s="1414"/>
      <c r="Z1282" s="1414"/>
      <c r="AA1282" s="1414"/>
      <c r="AB1282" s="1414"/>
      <c r="AC1282" s="1414"/>
      <c r="AD1282" s="1414"/>
      <c r="AE1282" s="1414"/>
      <c r="AF1282" s="1414"/>
      <c r="AG1282" s="1414"/>
      <c r="AH1282" s="1414"/>
      <c r="AI1282" s="1414"/>
      <c r="AJ1282" s="1414"/>
      <c r="AK1282" s="1414"/>
      <c r="AL1282" s="1414"/>
      <c r="AM1282" s="1414"/>
      <c r="AN1282" s="1414"/>
      <c r="AO1282" s="1414"/>
      <c r="AP1282" s="1414"/>
      <c r="AQ1282" s="1414"/>
      <c r="AR1282" s="1414"/>
      <c r="AS1282" s="1414"/>
      <c r="AT1282" s="1414"/>
      <c r="AU1282" s="1414"/>
      <c r="AV1282" s="1414"/>
      <c r="AW1282" s="1414"/>
      <c r="AX1282" s="1414"/>
      <c r="AY1282" s="1399"/>
      <c r="AZ1282" s="1399"/>
      <c r="BA1282" s="1399"/>
      <c r="BB1282" s="1399"/>
      <c r="BC1282" s="1399"/>
      <c r="BD1282" s="1399"/>
      <c r="BE1282" s="1414"/>
      <c r="BF1282" s="1399"/>
      <c r="BG1282" s="1399"/>
      <c r="BH1282" s="1399"/>
      <c r="BI1282" s="1399"/>
      <c r="BJ1282" s="1399"/>
      <c r="BK1282" s="1399"/>
      <c r="BL1282" s="1399"/>
      <c r="BM1282" s="1399"/>
      <c r="BN1282" s="1399"/>
      <c r="BO1282" s="1399"/>
      <c r="BP1282" s="1399"/>
      <c r="BQ1282" s="1399"/>
      <c r="BR1282" s="1399"/>
      <c r="BS1282" s="1399"/>
      <c r="BT1282" s="1399"/>
      <c r="BU1282" s="1399"/>
      <c r="BV1282" s="1399"/>
      <c r="BW1282" s="1399"/>
      <c r="BX1282" s="1399"/>
      <c r="BY1282" s="1399"/>
      <c r="BZ1282" s="1399"/>
      <c r="CA1282" s="1399"/>
      <c r="CB1282" s="1399"/>
      <c r="CC1282" s="1399"/>
      <c r="CD1282" s="1399"/>
      <c r="CE1282" s="1399"/>
      <c r="CF1282" s="1399"/>
      <c r="CG1282" s="1399"/>
      <c r="CH1282" s="1399"/>
      <c r="CI1282" s="1399"/>
      <c r="CJ1282" s="1399"/>
      <c r="CK1282" s="1399"/>
      <c r="CL1282" s="1399"/>
      <c r="CM1282" s="1399"/>
      <c r="CN1282" s="1399"/>
      <c r="CO1282" s="1399"/>
      <c r="CP1282" s="1399"/>
      <c r="CQ1282" s="1399"/>
      <c r="CR1282" s="1399"/>
      <c r="CS1282" s="1399"/>
      <c r="CT1282" s="1399"/>
      <c r="CU1282" s="1399"/>
      <c r="CV1282" s="1399"/>
      <c r="CW1282" s="1399"/>
      <c r="CX1282" s="1399"/>
      <c r="CY1282" s="1399"/>
      <c r="CZ1282" s="1399"/>
      <c r="DA1282" s="1399"/>
      <c r="DB1282" s="1399"/>
      <c r="DC1282" s="1399"/>
      <c r="DD1282" s="1399"/>
      <c r="DE1282" s="1399"/>
      <c r="DF1282" s="1399"/>
      <c r="DG1282" s="1399"/>
      <c r="DH1282" s="1399"/>
      <c r="DI1282" s="1399"/>
      <c r="DJ1282" s="1399"/>
      <c r="DK1282" s="1399"/>
      <c r="DL1282" s="1399"/>
      <c r="DM1282" s="1399"/>
      <c r="DN1282" s="1399"/>
      <c r="DO1282" s="1399"/>
      <c r="DP1282" s="1399"/>
      <c r="DQ1282" s="1399"/>
      <c r="DR1282" s="1399"/>
      <c r="DS1282" s="1399"/>
      <c r="DT1282" s="1399"/>
      <c r="DU1282" s="1399"/>
    </row>
    <row r="1283" spans="1:125">
      <c r="A1283" s="1414"/>
      <c r="B1283" s="1414"/>
      <c r="C1283" s="1414"/>
      <c r="D1283" s="1414"/>
      <c r="E1283" s="1414"/>
      <c r="F1283" s="1414"/>
      <c r="G1283" s="1414"/>
      <c r="H1283" s="1414"/>
      <c r="I1283" s="1414"/>
      <c r="J1283" s="1414"/>
      <c r="K1283" s="1414"/>
      <c r="L1283" s="1414"/>
      <c r="M1283" s="1414"/>
      <c r="N1283" s="1414"/>
      <c r="O1283" s="1414"/>
      <c r="P1283" s="1414"/>
      <c r="Q1283" s="1414"/>
      <c r="R1283" s="1414"/>
      <c r="S1283" s="1414"/>
      <c r="T1283" s="1414"/>
      <c r="U1283" s="1414"/>
      <c r="V1283" s="1414"/>
      <c r="W1283" s="1414"/>
      <c r="X1283" s="1414"/>
      <c r="Y1283" s="1414"/>
      <c r="Z1283" s="1414"/>
      <c r="AA1283" s="1414"/>
      <c r="AB1283" s="1414"/>
      <c r="AC1283" s="1414"/>
      <c r="AD1283" s="1414"/>
      <c r="AE1283" s="1414"/>
      <c r="AF1283" s="1414"/>
      <c r="AG1283" s="1414"/>
      <c r="AH1283" s="1414"/>
      <c r="AI1283" s="1414"/>
      <c r="AJ1283" s="1414"/>
      <c r="AK1283" s="1414"/>
      <c r="AL1283" s="1414"/>
      <c r="AM1283" s="1414"/>
      <c r="AN1283" s="1414"/>
      <c r="AO1283" s="1414"/>
      <c r="AP1283" s="1414"/>
      <c r="AQ1283" s="1414"/>
      <c r="AR1283" s="1414"/>
      <c r="AS1283" s="1414"/>
      <c r="AT1283" s="1414"/>
      <c r="AU1283" s="1414"/>
      <c r="AV1283" s="1414"/>
      <c r="AW1283" s="1414"/>
      <c r="AX1283" s="1414"/>
      <c r="AY1283" s="1399"/>
      <c r="AZ1283" s="1399"/>
      <c r="BA1283" s="1399"/>
      <c r="BB1283" s="1399"/>
      <c r="BC1283" s="1399"/>
      <c r="BD1283" s="1399"/>
      <c r="BE1283" s="1414"/>
      <c r="BF1283" s="1399"/>
      <c r="BG1283" s="1399"/>
      <c r="BH1283" s="1399"/>
      <c r="BI1283" s="1399"/>
      <c r="BJ1283" s="1399"/>
      <c r="BK1283" s="1399"/>
      <c r="BL1283" s="1399"/>
      <c r="BM1283" s="1399"/>
      <c r="BN1283" s="1399"/>
      <c r="BO1283" s="1399"/>
      <c r="BP1283" s="1399"/>
      <c r="BQ1283" s="1399"/>
      <c r="BR1283" s="1399"/>
      <c r="BS1283" s="1399"/>
      <c r="BT1283" s="1399"/>
      <c r="BU1283" s="1399"/>
      <c r="BV1283" s="1399"/>
      <c r="BW1283" s="1399"/>
      <c r="BX1283" s="1399"/>
      <c r="BY1283" s="1399"/>
      <c r="BZ1283" s="1399"/>
      <c r="CA1283" s="1399"/>
      <c r="CB1283" s="1399"/>
      <c r="CC1283" s="1399"/>
      <c r="CD1283" s="1399"/>
      <c r="CE1283" s="1399"/>
      <c r="CF1283" s="1399"/>
      <c r="CG1283" s="1399"/>
      <c r="CH1283" s="1399"/>
      <c r="CI1283" s="1399"/>
      <c r="CJ1283" s="1399"/>
      <c r="CK1283" s="1399"/>
      <c r="CL1283" s="1399"/>
      <c r="CM1283" s="1399"/>
      <c r="CN1283" s="1399"/>
      <c r="CO1283" s="1399"/>
      <c r="CP1283" s="1399"/>
      <c r="CQ1283" s="1399"/>
      <c r="CR1283" s="1399"/>
      <c r="CS1283" s="1399"/>
      <c r="CT1283" s="1399"/>
      <c r="CU1283" s="1399"/>
      <c r="CV1283" s="1399"/>
      <c r="CW1283" s="1399"/>
      <c r="CX1283" s="1399"/>
      <c r="CY1283" s="1399"/>
      <c r="CZ1283" s="1399"/>
      <c r="DA1283" s="1399"/>
      <c r="DB1283" s="1399"/>
      <c r="DC1283" s="1399"/>
      <c r="DD1283" s="1399"/>
      <c r="DE1283" s="1399"/>
      <c r="DF1283" s="1399"/>
      <c r="DG1283" s="1399"/>
      <c r="DH1283" s="1399"/>
      <c r="DI1283" s="1399"/>
      <c r="DJ1283" s="1399"/>
      <c r="DK1283" s="1399"/>
      <c r="DL1283" s="1399"/>
      <c r="DM1283" s="1399"/>
      <c r="DN1283" s="1399"/>
      <c r="DO1283" s="1399"/>
      <c r="DP1283" s="1399"/>
      <c r="DQ1283" s="1399"/>
      <c r="DR1283" s="1399"/>
      <c r="DS1283" s="1399"/>
      <c r="DT1283" s="1399"/>
      <c r="DU1283" s="1399"/>
    </row>
    <row r="1284" spans="1:125">
      <c r="A1284" s="1414"/>
      <c r="B1284" s="1414"/>
      <c r="C1284" s="1414"/>
      <c r="D1284" s="1414"/>
      <c r="E1284" s="1414"/>
      <c r="F1284" s="1414"/>
      <c r="G1284" s="1414"/>
      <c r="H1284" s="1414"/>
      <c r="I1284" s="1414"/>
      <c r="J1284" s="1414"/>
      <c r="K1284" s="1414"/>
      <c r="L1284" s="1414"/>
      <c r="M1284" s="1414"/>
      <c r="N1284" s="1414"/>
      <c r="O1284" s="1414"/>
      <c r="P1284" s="1414"/>
      <c r="Q1284" s="1414"/>
      <c r="R1284" s="1414"/>
      <c r="S1284" s="1414"/>
      <c r="T1284" s="1414"/>
      <c r="U1284" s="1414"/>
      <c r="V1284" s="1414"/>
      <c r="W1284" s="1414"/>
      <c r="X1284" s="1414"/>
      <c r="Y1284" s="1414"/>
      <c r="Z1284" s="1414"/>
      <c r="AA1284" s="1414"/>
      <c r="AB1284" s="1414"/>
      <c r="AC1284" s="1414"/>
      <c r="AD1284" s="1414"/>
      <c r="AE1284" s="1414"/>
      <c r="AF1284" s="1414"/>
      <c r="AG1284" s="1414"/>
      <c r="AH1284" s="1414"/>
      <c r="AI1284" s="1414"/>
      <c r="AJ1284" s="1414"/>
      <c r="AK1284" s="1414"/>
      <c r="AL1284" s="1414"/>
      <c r="AM1284" s="1414"/>
      <c r="AN1284" s="1414"/>
      <c r="AO1284" s="1414"/>
      <c r="AP1284" s="1414"/>
      <c r="AQ1284" s="1414"/>
      <c r="AR1284" s="1414"/>
      <c r="AS1284" s="1414"/>
      <c r="AT1284" s="1414"/>
      <c r="AU1284" s="1414"/>
      <c r="AV1284" s="1414"/>
      <c r="AW1284" s="1414"/>
      <c r="AX1284" s="1414"/>
      <c r="AY1284" s="1399"/>
      <c r="AZ1284" s="1399"/>
      <c r="BA1284" s="1399"/>
      <c r="BB1284" s="1399"/>
      <c r="BC1284" s="1399"/>
      <c r="BD1284" s="1399"/>
      <c r="BE1284" s="1414"/>
      <c r="BF1284" s="1399"/>
      <c r="BG1284" s="1399"/>
      <c r="BH1284" s="1399"/>
      <c r="BI1284" s="1399"/>
      <c r="BJ1284" s="1399"/>
      <c r="BK1284" s="1399"/>
      <c r="BL1284" s="1399"/>
      <c r="BM1284" s="1399"/>
      <c r="BN1284" s="1399"/>
      <c r="BO1284" s="1399"/>
      <c r="BP1284" s="1399"/>
      <c r="BQ1284" s="1399"/>
      <c r="BR1284" s="1399"/>
      <c r="BS1284" s="1399"/>
      <c r="BT1284" s="1399"/>
      <c r="BU1284" s="1399"/>
      <c r="BV1284" s="1399"/>
      <c r="BW1284" s="1399"/>
      <c r="BX1284" s="1399"/>
      <c r="BY1284" s="1399"/>
      <c r="BZ1284" s="1399"/>
      <c r="CA1284" s="1399"/>
      <c r="CB1284" s="1399"/>
      <c r="CC1284" s="1399"/>
      <c r="CD1284" s="1399"/>
      <c r="CE1284" s="1399"/>
      <c r="CF1284" s="1399"/>
      <c r="CG1284" s="1399"/>
      <c r="CH1284" s="1399"/>
      <c r="CI1284" s="1399"/>
      <c r="CJ1284" s="1399"/>
      <c r="CK1284" s="1399"/>
      <c r="CL1284" s="1399"/>
      <c r="CM1284" s="1399"/>
      <c r="CN1284" s="1399"/>
      <c r="CO1284" s="1399"/>
      <c r="CP1284" s="1399"/>
      <c r="CQ1284" s="1399"/>
      <c r="CR1284" s="1399"/>
      <c r="CS1284" s="1399"/>
      <c r="CT1284" s="1399"/>
      <c r="CU1284" s="1399"/>
      <c r="CV1284" s="1399"/>
      <c r="CW1284" s="1399"/>
      <c r="CX1284" s="1399"/>
      <c r="CY1284" s="1399"/>
      <c r="CZ1284" s="1399"/>
      <c r="DA1284" s="1399"/>
      <c r="DB1284" s="1399"/>
      <c r="DC1284" s="1399"/>
      <c r="DD1284" s="1399"/>
      <c r="DE1284" s="1399"/>
      <c r="DF1284" s="1399"/>
      <c r="DG1284" s="1399"/>
      <c r="DH1284" s="1399"/>
      <c r="DI1284" s="1399"/>
      <c r="DJ1284" s="1399"/>
      <c r="DK1284" s="1399"/>
      <c r="DL1284" s="1399"/>
      <c r="DM1284" s="1399"/>
      <c r="DN1284" s="1399"/>
      <c r="DO1284" s="1399"/>
      <c r="DP1284" s="1399"/>
      <c r="DQ1284" s="1399"/>
      <c r="DR1284" s="1399"/>
      <c r="DS1284" s="1399"/>
      <c r="DT1284" s="1399"/>
      <c r="DU1284" s="1399"/>
    </row>
    <row r="1285" spans="1:125">
      <c r="A1285" s="1414"/>
      <c r="B1285" s="1414"/>
      <c r="C1285" s="1414"/>
      <c r="D1285" s="1414"/>
      <c r="E1285" s="1414"/>
      <c r="F1285" s="1414"/>
      <c r="G1285" s="1414"/>
      <c r="H1285" s="1414"/>
      <c r="I1285" s="1414"/>
      <c r="J1285" s="1414"/>
      <c r="K1285" s="1414"/>
      <c r="L1285" s="1414"/>
      <c r="M1285" s="1414"/>
      <c r="N1285" s="1414"/>
      <c r="O1285" s="1414"/>
      <c r="P1285" s="1414"/>
      <c r="Q1285" s="1414"/>
      <c r="R1285" s="1414"/>
      <c r="S1285" s="1414"/>
      <c r="T1285" s="1414"/>
      <c r="U1285" s="1414"/>
      <c r="V1285" s="1414"/>
      <c r="W1285" s="1414"/>
      <c r="X1285" s="1414"/>
      <c r="Y1285" s="1414"/>
      <c r="Z1285" s="1414"/>
      <c r="AA1285" s="1414"/>
      <c r="AB1285" s="1414"/>
      <c r="AC1285" s="1414"/>
      <c r="AD1285" s="1414"/>
      <c r="AE1285" s="1414"/>
      <c r="AF1285" s="1414"/>
      <c r="AG1285" s="1414"/>
      <c r="AH1285" s="1414"/>
      <c r="AI1285" s="1414"/>
      <c r="AJ1285" s="1414"/>
      <c r="AK1285" s="1414"/>
      <c r="AL1285" s="1414"/>
      <c r="AM1285" s="1414"/>
      <c r="AN1285" s="1414"/>
      <c r="AO1285" s="1414"/>
      <c r="AP1285" s="1414"/>
      <c r="AQ1285" s="1414"/>
      <c r="AR1285" s="1414"/>
      <c r="AS1285" s="1414"/>
      <c r="AT1285" s="1414"/>
      <c r="AU1285" s="1414"/>
      <c r="AV1285" s="1414"/>
      <c r="AW1285" s="1414"/>
      <c r="AX1285" s="1414"/>
      <c r="AY1285" s="1399"/>
      <c r="AZ1285" s="1399"/>
      <c r="BA1285" s="1399"/>
      <c r="BB1285" s="1399"/>
      <c r="BC1285" s="1399"/>
      <c r="BD1285" s="1399"/>
      <c r="BE1285" s="1414"/>
      <c r="BF1285" s="1399"/>
      <c r="BG1285" s="1399"/>
      <c r="BH1285" s="1399"/>
      <c r="BI1285" s="1399"/>
      <c r="BJ1285" s="1399"/>
      <c r="BK1285" s="1399"/>
      <c r="BL1285" s="1399"/>
      <c r="BM1285" s="1399"/>
      <c r="BN1285" s="1399"/>
      <c r="BO1285" s="1399"/>
      <c r="BP1285" s="1399"/>
      <c r="BQ1285" s="1399"/>
      <c r="BR1285" s="1399"/>
      <c r="BS1285" s="1399"/>
      <c r="BT1285" s="1399"/>
      <c r="BU1285" s="1399"/>
      <c r="BV1285" s="1399"/>
      <c r="BW1285" s="1399"/>
      <c r="BX1285" s="1399"/>
      <c r="BY1285" s="1399"/>
      <c r="BZ1285" s="1399"/>
      <c r="CA1285" s="1399"/>
      <c r="CB1285" s="1399"/>
      <c r="CC1285" s="1399"/>
      <c r="CD1285" s="1399"/>
      <c r="CE1285" s="1399"/>
      <c r="CF1285" s="1399"/>
      <c r="CG1285" s="1399"/>
      <c r="CH1285" s="1399"/>
      <c r="CI1285" s="1399"/>
      <c r="CJ1285" s="1399"/>
      <c r="CK1285" s="1399"/>
      <c r="CL1285" s="1399"/>
      <c r="CM1285" s="1399"/>
      <c r="CN1285" s="1399"/>
      <c r="CO1285" s="1399"/>
      <c r="CP1285" s="1399"/>
      <c r="CQ1285" s="1399"/>
      <c r="CR1285" s="1399"/>
      <c r="CS1285" s="1399"/>
      <c r="CT1285" s="1399"/>
      <c r="CU1285" s="1399"/>
      <c r="CV1285" s="1399"/>
      <c r="CW1285" s="1399"/>
      <c r="CX1285" s="1399"/>
      <c r="CY1285" s="1399"/>
      <c r="CZ1285" s="1399"/>
      <c r="DA1285" s="1399"/>
      <c r="DB1285" s="1399"/>
      <c r="DC1285" s="1399"/>
      <c r="DD1285" s="1399"/>
      <c r="DE1285" s="1399"/>
      <c r="DF1285" s="1399"/>
      <c r="DG1285" s="1399"/>
      <c r="DH1285" s="1399"/>
      <c r="DI1285" s="1399"/>
      <c r="DJ1285" s="1399"/>
      <c r="DK1285" s="1399"/>
      <c r="DL1285" s="1399"/>
      <c r="DM1285" s="1399"/>
      <c r="DN1285" s="1399"/>
      <c r="DO1285" s="1399"/>
      <c r="DP1285" s="1399"/>
      <c r="DQ1285" s="1399"/>
      <c r="DR1285" s="1399"/>
      <c r="DS1285" s="1399"/>
      <c r="DT1285" s="1399"/>
      <c r="DU1285" s="1399"/>
    </row>
    <row r="1286" spans="1:125">
      <c r="A1286" s="1414"/>
      <c r="B1286" s="1414"/>
      <c r="C1286" s="1414"/>
      <c r="D1286" s="1414"/>
      <c r="E1286" s="1414"/>
      <c r="F1286" s="1414"/>
      <c r="G1286" s="1414"/>
      <c r="H1286" s="1414"/>
      <c r="I1286" s="1414"/>
      <c r="J1286" s="1414"/>
      <c r="K1286" s="1414"/>
      <c r="L1286" s="1414"/>
      <c r="M1286" s="1414"/>
      <c r="N1286" s="1414"/>
      <c r="O1286" s="1414"/>
      <c r="P1286" s="1414"/>
      <c r="Q1286" s="1414"/>
      <c r="R1286" s="1414"/>
      <c r="S1286" s="1414"/>
      <c r="T1286" s="1414"/>
      <c r="U1286" s="1414"/>
      <c r="V1286" s="1414"/>
      <c r="W1286" s="1414"/>
      <c r="X1286" s="1414"/>
      <c r="Y1286" s="1414"/>
      <c r="Z1286" s="1414"/>
      <c r="AA1286" s="1414"/>
      <c r="AB1286" s="1414"/>
      <c r="AC1286" s="1414"/>
      <c r="AD1286" s="1414"/>
      <c r="AE1286" s="1414"/>
      <c r="AF1286" s="1414"/>
      <c r="AG1286" s="1414"/>
      <c r="AH1286" s="1414"/>
      <c r="AI1286" s="1414"/>
      <c r="AJ1286" s="1414"/>
      <c r="AK1286" s="1414"/>
      <c r="AL1286" s="1414"/>
      <c r="AM1286" s="1414"/>
      <c r="AN1286" s="1414"/>
      <c r="AO1286" s="1414"/>
      <c r="AP1286" s="1414"/>
      <c r="AQ1286" s="1414"/>
      <c r="AR1286" s="1414"/>
      <c r="AS1286" s="1414"/>
      <c r="AT1286" s="1414"/>
      <c r="AU1286" s="1414"/>
      <c r="AV1286" s="1414"/>
      <c r="AW1286" s="1414"/>
      <c r="AX1286" s="1414"/>
      <c r="AY1286" s="1399"/>
      <c r="AZ1286" s="1399"/>
      <c r="BA1286" s="1399"/>
      <c r="BB1286" s="1399"/>
      <c r="BC1286" s="1399"/>
      <c r="BD1286" s="1399"/>
      <c r="BE1286" s="1414"/>
      <c r="BF1286" s="1399"/>
      <c r="BG1286" s="1399"/>
      <c r="BH1286" s="1399"/>
      <c r="BI1286" s="1399"/>
      <c r="BJ1286" s="1399"/>
      <c r="BK1286" s="1399"/>
      <c r="BL1286" s="1399"/>
      <c r="BM1286" s="1399"/>
      <c r="BN1286" s="1399"/>
      <c r="BO1286" s="1399"/>
      <c r="BP1286" s="1399"/>
      <c r="BQ1286" s="1399"/>
      <c r="BR1286" s="1399"/>
      <c r="BS1286" s="1399"/>
      <c r="BT1286" s="1399"/>
      <c r="BU1286" s="1399"/>
      <c r="BV1286" s="1399"/>
      <c r="BW1286" s="1399"/>
      <c r="BX1286" s="1399"/>
      <c r="BY1286" s="1399"/>
      <c r="BZ1286" s="1399"/>
      <c r="CA1286" s="1399"/>
      <c r="CB1286" s="1399"/>
      <c r="CC1286" s="1399"/>
      <c r="CD1286" s="1399"/>
      <c r="CE1286" s="1399"/>
      <c r="CF1286" s="1399"/>
      <c r="CG1286" s="1399"/>
      <c r="CH1286" s="1399"/>
      <c r="CI1286" s="1399"/>
      <c r="CJ1286" s="1399"/>
      <c r="CK1286" s="1399"/>
      <c r="CL1286" s="1399"/>
      <c r="CM1286" s="1399"/>
      <c r="CN1286" s="1399"/>
      <c r="CO1286" s="1399"/>
      <c r="CP1286" s="1399"/>
      <c r="CQ1286" s="1399"/>
      <c r="CR1286" s="1399"/>
      <c r="CS1286" s="1399"/>
      <c r="CT1286" s="1399"/>
      <c r="CU1286" s="1399"/>
      <c r="CV1286" s="1399"/>
      <c r="CW1286" s="1399"/>
      <c r="CX1286" s="1399"/>
      <c r="CY1286" s="1399"/>
      <c r="CZ1286" s="1399"/>
      <c r="DA1286" s="1399"/>
      <c r="DB1286" s="1399"/>
      <c r="DC1286" s="1399"/>
      <c r="DD1286" s="1399"/>
      <c r="DE1286" s="1399"/>
      <c r="DF1286" s="1399"/>
      <c r="DG1286" s="1399"/>
      <c r="DH1286" s="1399"/>
      <c r="DI1286" s="1399"/>
      <c r="DJ1286" s="1399"/>
      <c r="DK1286" s="1399"/>
      <c r="DL1286" s="1399"/>
      <c r="DM1286" s="1399"/>
      <c r="DN1286" s="1399"/>
      <c r="DO1286" s="1399"/>
      <c r="DP1286" s="1399"/>
      <c r="DQ1286" s="1399"/>
      <c r="DR1286" s="1399"/>
      <c r="DS1286" s="1399"/>
      <c r="DT1286" s="1399"/>
      <c r="DU1286" s="1399"/>
    </row>
    <row r="1287" spans="1:125">
      <c r="A1287" s="1414"/>
      <c r="B1287" s="1414"/>
      <c r="C1287" s="1414"/>
      <c r="D1287" s="1414"/>
      <c r="E1287" s="1414"/>
      <c r="F1287" s="1414"/>
      <c r="G1287" s="1414"/>
      <c r="H1287" s="1414"/>
      <c r="I1287" s="1414"/>
      <c r="J1287" s="1414"/>
      <c r="K1287" s="1414"/>
      <c r="L1287" s="1414"/>
      <c r="M1287" s="1414"/>
      <c r="N1287" s="1414"/>
      <c r="O1287" s="1414"/>
      <c r="P1287" s="1414"/>
      <c r="Q1287" s="1414"/>
      <c r="R1287" s="1414"/>
      <c r="S1287" s="1414"/>
      <c r="T1287" s="1414"/>
      <c r="U1287" s="1414"/>
      <c r="V1287" s="1414"/>
      <c r="W1287" s="1414"/>
      <c r="X1287" s="1414"/>
      <c r="Y1287" s="1414"/>
      <c r="Z1287" s="1414"/>
      <c r="AA1287" s="1414"/>
      <c r="AB1287" s="1414"/>
      <c r="AC1287" s="1414"/>
      <c r="AD1287" s="1414"/>
      <c r="AE1287" s="1414"/>
      <c r="AF1287" s="1414"/>
      <c r="AG1287" s="1414"/>
      <c r="AH1287" s="1414"/>
      <c r="AI1287" s="1414"/>
      <c r="AJ1287" s="1414"/>
      <c r="AK1287" s="1414"/>
      <c r="AL1287" s="1414"/>
      <c r="AM1287" s="1414"/>
      <c r="AN1287" s="1414"/>
      <c r="AO1287" s="1414"/>
      <c r="AP1287" s="1414"/>
      <c r="AQ1287" s="1414"/>
      <c r="AR1287" s="1414"/>
      <c r="AS1287" s="1414"/>
      <c r="AT1287" s="1414"/>
      <c r="AU1287" s="1414"/>
      <c r="AV1287" s="1414"/>
      <c r="AW1287" s="1414"/>
      <c r="AX1287" s="1414"/>
      <c r="AY1287" s="1399"/>
      <c r="AZ1287" s="1399"/>
      <c r="BA1287" s="1399"/>
      <c r="BB1287" s="1399"/>
      <c r="BC1287" s="1399"/>
      <c r="BD1287" s="1399"/>
      <c r="BE1287" s="1414"/>
      <c r="BF1287" s="1399"/>
      <c r="BG1287" s="1399"/>
      <c r="BH1287" s="1399"/>
      <c r="BI1287" s="1399"/>
      <c r="BJ1287" s="1399"/>
      <c r="BK1287" s="1399"/>
      <c r="BL1287" s="1399"/>
      <c r="BM1287" s="1399"/>
      <c r="BN1287" s="1399"/>
      <c r="BO1287" s="1399"/>
      <c r="BP1287" s="1399"/>
      <c r="BQ1287" s="1399"/>
      <c r="BR1287" s="1399"/>
      <c r="BS1287" s="1399"/>
      <c r="BT1287" s="1399"/>
      <c r="BU1287" s="1399"/>
      <c r="BV1287" s="1399"/>
      <c r="BW1287" s="1399"/>
      <c r="BX1287" s="1399"/>
      <c r="BY1287" s="1399"/>
      <c r="BZ1287" s="1399"/>
      <c r="CA1287" s="1399"/>
      <c r="CB1287" s="1399"/>
      <c r="CC1287" s="1399"/>
      <c r="CD1287" s="1399"/>
      <c r="CE1287" s="1399"/>
      <c r="CF1287" s="1399"/>
      <c r="CG1287" s="1399"/>
      <c r="CH1287" s="1399"/>
      <c r="CI1287" s="1399"/>
      <c r="CJ1287" s="1399"/>
      <c r="CK1287" s="1399"/>
      <c r="CL1287" s="1399"/>
      <c r="CM1287" s="1399"/>
      <c r="CN1287" s="1399"/>
      <c r="CO1287" s="1399"/>
      <c r="CP1287" s="1399"/>
      <c r="CQ1287" s="1399"/>
      <c r="CR1287" s="1399"/>
      <c r="CS1287" s="1399"/>
      <c r="CT1287" s="1399"/>
      <c r="CU1287" s="1399"/>
      <c r="CV1287" s="1399"/>
      <c r="CW1287" s="1399"/>
      <c r="CX1287" s="1399"/>
      <c r="CY1287" s="1399"/>
      <c r="CZ1287" s="1399"/>
      <c r="DA1287" s="1399"/>
      <c r="DB1287" s="1399"/>
      <c r="DC1287" s="1399"/>
      <c r="DD1287" s="1399"/>
      <c r="DE1287" s="1399"/>
      <c r="DF1287" s="1399"/>
      <c r="DG1287" s="1399"/>
      <c r="DH1287" s="1399"/>
      <c r="DI1287" s="1399"/>
      <c r="DJ1287" s="1399"/>
      <c r="DK1287" s="1399"/>
      <c r="DL1287" s="1399"/>
      <c r="DM1287" s="1399"/>
      <c r="DN1287" s="1399"/>
      <c r="DO1287" s="1399"/>
      <c r="DP1287" s="1399"/>
      <c r="DQ1287" s="1399"/>
      <c r="DR1287" s="1399"/>
      <c r="DS1287" s="1399"/>
      <c r="DT1287" s="1399"/>
      <c r="DU1287" s="1399"/>
    </row>
    <row r="1288" spans="1:125">
      <c r="A1288" s="1414"/>
      <c r="B1288" s="1414"/>
      <c r="C1288" s="1414"/>
      <c r="D1288" s="1414"/>
      <c r="E1288" s="1414"/>
      <c r="F1288" s="1414"/>
      <c r="G1288" s="1414"/>
      <c r="H1288" s="1414"/>
      <c r="I1288" s="1414"/>
      <c r="J1288" s="1414"/>
      <c r="K1288" s="1414"/>
      <c r="L1288" s="1414"/>
      <c r="M1288" s="1414"/>
      <c r="N1288" s="1414"/>
      <c r="O1288" s="1414"/>
      <c r="P1288" s="1414"/>
      <c r="Q1288" s="1414"/>
      <c r="R1288" s="1414"/>
      <c r="S1288" s="1414"/>
      <c r="T1288" s="1414"/>
      <c r="U1288" s="1414"/>
      <c r="V1288" s="1414"/>
      <c r="W1288" s="1414"/>
      <c r="X1288" s="1414"/>
      <c r="Y1288" s="1414"/>
      <c r="Z1288" s="1414"/>
      <c r="AA1288" s="1414"/>
      <c r="AB1288" s="1414"/>
      <c r="AC1288" s="1414"/>
      <c r="AD1288" s="1414"/>
      <c r="AE1288" s="1414"/>
      <c r="AF1288" s="1414"/>
      <c r="AG1288" s="1414"/>
      <c r="AH1288" s="1414"/>
      <c r="AI1288" s="1414"/>
      <c r="AJ1288" s="1414"/>
      <c r="AK1288" s="1414"/>
      <c r="AL1288" s="1414"/>
      <c r="AM1288" s="1414"/>
      <c r="AN1288" s="1414"/>
      <c r="AO1288" s="1414"/>
      <c r="AP1288" s="1414"/>
      <c r="AQ1288" s="1414"/>
      <c r="AR1288" s="1414"/>
      <c r="AS1288" s="1414"/>
      <c r="AT1288" s="1414"/>
      <c r="AU1288" s="1414"/>
      <c r="AV1288" s="1414"/>
      <c r="AW1288" s="1414"/>
      <c r="AX1288" s="1414"/>
      <c r="AY1288" s="1399"/>
      <c r="AZ1288" s="1399"/>
      <c r="BA1288" s="1399"/>
      <c r="BB1288" s="1399"/>
      <c r="BC1288" s="1399"/>
      <c r="BD1288" s="1399"/>
      <c r="BE1288" s="1414"/>
      <c r="BF1288" s="1399"/>
      <c r="BG1288" s="1399"/>
      <c r="BH1288" s="1399"/>
      <c r="BI1288" s="1399"/>
      <c r="BJ1288" s="1399"/>
      <c r="BK1288" s="1399"/>
      <c r="BL1288" s="1399"/>
      <c r="BM1288" s="1399"/>
      <c r="BN1288" s="1399"/>
      <c r="BO1288" s="1399"/>
      <c r="BP1288" s="1399"/>
      <c r="BQ1288" s="1399"/>
      <c r="BR1288" s="1399"/>
      <c r="BS1288" s="1399"/>
      <c r="BT1288" s="1399"/>
      <c r="BU1288" s="1399"/>
      <c r="BV1288" s="1399"/>
      <c r="BW1288" s="1399"/>
      <c r="BX1288" s="1399"/>
      <c r="BY1288" s="1399"/>
      <c r="BZ1288" s="1399"/>
      <c r="CA1288" s="1399"/>
      <c r="CB1288" s="1399"/>
      <c r="CC1288" s="1399"/>
      <c r="CD1288" s="1399"/>
      <c r="CE1288" s="1399"/>
      <c r="CF1288" s="1399"/>
      <c r="CG1288" s="1399"/>
      <c r="CH1288" s="1399"/>
      <c r="CI1288" s="1399"/>
      <c r="CJ1288" s="1399"/>
      <c r="CK1288" s="1399"/>
      <c r="CL1288" s="1399"/>
      <c r="CM1288" s="1399"/>
      <c r="CN1288" s="1399"/>
      <c r="CO1288" s="1399"/>
      <c r="CP1288" s="1399"/>
      <c r="CQ1288" s="1399"/>
      <c r="CR1288" s="1399"/>
      <c r="CS1288" s="1399"/>
      <c r="CT1288" s="1399"/>
      <c r="CU1288" s="1399"/>
      <c r="CV1288" s="1399"/>
      <c r="CW1288" s="1399"/>
      <c r="CX1288" s="1399"/>
      <c r="CY1288" s="1399"/>
      <c r="CZ1288" s="1399"/>
      <c r="DA1288" s="1399"/>
      <c r="DB1288" s="1399"/>
      <c r="DC1288" s="1399"/>
      <c r="DD1288" s="1399"/>
      <c r="DE1288" s="1399"/>
      <c r="DF1288" s="1399"/>
      <c r="DG1288" s="1399"/>
      <c r="DH1288" s="1399"/>
      <c r="DI1288" s="1399"/>
      <c r="DJ1288" s="1399"/>
      <c r="DK1288" s="1399"/>
      <c r="DL1288" s="1399"/>
      <c r="DM1288" s="1399"/>
      <c r="DN1288" s="1399"/>
      <c r="DO1288" s="1399"/>
      <c r="DP1288" s="1399"/>
      <c r="DQ1288" s="1399"/>
      <c r="DR1288" s="1399"/>
      <c r="DS1288" s="1399"/>
      <c r="DT1288" s="1399"/>
      <c r="DU1288" s="1399"/>
    </row>
    <row r="1289" spans="1:125">
      <c r="A1289" s="1414"/>
      <c r="B1289" s="1414"/>
      <c r="C1289" s="1414"/>
      <c r="D1289" s="1414"/>
      <c r="E1289" s="1414"/>
      <c r="F1289" s="1414"/>
      <c r="G1289" s="1414"/>
      <c r="H1289" s="1414"/>
      <c r="I1289" s="1414"/>
      <c r="J1289" s="1414"/>
      <c r="K1289" s="1414"/>
      <c r="L1289" s="1414"/>
      <c r="M1289" s="1414"/>
      <c r="N1289" s="1414"/>
      <c r="O1289" s="1414"/>
      <c r="P1289" s="1414"/>
      <c r="Q1289" s="1414"/>
      <c r="R1289" s="1414"/>
      <c r="S1289" s="1414"/>
      <c r="T1289" s="1414"/>
      <c r="U1289" s="1414"/>
      <c r="V1289" s="1414"/>
      <c r="W1289" s="1414"/>
      <c r="X1289" s="1414"/>
      <c r="Y1289" s="1414"/>
      <c r="Z1289" s="1414"/>
      <c r="AA1289" s="1414"/>
      <c r="AB1289" s="1414"/>
      <c r="AC1289" s="1414"/>
      <c r="AD1289" s="1414"/>
      <c r="AE1289" s="1414"/>
      <c r="AF1289" s="1414"/>
      <c r="AG1289" s="1414"/>
      <c r="AH1289" s="1414"/>
      <c r="AI1289" s="1414"/>
      <c r="AJ1289" s="1414"/>
      <c r="AK1289" s="1414"/>
      <c r="AL1289" s="1414"/>
      <c r="AM1289" s="1414"/>
      <c r="AN1289" s="1414"/>
      <c r="AO1289" s="1414"/>
      <c r="AP1289" s="1414"/>
      <c r="AQ1289" s="1414"/>
      <c r="AR1289" s="1414"/>
      <c r="AS1289" s="1414"/>
      <c r="AT1289" s="1414"/>
      <c r="AU1289" s="1414"/>
      <c r="AV1289" s="1414"/>
      <c r="AW1289" s="1414"/>
      <c r="AX1289" s="1414"/>
      <c r="AY1289" s="1399"/>
      <c r="AZ1289" s="1399"/>
      <c r="BA1289" s="1399"/>
      <c r="BB1289" s="1399"/>
      <c r="BC1289" s="1399"/>
      <c r="BD1289" s="1399"/>
      <c r="BE1289" s="1414"/>
      <c r="BF1289" s="1399"/>
      <c r="BG1289" s="1399"/>
      <c r="BH1289" s="1399"/>
      <c r="BI1289" s="1399"/>
      <c r="BJ1289" s="1399"/>
      <c r="BK1289" s="1399"/>
      <c r="BL1289" s="1399"/>
      <c r="BM1289" s="1399"/>
      <c r="BN1289" s="1399"/>
      <c r="BO1289" s="1399"/>
      <c r="BP1289" s="1399"/>
      <c r="BQ1289" s="1399"/>
      <c r="BR1289" s="1399"/>
      <c r="BS1289" s="1399"/>
      <c r="BT1289" s="1399"/>
      <c r="BU1289" s="1399"/>
      <c r="BV1289" s="1399"/>
      <c r="BW1289" s="1399"/>
      <c r="BX1289" s="1399"/>
      <c r="BY1289" s="1399"/>
      <c r="BZ1289" s="1399"/>
      <c r="CA1289" s="1399"/>
      <c r="CB1289" s="1399"/>
      <c r="CC1289" s="1399"/>
      <c r="CD1289" s="1399"/>
      <c r="CE1289" s="1399"/>
      <c r="CF1289" s="1399"/>
      <c r="CG1289" s="1399"/>
      <c r="CH1289" s="1399"/>
      <c r="CI1289" s="1399"/>
      <c r="CJ1289" s="1399"/>
      <c r="CK1289" s="1399"/>
      <c r="CL1289" s="1399"/>
      <c r="CM1289" s="1399"/>
      <c r="CN1289" s="1399"/>
      <c r="CO1289" s="1399"/>
      <c r="CP1289" s="1399"/>
      <c r="CQ1289" s="1399"/>
      <c r="CR1289" s="1399"/>
      <c r="CS1289" s="1399"/>
      <c r="CT1289" s="1399"/>
      <c r="CU1289" s="1399"/>
      <c r="CV1289" s="1399"/>
      <c r="CW1289" s="1399"/>
      <c r="CX1289" s="1399"/>
      <c r="CY1289" s="1399"/>
      <c r="CZ1289" s="1399"/>
      <c r="DA1289" s="1399"/>
      <c r="DB1289" s="1399"/>
      <c r="DC1289" s="1399"/>
      <c r="DD1289" s="1399"/>
      <c r="DE1289" s="1399"/>
      <c r="DF1289" s="1399"/>
      <c r="DG1289" s="1399"/>
      <c r="DH1289" s="1399"/>
      <c r="DI1289" s="1399"/>
      <c r="DJ1289" s="1399"/>
      <c r="DK1289" s="1399"/>
      <c r="DL1289" s="1399"/>
      <c r="DM1289" s="1399"/>
      <c r="DN1289" s="1399"/>
      <c r="DO1289" s="1399"/>
      <c r="DP1289" s="1399"/>
      <c r="DQ1289" s="1399"/>
      <c r="DR1289" s="1399"/>
      <c r="DS1289" s="1399"/>
      <c r="DT1289" s="1399"/>
      <c r="DU1289" s="1399"/>
    </row>
    <row r="1290" spans="1:125">
      <c r="A1290" s="1414"/>
      <c r="B1290" s="1414"/>
      <c r="C1290" s="1414"/>
      <c r="D1290" s="1414"/>
      <c r="E1290" s="1414"/>
      <c r="F1290" s="1414"/>
      <c r="G1290" s="1414"/>
      <c r="H1290" s="1414"/>
      <c r="I1290" s="1414"/>
      <c r="J1290" s="1414"/>
      <c r="K1290" s="1414"/>
      <c r="L1290" s="1414"/>
      <c r="M1290" s="1414"/>
      <c r="N1290" s="1414"/>
      <c r="O1290" s="1414"/>
      <c r="P1290" s="1414"/>
      <c r="Q1290" s="1414"/>
      <c r="R1290" s="1414"/>
      <c r="S1290" s="1414"/>
      <c r="T1290" s="1414"/>
      <c r="U1290" s="1414"/>
      <c r="V1290" s="1414"/>
      <c r="W1290" s="1414"/>
      <c r="X1290" s="1414"/>
      <c r="Y1290" s="1414"/>
      <c r="Z1290" s="1414"/>
      <c r="AA1290" s="1414"/>
      <c r="AB1290" s="1414"/>
      <c r="AC1290" s="1414"/>
      <c r="AD1290" s="1414"/>
      <c r="AE1290" s="1414"/>
      <c r="AF1290" s="1414"/>
      <c r="AG1290" s="1414"/>
      <c r="AH1290" s="1414"/>
      <c r="AI1290" s="1414"/>
      <c r="AJ1290" s="1414"/>
      <c r="AK1290" s="1414"/>
      <c r="AL1290" s="1414"/>
      <c r="AM1290" s="1414"/>
      <c r="AN1290" s="1414"/>
      <c r="AO1290" s="1414"/>
      <c r="AP1290" s="1414"/>
      <c r="AQ1290" s="1414"/>
      <c r="AR1290" s="1414"/>
      <c r="AS1290" s="1414"/>
      <c r="AT1290" s="1414"/>
      <c r="AU1290" s="1414"/>
      <c r="AV1290" s="1414"/>
      <c r="AW1290" s="1414"/>
      <c r="AX1290" s="1414"/>
      <c r="AY1290" s="1399"/>
      <c r="AZ1290" s="1399"/>
      <c r="BA1290" s="1399"/>
      <c r="BB1290" s="1399"/>
      <c r="BC1290" s="1399"/>
      <c r="BD1290" s="1399"/>
      <c r="BE1290" s="1414"/>
      <c r="BF1290" s="1399"/>
      <c r="BG1290" s="1399"/>
      <c r="BH1290" s="1399"/>
      <c r="BI1290" s="1399"/>
      <c r="BJ1290" s="1399"/>
      <c r="BK1290" s="1399"/>
      <c r="BL1290" s="1399"/>
      <c r="BM1290" s="1399"/>
      <c r="BN1290" s="1399"/>
      <c r="BO1290" s="1399"/>
      <c r="BP1290" s="1399"/>
      <c r="BQ1290" s="1399"/>
      <c r="BR1290" s="1399"/>
      <c r="BS1290" s="1399"/>
      <c r="BT1290" s="1399"/>
      <c r="BU1290" s="1399"/>
      <c r="BV1290" s="1399"/>
      <c r="BW1290" s="1399"/>
      <c r="BX1290" s="1399"/>
      <c r="BY1290" s="1399"/>
      <c r="BZ1290" s="1399"/>
      <c r="CA1290" s="1399"/>
      <c r="CB1290" s="1399"/>
      <c r="CC1290" s="1399"/>
      <c r="CD1290" s="1399"/>
      <c r="CE1290" s="1399"/>
      <c r="CF1290" s="1399"/>
      <c r="CG1290" s="1399"/>
      <c r="CH1290" s="1399"/>
      <c r="CI1290" s="1399"/>
      <c r="CJ1290" s="1399"/>
      <c r="CK1290" s="1399"/>
      <c r="CL1290" s="1399"/>
      <c r="CM1290" s="1399"/>
      <c r="CN1290" s="1399"/>
      <c r="CO1290" s="1399"/>
      <c r="CP1290" s="1399"/>
      <c r="CQ1290" s="1399"/>
      <c r="CR1290" s="1399"/>
      <c r="CS1290" s="1399"/>
      <c r="CT1290" s="1399"/>
      <c r="CU1290" s="1399"/>
      <c r="CV1290" s="1399"/>
      <c r="CW1290" s="1399"/>
      <c r="CX1290" s="1399"/>
      <c r="CY1290" s="1399"/>
      <c r="CZ1290" s="1399"/>
      <c r="DA1290" s="1399"/>
      <c r="DB1290" s="1399"/>
      <c r="DC1290" s="1399"/>
      <c r="DD1290" s="1399"/>
      <c r="DE1290" s="1399"/>
      <c r="DF1290" s="1399"/>
      <c r="DG1290" s="1399"/>
      <c r="DH1290" s="1399"/>
      <c r="DI1290" s="1399"/>
      <c r="DJ1290" s="1399"/>
      <c r="DK1290" s="1399"/>
      <c r="DL1290" s="1399"/>
      <c r="DM1290" s="1399"/>
      <c r="DN1290" s="1399"/>
      <c r="DO1290" s="1399"/>
      <c r="DP1290" s="1399"/>
      <c r="DQ1290" s="1399"/>
      <c r="DR1290" s="1399"/>
      <c r="DS1290" s="1399"/>
      <c r="DT1290" s="1399"/>
      <c r="DU1290" s="1399"/>
    </row>
    <row r="1291" spans="1:125">
      <c r="A1291" s="1414"/>
      <c r="B1291" s="1414"/>
      <c r="C1291" s="1414"/>
      <c r="D1291" s="1414"/>
      <c r="E1291" s="1414"/>
      <c r="F1291" s="1414"/>
      <c r="G1291" s="1414"/>
      <c r="H1291" s="1414"/>
      <c r="I1291" s="1414"/>
      <c r="J1291" s="1414"/>
      <c r="K1291" s="1414"/>
      <c r="L1291" s="1414"/>
      <c r="M1291" s="1414"/>
      <c r="N1291" s="1414"/>
      <c r="O1291" s="1414"/>
      <c r="P1291" s="1414"/>
      <c r="Q1291" s="1414"/>
      <c r="R1291" s="1414"/>
      <c r="S1291" s="1414"/>
      <c r="T1291" s="1414"/>
      <c r="U1291" s="1414"/>
      <c r="V1291" s="1414"/>
      <c r="W1291" s="1414"/>
      <c r="X1291" s="1414"/>
      <c r="Y1291" s="1414"/>
      <c r="Z1291" s="1414"/>
      <c r="AA1291" s="1414"/>
      <c r="AB1291" s="1414"/>
      <c r="AC1291" s="1414"/>
      <c r="AD1291" s="1414"/>
      <c r="AE1291" s="1414"/>
      <c r="AF1291" s="1414"/>
      <c r="AG1291" s="1414"/>
      <c r="AH1291" s="1414"/>
      <c r="AI1291" s="1414"/>
      <c r="AJ1291" s="1414"/>
      <c r="AK1291" s="1414"/>
      <c r="AL1291" s="1414"/>
      <c r="AM1291" s="1414"/>
      <c r="AN1291" s="1414"/>
      <c r="AO1291" s="1414"/>
      <c r="AP1291" s="1414"/>
      <c r="AQ1291" s="1414"/>
      <c r="AR1291" s="1414"/>
      <c r="AS1291" s="1414"/>
      <c r="AT1291" s="1414"/>
      <c r="AU1291" s="1414"/>
      <c r="AV1291" s="1414"/>
      <c r="AW1291" s="1414"/>
      <c r="AX1291" s="1414"/>
      <c r="AY1291" s="1399"/>
      <c r="AZ1291" s="1399"/>
      <c r="BA1291" s="1399"/>
      <c r="BB1291" s="1399"/>
      <c r="BC1291" s="1399"/>
      <c r="BD1291" s="1399"/>
      <c r="BE1291" s="1414"/>
      <c r="BF1291" s="1399"/>
      <c r="BG1291" s="1399"/>
      <c r="BH1291" s="1399"/>
      <c r="BI1291" s="1399"/>
      <c r="BJ1291" s="1399"/>
      <c r="BK1291" s="1399"/>
      <c r="BL1291" s="1399"/>
      <c r="BM1291" s="1399"/>
      <c r="BN1291" s="1399"/>
      <c r="BO1291" s="1399"/>
      <c r="BP1291" s="1399"/>
      <c r="BQ1291" s="1399"/>
      <c r="BR1291" s="1399"/>
      <c r="BS1291" s="1399"/>
      <c r="BT1291" s="1399"/>
      <c r="BU1291" s="1399"/>
      <c r="BV1291" s="1399"/>
      <c r="BW1291" s="1399"/>
      <c r="BX1291" s="1399"/>
      <c r="BY1291" s="1399"/>
      <c r="BZ1291" s="1399"/>
      <c r="CA1291" s="1399"/>
      <c r="CB1291" s="1399"/>
      <c r="CC1291" s="1399"/>
      <c r="CD1291" s="1399"/>
      <c r="CE1291" s="1399"/>
      <c r="CF1291" s="1399"/>
      <c r="CG1291" s="1399"/>
      <c r="CH1291" s="1399"/>
      <c r="CI1291" s="1399"/>
      <c r="CJ1291" s="1399"/>
      <c r="CK1291" s="1399"/>
      <c r="CL1291" s="1399"/>
      <c r="CM1291" s="1399"/>
      <c r="CN1291" s="1399"/>
      <c r="CO1291" s="1399"/>
      <c r="CP1291" s="1399"/>
      <c r="CQ1291" s="1399"/>
      <c r="CR1291" s="1399"/>
      <c r="CS1291" s="1399"/>
      <c r="CT1291" s="1399"/>
      <c r="CU1291" s="1399"/>
      <c r="CV1291" s="1399"/>
      <c r="CW1291" s="1399"/>
      <c r="CX1291" s="1399"/>
      <c r="CY1291" s="1399"/>
      <c r="CZ1291" s="1399"/>
      <c r="DA1291" s="1399"/>
      <c r="DB1291" s="1399"/>
      <c r="DC1291" s="1399"/>
      <c r="DD1291" s="1399"/>
      <c r="DE1291" s="1399"/>
      <c r="DF1291" s="1399"/>
      <c r="DG1291" s="1399"/>
      <c r="DH1291" s="1399"/>
      <c r="DI1291" s="1399"/>
      <c r="DJ1291" s="1399"/>
      <c r="DK1291" s="1399"/>
      <c r="DL1291" s="1399"/>
      <c r="DM1291" s="1399"/>
      <c r="DN1291" s="1399"/>
      <c r="DO1291" s="1399"/>
      <c r="DP1291" s="1399"/>
      <c r="DQ1291" s="1399"/>
      <c r="DR1291" s="1399"/>
      <c r="DS1291" s="1399"/>
      <c r="DT1291" s="1399"/>
      <c r="DU1291" s="1399"/>
    </row>
    <row r="1292" spans="1:125">
      <c r="A1292" s="1414"/>
      <c r="B1292" s="1414"/>
      <c r="C1292" s="1414"/>
      <c r="D1292" s="1414"/>
      <c r="E1292" s="1414"/>
      <c r="F1292" s="1414"/>
      <c r="G1292" s="1414"/>
      <c r="H1292" s="1414"/>
      <c r="I1292" s="1414"/>
      <c r="J1292" s="1414"/>
      <c r="K1292" s="1414"/>
      <c r="L1292" s="1414"/>
      <c r="M1292" s="1414"/>
      <c r="N1292" s="1414"/>
      <c r="O1292" s="1414"/>
      <c r="P1292" s="1414"/>
      <c r="Q1292" s="1414"/>
      <c r="R1292" s="1414"/>
      <c r="S1292" s="1414"/>
      <c r="T1292" s="1414"/>
      <c r="U1292" s="1414"/>
      <c r="V1292" s="1414"/>
      <c r="W1292" s="1414"/>
      <c r="X1292" s="1414"/>
      <c r="Y1292" s="1414"/>
      <c r="Z1292" s="1414"/>
      <c r="AA1292" s="1414"/>
      <c r="AB1292" s="1414"/>
      <c r="AC1292" s="1414"/>
      <c r="AD1292" s="1414"/>
      <c r="AE1292" s="1414"/>
      <c r="AF1292" s="1414"/>
      <c r="AG1292" s="1414"/>
      <c r="AH1292" s="1414"/>
      <c r="AI1292" s="1414"/>
      <c r="AJ1292" s="1414"/>
      <c r="AK1292" s="1414"/>
      <c r="AL1292" s="1414"/>
      <c r="AM1292" s="1414"/>
      <c r="AN1292" s="1414"/>
      <c r="AO1292" s="1414"/>
      <c r="AP1292" s="1414"/>
      <c r="AQ1292" s="1414"/>
      <c r="AR1292" s="1414"/>
      <c r="AS1292" s="1414"/>
      <c r="AT1292" s="1414"/>
      <c r="AU1292" s="1414"/>
      <c r="AV1292" s="1414"/>
      <c r="AW1292" s="1414"/>
      <c r="AX1292" s="1414"/>
      <c r="AY1292" s="1399"/>
      <c r="AZ1292" s="1399"/>
      <c r="BA1292" s="1399"/>
      <c r="BB1292" s="1399"/>
      <c r="BC1292" s="1399"/>
      <c r="BD1292" s="1399"/>
      <c r="BE1292" s="1414"/>
      <c r="BF1292" s="1399"/>
      <c r="BG1292" s="1399"/>
      <c r="BH1292" s="1399"/>
      <c r="BI1292" s="1399"/>
      <c r="BJ1292" s="1399"/>
      <c r="BK1292" s="1399"/>
      <c r="BL1292" s="1399"/>
      <c r="BM1292" s="1399"/>
      <c r="BN1292" s="1399"/>
      <c r="BO1292" s="1399"/>
      <c r="BP1292" s="1399"/>
      <c r="BQ1292" s="1399"/>
      <c r="BR1292" s="1399"/>
      <c r="BS1292" s="1399"/>
      <c r="BT1292" s="1399"/>
      <c r="BU1292" s="1399"/>
      <c r="BV1292" s="1399"/>
      <c r="BW1292" s="1399"/>
      <c r="BX1292" s="1399"/>
      <c r="BY1292" s="1399"/>
      <c r="BZ1292" s="1399"/>
      <c r="CA1292" s="1399"/>
      <c r="CB1292" s="1399"/>
      <c r="CC1292" s="1399"/>
      <c r="CD1292" s="1399"/>
      <c r="CE1292" s="1399"/>
      <c r="CF1292" s="1399"/>
      <c r="CG1292" s="1399"/>
      <c r="CH1292" s="1399"/>
      <c r="CI1292" s="1399"/>
      <c r="CJ1292" s="1399"/>
      <c r="CK1292" s="1399"/>
      <c r="CL1292" s="1399"/>
      <c r="CM1292" s="1399"/>
      <c r="CN1292" s="1399"/>
      <c r="CO1292" s="1399"/>
      <c r="CP1292" s="1399"/>
      <c r="CQ1292" s="1399"/>
      <c r="CR1292" s="1399"/>
      <c r="CS1292" s="1399"/>
      <c r="CT1292" s="1399"/>
      <c r="CU1292" s="1399"/>
      <c r="CV1292" s="1399"/>
      <c r="CW1292" s="1399"/>
      <c r="CX1292" s="1399"/>
      <c r="CY1292" s="1399"/>
      <c r="CZ1292" s="1399"/>
      <c r="DA1292" s="1399"/>
      <c r="DB1292" s="1399"/>
      <c r="DC1292" s="1399"/>
      <c r="DD1292" s="1399"/>
      <c r="DE1292" s="1399"/>
      <c r="DF1292" s="1399"/>
      <c r="DG1292" s="1399"/>
      <c r="DH1292" s="1399"/>
      <c r="DI1292" s="1399"/>
      <c r="DJ1292" s="1399"/>
      <c r="DK1292" s="1399"/>
      <c r="DL1292" s="1399"/>
      <c r="DM1292" s="1399"/>
      <c r="DN1292" s="1399"/>
      <c r="DO1292" s="1399"/>
      <c r="DP1292" s="1399"/>
      <c r="DQ1292" s="1399"/>
      <c r="DR1292" s="1399"/>
      <c r="DS1292" s="1399"/>
      <c r="DT1292" s="1399"/>
      <c r="DU1292" s="1399"/>
    </row>
    <row r="1293" spans="1:125">
      <c r="A1293" s="1414"/>
      <c r="B1293" s="1414"/>
      <c r="C1293" s="1414"/>
      <c r="D1293" s="1414"/>
      <c r="E1293" s="1414"/>
      <c r="F1293" s="1414"/>
      <c r="G1293" s="1414"/>
      <c r="H1293" s="1414"/>
      <c r="I1293" s="1414"/>
      <c r="J1293" s="1414"/>
      <c r="K1293" s="1414"/>
      <c r="L1293" s="1414"/>
      <c r="M1293" s="1414"/>
      <c r="N1293" s="1414"/>
      <c r="O1293" s="1414"/>
      <c r="P1293" s="1414"/>
      <c r="Q1293" s="1414"/>
      <c r="R1293" s="1414"/>
      <c r="S1293" s="1414"/>
      <c r="T1293" s="1414"/>
      <c r="U1293" s="1414"/>
      <c r="V1293" s="1414"/>
      <c r="W1293" s="1414"/>
      <c r="X1293" s="1414"/>
      <c r="Y1293" s="1414"/>
      <c r="Z1293" s="1414"/>
      <c r="AA1293" s="1414"/>
      <c r="AB1293" s="1414"/>
      <c r="AC1293" s="1414"/>
      <c r="AD1293" s="1414"/>
      <c r="AE1293" s="1414"/>
      <c r="AF1293" s="1414"/>
      <c r="AG1293" s="1414"/>
      <c r="AH1293" s="1414"/>
      <c r="AI1293" s="1414"/>
      <c r="AJ1293" s="1414"/>
      <c r="AK1293" s="1414"/>
      <c r="AL1293" s="1414"/>
      <c r="AM1293" s="1414"/>
      <c r="AN1293" s="1414"/>
      <c r="AO1293" s="1414"/>
      <c r="AP1293" s="1414"/>
      <c r="AQ1293" s="1414"/>
      <c r="AR1293" s="1414"/>
      <c r="AS1293" s="1414"/>
      <c r="AT1293" s="1414"/>
      <c r="AU1293" s="1414"/>
      <c r="AV1293" s="1414"/>
      <c r="AW1293" s="1414"/>
      <c r="AX1293" s="1414"/>
      <c r="AY1293" s="1399"/>
      <c r="AZ1293" s="1399"/>
      <c r="BA1293" s="1399"/>
      <c r="BB1293" s="1399"/>
      <c r="BC1293" s="1399"/>
      <c r="BD1293" s="1399"/>
      <c r="BE1293" s="1414"/>
      <c r="BF1293" s="1399"/>
      <c r="BG1293" s="1399"/>
      <c r="BH1293" s="1399"/>
      <c r="BI1293" s="1399"/>
      <c r="BJ1293" s="1399"/>
      <c r="BK1293" s="1399"/>
      <c r="BL1293" s="1399"/>
      <c r="BM1293" s="1399"/>
      <c r="BN1293" s="1399"/>
      <c r="BO1293" s="1399"/>
      <c r="BP1293" s="1399"/>
      <c r="BQ1293" s="1399"/>
      <c r="BR1293" s="1399"/>
      <c r="BS1293" s="1399"/>
      <c r="BT1293" s="1399"/>
      <c r="BU1293" s="1399"/>
      <c r="BV1293" s="1399"/>
      <c r="BW1293" s="1399"/>
      <c r="BX1293" s="1399"/>
      <c r="BY1293" s="1399"/>
      <c r="BZ1293" s="1399"/>
      <c r="CA1293" s="1399"/>
      <c r="CB1293" s="1399"/>
      <c r="CC1293" s="1399"/>
      <c r="CD1293" s="1399"/>
      <c r="CE1293" s="1399"/>
      <c r="CF1293" s="1399"/>
      <c r="CG1293" s="1399"/>
      <c r="CH1293" s="1399"/>
      <c r="CI1293" s="1399"/>
      <c r="CJ1293" s="1399"/>
      <c r="CK1293" s="1399"/>
      <c r="CL1293" s="1399"/>
      <c r="CM1293" s="1399"/>
      <c r="CN1293" s="1399"/>
      <c r="CO1293" s="1399"/>
      <c r="CP1293" s="1399"/>
      <c r="CQ1293" s="1399"/>
      <c r="CR1293" s="1399"/>
      <c r="CS1293" s="1399"/>
      <c r="CT1293" s="1399"/>
      <c r="CU1293" s="1399"/>
      <c r="CV1293" s="1399"/>
      <c r="CW1293" s="1399"/>
      <c r="CX1293" s="1399"/>
      <c r="CY1293" s="1399"/>
      <c r="CZ1293" s="1399"/>
      <c r="DA1293" s="1399"/>
      <c r="DB1293" s="1399"/>
      <c r="DC1293" s="1399"/>
      <c r="DD1293" s="1399"/>
      <c r="DE1293" s="1399"/>
      <c r="DF1293" s="1399"/>
      <c r="DG1293" s="1399"/>
      <c r="DH1293" s="1399"/>
      <c r="DI1293" s="1399"/>
      <c r="DJ1293" s="1399"/>
      <c r="DK1293" s="1399"/>
      <c r="DL1293" s="1399"/>
      <c r="DM1293" s="1399"/>
      <c r="DN1293" s="1399"/>
      <c r="DO1293" s="1399"/>
      <c r="DP1293" s="1399"/>
      <c r="DQ1293" s="1399"/>
      <c r="DR1293" s="1399"/>
      <c r="DS1293" s="1399"/>
      <c r="DT1293" s="1399"/>
      <c r="DU1293" s="1399"/>
    </row>
    <row r="1294" spans="1:125">
      <c r="A1294" s="1414"/>
      <c r="B1294" s="1414"/>
      <c r="C1294" s="1414"/>
      <c r="D1294" s="1414"/>
      <c r="E1294" s="1414"/>
      <c r="F1294" s="1414"/>
      <c r="G1294" s="1414"/>
      <c r="H1294" s="1414"/>
      <c r="I1294" s="1414"/>
      <c r="J1294" s="1414"/>
      <c r="K1294" s="1414"/>
      <c r="L1294" s="1414"/>
      <c r="M1294" s="1414"/>
      <c r="N1294" s="1414"/>
      <c r="O1294" s="1414"/>
      <c r="P1294" s="1414"/>
      <c r="Q1294" s="1414"/>
      <c r="R1294" s="1414"/>
      <c r="S1294" s="1414"/>
      <c r="T1294" s="1414"/>
      <c r="U1294" s="1414"/>
      <c r="V1294" s="1414"/>
      <c r="W1294" s="1414"/>
      <c r="X1294" s="1414"/>
      <c r="Y1294" s="1414"/>
      <c r="Z1294" s="1414"/>
      <c r="AA1294" s="1414"/>
      <c r="AB1294" s="1414"/>
      <c r="AC1294" s="1414"/>
      <c r="AD1294" s="1414"/>
      <c r="AE1294" s="1414"/>
      <c r="AF1294" s="1414"/>
      <c r="AG1294" s="1414"/>
      <c r="AH1294" s="1414"/>
      <c r="AI1294" s="1414"/>
      <c r="AJ1294" s="1414"/>
      <c r="AK1294" s="1414"/>
      <c r="AL1294" s="1414"/>
      <c r="AM1294" s="1414"/>
      <c r="AN1294" s="1414"/>
      <c r="AO1294" s="1414"/>
      <c r="AP1294" s="1414"/>
      <c r="AQ1294" s="1414"/>
      <c r="AR1294" s="1414"/>
      <c r="AS1294" s="1414"/>
      <c r="AT1294" s="1414"/>
      <c r="AU1294" s="1414"/>
      <c r="AV1294" s="1414"/>
      <c r="AW1294" s="1414"/>
      <c r="AX1294" s="1414"/>
      <c r="AY1294" s="1399"/>
      <c r="AZ1294" s="1399"/>
      <c r="BA1294" s="1399"/>
      <c r="BB1294" s="1399"/>
      <c r="BC1294" s="1399"/>
      <c r="BD1294" s="1399"/>
      <c r="BE1294" s="1414"/>
      <c r="BF1294" s="1399"/>
      <c r="BG1294" s="1399"/>
      <c r="BH1294" s="1399"/>
      <c r="BI1294" s="1399"/>
      <c r="BJ1294" s="1399"/>
      <c r="BK1294" s="1399"/>
      <c r="BL1294" s="1399"/>
      <c r="BM1294" s="1399"/>
      <c r="BN1294" s="1399"/>
      <c r="BO1294" s="1399"/>
      <c r="BP1294" s="1399"/>
      <c r="BQ1294" s="1399"/>
      <c r="BR1294" s="1399"/>
      <c r="BS1294" s="1399"/>
      <c r="BT1294" s="1399"/>
      <c r="BU1294" s="1399"/>
      <c r="BV1294" s="1399"/>
      <c r="BW1294" s="1399"/>
      <c r="BX1294" s="1399"/>
      <c r="BY1294" s="1399"/>
      <c r="BZ1294" s="1399"/>
      <c r="CA1294" s="1399"/>
      <c r="CB1294" s="1399"/>
      <c r="CC1294" s="1399"/>
      <c r="CD1294" s="1399"/>
      <c r="CE1294" s="1399"/>
      <c r="CF1294" s="1399"/>
      <c r="CG1294" s="1399"/>
      <c r="CH1294" s="1399"/>
      <c r="CI1294" s="1399"/>
      <c r="CJ1294" s="1399"/>
      <c r="CK1294" s="1399"/>
      <c r="CL1294" s="1399"/>
      <c r="CM1294" s="1399"/>
      <c r="CN1294" s="1399"/>
      <c r="CO1294" s="1399"/>
      <c r="CP1294" s="1399"/>
      <c r="CQ1294" s="1399"/>
      <c r="CR1294" s="1399"/>
      <c r="CS1294" s="1399"/>
      <c r="CT1294" s="1399"/>
      <c r="CU1294" s="1399"/>
      <c r="CV1294" s="1399"/>
      <c r="CW1294" s="1399"/>
      <c r="CX1294" s="1399"/>
      <c r="CY1294" s="1399"/>
      <c r="CZ1294" s="1399"/>
      <c r="DA1294" s="1399"/>
      <c r="DB1294" s="1399"/>
      <c r="DC1294" s="1399"/>
      <c r="DD1294" s="1399"/>
      <c r="DE1294" s="1399"/>
      <c r="DF1294" s="1399"/>
      <c r="DG1294" s="1399"/>
      <c r="DH1294" s="1399"/>
      <c r="DI1294" s="1399"/>
      <c r="DJ1294" s="1399"/>
      <c r="DK1294" s="1399"/>
      <c r="DL1294" s="1399"/>
      <c r="DM1294" s="1399"/>
      <c r="DN1294" s="1399"/>
      <c r="DO1294" s="1399"/>
      <c r="DP1294" s="1399"/>
      <c r="DQ1294" s="1399"/>
      <c r="DR1294" s="1399"/>
      <c r="DS1294" s="1399"/>
      <c r="DT1294" s="1399"/>
      <c r="DU1294" s="1399"/>
    </row>
    <row r="1295" spans="1:125">
      <c r="A1295" s="1414"/>
      <c r="B1295" s="1414"/>
      <c r="C1295" s="1414"/>
      <c r="D1295" s="1414"/>
      <c r="E1295" s="1414"/>
      <c r="F1295" s="1414"/>
      <c r="G1295" s="1414"/>
      <c r="H1295" s="1414"/>
      <c r="I1295" s="1414"/>
      <c r="J1295" s="1414"/>
      <c r="K1295" s="1414"/>
      <c r="L1295" s="1414"/>
      <c r="M1295" s="1414"/>
      <c r="N1295" s="1414"/>
      <c r="O1295" s="1414"/>
      <c r="P1295" s="1414"/>
      <c r="Q1295" s="1414"/>
      <c r="R1295" s="1414"/>
      <c r="S1295" s="1414"/>
      <c r="T1295" s="1414"/>
      <c r="U1295" s="1414"/>
      <c r="V1295" s="1414"/>
      <c r="W1295" s="1414"/>
      <c r="X1295" s="1414"/>
      <c r="Y1295" s="1414"/>
      <c r="Z1295" s="1414"/>
      <c r="AA1295" s="1414"/>
      <c r="AB1295" s="1414"/>
      <c r="AC1295" s="1414"/>
      <c r="AD1295" s="1414"/>
      <c r="AE1295" s="1414"/>
      <c r="AF1295" s="1414"/>
      <c r="AG1295" s="1414"/>
      <c r="AH1295" s="1414"/>
      <c r="AI1295" s="1414"/>
      <c r="AJ1295" s="1414"/>
      <c r="AK1295" s="1414"/>
      <c r="AL1295" s="1414"/>
      <c r="AM1295" s="1414"/>
      <c r="AN1295" s="1414"/>
      <c r="AO1295" s="1414"/>
      <c r="AP1295" s="1414"/>
      <c r="AQ1295" s="1414"/>
      <c r="AR1295" s="1414"/>
      <c r="AS1295" s="1414"/>
      <c r="AT1295" s="1414"/>
      <c r="AU1295" s="1414"/>
      <c r="AV1295" s="1414"/>
      <c r="AW1295" s="1414"/>
      <c r="AX1295" s="1414"/>
      <c r="AY1295" s="1399"/>
      <c r="AZ1295" s="1399"/>
      <c r="BA1295" s="1399"/>
      <c r="BB1295" s="1399"/>
      <c r="BC1295" s="1399"/>
      <c r="BD1295" s="1399"/>
      <c r="BE1295" s="1414"/>
      <c r="BF1295" s="1399"/>
      <c r="BG1295" s="1399"/>
      <c r="BH1295" s="1399"/>
      <c r="BI1295" s="1399"/>
      <c r="BJ1295" s="1399"/>
      <c r="BK1295" s="1399"/>
      <c r="BL1295" s="1399"/>
      <c r="BM1295" s="1399"/>
      <c r="BN1295" s="1399"/>
      <c r="BO1295" s="1399"/>
      <c r="BP1295" s="1399"/>
      <c r="BQ1295" s="1399"/>
      <c r="BR1295" s="1399"/>
      <c r="BS1295" s="1399"/>
      <c r="BT1295" s="1399"/>
      <c r="BU1295" s="1399"/>
      <c r="BV1295" s="1399"/>
      <c r="BW1295" s="1399"/>
      <c r="BX1295" s="1399"/>
      <c r="BY1295" s="1399"/>
      <c r="BZ1295" s="1399"/>
      <c r="CA1295" s="1399"/>
      <c r="CB1295" s="1399"/>
      <c r="CC1295" s="1399"/>
      <c r="CD1295" s="1399"/>
      <c r="CE1295" s="1399"/>
      <c r="CF1295" s="1399"/>
      <c r="CG1295" s="1399"/>
      <c r="CH1295" s="1399"/>
      <c r="CI1295" s="1399"/>
      <c r="CJ1295" s="1399"/>
      <c r="CK1295" s="1399"/>
      <c r="CL1295" s="1399"/>
      <c r="CM1295" s="1399"/>
      <c r="CN1295" s="1399"/>
      <c r="CO1295" s="1399"/>
      <c r="CP1295" s="1399"/>
      <c r="CQ1295" s="1399"/>
      <c r="CR1295" s="1399"/>
      <c r="CS1295" s="1399"/>
      <c r="CT1295" s="1399"/>
      <c r="CU1295" s="1399"/>
      <c r="CV1295" s="1399"/>
      <c r="CW1295" s="1399"/>
      <c r="CX1295" s="1399"/>
      <c r="CY1295" s="1399"/>
      <c r="CZ1295" s="1399"/>
      <c r="DA1295" s="1399"/>
      <c r="DB1295" s="1399"/>
      <c r="DC1295" s="1399"/>
      <c r="DD1295" s="1399"/>
      <c r="DE1295" s="1399"/>
      <c r="DF1295" s="1399"/>
      <c r="DG1295" s="1399"/>
      <c r="DH1295" s="1399"/>
      <c r="DI1295" s="1399"/>
      <c r="DJ1295" s="1399"/>
      <c r="DK1295" s="1399"/>
      <c r="DL1295" s="1399"/>
      <c r="DM1295" s="1399"/>
      <c r="DN1295" s="1399"/>
      <c r="DO1295" s="1399"/>
      <c r="DP1295" s="1399"/>
      <c r="DQ1295" s="1399"/>
      <c r="DR1295" s="1399"/>
      <c r="DS1295" s="1399"/>
      <c r="DT1295" s="1399"/>
      <c r="DU1295" s="1399"/>
    </row>
    <row r="1296" spans="1:125">
      <c r="A1296" s="1414"/>
      <c r="B1296" s="1414"/>
      <c r="C1296" s="1414"/>
      <c r="D1296" s="1414"/>
      <c r="E1296" s="1414"/>
      <c r="F1296" s="1414"/>
      <c r="G1296" s="1414"/>
      <c r="H1296" s="1414"/>
      <c r="I1296" s="1414"/>
      <c r="J1296" s="1414"/>
      <c r="K1296" s="1414"/>
      <c r="L1296" s="1414"/>
      <c r="M1296" s="1414"/>
      <c r="N1296" s="1414"/>
      <c r="O1296" s="1414"/>
      <c r="P1296" s="1414"/>
      <c r="Q1296" s="1414"/>
      <c r="R1296" s="1414"/>
      <c r="S1296" s="1414"/>
      <c r="T1296" s="1414"/>
      <c r="U1296" s="1414"/>
      <c r="V1296" s="1414"/>
      <c r="W1296" s="1414"/>
      <c r="X1296" s="1414"/>
      <c r="Y1296" s="1414"/>
      <c r="Z1296" s="1414"/>
      <c r="AA1296" s="1414"/>
      <c r="AB1296" s="1414"/>
      <c r="AC1296" s="1414"/>
      <c r="AD1296" s="1414"/>
      <c r="AE1296" s="1414"/>
      <c r="AF1296" s="1414"/>
      <c r="AG1296" s="1414"/>
      <c r="AH1296" s="1414"/>
      <c r="AI1296" s="1414"/>
      <c r="AJ1296" s="1414"/>
      <c r="AK1296" s="1414"/>
      <c r="AL1296" s="1414"/>
      <c r="AM1296" s="1414"/>
      <c r="AN1296" s="1414"/>
      <c r="AO1296" s="1414"/>
      <c r="AP1296" s="1414"/>
      <c r="AQ1296" s="1414"/>
      <c r="AR1296" s="1414"/>
      <c r="AS1296" s="1414"/>
      <c r="AT1296" s="1414"/>
      <c r="AU1296" s="1414"/>
      <c r="AV1296" s="1414"/>
      <c r="AW1296" s="1414"/>
      <c r="AX1296" s="1414"/>
      <c r="AY1296" s="1399"/>
      <c r="AZ1296" s="1399"/>
      <c r="BA1296" s="1399"/>
      <c r="BB1296" s="1399"/>
      <c r="BC1296" s="1399"/>
      <c r="BD1296" s="1399"/>
      <c r="BE1296" s="1414"/>
      <c r="BF1296" s="1399"/>
      <c r="BG1296" s="1399"/>
      <c r="BH1296" s="1399"/>
      <c r="BI1296" s="1399"/>
      <c r="BJ1296" s="1399"/>
      <c r="BK1296" s="1399"/>
      <c r="BL1296" s="1399"/>
      <c r="BM1296" s="1399"/>
      <c r="BN1296" s="1399"/>
      <c r="BO1296" s="1399"/>
      <c r="BP1296" s="1399"/>
      <c r="BQ1296" s="1399"/>
      <c r="BR1296" s="1399"/>
      <c r="BS1296" s="1399"/>
      <c r="BT1296" s="1399"/>
      <c r="BU1296" s="1399"/>
      <c r="BV1296" s="1399"/>
      <c r="BW1296" s="1399"/>
      <c r="BX1296" s="1399"/>
      <c r="BY1296" s="1399"/>
      <c r="BZ1296" s="1399"/>
      <c r="CA1296" s="1399"/>
      <c r="CB1296" s="1399"/>
      <c r="CC1296" s="1399"/>
      <c r="CD1296" s="1399"/>
      <c r="CE1296" s="1399"/>
      <c r="CF1296" s="1399"/>
      <c r="CG1296" s="1399"/>
      <c r="CH1296" s="1399"/>
      <c r="CI1296" s="1399"/>
      <c r="CJ1296" s="1399"/>
      <c r="CK1296" s="1399"/>
      <c r="CL1296" s="1399"/>
      <c r="CM1296" s="1399"/>
      <c r="CN1296" s="1399"/>
      <c r="CO1296" s="1399"/>
      <c r="CP1296" s="1399"/>
      <c r="CQ1296" s="1399"/>
      <c r="CR1296" s="1399"/>
      <c r="CS1296" s="1399"/>
      <c r="CT1296" s="1399"/>
      <c r="CU1296" s="1399"/>
      <c r="CV1296" s="1399"/>
      <c r="CW1296" s="1399"/>
      <c r="CX1296" s="1399"/>
      <c r="CY1296" s="1399"/>
      <c r="CZ1296" s="1399"/>
      <c r="DA1296" s="1399"/>
      <c r="DB1296" s="1399"/>
      <c r="DC1296" s="1399"/>
      <c r="DD1296" s="1399"/>
      <c r="DE1296" s="1399"/>
      <c r="DF1296" s="1399"/>
      <c r="DG1296" s="1399"/>
      <c r="DH1296" s="1399"/>
      <c r="DI1296" s="1399"/>
      <c r="DJ1296" s="1399"/>
      <c r="DK1296" s="1399"/>
      <c r="DL1296" s="1399"/>
      <c r="DM1296" s="1399"/>
      <c r="DN1296" s="1399"/>
      <c r="DO1296" s="1399"/>
      <c r="DP1296" s="1399"/>
      <c r="DQ1296" s="1399"/>
      <c r="DR1296" s="1399"/>
      <c r="DS1296" s="1399"/>
      <c r="DT1296" s="1399"/>
      <c r="DU1296" s="1399"/>
    </row>
    <row r="1297" spans="1:125">
      <c r="A1297" s="1414"/>
      <c r="B1297" s="1414"/>
      <c r="C1297" s="1414"/>
      <c r="D1297" s="1414"/>
      <c r="E1297" s="1414"/>
      <c r="F1297" s="1414"/>
      <c r="G1297" s="1414"/>
      <c r="H1297" s="1414"/>
      <c r="I1297" s="1414"/>
      <c r="J1297" s="1414"/>
      <c r="K1297" s="1414"/>
      <c r="L1297" s="1414"/>
      <c r="M1297" s="1414"/>
      <c r="N1297" s="1414"/>
      <c r="O1297" s="1414"/>
      <c r="P1297" s="1414"/>
      <c r="Q1297" s="1414"/>
      <c r="R1297" s="1414"/>
      <c r="S1297" s="1414"/>
      <c r="T1297" s="1414"/>
      <c r="U1297" s="1414"/>
      <c r="V1297" s="1414"/>
      <c r="W1297" s="1414"/>
      <c r="X1297" s="1414"/>
      <c r="Y1297" s="1414"/>
      <c r="Z1297" s="1414"/>
      <c r="AA1297" s="1414"/>
      <c r="AB1297" s="1414"/>
      <c r="AC1297" s="1414"/>
      <c r="AD1297" s="1414"/>
      <c r="AE1297" s="1414"/>
      <c r="AF1297" s="1414"/>
      <c r="AG1297" s="1414"/>
      <c r="AH1297" s="1414"/>
      <c r="AI1297" s="1414"/>
      <c r="AJ1297" s="1414"/>
      <c r="AK1297" s="1414"/>
      <c r="AL1297" s="1414"/>
      <c r="AM1297" s="1414"/>
      <c r="AN1297" s="1414"/>
      <c r="AO1297" s="1414"/>
      <c r="AP1297" s="1414"/>
      <c r="AQ1297" s="1414"/>
      <c r="AR1297" s="1414"/>
      <c r="AS1297" s="1414"/>
      <c r="AT1297" s="1414"/>
      <c r="AU1297" s="1414"/>
      <c r="AV1297" s="1414"/>
      <c r="AW1297" s="1414"/>
      <c r="AX1297" s="1414"/>
      <c r="AY1297" s="1399"/>
      <c r="AZ1297" s="1399"/>
      <c r="BA1297" s="1399"/>
      <c r="BB1297" s="1399"/>
      <c r="BC1297" s="1399"/>
      <c r="BD1297" s="1399"/>
      <c r="BE1297" s="1414"/>
      <c r="BF1297" s="1399"/>
      <c r="BG1297" s="1399"/>
      <c r="BH1297" s="1399"/>
      <c r="BI1297" s="1399"/>
      <c r="BJ1297" s="1399"/>
      <c r="BK1297" s="1399"/>
      <c r="BL1297" s="1399"/>
      <c r="BM1297" s="1399"/>
      <c r="BN1297" s="1399"/>
      <c r="BO1297" s="1399"/>
      <c r="BP1297" s="1399"/>
      <c r="BQ1297" s="1399"/>
      <c r="BR1297" s="1399"/>
      <c r="BS1297" s="1399"/>
      <c r="BT1297" s="1399"/>
      <c r="BU1297" s="1399"/>
      <c r="BV1297" s="1399"/>
      <c r="BW1297" s="1399"/>
      <c r="BX1297" s="1399"/>
      <c r="BY1297" s="1399"/>
      <c r="BZ1297" s="1399"/>
      <c r="CA1297" s="1399"/>
      <c r="CB1297" s="1399"/>
      <c r="CC1297" s="1399"/>
      <c r="CD1297" s="1399"/>
      <c r="CE1297" s="1399"/>
      <c r="CF1297" s="1399"/>
      <c r="CG1297" s="1399"/>
      <c r="CH1297" s="1399"/>
      <c r="CI1297" s="1399"/>
      <c r="CJ1297" s="1399"/>
      <c r="CK1297" s="1399"/>
      <c r="CL1297" s="1399"/>
      <c r="CM1297" s="1399"/>
      <c r="CN1297" s="1399"/>
      <c r="CO1297" s="1399"/>
      <c r="CP1297" s="1399"/>
      <c r="CQ1297" s="1399"/>
      <c r="CR1297" s="1399"/>
      <c r="CS1297" s="1399"/>
      <c r="CT1297" s="1399"/>
      <c r="CU1297" s="1399"/>
      <c r="CV1297" s="1399"/>
      <c r="CW1297" s="1399"/>
      <c r="CX1297" s="1399"/>
      <c r="CY1297" s="1399"/>
      <c r="CZ1297" s="1399"/>
      <c r="DA1297" s="1399"/>
      <c r="DB1297" s="1399"/>
      <c r="DC1297" s="1399"/>
      <c r="DD1297" s="1399"/>
      <c r="DE1297" s="1399"/>
      <c r="DF1297" s="1399"/>
      <c r="DG1297" s="1399"/>
      <c r="DH1297" s="1399"/>
      <c r="DI1297" s="1399"/>
      <c r="DJ1297" s="1399"/>
      <c r="DK1297" s="1399"/>
      <c r="DL1297" s="1399"/>
      <c r="DM1297" s="1399"/>
      <c r="DN1297" s="1399"/>
      <c r="DO1297" s="1399"/>
      <c r="DP1297" s="1399"/>
      <c r="DQ1297" s="1399"/>
      <c r="DR1297" s="1399"/>
      <c r="DS1297" s="1399"/>
      <c r="DT1297" s="1399"/>
      <c r="DU1297" s="1399"/>
    </row>
    <row r="1298" spans="1:125">
      <c r="A1298" s="1414"/>
      <c r="B1298" s="1414"/>
      <c r="C1298" s="1414"/>
      <c r="D1298" s="1414"/>
      <c r="E1298" s="1414"/>
      <c r="F1298" s="1414"/>
      <c r="G1298" s="1414"/>
      <c r="H1298" s="1414"/>
      <c r="I1298" s="1414"/>
      <c r="J1298" s="1414"/>
      <c r="K1298" s="1414"/>
      <c r="L1298" s="1414"/>
      <c r="M1298" s="1414"/>
      <c r="N1298" s="1414"/>
      <c r="O1298" s="1414"/>
      <c r="P1298" s="1414"/>
      <c r="Q1298" s="1414"/>
      <c r="R1298" s="1414"/>
      <c r="S1298" s="1414"/>
      <c r="T1298" s="1414"/>
      <c r="U1298" s="1414"/>
      <c r="V1298" s="1414"/>
      <c r="W1298" s="1414"/>
      <c r="X1298" s="1414"/>
      <c r="Y1298" s="1414"/>
      <c r="Z1298" s="1414"/>
      <c r="AA1298" s="1414"/>
      <c r="AB1298" s="1414"/>
      <c r="AC1298" s="1414"/>
      <c r="AD1298" s="1414"/>
      <c r="AE1298" s="1414"/>
      <c r="AF1298" s="1414"/>
      <c r="AG1298" s="1414"/>
      <c r="AH1298" s="1414"/>
      <c r="AI1298" s="1414"/>
      <c r="AJ1298" s="1414"/>
      <c r="AK1298" s="1414"/>
      <c r="AL1298" s="1414"/>
      <c r="AM1298" s="1414"/>
      <c r="AN1298" s="1414"/>
      <c r="AO1298" s="1414"/>
      <c r="AP1298" s="1414"/>
      <c r="AQ1298" s="1414"/>
      <c r="AR1298" s="1414"/>
      <c r="AS1298" s="1414"/>
      <c r="AT1298" s="1414"/>
      <c r="AU1298" s="1414"/>
      <c r="AV1298" s="1414"/>
      <c r="AW1298" s="1414"/>
      <c r="AX1298" s="1414"/>
      <c r="AY1298" s="1399"/>
      <c r="AZ1298" s="1399"/>
      <c r="BA1298" s="1399"/>
      <c r="BB1298" s="1399"/>
      <c r="BC1298" s="1399"/>
      <c r="BD1298" s="1399"/>
      <c r="BE1298" s="1414"/>
      <c r="BF1298" s="1399"/>
      <c r="BG1298" s="1399"/>
      <c r="BH1298" s="1399"/>
      <c r="BI1298" s="1399"/>
      <c r="BJ1298" s="1399"/>
      <c r="BK1298" s="1399"/>
      <c r="BL1298" s="1399"/>
      <c r="BM1298" s="1399"/>
      <c r="BN1298" s="1399"/>
      <c r="BO1298" s="1399"/>
      <c r="BP1298" s="1399"/>
      <c r="BQ1298" s="1399"/>
      <c r="BR1298" s="1399"/>
      <c r="BS1298" s="1399"/>
      <c r="BT1298" s="1399"/>
      <c r="BU1298" s="1399"/>
      <c r="BV1298" s="1399"/>
      <c r="BW1298" s="1399"/>
      <c r="BX1298" s="1399"/>
      <c r="BY1298" s="1399"/>
      <c r="BZ1298" s="1399"/>
      <c r="CA1298" s="1399"/>
      <c r="CB1298" s="1399"/>
      <c r="CC1298" s="1399"/>
      <c r="CD1298" s="1399"/>
      <c r="CE1298" s="1399"/>
      <c r="CF1298" s="1399"/>
      <c r="CG1298" s="1399"/>
      <c r="CH1298" s="1399"/>
      <c r="CI1298" s="1399"/>
      <c r="CJ1298" s="1399"/>
      <c r="CK1298" s="1399"/>
      <c r="CL1298" s="1399"/>
      <c r="CM1298" s="1399"/>
      <c r="CN1298" s="1399"/>
      <c r="CO1298" s="1399"/>
      <c r="CP1298" s="1399"/>
      <c r="CQ1298" s="1399"/>
      <c r="CR1298" s="1399"/>
      <c r="CS1298" s="1399"/>
      <c r="CT1298" s="1399"/>
      <c r="CU1298" s="1399"/>
      <c r="CV1298" s="1399"/>
      <c r="CW1298" s="1399"/>
      <c r="CX1298" s="1399"/>
      <c r="CY1298" s="1399"/>
      <c r="CZ1298" s="1399"/>
      <c r="DA1298" s="1399"/>
      <c r="DB1298" s="1399"/>
      <c r="DC1298" s="1399"/>
      <c r="DD1298" s="1399"/>
      <c r="DE1298" s="1399"/>
      <c r="DF1298" s="1399"/>
      <c r="DG1298" s="1399"/>
      <c r="DH1298" s="1399"/>
      <c r="DI1298" s="1399"/>
      <c r="DJ1298" s="1399"/>
      <c r="DK1298" s="1399"/>
      <c r="DL1298" s="1399"/>
      <c r="DM1298" s="1399"/>
      <c r="DN1298" s="1399"/>
      <c r="DO1298" s="1399"/>
      <c r="DP1298" s="1399"/>
      <c r="DQ1298" s="1399"/>
      <c r="DR1298" s="1399"/>
      <c r="DS1298" s="1399"/>
      <c r="DT1298" s="1399"/>
      <c r="DU1298" s="1399"/>
    </row>
    <row r="1299" spans="1:125">
      <c r="A1299" s="1414"/>
      <c r="B1299" s="1414"/>
      <c r="C1299" s="1414"/>
      <c r="D1299" s="1414"/>
      <c r="E1299" s="1414"/>
      <c r="F1299" s="1414"/>
      <c r="G1299" s="1414"/>
      <c r="H1299" s="1414"/>
      <c r="I1299" s="1414"/>
      <c r="J1299" s="1414"/>
      <c r="K1299" s="1414"/>
      <c r="L1299" s="1414"/>
      <c r="M1299" s="1414"/>
      <c r="N1299" s="1414"/>
      <c r="O1299" s="1414"/>
      <c r="P1299" s="1414"/>
      <c r="Q1299" s="1414"/>
      <c r="R1299" s="1414"/>
      <c r="S1299" s="1414"/>
      <c r="T1299" s="1414"/>
      <c r="U1299" s="1414"/>
      <c r="V1299" s="1414"/>
      <c r="W1299" s="1414"/>
      <c r="X1299" s="1414"/>
      <c r="Y1299" s="1414"/>
      <c r="Z1299" s="1414"/>
      <c r="AA1299" s="1414"/>
      <c r="AB1299" s="1414"/>
      <c r="AC1299" s="1414"/>
      <c r="AD1299" s="1414"/>
      <c r="AE1299" s="1414"/>
      <c r="AF1299" s="1414"/>
      <c r="AG1299" s="1414"/>
      <c r="AH1299" s="1414"/>
      <c r="AI1299" s="1414"/>
      <c r="AJ1299" s="1414"/>
      <c r="AK1299" s="1414"/>
      <c r="AL1299" s="1414"/>
      <c r="AM1299" s="1414"/>
      <c r="AN1299" s="1414"/>
      <c r="AO1299" s="1414"/>
      <c r="AP1299" s="1414"/>
      <c r="AQ1299" s="1414"/>
      <c r="AR1299" s="1414"/>
      <c r="AS1299" s="1414"/>
      <c r="AT1299" s="1414"/>
      <c r="AU1299" s="1414"/>
      <c r="AV1299" s="1414"/>
      <c r="AW1299" s="1414"/>
      <c r="AX1299" s="1414"/>
      <c r="AY1299" s="1399"/>
      <c r="AZ1299" s="1399"/>
      <c r="BA1299" s="1399"/>
      <c r="BB1299" s="1399"/>
      <c r="BC1299" s="1399"/>
      <c r="BD1299" s="1399"/>
      <c r="BE1299" s="1414"/>
      <c r="BF1299" s="1399"/>
      <c r="BG1299" s="1399"/>
      <c r="BH1299" s="1399"/>
      <c r="BI1299" s="1399"/>
      <c r="BJ1299" s="1399"/>
      <c r="BK1299" s="1399"/>
      <c r="BL1299" s="1399"/>
      <c r="BM1299" s="1399"/>
      <c r="BN1299" s="1399"/>
      <c r="BO1299" s="1399"/>
      <c r="BP1299" s="1399"/>
      <c r="BQ1299" s="1399"/>
      <c r="BR1299" s="1399"/>
      <c r="BS1299" s="1399"/>
      <c r="BT1299" s="1399"/>
      <c r="BU1299" s="1399"/>
      <c r="BV1299" s="1399"/>
      <c r="BW1299" s="1399"/>
      <c r="BX1299" s="1399"/>
      <c r="BY1299" s="1399"/>
      <c r="BZ1299" s="1399"/>
      <c r="CA1299" s="1399"/>
      <c r="CB1299" s="1399"/>
      <c r="CC1299" s="1399"/>
      <c r="CD1299" s="1399"/>
      <c r="CE1299" s="1399"/>
      <c r="CF1299" s="1399"/>
      <c r="CG1299" s="1399"/>
      <c r="CH1299" s="1399"/>
      <c r="CI1299" s="1399"/>
      <c r="CJ1299" s="1399"/>
      <c r="CK1299" s="1399"/>
      <c r="CL1299" s="1399"/>
      <c r="CM1299" s="1399"/>
      <c r="CN1299" s="1399"/>
      <c r="CO1299" s="1399"/>
      <c r="CP1299" s="1399"/>
      <c r="CQ1299" s="1399"/>
      <c r="CR1299" s="1399"/>
      <c r="CS1299" s="1399"/>
      <c r="CT1299" s="1399"/>
      <c r="CU1299" s="1399"/>
      <c r="CV1299" s="1399"/>
      <c r="CW1299" s="1399"/>
      <c r="CX1299" s="1399"/>
      <c r="CY1299" s="1399"/>
      <c r="CZ1299" s="1399"/>
      <c r="DA1299" s="1399"/>
      <c r="DB1299" s="1399"/>
      <c r="DC1299" s="1399"/>
      <c r="DD1299" s="1399"/>
      <c r="DE1299" s="1399"/>
      <c r="DF1299" s="1399"/>
      <c r="DG1299" s="1399"/>
      <c r="DH1299" s="1399"/>
      <c r="DI1299" s="1399"/>
      <c r="DJ1299" s="1399"/>
      <c r="DK1299" s="1399"/>
      <c r="DL1299" s="1399"/>
      <c r="DM1299" s="1399"/>
      <c r="DN1299" s="1399"/>
      <c r="DO1299" s="1399"/>
      <c r="DP1299" s="1399"/>
      <c r="DQ1299" s="1399"/>
      <c r="DR1299" s="1399"/>
      <c r="DS1299" s="1399"/>
      <c r="DT1299" s="1399"/>
      <c r="DU1299" s="1399"/>
    </row>
    <row r="1300" spans="1:125">
      <c r="A1300" s="1414"/>
      <c r="B1300" s="1414"/>
      <c r="C1300" s="1414"/>
      <c r="D1300" s="1414"/>
      <c r="E1300" s="1414"/>
      <c r="F1300" s="1414"/>
      <c r="G1300" s="1414"/>
      <c r="H1300" s="1414"/>
      <c r="I1300" s="1414"/>
      <c r="J1300" s="1414"/>
      <c r="K1300" s="1414"/>
      <c r="L1300" s="1414"/>
      <c r="M1300" s="1414"/>
      <c r="N1300" s="1414"/>
      <c r="O1300" s="1414"/>
      <c r="P1300" s="1414"/>
      <c r="Q1300" s="1414"/>
      <c r="R1300" s="1414"/>
      <c r="S1300" s="1414"/>
      <c r="T1300" s="1414"/>
      <c r="U1300" s="1414"/>
      <c r="V1300" s="1414"/>
      <c r="W1300" s="1414"/>
      <c r="X1300" s="1414"/>
      <c r="Y1300" s="1414"/>
      <c r="Z1300" s="1414"/>
      <c r="AA1300" s="1414"/>
      <c r="AB1300" s="1414"/>
      <c r="AC1300" s="1414"/>
      <c r="AD1300" s="1414"/>
      <c r="AE1300" s="1414"/>
      <c r="AF1300" s="1414"/>
      <c r="AG1300" s="1414"/>
      <c r="AH1300" s="1414"/>
      <c r="AI1300" s="1414"/>
      <c r="AJ1300" s="1414"/>
      <c r="AK1300" s="1414"/>
      <c r="AL1300" s="1414"/>
      <c r="AM1300" s="1414"/>
      <c r="AN1300" s="1414"/>
      <c r="AO1300" s="1414"/>
      <c r="AP1300" s="1414"/>
      <c r="AQ1300" s="1414"/>
      <c r="AR1300" s="1414"/>
      <c r="AS1300" s="1414"/>
      <c r="AT1300" s="1414"/>
      <c r="AU1300" s="1414"/>
      <c r="AV1300" s="1414"/>
      <c r="AW1300" s="1414"/>
      <c r="AX1300" s="1414"/>
      <c r="AY1300" s="1399"/>
      <c r="AZ1300" s="1399"/>
      <c r="BA1300" s="1399"/>
      <c r="BB1300" s="1399"/>
      <c r="BC1300" s="1399"/>
      <c r="BD1300" s="1399"/>
      <c r="BE1300" s="1414"/>
      <c r="BF1300" s="1399"/>
      <c r="BG1300" s="1399"/>
      <c r="BH1300" s="1399"/>
      <c r="BI1300" s="1399"/>
      <c r="BJ1300" s="1399"/>
      <c r="BK1300" s="1399"/>
      <c r="BL1300" s="1399"/>
      <c r="BM1300" s="1399"/>
      <c r="BN1300" s="1399"/>
      <c r="BO1300" s="1399"/>
      <c r="BP1300" s="1399"/>
      <c r="BQ1300" s="1399"/>
      <c r="BR1300" s="1399"/>
      <c r="BS1300" s="1399"/>
      <c r="BT1300" s="1399"/>
      <c r="BU1300" s="1399"/>
      <c r="BV1300" s="1399"/>
      <c r="BW1300" s="1399"/>
      <c r="BX1300" s="1399"/>
      <c r="BY1300" s="1399"/>
      <c r="BZ1300" s="1399"/>
      <c r="CA1300" s="1399"/>
      <c r="CB1300" s="1399"/>
      <c r="CC1300" s="1399"/>
      <c r="CD1300" s="1399"/>
      <c r="CE1300" s="1399"/>
      <c r="CF1300" s="1399"/>
      <c r="CG1300" s="1399"/>
      <c r="CH1300" s="1399"/>
      <c r="CI1300" s="1399"/>
      <c r="CJ1300" s="1399"/>
      <c r="CK1300" s="1399"/>
      <c r="CL1300" s="1399"/>
      <c r="CM1300" s="1399"/>
      <c r="CN1300" s="1399"/>
      <c r="CO1300" s="1399"/>
      <c r="CP1300" s="1399"/>
      <c r="CQ1300" s="1399"/>
      <c r="CR1300" s="1399"/>
      <c r="CS1300" s="1399"/>
      <c r="CT1300" s="1399"/>
      <c r="CU1300" s="1399"/>
      <c r="CV1300" s="1399"/>
      <c r="CW1300" s="1399"/>
      <c r="CX1300" s="1399"/>
      <c r="CY1300" s="1399"/>
      <c r="CZ1300" s="1399"/>
      <c r="DA1300" s="1399"/>
      <c r="DB1300" s="1399"/>
      <c r="DC1300" s="1399"/>
      <c r="DD1300" s="1399"/>
      <c r="DE1300" s="1399"/>
      <c r="DF1300" s="1399"/>
      <c r="DG1300" s="1399"/>
      <c r="DH1300" s="1399"/>
      <c r="DI1300" s="1399"/>
      <c r="DJ1300" s="1399"/>
      <c r="DK1300" s="1399"/>
      <c r="DL1300" s="1399"/>
      <c r="DM1300" s="1399"/>
      <c r="DN1300" s="1399"/>
      <c r="DO1300" s="1399"/>
      <c r="DP1300" s="1399"/>
      <c r="DQ1300" s="1399"/>
      <c r="DR1300" s="1399"/>
      <c r="DS1300" s="1399"/>
      <c r="DT1300" s="1399"/>
      <c r="DU1300" s="1399"/>
    </row>
    <row r="1301" spans="1:125">
      <c r="A1301" s="1414"/>
      <c r="B1301" s="1414"/>
      <c r="C1301" s="1414"/>
      <c r="D1301" s="1414"/>
      <c r="E1301" s="1414"/>
      <c r="F1301" s="1414"/>
      <c r="G1301" s="1414"/>
      <c r="H1301" s="1414"/>
      <c r="I1301" s="1414"/>
      <c r="J1301" s="1414"/>
      <c r="K1301" s="1414"/>
      <c r="L1301" s="1414"/>
      <c r="M1301" s="1414"/>
      <c r="N1301" s="1414"/>
      <c r="O1301" s="1414"/>
      <c r="P1301" s="1414"/>
      <c r="Q1301" s="1414"/>
      <c r="R1301" s="1414"/>
      <c r="S1301" s="1414"/>
      <c r="T1301" s="1414"/>
      <c r="U1301" s="1414"/>
      <c r="V1301" s="1414"/>
      <c r="W1301" s="1414"/>
      <c r="X1301" s="1414"/>
      <c r="Y1301" s="1414"/>
      <c r="Z1301" s="1414"/>
      <c r="AA1301" s="1414"/>
      <c r="AB1301" s="1414"/>
      <c r="AC1301" s="1414"/>
      <c r="AD1301" s="1414"/>
      <c r="AE1301" s="1414"/>
      <c r="AF1301" s="1414"/>
      <c r="AG1301" s="1414"/>
      <c r="AH1301" s="1414"/>
      <c r="AI1301" s="1414"/>
      <c r="AJ1301" s="1414"/>
      <c r="AK1301" s="1414"/>
      <c r="AL1301" s="1414"/>
      <c r="AM1301" s="1414"/>
      <c r="AN1301" s="1414"/>
      <c r="AO1301" s="1414"/>
      <c r="AP1301" s="1414"/>
      <c r="AQ1301" s="1414"/>
      <c r="AR1301" s="1414"/>
      <c r="AS1301" s="1414"/>
      <c r="AT1301" s="1414"/>
      <c r="AU1301" s="1414"/>
      <c r="AV1301" s="1414"/>
      <c r="AW1301" s="1414"/>
      <c r="AX1301" s="1414"/>
      <c r="AY1301" s="1399"/>
      <c r="AZ1301" s="1399"/>
      <c r="BA1301" s="1399"/>
      <c r="BB1301" s="1399"/>
      <c r="BC1301" s="1399"/>
      <c r="BD1301" s="1399"/>
      <c r="BE1301" s="1414"/>
      <c r="BF1301" s="1399"/>
      <c r="BG1301" s="1399"/>
      <c r="BH1301" s="1399"/>
      <c r="BI1301" s="1399"/>
      <c r="BJ1301" s="1399"/>
      <c r="BK1301" s="1399"/>
      <c r="BL1301" s="1399"/>
      <c r="BM1301" s="1399"/>
      <c r="BN1301" s="1399"/>
      <c r="BO1301" s="1399"/>
      <c r="BP1301" s="1399"/>
      <c r="BQ1301" s="1399"/>
      <c r="BR1301" s="1399"/>
      <c r="BS1301" s="1399"/>
      <c r="BT1301" s="1399"/>
      <c r="BU1301" s="1399"/>
      <c r="BV1301" s="1399"/>
      <c r="BW1301" s="1399"/>
      <c r="BX1301" s="1399"/>
      <c r="BY1301" s="1399"/>
      <c r="BZ1301" s="1399"/>
      <c r="CA1301" s="1399"/>
      <c r="CB1301" s="1399"/>
      <c r="CC1301" s="1399"/>
      <c r="CD1301" s="1399"/>
      <c r="CE1301" s="1399"/>
      <c r="CF1301" s="1399"/>
      <c r="CG1301" s="1399"/>
      <c r="CH1301" s="1399"/>
      <c r="CI1301" s="1399"/>
      <c r="CJ1301" s="1399"/>
      <c r="CK1301" s="1399"/>
      <c r="CL1301" s="1399"/>
      <c r="CM1301" s="1399"/>
      <c r="CN1301" s="1399"/>
      <c r="CO1301" s="1399"/>
      <c r="CP1301" s="1399"/>
      <c r="CQ1301" s="1399"/>
      <c r="CR1301" s="1399"/>
      <c r="CS1301" s="1399"/>
      <c r="CT1301" s="1399"/>
      <c r="CU1301" s="1399"/>
      <c r="CV1301" s="1399"/>
      <c r="CW1301" s="1399"/>
      <c r="CX1301" s="1399"/>
      <c r="CY1301" s="1399"/>
      <c r="CZ1301" s="1399"/>
      <c r="DA1301" s="1399"/>
      <c r="DB1301" s="1399"/>
      <c r="DC1301" s="1399"/>
      <c r="DD1301" s="1399"/>
      <c r="DE1301" s="1399"/>
      <c r="DF1301" s="1399"/>
      <c r="DG1301" s="1399"/>
      <c r="DH1301" s="1399"/>
      <c r="DI1301" s="1399"/>
      <c r="DJ1301" s="1399"/>
      <c r="DK1301" s="1399"/>
      <c r="DL1301" s="1399"/>
      <c r="DM1301" s="1399"/>
      <c r="DN1301" s="1399"/>
      <c r="DO1301" s="1399"/>
      <c r="DP1301" s="1399"/>
      <c r="DQ1301" s="1399"/>
      <c r="DR1301" s="1399"/>
      <c r="DS1301" s="1399"/>
      <c r="DT1301" s="1399"/>
      <c r="DU1301" s="1399"/>
    </row>
    <row r="1302" spans="1:125">
      <c r="A1302" s="1414"/>
      <c r="B1302" s="1414"/>
      <c r="C1302" s="1414"/>
      <c r="D1302" s="1414"/>
      <c r="E1302" s="1414"/>
      <c r="F1302" s="1414"/>
      <c r="G1302" s="1414"/>
      <c r="H1302" s="1414"/>
      <c r="I1302" s="1414"/>
      <c r="J1302" s="1414"/>
      <c r="K1302" s="1414"/>
      <c r="L1302" s="1414"/>
      <c r="M1302" s="1414"/>
      <c r="N1302" s="1414"/>
      <c r="O1302" s="1414"/>
      <c r="P1302" s="1414"/>
      <c r="Q1302" s="1414"/>
      <c r="R1302" s="1414"/>
      <c r="S1302" s="1414"/>
      <c r="T1302" s="1414"/>
      <c r="U1302" s="1414"/>
      <c r="V1302" s="1414"/>
      <c r="W1302" s="1414"/>
      <c r="X1302" s="1414"/>
      <c r="Y1302" s="1414"/>
      <c r="Z1302" s="1414"/>
      <c r="AA1302" s="1414"/>
      <c r="AB1302" s="1414"/>
      <c r="AC1302" s="1414"/>
      <c r="AD1302" s="1414"/>
      <c r="AE1302" s="1414"/>
      <c r="AF1302" s="1414"/>
      <c r="AG1302" s="1414"/>
      <c r="AH1302" s="1414"/>
      <c r="AI1302" s="1414"/>
      <c r="AJ1302" s="1414"/>
      <c r="AK1302" s="1414"/>
      <c r="AL1302" s="1414"/>
      <c r="AM1302" s="1414"/>
      <c r="AN1302" s="1414"/>
      <c r="AO1302" s="1414"/>
      <c r="AP1302" s="1414"/>
      <c r="AQ1302" s="1414"/>
      <c r="AR1302" s="1414"/>
      <c r="AS1302" s="1414"/>
      <c r="AT1302" s="1414"/>
      <c r="AU1302" s="1414"/>
      <c r="AV1302" s="1414"/>
      <c r="AW1302" s="1414"/>
      <c r="AX1302" s="1414"/>
      <c r="AY1302" s="1399"/>
      <c r="AZ1302" s="1399"/>
      <c r="BA1302" s="1399"/>
      <c r="BB1302" s="1399"/>
      <c r="BC1302" s="1399"/>
      <c r="BD1302" s="1399"/>
      <c r="BE1302" s="1414"/>
      <c r="BF1302" s="1399"/>
      <c r="BG1302" s="1399"/>
      <c r="BH1302" s="1399"/>
      <c r="BI1302" s="1399"/>
      <c r="BJ1302" s="1399"/>
      <c r="BK1302" s="1399"/>
      <c r="BL1302" s="1399"/>
      <c r="BM1302" s="1399"/>
      <c r="BN1302" s="1399"/>
      <c r="BO1302" s="1399"/>
      <c r="BP1302" s="1399"/>
      <c r="BQ1302" s="1399"/>
      <c r="BR1302" s="1399"/>
      <c r="BS1302" s="1399"/>
      <c r="BT1302" s="1399"/>
      <c r="BU1302" s="1399"/>
      <c r="BV1302" s="1399"/>
      <c r="BW1302" s="1399"/>
      <c r="BX1302" s="1399"/>
      <c r="BY1302" s="1399"/>
      <c r="BZ1302" s="1399"/>
      <c r="CA1302" s="1399"/>
      <c r="CB1302" s="1399"/>
      <c r="CC1302" s="1399"/>
      <c r="CD1302" s="1399"/>
      <c r="CE1302" s="1399"/>
      <c r="CF1302" s="1399"/>
      <c r="CG1302" s="1399"/>
      <c r="CH1302" s="1399"/>
      <c r="CI1302" s="1399"/>
      <c r="CJ1302" s="1399"/>
      <c r="CK1302" s="1399"/>
      <c r="CL1302" s="1399"/>
      <c r="CM1302" s="1399"/>
      <c r="CN1302" s="1399"/>
      <c r="CO1302" s="1399"/>
      <c r="CP1302" s="1399"/>
      <c r="CQ1302" s="1399"/>
      <c r="CR1302" s="1399"/>
      <c r="CS1302" s="1399"/>
      <c r="CT1302" s="1399"/>
      <c r="CU1302" s="1399"/>
      <c r="CV1302" s="1399"/>
      <c r="CW1302" s="1399"/>
      <c r="CX1302" s="1399"/>
      <c r="CY1302" s="1399"/>
      <c r="CZ1302" s="1399"/>
      <c r="DA1302" s="1399"/>
      <c r="DB1302" s="1399"/>
      <c r="DC1302" s="1399"/>
      <c r="DD1302" s="1399"/>
      <c r="DE1302" s="1399"/>
      <c r="DF1302" s="1399"/>
      <c r="DG1302" s="1399"/>
      <c r="DH1302" s="1399"/>
      <c r="DI1302" s="1399"/>
      <c r="DJ1302" s="1399"/>
      <c r="DK1302" s="1399"/>
      <c r="DL1302" s="1399"/>
      <c r="DM1302" s="1399"/>
      <c r="DN1302" s="1399"/>
      <c r="DO1302" s="1399"/>
      <c r="DP1302" s="1399"/>
      <c r="DQ1302" s="1399"/>
      <c r="DR1302" s="1399"/>
      <c r="DS1302" s="1399"/>
      <c r="DT1302" s="1399"/>
      <c r="DU1302" s="1399"/>
    </row>
    <row r="1303" spans="1:125">
      <c r="A1303" s="1414"/>
      <c r="B1303" s="1414"/>
      <c r="C1303" s="1414"/>
      <c r="D1303" s="1414"/>
      <c r="E1303" s="1414"/>
      <c r="F1303" s="1414"/>
      <c r="G1303" s="1414"/>
      <c r="H1303" s="1414"/>
      <c r="I1303" s="1414"/>
      <c r="J1303" s="1414"/>
      <c r="K1303" s="1414"/>
      <c r="L1303" s="1414"/>
      <c r="M1303" s="1414"/>
      <c r="N1303" s="1414"/>
      <c r="O1303" s="1414"/>
      <c r="P1303" s="1414"/>
      <c r="Q1303" s="1414"/>
      <c r="R1303" s="1414"/>
      <c r="S1303" s="1414"/>
      <c r="T1303" s="1414"/>
      <c r="U1303" s="1414"/>
      <c r="V1303" s="1414"/>
      <c r="W1303" s="1414"/>
      <c r="X1303" s="1414"/>
      <c r="Y1303" s="1414"/>
      <c r="Z1303" s="1414"/>
      <c r="AA1303" s="1414"/>
      <c r="AB1303" s="1414"/>
      <c r="AC1303" s="1414"/>
      <c r="AD1303" s="1414"/>
      <c r="AE1303" s="1414"/>
      <c r="AF1303" s="1414"/>
      <c r="AG1303" s="1414"/>
      <c r="AH1303" s="1414"/>
      <c r="AI1303" s="1414"/>
      <c r="AJ1303" s="1414"/>
      <c r="AK1303" s="1414"/>
      <c r="AL1303" s="1414"/>
      <c r="AM1303" s="1414"/>
      <c r="AN1303" s="1414"/>
      <c r="AO1303" s="1414"/>
      <c r="AP1303" s="1414"/>
      <c r="AQ1303" s="1414"/>
      <c r="AR1303" s="1414"/>
      <c r="AS1303" s="1414"/>
      <c r="AT1303" s="1414"/>
      <c r="AU1303" s="1414"/>
      <c r="AV1303" s="1414"/>
      <c r="AW1303" s="1414"/>
      <c r="AX1303" s="1414"/>
      <c r="AY1303" s="1399"/>
      <c r="AZ1303" s="1399"/>
      <c r="BA1303" s="1399"/>
      <c r="BB1303" s="1399"/>
      <c r="BC1303" s="1399"/>
      <c r="BD1303" s="1399"/>
      <c r="BE1303" s="1414"/>
      <c r="BF1303" s="1399"/>
      <c r="BG1303" s="1399"/>
      <c r="BH1303" s="1399"/>
      <c r="BI1303" s="1399"/>
      <c r="BJ1303" s="1399"/>
      <c r="BK1303" s="1399"/>
      <c r="BL1303" s="1399"/>
      <c r="BM1303" s="1399"/>
      <c r="BN1303" s="1399"/>
      <c r="BO1303" s="1399"/>
      <c r="BP1303" s="1399"/>
      <c r="BQ1303" s="1399"/>
      <c r="BR1303" s="1399"/>
      <c r="BS1303" s="1399"/>
      <c r="BT1303" s="1399"/>
      <c r="BU1303" s="1399"/>
      <c r="BV1303" s="1399"/>
      <c r="BW1303" s="1399"/>
      <c r="BX1303" s="1399"/>
      <c r="BY1303" s="1399"/>
      <c r="BZ1303" s="1399"/>
      <c r="CA1303" s="1399"/>
      <c r="CB1303" s="1399"/>
      <c r="CC1303" s="1399"/>
      <c r="CD1303" s="1399"/>
      <c r="CE1303" s="1399"/>
      <c r="CF1303" s="1399"/>
      <c r="CG1303" s="1399"/>
      <c r="CH1303" s="1399"/>
      <c r="CI1303" s="1399"/>
      <c r="CJ1303" s="1399"/>
      <c r="CK1303" s="1399"/>
      <c r="CL1303" s="1399"/>
      <c r="CM1303" s="1399"/>
      <c r="CN1303" s="1399"/>
      <c r="CO1303" s="1399"/>
      <c r="CP1303" s="1399"/>
      <c r="CQ1303" s="1399"/>
      <c r="CR1303" s="1399"/>
      <c r="CS1303" s="1399"/>
      <c r="CT1303" s="1399"/>
      <c r="CU1303" s="1399"/>
      <c r="CV1303" s="1399"/>
      <c r="CW1303" s="1399"/>
      <c r="CX1303" s="1399"/>
      <c r="CY1303" s="1399"/>
      <c r="CZ1303" s="1399"/>
      <c r="DA1303" s="1399"/>
      <c r="DB1303" s="1399"/>
      <c r="DC1303" s="1399"/>
      <c r="DD1303" s="1399"/>
      <c r="DE1303" s="1399"/>
      <c r="DF1303" s="1399"/>
      <c r="DG1303" s="1399"/>
      <c r="DH1303" s="1399"/>
      <c r="DI1303" s="1399"/>
      <c r="DJ1303" s="1399"/>
      <c r="DK1303" s="1399"/>
      <c r="DL1303" s="1399"/>
      <c r="DM1303" s="1399"/>
      <c r="DN1303" s="1399"/>
      <c r="DO1303" s="1399"/>
      <c r="DP1303" s="1399"/>
      <c r="DQ1303" s="1399"/>
      <c r="DR1303" s="1399"/>
      <c r="DS1303" s="1399"/>
      <c r="DT1303" s="1399"/>
      <c r="DU1303" s="1399"/>
    </row>
    <row r="1304" spans="1:125">
      <c r="A1304" s="1414"/>
      <c r="B1304" s="1414"/>
      <c r="C1304" s="1414"/>
      <c r="D1304" s="1414"/>
      <c r="E1304" s="1414"/>
      <c r="F1304" s="1414"/>
      <c r="G1304" s="1414"/>
      <c r="H1304" s="1414"/>
      <c r="I1304" s="1414"/>
      <c r="J1304" s="1414"/>
      <c r="K1304" s="1414"/>
      <c r="L1304" s="1414"/>
      <c r="M1304" s="1414"/>
      <c r="N1304" s="1414"/>
      <c r="O1304" s="1414"/>
      <c r="P1304" s="1414"/>
      <c r="Q1304" s="1414"/>
      <c r="R1304" s="1414"/>
      <c r="S1304" s="1414"/>
      <c r="T1304" s="1414"/>
      <c r="U1304" s="1414"/>
      <c r="V1304" s="1414"/>
      <c r="W1304" s="1414"/>
      <c r="X1304" s="1414"/>
      <c r="Y1304" s="1414"/>
      <c r="Z1304" s="1414"/>
      <c r="AA1304" s="1414"/>
      <c r="AB1304" s="1414"/>
      <c r="AC1304" s="1414"/>
      <c r="AD1304" s="1414"/>
      <c r="AE1304" s="1414"/>
      <c r="AF1304" s="1414"/>
      <c r="AG1304" s="1414"/>
      <c r="AH1304" s="1414"/>
      <c r="AI1304" s="1414"/>
      <c r="AJ1304" s="1414"/>
      <c r="AK1304" s="1414"/>
      <c r="AL1304" s="1414"/>
      <c r="AM1304" s="1414"/>
      <c r="AN1304" s="1414"/>
      <c r="AO1304" s="1414"/>
      <c r="AP1304" s="1414"/>
      <c r="AQ1304" s="1414"/>
      <c r="AR1304" s="1414"/>
      <c r="AS1304" s="1414"/>
      <c r="AT1304" s="1414"/>
      <c r="AU1304" s="1414"/>
      <c r="AV1304" s="1414"/>
      <c r="AW1304" s="1414"/>
      <c r="AX1304" s="1414"/>
      <c r="AY1304" s="1399"/>
      <c r="AZ1304" s="1399"/>
      <c r="BA1304" s="1399"/>
      <c r="BB1304" s="1399"/>
      <c r="BC1304" s="1399"/>
      <c r="BD1304" s="1399"/>
      <c r="BE1304" s="1414"/>
      <c r="BF1304" s="1399"/>
      <c r="BG1304" s="1399"/>
      <c r="BH1304" s="1399"/>
      <c r="BI1304" s="1399"/>
      <c r="BJ1304" s="1399"/>
      <c r="BK1304" s="1399"/>
      <c r="BL1304" s="1399"/>
      <c r="BM1304" s="1399"/>
      <c r="BN1304" s="1399"/>
      <c r="BO1304" s="1399"/>
      <c r="BP1304" s="1399"/>
      <c r="BQ1304" s="1399"/>
      <c r="BR1304" s="1399"/>
      <c r="BS1304" s="1399"/>
      <c r="BT1304" s="1399"/>
      <c r="BU1304" s="1399"/>
      <c r="BV1304" s="1399"/>
      <c r="BW1304" s="1399"/>
      <c r="BX1304" s="1399"/>
      <c r="BY1304" s="1399"/>
      <c r="BZ1304" s="1399"/>
      <c r="CA1304" s="1399"/>
      <c r="CB1304" s="1399"/>
      <c r="CC1304" s="1399"/>
      <c r="CD1304" s="1399"/>
      <c r="CE1304" s="1399"/>
      <c r="CF1304" s="1399"/>
      <c r="CG1304" s="1399"/>
      <c r="CH1304" s="1399"/>
      <c r="CI1304" s="1399"/>
      <c r="CJ1304" s="1399"/>
      <c r="CK1304" s="1399"/>
      <c r="CL1304" s="1399"/>
      <c r="CM1304" s="1399"/>
      <c r="CN1304" s="1399"/>
      <c r="CO1304" s="1399"/>
      <c r="CP1304" s="1399"/>
      <c r="CQ1304" s="1399"/>
      <c r="CR1304" s="1399"/>
      <c r="CS1304" s="1399"/>
      <c r="CT1304" s="1399"/>
      <c r="CU1304" s="1399"/>
      <c r="CV1304" s="1399"/>
      <c r="CW1304" s="1399"/>
      <c r="CX1304" s="1399"/>
      <c r="CY1304" s="1399"/>
      <c r="CZ1304" s="1399"/>
      <c r="DA1304" s="1399"/>
      <c r="DB1304" s="1399"/>
      <c r="DC1304" s="1399"/>
      <c r="DD1304" s="1399"/>
      <c r="DE1304" s="1399"/>
      <c r="DF1304" s="1399"/>
      <c r="DG1304" s="1399"/>
      <c r="DH1304" s="1399"/>
      <c r="DI1304" s="1399"/>
      <c r="DJ1304" s="1399"/>
      <c r="DK1304" s="1399"/>
      <c r="DL1304" s="1399"/>
      <c r="DM1304" s="1399"/>
      <c r="DN1304" s="1399"/>
      <c r="DO1304" s="1399"/>
      <c r="DP1304" s="1399"/>
      <c r="DQ1304" s="1399"/>
      <c r="DR1304" s="1399"/>
      <c r="DS1304" s="1399"/>
      <c r="DT1304" s="1399"/>
      <c r="DU1304" s="1399"/>
    </row>
    <row r="1305" spans="1:125">
      <c r="A1305" s="1414"/>
      <c r="B1305" s="1414"/>
      <c r="C1305" s="1414"/>
      <c r="D1305" s="1414"/>
      <c r="E1305" s="1414"/>
      <c r="F1305" s="1414"/>
      <c r="G1305" s="1414"/>
      <c r="H1305" s="1414"/>
      <c r="I1305" s="1414"/>
      <c r="J1305" s="1414"/>
      <c r="K1305" s="1414"/>
      <c r="L1305" s="1414"/>
      <c r="M1305" s="1414"/>
      <c r="N1305" s="1414"/>
      <c r="O1305" s="1414"/>
      <c r="P1305" s="1414"/>
      <c r="Q1305" s="1414"/>
      <c r="R1305" s="1414"/>
      <c r="S1305" s="1414"/>
      <c r="T1305" s="1414"/>
      <c r="U1305" s="1414"/>
      <c r="V1305" s="1414"/>
      <c r="W1305" s="1414"/>
      <c r="X1305" s="1414"/>
      <c r="Y1305" s="1414"/>
      <c r="Z1305" s="1414"/>
      <c r="AA1305" s="1414"/>
      <c r="AB1305" s="1414"/>
      <c r="AC1305" s="1414"/>
      <c r="AD1305" s="1414"/>
      <c r="AE1305" s="1414"/>
      <c r="AF1305" s="1414"/>
      <c r="AG1305" s="1414"/>
      <c r="AH1305" s="1414"/>
      <c r="AI1305" s="1414"/>
      <c r="AJ1305" s="1414"/>
      <c r="AK1305" s="1414"/>
      <c r="AL1305" s="1414"/>
      <c r="AM1305" s="1414"/>
      <c r="AN1305" s="1414"/>
      <c r="AO1305" s="1414"/>
      <c r="AP1305" s="1414"/>
      <c r="AQ1305" s="1414"/>
      <c r="AR1305" s="1414"/>
      <c r="AS1305" s="1414"/>
      <c r="AT1305" s="1414"/>
      <c r="AU1305" s="1414"/>
      <c r="AV1305" s="1414"/>
      <c r="AW1305" s="1414"/>
      <c r="AX1305" s="1414"/>
      <c r="AY1305" s="1399"/>
      <c r="AZ1305" s="1399"/>
      <c r="BA1305" s="1399"/>
      <c r="BB1305" s="1399"/>
      <c r="BC1305" s="1399"/>
      <c r="BD1305" s="1399"/>
      <c r="BE1305" s="1414"/>
      <c r="BF1305" s="1399"/>
      <c r="BG1305" s="1399"/>
      <c r="BH1305" s="1399"/>
      <c r="BI1305" s="1399"/>
      <c r="BJ1305" s="1399"/>
      <c r="BK1305" s="1399"/>
      <c r="BL1305" s="1399"/>
      <c r="BM1305" s="1399"/>
      <c r="BN1305" s="1399"/>
      <c r="BO1305" s="1399"/>
      <c r="BP1305" s="1399"/>
      <c r="BQ1305" s="1399"/>
      <c r="BR1305" s="1399"/>
      <c r="BS1305" s="1399"/>
      <c r="BT1305" s="1399"/>
      <c r="BU1305" s="1399"/>
      <c r="BV1305" s="1399"/>
      <c r="BW1305" s="1399"/>
      <c r="BX1305" s="1399"/>
      <c r="BY1305" s="1399"/>
      <c r="BZ1305" s="1399"/>
      <c r="CA1305" s="1399"/>
      <c r="CB1305" s="1399"/>
      <c r="CC1305" s="1399"/>
      <c r="CD1305" s="1399"/>
      <c r="CE1305" s="1399"/>
      <c r="CF1305" s="1399"/>
      <c r="CG1305" s="1399"/>
      <c r="CH1305" s="1399"/>
      <c r="CI1305" s="1399"/>
      <c r="CJ1305" s="1399"/>
      <c r="CK1305" s="1399"/>
      <c r="CL1305" s="1399"/>
      <c r="CM1305" s="1399"/>
      <c r="CN1305" s="1399"/>
      <c r="CO1305" s="1399"/>
      <c r="CP1305" s="1399"/>
      <c r="CQ1305" s="1399"/>
      <c r="CR1305" s="1399"/>
      <c r="CS1305" s="1399"/>
      <c r="CT1305" s="1399"/>
      <c r="CU1305" s="1399"/>
      <c r="CV1305" s="1399"/>
      <c r="CW1305" s="1399"/>
      <c r="CX1305" s="1399"/>
      <c r="CY1305" s="1399"/>
      <c r="CZ1305" s="1399"/>
      <c r="DA1305" s="1399"/>
      <c r="DB1305" s="1399"/>
      <c r="DC1305" s="1399"/>
      <c r="DD1305" s="1399"/>
      <c r="DE1305" s="1399"/>
      <c r="DF1305" s="1399"/>
      <c r="DG1305" s="1399"/>
      <c r="DH1305" s="1399"/>
      <c r="DI1305" s="1399"/>
      <c r="DJ1305" s="1399"/>
      <c r="DK1305" s="1399"/>
      <c r="DL1305" s="1399"/>
      <c r="DM1305" s="1399"/>
      <c r="DN1305" s="1399"/>
      <c r="DO1305" s="1399"/>
      <c r="DP1305" s="1399"/>
      <c r="DQ1305" s="1399"/>
      <c r="DR1305" s="1399"/>
      <c r="DS1305" s="1399"/>
      <c r="DT1305" s="1399"/>
      <c r="DU1305" s="1399"/>
    </row>
    <row r="1306" spans="1:125">
      <c r="A1306" s="1414"/>
      <c r="B1306" s="1414"/>
      <c r="C1306" s="1414"/>
      <c r="D1306" s="1414"/>
      <c r="E1306" s="1414"/>
      <c r="F1306" s="1414"/>
      <c r="G1306" s="1414"/>
      <c r="H1306" s="1414"/>
      <c r="I1306" s="1414"/>
      <c r="J1306" s="1414"/>
      <c r="K1306" s="1414"/>
      <c r="L1306" s="1414"/>
      <c r="M1306" s="1414"/>
      <c r="N1306" s="1414"/>
      <c r="O1306" s="1414"/>
      <c r="P1306" s="1414"/>
      <c r="Q1306" s="1414"/>
      <c r="R1306" s="1414"/>
      <c r="S1306" s="1414"/>
      <c r="T1306" s="1414"/>
      <c r="U1306" s="1414"/>
      <c r="V1306" s="1414"/>
      <c r="W1306" s="1414"/>
      <c r="X1306" s="1414"/>
      <c r="Y1306" s="1414"/>
      <c r="Z1306" s="1414"/>
      <c r="AA1306" s="1414"/>
      <c r="AB1306" s="1414"/>
      <c r="AC1306" s="1414"/>
      <c r="AD1306" s="1414"/>
      <c r="AE1306" s="1414"/>
      <c r="AF1306" s="1414"/>
      <c r="AG1306" s="1414"/>
      <c r="AH1306" s="1414"/>
      <c r="AI1306" s="1414"/>
      <c r="AJ1306" s="1414"/>
      <c r="AK1306" s="1414"/>
      <c r="AL1306" s="1414"/>
      <c r="AM1306" s="1414"/>
      <c r="AN1306" s="1414"/>
      <c r="AO1306" s="1414"/>
      <c r="AP1306" s="1414"/>
      <c r="AQ1306" s="1414"/>
      <c r="AR1306" s="1414"/>
      <c r="AS1306" s="1414"/>
      <c r="AT1306" s="1414"/>
      <c r="AU1306" s="1414"/>
      <c r="AV1306" s="1414"/>
      <c r="AW1306" s="1414"/>
      <c r="AX1306" s="1414"/>
      <c r="AY1306" s="1399"/>
      <c r="AZ1306" s="1399"/>
      <c r="BA1306" s="1399"/>
      <c r="BB1306" s="1399"/>
      <c r="BC1306" s="1399"/>
      <c r="BD1306" s="1399"/>
      <c r="BE1306" s="1414"/>
      <c r="BF1306" s="1399"/>
      <c r="BG1306" s="1399"/>
      <c r="BH1306" s="1399"/>
      <c r="BI1306" s="1399"/>
      <c r="BJ1306" s="1399"/>
      <c r="BK1306" s="1399"/>
      <c r="BL1306" s="1399"/>
      <c r="BM1306" s="1399"/>
      <c r="BN1306" s="1399"/>
      <c r="BO1306" s="1399"/>
      <c r="BP1306" s="1399"/>
      <c r="BQ1306" s="1399"/>
      <c r="BR1306" s="1399"/>
      <c r="BS1306" s="1399"/>
      <c r="BT1306" s="1399"/>
      <c r="BU1306" s="1399"/>
      <c r="BV1306" s="1399"/>
      <c r="BW1306" s="1399"/>
      <c r="BX1306" s="1399"/>
      <c r="BY1306" s="1399"/>
      <c r="BZ1306" s="1399"/>
      <c r="CA1306" s="1399"/>
      <c r="CB1306" s="1399"/>
      <c r="CC1306" s="1399"/>
      <c r="CD1306" s="1399"/>
      <c r="CE1306" s="1399"/>
      <c r="CF1306" s="1399"/>
      <c r="CG1306" s="1399"/>
      <c r="CH1306" s="1399"/>
      <c r="CI1306" s="1399"/>
      <c r="CJ1306" s="1399"/>
      <c r="CK1306" s="1399"/>
      <c r="CL1306" s="1399"/>
      <c r="CM1306" s="1399"/>
      <c r="CN1306" s="1399"/>
      <c r="CO1306" s="1399"/>
      <c r="CP1306" s="1399"/>
      <c r="CQ1306" s="1399"/>
      <c r="CR1306" s="1399"/>
      <c r="CS1306" s="1399"/>
      <c r="CT1306" s="1399"/>
      <c r="CU1306" s="1399"/>
      <c r="CV1306" s="1399"/>
      <c r="CW1306" s="1399"/>
      <c r="CX1306" s="1399"/>
      <c r="CY1306" s="1399"/>
      <c r="CZ1306" s="1399"/>
      <c r="DA1306" s="1399"/>
      <c r="DB1306" s="1399"/>
      <c r="DC1306" s="1399"/>
      <c r="DD1306" s="1399"/>
      <c r="DE1306" s="1399"/>
      <c r="DF1306" s="1399"/>
      <c r="DG1306" s="1399"/>
      <c r="DH1306" s="1399"/>
      <c r="DI1306" s="1399"/>
      <c r="DJ1306" s="1399"/>
      <c r="DK1306" s="1399"/>
      <c r="DL1306" s="1399"/>
      <c r="DM1306" s="1399"/>
      <c r="DN1306" s="1399"/>
      <c r="DO1306" s="1399"/>
      <c r="DP1306" s="1399"/>
      <c r="DQ1306" s="1399"/>
      <c r="DR1306" s="1399"/>
      <c r="DS1306" s="1399"/>
      <c r="DT1306" s="1399"/>
      <c r="DU1306" s="1399"/>
    </row>
    <row r="1307" spans="1:125">
      <c r="A1307" s="1414"/>
      <c r="B1307" s="1414"/>
      <c r="C1307" s="1414"/>
      <c r="D1307" s="1414"/>
      <c r="E1307" s="1414"/>
      <c r="F1307" s="1414"/>
      <c r="G1307" s="1414"/>
      <c r="H1307" s="1414"/>
      <c r="I1307" s="1414"/>
      <c r="J1307" s="1414"/>
      <c r="K1307" s="1414"/>
      <c r="L1307" s="1414"/>
      <c r="M1307" s="1414"/>
      <c r="N1307" s="1414"/>
      <c r="O1307" s="1414"/>
      <c r="P1307" s="1414"/>
      <c r="Q1307" s="1414"/>
      <c r="R1307" s="1414"/>
      <c r="S1307" s="1414"/>
      <c r="T1307" s="1414"/>
      <c r="U1307" s="1414"/>
      <c r="V1307" s="1414"/>
      <c r="W1307" s="1414"/>
      <c r="X1307" s="1414"/>
      <c r="Y1307" s="1414"/>
      <c r="Z1307" s="1414"/>
      <c r="AA1307" s="1414"/>
      <c r="AB1307" s="1414"/>
      <c r="AC1307" s="1414"/>
      <c r="AD1307" s="1414"/>
      <c r="AE1307" s="1414"/>
      <c r="AF1307" s="1414"/>
      <c r="AG1307" s="1414"/>
      <c r="AH1307" s="1414"/>
      <c r="AI1307" s="1414"/>
      <c r="AJ1307" s="1414"/>
      <c r="AK1307" s="1414"/>
      <c r="AL1307" s="1414"/>
      <c r="AM1307" s="1414"/>
      <c r="AN1307" s="1414"/>
      <c r="AO1307" s="1414"/>
      <c r="AP1307" s="1414"/>
      <c r="AQ1307" s="1414"/>
      <c r="AR1307" s="1414"/>
      <c r="AS1307" s="1414"/>
      <c r="AT1307" s="1414"/>
      <c r="AU1307" s="1414"/>
      <c r="AV1307" s="1414"/>
      <c r="AW1307" s="1414"/>
      <c r="AX1307" s="1414"/>
      <c r="AY1307" s="1399"/>
      <c r="AZ1307" s="1399"/>
      <c r="BA1307" s="1399"/>
      <c r="BB1307" s="1399"/>
      <c r="BC1307" s="1399"/>
      <c r="BD1307" s="1399"/>
      <c r="BE1307" s="1414"/>
      <c r="BF1307" s="1399"/>
      <c r="BG1307" s="1399"/>
      <c r="BH1307" s="1399"/>
      <c r="BI1307" s="1399"/>
      <c r="BJ1307" s="1399"/>
      <c r="BK1307" s="1399"/>
      <c r="BL1307" s="1399"/>
      <c r="BM1307" s="1399"/>
      <c r="BN1307" s="1399"/>
      <c r="BO1307" s="1399"/>
      <c r="BP1307" s="1399"/>
      <c r="BQ1307" s="1399"/>
      <c r="BR1307" s="1399"/>
      <c r="BS1307" s="1399"/>
      <c r="BT1307" s="1399"/>
      <c r="BU1307" s="1399"/>
      <c r="BV1307" s="1399"/>
      <c r="BW1307" s="1399"/>
      <c r="BX1307" s="1399"/>
      <c r="BY1307" s="1399"/>
      <c r="BZ1307" s="1399"/>
      <c r="CA1307" s="1399"/>
      <c r="CB1307" s="1399"/>
      <c r="CC1307" s="1399"/>
      <c r="CD1307" s="1399"/>
      <c r="CE1307" s="1399"/>
      <c r="CF1307" s="1399"/>
      <c r="CG1307" s="1399"/>
      <c r="CH1307" s="1399"/>
      <c r="CI1307" s="1399"/>
      <c r="CJ1307" s="1399"/>
      <c r="CK1307" s="1399"/>
      <c r="CL1307" s="1399"/>
      <c r="CM1307" s="1399"/>
      <c r="CN1307" s="1399"/>
      <c r="CO1307" s="1399"/>
      <c r="CP1307" s="1399"/>
      <c r="CQ1307" s="1399"/>
      <c r="CR1307" s="1399"/>
      <c r="CS1307" s="1399"/>
      <c r="CT1307" s="1399"/>
      <c r="CU1307" s="1399"/>
      <c r="CV1307" s="1399"/>
      <c r="CW1307" s="1399"/>
      <c r="CX1307" s="1399"/>
      <c r="CY1307" s="1399"/>
      <c r="CZ1307" s="1399"/>
      <c r="DA1307" s="1399"/>
      <c r="DB1307" s="1399"/>
      <c r="DC1307" s="1399"/>
      <c r="DD1307" s="1399"/>
      <c r="DE1307" s="1399"/>
      <c r="DF1307" s="1399"/>
      <c r="DG1307" s="1399"/>
      <c r="DH1307" s="1399"/>
      <c r="DI1307" s="1399"/>
      <c r="DJ1307" s="1399"/>
      <c r="DK1307" s="1399"/>
      <c r="DL1307" s="1399"/>
      <c r="DM1307" s="1399"/>
      <c r="DN1307" s="1399"/>
      <c r="DO1307" s="1399"/>
      <c r="DP1307" s="1399"/>
      <c r="DQ1307" s="1399"/>
      <c r="DR1307" s="1399"/>
      <c r="DS1307" s="1399"/>
      <c r="DT1307" s="1399"/>
      <c r="DU1307" s="1399"/>
    </row>
    <row r="1308" spans="1:125">
      <c r="A1308" s="1414"/>
      <c r="B1308" s="1414"/>
      <c r="C1308" s="1414"/>
      <c r="D1308" s="1414"/>
      <c r="E1308" s="1414"/>
      <c r="F1308" s="1414"/>
      <c r="G1308" s="1414"/>
      <c r="H1308" s="1414"/>
      <c r="I1308" s="1414"/>
      <c r="J1308" s="1414"/>
      <c r="K1308" s="1414"/>
      <c r="L1308" s="1414"/>
      <c r="M1308" s="1414"/>
      <c r="N1308" s="1414"/>
      <c r="O1308" s="1414"/>
      <c r="P1308" s="1414"/>
      <c r="Q1308" s="1414"/>
      <c r="R1308" s="1414"/>
      <c r="S1308" s="1414"/>
      <c r="T1308" s="1414"/>
      <c r="U1308" s="1414"/>
      <c r="V1308" s="1414"/>
      <c r="W1308" s="1414"/>
      <c r="X1308" s="1414"/>
      <c r="Y1308" s="1414"/>
      <c r="Z1308" s="1414"/>
      <c r="AA1308" s="1414"/>
      <c r="AB1308" s="1414"/>
      <c r="AC1308" s="1414"/>
      <c r="AD1308" s="1414"/>
      <c r="AE1308" s="1414"/>
      <c r="AF1308" s="1414"/>
      <c r="AG1308" s="1414"/>
      <c r="AH1308" s="1414"/>
      <c r="AI1308" s="1414"/>
      <c r="AJ1308" s="1414"/>
      <c r="AK1308" s="1414"/>
      <c r="AL1308" s="1414"/>
      <c r="AM1308" s="1414"/>
      <c r="AN1308" s="1414"/>
      <c r="AO1308" s="1414"/>
      <c r="AP1308" s="1414"/>
      <c r="AQ1308" s="1414"/>
      <c r="AR1308" s="1414"/>
      <c r="AS1308" s="1414"/>
      <c r="AT1308" s="1414"/>
      <c r="AU1308" s="1414"/>
      <c r="AV1308" s="1414"/>
      <c r="AW1308" s="1414"/>
      <c r="AX1308" s="1414"/>
      <c r="AY1308" s="1399"/>
      <c r="AZ1308" s="1399"/>
      <c r="BA1308" s="1399"/>
      <c r="BB1308" s="1399"/>
      <c r="BC1308" s="1399"/>
      <c r="BD1308" s="1399"/>
      <c r="BE1308" s="1414"/>
      <c r="BF1308" s="1399"/>
      <c r="BG1308" s="1399"/>
      <c r="BH1308" s="1399"/>
      <c r="BI1308" s="1399"/>
      <c r="BJ1308" s="1399"/>
      <c r="BK1308" s="1399"/>
      <c r="BL1308" s="1399"/>
      <c r="BM1308" s="1399"/>
      <c r="BN1308" s="1399"/>
      <c r="BO1308" s="1399"/>
      <c r="BP1308" s="1399"/>
      <c r="BQ1308" s="1399"/>
      <c r="BR1308" s="1399"/>
      <c r="BS1308" s="1399"/>
      <c r="BT1308" s="1399"/>
      <c r="BU1308" s="1399"/>
      <c r="BV1308" s="1399"/>
      <c r="BW1308" s="1399"/>
      <c r="BX1308" s="1399"/>
      <c r="BY1308" s="1399"/>
      <c r="BZ1308" s="1399"/>
      <c r="CA1308" s="1399"/>
      <c r="CB1308" s="1399"/>
      <c r="CC1308" s="1399"/>
      <c r="CD1308" s="1399"/>
      <c r="CE1308" s="1399"/>
      <c r="CF1308" s="1399"/>
      <c r="CG1308" s="1399"/>
      <c r="CH1308" s="1399"/>
      <c r="CI1308" s="1399"/>
      <c r="CJ1308" s="1399"/>
      <c r="CK1308" s="1399"/>
      <c r="CL1308" s="1399"/>
      <c r="CM1308" s="1399"/>
      <c r="CN1308" s="1399"/>
      <c r="CO1308" s="1399"/>
      <c r="CP1308" s="1399"/>
      <c r="CQ1308" s="1399"/>
      <c r="CR1308" s="1399"/>
      <c r="CS1308" s="1399"/>
      <c r="CT1308" s="1399"/>
      <c r="CU1308" s="1399"/>
      <c r="CV1308" s="1399"/>
      <c r="CW1308" s="1399"/>
      <c r="CX1308" s="1399"/>
      <c r="CY1308" s="1399"/>
      <c r="CZ1308" s="1399"/>
      <c r="DA1308" s="1399"/>
      <c r="DB1308" s="1399"/>
      <c r="DC1308" s="1399"/>
      <c r="DD1308" s="1399"/>
      <c r="DE1308" s="1399"/>
      <c r="DF1308" s="1399"/>
      <c r="DG1308" s="1399"/>
      <c r="DH1308" s="1399"/>
      <c r="DI1308" s="1399"/>
      <c r="DJ1308" s="1399"/>
      <c r="DK1308" s="1399"/>
      <c r="DL1308" s="1399"/>
      <c r="DM1308" s="1399"/>
      <c r="DN1308" s="1399"/>
      <c r="DO1308" s="1399"/>
      <c r="DP1308" s="1399"/>
      <c r="DQ1308" s="1399"/>
      <c r="DR1308" s="1399"/>
      <c r="DS1308" s="1399"/>
      <c r="DT1308" s="1399"/>
      <c r="DU1308" s="1399"/>
    </row>
    <row r="1309" spans="1:125">
      <c r="A1309" s="1414"/>
      <c r="B1309" s="1414"/>
      <c r="C1309" s="1414"/>
      <c r="D1309" s="1414"/>
      <c r="E1309" s="1414"/>
      <c r="F1309" s="1414"/>
      <c r="G1309" s="1414"/>
      <c r="H1309" s="1414"/>
      <c r="I1309" s="1414"/>
      <c r="J1309" s="1414"/>
      <c r="K1309" s="1414"/>
      <c r="L1309" s="1414"/>
      <c r="M1309" s="1414"/>
      <c r="N1309" s="1414"/>
      <c r="O1309" s="1414"/>
      <c r="P1309" s="1414"/>
      <c r="Q1309" s="1414"/>
      <c r="R1309" s="1414"/>
      <c r="S1309" s="1414"/>
      <c r="T1309" s="1414"/>
      <c r="U1309" s="1414"/>
      <c r="V1309" s="1414"/>
      <c r="W1309" s="1414"/>
      <c r="X1309" s="1414"/>
      <c r="Y1309" s="1414"/>
      <c r="Z1309" s="1414"/>
      <c r="AA1309" s="1414"/>
      <c r="AB1309" s="1414"/>
      <c r="AC1309" s="1414"/>
      <c r="AD1309" s="1414"/>
      <c r="AE1309" s="1414"/>
      <c r="AF1309" s="1414"/>
      <c r="AG1309" s="1414"/>
      <c r="AH1309" s="1414"/>
      <c r="AI1309" s="1414"/>
      <c r="AJ1309" s="1414"/>
      <c r="AK1309" s="1414"/>
      <c r="AL1309" s="1414"/>
      <c r="AM1309" s="1414"/>
      <c r="AN1309" s="1414"/>
      <c r="AO1309" s="1414"/>
      <c r="AP1309" s="1414"/>
      <c r="AQ1309" s="1414"/>
      <c r="AR1309" s="1414"/>
      <c r="AS1309" s="1414"/>
      <c r="AT1309" s="1414"/>
      <c r="AU1309" s="1414"/>
      <c r="AV1309" s="1414"/>
      <c r="AW1309" s="1414"/>
      <c r="AX1309" s="1414"/>
      <c r="AY1309" s="1399"/>
      <c r="AZ1309" s="1399"/>
      <c r="BA1309" s="1399"/>
      <c r="BB1309" s="1399"/>
      <c r="BC1309" s="1399"/>
      <c r="BD1309" s="1399"/>
      <c r="BE1309" s="1414"/>
      <c r="BF1309" s="1399"/>
      <c r="BG1309" s="1399"/>
      <c r="BH1309" s="1399"/>
      <c r="BI1309" s="1399"/>
      <c r="BJ1309" s="1399"/>
      <c r="BK1309" s="1399"/>
      <c r="BL1309" s="1399"/>
      <c r="BM1309" s="1399"/>
      <c r="BN1309" s="1399"/>
      <c r="BO1309" s="1399"/>
      <c r="BP1309" s="1399"/>
      <c r="BQ1309" s="1399"/>
      <c r="BR1309" s="1399"/>
      <c r="BS1309" s="1399"/>
      <c r="BT1309" s="1399"/>
      <c r="BU1309" s="1399"/>
      <c r="BV1309" s="1399"/>
      <c r="BW1309" s="1399"/>
      <c r="BX1309" s="1399"/>
      <c r="BY1309" s="1399"/>
      <c r="BZ1309" s="1399"/>
      <c r="CA1309" s="1399"/>
      <c r="CB1309" s="1399"/>
      <c r="CC1309" s="1399"/>
      <c r="CD1309" s="1399"/>
      <c r="CE1309" s="1399"/>
      <c r="CF1309" s="1399"/>
      <c r="CG1309" s="1399"/>
      <c r="CH1309" s="1399"/>
      <c r="CI1309" s="1399"/>
      <c r="CJ1309" s="1399"/>
      <c r="CK1309" s="1399"/>
      <c r="CL1309" s="1399"/>
      <c r="CM1309" s="1399"/>
      <c r="CN1309" s="1399"/>
      <c r="CO1309" s="1399"/>
      <c r="CP1309" s="1399"/>
      <c r="CQ1309" s="1399"/>
      <c r="CR1309" s="1399"/>
      <c r="CS1309" s="1399"/>
      <c r="CT1309" s="1399"/>
      <c r="CU1309" s="1399"/>
      <c r="CV1309" s="1399"/>
      <c r="CW1309" s="1399"/>
      <c r="CX1309" s="1399"/>
      <c r="CY1309" s="1399"/>
      <c r="CZ1309" s="1399"/>
      <c r="DA1309" s="1399"/>
      <c r="DB1309" s="1399"/>
      <c r="DC1309" s="1399"/>
      <c r="DD1309" s="1399"/>
      <c r="DE1309" s="1399"/>
      <c r="DF1309" s="1399"/>
      <c r="DG1309" s="1399"/>
      <c r="DH1309" s="1399"/>
      <c r="DI1309" s="1399"/>
      <c r="DJ1309" s="1399"/>
      <c r="DK1309" s="1399"/>
      <c r="DL1309" s="1399"/>
      <c r="DM1309" s="1399"/>
      <c r="DN1309" s="1399"/>
      <c r="DO1309" s="1399"/>
      <c r="DP1309" s="1399"/>
      <c r="DQ1309" s="1399"/>
      <c r="DR1309" s="1399"/>
      <c r="DS1309" s="1399"/>
      <c r="DT1309" s="1399"/>
      <c r="DU1309" s="1399"/>
    </row>
    <row r="1310" spans="1:125">
      <c r="A1310" s="1414"/>
      <c r="B1310" s="1414"/>
      <c r="C1310" s="1414"/>
      <c r="D1310" s="1414"/>
      <c r="E1310" s="1414"/>
      <c r="F1310" s="1414"/>
      <c r="G1310" s="1414"/>
      <c r="H1310" s="1414"/>
      <c r="I1310" s="1414"/>
      <c r="J1310" s="1414"/>
      <c r="K1310" s="1414"/>
      <c r="L1310" s="1414"/>
      <c r="M1310" s="1414"/>
      <c r="N1310" s="1414"/>
      <c r="O1310" s="1414"/>
      <c r="P1310" s="1414"/>
      <c r="Q1310" s="1414"/>
      <c r="R1310" s="1414"/>
      <c r="S1310" s="1414"/>
      <c r="T1310" s="1414"/>
      <c r="U1310" s="1414"/>
      <c r="V1310" s="1414"/>
      <c r="W1310" s="1414"/>
      <c r="X1310" s="1414"/>
      <c r="Y1310" s="1414"/>
      <c r="Z1310" s="1414"/>
      <c r="AA1310" s="1414"/>
      <c r="AB1310" s="1414"/>
      <c r="AC1310" s="1414"/>
      <c r="AD1310" s="1414"/>
      <c r="AE1310" s="1414"/>
      <c r="AF1310" s="1414"/>
      <c r="AG1310" s="1414"/>
      <c r="AH1310" s="1414"/>
      <c r="AI1310" s="1414"/>
      <c r="AJ1310" s="1414"/>
      <c r="AK1310" s="1414"/>
      <c r="AL1310" s="1414"/>
      <c r="AM1310" s="1414"/>
      <c r="AN1310" s="1414"/>
      <c r="AO1310" s="1414"/>
      <c r="AP1310" s="1414"/>
      <c r="AQ1310" s="1414"/>
      <c r="AR1310" s="1414"/>
      <c r="AS1310" s="1414"/>
      <c r="AT1310" s="1414"/>
      <c r="AU1310" s="1414"/>
      <c r="AV1310" s="1414"/>
      <c r="AW1310" s="1414"/>
      <c r="AX1310" s="1414"/>
      <c r="AY1310" s="1399"/>
      <c r="AZ1310" s="1399"/>
      <c r="BA1310" s="1399"/>
      <c r="BB1310" s="1399"/>
      <c r="BC1310" s="1399"/>
      <c r="BD1310" s="1399"/>
      <c r="BE1310" s="1414"/>
      <c r="BF1310" s="1399"/>
      <c r="BG1310" s="1399"/>
      <c r="BH1310" s="1399"/>
      <c r="BI1310" s="1399"/>
      <c r="BJ1310" s="1399"/>
      <c r="BK1310" s="1399"/>
      <c r="BL1310" s="1399"/>
      <c r="BM1310" s="1399"/>
      <c r="BN1310" s="1399"/>
      <c r="BO1310" s="1399"/>
      <c r="BP1310" s="1399"/>
      <c r="BQ1310" s="1399"/>
      <c r="BR1310" s="1399"/>
      <c r="BS1310" s="1399"/>
      <c r="BT1310" s="1399"/>
      <c r="BU1310" s="1399"/>
      <c r="BV1310" s="1399"/>
      <c r="BW1310" s="1399"/>
      <c r="BX1310" s="1399"/>
      <c r="BY1310" s="1399"/>
      <c r="BZ1310" s="1399"/>
      <c r="CA1310" s="1399"/>
      <c r="CB1310" s="1399"/>
      <c r="CC1310" s="1399"/>
      <c r="CD1310" s="1399"/>
      <c r="CE1310" s="1399"/>
      <c r="CF1310" s="1399"/>
      <c r="CG1310" s="1399"/>
      <c r="CH1310" s="1399"/>
      <c r="CI1310" s="1399"/>
      <c r="CJ1310" s="1399"/>
      <c r="CK1310" s="1399"/>
      <c r="CL1310" s="1399"/>
      <c r="CM1310" s="1399"/>
      <c r="CN1310" s="1399"/>
      <c r="CO1310" s="1399"/>
      <c r="CP1310" s="1399"/>
      <c r="CQ1310" s="1399"/>
      <c r="CR1310" s="1399"/>
      <c r="CS1310" s="1399"/>
      <c r="CT1310" s="1399"/>
      <c r="CU1310" s="1399"/>
      <c r="CV1310" s="1399"/>
      <c r="CW1310" s="1399"/>
      <c r="CX1310" s="1399"/>
      <c r="CY1310" s="1399"/>
      <c r="CZ1310" s="1399"/>
      <c r="DA1310" s="1399"/>
      <c r="DB1310" s="1399"/>
      <c r="DC1310" s="1399"/>
      <c r="DD1310" s="1399"/>
      <c r="DE1310" s="1399"/>
      <c r="DF1310" s="1399"/>
      <c r="DG1310" s="1399"/>
      <c r="DH1310" s="1399"/>
      <c r="DI1310" s="1399"/>
      <c r="DJ1310" s="1399"/>
      <c r="DK1310" s="1399"/>
      <c r="DL1310" s="1399"/>
      <c r="DM1310" s="1399"/>
      <c r="DN1310" s="1399"/>
      <c r="DO1310" s="1399"/>
      <c r="DP1310" s="1399"/>
      <c r="DQ1310" s="1399"/>
      <c r="DR1310" s="1399"/>
      <c r="DS1310" s="1399"/>
      <c r="DT1310" s="1399"/>
      <c r="DU1310" s="1399"/>
    </row>
    <row r="1311" spans="1:125">
      <c r="A1311" s="1414"/>
      <c r="B1311" s="1414"/>
      <c r="C1311" s="1414"/>
      <c r="D1311" s="1414"/>
      <c r="E1311" s="1414"/>
      <c r="F1311" s="1414"/>
      <c r="G1311" s="1414"/>
      <c r="H1311" s="1414"/>
      <c r="I1311" s="1414"/>
      <c r="J1311" s="1414"/>
      <c r="K1311" s="1414"/>
      <c r="L1311" s="1414"/>
      <c r="M1311" s="1414"/>
      <c r="N1311" s="1414"/>
      <c r="O1311" s="1414"/>
      <c r="P1311" s="1414"/>
      <c r="Q1311" s="1414"/>
      <c r="R1311" s="1414"/>
      <c r="S1311" s="1414"/>
      <c r="T1311" s="1414"/>
      <c r="U1311" s="1414"/>
      <c r="V1311" s="1414"/>
      <c r="W1311" s="1414"/>
      <c r="X1311" s="1414"/>
      <c r="Y1311" s="1414"/>
      <c r="Z1311" s="1414"/>
      <c r="AA1311" s="1414"/>
      <c r="AB1311" s="1414"/>
      <c r="AC1311" s="1414"/>
      <c r="AD1311" s="1414"/>
      <c r="AE1311" s="1414"/>
      <c r="AF1311" s="1414"/>
      <c r="AG1311" s="1414"/>
      <c r="AH1311" s="1414"/>
      <c r="AI1311" s="1414"/>
      <c r="AJ1311" s="1414"/>
      <c r="AK1311" s="1414"/>
      <c r="AL1311" s="1414"/>
      <c r="AM1311" s="1414"/>
      <c r="AN1311" s="1414"/>
      <c r="AO1311" s="1414"/>
      <c r="AP1311" s="1414"/>
      <c r="AQ1311" s="1414"/>
      <c r="AR1311" s="1414"/>
      <c r="AS1311" s="1414"/>
      <c r="AT1311" s="1414"/>
      <c r="AU1311" s="1414"/>
      <c r="AV1311" s="1414"/>
      <c r="AW1311" s="1414"/>
      <c r="AX1311" s="1414"/>
      <c r="AY1311" s="1399"/>
      <c r="AZ1311" s="1399"/>
      <c r="BA1311" s="1399"/>
      <c r="BB1311" s="1399"/>
      <c r="BC1311" s="1399"/>
      <c r="BD1311" s="1399"/>
      <c r="BE1311" s="1414"/>
      <c r="BF1311" s="1399"/>
      <c r="BG1311" s="1399"/>
      <c r="BH1311" s="1399"/>
      <c r="BI1311" s="1399"/>
      <c r="BJ1311" s="1399"/>
      <c r="BK1311" s="1399"/>
      <c r="BL1311" s="1399"/>
      <c r="BM1311" s="1399"/>
      <c r="BN1311" s="1399"/>
      <c r="BO1311" s="1399"/>
      <c r="BP1311" s="1399"/>
      <c r="BQ1311" s="1399"/>
      <c r="BR1311" s="1399"/>
      <c r="BS1311" s="1399"/>
      <c r="BT1311" s="1399"/>
      <c r="BU1311" s="1399"/>
      <c r="BV1311" s="1399"/>
      <c r="BW1311" s="1399"/>
      <c r="BX1311" s="1399"/>
      <c r="BY1311" s="1399"/>
      <c r="BZ1311" s="1399"/>
      <c r="CA1311" s="1399"/>
      <c r="CB1311" s="1399"/>
      <c r="CC1311" s="1399"/>
      <c r="CD1311" s="1399"/>
      <c r="CE1311" s="1399"/>
      <c r="CF1311" s="1399"/>
      <c r="CG1311" s="1399"/>
      <c r="CH1311" s="1399"/>
      <c r="CI1311" s="1399"/>
      <c r="CJ1311" s="1399"/>
      <c r="CK1311" s="1399"/>
      <c r="CL1311" s="1399"/>
      <c r="CM1311" s="1399"/>
      <c r="CN1311" s="1399"/>
      <c r="CO1311" s="1399"/>
      <c r="CP1311" s="1399"/>
      <c r="CQ1311" s="1399"/>
      <c r="CR1311" s="1399"/>
      <c r="CS1311" s="1399"/>
      <c r="CT1311" s="1399"/>
      <c r="CU1311" s="1399"/>
      <c r="CV1311" s="1399"/>
      <c r="CW1311" s="1399"/>
      <c r="CX1311" s="1399"/>
      <c r="CY1311" s="1399"/>
      <c r="CZ1311" s="1399"/>
      <c r="DA1311" s="1399"/>
      <c r="DB1311" s="1399"/>
      <c r="DC1311" s="1399"/>
      <c r="DD1311" s="1399"/>
      <c r="DE1311" s="1399"/>
      <c r="DF1311" s="1399"/>
      <c r="DG1311" s="1399"/>
      <c r="DH1311" s="1399"/>
      <c r="DI1311" s="1399"/>
      <c r="DJ1311" s="1399"/>
      <c r="DK1311" s="1399"/>
      <c r="DL1311" s="1399"/>
      <c r="DM1311" s="1399"/>
      <c r="DN1311" s="1399"/>
      <c r="DO1311" s="1399"/>
      <c r="DP1311" s="1399"/>
      <c r="DQ1311" s="1399"/>
      <c r="DR1311" s="1399"/>
      <c r="DS1311" s="1399"/>
      <c r="DT1311" s="1399"/>
      <c r="DU1311" s="1399"/>
    </row>
    <row r="1312" spans="1:125">
      <c r="A1312" s="1414"/>
      <c r="B1312" s="1414"/>
      <c r="C1312" s="1414"/>
      <c r="D1312" s="1414"/>
      <c r="E1312" s="1414"/>
      <c r="F1312" s="1414"/>
      <c r="G1312" s="1414"/>
      <c r="H1312" s="1414"/>
      <c r="I1312" s="1414"/>
      <c r="J1312" s="1414"/>
      <c r="K1312" s="1414"/>
      <c r="L1312" s="1414"/>
      <c r="M1312" s="1414"/>
      <c r="N1312" s="1414"/>
      <c r="O1312" s="1414"/>
      <c r="P1312" s="1414"/>
      <c r="Q1312" s="1414"/>
      <c r="R1312" s="1414"/>
      <c r="S1312" s="1414"/>
      <c r="T1312" s="1414"/>
      <c r="U1312" s="1414"/>
      <c r="V1312" s="1414"/>
      <c r="W1312" s="1414"/>
      <c r="X1312" s="1414"/>
      <c r="Y1312" s="1414"/>
      <c r="Z1312" s="1414"/>
      <c r="AA1312" s="1414"/>
      <c r="AB1312" s="1414"/>
      <c r="AC1312" s="1414"/>
      <c r="AD1312" s="1414"/>
      <c r="AE1312" s="1414"/>
      <c r="AF1312" s="1414"/>
      <c r="AG1312" s="1414"/>
      <c r="AH1312" s="1414"/>
      <c r="AI1312" s="1414"/>
      <c r="AJ1312" s="1414"/>
      <c r="AK1312" s="1414"/>
      <c r="AL1312" s="1414"/>
      <c r="AM1312" s="1414"/>
      <c r="AN1312" s="1414"/>
      <c r="AO1312" s="1414"/>
      <c r="AP1312" s="1414"/>
      <c r="AQ1312" s="1414"/>
      <c r="AR1312" s="1414"/>
      <c r="AS1312" s="1414"/>
      <c r="AT1312" s="1414"/>
      <c r="AU1312" s="1414"/>
      <c r="AV1312" s="1414"/>
      <c r="AW1312" s="1414"/>
      <c r="AX1312" s="1414"/>
      <c r="AY1312" s="1399"/>
      <c r="AZ1312" s="1399"/>
      <c r="BA1312" s="1399"/>
      <c r="BB1312" s="1399"/>
      <c r="BC1312" s="1399"/>
      <c r="BD1312" s="1399"/>
      <c r="BE1312" s="1414"/>
      <c r="BF1312" s="1399"/>
      <c r="BG1312" s="1399"/>
      <c r="BH1312" s="1399"/>
      <c r="BI1312" s="1399"/>
      <c r="BJ1312" s="1399"/>
      <c r="BK1312" s="1399"/>
      <c r="BL1312" s="1399"/>
      <c r="BM1312" s="1399"/>
      <c r="BN1312" s="1399"/>
      <c r="BO1312" s="1399"/>
      <c r="BP1312" s="1399"/>
      <c r="BQ1312" s="1399"/>
      <c r="BR1312" s="1399"/>
      <c r="BS1312" s="1399"/>
      <c r="BT1312" s="1399"/>
      <c r="BU1312" s="1399"/>
      <c r="BV1312" s="1399"/>
      <c r="BW1312" s="1399"/>
      <c r="BX1312" s="1399"/>
      <c r="BY1312" s="1399"/>
      <c r="BZ1312" s="1399"/>
      <c r="CA1312" s="1399"/>
      <c r="CB1312" s="1399"/>
      <c r="CC1312" s="1399"/>
      <c r="CD1312" s="1399"/>
      <c r="CE1312" s="1399"/>
      <c r="CF1312" s="1399"/>
      <c r="CG1312" s="1399"/>
      <c r="CH1312" s="1399"/>
      <c r="CI1312" s="1399"/>
      <c r="CJ1312" s="1399"/>
      <c r="CK1312" s="1399"/>
      <c r="CL1312" s="1399"/>
      <c r="CM1312" s="1399"/>
      <c r="CN1312" s="1399"/>
      <c r="CO1312" s="1399"/>
      <c r="CP1312" s="1399"/>
      <c r="CQ1312" s="1399"/>
      <c r="CR1312" s="1399"/>
      <c r="CS1312" s="1399"/>
      <c r="CT1312" s="1399"/>
      <c r="CU1312" s="1399"/>
      <c r="CV1312" s="1399"/>
      <c r="CW1312" s="1399"/>
      <c r="CX1312" s="1399"/>
      <c r="CY1312" s="1399"/>
      <c r="CZ1312" s="1399"/>
      <c r="DA1312" s="1399"/>
      <c r="DB1312" s="1399"/>
      <c r="DC1312" s="1399"/>
      <c r="DD1312" s="1399"/>
      <c r="DE1312" s="1399"/>
      <c r="DF1312" s="1399"/>
      <c r="DG1312" s="1399"/>
      <c r="DH1312" s="1399"/>
      <c r="DI1312" s="1399"/>
      <c r="DJ1312" s="1399"/>
      <c r="DK1312" s="1399"/>
      <c r="DL1312" s="1399"/>
      <c r="DM1312" s="1399"/>
      <c r="DN1312" s="1399"/>
      <c r="DO1312" s="1399"/>
      <c r="DP1312" s="1399"/>
      <c r="DQ1312" s="1399"/>
      <c r="DR1312" s="1399"/>
      <c r="DS1312" s="1399"/>
      <c r="DT1312" s="1399"/>
      <c r="DU1312" s="1399"/>
    </row>
    <row r="1313" spans="1:125">
      <c r="A1313" s="1414"/>
      <c r="B1313" s="1414"/>
      <c r="C1313" s="1414"/>
      <c r="D1313" s="1414"/>
      <c r="E1313" s="1414"/>
      <c r="F1313" s="1414"/>
      <c r="G1313" s="1414"/>
      <c r="H1313" s="1414"/>
      <c r="I1313" s="1414"/>
      <c r="J1313" s="1414"/>
      <c r="K1313" s="1414"/>
      <c r="L1313" s="1414"/>
      <c r="M1313" s="1414"/>
      <c r="N1313" s="1414"/>
      <c r="O1313" s="1414"/>
      <c r="P1313" s="1414"/>
      <c r="Q1313" s="1414"/>
      <c r="R1313" s="1414"/>
      <c r="S1313" s="1414"/>
      <c r="T1313" s="1414"/>
      <c r="U1313" s="1414"/>
      <c r="V1313" s="1414"/>
      <c r="W1313" s="1414"/>
      <c r="X1313" s="1414"/>
      <c r="Y1313" s="1414"/>
      <c r="Z1313" s="1414"/>
      <c r="AA1313" s="1414"/>
      <c r="AB1313" s="1414"/>
      <c r="AC1313" s="1414"/>
      <c r="AD1313" s="1414"/>
      <c r="AE1313" s="1414"/>
      <c r="AF1313" s="1414"/>
      <c r="AG1313" s="1414"/>
      <c r="AH1313" s="1414"/>
      <c r="AI1313" s="1414"/>
      <c r="AJ1313" s="1414"/>
      <c r="AK1313" s="1414"/>
      <c r="AL1313" s="1414"/>
      <c r="AM1313" s="1414"/>
      <c r="AN1313" s="1414"/>
      <c r="AO1313" s="1414"/>
      <c r="AP1313" s="1414"/>
      <c r="AQ1313" s="1414"/>
      <c r="AR1313" s="1414"/>
      <c r="AS1313" s="1414"/>
      <c r="AT1313" s="1414"/>
      <c r="AU1313" s="1414"/>
      <c r="AV1313" s="1414"/>
      <c r="AW1313" s="1414"/>
      <c r="AX1313" s="1414"/>
      <c r="AY1313" s="1399"/>
      <c r="AZ1313" s="1399"/>
      <c r="BA1313" s="1399"/>
      <c r="BB1313" s="1399"/>
      <c r="BC1313" s="1399"/>
      <c r="BD1313" s="1399"/>
      <c r="BE1313" s="1414"/>
      <c r="BF1313" s="1399"/>
      <c r="BG1313" s="1399"/>
      <c r="BH1313" s="1399"/>
      <c r="BI1313" s="1399"/>
      <c r="BJ1313" s="1399"/>
      <c r="BK1313" s="1399"/>
      <c r="BL1313" s="1399"/>
      <c r="BM1313" s="1399"/>
      <c r="BN1313" s="1399"/>
      <c r="BO1313" s="1399"/>
      <c r="BP1313" s="1399"/>
      <c r="BQ1313" s="1399"/>
      <c r="BR1313" s="1399"/>
      <c r="BS1313" s="1399"/>
      <c r="BT1313" s="1399"/>
      <c r="BU1313" s="1399"/>
      <c r="BV1313" s="1399"/>
      <c r="BW1313" s="1399"/>
      <c r="BX1313" s="1399"/>
      <c r="BY1313" s="1399"/>
      <c r="BZ1313" s="1399"/>
      <c r="CA1313" s="1399"/>
      <c r="CB1313" s="1399"/>
      <c r="CC1313" s="1399"/>
      <c r="CD1313" s="1399"/>
      <c r="CE1313" s="1399"/>
      <c r="CF1313" s="1399"/>
      <c r="CG1313" s="1399"/>
      <c r="CH1313" s="1399"/>
      <c r="CI1313" s="1399"/>
      <c r="CJ1313" s="1399"/>
      <c r="CK1313" s="1399"/>
      <c r="CL1313" s="1399"/>
      <c r="CM1313" s="1399"/>
      <c r="CN1313" s="1399"/>
      <c r="CO1313" s="1399"/>
      <c r="CP1313" s="1399"/>
      <c r="CQ1313" s="1399"/>
      <c r="CR1313" s="1399"/>
      <c r="CS1313" s="1399"/>
      <c r="CT1313" s="1399"/>
      <c r="CU1313" s="1399"/>
      <c r="CV1313" s="1399"/>
      <c r="CW1313" s="1399"/>
      <c r="CX1313" s="1399"/>
      <c r="CY1313" s="1399"/>
      <c r="CZ1313" s="1399"/>
      <c r="DA1313" s="1399"/>
      <c r="DB1313" s="1399"/>
      <c r="DC1313" s="1399"/>
      <c r="DD1313" s="1399"/>
      <c r="DE1313" s="1399"/>
      <c r="DF1313" s="1399"/>
      <c r="DG1313" s="1399"/>
      <c r="DH1313" s="1399"/>
      <c r="DI1313" s="1399"/>
      <c r="DJ1313" s="1399"/>
      <c r="DK1313" s="1399"/>
      <c r="DL1313" s="1399"/>
      <c r="DM1313" s="1399"/>
      <c r="DN1313" s="1399"/>
      <c r="DO1313" s="1399"/>
      <c r="DP1313" s="1399"/>
      <c r="DQ1313" s="1399"/>
      <c r="DR1313" s="1399"/>
      <c r="DS1313" s="1399"/>
      <c r="DT1313" s="1399"/>
      <c r="DU1313" s="1399"/>
    </row>
    <row r="1314" spans="1:125">
      <c r="A1314" s="1414"/>
      <c r="B1314" s="1414"/>
      <c r="C1314" s="1414"/>
      <c r="D1314" s="1414"/>
      <c r="E1314" s="1414"/>
      <c r="F1314" s="1414"/>
      <c r="G1314" s="1414"/>
      <c r="H1314" s="1414"/>
      <c r="I1314" s="1414"/>
      <c r="J1314" s="1414"/>
      <c r="K1314" s="1414"/>
      <c r="L1314" s="1414"/>
      <c r="M1314" s="1414"/>
      <c r="N1314" s="1414"/>
      <c r="O1314" s="1414"/>
      <c r="P1314" s="1414"/>
      <c r="Q1314" s="1414"/>
      <c r="R1314" s="1414"/>
      <c r="S1314" s="1414"/>
      <c r="T1314" s="1414"/>
      <c r="U1314" s="1414"/>
      <c r="V1314" s="1414"/>
      <c r="W1314" s="1414"/>
      <c r="X1314" s="1414"/>
      <c r="Y1314" s="1414"/>
      <c r="Z1314" s="1414"/>
      <c r="AA1314" s="1414"/>
      <c r="AB1314" s="1414"/>
      <c r="AC1314" s="1414"/>
      <c r="AD1314" s="1414"/>
      <c r="AE1314" s="1414"/>
      <c r="AF1314" s="1414"/>
      <c r="AG1314" s="1414"/>
      <c r="AH1314" s="1414"/>
      <c r="AI1314" s="1414"/>
      <c r="AJ1314" s="1414"/>
      <c r="AK1314" s="1414"/>
      <c r="AL1314" s="1414"/>
      <c r="AM1314" s="1414"/>
      <c r="AN1314" s="1414"/>
      <c r="AO1314" s="1414"/>
      <c r="AP1314" s="1414"/>
      <c r="AQ1314" s="1414"/>
      <c r="AR1314" s="1414"/>
      <c r="AS1314" s="1414"/>
      <c r="AT1314" s="1414"/>
      <c r="AU1314" s="1414"/>
      <c r="AV1314" s="1414"/>
      <c r="AW1314" s="1414"/>
      <c r="AX1314" s="1414"/>
      <c r="AY1314" s="1399"/>
      <c r="AZ1314" s="1399"/>
      <c r="BA1314" s="1399"/>
      <c r="BB1314" s="1399"/>
      <c r="BC1314" s="1399"/>
      <c r="BD1314" s="1399"/>
      <c r="BE1314" s="1414"/>
      <c r="BF1314" s="1399"/>
      <c r="BG1314" s="1399"/>
      <c r="BH1314" s="1399"/>
      <c r="BI1314" s="1399"/>
      <c r="BJ1314" s="1399"/>
      <c r="BK1314" s="1399"/>
      <c r="BL1314" s="1399"/>
      <c r="BM1314" s="1399"/>
      <c r="BN1314" s="1399"/>
      <c r="BO1314" s="1399"/>
      <c r="BP1314" s="1399"/>
      <c r="BQ1314" s="1399"/>
      <c r="BR1314" s="1399"/>
      <c r="BS1314" s="1399"/>
      <c r="BT1314" s="1399"/>
      <c r="BU1314" s="1399"/>
      <c r="BV1314" s="1399"/>
      <c r="BW1314" s="1399"/>
      <c r="BX1314" s="1399"/>
      <c r="BY1314" s="1399"/>
      <c r="BZ1314" s="1399"/>
      <c r="CA1314" s="1399"/>
      <c r="CB1314" s="1399"/>
      <c r="CC1314" s="1399"/>
      <c r="CD1314" s="1399"/>
      <c r="CE1314" s="1399"/>
      <c r="CF1314" s="1399"/>
      <c r="CG1314" s="1399"/>
      <c r="CH1314" s="1399"/>
      <c r="CI1314" s="1399"/>
      <c r="CJ1314" s="1399"/>
      <c r="CK1314" s="1399"/>
      <c r="CL1314" s="1399"/>
      <c r="CM1314" s="1399"/>
      <c r="CN1314" s="1399"/>
      <c r="CO1314" s="1399"/>
      <c r="CP1314" s="1399"/>
      <c r="CQ1314" s="1399"/>
      <c r="CR1314" s="1399"/>
      <c r="CS1314" s="1399"/>
      <c r="CT1314" s="1399"/>
      <c r="CU1314" s="1399"/>
      <c r="CV1314" s="1399"/>
      <c r="CW1314" s="1399"/>
      <c r="CX1314" s="1399"/>
      <c r="CY1314" s="1399"/>
      <c r="CZ1314" s="1399"/>
      <c r="DA1314" s="1399"/>
      <c r="DB1314" s="1399"/>
      <c r="DC1314" s="1399"/>
      <c r="DD1314" s="1399"/>
      <c r="DE1314" s="1399"/>
      <c r="DF1314" s="1399"/>
      <c r="DG1314" s="1399"/>
      <c r="DH1314" s="1399"/>
      <c r="DI1314" s="1399"/>
      <c r="DJ1314" s="1399"/>
      <c r="DK1314" s="1399"/>
      <c r="DL1314" s="1399"/>
      <c r="DM1314" s="1399"/>
      <c r="DN1314" s="1399"/>
      <c r="DO1314" s="1399"/>
      <c r="DP1314" s="1399"/>
      <c r="DQ1314" s="1399"/>
      <c r="DR1314" s="1399"/>
      <c r="DS1314" s="1399"/>
      <c r="DT1314" s="1399"/>
      <c r="DU1314" s="1399"/>
    </row>
    <row r="1315" spans="1:125">
      <c r="A1315" s="1414"/>
      <c r="B1315" s="1414"/>
      <c r="C1315" s="1414"/>
      <c r="D1315" s="1414"/>
      <c r="E1315" s="1414"/>
      <c r="F1315" s="1414"/>
      <c r="G1315" s="1414"/>
      <c r="H1315" s="1414"/>
      <c r="I1315" s="1414"/>
      <c r="J1315" s="1414"/>
      <c r="K1315" s="1414"/>
      <c r="L1315" s="1414"/>
      <c r="M1315" s="1414"/>
      <c r="N1315" s="1414"/>
      <c r="O1315" s="1414"/>
      <c r="P1315" s="1414"/>
      <c r="Q1315" s="1414"/>
      <c r="R1315" s="1414"/>
      <c r="S1315" s="1414"/>
      <c r="T1315" s="1414"/>
      <c r="U1315" s="1414"/>
      <c r="V1315" s="1414"/>
      <c r="W1315" s="1414"/>
      <c r="X1315" s="1414"/>
      <c r="Y1315" s="1414"/>
      <c r="Z1315" s="1414"/>
      <c r="AA1315" s="1414"/>
      <c r="AB1315" s="1414"/>
      <c r="AC1315" s="1414"/>
      <c r="AD1315" s="1414"/>
      <c r="AE1315" s="1414"/>
      <c r="AF1315" s="1414"/>
      <c r="AG1315" s="1414"/>
      <c r="AH1315" s="1414"/>
      <c r="AI1315" s="1414"/>
      <c r="AJ1315" s="1414"/>
      <c r="AK1315" s="1414"/>
      <c r="AL1315" s="1414"/>
      <c r="AM1315" s="1414"/>
      <c r="AN1315" s="1414"/>
      <c r="AO1315" s="1414"/>
      <c r="AP1315" s="1414"/>
      <c r="AQ1315" s="1414"/>
      <c r="AR1315" s="1414"/>
      <c r="AS1315" s="1414"/>
      <c r="AT1315" s="1414"/>
      <c r="AU1315" s="1414"/>
      <c r="AV1315" s="1414"/>
      <c r="AW1315" s="1414"/>
      <c r="AX1315" s="1414"/>
      <c r="AY1315" s="1399"/>
      <c r="AZ1315" s="1399"/>
      <c r="BA1315" s="1399"/>
      <c r="BB1315" s="1399"/>
      <c r="BC1315" s="1399"/>
      <c r="BD1315" s="1399"/>
      <c r="BE1315" s="1414"/>
      <c r="BF1315" s="1399"/>
      <c r="BG1315" s="1399"/>
      <c r="BH1315" s="1399"/>
      <c r="BI1315" s="1399"/>
      <c r="BJ1315" s="1399"/>
      <c r="BK1315" s="1399"/>
      <c r="BL1315" s="1399"/>
      <c r="BM1315" s="1399"/>
      <c r="BN1315" s="1399"/>
      <c r="BO1315" s="1399"/>
      <c r="BP1315" s="1399"/>
      <c r="BQ1315" s="1399"/>
      <c r="BR1315" s="1399"/>
      <c r="BS1315" s="1399"/>
      <c r="BT1315" s="1399"/>
      <c r="BU1315" s="1399"/>
      <c r="BV1315" s="1399"/>
      <c r="BW1315" s="1399"/>
      <c r="BX1315" s="1399"/>
      <c r="BY1315" s="1399"/>
      <c r="BZ1315" s="1399"/>
      <c r="CA1315" s="1399"/>
      <c r="CB1315" s="1399"/>
      <c r="CC1315" s="1399"/>
      <c r="CD1315" s="1399"/>
      <c r="CE1315" s="1399"/>
      <c r="CF1315" s="1399"/>
      <c r="CG1315" s="1399"/>
      <c r="CH1315" s="1399"/>
      <c r="CI1315" s="1399"/>
      <c r="CJ1315" s="1399"/>
      <c r="CK1315" s="1399"/>
      <c r="CL1315" s="1399"/>
      <c r="CM1315" s="1399"/>
      <c r="CN1315" s="1399"/>
      <c r="CO1315" s="1399"/>
      <c r="CP1315" s="1399"/>
      <c r="CQ1315" s="1399"/>
      <c r="CR1315" s="1399"/>
      <c r="CS1315" s="1399"/>
      <c r="CT1315" s="1399"/>
      <c r="CU1315" s="1399"/>
      <c r="CV1315" s="1399"/>
      <c r="CW1315" s="1399"/>
      <c r="CX1315" s="1399"/>
      <c r="CY1315" s="1399"/>
      <c r="CZ1315" s="1399"/>
      <c r="DA1315" s="1399"/>
      <c r="DB1315" s="1399"/>
      <c r="DC1315" s="1399"/>
      <c r="DD1315" s="1399"/>
      <c r="DE1315" s="1399"/>
      <c r="DF1315" s="1399"/>
      <c r="DG1315" s="1399"/>
      <c r="DH1315" s="1399"/>
      <c r="DI1315" s="1399"/>
      <c r="DJ1315" s="1399"/>
      <c r="DK1315" s="1399"/>
      <c r="DL1315" s="1399"/>
      <c r="DM1315" s="1399"/>
      <c r="DN1315" s="1399"/>
      <c r="DO1315" s="1399"/>
      <c r="DP1315" s="1399"/>
      <c r="DQ1315" s="1399"/>
      <c r="DR1315" s="1399"/>
      <c r="DS1315" s="1399"/>
      <c r="DT1315" s="1399"/>
      <c r="DU1315" s="1399"/>
    </row>
    <row r="1316" spans="1:125">
      <c r="A1316" s="1414"/>
      <c r="B1316" s="1414"/>
      <c r="C1316" s="1414"/>
      <c r="D1316" s="1414"/>
      <c r="E1316" s="1414"/>
      <c r="F1316" s="1414"/>
      <c r="G1316" s="1414"/>
      <c r="H1316" s="1414"/>
      <c r="I1316" s="1414"/>
      <c r="J1316" s="1414"/>
      <c r="K1316" s="1414"/>
      <c r="L1316" s="1414"/>
      <c r="M1316" s="1414"/>
      <c r="N1316" s="1414"/>
      <c r="O1316" s="1414"/>
      <c r="P1316" s="1414"/>
      <c r="Q1316" s="1414"/>
      <c r="R1316" s="1414"/>
      <c r="S1316" s="1414"/>
      <c r="T1316" s="1414"/>
      <c r="U1316" s="1414"/>
      <c r="V1316" s="1414"/>
      <c r="W1316" s="1414"/>
      <c r="X1316" s="1414"/>
      <c r="Y1316" s="1414"/>
      <c r="Z1316" s="1414"/>
      <c r="AA1316" s="1414"/>
      <c r="AB1316" s="1414"/>
      <c r="AC1316" s="1414"/>
      <c r="AD1316" s="1414"/>
      <c r="AE1316" s="1414"/>
      <c r="AF1316" s="1414"/>
      <c r="AG1316" s="1414"/>
      <c r="AH1316" s="1414"/>
      <c r="AI1316" s="1414"/>
      <c r="AJ1316" s="1414"/>
      <c r="AK1316" s="1414"/>
      <c r="AL1316" s="1414"/>
      <c r="AM1316" s="1414"/>
      <c r="AN1316" s="1414"/>
      <c r="AO1316" s="1414"/>
      <c r="AP1316" s="1414"/>
      <c r="AQ1316" s="1414"/>
      <c r="AR1316" s="1414"/>
      <c r="AS1316" s="1414"/>
      <c r="AT1316" s="1414"/>
      <c r="AU1316" s="1414"/>
      <c r="AV1316" s="1414"/>
      <c r="AW1316" s="1414"/>
      <c r="AX1316" s="1414"/>
      <c r="AY1316" s="1399"/>
      <c r="AZ1316" s="1399"/>
      <c r="BA1316" s="1399"/>
      <c r="BB1316" s="1399"/>
      <c r="BC1316" s="1399"/>
      <c r="BD1316" s="1399"/>
      <c r="BE1316" s="1414"/>
      <c r="BF1316" s="1399"/>
      <c r="BG1316" s="1399"/>
      <c r="BH1316" s="1399"/>
      <c r="BI1316" s="1399"/>
      <c r="BJ1316" s="1399"/>
      <c r="BK1316" s="1399"/>
      <c r="BL1316" s="1399"/>
      <c r="BM1316" s="1399"/>
      <c r="BN1316" s="1399"/>
      <c r="BO1316" s="1399"/>
      <c r="BP1316" s="1399"/>
      <c r="BQ1316" s="1399"/>
      <c r="BR1316" s="1399"/>
      <c r="BS1316" s="1399"/>
      <c r="BT1316" s="1399"/>
      <c r="BU1316" s="1399"/>
      <c r="BV1316" s="1399"/>
      <c r="BW1316" s="1399"/>
      <c r="BX1316" s="1399"/>
      <c r="BY1316" s="1399"/>
      <c r="BZ1316" s="1399"/>
      <c r="CA1316" s="1399"/>
      <c r="CB1316" s="1399"/>
      <c r="CC1316" s="1399"/>
      <c r="CD1316" s="1399"/>
      <c r="CE1316" s="1399"/>
      <c r="CF1316" s="1399"/>
      <c r="CG1316" s="1399"/>
      <c r="CH1316" s="1399"/>
      <c r="CI1316" s="1399"/>
      <c r="CJ1316" s="1399"/>
      <c r="CK1316" s="1399"/>
      <c r="CL1316" s="1399"/>
      <c r="CM1316" s="1399"/>
      <c r="CN1316" s="1399"/>
      <c r="CO1316" s="1399"/>
      <c r="CP1316" s="1399"/>
      <c r="CQ1316" s="1399"/>
      <c r="CR1316" s="1399"/>
      <c r="CS1316" s="1399"/>
      <c r="CT1316" s="1399"/>
      <c r="CU1316" s="1399"/>
      <c r="CV1316" s="1399"/>
      <c r="CW1316" s="1399"/>
      <c r="CX1316" s="1399"/>
      <c r="CY1316" s="1399"/>
      <c r="CZ1316" s="1399"/>
      <c r="DA1316" s="1399"/>
      <c r="DB1316" s="1399"/>
      <c r="DC1316" s="1399"/>
      <c r="DD1316" s="1399"/>
      <c r="DE1316" s="1399"/>
      <c r="DF1316" s="1399"/>
      <c r="DG1316" s="1399"/>
      <c r="DH1316" s="1399"/>
      <c r="DI1316" s="1399"/>
      <c r="DJ1316" s="1399"/>
      <c r="DK1316" s="1399"/>
      <c r="DL1316" s="1399"/>
      <c r="DM1316" s="1399"/>
      <c r="DN1316" s="1399"/>
      <c r="DO1316" s="1399"/>
      <c r="DP1316" s="1399"/>
      <c r="DQ1316" s="1399"/>
      <c r="DR1316" s="1399"/>
      <c r="DS1316" s="1399"/>
      <c r="DT1316" s="1399"/>
      <c r="DU1316" s="1399"/>
    </row>
    <row r="1317" spans="1:125">
      <c r="A1317" s="1414"/>
      <c r="B1317" s="1414"/>
      <c r="C1317" s="1414"/>
      <c r="D1317" s="1414"/>
      <c r="E1317" s="1414"/>
      <c r="F1317" s="1414"/>
      <c r="G1317" s="1414"/>
      <c r="H1317" s="1414"/>
      <c r="I1317" s="1414"/>
      <c r="J1317" s="1414"/>
      <c r="K1317" s="1414"/>
      <c r="L1317" s="1414"/>
      <c r="M1317" s="1414"/>
      <c r="N1317" s="1414"/>
      <c r="O1317" s="1414"/>
      <c r="P1317" s="1414"/>
      <c r="Q1317" s="1414"/>
      <c r="R1317" s="1414"/>
      <c r="S1317" s="1414"/>
      <c r="T1317" s="1414"/>
      <c r="U1317" s="1414"/>
      <c r="V1317" s="1414"/>
      <c r="W1317" s="1414"/>
      <c r="X1317" s="1414"/>
      <c r="Y1317" s="1414"/>
      <c r="Z1317" s="1414"/>
      <c r="AA1317" s="1414"/>
      <c r="AB1317" s="1414"/>
      <c r="AC1317" s="1414"/>
      <c r="AD1317" s="1414"/>
      <c r="AE1317" s="1414"/>
      <c r="AF1317" s="1414"/>
      <c r="AG1317" s="1414"/>
      <c r="AH1317" s="1414"/>
      <c r="AI1317" s="1414"/>
      <c r="AJ1317" s="1414"/>
      <c r="AK1317" s="1414"/>
      <c r="AL1317" s="1414"/>
      <c r="AM1317" s="1414"/>
      <c r="AN1317" s="1414"/>
      <c r="AO1317" s="1414"/>
      <c r="AP1317" s="1414"/>
      <c r="AQ1317" s="1414"/>
      <c r="AR1317" s="1414"/>
      <c r="AS1317" s="1414"/>
      <c r="AT1317" s="1414"/>
      <c r="AU1317" s="1414"/>
      <c r="AV1317" s="1414"/>
      <c r="AW1317" s="1414"/>
      <c r="AX1317" s="1414"/>
      <c r="AY1317" s="1399"/>
      <c r="AZ1317" s="1399"/>
      <c r="BA1317" s="1399"/>
      <c r="BB1317" s="1399"/>
      <c r="BC1317" s="1399"/>
      <c r="BD1317" s="1399"/>
      <c r="BE1317" s="1414"/>
      <c r="BF1317" s="1399"/>
      <c r="BG1317" s="1399"/>
      <c r="BH1317" s="1399"/>
      <c r="BI1317" s="1399"/>
      <c r="BJ1317" s="1399"/>
      <c r="BK1317" s="1399"/>
      <c r="BL1317" s="1399"/>
      <c r="BM1317" s="1399"/>
      <c r="BN1317" s="1399"/>
      <c r="BO1317" s="1399"/>
      <c r="BP1317" s="1399"/>
      <c r="BQ1317" s="1399"/>
      <c r="BR1317" s="1399"/>
      <c r="BS1317" s="1399"/>
      <c r="BT1317" s="1399"/>
      <c r="BU1317" s="1399"/>
      <c r="BV1317" s="1399"/>
      <c r="BW1317" s="1399"/>
      <c r="BX1317" s="1399"/>
      <c r="BY1317" s="1399"/>
      <c r="BZ1317" s="1399"/>
      <c r="CA1317" s="1399"/>
      <c r="CB1317" s="1399"/>
      <c r="CC1317" s="1399"/>
      <c r="CD1317" s="1399"/>
      <c r="CE1317" s="1399"/>
      <c r="CF1317" s="1399"/>
      <c r="CG1317" s="1399"/>
      <c r="CH1317" s="1399"/>
      <c r="CI1317" s="1399"/>
      <c r="CJ1317" s="1399"/>
      <c r="CK1317" s="1399"/>
      <c r="CL1317" s="1399"/>
      <c r="CM1317" s="1399"/>
      <c r="CN1317" s="1399"/>
      <c r="CO1317" s="1399"/>
      <c r="CP1317" s="1399"/>
      <c r="CQ1317" s="1399"/>
      <c r="CR1317" s="1399"/>
      <c r="CS1317" s="1399"/>
      <c r="CT1317" s="1399"/>
      <c r="CU1317" s="1399"/>
      <c r="CV1317" s="1399"/>
      <c r="CW1317" s="1399"/>
      <c r="CX1317" s="1399"/>
      <c r="CY1317" s="1399"/>
      <c r="CZ1317" s="1399"/>
      <c r="DA1317" s="1399"/>
      <c r="DB1317" s="1399"/>
      <c r="DC1317" s="1399"/>
      <c r="DD1317" s="1399"/>
      <c r="DE1317" s="1399"/>
      <c r="DF1317" s="1399"/>
      <c r="DG1317" s="1399"/>
      <c r="DH1317" s="1399"/>
      <c r="DI1317" s="1399"/>
      <c r="DJ1317" s="1399"/>
      <c r="DK1317" s="1399"/>
      <c r="DL1317" s="1399"/>
      <c r="DM1317" s="1399"/>
      <c r="DN1317" s="1399"/>
      <c r="DO1317" s="1399"/>
      <c r="DP1317" s="1399"/>
      <c r="DQ1317" s="1399"/>
      <c r="DR1317" s="1399"/>
      <c r="DS1317" s="1399"/>
      <c r="DT1317" s="1399"/>
      <c r="DU1317" s="1399"/>
    </row>
    <row r="1318" spans="1:125">
      <c r="A1318" s="1414"/>
      <c r="B1318" s="1414"/>
      <c r="C1318" s="1414"/>
      <c r="D1318" s="1414"/>
      <c r="E1318" s="1414"/>
      <c r="F1318" s="1414"/>
      <c r="G1318" s="1414"/>
      <c r="H1318" s="1414"/>
      <c r="I1318" s="1414"/>
      <c r="J1318" s="1414"/>
      <c r="K1318" s="1414"/>
      <c r="L1318" s="1414"/>
      <c r="M1318" s="1414"/>
      <c r="N1318" s="1414"/>
      <c r="O1318" s="1414"/>
      <c r="P1318" s="1414"/>
      <c r="Q1318" s="1414"/>
      <c r="R1318" s="1414"/>
      <c r="S1318" s="1414"/>
      <c r="T1318" s="1414"/>
      <c r="U1318" s="1414"/>
      <c r="V1318" s="1414"/>
      <c r="W1318" s="1414"/>
      <c r="X1318" s="1414"/>
      <c r="Y1318" s="1414"/>
      <c r="Z1318" s="1414"/>
      <c r="AA1318" s="1414"/>
      <c r="AB1318" s="1414"/>
      <c r="AC1318" s="1414"/>
      <c r="AD1318" s="1414"/>
      <c r="AE1318" s="1414"/>
      <c r="AF1318" s="1414"/>
      <c r="AG1318" s="1414"/>
      <c r="AH1318" s="1414"/>
      <c r="AI1318" s="1414"/>
      <c r="AJ1318" s="1414"/>
      <c r="AK1318" s="1414"/>
      <c r="AL1318" s="1414"/>
      <c r="AM1318" s="1414"/>
      <c r="AN1318" s="1414"/>
      <c r="AO1318" s="1414"/>
      <c r="AP1318" s="1414"/>
      <c r="AQ1318" s="1414"/>
      <c r="AR1318" s="1414"/>
      <c r="AS1318" s="1414"/>
      <c r="AT1318" s="1414"/>
      <c r="AU1318" s="1414"/>
      <c r="AV1318" s="1414"/>
      <c r="AW1318" s="1414"/>
      <c r="AX1318" s="1414"/>
      <c r="AY1318" s="1399"/>
      <c r="AZ1318" s="1399"/>
      <c r="BA1318" s="1399"/>
      <c r="BB1318" s="1399"/>
      <c r="BC1318" s="1399"/>
      <c r="BD1318" s="1399"/>
      <c r="BE1318" s="1414"/>
      <c r="BF1318" s="1399"/>
      <c r="BG1318" s="1399"/>
      <c r="BH1318" s="1399"/>
      <c r="BI1318" s="1399"/>
      <c r="BJ1318" s="1399"/>
      <c r="BK1318" s="1399"/>
      <c r="BL1318" s="1399"/>
      <c r="BM1318" s="1399"/>
      <c r="BN1318" s="1399"/>
      <c r="BO1318" s="1399"/>
      <c r="BP1318" s="1399"/>
      <c r="BQ1318" s="1399"/>
      <c r="BR1318" s="1399"/>
      <c r="BS1318" s="1399"/>
      <c r="BT1318" s="1399"/>
      <c r="BU1318" s="1399"/>
      <c r="BV1318" s="1399"/>
      <c r="BW1318" s="1399"/>
      <c r="BX1318" s="1399"/>
      <c r="BY1318" s="1399"/>
      <c r="BZ1318" s="1399"/>
      <c r="CA1318" s="1399"/>
      <c r="CB1318" s="1399"/>
      <c r="CC1318" s="1399"/>
      <c r="CD1318" s="1399"/>
      <c r="CE1318" s="1399"/>
      <c r="CF1318" s="1399"/>
      <c r="CG1318" s="1399"/>
      <c r="CH1318" s="1399"/>
      <c r="CI1318" s="1399"/>
      <c r="CJ1318" s="1399"/>
      <c r="CK1318" s="1399"/>
      <c r="CL1318" s="1399"/>
      <c r="CM1318" s="1399"/>
      <c r="CN1318" s="1399"/>
      <c r="CO1318" s="1399"/>
      <c r="CP1318" s="1399"/>
      <c r="CQ1318" s="1399"/>
      <c r="CR1318" s="1399"/>
      <c r="CS1318" s="1399"/>
      <c r="CT1318" s="1399"/>
      <c r="CU1318" s="1399"/>
      <c r="CV1318" s="1399"/>
      <c r="CW1318" s="1399"/>
      <c r="CX1318" s="1399"/>
      <c r="CY1318" s="1399"/>
      <c r="CZ1318" s="1399"/>
      <c r="DA1318" s="1399"/>
      <c r="DB1318" s="1399"/>
      <c r="DC1318" s="1399"/>
      <c r="DD1318" s="1399"/>
      <c r="DE1318" s="1399"/>
      <c r="DF1318" s="1399"/>
      <c r="DG1318" s="1399"/>
      <c r="DH1318" s="1399"/>
      <c r="DI1318" s="1399"/>
      <c r="DJ1318" s="1399"/>
      <c r="DK1318" s="1399"/>
      <c r="DL1318" s="1399"/>
      <c r="DM1318" s="1399"/>
      <c r="DN1318" s="1399"/>
      <c r="DO1318" s="1399"/>
      <c r="DP1318" s="1399"/>
      <c r="DQ1318" s="1399"/>
      <c r="DR1318" s="1399"/>
      <c r="DS1318" s="1399"/>
      <c r="DT1318" s="1399"/>
      <c r="DU1318" s="1399"/>
    </row>
    <row r="1319" spans="1:125">
      <c r="A1319" s="1414"/>
      <c r="B1319" s="1414"/>
      <c r="C1319" s="1414"/>
      <c r="D1319" s="1414"/>
      <c r="E1319" s="1414"/>
      <c r="F1319" s="1414"/>
      <c r="G1319" s="1414"/>
      <c r="H1319" s="1414"/>
      <c r="I1319" s="1414"/>
      <c r="J1319" s="1414"/>
      <c r="K1319" s="1414"/>
      <c r="L1319" s="1414"/>
      <c r="M1319" s="1414"/>
      <c r="N1319" s="1414"/>
      <c r="O1319" s="1414"/>
      <c r="P1319" s="1414"/>
      <c r="Q1319" s="1414"/>
      <c r="R1319" s="1414"/>
      <c r="S1319" s="1414"/>
      <c r="T1319" s="1414"/>
      <c r="U1319" s="1414"/>
      <c r="V1319" s="1414"/>
      <c r="W1319" s="1414"/>
      <c r="X1319" s="1414"/>
      <c r="Y1319" s="1414"/>
      <c r="Z1319" s="1414"/>
      <c r="AA1319" s="1414"/>
      <c r="AB1319" s="1414"/>
      <c r="AC1319" s="1414"/>
      <c r="AD1319" s="1414"/>
      <c r="AE1319" s="1414"/>
      <c r="AF1319" s="1414"/>
      <c r="AG1319" s="1414"/>
      <c r="AH1319" s="1414"/>
      <c r="AI1319" s="1414"/>
      <c r="AJ1319" s="1414"/>
      <c r="AK1319" s="1414"/>
      <c r="AL1319" s="1414"/>
      <c r="AM1319" s="1414"/>
      <c r="AN1319" s="1414"/>
      <c r="AO1319" s="1414"/>
      <c r="AP1319" s="1414"/>
      <c r="AQ1319" s="1414"/>
      <c r="AR1319" s="1414"/>
      <c r="AS1319" s="1414"/>
      <c r="AT1319" s="1414"/>
      <c r="AU1319" s="1414"/>
      <c r="AV1319" s="1414"/>
      <c r="AW1319" s="1414"/>
      <c r="AX1319" s="1414"/>
      <c r="AY1319" s="1399"/>
      <c r="AZ1319" s="1399"/>
      <c r="BA1319" s="1399"/>
      <c r="BB1319" s="1399"/>
      <c r="BC1319" s="1399"/>
      <c r="BD1319" s="1399"/>
      <c r="BE1319" s="1414"/>
      <c r="BF1319" s="1399"/>
      <c r="BG1319" s="1399"/>
      <c r="BH1319" s="1399"/>
      <c r="BI1319" s="1399"/>
      <c r="BJ1319" s="1399"/>
      <c r="BK1319" s="1399"/>
      <c r="BL1319" s="1399"/>
      <c r="BM1319" s="1399"/>
      <c r="BN1319" s="1399"/>
      <c r="BO1319" s="1399"/>
      <c r="BP1319" s="1399"/>
      <c r="BQ1319" s="1399"/>
      <c r="BR1319" s="1399"/>
      <c r="BS1319" s="1399"/>
      <c r="BT1319" s="1399"/>
      <c r="BU1319" s="1399"/>
      <c r="BV1319" s="1399"/>
      <c r="BW1319" s="1399"/>
      <c r="BX1319" s="1399"/>
      <c r="BY1319" s="1399"/>
      <c r="BZ1319" s="1399"/>
      <c r="CA1319" s="1399"/>
      <c r="CB1319" s="1399"/>
      <c r="CC1319" s="1399"/>
      <c r="CD1319" s="1399"/>
      <c r="CE1319" s="1399"/>
      <c r="CF1319" s="1399"/>
      <c r="CG1319" s="1399"/>
      <c r="CH1319" s="1399"/>
      <c r="CI1319" s="1399"/>
      <c r="CJ1319" s="1399"/>
      <c r="CK1319" s="1399"/>
      <c r="CL1319" s="1399"/>
      <c r="CM1319" s="1399"/>
      <c r="CN1319" s="1399"/>
      <c r="CO1319" s="1399"/>
      <c r="CP1319" s="1399"/>
      <c r="CQ1319" s="1399"/>
      <c r="CR1319" s="1399"/>
      <c r="CS1319" s="1399"/>
      <c r="CT1319" s="1399"/>
      <c r="CU1319" s="1399"/>
      <c r="CV1319" s="1399"/>
      <c r="CW1319" s="1399"/>
      <c r="CX1319" s="1399"/>
      <c r="CY1319" s="1399"/>
      <c r="CZ1319" s="1399"/>
      <c r="DA1319" s="1399"/>
      <c r="DB1319" s="1399"/>
      <c r="DC1319" s="1399"/>
      <c r="DD1319" s="1399"/>
      <c r="DE1319" s="1399"/>
      <c r="DF1319" s="1399"/>
      <c r="DG1319" s="1399"/>
      <c r="DH1319" s="1399"/>
      <c r="DI1319" s="1399"/>
      <c r="DJ1319" s="1399"/>
      <c r="DK1319" s="1399"/>
      <c r="DL1319" s="1399"/>
      <c r="DM1319" s="1399"/>
      <c r="DN1319" s="1399"/>
      <c r="DO1319" s="1399"/>
      <c r="DP1319" s="1399"/>
      <c r="DQ1319" s="1399"/>
      <c r="DR1319" s="1399"/>
      <c r="DS1319" s="1399"/>
      <c r="DT1319" s="1399"/>
      <c r="DU1319" s="1399"/>
    </row>
    <row r="1320" spans="1:125">
      <c r="A1320" s="1414"/>
      <c r="B1320" s="1414"/>
      <c r="C1320" s="1414"/>
      <c r="D1320" s="1414"/>
      <c r="E1320" s="1414"/>
      <c r="F1320" s="1414"/>
      <c r="G1320" s="1414"/>
      <c r="H1320" s="1414"/>
      <c r="I1320" s="1414"/>
      <c r="J1320" s="1414"/>
      <c r="K1320" s="1414"/>
      <c r="L1320" s="1414"/>
      <c r="M1320" s="1414"/>
      <c r="N1320" s="1414"/>
      <c r="O1320" s="1414"/>
      <c r="P1320" s="1414"/>
      <c r="Q1320" s="1414"/>
      <c r="R1320" s="1414"/>
      <c r="S1320" s="1414"/>
      <c r="T1320" s="1414"/>
      <c r="U1320" s="1414"/>
      <c r="V1320" s="1414"/>
      <c r="W1320" s="1414"/>
      <c r="X1320" s="1414"/>
      <c r="Y1320" s="1414"/>
      <c r="Z1320" s="1414"/>
      <c r="AA1320" s="1414"/>
      <c r="AB1320" s="1414"/>
      <c r="AC1320" s="1414"/>
      <c r="AD1320" s="1414"/>
      <c r="AE1320" s="1414"/>
      <c r="AF1320" s="1414"/>
      <c r="AG1320" s="1414"/>
      <c r="AH1320" s="1414"/>
      <c r="AI1320" s="1414"/>
      <c r="AJ1320" s="1414"/>
      <c r="AK1320" s="1414"/>
      <c r="AL1320" s="1414"/>
      <c r="AM1320" s="1414"/>
      <c r="AN1320" s="1414"/>
      <c r="AO1320" s="1414"/>
      <c r="AP1320" s="1414"/>
      <c r="AQ1320" s="1414"/>
      <c r="AR1320" s="1414"/>
      <c r="AS1320" s="1414"/>
      <c r="AT1320" s="1414"/>
      <c r="AU1320" s="1414"/>
      <c r="AV1320" s="1414"/>
      <c r="AW1320" s="1414"/>
      <c r="AX1320" s="1414"/>
      <c r="AY1320" s="1399"/>
      <c r="AZ1320" s="1399"/>
      <c r="BA1320" s="1399"/>
      <c r="BB1320" s="1399"/>
      <c r="BC1320" s="1399"/>
      <c r="BD1320" s="1399"/>
      <c r="BE1320" s="1414"/>
      <c r="BF1320" s="1399"/>
      <c r="BG1320" s="1399"/>
      <c r="BH1320" s="1399"/>
      <c r="BI1320" s="1399"/>
      <c r="BJ1320" s="1399"/>
      <c r="BK1320" s="1399"/>
      <c r="BL1320" s="1399"/>
      <c r="BM1320" s="1399"/>
      <c r="BN1320" s="1399"/>
      <c r="BO1320" s="1399"/>
      <c r="BP1320" s="1399"/>
      <c r="BQ1320" s="1399"/>
      <c r="BR1320" s="1399"/>
      <c r="BS1320" s="1399"/>
      <c r="BT1320" s="1399"/>
      <c r="BU1320" s="1399"/>
      <c r="BV1320" s="1399"/>
      <c r="BW1320" s="1399"/>
      <c r="BX1320" s="1399"/>
      <c r="BY1320" s="1399"/>
      <c r="BZ1320" s="1399"/>
      <c r="CA1320" s="1399"/>
      <c r="CB1320" s="1399"/>
      <c r="CC1320" s="1399"/>
      <c r="CD1320" s="1399"/>
      <c r="CE1320" s="1399"/>
      <c r="CF1320" s="1399"/>
      <c r="CG1320" s="1399"/>
      <c r="CH1320" s="1399"/>
      <c r="CI1320" s="1399"/>
      <c r="CJ1320" s="1399"/>
      <c r="CK1320" s="1399"/>
      <c r="CL1320" s="1399"/>
      <c r="CM1320" s="1399"/>
      <c r="CN1320" s="1399"/>
      <c r="CO1320" s="1399"/>
      <c r="CP1320" s="1399"/>
      <c r="CQ1320" s="1399"/>
      <c r="CR1320" s="1399"/>
      <c r="CS1320" s="1399"/>
      <c r="CT1320" s="1399"/>
      <c r="CU1320" s="1399"/>
      <c r="CV1320" s="1399"/>
      <c r="CW1320" s="1399"/>
      <c r="CX1320" s="1399"/>
      <c r="CY1320" s="1399"/>
      <c r="CZ1320" s="1399"/>
      <c r="DA1320" s="1399"/>
      <c r="DB1320" s="1399"/>
      <c r="DC1320" s="1399"/>
      <c r="DD1320" s="1399"/>
      <c r="DE1320" s="1399"/>
      <c r="DF1320" s="1399"/>
      <c r="DG1320" s="1399"/>
      <c r="DH1320" s="1399"/>
      <c r="DI1320" s="1399"/>
      <c r="DJ1320" s="1399"/>
      <c r="DK1320" s="1399"/>
      <c r="DL1320" s="1399"/>
      <c r="DM1320" s="1399"/>
      <c r="DN1320" s="1399"/>
      <c r="DO1320" s="1399"/>
      <c r="DP1320" s="1399"/>
      <c r="DQ1320" s="1399"/>
      <c r="DR1320" s="1399"/>
      <c r="DS1320" s="1399"/>
      <c r="DT1320" s="1399"/>
      <c r="DU1320" s="1399"/>
    </row>
    <row r="1321" spans="1:125">
      <c r="A1321" s="1414"/>
      <c r="B1321" s="1414"/>
      <c r="C1321" s="1414"/>
      <c r="D1321" s="1414"/>
      <c r="E1321" s="1414"/>
      <c r="F1321" s="1414"/>
      <c r="G1321" s="1414"/>
      <c r="H1321" s="1414"/>
      <c r="I1321" s="1414"/>
      <c r="J1321" s="1414"/>
      <c r="K1321" s="1414"/>
      <c r="L1321" s="1414"/>
      <c r="M1321" s="1414"/>
      <c r="N1321" s="1414"/>
      <c r="O1321" s="1414"/>
      <c r="P1321" s="1414"/>
      <c r="Q1321" s="1414"/>
      <c r="R1321" s="1414"/>
      <c r="S1321" s="1414"/>
      <c r="T1321" s="1414"/>
      <c r="U1321" s="1414"/>
      <c r="V1321" s="1414"/>
      <c r="W1321" s="1414"/>
      <c r="X1321" s="1414"/>
      <c r="Y1321" s="1414"/>
      <c r="Z1321" s="1414"/>
      <c r="AA1321" s="1414"/>
      <c r="AB1321" s="1414"/>
      <c r="AC1321" s="1414"/>
      <c r="AD1321" s="1414"/>
      <c r="AE1321" s="1414"/>
      <c r="AF1321" s="1414"/>
      <c r="AG1321" s="1414"/>
      <c r="AH1321" s="1414"/>
      <c r="AI1321" s="1414"/>
      <c r="AJ1321" s="1414"/>
      <c r="AK1321" s="1414"/>
      <c r="AL1321" s="1414"/>
      <c r="AM1321" s="1414"/>
      <c r="AN1321" s="1414"/>
      <c r="AO1321" s="1414"/>
      <c r="AP1321" s="1414"/>
      <c r="AQ1321" s="1414"/>
      <c r="AR1321" s="1414"/>
      <c r="AS1321" s="1414"/>
      <c r="AT1321" s="1414"/>
      <c r="AU1321" s="1414"/>
      <c r="AV1321" s="1414"/>
      <c r="AW1321" s="1414"/>
      <c r="AX1321" s="1414"/>
      <c r="AY1321" s="1399"/>
      <c r="AZ1321" s="1399"/>
      <c r="BA1321" s="1399"/>
      <c r="BB1321" s="1399"/>
      <c r="BC1321" s="1399"/>
      <c r="BD1321" s="1399"/>
      <c r="BE1321" s="1414"/>
      <c r="BF1321" s="1399"/>
      <c r="BG1321" s="1399"/>
      <c r="BH1321" s="1399"/>
      <c r="BI1321" s="1399"/>
      <c r="BJ1321" s="1399"/>
      <c r="BK1321" s="1399"/>
      <c r="BL1321" s="1399"/>
      <c r="BM1321" s="1399"/>
      <c r="BN1321" s="1399"/>
      <c r="BO1321" s="1399"/>
      <c r="BP1321" s="1399"/>
      <c r="BQ1321" s="1399"/>
      <c r="BR1321" s="1399"/>
      <c r="BS1321" s="1399"/>
      <c r="BT1321" s="1399"/>
      <c r="BU1321" s="1399"/>
      <c r="BV1321" s="1399"/>
      <c r="BW1321" s="1399"/>
      <c r="BX1321" s="1399"/>
      <c r="BY1321" s="1399"/>
      <c r="BZ1321" s="1399"/>
      <c r="CA1321" s="1399"/>
      <c r="CB1321" s="1399"/>
      <c r="CC1321" s="1399"/>
      <c r="CD1321" s="1399"/>
      <c r="CE1321" s="1399"/>
      <c r="CF1321" s="1399"/>
      <c r="CG1321" s="1399"/>
      <c r="CH1321" s="1399"/>
      <c r="CI1321" s="1399"/>
      <c r="CJ1321" s="1399"/>
      <c r="CK1321" s="1399"/>
      <c r="CL1321" s="1399"/>
      <c r="CM1321" s="1399"/>
      <c r="CN1321" s="1399"/>
      <c r="CO1321" s="1399"/>
      <c r="CP1321" s="1399"/>
      <c r="CQ1321" s="1399"/>
      <c r="CR1321" s="1399"/>
      <c r="CS1321" s="1399"/>
      <c r="CT1321" s="1399"/>
      <c r="CU1321" s="1399"/>
      <c r="CV1321" s="1399"/>
      <c r="CW1321" s="1399"/>
      <c r="CX1321" s="1399"/>
      <c r="CY1321" s="1399"/>
      <c r="CZ1321" s="1399"/>
      <c r="DA1321" s="1399"/>
      <c r="DB1321" s="1399"/>
      <c r="DC1321" s="1399"/>
      <c r="DD1321" s="1399"/>
      <c r="DE1321" s="1399"/>
      <c r="DF1321" s="1399"/>
      <c r="DG1321" s="1399"/>
      <c r="DH1321" s="1399"/>
      <c r="DI1321" s="1399"/>
      <c r="DJ1321" s="1399"/>
      <c r="DK1321" s="1399"/>
      <c r="DL1321" s="1399"/>
      <c r="DM1321" s="1399"/>
      <c r="DN1321" s="1399"/>
      <c r="DO1321" s="1399"/>
      <c r="DP1321" s="1399"/>
      <c r="DQ1321" s="1399"/>
      <c r="DR1321" s="1399"/>
      <c r="DS1321" s="1399"/>
      <c r="DT1321" s="1399"/>
      <c r="DU1321" s="1399"/>
    </row>
    <row r="1322" spans="1:125">
      <c r="A1322" s="1414"/>
      <c r="B1322" s="1414"/>
      <c r="C1322" s="1414"/>
      <c r="D1322" s="1414"/>
      <c r="E1322" s="1414"/>
      <c r="F1322" s="1414"/>
      <c r="G1322" s="1414"/>
      <c r="H1322" s="1414"/>
      <c r="I1322" s="1414"/>
      <c r="J1322" s="1414"/>
      <c r="K1322" s="1414"/>
      <c r="L1322" s="1414"/>
      <c r="M1322" s="1414"/>
      <c r="N1322" s="1414"/>
      <c r="O1322" s="1414"/>
      <c r="P1322" s="1414"/>
      <c r="Q1322" s="1414"/>
      <c r="R1322" s="1414"/>
      <c r="S1322" s="1414"/>
      <c r="T1322" s="1414"/>
      <c r="U1322" s="1414"/>
      <c r="V1322" s="1414"/>
      <c r="W1322" s="1414"/>
      <c r="X1322" s="1414"/>
      <c r="Y1322" s="1414"/>
      <c r="Z1322" s="1414"/>
      <c r="AA1322" s="1414"/>
      <c r="AB1322" s="1414"/>
      <c r="AC1322" s="1414"/>
      <c r="AD1322" s="1414"/>
      <c r="AE1322" s="1414"/>
      <c r="AF1322" s="1414"/>
      <c r="AG1322" s="1414"/>
      <c r="AH1322" s="1414"/>
      <c r="AI1322" s="1414"/>
      <c r="AJ1322" s="1414"/>
      <c r="AK1322" s="1414"/>
      <c r="AL1322" s="1414"/>
      <c r="AM1322" s="1414"/>
      <c r="AN1322" s="1414"/>
      <c r="AO1322" s="1414"/>
      <c r="AP1322" s="1414"/>
      <c r="AQ1322" s="1414"/>
      <c r="AR1322" s="1414"/>
      <c r="AS1322" s="1414"/>
      <c r="AT1322" s="1414"/>
      <c r="AU1322" s="1414"/>
      <c r="AV1322" s="1414"/>
      <c r="AW1322" s="1414"/>
      <c r="AX1322" s="1414"/>
      <c r="AY1322" s="1399"/>
      <c r="AZ1322" s="1399"/>
      <c r="BA1322" s="1399"/>
      <c r="BB1322" s="1399"/>
      <c r="BC1322" s="1399"/>
      <c r="BD1322" s="1399"/>
      <c r="BE1322" s="1414"/>
      <c r="BF1322" s="1399"/>
      <c r="BG1322" s="1399"/>
      <c r="BH1322" s="1399"/>
      <c r="BI1322" s="1399"/>
      <c r="BJ1322" s="1399"/>
      <c r="BK1322" s="1399"/>
      <c r="BL1322" s="1399"/>
      <c r="BM1322" s="1399"/>
      <c r="BN1322" s="1399"/>
      <c r="BO1322" s="1399"/>
      <c r="BP1322" s="1399"/>
      <c r="BQ1322" s="1399"/>
      <c r="BR1322" s="1399"/>
      <c r="BS1322" s="1399"/>
      <c r="BT1322" s="1399"/>
      <c r="BU1322" s="1399"/>
      <c r="BV1322" s="1399"/>
      <c r="BW1322" s="1399"/>
      <c r="BX1322" s="1399"/>
      <c r="BY1322" s="1399"/>
      <c r="BZ1322" s="1399"/>
      <c r="CA1322" s="1399"/>
      <c r="CB1322" s="1399"/>
      <c r="CC1322" s="1399"/>
      <c r="CD1322" s="1399"/>
      <c r="CE1322" s="1399"/>
      <c r="CF1322" s="1399"/>
      <c r="CG1322" s="1399"/>
      <c r="CH1322" s="1399"/>
      <c r="CI1322" s="1399"/>
      <c r="CJ1322" s="1399"/>
      <c r="CK1322" s="1399"/>
      <c r="CL1322" s="1399"/>
      <c r="CM1322" s="1399"/>
      <c r="CN1322" s="1399"/>
      <c r="CO1322" s="1399"/>
      <c r="CP1322" s="1399"/>
      <c r="CQ1322" s="1399"/>
      <c r="CR1322" s="1399"/>
      <c r="CS1322" s="1399"/>
      <c r="CT1322" s="1399"/>
      <c r="CU1322" s="1399"/>
      <c r="CV1322" s="1399"/>
      <c r="CW1322" s="1399"/>
      <c r="CX1322" s="1399"/>
      <c r="CY1322" s="1399"/>
      <c r="CZ1322" s="1399"/>
      <c r="DA1322" s="1399"/>
      <c r="DB1322" s="1399"/>
      <c r="DC1322" s="1399"/>
      <c r="DD1322" s="1399"/>
      <c r="DE1322" s="1399"/>
      <c r="DF1322" s="1399"/>
      <c r="DG1322" s="1399"/>
      <c r="DH1322" s="1399"/>
      <c r="DI1322" s="1399"/>
      <c r="DJ1322" s="1399"/>
      <c r="DK1322" s="1399"/>
      <c r="DL1322" s="1399"/>
      <c r="DM1322" s="1399"/>
      <c r="DN1322" s="1399"/>
      <c r="DO1322" s="1399"/>
      <c r="DP1322" s="1399"/>
      <c r="DQ1322" s="1399"/>
      <c r="DR1322" s="1399"/>
      <c r="DS1322" s="1399"/>
      <c r="DT1322" s="1399"/>
      <c r="DU1322" s="1399"/>
    </row>
    <row r="1323" spans="1:125">
      <c r="A1323" s="1414"/>
      <c r="B1323" s="1414"/>
      <c r="C1323" s="1414"/>
      <c r="D1323" s="1414"/>
      <c r="E1323" s="1414"/>
      <c r="F1323" s="1414"/>
      <c r="G1323" s="1414"/>
      <c r="H1323" s="1414"/>
      <c r="I1323" s="1414"/>
      <c r="J1323" s="1414"/>
      <c r="K1323" s="1414"/>
      <c r="L1323" s="1414"/>
      <c r="M1323" s="1414"/>
      <c r="N1323" s="1414"/>
      <c r="O1323" s="1414"/>
      <c r="P1323" s="1414"/>
      <c r="Q1323" s="1414"/>
      <c r="R1323" s="1414"/>
      <c r="S1323" s="1414"/>
      <c r="T1323" s="1414"/>
      <c r="U1323" s="1414"/>
      <c r="V1323" s="1414"/>
      <c r="W1323" s="1414"/>
      <c r="X1323" s="1414"/>
      <c r="Y1323" s="1414"/>
      <c r="Z1323" s="1414"/>
      <c r="AA1323" s="1414"/>
      <c r="AB1323" s="1414"/>
      <c r="AC1323" s="1414"/>
      <c r="AD1323" s="1414"/>
      <c r="AE1323" s="1414"/>
      <c r="AF1323" s="1414"/>
      <c r="AG1323" s="1414"/>
      <c r="AH1323" s="1414"/>
      <c r="AI1323" s="1414"/>
      <c r="AJ1323" s="1414"/>
      <c r="AK1323" s="1414"/>
      <c r="AL1323" s="1414"/>
      <c r="AM1323" s="1414"/>
      <c r="AN1323" s="1414"/>
      <c r="AO1323" s="1414"/>
      <c r="AP1323" s="1414"/>
      <c r="AQ1323" s="1414"/>
      <c r="AR1323" s="1414"/>
      <c r="AS1323" s="1414"/>
      <c r="AT1323" s="1414"/>
      <c r="AU1323" s="1414"/>
      <c r="AV1323" s="1414"/>
      <c r="AW1323" s="1414"/>
      <c r="AX1323" s="1414"/>
      <c r="AY1323" s="1399"/>
      <c r="AZ1323" s="1399"/>
      <c r="BA1323" s="1399"/>
      <c r="BB1323" s="1399"/>
      <c r="BC1323" s="1399"/>
      <c r="BD1323" s="1399"/>
      <c r="BE1323" s="1414"/>
      <c r="BF1323" s="1399"/>
      <c r="BG1323" s="1399"/>
      <c r="BH1323" s="1399"/>
      <c r="BI1323" s="1399"/>
      <c r="BJ1323" s="1399"/>
      <c r="BK1323" s="1399"/>
      <c r="BL1323" s="1399"/>
      <c r="BM1323" s="1399"/>
      <c r="BN1323" s="1399"/>
      <c r="BO1323" s="1399"/>
      <c r="BP1323" s="1399"/>
      <c r="BQ1323" s="1399"/>
      <c r="BR1323" s="1399"/>
      <c r="BS1323" s="1399"/>
      <c r="BT1323" s="1399"/>
      <c r="BU1323" s="1399"/>
      <c r="BV1323" s="1399"/>
      <c r="BW1323" s="1399"/>
      <c r="BX1323" s="1399"/>
      <c r="BY1323" s="1399"/>
      <c r="BZ1323" s="1399"/>
      <c r="CA1323" s="1399"/>
      <c r="CB1323" s="1399"/>
      <c r="CC1323" s="1399"/>
      <c r="CD1323" s="1399"/>
      <c r="CE1323" s="1399"/>
      <c r="CF1323" s="1399"/>
      <c r="CG1323" s="1399"/>
      <c r="CH1323" s="1399"/>
      <c r="CI1323" s="1399"/>
      <c r="CJ1323" s="1399"/>
      <c r="CK1323" s="1399"/>
      <c r="CL1323" s="1399"/>
      <c r="CM1323" s="1399"/>
      <c r="CN1323" s="1399"/>
      <c r="CO1323" s="1399"/>
      <c r="CP1323" s="1399"/>
      <c r="CQ1323" s="1399"/>
      <c r="CR1323" s="1399"/>
      <c r="CS1323" s="1399"/>
      <c r="CT1323" s="1399"/>
      <c r="CU1323" s="1399"/>
      <c r="CV1323" s="1399"/>
      <c r="CW1323" s="1399"/>
      <c r="CX1323" s="1399"/>
      <c r="CY1323" s="1399"/>
      <c r="CZ1323" s="1399"/>
      <c r="DA1323" s="1399"/>
      <c r="DB1323" s="1399"/>
      <c r="DC1323" s="1399"/>
      <c r="DD1323" s="1399"/>
      <c r="DE1323" s="1399"/>
      <c r="DF1323" s="1399"/>
      <c r="DG1323" s="1399"/>
      <c r="DH1323" s="1399"/>
      <c r="DI1323" s="1399"/>
      <c r="DJ1323" s="1399"/>
      <c r="DK1323" s="1399"/>
      <c r="DL1323" s="1399"/>
      <c r="DM1323" s="1399"/>
      <c r="DN1323" s="1399"/>
      <c r="DO1323" s="1399"/>
      <c r="DP1323" s="1399"/>
      <c r="DQ1323" s="1399"/>
      <c r="DR1323" s="1399"/>
      <c r="DS1323" s="1399"/>
      <c r="DT1323" s="1399"/>
      <c r="DU1323" s="1399"/>
    </row>
    <row r="1324" spans="1:125">
      <c r="A1324" s="1414"/>
      <c r="B1324" s="1414"/>
      <c r="C1324" s="1414"/>
      <c r="D1324" s="1414"/>
      <c r="E1324" s="1414"/>
      <c r="F1324" s="1414"/>
      <c r="G1324" s="1414"/>
      <c r="H1324" s="1414"/>
      <c r="I1324" s="1414"/>
      <c r="J1324" s="1414"/>
      <c r="K1324" s="1414"/>
      <c r="L1324" s="1414"/>
      <c r="M1324" s="1414"/>
      <c r="N1324" s="1414"/>
      <c r="O1324" s="1414"/>
      <c r="P1324" s="1414"/>
      <c r="Q1324" s="1414"/>
      <c r="R1324" s="1414"/>
      <c r="S1324" s="1414"/>
      <c r="T1324" s="1414"/>
      <c r="U1324" s="1414"/>
      <c r="V1324" s="1414"/>
      <c r="W1324" s="1414"/>
      <c r="X1324" s="1414"/>
      <c r="Y1324" s="1414"/>
      <c r="Z1324" s="1414"/>
      <c r="AA1324" s="1414"/>
      <c r="AB1324" s="1414"/>
      <c r="AC1324" s="1414"/>
      <c r="AD1324" s="1414"/>
      <c r="AE1324" s="1414"/>
      <c r="AF1324" s="1414"/>
      <c r="AG1324" s="1414"/>
      <c r="AH1324" s="1414"/>
      <c r="AI1324" s="1414"/>
      <c r="AJ1324" s="1414"/>
      <c r="AK1324" s="1414"/>
      <c r="AL1324" s="1414"/>
      <c r="AM1324" s="1414"/>
      <c r="AN1324" s="1414"/>
      <c r="AO1324" s="1414"/>
      <c r="AP1324" s="1414"/>
      <c r="AQ1324" s="1414"/>
      <c r="AR1324" s="1414"/>
      <c r="AS1324" s="1414"/>
      <c r="AT1324" s="1414"/>
      <c r="AU1324" s="1414"/>
      <c r="AV1324" s="1414"/>
      <c r="AW1324" s="1414"/>
      <c r="AX1324" s="1414"/>
      <c r="AY1324" s="1399"/>
      <c r="AZ1324" s="1399"/>
      <c r="BA1324" s="1399"/>
      <c r="BB1324" s="1399"/>
      <c r="BC1324" s="1399"/>
      <c r="BD1324" s="1399"/>
      <c r="BE1324" s="1414"/>
      <c r="BF1324" s="1399"/>
      <c r="BG1324" s="1399"/>
      <c r="BH1324" s="1399"/>
      <c r="BI1324" s="1399"/>
      <c r="BJ1324" s="1399"/>
      <c r="BK1324" s="1399"/>
      <c r="BL1324" s="1399"/>
      <c r="BM1324" s="1399"/>
      <c r="BN1324" s="1399"/>
      <c r="BO1324" s="1399"/>
      <c r="BP1324" s="1399"/>
      <c r="BQ1324" s="1399"/>
      <c r="BR1324" s="1399"/>
      <c r="BS1324" s="1399"/>
      <c r="BT1324" s="1399"/>
      <c r="BU1324" s="1399"/>
      <c r="BV1324" s="1399"/>
      <c r="BW1324" s="1399"/>
      <c r="BX1324" s="1399"/>
      <c r="BY1324" s="1399"/>
      <c r="BZ1324" s="1399"/>
      <c r="CA1324" s="1399"/>
      <c r="CB1324" s="1399"/>
      <c r="CC1324" s="1399"/>
      <c r="CD1324" s="1399"/>
      <c r="CE1324" s="1399"/>
      <c r="CF1324" s="1399"/>
      <c r="CG1324" s="1399"/>
      <c r="CH1324" s="1399"/>
      <c r="CI1324" s="1399"/>
      <c r="CJ1324" s="1399"/>
      <c r="CK1324" s="1399"/>
      <c r="CL1324" s="1399"/>
      <c r="CM1324" s="1399"/>
      <c r="CN1324" s="1399"/>
      <c r="CO1324" s="1399"/>
      <c r="CP1324" s="1399"/>
      <c r="CQ1324" s="1399"/>
      <c r="CR1324" s="1399"/>
      <c r="CS1324" s="1399"/>
      <c r="CT1324" s="1399"/>
      <c r="CU1324" s="1399"/>
      <c r="CV1324" s="1399"/>
      <c r="CW1324" s="1399"/>
      <c r="CX1324" s="1399"/>
      <c r="CY1324" s="1399"/>
      <c r="CZ1324" s="1399"/>
      <c r="DA1324" s="1399"/>
      <c r="DB1324" s="1399"/>
      <c r="DC1324" s="1399"/>
      <c r="DD1324" s="1399"/>
      <c r="DE1324" s="1399"/>
      <c r="DF1324" s="1399"/>
      <c r="DG1324" s="1399"/>
      <c r="DH1324" s="1399"/>
      <c r="DI1324" s="1399"/>
      <c r="DJ1324" s="1399"/>
      <c r="DK1324" s="1399"/>
      <c r="DL1324" s="1399"/>
      <c r="DM1324" s="1399"/>
      <c r="DN1324" s="1399"/>
      <c r="DO1324" s="1399"/>
      <c r="DP1324" s="1399"/>
      <c r="DQ1324" s="1399"/>
      <c r="DR1324" s="1399"/>
      <c r="DS1324" s="1399"/>
      <c r="DT1324" s="1399"/>
      <c r="DU1324" s="1399"/>
    </row>
    <row r="1325" spans="1:125">
      <c r="A1325" s="1414"/>
      <c r="B1325" s="1414"/>
      <c r="C1325" s="1414"/>
      <c r="D1325" s="1414"/>
      <c r="E1325" s="1414"/>
      <c r="F1325" s="1414"/>
      <c r="G1325" s="1414"/>
      <c r="H1325" s="1414"/>
      <c r="I1325" s="1414"/>
      <c r="J1325" s="1414"/>
      <c r="K1325" s="1414"/>
      <c r="L1325" s="1414"/>
      <c r="M1325" s="1414"/>
      <c r="N1325" s="1414"/>
      <c r="O1325" s="1414"/>
      <c r="P1325" s="1414"/>
      <c r="Q1325" s="1414"/>
      <c r="R1325" s="1414"/>
      <c r="S1325" s="1414"/>
      <c r="T1325" s="1414"/>
      <c r="U1325" s="1414"/>
      <c r="V1325" s="1414"/>
      <c r="W1325" s="1414"/>
      <c r="X1325" s="1414"/>
      <c r="Y1325" s="1414"/>
      <c r="Z1325" s="1414"/>
      <c r="AA1325" s="1414"/>
      <c r="AB1325" s="1414"/>
      <c r="AC1325" s="1414"/>
      <c r="AD1325" s="1414"/>
      <c r="AE1325" s="1414"/>
      <c r="AF1325" s="1414"/>
      <c r="AG1325" s="1414"/>
      <c r="AH1325" s="1414"/>
      <c r="AI1325" s="1414"/>
      <c r="AJ1325" s="1414"/>
      <c r="AK1325" s="1414"/>
      <c r="AL1325" s="1414"/>
      <c r="AM1325" s="1414"/>
      <c r="AN1325" s="1414"/>
      <c r="AO1325" s="1414"/>
      <c r="AP1325" s="1414"/>
      <c r="AQ1325" s="1414"/>
      <c r="AR1325" s="1414"/>
      <c r="AS1325" s="1414"/>
      <c r="AT1325" s="1414"/>
      <c r="AU1325" s="1414"/>
      <c r="AV1325" s="1414"/>
      <c r="AW1325" s="1414"/>
      <c r="AX1325" s="1414"/>
      <c r="AY1325" s="1399"/>
      <c r="AZ1325" s="1399"/>
      <c r="BA1325" s="1399"/>
      <c r="BB1325" s="1399"/>
      <c r="BC1325" s="1399"/>
      <c r="BD1325" s="1399"/>
      <c r="BE1325" s="1414"/>
      <c r="BF1325" s="1399"/>
      <c r="BG1325" s="1399"/>
      <c r="BH1325" s="1399"/>
      <c r="BI1325" s="1399"/>
      <c r="BJ1325" s="1399"/>
      <c r="BK1325" s="1399"/>
      <c r="BL1325" s="1399"/>
      <c r="BM1325" s="1399"/>
      <c r="BN1325" s="1399"/>
      <c r="BO1325" s="1399"/>
      <c r="BP1325" s="1399"/>
      <c r="BQ1325" s="1399"/>
      <c r="BR1325" s="1399"/>
      <c r="BS1325" s="1399"/>
      <c r="BT1325" s="1399"/>
      <c r="BU1325" s="1399"/>
      <c r="BV1325" s="1399"/>
      <c r="BW1325" s="1399"/>
      <c r="BX1325" s="1399"/>
      <c r="BY1325" s="1399"/>
      <c r="BZ1325" s="1399"/>
      <c r="CA1325" s="1399"/>
      <c r="CB1325" s="1399"/>
      <c r="CC1325" s="1399"/>
      <c r="CD1325" s="1399"/>
      <c r="CE1325" s="1399"/>
      <c r="CF1325" s="1399"/>
      <c r="CG1325" s="1399"/>
      <c r="CH1325" s="1399"/>
      <c r="CI1325" s="1399"/>
      <c r="CJ1325" s="1399"/>
      <c r="CK1325" s="1399"/>
      <c r="CL1325" s="1399"/>
      <c r="CM1325" s="1399"/>
      <c r="CN1325" s="1399"/>
      <c r="CO1325" s="1399"/>
      <c r="CP1325" s="1399"/>
      <c r="CQ1325" s="1399"/>
      <c r="CR1325" s="1399"/>
      <c r="CS1325" s="1399"/>
      <c r="CT1325" s="1399"/>
      <c r="CU1325" s="1399"/>
      <c r="CV1325" s="1399"/>
      <c r="CW1325" s="1399"/>
      <c r="CX1325" s="1399"/>
      <c r="CY1325" s="1399"/>
      <c r="CZ1325" s="1399"/>
      <c r="DA1325" s="1399"/>
      <c r="DB1325" s="1399"/>
      <c r="DC1325" s="1399"/>
      <c r="DD1325" s="1399"/>
      <c r="DE1325" s="1399"/>
      <c r="DF1325" s="1399"/>
      <c r="DG1325" s="1399"/>
      <c r="DH1325" s="1399"/>
      <c r="DI1325" s="1399"/>
      <c r="DJ1325" s="1399"/>
      <c r="DK1325" s="1399"/>
      <c r="DL1325" s="1399"/>
      <c r="DM1325" s="1399"/>
      <c r="DN1325" s="1399"/>
      <c r="DO1325" s="1399"/>
      <c r="DP1325" s="1399"/>
      <c r="DQ1325" s="1399"/>
      <c r="DR1325" s="1399"/>
      <c r="DS1325" s="1399"/>
      <c r="DT1325" s="1399"/>
      <c r="DU1325" s="1399"/>
    </row>
    <row r="1326" spans="1:125">
      <c r="A1326" s="1414"/>
      <c r="B1326" s="1414"/>
      <c r="C1326" s="1414"/>
      <c r="D1326" s="1414"/>
      <c r="E1326" s="1414"/>
      <c r="F1326" s="1414"/>
      <c r="G1326" s="1414"/>
      <c r="H1326" s="1414"/>
      <c r="I1326" s="1414"/>
      <c r="J1326" s="1414"/>
      <c r="K1326" s="1414"/>
      <c r="L1326" s="1414"/>
      <c r="M1326" s="1414"/>
      <c r="N1326" s="1414"/>
      <c r="O1326" s="1414"/>
      <c r="P1326" s="1414"/>
      <c r="Q1326" s="1414"/>
      <c r="R1326" s="1414"/>
      <c r="S1326" s="1414"/>
      <c r="T1326" s="1414"/>
      <c r="U1326" s="1414"/>
      <c r="V1326" s="1414"/>
      <c r="W1326" s="1414"/>
      <c r="X1326" s="1414"/>
      <c r="Y1326" s="1414"/>
      <c r="Z1326" s="1414"/>
      <c r="AA1326" s="1414"/>
      <c r="AB1326" s="1414"/>
      <c r="AC1326" s="1414"/>
      <c r="AD1326" s="1414"/>
      <c r="AE1326" s="1414"/>
      <c r="AF1326" s="1414"/>
      <c r="AG1326" s="1414"/>
      <c r="AH1326" s="1414"/>
      <c r="AI1326" s="1414"/>
      <c r="AJ1326" s="1414"/>
      <c r="AK1326" s="1414"/>
      <c r="AL1326" s="1414"/>
      <c r="AM1326" s="1414"/>
      <c r="AN1326" s="1414"/>
      <c r="AO1326" s="1414"/>
      <c r="AP1326" s="1414"/>
      <c r="AQ1326" s="1414"/>
      <c r="AR1326" s="1414"/>
      <c r="AS1326" s="1414"/>
      <c r="AT1326" s="1414"/>
      <c r="AU1326" s="1414"/>
      <c r="AV1326" s="1414"/>
      <c r="AW1326" s="1414"/>
      <c r="AX1326" s="1414"/>
      <c r="AY1326" s="1399"/>
      <c r="AZ1326" s="1399"/>
      <c r="BA1326" s="1399"/>
      <c r="BB1326" s="1399"/>
      <c r="BC1326" s="1399"/>
      <c r="BD1326" s="1399"/>
      <c r="BE1326" s="1414"/>
      <c r="BF1326" s="1399"/>
      <c r="BG1326" s="1399"/>
      <c r="BH1326" s="1399"/>
      <c r="BI1326" s="1399"/>
      <c r="BJ1326" s="1399"/>
      <c r="BK1326" s="1399"/>
      <c r="BL1326" s="1399"/>
      <c r="BM1326" s="1399"/>
      <c r="BN1326" s="1399"/>
      <c r="BO1326" s="1399"/>
      <c r="BP1326" s="1399"/>
      <c r="BQ1326" s="1399"/>
      <c r="BR1326" s="1399"/>
      <c r="BS1326" s="1399"/>
      <c r="BT1326" s="1399"/>
      <c r="BU1326" s="1399"/>
      <c r="BV1326" s="1399"/>
      <c r="BW1326" s="1399"/>
      <c r="BX1326" s="1399"/>
      <c r="BY1326" s="1399"/>
      <c r="BZ1326" s="1399"/>
      <c r="CA1326" s="1399"/>
      <c r="CB1326" s="1399"/>
      <c r="CC1326" s="1399"/>
      <c r="CD1326" s="1399"/>
      <c r="CE1326" s="1399"/>
      <c r="CF1326" s="1399"/>
      <c r="CG1326" s="1399"/>
      <c r="CH1326" s="1399"/>
      <c r="CI1326" s="1399"/>
      <c r="CJ1326" s="1399"/>
      <c r="CK1326" s="1399"/>
      <c r="CL1326" s="1399"/>
      <c r="CM1326" s="1399"/>
      <c r="CN1326" s="1399"/>
      <c r="CO1326" s="1399"/>
      <c r="CP1326" s="1399"/>
      <c r="CQ1326" s="1399"/>
      <c r="CR1326" s="1399"/>
      <c r="CS1326" s="1399"/>
      <c r="CT1326" s="1399"/>
      <c r="CU1326" s="1399"/>
      <c r="CV1326" s="1399"/>
      <c r="CW1326" s="1399"/>
      <c r="CX1326" s="1399"/>
      <c r="CY1326" s="1399"/>
      <c r="CZ1326" s="1399"/>
      <c r="DA1326" s="1399"/>
      <c r="DB1326" s="1399"/>
      <c r="DC1326" s="1399"/>
      <c r="DD1326" s="1399"/>
      <c r="DE1326" s="1399"/>
      <c r="DF1326" s="1399"/>
      <c r="DG1326" s="1399"/>
      <c r="DH1326" s="1399"/>
      <c r="DI1326" s="1399"/>
      <c r="DJ1326" s="1399"/>
      <c r="DK1326" s="1399"/>
      <c r="DL1326" s="1399"/>
      <c r="DM1326" s="1399"/>
      <c r="DN1326" s="1399"/>
      <c r="DO1326" s="1399"/>
      <c r="DP1326" s="1399"/>
      <c r="DQ1326" s="1399"/>
      <c r="DR1326" s="1399"/>
      <c r="DS1326" s="1399"/>
      <c r="DT1326" s="1399"/>
      <c r="DU1326" s="1399"/>
    </row>
    <row r="1327" spans="1:125">
      <c r="A1327" s="1414"/>
      <c r="B1327" s="1414"/>
      <c r="C1327" s="1414"/>
      <c r="D1327" s="1414"/>
      <c r="E1327" s="1414"/>
      <c r="F1327" s="1414"/>
      <c r="G1327" s="1414"/>
      <c r="H1327" s="1414"/>
      <c r="I1327" s="1414"/>
      <c r="J1327" s="1414"/>
      <c r="K1327" s="1414"/>
      <c r="L1327" s="1414"/>
      <c r="M1327" s="1414"/>
      <c r="N1327" s="1414"/>
      <c r="O1327" s="1414"/>
      <c r="P1327" s="1414"/>
      <c r="Q1327" s="1414"/>
      <c r="R1327" s="1414"/>
      <c r="S1327" s="1414"/>
      <c r="T1327" s="1414"/>
      <c r="U1327" s="1414"/>
      <c r="V1327" s="1414"/>
      <c r="W1327" s="1414"/>
      <c r="X1327" s="1414"/>
      <c r="Y1327" s="1414"/>
      <c r="Z1327" s="1414"/>
      <c r="AA1327" s="1414"/>
      <c r="AB1327" s="1414"/>
      <c r="AC1327" s="1414"/>
      <c r="AD1327" s="1414"/>
      <c r="AE1327" s="1414"/>
      <c r="AF1327" s="1414"/>
      <c r="AG1327" s="1414"/>
      <c r="AH1327" s="1414"/>
      <c r="AI1327" s="1414"/>
      <c r="AJ1327" s="1414"/>
      <c r="AK1327" s="1414"/>
      <c r="AL1327" s="1414"/>
      <c r="AM1327" s="1414"/>
      <c r="AN1327" s="1414"/>
      <c r="AO1327" s="1414"/>
      <c r="AP1327" s="1414"/>
      <c r="AQ1327" s="1414"/>
      <c r="AR1327" s="1414"/>
      <c r="AS1327" s="1414"/>
      <c r="AT1327" s="1414"/>
      <c r="AU1327" s="1414"/>
      <c r="AV1327" s="1414"/>
      <c r="AW1327" s="1414"/>
      <c r="AX1327" s="1414"/>
      <c r="AY1327" s="1399"/>
      <c r="AZ1327" s="1399"/>
      <c r="BA1327" s="1399"/>
      <c r="BB1327" s="1399"/>
      <c r="BC1327" s="1399"/>
      <c r="BD1327" s="1399"/>
      <c r="BE1327" s="1414"/>
      <c r="BF1327" s="1399"/>
      <c r="BG1327" s="1399"/>
      <c r="BH1327" s="1399"/>
      <c r="BI1327" s="1399"/>
      <c r="BJ1327" s="1399"/>
      <c r="BK1327" s="1399"/>
      <c r="BL1327" s="1399"/>
      <c r="BM1327" s="1399"/>
      <c r="BN1327" s="1399"/>
      <c r="BO1327" s="1399"/>
      <c r="BP1327" s="1399"/>
      <c r="BQ1327" s="1399"/>
      <c r="BR1327" s="1399"/>
      <c r="BS1327" s="1399"/>
      <c r="BT1327" s="1399"/>
      <c r="BU1327" s="1399"/>
      <c r="BV1327" s="1399"/>
      <c r="BW1327" s="1399"/>
      <c r="BX1327" s="1399"/>
      <c r="BY1327" s="1399"/>
      <c r="BZ1327" s="1399"/>
      <c r="CA1327" s="1399"/>
      <c r="CB1327" s="1399"/>
      <c r="CC1327" s="1399"/>
      <c r="CD1327" s="1399"/>
      <c r="CE1327" s="1399"/>
      <c r="CF1327" s="1399"/>
      <c r="CG1327" s="1399"/>
      <c r="CH1327" s="1399"/>
      <c r="CI1327" s="1399"/>
      <c r="CJ1327" s="1399"/>
      <c r="CK1327" s="1399"/>
      <c r="CL1327" s="1399"/>
      <c r="CM1327" s="1399"/>
      <c r="CN1327" s="1399"/>
      <c r="CO1327" s="1399"/>
      <c r="CP1327" s="1399"/>
      <c r="CQ1327" s="1399"/>
      <c r="CR1327" s="1399"/>
      <c r="CS1327" s="1399"/>
      <c r="CT1327" s="1399"/>
      <c r="CU1327" s="1399"/>
      <c r="CV1327" s="1399"/>
      <c r="CW1327" s="1399"/>
      <c r="CX1327" s="1399"/>
      <c r="CY1327" s="1399"/>
      <c r="CZ1327" s="1399"/>
      <c r="DA1327" s="1399"/>
      <c r="DB1327" s="1399"/>
      <c r="DC1327" s="1399"/>
      <c r="DD1327" s="1399"/>
      <c r="DE1327" s="1399"/>
      <c r="DF1327" s="1399"/>
      <c r="DG1327" s="1399"/>
      <c r="DH1327" s="1399"/>
      <c r="DI1327" s="1399"/>
      <c r="DJ1327" s="1399"/>
      <c r="DK1327" s="1399"/>
      <c r="DL1327" s="1399"/>
      <c r="DM1327" s="1399"/>
      <c r="DN1327" s="1399"/>
      <c r="DO1327" s="1399"/>
      <c r="DP1327" s="1399"/>
      <c r="DQ1327" s="1399"/>
      <c r="DR1327" s="1399"/>
      <c r="DS1327" s="1399"/>
      <c r="DT1327" s="1399"/>
      <c r="DU1327" s="1399"/>
    </row>
    <row r="1328" spans="1:125">
      <c r="A1328" s="1414"/>
      <c r="B1328" s="1414"/>
      <c r="C1328" s="1414"/>
      <c r="D1328" s="1414"/>
      <c r="E1328" s="1414"/>
      <c r="F1328" s="1414"/>
      <c r="G1328" s="1414"/>
      <c r="H1328" s="1414"/>
      <c r="I1328" s="1414"/>
      <c r="J1328" s="1414"/>
      <c r="K1328" s="1414"/>
      <c r="L1328" s="1414"/>
      <c r="M1328" s="1414"/>
      <c r="N1328" s="1414"/>
      <c r="O1328" s="1414"/>
      <c r="P1328" s="1414"/>
      <c r="Q1328" s="1414"/>
      <c r="R1328" s="1414"/>
      <c r="S1328" s="1414"/>
      <c r="T1328" s="1414"/>
      <c r="U1328" s="1414"/>
      <c r="V1328" s="1414"/>
      <c r="W1328" s="1414"/>
      <c r="X1328" s="1414"/>
      <c r="Y1328" s="1414"/>
      <c r="Z1328" s="1414"/>
      <c r="AA1328" s="1414"/>
      <c r="AB1328" s="1414"/>
      <c r="AC1328" s="1414"/>
      <c r="AD1328" s="1414"/>
      <c r="AE1328" s="1414"/>
      <c r="AF1328" s="1414"/>
      <c r="AG1328" s="1414"/>
      <c r="AH1328" s="1414"/>
      <c r="AI1328" s="1414"/>
      <c r="AJ1328" s="1414"/>
      <c r="AK1328" s="1414"/>
      <c r="AL1328" s="1414"/>
      <c r="AM1328" s="1414"/>
      <c r="AN1328" s="1414"/>
      <c r="AO1328" s="1414"/>
      <c r="AP1328" s="1414"/>
      <c r="AQ1328" s="1414"/>
      <c r="AR1328" s="1414"/>
      <c r="AS1328" s="1414"/>
      <c r="AT1328" s="1414"/>
      <c r="AU1328" s="1414"/>
      <c r="AV1328" s="1414"/>
      <c r="AW1328" s="1414"/>
      <c r="AX1328" s="1414"/>
      <c r="AY1328" s="1399"/>
      <c r="AZ1328" s="1399"/>
      <c r="BA1328" s="1399"/>
      <c r="BB1328" s="1399"/>
      <c r="BC1328" s="1399"/>
      <c r="BD1328" s="1399"/>
      <c r="BE1328" s="1414"/>
      <c r="BF1328" s="1399"/>
      <c r="BG1328" s="1399"/>
      <c r="BH1328" s="1399"/>
      <c r="BI1328" s="1399"/>
      <c r="BJ1328" s="1399"/>
      <c r="BK1328" s="1399"/>
      <c r="BL1328" s="1399"/>
      <c r="BM1328" s="1399"/>
      <c r="BN1328" s="1399"/>
      <c r="BO1328" s="1399"/>
      <c r="BP1328" s="1399"/>
      <c r="BQ1328" s="1399"/>
      <c r="BR1328" s="1399"/>
      <c r="BS1328" s="1399"/>
      <c r="BT1328" s="1399"/>
      <c r="BU1328" s="1399"/>
      <c r="BV1328" s="1399"/>
      <c r="BW1328" s="1399"/>
      <c r="BX1328" s="1399"/>
      <c r="BY1328" s="1399"/>
      <c r="BZ1328" s="1399"/>
      <c r="CA1328" s="1399"/>
      <c r="CB1328" s="1399"/>
      <c r="CC1328" s="1399"/>
      <c r="CD1328" s="1399"/>
      <c r="CE1328" s="1399"/>
      <c r="CF1328" s="1399"/>
      <c r="CG1328" s="1399"/>
      <c r="CH1328" s="1399"/>
      <c r="CI1328" s="1399"/>
      <c r="CJ1328" s="1399"/>
      <c r="CK1328" s="1399"/>
      <c r="CL1328" s="1399"/>
      <c r="CM1328" s="1399"/>
      <c r="CN1328" s="1399"/>
      <c r="CO1328" s="1399"/>
      <c r="CP1328" s="1399"/>
      <c r="CQ1328" s="1399"/>
      <c r="CR1328" s="1399"/>
      <c r="CS1328" s="1399"/>
      <c r="CT1328" s="1399"/>
      <c r="CU1328" s="1399"/>
      <c r="CV1328" s="1399"/>
      <c r="CW1328" s="1399"/>
      <c r="CX1328" s="1399"/>
      <c r="CY1328" s="1399"/>
      <c r="CZ1328" s="1399"/>
      <c r="DA1328" s="1399"/>
      <c r="DB1328" s="1399"/>
      <c r="DC1328" s="1399"/>
      <c r="DD1328" s="1399"/>
      <c r="DE1328" s="1399"/>
      <c r="DF1328" s="1399"/>
      <c r="DG1328" s="1399"/>
      <c r="DH1328" s="1399"/>
      <c r="DI1328" s="1399"/>
      <c r="DJ1328" s="1399"/>
      <c r="DK1328" s="1399"/>
      <c r="DL1328" s="1399"/>
      <c r="DM1328" s="1399"/>
      <c r="DN1328" s="1399"/>
      <c r="DO1328" s="1399"/>
      <c r="DP1328" s="1399"/>
      <c r="DQ1328" s="1399"/>
      <c r="DR1328" s="1399"/>
      <c r="DS1328" s="1399"/>
      <c r="DT1328" s="1399"/>
      <c r="DU1328" s="1399"/>
    </row>
    <row r="1329" spans="1:125">
      <c r="A1329" s="1414"/>
      <c r="B1329" s="1414"/>
      <c r="C1329" s="1414"/>
      <c r="D1329" s="1414"/>
      <c r="E1329" s="1414"/>
      <c r="F1329" s="1414"/>
      <c r="G1329" s="1414"/>
      <c r="H1329" s="1414"/>
      <c r="I1329" s="1414"/>
      <c r="J1329" s="1414"/>
      <c r="K1329" s="1414"/>
      <c r="L1329" s="1414"/>
      <c r="M1329" s="1414"/>
      <c r="N1329" s="1414"/>
      <c r="O1329" s="1414"/>
      <c r="P1329" s="1414"/>
      <c r="Q1329" s="1414"/>
      <c r="R1329" s="1414"/>
      <c r="S1329" s="1414"/>
      <c r="T1329" s="1414"/>
      <c r="U1329" s="1414"/>
      <c r="V1329" s="1414"/>
      <c r="W1329" s="1414"/>
      <c r="X1329" s="1414"/>
      <c r="Y1329" s="1414"/>
      <c r="Z1329" s="1414"/>
      <c r="AA1329" s="1414"/>
      <c r="AB1329" s="1414"/>
      <c r="AC1329" s="1414"/>
      <c r="AD1329" s="1414"/>
      <c r="AE1329" s="1414"/>
      <c r="AF1329" s="1414"/>
      <c r="AG1329" s="1414"/>
      <c r="AH1329" s="1414"/>
      <c r="AI1329" s="1414"/>
      <c r="AJ1329" s="1414"/>
      <c r="AK1329" s="1414"/>
      <c r="AL1329" s="1414"/>
      <c r="AM1329" s="1414"/>
      <c r="AN1329" s="1414"/>
      <c r="AO1329" s="1414"/>
      <c r="AP1329" s="1414"/>
      <c r="AQ1329" s="1414"/>
      <c r="AR1329" s="1414"/>
      <c r="AS1329" s="1414"/>
      <c r="AT1329" s="1414"/>
      <c r="AU1329" s="1414"/>
      <c r="AV1329" s="1414"/>
      <c r="AW1329" s="1414"/>
      <c r="AX1329" s="1414"/>
      <c r="AY1329" s="1399"/>
      <c r="AZ1329" s="1399"/>
      <c r="BA1329" s="1399"/>
      <c r="BB1329" s="1399"/>
      <c r="BC1329" s="1399"/>
      <c r="BD1329" s="1399"/>
      <c r="BE1329" s="1414"/>
      <c r="BF1329" s="1399"/>
      <c r="BG1329" s="1399"/>
      <c r="BH1329" s="1399"/>
      <c r="BI1329" s="1399"/>
      <c r="BJ1329" s="1399"/>
      <c r="BK1329" s="1399"/>
      <c r="BL1329" s="1399"/>
      <c r="BM1329" s="1399"/>
      <c r="BN1329" s="1399"/>
      <c r="BO1329" s="1399"/>
      <c r="BP1329" s="1399"/>
      <c r="BQ1329" s="1399"/>
      <c r="BR1329" s="1399"/>
      <c r="BS1329" s="1399"/>
      <c r="BT1329" s="1399"/>
      <c r="BU1329" s="1399"/>
      <c r="BV1329" s="1399"/>
      <c r="BW1329" s="1399"/>
      <c r="BX1329" s="1399"/>
      <c r="BY1329" s="1399"/>
      <c r="BZ1329" s="1399"/>
      <c r="CA1329" s="1399"/>
      <c r="CB1329" s="1399"/>
      <c r="CC1329" s="1399"/>
      <c r="CD1329" s="1399"/>
      <c r="CE1329" s="1399"/>
      <c r="CF1329" s="1399"/>
      <c r="CG1329" s="1399"/>
      <c r="CH1329" s="1399"/>
      <c r="CI1329" s="1399"/>
      <c r="CJ1329" s="1399"/>
      <c r="CK1329" s="1399"/>
      <c r="CL1329" s="1399"/>
      <c r="CM1329" s="1399"/>
      <c r="CN1329" s="1399"/>
      <c r="CO1329" s="1399"/>
      <c r="CP1329" s="1399"/>
      <c r="CQ1329" s="1399"/>
      <c r="CR1329" s="1399"/>
      <c r="CS1329" s="1399"/>
      <c r="CT1329" s="1399"/>
      <c r="CU1329" s="1399"/>
      <c r="CV1329" s="1399"/>
      <c r="CW1329" s="1399"/>
      <c r="CX1329" s="1399"/>
      <c r="CY1329" s="1399"/>
      <c r="CZ1329" s="1399"/>
      <c r="DA1329" s="1399"/>
      <c r="DB1329" s="1399"/>
      <c r="DC1329" s="1399"/>
      <c r="DD1329" s="1399"/>
      <c r="DE1329" s="1399"/>
      <c r="DF1329" s="1399"/>
      <c r="DG1329" s="1399"/>
      <c r="DH1329" s="1399"/>
      <c r="DI1329" s="1399"/>
      <c r="DJ1329" s="1399"/>
      <c r="DK1329" s="1399"/>
      <c r="DL1329" s="1399"/>
      <c r="DM1329" s="1399"/>
      <c r="DN1329" s="1399"/>
      <c r="DO1329" s="1399"/>
      <c r="DP1329" s="1399"/>
      <c r="DQ1329" s="1399"/>
      <c r="DR1329" s="1399"/>
      <c r="DS1329" s="1399"/>
      <c r="DT1329" s="1399"/>
      <c r="DU1329" s="1399"/>
    </row>
    <row r="1330" spans="1:125">
      <c r="A1330" s="1414"/>
      <c r="B1330" s="1414"/>
      <c r="C1330" s="1414"/>
      <c r="D1330" s="1414"/>
      <c r="E1330" s="1414"/>
      <c r="F1330" s="1414"/>
      <c r="G1330" s="1414"/>
      <c r="H1330" s="1414"/>
      <c r="I1330" s="1414"/>
      <c r="J1330" s="1414"/>
      <c r="K1330" s="1414"/>
      <c r="L1330" s="1414"/>
      <c r="M1330" s="1414"/>
      <c r="N1330" s="1414"/>
      <c r="O1330" s="1414"/>
      <c r="P1330" s="1414"/>
      <c r="Q1330" s="1414"/>
      <c r="R1330" s="1414"/>
      <c r="S1330" s="1414"/>
      <c r="T1330" s="1414"/>
      <c r="U1330" s="1414"/>
      <c r="V1330" s="1414"/>
      <c r="W1330" s="1414"/>
      <c r="X1330" s="1414"/>
      <c r="Y1330" s="1414"/>
      <c r="Z1330" s="1414"/>
      <c r="AA1330" s="1414"/>
      <c r="AB1330" s="1414"/>
      <c r="AC1330" s="1414"/>
      <c r="AD1330" s="1414"/>
      <c r="AE1330" s="1414"/>
      <c r="AF1330" s="1414"/>
      <c r="AG1330" s="1414"/>
      <c r="AH1330" s="1414"/>
      <c r="AI1330" s="1414"/>
      <c r="AJ1330" s="1414"/>
      <c r="AK1330" s="1414"/>
      <c r="AL1330" s="1414"/>
      <c r="AM1330" s="1414"/>
      <c r="AN1330" s="1414"/>
      <c r="AO1330" s="1414"/>
      <c r="AP1330" s="1414"/>
      <c r="AQ1330" s="1414"/>
      <c r="AR1330" s="1414"/>
      <c r="AS1330" s="1414"/>
      <c r="AT1330" s="1414"/>
      <c r="AU1330" s="1414"/>
      <c r="AV1330" s="1414"/>
      <c r="AW1330" s="1414"/>
      <c r="AX1330" s="1414"/>
      <c r="AY1330" s="1399"/>
      <c r="AZ1330" s="1399"/>
      <c r="BA1330" s="1399"/>
      <c r="BB1330" s="1399"/>
      <c r="BC1330" s="1399"/>
      <c r="BD1330" s="1399"/>
      <c r="BE1330" s="1414"/>
      <c r="BF1330" s="1399"/>
      <c r="BG1330" s="1399"/>
      <c r="BH1330" s="1399"/>
      <c r="BI1330" s="1399"/>
      <c r="BJ1330" s="1399"/>
      <c r="BK1330" s="1399"/>
      <c r="BL1330" s="1399"/>
      <c r="BM1330" s="1399"/>
      <c r="BN1330" s="1399"/>
      <c r="BO1330" s="1399"/>
      <c r="BP1330" s="1399"/>
      <c r="BQ1330" s="1399"/>
      <c r="BR1330" s="1399"/>
      <c r="BS1330" s="1399"/>
      <c r="BT1330" s="1399"/>
      <c r="BU1330" s="1399"/>
      <c r="BV1330" s="1399"/>
      <c r="BW1330" s="1399"/>
      <c r="BX1330" s="1399"/>
      <c r="BY1330" s="1399"/>
      <c r="BZ1330" s="1399"/>
      <c r="CA1330" s="1399"/>
      <c r="CB1330" s="1399"/>
      <c r="CC1330" s="1399"/>
      <c r="CD1330" s="1399"/>
      <c r="CE1330" s="1399"/>
      <c r="CF1330" s="1399"/>
      <c r="CG1330" s="1399"/>
      <c r="CH1330" s="1399"/>
      <c r="CI1330" s="1399"/>
      <c r="CJ1330" s="1399"/>
      <c r="CK1330" s="1399"/>
      <c r="CL1330" s="1399"/>
      <c r="CM1330" s="1399"/>
      <c r="CN1330" s="1399"/>
      <c r="CO1330" s="1399"/>
      <c r="CP1330" s="1399"/>
      <c r="CQ1330" s="1399"/>
      <c r="CR1330" s="1399"/>
      <c r="CS1330" s="1399"/>
      <c r="CT1330" s="1399"/>
      <c r="CU1330" s="1399"/>
      <c r="CV1330" s="1399"/>
      <c r="CW1330" s="1399"/>
      <c r="CX1330" s="1399"/>
      <c r="CY1330" s="1399"/>
      <c r="CZ1330" s="1399"/>
      <c r="DA1330" s="1399"/>
      <c r="DB1330" s="1399"/>
      <c r="DC1330" s="1399"/>
      <c r="DD1330" s="1399"/>
      <c r="DE1330" s="1399"/>
      <c r="DF1330" s="1399"/>
      <c r="DG1330" s="1399"/>
      <c r="DH1330" s="1399"/>
      <c r="DI1330" s="1399"/>
      <c r="DJ1330" s="1399"/>
      <c r="DK1330" s="1399"/>
      <c r="DL1330" s="1399"/>
      <c r="DM1330" s="1399"/>
      <c r="DN1330" s="1399"/>
      <c r="DO1330" s="1399"/>
      <c r="DP1330" s="1399"/>
      <c r="DQ1330" s="1399"/>
      <c r="DR1330" s="1399"/>
      <c r="DS1330" s="1399"/>
      <c r="DT1330" s="1399"/>
      <c r="DU1330" s="1399"/>
    </row>
    <row r="1331" spans="1:125">
      <c r="A1331" s="1414"/>
      <c r="B1331" s="1414"/>
      <c r="C1331" s="1414"/>
      <c r="D1331" s="1414"/>
      <c r="E1331" s="1414"/>
      <c r="F1331" s="1414"/>
      <c r="G1331" s="1414"/>
      <c r="H1331" s="1414"/>
      <c r="I1331" s="1414"/>
      <c r="J1331" s="1414"/>
      <c r="K1331" s="1414"/>
      <c r="L1331" s="1414"/>
      <c r="M1331" s="1414"/>
      <c r="N1331" s="1414"/>
      <c r="O1331" s="1414"/>
      <c r="P1331" s="1414"/>
      <c r="Q1331" s="1414"/>
      <c r="R1331" s="1414"/>
      <c r="S1331" s="1414"/>
      <c r="T1331" s="1414"/>
      <c r="U1331" s="1414"/>
      <c r="V1331" s="1414"/>
      <c r="W1331" s="1414"/>
      <c r="X1331" s="1414"/>
      <c r="Y1331" s="1414"/>
      <c r="Z1331" s="1414"/>
      <c r="AA1331" s="1414"/>
      <c r="AB1331" s="1414"/>
      <c r="AC1331" s="1414"/>
      <c r="AD1331" s="1414"/>
      <c r="AE1331" s="1414"/>
      <c r="AF1331" s="1414"/>
      <c r="AG1331" s="1414"/>
      <c r="AH1331" s="1414"/>
      <c r="AI1331" s="1414"/>
      <c r="AJ1331" s="1414"/>
      <c r="AK1331" s="1414"/>
      <c r="AL1331" s="1414"/>
      <c r="AM1331" s="1414"/>
      <c r="AN1331" s="1414"/>
      <c r="AO1331" s="1414"/>
      <c r="AP1331" s="1414"/>
      <c r="AQ1331" s="1414"/>
      <c r="AR1331" s="1414"/>
      <c r="AS1331" s="1414"/>
      <c r="AT1331" s="1414"/>
      <c r="AU1331" s="1414"/>
      <c r="AV1331" s="1414"/>
      <c r="AW1331" s="1414"/>
      <c r="AX1331" s="1414"/>
      <c r="AY1331" s="1399"/>
      <c r="AZ1331" s="1399"/>
      <c r="BA1331" s="1399"/>
      <c r="BB1331" s="1399"/>
      <c r="BC1331" s="1399"/>
      <c r="BD1331" s="1399"/>
      <c r="BE1331" s="1414"/>
      <c r="BF1331" s="1399"/>
      <c r="BG1331" s="1399"/>
      <c r="BH1331" s="1399"/>
      <c r="BI1331" s="1399"/>
      <c r="BJ1331" s="1399"/>
      <c r="BK1331" s="1399"/>
      <c r="BL1331" s="1399"/>
      <c r="BM1331" s="1399"/>
      <c r="BN1331" s="1399"/>
      <c r="BO1331" s="1399"/>
      <c r="BP1331" s="1399"/>
      <c r="BQ1331" s="1399"/>
      <c r="BR1331" s="1399"/>
      <c r="BS1331" s="1399"/>
      <c r="BT1331" s="1399"/>
      <c r="BU1331" s="1399"/>
      <c r="BV1331" s="1399"/>
      <c r="BW1331" s="1399"/>
      <c r="BX1331" s="1399"/>
      <c r="BY1331" s="1399"/>
      <c r="BZ1331" s="1399"/>
      <c r="CA1331" s="1399"/>
      <c r="CB1331" s="1399"/>
      <c r="CC1331" s="1399"/>
      <c r="CD1331" s="1399"/>
      <c r="CE1331" s="1399"/>
      <c r="CF1331" s="1399"/>
      <c r="CG1331" s="1399"/>
      <c r="CH1331" s="1399"/>
      <c r="CI1331" s="1399"/>
      <c r="CJ1331" s="1399"/>
      <c r="CK1331" s="1399"/>
      <c r="CL1331" s="1399"/>
      <c r="CM1331" s="1399"/>
      <c r="CN1331" s="1399"/>
      <c r="CO1331" s="1399"/>
      <c r="CP1331" s="1399"/>
      <c r="CQ1331" s="1399"/>
      <c r="CR1331" s="1399"/>
      <c r="CS1331" s="1399"/>
      <c r="CT1331" s="1399"/>
      <c r="CU1331" s="1399"/>
      <c r="CV1331" s="1399"/>
      <c r="CW1331" s="1399"/>
      <c r="CX1331" s="1399"/>
      <c r="CY1331" s="1399"/>
      <c r="CZ1331" s="1399"/>
      <c r="DA1331" s="1399"/>
      <c r="DB1331" s="1399"/>
      <c r="DC1331" s="1399"/>
      <c r="DD1331" s="1399"/>
      <c r="DE1331" s="1399"/>
      <c r="DF1331" s="1399"/>
      <c r="DG1331" s="1399"/>
      <c r="DH1331" s="1399"/>
      <c r="DI1331" s="1399"/>
      <c r="DJ1331" s="1399"/>
      <c r="DK1331" s="1399"/>
      <c r="DL1331" s="1399"/>
      <c r="DM1331" s="1399"/>
      <c r="DN1331" s="1399"/>
      <c r="DO1331" s="1399"/>
      <c r="DP1331" s="1399"/>
      <c r="DQ1331" s="1399"/>
      <c r="DR1331" s="1399"/>
      <c r="DS1331" s="1399"/>
      <c r="DT1331" s="1399"/>
      <c r="DU1331" s="1399"/>
    </row>
    <row r="1332" spans="1:125">
      <c r="A1332" s="1414"/>
      <c r="B1332" s="1414"/>
      <c r="C1332" s="1414"/>
      <c r="D1332" s="1414"/>
      <c r="E1332" s="1414"/>
      <c r="F1332" s="1414"/>
      <c r="G1332" s="1414"/>
      <c r="H1332" s="1414"/>
      <c r="I1332" s="1414"/>
      <c r="J1332" s="1414"/>
      <c r="K1332" s="1414"/>
      <c r="L1332" s="1414"/>
      <c r="M1332" s="1414"/>
      <c r="N1332" s="1414"/>
      <c r="O1332" s="1414"/>
      <c r="P1332" s="1414"/>
      <c r="Q1332" s="1414"/>
      <c r="R1332" s="1414"/>
      <c r="S1332" s="1414"/>
      <c r="T1332" s="1414"/>
      <c r="U1332" s="1414"/>
      <c r="V1332" s="1414"/>
      <c r="W1332" s="1414"/>
      <c r="X1332" s="1414"/>
      <c r="Y1332" s="1414"/>
      <c r="Z1332" s="1414"/>
      <c r="AA1332" s="1414"/>
      <c r="AB1332" s="1414"/>
      <c r="AC1332" s="1414"/>
      <c r="AD1332" s="1414"/>
      <c r="AE1332" s="1414"/>
      <c r="AF1332" s="1414"/>
      <c r="AG1332" s="1414"/>
      <c r="AH1332" s="1414"/>
      <c r="AI1332" s="1414"/>
      <c r="AJ1332" s="1414"/>
      <c r="AK1332" s="1414"/>
      <c r="AL1332" s="1414"/>
      <c r="AM1332" s="1414"/>
      <c r="AN1332" s="1414"/>
      <c r="AO1332" s="1414"/>
      <c r="AP1332" s="1414"/>
      <c r="AQ1332" s="1414"/>
      <c r="AR1332" s="1414"/>
      <c r="AS1332" s="1414"/>
      <c r="AT1332" s="1414"/>
      <c r="AU1332" s="1414"/>
      <c r="AV1332" s="1414"/>
      <c r="AW1332" s="1414"/>
      <c r="AX1332" s="1414"/>
      <c r="AY1332" s="1399"/>
      <c r="AZ1332" s="1399"/>
      <c r="BA1332" s="1399"/>
      <c r="BB1332" s="1399"/>
      <c r="BC1332" s="1399"/>
      <c r="BD1332" s="1399"/>
      <c r="BE1332" s="1414"/>
      <c r="BF1332" s="1399"/>
      <c r="BG1332" s="1399"/>
      <c r="BH1332" s="1399"/>
      <c r="BI1332" s="1399"/>
      <c r="BJ1332" s="1399"/>
      <c r="BK1332" s="1399"/>
      <c r="BL1332" s="1399"/>
      <c r="BM1332" s="1399"/>
      <c r="BN1332" s="1399"/>
      <c r="BO1332" s="1399"/>
      <c r="BP1332" s="1399"/>
      <c r="BQ1332" s="1399"/>
      <c r="BR1332" s="1399"/>
      <c r="BS1332" s="1399"/>
      <c r="BT1332" s="1399"/>
      <c r="BU1332" s="1399"/>
      <c r="BV1332" s="1399"/>
      <c r="BW1332" s="1399"/>
      <c r="BX1332" s="1399"/>
      <c r="BY1332" s="1399"/>
      <c r="BZ1332" s="1399"/>
      <c r="CA1332" s="1399"/>
      <c r="CB1332" s="1399"/>
      <c r="CC1332" s="1399"/>
      <c r="CD1332" s="1399"/>
      <c r="CE1332" s="1399"/>
      <c r="CF1332" s="1399"/>
      <c r="CG1332" s="1399"/>
      <c r="CH1332" s="1399"/>
      <c r="CI1332" s="1399"/>
      <c r="CJ1332" s="1399"/>
      <c r="CK1332" s="1399"/>
      <c r="CL1332" s="1399"/>
      <c r="CM1332" s="1399"/>
      <c r="CN1332" s="1399"/>
      <c r="CO1332" s="1399"/>
      <c r="CP1332" s="1399"/>
      <c r="CQ1332" s="1399"/>
      <c r="CR1332" s="1399"/>
      <c r="CS1332" s="1399"/>
      <c r="CT1332" s="1399"/>
      <c r="CU1332" s="1399"/>
      <c r="CV1332" s="1399"/>
      <c r="CW1332" s="1399"/>
      <c r="CX1332" s="1399"/>
      <c r="CY1332" s="1399"/>
      <c r="CZ1332" s="1399"/>
      <c r="DA1332" s="1399"/>
      <c r="DB1332" s="1399"/>
      <c r="DC1332" s="1399"/>
      <c r="DD1332" s="1399"/>
      <c r="DE1332" s="1399"/>
      <c r="DF1332" s="1399"/>
      <c r="DG1332" s="1399"/>
      <c r="DH1332" s="1399"/>
      <c r="DI1332" s="1399"/>
      <c r="DJ1332" s="1399"/>
      <c r="DK1332" s="1399"/>
      <c r="DL1332" s="1399"/>
      <c r="DM1332" s="1399"/>
      <c r="DN1332" s="1399"/>
      <c r="DO1332" s="1399"/>
      <c r="DP1332" s="1399"/>
      <c r="DQ1332" s="1399"/>
      <c r="DR1332" s="1399"/>
      <c r="DS1332" s="1399"/>
      <c r="DT1332" s="1399"/>
      <c r="DU1332" s="1399"/>
    </row>
    <row r="1333" spans="1:125">
      <c r="A1333" s="1414"/>
      <c r="B1333" s="1414"/>
      <c r="C1333" s="1414"/>
      <c r="D1333" s="1414"/>
      <c r="E1333" s="1414"/>
      <c r="F1333" s="1414"/>
      <c r="G1333" s="1414"/>
      <c r="H1333" s="1414"/>
      <c r="I1333" s="1414"/>
      <c r="J1333" s="1414"/>
      <c r="K1333" s="1414"/>
      <c r="L1333" s="1414"/>
      <c r="M1333" s="1414"/>
      <c r="N1333" s="1414"/>
      <c r="O1333" s="1414"/>
      <c r="P1333" s="1414"/>
      <c r="Q1333" s="1414"/>
      <c r="R1333" s="1414"/>
      <c r="S1333" s="1414"/>
      <c r="T1333" s="1414"/>
      <c r="U1333" s="1414"/>
      <c r="V1333" s="1414"/>
      <c r="W1333" s="1414"/>
      <c r="X1333" s="1414"/>
      <c r="Y1333" s="1414"/>
      <c r="Z1333" s="1414"/>
      <c r="AA1333" s="1414"/>
      <c r="AB1333" s="1414"/>
      <c r="AC1333" s="1414"/>
      <c r="AD1333" s="1414"/>
      <c r="AE1333" s="1414"/>
      <c r="AF1333" s="1414"/>
      <c r="AG1333" s="1414"/>
      <c r="AH1333" s="1414"/>
      <c r="AI1333" s="1414"/>
      <c r="AJ1333" s="1414"/>
      <c r="AK1333" s="1414"/>
      <c r="AL1333" s="1414"/>
      <c r="AM1333" s="1414"/>
      <c r="AN1333" s="1414"/>
      <c r="AO1333" s="1414"/>
      <c r="AP1333" s="1414"/>
      <c r="AQ1333" s="1414"/>
      <c r="AR1333" s="1414"/>
      <c r="AS1333" s="1414"/>
      <c r="AT1333" s="1414"/>
      <c r="AU1333" s="1414"/>
      <c r="AV1333" s="1414"/>
      <c r="AW1333" s="1414"/>
      <c r="AX1333" s="1414"/>
      <c r="AY1333" s="1399"/>
      <c r="AZ1333" s="1399"/>
      <c r="BA1333" s="1399"/>
      <c r="BB1333" s="1399"/>
      <c r="BC1333" s="1399"/>
      <c r="BD1333" s="1399"/>
      <c r="BE1333" s="1414"/>
      <c r="BF1333" s="1399"/>
      <c r="BG1333" s="1399"/>
      <c r="BH1333" s="1399"/>
      <c r="BI1333" s="1399"/>
      <c r="BJ1333" s="1399"/>
      <c r="BK1333" s="1399"/>
      <c r="BL1333" s="1399"/>
      <c r="BM1333" s="1399"/>
      <c r="BN1333" s="1399"/>
      <c r="BO1333" s="1399"/>
      <c r="BP1333" s="1399"/>
      <c r="BQ1333" s="1399"/>
      <c r="BR1333" s="1399"/>
      <c r="BS1333" s="1399"/>
      <c r="BT1333" s="1399"/>
      <c r="BU1333" s="1399"/>
      <c r="BV1333" s="1399"/>
      <c r="BW1333" s="1399"/>
      <c r="BX1333" s="1399"/>
      <c r="BY1333" s="1399"/>
      <c r="BZ1333" s="1399"/>
      <c r="CA1333" s="1399"/>
      <c r="CB1333" s="1399"/>
      <c r="CC1333" s="1399"/>
      <c r="CD1333" s="1399"/>
      <c r="CE1333" s="1399"/>
      <c r="CF1333" s="1399"/>
      <c r="CG1333" s="1399"/>
      <c r="CH1333" s="1399"/>
      <c r="CI1333" s="1399"/>
      <c r="CJ1333" s="1399"/>
      <c r="CK1333" s="1399"/>
      <c r="CL1333" s="1399"/>
      <c r="CM1333" s="1399"/>
      <c r="CN1333" s="1399"/>
      <c r="CO1333" s="1399"/>
      <c r="CP1333" s="1399"/>
      <c r="CQ1333" s="1399"/>
      <c r="CR1333" s="1399"/>
      <c r="CS1333" s="1399"/>
      <c r="CT1333" s="1399"/>
      <c r="CU1333" s="1399"/>
      <c r="CV1333" s="1399"/>
      <c r="CW1333" s="1399"/>
      <c r="CX1333" s="1399"/>
      <c r="CY1333" s="1399"/>
      <c r="CZ1333" s="1399"/>
      <c r="DA1333" s="1399"/>
      <c r="DB1333" s="1399"/>
      <c r="DC1333" s="1399"/>
      <c r="DD1333" s="1399"/>
      <c r="DE1333" s="1399"/>
      <c r="DF1333" s="1399"/>
      <c r="DG1333" s="1399"/>
      <c r="DH1333" s="1399"/>
      <c r="DI1333" s="1399"/>
      <c r="DJ1333" s="1399"/>
      <c r="DK1333" s="1399"/>
      <c r="DL1333" s="1399"/>
      <c r="DM1333" s="1399"/>
      <c r="DN1333" s="1399"/>
      <c r="DO1333" s="1399"/>
      <c r="DP1333" s="1399"/>
      <c r="DQ1333" s="1399"/>
      <c r="DR1333" s="1399"/>
      <c r="DS1333" s="1399"/>
      <c r="DT1333" s="1399"/>
      <c r="DU1333" s="1399"/>
    </row>
    <row r="1334" spans="1:125">
      <c r="A1334" s="1414"/>
      <c r="B1334" s="1414"/>
      <c r="C1334" s="1414"/>
      <c r="D1334" s="1414"/>
      <c r="E1334" s="1414"/>
      <c r="F1334" s="1414"/>
      <c r="G1334" s="1414"/>
      <c r="H1334" s="1414"/>
      <c r="I1334" s="1414"/>
      <c r="J1334" s="1414"/>
      <c r="K1334" s="1414"/>
      <c r="L1334" s="1414"/>
      <c r="M1334" s="1414"/>
      <c r="N1334" s="1414"/>
      <c r="O1334" s="1414"/>
      <c r="P1334" s="1414"/>
      <c r="Q1334" s="1414"/>
      <c r="R1334" s="1414"/>
      <c r="S1334" s="1414"/>
      <c r="T1334" s="1414"/>
      <c r="U1334" s="1414"/>
      <c r="V1334" s="1414"/>
      <c r="W1334" s="1414"/>
      <c r="X1334" s="1414"/>
      <c r="Y1334" s="1414"/>
      <c r="Z1334" s="1414"/>
      <c r="AA1334" s="1414"/>
      <c r="AB1334" s="1414"/>
      <c r="AC1334" s="1414"/>
      <c r="AD1334" s="1414"/>
      <c r="AE1334" s="1414"/>
      <c r="AF1334" s="1414"/>
      <c r="AG1334" s="1414"/>
      <c r="AH1334" s="1414"/>
      <c r="AI1334" s="1414"/>
      <c r="AJ1334" s="1414"/>
      <c r="AK1334" s="1414"/>
      <c r="AL1334" s="1414"/>
      <c r="AM1334" s="1414"/>
      <c r="AN1334" s="1414"/>
      <c r="AO1334" s="1414"/>
      <c r="AP1334" s="1414"/>
      <c r="AQ1334" s="1414"/>
      <c r="AR1334" s="1414"/>
      <c r="AS1334" s="1414"/>
      <c r="AT1334" s="1414"/>
      <c r="AU1334" s="1414"/>
      <c r="AV1334" s="1414"/>
      <c r="AW1334" s="1414"/>
      <c r="AX1334" s="1414"/>
      <c r="AY1334" s="1399"/>
      <c r="AZ1334" s="1399"/>
      <c r="BA1334" s="1399"/>
      <c r="BB1334" s="1399"/>
      <c r="BC1334" s="1399"/>
      <c r="BD1334" s="1399"/>
      <c r="BE1334" s="1414"/>
      <c r="BF1334" s="1399"/>
      <c r="BG1334" s="1399"/>
      <c r="BH1334" s="1399"/>
      <c r="BI1334" s="1399"/>
      <c r="BJ1334" s="1399"/>
      <c r="BK1334" s="1399"/>
      <c r="BL1334" s="1399"/>
      <c r="BM1334" s="1399"/>
      <c r="BN1334" s="1399"/>
      <c r="BO1334" s="1399"/>
      <c r="BP1334" s="1399"/>
      <c r="BQ1334" s="1399"/>
      <c r="BR1334" s="1399"/>
      <c r="BS1334" s="1399"/>
      <c r="BT1334" s="1399"/>
      <c r="BU1334" s="1399"/>
      <c r="BV1334" s="1399"/>
      <c r="BW1334" s="1399"/>
      <c r="BX1334" s="1399"/>
      <c r="BY1334" s="1399"/>
      <c r="BZ1334" s="1399"/>
      <c r="CA1334" s="1399"/>
      <c r="CB1334" s="1399"/>
      <c r="CC1334" s="1399"/>
      <c r="CD1334" s="1399"/>
      <c r="CE1334" s="1399"/>
      <c r="CF1334" s="1399"/>
      <c r="CG1334" s="1399"/>
      <c r="CH1334" s="1399"/>
      <c r="CI1334" s="1399"/>
      <c r="CJ1334" s="1399"/>
      <c r="CK1334" s="1399"/>
      <c r="CL1334" s="1399"/>
      <c r="CM1334" s="1399"/>
      <c r="CN1334" s="1399"/>
      <c r="CO1334" s="1399"/>
      <c r="CP1334" s="1399"/>
      <c r="CQ1334" s="1399"/>
      <c r="CR1334" s="1399"/>
      <c r="CS1334" s="1399"/>
      <c r="CT1334" s="1399"/>
      <c r="CU1334" s="1399"/>
      <c r="CV1334" s="1399"/>
      <c r="CW1334" s="1399"/>
      <c r="CX1334" s="1399"/>
      <c r="CY1334" s="1399"/>
      <c r="CZ1334" s="1399"/>
      <c r="DA1334" s="1399"/>
      <c r="DB1334" s="1399"/>
      <c r="DC1334" s="1399"/>
      <c r="DD1334" s="1399"/>
      <c r="DE1334" s="1399"/>
      <c r="DF1334" s="1399"/>
      <c r="DG1334" s="1399"/>
      <c r="DH1334" s="1399"/>
      <c r="DI1334" s="1399"/>
      <c r="DJ1334" s="1399"/>
      <c r="DK1334" s="1399"/>
      <c r="DL1334" s="1399"/>
      <c r="DM1334" s="1399"/>
      <c r="DN1334" s="1399"/>
      <c r="DO1334" s="1399"/>
      <c r="DP1334" s="1399"/>
      <c r="DQ1334" s="1399"/>
      <c r="DR1334" s="1399"/>
      <c r="DS1334" s="1399"/>
      <c r="DT1334" s="1399"/>
      <c r="DU1334" s="1399"/>
    </row>
    <row r="1335" spans="1:125">
      <c r="A1335" s="1414"/>
      <c r="B1335" s="1414"/>
      <c r="C1335" s="1414"/>
      <c r="D1335" s="1414"/>
      <c r="E1335" s="1414"/>
      <c r="F1335" s="1414"/>
      <c r="G1335" s="1414"/>
      <c r="H1335" s="1414"/>
      <c r="I1335" s="1414"/>
      <c r="J1335" s="1414"/>
      <c r="K1335" s="1414"/>
      <c r="L1335" s="1414"/>
      <c r="M1335" s="1414"/>
      <c r="N1335" s="1414"/>
      <c r="O1335" s="1414"/>
      <c r="P1335" s="1414"/>
      <c r="Q1335" s="1414"/>
      <c r="R1335" s="1414"/>
      <c r="S1335" s="1414"/>
      <c r="T1335" s="1414"/>
      <c r="U1335" s="1414"/>
      <c r="V1335" s="1414"/>
      <c r="W1335" s="1414"/>
      <c r="X1335" s="1414"/>
      <c r="Y1335" s="1414"/>
      <c r="Z1335" s="1414"/>
      <c r="AA1335" s="1414"/>
      <c r="AB1335" s="1414"/>
      <c r="AC1335" s="1414"/>
      <c r="AD1335" s="1414"/>
      <c r="AE1335" s="1414"/>
      <c r="AF1335" s="1414"/>
      <c r="AG1335" s="1414"/>
      <c r="AH1335" s="1414"/>
      <c r="AI1335" s="1414"/>
      <c r="AJ1335" s="1414"/>
      <c r="AK1335" s="1414"/>
      <c r="AL1335" s="1414"/>
      <c r="AM1335" s="1414"/>
      <c r="AN1335" s="1414"/>
      <c r="AO1335" s="1414"/>
      <c r="AP1335" s="1414"/>
      <c r="AQ1335" s="1414"/>
      <c r="AR1335" s="1414"/>
      <c r="AS1335" s="1414"/>
      <c r="AT1335" s="1414"/>
      <c r="AU1335" s="1414"/>
      <c r="AV1335" s="1414"/>
      <c r="AW1335" s="1414"/>
      <c r="AX1335" s="1414"/>
      <c r="AY1335" s="1399"/>
      <c r="AZ1335" s="1399"/>
      <c r="BA1335" s="1399"/>
      <c r="BB1335" s="1399"/>
      <c r="BC1335" s="1399"/>
      <c r="BD1335" s="1399"/>
      <c r="BE1335" s="1414"/>
      <c r="BF1335" s="1399"/>
      <c r="BG1335" s="1399"/>
      <c r="BH1335" s="1399"/>
      <c r="BI1335" s="1399"/>
      <c r="BJ1335" s="1399"/>
      <c r="BK1335" s="1399"/>
      <c r="BL1335" s="1399"/>
      <c r="BM1335" s="1399"/>
      <c r="BN1335" s="1399"/>
      <c r="BO1335" s="1399"/>
      <c r="BP1335" s="1399"/>
      <c r="BQ1335" s="1399"/>
      <c r="BR1335" s="1399"/>
      <c r="BS1335" s="1399"/>
      <c r="BT1335" s="1399"/>
      <c r="BU1335" s="1399"/>
      <c r="BV1335" s="1399"/>
      <c r="BW1335" s="1399"/>
      <c r="BX1335" s="1399"/>
      <c r="BY1335" s="1399"/>
      <c r="BZ1335" s="1399"/>
      <c r="CA1335" s="1399"/>
      <c r="CB1335" s="1399"/>
      <c r="CC1335" s="1399"/>
      <c r="CD1335" s="1399"/>
      <c r="CE1335" s="1399"/>
      <c r="CF1335" s="1399"/>
      <c r="CG1335" s="1399"/>
      <c r="CH1335" s="1399"/>
      <c r="CI1335" s="1399"/>
      <c r="CJ1335" s="1399"/>
      <c r="CK1335" s="1399"/>
      <c r="CL1335" s="1399"/>
      <c r="CM1335" s="1399"/>
      <c r="CN1335" s="1399"/>
      <c r="CO1335" s="1399"/>
      <c r="CP1335" s="1399"/>
      <c r="CQ1335" s="1399"/>
      <c r="CR1335" s="1399"/>
      <c r="CS1335" s="1399"/>
      <c r="CT1335" s="1399"/>
      <c r="CU1335" s="1399"/>
      <c r="CV1335" s="1399"/>
      <c r="CW1335" s="1399"/>
      <c r="CX1335" s="1399"/>
      <c r="CY1335" s="1399"/>
      <c r="CZ1335" s="1399"/>
      <c r="DA1335" s="1399"/>
      <c r="DB1335" s="1399"/>
      <c r="DC1335" s="1399"/>
      <c r="DD1335" s="1399"/>
      <c r="DE1335" s="1399"/>
      <c r="DF1335" s="1399"/>
      <c r="DG1335" s="1399"/>
      <c r="DH1335" s="1399"/>
      <c r="DI1335" s="1399"/>
      <c r="DJ1335" s="1399"/>
      <c r="DK1335" s="1399"/>
      <c r="DL1335" s="1399"/>
      <c r="DM1335" s="1399"/>
      <c r="DN1335" s="1399"/>
      <c r="DO1335" s="1399"/>
      <c r="DP1335" s="1399"/>
      <c r="DQ1335" s="1399"/>
      <c r="DR1335" s="1399"/>
      <c r="DS1335" s="1399"/>
      <c r="DT1335" s="1399"/>
      <c r="DU1335" s="1399"/>
    </row>
    <row r="1336" spans="1:125">
      <c r="A1336" s="1414"/>
      <c r="B1336" s="1414"/>
      <c r="C1336" s="1414"/>
      <c r="D1336" s="1414"/>
      <c r="E1336" s="1414"/>
      <c r="F1336" s="1414"/>
      <c r="G1336" s="1414"/>
      <c r="H1336" s="1414"/>
      <c r="I1336" s="1414"/>
      <c r="J1336" s="1414"/>
      <c r="K1336" s="1414"/>
      <c r="L1336" s="1414"/>
      <c r="M1336" s="1414"/>
      <c r="N1336" s="1414"/>
      <c r="O1336" s="1414"/>
      <c r="P1336" s="1414"/>
      <c r="Q1336" s="1414"/>
      <c r="R1336" s="1414"/>
      <c r="S1336" s="1414"/>
      <c r="T1336" s="1414"/>
      <c r="U1336" s="1414"/>
      <c r="V1336" s="1414"/>
      <c r="W1336" s="1414"/>
      <c r="X1336" s="1414"/>
      <c r="Y1336" s="1414"/>
      <c r="Z1336" s="1414"/>
      <c r="AA1336" s="1414"/>
      <c r="AB1336" s="1414"/>
      <c r="AC1336" s="1414"/>
      <c r="AD1336" s="1414"/>
      <c r="AE1336" s="1414"/>
      <c r="AF1336" s="1414"/>
      <c r="AG1336" s="1414"/>
      <c r="AH1336" s="1414"/>
      <c r="AI1336" s="1414"/>
      <c r="AJ1336" s="1414"/>
      <c r="AK1336" s="1414"/>
      <c r="AL1336" s="1414"/>
      <c r="AM1336" s="1414"/>
      <c r="AN1336" s="1414"/>
      <c r="AO1336" s="1414"/>
      <c r="AP1336" s="1414"/>
      <c r="AQ1336" s="1414"/>
      <c r="AR1336" s="1414"/>
      <c r="AS1336" s="1414"/>
      <c r="AT1336" s="1414"/>
      <c r="AU1336" s="1414"/>
      <c r="AV1336" s="1414"/>
      <c r="AW1336" s="1414"/>
      <c r="AX1336" s="1414"/>
      <c r="AY1336" s="1399"/>
      <c r="AZ1336" s="1399"/>
      <c r="BA1336" s="1399"/>
      <c r="BB1336" s="1399"/>
      <c r="BC1336" s="1399"/>
      <c r="BD1336" s="1399"/>
      <c r="BE1336" s="1414"/>
      <c r="BF1336" s="1399"/>
      <c r="BG1336" s="1399"/>
      <c r="BH1336" s="1399"/>
      <c r="BI1336" s="1399"/>
      <c r="BJ1336" s="1399"/>
      <c r="BK1336" s="1399"/>
      <c r="BL1336" s="1399"/>
      <c r="BM1336" s="1399"/>
      <c r="BN1336" s="1399"/>
      <c r="BO1336" s="1399"/>
      <c r="BP1336" s="1399"/>
      <c r="BQ1336" s="1399"/>
      <c r="BR1336" s="1399"/>
      <c r="BS1336" s="1399"/>
      <c r="BT1336" s="1399"/>
      <c r="BU1336" s="1399"/>
      <c r="BV1336" s="1399"/>
      <c r="BW1336" s="1399"/>
      <c r="BX1336" s="1399"/>
      <c r="BY1336" s="1399"/>
      <c r="BZ1336" s="1399"/>
      <c r="CA1336" s="1399"/>
      <c r="CB1336" s="1399"/>
      <c r="CC1336" s="1399"/>
      <c r="CD1336" s="1399"/>
      <c r="CE1336" s="1399"/>
      <c r="CF1336" s="1399"/>
      <c r="CG1336" s="1399"/>
      <c r="CH1336" s="1399"/>
      <c r="CI1336" s="1399"/>
      <c r="CJ1336" s="1399"/>
      <c r="CK1336" s="1399"/>
      <c r="CL1336" s="1399"/>
      <c r="CM1336" s="1399"/>
      <c r="CN1336" s="1399"/>
      <c r="CO1336" s="1399"/>
      <c r="CP1336" s="1399"/>
      <c r="CQ1336" s="1399"/>
      <c r="CR1336" s="1399"/>
      <c r="CS1336" s="1399"/>
      <c r="CT1336" s="1399"/>
      <c r="CU1336" s="1399"/>
      <c r="CV1336" s="1399"/>
      <c r="CW1336" s="1399"/>
      <c r="CX1336" s="1399"/>
      <c r="CY1336" s="1399"/>
      <c r="CZ1336" s="1399"/>
      <c r="DA1336" s="1399"/>
      <c r="DB1336" s="1399"/>
      <c r="DC1336" s="1399"/>
      <c r="DD1336" s="1399"/>
      <c r="DE1336" s="1399"/>
      <c r="DF1336" s="1399"/>
      <c r="DG1336" s="1399"/>
      <c r="DH1336" s="1399"/>
      <c r="DI1336" s="1399"/>
      <c r="DJ1336" s="1399"/>
      <c r="DK1336" s="1399"/>
      <c r="DL1336" s="1399"/>
      <c r="DM1336" s="1399"/>
      <c r="DN1336" s="1399"/>
      <c r="DO1336" s="1399"/>
      <c r="DP1336" s="1399"/>
      <c r="DQ1336" s="1399"/>
      <c r="DR1336" s="1399"/>
      <c r="DS1336" s="1399"/>
      <c r="DT1336" s="1399"/>
      <c r="DU1336" s="1399"/>
    </row>
    <row r="1337" spans="1:125">
      <c r="A1337" s="1414"/>
      <c r="B1337" s="1414"/>
      <c r="C1337" s="1414"/>
      <c r="D1337" s="1414"/>
      <c r="E1337" s="1414"/>
      <c r="F1337" s="1414"/>
      <c r="G1337" s="1414"/>
      <c r="H1337" s="1414"/>
      <c r="I1337" s="1414"/>
      <c r="J1337" s="1414"/>
      <c r="K1337" s="1414"/>
      <c r="L1337" s="1414"/>
      <c r="M1337" s="1414"/>
      <c r="N1337" s="1414"/>
      <c r="O1337" s="1414"/>
      <c r="P1337" s="1414"/>
      <c r="Q1337" s="1414"/>
      <c r="R1337" s="1414"/>
      <c r="S1337" s="1414"/>
      <c r="T1337" s="1414"/>
      <c r="U1337" s="1414"/>
      <c r="V1337" s="1414"/>
      <c r="W1337" s="1414"/>
      <c r="X1337" s="1414"/>
      <c r="Y1337" s="1414"/>
      <c r="Z1337" s="1414"/>
      <c r="AA1337" s="1414"/>
      <c r="AB1337" s="1414"/>
      <c r="AC1337" s="1414"/>
      <c r="AD1337" s="1414"/>
      <c r="AE1337" s="1414"/>
      <c r="AF1337" s="1414"/>
      <c r="AG1337" s="1414"/>
      <c r="AH1337" s="1414"/>
      <c r="AI1337" s="1414"/>
      <c r="AJ1337" s="1414"/>
      <c r="AK1337" s="1414"/>
      <c r="AL1337" s="1414"/>
      <c r="AM1337" s="1414"/>
      <c r="AN1337" s="1414"/>
      <c r="AO1337" s="1414"/>
      <c r="AP1337" s="1414"/>
      <c r="AQ1337" s="1414"/>
      <c r="AR1337" s="1414"/>
      <c r="AS1337" s="1414"/>
      <c r="AT1337" s="1414"/>
      <c r="AU1337" s="1414"/>
      <c r="AV1337" s="1414"/>
      <c r="AW1337" s="1414"/>
      <c r="AX1337" s="1414"/>
      <c r="AY1337" s="1399"/>
      <c r="AZ1337" s="1399"/>
      <c r="BA1337" s="1399"/>
      <c r="BB1337" s="1399"/>
      <c r="BC1337" s="1399"/>
      <c r="BD1337" s="1399"/>
      <c r="BE1337" s="1414"/>
      <c r="BF1337" s="1399"/>
      <c r="BG1337" s="1399"/>
      <c r="BH1337" s="1399"/>
      <c r="BI1337" s="1399"/>
      <c r="BJ1337" s="1399"/>
      <c r="BK1337" s="1399"/>
      <c r="BL1337" s="1399"/>
      <c r="BM1337" s="1399"/>
      <c r="BN1337" s="1399"/>
      <c r="BO1337" s="1399"/>
      <c r="BP1337" s="1399"/>
      <c r="BQ1337" s="1399"/>
      <c r="BR1337" s="1399"/>
      <c r="BS1337" s="1399"/>
      <c r="BT1337" s="1399"/>
      <c r="BU1337" s="1399"/>
      <c r="BV1337" s="1399"/>
      <c r="BW1337" s="1399"/>
      <c r="BX1337" s="1399"/>
      <c r="BY1337" s="1399"/>
      <c r="BZ1337" s="1399"/>
      <c r="CA1337" s="1399"/>
      <c r="CB1337" s="1399"/>
      <c r="CC1337" s="1399"/>
      <c r="CD1337" s="1399"/>
      <c r="CE1337" s="1399"/>
      <c r="CF1337" s="1399"/>
      <c r="CG1337" s="1399"/>
      <c r="CH1337" s="1399"/>
      <c r="CI1337" s="1399"/>
      <c r="CJ1337" s="1399"/>
      <c r="CK1337" s="1399"/>
      <c r="CL1337" s="1399"/>
      <c r="CM1337" s="1399"/>
      <c r="CN1337" s="1399"/>
      <c r="CO1337" s="1399"/>
      <c r="CP1337" s="1399"/>
      <c r="CQ1337" s="1399"/>
      <c r="CR1337" s="1399"/>
      <c r="CS1337" s="1399"/>
      <c r="CT1337" s="1399"/>
      <c r="CU1337" s="1399"/>
      <c r="CV1337" s="1399"/>
      <c r="CW1337" s="1399"/>
      <c r="CX1337" s="1399"/>
      <c r="CY1337" s="1399"/>
      <c r="CZ1337" s="1399"/>
      <c r="DA1337" s="1399"/>
      <c r="DB1337" s="1399"/>
      <c r="DC1337" s="1399"/>
      <c r="DD1337" s="1399"/>
      <c r="DE1337" s="1399"/>
      <c r="DF1337" s="1399"/>
      <c r="DG1337" s="1399"/>
      <c r="DH1337" s="1399"/>
      <c r="DI1337" s="1399"/>
      <c r="DJ1337" s="1399"/>
      <c r="DK1337" s="1399"/>
      <c r="DL1337" s="1399"/>
      <c r="DM1337" s="1399"/>
      <c r="DN1337" s="1399"/>
      <c r="DO1337" s="1399"/>
      <c r="DP1337" s="1399"/>
      <c r="DQ1337" s="1399"/>
      <c r="DR1337" s="1399"/>
      <c r="DS1337" s="1399"/>
      <c r="DT1337" s="1399"/>
      <c r="DU1337" s="1399"/>
    </row>
    <row r="1338" spans="1:125">
      <c r="A1338" s="1414"/>
      <c r="B1338" s="1414"/>
      <c r="C1338" s="1414"/>
      <c r="D1338" s="1414"/>
      <c r="E1338" s="1414"/>
      <c r="F1338" s="1414"/>
      <c r="G1338" s="1414"/>
      <c r="H1338" s="1414"/>
      <c r="I1338" s="1414"/>
      <c r="J1338" s="1414"/>
      <c r="K1338" s="1414"/>
      <c r="L1338" s="1414"/>
      <c r="M1338" s="1414"/>
      <c r="N1338" s="1414"/>
      <c r="O1338" s="1414"/>
      <c r="P1338" s="1414"/>
      <c r="Q1338" s="1414"/>
      <c r="R1338" s="1414"/>
      <c r="S1338" s="1414"/>
      <c r="T1338" s="1414"/>
      <c r="U1338" s="1414"/>
      <c r="V1338" s="1414"/>
      <c r="W1338" s="1414"/>
      <c r="X1338" s="1414"/>
      <c r="Y1338" s="1414"/>
      <c r="Z1338" s="1414"/>
      <c r="AA1338" s="1414"/>
      <c r="AB1338" s="1414"/>
      <c r="AC1338" s="1414"/>
      <c r="AD1338" s="1414"/>
      <c r="AE1338" s="1414"/>
      <c r="AF1338" s="1414"/>
      <c r="AG1338" s="1414"/>
      <c r="AH1338" s="1414"/>
      <c r="AI1338" s="1414"/>
      <c r="AJ1338" s="1414"/>
      <c r="AK1338" s="1414"/>
      <c r="AL1338" s="1414"/>
      <c r="AM1338" s="1414"/>
      <c r="AN1338" s="1414"/>
      <c r="AO1338" s="1414"/>
      <c r="AP1338" s="1414"/>
      <c r="AQ1338" s="1414"/>
      <c r="AR1338" s="1414"/>
      <c r="AS1338" s="1414"/>
      <c r="AT1338" s="1414"/>
      <c r="AU1338" s="1414"/>
      <c r="AV1338" s="1414"/>
      <c r="AW1338" s="1414"/>
      <c r="AX1338" s="1414"/>
      <c r="AY1338" s="1399"/>
      <c r="AZ1338" s="1399"/>
      <c r="BA1338" s="1399"/>
      <c r="BB1338" s="1399"/>
      <c r="BC1338" s="1399"/>
      <c r="BD1338" s="1399"/>
      <c r="BE1338" s="1414"/>
      <c r="BF1338" s="1399"/>
      <c r="BG1338" s="1399"/>
      <c r="BH1338" s="1399"/>
      <c r="BI1338" s="1399"/>
      <c r="BJ1338" s="1399"/>
      <c r="BK1338" s="1399"/>
      <c r="BL1338" s="1399"/>
      <c r="BM1338" s="1399"/>
      <c r="BN1338" s="1399"/>
      <c r="BO1338" s="1399"/>
      <c r="BP1338" s="1399"/>
      <c r="BQ1338" s="1399"/>
      <c r="BR1338" s="1399"/>
      <c r="BS1338" s="1399"/>
      <c r="BT1338" s="1399"/>
      <c r="BU1338" s="1399"/>
      <c r="BV1338" s="1399"/>
      <c r="BW1338" s="1399"/>
      <c r="BX1338" s="1399"/>
      <c r="BY1338" s="1399"/>
      <c r="BZ1338" s="1399"/>
      <c r="CA1338" s="1399"/>
      <c r="CB1338" s="1399"/>
      <c r="CC1338" s="1399"/>
      <c r="CD1338" s="1399"/>
      <c r="CE1338" s="1399"/>
      <c r="CF1338" s="1399"/>
      <c r="CG1338" s="1399"/>
      <c r="CH1338" s="1399"/>
      <c r="CI1338" s="1399"/>
      <c r="CJ1338" s="1399"/>
      <c r="CK1338" s="1399"/>
      <c r="CL1338" s="1399"/>
      <c r="CM1338" s="1399"/>
      <c r="CN1338" s="1399"/>
      <c r="CO1338" s="1399"/>
      <c r="CP1338" s="1399"/>
      <c r="CQ1338" s="1399"/>
      <c r="CR1338" s="1399"/>
      <c r="CS1338" s="1399"/>
      <c r="CT1338" s="1399"/>
      <c r="CU1338" s="1399"/>
      <c r="CV1338" s="1399"/>
      <c r="CW1338" s="1399"/>
      <c r="CX1338" s="1399"/>
      <c r="CY1338" s="1399"/>
      <c r="CZ1338" s="1399"/>
      <c r="DA1338" s="1399"/>
      <c r="DB1338" s="1399"/>
      <c r="DC1338" s="1399"/>
      <c r="DD1338" s="1399"/>
      <c r="DE1338" s="1399"/>
      <c r="DF1338" s="1399"/>
      <c r="DG1338" s="1399"/>
      <c r="DH1338" s="1399"/>
      <c r="DI1338" s="1399"/>
      <c r="DJ1338" s="1399"/>
      <c r="DK1338" s="1399"/>
      <c r="DL1338" s="1399"/>
      <c r="DM1338" s="1399"/>
      <c r="DN1338" s="1399"/>
      <c r="DO1338" s="1399"/>
      <c r="DP1338" s="1399"/>
      <c r="DQ1338" s="1399"/>
      <c r="DR1338" s="1399"/>
      <c r="DS1338" s="1399"/>
      <c r="DT1338" s="1399"/>
      <c r="DU1338" s="1399"/>
    </row>
    <row r="1339" spans="1:125">
      <c r="A1339" s="1414"/>
      <c r="B1339" s="1414"/>
      <c r="C1339" s="1414"/>
      <c r="D1339" s="1414"/>
      <c r="E1339" s="1414"/>
      <c r="F1339" s="1414"/>
      <c r="G1339" s="1414"/>
      <c r="H1339" s="1414"/>
      <c r="I1339" s="1414"/>
      <c r="J1339" s="1414"/>
      <c r="K1339" s="1414"/>
      <c r="L1339" s="1414"/>
      <c r="M1339" s="1414"/>
      <c r="N1339" s="1414"/>
      <c r="O1339" s="1414"/>
      <c r="P1339" s="1414"/>
      <c r="Q1339" s="1414"/>
      <c r="R1339" s="1414"/>
      <c r="S1339" s="1414"/>
      <c r="T1339" s="1414"/>
      <c r="U1339" s="1414"/>
      <c r="V1339" s="1414"/>
      <c r="W1339" s="1414"/>
      <c r="X1339" s="1414"/>
      <c r="Y1339" s="1414"/>
      <c r="Z1339" s="1414"/>
      <c r="AA1339" s="1414"/>
      <c r="AB1339" s="1414"/>
      <c r="AC1339" s="1414"/>
      <c r="AD1339" s="1414"/>
      <c r="AE1339" s="1414"/>
      <c r="AF1339" s="1414"/>
      <c r="AG1339" s="1414"/>
      <c r="AH1339" s="1414"/>
      <c r="AI1339" s="1414"/>
      <c r="AJ1339" s="1414"/>
      <c r="AK1339" s="1414"/>
      <c r="AL1339" s="1414"/>
      <c r="AM1339" s="1414"/>
      <c r="AN1339" s="1414"/>
      <c r="AO1339" s="1414"/>
      <c r="AP1339" s="1414"/>
      <c r="AQ1339" s="1414"/>
      <c r="AR1339" s="1414"/>
      <c r="AS1339" s="1414"/>
      <c r="AT1339" s="1414"/>
      <c r="AU1339" s="1414"/>
      <c r="AV1339" s="1414"/>
      <c r="AW1339" s="1414"/>
      <c r="AX1339" s="1414"/>
      <c r="AY1339" s="1399"/>
      <c r="AZ1339" s="1399"/>
      <c r="BA1339" s="1399"/>
      <c r="BB1339" s="1399"/>
      <c r="BC1339" s="1399"/>
      <c r="BD1339" s="1399"/>
      <c r="BE1339" s="1414"/>
      <c r="BF1339" s="1399"/>
      <c r="BG1339" s="1399"/>
      <c r="BH1339" s="1399"/>
      <c r="BI1339" s="1399"/>
      <c r="BJ1339" s="1399"/>
      <c r="BK1339" s="1399"/>
      <c r="BL1339" s="1399"/>
      <c r="BM1339" s="1399"/>
      <c r="BN1339" s="1399"/>
      <c r="BO1339" s="1399"/>
      <c r="BP1339" s="1399"/>
      <c r="BQ1339" s="1399"/>
      <c r="BR1339" s="1399"/>
      <c r="BS1339" s="1399"/>
      <c r="BT1339" s="1399"/>
      <c r="BU1339" s="1399"/>
      <c r="BV1339" s="1399"/>
      <c r="BW1339" s="1399"/>
      <c r="BX1339" s="1399"/>
      <c r="BY1339" s="1399"/>
      <c r="BZ1339" s="1399"/>
      <c r="CA1339" s="1399"/>
      <c r="CB1339" s="1399"/>
      <c r="CC1339" s="1399"/>
      <c r="CD1339" s="1399"/>
      <c r="CE1339" s="1399"/>
      <c r="CF1339" s="1399"/>
      <c r="CG1339" s="1399"/>
      <c r="CH1339" s="1399"/>
      <c r="CI1339" s="1399"/>
      <c r="CJ1339" s="1399"/>
      <c r="CK1339" s="1399"/>
      <c r="CL1339" s="1399"/>
      <c r="CM1339" s="1399"/>
      <c r="CN1339" s="1399"/>
      <c r="CO1339" s="1399"/>
      <c r="CP1339" s="1399"/>
      <c r="CQ1339" s="1399"/>
      <c r="CR1339" s="1399"/>
      <c r="CS1339" s="1399"/>
      <c r="CT1339" s="1399"/>
      <c r="CU1339" s="1399"/>
      <c r="CV1339" s="1399"/>
      <c r="CW1339" s="1399"/>
      <c r="CX1339" s="1399"/>
      <c r="CY1339" s="1399"/>
      <c r="CZ1339" s="1399"/>
      <c r="DA1339" s="1399"/>
      <c r="DB1339" s="1399"/>
      <c r="DC1339" s="1399"/>
      <c r="DD1339" s="1399"/>
      <c r="DE1339" s="1399"/>
      <c r="DF1339" s="1399"/>
      <c r="DG1339" s="1399"/>
      <c r="DH1339" s="1399"/>
      <c r="DI1339" s="1399"/>
      <c r="DJ1339" s="1399"/>
      <c r="DK1339" s="1399"/>
      <c r="DL1339" s="1399"/>
      <c r="DM1339" s="1399"/>
      <c r="DN1339" s="1399"/>
      <c r="DO1339" s="1399"/>
      <c r="DP1339" s="1399"/>
      <c r="DQ1339" s="1399"/>
      <c r="DR1339" s="1399"/>
      <c r="DS1339" s="1399"/>
      <c r="DT1339" s="1399"/>
      <c r="DU1339" s="1399"/>
    </row>
    <row r="1340" spans="1:125">
      <c r="A1340" s="1414"/>
      <c r="B1340" s="1414"/>
      <c r="C1340" s="1414"/>
      <c r="D1340" s="1414"/>
      <c r="E1340" s="1414"/>
      <c r="F1340" s="1414"/>
      <c r="G1340" s="1414"/>
      <c r="H1340" s="1414"/>
      <c r="I1340" s="1414"/>
      <c r="J1340" s="1414"/>
      <c r="K1340" s="1414"/>
      <c r="L1340" s="1414"/>
      <c r="M1340" s="1414"/>
      <c r="N1340" s="1414"/>
      <c r="O1340" s="1414"/>
      <c r="P1340" s="1414"/>
      <c r="Q1340" s="1414"/>
      <c r="R1340" s="1414"/>
      <c r="S1340" s="1414"/>
      <c r="T1340" s="1414"/>
      <c r="U1340" s="1414"/>
      <c r="V1340" s="1414"/>
      <c r="W1340" s="1414"/>
      <c r="X1340" s="1414"/>
      <c r="Y1340" s="1414"/>
      <c r="Z1340" s="1414"/>
      <c r="AA1340" s="1414"/>
      <c r="AB1340" s="1414"/>
      <c r="AC1340" s="1414"/>
      <c r="AD1340" s="1414"/>
      <c r="AE1340" s="1414"/>
      <c r="AF1340" s="1414"/>
      <c r="AG1340" s="1414"/>
      <c r="AH1340" s="1414"/>
      <c r="AI1340" s="1414"/>
      <c r="AJ1340" s="1414"/>
      <c r="AK1340" s="1414"/>
      <c r="AL1340" s="1414"/>
      <c r="AM1340" s="1414"/>
      <c r="AN1340" s="1414"/>
      <c r="AO1340" s="1414"/>
      <c r="AP1340" s="1414"/>
      <c r="AQ1340" s="1414"/>
      <c r="AR1340" s="1414"/>
      <c r="AS1340" s="1414"/>
      <c r="AT1340" s="1414"/>
      <c r="AU1340" s="1414"/>
      <c r="AV1340" s="1414"/>
      <c r="AW1340" s="1414"/>
      <c r="AX1340" s="1414"/>
      <c r="AY1340" s="1399"/>
      <c r="AZ1340" s="1399"/>
      <c r="BA1340" s="1399"/>
      <c r="BB1340" s="1399"/>
      <c r="BC1340" s="1399"/>
      <c r="BD1340" s="1399"/>
      <c r="BE1340" s="1414"/>
      <c r="BF1340" s="1399"/>
      <c r="BG1340" s="1399"/>
      <c r="BH1340" s="1399"/>
      <c r="BI1340" s="1399"/>
      <c r="BJ1340" s="1399"/>
      <c r="BK1340" s="1399"/>
      <c r="BL1340" s="1399"/>
      <c r="BM1340" s="1399"/>
      <c r="BN1340" s="1399"/>
      <c r="BO1340" s="1399"/>
      <c r="BP1340" s="1399"/>
      <c r="BQ1340" s="1399"/>
      <c r="BR1340" s="1399"/>
      <c r="BS1340" s="1399"/>
      <c r="BT1340" s="1399"/>
      <c r="BU1340" s="1399"/>
      <c r="BV1340" s="1399"/>
      <c r="BW1340" s="1399"/>
      <c r="BX1340" s="1399"/>
      <c r="BY1340" s="1399"/>
      <c r="BZ1340" s="1399"/>
      <c r="CA1340" s="1399"/>
      <c r="CB1340" s="1399"/>
      <c r="CC1340" s="1399"/>
      <c r="CD1340" s="1399"/>
      <c r="CE1340" s="1399"/>
      <c r="CF1340" s="1399"/>
      <c r="CG1340" s="1399"/>
      <c r="CH1340" s="1399"/>
      <c r="CI1340" s="1399"/>
      <c r="CJ1340" s="1399"/>
      <c r="CK1340" s="1399"/>
      <c r="CL1340" s="1399"/>
      <c r="CM1340" s="1399"/>
      <c r="CN1340" s="1399"/>
      <c r="CO1340" s="1399"/>
      <c r="CP1340" s="1399"/>
      <c r="CQ1340" s="1399"/>
      <c r="CR1340" s="1399"/>
      <c r="CS1340" s="1399"/>
      <c r="CT1340" s="1399"/>
      <c r="CU1340" s="1399"/>
      <c r="CV1340" s="1399"/>
      <c r="CW1340" s="1399"/>
      <c r="CX1340" s="1399"/>
      <c r="CY1340" s="1399"/>
      <c r="CZ1340" s="1399"/>
      <c r="DA1340" s="1399"/>
      <c r="DB1340" s="1399"/>
      <c r="DC1340" s="1399"/>
      <c r="DD1340" s="1399"/>
      <c r="DE1340" s="1399"/>
      <c r="DF1340" s="1399"/>
      <c r="DG1340" s="1399"/>
      <c r="DH1340" s="1399"/>
      <c r="DI1340" s="1399"/>
      <c r="DJ1340" s="1399"/>
      <c r="DK1340" s="1399"/>
      <c r="DL1340" s="1399"/>
      <c r="DM1340" s="1399"/>
      <c r="DN1340" s="1399"/>
      <c r="DO1340" s="1399"/>
      <c r="DP1340" s="1399"/>
      <c r="DQ1340" s="1399"/>
      <c r="DR1340" s="1399"/>
      <c r="DS1340" s="1399"/>
      <c r="DT1340" s="1399"/>
      <c r="DU1340" s="1399"/>
    </row>
    <row r="1341" spans="1:125">
      <c r="A1341" s="1414"/>
      <c r="B1341" s="1414"/>
      <c r="C1341" s="1414"/>
      <c r="D1341" s="1414"/>
      <c r="E1341" s="1414"/>
      <c r="F1341" s="1414"/>
      <c r="G1341" s="1414"/>
      <c r="H1341" s="1414"/>
      <c r="I1341" s="1414"/>
      <c r="J1341" s="1414"/>
      <c r="K1341" s="1414"/>
      <c r="L1341" s="1414"/>
      <c r="M1341" s="1414"/>
      <c r="N1341" s="1414"/>
      <c r="O1341" s="1414"/>
      <c r="P1341" s="1414"/>
      <c r="Q1341" s="1414"/>
      <c r="R1341" s="1414"/>
      <c r="S1341" s="1414"/>
      <c r="T1341" s="1414"/>
      <c r="U1341" s="1414"/>
      <c r="V1341" s="1414"/>
      <c r="W1341" s="1414"/>
      <c r="X1341" s="1414"/>
      <c r="Y1341" s="1414"/>
      <c r="Z1341" s="1414"/>
      <c r="AA1341" s="1414"/>
      <c r="AB1341" s="1414"/>
      <c r="AC1341" s="1414"/>
      <c r="AD1341" s="1414"/>
      <c r="AE1341" s="1414"/>
      <c r="AF1341" s="1414"/>
      <c r="AG1341" s="1414"/>
      <c r="AH1341" s="1414"/>
      <c r="AI1341" s="1414"/>
      <c r="AJ1341" s="1414"/>
      <c r="AK1341" s="1414"/>
      <c r="AL1341" s="1414"/>
      <c r="AM1341" s="1414"/>
      <c r="AN1341" s="1414"/>
      <c r="AO1341" s="1414"/>
      <c r="AP1341" s="1414"/>
      <c r="AQ1341" s="1414"/>
      <c r="AR1341" s="1414"/>
      <c r="AS1341" s="1414"/>
      <c r="AT1341" s="1414"/>
      <c r="AU1341" s="1414"/>
      <c r="AV1341" s="1414"/>
      <c r="AW1341" s="1414"/>
      <c r="AX1341" s="1414"/>
      <c r="AY1341" s="1399"/>
      <c r="AZ1341" s="1399"/>
      <c r="BA1341" s="1399"/>
      <c r="BB1341" s="1399"/>
      <c r="BC1341" s="1399"/>
      <c r="BD1341" s="1399"/>
      <c r="BE1341" s="1414"/>
      <c r="BF1341" s="1399"/>
      <c r="BG1341" s="1399"/>
      <c r="BH1341" s="1399"/>
      <c r="BI1341" s="1399"/>
      <c r="BJ1341" s="1399"/>
      <c r="BK1341" s="1399"/>
      <c r="BL1341" s="1399"/>
      <c r="BM1341" s="1399"/>
      <c r="BN1341" s="1399"/>
      <c r="BO1341" s="1399"/>
      <c r="BP1341" s="1399"/>
      <c r="BQ1341" s="1399"/>
      <c r="BR1341" s="1399"/>
      <c r="BS1341" s="1399"/>
      <c r="BT1341" s="1399"/>
      <c r="BU1341" s="1399"/>
      <c r="BV1341" s="1399"/>
      <c r="BW1341" s="1399"/>
      <c r="BX1341" s="1399"/>
      <c r="BY1341" s="1399"/>
      <c r="BZ1341" s="1399"/>
      <c r="CA1341" s="1399"/>
      <c r="CB1341" s="1399"/>
      <c r="CC1341" s="1399"/>
      <c r="CD1341" s="1399"/>
      <c r="CE1341" s="1399"/>
      <c r="CF1341" s="1399"/>
      <c r="CG1341" s="1399"/>
      <c r="CH1341" s="1399"/>
      <c r="CI1341" s="1399"/>
      <c r="CJ1341" s="1399"/>
      <c r="CK1341" s="1399"/>
      <c r="CL1341" s="1399"/>
      <c r="CM1341" s="1399"/>
      <c r="CN1341" s="1399"/>
      <c r="CO1341" s="1399"/>
      <c r="CP1341" s="1399"/>
      <c r="CQ1341" s="1399"/>
      <c r="CR1341" s="1399"/>
      <c r="CS1341" s="1399"/>
      <c r="CT1341" s="1399"/>
      <c r="CU1341" s="1399"/>
      <c r="CV1341" s="1399"/>
      <c r="CW1341" s="1399"/>
      <c r="CX1341" s="1399"/>
      <c r="CY1341" s="1399"/>
      <c r="CZ1341" s="1399"/>
      <c r="DA1341" s="1399"/>
      <c r="DB1341" s="1399"/>
      <c r="DC1341" s="1399"/>
      <c r="DD1341" s="1399"/>
      <c r="DE1341" s="1399"/>
      <c r="DF1341" s="1399"/>
      <c r="DG1341" s="1399"/>
      <c r="DH1341" s="1399"/>
      <c r="DI1341" s="1399"/>
      <c r="DJ1341" s="1399"/>
      <c r="DK1341" s="1399"/>
      <c r="DL1341" s="1399"/>
      <c r="DM1341" s="1399"/>
      <c r="DN1341" s="1399"/>
      <c r="DO1341" s="1399"/>
      <c r="DP1341" s="1399"/>
      <c r="DQ1341" s="1399"/>
      <c r="DR1341" s="1399"/>
      <c r="DS1341" s="1399"/>
      <c r="DT1341" s="1399"/>
      <c r="DU1341" s="1399"/>
    </row>
    <row r="1342" spans="1:125">
      <c r="A1342" s="1414"/>
      <c r="B1342" s="1414"/>
      <c r="C1342" s="1414"/>
      <c r="D1342" s="1414"/>
      <c r="E1342" s="1414"/>
      <c r="F1342" s="1414"/>
      <c r="G1342" s="1414"/>
      <c r="H1342" s="1414"/>
      <c r="I1342" s="1414"/>
      <c r="J1342" s="1414"/>
      <c r="K1342" s="1414"/>
      <c r="L1342" s="1414"/>
      <c r="M1342" s="1414"/>
      <c r="N1342" s="1414"/>
      <c r="O1342" s="1414"/>
      <c r="P1342" s="1414"/>
      <c r="Q1342" s="1414"/>
      <c r="R1342" s="1414"/>
      <c r="S1342" s="1414"/>
      <c r="T1342" s="1414"/>
      <c r="U1342" s="1414"/>
      <c r="V1342" s="1414"/>
      <c r="W1342" s="1414"/>
      <c r="X1342" s="1414"/>
      <c r="Y1342" s="1414"/>
      <c r="Z1342" s="1414"/>
      <c r="AA1342" s="1414"/>
      <c r="AB1342" s="1414"/>
      <c r="AC1342" s="1414"/>
      <c r="AD1342" s="1414"/>
      <c r="AE1342" s="1414"/>
      <c r="AF1342" s="1414"/>
      <c r="AG1342" s="1414"/>
      <c r="AH1342" s="1414"/>
      <c r="AI1342" s="1414"/>
      <c r="AJ1342" s="1414"/>
      <c r="AK1342" s="1414"/>
      <c r="AL1342" s="1414"/>
      <c r="AM1342" s="1414"/>
      <c r="AN1342" s="1414"/>
      <c r="AO1342" s="1414"/>
      <c r="AP1342" s="1414"/>
      <c r="AQ1342" s="1414"/>
      <c r="AR1342" s="1414"/>
      <c r="AS1342" s="1414"/>
      <c r="AT1342" s="1414"/>
      <c r="AU1342" s="1414"/>
      <c r="AV1342" s="1414"/>
      <c r="AW1342" s="1414"/>
      <c r="AX1342" s="1414"/>
      <c r="AY1342" s="1399"/>
      <c r="AZ1342" s="1399"/>
      <c r="BA1342" s="1399"/>
      <c r="BB1342" s="1399"/>
      <c r="BC1342" s="1399"/>
      <c r="BD1342" s="1399"/>
      <c r="BE1342" s="1414"/>
      <c r="BF1342" s="1399"/>
      <c r="BG1342" s="1399"/>
      <c r="BH1342" s="1399"/>
      <c r="BI1342" s="1399"/>
      <c r="BJ1342" s="1399"/>
      <c r="BK1342" s="1399"/>
      <c r="BL1342" s="1399"/>
      <c r="BM1342" s="1399"/>
      <c r="BN1342" s="1399"/>
      <c r="BO1342" s="1399"/>
      <c r="BP1342" s="1399"/>
      <c r="BQ1342" s="1399"/>
      <c r="BR1342" s="1399"/>
      <c r="BS1342" s="1399"/>
      <c r="BT1342" s="1399"/>
      <c r="BU1342" s="1399"/>
      <c r="BV1342" s="1399"/>
      <c r="BW1342" s="1399"/>
      <c r="BX1342" s="1399"/>
      <c r="BY1342" s="1399"/>
      <c r="BZ1342" s="1399"/>
      <c r="CA1342" s="1399"/>
      <c r="CB1342" s="1399"/>
      <c r="CC1342" s="1399"/>
      <c r="CD1342" s="1399"/>
      <c r="CE1342" s="1399"/>
      <c r="CF1342" s="1399"/>
      <c r="CG1342" s="1399"/>
      <c r="CH1342" s="1399"/>
      <c r="CI1342" s="1399"/>
      <c r="CJ1342" s="1399"/>
      <c r="CK1342" s="1399"/>
      <c r="CL1342" s="1399"/>
      <c r="CM1342" s="1399"/>
      <c r="CN1342" s="1399"/>
      <c r="CO1342" s="1399"/>
      <c r="CP1342" s="1399"/>
      <c r="CQ1342" s="1399"/>
      <c r="CR1342" s="1399"/>
      <c r="CS1342" s="1399"/>
      <c r="CT1342" s="1399"/>
      <c r="CU1342" s="1399"/>
      <c r="CV1342" s="1399"/>
      <c r="CW1342" s="1399"/>
      <c r="CX1342" s="1399"/>
      <c r="CY1342" s="1399"/>
      <c r="CZ1342" s="1399"/>
      <c r="DA1342" s="1399"/>
      <c r="DB1342" s="1399"/>
      <c r="DC1342" s="1399"/>
      <c r="DD1342" s="1399"/>
      <c r="DE1342" s="1399"/>
      <c r="DF1342" s="1399"/>
      <c r="DG1342" s="1399"/>
      <c r="DH1342" s="1399"/>
      <c r="DI1342" s="1399"/>
      <c r="DJ1342" s="1399"/>
      <c r="DK1342" s="1399"/>
      <c r="DL1342" s="1399"/>
      <c r="DM1342" s="1399"/>
      <c r="DN1342" s="1399"/>
      <c r="DO1342" s="1399"/>
      <c r="DP1342" s="1399"/>
      <c r="DQ1342" s="1399"/>
      <c r="DR1342" s="1399"/>
      <c r="DS1342" s="1399"/>
      <c r="DT1342" s="1399"/>
      <c r="DU1342" s="1399"/>
    </row>
    <row r="1343" spans="1:125">
      <c r="A1343" s="1414"/>
      <c r="B1343" s="1414"/>
      <c r="C1343" s="1414"/>
      <c r="D1343" s="1414"/>
      <c r="E1343" s="1414"/>
      <c r="F1343" s="1414"/>
      <c r="G1343" s="1414"/>
      <c r="H1343" s="1414"/>
      <c r="I1343" s="1414"/>
      <c r="J1343" s="1414"/>
      <c r="K1343" s="1414"/>
      <c r="L1343" s="1414"/>
      <c r="M1343" s="1414"/>
      <c r="N1343" s="1414"/>
      <c r="O1343" s="1414"/>
      <c r="P1343" s="1414"/>
      <c r="Q1343" s="1414"/>
      <c r="R1343" s="1414"/>
      <c r="S1343" s="1414"/>
      <c r="T1343" s="1414"/>
      <c r="U1343" s="1414"/>
      <c r="V1343" s="1414"/>
      <c r="W1343" s="1414"/>
      <c r="X1343" s="1414"/>
      <c r="Y1343" s="1414"/>
      <c r="Z1343" s="1414"/>
      <c r="AA1343" s="1414"/>
      <c r="AB1343" s="1414"/>
      <c r="AC1343" s="1414"/>
      <c r="AD1343" s="1414"/>
      <c r="AE1343" s="1414"/>
      <c r="AF1343" s="1414"/>
      <c r="AG1343" s="1414"/>
      <c r="AH1343" s="1414"/>
      <c r="AI1343" s="1414"/>
      <c r="AJ1343" s="1414"/>
      <c r="AK1343" s="1414"/>
      <c r="AL1343" s="1414"/>
      <c r="AM1343" s="1414"/>
      <c r="AN1343" s="1414"/>
      <c r="AO1343" s="1414"/>
      <c r="AP1343" s="1414"/>
      <c r="AQ1343" s="1414"/>
      <c r="AR1343" s="1414"/>
      <c r="AS1343" s="1414"/>
      <c r="AT1343" s="1414"/>
      <c r="AU1343" s="1414"/>
      <c r="AV1343" s="1414"/>
      <c r="AW1343" s="1414"/>
      <c r="AX1343" s="1414"/>
      <c r="AY1343" s="1399"/>
      <c r="AZ1343" s="1399"/>
      <c r="BA1343" s="1399"/>
      <c r="BB1343" s="1399"/>
      <c r="BC1343" s="1399"/>
      <c r="BD1343" s="1399"/>
      <c r="BE1343" s="1414"/>
      <c r="BF1343" s="1399"/>
      <c r="BG1343" s="1399"/>
      <c r="BH1343" s="1399"/>
      <c r="BI1343" s="1399"/>
      <c r="BJ1343" s="1399"/>
      <c r="BK1343" s="1399"/>
      <c r="BL1343" s="1399"/>
      <c r="BM1343" s="1399"/>
      <c r="BN1343" s="1399"/>
      <c r="BO1343" s="1399"/>
      <c r="BP1343" s="1399"/>
      <c r="BQ1343" s="1399"/>
      <c r="BR1343" s="1399"/>
      <c r="BS1343" s="1399"/>
      <c r="BT1343" s="1399"/>
      <c r="BU1343" s="1399"/>
      <c r="BV1343" s="1399"/>
      <c r="BW1343" s="1399"/>
      <c r="BX1343" s="1399"/>
      <c r="BY1343" s="1399"/>
      <c r="BZ1343" s="1399"/>
      <c r="CA1343" s="1399"/>
      <c r="CB1343" s="1399"/>
      <c r="CC1343" s="1399"/>
      <c r="CD1343" s="1399"/>
      <c r="CE1343" s="1399"/>
      <c r="CF1343" s="1399"/>
      <c r="CG1343" s="1399"/>
      <c r="CH1343" s="1399"/>
      <c r="CI1343" s="1399"/>
      <c r="CJ1343" s="1399"/>
      <c r="CK1343" s="1399"/>
      <c r="CL1343" s="1399"/>
      <c r="CM1343" s="1399"/>
      <c r="CN1343" s="1399"/>
      <c r="CO1343" s="1399"/>
      <c r="CP1343" s="1399"/>
      <c r="CQ1343" s="1399"/>
      <c r="CR1343" s="1399"/>
      <c r="CS1343" s="1399"/>
      <c r="CT1343" s="1399"/>
      <c r="CU1343" s="1399"/>
      <c r="CV1343" s="1399"/>
      <c r="CW1343" s="1399"/>
      <c r="CX1343" s="1399"/>
      <c r="CY1343" s="1399"/>
      <c r="CZ1343" s="1399"/>
      <c r="DA1343" s="1399"/>
      <c r="DB1343" s="1399"/>
      <c r="DC1343" s="1399"/>
      <c r="DD1343" s="1399"/>
      <c r="DE1343" s="1399"/>
      <c r="DF1343" s="1399"/>
      <c r="DG1343" s="1399"/>
      <c r="DH1343" s="1399"/>
      <c r="DI1343" s="1399"/>
      <c r="DJ1343" s="1399"/>
      <c r="DK1343" s="1399"/>
      <c r="DL1343" s="1399"/>
      <c r="DM1343" s="1399"/>
      <c r="DN1343" s="1399"/>
      <c r="DO1343" s="1399"/>
      <c r="DP1343" s="1399"/>
      <c r="DQ1343" s="1399"/>
      <c r="DR1343" s="1399"/>
      <c r="DS1343" s="1399"/>
      <c r="DT1343" s="1399"/>
      <c r="DU1343" s="1399"/>
    </row>
    <row r="1344" spans="1:125">
      <c r="A1344" s="1414"/>
      <c r="B1344" s="1414"/>
      <c r="C1344" s="1414"/>
      <c r="D1344" s="1414"/>
      <c r="E1344" s="1414"/>
      <c r="F1344" s="1414"/>
      <c r="G1344" s="1414"/>
      <c r="H1344" s="1414"/>
      <c r="I1344" s="1414"/>
      <c r="J1344" s="1414"/>
      <c r="K1344" s="1414"/>
      <c r="L1344" s="1414"/>
      <c r="M1344" s="1414"/>
      <c r="N1344" s="1414"/>
      <c r="O1344" s="1414"/>
      <c r="P1344" s="1414"/>
      <c r="Q1344" s="1414"/>
      <c r="R1344" s="1414"/>
      <c r="S1344" s="1414"/>
      <c r="T1344" s="1414"/>
      <c r="U1344" s="1414"/>
      <c r="V1344" s="1414"/>
      <c r="W1344" s="1414"/>
      <c r="X1344" s="1414"/>
      <c r="Y1344" s="1414"/>
      <c r="Z1344" s="1414"/>
      <c r="AA1344" s="1414"/>
      <c r="AB1344" s="1414"/>
      <c r="AC1344" s="1414"/>
      <c r="AD1344" s="1414"/>
      <c r="AE1344" s="1414"/>
      <c r="AF1344" s="1414"/>
      <c r="AG1344" s="1414"/>
      <c r="AH1344" s="1414"/>
      <c r="AI1344" s="1414"/>
      <c r="AJ1344" s="1414"/>
      <c r="AK1344" s="1414"/>
      <c r="AL1344" s="1414"/>
      <c r="AM1344" s="1414"/>
      <c r="AN1344" s="1414"/>
      <c r="AO1344" s="1414"/>
      <c r="AP1344" s="1414"/>
      <c r="AQ1344" s="1414"/>
      <c r="AR1344" s="1414"/>
      <c r="AS1344" s="1414"/>
      <c r="AT1344" s="1414"/>
      <c r="AU1344" s="1414"/>
      <c r="AV1344" s="1414"/>
      <c r="AW1344" s="1414"/>
      <c r="AX1344" s="1414"/>
      <c r="AY1344" s="1399"/>
      <c r="AZ1344" s="1399"/>
      <c r="BA1344" s="1399"/>
      <c r="BB1344" s="1399"/>
      <c r="BC1344" s="1399"/>
      <c r="BD1344" s="1399"/>
      <c r="BE1344" s="1414"/>
      <c r="BF1344" s="1399"/>
      <c r="BG1344" s="1399"/>
      <c r="BH1344" s="1399"/>
      <c r="BI1344" s="1399"/>
      <c r="BJ1344" s="1399"/>
      <c r="BK1344" s="1399"/>
      <c r="BL1344" s="1399"/>
      <c r="BM1344" s="1399"/>
      <c r="BN1344" s="1399"/>
      <c r="BO1344" s="1399"/>
      <c r="BP1344" s="1399"/>
      <c r="BQ1344" s="1399"/>
      <c r="BR1344" s="1399"/>
      <c r="BS1344" s="1399"/>
      <c r="BT1344" s="1399"/>
      <c r="BU1344" s="1399"/>
      <c r="BV1344" s="1399"/>
      <c r="BW1344" s="1399"/>
      <c r="BX1344" s="1399"/>
      <c r="BY1344" s="1399"/>
      <c r="BZ1344" s="1399"/>
      <c r="CA1344" s="1399"/>
      <c r="CB1344" s="1399"/>
      <c r="CC1344" s="1399"/>
      <c r="CD1344" s="1399"/>
      <c r="CE1344" s="1399"/>
      <c r="CF1344" s="1399"/>
      <c r="CG1344" s="1399"/>
      <c r="CH1344" s="1399"/>
      <c r="CI1344" s="1399"/>
      <c r="CJ1344" s="1399"/>
      <c r="CK1344" s="1399"/>
      <c r="CL1344" s="1399"/>
      <c r="CM1344" s="1399"/>
      <c r="CN1344" s="1399"/>
      <c r="CO1344" s="1399"/>
      <c r="CP1344" s="1399"/>
      <c r="CQ1344" s="1399"/>
      <c r="CR1344" s="1399"/>
      <c r="CS1344" s="1399"/>
      <c r="CT1344" s="1399"/>
      <c r="CU1344" s="1399"/>
      <c r="CV1344" s="1399"/>
      <c r="CW1344" s="1399"/>
      <c r="CX1344" s="1399"/>
      <c r="CY1344" s="1399"/>
      <c r="CZ1344" s="1399"/>
      <c r="DA1344" s="1399"/>
      <c r="DB1344" s="1399"/>
      <c r="DC1344" s="1399"/>
      <c r="DD1344" s="1399"/>
      <c r="DE1344" s="1399"/>
      <c r="DF1344" s="1399"/>
      <c r="DG1344" s="1399"/>
      <c r="DH1344" s="1399"/>
      <c r="DI1344" s="1399"/>
      <c r="DJ1344" s="1399"/>
      <c r="DK1344" s="1399"/>
      <c r="DL1344" s="1399"/>
      <c r="DM1344" s="1399"/>
      <c r="DN1344" s="1399"/>
      <c r="DO1344" s="1399"/>
      <c r="DP1344" s="1399"/>
      <c r="DQ1344" s="1399"/>
      <c r="DR1344" s="1399"/>
      <c r="DS1344" s="1399"/>
      <c r="DT1344" s="1399"/>
      <c r="DU1344" s="1399"/>
    </row>
    <row r="1345" spans="1:125">
      <c r="A1345" s="1414"/>
      <c r="B1345" s="1414"/>
      <c r="C1345" s="1414"/>
      <c r="D1345" s="1414"/>
      <c r="E1345" s="1414"/>
      <c r="F1345" s="1414"/>
      <c r="G1345" s="1414"/>
      <c r="H1345" s="1414"/>
      <c r="I1345" s="1414"/>
      <c r="J1345" s="1414"/>
      <c r="K1345" s="1414"/>
      <c r="L1345" s="1414"/>
      <c r="M1345" s="1414"/>
      <c r="N1345" s="1414"/>
      <c r="O1345" s="1414"/>
      <c r="P1345" s="1414"/>
      <c r="Q1345" s="1414"/>
      <c r="R1345" s="1414"/>
      <c r="S1345" s="1414"/>
      <c r="T1345" s="1414"/>
      <c r="U1345" s="1414"/>
      <c r="V1345" s="1414"/>
      <c r="W1345" s="1414"/>
      <c r="X1345" s="1414"/>
      <c r="Y1345" s="1414"/>
      <c r="Z1345" s="1414"/>
      <c r="AA1345" s="1414"/>
      <c r="AB1345" s="1414"/>
      <c r="AC1345" s="1414"/>
      <c r="AD1345" s="1414"/>
      <c r="AE1345" s="1414"/>
      <c r="AF1345" s="1414"/>
      <c r="AG1345" s="1414"/>
      <c r="AH1345" s="1414"/>
      <c r="AI1345" s="1414"/>
      <c r="AJ1345" s="1414"/>
      <c r="AK1345" s="1414"/>
      <c r="AL1345" s="1414"/>
      <c r="AM1345" s="1414"/>
      <c r="AN1345" s="1414"/>
      <c r="AO1345" s="1414"/>
      <c r="AP1345" s="1414"/>
      <c r="AQ1345" s="1414"/>
      <c r="AR1345" s="1414"/>
      <c r="AS1345" s="1414"/>
      <c r="AT1345" s="1414"/>
      <c r="AU1345" s="1414"/>
      <c r="AV1345" s="1414"/>
      <c r="AW1345" s="1414"/>
      <c r="AX1345" s="1414"/>
      <c r="AY1345" s="1399"/>
      <c r="AZ1345" s="1399"/>
      <c r="BA1345" s="1399"/>
      <c r="BB1345" s="1399"/>
      <c r="BC1345" s="1399"/>
      <c r="BD1345" s="1399"/>
      <c r="BE1345" s="1414"/>
      <c r="BF1345" s="1399"/>
      <c r="BG1345" s="1399"/>
      <c r="BH1345" s="1399"/>
      <c r="BI1345" s="1399"/>
      <c r="BJ1345" s="1399"/>
      <c r="BK1345" s="1399"/>
      <c r="BL1345" s="1399"/>
      <c r="BM1345" s="1399"/>
      <c r="BN1345" s="1399"/>
      <c r="BO1345" s="1399"/>
      <c r="BP1345" s="1399"/>
      <c r="BQ1345" s="1399"/>
      <c r="BR1345" s="1399"/>
      <c r="BS1345" s="1399"/>
      <c r="BT1345" s="1399"/>
      <c r="BU1345" s="1399"/>
      <c r="BV1345" s="1399"/>
      <c r="BW1345" s="1399"/>
      <c r="BX1345" s="1399"/>
      <c r="BY1345" s="1399"/>
      <c r="BZ1345" s="1399"/>
      <c r="CA1345" s="1399"/>
      <c r="CB1345" s="1399"/>
      <c r="CC1345" s="1399"/>
      <c r="CD1345" s="1399"/>
      <c r="CE1345" s="1399"/>
      <c r="CF1345" s="1399"/>
      <c r="CG1345" s="1399"/>
      <c r="CH1345" s="1399"/>
      <c r="CI1345" s="1399"/>
      <c r="CJ1345" s="1399"/>
      <c r="CK1345" s="1399"/>
      <c r="CL1345" s="1399"/>
      <c r="CM1345" s="1399"/>
      <c r="CN1345" s="1399"/>
      <c r="CO1345" s="1399"/>
      <c r="CP1345" s="1399"/>
      <c r="CQ1345" s="1399"/>
      <c r="CR1345" s="1399"/>
      <c r="CS1345" s="1399"/>
      <c r="CT1345" s="1399"/>
      <c r="CU1345" s="1399"/>
      <c r="CV1345" s="1399"/>
      <c r="CW1345" s="1399"/>
      <c r="CX1345" s="1399"/>
      <c r="CY1345" s="1399"/>
      <c r="CZ1345" s="1399"/>
      <c r="DA1345" s="1399"/>
      <c r="DB1345" s="1399"/>
      <c r="DC1345" s="1399"/>
      <c r="DD1345" s="1399"/>
      <c r="DE1345" s="1399"/>
      <c r="DF1345" s="1399"/>
      <c r="DG1345" s="1399"/>
      <c r="DH1345" s="1399"/>
      <c r="DI1345" s="1399"/>
      <c r="DJ1345" s="1399"/>
      <c r="DK1345" s="1399"/>
      <c r="DL1345" s="1399"/>
      <c r="DM1345" s="1399"/>
      <c r="DN1345" s="1399"/>
      <c r="DO1345" s="1399"/>
      <c r="DP1345" s="1399"/>
      <c r="DQ1345" s="1399"/>
      <c r="DR1345" s="1399"/>
      <c r="DS1345" s="1399"/>
      <c r="DT1345" s="1399"/>
      <c r="DU1345" s="1399"/>
    </row>
    <row r="1346" spans="1:125">
      <c r="A1346" s="1414"/>
      <c r="B1346" s="1414"/>
      <c r="C1346" s="1414"/>
      <c r="D1346" s="1414"/>
      <c r="E1346" s="1414"/>
      <c r="F1346" s="1414"/>
      <c r="G1346" s="1414"/>
      <c r="H1346" s="1414"/>
      <c r="I1346" s="1414"/>
      <c r="J1346" s="1414"/>
      <c r="K1346" s="1414"/>
      <c r="L1346" s="1414"/>
      <c r="M1346" s="1414"/>
      <c r="N1346" s="1414"/>
      <c r="O1346" s="1414"/>
      <c r="P1346" s="1414"/>
      <c r="Q1346" s="1414"/>
      <c r="R1346" s="1414"/>
      <c r="S1346" s="1414"/>
      <c r="T1346" s="1414"/>
      <c r="U1346" s="1414"/>
      <c r="V1346" s="1414"/>
      <c r="W1346" s="1414"/>
      <c r="X1346" s="1414"/>
      <c r="Y1346" s="1414"/>
      <c r="Z1346" s="1414"/>
      <c r="AA1346" s="1414"/>
      <c r="AB1346" s="1414"/>
      <c r="AC1346" s="1414"/>
      <c r="AD1346" s="1414"/>
      <c r="AE1346" s="1414"/>
      <c r="AF1346" s="1414"/>
      <c r="AG1346" s="1414"/>
      <c r="AH1346" s="1414"/>
      <c r="AI1346" s="1414"/>
      <c r="AJ1346" s="1414"/>
      <c r="AK1346" s="1414"/>
      <c r="AL1346" s="1414"/>
      <c r="AM1346" s="1414"/>
      <c r="AN1346" s="1414"/>
      <c r="AO1346" s="1414"/>
      <c r="AP1346" s="1414"/>
      <c r="AQ1346" s="1414"/>
      <c r="AR1346" s="1414"/>
      <c r="AS1346" s="1414"/>
      <c r="AT1346" s="1414"/>
      <c r="AU1346" s="1414"/>
      <c r="AV1346" s="1414"/>
      <c r="AW1346" s="1414"/>
      <c r="AX1346" s="1414"/>
      <c r="AY1346" s="1399"/>
      <c r="AZ1346" s="1399"/>
      <c r="BA1346" s="1399"/>
      <c r="BB1346" s="1399"/>
      <c r="BC1346" s="1399"/>
      <c r="BD1346" s="1399"/>
      <c r="BE1346" s="1414"/>
      <c r="BF1346" s="1399"/>
      <c r="BG1346" s="1399"/>
      <c r="BH1346" s="1399"/>
      <c r="BI1346" s="1399"/>
      <c r="BJ1346" s="1399"/>
      <c r="BK1346" s="1399"/>
      <c r="BL1346" s="1399"/>
      <c r="BM1346" s="1399"/>
      <c r="BN1346" s="1399"/>
      <c r="BO1346" s="1399"/>
      <c r="BP1346" s="1399"/>
      <c r="BQ1346" s="1399"/>
      <c r="BR1346" s="1399"/>
      <c r="BS1346" s="1399"/>
      <c r="BT1346" s="1399"/>
      <c r="BU1346" s="1399"/>
      <c r="BV1346" s="1399"/>
      <c r="BW1346" s="1399"/>
      <c r="BX1346" s="1399"/>
      <c r="BY1346" s="1399"/>
      <c r="BZ1346" s="1399"/>
      <c r="CA1346" s="1399"/>
      <c r="CB1346" s="1399"/>
      <c r="CC1346" s="1399"/>
      <c r="CD1346" s="1399"/>
      <c r="CE1346" s="1399"/>
      <c r="CF1346" s="1399"/>
      <c r="CG1346" s="1399"/>
      <c r="CH1346" s="1399"/>
      <c r="CI1346" s="1399"/>
      <c r="CJ1346" s="1399"/>
      <c r="CK1346" s="1399"/>
      <c r="CL1346" s="1399"/>
      <c r="CM1346" s="1399"/>
      <c r="CN1346" s="1399"/>
      <c r="CO1346" s="1399"/>
      <c r="CP1346" s="1399"/>
      <c r="CQ1346" s="1399"/>
      <c r="CR1346" s="1399"/>
      <c r="CS1346" s="1399"/>
      <c r="CT1346" s="1399"/>
      <c r="CU1346" s="1399"/>
      <c r="CV1346" s="1399"/>
      <c r="CW1346" s="1399"/>
      <c r="CX1346" s="1399"/>
      <c r="CY1346" s="1399"/>
      <c r="CZ1346" s="1399"/>
      <c r="DA1346" s="1399"/>
      <c r="DB1346" s="1399"/>
      <c r="DC1346" s="1399"/>
      <c r="DD1346" s="1399"/>
      <c r="DE1346" s="1399"/>
      <c r="DF1346" s="1399"/>
      <c r="DG1346" s="1399"/>
      <c r="DH1346" s="1399"/>
      <c r="DI1346" s="1399"/>
      <c r="DJ1346" s="1399"/>
      <c r="DK1346" s="1399"/>
      <c r="DL1346" s="1399"/>
      <c r="DM1346" s="1399"/>
      <c r="DN1346" s="1399"/>
      <c r="DO1346" s="1399"/>
      <c r="DP1346" s="1399"/>
      <c r="DQ1346" s="1399"/>
      <c r="DR1346" s="1399"/>
      <c r="DS1346" s="1399"/>
      <c r="DT1346" s="1399"/>
      <c r="DU1346" s="1399"/>
    </row>
    <row r="1347" spans="1:125">
      <c r="A1347" s="1414"/>
      <c r="B1347" s="1414"/>
      <c r="C1347" s="1414"/>
      <c r="D1347" s="1414"/>
      <c r="E1347" s="1414"/>
      <c r="F1347" s="1414"/>
      <c r="G1347" s="1414"/>
      <c r="H1347" s="1414"/>
      <c r="I1347" s="1414"/>
      <c r="J1347" s="1414"/>
      <c r="K1347" s="1414"/>
      <c r="L1347" s="1414"/>
      <c r="M1347" s="1414"/>
      <c r="N1347" s="1414"/>
      <c r="O1347" s="1414"/>
      <c r="P1347" s="1414"/>
      <c r="Q1347" s="1414"/>
      <c r="R1347" s="1414"/>
      <c r="S1347" s="1414"/>
      <c r="T1347" s="1414"/>
      <c r="U1347" s="1414"/>
      <c r="V1347" s="1414"/>
      <c r="W1347" s="1414"/>
      <c r="X1347" s="1414"/>
      <c r="Y1347" s="1414"/>
      <c r="Z1347" s="1414"/>
      <c r="AA1347" s="1414"/>
      <c r="AB1347" s="1414"/>
      <c r="AC1347" s="1414"/>
      <c r="AD1347" s="1414"/>
      <c r="AE1347" s="1414"/>
      <c r="AF1347" s="1414"/>
      <c r="AG1347" s="1414"/>
      <c r="AH1347" s="1414"/>
      <c r="AI1347" s="1414"/>
      <c r="AJ1347" s="1414"/>
      <c r="AK1347" s="1414"/>
      <c r="AL1347" s="1414"/>
      <c r="AM1347" s="1414"/>
      <c r="AN1347" s="1414"/>
      <c r="AO1347" s="1414"/>
      <c r="AP1347" s="1414"/>
      <c r="AQ1347" s="1414"/>
      <c r="AR1347" s="1414"/>
      <c r="AS1347" s="1414"/>
      <c r="AT1347" s="1414"/>
      <c r="AU1347" s="1414"/>
      <c r="AV1347" s="1414"/>
      <c r="AW1347" s="1414"/>
      <c r="AX1347" s="1414"/>
      <c r="AY1347" s="1399"/>
      <c r="AZ1347" s="1399"/>
      <c r="BA1347" s="1399"/>
      <c r="BB1347" s="1399"/>
      <c r="BC1347" s="1399"/>
      <c r="BD1347" s="1399"/>
      <c r="BE1347" s="1414"/>
      <c r="BF1347" s="1399"/>
      <c r="BG1347" s="1399"/>
      <c r="BH1347" s="1399"/>
      <c r="BI1347" s="1399"/>
      <c r="BJ1347" s="1399"/>
      <c r="BK1347" s="1399"/>
      <c r="BL1347" s="1399"/>
      <c r="BM1347" s="1399"/>
      <c r="BN1347" s="1399"/>
      <c r="BO1347" s="1399"/>
      <c r="BP1347" s="1399"/>
      <c r="BQ1347" s="1399"/>
      <c r="BR1347" s="1399"/>
      <c r="BS1347" s="1399"/>
      <c r="BT1347" s="1399"/>
      <c r="BU1347" s="1399"/>
      <c r="BV1347" s="1399"/>
      <c r="BW1347" s="1399"/>
      <c r="BX1347" s="1399"/>
      <c r="BY1347" s="1399"/>
      <c r="BZ1347" s="1399"/>
      <c r="CA1347" s="1399"/>
      <c r="CB1347" s="1399"/>
      <c r="CC1347" s="1399"/>
      <c r="CD1347" s="1399"/>
      <c r="CE1347" s="1399"/>
      <c r="CF1347" s="1399"/>
      <c r="CG1347" s="1399"/>
      <c r="CH1347" s="1399"/>
      <c r="CI1347" s="1399"/>
      <c r="CJ1347" s="1399"/>
      <c r="CK1347" s="1399"/>
      <c r="CL1347" s="1399"/>
      <c r="CM1347" s="1399"/>
      <c r="CN1347" s="1399"/>
      <c r="CO1347" s="1399"/>
      <c r="CP1347" s="1399"/>
      <c r="CQ1347" s="1399"/>
      <c r="CR1347" s="1399"/>
      <c r="CS1347" s="1399"/>
      <c r="CT1347" s="1399"/>
      <c r="CU1347" s="1399"/>
      <c r="CV1347" s="1399"/>
      <c r="CW1347" s="1399"/>
      <c r="CX1347" s="1399"/>
      <c r="CY1347" s="1399"/>
      <c r="CZ1347" s="1399"/>
      <c r="DA1347" s="1399"/>
      <c r="DB1347" s="1399"/>
      <c r="DC1347" s="1399"/>
      <c r="DD1347" s="1399"/>
      <c r="DE1347" s="1399"/>
      <c r="DF1347" s="1399"/>
      <c r="DG1347" s="1399"/>
      <c r="DH1347" s="1399"/>
      <c r="DI1347" s="1399"/>
      <c r="DJ1347" s="1399"/>
      <c r="DK1347" s="1399"/>
      <c r="DL1347" s="1399"/>
      <c r="DM1347" s="1399"/>
      <c r="DN1347" s="1399"/>
      <c r="DO1347" s="1399"/>
      <c r="DP1347" s="1399"/>
      <c r="DQ1347" s="1399"/>
      <c r="DR1347" s="1399"/>
      <c r="DS1347" s="1399"/>
      <c r="DT1347" s="1399"/>
      <c r="DU1347" s="1399"/>
    </row>
    <row r="1348" spans="1:125">
      <c r="A1348" s="1414"/>
      <c r="B1348" s="1414"/>
      <c r="C1348" s="1414"/>
      <c r="D1348" s="1414"/>
      <c r="E1348" s="1414"/>
      <c r="F1348" s="1414"/>
      <c r="G1348" s="1414"/>
      <c r="H1348" s="1414"/>
      <c r="I1348" s="1414"/>
      <c r="J1348" s="1414"/>
      <c r="K1348" s="1414"/>
      <c r="L1348" s="1414"/>
      <c r="M1348" s="1414"/>
      <c r="N1348" s="1414"/>
      <c r="O1348" s="1414"/>
      <c r="P1348" s="1414"/>
      <c r="Q1348" s="1414"/>
      <c r="R1348" s="1414"/>
      <c r="S1348" s="1414"/>
      <c r="T1348" s="1414"/>
      <c r="U1348" s="1414"/>
      <c r="V1348" s="1414"/>
      <c r="W1348" s="1414"/>
      <c r="X1348" s="1414"/>
      <c r="Y1348" s="1414"/>
      <c r="Z1348" s="1414"/>
      <c r="AA1348" s="1414"/>
      <c r="AB1348" s="1414"/>
      <c r="AC1348" s="1414"/>
      <c r="AD1348" s="1414"/>
      <c r="AE1348" s="1414"/>
      <c r="AF1348" s="1414"/>
      <c r="AG1348" s="1414"/>
      <c r="AH1348" s="1414"/>
      <c r="AI1348" s="1414"/>
      <c r="AJ1348" s="1414"/>
      <c r="AK1348" s="1414"/>
      <c r="AL1348" s="1414"/>
      <c r="AM1348" s="1414"/>
      <c r="AN1348" s="1414"/>
      <c r="AO1348" s="1414"/>
      <c r="AP1348" s="1414"/>
      <c r="AQ1348" s="1414"/>
      <c r="AR1348" s="1414"/>
      <c r="AS1348" s="1414"/>
      <c r="AT1348" s="1414"/>
      <c r="AU1348" s="1414"/>
      <c r="AV1348" s="1414"/>
      <c r="AW1348" s="1414"/>
      <c r="AX1348" s="1414"/>
      <c r="AY1348" s="1399"/>
      <c r="AZ1348" s="1399"/>
      <c r="BA1348" s="1399"/>
      <c r="BB1348" s="1399"/>
      <c r="BC1348" s="1399"/>
      <c r="BD1348" s="1399"/>
      <c r="BE1348" s="1414"/>
      <c r="BF1348" s="1399"/>
      <c r="BG1348" s="1399"/>
      <c r="BH1348" s="1399"/>
      <c r="BI1348" s="1399"/>
      <c r="BJ1348" s="1399"/>
      <c r="BK1348" s="1399"/>
      <c r="BL1348" s="1399"/>
      <c r="BM1348" s="1399"/>
      <c r="BN1348" s="1399"/>
      <c r="BO1348" s="1399"/>
      <c r="BP1348" s="1399"/>
      <c r="BQ1348" s="1399"/>
      <c r="BR1348" s="1399"/>
      <c r="BS1348" s="1399"/>
      <c r="BT1348" s="1399"/>
      <c r="BU1348" s="1399"/>
      <c r="BV1348" s="1399"/>
      <c r="BW1348" s="1399"/>
      <c r="BX1348" s="1399"/>
      <c r="BY1348" s="1399"/>
      <c r="BZ1348" s="1399"/>
      <c r="CA1348" s="1399"/>
      <c r="CB1348" s="1399"/>
      <c r="CC1348" s="1399"/>
      <c r="CD1348" s="1399"/>
      <c r="CE1348" s="1399"/>
      <c r="CF1348" s="1399"/>
      <c r="CG1348" s="1399"/>
      <c r="CH1348" s="1399"/>
      <c r="CI1348" s="1399"/>
      <c r="CJ1348" s="1399"/>
      <c r="CK1348" s="1399"/>
      <c r="CL1348" s="1399"/>
      <c r="CM1348" s="1399"/>
      <c r="CN1348" s="1399"/>
      <c r="CO1348" s="1399"/>
      <c r="CP1348" s="1399"/>
      <c r="CQ1348" s="1399"/>
      <c r="CR1348" s="1399"/>
      <c r="CS1348" s="1399"/>
      <c r="CT1348" s="1399"/>
      <c r="CU1348" s="1399"/>
      <c r="CV1348" s="1399"/>
      <c r="CW1348" s="1399"/>
      <c r="CX1348" s="1399"/>
      <c r="CY1348" s="1399"/>
      <c r="CZ1348" s="1399"/>
      <c r="DA1348" s="1399"/>
      <c r="DB1348" s="1399"/>
      <c r="DC1348" s="1399"/>
      <c r="DD1348" s="1399"/>
      <c r="DE1348" s="1399"/>
      <c r="DF1348" s="1399"/>
      <c r="DG1348" s="1399"/>
      <c r="DH1348" s="1399"/>
      <c r="DI1348" s="1399"/>
      <c r="DJ1348" s="1399"/>
      <c r="DK1348" s="1399"/>
      <c r="DL1348" s="1399"/>
      <c r="DM1348" s="1399"/>
      <c r="DN1348" s="1399"/>
      <c r="DO1348" s="1399"/>
      <c r="DP1348" s="1399"/>
      <c r="DQ1348" s="1399"/>
      <c r="DR1348" s="1399"/>
      <c r="DS1348" s="1399"/>
      <c r="DT1348" s="1399"/>
      <c r="DU1348" s="1399"/>
    </row>
    <row r="1349" spans="1:125">
      <c r="A1349" s="1414"/>
      <c r="B1349" s="1414"/>
      <c r="C1349" s="1414"/>
      <c r="D1349" s="1414"/>
      <c r="E1349" s="1414"/>
      <c r="F1349" s="1414"/>
      <c r="G1349" s="1414"/>
      <c r="H1349" s="1414"/>
      <c r="I1349" s="1414"/>
      <c r="J1349" s="1414"/>
      <c r="K1349" s="1414"/>
      <c r="L1349" s="1414"/>
      <c r="M1349" s="1414"/>
      <c r="N1349" s="1414"/>
      <c r="O1349" s="1414"/>
      <c r="P1349" s="1414"/>
      <c r="Q1349" s="1414"/>
      <c r="R1349" s="1414"/>
      <c r="S1349" s="1414"/>
      <c r="T1349" s="1414"/>
      <c r="U1349" s="1414"/>
      <c r="V1349" s="1414"/>
      <c r="W1349" s="1414"/>
      <c r="X1349" s="1414"/>
      <c r="Y1349" s="1414"/>
      <c r="Z1349" s="1414"/>
      <c r="AA1349" s="1414"/>
      <c r="AB1349" s="1414"/>
      <c r="AC1349" s="1414"/>
      <c r="AD1349" s="1414"/>
      <c r="AE1349" s="1414"/>
      <c r="AF1349" s="1414"/>
      <c r="AG1349" s="1414"/>
      <c r="AH1349" s="1414"/>
      <c r="AI1349" s="1414"/>
      <c r="AJ1349" s="1414"/>
      <c r="AK1349" s="1414"/>
      <c r="AL1349" s="1414"/>
      <c r="AM1349" s="1414"/>
      <c r="AN1349" s="1414"/>
      <c r="AO1349" s="1414"/>
      <c r="AP1349" s="1414"/>
      <c r="AQ1349" s="1414"/>
      <c r="AR1349" s="1414"/>
      <c r="AS1349" s="1414"/>
      <c r="AT1349" s="1414"/>
      <c r="AU1349" s="1414"/>
      <c r="AV1349" s="1414"/>
      <c r="AW1349" s="1414"/>
      <c r="AX1349" s="1414"/>
      <c r="AY1349" s="1399"/>
      <c r="AZ1349" s="1399"/>
      <c r="BA1349" s="1399"/>
      <c r="BB1349" s="1399"/>
      <c r="BC1349" s="1399"/>
      <c r="BD1349" s="1399"/>
      <c r="BE1349" s="1414"/>
      <c r="BF1349" s="1399"/>
      <c r="BG1349" s="1399"/>
      <c r="BH1349" s="1399"/>
      <c r="BI1349" s="1399"/>
      <c r="BJ1349" s="1399"/>
      <c r="BK1349" s="1399"/>
      <c r="BL1349" s="1399"/>
      <c r="BM1349" s="1399"/>
      <c r="BN1349" s="1399"/>
      <c r="BO1349" s="1399"/>
      <c r="BP1349" s="1399"/>
      <c r="BQ1349" s="1399"/>
      <c r="BR1349" s="1399"/>
      <c r="BS1349" s="1399"/>
      <c r="BT1349" s="1399"/>
      <c r="BU1349" s="1399"/>
      <c r="BV1349" s="1399"/>
      <c r="BW1349" s="1399"/>
      <c r="BX1349" s="1399"/>
      <c r="BY1349" s="1399"/>
      <c r="BZ1349" s="1399"/>
      <c r="CA1349" s="1399"/>
      <c r="CB1349" s="1399"/>
      <c r="CC1349" s="1399"/>
      <c r="CD1349" s="1399"/>
      <c r="CE1349" s="1399"/>
      <c r="CF1349" s="1399"/>
      <c r="CG1349" s="1399"/>
      <c r="CH1349" s="1399"/>
      <c r="CI1349" s="1399"/>
      <c r="CJ1349" s="1399"/>
      <c r="CK1349" s="1399"/>
      <c r="CL1349" s="1399"/>
      <c r="CM1349" s="1399"/>
      <c r="CN1349" s="1399"/>
      <c r="CO1349" s="1399"/>
      <c r="CP1349" s="1399"/>
      <c r="CQ1349" s="1399"/>
      <c r="CR1349" s="1399"/>
      <c r="CS1349" s="1399"/>
      <c r="CT1349" s="1399"/>
      <c r="CU1349" s="1399"/>
      <c r="CV1349" s="1399"/>
      <c r="CW1349" s="1399"/>
      <c r="CX1349" s="1399"/>
      <c r="CY1349" s="1399"/>
      <c r="CZ1349" s="1399"/>
      <c r="DA1349" s="1399"/>
      <c r="DB1349" s="1399"/>
      <c r="DC1349" s="1399"/>
      <c r="DD1349" s="1399"/>
      <c r="DE1349" s="1399"/>
      <c r="DF1349" s="1399"/>
      <c r="DG1349" s="1399"/>
      <c r="DH1349" s="1399"/>
      <c r="DI1349" s="1399"/>
      <c r="DJ1349" s="1399"/>
      <c r="DK1349" s="1399"/>
      <c r="DL1349" s="1399"/>
      <c r="DM1349" s="1399"/>
      <c r="DN1349" s="1399"/>
      <c r="DO1349" s="1399"/>
      <c r="DP1349" s="1399"/>
      <c r="DQ1349" s="1399"/>
      <c r="DR1349" s="1399"/>
      <c r="DS1349" s="1399"/>
      <c r="DT1349" s="1399"/>
      <c r="DU1349" s="1399"/>
    </row>
    <row r="1350" spans="1:125">
      <c r="A1350" s="1414"/>
      <c r="B1350" s="1414"/>
      <c r="C1350" s="1414"/>
      <c r="D1350" s="1414"/>
      <c r="E1350" s="1414"/>
      <c r="F1350" s="1414"/>
      <c r="G1350" s="1414"/>
      <c r="H1350" s="1414"/>
      <c r="I1350" s="1414"/>
      <c r="J1350" s="1414"/>
      <c r="K1350" s="1414"/>
      <c r="L1350" s="1414"/>
      <c r="M1350" s="1414"/>
      <c r="N1350" s="1414"/>
      <c r="O1350" s="1414"/>
      <c r="P1350" s="1414"/>
      <c r="Q1350" s="1414"/>
      <c r="R1350" s="1414"/>
      <c r="S1350" s="1414"/>
      <c r="T1350" s="1414"/>
      <c r="U1350" s="1414"/>
      <c r="V1350" s="1414"/>
      <c r="W1350" s="1414"/>
      <c r="X1350" s="1414"/>
      <c r="Y1350" s="1414"/>
      <c r="Z1350" s="1414"/>
      <c r="AA1350" s="1414"/>
      <c r="AB1350" s="1414"/>
      <c r="AC1350" s="1414"/>
      <c r="AD1350" s="1414"/>
      <c r="AE1350" s="1414"/>
      <c r="AF1350" s="1414"/>
      <c r="AG1350" s="1414"/>
      <c r="AH1350" s="1414"/>
      <c r="AI1350" s="1414"/>
      <c r="AJ1350" s="1414"/>
      <c r="AK1350" s="1414"/>
      <c r="AL1350" s="1414"/>
      <c r="AM1350" s="1414"/>
      <c r="AN1350" s="1414"/>
      <c r="AO1350" s="1414"/>
      <c r="AP1350" s="1414"/>
      <c r="AQ1350" s="1414"/>
      <c r="AR1350" s="1414"/>
      <c r="AS1350" s="1414"/>
      <c r="AT1350" s="1414"/>
      <c r="AU1350" s="1414"/>
      <c r="AV1350" s="1414"/>
      <c r="AW1350" s="1414"/>
      <c r="AX1350" s="1414"/>
      <c r="AY1350" s="1399"/>
      <c r="AZ1350" s="1399"/>
      <c r="BA1350" s="1399"/>
      <c r="BB1350" s="1399"/>
      <c r="BC1350" s="1399"/>
      <c r="BD1350" s="1399"/>
      <c r="BE1350" s="1414"/>
      <c r="BF1350" s="1399"/>
      <c r="BG1350" s="1399"/>
      <c r="BH1350" s="1399"/>
      <c r="BI1350" s="1399"/>
      <c r="BJ1350" s="1399"/>
      <c r="BK1350" s="1399"/>
      <c r="BL1350" s="1399"/>
      <c r="BM1350" s="1399"/>
      <c r="BN1350" s="1399"/>
      <c r="BO1350" s="1399"/>
      <c r="BP1350" s="1399"/>
      <c r="BQ1350" s="1399"/>
      <c r="BR1350" s="1399"/>
      <c r="BS1350" s="1399"/>
      <c r="BT1350" s="1399"/>
      <c r="BU1350" s="1399"/>
      <c r="BV1350" s="1399"/>
      <c r="BW1350" s="1399"/>
      <c r="BX1350" s="1399"/>
      <c r="BY1350" s="1399"/>
      <c r="BZ1350" s="1399"/>
      <c r="CA1350" s="1399"/>
      <c r="CB1350" s="1399"/>
      <c r="CC1350" s="1399"/>
      <c r="CD1350" s="1399"/>
      <c r="CE1350" s="1399"/>
      <c r="CF1350" s="1399"/>
      <c r="CG1350" s="1399"/>
      <c r="CH1350" s="1399"/>
      <c r="CI1350" s="1399"/>
      <c r="CJ1350" s="1399"/>
      <c r="CK1350" s="1399"/>
      <c r="CL1350" s="1399"/>
      <c r="CM1350" s="1399"/>
      <c r="CN1350" s="1399"/>
      <c r="CO1350" s="1399"/>
      <c r="CP1350" s="1399"/>
      <c r="CQ1350" s="1399"/>
      <c r="CR1350" s="1399"/>
      <c r="CS1350" s="1399"/>
      <c r="CT1350" s="1399"/>
      <c r="CU1350" s="1399"/>
      <c r="CV1350" s="1399"/>
      <c r="CW1350" s="1399"/>
      <c r="CX1350" s="1399"/>
      <c r="CY1350" s="1399"/>
      <c r="CZ1350" s="1399"/>
      <c r="DA1350" s="1399"/>
      <c r="DB1350" s="1399"/>
      <c r="DC1350" s="1399"/>
      <c r="DD1350" s="1399"/>
      <c r="DE1350" s="1399"/>
      <c r="DF1350" s="1399"/>
      <c r="DG1350" s="1399"/>
      <c r="DH1350" s="1399"/>
      <c r="DI1350" s="1399"/>
      <c r="DJ1350" s="1399"/>
      <c r="DK1350" s="1399"/>
      <c r="DL1350" s="1399"/>
      <c r="DM1350" s="1399"/>
      <c r="DN1350" s="1399"/>
      <c r="DO1350" s="1399"/>
      <c r="DP1350" s="1399"/>
      <c r="DQ1350" s="1399"/>
      <c r="DR1350" s="1399"/>
      <c r="DS1350" s="1399"/>
      <c r="DT1350" s="1399"/>
      <c r="DU1350" s="1399"/>
    </row>
    <row r="1351" spans="1:125">
      <c r="A1351" s="1414"/>
      <c r="B1351" s="1414"/>
      <c r="C1351" s="1414"/>
      <c r="D1351" s="1414"/>
      <c r="E1351" s="1414"/>
      <c r="F1351" s="1414"/>
      <c r="G1351" s="1414"/>
      <c r="H1351" s="1414"/>
      <c r="I1351" s="1414"/>
      <c r="J1351" s="1414"/>
      <c r="K1351" s="1414"/>
      <c r="L1351" s="1414"/>
      <c r="M1351" s="1414"/>
      <c r="N1351" s="1414"/>
      <c r="O1351" s="1414"/>
      <c r="P1351" s="1414"/>
      <c r="Q1351" s="1414"/>
      <c r="R1351" s="1414"/>
      <c r="S1351" s="1414"/>
      <c r="T1351" s="1414"/>
      <c r="U1351" s="1414"/>
      <c r="V1351" s="1414"/>
      <c r="W1351" s="1414"/>
      <c r="X1351" s="1414"/>
      <c r="Y1351" s="1414"/>
      <c r="Z1351" s="1414"/>
      <c r="AA1351" s="1414"/>
      <c r="AB1351" s="1414"/>
      <c r="AC1351" s="1414"/>
      <c r="AD1351" s="1414"/>
      <c r="AE1351" s="1414"/>
      <c r="AF1351" s="1414"/>
      <c r="AG1351" s="1414"/>
      <c r="AH1351" s="1414"/>
      <c r="AI1351" s="1414"/>
      <c r="AJ1351" s="1414"/>
      <c r="AK1351" s="1414"/>
      <c r="AL1351" s="1414"/>
      <c r="AM1351" s="1414"/>
      <c r="AN1351" s="1414"/>
      <c r="AO1351" s="1414"/>
      <c r="AP1351" s="1414"/>
      <c r="AQ1351" s="1414"/>
      <c r="AR1351" s="1414"/>
      <c r="AS1351" s="1414"/>
      <c r="AT1351" s="1414"/>
      <c r="AU1351" s="1414"/>
      <c r="AV1351" s="1414"/>
      <c r="AW1351" s="1414"/>
      <c r="AX1351" s="1414"/>
      <c r="AY1351" s="1399"/>
      <c r="AZ1351" s="1399"/>
      <c r="BA1351" s="1399"/>
      <c r="BB1351" s="1399"/>
      <c r="BC1351" s="1399"/>
      <c r="BD1351" s="1399"/>
      <c r="BE1351" s="1414"/>
      <c r="BF1351" s="1399"/>
      <c r="BG1351" s="1399"/>
      <c r="BH1351" s="1399"/>
      <c r="BI1351" s="1399"/>
      <c r="BJ1351" s="1399"/>
      <c r="BK1351" s="1399"/>
      <c r="BL1351" s="1399"/>
      <c r="BM1351" s="1399"/>
      <c r="BN1351" s="1399"/>
      <c r="BO1351" s="1399"/>
      <c r="BP1351" s="1399"/>
      <c r="BQ1351" s="1399"/>
      <c r="BR1351" s="1399"/>
      <c r="BS1351" s="1399"/>
      <c r="BT1351" s="1399"/>
      <c r="BU1351" s="1399"/>
      <c r="BV1351" s="1399"/>
      <c r="BW1351" s="1399"/>
      <c r="BX1351" s="1399"/>
      <c r="BY1351" s="1399"/>
      <c r="BZ1351" s="1399"/>
      <c r="CA1351" s="1399"/>
      <c r="CB1351" s="1399"/>
      <c r="CC1351" s="1399"/>
      <c r="CD1351" s="1399"/>
      <c r="CE1351" s="1399"/>
      <c r="CF1351" s="1399"/>
      <c r="CG1351" s="1399"/>
      <c r="CH1351" s="1399"/>
      <c r="CI1351" s="1399"/>
      <c r="CJ1351" s="1399"/>
      <c r="CK1351" s="1399"/>
      <c r="CL1351" s="1399"/>
      <c r="CM1351" s="1399"/>
      <c r="CN1351" s="1399"/>
      <c r="CO1351" s="1399"/>
      <c r="CP1351" s="1399"/>
      <c r="CQ1351" s="1399"/>
      <c r="CR1351" s="1399"/>
      <c r="CS1351" s="1399"/>
      <c r="CT1351" s="1399"/>
      <c r="CU1351" s="1399"/>
      <c r="CV1351" s="1399"/>
      <c r="CW1351" s="1399"/>
      <c r="CX1351" s="1399"/>
      <c r="CY1351" s="1399"/>
      <c r="CZ1351" s="1399"/>
      <c r="DA1351" s="1399"/>
      <c r="DB1351" s="1399"/>
      <c r="DC1351" s="1399"/>
      <c r="DD1351" s="1399"/>
      <c r="DE1351" s="1399"/>
      <c r="DF1351" s="1399"/>
      <c r="DG1351" s="1399"/>
      <c r="DH1351" s="1399"/>
      <c r="DI1351" s="1399"/>
      <c r="DJ1351" s="1399"/>
      <c r="DK1351" s="1399"/>
      <c r="DL1351" s="1399"/>
      <c r="DM1351" s="1399"/>
      <c r="DN1351" s="1399"/>
      <c r="DO1351" s="1399"/>
      <c r="DP1351" s="1399"/>
      <c r="DQ1351" s="1399"/>
      <c r="DR1351" s="1399"/>
      <c r="DS1351" s="1399"/>
      <c r="DT1351" s="1399"/>
      <c r="DU1351" s="1399"/>
    </row>
    <row r="1352" spans="1:125">
      <c r="A1352" s="1414"/>
      <c r="B1352" s="1414"/>
      <c r="C1352" s="1414"/>
      <c r="D1352" s="1414"/>
      <c r="E1352" s="1414"/>
      <c r="F1352" s="1414"/>
      <c r="G1352" s="1414"/>
      <c r="H1352" s="1414"/>
      <c r="I1352" s="1414"/>
      <c r="J1352" s="1414"/>
      <c r="K1352" s="1414"/>
      <c r="L1352" s="1414"/>
      <c r="M1352" s="1414"/>
      <c r="N1352" s="1414"/>
      <c r="O1352" s="1414"/>
      <c r="P1352" s="1414"/>
      <c r="Q1352" s="1414"/>
      <c r="R1352" s="1414"/>
      <c r="S1352" s="1414"/>
      <c r="T1352" s="1414"/>
      <c r="U1352" s="1414"/>
      <c r="V1352" s="1414"/>
      <c r="W1352" s="1414"/>
      <c r="X1352" s="1414"/>
      <c r="Y1352" s="1414"/>
      <c r="Z1352" s="1414"/>
      <c r="AA1352" s="1414"/>
      <c r="AB1352" s="1414"/>
      <c r="AC1352" s="1414"/>
      <c r="AD1352" s="1414"/>
      <c r="AE1352" s="1414"/>
      <c r="AF1352" s="1414"/>
      <c r="AG1352" s="1414"/>
      <c r="AH1352" s="1414"/>
      <c r="AI1352" s="1414"/>
      <c r="AJ1352" s="1414"/>
      <c r="AK1352" s="1414"/>
      <c r="AL1352" s="1414"/>
      <c r="AM1352" s="1414"/>
      <c r="AN1352" s="1414"/>
      <c r="AO1352" s="1414"/>
      <c r="AP1352" s="1414"/>
      <c r="AQ1352" s="1414"/>
      <c r="AR1352" s="1414"/>
      <c r="AS1352" s="1414"/>
      <c r="AT1352" s="1414"/>
      <c r="AU1352" s="1414"/>
      <c r="AV1352" s="1414"/>
      <c r="AW1352" s="1414"/>
      <c r="AX1352" s="1414"/>
      <c r="AY1352" s="1399"/>
      <c r="AZ1352" s="1399"/>
      <c r="BA1352" s="1399"/>
      <c r="BB1352" s="1399"/>
      <c r="BC1352" s="1399"/>
      <c r="BD1352" s="1399"/>
      <c r="BE1352" s="1414"/>
      <c r="BF1352" s="1399"/>
      <c r="BG1352" s="1399"/>
      <c r="BH1352" s="1399"/>
      <c r="BI1352" s="1399"/>
      <c r="BJ1352" s="1399"/>
      <c r="BK1352" s="1399"/>
      <c r="BL1352" s="1399"/>
      <c r="BM1352" s="1399"/>
      <c r="BN1352" s="1399"/>
      <c r="BO1352" s="1399"/>
      <c r="BP1352" s="1399"/>
      <c r="BQ1352" s="1399"/>
      <c r="BR1352" s="1399"/>
      <c r="BS1352" s="1399"/>
      <c r="BT1352" s="1399"/>
      <c r="BU1352" s="1399"/>
      <c r="BV1352" s="1399"/>
      <c r="BW1352" s="1399"/>
      <c r="BX1352" s="1399"/>
      <c r="BY1352" s="1399"/>
      <c r="BZ1352" s="1399"/>
      <c r="CA1352" s="1399"/>
      <c r="CB1352" s="1399"/>
      <c r="CC1352" s="1399"/>
      <c r="CD1352" s="1399"/>
      <c r="CE1352" s="1399"/>
      <c r="CF1352" s="1399"/>
      <c r="CG1352" s="1399"/>
      <c r="CH1352" s="1399"/>
      <c r="CI1352" s="1399"/>
      <c r="CJ1352" s="1399"/>
      <c r="CK1352" s="1399"/>
      <c r="CL1352" s="1399"/>
      <c r="CM1352" s="1399"/>
      <c r="CN1352" s="1399"/>
      <c r="CO1352" s="1399"/>
      <c r="CP1352" s="1399"/>
      <c r="CQ1352" s="1399"/>
      <c r="CR1352" s="1399"/>
      <c r="CS1352" s="1399"/>
      <c r="CT1352" s="1399"/>
      <c r="CU1352" s="1399"/>
      <c r="CV1352" s="1399"/>
      <c r="CW1352" s="1399"/>
      <c r="CX1352" s="1399"/>
      <c r="CY1352" s="1399"/>
      <c r="CZ1352" s="1399"/>
      <c r="DA1352" s="1399"/>
      <c r="DB1352" s="1399"/>
      <c r="DC1352" s="1399"/>
      <c r="DD1352" s="1399"/>
      <c r="DE1352" s="1399"/>
      <c r="DF1352" s="1399"/>
      <c r="DG1352" s="1399"/>
      <c r="DH1352" s="1399"/>
      <c r="DI1352" s="1399"/>
      <c r="DJ1352" s="1399"/>
      <c r="DK1352" s="1399"/>
      <c r="DL1352" s="1399"/>
      <c r="DM1352" s="1399"/>
      <c r="DN1352" s="1399"/>
      <c r="DO1352" s="1399"/>
      <c r="DP1352" s="1399"/>
      <c r="DQ1352" s="1399"/>
      <c r="DR1352" s="1399"/>
      <c r="DS1352" s="1399"/>
      <c r="DT1352" s="1399"/>
      <c r="DU1352" s="1399"/>
    </row>
    <row r="1353" spans="1:125">
      <c r="A1353" s="1414"/>
      <c r="B1353" s="1414"/>
      <c r="C1353" s="1414"/>
      <c r="D1353" s="1414"/>
      <c r="E1353" s="1414"/>
      <c r="F1353" s="1414"/>
      <c r="G1353" s="1414"/>
      <c r="H1353" s="1414"/>
      <c r="I1353" s="1414"/>
      <c r="J1353" s="1414"/>
      <c r="K1353" s="1414"/>
      <c r="L1353" s="1414"/>
      <c r="M1353" s="1414"/>
      <c r="N1353" s="1414"/>
      <c r="O1353" s="1414"/>
      <c r="P1353" s="1414"/>
      <c r="Q1353" s="1414"/>
      <c r="R1353" s="1414"/>
      <c r="S1353" s="1414"/>
      <c r="T1353" s="1414"/>
      <c r="U1353" s="1414"/>
      <c r="V1353" s="1414"/>
      <c r="W1353" s="1414"/>
      <c r="X1353" s="1414"/>
      <c r="Y1353" s="1414"/>
      <c r="Z1353" s="1414"/>
      <c r="AA1353" s="1414"/>
      <c r="AB1353" s="1414"/>
      <c r="AC1353" s="1414"/>
      <c r="AD1353" s="1414"/>
      <c r="AE1353" s="1414"/>
      <c r="AF1353" s="1414"/>
      <c r="AG1353" s="1414"/>
      <c r="AH1353" s="1414"/>
      <c r="AI1353" s="1414"/>
      <c r="AJ1353" s="1414"/>
      <c r="AK1353" s="1414"/>
      <c r="AL1353" s="1414"/>
      <c r="AM1353" s="1414"/>
      <c r="AN1353" s="1414"/>
      <c r="AO1353" s="1414"/>
      <c r="AP1353" s="1414"/>
      <c r="AQ1353" s="1414"/>
      <c r="AR1353" s="1414"/>
      <c r="AS1353" s="1414"/>
      <c r="AT1353" s="1414"/>
      <c r="AU1353" s="1414"/>
      <c r="AV1353" s="1414"/>
      <c r="AW1353" s="1414"/>
      <c r="AX1353" s="1414"/>
      <c r="AY1353" s="1399"/>
      <c r="AZ1353" s="1399"/>
      <c r="BA1353" s="1399"/>
      <c r="BB1353" s="1399"/>
      <c r="BC1353" s="1399"/>
      <c r="BD1353" s="1399"/>
      <c r="BE1353" s="1414"/>
      <c r="BF1353" s="1399"/>
      <c r="BG1353" s="1399"/>
      <c r="BH1353" s="1399"/>
      <c r="BI1353" s="1399"/>
      <c r="BJ1353" s="1399"/>
      <c r="BK1353" s="1399"/>
      <c r="BL1353" s="1399"/>
      <c r="BM1353" s="1399"/>
      <c r="BN1353" s="1399"/>
      <c r="BO1353" s="1399"/>
      <c r="BP1353" s="1399"/>
      <c r="BQ1353" s="1399"/>
      <c r="BR1353" s="1399"/>
      <c r="BS1353" s="1399"/>
      <c r="BT1353" s="1399"/>
      <c r="BU1353" s="1399"/>
      <c r="BV1353" s="1399"/>
      <c r="BW1353" s="1399"/>
      <c r="BX1353" s="1399"/>
      <c r="BY1353" s="1399"/>
      <c r="BZ1353" s="1399"/>
      <c r="CA1353" s="1399"/>
      <c r="CB1353" s="1399"/>
      <c r="CC1353" s="1399"/>
      <c r="CD1353" s="1399"/>
      <c r="CE1353" s="1399"/>
      <c r="CF1353" s="1399"/>
      <c r="CG1353" s="1399"/>
      <c r="CH1353" s="1399"/>
      <c r="CI1353" s="1399"/>
      <c r="CJ1353" s="1399"/>
      <c r="CK1353" s="1399"/>
      <c r="CL1353" s="1399"/>
      <c r="CM1353" s="1399"/>
      <c r="CN1353" s="1399"/>
      <c r="CO1353" s="1399"/>
      <c r="CP1353" s="1399"/>
      <c r="CQ1353" s="1399"/>
      <c r="CR1353" s="1399"/>
      <c r="CS1353" s="1399"/>
      <c r="CT1353" s="1399"/>
      <c r="CU1353" s="1399"/>
      <c r="CV1353" s="1399"/>
      <c r="CW1353" s="1399"/>
      <c r="CX1353" s="1399"/>
      <c r="CY1353" s="1399"/>
      <c r="CZ1353" s="1399"/>
      <c r="DA1353" s="1399"/>
      <c r="DB1353" s="1399"/>
      <c r="DC1353" s="1399"/>
      <c r="DD1353" s="1399"/>
      <c r="DE1353" s="1399"/>
      <c r="DF1353" s="1399"/>
      <c r="DG1353" s="1399"/>
      <c r="DH1353" s="1399"/>
      <c r="DI1353" s="1399"/>
      <c r="DJ1353" s="1399"/>
      <c r="DK1353" s="1399"/>
      <c r="DL1353" s="1399"/>
      <c r="DM1353" s="1399"/>
      <c r="DN1353" s="1399"/>
      <c r="DO1353" s="1399"/>
      <c r="DP1353" s="1399"/>
      <c r="DQ1353" s="1399"/>
      <c r="DR1353" s="1399"/>
      <c r="DS1353" s="1399"/>
      <c r="DT1353" s="1399"/>
      <c r="DU1353" s="1399"/>
    </row>
    <row r="1354" spans="1:125">
      <c r="A1354" s="1414"/>
      <c r="B1354" s="1414"/>
      <c r="C1354" s="1414"/>
      <c r="D1354" s="1414"/>
      <c r="E1354" s="1414"/>
      <c r="F1354" s="1414"/>
      <c r="G1354" s="1414"/>
      <c r="H1354" s="1414"/>
      <c r="I1354" s="1414"/>
      <c r="J1354" s="1414"/>
      <c r="K1354" s="1414"/>
      <c r="L1354" s="1414"/>
      <c r="M1354" s="1414"/>
      <c r="N1354" s="1414"/>
      <c r="O1354" s="1414"/>
      <c r="P1354" s="1414"/>
      <c r="Q1354" s="1414"/>
      <c r="R1354" s="1414"/>
      <c r="S1354" s="1414"/>
      <c r="T1354" s="1414"/>
      <c r="U1354" s="1414"/>
      <c r="V1354" s="1414"/>
      <c r="W1354" s="1414"/>
      <c r="X1354" s="1414"/>
      <c r="Y1354" s="1414"/>
      <c r="Z1354" s="1414"/>
      <c r="AA1354" s="1414"/>
      <c r="AB1354" s="1414"/>
      <c r="AC1354" s="1414"/>
      <c r="AD1354" s="1414"/>
      <c r="AE1354" s="1414"/>
      <c r="AF1354" s="1414"/>
      <c r="AG1354" s="1414"/>
      <c r="AH1354" s="1414"/>
      <c r="AI1354" s="1414"/>
      <c r="AJ1354" s="1414"/>
      <c r="AK1354" s="1414"/>
      <c r="AL1354" s="1414"/>
      <c r="AM1354" s="1414"/>
      <c r="AN1354" s="1414"/>
      <c r="AO1354" s="1414"/>
      <c r="AP1354" s="1414"/>
      <c r="AQ1354" s="1414"/>
      <c r="AR1354" s="1414"/>
      <c r="AS1354" s="1414"/>
      <c r="AT1354" s="1414"/>
      <c r="AU1354" s="1414"/>
      <c r="AV1354" s="1414"/>
      <c r="AW1354" s="1414"/>
      <c r="AX1354" s="1414"/>
      <c r="AY1354" s="1399"/>
      <c r="AZ1354" s="1399"/>
      <c r="BA1354" s="1399"/>
      <c r="BB1354" s="1399"/>
      <c r="BC1354" s="1399"/>
      <c r="BD1354" s="1399"/>
      <c r="BE1354" s="1414"/>
      <c r="BF1354" s="1399"/>
      <c r="BG1354" s="1399"/>
      <c r="BH1354" s="1399"/>
      <c r="BI1354" s="1399"/>
      <c r="BJ1354" s="1399"/>
      <c r="BK1354" s="1399"/>
      <c r="BL1354" s="1399"/>
      <c r="BM1354" s="1399"/>
      <c r="BN1354" s="1399"/>
      <c r="BO1354" s="1399"/>
      <c r="BP1354" s="1399"/>
      <c r="BQ1354" s="1399"/>
      <c r="BR1354" s="1399"/>
      <c r="BS1354" s="1399"/>
      <c r="BT1354" s="1399"/>
      <c r="BU1354" s="1399"/>
      <c r="BV1354" s="1399"/>
      <c r="BW1354" s="1399"/>
      <c r="BX1354" s="1399"/>
      <c r="BY1354" s="1399"/>
      <c r="BZ1354" s="1399"/>
      <c r="CA1354" s="1399"/>
      <c r="CB1354" s="1399"/>
      <c r="CC1354" s="1399"/>
      <c r="CD1354" s="1399"/>
      <c r="CE1354" s="1399"/>
      <c r="CF1354" s="1399"/>
      <c r="CG1354" s="1399"/>
      <c r="CH1354" s="1399"/>
      <c r="CI1354" s="1399"/>
      <c r="CJ1354" s="1399"/>
      <c r="CK1354" s="1399"/>
      <c r="CL1354" s="1399"/>
      <c r="CM1354" s="1399"/>
      <c r="CN1354" s="1399"/>
      <c r="CO1354" s="1399"/>
      <c r="CP1354" s="1399"/>
      <c r="CQ1354" s="1399"/>
      <c r="CR1354" s="1399"/>
      <c r="CS1354" s="1399"/>
      <c r="CT1354" s="1399"/>
      <c r="CU1354" s="1399"/>
      <c r="CV1354" s="1399"/>
      <c r="CW1354" s="1399"/>
      <c r="CX1354" s="1399"/>
      <c r="CY1354" s="1399"/>
      <c r="CZ1354" s="1399"/>
      <c r="DA1354" s="1399"/>
      <c r="DB1354" s="1399"/>
      <c r="DC1354" s="1399"/>
      <c r="DD1354" s="1399"/>
      <c r="DE1354" s="1399"/>
      <c r="DF1354" s="1399"/>
      <c r="DG1354" s="1399"/>
      <c r="DH1354" s="1399"/>
      <c r="DI1354" s="1399"/>
      <c r="DJ1354" s="1399"/>
      <c r="DK1354" s="1399"/>
      <c r="DL1354" s="1399"/>
      <c r="DM1354" s="1399"/>
      <c r="DN1354" s="1399"/>
      <c r="DO1354" s="1399"/>
      <c r="DP1354" s="1399"/>
      <c r="DQ1354" s="1399"/>
      <c r="DR1354" s="1399"/>
      <c r="DS1354" s="1399"/>
      <c r="DT1354" s="1399"/>
      <c r="DU1354" s="1399"/>
    </row>
    <row r="1355" spans="1:125">
      <c r="A1355" s="1414"/>
      <c r="B1355" s="1414"/>
      <c r="C1355" s="1414"/>
      <c r="D1355" s="1414"/>
      <c r="E1355" s="1414"/>
      <c r="F1355" s="1414"/>
      <c r="G1355" s="1414"/>
      <c r="H1355" s="1414"/>
      <c r="I1355" s="1414"/>
      <c r="J1355" s="1414"/>
      <c r="K1355" s="1414"/>
      <c r="L1355" s="1414"/>
      <c r="M1355" s="1414"/>
      <c r="N1355" s="1414"/>
      <c r="O1355" s="1414"/>
      <c r="P1355" s="1414"/>
      <c r="Q1355" s="1414"/>
      <c r="R1355" s="1414"/>
      <c r="S1355" s="1414"/>
      <c r="T1355" s="1414"/>
      <c r="U1355" s="1414"/>
      <c r="V1355" s="1414"/>
      <c r="W1355" s="1414"/>
      <c r="X1355" s="1414"/>
      <c r="Y1355" s="1414"/>
      <c r="Z1355" s="1414"/>
      <c r="AA1355" s="1414"/>
      <c r="AB1355" s="1414"/>
      <c r="AC1355" s="1414"/>
      <c r="AD1355" s="1414"/>
      <c r="AE1355" s="1414"/>
      <c r="AF1355" s="1414"/>
      <c r="AG1355" s="1414"/>
      <c r="AH1355" s="1414"/>
      <c r="AI1355" s="1414"/>
      <c r="AJ1355" s="1414"/>
      <c r="AK1355" s="1414"/>
      <c r="AL1355" s="1414"/>
      <c r="AM1355" s="1414"/>
      <c r="AN1355" s="1414"/>
      <c r="AO1355" s="1414"/>
      <c r="AP1355" s="1414"/>
      <c r="AQ1355" s="1414"/>
      <c r="AR1355" s="1414"/>
      <c r="AS1355" s="1414"/>
      <c r="AT1355" s="1414"/>
      <c r="AU1355" s="1414"/>
      <c r="AV1355" s="1414"/>
      <c r="AW1355" s="1414"/>
      <c r="AX1355" s="1414"/>
      <c r="AY1355" s="1399"/>
      <c r="AZ1355" s="1399"/>
      <c r="BA1355" s="1399"/>
      <c r="BB1355" s="1399"/>
      <c r="BC1355" s="1399"/>
      <c r="BD1355" s="1399"/>
      <c r="BE1355" s="1414"/>
      <c r="BF1355" s="1399"/>
      <c r="BG1355" s="1399"/>
      <c r="BH1355" s="1399"/>
      <c r="BI1355" s="1399"/>
      <c r="BJ1355" s="1399"/>
      <c r="BK1355" s="1399"/>
      <c r="BL1355" s="1399"/>
      <c r="BM1355" s="1399"/>
      <c r="BN1355" s="1399"/>
      <c r="BO1355" s="1399"/>
      <c r="BP1355" s="1399"/>
      <c r="BQ1355" s="1399"/>
      <c r="BR1355" s="1399"/>
      <c r="BS1355" s="1399"/>
      <c r="BT1355" s="1399"/>
      <c r="BU1355" s="1399"/>
      <c r="BV1355" s="1399"/>
      <c r="BW1355" s="1399"/>
      <c r="BX1355" s="1399"/>
      <c r="BY1355" s="1399"/>
      <c r="BZ1355" s="1399"/>
      <c r="CA1355" s="1399"/>
      <c r="CB1355" s="1399"/>
      <c r="CC1355" s="1399"/>
      <c r="CD1355" s="1399"/>
      <c r="CE1355" s="1399"/>
      <c r="CF1355" s="1399"/>
      <c r="CG1355" s="1399"/>
      <c r="CH1355" s="1399"/>
      <c r="CI1355" s="1399"/>
      <c r="CJ1355" s="1399"/>
      <c r="CK1355" s="1399"/>
      <c r="CL1355" s="1399"/>
      <c r="CM1355" s="1399"/>
      <c r="CN1355" s="1399"/>
      <c r="CO1355" s="1399"/>
      <c r="CP1355" s="1399"/>
      <c r="CQ1355" s="1399"/>
      <c r="CR1355" s="1399"/>
      <c r="CS1355" s="1399"/>
      <c r="CT1355" s="1399"/>
      <c r="CU1355" s="1399"/>
      <c r="CV1355" s="1399"/>
      <c r="CW1355" s="1399"/>
      <c r="CX1355" s="1399"/>
      <c r="CY1355" s="1399"/>
      <c r="CZ1355" s="1399"/>
      <c r="DA1355" s="1399"/>
      <c r="DB1355" s="1399"/>
      <c r="DC1355" s="1399"/>
      <c r="DD1355" s="1399"/>
      <c r="DE1355" s="1399"/>
      <c r="DF1355" s="1399"/>
      <c r="DG1355" s="1399"/>
      <c r="DH1355" s="1399"/>
      <c r="DI1355" s="1399"/>
      <c r="DJ1355" s="1399"/>
      <c r="DK1355" s="1399"/>
      <c r="DL1355" s="1399"/>
      <c r="DM1355" s="1399"/>
      <c r="DN1355" s="1399"/>
      <c r="DO1355" s="1399"/>
      <c r="DP1355" s="1399"/>
      <c r="DQ1355" s="1399"/>
      <c r="DR1355" s="1399"/>
      <c r="DS1355" s="1399"/>
      <c r="DT1355" s="1399"/>
      <c r="DU1355" s="1399"/>
    </row>
    <row r="1356" spans="1:125">
      <c r="A1356" s="1414"/>
      <c r="B1356" s="1414"/>
      <c r="C1356" s="1414"/>
      <c r="D1356" s="1414"/>
      <c r="E1356" s="1414"/>
      <c r="F1356" s="1414"/>
      <c r="G1356" s="1414"/>
      <c r="H1356" s="1414"/>
      <c r="I1356" s="1414"/>
      <c r="J1356" s="1414"/>
      <c r="K1356" s="1414"/>
      <c r="L1356" s="1414"/>
      <c r="M1356" s="1414"/>
      <c r="N1356" s="1414"/>
      <c r="O1356" s="1414"/>
      <c r="P1356" s="1414"/>
      <c r="Q1356" s="1414"/>
      <c r="R1356" s="1414"/>
      <c r="S1356" s="1414"/>
      <c r="T1356" s="1414"/>
      <c r="U1356" s="1414"/>
      <c r="V1356" s="1414"/>
      <c r="W1356" s="1414"/>
      <c r="X1356" s="1414"/>
      <c r="Y1356" s="1414"/>
      <c r="Z1356" s="1414"/>
      <c r="AA1356" s="1414"/>
      <c r="AB1356" s="1414"/>
      <c r="AC1356" s="1414"/>
      <c r="AD1356" s="1414"/>
      <c r="AE1356" s="1414"/>
      <c r="AF1356" s="1414"/>
      <c r="AG1356" s="1414"/>
      <c r="AH1356" s="1414"/>
      <c r="AI1356" s="1414"/>
      <c r="AJ1356" s="1414"/>
      <c r="AK1356" s="1414"/>
      <c r="AL1356" s="1414"/>
      <c r="AM1356" s="1414"/>
      <c r="AN1356" s="1414"/>
      <c r="AO1356" s="1414"/>
      <c r="AP1356" s="1414"/>
      <c r="AQ1356" s="1414"/>
      <c r="AR1356" s="1414"/>
      <c r="AS1356" s="1414"/>
      <c r="AT1356" s="1414"/>
      <c r="AU1356" s="1414"/>
      <c r="AV1356" s="1414"/>
      <c r="AW1356" s="1414"/>
      <c r="AX1356" s="1414"/>
      <c r="AY1356" s="1399"/>
      <c r="AZ1356" s="1399"/>
      <c r="BA1356" s="1399"/>
      <c r="BB1356" s="1399"/>
      <c r="BC1356" s="1399"/>
      <c r="BD1356" s="1399"/>
      <c r="BE1356" s="1414"/>
      <c r="BF1356" s="1399"/>
      <c r="BG1356" s="1399"/>
      <c r="BH1356" s="1399"/>
      <c r="BI1356" s="1399"/>
      <c r="BJ1356" s="1399"/>
      <c r="BK1356" s="1399"/>
      <c r="BL1356" s="1399"/>
      <c r="BM1356" s="1399"/>
      <c r="BN1356" s="1399"/>
      <c r="BO1356" s="1399"/>
      <c r="BP1356" s="1399"/>
      <c r="BQ1356" s="1399"/>
      <c r="BR1356" s="1399"/>
      <c r="BS1356" s="1399"/>
      <c r="BT1356" s="1399"/>
      <c r="BU1356" s="1399"/>
      <c r="BV1356" s="1399"/>
      <c r="BW1356" s="1399"/>
      <c r="BX1356" s="1399"/>
      <c r="BY1356" s="1399"/>
      <c r="BZ1356" s="1399"/>
      <c r="CA1356" s="1399"/>
      <c r="CB1356" s="1399"/>
      <c r="CC1356" s="1399"/>
      <c r="CD1356" s="1399"/>
      <c r="CE1356" s="1399"/>
      <c r="CF1356" s="1399"/>
      <c r="CG1356" s="1399"/>
      <c r="CH1356" s="1399"/>
      <c r="CI1356" s="1399"/>
      <c r="CJ1356" s="1399"/>
      <c r="CK1356" s="1399"/>
      <c r="CL1356" s="1399"/>
      <c r="CM1356" s="1399"/>
      <c r="CN1356" s="1399"/>
      <c r="CO1356" s="1399"/>
      <c r="CP1356" s="1399"/>
      <c r="CQ1356" s="1399"/>
      <c r="CR1356" s="1399"/>
      <c r="CS1356" s="1399"/>
      <c r="CT1356" s="1399"/>
      <c r="CU1356" s="1399"/>
      <c r="CV1356" s="1399"/>
      <c r="CW1356" s="1399"/>
      <c r="CX1356" s="1399"/>
      <c r="CY1356" s="1399"/>
      <c r="CZ1356" s="1399"/>
      <c r="DA1356" s="1399"/>
      <c r="DB1356" s="1399"/>
      <c r="DC1356" s="1399"/>
      <c r="DD1356" s="1399"/>
      <c r="DE1356" s="1399"/>
      <c r="DF1356" s="1399"/>
      <c r="DG1356" s="1399"/>
      <c r="DH1356" s="1399"/>
      <c r="DI1356" s="1399"/>
      <c r="DJ1356" s="1399"/>
      <c r="DK1356" s="1399"/>
      <c r="DL1356" s="1399"/>
      <c r="DM1356" s="1399"/>
      <c r="DN1356" s="1399"/>
      <c r="DO1356" s="1399"/>
      <c r="DP1356" s="1399"/>
      <c r="DQ1356" s="1399"/>
      <c r="DR1356" s="1399"/>
      <c r="DS1356" s="1399"/>
      <c r="DT1356" s="1399"/>
      <c r="DU1356" s="1399"/>
    </row>
    <row r="1357" spans="1:125">
      <c r="A1357" s="1414"/>
      <c r="B1357" s="1414"/>
      <c r="C1357" s="1414"/>
      <c r="D1357" s="1414"/>
      <c r="E1357" s="1414"/>
      <c r="F1357" s="1414"/>
      <c r="G1357" s="1414"/>
      <c r="H1357" s="1414"/>
      <c r="I1357" s="1414"/>
      <c r="J1357" s="1414"/>
      <c r="K1357" s="1414"/>
      <c r="L1357" s="1414"/>
      <c r="M1357" s="1414"/>
      <c r="N1357" s="1414"/>
      <c r="O1357" s="1414"/>
      <c r="P1357" s="1414"/>
      <c r="Q1357" s="1414"/>
      <c r="R1357" s="1414"/>
      <c r="S1357" s="1414"/>
      <c r="T1357" s="1414"/>
      <c r="U1357" s="1414"/>
      <c r="V1357" s="1414"/>
      <c r="W1357" s="1414"/>
      <c r="X1357" s="1414"/>
      <c r="Y1357" s="1414"/>
      <c r="Z1357" s="1414"/>
      <c r="AA1357" s="1414"/>
      <c r="AB1357" s="1414"/>
      <c r="AC1357" s="1414"/>
      <c r="AD1357" s="1414"/>
      <c r="AE1357" s="1414"/>
      <c r="AF1357" s="1414"/>
      <c r="AG1357" s="1414"/>
      <c r="AH1357" s="1414"/>
      <c r="AI1357" s="1414"/>
      <c r="AJ1357" s="1414"/>
      <c r="AK1357" s="1414"/>
      <c r="AL1357" s="1414"/>
      <c r="AM1357" s="1414"/>
      <c r="AN1357" s="1414"/>
      <c r="AO1357" s="1414"/>
      <c r="AP1357" s="1414"/>
      <c r="AQ1357" s="1414"/>
      <c r="AR1357" s="1414"/>
      <c r="AS1357" s="1414"/>
      <c r="AT1357" s="1414"/>
      <c r="AU1357" s="1414"/>
      <c r="AV1357" s="1414"/>
      <c r="AW1357" s="1414"/>
      <c r="AX1357" s="1414"/>
      <c r="AY1357" s="1399"/>
      <c r="AZ1357" s="1399"/>
      <c r="BA1357" s="1399"/>
      <c r="BB1357" s="1399"/>
      <c r="BC1357" s="1399"/>
      <c r="BD1357" s="1399"/>
      <c r="BE1357" s="1414"/>
      <c r="BF1357" s="1399"/>
      <c r="BG1357" s="1399"/>
      <c r="BH1357" s="1399"/>
      <c r="BI1357" s="1399"/>
      <c r="BJ1357" s="1399"/>
      <c r="BK1357" s="1399"/>
      <c r="BL1357" s="1399"/>
      <c r="BM1357" s="1399"/>
      <c r="BN1357" s="1399"/>
      <c r="BO1357" s="1399"/>
      <c r="BP1357" s="1399"/>
      <c r="BQ1357" s="1399"/>
      <c r="BR1357" s="1399"/>
      <c r="BS1357" s="1399"/>
      <c r="BT1357" s="1399"/>
      <c r="BU1357" s="1399"/>
      <c r="BV1357" s="1399"/>
      <c r="BW1357" s="1399"/>
      <c r="BX1357" s="1399"/>
      <c r="BY1357" s="1399"/>
      <c r="BZ1357" s="1399"/>
      <c r="CA1357" s="1399"/>
      <c r="CB1357" s="1399"/>
      <c r="CC1357" s="1399"/>
      <c r="CD1357" s="1399"/>
      <c r="CE1357" s="1399"/>
      <c r="CF1357" s="1399"/>
      <c r="CG1357" s="1399"/>
      <c r="CH1357" s="1399"/>
      <c r="CI1357" s="1399"/>
      <c r="CJ1357" s="1399"/>
      <c r="CK1357" s="1399"/>
      <c r="CL1357" s="1399"/>
      <c r="CM1357" s="1399"/>
      <c r="CN1357" s="1399"/>
      <c r="CO1357" s="1399"/>
      <c r="CP1357" s="1399"/>
      <c r="CQ1357" s="1399"/>
      <c r="CR1357" s="1399"/>
      <c r="CS1357" s="1399"/>
      <c r="CT1357" s="1399"/>
      <c r="CU1357" s="1399"/>
      <c r="CV1357" s="1399"/>
      <c r="CW1357" s="1399"/>
      <c r="CX1357" s="1399"/>
      <c r="CY1357" s="1399"/>
      <c r="CZ1357" s="1399"/>
      <c r="DA1357" s="1399"/>
      <c r="DB1357" s="1399"/>
      <c r="DC1357" s="1399"/>
      <c r="DD1357" s="1399"/>
      <c r="DE1357" s="1399"/>
      <c r="DF1357" s="1399"/>
      <c r="DG1357" s="1399"/>
      <c r="DH1357" s="1399"/>
      <c r="DI1357" s="1399"/>
      <c r="DJ1357" s="1399"/>
      <c r="DK1357" s="1399"/>
      <c r="DL1357" s="1399"/>
      <c r="DM1357" s="1399"/>
      <c r="DN1357" s="1399"/>
      <c r="DO1357" s="1399"/>
      <c r="DP1357" s="1399"/>
      <c r="DQ1357" s="1399"/>
      <c r="DR1357" s="1399"/>
      <c r="DS1357" s="1399"/>
      <c r="DT1357" s="1399"/>
      <c r="DU1357" s="1399"/>
    </row>
    <row r="1358" spans="1:125">
      <c r="A1358" s="1414"/>
      <c r="B1358" s="1414"/>
      <c r="C1358" s="1414"/>
      <c r="D1358" s="1414"/>
      <c r="E1358" s="1414"/>
      <c r="F1358" s="1414"/>
      <c r="G1358" s="1414"/>
      <c r="H1358" s="1414"/>
      <c r="I1358" s="1414"/>
      <c r="J1358" s="1414"/>
      <c r="K1358" s="1414"/>
      <c r="L1358" s="1414"/>
      <c r="M1358" s="1414"/>
      <c r="N1358" s="1414"/>
      <c r="O1358" s="1414"/>
      <c r="P1358" s="1414"/>
      <c r="Q1358" s="1414"/>
      <c r="R1358" s="1414"/>
      <c r="S1358" s="1414"/>
      <c r="T1358" s="1414"/>
      <c r="U1358" s="1414"/>
      <c r="V1358" s="1414"/>
      <c r="W1358" s="1414"/>
      <c r="X1358" s="1414"/>
      <c r="Y1358" s="1414"/>
      <c r="Z1358" s="1414"/>
      <c r="AA1358" s="1414"/>
      <c r="AB1358" s="1414"/>
      <c r="AC1358" s="1414"/>
      <c r="AD1358" s="1414"/>
      <c r="AE1358" s="1414"/>
      <c r="AF1358" s="1414"/>
      <c r="AG1358" s="1414"/>
      <c r="AH1358" s="1414"/>
      <c r="AI1358" s="1414"/>
      <c r="AJ1358" s="1414"/>
      <c r="AK1358" s="1414"/>
      <c r="AL1358" s="1414"/>
      <c r="AM1358" s="1414"/>
      <c r="AN1358" s="1414"/>
      <c r="AO1358" s="1414"/>
      <c r="AP1358" s="1414"/>
      <c r="AQ1358" s="1414"/>
      <c r="AR1358" s="1414"/>
      <c r="AS1358" s="1414"/>
      <c r="AT1358" s="1414"/>
      <c r="AU1358" s="1414"/>
      <c r="AV1358" s="1414"/>
      <c r="AW1358" s="1414"/>
      <c r="AX1358" s="1414"/>
      <c r="AY1358" s="1399"/>
      <c r="AZ1358" s="1399"/>
      <c r="BA1358" s="1399"/>
      <c r="BB1358" s="1399"/>
      <c r="BC1358" s="1399"/>
      <c r="BD1358" s="1399"/>
      <c r="BE1358" s="1414"/>
      <c r="BF1358" s="1399"/>
      <c r="BG1358" s="1399"/>
      <c r="BH1358" s="1399"/>
      <c r="BI1358" s="1399"/>
      <c r="BJ1358" s="1399"/>
      <c r="BK1358" s="1399"/>
      <c r="BL1358" s="1399"/>
      <c r="BM1358" s="1399"/>
      <c r="BN1358" s="1399"/>
      <c r="BO1358" s="1399"/>
      <c r="BP1358" s="1399"/>
      <c r="BQ1358" s="1399"/>
      <c r="BR1358" s="1399"/>
      <c r="BS1358" s="1399"/>
      <c r="BT1358" s="1399"/>
      <c r="BU1358" s="1399"/>
      <c r="BV1358" s="1399"/>
      <c r="BW1358" s="1399"/>
      <c r="BX1358" s="1399"/>
      <c r="BY1358" s="1399"/>
      <c r="BZ1358" s="1399"/>
      <c r="CA1358" s="1399"/>
      <c r="CB1358" s="1399"/>
      <c r="CC1358" s="1399"/>
      <c r="CD1358" s="1399"/>
      <c r="CE1358" s="1399"/>
      <c r="CF1358" s="1399"/>
      <c r="CG1358" s="1399"/>
      <c r="CH1358" s="1399"/>
      <c r="CI1358" s="1399"/>
      <c r="CJ1358" s="1399"/>
      <c r="CK1358" s="1399"/>
      <c r="CL1358" s="1399"/>
      <c r="CM1358" s="1399"/>
      <c r="CN1358" s="1399"/>
      <c r="CO1358" s="1399"/>
      <c r="CP1358" s="1399"/>
      <c r="CQ1358" s="1399"/>
      <c r="CR1358" s="1399"/>
      <c r="CS1358" s="1399"/>
      <c r="CT1358" s="1399"/>
      <c r="CU1358" s="1399"/>
      <c r="CV1358" s="1399"/>
      <c r="CW1358" s="1399"/>
      <c r="CX1358" s="1399"/>
      <c r="CY1358" s="1399"/>
      <c r="CZ1358" s="1399"/>
      <c r="DA1358" s="1399"/>
      <c r="DB1358" s="1399"/>
      <c r="DC1358" s="1399"/>
      <c r="DD1358" s="1399"/>
      <c r="DE1358" s="1399"/>
      <c r="DF1358" s="1399"/>
      <c r="DG1358" s="1399"/>
      <c r="DH1358" s="1399"/>
      <c r="DI1358" s="1399"/>
      <c r="DJ1358" s="1399"/>
      <c r="DK1358" s="1399"/>
      <c r="DL1358" s="1399"/>
      <c r="DM1358" s="1399"/>
      <c r="DN1358" s="1399"/>
      <c r="DO1358" s="1399"/>
      <c r="DP1358" s="1399"/>
      <c r="DQ1358" s="1399"/>
      <c r="DR1358" s="1399"/>
      <c r="DS1358" s="1399"/>
      <c r="DT1358" s="1399"/>
      <c r="DU1358" s="1399"/>
    </row>
    <row r="1359" spans="1:125">
      <c r="A1359" s="1414"/>
      <c r="B1359" s="1414"/>
      <c r="C1359" s="1414"/>
      <c r="D1359" s="1414"/>
      <c r="E1359" s="1414"/>
      <c r="F1359" s="1414"/>
      <c r="G1359" s="1414"/>
      <c r="H1359" s="1414"/>
      <c r="I1359" s="1414"/>
      <c r="J1359" s="1414"/>
      <c r="K1359" s="1414"/>
      <c r="L1359" s="1414"/>
      <c r="M1359" s="1414"/>
      <c r="N1359" s="1414"/>
      <c r="O1359" s="1414"/>
      <c r="P1359" s="1414"/>
      <c r="Q1359" s="1414"/>
      <c r="R1359" s="1414"/>
      <c r="S1359" s="1414"/>
      <c r="T1359" s="1414"/>
      <c r="U1359" s="1414"/>
      <c r="V1359" s="1414"/>
      <c r="W1359" s="1414"/>
      <c r="X1359" s="1414"/>
      <c r="Y1359" s="1414"/>
      <c r="Z1359" s="1414"/>
      <c r="AA1359" s="1414"/>
      <c r="AB1359" s="1414"/>
      <c r="AC1359" s="1414"/>
      <c r="AD1359" s="1414"/>
      <c r="AE1359" s="1414"/>
      <c r="AF1359" s="1414"/>
      <c r="AG1359" s="1414"/>
      <c r="AH1359" s="1414"/>
      <c r="AI1359" s="1414"/>
      <c r="AJ1359" s="1414"/>
      <c r="AK1359" s="1414"/>
      <c r="AL1359" s="1414"/>
      <c r="AM1359" s="1414"/>
      <c r="AN1359" s="1414"/>
      <c r="AO1359" s="1414"/>
      <c r="AP1359" s="1414"/>
      <c r="AQ1359" s="1414"/>
      <c r="AR1359" s="1414"/>
      <c r="AS1359" s="1414"/>
      <c r="AT1359" s="1414"/>
      <c r="AU1359" s="1414"/>
      <c r="AV1359" s="1414"/>
      <c r="AW1359" s="1414"/>
      <c r="AX1359" s="1414"/>
      <c r="AY1359" s="1399"/>
      <c r="AZ1359" s="1399"/>
      <c r="BA1359" s="1399"/>
      <c r="BB1359" s="1399"/>
      <c r="BC1359" s="1399"/>
      <c r="BD1359" s="1399"/>
      <c r="BE1359" s="1414"/>
      <c r="BF1359" s="1399"/>
      <c r="BG1359" s="1399"/>
      <c r="BH1359" s="1399"/>
      <c r="BI1359" s="1399"/>
      <c r="BJ1359" s="1399"/>
      <c r="BK1359" s="1399"/>
      <c r="BL1359" s="1399"/>
      <c r="BM1359" s="1399"/>
      <c r="BN1359" s="1399"/>
      <c r="BO1359" s="1399"/>
      <c r="BP1359" s="1399"/>
      <c r="BQ1359" s="1399"/>
      <c r="BR1359" s="1399"/>
      <c r="BS1359" s="1399"/>
      <c r="BT1359" s="1399"/>
      <c r="BU1359" s="1399"/>
      <c r="BV1359" s="1399"/>
      <c r="BW1359" s="1399"/>
      <c r="BX1359" s="1399"/>
      <c r="BY1359" s="1399"/>
      <c r="BZ1359" s="1399"/>
      <c r="CA1359" s="1399"/>
      <c r="CB1359" s="1399"/>
      <c r="CC1359" s="1399"/>
      <c r="CD1359" s="1399"/>
      <c r="CE1359" s="1399"/>
      <c r="CF1359" s="1399"/>
      <c r="CG1359" s="1399"/>
      <c r="CH1359" s="1399"/>
      <c r="CI1359" s="1399"/>
      <c r="CJ1359" s="1399"/>
      <c r="CK1359" s="1399"/>
      <c r="CL1359" s="1399"/>
      <c r="CM1359" s="1399"/>
      <c r="CN1359" s="1399"/>
      <c r="CO1359" s="1399"/>
      <c r="CP1359" s="1399"/>
      <c r="CQ1359" s="1399"/>
      <c r="CR1359" s="1399"/>
      <c r="CS1359" s="1399"/>
      <c r="CT1359" s="1399"/>
      <c r="CU1359" s="1399"/>
      <c r="CV1359" s="1399"/>
      <c r="CW1359" s="1399"/>
      <c r="CX1359" s="1399"/>
      <c r="CY1359" s="1399"/>
      <c r="CZ1359" s="1399"/>
      <c r="DA1359" s="1399"/>
      <c r="DB1359" s="1399"/>
      <c r="DC1359" s="1399"/>
      <c r="DD1359" s="1399"/>
      <c r="DE1359" s="1399"/>
      <c r="DF1359" s="1399"/>
      <c r="DG1359" s="1399"/>
      <c r="DH1359" s="1399"/>
      <c r="DI1359" s="1399"/>
      <c r="DJ1359" s="1399"/>
      <c r="DK1359" s="1399"/>
      <c r="DL1359" s="1399"/>
      <c r="DM1359" s="1399"/>
      <c r="DN1359" s="1399"/>
      <c r="DO1359" s="1399"/>
      <c r="DP1359" s="1399"/>
      <c r="DQ1359" s="1399"/>
      <c r="DR1359" s="1399"/>
      <c r="DS1359" s="1399"/>
      <c r="DT1359" s="1399"/>
      <c r="DU1359" s="1399"/>
    </row>
    <row r="1360" spans="1:125">
      <c r="A1360" s="1414"/>
      <c r="B1360" s="1414"/>
      <c r="C1360" s="1414"/>
      <c r="D1360" s="1414"/>
      <c r="E1360" s="1414"/>
      <c r="F1360" s="1414"/>
      <c r="G1360" s="1414"/>
      <c r="H1360" s="1414"/>
      <c r="I1360" s="1414"/>
      <c r="J1360" s="1414"/>
      <c r="K1360" s="1414"/>
      <c r="L1360" s="1414"/>
      <c r="M1360" s="1414"/>
      <c r="N1360" s="1414"/>
      <c r="O1360" s="1414"/>
      <c r="P1360" s="1414"/>
      <c r="Q1360" s="1414"/>
      <c r="R1360" s="1414"/>
      <c r="S1360" s="1414"/>
      <c r="T1360" s="1414"/>
      <c r="U1360" s="1414"/>
      <c r="V1360" s="1414"/>
      <c r="W1360" s="1414"/>
      <c r="X1360" s="1414"/>
      <c r="Y1360" s="1414"/>
      <c r="Z1360" s="1414"/>
      <c r="AA1360" s="1414"/>
      <c r="AB1360" s="1414"/>
      <c r="AC1360" s="1414"/>
      <c r="AD1360" s="1414"/>
      <c r="AE1360" s="1414"/>
      <c r="AF1360" s="1414"/>
      <c r="AG1360" s="1414"/>
      <c r="AH1360" s="1414"/>
      <c r="AI1360" s="1414"/>
      <c r="AJ1360" s="1414"/>
      <c r="AK1360" s="1414"/>
      <c r="AL1360" s="1414"/>
      <c r="AM1360" s="1414"/>
      <c r="AN1360" s="1414"/>
      <c r="AO1360" s="1414"/>
      <c r="AP1360" s="1414"/>
      <c r="AQ1360" s="1414"/>
      <c r="AR1360" s="1414"/>
      <c r="AS1360" s="1414"/>
      <c r="AT1360" s="1414"/>
      <c r="AU1360" s="1414"/>
      <c r="AV1360" s="1414"/>
      <c r="AW1360" s="1414"/>
      <c r="AX1360" s="1414"/>
      <c r="AY1360" s="1399"/>
      <c r="AZ1360" s="1399"/>
      <c r="BA1360" s="1399"/>
      <c r="BB1360" s="1399"/>
      <c r="BC1360" s="1399"/>
      <c r="BD1360" s="1399"/>
      <c r="BE1360" s="1414"/>
      <c r="BF1360" s="1399"/>
      <c r="BG1360" s="1399"/>
      <c r="BH1360" s="1399"/>
      <c r="BI1360" s="1399"/>
      <c r="BJ1360" s="1399"/>
      <c r="BK1360" s="1399"/>
      <c r="BL1360" s="1399"/>
      <c r="BM1360" s="1399"/>
      <c r="BN1360" s="1399"/>
      <c r="BO1360" s="1399"/>
      <c r="BP1360" s="1399"/>
      <c r="BQ1360" s="1399"/>
      <c r="BR1360" s="1399"/>
      <c r="BS1360" s="1399"/>
      <c r="BT1360" s="1399"/>
      <c r="BU1360" s="1399"/>
      <c r="BV1360" s="1399"/>
      <c r="BW1360" s="1399"/>
      <c r="BX1360" s="1399"/>
      <c r="BY1360" s="1399"/>
      <c r="BZ1360" s="1399"/>
      <c r="CA1360" s="1399"/>
      <c r="CB1360" s="1399"/>
      <c r="CC1360" s="1399"/>
      <c r="CD1360" s="1399"/>
      <c r="CE1360" s="1399"/>
      <c r="CF1360" s="1399"/>
      <c r="CG1360" s="1399"/>
      <c r="CH1360" s="1399"/>
      <c r="CI1360" s="1399"/>
      <c r="CJ1360" s="1399"/>
      <c r="CK1360" s="1399"/>
      <c r="CL1360" s="1399"/>
      <c r="CM1360" s="1399"/>
      <c r="CN1360" s="1399"/>
      <c r="CO1360" s="1399"/>
      <c r="CP1360" s="1399"/>
      <c r="CQ1360" s="1399"/>
      <c r="CR1360" s="1399"/>
      <c r="CS1360" s="1399"/>
      <c r="CT1360" s="1399"/>
      <c r="CU1360" s="1399"/>
      <c r="CV1360" s="1399"/>
      <c r="CW1360" s="1399"/>
      <c r="CX1360" s="1399"/>
      <c r="CY1360" s="1399"/>
      <c r="CZ1360" s="1399"/>
      <c r="DA1360" s="1399"/>
      <c r="DB1360" s="1399"/>
      <c r="DC1360" s="1399"/>
      <c r="DD1360" s="1399"/>
      <c r="DE1360" s="1399"/>
      <c r="DF1360" s="1399"/>
      <c r="DG1360" s="1399"/>
      <c r="DH1360" s="1399"/>
      <c r="DI1360" s="1399"/>
      <c r="DJ1360" s="1399"/>
      <c r="DK1360" s="1399"/>
      <c r="DL1360" s="1399"/>
      <c r="DM1360" s="1399"/>
      <c r="DN1360" s="1399"/>
      <c r="DO1360" s="1399"/>
      <c r="DP1360" s="1399"/>
      <c r="DQ1360" s="1399"/>
      <c r="DR1360" s="1399"/>
      <c r="DS1360" s="1399"/>
      <c r="DT1360" s="1399"/>
      <c r="DU1360" s="1399"/>
    </row>
    <row r="1361" spans="1:125">
      <c r="A1361" s="1414"/>
      <c r="B1361" s="1414"/>
      <c r="C1361" s="1414"/>
      <c r="D1361" s="1414"/>
      <c r="E1361" s="1414"/>
      <c r="F1361" s="1414"/>
      <c r="G1361" s="1414"/>
      <c r="H1361" s="1414"/>
      <c r="I1361" s="1414"/>
      <c r="J1361" s="1414"/>
      <c r="K1361" s="1414"/>
      <c r="L1361" s="1414"/>
      <c r="M1361" s="1414"/>
      <c r="N1361" s="1414"/>
      <c r="O1361" s="1414"/>
      <c r="P1361" s="1414"/>
      <c r="Q1361" s="1414"/>
      <c r="R1361" s="1414"/>
      <c r="S1361" s="1414"/>
      <c r="T1361" s="1414"/>
      <c r="U1361" s="1414"/>
      <c r="V1361" s="1414"/>
      <c r="W1361" s="1414"/>
      <c r="X1361" s="1414"/>
      <c r="Y1361" s="1414"/>
      <c r="Z1361" s="1414"/>
      <c r="AA1361" s="1414"/>
      <c r="AB1361" s="1414"/>
      <c r="AC1361" s="1414"/>
      <c r="AD1361" s="1414"/>
      <c r="AE1361" s="1414"/>
      <c r="AF1361" s="1414"/>
      <c r="AG1361" s="1414"/>
      <c r="AH1361" s="1414"/>
      <c r="AI1361" s="1414"/>
      <c r="AJ1361" s="1414"/>
      <c r="AK1361" s="1414"/>
      <c r="AL1361" s="1414"/>
      <c r="AM1361" s="1414"/>
      <c r="AN1361" s="1414"/>
      <c r="AO1361" s="1414"/>
      <c r="AP1361" s="1414"/>
      <c r="AQ1361" s="1414"/>
      <c r="AR1361" s="1414"/>
      <c r="AS1361" s="1414"/>
      <c r="AT1361" s="1414"/>
      <c r="AU1361" s="1414"/>
      <c r="AV1361" s="1414"/>
      <c r="AW1361" s="1414"/>
      <c r="AX1361" s="1414"/>
      <c r="AY1361" s="1399"/>
      <c r="AZ1361" s="1399"/>
      <c r="BA1361" s="1399"/>
      <c r="BB1361" s="1399"/>
      <c r="BC1361" s="1399"/>
      <c r="BD1361" s="1399"/>
      <c r="BE1361" s="1414"/>
      <c r="BF1361" s="1399"/>
      <c r="BG1361" s="1399"/>
      <c r="BH1361" s="1399"/>
      <c r="BI1361" s="1399"/>
      <c r="BJ1361" s="1399"/>
      <c r="BK1361" s="1399"/>
      <c r="BL1361" s="1399"/>
      <c r="BM1361" s="1399"/>
      <c r="BN1361" s="1399"/>
      <c r="BO1361" s="1399"/>
      <c r="BP1361" s="1399"/>
      <c r="BQ1361" s="1399"/>
      <c r="BR1361" s="1399"/>
      <c r="BS1361" s="1399"/>
      <c r="BT1361" s="1399"/>
      <c r="BU1361" s="1399"/>
      <c r="BV1361" s="1399"/>
      <c r="BW1361" s="1399"/>
      <c r="BX1361" s="1399"/>
      <c r="BY1361" s="1399"/>
      <c r="BZ1361" s="1399"/>
      <c r="CA1361" s="1399"/>
      <c r="CB1361" s="1399"/>
      <c r="CC1361" s="1399"/>
      <c r="CD1361" s="1399"/>
      <c r="CE1361" s="1399"/>
      <c r="CF1361" s="1399"/>
      <c r="CG1361" s="1399"/>
      <c r="CH1361" s="1399"/>
      <c r="CI1361" s="1399"/>
      <c r="CJ1361" s="1399"/>
      <c r="CK1361" s="1399"/>
      <c r="CL1361" s="1399"/>
      <c r="CM1361" s="1399"/>
      <c r="CN1361" s="1399"/>
      <c r="CO1361" s="1399"/>
      <c r="CP1361" s="1399"/>
      <c r="CQ1361" s="1399"/>
      <c r="CR1361" s="1399"/>
      <c r="CS1361" s="1399"/>
      <c r="CT1361" s="1399"/>
      <c r="CU1361" s="1399"/>
      <c r="CV1361" s="1399"/>
      <c r="CW1361" s="1399"/>
      <c r="CX1361" s="1399"/>
      <c r="CY1361" s="1399"/>
      <c r="CZ1361" s="1399"/>
      <c r="DA1361" s="1399"/>
      <c r="DB1361" s="1399"/>
      <c r="DC1361" s="1399"/>
      <c r="DD1361" s="1399"/>
      <c r="DE1361" s="1399"/>
      <c r="DF1361" s="1399"/>
      <c r="DG1361" s="1399"/>
      <c r="DH1361" s="1399"/>
      <c r="DI1361" s="1399"/>
      <c r="DJ1361" s="1399"/>
      <c r="DK1361" s="1399"/>
      <c r="DL1361" s="1399"/>
      <c r="DM1361" s="1399"/>
      <c r="DN1361" s="1399"/>
      <c r="DO1361" s="1399"/>
      <c r="DP1361" s="1399"/>
      <c r="DQ1361" s="1399"/>
      <c r="DR1361" s="1399"/>
      <c r="DS1361" s="1399"/>
      <c r="DT1361" s="1399"/>
      <c r="DU1361" s="1399"/>
    </row>
    <row r="1362" spans="1:125">
      <c r="A1362" s="1414"/>
      <c r="B1362" s="1414"/>
      <c r="C1362" s="1414"/>
      <c r="D1362" s="1414"/>
      <c r="E1362" s="1414"/>
      <c r="F1362" s="1414"/>
      <c r="G1362" s="1414"/>
      <c r="H1362" s="1414"/>
      <c r="I1362" s="1414"/>
      <c r="J1362" s="1414"/>
      <c r="K1362" s="1414"/>
      <c r="L1362" s="1414"/>
      <c r="M1362" s="1414"/>
      <c r="N1362" s="1414"/>
      <c r="O1362" s="1414"/>
      <c r="P1362" s="1414"/>
      <c r="Q1362" s="1414"/>
      <c r="R1362" s="1414"/>
      <c r="S1362" s="1414"/>
      <c r="T1362" s="1414"/>
      <c r="U1362" s="1414"/>
      <c r="V1362" s="1414"/>
      <c r="W1362" s="1414"/>
      <c r="X1362" s="1414"/>
      <c r="Y1362" s="1414"/>
      <c r="Z1362" s="1414"/>
      <c r="AA1362" s="1414"/>
      <c r="AB1362" s="1414"/>
      <c r="AC1362" s="1414"/>
      <c r="AD1362" s="1414"/>
      <c r="AE1362" s="1414"/>
      <c r="AF1362" s="1414"/>
      <c r="AG1362" s="1414"/>
      <c r="AH1362" s="1414"/>
      <c r="AI1362" s="1414"/>
      <c r="AJ1362" s="1414"/>
      <c r="AK1362" s="1414"/>
      <c r="AL1362" s="1414"/>
      <c r="AM1362" s="1414"/>
      <c r="AN1362" s="1414"/>
      <c r="AO1362" s="1414"/>
      <c r="AP1362" s="1414"/>
      <c r="AQ1362" s="1414"/>
      <c r="AR1362" s="1414"/>
      <c r="AS1362" s="1414"/>
      <c r="AT1362" s="1414"/>
      <c r="AU1362" s="1414"/>
      <c r="AV1362" s="1414"/>
      <c r="AW1362" s="1414"/>
      <c r="AX1362" s="1414"/>
      <c r="AY1362" s="1399"/>
      <c r="AZ1362" s="1399"/>
      <c r="BA1362" s="1399"/>
      <c r="BB1362" s="1399"/>
      <c r="BC1362" s="1399"/>
      <c r="BD1362" s="1399"/>
      <c r="BE1362" s="1414"/>
      <c r="BF1362" s="1399"/>
      <c r="BG1362" s="1399"/>
      <c r="BH1362" s="1399"/>
      <c r="BI1362" s="1399"/>
      <c r="BJ1362" s="1399"/>
      <c r="BK1362" s="1399"/>
      <c r="BL1362" s="1399"/>
      <c r="BM1362" s="1399"/>
      <c r="BN1362" s="1399"/>
      <c r="BO1362" s="1399"/>
      <c r="BP1362" s="1399"/>
      <c r="BQ1362" s="1399"/>
      <c r="BR1362" s="1399"/>
      <c r="BS1362" s="1399"/>
      <c r="BT1362" s="1399"/>
      <c r="BU1362" s="1399"/>
      <c r="BV1362" s="1399"/>
      <c r="BW1362" s="1399"/>
      <c r="BX1362" s="1399"/>
      <c r="BY1362" s="1399"/>
      <c r="BZ1362" s="1399"/>
      <c r="CA1362" s="1399"/>
      <c r="CB1362" s="1399"/>
      <c r="CC1362" s="1399"/>
      <c r="CD1362" s="1399"/>
      <c r="CE1362" s="1399"/>
      <c r="CF1362" s="1399"/>
      <c r="CG1362" s="1399"/>
      <c r="CH1362" s="1399"/>
      <c r="CI1362" s="1399"/>
      <c r="CJ1362" s="1399"/>
      <c r="CK1362" s="1399"/>
      <c r="CL1362" s="1399"/>
      <c r="CM1362" s="1399"/>
      <c r="CN1362" s="1399"/>
      <c r="CO1362" s="1399"/>
      <c r="CP1362" s="1399"/>
      <c r="CQ1362" s="1399"/>
      <c r="CR1362" s="1399"/>
      <c r="CS1362" s="1399"/>
      <c r="CT1362" s="1399"/>
      <c r="CU1362" s="1399"/>
      <c r="CV1362" s="1399"/>
      <c r="CW1362" s="1399"/>
      <c r="CX1362" s="1399"/>
      <c r="CY1362" s="1399"/>
      <c r="CZ1362" s="1399"/>
      <c r="DA1362" s="1399"/>
      <c r="DB1362" s="1399"/>
      <c r="DC1362" s="1399"/>
      <c r="DD1362" s="1399"/>
      <c r="DE1362" s="1399"/>
      <c r="DF1362" s="1399"/>
      <c r="DG1362" s="1399"/>
      <c r="DH1362" s="1399"/>
      <c r="DI1362" s="1399"/>
      <c r="DJ1362" s="1399"/>
      <c r="DK1362" s="1399"/>
      <c r="DL1362" s="1399"/>
      <c r="DM1362" s="1399"/>
      <c r="DN1362" s="1399"/>
      <c r="DO1362" s="1399"/>
      <c r="DP1362" s="1399"/>
      <c r="DQ1362" s="1399"/>
      <c r="DR1362" s="1399"/>
      <c r="DS1362" s="1399"/>
      <c r="DT1362" s="1399"/>
      <c r="DU1362" s="1399"/>
    </row>
    <row r="1363" spans="1:125">
      <c r="A1363" s="1414"/>
      <c r="B1363" s="1414"/>
      <c r="C1363" s="1414"/>
      <c r="D1363" s="1414"/>
      <c r="E1363" s="1414"/>
      <c r="F1363" s="1414"/>
      <c r="G1363" s="1414"/>
      <c r="H1363" s="1414"/>
      <c r="I1363" s="1414"/>
      <c r="J1363" s="1414"/>
      <c r="K1363" s="1414"/>
      <c r="L1363" s="1414"/>
      <c r="M1363" s="1414"/>
      <c r="N1363" s="1414"/>
      <c r="O1363" s="1414"/>
      <c r="P1363" s="1414"/>
      <c r="Q1363" s="1414"/>
      <c r="R1363" s="1414"/>
      <c r="S1363" s="1414"/>
      <c r="T1363" s="1414"/>
      <c r="U1363" s="1414"/>
      <c r="V1363" s="1414"/>
      <c r="W1363" s="1414"/>
      <c r="X1363" s="1414"/>
      <c r="Y1363" s="1414"/>
      <c r="Z1363" s="1414"/>
      <c r="AA1363" s="1414"/>
      <c r="AB1363" s="1414"/>
      <c r="AC1363" s="1414"/>
      <c r="AD1363" s="1414"/>
      <c r="AE1363" s="1414"/>
      <c r="AF1363" s="1414"/>
      <c r="AG1363" s="1414"/>
      <c r="AH1363" s="1414"/>
      <c r="AI1363" s="1414"/>
      <c r="AJ1363" s="1414"/>
      <c r="AK1363" s="1414"/>
      <c r="AL1363" s="1414"/>
      <c r="AM1363" s="1414"/>
      <c r="AN1363" s="1414"/>
      <c r="AO1363" s="1414"/>
      <c r="AP1363" s="1414"/>
      <c r="AQ1363" s="1414"/>
      <c r="AR1363" s="1414"/>
      <c r="AS1363" s="1414"/>
      <c r="AT1363" s="1414"/>
      <c r="AU1363" s="1414"/>
      <c r="AV1363" s="1414"/>
      <c r="AW1363" s="1414"/>
      <c r="AX1363" s="1414"/>
      <c r="AY1363" s="1399"/>
      <c r="AZ1363" s="1399"/>
      <c r="BA1363" s="1399"/>
      <c r="BB1363" s="1399"/>
      <c r="BC1363" s="1399"/>
      <c r="BD1363" s="1399"/>
      <c r="BE1363" s="1414"/>
      <c r="BF1363" s="1399"/>
      <c r="BG1363" s="1399"/>
      <c r="BH1363" s="1399"/>
      <c r="BI1363" s="1399"/>
      <c r="BJ1363" s="1399"/>
      <c r="BK1363" s="1399"/>
      <c r="BL1363" s="1399"/>
      <c r="BM1363" s="1399"/>
      <c r="BN1363" s="1399"/>
      <c r="BO1363" s="1399"/>
      <c r="BP1363" s="1399"/>
      <c r="BQ1363" s="1399"/>
      <c r="BR1363" s="1399"/>
      <c r="BS1363" s="1399"/>
      <c r="BT1363" s="1399"/>
      <c r="BU1363" s="1399"/>
      <c r="BV1363" s="1399"/>
      <c r="BW1363" s="1399"/>
      <c r="BX1363" s="1399"/>
      <c r="BY1363" s="1399"/>
      <c r="BZ1363" s="1399"/>
      <c r="CA1363" s="1399"/>
      <c r="CB1363" s="1399"/>
      <c r="CC1363" s="1399"/>
      <c r="CD1363" s="1399"/>
      <c r="CE1363" s="1399"/>
      <c r="CF1363" s="1399"/>
      <c r="CG1363" s="1399"/>
      <c r="CH1363" s="1399"/>
      <c r="CI1363" s="1399"/>
      <c r="CJ1363" s="1399"/>
      <c r="CK1363" s="1399"/>
      <c r="CL1363" s="1399"/>
      <c r="CM1363" s="1399"/>
      <c r="CN1363" s="1399"/>
      <c r="CO1363" s="1399"/>
      <c r="CP1363" s="1399"/>
      <c r="CQ1363" s="1399"/>
      <c r="CR1363" s="1399"/>
      <c r="CS1363" s="1399"/>
      <c r="CT1363" s="1399"/>
      <c r="CU1363" s="1399"/>
      <c r="CV1363" s="1399"/>
      <c r="CW1363" s="1399"/>
      <c r="CX1363" s="1399"/>
      <c r="CY1363" s="1399"/>
      <c r="CZ1363" s="1399"/>
      <c r="DA1363" s="1399"/>
      <c r="DB1363" s="1399"/>
      <c r="DC1363" s="1399"/>
      <c r="DD1363" s="1399"/>
      <c r="DE1363" s="1399"/>
      <c r="DF1363" s="1399"/>
      <c r="DG1363" s="1399"/>
      <c r="DH1363" s="1399"/>
      <c r="DI1363" s="1399"/>
      <c r="DJ1363" s="1399"/>
      <c r="DK1363" s="1399"/>
      <c r="DL1363" s="1399"/>
      <c r="DM1363" s="1399"/>
      <c r="DN1363" s="1399"/>
      <c r="DO1363" s="1399"/>
      <c r="DP1363" s="1399"/>
      <c r="DQ1363" s="1399"/>
      <c r="DR1363" s="1399"/>
      <c r="DS1363" s="1399"/>
      <c r="DT1363" s="1399"/>
      <c r="DU1363" s="1399"/>
    </row>
    <row r="1364" spans="1:125">
      <c r="A1364" s="1414"/>
      <c r="B1364" s="1414"/>
      <c r="C1364" s="1414"/>
      <c r="D1364" s="1414"/>
      <c r="E1364" s="1414"/>
      <c r="F1364" s="1414"/>
      <c r="G1364" s="1414"/>
      <c r="H1364" s="1414"/>
      <c r="I1364" s="1414"/>
      <c r="J1364" s="1414"/>
      <c r="K1364" s="1414"/>
      <c r="L1364" s="1414"/>
      <c r="M1364" s="1414"/>
      <c r="N1364" s="1414"/>
      <c r="O1364" s="1414"/>
      <c r="P1364" s="1414"/>
      <c r="Q1364" s="1414"/>
      <c r="R1364" s="1414"/>
      <c r="S1364" s="1414"/>
      <c r="T1364" s="1414"/>
      <c r="U1364" s="1414"/>
      <c r="V1364" s="1414"/>
      <c r="W1364" s="1414"/>
      <c r="X1364" s="1414"/>
      <c r="Y1364" s="1414"/>
      <c r="Z1364" s="1414"/>
      <c r="AA1364" s="1414"/>
      <c r="AB1364" s="1414"/>
      <c r="AC1364" s="1414"/>
      <c r="AD1364" s="1414"/>
      <c r="AE1364" s="1414"/>
      <c r="AF1364" s="1414"/>
      <c r="AG1364" s="1414"/>
      <c r="AH1364" s="1414"/>
      <c r="AI1364" s="1414"/>
      <c r="AJ1364" s="1414"/>
      <c r="AK1364" s="1414"/>
      <c r="AL1364" s="1414"/>
      <c r="AM1364" s="1414"/>
      <c r="AN1364" s="1414"/>
      <c r="AO1364" s="1414"/>
      <c r="AP1364" s="1414"/>
      <c r="AQ1364" s="1414"/>
      <c r="AR1364" s="1414"/>
      <c r="AS1364" s="1414"/>
      <c r="AT1364" s="1414"/>
      <c r="AU1364" s="1414"/>
      <c r="AV1364" s="1414"/>
      <c r="AW1364" s="1414"/>
      <c r="AX1364" s="1414"/>
      <c r="AY1364" s="1399"/>
      <c r="AZ1364" s="1399"/>
      <c r="BA1364" s="1399"/>
      <c r="BB1364" s="1399"/>
      <c r="BC1364" s="1399"/>
      <c r="BD1364" s="1399"/>
      <c r="BE1364" s="1414"/>
      <c r="BF1364" s="1399"/>
      <c r="BG1364" s="1399"/>
      <c r="BH1364" s="1399"/>
      <c r="BI1364" s="1399"/>
      <c r="BJ1364" s="1399"/>
      <c r="BK1364" s="1399"/>
      <c r="BL1364" s="1399"/>
      <c r="BM1364" s="1399"/>
      <c r="BN1364" s="1399"/>
      <c r="BO1364" s="1399"/>
      <c r="BP1364" s="1399"/>
      <c r="BQ1364" s="1399"/>
      <c r="BR1364" s="1399"/>
      <c r="BS1364" s="1399"/>
      <c r="BT1364" s="1399"/>
      <c r="BU1364" s="1399"/>
      <c r="BV1364" s="1399"/>
      <c r="BW1364" s="1399"/>
      <c r="BX1364" s="1399"/>
      <c r="BY1364" s="1399"/>
      <c r="BZ1364" s="1399"/>
      <c r="CA1364" s="1399"/>
      <c r="CB1364" s="1399"/>
      <c r="CC1364" s="1399"/>
      <c r="CD1364" s="1399"/>
      <c r="CE1364" s="1399"/>
      <c r="CF1364" s="1399"/>
      <c r="CG1364" s="1399"/>
      <c r="CH1364" s="1399"/>
      <c r="CI1364" s="1399"/>
      <c r="CJ1364" s="1399"/>
      <c r="CK1364" s="1399"/>
      <c r="CL1364" s="1399"/>
      <c r="CM1364" s="1399"/>
      <c r="CN1364" s="1399"/>
      <c r="CO1364" s="1399"/>
      <c r="CP1364" s="1399"/>
      <c r="CQ1364" s="1399"/>
      <c r="CR1364" s="1399"/>
      <c r="CS1364" s="1399"/>
      <c r="CT1364" s="1399"/>
      <c r="CU1364" s="1399"/>
      <c r="CV1364" s="1399"/>
      <c r="CW1364" s="1399"/>
      <c r="CX1364" s="1399"/>
      <c r="CY1364" s="1399"/>
      <c r="CZ1364" s="1399"/>
      <c r="DA1364" s="1399"/>
      <c r="DB1364" s="1399"/>
      <c r="DC1364" s="1399"/>
      <c r="DD1364" s="1399"/>
      <c r="DE1364" s="1399"/>
      <c r="DF1364" s="1399"/>
      <c r="DG1364" s="1399"/>
      <c r="DH1364" s="1399"/>
      <c r="DI1364" s="1399"/>
      <c r="DJ1364" s="1399"/>
      <c r="DK1364" s="1399"/>
      <c r="DL1364" s="1399"/>
      <c r="DM1364" s="1399"/>
      <c r="DN1364" s="1399"/>
      <c r="DO1364" s="1399"/>
      <c r="DP1364" s="1399"/>
      <c r="DQ1364" s="1399"/>
      <c r="DR1364" s="1399"/>
      <c r="DS1364" s="1399"/>
      <c r="DT1364" s="1399"/>
      <c r="DU1364" s="1399"/>
    </row>
    <row r="1365" spans="1:125">
      <c r="A1365" s="1414"/>
      <c r="B1365" s="1414"/>
      <c r="C1365" s="1414"/>
      <c r="D1365" s="1414"/>
      <c r="E1365" s="1414"/>
      <c r="F1365" s="1414"/>
      <c r="G1365" s="1414"/>
      <c r="H1365" s="1414"/>
      <c r="I1365" s="1414"/>
      <c r="J1365" s="1414"/>
      <c r="K1365" s="1414"/>
      <c r="L1365" s="1414"/>
      <c r="M1365" s="1414"/>
      <c r="N1365" s="1414"/>
      <c r="O1365" s="1414"/>
      <c r="P1365" s="1414"/>
      <c r="Q1365" s="1414"/>
      <c r="R1365" s="1414"/>
      <c r="S1365" s="1414"/>
      <c r="T1365" s="1414"/>
      <c r="U1365" s="1414"/>
      <c r="V1365" s="1414"/>
      <c r="W1365" s="1414"/>
      <c r="X1365" s="1414"/>
      <c r="Y1365" s="1414"/>
      <c r="Z1365" s="1414"/>
      <c r="AA1365" s="1414"/>
      <c r="AB1365" s="1414"/>
      <c r="AC1365" s="1414"/>
      <c r="AD1365" s="1414"/>
      <c r="AE1365" s="1414"/>
      <c r="AF1365" s="1414"/>
      <c r="AG1365" s="1414"/>
      <c r="AH1365" s="1414"/>
      <c r="AI1365" s="1414"/>
      <c r="AJ1365" s="1414"/>
      <c r="AK1365" s="1414"/>
      <c r="AL1365" s="1414"/>
      <c r="AM1365" s="1414"/>
      <c r="AN1365" s="1414"/>
      <c r="AO1365" s="1414"/>
      <c r="AP1365" s="1414"/>
      <c r="AQ1365" s="1414"/>
      <c r="AR1365" s="1414"/>
      <c r="AS1365" s="1414"/>
      <c r="AT1365" s="1414"/>
      <c r="AU1365" s="1414"/>
      <c r="AV1365" s="1414"/>
      <c r="AW1365" s="1414"/>
      <c r="AX1365" s="1414"/>
      <c r="AY1365" s="1399"/>
      <c r="AZ1365" s="1399"/>
      <c r="BA1365" s="1399"/>
      <c r="BB1365" s="1399"/>
      <c r="BC1365" s="1399"/>
      <c r="BD1365" s="1399"/>
      <c r="BE1365" s="1414"/>
      <c r="BF1365" s="1399"/>
      <c r="BG1365" s="1399"/>
      <c r="BH1365" s="1399"/>
      <c r="BI1365" s="1399"/>
      <c r="BJ1365" s="1399"/>
      <c r="BK1365" s="1399"/>
      <c r="BL1365" s="1399"/>
      <c r="BM1365" s="1399"/>
      <c r="BN1365" s="1399"/>
      <c r="BO1365" s="1399"/>
      <c r="BP1365" s="1399"/>
      <c r="BQ1365" s="1399"/>
      <c r="BR1365" s="1399"/>
      <c r="BS1365" s="1399"/>
      <c r="BT1365" s="1399"/>
      <c r="BU1365" s="1399"/>
      <c r="BV1365" s="1399"/>
      <c r="BW1365" s="1399"/>
      <c r="BX1365" s="1399"/>
      <c r="BY1365" s="1399"/>
      <c r="BZ1365" s="1399"/>
      <c r="CA1365" s="1399"/>
      <c r="CB1365" s="1399"/>
      <c r="CC1365" s="1399"/>
      <c r="CD1365" s="1399"/>
      <c r="CE1365" s="1399"/>
      <c r="CF1365" s="1399"/>
      <c r="CG1365" s="1399"/>
      <c r="CH1365" s="1399"/>
      <c r="CI1365" s="1399"/>
      <c r="CJ1365" s="1399"/>
      <c r="CK1365" s="1399"/>
      <c r="CL1365" s="1399"/>
      <c r="CM1365" s="1399"/>
      <c r="CN1365" s="1399"/>
      <c r="CO1365" s="1399"/>
      <c r="CP1365" s="1399"/>
      <c r="CQ1365" s="1399"/>
      <c r="CR1365" s="1399"/>
      <c r="CS1365" s="1399"/>
      <c r="CT1365" s="1399"/>
      <c r="CU1365" s="1399"/>
      <c r="CV1365" s="1399"/>
      <c r="CW1365" s="1399"/>
      <c r="CX1365" s="1399"/>
      <c r="CY1365" s="1399"/>
      <c r="CZ1365" s="1399"/>
      <c r="DA1365" s="1399"/>
      <c r="DB1365" s="1399"/>
      <c r="DC1365" s="1399"/>
      <c r="DD1365" s="1399"/>
      <c r="DE1365" s="1399"/>
      <c r="DF1365" s="1399"/>
      <c r="DG1365" s="1399"/>
      <c r="DH1365" s="1399"/>
      <c r="DI1365" s="1399"/>
      <c r="DJ1365" s="1399"/>
      <c r="DK1365" s="1399"/>
      <c r="DL1365" s="1399"/>
      <c r="DM1365" s="1399"/>
      <c r="DN1365" s="1399"/>
      <c r="DO1365" s="1399"/>
      <c r="DP1365" s="1399"/>
      <c r="DQ1365" s="1399"/>
      <c r="DR1365" s="1399"/>
      <c r="DS1365" s="1399"/>
      <c r="DT1365" s="1399"/>
      <c r="DU1365" s="1399"/>
    </row>
    <row r="1366" spans="1:125">
      <c r="A1366" s="1414"/>
      <c r="B1366" s="1414"/>
      <c r="C1366" s="1414"/>
      <c r="D1366" s="1414"/>
      <c r="E1366" s="1414"/>
      <c r="F1366" s="1414"/>
      <c r="G1366" s="1414"/>
      <c r="H1366" s="1414"/>
      <c r="I1366" s="1414"/>
      <c r="J1366" s="1414"/>
      <c r="K1366" s="1414"/>
      <c r="L1366" s="1414"/>
      <c r="M1366" s="1414"/>
      <c r="N1366" s="1414"/>
      <c r="O1366" s="1414"/>
      <c r="P1366" s="1414"/>
      <c r="Q1366" s="1414"/>
      <c r="R1366" s="1414"/>
      <c r="S1366" s="1414"/>
      <c r="T1366" s="1414"/>
      <c r="U1366" s="1414"/>
      <c r="V1366" s="1414"/>
      <c r="W1366" s="1414"/>
      <c r="X1366" s="1414"/>
      <c r="Y1366" s="1414"/>
      <c r="Z1366" s="1414"/>
      <c r="AA1366" s="1414"/>
      <c r="AB1366" s="1414"/>
      <c r="AC1366" s="1414"/>
      <c r="AD1366" s="1414"/>
      <c r="AE1366" s="1414"/>
      <c r="AF1366" s="1414"/>
      <c r="AG1366" s="1414"/>
      <c r="AH1366" s="1414"/>
      <c r="AI1366" s="1414"/>
      <c r="AJ1366" s="1414"/>
      <c r="AK1366" s="1414"/>
      <c r="AL1366" s="1414"/>
      <c r="AM1366" s="1414"/>
      <c r="AN1366" s="1414"/>
      <c r="AO1366" s="1414"/>
      <c r="AP1366" s="1414"/>
      <c r="AQ1366" s="1414"/>
      <c r="AR1366" s="1414"/>
      <c r="AS1366" s="1414"/>
      <c r="AT1366" s="1414"/>
      <c r="AU1366" s="1414"/>
      <c r="AV1366" s="1414"/>
      <c r="AW1366" s="1414"/>
      <c r="AX1366" s="1414"/>
      <c r="AY1366" s="1399"/>
      <c r="AZ1366" s="1399"/>
      <c r="BA1366" s="1399"/>
      <c r="BB1366" s="1399"/>
      <c r="BC1366" s="1399"/>
      <c r="BD1366" s="1399"/>
      <c r="BE1366" s="1414"/>
      <c r="BF1366" s="1399"/>
      <c r="BG1366" s="1399"/>
      <c r="BH1366" s="1399"/>
      <c r="BI1366" s="1399"/>
      <c r="BJ1366" s="1399"/>
      <c r="BK1366" s="1399"/>
      <c r="BL1366" s="1399"/>
      <c r="BM1366" s="1399"/>
      <c r="BN1366" s="1399"/>
      <c r="BO1366" s="1399"/>
      <c r="BP1366" s="1399"/>
      <c r="BQ1366" s="1399"/>
      <c r="BR1366" s="1399"/>
      <c r="BS1366" s="1399"/>
      <c r="BT1366" s="1399"/>
      <c r="BU1366" s="1399"/>
      <c r="BV1366" s="1399"/>
      <c r="BW1366" s="1399"/>
      <c r="BX1366" s="1399"/>
      <c r="BY1366" s="1399"/>
      <c r="BZ1366" s="1399"/>
      <c r="CA1366" s="1399"/>
      <c r="CB1366" s="1399"/>
      <c r="CC1366" s="1399"/>
      <c r="CD1366" s="1399"/>
      <c r="CE1366" s="1399"/>
      <c r="CF1366" s="1399"/>
      <c r="CG1366" s="1399"/>
      <c r="CH1366" s="1399"/>
      <c r="CI1366" s="1399"/>
      <c r="CJ1366" s="1399"/>
      <c r="CK1366" s="1399"/>
      <c r="CL1366" s="1399"/>
      <c r="CM1366" s="1399"/>
      <c r="CN1366" s="1399"/>
      <c r="CO1366" s="1399"/>
      <c r="CP1366" s="1399"/>
      <c r="CQ1366" s="1399"/>
      <c r="CR1366" s="1399"/>
      <c r="CS1366" s="1399"/>
      <c r="CT1366" s="1399"/>
      <c r="CU1366" s="1399"/>
      <c r="CV1366" s="1399"/>
      <c r="CW1366" s="1399"/>
      <c r="CX1366" s="1399"/>
      <c r="CY1366" s="1399"/>
      <c r="CZ1366" s="1399"/>
      <c r="DA1366" s="1399"/>
      <c r="DB1366" s="1399"/>
      <c r="DC1366" s="1399"/>
      <c r="DD1366" s="1399"/>
      <c r="DE1366" s="1399"/>
      <c r="DF1366" s="1399"/>
      <c r="DG1366" s="1399"/>
      <c r="DH1366" s="1399"/>
      <c r="DI1366" s="1399"/>
      <c r="DJ1366" s="1399"/>
      <c r="DK1366" s="1399"/>
      <c r="DL1366" s="1399"/>
      <c r="DM1366" s="1399"/>
      <c r="DN1366" s="1399"/>
      <c r="DO1366" s="1399"/>
      <c r="DP1366" s="1399"/>
      <c r="DQ1366" s="1399"/>
      <c r="DR1366" s="1399"/>
      <c r="DS1366" s="1399"/>
      <c r="DT1366" s="1399"/>
      <c r="DU1366" s="1399"/>
    </row>
    <row r="1367" spans="1:125">
      <c r="A1367" s="1414"/>
      <c r="B1367" s="1414"/>
      <c r="C1367" s="1414"/>
      <c r="D1367" s="1414"/>
      <c r="E1367" s="1414"/>
      <c r="F1367" s="1414"/>
      <c r="G1367" s="1414"/>
      <c r="H1367" s="1414"/>
      <c r="I1367" s="1414"/>
      <c r="J1367" s="1414"/>
      <c r="K1367" s="1414"/>
      <c r="L1367" s="1414"/>
      <c r="M1367" s="1414"/>
      <c r="N1367" s="1414"/>
      <c r="O1367" s="1414"/>
      <c r="P1367" s="1414"/>
      <c r="Q1367" s="1414"/>
      <c r="R1367" s="1414"/>
      <c r="S1367" s="1414"/>
      <c r="T1367" s="1414"/>
      <c r="U1367" s="1414"/>
      <c r="V1367" s="1414"/>
      <c r="W1367" s="1414"/>
      <c r="X1367" s="1414"/>
      <c r="Y1367" s="1414"/>
      <c r="Z1367" s="1414"/>
      <c r="AA1367" s="1414"/>
      <c r="AB1367" s="1414"/>
      <c r="AC1367" s="1414"/>
      <c r="AD1367" s="1414"/>
      <c r="AE1367" s="1414"/>
      <c r="AF1367" s="1414"/>
      <c r="AG1367" s="1414"/>
      <c r="AH1367" s="1414"/>
      <c r="AI1367" s="1414"/>
      <c r="AJ1367" s="1414"/>
      <c r="AK1367" s="1414"/>
      <c r="AL1367" s="1414"/>
      <c r="AM1367" s="1414"/>
      <c r="AN1367" s="1414"/>
      <c r="AO1367" s="1414"/>
      <c r="AP1367" s="1414"/>
      <c r="AQ1367" s="1414"/>
      <c r="AR1367" s="1414"/>
      <c r="AS1367" s="1414"/>
      <c r="AT1367" s="1414"/>
      <c r="AU1367" s="1414"/>
      <c r="AV1367" s="1414"/>
      <c r="AW1367" s="1414"/>
      <c r="AX1367" s="1414"/>
      <c r="AY1367" s="1399"/>
      <c r="AZ1367" s="1399"/>
      <c r="BA1367" s="1399"/>
      <c r="BB1367" s="1399"/>
      <c r="BC1367" s="1399"/>
      <c r="BD1367" s="1399"/>
      <c r="BE1367" s="1414"/>
      <c r="BF1367" s="1399"/>
      <c r="BG1367" s="1399"/>
      <c r="BH1367" s="1399"/>
      <c r="BI1367" s="1399"/>
      <c r="BJ1367" s="1399"/>
      <c r="BK1367" s="1399"/>
      <c r="BL1367" s="1399"/>
      <c r="BM1367" s="1399"/>
      <c r="BN1367" s="1399"/>
      <c r="BO1367" s="1399"/>
      <c r="BP1367" s="1399"/>
      <c r="BQ1367" s="1399"/>
      <c r="BR1367" s="1399"/>
      <c r="BS1367" s="1399"/>
      <c r="BT1367" s="1399"/>
      <c r="BU1367" s="1399"/>
      <c r="BV1367" s="1399"/>
      <c r="BW1367" s="1399"/>
      <c r="BX1367" s="1399"/>
      <c r="BY1367" s="1399"/>
      <c r="BZ1367" s="1399"/>
      <c r="CA1367" s="1399"/>
      <c r="CB1367" s="1399"/>
      <c r="CC1367" s="1399"/>
      <c r="CD1367" s="1399"/>
      <c r="CE1367" s="1399"/>
      <c r="CF1367" s="1399"/>
      <c r="CG1367" s="1399"/>
      <c r="CH1367" s="1399"/>
      <c r="CI1367" s="1399"/>
      <c r="CJ1367" s="1399"/>
      <c r="CK1367" s="1399"/>
      <c r="CL1367" s="1399"/>
      <c r="CM1367" s="1399"/>
      <c r="CN1367" s="1399"/>
      <c r="CO1367" s="1399"/>
      <c r="CP1367" s="1399"/>
      <c r="CQ1367" s="1399"/>
      <c r="CR1367" s="1399"/>
      <c r="CS1367" s="1399"/>
      <c r="CT1367" s="1399"/>
      <c r="CU1367" s="1399"/>
      <c r="CV1367" s="1399"/>
      <c r="CW1367" s="1399"/>
      <c r="CX1367" s="1399"/>
      <c r="CY1367" s="1399"/>
      <c r="CZ1367" s="1399"/>
      <c r="DA1367" s="1399"/>
      <c r="DB1367" s="1399"/>
      <c r="DC1367" s="1399"/>
      <c r="DD1367" s="1399"/>
      <c r="DE1367" s="1399"/>
      <c r="DF1367" s="1399"/>
      <c r="DG1367" s="1399"/>
      <c r="DH1367" s="1399"/>
      <c r="DI1367" s="1399"/>
      <c r="DJ1367" s="1399"/>
      <c r="DK1367" s="1399"/>
      <c r="DL1367" s="1399"/>
      <c r="DM1367" s="1399"/>
      <c r="DN1367" s="1399"/>
      <c r="DO1367" s="1399"/>
      <c r="DP1367" s="1399"/>
      <c r="DQ1367" s="1399"/>
      <c r="DR1367" s="1399"/>
      <c r="DS1367" s="1399"/>
      <c r="DT1367" s="1399"/>
      <c r="DU1367" s="1399"/>
    </row>
    <row r="1368" spans="1:125">
      <c r="A1368" s="1414"/>
      <c r="B1368" s="1414"/>
      <c r="C1368" s="1414"/>
      <c r="D1368" s="1414"/>
      <c r="E1368" s="1414"/>
      <c r="F1368" s="1414"/>
      <c r="G1368" s="1414"/>
      <c r="H1368" s="1414"/>
      <c r="I1368" s="1414"/>
      <c r="J1368" s="1414"/>
      <c r="K1368" s="1414"/>
      <c r="L1368" s="1414"/>
      <c r="M1368" s="1414"/>
      <c r="N1368" s="1414"/>
      <c r="O1368" s="1414"/>
      <c r="P1368" s="1414"/>
      <c r="Q1368" s="1414"/>
      <c r="R1368" s="1414"/>
      <c r="S1368" s="1414"/>
      <c r="T1368" s="1414"/>
      <c r="U1368" s="1414"/>
      <c r="V1368" s="1414"/>
      <c r="W1368" s="1414"/>
      <c r="X1368" s="1414"/>
      <c r="Y1368" s="1414"/>
      <c r="Z1368" s="1414"/>
      <c r="AA1368" s="1414"/>
      <c r="AB1368" s="1414"/>
      <c r="AC1368" s="1414"/>
      <c r="AD1368" s="1414"/>
      <c r="AE1368" s="1414"/>
      <c r="AF1368" s="1414"/>
      <c r="AG1368" s="1414"/>
      <c r="AH1368" s="1414"/>
      <c r="AI1368" s="1414"/>
      <c r="AJ1368" s="1414"/>
      <c r="AK1368" s="1414"/>
      <c r="AL1368" s="1414"/>
      <c r="AM1368" s="1414"/>
      <c r="AN1368" s="1414"/>
      <c r="AO1368" s="1414"/>
      <c r="AP1368" s="1414"/>
      <c r="AQ1368" s="1414"/>
      <c r="AR1368" s="1414"/>
      <c r="AS1368" s="1414"/>
      <c r="AT1368" s="1414"/>
      <c r="AU1368" s="1414"/>
      <c r="AV1368" s="1414"/>
      <c r="AW1368" s="1414"/>
      <c r="AX1368" s="1414"/>
      <c r="AY1368" s="1399"/>
      <c r="AZ1368" s="1399"/>
      <c r="BA1368" s="1399"/>
      <c r="BB1368" s="1399"/>
      <c r="BC1368" s="1399"/>
      <c r="BD1368" s="1399"/>
      <c r="BE1368" s="1414"/>
      <c r="BF1368" s="1399"/>
      <c r="BG1368" s="1399"/>
      <c r="BH1368" s="1399"/>
      <c r="BI1368" s="1399"/>
      <c r="BJ1368" s="1399"/>
      <c r="BK1368" s="1399"/>
      <c r="BL1368" s="1399"/>
      <c r="BM1368" s="1399"/>
      <c r="BN1368" s="1399"/>
      <c r="BO1368" s="1399"/>
      <c r="BP1368" s="1399"/>
      <c r="BQ1368" s="1399"/>
      <c r="BR1368" s="1399"/>
      <c r="BS1368" s="1399"/>
      <c r="BT1368" s="1399"/>
      <c r="BU1368" s="1399"/>
      <c r="BV1368" s="1399"/>
      <c r="BW1368" s="1399"/>
      <c r="BX1368" s="1399"/>
      <c r="BY1368" s="1399"/>
      <c r="BZ1368" s="1399"/>
      <c r="CA1368" s="1399"/>
      <c r="CB1368" s="1399"/>
      <c r="CC1368" s="1399"/>
      <c r="CD1368" s="1399"/>
      <c r="CE1368" s="1399"/>
      <c r="CF1368" s="1399"/>
      <c r="CG1368" s="1399"/>
      <c r="CH1368" s="1399"/>
      <c r="CI1368" s="1399"/>
      <c r="CJ1368" s="1399"/>
      <c r="CK1368" s="1399"/>
      <c r="CL1368" s="1399"/>
      <c r="CM1368" s="1399"/>
      <c r="CN1368" s="1399"/>
      <c r="CO1368" s="1399"/>
      <c r="CP1368" s="1399"/>
      <c r="CQ1368" s="1399"/>
      <c r="CR1368" s="1399"/>
      <c r="CS1368" s="1399"/>
      <c r="CT1368" s="1399"/>
      <c r="CU1368" s="1399"/>
      <c r="CV1368" s="1399"/>
      <c r="CW1368" s="1399"/>
      <c r="CX1368" s="1399"/>
      <c r="CY1368" s="1399"/>
      <c r="CZ1368" s="1399"/>
      <c r="DA1368" s="1399"/>
      <c r="DB1368" s="1399"/>
      <c r="DC1368" s="1399"/>
      <c r="DD1368" s="1399"/>
      <c r="DE1368" s="1399"/>
      <c r="DF1368" s="1399"/>
      <c r="DG1368" s="1399"/>
      <c r="DH1368" s="1399"/>
      <c r="DI1368" s="1399"/>
      <c r="DJ1368" s="1399"/>
      <c r="DK1368" s="1399"/>
      <c r="DL1368" s="1399"/>
      <c r="DM1368" s="1399"/>
      <c r="DN1368" s="1399"/>
      <c r="DO1368" s="1399"/>
      <c r="DP1368" s="1399"/>
      <c r="DQ1368" s="1399"/>
      <c r="DR1368" s="1399"/>
      <c r="DS1368" s="1399"/>
      <c r="DT1368" s="1399"/>
      <c r="DU1368" s="1399"/>
    </row>
    <row r="1369" spans="1:125">
      <c r="A1369" s="1414"/>
      <c r="B1369" s="1414"/>
      <c r="C1369" s="1414"/>
      <c r="D1369" s="1414"/>
      <c r="E1369" s="1414"/>
      <c r="F1369" s="1414"/>
      <c r="G1369" s="1414"/>
      <c r="H1369" s="1414"/>
      <c r="I1369" s="1414"/>
      <c r="J1369" s="1414"/>
      <c r="K1369" s="1414"/>
      <c r="L1369" s="1414"/>
      <c r="M1369" s="1414"/>
      <c r="N1369" s="1414"/>
      <c r="O1369" s="1414"/>
      <c r="P1369" s="1414"/>
      <c r="Q1369" s="1414"/>
      <c r="R1369" s="1414"/>
      <c r="S1369" s="1414"/>
      <c r="T1369" s="1414"/>
      <c r="U1369" s="1414"/>
      <c r="V1369" s="1414"/>
      <c r="W1369" s="1414"/>
      <c r="X1369" s="1414"/>
      <c r="Y1369" s="1414"/>
      <c r="Z1369" s="1414"/>
      <c r="AA1369" s="1414"/>
      <c r="AB1369" s="1414"/>
      <c r="AC1369" s="1414"/>
      <c r="AD1369" s="1414"/>
      <c r="AE1369" s="1414"/>
      <c r="AF1369" s="1414"/>
      <c r="AG1369" s="1414"/>
      <c r="AH1369" s="1414"/>
      <c r="AI1369" s="1414"/>
      <c r="AJ1369" s="1414"/>
      <c r="AK1369" s="1414"/>
      <c r="AL1369" s="1414"/>
      <c r="AM1369" s="1414"/>
      <c r="AN1369" s="1414"/>
      <c r="AO1369" s="1414"/>
      <c r="AP1369" s="1414"/>
      <c r="AQ1369" s="1414"/>
      <c r="AR1369" s="1414"/>
      <c r="AS1369" s="1414"/>
      <c r="AT1369" s="1414"/>
      <c r="AU1369" s="1414"/>
      <c r="AV1369" s="1414"/>
      <c r="AW1369" s="1414"/>
      <c r="AX1369" s="1414"/>
      <c r="AY1369" s="1399"/>
      <c r="AZ1369" s="1399"/>
      <c r="BA1369" s="1399"/>
      <c r="BB1369" s="1399"/>
      <c r="BC1369" s="1399"/>
      <c r="BD1369" s="1399"/>
      <c r="BE1369" s="1414"/>
      <c r="BF1369" s="1399"/>
      <c r="BG1369" s="1399"/>
      <c r="BH1369" s="1399"/>
      <c r="BI1369" s="1399"/>
      <c r="BJ1369" s="1399"/>
      <c r="BK1369" s="1399"/>
      <c r="BL1369" s="1399"/>
      <c r="BM1369" s="1399"/>
      <c r="BN1369" s="1399"/>
      <c r="BO1369" s="1399"/>
      <c r="BP1369" s="1399"/>
      <c r="BQ1369" s="1399"/>
      <c r="BR1369" s="1399"/>
      <c r="BS1369" s="1399"/>
      <c r="BT1369" s="1399"/>
      <c r="BU1369" s="1399"/>
      <c r="BV1369" s="1399"/>
      <c r="BW1369" s="1399"/>
      <c r="BX1369" s="1399"/>
      <c r="BY1369" s="1399"/>
      <c r="BZ1369" s="1399"/>
      <c r="CA1369" s="1399"/>
      <c r="CB1369" s="1399"/>
      <c r="CC1369" s="1399"/>
      <c r="CD1369" s="1399"/>
      <c r="CE1369" s="1399"/>
      <c r="CF1369" s="1399"/>
      <c r="CG1369" s="1399"/>
      <c r="CH1369" s="1399"/>
      <c r="CI1369" s="1399"/>
      <c r="CJ1369" s="1399"/>
      <c r="CK1369" s="1399"/>
      <c r="CL1369" s="1399"/>
      <c r="CM1369" s="1399"/>
      <c r="CN1369" s="1399"/>
      <c r="CO1369" s="1399"/>
      <c r="CP1369" s="1399"/>
      <c r="CQ1369" s="1399"/>
      <c r="CR1369" s="1399"/>
      <c r="CS1369" s="1399"/>
      <c r="CT1369" s="1399"/>
      <c r="CU1369" s="1399"/>
      <c r="CV1369" s="1399"/>
      <c r="CW1369" s="1399"/>
      <c r="CX1369" s="1399"/>
      <c r="CY1369" s="1399"/>
      <c r="CZ1369" s="1399"/>
      <c r="DA1369" s="1399"/>
      <c r="DB1369" s="1399"/>
      <c r="DC1369" s="1399"/>
      <c r="DD1369" s="1399"/>
      <c r="DE1369" s="1399"/>
      <c r="DF1369" s="1399"/>
      <c r="DG1369" s="1399"/>
      <c r="DH1369" s="1399"/>
      <c r="DI1369" s="1399"/>
      <c r="DJ1369" s="1399"/>
      <c r="DK1369" s="1399"/>
      <c r="DL1369" s="1399"/>
      <c r="DM1369" s="1399"/>
      <c r="DN1369" s="1399"/>
      <c r="DO1369" s="1399"/>
      <c r="DP1369" s="1399"/>
      <c r="DQ1369" s="1399"/>
      <c r="DR1369" s="1399"/>
      <c r="DS1369" s="1399"/>
      <c r="DT1369" s="1399"/>
      <c r="DU1369" s="1399"/>
    </row>
    <row r="1370" spans="1:125">
      <c r="A1370" s="1414"/>
      <c r="B1370" s="1414"/>
      <c r="C1370" s="1414"/>
      <c r="D1370" s="1414"/>
      <c r="E1370" s="1414"/>
      <c r="F1370" s="1414"/>
      <c r="G1370" s="1414"/>
      <c r="H1370" s="1414"/>
      <c r="I1370" s="1414"/>
      <c r="J1370" s="1414"/>
      <c r="K1370" s="1414"/>
      <c r="L1370" s="1414"/>
      <c r="M1370" s="1414"/>
      <c r="N1370" s="1414"/>
      <c r="O1370" s="1414"/>
      <c r="P1370" s="1414"/>
      <c r="Q1370" s="1414"/>
      <c r="R1370" s="1414"/>
      <c r="S1370" s="1414"/>
      <c r="T1370" s="1414"/>
      <c r="U1370" s="1414"/>
      <c r="V1370" s="1414"/>
      <c r="W1370" s="1414"/>
      <c r="X1370" s="1414"/>
      <c r="Y1370" s="1414"/>
      <c r="Z1370" s="1414"/>
      <c r="AA1370" s="1414"/>
      <c r="AB1370" s="1414"/>
      <c r="AC1370" s="1414"/>
      <c r="AD1370" s="1414"/>
      <c r="AE1370" s="1414"/>
      <c r="AF1370" s="1414"/>
      <c r="AG1370" s="1414"/>
      <c r="AH1370" s="1414"/>
      <c r="AI1370" s="1414"/>
      <c r="AJ1370" s="1414"/>
      <c r="AK1370" s="1414"/>
      <c r="AL1370" s="1414"/>
      <c r="AM1370" s="1414"/>
      <c r="AN1370" s="1414"/>
      <c r="AO1370" s="1414"/>
      <c r="AP1370" s="1414"/>
      <c r="AQ1370" s="1414"/>
      <c r="AR1370" s="1414"/>
      <c r="AS1370" s="1414"/>
      <c r="AT1370" s="1414"/>
      <c r="AU1370" s="1414"/>
      <c r="AV1370" s="1414"/>
      <c r="AW1370" s="1414"/>
      <c r="AX1370" s="1414"/>
      <c r="AY1370" s="1399"/>
      <c r="AZ1370" s="1399"/>
      <c r="BA1370" s="1399"/>
      <c r="BB1370" s="1399"/>
      <c r="BC1370" s="1399"/>
      <c r="BD1370" s="1399"/>
      <c r="BE1370" s="1414"/>
      <c r="BF1370" s="1399"/>
      <c r="BG1370" s="1399"/>
      <c r="BH1370" s="1399"/>
      <c r="BI1370" s="1399"/>
      <c r="BJ1370" s="1399"/>
      <c r="BK1370" s="1399"/>
      <c r="BL1370" s="1399"/>
      <c r="BM1370" s="1399"/>
      <c r="BN1370" s="1399"/>
      <c r="BO1370" s="1399"/>
      <c r="BP1370" s="1399"/>
      <c r="BQ1370" s="1399"/>
      <c r="BR1370" s="1399"/>
      <c r="BS1370" s="1399"/>
      <c r="BT1370" s="1399"/>
      <c r="BU1370" s="1399"/>
      <c r="BV1370" s="1399"/>
      <c r="BW1370" s="1399"/>
      <c r="BX1370" s="1399"/>
      <c r="BY1370" s="1399"/>
      <c r="BZ1370" s="1399"/>
      <c r="CA1370" s="1399"/>
      <c r="CB1370" s="1399"/>
      <c r="CC1370" s="1399"/>
      <c r="CD1370" s="1399"/>
      <c r="CE1370" s="1399"/>
      <c r="CF1370" s="1399"/>
      <c r="CG1370" s="1399"/>
      <c r="CH1370" s="1399"/>
      <c r="CI1370" s="1399"/>
      <c r="CJ1370" s="1399"/>
      <c r="CK1370" s="1399"/>
      <c r="CL1370" s="1399"/>
      <c r="CM1370" s="1399"/>
      <c r="CN1370" s="1399"/>
      <c r="CO1370" s="1399"/>
      <c r="CP1370" s="1399"/>
      <c r="CQ1370" s="1399"/>
      <c r="CR1370" s="1399"/>
      <c r="CS1370" s="1399"/>
      <c r="CT1370" s="1399"/>
      <c r="CU1370" s="1399"/>
      <c r="CV1370" s="1399"/>
      <c r="CW1370" s="1399"/>
      <c r="CX1370" s="1399"/>
      <c r="CY1370" s="1399"/>
      <c r="CZ1370" s="1399"/>
      <c r="DA1370" s="1399"/>
      <c r="DB1370" s="1399"/>
      <c r="DC1370" s="1399"/>
      <c r="DD1370" s="1399"/>
      <c r="DE1370" s="1399"/>
      <c r="DF1370" s="1399"/>
      <c r="DG1370" s="1399"/>
      <c r="DH1370" s="1399"/>
      <c r="DI1370" s="1399"/>
      <c r="DJ1370" s="1399"/>
      <c r="DK1370" s="1399"/>
      <c r="DL1370" s="1399"/>
      <c r="DM1370" s="1399"/>
      <c r="DN1370" s="1399"/>
      <c r="DO1370" s="1399"/>
      <c r="DP1370" s="1399"/>
      <c r="DQ1370" s="1399"/>
      <c r="DR1370" s="1399"/>
      <c r="DS1370" s="1399"/>
      <c r="DT1370" s="1399"/>
      <c r="DU1370" s="1399"/>
    </row>
    <row r="1371" spans="1:125">
      <c r="A1371" s="1414"/>
      <c r="B1371" s="1414"/>
      <c r="C1371" s="1414"/>
      <c r="D1371" s="1414"/>
      <c r="E1371" s="1414"/>
      <c r="F1371" s="1414"/>
      <c r="G1371" s="1414"/>
      <c r="H1371" s="1414"/>
      <c r="I1371" s="1414"/>
      <c r="J1371" s="1414"/>
      <c r="K1371" s="1414"/>
      <c r="L1371" s="1414"/>
      <c r="M1371" s="1414"/>
      <c r="N1371" s="1414"/>
      <c r="O1371" s="1414"/>
      <c r="P1371" s="1414"/>
      <c r="Q1371" s="1414"/>
      <c r="R1371" s="1414"/>
      <c r="S1371" s="1414"/>
      <c r="T1371" s="1414"/>
      <c r="U1371" s="1414"/>
      <c r="V1371" s="1414"/>
      <c r="W1371" s="1414"/>
      <c r="X1371" s="1414"/>
      <c r="Y1371" s="1414"/>
      <c r="Z1371" s="1414"/>
      <c r="AA1371" s="1414"/>
      <c r="AB1371" s="1414"/>
      <c r="AC1371" s="1414"/>
      <c r="AD1371" s="1414"/>
      <c r="AE1371" s="1414"/>
      <c r="AF1371" s="1414"/>
      <c r="AG1371" s="1414"/>
      <c r="AH1371" s="1414"/>
      <c r="AI1371" s="1414"/>
      <c r="AJ1371" s="1414"/>
      <c r="AK1371" s="1414"/>
      <c r="AL1371" s="1414"/>
      <c r="AM1371" s="1414"/>
      <c r="AN1371" s="1414"/>
      <c r="AO1371" s="1414"/>
      <c r="AP1371" s="1414"/>
      <c r="AQ1371" s="1414"/>
      <c r="AR1371" s="1414"/>
      <c r="AS1371" s="1414"/>
      <c r="AT1371" s="1414"/>
      <c r="AU1371" s="1414"/>
      <c r="AV1371" s="1414"/>
      <c r="AW1371" s="1414"/>
      <c r="AX1371" s="1414"/>
      <c r="AY1371" s="1399"/>
      <c r="AZ1371" s="1399"/>
      <c r="BA1371" s="1399"/>
      <c r="BB1371" s="1399"/>
      <c r="BC1371" s="1399"/>
      <c r="BD1371" s="1399"/>
      <c r="BE1371" s="1414"/>
      <c r="BF1371" s="1399"/>
      <c r="BG1371" s="1399"/>
      <c r="BH1371" s="1399"/>
      <c r="BI1371" s="1399"/>
      <c r="BJ1371" s="1399"/>
      <c r="BK1371" s="1399"/>
      <c r="BL1371" s="1399"/>
      <c r="BM1371" s="1399"/>
      <c r="BN1371" s="1399"/>
      <c r="BO1371" s="1399"/>
      <c r="BP1371" s="1399"/>
      <c r="BQ1371" s="1399"/>
      <c r="BR1371" s="1399"/>
      <c r="BS1371" s="1399"/>
      <c r="BT1371" s="1399"/>
      <c r="BU1371" s="1399"/>
      <c r="BV1371" s="1399"/>
      <c r="BW1371" s="1399"/>
      <c r="BX1371" s="1399"/>
      <c r="BY1371" s="1399"/>
      <c r="BZ1371" s="1399"/>
      <c r="CA1371" s="1399"/>
      <c r="CB1371" s="1399"/>
      <c r="CC1371" s="1399"/>
      <c r="CD1371" s="1399"/>
      <c r="CE1371" s="1399"/>
      <c r="CF1371" s="1399"/>
      <c r="CG1371" s="1399"/>
      <c r="CH1371" s="1399"/>
      <c r="CI1371" s="1399"/>
      <c r="CJ1371" s="1399"/>
      <c r="CK1371" s="1399"/>
      <c r="CL1371" s="1399"/>
      <c r="CM1371" s="1399"/>
      <c r="CN1371" s="1399"/>
      <c r="CO1371" s="1399"/>
      <c r="CP1371" s="1399"/>
      <c r="CQ1371" s="1399"/>
      <c r="CR1371" s="1399"/>
      <c r="CS1371" s="1399"/>
      <c r="CT1371" s="1399"/>
      <c r="CU1371" s="1399"/>
      <c r="CV1371" s="1399"/>
      <c r="CW1371" s="1399"/>
      <c r="CX1371" s="1399"/>
      <c r="CY1371" s="1399"/>
      <c r="CZ1371" s="1399"/>
      <c r="DA1371" s="1399"/>
      <c r="DB1371" s="1399"/>
      <c r="DC1371" s="1399"/>
      <c r="DD1371" s="1399"/>
      <c r="DE1371" s="1399"/>
      <c r="DF1371" s="1399"/>
      <c r="DG1371" s="1399"/>
      <c r="DH1371" s="1399"/>
      <c r="DI1371" s="1399"/>
      <c r="DJ1371" s="1399"/>
      <c r="DK1371" s="1399"/>
      <c r="DL1371" s="1399"/>
      <c r="DM1371" s="1399"/>
      <c r="DN1371" s="1399"/>
      <c r="DO1371" s="1399"/>
      <c r="DP1371" s="1399"/>
      <c r="DQ1371" s="1399"/>
      <c r="DR1371" s="1399"/>
      <c r="DS1371" s="1399"/>
      <c r="DT1371" s="1399"/>
      <c r="DU1371" s="1399"/>
    </row>
    <row r="1372" spans="1:125">
      <c r="A1372" s="1414"/>
      <c r="B1372" s="1414"/>
      <c r="C1372" s="1414"/>
      <c r="D1372" s="1414"/>
      <c r="E1372" s="1414"/>
      <c r="F1372" s="1414"/>
      <c r="G1372" s="1414"/>
      <c r="H1372" s="1414"/>
      <c r="I1372" s="1414"/>
      <c r="J1372" s="1414"/>
      <c r="K1372" s="1414"/>
      <c r="L1372" s="1414"/>
      <c r="M1372" s="1414"/>
      <c r="N1372" s="1414"/>
      <c r="O1372" s="1414"/>
      <c r="P1372" s="1414"/>
      <c r="Q1372" s="1414"/>
      <c r="R1372" s="1414"/>
      <c r="S1372" s="1414"/>
      <c r="T1372" s="1414"/>
      <c r="U1372" s="1414"/>
      <c r="V1372" s="1414"/>
      <c r="W1372" s="1414"/>
      <c r="X1372" s="1414"/>
      <c r="Y1372" s="1414"/>
      <c r="Z1372" s="1414"/>
      <c r="AA1372" s="1414"/>
      <c r="AB1372" s="1414"/>
      <c r="AC1372" s="1414"/>
      <c r="AD1372" s="1414"/>
      <c r="AE1372" s="1414"/>
      <c r="AF1372" s="1414"/>
      <c r="AG1372" s="1414"/>
      <c r="AH1372" s="1414"/>
      <c r="AI1372" s="1414"/>
      <c r="AJ1372" s="1414"/>
      <c r="AK1372" s="1414"/>
      <c r="AL1372" s="1414"/>
      <c r="AM1372" s="1414"/>
      <c r="AN1372" s="1414"/>
      <c r="AO1372" s="1414"/>
      <c r="AP1372" s="1414"/>
      <c r="AQ1372" s="1414"/>
      <c r="AR1372" s="1414"/>
      <c r="AS1372" s="1414"/>
      <c r="AT1372" s="1414"/>
      <c r="AU1372" s="1414"/>
      <c r="AV1372" s="1414"/>
      <c r="AW1372" s="1414"/>
      <c r="AX1372" s="1414"/>
      <c r="AY1372" s="1399"/>
      <c r="AZ1372" s="1399"/>
      <c r="BA1372" s="1399"/>
      <c r="BB1372" s="1399"/>
      <c r="BC1372" s="1399"/>
      <c r="BD1372" s="1399"/>
      <c r="BE1372" s="1414"/>
      <c r="BF1372" s="1399"/>
      <c r="BG1372" s="1399"/>
      <c r="BH1372" s="1399"/>
      <c r="BI1372" s="1399"/>
      <c r="BJ1372" s="1399"/>
      <c r="BK1372" s="1399"/>
      <c r="BL1372" s="1399"/>
      <c r="BM1372" s="1399"/>
      <c r="BN1372" s="1399"/>
      <c r="BO1372" s="1399"/>
      <c r="BP1372" s="1399"/>
      <c r="BQ1372" s="1399"/>
      <c r="BR1372" s="1399"/>
      <c r="BS1372" s="1399"/>
      <c r="BT1372" s="1399"/>
      <c r="BU1372" s="1399"/>
      <c r="BV1372" s="1399"/>
      <c r="BW1372" s="1399"/>
      <c r="BX1372" s="1399"/>
      <c r="BY1372" s="1399"/>
      <c r="BZ1372" s="1399"/>
      <c r="CA1372" s="1399"/>
      <c r="CB1372" s="1399"/>
      <c r="CC1372" s="1399"/>
      <c r="CD1372" s="1399"/>
      <c r="CE1372" s="1399"/>
      <c r="CF1372" s="1399"/>
      <c r="CG1372" s="1399"/>
      <c r="CH1372" s="1399"/>
      <c r="CI1372" s="1399"/>
      <c r="CJ1372" s="1399"/>
      <c r="CK1372" s="1399"/>
      <c r="CL1372" s="1399"/>
      <c r="CM1372" s="1399"/>
      <c r="CN1372" s="1399"/>
      <c r="CO1372" s="1399"/>
      <c r="CP1372" s="1399"/>
      <c r="CQ1372" s="1399"/>
      <c r="CR1372" s="1399"/>
      <c r="CS1372" s="1399"/>
      <c r="CT1372" s="1399"/>
      <c r="CU1372" s="1399"/>
      <c r="CV1372" s="1399"/>
      <c r="CW1372" s="1399"/>
      <c r="CX1372" s="1399"/>
      <c r="CY1372" s="1399"/>
      <c r="CZ1372" s="1399"/>
      <c r="DA1372" s="1399"/>
      <c r="DB1372" s="1399"/>
      <c r="DC1372" s="1399"/>
      <c r="DD1372" s="1399"/>
      <c r="DE1372" s="1399"/>
      <c r="DF1372" s="1399"/>
      <c r="DG1372" s="1399"/>
      <c r="DH1372" s="1399"/>
      <c r="DI1372" s="1399"/>
      <c r="DJ1372" s="1399"/>
      <c r="DK1372" s="1399"/>
      <c r="DL1372" s="1399"/>
      <c r="DM1372" s="1399"/>
      <c r="DN1372" s="1399"/>
      <c r="DO1372" s="1399"/>
      <c r="DP1372" s="1399"/>
      <c r="DQ1372" s="1399"/>
      <c r="DR1372" s="1399"/>
      <c r="DS1372" s="1399"/>
      <c r="DT1372" s="1399"/>
      <c r="DU1372" s="1399"/>
    </row>
    <row r="1373" spans="1:125">
      <c r="A1373" s="1414"/>
      <c r="B1373" s="1414"/>
      <c r="C1373" s="1414"/>
      <c r="D1373" s="1414"/>
      <c r="E1373" s="1414"/>
      <c r="F1373" s="1414"/>
      <c r="G1373" s="1414"/>
      <c r="H1373" s="1414"/>
      <c r="I1373" s="1414"/>
      <c r="J1373" s="1414"/>
      <c r="K1373" s="1414"/>
      <c r="L1373" s="1414"/>
      <c r="M1373" s="1414"/>
      <c r="N1373" s="1414"/>
      <c r="O1373" s="1414"/>
      <c r="P1373" s="1414"/>
      <c r="Q1373" s="1414"/>
      <c r="R1373" s="1414"/>
      <c r="S1373" s="1414"/>
      <c r="T1373" s="1414"/>
      <c r="U1373" s="1414"/>
      <c r="V1373" s="1414"/>
      <c r="W1373" s="1414"/>
      <c r="X1373" s="1414"/>
      <c r="Y1373" s="1414"/>
      <c r="Z1373" s="1414"/>
      <c r="AA1373" s="1414"/>
      <c r="AB1373" s="1414"/>
      <c r="AC1373" s="1414"/>
      <c r="AD1373" s="1414"/>
      <c r="AE1373" s="1414"/>
      <c r="AF1373" s="1414"/>
      <c r="AG1373" s="1414"/>
      <c r="AH1373" s="1414"/>
      <c r="AI1373" s="1414"/>
      <c r="AJ1373" s="1414"/>
      <c r="AK1373" s="1414"/>
      <c r="AL1373" s="1414"/>
      <c r="AM1373" s="1414"/>
      <c r="AN1373" s="1414"/>
      <c r="AO1373" s="1414"/>
      <c r="AP1373" s="1414"/>
      <c r="AQ1373" s="1414"/>
      <c r="AR1373" s="1414"/>
      <c r="AS1373" s="1414"/>
      <c r="AT1373" s="1414"/>
      <c r="AU1373" s="1414"/>
      <c r="AV1373" s="1414"/>
      <c r="AW1373" s="1414"/>
      <c r="AX1373" s="1414"/>
      <c r="AY1373" s="1399"/>
      <c r="AZ1373" s="1399"/>
      <c r="BA1373" s="1399"/>
      <c r="BB1373" s="1399"/>
      <c r="BC1373" s="1399"/>
      <c r="BD1373" s="1399"/>
      <c r="BE1373" s="1414"/>
      <c r="BF1373" s="1399"/>
      <c r="BG1373" s="1399"/>
      <c r="BH1373" s="1399"/>
      <c r="BI1373" s="1399"/>
      <c r="BJ1373" s="1399"/>
      <c r="BK1373" s="1399"/>
      <c r="BL1373" s="1399"/>
      <c r="BM1373" s="1399"/>
      <c r="BN1373" s="1399"/>
      <c r="BO1373" s="1399"/>
      <c r="BP1373" s="1399"/>
      <c r="BQ1373" s="1399"/>
      <c r="BR1373" s="1399"/>
      <c r="BS1373" s="1399"/>
      <c r="BT1373" s="1399"/>
      <c r="BU1373" s="1399"/>
      <c r="BV1373" s="1399"/>
      <c r="BW1373" s="1399"/>
      <c r="BX1373" s="1399"/>
      <c r="BY1373" s="1399"/>
      <c r="BZ1373" s="1399"/>
      <c r="CA1373" s="1399"/>
      <c r="CB1373" s="1399"/>
      <c r="CC1373" s="1399"/>
      <c r="CD1373" s="1399"/>
      <c r="CE1373" s="1399"/>
      <c r="CF1373" s="1399"/>
      <c r="CG1373" s="1399"/>
      <c r="CH1373" s="1399"/>
      <c r="CI1373" s="1399"/>
      <c r="CJ1373" s="1399"/>
      <c r="CK1373" s="1399"/>
      <c r="CL1373" s="1399"/>
      <c r="CM1373" s="1399"/>
      <c r="CN1373" s="1399"/>
      <c r="CO1373" s="1399"/>
      <c r="CP1373" s="1399"/>
      <c r="CQ1373" s="1399"/>
      <c r="CR1373" s="1399"/>
      <c r="CS1373" s="1399"/>
      <c r="CT1373" s="1399"/>
      <c r="CU1373" s="1399"/>
      <c r="CV1373" s="1399"/>
      <c r="CW1373" s="1399"/>
      <c r="CX1373" s="1399"/>
      <c r="CY1373" s="1399"/>
      <c r="CZ1373" s="1399"/>
      <c r="DA1373" s="1399"/>
      <c r="DB1373" s="1399"/>
      <c r="DC1373" s="1399"/>
      <c r="DD1373" s="1399"/>
      <c r="DE1373" s="1399"/>
      <c r="DF1373" s="1399"/>
      <c r="DG1373" s="1399"/>
      <c r="DH1373" s="1399"/>
      <c r="DI1373" s="1399"/>
      <c r="DJ1373" s="1399"/>
      <c r="DK1373" s="1399"/>
      <c r="DL1373" s="1399"/>
      <c r="DM1373" s="1399"/>
      <c r="DN1373" s="1399"/>
      <c r="DO1373" s="1399"/>
      <c r="DP1373" s="1399"/>
      <c r="DQ1373" s="1399"/>
      <c r="DR1373" s="1399"/>
      <c r="DS1373" s="1399"/>
      <c r="DT1373" s="1399"/>
      <c r="DU1373" s="1399"/>
    </row>
    <row r="1374" spans="1:125">
      <c r="A1374" s="1414"/>
      <c r="B1374" s="1414"/>
      <c r="C1374" s="1414"/>
      <c r="D1374" s="1414"/>
      <c r="E1374" s="1414"/>
      <c r="F1374" s="1414"/>
      <c r="G1374" s="1414"/>
      <c r="H1374" s="1414"/>
      <c r="I1374" s="1414"/>
      <c r="J1374" s="1414"/>
      <c r="K1374" s="1414"/>
      <c r="L1374" s="1414"/>
      <c r="M1374" s="1414"/>
      <c r="N1374" s="1414"/>
      <c r="O1374" s="1414"/>
      <c r="P1374" s="1414"/>
      <c r="Q1374" s="1414"/>
      <c r="R1374" s="1414"/>
      <c r="S1374" s="1414"/>
      <c r="T1374" s="1414"/>
      <c r="U1374" s="1414"/>
      <c r="V1374" s="1414"/>
      <c r="W1374" s="1414"/>
      <c r="X1374" s="1414"/>
      <c r="Y1374" s="1414"/>
      <c r="Z1374" s="1414"/>
      <c r="AA1374" s="1414"/>
      <c r="AB1374" s="1414"/>
      <c r="AC1374" s="1414"/>
      <c r="AD1374" s="1414"/>
      <c r="AE1374" s="1414"/>
      <c r="AF1374" s="1414"/>
      <c r="AG1374" s="1414"/>
      <c r="AH1374" s="1414"/>
      <c r="AI1374" s="1414"/>
      <c r="AJ1374" s="1414"/>
      <c r="AK1374" s="1414"/>
      <c r="AL1374" s="1414"/>
      <c r="AM1374" s="1414"/>
      <c r="AN1374" s="1414"/>
      <c r="AO1374" s="1414"/>
      <c r="AP1374" s="1414"/>
      <c r="AQ1374" s="1414"/>
      <c r="AR1374" s="1414"/>
      <c r="AS1374" s="1414"/>
      <c r="AT1374" s="1414"/>
      <c r="AU1374" s="1414"/>
      <c r="AV1374" s="1414"/>
      <c r="AW1374" s="1414"/>
      <c r="AX1374" s="1414"/>
      <c r="AY1374" s="1399"/>
      <c r="AZ1374" s="1399"/>
      <c r="BA1374" s="1399"/>
      <c r="BB1374" s="1399"/>
      <c r="BC1374" s="1399"/>
      <c r="BD1374" s="1399"/>
      <c r="BE1374" s="1414"/>
      <c r="BF1374" s="1399"/>
      <c r="BG1374" s="1399"/>
      <c r="BH1374" s="1399"/>
      <c r="BI1374" s="1399"/>
      <c r="BJ1374" s="1399"/>
      <c r="BK1374" s="1399"/>
      <c r="BL1374" s="1399"/>
      <c r="BM1374" s="1399"/>
      <c r="BN1374" s="1399"/>
      <c r="BO1374" s="1399"/>
      <c r="BP1374" s="1399"/>
      <c r="BQ1374" s="1399"/>
      <c r="BR1374" s="1399"/>
      <c r="BS1374" s="1399"/>
      <c r="BT1374" s="1399"/>
      <c r="BU1374" s="1399"/>
      <c r="BV1374" s="1399"/>
      <c r="BW1374" s="1399"/>
      <c r="BX1374" s="1399"/>
      <c r="BY1374" s="1399"/>
      <c r="BZ1374" s="1399"/>
      <c r="CA1374" s="1399"/>
      <c r="CB1374" s="1399"/>
      <c r="CC1374" s="1399"/>
      <c r="CD1374" s="1399"/>
      <c r="CE1374" s="1399"/>
      <c r="CF1374" s="1399"/>
      <c r="CG1374" s="1399"/>
      <c r="CH1374" s="1399"/>
      <c r="CI1374" s="1399"/>
      <c r="CJ1374" s="1399"/>
      <c r="CK1374" s="1399"/>
      <c r="CL1374" s="1399"/>
      <c r="CM1374" s="1399"/>
      <c r="CN1374" s="1399"/>
      <c r="CO1374" s="1399"/>
      <c r="CP1374" s="1399"/>
      <c r="CQ1374" s="1399"/>
      <c r="CR1374" s="1399"/>
      <c r="CS1374" s="1399"/>
      <c r="CT1374" s="1399"/>
      <c r="CU1374" s="1399"/>
      <c r="CV1374" s="1399"/>
      <c r="CW1374" s="1399"/>
      <c r="CX1374" s="1399"/>
      <c r="CY1374" s="1399"/>
      <c r="CZ1374" s="1399"/>
      <c r="DA1374" s="1399"/>
      <c r="DB1374" s="1399"/>
      <c r="DC1374" s="1399"/>
      <c r="DD1374" s="1399"/>
      <c r="DE1374" s="1399"/>
      <c r="DF1374" s="1399"/>
      <c r="DG1374" s="1399"/>
      <c r="DH1374" s="1399"/>
      <c r="DI1374" s="1399"/>
      <c r="DJ1374" s="1399"/>
      <c r="DK1374" s="1399"/>
      <c r="DL1374" s="1399"/>
      <c r="DM1374" s="1399"/>
      <c r="DN1374" s="1399"/>
      <c r="DO1374" s="1399"/>
      <c r="DP1374" s="1399"/>
      <c r="DQ1374" s="1399"/>
      <c r="DR1374" s="1399"/>
      <c r="DS1374" s="1399"/>
      <c r="DT1374" s="1399"/>
      <c r="DU1374" s="1399"/>
    </row>
    <row r="1375" spans="1:125">
      <c r="A1375" s="1414"/>
      <c r="B1375" s="1414"/>
      <c r="C1375" s="1414"/>
      <c r="D1375" s="1414"/>
      <c r="E1375" s="1414"/>
      <c r="F1375" s="1414"/>
      <c r="G1375" s="1414"/>
      <c r="H1375" s="1414"/>
      <c r="I1375" s="1414"/>
      <c r="J1375" s="1414"/>
      <c r="K1375" s="1414"/>
      <c r="L1375" s="1414"/>
      <c r="M1375" s="1414"/>
      <c r="N1375" s="1414"/>
      <c r="O1375" s="1414"/>
      <c r="P1375" s="1414"/>
      <c r="Q1375" s="1414"/>
      <c r="R1375" s="1414"/>
      <c r="S1375" s="1414"/>
      <c r="T1375" s="1414"/>
      <c r="U1375" s="1414"/>
      <c r="V1375" s="1414"/>
      <c r="W1375" s="1414"/>
      <c r="X1375" s="1414"/>
      <c r="Y1375" s="1414"/>
      <c r="Z1375" s="1414"/>
      <c r="AA1375" s="1414"/>
      <c r="AB1375" s="1414"/>
      <c r="AC1375" s="1414"/>
      <c r="AD1375" s="1414"/>
      <c r="AE1375" s="1414"/>
      <c r="AF1375" s="1414"/>
      <c r="AG1375" s="1414"/>
      <c r="AH1375" s="1414"/>
      <c r="AI1375" s="1414"/>
      <c r="AJ1375" s="1414"/>
      <c r="AK1375" s="1414"/>
      <c r="AL1375" s="1414"/>
      <c r="AM1375" s="1414"/>
      <c r="AN1375" s="1414"/>
      <c r="AO1375" s="1414"/>
      <c r="AP1375" s="1414"/>
      <c r="AQ1375" s="1414"/>
      <c r="AR1375" s="1414"/>
      <c r="AS1375" s="1414"/>
      <c r="AT1375" s="1414"/>
      <c r="AU1375" s="1414"/>
      <c r="AV1375" s="1414"/>
      <c r="AW1375" s="1414"/>
      <c r="AX1375" s="1414"/>
      <c r="AY1375" s="1399"/>
      <c r="AZ1375" s="1399"/>
      <c r="BA1375" s="1399"/>
      <c r="BB1375" s="1399"/>
      <c r="BC1375" s="1399"/>
      <c r="BD1375" s="1399"/>
      <c r="BE1375" s="1414"/>
      <c r="BF1375" s="1399"/>
      <c r="BG1375" s="1399"/>
      <c r="BH1375" s="1399"/>
      <c r="BI1375" s="1399"/>
      <c r="BJ1375" s="1399"/>
      <c r="BK1375" s="1399"/>
      <c r="BL1375" s="1399"/>
      <c r="BM1375" s="1399"/>
      <c r="BN1375" s="1399"/>
      <c r="BO1375" s="1399"/>
      <c r="BP1375" s="1399"/>
      <c r="BQ1375" s="1399"/>
      <c r="BR1375" s="1399"/>
      <c r="BS1375" s="1399"/>
      <c r="BT1375" s="1399"/>
      <c r="BU1375" s="1399"/>
      <c r="BV1375" s="1399"/>
      <c r="BW1375" s="1399"/>
      <c r="BX1375" s="1399"/>
      <c r="BY1375" s="1399"/>
      <c r="BZ1375" s="1399"/>
      <c r="CA1375" s="1399"/>
      <c r="CB1375" s="1399"/>
      <c r="CC1375" s="1399"/>
      <c r="CD1375" s="1399"/>
      <c r="CE1375" s="1399"/>
      <c r="CF1375" s="1399"/>
      <c r="CG1375" s="1399"/>
      <c r="CH1375" s="1399"/>
      <c r="CI1375" s="1399"/>
      <c r="CJ1375" s="1399"/>
      <c r="CK1375" s="1399"/>
      <c r="CL1375" s="1399"/>
      <c r="CM1375" s="1399"/>
      <c r="CN1375" s="1399"/>
      <c r="CO1375" s="1399"/>
      <c r="CP1375" s="1399"/>
      <c r="CQ1375" s="1399"/>
      <c r="CR1375" s="1399"/>
      <c r="CS1375" s="1399"/>
      <c r="CT1375" s="1399"/>
      <c r="CU1375" s="1399"/>
      <c r="CV1375" s="1399"/>
      <c r="CW1375" s="1399"/>
      <c r="CX1375" s="1399"/>
      <c r="CY1375" s="1399"/>
      <c r="CZ1375" s="1399"/>
      <c r="DA1375" s="1399"/>
      <c r="DB1375" s="1399"/>
      <c r="DC1375" s="1399"/>
      <c r="DD1375" s="1399"/>
      <c r="DE1375" s="1399"/>
      <c r="DF1375" s="1399"/>
      <c r="DG1375" s="1399"/>
      <c r="DH1375" s="1399"/>
      <c r="DI1375" s="1399"/>
      <c r="DJ1375" s="1399"/>
      <c r="DK1375" s="1399"/>
      <c r="DL1375" s="1399"/>
      <c r="DM1375" s="1399"/>
      <c r="DN1375" s="1399"/>
      <c r="DO1375" s="1399"/>
      <c r="DP1375" s="1399"/>
      <c r="DQ1375" s="1399"/>
      <c r="DR1375" s="1399"/>
      <c r="DS1375" s="1399"/>
      <c r="DT1375" s="1399"/>
      <c r="DU1375" s="1399"/>
    </row>
    <row r="1376" spans="1:125">
      <c r="A1376" s="1414"/>
      <c r="B1376" s="1414"/>
      <c r="C1376" s="1414"/>
      <c r="D1376" s="1414"/>
      <c r="E1376" s="1414"/>
      <c r="F1376" s="1414"/>
      <c r="G1376" s="1414"/>
      <c r="H1376" s="1414"/>
      <c r="I1376" s="1414"/>
      <c r="J1376" s="1414"/>
      <c r="K1376" s="1414"/>
      <c r="L1376" s="1414"/>
      <c r="M1376" s="1414"/>
      <c r="N1376" s="1414"/>
      <c r="O1376" s="1414"/>
      <c r="P1376" s="1414"/>
      <c r="Q1376" s="1414"/>
      <c r="R1376" s="1414"/>
      <c r="S1376" s="1414"/>
      <c r="T1376" s="1414"/>
      <c r="U1376" s="1414"/>
      <c r="V1376" s="1414"/>
      <c r="W1376" s="1414"/>
      <c r="X1376" s="1414"/>
      <c r="Y1376" s="1414"/>
      <c r="Z1376" s="1414"/>
      <c r="AA1376" s="1414"/>
      <c r="AB1376" s="1414"/>
      <c r="AC1376" s="1414"/>
      <c r="AD1376" s="1414"/>
      <c r="AE1376" s="1414"/>
      <c r="AF1376" s="1414"/>
      <c r="AG1376" s="1414"/>
      <c r="AH1376" s="1414"/>
      <c r="AI1376" s="1414"/>
      <c r="AJ1376" s="1414"/>
      <c r="AK1376" s="1414"/>
      <c r="AL1376" s="1414"/>
      <c r="AM1376" s="1414"/>
      <c r="AN1376" s="1414"/>
      <c r="AO1376" s="1414"/>
      <c r="AP1376" s="1414"/>
      <c r="AQ1376" s="1414"/>
      <c r="AR1376" s="1414"/>
      <c r="AS1376" s="1414"/>
      <c r="AT1376" s="1414"/>
      <c r="AU1376" s="1414"/>
      <c r="AV1376" s="1414"/>
      <c r="AW1376" s="1414"/>
      <c r="AX1376" s="1414"/>
      <c r="AY1376" s="1399"/>
      <c r="AZ1376" s="1399"/>
      <c r="BA1376" s="1399"/>
      <c r="BB1376" s="1399"/>
      <c r="BC1376" s="1399"/>
      <c r="BD1376" s="1399"/>
      <c r="BE1376" s="1414"/>
      <c r="BF1376" s="1399"/>
      <c r="BG1376" s="1399"/>
      <c r="BH1376" s="1399"/>
      <c r="BI1376" s="1399"/>
      <c r="BJ1376" s="1399"/>
      <c r="BK1376" s="1399"/>
      <c r="BL1376" s="1399"/>
      <c r="BM1376" s="1399"/>
      <c r="BN1376" s="1399"/>
      <c r="BO1376" s="1399"/>
      <c r="BP1376" s="1399"/>
      <c r="BQ1376" s="1399"/>
      <c r="BR1376" s="1399"/>
      <c r="BS1376" s="1399"/>
      <c r="BT1376" s="1399"/>
      <c r="BU1376" s="1399"/>
      <c r="BV1376" s="1399"/>
      <c r="BW1376" s="1399"/>
      <c r="BX1376" s="1399"/>
      <c r="BY1376" s="1399"/>
      <c r="BZ1376" s="1399"/>
      <c r="CA1376" s="1399"/>
      <c r="CB1376" s="1399"/>
      <c r="CC1376" s="1399"/>
      <c r="CD1376" s="1399"/>
      <c r="CE1376" s="1399"/>
      <c r="CF1376" s="1399"/>
      <c r="CG1376" s="1399"/>
      <c r="CH1376" s="1399"/>
      <c r="CI1376" s="1399"/>
      <c r="CJ1376" s="1399"/>
      <c r="CK1376" s="1399"/>
      <c r="CL1376" s="1399"/>
      <c r="CM1376" s="1399"/>
      <c r="CN1376" s="1399"/>
      <c r="CO1376" s="1399"/>
      <c r="CP1376" s="1399"/>
      <c r="CQ1376" s="1399"/>
      <c r="CR1376" s="1399"/>
      <c r="CS1376" s="1399"/>
      <c r="CT1376" s="1399"/>
      <c r="CU1376" s="1399"/>
      <c r="CV1376" s="1399"/>
      <c r="CW1376" s="1399"/>
      <c r="CX1376" s="1399"/>
      <c r="CY1376" s="1399"/>
      <c r="CZ1376" s="1399"/>
      <c r="DA1376" s="1399"/>
      <c r="DB1376" s="1399"/>
      <c r="DC1376" s="1399"/>
      <c r="DD1376" s="1399"/>
      <c r="DE1376" s="1399"/>
      <c r="DF1376" s="1399"/>
      <c r="DG1376" s="1399"/>
      <c r="DH1376" s="1399"/>
      <c r="DI1376" s="1399"/>
      <c r="DJ1376" s="1399"/>
      <c r="DK1376" s="1399"/>
      <c r="DL1376" s="1399"/>
      <c r="DM1376" s="1399"/>
      <c r="DN1376" s="1399"/>
      <c r="DO1376" s="1399"/>
      <c r="DP1376" s="1399"/>
      <c r="DQ1376" s="1399"/>
      <c r="DR1376" s="1399"/>
      <c r="DS1376" s="1399"/>
      <c r="DT1376" s="1399"/>
      <c r="DU1376" s="1399"/>
    </row>
    <row r="1377" spans="1:125">
      <c r="A1377" s="1414"/>
      <c r="B1377" s="1414"/>
      <c r="C1377" s="1414"/>
      <c r="D1377" s="1414"/>
      <c r="E1377" s="1414"/>
      <c r="F1377" s="1414"/>
      <c r="G1377" s="1414"/>
      <c r="H1377" s="1414"/>
      <c r="I1377" s="1414"/>
      <c r="J1377" s="1414"/>
      <c r="K1377" s="1414"/>
      <c r="L1377" s="1414"/>
      <c r="M1377" s="1414"/>
      <c r="N1377" s="1414"/>
      <c r="O1377" s="1414"/>
      <c r="P1377" s="1414"/>
      <c r="Q1377" s="1414"/>
      <c r="R1377" s="1414"/>
      <c r="S1377" s="1414"/>
      <c r="T1377" s="1414"/>
      <c r="U1377" s="1414"/>
      <c r="V1377" s="1414"/>
      <c r="W1377" s="1414"/>
      <c r="X1377" s="1414"/>
      <c r="Y1377" s="1414"/>
      <c r="Z1377" s="1414"/>
      <c r="AA1377" s="1414"/>
      <c r="AB1377" s="1414"/>
      <c r="AC1377" s="1414"/>
      <c r="AD1377" s="1414"/>
      <c r="AE1377" s="1414"/>
      <c r="AF1377" s="1414"/>
      <c r="AG1377" s="1414"/>
      <c r="AH1377" s="1414"/>
      <c r="AI1377" s="1414"/>
      <c r="AJ1377" s="1414"/>
      <c r="AK1377" s="1414"/>
      <c r="AL1377" s="1414"/>
      <c r="AM1377" s="1414"/>
      <c r="AN1377" s="1414"/>
      <c r="AO1377" s="1414"/>
      <c r="AP1377" s="1414"/>
      <c r="AQ1377" s="1414"/>
      <c r="AR1377" s="1414"/>
      <c r="AS1377" s="1414"/>
      <c r="AT1377" s="1414"/>
      <c r="AU1377" s="1414"/>
      <c r="AV1377" s="1414"/>
      <c r="AW1377" s="1414"/>
      <c r="AX1377" s="1414"/>
      <c r="AY1377" s="1399"/>
      <c r="AZ1377" s="1399"/>
      <c r="BA1377" s="1399"/>
      <c r="BB1377" s="1399"/>
      <c r="BC1377" s="1399"/>
      <c r="BD1377" s="1399"/>
      <c r="BE1377" s="1414"/>
      <c r="BF1377" s="1399"/>
      <c r="BG1377" s="1399"/>
      <c r="BH1377" s="1399"/>
      <c r="BI1377" s="1399"/>
      <c r="BJ1377" s="1399"/>
      <c r="BK1377" s="1399"/>
      <c r="BL1377" s="1399"/>
      <c r="BM1377" s="1399"/>
      <c r="BN1377" s="1399"/>
      <c r="BO1377" s="1399"/>
      <c r="BP1377" s="1399"/>
      <c r="BQ1377" s="1399"/>
      <c r="BR1377" s="1399"/>
      <c r="BS1377" s="1399"/>
      <c r="BT1377" s="1399"/>
      <c r="BU1377" s="1399"/>
      <c r="BV1377" s="1399"/>
      <c r="BW1377" s="1399"/>
      <c r="BX1377" s="1399"/>
      <c r="BY1377" s="1399"/>
      <c r="BZ1377" s="1399"/>
      <c r="CA1377" s="1399"/>
      <c r="CB1377" s="1399"/>
      <c r="CC1377" s="1399"/>
      <c r="CD1377" s="1399"/>
      <c r="CE1377" s="1399"/>
      <c r="CF1377" s="1399"/>
      <c r="CG1377" s="1399"/>
      <c r="CH1377" s="1399"/>
      <c r="CI1377" s="1399"/>
      <c r="CJ1377" s="1399"/>
      <c r="CK1377" s="1399"/>
      <c r="CL1377" s="1399"/>
      <c r="CM1377" s="1399"/>
      <c r="CN1377" s="1399"/>
      <c r="CO1377" s="1399"/>
      <c r="CP1377" s="1399"/>
      <c r="CQ1377" s="1399"/>
      <c r="CR1377" s="1399"/>
      <c r="CS1377" s="1399"/>
      <c r="CT1377" s="1399"/>
      <c r="CU1377" s="1399"/>
      <c r="CV1377" s="1399"/>
      <c r="CW1377" s="1399"/>
      <c r="CX1377" s="1399"/>
      <c r="CY1377" s="1399"/>
      <c r="CZ1377" s="1399"/>
      <c r="DA1377" s="1399"/>
      <c r="DB1377" s="1399"/>
      <c r="DC1377" s="1399"/>
      <c r="DD1377" s="1399"/>
      <c r="DE1377" s="1399"/>
      <c r="DF1377" s="1399"/>
      <c r="DG1377" s="1399"/>
      <c r="DH1377" s="1399"/>
      <c r="DI1377" s="1399"/>
      <c r="DJ1377" s="1399"/>
      <c r="DK1377" s="1399"/>
      <c r="DL1377" s="1399"/>
      <c r="DM1377" s="1399"/>
      <c r="DN1377" s="1399"/>
      <c r="DO1377" s="1399"/>
      <c r="DP1377" s="1399"/>
      <c r="DQ1377" s="1399"/>
      <c r="DR1377" s="1399"/>
      <c r="DS1377" s="1399"/>
      <c r="DT1377" s="1399"/>
      <c r="DU1377" s="1399"/>
    </row>
    <row r="1378" spans="1:125">
      <c r="A1378" s="1414"/>
      <c r="B1378" s="1414"/>
      <c r="C1378" s="1414"/>
      <c r="D1378" s="1414"/>
      <c r="E1378" s="1414"/>
      <c r="F1378" s="1414"/>
      <c r="G1378" s="1414"/>
      <c r="H1378" s="1414"/>
      <c r="I1378" s="1414"/>
      <c r="J1378" s="1414"/>
      <c r="K1378" s="1414"/>
      <c r="L1378" s="1414"/>
      <c r="M1378" s="1414"/>
      <c r="N1378" s="1414"/>
      <c r="O1378" s="1414"/>
      <c r="P1378" s="1414"/>
      <c r="Q1378" s="1414"/>
      <c r="R1378" s="1414"/>
      <c r="S1378" s="1414"/>
      <c r="T1378" s="1414"/>
      <c r="U1378" s="1414"/>
      <c r="V1378" s="1414"/>
      <c r="W1378" s="1414"/>
      <c r="X1378" s="1414"/>
      <c r="Y1378" s="1414"/>
      <c r="Z1378" s="1414"/>
      <c r="AA1378" s="1414"/>
      <c r="AB1378" s="1414"/>
      <c r="AC1378" s="1414"/>
      <c r="AD1378" s="1414"/>
      <c r="AE1378" s="1414"/>
      <c r="AF1378" s="1414"/>
      <c r="AG1378" s="1414"/>
      <c r="AH1378" s="1414"/>
      <c r="AI1378" s="1414"/>
      <c r="AJ1378" s="1414"/>
      <c r="AK1378" s="1414"/>
      <c r="AL1378" s="1414"/>
      <c r="AM1378" s="1414"/>
      <c r="AN1378" s="1414"/>
      <c r="AO1378" s="1414"/>
      <c r="AP1378" s="1414"/>
      <c r="AQ1378" s="1414"/>
      <c r="AR1378" s="1414"/>
      <c r="AS1378" s="1414"/>
      <c r="AT1378" s="1414"/>
      <c r="AU1378" s="1414"/>
      <c r="AV1378" s="1414"/>
      <c r="AW1378" s="1414"/>
      <c r="AX1378" s="1414"/>
      <c r="AY1378" s="1399"/>
      <c r="AZ1378" s="1399"/>
      <c r="BA1378" s="1399"/>
      <c r="BB1378" s="1399"/>
      <c r="BC1378" s="1399"/>
      <c r="BD1378" s="1399"/>
      <c r="BE1378" s="1414"/>
      <c r="BF1378" s="1399"/>
      <c r="BG1378" s="1399"/>
      <c r="BH1378" s="1399"/>
      <c r="BI1378" s="1399"/>
      <c r="BJ1378" s="1399"/>
      <c r="BK1378" s="1399"/>
      <c r="BL1378" s="1399"/>
      <c r="BM1378" s="1399"/>
      <c r="BN1378" s="1399"/>
      <c r="BO1378" s="1399"/>
      <c r="BP1378" s="1399"/>
      <c r="BQ1378" s="1399"/>
      <c r="BR1378" s="1399"/>
      <c r="BS1378" s="1399"/>
      <c r="BT1378" s="1399"/>
      <c r="BU1378" s="1399"/>
      <c r="BV1378" s="1399"/>
      <c r="BW1378" s="1399"/>
      <c r="BX1378" s="1399"/>
      <c r="BY1378" s="1399"/>
      <c r="BZ1378" s="1399"/>
      <c r="CA1378" s="1399"/>
      <c r="CB1378" s="1399"/>
      <c r="CC1378" s="1399"/>
      <c r="CD1378" s="1399"/>
      <c r="CE1378" s="1399"/>
      <c r="CF1378" s="1399"/>
      <c r="CG1378" s="1399"/>
      <c r="CH1378" s="1399"/>
      <c r="CI1378" s="1399"/>
      <c r="CJ1378" s="1399"/>
      <c r="CK1378" s="1399"/>
      <c r="CL1378" s="1399"/>
      <c r="CM1378" s="1399"/>
      <c r="CN1378" s="1399"/>
      <c r="CO1378" s="1399"/>
      <c r="CP1378" s="1399"/>
      <c r="CQ1378" s="1399"/>
      <c r="CR1378" s="1399"/>
      <c r="CS1378" s="1399"/>
      <c r="CT1378" s="1399"/>
      <c r="CU1378" s="1399"/>
      <c r="CV1378" s="1399"/>
      <c r="CW1378" s="1399"/>
      <c r="CX1378" s="1399"/>
      <c r="CY1378" s="1399"/>
      <c r="CZ1378" s="1399"/>
      <c r="DA1378" s="1399"/>
      <c r="DB1378" s="1399"/>
      <c r="DC1378" s="1399"/>
      <c r="DD1378" s="1399"/>
      <c r="DE1378" s="1399"/>
      <c r="DF1378" s="1399"/>
      <c r="DG1378" s="1399"/>
      <c r="DH1378" s="1399"/>
      <c r="DI1378" s="1399"/>
      <c r="DJ1378" s="1399"/>
      <c r="DK1378" s="1399"/>
      <c r="DL1378" s="1399"/>
      <c r="DM1378" s="1399"/>
      <c r="DN1378" s="1399"/>
      <c r="DO1378" s="1399"/>
      <c r="DP1378" s="1399"/>
      <c r="DQ1378" s="1399"/>
      <c r="DR1378" s="1399"/>
      <c r="DS1378" s="1399"/>
      <c r="DT1378" s="1399"/>
      <c r="DU1378" s="1399"/>
    </row>
    <row r="1379" spans="1:125">
      <c r="A1379" s="1414"/>
      <c r="B1379" s="1414"/>
      <c r="C1379" s="1414"/>
      <c r="D1379" s="1414"/>
      <c r="E1379" s="1414"/>
      <c r="F1379" s="1414"/>
      <c r="G1379" s="1414"/>
      <c r="H1379" s="1414"/>
      <c r="I1379" s="1414"/>
      <c r="J1379" s="1414"/>
      <c r="K1379" s="1414"/>
      <c r="L1379" s="1414"/>
      <c r="M1379" s="1414"/>
      <c r="N1379" s="1414"/>
      <c r="O1379" s="1414"/>
      <c r="P1379" s="1414"/>
      <c r="Q1379" s="1414"/>
      <c r="R1379" s="1414"/>
      <c r="S1379" s="1414"/>
      <c r="T1379" s="1414"/>
      <c r="U1379" s="1414"/>
      <c r="V1379" s="1414"/>
      <c r="W1379" s="1414"/>
      <c r="X1379" s="1414"/>
      <c r="Y1379" s="1414"/>
      <c r="Z1379" s="1414"/>
      <c r="AA1379" s="1414"/>
      <c r="AB1379" s="1414"/>
      <c r="AC1379" s="1414"/>
      <c r="AD1379" s="1414"/>
      <c r="AE1379" s="1414"/>
      <c r="AF1379" s="1414"/>
      <c r="AG1379" s="1414"/>
      <c r="AH1379" s="1414"/>
      <c r="AI1379" s="1414"/>
      <c r="AJ1379" s="1414"/>
      <c r="AK1379" s="1414"/>
      <c r="AL1379" s="1414"/>
      <c r="AM1379" s="1414"/>
      <c r="AN1379" s="1414"/>
      <c r="AO1379" s="1414"/>
      <c r="AP1379" s="1414"/>
      <c r="AQ1379" s="1414"/>
      <c r="AR1379" s="1414"/>
      <c r="AS1379" s="1414"/>
      <c r="AT1379" s="1414"/>
      <c r="AU1379" s="1414"/>
      <c r="AV1379" s="1414"/>
      <c r="AW1379" s="1414"/>
      <c r="AX1379" s="1414"/>
      <c r="AY1379" s="1399"/>
      <c r="AZ1379" s="1399"/>
      <c r="BA1379" s="1399"/>
      <c r="BB1379" s="1399"/>
      <c r="BC1379" s="1399"/>
      <c r="BD1379" s="1399"/>
      <c r="BE1379" s="1414"/>
      <c r="BF1379" s="1399"/>
      <c r="BG1379" s="1399"/>
      <c r="BH1379" s="1399"/>
      <c r="BI1379" s="1399"/>
      <c r="BJ1379" s="1399"/>
      <c r="BK1379" s="1399"/>
      <c r="BL1379" s="1399"/>
      <c r="BM1379" s="1399"/>
      <c r="BN1379" s="1399"/>
      <c r="BO1379" s="1399"/>
      <c r="BP1379" s="1399"/>
      <c r="BQ1379" s="1399"/>
      <c r="BR1379" s="1399"/>
      <c r="BS1379" s="1399"/>
      <c r="BT1379" s="1399"/>
      <c r="BU1379" s="1399"/>
      <c r="BV1379" s="1399"/>
      <c r="BW1379" s="1399"/>
      <c r="BX1379" s="1399"/>
      <c r="BY1379" s="1399"/>
      <c r="BZ1379" s="1399"/>
      <c r="CA1379" s="1399"/>
      <c r="CB1379" s="1399"/>
      <c r="CC1379" s="1399"/>
      <c r="CD1379" s="1399"/>
      <c r="CE1379" s="1399"/>
      <c r="CF1379" s="1399"/>
      <c r="CG1379" s="1399"/>
      <c r="CH1379" s="1399"/>
      <c r="CI1379" s="1399"/>
      <c r="CJ1379" s="1399"/>
      <c r="CK1379" s="1399"/>
      <c r="CL1379" s="1399"/>
      <c r="CM1379" s="1399"/>
      <c r="CN1379" s="1399"/>
      <c r="CO1379" s="1399"/>
      <c r="CP1379" s="1399"/>
      <c r="CQ1379" s="1399"/>
      <c r="CR1379" s="1399"/>
      <c r="CS1379" s="1399"/>
      <c r="CT1379" s="1399"/>
      <c r="CU1379" s="1399"/>
      <c r="CV1379" s="1399"/>
      <c r="CW1379" s="1399"/>
      <c r="CX1379" s="1399"/>
      <c r="CY1379" s="1399"/>
      <c r="CZ1379" s="1399"/>
      <c r="DA1379" s="1399"/>
      <c r="DB1379" s="1399"/>
      <c r="DC1379" s="1399"/>
      <c r="DD1379" s="1399"/>
      <c r="DE1379" s="1399"/>
      <c r="DF1379" s="1399"/>
      <c r="DG1379" s="1399"/>
      <c r="DH1379" s="1399"/>
      <c r="DI1379" s="1399"/>
      <c r="DJ1379" s="1399"/>
      <c r="DK1379" s="1399"/>
      <c r="DL1379" s="1399"/>
      <c r="DM1379" s="1399"/>
      <c r="DN1379" s="1399"/>
      <c r="DO1379" s="1399"/>
      <c r="DP1379" s="1399"/>
      <c r="DQ1379" s="1399"/>
      <c r="DR1379" s="1399"/>
      <c r="DS1379" s="1399"/>
      <c r="DT1379" s="1399"/>
      <c r="DU1379" s="1399"/>
    </row>
    <row r="1380" spans="1:125">
      <c r="A1380" s="1414"/>
      <c r="B1380" s="1414"/>
      <c r="C1380" s="1414"/>
      <c r="D1380" s="1414"/>
      <c r="E1380" s="1414"/>
      <c r="F1380" s="1414"/>
      <c r="G1380" s="1414"/>
      <c r="H1380" s="1414"/>
      <c r="I1380" s="1414"/>
      <c r="J1380" s="1414"/>
      <c r="K1380" s="1414"/>
      <c r="L1380" s="1414"/>
      <c r="M1380" s="1414"/>
      <c r="N1380" s="1414"/>
      <c r="O1380" s="1414"/>
      <c r="P1380" s="1414"/>
      <c r="Q1380" s="1414"/>
      <c r="R1380" s="1414"/>
      <c r="S1380" s="1414"/>
      <c r="T1380" s="1414"/>
      <c r="U1380" s="1414"/>
      <c r="V1380" s="1414"/>
      <c r="W1380" s="1414"/>
      <c r="X1380" s="1414"/>
      <c r="Y1380" s="1414"/>
      <c r="Z1380" s="1414"/>
      <c r="AA1380" s="1414"/>
      <c r="AB1380" s="1414"/>
      <c r="AC1380" s="1414"/>
      <c r="AD1380" s="1414"/>
      <c r="AE1380" s="1414"/>
      <c r="AF1380" s="1414"/>
      <c r="AG1380" s="1414"/>
      <c r="AH1380" s="1414"/>
      <c r="AI1380" s="1414"/>
      <c r="AJ1380" s="1414"/>
      <c r="AK1380" s="1414"/>
      <c r="AL1380" s="1414"/>
      <c r="AM1380" s="1414"/>
      <c r="AN1380" s="1414"/>
      <c r="AO1380" s="1414"/>
      <c r="AP1380" s="1414"/>
      <c r="AQ1380" s="1414"/>
      <c r="AR1380" s="1414"/>
      <c r="AS1380" s="1414"/>
      <c r="AT1380" s="1414"/>
      <c r="AU1380" s="1414"/>
      <c r="AV1380" s="1414"/>
      <c r="AW1380" s="1414"/>
      <c r="AX1380" s="1414"/>
      <c r="AY1380" s="1399"/>
      <c r="AZ1380" s="1399"/>
      <c r="BA1380" s="1399"/>
      <c r="BB1380" s="1399"/>
      <c r="BC1380" s="1399"/>
      <c r="BD1380" s="1399"/>
      <c r="BE1380" s="1414"/>
      <c r="BF1380" s="1399"/>
      <c r="BG1380" s="1399"/>
      <c r="BH1380" s="1399"/>
      <c r="BI1380" s="1399"/>
      <c r="BJ1380" s="1399"/>
      <c r="BK1380" s="1399"/>
      <c r="BL1380" s="1399"/>
      <c r="BM1380" s="1399"/>
      <c r="BN1380" s="1399"/>
      <c r="BO1380" s="1399"/>
      <c r="BP1380" s="1399"/>
      <c r="BQ1380" s="1399"/>
      <c r="BR1380" s="1399"/>
      <c r="BS1380" s="1399"/>
      <c r="BT1380" s="1399"/>
      <c r="BU1380" s="1399"/>
      <c r="BV1380" s="1399"/>
      <c r="BW1380" s="1399"/>
      <c r="BX1380" s="1399"/>
      <c r="BY1380" s="1399"/>
      <c r="BZ1380" s="1399"/>
      <c r="CA1380" s="1399"/>
      <c r="CB1380" s="1399"/>
      <c r="CC1380" s="1399"/>
      <c r="CD1380" s="1399"/>
      <c r="CE1380" s="1399"/>
      <c r="CF1380" s="1399"/>
      <c r="CG1380" s="1399"/>
      <c r="CH1380" s="1399"/>
      <c r="CI1380" s="1399"/>
      <c r="CJ1380" s="1399"/>
      <c r="CK1380" s="1399"/>
      <c r="CL1380" s="1399"/>
      <c r="CM1380" s="1399"/>
      <c r="CN1380" s="1399"/>
      <c r="CO1380" s="1399"/>
      <c r="CP1380" s="1399"/>
      <c r="CQ1380" s="1399"/>
      <c r="CR1380" s="1399"/>
      <c r="CS1380" s="1399"/>
      <c r="CT1380" s="1399"/>
      <c r="CU1380" s="1399"/>
      <c r="CV1380" s="1399"/>
      <c r="CW1380" s="1399"/>
      <c r="CX1380" s="1399"/>
      <c r="CY1380" s="1399"/>
      <c r="CZ1380" s="1399"/>
      <c r="DA1380" s="1399"/>
      <c r="DB1380" s="1399"/>
      <c r="DC1380" s="1399"/>
      <c r="DD1380" s="1399"/>
      <c r="DE1380" s="1399"/>
      <c r="DF1380" s="1399"/>
      <c r="DG1380" s="1399"/>
      <c r="DH1380" s="1399"/>
      <c r="DI1380" s="1399"/>
      <c r="DJ1380" s="1399"/>
      <c r="DK1380" s="1399"/>
      <c r="DL1380" s="1399"/>
      <c r="DM1380" s="1399"/>
      <c r="DN1380" s="1399"/>
      <c r="DO1380" s="1399"/>
      <c r="DP1380" s="1399"/>
      <c r="DQ1380" s="1399"/>
      <c r="DR1380" s="1399"/>
      <c r="DS1380" s="1399"/>
      <c r="DT1380" s="1399"/>
      <c r="DU1380" s="1399"/>
    </row>
    <row r="1381" spans="1:125">
      <c r="A1381" s="1414"/>
      <c r="B1381" s="1414"/>
      <c r="C1381" s="1414"/>
      <c r="D1381" s="1414"/>
      <c r="E1381" s="1414"/>
      <c r="F1381" s="1414"/>
      <c r="G1381" s="1414"/>
      <c r="H1381" s="1414"/>
      <c r="I1381" s="1414"/>
      <c r="J1381" s="1414"/>
      <c r="K1381" s="1414"/>
      <c r="L1381" s="1414"/>
      <c r="M1381" s="1414"/>
      <c r="N1381" s="1414"/>
      <c r="O1381" s="1414"/>
      <c r="P1381" s="1414"/>
      <c r="Q1381" s="1414"/>
      <c r="R1381" s="1414"/>
      <c r="S1381" s="1414"/>
      <c r="T1381" s="1414"/>
      <c r="U1381" s="1414"/>
      <c r="V1381" s="1414"/>
      <c r="W1381" s="1414"/>
      <c r="X1381" s="1414"/>
      <c r="Y1381" s="1414"/>
      <c r="Z1381" s="1414"/>
      <c r="AA1381" s="1414"/>
      <c r="AB1381" s="1414"/>
      <c r="AC1381" s="1414"/>
      <c r="AD1381" s="1414"/>
      <c r="AE1381" s="1414"/>
      <c r="AF1381" s="1414"/>
      <c r="AG1381" s="1414"/>
      <c r="AH1381" s="1414"/>
      <c r="AI1381" s="1414"/>
      <c r="AJ1381" s="1414"/>
      <c r="AK1381" s="1414"/>
      <c r="AL1381" s="1414"/>
      <c r="AM1381" s="1414"/>
      <c r="AN1381" s="1414"/>
      <c r="AO1381" s="1414"/>
      <c r="AP1381" s="1414"/>
      <c r="AQ1381" s="1414"/>
      <c r="AR1381" s="1414"/>
      <c r="AS1381" s="1414"/>
      <c r="AT1381" s="1414"/>
      <c r="AU1381" s="1414"/>
      <c r="AV1381" s="1414"/>
      <c r="AW1381" s="1414"/>
      <c r="AX1381" s="1414"/>
      <c r="AY1381" s="1399"/>
      <c r="AZ1381" s="1399"/>
      <c r="BA1381" s="1399"/>
      <c r="BB1381" s="1399"/>
      <c r="BC1381" s="1399"/>
      <c r="BD1381" s="1399"/>
      <c r="BE1381" s="1414"/>
      <c r="BF1381" s="1399"/>
      <c r="BG1381" s="1399"/>
      <c r="BH1381" s="1399"/>
      <c r="BI1381" s="1399"/>
      <c r="BJ1381" s="1399"/>
      <c r="BK1381" s="1399"/>
      <c r="BL1381" s="1399"/>
      <c r="BM1381" s="1399"/>
      <c r="BN1381" s="1399"/>
      <c r="BO1381" s="1399"/>
      <c r="BP1381" s="1399"/>
      <c r="BQ1381" s="1399"/>
      <c r="BR1381" s="1399"/>
      <c r="BS1381" s="1399"/>
      <c r="BT1381" s="1399"/>
      <c r="BU1381" s="1399"/>
      <c r="BV1381" s="1399"/>
      <c r="BW1381" s="1399"/>
      <c r="BX1381" s="1399"/>
      <c r="BY1381" s="1399"/>
      <c r="BZ1381" s="1399"/>
      <c r="CA1381" s="1399"/>
      <c r="CB1381" s="1399"/>
      <c r="CC1381" s="1399"/>
      <c r="CD1381" s="1399"/>
      <c r="CE1381" s="1399"/>
      <c r="CF1381" s="1399"/>
      <c r="CG1381" s="1399"/>
      <c r="CH1381" s="1399"/>
      <c r="CI1381" s="1399"/>
      <c r="CJ1381" s="1399"/>
      <c r="CK1381" s="1399"/>
      <c r="CL1381" s="1399"/>
      <c r="CM1381" s="1399"/>
      <c r="CN1381" s="1399"/>
      <c r="CO1381" s="1399"/>
      <c r="CP1381" s="1399"/>
      <c r="CQ1381" s="1399"/>
      <c r="CR1381" s="1399"/>
      <c r="CS1381" s="1399"/>
      <c r="CT1381" s="1399"/>
      <c r="CU1381" s="1399"/>
      <c r="CV1381" s="1399"/>
      <c r="CW1381" s="1399"/>
      <c r="CX1381" s="1399"/>
      <c r="CY1381" s="1399"/>
      <c r="CZ1381" s="1399"/>
      <c r="DA1381" s="1399"/>
      <c r="DB1381" s="1399"/>
      <c r="DC1381" s="1399"/>
      <c r="DD1381" s="1399"/>
      <c r="DE1381" s="1399"/>
      <c r="DF1381" s="1399"/>
      <c r="DG1381" s="1399"/>
      <c r="DH1381" s="1399"/>
      <c r="DI1381" s="1399"/>
      <c r="DJ1381" s="1399"/>
      <c r="DK1381" s="1399"/>
      <c r="DL1381" s="1399"/>
      <c r="DM1381" s="1399"/>
      <c r="DN1381" s="1399"/>
      <c r="DO1381" s="1399"/>
      <c r="DP1381" s="1399"/>
      <c r="DQ1381" s="1399"/>
      <c r="DR1381" s="1399"/>
      <c r="DS1381" s="1399"/>
      <c r="DT1381" s="1399"/>
      <c r="DU1381" s="1399"/>
    </row>
    <row r="1382" spans="1:125">
      <c r="A1382" s="1414"/>
      <c r="B1382" s="1414"/>
      <c r="C1382" s="1414"/>
      <c r="D1382" s="1414"/>
      <c r="E1382" s="1414"/>
      <c r="F1382" s="1414"/>
      <c r="G1382" s="1414"/>
      <c r="H1382" s="1414"/>
      <c r="I1382" s="1414"/>
      <c r="J1382" s="1414"/>
      <c r="K1382" s="1414"/>
      <c r="L1382" s="1414"/>
      <c r="M1382" s="1414"/>
      <c r="N1382" s="1414"/>
      <c r="O1382" s="1414"/>
      <c r="P1382" s="1414"/>
      <c r="Q1382" s="1414"/>
      <c r="R1382" s="1414"/>
      <c r="S1382" s="1414"/>
      <c r="T1382" s="1414"/>
      <c r="U1382" s="1414"/>
      <c r="V1382" s="1414"/>
      <c r="W1382" s="1414"/>
      <c r="X1382" s="1414"/>
      <c r="Y1382" s="1414"/>
      <c r="Z1382" s="1414"/>
      <c r="AA1382" s="1414"/>
      <c r="AB1382" s="1414"/>
      <c r="AC1382" s="1414"/>
      <c r="AD1382" s="1414"/>
      <c r="AE1382" s="1414"/>
      <c r="AF1382" s="1414"/>
      <c r="AG1382" s="1414"/>
      <c r="AH1382" s="1414"/>
      <c r="AI1382" s="1414"/>
      <c r="AJ1382" s="1414"/>
      <c r="AK1382" s="1414"/>
      <c r="AL1382" s="1414"/>
      <c r="AM1382" s="1414"/>
      <c r="AN1382" s="1414"/>
      <c r="AO1382" s="1414"/>
      <c r="AP1382" s="1414"/>
      <c r="AQ1382" s="1414"/>
      <c r="AR1382" s="1414"/>
      <c r="AS1382" s="1414"/>
      <c r="AT1382" s="1414"/>
      <c r="AU1382" s="1414"/>
      <c r="AV1382" s="1414"/>
      <c r="AW1382" s="1414"/>
      <c r="AX1382" s="1414"/>
      <c r="AY1382" s="1399"/>
      <c r="AZ1382" s="1399"/>
      <c r="BA1382" s="1399"/>
      <c r="BB1382" s="1399"/>
      <c r="BC1382" s="1399"/>
      <c r="BD1382" s="1399"/>
      <c r="BE1382" s="1414"/>
      <c r="BF1382" s="1399"/>
      <c r="BG1382" s="1399"/>
      <c r="BH1382" s="1399"/>
      <c r="BI1382" s="1399"/>
      <c r="BJ1382" s="1399"/>
      <c r="BK1382" s="1399"/>
      <c r="BL1382" s="1399"/>
      <c r="BM1382" s="1399"/>
      <c r="BN1382" s="1399"/>
      <c r="BO1382" s="1399"/>
      <c r="BP1382" s="1399"/>
      <c r="BQ1382" s="1399"/>
      <c r="BR1382" s="1399"/>
      <c r="BS1382" s="1399"/>
      <c r="BT1382" s="1399"/>
      <c r="BU1382" s="1399"/>
      <c r="BV1382" s="1399"/>
      <c r="BW1382" s="1399"/>
      <c r="BX1382" s="1399"/>
      <c r="BY1382" s="1399"/>
      <c r="BZ1382" s="1399"/>
      <c r="CA1382" s="1399"/>
      <c r="CB1382" s="1399"/>
      <c r="CC1382" s="1399"/>
      <c r="CD1382" s="1399"/>
      <c r="CE1382" s="1399"/>
      <c r="CF1382" s="1399"/>
      <c r="CG1382" s="1399"/>
      <c r="CH1382" s="1399"/>
      <c r="CI1382" s="1399"/>
      <c r="CJ1382" s="1399"/>
      <c r="CK1382" s="1399"/>
      <c r="CL1382" s="1399"/>
      <c r="CM1382" s="1399"/>
      <c r="CN1382" s="1399"/>
      <c r="CO1382" s="1399"/>
      <c r="CP1382" s="1399"/>
      <c r="CQ1382" s="1399"/>
      <c r="CR1382" s="1399"/>
      <c r="CS1382" s="1399"/>
      <c r="CT1382" s="1399"/>
      <c r="CU1382" s="1399"/>
      <c r="CV1382" s="1399"/>
      <c r="CW1382" s="1399"/>
      <c r="CX1382" s="1399"/>
      <c r="CY1382" s="1399"/>
      <c r="CZ1382" s="1399"/>
      <c r="DA1382" s="1399"/>
      <c r="DB1382" s="1399"/>
      <c r="DC1382" s="1399"/>
      <c r="DD1382" s="1399"/>
      <c r="DE1382" s="1399"/>
      <c r="DF1382" s="1399"/>
      <c r="DG1382" s="1399"/>
      <c r="DH1382" s="1399"/>
      <c r="DI1382" s="1399"/>
      <c r="DJ1382" s="1399"/>
      <c r="DK1382" s="1399"/>
      <c r="DL1382" s="1399"/>
      <c r="DM1382" s="1399"/>
      <c r="DN1382" s="1399"/>
      <c r="DO1382" s="1399"/>
      <c r="DP1382" s="1399"/>
      <c r="DQ1382" s="1399"/>
      <c r="DR1382" s="1399"/>
      <c r="DS1382" s="1399"/>
      <c r="DT1382" s="1399"/>
      <c r="DU1382" s="1399"/>
    </row>
    <row r="1383" spans="1:125">
      <c r="A1383" s="1414"/>
      <c r="B1383" s="1414"/>
      <c r="C1383" s="1414"/>
      <c r="D1383" s="1414"/>
      <c r="E1383" s="1414"/>
      <c r="F1383" s="1414"/>
      <c r="G1383" s="1414"/>
      <c r="H1383" s="1414"/>
      <c r="I1383" s="1414"/>
      <c r="J1383" s="1414"/>
      <c r="K1383" s="1414"/>
      <c r="L1383" s="1414"/>
      <c r="M1383" s="1414"/>
      <c r="N1383" s="1414"/>
      <c r="O1383" s="1414"/>
      <c r="P1383" s="1414"/>
      <c r="Q1383" s="1414"/>
      <c r="R1383" s="1414"/>
      <c r="S1383" s="1414"/>
      <c r="T1383" s="1414"/>
      <c r="U1383" s="1414"/>
      <c r="V1383" s="1414"/>
      <c r="W1383" s="1414"/>
      <c r="X1383" s="1414"/>
      <c r="Y1383" s="1414"/>
      <c r="Z1383" s="1414"/>
      <c r="AA1383" s="1414"/>
      <c r="AB1383" s="1414"/>
      <c r="AC1383" s="1414"/>
      <c r="AD1383" s="1414"/>
      <c r="AE1383" s="1414"/>
      <c r="AF1383" s="1414"/>
      <c r="AG1383" s="1414"/>
      <c r="AH1383" s="1414"/>
      <c r="AI1383" s="1414"/>
      <c r="AJ1383" s="1414"/>
      <c r="AK1383" s="1414"/>
      <c r="AL1383" s="1414"/>
      <c r="AM1383" s="1414"/>
      <c r="AN1383" s="1414"/>
      <c r="AO1383" s="1414"/>
      <c r="AP1383" s="1414"/>
      <c r="AQ1383" s="1414"/>
      <c r="AR1383" s="1414"/>
      <c r="AS1383" s="1414"/>
      <c r="AT1383" s="1414"/>
      <c r="AU1383" s="1414"/>
      <c r="AV1383" s="1414"/>
      <c r="AW1383" s="1414"/>
      <c r="AX1383" s="1414"/>
      <c r="AY1383" s="1399"/>
      <c r="AZ1383" s="1399"/>
      <c r="BA1383" s="1399"/>
      <c r="BB1383" s="1399"/>
      <c r="BC1383" s="1399"/>
      <c r="BD1383" s="1399"/>
      <c r="BE1383" s="1414"/>
      <c r="BF1383" s="1399"/>
      <c r="BG1383" s="1399"/>
      <c r="BH1383" s="1399"/>
      <c r="BI1383" s="1399"/>
      <c r="BJ1383" s="1399"/>
      <c r="BK1383" s="1399"/>
      <c r="BL1383" s="1399"/>
      <c r="BM1383" s="1399"/>
      <c r="BN1383" s="1399"/>
      <c r="BO1383" s="1399"/>
      <c r="BP1383" s="1399"/>
      <c r="BQ1383" s="1399"/>
      <c r="BR1383" s="1399"/>
      <c r="BS1383" s="1399"/>
      <c r="BT1383" s="1399"/>
      <c r="BU1383" s="1399"/>
      <c r="BV1383" s="1399"/>
      <c r="BW1383" s="1399"/>
      <c r="BX1383" s="1399"/>
      <c r="BY1383" s="1399"/>
      <c r="BZ1383" s="1399"/>
      <c r="CA1383" s="1399"/>
      <c r="CB1383" s="1399"/>
      <c r="CC1383" s="1399"/>
      <c r="CD1383" s="1399"/>
      <c r="CE1383" s="1399"/>
      <c r="CF1383" s="1399"/>
      <c r="CG1383" s="1399"/>
      <c r="CH1383" s="1399"/>
      <c r="CI1383" s="1399"/>
      <c r="CJ1383" s="1399"/>
      <c r="CK1383" s="1399"/>
      <c r="CL1383" s="1399"/>
      <c r="CM1383" s="1399"/>
      <c r="CN1383" s="1399"/>
      <c r="CO1383" s="1399"/>
      <c r="CP1383" s="1399"/>
      <c r="CQ1383" s="1399"/>
      <c r="CR1383" s="1399"/>
      <c r="CS1383" s="1399"/>
      <c r="CT1383" s="1399"/>
      <c r="CU1383" s="1399"/>
      <c r="CV1383" s="1399"/>
      <c r="CW1383" s="1399"/>
      <c r="CX1383" s="1399"/>
      <c r="CY1383" s="1399"/>
      <c r="CZ1383" s="1399"/>
      <c r="DA1383" s="1399"/>
      <c r="DB1383" s="1399"/>
      <c r="DC1383" s="1399"/>
      <c r="DD1383" s="1399"/>
      <c r="DE1383" s="1399"/>
      <c r="DF1383" s="1399"/>
      <c r="DG1383" s="1399"/>
      <c r="DH1383" s="1399"/>
      <c r="DI1383" s="1399"/>
      <c r="DJ1383" s="1399"/>
      <c r="DK1383" s="1399"/>
      <c r="DL1383" s="1399"/>
      <c r="DM1383" s="1399"/>
      <c r="DN1383" s="1399"/>
      <c r="DO1383" s="1399"/>
      <c r="DP1383" s="1399"/>
      <c r="DQ1383" s="1399"/>
      <c r="DR1383" s="1399"/>
      <c r="DS1383" s="1399"/>
      <c r="DT1383" s="1399"/>
      <c r="DU1383" s="1399"/>
    </row>
    <row r="1384" spans="1:125">
      <c r="A1384" s="1414"/>
      <c r="B1384" s="1414"/>
      <c r="C1384" s="1414"/>
      <c r="D1384" s="1414"/>
      <c r="E1384" s="1414"/>
      <c r="F1384" s="1414"/>
      <c r="G1384" s="1414"/>
      <c r="H1384" s="1414"/>
      <c r="I1384" s="1414"/>
      <c r="J1384" s="1414"/>
      <c r="K1384" s="1414"/>
      <c r="L1384" s="1414"/>
      <c r="M1384" s="1414"/>
      <c r="N1384" s="1414"/>
      <c r="O1384" s="1414"/>
      <c r="P1384" s="1414"/>
      <c r="Q1384" s="1414"/>
      <c r="R1384" s="1414"/>
      <c r="S1384" s="1414"/>
      <c r="T1384" s="1414"/>
      <c r="U1384" s="1414"/>
      <c r="V1384" s="1414"/>
      <c r="W1384" s="1414"/>
      <c r="X1384" s="1414"/>
      <c r="Y1384" s="1414"/>
      <c r="Z1384" s="1414"/>
      <c r="AA1384" s="1414"/>
      <c r="AB1384" s="1414"/>
      <c r="AC1384" s="1414"/>
      <c r="AD1384" s="1414"/>
      <c r="AE1384" s="1414"/>
      <c r="AF1384" s="1414"/>
      <c r="AG1384" s="1414"/>
      <c r="AH1384" s="1414"/>
      <c r="AI1384" s="1414"/>
      <c r="AJ1384" s="1414"/>
      <c r="AK1384" s="1414"/>
      <c r="AL1384" s="1414"/>
      <c r="AM1384" s="1414"/>
      <c r="AN1384" s="1414"/>
      <c r="AO1384" s="1414"/>
      <c r="AP1384" s="1414"/>
      <c r="AQ1384" s="1414"/>
      <c r="AR1384" s="1414"/>
      <c r="AS1384" s="1414"/>
      <c r="AT1384" s="1414"/>
      <c r="AU1384" s="1414"/>
      <c r="AV1384" s="1414"/>
      <c r="AW1384" s="1414"/>
      <c r="AX1384" s="1414"/>
      <c r="AY1384" s="1399"/>
      <c r="AZ1384" s="1399"/>
      <c r="BA1384" s="1399"/>
      <c r="BB1384" s="1399"/>
      <c r="BC1384" s="1399"/>
      <c r="BD1384" s="1399"/>
      <c r="BE1384" s="1414"/>
      <c r="BF1384" s="1399"/>
      <c r="BG1384" s="1399"/>
      <c r="BH1384" s="1399"/>
      <c r="BI1384" s="1399"/>
      <c r="BJ1384" s="1399"/>
      <c r="BK1384" s="1399"/>
      <c r="BL1384" s="1399"/>
      <c r="BM1384" s="1399"/>
      <c r="BN1384" s="1399"/>
      <c r="BO1384" s="1399"/>
      <c r="BP1384" s="1399"/>
      <c r="BQ1384" s="1399"/>
      <c r="BR1384" s="1399"/>
      <c r="BS1384" s="1399"/>
      <c r="BT1384" s="1399"/>
      <c r="BU1384" s="1399"/>
      <c r="BV1384" s="1399"/>
      <c r="BW1384" s="1399"/>
      <c r="BX1384" s="1399"/>
      <c r="BY1384" s="1399"/>
      <c r="BZ1384" s="1399"/>
      <c r="CA1384" s="1399"/>
      <c r="CB1384" s="1399"/>
      <c r="CC1384" s="1399"/>
      <c r="CD1384" s="1399"/>
      <c r="CE1384" s="1399"/>
      <c r="CF1384" s="1399"/>
      <c r="CG1384" s="1399"/>
      <c r="CH1384" s="1399"/>
      <c r="CI1384" s="1399"/>
      <c r="CJ1384" s="1399"/>
      <c r="CK1384" s="1399"/>
      <c r="CL1384" s="1399"/>
      <c r="CM1384" s="1399"/>
      <c r="CN1384" s="1399"/>
      <c r="CO1384" s="1399"/>
      <c r="CP1384" s="1399"/>
      <c r="CQ1384" s="1399"/>
      <c r="CR1384" s="1399"/>
      <c r="CS1384" s="1399"/>
      <c r="CT1384" s="1399"/>
      <c r="CU1384" s="1399"/>
      <c r="CV1384" s="1399"/>
      <c r="CW1384" s="1399"/>
      <c r="CX1384" s="1399"/>
      <c r="CY1384" s="1399"/>
      <c r="CZ1384" s="1399"/>
      <c r="DA1384" s="1399"/>
      <c r="DB1384" s="1399"/>
      <c r="DC1384" s="1399"/>
      <c r="DD1384" s="1399"/>
      <c r="DE1384" s="1399"/>
      <c r="DF1384" s="1399"/>
      <c r="DG1384" s="1399"/>
      <c r="DH1384" s="1399"/>
      <c r="DI1384" s="1399"/>
      <c r="DJ1384" s="1399"/>
      <c r="DK1384" s="1399"/>
      <c r="DL1384" s="1399"/>
      <c r="DM1384" s="1399"/>
      <c r="DN1384" s="1399"/>
      <c r="DO1384" s="1399"/>
      <c r="DP1384" s="1399"/>
      <c r="DQ1384" s="1399"/>
      <c r="DR1384" s="1399"/>
      <c r="DS1384" s="1399"/>
      <c r="DT1384" s="1399"/>
      <c r="DU1384" s="1399"/>
    </row>
    <row r="1385" spans="1:125">
      <c r="A1385" s="1414"/>
      <c r="B1385" s="1414"/>
      <c r="C1385" s="1414"/>
      <c r="D1385" s="1414"/>
      <c r="E1385" s="1414"/>
      <c r="F1385" s="1414"/>
      <c r="G1385" s="1414"/>
      <c r="H1385" s="1414"/>
      <c r="I1385" s="1414"/>
      <c r="J1385" s="1414"/>
      <c r="K1385" s="1414"/>
      <c r="L1385" s="1414"/>
      <c r="M1385" s="1414"/>
      <c r="N1385" s="1414"/>
      <c r="O1385" s="1414"/>
      <c r="P1385" s="1414"/>
      <c r="Q1385" s="1414"/>
      <c r="R1385" s="1414"/>
      <c r="S1385" s="1414"/>
      <c r="T1385" s="1414"/>
      <c r="U1385" s="1414"/>
      <c r="V1385" s="1414"/>
      <c r="W1385" s="1414"/>
      <c r="X1385" s="1414"/>
      <c r="Y1385" s="1414"/>
      <c r="Z1385" s="1414"/>
      <c r="AA1385" s="1414"/>
      <c r="AB1385" s="1414"/>
      <c r="AC1385" s="1414"/>
      <c r="AD1385" s="1414"/>
      <c r="AE1385" s="1414"/>
      <c r="AF1385" s="1414"/>
      <c r="AG1385" s="1414"/>
      <c r="AH1385" s="1414"/>
      <c r="AI1385" s="1414"/>
      <c r="AJ1385" s="1414"/>
      <c r="AK1385" s="1414"/>
      <c r="AL1385" s="1414"/>
      <c r="AM1385" s="1414"/>
      <c r="AN1385" s="1414"/>
      <c r="AO1385" s="1414"/>
      <c r="AP1385" s="1414"/>
      <c r="AQ1385" s="1414"/>
      <c r="AR1385" s="1414"/>
      <c r="AS1385" s="1414"/>
      <c r="AT1385" s="1414"/>
      <c r="AU1385" s="1414"/>
      <c r="AV1385" s="1414"/>
      <c r="AW1385" s="1414"/>
      <c r="AX1385" s="1414"/>
      <c r="AY1385" s="1399"/>
      <c r="AZ1385" s="1399"/>
      <c r="BA1385" s="1399"/>
      <c r="BB1385" s="1399"/>
      <c r="BC1385" s="1399"/>
      <c r="BD1385" s="1399"/>
      <c r="BE1385" s="1414"/>
      <c r="BF1385" s="1399"/>
      <c r="BG1385" s="1399"/>
      <c r="BH1385" s="1399"/>
      <c r="BI1385" s="1399"/>
      <c r="BJ1385" s="1399"/>
      <c r="BK1385" s="1399"/>
      <c r="BL1385" s="1399"/>
      <c r="BM1385" s="1399"/>
      <c r="BN1385" s="1399"/>
      <c r="BO1385" s="1399"/>
      <c r="BP1385" s="1399"/>
      <c r="BQ1385" s="1399"/>
      <c r="BR1385" s="1399"/>
      <c r="BS1385" s="1399"/>
      <c r="BT1385" s="1399"/>
      <c r="BU1385" s="1399"/>
      <c r="BV1385" s="1399"/>
      <c r="BW1385" s="1399"/>
      <c r="BX1385" s="1399"/>
      <c r="BY1385" s="1399"/>
      <c r="BZ1385" s="1399"/>
      <c r="CA1385" s="1399"/>
      <c r="CB1385" s="1399"/>
      <c r="CC1385" s="1399"/>
      <c r="CD1385" s="1399"/>
      <c r="CE1385" s="1399"/>
      <c r="CF1385" s="1399"/>
      <c r="CG1385" s="1399"/>
      <c r="CH1385" s="1399"/>
      <c r="CI1385" s="1399"/>
      <c r="CJ1385" s="1399"/>
      <c r="CK1385" s="1399"/>
      <c r="CL1385" s="1399"/>
      <c r="CM1385" s="1399"/>
      <c r="CN1385" s="1399"/>
      <c r="CO1385" s="1399"/>
      <c r="CP1385" s="1399"/>
      <c r="CQ1385" s="1399"/>
      <c r="CR1385" s="1399"/>
      <c r="CS1385" s="1399"/>
      <c r="CT1385" s="1399"/>
      <c r="CU1385" s="1399"/>
      <c r="CV1385" s="1399"/>
      <c r="CW1385" s="1399"/>
      <c r="CX1385" s="1399"/>
      <c r="CY1385" s="1399"/>
      <c r="CZ1385" s="1399"/>
      <c r="DA1385" s="1399"/>
      <c r="DB1385" s="1399"/>
      <c r="DC1385" s="1399"/>
      <c r="DD1385" s="1399"/>
      <c r="DE1385" s="1399"/>
      <c r="DF1385" s="1399"/>
      <c r="DG1385" s="1399"/>
      <c r="DH1385" s="1399"/>
      <c r="DI1385" s="1399"/>
      <c r="DJ1385" s="1399"/>
      <c r="DK1385" s="1399"/>
      <c r="DL1385" s="1399"/>
      <c r="DM1385" s="1399"/>
      <c r="DN1385" s="1399"/>
      <c r="DO1385" s="1399"/>
      <c r="DP1385" s="1399"/>
      <c r="DQ1385" s="1399"/>
      <c r="DR1385" s="1399"/>
      <c r="DS1385" s="1399"/>
      <c r="DT1385" s="1399"/>
      <c r="DU1385" s="1399"/>
    </row>
    <row r="1386" spans="1:125">
      <c r="A1386" s="1414"/>
      <c r="B1386" s="1414"/>
      <c r="C1386" s="1414"/>
      <c r="D1386" s="1414"/>
      <c r="E1386" s="1414"/>
      <c r="F1386" s="1414"/>
      <c r="G1386" s="1414"/>
      <c r="H1386" s="1414"/>
      <c r="I1386" s="1414"/>
      <c r="J1386" s="1414"/>
      <c r="K1386" s="1414"/>
      <c r="L1386" s="1414"/>
      <c r="M1386" s="1414"/>
      <c r="N1386" s="1414"/>
      <c r="O1386" s="1414"/>
      <c r="P1386" s="1414"/>
      <c r="Q1386" s="1414"/>
      <c r="R1386" s="1414"/>
      <c r="S1386" s="1414"/>
      <c r="T1386" s="1414"/>
      <c r="U1386" s="1414"/>
      <c r="V1386" s="1414"/>
      <c r="W1386" s="1414"/>
      <c r="X1386" s="1414"/>
      <c r="Y1386" s="1414"/>
      <c r="Z1386" s="1414"/>
      <c r="AA1386" s="1414"/>
      <c r="AB1386" s="1414"/>
      <c r="AC1386" s="1414"/>
      <c r="AD1386" s="1414"/>
      <c r="AE1386" s="1414"/>
      <c r="AF1386" s="1414"/>
      <c r="AG1386" s="1414"/>
      <c r="AH1386" s="1414"/>
      <c r="AI1386" s="1414"/>
      <c r="AJ1386" s="1414"/>
      <c r="AK1386" s="1414"/>
      <c r="AL1386" s="1414"/>
      <c r="AM1386" s="1414"/>
      <c r="AN1386" s="1414"/>
      <c r="AO1386" s="1414"/>
      <c r="AP1386" s="1414"/>
      <c r="AQ1386" s="1414"/>
      <c r="AR1386" s="1414"/>
      <c r="AS1386" s="1414"/>
      <c r="AT1386" s="1414"/>
      <c r="AU1386" s="1414"/>
      <c r="AV1386" s="1414"/>
      <c r="AW1386" s="1414"/>
      <c r="AX1386" s="1414"/>
      <c r="AY1386" s="1399"/>
      <c r="AZ1386" s="1399"/>
      <c r="BA1386" s="1399"/>
      <c r="BB1386" s="1399"/>
      <c r="BC1386" s="1399"/>
      <c r="BD1386" s="1399"/>
      <c r="BE1386" s="1414"/>
      <c r="BF1386" s="1399"/>
      <c r="BG1386" s="1399"/>
      <c r="BH1386" s="1399"/>
      <c r="BI1386" s="1399"/>
      <c r="BJ1386" s="1399"/>
      <c r="BK1386" s="1399"/>
      <c r="BL1386" s="1399"/>
      <c r="BM1386" s="1399"/>
      <c r="BN1386" s="1399"/>
      <c r="BO1386" s="1399"/>
      <c r="BP1386" s="1399"/>
      <c r="BQ1386" s="1399"/>
      <c r="BR1386" s="1399"/>
      <c r="BS1386" s="1399"/>
      <c r="BT1386" s="1399"/>
      <c r="BU1386" s="1399"/>
      <c r="BV1386" s="1399"/>
      <c r="BW1386" s="1399"/>
      <c r="BX1386" s="1399"/>
      <c r="BY1386" s="1399"/>
      <c r="BZ1386" s="1399"/>
      <c r="CA1386" s="1399"/>
      <c r="CB1386" s="1399"/>
      <c r="CC1386" s="1399"/>
      <c r="CD1386" s="1399"/>
      <c r="CE1386" s="1399"/>
      <c r="CF1386" s="1399"/>
      <c r="CG1386" s="1399"/>
      <c r="CH1386" s="1399"/>
      <c r="CI1386" s="1399"/>
      <c r="CJ1386" s="1399"/>
      <c r="CK1386" s="1399"/>
      <c r="CL1386" s="1399"/>
      <c r="CM1386" s="1399"/>
      <c r="CN1386" s="1399"/>
      <c r="CO1386" s="1399"/>
      <c r="CP1386" s="1399"/>
      <c r="CQ1386" s="1399"/>
      <c r="CR1386" s="1399"/>
      <c r="CS1386" s="1399"/>
      <c r="CT1386" s="1399"/>
      <c r="CU1386" s="1399"/>
      <c r="CV1386" s="1399"/>
      <c r="CW1386" s="1399"/>
      <c r="CX1386" s="1399"/>
      <c r="CY1386" s="1399"/>
      <c r="CZ1386" s="1399"/>
      <c r="DA1386" s="1399"/>
      <c r="DB1386" s="1399"/>
      <c r="DC1386" s="1399"/>
      <c r="DD1386" s="1399"/>
      <c r="DE1386" s="1399"/>
      <c r="DF1386" s="1399"/>
      <c r="DG1386" s="1399"/>
      <c r="DH1386" s="1399"/>
      <c r="DI1386" s="1399"/>
      <c r="DJ1386" s="1399"/>
      <c r="DK1386" s="1399"/>
      <c r="DL1386" s="1399"/>
      <c r="DM1386" s="1399"/>
      <c r="DN1386" s="1399"/>
      <c r="DO1386" s="1399"/>
      <c r="DP1386" s="1399"/>
      <c r="DQ1386" s="1399"/>
      <c r="DR1386" s="1399"/>
      <c r="DS1386" s="1399"/>
      <c r="DT1386" s="1399"/>
      <c r="DU1386" s="1399"/>
    </row>
    <row r="1387" spans="1:125">
      <c r="A1387" s="1414"/>
      <c r="B1387" s="1414"/>
      <c r="C1387" s="1414"/>
      <c r="D1387" s="1414"/>
      <c r="E1387" s="1414"/>
      <c r="F1387" s="1414"/>
      <c r="G1387" s="1414"/>
      <c r="H1387" s="1414"/>
      <c r="I1387" s="1414"/>
      <c r="J1387" s="1414"/>
      <c r="K1387" s="1414"/>
      <c r="L1387" s="1414"/>
      <c r="M1387" s="1414"/>
      <c r="N1387" s="1414"/>
      <c r="O1387" s="1414"/>
      <c r="P1387" s="1414"/>
      <c r="Q1387" s="1414"/>
      <c r="R1387" s="1414"/>
      <c r="S1387" s="1414"/>
      <c r="T1387" s="1414"/>
      <c r="U1387" s="1414"/>
      <c r="V1387" s="1414"/>
      <c r="W1387" s="1414"/>
      <c r="X1387" s="1414"/>
      <c r="Y1387" s="1414"/>
      <c r="Z1387" s="1414"/>
      <c r="AA1387" s="1414"/>
      <c r="AB1387" s="1414"/>
      <c r="AC1387" s="1414"/>
      <c r="AD1387" s="1414"/>
      <c r="AE1387" s="1414"/>
      <c r="AF1387" s="1414"/>
      <c r="AG1387" s="1414"/>
      <c r="AH1387" s="1414"/>
      <c r="AI1387" s="1414"/>
      <c r="AJ1387" s="1414"/>
      <c r="AK1387" s="1414"/>
      <c r="AL1387" s="1414"/>
      <c r="AM1387" s="1414"/>
      <c r="AN1387" s="1414"/>
      <c r="AO1387" s="1414"/>
      <c r="AP1387" s="1414"/>
      <c r="AQ1387" s="1414"/>
      <c r="AR1387" s="1414"/>
      <c r="AS1387" s="1414"/>
      <c r="AT1387" s="1414"/>
      <c r="AU1387" s="1414"/>
      <c r="AV1387" s="1414"/>
      <c r="AW1387" s="1414"/>
      <c r="AX1387" s="1414"/>
      <c r="AY1387" s="1399"/>
      <c r="AZ1387" s="1399"/>
      <c r="BA1387" s="1399"/>
      <c r="BB1387" s="1399"/>
      <c r="BC1387" s="1399"/>
      <c r="BD1387" s="1399"/>
      <c r="BE1387" s="1414"/>
      <c r="BF1387" s="1399"/>
      <c r="BG1387" s="1399"/>
      <c r="BH1387" s="1399"/>
      <c r="BI1387" s="1399"/>
      <c r="BJ1387" s="1399"/>
      <c r="BK1387" s="1399"/>
      <c r="BL1387" s="1399"/>
      <c r="BM1387" s="1399"/>
      <c r="BN1387" s="1399"/>
      <c r="BO1387" s="1399"/>
      <c r="BP1387" s="1399"/>
      <c r="BQ1387" s="1399"/>
      <c r="BR1387" s="1399"/>
      <c r="BS1387" s="1399"/>
      <c r="BT1387" s="1399"/>
      <c r="BU1387" s="1399"/>
      <c r="BV1387" s="1399"/>
      <c r="BW1387" s="1399"/>
      <c r="BX1387" s="1399"/>
      <c r="BY1387" s="1399"/>
      <c r="BZ1387" s="1399"/>
      <c r="CA1387" s="1399"/>
      <c r="CB1387" s="1399"/>
      <c r="CC1387" s="1399"/>
      <c r="CD1387" s="1399"/>
      <c r="CE1387" s="1399"/>
      <c r="CF1387" s="1399"/>
      <c r="CG1387" s="1399"/>
      <c r="CH1387" s="1399"/>
      <c r="CI1387" s="1399"/>
      <c r="CJ1387" s="1399"/>
      <c r="CK1387" s="1399"/>
      <c r="CL1387" s="1399"/>
      <c r="CM1387" s="1399"/>
      <c r="CN1387" s="1399"/>
      <c r="CO1387" s="1399"/>
      <c r="CP1387" s="1399"/>
      <c r="CQ1387" s="1399"/>
      <c r="CR1387" s="1399"/>
      <c r="CS1387" s="1399"/>
      <c r="CT1387" s="1399"/>
      <c r="CU1387" s="1399"/>
      <c r="CV1387" s="1399"/>
      <c r="CW1387" s="1399"/>
      <c r="CX1387" s="1399"/>
      <c r="CY1387" s="1399"/>
      <c r="CZ1387" s="1399"/>
      <c r="DA1387" s="1399"/>
      <c r="DB1387" s="1399"/>
      <c r="DC1387" s="1399"/>
      <c r="DD1387" s="1399"/>
      <c r="DE1387" s="1399"/>
      <c r="DF1387" s="1399"/>
      <c r="DG1387" s="1399"/>
      <c r="DH1387" s="1399"/>
      <c r="DI1387" s="1399"/>
      <c r="DJ1387" s="1399"/>
      <c r="DK1387" s="1399"/>
      <c r="DL1387" s="1399"/>
      <c r="DM1387" s="1399"/>
      <c r="DN1387" s="1399"/>
      <c r="DO1387" s="1399"/>
      <c r="DP1387" s="1399"/>
      <c r="DQ1387" s="1399"/>
      <c r="DR1387" s="1399"/>
      <c r="DS1387" s="1399"/>
      <c r="DT1387" s="1399"/>
      <c r="DU1387" s="1399"/>
    </row>
    <row r="1388" spans="1:125">
      <c r="A1388" s="1414"/>
      <c r="B1388" s="1414"/>
      <c r="C1388" s="1414"/>
      <c r="D1388" s="1414"/>
      <c r="E1388" s="1414"/>
      <c r="F1388" s="1414"/>
      <c r="G1388" s="1414"/>
      <c r="H1388" s="1414"/>
      <c r="I1388" s="1414"/>
      <c r="J1388" s="1414"/>
      <c r="K1388" s="1414"/>
      <c r="L1388" s="1414"/>
      <c r="M1388" s="1414"/>
      <c r="N1388" s="1414"/>
      <c r="O1388" s="1414"/>
      <c r="P1388" s="1414"/>
      <c r="Q1388" s="1414"/>
      <c r="R1388" s="1414"/>
      <c r="S1388" s="1414"/>
      <c r="T1388" s="1414"/>
      <c r="U1388" s="1414"/>
      <c r="V1388" s="1414"/>
      <c r="W1388" s="1414"/>
      <c r="X1388" s="1414"/>
      <c r="Y1388" s="1414"/>
      <c r="Z1388" s="1414"/>
      <c r="AA1388" s="1414"/>
      <c r="AB1388" s="1414"/>
      <c r="AC1388" s="1414"/>
      <c r="AD1388" s="1414"/>
      <c r="AE1388" s="1414"/>
      <c r="AF1388" s="1414"/>
      <c r="AG1388" s="1414"/>
      <c r="AH1388" s="1414"/>
      <c r="AI1388" s="1414"/>
      <c r="AJ1388" s="1414"/>
      <c r="AK1388" s="1414"/>
      <c r="AL1388" s="1414"/>
      <c r="AM1388" s="1414"/>
      <c r="AN1388" s="1414"/>
      <c r="AO1388" s="1414"/>
      <c r="AP1388" s="1414"/>
      <c r="AQ1388" s="1414"/>
      <c r="AR1388" s="1414"/>
      <c r="AS1388" s="1414"/>
      <c r="AT1388" s="1414"/>
      <c r="AU1388" s="1414"/>
      <c r="AV1388" s="1414"/>
      <c r="AW1388" s="1414"/>
      <c r="AX1388" s="1414"/>
      <c r="AY1388" s="1399"/>
      <c r="AZ1388" s="1399"/>
      <c r="BA1388" s="1399"/>
      <c r="BB1388" s="1399"/>
      <c r="BC1388" s="1399"/>
      <c r="BD1388" s="1399"/>
      <c r="BE1388" s="1414"/>
      <c r="BF1388" s="1399"/>
      <c r="BG1388" s="1399"/>
      <c r="BH1388" s="1399"/>
      <c r="BI1388" s="1399"/>
      <c r="BJ1388" s="1399"/>
      <c r="BK1388" s="1399"/>
      <c r="BL1388" s="1399"/>
      <c r="BM1388" s="1399"/>
      <c r="BN1388" s="1399"/>
      <c r="BO1388" s="1399"/>
      <c r="BP1388" s="1399"/>
      <c r="BQ1388" s="1399"/>
      <c r="BR1388" s="1399"/>
      <c r="BS1388" s="1399"/>
      <c r="BT1388" s="1399"/>
      <c r="BU1388" s="1399"/>
      <c r="BV1388" s="1399"/>
      <c r="BW1388" s="1399"/>
      <c r="BX1388" s="1399"/>
      <c r="BY1388" s="1399"/>
      <c r="BZ1388" s="1399"/>
      <c r="CA1388" s="1399"/>
      <c r="CB1388" s="1399"/>
      <c r="CC1388" s="1399"/>
      <c r="CD1388" s="1399"/>
      <c r="CE1388" s="1399"/>
      <c r="CF1388" s="1399"/>
      <c r="CG1388" s="1399"/>
      <c r="CH1388" s="1399"/>
      <c r="CI1388" s="1399"/>
      <c r="CJ1388" s="1399"/>
      <c r="CK1388" s="1399"/>
      <c r="CL1388" s="1399"/>
      <c r="CM1388" s="1399"/>
      <c r="CN1388" s="1399"/>
      <c r="CO1388" s="1399"/>
      <c r="CP1388" s="1399"/>
      <c r="CQ1388" s="1399"/>
      <c r="CR1388" s="1399"/>
      <c r="CS1388" s="1399"/>
      <c r="CT1388" s="1399"/>
      <c r="CU1388" s="1399"/>
      <c r="CV1388" s="1399"/>
      <c r="CW1388" s="1399"/>
      <c r="CX1388" s="1399"/>
      <c r="CY1388" s="1399"/>
      <c r="CZ1388" s="1399"/>
      <c r="DA1388" s="1399"/>
      <c r="DB1388" s="1399"/>
      <c r="DC1388" s="1399"/>
      <c r="DD1388" s="1399"/>
      <c r="DE1388" s="1399"/>
      <c r="DF1388" s="1399"/>
      <c r="DG1388" s="1399"/>
      <c r="DH1388" s="1399"/>
      <c r="DI1388" s="1399"/>
      <c r="DJ1388" s="1399"/>
      <c r="DK1388" s="1399"/>
      <c r="DL1388" s="1399"/>
      <c r="DM1388" s="1399"/>
      <c r="DN1388" s="1399"/>
      <c r="DO1388" s="1399"/>
      <c r="DP1388" s="1399"/>
      <c r="DQ1388" s="1399"/>
      <c r="DR1388" s="1399"/>
      <c r="DS1388" s="1399"/>
      <c r="DT1388" s="1399"/>
      <c r="DU1388" s="1399"/>
    </row>
    <row r="1389" spans="1:125">
      <c r="A1389" s="1414"/>
      <c r="B1389" s="1414"/>
      <c r="C1389" s="1414"/>
      <c r="D1389" s="1414"/>
      <c r="E1389" s="1414"/>
      <c r="F1389" s="1414"/>
      <c r="G1389" s="1414"/>
      <c r="H1389" s="1414"/>
      <c r="I1389" s="1414"/>
      <c r="J1389" s="1414"/>
      <c r="K1389" s="1414"/>
      <c r="L1389" s="1414"/>
      <c r="M1389" s="1414"/>
      <c r="N1389" s="1414"/>
      <c r="O1389" s="1414"/>
      <c r="P1389" s="1414"/>
      <c r="Q1389" s="1414"/>
      <c r="R1389" s="1414"/>
      <c r="S1389" s="1414"/>
      <c r="T1389" s="1414"/>
      <c r="U1389" s="1414"/>
      <c r="V1389" s="1414"/>
      <c r="W1389" s="1414"/>
      <c r="X1389" s="1414"/>
      <c r="Y1389" s="1414"/>
      <c r="Z1389" s="1414"/>
      <c r="AA1389" s="1414"/>
      <c r="AB1389" s="1414"/>
      <c r="AC1389" s="1414"/>
      <c r="AD1389" s="1414"/>
      <c r="AE1389" s="1414"/>
      <c r="AF1389" s="1414"/>
      <c r="AG1389" s="1414"/>
      <c r="AH1389" s="1414"/>
      <c r="AI1389" s="1414"/>
      <c r="AJ1389" s="1414"/>
      <c r="AK1389" s="1414"/>
      <c r="AL1389" s="1414"/>
      <c r="AM1389" s="1414"/>
      <c r="AN1389" s="1414"/>
      <c r="AO1389" s="1414"/>
      <c r="AP1389" s="1414"/>
      <c r="AQ1389" s="1414"/>
      <c r="AR1389" s="1414"/>
      <c r="AS1389" s="1414"/>
      <c r="AT1389" s="1414"/>
      <c r="AU1389" s="1414"/>
      <c r="AV1389" s="1414"/>
      <c r="AW1389" s="1414"/>
      <c r="AX1389" s="1414"/>
      <c r="AY1389" s="1399"/>
      <c r="AZ1389" s="1399"/>
      <c r="BA1389" s="1399"/>
      <c r="BB1389" s="1399"/>
      <c r="BC1389" s="1399"/>
      <c r="BD1389" s="1399"/>
      <c r="BE1389" s="1414"/>
      <c r="BF1389" s="1399"/>
      <c r="BG1389" s="1399"/>
      <c r="BH1389" s="1399"/>
      <c r="BI1389" s="1399"/>
      <c r="BJ1389" s="1399"/>
      <c r="BK1389" s="1399"/>
      <c r="BL1389" s="1399"/>
      <c r="BM1389" s="1399"/>
      <c r="BN1389" s="1399"/>
      <c r="BO1389" s="1399"/>
      <c r="BP1389" s="1399"/>
      <c r="BQ1389" s="1399"/>
      <c r="BR1389" s="1399"/>
      <c r="BS1389" s="1399"/>
      <c r="BT1389" s="1399"/>
      <c r="BU1389" s="1399"/>
      <c r="BV1389" s="1399"/>
      <c r="BW1389" s="1399"/>
      <c r="BX1389" s="1399"/>
      <c r="BY1389" s="1399"/>
      <c r="BZ1389" s="1399"/>
      <c r="CA1389" s="1399"/>
      <c r="CB1389" s="1399"/>
      <c r="CC1389" s="1399"/>
      <c r="CD1389" s="1399"/>
      <c r="CE1389" s="1399"/>
      <c r="CF1389" s="1399"/>
      <c r="CG1389" s="1399"/>
      <c r="CH1389" s="1399"/>
      <c r="CI1389" s="1399"/>
      <c r="CJ1389" s="1399"/>
      <c r="CK1389" s="1399"/>
      <c r="CL1389" s="1399"/>
      <c r="CM1389" s="1399"/>
      <c r="CN1389" s="1399"/>
      <c r="CO1389" s="1399"/>
      <c r="CP1389" s="1399"/>
      <c r="CQ1389" s="1399"/>
      <c r="CR1389" s="1399"/>
      <c r="CS1389" s="1399"/>
      <c r="CT1389" s="1399"/>
      <c r="CU1389" s="1399"/>
      <c r="CV1389" s="1399"/>
      <c r="CW1389" s="1399"/>
      <c r="CX1389" s="1399"/>
      <c r="CY1389" s="1399"/>
      <c r="CZ1389" s="1399"/>
      <c r="DA1389" s="1399"/>
      <c r="DB1389" s="1399"/>
      <c r="DC1389" s="1399"/>
      <c r="DD1389" s="1399"/>
      <c r="DE1389" s="1399"/>
      <c r="DF1389" s="1399"/>
      <c r="DG1389" s="1399"/>
      <c r="DH1389" s="1399"/>
      <c r="DI1389" s="1399"/>
      <c r="DJ1389" s="1399"/>
      <c r="DK1389" s="1399"/>
      <c r="DL1389" s="1399"/>
      <c r="DM1389" s="1399"/>
      <c r="DN1389" s="1399"/>
      <c r="DO1389" s="1399"/>
      <c r="DP1389" s="1399"/>
      <c r="DQ1389" s="1399"/>
      <c r="DR1389" s="1399"/>
      <c r="DS1389" s="1399"/>
      <c r="DT1389" s="1399"/>
      <c r="DU1389" s="1399"/>
    </row>
    <row r="1390" spans="1:125">
      <c r="A1390" s="1414"/>
      <c r="B1390" s="1414"/>
      <c r="C1390" s="1414"/>
      <c r="D1390" s="1414"/>
      <c r="E1390" s="1414"/>
      <c r="F1390" s="1414"/>
      <c r="G1390" s="1414"/>
      <c r="H1390" s="1414"/>
      <c r="I1390" s="1414"/>
      <c r="J1390" s="1414"/>
      <c r="K1390" s="1414"/>
      <c r="L1390" s="1414"/>
      <c r="M1390" s="1414"/>
      <c r="N1390" s="1414"/>
      <c r="O1390" s="1414"/>
      <c r="P1390" s="1414"/>
      <c r="Q1390" s="1414"/>
      <c r="R1390" s="1414"/>
      <c r="S1390" s="1414"/>
      <c r="T1390" s="1414"/>
      <c r="U1390" s="1414"/>
      <c r="V1390" s="1414"/>
      <c r="W1390" s="1414"/>
      <c r="X1390" s="1414"/>
      <c r="Y1390" s="1414"/>
      <c r="Z1390" s="1414"/>
      <c r="AA1390" s="1414"/>
      <c r="AB1390" s="1414"/>
      <c r="AC1390" s="1414"/>
      <c r="AD1390" s="1414"/>
      <c r="AE1390" s="1414"/>
      <c r="AF1390" s="1414"/>
      <c r="AG1390" s="1414"/>
      <c r="AH1390" s="1414"/>
      <c r="AI1390" s="1414"/>
      <c r="AJ1390" s="1414"/>
      <c r="AK1390" s="1414"/>
      <c r="AL1390" s="1414"/>
      <c r="AM1390" s="1414"/>
      <c r="AN1390" s="1414"/>
      <c r="AO1390" s="1414"/>
      <c r="AP1390" s="1414"/>
      <c r="AQ1390" s="1414"/>
      <c r="AR1390" s="1414"/>
      <c r="AS1390" s="1414"/>
      <c r="AT1390" s="1414"/>
      <c r="AU1390" s="1414"/>
      <c r="AV1390" s="1414"/>
      <c r="AW1390" s="1414"/>
      <c r="AX1390" s="1414"/>
      <c r="AY1390" s="1399"/>
      <c r="AZ1390" s="1399"/>
      <c r="BA1390" s="1399"/>
      <c r="BB1390" s="1399"/>
      <c r="BC1390" s="1399"/>
      <c r="BD1390" s="1399"/>
      <c r="BE1390" s="1414"/>
      <c r="BF1390" s="1399"/>
      <c r="BG1390" s="1399"/>
      <c r="BH1390" s="1399"/>
      <c r="BI1390" s="1399"/>
      <c r="BJ1390" s="1399"/>
      <c r="BK1390" s="1399"/>
      <c r="BL1390" s="1399"/>
      <c r="BM1390" s="1399"/>
      <c r="BN1390" s="1399"/>
      <c r="BO1390" s="1399"/>
      <c r="BP1390" s="1399"/>
      <c r="BQ1390" s="1399"/>
      <c r="BR1390" s="1399"/>
      <c r="BS1390" s="1399"/>
      <c r="BT1390" s="1399"/>
      <c r="BU1390" s="1399"/>
      <c r="BV1390" s="1399"/>
      <c r="BW1390" s="1399"/>
      <c r="BX1390" s="1399"/>
      <c r="BY1390" s="1399"/>
      <c r="BZ1390" s="1399"/>
      <c r="CA1390" s="1399"/>
      <c r="CB1390" s="1399"/>
      <c r="CC1390" s="1399"/>
      <c r="CD1390" s="1399"/>
      <c r="CE1390" s="1399"/>
      <c r="CF1390" s="1399"/>
      <c r="CG1390" s="1399"/>
      <c r="CH1390" s="1399"/>
      <c r="CI1390" s="1399"/>
      <c r="CJ1390" s="1399"/>
      <c r="CK1390" s="1399"/>
      <c r="CL1390" s="1399"/>
      <c r="CM1390" s="1399"/>
      <c r="CN1390" s="1399"/>
      <c r="CO1390" s="1399"/>
      <c r="CP1390" s="1399"/>
      <c r="CQ1390" s="1399"/>
      <c r="CR1390" s="1399"/>
      <c r="CS1390" s="1399"/>
      <c r="CT1390" s="1399"/>
      <c r="CU1390" s="1399"/>
      <c r="CV1390" s="1399"/>
      <c r="CW1390" s="1399"/>
      <c r="CX1390" s="1399"/>
      <c r="CY1390" s="1399"/>
      <c r="CZ1390" s="1399"/>
      <c r="DA1390" s="1399"/>
      <c r="DB1390" s="1399"/>
      <c r="DC1390" s="1399"/>
      <c r="DD1390" s="1399"/>
      <c r="DE1390" s="1399"/>
      <c r="DF1390" s="1399"/>
      <c r="DG1390" s="1399"/>
      <c r="DH1390" s="1399"/>
      <c r="DI1390" s="1399"/>
      <c r="DJ1390" s="1399"/>
      <c r="DK1390" s="1399"/>
      <c r="DL1390" s="1399"/>
      <c r="DM1390" s="1399"/>
      <c r="DN1390" s="1399"/>
      <c r="DO1390" s="1399"/>
      <c r="DP1390" s="1399"/>
      <c r="DQ1390" s="1399"/>
      <c r="DR1390" s="1399"/>
      <c r="DS1390" s="1399"/>
      <c r="DT1390" s="1399"/>
      <c r="DU1390" s="1399"/>
    </row>
    <row r="1391" spans="1:125">
      <c r="A1391" s="1414"/>
      <c r="B1391" s="1414"/>
      <c r="C1391" s="1414"/>
      <c r="D1391" s="1414"/>
      <c r="E1391" s="1414"/>
      <c r="F1391" s="1414"/>
      <c r="G1391" s="1414"/>
      <c r="H1391" s="1414"/>
      <c r="I1391" s="1414"/>
      <c r="J1391" s="1414"/>
      <c r="K1391" s="1414"/>
      <c r="L1391" s="1414"/>
      <c r="M1391" s="1414"/>
      <c r="N1391" s="1414"/>
      <c r="O1391" s="1414"/>
      <c r="P1391" s="1414"/>
      <c r="Q1391" s="1414"/>
      <c r="R1391" s="1414"/>
      <c r="S1391" s="1414"/>
      <c r="T1391" s="1414"/>
      <c r="U1391" s="1414"/>
      <c r="V1391" s="1414"/>
      <c r="W1391" s="1414"/>
      <c r="X1391" s="1414"/>
      <c r="Y1391" s="1414"/>
      <c r="Z1391" s="1414"/>
      <c r="AA1391" s="1414"/>
      <c r="AB1391" s="1414"/>
      <c r="AC1391" s="1414"/>
      <c r="AD1391" s="1414"/>
      <c r="AE1391" s="1414"/>
      <c r="AF1391" s="1414"/>
      <c r="AG1391" s="1414"/>
      <c r="AH1391" s="1414"/>
      <c r="AI1391" s="1414"/>
      <c r="AJ1391" s="1414"/>
      <c r="AK1391" s="1414"/>
      <c r="AL1391" s="1414"/>
      <c r="AM1391" s="1414"/>
      <c r="AN1391" s="1414"/>
      <c r="AO1391" s="1414"/>
      <c r="AP1391" s="1414"/>
      <c r="AQ1391" s="1414"/>
      <c r="AR1391" s="1414"/>
      <c r="AS1391" s="1414"/>
      <c r="AT1391" s="1414"/>
      <c r="AU1391" s="1414"/>
      <c r="AV1391" s="1414"/>
      <c r="AW1391" s="1414"/>
      <c r="AX1391" s="1414"/>
      <c r="AY1391" s="1399"/>
      <c r="AZ1391" s="1399"/>
      <c r="BA1391" s="1399"/>
      <c r="BB1391" s="1399"/>
      <c r="BC1391" s="1399"/>
      <c r="BD1391" s="1399"/>
      <c r="BE1391" s="1414"/>
      <c r="BF1391" s="1399"/>
      <c r="BG1391" s="1399"/>
      <c r="BH1391" s="1399"/>
      <c r="BI1391" s="1399"/>
      <c r="BJ1391" s="1399"/>
      <c r="BK1391" s="1399"/>
      <c r="BL1391" s="1399"/>
      <c r="BM1391" s="1399"/>
      <c r="BN1391" s="1399"/>
      <c r="BO1391" s="1399"/>
      <c r="BP1391" s="1399"/>
      <c r="BQ1391" s="1399"/>
      <c r="BR1391" s="1399"/>
      <c r="BS1391" s="1399"/>
      <c r="BT1391" s="1399"/>
      <c r="BU1391" s="1399"/>
      <c r="BV1391" s="1399"/>
      <c r="BW1391" s="1399"/>
      <c r="BX1391" s="1399"/>
      <c r="BY1391" s="1399"/>
      <c r="BZ1391" s="1399"/>
      <c r="CA1391" s="1399"/>
      <c r="CB1391" s="1399"/>
      <c r="CC1391" s="1399"/>
      <c r="CD1391" s="1399"/>
      <c r="CE1391" s="1399"/>
      <c r="CF1391" s="1399"/>
      <c r="CG1391" s="1399"/>
      <c r="CH1391" s="1399"/>
      <c r="CI1391" s="1399"/>
      <c r="CJ1391" s="1399"/>
      <c r="CK1391" s="1399"/>
      <c r="CL1391" s="1399"/>
      <c r="CM1391" s="1399"/>
      <c r="CN1391" s="1399"/>
      <c r="CO1391" s="1399"/>
      <c r="CP1391" s="1399"/>
      <c r="CQ1391" s="1399"/>
      <c r="CR1391" s="1399"/>
      <c r="CS1391" s="1399"/>
      <c r="CT1391" s="1399"/>
      <c r="CU1391" s="1399"/>
      <c r="CV1391" s="1399"/>
      <c r="CW1391" s="1399"/>
      <c r="CX1391" s="1399"/>
      <c r="CY1391" s="1399"/>
      <c r="CZ1391" s="1399"/>
      <c r="DA1391" s="1399"/>
      <c r="DB1391" s="1399"/>
      <c r="DC1391" s="1399"/>
      <c r="DD1391" s="1399"/>
      <c r="DE1391" s="1399"/>
      <c r="DF1391" s="1399"/>
      <c r="DG1391" s="1399"/>
      <c r="DH1391" s="1399"/>
      <c r="DI1391" s="1399"/>
      <c r="DJ1391" s="1399"/>
      <c r="DK1391" s="1399"/>
      <c r="DL1391" s="1399"/>
      <c r="DM1391" s="1399"/>
      <c r="DN1391" s="1399"/>
      <c r="DO1391" s="1399"/>
      <c r="DP1391" s="1399"/>
      <c r="DQ1391" s="1399"/>
      <c r="DR1391" s="1399"/>
      <c r="DS1391" s="1399"/>
      <c r="DT1391" s="1399"/>
      <c r="DU1391" s="1399"/>
    </row>
    <row r="1392" spans="1:125">
      <c r="A1392" s="1414"/>
      <c r="B1392" s="1414"/>
      <c r="C1392" s="1414"/>
      <c r="D1392" s="1414"/>
      <c r="E1392" s="1414"/>
      <c r="F1392" s="1414"/>
      <c r="G1392" s="1414"/>
      <c r="H1392" s="1414"/>
      <c r="I1392" s="1414"/>
      <c r="J1392" s="1414"/>
      <c r="K1392" s="1414"/>
      <c r="L1392" s="1414"/>
      <c r="M1392" s="1414"/>
      <c r="N1392" s="1414"/>
      <c r="O1392" s="1414"/>
      <c r="P1392" s="1414"/>
      <c r="Q1392" s="1414"/>
      <c r="R1392" s="1414"/>
      <c r="S1392" s="1414"/>
      <c r="T1392" s="1414"/>
      <c r="U1392" s="1414"/>
      <c r="V1392" s="1414"/>
      <c r="W1392" s="1414"/>
      <c r="X1392" s="1414"/>
      <c r="Y1392" s="1414"/>
      <c r="Z1392" s="1414"/>
      <c r="AA1392" s="1414"/>
      <c r="AB1392" s="1414"/>
      <c r="AC1392" s="1414"/>
      <c r="AD1392" s="1414"/>
      <c r="AE1392" s="1414"/>
      <c r="AF1392" s="1414"/>
      <c r="AG1392" s="1414"/>
      <c r="AH1392" s="1414"/>
      <c r="AI1392" s="1414"/>
      <c r="AJ1392" s="1414"/>
      <c r="AK1392" s="1414"/>
      <c r="AL1392" s="1414"/>
      <c r="AM1392" s="1414"/>
      <c r="AN1392" s="1414"/>
      <c r="AO1392" s="1414"/>
      <c r="AP1392" s="1414"/>
      <c r="AQ1392" s="1414"/>
      <c r="AR1392" s="1414"/>
      <c r="AS1392" s="1414"/>
      <c r="AT1392" s="1414"/>
      <c r="AU1392" s="1414"/>
      <c r="AV1392" s="1414"/>
      <c r="AW1392" s="1414"/>
      <c r="AX1392" s="1414"/>
      <c r="AY1392" s="1399"/>
      <c r="AZ1392" s="1399"/>
      <c r="BA1392" s="1399"/>
      <c r="BB1392" s="1399"/>
      <c r="BC1392" s="1399"/>
      <c r="BD1392" s="1399"/>
      <c r="BE1392" s="1414"/>
      <c r="BF1392" s="1399"/>
      <c r="BG1392" s="1399"/>
      <c r="BH1392" s="1399"/>
      <c r="BI1392" s="1399"/>
      <c r="BJ1392" s="1399"/>
      <c r="BK1392" s="1399"/>
      <c r="BL1392" s="1399"/>
      <c r="BM1392" s="1399"/>
      <c r="BN1392" s="1399"/>
      <c r="BO1392" s="1399"/>
      <c r="BP1392" s="1399"/>
      <c r="BQ1392" s="1399"/>
      <c r="BR1392" s="1399"/>
      <c r="BS1392" s="1399"/>
      <c r="BT1392" s="1399"/>
      <c r="BU1392" s="1399"/>
      <c r="BV1392" s="1399"/>
      <c r="BW1392" s="1399"/>
      <c r="BX1392" s="1399"/>
      <c r="BY1392" s="1399"/>
      <c r="BZ1392" s="1399"/>
      <c r="CA1392" s="1399"/>
      <c r="CB1392" s="1399"/>
      <c r="CC1392" s="1399"/>
      <c r="CD1392" s="1399"/>
      <c r="CE1392" s="1399"/>
      <c r="CF1392" s="1399"/>
      <c r="CG1392" s="1399"/>
      <c r="CH1392" s="1399"/>
      <c r="CI1392" s="1399"/>
      <c r="CJ1392" s="1399"/>
      <c r="CK1392" s="1399"/>
      <c r="CL1392" s="1399"/>
      <c r="CM1392" s="1399"/>
      <c r="CN1392" s="1399"/>
      <c r="CO1392" s="1399"/>
      <c r="CP1392" s="1399"/>
      <c r="CQ1392" s="1399"/>
      <c r="CR1392" s="1399"/>
      <c r="CS1392" s="1399"/>
      <c r="CT1392" s="1399"/>
      <c r="CU1392" s="1399"/>
      <c r="CV1392" s="1399"/>
      <c r="CW1392" s="1399"/>
      <c r="CX1392" s="1399"/>
      <c r="CY1392" s="1399"/>
      <c r="CZ1392" s="1399"/>
      <c r="DA1392" s="1399"/>
      <c r="DB1392" s="1399"/>
      <c r="DC1392" s="1399"/>
      <c r="DD1392" s="1399"/>
      <c r="DE1392" s="1399"/>
      <c r="DF1392" s="1399"/>
      <c r="DG1392" s="1399"/>
      <c r="DH1392" s="1399"/>
      <c r="DI1392" s="1399"/>
      <c r="DJ1392" s="1399"/>
      <c r="DK1392" s="1399"/>
      <c r="DL1392" s="1399"/>
      <c r="DM1392" s="1399"/>
      <c r="DN1392" s="1399"/>
      <c r="DO1392" s="1399"/>
      <c r="DP1392" s="1399"/>
      <c r="DQ1392" s="1399"/>
      <c r="DR1392" s="1399"/>
      <c r="DS1392" s="1399"/>
      <c r="DT1392" s="1399"/>
      <c r="DU1392" s="1399"/>
    </row>
    <row r="1393" spans="1:125">
      <c r="A1393" s="1414"/>
      <c r="B1393" s="1414"/>
      <c r="C1393" s="1414"/>
      <c r="D1393" s="1414"/>
      <c r="E1393" s="1414"/>
      <c r="F1393" s="1414"/>
      <c r="G1393" s="1414"/>
      <c r="H1393" s="1414"/>
      <c r="I1393" s="1414"/>
      <c r="J1393" s="1414"/>
      <c r="K1393" s="1414"/>
      <c r="L1393" s="1414"/>
      <c r="M1393" s="1414"/>
      <c r="N1393" s="1414"/>
      <c r="O1393" s="1414"/>
      <c r="P1393" s="1414"/>
      <c r="Q1393" s="1414"/>
      <c r="R1393" s="1414"/>
      <c r="S1393" s="1414"/>
      <c r="T1393" s="1414"/>
      <c r="U1393" s="1414"/>
      <c r="V1393" s="1414"/>
      <c r="W1393" s="1414"/>
      <c r="X1393" s="1414"/>
      <c r="Y1393" s="1414"/>
      <c r="Z1393" s="1414"/>
      <c r="AA1393" s="1414"/>
      <c r="AB1393" s="1414"/>
      <c r="AC1393" s="1414"/>
      <c r="AD1393" s="1414"/>
      <c r="AE1393" s="1414"/>
      <c r="AF1393" s="1414"/>
      <c r="AG1393" s="1414"/>
      <c r="AH1393" s="1414"/>
      <c r="AI1393" s="1414"/>
      <c r="AJ1393" s="1414"/>
      <c r="AK1393" s="1414"/>
      <c r="AL1393" s="1414"/>
      <c r="AM1393" s="1414"/>
      <c r="AN1393" s="1414"/>
      <c r="AO1393" s="1414"/>
      <c r="AP1393" s="1414"/>
      <c r="AQ1393" s="1414"/>
      <c r="AR1393" s="1414"/>
      <c r="AS1393" s="1414"/>
      <c r="AT1393" s="1414"/>
      <c r="AU1393" s="1414"/>
      <c r="AV1393" s="1414"/>
      <c r="AW1393" s="1414"/>
      <c r="AX1393" s="1414"/>
      <c r="AY1393" s="1399"/>
      <c r="AZ1393" s="1399"/>
      <c r="BA1393" s="1399"/>
      <c r="BB1393" s="1399"/>
      <c r="BC1393" s="1399"/>
      <c r="BD1393" s="1399"/>
      <c r="BE1393" s="1414"/>
      <c r="BF1393" s="1399"/>
      <c r="BG1393" s="1399"/>
      <c r="BH1393" s="1399"/>
      <c r="BI1393" s="1399"/>
      <c r="BJ1393" s="1399"/>
      <c r="BK1393" s="1399"/>
      <c r="BL1393" s="1399"/>
      <c r="BM1393" s="1399"/>
      <c r="BN1393" s="1399"/>
      <c r="BO1393" s="1399"/>
      <c r="BP1393" s="1399"/>
      <c r="BQ1393" s="1399"/>
      <c r="BR1393" s="1399"/>
      <c r="BS1393" s="1399"/>
      <c r="BT1393" s="1399"/>
      <c r="BU1393" s="1399"/>
      <c r="BV1393" s="1399"/>
      <c r="BW1393" s="1399"/>
      <c r="BX1393" s="1399"/>
      <c r="BY1393" s="1399"/>
      <c r="BZ1393" s="1399"/>
      <c r="CA1393" s="1399"/>
      <c r="CB1393" s="1399"/>
      <c r="CC1393" s="1399"/>
      <c r="CD1393" s="1399"/>
      <c r="CE1393" s="1399"/>
      <c r="CF1393" s="1399"/>
      <c r="CG1393" s="1399"/>
      <c r="CH1393" s="1399"/>
      <c r="CI1393" s="1399"/>
      <c r="CJ1393" s="1399"/>
      <c r="CK1393" s="1399"/>
      <c r="CL1393" s="1399"/>
      <c r="CM1393" s="1399"/>
      <c r="CN1393" s="1399"/>
      <c r="CO1393" s="1399"/>
      <c r="CP1393" s="1399"/>
      <c r="CQ1393" s="1399"/>
      <c r="CR1393" s="1399"/>
      <c r="CS1393" s="1399"/>
      <c r="CT1393" s="1399"/>
      <c r="CU1393" s="1399"/>
      <c r="CV1393" s="1399"/>
      <c r="CW1393" s="1399"/>
      <c r="CX1393" s="1399"/>
      <c r="CY1393" s="1399"/>
      <c r="CZ1393" s="1399"/>
      <c r="DA1393" s="1399"/>
      <c r="DB1393" s="1399"/>
      <c r="DC1393" s="1399"/>
      <c r="DD1393" s="1399"/>
      <c r="DE1393" s="1399"/>
      <c r="DF1393" s="1399"/>
      <c r="DG1393" s="1399"/>
      <c r="DH1393" s="1399"/>
      <c r="DI1393" s="1399"/>
      <c r="DJ1393" s="1399"/>
      <c r="DK1393" s="1399"/>
      <c r="DL1393" s="1399"/>
      <c r="DM1393" s="1399"/>
      <c r="DN1393" s="1399"/>
      <c r="DO1393" s="1399"/>
      <c r="DP1393" s="1399"/>
      <c r="DQ1393" s="1399"/>
      <c r="DR1393" s="1399"/>
      <c r="DS1393" s="1399"/>
      <c r="DT1393" s="1399"/>
      <c r="DU1393" s="1399"/>
    </row>
    <row r="1394" spans="1:125">
      <c r="A1394" s="1414"/>
      <c r="B1394" s="1414"/>
      <c r="C1394" s="1414"/>
      <c r="D1394" s="1414"/>
      <c r="E1394" s="1414"/>
      <c r="F1394" s="1414"/>
      <c r="G1394" s="1414"/>
      <c r="H1394" s="1414"/>
      <c r="I1394" s="1414"/>
      <c r="J1394" s="1414"/>
      <c r="K1394" s="1414"/>
      <c r="L1394" s="1414"/>
      <c r="M1394" s="1414"/>
      <c r="N1394" s="1414"/>
      <c r="O1394" s="1414"/>
      <c r="P1394" s="1414"/>
      <c r="Q1394" s="1414"/>
      <c r="R1394" s="1414"/>
      <c r="S1394" s="1414"/>
      <c r="T1394" s="1414"/>
      <c r="U1394" s="1414"/>
      <c r="V1394" s="1414"/>
      <c r="W1394" s="1414"/>
      <c r="X1394" s="1414"/>
      <c r="Y1394" s="1414"/>
      <c r="Z1394" s="1414"/>
      <c r="AA1394" s="1414"/>
      <c r="AB1394" s="1414"/>
      <c r="AC1394" s="1414"/>
      <c r="AD1394" s="1414"/>
      <c r="AE1394" s="1414"/>
      <c r="AF1394" s="1414"/>
      <c r="AG1394" s="1414"/>
      <c r="AH1394" s="1414"/>
      <c r="AI1394" s="1414"/>
      <c r="AJ1394" s="1414"/>
      <c r="AK1394" s="1414"/>
      <c r="AL1394" s="1414"/>
      <c r="AM1394" s="1414"/>
      <c r="AN1394" s="1414"/>
      <c r="AO1394" s="1414"/>
      <c r="AP1394" s="1414"/>
      <c r="AQ1394" s="1414"/>
      <c r="AR1394" s="1414"/>
      <c r="AS1394" s="1414"/>
      <c r="AT1394" s="1414"/>
      <c r="AU1394" s="1414"/>
      <c r="AV1394" s="1414"/>
      <c r="AW1394" s="1414"/>
      <c r="AX1394" s="1414"/>
      <c r="AY1394" s="1399"/>
      <c r="AZ1394" s="1399"/>
      <c r="BA1394" s="1399"/>
      <c r="BB1394" s="1399"/>
      <c r="BC1394" s="1399"/>
      <c r="BD1394" s="1399"/>
      <c r="BE1394" s="1414"/>
      <c r="BF1394" s="1399"/>
      <c r="BG1394" s="1399"/>
      <c r="BH1394" s="1399"/>
      <c r="BI1394" s="1399"/>
      <c r="BJ1394" s="1399"/>
      <c r="BK1394" s="1399"/>
      <c r="BL1394" s="1399"/>
      <c r="BM1394" s="1399"/>
      <c r="BN1394" s="1399"/>
      <c r="BO1394" s="1399"/>
      <c r="BP1394" s="1399"/>
      <c r="BQ1394" s="1399"/>
      <c r="BR1394" s="1399"/>
      <c r="BS1394" s="1399"/>
      <c r="BT1394" s="1399"/>
      <c r="BU1394" s="1399"/>
      <c r="BV1394" s="1399"/>
      <c r="BW1394" s="1399"/>
      <c r="BX1394" s="1399"/>
      <c r="BY1394" s="1399"/>
      <c r="BZ1394" s="1399"/>
      <c r="CA1394" s="1399"/>
      <c r="CB1394" s="1399"/>
      <c r="CC1394" s="1399"/>
      <c r="CD1394" s="1399"/>
      <c r="CE1394" s="1399"/>
      <c r="CF1394" s="1399"/>
      <c r="CG1394" s="1399"/>
      <c r="CH1394" s="1399"/>
      <c r="CI1394" s="1399"/>
      <c r="CJ1394" s="1399"/>
      <c r="CK1394" s="1399"/>
      <c r="CL1394" s="1399"/>
      <c r="CM1394" s="1399"/>
      <c r="CN1394" s="1399"/>
      <c r="CO1394" s="1399"/>
      <c r="CP1394" s="1399"/>
      <c r="CQ1394" s="1399"/>
      <c r="CR1394" s="1399"/>
      <c r="CS1394" s="1399"/>
      <c r="CT1394" s="1399"/>
      <c r="CU1394" s="1399"/>
      <c r="CV1394" s="1399"/>
      <c r="CW1394" s="1399"/>
      <c r="CX1394" s="1399"/>
      <c r="CY1394" s="1399"/>
      <c r="CZ1394" s="1399"/>
      <c r="DA1394" s="1399"/>
      <c r="DB1394" s="1399"/>
      <c r="DC1394" s="1399"/>
      <c r="DD1394" s="1399"/>
      <c r="DE1394" s="1399"/>
      <c r="DF1394" s="1399"/>
      <c r="DG1394" s="1399"/>
      <c r="DH1394" s="1399"/>
      <c r="DI1394" s="1399"/>
      <c r="DJ1394" s="1399"/>
      <c r="DK1394" s="1399"/>
      <c r="DL1394" s="1399"/>
      <c r="DM1394" s="1399"/>
      <c r="DN1394" s="1399"/>
      <c r="DO1394" s="1399"/>
      <c r="DP1394" s="1399"/>
      <c r="DQ1394" s="1399"/>
      <c r="DR1394" s="1399"/>
      <c r="DS1394" s="1399"/>
      <c r="DT1394" s="1399"/>
      <c r="DU1394" s="1399"/>
    </row>
    <row r="1395" spans="1:125">
      <c r="A1395" s="1414"/>
      <c r="B1395" s="1414"/>
      <c r="C1395" s="1414"/>
      <c r="D1395" s="1414"/>
      <c r="E1395" s="1414"/>
      <c r="F1395" s="1414"/>
      <c r="G1395" s="1414"/>
      <c r="H1395" s="1414"/>
      <c r="I1395" s="1414"/>
      <c r="J1395" s="1414"/>
      <c r="K1395" s="1414"/>
      <c r="L1395" s="1414"/>
      <c r="M1395" s="1414"/>
      <c r="N1395" s="1414"/>
      <c r="O1395" s="1414"/>
      <c r="P1395" s="1414"/>
      <c r="Q1395" s="1414"/>
      <c r="R1395" s="1414"/>
      <c r="S1395" s="1414"/>
      <c r="T1395" s="1414"/>
      <c r="U1395" s="1414"/>
      <c r="V1395" s="1414"/>
      <c r="W1395" s="1414"/>
      <c r="X1395" s="1414"/>
      <c r="Y1395" s="1414"/>
      <c r="Z1395" s="1414"/>
      <c r="AA1395" s="1414"/>
      <c r="AB1395" s="1414"/>
      <c r="AC1395" s="1414"/>
      <c r="AD1395" s="1414"/>
      <c r="AE1395" s="1414"/>
      <c r="AF1395" s="1414"/>
      <c r="AG1395" s="1414"/>
      <c r="AH1395" s="1414"/>
      <c r="AI1395" s="1414"/>
      <c r="AJ1395" s="1414"/>
      <c r="AK1395" s="1414"/>
      <c r="AL1395" s="1414"/>
      <c r="AM1395" s="1414"/>
      <c r="AN1395" s="1414"/>
      <c r="AO1395" s="1414"/>
      <c r="AP1395" s="1414"/>
      <c r="AQ1395" s="1414"/>
      <c r="AR1395" s="1414"/>
      <c r="AS1395" s="1414"/>
      <c r="AT1395" s="1414"/>
      <c r="AU1395" s="1414"/>
      <c r="AV1395" s="1414"/>
      <c r="AW1395" s="1414"/>
      <c r="AX1395" s="1414"/>
      <c r="AY1395" s="1399"/>
      <c r="AZ1395" s="1399"/>
      <c r="BA1395" s="1399"/>
      <c r="BB1395" s="1399"/>
      <c r="BC1395" s="1399"/>
      <c r="BD1395" s="1399"/>
      <c r="BE1395" s="1414"/>
      <c r="BF1395" s="1399"/>
      <c r="BG1395" s="1399"/>
      <c r="BH1395" s="1399"/>
      <c r="BI1395" s="1399"/>
      <c r="BJ1395" s="1399"/>
      <c r="BK1395" s="1399"/>
      <c r="BL1395" s="1399"/>
      <c r="BM1395" s="1399"/>
      <c r="BN1395" s="1399"/>
      <c r="BO1395" s="1399"/>
      <c r="BP1395" s="1399"/>
      <c r="BQ1395" s="1399"/>
      <c r="BR1395" s="1399"/>
      <c r="BS1395" s="1399"/>
      <c r="BT1395" s="1399"/>
      <c r="BU1395" s="1399"/>
      <c r="BV1395" s="1399"/>
      <c r="BW1395" s="1399"/>
      <c r="BX1395" s="1399"/>
      <c r="BY1395" s="1399"/>
      <c r="BZ1395" s="1399"/>
      <c r="CA1395" s="1399"/>
      <c r="CB1395" s="1399"/>
      <c r="CC1395" s="1399"/>
      <c r="CD1395" s="1399"/>
      <c r="CE1395" s="1399"/>
      <c r="CF1395" s="1399"/>
      <c r="CG1395" s="1399"/>
      <c r="CH1395" s="1399"/>
      <c r="CI1395" s="1399"/>
      <c r="CJ1395" s="1399"/>
      <c r="CK1395" s="1399"/>
      <c r="CL1395" s="1399"/>
      <c r="CM1395" s="1399"/>
      <c r="CN1395" s="1399"/>
      <c r="CO1395" s="1399"/>
      <c r="CP1395" s="1399"/>
      <c r="CQ1395" s="1399"/>
      <c r="CR1395" s="1399"/>
      <c r="CS1395" s="1399"/>
      <c r="CT1395" s="1399"/>
      <c r="CU1395" s="1399"/>
      <c r="CV1395" s="1399"/>
      <c r="CW1395" s="1399"/>
      <c r="CX1395" s="1399"/>
      <c r="CY1395" s="1399"/>
      <c r="CZ1395" s="1399"/>
      <c r="DA1395" s="1399"/>
      <c r="DB1395" s="1399"/>
      <c r="DC1395" s="1399"/>
      <c r="DD1395" s="1399"/>
      <c r="DE1395" s="1399"/>
      <c r="DF1395" s="1399"/>
      <c r="DG1395" s="1399"/>
      <c r="DH1395" s="1399"/>
      <c r="DI1395" s="1399"/>
      <c r="DJ1395" s="1399"/>
      <c r="DK1395" s="1399"/>
      <c r="DL1395" s="1399"/>
      <c r="DM1395" s="1399"/>
      <c r="DN1395" s="1399"/>
      <c r="DO1395" s="1399"/>
      <c r="DP1395" s="1399"/>
      <c r="DQ1395" s="1399"/>
      <c r="DR1395" s="1399"/>
      <c r="DS1395" s="1399"/>
      <c r="DT1395" s="1399"/>
      <c r="DU1395" s="1399"/>
    </row>
    <row r="1396" spans="1:125">
      <c r="A1396" s="1414"/>
      <c r="B1396" s="1414"/>
      <c r="C1396" s="1414"/>
      <c r="D1396" s="1414"/>
      <c r="E1396" s="1414"/>
      <c r="F1396" s="1414"/>
      <c r="G1396" s="1414"/>
      <c r="H1396" s="1414"/>
      <c r="I1396" s="1414"/>
      <c r="J1396" s="1414"/>
      <c r="K1396" s="1414"/>
      <c r="L1396" s="1414"/>
      <c r="M1396" s="1414"/>
      <c r="N1396" s="1414"/>
      <c r="O1396" s="1414"/>
      <c r="P1396" s="1414"/>
      <c r="Q1396" s="1414"/>
      <c r="R1396" s="1414"/>
      <c r="S1396" s="1414"/>
      <c r="T1396" s="1414"/>
      <c r="U1396" s="1414"/>
      <c r="V1396" s="1414"/>
      <c r="W1396" s="1414"/>
      <c r="X1396" s="1414"/>
      <c r="Y1396" s="1414"/>
      <c r="Z1396" s="1414"/>
      <c r="AA1396" s="1414"/>
      <c r="AB1396" s="1414"/>
      <c r="AC1396" s="1414"/>
      <c r="AD1396" s="1414"/>
      <c r="AE1396" s="1414"/>
      <c r="AF1396" s="1414"/>
      <c r="AG1396" s="1414"/>
      <c r="AH1396" s="1414"/>
      <c r="AI1396" s="1414"/>
      <c r="AJ1396" s="1414"/>
      <c r="AK1396" s="1414"/>
      <c r="AL1396" s="1414"/>
      <c r="AM1396" s="1414"/>
      <c r="AN1396" s="1414"/>
      <c r="AO1396" s="1414"/>
      <c r="AP1396" s="1414"/>
      <c r="AQ1396" s="1414"/>
      <c r="AR1396" s="1414"/>
      <c r="AS1396" s="1414"/>
      <c r="AT1396" s="1414"/>
      <c r="AU1396" s="1414"/>
      <c r="AV1396" s="1414"/>
      <c r="AW1396" s="1414"/>
      <c r="AX1396" s="1414"/>
      <c r="AY1396" s="1399"/>
      <c r="AZ1396" s="1399"/>
      <c r="BA1396" s="1399"/>
      <c r="BB1396" s="1399"/>
      <c r="BC1396" s="1399"/>
      <c r="BD1396" s="1399"/>
      <c r="BE1396" s="1414"/>
      <c r="BF1396" s="1399"/>
      <c r="BG1396" s="1399"/>
      <c r="BH1396" s="1399"/>
      <c r="BI1396" s="1399"/>
      <c r="BJ1396" s="1399"/>
      <c r="BK1396" s="1399"/>
      <c r="BL1396" s="1399"/>
      <c r="BM1396" s="1399"/>
      <c r="BN1396" s="1399"/>
      <c r="BO1396" s="1399"/>
      <c r="BP1396" s="1399"/>
      <c r="BQ1396" s="1399"/>
      <c r="BR1396" s="1399"/>
      <c r="BS1396" s="1399"/>
      <c r="BT1396" s="1399"/>
      <c r="BU1396" s="1399"/>
      <c r="BV1396" s="1399"/>
      <c r="BW1396" s="1399"/>
      <c r="BX1396" s="1399"/>
      <c r="BY1396" s="1399"/>
      <c r="BZ1396" s="1399"/>
      <c r="CA1396" s="1399"/>
      <c r="CB1396" s="1399"/>
      <c r="CC1396" s="1399"/>
      <c r="CD1396" s="1399"/>
      <c r="CE1396" s="1399"/>
      <c r="CF1396" s="1399"/>
      <c r="CG1396" s="1399"/>
      <c r="CH1396" s="1399"/>
      <c r="CI1396" s="1399"/>
      <c r="CJ1396" s="1399"/>
      <c r="CK1396" s="1399"/>
      <c r="CL1396" s="1399"/>
      <c r="CM1396" s="1399"/>
      <c r="CN1396" s="1399"/>
      <c r="CO1396" s="1399"/>
      <c r="CP1396" s="1399"/>
      <c r="CQ1396" s="1399"/>
      <c r="CR1396" s="1399"/>
      <c r="CS1396" s="1399"/>
      <c r="CT1396" s="1399"/>
      <c r="CU1396" s="1399"/>
      <c r="CV1396" s="1399"/>
      <c r="CW1396" s="1399"/>
      <c r="CX1396" s="1399"/>
      <c r="CY1396" s="1399"/>
      <c r="CZ1396" s="1399"/>
      <c r="DA1396" s="1399"/>
      <c r="DB1396" s="1399"/>
      <c r="DC1396" s="1399"/>
      <c r="DD1396" s="1399"/>
      <c r="DE1396" s="1399"/>
      <c r="DF1396" s="1399"/>
      <c r="DG1396" s="1399"/>
      <c r="DH1396" s="1399"/>
      <c r="DI1396" s="1399"/>
      <c r="DJ1396" s="1399"/>
      <c r="DK1396" s="1399"/>
      <c r="DL1396" s="1399"/>
      <c r="DM1396" s="1399"/>
      <c r="DN1396" s="1399"/>
      <c r="DO1396" s="1399"/>
      <c r="DP1396" s="1399"/>
      <c r="DQ1396" s="1399"/>
      <c r="DR1396" s="1399"/>
      <c r="DS1396" s="1399"/>
      <c r="DT1396" s="1399"/>
      <c r="DU1396" s="1399"/>
    </row>
    <row r="1397" spans="1:125">
      <c r="A1397" s="1414"/>
      <c r="B1397" s="1414"/>
      <c r="C1397" s="1414"/>
      <c r="D1397" s="1414"/>
      <c r="E1397" s="1414"/>
      <c r="F1397" s="1414"/>
      <c r="G1397" s="1414"/>
      <c r="H1397" s="1414"/>
      <c r="I1397" s="1414"/>
      <c r="J1397" s="1414"/>
      <c r="K1397" s="1414"/>
      <c r="L1397" s="1414"/>
      <c r="M1397" s="1414"/>
      <c r="N1397" s="1414"/>
      <c r="O1397" s="1414"/>
      <c r="P1397" s="1414"/>
      <c r="Q1397" s="1414"/>
      <c r="R1397" s="1414"/>
      <c r="S1397" s="1414"/>
      <c r="T1397" s="1414"/>
      <c r="U1397" s="1414"/>
      <c r="V1397" s="1414"/>
      <c r="W1397" s="1414"/>
      <c r="X1397" s="1414"/>
      <c r="Y1397" s="1414"/>
      <c r="Z1397" s="1414"/>
      <c r="AA1397" s="1414"/>
      <c r="AB1397" s="1414"/>
      <c r="AC1397" s="1414"/>
      <c r="AD1397" s="1414"/>
      <c r="AE1397" s="1414"/>
      <c r="AF1397" s="1414"/>
      <c r="AG1397" s="1414"/>
      <c r="AH1397" s="1414"/>
      <c r="AI1397" s="1414"/>
      <c r="AJ1397" s="1414"/>
      <c r="AK1397" s="1414"/>
      <c r="AL1397" s="1414"/>
      <c r="AM1397" s="1414"/>
      <c r="AN1397" s="1414"/>
      <c r="AO1397" s="1414"/>
      <c r="AP1397" s="1414"/>
      <c r="AQ1397" s="1414"/>
      <c r="AR1397" s="1414"/>
      <c r="AS1397" s="1414"/>
      <c r="AT1397" s="1414"/>
      <c r="AU1397" s="1414"/>
      <c r="AV1397" s="1414"/>
      <c r="AW1397" s="1414"/>
      <c r="AX1397" s="1414"/>
      <c r="AY1397" s="1399"/>
      <c r="AZ1397" s="1399"/>
      <c r="BA1397" s="1399"/>
      <c r="BB1397" s="1399"/>
      <c r="BC1397" s="1399"/>
      <c r="BD1397" s="1399"/>
      <c r="BE1397" s="1414"/>
      <c r="BF1397" s="1399"/>
      <c r="BG1397" s="1399"/>
      <c r="BH1397" s="1399"/>
      <c r="BI1397" s="1399"/>
      <c r="BJ1397" s="1399"/>
      <c r="BK1397" s="1399"/>
      <c r="BL1397" s="1399"/>
      <c r="BM1397" s="1399"/>
      <c r="BN1397" s="1399"/>
      <c r="BO1397" s="1399"/>
      <c r="BP1397" s="1399"/>
      <c r="BQ1397" s="1399"/>
      <c r="BR1397" s="1399"/>
      <c r="BS1397" s="1399"/>
      <c r="BT1397" s="1399"/>
      <c r="BU1397" s="1399"/>
      <c r="BV1397" s="1399"/>
      <c r="BW1397" s="1399"/>
      <c r="BX1397" s="1399"/>
      <c r="BY1397" s="1399"/>
      <c r="BZ1397" s="1399"/>
      <c r="CA1397" s="1399"/>
      <c r="CB1397" s="1399"/>
      <c r="CC1397" s="1399"/>
      <c r="CD1397" s="1399"/>
      <c r="CE1397" s="1399"/>
      <c r="CF1397" s="1399"/>
      <c r="CG1397" s="1399"/>
      <c r="CH1397" s="1399"/>
      <c r="CI1397" s="1399"/>
      <c r="CJ1397" s="1399"/>
      <c r="CK1397" s="1399"/>
      <c r="CL1397" s="1399"/>
      <c r="CM1397" s="1399"/>
      <c r="CN1397" s="1399"/>
      <c r="CO1397" s="1399"/>
      <c r="CP1397" s="1399"/>
      <c r="CQ1397" s="1399"/>
      <c r="CR1397" s="1399"/>
      <c r="CS1397" s="1399"/>
      <c r="CT1397" s="1399"/>
      <c r="CU1397" s="1399"/>
      <c r="CV1397" s="1399"/>
      <c r="CW1397" s="1399"/>
      <c r="CX1397" s="1399"/>
      <c r="CY1397" s="1399"/>
      <c r="CZ1397" s="1399"/>
      <c r="DA1397" s="1399"/>
      <c r="DB1397" s="1399"/>
      <c r="DC1397" s="1399"/>
      <c r="DD1397" s="1399"/>
      <c r="DE1397" s="1399"/>
      <c r="DF1397" s="1399"/>
      <c r="DG1397" s="1399"/>
      <c r="DH1397" s="1399"/>
      <c r="DI1397" s="1399"/>
      <c r="DJ1397" s="1399"/>
      <c r="DK1397" s="1399"/>
      <c r="DL1397" s="1399"/>
      <c r="DM1397" s="1399"/>
      <c r="DN1397" s="1399"/>
      <c r="DO1397" s="1399"/>
      <c r="DP1397" s="1399"/>
      <c r="DQ1397" s="1399"/>
      <c r="DR1397" s="1399"/>
      <c r="DS1397" s="1399"/>
      <c r="DT1397" s="1399"/>
      <c r="DU1397" s="1399"/>
    </row>
    <row r="1398" spans="1:125">
      <c r="A1398" s="1414"/>
      <c r="B1398" s="1414"/>
      <c r="C1398" s="1414"/>
      <c r="D1398" s="1414"/>
      <c r="E1398" s="1414"/>
      <c r="F1398" s="1414"/>
      <c r="G1398" s="1414"/>
      <c r="H1398" s="1414"/>
      <c r="I1398" s="1414"/>
      <c r="J1398" s="1414"/>
      <c r="K1398" s="1414"/>
      <c r="L1398" s="1414"/>
      <c r="M1398" s="1414"/>
      <c r="N1398" s="1414"/>
      <c r="O1398" s="1414"/>
      <c r="P1398" s="1414"/>
      <c r="Q1398" s="1414"/>
      <c r="R1398" s="1414"/>
      <c r="S1398" s="1414"/>
      <c r="T1398" s="1414"/>
      <c r="U1398" s="1414"/>
      <c r="V1398" s="1414"/>
      <c r="W1398" s="1414"/>
      <c r="X1398" s="1414"/>
      <c r="Y1398" s="1414"/>
      <c r="Z1398" s="1414"/>
      <c r="AA1398" s="1414"/>
      <c r="AB1398" s="1414"/>
      <c r="AC1398" s="1414"/>
      <c r="AD1398" s="1414"/>
      <c r="AE1398" s="1414"/>
      <c r="AF1398" s="1414"/>
      <c r="AG1398" s="1414"/>
      <c r="AH1398" s="1414"/>
      <c r="AI1398" s="1414"/>
      <c r="AJ1398" s="1414"/>
      <c r="AK1398" s="1414"/>
      <c r="AL1398" s="1414"/>
      <c r="AM1398" s="1414"/>
      <c r="AN1398" s="1414"/>
      <c r="AO1398" s="1414"/>
      <c r="AP1398" s="1414"/>
      <c r="AQ1398" s="1414"/>
      <c r="AR1398" s="1414"/>
      <c r="AS1398" s="1414"/>
      <c r="AT1398" s="1414"/>
      <c r="AU1398" s="1414"/>
      <c r="AV1398" s="1414"/>
      <c r="AW1398" s="1414"/>
      <c r="AX1398" s="1414"/>
      <c r="AY1398" s="1399"/>
      <c r="AZ1398" s="1399"/>
      <c r="BA1398" s="1399"/>
      <c r="BB1398" s="1399"/>
      <c r="BC1398" s="1399"/>
      <c r="BD1398" s="1399"/>
      <c r="BE1398" s="1414"/>
      <c r="BF1398" s="1399"/>
      <c r="BG1398" s="1399"/>
      <c r="BH1398" s="1399"/>
      <c r="BI1398" s="1399"/>
      <c r="BJ1398" s="1399"/>
      <c r="BK1398" s="1399"/>
      <c r="BL1398" s="1399"/>
      <c r="BM1398" s="1399"/>
      <c r="BN1398" s="1399"/>
      <c r="BO1398" s="1399"/>
      <c r="BP1398" s="1399"/>
      <c r="BQ1398" s="1399"/>
      <c r="BR1398" s="1399"/>
      <c r="BS1398" s="1399"/>
      <c r="BT1398" s="1399"/>
      <c r="BU1398" s="1399"/>
      <c r="BV1398" s="1399"/>
      <c r="BW1398" s="1399"/>
      <c r="BX1398" s="1399"/>
      <c r="BY1398" s="1399"/>
      <c r="BZ1398" s="1399"/>
      <c r="CA1398" s="1399"/>
      <c r="CB1398" s="1399"/>
      <c r="CC1398" s="1399"/>
      <c r="CD1398" s="1399"/>
      <c r="CE1398" s="1399"/>
      <c r="CF1398" s="1399"/>
      <c r="CG1398" s="1399"/>
      <c r="CH1398" s="1399"/>
      <c r="CI1398" s="1399"/>
      <c r="CJ1398" s="1399"/>
      <c r="CK1398" s="1399"/>
      <c r="CL1398" s="1399"/>
      <c r="CM1398" s="1399"/>
      <c r="CN1398" s="1399"/>
      <c r="CO1398" s="1399"/>
      <c r="CP1398" s="1399"/>
      <c r="CQ1398" s="1399"/>
      <c r="CR1398" s="1399"/>
      <c r="CS1398" s="1399"/>
      <c r="CT1398" s="1399"/>
      <c r="CU1398" s="1399"/>
      <c r="CV1398" s="1399"/>
      <c r="CW1398" s="1399"/>
      <c r="CX1398" s="1399"/>
      <c r="CY1398" s="1399"/>
      <c r="CZ1398" s="1399"/>
      <c r="DA1398" s="1399"/>
      <c r="DB1398" s="1399"/>
      <c r="DC1398" s="1399"/>
      <c r="DD1398" s="1399"/>
      <c r="DE1398" s="1399"/>
      <c r="DF1398" s="1399"/>
      <c r="DG1398" s="1399"/>
      <c r="DH1398" s="1399"/>
      <c r="DI1398" s="1399"/>
      <c r="DJ1398" s="1399"/>
      <c r="DK1398" s="1399"/>
      <c r="DL1398" s="1399"/>
      <c r="DM1398" s="1399"/>
      <c r="DN1398" s="1399"/>
      <c r="DO1398" s="1399"/>
      <c r="DP1398" s="1399"/>
      <c r="DQ1398" s="1399"/>
      <c r="DR1398" s="1399"/>
      <c r="DS1398" s="1399"/>
      <c r="DT1398" s="1399"/>
      <c r="DU1398" s="1399"/>
    </row>
    <row r="1399" spans="1:125">
      <c r="A1399" s="1414"/>
      <c r="B1399" s="1414"/>
      <c r="C1399" s="1414"/>
      <c r="D1399" s="1414"/>
      <c r="E1399" s="1414"/>
      <c r="F1399" s="1414"/>
      <c r="G1399" s="1414"/>
      <c r="H1399" s="1414"/>
      <c r="I1399" s="1414"/>
      <c r="J1399" s="1414"/>
      <c r="K1399" s="1414"/>
      <c r="L1399" s="1414"/>
      <c r="M1399" s="1414"/>
      <c r="N1399" s="1414"/>
      <c r="O1399" s="1414"/>
      <c r="P1399" s="1414"/>
      <c r="Q1399" s="1414"/>
      <c r="R1399" s="1414"/>
      <c r="S1399" s="1414"/>
      <c r="T1399" s="1414"/>
      <c r="U1399" s="1414"/>
      <c r="V1399" s="1414"/>
      <c r="W1399" s="1414"/>
      <c r="X1399" s="1414"/>
      <c r="Y1399" s="1414"/>
      <c r="Z1399" s="1414"/>
      <c r="AA1399" s="1414"/>
      <c r="AB1399" s="1414"/>
      <c r="AC1399" s="1414"/>
      <c r="AD1399" s="1414"/>
      <c r="AE1399" s="1414"/>
      <c r="AF1399" s="1414"/>
      <c r="AG1399" s="1414"/>
      <c r="AH1399" s="1414"/>
      <c r="AI1399" s="1414"/>
      <c r="AJ1399" s="1414"/>
      <c r="AK1399" s="1414"/>
      <c r="AL1399" s="1414"/>
      <c r="AM1399" s="1414"/>
      <c r="AN1399" s="1414"/>
      <c r="AO1399" s="1414"/>
      <c r="AP1399" s="1414"/>
      <c r="AQ1399" s="1414"/>
      <c r="AR1399" s="1414"/>
      <c r="AS1399" s="1414"/>
      <c r="AT1399" s="1414"/>
      <c r="AU1399" s="1414"/>
      <c r="AV1399" s="1414"/>
      <c r="AW1399" s="1414"/>
      <c r="AX1399" s="1414"/>
      <c r="AY1399" s="1399"/>
      <c r="AZ1399" s="1399"/>
      <c r="BA1399" s="1399"/>
      <c r="BB1399" s="1399"/>
      <c r="BC1399" s="1399"/>
      <c r="BD1399" s="1399"/>
      <c r="BE1399" s="1414"/>
      <c r="BF1399" s="1399"/>
      <c r="BG1399" s="1399"/>
      <c r="BH1399" s="1399"/>
      <c r="BI1399" s="1399"/>
      <c r="BJ1399" s="1399"/>
      <c r="BK1399" s="1399"/>
      <c r="BL1399" s="1399"/>
      <c r="BM1399" s="1399"/>
      <c r="BN1399" s="1399"/>
      <c r="BO1399" s="1399"/>
      <c r="BP1399" s="1399"/>
      <c r="BQ1399" s="1399"/>
      <c r="BR1399" s="1399"/>
      <c r="BS1399" s="1399"/>
      <c r="BT1399" s="1399"/>
      <c r="BU1399" s="1399"/>
      <c r="BV1399" s="1399"/>
      <c r="BW1399" s="1399"/>
      <c r="BX1399" s="1399"/>
      <c r="BY1399" s="1399"/>
      <c r="BZ1399" s="1399"/>
      <c r="CA1399" s="1399"/>
      <c r="CB1399" s="1399"/>
      <c r="CC1399" s="1399"/>
      <c r="CD1399" s="1399"/>
      <c r="CE1399" s="1399"/>
      <c r="CF1399" s="1399"/>
      <c r="CG1399" s="1399"/>
      <c r="CH1399" s="1399"/>
      <c r="CI1399" s="1399"/>
      <c r="CJ1399" s="1399"/>
      <c r="CK1399" s="1399"/>
      <c r="CL1399" s="1399"/>
      <c r="CM1399" s="1399"/>
      <c r="CN1399" s="1399"/>
      <c r="CO1399" s="1399"/>
      <c r="CP1399" s="1399"/>
      <c r="CQ1399" s="1399"/>
      <c r="CR1399" s="1399"/>
      <c r="CS1399" s="1399"/>
      <c r="CT1399" s="1399"/>
      <c r="CU1399" s="1399"/>
      <c r="CV1399" s="1399"/>
      <c r="CW1399" s="1399"/>
      <c r="CX1399" s="1399"/>
      <c r="CY1399" s="1399"/>
      <c r="CZ1399" s="1399"/>
      <c r="DA1399" s="1399"/>
      <c r="DB1399" s="1399"/>
      <c r="DC1399" s="1399"/>
      <c r="DD1399" s="1399"/>
      <c r="DE1399" s="1399"/>
      <c r="DF1399" s="1399"/>
      <c r="DG1399" s="1399"/>
      <c r="DH1399" s="1399"/>
      <c r="DI1399" s="1399"/>
      <c r="DJ1399" s="1399"/>
      <c r="DK1399" s="1399"/>
      <c r="DL1399" s="1399"/>
      <c r="DM1399" s="1399"/>
      <c r="DN1399" s="1399"/>
      <c r="DO1399" s="1399"/>
      <c r="DP1399" s="1399"/>
      <c r="DQ1399" s="1399"/>
      <c r="DR1399" s="1399"/>
      <c r="DS1399" s="1399"/>
      <c r="DT1399" s="1399"/>
      <c r="DU1399" s="1399"/>
    </row>
    <row r="1400" spans="1:125">
      <c r="A1400" s="1414"/>
      <c r="B1400" s="1414"/>
      <c r="C1400" s="1414"/>
      <c r="D1400" s="1414"/>
      <c r="E1400" s="1414"/>
      <c r="F1400" s="1414"/>
      <c r="G1400" s="1414"/>
      <c r="H1400" s="1414"/>
      <c r="I1400" s="1414"/>
      <c r="J1400" s="1414"/>
      <c r="K1400" s="1414"/>
      <c r="L1400" s="1414"/>
      <c r="M1400" s="1414"/>
      <c r="N1400" s="1414"/>
      <c r="O1400" s="1414"/>
      <c r="P1400" s="1414"/>
      <c r="Q1400" s="1414"/>
      <c r="R1400" s="1414"/>
      <c r="S1400" s="1414"/>
      <c r="T1400" s="1414"/>
      <c r="U1400" s="1414"/>
      <c r="V1400" s="1414"/>
      <c r="W1400" s="1414"/>
      <c r="X1400" s="1414"/>
      <c r="Y1400" s="1414"/>
      <c r="Z1400" s="1414"/>
      <c r="AA1400" s="1414"/>
      <c r="AB1400" s="1414"/>
      <c r="AC1400" s="1414"/>
      <c r="AD1400" s="1414"/>
      <c r="AE1400" s="1414"/>
      <c r="AF1400" s="1414"/>
      <c r="AG1400" s="1414"/>
      <c r="AH1400" s="1414"/>
      <c r="AI1400" s="1414"/>
      <c r="AJ1400" s="1414"/>
      <c r="AK1400" s="1414"/>
      <c r="AL1400" s="1414"/>
      <c r="AM1400" s="1414"/>
      <c r="AN1400" s="1414"/>
      <c r="AO1400" s="1414"/>
      <c r="AP1400" s="1414"/>
      <c r="AQ1400" s="1414"/>
      <c r="AR1400" s="1414"/>
      <c r="AS1400" s="1414"/>
      <c r="AT1400" s="1414"/>
      <c r="AU1400" s="1414"/>
      <c r="AV1400" s="1414"/>
      <c r="AW1400" s="1414"/>
      <c r="AX1400" s="1414"/>
      <c r="AY1400" s="1399"/>
      <c r="AZ1400" s="1399"/>
      <c r="BA1400" s="1399"/>
      <c r="BB1400" s="1399"/>
      <c r="BC1400" s="1399"/>
      <c r="BD1400" s="1399"/>
      <c r="BE1400" s="1414"/>
      <c r="BF1400" s="1399"/>
      <c r="BG1400" s="1399"/>
      <c r="BH1400" s="1399"/>
      <c r="BI1400" s="1399"/>
      <c r="BJ1400" s="1399"/>
      <c r="BK1400" s="1399"/>
      <c r="BL1400" s="1399"/>
      <c r="BM1400" s="1399"/>
      <c r="BN1400" s="1399"/>
      <c r="BO1400" s="1399"/>
      <c r="BP1400" s="1399"/>
      <c r="BQ1400" s="1399"/>
      <c r="BR1400" s="1399"/>
      <c r="BS1400" s="1399"/>
      <c r="BT1400" s="1399"/>
      <c r="BU1400" s="1399"/>
      <c r="BV1400" s="1399"/>
      <c r="BW1400" s="1399"/>
      <c r="BX1400" s="1399"/>
      <c r="BY1400" s="1399"/>
      <c r="BZ1400" s="1399"/>
      <c r="CA1400" s="1399"/>
      <c r="CB1400" s="1399"/>
      <c r="CC1400" s="1399"/>
      <c r="CD1400" s="1399"/>
      <c r="CE1400" s="1399"/>
      <c r="CF1400" s="1399"/>
      <c r="CG1400" s="1399"/>
      <c r="CH1400" s="1399"/>
      <c r="CI1400" s="1399"/>
      <c r="CJ1400" s="1399"/>
      <c r="CK1400" s="1399"/>
      <c r="CL1400" s="1399"/>
      <c r="CM1400" s="1399"/>
      <c r="CN1400" s="1399"/>
      <c r="CO1400" s="1399"/>
      <c r="CP1400" s="1399"/>
      <c r="CQ1400" s="1399"/>
      <c r="CR1400" s="1399"/>
      <c r="CS1400" s="1399"/>
      <c r="CT1400" s="1399"/>
      <c r="CU1400" s="1399"/>
      <c r="CV1400" s="1399"/>
      <c r="CW1400" s="1399"/>
      <c r="CX1400" s="1399"/>
      <c r="CY1400" s="1399"/>
      <c r="CZ1400" s="1399"/>
      <c r="DA1400" s="1399"/>
      <c r="DB1400" s="1399"/>
      <c r="DC1400" s="1399"/>
      <c r="DD1400" s="1399"/>
      <c r="DE1400" s="1399"/>
      <c r="DF1400" s="1399"/>
      <c r="DG1400" s="1399"/>
      <c r="DH1400" s="1399"/>
      <c r="DI1400" s="1399"/>
      <c r="DJ1400" s="1399"/>
      <c r="DK1400" s="1399"/>
      <c r="DL1400" s="1399"/>
      <c r="DM1400" s="1399"/>
      <c r="DN1400" s="1399"/>
      <c r="DO1400" s="1399"/>
      <c r="DP1400" s="1399"/>
      <c r="DQ1400" s="1399"/>
      <c r="DR1400" s="1399"/>
      <c r="DS1400" s="1399"/>
      <c r="DT1400" s="1399"/>
      <c r="DU1400" s="1399"/>
    </row>
    <row r="1401" spans="1:125">
      <c r="A1401" s="1414"/>
      <c r="B1401" s="1414"/>
      <c r="C1401" s="1414"/>
      <c r="D1401" s="1414"/>
      <c r="E1401" s="1414"/>
      <c r="F1401" s="1414"/>
      <c r="G1401" s="1414"/>
      <c r="H1401" s="1414"/>
      <c r="I1401" s="1414"/>
      <c r="J1401" s="1414"/>
      <c r="K1401" s="1414"/>
      <c r="L1401" s="1414"/>
      <c r="M1401" s="1414"/>
      <c r="N1401" s="1414"/>
      <c r="O1401" s="1414"/>
      <c r="P1401" s="1414"/>
      <c r="Q1401" s="1414"/>
      <c r="R1401" s="1414"/>
      <c r="S1401" s="1414"/>
      <c r="T1401" s="1414"/>
      <c r="U1401" s="1414"/>
      <c r="V1401" s="1414"/>
      <c r="W1401" s="1414"/>
      <c r="X1401" s="1414"/>
      <c r="Y1401" s="1414"/>
      <c r="Z1401" s="1414"/>
      <c r="AA1401" s="1414"/>
      <c r="AB1401" s="1414"/>
      <c r="AC1401" s="1414"/>
      <c r="AD1401" s="1414"/>
      <c r="AE1401" s="1414"/>
      <c r="AF1401" s="1414"/>
      <c r="AG1401" s="1414"/>
      <c r="AH1401" s="1414"/>
      <c r="AI1401" s="1414"/>
      <c r="AJ1401" s="1414"/>
      <c r="AK1401" s="1414"/>
      <c r="AL1401" s="1414"/>
      <c r="AM1401" s="1414"/>
      <c r="AN1401" s="1414"/>
      <c r="AO1401" s="1414"/>
      <c r="AP1401" s="1414"/>
      <c r="AQ1401" s="1414"/>
      <c r="AR1401" s="1414"/>
      <c r="AS1401" s="1414"/>
      <c r="AT1401" s="1414"/>
      <c r="AU1401" s="1414"/>
      <c r="AV1401" s="1414"/>
      <c r="AW1401" s="1414"/>
      <c r="AX1401" s="1414"/>
      <c r="AY1401" s="1399"/>
      <c r="AZ1401" s="1399"/>
      <c r="BA1401" s="1399"/>
      <c r="BB1401" s="1399"/>
      <c r="BC1401" s="1399"/>
      <c r="BD1401" s="1399"/>
      <c r="BE1401" s="1414"/>
      <c r="BF1401" s="1399"/>
      <c r="BG1401" s="1399"/>
      <c r="BH1401" s="1399"/>
      <c r="BI1401" s="1399"/>
      <c r="BJ1401" s="1399"/>
      <c r="BK1401" s="1399"/>
      <c r="BL1401" s="1399"/>
      <c r="BM1401" s="1399"/>
      <c r="BN1401" s="1399"/>
      <c r="BO1401" s="1399"/>
      <c r="BP1401" s="1399"/>
      <c r="BQ1401" s="1399"/>
      <c r="BR1401" s="1399"/>
      <c r="BS1401" s="1399"/>
      <c r="BT1401" s="1399"/>
      <c r="BU1401" s="1399"/>
      <c r="BV1401" s="1399"/>
      <c r="BW1401" s="1399"/>
      <c r="BX1401" s="1399"/>
      <c r="BY1401" s="1399"/>
      <c r="BZ1401" s="1399"/>
      <c r="CA1401" s="1399"/>
      <c r="CB1401" s="1399"/>
      <c r="CC1401" s="1399"/>
      <c r="CD1401" s="1399"/>
      <c r="CE1401" s="1399"/>
      <c r="CF1401" s="1399"/>
      <c r="CG1401" s="1399"/>
      <c r="CH1401" s="1399"/>
      <c r="CI1401" s="1399"/>
      <c r="CJ1401" s="1399"/>
      <c r="CK1401" s="1399"/>
      <c r="CL1401" s="1399"/>
      <c r="CM1401" s="1399"/>
      <c r="CN1401" s="1399"/>
      <c r="CO1401" s="1399"/>
      <c r="CP1401" s="1399"/>
      <c r="CQ1401" s="1399"/>
      <c r="CR1401" s="1399"/>
      <c r="CS1401" s="1399"/>
      <c r="CT1401" s="1399"/>
      <c r="CU1401" s="1399"/>
      <c r="CV1401" s="1399"/>
      <c r="CW1401" s="1399"/>
      <c r="CX1401" s="1399"/>
      <c r="CY1401" s="1399"/>
      <c r="CZ1401" s="1399"/>
      <c r="DA1401" s="1399"/>
      <c r="DB1401" s="1399"/>
      <c r="DC1401" s="1399"/>
      <c r="DD1401" s="1399"/>
      <c r="DE1401" s="1399"/>
      <c r="DF1401" s="1399"/>
      <c r="DG1401" s="1399"/>
      <c r="DH1401" s="1399"/>
      <c r="DI1401" s="1399"/>
      <c r="DJ1401" s="1399"/>
      <c r="DK1401" s="1399"/>
      <c r="DL1401" s="1399"/>
      <c r="DM1401" s="1399"/>
      <c r="DN1401" s="1399"/>
      <c r="DO1401" s="1399"/>
      <c r="DP1401" s="1399"/>
      <c r="DQ1401" s="1399"/>
      <c r="DR1401" s="1399"/>
      <c r="DS1401" s="1399"/>
      <c r="DT1401" s="1399"/>
      <c r="DU1401" s="1399"/>
    </row>
    <row r="1402" spans="1:125">
      <c r="A1402" s="1414"/>
      <c r="B1402" s="1414"/>
      <c r="C1402" s="1414"/>
      <c r="D1402" s="1414"/>
      <c r="E1402" s="1414"/>
      <c r="F1402" s="1414"/>
      <c r="G1402" s="1414"/>
      <c r="H1402" s="1414"/>
      <c r="I1402" s="1414"/>
      <c r="J1402" s="1414"/>
      <c r="K1402" s="1414"/>
      <c r="L1402" s="1414"/>
      <c r="M1402" s="1414"/>
      <c r="N1402" s="1414"/>
      <c r="O1402" s="1414"/>
      <c r="P1402" s="1414"/>
      <c r="Q1402" s="1414"/>
      <c r="R1402" s="1414"/>
      <c r="S1402" s="1414"/>
      <c r="T1402" s="1414"/>
      <c r="U1402" s="1414"/>
      <c r="V1402" s="1414"/>
      <c r="W1402" s="1414"/>
      <c r="X1402" s="1414"/>
      <c r="Y1402" s="1414"/>
      <c r="Z1402" s="1414"/>
      <c r="AA1402" s="1414"/>
      <c r="AB1402" s="1414"/>
      <c r="AC1402" s="1414"/>
      <c r="AD1402" s="1414"/>
      <c r="AE1402" s="1414"/>
      <c r="AF1402" s="1414"/>
      <c r="AG1402" s="1414"/>
      <c r="AH1402" s="1414"/>
      <c r="AI1402" s="1414"/>
      <c r="AJ1402" s="1414"/>
      <c r="AK1402" s="1414"/>
      <c r="AL1402" s="1414"/>
      <c r="AM1402" s="1414"/>
      <c r="AN1402" s="1414"/>
      <c r="AO1402" s="1414"/>
      <c r="AP1402" s="1414"/>
      <c r="AQ1402" s="1414"/>
      <c r="AR1402" s="1414"/>
      <c r="AS1402" s="1414"/>
      <c r="AT1402" s="1414"/>
      <c r="AU1402" s="1414"/>
      <c r="AV1402" s="1414"/>
      <c r="AW1402" s="1414"/>
      <c r="AX1402" s="1414"/>
      <c r="AY1402" s="1399"/>
      <c r="AZ1402" s="1399"/>
      <c r="BA1402" s="1399"/>
      <c r="BB1402" s="1399"/>
      <c r="BC1402" s="1399"/>
      <c r="BD1402" s="1399"/>
      <c r="BE1402" s="1414"/>
      <c r="BF1402" s="1399"/>
      <c r="BG1402" s="1399"/>
      <c r="BH1402" s="1399"/>
      <c r="BI1402" s="1399"/>
      <c r="BJ1402" s="1399"/>
      <c r="BK1402" s="1399"/>
      <c r="BL1402" s="1399"/>
      <c r="BM1402" s="1399"/>
      <c r="BN1402" s="1399"/>
      <c r="BO1402" s="1399"/>
      <c r="BP1402" s="1399"/>
      <c r="BQ1402" s="1399"/>
      <c r="BR1402" s="1399"/>
      <c r="BS1402" s="1399"/>
      <c r="BT1402" s="1399"/>
      <c r="BU1402" s="1399"/>
      <c r="BV1402" s="1399"/>
      <c r="BW1402" s="1399"/>
      <c r="BX1402" s="1399"/>
      <c r="BY1402" s="1399"/>
      <c r="BZ1402" s="1399"/>
      <c r="CA1402" s="1399"/>
      <c r="CB1402" s="1399"/>
      <c r="CC1402" s="1399"/>
      <c r="CD1402" s="1399"/>
      <c r="CE1402" s="1399"/>
      <c r="CF1402" s="1399"/>
      <c r="CG1402" s="1399"/>
      <c r="CH1402" s="1399"/>
      <c r="CI1402" s="1399"/>
      <c r="CJ1402" s="1399"/>
      <c r="CK1402" s="1399"/>
      <c r="CL1402" s="1399"/>
      <c r="CM1402" s="1399"/>
      <c r="CN1402" s="1399"/>
      <c r="CO1402" s="1399"/>
      <c r="CP1402" s="1399"/>
      <c r="CQ1402" s="1399"/>
      <c r="CR1402" s="1399"/>
      <c r="CS1402" s="1399"/>
      <c r="CT1402" s="1399"/>
      <c r="CU1402" s="1399"/>
      <c r="CV1402" s="1399"/>
      <c r="CW1402" s="1399"/>
      <c r="CX1402" s="1399"/>
      <c r="CY1402" s="1399"/>
      <c r="CZ1402" s="1399"/>
      <c r="DA1402" s="1399"/>
      <c r="DB1402" s="1399"/>
      <c r="DC1402" s="1399"/>
      <c r="DD1402" s="1399"/>
      <c r="DE1402" s="1399"/>
      <c r="DF1402" s="1399"/>
      <c r="DG1402" s="1399"/>
      <c r="DH1402" s="1399"/>
      <c r="DI1402" s="1399"/>
      <c r="DJ1402" s="1399"/>
      <c r="DK1402" s="1399"/>
      <c r="DL1402" s="1399"/>
      <c r="DM1402" s="1399"/>
      <c r="DN1402" s="1399"/>
      <c r="DO1402" s="1399"/>
      <c r="DP1402" s="1399"/>
      <c r="DQ1402" s="1399"/>
      <c r="DR1402" s="1399"/>
      <c r="DS1402" s="1399"/>
      <c r="DT1402" s="1399"/>
      <c r="DU1402" s="1399"/>
    </row>
    <row r="1403" spans="1:125">
      <c r="A1403" s="1414"/>
      <c r="B1403" s="1414"/>
      <c r="C1403" s="1414"/>
      <c r="D1403" s="1414"/>
      <c r="E1403" s="1414"/>
      <c r="F1403" s="1414"/>
      <c r="G1403" s="1414"/>
      <c r="H1403" s="1414"/>
      <c r="I1403" s="1414"/>
      <c r="J1403" s="1414"/>
      <c r="K1403" s="1414"/>
      <c r="L1403" s="1414"/>
      <c r="M1403" s="1414"/>
      <c r="N1403" s="1414"/>
      <c r="O1403" s="1414"/>
      <c r="P1403" s="1414"/>
      <c r="Q1403" s="1414"/>
      <c r="R1403" s="1414"/>
      <c r="S1403" s="1414"/>
      <c r="T1403" s="1414"/>
      <c r="U1403" s="1414"/>
      <c r="V1403" s="1414"/>
      <c r="W1403" s="1414"/>
      <c r="X1403" s="1414"/>
      <c r="Y1403" s="1414"/>
      <c r="Z1403" s="1414"/>
      <c r="AA1403" s="1414"/>
      <c r="AB1403" s="1414"/>
      <c r="AC1403" s="1414"/>
      <c r="AD1403" s="1414"/>
      <c r="AE1403" s="1414"/>
      <c r="AF1403" s="1414"/>
      <c r="AG1403" s="1414"/>
      <c r="AH1403" s="1414"/>
      <c r="AI1403" s="1414"/>
      <c r="AJ1403" s="1414"/>
      <c r="AK1403" s="1414"/>
      <c r="AL1403" s="1414"/>
      <c r="AM1403" s="1414"/>
      <c r="AN1403" s="1414"/>
      <c r="AO1403" s="1414"/>
      <c r="AP1403" s="1414"/>
      <c r="AQ1403" s="1414"/>
      <c r="AR1403" s="1414"/>
      <c r="AS1403" s="1414"/>
      <c r="AT1403" s="1414"/>
      <c r="AU1403" s="1414"/>
      <c r="AV1403" s="1414"/>
      <c r="AW1403" s="1414"/>
      <c r="AX1403" s="1414"/>
      <c r="AY1403" s="1399"/>
      <c r="AZ1403" s="1399"/>
      <c r="BA1403" s="1399"/>
      <c r="BB1403" s="1399"/>
      <c r="BC1403" s="1399"/>
      <c r="BD1403" s="1399"/>
      <c r="BE1403" s="1414"/>
      <c r="BF1403" s="1399"/>
      <c r="BG1403" s="1399"/>
      <c r="BH1403" s="1399"/>
      <c r="BI1403" s="1399"/>
      <c r="BJ1403" s="1399"/>
      <c r="BK1403" s="1399"/>
      <c r="BL1403" s="1399"/>
      <c r="BM1403" s="1399"/>
      <c r="BN1403" s="1399"/>
      <c r="BO1403" s="1399"/>
      <c r="BP1403" s="1399"/>
      <c r="BQ1403" s="1399"/>
      <c r="BR1403" s="1399"/>
      <c r="BS1403" s="1399"/>
      <c r="BT1403" s="1399"/>
      <c r="BU1403" s="1399"/>
      <c r="BV1403" s="1399"/>
      <c r="BW1403" s="1399"/>
      <c r="BX1403" s="1399"/>
      <c r="BY1403" s="1399"/>
      <c r="BZ1403" s="1399"/>
      <c r="CA1403" s="1399"/>
      <c r="CB1403" s="1399"/>
      <c r="CC1403" s="1399"/>
      <c r="CD1403" s="1399"/>
      <c r="CE1403" s="1399"/>
      <c r="CF1403" s="1399"/>
      <c r="CG1403" s="1399"/>
      <c r="CH1403" s="1399"/>
      <c r="CI1403" s="1399"/>
      <c r="CJ1403" s="1399"/>
      <c r="CK1403" s="1399"/>
      <c r="CL1403" s="1399"/>
      <c r="CM1403" s="1399"/>
      <c r="CN1403" s="1399"/>
      <c r="CO1403" s="1399"/>
      <c r="CP1403" s="1399"/>
      <c r="CQ1403" s="1399"/>
      <c r="CR1403" s="1399"/>
      <c r="CS1403" s="1399"/>
      <c r="CT1403" s="1399"/>
      <c r="CU1403" s="1399"/>
      <c r="CV1403" s="1399"/>
      <c r="CW1403" s="1399"/>
      <c r="CX1403" s="1399"/>
      <c r="CY1403" s="1399"/>
      <c r="CZ1403" s="1399"/>
      <c r="DA1403" s="1399"/>
      <c r="DB1403" s="1399"/>
      <c r="DC1403" s="1399"/>
      <c r="DD1403" s="1399"/>
      <c r="DE1403" s="1399"/>
      <c r="DF1403" s="1399"/>
      <c r="DG1403" s="1399"/>
      <c r="DH1403" s="1399"/>
      <c r="DI1403" s="1399"/>
      <c r="DJ1403" s="1399"/>
      <c r="DK1403" s="1399"/>
      <c r="DL1403" s="1399"/>
      <c r="DM1403" s="1399"/>
      <c r="DN1403" s="1399"/>
      <c r="DO1403" s="1399"/>
      <c r="DP1403" s="1399"/>
      <c r="DQ1403" s="1399"/>
      <c r="DR1403" s="1399"/>
      <c r="DS1403" s="1399"/>
      <c r="DT1403" s="1399"/>
      <c r="DU1403" s="1399"/>
    </row>
    <row r="1404" spans="1:125">
      <c r="A1404" s="1414"/>
      <c r="B1404" s="1414"/>
      <c r="C1404" s="1414"/>
      <c r="D1404" s="1414"/>
      <c r="E1404" s="1414"/>
      <c r="F1404" s="1414"/>
      <c r="G1404" s="1414"/>
      <c r="H1404" s="1414"/>
      <c r="I1404" s="1414"/>
      <c r="J1404" s="1414"/>
      <c r="K1404" s="1414"/>
      <c r="L1404" s="1414"/>
      <c r="M1404" s="1414"/>
      <c r="N1404" s="1414"/>
      <c r="O1404" s="1414"/>
      <c r="P1404" s="1414"/>
      <c r="Q1404" s="1414"/>
      <c r="R1404" s="1414"/>
      <c r="S1404" s="1414"/>
      <c r="T1404" s="1414"/>
      <c r="U1404" s="1414"/>
      <c r="V1404" s="1414"/>
      <c r="W1404" s="1414"/>
      <c r="X1404" s="1414"/>
      <c r="Y1404" s="1414"/>
      <c r="Z1404" s="1414"/>
      <c r="AA1404" s="1414"/>
      <c r="AB1404" s="1414"/>
      <c r="AC1404" s="1414"/>
      <c r="AD1404" s="1414"/>
      <c r="AE1404" s="1414"/>
      <c r="AF1404" s="1414"/>
      <c r="AG1404" s="1414"/>
      <c r="AH1404" s="1414"/>
      <c r="AI1404" s="1414"/>
      <c r="AJ1404" s="1414"/>
      <c r="AK1404" s="1414"/>
      <c r="AL1404" s="1414"/>
      <c r="AM1404" s="1414"/>
      <c r="AN1404" s="1414"/>
      <c r="AO1404" s="1414"/>
      <c r="AP1404" s="1414"/>
      <c r="AQ1404" s="1414"/>
      <c r="AR1404" s="1414"/>
      <c r="AS1404" s="1414"/>
      <c r="AT1404" s="1414"/>
      <c r="AU1404" s="1414"/>
      <c r="AV1404" s="1414"/>
      <c r="AW1404" s="1414"/>
      <c r="AX1404" s="1414"/>
      <c r="AY1404" s="1399"/>
      <c r="AZ1404" s="1399"/>
      <c r="BA1404" s="1399"/>
      <c r="BB1404" s="1399"/>
      <c r="BC1404" s="1399"/>
      <c r="BD1404" s="1399"/>
      <c r="BE1404" s="1414"/>
      <c r="BF1404" s="1399"/>
      <c r="BG1404" s="1399"/>
      <c r="BH1404" s="1399"/>
      <c r="BI1404" s="1399"/>
      <c r="BJ1404" s="1399"/>
      <c r="BK1404" s="1399"/>
      <c r="BL1404" s="1399"/>
      <c r="BM1404" s="1399"/>
      <c r="BN1404" s="1399"/>
      <c r="BO1404" s="1399"/>
      <c r="BP1404" s="1399"/>
      <c r="BQ1404" s="1399"/>
      <c r="BR1404" s="1399"/>
      <c r="BS1404" s="1399"/>
      <c r="BT1404" s="1399"/>
      <c r="BU1404" s="1399"/>
      <c r="BV1404" s="1399"/>
      <c r="BW1404" s="1399"/>
      <c r="BX1404" s="1399"/>
      <c r="BY1404" s="1399"/>
      <c r="BZ1404" s="1399"/>
      <c r="CA1404" s="1399"/>
      <c r="CB1404" s="1399"/>
      <c r="CC1404" s="1399"/>
      <c r="CD1404" s="1399"/>
      <c r="CE1404" s="1399"/>
      <c r="CF1404" s="1399"/>
      <c r="CG1404" s="1399"/>
      <c r="CH1404" s="1399"/>
      <c r="CI1404" s="1399"/>
      <c r="CJ1404" s="1399"/>
      <c r="CK1404" s="1399"/>
      <c r="CL1404" s="1399"/>
      <c r="CM1404" s="1399"/>
      <c r="CN1404" s="1399"/>
      <c r="CO1404" s="1399"/>
      <c r="CP1404" s="1399"/>
      <c r="CQ1404" s="1399"/>
      <c r="CR1404" s="1399"/>
      <c r="CS1404" s="1399"/>
      <c r="CT1404" s="1399"/>
      <c r="CU1404" s="1399"/>
      <c r="CV1404" s="1399"/>
      <c r="CW1404" s="1399"/>
      <c r="CX1404" s="1399"/>
      <c r="CY1404" s="1399"/>
      <c r="CZ1404" s="1399"/>
      <c r="DA1404" s="1399"/>
      <c r="DB1404" s="1399"/>
      <c r="DC1404" s="1399"/>
      <c r="DD1404" s="1399"/>
      <c r="DE1404" s="1399"/>
      <c r="DF1404" s="1399"/>
      <c r="DG1404" s="1399"/>
      <c r="DH1404" s="1399"/>
      <c r="DI1404" s="1399"/>
      <c r="DJ1404" s="1399"/>
      <c r="DK1404" s="1399"/>
      <c r="DL1404" s="1399"/>
      <c r="DM1404" s="1399"/>
      <c r="DN1404" s="1399"/>
      <c r="DO1404" s="1399"/>
      <c r="DP1404" s="1399"/>
      <c r="DQ1404" s="1399"/>
      <c r="DR1404" s="1399"/>
      <c r="DS1404" s="1399"/>
      <c r="DT1404" s="1399"/>
      <c r="DU1404" s="1399"/>
    </row>
    <row r="1405" spans="1:125">
      <c r="A1405" s="1414"/>
      <c r="B1405" s="1414"/>
      <c r="C1405" s="1414"/>
      <c r="D1405" s="1414"/>
      <c r="E1405" s="1414"/>
      <c r="F1405" s="1414"/>
      <c r="G1405" s="1414"/>
      <c r="H1405" s="1414"/>
      <c r="I1405" s="1414"/>
      <c r="J1405" s="1414"/>
      <c r="K1405" s="1414"/>
      <c r="L1405" s="1414"/>
      <c r="M1405" s="1414"/>
      <c r="N1405" s="1414"/>
      <c r="O1405" s="1414"/>
      <c r="P1405" s="1414"/>
      <c r="Q1405" s="1414"/>
      <c r="R1405" s="1414"/>
      <c r="S1405" s="1414"/>
      <c r="T1405" s="1414"/>
      <c r="U1405" s="1414"/>
      <c r="V1405" s="1414"/>
      <c r="W1405" s="1414"/>
      <c r="X1405" s="1414"/>
      <c r="Y1405" s="1414"/>
      <c r="Z1405" s="1414"/>
      <c r="AA1405" s="1414"/>
      <c r="AB1405" s="1414"/>
      <c r="AC1405" s="1414"/>
      <c r="AD1405" s="1414"/>
      <c r="AE1405" s="1414"/>
      <c r="AF1405" s="1414"/>
      <c r="AG1405" s="1414"/>
      <c r="AH1405" s="1414"/>
      <c r="AI1405" s="1414"/>
      <c r="AJ1405" s="1414"/>
      <c r="AK1405" s="1414"/>
      <c r="AL1405" s="1414"/>
      <c r="AM1405" s="1414"/>
      <c r="AN1405" s="1414"/>
      <c r="AO1405" s="1414"/>
      <c r="AP1405" s="1414"/>
      <c r="AQ1405" s="1414"/>
      <c r="AR1405" s="1414"/>
      <c r="AS1405" s="1414"/>
      <c r="AT1405" s="1414"/>
      <c r="AU1405" s="1414"/>
      <c r="AV1405" s="1414"/>
      <c r="AW1405" s="1414"/>
      <c r="AX1405" s="1414"/>
      <c r="AY1405" s="1399"/>
      <c r="AZ1405" s="1399"/>
      <c r="BA1405" s="1399"/>
      <c r="BB1405" s="1399"/>
      <c r="BC1405" s="1399"/>
      <c r="BD1405" s="1399"/>
      <c r="BE1405" s="1414"/>
      <c r="BF1405" s="1399"/>
      <c r="BG1405" s="1399"/>
      <c r="BH1405" s="1399"/>
      <c r="BI1405" s="1399"/>
      <c r="BJ1405" s="1399"/>
      <c r="BK1405" s="1399"/>
      <c r="BL1405" s="1399"/>
      <c r="BM1405" s="1399"/>
      <c r="BN1405" s="1399"/>
      <c r="BO1405" s="1399"/>
      <c r="BP1405" s="1399"/>
      <c r="BQ1405" s="1399"/>
      <c r="BR1405" s="1399"/>
      <c r="BS1405" s="1399"/>
      <c r="BT1405" s="1399"/>
      <c r="BU1405" s="1399"/>
      <c r="BV1405" s="1399"/>
      <c r="BW1405" s="1399"/>
      <c r="BX1405" s="1399"/>
      <c r="BY1405" s="1399"/>
      <c r="BZ1405" s="1399"/>
      <c r="CA1405" s="1399"/>
      <c r="CB1405" s="1399"/>
      <c r="CC1405" s="1399"/>
      <c r="CD1405" s="1399"/>
      <c r="CE1405" s="1399"/>
      <c r="CF1405" s="1399"/>
      <c r="CG1405" s="1399"/>
      <c r="CH1405" s="1399"/>
      <c r="CI1405" s="1399"/>
      <c r="CJ1405" s="1399"/>
      <c r="CK1405" s="1399"/>
      <c r="CL1405" s="1399"/>
      <c r="CM1405" s="1399"/>
      <c r="CN1405" s="1399"/>
      <c r="CO1405" s="1399"/>
      <c r="CP1405" s="1399"/>
      <c r="CQ1405" s="1399"/>
      <c r="CR1405" s="1399"/>
      <c r="CS1405" s="1399"/>
      <c r="CT1405" s="1399"/>
      <c r="CU1405" s="1399"/>
      <c r="CV1405" s="1399"/>
      <c r="CW1405" s="1399"/>
      <c r="CX1405" s="1399"/>
      <c r="CY1405" s="1399"/>
      <c r="CZ1405" s="1399"/>
      <c r="DA1405" s="1399"/>
      <c r="DB1405" s="1399"/>
      <c r="DC1405" s="1399"/>
      <c r="DD1405" s="1399"/>
      <c r="DE1405" s="1399"/>
      <c r="DF1405" s="1399"/>
      <c r="DG1405" s="1399"/>
      <c r="DH1405" s="1399"/>
      <c r="DI1405" s="1399"/>
      <c r="DJ1405" s="1399"/>
      <c r="DK1405" s="1399"/>
      <c r="DL1405" s="1399"/>
      <c r="DM1405" s="1399"/>
      <c r="DN1405" s="1399"/>
      <c r="DO1405" s="1399"/>
      <c r="DP1405" s="1399"/>
      <c r="DQ1405" s="1399"/>
      <c r="DR1405" s="1399"/>
      <c r="DS1405" s="1399"/>
      <c r="DT1405" s="1399"/>
      <c r="DU1405" s="1399"/>
    </row>
    <row r="1406" spans="1:125">
      <c r="A1406" s="1414"/>
      <c r="B1406" s="1414"/>
      <c r="C1406" s="1414"/>
      <c r="D1406" s="1414"/>
      <c r="E1406" s="1414"/>
      <c r="F1406" s="1414"/>
      <c r="G1406" s="1414"/>
      <c r="H1406" s="1414"/>
      <c r="I1406" s="1414"/>
      <c r="J1406" s="1414"/>
      <c r="K1406" s="1414"/>
      <c r="L1406" s="1414"/>
      <c r="M1406" s="1414"/>
      <c r="N1406" s="1414"/>
      <c r="O1406" s="1414"/>
      <c r="P1406" s="1414"/>
      <c r="Q1406" s="1414"/>
      <c r="R1406" s="1414"/>
      <c r="S1406" s="1414"/>
      <c r="T1406" s="1414"/>
      <c r="U1406" s="1414"/>
      <c r="V1406" s="1414"/>
      <c r="W1406" s="1414"/>
      <c r="X1406" s="1414"/>
      <c r="Y1406" s="1414"/>
      <c r="Z1406" s="1414"/>
      <c r="AA1406" s="1414"/>
      <c r="AB1406" s="1414"/>
      <c r="AC1406" s="1414"/>
      <c r="AD1406" s="1414"/>
      <c r="AE1406" s="1414"/>
      <c r="AF1406" s="1414"/>
      <c r="AG1406" s="1414"/>
      <c r="AH1406" s="1414"/>
      <c r="AI1406" s="1414"/>
      <c r="AJ1406" s="1414"/>
      <c r="AK1406" s="1414"/>
      <c r="AL1406" s="1414"/>
      <c r="AM1406" s="1414"/>
      <c r="AN1406" s="1414"/>
      <c r="AO1406" s="1414"/>
      <c r="AP1406" s="1414"/>
      <c r="AQ1406" s="1414"/>
      <c r="AR1406" s="1414"/>
      <c r="AS1406" s="1414"/>
      <c r="AT1406" s="1414"/>
      <c r="AU1406" s="1414"/>
      <c r="AV1406" s="1414"/>
      <c r="AW1406" s="1414"/>
      <c r="AX1406" s="1414"/>
      <c r="AY1406" s="1399"/>
      <c r="AZ1406" s="1399"/>
      <c r="BA1406" s="1399"/>
      <c r="BB1406" s="1399"/>
      <c r="BC1406" s="1399"/>
      <c r="BD1406" s="1399"/>
      <c r="BE1406" s="1414"/>
      <c r="BF1406" s="1399"/>
      <c r="BG1406" s="1399"/>
      <c r="BH1406" s="1399"/>
      <c r="BI1406" s="1399"/>
      <c r="BJ1406" s="1399"/>
      <c r="BK1406" s="1399"/>
      <c r="BL1406" s="1399"/>
      <c r="BM1406" s="1399"/>
      <c r="BN1406" s="1399"/>
      <c r="BO1406" s="1399"/>
      <c r="BP1406" s="1399"/>
      <c r="BQ1406" s="1399"/>
      <c r="BR1406" s="1399"/>
      <c r="BS1406" s="1399"/>
      <c r="BT1406" s="1399"/>
      <c r="BU1406" s="1399"/>
      <c r="BV1406" s="1399"/>
      <c r="BW1406" s="1399"/>
      <c r="BX1406" s="1399"/>
      <c r="BY1406" s="1399"/>
      <c r="BZ1406" s="1399"/>
      <c r="CA1406" s="1399"/>
      <c r="CB1406" s="1399"/>
      <c r="CC1406" s="1399"/>
      <c r="CD1406" s="1399"/>
      <c r="CE1406" s="1399"/>
      <c r="CF1406" s="1399"/>
      <c r="CG1406" s="1399"/>
      <c r="CH1406" s="1399"/>
      <c r="CI1406" s="1399"/>
      <c r="CJ1406" s="1399"/>
      <c r="CK1406" s="1399"/>
      <c r="CL1406" s="1399"/>
      <c r="CM1406" s="1399"/>
      <c r="CN1406" s="1399"/>
      <c r="CO1406" s="1399"/>
      <c r="CP1406" s="1399"/>
      <c r="CQ1406" s="1399"/>
      <c r="CR1406" s="1399"/>
      <c r="CS1406" s="1399"/>
      <c r="CT1406" s="1399"/>
      <c r="CU1406" s="1399"/>
      <c r="CV1406" s="1399"/>
      <c r="CW1406" s="1399"/>
      <c r="CX1406" s="1399"/>
      <c r="CY1406" s="1399"/>
      <c r="CZ1406" s="1399"/>
      <c r="DA1406" s="1399"/>
      <c r="DB1406" s="1399"/>
      <c r="DC1406" s="1399"/>
      <c r="DD1406" s="1399"/>
      <c r="DE1406" s="1399"/>
      <c r="DF1406" s="1399"/>
      <c r="DG1406" s="1399"/>
      <c r="DH1406" s="1399"/>
      <c r="DI1406" s="1399"/>
      <c r="DJ1406" s="1399"/>
      <c r="DK1406" s="1399"/>
      <c r="DL1406" s="1399"/>
      <c r="DM1406" s="1399"/>
      <c r="DN1406" s="1399"/>
      <c r="DO1406" s="1399"/>
      <c r="DP1406" s="1399"/>
      <c r="DQ1406" s="1399"/>
      <c r="DR1406" s="1399"/>
      <c r="DS1406" s="1399"/>
      <c r="DT1406" s="1399"/>
      <c r="DU1406" s="1399"/>
    </row>
    <row r="1407" spans="1:125">
      <c r="A1407" s="1414"/>
      <c r="B1407" s="1414"/>
      <c r="C1407" s="1414"/>
      <c r="D1407" s="1414"/>
      <c r="E1407" s="1414"/>
      <c r="F1407" s="1414"/>
      <c r="G1407" s="1414"/>
      <c r="H1407" s="1414"/>
      <c r="I1407" s="1414"/>
      <c r="J1407" s="1414"/>
      <c r="K1407" s="1414"/>
      <c r="L1407" s="1414"/>
      <c r="M1407" s="1414"/>
      <c r="N1407" s="1414"/>
      <c r="O1407" s="1414"/>
      <c r="P1407" s="1414"/>
      <c r="Q1407" s="1414"/>
      <c r="R1407" s="1414"/>
      <c r="S1407" s="1414"/>
      <c r="T1407" s="1414"/>
      <c r="U1407" s="1414"/>
      <c r="V1407" s="1414"/>
      <c r="W1407" s="1414"/>
      <c r="X1407" s="1414"/>
      <c r="Y1407" s="1414"/>
      <c r="Z1407" s="1414"/>
      <c r="AA1407" s="1414"/>
      <c r="AB1407" s="1414"/>
      <c r="AC1407" s="1414"/>
      <c r="AD1407" s="1414"/>
      <c r="AE1407" s="1414"/>
      <c r="AF1407" s="1414"/>
      <c r="AG1407" s="1414"/>
      <c r="AH1407" s="1414"/>
      <c r="AI1407" s="1414"/>
      <c r="AJ1407" s="1414"/>
      <c r="AK1407" s="1414"/>
      <c r="AL1407" s="1414"/>
      <c r="AM1407" s="1414"/>
      <c r="AN1407" s="1414"/>
      <c r="AO1407" s="1414"/>
      <c r="AP1407" s="1414"/>
      <c r="AQ1407" s="1414"/>
      <c r="AR1407" s="1414"/>
      <c r="AS1407" s="1414"/>
      <c r="AT1407" s="1414"/>
      <c r="AU1407" s="1414"/>
      <c r="AV1407" s="1414"/>
      <c r="AW1407" s="1414"/>
      <c r="AX1407" s="1414"/>
      <c r="AY1407" s="1399"/>
      <c r="AZ1407" s="1399"/>
      <c r="BA1407" s="1399"/>
      <c r="BB1407" s="1399"/>
      <c r="BC1407" s="1399"/>
      <c r="BD1407" s="1399"/>
      <c r="BE1407" s="1414"/>
      <c r="BF1407" s="1399"/>
      <c r="BG1407" s="1399"/>
      <c r="BH1407" s="1399"/>
      <c r="BI1407" s="1399"/>
      <c r="BJ1407" s="1399"/>
      <c r="BK1407" s="1399"/>
      <c r="BL1407" s="1399"/>
      <c r="BM1407" s="1399"/>
      <c r="BN1407" s="1399"/>
      <c r="BO1407" s="1399"/>
      <c r="BP1407" s="1399"/>
      <c r="BQ1407" s="1399"/>
      <c r="BR1407" s="1399"/>
      <c r="BS1407" s="1399"/>
      <c r="BT1407" s="1399"/>
      <c r="BU1407" s="1399"/>
      <c r="BV1407" s="1399"/>
      <c r="BW1407" s="1399"/>
      <c r="BX1407" s="1399"/>
      <c r="BY1407" s="1399"/>
      <c r="BZ1407" s="1399"/>
      <c r="CA1407" s="1399"/>
      <c r="CB1407" s="1399"/>
      <c r="CC1407" s="1399"/>
      <c r="CD1407" s="1399"/>
      <c r="CE1407" s="1399"/>
      <c r="CF1407" s="1399"/>
      <c r="CG1407" s="1399"/>
      <c r="CH1407" s="1399"/>
      <c r="CI1407" s="1399"/>
      <c r="CJ1407" s="1399"/>
      <c r="CK1407" s="1399"/>
      <c r="CL1407" s="1399"/>
      <c r="CM1407" s="1399"/>
      <c r="CN1407" s="1399"/>
      <c r="CO1407" s="1399"/>
      <c r="CP1407" s="1399"/>
      <c r="CQ1407" s="1399"/>
      <c r="CR1407" s="1399"/>
      <c r="CS1407" s="1399"/>
      <c r="CT1407" s="1399"/>
      <c r="CU1407" s="1399"/>
      <c r="CV1407" s="1399"/>
      <c r="CW1407" s="1399"/>
      <c r="CX1407" s="1399"/>
      <c r="CY1407" s="1399"/>
      <c r="CZ1407" s="1399"/>
      <c r="DA1407" s="1399"/>
      <c r="DB1407" s="1399"/>
      <c r="DC1407" s="1399"/>
      <c r="DD1407" s="1399"/>
      <c r="DE1407" s="1399"/>
      <c r="DF1407" s="1399"/>
      <c r="DG1407" s="1399"/>
      <c r="DH1407" s="1399"/>
      <c r="DI1407" s="1399"/>
      <c r="DJ1407" s="1399"/>
      <c r="DK1407" s="1399"/>
      <c r="DL1407" s="1399"/>
      <c r="DM1407" s="1399"/>
      <c r="DN1407" s="1399"/>
      <c r="DO1407" s="1399"/>
      <c r="DP1407" s="1399"/>
      <c r="DQ1407" s="1399"/>
      <c r="DR1407" s="1399"/>
      <c r="DS1407" s="1399"/>
      <c r="DT1407" s="1399"/>
      <c r="DU1407" s="1399"/>
    </row>
    <row r="1408" spans="1:125">
      <c r="A1408" s="1414"/>
      <c r="B1408" s="1414"/>
      <c r="C1408" s="1414"/>
      <c r="D1408" s="1414"/>
      <c r="E1408" s="1414"/>
      <c r="F1408" s="1414"/>
      <c r="G1408" s="1414"/>
      <c r="H1408" s="1414"/>
      <c r="I1408" s="1414"/>
      <c r="J1408" s="1414"/>
      <c r="K1408" s="1414"/>
      <c r="L1408" s="1414"/>
      <c r="M1408" s="1414"/>
      <c r="N1408" s="1414"/>
      <c r="O1408" s="1414"/>
      <c r="P1408" s="1414"/>
      <c r="Q1408" s="1414"/>
      <c r="R1408" s="1414"/>
      <c r="S1408" s="1414"/>
      <c r="T1408" s="1414"/>
      <c r="U1408" s="1414"/>
      <c r="V1408" s="1414"/>
      <c r="W1408" s="1414"/>
      <c r="X1408" s="1414"/>
      <c r="Y1408" s="1414"/>
      <c r="Z1408" s="1414"/>
      <c r="AA1408" s="1414"/>
      <c r="AB1408" s="1414"/>
      <c r="AC1408" s="1414"/>
      <c r="AD1408" s="1414"/>
      <c r="AE1408" s="1414"/>
      <c r="AF1408" s="1414"/>
      <c r="AG1408" s="1414"/>
      <c r="AH1408" s="1414"/>
      <c r="AI1408" s="1414"/>
      <c r="AJ1408" s="1414"/>
      <c r="AK1408" s="1414"/>
      <c r="AL1408" s="1414"/>
      <c r="AM1408" s="1414"/>
      <c r="AN1408" s="1414"/>
      <c r="AO1408" s="1414"/>
      <c r="AP1408" s="1414"/>
      <c r="AQ1408" s="1414"/>
      <c r="AR1408" s="1414"/>
      <c r="AS1408" s="1414"/>
      <c r="AT1408" s="1414"/>
      <c r="AU1408" s="1414"/>
      <c r="AV1408" s="1414"/>
      <c r="AW1408" s="1414"/>
      <c r="AX1408" s="1414"/>
      <c r="AY1408" s="1399"/>
      <c r="AZ1408" s="1399"/>
      <c r="BA1408" s="1399"/>
      <c r="BB1408" s="1399"/>
      <c r="BC1408" s="1399"/>
      <c r="BD1408" s="1399"/>
      <c r="BE1408" s="1414"/>
      <c r="BF1408" s="1399"/>
      <c r="BG1408" s="1399"/>
      <c r="BH1408" s="1399"/>
      <c r="BI1408" s="1399"/>
      <c r="BJ1408" s="1399"/>
      <c r="BK1408" s="1399"/>
      <c r="BL1408" s="1399"/>
      <c r="BM1408" s="1399"/>
      <c r="BN1408" s="1399"/>
      <c r="BO1408" s="1399"/>
      <c r="BP1408" s="1399"/>
      <c r="BQ1408" s="1399"/>
      <c r="BR1408" s="1399"/>
      <c r="BS1408" s="1399"/>
      <c r="BT1408" s="1399"/>
      <c r="BU1408" s="1399"/>
      <c r="BV1408" s="1399"/>
      <c r="BW1408" s="1399"/>
      <c r="BX1408" s="1399"/>
      <c r="BY1408" s="1399"/>
      <c r="BZ1408" s="1399"/>
      <c r="CA1408" s="1399"/>
      <c r="CB1408" s="1399"/>
      <c r="CC1408" s="1399"/>
      <c r="CD1408" s="1399"/>
      <c r="CE1408" s="1399"/>
      <c r="CF1408" s="1399"/>
      <c r="CG1408" s="1399"/>
      <c r="CH1408" s="1399"/>
      <c r="CI1408" s="1399"/>
      <c r="CJ1408" s="1399"/>
      <c r="CK1408" s="1399"/>
      <c r="CL1408" s="1399"/>
      <c r="CM1408" s="1399"/>
      <c r="CN1408" s="1399"/>
      <c r="CO1408" s="1399"/>
      <c r="CP1408" s="1399"/>
      <c r="CQ1408" s="1399"/>
      <c r="CR1408" s="1399"/>
      <c r="CS1408" s="1399"/>
      <c r="CT1408" s="1399"/>
      <c r="CU1408" s="1399"/>
      <c r="CV1408" s="1399"/>
      <c r="CW1408" s="1399"/>
      <c r="CX1408" s="1399"/>
      <c r="CY1408" s="1399"/>
      <c r="CZ1408" s="1399"/>
      <c r="DA1408" s="1399"/>
      <c r="DB1408" s="1399"/>
      <c r="DC1408" s="1399"/>
      <c r="DD1408" s="1399"/>
      <c r="DE1408" s="1399"/>
      <c r="DF1408" s="1399"/>
      <c r="DG1408" s="1399"/>
      <c r="DH1408" s="1399"/>
      <c r="DI1408" s="1399"/>
      <c r="DJ1408" s="1399"/>
      <c r="DK1408" s="1399"/>
      <c r="DL1408" s="1399"/>
      <c r="DM1408" s="1399"/>
      <c r="DN1408" s="1399"/>
      <c r="DO1408" s="1399"/>
      <c r="DP1408" s="1399"/>
      <c r="DQ1408" s="1399"/>
      <c r="DR1408" s="1399"/>
      <c r="DS1408" s="1399"/>
      <c r="DT1408" s="1399"/>
      <c r="DU1408" s="1399"/>
    </row>
    <row r="1409" spans="1:125">
      <c r="A1409" s="1414"/>
      <c r="B1409" s="1414"/>
      <c r="C1409" s="1414"/>
      <c r="D1409" s="1414"/>
      <c r="E1409" s="1414"/>
      <c r="F1409" s="1414"/>
      <c r="G1409" s="1414"/>
      <c r="H1409" s="1414"/>
      <c r="I1409" s="1414"/>
      <c r="J1409" s="1414"/>
      <c r="K1409" s="1414"/>
      <c r="L1409" s="1414"/>
      <c r="M1409" s="1414"/>
      <c r="N1409" s="1414"/>
      <c r="O1409" s="1414"/>
      <c r="P1409" s="1414"/>
      <c r="Q1409" s="1414"/>
      <c r="R1409" s="1414"/>
      <c r="S1409" s="1414"/>
      <c r="T1409" s="1414"/>
      <c r="U1409" s="1414"/>
      <c r="V1409" s="1414"/>
      <c r="W1409" s="1414"/>
      <c r="X1409" s="1414"/>
      <c r="Y1409" s="1414"/>
      <c r="Z1409" s="1414"/>
      <c r="AA1409" s="1414"/>
      <c r="AB1409" s="1414"/>
      <c r="AC1409" s="1414"/>
      <c r="AD1409" s="1414"/>
      <c r="AE1409" s="1414"/>
      <c r="AF1409" s="1414"/>
      <c r="AG1409" s="1414"/>
      <c r="AH1409" s="1414"/>
      <c r="AI1409" s="1414"/>
      <c r="AJ1409" s="1414"/>
      <c r="AK1409" s="1414"/>
      <c r="AL1409" s="1414"/>
      <c r="AM1409" s="1414"/>
      <c r="AN1409" s="1414"/>
      <c r="AO1409" s="1414"/>
      <c r="AP1409" s="1414"/>
      <c r="AQ1409" s="1414"/>
      <c r="AR1409" s="1414"/>
      <c r="AS1409" s="1414"/>
      <c r="AT1409" s="1414"/>
      <c r="AU1409" s="1414"/>
      <c r="AV1409" s="1414"/>
      <c r="AW1409" s="1414"/>
      <c r="AX1409" s="1414"/>
      <c r="AY1409" s="1399"/>
      <c r="AZ1409" s="1399"/>
      <c r="BA1409" s="1399"/>
      <c r="BB1409" s="1399"/>
      <c r="BC1409" s="1399"/>
      <c r="BD1409" s="1399"/>
      <c r="BE1409" s="1414"/>
      <c r="BF1409" s="1399"/>
      <c r="BG1409" s="1399"/>
      <c r="BH1409" s="1399"/>
      <c r="BI1409" s="1399"/>
      <c r="BJ1409" s="1399"/>
      <c r="BK1409" s="1399"/>
      <c r="BL1409" s="1399"/>
      <c r="BM1409" s="1399"/>
      <c r="BN1409" s="1399"/>
      <c r="BO1409" s="1399"/>
      <c r="BP1409" s="1399"/>
      <c r="BQ1409" s="1399"/>
      <c r="BR1409" s="1399"/>
      <c r="BS1409" s="1399"/>
      <c r="BT1409" s="1399"/>
      <c r="BU1409" s="1399"/>
      <c r="BV1409" s="1399"/>
      <c r="BW1409" s="1399"/>
      <c r="BX1409" s="1399"/>
      <c r="BY1409" s="1399"/>
      <c r="BZ1409" s="1399"/>
      <c r="CA1409" s="1399"/>
      <c r="CB1409" s="1399"/>
      <c r="CC1409" s="1399"/>
      <c r="CD1409" s="1399"/>
      <c r="CE1409" s="1399"/>
      <c r="CF1409" s="1399"/>
      <c r="CG1409" s="1399"/>
      <c r="CH1409" s="1399"/>
      <c r="CI1409" s="1399"/>
      <c r="CJ1409" s="1399"/>
      <c r="CK1409" s="1399"/>
      <c r="CL1409" s="1399"/>
      <c r="CM1409" s="1399"/>
      <c r="CN1409" s="1399"/>
      <c r="CO1409" s="1399"/>
      <c r="CP1409" s="1399"/>
      <c r="CQ1409" s="1399"/>
      <c r="CR1409" s="1399"/>
      <c r="CS1409" s="1399"/>
      <c r="CT1409" s="1399"/>
      <c r="CU1409" s="1399"/>
      <c r="CV1409" s="1399"/>
      <c r="CW1409" s="1399"/>
      <c r="CX1409" s="1399"/>
      <c r="CY1409" s="1399"/>
      <c r="CZ1409" s="1399"/>
      <c r="DA1409" s="1399"/>
      <c r="DB1409" s="1399"/>
      <c r="DC1409" s="1399"/>
      <c r="DD1409" s="1399"/>
      <c r="DE1409" s="1399"/>
      <c r="DF1409" s="1399"/>
      <c r="DG1409" s="1399"/>
      <c r="DH1409" s="1399"/>
      <c r="DI1409" s="1399"/>
      <c r="DJ1409" s="1399"/>
      <c r="DK1409" s="1399"/>
      <c r="DL1409" s="1399"/>
      <c r="DM1409" s="1399"/>
      <c r="DN1409" s="1399"/>
      <c r="DO1409" s="1399"/>
      <c r="DP1409" s="1399"/>
      <c r="DQ1409" s="1399"/>
      <c r="DR1409" s="1399"/>
      <c r="DS1409" s="1399"/>
      <c r="DT1409" s="1399"/>
      <c r="DU1409" s="1399"/>
    </row>
    <row r="1410" spans="1:125">
      <c r="A1410" s="1414"/>
      <c r="B1410" s="1414"/>
      <c r="C1410" s="1414"/>
      <c r="D1410" s="1414"/>
      <c r="E1410" s="1414"/>
      <c r="F1410" s="1414"/>
      <c r="G1410" s="1414"/>
      <c r="H1410" s="1414"/>
      <c r="I1410" s="1414"/>
      <c r="J1410" s="1414"/>
      <c r="K1410" s="1414"/>
      <c r="L1410" s="1414"/>
      <c r="M1410" s="1414"/>
      <c r="N1410" s="1414"/>
      <c r="O1410" s="1414"/>
      <c r="P1410" s="1414"/>
      <c r="Q1410" s="1414"/>
      <c r="R1410" s="1414"/>
      <c r="S1410" s="1414"/>
      <c r="T1410" s="1414"/>
      <c r="U1410" s="1414"/>
      <c r="V1410" s="1414"/>
      <c r="W1410" s="1414"/>
      <c r="X1410" s="1414"/>
      <c r="Y1410" s="1414"/>
      <c r="Z1410" s="1414"/>
      <c r="AA1410" s="1414"/>
      <c r="AB1410" s="1414"/>
      <c r="AC1410" s="1414"/>
      <c r="AD1410" s="1414"/>
      <c r="AE1410" s="1414"/>
      <c r="AF1410" s="1414"/>
      <c r="AG1410" s="1414"/>
      <c r="AH1410" s="1414"/>
      <c r="AI1410" s="1414"/>
      <c r="AJ1410" s="1414"/>
      <c r="AK1410" s="1414"/>
      <c r="AL1410" s="1414"/>
      <c r="AM1410" s="1414"/>
      <c r="AN1410" s="1414"/>
      <c r="AO1410" s="1414"/>
      <c r="AP1410" s="1414"/>
      <c r="AQ1410" s="1414"/>
      <c r="AR1410" s="1414"/>
      <c r="AS1410" s="1414"/>
      <c r="AT1410" s="1414"/>
      <c r="AU1410" s="1414"/>
      <c r="AV1410" s="1414"/>
      <c r="AW1410" s="1414"/>
      <c r="AX1410" s="1414"/>
      <c r="AY1410" s="1399"/>
      <c r="AZ1410" s="1399"/>
      <c r="BA1410" s="1399"/>
      <c r="BB1410" s="1399"/>
      <c r="BC1410" s="1399"/>
      <c r="BD1410" s="1399"/>
      <c r="BE1410" s="1414"/>
      <c r="BF1410" s="1399"/>
      <c r="BG1410" s="1399"/>
      <c r="BH1410" s="1399"/>
      <c r="BI1410" s="1399"/>
      <c r="BJ1410" s="1399"/>
      <c r="BK1410" s="1399"/>
      <c r="BL1410" s="1399"/>
      <c r="BM1410" s="1399"/>
      <c r="BN1410" s="1399"/>
      <c r="BO1410" s="1399"/>
      <c r="BP1410" s="1399"/>
      <c r="BQ1410" s="1399"/>
      <c r="BR1410" s="1399"/>
      <c r="BS1410" s="1399"/>
      <c r="BT1410" s="1399"/>
      <c r="BU1410" s="1399"/>
      <c r="BV1410" s="1399"/>
      <c r="BW1410" s="1399"/>
      <c r="BX1410" s="1399"/>
      <c r="BY1410" s="1399"/>
      <c r="BZ1410" s="1399"/>
      <c r="CA1410" s="1399"/>
      <c r="CB1410" s="1399"/>
      <c r="CC1410" s="1399"/>
      <c r="CD1410" s="1399"/>
      <c r="CE1410" s="1399"/>
      <c r="CF1410" s="1399"/>
      <c r="CG1410" s="1399"/>
      <c r="CH1410" s="1399"/>
      <c r="CI1410" s="1399"/>
      <c r="CJ1410" s="1399"/>
      <c r="CK1410" s="1399"/>
      <c r="CL1410" s="1399"/>
      <c r="CM1410" s="1399"/>
      <c r="CN1410" s="1399"/>
      <c r="CO1410" s="1399"/>
      <c r="CP1410" s="1399"/>
      <c r="CQ1410" s="1399"/>
      <c r="CR1410" s="1399"/>
      <c r="CS1410" s="1399"/>
      <c r="CT1410" s="1399"/>
      <c r="CU1410" s="1399"/>
      <c r="CV1410" s="1399"/>
      <c r="CW1410" s="1399"/>
      <c r="CX1410" s="1399"/>
      <c r="CY1410" s="1399"/>
      <c r="CZ1410" s="1399"/>
      <c r="DA1410" s="1399"/>
      <c r="DB1410" s="1399"/>
      <c r="DC1410" s="1399"/>
      <c r="DD1410" s="1399"/>
      <c r="DE1410" s="1399"/>
      <c r="DF1410" s="1399"/>
      <c r="DG1410" s="1399"/>
      <c r="DH1410" s="1399"/>
      <c r="DI1410" s="1399"/>
      <c r="DJ1410" s="1399"/>
      <c r="DK1410" s="1399"/>
      <c r="DL1410" s="1399"/>
      <c r="DM1410" s="1399"/>
      <c r="DN1410" s="1399"/>
      <c r="DO1410" s="1399"/>
      <c r="DP1410" s="1399"/>
      <c r="DQ1410" s="1399"/>
      <c r="DR1410" s="1399"/>
      <c r="DS1410" s="1399"/>
      <c r="DT1410" s="1399"/>
      <c r="DU1410" s="1399"/>
    </row>
    <row r="1411" spans="1:125">
      <c r="A1411" s="1414"/>
      <c r="B1411" s="1414"/>
      <c r="C1411" s="1414"/>
      <c r="D1411" s="1414"/>
      <c r="E1411" s="1414"/>
      <c r="F1411" s="1414"/>
      <c r="G1411" s="1414"/>
      <c r="H1411" s="1414"/>
      <c r="I1411" s="1414"/>
      <c r="J1411" s="1414"/>
      <c r="K1411" s="1414"/>
      <c r="L1411" s="1414"/>
      <c r="M1411" s="1414"/>
      <c r="N1411" s="1414"/>
      <c r="O1411" s="1414"/>
      <c r="P1411" s="1414"/>
      <c r="Q1411" s="1414"/>
      <c r="R1411" s="1414"/>
      <c r="S1411" s="1414"/>
      <c r="T1411" s="1414"/>
      <c r="U1411" s="1414"/>
      <c r="V1411" s="1414"/>
      <c r="W1411" s="1414"/>
      <c r="X1411" s="1414"/>
      <c r="Y1411" s="1414"/>
      <c r="Z1411" s="1414"/>
      <c r="AA1411" s="1414"/>
      <c r="AB1411" s="1414"/>
      <c r="AC1411" s="1414"/>
      <c r="AD1411" s="1414"/>
      <c r="AE1411" s="1414"/>
      <c r="AF1411" s="1414"/>
      <c r="AG1411" s="1414"/>
      <c r="AH1411" s="1414"/>
      <c r="AI1411" s="1414"/>
      <c r="AJ1411" s="1414"/>
      <c r="AK1411" s="1414"/>
      <c r="AL1411" s="1414"/>
      <c r="AM1411" s="1414"/>
      <c r="AN1411" s="1414"/>
      <c r="AO1411" s="1414"/>
      <c r="AP1411" s="1414"/>
      <c r="AQ1411" s="1414"/>
      <c r="AR1411" s="1414"/>
      <c r="AS1411" s="1414"/>
      <c r="AT1411" s="1414"/>
      <c r="AU1411" s="1414"/>
      <c r="AV1411" s="1414"/>
      <c r="AW1411" s="1414"/>
      <c r="AX1411" s="1414"/>
      <c r="AY1411" s="1399"/>
      <c r="AZ1411" s="1399"/>
      <c r="BA1411" s="1399"/>
      <c r="BB1411" s="1399"/>
      <c r="BC1411" s="1399"/>
      <c r="BD1411" s="1399"/>
      <c r="BE1411" s="1414"/>
      <c r="BF1411" s="1399"/>
      <c r="BG1411" s="1399"/>
      <c r="BH1411" s="1399"/>
      <c r="BI1411" s="1399"/>
      <c r="BJ1411" s="1399"/>
      <c r="BK1411" s="1399"/>
      <c r="BL1411" s="1399"/>
      <c r="BM1411" s="1399"/>
      <c r="BN1411" s="1399"/>
      <c r="BO1411" s="1399"/>
      <c r="BP1411" s="1399"/>
      <c r="BQ1411" s="1399"/>
      <c r="BR1411" s="1399"/>
      <c r="BS1411" s="1399"/>
      <c r="BT1411" s="1399"/>
      <c r="BU1411" s="1399"/>
      <c r="BV1411" s="1399"/>
      <c r="BW1411" s="1399"/>
      <c r="BX1411" s="1399"/>
      <c r="BY1411" s="1399"/>
      <c r="BZ1411" s="1399"/>
      <c r="CA1411" s="1399"/>
      <c r="CB1411" s="1399"/>
      <c r="CC1411" s="1399"/>
      <c r="CD1411" s="1399"/>
      <c r="CE1411" s="1399"/>
      <c r="CF1411" s="1399"/>
      <c r="CG1411" s="1399"/>
      <c r="CH1411" s="1399"/>
      <c r="CI1411" s="1399"/>
      <c r="CJ1411" s="1399"/>
      <c r="CK1411" s="1399"/>
      <c r="CL1411" s="1399"/>
      <c r="CM1411" s="1399"/>
      <c r="CN1411" s="1399"/>
      <c r="CO1411" s="1399"/>
      <c r="CP1411" s="1399"/>
      <c r="CQ1411" s="1399"/>
      <c r="CR1411" s="1399"/>
      <c r="CS1411" s="1399"/>
      <c r="CT1411" s="1399"/>
      <c r="CU1411" s="1399"/>
      <c r="CV1411" s="1399"/>
      <c r="CW1411" s="1399"/>
      <c r="CX1411" s="1399"/>
      <c r="CY1411" s="1399"/>
      <c r="CZ1411" s="1399"/>
      <c r="DA1411" s="1399"/>
      <c r="DB1411" s="1399"/>
      <c r="DC1411" s="1399"/>
      <c r="DD1411" s="1399"/>
      <c r="DE1411" s="1399"/>
      <c r="DF1411" s="1399"/>
      <c r="DG1411" s="1399"/>
      <c r="DH1411" s="1399"/>
      <c r="DI1411" s="1399"/>
      <c r="DJ1411" s="1399"/>
      <c r="DK1411" s="1399"/>
      <c r="DL1411" s="1399"/>
      <c r="DM1411" s="1399"/>
      <c r="DN1411" s="1399"/>
      <c r="DO1411" s="1399"/>
      <c r="DP1411" s="1399"/>
      <c r="DQ1411" s="1399"/>
      <c r="DR1411" s="1399"/>
      <c r="DS1411" s="1399"/>
      <c r="DT1411" s="1399"/>
      <c r="DU1411" s="1399"/>
    </row>
    <row r="1412" spans="1:125">
      <c r="A1412" s="1414"/>
      <c r="B1412" s="1414"/>
      <c r="C1412" s="1414"/>
      <c r="D1412" s="1414"/>
      <c r="E1412" s="1414"/>
      <c r="F1412" s="1414"/>
      <c r="G1412" s="1414"/>
      <c r="H1412" s="1414"/>
      <c r="I1412" s="1414"/>
      <c r="J1412" s="1414"/>
      <c r="K1412" s="1414"/>
      <c r="L1412" s="1414"/>
      <c r="M1412" s="1414"/>
      <c r="N1412" s="1414"/>
      <c r="O1412" s="1414"/>
      <c r="P1412" s="1414"/>
      <c r="Q1412" s="1414"/>
      <c r="R1412" s="1414"/>
      <c r="S1412" s="1414"/>
      <c r="T1412" s="1414"/>
      <c r="U1412" s="1414"/>
      <c r="V1412" s="1414"/>
      <c r="W1412" s="1414"/>
      <c r="X1412" s="1414"/>
      <c r="Y1412" s="1414"/>
      <c r="Z1412" s="1414"/>
      <c r="AA1412" s="1414"/>
      <c r="AB1412" s="1414"/>
      <c r="AC1412" s="1414"/>
      <c r="AD1412" s="1414"/>
      <c r="AE1412" s="1414"/>
      <c r="AF1412" s="1414"/>
      <c r="AG1412" s="1414"/>
      <c r="AH1412" s="1414"/>
      <c r="AI1412" s="1414"/>
      <c r="AJ1412" s="1414"/>
      <c r="AK1412" s="1414"/>
      <c r="AL1412" s="1414"/>
      <c r="AM1412" s="1414"/>
      <c r="AN1412" s="1414"/>
      <c r="AO1412" s="1414"/>
      <c r="AP1412" s="1414"/>
      <c r="AQ1412" s="1414"/>
      <c r="AR1412" s="1414"/>
      <c r="AS1412" s="1414"/>
      <c r="AT1412" s="1414"/>
      <c r="AU1412" s="1414"/>
      <c r="AV1412" s="1414"/>
      <c r="AW1412" s="1414"/>
      <c r="AX1412" s="1414"/>
      <c r="AY1412" s="1399"/>
      <c r="AZ1412" s="1399"/>
      <c r="BA1412" s="1399"/>
      <c r="BB1412" s="1399"/>
      <c r="BC1412" s="1399"/>
      <c r="BD1412" s="1399"/>
      <c r="BE1412" s="1414"/>
      <c r="BF1412" s="1399"/>
      <c r="BG1412" s="1399"/>
      <c r="BH1412" s="1399"/>
      <c r="BI1412" s="1399"/>
      <c r="BJ1412" s="1399"/>
      <c r="BK1412" s="1399"/>
      <c r="BL1412" s="1399"/>
      <c r="BM1412" s="1399"/>
      <c r="BN1412" s="1399"/>
      <c r="BO1412" s="1399"/>
      <c r="BP1412" s="1399"/>
      <c r="BQ1412" s="1399"/>
      <c r="BR1412" s="1399"/>
      <c r="BS1412" s="1399"/>
      <c r="BT1412" s="1399"/>
      <c r="BU1412" s="1399"/>
      <c r="BV1412" s="1399"/>
      <c r="BW1412" s="1399"/>
      <c r="BX1412" s="1399"/>
      <c r="BY1412" s="1399"/>
      <c r="BZ1412" s="1399"/>
      <c r="CA1412" s="1399"/>
      <c r="CB1412" s="1399"/>
      <c r="CC1412" s="1399"/>
      <c r="CD1412" s="1399"/>
      <c r="CE1412" s="1399"/>
      <c r="CF1412" s="1399"/>
      <c r="CG1412" s="1399"/>
      <c r="CH1412" s="1399"/>
      <c r="CI1412" s="1399"/>
      <c r="CJ1412" s="1399"/>
      <c r="CK1412" s="1399"/>
      <c r="CL1412" s="1399"/>
      <c r="CM1412" s="1399"/>
      <c r="CN1412" s="1399"/>
      <c r="CO1412" s="1399"/>
      <c r="CP1412" s="1399"/>
      <c r="CQ1412" s="1399"/>
      <c r="CR1412" s="1399"/>
      <c r="CS1412" s="1399"/>
      <c r="CT1412" s="1399"/>
      <c r="CU1412" s="1399"/>
      <c r="CV1412" s="1399"/>
      <c r="CW1412" s="1399"/>
      <c r="CX1412" s="1399"/>
      <c r="CY1412" s="1399"/>
      <c r="CZ1412" s="1399"/>
      <c r="DA1412" s="1399"/>
      <c r="DB1412" s="1399"/>
      <c r="DC1412" s="1399"/>
      <c r="DD1412" s="1399"/>
      <c r="DE1412" s="1399"/>
      <c r="DF1412" s="1399"/>
      <c r="DG1412" s="1399"/>
      <c r="DH1412" s="1399"/>
      <c r="DI1412" s="1399"/>
      <c r="DJ1412" s="1399"/>
      <c r="DK1412" s="1399"/>
      <c r="DL1412" s="1399"/>
      <c r="DM1412" s="1399"/>
      <c r="DN1412" s="1399"/>
      <c r="DO1412" s="1399"/>
      <c r="DP1412" s="1399"/>
      <c r="DQ1412" s="1399"/>
      <c r="DR1412" s="1399"/>
      <c r="DS1412" s="1399"/>
      <c r="DT1412" s="1399"/>
      <c r="DU1412" s="1399"/>
    </row>
    <row r="1413" spans="1:125">
      <c r="A1413" s="1414"/>
      <c r="B1413" s="1414"/>
      <c r="C1413" s="1414"/>
      <c r="D1413" s="1414"/>
      <c r="E1413" s="1414"/>
      <c r="F1413" s="1414"/>
      <c r="G1413" s="1414"/>
      <c r="H1413" s="1414"/>
      <c r="I1413" s="1414"/>
      <c r="J1413" s="1414"/>
      <c r="K1413" s="1414"/>
      <c r="L1413" s="1414"/>
      <c r="M1413" s="1414"/>
      <c r="N1413" s="1414"/>
      <c r="O1413" s="1414"/>
      <c r="P1413" s="1414"/>
      <c r="Q1413" s="1414"/>
      <c r="R1413" s="1414"/>
      <c r="S1413" s="1414"/>
      <c r="T1413" s="1414"/>
      <c r="U1413" s="1414"/>
      <c r="V1413" s="1414"/>
      <c r="W1413" s="1414"/>
      <c r="X1413" s="1414"/>
      <c r="Y1413" s="1414"/>
      <c r="Z1413" s="1414"/>
      <c r="AA1413" s="1414"/>
      <c r="AB1413" s="1414"/>
      <c r="AC1413" s="1414"/>
      <c r="AD1413" s="1414"/>
      <c r="AE1413" s="1414"/>
      <c r="AF1413" s="1414"/>
      <c r="AG1413" s="1414"/>
      <c r="AH1413" s="1414"/>
      <c r="AI1413" s="1414"/>
      <c r="AJ1413" s="1414"/>
      <c r="AK1413" s="1414"/>
      <c r="AL1413" s="1414"/>
      <c r="AM1413" s="1414"/>
      <c r="AN1413" s="1414"/>
      <c r="AO1413" s="1414"/>
      <c r="AP1413" s="1414"/>
      <c r="AQ1413" s="1414"/>
      <c r="AR1413" s="1414"/>
      <c r="AS1413" s="1414"/>
      <c r="AT1413" s="1414"/>
      <c r="AU1413" s="1414"/>
      <c r="AV1413" s="1414"/>
      <c r="AW1413" s="1414"/>
      <c r="AX1413" s="1414"/>
      <c r="AY1413" s="1399"/>
      <c r="AZ1413" s="1399"/>
      <c r="BA1413" s="1399"/>
      <c r="BB1413" s="1399"/>
      <c r="BC1413" s="1399"/>
      <c r="BD1413" s="1399"/>
      <c r="BE1413" s="1414"/>
      <c r="BF1413" s="1399"/>
      <c r="BG1413" s="1399"/>
      <c r="BH1413" s="1399"/>
      <c r="BI1413" s="1399"/>
      <c r="BJ1413" s="1399"/>
      <c r="BK1413" s="1399"/>
      <c r="BL1413" s="1399"/>
      <c r="BM1413" s="1399"/>
      <c r="BN1413" s="1399"/>
      <c r="BO1413" s="1399"/>
      <c r="BP1413" s="1399"/>
      <c r="BQ1413" s="1399"/>
      <c r="BR1413" s="1399"/>
      <c r="BS1413" s="1399"/>
      <c r="BT1413" s="1399"/>
      <c r="BU1413" s="1399"/>
      <c r="BV1413" s="1399"/>
      <c r="BW1413" s="1399"/>
      <c r="BX1413" s="1399"/>
      <c r="BY1413" s="1399"/>
      <c r="BZ1413" s="1399"/>
      <c r="CA1413" s="1399"/>
      <c r="CB1413" s="1399"/>
      <c r="CC1413" s="1399"/>
      <c r="CD1413" s="1399"/>
      <c r="CE1413" s="1399"/>
      <c r="CF1413" s="1399"/>
      <c r="CG1413" s="1399"/>
      <c r="CH1413" s="1399"/>
      <c r="CI1413" s="1399"/>
      <c r="CJ1413" s="1399"/>
      <c r="CK1413" s="1399"/>
      <c r="CL1413" s="1399"/>
      <c r="CM1413" s="1399"/>
      <c r="CN1413" s="1399"/>
      <c r="CO1413" s="1399"/>
      <c r="CP1413" s="1399"/>
      <c r="CQ1413" s="1399"/>
      <c r="CR1413" s="1399"/>
      <c r="CS1413" s="1399"/>
      <c r="CT1413" s="1399"/>
      <c r="CU1413" s="1399"/>
      <c r="CV1413" s="1399"/>
      <c r="CW1413" s="1399"/>
      <c r="CX1413" s="1399"/>
      <c r="CY1413" s="1399"/>
      <c r="CZ1413" s="1399"/>
      <c r="DA1413" s="1399"/>
      <c r="DB1413" s="1399"/>
      <c r="DC1413" s="1399"/>
      <c r="DD1413" s="1399"/>
      <c r="DE1413" s="1399"/>
      <c r="DF1413" s="1399"/>
      <c r="DG1413" s="1399"/>
      <c r="DH1413" s="1399"/>
      <c r="DI1413" s="1399"/>
      <c r="DJ1413" s="1399"/>
      <c r="DK1413" s="1399"/>
      <c r="DL1413" s="1399"/>
      <c r="DM1413" s="1399"/>
      <c r="DN1413" s="1399"/>
      <c r="DO1413" s="1399"/>
      <c r="DP1413" s="1399"/>
      <c r="DQ1413" s="1399"/>
      <c r="DR1413" s="1399"/>
      <c r="DS1413" s="1399"/>
      <c r="DT1413" s="1399"/>
      <c r="DU1413" s="1399"/>
    </row>
    <row r="1414" spans="1:125">
      <c r="A1414" s="1414"/>
      <c r="B1414" s="1414"/>
      <c r="C1414" s="1414"/>
      <c r="D1414" s="1414"/>
      <c r="E1414" s="1414"/>
      <c r="F1414" s="1414"/>
      <c r="G1414" s="1414"/>
      <c r="H1414" s="1414"/>
      <c r="I1414" s="1414"/>
      <c r="J1414" s="1414"/>
      <c r="K1414" s="1414"/>
      <c r="L1414" s="1414"/>
      <c r="M1414" s="1414"/>
      <c r="N1414" s="1414"/>
      <c r="O1414" s="1414"/>
      <c r="P1414" s="1414"/>
      <c r="Q1414" s="1414"/>
      <c r="R1414" s="1414"/>
      <c r="S1414" s="1414"/>
      <c r="T1414" s="1414"/>
      <c r="U1414" s="1414"/>
      <c r="V1414" s="1414"/>
      <c r="W1414" s="1414"/>
      <c r="X1414" s="1414"/>
      <c r="Y1414" s="1414"/>
      <c r="Z1414" s="1414"/>
      <c r="AA1414" s="1414"/>
      <c r="AB1414" s="1414"/>
      <c r="AC1414" s="1414"/>
      <c r="AD1414" s="1414"/>
      <c r="AE1414" s="1414"/>
      <c r="AF1414" s="1414"/>
      <c r="AG1414" s="1414"/>
      <c r="AH1414" s="1414"/>
      <c r="AI1414" s="1414"/>
      <c r="AJ1414" s="1414"/>
      <c r="AK1414" s="1414"/>
      <c r="AL1414" s="1414"/>
      <c r="AM1414" s="1414"/>
      <c r="AN1414" s="1414"/>
      <c r="AO1414" s="1414"/>
      <c r="AP1414" s="1414"/>
      <c r="AQ1414" s="1414"/>
      <c r="AR1414" s="1414"/>
      <c r="AS1414" s="1414"/>
      <c r="AT1414" s="1414"/>
      <c r="AU1414" s="1414"/>
      <c r="AV1414" s="1414"/>
      <c r="AW1414" s="1414"/>
      <c r="AX1414" s="1414"/>
      <c r="AY1414" s="1399"/>
      <c r="AZ1414" s="1399"/>
      <c r="BA1414" s="1399"/>
      <c r="BB1414" s="1399"/>
      <c r="BC1414" s="1399"/>
      <c r="BD1414" s="1399"/>
      <c r="BE1414" s="1414"/>
      <c r="BF1414" s="1399"/>
      <c r="BG1414" s="1399"/>
      <c r="BH1414" s="1399"/>
      <c r="BI1414" s="1399"/>
      <c r="BJ1414" s="1399"/>
      <c r="BK1414" s="1399"/>
      <c r="BL1414" s="1399"/>
      <c r="BM1414" s="1399"/>
      <c r="BN1414" s="1399"/>
      <c r="BO1414" s="1399"/>
      <c r="BP1414" s="1399"/>
      <c r="BQ1414" s="1399"/>
      <c r="BR1414" s="1399"/>
      <c r="BS1414" s="1399"/>
      <c r="BT1414" s="1399"/>
      <c r="BU1414" s="1399"/>
      <c r="BV1414" s="1399"/>
      <c r="BW1414" s="1399"/>
      <c r="BX1414" s="1399"/>
      <c r="BY1414" s="1399"/>
      <c r="BZ1414" s="1399"/>
      <c r="CA1414" s="1399"/>
      <c r="CB1414" s="1399"/>
      <c r="CC1414" s="1399"/>
      <c r="CD1414" s="1399"/>
      <c r="CE1414" s="1399"/>
      <c r="CF1414" s="1399"/>
      <c r="CG1414" s="1399"/>
      <c r="CH1414" s="1399"/>
      <c r="CI1414" s="1399"/>
      <c r="CJ1414" s="1399"/>
      <c r="CK1414" s="1399"/>
      <c r="CL1414" s="1399"/>
      <c r="CM1414" s="1399"/>
      <c r="CN1414" s="1399"/>
      <c r="CO1414" s="1399"/>
      <c r="CP1414" s="1399"/>
      <c r="CQ1414" s="1399"/>
      <c r="CR1414" s="1399"/>
      <c r="CS1414" s="1399"/>
      <c r="CT1414" s="1399"/>
      <c r="CU1414" s="1399"/>
      <c r="CV1414" s="1399"/>
      <c r="CW1414" s="1399"/>
      <c r="CX1414" s="1399"/>
      <c r="CY1414" s="1399"/>
      <c r="CZ1414" s="1399"/>
      <c r="DA1414" s="1399"/>
      <c r="DB1414" s="1399"/>
      <c r="DC1414" s="1399"/>
      <c r="DD1414" s="1399"/>
      <c r="DE1414" s="1399"/>
      <c r="DF1414" s="1399"/>
      <c r="DG1414" s="1399"/>
      <c r="DH1414" s="1399"/>
      <c r="DI1414" s="1399"/>
      <c r="DJ1414" s="1399"/>
      <c r="DK1414" s="1399"/>
      <c r="DL1414" s="1399"/>
      <c r="DM1414" s="1399"/>
      <c r="DN1414" s="1399"/>
      <c r="DO1414" s="1399"/>
      <c r="DP1414" s="1399"/>
      <c r="DQ1414" s="1399"/>
      <c r="DR1414" s="1399"/>
      <c r="DS1414" s="1399"/>
      <c r="DT1414" s="1399"/>
      <c r="DU1414" s="1399"/>
    </row>
    <row r="1415" spans="1:125">
      <c r="A1415" s="1414"/>
      <c r="B1415" s="1414"/>
      <c r="C1415" s="1414"/>
      <c r="D1415" s="1414"/>
      <c r="E1415" s="1414"/>
      <c r="F1415" s="1414"/>
      <c r="G1415" s="1414"/>
      <c r="H1415" s="1414"/>
      <c r="I1415" s="1414"/>
      <c r="J1415" s="1414"/>
      <c r="K1415" s="1414"/>
      <c r="L1415" s="1414"/>
      <c r="M1415" s="1414"/>
      <c r="N1415" s="1414"/>
      <c r="O1415" s="1414"/>
      <c r="P1415" s="1414"/>
      <c r="Q1415" s="1414"/>
      <c r="R1415" s="1414"/>
      <c r="S1415" s="1414"/>
      <c r="T1415" s="1414"/>
      <c r="U1415" s="1414"/>
      <c r="V1415" s="1414"/>
      <c r="W1415" s="1414"/>
      <c r="X1415" s="1414"/>
      <c r="Y1415" s="1414"/>
      <c r="Z1415" s="1414"/>
      <c r="AA1415" s="1414"/>
      <c r="AB1415" s="1414"/>
      <c r="AC1415" s="1414"/>
      <c r="AD1415" s="1414"/>
      <c r="AE1415" s="1414"/>
      <c r="AF1415" s="1414"/>
      <c r="AG1415" s="1414"/>
      <c r="AH1415" s="1414"/>
      <c r="AI1415" s="1414"/>
      <c r="AJ1415" s="1414"/>
      <c r="AK1415" s="1414"/>
      <c r="AL1415" s="1414"/>
      <c r="AM1415" s="1414"/>
      <c r="AN1415" s="1414"/>
      <c r="AO1415" s="1414"/>
      <c r="AP1415" s="1414"/>
      <c r="AQ1415" s="1414"/>
      <c r="AR1415" s="1414"/>
      <c r="AS1415" s="1414"/>
      <c r="AT1415" s="1414"/>
      <c r="AU1415" s="1414"/>
      <c r="AV1415" s="1414"/>
      <c r="AW1415" s="1414"/>
      <c r="AX1415" s="1414"/>
      <c r="AY1415" s="1399"/>
      <c r="AZ1415" s="1399"/>
      <c r="BA1415" s="1399"/>
      <c r="BB1415" s="1399"/>
      <c r="BC1415" s="1399"/>
      <c r="BD1415" s="1399"/>
      <c r="BE1415" s="1414"/>
      <c r="BF1415" s="1399"/>
      <c r="BG1415" s="1399"/>
      <c r="BH1415" s="1399"/>
      <c r="BI1415" s="1399"/>
      <c r="BJ1415" s="1399"/>
      <c r="BK1415" s="1399"/>
      <c r="BL1415" s="1399"/>
      <c r="BM1415" s="1399"/>
      <c r="BN1415" s="1399"/>
      <c r="BO1415" s="1399"/>
      <c r="BP1415" s="1399"/>
      <c r="BQ1415" s="1399"/>
      <c r="BR1415" s="1399"/>
      <c r="BS1415" s="1399"/>
      <c r="BT1415" s="1399"/>
      <c r="BU1415" s="1399"/>
      <c r="BV1415" s="1399"/>
      <c r="BW1415" s="1399"/>
      <c r="BX1415" s="1399"/>
      <c r="BY1415" s="1399"/>
      <c r="BZ1415" s="1399"/>
      <c r="CA1415" s="1399"/>
      <c r="CB1415" s="1399"/>
      <c r="CC1415" s="1399"/>
      <c r="CD1415" s="1399"/>
      <c r="CE1415" s="1399"/>
      <c r="CF1415" s="1399"/>
      <c r="CG1415" s="1399"/>
      <c r="CH1415" s="1399"/>
      <c r="CI1415" s="1399"/>
      <c r="CJ1415" s="1399"/>
      <c r="CK1415" s="1399"/>
      <c r="CL1415" s="1399"/>
      <c r="CM1415" s="1399"/>
      <c r="CN1415" s="1399"/>
      <c r="CO1415" s="1399"/>
      <c r="CP1415" s="1399"/>
      <c r="CQ1415" s="1399"/>
      <c r="CR1415" s="1399"/>
      <c r="CS1415" s="1399"/>
      <c r="CT1415" s="1399"/>
      <c r="CU1415" s="1399"/>
      <c r="CV1415" s="1399"/>
      <c r="CW1415" s="1399"/>
      <c r="CX1415" s="1399"/>
      <c r="CY1415" s="1399"/>
      <c r="CZ1415" s="1399"/>
      <c r="DA1415" s="1399"/>
      <c r="DB1415" s="1399"/>
      <c r="DC1415" s="1399"/>
      <c r="DD1415" s="1399"/>
      <c r="DE1415" s="1399"/>
      <c r="DF1415" s="1399"/>
      <c r="DG1415" s="1399"/>
      <c r="DH1415" s="1399"/>
      <c r="DI1415" s="1399"/>
      <c r="DJ1415" s="1399"/>
      <c r="DK1415" s="1399"/>
      <c r="DL1415" s="1399"/>
      <c r="DM1415" s="1399"/>
      <c r="DN1415" s="1399"/>
      <c r="DO1415" s="1399"/>
      <c r="DP1415" s="1399"/>
      <c r="DQ1415" s="1399"/>
      <c r="DR1415" s="1399"/>
      <c r="DS1415" s="1399"/>
      <c r="DT1415" s="1399"/>
      <c r="DU1415" s="1399"/>
    </row>
    <row r="1416" spans="1:125">
      <c r="A1416" s="1414"/>
      <c r="B1416" s="1414"/>
      <c r="C1416" s="1414"/>
      <c r="D1416" s="1414"/>
      <c r="E1416" s="1414"/>
      <c r="F1416" s="1414"/>
      <c r="G1416" s="1414"/>
      <c r="H1416" s="1414"/>
      <c r="I1416" s="1414"/>
      <c r="J1416" s="1414"/>
      <c r="K1416" s="1414"/>
      <c r="L1416" s="1414"/>
      <c r="M1416" s="1414"/>
      <c r="N1416" s="1414"/>
      <c r="O1416" s="1414"/>
      <c r="P1416" s="1414"/>
      <c r="Q1416" s="1414"/>
      <c r="R1416" s="1414"/>
      <c r="S1416" s="1414"/>
      <c r="T1416" s="1414"/>
      <c r="U1416" s="1414"/>
      <c r="V1416" s="1414"/>
      <c r="W1416" s="1414"/>
      <c r="X1416" s="1414"/>
      <c r="Y1416" s="1414"/>
      <c r="Z1416" s="1414"/>
      <c r="AA1416" s="1414"/>
      <c r="AB1416" s="1414"/>
      <c r="AC1416" s="1414"/>
      <c r="AD1416" s="1414"/>
      <c r="AE1416" s="1414"/>
      <c r="AF1416" s="1414"/>
      <c r="AG1416" s="1414"/>
      <c r="AH1416" s="1414"/>
      <c r="AI1416" s="1414"/>
      <c r="AJ1416" s="1414"/>
      <c r="AK1416" s="1414"/>
      <c r="AL1416" s="1414"/>
      <c r="AM1416" s="1414"/>
      <c r="AN1416" s="1414"/>
      <c r="AO1416" s="1414"/>
      <c r="AP1416" s="1414"/>
      <c r="AQ1416" s="1414"/>
      <c r="AR1416" s="1414"/>
      <c r="AS1416" s="1414"/>
      <c r="AT1416" s="1414"/>
      <c r="AU1416" s="1414"/>
      <c r="AV1416" s="1414"/>
      <c r="AW1416" s="1414"/>
      <c r="AX1416" s="1414"/>
      <c r="AY1416" s="1399"/>
      <c r="AZ1416" s="1399"/>
      <c r="BA1416" s="1399"/>
      <c r="BB1416" s="1399"/>
      <c r="BC1416" s="1399"/>
      <c r="BD1416" s="1399"/>
      <c r="BE1416" s="1414"/>
      <c r="BF1416" s="1399"/>
      <c r="BG1416" s="1399"/>
      <c r="BH1416" s="1399"/>
      <c r="BI1416" s="1399"/>
      <c r="BJ1416" s="1399"/>
      <c r="BK1416" s="1399"/>
      <c r="BL1416" s="1399"/>
      <c r="BM1416" s="1399"/>
      <c r="BN1416" s="1399"/>
      <c r="BO1416" s="1399"/>
      <c r="BP1416" s="1399"/>
      <c r="BQ1416" s="1399"/>
      <c r="BR1416" s="1399"/>
      <c r="BS1416" s="1399"/>
      <c r="BT1416" s="1399"/>
      <c r="BU1416" s="1399"/>
      <c r="BV1416" s="1399"/>
      <c r="BW1416" s="1399"/>
      <c r="BX1416" s="1399"/>
      <c r="BY1416" s="1399"/>
      <c r="BZ1416" s="1399"/>
      <c r="CA1416" s="1399"/>
      <c r="CB1416" s="1399"/>
      <c r="CC1416" s="1399"/>
      <c r="CD1416" s="1399"/>
      <c r="CE1416" s="1399"/>
      <c r="CF1416" s="1399"/>
      <c r="CG1416" s="1399"/>
      <c r="CH1416" s="1399"/>
      <c r="CI1416" s="1399"/>
      <c r="CJ1416" s="1399"/>
      <c r="CK1416" s="1399"/>
      <c r="CL1416" s="1399"/>
      <c r="CM1416" s="1399"/>
      <c r="CN1416" s="1399"/>
      <c r="CO1416" s="1399"/>
      <c r="CP1416" s="1399"/>
      <c r="CQ1416" s="1399"/>
      <c r="CR1416" s="1399"/>
      <c r="CS1416" s="1399"/>
      <c r="CT1416" s="1399"/>
      <c r="CU1416" s="1399"/>
      <c r="CV1416" s="1399"/>
      <c r="CW1416" s="1399"/>
      <c r="CX1416" s="1399"/>
      <c r="CY1416" s="1399"/>
      <c r="CZ1416" s="1399"/>
      <c r="DA1416" s="1399"/>
      <c r="DB1416" s="1399"/>
      <c r="DC1416" s="1399"/>
      <c r="DD1416" s="1399"/>
      <c r="DE1416" s="1399"/>
      <c r="DF1416" s="1399"/>
      <c r="DG1416" s="1399"/>
      <c r="DH1416" s="1399"/>
      <c r="DI1416" s="1399"/>
      <c r="DJ1416" s="1399"/>
      <c r="DK1416" s="1399"/>
      <c r="DL1416" s="1399"/>
      <c r="DM1416" s="1399"/>
      <c r="DN1416" s="1399"/>
      <c r="DO1416" s="1399"/>
      <c r="DP1416" s="1399"/>
      <c r="DQ1416" s="1399"/>
      <c r="DR1416" s="1399"/>
      <c r="DS1416" s="1399"/>
      <c r="DT1416" s="1399"/>
      <c r="DU1416" s="1399"/>
    </row>
    <row r="1417" spans="1:125">
      <c r="A1417" s="1414"/>
      <c r="B1417" s="1414"/>
      <c r="C1417" s="1414"/>
      <c r="D1417" s="1414"/>
      <c r="E1417" s="1414"/>
      <c r="F1417" s="1414"/>
      <c r="G1417" s="1414"/>
      <c r="H1417" s="1414"/>
      <c r="I1417" s="1414"/>
      <c r="J1417" s="1414"/>
      <c r="K1417" s="1414"/>
      <c r="L1417" s="1414"/>
      <c r="M1417" s="1414"/>
      <c r="N1417" s="1414"/>
      <c r="O1417" s="1414"/>
      <c r="P1417" s="1414"/>
      <c r="Q1417" s="1414"/>
      <c r="R1417" s="1414"/>
      <c r="S1417" s="1414"/>
      <c r="T1417" s="1414"/>
      <c r="U1417" s="1414"/>
      <c r="V1417" s="1414"/>
      <c r="W1417" s="1414"/>
      <c r="X1417" s="1414"/>
      <c r="Y1417" s="1414"/>
      <c r="Z1417" s="1414"/>
      <c r="AA1417" s="1414"/>
      <c r="AB1417" s="1414"/>
      <c r="AC1417" s="1414"/>
      <c r="AD1417" s="1414"/>
      <c r="AE1417" s="1414"/>
      <c r="AF1417" s="1414"/>
      <c r="AG1417" s="1414"/>
      <c r="AH1417" s="1414"/>
      <c r="AI1417" s="1414"/>
      <c r="AJ1417" s="1414"/>
      <c r="AK1417" s="1414"/>
      <c r="AL1417" s="1414"/>
      <c r="AM1417" s="1414"/>
      <c r="AN1417" s="1414"/>
      <c r="AO1417" s="1414"/>
      <c r="AP1417" s="1414"/>
      <c r="AQ1417" s="1414"/>
      <c r="AR1417" s="1414"/>
      <c r="AS1417" s="1414"/>
      <c r="AT1417" s="1414"/>
      <c r="AU1417" s="1414"/>
      <c r="AV1417" s="1414"/>
      <c r="AW1417" s="1414"/>
      <c r="AX1417" s="1414"/>
      <c r="AY1417" s="1399"/>
      <c r="AZ1417" s="1399"/>
      <c r="BA1417" s="1399"/>
      <c r="BB1417" s="1399"/>
      <c r="BC1417" s="1399"/>
      <c r="BD1417" s="1399"/>
      <c r="BE1417" s="1414"/>
      <c r="BF1417" s="1399"/>
      <c r="BG1417" s="1399"/>
      <c r="BH1417" s="1399"/>
      <c r="BI1417" s="1399"/>
      <c r="BJ1417" s="1399"/>
      <c r="BK1417" s="1399"/>
      <c r="BL1417" s="1399"/>
      <c r="BM1417" s="1399"/>
      <c r="BN1417" s="1399"/>
      <c r="BO1417" s="1399"/>
      <c r="BP1417" s="1399"/>
      <c r="BQ1417" s="1399"/>
      <c r="BR1417" s="1399"/>
      <c r="BS1417" s="1399"/>
      <c r="BT1417" s="1399"/>
      <c r="BU1417" s="1399"/>
      <c r="BV1417" s="1399"/>
      <c r="BW1417" s="1399"/>
      <c r="BX1417" s="1399"/>
      <c r="BY1417" s="1399"/>
      <c r="BZ1417" s="1399"/>
      <c r="CA1417" s="1399"/>
      <c r="CB1417" s="1399"/>
      <c r="CC1417" s="1399"/>
      <c r="CD1417" s="1399"/>
      <c r="CE1417" s="1399"/>
      <c r="CF1417" s="1399"/>
      <c r="CG1417" s="1399"/>
      <c r="CH1417" s="1399"/>
      <c r="CI1417" s="1399"/>
      <c r="CJ1417" s="1399"/>
      <c r="CK1417" s="1399"/>
      <c r="CL1417" s="1399"/>
      <c r="CM1417" s="1399"/>
      <c r="CN1417" s="1399"/>
      <c r="CO1417" s="1399"/>
      <c r="CP1417" s="1399"/>
      <c r="CQ1417" s="1399"/>
      <c r="CR1417" s="1399"/>
      <c r="CS1417" s="1399"/>
      <c r="CT1417" s="1399"/>
      <c r="CU1417" s="1399"/>
      <c r="CV1417" s="1399"/>
      <c r="CW1417" s="1399"/>
      <c r="CX1417" s="1399"/>
      <c r="CY1417" s="1399"/>
      <c r="CZ1417" s="1399"/>
      <c r="DA1417" s="1399"/>
      <c r="DB1417" s="1399"/>
      <c r="DC1417" s="1399"/>
      <c r="DD1417" s="1399"/>
      <c r="DE1417" s="1399"/>
      <c r="DF1417" s="1399"/>
      <c r="DG1417" s="1399"/>
      <c r="DH1417" s="1399"/>
      <c r="DI1417" s="1399"/>
      <c r="DJ1417" s="1399"/>
      <c r="DK1417" s="1399"/>
      <c r="DL1417" s="1399"/>
      <c r="DM1417" s="1399"/>
      <c r="DN1417" s="1399"/>
      <c r="DO1417" s="1399"/>
      <c r="DP1417" s="1399"/>
      <c r="DQ1417" s="1399"/>
      <c r="DR1417" s="1399"/>
      <c r="DS1417" s="1399"/>
      <c r="DT1417" s="1399"/>
      <c r="DU1417" s="1399"/>
    </row>
    <row r="1418" spans="1:125">
      <c r="A1418" s="1414"/>
      <c r="B1418" s="1414"/>
      <c r="C1418" s="1414"/>
      <c r="D1418" s="1414"/>
      <c r="E1418" s="1414"/>
      <c r="F1418" s="1414"/>
      <c r="G1418" s="1414"/>
      <c r="H1418" s="1414"/>
      <c r="I1418" s="1414"/>
      <c r="J1418" s="1414"/>
      <c r="K1418" s="1414"/>
      <c r="L1418" s="1414"/>
      <c r="M1418" s="1414"/>
      <c r="N1418" s="1414"/>
      <c r="O1418" s="1414"/>
      <c r="P1418" s="1414"/>
      <c r="Q1418" s="1414"/>
      <c r="R1418" s="1414"/>
      <c r="S1418" s="1414"/>
      <c r="T1418" s="1414"/>
      <c r="U1418" s="1414"/>
      <c r="V1418" s="1414"/>
      <c r="W1418" s="1414"/>
      <c r="X1418" s="1414"/>
      <c r="Y1418" s="1414"/>
      <c r="Z1418" s="1414"/>
      <c r="AA1418" s="1414"/>
      <c r="AB1418" s="1414"/>
      <c r="AC1418" s="1414"/>
      <c r="AD1418" s="1414"/>
      <c r="AE1418" s="1414"/>
      <c r="AF1418" s="1414"/>
      <c r="AG1418" s="1414"/>
      <c r="AH1418" s="1414"/>
      <c r="AI1418" s="1414"/>
      <c r="AJ1418" s="1414"/>
      <c r="AK1418" s="1414"/>
      <c r="AL1418" s="1414"/>
      <c r="AM1418" s="1414"/>
      <c r="AN1418" s="1414"/>
      <c r="AO1418" s="1414"/>
      <c r="AP1418" s="1414"/>
      <c r="AQ1418" s="1414"/>
      <c r="AR1418" s="1414"/>
      <c r="AS1418" s="1414"/>
      <c r="AT1418" s="1414"/>
      <c r="AU1418" s="1414"/>
      <c r="AV1418" s="1414"/>
      <c r="AW1418" s="1414"/>
      <c r="AX1418" s="1414"/>
      <c r="AY1418" s="1399"/>
      <c r="AZ1418" s="1399"/>
      <c r="BA1418" s="1399"/>
      <c r="BB1418" s="1399"/>
      <c r="BC1418" s="1399"/>
      <c r="BD1418" s="1399"/>
      <c r="BE1418" s="1414"/>
      <c r="BF1418" s="1399"/>
      <c r="BG1418" s="1399"/>
      <c r="BH1418" s="1399"/>
      <c r="BI1418" s="1399"/>
      <c r="BJ1418" s="1399"/>
      <c r="BK1418" s="1399"/>
      <c r="BL1418" s="1399"/>
      <c r="BM1418" s="1399"/>
      <c r="BN1418" s="1399"/>
      <c r="BO1418" s="1399"/>
      <c r="BP1418" s="1399"/>
      <c r="BQ1418" s="1399"/>
      <c r="BR1418" s="1399"/>
      <c r="BS1418" s="1399"/>
      <c r="BT1418" s="1399"/>
      <c r="BU1418" s="1399"/>
      <c r="BV1418" s="1399"/>
      <c r="BW1418" s="1399"/>
      <c r="BX1418" s="1399"/>
      <c r="BY1418" s="1399"/>
      <c r="BZ1418" s="1399"/>
      <c r="CA1418" s="1399"/>
      <c r="CB1418" s="1399"/>
      <c r="CC1418" s="1399"/>
      <c r="CD1418" s="1399"/>
      <c r="CE1418" s="1399"/>
      <c r="CF1418" s="1399"/>
      <c r="CG1418" s="1399"/>
      <c r="CH1418" s="1399"/>
      <c r="CI1418" s="1399"/>
      <c r="CJ1418" s="1399"/>
      <c r="CK1418" s="1399"/>
      <c r="CL1418" s="1399"/>
      <c r="CM1418" s="1399"/>
      <c r="CN1418" s="1399"/>
      <c r="CO1418" s="1399"/>
      <c r="CP1418" s="1399"/>
      <c r="CQ1418" s="1399"/>
      <c r="CR1418" s="1399"/>
      <c r="CS1418" s="1399"/>
      <c r="CT1418" s="1399"/>
      <c r="CU1418" s="1399"/>
      <c r="CV1418" s="1399"/>
      <c r="CW1418" s="1399"/>
      <c r="CX1418" s="1399"/>
      <c r="CY1418" s="1399"/>
      <c r="CZ1418" s="1399"/>
      <c r="DA1418" s="1399"/>
      <c r="DB1418" s="1399"/>
      <c r="DC1418" s="1399"/>
      <c r="DD1418" s="1399"/>
      <c r="DE1418" s="1399"/>
      <c r="DF1418" s="1399"/>
      <c r="DG1418" s="1399"/>
      <c r="DH1418" s="1399"/>
      <c r="DI1418" s="1399"/>
      <c r="DJ1418" s="1399"/>
      <c r="DK1418" s="1399"/>
      <c r="DL1418" s="1399"/>
      <c r="DM1418" s="1399"/>
      <c r="DN1418" s="1399"/>
      <c r="DO1418" s="1399"/>
      <c r="DP1418" s="1399"/>
      <c r="DQ1418" s="1399"/>
      <c r="DR1418" s="1399"/>
      <c r="DS1418" s="1399"/>
      <c r="DT1418" s="1399"/>
      <c r="DU1418" s="1399"/>
    </row>
    <row r="1419" spans="1:125">
      <c r="A1419" s="1414"/>
      <c r="B1419" s="1414"/>
      <c r="C1419" s="1414"/>
      <c r="D1419" s="1414"/>
      <c r="E1419" s="1414"/>
      <c r="F1419" s="1414"/>
      <c r="G1419" s="1414"/>
      <c r="H1419" s="1414"/>
      <c r="I1419" s="1414"/>
      <c r="J1419" s="1414"/>
      <c r="K1419" s="1414"/>
      <c r="L1419" s="1414"/>
      <c r="M1419" s="1414"/>
      <c r="N1419" s="1414"/>
      <c r="O1419" s="1414"/>
      <c r="P1419" s="1414"/>
      <c r="Q1419" s="1414"/>
      <c r="R1419" s="1414"/>
      <c r="S1419" s="1414"/>
      <c r="T1419" s="1414"/>
      <c r="U1419" s="1414"/>
      <c r="V1419" s="1414"/>
      <c r="W1419" s="1414"/>
      <c r="X1419" s="1414"/>
      <c r="Y1419" s="1414"/>
      <c r="Z1419" s="1414"/>
      <c r="AA1419" s="1414"/>
      <c r="AB1419" s="1414"/>
      <c r="AC1419" s="1414"/>
      <c r="AD1419" s="1414"/>
      <c r="AE1419" s="1414"/>
      <c r="AF1419" s="1414"/>
      <c r="AG1419" s="1414"/>
      <c r="AH1419" s="1414"/>
      <c r="AI1419" s="1414"/>
      <c r="AJ1419" s="1414"/>
      <c r="AK1419" s="1414"/>
      <c r="AL1419" s="1414"/>
      <c r="AM1419" s="1414"/>
      <c r="AN1419" s="1414"/>
      <c r="AO1419" s="1414"/>
      <c r="AP1419" s="1414"/>
      <c r="AQ1419" s="1414"/>
      <c r="AR1419" s="1414"/>
      <c r="AS1419" s="1414"/>
      <c r="AT1419" s="1414"/>
      <c r="AU1419" s="1414"/>
      <c r="AV1419" s="1414"/>
      <c r="AW1419" s="1414"/>
      <c r="AX1419" s="1414"/>
      <c r="AY1419" s="1399"/>
      <c r="AZ1419" s="1399"/>
      <c r="BA1419" s="1399"/>
      <c r="BB1419" s="1399"/>
      <c r="BC1419" s="1399"/>
      <c r="BD1419" s="1399"/>
      <c r="BE1419" s="1414"/>
      <c r="BF1419" s="1399"/>
      <c r="BG1419" s="1399"/>
      <c r="BH1419" s="1399"/>
      <c r="BI1419" s="1399"/>
      <c r="BJ1419" s="1399"/>
      <c r="BK1419" s="1399"/>
      <c r="BL1419" s="1399"/>
      <c r="BM1419" s="1399"/>
      <c r="BN1419" s="1399"/>
      <c r="BO1419" s="1399"/>
      <c r="BP1419" s="1399"/>
      <c r="BQ1419" s="1399"/>
      <c r="BR1419" s="1399"/>
      <c r="BS1419" s="1399"/>
      <c r="BT1419" s="1399"/>
      <c r="BU1419" s="1399"/>
      <c r="BV1419" s="1399"/>
      <c r="BW1419" s="1399"/>
      <c r="BX1419" s="1399"/>
      <c r="BY1419" s="1399"/>
      <c r="BZ1419" s="1399"/>
      <c r="CA1419" s="1399"/>
      <c r="CB1419" s="1399"/>
      <c r="CC1419" s="1399"/>
      <c r="CD1419" s="1399"/>
      <c r="CE1419" s="1399"/>
      <c r="CF1419" s="1399"/>
      <c r="CG1419" s="1399"/>
      <c r="CH1419" s="1399"/>
      <c r="CI1419" s="1399"/>
      <c r="CJ1419" s="1399"/>
      <c r="CK1419" s="1399"/>
      <c r="CL1419" s="1399"/>
      <c r="CM1419" s="1399"/>
      <c r="CN1419" s="1399"/>
      <c r="CO1419" s="1399"/>
      <c r="CP1419" s="1399"/>
      <c r="CQ1419" s="1399"/>
      <c r="CR1419" s="1399"/>
      <c r="CS1419" s="1399"/>
      <c r="CT1419" s="1399"/>
      <c r="CU1419" s="1399"/>
      <c r="CV1419" s="1399"/>
      <c r="CW1419" s="1399"/>
      <c r="CX1419" s="1399"/>
      <c r="CY1419" s="1399"/>
      <c r="CZ1419" s="1399"/>
      <c r="DA1419" s="1399"/>
      <c r="DB1419" s="1399"/>
      <c r="DC1419" s="1399"/>
      <c r="DD1419" s="1399"/>
      <c r="DE1419" s="1399"/>
      <c r="DF1419" s="1399"/>
      <c r="DG1419" s="1399"/>
      <c r="DH1419" s="1399"/>
      <c r="DI1419" s="1399"/>
      <c r="DJ1419" s="1399"/>
      <c r="DK1419" s="1399"/>
      <c r="DL1419" s="1399"/>
      <c r="DM1419" s="1399"/>
      <c r="DN1419" s="1399"/>
      <c r="DO1419" s="1399"/>
      <c r="DP1419" s="1399"/>
      <c r="DQ1419" s="1399"/>
      <c r="DR1419" s="1399"/>
      <c r="DS1419" s="1399"/>
      <c r="DT1419" s="1399"/>
      <c r="DU1419" s="1399"/>
    </row>
    <row r="1420" spans="1:125">
      <c r="A1420" s="1414"/>
      <c r="B1420" s="1414"/>
      <c r="C1420" s="1414"/>
      <c r="D1420" s="1414"/>
      <c r="E1420" s="1414"/>
      <c r="F1420" s="1414"/>
      <c r="G1420" s="1414"/>
      <c r="H1420" s="1414"/>
      <c r="I1420" s="1414"/>
      <c r="J1420" s="1414"/>
      <c r="K1420" s="1414"/>
      <c r="L1420" s="1414"/>
      <c r="M1420" s="1414"/>
      <c r="N1420" s="1414"/>
      <c r="O1420" s="1414"/>
      <c r="P1420" s="1414"/>
      <c r="Q1420" s="1414"/>
      <c r="R1420" s="1414"/>
      <c r="S1420" s="1414"/>
      <c r="T1420" s="1414"/>
      <c r="U1420" s="1414"/>
      <c r="V1420" s="1414"/>
      <c r="W1420" s="1414"/>
      <c r="X1420" s="1414"/>
      <c r="Y1420" s="1414"/>
      <c r="Z1420" s="1414"/>
      <c r="AA1420" s="1414"/>
      <c r="AB1420" s="1414"/>
      <c r="AC1420" s="1414"/>
      <c r="AD1420" s="1414"/>
      <c r="AE1420" s="1414"/>
      <c r="AF1420" s="1414"/>
      <c r="AG1420" s="1414"/>
      <c r="AH1420" s="1414"/>
      <c r="AI1420" s="1414"/>
      <c r="AJ1420" s="1414"/>
      <c r="AK1420" s="1414"/>
      <c r="AL1420" s="1414"/>
      <c r="AM1420" s="1414"/>
      <c r="AN1420" s="1414"/>
      <c r="AO1420" s="1414"/>
      <c r="AP1420" s="1414"/>
      <c r="AQ1420" s="1414"/>
      <c r="AR1420" s="1414"/>
      <c r="AS1420" s="1414"/>
      <c r="AT1420" s="1414"/>
      <c r="AU1420" s="1414"/>
      <c r="AV1420" s="1414"/>
      <c r="AW1420" s="1414"/>
      <c r="AX1420" s="1414"/>
      <c r="AY1420" s="1399"/>
      <c r="AZ1420" s="1399"/>
      <c r="BA1420" s="1399"/>
      <c r="BB1420" s="1399"/>
      <c r="BC1420" s="1399"/>
      <c r="BD1420" s="1399"/>
      <c r="BE1420" s="1414"/>
      <c r="BF1420" s="1399"/>
      <c r="BG1420" s="1399"/>
      <c r="BH1420" s="1399"/>
      <c r="BI1420" s="1399"/>
      <c r="BJ1420" s="1399"/>
      <c r="BK1420" s="1399"/>
      <c r="BL1420" s="1399"/>
      <c r="BM1420" s="1399"/>
      <c r="BN1420" s="1399"/>
      <c r="BO1420" s="1399"/>
      <c r="BP1420" s="1399"/>
      <c r="BQ1420" s="1399"/>
      <c r="BR1420" s="1399"/>
      <c r="BS1420" s="1399"/>
      <c r="BT1420" s="1399"/>
      <c r="BU1420" s="1399"/>
      <c r="BV1420" s="1399"/>
      <c r="BW1420" s="1399"/>
      <c r="BX1420" s="1399"/>
      <c r="BY1420" s="1399"/>
      <c r="BZ1420" s="1399"/>
      <c r="CA1420" s="1399"/>
      <c r="CB1420" s="1399"/>
      <c r="CC1420" s="1399"/>
      <c r="CD1420" s="1399"/>
      <c r="CE1420" s="1399"/>
      <c r="CF1420" s="1399"/>
      <c r="CG1420" s="1399"/>
      <c r="CH1420" s="1399"/>
      <c r="CI1420" s="1399"/>
      <c r="CJ1420" s="1399"/>
      <c r="CK1420" s="1399"/>
      <c r="CL1420" s="1399"/>
      <c r="CM1420" s="1399"/>
      <c r="CN1420" s="1399"/>
      <c r="CO1420" s="1399"/>
      <c r="CP1420" s="1399"/>
      <c r="CQ1420" s="1399"/>
      <c r="CR1420" s="1399"/>
      <c r="CS1420" s="1399"/>
      <c r="CT1420" s="1399"/>
      <c r="CU1420" s="1399"/>
      <c r="CV1420" s="1399"/>
      <c r="CW1420" s="1399"/>
      <c r="CX1420" s="1399"/>
      <c r="CY1420" s="1399"/>
      <c r="CZ1420" s="1399"/>
      <c r="DA1420" s="1399"/>
      <c r="DB1420" s="1399"/>
      <c r="DC1420" s="1399"/>
      <c r="DD1420" s="1399"/>
      <c r="DE1420" s="1399"/>
      <c r="DF1420" s="1399"/>
      <c r="DG1420" s="1399"/>
      <c r="DH1420" s="1399"/>
      <c r="DI1420" s="1399"/>
      <c r="DJ1420" s="1399"/>
      <c r="DK1420" s="1399"/>
      <c r="DL1420" s="1399"/>
      <c r="DM1420" s="1399"/>
      <c r="DN1420" s="1399"/>
      <c r="DO1420" s="1399"/>
      <c r="DP1420" s="1399"/>
      <c r="DQ1420" s="1399"/>
      <c r="DR1420" s="1399"/>
      <c r="DS1420" s="1399"/>
      <c r="DT1420" s="1399"/>
      <c r="DU1420" s="1399"/>
    </row>
    <row r="1421" spans="1:125">
      <c r="A1421" s="1414"/>
      <c r="B1421" s="1414"/>
      <c r="C1421" s="1414"/>
      <c r="D1421" s="1414"/>
      <c r="E1421" s="1414"/>
      <c r="F1421" s="1414"/>
      <c r="G1421" s="1414"/>
      <c r="H1421" s="1414"/>
      <c r="I1421" s="1414"/>
      <c r="J1421" s="1414"/>
      <c r="K1421" s="1414"/>
      <c r="L1421" s="1414"/>
      <c r="M1421" s="1414"/>
      <c r="N1421" s="1414"/>
      <c r="O1421" s="1414"/>
      <c r="P1421" s="1414"/>
      <c r="Q1421" s="1414"/>
      <c r="R1421" s="1414"/>
      <c r="S1421" s="1414"/>
      <c r="T1421" s="1414"/>
      <c r="U1421" s="1414"/>
      <c r="V1421" s="1414"/>
      <c r="W1421" s="1414"/>
      <c r="X1421" s="1414"/>
      <c r="Y1421" s="1414"/>
      <c r="Z1421" s="1414"/>
      <c r="AA1421" s="1414"/>
      <c r="AB1421" s="1414"/>
      <c r="AC1421" s="1414"/>
      <c r="AD1421" s="1414"/>
      <c r="AE1421" s="1414"/>
      <c r="AF1421" s="1414"/>
      <c r="AG1421" s="1414"/>
      <c r="AH1421" s="1414"/>
      <c r="AI1421" s="1414"/>
      <c r="AJ1421" s="1414"/>
      <c r="AK1421" s="1414"/>
      <c r="AL1421" s="1414"/>
      <c r="AM1421" s="1414"/>
      <c r="AN1421" s="1414"/>
      <c r="AO1421" s="1414"/>
      <c r="AP1421" s="1414"/>
      <c r="AQ1421" s="1414"/>
      <c r="AR1421" s="1414"/>
      <c r="AS1421" s="1414"/>
      <c r="AT1421" s="1414"/>
      <c r="AU1421" s="1414"/>
      <c r="AV1421" s="1414"/>
      <c r="AW1421" s="1414"/>
      <c r="AX1421" s="1414"/>
      <c r="AY1421" s="1399"/>
      <c r="AZ1421" s="1399"/>
      <c r="BA1421" s="1399"/>
      <c r="BB1421" s="1399"/>
      <c r="BC1421" s="1399"/>
      <c r="BD1421" s="1399"/>
      <c r="BE1421" s="1414"/>
      <c r="BF1421" s="1399"/>
      <c r="BG1421" s="1399"/>
      <c r="BH1421" s="1399"/>
      <c r="BI1421" s="1399"/>
      <c r="BJ1421" s="1399"/>
      <c r="BK1421" s="1399"/>
      <c r="BL1421" s="1399"/>
      <c r="BM1421" s="1399"/>
      <c r="BN1421" s="1399"/>
      <c r="BO1421" s="1399"/>
      <c r="BP1421" s="1399"/>
      <c r="BQ1421" s="1399"/>
      <c r="BR1421" s="1399"/>
      <c r="BS1421" s="1399"/>
      <c r="BT1421" s="1399"/>
      <c r="BU1421" s="1399"/>
      <c r="BV1421" s="1399"/>
      <c r="BW1421" s="1399"/>
      <c r="BX1421" s="1399"/>
      <c r="BY1421" s="1399"/>
      <c r="BZ1421" s="1399"/>
      <c r="CA1421" s="1399"/>
      <c r="CB1421" s="1399"/>
      <c r="CC1421" s="1399"/>
      <c r="CD1421" s="1399"/>
      <c r="CE1421" s="1399"/>
      <c r="CF1421" s="1399"/>
      <c r="CG1421" s="1399"/>
      <c r="CH1421" s="1399"/>
      <c r="CI1421" s="1399"/>
      <c r="CJ1421" s="1399"/>
      <c r="CK1421" s="1399"/>
      <c r="CL1421" s="1399"/>
      <c r="CM1421" s="1399"/>
      <c r="CN1421" s="1399"/>
      <c r="CO1421" s="1399"/>
      <c r="CP1421" s="1399"/>
      <c r="CQ1421" s="1399"/>
      <c r="CR1421" s="1399"/>
      <c r="CS1421" s="1399"/>
      <c r="CT1421" s="1399"/>
      <c r="CU1421" s="1399"/>
      <c r="CV1421" s="1399"/>
      <c r="CW1421" s="1399"/>
      <c r="CX1421" s="1399"/>
      <c r="CY1421" s="1399"/>
      <c r="CZ1421" s="1399"/>
      <c r="DA1421" s="1399"/>
      <c r="DB1421" s="1399"/>
      <c r="DC1421" s="1399"/>
      <c r="DD1421" s="1399"/>
      <c r="DE1421" s="1399"/>
      <c r="DF1421" s="1399"/>
      <c r="DG1421" s="1399"/>
      <c r="DH1421" s="1399"/>
      <c r="DI1421" s="1399"/>
      <c r="DJ1421" s="1399"/>
      <c r="DK1421" s="1399"/>
      <c r="DL1421" s="1399"/>
      <c r="DM1421" s="1399"/>
      <c r="DN1421" s="1399"/>
      <c r="DO1421" s="1399"/>
      <c r="DP1421" s="1399"/>
      <c r="DQ1421" s="1399"/>
      <c r="DR1421" s="1399"/>
      <c r="DS1421" s="1399"/>
      <c r="DT1421" s="1399"/>
      <c r="DU1421" s="1399"/>
    </row>
    <row r="1422" spans="1:125">
      <c r="A1422" s="1414"/>
      <c r="B1422" s="1414"/>
      <c r="C1422" s="1414"/>
      <c r="D1422" s="1414"/>
      <c r="E1422" s="1414"/>
      <c r="F1422" s="1414"/>
      <c r="G1422" s="1414"/>
      <c r="H1422" s="1414"/>
      <c r="I1422" s="1414"/>
      <c r="J1422" s="1414"/>
      <c r="K1422" s="1414"/>
      <c r="L1422" s="1414"/>
      <c r="M1422" s="1414"/>
      <c r="N1422" s="1414"/>
      <c r="O1422" s="1414"/>
      <c r="P1422" s="1414"/>
      <c r="Q1422" s="1414"/>
      <c r="R1422" s="1414"/>
      <c r="S1422" s="1414"/>
      <c r="T1422" s="1414"/>
      <c r="U1422" s="1414"/>
      <c r="V1422" s="1414"/>
      <c r="W1422" s="1414"/>
      <c r="X1422" s="1414"/>
      <c r="Y1422" s="1414"/>
      <c r="Z1422" s="1414"/>
      <c r="AA1422" s="1414"/>
      <c r="AB1422" s="1414"/>
      <c r="AC1422" s="1414"/>
      <c r="AD1422" s="1414"/>
      <c r="AE1422" s="1414"/>
      <c r="AF1422" s="1414"/>
      <c r="AG1422" s="1414"/>
      <c r="AH1422" s="1414"/>
      <c r="AI1422" s="1414"/>
      <c r="AJ1422" s="1414"/>
      <c r="AK1422" s="1414"/>
      <c r="AL1422" s="1414"/>
      <c r="AM1422" s="1414"/>
      <c r="AN1422" s="1414"/>
      <c r="AO1422" s="1414"/>
      <c r="AP1422" s="1414"/>
      <c r="AQ1422" s="1414"/>
      <c r="AR1422" s="1414"/>
      <c r="AS1422" s="1414"/>
      <c r="AT1422" s="1414"/>
      <c r="AU1422" s="1414"/>
      <c r="AV1422" s="1414"/>
      <c r="AW1422" s="1414"/>
      <c r="AX1422" s="1414"/>
      <c r="AY1422" s="1399"/>
      <c r="AZ1422" s="1399"/>
      <c r="BA1422" s="1399"/>
      <c r="BB1422" s="1399"/>
      <c r="BC1422" s="1399"/>
      <c r="BD1422" s="1399"/>
      <c r="BE1422" s="1414"/>
      <c r="BF1422" s="1399"/>
      <c r="BG1422" s="1399"/>
      <c r="BH1422" s="1399"/>
      <c r="BI1422" s="1399"/>
      <c r="BJ1422" s="1399"/>
      <c r="BK1422" s="1399"/>
      <c r="BL1422" s="1399"/>
      <c r="BM1422" s="1399"/>
      <c r="BN1422" s="1399"/>
      <c r="BO1422" s="1399"/>
      <c r="BP1422" s="1399"/>
      <c r="BQ1422" s="1399"/>
      <c r="BR1422" s="1399"/>
      <c r="BS1422" s="1399"/>
      <c r="BT1422" s="1399"/>
      <c r="BU1422" s="1399"/>
      <c r="BV1422" s="1399"/>
      <c r="BW1422" s="1399"/>
      <c r="BX1422" s="1399"/>
      <c r="BY1422" s="1399"/>
      <c r="BZ1422" s="1399"/>
      <c r="CA1422" s="1399"/>
      <c r="CB1422" s="1399"/>
      <c r="CC1422" s="1399"/>
      <c r="CD1422" s="1399"/>
      <c r="CE1422" s="1399"/>
      <c r="CF1422" s="1399"/>
      <c r="CG1422" s="1399"/>
      <c r="CH1422" s="1399"/>
      <c r="CI1422" s="1399"/>
      <c r="CJ1422" s="1399"/>
      <c r="CK1422" s="1399"/>
      <c r="CL1422" s="1399"/>
      <c r="CM1422" s="1399"/>
      <c r="CN1422" s="1399"/>
      <c r="CO1422" s="1399"/>
      <c r="CP1422" s="1399"/>
      <c r="CQ1422" s="1399"/>
      <c r="CR1422" s="1399"/>
      <c r="CS1422" s="1399"/>
      <c r="CT1422" s="1399"/>
      <c r="CU1422" s="1399"/>
      <c r="CV1422" s="1399"/>
      <c r="CW1422" s="1399"/>
      <c r="CX1422" s="1399"/>
      <c r="CY1422" s="1399"/>
      <c r="CZ1422" s="1399"/>
      <c r="DA1422" s="1399"/>
      <c r="DB1422" s="1399"/>
      <c r="DC1422" s="1399"/>
      <c r="DD1422" s="1399"/>
      <c r="DE1422" s="1399"/>
      <c r="DF1422" s="1399"/>
      <c r="DG1422" s="1399"/>
      <c r="DH1422" s="1399"/>
      <c r="DI1422" s="1399"/>
      <c r="DJ1422" s="1399"/>
      <c r="DK1422" s="1399"/>
      <c r="DL1422" s="1399"/>
      <c r="DM1422" s="1399"/>
      <c r="DN1422" s="1399"/>
      <c r="DO1422" s="1399"/>
      <c r="DP1422" s="1399"/>
      <c r="DQ1422" s="1399"/>
      <c r="DR1422" s="1399"/>
      <c r="DS1422" s="1399"/>
      <c r="DT1422" s="1399"/>
      <c r="DU1422" s="1399"/>
    </row>
    <row r="1423" spans="1:125">
      <c r="A1423" s="1414"/>
      <c r="B1423" s="1414"/>
      <c r="C1423" s="1414"/>
      <c r="D1423" s="1414"/>
      <c r="E1423" s="1414"/>
      <c r="F1423" s="1414"/>
      <c r="G1423" s="1414"/>
      <c r="H1423" s="1414"/>
      <c r="I1423" s="1414"/>
      <c r="J1423" s="1414"/>
      <c r="K1423" s="1414"/>
      <c r="L1423" s="1414"/>
      <c r="M1423" s="1414"/>
      <c r="N1423" s="1414"/>
      <c r="O1423" s="1414"/>
      <c r="P1423" s="1414"/>
      <c r="Q1423" s="1414"/>
      <c r="R1423" s="1414"/>
      <c r="S1423" s="1414"/>
      <c r="T1423" s="1414"/>
      <c r="U1423" s="1414"/>
      <c r="V1423" s="1414"/>
      <c r="W1423" s="1414"/>
      <c r="X1423" s="1414"/>
      <c r="Y1423" s="1414"/>
      <c r="Z1423" s="1414"/>
      <c r="AA1423" s="1414"/>
      <c r="AB1423" s="1414"/>
      <c r="AC1423" s="1414"/>
      <c r="AD1423" s="1414"/>
      <c r="AE1423" s="1414"/>
      <c r="AF1423" s="1414"/>
      <c r="AG1423" s="1414"/>
      <c r="AH1423" s="1414"/>
      <c r="AI1423" s="1414"/>
      <c r="AJ1423" s="1414"/>
      <c r="AK1423" s="1414"/>
      <c r="AL1423" s="1414"/>
      <c r="AM1423" s="1414"/>
      <c r="AN1423" s="1414"/>
      <c r="AO1423" s="1414"/>
      <c r="AP1423" s="1414"/>
      <c r="AQ1423" s="1414"/>
      <c r="AR1423" s="1414"/>
      <c r="AS1423" s="1414"/>
      <c r="AT1423" s="1414"/>
      <c r="AU1423" s="1414"/>
      <c r="AV1423" s="1414"/>
      <c r="AW1423" s="1414"/>
      <c r="AX1423" s="1414"/>
      <c r="AY1423" s="1399"/>
      <c r="AZ1423" s="1399"/>
      <c r="BA1423" s="1399"/>
      <c r="BB1423" s="1399"/>
      <c r="BC1423" s="1399"/>
      <c r="BD1423" s="1399"/>
      <c r="BE1423" s="1414"/>
      <c r="BF1423" s="1399"/>
      <c r="BG1423" s="1399"/>
      <c r="BH1423" s="1399"/>
      <c r="BI1423" s="1399"/>
      <c r="BJ1423" s="1399"/>
      <c r="BK1423" s="1399"/>
      <c r="BL1423" s="1399"/>
      <c r="BM1423" s="1399"/>
      <c r="BN1423" s="1399"/>
      <c r="BO1423" s="1399"/>
      <c r="BP1423" s="1399"/>
      <c r="BQ1423" s="1399"/>
      <c r="BR1423" s="1399"/>
      <c r="BS1423" s="1399"/>
      <c r="BT1423" s="1399"/>
      <c r="BU1423" s="1399"/>
      <c r="BV1423" s="1399"/>
      <c r="BW1423" s="1399"/>
      <c r="BX1423" s="1399"/>
      <c r="BY1423" s="1399"/>
      <c r="BZ1423" s="1399"/>
      <c r="CA1423" s="1399"/>
      <c r="CB1423" s="1399"/>
      <c r="CC1423" s="1399"/>
      <c r="CD1423" s="1399"/>
      <c r="CE1423" s="1399"/>
      <c r="CF1423" s="1399"/>
      <c r="CG1423" s="1399"/>
      <c r="CH1423" s="1399"/>
      <c r="CI1423" s="1399"/>
      <c r="CJ1423" s="1399"/>
      <c r="CK1423" s="1399"/>
      <c r="CL1423" s="1399"/>
      <c r="CM1423" s="1399"/>
      <c r="CN1423" s="1399"/>
      <c r="CO1423" s="1399"/>
      <c r="CP1423" s="1399"/>
      <c r="CQ1423" s="1399"/>
      <c r="CR1423" s="1399"/>
      <c r="CS1423" s="1399"/>
      <c r="CT1423" s="1399"/>
      <c r="CU1423" s="1399"/>
      <c r="CV1423" s="1399"/>
      <c r="CW1423" s="1399"/>
      <c r="CX1423" s="1399"/>
      <c r="CY1423" s="1399"/>
      <c r="CZ1423" s="1399"/>
      <c r="DA1423" s="1399"/>
      <c r="DB1423" s="1399"/>
      <c r="DC1423" s="1399"/>
      <c r="DD1423" s="1399"/>
      <c r="DE1423" s="1399"/>
      <c r="DF1423" s="1399"/>
      <c r="DG1423" s="1399"/>
      <c r="DH1423" s="1399"/>
      <c r="DI1423" s="1399"/>
      <c r="DJ1423" s="1399"/>
      <c r="DK1423" s="1399"/>
      <c r="DL1423" s="1399"/>
      <c r="DM1423" s="1399"/>
      <c r="DN1423" s="1399"/>
      <c r="DO1423" s="1399"/>
      <c r="DP1423" s="1399"/>
      <c r="DQ1423" s="1399"/>
      <c r="DR1423" s="1399"/>
      <c r="DS1423" s="1399"/>
      <c r="DT1423" s="1399"/>
      <c r="DU1423" s="1399"/>
    </row>
    <row r="1424" spans="1:125">
      <c r="A1424" s="1414"/>
      <c r="B1424" s="1414"/>
      <c r="C1424" s="1414"/>
      <c r="D1424" s="1414"/>
      <c r="E1424" s="1414"/>
      <c r="F1424" s="1414"/>
      <c r="G1424" s="1414"/>
      <c r="H1424" s="1414"/>
      <c r="I1424" s="1414"/>
      <c r="J1424" s="1414"/>
      <c r="K1424" s="1414"/>
      <c r="L1424" s="1414"/>
      <c r="M1424" s="1414"/>
      <c r="N1424" s="1414"/>
      <c r="O1424" s="1414"/>
      <c r="P1424" s="1414"/>
      <c r="Q1424" s="1414"/>
      <c r="R1424" s="1414"/>
      <c r="S1424" s="1414"/>
      <c r="T1424" s="1414"/>
      <c r="U1424" s="1414"/>
      <c r="V1424" s="1414"/>
      <c r="W1424" s="1414"/>
      <c r="X1424" s="1414"/>
      <c r="Y1424" s="1414"/>
      <c r="Z1424" s="1414"/>
      <c r="AA1424" s="1414"/>
      <c r="AB1424" s="1414"/>
      <c r="AC1424" s="1414"/>
      <c r="AD1424" s="1414"/>
      <c r="AE1424" s="1414"/>
      <c r="AF1424" s="1414"/>
      <c r="AG1424" s="1414"/>
      <c r="AH1424" s="1414"/>
      <c r="AI1424" s="1414"/>
      <c r="AJ1424" s="1414"/>
      <c r="AK1424" s="1414"/>
      <c r="AL1424" s="1414"/>
      <c r="AM1424" s="1414"/>
      <c r="AN1424" s="1414"/>
      <c r="AO1424" s="1414"/>
      <c r="AP1424" s="1414"/>
      <c r="AQ1424" s="1414"/>
      <c r="AR1424" s="1414"/>
      <c r="AS1424" s="1414"/>
      <c r="AT1424" s="1414"/>
      <c r="AU1424" s="1414"/>
      <c r="AV1424" s="1414"/>
      <c r="AW1424" s="1414"/>
      <c r="AX1424" s="1414"/>
      <c r="AY1424" s="1399"/>
      <c r="AZ1424" s="1399"/>
      <c r="BA1424" s="1399"/>
      <c r="BB1424" s="1399"/>
      <c r="BC1424" s="1399"/>
      <c r="BD1424" s="1399"/>
      <c r="BE1424" s="1414"/>
      <c r="BF1424" s="1399"/>
      <c r="BG1424" s="1399"/>
      <c r="BH1424" s="1399"/>
      <c r="BI1424" s="1399"/>
      <c r="BJ1424" s="1399"/>
      <c r="BK1424" s="1399"/>
      <c r="BL1424" s="1399"/>
      <c r="BM1424" s="1399"/>
      <c r="BN1424" s="1399"/>
      <c r="BO1424" s="1399"/>
      <c r="BP1424" s="1399"/>
      <c r="BQ1424" s="1399"/>
      <c r="BR1424" s="1399"/>
      <c r="BS1424" s="1399"/>
      <c r="BT1424" s="1399"/>
      <c r="BU1424" s="1399"/>
      <c r="BV1424" s="1399"/>
      <c r="BW1424" s="1399"/>
      <c r="BX1424" s="1399"/>
      <c r="BY1424" s="1399"/>
      <c r="BZ1424" s="1399"/>
      <c r="CA1424" s="1399"/>
      <c r="CB1424" s="1399"/>
      <c r="CC1424" s="1399"/>
      <c r="CD1424" s="1399"/>
      <c r="CE1424" s="1399"/>
      <c r="CF1424" s="1399"/>
      <c r="CG1424" s="1399"/>
      <c r="CH1424" s="1399"/>
      <c r="CI1424" s="1399"/>
      <c r="CJ1424" s="1399"/>
      <c r="CK1424" s="1399"/>
      <c r="CL1424" s="1399"/>
      <c r="CM1424" s="1399"/>
      <c r="CN1424" s="1399"/>
      <c r="CO1424" s="1399"/>
      <c r="CP1424" s="1399"/>
      <c r="CQ1424" s="1399"/>
      <c r="CR1424" s="1399"/>
      <c r="CS1424" s="1399"/>
      <c r="CT1424" s="1399"/>
      <c r="CU1424" s="1399"/>
      <c r="CV1424" s="1399"/>
      <c r="CW1424" s="1399"/>
      <c r="CX1424" s="1399"/>
      <c r="CY1424" s="1399"/>
      <c r="CZ1424" s="1399"/>
      <c r="DA1424" s="1399"/>
      <c r="DB1424" s="1399"/>
      <c r="DC1424" s="1399"/>
      <c r="DD1424" s="1399"/>
      <c r="DE1424" s="1399"/>
      <c r="DF1424" s="1399"/>
      <c r="DG1424" s="1399"/>
      <c r="DH1424" s="1399"/>
      <c r="DI1424" s="1399"/>
      <c r="DJ1424" s="1399"/>
      <c r="DK1424" s="1399"/>
      <c r="DL1424" s="1399"/>
      <c r="DM1424" s="1399"/>
      <c r="DN1424" s="1399"/>
      <c r="DO1424" s="1399"/>
      <c r="DP1424" s="1399"/>
      <c r="DQ1424" s="1399"/>
      <c r="DR1424" s="1399"/>
      <c r="DS1424" s="1399"/>
      <c r="DT1424" s="1399"/>
      <c r="DU1424" s="1399"/>
    </row>
    <row r="1425" spans="1:125">
      <c r="A1425" s="1414"/>
      <c r="B1425" s="1414"/>
      <c r="C1425" s="1414"/>
      <c r="D1425" s="1414"/>
      <c r="E1425" s="1414"/>
      <c r="F1425" s="1414"/>
      <c r="G1425" s="1414"/>
      <c r="H1425" s="1414"/>
      <c r="I1425" s="1414"/>
      <c r="J1425" s="1414"/>
      <c r="K1425" s="1414"/>
      <c r="L1425" s="1414"/>
      <c r="M1425" s="1414"/>
      <c r="N1425" s="1414"/>
      <c r="O1425" s="1414"/>
      <c r="P1425" s="1414"/>
      <c r="Q1425" s="1414"/>
      <c r="R1425" s="1414"/>
      <c r="S1425" s="1414"/>
      <c r="T1425" s="1414"/>
      <c r="U1425" s="1414"/>
      <c r="V1425" s="1414"/>
      <c r="W1425" s="1414"/>
      <c r="X1425" s="1414"/>
      <c r="Y1425" s="1414"/>
      <c r="Z1425" s="1414"/>
      <c r="AA1425" s="1414"/>
      <c r="AB1425" s="1414"/>
      <c r="AC1425" s="1414"/>
      <c r="AD1425" s="1414"/>
      <c r="AE1425" s="1414"/>
      <c r="AF1425" s="1414"/>
      <c r="AG1425" s="1414"/>
      <c r="AH1425" s="1414"/>
      <c r="AI1425" s="1414"/>
      <c r="AJ1425" s="1414"/>
      <c r="AK1425" s="1414"/>
      <c r="AL1425" s="1414"/>
      <c r="AM1425" s="1414"/>
      <c r="AN1425" s="1414"/>
      <c r="AO1425" s="1414"/>
      <c r="AP1425" s="1414"/>
      <c r="AQ1425" s="1414"/>
      <c r="AR1425" s="1414"/>
      <c r="AS1425" s="1414"/>
      <c r="AT1425" s="1414"/>
      <c r="AU1425" s="1414"/>
      <c r="AV1425" s="1414"/>
      <c r="AW1425" s="1414"/>
      <c r="AX1425" s="1414"/>
      <c r="AY1425" s="1399"/>
      <c r="AZ1425" s="1399"/>
      <c r="BA1425" s="1399"/>
      <c r="BB1425" s="1399"/>
      <c r="BC1425" s="1399"/>
      <c r="BD1425" s="1399"/>
      <c r="BE1425" s="1414"/>
      <c r="BF1425" s="1399"/>
      <c r="BG1425" s="1399"/>
      <c r="BH1425" s="1399"/>
      <c r="BI1425" s="1399"/>
      <c r="BJ1425" s="1399"/>
      <c r="BK1425" s="1399"/>
      <c r="BL1425" s="1399"/>
      <c r="BM1425" s="1399"/>
      <c r="BN1425" s="1399"/>
      <c r="BO1425" s="1399"/>
      <c r="BP1425" s="1399"/>
      <c r="BQ1425" s="1399"/>
      <c r="BR1425" s="1399"/>
      <c r="BS1425" s="1399"/>
      <c r="BT1425" s="1399"/>
      <c r="BU1425" s="1399"/>
      <c r="BV1425" s="1399"/>
      <c r="BW1425" s="1399"/>
      <c r="BX1425" s="1399"/>
      <c r="BY1425" s="1399"/>
      <c r="BZ1425" s="1399"/>
      <c r="CA1425" s="1399"/>
      <c r="CB1425" s="1399"/>
      <c r="CC1425" s="1399"/>
      <c r="CD1425" s="1399"/>
      <c r="CE1425" s="1399"/>
      <c r="CF1425" s="1399"/>
      <c r="CG1425" s="1399"/>
      <c r="CH1425" s="1399"/>
      <c r="CI1425" s="1399"/>
      <c r="CJ1425" s="1399"/>
      <c r="CK1425" s="1399"/>
      <c r="CL1425" s="1399"/>
      <c r="CM1425" s="1399"/>
      <c r="CN1425" s="1399"/>
      <c r="CO1425" s="1399"/>
      <c r="CP1425" s="1399"/>
      <c r="CQ1425" s="1399"/>
      <c r="CR1425" s="1399"/>
      <c r="CS1425" s="1399"/>
      <c r="CT1425" s="1399"/>
      <c r="CU1425" s="1399"/>
      <c r="CV1425" s="1399"/>
      <c r="CW1425" s="1399"/>
      <c r="CX1425" s="1399"/>
      <c r="CY1425" s="1399"/>
      <c r="CZ1425" s="1399"/>
      <c r="DA1425" s="1399"/>
      <c r="DB1425" s="1399"/>
      <c r="DC1425" s="1399"/>
      <c r="DD1425" s="1399"/>
      <c r="DE1425" s="1399"/>
      <c r="DF1425" s="1399"/>
      <c r="DG1425" s="1399"/>
      <c r="DH1425" s="1399"/>
      <c r="DI1425" s="1399"/>
      <c r="DJ1425" s="1399"/>
      <c r="DK1425" s="1399"/>
      <c r="DL1425" s="1399"/>
      <c r="DM1425" s="1399"/>
      <c r="DN1425" s="1399"/>
      <c r="DO1425" s="1399"/>
      <c r="DP1425" s="1399"/>
      <c r="DQ1425" s="1399"/>
      <c r="DR1425" s="1399"/>
      <c r="DS1425" s="1399"/>
      <c r="DT1425" s="1399"/>
      <c r="DU1425" s="1399"/>
    </row>
    <row r="1426" spans="1:125">
      <c r="A1426" s="1414"/>
      <c r="B1426" s="1414"/>
      <c r="C1426" s="1414"/>
      <c r="D1426" s="1414"/>
      <c r="E1426" s="1414"/>
      <c r="F1426" s="1414"/>
      <c r="G1426" s="1414"/>
      <c r="H1426" s="1414"/>
      <c r="I1426" s="1414"/>
      <c r="J1426" s="1414"/>
      <c r="K1426" s="1414"/>
      <c r="L1426" s="1414"/>
      <c r="M1426" s="1414"/>
      <c r="N1426" s="1414"/>
      <c r="O1426" s="1414"/>
      <c r="P1426" s="1414"/>
      <c r="Q1426" s="1414"/>
      <c r="R1426" s="1414"/>
      <c r="S1426" s="1414"/>
      <c r="T1426" s="1414"/>
      <c r="U1426" s="1414"/>
      <c r="V1426" s="1414"/>
      <c r="W1426" s="1414"/>
      <c r="X1426" s="1414"/>
      <c r="Y1426" s="1414"/>
      <c r="Z1426" s="1414"/>
      <c r="AA1426" s="1414"/>
      <c r="AB1426" s="1414"/>
      <c r="AC1426" s="1414"/>
      <c r="AD1426" s="1414"/>
      <c r="AE1426" s="1414"/>
      <c r="AF1426" s="1414"/>
      <c r="AG1426" s="1414"/>
      <c r="AH1426" s="1414"/>
      <c r="AI1426" s="1414"/>
      <c r="AJ1426" s="1414"/>
      <c r="AK1426" s="1414"/>
      <c r="AL1426" s="1414"/>
      <c r="AM1426" s="1414"/>
      <c r="AN1426" s="1414"/>
      <c r="AO1426" s="1414"/>
      <c r="AP1426" s="1414"/>
      <c r="AQ1426" s="1414"/>
      <c r="AR1426" s="1414"/>
      <c r="AS1426" s="1414"/>
      <c r="AT1426" s="1414"/>
      <c r="AU1426" s="1414"/>
      <c r="AV1426" s="1414"/>
      <c r="AW1426" s="1414"/>
      <c r="AX1426" s="1414"/>
      <c r="AY1426" s="1399"/>
      <c r="AZ1426" s="1399"/>
      <c r="BA1426" s="1399"/>
      <c r="BB1426" s="1399"/>
      <c r="BC1426" s="1399"/>
      <c r="BD1426" s="1399"/>
      <c r="BE1426" s="1414"/>
      <c r="BF1426" s="1399"/>
      <c r="BG1426" s="1399"/>
      <c r="BH1426" s="1399"/>
      <c r="BI1426" s="1399"/>
      <c r="BJ1426" s="1399"/>
      <c r="BK1426" s="1399"/>
      <c r="BL1426" s="1399"/>
      <c r="BM1426" s="1399"/>
      <c r="BN1426" s="1399"/>
      <c r="BO1426" s="1399"/>
      <c r="BP1426" s="1399"/>
      <c r="BQ1426" s="1399"/>
      <c r="BR1426" s="1399"/>
      <c r="BS1426" s="1399"/>
      <c r="BT1426" s="1399"/>
      <c r="BU1426" s="1399"/>
      <c r="BV1426" s="1399"/>
      <c r="BW1426" s="1399"/>
      <c r="BX1426" s="1399"/>
      <c r="BY1426" s="1399"/>
      <c r="BZ1426" s="1399"/>
      <c r="CA1426" s="1399"/>
      <c r="CB1426" s="1399"/>
      <c r="CC1426" s="1399"/>
      <c r="CD1426" s="1399"/>
      <c r="CE1426" s="1399"/>
      <c r="CF1426" s="1399"/>
      <c r="CG1426" s="1399"/>
      <c r="CH1426" s="1399"/>
      <c r="CI1426" s="1399"/>
      <c r="CJ1426" s="1399"/>
      <c r="CK1426" s="1399"/>
      <c r="CL1426" s="1399"/>
      <c r="CM1426" s="1399"/>
      <c r="CN1426" s="1399"/>
      <c r="CO1426" s="1399"/>
      <c r="CP1426" s="1399"/>
      <c r="CQ1426" s="1399"/>
      <c r="CR1426" s="1399"/>
      <c r="CS1426" s="1399"/>
      <c r="CT1426" s="1399"/>
      <c r="CU1426" s="1399"/>
      <c r="CV1426" s="1399"/>
      <c r="CW1426" s="1399"/>
      <c r="CX1426" s="1399"/>
      <c r="CY1426" s="1399"/>
      <c r="CZ1426" s="1399"/>
      <c r="DA1426" s="1399"/>
      <c r="DB1426" s="1399"/>
      <c r="DC1426" s="1399"/>
      <c r="DD1426" s="1399"/>
      <c r="DE1426" s="1399"/>
      <c r="DF1426" s="1399"/>
      <c r="DG1426" s="1399"/>
      <c r="DH1426" s="1399"/>
      <c r="DI1426" s="1399"/>
      <c r="DJ1426" s="1399"/>
      <c r="DK1426" s="1399"/>
      <c r="DL1426" s="1399"/>
      <c r="DM1426" s="1399"/>
      <c r="DN1426" s="1399"/>
      <c r="DO1426" s="1399"/>
      <c r="DP1426" s="1399"/>
      <c r="DQ1426" s="1399"/>
      <c r="DR1426" s="1399"/>
      <c r="DS1426" s="1399"/>
      <c r="DT1426" s="1399"/>
      <c r="DU1426" s="1399"/>
    </row>
    <row r="1427" spans="1:125">
      <c r="A1427" s="1414"/>
      <c r="B1427" s="1414"/>
      <c r="C1427" s="1414"/>
      <c r="D1427" s="1414"/>
      <c r="E1427" s="1414"/>
      <c r="F1427" s="1414"/>
      <c r="G1427" s="1414"/>
      <c r="H1427" s="1414"/>
      <c r="I1427" s="1414"/>
      <c r="J1427" s="1414"/>
      <c r="K1427" s="1414"/>
      <c r="L1427" s="1414"/>
      <c r="M1427" s="1414"/>
      <c r="N1427" s="1414"/>
      <c r="O1427" s="1414"/>
      <c r="P1427" s="1414"/>
      <c r="Q1427" s="1414"/>
      <c r="R1427" s="1414"/>
      <c r="S1427" s="1414"/>
      <c r="T1427" s="1414"/>
      <c r="U1427" s="1414"/>
      <c r="V1427" s="1414"/>
      <c r="W1427" s="1414"/>
      <c r="X1427" s="1414"/>
      <c r="Y1427" s="1414"/>
      <c r="Z1427" s="1414"/>
      <c r="AA1427" s="1414"/>
      <c r="AB1427" s="1414"/>
      <c r="AC1427" s="1414"/>
      <c r="AD1427" s="1414"/>
      <c r="AE1427" s="1414"/>
      <c r="AF1427" s="1414"/>
      <c r="AG1427" s="1414"/>
      <c r="AH1427" s="1414"/>
      <c r="AI1427" s="1414"/>
      <c r="AJ1427" s="1414"/>
      <c r="AK1427" s="1414"/>
      <c r="AL1427" s="1414"/>
      <c r="AM1427" s="1414"/>
      <c r="AN1427" s="1414"/>
      <c r="AO1427" s="1414"/>
      <c r="AP1427" s="1414"/>
      <c r="AQ1427" s="1414"/>
      <c r="AR1427" s="1414"/>
      <c r="AS1427" s="1414"/>
      <c r="AT1427" s="1414"/>
      <c r="AU1427" s="1414"/>
      <c r="AV1427" s="1414"/>
      <c r="AW1427" s="1414"/>
      <c r="AX1427" s="1414"/>
      <c r="AY1427" s="1399"/>
      <c r="AZ1427" s="1399"/>
      <c r="BA1427" s="1399"/>
      <c r="BB1427" s="1399"/>
      <c r="BC1427" s="1399"/>
      <c r="BD1427" s="1399"/>
      <c r="BE1427" s="1414"/>
      <c r="BF1427" s="1399"/>
      <c r="BG1427" s="1399"/>
      <c r="BH1427" s="1399"/>
      <c r="BI1427" s="1399"/>
      <c r="BJ1427" s="1399"/>
      <c r="BK1427" s="1399"/>
      <c r="BL1427" s="1399"/>
      <c r="BM1427" s="1399"/>
      <c r="BN1427" s="1399"/>
      <c r="BO1427" s="1399"/>
      <c r="BP1427" s="1399"/>
      <c r="BQ1427" s="1399"/>
      <c r="BR1427" s="1399"/>
      <c r="BS1427" s="1399"/>
      <c r="BT1427" s="1399"/>
      <c r="BU1427" s="1399"/>
      <c r="BV1427" s="1399"/>
      <c r="BW1427" s="1399"/>
      <c r="BX1427" s="1399"/>
      <c r="BY1427" s="1399"/>
      <c r="BZ1427" s="1399"/>
      <c r="CA1427" s="1399"/>
      <c r="CB1427" s="1399"/>
      <c r="CC1427" s="1399"/>
      <c r="CD1427" s="1399"/>
      <c r="CE1427" s="1399"/>
      <c r="CF1427" s="1399"/>
      <c r="CG1427" s="1399"/>
      <c r="CH1427" s="1399"/>
      <c r="CI1427" s="1399"/>
      <c r="CJ1427" s="1399"/>
      <c r="CK1427" s="1399"/>
      <c r="CL1427" s="1399"/>
      <c r="CM1427" s="1399"/>
      <c r="CN1427" s="1399"/>
      <c r="CO1427" s="1399"/>
      <c r="CP1427" s="1399"/>
      <c r="CQ1427" s="1399"/>
      <c r="CR1427" s="1399"/>
      <c r="CS1427" s="1399"/>
      <c r="CT1427" s="1399"/>
      <c r="CU1427" s="1399"/>
      <c r="CV1427" s="1399"/>
      <c r="CW1427" s="1399"/>
      <c r="CX1427" s="1399"/>
      <c r="CY1427" s="1399"/>
      <c r="CZ1427" s="1399"/>
      <c r="DA1427" s="1399"/>
      <c r="DB1427" s="1399"/>
      <c r="DC1427" s="1399"/>
      <c r="DD1427" s="1399"/>
      <c r="DE1427" s="1399"/>
      <c r="DF1427" s="1399"/>
      <c r="DG1427" s="1399"/>
      <c r="DH1427" s="1399"/>
      <c r="DI1427" s="1399"/>
      <c r="DJ1427" s="1399"/>
      <c r="DK1427" s="1399"/>
      <c r="DL1427" s="1399"/>
      <c r="DM1427" s="1399"/>
      <c r="DN1427" s="1399"/>
      <c r="DO1427" s="1399"/>
      <c r="DP1427" s="1399"/>
      <c r="DQ1427" s="1399"/>
      <c r="DR1427" s="1399"/>
      <c r="DS1427" s="1399"/>
      <c r="DT1427" s="1399"/>
      <c r="DU1427" s="1399"/>
    </row>
    <row r="1428" spans="1:125">
      <c r="A1428" s="1414"/>
      <c r="B1428" s="1414"/>
      <c r="C1428" s="1414"/>
      <c r="D1428" s="1414"/>
      <c r="E1428" s="1414"/>
      <c r="F1428" s="1414"/>
      <c r="G1428" s="1414"/>
      <c r="H1428" s="1414"/>
      <c r="I1428" s="1414"/>
      <c r="J1428" s="1414"/>
      <c r="K1428" s="1414"/>
      <c r="L1428" s="1414"/>
      <c r="M1428" s="1414"/>
      <c r="N1428" s="1414"/>
      <c r="O1428" s="1414"/>
      <c r="P1428" s="1414"/>
      <c r="Q1428" s="1414"/>
      <c r="R1428" s="1414"/>
      <c r="S1428" s="1414"/>
      <c r="T1428" s="1414"/>
      <c r="U1428" s="1414"/>
      <c r="V1428" s="1414"/>
      <c r="W1428" s="1414"/>
      <c r="X1428" s="1414"/>
      <c r="Y1428" s="1414"/>
      <c r="Z1428" s="1414"/>
      <c r="AA1428" s="1414"/>
      <c r="AB1428" s="1414"/>
      <c r="AC1428" s="1414"/>
      <c r="AD1428" s="1414"/>
      <c r="AE1428" s="1414"/>
      <c r="AF1428" s="1414"/>
      <c r="AG1428" s="1414"/>
      <c r="AH1428" s="1414"/>
      <c r="AI1428" s="1414"/>
      <c r="AJ1428" s="1414"/>
      <c r="AK1428" s="1414"/>
      <c r="AL1428" s="1414"/>
      <c r="AM1428" s="1414"/>
      <c r="AN1428" s="1414"/>
      <c r="AO1428" s="1414"/>
      <c r="AP1428" s="1414"/>
      <c r="AQ1428" s="1414"/>
      <c r="AR1428" s="1414"/>
      <c r="AS1428" s="1414"/>
      <c r="AT1428" s="1414"/>
      <c r="AU1428" s="1414"/>
      <c r="AV1428" s="1414"/>
      <c r="AW1428" s="1414"/>
      <c r="AX1428" s="1414"/>
      <c r="AY1428" s="1399"/>
      <c r="AZ1428" s="1399"/>
      <c r="BA1428" s="1399"/>
      <c r="BB1428" s="1399"/>
      <c r="BC1428" s="1399"/>
      <c r="BD1428" s="1399"/>
      <c r="BE1428" s="1414"/>
      <c r="BF1428" s="1399"/>
      <c r="BG1428" s="1399"/>
      <c r="BH1428" s="1399"/>
      <c r="BI1428" s="1399"/>
      <c r="BJ1428" s="1399"/>
      <c r="BK1428" s="1399"/>
      <c r="BL1428" s="1399"/>
      <c r="BM1428" s="1399"/>
      <c r="BN1428" s="1399"/>
      <c r="BO1428" s="1399"/>
      <c r="BP1428" s="1399"/>
      <c r="BQ1428" s="1399"/>
      <c r="BR1428" s="1399"/>
      <c r="BS1428" s="1399"/>
      <c r="BT1428" s="1399"/>
      <c r="BU1428" s="1399"/>
      <c r="BV1428" s="1399"/>
      <c r="BW1428" s="1399"/>
      <c r="BX1428" s="1399"/>
      <c r="BY1428" s="1399"/>
      <c r="BZ1428" s="1399"/>
      <c r="CA1428" s="1399"/>
      <c r="CB1428" s="1399"/>
      <c r="CC1428" s="1399"/>
      <c r="CD1428" s="1399"/>
      <c r="CE1428" s="1399"/>
      <c r="CF1428" s="1399"/>
      <c r="CG1428" s="1399"/>
      <c r="CH1428" s="1399"/>
      <c r="CI1428" s="1399"/>
      <c r="CJ1428" s="1399"/>
      <c r="CK1428" s="1399"/>
      <c r="CL1428" s="1399"/>
      <c r="CM1428" s="1399"/>
      <c r="CN1428" s="1399"/>
      <c r="CO1428" s="1399"/>
      <c r="CP1428" s="1399"/>
      <c r="CQ1428" s="1399"/>
      <c r="CR1428" s="1399"/>
      <c r="CS1428" s="1399"/>
      <c r="CT1428" s="1399"/>
      <c r="CU1428" s="1399"/>
      <c r="CV1428" s="1399"/>
      <c r="CW1428" s="1399"/>
      <c r="CX1428" s="1399"/>
      <c r="CY1428" s="1399"/>
      <c r="CZ1428" s="1399"/>
      <c r="DA1428" s="1399"/>
      <c r="DB1428" s="1399"/>
      <c r="DC1428" s="1399"/>
      <c r="DD1428" s="1399"/>
      <c r="DE1428" s="1399"/>
      <c r="DF1428" s="1399"/>
      <c r="DG1428" s="1399"/>
      <c r="DH1428" s="1399"/>
      <c r="DI1428" s="1399"/>
      <c r="DJ1428" s="1399"/>
      <c r="DK1428" s="1399"/>
      <c r="DL1428" s="1399"/>
      <c r="DM1428" s="1399"/>
      <c r="DN1428" s="1399"/>
      <c r="DO1428" s="1399"/>
      <c r="DP1428" s="1399"/>
      <c r="DQ1428" s="1399"/>
      <c r="DR1428" s="1399"/>
      <c r="DS1428" s="1399"/>
      <c r="DT1428" s="1399"/>
      <c r="DU1428" s="1399"/>
    </row>
    <row r="1429" spans="1:125">
      <c r="A1429" s="1414"/>
      <c r="B1429" s="1414"/>
      <c r="C1429" s="1414"/>
      <c r="D1429" s="1414"/>
      <c r="E1429" s="1414"/>
      <c r="F1429" s="1414"/>
      <c r="G1429" s="1414"/>
      <c r="H1429" s="1414"/>
      <c r="I1429" s="1414"/>
      <c r="J1429" s="1414"/>
      <c r="K1429" s="1414"/>
      <c r="L1429" s="1414"/>
      <c r="M1429" s="1414"/>
      <c r="N1429" s="1414"/>
      <c r="O1429" s="1414"/>
      <c r="P1429" s="1414"/>
      <c r="Q1429" s="1414"/>
      <c r="R1429" s="1414"/>
      <c r="S1429" s="1414"/>
      <c r="T1429" s="1414"/>
      <c r="U1429" s="1414"/>
      <c r="V1429" s="1414"/>
      <c r="W1429" s="1414"/>
      <c r="X1429" s="1414"/>
      <c r="Y1429" s="1414"/>
      <c r="Z1429" s="1414"/>
      <c r="AA1429" s="1414"/>
      <c r="AB1429" s="1414"/>
      <c r="AC1429" s="1414"/>
      <c r="AD1429" s="1414"/>
      <c r="AE1429" s="1414"/>
      <c r="AF1429" s="1414"/>
      <c r="AG1429" s="1414"/>
      <c r="AH1429" s="1414"/>
      <c r="AI1429" s="1414"/>
      <c r="AJ1429" s="1414"/>
      <c r="AK1429" s="1414"/>
      <c r="AL1429" s="1414"/>
      <c r="AM1429" s="1414"/>
      <c r="AN1429" s="1414"/>
      <c r="AO1429" s="1414"/>
      <c r="AP1429" s="1414"/>
      <c r="AQ1429" s="1414"/>
      <c r="AR1429" s="1414"/>
      <c r="AS1429" s="1414"/>
      <c r="AT1429" s="1414"/>
      <c r="AU1429" s="1414"/>
      <c r="AV1429" s="1414"/>
      <c r="AW1429" s="1414"/>
      <c r="AX1429" s="1414"/>
      <c r="AY1429" s="1399"/>
      <c r="AZ1429" s="1399"/>
      <c r="BA1429" s="1399"/>
      <c r="BB1429" s="1399"/>
      <c r="BC1429" s="1399"/>
      <c r="BD1429" s="1399"/>
      <c r="BE1429" s="1414"/>
      <c r="BF1429" s="1399"/>
      <c r="BG1429" s="1399"/>
      <c r="BH1429" s="1399"/>
      <c r="BI1429" s="1399"/>
      <c r="BJ1429" s="1399"/>
      <c r="BK1429" s="1399"/>
      <c r="BL1429" s="1399"/>
      <c r="BM1429" s="1399"/>
      <c r="BN1429" s="1399"/>
      <c r="BO1429" s="1399"/>
      <c r="BP1429" s="1399"/>
      <c r="BQ1429" s="1399"/>
      <c r="BR1429" s="1399"/>
      <c r="BS1429" s="1399"/>
      <c r="BT1429" s="1399"/>
      <c r="BU1429" s="1399"/>
      <c r="BV1429" s="1399"/>
      <c r="BW1429" s="1399"/>
      <c r="BX1429" s="1399"/>
      <c r="BY1429" s="1399"/>
      <c r="BZ1429" s="1399"/>
      <c r="CA1429" s="1399"/>
      <c r="CB1429" s="1399"/>
      <c r="CC1429" s="1399"/>
      <c r="CD1429" s="1399"/>
      <c r="CE1429" s="1399"/>
      <c r="CF1429" s="1399"/>
      <c r="CG1429" s="1399"/>
      <c r="CH1429" s="1399"/>
      <c r="CI1429" s="1399"/>
      <c r="CJ1429" s="1399"/>
      <c r="CK1429" s="1399"/>
      <c r="CL1429" s="1399"/>
      <c r="CM1429" s="1399"/>
      <c r="CN1429" s="1399"/>
      <c r="CO1429" s="1399"/>
      <c r="CP1429" s="1399"/>
      <c r="CQ1429" s="1399"/>
      <c r="CR1429" s="1399"/>
      <c r="CS1429" s="1399"/>
      <c r="CT1429" s="1399"/>
      <c r="CU1429" s="1399"/>
      <c r="CV1429" s="1399"/>
      <c r="CW1429" s="1399"/>
      <c r="CX1429" s="1399"/>
      <c r="CY1429" s="1399"/>
      <c r="CZ1429" s="1399"/>
      <c r="DA1429" s="1399"/>
      <c r="DB1429" s="1399"/>
      <c r="DC1429" s="1399"/>
      <c r="DD1429" s="1399"/>
      <c r="DE1429" s="1399"/>
      <c r="DF1429" s="1399"/>
      <c r="DG1429" s="1399"/>
      <c r="DH1429" s="1399"/>
      <c r="DI1429" s="1399"/>
      <c r="DJ1429" s="1399"/>
      <c r="DK1429" s="1399"/>
      <c r="DL1429" s="1399"/>
      <c r="DM1429" s="1399"/>
      <c r="DN1429" s="1399"/>
      <c r="DO1429" s="1399"/>
      <c r="DP1429" s="1399"/>
      <c r="DQ1429" s="1399"/>
      <c r="DR1429" s="1399"/>
      <c r="DS1429" s="1399"/>
      <c r="DT1429" s="1399"/>
      <c r="DU1429" s="1399"/>
    </row>
    <row r="1430" spans="1:125">
      <c r="A1430" s="1414"/>
      <c r="B1430" s="1414"/>
      <c r="C1430" s="1414"/>
      <c r="D1430" s="1414"/>
      <c r="E1430" s="1414"/>
      <c r="F1430" s="1414"/>
      <c r="G1430" s="1414"/>
      <c r="H1430" s="1414"/>
      <c r="I1430" s="1414"/>
      <c r="J1430" s="1414"/>
      <c r="K1430" s="1414"/>
      <c r="L1430" s="1414"/>
      <c r="M1430" s="1414"/>
      <c r="N1430" s="1414"/>
      <c r="O1430" s="1414"/>
      <c r="P1430" s="1414"/>
      <c r="Q1430" s="1414"/>
      <c r="R1430" s="1414"/>
      <c r="S1430" s="1414"/>
      <c r="T1430" s="1414"/>
      <c r="U1430" s="1414"/>
      <c r="V1430" s="1414"/>
      <c r="W1430" s="1414"/>
      <c r="X1430" s="1414"/>
      <c r="Y1430" s="1414"/>
      <c r="Z1430" s="1414"/>
      <c r="AA1430" s="1414"/>
      <c r="AB1430" s="1414"/>
      <c r="AC1430" s="1414"/>
      <c r="AD1430" s="1414"/>
      <c r="AE1430" s="1414"/>
      <c r="AF1430" s="1414"/>
      <c r="AG1430" s="1414"/>
      <c r="AH1430" s="1414"/>
      <c r="AI1430" s="1414"/>
      <c r="AJ1430" s="1414"/>
      <c r="AK1430" s="1414"/>
      <c r="AL1430" s="1414"/>
      <c r="AM1430" s="1414"/>
      <c r="AN1430" s="1414"/>
      <c r="AO1430" s="1414"/>
      <c r="AP1430" s="1414"/>
      <c r="AQ1430" s="1414"/>
      <c r="AR1430" s="1414"/>
      <c r="AS1430" s="1414"/>
      <c r="AT1430" s="1414"/>
      <c r="AU1430" s="1414"/>
      <c r="AV1430" s="1414"/>
      <c r="AW1430" s="1414"/>
      <c r="AX1430" s="1414"/>
      <c r="AY1430" s="1399"/>
      <c r="AZ1430" s="1399"/>
      <c r="BA1430" s="1399"/>
      <c r="BB1430" s="1399"/>
      <c r="BC1430" s="1399"/>
      <c r="BD1430" s="1399"/>
      <c r="BE1430" s="1414"/>
      <c r="BF1430" s="1399"/>
      <c r="BG1430" s="1399"/>
      <c r="BH1430" s="1399"/>
      <c r="BI1430" s="1399"/>
      <c r="BJ1430" s="1399"/>
      <c r="BK1430" s="1399"/>
      <c r="BL1430" s="1399"/>
      <c r="BM1430" s="1399"/>
      <c r="BN1430" s="1399"/>
      <c r="BO1430" s="1399"/>
      <c r="BP1430" s="1399"/>
      <c r="BQ1430" s="1399"/>
      <c r="BR1430" s="1399"/>
      <c r="BS1430" s="1399"/>
      <c r="BT1430" s="1399"/>
      <c r="BU1430" s="1399"/>
      <c r="BV1430" s="1399"/>
      <c r="BW1430" s="1399"/>
      <c r="BX1430" s="1399"/>
      <c r="BY1430" s="1399"/>
      <c r="BZ1430" s="1399"/>
      <c r="CA1430" s="1399"/>
      <c r="CB1430" s="1399"/>
      <c r="CC1430" s="1399"/>
      <c r="CD1430" s="1399"/>
      <c r="CE1430" s="1399"/>
      <c r="CF1430" s="1399"/>
      <c r="CG1430" s="1399"/>
      <c r="CH1430" s="1399"/>
      <c r="CI1430" s="1399"/>
      <c r="CJ1430" s="1399"/>
      <c r="CK1430" s="1399"/>
      <c r="CL1430" s="1399"/>
      <c r="CM1430" s="1399"/>
      <c r="CN1430" s="1399"/>
      <c r="CO1430" s="1399"/>
      <c r="CP1430" s="1399"/>
      <c r="CQ1430" s="1399"/>
      <c r="CR1430" s="1399"/>
      <c r="CS1430" s="1399"/>
      <c r="CT1430" s="1399"/>
      <c r="CU1430" s="1399"/>
      <c r="CV1430" s="1399"/>
      <c r="CW1430" s="1399"/>
      <c r="CX1430" s="1399"/>
      <c r="CY1430" s="1399"/>
      <c r="CZ1430" s="1399"/>
      <c r="DA1430" s="1399"/>
      <c r="DB1430" s="1399"/>
      <c r="DC1430" s="1399"/>
      <c r="DD1430" s="1399"/>
      <c r="DE1430" s="1399"/>
      <c r="DF1430" s="1399"/>
      <c r="DG1430" s="1399"/>
      <c r="DH1430" s="1399"/>
      <c r="DI1430" s="1399"/>
      <c r="DJ1430" s="1399"/>
      <c r="DK1430" s="1399"/>
      <c r="DL1430" s="1399"/>
      <c r="DM1430" s="1399"/>
      <c r="DN1430" s="1399"/>
      <c r="DO1430" s="1399"/>
      <c r="DP1430" s="1399"/>
      <c r="DQ1430" s="1399"/>
      <c r="DR1430" s="1399"/>
      <c r="DS1430" s="1399"/>
      <c r="DT1430" s="1399"/>
      <c r="DU1430" s="1399"/>
    </row>
    <row r="1431" spans="1:125">
      <c r="A1431" s="1414"/>
      <c r="B1431" s="1414"/>
      <c r="C1431" s="1414"/>
      <c r="D1431" s="1414"/>
      <c r="E1431" s="1414"/>
      <c r="F1431" s="1414"/>
      <c r="G1431" s="1414"/>
      <c r="H1431" s="1414"/>
      <c r="I1431" s="1414"/>
      <c r="J1431" s="1414"/>
      <c r="K1431" s="1414"/>
      <c r="L1431" s="1414"/>
      <c r="M1431" s="1414"/>
      <c r="N1431" s="1414"/>
      <c r="O1431" s="1414"/>
      <c r="P1431" s="1414"/>
      <c r="Q1431" s="1414"/>
      <c r="R1431" s="1414"/>
      <c r="S1431" s="1414"/>
      <c r="T1431" s="1414"/>
      <c r="U1431" s="1414"/>
      <c r="V1431" s="1414"/>
      <c r="W1431" s="1414"/>
      <c r="X1431" s="1414"/>
      <c r="Y1431" s="1414"/>
      <c r="Z1431" s="1414"/>
      <c r="AA1431" s="1414"/>
      <c r="AB1431" s="1414"/>
      <c r="AC1431" s="1414"/>
      <c r="AD1431" s="1414"/>
      <c r="AE1431" s="1414"/>
      <c r="AF1431" s="1414"/>
      <c r="AG1431" s="1414"/>
      <c r="AH1431" s="1414"/>
      <c r="AI1431" s="1414"/>
      <c r="AJ1431" s="1414"/>
      <c r="AK1431" s="1414"/>
      <c r="AL1431" s="1414"/>
      <c r="AM1431" s="1414"/>
      <c r="AN1431" s="1414"/>
      <c r="AO1431" s="1414"/>
      <c r="AP1431" s="1414"/>
      <c r="AQ1431" s="1414"/>
      <c r="AR1431" s="1414"/>
      <c r="AS1431" s="1414"/>
      <c r="AT1431" s="1414"/>
      <c r="AU1431" s="1414"/>
      <c r="AV1431" s="1414"/>
      <c r="AW1431" s="1414"/>
      <c r="AX1431" s="1414"/>
      <c r="AY1431" s="1399"/>
      <c r="AZ1431" s="1399"/>
      <c r="BA1431" s="1399"/>
      <c r="BB1431" s="1399"/>
      <c r="BC1431" s="1399"/>
      <c r="BD1431" s="1399"/>
      <c r="BE1431" s="1414"/>
      <c r="BF1431" s="1399"/>
      <c r="BG1431" s="1399"/>
      <c r="BH1431" s="1399"/>
      <c r="BI1431" s="1399"/>
      <c r="BJ1431" s="1399"/>
      <c r="BK1431" s="1399"/>
      <c r="BL1431" s="1399"/>
      <c r="BM1431" s="1399"/>
      <c r="BN1431" s="1399"/>
      <c r="BO1431" s="1399"/>
      <c r="BP1431" s="1399"/>
      <c r="BQ1431" s="1399"/>
      <c r="BR1431" s="1399"/>
      <c r="BS1431" s="1399"/>
      <c r="BT1431" s="1399"/>
      <c r="BU1431" s="1399"/>
      <c r="BV1431" s="1399"/>
      <c r="BW1431" s="1399"/>
      <c r="BX1431" s="1399"/>
      <c r="BY1431" s="1399"/>
      <c r="BZ1431" s="1399"/>
      <c r="CA1431" s="1399"/>
      <c r="CB1431" s="1399"/>
      <c r="CC1431" s="1399"/>
      <c r="CD1431" s="1399"/>
      <c r="CE1431" s="1399"/>
      <c r="CF1431" s="1399"/>
      <c r="CG1431" s="1399"/>
      <c r="CH1431" s="1399"/>
      <c r="CI1431" s="1399"/>
      <c r="CJ1431" s="1399"/>
      <c r="CK1431" s="1399"/>
      <c r="CL1431" s="1399"/>
      <c r="CM1431" s="1399"/>
      <c r="CN1431" s="1399"/>
      <c r="CO1431" s="1399"/>
      <c r="CP1431" s="1399"/>
      <c r="CQ1431" s="1399"/>
      <c r="CR1431" s="1399"/>
      <c r="CS1431" s="1399"/>
      <c r="CT1431" s="1399"/>
      <c r="CU1431" s="1399"/>
      <c r="CV1431" s="1399"/>
      <c r="CW1431" s="1399"/>
      <c r="CX1431" s="1399"/>
      <c r="CY1431" s="1399"/>
      <c r="CZ1431" s="1399"/>
      <c r="DA1431" s="1399"/>
      <c r="DB1431" s="1399"/>
      <c r="DC1431" s="1399"/>
      <c r="DD1431" s="1399"/>
      <c r="DE1431" s="1399"/>
      <c r="DF1431" s="1399"/>
      <c r="DG1431" s="1399"/>
      <c r="DH1431" s="1399"/>
      <c r="DI1431" s="1399"/>
      <c r="DJ1431" s="1399"/>
      <c r="DK1431" s="1399"/>
      <c r="DL1431" s="1399"/>
      <c r="DM1431" s="1399"/>
      <c r="DN1431" s="1399"/>
      <c r="DO1431" s="1399"/>
      <c r="DP1431" s="1399"/>
      <c r="DQ1431" s="1399"/>
      <c r="DR1431" s="1399"/>
      <c r="DS1431" s="1399"/>
      <c r="DT1431" s="1399"/>
      <c r="DU1431" s="1399"/>
    </row>
    <row r="1432" spans="1:125">
      <c r="A1432" s="1414"/>
      <c r="B1432" s="1414"/>
      <c r="C1432" s="1414"/>
      <c r="D1432" s="1414"/>
      <c r="E1432" s="1414"/>
      <c r="F1432" s="1414"/>
      <c r="G1432" s="1414"/>
      <c r="H1432" s="1414"/>
      <c r="I1432" s="1414"/>
      <c r="J1432" s="1414"/>
      <c r="K1432" s="1414"/>
      <c r="L1432" s="1414"/>
      <c r="M1432" s="1414"/>
      <c r="N1432" s="1414"/>
      <c r="O1432" s="1414"/>
      <c r="P1432" s="1414"/>
      <c r="Q1432" s="1414"/>
      <c r="R1432" s="1414"/>
      <c r="S1432" s="1414"/>
      <c r="T1432" s="1414"/>
      <c r="U1432" s="1414"/>
      <c r="V1432" s="1414"/>
      <c r="W1432" s="1414"/>
      <c r="X1432" s="1414"/>
      <c r="Y1432" s="1414"/>
      <c r="Z1432" s="1414"/>
      <c r="AA1432" s="1414"/>
      <c r="AB1432" s="1414"/>
      <c r="AC1432" s="1414"/>
      <c r="AD1432" s="1414"/>
      <c r="AE1432" s="1414"/>
      <c r="AF1432" s="1414"/>
      <c r="AG1432" s="1414"/>
      <c r="AH1432" s="1414"/>
      <c r="AI1432" s="1414"/>
      <c r="AJ1432" s="1414"/>
      <c r="AK1432" s="1414"/>
      <c r="AL1432" s="1414"/>
      <c r="AM1432" s="1414"/>
      <c r="AN1432" s="1414"/>
      <c r="AO1432" s="1414"/>
      <c r="AP1432" s="1414"/>
      <c r="AQ1432" s="1414"/>
      <c r="AR1432" s="1414"/>
      <c r="AS1432" s="1414"/>
      <c r="AT1432" s="1414"/>
      <c r="AU1432" s="1414"/>
      <c r="AV1432" s="1414"/>
      <c r="AW1432" s="1414"/>
      <c r="AX1432" s="1414"/>
      <c r="AY1432" s="1399"/>
      <c r="AZ1432" s="1399"/>
      <c r="BA1432" s="1399"/>
      <c r="BB1432" s="1399"/>
      <c r="BC1432" s="1399"/>
      <c r="BD1432" s="1399"/>
      <c r="BE1432" s="1414"/>
      <c r="BF1432" s="1399"/>
      <c r="BG1432" s="1399"/>
      <c r="BH1432" s="1399"/>
      <c r="BI1432" s="1399"/>
      <c r="BJ1432" s="1399"/>
      <c r="BK1432" s="1399"/>
      <c r="BL1432" s="1399"/>
      <c r="BM1432" s="1399"/>
      <c r="BN1432" s="1399"/>
      <c r="BO1432" s="1399"/>
      <c r="BP1432" s="1399"/>
      <c r="BQ1432" s="1399"/>
      <c r="BR1432" s="1399"/>
      <c r="BS1432" s="1399"/>
      <c r="BT1432" s="1399"/>
      <c r="BU1432" s="1399"/>
      <c r="BV1432" s="1399"/>
      <c r="BW1432" s="1399"/>
      <c r="BX1432" s="1399"/>
      <c r="BY1432" s="1399"/>
      <c r="BZ1432" s="1399"/>
      <c r="CA1432" s="1399"/>
      <c r="CB1432" s="1399"/>
      <c r="CC1432" s="1399"/>
      <c r="CD1432" s="1399"/>
      <c r="CE1432" s="1399"/>
      <c r="CF1432" s="1399"/>
      <c r="CG1432" s="1399"/>
      <c r="CH1432" s="1399"/>
      <c r="CI1432" s="1399"/>
      <c r="CJ1432" s="1399"/>
      <c r="CK1432" s="1399"/>
      <c r="CL1432" s="1399"/>
      <c r="CM1432" s="1399"/>
      <c r="CN1432" s="1399"/>
      <c r="CO1432" s="1399"/>
      <c r="CP1432" s="1399"/>
      <c r="CQ1432" s="1399"/>
      <c r="CR1432" s="1399"/>
      <c r="CS1432" s="1399"/>
      <c r="CT1432" s="1399"/>
      <c r="CU1432" s="1399"/>
      <c r="CV1432" s="1399"/>
      <c r="CW1432" s="1399"/>
      <c r="CX1432" s="1399"/>
      <c r="CY1432" s="1399"/>
      <c r="CZ1432" s="1399"/>
      <c r="DA1432" s="1399"/>
      <c r="DB1432" s="1399"/>
      <c r="DC1432" s="1399"/>
      <c r="DD1432" s="1399"/>
      <c r="DE1432" s="1399"/>
      <c r="DF1432" s="1399"/>
      <c r="DG1432" s="1399"/>
      <c r="DH1432" s="1399"/>
      <c r="DI1432" s="1399"/>
      <c r="DJ1432" s="1399"/>
      <c r="DK1432" s="1399"/>
      <c r="DL1432" s="1399"/>
      <c r="DM1432" s="1399"/>
      <c r="DN1432" s="1399"/>
      <c r="DO1432" s="1399"/>
      <c r="DP1432" s="1399"/>
      <c r="DQ1432" s="1399"/>
      <c r="DR1432" s="1399"/>
      <c r="DS1432" s="1399"/>
      <c r="DT1432" s="1399"/>
      <c r="DU1432" s="1399"/>
    </row>
    <row r="1433" spans="1:125">
      <c r="A1433" s="1414"/>
      <c r="B1433" s="1414"/>
      <c r="C1433" s="1414"/>
      <c r="D1433" s="1414"/>
      <c r="E1433" s="1414"/>
      <c r="F1433" s="1414"/>
      <c r="G1433" s="1414"/>
      <c r="H1433" s="1414"/>
      <c r="I1433" s="1414"/>
      <c r="J1433" s="1414"/>
      <c r="K1433" s="1414"/>
      <c r="L1433" s="1414"/>
      <c r="M1433" s="1414"/>
      <c r="N1433" s="1414"/>
      <c r="O1433" s="1414"/>
      <c r="P1433" s="1414"/>
      <c r="Q1433" s="1414"/>
      <c r="R1433" s="1414"/>
      <c r="S1433" s="1414"/>
      <c r="T1433" s="1414"/>
      <c r="U1433" s="1414"/>
      <c r="V1433" s="1414"/>
      <c r="W1433" s="1414"/>
      <c r="X1433" s="1414"/>
      <c r="Y1433" s="1414"/>
      <c r="Z1433" s="1414"/>
      <c r="AA1433" s="1414"/>
      <c r="AB1433" s="1414"/>
      <c r="AC1433" s="1414"/>
      <c r="AD1433" s="1414"/>
      <c r="AE1433" s="1414"/>
      <c r="AF1433" s="1414"/>
      <c r="AG1433" s="1414"/>
      <c r="AH1433" s="1414"/>
      <c r="AI1433" s="1414"/>
      <c r="AJ1433" s="1414"/>
      <c r="AK1433" s="1414"/>
      <c r="AL1433" s="1414"/>
      <c r="AM1433" s="1414"/>
      <c r="AN1433" s="1414"/>
      <c r="AO1433" s="1414"/>
      <c r="AP1433" s="1414"/>
      <c r="AQ1433" s="1414"/>
      <c r="AR1433" s="1414"/>
      <c r="AS1433" s="1414"/>
      <c r="AT1433" s="1414"/>
      <c r="AU1433" s="1414"/>
      <c r="AV1433" s="1414"/>
      <c r="AW1433" s="1414"/>
      <c r="AX1433" s="1414"/>
      <c r="AY1433" s="1399"/>
      <c r="AZ1433" s="1399"/>
      <c r="BA1433" s="1399"/>
      <c r="BB1433" s="1399"/>
      <c r="BC1433" s="1399"/>
      <c r="BD1433" s="1399"/>
      <c r="BE1433" s="1414"/>
      <c r="BF1433" s="1399"/>
      <c r="BG1433" s="1399"/>
      <c r="BH1433" s="1399"/>
      <c r="BI1433" s="1399"/>
      <c r="BJ1433" s="1399"/>
      <c r="BK1433" s="1399"/>
      <c r="BL1433" s="1399"/>
      <c r="BM1433" s="1399"/>
      <c r="BN1433" s="1399"/>
      <c r="BO1433" s="1399"/>
      <c r="BP1433" s="1399"/>
      <c r="BQ1433" s="1399"/>
      <c r="BR1433" s="1399"/>
      <c r="BS1433" s="1399"/>
      <c r="BT1433" s="1399"/>
      <c r="BU1433" s="1399"/>
      <c r="BV1433" s="1399"/>
      <c r="BW1433" s="1399"/>
      <c r="BX1433" s="1399"/>
      <c r="BY1433" s="1399"/>
      <c r="BZ1433" s="1399"/>
      <c r="CA1433" s="1399"/>
      <c r="CB1433" s="1399"/>
      <c r="CC1433" s="1399"/>
      <c r="CD1433" s="1399"/>
      <c r="CE1433" s="1399"/>
      <c r="CF1433" s="1399"/>
      <c r="CG1433" s="1399"/>
      <c r="CH1433" s="1399"/>
      <c r="CI1433" s="1399"/>
      <c r="CJ1433" s="1399"/>
      <c r="CK1433" s="1399"/>
      <c r="CL1433" s="1399"/>
      <c r="CM1433" s="1399"/>
      <c r="CN1433" s="1399"/>
      <c r="CO1433" s="1399"/>
      <c r="CP1433" s="1399"/>
      <c r="CQ1433" s="1399"/>
      <c r="CR1433" s="1399"/>
      <c r="CS1433" s="1399"/>
      <c r="CT1433" s="1399"/>
      <c r="CU1433" s="1399"/>
      <c r="CV1433" s="1399"/>
      <c r="CW1433" s="1399"/>
      <c r="CX1433" s="1399"/>
      <c r="CY1433" s="1399"/>
      <c r="CZ1433" s="1399"/>
      <c r="DA1433" s="1399"/>
      <c r="DB1433" s="1399"/>
      <c r="DC1433" s="1399"/>
      <c r="DD1433" s="1399"/>
      <c r="DE1433" s="1399"/>
      <c r="DF1433" s="1399"/>
      <c r="DG1433" s="1399"/>
      <c r="DH1433" s="1399"/>
      <c r="DI1433" s="1399"/>
      <c r="DJ1433" s="1399"/>
      <c r="DK1433" s="1399"/>
      <c r="DL1433" s="1399"/>
      <c r="DM1433" s="1399"/>
      <c r="DN1433" s="1399"/>
      <c r="DO1433" s="1399"/>
      <c r="DP1433" s="1399"/>
      <c r="DQ1433" s="1399"/>
      <c r="DR1433" s="1399"/>
      <c r="DS1433" s="1399"/>
      <c r="DT1433" s="1399"/>
      <c r="DU1433" s="1399"/>
    </row>
    <row r="1434" spans="1:125">
      <c r="A1434" s="1414"/>
      <c r="B1434" s="1414"/>
      <c r="C1434" s="1414"/>
      <c r="D1434" s="1414"/>
      <c r="E1434" s="1414"/>
      <c r="F1434" s="1414"/>
      <c r="G1434" s="1414"/>
      <c r="H1434" s="1414"/>
      <c r="I1434" s="1414"/>
      <c r="J1434" s="1414"/>
      <c r="K1434" s="1414"/>
      <c r="L1434" s="1414"/>
      <c r="M1434" s="1414"/>
      <c r="N1434" s="1414"/>
      <c r="O1434" s="1414"/>
      <c r="P1434" s="1414"/>
      <c r="Q1434" s="1414"/>
      <c r="R1434" s="1414"/>
      <c r="S1434" s="1414"/>
      <c r="T1434" s="1414"/>
      <c r="U1434" s="1414"/>
      <c r="V1434" s="1414"/>
      <c r="W1434" s="1414"/>
      <c r="X1434" s="1414"/>
      <c r="Y1434" s="1414"/>
      <c r="Z1434" s="1414"/>
      <c r="AA1434" s="1414"/>
      <c r="AB1434" s="1414"/>
      <c r="AC1434" s="1414"/>
      <c r="AD1434" s="1414"/>
      <c r="AE1434" s="1414"/>
      <c r="AF1434" s="1414"/>
      <c r="AG1434" s="1414"/>
      <c r="AH1434" s="1414"/>
      <c r="AI1434" s="1414"/>
      <c r="AJ1434" s="1414"/>
      <c r="AK1434" s="1414"/>
      <c r="AL1434" s="1414"/>
      <c r="AM1434" s="1414"/>
      <c r="AN1434" s="1414"/>
      <c r="AO1434" s="1414"/>
      <c r="AP1434" s="1414"/>
      <c r="AQ1434" s="1414"/>
      <c r="AR1434" s="1414"/>
      <c r="AS1434" s="1414"/>
      <c r="AT1434" s="1414"/>
      <c r="AU1434" s="1414"/>
      <c r="AV1434" s="1414"/>
      <c r="AW1434" s="1414"/>
      <c r="AX1434" s="1414"/>
      <c r="AY1434" s="1399"/>
      <c r="AZ1434" s="1399"/>
      <c r="BA1434" s="1399"/>
      <c r="BB1434" s="1399"/>
      <c r="BC1434" s="1399"/>
      <c r="BD1434" s="1399"/>
      <c r="BE1434" s="1414"/>
      <c r="BF1434" s="1399"/>
      <c r="BG1434" s="1399"/>
      <c r="BH1434" s="1399"/>
      <c r="BI1434" s="1399"/>
      <c r="BJ1434" s="1399"/>
      <c r="BK1434" s="1399"/>
      <c r="BL1434" s="1399"/>
      <c r="BM1434" s="1399"/>
      <c r="BN1434" s="1399"/>
      <c r="BO1434" s="1399"/>
      <c r="BP1434" s="1399"/>
      <c r="BQ1434" s="1399"/>
      <c r="BR1434" s="1399"/>
      <c r="BS1434" s="1399"/>
      <c r="BT1434" s="1399"/>
      <c r="BU1434" s="1399"/>
      <c r="BV1434" s="1399"/>
      <c r="BW1434" s="1399"/>
      <c r="BX1434" s="1399"/>
      <c r="BY1434" s="1399"/>
      <c r="BZ1434" s="1399"/>
      <c r="CA1434" s="1399"/>
      <c r="CB1434" s="1399"/>
      <c r="CC1434" s="1399"/>
      <c r="CD1434" s="1399"/>
      <c r="CE1434" s="1399"/>
      <c r="CF1434" s="1399"/>
      <c r="CG1434" s="1399"/>
      <c r="CH1434" s="1399"/>
      <c r="CI1434" s="1399"/>
      <c r="CJ1434" s="1399"/>
      <c r="CK1434" s="1399"/>
      <c r="CL1434" s="1399"/>
      <c r="CM1434" s="1399"/>
      <c r="CN1434" s="1399"/>
      <c r="CO1434" s="1399"/>
      <c r="CP1434" s="1399"/>
      <c r="CQ1434" s="1399"/>
      <c r="CR1434" s="1399"/>
      <c r="CS1434" s="1399"/>
      <c r="CT1434" s="1399"/>
      <c r="CU1434" s="1399"/>
      <c r="CV1434" s="1399"/>
      <c r="CW1434" s="1399"/>
      <c r="CX1434" s="1399"/>
      <c r="CY1434" s="1399"/>
      <c r="CZ1434" s="1399"/>
      <c r="DA1434" s="1399"/>
      <c r="DB1434" s="1399"/>
      <c r="DC1434" s="1399"/>
      <c r="DD1434" s="1399"/>
      <c r="DE1434" s="1399"/>
      <c r="DF1434" s="1399"/>
      <c r="DG1434" s="1399"/>
      <c r="DH1434" s="1399"/>
      <c r="DI1434" s="1399"/>
      <c r="DJ1434" s="1399"/>
      <c r="DK1434" s="1399"/>
      <c r="DL1434" s="1399"/>
      <c r="DM1434" s="1399"/>
      <c r="DN1434" s="1399"/>
      <c r="DO1434" s="1399"/>
      <c r="DP1434" s="1399"/>
      <c r="DQ1434" s="1399"/>
      <c r="DR1434" s="1399"/>
      <c r="DS1434" s="1399"/>
      <c r="DT1434" s="1399"/>
      <c r="DU1434" s="1399"/>
    </row>
    <row r="1435" spans="1:125">
      <c r="A1435" s="1414"/>
      <c r="B1435" s="1414"/>
      <c r="C1435" s="1414"/>
      <c r="D1435" s="1414"/>
      <c r="E1435" s="1414"/>
      <c r="F1435" s="1414"/>
      <c r="G1435" s="1414"/>
      <c r="H1435" s="1414"/>
      <c r="I1435" s="1414"/>
      <c r="J1435" s="1414"/>
      <c r="K1435" s="1414"/>
      <c r="L1435" s="1414"/>
      <c r="M1435" s="1414"/>
      <c r="N1435" s="1414"/>
      <c r="O1435" s="1414"/>
      <c r="P1435" s="1414"/>
      <c r="Q1435" s="1414"/>
      <c r="R1435" s="1414"/>
      <c r="S1435" s="1414"/>
      <c r="T1435" s="1414"/>
      <c r="U1435" s="1414"/>
      <c r="V1435" s="1414"/>
      <c r="W1435" s="1414"/>
      <c r="X1435" s="1414"/>
      <c r="Y1435" s="1414"/>
      <c r="Z1435" s="1414"/>
      <c r="AA1435" s="1414"/>
      <c r="AB1435" s="1414"/>
      <c r="AC1435" s="1414"/>
      <c r="AD1435" s="1414"/>
      <c r="AE1435" s="1414"/>
      <c r="AF1435" s="1414"/>
      <c r="AG1435" s="1414"/>
      <c r="AH1435" s="1414"/>
      <c r="AI1435" s="1414"/>
      <c r="AJ1435" s="1414"/>
      <c r="AK1435" s="1414"/>
      <c r="AL1435" s="1414"/>
      <c r="AM1435" s="1414"/>
      <c r="AN1435" s="1414"/>
      <c r="AO1435" s="1414"/>
      <c r="AP1435" s="1414"/>
      <c r="AQ1435" s="1414"/>
      <c r="AR1435" s="1414"/>
      <c r="AS1435" s="1414"/>
      <c r="AT1435" s="1414"/>
      <c r="AU1435" s="1414"/>
      <c r="AV1435" s="1414"/>
      <c r="AW1435" s="1414"/>
      <c r="AX1435" s="1414"/>
      <c r="AY1435" s="1399"/>
      <c r="AZ1435" s="1399"/>
      <c r="BA1435" s="1399"/>
      <c r="BB1435" s="1399"/>
      <c r="BC1435" s="1399"/>
      <c r="BD1435" s="1399"/>
      <c r="BE1435" s="1414"/>
      <c r="BF1435" s="1399"/>
      <c r="BG1435" s="1399"/>
      <c r="BH1435" s="1399"/>
      <c r="BI1435" s="1399"/>
      <c r="BJ1435" s="1399"/>
      <c r="BK1435" s="1399"/>
      <c r="BL1435" s="1399"/>
      <c r="BM1435" s="1399"/>
      <c r="BN1435" s="1399"/>
      <c r="BO1435" s="1399"/>
      <c r="BP1435" s="1399"/>
      <c r="BQ1435" s="1399"/>
      <c r="BR1435" s="1399"/>
      <c r="BS1435" s="1399"/>
      <c r="BT1435" s="1399"/>
      <c r="BU1435" s="1399"/>
      <c r="BV1435" s="1399"/>
      <c r="BW1435" s="1399"/>
      <c r="BX1435" s="1399"/>
      <c r="BY1435" s="1399"/>
      <c r="BZ1435" s="1399"/>
      <c r="CA1435" s="1399"/>
      <c r="CB1435" s="1399"/>
      <c r="CC1435" s="1399"/>
      <c r="CD1435" s="1399"/>
      <c r="CE1435" s="1399"/>
      <c r="CF1435" s="1399"/>
      <c r="CG1435" s="1399"/>
      <c r="CH1435" s="1399"/>
      <c r="CI1435" s="1399"/>
      <c r="CJ1435" s="1399"/>
      <c r="CK1435" s="1399"/>
      <c r="CL1435" s="1399"/>
      <c r="CM1435" s="1399"/>
      <c r="CN1435" s="1399"/>
      <c r="CO1435" s="1399"/>
      <c r="CP1435" s="1399"/>
      <c r="CQ1435" s="1399"/>
      <c r="CR1435" s="1399"/>
      <c r="CS1435" s="1399"/>
      <c r="CT1435" s="1399"/>
      <c r="CU1435" s="1399"/>
      <c r="CV1435" s="1399"/>
      <c r="CW1435" s="1399"/>
      <c r="CX1435" s="1399"/>
      <c r="CY1435" s="1399"/>
      <c r="CZ1435" s="1399"/>
      <c r="DA1435" s="1399"/>
      <c r="DB1435" s="1399"/>
      <c r="DC1435" s="1399"/>
      <c r="DD1435" s="1399"/>
      <c r="DE1435" s="1399"/>
      <c r="DF1435" s="1399"/>
      <c r="DG1435" s="1399"/>
      <c r="DH1435" s="1399"/>
      <c r="DI1435" s="1399"/>
      <c r="DJ1435" s="1399"/>
      <c r="DK1435" s="1399"/>
      <c r="DL1435" s="1399"/>
      <c r="DM1435" s="1399"/>
      <c r="DN1435" s="1399"/>
      <c r="DO1435" s="1399"/>
      <c r="DP1435" s="1399"/>
      <c r="DQ1435" s="1399"/>
      <c r="DR1435" s="1399"/>
      <c r="DS1435" s="1399"/>
      <c r="DT1435" s="1399"/>
      <c r="DU1435" s="1399"/>
    </row>
    <row r="1436" spans="1:125">
      <c r="A1436" s="1414"/>
      <c r="B1436" s="1414"/>
      <c r="C1436" s="1414"/>
      <c r="D1436" s="1414"/>
      <c r="E1436" s="1414"/>
      <c r="F1436" s="1414"/>
      <c r="G1436" s="1414"/>
      <c r="H1436" s="1414"/>
      <c r="I1436" s="1414"/>
      <c r="J1436" s="1414"/>
      <c r="K1436" s="1414"/>
      <c r="L1436" s="1414"/>
      <c r="M1436" s="1414"/>
      <c r="N1436" s="1414"/>
      <c r="O1436" s="1414"/>
      <c r="P1436" s="1414"/>
      <c r="Q1436" s="1414"/>
      <c r="R1436" s="1414"/>
      <c r="S1436" s="1414"/>
      <c r="T1436" s="1414"/>
      <c r="U1436" s="1414"/>
      <c r="V1436" s="1414"/>
      <c r="W1436" s="1414"/>
      <c r="X1436" s="1414"/>
      <c r="Y1436" s="1414"/>
      <c r="Z1436" s="1414"/>
      <c r="AA1436" s="1414"/>
      <c r="AB1436" s="1414"/>
      <c r="AC1436" s="1414"/>
      <c r="AD1436" s="1414"/>
      <c r="AE1436" s="1414"/>
      <c r="AF1436" s="1414"/>
      <c r="AG1436" s="1414"/>
      <c r="AH1436" s="1414"/>
      <c r="AI1436" s="1414"/>
      <c r="AJ1436" s="1414"/>
      <c r="AK1436" s="1414"/>
      <c r="AL1436" s="1414"/>
      <c r="AM1436" s="1414"/>
      <c r="AN1436" s="1414"/>
      <c r="AO1436" s="1414"/>
      <c r="AP1436" s="1414"/>
      <c r="AQ1436" s="1414"/>
      <c r="AR1436" s="1414"/>
      <c r="AS1436" s="1414"/>
      <c r="AT1436" s="1414"/>
      <c r="AU1436" s="1414"/>
      <c r="AV1436" s="1414"/>
      <c r="AW1436" s="1414"/>
      <c r="AX1436" s="1414"/>
      <c r="AY1436" s="1399"/>
      <c r="AZ1436" s="1399"/>
      <c r="BA1436" s="1399"/>
      <c r="BB1436" s="1399"/>
      <c r="BC1436" s="1399"/>
      <c r="BD1436" s="1399"/>
      <c r="BE1436" s="1414"/>
      <c r="BF1436" s="1399"/>
      <c r="BG1436" s="1399"/>
      <c r="BH1436" s="1399"/>
      <c r="BI1436" s="1399"/>
      <c r="BJ1436" s="1399"/>
      <c r="BK1436" s="1399"/>
      <c r="BL1436" s="1399"/>
      <c r="BM1436" s="1399"/>
      <c r="BN1436" s="1399"/>
      <c r="BO1436" s="1399"/>
      <c r="BP1436" s="1399"/>
      <c r="BQ1436" s="1399"/>
      <c r="BR1436" s="1399"/>
      <c r="BS1436" s="1399"/>
      <c r="BT1436" s="1399"/>
      <c r="BU1436" s="1399"/>
      <c r="BV1436" s="1399"/>
      <c r="BW1436" s="1399"/>
      <c r="BX1436" s="1399"/>
      <c r="BY1436" s="1399"/>
      <c r="BZ1436" s="1399"/>
      <c r="CA1436" s="1399"/>
      <c r="CB1436" s="1399"/>
      <c r="CC1436" s="1399"/>
      <c r="CD1436" s="1399"/>
      <c r="CE1436" s="1399"/>
      <c r="CF1436" s="1399"/>
      <c r="CG1436" s="1399"/>
      <c r="CH1436" s="1399"/>
      <c r="CI1436" s="1399"/>
      <c r="CJ1436" s="1399"/>
      <c r="CK1436" s="1399"/>
      <c r="CL1436" s="1399"/>
      <c r="CM1436" s="1399"/>
      <c r="CN1436" s="1399"/>
      <c r="CO1436" s="1399"/>
      <c r="CP1436" s="1399"/>
      <c r="CQ1436" s="1399"/>
      <c r="CR1436" s="1399"/>
      <c r="CS1436" s="1399"/>
      <c r="CT1436" s="1399"/>
      <c r="CU1436" s="1399"/>
      <c r="CV1436" s="1399"/>
      <c r="CW1436" s="1399"/>
      <c r="CX1436" s="1399"/>
      <c r="CY1436" s="1399"/>
      <c r="CZ1436" s="1399"/>
      <c r="DA1436" s="1399"/>
      <c r="DB1436" s="1399"/>
      <c r="DC1436" s="1399"/>
      <c r="DD1436" s="1399"/>
      <c r="DE1436" s="1399"/>
      <c r="DF1436" s="1399"/>
      <c r="DG1436" s="1399"/>
      <c r="DH1436" s="1399"/>
      <c r="DI1436" s="1399"/>
      <c r="DJ1436" s="1399"/>
      <c r="DK1436" s="1399"/>
      <c r="DL1436" s="1399"/>
      <c r="DM1436" s="1399"/>
      <c r="DN1436" s="1399"/>
      <c r="DO1436" s="1399"/>
      <c r="DP1436" s="1399"/>
      <c r="DQ1436" s="1399"/>
      <c r="DR1436" s="1399"/>
      <c r="DS1436" s="1399"/>
      <c r="DT1436" s="1399"/>
      <c r="DU1436" s="1399"/>
    </row>
    <row r="1437" spans="1:125">
      <c r="A1437" s="1414"/>
      <c r="B1437" s="1414"/>
      <c r="C1437" s="1414"/>
      <c r="D1437" s="1414"/>
      <c r="E1437" s="1414"/>
      <c r="F1437" s="1414"/>
      <c r="G1437" s="1414"/>
      <c r="H1437" s="1414"/>
      <c r="I1437" s="1414"/>
      <c r="J1437" s="1414"/>
      <c r="K1437" s="1414"/>
      <c r="L1437" s="1414"/>
      <c r="M1437" s="1414"/>
      <c r="N1437" s="1414"/>
      <c r="O1437" s="1414"/>
      <c r="P1437" s="1414"/>
      <c r="Q1437" s="1414"/>
      <c r="R1437" s="1414"/>
      <c r="S1437" s="1414"/>
      <c r="T1437" s="1414"/>
      <c r="U1437" s="1414"/>
      <c r="V1437" s="1414"/>
      <c r="W1437" s="1414"/>
      <c r="X1437" s="1414"/>
      <c r="Y1437" s="1414"/>
      <c r="Z1437" s="1414"/>
      <c r="AA1437" s="1414"/>
      <c r="AB1437" s="1414"/>
      <c r="AC1437" s="1414"/>
      <c r="AD1437" s="1414"/>
      <c r="AE1437" s="1414"/>
      <c r="AF1437" s="1414"/>
      <c r="AG1437" s="1414"/>
      <c r="AH1437" s="1414"/>
      <c r="AI1437" s="1414"/>
      <c r="AJ1437" s="1414"/>
      <c r="AK1437" s="1414"/>
      <c r="AL1437" s="1414"/>
      <c r="AM1437" s="1414"/>
      <c r="AN1437" s="1414"/>
      <c r="AO1437" s="1414"/>
      <c r="AP1437" s="1414"/>
      <c r="AQ1437" s="1414"/>
      <c r="AR1437" s="1414"/>
      <c r="AS1437" s="1414"/>
      <c r="AT1437" s="1414"/>
      <c r="AU1437" s="1414"/>
      <c r="AV1437" s="1414"/>
      <c r="AW1437" s="1414"/>
      <c r="AX1437" s="1414"/>
      <c r="AY1437" s="1399"/>
      <c r="AZ1437" s="1399"/>
      <c r="BA1437" s="1399"/>
      <c r="BB1437" s="1399"/>
      <c r="BC1437" s="1399"/>
      <c r="BD1437" s="1399"/>
      <c r="BE1437" s="1414"/>
      <c r="BF1437" s="1399"/>
      <c r="BG1437" s="1399"/>
      <c r="BH1437" s="1399"/>
      <c r="BI1437" s="1399"/>
      <c r="BJ1437" s="1399"/>
      <c r="BK1437" s="1399"/>
      <c r="BL1437" s="1399"/>
      <c r="BM1437" s="1399"/>
      <c r="BN1437" s="1399"/>
      <c r="BO1437" s="1399"/>
      <c r="BP1437" s="1399"/>
      <c r="BQ1437" s="1399"/>
      <c r="BR1437" s="1399"/>
      <c r="BS1437" s="1399"/>
      <c r="BT1437" s="1399"/>
      <c r="BU1437" s="1399"/>
      <c r="BV1437" s="1399"/>
      <c r="BW1437" s="1399"/>
      <c r="BX1437" s="1399"/>
      <c r="BY1437" s="1399"/>
      <c r="BZ1437" s="1399"/>
      <c r="CA1437" s="1399"/>
      <c r="CB1437" s="1399"/>
      <c r="CC1437" s="1399"/>
      <c r="CD1437" s="1399"/>
      <c r="CE1437" s="1399"/>
      <c r="CF1437" s="1399"/>
      <c r="CG1437" s="1399"/>
      <c r="CH1437" s="1399"/>
      <c r="CI1437" s="1399"/>
      <c r="CJ1437" s="1399"/>
      <c r="CK1437" s="1399"/>
      <c r="CL1437" s="1399"/>
      <c r="CM1437" s="1399"/>
      <c r="CN1437" s="1399"/>
      <c r="CO1437" s="1399"/>
      <c r="CP1437" s="1399"/>
      <c r="CQ1437" s="1399"/>
      <c r="CR1437" s="1399"/>
      <c r="CS1437" s="1399"/>
      <c r="CT1437" s="1399"/>
      <c r="CU1437" s="1399"/>
      <c r="CV1437" s="1399"/>
      <c r="CW1437" s="1399"/>
      <c r="CX1437" s="1399"/>
      <c r="CY1437" s="1399"/>
      <c r="CZ1437" s="1399"/>
      <c r="DA1437" s="1399"/>
      <c r="DB1437" s="1399"/>
      <c r="DC1437" s="1399"/>
      <c r="DD1437" s="1399"/>
      <c r="DE1437" s="1399"/>
      <c r="DF1437" s="1399"/>
      <c r="DG1437" s="1399"/>
      <c r="DH1437" s="1399"/>
      <c r="DI1437" s="1399"/>
      <c r="DJ1437" s="1399"/>
      <c r="DK1437" s="1399"/>
      <c r="DL1437" s="1399"/>
      <c r="DM1437" s="1399"/>
      <c r="DN1437" s="1399"/>
      <c r="DO1437" s="1399"/>
      <c r="DP1437" s="1399"/>
      <c r="DQ1437" s="1399"/>
      <c r="DR1437" s="1399"/>
      <c r="DS1437" s="1399"/>
      <c r="DT1437" s="1399"/>
      <c r="DU1437" s="1399"/>
    </row>
    <row r="1438" spans="1:125">
      <c r="A1438" s="1414"/>
      <c r="B1438" s="1414"/>
      <c r="C1438" s="1414"/>
      <c r="D1438" s="1414"/>
      <c r="E1438" s="1414"/>
      <c r="F1438" s="1414"/>
      <c r="G1438" s="1414"/>
      <c r="H1438" s="1414"/>
      <c r="I1438" s="1414"/>
      <c r="J1438" s="1414"/>
      <c r="K1438" s="1414"/>
      <c r="L1438" s="1414"/>
      <c r="M1438" s="1414"/>
      <c r="N1438" s="1414"/>
      <c r="O1438" s="1414"/>
      <c r="P1438" s="1414"/>
      <c r="Q1438" s="1414"/>
      <c r="R1438" s="1414"/>
      <c r="S1438" s="1414"/>
      <c r="T1438" s="1414"/>
      <c r="U1438" s="1414"/>
      <c r="V1438" s="1414"/>
      <c r="W1438" s="1414"/>
      <c r="X1438" s="1414"/>
      <c r="Y1438" s="1414"/>
      <c r="Z1438" s="1414"/>
      <c r="AA1438" s="1414"/>
      <c r="AB1438" s="1414"/>
      <c r="AC1438" s="1414"/>
      <c r="AD1438" s="1414"/>
      <c r="AE1438" s="1414"/>
      <c r="AF1438" s="1414"/>
      <c r="AG1438" s="1414"/>
      <c r="AH1438" s="1414"/>
      <c r="AI1438" s="1414"/>
      <c r="AJ1438" s="1414"/>
      <c r="AK1438" s="1414"/>
      <c r="AL1438" s="1414"/>
      <c r="AM1438" s="1414"/>
      <c r="AN1438" s="1414"/>
      <c r="AO1438" s="1414"/>
      <c r="AP1438" s="1414"/>
      <c r="AQ1438" s="1414"/>
      <c r="AR1438" s="1414"/>
      <c r="AS1438" s="1414"/>
      <c r="AT1438" s="1414"/>
      <c r="AU1438" s="1414"/>
      <c r="AV1438" s="1414"/>
      <c r="AW1438" s="1414"/>
      <c r="AX1438" s="1414"/>
      <c r="AY1438" s="1399"/>
      <c r="AZ1438" s="1399"/>
      <c r="BA1438" s="1399"/>
      <c r="BB1438" s="1399"/>
      <c r="BC1438" s="1399"/>
      <c r="BD1438" s="1399"/>
      <c r="BE1438" s="1414"/>
      <c r="BF1438" s="1399"/>
      <c r="BG1438" s="1399"/>
      <c r="BH1438" s="1399"/>
      <c r="BI1438" s="1399"/>
      <c r="BJ1438" s="1399"/>
      <c r="BK1438" s="1399"/>
      <c r="BL1438" s="1399"/>
      <c r="BM1438" s="1399"/>
      <c r="BN1438" s="1399"/>
      <c r="BO1438" s="1399"/>
      <c r="BP1438" s="1399"/>
      <c r="BQ1438" s="1399"/>
      <c r="BR1438" s="1399"/>
      <c r="BS1438" s="1399"/>
      <c r="BT1438" s="1399"/>
      <c r="BU1438" s="1399"/>
      <c r="BV1438" s="1399"/>
      <c r="BW1438" s="1399"/>
      <c r="BX1438" s="1399"/>
      <c r="BY1438" s="1399"/>
      <c r="BZ1438" s="1399"/>
      <c r="CA1438" s="1399"/>
      <c r="CB1438" s="1399"/>
      <c r="CC1438" s="1399"/>
      <c r="CD1438" s="1399"/>
      <c r="CE1438" s="1399"/>
      <c r="CF1438" s="1399"/>
      <c r="CG1438" s="1399"/>
      <c r="CH1438" s="1399"/>
      <c r="CI1438" s="1399"/>
      <c r="CJ1438" s="1399"/>
      <c r="CK1438" s="1399"/>
      <c r="CL1438" s="1399"/>
      <c r="CM1438" s="1399"/>
      <c r="CN1438" s="1399"/>
      <c r="CO1438" s="1399"/>
      <c r="CP1438" s="1399"/>
      <c r="CQ1438" s="1399"/>
      <c r="CR1438" s="1399"/>
      <c r="CS1438" s="1399"/>
      <c r="CT1438" s="1399"/>
      <c r="CU1438" s="1399"/>
      <c r="CV1438" s="1399"/>
      <c r="CW1438" s="1399"/>
      <c r="CX1438" s="1399"/>
      <c r="CY1438" s="1399"/>
      <c r="CZ1438" s="1399"/>
      <c r="DA1438" s="1399"/>
      <c r="DB1438" s="1399"/>
      <c r="DC1438" s="1399"/>
      <c r="DD1438" s="1399"/>
      <c r="DE1438" s="1399"/>
      <c r="DF1438" s="1399"/>
      <c r="DG1438" s="1399"/>
      <c r="DH1438" s="1399"/>
      <c r="DI1438" s="1399"/>
      <c r="DJ1438" s="1399"/>
      <c r="DK1438" s="1399"/>
      <c r="DL1438" s="1399"/>
      <c r="DM1438" s="1399"/>
      <c r="DN1438" s="1399"/>
      <c r="DO1438" s="1399"/>
      <c r="DP1438" s="1399"/>
      <c r="DQ1438" s="1399"/>
      <c r="DR1438" s="1399"/>
      <c r="DS1438" s="1399"/>
      <c r="DT1438" s="1399"/>
      <c r="DU1438" s="1399"/>
    </row>
    <row r="1439" spans="1:125">
      <c r="A1439" s="1414"/>
      <c r="B1439" s="1414"/>
      <c r="C1439" s="1414"/>
      <c r="D1439" s="1414"/>
      <c r="E1439" s="1414"/>
      <c r="F1439" s="1414"/>
      <c r="G1439" s="1414"/>
      <c r="H1439" s="1414"/>
      <c r="I1439" s="1414"/>
      <c r="J1439" s="1414"/>
      <c r="K1439" s="1414"/>
      <c r="L1439" s="1414"/>
      <c r="M1439" s="1414"/>
      <c r="N1439" s="1414"/>
      <c r="O1439" s="1414"/>
      <c r="P1439" s="1414"/>
      <c r="Q1439" s="1414"/>
      <c r="R1439" s="1414"/>
      <c r="S1439" s="1414"/>
      <c r="T1439" s="1414"/>
      <c r="U1439" s="1414"/>
      <c r="V1439" s="1414"/>
      <c r="W1439" s="1414"/>
      <c r="X1439" s="1414"/>
      <c r="Y1439" s="1414"/>
      <c r="Z1439" s="1414"/>
      <c r="AA1439" s="1414"/>
      <c r="AB1439" s="1414"/>
      <c r="AC1439" s="1414"/>
      <c r="AD1439" s="1414"/>
      <c r="AE1439" s="1414"/>
      <c r="AF1439" s="1414"/>
      <c r="AG1439" s="1414"/>
      <c r="AH1439" s="1414"/>
      <c r="AI1439" s="1414"/>
      <c r="AJ1439" s="1414"/>
      <c r="AK1439" s="1414"/>
      <c r="AL1439" s="1414"/>
      <c r="AM1439" s="1414"/>
      <c r="AN1439" s="1414"/>
      <c r="AO1439" s="1414"/>
      <c r="AP1439" s="1414"/>
      <c r="AQ1439" s="1414"/>
      <c r="AR1439" s="1414"/>
      <c r="AS1439" s="1414"/>
      <c r="AT1439" s="1414"/>
      <c r="AU1439" s="1414"/>
      <c r="AV1439" s="1414"/>
      <c r="AW1439" s="1414"/>
      <c r="AX1439" s="1414"/>
      <c r="AY1439" s="1399"/>
      <c r="AZ1439" s="1399"/>
      <c r="BA1439" s="1399"/>
      <c r="BB1439" s="1399"/>
      <c r="BC1439" s="1399"/>
      <c r="BD1439" s="1399"/>
      <c r="BE1439" s="1414"/>
      <c r="BF1439" s="1399"/>
      <c r="BG1439" s="1399"/>
      <c r="BH1439" s="1399"/>
      <c r="BI1439" s="1399"/>
      <c r="BJ1439" s="1399"/>
      <c r="BK1439" s="1399"/>
      <c r="BL1439" s="1399"/>
      <c r="BM1439" s="1399"/>
      <c r="BN1439" s="1399"/>
      <c r="BO1439" s="1399"/>
      <c r="BP1439" s="1399"/>
      <c r="BQ1439" s="1399"/>
      <c r="BR1439" s="1399"/>
      <c r="BS1439" s="1399"/>
      <c r="BT1439" s="1399"/>
      <c r="BU1439" s="1399"/>
      <c r="BV1439" s="1399"/>
      <c r="BW1439" s="1399"/>
      <c r="BX1439" s="1399"/>
      <c r="BY1439" s="1399"/>
      <c r="BZ1439" s="1399"/>
      <c r="CA1439" s="1399"/>
      <c r="CB1439" s="1399"/>
      <c r="CC1439" s="1399"/>
      <c r="CD1439" s="1399"/>
      <c r="CE1439" s="1399"/>
      <c r="CF1439" s="1399"/>
      <c r="CG1439" s="1399"/>
      <c r="CH1439" s="1399"/>
      <c r="CI1439" s="1399"/>
      <c r="CJ1439" s="1399"/>
      <c r="CK1439" s="1399"/>
      <c r="CL1439" s="1399"/>
      <c r="CM1439" s="1399"/>
      <c r="CN1439" s="1399"/>
      <c r="CO1439" s="1399"/>
      <c r="CP1439" s="1399"/>
      <c r="CQ1439" s="1399"/>
      <c r="CR1439" s="1399"/>
      <c r="CS1439" s="1399"/>
      <c r="CT1439" s="1399"/>
      <c r="CU1439" s="1399"/>
      <c r="CV1439" s="1399"/>
      <c r="CW1439" s="1399"/>
      <c r="CX1439" s="1399"/>
      <c r="CY1439" s="1399"/>
      <c r="CZ1439" s="1399"/>
      <c r="DA1439" s="1399"/>
      <c r="DB1439" s="1399"/>
      <c r="DC1439" s="1399"/>
      <c r="DD1439" s="1399"/>
      <c r="DE1439" s="1399"/>
      <c r="DF1439" s="1399"/>
      <c r="DG1439" s="1399"/>
      <c r="DH1439" s="1399"/>
      <c r="DI1439" s="1399"/>
      <c r="DJ1439" s="1399"/>
      <c r="DK1439" s="1399"/>
      <c r="DL1439" s="1399"/>
      <c r="DM1439" s="1399"/>
      <c r="DN1439" s="1399"/>
      <c r="DO1439" s="1399"/>
      <c r="DP1439" s="1399"/>
      <c r="DQ1439" s="1399"/>
      <c r="DR1439" s="1399"/>
      <c r="DS1439" s="1399"/>
      <c r="DT1439" s="1399"/>
      <c r="DU1439" s="1399"/>
    </row>
    <row r="1440" spans="1:125">
      <c r="A1440" s="1414"/>
      <c r="B1440" s="1414"/>
      <c r="C1440" s="1414"/>
      <c r="D1440" s="1414"/>
      <c r="E1440" s="1414"/>
      <c r="F1440" s="1414"/>
      <c r="G1440" s="1414"/>
      <c r="H1440" s="1414"/>
      <c r="I1440" s="1414"/>
      <c r="J1440" s="1414"/>
      <c r="K1440" s="1414"/>
      <c r="L1440" s="1414"/>
      <c r="M1440" s="1414"/>
      <c r="N1440" s="1414"/>
      <c r="O1440" s="1414"/>
      <c r="P1440" s="1414"/>
      <c r="Q1440" s="1414"/>
      <c r="R1440" s="1414"/>
      <c r="S1440" s="1414"/>
      <c r="T1440" s="1414"/>
      <c r="U1440" s="1414"/>
      <c r="V1440" s="1414"/>
      <c r="W1440" s="1414"/>
      <c r="X1440" s="1414"/>
      <c r="Y1440" s="1414"/>
      <c r="Z1440" s="1414"/>
      <c r="AA1440" s="1414"/>
      <c r="AB1440" s="1414"/>
      <c r="AC1440" s="1414"/>
      <c r="AD1440" s="1414"/>
      <c r="AE1440" s="1414"/>
      <c r="AF1440" s="1414"/>
      <c r="AG1440" s="1414"/>
      <c r="AH1440" s="1414"/>
      <c r="AI1440" s="1414"/>
      <c r="AJ1440" s="1414"/>
      <c r="AK1440" s="1414"/>
      <c r="AL1440" s="1414"/>
      <c r="AM1440" s="1414"/>
      <c r="AN1440" s="1414"/>
      <c r="AO1440" s="1414"/>
      <c r="AP1440" s="1414"/>
      <c r="AQ1440" s="1414"/>
      <c r="AR1440" s="1414"/>
      <c r="AS1440" s="1414"/>
      <c r="AT1440" s="1414"/>
      <c r="AU1440" s="1414"/>
      <c r="AV1440" s="1414"/>
      <c r="AW1440" s="1414"/>
      <c r="AX1440" s="1414"/>
      <c r="AY1440" s="1399"/>
      <c r="AZ1440" s="1399"/>
      <c r="BA1440" s="1399"/>
      <c r="BB1440" s="1399"/>
      <c r="BC1440" s="1399"/>
      <c r="BD1440" s="1399"/>
      <c r="BE1440" s="1414"/>
      <c r="BF1440" s="1399"/>
      <c r="BG1440" s="1399"/>
      <c r="BH1440" s="1399"/>
      <c r="BI1440" s="1399"/>
      <c r="BJ1440" s="1399"/>
      <c r="BK1440" s="1399"/>
      <c r="BL1440" s="1399"/>
      <c r="BM1440" s="1399"/>
      <c r="BN1440" s="1399"/>
      <c r="BO1440" s="1399"/>
      <c r="BP1440" s="1399"/>
      <c r="BQ1440" s="1399"/>
      <c r="BR1440" s="1399"/>
      <c r="BS1440" s="1399"/>
      <c r="BT1440" s="1399"/>
      <c r="BU1440" s="1399"/>
      <c r="BV1440" s="1399"/>
      <c r="BW1440" s="1399"/>
      <c r="BX1440" s="1399"/>
      <c r="BY1440" s="1399"/>
      <c r="BZ1440" s="1399"/>
      <c r="CA1440" s="1399"/>
      <c r="CB1440" s="1399"/>
      <c r="CC1440" s="1399"/>
      <c r="CD1440" s="1399"/>
      <c r="CE1440" s="1399"/>
      <c r="CF1440" s="1399"/>
      <c r="CG1440" s="1399"/>
      <c r="CH1440" s="1399"/>
      <c r="CI1440" s="1399"/>
      <c r="CJ1440" s="1399"/>
      <c r="CK1440" s="1399"/>
      <c r="CL1440" s="1399"/>
      <c r="CM1440" s="1399"/>
      <c r="CN1440" s="1399"/>
      <c r="CO1440" s="1399"/>
      <c r="CP1440" s="1399"/>
      <c r="CQ1440" s="1399"/>
      <c r="CR1440" s="1399"/>
      <c r="CS1440" s="1399"/>
      <c r="CT1440" s="1399"/>
      <c r="CU1440" s="1399"/>
      <c r="CV1440" s="1399"/>
      <c r="CW1440" s="1399"/>
      <c r="CX1440" s="1399"/>
      <c r="CY1440" s="1399"/>
      <c r="CZ1440" s="1399"/>
      <c r="DA1440" s="1399"/>
      <c r="DB1440" s="1399"/>
      <c r="DC1440" s="1399"/>
      <c r="DD1440" s="1399"/>
      <c r="DE1440" s="1399"/>
      <c r="DF1440" s="1399"/>
      <c r="DG1440" s="1399"/>
      <c r="DH1440" s="1399"/>
      <c r="DI1440" s="1399"/>
      <c r="DJ1440" s="1399"/>
      <c r="DK1440" s="1399"/>
      <c r="DL1440" s="1399"/>
      <c r="DM1440" s="1399"/>
      <c r="DN1440" s="1399"/>
      <c r="DO1440" s="1399"/>
      <c r="DP1440" s="1399"/>
      <c r="DQ1440" s="1399"/>
      <c r="DR1440" s="1399"/>
      <c r="DS1440" s="1399"/>
      <c r="DT1440" s="1399"/>
      <c r="DU1440" s="1399"/>
    </row>
    <row r="1441" spans="1:125">
      <c r="A1441" s="1414"/>
      <c r="B1441" s="1414"/>
      <c r="C1441" s="1414"/>
      <c r="D1441" s="1414"/>
      <c r="E1441" s="1414"/>
      <c r="F1441" s="1414"/>
      <c r="G1441" s="1414"/>
      <c r="H1441" s="1414"/>
      <c r="I1441" s="1414"/>
      <c r="J1441" s="1414"/>
      <c r="K1441" s="1414"/>
      <c r="L1441" s="1414"/>
      <c r="M1441" s="1414"/>
      <c r="N1441" s="1414"/>
      <c r="O1441" s="1414"/>
      <c r="P1441" s="1414"/>
      <c r="Q1441" s="1414"/>
      <c r="R1441" s="1414"/>
      <c r="S1441" s="1414"/>
      <c r="T1441" s="1414"/>
      <c r="U1441" s="1414"/>
      <c r="V1441" s="1414"/>
      <c r="W1441" s="1414"/>
      <c r="X1441" s="1414"/>
      <c r="Y1441" s="1414"/>
      <c r="Z1441" s="1414"/>
      <c r="AA1441" s="1414"/>
      <c r="AB1441" s="1414"/>
      <c r="AC1441" s="1414"/>
      <c r="AD1441" s="1414"/>
      <c r="AE1441" s="1414"/>
      <c r="AF1441" s="1414"/>
      <c r="AG1441" s="1414"/>
      <c r="AH1441" s="1414"/>
      <c r="AI1441" s="1414"/>
      <c r="AJ1441" s="1414"/>
      <c r="AK1441" s="1414"/>
      <c r="AL1441" s="1414"/>
      <c r="AM1441" s="1414"/>
      <c r="AN1441" s="1414"/>
      <c r="AO1441" s="1414"/>
      <c r="AP1441" s="1414"/>
      <c r="AQ1441" s="1414"/>
      <c r="AR1441" s="1414"/>
      <c r="AS1441" s="1414"/>
      <c r="AT1441" s="1414"/>
      <c r="AU1441" s="1414"/>
      <c r="AV1441" s="1414"/>
      <c r="AW1441" s="1414"/>
      <c r="AX1441" s="1414"/>
      <c r="AY1441" s="1399"/>
      <c r="AZ1441" s="1399"/>
      <c r="BA1441" s="1399"/>
      <c r="BB1441" s="1399"/>
      <c r="BC1441" s="1399"/>
      <c r="BD1441" s="1399"/>
      <c r="BE1441" s="1414"/>
      <c r="BF1441" s="1399"/>
      <c r="BG1441" s="1399"/>
      <c r="BH1441" s="1399"/>
      <c r="BI1441" s="1399"/>
      <c r="BJ1441" s="1399"/>
      <c r="BK1441" s="1399"/>
      <c r="BL1441" s="1399"/>
      <c r="BM1441" s="1399"/>
      <c r="BN1441" s="1399"/>
      <c r="BO1441" s="1399"/>
      <c r="BP1441" s="1399"/>
      <c r="BQ1441" s="1399"/>
      <c r="BR1441" s="1399"/>
      <c r="BS1441" s="1399"/>
      <c r="BT1441" s="1399"/>
      <c r="BU1441" s="1399"/>
      <c r="BV1441" s="1399"/>
      <c r="BW1441" s="1399"/>
      <c r="BX1441" s="1399"/>
      <c r="BY1441" s="1399"/>
      <c r="BZ1441" s="1399"/>
      <c r="CA1441" s="1399"/>
      <c r="CB1441" s="1399"/>
      <c r="CC1441" s="1399"/>
      <c r="CD1441" s="1399"/>
      <c r="CE1441" s="1399"/>
      <c r="CF1441" s="1399"/>
      <c r="CG1441" s="1399"/>
      <c r="CH1441" s="1399"/>
      <c r="CI1441" s="1399"/>
      <c r="CJ1441" s="1399"/>
      <c r="CK1441" s="1399"/>
      <c r="CL1441" s="1399"/>
      <c r="CM1441" s="1399"/>
      <c r="CN1441" s="1399"/>
      <c r="CO1441" s="1399"/>
      <c r="CP1441" s="1399"/>
      <c r="CQ1441" s="1399"/>
      <c r="CR1441" s="1399"/>
      <c r="CS1441" s="1399"/>
      <c r="CT1441" s="1399"/>
      <c r="CU1441" s="1399"/>
      <c r="CV1441" s="1399"/>
      <c r="CW1441" s="1399"/>
      <c r="CX1441" s="1399"/>
      <c r="CY1441" s="1399"/>
      <c r="CZ1441" s="1399"/>
      <c r="DA1441" s="1399"/>
      <c r="DB1441" s="1399"/>
      <c r="DC1441" s="1399"/>
      <c r="DD1441" s="1399"/>
      <c r="DE1441" s="1399"/>
      <c r="DF1441" s="1399"/>
      <c r="DG1441" s="1399"/>
      <c r="DH1441" s="1399"/>
      <c r="DI1441" s="1399"/>
      <c r="DJ1441" s="1399"/>
      <c r="DK1441" s="1399"/>
      <c r="DL1441" s="1399"/>
      <c r="DM1441" s="1399"/>
      <c r="DN1441" s="1399"/>
      <c r="DO1441" s="1399"/>
      <c r="DP1441" s="1399"/>
      <c r="DQ1441" s="1399"/>
      <c r="DR1441" s="1399"/>
      <c r="DS1441" s="1399"/>
      <c r="DT1441" s="1399"/>
      <c r="DU1441" s="1399"/>
    </row>
    <row r="1442" spans="1:125">
      <c r="A1442" s="1414"/>
      <c r="B1442" s="1414"/>
      <c r="C1442" s="1414"/>
      <c r="D1442" s="1414"/>
      <c r="E1442" s="1414"/>
      <c r="F1442" s="1414"/>
      <c r="G1442" s="1414"/>
      <c r="H1442" s="1414"/>
      <c r="I1442" s="1414"/>
      <c r="J1442" s="1414"/>
      <c r="K1442" s="1414"/>
      <c r="L1442" s="1414"/>
      <c r="M1442" s="1414"/>
      <c r="N1442" s="1414"/>
      <c r="O1442" s="1414"/>
      <c r="P1442" s="1414"/>
      <c r="Q1442" s="1414"/>
      <c r="R1442" s="1414"/>
      <c r="S1442" s="1414"/>
      <c r="T1442" s="1414"/>
      <c r="U1442" s="1414"/>
      <c r="V1442" s="1414"/>
      <c r="W1442" s="1414"/>
      <c r="X1442" s="1414"/>
      <c r="Y1442" s="1414"/>
      <c r="Z1442" s="1414"/>
      <c r="AA1442" s="1414"/>
      <c r="AB1442" s="1414"/>
      <c r="AC1442" s="1414"/>
      <c r="AD1442" s="1414"/>
      <c r="AE1442" s="1414"/>
      <c r="AF1442" s="1414"/>
      <c r="AG1442" s="1414"/>
      <c r="AH1442" s="1414"/>
      <c r="AI1442" s="1414"/>
      <c r="AJ1442" s="1414"/>
      <c r="AK1442" s="1414"/>
      <c r="AL1442" s="1414"/>
      <c r="AM1442" s="1414"/>
      <c r="AN1442" s="1414"/>
      <c r="AO1442" s="1414"/>
      <c r="AP1442" s="1414"/>
      <c r="AQ1442" s="1414"/>
      <c r="AR1442" s="1414"/>
      <c r="AS1442" s="1414"/>
      <c r="AT1442" s="1414"/>
      <c r="AU1442" s="1414"/>
      <c r="AV1442" s="1414"/>
      <c r="AW1442" s="1414"/>
      <c r="AX1442" s="1414"/>
      <c r="AY1442" s="1399"/>
      <c r="AZ1442" s="1399"/>
      <c r="BA1442" s="1399"/>
      <c r="BB1442" s="1399"/>
      <c r="BC1442" s="1399"/>
      <c r="BD1442" s="1399"/>
      <c r="BE1442" s="1414"/>
      <c r="BF1442" s="1399"/>
      <c r="BG1442" s="1399"/>
      <c r="BH1442" s="1399"/>
      <c r="BI1442" s="1399"/>
      <c r="BJ1442" s="1399"/>
      <c r="BK1442" s="1399"/>
      <c r="BL1442" s="1399"/>
      <c r="BM1442" s="1399"/>
      <c r="BN1442" s="1399"/>
      <c r="BO1442" s="1399"/>
      <c r="BP1442" s="1399"/>
      <c r="BQ1442" s="1399"/>
      <c r="BR1442" s="1399"/>
      <c r="BS1442" s="1399"/>
      <c r="BT1442" s="1399"/>
      <c r="BU1442" s="1399"/>
      <c r="BV1442" s="1399"/>
      <c r="BW1442" s="1399"/>
      <c r="BX1442" s="1399"/>
      <c r="BY1442" s="1399"/>
      <c r="BZ1442" s="1399"/>
      <c r="CA1442" s="1399"/>
      <c r="CB1442" s="1399"/>
      <c r="CC1442" s="1399"/>
      <c r="CD1442" s="1399"/>
      <c r="CE1442" s="1399"/>
      <c r="CF1442" s="1399"/>
      <c r="CG1442" s="1399"/>
      <c r="CH1442" s="1399"/>
      <c r="CI1442" s="1399"/>
      <c r="CJ1442" s="1399"/>
      <c r="CK1442" s="1399"/>
      <c r="CL1442" s="1399"/>
      <c r="CM1442" s="1399"/>
      <c r="CN1442" s="1399"/>
      <c r="CO1442" s="1399"/>
      <c r="CP1442" s="1399"/>
      <c r="CQ1442" s="1399"/>
      <c r="CR1442" s="1399"/>
      <c r="CS1442" s="1399"/>
      <c r="CT1442" s="1399"/>
      <c r="CU1442" s="1399"/>
      <c r="CV1442" s="1399"/>
      <c r="CW1442" s="1399"/>
      <c r="CX1442" s="1399"/>
      <c r="CY1442" s="1399"/>
      <c r="CZ1442" s="1399"/>
      <c r="DA1442" s="1399"/>
      <c r="DB1442" s="1399"/>
      <c r="DC1442" s="1399"/>
      <c r="DD1442" s="1399"/>
      <c r="DE1442" s="1399"/>
      <c r="DF1442" s="1399"/>
      <c r="DG1442" s="1399"/>
      <c r="DH1442" s="1399"/>
      <c r="DI1442" s="1399"/>
      <c r="DJ1442" s="1399"/>
      <c r="DK1442" s="1399"/>
      <c r="DL1442" s="1399"/>
      <c r="DM1442" s="1399"/>
      <c r="DN1442" s="1399"/>
      <c r="DO1442" s="1399"/>
      <c r="DP1442" s="1399"/>
      <c r="DQ1442" s="1399"/>
      <c r="DR1442" s="1399"/>
      <c r="DS1442" s="1399"/>
      <c r="DT1442" s="1399"/>
      <c r="DU1442" s="1399"/>
    </row>
    <row r="1443" spans="1:125">
      <c r="A1443" s="1414"/>
      <c r="B1443" s="1414"/>
      <c r="C1443" s="1414"/>
      <c r="D1443" s="1414"/>
      <c r="E1443" s="1414"/>
      <c r="F1443" s="1414"/>
      <c r="G1443" s="1414"/>
      <c r="H1443" s="1414"/>
      <c r="I1443" s="1414"/>
      <c r="J1443" s="1414"/>
      <c r="K1443" s="1414"/>
      <c r="L1443" s="1414"/>
      <c r="M1443" s="1414"/>
      <c r="N1443" s="1414"/>
      <c r="O1443" s="1414"/>
      <c r="P1443" s="1414"/>
      <c r="Q1443" s="1414"/>
      <c r="R1443" s="1414"/>
      <c r="S1443" s="1414"/>
      <c r="T1443" s="1414"/>
      <c r="U1443" s="1414"/>
      <c r="V1443" s="1414"/>
      <c r="W1443" s="1414"/>
      <c r="X1443" s="1414"/>
      <c r="Y1443" s="1414"/>
      <c r="Z1443" s="1414"/>
      <c r="AA1443" s="1414"/>
      <c r="AB1443" s="1414"/>
      <c r="AC1443" s="1414"/>
      <c r="AD1443" s="1414"/>
      <c r="AE1443" s="1414"/>
      <c r="AF1443" s="1414"/>
      <c r="AG1443" s="1414"/>
      <c r="AH1443" s="1414"/>
      <c r="AI1443" s="1414"/>
      <c r="AJ1443" s="1414"/>
      <c r="AK1443" s="1414"/>
      <c r="AL1443" s="1414"/>
      <c r="AM1443" s="1414"/>
      <c r="AN1443" s="1414"/>
      <c r="AO1443" s="1414"/>
      <c r="AP1443" s="1414"/>
      <c r="AQ1443" s="1414"/>
      <c r="AR1443" s="1414"/>
      <c r="AS1443" s="1414"/>
      <c r="AT1443" s="1414"/>
      <c r="AU1443" s="1414"/>
      <c r="AV1443" s="1414"/>
      <c r="AW1443" s="1414"/>
      <c r="AX1443" s="1414"/>
      <c r="AY1443" s="1399"/>
      <c r="AZ1443" s="1399"/>
      <c r="BA1443" s="1399"/>
      <c r="BB1443" s="1399"/>
      <c r="BC1443" s="1399"/>
      <c r="BD1443" s="1399"/>
      <c r="BE1443" s="1414"/>
      <c r="BF1443" s="1399"/>
      <c r="BG1443" s="1399"/>
      <c r="BH1443" s="1399"/>
      <c r="BI1443" s="1399"/>
      <c r="BJ1443" s="1399"/>
      <c r="BK1443" s="1399"/>
      <c r="BL1443" s="1399"/>
      <c r="BM1443" s="1399"/>
      <c r="BN1443" s="1399"/>
      <c r="BO1443" s="1399"/>
      <c r="BP1443" s="1399"/>
      <c r="BQ1443" s="1399"/>
      <c r="BR1443" s="1399"/>
      <c r="BS1443" s="1399"/>
      <c r="BT1443" s="1399"/>
      <c r="BU1443" s="1399"/>
      <c r="BV1443" s="1399"/>
      <c r="BW1443" s="1399"/>
      <c r="BX1443" s="1399"/>
      <c r="BY1443" s="1399"/>
      <c r="BZ1443" s="1399"/>
      <c r="CA1443" s="1399"/>
      <c r="CB1443" s="1399"/>
      <c r="CC1443" s="1399"/>
      <c r="CD1443" s="1399"/>
      <c r="CE1443" s="1399"/>
      <c r="CF1443" s="1399"/>
      <c r="CG1443" s="1399"/>
      <c r="CH1443" s="1399"/>
      <c r="CI1443" s="1399"/>
      <c r="CJ1443" s="1399"/>
      <c r="CK1443" s="1399"/>
      <c r="CL1443" s="1399"/>
      <c r="CM1443" s="1399"/>
      <c r="CN1443" s="1399"/>
      <c r="CO1443" s="1399"/>
      <c r="CP1443" s="1399"/>
      <c r="CQ1443" s="1399"/>
      <c r="CR1443" s="1399"/>
      <c r="CS1443" s="1399"/>
      <c r="CT1443" s="1399"/>
      <c r="CU1443" s="1399"/>
      <c r="CV1443" s="1399"/>
      <c r="CW1443" s="1399"/>
      <c r="CX1443" s="1399"/>
      <c r="CY1443" s="1399"/>
      <c r="CZ1443" s="1399"/>
      <c r="DA1443" s="1399"/>
      <c r="DB1443" s="1399"/>
      <c r="DC1443" s="1399"/>
      <c r="DD1443" s="1399"/>
      <c r="DE1443" s="1399"/>
      <c r="DF1443" s="1399"/>
      <c r="DG1443" s="1399"/>
      <c r="DH1443" s="1399"/>
      <c r="DI1443" s="1399"/>
      <c r="DJ1443" s="1399"/>
      <c r="DK1443" s="1399"/>
      <c r="DL1443" s="1399"/>
      <c r="DM1443" s="1399"/>
      <c r="DN1443" s="1399"/>
      <c r="DO1443" s="1399"/>
      <c r="DP1443" s="1399"/>
      <c r="DQ1443" s="1399"/>
      <c r="DR1443" s="1399"/>
      <c r="DS1443" s="1399"/>
      <c r="DT1443" s="1399"/>
      <c r="DU1443" s="1399"/>
    </row>
    <row r="1444" spans="1:125">
      <c r="A1444" s="1414"/>
      <c r="B1444" s="1414"/>
      <c r="C1444" s="1414"/>
      <c r="D1444" s="1414"/>
      <c r="E1444" s="1414"/>
      <c r="F1444" s="1414"/>
      <c r="G1444" s="1414"/>
      <c r="H1444" s="1414"/>
      <c r="I1444" s="1414"/>
      <c r="J1444" s="1414"/>
      <c r="K1444" s="1414"/>
      <c r="L1444" s="1414"/>
      <c r="M1444" s="1414"/>
      <c r="N1444" s="1414"/>
      <c r="O1444" s="1414"/>
      <c r="P1444" s="1414"/>
      <c r="Q1444" s="1414"/>
      <c r="R1444" s="1414"/>
      <c r="S1444" s="1414"/>
      <c r="T1444" s="1414"/>
      <c r="U1444" s="1414"/>
      <c r="V1444" s="1414"/>
      <c r="W1444" s="1414"/>
      <c r="X1444" s="1414"/>
      <c r="Y1444" s="1414"/>
      <c r="Z1444" s="1414"/>
      <c r="AA1444" s="1414"/>
      <c r="AB1444" s="1414"/>
      <c r="AC1444" s="1414"/>
      <c r="AD1444" s="1414"/>
      <c r="AE1444" s="1414"/>
      <c r="AF1444" s="1414"/>
      <c r="AG1444" s="1414"/>
      <c r="AH1444" s="1414"/>
      <c r="AI1444" s="1414"/>
      <c r="AJ1444" s="1414"/>
      <c r="AK1444" s="1414"/>
      <c r="AL1444" s="1414"/>
      <c r="AM1444" s="1414"/>
      <c r="AN1444" s="1414"/>
      <c r="AO1444" s="1414"/>
      <c r="AP1444" s="1414"/>
      <c r="AQ1444" s="1414"/>
      <c r="AR1444" s="1414"/>
      <c r="AS1444" s="1414"/>
      <c r="AT1444" s="1414"/>
      <c r="AU1444" s="1414"/>
      <c r="AV1444" s="1414"/>
      <c r="AW1444" s="1414"/>
      <c r="AX1444" s="1414"/>
      <c r="AY1444" s="1399"/>
      <c r="AZ1444" s="1399"/>
      <c r="BA1444" s="1399"/>
      <c r="BB1444" s="1399"/>
      <c r="BC1444" s="1399"/>
      <c r="BD1444" s="1399"/>
      <c r="BE1444" s="1414"/>
      <c r="BF1444" s="1399"/>
      <c r="BG1444" s="1399"/>
      <c r="BH1444" s="1399"/>
      <c r="BI1444" s="1399"/>
      <c r="BJ1444" s="1399"/>
      <c r="BK1444" s="1399"/>
      <c r="BL1444" s="1399"/>
      <c r="BM1444" s="1399"/>
      <c r="BN1444" s="1399"/>
      <c r="BO1444" s="1399"/>
      <c r="BP1444" s="1399"/>
      <c r="BQ1444" s="1399"/>
      <c r="BR1444" s="1399"/>
      <c r="BS1444" s="1399"/>
      <c r="BT1444" s="1399"/>
      <c r="BU1444" s="1399"/>
      <c r="BV1444" s="1399"/>
      <c r="BW1444" s="1399"/>
      <c r="BX1444" s="1399"/>
      <c r="BY1444" s="1399"/>
      <c r="BZ1444" s="1399"/>
      <c r="CA1444" s="1399"/>
      <c r="CB1444" s="1399"/>
      <c r="CC1444" s="1399"/>
      <c r="CD1444" s="1399"/>
      <c r="CE1444" s="1399"/>
      <c r="CF1444" s="1399"/>
      <c r="CG1444" s="1399"/>
      <c r="CH1444" s="1399"/>
      <c r="CI1444" s="1399"/>
      <c r="CJ1444" s="1399"/>
      <c r="CK1444" s="1399"/>
      <c r="CL1444" s="1399"/>
      <c r="CM1444" s="1399"/>
      <c r="CN1444" s="1399"/>
      <c r="CO1444" s="1399"/>
      <c r="CP1444" s="1399"/>
      <c r="CQ1444" s="1399"/>
      <c r="CR1444" s="1399"/>
      <c r="CS1444" s="1399"/>
      <c r="CT1444" s="1399"/>
      <c r="CU1444" s="1399"/>
      <c r="CV1444" s="1399"/>
      <c r="CW1444" s="1399"/>
      <c r="CX1444" s="1399"/>
      <c r="CY1444" s="1399"/>
      <c r="CZ1444" s="1399"/>
      <c r="DA1444" s="1399"/>
      <c r="DB1444" s="1399"/>
      <c r="DC1444" s="1399"/>
      <c r="DD1444" s="1399"/>
      <c r="DE1444" s="1399"/>
      <c r="DF1444" s="1399"/>
      <c r="DG1444" s="1399"/>
      <c r="DH1444" s="1399"/>
      <c r="DI1444" s="1399"/>
      <c r="DJ1444" s="1399"/>
      <c r="DK1444" s="1399"/>
      <c r="DL1444" s="1399"/>
      <c r="DM1444" s="1399"/>
      <c r="DN1444" s="1399"/>
      <c r="DO1444" s="1399"/>
      <c r="DP1444" s="1399"/>
      <c r="DQ1444" s="1399"/>
      <c r="DR1444" s="1399"/>
      <c r="DS1444" s="1399"/>
      <c r="DT1444" s="1399"/>
      <c r="DU1444" s="1399"/>
    </row>
    <row r="1445" spans="1:125">
      <c r="A1445" s="1414"/>
      <c r="B1445" s="1414"/>
      <c r="C1445" s="1414"/>
      <c r="D1445" s="1414"/>
      <c r="E1445" s="1414"/>
      <c r="F1445" s="1414"/>
      <c r="G1445" s="1414"/>
      <c r="H1445" s="1414"/>
      <c r="I1445" s="1414"/>
      <c r="J1445" s="1414"/>
      <c r="K1445" s="1414"/>
      <c r="L1445" s="1414"/>
      <c r="M1445" s="1414"/>
      <c r="N1445" s="1414"/>
      <c r="O1445" s="1414"/>
      <c r="P1445" s="1414"/>
      <c r="Q1445" s="1414"/>
      <c r="R1445" s="1414"/>
      <c r="S1445" s="1414"/>
      <c r="T1445" s="1414"/>
      <c r="U1445" s="1414"/>
      <c r="V1445" s="1414"/>
      <c r="W1445" s="1414"/>
      <c r="X1445" s="1414"/>
      <c r="Y1445" s="1414"/>
      <c r="Z1445" s="1414"/>
      <c r="AA1445" s="1414"/>
      <c r="AB1445" s="1414"/>
      <c r="AC1445" s="1414"/>
      <c r="AD1445" s="1414"/>
      <c r="AE1445" s="1414"/>
      <c r="AF1445" s="1414"/>
      <c r="AG1445" s="1414"/>
      <c r="AH1445" s="1414"/>
      <c r="AI1445" s="1414"/>
      <c r="AJ1445" s="1414"/>
      <c r="AK1445" s="1414"/>
      <c r="AL1445" s="1414"/>
      <c r="AM1445" s="1414"/>
      <c r="AN1445" s="1414"/>
      <c r="AO1445" s="1414"/>
      <c r="AP1445" s="1414"/>
      <c r="AQ1445" s="1414"/>
      <c r="AR1445" s="1414"/>
      <c r="AS1445" s="1414"/>
      <c r="AT1445" s="1414"/>
      <c r="AU1445" s="1414"/>
      <c r="AV1445" s="1414"/>
      <c r="AW1445" s="1414"/>
      <c r="AX1445" s="1414"/>
      <c r="AY1445" s="1399"/>
      <c r="AZ1445" s="1399"/>
      <c r="BA1445" s="1399"/>
      <c r="BB1445" s="1399"/>
      <c r="BC1445" s="1399"/>
      <c r="BD1445" s="1399"/>
      <c r="BE1445" s="1414"/>
      <c r="BF1445" s="1399"/>
      <c r="BG1445" s="1399"/>
      <c r="BH1445" s="1399"/>
      <c r="BI1445" s="1399"/>
      <c r="BJ1445" s="1399"/>
      <c r="BK1445" s="1399"/>
      <c r="BL1445" s="1399"/>
      <c r="BM1445" s="1399"/>
      <c r="BN1445" s="1399"/>
      <c r="BO1445" s="1399"/>
      <c r="BP1445" s="1399"/>
      <c r="BQ1445" s="1399"/>
      <c r="BR1445" s="1399"/>
      <c r="BS1445" s="1399"/>
      <c r="BT1445" s="1399"/>
      <c r="BU1445" s="1399"/>
      <c r="BV1445" s="1399"/>
      <c r="BW1445" s="1399"/>
      <c r="BX1445" s="1399"/>
      <c r="BY1445" s="1399"/>
      <c r="BZ1445" s="1399"/>
      <c r="CA1445" s="1399"/>
      <c r="CB1445" s="1399"/>
      <c r="CC1445" s="1399"/>
      <c r="CD1445" s="1399"/>
      <c r="CE1445" s="1399"/>
      <c r="CF1445" s="1399"/>
      <c r="CG1445" s="1399"/>
      <c r="CH1445" s="1399"/>
      <c r="CI1445" s="1399"/>
      <c r="CJ1445" s="1399"/>
      <c r="CK1445" s="1399"/>
      <c r="CL1445" s="1399"/>
      <c r="CM1445" s="1399"/>
      <c r="CN1445" s="1399"/>
      <c r="CO1445" s="1399"/>
      <c r="CP1445" s="1399"/>
      <c r="CQ1445" s="1399"/>
      <c r="CR1445" s="1399"/>
      <c r="CS1445" s="1399"/>
      <c r="CT1445" s="1399"/>
      <c r="CU1445" s="1399"/>
      <c r="CV1445" s="1399"/>
      <c r="CW1445" s="1399"/>
      <c r="CX1445" s="1399"/>
      <c r="CY1445" s="1399"/>
      <c r="CZ1445" s="1399"/>
      <c r="DA1445" s="1399"/>
      <c r="DB1445" s="1399"/>
      <c r="DC1445" s="1399"/>
      <c r="DD1445" s="1399"/>
      <c r="DE1445" s="1399"/>
      <c r="DF1445" s="1399"/>
      <c r="DG1445" s="1399"/>
      <c r="DH1445" s="1399"/>
      <c r="DI1445" s="1399"/>
      <c r="DJ1445" s="1399"/>
      <c r="DK1445" s="1399"/>
      <c r="DL1445" s="1399"/>
      <c r="DM1445" s="1399"/>
      <c r="DN1445" s="1399"/>
      <c r="DO1445" s="1399"/>
      <c r="DP1445" s="1399"/>
      <c r="DQ1445" s="1399"/>
      <c r="DR1445" s="1399"/>
      <c r="DS1445" s="1399"/>
      <c r="DT1445" s="1399"/>
      <c r="DU1445" s="1399"/>
    </row>
    <row r="1446" spans="1:125">
      <c r="A1446" s="1414"/>
      <c r="B1446" s="1414"/>
      <c r="C1446" s="1414"/>
      <c r="D1446" s="1414"/>
      <c r="E1446" s="1414"/>
      <c r="F1446" s="1414"/>
      <c r="G1446" s="1414"/>
      <c r="H1446" s="1414"/>
      <c r="I1446" s="1414"/>
      <c r="J1446" s="1414"/>
      <c r="K1446" s="1414"/>
      <c r="L1446" s="1414"/>
      <c r="M1446" s="1414"/>
      <c r="N1446" s="1414"/>
      <c r="O1446" s="1414"/>
      <c r="P1446" s="1414"/>
      <c r="Q1446" s="1414"/>
      <c r="R1446" s="1414"/>
      <c r="S1446" s="1414"/>
      <c r="T1446" s="1414"/>
      <c r="U1446" s="1414"/>
      <c r="V1446" s="1414"/>
      <c r="W1446" s="1414"/>
      <c r="X1446" s="1414"/>
      <c r="Y1446" s="1414"/>
      <c r="Z1446" s="1414"/>
      <c r="AA1446" s="1414"/>
      <c r="AB1446" s="1414"/>
      <c r="AC1446" s="1414"/>
      <c r="AD1446" s="1414"/>
      <c r="AE1446" s="1414"/>
      <c r="AF1446" s="1414"/>
      <c r="AG1446" s="1414"/>
      <c r="AH1446" s="1414"/>
      <c r="AI1446" s="1414"/>
      <c r="AJ1446" s="1414"/>
      <c r="AK1446" s="1414"/>
      <c r="AL1446" s="1414"/>
      <c r="AM1446" s="1414"/>
      <c r="AN1446" s="1414"/>
      <c r="AO1446" s="1414"/>
      <c r="AP1446" s="1414"/>
      <c r="AQ1446" s="1414"/>
      <c r="AR1446" s="1414"/>
      <c r="AS1446" s="1414"/>
      <c r="AT1446" s="1414"/>
      <c r="AU1446" s="1414"/>
      <c r="AV1446" s="1414"/>
      <c r="AW1446" s="1414"/>
      <c r="AX1446" s="1414"/>
      <c r="AY1446" s="1399"/>
      <c r="AZ1446" s="1399"/>
      <c r="BA1446" s="1399"/>
      <c r="BB1446" s="1399"/>
      <c r="BC1446" s="1399"/>
      <c r="BD1446" s="1399"/>
      <c r="BE1446" s="1414"/>
      <c r="BF1446" s="1399"/>
      <c r="BG1446" s="1399"/>
      <c r="BH1446" s="1399"/>
      <c r="BI1446" s="1399"/>
      <c r="BJ1446" s="1399"/>
      <c r="BK1446" s="1399"/>
      <c r="BL1446" s="1399"/>
      <c r="BM1446" s="1399"/>
      <c r="BN1446" s="1399"/>
      <c r="BO1446" s="1399"/>
      <c r="BP1446" s="1399"/>
      <c r="BQ1446" s="1399"/>
      <c r="BR1446" s="1399"/>
      <c r="BS1446" s="1399"/>
      <c r="BT1446" s="1399"/>
      <c r="BU1446" s="1399"/>
      <c r="BV1446" s="1399"/>
      <c r="BW1446" s="1399"/>
      <c r="BX1446" s="1399"/>
      <c r="BY1446" s="1399"/>
      <c r="BZ1446" s="1399"/>
      <c r="CA1446" s="1399"/>
      <c r="CB1446" s="1399"/>
      <c r="CC1446" s="1399"/>
      <c r="CD1446" s="1399"/>
      <c r="CE1446" s="1399"/>
      <c r="CF1446" s="1399"/>
      <c r="CG1446" s="1399"/>
      <c r="CH1446" s="1399"/>
      <c r="CI1446" s="1399"/>
      <c r="CJ1446" s="1399"/>
      <c r="CK1446" s="1399"/>
      <c r="CL1446" s="1399"/>
      <c r="CM1446" s="1399"/>
      <c r="CN1446" s="1399"/>
      <c r="CO1446" s="1399"/>
      <c r="CP1446" s="1399"/>
      <c r="CQ1446" s="1399"/>
      <c r="CR1446" s="1399"/>
      <c r="CS1446" s="1399"/>
      <c r="CT1446" s="1399"/>
      <c r="CU1446" s="1399"/>
      <c r="CV1446" s="1399"/>
      <c r="CW1446" s="1399"/>
      <c r="CX1446" s="1399"/>
      <c r="CY1446" s="1399"/>
      <c r="CZ1446" s="1399"/>
      <c r="DA1446" s="1399"/>
      <c r="DB1446" s="1399"/>
      <c r="DC1446" s="1399"/>
      <c r="DD1446" s="1399"/>
      <c r="DE1446" s="1399"/>
      <c r="DF1446" s="1399"/>
      <c r="DG1446" s="1399"/>
      <c r="DH1446" s="1399"/>
      <c r="DI1446" s="1399"/>
      <c r="DJ1446" s="1399"/>
      <c r="DK1446" s="1399"/>
      <c r="DL1446" s="1399"/>
      <c r="DM1446" s="1399"/>
      <c r="DN1446" s="1399"/>
      <c r="DO1446" s="1399"/>
      <c r="DP1446" s="1399"/>
      <c r="DQ1446" s="1399"/>
      <c r="DR1446" s="1399"/>
      <c r="DS1446" s="1399"/>
      <c r="DT1446" s="1399"/>
      <c r="DU1446" s="1399"/>
    </row>
    <row r="1447" spans="1:125">
      <c r="A1447" s="1414"/>
      <c r="B1447" s="1414"/>
      <c r="C1447" s="1414"/>
      <c r="D1447" s="1414"/>
      <c r="E1447" s="1414"/>
      <c r="F1447" s="1414"/>
      <c r="G1447" s="1414"/>
      <c r="H1447" s="1414"/>
      <c r="I1447" s="1414"/>
      <c r="J1447" s="1414"/>
      <c r="K1447" s="1414"/>
      <c r="L1447" s="1414"/>
      <c r="M1447" s="1414"/>
      <c r="N1447" s="1414"/>
      <c r="O1447" s="1414"/>
      <c r="P1447" s="1414"/>
      <c r="Q1447" s="1414"/>
      <c r="R1447" s="1414"/>
      <c r="S1447" s="1414"/>
      <c r="T1447" s="1414"/>
      <c r="U1447" s="1414"/>
      <c r="V1447" s="1414"/>
      <c r="W1447" s="1414"/>
      <c r="X1447" s="1414"/>
      <c r="Y1447" s="1414"/>
      <c r="Z1447" s="1414"/>
      <c r="AA1447" s="1414"/>
      <c r="AB1447" s="1414"/>
      <c r="AC1447" s="1414"/>
      <c r="AD1447" s="1414"/>
      <c r="AE1447" s="1414"/>
      <c r="AF1447" s="1414"/>
      <c r="AG1447" s="1414"/>
      <c r="AH1447" s="1414"/>
      <c r="AI1447" s="1414"/>
      <c r="AJ1447" s="1414"/>
      <c r="AK1447" s="1414"/>
      <c r="AL1447" s="1414"/>
      <c r="AM1447" s="1414"/>
      <c r="AN1447" s="1414"/>
      <c r="AO1447" s="1414"/>
      <c r="AP1447" s="1414"/>
      <c r="AQ1447" s="1414"/>
      <c r="AR1447" s="1414"/>
      <c r="AS1447" s="1414"/>
      <c r="AT1447" s="1414"/>
      <c r="AU1447" s="1414"/>
      <c r="AV1447" s="1414"/>
      <c r="AW1447" s="1414"/>
      <c r="AX1447" s="1414"/>
      <c r="AY1447" s="1399"/>
      <c r="AZ1447" s="1399"/>
      <c r="BA1447" s="1399"/>
      <c r="BB1447" s="1399"/>
      <c r="BC1447" s="1399"/>
      <c r="BD1447" s="1399"/>
      <c r="BE1447" s="1414"/>
      <c r="BF1447" s="1399"/>
      <c r="BG1447" s="1399"/>
      <c r="BH1447" s="1399"/>
      <c r="BI1447" s="1399"/>
      <c r="BJ1447" s="1399"/>
      <c r="BK1447" s="1399"/>
      <c r="BL1447" s="1399"/>
      <c r="BM1447" s="1399"/>
      <c r="BN1447" s="1399"/>
      <c r="BO1447" s="1399"/>
      <c r="BP1447" s="1399"/>
      <c r="BQ1447" s="1399"/>
      <c r="BR1447" s="1399"/>
      <c r="BS1447" s="1399"/>
      <c r="BT1447" s="1399"/>
      <c r="BU1447" s="1399"/>
      <c r="BV1447" s="1399"/>
      <c r="BW1447" s="1399"/>
      <c r="BX1447" s="1399"/>
      <c r="BY1447" s="1399"/>
      <c r="BZ1447" s="1399"/>
      <c r="CA1447" s="1399"/>
      <c r="CB1447" s="1399"/>
      <c r="CC1447" s="1399"/>
      <c r="CD1447" s="1399"/>
      <c r="CE1447" s="1399"/>
      <c r="CF1447" s="1399"/>
      <c r="CG1447" s="1399"/>
      <c r="CH1447" s="1399"/>
      <c r="CI1447" s="1399"/>
      <c r="CJ1447" s="1399"/>
      <c r="CK1447" s="1399"/>
      <c r="CL1447" s="1399"/>
      <c r="CM1447" s="1399"/>
      <c r="CN1447" s="1399"/>
      <c r="CO1447" s="1399"/>
      <c r="CP1447" s="1399"/>
      <c r="CQ1447" s="1399"/>
      <c r="CR1447" s="1399"/>
      <c r="CS1447" s="1399"/>
      <c r="CT1447" s="1399"/>
      <c r="CU1447" s="1399"/>
      <c r="CV1447" s="1399"/>
      <c r="CW1447" s="1399"/>
      <c r="CX1447" s="1399"/>
      <c r="CY1447" s="1399"/>
      <c r="CZ1447" s="1399"/>
      <c r="DA1447" s="1399"/>
      <c r="DB1447" s="1399"/>
      <c r="DC1447" s="1399"/>
      <c r="DD1447" s="1399"/>
      <c r="DE1447" s="1399"/>
      <c r="DF1447" s="1399"/>
      <c r="DG1447" s="1399"/>
      <c r="DH1447" s="1399"/>
      <c r="DI1447" s="1399"/>
      <c r="DJ1447" s="1399"/>
      <c r="DK1447" s="1399"/>
      <c r="DL1447" s="1399"/>
      <c r="DM1447" s="1399"/>
      <c r="DN1447" s="1399"/>
      <c r="DO1447" s="1399"/>
      <c r="DP1447" s="1399"/>
      <c r="DQ1447" s="1399"/>
      <c r="DR1447" s="1399"/>
      <c r="DS1447" s="1399"/>
      <c r="DT1447" s="1399"/>
      <c r="DU1447" s="1399"/>
    </row>
    <row r="1448" spans="1:125">
      <c r="A1448" s="1414"/>
      <c r="B1448" s="1414"/>
      <c r="C1448" s="1414"/>
      <c r="D1448" s="1414"/>
      <c r="E1448" s="1414"/>
      <c r="F1448" s="1414"/>
      <c r="G1448" s="1414"/>
      <c r="H1448" s="1414"/>
      <c r="I1448" s="1414"/>
      <c r="J1448" s="1414"/>
      <c r="K1448" s="1414"/>
      <c r="L1448" s="1414"/>
      <c r="M1448" s="1414"/>
      <c r="N1448" s="1414"/>
      <c r="O1448" s="1414"/>
      <c r="P1448" s="1414"/>
      <c r="Q1448" s="1414"/>
      <c r="R1448" s="1414"/>
      <c r="S1448" s="1414"/>
      <c r="T1448" s="1414"/>
      <c r="U1448" s="1414"/>
      <c r="V1448" s="1414"/>
      <c r="W1448" s="1414"/>
      <c r="X1448" s="1414"/>
      <c r="Y1448" s="1414"/>
      <c r="Z1448" s="1414"/>
      <c r="AA1448" s="1414"/>
      <c r="AB1448" s="1414"/>
      <c r="AC1448" s="1414"/>
      <c r="AD1448" s="1414"/>
      <c r="AE1448" s="1414"/>
      <c r="AF1448" s="1414"/>
      <c r="AG1448" s="1414"/>
      <c r="AH1448" s="1414"/>
      <c r="AI1448" s="1414"/>
      <c r="AJ1448" s="1414"/>
      <c r="AK1448" s="1414"/>
      <c r="AL1448" s="1414"/>
      <c r="AM1448" s="1414"/>
      <c r="AN1448" s="1414"/>
      <c r="AO1448" s="1414"/>
      <c r="AP1448" s="1414"/>
      <c r="AQ1448" s="1414"/>
      <c r="AR1448" s="1414"/>
      <c r="AS1448" s="1414"/>
      <c r="AT1448" s="1414"/>
      <c r="AU1448" s="1414"/>
      <c r="AV1448" s="1414"/>
      <c r="AW1448" s="1414"/>
      <c r="AX1448" s="1414"/>
      <c r="AY1448" s="1399"/>
      <c r="AZ1448" s="1399"/>
      <c r="BA1448" s="1399"/>
      <c r="BB1448" s="1399"/>
      <c r="BC1448" s="1399"/>
      <c r="BD1448" s="1399"/>
      <c r="BE1448" s="1414"/>
      <c r="BF1448" s="1399"/>
      <c r="BG1448" s="1399"/>
      <c r="BH1448" s="1399"/>
      <c r="BI1448" s="1399"/>
      <c r="BJ1448" s="1399"/>
      <c r="BK1448" s="1399"/>
      <c r="BL1448" s="1399"/>
      <c r="BM1448" s="1399"/>
      <c r="BN1448" s="1399"/>
      <c r="BO1448" s="1399"/>
      <c r="BP1448" s="1399"/>
      <c r="BQ1448" s="1399"/>
      <c r="BR1448" s="1399"/>
      <c r="BS1448" s="1399"/>
      <c r="BT1448" s="1399"/>
      <c r="BU1448" s="1399"/>
      <c r="BV1448" s="1399"/>
      <c r="BW1448" s="1399"/>
      <c r="BX1448" s="1399"/>
      <c r="BY1448" s="1399"/>
      <c r="BZ1448" s="1399"/>
      <c r="CA1448" s="1399"/>
      <c r="CB1448" s="1399"/>
      <c r="CC1448" s="1399"/>
      <c r="CD1448" s="1399"/>
      <c r="CE1448" s="1399"/>
      <c r="CF1448" s="1399"/>
      <c r="CG1448" s="1399"/>
      <c r="CH1448" s="1399"/>
      <c r="CI1448" s="1399"/>
      <c r="CJ1448" s="1399"/>
      <c r="CK1448" s="1399"/>
      <c r="CL1448" s="1399"/>
      <c r="CM1448" s="1399"/>
      <c r="CN1448" s="1399"/>
      <c r="CO1448" s="1399"/>
      <c r="CP1448" s="1399"/>
      <c r="CQ1448" s="1399"/>
      <c r="CR1448" s="1399"/>
      <c r="CS1448" s="1399"/>
      <c r="CT1448" s="1399"/>
      <c r="CU1448" s="1399"/>
      <c r="CV1448" s="1399"/>
      <c r="CW1448" s="1399"/>
      <c r="CX1448" s="1399"/>
      <c r="CY1448" s="1399"/>
      <c r="CZ1448" s="1399"/>
      <c r="DA1448" s="1399"/>
      <c r="DB1448" s="1399"/>
      <c r="DC1448" s="1399"/>
      <c r="DD1448" s="1399"/>
      <c r="DE1448" s="1399"/>
      <c r="DF1448" s="1399"/>
      <c r="DG1448" s="1399"/>
      <c r="DH1448" s="1399"/>
      <c r="DI1448" s="1399"/>
      <c r="DJ1448" s="1399"/>
      <c r="DK1448" s="1399"/>
      <c r="DL1448" s="1399"/>
      <c r="DM1448" s="1399"/>
      <c r="DN1448" s="1399"/>
      <c r="DO1448" s="1399"/>
      <c r="DP1448" s="1399"/>
      <c r="DQ1448" s="1399"/>
      <c r="DR1448" s="1399"/>
      <c r="DS1448" s="1399"/>
      <c r="DT1448" s="1399"/>
      <c r="DU1448" s="1399"/>
    </row>
    <row r="1449" spans="1:125">
      <c r="A1449" s="1414"/>
      <c r="B1449" s="1414"/>
      <c r="C1449" s="1414"/>
      <c r="D1449" s="1414"/>
      <c r="E1449" s="1414"/>
      <c r="F1449" s="1414"/>
      <c r="G1449" s="1414"/>
      <c r="H1449" s="1414"/>
      <c r="I1449" s="1414"/>
      <c r="J1449" s="1414"/>
      <c r="K1449" s="1414"/>
      <c r="L1449" s="1414"/>
      <c r="M1449" s="1414"/>
      <c r="N1449" s="1414"/>
      <c r="O1449" s="1414"/>
      <c r="P1449" s="1414"/>
      <c r="Q1449" s="1414"/>
      <c r="R1449" s="1414"/>
      <c r="S1449" s="1414"/>
      <c r="T1449" s="1414"/>
      <c r="U1449" s="1414"/>
      <c r="V1449" s="1414"/>
      <c r="W1449" s="1414"/>
      <c r="X1449" s="1414"/>
      <c r="Y1449" s="1414"/>
      <c r="Z1449" s="1414"/>
      <c r="AA1449" s="1414"/>
      <c r="AB1449" s="1414"/>
      <c r="AC1449" s="1414"/>
      <c r="AD1449" s="1414"/>
      <c r="AE1449" s="1414"/>
      <c r="AF1449" s="1414"/>
      <c r="AG1449" s="1414"/>
      <c r="AH1449" s="1414"/>
      <c r="AI1449" s="1414"/>
      <c r="AJ1449" s="1414"/>
      <c r="AK1449" s="1414"/>
      <c r="AL1449" s="1414"/>
      <c r="AM1449" s="1414"/>
      <c r="AN1449" s="1414"/>
      <c r="AO1449" s="1414"/>
      <c r="AP1449" s="1414"/>
      <c r="AQ1449" s="1414"/>
      <c r="AR1449" s="1414"/>
      <c r="AS1449" s="1414"/>
      <c r="AT1449" s="1414"/>
      <c r="AU1449" s="1414"/>
      <c r="AV1449" s="1414"/>
      <c r="AW1449" s="1414"/>
      <c r="AX1449" s="1414"/>
      <c r="AY1449" s="1399"/>
      <c r="AZ1449" s="1399"/>
      <c r="BA1449" s="1399"/>
      <c r="BB1449" s="1399"/>
      <c r="BC1449" s="1399"/>
      <c r="BD1449" s="1399"/>
      <c r="BE1449" s="1414"/>
      <c r="BF1449" s="1399"/>
      <c r="BG1449" s="1399"/>
      <c r="BH1449" s="1399"/>
      <c r="BI1449" s="1399"/>
      <c r="BJ1449" s="1399"/>
      <c r="BK1449" s="1399"/>
      <c r="BL1449" s="1399"/>
      <c r="BM1449" s="1399"/>
      <c r="BN1449" s="1399"/>
      <c r="BO1449" s="1399"/>
      <c r="BP1449" s="1399"/>
      <c r="BQ1449" s="1399"/>
      <c r="BR1449" s="1399"/>
      <c r="BS1449" s="1399"/>
      <c r="BT1449" s="1399"/>
      <c r="BU1449" s="1399"/>
      <c r="BV1449" s="1399"/>
      <c r="BW1449" s="1399"/>
      <c r="BX1449" s="1399"/>
      <c r="BY1449" s="1399"/>
      <c r="BZ1449" s="1399"/>
      <c r="CA1449" s="1399"/>
      <c r="CB1449" s="1399"/>
      <c r="CC1449" s="1399"/>
      <c r="CD1449" s="1399"/>
      <c r="CE1449" s="1399"/>
      <c r="CF1449" s="1399"/>
      <c r="CG1449" s="1399"/>
      <c r="CH1449" s="1399"/>
      <c r="CI1449" s="1399"/>
      <c r="CJ1449" s="1399"/>
      <c r="CK1449" s="1399"/>
      <c r="CL1449" s="1399"/>
      <c r="CM1449" s="1399"/>
      <c r="CN1449" s="1399"/>
      <c r="CO1449" s="1399"/>
      <c r="CP1449" s="1399"/>
      <c r="CQ1449" s="1399"/>
      <c r="CR1449" s="1399"/>
      <c r="CS1449" s="1399"/>
      <c r="CT1449" s="1399"/>
      <c r="CU1449" s="1399"/>
      <c r="CV1449" s="1399"/>
      <c r="CW1449" s="1399"/>
      <c r="CX1449" s="1399"/>
      <c r="CY1449" s="1399"/>
      <c r="CZ1449" s="1399"/>
      <c r="DA1449" s="1399"/>
      <c r="DB1449" s="1399"/>
      <c r="DC1449" s="1399"/>
      <c r="DD1449" s="1399"/>
      <c r="DE1449" s="1399"/>
      <c r="DF1449" s="1399"/>
      <c r="DG1449" s="1399"/>
      <c r="DH1449" s="1399"/>
      <c r="DI1449" s="1399"/>
      <c r="DJ1449" s="1399"/>
      <c r="DK1449" s="1399"/>
      <c r="DL1449" s="1399"/>
      <c r="DM1449" s="1399"/>
      <c r="DN1449" s="1399"/>
      <c r="DO1449" s="1399"/>
      <c r="DP1449" s="1399"/>
      <c r="DQ1449" s="1399"/>
      <c r="DR1449" s="1399"/>
      <c r="DS1449" s="1399"/>
      <c r="DT1449" s="1399"/>
      <c r="DU1449" s="1399"/>
    </row>
    <row r="1450" spans="1:125">
      <c r="A1450" s="1414"/>
      <c r="B1450" s="1414"/>
      <c r="C1450" s="1414"/>
      <c r="D1450" s="1414"/>
      <c r="E1450" s="1414"/>
      <c r="F1450" s="1414"/>
      <c r="G1450" s="1414"/>
      <c r="H1450" s="1414"/>
      <c r="I1450" s="1414"/>
      <c r="J1450" s="1414"/>
      <c r="K1450" s="1414"/>
      <c r="L1450" s="1414"/>
      <c r="M1450" s="1414"/>
      <c r="N1450" s="1414"/>
      <c r="O1450" s="1414"/>
      <c r="P1450" s="1414"/>
      <c r="Q1450" s="1414"/>
      <c r="R1450" s="1414"/>
      <c r="S1450" s="1414"/>
      <c r="T1450" s="1414"/>
      <c r="U1450" s="1414"/>
      <c r="V1450" s="1414"/>
      <c r="W1450" s="1414"/>
      <c r="X1450" s="1414"/>
      <c r="Y1450" s="1414"/>
      <c r="Z1450" s="1414"/>
      <c r="AA1450" s="1414"/>
      <c r="AB1450" s="1414"/>
      <c r="AC1450" s="1414"/>
      <c r="AD1450" s="1414"/>
      <c r="AE1450" s="1414"/>
      <c r="AF1450" s="1414"/>
      <c r="AG1450" s="1414"/>
      <c r="AH1450" s="1414"/>
      <c r="AI1450" s="1414"/>
      <c r="AJ1450" s="1414"/>
      <c r="AK1450" s="1414"/>
      <c r="AL1450" s="1414"/>
      <c r="AM1450" s="1414"/>
      <c r="AN1450" s="1414"/>
      <c r="AO1450" s="1414"/>
      <c r="AP1450" s="1414"/>
      <c r="AQ1450" s="1414"/>
      <c r="AR1450" s="1414"/>
      <c r="AS1450" s="1414"/>
      <c r="AT1450" s="1414"/>
      <c r="AU1450" s="1414"/>
      <c r="AV1450" s="1414"/>
      <c r="AW1450" s="1414"/>
      <c r="AX1450" s="1414"/>
      <c r="AY1450" s="1399"/>
      <c r="AZ1450" s="1399"/>
      <c r="BA1450" s="1399"/>
      <c r="BB1450" s="1399"/>
      <c r="BC1450" s="1399"/>
      <c r="BD1450" s="1399"/>
      <c r="BE1450" s="1414"/>
      <c r="BF1450" s="1399"/>
      <c r="BG1450" s="1399"/>
      <c r="BH1450" s="1399"/>
      <c r="BI1450" s="1399"/>
      <c r="BJ1450" s="1399"/>
      <c r="BK1450" s="1399"/>
      <c r="BL1450" s="1399"/>
      <c r="BM1450" s="1399"/>
      <c r="BN1450" s="1399"/>
      <c r="BO1450" s="1399"/>
      <c r="BP1450" s="1399"/>
      <c r="BQ1450" s="1399"/>
      <c r="BR1450" s="1399"/>
      <c r="BS1450" s="1399"/>
      <c r="BT1450" s="1399"/>
      <c r="BU1450" s="1399"/>
      <c r="BV1450" s="1399"/>
      <c r="BW1450" s="1399"/>
      <c r="BX1450" s="1399"/>
      <c r="BY1450" s="1399"/>
      <c r="BZ1450" s="1399"/>
      <c r="CA1450" s="1399"/>
      <c r="CB1450" s="1399"/>
      <c r="CC1450" s="1399"/>
      <c r="CD1450" s="1399"/>
      <c r="CE1450" s="1399"/>
      <c r="CF1450" s="1399"/>
      <c r="CG1450" s="1399"/>
      <c r="CH1450" s="1399"/>
      <c r="CI1450" s="1399"/>
      <c r="CJ1450" s="1399"/>
      <c r="CK1450" s="1399"/>
      <c r="CL1450" s="1399"/>
      <c r="CM1450" s="1399"/>
      <c r="CN1450" s="1399"/>
      <c r="CO1450" s="1399"/>
      <c r="CP1450" s="1399"/>
      <c r="CQ1450" s="1399"/>
      <c r="CR1450" s="1399"/>
      <c r="CS1450" s="1399"/>
      <c r="CT1450" s="1399"/>
      <c r="CU1450" s="1399"/>
      <c r="CV1450" s="1399"/>
      <c r="CW1450" s="1399"/>
      <c r="CX1450" s="1399"/>
      <c r="CY1450" s="1399"/>
      <c r="CZ1450" s="1399"/>
      <c r="DA1450" s="1399"/>
      <c r="DB1450" s="1399"/>
      <c r="DC1450" s="1399"/>
      <c r="DD1450" s="1399"/>
      <c r="DE1450" s="1399"/>
      <c r="DF1450" s="1399"/>
      <c r="DG1450" s="1399"/>
      <c r="DH1450" s="1399"/>
      <c r="DI1450" s="1399"/>
      <c r="DJ1450" s="1399"/>
      <c r="DK1450" s="1399"/>
      <c r="DL1450" s="1399"/>
      <c r="DM1450" s="1399"/>
      <c r="DN1450" s="1399"/>
      <c r="DO1450" s="1399"/>
      <c r="DP1450" s="1399"/>
      <c r="DQ1450" s="1399"/>
      <c r="DR1450" s="1399"/>
      <c r="DS1450" s="1399"/>
      <c r="DT1450" s="1399"/>
      <c r="DU1450" s="1399"/>
    </row>
  </sheetData>
  <phoneticPr fontId="4" type="noConversion"/>
  <pageMargins left="0" right="0" top="0" bottom="0" header="0" footer="0"/>
  <pageSetup paperSize="5" scale="58" orientation="landscape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3" tint="0.39997558519241921"/>
    <pageSetUpPr fitToPage="1"/>
  </sheetPr>
  <dimension ref="A1:CU1278"/>
  <sheetViews>
    <sheetView showGridLines="0" zoomScale="85" zoomScaleNormal="85" workbookViewId="0">
      <pane xSplit="1" ySplit="3" topLeftCell="AO4" activePane="bottomRight" state="frozen"/>
      <selection activeCell="EF49" sqref="EF49"/>
      <selection pane="topRight" activeCell="EF49" sqref="EF49"/>
      <selection pane="bottomLeft" activeCell="EF49" sqref="EF49"/>
      <selection pane="bottomRight" activeCell="AO4" sqref="AO4"/>
    </sheetView>
  </sheetViews>
  <sheetFormatPr defaultRowHeight="12.75" outlineLevelRow="1" outlineLevelCol="2"/>
  <cols>
    <col min="1" max="1" width="53.85546875" style="986" bestFit="1" customWidth="1"/>
    <col min="2" max="5" width="10.7109375" style="1004" hidden="1" customWidth="1" outlineLevel="2"/>
    <col min="6" max="6" width="10.7109375" style="1009" hidden="1" customWidth="1" outlineLevel="1"/>
    <col min="7" max="10" width="10.7109375" style="1004" hidden="1" customWidth="1" outlineLevel="2"/>
    <col min="11" max="11" width="10.7109375" style="1009" hidden="1" customWidth="1" outlineLevel="1"/>
    <col min="12" max="15" width="10.7109375" style="1004" hidden="1" customWidth="1" outlineLevel="2"/>
    <col min="16" max="16" width="10.7109375" style="1009" hidden="1" customWidth="1" outlineLevel="1"/>
    <col min="17" max="20" width="10.7109375" style="1004" hidden="1" customWidth="1" outlineLevel="2"/>
    <col min="21" max="21" width="10.7109375" style="1009" hidden="1" customWidth="1" outlineLevel="1"/>
    <col min="22" max="25" width="10.7109375" style="1004" hidden="1" customWidth="1" outlineLevel="2"/>
    <col min="26" max="26" width="10.7109375" style="1009" hidden="1" customWidth="1" outlineLevel="1"/>
    <col min="27" max="30" width="10.7109375" style="1004" hidden="1" customWidth="1" outlineLevel="1"/>
    <col min="31" max="31" width="10.85546875" style="1009" hidden="1" customWidth="1" collapsed="1"/>
    <col min="32" max="32" width="8.28515625" style="986" hidden="1" customWidth="1" outlineLevel="1"/>
    <col min="33" max="33" width="8.85546875" style="986" hidden="1" customWidth="1" outlineLevel="1"/>
    <col min="34" max="35" width="8.140625" style="986" hidden="1" customWidth="1" outlineLevel="1"/>
    <col min="36" max="36" width="10.85546875" style="1009" hidden="1" customWidth="1" collapsed="1"/>
    <col min="37" max="37" width="8.85546875" style="986" hidden="1" customWidth="1" outlineLevel="1"/>
    <col min="38" max="40" width="8.140625" style="986" hidden="1" customWidth="1" outlineLevel="1"/>
    <col min="41" max="41" width="9.85546875" style="1009" customWidth="1" collapsed="1"/>
    <col min="42" max="42" width="9.85546875" style="986" hidden="1" customWidth="1" outlineLevel="1"/>
    <col min="43" max="44" width="9.28515625" style="986" hidden="1" customWidth="1" outlineLevel="1"/>
    <col min="45" max="45" width="9.85546875" style="986" hidden="1" customWidth="1" outlineLevel="1"/>
    <col min="46" max="46" width="9.85546875" style="1009" customWidth="1" collapsed="1"/>
    <col min="47" max="47" width="9.85546875" style="986" hidden="1" customWidth="1" outlineLevel="1"/>
    <col min="48" max="49" width="9.28515625" style="986" hidden="1" customWidth="1" outlineLevel="1"/>
    <col min="50" max="50" width="9.85546875" style="986" hidden="1" customWidth="1" outlineLevel="1"/>
    <col min="51" max="51" width="9.85546875" style="1009" customWidth="1" collapsed="1"/>
    <col min="52" max="52" width="9.85546875" style="986" hidden="1" customWidth="1" outlineLevel="1"/>
    <col min="53" max="54" width="9.28515625" style="986" hidden="1" customWidth="1" outlineLevel="1"/>
    <col min="55" max="55" width="9.85546875" style="986" hidden="1" customWidth="1" outlineLevel="1"/>
    <col min="56" max="56" width="9.85546875" style="1009" customWidth="1" collapsed="1"/>
    <col min="57" max="60" width="9.85546875" style="1004" customWidth="1" outlineLevel="1"/>
    <col min="61" max="61" width="9.85546875" style="1004" customWidth="1"/>
    <col min="62" max="65" width="9.85546875" style="1004" customWidth="1" outlineLevel="1"/>
    <col min="66" max="66" width="9.85546875" style="1004" customWidth="1"/>
    <col min="67" max="70" width="9.85546875" style="1004" hidden="1" customWidth="1" outlineLevel="1"/>
    <col min="71" max="71" width="9.85546875" style="1004" customWidth="1" collapsed="1"/>
    <col min="72" max="75" width="9.85546875" style="1004" hidden="1" customWidth="1" outlineLevel="1"/>
    <col min="76" max="76" width="9.85546875" style="1004" customWidth="1" collapsed="1"/>
    <col min="77" max="77" width="9.140625" style="986"/>
    <col min="78" max="82" width="9.85546875" style="1009" hidden="1" customWidth="1" outlineLevel="1"/>
    <col min="83" max="84" width="9.85546875" style="1004" hidden="1" customWidth="1" outlineLevel="1"/>
    <col min="85" max="85" width="9.140625" style="986" collapsed="1"/>
    <col min="86" max="89" width="9.140625" style="986"/>
    <col min="91" max="16384" width="9.140625" style="986"/>
  </cols>
  <sheetData>
    <row r="1" spans="1:86" ht="17.25" customHeight="1">
      <c r="A1" s="2909" t="s">
        <v>1455</v>
      </c>
      <c r="F1" s="1004"/>
      <c r="K1" s="1004"/>
      <c r="P1" s="1004"/>
      <c r="U1" s="1004"/>
      <c r="Z1" s="1004"/>
      <c r="AE1" s="1104"/>
      <c r="AI1" s="1173"/>
      <c r="AJ1" s="1174"/>
      <c r="AK1" s="1172"/>
      <c r="AL1" s="1172"/>
      <c r="AM1" s="1172"/>
      <c r="AN1" s="1172"/>
      <c r="AO1" s="1172"/>
      <c r="AP1" s="1172"/>
      <c r="AQ1" s="1172"/>
      <c r="AR1" s="1172"/>
      <c r="AS1" s="1172"/>
      <c r="AT1" s="1172"/>
      <c r="AU1" s="1172"/>
      <c r="AV1" s="2567"/>
      <c r="AW1" s="1172"/>
      <c r="AX1" s="1172"/>
      <c r="AY1" s="2534"/>
      <c r="AZ1" s="2529"/>
      <c r="BA1" s="2529"/>
      <c r="BB1" s="2529"/>
      <c r="BC1" s="2529"/>
      <c r="BD1" s="1171"/>
      <c r="BE1" s="1172"/>
      <c r="BF1" s="1172"/>
      <c r="BG1" s="1172"/>
      <c r="BH1" s="1172"/>
      <c r="BI1" s="1171"/>
      <c r="BJ1" s="1171"/>
      <c r="BK1" s="1171"/>
      <c r="BL1" s="1171"/>
      <c r="BM1" s="1171"/>
      <c r="BN1" s="1171"/>
      <c r="BO1" s="1171"/>
      <c r="BP1" s="1171"/>
      <c r="BQ1" s="1171"/>
      <c r="BR1" s="1171"/>
      <c r="BS1" s="1171"/>
      <c r="BT1" s="1171"/>
      <c r="BU1" s="1171"/>
      <c r="BV1" s="1171"/>
      <c r="BW1" s="1171"/>
      <c r="BX1" s="1171"/>
      <c r="BY1" s="1343"/>
      <c r="BZ1" s="1002"/>
      <c r="CA1" s="1002"/>
      <c r="CB1" s="1002"/>
      <c r="CC1" s="1002"/>
      <c r="CD1" s="1002"/>
      <c r="CE1" s="1002"/>
      <c r="CF1" s="1002"/>
    </row>
    <row r="2" spans="1:86">
      <c r="B2" s="1019"/>
      <c r="C2" s="1038"/>
      <c r="D2" s="1038"/>
      <c r="E2" s="1019"/>
      <c r="F2" s="1019" t="str">
        <f>IS!CT6</f>
        <v>FY</v>
      </c>
      <c r="G2" s="1019"/>
      <c r="H2" s="1038"/>
      <c r="I2" s="1038"/>
      <c r="J2" s="1019"/>
      <c r="K2" s="1019" t="str">
        <f>IS!CY6</f>
        <v>FY</v>
      </c>
      <c r="L2" s="1019"/>
      <c r="M2" s="1038"/>
      <c r="N2" s="1038"/>
      <c r="O2" s="1019"/>
      <c r="P2" s="1019" t="str">
        <f>IS!DD6</f>
        <v>FY</v>
      </c>
      <c r="Q2" s="1019"/>
      <c r="R2" s="1038"/>
      <c r="S2" s="1038"/>
      <c r="T2" s="1019"/>
      <c r="U2" s="1019" t="str">
        <f>IS!DI6</f>
        <v>FY</v>
      </c>
      <c r="V2" s="1019"/>
      <c r="W2" s="1038"/>
      <c r="X2" s="1038"/>
      <c r="Y2" s="1019"/>
      <c r="Z2" s="1019" t="str">
        <f>IS!DN6</f>
        <v>FY</v>
      </c>
      <c r="AA2" s="1019"/>
      <c r="AB2" s="1038"/>
      <c r="AC2" s="1038"/>
      <c r="AD2" s="1019"/>
      <c r="AE2" s="1019" t="str">
        <f>IS!DS6</f>
        <v>FY</v>
      </c>
      <c r="AF2" s="1019"/>
      <c r="AG2" s="1019"/>
      <c r="AH2" s="1019"/>
      <c r="AI2" s="1019"/>
      <c r="AJ2" s="1019" t="str">
        <f>IS!DX6</f>
        <v>FY</v>
      </c>
      <c r="AK2" s="1019"/>
      <c r="AL2" s="1019"/>
      <c r="AM2" s="1007"/>
      <c r="AN2" s="1019"/>
      <c r="AO2" s="1019" t="str">
        <f>IS!EC6</f>
        <v>FY</v>
      </c>
      <c r="AP2" s="1019"/>
      <c r="AQ2" s="1019"/>
      <c r="AR2" s="1019"/>
      <c r="AS2" s="1019"/>
      <c r="AT2" s="1019" t="str">
        <f>IS!EH6</f>
        <v>FY</v>
      </c>
      <c r="AU2" s="1019"/>
      <c r="AV2" s="1019"/>
      <c r="AW2" s="1019"/>
      <c r="AX2" s="1019"/>
      <c r="AY2" s="1019" t="str">
        <f>IS!EM6</f>
        <v>FY</v>
      </c>
      <c r="AZ2" s="1019"/>
      <c r="BA2" s="1019"/>
      <c r="BB2" s="1019"/>
      <c r="BC2" s="1019"/>
      <c r="BD2" s="1019" t="str">
        <f>IS!ER6</f>
        <v>FY</v>
      </c>
      <c r="BE2" s="1019"/>
      <c r="BF2" s="1019"/>
      <c r="BG2" s="1019"/>
      <c r="BH2" s="1019"/>
      <c r="BI2" s="1019" t="str">
        <f>IS!EW6</f>
        <v>FY</v>
      </c>
      <c r="BJ2" s="1019"/>
      <c r="BK2" s="1019"/>
      <c r="BL2" s="1019"/>
      <c r="BM2" s="1019"/>
      <c r="BN2" s="1019" t="str">
        <f>IS!FB6</f>
        <v>FY</v>
      </c>
      <c r="BO2" s="1019"/>
      <c r="BP2" s="1019"/>
      <c r="BQ2" s="1019"/>
      <c r="BR2" s="1019"/>
      <c r="BS2" s="1019" t="str">
        <f>IS!FG6</f>
        <v>FY</v>
      </c>
      <c r="BT2" s="1019"/>
      <c r="BU2" s="1019"/>
      <c r="BV2" s="1019"/>
      <c r="BW2" s="1019"/>
      <c r="BX2" s="1019" t="str">
        <f>IS!FL6</f>
        <v>FY</v>
      </c>
      <c r="BY2" s="1343"/>
      <c r="BZ2" s="1019"/>
      <c r="CA2" s="1019"/>
      <c r="CB2" s="1019"/>
      <c r="CC2" s="1019"/>
      <c r="CD2" s="1019"/>
      <c r="CE2" s="1019"/>
      <c r="CF2" s="1019"/>
    </row>
    <row r="3" spans="1:86">
      <c r="B3" s="1037">
        <f>IS!CP7</f>
        <v>38990</v>
      </c>
      <c r="C3" s="1037">
        <f>IS!CQ7</f>
        <v>39082</v>
      </c>
      <c r="D3" s="1037">
        <f>IS!CR7</f>
        <v>39172</v>
      </c>
      <c r="E3" s="1037">
        <f>IS!CS7</f>
        <v>39263</v>
      </c>
      <c r="F3" s="1037" t="str">
        <f>IS!CT7</f>
        <v>2007</v>
      </c>
      <c r="G3" s="1037">
        <f>IS!CU7</f>
        <v>39355</v>
      </c>
      <c r="H3" s="1037">
        <f>IS!CV7</f>
        <v>39447</v>
      </c>
      <c r="I3" s="1037">
        <f>IS!CW7</f>
        <v>39538</v>
      </c>
      <c r="J3" s="1037">
        <f>IS!CX7</f>
        <v>39607</v>
      </c>
      <c r="K3" s="1037" t="str">
        <f>IS!CY7</f>
        <v>2008</v>
      </c>
      <c r="L3" s="1037">
        <f>IS!CZ7</f>
        <v>39699</v>
      </c>
      <c r="M3" s="1037">
        <f>IS!DA7</f>
        <v>39790</v>
      </c>
      <c r="N3" s="1037">
        <f>IS!DB7</f>
        <v>39881</v>
      </c>
      <c r="O3" s="1037">
        <f>IS!DC7</f>
        <v>39973</v>
      </c>
      <c r="P3" s="1037" t="str">
        <f>IS!DD7</f>
        <v>2009</v>
      </c>
      <c r="Q3" s="1037">
        <f>IS!DE7</f>
        <v>40065</v>
      </c>
      <c r="R3" s="1037" t="str">
        <f>IS!DF7</f>
        <v>Dec-09</v>
      </c>
      <c r="S3" s="1037" t="str">
        <f>IS!DG7</f>
        <v>Mar-10</v>
      </c>
      <c r="T3" s="1037" t="str">
        <f>IS!DH7</f>
        <v>Jun-10</v>
      </c>
      <c r="U3" s="1037" t="str">
        <f>IS!DI7</f>
        <v>2010</v>
      </c>
      <c r="V3" s="1037" t="str">
        <f>IS!DJ7</f>
        <v>Sep-10</v>
      </c>
      <c r="W3" s="1037" t="str">
        <f>IS!DK7</f>
        <v>Dec-10</v>
      </c>
      <c r="X3" s="1037" t="str">
        <f>IS!DL7</f>
        <v>Mar-11</v>
      </c>
      <c r="Y3" s="1037" t="str">
        <f>IS!DM7</f>
        <v>Jun-11</v>
      </c>
      <c r="Z3" s="1037" t="str">
        <f>IS!DN7</f>
        <v>2011</v>
      </c>
      <c r="AA3" s="1037" t="str">
        <f>IS!DO7</f>
        <v>Sep-11</v>
      </c>
      <c r="AB3" s="1037" t="str">
        <f>IS!DP7</f>
        <v>Dec-11</v>
      </c>
      <c r="AC3" s="1037" t="str">
        <f>IS!DQ7</f>
        <v>Mar-12</v>
      </c>
      <c r="AD3" s="1037" t="str">
        <f>IS!DR7</f>
        <v>Jun-12</v>
      </c>
      <c r="AE3" s="1037" t="str">
        <f>IS!DS7</f>
        <v>2012</v>
      </c>
      <c r="AF3" s="1037" t="str">
        <f>IS!DT7</f>
        <v>Sep-12</v>
      </c>
      <c r="AG3" s="1037" t="str">
        <f>IS!DU7</f>
        <v>Dec-12</v>
      </c>
      <c r="AH3" s="1037" t="str">
        <f>IS!DV7</f>
        <v>Mar-13</v>
      </c>
      <c r="AI3" s="1037" t="str">
        <f>IS!DW7</f>
        <v>Jun-13</v>
      </c>
      <c r="AJ3" s="1037" t="str">
        <f>IS!DX7</f>
        <v>2013</v>
      </c>
      <c r="AK3" s="1037" t="str">
        <f>IS!DY7</f>
        <v>Sep-13</v>
      </c>
      <c r="AL3" s="1037" t="str">
        <f>IS!DZ7</f>
        <v>Dec-13</v>
      </c>
      <c r="AM3" s="1037" t="str">
        <f>IS!EA7</f>
        <v>Mar-14</v>
      </c>
      <c r="AN3" s="1037" t="str">
        <f>IS!EB7</f>
        <v>Jun-14</v>
      </c>
      <c r="AO3" s="1037" t="str">
        <f>IS!EC7</f>
        <v>2014</v>
      </c>
      <c r="AP3" s="1037" t="str">
        <f>IS!ED7</f>
        <v>Sep-14</v>
      </c>
      <c r="AQ3" s="1037" t="str">
        <f>IS!EE7</f>
        <v>Dec-14</v>
      </c>
      <c r="AR3" s="1037" t="str">
        <f>IS!EF7</f>
        <v>Mar-15</v>
      </c>
      <c r="AS3" s="1037" t="str">
        <f>IS!EG7</f>
        <v>Jun-15</v>
      </c>
      <c r="AT3" s="1037" t="str">
        <f>IS!EH7</f>
        <v>2015</v>
      </c>
      <c r="AU3" s="1037" t="str">
        <f>IS!EI7</f>
        <v>Sep-15</v>
      </c>
      <c r="AV3" s="1037" t="str">
        <f>IS!EJ7</f>
        <v>Dec-15</v>
      </c>
      <c r="AW3" s="1037" t="str">
        <f>IS!EK7</f>
        <v>Mar-16</v>
      </c>
      <c r="AX3" s="1037" t="str">
        <f>IS!EL7</f>
        <v>Jun-16</v>
      </c>
      <c r="AY3" s="1037" t="str">
        <f>IS!EM7</f>
        <v>2016</v>
      </c>
      <c r="AZ3" s="1037" t="str">
        <f>IS!EN7</f>
        <v>Sep-16</v>
      </c>
      <c r="BA3" s="1037" t="str">
        <f>IS!EO7</f>
        <v>Dec-16</v>
      </c>
      <c r="BB3" s="1037" t="str">
        <f>IS!EP7</f>
        <v>Mar-17</v>
      </c>
      <c r="BC3" s="1037" t="str">
        <f>IS!EQ7</f>
        <v>Jun-17</v>
      </c>
      <c r="BD3" s="1037" t="str">
        <f>IS!ER7</f>
        <v>2017</v>
      </c>
      <c r="BE3" s="1037" t="str">
        <f>IS!ES7</f>
        <v>Sep-17</v>
      </c>
      <c r="BF3" s="1037" t="str">
        <f>IS!ET7</f>
        <v>Dec-17</v>
      </c>
      <c r="BG3" s="1037" t="str">
        <f>IS!EU7</f>
        <v>Mar-18</v>
      </c>
      <c r="BH3" s="1037" t="str">
        <f>IS!EV7</f>
        <v>Jun-18E</v>
      </c>
      <c r="BI3" s="1037" t="str">
        <f>IS!EW7</f>
        <v>2018E</v>
      </c>
      <c r="BJ3" s="1037" t="str">
        <f>IS!EX7</f>
        <v>Sep-18E</v>
      </c>
      <c r="BK3" s="1037" t="str">
        <f>IS!EY7</f>
        <v>Dec-18E</v>
      </c>
      <c r="BL3" s="1037" t="str">
        <f>IS!EZ7</f>
        <v>Mar-19E</v>
      </c>
      <c r="BM3" s="1037" t="str">
        <f>IS!FA7</f>
        <v>Jun-19E</v>
      </c>
      <c r="BN3" s="1037" t="str">
        <f>IS!FB7</f>
        <v>2019E</v>
      </c>
      <c r="BO3" s="1037" t="str">
        <f>IS!FC7</f>
        <v>Sep-19E</v>
      </c>
      <c r="BP3" s="1037" t="str">
        <f>IS!FD7</f>
        <v>Dec-19E</v>
      </c>
      <c r="BQ3" s="1037" t="str">
        <f>IS!FE7</f>
        <v>Mar-20E</v>
      </c>
      <c r="BR3" s="1037" t="str">
        <f>IS!FF7</f>
        <v>Jun-20E</v>
      </c>
      <c r="BS3" s="1037" t="str">
        <f>IS!FG7</f>
        <v>2020E</v>
      </c>
      <c r="BT3" s="1037" t="str">
        <f>IS!FH7</f>
        <v>Sep-20E</v>
      </c>
      <c r="BU3" s="1037" t="str">
        <f>IS!FI7</f>
        <v>Dec-20E</v>
      </c>
      <c r="BV3" s="1037" t="str">
        <f>IS!FJ7</f>
        <v>Mar-21E</v>
      </c>
      <c r="BW3" s="1037" t="str">
        <f>IS!FK7</f>
        <v>Jun-21E</v>
      </c>
      <c r="BX3" s="1037" t="str">
        <f>IS!FL7</f>
        <v>2021E</v>
      </c>
      <c r="BY3" s="1343"/>
      <c r="BZ3" s="1037" t="s">
        <v>819</v>
      </c>
      <c r="CA3" s="1037" t="s">
        <v>288</v>
      </c>
      <c r="CB3" s="1037" t="s">
        <v>433</v>
      </c>
      <c r="CC3" s="1037" t="s">
        <v>3</v>
      </c>
      <c r="CD3" s="1037" t="s">
        <v>1015</v>
      </c>
      <c r="CE3" s="1037" t="s">
        <v>1021</v>
      </c>
      <c r="CF3" s="1037" t="s">
        <v>1418</v>
      </c>
      <c r="CG3" s="1037" t="s">
        <v>1440</v>
      </c>
      <c r="CH3" s="1037" t="s">
        <v>1479</v>
      </c>
    </row>
    <row r="4" spans="1:86">
      <c r="A4" s="1537" t="s">
        <v>921</v>
      </c>
      <c r="B4" s="1538"/>
      <c r="C4" s="1538"/>
      <c r="D4" s="1538"/>
      <c r="E4" s="1538"/>
      <c r="F4" s="1539"/>
      <c r="G4" s="1538"/>
      <c r="H4" s="1538"/>
      <c r="I4" s="1538"/>
      <c r="J4" s="1538"/>
      <c r="K4" s="1539"/>
      <c r="L4" s="1538"/>
      <c r="M4" s="1538"/>
      <c r="N4" s="1538"/>
      <c r="O4" s="1538"/>
      <c r="P4" s="1539"/>
      <c r="Q4" s="1538"/>
      <c r="R4" s="1538"/>
      <c r="S4" s="1538"/>
      <c r="T4" s="1538"/>
      <c r="U4" s="1539"/>
      <c r="V4" s="1538"/>
      <c r="W4" s="1538"/>
      <c r="X4" s="1538"/>
      <c r="Y4" s="1538"/>
      <c r="Z4" s="1539"/>
      <c r="AA4" s="1538"/>
      <c r="AB4" s="1538"/>
      <c r="AC4" s="1538"/>
      <c r="AD4" s="1538"/>
      <c r="AE4" s="1539"/>
      <c r="AF4" s="1540"/>
      <c r="AG4" s="1540"/>
      <c r="AH4" s="1540"/>
      <c r="AI4" s="1540"/>
      <c r="AJ4" s="1539"/>
      <c r="AK4" s="1540"/>
      <c r="AL4" s="1540"/>
      <c r="AM4" s="1540"/>
      <c r="AN4" s="1540"/>
      <c r="AO4" s="1541"/>
      <c r="AP4" s="1540"/>
      <c r="AQ4" s="1540"/>
      <c r="AR4" s="1540"/>
      <c r="AS4" s="1540"/>
      <c r="AT4" s="1541"/>
      <c r="AU4" s="1540"/>
      <c r="AV4" s="1540"/>
      <c r="AW4" s="1540"/>
      <c r="AX4" s="1540"/>
      <c r="AY4" s="1541"/>
      <c r="AZ4" s="1540"/>
      <c r="BA4" s="1540"/>
      <c r="BB4" s="1540"/>
      <c r="BC4" s="1540"/>
      <c r="BD4" s="1541"/>
      <c r="BE4" s="1540"/>
      <c r="BF4" s="1540"/>
      <c r="BG4" s="1540"/>
      <c r="BH4" s="1540"/>
      <c r="BI4" s="1541"/>
      <c r="BJ4" s="1540"/>
      <c r="BK4" s="1540"/>
      <c r="BL4" s="1540"/>
      <c r="BM4" s="1540"/>
      <c r="BN4" s="1541"/>
      <c r="BO4" s="1540"/>
      <c r="BP4" s="1540"/>
      <c r="BQ4" s="1540"/>
      <c r="BR4" s="1540"/>
      <c r="BS4" s="1541"/>
      <c r="BT4" s="1540"/>
      <c r="BU4" s="1540"/>
      <c r="BV4" s="1540"/>
      <c r="BW4" s="1540"/>
      <c r="BX4" s="1541"/>
      <c r="BY4" s="1343"/>
      <c r="BZ4" s="1541"/>
      <c r="CA4" s="1541"/>
      <c r="CB4" s="1541"/>
      <c r="CC4" s="1541"/>
      <c r="CD4" s="1541"/>
      <c r="CE4" s="1541"/>
      <c r="CF4" s="1541"/>
      <c r="CG4" s="1541"/>
      <c r="CH4" s="1541"/>
    </row>
    <row r="5" spans="1:86">
      <c r="A5" s="1050" t="s">
        <v>1043</v>
      </c>
      <c r="B5" s="1051"/>
      <c r="C5" s="1051"/>
      <c r="D5" s="1051"/>
      <c r="E5" s="1051"/>
      <c r="F5" s="1052"/>
      <c r="G5" s="1051"/>
      <c r="H5" s="1051"/>
      <c r="I5" s="1051"/>
      <c r="J5" s="1051"/>
      <c r="K5" s="1052"/>
      <c r="L5" s="1051"/>
      <c r="M5" s="1051"/>
      <c r="N5" s="1051"/>
      <c r="O5" s="1051"/>
      <c r="P5" s="1052"/>
      <c r="Q5" s="1051"/>
      <c r="R5" s="1051"/>
      <c r="S5" s="1051"/>
      <c r="T5" s="1051"/>
      <c r="U5" s="1052"/>
      <c r="V5" s="1051"/>
      <c r="W5" s="1051"/>
      <c r="X5" s="1051"/>
      <c r="Y5" s="1051"/>
      <c r="Z5" s="1052"/>
      <c r="AA5" s="1051"/>
      <c r="AB5" s="1051"/>
      <c r="AC5" s="1051"/>
      <c r="AD5" s="1051"/>
      <c r="AE5" s="1052"/>
      <c r="AF5" s="1053"/>
      <c r="AG5" s="1051"/>
      <c r="AH5" s="1051"/>
      <c r="AI5" s="1051"/>
      <c r="AJ5" s="1052"/>
      <c r="AK5" s="1054"/>
      <c r="AL5" s="1051"/>
      <c r="AM5" s="1051"/>
      <c r="AN5" s="1051"/>
      <c r="AO5" s="1052"/>
      <c r="AP5" s="1054"/>
      <c r="AQ5" s="1051"/>
      <c r="AR5" s="1051"/>
      <c r="AS5" s="1051"/>
      <c r="AT5" s="1052"/>
      <c r="AU5" s="1054"/>
      <c r="AV5" s="1051"/>
      <c r="AW5" s="1051"/>
      <c r="AX5" s="1051"/>
      <c r="AY5" s="1052"/>
      <c r="AZ5" s="1054"/>
      <c r="BA5" s="1051"/>
      <c r="BB5" s="1051"/>
      <c r="BC5" s="1051"/>
      <c r="BD5" s="1052"/>
      <c r="BE5" s="1054"/>
      <c r="BF5" s="1051"/>
      <c r="BG5" s="1051"/>
      <c r="BH5" s="1051"/>
      <c r="BI5" s="1052"/>
      <c r="BJ5" s="1054"/>
      <c r="BK5" s="1051"/>
      <c r="BL5" s="1051"/>
      <c r="BM5" s="1051"/>
      <c r="BN5" s="1052"/>
      <c r="BO5" s="1054"/>
      <c r="BP5" s="1051"/>
      <c r="BQ5" s="1051"/>
      <c r="BR5" s="1051"/>
      <c r="BS5" s="1052"/>
      <c r="BT5" s="1054"/>
      <c r="BU5" s="1051"/>
      <c r="BV5" s="1051"/>
      <c r="BW5" s="1051"/>
      <c r="BX5" s="1052"/>
      <c r="BY5" s="1343"/>
      <c r="BZ5" s="1052"/>
      <c r="CA5" s="1052"/>
      <c r="CB5" s="1052"/>
      <c r="CC5" s="1052"/>
      <c r="CD5" s="1052"/>
      <c r="CE5" s="1052"/>
      <c r="CF5" s="1052"/>
      <c r="CG5" s="1052"/>
      <c r="CH5" s="1052"/>
    </row>
    <row r="6" spans="1:86">
      <c r="A6" s="986" t="s">
        <v>1064</v>
      </c>
      <c r="B6" s="1345"/>
      <c r="C6" s="1345"/>
      <c r="D6" s="1345"/>
      <c r="E6" s="1345"/>
      <c r="F6" s="1346"/>
      <c r="G6" s="1345"/>
      <c r="H6" s="1345"/>
      <c r="I6" s="1345"/>
      <c r="J6" s="1345"/>
      <c r="K6" s="1346"/>
      <c r="L6" s="1345"/>
      <c r="M6" s="1345"/>
      <c r="N6" s="1345"/>
      <c r="O6" s="1345"/>
      <c r="P6" s="1346"/>
      <c r="Q6" s="1345"/>
      <c r="R6" s="1345"/>
      <c r="S6" s="1345"/>
      <c r="T6" s="1345"/>
      <c r="U6" s="1346"/>
      <c r="V6" s="1345"/>
      <c r="W6" s="1345"/>
      <c r="X6" s="1345"/>
      <c r="Y6" s="1345"/>
      <c r="Z6" s="1346"/>
      <c r="AA6" s="1345"/>
      <c r="AB6" s="1345"/>
      <c r="AC6" s="1345"/>
      <c r="AD6" s="1345"/>
      <c r="AE6" s="1346"/>
      <c r="AF6" s="1347"/>
      <c r="AG6" s="1347"/>
      <c r="AH6" s="1347"/>
      <c r="AI6" s="1347"/>
      <c r="AJ6" s="1346"/>
      <c r="AK6" s="1001"/>
      <c r="AL6" s="1001"/>
      <c r="AM6" s="1001"/>
      <c r="AN6" s="1001"/>
      <c r="AO6" s="1000"/>
      <c r="AP6" s="1001"/>
      <c r="AQ6" s="1001"/>
      <c r="AR6" s="1001"/>
      <c r="AS6" s="1001"/>
      <c r="AT6" s="1000"/>
      <c r="AU6" s="1001"/>
      <c r="AV6" s="1001"/>
      <c r="AW6" s="1001"/>
      <c r="AX6" s="1001"/>
      <c r="AY6" s="1000"/>
      <c r="AZ6" s="1001">
        <f>AZ7+AZ8</f>
        <v>885.10429687500005</v>
      </c>
      <c r="BA6" s="1001">
        <f>BA7+BA8</f>
        <v>841.82460937500014</v>
      </c>
      <c r="BB6" s="1001">
        <f>BB7+BB8</f>
        <v>937.90585937499964</v>
      </c>
      <c r="BC6" s="1001">
        <f>BC7+BC8</f>
        <v>1102.805859375</v>
      </c>
      <c r="BD6" s="1000">
        <f>SUM(AZ6:BC6)</f>
        <v>3767.640625</v>
      </c>
      <c r="BE6" s="1001">
        <f>BE7+BE8</f>
        <v>989.99184374999993</v>
      </c>
      <c r="BF6" s="1001">
        <f>BF7+BF8</f>
        <v>941.01484374999995</v>
      </c>
      <c r="BG6" s="1001">
        <f>BG7+BG8</f>
        <v>1045.8798437499995</v>
      </c>
      <c r="BH6" s="1001">
        <f>BH7+BH8</f>
        <v>1157.83984375</v>
      </c>
      <c r="BI6" s="1191">
        <f>SUM(BE6:BH6)</f>
        <v>4134.7263749999993</v>
      </c>
      <c r="BJ6" s="1001">
        <f>BJ7+BJ8</f>
        <v>1025.7758437499999</v>
      </c>
      <c r="BK6" s="1001">
        <f>BK7+BK8</f>
        <v>986.54453124999986</v>
      </c>
      <c r="BL6" s="1001">
        <f>BL7+BL8</f>
        <v>1068.6535937499998</v>
      </c>
      <c r="BM6" s="1001">
        <f>BM7+BM8</f>
        <v>1209.33984375</v>
      </c>
      <c r="BN6" s="1191">
        <f>SUM(BJ6:BM6)</f>
        <v>4290.3138124999996</v>
      </c>
      <c r="BO6" s="1001">
        <f>BO7+BO8</f>
        <v>1069.5104437499999</v>
      </c>
      <c r="BP6" s="1001">
        <f>BP7+BP8</f>
        <v>1037.288828125</v>
      </c>
      <c r="BQ6" s="1001">
        <f>BQ7+BQ8</f>
        <v>1108.2065312499997</v>
      </c>
      <c r="BR6" s="1001">
        <f>BR7+BR8</f>
        <v>1228.91484375</v>
      </c>
      <c r="BS6" s="1191">
        <f>SUM(BO6:BR6)</f>
        <v>4443.9206468749999</v>
      </c>
      <c r="BT6" s="1001">
        <f>BT7+BT8</f>
        <v>1104.6118387500001</v>
      </c>
      <c r="BU6" s="1001">
        <f>BU7+BU8</f>
        <v>1079.3227558593749</v>
      </c>
      <c r="BV6" s="1001">
        <f>BV7+BV8</f>
        <v>1139.1236109374997</v>
      </c>
      <c r="BW6" s="1001">
        <f>BW7+BW8</f>
        <v>1240.00171875</v>
      </c>
      <c r="BX6" s="1191">
        <f>SUM(BT6:BW6)</f>
        <v>4563.0599242968747</v>
      </c>
      <c r="BY6" s="1343"/>
      <c r="BZ6" s="1191"/>
      <c r="CA6" s="1191"/>
      <c r="CB6" s="1191">
        <f>SUM(AM6:AN6,AP6:AQ6)</f>
        <v>0</v>
      </c>
      <c r="CC6" s="1191">
        <f>SUM(AR6:AS6,AU6:AV6)</f>
        <v>0</v>
      </c>
      <c r="CD6" s="1191">
        <f>SUM(AW6:AX6,AZ6:BA6)</f>
        <v>1726.9289062500002</v>
      </c>
      <c r="CE6" s="1191">
        <f>SUM(BB6:BC6,BE6:BF6)</f>
        <v>3971.7184062499991</v>
      </c>
      <c r="CF6" s="1191">
        <f t="shared" ref="CF6:CF14" si="0">SUM(BG6:BH6,BJ6:BK6)</f>
        <v>4216.0400624999993</v>
      </c>
      <c r="CG6" s="1191">
        <f t="shared" ref="CG6:CG14" si="1">SUM(BL6:BM6,BO6:BP6)</f>
        <v>4384.7927093749995</v>
      </c>
      <c r="CH6" s="1191">
        <f t="shared" ref="CH6:CH14" si="2">SUM(BQ6:BR6,BT6:BU6)</f>
        <v>4521.0559696093751</v>
      </c>
    </row>
    <row r="7" spans="1:86">
      <c r="A7" s="1445" t="s">
        <v>1065</v>
      </c>
      <c r="B7" s="1446"/>
      <c r="C7" s="1446"/>
      <c r="D7" s="1446"/>
      <c r="E7" s="1446"/>
      <c r="F7" s="1447"/>
      <c r="G7" s="1446"/>
      <c r="H7" s="1446"/>
      <c r="I7" s="1446"/>
      <c r="J7" s="1446"/>
      <c r="K7" s="1447"/>
      <c r="L7" s="1446"/>
      <c r="M7" s="1446"/>
      <c r="N7" s="1446"/>
      <c r="O7" s="1446"/>
      <c r="P7" s="1447"/>
      <c r="Q7" s="1446"/>
      <c r="R7" s="1446"/>
      <c r="S7" s="1446"/>
      <c r="T7" s="1446"/>
      <c r="U7" s="1447"/>
      <c r="V7" s="1446"/>
      <c r="W7" s="1446"/>
      <c r="X7" s="1446"/>
      <c r="Y7" s="1446"/>
      <c r="Z7" s="1447"/>
      <c r="AA7" s="1446"/>
      <c r="AB7" s="1446"/>
      <c r="AC7" s="1446"/>
      <c r="AD7" s="1446"/>
      <c r="AE7" s="1447"/>
      <c r="AF7" s="1448"/>
      <c r="AG7" s="1448"/>
      <c r="AH7" s="1448"/>
      <c r="AI7" s="1448"/>
      <c r="AJ7" s="1447"/>
      <c r="AK7" s="1448">
        <f>AK54</f>
        <v>65</v>
      </c>
      <c r="AL7" s="1448">
        <f>AL54</f>
        <v>75</v>
      </c>
      <c r="AM7" s="1448">
        <f>AM54</f>
        <v>98</v>
      </c>
      <c r="AN7" s="1448">
        <f>AN54</f>
        <v>138.69706640624997</v>
      </c>
      <c r="AO7" s="1447">
        <f t="shared" ref="AO7:AO14" si="3">SUM(AK7:AN7)</f>
        <v>376.69706640624997</v>
      </c>
      <c r="AP7" s="1448">
        <f>AP54</f>
        <v>169.63079062499997</v>
      </c>
      <c r="AQ7" s="1448">
        <f>AQ54</f>
        <v>214.04413124999996</v>
      </c>
      <c r="AR7" s="1448">
        <f>AR54</f>
        <v>276.55404375000001</v>
      </c>
      <c r="AS7" s="1448">
        <f>AS54</f>
        <v>329.23359375000007</v>
      </c>
      <c r="AT7" s="1447">
        <f t="shared" ref="AT7:AT14" si="4">SUM(AP7:AS7)</f>
        <v>989.46255937500007</v>
      </c>
      <c r="AU7" s="1448">
        <f>AU54</f>
        <v>390.32460937500002</v>
      </c>
      <c r="AV7" s="1448">
        <f>AV54</f>
        <v>436.654296875</v>
      </c>
      <c r="AW7" s="1448">
        <f>AW54</f>
        <v>470.654296875</v>
      </c>
      <c r="AX7" s="1448">
        <f>AX54</f>
        <v>489.779296875</v>
      </c>
      <c r="AY7" s="1447">
        <f t="shared" ref="AY7:AY11" si="5">SUM(AU7:AX7)</f>
        <v>1787.4124999999999</v>
      </c>
      <c r="AZ7" s="1448">
        <f>AZ54</f>
        <v>508.904296875</v>
      </c>
      <c r="BA7" s="1448">
        <f>BA54</f>
        <v>536.82460937500014</v>
      </c>
      <c r="BB7" s="1448">
        <f>BB54</f>
        <v>573.90585937500009</v>
      </c>
      <c r="BC7" s="1448">
        <f>BC54</f>
        <v>598.80585937500007</v>
      </c>
      <c r="BD7" s="1447">
        <f t="shared" ref="BD7:BD17" si="6">SUM(AZ7:BC7)</f>
        <v>2218.4406250000002</v>
      </c>
      <c r="BE7" s="1448">
        <f>BE54</f>
        <v>628.83984375</v>
      </c>
      <c r="BF7" s="1448">
        <f>BF54</f>
        <v>655.83984375</v>
      </c>
      <c r="BG7" s="1448">
        <f>BG54</f>
        <v>687.33984375</v>
      </c>
      <c r="BH7" s="1448">
        <f>BH54</f>
        <v>709.83984375000011</v>
      </c>
      <c r="BI7" s="1447">
        <f t="shared" ref="BI7:BI17" si="7">SUM(BE7:BH7)</f>
        <v>2681.859375</v>
      </c>
      <c r="BJ7" s="1448">
        <f>BJ54</f>
        <v>732.33984375</v>
      </c>
      <c r="BK7" s="1448">
        <f>BK54</f>
        <v>754.83984374999989</v>
      </c>
      <c r="BL7" s="1448">
        <f>BL54</f>
        <v>777.33984375000011</v>
      </c>
      <c r="BM7" s="1448">
        <f>BM54</f>
        <v>799.83984375000011</v>
      </c>
      <c r="BN7" s="1447">
        <f t="shared" ref="BN7:BN17" si="8">SUM(BJ7:BM7)</f>
        <v>3064.359375</v>
      </c>
      <c r="BO7" s="1448">
        <f>BO54</f>
        <v>820.08984375</v>
      </c>
      <c r="BP7" s="1448">
        <f>BP54</f>
        <v>840.33984375</v>
      </c>
      <c r="BQ7" s="1448">
        <f>BQ54</f>
        <v>860.58984375000011</v>
      </c>
      <c r="BR7" s="1448">
        <f>BR54</f>
        <v>880.83984375000011</v>
      </c>
      <c r="BS7" s="1447">
        <f t="shared" ref="BS7:BS17" si="9">SUM(BO7:BR7)</f>
        <v>3401.859375</v>
      </c>
      <c r="BT7" s="1448">
        <f>BT54</f>
        <v>898.83984375</v>
      </c>
      <c r="BU7" s="1448">
        <f>BU54</f>
        <v>916.83984375</v>
      </c>
      <c r="BV7" s="1448">
        <f>BV54</f>
        <v>934.83984375000011</v>
      </c>
      <c r="BW7" s="1448">
        <f>BW54</f>
        <v>952.83984375000011</v>
      </c>
      <c r="BX7" s="1447">
        <f t="shared" ref="BX7:BX17" si="10">SUM(BT7:BW7)</f>
        <v>3703.359375</v>
      </c>
      <c r="BY7" s="1343"/>
      <c r="BZ7" s="1447"/>
      <c r="CA7" s="1447"/>
      <c r="CB7" s="1447">
        <f t="shared" ref="CB7:CB17" si="11">SUM(AM7:AN7,AP7:AQ7)</f>
        <v>620.37198828124997</v>
      </c>
      <c r="CC7" s="1447">
        <f t="shared" ref="CC7:CC17" si="12">SUM(AR7:AS7,AU7:AV7)</f>
        <v>1432.76654375</v>
      </c>
      <c r="CD7" s="1447">
        <f t="shared" ref="CD7:CD17" si="13">SUM(AW7:AX7,AZ7:BA7)</f>
        <v>2006.1625000000001</v>
      </c>
      <c r="CE7" s="1447">
        <f t="shared" ref="CE7:CE17" si="14">SUM(BB7:BC7,BE7:BF7)</f>
        <v>2457.3914062500003</v>
      </c>
      <c r="CF7" s="1447">
        <f t="shared" si="0"/>
        <v>2884.359375</v>
      </c>
      <c r="CG7" s="1447">
        <f t="shared" si="1"/>
        <v>3237.609375</v>
      </c>
      <c r="CH7" s="1447">
        <f t="shared" si="2"/>
        <v>3557.109375</v>
      </c>
    </row>
    <row r="8" spans="1:86">
      <c r="A8" s="1449" t="s">
        <v>942</v>
      </c>
      <c r="B8" s="1450"/>
      <c r="C8" s="1450"/>
      <c r="D8" s="1450"/>
      <c r="E8" s="1450"/>
      <c r="F8" s="1451"/>
      <c r="G8" s="1450"/>
      <c r="H8" s="1450"/>
      <c r="I8" s="1450"/>
      <c r="J8" s="1450"/>
      <c r="K8" s="1451"/>
      <c r="L8" s="1450"/>
      <c r="M8" s="1450"/>
      <c r="N8" s="1450"/>
      <c r="O8" s="1450"/>
      <c r="P8" s="1451"/>
      <c r="Q8" s="1450"/>
      <c r="R8" s="1450"/>
      <c r="S8" s="1450"/>
      <c r="T8" s="1450"/>
      <c r="U8" s="1451"/>
      <c r="V8" s="1450"/>
      <c r="W8" s="1450"/>
      <c r="X8" s="1450"/>
      <c r="Y8" s="1450"/>
      <c r="Z8" s="1451"/>
      <c r="AA8" s="1450"/>
      <c r="AB8" s="1450"/>
      <c r="AC8" s="1450"/>
      <c r="AD8" s="1450"/>
      <c r="AE8" s="1451"/>
      <c r="AF8" s="1450"/>
      <c r="AG8" s="1450"/>
      <c r="AH8" s="1450"/>
      <c r="AI8" s="1450"/>
      <c r="AJ8" s="1451"/>
      <c r="AK8" s="1450"/>
      <c r="AL8" s="1450"/>
      <c r="AM8" s="1450"/>
      <c r="AN8" s="1450"/>
      <c r="AO8" s="1451"/>
      <c r="AP8" s="1450"/>
      <c r="AQ8" s="1450"/>
      <c r="AR8" s="1450"/>
      <c r="AS8" s="1450"/>
      <c r="AT8" s="1451"/>
      <c r="AU8" s="1450"/>
      <c r="AV8" s="1450"/>
      <c r="AW8" s="1450"/>
      <c r="AX8" s="1450"/>
      <c r="AY8" s="1451"/>
      <c r="AZ8" s="1450">
        <f>AZ57</f>
        <v>376.2</v>
      </c>
      <c r="BA8" s="1450">
        <f>BA57</f>
        <v>304.99999999999994</v>
      </c>
      <c r="BB8" s="1450">
        <f>BB57</f>
        <v>363.99999999999949</v>
      </c>
      <c r="BC8" s="1450">
        <f>BC57</f>
        <v>503.99999999999994</v>
      </c>
      <c r="BD8" s="1451">
        <f t="shared" si="6"/>
        <v>1549.1999999999994</v>
      </c>
      <c r="BE8" s="1450">
        <f>BE57</f>
        <v>361.15199999999993</v>
      </c>
      <c r="BF8" s="1450">
        <f>BF57</f>
        <v>285.17499999999995</v>
      </c>
      <c r="BG8" s="1450">
        <f>BG57</f>
        <v>358.53999999999951</v>
      </c>
      <c r="BH8" s="1450">
        <f>BH57</f>
        <v>448</v>
      </c>
      <c r="BI8" s="1451">
        <f t="shared" si="7"/>
        <v>1452.8669999999993</v>
      </c>
      <c r="BJ8" s="1450">
        <f>BJ57</f>
        <v>293.43599999999998</v>
      </c>
      <c r="BK8" s="1450">
        <f>BK57</f>
        <v>231.70468749999995</v>
      </c>
      <c r="BL8" s="1450">
        <f>BL57</f>
        <v>291.31374999999957</v>
      </c>
      <c r="BM8" s="1450">
        <f>BM57</f>
        <v>409.5</v>
      </c>
      <c r="BN8" s="1451">
        <f t="shared" si="8"/>
        <v>1225.9544374999996</v>
      </c>
      <c r="BO8" s="1450">
        <f>BO57</f>
        <v>249.42059999999995</v>
      </c>
      <c r="BP8" s="1450">
        <f>BP57</f>
        <v>196.94898437499995</v>
      </c>
      <c r="BQ8" s="1450">
        <f>BQ57</f>
        <v>247.61668749999964</v>
      </c>
      <c r="BR8" s="1450">
        <f>BR57</f>
        <v>348.07499999999999</v>
      </c>
      <c r="BS8" s="1451">
        <f t="shared" si="9"/>
        <v>1042.0612718749996</v>
      </c>
      <c r="BT8" s="1450">
        <f>BT57</f>
        <v>205.77199499999995</v>
      </c>
      <c r="BU8" s="1450">
        <f>BU57</f>
        <v>162.48291210937498</v>
      </c>
      <c r="BV8" s="1450">
        <f>BV57</f>
        <v>204.28376718749971</v>
      </c>
      <c r="BW8" s="1450">
        <f>BW57</f>
        <v>287.16187499999995</v>
      </c>
      <c r="BX8" s="1451">
        <f t="shared" si="10"/>
        <v>859.70054929687467</v>
      </c>
      <c r="BY8" s="1343"/>
      <c r="BZ8" s="1451"/>
      <c r="CA8" s="1451"/>
      <c r="CB8" s="1451">
        <f t="shared" si="11"/>
        <v>0</v>
      </c>
      <c r="CC8" s="1451">
        <f t="shared" si="12"/>
        <v>0</v>
      </c>
      <c r="CD8" s="1451">
        <f t="shared" si="13"/>
        <v>681.19999999999993</v>
      </c>
      <c r="CE8" s="1451">
        <f t="shared" si="14"/>
        <v>1514.3269999999993</v>
      </c>
      <c r="CF8" s="1451">
        <f t="shared" si="0"/>
        <v>1331.6806874999993</v>
      </c>
      <c r="CG8" s="1451">
        <f t="shared" si="1"/>
        <v>1147.1833343749995</v>
      </c>
      <c r="CH8" s="1451">
        <f t="shared" si="2"/>
        <v>963.94659460937453</v>
      </c>
    </row>
    <row r="9" spans="1:86">
      <c r="A9" s="986" t="s">
        <v>1449</v>
      </c>
      <c r="B9" s="1345"/>
      <c r="C9" s="1345"/>
      <c r="D9" s="1345"/>
      <c r="E9" s="1345"/>
      <c r="F9" s="1346"/>
      <c r="G9" s="1345"/>
      <c r="H9" s="1345"/>
      <c r="I9" s="1345"/>
      <c r="J9" s="1345"/>
      <c r="K9" s="1346"/>
      <c r="L9" s="1345"/>
      <c r="M9" s="1345"/>
      <c r="N9" s="1345"/>
      <c r="O9" s="1345"/>
      <c r="P9" s="1346"/>
      <c r="Q9" s="1345"/>
      <c r="R9" s="1345"/>
      <c r="S9" s="1345"/>
      <c r="T9" s="1345"/>
      <c r="U9" s="1346"/>
      <c r="V9" s="1345"/>
      <c r="W9" s="1345"/>
      <c r="X9" s="1345"/>
      <c r="Y9" s="1345"/>
      <c r="Z9" s="1346"/>
      <c r="AA9" s="1345"/>
      <c r="AB9" s="1345"/>
      <c r="AC9" s="1345"/>
      <c r="AD9" s="1345"/>
      <c r="AE9" s="1346"/>
      <c r="AF9" s="1347"/>
      <c r="AG9" s="1347"/>
      <c r="AH9" s="1347"/>
      <c r="AI9" s="1347"/>
      <c r="AJ9" s="1346"/>
      <c r="AK9" s="1001"/>
      <c r="AL9" s="1001"/>
      <c r="AM9" s="1001"/>
      <c r="AN9" s="1001"/>
      <c r="AO9" s="1000"/>
      <c r="AP9" s="1001"/>
      <c r="AQ9" s="1001"/>
      <c r="AR9" s="1001"/>
      <c r="AS9" s="1001"/>
      <c r="AT9" s="1000"/>
      <c r="AU9" s="1001"/>
      <c r="AV9" s="1001"/>
      <c r="AW9" s="1001"/>
      <c r="AX9" s="1001"/>
      <c r="AY9" s="1000"/>
      <c r="AZ9" s="1001">
        <f>AZ10+AZ11</f>
        <v>5252.8203931650005</v>
      </c>
      <c r="BA9" s="1001">
        <f>BA10+BA11</f>
        <v>5647.4159</v>
      </c>
      <c r="BB9" s="1001">
        <f>BB10+BB11</f>
        <v>5407.4124199999997</v>
      </c>
      <c r="BC9" s="1001">
        <f>BC10+BC11</f>
        <v>5926.09566</v>
      </c>
      <c r="BD9" s="1000">
        <f t="shared" si="6"/>
        <v>22233.744373164998</v>
      </c>
      <c r="BE9" s="1001">
        <f>BE10+BE11</f>
        <v>5755.3196120427747</v>
      </c>
      <c r="BF9" s="1001">
        <f>BF10+BF11</f>
        <v>6193.5527604999997</v>
      </c>
      <c r="BG9" s="1001">
        <f>BG10+BG11</f>
        <v>6165.1438329999992</v>
      </c>
      <c r="BH9" s="1001">
        <f>BH10+BH11</f>
        <v>6464.0716015999997</v>
      </c>
      <c r="BI9" s="1191">
        <f t="shared" si="7"/>
        <v>24578.087807142772</v>
      </c>
      <c r="BJ9" s="1001">
        <f>BJ10+BJ11</f>
        <v>6415.5978543592191</v>
      </c>
      <c r="BK9" s="1001">
        <f>BK10+BK11</f>
        <v>6852.7151451499994</v>
      </c>
      <c r="BL9" s="1001">
        <f>BL10+BL11</f>
        <v>7066.3413706099991</v>
      </c>
      <c r="BM9" s="1001">
        <f>BM10+BM11</f>
        <v>7347.4064885119997</v>
      </c>
      <c r="BN9" s="1191">
        <f t="shared" si="8"/>
        <v>27682.060858631216</v>
      </c>
      <c r="BO9" s="1001">
        <f>BO10+BO11</f>
        <v>7300.5219121189994</v>
      </c>
      <c r="BP9" s="1001">
        <f>BP10+BP11</f>
        <v>7731.683660076249</v>
      </c>
      <c r="BQ9" s="1001">
        <f>BQ10+BQ11</f>
        <v>8240.0428642954248</v>
      </c>
      <c r="BR9" s="1001">
        <f>BR10+BR11</f>
        <v>8446.6182358076803</v>
      </c>
      <c r="BS9" s="1191">
        <f t="shared" si="9"/>
        <v>31718.866672298354</v>
      </c>
      <c r="BT9" s="1001">
        <f>BT10+BT11</f>
        <v>8203.8855162047712</v>
      </c>
      <c r="BU9" s="1001">
        <f>BU10+BU11</f>
        <v>8576.3175251210614</v>
      </c>
      <c r="BV9" s="1001">
        <f>BV10+BV11</f>
        <v>9421.8532606794342</v>
      </c>
      <c r="BW9" s="1001">
        <f>BW10+BW11</f>
        <v>9479.5411303292167</v>
      </c>
      <c r="BX9" s="1191">
        <f t="shared" si="10"/>
        <v>35681.597432334485</v>
      </c>
      <c r="BY9" s="1343"/>
      <c r="BZ9" s="1191"/>
      <c r="CA9" s="1191"/>
      <c r="CB9" s="1191">
        <f t="shared" si="11"/>
        <v>0</v>
      </c>
      <c r="CC9" s="1191">
        <f t="shared" si="12"/>
        <v>0</v>
      </c>
      <c r="CD9" s="1191">
        <f t="shared" si="13"/>
        <v>10900.236293165</v>
      </c>
      <c r="CE9" s="1191">
        <f t="shared" si="14"/>
        <v>23282.380452542773</v>
      </c>
      <c r="CF9" s="1191">
        <f t="shared" si="0"/>
        <v>25897.528434109216</v>
      </c>
      <c r="CG9" s="1191">
        <f t="shared" si="1"/>
        <v>29445.953431317248</v>
      </c>
      <c r="CH9" s="1191">
        <f t="shared" si="2"/>
        <v>33466.864141428938</v>
      </c>
    </row>
    <row r="10" spans="1:86">
      <c r="A10" s="1445" t="s">
        <v>1478</v>
      </c>
      <c r="B10" s="1446"/>
      <c r="C10" s="1446"/>
      <c r="D10" s="1446"/>
      <c r="E10" s="1446"/>
      <c r="F10" s="1447"/>
      <c r="G10" s="1446"/>
      <c r="H10" s="1446"/>
      <c r="I10" s="1446"/>
      <c r="J10" s="1446"/>
      <c r="K10" s="1447"/>
      <c r="L10" s="1446"/>
      <c r="M10" s="1446"/>
      <c r="N10" s="1446"/>
      <c r="O10" s="1446"/>
      <c r="P10" s="1447"/>
      <c r="Q10" s="1446"/>
      <c r="R10" s="1446"/>
      <c r="S10" s="1446"/>
      <c r="T10" s="1446"/>
      <c r="U10" s="1447"/>
      <c r="V10" s="1446"/>
      <c r="W10" s="1446"/>
      <c r="X10" s="1446"/>
      <c r="Y10" s="1446"/>
      <c r="Z10" s="1447"/>
      <c r="AA10" s="1446"/>
      <c r="AB10" s="1446"/>
      <c r="AC10" s="1446"/>
      <c r="AD10" s="1446"/>
      <c r="AE10" s="1447"/>
      <c r="AF10" s="1448"/>
      <c r="AG10" s="1448"/>
      <c r="AH10" s="1448"/>
      <c r="AI10" s="1448"/>
      <c r="AJ10" s="1447"/>
      <c r="AK10" s="1448"/>
      <c r="AL10" s="1448"/>
      <c r="AM10" s="1448"/>
      <c r="AN10" s="1448"/>
      <c r="AO10" s="1447"/>
      <c r="AP10" s="1448"/>
      <c r="AQ10" s="1448"/>
      <c r="AR10" s="1448"/>
      <c r="AS10" s="1448"/>
      <c r="AT10" s="1447"/>
      <c r="AU10" s="1448"/>
      <c r="AV10" s="1448"/>
      <c r="AW10" s="1448"/>
      <c r="AX10" s="1448"/>
      <c r="AY10" s="1447"/>
      <c r="AZ10" s="1448">
        <f>AZ63</f>
        <v>2912.2826431650001</v>
      </c>
      <c r="BA10" s="1448">
        <f>BA63</f>
        <v>3131.5109000000002</v>
      </c>
      <c r="BB10" s="1448">
        <f>BB63</f>
        <v>2667.0748199999994</v>
      </c>
      <c r="BC10" s="1448">
        <f>BC63</f>
        <v>2848.9616000000001</v>
      </c>
      <c r="BD10" s="1447">
        <f t="shared" si="6"/>
        <v>11559.829963165001</v>
      </c>
      <c r="BE10" s="1448">
        <f>BE63</f>
        <v>2431.7560070427749</v>
      </c>
      <c r="BF10" s="1448">
        <f>BF63</f>
        <v>2646.1267105000002</v>
      </c>
      <c r="BG10" s="1448">
        <f>BG63</f>
        <v>2267.0135969999992</v>
      </c>
      <c r="BH10" s="1448">
        <f>BH63</f>
        <v>2279.1692800000001</v>
      </c>
      <c r="BI10" s="1447">
        <f t="shared" si="7"/>
        <v>9624.0655945427752</v>
      </c>
      <c r="BJ10" s="1448">
        <f>BJ63</f>
        <v>1945.4048056342199</v>
      </c>
      <c r="BK10" s="1448">
        <f>BK63</f>
        <v>2116.9013684000001</v>
      </c>
      <c r="BL10" s="1448">
        <f>BL63</f>
        <v>1813.6108775999994</v>
      </c>
      <c r="BM10" s="1448">
        <f>BM63</f>
        <v>1823.3354240000001</v>
      </c>
      <c r="BN10" s="1447">
        <f t="shared" si="8"/>
        <v>7699.2524756342191</v>
      </c>
      <c r="BO10" s="1448">
        <f>BO63</f>
        <v>1556.323844507376</v>
      </c>
      <c r="BP10" s="1448">
        <f>BP63</f>
        <v>1693.5210947200003</v>
      </c>
      <c r="BQ10" s="1448">
        <f>BQ63</f>
        <v>1450.8887020799996</v>
      </c>
      <c r="BR10" s="1448">
        <f>BR63</f>
        <v>1458.6683392000002</v>
      </c>
      <c r="BS10" s="1447">
        <f t="shared" si="9"/>
        <v>6159.4019805073758</v>
      </c>
      <c r="BT10" s="1448">
        <f>BT63</f>
        <v>1167.242883380532</v>
      </c>
      <c r="BU10" s="1448">
        <f>BU63</f>
        <v>1270.1408210400002</v>
      </c>
      <c r="BV10" s="1448">
        <f>BV63</f>
        <v>1088.1665265599997</v>
      </c>
      <c r="BW10" s="1448">
        <f>BW63</f>
        <v>1094.0012544000001</v>
      </c>
      <c r="BX10" s="1447">
        <f t="shared" si="10"/>
        <v>4619.5514853805316</v>
      </c>
      <c r="BY10" s="1343"/>
      <c r="BZ10" s="1447"/>
      <c r="CA10" s="1447"/>
      <c r="CB10" s="1447">
        <f t="shared" si="11"/>
        <v>0</v>
      </c>
      <c r="CC10" s="1447">
        <f t="shared" si="12"/>
        <v>0</v>
      </c>
      <c r="CD10" s="1447">
        <f t="shared" si="13"/>
        <v>6043.7935431650003</v>
      </c>
      <c r="CE10" s="1447">
        <f t="shared" si="14"/>
        <v>10593.919137542774</v>
      </c>
      <c r="CF10" s="1447">
        <f t="shared" si="0"/>
        <v>8608.4890510342193</v>
      </c>
      <c r="CG10" s="1447">
        <f t="shared" si="1"/>
        <v>6886.791240827376</v>
      </c>
      <c r="CH10" s="1447">
        <f t="shared" si="2"/>
        <v>5346.9407457005318</v>
      </c>
    </row>
    <row r="11" spans="1:86">
      <c r="A11" s="1449" t="s">
        <v>989</v>
      </c>
      <c r="B11" s="1450"/>
      <c r="C11" s="1450"/>
      <c r="D11" s="1450"/>
      <c r="E11" s="1450"/>
      <c r="F11" s="1451"/>
      <c r="G11" s="1450"/>
      <c r="H11" s="1450"/>
      <c r="I11" s="1450"/>
      <c r="J11" s="1450"/>
      <c r="K11" s="1451"/>
      <c r="L11" s="1450"/>
      <c r="M11" s="1450"/>
      <c r="N11" s="1450"/>
      <c r="O11" s="1450"/>
      <c r="P11" s="1451"/>
      <c r="Q11" s="1450"/>
      <c r="R11" s="1450"/>
      <c r="S11" s="1450"/>
      <c r="T11" s="1450"/>
      <c r="U11" s="1451"/>
      <c r="V11" s="1450"/>
      <c r="W11" s="1450"/>
      <c r="X11" s="1450"/>
      <c r="Y11" s="1450"/>
      <c r="Z11" s="1451"/>
      <c r="AA11" s="1450"/>
      <c r="AB11" s="1450"/>
      <c r="AC11" s="1450"/>
      <c r="AD11" s="1450"/>
      <c r="AE11" s="1451"/>
      <c r="AF11" s="1450"/>
      <c r="AG11" s="1450"/>
      <c r="AH11" s="1450"/>
      <c r="AI11" s="1450"/>
      <c r="AJ11" s="1451"/>
      <c r="AK11" s="1450">
        <f>AK66</f>
        <v>415</v>
      </c>
      <c r="AL11" s="1450">
        <f>AL66</f>
        <v>500</v>
      </c>
      <c r="AM11" s="1450">
        <f>AM66</f>
        <v>590</v>
      </c>
      <c r="AN11" s="1450">
        <f>AN66</f>
        <v>785</v>
      </c>
      <c r="AO11" s="1451">
        <f t="shared" si="3"/>
        <v>2290</v>
      </c>
      <c r="AP11" s="1450">
        <f>AP66</f>
        <v>933.75</v>
      </c>
      <c r="AQ11" s="1450">
        <f>AQ66</f>
        <v>1050</v>
      </c>
      <c r="AR11" s="1450">
        <f>AR66</f>
        <v>1227.2</v>
      </c>
      <c r="AS11" s="1450">
        <f>AS66</f>
        <v>1397.3</v>
      </c>
      <c r="AT11" s="1451">
        <f t="shared" si="4"/>
        <v>4608.25</v>
      </c>
      <c r="AU11" s="1450">
        <f>AU66</f>
        <v>1550.0250000000001</v>
      </c>
      <c r="AV11" s="1450">
        <f>AV66</f>
        <v>1711.5</v>
      </c>
      <c r="AW11" s="1450">
        <f>AW66</f>
        <v>1889.8880000000001</v>
      </c>
      <c r="AX11" s="1450">
        <f>AX66</f>
        <v>2151.8420000000001</v>
      </c>
      <c r="AY11" s="1451">
        <f t="shared" si="5"/>
        <v>7303.255000000001</v>
      </c>
      <c r="AZ11" s="1450">
        <f>AZ66</f>
        <v>2340.53775</v>
      </c>
      <c r="BA11" s="1450">
        <f>BA66</f>
        <v>2515.9049999999997</v>
      </c>
      <c r="BB11" s="1450">
        <f>BB66</f>
        <v>2740.3376000000003</v>
      </c>
      <c r="BC11" s="1450">
        <f>BC66</f>
        <v>3077.1340599999999</v>
      </c>
      <c r="BD11" s="1451">
        <f t="shared" si="6"/>
        <v>10673.914410000001</v>
      </c>
      <c r="BE11" s="1450">
        <f>BE66</f>
        <v>3323.5636049999998</v>
      </c>
      <c r="BF11" s="1450">
        <f>BF66</f>
        <v>3547.4260499999996</v>
      </c>
      <c r="BG11" s="1450">
        <f>BG66</f>
        <v>3898.130236</v>
      </c>
      <c r="BH11" s="1450">
        <f>BH66</f>
        <v>4184.9023215999996</v>
      </c>
      <c r="BI11" s="1451">
        <f t="shared" si="7"/>
        <v>14954.022212599997</v>
      </c>
      <c r="BJ11" s="1450">
        <f>BJ66</f>
        <v>4470.1930487249992</v>
      </c>
      <c r="BK11" s="1450">
        <f>BK66</f>
        <v>4735.8137767499993</v>
      </c>
      <c r="BL11" s="1450">
        <f>BL66</f>
        <v>5252.7304930099999</v>
      </c>
      <c r="BM11" s="1450">
        <f>BM66</f>
        <v>5524.0710645119998</v>
      </c>
      <c r="BN11" s="1451">
        <f t="shared" si="8"/>
        <v>19982.808382996998</v>
      </c>
      <c r="BO11" s="1450">
        <f>BO66</f>
        <v>5744.1980676116236</v>
      </c>
      <c r="BP11" s="1450">
        <f>BP66</f>
        <v>6038.1625653562487</v>
      </c>
      <c r="BQ11" s="1450">
        <f>BQ66</f>
        <v>6789.1541622154245</v>
      </c>
      <c r="BR11" s="1450">
        <f>BR66</f>
        <v>6987.9498966076808</v>
      </c>
      <c r="BS11" s="1451">
        <f t="shared" si="9"/>
        <v>25559.464691790978</v>
      </c>
      <c r="BT11" s="1450">
        <f>BT66</f>
        <v>7036.6426328242396</v>
      </c>
      <c r="BU11" s="1450">
        <f>BU66</f>
        <v>7306.176704081061</v>
      </c>
      <c r="BV11" s="1450">
        <f>BV66</f>
        <v>8333.6867341194338</v>
      </c>
      <c r="BW11" s="1450">
        <f>BW66</f>
        <v>8385.5398759292166</v>
      </c>
      <c r="BX11" s="1451">
        <f t="shared" si="10"/>
        <v>31062.045946953949</v>
      </c>
      <c r="BY11" s="1343"/>
      <c r="BZ11" s="1451"/>
      <c r="CA11" s="1451"/>
      <c r="CB11" s="1451">
        <f t="shared" si="11"/>
        <v>3358.75</v>
      </c>
      <c r="CC11" s="1451">
        <f t="shared" si="12"/>
        <v>5886.0249999999996</v>
      </c>
      <c r="CD11" s="1451">
        <f t="shared" si="13"/>
        <v>8898.1727500000015</v>
      </c>
      <c r="CE11" s="1451">
        <f t="shared" si="14"/>
        <v>12688.461315</v>
      </c>
      <c r="CF11" s="1451">
        <f t="shared" si="0"/>
        <v>17289.039383074996</v>
      </c>
      <c r="CG11" s="1451">
        <f t="shared" si="1"/>
        <v>22559.162190489871</v>
      </c>
      <c r="CH11" s="1451">
        <f t="shared" si="2"/>
        <v>28119.923395728401</v>
      </c>
    </row>
    <row r="12" spans="1:86">
      <c r="A12" s="986" t="s">
        <v>1445</v>
      </c>
      <c r="B12" s="1345"/>
      <c r="C12" s="1345"/>
      <c r="D12" s="1345"/>
      <c r="E12" s="1345"/>
      <c r="F12" s="1346"/>
      <c r="G12" s="1345"/>
      <c r="H12" s="1345"/>
      <c r="I12" s="1345"/>
      <c r="J12" s="1345"/>
      <c r="K12" s="1346"/>
      <c r="L12" s="1345"/>
      <c r="M12" s="1345"/>
      <c r="N12" s="1345"/>
      <c r="O12" s="1345"/>
      <c r="P12" s="1346"/>
      <c r="Q12" s="1345"/>
      <c r="R12" s="1345"/>
      <c r="S12" s="1345"/>
      <c r="T12" s="1345"/>
      <c r="U12" s="1346"/>
      <c r="V12" s="1345"/>
      <c r="W12" s="1345"/>
      <c r="X12" s="1345"/>
      <c r="Y12" s="1345"/>
      <c r="Z12" s="1346"/>
      <c r="AA12" s="1345"/>
      <c r="AB12" s="1345"/>
      <c r="AC12" s="1345"/>
      <c r="AD12" s="1345"/>
      <c r="AE12" s="1346"/>
      <c r="AF12" s="1347"/>
      <c r="AG12" s="1347"/>
      <c r="AH12" s="1347"/>
      <c r="AI12" s="1347"/>
      <c r="AJ12" s="1346"/>
      <c r="AK12" s="1001"/>
      <c r="AL12" s="1001"/>
      <c r="AM12" s="1001"/>
      <c r="AN12" s="1001"/>
      <c r="AO12" s="1000"/>
      <c r="AP12" s="1001"/>
      <c r="AQ12" s="1001"/>
      <c r="AR12" s="1001"/>
      <c r="AS12" s="1001"/>
      <c r="AT12" s="1000"/>
      <c r="AU12" s="1001"/>
      <c r="AV12" s="1001"/>
      <c r="AW12" s="1001"/>
      <c r="AX12" s="1001"/>
      <c r="AY12" s="1000"/>
      <c r="AZ12" s="1001">
        <f>AZ13+AZ14</f>
        <v>433.81670200000002</v>
      </c>
      <c r="BA12" s="1001">
        <f t="shared" ref="BA12:BC12" si="15">BA13+BA14</f>
        <v>476.0992</v>
      </c>
      <c r="BB12" s="1001">
        <f t="shared" si="15"/>
        <v>543.71600000000001</v>
      </c>
      <c r="BC12" s="1001">
        <f t="shared" si="15"/>
        <v>685.93204750000007</v>
      </c>
      <c r="BD12" s="1000">
        <f t="shared" si="6"/>
        <v>2139.5639495</v>
      </c>
      <c r="BE12" s="1001">
        <f>BE13+BE14</f>
        <v>488.83503392</v>
      </c>
      <c r="BF12" s="1001">
        <f t="shared" ref="BF12:BG12" si="16">BF13+BF14</f>
        <v>521.50825599999996</v>
      </c>
      <c r="BG12" s="1001">
        <f t="shared" si="16"/>
        <v>634.19938999999999</v>
      </c>
      <c r="BH12" s="1001">
        <f t="shared" ref="BG12:BH12" si="17">BH13+BH14</f>
        <v>755.42578726250008</v>
      </c>
      <c r="BI12" s="1000">
        <f t="shared" si="7"/>
        <v>2399.9684671824998</v>
      </c>
      <c r="BJ12" s="1001">
        <f>BJ13+BJ14</f>
        <v>557.00483052799996</v>
      </c>
      <c r="BK12" s="1001">
        <f t="shared" ref="BK12:BM12" si="18">BK13+BK14</f>
        <v>588.40839039999992</v>
      </c>
      <c r="BL12" s="1001">
        <f t="shared" si="18"/>
        <v>689.46332299999995</v>
      </c>
      <c r="BM12" s="1001">
        <f t="shared" si="18"/>
        <v>794.06862053625002</v>
      </c>
      <c r="BN12" s="1000">
        <f t="shared" si="8"/>
        <v>2628.94516446425</v>
      </c>
      <c r="BO12" s="1001">
        <f>BO13+BO14</f>
        <v>656.48357947520003</v>
      </c>
      <c r="BP12" s="1001">
        <f t="shared" ref="BP12:BR12" si="19">BP13+BP14</f>
        <v>683.00113935999991</v>
      </c>
      <c r="BQ12" s="1001">
        <f t="shared" si="19"/>
        <v>769.02018553999994</v>
      </c>
      <c r="BR12" s="1001">
        <f t="shared" si="19"/>
        <v>853.16304756262502</v>
      </c>
      <c r="BS12" s="1000">
        <f t="shared" si="9"/>
        <v>2961.6679519378249</v>
      </c>
      <c r="BT12" s="1001">
        <f>BT13+BT14</f>
        <v>769.02378792768002</v>
      </c>
      <c r="BU12" s="1001">
        <f t="shared" ref="BU12:BW12" si="20">BU13+BU14</f>
        <v>780.54878554399988</v>
      </c>
      <c r="BV12" s="1001">
        <f t="shared" si="20"/>
        <v>842.16351038779999</v>
      </c>
      <c r="BW12" s="1001">
        <f t="shared" si="20"/>
        <v>897.50090872676242</v>
      </c>
      <c r="BX12" s="1000">
        <f t="shared" si="10"/>
        <v>3289.2369925862422</v>
      </c>
      <c r="BY12" s="1343"/>
      <c r="BZ12" s="1191"/>
      <c r="CA12" s="1191"/>
      <c r="CB12" s="1191">
        <f t="shared" si="11"/>
        <v>0</v>
      </c>
      <c r="CC12" s="1191">
        <f t="shared" si="12"/>
        <v>0</v>
      </c>
      <c r="CD12" s="1191">
        <f t="shared" si="13"/>
        <v>909.91590199999996</v>
      </c>
      <c r="CE12" s="1191">
        <f t="shared" si="14"/>
        <v>2239.99133742</v>
      </c>
      <c r="CF12" s="1191">
        <f t="shared" si="0"/>
        <v>2535.0383981904997</v>
      </c>
      <c r="CG12" s="1191">
        <f t="shared" si="1"/>
        <v>2823.0166623714495</v>
      </c>
      <c r="CH12" s="1191">
        <f t="shared" si="2"/>
        <v>3171.7558065743051</v>
      </c>
    </row>
    <row r="13" spans="1:86">
      <c r="A13" s="1445" t="s">
        <v>1446</v>
      </c>
      <c r="B13" s="1446"/>
      <c r="C13" s="1446"/>
      <c r="D13" s="1446"/>
      <c r="E13" s="1446"/>
      <c r="F13" s="1447"/>
      <c r="G13" s="1446"/>
      <c r="H13" s="1446"/>
      <c r="I13" s="1446"/>
      <c r="J13" s="1446"/>
      <c r="K13" s="1447"/>
      <c r="L13" s="1446"/>
      <c r="M13" s="1446"/>
      <c r="N13" s="1446"/>
      <c r="O13" s="1446"/>
      <c r="P13" s="1447"/>
      <c r="Q13" s="1446"/>
      <c r="R13" s="1446"/>
      <c r="S13" s="1446"/>
      <c r="T13" s="1446"/>
      <c r="U13" s="1447"/>
      <c r="V13" s="1446"/>
      <c r="W13" s="1446"/>
      <c r="X13" s="1446"/>
      <c r="Y13" s="1446"/>
      <c r="Z13" s="1447"/>
      <c r="AA13" s="1446"/>
      <c r="AB13" s="1446"/>
      <c r="AC13" s="1446"/>
      <c r="AD13" s="1446"/>
      <c r="AE13" s="1447"/>
      <c r="AF13" s="1448"/>
      <c r="AG13" s="1448"/>
      <c r="AH13" s="1448"/>
      <c r="AI13" s="1448"/>
      <c r="AJ13" s="1447"/>
      <c r="AK13" s="1448"/>
      <c r="AL13" s="1448"/>
      <c r="AM13" s="1448"/>
      <c r="AN13" s="1448"/>
      <c r="AO13" s="1447"/>
      <c r="AP13" s="1448"/>
      <c r="AQ13" s="1448"/>
      <c r="AR13" s="1448"/>
      <c r="AS13" s="1448"/>
      <c r="AT13" s="1447"/>
      <c r="AU13" s="1448"/>
      <c r="AV13" s="1448"/>
      <c r="AW13" s="1448"/>
      <c r="AX13" s="1448"/>
      <c r="AY13" s="1447"/>
      <c r="AZ13" s="1448">
        <f>AZ72</f>
        <v>335.01670200000001</v>
      </c>
      <c r="BA13" s="1448">
        <f t="shared" ref="BA13:BC13" si="21">BA72</f>
        <v>369.69920000000002</v>
      </c>
      <c r="BB13" s="1448">
        <f t="shared" si="21"/>
        <v>431.49599999999998</v>
      </c>
      <c r="BC13" s="1448">
        <f t="shared" si="21"/>
        <v>571.09204750000004</v>
      </c>
      <c r="BD13" s="1447">
        <f t="shared" si="6"/>
        <v>1707.3039495</v>
      </c>
      <c r="BE13" s="1448">
        <f>BE72</f>
        <v>321.61603392000001</v>
      </c>
      <c r="BF13" s="1448">
        <f t="shared" ref="BF13:BG13" si="22">BF72</f>
        <v>343.82025599999997</v>
      </c>
      <c r="BG13" s="1448">
        <f t="shared" si="22"/>
        <v>448.75583999999998</v>
      </c>
      <c r="BH13" s="1448">
        <f t="shared" ref="BG13:BH13" si="23">BH72</f>
        <v>568.23658726250005</v>
      </c>
      <c r="BI13" s="1447">
        <f t="shared" si="7"/>
        <v>1682.4287171825001</v>
      </c>
      <c r="BJ13" s="1448">
        <f>BJ72</f>
        <v>289.45443052799999</v>
      </c>
      <c r="BK13" s="1448">
        <f t="shared" ref="BK13:BM13" si="24">BK72</f>
        <v>309.43823040000001</v>
      </c>
      <c r="BL13" s="1448">
        <f t="shared" si="24"/>
        <v>403.88025599999997</v>
      </c>
      <c r="BM13" s="1448">
        <f t="shared" si="24"/>
        <v>511.41292853625004</v>
      </c>
      <c r="BN13" s="1447">
        <f t="shared" si="8"/>
        <v>1514.18584546425</v>
      </c>
      <c r="BO13" s="1448">
        <f>BO72</f>
        <v>260.5089874752</v>
      </c>
      <c r="BP13" s="1448">
        <f t="shared" ref="BP13:BR13" si="25">BP72</f>
        <v>278.49440736000003</v>
      </c>
      <c r="BQ13" s="1448">
        <f t="shared" si="25"/>
        <v>363.49223039999998</v>
      </c>
      <c r="BR13" s="1448">
        <f t="shared" si="25"/>
        <v>460.27163568262506</v>
      </c>
      <c r="BS13" s="1447">
        <f t="shared" si="9"/>
        <v>1362.7672609178248</v>
      </c>
      <c r="BT13" s="1448">
        <f>BT72</f>
        <v>234.45808872768001</v>
      </c>
      <c r="BU13" s="1448">
        <f t="shared" ref="BU13:BW13" si="26">BU72</f>
        <v>250.64496662400003</v>
      </c>
      <c r="BV13" s="1448">
        <f t="shared" si="26"/>
        <v>327.14300736000001</v>
      </c>
      <c r="BW13" s="1448">
        <f t="shared" si="26"/>
        <v>414.24447211436257</v>
      </c>
      <c r="BX13" s="1447">
        <f t="shared" si="10"/>
        <v>1226.4905348260427</v>
      </c>
      <c r="BY13" s="1343"/>
      <c r="BZ13" s="1447"/>
      <c r="CA13" s="1447"/>
      <c r="CB13" s="1447">
        <f t="shared" si="11"/>
        <v>0</v>
      </c>
      <c r="CC13" s="1447">
        <f t="shared" si="12"/>
        <v>0</v>
      </c>
      <c r="CD13" s="1447">
        <f t="shared" si="13"/>
        <v>704.71590200000003</v>
      </c>
      <c r="CE13" s="1447">
        <f t="shared" si="14"/>
        <v>1668.0243374199999</v>
      </c>
      <c r="CF13" s="1447">
        <f t="shared" si="0"/>
        <v>1615.8850881905</v>
      </c>
      <c r="CG13" s="1447">
        <f t="shared" si="1"/>
        <v>1454.29657937145</v>
      </c>
      <c r="CH13" s="1447">
        <f t="shared" si="2"/>
        <v>1308.8669214343051</v>
      </c>
    </row>
    <row r="14" spans="1:86">
      <c r="A14" s="1449" t="s">
        <v>1447</v>
      </c>
      <c r="B14" s="1450"/>
      <c r="C14" s="1450"/>
      <c r="D14" s="1450"/>
      <c r="E14" s="1450"/>
      <c r="F14" s="1451"/>
      <c r="G14" s="1450"/>
      <c r="H14" s="1450"/>
      <c r="I14" s="1450"/>
      <c r="J14" s="1450"/>
      <c r="K14" s="1451"/>
      <c r="L14" s="1450"/>
      <c r="M14" s="1450"/>
      <c r="N14" s="1450"/>
      <c r="O14" s="1450"/>
      <c r="P14" s="1451"/>
      <c r="Q14" s="1450"/>
      <c r="R14" s="1450"/>
      <c r="S14" s="1450"/>
      <c r="T14" s="1450"/>
      <c r="U14" s="1451"/>
      <c r="V14" s="1450"/>
      <c r="W14" s="1450"/>
      <c r="X14" s="1450"/>
      <c r="Y14" s="1450"/>
      <c r="Z14" s="1451"/>
      <c r="AA14" s="1450"/>
      <c r="AB14" s="1450"/>
      <c r="AC14" s="1450"/>
      <c r="AD14" s="1450"/>
      <c r="AE14" s="1451"/>
      <c r="AF14" s="1450"/>
      <c r="AG14" s="1450"/>
      <c r="AH14" s="1450"/>
      <c r="AI14" s="1450"/>
      <c r="AJ14" s="1451"/>
      <c r="AK14" s="1450">
        <f>AK75</f>
        <v>0</v>
      </c>
      <c r="AL14" s="1450">
        <f t="shared" ref="AL14:AN14" si="27">AL75</f>
        <v>0</v>
      </c>
      <c r="AM14" s="1450">
        <f t="shared" si="27"/>
        <v>0</v>
      </c>
      <c r="AN14" s="1450">
        <f t="shared" si="27"/>
        <v>0</v>
      </c>
      <c r="AO14" s="1451">
        <f t="shared" si="3"/>
        <v>0</v>
      </c>
      <c r="AP14" s="1450">
        <f>AP75</f>
        <v>26</v>
      </c>
      <c r="AQ14" s="1450">
        <f t="shared" ref="AQ14:AS14" si="28">AQ75</f>
        <v>28</v>
      </c>
      <c r="AR14" s="1450">
        <f t="shared" si="28"/>
        <v>31</v>
      </c>
      <c r="AS14" s="1450">
        <f t="shared" si="28"/>
        <v>33</v>
      </c>
      <c r="AT14" s="1451">
        <f t="shared" si="4"/>
        <v>118</v>
      </c>
      <c r="AU14" s="1450">
        <f>AU75</f>
        <v>52</v>
      </c>
      <c r="AV14" s="1450">
        <f t="shared" ref="AV14:AX14" si="29">AV75</f>
        <v>56</v>
      </c>
      <c r="AW14" s="1450">
        <f t="shared" si="29"/>
        <v>62</v>
      </c>
      <c r="AX14" s="1450">
        <f t="shared" si="29"/>
        <v>66</v>
      </c>
      <c r="AY14" s="1451">
        <f t="shared" ref="AY14" si="30">SUM(AU14:AX14)</f>
        <v>236</v>
      </c>
      <c r="AZ14" s="1450">
        <f>AZ75</f>
        <v>98.8</v>
      </c>
      <c r="BA14" s="1450">
        <f t="shared" ref="BA14:BC14" si="31">BA75</f>
        <v>106.39999999999999</v>
      </c>
      <c r="BB14" s="1450">
        <f t="shared" si="31"/>
        <v>112.22</v>
      </c>
      <c r="BC14" s="1450">
        <f t="shared" si="31"/>
        <v>114.84</v>
      </c>
      <c r="BD14" s="1451">
        <f t="shared" si="6"/>
        <v>432.26</v>
      </c>
      <c r="BE14" s="1450">
        <f>BE75</f>
        <v>167.21899999999999</v>
      </c>
      <c r="BF14" s="1450">
        <f t="shared" ref="BF14:BG14" si="32">BF75</f>
        <v>177.68799999999999</v>
      </c>
      <c r="BG14" s="1450">
        <f t="shared" si="32"/>
        <v>185.44354999999999</v>
      </c>
      <c r="BH14" s="1450">
        <f t="shared" ref="BG14:BH14" si="33">BH75</f>
        <v>187.1892</v>
      </c>
      <c r="BI14" s="1451">
        <f t="shared" si="7"/>
        <v>717.53975000000003</v>
      </c>
      <c r="BJ14" s="1450">
        <f>BJ75</f>
        <v>267.55040000000002</v>
      </c>
      <c r="BK14" s="1450">
        <f t="shared" ref="BK14:BM14" si="34">BK75</f>
        <v>278.97015999999996</v>
      </c>
      <c r="BL14" s="1450">
        <f t="shared" si="34"/>
        <v>285.58306699999997</v>
      </c>
      <c r="BM14" s="1450">
        <f t="shared" si="34"/>
        <v>282.65569199999999</v>
      </c>
      <c r="BN14" s="1451">
        <f t="shared" si="8"/>
        <v>1114.759319</v>
      </c>
      <c r="BO14" s="1450">
        <f>BO75</f>
        <v>395.97459200000003</v>
      </c>
      <c r="BP14" s="1450">
        <f t="shared" ref="BP14:BR14" si="35">BP75</f>
        <v>404.50673199999989</v>
      </c>
      <c r="BQ14" s="1450">
        <f t="shared" si="35"/>
        <v>405.52795513999996</v>
      </c>
      <c r="BR14" s="1450">
        <f t="shared" si="35"/>
        <v>392.89141187999991</v>
      </c>
      <c r="BS14" s="1451">
        <f t="shared" si="9"/>
        <v>1598.9006910199996</v>
      </c>
      <c r="BT14" s="1450">
        <f>BT75</f>
        <v>534.56569920000004</v>
      </c>
      <c r="BU14" s="1450">
        <f t="shared" ref="BU14:BW14" si="36">BU75</f>
        <v>529.90381891999982</v>
      </c>
      <c r="BV14" s="1450">
        <f t="shared" si="36"/>
        <v>515.02050302779992</v>
      </c>
      <c r="BW14" s="1450">
        <f t="shared" si="36"/>
        <v>483.2564366123998</v>
      </c>
      <c r="BX14" s="1451">
        <f t="shared" si="10"/>
        <v>2062.7464577601995</v>
      </c>
      <c r="BY14" s="1343"/>
      <c r="BZ14" s="1451"/>
      <c r="CA14" s="1451"/>
      <c r="CB14" s="1451">
        <f t="shared" si="11"/>
        <v>54</v>
      </c>
      <c r="CC14" s="1451">
        <f t="shared" si="12"/>
        <v>172</v>
      </c>
      <c r="CD14" s="1451">
        <f t="shared" si="13"/>
        <v>333.2</v>
      </c>
      <c r="CE14" s="1451">
        <f t="shared" si="14"/>
        <v>571.96699999999998</v>
      </c>
      <c r="CF14" s="1451">
        <f t="shared" si="0"/>
        <v>919.15331000000003</v>
      </c>
      <c r="CG14" s="1451">
        <f t="shared" si="1"/>
        <v>1368.7200829999999</v>
      </c>
      <c r="CH14" s="1451">
        <f t="shared" si="2"/>
        <v>1862.8888851399997</v>
      </c>
    </row>
    <row r="15" spans="1:86">
      <c r="A15" s="1175" t="s">
        <v>1416</v>
      </c>
      <c r="B15" s="1345"/>
      <c r="C15" s="1345"/>
      <c r="D15" s="1345"/>
      <c r="E15" s="1345"/>
      <c r="F15" s="1346"/>
      <c r="G15" s="1345"/>
      <c r="H15" s="1345"/>
      <c r="I15" s="1345"/>
      <c r="J15" s="1345"/>
      <c r="K15" s="1346"/>
      <c r="L15" s="1345"/>
      <c r="M15" s="1345"/>
      <c r="N15" s="1345"/>
      <c r="O15" s="1345"/>
      <c r="P15" s="1346"/>
      <c r="Q15" s="1345"/>
      <c r="R15" s="1345"/>
      <c r="S15" s="1345"/>
      <c r="T15" s="1345"/>
      <c r="U15" s="1346"/>
      <c r="V15" s="1345"/>
      <c r="W15" s="1345"/>
      <c r="X15" s="1345"/>
      <c r="Y15" s="1345"/>
      <c r="Z15" s="1346"/>
      <c r="AA15" s="1345"/>
      <c r="AB15" s="1345"/>
      <c r="AC15" s="1345"/>
      <c r="AD15" s="1345"/>
      <c r="AE15" s="1346"/>
      <c r="AF15" s="1347"/>
      <c r="AG15" s="1347"/>
      <c r="AH15" s="1347"/>
      <c r="AI15" s="1347"/>
      <c r="AJ15" s="1346"/>
      <c r="AK15" s="1001"/>
      <c r="AL15" s="1001"/>
      <c r="AM15" s="1001"/>
      <c r="AN15" s="1001"/>
      <c r="AO15" s="1000"/>
      <c r="AP15" s="1001"/>
      <c r="AQ15" s="1001"/>
      <c r="AR15" s="1001"/>
      <c r="AS15" s="1001"/>
      <c r="AT15" s="1000"/>
      <c r="AU15" s="1001"/>
      <c r="AV15" s="1001"/>
      <c r="AW15" s="1001"/>
      <c r="AX15" s="1001"/>
      <c r="AY15" s="1000"/>
      <c r="AZ15" s="1001">
        <v>0</v>
      </c>
      <c r="BA15" s="1001">
        <f>BA78</f>
        <v>228</v>
      </c>
      <c r="BB15" s="1001">
        <f>BB78</f>
        <v>975</v>
      </c>
      <c r="BC15" s="1001">
        <f>BC78</f>
        <v>1065</v>
      </c>
      <c r="BD15" s="1000">
        <f>SUM(AZ15:BC15)</f>
        <v>2268</v>
      </c>
      <c r="BE15" s="1001">
        <f>BE78</f>
        <v>1148</v>
      </c>
      <c r="BF15" s="1001">
        <f>BF78</f>
        <v>1312</v>
      </c>
      <c r="BG15" s="1001">
        <f>BG78</f>
        <v>1335</v>
      </c>
      <c r="BH15" s="1001">
        <f t="shared" ref="BG15:BM15" si="37">BH78</f>
        <v>1363.2</v>
      </c>
      <c r="BI15" s="1191">
        <f t="shared" si="7"/>
        <v>5158.2</v>
      </c>
      <c r="BJ15" s="1001">
        <f t="shared" si="37"/>
        <v>1435</v>
      </c>
      <c r="BK15" s="1001">
        <f t="shared" si="37"/>
        <v>1587.52</v>
      </c>
      <c r="BL15" s="1001">
        <f t="shared" si="37"/>
        <v>1602</v>
      </c>
      <c r="BM15" s="1001">
        <f t="shared" si="37"/>
        <v>1622.2080000000001</v>
      </c>
      <c r="BN15" s="1191">
        <f t="shared" si="8"/>
        <v>6246.728000000001</v>
      </c>
      <c r="BO15" s="1001">
        <f t="shared" ref="BO15:BR15" si="38">BO78</f>
        <v>1693.3</v>
      </c>
      <c r="BP15" s="1001">
        <f t="shared" si="38"/>
        <v>1857.3983999999998</v>
      </c>
      <c r="BQ15" s="1001">
        <f t="shared" si="38"/>
        <v>1858.32</v>
      </c>
      <c r="BR15" s="1001">
        <f t="shared" si="38"/>
        <v>1865.5391999999999</v>
      </c>
      <c r="BS15" s="1191">
        <f t="shared" si="9"/>
        <v>7274.5576000000001</v>
      </c>
      <c r="BT15" s="1001">
        <f t="shared" ref="BT15:BW15" si="39">BT78</f>
        <v>1930.3619999999999</v>
      </c>
      <c r="BU15" s="1001">
        <f t="shared" si="39"/>
        <v>2098.8601919999996</v>
      </c>
      <c r="BV15" s="1001">
        <f t="shared" si="39"/>
        <v>2081.3183999999997</v>
      </c>
      <c r="BW15" s="1001">
        <f t="shared" si="39"/>
        <v>2070.7485119999997</v>
      </c>
      <c r="BX15" s="1191">
        <f t="shared" si="10"/>
        <v>8181.2891039999995</v>
      </c>
      <c r="BY15" s="1343"/>
      <c r="BZ15" s="1447"/>
      <c r="CA15" s="1447"/>
      <c r="CB15" s="1447"/>
      <c r="CC15" s="1447"/>
      <c r="CD15" s="1447"/>
      <c r="CE15" s="1447"/>
      <c r="CF15" s="1447"/>
      <c r="CG15" s="1447"/>
      <c r="CH15" s="1447"/>
    </row>
    <row r="16" spans="1:86" ht="13.5" thickBot="1">
      <c r="A16" s="1175" t="s">
        <v>280</v>
      </c>
      <c r="B16" s="1345"/>
      <c r="C16" s="1345"/>
      <c r="D16" s="1345"/>
      <c r="E16" s="1345"/>
      <c r="F16" s="1346"/>
      <c r="G16" s="1345"/>
      <c r="H16" s="1345"/>
      <c r="I16" s="1345"/>
      <c r="J16" s="1345"/>
      <c r="K16" s="1346"/>
      <c r="L16" s="1345"/>
      <c r="M16" s="1345"/>
      <c r="N16" s="1345"/>
      <c r="O16" s="1345"/>
      <c r="P16" s="1346"/>
      <c r="Q16" s="1345"/>
      <c r="R16" s="1345"/>
      <c r="S16" s="1345"/>
      <c r="T16" s="1345"/>
      <c r="U16" s="1346"/>
      <c r="V16" s="1345"/>
      <c r="W16" s="1345"/>
      <c r="X16" s="1345"/>
      <c r="Y16" s="1345"/>
      <c r="Z16" s="1346"/>
      <c r="AA16" s="1345"/>
      <c r="AB16" s="1345"/>
      <c r="AC16" s="1345"/>
      <c r="AD16" s="1345"/>
      <c r="AE16" s="1346"/>
      <c r="AF16" s="1347"/>
      <c r="AG16" s="1347"/>
      <c r="AH16" s="1347"/>
      <c r="AI16" s="1347"/>
      <c r="AJ16" s="1346"/>
      <c r="AK16" s="1345"/>
      <c r="AL16" s="1001"/>
      <c r="AM16" s="1001"/>
      <c r="AN16" s="1001"/>
      <c r="AO16" s="1000"/>
      <c r="AP16" s="1001"/>
      <c r="AQ16" s="1001"/>
      <c r="AR16" s="1001"/>
      <c r="AS16" s="1001"/>
      <c r="AT16" s="1000"/>
      <c r="AU16" s="1001"/>
      <c r="AV16" s="1001"/>
      <c r="AW16" s="1001"/>
      <c r="AX16" s="1001"/>
      <c r="AY16" s="1000"/>
      <c r="AZ16" s="1001">
        <f>AZ17-AZ6-AZ9-AZ12-AZ15</f>
        <v>-135.74139204000033</v>
      </c>
      <c r="BA16" s="1001">
        <f t="shared" ref="BA16:BD16" si="40">BA17-BA6-BA9-BA12-BA15</f>
        <v>-14.339709375000325</v>
      </c>
      <c r="BB16" s="1001">
        <f t="shared" si="40"/>
        <v>-157.0342793749993</v>
      </c>
      <c r="BC16" s="1001">
        <f t="shared" si="40"/>
        <v>-231.8335668750002</v>
      </c>
      <c r="BD16" s="1000">
        <f t="shared" si="40"/>
        <v>-538.94894766499829</v>
      </c>
      <c r="BE16" s="1001">
        <f>BE17-BE6-BE9-BE12-BE15</f>
        <v>-144.14648971277472</v>
      </c>
      <c r="BF16" s="1001">
        <f t="shared" ref="BF16:BG16" si="41">BF17-BF6-BF9-BF12-BF15</f>
        <v>-15.075860250000005</v>
      </c>
      <c r="BG16" s="1001">
        <f t="shared" si="41"/>
        <v>-174.22306674999822</v>
      </c>
      <c r="BH16" s="1190">
        <v>0</v>
      </c>
      <c r="BI16" s="1191">
        <f t="shared" si="7"/>
        <v>-333.44541671277295</v>
      </c>
      <c r="BJ16" s="1190">
        <v>0</v>
      </c>
      <c r="BK16" s="1190">
        <v>0</v>
      </c>
      <c r="BL16" s="1190">
        <v>0</v>
      </c>
      <c r="BM16" s="1190">
        <v>0</v>
      </c>
      <c r="BN16" s="1191">
        <f t="shared" si="8"/>
        <v>0</v>
      </c>
      <c r="BO16" s="1190">
        <v>0</v>
      </c>
      <c r="BP16" s="1190">
        <v>0</v>
      </c>
      <c r="BQ16" s="1190">
        <v>0</v>
      </c>
      <c r="BR16" s="1190">
        <v>0</v>
      </c>
      <c r="BS16" s="1191">
        <f t="shared" si="9"/>
        <v>0</v>
      </c>
      <c r="BT16" s="1190">
        <v>0</v>
      </c>
      <c r="BU16" s="1190">
        <v>0</v>
      </c>
      <c r="BV16" s="1190">
        <v>0</v>
      </c>
      <c r="BW16" s="1190">
        <v>0</v>
      </c>
      <c r="BX16" s="1191">
        <f t="shared" si="10"/>
        <v>0</v>
      </c>
      <c r="BY16" s="1343"/>
      <c r="BZ16" s="1191"/>
      <c r="CA16" s="1191"/>
      <c r="CB16" s="1191">
        <f t="shared" si="11"/>
        <v>0</v>
      </c>
      <c r="CC16" s="1191">
        <f t="shared" si="12"/>
        <v>0</v>
      </c>
      <c r="CD16" s="1191">
        <f t="shared" si="13"/>
        <v>-150.08110141500066</v>
      </c>
      <c r="CE16" s="1191">
        <f t="shared" si="14"/>
        <v>-548.09019621277423</v>
      </c>
      <c r="CF16" s="1191">
        <f>SUM(BG16:BH16,BJ16:BK16)</f>
        <v>-174.22306674999822</v>
      </c>
      <c r="CG16" s="1191">
        <f>SUM(BL16:BM16,BO16:BP16)</f>
        <v>0</v>
      </c>
      <c r="CH16" s="1191">
        <f>SUM(BQ16:BR16,BT16:BU16)</f>
        <v>0</v>
      </c>
    </row>
    <row r="17" spans="1:89">
      <c r="A17" s="1477" t="s">
        <v>1043</v>
      </c>
      <c r="B17" s="1478"/>
      <c r="C17" s="1478"/>
      <c r="D17" s="1478"/>
      <c r="E17" s="1478"/>
      <c r="F17" s="1479"/>
      <c r="G17" s="1478"/>
      <c r="H17" s="1478"/>
      <c r="I17" s="1478"/>
      <c r="J17" s="1478"/>
      <c r="K17" s="1479"/>
      <c r="L17" s="1478"/>
      <c r="M17" s="1478"/>
      <c r="N17" s="1478"/>
      <c r="O17" s="1478"/>
      <c r="P17" s="1479"/>
      <c r="Q17" s="1478"/>
      <c r="R17" s="1478"/>
      <c r="S17" s="1478"/>
      <c r="T17" s="1478"/>
      <c r="U17" s="1479"/>
      <c r="V17" s="1478"/>
      <c r="W17" s="1478"/>
      <c r="X17" s="1478"/>
      <c r="Y17" s="1478"/>
      <c r="Z17" s="1479"/>
      <c r="AA17" s="1478"/>
      <c r="AB17" s="1478"/>
      <c r="AC17" s="1478"/>
      <c r="AD17" s="1478"/>
      <c r="AE17" s="1479"/>
      <c r="AF17" s="1478"/>
      <c r="AG17" s="1478"/>
      <c r="AH17" s="1478"/>
      <c r="AI17" s="1478"/>
      <c r="AJ17" s="1479"/>
      <c r="AK17" s="1478"/>
      <c r="AL17" s="1478"/>
      <c r="AM17" s="1478"/>
      <c r="AN17" s="1478"/>
      <c r="AO17" s="1479"/>
      <c r="AP17" s="1478"/>
      <c r="AQ17" s="1478"/>
      <c r="AR17" s="1478"/>
      <c r="AS17" s="1478"/>
      <c r="AT17" s="1479"/>
      <c r="AU17" s="1478">
        <f>'Rev Overview'!BU10</f>
        <v>5998</v>
      </c>
      <c r="AV17" s="1478">
        <f>'Rev Overview'!BV10</f>
        <v>6480</v>
      </c>
      <c r="AW17" s="1478">
        <f>'Rev Overview'!BW10</f>
        <v>6207</v>
      </c>
      <c r="AX17" s="1478">
        <f>'Rev Overview'!BX10</f>
        <v>7107</v>
      </c>
      <c r="AY17" s="1479">
        <f t="shared" ref="AY17" si="42">SUM(AU17:AX17)</f>
        <v>25792</v>
      </c>
      <c r="AZ17" s="1478">
        <f>'Rev Overview'!BZ10</f>
        <v>6436</v>
      </c>
      <c r="BA17" s="1478">
        <f>'Rev Overview'!CA10</f>
        <v>7179</v>
      </c>
      <c r="BB17" s="1478">
        <f>'Rev Overview'!CB10</f>
        <v>7707</v>
      </c>
      <c r="BC17" s="1478">
        <f>'Rev Overview'!CC10</f>
        <v>8548</v>
      </c>
      <c r="BD17" s="1479">
        <f t="shared" si="6"/>
        <v>29870</v>
      </c>
      <c r="BE17" s="1478">
        <f>'Rev Overview'!CE10</f>
        <v>8238</v>
      </c>
      <c r="BF17" s="1478">
        <f>'Rev Overview'!CF10</f>
        <v>8953</v>
      </c>
      <c r="BG17" s="1478">
        <f>'Rev Overview'!CG10</f>
        <v>9006</v>
      </c>
      <c r="BH17" s="1478">
        <f t="shared" ref="BG17:BH17" si="43">BH6+BH9+BH15+BH16+BH12</f>
        <v>9740.5372326124998</v>
      </c>
      <c r="BI17" s="1479">
        <f t="shared" si="7"/>
        <v>35937.5372326125</v>
      </c>
      <c r="BJ17" s="1478">
        <f>BJ6+BJ9+BJ15+BJ16+BJ12</f>
        <v>9433.3785286372186</v>
      </c>
      <c r="BK17" s="1478">
        <f t="shared" ref="BK17:BM17" si="44">BK6+BK9+BK15+BK16+BK12</f>
        <v>10015.188066799999</v>
      </c>
      <c r="BL17" s="1478">
        <f t="shared" si="44"/>
        <v>10426.458287359999</v>
      </c>
      <c r="BM17" s="1478">
        <f t="shared" si="44"/>
        <v>10973.02295279825</v>
      </c>
      <c r="BN17" s="1479">
        <f t="shared" si="8"/>
        <v>40848.047835595469</v>
      </c>
      <c r="BO17" s="1478">
        <f>BO6+BO9+BO15+BO16+BO12</f>
        <v>10719.815935344199</v>
      </c>
      <c r="BP17" s="1478">
        <f t="shared" ref="BP17:BR17" si="45">BP6+BP9+BP15+BP16+BP12</f>
        <v>11309.372027561249</v>
      </c>
      <c r="BQ17" s="1478">
        <f t="shared" si="45"/>
        <v>11975.589581085424</v>
      </c>
      <c r="BR17" s="1478">
        <f t="shared" si="45"/>
        <v>12394.235327120305</v>
      </c>
      <c r="BS17" s="1479">
        <f t="shared" si="9"/>
        <v>46399.012871111176</v>
      </c>
      <c r="BT17" s="1478">
        <f>BT6+BT9+BT15+BT16+BT12</f>
        <v>12007.883142882451</v>
      </c>
      <c r="BU17" s="1478">
        <f t="shared" ref="BU17:BW17" si="46">BU6+BU9+BU15+BU16+BU12</f>
        <v>12535.049258524437</v>
      </c>
      <c r="BV17" s="1478">
        <f t="shared" si="46"/>
        <v>13484.458782004735</v>
      </c>
      <c r="BW17" s="1478">
        <f t="shared" si="46"/>
        <v>13687.792269805979</v>
      </c>
      <c r="BX17" s="1479">
        <f t="shared" si="10"/>
        <v>51715.1834532176</v>
      </c>
      <c r="BY17" s="1343"/>
      <c r="BZ17" s="1479"/>
      <c r="CA17" s="1479"/>
      <c r="CB17" s="1479">
        <f t="shared" si="11"/>
        <v>0</v>
      </c>
      <c r="CC17" s="1479">
        <f t="shared" si="12"/>
        <v>12478</v>
      </c>
      <c r="CD17" s="1479">
        <f t="shared" si="13"/>
        <v>26929</v>
      </c>
      <c r="CE17" s="1479">
        <f t="shared" si="14"/>
        <v>33446</v>
      </c>
      <c r="CF17" s="1479">
        <f>SUM(BG17:BH17,BJ17:BK17)</f>
        <v>38195.103828049716</v>
      </c>
      <c r="CG17" s="1479">
        <f>SUM(BL17:BM17,BO17:BP17)</f>
        <v>43428.669203063699</v>
      </c>
      <c r="CH17" s="1479">
        <f>SUM(BQ17:BR17,BT17:BU17)</f>
        <v>48912.757309612614</v>
      </c>
      <c r="CJ17" s="1004"/>
      <c r="CK17" s="1004"/>
    </row>
    <row r="18" spans="1:89" ht="13.5" thickBot="1">
      <c r="A18" s="1480" t="s">
        <v>163</v>
      </c>
      <c r="B18" s="1481"/>
      <c r="C18" s="1481"/>
      <c r="D18" s="1481"/>
      <c r="E18" s="1481"/>
      <c r="F18" s="1482"/>
      <c r="G18" s="1481"/>
      <c r="H18" s="1481"/>
      <c r="I18" s="1481"/>
      <c r="J18" s="1481"/>
      <c r="K18" s="1482"/>
      <c r="L18" s="1481"/>
      <c r="M18" s="1481"/>
      <c r="N18" s="1481"/>
      <c r="O18" s="1481"/>
      <c r="P18" s="1482"/>
      <c r="Q18" s="1481"/>
      <c r="R18" s="1481"/>
      <c r="S18" s="1481"/>
      <c r="T18" s="1481"/>
      <c r="U18" s="1482"/>
      <c r="V18" s="1481"/>
      <c r="W18" s="1481"/>
      <c r="X18" s="1481"/>
      <c r="Y18" s="1481"/>
      <c r="Z18" s="1482"/>
      <c r="AA18" s="1481"/>
      <c r="AB18" s="1481"/>
      <c r="AC18" s="1481"/>
      <c r="AD18" s="1481"/>
      <c r="AE18" s="1482"/>
      <c r="AF18" s="1483"/>
      <c r="AG18" s="1483"/>
      <c r="AH18" s="1483"/>
      <c r="AI18" s="1483"/>
      <c r="AJ18" s="1482"/>
      <c r="AK18" s="1483"/>
      <c r="AL18" s="1483"/>
      <c r="AM18" s="1483"/>
      <c r="AN18" s="1483"/>
      <c r="AO18" s="1486"/>
      <c r="AP18" s="1485"/>
      <c r="AQ18" s="1485"/>
      <c r="AR18" s="1485"/>
      <c r="AS18" s="1485"/>
      <c r="AT18" s="1486"/>
      <c r="AU18" s="1485"/>
      <c r="AV18" s="1485"/>
      <c r="AW18" s="1485"/>
      <c r="AX18" s="1485"/>
      <c r="AY18" s="1486"/>
      <c r="AZ18" s="1485">
        <f t="shared" ref="AZ18:BS18" si="47">IFERROR(AZ17/AU17-1,"")</f>
        <v>7.3024341447148977E-2</v>
      </c>
      <c r="BA18" s="1485">
        <f t="shared" si="47"/>
        <v>0.10787037037037028</v>
      </c>
      <c r="BB18" s="1485">
        <f t="shared" si="47"/>
        <v>0.24166263895601747</v>
      </c>
      <c r="BC18" s="1485">
        <f t="shared" si="47"/>
        <v>0.20275784437878142</v>
      </c>
      <c r="BD18" s="1486">
        <f t="shared" si="47"/>
        <v>0.15811104218362293</v>
      </c>
      <c r="BE18" s="1485">
        <f t="shared" si="47"/>
        <v>0.27998756991920448</v>
      </c>
      <c r="BF18" s="1485">
        <f t="shared" si="47"/>
        <v>0.24710962529600233</v>
      </c>
      <c r="BG18" s="1485">
        <f t="shared" si="47"/>
        <v>0.1685480731802258</v>
      </c>
      <c r="BH18" s="1485">
        <f t="shared" si="47"/>
        <v>0.13951067297759701</v>
      </c>
      <c r="BI18" s="1486">
        <f t="shared" si="47"/>
        <v>0.20313147748953808</v>
      </c>
      <c r="BJ18" s="1485">
        <f t="shared" si="47"/>
        <v>0.1451054295505243</v>
      </c>
      <c r="BK18" s="1485">
        <f t="shared" si="47"/>
        <v>0.11864046317435495</v>
      </c>
      <c r="BL18" s="1485">
        <f t="shared" si="47"/>
        <v>0.15772354956251378</v>
      </c>
      <c r="BM18" s="1485">
        <f t="shared" si="47"/>
        <v>0.12653159581991424</v>
      </c>
      <c r="BN18" s="1486">
        <f t="shared" si="47"/>
        <v>0.13664015347514669</v>
      </c>
      <c r="BO18" s="1485">
        <f t="shared" si="47"/>
        <v>0.13637080318591055</v>
      </c>
      <c r="BP18" s="1485">
        <f t="shared" si="47"/>
        <v>0.12922213263787063</v>
      </c>
      <c r="BQ18" s="1485">
        <f t="shared" si="47"/>
        <v>0.14857694252740039</v>
      </c>
      <c r="BR18" s="1485">
        <f t="shared" si="47"/>
        <v>0.1295187643765594</v>
      </c>
      <c r="BS18" s="1486">
        <f t="shared" si="47"/>
        <v>0.13589303111514983</v>
      </c>
      <c r="BT18" s="1485">
        <f t="shared" ref="BT18" si="48">IFERROR(BT17/BO17-1,"")</f>
        <v>0.120157586222295</v>
      </c>
      <c r="BU18" s="1485">
        <f t="shared" ref="BU18" si="49">IFERROR(BU17/BP17-1,"")</f>
        <v>0.10837712544747657</v>
      </c>
      <c r="BV18" s="1485">
        <f t="shared" ref="BV18" si="50">IFERROR(BV17/BQ17-1,"")</f>
        <v>0.12599540011812538</v>
      </c>
      <c r="BW18" s="1485">
        <f t="shared" ref="BW18" si="51">IFERROR(BW17/BR17-1,"")</f>
        <v>0.10436762805811761</v>
      </c>
      <c r="BX18" s="1486">
        <f t="shared" ref="BX18" si="52">IFERROR(BX17/BS17-1,"")</f>
        <v>0.11457507936373279</v>
      </c>
      <c r="BY18" s="1438"/>
      <c r="BZ18" s="1486"/>
      <c r="CA18" s="1486"/>
      <c r="CB18" s="1486"/>
      <c r="CC18" s="1486" t="e">
        <f t="shared" ref="CC18:CH18" si="53">CC17/CB17-1</f>
        <v>#DIV/0!</v>
      </c>
      <c r="CD18" s="1486">
        <f t="shared" si="53"/>
        <v>1.1581182881872096</v>
      </c>
      <c r="CE18" s="1486">
        <f t="shared" si="53"/>
        <v>0.24200675851312714</v>
      </c>
      <c r="CF18" s="1486">
        <f t="shared" si="53"/>
        <v>0.14199317790018884</v>
      </c>
      <c r="CG18" s="1486">
        <f t="shared" si="53"/>
        <v>0.13702189156429401</v>
      </c>
      <c r="CH18" s="1486">
        <f t="shared" si="53"/>
        <v>0.12627806025799293</v>
      </c>
    </row>
    <row r="19" spans="1:89">
      <c r="A19" s="5"/>
      <c r="B19" s="1432"/>
      <c r="C19" s="1432"/>
      <c r="D19" s="1432"/>
      <c r="E19" s="1432"/>
      <c r="F19" s="1429"/>
      <c r="G19" s="1432"/>
      <c r="H19" s="1432"/>
      <c r="I19" s="1432"/>
      <c r="J19" s="1432"/>
      <c r="K19" s="1429"/>
      <c r="L19" s="1432"/>
      <c r="M19" s="1432"/>
      <c r="N19" s="1432"/>
      <c r="O19" s="1432"/>
      <c r="P19" s="1429"/>
      <c r="Q19" s="1432"/>
      <c r="R19" s="1432"/>
      <c r="S19" s="1432"/>
      <c r="T19" s="1432"/>
      <c r="U19" s="1429"/>
      <c r="V19" s="1432"/>
      <c r="W19" s="1432"/>
      <c r="X19" s="1432"/>
      <c r="Y19" s="1432"/>
      <c r="Z19" s="1429"/>
      <c r="AA19" s="1432"/>
      <c r="AB19" s="1432"/>
      <c r="AC19" s="1432"/>
      <c r="AD19" s="1432"/>
      <c r="AE19" s="1429"/>
      <c r="AF19" s="1436"/>
      <c r="AG19" s="1436"/>
      <c r="AH19" s="1436"/>
      <c r="AI19" s="1436"/>
      <c r="AJ19" s="1429"/>
      <c r="AK19" s="1436"/>
      <c r="AL19" s="1436"/>
      <c r="AM19" s="1436"/>
      <c r="AN19" s="1436"/>
      <c r="AO19" s="2"/>
      <c r="AP19" s="3"/>
      <c r="AQ19" s="3"/>
      <c r="AR19" s="3"/>
      <c r="AS19" s="3"/>
      <c r="AT19" s="2"/>
      <c r="AU19" s="3"/>
      <c r="AV19" s="3"/>
      <c r="AW19" s="3"/>
      <c r="AX19" s="3"/>
      <c r="AY19" s="2"/>
      <c r="AZ19" s="3"/>
      <c r="BA19" s="3"/>
      <c r="BB19" s="3"/>
      <c r="BC19" s="3"/>
      <c r="BD19" s="2"/>
      <c r="BE19" s="3"/>
      <c r="BF19" s="3"/>
      <c r="BG19" s="3"/>
      <c r="BH19" s="3"/>
      <c r="BI19" s="2"/>
      <c r="BJ19" s="3"/>
      <c r="BK19" s="3"/>
      <c r="BL19" s="3"/>
      <c r="BM19" s="3"/>
      <c r="BN19" s="2"/>
      <c r="BO19" s="3"/>
      <c r="BP19" s="3"/>
      <c r="BQ19" s="3"/>
      <c r="BR19" s="3"/>
      <c r="BS19" s="2"/>
      <c r="BT19" s="3"/>
      <c r="BU19" s="3"/>
      <c r="BV19" s="3"/>
      <c r="BW19" s="3"/>
      <c r="BX19" s="2"/>
      <c r="BY19" s="1438"/>
      <c r="BZ19" s="4"/>
      <c r="CA19" s="4"/>
      <c r="CB19" s="4"/>
      <c r="CC19" s="4"/>
      <c r="CD19" s="4"/>
      <c r="CE19" s="4"/>
      <c r="CF19" s="4"/>
      <c r="CG19" s="4"/>
      <c r="CH19" s="4"/>
    </row>
    <row r="20" spans="1:89">
      <c r="A20" s="5" t="s">
        <v>1419</v>
      </c>
      <c r="B20" s="1432"/>
      <c r="C20" s="1432"/>
      <c r="D20" s="1432"/>
      <c r="E20" s="1432"/>
      <c r="F20" s="1429"/>
      <c r="G20" s="1432"/>
      <c r="H20" s="1432"/>
      <c r="I20" s="1432"/>
      <c r="J20" s="1432"/>
      <c r="K20" s="1429"/>
      <c r="L20" s="1432"/>
      <c r="M20" s="1432"/>
      <c r="N20" s="1432"/>
      <c r="O20" s="1432"/>
      <c r="P20" s="1429"/>
      <c r="Q20" s="1432"/>
      <c r="R20" s="1432"/>
      <c r="S20" s="1432"/>
      <c r="T20" s="1432"/>
      <c r="U20" s="1429"/>
      <c r="V20" s="1432"/>
      <c r="W20" s="1432"/>
      <c r="X20" s="1432"/>
      <c r="Y20" s="1432"/>
      <c r="Z20" s="1429"/>
      <c r="AA20" s="1432"/>
      <c r="AB20" s="1432"/>
      <c r="AC20" s="1432"/>
      <c r="AD20" s="1432"/>
      <c r="AE20" s="1429"/>
      <c r="AF20" s="1436"/>
      <c r="AG20" s="1436"/>
      <c r="AH20" s="1436"/>
      <c r="AI20" s="1436"/>
      <c r="AJ20" s="1429"/>
      <c r="AK20" s="1001"/>
      <c r="AL20" s="1001"/>
      <c r="AM20" s="1001"/>
      <c r="AN20" s="1001"/>
      <c r="AO20" s="1000"/>
      <c r="AP20" s="1001"/>
      <c r="AQ20" s="1001"/>
      <c r="AR20" s="1001"/>
      <c r="AS20" s="1001"/>
      <c r="AT20" s="1000"/>
      <c r="AU20" s="1001"/>
      <c r="AV20" s="1001"/>
      <c r="AW20" s="1001"/>
      <c r="AX20" s="1001"/>
      <c r="AY20" s="1000"/>
      <c r="AZ20" s="1001">
        <f t="shared" ref="AZ20:BS20" si="54">AZ17-AZ15</f>
        <v>6436</v>
      </c>
      <c r="BA20" s="1001">
        <f t="shared" si="54"/>
        <v>6951</v>
      </c>
      <c r="BB20" s="1001">
        <f t="shared" si="54"/>
        <v>6732</v>
      </c>
      <c r="BC20" s="1001">
        <f t="shared" si="54"/>
        <v>7483</v>
      </c>
      <c r="BD20" s="1000">
        <f t="shared" si="54"/>
        <v>27602</v>
      </c>
      <c r="BE20" s="1001">
        <f t="shared" ref="BE20:BG20" si="55">BE17-BE15</f>
        <v>7090</v>
      </c>
      <c r="BF20" s="1001">
        <f t="shared" si="55"/>
        <v>7641</v>
      </c>
      <c r="BG20" s="1001">
        <f t="shared" si="55"/>
        <v>7671</v>
      </c>
      <c r="BH20" s="1001">
        <f t="shared" si="54"/>
        <v>8377.3372326124991</v>
      </c>
      <c r="BI20" s="1191">
        <f t="shared" si="54"/>
        <v>30779.337232612499</v>
      </c>
      <c r="BJ20" s="1001">
        <f t="shared" si="54"/>
        <v>7998.3785286372186</v>
      </c>
      <c r="BK20" s="1001">
        <f t="shared" si="54"/>
        <v>8427.668066799999</v>
      </c>
      <c r="BL20" s="1001">
        <f t="shared" si="54"/>
        <v>8824.4582873599993</v>
      </c>
      <c r="BM20" s="1001">
        <f t="shared" si="54"/>
        <v>9350.8149527982496</v>
      </c>
      <c r="BN20" s="1191">
        <f t="shared" si="54"/>
        <v>34601.319835595466</v>
      </c>
      <c r="BO20" s="1001">
        <f t="shared" si="54"/>
        <v>9026.5159353441995</v>
      </c>
      <c r="BP20" s="1001">
        <f t="shared" si="54"/>
        <v>9451.9736275612486</v>
      </c>
      <c r="BQ20" s="1001">
        <f t="shared" si="54"/>
        <v>10117.269581085424</v>
      </c>
      <c r="BR20" s="1001">
        <f t="shared" si="54"/>
        <v>10528.696127120305</v>
      </c>
      <c r="BS20" s="1191">
        <f t="shared" si="54"/>
        <v>39124.455271111176</v>
      </c>
      <c r="BT20" s="1001">
        <f t="shared" ref="BT20:BX20" si="56">BT17-BT15</f>
        <v>10077.521142882451</v>
      </c>
      <c r="BU20" s="1001">
        <f t="shared" si="56"/>
        <v>10436.189066524437</v>
      </c>
      <c r="BV20" s="1001">
        <f t="shared" si="56"/>
        <v>11403.140382004734</v>
      </c>
      <c r="BW20" s="1001">
        <f t="shared" si="56"/>
        <v>11617.043757805979</v>
      </c>
      <c r="BX20" s="1191">
        <f t="shared" si="56"/>
        <v>43533.894349217604</v>
      </c>
      <c r="BY20" s="1438"/>
      <c r="BZ20" s="4"/>
      <c r="CA20" s="4"/>
      <c r="CB20" s="4"/>
      <c r="CC20" s="4"/>
      <c r="CD20" s="4"/>
      <c r="CE20" s="4"/>
      <c r="CF20" s="4"/>
      <c r="CG20" s="4"/>
      <c r="CH20" s="4"/>
    </row>
    <row r="21" spans="1:89">
      <c r="A21" s="5" t="s">
        <v>1420</v>
      </c>
      <c r="B21" s="1432"/>
      <c r="C21" s="1432"/>
      <c r="D21" s="1432"/>
      <c r="E21" s="1432"/>
      <c r="F21" s="1429"/>
      <c r="G21" s="1432"/>
      <c r="H21" s="1432"/>
      <c r="I21" s="1432"/>
      <c r="J21" s="1432"/>
      <c r="K21" s="1429"/>
      <c r="L21" s="1432"/>
      <c r="M21" s="1432"/>
      <c r="N21" s="1432"/>
      <c r="O21" s="1432"/>
      <c r="P21" s="1429"/>
      <c r="Q21" s="1432"/>
      <c r="R21" s="1432"/>
      <c r="S21" s="1432"/>
      <c r="T21" s="1432"/>
      <c r="U21" s="1429"/>
      <c r="V21" s="1432"/>
      <c r="W21" s="1432"/>
      <c r="X21" s="1432"/>
      <c r="Y21" s="1432"/>
      <c r="Z21" s="1429"/>
      <c r="AA21" s="1432"/>
      <c r="AB21" s="1432"/>
      <c r="AC21" s="1432"/>
      <c r="AD21" s="1432"/>
      <c r="AE21" s="1429"/>
      <c r="AF21" s="1436"/>
      <c r="AG21" s="1436"/>
      <c r="AH21" s="1436"/>
      <c r="AI21" s="1436"/>
      <c r="AJ21" s="1429"/>
      <c r="AK21" s="1436"/>
      <c r="AL21" s="1436"/>
      <c r="AM21" s="1436"/>
      <c r="AN21" s="1436"/>
      <c r="AO21" s="2"/>
      <c r="AP21" s="3" t="str">
        <f t="shared" ref="AP21:BS21" si="57">IFERROR(AP20/AK20-1,"")</f>
        <v/>
      </c>
      <c r="AQ21" s="3" t="str">
        <f t="shared" si="57"/>
        <v/>
      </c>
      <c r="AR21" s="3" t="str">
        <f t="shared" si="57"/>
        <v/>
      </c>
      <c r="AS21" s="3" t="str">
        <f t="shared" si="57"/>
        <v/>
      </c>
      <c r="AT21" s="2" t="str">
        <f t="shared" si="57"/>
        <v/>
      </c>
      <c r="AU21" s="3" t="str">
        <f t="shared" si="57"/>
        <v/>
      </c>
      <c r="AV21" s="3" t="str">
        <f t="shared" si="57"/>
        <v/>
      </c>
      <c r="AW21" s="3" t="str">
        <f t="shared" si="57"/>
        <v/>
      </c>
      <c r="AX21" s="3" t="str">
        <f t="shared" si="57"/>
        <v/>
      </c>
      <c r="AY21" s="2" t="str">
        <f t="shared" si="57"/>
        <v/>
      </c>
      <c r="AZ21" s="3" t="str">
        <f t="shared" si="57"/>
        <v/>
      </c>
      <c r="BA21" s="3" t="str">
        <f t="shared" si="57"/>
        <v/>
      </c>
      <c r="BB21" s="3" t="str">
        <f t="shared" si="57"/>
        <v/>
      </c>
      <c r="BC21" s="3" t="str">
        <f t="shared" si="57"/>
        <v/>
      </c>
      <c r="BD21" s="2" t="str">
        <f t="shared" si="57"/>
        <v/>
      </c>
      <c r="BE21" s="3">
        <f t="shared" si="57"/>
        <v>0.10161591050341823</v>
      </c>
      <c r="BF21" s="3">
        <f t="shared" si="57"/>
        <v>9.9266292619766938E-2</v>
      </c>
      <c r="BG21" s="3">
        <f t="shared" si="57"/>
        <v>0.13948306595365412</v>
      </c>
      <c r="BH21" s="3">
        <f t="shared" si="57"/>
        <v>0.11951586698015482</v>
      </c>
      <c r="BI21" s="2">
        <f t="shared" si="57"/>
        <v>0.11511257273431275</v>
      </c>
      <c r="BJ21" s="3">
        <f t="shared" si="57"/>
        <v>0.12812109007577122</v>
      </c>
      <c r="BK21" s="3">
        <f t="shared" si="57"/>
        <v>0.10295354885486185</v>
      </c>
      <c r="BL21" s="3">
        <f t="shared" si="57"/>
        <v>0.15036609143006108</v>
      </c>
      <c r="BM21" s="3">
        <f t="shared" si="57"/>
        <v>0.1162037164262717</v>
      </c>
      <c r="BN21" s="2">
        <f t="shared" si="57"/>
        <v>0.12417364851291701</v>
      </c>
      <c r="BO21" s="3">
        <f t="shared" si="57"/>
        <v>0.1285432294840585</v>
      </c>
      <c r="BP21" s="3">
        <f t="shared" si="57"/>
        <v>0.12154080495842079</v>
      </c>
      <c r="BQ21" s="3">
        <f t="shared" si="57"/>
        <v>0.14650319052187322</v>
      </c>
      <c r="BR21" s="3">
        <f t="shared" si="57"/>
        <v>0.12596561692941766</v>
      </c>
      <c r="BS21" s="2">
        <f t="shared" si="57"/>
        <v>0.13072147123308908</v>
      </c>
      <c r="BT21" s="3">
        <f t="shared" ref="BT21" si="58">IFERROR(BT20/BO20-1,"")</f>
        <v>0.11643531292322207</v>
      </c>
      <c r="BU21" s="3">
        <f t="shared" ref="BU21" si="59">IFERROR(BU20/BP20-1,"")</f>
        <v>0.10412803481521471</v>
      </c>
      <c r="BV21" s="3">
        <f t="shared" ref="BV21" si="60">IFERROR(BV20/BQ20-1,"")</f>
        <v>0.12709662331458382</v>
      </c>
      <c r="BW21" s="3">
        <f t="shared" ref="BW21" si="61">IFERROR(BW20/BR20-1,"")</f>
        <v>0.10336964972160767</v>
      </c>
      <c r="BX21" s="2">
        <f t="shared" ref="BX21" si="62">IFERROR(BX20/BS20-1,"")</f>
        <v>0.11270288742811663</v>
      </c>
      <c r="BY21" s="1438"/>
      <c r="BZ21" s="4"/>
      <c r="CA21" s="4"/>
      <c r="CB21" s="4"/>
      <c r="CC21" s="4"/>
      <c r="CD21" s="4"/>
      <c r="CE21" s="4"/>
      <c r="CF21" s="4"/>
      <c r="CG21" s="4"/>
      <c r="CH21" s="4"/>
    </row>
    <row r="22" spans="1:89">
      <c r="B22" s="1345"/>
      <c r="C22" s="1345"/>
      <c r="D22" s="1345"/>
      <c r="E22" s="1345"/>
      <c r="F22" s="1346"/>
      <c r="G22" s="1345"/>
      <c r="H22" s="1345"/>
      <c r="I22" s="1345"/>
      <c r="J22" s="1345"/>
      <c r="K22" s="1346"/>
      <c r="L22" s="1345"/>
      <c r="M22" s="1345"/>
      <c r="N22" s="1345"/>
      <c r="O22" s="1345"/>
      <c r="P22" s="1346"/>
      <c r="Q22" s="1345"/>
      <c r="R22" s="1345"/>
      <c r="S22" s="1345"/>
      <c r="T22" s="1345"/>
      <c r="U22" s="1346"/>
      <c r="V22" s="1345"/>
      <c r="W22" s="1345"/>
      <c r="X22" s="1345"/>
      <c r="Y22" s="1345"/>
      <c r="Z22" s="1346"/>
      <c r="AA22" s="1345"/>
      <c r="AB22" s="1345"/>
      <c r="AC22" s="1345"/>
      <c r="AD22" s="1345"/>
      <c r="AE22" s="1346"/>
      <c r="AF22" s="1347"/>
      <c r="AG22" s="1347"/>
      <c r="AH22" s="1347"/>
      <c r="AI22" s="1347"/>
      <c r="AJ22" s="1346"/>
      <c r="AK22" s="1347"/>
      <c r="AL22" s="1347"/>
      <c r="AM22" s="1347"/>
      <c r="AN22" s="1347"/>
      <c r="AO22" s="1344"/>
      <c r="AP22" s="1347"/>
      <c r="AQ22" s="1347"/>
      <c r="AR22" s="1347"/>
      <c r="AS22" s="1347"/>
      <c r="AT22" s="1344"/>
      <c r="AU22" s="1347"/>
      <c r="AV22" s="1347"/>
      <c r="AW22" s="1347"/>
      <c r="AX22" s="1347"/>
      <c r="AY22" s="1344"/>
      <c r="AZ22" s="1347"/>
      <c r="BA22" s="1347"/>
      <c r="BB22" s="1347"/>
      <c r="BC22" s="1347"/>
      <c r="BD22" s="1344"/>
      <c r="BE22" s="1347"/>
      <c r="BF22" s="1347"/>
      <c r="BG22" s="1347"/>
      <c r="BH22" s="1347"/>
      <c r="BI22" s="1344"/>
      <c r="BJ22" s="1347"/>
      <c r="BK22" s="1347"/>
      <c r="BL22" s="1347"/>
      <c r="BM22" s="1347"/>
      <c r="BN22" s="1344"/>
      <c r="BO22" s="1347"/>
      <c r="BP22" s="1347"/>
      <c r="BQ22" s="1347"/>
      <c r="BR22" s="1347"/>
      <c r="BS22" s="1344"/>
      <c r="BT22" s="1347"/>
      <c r="BU22" s="1347"/>
      <c r="BV22" s="1347"/>
      <c r="BW22" s="1347"/>
      <c r="BX22" s="1344"/>
      <c r="BY22" s="1343"/>
      <c r="BZ22" s="1344"/>
      <c r="CA22" s="1344"/>
      <c r="CB22" s="1344"/>
      <c r="CC22" s="1344"/>
      <c r="CD22" s="1344"/>
      <c r="CE22" s="1344"/>
      <c r="CF22" s="1344"/>
      <c r="CG22" s="1344"/>
      <c r="CH22" s="1344"/>
    </row>
    <row r="23" spans="1:89">
      <c r="A23" s="1050" t="s">
        <v>1045</v>
      </c>
      <c r="B23" s="1051"/>
      <c r="C23" s="1051"/>
      <c r="D23" s="1051"/>
      <c r="E23" s="1051"/>
      <c r="F23" s="1052"/>
      <c r="G23" s="1051"/>
      <c r="H23" s="1051"/>
      <c r="I23" s="1051"/>
      <c r="J23" s="1051"/>
      <c r="K23" s="1052"/>
      <c r="L23" s="1051"/>
      <c r="M23" s="1051"/>
      <c r="N23" s="1051"/>
      <c r="O23" s="1051"/>
      <c r="P23" s="1052"/>
      <c r="Q23" s="1051"/>
      <c r="R23" s="1051"/>
      <c r="S23" s="1051"/>
      <c r="T23" s="1051"/>
      <c r="U23" s="1052"/>
      <c r="V23" s="1051"/>
      <c r="W23" s="1051"/>
      <c r="X23" s="1051"/>
      <c r="Y23" s="1051"/>
      <c r="Z23" s="1052"/>
      <c r="AA23" s="1051"/>
      <c r="AB23" s="1051"/>
      <c r="AC23" s="1051"/>
      <c r="AD23" s="1051"/>
      <c r="AE23" s="1052"/>
      <c r="AF23" s="1053"/>
      <c r="AG23" s="1051"/>
      <c r="AH23" s="1051"/>
      <c r="AI23" s="1051"/>
      <c r="AJ23" s="1052"/>
      <c r="AK23" s="1054"/>
      <c r="AL23" s="1051"/>
      <c r="AM23" s="1051"/>
      <c r="AN23" s="1051"/>
      <c r="AO23" s="1052"/>
      <c r="AP23" s="1054"/>
      <c r="AQ23" s="1051"/>
      <c r="AR23" s="1051"/>
      <c r="AS23" s="1051"/>
      <c r="AT23" s="1052"/>
      <c r="AU23" s="1054"/>
      <c r="AV23" s="1051"/>
      <c r="AW23" s="1051"/>
      <c r="AX23" s="1051"/>
      <c r="AY23" s="1052"/>
      <c r="AZ23" s="1054"/>
      <c r="BA23" s="1051"/>
      <c r="BB23" s="1051"/>
      <c r="BC23" s="1051"/>
      <c r="BD23" s="1052"/>
      <c r="BE23" s="1054"/>
      <c r="BF23" s="1051"/>
      <c r="BG23" s="1051"/>
      <c r="BH23" s="1051"/>
      <c r="BI23" s="1052"/>
      <c r="BJ23" s="1054"/>
      <c r="BK23" s="1051"/>
      <c r="BL23" s="1051"/>
      <c r="BM23" s="1051"/>
      <c r="BN23" s="1052"/>
      <c r="BO23" s="1054"/>
      <c r="BP23" s="1051"/>
      <c r="BQ23" s="1051"/>
      <c r="BR23" s="1051"/>
      <c r="BS23" s="1052"/>
      <c r="BT23" s="1054"/>
      <c r="BU23" s="1051"/>
      <c r="BV23" s="1051"/>
      <c r="BW23" s="1051"/>
      <c r="BX23" s="1052"/>
      <c r="BY23" s="1343"/>
      <c r="BZ23" s="1052"/>
      <c r="CA23" s="1052"/>
      <c r="CB23" s="1052"/>
      <c r="CC23" s="1052"/>
      <c r="CD23" s="1052"/>
      <c r="CE23" s="1052"/>
      <c r="CF23" s="1052"/>
      <c r="CG23" s="1052"/>
      <c r="CH23" s="1052"/>
    </row>
    <row r="24" spans="1:89">
      <c r="A24" s="986" t="s">
        <v>915</v>
      </c>
      <c r="B24" s="1345"/>
      <c r="C24" s="1345"/>
      <c r="D24" s="1345"/>
      <c r="E24" s="1345"/>
      <c r="F24" s="1346"/>
      <c r="G24" s="1345"/>
      <c r="H24" s="1345"/>
      <c r="I24" s="1345"/>
      <c r="J24" s="1345"/>
      <c r="K24" s="1346"/>
      <c r="L24" s="1345"/>
      <c r="M24" s="1345"/>
      <c r="N24" s="1345"/>
      <c r="O24" s="1345"/>
      <c r="P24" s="1346"/>
      <c r="Q24" s="1345"/>
      <c r="R24" s="1345"/>
      <c r="S24" s="1345"/>
      <c r="T24" s="1345"/>
      <c r="U24" s="1346"/>
      <c r="V24" s="1345"/>
      <c r="W24" s="1345"/>
      <c r="X24" s="1345"/>
      <c r="Y24" s="1345"/>
      <c r="Z24" s="1346"/>
      <c r="AA24" s="1345"/>
      <c r="AB24" s="1345"/>
      <c r="AC24" s="1345"/>
      <c r="AD24" s="1345"/>
      <c r="AE24" s="1010"/>
      <c r="AF24" s="1190"/>
      <c r="AG24" s="1190"/>
      <c r="AH24" s="1190"/>
      <c r="AI24" s="1190"/>
      <c r="AJ24" s="1191"/>
      <c r="AK24" s="1190"/>
      <c r="AL24" s="1190"/>
      <c r="AM24" s="1190"/>
      <c r="AN24" s="1190"/>
      <c r="AO24" s="1191"/>
      <c r="AP24" s="1190"/>
      <c r="AQ24" s="1190"/>
      <c r="AR24" s="1190"/>
      <c r="AS24" s="1190"/>
      <c r="AT24" s="1191"/>
      <c r="AU24" s="1190"/>
      <c r="AV24" s="1190"/>
      <c r="AW24" s="1190"/>
      <c r="AX24" s="1190"/>
      <c r="AY24" s="1191"/>
      <c r="AZ24" s="1190">
        <f>AZ91</f>
        <v>3880</v>
      </c>
      <c r="BA24" s="1190">
        <f>BA91</f>
        <v>4530</v>
      </c>
      <c r="BB24" s="1190">
        <f>BB91</f>
        <v>4311</v>
      </c>
      <c r="BC24" s="1190">
        <f>BC91</f>
        <v>5250.5666199999996</v>
      </c>
      <c r="BD24" s="1191">
        <f>SUM(AZ24:BC24)</f>
        <v>17971.566619999998</v>
      </c>
      <c r="BE24" s="1190">
        <f>BE91</f>
        <v>3957.6</v>
      </c>
      <c r="BF24" s="1190">
        <f>BF91</f>
        <v>4711.2</v>
      </c>
      <c r="BG24" s="1190">
        <f>BG91</f>
        <v>4440.33</v>
      </c>
      <c r="BH24" s="1190">
        <f>BH91</f>
        <v>5408.0836185999997</v>
      </c>
      <c r="BI24" s="1191">
        <f>SUM(BE24:BH24)</f>
        <v>18517.213618599999</v>
      </c>
      <c r="BJ24" s="1190">
        <f>BJ91</f>
        <v>4036.752</v>
      </c>
      <c r="BK24" s="1190">
        <f>BK91</f>
        <v>4805.424</v>
      </c>
      <c r="BL24" s="1190">
        <f>BL91</f>
        <v>4529.1365999999998</v>
      </c>
      <c r="BM24" s="1190">
        <f>BM91</f>
        <v>5516.2452909719996</v>
      </c>
      <c r="BN24" s="1191">
        <f>SUM(BJ24:BM24)</f>
        <v>18887.557890971999</v>
      </c>
      <c r="BO24" s="1190">
        <f>BO91</f>
        <v>4117.48704</v>
      </c>
      <c r="BP24" s="1190">
        <f>BP91</f>
        <v>4901.5324799999999</v>
      </c>
      <c r="BQ24" s="1190">
        <f>BQ91</f>
        <v>4619.7193319999997</v>
      </c>
      <c r="BR24" s="1190">
        <f>BR91</f>
        <v>5626.5701967914392</v>
      </c>
      <c r="BS24" s="1191">
        <f>SUM(BO24:BR24)</f>
        <v>19265.309048791438</v>
      </c>
      <c r="BT24" s="1190">
        <f>BT91</f>
        <v>4158.6619104000001</v>
      </c>
      <c r="BU24" s="1190">
        <f>BU91</f>
        <v>4950.5478047999995</v>
      </c>
      <c r="BV24" s="1190">
        <f>BV91</f>
        <v>4665.9165253199999</v>
      </c>
      <c r="BW24" s="1190">
        <f>BW91</f>
        <v>5682.8358987593538</v>
      </c>
      <c r="BX24" s="1191">
        <f>SUM(BT24:BW24)</f>
        <v>19457.962139279352</v>
      </c>
      <c r="BY24" s="1343"/>
      <c r="BZ24" s="1191"/>
      <c r="CA24" s="1191"/>
      <c r="CB24" s="1191">
        <f>SUM(AM24:AN24,AP24:AQ24)</f>
        <v>0</v>
      </c>
      <c r="CC24" s="1191">
        <f>SUM(AR24:AS24,AU24:AV24)</f>
        <v>0</v>
      </c>
      <c r="CD24" s="1191">
        <f>SUM(AW24:AX24,AZ24:BA24)</f>
        <v>8410</v>
      </c>
      <c r="CE24" s="1191">
        <f>SUM(BB24:BC24,BE24:BF24)</f>
        <v>18230.366620000001</v>
      </c>
      <c r="CF24" s="1191">
        <f>SUM(BG24:BH24,BJ24:BK24)</f>
        <v>18690.589618599999</v>
      </c>
      <c r="CG24" s="1191">
        <f>SUM(BL24:BM24,BO24:BP24)</f>
        <v>19064.401410972001</v>
      </c>
      <c r="CH24" s="1191">
        <f>SUM(BQ24:BR24,BT24:BU24)</f>
        <v>19355.499243991439</v>
      </c>
    </row>
    <row r="25" spans="1:89">
      <c r="A25" s="986" t="s">
        <v>503</v>
      </c>
      <c r="B25" s="1345"/>
      <c r="C25" s="1345"/>
      <c r="D25" s="1345"/>
      <c r="E25" s="1345"/>
      <c r="F25" s="1346"/>
      <c r="G25" s="1345"/>
      <c r="H25" s="1345"/>
      <c r="I25" s="1345"/>
      <c r="J25" s="1345"/>
      <c r="K25" s="1346"/>
      <c r="L25" s="1345"/>
      <c r="M25" s="1345"/>
      <c r="N25" s="1345"/>
      <c r="O25" s="1345"/>
      <c r="P25" s="1346"/>
      <c r="Q25" s="1345"/>
      <c r="R25" s="1345"/>
      <c r="S25" s="1345"/>
      <c r="T25" s="1345"/>
      <c r="U25" s="1346"/>
      <c r="V25" s="1345"/>
      <c r="W25" s="1345"/>
      <c r="X25" s="1345"/>
      <c r="Y25" s="1345"/>
      <c r="Z25" s="1346"/>
      <c r="AA25" s="1345"/>
      <c r="AB25" s="1345"/>
      <c r="AC25" s="1345"/>
      <c r="AD25" s="1345"/>
      <c r="AE25" s="1191"/>
      <c r="AF25" s="1190"/>
      <c r="AG25" s="1190"/>
      <c r="AH25" s="1190"/>
      <c r="AI25" s="1190"/>
      <c r="AJ25" s="1191"/>
      <c r="AK25" s="1190">
        <f>AK94</f>
        <v>1089</v>
      </c>
      <c r="AL25" s="1190">
        <f>AL94</f>
        <v>1180</v>
      </c>
      <c r="AM25" s="1190">
        <f>AM94</f>
        <v>1176</v>
      </c>
      <c r="AN25" s="1190">
        <f>AN94</f>
        <v>1250</v>
      </c>
      <c r="AO25" s="1191">
        <f>SUM(AK25:AN25)</f>
        <v>4695</v>
      </c>
      <c r="AP25" s="1190">
        <f>AP94</f>
        <v>1230.57</v>
      </c>
      <c r="AQ25" s="1190">
        <f>AQ94</f>
        <v>1298</v>
      </c>
      <c r="AR25" s="1190">
        <f>AR94</f>
        <v>1258.3200000000002</v>
      </c>
      <c r="AS25" s="1190">
        <f>AS94</f>
        <v>1237.5</v>
      </c>
      <c r="AT25" s="1191">
        <f>SUM(AP25:AS25)</f>
        <v>5024.3899999999994</v>
      </c>
      <c r="AU25" s="1190">
        <f>AU94</f>
        <v>1341.3213000000001</v>
      </c>
      <c r="AV25" s="1190">
        <f>AV94</f>
        <v>1427.8000000000002</v>
      </c>
      <c r="AW25" s="1190">
        <f>AW94</f>
        <v>1396.7352000000003</v>
      </c>
      <c r="AX25" s="1190">
        <f>AX94</f>
        <v>1386.0000000000002</v>
      </c>
      <c r="AY25" s="1191">
        <f>SUM(AU25:AX25)</f>
        <v>5551.8565000000008</v>
      </c>
      <c r="AZ25" s="1190">
        <f>AZ94</f>
        <v>1355</v>
      </c>
      <c r="BA25" s="1190">
        <f>BA94</f>
        <v>1371</v>
      </c>
      <c r="BB25" s="1190">
        <f>BB94</f>
        <v>1383</v>
      </c>
      <c r="BC25" s="1190">
        <f>BC94</f>
        <v>1344.42</v>
      </c>
      <c r="BD25" s="1191">
        <f>SUM(AZ25:BC25)</f>
        <v>5453.42</v>
      </c>
      <c r="BE25" s="1190">
        <f>BE94</f>
        <v>1371</v>
      </c>
      <c r="BF25" s="1190">
        <f>BF94</f>
        <v>1435</v>
      </c>
      <c r="BG25" s="1190">
        <f>BG94</f>
        <v>1489</v>
      </c>
      <c r="BH25" s="1190">
        <f>BH94</f>
        <v>1411.6410000000001</v>
      </c>
      <c r="BI25" s="1191">
        <f>SUM(BE25:BH25)</f>
        <v>5706.6409999999996</v>
      </c>
      <c r="BJ25" s="1190">
        <f>BJ94</f>
        <v>1439.55</v>
      </c>
      <c r="BK25" s="1190">
        <f>BK94</f>
        <v>1506.75</v>
      </c>
      <c r="BL25" s="1190">
        <f>BL94</f>
        <v>1548.56</v>
      </c>
      <c r="BM25" s="1190">
        <f>BM94</f>
        <v>1468.1066400000002</v>
      </c>
      <c r="BN25" s="1191">
        <f>SUM(BJ25:BM25)</f>
        <v>5962.9666400000006</v>
      </c>
      <c r="BO25" s="1190">
        <f>BO94</f>
        <v>1497.1320000000001</v>
      </c>
      <c r="BP25" s="1190">
        <f>BP94</f>
        <v>1567.02</v>
      </c>
      <c r="BQ25" s="1190">
        <f>BQ94</f>
        <v>1610.5024000000001</v>
      </c>
      <c r="BR25" s="1190">
        <f>BR94</f>
        <v>1526.8309056000003</v>
      </c>
      <c r="BS25" s="1191">
        <f>SUM(BO25:BR25)</f>
        <v>6201.4853056000011</v>
      </c>
      <c r="BT25" s="1190">
        <f>BT94</f>
        <v>1542.0459600000002</v>
      </c>
      <c r="BU25" s="1190">
        <f>BU94</f>
        <v>1614.0306</v>
      </c>
      <c r="BV25" s="1190">
        <f>BV94</f>
        <v>1658.8174720000002</v>
      </c>
      <c r="BW25" s="1190">
        <f>BW94</f>
        <v>1572.6358327680002</v>
      </c>
      <c r="BX25" s="1191">
        <f>SUM(BT25:BW25)</f>
        <v>6387.5298647680002</v>
      </c>
      <c r="BY25" s="1343"/>
      <c r="BZ25" s="1191"/>
      <c r="CA25" s="1191"/>
      <c r="CB25" s="1191">
        <f>SUM(AM25:AN25,AP25:AQ25)</f>
        <v>4954.57</v>
      </c>
      <c r="CC25" s="1191">
        <f>SUM(AR25:AS25,AU25:AV25)</f>
        <v>5264.9413000000004</v>
      </c>
      <c r="CD25" s="1191">
        <f>SUM(AW25:AX25,AZ25:BA25)</f>
        <v>5508.735200000001</v>
      </c>
      <c r="CE25" s="1191">
        <f>SUM(BB25:BC25,BE25:BF25)</f>
        <v>5533.42</v>
      </c>
      <c r="CF25" s="1191">
        <f>SUM(BG25:BH25,BJ25:BK25)</f>
        <v>5846.9409999999998</v>
      </c>
      <c r="CG25" s="1191">
        <f>SUM(BL25:BM25,BO25:BP25)</f>
        <v>6080.8186400000013</v>
      </c>
      <c r="CH25" s="1191">
        <f>SUM(BQ25:BR25,BT25:BU25)</f>
        <v>6293.4098656000006</v>
      </c>
    </row>
    <row r="26" spans="1:89">
      <c r="A26" s="986" t="s">
        <v>504</v>
      </c>
      <c r="B26" s="1345"/>
      <c r="C26" s="1345"/>
      <c r="D26" s="1345"/>
      <c r="E26" s="1345"/>
      <c r="F26" s="1346"/>
      <c r="G26" s="1345"/>
      <c r="H26" s="1345"/>
      <c r="I26" s="1345"/>
      <c r="J26" s="1345"/>
      <c r="K26" s="1346"/>
      <c r="L26" s="1345"/>
      <c r="M26" s="1345"/>
      <c r="N26" s="1345"/>
      <c r="O26" s="1345"/>
      <c r="P26" s="1346"/>
      <c r="Q26" s="1345"/>
      <c r="R26" s="1345"/>
      <c r="S26" s="1345"/>
      <c r="T26" s="1345"/>
      <c r="U26" s="1346"/>
      <c r="V26" s="1345"/>
      <c r="W26" s="1345"/>
      <c r="X26" s="1345"/>
      <c r="Y26" s="1345"/>
      <c r="Z26" s="1346"/>
      <c r="AA26" s="1345"/>
      <c r="AB26" s="1345"/>
      <c r="AC26" s="1345"/>
      <c r="AD26" s="1345"/>
      <c r="AE26" s="1346"/>
      <c r="AF26" s="1190"/>
      <c r="AG26" s="1190"/>
      <c r="AH26" s="1190"/>
      <c r="AI26" s="1190"/>
      <c r="AJ26" s="1191"/>
      <c r="AK26" s="1190">
        <f>AK97</f>
        <v>72.463768115942031</v>
      </c>
      <c r="AL26" s="1190">
        <f>AL97</f>
        <v>83.846658888373113</v>
      </c>
      <c r="AM26" s="1190">
        <f>AM97</f>
        <v>124.75722320281905</v>
      </c>
      <c r="AN26" s="1190">
        <f>AN97</f>
        <v>141.5</v>
      </c>
      <c r="AO26" s="1191">
        <f>SUM(AK26:AN26)</f>
        <v>422.56765020713419</v>
      </c>
      <c r="AP26" s="1190">
        <f>AP97</f>
        <v>166.66666666666666</v>
      </c>
      <c r="AQ26" s="1190">
        <f>AQ97</f>
        <v>176.07798366558353</v>
      </c>
      <c r="AR26" s="1190">
        <f>AR97</f>
        <v>243.27658524549713</v>
      </c>
      <c r="AS26" s="1190">
        <f>AS97</f>
        <v>318.375</v>
      </c>
      <c r="AT26" s="1191">
        <f>SUM(AP26:AS26)</f>
        <v>904.39623557774735</v>
      </c>
      <c r="AU26" s="1190">
        <f>AU97</f>
        <v>375</v>
      </c>
      <c r="AV26" s="1190">
        <f>AV97</f>
        <v>415.54404145077717</v>
      </c>
      <c r="AW26" s="1190">
        <f>AW97</f>
        <v>510.88082901554401</v>
      </c>
      <c r="AX26" s="1190">
        <f>AX97</f>
        <v>643.11749999999995</v>
      </c>
      <c r="AY26" s="1191">
        <f>SUM(AU26:AX26)</f>
        <v>1944.5423704663212</v>
      </c>
      <c r="AZ26" s="1190">
        <f>AZ97</f>
        <v>810</v>
      </c>
      <c r="BA26" s="1190">
        <f>BA97</f>
        <v>802</v>
      </c>
      <c r="BB26" s="1190">
        <f>BB97</f>
        <v>986</v>
      </c>
      <c r="BC26" s="1190">
        <f>BC97</f>
        <v>1266.9414749999999</v>
      </c>
      <c r="BD26" s="1191">
        <f>SUM(AZ26:BC26)</f>
        <v>3864.9414749999996</v>
      </c>
      <c r="BE26" s="1190">
        <f>BE97</f>
        <v>1539</v>
      </c>
      <c r="BF26" s="1190">
        <f>BF97</f>
        <v>1587.96</v>
      </c>
      <c r="BG26" s="1190">
        <f>BG97</f>
        <v>1905.4450000000002</v>
      </c>
      <c r="BH26" s="1190">
        <f>BH97</f>
        <v>2318.5028992499997</v>
      </c>
      <c r="BI26" s="1191">
        <f>SUM(BE26:BH26)</f>
        <v>7350.9078992499999</v>
      </c>
      <c r="BJ26" s="1190">
        <f>BJ97</f>
        <v>2739.42</v>
      </c>
      <c r="BK26" s="1190">
        <f>BK97</f>
        <v>2794.8096</v>
      </c>
      <c r="BL26" s="1190">
        <f>BL97</f>
        <v>3334.5287500000004</v>
      </c>
      <c r="BM26" s="1190">
        <f>BM97</f>
        <v>4057.3800736874996</v>
      </c>
      <c r="BN26" s="1191">
        <f>SUM(BJ26:BM26)</f>
        <v>12926.1384236875</v>
      </c>
      <c r="BO26" s="1190">
        <f>BO97</f>
        <v>4492.6488000000008</v>
      </c>
      <c r="BP26" s="1190">
        <f>BP97</f>
        <v>4527.5915520000008</v>
      </c>
      <c r="BQ26" s="1190">
        <f>BQ97</f>
        <v>5368.5912875000004</v>
      </c>
      <c r="BR26" s="1190">
        <f>BR97</f>
        <v>6532.3819186368737</v>
      </c>
      <c r="BS26" s="1191">
        <f>SUM(BO26:BR26)</f>
        <v>20921.213558136875</v>
      </c>
      <c r="BT26" s="1190">
        <f>BT97</f>
        <v>6694.0467120000012</v>
      </c>
      <c r="BU26" s="1190">
        <f>BU97</f>
        <v>6565.007750400001</v>
      </c>
      <c r="BV26" s="1190">
        <f>BV97</f>
        <v>7569.713715375</v>
      </c>
      <c r="BW26" s="1190">
        <f>BW97</f>
        <v>9210.6585052779919</v>
      </c>
      <c r="BX26" s="1191">
        <f>SUM(BT26:BW26)</f>
        <v>30039.426683052996</v>
      </c>
      <c r="BY26" s="1343"/>
      <c r="BZ26" s="1191"/>
      <c r="CA26" s="1191"/>
      <c r="CB26" s="1191">
        <f>SUM(AM26:AN26,AP26:AQ26)</f>
        <v>609.00187353506931</v>
      </c>
      <c r="CC26" s="1191">
        <f>SUM(AR26:AS26,AU26:AV26)</f>
        <v>1352.1956266962743</v>
      </c>
      <c r="CD26" s="1191">
        <f>SUM(AW26:AX26,AZ26:BA26)</f>
        <v>2765.9983290155442</v>
      </c>
      <c r="CE26" s="1191">
        <f>SUM(BB26:BC26,BE26:BF26)</f>
        <v>5379.9014749999997</v>
      </c>
      <c r="CF26" s="1191">
        <f>SUM(BG26:BH26,BJ26:BK26)</f>
        <v>9758.1774992499995</v>
      </c>
      <c r="CG26" s="1191">
        <f>SUM(BL26:BM26,BO26:BP26)</f>
        <v>16412.1491756875</v>
      </c>
      <c r="CH26" s="1191">
        <f>SUM(BQ26:BR26,BT26:BU26)</f>
        <v>25160.027668536874</v>
      </c>
    </row>
    <row r="27" spans="1:89" ht="13.5" thickBot="1">
      <c r="A27" s="1175" t="s">
        <v>280</v>
      </c>
      <c r="B27" s="1345"/>
      <c r="C27" s="1345"/>
      <c r="D27" s="1345"/>
      <c r="E27" s="1345"/>
      <c r="F27" s="1346"/>
      <c r="G27" s="1345"/>
      <c r="H27" s="1345"/>
      <c r="I27" s="1345"/>
      <c r="J27" s="1345"/>
      <c r="K27" s="1346"/>
      <c r="L27" s="1345"/>
      <c r="M27" s="1345"/>
      <c r="N27" s="1345"/>
      <c r="O27" s="1345"/>
      <c r="P27" s="1346"/>
      <c r="Q27" s="1345"/>
      <c r="R27" s="1345"/>
      <c r="S27" s="1345"/>
      <c r="T27" s="1345"/>
      <c r="U27" s="1346"/>
      <c r="V27" s="1345"/>
      <c r="W27" s="1345"/>
      <c r="X27" s="1345"/>
      <c r="Y27" s="1345"/>
      <c r="Z27" s="1346"/>
      <c r="AA27" s="1345"/>
      <c r="AB27" s="1345"/>
      <c r="AC27" s="1345"/>
      <c r="AD27" s="1345"/>
      <c r="AE27" s="1346"/>
      <c r="AF27" s="1347"/>
      <c r="AG27" s="1347"/>
      <c r="AH27" s="1347"/>
      <c r="AI27" s="1347"/>
      <c r="AJ27" s="1346"/>
      <c r="AK27" s="1190"/>
      <c r="AL27" s="1190"/>
      <c r="AM27" s="1190"/>
      <c r="AN27" s="1190"/>
      <c r="AO27" s="1191"/>
      <c r="AP27" s="1190"/>
      <c r="AQ27" s="1190"/>
      <c r="AR27" s="1190"/>
      <c r="AS27" s="1190"/>
      <c r="AT27" s="1191"/>
      <c r="AU27" s="1190"/>
      <c r="AV27" s="1190"/>
      <c r="AW27" s="1190"/>
      <c r="AX27" s="1190"/>
      <c r="AY27" s="1191"/>
      <c r="AZ27" s="1190">
        <f>AZ28-SUM(AZ24:AZ26)</f>
        <v>52</v>
      </c>
      <c r="BA27" s="1190">
        <f>BA28-SUM(BA24:BA26)</f>
        <v>55</v>
      </c>
      <c r="BB27" s="1190">
        <f>BB28-SUM(BB24:BB26)</f>
        <v>50</v>
      </c>
      <c r="BC27" s="1190">
        <f>BC28-SUM(BC24:BC26)</f>
        <v>-39.928094999999303</v>
      </c>
      <c r="BD27" s="1191">
        <f>SUM(AZ27:BC27)</f>
        <v>117.0719050000007</v>
      </c>
      <c r="BE27" s="1190">
        <f>BE28-SUM(BE24:BE26)</f>
        <v>54.399999999999636</v>
      </c>
      <c r="BF27" s="1190">
        <f>BF28-SUM(BF24:BF26)</f>
        <v>60.840000000000146</v>
      </c>
      <c r="BG27" s="1190">
        <f>BG28-SUM(BG24:BG26)</f>
        <v>61.225000000000364</v>
      </c>
      <c r="BH27" s="1190">
        <f>BH100</f>
        <v>0</v>
      </c>
      <c r="BI27" s="1191">
        <f>SUM(BE27:BH27)</f>
        <v>176.46500000000015</v>
      </c>
      <c r="BJ27" s="1190">
        <f t="shared" ref="BJ27:BW27" si="63">BJ100</f>
        <v>54.400000000000091</v>
      </c>
      <c r="BK27" s="1190">
        <f t="shared" si="63"/>
        <v>60.840000000000146</v>
      </c>
      <c r="BL27" s="1190">
        <f t="shared" si="63"/>
        <v>61.224999999999909</v>
      </c>
      <c r="BM27" s="1190">
        <f t="shared" si="63"/>
        <v>50</v>
      </c>
      <c r="BN27" s="1191">
        <f>SUM(BJ27:BM27)</f>
        <v>226.46500000000015</v>
      </c>
      <c r="BO27" s="1190">
        <f t="shared" si="63"/>
        <v>54.400000000000091</v>
      </c>
      <c r="BP27" s="1190">
        <f t="shared" si="63"/>
        <v>60.840000000000146</v>
      </c>
      <c r="BQ27" s="1190">
        <f t="shared" si="63"/>
        <v>61.224999999999909</v>
      </c>
      <c r="BR27" s="1190">
        <f t="shared" si="63"/>
        <v>50</v>
      </c>
      <c r="BS27" s="1191">
        <f>SUM(BO27:BR27)</f>
        <v>226.46500000000015</v>
      </c>
      <c r="BT27" s="1190">
        <f t="shared" si="63"/>
        <v>54.400000000000091</v>
      </c>
      <c r="BU27" s="1190">
        <f t="shared" si="63"/>
        <v>60.840000000000146</v>
      </c>
      <c r="BV27" s="1190">
        <f t="shared" si="63"/>
        <v>61.224999999999909</v>
      </c>
      <c r="BW27" s="1190">
        <f t="shared" si="63"/>
        <v>50</v>
      </c>
      <c r="BX27" s="1191">
        <f>SUM(BT27:BW27)</f>
        <v>226.46500000000015</v>
      </c>
      <c r="BY27" s="1343"/>
      <c r="BZ27" s="1191"/>
      <c r="CA27" s="1191"/>
      <c r="CB27" s="1191">
        <f>SUM(AM27:AN27,AP27:AQ27)</f>
        <v>0</v>
      </c>
      <c r="CC27" s="1191">
        <f>SUM(AR27:AS27,AU27:AV27)</f>
        <v>0</v>
      </c>
      <c r="CD27" s="1191">
        <f>SUM(AW27:AX27,AZ27:BA27)</f>
        <v>107</v>
      </c>
      <c r="CE27" s="1191">
        <f>SUM(BB27:BC27,BE27:BF27)</f>
        <v>125.31190500000048</v>
      </c>
      <c r="CF27" s="1191">
        <f>SUM(BG27:BH27,BJ27:BK27)</f>
        <v>176.4650000000006</v>
      </c>
      <c r="CG27" s="1191">
        <f>SUM(BL27:BM27,BO27:BP27)</f>
        <v>226.46500000000015</v>
      </c>
      <c r="CH27" s="1191">
        <f>SUM(BQ27:BR27,BT27:BU27)</f>
        <v>226.46500000000015</v>
      </c>
    </row>
    <row r="28" spans="1:89">
      <c r="A28" s="1477" t="s">
        <v>1045</v>
      </c>
      <c r="B28" s="1478"/>
      <c r="C28" s="1478"/>
      <c r="D28" s="1478"/>
      <c r="E28" s="1478"/>
      <c r="F28" s="1479"/>
      <c r="G28" s="1478"/>
      <c r="H28" s="1478"/>
      <c r="I28" s="1478"/>
      <c r="J28" s="1478"/>
      <c r="K28" s="1479"/>
      <c r="L28" s="1478"/>
      <c r="M28" s="1478"/>
      <c r="N28" s="1478"/>
      <c r="O28" s="1478"/>
      <c r="P28" s="1479"/>
      <c r="Q28" s="1478"/>
      <c r="R28" s="1478"/>
      <c r="S28" s="1478"/>
      <c r="T28" s="1478"/>
      <c r="U28" s="1479"/>
      <c r="V28" s="1478"/>
      <c r="W28" s="1478"/>
      <c r="X28" s="1478"/>
      <c r="Y28" s="1478"/>
      <c r="Z28" s="1479"/>
      <c r="AA28" s="1478"/>
      <c r="AB28" s="1478"/>
      <c r="AC28" s="1478"/>
      <c r="AD28" s="1478"/>
      <c r="AE28" s="1479"/>
      <c r="AF28" s="1478"/>
      <c r="AG28" s="1478"/>
      <c r="AH28" s="1478"/>
      <c r="AI28" s="1478"/>
      <c r="AJ28" s="1479"/>
      <c r="AK28" s="1478"/>
      <c r="AL28" s="1478"/>
      <c r="AM28" s="1478"/>
      <c r="AN28" s="1478"/>
      <c r="AO28" s="1479"/>
      <c r="AP28" s="1478"/>
      <c r="AQ28" s="1478"/>
      <c r="AR28" s="1478"/>
      <c r="AS28" s="1478"/>
      <c r="AT28" s="1479"/>
      <c r="AU28" s="1478">
        <f>'Rev Overview'!BU17</f>
        <v>5583</v>
      </c>
      <c r="AV28" s="1478">
        <f>'Rev Overview'!BV17</f>
        <v>6260</v>
      </c>
      <c r="AW28" s="1478">
        <f>'Rev Overview'!BW17</f>
        <v>5923</v>
      </c>
      <c r="AX28" s="1478">
        <f>'Rev Overview'!BX17</f>
        <v>7186</v>
      </c>
      <c r="AY28" s="1479">
        <f>SUM(AU28:AX28)</f>
        <v>24952</v>
      </c>
      <c r="AZ28" s="1478">
        <f>'Rev Overview'!BZ17</f>
        <v>6097</v>
      </c>
      <c r="BA28" s="1478">
        <f>'Rev Overview'!CA17</f>
        <v>6758</v>
      </c>
      <c r="BB28" s="1478">
        <f>'Rev Overview'!CB17</f>
        <v>6730</v>
      </c>
      <c r="BC28" s="1478">
        <f>'Rev Overview'!CC17</f>
        <v>7822</v>
      </c>
      <c r="BD28" s="1479">
        <f>SUM(AZ28:BC28)</f>
        <v>27407</v>
      </c>
      <c r="BE28" s="1478">
        <f>'Rev Overview'!CE17</f>
        <v>6922</v>
      </c>
      <c r="BF28" s="1478">
        <f>'Rev Overview'!CF17</f>
        <v>7795</v>
      </c>
      <c r="BG28" s="1478">
        <f>'Rev Overview'!CG17</f>
        <v>7896</v>
      </c>
      <c r="BH28" s="1478">
        <f t="shared" ref="BG28:BH28" si="64">SUM(BH24:BH27)</f>
        <v>9138.2275178499985</v>
      </c>
      <c r="BI28" s="1479">
        <f>SUM(BE28:BH28)</f>
        <v>31751.227517849999</v>
      </c>
      <c r="BJ28" s="1478">
        <f>SUM(BJ24:BJ27)</f>
        <v>8270.1219999999994</v>
      </c>
      <c r="BK28" s="1478">
        <f>SUM(BK24:BK27)</f>
        <v>9167.8235999999997</v>
      </c>
      <c r="BL28" s="1478">
        <f>SUM(BL24:BL27)</f>
        <v>9473.450350000001</v>
      </c>
      <c r="BM28" s="1478">
        <f>SUM(BM24:BM27)</f>
        <v>11091.7320046595</v>
      </c>
      <c r="BN28" s="1479">
        <f>SUM(BJ28:BM28)</f>
        <v>38003.127954659496</v>
      </c>
      <c r="BO28" s="1478">
        <f>SUM(BO24:BO27)</f>
        <v>10161.66784</v>
      </c>
      <c r="BP28" s="1478">
        <f>SUM(BP24:BP27)</f>
        <v>11056.984032</v>
      </c>
      <c r="BQ28" s="1478">
        <f>SUM(BQ24:BQ27)</f>
        <v>11660.038019500002</v>
      </c>
      <c r="BR28" s="1478">
        <f>SUM(BR24:BR27)</f>
        <v>13735.783021028314</v>
      </c>
      <c r="BS28" s="1479">
        <f>SUM(BO28:BR28)</f>
        <v>46614.472912528319</v>
      </c>
      <c r="BT28" s="1478">
        <f>SUM(BT24:BT27)</f>
        <v>12449.1545824</v>
      </c>
      <c r="BU28" s="1478">
        <f>SUM(BU24:BU27)</f>
        <v>13190.426155200001</v>
      </c>
      <c r="BV28" s="1478">
        <f>SUM(BV24:BV27)</f>
        <v>13955.672712695001</v>
      </c>
      <c r="BW28" s="1478">
        <f>SUM(BW24:BW27)</f>
        <v>16516.130236805344</v>
      </c>
      <c r="BX28" s="1479">
        <f>SUM(BT28:BW28)</f>
        <v>56111.383687100344</v>
      </c>
      <c r="BY28" s="1343"/>
      <c r="BZ28" s="1479"/>
      <c r="CA28" s="1479"/>
      <c r="CB28" s="1479">
        <f>SUM(AM28:AN28,AP28:AQ28)</f>
        <v>0</v>
      </c>
      <c r="CC28" s="1479">
        <f>SUM(AR28:AS28,AU28:AV28)</f>
        <v>11843</v>
      </c>
      <c r="CD28" s="1479">
        <f>SUM(AW28:AX28,AZ28:BA28)</f>
        <v>25964</v>
      </c>
      <c r="CE28" s="1479">
        <f>SUM(BB28:BC28,BE28:BF28)</f>
        <v>29269</v>
      </c>
      <c r="CF28" s="1479">
        <f>SUM(BG28:BH28,BJ28:BK28)</f>
        <v>34472.173117849998</v>
      </c>
      <c r="CG28" s="1479">
        <f>SUM(BL28:BM28,BO28:BP28)</f>
        <v>41783.834226659499</v>
      </c>
      <c r="CH28" s="1479">
        <f>SUM(BQ28:BR28,BT28:BU28)</f>
        <v>51035.401778128318</v>
      </c>
    </row>
    <row r="29" spans="1:89" ht="13.5" thickBot="1">
      <c r="A29" s="1480" t="s">
        <v>163</v>
      </c>
      <c r="B29" s="1481"/>
      <c r="C29" s="1481"/>
      <c r="D29" s="1481"/>
      <c r="E29" s="1481"/>
      <c r="F29" s="1482"/>
      <c r="G29" s="1481"/>
      <c r="H29" s="1481"/>
      <c r="I29" s="1481"/>
      <c r="J29" s="1481"/>
      <c r="K29" s="1482"/>
      <c r="L29" s="1481"/>
      <c r="M29" s="1481"/>
      <c r="N29" s="1481"/>
      <c r="O29" s="1481"/>
      <c r="P29" s="1482"/>
      <c r="Q29" s="1481"/>
      <c r="R29" s="1481"/>
      <c r="S29" s="1481"/>
      <c r="T29" s="1481"/>
      <c r="U29" s="1482"/>
      <c r="V29" s="1481"/>
      <c r="W29" s="1481"/>
      <c r="X29" s="1481"/>
      <c r="Y29" s="1481"/>
      <c r="Z29" s="1482"/>
      <c r="AA29" s="1481"/>
      <c r="AB29" s="1481"/>
      <c r="AC29" s="1481"/>
      <c r="AD29" s="1481"/>
      <c r="AE29" s="1482"/>
      <c r="AF29" s="1483"/>
      <c r="AG29" s="1483"/>
      <c r="AH29" s="1483"/>
      <c r="AI29" s="1483"/>
      <c r="AJ29" s="1482"/>
      <c r="AK29" s="1483"/>
      <c r="AL29" s="1483"/>
      <c r="AM29" s="1483"/>
      <c r="AN29" s="1483"/>
      <c r="AO29" s="1486"/>
      <c r="AP29" s="1485"/>
      <c r="AQ29" s="1485"/>
      <c r="AR29" s="1485"/>
      <c r="AS29" s="1485"/>
      <c r="AT29" s="1486"/>
      <c r="AU29" s="1485"/>
      <c r="AV29" s="1485"/>
      <c r="AW29" s="1485"/>
      <c r="AX29" s="1485"/>
      <c r="AY29" s="1486"/>
      <c r="AZ29" s="1485">
        <f t="shared" ref="AZ29:BS29" si="65">IFERROR(AZ28/AU28-1,"")</f>
        <v>9.2065197922263975E-2</v>
      </c>
      <c r="BA29" s="1485">
        <f t="shared" si="65"/>
        <v>7.9552715654952033E-2</v>
      </c>
      <c r="BB29" s="1485">
        <f t="shared" si="65"/>
        <v>0.13624852270808718</v>
      </c>
      <c r="BC29" s="1485">
        <f t="shared" si="65"/>
        <v>8.8505427219593757E-2</v>
      </c>
      <c r="BD29" s="1486">
        <f t="shared" si="65"/>
        <v>9.8388906700865641E-2</v>
      </c>
      <c r="BE29" s="1485">
        <f t="shared" si="65"/>
        <v>0.13531244874528459</v>
      </c>
      <c r="BF29" s="1485">
        <f t="shared" si="65"/>
        <v>0.1534477656111275</v>
      </c>
      <c r="BG29" s="1485">
        <f t="shared" si="65"/>
        <v>0.17325408618127791</v>
      </c>
      <c r="BH29" s="1485">
        <f t="shared" si="65"/>
        <v>0.16827250292124751</v>
      </c>
      <c r="BI29" s="1486">
        <f t="shared" si="65"/>
        <v>0.15850795482358526</v>
      </c>
      <c r="BJ29" s="1485">
        <f t="shared" si="65"/>
        <v>0.19475902918231713</v>
      </c>
      <c r="BK29" s="1485">
        <f t="shared" si="65"/>
        <v>0.17611592046183455</v>
      </c>
      <c r="BL29" s="1485">
        <f t="shared" si="65"/>
        <v>0.19977841312056754</v>
      </c>
      <c r="BM29" s="1485">
        <f t="shared" si="65"/>
        <v>0.21377280035911306</v>
      </c>
      <c r="BN29" s="1486">
        <f t="shared" si="65"/>
        <v>0.19690263733251845</v>
      </c>
      <c r="BO29" s="1485">
        <f t="shared" si="65"/>
        <v>0.22872042758256783</v>
      </c>
      <c r="BP29" s="1485">
        <f t="shared" si="65"/>
        <v>0.2060642213927415</v>
      </c>
      <c r="BQ29" s="1485">
        <f t="shared" si="65"/>
        <v>0.23081217388762698</v>
      </c>
      <c r="BR29" s="1485">
        <f t="shared" si="65"/>
        <v>0.23838035531854551</v>
      </c>
      <c r="BS29" s="1486">
        <f t="shared" si="65"/>
        <v>0.22659568886389536</v>
      </c>
      <c r="BT29" s="1485">
        <f t="shared" ref="BT29" si="66">IFERROR(BT28/BO28-1,"")</f>
        <v>0.22510937952484777</v>
      </c>
      <c r="BU29" s="1485">
        <f t="shared" ref="BU29" si="67">IFERROR(BU28/BP28-1,"")</f>
        <v>0.1929497335824677</v>
      </c>
      <c r="BV29" s="1485">
        <f t="shared" ref="BV29" si="68">IFERROR(BV28/BQ28-1,"")</f>
        <v>0.19688054956217371</v>
      </c>
      <c r="BW29" s="1485">
        <f t="shared" ref="BW29" si="69">IFERROR(BW28/BR28-1,"")</f>
        <v>0.20241636108553518</v>
      </c>
      <c r="BX29" s="1486">
        <f t="shared" ref="BX29" si="70">IFERROR(BX28/BS28-1,"")</f>
        <v>0.20373309363366388</v>
      </c>
      <c r="BY29" s="1343"/>
      <c r="BZ29" s="1486"/>
      <c r="CA29" s="1486"/>
      <c r="CB29" s="1486"/>
      <c r="CC29" s="1486" t="e">
        <f t="shared" ref="CC29:CH29" si="71">CC28/CB28-1</f>
        <v>#DIV/0!</v>
      </c>
      <c r="CD29" s="1486">
        <f t="shared" si="71"/>
        <v>1.192349911340032</v>
      </c>
      <c r="CE29" s="1486">
        <f t="shared" si="71"/>
        <v>0.12729163457094428</v>
      </c>
      <c r="CF29" s="1486">
        <f t="shared" si="71"/>
        <v>0.17777078539922786</v>
      </c>
      <c r="CG29" s="1486">
        <f t="shared" si="71"/>
        <v>0.21210328353286956</v>
      </c>
      <c r="CH29" s="1486">
        <f t="shared" si="71"/>
        <v>0.2214149975151396</v>
      </c>
    </row>
    <row r="30" spans="1:89">
      <c r="B30" s="1345"/>
      <c r="C30" s="1345"/>
      <c r="D30" s="1345"/>
      <c r="E30" s="1345"/>
      <c r="F30" s="1346"/>
      <c r="G30" s="1345"/>
      <c r="H30" s="1345"/>
      <c r="I30" s="1345"/>
      <c r="J30" s="1345"/>
      <c r="K30" s="1346"/>
      <c r="L30" s="1345"/>
      <c r="M30" s="1345"/>
      <c r="N30" s="1345"/>
      <c r="O30" s="1345"/>
      <c r="P30" s="1346"/>
      <c r="Q30" s="1345"/>
      <c r="R30" s="1345"/>
      <c r="S30" s="1345"/>
      <c r="T30" s="1345"/>
      <c r="U30" s="1346"/>
      <c r="V30" s="1345"/>
      <c r="W30" s="1345"/>
      <c r="X30" s="1345"/>
      <c r="Y30" s="1345"/>
      <c r="Z30" s="1346"/>
      <c r="AA30" s="1345"/>
      <c r="AB30" s="1345"/>
      <c r="AC30" s="1345"/>
      <c r="AD30" s="1345"/>
      <c r="AE30" s="1346"/>
      <c r="AF30" s="1347"/>
      <c r="AG30" s="1347"/>
      <c r="AH30" s="1347"/>
      <c r="AI30" s="1347"/>
      <c r="AJ30" s="1346"/>
      <c r="AK30" s="1347"/>
      <c r="AL30" s="1347"/>
      <c r="AM30" s="1347"/>
      <c r="AN30" s="1347"/>
      <c r="AO30" s="1344"/>
      <c r="AP30" s="1347"/>
      <c r="AQ30" s="1347"/>
      <c r="AR30" s="1347"/>
      <c r="AS30" s="1347"/>
      <c r="AT30" s="1346"/>
      <c r="AU30" s="1347"/>
      <c r="AV30" s="1347"/>
      <c r="AW30" s="1347"/>
      <c r="AX30" s="1347"/>
      <c r="AY30" s="1346"/>
      <c r="AZ30" s="1347"/>
      <c r="BA30" s="1347"/>
      <c r="BB30" s="1347"/>
      <c r="BC30" s="1347"/>
      <c r="BD30" s="1344"/>
      <c r="BE30" s="1347"/>
      <c r="BF30" s="1347"/>
      <c r="BG30" s="1347"/>
      <c r="BH30" s="1347"/>
      <c r="BI30" s="1344"/>
      <c r="BJ30" s="1347"/>
      <c r="BK30" s="1347"/>
      <c r="BL30" s="1347"/>
      <c r="BM30" s="1347"/>
      <c r="BN30" s="1344"/>
      <c r="BO30" s="1347"/>
      <c r="BP30" s="1347"/>
      <c r="BQ30" s="1347"/>
      <c r="BR30" s="1347"/>
      <c r="BS30" s="1344"/>
      <c r="BT30" s="1347"/>
      <c r="BU30" s="1347"/>
      <c r="BV30" s="1347"/>
      <c r="BW30" s="1347"/>
      <c r="BX30" s="1344"/>
      <c r="BY30" s="1343"/>
      <c r="BZ30" s="1344"/>
      <c r="CA30" s="1344"/>
      <c r="CB30" s="1344"/>
      <c r="CC30" s="1344"/>
      <c r="CD30" s="1344"/>
      <c r="CE30" s="1344"/>
      <c r="CF30" s="1344"/>
      <c r="CG30" s="1344"/>
      <c r="CH30" s="1344"/>
    </row>
    <row r="31" spans="1:89">
      <c r="A31" s="1050" t="s">
        <v>1047</v>
      </c>
      <c r="B31" s="1051"/>
      <c r="C31" s="1051"/>
      <c r="D31" s="1051"/>
      <c r="E31" s="1051"/>
      <c r="F31" s="1052"/>
      <c r="G31" s="1051"/>
      <c r="H31" s="1051"/>
      <c r="I31" s="1051"/>
      <c r="J31" s="1051"/>
      <c r="K31" s="1052"/>
      <c r="L31" s="1051"/>
      <c r="M31" s="1051"/>
      <c r="N31" s="1051"/>
      <c r="O31" s="1051"/>
      <c r="P31" s="1052"/>
      <c r="Q31" s="1051"/>
      <c r="R31" s="1051"/>
      <c r="S31" s="1051"/>
      <c r="T31" s="1051"/>
      <c r="U31" s="1052"/>
      <c r="V31" s="1051"/>
      <c r="W31" s="1051"/>
      <c r="X31" s="1051"/>
      <c r="Y31" s="1051"/>
      <c r="Z31" s="1052"/>
      <c r="AA31" s="1051"/>
      <c r="AB31" s="1051"/>
      <c r="AC31" s="1051"/>
      <c r="AD31" s="1051"/>
      <c r="AE31" s="1052"/>
      <c r="AF31" s="1053"/>
      <c r="AG31" s="1051"/>
      <c r="AH31" s="1051"/>
      <c r="AI31" s="1051"/>
      <c r="AJ31" s="1052"/>
      <c r="AK31" s="1054"/>
      <c r="AL31" s="1051"/>
      <c r="AM31" s="1051"/>
      <c r="AN31" s="1051"/>
      <c r="AO31" s="1052"/>
      <c r="AP31" s="1054"/>
      <c r="AQ31" s="1051"/>
      <c r="AR31" s="1051"/>
      <c r="AS31" s="1051"/>
      <c r="AT31" s="1052"/>
      <c r="AU31" s="1054"/>
      <c r="AV31" s="1051"/>
      <c r="AW31" s="1051"/>
      <c r="AX31" s="1051"/>
      <c r="AY31" s="1052"/>
      <c r="AZ31" s="1054"/>
      <c r="BA31" s="1051"/>
      <c r="BB31" s="1051"/>
      <c r="BC31" s="1051"/>
      <c r="BD31" s="1052"/>
      <c r="BE31" s="1054"/>
      <c r="BF31" s="1051"/>
      <c r="BG31" s="1051"/>
      <c r="BH31" s="1051"/>
      <c r="BI31" s="1052"/>
      <c r="BJ31" s="1054"/>
      <c r="BK31" s="1051"/>
      <c r="BL31" s="1051"/>
      <c r="BM31" s="1051"/>
      <c r="BN31" s="1052"/>
      <c r="BO31" s="1054"/>
      <c r="BP31" s="1051"/>
      <c r="BQ31" s="1051"/>
      <c r="BR31" s="1051"/>
      <c r="BS31" s="1052"/>
      <c r="BT31" s="1054"/>
      <c r="BU31" s="1051"/>
      <c r="BV31" s="1051"/>
      <c r="BW31" s="1051"/>
      <c r="BX31" s="1052"/>
      <c r="BY31" s="1343"/>
      <c r="BZ31" s="1052"/>
      <c r="CA31" s="1052"/>
      <c r="CB31" s="1052"/>
      <c r="CC31" s="1052"/>
      <c r="CD31" s="1052"/>
      <c r="CE31" s="1052"/>
      <c r="CF31" s="1052"/>
      <c r="CG31" s="1052"/>
      <c r="CH31" s="1052"/>
    </row>
    <row r="32" spans="1:89">
      <c r="A32" s="1175" t="s">
        <v>1066</v>
      </c>
      <c r="B32" s="1345"/>
      <c r="C32" s="1345"/>
      <c r="D32" s="1345"/>
      <c r="E32" s="1345"/>
      <c r="F32" s="1346"/>
      <c r="G32" s="1345"/>
      <c r="H32" s="1345"/>
      <c r="I32" s="1345"/>
      <c r="J32" s="1345"/>
      <c r="K32" s="1346"/>
      <c r="L32" s="1345"/>
      <c r="M32" s="1345"/>
      <c r="N32" s="1345"/>
      <c r="O32" s="1345"/>
      <c r="P32" s="1346"/>
      <c r="Q32" s="1345"/>
      <c r="R32" s="1345"/>
      <c r="S32" s="1345"/>
      <c r="T32" s="1345"/>
      <c r="U32" s="1346"/>
      <c r="V32" s="1345"/>
      <c r="W32" s="1345"/>
      <c r="X32" s="1345"/>
      <c r="Y32" s="1345"/>
      <c r="Z32" s="1346"/>
      <c r="AA32" s="1345"/>
      <c r="AB32" s="1345"/>
      <c r="AC32" s="1345"/>
      <c r="AD32" s="1345"/>
      <c r="AE32" s="1346"/>
      <c r="AF32" s="1347"/>
      <c r="AG32" s="1347"/>
      <c r="AH32" s="1347"/>
      <c r="AI32" s="1347"/>
      <c r="AJ32" s="1346"/>
      <c r="AK32" s="1190"/>
      <c r="AL32" s="1190"/>
      <c r="AM32" s="1190"/>
      <c r="AN32" s="1190"/>
      <c r="AO32" s="1191"/>
      <c r="AP32" s="1190"/>
      <c r="AQ32" s="1190"/>
      <c r="AR32" s="1190"/>
      <c r="AS32" s="1190"/>
      <c r="AT32" s="1191"/>
      <c r="AU32" s="1190"/>
      <c r="AV32" s="1190"/>
      <c r="AW32" s="1190"/>
      <c r="AX32" s="1190"/>
      <c r="AY32" s="1191"/>
      <c r="AZ32" s="1190">
        <f>AZ107</f>
        <v>2891.0594925746768</v>
      </c>
      <c r="BA32" s="1190">
        <f>BA107</f>
        <v>3271.9821120942643</v>
      </c>
      <c r="BB32" s="1190">
        <f>BB107</f>
        <v>2653.9821120942652</v>
      </c>
      <c r="BC32" s="1190">
        <f>BC107</f>
        <v>2823.9821120942638</v>
      </c>
      <c r="BD32" s="1191">
        <f t="shared" ref="BD32:BD38" si="72">SUM(AZ32:BC32)</f>
        <v>11641.005828857469</v>
      </c>
      <c r="BE32" s="1190">
        <f>BE107</f>
        <v>3016.1044008204349</v>
      </c>
      <c r="BF32" s="1190">
        <f>BF107</f>
        <v>3417.5794887398229</v>
      </c>
      <c r="BG32" s="1190">
        <f>BG107</f>
        <v>2763.5840078502501</v>
      </c>
      <c r="BH32" s="1190">
        <f>BH107</f>
        <v>2936.8152647191532</v>
      </c>
      <c r="BI32" s="1191">
        <f t="shared" ref="BI32:BI38" si="73">SUM(BE32:BH32)</f>
        <v>12134.08316212966</v>
      </c>
      <c r="BJ32" s="1190">
        <f>BJ107</f>
        <v>2954.0361638167383</v>
      </c>
      <c r="BK32" s="1190">
        <f>BK107</f>
        <v>3329.9084583343592</v>
      </c>
      <c r="BL32" s="1190">
        <f>BL107</f>
        <v>2717.7593653746476</v>
      </c>
      <c r="BM32" s="1190">
        <f>BM107</f>
        <v>2894.7460499574427</v>
      </c>
      <c r="BN32" s="1191">
        <f t="shared" ref="BN32:BN38" si="74">SUM(BJ32:BM32)</f>
        <v>11896.450037483188</v>
      </c>
      <c r="BO32" s="1190">
        <f>BO107</f>
        <v>2847.6005005505713</v>
      </c>
      <c r="BP32" s="1190">
        <f>BP107</f>
        <v>3214.8337916093478</v>
      </c>
      <c r="BQ32" s="1190">
        <f>BQ107</f>
        <v>2636.0165500265639</v>
      </c>
      <c r="BR32" s="1190">
        <f>BR107</f>
        <v>2808.1241372024224</v>
      </c>
      <c r="BS32" s="1191">
        <f t="shared" ref="BS32:BS38" si="75">SUM(BO32:BR32)</f>
        <v>11506.574979388904</v>
      </c>
      <c r="BT32" s="1190">
        <f>BT107</f>
        <v>2751.8378351435813</v>
      </c>
      <c r="BU32" s="1190">
        <f>BU107</f>
        <v>3112.7885932337863</v>
      </c>
      <c r="BV32" s="1190">
        <f>BV107</f>
        <v>2559.6174429044358</v>
      </c>
      <c r="BW32" s="1190">
        <f>BW107</f>
        <v>2725.8946341677947</v>
      </c>
      <c r="BX32" s="1191">
        <f t="shared" ref="BX32:BX38" si="76">SUM(BT32:BW32)</f>
        <v>11150.138505449599</v>
      </c>
      <c r="BY32" s="1343"/>
      <c r="BZ32" s="1191"/>
      <c r="CA32" s="1191"/>
      <c r="CB32" s="1191">
        <f t="shared" ref="CB32:CB40" si="77">SUM(AM32:AN32,AP32:AQ32)</f>
        <v>0</v>
      </c>
      <c r="CC32" s="1191">
        <f t="shared" ref="CC32:CC40" si="78">SUM(AR32:AS32,AU32:AV32)</f>
        <v>0</v>
      </c>
      <c r="CD32" s="1191">
        <f t="shared" ref="CD32:CD40" si="79">SUM(AW32:AX32,AZ32:BA32)</f>
        <v>6163.0416046689406</v>
      </c>
      <c r="CE32" s="1191">
        <f t="shared" ref="CE32:CE40" si="80">SUM(BB32:BC32,BE32:BF32)</f>
        <v>11911.648113748786</v>
      </c>
      <c r="CF32" s="1191">
        <f t="shared" ref="CF32:CF40" si="81">SUM(BG32:BH32,BJ32:BK32)</f>
        <v>11984.343894720501</v>
      </c>
      <c r="CG32" s="1191">
        <f t="shared" ref="CG32:CG40" si="82">SUM(BL32:BM32,BO32:BP32)</f>
        <v>11674.939707492009</v>
      </c>
      <c r="CH32" s="1191">
        <f t="shared" ref="CH32:CH40" si="83">SUM(BQ32:BR32,BT32:BU32)</f>
        <v>11308.767115606353</v>
      </c>
    </row>
    <row r="33" spans="1:86">
      <c r="A33" s="1175" t="s">
        <v>1457</v>
      </c>
      <c r="B33" s="1345"/>
      <c r="C33" s="1345"/>
      <c r="D33" s="1345"/>
      <c r="E33" s="1345"/>
      <c r="F33" s="1346"/>
      <c r="G33" s="1345"/>
      <c r="H33" s="1345"/>
      <c r="I33" s="1345"/>
      <c r="J33" s="1345"/>
      <c r="K33" s="1346"/>
      <c r="L33" s="1345"/>
      <c r="M33" s="1345"/>
      <c r="N33" s="1345"/>
      <c r="O33" s="1345"/>
      <c r="P33" s="1346"/>
      <c r="Q33" s="1345"/>
      <c r="R33" s="1345"/>
      <c r="S33" s="1345"/>
      <c r="T33" s="1345"/>
      <c r="U33" s="1346"/>
      <c r="V33" s="1345"/>
      <c r="W33" s="1345"/>
      <c r="X33" s="1345"/>
      <c r="Y33" s="1345"/>
      <c r="Z33" s="1346"/>
      <c r="AA33" s="1345"/>
      <c r="AB33" s="1345"/>
      <c r="AC33" s="1345"/>
      <c r="AD33" s="1345"/>
      <c r="AE33" s="1346"/>
      <c r="AF33" s="1347"/>
      <c r="AG33" s="1347"/>
      <c r="AH33" s="1347"/>
      <c r="AI33" s="1347"/>
      <c r="AJ33" s="1346"/>
      <c r="AK33" s="1190"/>
      <c r="AL33" s="1190"/>
      <c r="AM33" s="1190"/>
      <c r="AN33" s="1190"/>
      <c r="AO33" s="1191"/>
      <c r="AP33" s="1190"/>
      <c r="AQ33" s="1190"/>
      <c r="AR33" s="1190"/>
      <c r="AS33" s="1190"/>
      <c r="AT33" s="1191"/>
      <c r="AU33" s="1190"/>
      <c r="AV33" s="1190"/>
      <c r="AW33" s="1190"/>
      <c r="AX33" s="1190"/>
      <c r="AY33" s="1191"/>
      <c r="AZ33" s="1190">
        <f>AZ110</f>
        <v>1318.2511064322671</v>
      </c>
      <c r="BA33" s="1190">
        <f>BA110</f>
        <v>1178.4945810867864</v>
      </c>
      <c r="BB33" s="1190">
        <f>BB110</f>
        <v>984.48306022099337</v>
      </c>
      <c r="BC33" s="1190">
        <f>BC110</f>
        <v>1883.1805066703118</v>
      </c>
      <c r="BD33" s="1191">
        <f t="shared" si="72"/>
        <v>5364.4092544103587</v>
      </c>
      <c r="BE33" s="1190">
        <f>BE110</f>
        <v>1410.5286838825259</v>
      </c>
      <c r="BF33" s="1190">
        <f>BF110</f>
        <v>1131.3547978433148</v>
      </c>
      <c r="BG33" s="1190">
        <f>BG110</f>
        <v>1191.224502867402</v>
      </c>
      <c r="BH33" s="1190">
        <f>BH110</f>
        <v>2052.6667522706402</v>
      </c>
      <c r="BI33" s="1191">
        <f t="shared" si="73"/>
        <v>5785.7747368638829</v>
      </c>
      <c r="BJ33" s="1190">
        <f>BJ110</f>
        <v>1466.9498312378271</v>
      </c>
      <c r="BK33" s="1190">
        <f>BK110</f>
        <v>1221.86318167078</v>
      </c>
      <c r="BL33" s="1190">
        <f>BL110</f>
        <v>1238.873482982098</v>
      </c>
      <c r="BM33" s="1190">
        <f>BM110</f>
        <v>2155.3000898841724</v>
      </c>
      <c r="BN33" s="1191">
        <f t="shared" si="74"/>
        <v>6082.9865857748773</v>
      </c>
      <c r="BO33" s="1190">
        <f>BO110</f>
        <v>1510.9583261749619</v>
      </c>
      <c r="BP33" s="1190">
        <f>BP110</f>
        <v>1258.5190771209034</v>
      </c>
      <c r="BQ33" s="1190">
        <f>BQ110</f>
        <v>1276.0396874715609</v>
      </c>
      <c r="BR33" s="1190">
        <f>BR110</f>
        <v>2219.9590925806974</v>
      </c>
      <c r="BS33" s="1191">
        <f t="shared" si="75"/>
        <v>6265.4761833481243</v>
      </c>
      <c r="BT33" s="1190">
        <f>BT110</f>
        <v>1548.7322843293359</v>
      </c>
      <c r="BU33" s="1190">
        <f>BU110</f>
        <v>1289.9820540489259</v>
      </c>
      <c r="BV33" s="1190">
        <f>BV110</f>
        <v>1307.9406796583498</v>
      </c>
      <c r="BW33" s="1190">
        <f>BW110</f>
        <v>2275.4580698952145</v>
      </c>
      <c r="BX33" s="1191">
        <f t="shared" si="76"/>
        <v>6422.1130879318262</v>
      </c>
      <c r="BY33" s="1343"/>
      <c r="BZ33" s="1191"/>
      <c r="CA33" s="1191"/>
      <c r="CB33" s="1191">
        <f t="shared" si="77"/>
        <v>0</v>
      </c>
      <c r="CC33" s="1191">
        <f t="shared" si="78"/>
        <v>0</v>
      </c>
      <c r="CD33" s="1191">
        <f t="shared" si="79"/>
        <v>2496.7456875190537</v>
      </c>
      <c r="CE33" s="1191">
        <f t="shared" si="80"/>
        <v>5409.5470486171453</v>
      </c>
      <c r="CF33" s="1191">
        <f t="shared" si="81"/>
        <v>5932.7042680466493</v>
      </c>
      <c r="CG33" s="1191">
        <f t="shared" si="82"/>
        <v>6163.6509761621364</v>
      </c>
      <c r="CH33" s="1191">
        <f t="shared" si="83"/>
        <v>6334.7131184305199</v>
      </c>
    </row>
    <row r="34" spans="1:86">
      <c r="A34" s="986" t="s">
        <v>1456</v>
      </c>
      <c r="B34" s="1345"/>
      <c r="C34" s="1345"/>
      <c r="D34" s="1345"/>
      <c r="E34" s="1345"/>
      <c r="F34" s="1346"/>
      <c r="G34" s="1345"/>
      <c r="H34" s="1345"/>
      <c r="I34" s="1345"/>
      <c r="J34" s="1345"/>
      <c r="K34" s="1346"/>
      <c r="L34" s="1345"/>
      <c r="M34" s="1345"/>
      <c r="N34" s="1345"/>
      <c r="O34" s="1345"/>
      <c r="P34" s="1346"/>
      <c r="Q34" s="1345"/>
      <c r="R34" s="1345"/>
      <c r="S34" s="1345"/>
      <c r="T34" s="1345"/>
      <c r="U34" s="1346"/>
      <c r="V34" s="1345"/>
      <c r="W34" s="1345"/>
      <c r="X34" s="1345"/>
      <c r="Y34" s="1345"/>
      <c r="Z34" s="1346"/>
      <c r="AA34" s="1345"/>
      <c r="AB34" s="1345"/>
      <c r="AC34" s="1345"/>
      <c r="AD34" s="1345"/>
      <c r="AE34" s="1346"/>
      <c r="AF34" s="1347"/>
      <c r="AG34" s="1347"/>
      <c r="AH34" s="1347"/>
      <c r="AI34" s="1347"/>
      <c r="AJ34" s="1346"/>
      <c r="AK34" s="1190"/>
      <c r="AL34" s="1190"/>
      <c r="AM34" s="1190"/>
      <c r="AN34" s="1190"/>
      <c r="AO34" s="1191"/>
      <c r="AP34" s="1190"/>
      <c r="AQ34" s="1190"/>
      <c r="AR34" s="1190"/>
      <c r="AS34" s="1190"/>
      <c r="AT34" s="1191"/>
      <c r="AU34" s="1190"/>
      <c r="AV34" s="1190"/>
      <c r="AW34" s="1190"/>
      <c r="AX34" s="1190"/>
      <c r="AY34" s="1191"/>
      <c r="AZ34" s="1190">
        <f>AZ113</f>
        <v>429.64073015534234</v>
      </c>
      <c r="BA34" s="1190">
        <f>BA113</f>
        <v>837.0460449390647</v>
      </c>
      <c r="BB34" s="1190">
        <f>BB113</f>
        <v>590.44313015704063</v>
      </c>
      <c r="BC34" s="1190">
        <f>BC113</f>
        <v>329.3482525155988</v>
      </c>
      <c r="BD34" s="1191">
        <f t="shared" si="72"/>
        <v>2186.4781577670465</v>
      </c>
      <c r="BE34" s="1190">
        <f>BE113</f>
        <v>416.62167319844161</v>
      </c>
      <c r="BF34" s="1190">
        <f>BF113</f>
        <v>841.02309549862366</v>
      </c>
      <c r="BG34" s="1190">
        <f>BG113</f>
        <v>729.59490663905183</v>
      </c>
      <c r="BH34" s="1190">
        <f>BH113</f>
        <v>362.29501774170569</v>
      </c>
      <c r="BI34" s="1191">
        <f t="shared" si="73"/>
        <v>2349.5346930778228</v>
      </c>
      <c r="BJ34" s="1190">
        <f>BJ113</f>
        <v>418.76337789359638</v>
      </c>
      <c r="BK34" s="1190">
        <f>BK113</f>
        <v>868.24801481930081</v>
      </c>
      <c r="BL34" s="1190">
        <f>BL113</f>
        <v>743.81301840211518</v>
      </c>
      <c r="BM34" s="1190">
        <f>BM113</f>
        <v>369.31157020476576</v>
      </c>
      <c r="BN34" s="1191">
        <f t="shared" si="74"/>
        <v>2400.1359813197782</v>
      </c>
      <c r="BO34" s="1190">
        <f>BO113</f>
        <v>430.82409178001171</v>
      </c>
      <c r="BP34" s="1190">
        <f>BP113</f>
        <v>896.8341801060119</v>
      </c>
      <c r="BQ34" s="1190">
        <f>BQ113</f>
        <v>758.74203575333161</v>
      </c>
      <c r="BR34" s="1190">
        <f>BR113</f>
        <v>376.67895029097872</v>
      </c>
      <c r="BS34" s="1191">
        <f t="shared" si="75"/>
        <v>2463.0792579303338</v>
      </c>
      <c r="BT34" s="1190">
        <f>BT113</f>
        <v>439.68871648652697</v>
      </c>
      <c r="BU34" s="1190">
        <f>BU113</f>
        <v>917.84501159174442</v>
      </c>
      <c r="BV34" s="1190">
        <f>BV113</f>
        <v>769.71486350647569</v>
      </c>
      <c r="BW34" s="1190">
        <f>BW113</f>
        <v>382.09397465434529</v>
      </c>
      <c r="BX34" s="1191">
        <f t="shared" si="76"/>
        <v>2509.3425662390928</v>
      </c>
      <c r="BY34" s="1343"/>
      <c r="BZ34" s="1191"/>
      <c r="CA34" s="1191"/>
      <c r="CB34" s="1191">
        <f t="shared" si="77"/>
        <v>0</v>
      </c>
      <c r="CC34" s="1191">
        <f t="shared" si="78"/>
        <v>0</v>
      </c>
      <c r="CD34" s="1191">
        <f t="shared" si="79"/>
        <v>1266.686775094407</v>
      </c>
      <c r="CE34" s="1191">
        <f t="shared" si="80"/>
        <v>2177.4361513697049</v>
      </c>
      <c r="CF34" s="1191">
        <f t="shared" si="81"/>
        <v>2378.9013170936546</v>
      </c>
      <c r="CG34" s="1191">
        <f t="shared" si="82"/>
        <v>2440.7828604929045</v>
      </c>
      <c r="CH34" s="1191">
        <f t="shared" si="83"/>
        <v>2492.9547141225817</v>
      </c>
    </row>
    <row r="35" spans="1:86">
      <c r="A35" s="986" t="s">
        <v>943</v>
      </c>
      <c r="B35" s="1345"/>
      <c r="C35" s="1345"/>
      <c r="D35" s="1345"/>
      <c r="E35" s="1345"/>
      <c r="F35" s="1346"/>
      <c r="G35" s="1345"/>
      <c r="H35" s="1345"/>
      <c r="I35" s="1345"/>
      <c r="J35" s="1345"/>
      <c r="K35" s="1346"/>
      <c r="L35" s="1345"/>
      <c r="M35" s="1345"/>
      <c r="N35" s="1345"/>
      <c r="O35" s="1345"/>
      <c r="P35" s="1346"/>
      <c r="Q35" s="1345"/>
      <c r="R35" s="1345"/>
      <c r="S35" s="1345"/>
      <c r="T35" s="1345"/>
      <c r="U35" s="1346"/>
      <c r="V35" s="1345"/>
      <c r="W35" s="1345"/>
      <c r="X35" s="1345"/>
      <c r="Y35" s="1345"/>
      <c r="Z35" s="1346"/>
      <c r="AA35" s="1345"/>
      <c r="AB35" s="1345"/>
      <c r="AC35" s="1345"/>
      <c r="AD35" s="1345"/>
      <c r="AE35" s="1346"/>
      <c r="AF35" s="1347"/>
      <c r="AG35" s="1347"/>
      <c r="AH35" s="1347"/>
      <c r="AI35" s="1347"/>
      <c r="AJ35" s="1346"/>
      <c r="AK35" s="1190">
        <f>AK116</f>
        <v>400</v>
      </c>
      <c r="AL35" s="1190">
        <f>AL116</f>
        <v>893</v>
      </c>
      <c r="AM35" s="1190">
        <f>AM116</f>
        <v>494</v>
      </c>
      <c r="AN35" s="1190">
        <f>AN116</f>
        <v>409</v>
      </c>
      <c r="AO35" s="1191">
        <f t="shared" ref="AO35:AO38" si="84">SUM(AK35:AN35)</f>
        <v>2196</v>
      </c>
      <c r="AP35" s="1190">
        <f>AP116</f>
        <v>908</v>
      </c>
      <c r="AQ35" s="1190">
        <f>AQ116</f>
        <v>1104</v>
      </c>
      <c r="AR35" s="1190">
        <f>AR116</f>
        <v>713</v>
      </c>
      <c r="AS35" s="1190">
        <f>AS116</f>
        <v>888</v>
      </c>
      <c r="AT35" s="1191">
        <f t="shared" ref="AT35:AT38" si="85">SUM(AP35:AS35)</f>
        <v>3613</v>
      </c>
      <c r="AU35" s="1190">
        <f>AU116</f>
        <v>672</v>
      </c>
      <c r="AV35" s="1190">
        <f>AV116</f>
        <v>1352</v>
      </c>
      <c r="AW35" s="1190">
        <f>AW116</f>
        <v>1111</v>
      </c>
      <c r="AX35" s="1190">
        <f>AX116</f>
        <v>965</v>
      </c>
      <c r="AY35" s="1191">
        <f t="shared" ref="AY35:AY38" si="86">SUM(AU35:AX35)</f>
        <v>4100</v>
      </c>
      <c r="AZ35" s="1190">
        <f>AZ116</f>
        <v>926</v>
      </c>
      <c r="BA35" s="1190">
        <f>BA116</f>
        <v>1321</v>
      </c>
      <c r="BB35" s="1190">
        <f>BB116</f>
        <v>831</v>
      </c>
      <c r="BC35" s="1190">
        <f>BC116</f>
        <v>948</v>
      </c>
      <c r="BD35" s="1191">
        <f t="shared" si="72"/>
        <v>4026</v>
      </c>
      <c r="BE35" s="1190">
        <f>BE116</f>
        <v>1037</v>
      </c>
      <c r="BF35" s="1190">
        <f>BF116</f>
        <v>1335</v>
      </c>
      <c r="BG35" s="1190">
        <f>BG116</f>
        <v>1094</v>
      </c>
      <c r="BH35" s="1190">
        <f>BH116</f>
        <v>1124.6623149958041</v>
      </c>
      <c r="BI35" s="1191">
        <f t="shared" si="73"/>
        <v>4590.6623149958041</v>
      </c>
      <c r="BJ35" s="1190">
        <f>BJ116</f>
        <v>1188.6180468703355</v>
      </c>
      <c r="BK35" s="1190">
        <f>BK116</f>
        <v>1760.364449916666</v>
      </c>
      <c r="BL35" s="1190">
        <f>BL116</f>
        <v>1051.3251373726532</v>
      </c>
      <c r="BM35" s="1190">
        <f>BM116</f>
        <v>1041.597926680191</v>
      </c>
      <c r="BN35" s="1191">
        <f t="shared" si="74"/>
        <v>5041.9055608398467</v>
      </c>
      <c r="BO35" s="1190">
        <f>BO116</f>
        <v>1263.1120851215114</v>
      </c>
      <c r="BP35" s="1190">
        <f>BP116</f>
        <v>1881.8334072735781</v>
      </c>
      <c r="BQ35" s="1190">
        <f>BQ116</f>
        <v>1130.4390875761023</v>
      </c>
      <c r="BR35" s="1190">
        <f>BR116</f>
        <v>1126.4077151175277</v>
      </c>
      <c r="BS35" s="1191">
        <f t="shared" si="75"/>
        <v>5401.7922950887205</v>
      </c>
      <c r="BT35" s="1190">
        <f>BT116</f>
        <v>1305.7958882456637</v>
      </c>
      <c r="BU35" s="1190">
        <f>BU116</f>
        <v>1944.302219615947</v>
      </c>
      <c r="BV35" s="1190">
        <f>BV116</f>
        <v>1167.3064288159333</v>
      </c>
      <c r="BW35" s="1190">
        <f>BW116</f>
        <v>1162.503198167637</v>
      </c>
      <c r="BX35" s="1191">
        <f t="shared" si="76"/>
        <v>5579.907734845181</v>
      </c>
      <c r="BY35" s="1343"/>
      <c r="BZ35" s="1191"/>
      <c r="CA35" s="1191"/>
      <c r="CB35" s="1191">
        <f t="shared" si="77"/>
        <v>2915</v>
      </c>
      <c r="CC35" s="1191">
        <f t="shared" si="78"/>
        <v>3625</v>
      </c>
      <c r="CD35" s="1191">
        <f t="shared" si="79"/>
        <v>4323</v>
      </c>
      <c r="CE35" s="1191">
        <f t="shared" si="80"/>
        <v>4151</v>
      </c>
      <c r="CF35" s="1191">
        <f t="shared" si="81"/>
        <v>5167.6448117828058</v>
      </c>
      <c r="CG35" s="1191">
        <f t="shared" si="82"/>
        <v>5237.8685564479338</v>
      </c>
      <c r="CH35" s="1191">
        <f t="shared" si="83"/>
        <v>5506.9449105552403</v>
      </c>
    </row>
    <row r="36" spans="1:86">
      <c r="A36" s="1175" t="s">
        <v>1124</v>
      </c>
      <c r="B36" s="1345"/>
      <c r="C36" s="1345"/>
      <c r="D36" s="1345"/>
      <c r="E36" s="1345"/>
      <c r="F36" s="1346"/>
      <c r="G36" s="1345"/>
      <c r="H36" s="1345"/>
      <c r="I36" s="1345"/>
      <c r="J36" s="1345"/>
      <c r="K36" s="1346"/>
      <c r="L36" s="1345"/>
      <c r="M36" s="1345"/>
      <c r="N36" s="1345"/>
      <c r="O36" s="1345"/>
      <c r="P36" s="1346"/>
      <c r="Q36" s="1345"/>
      <c r="R36" s="1345"/>
      <c r="S36" s="1345"/>
      <c r="T36" s="1345"/>
      <c r="U36" s="1346"/>
      <c r="V36" s="1345"/>
      <c r="W36" s="1345"/>
      <c r="X36" s="1345"/>
      <c r="Y36" s="1345"/>
      <c r="Z36" s="1346"/>
      <c r="AA36" s="1345"/>
      <c r="AB36" s="1345"/>
      <c r="AC36" s="1345"/>
      <c r="AD36" s="1345"/>
      <c r="AE36" s="1346"/>
      <c r="AF36" s="1347"/>
      <c r="AG36" s="1347"/>
      <c r="AH36" s="1347"/>
      <c r="AI36" s="1347"/>
      <c r="AJ36" s="1346"/>
      <c r="AK36" s="1190"/>
      <c r="AL36" s="1190"/>
      <c r="AM36" s="1190"/>
      <c r="AN36" s="1190"/>
      <c r="AO36" s="1191"/>
      <c r="AP36" s="1190"/>
      <c r="AQ36" s="1190"/>
      <c r="AR36" s="1190"/>
      <c r="AS36" s="1190"/>
      <c r="AT36" s="1191"/>
      <c r="AU36" s="1190"/>
      <c r="AV36" s="1190"/>
      <c r="AW36" s="1190"/>
      <c r="AX36" s="1190"/>
      <c r="AY36" s="1191"/>
      <c r="AZ36" s="1190">
        <f>AZ119</f>
        <v>1885</v>
      </c>
      <c r="BA36" s="1190">
        <f>BA119</f>
        <v>3617</v>
      </c>
      <c r="BB36" s="1190">
        <f>BB119</f>
        <v>1906</v>
      </c>
      <c r="BC36" s="1190">
        <f>BC119</f>
        <v>1643</v>
      </c>
      <c r="BD36" s="1191">
        <f t="shared" si="72"/>
        <v>9051</v>
      </c>
      <c r="BE36" s="1190">
        <f>BE119</f>
        <v>1896</v>
      </c>
      <c r="BF36" s="1190">
        <f>BF119</f>
        <v>3920</v>
      </c>
      <c r="BG36" s="1190">
        <f>BG119</f>
        <v>2251</v>
      </c>
      <c r="BH36" s="1190">
        <f>BH119</f>
        <v>1971.5921987500001</v>
      </c>
      <c r="BI36" s="1191">
        <f t="shared" si="73"/>
        <v>10038.592198750001</v>
      </c>
      <c r="BJ36" s="1190">
        <f>BJ119</f>
        <v>2037.7049582866382</v>
      </c>
      <c r="BK36" s="1190">
        <f>BK119</f>
        <v>4066.4011473461796</v>
      </c>
      <c r="BL36" s="1190">
        <f>BL119</f>
        <v>2378.6271374637499</v>
      </c>
      <c r="BM36" s="1190">
        <f>BM119</f>
        <v>2098.1574937687501</v>
      </c>
      <c r="BN36" s="1191">
        <f t="shared" si="74"/>
        <v>10580.89073686532</v>
      </c>
      <c r="BO36" s="1190">
        <f>BO119</f>
        <v>2108.239693887786</v>
      </c>
      <c r="BP36" s="1190">
        <f>BP119</f>
        <v>4131.8345825327306</v>
      </c>
      <c r="BQ36" s="1190">
        <f>BQ119</f>
        <v>2497.8196898740771</v>
      </c>
      <c r="BR36" s="1190">
        <f>BR119</f>
        <v>2223.6334400201908</v>
      </c>
      <c r="BS36" s="1191">
        <f t="shared" si="75"/>
        <v>10961.527406314784</v>
      </c>
      <c r="BT36" s="1190">
        <f>BT119</f>
        <v>2171.5204886505135</v>
      </c>
      <c r="BU36" s="1190">
        <f>BU119</f>
        <v>4183.4497806191193</v>
      </c>
      <c r="BV36" s="1190">
        <f>BV119</f>
        <v>2600.1542652309399</v>
      </c>
      <c r="BW36" s="1190">
        <f>BW119</f>
        <v>2331.3872337046928</v>
      </c>
      <c r="BX36" s="1191">
        <f t="shared" si="76"/>
        <v>11286.511768205266</v>
      </c>
      <c r="BY36" s="1343"/>
      <c r="BZ36" s="1191"/>
      <c r="CA36" s="1191"/>
      <c r="CB36" s="1191">
        <f t="shared" si="77"/>
        <v>0</v>
      </c>
      <c r="CC36" s="1191">
        <f t="shared" si="78"/>
        <v>0</v>
      </c>
      <c r="CD36" s="1191">
        <f t="shared" si="79"/>
        <v>5502</v>
      </c>
      <c r="CE36" s="1191">
        <f t="shared" si="80"/>
        <v>9365</v>
      </c>
      <c r="CF36" s="1191">
        <f t="shared" si="81"/>
        <v>10326.698304382819</v>
      </c>
      <c r="CG36" s="1191">
        <f t="shared" si="82"/>
        <v>10716.858907653017</v>
      </c>
      <c r="CH36" s="1191">
        <f t="shared" si="83"/>
        <v>11076.423399163901</v>
      </c>
    </row>
    <row r="37" spans="1:86">
      <c r="A37" s="1175" t="s">
        <v>996</v>
      </c>
      <c r="B37" s="1345"/>
      <c r="C37" s="1345"/>
      <c r="D37" s="1345"/>
      <c r="E37" s="1345"/>
      <c r="F37" s="1346"/>
      <c r="G37" s="1345"/>
      <c r="H37" s="1345"/>
      <c r="I37" s="1345"/>
      <c r="J37" s="1345"/>
      <c r="K37" s="1346"/>
      <c r="L37" s="1345"/>
      <c r="M37" s="1345"/>
      <c r="N37" s="1345"/>
      <c r="O37" s="1345"/>
      <c r="P37" s="1346"/>
      <c r="Q37" s="1345"/>
      <c r="R37" s="1345"/>
      <c r="S37" s="1345"/>
      <c r="T37" s="1345"/>
      <c r="U37" s="1346"/>
      <c r="V37" s="1345"/>
      <c r="W37" s="1345"/>
      <c r="X37" s="1345"/>
      <c r="Y37" s="1345"/>
      <c r="Z37" s="1346"/>
      <c r="AA37" s="1345"/>
      <c r="AB37" s="1345"/>
      <c r="AC37" s="1345"/>
      <c r="AD37" s="1345"/>
      <c r="AE37" s="1346"/>
      <c r="AF37" s="1347"/>
      <c r="AG37" s="1347"/>
      <c r="AH37" s="1347"/>
      <c r="AI37" s="1347"/>
      <c r="AJ37" s="1346"/>
      <c r="AK37" s="1190"/>
      <c r="AL37" s="1190"/>
      <c r="AM37" s="1190"/>
      <c r="AN37" s="1190"/>
      <c r="AO37" s="1191"/>
      <c r="AP37" s="1190"/>
      <c r="AQ37" s="1190"/>
      <c r="AR37" s="1190"/>
      <c r="AS37" s="1190"/>
      <c r="AT37" s="1191"/>
      <c r="AU37" s="1190"/>
      <c r="AV37" s="1190"/>
      <c r="AW37" s="1190"/>
      <c r="AX37" s="1190"/>
      <c r="AY37" s="1191"/>
      <c r="AZ37" s="1190">
        <f>AZ122</f>
        <v>261.89999999999998</v>
      </c>
      <c r="BA37" s="1190">
        <f>BA122</f>
        <v>179.77500000000001</v>
      </c>
      <c r="BB37" s="1190">
        <f>BB122</f>
        <v>31.04999999999999</v>
      </c>
      <c r="BC37" s="1190">
        <f>BC122</f>
        <v>16.2</v>
      </c>
      <c r="BD37" s="1191">
        <f t="shared" si="72"/>
        <v>488.92499999999995</v>
      </c>
      <c r="BE37" s="1190">
        <f>BE122</f>
        <v>0</v>
      </c>
      <c r="BF37" s="1190">
        <f>BF122</f>
        <v>0</v>
      </c>
      <c r="BG37" s="1190">
        <f>BG122</f>
        <v>0</v>
      </c>
      <c r="BH37" s="1190">
        <f>BH122</f>
        <v>0</v>
      </c>
      <c r="BI37" s="1191">
        <f t="shared" si="73"/>
        <v>0</v>
      </c>
      <c r="BJ37" s="1190">
        <f>BJ122</f>
        <v>0</v>
      </c>
      <c r="BK37" s="1190">
        <f>BK122</f>
        <v>0</v>
      </c>
      <c r="BL37" s="1190">
        <f>BL122</f>
        <v>0</v>
      </c>
      <c r="BM37" s="1190">
        <f>BM122</f>
        <v>0</v>
      </c>
      <c r="BN37" s="1191">
        <f t="shared" si="74"/>
        <v>0</v>
      </c>
      <c r="BO37" s="1190">
        <f>BO122</f>
        <v>0</v>
      </c>
      <c r="BP37" s="1190">
        <f>BP122</f>
        <v>0</v>
      </c>
      <c r="BQ37" s="1190">
        <f>BQ122</f>
        <v>0</v>
      </c>
      <c r="BR37" s="1190">
        <f>BR122</f>
        <v>0</v>
      </c>
      <c r="BS37" s="1191">
        <f t="shared" si="75"/>
        <v>0</v>
      </c>
      <c r="BT37" s="1190">
        <f>BT122</f>
        <v>0</v>
      </c>
      <c r="BU37" s="1190">
        <f>BU122</f>
        <v>0</v>
      </c>
      <c r="BV37" s="1190">
        <f>BV122</f>
        <v>0</v>
      </c>
      <c r="BW37" s="1190">
        <f>BW122</f>
        <v>0</v>
      </c>
      <c r="BX37" s="1191">
        <f t="shared" si="76"/>
        <v>0</v>
      </c>
      <c r="BY37" s="1343"/>
      <c r="BZ37" s="1191"/>
      <c r="CA37" s="1191"/>
      <c r="CB37" s="1191">
        <f t="shared" si="77"/>
        <v>0</v>
      </c>
      <c r="CC37" s="1191">
        <f t="shared" si="78"/>
        <v>0</v>
      </c>
      <c r="CD37" s="1191">
        <f t="shared" si="79"/>
        <v>441.67499999999995</v>
      </c>
      <c r="CE37" s="1191">
        <f t="shared" si="80"/>
        <v>47.249999999999986</v>
      </c>
      <c r="CF37" s="1191">
        <f t="shared" si="81"/>
        <v>0</v>
      </c>
      <c r="CG37" s="1191">
        <f t="shared" si="82"/>
        <v>0</v>
      </c>
      <c r="CH37" s="1191">
        <f t="shared" si="83"/>
        <v>0</v>
      </c>
    </row>
    <row r="38" spans="1:86">
      <c r="A38" s="986" t="s">
        <v>1068</v>
      </c>
      <c r="B38" s="1345"/>
      <c r="C38" s="1345"/>
      <c r="D38" s="1345"/>
      <c r="E38" s="1345"/>
      <c r="F38" s="1346"/>
      <c r="G38" s="1345"/>
      <c r="H38" s="1345"/>
      <c r="I38" s="1345"/>
      <c r="J38" s="1345"/>
      <c r="K38" s="1346"/>
      <c r="L38" s="1345"/>
      <c r="M38" s="1345"/>
      <c r="N38" s="1345"/>
      <c r="O38" s="1345"/>
      <c r="P38" s="1346"/>
      <c r="Q38" s="1345"/>
      <c r="R38" s="1345"/>
      <c r="S38" s="1345"/>
      <c r="T38" s="1345"/>
      <c r="U38" s="1346"/>
      <c r="V38" s="1345"/>
      <c r="W38" s="1345"/>
      <c r="X38" s="1345"/>
      <c r="Y38" s="1345"/>
      <c r="Z38" s="1346"/>
      <c r="AA38" s="1345"/>
      <c r="AB38" s="1345"/>
      <c r="AC38" s="1345"/>
      <c r="AD38" s="1345"/>
      <c r="AE38" s="1346"/>
      <c r="AF38" s="1347"/>
      <c r="AG38" s="1347"/>
      <c r="AH38" s="1347"/>
      <c r="AI38" s="1347"/>
      <c r="AJ38" s="1346"/>
      <c r="AK38" s="1190">
        <f>AK125</f>
        <v>872</v>
      </c>
      <c r="AL38" s="1190">
        <f>AL125</f>
        <v>924.6160000000001</v>
      </c>
      <c r="AM38" s="1190">
        <f>AM125</f>
        <v>965.11999999999989</v>
      </c>
      <c r="AN38" s="1190">
        <f>AN125</f>
        <v>964.8</v>
      </c>
      <c r="AO38" s="1191">
        <f t="shared" si="84"/>
        <v>3726.5360000000001</v>
      </c>
      <c r="AP38" s="1190">
        <f>AP125</f>
        <v>989.72</v>
      </c>
      <c r="AQ38" s="1190">
        <f>AQ125</f>
        <v>1021.7006800000001</v>
      </c>
      <c r="AR38" s="1190">
        <f>AR125</f>
        <v>1037.5039999999999</v>
      </c>
      <c r="AS38" s="1190">
        <f>AS125</f>
        <v>1013.04</v>
      </c>
      <c r="AT38" s="1191">
        <f t="shared" si="85"/>
        <v>4061.96468</v>
      </c>
      <c r="AU38" s="1190">
        <f>AU125</f>
        <v>1187.664</v>
      </c>
      <c r="AV38" s="1190">
        <f>AV125</f>
        <v>1195.3897956000001</v>
      </c>
      <c r="AW38" s="1190">
        <f>AW125</f>
        <v>1203.5046399999999</v>
      </c>
      <c r="AX38" s="1190">
        <f>AX125</f>
        <v>1175.1263999999999</v>
      </c>
      <c r="AY38" s="1191">
        <f t="shared" si="86"/>
        <v>4761.6848356</v>
      </c>
      <c r="AZ38" s="1190">
        <f>AZ125</f>
        <v>1338</v>
      </c>
      <c r="BA38" s="1190">
        <f>BA125</f>
        <v>1429</v>
      </c>
      <c r="BB38" s="1190">
        <f>BB125</f>
        <v>1599</v>
      </c>
      <c r="BC38" s="1190">
        <f>BC125</f>
        <v>1625</v>
      </c>
      <c r="BD38" s="1191">
        <f t="shared" si="72"/>
        <v>5991</v>
      </c>
      <c r="BE38" s="1190">
        <f>BE125</f>
        <v>1820</v>
      </c>
      <c r="BF38" s="1190">
        <f>BF125</f>
        <v>1639</v>
      </c>
      <c r="BG38" s="1190">
        <f>BG125</f>
        <v>1784</v>
      </c>
      <c r="BH38" s="1190">
        <f>BH125</f>
        <v>1868.7499999999998</v>
      </c>
      <c r="BI38" s="1191">
        <f t="shared" si="73"/>
        <v>7111.75</v>
      </c>
      <c r="BJ38" s="1190">
        <f>BJ125</f>
        <v>1965.6000000000001</v>
      </c>
      <c r="BK38" s="1190">
        <f>BK125</f>
        <v>1770.1200000000001</v>
      </c>
      <c r="BL38" s="1190">
        <f>BL125</f>
        <v>1926.72</v>
      </c>
      <c r="BM38" s="1190">
        <f>BM125</f>
        <v>2018.25</v>
      </c>
      <c r="BN38" s="1191">
        <f t="shared" si="74"/>
        <v>7680.6900000000005</v>
      </c>
      <c r="BO38" s="1190">
        <f>BO125</f>
        <v>2073.7080000000001</v>
      </c>
      <c r="BP38" s="1190">
        <f>BP125</f>
        <v>1867.4766</v>
      </c>
      <c r="BQ38" s="1190">
        <f>BQ125</f>
        <v>2032.6895999999999</v>
      </c>
      <c r="BR38" s="1190">
        <f>BR125</f>
        <v>2129.2537499999999</v>
      </c>
      <c r="BS38" s="1191">
        <f t="shared" si="75"/>
        <v>8103.1279500000001</v>
      </c>
      <c r="BT38" s="1190">
        <f>BT125</f>
        <v>2156.6563200000001</v>
      </c>
      <c r="BU38" s="1190">
        <f>BU125</f>
        <v>1942.1756640000001</v>
      </c>
      <c r="BV38" s="1190">
        <f>BV125</f>
        <v>2113.9971839999998</v>
      </c>
      <c r="BW38" s="1190">
        <f>BW125</f>
        <v>2214.4238999999998</v>
      </c>
      <c r="BX38" s="1191">
        <f t="shared" si="76"/>
        <v>8427.253068</v>
      </c>
      <c r="BY38" s="1343"/>
      <c r="BZ38" s="1191"/>
      <c r="CA38" s="1191"/>
      <c r="CB38" s="1191">
        <f t="shared" si="77"/>
        <v>3941.3406800000002</v>
      </c>
      <c r="CC38" s="1191">
        <f t="shared" si="78"/>
        <v>4433.5977955999997</v>
      </c>
      <c r="CD38" s="1191">
        <f t="shared" si="79"/>
        <v>5145.6310400000002</v>
      </c>
      <c r="CE38" s="1191">
        <f t="shared" si="80"/>
        <v>6683</v>
      </c>
      <c r="CF38" s="1191">
        <f t="shared" si="81"/>
        <v>7388.47</v>
      </c>
      <c r="CG38" s="1191">
        <f t="shared" si="82"/>
        <v>7886.1545999999998</v>
      </c>
      <c r="CH38" s="1191">
        <f t="shared" si="83"/>
        <v>8260.7753339999999</v>
      </c>
    </row>
    <row r="39" spans="1:86" ht="13.5" thickBot="1">
      <c r="A39" s="1175" t="s">
        <v>280</v>
      </c>
      <c r="B39" s="1345"/>
      <c r="C39" s="1345"/>
      <c r="D39" s="1345"/>
      <c r="E39" s="1345"/>
      <c r="F39" s="1346"/>
      <c r="G39" s="1345"/>
      <c r="H39" s="1345"/>
      <c r="I39" s="1345"/>
      <c r="J39" s="1345"/>
      <c r="K39" s="1346"/>
      <c r="L39" s="1345"/>
      <c r="M39" s="1345"/>
      <c r="N39" s="1345"/>
      <c r="O39" s="1345"/>
      <c r="P39" s="1346"/>
      <c r="Q39" s="1345"/>
      <c r="R39" s="1345"/>
      <c r="S39" s="1345"/>
      <c r="T39" s="1345"/>
      <c r="U39" s="1346"/>
      <c r="V39" s="1345"/>
      <c r="W39" s="1345"/>
      <c r="X39" s="1345"/>
      <c r="Y39" s="1345"/>
      <c r="Z39" s="1346"/>
      <c r="AA39" s="1345"/>
      <c r="AB39" s="1345"/>
      <c r="AC39" s="1345"/>
      <c r="AD39" s="1345"/>
      <c r="AE39" s="1346"/>
      <c r="AF39" s="1347"/>
      <c r="AG39" s="1347"/>
      <c r="AH39" s="1347"/>
      <c r="AI39" s="1347"/>
      <c r="AJ39" s="1346"/>
      <c r="AK39" s="1190"/>
      <c r="AL39" s="1190"/>
      <c r="AM39" s="1190"/>
      <c r="AN39" s="1190"/>
      <c r="AO39" s="1191"/>
      <c r="AP39" s="1190"/>
      <c r="AQ39" s="1190"/>
      <c r="AR39" s="1190"/>
      <c r="AS39" s="1190"/>
      <c r="AT39" s="1191"/>
      <c r="AU39" s="1190"/>
      <c r="AV39" s="1190"/>
      <c r="AW39" s="1190"/>
      <c r="AX39" s="1190"/>
      <c r="AY39" s="1191"/>
      <c r="AZ39" s="1190">
        <f>AZ40-SUM(AZ32:AZ38)</f>
        <v>345.14867083771423</v>
      </c>
      <c r="BA39" s="1190">
        <f>BA40-SUM(BA32:BA38)</f>
        <v>54.702261879885555</v>
      </c>
      <c r="BB39" s="1190">
        <f>BB40-SUM(BB32:BB38)</f>
        <v>179.04169752770031</v>
      </c>
      <c r="BC39" s="1190">
        <f t="shared" ref="BC39" si="87">BC40-SUM(BC32:BC38)</f>
        <v>-33.710871280174615</v>
      </c>
      <c r="BD39" s="1191">
        <f>SUM(AZ39:BC39)</f>
        <v>545.18175896512548</v>
      </c>
      <c r="BE39" s="1190">
        <f>BE40-SUM(BE32:BE38)</f>
        <v>-218.25475790140263</v>
      </c>
      <c r="BF39" s="1190">
        <f>BF40-SUM(BF32:BF38)</f>
        <v>-113.95738208176044</v>
      </c>
      <c r="BG39" s="1190">
        <f>BG40-SUM(BG32:BG38)</f>
        <v>103.59658264329482</v>
      </c>
      <c r="BH39" s="1190">
        <v>0</v>
      </c>
      <c r="BI39" s="1191">
        <f>SUM(BE39:BH39)</f>
        <v>-228.61555733986825</v>
      </c>
      <c r="BJ39" s="1190">
        <v>0</v>
      </c>
      <c r="BK39" s="1190">
        <v>0</v>
      </c>
      <c r="BL39" s="1190">
        <v>0</v>
      </c>
      <c r="BM39" s="1190">
        <v>0</v>
      </c>
      <c r="BN39" s="1191">
        <f>SUM(BJ39:BM39)</f>
        <v>0</v>
      </c>
      <c r="BO39" s="1190">
        <v>0</v>
      </c>
      <c r="BP39" s="1190">
        <v>0</v>
      </c>
      <c r="BQ39" s="1190">
        <v>0</v>
      </c>
      <c r="BR39" s="1190">
        <v>0</v>
      </c>
      <c r="BS39" s="1191">
        <f>SUM(BO39:BR39)</f>
        <v>0</v>
      </c>
      <c r="BT39" s="1190">
        <v>0</v>
      </c>
      <c r="BU39" s="1190">
        <v>0</v>
      </c>
      <c r="BV39" s="1190">
        <v>0</v>
      </c>
      <c r="BW39" s="1190">
        <v>0</v>
      </c>
      <c r="BX39" s="1191">
        <f>SUM(BT39:BW39)</f>
        <v>0</v>
      </c>
      <c r="BY39" s="1343"/>
      <c r="BZ39" s="1191"/>
      <c r="CA39" s="1191"/>
      <c r="CB39" s="1191">
        <f t="shared" si="77"/>
        <v>0</v>
      </c>
      <c r="CC39" s="1191">
        <f t="shared" si="78"/>
        <v>0</v>
      </c>
      <c r="CD39" s="1191">
        <f t="shared" si="79"/>
        <v>399.85093271759979</v>
      </c>
      <c r="CE39" s="1191">
        <f t="shared" si="80"/>
        <v>-186.88131373563738</v>
      </c>
      <c r="CF39" s="1191">
        <f t="shared" si="81"/>
        <v>103.59658264329482</v>
      </c>
      <c r="CG39" s="1191">
        <f t="shared" si="82"/>
        <v>0</v>
      </c>
      <c r="CH39" s="1191">
        <f t="shared" si="83"/>
        <v>0</v>
      </c>
    </row>
    <row r="40" spans="1:86">
      <c r="A40" s="1477" t="s">
        <v>1047</v>
      </c>
      <c r="B40" s="1478"/>
      <c r="C40" s="1478"/>
      <c r="D40" s="1478"/>
      <c r="E40" s="1478"/>
      <c r="F40" s="1479"/>
      <c r="G40" s="1478"/>
      <c r="H40" s="1478"/>
      <c r="I40" s="1478"/>
      <c r="J40" s="1478"/>
      <c r="K40" s="1479"/>
      <c r="L40" s="1478"/>
      <c r="M40" s="1478"/>
      <c r="N40" s="1478"/>
      <c r="O40" s="1478"/>
      <c r="P40" s="1479"/>
      <c r="Q40" s="1478"/>
      <c r="R40" s="1478"/>
      <c r="S40" s="1478"/>
      <c r="T40" s="1478"/>
      <c r="U40" s="1479"/>
      <c r="V40" s="1478"/>
      <c r="W40" s="1478"/>
      <c r="X40" s="1478"/>
      <c r="Y40" s="1478"/>
      <c r="Z40" s="1479"/>
      <c r="AA40" s="1478"/>
      <c r="AB40" s="1478"/>
      <c r="AC40" s="1478"/>
      <c r="AD40" s="1478"/>
      <c r="AE40" s="1479"/>
      <c r="AF40" s="1478"/>
      <c r="AG40" s="1478"/>
      <c r="AH40" s="1478"/>
      <c r="AI40" s="1478"/>
      <c r="AJ40" s="1479"/>
      <c r="AK40" s="1478"/>
      <c r="AL40" s="1478"/>
      <c r="AM40" s="1478"/>
      <c r="AN40" s="1478"/>
      <c r="AO40" s="1479"/>
      <c r="AP40" s="1478"/>
      <c r="AQ40" s="1478"/>
      <c r="AR40" s="1478"/>
      <c r="AS40" s="1478"/>
      <c r="AT40" s="1479"/>
      <c r="AU40" s="1478">
        <f>'Rev Overview'!BU24</f>
        <v>9329</v>
      </c>
      <c r="AV40" s="1478">
        <f>'Rev Overview'!BV24</f>
        <v>12513</v>
      </c>
      <c r="AW40" s="1478">
        <f>'Rev Overview'!BW24</f>
        <v>9387</v>
      </c>
      <c r="AX40" s="1478">
        <f>'Rev Overview'!BX24</f>
        <v>9181</v>
      </c>
      <c r="AY40" s="1479">
        <f>SUM(AU40:AX40)</f>
        <v>40410</v>
      </c>
      <c r="AZ40" s="1478">
        <f>'Rev Overview'!BZ24</f>
        <v>9395</v>
      </c>
      <c r="BA40" s="1478">
        <f>'Rev Overview'!CA24</f>
        <v>11889</v>
      </c>
      <c r="BB40" s="1478">
        <f>'Rev Overview'!CB24</f>
        <v>8775</v>
      </c>
      <c r="BC40" s="1478">
        <f>'Rev Overview'!CC24</f>
        <v>9235</v>
      </c>
      <c r="BD40" s="1479">
        <f>SUM(AZ40:BC40)</f>
        <v>39294</v>
      </c>
      <c r="BE40" s="1478">
        <f>'Rev Overview'!CE24</f>
        <v>9378</v>
      </c>
      <c r="BF40" s="1478">
        <f>'Rev Overview'!CF24</f>
        <v>12170</v>
      </c>
      <c r="BG40" s="1478">
        <f>'Rev Overview'!CG24</f>
        <v>9917</v>
      </c>
      <c r="BH40" s="1478">
        <f t="shared" ref="BG40:BH40" si="88">SUM(BH32:BH39)</f>
        <v>10316.781548477304</v>
      </c>
      <c r="BI40" s="1479">
        <f>SUM(BE40:BH40)</f>
        <v>41781.781548477302</v>
      </c>
      <c r="BJ40" s="1478">
        <f>SUM(BJ32:BJ39)</f>
        <v>10031.672378105135</v>
      </c>
      <c r="BK40" s="1478">
        <f>SUM(BK32:BK39)</f>
        <v>13016.905252087286</v>
      </c>
      <c r="BL40" s="1478">
        <f>SUM(BL32:BL39)</f>
        <v>10057.118141595263</v>
      </c>
      <c r="BM40" s="1478">
        <f>SUM(BM32:BM39)</f>
        <v>10577.363130495323</v>
      </c>
      <c r="BN40" s="1479">
        <f>SUM(BJ40:BM40)</f>
        <v>43683.058902283003</v>
      </c>
      <c r="BO40" s="1478">
        <f>SUM(BO32:BO39)</f>
        <v>10234.442697514844</v>
      </c>
      <c r="BP40" s="1478">
        <f>SUM(BP32:BP39)</f>
        <v>13251.331638642572</v>
      </c>
      <c r="BQ40" s="1478">
        <f>SUM(BQ32:BQ39)</f>
        <v>10331.746650701636</v>
      </c>
      <c r="BR40" s="1478">
        <f>SUM(BR32:BR39)</f>
        <v>10884.057085211818</v>
      </c>
      <c r="BS40" s="1479">
        <f>SUM(BO40:BR40)</f>
        <v>44701.578072070872</v>
      </c>
      <c r="BT40" s="1478">
        <f>SUM(BT32:BT39)</f>
        <v>10374.23153285562</v>
      </c>
      <c r="BU40" s="1478">
        <f>SUM(BU32:BU39)</f>
        <v>13390.543323109523</v>
      </c>
      <c r="BV40" s="1478">
        <f>SUM(BV32:BV39)</f>
        <v>10518.730864116134</v>
      </c>
      <c r="BW40" s="1478">
        <f>SUM(BW32:BW39)</f>
        <v>11091.761010589684</v>
      </c>
      <c r="BX40" s="1479">
        <f>SUM(BT40:BW40)</f>
        <v>45375.266730670963</v>
      </c>
      <c r="BY40" s="1343"/>
      <c r="BZ40" s="1479"/>
      <c r="CA40" s="1479"/>
      <c r="CB40" s="1479">
        <f t="shared" si="77"/>
        <v>0</v>
      </c>
      <c r="CC40" s="1479">
        <f t="shared" si="78"/>
        <v>21842</v>
      </c>
      <c r="CD40" s="1479">
        <f t="shared" si="79"/>
        <v>39852</v>
      </c>
      <c r="CE40" s="1479">
        <f t="shared" si="80"/>
        <v>39558</v>
      </c>
      <c r="CF40" s="1479">
        <f t="shared" si="81"/>
        <v>43282.359178669722</v>
      </c>
      <c r="CG40" s="1479">
        <f t="shared" si="82"/>
        <v>44120.255608248</v>
      </c>
      <c r="CH40" s="1479">
        <f t="shared" si="83"/>
        <v>44980.578591878599</v>
      </c>
    </row>
    <row r="41" spans="1:86" ht="13.5" thickBot="1">
      <c r="A41" s="1480" t="s">
        <v>163</v>
      </c>
      <c r="B41" s="1481"/>
      <c r="C41" s="1481"/>
      <c r="D41" s="1481"/>
      <c r="E41" s="1481"/>
      <c r="F41" s="1482"/>
      <c r="G41" s="1481"/>
      <c r="H41" s="1481"/>
      <c r="I41" s="1481"/>
      <c r="J41" s="1481"/>
      <c r="K41" s="1482"/>
      <c r="L41" s="1481"/>
      <c r="M41" s="1481"/>
      <c r="N41" s="1481"/>
      <c r="O41" s="1481"/>
      <c r="P41" s="1482"/>
      <c r="Q41" s="1481"/>
      <c r="R41" s="1481"/>
      <c r="S41" s="1481"/>
      <c r="T41" s="1481"/>
      <c r="U41" s="1482"/>
      <c r="V41" s="1481"/>
      <c r="W41" s="1481"/>
      <c r="X41" s="1481"/>
      <c r="Y41" s="1481"/>
      <c r="Z41" s="1482"/>
      <c r="AA41" s="1481"/>
      <c r="AB41" s="1481"/>
      <c r="AC41" s="1481"/>
      <c r="AD41" s="1481"/>
      <c r="AE41" s="1482"/>
      <c r="AF41" s="1483"/>
      <c r="AG41" s="1483"/>
      <c r="AH41" s="1483"/>
      <c r="AI41" s="1483"/>
      <c r="AJ41" s="1482"/>
      <c r="AK41" s="1483"/>
      <c r="AL41" s="1483"/>
      <c r="AM41" s="1483"/>
      <c r="AN41" s="1483"/>
      <c r="AO41" s="1486"/>
      <c r="AP41" s="1485"/>
      <c r="AQ41" s="1485"/>
      <c r="AR41" s="1485"/>
      <c r="AS41" s="1485"/>
      <c r="AT41" s="1486"/>
      <c r="AU41" s="1485"/>
      <c r="AV41" s="1485"/>
      <c r="AW41" s="1485"/>
      <c r="AX41" s="1485"/>
      <c r="AY41" s="1486"/>
      <c r="AZ41" s="1485">
        <f t="shared" ref="AZ41:BS41" si="89">IFERROR(AZ40/AU40-1,"")</f>
        <v>7.0747132597277496E-3</v>
      </c>
      <c r="BA41" s="1485">
        <f t="shared" si="89"/>
        <v>-4.9868137137377144E-2</v>
      </c>
      <c r="BB41" s="1485">
        <f t="shared" si="89"/>
        <v>-6.5196548418024913E-2</v>
      </c>
      <c r="BC41" s="1485">
        <f t="shared" si="89"/>
        <v>5.8817122317831316E-3</v>
      </c>
      <c r="BD41" s="1486">
        <f t="shared" si="89"/>
        <v>-2.76169265033408E-2</v>
      </c>
      <c r="BE41" s="1485">
        <f t="shared" si="89"/>
        <v>-1.8094731240021478E-3</v>
      </c>
      <c r="BF41" s="1485">
        <f t="shared" si="89"/>
        <v>2.3635293128101642E-2</v>
      </c>
      <c r="BG41" s="1485">
        <f t="shared" si="89"/>
        <v>0.13014245014245018</v>
      </c>
      <c r="BH41" s="1485">
        <f t="shared" si="89"/>
        <v>0.11713931223360086</v>
      </c>
      <c r="BI41" s="1486">
        <f t="shared" si="89"/>
        <v>6.3311995431294843E-2</v>
      </c>
      <c r="BJ41" s="1485">
        <f t="shared" si="89"/>
        <v>6.9702748784936652E-2</v>
      </c>
      <c r="BK41" s="1485">
        <f t="shared" si="89"/>
        <v>6.9589585216703886E-2</v>
      </c>
      <c r="BL41" s="1485">
        <f t="shared" si="89"/>
        <v>1.412908556975534E-2</v>
      </c>
      <c r="BM41" s="1485">
        <f t="shared" si="89"/>
        <v>2.5258030403530141E-2</v>
      </c>
      <c r="BN41" s="1486">
        <f t="shared" si="89"/>
        <v>4.5504937399563516E-2</v>
      </c>
      <c r="BO41" s="1485">
        <f t="shared" si="89"/>
        <v>2.021301252344232E-2</v>
      </c>
      <c r="BP41" s="1485">
        <f t="shared" si="89"/>
        <v>1.8009379496535471E-2</v>
      </c>
      <c r="BQ41" s="1485">
        <f t="shared" si="89"/>
        <v>2.7306879091987257E-2</v>
      </c>
      <c r="BR41" s="1485">
        <f t="shared" si="89"/>
        <v>2.8995313003131518E-2</v>
      </c>
      <c r="BS41" s="1486">
        <f t="shared" si="89"/>
        <v>2.3316113737965383E-2</v>
      </c>
      <c r="BT41" s="1485">
        <f t="shared" ref="BT41" si="90">IFERROR(BT40/BO40-1,"")</f>
        <v>1.3658666082005722E-2</v>
      </c>
      <c r="BU41" s="1485">
        <f t="shared" ref="BU41" si="91">IFERROR(BU40/BP40-1,"")</f>
        <v>1.0505486411719778E-2</v>
      </c>
      <c r="BV41" s="1485">
        <f t="shared" ref="BV41" si="92">IFERROR(BV40/BQ40-1,"")</f>
        <v>1.8098025410040464E-2</v>
      </c>
      <c r="BW41" s="1485">
        <f t="shared" ref="BW41" si="93">IFERROR(BW40/BR40-1,"")</f>
        <v>1.9083318265582516E-2</v>
      </c>
      <c r="BX41" s="1486">
        <f t="shared" ref="BX41" si="94">IFERROR(BX40/BS40-1,"")</f>
        <v>1.5070802590323007E-2</v>
      </c>
      <c r="BY41" s="1343"/>
      <c r="BZ41" s="1486"/>
      <c r="CA41" s="1486"/>
      <c r="CB41" s="1486"/>
      <c r="CC41" s="1486" t="e">
        <f t="shared" ref="CC41:CH41" si="95">CC40/CB40-1</f>
        <v>#DIV/0!</v>
      </c>
      <c r="CD41" s="1486">
        <f t="shared" si="95"/>
        <v>0.82455819064188263</v>
      </c>
      <c r="CE41" s="1486">
        <f t="shared" si="95"/>
        <v>-7.3772959951822203E-3</v>
      </c>
      <c r="CF41" s="1486">
        <f t="shared" si="95"/>
        <v>9.414932955836286E-2</v>
      </c>
      <c r="CG41" s="1486">
        <f t="shared" si="95"/>
        <v>1.935884377557695E-2</v>
      </c>
      <c r="CH41" s="1486">
        <f t="shared" si="95"/>
        <v>1.9499501346265324E-2</v>
      </c>
    </row>
    <row r="42" spans="1:86">
      <c r="A42" s="1340"/>
      <c r="B42" s="1345"/>
      <c r="C42" s="1345"/>
      <c r="D42" s="1345"/>
      <c r="E42" s="1345"/>
      <c r="F42" s="1346"/>
      <c r="G42" s="1345"/>
      <c r="H42" s="1345"/>
      <c r="I42" s="1345"/>
      <c r="J42" s="1345"/>
      <c r="K42" s="1346"/>
      <c r="L42" s="1345"/>
      <c r="M42" s="1345"/>
      <c r="N42" s="1345"/>
      <c r="O42" s="1345"/>
      <c r="P42" s="1346"/>
      <c r="Q42" s="1345"/>
      <c r="R42" s="1345"/>
      <c r="S42" s="1345"/>
      <c r="T42" s="1345"/>
      <c r="U42" s="1346"/>
      <c r="V42" s="1345"/>
      <c r="W42" s="1345"/>
      <c r="X42" s="1345"/>
      <c r="Y42" s="1345"/>
      <c r="Z42" s="1346"/>
      <c r="AA42" s="1345"/>
      <c r="AB42" s="1345"/>
      <c r="AC42" s="1345"/>
      <c r="AD42" s="1345"/>
      <c r="AE42" s="1346"/>
      <c r="AF42" s="1347"/>
      <c r="AG42" s="1347"/>
      <c r="AH42" s="1347"/>
      <c r="AI42" s="1347"/>
      <c r="AJ42" s="1346"/>
      <c r="AK42" s="1347"/>
      <c r="AL42" s="1347"/>
      <c r="AM42" s="1347"/>
      <c r="AN42" s="1347"/>
      <c r="AO42" s="1344"/>
      <c r="AP42" s="1347"/>
      <c r="AQ42" s="1347"/>
      <c r="AR42" s="1347"/>
      <c r="AS42" s="1347"/>
      <c r="AT42" s="1344"/>
      <c r="AU42" s="1347"/>
      <c r="AV42" s="1347"/>
      <c r="AW42" s="1347"/>
      <c r="AX42" s="1347"/>
      <c r="AY42" s="1344"/>
      <c r="AZ42" s="1347"/>
      <c r="BA42" s="1347"/>
      <c r="BB42" s="1347"/>
      <c r="BC42" s="1347"/>
      <c r="BD42" s="1344"/>
      <c r="BE42" s="1347"/>
      <c r="BF42" s="1347"/>
      <c r="BG42" s="1347"/>
      <c r="BH42" s="1347"/>
      <c r="BI42" s="1344"/>
      <c r="BJ42" s="1347"/>
      <c r="BK42" s="1347"/>
      <c r="BL42" s="1347"/>
      <c r="BM42" s="1347"/>
      <c r="BN42" s="1344"/>
      <c r="BO42" s="1347"/>
      <c r="BP42" s="1347"/>
      <c r="BQ42" s="1347"/>
      <c r="BR42" s="1347"/>
      <c r="BS42" s="1344"/>
      <c r="BT42" s="1347"/>
      <c r="BU42" s="1347"/>
      <c r="BV42" s="1347"/>
      <c r="BW42" s="1347"/>
      <c r="BX42" s="1344"/>
      <c r="BY42" s="1343"/>
      <c r="BZ42" s="1344"/>
      <c r="CA42" s="1344"/>
      <c r="CB42" s="1344"/>
      <c r="CC42" s="1344"/>
      <c r="CD42" s="1344"/>
      <c r="CE42" s="1344"/>
      <c r="CF42" s="1344"/>
      <c r="CG42" s="1344"/>
      <c r="CH42" s="1344"/>
    </row>
    <row r="43" spans="1:86">
      <c r="A43" s="1536" t="s">
        <v>1071</v>
      </c>
      <c r="B43" s="1465"/>
      <c r="C43" s="1465"/>
      <c r="D43" s="1465"/>
      <c r="E43" s="1465"/>
      <c r="F43" s="1466"/>
      <c r="G43" s="1465"/>
      <c r="H43" s="1465"/>
      <c r="I43" s="1465"/>
      <c r="J43" s="1465"/>
      <c r="K43" s="1466"/>
      <c r="L43" s="1465"/>
      <c r="M43" s="1465"/>
      <c r="N43" s="1465"/>
      <c r="O43" s="1465"/>
      <c r="P43" s="1466"/>
      <c r="Q43" s="1465"/>
      <c r="R43" s="1465"/>
      <c r="S43" s="1465"/>
      <c r="T43" s="1465"/>
      <c r="U43" s="1466"/>
      <c r="V43" s="1465"/>
      <c r="W43" s="1465"/>
      <c r="X43" s="1465"/>
      <c r="Y43" s="1465"/>
      <c r="Z43" s="1466"/>
      <c r="AA43" s="1465"/>
      <c r="AB43" s="1465"/>
      <c r="AC43" s="1465"/>
      <c r="AD43" s="1465"/>
      <c r="AE43" s="1466"/>
      <c r="AF43" s="1467"/>
      <c r="AG43" s="1467"/>
      <c r="AH43" s="1467"/>
      <c r="AI43" s="1467"/>
      <c r="AJ43" s="1466"/>
      <c r="AK43" s="1465"/>
      <c r="AL43" s="1467"/>
      <c r="AM43" s="1467"/>
      <c r="AN43" s="1467"/>
      <c r="AO43" s="1196"/>
      <c r="AP43" s="1195"/>
      <c r="AQ43" s="1195"/>
      <c r="AR43" s="1195"/>
      <c r="AS43" s="1195"/>
      <c r="AT43" s="1196"/>
      <c r="AU43" s="1195"/>
      <c r="AV43" s="1195"/>
      <c r="AW43" s="1195"/>
      <c r="AX43" s="1195"/>
      <c r="AY43" s="1196"/>
      <c r="AZ43" s="1195"/>
      <c r="BA43" s="1195"/>
      <c r="BB43" s="1195"/>
      <c r="BC43" s="1195"/>
      <c r="BD43" s="1196"/>
      <c r="BE43" s="1195"/>
      <c r="BF43" s="1195"/>
      <c r="BG43" s="1195"/>
      <c r="BH43" s="1195"/>
      <c r="BI43" s="1196"/>
      <c r="BJ43" s="1195"/>
      <c r="BK43" s="1195"/>
      <c r="BL43" s="1195"/>
      <c r="BM43" s="1195"/>
      <c r="BN43" s="1196"/>
      <c r="BO43" s="1195"/>
      <c r="BP43" s="1195"/>
      <c r="BQ43" s="1195"/>
      <c r="BR43" s="1195"/>
      <c r="BS43" s="1196"/>
      <c r="BT43" s="1195"/>
      <c r="BU43" s="1195"/>
      <c r="BV43" s="1195"/>
      <c r="BW43" s="1195"/>
      <c r="BX43" s="1196"/>
      <c r="BY43" s="1343"/>
      <c r="BZ43" s="1196"/>
      <c r="CA43" s="1196"/>
      <c r="CB43" s="1196">
        <f>SUM(AM43:AN43,AP43:AQ43)</f>
        <v>0</v>
      </c>
      <c r="CC43" s="1196">
        <f>SUM(AR43:AS43,AU43:AV43)</f>
        <v>0</v>
      </c>
      <c r="CD43" s="1196">
        <f>SUM(AW43:AX43,AZ43:BA43)</f>
        <v>0</v>
      </c>
      <c r="CE43" s="1196">
        <f>SUM(BB43:BC43,BE43:BF43)</f>
        <v>0</v>
      </c>
      <c r="CF43" s="1196">
        <f>SUM(BG43:BH43,BJ43:BK43)</f>
        <v>0</v>
      </c>
      <c r="CG43" s="1196">
        <f>SUM(BL43:BM43,BO43:BP43)</f>
        <v>0</v>
      </c>
      <c r="CH43" s="1196">
        <f>SUM(BQ43:BR43,BT43:BU43)</f>
        <v>0</v>
      </c>
    </row>
    <row r="44" spans="1:86" ht="13.5" thickBot="1">
      <c r="B44" s="1345"/>
      <c r="C44" s="1345"/>
      <c r="D44" s="1345"/>
      <c r="E44" s="1345"/>
      <c r="F44" s="1346"/>
      <c r="G44" s="1345"/>
      <c r="H44" s="1345"/>
      <c r="I44" s="1345"/>
      <c r="J44" s="1345"/>
      <c r="K44" s="1346"/>
      <c r="L44" s="1345"/>
      <c r="M44" s="1345"/>
      <c r="N44" s="1345"/>
      <c r="O44" s="1345"/>
      <c r="P44" s="1346"/>
      <c r="Q44" s="1345"/>
      <c r="R44" s="1345"/>
      <c r="S44" s="1345"/>
      <c r="T44" s="1345"/>
      <c r="U44" s="1346"/>
      <c r="V44" s="1345"/>
      <c r="W44" s="1345"/>
      <c r="X44" s="1345"/>
      <c r="Y44" s="1345"/>
      <c r="Z44" s="1346"/>
      <c r="AA44" s="1345"/>
      <c r="AB44" s="1345"/>
      <c r="AC44" s="1345"/>
      <c r="AD44" s="1345"/>
      <c r="AE44" s="1346"/>
      <c r="AF44" s="1347"/>
      <c r="AG44" s="1347"/>
      <c r="AH44" s="1347"/>
      <c r="AI44" s="1347"/>
      <c r="AJ44" s="1346"/>
      <c r="AK44" s="1347"/>
      <c r="AL44" s="1347"/>
      <c r="AM44" s="1347"/>
      <c r="AN44" s="1347"/>
      <c r="AO44" s="1344"/>
      <c r="AP44" s="1347"/>
      <c r="AQ44" s="1347"/>
      <c r="AR44" s="1347"/>
      <c r="AS44" s="1347"/>
      <c r="AT44" s="1344"/>
      <c r="AU44" s="1347"/>
      <c r="AV44" s="1347"/>
      <c r="AW44" s="1347"/>
      <c r="AX44" s="1347"/>
      <c r="AY44" s="1344"/>
      <c r="AZ44" s="1347"/>
      <c r="BA44" s="1347"/>
      <c r="BB44" s="1347"/>
      <c r="BC44" s="1347"/>
      <c r="BD44" s="1344"/>
      <c r="BE44" s="1347"/>
      <c r="BF44" s="1347"/>
      <c r="BG44" s="1347"/>
      <c r="BH44" s="1347"/>
      <c r="BI44" s="1344"/>
      <c r="BJ44" s="1347"/>
      <c r="BK44" s="1347"/>
      <c r="BL44" s="1347"/>
      <c r="BM44" s="1347"/>
      <c r="BN44" s="1344"/>
      <c r="BO44" s="1347"/>
      <c r="BP44" s="1347"/>
      <c r="BQ44" s="1347"/>
      <c r="BR44" s="1347"/>
      <c r="BS44" s="1344"/>
      <c r="BT44" s="1347"/>
      <c r="BU44" s="1347"/>
      <c r="BV44" s="1347"/>
      <c r="BW44" s="1347"/>
      <c r="BX44" s="1344"/>
      <c r="BY44" s="1343"/>
      <c r="BZ44" s="1344"/>
      <c r="CA44" s="1344"/>
      <c r="CB44" s="1344"/>
      <c r="CC44" s="1344"/>
      <c r="CD44" s="1344"/>
      <c r="CE44" s="1344"/>
      <c r="CF44" s="1344"/>
      <c r="CG44" s="1344"/>
      <c r="CH44" s="1344"/>
    </row>
    <row r="45" spans="1:86">
      <c r="A45" s="1487" t="s">
        <v>743</v>
      </c>
      <c r="B45" s="1488"/>
      <c r="C45" s="1488"/>
      <c r="D45" s="1488"/>
      <c r="E45" s="1488"/>
      <c r="F45" s="1489"/>
      <c r="G45" s="1488"/>
      <c r="H45" s="1488"/>
      <c r="I45" s="1488"/>
      <c r="J45" s="1488"/>
      <c r="K45" s="1489"/>
      <c r="L45" s="1488"/>
      <c r="M45" s="1488"/>
      <c r="N45" s="1488"/>
      <c r="O45" s="1488"/>
      <c r="P45" s="1489"/>
      <c r="Q45" s="1488"/>
      <c r="R45" s="1488"/>
      <c r="S45" s="1488"/>
      <c r="T45" s="1488"/>
      <c r="U45" s="1489"/>
      <c r="V45" s="1488"/>
      <c r="W45" s="1488"/>
      <c r="X45" s="1488"/>
      <c r="Y45" s="1488"/>
      <c r="Z45" s="1489"/>
      <c r="AA45" s="1488"/>
      <c r="AB45" s="1488"/>
      <c r="AC45" s="1488"/>
      <c r="AD45" s="1488"/>
      <c r="AE45" s="1489"/>
      <c r="AF45" s="1488"/>
      <c r="AG45" s="1488"/>
      <c r="AH45" s="1488"/>
      <c r="AI45" s="1488"/>
      <c r="AJ45" s="1489"/>
      <c r="AK45" s="1488"/>
      <c r="AL45" s="1488"/>
      <c r="AM45" s="1488"/>
      <c r="AN45" s="1488"/>
      <c r="AO45" s="1489"/>
      <c r="AP45" s="1488"/>
      <c r="AQ45" s="1488"/>
      <c r="AR45" s="1488"/>
      <c r="AS45" s="1488"/>
      <c r="AT45" s="1489"/>
      <c r="AU45" s="1488">
        <f>AU40+AU28+AU17</f>
        <v>20910</v>
      </c>
      <c r="AV45" s="1488">
        <f t="shared" ref="AV45:AX45" si="96">AV40+AV28+AV17</f>
        <v>25253</v>
      </c>
      <c r="AW45" s="1488">
        <f t="shared" si="96"/>
        <v>21517</v>
      </c>
      <c r="AX45" s="1488">
        <f t="shared" si="96"/>
        <v>23474</v>
      </c>
      <c r="AY45" s="1489">
        <f>SUM(AU45:AX45)</f>
        <v>91154</v>
      </c>
      <c r="AZ45" s="1488">
        <f>AZ40+AZ28+AZ17</f>
        <v>21928</v>
      </c>
      <c r="BA45" s="1488">
        <f t="shared" ref="BA45:BC45" si="97">BA40+BA28+BA17</f>
        <v>25826</v>
      </c>
      <c r="BB45" s="1488">
        <f t="shared" si="97"/>
        <v>23212</v>
      </c>
      <c r="BC45" s="1488">
        <f t="shared" si="97"/>
        <v>25605</v>
      </c>
      <c r="BD45" s="1489">
        <f>SUM(AZ45:BC45)</f>
        <v>96571</v>
      </c>
      <c r="BE45" s="1488">
        <f>BE40+BE28+BE17</f>
        <v>24538</v>
      </c>
      <c r="BF45" s="1488">
        <f t="shared" ref="BF45:BG45" si="98">BF40+BF28+BF17</f>
        <v>28918</v>
      </c>
      <c r="BG45" s="1488">
        <f t="shared" ref="BG45" si="99">BG40+BG28+BG17</f>
        <v>26819</v>
      </c>
      <c r="BH45" s="1488">
        <f t="shared" ref="BG45:BH45" si="100">BH40+BH28+BH17</f>
        <v>29195.5462989398</v>
      </c>
      <c r="BI45" s="1489">
        <f>SUM(BE45:BH45)</f>
        <v>109470.54629893979</v>
      </c>
      <c r="BJ45" s="1488">
        <f>BJ40+BJ28+BJ17</f>
        <v>27735.172906742355</v>
      </c>
      <c r="BK45" s="1488">
        <f t="shared" ref="BK45:BM45" si="101">BK40+BK28+BK17</f>
        <v>32199.916918887284</v>
      </c>
      <c r="BL45" s="1488">
        <f t="shared" si="101"/>
        <v>29957.026778955267</v>
      </c>
      <c r="BM45" s="1488">
        <f t="shared" si="101"/>
        <v>32642.118087953073</v>
      </c>
      <c r="BN45" s="1489">
        <f>SUM(BJ45:BM45)</f>
        <v>122534.23469253798</v>
      </c>
      <c r="BO45" s="1488">
        <f>BO40+BO28+BO17</f>
        <v>31115.926472859042</v>
      </c>
      <c r="BP45" s="1488">
        <f t="shared" ref="BP45:BR45" si="102">BP40+BP28+BP17</f>
        <v>35617.687698203823</v>
      </c>
      <c r="BQ45" s="1488">
        <f t="shared" si="102"/>
        <v>33967.374251287067</v>
      </c>
      <c r="BR45" s="1488">
        <f t="shared" si="102"/>
        <v>37014.075433360435</v>
      </c>
      <c r="BS45" s="1489">
        <f>SUM(BO45:BR45)</f>
        <v>137715.06385571035</v>
      </c>
      <c r="BT45" s="1488">
        <f>BT40+BT28+BT17</f>
        <v>34831.269258138069</v>
      </c>
      <c r="BU45" s="1488">
        <f t="shared" ref="BU45:BW45" si="103">BU40+BU28+BU17</f>
        <v>39116.018736833961</v>
      </c>
      <c r="BV45" s="1488">
        <f t="shared" si="103"/>
        <v>37958.862358815866</v>
      </c>
      <c r="BW45" s="1488">
        <f t="shared" si="103"/>
        <v>41295.683517201003</v>
      </c>
      <c r="BX45" s="1489">
        <f>SUM(BT45:BW45)</f>
        <v>153201.83387098889</v>
      </c>
      <c r="BY45" s="1343"/>
      <c r="BZ45" s="1489"/>
      <c r="CA45" s="1489"/>
      <c r="CB45" s="1489">
        <f>SUM(AM45:AN45,AP45:AQ45)</f>
        <v>0</v>
      </c>
      <c r="CC45" s="1489">
        <f>SUM(AR45:AS45,AU45:AV45)</f>
        <v>46163</v>
      </c>
      <c r="CD45" s="1489">
        <f>SUM(AW45:AX45,AZ45:BA45)</f>
        <v>92745</v>
      </c>
      <c r="CE45" s="1489">
        <f>SUM(BB45:BC45,BE45:BF45)</f>
        <v>102273</v>
      </c>
      <c r="CF45" s="1489">
        <f>SUM(BG45:BH45,BJ45:BK45)</f>
        <v>115949.63612456943</v>
      </c>
      <c r="CG45" s="1489">
        <f>SUM(BL45:BM45,BO45:BP45)</f>
        <v>129332.75903797121</v>
      </c>
      <c r="CH45" s="1489">
        <f>SUM(BQ45:BR45,BT45:BU45)</f>
        <v>144928.73767961952</v>
      </c>
    </row>
    <row r="46" spans="1:86" ht="13.5" thickBot="1">
      <c r="A46" s="1490" t="s">
        <v>163</v>
      </c>
      <c r="B46" s="1491"/>
      <c r="C46" s="1491"/>
      <c r="D46" s="1491"/>
      <c r="E46" s="1491"/>
      <c r="F46" s="1492"/>
      <c r="G46" s="1491"/>
      <c r="H46" s="1491"/>
      <c r="I46" s="1491"/>
      <c r="J46" s="1491"/>
      <c r="K46" s="1492"/>
      <c r="L46" s="1491"/>
      <c r="M46" s="1491"/>
      <c r="N46" s="1491"/>
      <c r="O46" s="1491"/>
      <c r="P46" s="1492"/>
      <c r="Q46" s="1491"/>
      <c r="R46" s="1491"/>
      <c r="S46" s="1491"/>
      <c r="T46" s="1491"/>
      <c r="U46" s="1492"/>
      <c r="V46" s="1491"/>
      <c r="W46" s="1491"/>
      <c r="X46" s="1491"/>
      <c r="Y46" s="1491"/>
      <c r="Z46" s="1492"/>
      <c r="AA46" s="1491"/>
      <c r="AB46" s="1491"/>
      <c r="AC46" s="1491"/>
      <c r="AD46" s="1491"/>
      <c r="AE46" s="1492"/>
      <c r="AF46" s="1493"/>
      <c r="AG46" s="1493"/>
      <c r="AH46" s="1493"/>
      <c r="AI46" s="1493"/>
      <c r="AJ46" s="1492"/>
      <c r="AK46" s="1493"/>
      <c r="AL46" s="1493"/>
      <c r="AM46" s="1493"/>
      <c r="AN46" s="1493"/>
      <c r="AO46" s="1496"/>
      <c r="AP46" s="1495"/>
      <c r="AQ46" s="1495"/>
      <c r="AR46" s="1495"/>
      <c r="AS46" s="1495"/>
      <c r="AT46" s="1496"/>
      <c r="AU46" s="1495"/>
      <c r="AV46" s="1495"/>
      <c r="AW46" s="1495"/>
      <c r="AX46" s="1495"/>
      <c r="AY46" s="1496"/>
      <c r="AZ46" s="1495">
        <f t="shared" ref="AZ46:BS46" si="104">IFERROR(AZ45/AU45-1,"")</f>
        <v>4.8684839789574275E-2</v>
      </c>
      <c r="BA46" s="1495">
        <f t="shared" si="104"/>
        <v>2.2690373420979792E-2</v>
      </c>
      <c r="BB46" s="1495">
        <f t="shared" si="104"/>
        <v>7.8774922154575489E-2</v>
      </c>
      <c r="BC46" s="1495">
        <f t="shared" si="104"/>
        <v>9.0781289937803544E-2</v>
      </c>
      <c r="BD46" s="1496">
        <f t="shared" si="104"/>
        <v>5.9426903920837271E-2</v>
      </c>
      <c r="BE46" s="1495">
        <f t="shared" si="104"/>
        <v>0.11902590295512594</v>
      </c>
      <c r="BF46" s="1495">
        <f t="shared" si="104"/>
        <v>0.11972430883605667</v>
      </c>
      <c r="BG46" s="1495">
        <f t="shared" si="104"/>
        <v>0.15539376184732046</v>
      </c>
      <c r="BH46" s="1495">
        <f t="shared" si="104"/>
        <v>0.14022832645732475</v>
      </c>
      <c r="BI46" s="1496">
        <f t="shared" si="104"/>
        <v>0.13357577636081008</v>
      </c>
      <c r="BJ46" s="1495">
        <f t="shared" si="104"/>
        <v>0.13029476349915869</v>
      </c>
      <c r="BK46" s="1495">
        <f t="shared" si="104"/>
        <v>0.11349045296657034</v>
      </c>
      <c r="BL46" s="1495">
        <f t="shared" si="104"/>
        <v>0.11700759830550234</v>
      </c>
      <c r="BM46" s="1495">
        <f t="shared" si="104"/>
        <v>0.11805128610107318</v>
      </c>
      <c r="BN46" s="1496">
        <f t="shared" si="104"/>
        <v>0.11933518955796707</v>
      </c>
      <c r="BO46" s="1495">
        <f t="shared" si="104"/>
        <v>0.12189408652631228</v>
      </c>
      <c r="BP46" s="1495">
        <f t="shared" si="104"/>
        <v>0.10614222353200553</v>
      </c>
      <c r="BQ46" s="1495">
        <f t="shared" si="104"/>
        <v>0.13387000992865739</v>
      </c>
      <c r="BR46" s="1495">
        <f t="shared" si="104"/>
        <v>0.13393608017798564</v>
      </c>
      <c r="BS46" s="1496">
        <f t="shared" si="104"/>
        <v>0.12389051273110741</v>
      </c>
      <c r="BT46" s="1495">
        <f t="shared" ref="BT46" si="105">IFERROR(BT45/BO45-1,"")</f>
        <v>0.11940325121026829</v>
      </c>
      <c r="BU46" s="1495">
        <f t="shared" ref="BU46" si="106">IFERROR(BU45/BP45-1,"")</f>
        <v>9.8218926177135124E-2</v>
      </c>
      <c r="BV46" s="1495">
        <f t="shared" ref="BV46" si="107">IFERROR(BV45/BQ45-1,"")</f>
        <v>0.11750946888034952</v>
      </c>
      <c r="BW46" s="1495">
        <f t="shared" ref="BW46" si="108">IFERROR(BW45/BR45-1,"")</f>
        <v>0.11567513260054563</v>
      </c>
      <c r="BX46" s="1496">
        <f t="shared" ref="BX46" si="109">IFERROR(BX45/BS45-1,"")</f>
        <v>0.11245516344896478</v>
      </c>
      <c r="BY46" s="1343"/>
      <c r="BZ46" s="1496"/>
      <c r="CA46" s="1496"/>
      <c r="CB46" s="1496"/>
      <c r="CC46" s="1496" t="e">
        <f t="shared" ref="CC46:CH46" si="110">CC45/CB45-1</f>
        <v>#DIV/0!</v>
      </c>
      <c r="CD46" s="1496">
        <f t="shared" si="110"/>
        <v>1.0090765331542579</v>
      </c>
      <c r="CE46" s="1496">
        <f t="shared" si="110"/>
        <v>0.10273330098657607</v>
      </c>
      <c r="CF46" s="1496">
        <f t="shared" si="110"/>
        <v>0.13372675216889518</v>
      </c>
      <c r="CG46" s="1496">
        <f t="shared" si="110"/>
        <v>0.11542186211799521</v>
      </c>
      <c r="CH46" s="1496">
        <f t="shared" si="110"/>
        <v>0.12058799918641983</v>
      </c>
    </row>
    <row r="47" spans="1:86">
      <c r="A47" s="1340"/>
      <c r="B47" s="1345"/>
      <c r="C47" s="1345"/>
      <c r="D47" s="1345"/>
      <c r="E47" s="1345"/>
      <c r="F47" s="1346"/>
      <c r="G47" s="1345"/>
      <c r="H47" s="1345"/>
      <c r="I47" s="1345"/>
      <c r="J47" s="1345"/>
      <c r="K47" s="1346"/>
      <c r="L47" s="1345"/>
      <c r="M47" s="1345"/>
      <c r="N47" s="1345"/>
      <c r="O47" s="1345"/>
      <c r="P47" s="1346"/>
      <c r="Q47" s="1345"/>
      <c r="R47" s="1345"/>
      <c r="S47" s="1345"/>
      <c r="T47" s="1345"/>
      <c r="U47" s="1346"/>
      <c r="V47" s="1345"/>
      <c r="W47" s="1345"/>
      <c r="X47" s="1345"/>
      <c r="Y47" s="1345"/>
      <c r="Z47" s="1346"/>
      <c r="AA47" s="1345"/>
      <c r="AB47" s="1345"/>
      <c r="AC47" s="1345"/>
      <c r="AD47" s="1345"/>
      <c r="AE47" s="1346"/>
      <c r="AF47" s="1347"/>
      <c r="AG47" s="1347"/>
      <c r="AH47" s="1347"/>
      <c r="AI47" s="1347"/>
      <c r="AJ47" s="1346"/>
      <c r="AK47" s="1347"/>
      <c r="AL47" s="1347"/>
      <c r="AM47" s="1347"/>
      <c r="AN47" s="1347"/>
      <c r="AO47" s="1344"/>
      <c r="AP47" s="1547"/>
      <c r="AQ47" s="1547"/>
      <c r="AR47" s="1547"/>
      <c r="AS47" s="1547"/>
      <c r="AT47" s="1548"/>
      <c r="AU47" s="1547"/>
      <c r="AV47" s="1547"/>
      <c r="AW47" s="1547"/>
      <c r="AX47" s="1547"/>
      <c r="AY47" s="1548"/>
      <c r="AZ47" s="1547"/>
      <c r="BA47" s="1547"/>
      <c r="BB47" s="1547"/>
      <c r="BC47" s="1547"/>
      <c r="BD47" s="1548"/>
      <c r="BE47" s="1547"/>
      <c r="BF47" s="1547"/>
      <c r="BG47" s="1547"/>
      <c r="BH47" s="1547"/>
      <c r="BI47" s="1548"/>
      <c r="BJ47" s="1547"/>
      <c r="BK47" s="1547"/>
      <c r="BL47" s="1547"/>
      <c r="BM47" s="1547"/>
      <c r="BN47" s="1548"/>
      <c r="BO47" s="1547"/>
      <c r="BP47" s="1547"/>
      <c r="BQ47" s="1547"/>
      <c r="BR47" s="1547"/>
      <c r="BS47" s="1548"/>
      <c r="BT47" s="1547"/>
      <c r="BU47" s="1547"/>
      <c r="BV47" s="1547"/>
      <c r="BW47" s="1547"/>
      <c r="BX47" s="1548"/>
      <c r="BY47" s="1343"/>
      <c r="BZ47" s="1548"/>
      <c r="CA47" s="1548"/>
      <c r="CB47" s="1548"/>
      <c r="CC47" s="1548"/>
      <c r="CD47" s="1548"/>
      <c r="CE47" s="1548"/>
      <c r="CF47" s="1548"/>
      <c r="CG47" s="1548"/>
      <c r="CH47" s="1548"/>
    </row>
    <row r="48" spans="1:86" ht="13.5" thickBot="1">
      <c r="A48" s="1340"/>
      <c r="B48" s="1345"/>
      <c r="C48" s="1345"/>
      <c r="D48" s="1345"/>
      <c r="E48" s="1345"/>
      <c r="F48" s="1346"/>
      <c r="G48" s="1345"/>
      <c r="H48" s="1345"/>
      <c r="I48" s="1345"/>
      <c r="J48" s="1345"/>
      <c r="K48" s="1346"/>
      <c r="L48" s="1345"/>
      <c r="M48" s="1345"/>
      <c r="N48" s="1345"/>
      <c r="O48" s="1345"/>
      <c r="P48" s="1346"/>
      <c r="Q48" s="1345"/>
      <c r="R48" s="1345"/>
      <c r="S48" s="1345"/>
      <c r="T48" s="1345"/>
      <c r="U48" s="1346"/>
      <c r="V48" s="1345"/>
      <c r="W48" s="1345"/>
      <c r="X48" s="1345"/>
      <c r="Y48" s="1345"/>
      <c r="Z48" s="1346"/>
      <c r="AA48" s="1345"/>
      <c r="AB48" s="1345"/>
      <c r="AC48" s="1345"/>
      <c r="AD48" s="1345"/>
      <c r="AE48" s="1346"/>
      <c r="AF48" s="1347"/>
      <c r="AG48" s="1347"/>
      <c r="AH48" s="1347"/>
      <c r="AI48" s="1347"/>
      <c r="AJ48" s="1346"/>
      <c r="AK48" s="2689"/>
      <c r="AL48" s="2689"/>
      <c r="AM48" s="2689"/>
      <c r="AN48" s="2689"/>
      <c r="AO48" s="2688"/>
      <c r="AP48" s="2689"/>
      <c r="AQ48" s="2689"/>
      <c r="AR48" s="2689"/>
      <c r="AS48" s="2689"/>
      <c r="AT48" s="2688"/>
      <c r="AU48" s="2689"/>
      <c r="AV48" s="2689"/>
      <c r="AW48" s="2689"/>
      <c r="AX48" s="2689"/>
      <c r="AY48" s="2688"/>
      <c r="AZ48" s="2689"/>
      <c r="BA48" s="2689"/>
      <c r="BB48" s="2689"/>
      <c r="BC48" s="2689"/>
      <c r="BD48" s="2688"/>
      <c r="BE48" s="1350"/>
      <c r="BF48" s="2689"/>
      <c r="BG48" s="2689"/>
      <c r="BH48" s="1350"/>
      <c r="BI48" s="1351"/>
      <c r="BJ48" s="1350"/>
      <c r="BK48" s="1350"/>
      <c r="BL48" s="1350"/>
      <c r="BM48" s="1350"/>
      <c r="BN48" s="1351"/>
      <c r="BO48" s="1350"/>
      <c r="BP48" s="1350"/>
      <c r="BQ48" s="1350"/>
      <c r="BR48" s="1350"/>
      <c r="BS48" s="1351"/>
      <c r="BT48" s="1350"/>
      <c r="BU48" s="1350"/>
      <c r="BV48" s="1350"/>
      <c r="BW48" s="1350"/>
      <c r="BX48" s="1351"/>
      <c r="BY48" s="1343"/>
      <c r="BZ48" s="1351"/>
      <c r="CA48" s="1351"/>
      <c r="CB48" s="1351"/>
      <c r="CC48" s="1351"/>
      <c r="CD48" s="1351"/>
      <c r="CE48" s="1351"/>
      <c r="CF48" s="1351"/>
      <c r="CG48" s="1351"/>
      <c r="CH48" s="1351"/>
    </row>
    <row r="49" spans="1:89" ht="13.5" thickBot="1">
      <c r="A49" s="982" t="s">
        <v>977</v>
      </c>
      <c r="B49" s="983"/>
      <c r="C49" s="983"/>
      <c r="D49" s="983"/>
      <c r="E49" s="983"/>
      <c r="F49" s="1008"/>
      <c r="G49" s="983"/>
      <c r="H49" s="983"/>
      <c r="I49" s="983"/>
      <c r="J49" s="983"/>
      <c r="K49" s="1008"/>
      <c r="L49" s="983"/>
      <c r="M49" s="983"/>
      <c r="N49" s="983"/>
      <c r="O49" s="983"/>
      <c r="P49" s="1008"/>
      <c r="Q49" s="983"/>
      <c r="R49" s="983"/>
      <c r="S49" s="983"/>
      <c r="T49" s="983"/>
      <c r="U49" s="1008"/>
      <c r="V49" s="983"/>
      <c r="W49" s="983"/>
      <c r="X49" s="983"/>
      <c r="Y49" s="983"/>
      <c r="Z49" s="1008"/>
      <c r="AA49" s="983"/>
      <c r="AB49" s="983"/>
      <c r="AC49" s="983"/>
      <c r="AD49" s="983"/>
      <c r="AE49" s="1008"/>
      <c r="AF49" s="984"/>
      <c r="AG49" s="984"/>
      <c r="AH49" s="984"/>
      <c r="AI49" s="984"/>
      <c r="AJ49" s="1008"/>
      <c r="AK49" s="984"/>
      <c r="AL49" s="984"/>
      <c r="AM49" s="984"/>
      <c r="AN49" s="984"/>
      <c r="AO49" s="985"/>
      <c r="AP49" s="984"/>
      <c r="AQ49" s="984"/>
      <c r="AR49" s="984"/>
      <c r="AS49" s="984"/>
      <c r="AT49" s="985"/>
      <c r="AU49" s="984"/>
      <c r="AV49" s="984"/>
      <c r="AW49" s="984"/>
      <c r="AX49" s="984"/>
      <c r="AY49" s="985"/>
      <c r="AZ49" s="984"/>
      <c r="BA49" s="984"/>
      <c r="BB49" s="984"/>
      <c r="BC49" s="984"/>
      <c r="BD49" s="985"/>
      <c r="BE49" s="984"/>
      <c r="BF49" s="984"/>
      <c r="BG49" s="984"/>
      <c r="BH49" s="984"/>
      <c r="BI49" s="985"/>
      <c r="BJ49" s="984"/>
      <c r="BK49" s="984"/>
      <c r="BL49" s="984"/>
      <c r="BM49" s="984"/>
      <c r="BN49" s="985"/>
      <c r="BO49" s="984"/>
      <c r="BP49" s="984"/>
      <c r="BQ49" s="984"/>
      <c r="BR49" s="984"/>
      <c r="BS49" s="985"/>
      <c r="BT49" s="984"/>
      <c r="BU49" s="984"/>
      <c r="BV49" s="984"/>
      <c r="BW49" s="984"/>
      <c r="BX49" s="985"/>
      <c r="BY49" s="1343"/>
      <c r="BZ49" s="985"/>
      <c r="CA49" s="985"/>
      <c r="CB49" s="985"/>
      <c r="CC49" s="985"/>
      <c r="CD49" s="985"/>
      <c r="CE49" s="985"/>
      <c r="CF49" s="985"/>
      <c r="CG49" s="985"/>
      <c r="CH49" s="985"/>
    </row>
    <row r="50" spans="1:89">
      <c r="A50" s="1050" t="s">
        <v>1043</v>
      </c>
      <c r="B50" s="1051"/>
      <c r="C50" s="1051"/>
      <c r="D50" s="1051"/>
      <c r="E50" s="1051"/>
      <c r="F50" s="1052"/>
      <c r="G50" s="1051"/>
      <c r="H50" s="1051"/>
      <c r="I50" s="1051"/>
      <c r="J50" s="1051"/>
      <c r="K50" s="1052"/>
      <c r="L50" s="1051"/>
      <c r="M50" s="1051"/>
      <c r="N50" s="1051"/>
      <c r="O50" s="1051"/>
      <c r="P50" s="1052"/>
      <c r="Q50" s="1051"/>
      <c r="R50" s="1051"/>
      <c r="S50" s="1051"/>
      <c r="T50" s="1051"/>
      <c r="U50" s="1052"/>
      <c r="V50" s="1051"/>
      <c r="W50" s="1051"/>
      <c r="X50" s="1051"/>
      <c r="Y50" s="1051"/>
      <c r="Z50" s="1052"/>
      <c r="AA50" s="1051"/>
      <c r="AB50" s="1051"/>
      <c r="AC50" s="1051"/>
      <c r="AD50" s="1051"/>
      <c r="AE50" s="1052"/>
      <c r="AF50" s="1053"/>
      <c r="AG50" s="1051"/>
      <c r="AH50" s="1051"/>
      <c r="AI50" s="1051"/>
      <c r="AJ50" s="1052"/>
      <c r="AK50" s="1054"/>
      <c r="AL50" s="1051"/>
      <c r="AM50" s="1051"/>
      <c r="AN50" s="1051"/>
      <c r="AO50" s="1052"/>
      <c r="AP50" s="1054"/>
      <c r="AQ50" s="1051"/>
      <c r="AR50" s="1051"/>
      <c r="AS50" s="1051"/>
      <c r="AT50" s="1052"/>
      <c r="AU50" s="1054"/>
      <c r="AV50" s="1051"/>
      <c r="AW50" s="1051"/>
      <c r="AX50" s="1051"/>
      <c r="AY50" s="1052"/>
      <c r="AZ50" s="1054"/>
      <c r="BA50" s="1051"/>
      <c r="BB50" s="1051"/>
      <c r="BC50" s="1051"/>
      <c r="BD50" s="1052"/>
      <c r="BE50" s="1054"/>
      <c r="BF50" s="1051"/>
      <c r="BG50" s="1051"/>
      <c r="BH50" s="1051"/>
      <c r="BI50" s="1052"/>
      <c r="BJ50" s="1054"/>
      <c r="BK50" s="1051"/>
      <c r="BL50" s="1051"/>
      <c r="BM50" s="1051"/>
      <c r="BN50" s="1052"/>
      <c r="BO50" s="1054"/>
      <c r="BP50" s="1051"/>
      <c r="BQ50" s="1051"/>
      <c r="BR50" s="1051"/>
      <c r="BS50" s="1052"/>
      <c r="BT50" s="1054"/>
      <c r="BU50" s="1051"/>
      <c r="BV50" s="1051"/>
      <c r="BW50" s="1051"/>
      <c r="BX50" s="1052"/>
      <c r="BY50" s="1343"/>
      <c r="BZ50" s="1052"/>
      <c r="CA50" s="1052"/>
      <c r="CB50" s="1052"/>
      <c r="CC50" s="1052"/>
      <c r="CD50" s="1052"/>
      <c r="CE50" s="1052"/>
      <c r="CF50" s="1052"/>
      <c r="CG50" s="1052"/>
      <c r="CH50" s="1052"/>
    </row>
    <row r="51" spans="1:89">
      <c r="A51" s="1464" t="s">
        <v>1064</v>
      </c>
      <c r="B51" s="1465"/>
      <c r="C51" s="1465"/>
      <c r="D51" s="1465"/>
      <c r="E51" s="1465"/>
      <c r="F51" s="1466"/>
      <c r="G51" s="1465"/>
      <c r="H51" s="1465"/>
      <c r="I51" s="1465"/>
      <c r="J51" s="1465"/>
      <c r="K51" s="1466"/>
      <c r="L51" s="1465"/>
      <c r="M51" s="1465"/>
      <c r="N51" s="1465"/>
      <c r="O51" s="1465"/>
      <c r="P51" s="1466"/>
      <c r="Q51" s="1465"/>
      <c r="R51" s="1465"/>
      <c r="S51" s="1465"/>
      <c r="T51" s="1465"/>
      <c r="U51" s="1466"/>
      <c r="V51" s="1465"/>
      <c r="W51" s="1465"/>
      <c r="X51" s="1465"/>
      <c r="Y51" s="1465"/>
      <c r="Z51" s="1466"/>
      <c r="AA51" s="1465"/>
      <c r="AB51" s="1465"/>
      <c r="AC51" s="1465"/>
      <c r="AD51" s="1465"/>
      <c r="AE51" s="1466"/>
      <c r="AF51" s="1467"/>
      <c r="AG51" s="1467"/>
      <c r="AH51" s="1467"/>
      <c r="AI51" s="1467"/>
      <c r="AJ51" s="1466"/>
      <c r="AK51" s="1468"/>
      <c r="AL51" s="1468"/>
      <c r="AM51" s="1468"/>
      <c r="AN51" s="1468"/>
      <c r="AO51" s="1469"/>
      <c r="AP51" s="1423"/>
      <c r="AQ51" s="1423"/>
      <c r="AR51" s="1423"/>
      <c r="AS51" s="1423"/>
      <c r="AT51" s="1424"/>
      <c r="AU51" s="1423"/>
      <c r="AV51" s="1423"/>
      <c r="AW51" s="1423"/>
      <c r="AX51" s="1423"/>
      <c r="AY51" s="1424"/>
      <c r="AZ51" s="1423">
        <f t="shared" ref="AZ51:BH51" si="111">AZ54+AZ57</f>
        <v>885.10429687500005</v>
      </c>
      <c r="BA51" s="1423">
        <f t="shared" si="111"/>
        <v>841.82460937500014</v>
      </c>
      <c r="BB51" s="1423">
        <f t="shared" si="111"/>
        <v>937.90585937499964</v>
      </c>
      <c r="BC51" s="1423">
        <f t="shared" si="111"/>
        <v>1102.805859375</v>
      </c>
      <c r="BD51" s="1424">
        <f>SUM(AZ51:BC51)</f>
        <v>3767.640625</v>
      </c>
      <c r="BE51" s="1423">
        <f t="shared" si="111"/>
        <v>989.99184374999993</v>
      </c>
      <c r="BF51" s="1423">
        <f t="shared" ref="BF51:BG51" si="112">BF54+BF57</f>
        <v>941.01484374999995</v>
      </c>
      <c r="BG51" s="1423">
        <f t="shared" ref="BG51" si="113">BG54+BG57</f>
        <v>1045.8798437499995</v>
      </c>
      <c r="BH51" s="1423">
        <f t="shared" si="111"/>
        <v>1157.83984375</v>
      </c>
      <c r="BI51" s="1196">
        <f>SUM(BE51:BH51)</f>
        <v>4134.7263749999993</v>
      </c>
      <c r="BJ51" s="1195">
        <f>BJ54+BJ57</f>
        <v>1025.7758437499999</v>
      </c>
      <c r="BK51" s="1195">
        <f>BK54+BK57</f>
        <v>986.54453124999986</v>
      </c>
      <c r="BL51" s="1195">
        <f>BL54+BL57</f>
        <v>1068.6535937499998</v>
      </c>
      <c r="BM51" s="1195">
        <f>BM54+BM57</f>
        <v>1209.33984375</v>
      </c>
      <c r="BN51" s="1196">
        <f>SUM(BJ51:BM51)</f>
        <v>4290.3138124999996</v>
      </c>
      <c r="BO51" s="1195">
        <f>BO54+BO57</f>
        <v>1069.5104437499999</v>
      </c>
      <c r="BP51" s="1195">
        <f>BP54+BP57</f>
        <v>1037.288828125</v>
      </c>
      <c r="BQ51" s="1195">
        <f>BQ54+BQ57</f>
        <v>1108.2065312499997</v>
      </c>
      <c r="BR51" s="1195">
        <f>BR54+BR57</f>
        <v>1228.91484375</v>
      </c>
      <c r="BS51" s="1196">
        <f>SUM(BO51:BR51)</f>
        <v>4443.9206468749999</v>
      </c>
      <c r="BT51" s="1195">
        <f>BT54+BT57</f>
        <v>1104.6118387500001</v>
      </c>
      <c r="BU51" s="1195">
        <f>BU54+BU57</f>
        <v>1079.3227558593749</v>
      </c>
      <c r="BV51" s="1195">
        <f>BV54+BV57</f>
        <v>1139.1236109374997</v>
      </c>
      <c r="BW51" s="1195">
        <f>BW54+BW57</f>
        <v>1240.00171875</v>
      </c>
      <c r="BX51" s="1196">
        <f>SUM(BT51:BW51)</f>
        <v>4563.0599242968747</v>
      </c>
      <c r="BY51" s="1343"/>
      <c r="BZ51" s="1196"/>
      <c r="CA51" s="1196"/>
      <c r="CB51" s="1196">
        <f>SUM(AM51:AN51,AP51:AQ51)</f>
        <v>0</v>
      </c>
      <c r="CC51" s="1196">
        <f>SUM(AR51:AS51,AU51:AV51)</f>
        <v>0</v>
      </c>
      <c r="CD51" s="1196">
        <f>SUM(AW51:AX51,AZ51:BA51)</f>
        <v>1726.9289062500002</v>
      </c>
      <c r="CE51" s="1196">
        <f>SUM(BB51:BC51,BE51:BF51)</f>
        <v>3971.7184062499991</v>
      </c>
      <c r="CF51" s="1196">
        <f>SUM(BG51:BH51,BJ51:BK51)</f>
        <v>4216.0400624999993</v>
      </c>
      <c r="CG51" s="1196">
        <f>SUM(BL51:BM51,BO51:BP51)</f>
        <v>4384.7927093749995</v>
      </c>
      <c r="CH51" s="1196">
        <f>SUM(BQ51:BR51,BT51:BU51)</f>
        <v>4521.0559696093751</v>
      </c>
    </row>
    <row r="52" spans="1:89">
      <c r="A52" s="1452" t="s">
        <v>926</v>
      </c>
      <c r="B52" s="1439"/>
      <c r="C52" s="1439"/>
      <c r="D52" s="1439"/>
      <c r="E52" s="1439"/>
      <c r="F52" s="1440"/>
      <c r="G52" s="1439"/>
      <c r="H52" s="1439"/>
      <c r="I52" s="1439"/>
      <c r="J52" s="1439"/>
      <c r="K52" s="1440"/>
      <c r="L52" s="1439"/>
      <c r="M52" s="1439"/>
      <c r="N52" s="1439"/>
      <c r="O52" s="1439"/>
      <c r="P52" s="1440"/>
      <c r="Q52" s="1439"/>
      <c r="R52" s="1439"/>
      <c r="S52" s="1439"/>
      <c r="T52" s="1439"/>
      <c r="U52" s="1440"/>
      <c r="V52" s="1439"/>
      <c r="W52" s="1439"/>
      <c r="X52" s="1439"/>
      <c r="Y52" s="1439"/>
      <c r="Z52" s="1440"/>
      <c r="AA52" s="1439"/>
      <c r="AB52" s="1439"/>
      <c r="AC52" s="1439"/>
      <c r="AD52" s="1439"/>
      <c r="AE52" s="1440"/>
      <c r="AF52" s="1441"/>
      <c r="AG52" s="1441"/>
      <c r="AH52" s="1441"/>
      <c r="AI52" s="1441"/>
      <c r="AJ52" s="1440"/>
      <c r="AK52" s="1442"/>
      <c r="AL52" s="1442"/>
      <c r="AM52" s="1442"/>
      <c r="AN52" s="1442"/>
      <c r="AO52" s="1443"/>
      <c r="AP52" s="1442"/>
      <c r="AQ52" s="1442"/>
      <c r="AR52" s="1442"/>
      <c r="AS52" s="1442"/>
      <c r="AT52" s="1443"/>
      <c r="AU52" s="1442"/>
      <c r="AV52" s="1442"/>
      <c r="AW52" s="1442"/>
      <c r="AX52" s="1442"/>
      <c r="AY52" s="1443"/>
      <c r="AZ52" s="2907">
        <v>0.03</v>
      </c>
      <c r="BA52" s="2907">
        <v>0.2</v>
      </c>
      <c r="BB52" s="2907">
        <v>0.11</v>
      </c>
      <c r="BC52" s="2907">
        <v>0.11</v>
      </c>
      <c r="BD52" s="2908">
        <v>0.11</v>
      </c>
      <c r="BE52" s="1442">
        <f t="shared" ref="BE52:BS52" si="114">IF(ISERROR(BE51/AZ51-1),,(BE51/AZ51-1))</f>
        <v>0.11850303658599537</v>
      </c>
      <c r="BF52" s="1442">
        <f t="shared" si="114"/>
        <v>0.11782767249895687</v>
      </c>
      <c r="BG52" s="1442">
        <f t="shared" si="114"/>
        <v>0.11512241158931613</v>
      </c>
      <c r="BH52" s="1442">
        <f t="shared" si="114"/>
        <v>4.9903601714802015E-2</v>
      </c>
      <c r="BI52" s="1443">
        <f t="shared" si="114"/>
        <v>9.7431200726581846E-2</v>
      </c>
      <c r="BJ52" s="1442">
        <f t="shared" si="114"/>
        <v>3.6145752337164216E-2</v>
      </c>
      <c r="BK52" s="1442">
        <f t="shared" si="114"/>
        <v>4.8383601812869825E-2</v>
      </c>
      <c r="BL52" s="1442">
        <f t="shared" si="114"/>
        <v>2.177472884298548E-2</v>
      </c>
      <c r="BM52" s="1442">
        <f t="shared" si="114"/>
        <v>4.4479381391127726E-2</v>
      </c>
      <c r="BN52" s="1443">
        <f t="shared" si="114"/>
        <v>3.7629439868315462E-2</v>
      </c>
      <c r="BO52" s="1442">
        <f t="shared" si="114"/>
        <v>4.2635630646278733E-2</v>
      </c>
      <c r="BP52" s="1442">
        <f t="shared" si="114"/>
        <v>5.1436397717095073E-2</v>
      </c>
      <c r="BQ52" s="1442">
        <f t="shared" si="114"/>
        <v>3.7011935140932817E-2</v>
      </c>
      <c r="BR52" s="1442">
        <f t="shared" si="114"/>
        <v>1.6186517049914251E-2</v>
      </c>
      <c r="BS52" s="1443">
        <f t="shared" si="114"/>
        <v>3.580316990506871E-2</v>
      </c>
      <c r="BT52" s="1442">
        <f t="shared" ref="BT52" si="115">IF(ISERROR(BT51/BO51-1),,(BT51/BO51-1))</f>
        <v>3.282005819122702E-2</v>
      </c>
      <c r="BU52" s="1442">
        <f t="shared" ref="BU52" si="116">IF(ISERROR(BU51/BP51-1),,(BU51/BP51-1))</f>
        <v>4.0522877133801982E-2</v>
      </c>
      <c r="BV52" s="1442">
        <f t="shared" ref="BV52" si="117">IF(ISERROR(BV51/BQ51-1),,(BV51/BQ51-1))</f>
        <v>2.7898301278397319E-2</v>
      </c>
      <c r="BW52" s="1442">
        <f t="shared" ref="BW52" si="118">IF(ISERROR(BW51/BR51-1),,(BW51/BR51-1))</f>
        <v>9.021678805806177E-3</v>
      </c>
      <c r="BX52" s="1443">
        <f t="shared" ref="BX52" si="119">IF(ISERROR(BX51/BS51-1),,(BX51/BS51-1))</f>
        <v>2.6809497038533969E-2</v>
      </c>
      <c r="BY52" s="1343"/>
      <c r="BZ52" s="1443"/>
      <c r="CA52" s="1443"/>
      <c r="CB52" s="1443"/>
      <c r="CC52" s="1443" t="e">
        <f t="shared" ref="CC52:CH52" si="120">CC51/CB51-1</f>
        <v>#DIV/0!</v>
      </c>
      <c r="CD52" s="1443" t="e">
        <f t="shared" si="120"/>
        <v>#DIV/0!</v>
      </c>
      <c r="CE52" s="1443">
        <f t="shared" si="120"/>
        <v>1.2998737191066683</v>
      </c>
      <c r="CF52" s="1443">
        <f t="shared" si="120"/>
        <v>6.1515352111954691E-2</v>
      </c>
      <c r="CG52" s="1443">
        <f t="shared" si="120"/>
        <v>4.0026338548342588E-2</v>
      </c>
      <c r="CH52" s="1443">
        <f t="shared" si="120"/>
        <v>3.1076328863399949E-2</v>
      </c>
    </row>
    <row r="53" spans="1:89">
      <c r="A53" s="1452" t="s">
        <v>952</v>
      </c>
      <c r="B53" s="1439"/>
      <c r="C53" s="1439"/>
      <c r="D53" s="1439"/>
      <c r="E53" s="1439"/>
      <c r="F53" s="1440"/>
      <c r="G53" s="1439"/>
      <c r="H53" s="1439"/>
      <c r="I53" s="1439"/>
      <c r="J53" s="1439"/>
      <c r="K53" s="1440"/>
      <c r="L53" s="1439"/>
      <c r="M53" s="1439"/>
      <c r="N53" s="1439"/>
      <c r="O53" s="1439"/>
      <c r="P53" s="1440"/>
      <c r="Q53" s="1439"/>
      <c r="R53" s="1439"/>
      <c r="S53" s="1439"/>
      <c r="T53" s="1439"/>
      <c r="U53" s="1440"/>
      <c r="V53" s="1439"/>
      <c r="W53" s="1439"/>
      <c r="X53" s="1439"/>
      <c r="Y53" s="1439"/>
      <c r="Z53" s="1440"/>
      <c r="AA53" s="1439"/>
      <c r="AB53" s="1439"/>
      <c r="AC53" s="1439"/>
      <c r="AD53" s="1439"/>
      <c r="AE53" s="1440"/>
      <c r="AF53" s="1441"/>
      <c r="AG53" s="1441"/>
      <c r="AH53" s="1441"/>
      <c r="AI53" s="1441"/>
      <c r="AJ53" s="1440"/>
      <c r="AK53" s="1442"/>
      <c r="AL53" s="1442"/>
      <c r="AM53" s="1442"/>
      <c r="AN53" s="1442"/>
      <c r="AO53" s="1444"/>
      <c r="AP53" s="1442"/>
      <c r="AQ53" s="1442"/>
      <c r="AR53" s="1442"/>
      <c r="AS53" s="1442"/>
      <c r="AT53" s="1444"/>
      <c r="AU53" s="1442"/>
      <c r="AV53" s="1442"/>
      <c r="AW53" s="1442"/>
      <c r="AX53" s="1442"/>
      <c r="AY53" s="1444"/>
      <c r="AZ53" s="1442"/>
      <c r="BA53" s="1442">
        <f>IF(ISERROR(BA51/AZ51-1),,(BA51/AZ51-1))</f>
        <v>-4.8897839105295993E-2</v>
      </c>
      <c r="BB53" s="1442">
        <f>IF(ISERROR(BB51/BA51-1),,(BB51/BA51-1))</f>
        <v>0.11413452271410018</v>
      </c>
      <c r="BC53" s="1442">
        <f>IF(ISERROR(BC51/BB51-1),,(BC51/BB51-1))</f>
        <v>0.17581721912888582</v>
      </c>
      <c r="BD53" s="1443"/>
      <c r="BE53" s="1442">
        <f>IF(ISERROR(BE51/BC51-1),,(BE51/BC51-1))</f>
        <v>-0.10229725809485257</v>
      </c>
      <c r="BF53" s="1442">
        <f>IF(ISERROR(BF51/BE51-1),,(BF51/BE51-1))</f>
        <v>-4.9472124754563085E-2</v>
      </c>
      <c r="BG53" s="1442">
        <f>IF(ISERROR(BG51/BF51-1),,(BG51/BF51-1))</f>
        <v>0.11143819961660362</v>
      </c>
      <c r="BH53" s="1442">
        <f>IF(ISERROR(BH51/BG51-1),,(BH51/BG51-1))</f>
        <v>0.10704862577575658</v>
      </c>
      <c r="BI53" s="1443"/>
      <c r="BJ53" s="1442">
        <f>IF(ISERROR(BJ51/BH51-1),,(BJ51/BH51-1))</f>
        <v>-0.11406068007840575</v>
      </c>
      <c r="BK53" s="1442">
        <f>IF(ISERROR(BK51/BJ51-1),,(BK51/BJ51-1))</f>
        <v>-3.8245502405846676E-2</v>
      </c>
      <c r="BL53" s="1442">
        <f>IF(ISERROR(BL51/BK51-1),,(BL51/BK51-1))</f>
        <v>8.3228946995391739E-2</v>
      </c>
      <c r="BM53" s="1442">
        <f>IF(ISERROR(BM51/BL51-1),,(BM51/BL51-1))</f>
        <v>0.13164813258739883</v>
      </c>
      <c r="BN53" s="1443"/>
      <c r="BO53" s="1442">
        <f>IF(ISERROR(BO51/BM51-1),,(BO51/BM51-1))</f>
        <v>-0.11562457048170016</v>
      </c>
      <c r="BP53" s="1442">
        <f>IF(ISERROR(BP51/BO51-1),,(BP51/BO51-1))</f>
        <v>-3.0127443647976038E-2</v>
      </c>
      <c r="BQ53" s="1442">
        <f>IF(ISERROR(BQ51/BP51-1),,(BQ51/BP51-1))</f>
        <v>6.8368328282480739E-2</v>
      </c>
      <c r="BR53" s="1442">
        <f>IF(ISERROR(BR51/BQ51-1),,(BR51/BQ51-1))</f>
        <v>0.10892221720065809</v>
      </c>
      <c r="BS53" s="1443"/>
      <c r="BT53" s="1442">
        <f>IF(ISERROR(BT51/BR51-1),,(BT51/BR51-1))</f>
        <v>-0.10114859107787544</v>
      </c>
      <c r="BU53" s="1442">
        <f>IF(ISERROR(BU51/BT51-1),,(BU51/BT51-1))</f>
        <v>-2.2894090035503134E-2</v>
      </c>
      <c r="BV53" s="1442">
        <f>IF(ISERROR(BV51/BU51-1),,(BV51/BU51-1))</f>
        <v>5.5405905928954891E-2</v>
      </c>
      <c r="BW53" s="1442">
        <f>IF(ISERROR(BW51/BV51-1),,(BW51/BV51-1))</f>
        <v>8.8557648040915815E-2</v>
      </c>
      <c r="BX53" s="1443"/>
      <c r="BY53" s="1343"/>
      <c r="BZ53" s="1443"/>
      <c r="CA53" s="1443"/>
      <c r="CB53" s="1443"/>
      <c r="CC53" s="1443"/>
      <c r="CD53" s="1443"/>
      <c r="CE53" s="1443"/>
      <c r="CF53" s="1443"/>
      <c r="CG53" s="1443"/>
      <c r="CH53" s="1443"/>
    </row>
    <row r="54" spans="1:89">
      <c r="A54" s="1462" t="s">
        <v>1065</v>
      </c>
      <c r="B54" s="1432"/>
      <c r="C54" s="1432"/>
      <c r="D54" s="1432"/>
      <c r="E54" s="1432"/>
      <c r="F54" s="1429"/>
      <c r="G54" s="1432"/>
      <c r="H54" s="1432"/>
      <c r="I54" s="1432"/>
      <c r="J54" s="1432"/>
      <c r="K54" s="1429"/>
      <c r="L54" s="1432"/>
      <c r="M54" s="1432"/>
      <c r="N54" s="1432"/>
      <c r="O54" s="1432"/>
      <c r="P54" s="1429"/>
      <c r="Q54" s="1432"/>
      <c r="R54" s="1432"/>
      <c r="S54" s="1432"/>
      <c r="T54" s="1432"/>
      <c r="U54" s="1429"/>
      <c r="V54" s="1432"/>
      <c r="W54" s="1432"/>
      <c r="X54" s="1432"/>
      <c r="Y54" s="1432"/>
      <c r="Z54" s="1429"/>
      <c r="AA54" s="1432"/>
      <c r="AB54" s="1432"/>
      <c r="AC54" s="1432"/>
      <c r="AD54" s="1432"/>
      <c r="AE54" s="1429"/>
      <c r="AF54" s="1432"/>
      <c r="AG54" s="1432"/>
      <c r="AH54" s="1432"/>
      <c r="AI54" s="1432"/>
      <c r="AJ54" s="1429"/>
      <c r="AK54" s="1432">
        <v>65</v>
      </c>
      <c r="AL54" s="1432">
        <v>75</v>
      </c>
      <c r="AM54" s="1432">
        <v>98</v>
      </c>
      <c r="AN54" s="1432">
        <f>AN251</f>
        <v>138.69706640624997</v>
      </c>
      <c r="AO54" s="1429">
        <f>SUM(AK54:AN54)</f>
        <v>376.69706640624997</v>
      </c>
      <c r="AP54" s="2840">
        <f>AP251</f>
        <v>169.63079062499997</v>
      </c>
      <c r="AQ54" s="2840">
        <f>AQ251</f>
        <v>214.04413124999996</v>
      </c>
      <c r="AR54" s="2840">
        <f>AR251</f>
        <v>276.55404375000001</v>
      </c>
      <c r="AS54" s="2840">
        <f>AS251</f>
        <v>329.23359375000007</v>
      </c>
      <c r="AT54" s="2841">
        <f>SUM(AP54:AS54)</f>
        <v>989.46255937500007</v>
      </c>
      <c r="AU54" s="2840">
        <f>AU251</f>
        <v>390.32460937500002</v>
      </c>
      <c r="AV54" s="2840">
        <f>AV251</f>
        <v>436.654296875</v>
      </c>
      <c r="AW54" s="2840">
        <f>AW251</f>
        <v>470.654296875</v>
      </c>
      <c r="AX54" s="2840">
        <f>AX251</f>
        <v>489.779296875</v>
      </c>
      <c r="AY54" s="2841">
        <f>SUM(AU54:AX54)</f>
        <v>1787.4124999999999</v>
      </c>
      <c r="AZ54" s="2840">
        <f>AZ251</f>
        <v>508.904296875</v>
      </c>
      <c r="BA54" s="2840">
        <f>BA251</f>
        <v>536.82460937500014</v>
      </c>
      <c r="BB54" s="2840">
        <f>BB251</f>
        <v>573.90585937500009</v>
      </c>
      <c r="BC54" s="2840">
        <f>BC251</f>
        <v>598.80585937500007</v>
      </c>
      <c r="BD54" s="2841">
        <f>SUM(AZ54:BC54)</f>
        <v>2218.4406250000002</v>
      </c>
      <c r="BE54" s="2840">
        <f>BE251</f>
        <v>628.83984375</v>
      </c>
      <c r="BF54" s="2840">
        <f>BF251</f>
        <v>655.83984375</v>
      </c>
      <c r="BG54" s="2840">
        <f>BG251</f>
        <v>687.33984375</v>
      </c>
      <c r="BH54" s="2840">
        <f>BH251</f>
        <v>709.83984375000011</v>
      </c>
      <c r="BI54" s="1429">
        <f>SUM(BE54:BH54)</f>
        <v>2681.859375</v>
      </c>
      <c r="BJ54" s="1432">
        <f>BJ251</f>
        <v>732.33984375</v>
      </c>
      <c r="BK54" s="1432">
        <f>BK251</f>
        <v>754.83984374999989</v>
      </c>
      <c r="BL54" s="1432">
        <f>BL251</f>
        <v>777.33984375000011</v>
      </c>
      <c r="BM54" s="1432">
        <f>BM251</f>
        <v>799.83984375000011</v>
      </c>
      <c r="BN54" s="1429">
        <f>SUM(BJ54:BM54)</f>
        <v>3064.359375</v>
      </c>
      <c r="BO54" s="1432">
        <f>BO251</f>
        <v>820.08984375</v>
      </c>
      <c r="BP54" s="1432">
        <f>BP251</f>
        <v>840.33984375</v>
      </c>
      <c r="BQ54" s="1432">
        <f>BQ251</f>
        <v>860.58984375000011</v>
      </c>
      <c r="BR54" s="1432">
        <f>BR251</f>
        <v>880.83984375000011</v>
      </c>
      <c r="BS54" s="1429">
        <f>SUM(BO54:BR54)</f>
        <v>3401.859375</v>
      </c>
      <c r="BT54" s="1432">
        <f>BT251</f>
        <v>898.83984375</v>
      </c>
      <c r="BU54" s="1432">
        <f>BU251</f>
        <v>916.83984375</v>
      </c>
      <c r="BV54" s="1432">
        <f>BV251</f>
        <v>934.83984375000011</v>
      </c>
      <c r="BW54" s="1432">
        <f>BW251</f>
        <v>952.83984375000011</v>
      </c>
      <c r="BX54" s="1429">
        <f>SUM(BT54:BW54)</f>
        <v>3703.359375</v>
      </c>
      <c r="BY54" s="1343"/>
      <c r="BZ54" s="1429"/>
      <c r="CA54" s="1429"/>
      <c r="CB54" s="1429">
        <f>SUM(AM54:AN54,AP54:AQ54)</f>
        <v>620.37198828124997</v>
      </c>
      <c r="CC54" s="1429">
        <f>SUM(AR54:AS54,AU54:AV54)</f>
        <v>1432.76654375</v>
      </c>
      <c r="CD54" s="1429">
        <f>SUM(AW54:AX54,AZ54:BA54)</f>
        <v>2006.1625000000001</v>
      </c>
      <c r="CE54" s="1429">
        <f>SUM(BB54:BC54,BE54:BF54)</f>
        <v>2457.3914062500003</v>
      </c>
      <c r="CF54" s="1429">
        <f>SUM(BG54:BH54,BJ54:BK54)</f>
        <v>2884.359375</v>
      </c>
      <c r="CG54" s="1429">
        <f>SUM(BL54:BM54,BO54:BP54)</f>
        <v>3237.609375</v>
      </c>
      <c r="CH54" s="1429">
        <f>SUM(BQ54:BR54,BT54:BU54)</f>
        <v>3557.109375</v>
      </c>
      <c r="CI54" s="1343"/>
      <c r="CJ54" s="1343"/>
      <c r="CK54" s="1343"/>
    </row>
    <row r="55" spans="1:89">
      <c r="A55" s="1452" t="s">
        <v>926</v>
      </c>
      <c r="B55" s="1446"/>
      <c r="C55" s="1446"/>
      <c r="D55" s="1446"/>
      <c r="E55" s="1446"/>
      <c r="F55" s="1447"/>
      <c r="G55" s="1446"/>
      <c r="H55" s="1446"/>
      <c r="I55" s="1446"/>
      <c r="J55" s="1446"/>
      <c r="K55" s="1447"/>
      <c r="L55" s="1446"/>
      <c r="M55" s="1446"/>
      <c r="N55" s="1446"/>
      <c r="O55" s="1446"/>
      <c r="P55" s="1447"/>
      <c r="Q55" s="1446"/>
      <c r="R55" s="1446"/>
      <c r="S55" s="1446"/>
      <c r="T55" s="1446"/>
      <c r="U55" s="1447"/>
      <c r="V55" s="1446"/>
      <c r="W55" s="1446"/>
      <c r="X55" s="1446"/>
      <c r="Y55" s="1446"/>
      <c r="Z55" s="1447"/>
      <c r="AA55" s="1446"/>
      <c r="AB55" s="1446"/>
      <c r="AC55" s="1446"/>
      <c r="AD55" s="1446"/>
      <c r="AE55" s="1447"/>
      <c r="AF55" s="1446"/>
      <c r="AG55" s="1446"/>
      <c r="AH55" s="1446"/>
      <c r="AI55" s="1446"/>
      <c r="AJ55" s="1447"/>
      <c r="AK55" s="1442"/>
      <c r="AL55" s="1442"/>
      <c r="AM55" s="1442"/>
      <c r="AN55" s="1442"/>
      <c r="AO55" s="1443"/>
      <c r="AP55" s="1442">
        <f t="shared" ref="AP55:BS55" si="121">IF(ISERROR(AP54/AK54-1),,(AP54/AK54-1))</f>
        <v>1.609704471153846</v>
      </c>
      <c r="AQ55" s="1442">
        <f t="shared" si="121"/>
        <v>1.8539217499999996</v>
      </c>
      <c r="AR55" s="1442">
        <f t="shared" si="121"/>
        <v>1.821980038265306</v>
      </c>
      <c r="AS55" s="1442">
        <f t="shared" si="121"/>
        <v>1.3737603273140615</v>
      </c>
      <c r="AT55" s="1443">
        <f t="shared" si="121"/>
        <v>1.6266797583921493</v>
      </c>
      <c r="AU55" s="1442">
        <f t="shared" si="121"/>
        <v>1.3010245247154701</v>
      </c>
      <c r="AV55" s="1442">
        <f t="shared" si="121"/>
        <v>1.0400199450691554</v>
      </c>
      <c r="AW55" s="1442">
        <f t="shared" si="121"/>
        <v>0.70185288377292077</v>
      </c>
      <c r="AX55" s="1442">
        <f t="shared" si="121"/>
        <v>0.48763463441373034</v>
      </c>
      <c r="AY55" s="1443">
        <f t="shared" si="121"/>
        <v>0.8064478368226784</v>
      </c>
      <c r="AZ55" s="1442">
        <f t="shared" si="121"/>
        <v>0.30379762037006453</v>
      </c>
      <c r="BA55" s="1442">
        <f t="shared" si="121"/>
        <v>0.2294041607213948</v>
      </c>
      <c r="BB55" s="1442">
        <f t="shared" si="121"/>
        <v>0.21937877373171499</v>
      </c>
      <c r="BC55" s="1442">
        <f t="shared" si="121"/>
        <v>0.22260345260740055</v>
      </c>
      <c r="BD55" s="1443">
        <f t="shared" si="121"/>
        <v>0.24114641975481343</v>
      </c>
      <c r="BE55" s="1442">
        <f t="shared" si="121"/>
        <v>0.23567406998031148</v>
      </c>
      <c r="BF55" s="1442">
        <f t="shared" si="121"/>
        <v>0.22170226978521668</v>
      </c>
      <c r="BG55" s="1442">
        <f t="shared" si="121"/>
        <v>0.1976525984567099</v>
      </c>
      <c r="BH55" s="1442">
        <f t="shared" si="121"/>
        <v>0.1854256811897117</v>
      </c>
      <c r="BI55" s="1443">
        <f t="shared" si="121"/>
        <v>0.20889391619394804</v>
      </c>
      <c r="BJ55" s="1442">
        <f t="shared" si="121"/>
        <v>0.16458880751383687</v>
      </c>
      <c r="BK55" s="1442">
        <f t="shared" si="121"/>
        <v>0.15095148753685317</v>
      </c>
      <c r="BL55" s="1442">
        <f t="shared" si="121"/>
        <v>0.13093959388266607</v>
      </c>
      <c r="BM55" s="1442">
        <f t="shared" si="121"/>
        <v>0.12678916348868308</v>
      </c>
      <c r="BN55" s="1443">
        <f t="shared" si="121"/>
        <v>0.14262492790100145</v>
      </c>
      <c r="BO55" s="1442">
        <f t="shared" si="121"/>
        <v>0.11982141999903995</v>
      </c>
      <c r="BP55" s="1442">
        <f t="shared" si="121"/>
        <v>0.11326906059335862</v>
      </c>
      <c r="BQ55" s="1442">
        <f t="shared" si="121"/>
        <v>0.10709601555786707</v>
      </c>
      <c r="BR55" s="1442">
        <f t="shared" si="121"/>
        <v>0.10127027383411713</v>
      </c>
      <c r="BS55" s="1443">
        <f t="shared" si="121"/>
        <v>0.11013721261071074</v>
      </c>
      <c r="BT55" s="1442">
        <f t="shared" ref="BT55" si="122">IF(ISERROR(BT54/BO54-1),,(BT54/BO54-1))</f>
        <v>9.6026064217430429E-2</v>
      </c>
      <c r="BU55" s="1442">
        <f t="shared" ref="BU55" si="123">IF(ISERROR(BU54/BP54-1),,(BU54/BP54-1))</f>
        <v>9.1034598167593961E-2</v>
      </c>
      <c r="BV55" s="1442">
        <f t="shared" ref="BV55" si="124">IF(ISERROR(BV54/BQ54-1),,(BV54/BQ54-1))</f>
        <v>8.6278034233424616E-2</v>
      </c>
      <c r="BW55" s="1442">
        <f t="shared" ref="BW55" si="125">IF(ISERROR(BW54/BR54-1),,(BW54/BR54-1))</f>
        <v>8.1740171622430635E-2</v>
      </c>
      <c r="BX55" s="1443">
        <f t="shared" ref="BX55" si="126">IF(ISERROR(BX54/BS54-1),,(BX54/BS54-1))</f>
        <v>8.8628002149559792E-2</v>
      </c>
      <c r="BY55" s="1343"/>
      <c r="BZ55" s="1443"/>
      <c r="CA55" s="1443"/>
      <c r="CB55" s="1443"/>
      <c r="CC55" s="1443">
        <f t="shared" ref="CC55:CH55" si="127">CC54/CB54-1</f>
        <v>1.3095281070305922</v>
      </c>
      <c r="CD55" s="1443">
        <f t="shared" si="127"/>
        <v>0.4002019440998692</v>
      </c>
      <c r="CE55" s="1443">
        <f t="shared" si="127"/>
        <v>0.22492141401805688</v>
      </c>
      <c r="CF55" s="1443">
        <f t="shared" si="127"/>
        <v>0.17374845849304754</v>
      </c>
      <c r="CG55" s="1443">
        <f t="shared" si="127"/>
        <v>0.12247086928964945</v>
      </c>
      <c r="CH55" s="1443">
        <f t="shared" si="127"/>
        <v>9.8683924770881282E-2</v>
      </c>
      <c r="CI55" s="1343"/>
      <c r="CJ55" s="1343"/>
      <c r="CK55" s="1343"/>
    </row>
    <row r="56" spans="1:89">
      <c r="A56" s="1452" t="s">
        <v>952</v>
      </c>
      <c r="B56" s="1446"/>
      <c r="C56" s="1446"/>
      <c r="D56" s="1446"/>
      <c r="E56" s="1446"/>
      <c r="F56" s="1447"/>
      <c r="G56" s="1446"/>
      <c r="H56" s="1446"/>
      <c r="I56" s="1446"/>
      <c r="J56" s="1446"/>
      <c r="K56" s="1447"/>
      <c r="L56" s="1446"/>
      <c r="M56" s="1446"/>
      <c r="N56" s="1446"/>
      <c r="O56" s="1446"/>
      <c r="P56" s="1447"/>
      <c r="Q56" s="1446"/>
      <c r="R56" s="1446"/>
      <c r="S56" s="1446"/>
      <c r="T56" s="1446"/>
      <c r="U56" s="1447"/>
      <c r="V56" s="1446"/>
      <c r="W56" s="1446"/>
      <c r="X56" s="1446"/>
      <c r="Y56" s="1446"/>
      <c r="Z56" s="1447"/>
      <c r="AA56" s="1446"/>
      <c r="AB56" s="1446"/>
      <c r="AC56" s="1446"/>
      <c r="AD56" s="1446"/>
      <c r="AE56" s="1447"/>
      <c r="AF56" s="1446"/>
      <c r="AG56" s="1446"/>
      <c r="AH56" s="1446"/>
      <c r="AI56" s="1446"/>
      <c r="AJ56" s="1447"/>
      <c r="AK56" s="1442"/>
      <c r="AL56" s="1442">
        <f>IF(ISERROR(AL54/AK54-1),,(AL54/AK54-1))</f>
        <v>0.15384615384615374</v>
      </c>
      <c r="AM56" s="1442">
        <f>IF(ISERROR(AM54/AL54-1),,(AM54/AL54-1))</f>
        <v>0.30666666666666664</v>
      </c>
      <c r="AN56" s="1442">
        <f>IF(ISERROR(AN54/AM54-1),,(AN54/AM54-1))</f>
        <v>0.41527618781887732</v>
      </c>
      <c r="AO56" s="1444"/>
      <c r="AP56" s="1442">
        <f>IF(ISERROR(AP54/AN54-1),,(AP54/AN54-1))</f>
        <v>0.2230308471568081</v>
      </c>
      <c r="AQ56" s="1442">
        <f>IF(ISERROR(AQ54/AP54-1),,(AQ54/AP54-1))</f>
        <v>0.26182357849869264</v>
      </c>
      <c r="AR56" s="1442">
        <f>IF(ISERROR(AR54/AQ54-1),,(AR54/AQ54-1))</f>
        <v>0.29204216969158336</v>
      </c>
      <c r="AS56" s="1442">
        <f>IF(ISERROR(AS54/AR54-1),,(AS54/AR54-1))</f>
        <v>0.19048555315148974</v>
      </c>
      <c r="AT56" s="1444"/>
      <c r="AU56" s="1442">
        <f>IF(ISERROR(AU54/AS54-1),,(AU54/AS54-1))</f>
        <v>0.18555523125440465</v>
      </c>
      <c r="AV56" s="1442">
        <f>IF(ISERROR(AV54/AU54-1),,(AV54/AU54-1))</f>
        <v>0.11869527666775737</v>
      </c>
      <c r="AW56" s="1442">
        <f>IF(ISERROR(AW54/AV54-1),,(AW54/AV54-1))</f>
        <v>7.786480115580563E-2</v>
      </c>
      <c r="AX56" s="1442">
        <f>IF(ISERROR(AX54/AW54-1),,(AX54/AW54-1))</f>
        <v>4.0634920634920579E-2</v>
      </c>
      <c r="AY56" s="1444"/>
      <c r="AZ56" s="1442">
        <f>IF(ISERROR(AZ54/AX54-1),,(AZ54/AX54-1))</f>
        <v>3.9048200122025589E-2</v>
      </c>
      <c r="BA56" s="1442">
        <f>IF(ISERROR(BA54/AZ54-1),,(BA54/AZ54-1))</f>
        <v>5.4863581760753011E-2</v>
      </c>
      <c r="BB56" s="1442">
        <f>IF(ISERROR(BB54/BA54-1),,(BB54/BA54-1))</f>
        <v>6.9075167852628683E-2</v>
      </c>
      <c r="BC56" s="1442">
        <f>IF(ISERROR(BC54/BB54-1),,(BC54/BB54-1))</f>
        <v>4.3386906743061893E-2</v>
      </c>
      <c r="BD56" s="1443"/>
      <c r="BE56" s="1442">
        <f>IF(ISERROR(BE54/BC54-1),,(BE54/BC54-1))</f>
        <v>5.0156463743270097E-2</v>
      </c>
      <c r="BF56" s="1442">
        <f>IF(ISERROR(BF54/BE54-1),,(BF54/BE54-1))</f>
        <v>4.2936210655783569E-2</v>
      </c>
      <c r="BG56" s="1442">
        <f>IF(ISERROR(BG54/BF54-1),,(BG54/BF54-1))</f>
        <v>4.803001876172619E-2</v>
      </c>
      <c r="BH56" s="1442">
        <f>IF(ISERROR(BH54/BG54-1),,(BH54/BG54-1))</f>
        <v>3.2734898470666574E-2</v>
      </c>
      <c r="BI56" s="1443"/>
      <c r="BJ56" s="1442">
        <f>IF(ISERROR(BJ54/BH54-1),,(BJ54/BH54-1))</f>
        <v>3.1697290872170658E-2</v>
      </c>
      <c r="BK56" s="1442">
        <f>IF(ISERROR(BK54/BJ54-1),,(BK54/BJ54-1))</f>
        <v>3.0723441025394704E-2</v>
      </c>
      <c r="BL56" s="1442">
        <f>IF(ISERROR(BL54/BK54-1),,(BL54/BK54-1))</f>
        <v>2.9807647524568326E-2</v>
      </c>
      <c r="BM56" s="1442">
        <f>IF(ISERROR(BM54/BL54-1),,(BM54/BL54-1))</f>
        <v>2.8944869069693846E-2</v>
      </c>
      <c r="BN56" s="1443"/>
      <c r="BO56" s="1442">
        <f>IF(ISERROR(BO54/BM54-1),,(BO54/BM54-1))</f>
        <v>2.5317568458529172E-2</v>
      </c>
      <c r="BP56" s="1442">
        <f>IF(ISERROR(BP54/BO54-1),,(BP54/BO54-1))</f>
        <v>2.4692416513053539E-2</v>
      </c>
      <c r="BQ56" s="1442">
        <f>IF(ISERROR(BQ54/BP54-1),,(BQ54/BP54-1))</f>
        <v>2.4097393632598552E-2</v>
      </c>
      <c r="BR56" s="1442">
        <f>IF(ISERROR(BR54/BQ54-1),,(BR54/BQ54-1))</f>
        <v>2.3530372972752067E-2</v>
      </c>
      <c r="BS56" s="1443"/>
      <c r="BT56" s="1442">
        <f>IF(ISERROR(BT54/BR54-1),,(BT54/BR54-1))</f>
        <v>2.0435042905607492E-2</v>
      </c>
      <c r="BU56" s="1442">
        <f>IF(ISERROR(BU54/BT54-1),,(BU54/BT54-1))</f>
        <v>2.0025814526538177E-2</v>
      </c>
      <c r="BV56" s="1442">
        <f>IF(ISERROR(BV54/BU54-1),,(BV54/BU54-1))</f>
        <v>1.9632654626327906E-2</v>
      </c>
      <c r="BW56" s="1442">
        <f>IF(ISERROR(BW54/BV54-1),,(BW54/BV54-1))</f>
        <v>1.9254635026888733E-2</v>
      </c>
      <c r="BX56" s="1443"/>
      <c r="BY56" s="1343"/>
      <c r="BZ56" s="1443"/>
      <c r="CA56" s="1443"/>
      <c r="CB56" s="1443"/>
      <c r="CC56" s="1443"/>
      <c r="CD56" s="1443"/>
      <c r="CE56" s="1443"/>
      <c r="CF56" s="1443"/>
      <c r="CG56" s="1443"/>
      <c r="CH56" s="1443"/>
      <c r="CI56" s="1343"/>
      <c r="CJ56" s="1343"/>
      <c r="CK56" s="1343"/>
    </row>
    <row r="57" spans="1:89">
      <c r="A57" s="1462" t="s">
        <v>942</v>
      </c>
      <c r="B57" s="1432"/>
      <c r="C57" s="1432"/>
      <c r="D57" s="1432"/>
      <c r="E57" s="1432"/>
      <c r="F57" s="1429"/>
      <c r="G57" s="1432"/>
      <c r="H57" s="1432"/>
      <c r="I57" s="1432"/>
      <c r="J57" s="1432"/>
      <c r="K57" s="1429"/>
      <c r="L57" s="1432"/>
      <c r="M57" s="1432"/>
      <c r="N57" s="1432"/>
      <c r="O57" s="1432"/>
      <c r="P57" s="1429"/>
      <c r="Q57" s="1432"/>
      <c r="R57" s="1432"/>
      <c r="S57" s="1432"/>
      <c r="T57" s="1432"/>
      <c r="U57" s="1429"/>
      <c r="V57" s="1432"/>
      <c r="W57" s="1432"/>
      <c r="X57" s="1432"/>
      <c r="Y57" s="1432"/>
      <c r="Z57" s="1429"/>
      <c r="AA57" s="1432"/>
      <c r="AB57" s="1432"/>
      <c r="AC57" s="1432"/>
      <c r="AD57" s="1432"/>
      <c r="AE57" s="1429"/>
      <c r="AF57" s="1432"/>
      <c r="AG57" s="1432"/>
      <c r="AH57" s="1432"/>
      <c r="AI57" s="1432"/>
      <c r="AJ57" s="1429"/>
      <c r="AK57" s="1432"/>
      <c r="AL57" s="1432"/>
      <c r="AM57" s="1432"/>
      <c r="AN57" s="1432"/>
      <c r="AO57" s="1429"/>
      <c r="AP57" s="2840"/>
      <c r="AQ57" s="2840"/>
      <c r="AR57" s="2840"/>
      <c r="AS57" s="2840"/>
      <c r="AT57" s="2841"/>
      <c r="AU57" s="2840"/>
      <c r="AV57" s="2840"/>
      <c r="AW57" s="2840"/>
      <c r="AX57" s="2840"/>
      <c r="AY57" s="2841"/>
      <c r="AZ57" s="2840">
        <f>AZ260</f>
        <v>376.2</v>
      </c>
      <c r="BA57" s="2840">
        <f>BA260</f>
        <v>304.99999999999994</v>
      </c>
      <c r="BB57" s="2840">
        <f>BB260</f>
        <v>363.99999999999949</v>
      </c>
      <c r="BC57" s="2840">
        <f>BC260</f>
        <v>503.99999999999994</v>
      </c>
      <c r="BD57" s="2841">
        <f>SUM(AZ57:BC57)</f>
        <v>1549.1999999999994</v>
      </c>
      <c r="BE57" s="2840">
        <f>BE260</f>
        <v>361.15199999999993</v>
      </c>
      <c r="BF57" s="2840">
        <f>BF260</f>
        <v>285.17499999999995</v>
      </c>
      <c r="BG57" s="2840">
        <f>BG260</f>
        <v>358.53999999999951</v>
      </c>
      <c r="BH57" s="2840">
        <f>BH260</f>
        <v>448</v>
      </c>
      <c r="BI57" s="1429">
        <f>SUM(BE57:BH57)</f>
        <v>1452.8669999999993</v>
      </c>
      <c r="BJ57" s="1432">
        <f>BJ260</f>
        <v>293.43599999999998</v>
      </c>
      <c r="BK57" s="1432">
        <f>BK260</f>
        <v>231.70468749999995</v>
      </c>
      <c r="BL57" s="1432">
        <f>BL260</f>
        <v>291.31374999999957</v>
      </c>
      <c r="BM57" s="1432">
        <f>BM260</f>
        <v>409.5</v>
      </c>
      <c r="BN57" s="1429">
        <f>SUM(BJ57:BM57)</f>
        <v>1225.9544374999996</v>
      </c>
      <c r="BO57" s="1432">
        <f>BO260</f>
        <v>249.42059999999995</v>
      </c>
      <c r="BP57" s="1432">
        <f>BP260</f>
        <v>196.94898437499995</v>
      </c>
      <c r="BQ57" s="1432">
        <f>BQ260</f>
        <v>247.61668749999964</v>
      </c>
      <c r="BR57" s="1432">
        <f>BR260</f>
        <v>348.07499999999999</v>
      </c>
      <c r="BS57" s="1429">
        <f>SUM(BO57:BR57)</f>
        <v>1042.0612718749996</v>
      </c>
      <c r="BT57" s="1432">
        <f>BT260</f>
        <v>205.77199499999995</v>
      </c>
      <c r="BU57" s="1432">
        <f>BU260</f>
        <v>162.48291210937498</v>
      </c>
      <c r="BV57" s="1432">
        <f>BV260</f>
        <v>204.28376718749971</v>
      </c>
      <c r="BW57" s="1432">
        <f>BW260</f>
        <v>287.16187499999995</v>
      </c>
      <c r="BX57" s="1429">
        <f>SUM(BT57:BW57)</f>
        <v>859.70054929687467</v>
      </c>
      <c r="BY57" s="1432"/>
      <c r="BZ57" s="1429"/>
      <c r="CA57" s="1429"/>
      <c r="CB57" s="1429">
        <f>SUM(AM57:AN57,AP57:AQ57)</f>
        <v>0</v>
      </c>
      <c r="CC57" s="1429">
        <f>SUM(AR57:AS57,AU57:AV57)</f>
        <v>0</v>
      </c>
      <c r="CD57" s="1429">
        <f>SUM(AW57:AX57,AZ57:BA57)</f>
        <v>681.19999999999993</v>
      </c>
      <c r="CE57" s="1429">
        <f>SUM(BB57:BC57,BE57:BF57)</f>
        <v>1514.3269999999993</v>
      </c>
      <c r="CF57" s="1429">
        <f>SUM(BG57:BH57,BJ57:BK57)</f>
        <v>1331.6806874999993</v>
      </c>
      <c r="CG57" s="1429">
        <f>SUM(BL57:BM57,BO57:BP57)</f>
        <v>1147.1833343749995</v>
      </c>
      <c r="CH57" s="1429">
        <f>SUM(BQ57:BR57,BT57:BU57)</f>
        <v>963.94659460937453</v>
      </c>
      <c r="CI57" s="1343"/>
      <c r="CJ57" s="1343"/>
      <c r="CK57" s="1343"/>
    </row>
    <row r="58" spans="1:89">
      <c r="A58" s="1452" t="s">
        <v>926</v>
      </c>
      <c r="B58" s="1446"/>
      <c r="C58" s="1446"/>
      <c r="D58" s="1446"/>
      <c r="E58" s="1446"/>
      <c r="F58" s="1447"/>
      <c r="G58" s="1446"/>
      <c r="H58" s="1446"/>
      <c r="I58" s="1446"/>
      <c r="J58" s="1446"/>
      <c r="K58" s="1447"/>
      <c r="L58" s="1446"/>
      <c r="M58" s="1446"/>
      <c r="N58" s="1446"/>
      <c r="O58" s="1446"/>
      <c r="P58" s="1447"/>
      <c r="Q58" s="1446"/>
      <c r="R58" s="1446"/>
      <c r="S58" s="1446"/>
      <c r="T58" s="1446"/>
      <c r="U58" s="1447"/>
      <c r="V58" s="1446"/>
      <c r="W58" s="1446"/>
      <c r="X58" s="1446"/>
      <c r="Y58" s="1446"/>
      <c r="Z58" s="1447"/>
      <c r="AA58" s="1446"/>
      <c r="AB58" s="1446"/>
      <c r="AC58" s="1446"/>
      <c r="AD58" s="1446"/>
      <c r="AE58" s="1447"/>
      <c r="AF58" s="1446"/>
      <c r="AG58" s="1446"/>
      <c r="AH58" s="1446"/>
      <c r="AI58" s="1446"/>
      <c r="AJ58" s="1447"/>
      <c r="AK58" s="1442"/>
      <c r="AL58" s="1442"/>
      <c r="AM58" s="1442"/>
      <c r="AN58" s="1442"/>
      <c r="AO58" s="1443"/>
      <c r="AP58" s="1442"/>
      <c r="AQ58" s="1442"/>
      <c r="AR58" s="1442"/>
      <c r="AS58" s="1442"/>
      <c r="AT58" s="1443"/>
      <c r="AU58" s="1442"/>
      <c r="AV58" s="1442"/>
      <c r="AW58" s="1442"/>
      <c r="AX58" s="1442"/>
      <c r="AY58" s="1443"/>
      <c r="AZ58" s="1442"/>
      <c r="BA58" s="1442"/>
      <c r="BB58" s="1442"/>
      <c r="BC58" s="1442"/>
      <c r="BD58" s="1443"/>
      <c r="BE58" s="1442">
        <f t="shared" ref="BE58:BS58" si="128">IF(ISERROR(BE57/AZ57-1),,(BE57/AZ57-1))</f>
        <v>-4.0000000000000147E-2</v>
      </c>
      <c r="BF58" s="1442">
        <f t="shared" si="128"/>
        <v>-6.4999999999999947E-2</v>
      </c>
      <c r="BG58" s="1442">
        <f t="shared" si="128"/>
        <v>-1.5000000000000013E-2</v>
      </c>
      <c r="BH58" s="1442">
        <f t="shared" si="128"/>
        <v>-0.11111111111111105</v>
      </c>
      <c r="BI58" s="1443">
        <f t="shared" si="128"/>
        <v>-6.2182416731216161E-2</v>
      </c>
      <c r="BJ58" s="1442">
        <f t="shared" si="128"/>
        <v>-0.18749999999999989</v>
      </c>
      <c r="BK58" s="1442">
        <f t="shared" si="128"/>
        <v>-0.1875</v>
      </c>
      <c r="BL58" s="1442">
        <f t="shared" si="128"/>
        <v>-0.18750000000000011</v>
      </c>
      <c r="BM58" s="1442">
        <f t="shared" si="128"/>
        <v>-8.59375E-2</v>
      </c>
      <c r="BN58" s="1443">
        <f t="shared" si="128"/>
        <v>-0.15618261169122827</v>
      </c>
      <c r="BO58" s="1442">
        <f t="shared" si="128"/>
        <v>-0.15000000000000013</v>
      </c>
      <c r="BP58" s="1442">
        <f t="shared" si="128"/>
        <v>-0.15000000000000002</v>
      </c>
      <c r="BQ58" s="1442">
        <f t="shared" si="128"/>
        <v>-0.15000000000000002</v>
      </c>
      <c r="BR58" s="1442">
        <f t="shared" si="128"/>
        <v>-0.15000000000000002</v>
      </c>
      <c r="BS58" s="1443">
        <f t="shared" si="128"/>
        <v>-0.15000000000000002</v>
      </c>
      <c r="BT58" s="1442">
        <f t="shared" ref="BT58" si="129">IF(ISERROR(BT57/BO57-1),,(BT57/BO57-1))</f>
        <v>-0.17500000000000004</v>
      </c>
      <c r="BU58" s="1442">
        <f t="shared" ref="BU58" si="130">IF(ISERROR(BU57/BP57-1),,(BU57/BP57-1))</f>
        <v>-0.17499999999999993</v>
      </c>
      <c r="BV58" s="1442">
        <f t="shared" ref="BV58" si="131">IF(ISERROR(BV57/BQ57-1),,(BV57/BQ57-1))</f>
        <v>-0.17500000000000004</v>
      </c>
      <c r="BW58" s="1442">
        <f t="shared" ref="BW58" si="132">IF(ISERROR(BW57/BR57-1),,(BW57/BR57-1))</f>
        <v>-0.17500000000000016</v>
      </c>
      <c r="BX58" s="1443">
        <f t="shared" ref="BX58" si="133">IF(ISERROR(BX57/BS57-1),,(BX57/BS57-1))</f>
        <v>-0.17500000000000004</v>
      </c>
      <c r="BY58" s="1343"/>
      <c r="BZ58" s="1443"/>
      <c r="CA58" s="1443"/>
      <c r="CB58" s="1443"/>
      <c r="CC58" s="1443" t="e">
        <f t="shared" ref="CC58:CH58" si="134">CC57/CB57-1</f>
        <v>#DIV/0!</v>
      </c>
      <c r="CD58" s="1443" t="e">
        <f t="shared" si="134"/>
        <v>#DIV/0!</v>
      </c>
      <c r="CE58" s="1443">
        <f t="shared" si="134"/>
        <v>1.2230284791544324</v>
      </c>
      <c r="CF58" s="1443">
        <f t="shared" si="134"/>
        <v>-0.12061220099753889</v>
      </c>
      <c r="CG58" s="1443">
        <f t="shared" si="134"/>
        <v>-0.1385447388828337</v>
      </c>
      <c r="CH58" s="1443">
        <f t="shared" si="134"/>
        <v>-0.15972751196342538</v>
      </c>
      <c r="CI58" s="1343"/>
      <c r="CJ58" s="1343"/>
      <c r="CK58" s="1343"/>
    </row>
    <row r="59" spans="1:89">
      <c r="A59" s="1452" t="s">
        <v>952</v>
      </c>
      <c r="B59" s="1450"/>
      <c r="C59" s="1450"/>
      <c r="D59" s="1450"/>
      <c r="E59" s="1450"/>
      <c r="F59" s="1451"/>
      <c r="G59" s="1450"/>
      <c r="H59" s="1450"/>
      <c r="I59" s="1450"/>
      <c r="J59" s="1450"/>
      <c r="K59" s="1451"/>
      <c r="L59" s="1450"/>
      <c r="M59" s="1450"/>
      <c r="N59" s="1450"/>
      <c r="O59" s="1450"/>
      <c r="P59" s="1451"/>
      <c r="Q59" s="1450"/>
      <c r="R59" s="1450"/>
      <c r="S59" s="1450"/>
      <c r="T59" s="1450"/>
      <c r="U59" s="1451"/>
      <c r="V59" s="1450"/>
      <c r="W59" s="1450"/>
      <c r="X59" s="1450"/>
      <c r="Y59" s="1450"/>
      <c r="Z59" s="1451"/>
      <c r="AA59" s="1450"/>
      <c r="AB59" s="1450"/>
      <c r="AC59" s="1450"/>
      <c r="AD59" s="1450"/>
      <c r="AE59" s="1451"/>
      <c r="AF59" s="1450"/>
      <c r="AG59" s="1450"/>
      <c r="AH59" s="1450"/>
      <c r="AI59" s="1450"/>
      <c r="AJ59" s="1451"/>
      <c r="AK59" s="1460"/>
      <c r="AL59" s="1460"/>
      <c r="AM59" s="1460"/>
      <c r="AN59" s="1460"/>
      <c r="AO59" s="1463"/>
      <c r="AP59" s="1460"/>
      <c r="AQ59" s="1460"/>
      <c r="AR59" s="1460"/>
      <c r="AS59" s="1460"/>
      <c r="AT59" s="1463"/>
      <c r="AU59" s="1460"/>
      <c r="AV59" s="1460"/>
      <c r="AW59" s="1460"/>
      <c r="AX59" s="1460"/>
      <c r="AY59" s="1463"/>
      <c r="AZ59" s="1460"/>
      <c r="BA59" s="1460"/>
      <c r="BB59" s="1460"/>
      <c r="BC59" s="1460"/>
      <c r="BD59" s="1461"/>
      <c r="BE59" s="1460">
        <f>IF(ISERROR(BE57/BC57-1),,(BE57/BC57-1))</f>
        <v>-0.28342857142857147</v>
      </c>
      <c r="BF59" s="1460">
        <f>IF(ISERROR(BF57/BE57-1),,(BF57/BE57-1))</f>
        <v>-0.21037402534113059</v>
      </c>
      <c r="BG59" s="1460">
        <f>IF(ISERROR(BG57/BF57-1),,(BG57/BF57-1))</f>
        <v>0.25726308407118292</v>
      </c>
      <c r="BH59" s="1460">
        <f>IF(ISERROR(BH57/BG57-1),,(BH57/BG57-1))</f>
        <v>0.24951190941038837</v>
      </c>
      <c r="BI59" s="1461"/>
      <c r="BJ59" s="1460">
        <f>IF(ISERROR(BJ57/BH57-1),,(BJ57/BH57-1))</f>
        <v>-0.34500892857142862</v>
      </c>
      <c r="BK59" s="1460">
        <f>IF(ISERROR(BK57/BJ57-1),,(BK57/BJ57-1))</f>
        <v>-0.2103740253411307</v>
      </c>
      <c r="BL59" s="1460">
        <f>IF(ISERROR(BL57/BK57-1),,(BL57/BK57-1))</f>
        <v>0.2572630840711827</v>
      </c>
      <c r="BM59" s="1460">
        <f>IF(ISERROR(BM57/BL57-1),,(BM57/BL57-1))</f>
        <v>0.40570089808668697</v>
      </c>
      <c r="BN59" s="1461"/>
      <c r="BO59" s="1460">
        <f>IF(ISERROR(BO57/BM57-1),,(BO57/BM57-1))</f>
        <v>-0.39091428571428588</v>
      </c>
      <c r="BP59" s="1460">
        <f>IF(ISERROR(BP57/BO57-1),,(BP57/BO57-1))</f>
        <v>-0.21037402534113059</v>
      </c>
      <c r="BQ59" s="1460">
        <f>IF(ISERROR(BQ57/BP57-1),,(BQ57/BP57-1))</f>
        <v>0.25726308407118292</v>
      </c>
      <c r="BR59" s="1460">
        <f>IF(ISERROR(BR57/BQ57-1),,(BR57/BQ57-1))</f>
        <v>0.40570089808668697</v>
      </c>
      <c r="BS59" s="1461"/>
      <c r="BT59" s="1460">
        <f>IF(ISERROR(BT57/BR57-1),,(BT57/BR57-1))</f>
        <v>-0.40882857142857154</v>
      </c>
      <c r="BU59" s="1460">
        <f>IF(ISERROR(BU57/BT57-1),,(BU57/BT57-1))</f>
        <v>-0.21037402534113048</v>
      </c>
      <c r="BV59" s="1460">
        <f>IF(ISERROR(BV57/BU57-1),,(BV57/BU57-1))</f>
        <v>0.2572630840711827</v>
      </c>
      <c r="BW59" s="1460">
        <f>IF(ISERROR(BW57/BV57-1),,(BW57/BV57-1))</f>
        <v>0.40570089808668675</v>
      </c>
      <c r="BX59" s="1461"/>
      <c r="BY59" s="1343"/>
      <c r="BZ59" s="1461"/>
      <c r="CA59" s="1461"/>
      <c r="CB59" s="1461"/>
      <c r="CC59" s="1461"/>
      <c r="CD59" s="1461"/>
      <c r="CE59" s="1461"/>
      <c r="CF59" s="1461"/>
      <c r="CG59" s="1461"/>
      <c r="CH59" s="1461"/>
      <c r="CI59" s="1343"/>
      <c r="CJ59" s="1343"/>
      <c r="CK59" s="1343"/>
    </row>
    <row r="60" spans="1:89">
      <c r="A60" s="1470" t="s">
        <v>1449</v>
      </c>
      <c r="B60" s="1465"/>
      <c r="C60" s="1465"/>
      <c r="D60" s="1465"/>
      <c r="E60" s="1465"/>
      <c r="F60" s="1466"/>
      <c r="G60" s="1465"/>
      <c r="H60" s="1465"/>
      <c r="I60" s="1465"/>
      <c r="J60" s="1465"/>
      <c r="K60" s="1466"/>
      <c r="L60" s="1465"/>
      <c r="M60" s="1465"/>
      <c r="N60" s="1465"/>
      <c r="O60" s="1465"/>
      <c r="P60" s="1466"/>
      <c r="Q60" s="1465"/>
      <c r="R60" s="1465"/>
      <c r="S60" s="1465"/>
      <c r="T60" s="1465"/>
      <c r="U60" s="1466"/>
      <c r="V60" s="1465"/>
      <c r="W60" s="1465"/>
      <c r="X60" s="1465"/>
      <c r="Y60" s="1465"/>
      <c r="Z60" s="1466"/>
      <c r="AA60" s="1465"/>
      <c r="AB60" s="1465"/>
      <c r="AC60" s="1465"/>
      <c r="AD60" s="1465"/>
      <c r="AE60" s="1466"/>
      <c r="AF60" s="1467"/>
      <c r="AG60" s="1467"/>
      <c r="AH60" s="1467"/>
      <c r="AI60" s="1467"/>
      <c r="AJ60" s="1466"/>
      <c r="AK60" s="1471"/>
      <c r="AL60" s="1471"/>
      <c r="AM60" s="1471"/>
      <c r="AN60" s="1471"/>
      <c r="AO60" s="1472"/>
      <c r="AP60" s="2842"/>
      <c r="AQ60" s="2842"/>
      <c r="AR60" s="2842"/>
      <c r="AS60" s="2842"/>
      <c r="AT60" s="2843"/>
      <c r="AU60" s="2842"/>
      <c r="AV60" s="2842"/>
      <c r="AW60" s="2842"/>
      <c r="AX60" s="2842"/>
      <c r="AY60" s="2843"/>
      <c r="AZ60" s="2842">
        <f>AZ63+AZ66</f>
        <v>5252.8203931650005</v>
      </c>
      <c r="BA60" s="2842">
        <f t="shared" ref="BA60:BH60" si="135">BA63+BA66</f>
        <v>5647.4159</v>
      </c>
      <c r="BB60" s="2842">
        <f t="shared" si="135"/>
        <v>5407.4124199999997</v>
      </c>
      <c r="BC60" s="2842">
        <f t="shared" si="135"/>
        <v>5926.09566</v>
      </c>
      <c r="BD60" s="2843">
        <f>SUM(AZ60:BC60)</f>
        <v>22233.744373164998</v>
      </c>
      <c r="BE60" s="2842">
        <f t="shared" si="135"/>
        <v>5755.3196120427747</v>
      </c>
      <c r="BF60" s="2842">
        <f t="shared" ref="BF60:BG60" si="136">BF63+BF66</f>
        <v>6193.5527604999997</v>
      </c>
      <c r="BG60" s="2842">
        <f t="shared" ref="BG60" si="137">BG63+BG66</f>
        <v>6165.1438329999992</v>
      </c>
      <c r="BH60" s="2842">
        <f t="shared" si="135"/>
        <v>6464.0716015999997</v>
      </c>
      <c r="BI60" s="1474">
        <f>SUM(BE60:BH60)</f>
        <v>24578.087807142772</v>
      </c>
      <c r="BJ60" s="1473">
        <f>BJ63+BJ66</f>
        <v>6415.5978543592191</v>
      </c>
      <c r="BK60" s="1473">
        <f>BK63+BK66</f>
        <v>6852.7151451499994</v>
      </c>
      <c r="BL60" s="1473">
        <f>BL63+BL66</f>
        <v>7066.3413706099991</v>
      </c>
      <c r="BM60" s="1473">
        <f>BM63+BM66</f>
        <v>7347.4064885119997</v>
      </c>
      <c r="BN60" s="1474">
        <f>SUM(BJ60:BM60)</f>
        <v>27682.060858631216</v>
      </c>
      <c r="BO60" s="1473">
        <f>BO63+BO66</f>
        <v>7300.5219121189994</v>
      </c>
      <c r="BP60" s="1473">
        <f>BP63+BP66</f>
        <v>7731.683660076249</v>
      </c>
      <c r="BQ60" s="1473">
        <f>BQ63+BQ66</f>
        <v>8240.0428642954248</v>
      </c>
      <c r="BR60" s="1473">
        <f>BR63+BR66</f>
        <v>8446.6182358076803</v>
      </c>
      <c r="BS60" s="1474">
        <f>SUM(BO60:BR60)</f>
        <v>31718.866672298354</v>
      </c>
      <c r="BT60" s="1473">
        <f>BT63+BT66</f>
        <v>8203.8855162047712</v>
      </c>
      <c r="BU60" s="1473">
        <f>BU63+BU66</f>
        <v>8576.3175251210614</v>
      </c>
      <c r="BV60" s="1473">
        <f>BV63+BV66</f>
        <v>9421.8532606794342</v>
      </c>
      <c r="BW60" s="1473">
        <f>BW63+BW66</f>
        <v>9479.5411303292167</v>
      </c>
      <c r="BX60" s="1474">
        <f>SUM(BT60:BW60)</f>
        <v>35681.597432334485</v>
      </c>
      <c r="BY60" s="1343"/>
      <c r="BZ60" s="1474"/>
      <c r="CA60" s="1474"/>
      <c r="CB60" s="1474">
        <f>SUM(AM60:AN60,AP60:AQ60)</f>
        <v>0</v>
      </c>
      <c r="CC60" s="1474">
        <f>SUM(AR60:AS60,AU60:AV60)</f>
        <v>0</v>
      </c>
      <c r="CD60" s="1474">
        <f>SUM(AW60:AX60,AZ60:BA60)</f>
        <v>10900.236293165</v>
      </c>
      <c r="CE60" s="1474">
        <f>SUM(BB60:BC60,BE60:BF60)</f>
        <v>23282.380452542773</v>
      </c>
      <c r="CF60" s="1474">
        <f>SUM(BG60:BH60,BJ60:BK60)</f>
        <v>25897.528434109216</v>
      </c>
      <c r="CG60" s="1474">
        <f>SUM(BL60:BM60,BO60:BP60)</f>
        <v>29445.953431317248</v>
      </c>
      <c r="CH60" s="1474">
        <f>SUM(BQ60:BR60,BT60:BU60)</f>
        <v>33466.864141428938</v>
      </c>
      <c r="CI60" s="1343"/>
      <c r="CJ60" s="1343"/>
      <c r="CK60" s="1343"/>
    </row>
    <row r="61" spans="1:89">
      <c r="A61" s="1452" t="s">
        <v>926</v>
      </c>
      <c r="B61" s="1439"/>
      <c r="C61" s="1439"/>
      <c r="D61" s="1439"/>
      <c r="E61" s="1439"/>
      <c r="F61" s="1440"/>
      <c r="G61" s="1439"/>
      <c r="H61" s="1439"/>
      <c r="I61" s="1439"/>
      <c r="J61" s="1439"/>
      <c r="K61" s="1440"/>
      <c r="L61" s="1439"/>
      <c r="M61" s="1439"/>
      <c r="N61" s="1439"/>
      <c r="O61" s="1439"/>
      <c r="P61" s="1440"/>
      <c r="Q61" s="1439"/>
      <c r="R61" s="1439"/>
      <c r="S61" s="1439"/>
      <c r="T61" s="1439"/>
      <c r="U61" s="1440"/>
      <c r="V61" s="1439"/>
      <c r="W61" s="1439"/>
      <c r="X61" s="1439"/>
      <c r="Y61" s="1439"/>
      <c r="Z61" s="1440"/>
      <c r="AA61" s="1439"/>
      <c r="AB61" s="1439"/>
      <c r="AC61" s="1439"/>
      <c r="AD61" s="1439"/>
      <c r="AE61" s="1440"/>
      <c r="AF61" s="1441"/>
      <c r="AG61" s="1441"/>
      <c r="AH61" s="1441"/>
      <c r="AI61" s="1441"/>
      <c r="AJ61" s="1440"/>
      <c r="AK61" s="1442"/>
      <c r="AL61" s="1442"/>
      <c r="AM61" s="1442"/>
      <c r="AN61" s="1442"/>
      <c r="AO61" s="1443"/>
      <c r="AP61" s="1442"/>
      <c r="AQ61" s="1442"/>
      <c r="AR61" s="1442"/>
      <c r="AS61" s="1442"/>
      <c r="AT61" s="1443"/>
      <c r="AU61" s="1442"/>
      <c r="AV61" s="1442"/>
      <c r="AW61" s="1442"/>
      <c r="AX61" s="1442"/>
      <c r="AY61" s="1443"/>
      <c r="AZ61" s="2907">
        <v>0.09</v>
      </c>
      <c r="BA61" s="2907">
        <v>7.0000000000000007E-2</v>
      </c>
      <c r="BB61" s="2907">
        <v>0.09</v>
      </c>
      <c r="BC61" s="2907">
        <v>0.05</v>
      </c>
      <c r="BD61" s="2908">
        <v>7.0000000000000007E-2</v>
      </c>
      <c r="BE61" s="1442">
        <f t="shared" ref="BE61:BS61" si="138">IF(ISERROR(BE60/AZ60-1),,(BE60/AZ60-1))</f>
        <v>9.5662745204772026E-2</v>
      </c>
      <c r="BF61" s="1442">
        <f t="shared" si="138"/>
        <v>9.6705620795521696E-2</v>
      </c>
      <c r="BG61" s="1442">
        <f t="shared" si="138"/>
        <v>0.14012828209615269</v>
      </c>
      <c r="BH61" s="1442">
        <f t="shared" si="138"/>
        <v>9.0780839943444214E-2</v>
      </c>
      <c r="BI61" s="1443">
        <f t="shared" si="138"/>
        <v>0.10544078382079802</v>
      </c>
      <c r="BJ61" s="1442">
        <f t="shared" si="138"/>
        <v>0.11472486096772783</v>
      </c>
      <c r="BK61" s="1442">
        <f t="shared" si="138"/>
        <v>0.10642718487099567</v>
      </c>
      <c r="BL61" s="1442">
        <f t="shared" si="138"/>
        <v>0.14617623887153841</v>
      </c>
      <c r="BM61" s="1442">
        <f t="shared" si="138"/>
        <v>0.13665301706951305</v>
      </c>
      <c r="BN61" s="1443">
        <f t="shared" si="138"/>
        <v>0.12629025804791771</v>
      </c>
      <c r="BO61" s="1442">
        <f t="shared" si="138"/>
        <v>0.13793321804896164</v>
      </c>
      <c r="BP61" s="1442">
        <f t="shared" si="138"/>
        <v>0.1282657306350079</v>
      </c>
      <c r="BQ61" s="1442">
        <f t="shared" si="138"/>
        <v>0.16609747988782853</v>
      </c>
      <c r="BR61" s="1442">
        <f t="shared" si="138"/>
        <v>0.1496054082504279</v>
      </c>
      <c r="BS61" s="1443">
        <f t="shared" si="138"/>
        <v>0.14582750302741543</v>
      </c>
      <c r="BT61" s="1442">
        <f t="shared" ref="BT61" si="139">IF(ISERROR(BT60/BO60-1),,(BT60/BO60-1))</f>
        <v>0.12373959217712538</v>
      </c>
      <c r="BU61" s="1442">
        <f t="shared" ref="BU61" si="140">IF(ISERROR(BU60/BP60-1),,(BU60/BP60-1))</f>
        <v>0.10924320008153088</v>
      </c>
      <c r="BV61" s="1442">
        <f t="shared" ref="BV61" si="141">IF(ISERROR(BV60/BQ60-1),,(BV60/BQ60-1))</f>
        <v>0.14342284571174524</v>
      </c>
      <c r="BW61" s="1442">
        <f t="shared" ref="BW61" si="142">IF(ISERROR(BW60/BR60-1),,(BW60/BR60-1))</f>
        <v>0.12228833666741035</v>
      </c>
      <c r="BX61" s="1443">
        <f t="shared" ref="BX61" si="143">IF(ISERROR(BX60/BS60-1),,(BX60/BS60-1))</f>
        <v>0.12493292402206091</v>
      </c>
      <c r="BY61" s="1343"/>
      <c r="BZ61" s="1443"/>
      <c r="CA61" s="1443"/>
      <c r="CB61" s="1443"/>
      <c r="CC61" s="1443" t="e">
        <f t="shared" ref="CC61:CH61" si="144">CC60/CB60-1</f>
        <v>#DIV/0!</v>
      </c>
      <c r="CD61" s="1443" t="e">
        <f t="shared" si="144"/>
        <v>#DIV/0!</v>
      </c>
      <c r="CE61" s="1443">
        <f t="shared" si="144"/>
        <v>1.1359519029089307</v>
      </c>
      <c r="CF61" s="1443">
        <f t="shared" si="144"/>
        <v>0.11232304990879194</v>
      </c>
      <c r="CG61" s="1443">
        <f t="shared" si="144"/>
        <v>0.13701790138917125</v>
      </c>
      <c r="CH61" s="1443">
        <f t="shared" si="144"/>
        <v>0.13655223355190294</v>
      </c>
      <c r="CI61" s="1343"/>
      <c r="CJ61" s="1343"/>
      <c r="CK61" s="1343"/>
    </row>
    <row r="62" spans="1:89">
      <c r="A62" s="1452" t="s">
        <v>952</v>
      </c>
      <c r="B62" s="1439"/>
      <c r="C62" s="1439"/>
      <c r="D62" s="1439"/>
      <c r="E62" s="1439"/>
      <c r="F62" s="1440"/>
      <c r="G62" s="1439"/>
      <c r="H62" s="1439"/>
      <c r="I62" s="1439"/>
      <c r="J62" s="1439"/>
      <c r="K62" s="1440"/>
      <c r="L62" s="1439"/>
      <c r="M62" s="1439"/>
      <c r="N62" s="1439"/>
      <c r="O62" s="1439"/>
      <c r="P62" s="1440"/>
      <c r="Q62" s="1439"/>
      <c r="R62" s="1439"/>
      <c r="S62" s="1439"/>
      <c r="T62" s="1439"/>
      <c r="U62" s="1440"/>
      <c r="V62" s="1439"/>
      <c r="W62" s="1439"/>
      <c r="X62" s="1439"/>
      <c r="Y62" s="1439"/>
      <c r="Z62" s="1440"/>
      <c r="AA62" s="1439"/>
      <c r="AB62" s="1439"/>
      <c r="AC62" s="1439"/>
      <c r="AD62" s="1439"/>
      <c r="AE62" s="1440"/>
      <c r="AF62" s="1441"/>
      <c r="AG62" s="1441"/>
      <c r="AH62" s="1441"/>
      <c r="AI62" s="1441"/>
      <c r="AJ62" s="1440"/>
      <c r="AK62" s="1442"/>
      <c r="AL62" s="1442"/>
      <c r="AM62" s="1442"/>
      <c r="AN62" s="1442"/>
      <c r="AO62" s="1444"/>
      <c r="AP62" s="1442"/>
      <c r="AQ62" s="1442"/>
      <c r="AR62" s="1442"/>
      <c r="AS62" s="1442"/>
      <c r="AT62" s="1444"/>
      <c r="AU62" s="1442"/>
      <c r="AV62" s="1442"/>
      <c r="AW62" s="1442"/>
      <c r="AX62" s="1442"/>
      <c r="AY62" s="1444"/>
      <c r="AZ62" s="1442"/>
      <c r="BA62" s="1442">
        <f>IF(ISERROR(BA60/AZ60-1),,(BA60/AZ60-1))</f>
        <v>7.5120692751735607E-2</v>
      </c>
      <c r="BB62" s="1442">
        <f>IF(ISERROR(BB60/BA60-1),,(BB60/BA60-1))</f>
        <v>-4.2497929008557755E-2</v>
      </c>
      <c r="BC62" s="1442">
        <f>IF(ISERROR(BC60/BB60-1),,(BC60/BB60-1))</f>
        <v>9.5920784233431977E-2</v>
      </c>
      <c r="BD62" s="1443"/>
      <c r="BE62" s="1442">
        <f>IF(ISERROR(BE60/BC60-1),,(BE60/BC60-1))</f>
        <v>-2.8817632680135485E-2</v>
      </c>
      <c r="BF62" s="1442">
        <f>IF(ISERROR(BF60/BE60-1),,(BF60/BE60-1))</f>
        <v>7.6144015970935897E-2</v>
      </c>
      <c r="BG62" s="1442">
        <f>IF(ISERROR(BG60/BF60-1),,(BG60/BF60-1))</f>
        <v>-4.5868548470566761E-3</v>
      </c>
      <c r="BH62" s="1442">
        <f>IF(ISERROR(BH60/BG60-1),,(BH60/BG60-1))</f>
        <v>4.848674689468524E-2</v>
      </c>
      <c r="BI62" s="1443"/>
      <c r="BJ62" s="1442">
        <f>IF(ISERROR(BJ60/BH60-1),,(BJ60/BH60-1))</f>
        <v>-7.4989496138597733E-3</v>
      </c>
      <c r="BK62" s="1442">
        <f>IF(ISERROR(BK60/BJ60-1),,(BK60/BJ60-1))</f>
        <v>6.8133524063353157E-2</v>
      </c>
      <c r="BL62" s="1442">
        <f>IF(ISERROR(BL60/BK60-1),,(BL60/BK60-1))</f>
        <v>3.1173953817589029E-2</v>
      </c>
      <c r="BM62" s="1442">
        <f>IF(ISERROR(BM60/BL60-1),,(BM60/BL60-1))</f>
        <v>3.9775196691033576E-2</v>
      </c>
      <c r="BN62" s="1443"/>
      <c r="BO62" s="1442">
        <f>IF(ISERROR(BO60/BM60-1),,(BO60/BM60-1))</f>
        <v>-6.3811055596700861E-3</v>
      </c>
      <c r="BP62" s="1442">
        <f>IF(ISERROR(BP60/BO60-1),,(BP60/BO60-1))</f>
        <v>5.9059030730599371E-2</v>
      </c>
      <c r="BQ62" s="1442">
        <f>IF(ISERROR(BQ60/BP60-1),,(BQ60/BP60-1))</f>
        <v>6.5750129799563295E-2</v>
      </c>
      <c r="BR62" s="1442">
        <f>IF(ISERROR(BR60/BQ60-1),,(BR60/BQ60-1))</f>
        <v>2.5069696227838723E-2</v>
      </c>
      <c r="BS62" s="1443"/>
      <c r="BT62" s="1442">
        <f>IF(ISERROR(BT60/BR60-1),,(BT60/BR60-1))</f>
        <v>-2.8737266539867301E-2</v>
      </c>
      <c r="BU62" s="1442">
        <f>IF(ISERROR(BU60/BT60-1),,(BU60/BT60-1))</f>
        <v>4.5397026589491185E-2</v>
      </c>
      <c r="BV62" s="1442">
        <f>IF(ISERROR(BV60/BU60-1),,(BV60/BU60-1))</f>
        <v>9.8589602481682581E-2</v>
      </c>
      <c r="BW62" s="1442">
        <f>IF(ISERROR(BW60/BV60-1),,(BW60/BV60-1))</f>
        <v>6.1227730950272896E-3</v>
      </c>
      <c r="BX62" s="1443"/>
      <c r="BY62" s="1343"/>
      <c r="BZ62" s="1443"/>
      <c r="CA62" s="1443"/>
      <c r="CB62" s="1443"/>
      <c r="CC62" s="1443"/>
      <c r="CD62" s="1443"/>
      <c r="CE62" s="1443"/>
      <c r="CF62" s="1443"/>
      <c r="CG62" s="1443"/>
      <c r="CH62" s="1443"/>
      <c r="CI62" s="1343"/>
      <c r="CJ62" s="1343"/>
      <c r="CK62" s="1343"/>
    </row>
    <row r="63" spans="1:89">
      <c r="A63" s="1431" t="s">
        <v>1478</v>
      </c>
      <c r="B63" s="1432"/>
      <c r="C63" s="1432"/>
      <c r="D63" s="1432"/>
      <c r="E63" s="1432"/>
      <c r="F63" s="1429"/>
      <c r="G63" s="1432"/>
      <c r="H63" s="1432"/>
      <c r="I63" s="1432"/>
      <c r="J63" s="1432"/>
      <c r="K63" s="1429"/>
      <c r="L63" s="1432"/>
      <c r="M63" s="1432"/>
      <c r="N63" s="1432"/>
      <c r="O63" s="1432"/>
      <c r="P63" s="1429"/>
      <c r="Q63" s="1432"/>
      <c r="R63" s="1432"/>
      <c r="S63" s="1432"/>
      <c r="T63" s="1432"/>
      <c r="U63" s="1429"/>
      <c r="V63" s="1432"/>
      <c r="W63" s="1432"/>
      <c r="X63" s="1432"/>
      <c r="Y63" s="1432"/>
      <c r="Z63" s="1429"/>
      <c r="AA63" s="1432"/>
      <c r="AB63" s="1432"/>
      <c r="AC63" s="1432"/>
      <c r="AD63" s="1432"/>
      <c r="AE63" s="1429"/>
      <c r="AF63" s="1428"/>
      <c r="AG63" s="1428"/>
      <c r="AH63" s="1428"/>
      <c r="AI63" s="1428"/>
      <c r="AJ63" s="1429"/>
      <c r="AK63" s="1428"/>
      <c r="AL63" s="1428"/>
      <c r="AM63" s="1428"/>
      <c r="AN63" s="1428"/>
      <c r="AO63" s="1429"/>
      <c r="AP63" s="2844"/>
      <c r="AQ63" s="2844"/>
      <c r="AR63" s="2844"/>
      <c r="AS63" s="2844"/>
      <c r="AT63" s="2841"/>
      <c r="AU63" s="2844"/>
      <c r="AV63" s="2844"/>
      <c r="AW63" s="2844"/>
      <c r="AX63" s="2844"/>
      <c r="AY63" s="2841"/>
      <c r="AZ63" s="2844">
        <f>'Rev Detail - OLD'!AZ63-129</f>
        <v>2912.2826431650001</v>
      </c>
      <c r="BA63" s="2844">
        <f>'Rev Detail - OLD'!BA63-118</f>
        <v>3131.5109000000002</v>
      </c>
      <c r="BB63" s="2844">
        <f>'Rev Detail - OLD'!BB63-146-25</f>
        <v>2667.0748199999994</v>
      </c>
      <c r="BC63" s="2844">
        <f>'Rev Detail - OLD'!BC63+59-25</f>
        <v>2848.9616000000001</v>
      </c>
      <c r="BD63" s="2841">
        <f>SUM(AZ63:BC63)</f>
        <v>11559.829963165001</v>
      </c>
      <c r="BE63" s="2844">
        <f t="shared" ref="BE63:BH63" si="145">AZ63*(1+BE64)</f>
        <v>2431.7560070427749</v>
      </c>
      <c r="BF63" s="2844">
        <f t="shared" si="145"/>
        <v>2646.1267105000002</v>
      </c>
      <c r="BG63" s="2844">
        <f t="shared" si="145"/>
        <v>2267.0135969999992</v>
      </c>
      <c r="BH63" s="2844">
        <f t="shared" si="145"/>
        <v>2279.1692800000001</v>
      </c>
      <c r="BI63" s="1429">
        <f>SUM(BE63:BH63)</f>
        <v>9624.0655945427752</v>
      </c>
      <c r="BJ63" s="1428">
        <f>BE63*(1+BJ64)</f>
        <v>1945.4048056342199</v>
      </c>
      <c r="BK63" s="1428">
        <f>BF63*(1+BK64)</f>
        <v>2116.9013684000001</v>
      </c>
      <c r="BL63" s="1428">
        <f>BG63*(1+BL64)</f>
        <v>1813.6108775999994</v>
      </c>
      <c r="BM63" s="1428">
        <f>BH63*(1+BM64)</f>
        <v>1823.3354240000001</v>
      </c>
      <c r="BN63" s="1429">
        <f>SUM(BJ63:BM63)</f>
        <v>7699.2524756342191</v>
      </c>
      <c r="BO63" s="1428">
        <f>BJ63*(1+BO64)</f>
        <v>1556.323844507376</v>
      </c>
      <c r="BP63" s="1428">
        <f>BK63*(1+BP64)</f>
        <v>1693.5210947200003</v>
      </c>
      <c r="BQ63" s="1428">
        <f>BL63*(1+BQ64)</f>
        <v>1450.8887020799996</v>
      </c>
      <c r="BR63" s="1428">
        <f>BM63*(1+BR64)</f>
        <v>1458.6683392000002</v>
      </c>
      <c r="BS63" s="1429">
        <f>SUM(BO63:BR63)</f>
        <v>6159.4019805073758</v>
      </c>
      <c r="BT63" s="1428">
        <f>BO63*(1+BT64)</f>
        <v>1167.242883380532</v>
      </c>
      <c r="BU63" s="1428">
        <f>BP63*(1+BU64)</f>
        <v>1270.1408210400002</v>
      </c>
      <c r="BV63" s="1428">
        <f>BQ63*(1+BV64)</f>
        <v>1088.1665265599997</v>
      </c>
      <c r="BW63" s="1428">
        <f>BR63*(1+BW64)</f>
        <v>1094.0012544000001</v>
      </c>
      <c r="BX63" s="1429">
        <f>SUM(BT63:BW63)</f>
        <v>4619.5514853805316</v>
      </c>
      <c r="BY63" s="1432"/>
      <c r="BZ63" s="1429"/>
      <c r="CA63" s="1429"/>
      <c r="CB63" s="1429">
        <f>SUM(AM63:AN63,AP63:AQ63)</f>
        <v>0</v>
      </c>
      <c r="CC63" s="1429">
        <f>SUM(AR63:AS63,AU63:AV63)</f>
        <v>0</v>
      </c>
      <c r="CD63" s="1429">
        <f>SUM(AW63:AX63,AZ63:BA63)</f>
        <v>6043.7935431650003</v>
      </c>
      <c r="CE63" s="1429">
        <f>SUM(BB63:BC63,BE63:BF63)</f>
        <v>10593.919137542774</v>
      </c>
      <c r="CF63" s="1429">
        <f>SUM(BG63:BH63,BJ63:BK63)</f>
        <v>8608.4890510342193</v>
      </c>
      <c r="CG63" s="1429">
        <f>SUM(BL63:BM63,BO63:BP63)</f>
        <v>6886.791240827376</v>
      </c>
      <c r="CH63" s="1429">
        <f>SUM(BQ63:BR63,BT63:BU63)</f>
        <v>5346.9407457005318</v>
      </c>
      <c r="CI63" s="1343"/>
      <c r="CJ63" s="1343"/>
      <c r="CK63" s="1343"/>
    </row>
    <row r="64" spans="1:89">
      <c r="A64" s="1452" t="s">
        <v>926</v>
      </c>
      <c r="B64" s="1453"/>
      <c r="C64" s="1453"/>
      <c r="D64" s="1453"/>
      <c r="E64" s="1453"/>
      <c r="F64" s="1454"/>
      <c r="G64" s="1453"/>
      <c r="H64" s="1453"/>
      <c r="I64" s="1453"/>
      <c r="J64" s="1453"/>
      <c r="K64" s="1454"/>
      <c r="L64" s="1453"/>
      <c r="M64" s="1453"/>
      <c r="N64" s="1453"/>
      <c r="O64" s="1453"/>
      <c r="P64" s="1454"/>
      <c r="Q64" s="1453"/>
      <c r="R64" s="1453"/>
      <c r="S64" s="1453"/>
      <c r="T64" s="1453"/>
      <c r="U64" s="1454"/>
      <c r="V64" s="1453"/>
      <c r="W64" s="1453"/>
      <c r="X64" s="1453"/>
      <c r="Y64" s="1453"/>
      <c r="Z64" s="1454"/>
      <c r="AA64" s="1453"/>
      <c r="AB64" s="1453"/>
      <c r="AC64" s="1453"/>
      <c r="AD64" s="1453"/>
      <c r="AE64" s="1454"/>
      <c r="AF64" s="1446"/>
      <c r="AG64" s="1453"/>
      <c r="AH64" s="1453"/>
      <c r="AI64" s="1453"/>
      <c r="AJ64" s="1443"/>
      <c r="AK64" s="1442"/>
      <c r="AL64" s="1442"/>
      <c r="AM64" s="1442"/>
      <c r="AN64" s="1442"/>
      <c r="AO64" s="1443"/>
      <c r="AP64" s="1442"/>
      <c r="AQ64" s="1442"/>
      <c r="AR64" s="1442"/>
      <c r="AS64" s="1442"/>
      <c r="AT64" s="1443"/>
      <c r="AU64" s="1442"/>
      <c r="AV64" s="1442"/>
      <c r="AW64" s="1442"/>
      <c r="AX64" s="1442"/>
      <c r="AY64" s="1443"/>
      <c r="AZ64" s="1455"/>
      <c r="BA64" s="1455"/>
      <c r="BB64" s="1455"/>
      <c r="BC64" s="1455"/>
      <c r="BD64" s="1443"/>
      <c r="BE64" s="1455">
        <v>-0.16500000000000001</v>
      </c>
      <c r="BF64" s="1455">
        <v>-0.155</v>
      </c>
      <c r="BG64" s="1455">
        <v>-0.15</v>
      </c>
      <c r="BH64" s="1455">
        <v>-0.2</v>
      </c>
      <c r="BI64" s="1443">
        <f>IF(ISERROR(BI63/BD63-1),,(BI63/BD63-1))</f>
        <v>-0.16745612822943523</v>
      </c>
      <c r="BJ64" s="1455">
        <v>-0.2</v>
      </c>
      <c r="BK64" s="1455">
        <v>-0.2</v>
      </c>
      <c r="BL64" s="1455">
        <v>-0.2</v>
      </c>
      <c r="BM64" s="1455">
        <v>-0.2</v>
      </c>
      <c r="BN64" s="1443">
        <f>IF(ISERROR(BN63/BI63-1),,(BN63/BI63-1))</f>
        <v>-0.20000000000000007</v>
      </c>
      <c r="BO64" s="1455">
        <v>-0.2</v>
      </c>
      <c r="BP64" s="1455">
        <v>-0.2</v>
      </c>
      <c r="BQ64" s="1455">
        <v>-0.2</v>
      </c>
      <c r="BR64" s="1455">
        <v>-0.2</v>
      </c>
      <c r="BS64" s="1443">
        <f>IF(ISERROR(BS63/BN63-1),,(BS63/BN63-1))</f>
        <v>-0.19999999999999996</v>
      </c>
      <c r="BT64" s="1455">
        <v>-0.25</v>
      </c>
      <c r="BU64" s="1455">
        <v>-0.25</v>
      </c>
      <c r="BV64" s="1455">
        <v>-0.25</v>
      </c>
      <c r="BW64" s="1455">
        <v>-0.25</v>
      </c>
      <c r="BX64" s="1443">
        <f>IF(ISERROR(BX63/BS63-1),,(BX63/BS63-1))</f>
        <v>-0.25</v>
      </c>
      <c r="BY64" s="1438"/>
      <c r="BZ64" s="1443"/>
      <c r="CA64" s="1443"/>
      <c r="CB64" s="1443"/>
      <c r="CC64" s="1443" t="e">
        <f t="shared" ref="CC64:CH64" si="146">CC63/CB63-1</f>
        <v>#DIV/0!</v>
      </c>
      <c r="CD64" s="1443" t="e">
        <f t="shared" si="146"/>
        <v>#DIV/0!</v>
      </c>
      <c r="CE64" s="1443">
        <f t="shared" si="146"/>
        <v>0.75285920372372184</v>
      </c>
      <c r="CF64" s="1443">
        <f t="shared" si="146"/>
        <v>-0.18741223722131117</v>
      </c>
      <c r="CG64" s="1443">
        <f t="shared" si="146"/>
        <v>-0.19999999999999996</v>
      </c>
      <c r="CH64" s="1443">
        <f t="shared" si="146"/>
        <v>-0.22359476877969764</v>
      </c>
      <c r="CI64" s="1343"/>
      <c r="CJ64" s="1343"/>
      <c r="CK64" s="1343"/>
    </row>
    <row r="65" spans="1:89">
      <c r="A65" s="1452" t="s">
        <v>952</v>
      </c>
      <c r="B65" s="1453"/>
      <c r="C65" s="1453"/>
      <c r="D65" s="1453"/>
      <c r="E65" s="1453"/>
      <c r="F65" s="1454"/>
      <c r="G65" s="1453"/>
      <c r="H65" s="1453"/>
      <c r="I65" s="1453"/>
      <c r="J65" s="1453"/>
      <c r="K65" s="1454"/>
      <c r="L65" s="1453"/>
      <c r="M65" s="1453"/>
      <c r="N65" s="1453"/>
      <c r="O65" s="1453"/>
      <c r="P65" s="1454"/>
      <c r="Q65" s="1453"/>
      <c r="R65" s="1453"/>
      <c r="S65" s="1453"/>
      <c r="T65" s="1453"/>
      <c r="U65" s="1454"/>
      <c r="V65" s="1453"/>
      <c r="W65" s="1453"/>
      <c r="X65" s="1453"/>
      <c r="Y65" s="1453"/>
      <c r="Z65" s="1454"/>
      <c r="AA65" s="1453"/>
      <c r="AB65" s="1453"/>
      <c r="AC65" s="1453"/>
      <c r="AD65" s="1453"/>
      <c r="AE65" s="1454"/>
      <c r="AF65" s="1446"/>
      <c r="AG65" s="1442"/>
      <c r="AH65" s="1442"/>
      <c r="AI65" s="1442"/>
      <c r="AJ65" s="1443"/>
      <c r="AK65" s="1442"/>
      <c r="AL65" s="1442"/>
      <c r="AM65" s="1442"/>
      <c r="AN65" s="1442"/>
      <c r="AO65" s="1443"/>
      <c r="AP65" s="1442"/>
      <c r="AQ65" s="1442"/>
      <c r="AR65" s="1442"/>
      <c r="AS65" s="1442"/>
      <c r="AT65" s="1443"/>
      <c r="AU65" s="1442"/>
      <c r="AV65" s="1442"/>
      <c r="AW65" s="1442"/>
      <c r="AX65" s="1442"/>
      <c r="AY65" s="1443"/>
      <c r="AZ65" s="1442"/>
      <c r="BA65" s="1442"/>
      <c r="BB65" s="1442"/>
      <c r="BC65" s="1442"/>
      <c r="BD65" s="1443"/>
      <c r="BE65" s="1442">
        <f>IF(ISERROR(BE63/BC63-1),,(BE63/BC63-1))</f>
        <v>-0.14644128336346307</v>
      </c>
      <c r="BF65" s="1442">
        <f>IF(ISERROR(BF63/BE63-1),,(BF63/BE63-1))</f>
        <v>8.8154692673266366E-2</v>
      </c>
      <c r="BG65" s="1442">
        <f>IF(ISERROR(BG63/BF63-1),,(BG63/BF63-1))</f>
        <v>-0.14327095977515203</v>
      </c>
      <c r="BH65" s="1442">
        <f>IF(ISERROR(BH63/BG63-1),,(BH63/BG63-1))</f>
        <v>5.3619806321791863E-3</v>
      </c>
      <c r="BI65" s="1443"/>
      <c r="BJ65" s="1442">
        <f>IF(ISERROR(BJ63/BH63-1),,(BJ63/BH63-1))</f>
        <v>-0.14644128336346307</v>
      </c>
      <c r="BK65" s="1442">
        <f>IF(ISERROR(BK63/BJ63-1),,(BK63/BJ63-1))</f>
        <v>8.8154692673266366E-2</v>
      </c>
      <c r="BL65" s="1442">
        <f>IF(ISERROR(BL63/BK63-1),,(BL63/BK63-1))</f>
        <v>-0.14327095977515203</v>
      </c>
      <c r="BM65" s="1442">
        <f>IF(ISERROR(BM63/BL63-1),,(BM63/BL63-1))</f>
        <v>5.3619806321791863E-3</v>
      </c>
      <c r="BN65" s="1443"/>
      <c r="BO65" s="1442">
        <f>IF(ISERROR(BO63/BM63-1),,(BO63/BM63-1))</f>
        <v>-0.14644128336346307</v>
      </c>
      <c r="BP65" s="1442">
        <f>IF(ISERROR(BP63/BO63-1),,(BP63/BO63-1))</f>
        <v>8.8154692673266588E-2</v>
      </c>
      <c r="BQ65" s="1442">
        <f>IF(ISERROR(BQ63/BP63-1),,(BQ63/BP63-1))</f>
        <v>-0.14327095977515214</v>
      </c>
      <c r="BR65" s="1442">
        <f>IF(ISERROR(BR63/BQ63-1),,(BR63/BQ63-1))</f>
        <v>5.3619806321791863E-3</v>
      </c>
      <c r="BS65" s="1443"/>
      <c r="BT65" s="1442">
        <f>IF(ISERROR(BT63/BR63-1),,(BT63/BR63-1))</f>
        <v>-0.19978870315324671</v>
      </c>
      <c r="BU65" s="1442">
        <f>IF(ISERROR(BU63/BT63-1),,(BU63/BT63-1))</f>
        <v>8.8154692673266366E-2</v>
      </c>
      <c r="BV65" s="1442">
        <f>IF(ISERROR(BV63/BU63-1),,(BV63/BU63-1))</f>
        <v>-0.14327095977515203</v>
      </c>
      <c r="BW65" s="1442">
        <f>IF(ISERROR(BW63/BV63-1),,(BW63/BV63-1))</f>
        <v>5.3619806321791863E-3</v>
      </c>
      <c r="BX65" s="1443"/>
      <c r="BY65" s="1438"/>
      <c r="BZ65" s="1443"/>
      <c r="CA65" s="1443"/>
      <c r="CB65" s="1443"/>
      <c r="CC65" s="1443"/>
      <c r="CD65" s="1443"/>
      <c r="CE65" s="1443"/>
      <c r="CF65" s="1443"/>
      <c r="CG65" s="1443"/>
      <c r="CH65" s="1443"/>
      <c r="CI65" s="1343"/>
      <c r="CJ65" s="1343"/>
      <c r="CK65" s="1343"/>
    </row>
    <row r="66" spans="1:89">
      <c r="A66" s="1434" t="s">
        <v>989</v>
      </c>
      <c r="B66" s="1432"/>
      <c r="C66" s="1432"/>
      <c r="D66" s="1432"/>
      <c r="E66" s="1432"/>
      <c r="F66" s="1429"/>
      <c r="G66" s="1432"/>
      <c r="H66" s="1432"/>
      <c r="I66" s="1432"/>
      <c r="J66" s="1432"/>
      <c r="K66" s="1429"/>
      <c r="L66" s="1432"/>
      <c r="M66" s="1432"/>
      <c r="N66" s="1432"/>
      <c r="O66" s="1432"/>
      <c r="P66" s="1429"/>
      <c r="Q66" s="1432"/>
      <c r="R66" s="1432"/>
      <c r="S66" s="1432"/>
      <c r="T66" s="1432"/>
      <c r="U66" s="1429"/>
      <c r="V66" s="1432"/>
      <c r="W66" s="1432"/>
      <c r="X66" s="1432"/>
      <c r="Y66" s="1432"/>
      <c r="Z66" s="1429"/>
      <c r="AA66" s="1432"/>
      <c r="AB66" s="1432"/>
      <c r="AC66" s="1432"/>
      <c r="AD66" s="1432"/>
      <c r="AE66" s="1429"/>
      <c r="AF66" s="1432"/>
      <c r="AG66" s="1432"/>
      <c r="AH66" s="1432"/>
      <c r="AI66" s="1432"/>
      <c r="AJ66" s="1429"/>
      <c r="AK66" s="1432">
        <v>415</v>
      </c>
      <c r="AL66" s="1432">
        <v>500</v>
      </c>
      <c r="AM66" s="1432">
        <v>590</v>
      </c>
      <c r="AN66" s="1432">
        <v>785</v>
      </c>
      <c r="AO66" s="1429">
        <f>SUM(AK66:AN66)</f>
        <v>2290</v>
      </c>
      <c r="AP66" s="2840">
        <f>AK66*(1+AP67)</f>
        <v>933.75</v>
      </c>
      <c r="AQ66" s="2840">
        <f>AL66*(1+AQ67)</f>
        <v>1050</v>
      </c>
      <c r="AR66" s="2840">
        <f>AM66*(1+AR67)</f>
        <v>1227.2</v>
      </c>
      <c r="AS66" s="2840">
        <f>AN66*(1+AS67)</f>
        <v>1397.3</v>
      </c>
      <c r="AT66" s="2841">
        <f>SUM(AP66:AS66)</f>
        <v>4608.25</v>
      </c>
      <c r="AU66" s="2840">
        <f>AP66*(1+AU67)</f>
        <v>1550.0250000000001</v>
      </c>
      <c r="AV66" s="2840">
        <f>AQ66*(1+AV67)</f>
        <v>1711.5</v>
      </c>
      <c r="AW66" s="2840">
        <f>AR66*(1+AW67)</f>
        <v>1889.8880000000001</v>
      </c>
      <c r="AX66" s="2840">
        <f>AS66*(1+AX67)</f>
        <v>2151.8420000000001</v>
      </c>
      <c r="AY66" s="2841">
        <f>SUM(AU66:AX66)</f>
        <v>7303.255000000001</v>
      </c>
      <c r="AZ66" s="2840">
        <f>AU66*(1+AZ67)</f>
        <v>2340.53775</v>
      </c>
      <c r="BA66" s="2840">
        <f>AV66*(1+BA67)</f>
        <v>2515.9049999999997</v>
      </c>
      <c r="BB66" s="2840">
        <f>AW66*(1+BB67)</f>
        <v>2740.3376000000003</v>
      </c>
      <c r="BC66" s="2840">
        <f>AX66*(1+BC67)</f>
        <v>3077.1340599999999</v>
      </c>
      <c r="BD66" s="2841">
        <f>SUM(AZ66:BC66)</f>
        <v>10673.914410000001</v>
      </c>
      <c r="BE66" s="2840">
        <f>AZ66*(1+BE67)</f>
        <v>3323.5636049999998</v>
      </c>
      <c r="BF66" s="2840">
        <f>BA66*(1+BF67)</f>
        <v>3547.4260499999996</v>
      </c>
      <c r="BG66" s="2840">
        <f>BB66*(1+BG67)</f>
        <v>3898.130236</v>
      </c>
      <c r="BH66" s="2840">
        <f>BC66*(1+BH67)</f>
        <v>4184.9023215999996</v>
      </c>
      <c r="BI66" s="2841">
        <f>SUM(BE66:BH66)</f>
        <v>14954.022212599997</v>
      </c>
      <c r="BJ66" s="2840">
        <f>BE66*(1+BJ67)</f>
        <v>4470.1930487249992</v>
      </c>
      <c r="BK66" s="2840">
        <f>BF66*(1+BK67)</f>
        <v>4735.8137767499993</v>
      </c>
      <c r="BL66" s="2840">
        <f>BG66*(1+BL67)</f>
        <v>5252.7304930099999</v>
      </c>
      <c r="BM66" s="2840">
        <f>BH66*(1+BM67)</f>
        <v>5524.0710645119998</v>
      </c>
      <c r="BN66" s="2841">
        <f>SUM(BJ66:BM66)</f>
        <v>19982.808382996998</v>
      </c>
      <c r="BO66" s="2840">
        <f>BJ66*(1+BO67)</f>
        <v>5744.1980676116236</v>
      </c>
      <c r="BP66" s="2840">
        <f>BK66*(1+BP67)</f>
        <v>6038.1625653562487</v>
      </c>
      <c r="BQ66" s="2840">
        <f>BL66*(1+BQ67)</f>
        <v>6789.1541622154245</v>
      </c>
      <c r="BR66" s="2840">
        <f>BM66*(1+BR67)</f>
        <v>6987.9498966076808</v>
      </c>
      <c r="BS66" s="2841">
        <f>SUM(BO66:BR66)</f>
        <v>25559.464691790978</v>
      </c>
      <c r="BT66" s="2840">
        <f>BO66*(1+BT67)</f>
        <v>7036.6426328242396</v>
      </c>
      <c r="BU66" s="2840">
        <f>BP66*(1+BU67)</f>
        <v>7306.176704081061</v>
      </c>
      <c r="BV66" s="2840">
        <f>BQ66*(1+BV67)</f>
        <v>8333.6867341194338</v>
      </c>
      <c r="BW66" s="2840">
        <f>BR66*(1+BW67)</f>
        <v>8385.5398759292166</v>
      </c>
      <c r="BX66" s="2841">
        <f>SUM(BT66:BW66)</f>
        <v>31062.045946953949</v>
      </c>
      <c r="BY66" s="1235"/>
      <c r="BZ66" s="1429"/>
      <c r="CA66" s="1429"/>
      <c r="CB66" s="1429">
        <f>SUM(AM66:AN66,AP66:AQ66)</f>
        <v>3358.75</v>
      </c>
      <c r="CC66" s="1429">
        <f>SUM(AR66:AS66,AU66:AV66)</f>
        <v>5886.0249999999996</v>
      </c>
      <c r="CD66" s="1429">
        <f>SUM(AW66:AX66,AZ66:BA66)</f>
        <v>8898.1727500000015</v>
      </c>
      <c r="CE66" s="1429">
        <f>SUM(BB66:BC66,BE66:BF66)</f>
        <v>12688.461315</v>
      </c>
      <c r="CF66" s="1429">
        <f>SUM(BG66:BH66,BJ66:BK66)</f>
        <v>17289.039383074996</v>
      </c>
      <c r="CG66" s="1429">
        <f>SUM(BL66:BM66,BO66:BP66)</f>
        <v>22559.162190489871</v>
      </c>
      <c r="CH66" s="1429">
        <f>SUM(BQ66:BR66,BT66:BU66)</f>
        <v>28119.923395728401</v>
      </c>
      <c r="CI66" s="1343"/>
      <c r="CJ66" s="1343"/>
      <c r="CK66" s="1343"/>
    </row>
    <row r="67" spans="1:89">
      <c r="A67" s="1456" t="s">
        <v>926</v>
      </c>
      <c r="B67" s="1453"/>
      <c r="C67" s="1453"/>
      <c r="D67" s="1453"/>
      <c r="E67" s="1453"/>
      <c r="F67" s="1454"/>
      <c r="G67" s="1453"/>
      <c r="H67" s="1453"/>
      <c r="I67" s="1453"/>
      <c r="J67" s="1453"/>
      <c r="K67" s="1454"/>
      <c r="L67" s="1453"/>
      <c r="M67" s="1453"/>
      <c r="N67" s="1453"/>
      <c r="O67" s="1453"/>
      <c r="P67" s="1454"/>
      <c r="Q67" s="1453"/>
      <c r="R67" s="1453"/>
      <c r="S67" s="1453"/>
      <c r="T67" s="1453"/>
      <c r="U67" s="1454"/>
      <c r="V67" s="1453"/>
      <c r="W67" s="1453"/>
      <c r="X67" s="1453"/>
      <c r="Y67" s="1453"/>
      <c r="Z67" s="1454"/>
      <c r="AA67" s="1453"/>
      <c r="AB67" s="1453"/>
      <c r="AC67" s="1453"/>
      <c r="AD67" s="1453"/>
      <c r="AE67" s="1454"/>
      <c r="AF67" s="1446"/>
      <c r="AG67" s="1453"/>
      <c r="AH67" s="1453"/>
      <c r="AI67" s="1453"/>
      <c r="AJ67" s="1443"/>
      <c r="AK67" s="1442"/>
      <c r="AL67" s="1442"/>
      <c r="AM67" s="1442"/>
      <c r="AN67" s="1442"/>
      <c r="AO67" s="1443"/>
      <c r="AP67" s="1442">
        <v>1.25</v>
      </c>
      <c r="AQ67" s="1442">
        <v>1.1000000000000001</v>
      </c>
      <c r="AR67" s="1442">
        <v>1.08</v>
      </c>
      <c r="AS67" s="1442">
        <v>0.78</v>
      </c>
      <c r="AT67" s="1443">
        <f>IF(ISERROR(AT66/AO66-1),,(AT66/AO66-1))</f>
        <v>1.0123362445414847</v>
      </c>
      <c r="AU67" s="1442">
        <v>0.66</v>
      </c>
      <c r="AV67" s="1442">
        <v>0.63</v>
      </c>
      <c r="AW67" s="1442">
        <v>0.54</v>
      </c>
      <c r="AX67" s="1442">
        <v>0.54</v>
      </c>
      <c r="AY67" s="1443">
        <f>IF(ISERROR(AY66/AT66-1),,(AY66/AT66-1))</f>
        <v>0.58482178701242349</v>
      </c>
      <c r="AZ67" s="1455">
        <v>0.51</v>
      </c>
      <c r="BA67" s="1455">
        <v>0.47</v>
      </c>
      <c r="BB67" s="1455">
        <v>0.45</v>
      </c>
      <c r="BC67" s="1455">
        <v>0.43</v>
      </c>
      <c r="BD67" s="1443">
        <f>IF(ISERROR(BD66/AY66-1),,(BD66/AY66-1))</f>
        <v>0.46152837467677088</v>
      </c>
      <c r="BE67" s="1455">
        <v>0.42</v>
      </c>
      <c r="BF67" s="1455">
        <v>0.41</v>
      </c>
      <c r="BG67" s="1455">
        <v>0.42249999999999999</v>
      </c>
      <c r="BH67" s="1455">
        <v>0.36</v>
      </c>
      <c r="BI67" s="1443">
        <f>IF(ISERROR(BI66/BD66-1),,(BI66/BD66-1))</f>
        <v>0.40098764503771167</v>
      </c>
      <c r="BJ67" s="1455">
        <f>BE67-0.075</f>
        <v>0.34499999999999997</v>
      </c>
      <c r="BK67" s="1455">
        <f t="shared" ref="BK67:BL67" si="147">BF67-0.075</f>
        <v>0.33499999999999996</v>
      </c>
      <c r="BL67" s="1455">
        <f t="shared" si="147"/>
        <v>0.34749999999999998</v>
      </c>
      <c r="BM67" s="1455">
        <f>BH67-0.04</f>
        <v>0.32</v>
      </c>
      <c r="BN67" s="1443">
        <f>IF(ISERROR(BN66/BI66-1),,(BN66/BI66-1))</f>
        <v>0.33628318180240724</v>
      </c>
      <c r="BO67" s="1455">
        <f>BJ67-0.06</f>
        <v>0.28499999999999998</v>
      </c>
      <c r="BP67" s="1455">
        <f>BK67-0.06</f>
        <v>0.27499999999999997</v>
      </c>
      <c r="BQ67" s="1455">
        <f>BL67-0.055</f>
        <v>0.29249999999999998</v>
      </c>
      <c r="BR67" s="1455">
        <f>BM67-0.055</f>
        <v>0.26500000000000001</v>
      </c>
      <c r="BS67" s="1443">
        <f>IF(ISERROR(BS66/BN66-1),,(BS66/BN66-1))</f>
        <v>0.27907270098926906</v>
      </c>
      <c r="BT67" s="1455">
        <f>BO67-0.06</f>
        <v>0.22499999999999998</v>
      </c>
      <c r="BU67" s="1455">
        <f t="shared" ref="BU67:BW67" si="148">BP67-0.065</f>
        <v>0.20999999999999996</v>
      </c>
      <c r="BV67" s="1455">
        <f t="shared" si="148"/>
        <v>0.22749999999999998</v>
      </c>
      <c r="BW67" s="1455">
        <f t="shared" si="148"/>
        <v>0.2</v>
      </c>
      <c r="BX67" s="1443">
        <f>IF(ISERROR(BX66/BS66-1),,(BX66/BS66-1))</f>
        <v>0.21528546554146955</v>
      </c>
      <c r="BY67" s="1343"/>
      <c r="BZ67" s="1443"/>
      <c r="CA67" s="1443"/>
      <c r="CB67" s="1443"/>
      <c r="CC67" s="1443">
        <f t="shared" ref="CC67:CH67" si="149">CC66/CB66-1</f>
        <v>0.75244510606624471</v>
      </c>
      <c r="CD67" s="1443">
        <f t="shared" si="149"/>
        <v>0.51174566027157575</v>
      </c>
      <c r="CE67" s="1443">
        <f t="shared" si="149"/>
        <v>0.42596257360816003</v>
      </c>
      <c r="CF67" s="1443">
        <f t="shared" si="149"/>
        <v>0.36257966619138449</v>
      </c>
      <c r="CG67" s="1443">
        <f t="shared" si="149"/>
        <v>0.30482450127183069</v>
      </c>
      <c r="CH67" s="1443">
        <f t="shared" si="149"/>
        <v>0.24649679621447751</v>
      </c>
    </row>
    <row r="68" spans="1:89">
      <c r="A68" s="1457" t="s">
        <v>952</v>
      </c>
      <c r="B68" s="1458"/>
      <c r="C68" s="1458"/>
      <c r="D68" s="1458"/>
      <c r="E68" s="1458"/>
      <c r="F68" s="1459"/>
      <c r="G68" s="1458"/>
      <c r="H68" s="1458"/>
      <c r="I68" s="1458"/>
      <c r="J68" s="1458"/>
      <c r="K68" s="1459"/>
      <c r="L68" s="1458"/>
      <c r="M68" s="1458"/>
      <c r="N68" s="1458"/>
      <c r="O68" s="1458"/>
      <c r="P68" s="1459"/>
      <c r="Q68" s="1458"/>
      <c r="R68" s="1458"/>
      <c r="S68" s="1458"/>
      <c r="T68" s="1458"/>
      <c r="U68" s="1459"/>
      <c r="V68" s="1458"/>
      <c r="W68" s="1458"/>
      <c r="X68" s="1458"/>
      <c r="Y68" s="1458"/>
      <c r="Z68" s="1459"/>
      <c r="AA68" s="1458"/>
      <c r="AB68" s="1458"/>
      <c r="AC68" s="1458"/>
      <c r="AD68" s="1458"/>
      <c r="AE68" s="1459"/>
      <c r="AF68" s="1450"/>
      <c r="AG68" s="1460"/>
      <c r="AH68" s="1460"/>
      <c r="AI68" s="1460"/>
      <c r="AJ68" s="1461"/>
      <c r="AK68" s="1460"/>
      <c r="AL68" s="1460"/>
      <c r="AM68" s="1460"/>
      <c r="AN68" s="1460"/>
      <c r="AO68" s="1461"/>
      <c r="AP68" s="1460">
        <f>IF(ISERROR(AP66/AN66-1),,(AP66/AN66-1))</f>
        <v>0.18949044585987251</v>
      </c>
      <c r="AQ68" s="1460">
        <f>IF(ISERROR(AQ66/AP66-1),,(AQ66/AP66-1))</f>
        <v>0.12449799196787148</v>
      </c>
      <c r="AR68" s="1460">
        <f>IF(ISERROR(AR66/AQ66-1),,(AR66/AQ66-1))</f>
        <v>0.16876190476190489</v>
      </c>
      <c r="AS68" s="1460">
        <f>IF(ISERROR(AS66/AR66-1),,(AS66/AR66-1))</f>
        <v>0.13860821382007815</v>
      </c>
      <c r="AT68" s="1461"/>
      <c r="AU68" s="1460">
        <f>IF(ISERROR(AU66/AS66-1),,(AU66/AS66-1))</f>
        <v>0.10930007872325209</v>
      </c>
      <c r="AV68" s="1460">
        <f>IF(ISERROR(AV66/AU66-1),,(AV66/AU66-1))</f>
        <v>0.1041757391009821</v>
      </c>
      <c r="AW68" s="1460">
        <f>IF(ISERROR(AW66/AV66-1),,(AW66/AV66-1))</f>
        <v>0.10422903885480572</v>
      </c>
      <c r="AX68" s="1460">
        <f>IF(ISERROR(AX66/AW66-1),,(AX66/AW66-1))</f>
        <v>0.13860821382007815</v>
      </c>
      <c r="AY68" s="1461"/>
      <c r="AZ68" s="1460">
        <f>IF(ISERROR(AZ66/AX66-1),,(AZ66/AX66-1))</f>
        <v>8.769033692994177E-2</v>
      </c>
      <c r="BA68" s="1460">
        <f>IF(ISERROR(BA66/AZ66-1),,(BA66/AZ66-1))</f>
        <v>7.4926050647976083E-2</v>
      </c>
      <c r="BB68" s="1460">
        <f>IF(ISERROR(BB66/BA66-1),,(BB66/BA66-1))</f>
        <v>8.9205514516645268E-2</v>
      </c>
      <c r="BC68" s="1460">
        <f>IF(ISERROR(BC66/BB66-1),,(BC66/BB66-1))</f>
        <v>0.12290327293980119</v>
      </c>
      <c r="BD68" s="1461"/>
      <c r="BE68" s="1460">
        <f>IF(ISERROR(BE66/BC66-1),,(BE66/BC66-1))</f>
        <v>8.0084110797564723E-2</v>
      </c>
      <c r="BF68" s="1460">
        <f>IF(ISERROR(BF66/BE66-1),,(BF66/BE66-1))</f>
        <v>6.7356148882849354E-2</v>
      </c>
      <c r="BG68" s="1460">
        <f>IF(ISERROR(BG66/BF66-1),,(BG66/BF66-1))</f>
        <v>9.8861591772998469E-2</v>
      </c>
      <c r="BH68" s="1460">
        <f>IF(ISERROR(BH66/BG66-1),,(BH66/BG66-1))</f>
        <v>7.356657377724396E-2</v>
      </c>
      <c r="BI68" s="1461"/>
      <c r="BJ68" s="1460">
        <f>IF(ISERROR(BJ66/BH66-1),,(BJ66/BH66-1))</f>
        <v>6.8171418399062045E-2</v>
      </c>
      <c r="BK68" s="1460">
        <f>IF(ISERROR(BK66/BJ66-1),,(BK66/BJ66-1))</f>
        <v>5.9420415433906415E-2</v>
      </c>
      <c r="BL68" s="1460">
        <f>IF(ISERROR(BL66/BK66-1),,(BL66/BK66-1))</f>
        <v>0.10915055798810136</v>
      </c>
      <c r="BM68" s="1460">
        <f>IF(ISERROR(BM66/BL66-1),,(BM66/BL66-1))</f>
        <v>5.1657051863422732E-2</v>
      </c>
      <c r="BN68" s="1461"/>
      <c r="BO68" s="1460">
        <f>IF(ISERROR(BO66/BM66-1),,(BO66/BM66-1))</f>
        <v>3.9848691396056513E-2</v>
      </c>
      <c r="BP68" s="1460">
        <f>IF(ISERROR(BP66/BO66-1),,(BP66/BO66-1))</f>
        <v>5.1175898582280777E-2</v>
      </c>
      <c r="BQ68" s="1460">
        <f>IF(ISERROR(BQ66/BP66-1),,(BQ66/BP66-1))</f>
        <v>0.124374193097742</v>
      </c>
      <c r="BR68" s="1460">
        <f>IF(ISERROR(BR66/BQ66-1),,(BR66/BQ66-1))</f>
        <v>2.9281369908882082E-2</v>
      </c>
      <c r="BS68" s="1461"/>
      <c r="BT68" s="1460">
        <f>IF(ISERROR(BT66/BR66-1),,(BT66/BR66-1))</f>
        <v>6.9681003637700467E-3</v>
      </c>
      <c r="BU68" s="1460">
        <f>IF(ISERROR(BU66/BT66-1),,(BU66/BT66-1))</f>
        <v>3.8304356966987418E-2</v>
      </c>
      <c r="BV68" s="1460">
        <f>IF(ISERROR(BV66/BU66-1),,(BV66/BU66-1))</f>
        <v>0.14063580332849468</v>
      </c>
      <c r="BW68" s="1460">
        <f>IF(ISERROR(BW66/BV66-1),,(BW66/BV66-1))</f>
        <v>6.2221131492126158E-3</v>
      </c>
      <c r="BX68" s="1461"/>
      <c r="BY68" s="1349"/>
      <c r="BZ68" s="1461"/>
      <c r="CA68" s="1461"/>
      <c r="CB68" s="1461"/>
      <c r="CC68" s="1461"/>
      <c r="CD68" s="1461"/>
      <c r="CE68" s="1461"/>
      <c r="CF68" s="1461"/>
      <c r="CG68" s="1461"/>
      <c r="CH68" s="1461"/>
    </row>
    <row r="69" spans="1:89">
      <c r="A69" s="1470" t="s">
        <v>1445</v>
      </c>
      <c r="B69" s="1465"/>
      <c r="C69" s="1465"/>
      <c r="D69" s="1465"/>
      <c r="E69" s="1465"/>
      <c r="F69" s="1466"/>
      <c r="G69" s="1465"/>
      <c r="H69" s="1465"/>
      <c r="I69" s="1465"/>
      <c r="J69" s="1465"/>
      <c r="K69" s="1466"/>
      <c r="L69" s="1465"/>
      <c r="M69" s="1465"/>
      <c r="N69" s="1465"/>
      <c r="O69" s="1465"/>
      <c r="P69" s="1466"/>
      <c r="Q69" s="1465"/>
      <c r="R69" s="1465"/>
      <c r="S69" s="1465"/>
      <c r="T69" s="1465"/>
      <c r="U69" s="1466"/>
      <c r="V69" s="1465"/>
      <c r="W69" s="1465"/>
      <c r="X69" s="1465"/>
      <c r="Y69" s="1465"/>
      <c r="Z69" s="1466"/>
      <c r="AA69" s="1465"/>
      <c r="AB69" s="1465"/>
      <c r="AC69" s="1465"/>
      <c r="AD69" s="1465"/>
      <c r="AE69" s="1466"/>
      <c r="AF69" s="1467"/>
      <c r="AG69" s="1467"/>
      <c r="AH69" s="1467"/>
      <c r="AI69" s="1467"/>
      <c r="AJ69" s="1466"/>
      <c r="AK69" s="1471"/>
      <c r="AL69" s="1471"/>
      <c r="AM69" s="1471"/>
      <c r="AN69" s="1471"/>
      <c r="AO69" s="1472"/>
      <c r="AP69" s="2842"/>
      <c r="AQ69" s="2842"/>
      <c r="AR69" s="2842"/>
      <c r="AS69" s="2842"/>
      <c r="AT69" s="2843"/>
      <c r="AU69" s="2842"/>
      <c r="AV69" s="2842"/>
      <c r="AW69" s="2842"/>
      <c r="AX69" s="2842"/>
      <c r="AY69" s="2843"/>
      <c r="AZ69" s="2842">
        <f>AZ72+AZ75</f>
        <v>433.81670200000002</v>
      </c>
      <c r="BA69" s="2842">
        <f t="shared" ref="BA69:BC69" si="150">BA72+BA75</f>
        <v>476.0992</v>
      </c>
      <c r="BB69" s="2842">
        <f t="shared" si="150"/>
        <v>543.71600000000001</v>
      </c>
      <c r="BC69" s="2842">
        <f t="shared" si="150"/>
        <v>685.93204750000007</v>
      </c>
      <c r="BD69" s="2843">
        <f>SUM(AZ69:BC69)</f>
        <v>2139.5639495</v>
      </c>
      <c r="BE69" s="2842">
        <f t="shared" ref="BE69:BH69" si="151">BE72+BE75</f>
        <v>488.83503392</v>
      </c>
      <c r="BF69" s="2842">
        <f t="shared" si="151"/>
        <v>521.50825599999996</v>
      </c>
      <c r="BG69" s="2842">
        <f t="shared" ref="BG69" si="152">BG72+BG75</f>
        <v>634.19938999999999</v>
      </c>
      <c r="BH69" s="2842">
        <f t="shared" si="151"/>
        <v>755.42578726250008</v>
      </c>
      <c r="BI69" s="1474">
        <f>SUM(BE69:BH69)</f>
        <v>2399.9684671824998</v>
      </c>
      <c r="BJ69" s="1473">
        <f>BJ72+BJ75</f>
        <v>557.00483052799996</v>
      </c>
      <c r="BK69" s="1473">
        <f>BK72+BK75</f>
        <v>588.40839039999992</v>
      </c>
      <c r="BL69" s="1473">
        <f>BL72+BL75</f>
        <v>689.46332299999995</v>
      </c>
      <c r="BM69" s="1473">
        <f>BM72+BM75</f>
        <v>794.06862053625002</v>
      </c>
      <c r="BN69" s="1474">
        <f>SUM(BJ69:BM69)</f>
        <v>2628.94516446425</v>
      </c>
      <c r="BO69" s="1473">
        <f>BO72+BO75</f>
        <v>656.48357947520003</v>
      </c>
      <c r="BP69" s="1473">
        <f>BP72+BP75</f>
        <v>683.00113935999991</v>
      </c>
      <c r="BQ69" s="1473">
        <f>BQ72+BQ75</f>
        <v>769.02018553999994</v>
      </c>
      <c r="BR69" s="1473">
        <f>BR72+BR75</f>
        <v>853.16304756262502</v>
      </c>
      <c r="BS69" s="1474">
        <f>SUM(BO69:BR69)</f>
        <v>2961.6679519378249</v>
      </c>
      <c r="BT69" s="1473">
        <f>BT72+BT75</f>
        <v>769.02378792768002</v>
      </c>
      <c r="BU69" s="1473">
        <f>BU72+BU75</f>
        <v>780.54878554399988</v>
      </c>
      <c r="BV69" s="1473">
        <f>BV72+BV75</f>
        <v>842.16351038779999</v>
      </c>
      <c r="BW69" s="1473">
        <f>BW72+BW75</f>
        <v>897.50090872676242</v>
      </c>
      <c r="BX69" s="1474">
        <f>SUM(BT69:BW69)</f>
        <v>3289.2369925862422</v>
      </c>
      <c r="BY69" s="1343"/>
      <c r="BZ69" s="1474"/>
      <c r="CA69" s="1474"/>
      <c r="CB69" s="1474">
        <f>SUM(AM69:AN69,AP69:AQ69)</f>
        <v>0</v>
      </c>
      <c r="CC69" s="1474">
        <f>SUM(AR69:AS69,AU69:AV69)</f>
        <v>0</v>
      </c>
      <c r="CD69" s="1474">
        <f>SUM(AW69:AX69,AZ69:BA69)</f>
        <v>909.91590199999996</v>
      </c>
      <c r="CE69" s="1474">
        <f>SUM(BB69:BC69,BE69:BF69)</f>
        <v>2239.99133742</v>
      </c>
      <c r="CF69" s="1474">
        <f>SUM(BG69:BH69,BJ69:BK69)</f>
        <v>2535.0383981904997</v>
      </c>
      <c r="CG69" s="1474">
        <f>SUM(BL69:BM69,BO69:BP69)</f>
        <v>2823.0166623714495</v>
      </c>
      <c r="CH69" s="1474">
        <f>SUM(BQ69:BR69,BT69:BU69)</f>
        <v>3171.7558065743051</v>
      </c>
    </row>
    <row r="70" spans="1:89">
      <c r="A70" s="1452" t="s">
        <v>926</v>
      </c>
      <c r="B70" s="1439"/>
      <c r="C70" s="1439"/>
      <c r="D70" s="1439"/>
      <c r="E70" s="1439"/>
      <c r="F70" s="1440"/>
      <c r="G70" s="1439"/>
      <c r="H70" s="1439"/>
      <c r="I70" s="1439"/>
      <c r="J70" s="1439"/>
      <c r="K70" s="1440"/>
      <c r="L70" s="1439"/>
      <c r="M70" s="1439"/>
      <c r="N70" s="1439"/>
      <c r="O70" s="1439"/>
      <c r="P70" s="1440"/>
      <c r="Q70" s="1439"/>
      <c r="R70" s="1439"/>
      <c r="S70" s="1439"/>
      <c r="T70" s="1439"/>
      <c r="U70" s="1440"/>
      <c r="V70" s="1439"/>
      <c r="W70" s="1439"/>
      <c r="X70" s="1439"/>
      <c r="Y70" s="1439"/>
      <c r="Z70" s="1440"/>
      <c r="AA70" s="1439"/>
      <c r="AB70" s="1439"/>
      <c r="AC70" s="1439"/>
      <c r="AD70" s="1439"/>
      <c r="AE70" s="1440"/>
      <c r="AF70" s="1441"/>
      <c r="AG70" s="1441"/>
      <c r="AH70" s="1441"/>
      <c r="AI70" s="1441"/>
      <c r="AJ70" s="1440"/>
      <c r="AK70" s="1442"/>
      <c r="AL70" s="1442"/>
      <c r="AM70" s="1442"/>
      <c r="AN70" s="1442"/>
      <c r="AO70" s="1443"/>
      <c r="AP70" s="1442"/>
      <c r="AQ70" s="1442"/>
      <c r="AR70" s="1442"/>
      <c r="AS70" s="1442"/>
      <c r="AT70" s="1443"/>
      <c r="AU70" s="1442"/>
      <c r="AV70" s="1442"/>
      <c r="AW70" s="1442"/>
      <c r="AX70" s="1442"/>
      <c r="AY70" s="1443"/>
      <c r="AZ70" s="2907">
        <v>0.1</v>
      </c>
      <c r="BA70" s="2907">
        <v>0.01</v>
      </c>
      <c r="BB70" s="2907">
        <v>0.1</v>
      </c>
      <c r="BC70" s="2907">
        <v>0.02</v>
      </c>
      <c r="BD70" s="2908">
        <v>0.05</v>
      </c>
      <c r="BE70" s="1442">
        <f t="shared" ref="BE70:BS70" si="153">IF(ISERROR(BE69/AZ69-1),,(BE69/AZ69-1))</f>
        <v>0.12682391357075962</v>
      </c>
      <c r="BF70" s="1442">
        <f t="shared" si="153"/>
        <v>9.5377299520772008E-2</v>
      </c>
      <c r="BG70" s="1442">
        <f t="shared" si="153"/>
        <v>0.16641664030486503</v>
      </c>
      <c r="BH70" s="1442">
        <f t="shared" si="153"/>
        <v>0.10131286330152123</v>
      </c>
      <c r="BI70" s="1443">
        <f t="shared" si="153"/>
        <v>0.12170915374759161</v>
      </c>
      <c r="BJ70" s="1442">
        <f t="shared" si="153"/>
        <v>0.13945358224704552</v>
      </c>
      <c r="BK70" s="1442">
        <f t="shared" si="153"/>
        <v>0.12828202359273866</v>
      </c>
      <c r="BL70" s="1442">
        <f t="shared" si="153"/>
        <v>8.7139681733216401E-2</v>
      </c>
      <c r="BM70" s="1442">
        <f t="shared" si="153"/>
        <v>5.115371215190212E-2</v>
      </c>
      <c r="BN70" s="1443">
        <f t="shared" si="153"/>
        <v>9.5408210738103127E-2</v>
      </c>
      <c r="BO70" s="1442">
        <f t="shared" si="153"/>
        <v>0.17859584602327683</v>
      </c>
      <c r="BP70" s="1442">
        <f t="shared" si="153"/>
        <v>0.16076036729472176</v>
      </c>
      <c r="BQ70" s="1442">
        <f t="shared" si="153"/>
        <v>0.11538954993839456</v>
      </c>
      <c r="BR70" s="1442">
        <f t="shared" si="153"/>
        <v>7.4419798866333986E-2</v>
      </c>
      <c r="BS70" s="1443">
        <f t="shared" si="153"/>
        <v>0.1265613265620853</v>
      </c>
      <c r="BT70" s="1442">
        <f t="shared" ref="BT70" si="154">IF(ISERROR(BT69/BO69-1),,(BT69/BO69-1))</f>
        <v>0.17142882468202147</v>
      </c>
      <c r="BU70" s="1442">
        <f t="shared" ref="BU70" si="155">IF(ISERROR(BU69/BP69-1),,(BU69/BP69-1))</f>
        <v>0.14282208412625219</v>
      </c>
      <c r="BV70" s="1442">
        <f t="shared" ref="BV70" si="156">IF(ISERROR(BV69/BQ69-1),,(BV69/BQ69-1))</f>
        <v>9.5112360147528996E-2</v>
      </c>
      <c r="BW70" s="1442">
        <f t="shared" ref="BW70" si="157">IF(ISERROR(BW69/BR69-1),,(BW69/BR69-1))</f>
        <v>5.196880161512496E-2</v>
      </c>
      <c r="BX70" s="1443">
        <f t="shared" ref="BX70" si="158">IF(ISERROR(BX69/BS69-1),,(BX69/BS69-1))</f>
        <v>0.11060289200688023</v>
      </c>
      <c r="BY70" s="1343"/>
      <c r="BZ70" s="1443"/>
      <c r="CA70" s="1443"/>
      <c r="CB70" s="1443"/>
      <c r="CC70" s="1443" t="e">
        <f t="shared" ref="CC70:CH70" si="159">CC69/CB69-1</f>
        <v>#DIV/0!</v>
      </c>
      <c r="CD70" s="1443" t="e">
        <f t="shared" si="159"/>
        <v>#DIV/0!</v>
      </c>
      <c r="CE70" s="1443">
        <f t="shared" si="159"/>
        <v>1.4617564463886028</v>
      </c>
      <c r="CF70" s="1443">
        <f t="shared" si="159"/>
        <v>0.13171794722667629</v>
      </c>
      <c r="CG70" s="1443">
        <f t="shared" si="159"/>
        <v>0.1135991724569172</v>
      </c>
      <c r="CH70" s="1443">
        <f t="shared" si="159"/>
        <v>0.12353421389652741</v>
      </c>
    </row>
    <row r="71" spans="1:89">
      <c r="A71" s="1452" t="s">
        <v>952</v>
      </c>
      <c r="B71" s="1439"/>
      <c r="C71" s="1439"/>
      <c r="D71" s="1439"/>
      <c r="E71" s="1439"/>
      <c r="F71" s="1440"/>
      <c r="G71" s="1439"/>
      <c r="H71" s="1439"/>
      <c r="I71" s="1439"/>
      <c r="J71" s="1439"/>
      <c r="K71" s="1440"/>
      <c r="L71" s="1439"/>
      <c r="M71" s="1439"/>
      <c r="N71" s="1439"/>
      <c r="O71" s="1439"/>
      <c r="P71" s="1440"/>
      <c r="Q71" s="1439"/>
      <c r="R71" s="1439"/>
      <c r="S71" s="1439"/>
      <c r="T71" s="1439"/>
      <c r="U71" s="1440"/>
      <c r="V71" s="1439"/>
      <c r="W71" s="1439"/>
      <c r="X71" s="1439"/>
      <c r="Y71" s="1439"/>
      <c r="Z71" s="1440"/>
      <c r="AA71" s="1439"/>
      <c r="AB71" s="1439"/>
      <c r="AC71" s="1439"/>
      <c r="AD71" s="1439"/>
      <c r="AE71" s="1440"/>
      <c r="AF71" s="1441"/>
      <c r="AG71" s="1441"/>
      <c r="AH71" s="1441"/>
      <c r="AI71" s="1441"/>
      <c r="AJ71" s="1440"/>
      <c r="AK71" s="1442"/>
      <c r="AL71" s="1442"/>
      <c r="AM71" s="1442"/>
      <c r="AN71" s="1442"/>
      <c r="AO71" s="1444"/>
      <c r="AP71" s="1442"/>
      <c r="AQ71" s="1442"/>
      <c r="AR71" s="1442"/>
      <c r="AS71" s="1442"/>
      <c r="AT71" s="1444"/>
      <c r="AU71" s="1442"/>
      <c r="AV71" s="1442"/>
      <c r="AW71" s="1442"/>
      <c r="AX71" s="1442"/>
      <c r="AY71" s="1444"/>
      <c r="AZ71" s="1442"/>
      <c r="BA71" s="1442">
        <f>IF(ISERROR(BA69/AZ69-1),,(BA69/AZ69-1))</f>
        <v>9.7466275053651463E-2</v>
      </c>
      <c r="BB71" s="1442">
        <f>IF(ISERROR(BB69/BA69-1),,(BB69/BA69-1))</f>
        <v>0.14202250287335083</v>
      </c>
      <c r="BC71" s="1442">
        <f>IF(ISERROR(BC69/BB69-1),,(BC69/BB69-1))</f>
        <v>0.2615631092334969</v>
      </c>
      <c r="BD71" s="1443"/>
      <c r="BE71" s="1442">
        <f>IF(ISERROR(BE69/BC69-1),,(BE69/BC69-1))</f>
        <v>-0.28734189384845743</v>
      </c>
      <c r="BF71" s="1442">
        <f>IF(ISERROR(BF69/BE69-1),,(BF69/BE69-1))</f>
        <v>6.6838953456324957E-2</v>
      </c>
      <c r="BG71" s="1442">
        <f>IF(ISERROR(BG69/BF69-1),,(BG69/BF69-1))</f>
        <v>0.21608696066357203</v>
      </c>
      <c r="BH71" s="1442">
        <f>IF(ISERROR(BH69/BG69-1),,(BH69/BG69-1))</f>
        <v>0.19114871312395953</v>
      </c>
      <c r="BI71" s="1443"/>
      <c r="BJ71" s="1442">
        <f>IF(ISERROR(BJ69/BH69-1),,(BJ69/BH69-1))</f>
        <v>-0.26266108475530714</v>
      </c>
      <c r="BK71" s="1442">
        <f>IF(ISERROR(BK69/BJ69-1),,(BK69/BJ69-1))</f>
        <v>5.6379331292749635E-2</v>
      </c>
      <c r="BL71" s="1442">
        <f>IF(ISERROR(BL69/BK69-1),,(BL69/BK69-1))</f>
        <v>0.17174284773761106</v>
      </c>
      <c r="BM71" s="1442">
        <f>IF(ISERROR(BM69/BL69-1),,(BM69/BL69-1))</f>
        <v>0.1517198871160983</v>
      </c>
      <c r="BN71" s="1443"/>
      <c r="BO71" s="1442">
        <f>IF(ISERROR(BO69/BM69-1),,(BO69/BM69-1))</f>
        <v>-0.17326593382840905</v>
      </c>
      <c r="BP71" s="1442">
        <f>IF(ISERROR(BP69/BO69-1),,(BP69/BO69-1))</f>
        <v>4.0393333076203186E-2</v>
      </c>
      <c r="BQ71" s="1442">
        <f>IF(ISERROR(BQ69/BP69-1),,(BQ69/BP69-1))</f>
        <v>0.12594275649467201</v>
      </c>
      <c r="BR71" s="1442">
        <f>IF(ISERROR(BR69/BQ69-1),,(BR69/BQ69-1))</f>
        <v>0.10941567413284559</v>
      </c>
      <c r="BS71" s="1443"/>
      <c r="BT71" s="1442">
        <f>IF(ISERROR(BT69/BR69-1),,(BT69/BR69-1))</f>
        <v>-9.8620374939256683E-2</v>
      </c>
      <c r="BU71" s="1442">
        <f>IF(ISERROR(BU69/BT69-1),,(BU69/BT69-1))</f>
        <v>1.4986529412018168E-2</v>
      </c>
      <c r="BV71" s="1442">
        <f>IF(ISERROR(BV69/BU69-1),,(BV69/BU69-1))</f>
        <v>7.8937698687030933E-2</v>
      </c>
      <c r="BW71" s="1442">
        <f>IF(ISERROR(BW69/BV69-1),,(BW69/BV69-1))</f>
        <v>6.5708615555523986E-2</v>
      </c>
      <c r="BX71" s="1443"/>
      <c r="BY71" s="1343"/>
      <c r="BZ71" s="1443"/>
      <c r="CA71" s="1443"/>
      <c r="CB71" s="1443"/>
      <c r="CC71" s="1443"/>
      <c r="CD71" s="1443"/>
      <c r="CE71" s="1443"/>
      <c r="CF71" s="1443"/>
      <c r="CG71" s="1443"/>
      <c r="CH71" s="1443"/>
    </row>
    <row r="72" spans="1:89">
      <c r="A72" s="1431" t="s">
        <v>1446</v>
      </c>
      <c r="B72" s="1432"/>
      <c r="C72" s="1432"/>
      <c r="D72" s="1432"/>
      <c r="E72" s="1432"/>
      <c r="F72" s="1429"/>
      <c r="G72" s="1432"/>
      <c r="H72" s="1432"/>
      <c r="I72" s="1432"/>
      <c r="J72" s="1432"/>
      <c r="K72" s="1429"/>
      <c r="L72" s="1432"/>
      <c r="M72" s="1432"/>
      <c r="N72" s="1432"/>
      <c r="O72" s="1432"/>
      <c r="P72" s="1429"/>
      <c r="Q72" s="1432"/>
      <c r="R72" s="1432"/>
      <c r="S72" s="1432"/>
      <c r="T72" s="1432"/>
      <c r="U72" s="1429"/>
      <c r="V72" s="1432"/>
      <c r="W72" s="1432"/>
      <c r="X72" s="1432"/>
      <c r="Y72" s="1432"/>
      <c r="Z72" s="1429"/>
      <c r="AA72" s="1432"/>
      <c r="AB72" s="1432"/>
      <c r="AC72" s="1432"/>
      <c r="AD72" s="1432"/>
      <c r="AE72" s="1429"/>
      <c r="AF72" s="1428"/>
      <c r="AG72" s="1428"/>
      <c r="AH72" s="1428"/>
      <c r="AI72" s="1428"/>
      <c r="AJ72" s="1429"/>
      <c r="AK72" s="1428"/>
      <c r="AL72" s="1428"/>
      <c r="AM72" s="1428"/>
      <c r="AN72" s="1428"/>
      <c r="AO72" s="1429"/>
      <c r="AP72" s="2844"/>
      <c r="AQ72" s="2844"/>
      <c r="AR72" s="2844"/>
      <c r="AS72" s="2844"/>
      <c r="AT72" s="2841"/>
      <c r="AU72" s="2844"/>
      <c r="AV72" s="2844"/>
      <c r="AW72" s="2844"/>
      <c r="AX72" s="2844"/>
      <c r="AY72" s="2841"/>
      <c r="AZ72" s="2844">
        <f>'Rev Detail - OLD'!AZ72-57</f>
        <v>335.01670200000001</v>
      </c>
      <c r="BA72" s="2844">
        <f>'Rev Detail - OLD'!BA72-52</f>
        <v>369.69920000000002</v>
      </c>
      <c r="BB72" s="2844">
        <f>'Rev Detail - OLD'!BB72-65</f>
        <v>431.49599999999998</v>
      </c>
      <c r="BC72" s="2844">
        <f>'Rev Detail - OLD'!BC72+26</f>
        <v>571.09204750000004</v>
      </c>
      <c r="BD72" s="2841">
        <f>SUM(AZ72:BC72)</f>
        <v>1707.3039495</v>
      </c>
      <c r="BE72" s="2844">
        <f t="shared" ref="BE72:BH72" si="160">AZ72*(1+BE73)</f>
        <v>321.61603392000001</v>
      </c>
      <c r="BF72" s="2844">
        <f t="shared" si="160"/>
        <v>343.82025599999997</v>
      </c>
      <c r="BG72" s="2844">
        <f t="shared" si="160"/>
        <v>448.75583999999998</v>
      </c>
      <c r="BH72" s="2844">
        <f t="shared" si="160"/>
        <v>568.23658726250005</v>
      </c>
      <c r="BI72" s="1429">
        <f>SUM(BE72:BH72)</f>
        <v>1682.4287171825001</v>
      </c>
      <c r="BJ72" s="1428">
        <f>BE72*(1+BJ73)</f>
        <v>289.45443052799999</v>
      </c>
      <c r="BK72" s="1428">
        <f>BF72*(1+BK73)</f>
        <v>309.43823040000001</v>
      </c>
      <c r="BL72" s="1428">
        <f>BG72*(1+BL73)</f>
        <v>403.88025599999997</v>
      </c>
      <c r="BM72" s="1428">
        <f>BH72*(1+BM73)</f>
        <v>511.41292853625004</v>
      </c>
      <c r="BN72" s="1429">
        <f>SUM(BJ72:BM72)</f>
        <v>1514.18584546425</v>
      </c>
      <c r="BO72" s="1428">
        <f>BJ72*(1+BO73)</f>
        <v>260.5089874752</v>
      </c>
      <c r="BP72" s="1428">
        <f>BK72*(1+BP73)</f>
        <v>278.49440736000003</v>
      </c>
      <c r="BQ72" s="1428">
        <f>BL72*(1+BQ73)</f>
        <v>363.49223039999998</v>
      </c>
      <c r="BR72" s="1428">
        <f>BM72*(1+BR73)</f>
        <v>460.27163568262506</v>
      </c>
      <c r="BS72" s="1429">
        <f>SUM(BO72:BR72)</f>
        <v>1362.7672609178248</v>
      </c>
      <c r="BT72" s="1428">
        <f>BO72*(1+BT73)</f>
        <v>234.45808872768001</v>
      </c>
      <c r="BU72" s="1428">
        <f>BP72*(1+BU73)</f>
        <v>250.64496662400003</v>
      </c>
      <c r="BV72" s="1428">
        <f>BQ72*(1+BV73)</f>
        <v>327.14300736000001</v>
      </c>
      <c r="BW72" s="1428">
        <f>BR72*(1+BW73)</f>
        <v>414.24447211436257</v>
      </c>
      <c r="BX72" s="1429">
        <f>SUM(BT72:BW72)</f>
        <v>1226.4905348260427</v>
      </c>
      <c r="BY72" s="1432"/>
      <c r="BZ72" s="1429"/>
      <c r="CA72" s="1429"/>
      <c r="CB72" s="1429">
        <f>SUM(AM72:AN72,AP72:AQ72)</f>
        <v>0</v>
      </c>
      <c r="CC72" s="1429">
        <f>SUM(AR72:AS72,AU72:AV72)</f>
        <v>0</v>
      </c>
      <c r="CD72" s="1429">
        <f>SUM(AW72:AX72,AZ72:BA72)</f>
        <v>704.71590200000003</v>
      </c>
      <c r="CE72" s="1429">
        <f>SUM(BB72:BC72,BE72:BF72)</f>
        <v>1668.0243374199999</v>
      </c>
      <c r="CF72" s="1429">
        <f>SUM(BG72:BH72,BJ72:BK72)</f>
        <v>1615.8850881905</v>
      </c>
      <c r="CG72" s="1429">
        <f>SUM(BL72:BM72,BO72:BP72)</f>
        <v>1454.29657937145</v>
      </c>
      <c r="CH72" s="1429">
        <f>SUM(BQ72:BR72,BT72:BU72)</f>
        <v>1308.8669214343051</v>
      </c>
    </row>
    <row r="73" spans="1:89">
      <c r="A73" s="1452" t="s">
        <v>926</v>
      </c>
      <c r="B73" s="1453"/>
      <c r="C73" s="1453"/>
      <c r="D73" s="1453"/>
      <c r="E73" s="1453"/>
      <c r="F73" s="1454"/>
      <c r="G73" s="1453"/>
      <c r="H73" s="1453"/>
      <c r="I73" s="1453"/>
      <c r="J73" s="1453"/>
      <c r="K73" s="1454"/>
      <c r="L73" s="1453"/>
      <c r="M73" s="1453"/>
      <c r="N73" s="1453"/>
      <c r="O73" s="1453"/>
      <c r="P73" s="1454"/>
      <c r="Q73" s="1453"/>
      <c r="R73" s="1453"/>
      <c r="S73" s="1453"/>
      <c r="T73" s="1453"/>
      <c r="U73" s="1454"/>
      <c r="V73" s="1453"/>
      <c r="W73" s="1453"/>
      <c r="X73" s="1453"/>
      <c r="Y73" s="1453"/>
      <c r="Z73" s="1454"/>
      <c r="AA73" s="1453"/>
      <c r="AB73" s="1453"/>
      <c r="AC73" s="1453"/>
      <c r="AD73" s="1453"/>
      <c r="AE73" s="1454"/>
      <c r="AF73" s="1446"/>
      <c r="AG73" s="1453"/>
      <c r="AH73" s="1453"/>
      <c r="AI73" s="1453"/>
      <c r="AJ73" s="1443"/>
      <c r="AK73" s="1442"/>
      <c r="AL73" s="1442"/>
      <c r="AM73" s="1442"/>
      <c r="AN73" s="1442"/>
      <c r="AO73" s="1443"/>
      <c r="AP73" s="1442"/>
      <c r="AQ73" s="1442"/>
      <c r="AR73" s="1442"/>
      <c r="AS73" s="1442"/>
      <c r="AT73" s="1443"/>
      <c r="AU73" s="1442"/>
      <c r="AV73" s="1442"/>
      <c r="AW73" s="1442"/>
      <c r="AX73" s="1442"/>
      <c r="AY73" s="1443"/>
      <c r="AZ73" s="1455"/>
      <c r="BA73" s="1455"/>
      <c r="BB73" s="1455"/>
      <c r="BC73" s="1455"/>
      <c r="BD73" s="1443"/>
      <c r="BE73" s="1455">
        <v>-0.04</v>
      </c>
      <c r="BF73" s="1455">
        <v>-7.0000000000000007E-2</v>
      </c>
      <c r="BG73" s="1455">
        <v>0.04</v>
      </c>
      <c r="BH73" s="1455">
        <v>-5.0000000000000001E-3</v>
      </c>
      <c r="BI73" s="1443">
        <f>IF(ISERROR(BI72/BD72-1),,(BI72/BD72-1))</f>
        <v>-1.4569890923514128E-2</v>
      </c>
      <c r="BJ73" s="1455">
        <v>-0.1</v>
      </c>
      <c r="BK73" s="1455">
        <v>-0.1</v>
      </c>
      <c r="BL73" s="1455">
        <v>-0.1</v>
      </c>
      <c r="BM73" s="1455">
        <v>-0.1</v>
      </c>
      <c r="BN73" s="1443">
        <f>IF(ISERROR(BN72/BI72-1),,(BN72/BI72-1))</f>
        <v>-0.10000000000000009</v>
      </c>
      <c r="BO73" s="1455">
        <v>-0.1</v>
      </c>
      <c r="BP73" s="1455">
        <v>-0.1</v>
      </c>
      <c r="BQ73" s="1455">
        <v>-0.1</v>
      </c>
      <c r="BR73" s="1455">
        <v>-0.1</v>
      </c>
      <c r="BS73" s="1443">
        <f>IF(ISERROR(BS72/BN72-1),,(BS72/BN72-1))</f>
        <v>-0.10000000000000009</v>
      </c>
      <c r="BT73" s="1455">
        <v>-0.1</v>
      </c>
      <c r="BU73" s="1455">
        <v>-0.1</v>
      </c>
      <c r="BV73" s="1455">
        <v>-0.1</v>
      </c>
      <c r="BW73" s="1455">
        <v>-0.1</v>
      </c>
      <c r="BX73" s="1443">
        <f>IF(ISERROR(BX72/BS72-1),,(BX72/BS72-1))</f>
        <v>-9.9999999999999756E-2</v>
      </c>
      <c r="BY73" s="1438"/>
      <c r="BZ73" s="1443"/>
      <c r="CA73" s="1443"/>
      <c r="CB73" s="1443"/>
      <c r="CC73" s="1443" t="e">
        <f t="shared" ref="CC73:CH73" si="161">CC72/CB72-1</f>
        <v>#DIV/0!</v>
      </c>
      <c r="CD73" s="1443" t="e">
        <f t="shared" si="161"/>
        <v>#DIV/0!</v>
      </c>
      <c r="CE73" s="1443">
        <f t="shared" si="161"/>
        <v>1.3669457900497326</v>
      </c>
      <c r="CF73" s="1443">
        <f t="shared" si="161"/>
        <v>-3.125808662369145E-2</v>
      </c>
      <c r="CG73" s="1443">
        <f t="shared" si="161"/>
        <v>-9.9999999999999978E-2</v>
      </c>
      <c r="CH73" s="1443">
        <f t="shared" si="161"/>
        <v>-9.9999999999999867E-2</v>
      </c>
    </row>
    <row r="74" spans="1:89">
      <c r="A74" s="1452" t="s">
        <v>952</v>
      </c>
      <c r="B74" s="1453"/>
      <c r="C74" s="1453"/>
      <c r="D74" s="1453"/>
      <c r="E74" s="1453"/>
      <c r="F74" s="1454"/>
      <c r="G74" s="1453"/>
      <c r="H74" s="1453"/>
      <c r="I74" s="1453"/>
      <c r="J74" s="1453"/>
      <c r="K74" s="1454"/>
      <c r="L74" s="1453"/>
      <c r="M74" s="1453"/>
      <c r="N74" s="1453"/>
      <c r="O74" s="1453"/>
      <c r="P74" s="1454"/>
      <c r="Q74" s="1453"/>
      <c r="R74" s="1453"/>
      <c r="S74" s="1453"/>
      <c r="T74" s="1453"/>
      <c r="U74" s="1454"/>
      <c r="V74" s="1453"/>
      <c r="W74" s="1453"/>
      <c r="X74" s="1453"/>
      <c r="Y74" s="1453"/>
      <c r="Z74" s="1454"/>
      <c r="AA74" s="1453"/>
      <c r="AB74" s="1453"/>
      <c r="AC74" s="1453"/>
      <c r="AD74" s="1453"/>
      <c r="AE74" s="1454"/>
      <c r="AF74" s="1446"/>
      <c r="AG74" s="1442"/>
      <c r="AH74" s="1442"/>
      <c r="AI74" s="1442"/>
      <c r="AJ74" s="1443"/>
      <c r="AK74" s="1442"/>
      <c r="AL74" s="1442"/>
      <c r="AM74" s="1442"/>
      <c r="AN74" s="1442"/>
      <c r="AO74" s="1443"/>
      <c r="AP74" s="1442"/>
      <c r="AQ74" s="1442"/>
      <c r="AR74" s="1442"/>
      <c r="AS74" s="1442"/>
      <c r="AT74" s="1443"/>
      <c r="AU74" s="1442"/>
      <c r="AV74" s="1442"/>
      <c r="AW74" s="1442"/>
      <c r="AX74" s="1442"/>
      <c r="AY74" s="1443"/>
      <c r="AZ74" s="1442"/>
      <c r="BA74" s="1442"/>
      <c r="BB74" s="1442"/>
      <c r="BC74" s="1442"/>
      <c r="BD74" s="1443"/>
      <c r="BE74" s="1442">
        <f>IF(ISERROR(BE72/BC72-1),,(BE72/BC72-1))</f>
        <v>-0.43684028638132977</v>
      </c>
      <c r="BF74" s="1442">
        <f>IF(ISERROR(BF72/BE72-1),,(BF72/BE72-1))</f>
        <v>6.9039537019858654E-2</v>
      </c>
      <c r="BG74" s="1442">
        <f>IF(ISERROR(BG72/BF72-1),,(BG72/BF72-1))</f>
        <v>0.30520477536960477</v>
      </c>
      <c r="BH74" s="1442">
        <f>IF(ISERROR(BH72/BG72-1),,(BH72/BG72-1))</f>
        <v>0.26624889664388562</v>
      </c>
      <c r="BI74" s="1443"/>
      <c r="BJ74" s="1442">
        <f>IF(ISERROR(BJ72/BH72-1),,(BJ72/BH72-1))</f>
        <v>-0.49060930426451943</v>
      </c>
      <c r="BK74" s="1442">
        <f>IF(ISERROR(BK72/BJ72-1),,(BK72/BJ72-1))</f>
        <v>6.9039537019858876E-2</v>
      </c>
      <c r="BL74" s="1442">
        <f>IF(ISERROR(BL72/BK72-1),,(BL72/BK72-1))</f>
        <v>0.30520477536960455</v>
      </c>
      <c r="BM74" s="1442">
        <f>IF(ISERROR(BM72/BL72-1),,(BM72/BL72-1))</f>
        <v>0.26624889664388562</v>
      </c>
      <c r="BN74" s="1443"/>
      <c r="BO74" s="1442">
        <f>IF(ISERROR(BO72/BM72-1),,(BO72/BM72-1))</f>
        <v>-0.49060930426451943</v>
      </c>
      <c r="BP74" s="1442">
        <f>IF(ISERROR(BP72/BO72-1),,(BP72/BO72-1))</f>
        <v>6.9039537019858876E-2</v>
      </c>
      <c r="BQ74" s="1442">
        <f>IF(ISERROR(BQ72/BP72-1),,(BQ72/BP72-1))</f>
        <v>0.30520477536960455</v>
      </c>
      <c r="BR74" s="1442">
        <f>IF(ISERROR(BR72/BQ72-1),,(BR72/BQ72-1))</f>
        <v>0.26624889664388562</v>
      </c>
      <c r="BS74" s="1443"/>
      <c r="BT74" s="1442">
        <f>IF(ISERROR(BT72/BR72-1),,(BT72/BR72-1))</f>
        <v>-0.49060930426451943</v>
      </c>
      <c r="BU74" s="1442">
        <f>IF(ISERROR(BU72/BT72-1),,(BU72/BT72-1))</f>
        <v>6.9039537019858876E-2</v>
      </c>
      <c r="BV74" s="1442">
        <f>IF(ISERROR(BV72/BU72-1),,(BV72/BU72-1))</f>
        <v>0.30520477536960455</v>
      </c>
      <c r="BW74" s="1442">
        <f>IF(ISERROR(BW72/BV72-1),,(BW72/BV72-1))</f>
        <v>0.26624889664388562</v>
      </c>
      <c r="BX74" s="1443"/>
      <c r="BY74" s="1438"/>
      <c r="BZ74" s="1443"/>
      <c r="CA74" s="1443"/>
      <c r="CB74" s="1443"/>
      <c r="CC74" s="1443"/>
      <c r="CD74" s="1443"/>
      <c r="CE74" s="1443"/>
      <c r="CF74" s="1443"/>
      <c r="CG74" s="1443"/>
      <c r="CH74" s="1443"/>
    </row>
    <row r="75" spans="1:89">
      <c r="A75" s="1434" t="s">
        <v>1447</v>
      </c>
      <c r="B75" s="1432"/>
      <c r="C75" s="1432"/>
      <c r="D75" s="1432"/>
      <c r="E75" s="1432"/>
      <c r="F75" s="1429"/>
      <c r="G75" s="1432"/>
      <c r="H75" s="1432"/>
      <c r="I75" s="1432"/>
      <c r="J75" s="1432"/>
      <c r="K75" s="1429"/>
      <c r="L75" s="1432"/>
      <c r="M75" s="1432"/>
      <c r="N75" s="1432"/>
      <c r="O75" s="1432"/>
      <c r="P75" s="1429"/>
      <c r="Q75" s="1432"/>
      <c r="R75" s="1432"/>
      <c r="S75" s="1432"/>
      <c r="T75" s="1432"/>
      <c r="U75" s="1429"/>
      <c r="V75" s="1432"/>
      <c r="W75" s="1432"/>
      <c r="X75" s="1432"/>
      <c r="Y75" s="1432"/>
      <c r="Z75" s="1429"/>
      <c r="AA75" s="1432"/>
      <c r="AB75" s="1432"/>
      <c r="AC75" s="1432"/>
      <c r="AD75" s="1432"/>
      <c r="AE75" s="1429"/>
      <c r="AF75" s="1432"/>
      <c r="AG75" s="1432"/>
      <c r="AH75" s="1432"/>
      <c r="AI75" s="1432"/>
      <c r="AJ75" s="1429"/>
      <c r="AK75" s="1432">
        <v>0</v>
      </c>
      <c r="AL75" s="1432">
        <v>0</v>
      </c>
      <c r="AM75" s="1432">
        <v>0</v>
      </c>
      <c r="AN75" s="1432">
        <v>0</v>
      </c>
      <c r="AO75" s="1429">
        <f>SUM(AK75:AN75)</f>
        <v>0</v>
      </c>
      <c r="AP75" s="2840">
        <v>26</v>
      </c>
      <c r="AQ75" s="2840">
        <v>28</v>
      </c>
      <c r="AR75" s="2840">
        <v>31</v>
      </c>
      <c r="AS75" s="2840">
        <v>33</v>
      </c>
      <c r="AT75" s="2841">
        <f>SUM(AP75:AS75)</f>
        <v>118</v>
      </c>
      <c r="AU75" s="2840">
        <f>AP75*(1+AU76)</f>
        <v>52</v>
      </c>
      <c r="AV75" s="2840">
        <f>AQ75*(1+AV76)</f>
        <v>56</v>
      </c>
      <c r="AW75" s="2840">
        <f>AR75*(1+AW76)</f>
        <v>62</v>
      </c>
      <c r="AX75" s="2840">
        <f>AS75*(1+AX76)</f>
        <v>66</v>
      </c>
      <c r="AY75" s="2841">
        <f>SUM(AU75:AX75)</f>
        <v>236</v>
      </c>
      <c r="AZ75" s="2840">
        <f>AU75*(1+AZ76)</f>
        <v>98.8</v>
      </c>
      <c r="BA75" s="2840">
        <f>AV75*(1+BA76)</f>
        <v>106.39999999999999</v>
      </c>
      <c r="BB75" s="2840">
        <f>AW75*(1+BB76)</f>
        <v>112.22</v>
      </c>
      <c r="BC75" s="2840">
        <f>AX75*(1+BC76)</f>
        <v>114.84</v>
      </c>
      <c r="BD75" s="2841">
        <f>SUM(AZ75:BC75)</f>
        <v>432.26</v>
      </c>
      <c r="BE75" s="2840">
        <f>AZ75*(1+BE76)</f>
        <v>167.21899999999999</v>
      </c>
      <c r="BF75" s="2840">
        <f>BA75*(1+BF76)</f>
        <v>177.68799999999999</v>
      </c>
      <c r="BG75" s="2840">
        <f>BB75*(1+BG76)</f>
        <v>185.44354999999999</v>
      </c>
      <c r="BH75" s="2840">
        <f>BC75*(1+BH76)</f>
        <v>187.1892</v>
      </c>
      <c r="BI75" s="1429">
        <f>SUM(BE75:BH75)</f>
        <v>717.53975000000003</v>
      </c>
      <c r="BJ75" s="1432">
        <f>BE75*(1+BJ76)</f>
        <v>267.55040000000002</v>
      </c>
      <c r="BK75" s="1432">
        <f>BF75*(1+BK76)</f>
        <v>278.97015999999996</v>
      </c>
      <c r="BL75" s="1432">
        <f>BG75*(1+BL76)</f>
        <v>285.58306699999997</v>
      </c>
      <c r="BM75" s="1432">
        <f>BH75*(1+BM76)</f>
        <v>282.65569199999999</v>
      </c>
      <c r="BN75" s="1429">
        <f>SUM(BJ75:BM75)</f>
        <v>1114.759319</v>
      </c>
      <c r="BO75" s="1432">
        <f>BJ75*(1+BO76)</f>
        <v>395.97459200000003</v>
      </c>
      <c r="BP75" s="1432">
        <f>BK75*(1+BP76)</f>
        <v>404.50673199999989</v>
      </c>
      <c r="BQ75" s="1432">
        <f>BL75*(1+BQ76)</f>
        <v>405.52795513999996</v>
      </c>
      <c r="BR75" s="1432">
        <f>BM75*(1+BR76)</f>
        <v>392.89141187999991</v>
      </c>
      <c r="BS75" s="1429">
        <f>SUM(BO75:BR75)</f>
        <v>1598.9006910199996</v>
      </c>
      <c r="BT75" s="1432">
        <f>BO75*(1+BT76)</f>
        <v>534.56569920000004</v>
      </c>
      <c r="BU75" s="1432">
        <f>BP75*(1+BU76)</f>
        <v>529.90381891999982</v>
      </c>
      <c r="BV75" s="1432">
        <f>BQ75*(1+BV76)</f>
        <v>515.02050302779992</v>
      </c>
      <c r="BW75" s="1432">
        <f>BR75*(1+BW76)</f>
        <v>483.2564366123998</v>
      </c>
      <c r="BX75" s="1429">
        <f>SUM(BT75:BW75)</f>
        <v>2062.7464577601995</v>
      </c>
      <c r="BY75" s="1235"/>
      <c r="BZ75" s="1429"/>
      <c r="CA75" s="1429"/>
      <c r="CB75" s="1429">
        <f>SUM(AM75:AN75,AP75:AQ75)</f>
        <v>54</v>
      </c>
      <c r="CC75" s="1429">
        <f>SUM(AR75:AS75,AU75:AV75)</f>
        <v>172</v>
      </c>
      <c r="CD75" s="1429">
        <f>SUM(AW75:AX75,AZ75:BA75)</f>
        <v>333.2</v>
      </c>
      <c r="CE75" s="1429">
        <f>SUM(BB75:BC75,BE75:BF75)</f>
        <v>571.96699999999998</v>
      </c>
      <c r="CF75" s="1429">
        <f>SUM(BG75:BH75,BJ75:BK75)</f>
        <v>919.15331000000003</v>
      </c>
      <c r="CG75" s="1429">
        <f>SUM(BL75:BM75,BO75:BP75)</f>
        <v>1368.7200829999999</v>
      </c>
      <c r="CH75" s="1429">
        <f>SUM(BQ75:BR75,BT75:BU75)</f>
        <v>1862.8888851399997</v>
      </c>
    </row>
    <row r="76" spans="1:89">
      <c r="A76" s="1456" t="s">
        <v>926</v>
      </c>
      <c r="B76" s="1453"/>
      <c r="C76" s="1453"/>
      <c r="D76" s="1453"/>
      <c r="E76" s="1453"/>
      <c r="F76" s="1454"/>
      <c r="G76" s="1453"/>
      <c r="H76" s="1453"/>
      <c r="I76" s="1453"/>
      <c r="J76" s="1453"/>
      <c r="K76" s="1454"/>
      <c r="L76" s="1453"/>
      <c r="M76" s="1453"/>
      <c r="N76" s="1453"/>
      <c r="O76" s="1453"/>
      <c r="P76" s="1454"/>
      <c r="Q76" s="1453"/>
      <c r="R76" s="1453"/>
      <c r="S76" s="1453"/>
      <c r="T76" s="1453"/>
      <c r="U76" s="1454"/>
      <c r="V76" s="1453"/>
      <c r="W76" s="1453"/>
      <c r="X76" s="1453"/>
      <c r="Y76" s="1453"/>
      <c r="Z76" s="1454"/>
      <c r="AA76" s="1453"/>
      <c r="AB76" s="1453"/>
      <c r="AC76" s="1453"/>
      <c r="AD76" s="1453"/>
      <c r="AE76" s="1454"/>
      <c r="AF76" s="1446"/>
      <c r="AG76" s="1453"/>
      <c r="AH76" s="1453"/>
      <c r="AI76" s="1453"/>
      <c r="AJ76" s="1443"/>
      <c r="AK76" s="1442"/>
      <c r="AL76" s="1442"/>
      <c r="AM76" s="1442"/>
      <c r="AN76" s="1442"/>
      <c r="AO76" s="1443"/>
      <c r="AP76" s="1442">
        <f>IF(ISERROR(AP75/AK75-1),,(AP75/AK75-1))</f>
        <v>0</v>
      </c>
      <c r="AQ76" s="1442">
        <f>IF(ISERROR(AQ75/AL75-1),,(AQ75/AL75-1))</f>
        <v>0</v>
      </c>
      <c r="AR76" s="1442">
        <f>IF(ISERROR(AR75/AM75-1),,(AR75/AM75-1))</f>
        <v>0</v>
      </c>
      <c r="AS76" s="1442">
        <f>IF(ISERROR(AS75/AN75-1),,(AS75/AN75-1))</f>
        <v>0</v>
      </c>
      <c r="AT76" s="1443">
        <f>IF(ISERROR(AT75/AO75-1),,(AT75/AO75-1))</f>
        <v>0</v>
      </c>
      <c r="AU76" s="1442">
        <v>1</v>
      </c>
      <c r="AV76" s="1442">
        <v>1</v>
      </c>
      <c r="AW76" s="1442">
        <v>1</v>
      </c>
      <c r="AX76" s="1442">
        <v>1</v>
      </c>
      <c r="AY76" s="1443">
        <f>IF(ISERROR(AY75/AT75-1),,(AY75/AT75-1))</f>
        <v>1</v>
      </c>
      <c r="AZ76" s="1455">
        <v>0.9</v>
      </c>
      <c r="BA76" s="1455">
        <v>0.9</v>
      </c>
      <c r="BB76" s="1455">
        <v>0.81</v>
      </c>
      <c r="BC76" s="1455">
        <v>0.74</v>
      </c>
      <c r="BD76" s="1443">
        <f>IF(ISERROR(BD75/AY75-1),,(BD75/AY75-1))</f>
        <v>0.83161016949152544</v>
      </c>
      <c r="BE76" s="1455">
        <v>0.6925</v>
      </c>
      <c r="BF76" s="1455">
        <v>0.67</v>
      </c>
      <c r="BG76" s="1455">
        <v>0.65249999999999997</v>
      </c>
      <c r="BH76" s="1455">
        <v>0.63</v>
      </c>
      <c r="BI76" s="1443">
        <f>IF(ISERROR(BI75/BD75-1),,(BI75/BD75-1))</f>
        <v>0.65997258594364516</v>
      </c>
      <c r="BJ76" s="1455">
        <f>BH76-0.03</f>
        <v>0.6</v>
      </c>
      <c r="BK76" s="1455">
        <f>BJ76-0.03</f>
        <v>0.56999999999999995</v>
      </c>
      <c r="BL76" s="1455">
        <f t="shared" ref="BL76:BM76" si="162">BK76-0.03</f>
        <v>0.53999999999999992</v>
      </c>
      <c r="BM76" s="1455">
        <f t="shared" si="162"/>
        <v>0.5099999999999999</v>
      </c>
      <c r="BN76" s="1443">
        <f>IF(ISERROR(BN75/BI75-1),,(BN75/BI75-1))</f>
        <v>0.55358545502182976</v>
      </c>
      <c r="BO76" s="1455">
        <f>BM76-0.03</f>
        <v>0.47999999999999987</v>
      </c>
      <c r="BP76" s="1455">
        <f>BO76-0.03</f>
        <v>0.44999999999999984</v>
      </c>
      <c r="BQ76" s="1455">
        <f t="shared" ref="BQ76:BR76" si="163">BP76-0.03</f>
        <v>0.41999999999999982</v>
      </c>
      <c r="BR76" s="1455">
        <f t="shared" si="163"/>
        <v>0.38999999999999979</v>
      </c>
      <c r="BS76" s="1443">
        <f>IF(ISERROR(BS75/BN75-1),,(BS75/BN75-1))</f>
        <v>0.43430125567759403</v>
      </c>
      <c r="BT76" s="1455">
        <f>BR76-0.04</f>
        <v>0.34999999999999981</v>
      </c>
      <c r="BU76" s="1455">
        <f>BT76-0.04</f>
        <v>0.30999999999999983</v>
      </c>
      <c r="BV76" s="1455">
        <f t="shared" ref="BV76:BW76" si="164">BU76-0.04</f>
        <v>0.26999999999999985</v>
      </c>
      <c r="BW76" s="1455">
        <f t="shared" si="164"/>
        <v>0.22999999999999984</v>
      </c>
      <c r="BX76" s="1443">
        <f>IF(ISERROR(BX75/BS75-1),,(BX75/BS75-1))</f>
        <v>0.29010292468151677</v>
      </c>
      <c r="BY76" s="1343"/>
      <c r="BZ76" s="1443"/>
      <c r="CA76" s="1443"/>
      <c r="CB76" s="1443"/>
      <c r="CC76" s="1443">
        <f t="shared" ref="CC76:CH76" si="165">CC75/CB75-1</f>
        <v>2.1851851851851851</v>
      </c>
      <c r="CD76" s="1443">
        <f t="shared" si="165"/>
        <v>0.93720930232558142</v>
      </c>
      <c r="CE76" s="1443">
        <f t="shared" si="165"/>
        <v>0.71658763505402168</v>
      </c>
      <c r="CF76" s="1443">
        <f t="shared" si="165"/>
        <v>0.60700409289347124</v>
      </c>
      <c r="CG76" s="1443">
        <f t="shared" si="165"/>
        <v>0.48910967094270696</v>
      </c>
      <c r="CH76" s="1443">
        <f t="shared" si="165"/>
        <v>0.36104445918325867</v>
      </c>
    </row>
    <row r="77" spans="1:89">
      <c r="A77" s="1457" t="s">
        <v>952</v>
      </c>
      <c r="B77" s="1458"/>
      <c r="C77" s="1458"/>
      <c r="D77" s="1458"/>
      <c r="E77" s="1458"/>
      <c r="F77" s="1459"/>
      <c r="G77" s="1458"/>
      <c r="H77" s="1458"/>
      <c r="I77" s="1458"/>
      <c r="J77" s="1458"/>
      <c r="K77" s="1459"/>
      <c r="L77" s="1458"/>
      <c r="M77" s="1458"/>
      <c r="N77" s="1458"/>
      <c r="O77" s="1458"/>
      <c r="P77" s="1459"/>
      <c r="Q77" s="1458"/>
      <c r="R77" s="1458"/>
      <c r="S77" s="1458"/>
      <c r="T77" s="1458"/>
      <c r="U77" s="1459"/>
      <c r="V77" s="1458"/>
      <c r="W77" s="1458"/>
      <c r="X77" s="1458"/>
      <c r="Y77" s="1458"/>
      <c r="Z77" s="1459"/>
      <c r="AA77" s="1458"/>
      <c r="AB77" s="1458"/>
      <c r="AC77" s="1458"/>
      <c r="AD77" s="1458"/>
      <c r="AE77" s="1459"/>
      <c r="AF77" s="1450"/>
      <c r="AG77" s="1460"/>
      <c r="AH77" s="1460"/>
      <c r="AI77" s="1460"/>
      <c r="AJ77" s="1461"/>
      <c r="AK77" s="1460"/>
      <c r="AL77" s="1460"/>
      <c r="AM77" s="1460"/>
      <c r="AN77" s="1460"/>
      <c r="AO77" s="1461"/>
      <c r="AP77" s="1460">
        <f>IF(ISERROR(AP75/AN75-1),,(AP75/AN75-1))</f>
        <v>0</v>
      </c>
      <c r="AQ77" s="1460">
        <f>IF(ISERROR(AQ75/AP75-1),,(AQ75/AP75-1))</f>
        <v>7.6923076923076872E-2</v>
      </c>
      <c r="AR77" s="1460">
        <f>IF(ISERROR(AR75/AQ75-1),,(AR75/AQ75-1))</f>
        <v>0.10714285714285721</v>
      </c>
      <c r="AS77" s="1460">
        <f>IF(ISERROR(AS75/AR75-1),,(AS75/AR75-1))</f>
        <v>6.4516129032258007E-2</v>
      </c>
      <c r="AT77" s="1461"/>
      <c r="AU77" s="1460">
        <f>IF(ISERROR(AU75/AS75-1),,(AU75/AS75-1))</f>
        <v>0.57575757575757569</v>
      </c>
      <c r="AV77" s="1460">
        <f>IF(ISERROR(AV75/AU75-1),,(AV75/AU75-1))</f>
        <v>7.6923076923076872E-2</v>
      </c>
      <c r="AW77" s="1460">
        <f>IF(ISERROR(AW75/AV75-1),,(AW75/AV75-1))</f>
        <v>0.10714285714285721</v>
      </c>
      <c r="AX77" s="1460">
        <f>IF(ISERROR(AX75/AW75-1),,(AX75/AW75-1))</f>
        <v>6.4516129032258007E-2</v>
      </c>
      <c r="AY77" s="1461"/>
      <c r="AZ77" s="1460">
        <f>IF(ISERROR(AZ75/AX75-1),,(AZ75/AX75-1))</f>
        <v>0.49696969696969684</v>
      </c>
      <c r="BA77" s="1460">
        <f>IF(ISERROR(BA75/AZ75-1),,(BA75/AZ75-1))</f>
        <v>7.6923076923076872E-2</v>
      </c>
      <c r="BB77" s="1460">
        <f>IF(ISERROR(BB75/BA75-1),,(BB75/BA75-1))</f>
        <v>5.4699248120300803E-2</v>
      </c>
      <c r="BC77" s="1460">
        <f>IF(ISERROR(BC75/BB75-1),,(BC75/BB75-1))</f>
        <v>2.3346996970237122E-2</v>
      </c>
      <c r="BD77" s="1461"/>
      <c r="BE77" s="1460">
        <f>IF(ISERROR(BE75/BC75-1),,(BE75/BC75-1))</f>
        <v>0.45610414489724826</v>
      </c>
      <c r="BF77" s="1460">
        <f>IF(ISERROR(BF75/BE75-1),,(BF75/BE75-1))</f>
        <v>6.2606521986137809E-2</v>
      </c>
      <c r="BG77" s="1460">
        <f>IF(ISERROR(BG75/BF75-1),,(BG75/BF75-1))</f>
        <v>4.3647010490297511E-2</v>
      </c>
      <c r="BH77" s="1460">
        <f>IF(ISERROR(BH75/BG75-1),,(BH75/BG75-1))</f>
        <v>9.4133767391748613E-3</v>
      </c>
      <c r="BI77" s="1461"/>
      <c r="BJ77" s="1460">
        <f>IF(ISERROR(BJ75/BH75-1),,(BJ75/BH75-1))</f>
        <v>0.42930468210772865</v>
      </c>
      <c r="BK77" s="1460">
        <f>IF(ISERROR(BK75/BJ75-1),,(BK75/BJ75-1))</f>
        <v>4.2682649698897679E-2</v>
      </c>
      <c r="BL77" s="1460">
        <f>IF(ISERROR(BL75/BK75-1),,(BL75/BK75-1))</f>
        <v>2.3704710926788719E-2</v>
      </c>
      <c r="BM77" s="1460">
        <f>IF(ISERROR(BM75/BL75-1),,(BM75/BL75-1))</f>
        <v>-1.0250520210289604E-2</v>
      </c>
      <c r="BN77" s="1461"/>
      <c r="BO77" s="1460">
        <f>IF(ISERROR(BO75/BM75-1),,(BO75/BM75-1))</f>
        <v>0.40090790034399881</v>
      </c>
      <c r="BP77" s="1460">
        <f>IF(ISERROR(BP75/BO75-1),,(BP75/BO75-1))</f>
        <v>2.1547190583379283E-2</v>
      </c>
      <c r="BQ77" s="1460">
        <f>IF(ISERROR(BQ75/BP75-1),,(BQ75/BP75-1))</f>
        <v>2.5246134593381875E-3</v>
      </c>
      <c r="BR77" s="1460">
        <f>IF(ISERROR(BR75/BQ75-1),,(BR75/BQ75-1))</f>
        <v>-3.1160720487537152E-2</v>
      </c>
      <c r="BS77" s="1461"/>
      <c r="BT77" s="1460">
        <f>IF(ISERROR(BT75/BR75-1),,(BT75/BR75-1))</f>
        <v>0.36059400393122232</v>
      </c>
      <c r="BU77" s="1460">
        <f>IF(ISERROR(BU75/BT75-1),,(BU75/BT75-1))</f>
        <v>-8.7208743227950025E-3</v>
      </c>
      <c r="BV77" s="1460">
        <f>IF(ISERROR(BV75/BU75-1),,(BV75/BU75-1))</f>
        <v>-2.8086825119572945E-2</v>
      </c>
      <c r="BW77" s="1460">
        <f>IF(ISERROR(BW75/BV75-1),,(BW75/BV75-1))</f>
        <v>-6.1675343464307808E-2</v>
      </c>
      <c r="BX77" s="1461"/>
      <c r="BY77" s="1349"/>
      <c r="BZ77" s="1461"/>
      <c r="CA77" s="1461"/>
      <c r="CB77" s="1461"/>
      <c r="CC77" s="1461"/>
      <c r="CD77" s="1461"/>
      <c r="CE77" s="1461"/>
      <c r="CF77" s="1461"/>
      <c r="CG77" s="1461"/>
      <c r="CH77" s="1461"/>
    </row>
    <row r="78" spans="1:89">
      <c r="A78" s="1434" t="s">
        <v>1416</v>
      </c>
      <c r="B78" s="1432"/>
      <c r="C78" s="1432"/>
      <c r="D78" s="1432"/>
      <c r="E78" s="1432"/>
      <c r="F78" s="1429"/>
      <c r="G78" s="1432"/>
      <c r="H78" s="1432"/>
      <c r="I78" s="1432"/>
      <c r="J78" s="1432"/>
      <c r="K78" s="1429"/>
      <c r="L78" s="1432"/>
      <c r="M78" s="1432"/>
      <c r="N78" s="1432"/>
      <c r="O78" s="1432"/>
      <c r="P78" s="1429"/>
      <c r="Q78" s="1432"/>
      <c r="R78" s="1432"/>
      <c r="S78" s="1432"/>
      <c r="T78" s="1432"/>
      <c r="U78" s="1429"/>
      <c r="V78" s="1432"/>
      <c r="W78" s="1432"/>
      <c r="X78" s="1432"/>
      <c r="Y78" s="1432"/>
      <c r="Z78" s="1429"/>
      <c r="AA78" s="1432"/>
      <c r="AB78" s="1432"/>
      <c r="AC78" s="1432"/>
      <c r="AD78" s="1432"/>
      <c r="AE78" s="1429"/>
      <c r="AF78" s="1432"/>
      <c r="AG78" s="1432"/>
      <c r="AH78" s="1432"/>
      <c r="AI78" s="1432"/>
      <c r="AJ78" s="1429"/>
      <c r="AK78" s="1432"/>
      <c r="AL78" s="1432"/>
      <c r="AM78" s="1432"/>
      <c r="AN78" s="1432"/>
      <c r="AO78" s="1429"/>
      <c r="AP78" s="2845"/>
      <c r="AQ78" s="2845"/>
      <c r="AR78" s="2845"/>
      <c r="AS78" s="2845"/>
      <c r="AT78" s="2841"/>
      <c r="AU78" s="2840"/>
      <c r="AV78" s="2840"/>
      <c r="AW78" s="2840"/>
      <c r="AX78" s="2840"/>
      <c r="AY78" s="2841"/>
      <c r="AZ78" s="2840"/>
      <c r="BA78" s="2840">
        <v>228</v>
      </c>
      <c r="BB78" s="2840">
        <v>975</v>
      </c>
      <c r="BC78" s="2840">
        <v>1065</v>
      </c>
      <c r="BD78" s="2841"/>
      <c r="BE78" s="2840">
        <v>1148</v>
      </c>
      <c r="BF78" s="2840">
        <v>1312</v>
      </c>
      <c r="BG78" s="2840">
        <v>1335</v>
      </c>
      <c r="BH78" s="2840">
        <f>BC78*(1+BH79)</f>
        <v>1363.2</v>
      </c>
      <c r="BI78" s="1429">
        <f>SUM(BE78:BH78)</f>
        <v>5158.2</v>
      </c>
      <c r="BJ78" s="1432">
        <f>BE78*(1+BJ79)</f>
        <v>1435</v>
      </c>
      <c r="BK78" s="1432">
        <f>BF78*(1+BK79)</f>
        <v>1587.52</v>
      </c>
      <c r="BL78" s="1432">
        <f>BG78*(1+BL79)</f>
        <v>1602</v>
      </c>
      <c r="BM78" s="1432">
        <f>BH78*(1+BM79)</f>
        <v>1622.2080000000001</v>
      </c>
      <c r="BN78" s="1429">
        <f>SUM(BJ78:BM78)</f>
        <v>6246.728000000001</v>
      </c>
      <c r="BO78" s="1432">
        <f>BJ78*(1+BO79)</f>
        <v>1693.3</v>
      </c>
      <c r="BP78" s="1432">
        <f>BK78*(1+BP79)</f>
        <v>1857.3983999999998</v>
      </c>
      <c r="BQ78" s="1432">
        <f>BL78*(1+BQ79)</f>
        <v>1858.32</v>
      </c>
      <c r="BR78" s="1432">
        <f>BM78*(1+BR79)</f>
        <v>1865.5391999999999</v>
      </c>
      <c r="BS78" s="1429">
        <f>SUM(BO78:BR78)</f>
        <v>7274.5576000000001</v>
      </c>
      <c r="BT78" s="1432">
        <f>BO78*(1+BT79)</f>
        <v>1930.3619999999999</v>
      </c>
      <c r="BU78" s="1432">
        <f>BP78*(1+BU79)</f>
        <v>2098.8601919999996</v>
      </c>
      <c r="BV78" s="1432">
        <f>BQ78*(1+BV79)</f>
        <v>2081.3183999999997</v>
      </c>
      <c r="BW78" s="1432">
        <f>BR78*(1+BW79)</f>
        <v>2070.7485119999997</v>
      </c>
      <c r="BX78" s="1429">
        <f>SUM(BT78:BW78)</f>
        <v>8181.2891039999995</v>
      </c>
      <c r="BY78" s="1235"/>
      <c r="BZ78" s="1429"/>
      <c r="CA78" s="1429"/>
      <c r="CB78" s="1429">
        <f>SUM(AM78:AN78,AP78:AQ78)</f>
        <v>0</v>
      </c>
      <c r="CC78" s="1429">
        <f>SUM(AR78:AS78,AU78:AV78)</f>
        <v>0</v>
      </c>
      <c r="CD78" s="1429">
        <f>SUM(AW78:AX78,AZ78:BA78)</f>
        <v>228</v>
      </c>
      <c r="CE78" s="1429">
        <f>SUM(BB78:BC78,BE78:BF78)</f>
        <v>4500</v>
      </c>
      <c r="CF78" s="1429">
        <f>SUM(BG78:BH78,BJ78:BK78)</f>
        <v>5720.7199999999993</v>
      </c>
      <c r="CG78" s="1429">
        <f>SUM(BL78:BM78,BO78:BP78)</f>
        <v>6774.9063999999998</v>
      </c>
      <c r="CH78" s="1429">
        <f>SUM(BQ78:BR78,BT78:BU78)</f>
        <v>7753.0813920000001</v>
      </c>
    </row>
    <row r="79" spans="1:89">
      <c r="A79" s="1456" t="s">
        <v>926</v>
      </c>
      <c r="B79" s="1453"/>
      <c r="C79" s="1453"/>
      <c r="D79" s="1453"/>
      <c r="E79" s="1453"/>
      <c r="F79" s="1454"/>
      <c r="G79" s="1453"/>
      <c r="H79" s="1453"/>
      <c r="I79" s="1453"/>
      <c r="J79" s="1453"/>
      <c r="K79" s="1454"/>
      <c r="L79" s="1453"/>
      <c r="M79" s="1453"/>
      <c r="N79" s="1453"/>
      <c r="O79" s="1453"/>
      <c r="P79" s="1454"/>
      <c r="Q79" s="1453"/>
      <c r="R79" s="1453"/>
      <c r="S79" s="1453"/>
      <c r="T79" s="1453"/>
      <c r="U79" s="1454"/>
      <c r="V79" s="1453"/>
      <c r="W79" s="1453"/>
      <c r="X79" s="1453"/>
      <c r="Y79" s="1453"/>
      <c r="Z79" s="1454"/>
      <c r="AA79" s="1453"/>
      <c r="AB79" s="1453"/>
      <c r="AC79" s="1453"/>
      <c r="AD79" s="1453"/>
      <c r="AE79" s="1454"/>
      <c r="AF79" s="1446"/>
      <c r="AG79" s="1453"/>
      <c r="AH79" s="1453"/>
      <c r="AI79" s="1453"/>
      <c r="AJ79" s="1443"/>
      <c r="AK79" s="1442"/>
      <c r="AL79" s="1442"/>
      <c r="AM79" s="1442"/>
      <c r="AN79" s="1442"/>
      <c r="AO79" s="1443"/>
      <c r="AP79" s="1442"/>
      <c r="AQ79" s="1442"/>
      <c r="AR79" s="1442"/>
      <c r="AS79" s="1442"/>
      <c r="AT79" s="1443"/>
      <c r="AU79" s="1442"/>
      <c r="AV79" s="1442"/>
      <c r="AW79" s="1442"/>
      <c r="AX79" s="1442"/>
      <c r="AY79" s="1443"/>
      <c r="AZ79" s="1455"/>
      <c r="BA79" s="1455"/>
      <c r="BB79" s="1455"/>
      <c r="BC79" s="1455"/>
      <c r="BD79" s="1443"/>
      <c r="BE79" s="1455"/>
      <c r="BF79" s="1455"/>
      <c r="BG79" s="1442">
        <f>BG78/BB78-1</f>
        <v>0.36923076923076925</v>
      </c>
      <c r="BH79" s="1455">
        <v>0.28000000000000003</v>
      </c>
      <c r="BI79" s="1443"/>
      <c r="BJ79" s="1455">
        <v>0.25</v>
      </c>
      <c r="BK79" s="1455">
        <f>BJ79-0.04</f>
        <v>0.21</v>
      </c>
      <c r="BL79" s="1455">
        <f>BK79-0.01</f>
        <v>0.19999999999999998</v>
      </c>
      <c r="BM79" s="1455">
        <f>BL79-0.01</f>
        <v>0.18999999999999997</v>
      </c>
      <c r="BN79" s="1443">
        <f>IF(ISERROR(BN78/BI78-1),,(BN78/BI78-1))</f>
        <v>0.21102865340622712</v>
      </c>
      <c r="BO79" s="1455">
        <f>BM79-0.01</f>
        <v>0.17999999999999997</v>
      </c>
      <c r="BP79" s="1455">
        <f>+BO79-0.01</f>
        <v>0.16999999999999996</v>
      </c>
      <c r="BQ79" s="1455">
        <f t="shared" ref="BQ79:BR79" si="166">+BP79-0.01</f>
        <v>0.15999999999999995</v>
      </c>
      <c r="BR79" s="1455">
        <f t="shared" si="166"/>
        <v>0.14999999999999994</v>
      </c>
      <c r="BS79" s="1443">
        <f>IF(ISERROR(BS78/BN78-1),,(BS78/BN78-1))</f>
        <v>0.16453887539204515</v>
      </c>
      <c r="BT79" s="1455">
        <f>BR79-0.01</f>
        <v>0.13999999999999993</v>
      </c>
      <c r="BU79" s="1455">
        <f>BT79-0.01</f>
        <v>0.12999999999999992</v>
      </c>
      <c r="BV79" s="1455">
        <f>BU79-0.01</f>
        <v>0.11999999999999993</v>
      </c>
      <c r="BW79" s="1455">
        <f>BV79-0.01</f>
        <v>0.10999999999999993</v>
      </c>
      <c r="BX79" s="1443">
        <f>IF(ISERROR(BX78/BS78-1),,(BX78/BS78-1))</f>
        <v>0.12464421259101721</v>
      </c>
      <c r="BY79" s="1235"/>
      <c r="BZ79" s="1443"/>
      <c r="CA79" s="1443"/>
      <c r="CB79" s="1443"/>
      <c r="CC79" s="1443"/>
      <c r="CD79" s="1443"/>
      <c r="CE79" s="1443"/>
      <c r="CF79" s="1443"/>
      <c r="CG79" s="1443"/>
      <c r="CH79" s="1443"/>
    </row>
    <row r="80" spans="1:89">
      <c r="A80" s="1457" t="s">
        <v>952</v>
      </c>
      <c r="B80" s="1458"/>
      <c r="C80" s="1458"/>
      <c r="D80" s="1458"/>
      <c r="E80" s="1458"/>
      <c r="F80" s="1459"/>
      <c r="G80" s="1458"/>
      <c r="H80" s="1458"/>
      <c r="I80" s="1458"/>
      <c r="J80" s="1458"/>
      <c r="K80" s="1459"/>
      <c r="L80" s="1458"/>
      <c r="M80" s="1458"/>
      <c r="N80" s="1458"/>
      <c r="O80" s="1458"/>
      <c r="P80" s="1459"/>
      <c r="Q80" s="1458"/>
      <c r="R80" s="1458"/>
      <c r="S80" s="1458"/>
      <c r="T80" s="1458"/>
      <c r="U80" s="1459"/>
      <c r="V80" s="1458"/>
      <c r="W80" s="1458"/>
      <c r="X80" s="1458"/>
      <c r="Y80" s="1458"/>
      <c r="Z80" s="1459"/>
      <c r="AA80" s="1458"/>
      <c r="AB80" s="1458"/>
      <c r="AC80" s="1458"/>
      <c r="AD80" s="1458"/>
      <c r="AE80" s="1459"/>
      <c r="AF80" s="1450"/>
      <c r="AG80" s="1460"/>
      <c r="AH80" s="1460"/>
      <c r="AI80" s="1460"/>
      <c r="AJ80" s="1461"/>
      <c r="AK80" s="1460"/>
      <c r="AL80" s="1460"/>
      <c r="AM80" s="1460"/>
      <c r="AN80" s="1460"/>
      <c r="AO80" s="1461"/>
      <c r="AP80" s="1460"/>
      <c r="AQ80" s="1460"/>
      <c r="AR80" s="1460"/>
      <c r="AS80" s="1460"/>
      <c r="AT80" s="1461"/>
      <c r="AU80" s="1460"/>
      <c r="AV80" s="1460"/>
      <c r="AW80" s="1460"/>
      <c r="AX80" s="1460"/>
      <c r="AY80" s="1461"/>
      <c r="AZ80" s="1460"/>
      <c r="BA80" s="1460"/>
      <c r="BB80" s="1460"/>
      <c r="BC80" s="1460">
        <f>IF(ISERROR(BC78/BB78-1),,(BC78/BB78-1))</f>
        <v>9.2307692307692202E-2</v>
      </c>
      <c r="BD80" s="1461"/>
      <c r="BE80" s="1460">
        <f>IF(ISERROR(BE78/BC78-1),,(BE78/BC78-1))</f>
        <v>7.7934272300469454E-2</v>
      </c>
      <c r="BF80" s="1460">
        <f>IF(ISERROR(BF78/BE78-1),,(BF78/BE78-1))</f>
        <v>0.14285714285714279</v>
      </c>
      <c r="BG80" s="1460">
        <f>IF(ISERROR(BG78/BF78-1),,(BG78/BF78-1))</f>
        <v>1.7530487804878092E-2</v>
      </c>
      <c r="BH80" s="1460">
        <f>IF(ISERROR(BH78/BG78-1),,(BH78/BG78-1))</f>
        <v>2.1123595505617931E-2</v>
      </c>
      <c r="BI80" s="1461"/>
      <c r="BJ80" s="1460">
        <f>IF(ISERROR(BJ78/BH78-1),,(BJ78/BH78-1))</f>
        <v>5.2670187793427248E-2</v>
      </c>
      <c r="BK80" s="1460">
        <f>IF(ISERROR(BK78/BJ78-1),,(BK78/BJ78-1))</f>
        <v>0.10628571428571432</v>
      </c>
      <c r="BL80" s="1460">
        <f>IF(ISERROR(BL78/BK78-1),,(BL78/BK78-1))</f>
        <v>9.1211449304575698E-3</v>
      </c>
      <c r="BM80" s="1460">
        <f>IF(ISERROR(BM78/BL78-1),,(BM78/BL78-1))</f>
        <v>1.2614232209737786E-2</v>
      </c>
      <c r="BN80" s="1461"/>
      <c r="BO80" s="1460">
        <f>IF(ISERROR(BO78/BM78-1),,(BO78/BM78-1))</f>
        <v>4.38242198287766E-2</v>
      </c>
      <c r="BP80" s="1460">
        <f>IF(ISERROR(BP78/BO78-1),,(BP78/BO78-1))</f>
        <v>9.6910411622275872E-2</v>
      </c>
      <c r="BQ80" s="1460">
        <f>IF(ISERROR(BQ78/BP78-1),,(BQ78/BP78-1))</f>
        <v>4.9617787976985461E-4</v>
      </c>
      <c r="BR80" s="1460">
        <f>IF(ISERROR(BR78/BQ78-1),,(BR78/BQ78-1))</f>
        <v>3.8847991734469733E-3</v>
      </c>
      <c r="BS80" s="1461"/>
      <c r="BT80" s="1460">
        <f>IF(ISERROR(BT78/BR78-1),,(BT78/BR78-1))</f>
        <v>3.4747487482439388E-2</v>
      </c>
      <c r="BU80" s="1460">
        <f>IF(ISERROR(BU78/BT78-1),,(BU78/BT78-1))</f>
        <v>8.7288390467694654E-2</v>
      </c>
      <c r="BV80" s="1460">
        <f>IF(ISERROR(BV78/BU78-1),,(BV78/BU78-1))</f>
        <v>-8.3577705970422356E-3</v>
      </c>
      <c r="BW80" s="1460">
        <f>IF(ISERROR(BW78/BV78-1),,(BW78/BV78-1))</f>
        <v>-5.0784579620302139E-3</v>
      </c>
      <c r="BX80" s="1461"/>
      <c r="BY80" s="1235"/>
      <c r="BZ80" s="1443"/>
      <c r="CA80" s="1443"/>
      <c r="CB80" s="1443"/>
      <c r="CC80" s="1443"/>
      <c r="CD80" s="1443"/>
      <c r="CE80" s="1443"/>
      <c r="CF80" s="1443"/>
      <c r="CG80" s="1443"/>
      <c r="CH80" s="1443"/>
    </row>
    <row r="81" spans="1:86" ht="13.5" thickBot="1">
      <c r="A81" s="1175" t="s">
        <v>280</v>
      </c>
      <c r="B81" s="1345"/>
      <c r="C81" s="1345"/>
      <c r="D81" s="1345"/>
      <c r="E81" s="1345"/>
      <c r="F81" s="1346"/>
      <c r="G81" s="1345"/>
      <c r="H81" s="1345"/>
      <c r="I81" s="1345"/>
      <c r="J81" s="1345"/>
      <c r="K81" s="1346"/>
      <c r="L81" s="1345"/>
      <c r="M81" s="1345"/>
      <c r="N81" s="1345"/>
      <c r="O81" s="1345"/>
      <c r="P81" s="1346"/>
      <c r="Q81" s="1345"/>
      <c r="R81" s="1345"/>
      <c r="S81" s="1345"/>
      <c r="T81" s="1345"/>
      <c r="U81" s="1346"/>
      <c r="V81" s="1345"/>
      <c r="W81" s="1345"/>
      <c r="X81" s="1345"/>
      <c r="Y81" s="1345"/>
      <c r="Z81" s="1346"/>
      <c r="AA81" s="1345"/>
      <c r="AB81" s="1345"/>
      <c r="AC81" s="1345"/>
      <c r="AD81" s="1345"/>
      <c r="AE81" s="1346"/>
      <c r="AF81" s="1347"/>
      <c r="AG81" s="1347"/>
      <c r="AH81" s="1347"/>
      <c r="AI81" s="1347"/>
      <c r="AJ81" s="1346"/>
      <c r="AK81" s="1345"/>
      <c r="AL81" s="1345"/>
      <c r="AM81" s="1345"/>
      <c r="AN81" s="1345"/>
      <c r="AO81" s="1000"/>
      <c r="AP81" s="2846"/>
      <c r="AQ81" s="2846"/>
      <c r="AR81" s="2846"/>
      <c r="AS81" s="2846"/>
      <c r="AT81" s="1416"/>
      <c r="AU81" s="2846"/>
      <c r="AV81" s="2846"/>
      <c r="AW81" s="2846"/>
      <c r="AX81" s="2846"/>
      <c r="AY81" s="1416"/>
      <c r="AZ81" s="2846">
        <f>AZ82-AZ51-AZ60-AZ69-AZ78</f>
        <v>-135.74139204000033</v>
      </c>
      <c r="BA81" s="2846">
        <f t="shared" ref="BA81:BC81" si="167">BA82-BA51-BA60-BA69-BA78</f>
        <v>-14.339709375000325</v>
      </c>
      <c r="BB81" s="2846">
        <f t="shared" si="167"/>
        <v>-157.0342793749993</v>
      </c>
      <c r="BC81" s="2846">
        <f t="shared" si="167"/>
        <v>-231.8335668750002</v>
      </c>
      <c r="BD81" s="1416">
        <f>SUM(AZ81:BC81)</f>
        <v>-538.94894766500011</v>
      </c>
      <c r="BE81" s="2846">
        <f>BE82-BE51-BE60-BE78-BE69</f>
        <v>-144.14648971277472</v>
      </c>
      <c r="BF81" s="2846">
        <f t="shared" ref="BF81:BG81" si="168">BF82-BF51-BF60-BF69-BF78</f>
        <v>-15.075860250000005</v>
      </c>
      <c r="BG81" s="2846">
        <f t="shared" ref="BG81" si="169">BG82-BG51-BG60-BG69-BG78</f>
        <v>-174.22306674999822</v>
      </c>
      <c r="BH81" s="2846">
        <f t="shared" ref="BG81:BH81" si="170">BH82-BH51-BH60-BH78-BH69</f>
        <v>0</v>
      </c>
      <c r="BI81" s="1000">
        <f>SUM(BE81:BH81)</f>
        <v>-333.44541671277295</v>
      </c>
      <c r="BJ81" s="1345">
        <f>BJ82-BJ51-BJ60-BJ78-BJ69</f>
        <v>0</v>
      </c>
      <c r="BK81" s="1345">
        <f t="shared" ref="BK81:BM81" si="171">BK82-BK51-BK60-BK78-BK69</f>
        <v>0</v>
      </c>
      <c r="BL81" s="1345">
        <f t="shared" si="171"/>
        <v>9.0949470177292824E-13</v>
      </c>
      <c r="BM81" s="1345">
        <f t="shared" si="171"/>
        <v>0</v>
      </c>
      <c r="BN81" s="1000">
        <f>SUM(BJ81:BM81)</f>
        <v>9.0949470177292824E-13</v>
      </c>
      <c r="BO81" s="1345">
        <f>BO82-BO51-BO60-BO78-BO69</f>
        <v>0</v>
      </c>
      <c r="BP81" s="1345">
        <f t="shared" ref="BP81:BR81" si="172">BP82-BP51-BP60-BP78-BP69</f>
        <v>0</v>
      </c>
      <c r="BQ81" s="1345">
        <f t="shared" si="172"/>
        <v>-1.0231815394945443E-12</v>
      </c>
      <c r="BR81" s="1345">
        <f t="shared" si="172"/>
        <v>-1.3642420526593924E-12</v>
      </c>
      <c r="BS81" s="1000">
        <f>SUM(BO81:BR81)</f>
        <v>-2.3874235921539366E-12</v>
      </c>
      <c r="BT81" s="1345">
        <f>BT82-BT51-BT60-BT78-BT69</f>
        <v>-1.4779288903810084E-12</v>
      </c>
      <c r="BU81" s="1345">
        <f t="shared" ref="BU81:BW81" si="173">BU82-BU51-BU60-BU78-BU69</f>
        <v>1.1368683772161603E-12</v>
      </c>
      <c r="BV81" s="1345">
        <f t="shared" si="173"/>
        <v>0</v>
      </c>
      <c r="BW81" s="1345">
        <f t="shared" si="173"/>
        <v>0</v>
      </c>
      <c r="BX81" s="1000">
        <f>SUM(BT81:BW81)</f>
        <v>-3.4106051316484809E-13</v>
      </c>
      <c r="BY81" s="1343"/>
      <c r="BZ81" s="1000"/>
      <c r="CA81" s="1000"/>
      <c r="CB81" s="1000">
        <f>SUM(AM81:AN81,AP81:AQ81)</f>
        <v>0</v>
      </c>
      <c r="CC81" s="1000">
        <f>SUM(AR81:AS81,AU81:AV81)</f>
        <v>0</v>
      </c>
      <c r="CD81" s="1000">
        <f>SUM(AW81:AX81,AZ81:BA81)</f>
        <v>-150.08110141500066</v>
      </c>
      <c r="CE81" s="1000">
        <f>SUM(BB81:BC81,BE81:BF81)</f>
        <v>-548.09019621277423</v>
      </c>
      <c r="CF81" s="1000">
        <f>SUM(BG81:BH81,BJ81:BK81)</f>
        <v>-174.22306674999822</v>
      </c>
      <c r="CG81" s="1000">
        <f>SUM(BL81:BM81,BO81:BP81)</f>
        <v>9.0949470177292824E-13</v>
      </c>
      <c r="CH81" s="1000">
        <f>SUM(BQ81:BR81,BT81:BU81)</f>
        <v>-2.7284841053187847E-12</v>
      </c>
    </row>
    <row r="82" spans="1:86" ht="13.5" thickBot="1">
      <c r="A82" s="1477" t="s">
        <v>1043</v>
      </c>
      <c r="B82" s="1497"/>
      <c r="C82" s="1497"/>
      <c r="D82" s="1497"/>
      <c r="E82" s="1497"/>
      <c r="F82" s="1498"/>
      <c r="G82" s="1497"/>
      <c r="H82" s="1497"/>
      <c r="I82" s="1497"/>
      <c r="J82" s="1497"/>
      <c r="K82" s="1498"/>
      <c r="L82" s="1497"/>
      <c r="M82" s="1497"/>
      <c r="N82" s="1497"/>
      <c r="O82" s="1497"/>
      <c r="P82" s="1498"/>
      <c r="Q82" s="1497"/>
      <c r="R82" s="1497"/>
      <c r="S82" s="1497"/>
      <c r="T82" s="1497"/>
      <c r="U82" s="1498"/>
      <c r="V82" s="1497"/>
      <c r="W82" s="1497"/>
      <c r="X82" s="1497"/>
      <c r="Y82" s="1497"/>
      <c r="Z82" s="1498"/>
      <c r="AA82" s="1497"/>
      <c r="AB82" s="1497"/>
      <c r="AC82" s="1497"/>
      <c r="AD82" s="1497"/>
      <c r="AE82" s="1479"/>
      <c r="AF82" s="1478"/>
      <c r="AG82" s="1478"/>
      <c r="AH82" s="1478"/>
      <c r="AI82" s="1478"/>
      <c r="AJ82" s="1479"/>
      <c r="AK82" s="1478"/>
      <c r="AL82" s="1478"/>
      <c r="AM82" s="1478"/>
      <c r="AN82" s="1478"/>
      <c r="AO82" s="1479"/>
      <c r="AP82" s="1478"/>
      <c r="AQ82" s="1478"/>
      <c r="AR82" s="1478"/>
      <c r="AS82" s="1478"/>
      <c r="AT82" s="1479"/>
      <c r="AU82" s="1478">
        <f>AU17</f>
        <v>5998</v>
      </c>
      <c r="AV82" s="1478">
        <f>AV17</f>
        <v>6480</v>
      </c>
      <c r="AW82" s="1478">
        <f>AW17</f>
        <v>6207</v>
      </c>
      <c r="AX82" s="1478">
        <f>AX17</f>
        <v>7107</v>
      </c>
      <c r="AY82" s="1479">
        <f>SUM(AU82:AX82)</f>
        <v>25792</v>
      </c>
      <c r="AZ82" s="1478">
        <f>AZ17</f>
        <v>6436</v>
      </c>
      <c r="BA82" s="1478">
        <f>BA17</f>
        <v>7179</v>
      </c>
      <c r="BB82" s="1478">
        <f>BB17</f>
        <v>7707</v>
      </c>
      <c r="BC82" s="1478">
        <f>BC17</f>
        <v>8548</v>
      </c>
      <c r="BD82" s="1479">
        <f>SUM(AZ82:BC82)</f>
        <v>29870</v>
      </c>
      <c r="BE82" s="1478">
        <f>BE17</f>
        <v>8238</v>
      </c>
      <c r="BF82" s="1478">
        <f>BF17</f>
        <v>8953</v>
      </c>
      <c r="BG82" s="1478">
        <f>BG17</f>
        <v>9006</v>
      </c>
      <c r="BH82" s="1478">
        <f t="shared" ref="BG82:BH82" si="174">BH60+BH51+BH69+BH78</f>
        <v>9740.5372326124998</v>
      </c>
      <c r="BI82" s="1479">
        <f>SUM(BE82:BH82)</f>
        <v>35937.5372326125</v>
      </c>
      <c r="BJ82" s="1478">
        <f>BJ60+BJ51+BJ69+BJ78</f>
        <v>9433.3785286372186</v>
      </c>
      <c r="BK82" s="1478">
        <f t="shared" ref="BK82:BM82" si="175">BK60+BK51+BK69+BK78</f>
        <v>10015.188066799999</v>
      </c>
      <c r="BL82" s="1478">
        <f t="shared" si="175"/>
        <v>10426.458287359999</v>
      </c>
      <c r="BM82" s="1478">
        <f t="shared" si="175"/>
        <v>10973.02295279825</v>
      </c>
      <c r="BN82" s="1479">
        <f>SUM(BJ82:BM82)</f>
        <v>40848.047835595469</v>
      </c>
      <c r="BO82" s="1478">
        <f>BO60+BO51+BO69+BO78</f>
        <v>10719.815935344199</v>
      </c>
      <c r="BP82" s="1478">
        <f t="shared" ref="BP82:BR82" si="176">BP60+BP51+BP69+BP78</f>
        <v>11309.372027561249</v>
      </c>
      <c r="BQ82" s="1478">
        <f t="shared" si="176"/>
        <v>11975.589581085424</v>
      </c>
      <c r="BR82" s="1478">
        <f t="shared" si="176"/>
        <v>12394.235327120305</v>
      </c>
      <c r="BS82" s="1479">
        <f>SUM(BO82:BR82)</f>
        <v>46399.012871111176</v>
      </c>
      <c r="BT82" s="1478">
        <f>BT60+BT51+BT69+BT78</f>
        <v>12007.883142882451</v>
      </c>
      <c r="BU82" s="1478">
        <f t="shared" ref="BU82:BW82" si="177">BU60+BU51+BU69+BU78</f>
        <v>12535.049258524437</v>
      </c>
      <c r="BV82" s="1478">
        <f t="shared" si="177"/>
        <v>13484.458782004735</v>
      </c>
      <c r="BW82" s="1478">
        <f t="shared" si="177"/>
        <v>13687.792269805979</v>
      </c>
      <c r="BX82" s="1479">
        <f>SUM(BT82:BW82)</f>
        <v>51715.1834532176</v>
      </c>
      <c r="BY82" s="1343"/>
      <c r="BZ82" s="1479"/>
      <c r="CA82" s="1479"/>
      <c r="CB82" s="1479">
        <f>SUM(AM82:AN82,AP82:AQ82)</f>
        <v>0</v>
      </c>
      <c r="CC82" s="1479">
        <f>SUM(AR82:AS82,AU82:AV82)</f>
        <v>12478</v>
      </c>
      <c r="CD82" s="1479">
        <f>SUM(AW82:AX82,AZ82:BA82)</f>
        <v>26929</v>
      </c>
      <c r="CE82" s="1479">
        <f>SUM(BB82:BC82,BE82:BF82)</f>
        <v>33446</v>
      </c>
      <c r="CF82" s="1479">
        <f>SUM(BG82:BH82,BJ82:BK82)</f>
        <v>38195.103828049716</v>
      </c>
      <c r="CG82" s="1479">
        <f>SUM(BL82:BM82,BO82:BP82)</f>
        <v>43428.669203063699</v>
      </c>
      <c r="CH82" s="1479">
        <f>SUM(BQ82:BR82,BT82:BU82)</f>
        <v>48912.757309612614</v>
      </c>
    </row>
    <row r="83" spans="1:86">
      <c r="A83" s="1499" t="s">
        <v>926</v>
      </c>
      <c r="B83" s="1500"/>
      <c r="C83" s="1500"/>
      <c r="D83" s="1500"/>
      <c r="E83" s="1500"/>
      <c r="F83" s="1501"/>
      <c r="G83" s="1500"/>
      <c r="H83" s="1500"/>
      <c r="I83" s="1500"/>
      <c r="J83" s="1500"/>
      <c r="K83" s="1501"/>
      <c r="L83" s="1500"/>
      <c r="M83" s="1500"/>
      <c r="N83" s="1500"/>
      <c r="O83" s="1500"/>
      <c r="P83" s="1501"/>
      <c r="Q83" s="1500"/>
      <c r="R83" s="1500"/>
      <c r="S83" s="1500"/>
      <c r="T83" s="1500"/>
      <c r="U83" s="1501"/>
      <c r="V83" s="1500"/>
      <c r="W83" s="1500"/>
      <c r="X83" s="1500"/>
      <c r="Y83" s="1500"/>
      <c r="Z83" s="1501"/>
      <c r="AA83" s="1502"/>
      <c r="AB83" s="1502"/>
      <c r="AC83" s="1502"/>
      <c r="AD83" s="1502"/>
      <c r="AE83" s="1501"/>
      <c r="AF83" s="1502"/>
      <c r="AG83" s="1502"/>
      <c r="AH83" s="1502"/>
      <c r="AI83" s="1502"/>
      <c r="AJ83" s="1503"/>
      <c r="AK83" s="1502"/>
      <c r="AL83" s="1502"/>
      <c r="AM83" s="1502"/>
      <c r="AN83" s="1502"/>
      <c r="AO83" s="1503"/>
      <c r="AP83" s="1502"/>
      <c r="AQ83" s="1502"/>
      <c r="AR83" s="1502"/>
      <c r="AS83" s="1502"/>
      <c r="AT83" s="1503"/>
      <c r="AU83" s="1502"/>
      <c r="AV83" s="1502"/>
      <c r="AW83" s="1502"/>
      <c r="AX83" s="1502"/>
      <c r="AY83" s="1503"/>
      <c r="AZ83" s="1502">
        <f t="shared" ref="AZ83:BS83" si="178">IF(ISERROR(AZ82/AU82-1),,(AZ82/AU82-1))</f>
        <v>7.3024341447148977E-2</v>
      </c>
      <c r="BA83" s="1502">
        <f t="shared" si="178"/>
        <v>0.10787037037037028</v>
      </c>
      <c r="BB83" s="1502">
        <f t="shared" si="178"/>
        <v>0.24166263895601747</v>
      </c>
      <c r="BC83" s="1502">
        <f t="shared" si="178"/>
        <v>0.20275784437878142</v>
      </c>
      <c r="BD83" s="1503">
        <f t="shared" si="178"/>
        <v>0.15811104218362293</v>
      </c>
      <c r="BE83" s="1502">
        <f t="shared" si="178"/>
        <v>0.27998756991920448</v>
      </c>
      <c r="BF83" s="1502">
        <f t="shared" si="178"/>
        <v>0.24710962529600233</v>
      </c>
      <c r="BG83" s="1502">
        <f t="shared" si="178"/>
        <v>0.1685480731802258</v>
      </c>
      <c r="BH83" s="1502">
        <f t="shared" si="178"/>
        <v>0.13951067297759701</v>
      </c>
      <c r="BI83" s="1503">
        <f t="shared" si="178"/>
        <v>0.20313147748953808</v>
      </c>
      <c r="BJ83" s="1502">
        <f t="shared" si="178"/>
        <v>0.1451054295505243</v>
      </c>
      <c r="BK83" s="1502">
        <f t="shared" si="178"/>
        <v>0.11864046317435495</v>
      </c>
      <c r="BL83" s="1502">
        <f t="shared" si="178"/>
        <v>0.15772354956251378</v>
      </c>
      <c r="BM83" s="1502">
        <f t="shared" si="178"/>
        <v>0.12653159581991424</v>
      </c>
      <c r="BN83" s="1503">
        <f t="shared" si="178"/>
        <v>0.13664015347514669</v>
      </c>
      <c r="BO83" s="1502">
        <f t="shared" si="178"/>
        <v>0.13637080318591055</v>
      </c>
      <c r="BP83" s="1502">
        <f t="shared" si="178"/>
        <v>0.12922213263787063</v>
      </c>
      <c r="BQ83" s="1502">
        <f t="shared" si="178"/>
        <v>0.14857694252740039</v>
      </c>
      <c r="BR83" s="1502">
        <f t="shared" si="178"/>
        <v>0.1295187643765594</v>
      </c>
      <c r="BS83" s="1503">
        <f t="shared" si="178"/>
        <v>0.13589303111514983</v>
      </c>
      <c r="BT83" s="1502">
        <f t="shared" ref="BT83" si="179">IF(ISERROR(BT82/BO82-1),,(BT82/BO82-1))</f>
        <v>0.120157586222295</v>
      </c>
      <c r="BU83" s="1502">
        <f t="shared" ref="BU83" si="180">IF(ISERROR(BU82/BP82-1),,(BU82/BP82-1))</f>
        <v>0.10837712544747657</v>
      </c>
      <c r="BV83" s="1502">
        <f t="shared" ref="BV83" si="181">IF(ISERROR(BV82/BQ82-1),,(BV82/BQ82-1))</f>
        <v>0.12599540011812538</v>
      </c>
      <c r="BW83" s="1502">
        <f t="shared" ref="BW83" si="182">IF(ISERROR(BW82/BR82-1),,(BW82/BR82-1))</f>
        <v>0.10436762805811761</v>
      </c>
      <c r="BX83" s="1503">
        <f t="shared" ref="BX83" si="183">IF(ISERROR(BX82/BS82-1),,(BX82/BS82-1))</f>
        <v>0.11457507936373279</v>
      </c>
      <c r="BY83" s="1438"/>
      <c r="BZ83" s="1503"/>
      <c r="CA83" s="1503"/>
      <c r="CB83" s="1503"/>
      <c r="CC83" s="1503" t="e">
        <f t="shared" ref="CC83:CH83" si="184">CC82/CB82-1</f>
        <v>#DIV/0!</v>
      </c>
      <c r="CD83" s="1503">
        <f t="shared" si="184"/>
        <v>1.1581182881872096</v>
      </c>
      <c r="CE83" s="1503">
        <f t="shared" si="184"/>
        <v>0.24200675851312714</v>
      </c>
      <c r="CF83" s="1503">
        <f t="shared" si="184"/>
        <v>0.14199317790018884</v>
      </c>
      <c r="CG83" s="1503">
        <f t="shared" si="184"/>
        <v>0.13702189156429401</v>
      </c>
      <c r="CH83" s="1503">
        <f t="shared" si="184"/>
        <v>0.12627806025799293</v>
      </c>
    </row>
    <row r="84" spans="1:86">
      <c r="A84" s="1499" t="s">
        <v>952</v>
      </c>
      <c r="B84" s="1500"/>
      <c r="C84" s="1500"/>
      <c r="D84" s="1500"/>
      <c r="E84" s="1500"/>
      <c r="F84" s="1501"/>
      <c r="G84" s="1500"/>
      <c r="H84" s="1500"/>
      <c r="I84" s="1500"/>
      <c r="J84" s="1500"/>
      <c r="K84" s="1501"/>
      <c r="L84" s="1500"/>
      <c r="M84" s="1500"/>
      <c r="N84" s="1500"/>
      <c r="O84" s="1500"/>
      <c r="P84" s="1501"/>
      <c r="Q84" s="1500"/>
      <c r="R84" s="1500"/>
      <c r="S84" s="1500"/>
      <c r="T84" s="1500"/>
      <c r="U84" s="1501"/>
      <c r="V84" s="1500"/>
      <c r="W84" s="1500"/>
      <c r="X84" s="1500"/>
      <c r="Y84" s="1500"/>
      <c r="Z84" s="1501"/>
      <c r="AA84" s="1504"/>
      <c r="AB84" s="1502"/>
      <c r="AC84" s="1502"/>
      <c r="AD84" s="1502"/>
      <c r="AE84" s="1501"/>
      <c r="AF84" s="1502"/>
      <c r="AG84" s="1502"/>
      <c r="AH84" s="1502"/>
      <c r="AI84" s="1502"/>
      <c r="AJ84" s="1503"/>
      <c r="AK84" s="1502"/>
      <c r="AL84" s="1502"/>
      <c r="AM84" s="1502"/>
      <c r="AN84" s="1502"/>
      <c r="AO84" s="1505"/>
      <c r="AP84" s="1502"/>
      <c r="AQ84" s="1502"/>
      <c r="AR84" s="1502"/>
      <c r="AS84" s="1502"/>
      <c r="AT84" s="1505"/>
      <c r="AU84" s="1502"/>
      <c r="AV84" s="1502">
        <f>IF(ISERROR(AV82/AU82-1),,(AV82/AU82-1))</f>
        <v>8.036012004001325E-2</v>
      </c>
      <c r="AW84" s="1502">
        <f>IF(ISERROR(AW82/AV82-1),,(AW82/AV82-1))</f>
        <v>-4.2129629629629628E-2</v>
      </c>
      <c r="AX84" s="1502">
        <f>IF(ISERROR(AX82/AW82-1),,(AX82/AW82-1))</f>
        <v>0.14499758337361035</v>
      </c>
      <c r="AY84" s="1503"/>
      <c r="AZ84" s="1502">
        <f>IF(ISERROR(AZ82/AX82-1),,(AZ82/AX82-1))</f>
        <v>-9.4413958069508919E-2</v>
      </c>
      <c r="BA84" s="1502">
        <f>IF(ISERROR(BA82/AZ82-1),,(BA82/AZ82-1))</f>
        <v>0.11544437538843999</v>
      </c>
      <c r="BB84" s="1502">
        <f>IF(ISERROR(BB82/BA82-1),,(BB82/BA82-1))</f>
        <v>7.3547847889678275E-2</v>
      </c>
      <c r="BC84" s="1502">
        <f>IF(ISERROR(BC82/BB82-1),,(BC82/BB82-1))</f>
        <v>0.10912157778642784</v>
      </c>
      <c r="BD84" s="1503"/>
      <c r="BE84" s="1502">
        <f>IF(ISERROR(BE82/BD82-1),,(BE82/BD82-1))</f>
        <v>-0.72420488784733839</v>
      </c>
      <c r="BF84" s="1502">
        <f>IF(ISERROR(BF82/BE82-1),,(BF82/BE82-1))</f>
        <v>8.6792910900703957E-2</v>
      </c>
      <c r="BG84" s="1502">
        <f>IF(ISERROR(BG82/BF82-1),,(BG82/BF82-1))</f>
        <v>5.9198034178487013E-3</v>
      </c>
      <c r="BH84" s="1502">
        <f>IF(ISERROR(BH82/BG82-1),,(BH82/BG82-1))</f>
        <v>8.1560874151954232E-2</v>
      </c>
      <c r="BI84" s="1503"/>
      <c r="BJ84" s="1502">
        <f>IF(ISERROR(BJ82/BH82-1),,(BJ82/BH82-1))</f>
        <v>-3.1534061894130105E-2</v>
      </c>
      <c r="BK84" s="1502">
        <f>IF(ISERROR(BK82/BJ82-1),,(BK82/BJ82-1))</f>
        <v>6.1675627284176304E-2</v>
      </c>
      <c r="BL84" s="1502">
        <f>IF(ISERROR(BL82/BK82-1),,(BL82/BK82-1))</f>
        <v>4.1064652787035083E-2</v>
      </c>
      <c r="BM84" s="1502">
        <f>IF(ISERROR(BM82/BL82-1),,(BM82/BL82-1))</f>
        <v>5.2420932436938017E-2</v>
      </c>
      <c r="BN84" s="1503"/>
      <c r="BO84" s="1502">
        <f>IF(ISERROR(BO82/BM82-1),,(BO82/BM82-1))</f>
        <v>-2.3075411264812939E-2</v>
      </c>
      <c r="BP84" s="1502">
        <f>IF(ISERROR(BP82/BO82-1),,(BP82/BO82-1))</f>
        <v>5.4996848432185219E-2</v>
      </c>
      <c r="BQ84" s="1502">
        <f>IF(ISERROR(BQ82/BP82-1),,(BQ82/BP82-1))</f>
        <v>5.8908447958081478E-2</v>
      </c>
      <c r="BR84" s="1502">
        <f>IF(ISERROR(BR82/BQ82-1),,(BR82/BQ82-1))</f>
        <v>3.4958257645711477E-2</v>
      </c>
      <c r="BS84" s="1503"/>
      <c r="BT84" s="1502">
        <f>IF(ISERROR(BT82/BR82-1),,(BT82/BR82-1))</f>
        <v>-3.1171925822036095E-2</v>
      </c>
      <c r="BU84" s="1502">
        <f>IF(ISERROR(BU82/BT82-1),,(BU82/BT82-1))</f>
        <v>4.3901669375793206E-2</v>
      </c>
      <c r="BV84" s="1502">
        <f>IF(ISERROR(BV82/BU82-1),,(BV82/BU82-1))</f>
        <v>7.5740390316747508E-2</v>
      </c>
      <c r="BW84" s="1502">
        <f>IF(ISERROR(BW82/BV82-1),,(BW82/BV82-1))</f>
        <v>1.5079098915901312E-2</v>
      </c>
      <c r="BX84" s="1503"/>
      <c r="BY84" s="1438"/>
      <c r="BZ84" s="1503"/>
      <c r="CA84" s="1503"/>
      <c r="CB84" s="1503"/>
      <c r="CC84" s="1503"/>
      <c r="CD84" s="1503"/>
      <c r="CE84" s="1503"/>
      <c r="CF84" s="1503"/>
      <c r="CG84" s="1503"/>
      <c r="CH84" s="1503"/>
    </row>
    <row r="85" spans="1:86" ht="13.5" thickBot="1">
      <c r="A85" s="1506" t="s">
        <v>953</v>
      </c>
      <c r="B85" s="1483"/>
      <c r="C85" s="1483"/>
      <c r="D85" s="1483"/>
      <c r="E85" s="1483"/>
      <c r="F85" s="1484"/>
      <c r="G85" s="1483"/>
      <c r="H85" s="1483"/>
      <c r="I85" s="1483"/>
      <c r="J85" s="1483"/>
      <c r="K85" s="1484"/>
      <c r="L85" s="1483"/>
      <c r="M85" s="1483"/>
      <c r="N85" s="1483"/>
      <c r="O85" s="1483"/>
      <c r="P85" s="1484"/>
      <c r="Q85" s="1483"/>
      <c r="R85" s="1483"/>
      <c r="S85" s="1483"/>
      <c r="T85" s="1483"/>
      <c r="U85" s="1484"/>
      <c r="V85" s="1483"/>
      <c r="W85" s="1483"/>
      <c r="X85" s="1483"/>
      <c r="Y85" s="1483"/>
      <c r="Z85" s="1484"/>
      <c r="AA85" s="1483"/>
      <c r="AB85" s="1483"/>
      <c r="AC85" s="1483"/>
      <c r="AD85" s="1483"/>
      <c r="AE85" s="1484"/>
      <c r="AF85" s="1481"/>
      <c r="AG85" s="1507"/>
      <c r="AH85" s="1507"/>
      <c r="AI85" s="1507"/>
      <c r="AJ85" s="1508"/>
      <c r="AK85" s="1507"/>
      <c r="AL85" s="1507"/>
      <c r="AM85" s="1507"/>
      <c r="AN85" s="1507"/>
      <c r="AO85" s="1508"/>
      <c r="AP85" s="1507"/>
      <c r="AQ85" s="1507"/>
      <c r="AR85" s="1507"/>
      <c r="AS85" s="1507"/>
      <c r="AT85" s="1508"/>
      <c r="AU85" s="1507"/>
      <c r="AV85" s="1507"/>
      <c r="AW85" s="1507"/>
      <c r="AX85" s="1507"/>
      <c r="AY85" s="1508"/>
      <c r="AZ85" s="1507"/>
      <c r="BA85" s="1507"/>
      <c r="BB85" s="1507"/>
      <c r="BC85" s="1507"/>
      <c r="BD85" s="1508"/>
      <c r="BE85" s="1507">
        <f>AVERAGE(AZ84,AU84,AP84)</f>
        <v>-9.4413958069508919E-2</v>
      </c>
      <c r="BF85" s="1507">
        <f>AVERAGE(BA84,AV84,AQ84)</f>
        <v>9.790224771422662E-2</v>
      </c>
      <c r="BG85" s="1507">
        <f>AVERAGE(BB84,AW84,AR84)</f>
        <v>1.5709109130024324E-2</v>
      </c>
      <c r="BH85" s="1507">
        <f>AVERAGE(BC84,AX84,AS84)</f>
        <v>0.12705958058001909</v>
      </c>
      <c r="BI85" s="1508"/>
      <c r="BJ85" s="1507">
        <f>AVERAGE(BE84,AZ84,AU84)</f>
        <v>-0.40930942295842365</v>
      </c>
      <c r="BK85" s="1507">
        <f>AVERAGE(BF84,BA84,AV84)</f>
        <v>9.4199135443052404E-2</v>
      </c>
      <c r="BL85" s="1507">
        <f>AVERAGE(BG84,BB84,AW84)</f>
        <v>1.2446007225965783E-2</v>
      </c>
      <c r="BM85" s="1507">
        <f>AVERAGE(BH84,BC84,AX84)</f>
        <v>0.11189334510399747</v>
      </c>
      <c r="BN85" s="1508"/>
      <c r="BO85" s="1507">
        <f>AVERAGE(BJ84,BE84,AZ84)</f>
        <v>-0.28338430260365916</v>
      </c>
      <c r="BP85" s="1507">
        <f>AVERAGE(BK84,BF84,BA84)</f>
        <v>8.797097119110675E-2</v>
      </c>
      <c r="BQ85" s="1507">
        <f>AVERAGE(BL84,BG84,BB84)</f>
        <v>4.0177434698187353E-2</v>
      </c>
      <c r="BR85" s="1507">
        <f>AVERAGE(BM84,BH84,BC84)</f>
        <v>8.1034461458440024E-2</v>
      </c>
      <c r="BS85" s="1508"/>
      <c r="BT85" s="1507">
        <f>AVERAGE(BO84,BJ84,BE84)</f>
        <v>-0.25960478700209383</v>
      </c>
      <c r="BU85" s="1507">
        <f>AVERAGE(BP84,BK84,BF84)</f>
        <v>6.7821795539021831E-2</v>
      </c>
      <c r="BV85" s="1507">
        <f>AVERAGE(BQ84,BL84,BG84)</f>
        <v>3.5297634720988423E-2</v>
      </c>
      <c r="BW85" s="1507">
        <f>AVERAGE(BR84,BM84,BH84)</f>
        <v>5.6313354744867906E-2</v>
      </c>
      <c r="BX85" s="1508"/>
      <c r="BY85" s="1438"/>
      <c r="BZ85" s="1508"/>
      <c r="CA85" s="1508"/>
      <c r="CB85" s="1508"/>
      <c r="CC85" s="1508"/>
      <c r="CD85" s="1508"/>
      <c r="CE85" s="1508"/>
      <c r="CF85" s="1508"/>
      <c r="CG85" s="1508"/>
      <c r="CH85" s="1508"/>
    </row>
    <row r="86" spans="1:86">
      <c r="A86" s="1065"/>
      <c r="B86" s="1066"/>
      <c r="C86" s="1066"/>
      <c r="D86" s="1066"/>
      <c r="E86" s="1066"/>
      <c r="F86" s="1067"/>
      <c r="G86" s="1066"/>
      <c r="H86" s="1066"/>
      <c r="I86" s="1066"/>
      <c r="J86" s="1066"/>
      <c r="K86" s="1067"/>
      <c r="L86" s="1066"/>
      <c r="M86" s="1066"/>
      <c r="N86" s="1066"/>
      <c r="O86" s="1066"/>
      <c r="P86" s="1067"/>
      <c r="Q86" s="1066"/>
      <c r="R86" s="1066"/>
      <c r="S86" s="1066"/>
      <c r="T86" s="1066"/>
      <c r="U86" s="1067"/>
      <c r="V86" s="1066"/>
      <c r="W86" s="1066"/>
      <c r="X86" s="1066"/>
      <c r="Y86" s="1066"/>
      <c r="Z86" s="1067"/>
      <c r="AA86" s="1066"/>
      <c r="AB86" s="1066"/>
      <c r="AC86" s="1066"/>
      <c r="AD86" s="1066"/>
      <c r="AE86" s="1067"/>
      <c r="AF86" s="1068"/>
      <c r="AG86" s="1070"/>
      <c r="AH86" s="1070"/>
      <c r="AI86" s="1070"/>
      <c r="AJ86" s="1069"/>
      <c r="AK86" s="1345"/>
      <c r="AL86" s="1426"/>
      <c r="AM86" s="1426"/>
      <c r="AN86" s="1426"/>
      <c r="AO86" s="1427"/>
      <c r="AP86" s="1426"/>
      <c r="AQ86" s="1426"/>
      <c r="AR86" s="1426"/>
      <c r="AS86" s="1426"/>
      <c r="AT86" s="1427"/>
      <c r="AU86" s="1426"/>
      <c r="AV86" s="1426"/>
      <c r="AW86" s="1426"/>
      <c r="AX86" s="1070"/>
      <c r="AY86" s="1427"/>
      <c r="AZ86" s="2690"/>
      <c r="BA86" s="2690"/>
      <c r="BB86" s="2690"/>
      <c r="BC86" s="2690"/>
      <c r="BD86" s="1427"/>
      <c r="BE86" s="2679"/>
      <c r="BF86" s="2690"/>
      <c r="BG86" s="2690"/>
      <c r="BH86" s="1070"/>
      <c r="BI86" s="1069"/>
      <c r="BJ86" s="1070"/>
      <c r="BK86" s="1070"/>
      <c r="BL86" s="1070"/>
      <c r="BM86" s="1070"/>
      <c r="BN86" s="1069"/>
      <c r="BO86" s="1070"/>
      <c r="BP86" s="1070"/>
      <c r="BQ86" s="1070"/>
      <c r="BR86" s="1070"/>
      <c r="BS86" s="1069"/>
      <c r="BT86" s="1070"/>
      <c r="BU86" s="1070"/>
      <c r="BV86" s="1070"/>
      <c r="BW86" s="1070"/>
      <c r="BX86" s="1069"/>
      <c r="BY86" s="1438"/>
      <c r="BZ86" s="1069"/>
      <c r="CA86" s="1069"/>
      <c r="CB86" s="1069"/>
      <c r="CC86" s="1069"/>
      <c r="CD86" s="1069"/>
      <c r="CE86" s="1069"/>
      <c r="CF86" s="1069"/>
      <c r="CG86" s="1069"/>
      <c r="CH86" s="1069"/>
    </row>
    <row r="87" spans="1:86">
      <c r="A87" s="2680" t="s">
        <v>1045</v>
      </c>
      <c r="B87" s="2681"/>
      <c r="C87" s="2681"/>
      <c r="D87" s="2681"/>
      <c r="E87" s="2681"/>
      <c r="F87" s="2682"/>
      <c r="G87" s="2681"/>
      <c r="H87" s="2681"/>
      <c r="I87" s="2681"/>
      <c r="J87" s="2681"/>
      <c r="K87" s="2682"/>
      <c r="L87" s="2681"/>
      <c r="M87" s="2681"/>
      <c r="N87" s="2681"/>
      <c r="O87" s="2681"/>
      <c r="P87" s="2682"/>
      <c r="Q87" s="2681"/>
      <c r="R87" s="2681"/>
      <c r="S87" s="2681"/>
      <c r="T87" s="2681"/>
      <c r="U87" s="2682"/>
      <c r="V87" s="2681"/>
      <c r="W87" s="2681"/>
      <c r="X87" s="2681"/>
      <c r="Y87" s="2681"/>
      <c r="Z87" s="2682"/>
      <c r="AA87" s="2681"/>
      <c r="AB87" s="2681"/>
      <c r="AC87" s="2681"/>
      <c r="AD87" s="2681"/>
      <c r="AE87" s="2682"/>
      <c r="AF87" s="2683"/>
      <c r="AG87" s="2681"/>
      <c r="AH87" s="2681"/>
      <c r="AI87" s="2681"/>
      <c r="AJ87" s="2682"/>
      <c r="AK87" s="1167"/>
      <c r="AL87" s="2681"/>
      <c r="AM87" s="2681"/>
      <c r="AN87" s="2681"/>
      <c r="AO87" s="2682"/>
      <c r="AP87" s="1167"/>
      <c r="AQ87" s="2681"/>
      <c r="AR87" s="2681"/>
      <c r="AS87" s="2681"/>
      <c r="AT87" s="2682"/>
      <c r="AU87" s="1167"/>
      <c r="AV87" s="2681"/>
      <c r="AW87" s="2681"/>
      <c r="AX87" s="2681"/>
      <c r="AY87" s="2682"/>
      <c r="AZ87" s="1167"/>
      <c r="BA87" s="2681"/>
      <c r="BB87" s="2681"/>
      <c r="BC87" s="2681"/>
      <c r="BD87" s="2682"/>
      <c r="BE87" s="1167"/>
      <c r="BF87" s="2681"/>
      <c r="BG87" s="2681"/>
      <c r="BH87" s="2681"/>
      <c r="BI87" s="2682"/>
      <c r="BJ87" s="1167"/>
      <c r="BK87" s="2681"/>
      <c r="BL87" s="2681"/>
      <c r="BM87" s="2681"/>
      <c r="BN87" s="2682"/>
      <c r="BO87" s="1167"/>
      <c r="BP87" s="2681"/>
      <c r="BQ87" s="2681"/>
      <c r="BR87" s="2681"/>
      <c r="BS87" s="2682"/>
      <c r="BT87" s="1167"/>
      <c r="BU87" s="2681"/>
      <c r="BV87" s="2681"/>
      <c r="BW87" s="2681"/>
      <c r="BX87" s="2682"/>
      <c r="BY87" s="1343"/>
      <c r="BZ87" s="2682"/>
      <c r="CA87" s="2682"/>
      <c r="CB87" s="2682"/>
      <c r="CC87" s="2682"/>
      <c r="CD87" s="2682"/>
      <c r="CE87" s="2682"/>
      <c r="CF87" s="2682"/>
      <c r="CG87" s="2682"/>
      <c r="CH87" s="2682"/>
    </row>
    <row r="88" spans="1:86">
      <c r="A88" s="1464" t="s">
        <v>1448</v>
      </c>
      <c r="B88" s="1465"/>
      <c r="C88" s="1465"/>
      <c r="D88" s="1465"/>
      <c r="E88" s="1465"/>
      <c r="F88" s="1466"/>
      <c r="G88" s="1465"/>
      <c r="H88" s="1465"/>
      <c r="I88" s="1465"/>
      <c r="J88" s="1465"/>
      <c r="K88" s="1466"/>
      <c r="L88" s="1465"/>
      <c r="M88" s="1465"/>
      <c r="N88" s="1465"/>
      <c r="O88" s="1465"/>
      <c r="P88" s="1466"/>
      <c r="Q88" s="1465"/>
      <c r="R88" s="1465"/>
      <c r="S88" s="1465"/>
      <c r="T88" s="1465"/>
      <c r="U88" s="1466"/>
      <c r="V88" s="1465"/>
      <c r="W88" s="1465"/>
      <c r="X88" s="1465"/>
      <c r="Y88" s="1465"/>
      <c r="Z88" s="1466"/>
      <c r="AA88" s="1465"/>
      <c r="AB88" s="1465"/>
      <c r="AC88" s="1465"/>
      <c r="AD88" s="1465"/>
      <c r="AE88" s="1466"/>
      <c r="AF88" s="1467"/>
      <c r="AG88" s="1467"/>
      <c r="AH88" s="1467"/>
      <c r="AI88" s="1467"/>
      <c r="AJ88" s="1466"/>
      <c r="AK88" s="2684"/>
      <c r="AL88" s="2684"/>
      <c r="AM88" s="2684"/>
      <c r="AN88" s="2684"/>
      <c r="AO88" s="2685"/>
      <c r="AP88" s="2684"/>
      <c r="AQ88" s="2684"/>
      <c r="AR88" s="2684"/>
      <c r="AS88" s="2684"/>
      <c r="AT88" s="2685"/>
      <c r="AU88" s="2684">
        <f>AZ88/(1+AZ89)</f>
        <v>4150.4424778761068</v>
      </c>
      <c r="AV88" s="2684">
        <f t="shared" ref="AV88" si="185">BA88/(1+BA89)</f>
        <v>4760.7142857142853</v>
      </c>
      <c r="AW88" s="2684">
        <f t="shared" ref="AW88" si="186">BB88/(1+BB89)</f>
        <v>4488.9830508474579</v>
      </c>
      <c r="AX88" s="2684">
        <f t="shared" ref="AX88" si="187">BC88/(1+BC89)</f>
        <v>5819.2036562499989</v>
      </c>
      <c r="AY88" s="2685">
        <f>SUM(AU88:AX88)</f>
        <v>19219.343470687851</v>
      </c>
      <c r="AZ88" s="2684">
        <f>AZ91+AZ97</f>
        <v>4690</v>
      </c>
      <c r="BA88" s="2684">
        <f t="shared" ref="BA88:BC88" si="188">BA91+BA97</f>
        <v>5332</v>
      </c>
      <c r="BB88" s="2684">
        <f t="shared" si="188"/>
        <v>5297</v>
      </c>
      <c r="BC88" s="2684">
        <f t="shared" si="188"/>
        <v>6517.5080949999992</v>
      </c>
      <c r="BD88" s="2685">
        <f>SUM(AZ88:BC88)</f>
        <v>21836.508094999997</v>
      </c>
      <c r="BE88" s="2684">
        <f>BE91+BE97</f>
        <v>5496.6</v>
      </c>
      <c r="BF88" s="2684">
        <f t="shared" ref="BF88:BG88" si="189">BF91+BF97</f>
        <v>6299.16</v>
      </c>
      <c r="BG88" s="2684">
        <f t="shared" ref="BG88" si="190">BG91+BG97</f>
        <v>6345.7749999999996</v>
      </c>
      <c r="BH88" s="2684">
        <f t="shared" ref="BG88:BH88" si="191">BH91+BH97</f>
        <v>7726.5865178499989</v>
      </c>
      <c r="BI88" s="2685">
        <f>SUM(BE88:BH88)</f>
        <v>25868.121517849999</v>
      </c>
      <c r="BJ88" s="2684">
        <f>BJ91+BJ97</f>
        <v>6776.1720000000005</v>
      </c>
      <c r="BK88" s="2684">
        <f t="shared" ref="BK88:BM88" si="192">BK91+BK97</f>
        <v>7600.2335999999996</v>
      </c>
      <c r="BL88" s="2684">
        <f t="shared" si="192"/>
        <v>7863.6653500000002</v>
      </c>
      <c r="BM88" s="2684">
        <f>BM91+BM97</f>
        <v>9573.6253646594996</v>
      </c>
      <c r="BN88" s="2685">
        <f>SUM(BJ88:BM88)</f>
        <v>31813.696314659501</v>
      </c>
      <c r="BO88" s="2684">
        <f>BO91+BO97</f>
        <v>8610.1358400000008</v>
      </c>
      <c r="BP88" s="2684">
        <f t="shared" ref="BP88:BR88" si="193">BP91+BP97</f>
        <v>9429.1240319999997</v>
      </c>
      <c r="BQ88" s="2684">
        <f t="shared" si="193"/>
        <v>9988.3106195</v>
      </c>
      <c r="BR88" s="2684">
        <f t="shared" si="193"/>
        <v>12158.952115428314</v>
      </c>
      <c r="BS88" s="2685">
        <f>SUM(BO88:BR88)</f>
        <v>40186.522606928316</v>
      </c>
      <c r="BT88" s="2684">
        <f>BT91+BT97</f>
        <v>10852.708622400001</v>
      </c>
      <c r="BU88" s="2684">
        <f t="shared" ref="BU88:BW88" si="194">BU91+BU97</f>
        <v>11515.555555200001</v>
      </c>
      <c r="BV88" s="2684">
        <f t="shared" si="194"/>
        <v>12235.630240695</v>
      </c>
      <c r="BW88" s="2684">
        <f t="shared" si="194"/>
        <v>14893.494404037345</v>
      </c>
      <c r="BX88" s="2685">
        <f>SUM(BT88:BW88)</f>
        <v>49497.388822332345</v>
      </c>
      <c r="BY88" s="2686"/>
      <c r="BZ88" s="2687"/>
      <c r="CA88" s="2687"/>
      <c r="CB88" s="2687"/>
      <c r="CC88" s="2687"/>
      <c r="CD88" s="2687"/>
      <c r="CE88" s="2687"/>
      <c r="CF88" s="2687"/>
      <c r="CG88" s="2687"/>
      <c r="CH88" s="2687"/>
    </row>
    <row r="89" spans="1:86">
      <c r="A89" s="1452" t="s">
        <v>926</v>
      </c>
      <c r="B89" s="1453"/>
      <c r="C89" s="1453"/>
      <c r="D89" s="1453"/>
      <c r="E89" s="1453"/>
      <c r="F89" s="1454"/>
      <c r="G89" s="1453"/>
      <c r="H89" s="1453"/>
      <c r="I89" s="1453"/>
      <c r="J89" s="1453"/>
      <c r="K89" s="1454"/>
      <c r="L89" s="1453"/>
      <c r="M89" s="1453"/>
      <c r="N89" s="1453"/>
      <c r="O89" s="1453"/>
      <c r="P89" s="1454"/>
      <c r="Q89" s="1453"/>
      <c r="R89" s="1453"/>
      <c r="S89" s="1453"/>
      <c r="T89" s="1453"/>
      <c r="U89" s="1454"/>
      <c r="V89" s="1453"/>
      <c r="W89" s="1453"/>
      <c r="X89" s="1453"/>
      <c r="Y89" s="1453"/>
      <c r="Z89" s="1454"/>
      <c r="AA89" s="1453"/>
      <c r="AB89" s="1453"/>
      <c r="AC89" s="1453"/>
      <c r="AD89" s="1453"/>
      <c r="AE89" s="1454"/>
      <c r="AF89" s="1446"/>
      <c r="AG89" s="1453"/>
      <c r="AH89" s="1453"/>
      <c r="AI89" s="1453"/>
      <c r="AJ89" s="1443"/>
      <c r="AK89" s="1442"/>
      <c r="AL89" s="1442"/>
      <c r="AM89" s="1442"/>
      <c r="AN89" s="1442"/>
      <c r="AO89" s="1443"/>
      <c r="AP89" s="1442"/>
      <c r="AQ89" s="1442"/>
      <c r="AR89" s="1442"/>
      <c r="AS89" s="1442"/>
      <c r="AT89" s="1443"/>
      <c r="AU89" s="1442"/>
      <c r="AV89" s="1442"/>
      <c r="AW89" s="1442"/>
      <c r="AX89" s="1442"/>
      <c r="AY89" s="1443"/>
      <c r="AZ89" s="2907">
        <v>0.13</v>
      </c>
      <c r="BA89" s="2907">
        <v>0.12</v>
      </c>
      <c r="BB89" s="2907">
        <v>0.18</v>
      </c>
      <c r="BC89" s="2907">
        <v>0.12</v>
      </c>
      <c r="BD89" s="2908">
        <v>0.14000000000000001</v>
      </c>
      <c r="BE89" s="1442">
        <f t="shared" ref="BE89:BH89" si="195">IF(ISERROR(BE88/AZ88-1),,(BE88/AZ88-1))</f>
        <v>0.17198294243070378</v>
      </c>
      <c r="BF89" s="1442">
        <f t="shared" si="195"/>
        <v>0.18138784696174048</v>
      </c>
      <c r="BG89" s="1442">
        <f t="shared" si="195"/>
        <v>0.19799414763073431</v>
      </c>
      <c r="BH89" s="1442">
        <f t="shared" si="195"/>
        <v>0.18551237761830497</v>
      </c>
      <c r="BI89" s="1443">
        <f>IF(ISERROR(BI88/BD88-1),,(BI88/BD88-1))</f>
        <v>0.18462720345718364</v>
      </c>
      <c r="BJ89" s="1442">
        <f t="shared" ref="BJ89:BM89" si="196">IF(ISERROR(BJ88/BE88-1),,(BJ88/BE88-1))</f>
        <v>0.23279336316995969</v>
      </c>
      <c r="BK89" s="1442">
        <f t="shared" si="196"/>
        <v>0.20654715866877482</v>
      </c>
      <c r="BL89" s="1442">
        <f t="shared" si="196"/>
        <v>0.23919700115431142</v>
      </c>
      <c r="BM89" s="1442">
        <f t="shared" si="196"/>
        <v>0.23904978512082442</v>
      </c>
      <c r="BN89" s="1443">
        <f>IF(ISERROR(BN88/BI88-1),,(BN88/BI88-1))</f>
        <v>0.22984176847579851</v>
      </c>
      <c r="BO89" s="1442">
        <f t="shared" ref="BO89:BR89" si="197">IF(ISERROR(BO88/BJ88-1),,(BO88/BJ88-1))</f>
        <v>0.27064895046938009</v>
      </c>
      <c r="BP89" s="1442">
        <f t="shared" si="197"/>
        <v>0.24063608150149496</v>
      </c>
      <c r="BQ89" s="1442">
        <f t="shared" si="197"/>
        <v>0.27018510769917237</v>
      </c>
      <c r="BR89" s="1442">
        <f t="shared" si="197"/>
        <v>0.27004678502591117</v>
      </c>
      <c r="BS89" s="1443">
        <f>IF(ISERROR(BS88/BN88-1),,(BS88/BN88-1))</f>
        <v>0.26318307088418025</v>
      </c>
      <c r="BT89" s="1442">
        <f t="shared" ref="BT89" si="198">IF(ISERROR(BT88/BO88-1),,(BT88/BO88-1))</f>
        <v>0.26045730567707293</v>
      </c>
      <c r="BU89" s="1442">
        <f t="shared" ref="BU89" si="199">IF(ISERROR(BU88/BP88-1),,(BU88/BP88-1))</f>
        <v>0.22127522303441904</v>
      </c>
      <c r="BV89" s="1442">
        <f t="shared" ref="BV89" si="200">IF(ISERROR(BV88/BQ88-1),,(BV88/BQ88-1))</f>
        <v>0.22499496729783286</v>
      </c>
      <c r="BW89" s="1442">
        <f t="shared" ref="BW89" si="201">IF(ISERROR(BW88/BR88-1),,(BW88/BR88-1))</f>
        <v>0.22489950306977602</v>
      </c>
      <c r="BX89" s="1443">
        <f>IF(ISERROR(BX88/BS88-1),,(BX88/BS88-1))</f>
        <v>0.2316912639213724</v>
      </c>
      <c r="BY89" s="1343"/>
      <c r="BZ89" s="2682"/>
      <c r="CA89" s="2682"/>
      <c r="CB89" s="2682"/>
      <c r="CC89" s="2682"/>
      <c r="CD89" s="2682"/>
      <c r="CE89" s="2682"/>
      <c r="CF89" s="2682"/>
      <c r="CG89" s="2682"/>
      <c r="CH89" s="2682"/>
    </row>
    <row r="90" spans="1:86">
      <c r="A90" s="1452" t="s">
        <v>952</v>
      </c>
      <c r="B90" s="1453"/>
      <c r="C90" s="1453"/>
      <c r="D90" s="1453"/>
      <c r="E90" s="1453"/>
      <c r="F90" s="1454"/>
      <c r="G90" s="1453"/>
      <c r="H90" s="1453"/>
      <c r="I90" s="1453"/>
      <c r="J90" s="1453"/>
      <c r="K90" s="1454"/>
      <c r="L90" s="1453"/>
      <c r="M90" s="1453"/>
      <c r="N90" s="1453"/>
      <c r="O90" s="1453"/>
      <c r="P90" s="1454"/>
      <c r="Q90" s="1453"/>
      <c r="R90" s="1453"/>
      <c r="S90" s="1453"/>
      <c r="T90" s="1453"/>
      <c r="U90" s="1454"/>
      <c r="V90" s="1453"/>
      <c r="W90" s="1453"/>
      <c r="X90" s="1453"/>
      <c r="Y90" s="1453"/>
      <c r="Z90" s="1454"/>
      <c r="AA90" s="1453"/>
      <c r="AB90" s="1453"/>
      <c r="AC90" s="1453"/>
      <c r="AD90" s="1453"/>
      <c r="AE90" s="1454"/>
      <c r="AF90" s="1446"/>
      <c r="AG90" s="1442"/>
      <c r="AH90" s="1442"/>
      <c r="AI90" s="1442"/>
      <c r="AJ90" s="1443"/>
      <c r="AK90" s="1442"/>
      <c r="AL90" s="1442"/>
      <c r="AM90" s="1442"/>
      <c r="AN90" s="1442"/>
      <c r="AO90" s="1443"/>
      <c r="AP90" s="1442"/>
      <c r="AQ90" s="1442"/>
      <c r="AR90" s="1442"/>
      <c r="AS90" s="1442"/>
      <c r="AT90" s="1443"/>
      <c r="AU90" s="1442"/>
      <c r="AV90" s="1442">
        <f>IF(ISERROR(AV88/AU88-1),,(AV88/AU88-1))</f>
        <v>0.14703777033201315</v>
      </c>
      <c r="AW90" s="1442">
        <f>IF(ISERROR(AW88/AV88-1),,(AW88/AV88-1))</f>
        <v>-5.7077828779228623E-2</v>
      </c>
      <c r="AX90" s="1442">
        <f>IF(ISERROR(AX88/AW88-1),,(AX88/AW88-1))</f>
        <v>0.29633005746177044</v>
      </c>
      <c r="AY90" s="1443"/>
      <c r="AZ90" s="1442">
        <f>IF(ISERROR(AZ88/AX88-1),,(AZ88/AX88-1))</f>
        <v>-0.19404779811017614</v>
      </c>
      <c r="BA90" s="1442">
        <f>IF(ISERROR(BA88/AZ88-1),,(BA88/AZ88-1))</f>
        <v>0.13688699360341161</v>
      </c>
      <c r="BB90" s="1442">
        <f>IF(ISERROR(BB88/BA88-1),,(BB88/BA88-1))</f>
        <v>-6.5641410352588192E-3</v>
      </c>
      <c r="BC90" s="1442">
        <f>IF(ISERROR(BC88/BB88-1),,(BC88/BB88-1))</f>
        <v>0.23041496979422305</v>
      </c>
      <c r="BD90" s="1443"/>
      <c r="BE90" s="1442">
        <f>IF(ISERROR(BE88/BC88-1),,(BE88/BC88-1))</f>
        <v>-0.1566408633666605</v>
      </c>
      <c r="BF90" s="1442">
        <f>IF(ISERROR(BF88/BE88-1),,(BF88/BE88-1))</f>
        <v>0.14601026088854918</v>
      </c>
      <c r="BG90" s="1442">
        <f>IF(ISERROR(BG88/BF88-1),,(BG88/BF88-1))</f>
        <v>7.40019304161188E-3</v>
      </c>
      <c r="BH90" s="1442">
        <f>IF(ISERROR(BH88/BG88-1),,(BH88/BG88-1))</f>
        <v>0.21759541078118905</v>
      </c>
      <c r="BI90" s="1443"/>
      <c r="BJ90" s="1442">
        <f>IF(ISERROR(BJ88/BH88-1),,(BJ88/BH88-1))</f>
        <v>-0.12300574330648417</v>
      </c>
      <c r="BK90" s="1442">
        <f>IF(ISERROR(BK88/BJ88-1),,(BK88/BJ88-1))</f>
        <v>0.12161167101425385</v>
      </c>
      <c r="BL90" s="1442">
        <f>IF(ISERROR(BL88/BK88-1),,(BL88/BK88-1))</f>
        <v>3.4661006998521815E-2</v>
      </c>
      <c r="BM90" s="1442">
        <f>IF(ISERROR(BM88/BL88-1),,(BM88/BL88-1))</f>
        <v>0.21745076100669758</v>
      </c>
      <c r="BN90" s="1443"/>
      <c r="BO90" s="1442">
        <f>IF(ISERROR(BO88/BM88-1),,(BO88/BM88-1))</f>
        <v>-0.100639986207959</v>
      </c>
      <c r="BP90" s="1442">
        <f>IF(ISERROR(BP88/BO88-1),,(BP88/BO88-1))</f>
        <v>9.5119079096898318E-2</v>
      </c>
      <c r="BQ90" s="1442">
        <f>IF(ISERROR(BQ88/BP88-1),,(BQ88/BP88-1))</f>
        <v>5.9304192584832549E-2</v>
      </c>
      <c r="BR90" s="1442">
        <f>IF(ISERROR(BR88/BQ88-1),,(BR88/BQ88-1))</f>
        <v>0.21731818108365686</v>
      </c>
      <c r="BS90" s="1443"/>
      <c r="BT90" s="1442">
        <f>IF(ISERROR(BT88/BR88-1),,(BT88/BR88-1))</f>
        <v>-0.10743059768866425</v>
      </c>
      <c r="BU90" s="1442">
        <f>IF(ISERROR(BU88/BT88-1),,(BU88/BT88-1))</f>
        <v>6.107663587612433E-2</v>
      </c>
      <c r="BV90" s="1442">
        <f>IF(ISERROR(BV88/BU88-1),,(BV88/BU88-1))</f>
        <v>6.253060758061646E-2</v>
      </c>
      <c r="BW90" s="1442">
        <f>IF(ISERROR(BW88/BV88-1),,(BW88/BV88-1))</f>
        <v>0.21722331510987014</v>
      </c>
      <c r="BX90" s="1443"/>
      <c r="BY90" s="1343"/>
      <c r="BZ90" s="2682"/>
      <c r="CA90" s="2682"/>
      <c r="CB90" s="2682"/>
      <c r="CC90" s="2682"/>
      <c r="CD90" s="2682"/>
      <c r="CE90" s="2682"/>
      <c r="CF90" s="2682"/>
      <c r="CG90" s="2682"/>
      <c r="CH90" s="2682"/>
    </row>
    <row r="91" spans="1:86">
      <c r="A91" s="986" t="s">
        <v>915</v>
      </c>
      <c r="B91" s="1345"/>
      <c r="C91" s="1345"/>
      <c r="D91" s="1345"/>
      <c r="E91" s="1345"/>
      <c r="F91" s="1346"/>
      <c r="G91" s="1345"/>
      <c r="H91" s="1345"/>
      <c r="I91" s="1345"/>
      <c r="J91" s="1345"/>
      <c r="K91" s="1346"/>
      <c r="L91" s="1345"/>
      <c r="M91" s="1345"/>
      <c r="N91" s="1345"/>
      <c r="O91" s="1345"/>
      <c r="P91" s="1346"/>
      <c r="Q91" s="1345"/>
      <c r="R91" s="1345"/>
      <c r="S91" s="1345"/>
      <c r="T91" s="1345"/>
      <c r="U91" s="1346"/>
      <c r="V91" s="1345"/>
      <c r="W91" s="1345"/>
      <c r="X91" s="1345"/>
      <c r="Y91" s="1345"/>
      <c r="Z91" s="1346"/>
      <c r="AA91" s="1345"/>
      <c r="AB91" s="1345"/>
      <c r="AC91" s="1345"/>
      <c r="AD91" s="1345"/>
      <c r="AE91" s="1346"/>
      <c r="AF91" s="1347"/>
      <c r="AG91" s="1347"/>
      <c r="AH91" s="1347"/>
      <c r="AI91" s="1347"/>
      <c r="AJ91" s="1346"/>
      <c r="AK91" s="1002"/>
      <c r="AL91" s="1002"/>
      <c r="AM91" s="1002"/>
      <c r="AN91" s="1002"/>
      <c r="AO91" s="1010"/>
      <c r="AP91" s="1002"/>
      <c r="AQ91" s="1002"/>
      <c r="AR91" s="1002"/>
      <c r="AS91" s="1002"/>
      <c r="AT91" s="1010"/>
      <c r="AU91" s="1002">
        <f>AZ91/(1+AZ92)</f>
        <v>3766.990291262136</v>
      </c>
      <c r="AV91" s="1002">
        <f t="shared" ref="AV91:AX91" si="202">BA91/(1+BA92)</f>
        <v>4314.2857142857138</v>
      </c>
      <c r="AW91" s="1002">
        <f t="shared" si="202"/>
        <v>3919.0909090909086</v>
      </c>
      <c r="AX91" s="1002">
        <f t="shared" si="202"/>
        <v>5147.614333333333</v>
      </c>
      <c r="AY91" s="1010">
        <f>SUM(AU91:AX91)</f>
        <v>17147.981247972093</v>
      </c>
      <c r="AZ91" s="1002">
        <v>3880</v>
      </c>
      <c r="BA91" s="1002">
        <v>4530</v>
      </c>
      <c r="BB91" s="1002">
        <v>4311</v>
      </c>
      <c r="BC91" s="1002">
        <f>'Rev Detail - OLD'!BC91+388</f>
        <v>5250.5666199999996</v>
      </c>
      <c r="BD91" s="1010">
        <f>SUM(AZ91:BC91)</f>
        <v>17971.566619999998</v>
      </c>
      <c r="BE91" s="1002">
        <f>AZ91*(1+BE92)</f>
        <v>3957.6</v>
      </c>
      <c r="BF91" s="1002">
        <f>BA91*(1+BF92)</f>
        <v>4711.2</v>
      </c>
      <c r="BG91" s="1002">
        <f>BB91*(1+BG92)</f>
        <v>4440.33</v>
      </c>
      <c r="BH91" s="1002">
        <f>BC91*(1+BH92)</f>
        <v>5408.0836185999997</v>
      </c>
      <c r="BI91" s="1010">
        <f>SUM(BE91:BH91)</f>
        <v>18517.213618599999</v>
      </c>
      <c r="BJ91" s="1002">
        <f>BE91*(1+BJ92)</f>
        <v>4036.752</v>
      </c>
      <c r="BK91" s="1002">
        <f>BF91*(1+BK92)</f>
        <v>4805.424</v>
      </c>
      <c r="BL91" s="1002">
        <f>BG91*(1+BL92)</f>
        <v>4529.1365999999998</v>
      </c>
      <c r="BM91" s="1002">
        <f>BH91*(1+BM92)</f>
        <v>5516.2452909719996</v>
      </c>
      <c r="BN91" s="1010">
        <f>SUM(BJ91:BM91)</f>
        <v>18887.557890971999</v>
      </c>
      <c r="BO91" s="1002">
        <f>BJ91*(1+BO92)</f>
        <v>4117.48704</v>
      </c>
      <c r="BP91" s="1002">
        <f>BK91*(1+BP92)</f>
        <v>4901.5324799999999</v>
      </c>
      <c r="BQ91" s="1002">
        <f>BL91*(1+BQ92)</f>
        <v>4619.7193319999997</v>
      </c>
      <c r="BR91" s="1002">
        <f>BM91*(1+BR92)</f>
        <v>5626.5701967914392</v>
      </c>
      <c r="BS91" s="1010">
        <f>SUM(BO91:BR91)</f>
        <v>19265.309048791438</v>
      </c>
      <c r="BT91" s="1002">
        <f>BO91*(1+BT92)</f>
        <v>4158.6619104000001</v>
      </c>
      <c r="BU91" s="1002">
        <f>BP91*(1+BU92)</f>
        <v>4950.5478047999995</v>
      </c>
      <c r="BV91" s="1002">
        <f>BQ91*(1+BV92)</f>
        <v>4665.9165253199999</v>
      </c>
      <c r="BW91" s="1002">
        <f>BR91*(1+BW92)</f>
        <v>5682.8358987593538</v>
      </c>
      <c r="BX91" s="1010">
        <f>SUM(BT91:BW91)</f>
        <v>19457.962139279352</v>
      </c>
      <c r="BY91" s="1178"/>
      <c r="BZ91" s="1010"/>
      <c r="CA91" s="1010"/>
      <c r="CB91" s="1010">
        <f>SUM(AM91:AN91,AP91:AQ91)</f>
        <v>0</v>
      </c>
      <c r="CC91" s="1010">
        <f>SUM(AR91:AS91,AU91:AV91)</f>
        <v>8081.2760055478502</v>
      </c>
      <c r="CD91" s="1010">
        <f>SUM(AW91:AX91,AZ91:BA91)</f>
        <v>17476.705242424243</v>
      </c>
      <c r="CE91" s="1010">
        <f>SUM(BB91:BC91,BE91:BF91)</f>
        <v>18230.366620000001</v>
      </c>
      <c r="CF91" s="1010">
        <f>SUM(BG91:BH91,BJ91:BK91)</f>
        <v>18690.589618599999</v>
      </c>
      <c r="CG91" s="1010">
        <f>SUM(BL91:BM91,BO91:BP91)</f>
        <v>19064.401410972001</v>
      </c>
      <c r="CH91" s="1010">
        <f>SUM(BQ91:BR91,BT91:BU91)</f>
        <v>19355.499243991439</v>
      </c>
    </row>
    <row r="92" spans="1:86">
      <c r="A92" s="1452" t="s">
        <v>926</v>
      </c>
      <c r="B92" s="1453"/>
      <c r="C92" s="1453"/>
      <c r="D92" s="1453"/>
      <c r="E92" s="1453"/>
      <c r="F92" s="1454"/>
      <c r="G92" s="1453"/>
      <c r="H92" s="1453"/>
      <c r="I92" s="1453"/>
      <c r="J92" s="1453"/>
      <c r="K92" s="1454"/>
      <c r="L92" s="1453"/>
      <c r="M92" s="1453"/>
      <c r="N92" s="1453"/>
      <c r="O92" s="1453"/>
      <c r="P92" s="1454"/>
      <c r="Q92" s="1453"/>
      <c r="R92" s="1453"/>
      <c r="S92" s="1453"/>
      <c r="T92" s="1453"/>
      <c r="U92" s="1454"/>
      <c r="V92" s="1453"/>
      <c r="W92" s="1453"/>
      <c r="X92" s="1453"/>
      <c r="Y92" s="1453"/>
      <c r="Z92" s="1454"/>
      <c r="AA92" s="1453"/>
      <c r="AB92" s="1453"/>
      <c r="AC92" s="1453"/>
      <c r="AD92" s="1453"/>
      <c r="AE92" s="1454"/>
      <c r="AF92" s="1446"/>
      <c r="AG92" s="1453"/>
      <c r="AH92" s="1453"/>
      <c r="AI92" s="1453"/>
      <c r="AJ92" s="1443"/>
      <c r="AK92" s="1442"/>
      <c r="AL92" s="1442"/>
      <c r="AM92" s="1442"/>
      <c r="AN92" s="1442"/>
      <c r="AO92" s="1443"/>
      <c r="AP92" s="1442"/>
      <c r="AQ92" s="1442"/>
      <c r="AR92" s="1442"/>
      <c r="AS92" s="1442"/>
      <c r="AT92" s="1443"/>
      <c r="AU92" s="1442"/>
      <c r="AV92" s="1442"/>
      <c r="AW92" s="1442"/>
      <c r="AX92" s="1442"/>
      <c r="AY92" s="1443"/>
      <c r="AZ92" s="1455">
        <v>0.03</v>
      </c>
      <c r="BA92" s="1455">
        <v>0.05</v>
      </c>
      <c r="BB92" s="1455">
        <v>0.1</v>
      </c>
      <c r="BC92" s="1455">
        <v>0.02</v>
      </c>
      <c r="BD92" s="1443">
        <v>0.02</v>
      </c>
      <c r="BE92" s="1455">
        <v>0.02</v>
      </c>
      <c r="BF92" s="1455">
        <v>0.04</v>
      </c>
      <c r="BG92" s="1455">
        <v>0.03</v>
      </c>
      <c r="BH92" s="1455">
        <v>0.03</v>
      </c>
      <c r="BI92" s="1443">
        <f>IF(ISERROR(BI91/BD91-1),,(BI91/BD91-1))</f>
        <v>3.0361682436341741E-2</v>
      </c>
      <c r="BJ92" s="1455">
        <v>0.02</v>
      </c>
      <c r="BK92" s="1455">
        <v>0.02</v>
      </c>
      <c r="BL92" s="1455">
        <v>0.02</v>
      </c>
      <c r="BM92" s="1455">
        <v>0.02</v>
      </c>
      <c r="BN92" s="1443">
        <f>IF(ISERROR(BN91/BI91-1),,(BN91/BI91-1))</f>
        <v>2.0000000000000018E-2</v>
      </c>
      <c r="BO92" s="1455">
        <v>0.02</v>
      </c>
      <c r="BP92" s="1455">
        <v>0.02</v>
      </c>
      <c r="BQ92" s="1455">
        <v>0.02</v>
      </c>
      <c r="BR92" s="1455">
        <v>0.02</v>
      </c>
      <c r="BS92" s="1443">
        <f>IF(ISERROR(BS91/BN91-1),,(BS91/BN91-1))</f>
        <v>2.0000000000000018E-2</v>
      </c>
      <c r="BT92" s="1455">
        <v>0.01</v>
      </c>
      <c r="BU92" s="1455">
        <v>0.01</v>
      </c>
      <c r="BV92" s="1455">
        <v>0.01</v>
      </c>
      <c r="BW92" s="1455">
        <v>0.01</v>
      </c>
      <c r="BX92" s="1443">
        <f>IF(ISERROR(BX91/BS91-1),,(BX91/BS91-1))</f>
        <v>1.0000000000000009E-2</v>
      </c>
      <c r="BY92" s="1343"/>
      <c r="BZ92" s="1443"/>
      <c r="CA92" s="1443"/>
      <c r="CB92" s="1443"/>
      <c r="CC92" s="1443" t="e">
        <f t="shared" ref="CC92:CH92" si="203">CC91/CB91-1</f>
        <v>#DIV/0!</v>
      </c>
      <c r="CD92" s="1443">
        <f t="shared" si="203"/>
        <v>1.1626170459252188</v>
      </c>
      <c r="CE92" s="1443">
        <f t="shared" si="203"/>
        <v>4.3123767730903095E-2</v>
      </c>
      <c r="CF92" s="1443">
        <f t="shared" si="203"/>
        <v>2.5244857012096666E-2</v>
      </c>
      <c r="CG92" s="1443">
        <f t="shared" si="203"/>
        <v>2.0000000000000018E-2</v>
      </c>
      <c r="CH92" s="1443">
        <f t="shared" si="203"/>
        <v>1.5269182952259097E-2</v>
      </c>
    </row>
    <row r="93" spans="1:86">
      <c r="A93" s="1452" t="s">
        <v>952</v>
      </c>
      <c r="B93" s="1453"/>
      <c r="C93" s="1453"/>
      <c r="D93" s="1453"/>
      <c r="E93" s="1453"/>
      <c r="F93" s="1454"/>
      <c r="G93" s="1453"/>
      <c r="H93" s="1453"/>
      <c r="I93" s="1453"/>
      <c r="J93" s="1453"/>
      <c r="K93" s="1454"/>
      <c r="L93" s="1453"/>
      <c r="M93" s="1453"/>
      <c r="N93" s="1453"/>
      <c r="O93" s="1453"/>
      <c r="P93" s="1454"/>
      <c r="Q93" s="1453"/>
      <c r="R93" s="1453"/>
      <c r="S93" s="1453"/>
      <c r="T93" s="1453"/>
      <c r="U93" s="1454"/>
      <c r="V93" s="1453"/>
      <c r="W93" s="1453"/>
      <c r="X93" s="1453"/>
      <c r="Y93" s="1453"/>
      <c r="Z93" s="1454"/>
      <c r="AA93" s="1453"/>
      <c r="AB93" s="1453"/>
      <c r="AC93" s="1453"/>
      <c r="AD93" s="1453"/>
      <c r="AE93" s="1454"/>
      <c r="AF93" s="1446"/>
      <c r="AG93" s="1442"/>
      <c r="AH93" s="1442"/>
      <c r="AI93" s="1442"/>
      <c r="AJ93" s="1443"/>
      <c r="AK93" s="1442"/>
      <c r="AL93" s="1442"/>
      <c r="AM93" s="1442"/>
      <c r="AN93" s="1442"/>
      <c r="AO93" s="1443"/>
      <c r="AP93" s="1442"/>
      <c r="AQ93" s="1442"/>
      <c r="AR93" s="1442"/>
      <c r="AS93" s="1442"/>
      <c r="AT93" s="1443"/>
      <c r="AU93" s="1442"/>
      <c r="AV93" s="1442">
        <f>IF(ISERROR(AV91/AU91-1),,(AV91/AU91-1))</f>
        <v>0.14528718703976429</v>
      </c>
      <c r="AW93" s="1442">
        <f>IF(ISERROR(AW91/AV91-1),,(AW91/AV91-1))</f>
        <v>-9.1601444912703167E-2</v>
      </c>
      <c r="AX93" s="1442">
        <f>IF(ISERROR(AX91/AW91-1),,(AX91/AW91-1))</f>
        <v>0.31347153019407736</v>
      </c>
      <c r="AY93" s="1443"/>
      <c r="AZ93" s="1442">
        <f>IF(ISERROR(AZ91/AX91-1),,(AZ91/AX91-1))</f>
        <v>-0.24625277871438567</v>
      </c>
      <c r="BA93" s="1442">
        <f>IF(ISERROR(BA91/AZ91-1),,(BA91/AZ91-1))</f>
        <v>0.16752577319587636</v>
      </c>
      <c r="BB93" s="1442">
        <f>IF(ISERROR(BB91/BA91-1),,(BB91/BA91-1))</f>
        <v>-4.8344370860927133E-2</v>
      </c>
      <c r="BC93" s="1442">
        <f>IF(ISERROR(BC91/BB91-1),,(BC91/BB91-1))</f>
        <v>0.21794632799814417</v>
      </c>
      <c r="BD93" s="1443"/>
      <c r="BE93" s="1442">
        <f>IF(ISERROR(BE91/BC91-1),,(BE91/BC91-1))</f>
        <v>-0.24625277871438567</v>
      </c>
      <c r="BF93" s="1442">
        <f>IF(ISERROR(BF91/BE91-1),,(BF91/BE91-1))</f>
        <v>0.19041843541540326</v>
      </c>
      <c r="BG93" s="1442">
        <f>IF(ISERROR(BG91/BF91-1),,(BG91/BF91-1))</f>
        <v>-5.7494905756495185E-2</v>
      </c>
      <c r="BH93" s="1442">
        <f>IF(ISERROR(BH91/BG91-1),,(BH91/BG91-1))</f>
        <v>0.21794632799814417</v>
      </c>
      <c r="BI93" s="1443"/>
      <c r="BJ93" s="1442">
        <f>IF(ISERROR(BJ91/BH91-1),,(BJ91/BH91-1))</f>
        <v>-0.25357071290162458</v>
      </c>
      <c r="BK93" s="1442">
        <f>IF(ISERROR(BK91/BJ91-1),,(BK91/BJ91-1))</f>
        <v>0.19041843541540326</v>
      </c>
      <c r="BL93" s="1442">
        <f>IF(ISERROR(BL91/BK91-1),,(BL91/BK91-1))</f>
        <v>-5.7494905756495185E-2</v>
      </c>
      <c r="BM93" s="1442">
        <f>IF(ISERROR(BM91/BL91-1),,(BM91/BL91-1))</f>
        <v>0.21794632799814417</v>
      </c>
      <c r="BN93" s="1443"/>
      <c r="BO93" s="1442">
        <f>IF(ISERROR(BO91/BM91-1),,(BO91/BM91-1))</f>
        <v>-0.25357071290162458</v>
      </c>
      <c r="BP93" s="1442">
        <f>IF(ISERROR(BP91/BO91-1),,(BP91/BO91-1))</f>
        <v>0.19041843541540326</v>
      </c>
      <c r="BQ93" s="1442">
        <f>IF(ISERROR(BQ91/BP91-1),,(BQ91/BP91-1))</f>
        <v>-5.7494905756495185E-2</v>
      </c>
      <c r="BR93" s="1442">
        <f>IF(ISERROR(BR91/BQ91-1),,(BR91/BQ91-1))</f>
        <v>0.21794632799814417</v>
      </c>
      <c r="BS93" s="1443"/>
      <c r="BT93" s="1442">
        <f>IF(ISERROR(BT91/BR91-1),,(BT91/BR91-1))</f>
        <v>-0.2608886470888635</v>
      </c>
      <c r="BU93" s="1442">
        <f>IF(ISERROR(BU91/BT91-1),,(BU91/BT91-1))</f>
        <v>0.19041843541540304</v>
      </c>
      <c r="BV93" s="1442">
        <f>IF(ISERROR(BV91/BU91-1),,(BV91/BU91-1))</f>
        <v>-5.7494905756495074E-2</v>
      </c>
      <c r="BW93" s="1442">
        <f>IF(ISERROR(BW91/BV91-1),,(BW91/BV91-1))</f>
        <v>0.21794632799814417</v>
      </c>
      <c r="BX93" s="1443"/>
      <c r="BY93" s="1343"/>
      <c r="BZ93" s="1443"/>
      <c r="CA93" s="1443"/>
      <c r="CB93" s="1443"/>
      <c r="CC93" s="1443"/>
      <c r="CD93" s="1443"/>
      <c r="CE93" s="1443"/>
      <c r="CF93" s="1443"/>
      <c r="CG93" s="1443"/>
      <c r="CH93" s="1443"/>
    </row>
    <row r="94" spans="1:86">
      <c r="A94" s="986" t="s">
        <v>503</v>
      </c>
      <c r="B94" s="1345"/>
      <c r="C94" s="1345"/>
      <c r="D94" s="1345"/>
      <c r="E94" s="1345"/>
      <c r="F94" s="1346"/>
      <c r="G94" s="1345"/>
      <c r="H94" s="1345"/>
      <c r="I94" s="1345"/>
      <c r="J94" s="1345"/>
      <c r="K94" s="1346"/>
      <c r="L94" s="1345"/>
      <c r="M94" s="1345"/>
      <c r="N94" s="1345"/>
      <c r="O94" s="1345"/>
      <c r="P94" s="1346"/>
      <c r="Q94" s="1345"/>
      <c r="R94" s="1345"/>
      <c r="S94" s="1345"/>
      <c r="T94" s="1345"/>
      <c r="U94" s="1346"/>
      <c r="V94" s="1345"/>
      <c r="W94" s="1345"/>
      <c r="X94" s="1345"/>
      <c r="Y94" s="1345"/>
      <c r="Z94" s="1346"/>
      <c r="AA94" s="1345"/>
      <c r="AB94" s="1345"/>
      <c r="AC94" s="1345"/>
      <c r="AD94" s="1345"/>
      <c r="AE94" s="1346"/>
      <c r="AF94" s="1347"/>
      <c r="AG94" s="1347"/>
      <c r="AH94" s="1347"/>
      <c r="AI94" s="1347"/>
      <c r="AJ94" s="1346"/>
      <c r="AK94" s="1002">
        <v>1089</v>
      </c>
      <c r="AL94" s="1002">
        <v>1180</v>
      </c>
      <c r="AM94" s="1002">
        <v>1176</v>
      </c>
      <c r="AN94" s="1002">
        <v>1250</v>
      </c>
      <c r="AO94" s="1010">
        <f>SUM(AK94:AN94)</f>
        <v>4695</v>
      </c>
      <c r="AP94" s="1001">
        <f>AK94*(1+AP95)</f>
        <v>1230.57</v>
      </c>
      <c r="AQ94" s="1001">
        <f>AL94*(1+AQ95)</f>
        <v>1298</v>
      </c>
      <c r="AR94" s="1001">
        <f>AM94*(1+AR95)</f>
        <v>1258.3200000000002</v>
      </c>
      <c r="AS94" s="1001">
        <f>AN94*(1+AS95)</f>
        <v>1237.5</v>
      </c>
      <c r="AT94" s="1010">
        <f>SUM(AP94:AS94)</f>
        <v>5024.3899999999994</v>
      </c>
      <c r="AU94" s="1001">
        <f>AP94*(1+AU95)</f>
        <v>1341.3213000000001</v>
      </c>
      <c r="AV94" s="1001">
        <f>AQ94*(1+AV95)</f>
        <v>1427.8000000000002</v>
      </c>
      <c r="AW94" s="1001">
        <f>AR94*(1+AW95)</f>
        <v>1396.7352000000003</v>
      </c>
      <c r="AX94" s="1001">
        <f>AS94*(1+AX95)</f>
        <v>1386.0000000000002</v>
      </c>
      <c r="AY94" s="1010">
        <f>SUM(AU94:AX94)</f>
        <v>5551.8565000000008</v>
      </c>
      <c r="AZ94" s="1001">
        <f>2726-BA94</f>
        <v>1355</v>
      </c>
      <c r="BA94" s="1001">
        <v>1371</v>
      </c>
      <c r="BB94" s="1002">
        <v>1383</v>
      </c>
      <c r="BC94" s="1002">
        <f>AX94*(1+BC95)</f>
        <v>1344.42</v>
      </c>
      <c r="BD94" s="1010">
        <f>SUM(AZ94:BC94)</f>
        <v>5453.42</v>
      </c>
      <c r="BE94" s="1002">
        <f>2806-BF94</f>
        <v>1371</v>
      </c>
      <c r="BF94" s="1001">
        <v>1435</v>
      </c>
      <c r="BG94" s="1001">
        <v>1489</v>
      </c>
      <c r="BH94" s="1002">
        <f>BC94*(1+BH95)</f>
        <v>1411.6410000000001</v>
      </c>
      <c r="BI94" s="1010">
        <f>SUM(BE94:BH94)</f>
        <v>5706.6409999999996</v>
      </c>
      <c r="BJ94" s="1002">
        <f>BE94*(1+BJ95)</f>
        <v>1439.55</v>
      </c>
      <c r="BK94" s="1002">
        <f>BF94*(1+BK95)</f>
        <v>1506.75</v>
      </c>
      <c r="BL94" s="1002">
        <f>BG94*(1+BL95)</f>
        <v>1548.56</v>
      </c>
      <c r="BM94" s="1002">
        <f>BH94*(1+BM95)</f>
        <v>1468.1066400000002</v>
      </c>
      <c r="BN94" s="1010">
        <f>SUM(BJ94:BM94)</f>
        <v>5962.9666400000006</v>
      </c>
      <c r="BO94" s="1002">
        <f>BJ94*(1+BO95)</f>
        <v>1497.1320000000001</v>
      </c>
      <c r="BP94" s="1002">
        <f>BK94*(1+BP95)</f>
        <v>1567.02</v>
      </c>
      <c r="BQ94" s="1002">
        <f>BL94*(1+BQ95)</f>
        <v>1610.5024000000001</v>
      </c>
      <c r="BR94" s="1002">
        <f>BM94*(1+BR95)</f>
        <v>1526.8309056000003</v>
      </c>
      <c r="BS94" s="1010">
        <f>SUM(BO94:BR94)</f>
        <v>6201.4853056000011</v>
      </c>
      <c r="BT94" s="1002">
        <f>BO94*(1+BT95)</f>
        <v>1542.0459600000002</v>
      </c>
      <c r="BU94" s="1002">
        <f>BP94*(1+BU95)</f>
        <v>1614.0306</v>
      </c>
      <c r="BV94" s="1002">
        <f>BQ94*(1+BV95)</f>
        <v>1658.8174720000002</v>
      </c>
      <c r="BW94" s="1002">
        <f>BR94*(1+BW95)</f>
        <v>1572.6358327680002</v>
      </c>
      <c r="BX94" s="1010">
        <f>SUM(BT94:BW94)</f>
        <v>6387.5298647680002</v>
      </c>
      <c r="BY94" s="1343"/>
      <c r="BZ94" s="1010"/>
      <c r="CA94" s="1010"/>
      <c r="CB94" s="1010">
        <f>SUM(AM94:AN94,AP94:AQ94)</f>
        <v>4954.57</v>
      </c>
      <c r="CC94" s="1010">
        <f>SUM(AR94:AS94,AU94:AV94)</f>
        <v>5264.9413000000004</v>
      </c>
      <c r="CD94" s="1010">
        <f>SUM(AW94:AX94,AZ94:BA94)</f>
        <v>5508.735200000001</v>
      </c>
      <c r="CE94" s="1010">
        <f>SUM(BB94:BC94,BE94:BF94)</f>
        <v>5533.42</v>
      </c>
      <c r="CF94" s="1010">
        <f>SUM(BG94:BH94,BJ94:BK94)</f>
        <v>5846.9409999999998</v>
      </c>
      <c r="CG94" s="1010">
        <f>SUM(BL94:BM94,BO94:BP94)</f>
        <v>6080.8186400000013</v>
      </c>
      <c r="CH94" s="1010">
        <f>SUM(BQ94:BR94,BT94:BU94)</f>
        <v>6293.4098656000006</v>
      </c>
    </row>
    <row r="95" spans="1:86">
      <c r="A95" s="1452" t="s">
        <v>926</v>
      </c>
      <c r="B95" s="1453"/>
      <c r="C95" s="1453"/>
      <c r="D95" s="1453"/>
      <c r="E95" s="1453"/>
      <c r="F95" s="1454"/>
      <c r="G95" s="1453"/>
      <c r="H95" s="1453"/>
      <c r="I95" s="1453"/>
      <c r="J95" s="1453"/>
      <c r="K95" s="1454"/>
      <c r="L95" s="1453"/>
      <c r="M95" s="1453"/>
      <c r="N95" s="1453"/>
      <c r="O95" s="1453"/>
      <c r="P95" s="1454"/>
      <c r="Q95" s="1453"/>
      <c r="R95" s="1453"/>
      <c r="S95" s="1453"/>
      <c r="T95" s="1453"/>
      <c r="U95" s="1454"/>
      <c r="V95" s="1453"/>
      <c r="W95" s="1453"/>
      <c r="X95" s="1453"/>
      <c r="Y95" s="1453"/>
      <c r="Z95" s="1454"/>
      <c r="AA95" s="1453"/>
      <c r="AB95" s="1453"/>
      <c r="AC95" s="1453"/>
      <c r="AD95" s="1453"/>
      <c r="AE95" s="1454"/>
      <c r="AF95" s="1446"/>
      <c r="AG95" s="1453"/>
      <c r="AH95" s="1453"/>
      <c r="AI95" s="1453"/>
      <c r="AJ95" s="1443"/>
      <c r="AK95" s="1442"/>
      <c r="AL95" s="1442"/>
      <c r="AM95" s="1442"/>
      <c r="AN95" s="1442"/>
      <c r="AO95" s="1443"/>
      <c r="AP95" s="1442">
        <v>0.13</v>
      </c>
      <c r="AQ95" s="1442">
        <v>0.1</v>
      </c>
      <c r="AR95" s="1442">
        <v>7.0000000000000007E-2</v>
      </c>
      <c r="AS95" s="1442">
        <v>-0.01</v>
      </c>
      <c r="AT95" s="1443">
        <f>IF(ISERROR(AT94/AO94-1),,(AT94/AO94-1))</f>
        <v>7.0157614483493003E-2</v>
      </c>
      <c r="AU95" s="1442">
        <v>0.09</v>
      </c>
      <c r="AV95" s="1442">
        <v>0.1</v>
      </c>
      <c r="AW95" s="1442">
        <v>0.11</v>
      </c>
      <c r="AX95" s="1442">
        <v>0.12</v>
      </c>
      <c r="AY95" s="1443">
        <f>IF(ISERROR(AY94/AT94-1),,(AY94/AT94-1))</f>
        <v>0.10498120169811687</v>
      </c>
      <c r="AZ95" s="1442">
        <f>AZ94/AU94-1</f>
        <v>1.0197929459555999E-2</v>
      </c>
      <c r="BA95" s="1442">
        <f>BA94/AV94-1</f>
        <v>-3.978148200028031E-2</v>
      </c>
      <c r="BB95" s="1442">
        <f>BB94/AW94-1</f>
        <v>-9.8337895400647524E-3</v>
      </c>
      <c r="BC95" s="1455">
        <v>-0.03</v>
      </c>
      <c r="BD95" s="1443">
        <f>IF(ISERROR(BD94/AY94-1),,(BD94/AY94-1))</f>
        <v>-1.7730375415863309E-2</v>
      </c>
      <c r="BE95" s="1442">
        <f>BE94/AZ94-1</f>
        <v>1.1808118081180874E-2</v>
      </c>
      <c r="BF95" s="1442">
        <f>BF94/BA94-1</f>
        <v>4.6681254558716301E-2</v>
      </c>
      <c r="BG95" s="1442">
        <f>BG94/BB94-1</f>
        <v>7.6644974692696932E-2</v>
      </c>
      <c r="BH95" s="1455">
        <v>0.05</v>
      </c>
      <c r="BI95" s="1443">
        <f>IF(ISERROR(BI94/BD94-1),,(BI94/BD94-1))</f>
        <v>4.6433430764547756E-2</v>
      </c>
      <c r="BJ95" s="1455">
        <v>0.05</v>
      </c>
      <c r="BK95" s="1455">
        <v>0.05</v>
      </c>
      <c r="BL95" s="1455">
        <v>0.04</v>
      </c>
      <c r="BM95" s="1455">
        <v>0.04</v>
      </c>
      <c r="BN95" s="1443">
        <f>IF(ISERROR(BN94/BI94-1),,(BN94/BI94-1))</f>
        <v>4.49170781901298E-2</v>
      </c>
      <c r="BO95" s="1455">
        <v>0.04</v>
      </c>
      <c r="BP95" s="1455">
        <v>0.04</v>
      </c>
      <c r="BQ95" s="1455">
        <v>0.04</v>
      </c>
      <c r="BR95" s="1455">
        <v>0.04</v>
      </c>
      <c r="BS95" s="1443">
        <f>IF(ISERROR(BS94/BN94-1),,(BS94/BN94-1))</f>
        <v>4.0000000000000036E-2</v>
      </c>
      <c r="BT95" s="1455">
        <v>0.03</v>
      </c>
      <c r="BU95" s="1455">
        <v>0.03</v>
      </c>
      <c r="BV95" s="1455">
        <v>0.03</v>
      </c>
      <c r="BW95" s="1455">
        <v>0.03</v>
      </c>
      <c r="BX95" s="1443">
        <f>IF(ISERROR(BX94/BS94-1),,(BX94/BS94-1))</f>
        <v>2.9999999999999805E-2</v>
      </c>
      <c r="BY95" s="1343"/>
      <c r="BZ95" s="1443"/>
      <c r="CA95" s="1443"/>
      <c r="CB95" s="1443"/>
      <c r="CC95" s="1443">
        <f t="shared" ref="CC95:CH95" si="204">CC94/CB94-1</f>
        <v>6.2643438280214125E-2</v>
      </c>
      <c r="CD95" s="1443">
        <f t="shared" si="204"/>
        <v>4.6305150638621617E-2</v>
      </c>
      <c r="CE95" s="1443">
        <f t="shared" si="204"/>
        <v>4.481028603444015E-3</v>
      </c>
      <c r="CF95" s="1443">
        <f t="shared" si="204"/>
        <v>5.6659534248258758E-2</v>
      </c>
      <c r="CG95" s="1443">
        <f t="shared" si="204"/>
        <v>4.0000000000000258E-2</v>
      </c>
      <c r="CH95" s="1443">
        <f t="shared" si="204"/>
        <v>3.4960954796704691E-2</v>
      </c>
    </row>
    <row r="96" spans="1:86">
      <c r="A96" s="1452" t="s">
        <v>952</v>
      </c>
      <c r="B96" s="1453"/>
      <c r="C96" s="1453"/>
      <c r="D96" s="1453"/>
      <c r="E96" s="1453"/>
      <c r="F96" s="1454"/>
      <c r="G96" s="1453"/>
      <c r="H96" s="1453"/>
      <c r="I96" s="1453"/>
      <c r="J96" s="1453"/>
      <c r="K96" s="1454"/>
      <c r="L96" s="1453"/>
      <c r="M96" s="1453"/>
      <c r="N96" s="1453"/>
      <c r="O96" s="1453"/>
      <c r="P96" s="1454"/>
      <c r="Q96" s="1453"/>
      <c r="R96" s="1453"/>
      <c r="S96" s="1453"/>
      <c r="T96" s="1453"/>
      <c r="U96" s="1454"/>
      <c r="V96" s="1453"/>
      <c r="W96" s="1453"/>
      <c r="X96" s="1453"/>
      <c r="Y96" s="1453"/>
      <c r="Z96" s="1454"/>
      <c r="AA96" s="1453"/>
      <c r="AB96" s="1453"/>
      <c r="AC96" s="1453"/>
      <c r="AD96" s="1453"/>
      <c r="AE96" s="1454"/>
      <c r="AF96" s="1446"/>
      <c r="AG96" s="1442"/>
      <c r="AH96" s="1442"/>
      <c r="AI96" s="1442"/>
      <c r="AJ96" s="1443"/>
      <c r="AK96" s="1442"/>
      <c r="AL96" s="1442">
        <f>IF(ISERROR(AL94/AK94-1),,(AL94/AK94-1))</f>
        <v>8.356290174471992E-2</v>
      </c>
      <c r="AM96" s="1442">
        <f>IF(ISERROR(AM94/AL94-1),,(AM94/AL94-1))</f>
        <v>-3.3898305084745228E-3</v>
      </c>
      <c r="AN96" s="1442">
        <f>IF(ISERROR(AN94/AM94-1),,(AN94/AM94-1))</f>
        <v>6.2925170068027114E-2</v>
      </c>
      <c r="AO96" s="1443"/>
      <c r="AP96" s="1442">
        <f>IF(ISERROR(AP94/AN94-1),,(AP94/AN94-1))</f>
        <v>-1.5544000000000002E-2</v>
      </c>
      <c r="AQ96" s="1442">
        <f>IF(ISERROR(AQ94/AP94-1),,(AQ94/AP94-1))</f>
        <v>5.4795745061231749E-2</v>
      </c>
      <c r="AR96" s="1442">
        <f>IF(ISERROR(AR94/AQ94-1),,(AR94/AQ94-1))</f>
        <v>-3.0570107858243323E-2</v>
      </c>
      <c r="AS96" s="1442">
        <f>IF(ISERROR(AS94/AR94-1),,(AS94/AR94-1))</f>
        <v>-1.6545870684722574E-2</v>
      </c>
      <c r="AT96" s="1443"/>
      <c r="AU96" s="1442">
        <f>IF(ISERROR(AU94/AS94-1),,(AU94/AS94-1))</f>
        <v>8.3895999999999971E-2</v>
      </c>
      <c r="AV96" s="1442">
        <f>IF(ISERROR(AV94/AU94-1),,(AV94/AU94-1))</f>
        <v>6.4472770245279865E-2</v>
      </c>
      <c r="AW96" s="1442">
        <f>IF(ISERROR(AW94/AV94-1),,(AW94/AV94-1))</f>
        <v>-2.1757108838772798E-2</v>
      </c>
      <c r="AX96" s="1442">
        <f>IF(ISERROR(AX94/AW94-1),,(AX94/AW94-1))</f>
        <v>-7.6859235737740672E-3</v>
      </c>
      <c r="AY96" s="1443"/>
      <c r="AZ96" s="1442">
        <f>IF(ISERROR(AZ94/AX94-1),,(AZ94/AX94-1))</f>
        <v>-2.2366522366522479E-2</v>
      </c>
      <c r="BA96" s="1442">
        <f>IF(ISERROR(BA94/AZ94-1),,(BA94/AZ94-1))</f>
        <v>1.1808118081180874E-2</v>
      </c>
      <c r="BB96" s="1442">
        <f>IF(ISERROR(BB94/BA94-1),,(BB94/BA94-1))</f>
        <v>8.7527352297593897E-3</v>
      </c>
      <c r="BC96" s="1442">
        <f>IF(ISERROR(BC94/BB94-1),,(BC94/BB94-1))</f>
        <v>-2.7895878524945683E-2</v>
      </c>
      <c r="BD96" s="1443"/>
      <c r="BE96" s="1442">
        <f>IF(ISERROR(BE94/BC94-1),,(BE94/BC94-1))</f>
        <v>1.9770607399473228E-2</v>
      </c>
      <c r="BF96" s="1442">
        <f>IF(ISERROR(BF94/BE94-1),,(BF94/BE94-1))</f>
        <v>4.6681254558716301E-2</v>
      </c>
      <c r="BG96" s="1442">
        <f>IF(ISERROR(BG94/BF94-1),,(BG94/BF94-1))</f>
        <v>3.7630662020905925E-2</v>
      </c>
      <c r="BH96" s="1442">
        <f>IF(ISERROR(BH94/BG94-1),,(BH94/BG94-1))</f>
        <v>-5.195366017461378E-2</v>
      </c>
      <c r="BI96" s="1443"/>
      <c r="BJ96" s="1442">
        <f>IF(ISERROR(BJ94/BH94-1),,(BJ94/BH94-1))</f>
        <v>1.9770607399473228E-2</v>
      </c>
      <c r="BK96" s="1442">
        <f>IF(ISERROR(BK94/BJ94-1),,(BK94/BJ94-1))</f>
        <v>4.6681254558716301E-2</v>
      </c>
      <c r="BL96" s="1442">
        <f>IF(ISERROR(BL94/BK94-1),,(BL94/BK94-1))</f>
        <v>2.7748465239754383E-2</v>
      </c>
      <c r="BM96" s="1442">
        <f>IF(ISERROR(BM94/BL94-1),,(BM94/BL94-1))</f>
        <v>-5.1953660174613669E-2</v>
      </c>
      <c r="BN96" s="1443"/>
      <c r="BO96" s="1442">
        <f>IF(ISERROR(BO94/BM94-1),,(BO94/BM94-1))</f>
        <v>1.9770607399473228E-2</v>
      </c>
      <c r="BP96" s="1442">
        <f>IF(ISERROR(BP94/BO94-1),,(BP94/BO94-1))</f>
        <v>4.6681254558716301E-2</v>
      </c>
      <c r="BQ96" s="1442">
        <f>IF(ISERROR(BQ94/BP94-1),,(BQ94/BP94-1))</f>
        <v>2.7748465239754605E-2</v>
      </c>
      <c r="BR96" s="1442">
        <f>IF(ISERROR(BR94/BQ94-1),,(BR94/BQ94-1))</f>
        <v>-5.1953660174613669E-2</v>
      </c>
      <c r="BS96" s="1443"/>
      <c r="BT96" s="1442">
        <f>IF(ISERROR(BT94/BR94-1),,(BT94/BR94-1))</f>
        <v>9.9651207898630023E-3</v>
      </c>
      <c r="BU96" s="1442">
        <f>IF(ISERROR(BU94/BT94-1),,(BU94/BT94-1))</f>
        <v>4.6681254558716301E-2</v>
      </c>
      <c r="BV96" s="1442">
        <f>IF(ISERROR(BV94/BU94-1),,(BV94/BU94-1))</f>
        <v>2.7748465239754605E-2</v>
      </c>
      <c r="BW96" s="1442">
        <f>IF(ISERROR(BW94/BV94-1),,(BW94/BV94-1))</f>
        <v>-5.195366017461378E-2</v>
      </c>
      <c r="BX96" s="1443"/>
      <c r="BY96" s="1343"/>
      <c r="BZ96" s="1443"/>
      <c r="CA96" s="1443"/>
      <c r="CB96" s="1443"/>
      <c r="CC96" s="1443"/>
      <c r="CD96" s="1443"/>
      <c r="CE96" s="1443"/>
      <c r="CF96" s="1443"/>
      <c r="CG96" s="1443"/>
      <c r="CH96" s="1443"/>
    </row>
    <row r="97" spans="1:87">
      <c r="A97" s="986" t="s">
        <v>504</v>
      </c>
      <c r="B97" s="1345"/>
      <c r="C97" s="1345"/>
      <c r="D97" s="1345"/>
      <c r="E97" s="1345"/>
      <c r="F97" s="1346"/>
      <c r="G97" s="1345"/>
      <c r="H97" s="1345"/>
      <c r="I97" s="1345"/>
      <c r="J97" s="1345"/>
      <c r="K97" s="1346"/>
      <c r="L97" s="1345"/>
      <c r="M97" s="1345"/>
      <c r="N97" s="1345"/>
      <c r="O97" s="1345"/>
      <c r="P97" s="1346"/>
      <c r="Q97" s="1345"/>
      <c r="R97" s="1345"/>
      <c r="S97" s="1345"/>
      <c r="T97" s="1345"/>
      <c r="U97" s="1346"/>
      <c r="V97" s="1345"/>
      <c r="W97" s="1345"/>
      <c r="X97" s="1345"/>
      <c r="Y97" s="1345"/>
      <c r="Z97" s="1346"/>
      <c r="AA97" s="1345"/>
      <c r="AB97" s="1345"/>
      <c r="AC97" s="1345"/>
      <c r="AD97" s="1345"/>
      <c r="AE97" s="1346"/>
      <c r="AF97" s="1347"/>
      <c r="AG97" s="1347"/>
      <c r="AH97" s="1347"/>
      <c r="AI97" s="1347"/>
      <c r="AJ97" s="1346"/>
      <c r="AK97" s="1345">
        <f>AP97/(1+AP98)</f>
        <v>72.463768115942031</v>
      </c>
      <c r="AL97" s="1345">
        <f>AQ97/(1+AQ98)</f>
        <v>83.846658888373113</v>
      </c>
      <c r="AM97" s="1345">
        <f>AR97/(1+AR98)</f>
        <v>124.75722320281905</v>
      </c>
      <c r="AN97" s="1345">
        <v>141.5</v>
      </c>
      <c r="AO97" s="1010">
        <f>SUM(AK97:AN97)</f>
        <v>422.56765020713419</v>
      </c>
      <c r="AP97" s="1345">
        <f>AU97/(1+AU98)</f>
        <v>166.66666666666666</v>
      </c>
      <c r="AQ97" s="1345">
        <f>AV97/(1+AV98)</f>
        <v>176.07798366558353</v>
      </c>
      <c r="AR97" s="1345">
        <f>AW97/(1+AW98)</f>
        <v>243.27658524549713</v>
      </c>
      <c r="AS97" s="1345">
        <f>AN97*(1+AS98)</f>
        <v>318.375</v>
      </c>
      <c r="AT97" s="1010">
        <f>SUM(AP97:AS97)</f>
        <v>904.39623557774735</v>
      </c>
      <c r="AU97" s="1345">
        <f>AZ97/(1+AZ98)</f>
        <v>375</v>
      </c>
      <c r="AV97" s="1345">
        <f>BA97/(1+BA98)</f>
        <v>415.54404145077717</v>
      </c>
      <c r="AW97" s="1345">
        <f>BB97/(1+BB98)</f>
        <v>510.88082901554401</v>
      </c>
      <c r="AX97" s="1345">
        <f>AS97*(1+AX98)</f>
        <v>643.11749999999995</v>
      </c>
      <c r="AY97" s="1010">
        <f>SUM(AU97:AX97)</f>
        <v>1944.5423704663212</v>
      </c>
      <c r="AZ97" s="1345">
        <v>810</v>
      </c>
      <c r="BA97" s="1345">
        <v>802</v>
      </c>
      <c r="BB97" s="1345">
        <f>5297-BB91</f>
        <v>986</v>
      </c>
      <c r="BC97" s="1345">
        <f>AX97*(1+BC98)</f>
        <v>1266.9414749999999</v>
      </c>
      <c r="BD97" s="1010">
        <f>SUM(AZ97:BC97)</f>
        <v>3864.9414749999996</v>
      </c>
      <c r="BE97" s="1345">
        <f>AZ97*(1+BE98)</f>
        <v>1539</v>
      </c>
      <c r="BF97" s="1345">
        <f>BA97*(1+BF98)</f>
        <v>1587.96</v>
      </c>
      <c r="BG97" s="1345">
        <f>BB97*(1+BG98)</f>
        <v>1905.4450000000002</v>
      </c>
      <c r="BH97" s="1345">
        <f>BC97*(1+BH98)</f>
        <v>2318.5028992499997</v>
      </c>
      <c r="BI97" s="1010">
        <f>SUM(BE97:BH97)</f>
        <v>7350.9078992499999</v>
      </c>
      <c r="BJ97" s="1345">
        <f>BE97*(1+BJ98)</f>
        <v>2739.42</v>
      </c>
      <c r="BK97" s="1345">
        <f>BF97*(1+BK98)</f>
        <v>2794.8096</v>
      </c>
      <c r="BL97" s="1345">
        <f>BG97*(1+BL98)</f>
        <v>3334.5287500000004</v>
      </c>
      <c r="BM97" s="1345">
        <f>BH97*(1+BM98)</f>
        <v>4057.3800736874996</v>
      </c>
      <c r="BN97" s="1010">
        <f>SUM(BJ97:BM97)</f>
        <v>12926.1384236875</v>
      </c>
      <c r="BO97" s="1345">
        <f>BJ97*(1+BO98)</f>
        <v>4492.6488000000008</v>
      </c>
      <c r="BP97" s="1345">
        <f>BK97*(1+BP98)</f>
        <v>4527.5915520000008</v>
      </c>
      <c r="BQ97" s="1345">
        <f>BL97*(1+BQ98)</f>
        <v>5368.5912875000004</v>
      </c>
      <c r="BR97" s="1345">
        <f>BM97*(1+BR98)</f>
        <v>6532.3819186368737</v>
      </c>
      <c r="BS97" s="1010">
        <f>SUM(BO97:BR97)</f>
        <v>20921.213558136875</v>
      </c>
      <c r="BT97" s="1345">
        <f>BO97*(1+BT98)</f>
        <v>6694.0467120000012</v>
      </c>
      <c r="BU97" s="1345">
        <f>BP97*(1+BU98)</f>
        <v>6565.007750400001</v>
      </c>
      <c r="BV97" s="1345">
        <f>BQ97*(1+BV98)</f>
        <v>7569.713715375</v>
      </c>
      <c r="BW97" s="1345">
        <f>BR97*(1+BW98)</f>
        <v>9210.6585052779919</v>
      </c>
      <c r="BX97" s="1010">
        <f>SUM(BT97:BW97)</f>
        <v>30039.426683052996</v>
      </c>
      <c r="BY97" s="1343"/>
      <c r="BZ97" s="1010"/>
      <c r="CA97" s="1010"/>
      <c r="CB97" s="1010">
        <f>SUM(AM97:AN97,AP97:AQ97)</f>
        <v>609.00187353506931</v>
      </c>
      <c r="CC97" s="1010">
        <f>SUM(AR97:AS97,AU97:AV97)</f>
        <v>1352.1956266962743</v>
      </c>
      <c r="CD97" s="1010">
        <f>SUM(AW97:AX97,AZ97:BA97)</f>
        <v>2765.9983290155442</v>
      </c>
      <c r="CE97" s="1010">
        <f>SUM(BB97:BC97,BE97:BF97)</f>
        <v>5379.9014749999997</v>
      </c>
      <c r="CF97" s="1010">
        <f>SUM(BG97:BH97,BJ97:BK97)</f>
        <v>9758.1774992499995</v>
      </c>
      <c r="CG97" s="1010">
        <f>SUM(BL97:BM97,BO97:BP97)</f>
        <v>16412.1491756875</v>
      </c>
      <c r="CH97" s="1010">
        <f>SUM(BQ97:BR97,BT97:BU97)</f>
        <v>25160.027668536874</v>
      </c>
    </row>
    <row r="98" spans="1:87">
      <c r="A98" s="1456" t="s">
        <v>926</v>
      </c>
      <c r="B98" s="1453"/>
      <c r="C98" s="1453"/>
      <c r="D98" s="1453"/>
      <c r="E98" s="1453"/>
      <c r="F98" s="1454"/>
      <c r="G98" s="1453"/>
      <c r="H98" s="1453"/>
      <c r="I98" s="1453"/>
      <c r="J98" s="1453"/>
      <c r="K98" s="1454"/>
      <c r="L98" s="1453"/>
      <c r="M98" s="1453"/>
      <c r="N98" s="1453"/>
      <c r="O98" s="1453"/>
      <c r="P98" s="1454"/>
      <c r="Q98" s="1453"/>
      <c r="R98" s="1453"/>
      <c r="S98" s="1453"/>
      <c r="T98" s="1453"/>
      <c r="U98" s="1454"/>
      <c r="V98" s="1453"/>
      <c r="W98" s="1453"/>
      <c r="X98" s="1453"/>
      <c r="Y98" s="1453"/>
      <c r="Z98" s="1454"/>
      <c r="AA98" s="1453"/>
      <c r="AB98" s="1453"/>
      <c r="AC98" s="1453"/>
      <c r="AD98" s="1453"/>
      <c r="AE98" s="1454"/>
      <c r="AF98" s="1446"/>
      <c r="AG98" s="1453"/>
      <c r="AH98" s="1453"/>
      <c r="AI98" s="1453"/>
      <c r="AJ98" s="1443"/>
      <c r="AK98" s="1442"/>
      <c r="AL98" s="1442"/>
      <c r="AM98" s="1442"/>
      <c r="AN98" s="1442"/>
      <c r="AO98" s="1443"/>
      <c r="AP98" s="1442">
        <v>1.3</v>
      </c>
      <c r="AQ98" s="1442">
        <v>1.1000000000000001</v>
      </c>
      <c r="AR98" s="1442">
        <v>0.95</v>
      </c>
      <c r="AS98" s="1442">
        <v>1.25</v>
      </c>
      <c r="AT98" s="1443">
        <f>IF(ISERROR(AT97/AO97-1),,(AT97/AO97-1))</f>
        <v>1.1402401133509166</v>
      </c>
      <c r="AU98" s="1442">
        <v>1.25</v>
      </c>
      <c r="AV98" s="1442">
        <v>1.36</v>
      </c>
      <c r="AW98" s="1442">
        <v>1.1000000000000001</v>
      </c>
      <c r="AX98" s="1442">
        <v>1.02</v>
      </c>
      <c r="AY98" s="1443">
        <f>IF(ISERROR(AY97/AT97-1),,(AY97/AT97-1))</f>
        <v>1.1501000269247101</v>
      </c>
      <c r="AZ98" s="1442">
        <v>1.1599999999999999</v>
      </c>
      <c r="BA98" s="1442">
        <v>0.93</v>
      </c>
      <c r="BB98" s="1455">
        <v>0.93</v>
      </c>
      <c r="BC98" s="1455">
        <v>0.97</v>
      </c>
      <c r="BD98" s="1443">
        <f>IF(ISERROR(BD97/AY97-1),,(BD97/AY97-1))</f>
        <v>0.98758408852420487</v>
      </c>
      <c r="BE98" s="1455">
        <v>0.9</v>
      </c>
      <c r="BF98" s="1455">
        <v>0.98</v>
      </c>
      <c r="BG98" s="1455">
        <v>0.9325</v>
      </c>
      <c r="BH98" s="1455">
        <v>0.83</v>
      </c>
      <c r="BI98" s="1443">
        <f>IF(ISERROR(BI97/BD97-1),,(BI97/BD97-1))</f>
        <v>0.90194546199435033</v>
      </c>
      <c r="BJ98" s="1455">
        <v>0.78</v>
      </c>
      <c r="BK98" s="1455">
        <v>0.76</v>
      </c>
      <c r="BL98" s="1455">
        <v>0.75</v>
      </c>
      <c r="BM98" s="1455">
        <v>0.75</v>
      </c>
      <c r="BN98" s="1443">
        <f>IF(ISERROR(BN97/BI97-1),,(BN97/BI97-1))</f>
        <v>0.75844107977551056</v>
      </c>
      <c r="BO98" s="1455">
        <f>BJ98-0.14</f>
        <v>0.64</v>
      </c>
      <c r="BP98" s="1455">
        <f>BK98-0.14</f>
        <v>0.62</v>
      </c>
      <c r="BQ98" s="1455">
        <f>BL98-0.14</f>
        <v>0.61</v>
      </c>
      <c r="BR98" s="1455">
        <f>BM98-0.14</f>
        <v>0.61</v>
      </c>
      <c r="BS98" s="1443">
        <f>IF(ISERROR(BS97/BN97-1),,(BS97/BN97-1))</f>
        <v>0.61851999973930205</v>
      </c>
      <c r="BT98" s="1455">
        <f>BO98-0.15</f>
        <v>0.49</v>
      </c>
      <c r="BU98" s="1455">
        <f>BP98-0.17</f>
        <v>0.44999999999999996</v>
      </c>
      <c r="BV98" s="1455">
        <f>BQ98-0.2</f>
        <v>0.41</v>
      </c>
      <c r="BW98" s="1455">
        <f>BR98-0.2</f>
        <v>0.41</v>
      </c>
      <c r="BX98" s="1443">
        <f>IF(ISERROR(BX97/BS97-1),,(BX97/BS97-1))</f>
        <v>0.43583576543387381</v>
      </c>
      <c r="BY98" s="1343"/>
      <c r="BZ98" s="1443"/>
      <c r="CA98" s="1443"/>
      <c r="CB98" s="1443"/>
      <c r="CC98" s="1443">
        <f t="shared" ref="CC98:CH98" si="205">CC97/CB97-1</f>
        <v>1.2203472361212833</v>
      </c>
      <c r="CD98" s="1443">
        <f t="shared" si="205"/>
        <v>1.0455607712424837</v>
      </c>
      <c r="CE98" s="1443">
        <f t="shared" si="205"/>
        <v>0.94501255426093422</v>
      </c>
      <c r="CF98" s="1443">
        <f t="shared" si="205"/>
        <v>0.8138208561245075</v>
      </c>
      <c r="CG98" s="1443">
        <f t="shared" si="205"/>
        <v>0.68188672289973362</v>
      </c>
      <c r="CH98" s="1443">
        <f t="shared" si="205"/>
        <v>0.53301236780178884</v>
      </c>
    </row>
    <row r="99" spans="1:87">
      <c r="A99" s="1456" t="s">
        <v>952</v>
      </c>
      <c r="B99" s="1453"/>
      <c r="C99" s="1453"/>
      <c r="D99" s="1453"/>
      <c r="E99" s="1453"/>
      <c r="F99" s="1454"/>
      <c r="G99" s="1453"/>
      <c r="H99" s="1453"/>
      <c r="I99" s="1453"/>
      <c r="J99" s="1453"/>
      <c r="K99" s="1454"/>
      <c r="L99" s="1453"/>
      <c r="M99" s="1453"/>
      <c r="N99" s="1453"/>
      <c r="O99" s="1453"/>
      <c r="P99" s="1454"/>
      <c r="Q99" s="1453"/>
      <c r="R99" s="1453"/>
      <c r="S99" s="1453"/>
      <c r="T99" s="1453"/>
      <c r="U99" s="1454"/>
      <c r="V99" s="1453"/>
      <c r="W99" s="1453"/>
      <c r="X99" s="1453"/>
      <c r="Y99" s="1453"/>
      <c r="Z99" s="1454"/>
      <c r="AA99" s="1453"/>
      <c r="AB99" s="1453"/>
      <c r="AC99" s="1453"/>
      <c r="AD99" s="1453"/>
      <c r="AE99" s="1454"/>
      <c r="AF99" s="1446"/>
      <c r="AG99" s="1442"/>
      <c r="AH99" s="1442"/>
      <c r="AI99" s="1442"/>
      <c r="AJ99" s="1443"/>
      <c r="AK99" s="1442"/>
      <c r="AL99" s="1442">
        <f>IF(ISERROR(AL97/AK97-1),,(AL97/AK97-1))</f>
        <v>0.15708389265954903</v>
      </c>
      <c r="AM99" s="1442">
        <f>IF(ISERROR(AM97/AL97-1),,(AM97/AL97-1))</f>
        <v>0.48792122258456438</v>
      </c>
      <c r="AN99" s="1442">
        <f>IF(ISERROR(AN97/AM97-1),,(AN97/AM97-1))</f>
        <v>0.13420286511156188</v>
      </c>
      <c r="AO99" s="1443"/>
      <c r="AP99" s="1442">
        <f>IF(ISERROR(AP97/AN97-1),,(AP97/AN97-1))</f>
        <v>0.17785630153121312</v>
      </c>
      <c r="AQ99" s="1442">
        <f>IF(ISERROR(AQ97/AP97-1),,(AQ97/AP97-1))</f>
        <v>5.6467901993501268E-2</v>
      </c>
      <c r="AR99" s="1442">
        <f>IF(ISERROR(AR97/AQ97-1),,(AR97/AQ97-1))</f>
        <v>0.38164113525709542</v>
      </c>
      <c r="AS99" s="1442">
        <f>IF(ISERROR(AS97/AR97-1),,(AS97/AR97-1))</f>
        <v>0.30869561359026387</v>
      </c>
      <c r="AT99" s="1443"/>
      <c r="AU99" s="1442">
        <f>IF(ISERROR(AU97/AS97-1),,(AU97/AS97-1))</f>
        <v>0.17785630153121312</v>
      </c>
      <c r="AV99" s="1442">
        <f>IF(ISERROR(AV97/AU97-1),,(AV97/AU97-1))</f>
        <v>0.10811744386873912</v>
      </c>
      <c r="AW99" s="1442">
        <f>IF(ISERROR(AW97/AV97-1),,(AW97/AV97-1))</f>
        <v>0.22942643391521189</v>
      </c>
      <c r="AX99" s="1442">
        <f>IF(ISERROR(AX97/AW97-1),,(AX97/AW97-1))</f>
        <v>0.25884054259634892</v>
      </c>
      <c r="AY99" s="1443"/>
      <c r="AZ99" s="1442">
        <f>IF(ISERROR(AZ97/AX97-1),,(AZ97/AX97-1))</f>
        <v>0.259489906587832</v>
      </c>
      <c r="BA99" s="1442">
        <f>IF(ISERROR(BA97/AZ97-1),,(BA97/AZ97-1))</f>
        <v>-9.8765432098765205E-3</v>
      </c>
      <c r="BB99" s="1442">
        <f>IF(ISERROR(BB97/BA97-1),,(BB97/BA97-1))</f>
        <v>0.22942643391521189</v>
      </c>
      <c r="BC99" s="1442">
        <f>IF(ISERROR(BC97/BB97-1),,(BC97/BB97-1))</f>
        <v>0.28493050202839743</v>
      </c>
      <c r="BD99" s="1443"/>
      <c r="BE99" s="1442">
        <f>IF(ISERROR(BE97/BC97-1),,(BE97/BC97-1))</f>
        <v>0.21473645813039632</v>
      </c>
      <c r="BF99" s="1442">
        <f>IF(ISERROR(BF97/BE97-1),,(BF97/BE97-1))</f>
        <v>3.1812865497075959E-2</v>
      </c>
      <c r="BG99" s="1442">
        <f>IF(ISERROR(BG97/BF97-1),,(BG97/BF97-1))</f>
        <v>0.19993261795007444</v>
      </c>
      <c r="BH99" s="1442">
        <f>IF(ISERROR(BH97/BG97-1),,(BH97/BG97-1))</f>
        <v>0.21677765521964654</v>
      </c>
      <c r="BI99" s="1443"/>
      <c r="BJ99" s="1442">
        <f>IF(ISERROR(BJ97/BH97-1),,(BJ97/BH97-1))</f>
        <v>0.18154693741645112</v>
      </c>
      <c r="BK99" s="1442">
        <f>IF(ISERROR(BK97/BJ97-1),,(BK97/BJ97-1))</f>
        <v>2.0219462513962894E-2</v>
      </c>
      <c r="BL99" s="1442">
        <f>IF(ISERROR(BL97/BK97-1),,(BL97/BK97-1))</f>
        <v>0.19311481898444893</v>
      </c>
      <c r="BM99" s="1442">
        <f>IF(ISERROR(BM97/BL97-1),,(BM97/BL97-1))</f>
        <v>0.21677765521964654</v>
      </c>
      <c r="BN99" s="1443"/>
      <c r="BO99" s="1442">
        <f>IF(ISERROR(BO97/BM97-1),,(BO97/BM97-1))</f>
        <v>0.10727827277884594</v>
      </c>
      <c r="BP99" s="1442">
        <f>IF(ISERROR(BP97/BO97-1),,(BP97/BO97-1))</f>
        <v>7.7777617515975006E-3</v>
      </c>
      <c r="BQ99" s="1442">
        <f>IF(ISERROR(BQ97/BP97-1),,(BQ97/BP97-1))</f>
        <v>0.18574991269442132</v>
      </c>
      <c r="BR99" s="1442">
        <f>IF(ISERROR(BR97/BQ97-1),,(BR97/BQ97-1))</f>
        <v>0.21677765521964654</v>
      </c>
      <c r="BS99" s="1443"/>
      <c r="BT99" s="1442">
        <f>IF(ISERROR(BT97/BR97-1),,(BT97/BR97-1))</f>
        <v>2.4748215180422584E-2</v>
      </c>
      <c r="BU99" s="1442">
        <f>IF(ISERROR(BU97/BT97-1),,(BU97/BT97-1))</f>
        <v>-1.9276674805492444E-2</v>
      </c>
      <c r="BV99" s="1442">
        <f>IF(ISERROR(BV97/BU97-1),,(BV97/BU97-1))</f>
        <v>0.15303957027526471</v>
      </c>
      <c r="BW99" s="1442">
        <f>IF(ISERROR(BW97/BV97-1),,(BW97/BV97-1))</f>
        <v>0.21677765521964654</v>
      </c>
      <c r="BX99" s="1443"/>
      <c r="BY99" s="1343"/>
      <c r="BZ99" s="1443"/>
      <c r="CA99" s="1443"/>
      <c r="CB99" s="1443"/>
      <c r="CC99" s="1443"/>
      <c r="CD99" s="1443"/>
      <c r="CE99" s="1443"/>
      <c r="CF99" s="1443"/>
      <c r="CG99" s="1443"/>
      <c r="CH99" s="1443"/>
    </row>
    <row r="100" spans="1:87" ht="13.5" thickBot="1">
      <c r="A100" s="1175" t="s">
        <v>280</v>
      </c>
      <c r="B100" s="1345"/>
      <c r="C100" s="1345"/>
      <c r="D100" s="1345"/>
      <c r="E100" s="1345"/>
      <c r="F100" s="1346"/>
      <c r="G100" s="1345"/>
      <c r="H100" s="1345"/>
      <c r="I100" s="1345"/>
      <c r="J100" s="1345"/>
      <c r="K100" s="1346"/>
      <c r="L100" s="1345"/>
      <c r="M100" s="1345"/>
      <c r="N100" s="1345"/>
      <c r="O100" s="1345"/>
      <c r="P100" s="1346"/>
      <c r="Q100" s="1345"/>
      <c r="R100" s="1345"/>
      <c r="S100" s="1345"/>
      <c r="T100" s="1345"/>
      <c r="U100" s="1346"/>
      <c r="V100" s="1345"/>
      <c r="W100" s="1345"/>
      <c r="X100" s="1345"/>
      <c r="Y100" s="1345"/>
      <c r="Z100" s="1346"/>
      <c r="AA100" s="1345"/>
      <c r="AB100" s="1345"/>
      <c r="AC100" s="1345"/>
      <c r="AD100" s="1345"/>
      <c r="AE100" s="1346"/>
      <c r="AF100" s="1347"/>
      <c r="AG100" s="1347"/>
      <c r="AH100" s="1347"/>
      <c r="AI100" s="1347"/>
      <c r="AJ100" s="1346"/>
      <c r="AK100" s="1345"/>
      <c r="AL100" s="1001"/>
      <c r="AM100" s="1001"/>
      <c r="AN100" s="1001"/>
      <c r="AO100" s="1000"/>
      <c r="AP100" s="1001"/>
      <c r="AQ100" s="1001"/>
      <c r="AR100" s="1001"/>
      <c r="AS100" s="1001"/>
      <c r="AT100" s="1000"/>
      <c r="AU100" s="1001">
        <f>AU101-AU97-AU94-AU91</f>
        <v>99.688408737863938</v>
      </c>
      <c r="AV100" s="1001">
        <f t="shared" ref="AV100:AY100" si="206">AV101-AV97-AV94-AV91</f>
        <v>102.37024426350854</v>
      </c>
      <c r="AW100" s="1001">
        <f t="shared" si="206"/>
        <v>96.293061893547474</v>
      </c>
      <c r="AX100" s="1001">
        <f t="shared" si="206"/>
        <v>9.2681666666667297</v>
      </c>
      <c r="AY100" s="1000">
        <f t="shared" si="206"/>
        <v>307.61988156158259</v>
      </c>
      <c r="AZ100" s="1001">
        <f>AZ101-AZ91-AZ94-AZ97</f>
        <v>52</v>
      </c>
      <c r="BA100" s="1001">
        <f>BA101-BA91-BA94-BA97</f>
        <v>55</v>
      </c>
      <c r="BB100" s="1001">
        <f>BB101-BB91-BB94-BB97</f>
        <v>50</v>
      </c>
      <c r="BC100" s="1001">
        <f>BC101-BC91-BC94-BC97</f>
        <v>-39.92809499999953</v>
      </c>
      <c r="BD100" s="1000">
        <f>SUM(AZ100:BC100)</f>
        <v>117.07190500000047</v>
      </c>
      <c r="BE100" s="1001">
        <f>BE101-BE91-BE94-BE97</f>
        <v>54.400000000000091</v>
      </c>
      <c r="BF100" s="1001">
        <f>BF101-BF91-BF94-BF97</f>
        <v>60.840000000000146</v>
      </c>
      <c r="BG100" s="1001">
        <f>BG101-BG91-BG94-BG97</f>
        <v>61.224999999999909</v>
      </c>
      <c r="BH100" s="1001">
        <v>0</v>
      </c>
      <c r="BI100" s="1000">
        <f>SUM(BE100:BH100)</f>
        <v>176.46500000000015</v>
      </c>
      <c r="BJ100" s="1001">
        <f>BE100</f>
        <v>54.400000000000091</v>
      </c>
      <c r="BK100" s="1001">
        <f>BF100</f>
        <v>60.840000000000146</v>
      </c>
      <c r="BL100" s="1001">
        <f>BG100</f>
        <v>61.224999999999909</v>
      </c>
      <c r="BM100" s="1001">
        <v>50</v>
      </c>
      <c r="BN100" s="1000">
        <f>SUM(BJ100:BM100)</f>
        <v>226.46500000000015</v>
      </c>
      <c r="BO100" s="1001">
        <f>BJ100</f>
        <v>54.400000000000091</v>
      </c>
      <c r="BP100" s="1001">
        <f t="shared" ref="BP100:BR100" si="207">BK100</f>
        <v>60.840000000000146</v>
      </c>
      <c r="BQ100" s="1001">
        <f t="shared" si="207"/>
        <v>61.224999999999909</v>
      </c>
      <c r="BR100" s="1001">
        <f t="shared" si="207"/>
        <v>50</v>
      </c>
      <c r="BS100" s="1000">
        <f>SUM(BO100:BR100)</f>
        <v>226.46500000000015</v>
      </c>
      <c r="BT100" s="1001">
        <f>BO100</f>
        <v>54.400000000000091</v>
      </c>
      <c r="BU100" s="1001">
        <f t="shared" ref="BU100" si="208">BP100</f>
        <v>60.840000000000146</v>
      </c>
      <c r="BV100" s="1001">
        <f t="shared" ref="BV100" si="209">BQ100</f>
        <v>61.224999999999909</v>
      </c>
      <c r="BW100" s="1001">
        <f t="shared" ref="BW100" si="210">BR100</f>
        <v>50</v>
      </c>
      <c r="BX100" s="1000">
        <f>SUM(BT100:BW100)</f>
        <v>226.46500000000015</v>
      </c>
      <c r="BY100" s="1343"/>
      <c r="BZ100" s="1000"/>
      <c r="CA100" s="1000"/>
      <c r="CB100" s="1000">
        <f>SUM(AM100:AN100,AP100:AQ100)</f>
        <v>0</v>
      </c>
      <c r="CC100" s="1000">
        <f>SUM(AR100:AS100,AU100:AV100)</f>
        <v>202.05865300137248</v>
      </c>
      <c r="CD100" s="1000">
        <f>SUM(AW100:AX100,AZ100:BA100)</f>
        <v>212.5612285602142</v>
      </c>
      <c r="CE100" s="1000">
        <f>SUM(BB100:BC100,BE100:BF100)</f>
        <v>125.31190500000071</v>
      </c>
      <c r="CF100" s="1000">
        <f>SUM(BG100:BH100,BJ100:BK100)</f>
        <v>176.46500000000015</v>
      </c>
      <c r="CG100" s="1000">
        <f>SUM(BL100:BM100,BO100:BP100)</f>
        <v>226.46500000000015</v>
      </c>
      <c r="CH100" s="1000">
        <f>SUM(BQ100:BR100,BT100:BU100)</f>
        <v>226.46500000000015</v>
      </c>
    </row>
    <row r="101" spans="1:87" ht="13.5" thickBot="1">
      <c r="A101" s="1477" t="s">
        <v>1045</v>
      </c>
      <c r="B101" s="1497"/>
      <c r="C101" s="1497"/>
      <c r="D101" s="1497"/>
      <c r="E101" s="1497"/>
      <c r="F101" s="1498"/>
      <c r="G101" s="1497"/>
      <c r="H101" s="1497"/>
      <c r="I101" s="1497"/>
      <c r="J101" s="1497"/>
      <c r="K101" s="1498"/>
      <c r="L101" s="1497"/>
      <c r="M101" s="1497"/>
      <c r="N101" s="1497"/>
      <c r="O101" s="1497"/>
      <c r="P101" s="1498"/>
      <c r="Q101" s="1497"/>
      <c r="R101" s="1497"/>
      <c r="S101" s="1497"/>
      <c r="T101" s="1497"/>
      <c r="U101" s="1498"/>
      <c r="V101" s="1497"/>
      <c r="W101" s="1497"/>
      <c r="X101" s="1497"/>
      <c r="Y101" s="1497"/>
      <c r="Z101" s="1498"/>
      <c r="AA101" s="1497"/>
      <c r="AB101" s="1497"/>
      <c r="AC101" s="1497"/>
      <c r="AD101" s="1497"/>
      <c r="AE101" s="1479"/>
      <c r="AF101" s="1478"/>
      <c r="AG101" s="1478"/>
      <c r="AH101" s="1478"/>
      <c r="AI101" s="1478"/>
      <c r="AJ101" s="1479"/>
      <c r="AK101" s="1478"/>
      <c r="AL101" s="1478"/>
      <c r="AM101" s="1478"/>
      <c r="AN101" s="1478"/>
      <c r="AO101" s="1479"/>
      <c r="AP101" s="1478"/>
      <c r="AQ101" s="1478"/>
      <c r="AR101" s="1478"/>
      <c r="AS101" s="1478"/>
      <c r="AT101" s="1479"/>
      <c r="AU101" s="1478">
        <f>AU28</f>
        <v>5583</v>
      </c>
      <c r="AV101" s="1478">
        <f>AV28</f>
        <v>6260</v>
      </c>
      <c r="AW101" s="1478">
        <f>AW28</f>
        <v>5923</v>
      </c>
      <c r="AX101" s="1478">
        <f>AX28</f>
        <v>7186</v>
      </c>
      <c r="AY101" s="1479">
        <f>SUM(AU101:AX101)</f>
        <v>24952</v>
      </c>
      <c r="AZ101" s="1478">
        <f>AZ28</f>
        <v>6097</v>
      </c>
      <c r="BA101" s="1478">
        <f>BA28</f>
        <v>6758</v>
      </c>
      <c r="BB101" s="1478">
        <f>BB28</f>
        <v>6730</v>
      </c>
      <c r="BC101" s="1478">
        <f>BC28</f>
        <v>7822</v>
      </c>
      <c r="BD101" s="1479">
        <f>SUM(AZ101:BC101)</f>
        <v>27407</v>
      </c>
      <c r="BE101" s="1478">
        <f>BE28</f>
        <v>6922</v>
      </c>
      <c r="BF101" s="1478">
        <f>BF28</f>
        <v>7795</v>
      </c>
      <c r="BG101" s="1478">
        <f>BG28</f>
        <v>7896</v>
      </c>
      <c r="BH101" s="1478">
        <f>BH97+BH94+BH91+BH100</f>
        <v>9138.2275178499985</v>
      </c>
      <c r="BI101" s="1479">
        <f>SUM(BE101:BH101)</f>
        <v>31751.227517849999</v>
      </c>
      <c r="BJ101" s="1478">
        <f t="shared" ref="BJ101:BM101" si="211">BJ97+BJ94+BJ91+BJ100</f>
        <v>8270.1219999999994</v>
      </c>
      <c r="BK101" s="1478">
        <f t="shared" si="211"/>
        <v>9167.8235999999997</v>
      </c>
      <c r="BL101" s="1478">
        <f t="shared" si="211"/>
        <v>9473.450350000001</v>
      </c>
      <c r="BM101" s="1478">
        <f t="shared" si="211"/>
        <v>11091.7320046595</v>
      </c>
      <c r="BN101" s="1479">
        <f>SUM(BJ101:BM101)</f>
        <v>38003.127954659496</v>
      </c>
      <c r="BO101" s="1478">
        <f t="shared" ref="BO101" si="212">BO97+BO94+BO91+BO100</f>
        <v>10161.66784</v>
      </c>
      <c r="BP101" s="1478">
        <f t="shared" ref="BP101" si="213">BP97+BP94+BP91+BP100</f>
        <v>11056.984032</v>
      </c>
      <c r="BQ101" s="1478">
        <f t="shared" ref="BQ101" si="214">BQ97+BQ94+BQ91+BQ100</f>
        <v>11660.038019500002</v>
      </c>
      <c r="BR101" s="1478">
        <f t="shared" ref="BR101" si="215">BR97+BR94+BR91+BR100</f>
        <v>13735.783021028314</v>
      </c>
      <c r="BS101" s="1479">
        <f>SUM(BO101:BR101)</f>
        <v>46614.472912528319</v>
      </c>
      <c r="BT101" s="1478">
        <f t="shared" ref="BT101:BW101" si="216">BT97+BT94+BT91</f>
        <v>12394.754582400001</v>
      </c>
      <c r="BU101" s="1478">
        <f t="shared" si="216"/>
        <v>13129.586155200001</v>
      </c>
      <c r="BV101" s="1478">
        <f t="shared" si="216"/>
        <v>13894.447712695001</v>
      </c>
      <c r="BW101" s="1478">
        <f t="shared" si="216"/>
        <v>16466.130236805348</v>
      </c>
      <c r="BX101" s="1479">
        <f>SUM(BT101:BW101)</f>
        <v>55884.918687100348</v>
      </c>
      <c r="BY101" s="1343"/>
      <c r="BZ101" s="1479"/>
      <c r="CA101" s="1479"/>
      <c r="CB101" s="1479">
        <f>SUM(AM101:AN101,AP101:AQ101)</f>
        <v>0</v>
      </c>
      <c r="CC101" s="1479">
        <f>SUM(AR101:AS101,AU101:AV101)</f>
        <v>11843</v>
      </c>
      <c r="CD101" s="1479">
        <f>SUM(AW101:AX101,AZ101:BA101)</f>
        <v>25964</v>
      </c>
      <c r="CE101" s="1479">
        <f>SUM(BB101:BC101,BE101:BF101)</f>
        <v>29269</v>
      </c>
      <c r="CF101" s="1479">
        <f>SUM(BG101:BH101,BJ101:BK101)</f>
        <v>34472.173117849998</v>
      </c>
      <c r="CG101" s="1479">
        <f>SUM(BL101:BM101,BO101:BP101)</f>
        <v>41783.834226659499</v>
      </c>
      <c r="CH101" s="1479">
        <f>SUM(BQ101:BR101,BT101:BU101)</f>
        <v>50920.161778128313</v>
      </c>
    </row>
    <row r="102" spans="1:87">
      <c r="A102" s="1499" t="s">
        <v>926</v>
      </c>
      <c r="B102" s="1500"/>
      <c r="C102" s="1500"/>
      <c r="D102" s="1500"/>
      <c r="E102" s="1500"/>
      <c r="F102" s="1501"/>
      <c r="G102" s="1500"/>
      <c r="H102" s="1500"/>
      <c r="I102" s="1500"/>
      <c r="J102" s="1500"/>
      <c r="K102" s="1501"/>
      <c r="L102" s="1500"/>
      <c r="M102" s="1500"/>
      <c r="N102" s="1500"/>
      <c r="O102" s="1500"/>
      <c r="P102" s="1501"/>
      <c r="Q102" s="1500"/>
      <c r="R102" s="1500"/>
      <c r="S102" s="1500"/>
      <c r="T102" s="1500"/>
      <c r="U102" s="1501"/>
      <c r="V102" s="1500"/>
      <c r="W102" s="1500"/>
      <c r="X102" s="1500"/>
      <c r="Y102" s="1500"/>
      <c r="Z102" s="1501"/>
      <c r="AA102" s="1502"/>
      <c r="AB102" s="1502"/>
      <c r="AC102" s="1502"/>
      <c r="AD102" s="1502"/>
      <c r="AE102" s="1501"/>
      <c r="AF102" s="1502"/>
      <c r="AG102" s="1502"/>
      <c r="AH102" s="1502"/>
      <c r="AI102" s="1502"/>
      <c r="AJ102" s="1503"/>
      <c r="AK102" s="1502"/>
      <c r="AL102" s="1502"/>
      <c r="AM102" s="1502"/>
      <c r="AN102" s="1502"/>
      <c r="AO102" s="1503"/>
      <c r="AP102" s="1502"/>
      <c r="AQ102" s="1502"/>
      <c r="AR102" s="1502"/>
      <c r="AS102" s="1502"/>
      <c r="AT102" s="1503"/>
      <c r="AU102" s="1502"/>
      <c r="AV102" s="1502"/>
      <c r="AW102" s="1502"/>
      <c r="AX102" s="1502"/>
      <c r="AY102" s="1503"/>
      <c r="AZ102" s="1502">
        <f t="shared" ref="AZ102:BS102" si="217">IF(ISERROR(AZ101/AU101-1),,(AZ101/AU101-1))</f>
        <v>9.2065197922263975E-2</v>
      </c>
      <c r="BA102" s="1502">
        <f t="shared" si="217"/>
        <v>7.9552715654952033E-2</v>
      </c>
      <c r="BB102" s="1502">
        <f t="shared" si="217"/>
        <v>0.13624852270808718</v>
      </c>
      <c r="BC102" s="1502">
        <f t="shared" si="217"/>
        <v>8.8505427219593757E-2</v>
      </c>
      <c r="BD102" s="1503">
        <f t="shared" si="217"/>
        <v>9.8388906700865641E-2</v>
      </c>
      <c r="BE102" s="1502">
        <f t="shared" si="217"/>
        <v>0.13531244874528459</v>
      </c>
      <c r="BF102" s="1502">
        <f t="shared" si="217"/>
        <v>0.1534477656111275</v>
      </c>
      <c r="BG102" s="1502">
        <f t="shared" si="217"/>
        <v>0.17325408618127791</v>
      </c>
      <c r="BH102" s="1502">
        <f t="shared" si="217"/>
        <v>0.16827250292124751</v>
      </c>
      <c r="BI102" s="1503">
        <f t="shared" si="217"/>
        <v>0.15850795482358526</v>
      </c>
      <c r="BJ102" s="1502">
        <f t="shared" si="217"/>
        <v>0.19475902918231713</v>
      </c>
      <c r="BK102" s="1502">
        <f t="shared" si="217"/>
        <v>0.17611592046183455</v>
      </c>
      <c r="BL102" s="1502">
        <f t="shared" si="217"/>
        <v>0.19977841312056754</v>
      </c>
      <c r="BM102" s="1502">
        <f t="shared" si="217"/>
        <v>0.21377280035911306</v>
      </c>
      <c r="BN102" s="1503">
        <f t="shared" si="217"/>
        <v>0.19690263733251845</v>
      </c>
      <c r="BO102" s="1502">
        <f t="shared" si="217"/>
        <v>0.22872042758256783</v>
      </c>
      <c r="BP102" s="1502">
        <f t="shared" si="217"/>
        <v>0.2060642213927415</v>
      </c>
      <c r="BQ102" s="1502">
        <f t="shared" si="217"/>
        <v>0.23081217388762698</v>
      </c>
      <c r="BR102" s="1502">
        <f t="shared" si="217"/>
        <v>0.23838035531854551</v>
      </c>
      <c r="BS102" s="1503">
        <f t="shared" si="217"/>
        <v>0.22659568886389536</v>
      </c>
      <c r="BT102" s="1502">
        <f t="shared" ref="BT102" si="218">IF(ISERROR(BT101/BO101-1),,(BT101/BO101-1))</f>
        <v>0.21975592762536111</v>
      </c>
      <c r="BU102" s="1502">
        <f t="shared" ref="BU102" si="219">IF(ISERROR(BU101/BP101-1),,(BU101/BP101-1))</f>
        <v>0.18744732896436189</v>
      </c>
      <c r="BV102" s="1502">
        <f t="shared" ref="BV102" si="220">IF(ISERROR(BV101/BQ101-1),,(BV101/BQ101-1))</f>
        <v>0.19162970905053811</v>
      </c>
      <c r="BW102" s="1502">
        <f t="shared" ref="BW102" si="221">IF(ISERROR(BW101/BR101-1),,(BW101/BR101-1))</f>
        <v>0.19877623369538555</v>
      </c>
      <c r="BX102" s="1503">
        <f t="shared" ref="BX102" si="222">IF(ISERROR(BX101/BS101-1),,(BX101/BS101-1))</f>
        <v>0.19887483854999166</v>
      </c>
      <c r="BY102" s="1438"/>
      <c r="BZ102" s="1503"/>
      <c r="CA102" s="1503"/>
      <c r="CB102" s="1503"/>
      <c r="CC102" s="1503" t="e">
        <f t="shared" ref="CC102:CH102" si="223">CC101/CB101-1</f>
        <v>#DIV/0!</v>
      </c>
      <c r="CD102" s="1503">
        <f t="shared" si="223"/>
        <v>1.192349911340032</v>
      </c>
      <c r="CE102" s="1503">
        <f t="shared" si="223"/>
        <v>0.12729163457094428</v>
      </c>
      <c r="CF102" s="1503">
        <f t="shared" si="223"/>
        <v>0.17777078539922786</v>
      </c>
      <c r="CG102" s="1503">
        <f t="shared" si="223"/>
        <v>0.21210328353286956</v>
      </c>
      <c r="CH102" s="1503">
        <f t="shared" si="223"/>
        <v>0.21865699308273467</v>
      </c>
    </row>
    <row r="103" spans="1:87">
      <c r="A103" s="1499" t="s">
        <v>952</v>
      </c>
      <c r="B103" s="1500"/>
      <c r="C103" s="1500"/>
      <c r="D103" s="1500"/>
      <c r="E103" s="1500"/>
      <c r="F103" s="1501"/>
      <c r="G103" s="1500"/>
      <c r="H103" s="1500"/>
      <c r="I103" s="1500"/>
      <c r="J103" s="1500"/>
      <c r="K103" s="1501"/>
      <c r="L103" s="1500"/>
      <c r="M103" s="1500"/>
      <c r="N103" s="1500"/>
      <c r="O103" s="1500"/>
      <c r="P103" s="1501"/>
      <c r="Q103" s="1500"/>
      <c r="R103" s="1500"/>
      <c r="S103" s="1500"/>
      <c r="T103" s="1500"/>
      <c r="U103" s="1501"/>
      <c r="V103" s="1500"/>
      <c r="W103" s="1500"/>
      <c r="X103" s="1500"/>
      <c r="Y103" s="1500"/>
      <c r="Z103" s="1501"/>
      <c r="AA103" s="1504"/>
      <c r="AB103" s="1502"/>
      <c r="AC103" s="1502"/>
      <c r="AD103" s="1502"/>
      <c r="AE103" s="1501"/>
      <c r="AF103" s="1502"/>
      <c r="AG103" s="1502"/>
      <c r="AH103" s="1502"/>
      <c r="AI103" s="1502"/>
      <c r="AJ103" s="1503"/>
      <c r="AK103" s="1502"/>
      <c r="AL103" s="1502"/>
      <c r="AM103" s="1502"/>
      <c r="AN103" s="1502"/>
      <c r="AO103" s="1505"/>
      <c r="AP103" s="1502"/>
      <c r="AQ103" s="1502"/>
      <c r="AR103" s="1502"/>
      <c r="AS103" s="1502"/>
      <c r="AT103" s="1505"/>
      <c r="AU103" s="1502"/>
      <c r="AV103" s="1502">
        <f>IF(ISERROR(AV101/AU101-1),,(AV101/AU101-1))</f>
        <v>0.12126097080422715</v>
      </c>
      <c r="AW103" s="1502">
        <f>IF(ISERROR(AW101/AV101-1),,(AW101/AV101-1))</f>
        <v>-5.3833865814696513E-2</v>
      </c>
      <c r="AX103" s="1502">
        <f>IF(ISERROR(AX101/AW101-1),,(AX101/AW101-1))</f>
        <v>0.21323653553942257</v>
      </c>
      <c r="AY103" s="1503"/>
      <c r="AZ103" s="1502">
        <f>IF(ISERROR(AZ101/AX101-1),,(AZ101/AX101-1))</f>
        <v>-0.1515446701920401</v>
      </c>
      <c r="BA103" s="1502">
        <f>IF(ISERROR(BA101/AZ101-1),,(BA101/AZ101-1))</f>
        <v>0.10841397408561582</v>
      </c>
      <c r="BB103" s="1502">
        <f>IF(ISERROR(BB101/BA101-1),,(BB101/BA101-1))</f>
        <v>-4.1432376442734897E-3</v>
      </c>
      <c r="BC103" s="1502">
        <f>IF(ISERROR(BC101/BB101-1),,(BC101/BB101-1))</f>
        <v>0.16225854383358107</v>
      </c>
      <c r="BD103" s="1503"/>
      <c r="BE103" s="1502">
        <f>IF(ISERROR(BE101/BC101-1),,(BE101/BC101-1))</f>
        <v>-0.11506008693428793</v>
      </c>
      <c r="BF103" s="1502">
        <f>IF(ISERROR(BF101/BE101-1),,(BF101/BE101-1))</f>
        <v>0.126119618607339</v>
      </c>
      <c r="BG103" s="1502">
        <f>IF(ISERROR(BG101/BF101-1),,(BG101/BF101-1))</f>
        <v>1.295702373316221E-2</v>
      </c>
      <c r="BH103" s="1502">
        <f>IF(ISERROR(BH101/BG101-1),,(BH101/BG101-1))</f>
        <v>0.1573236471441235</v>
      </c>
      <c r="BI103" s="1503"/>
      <c r="BJ103" s="1502">
        <f>IF(ISERROR(BJ101/BH101-1),,(BJ101/BH101-1))</f>
        <v>-9.4997144266139144E-2</v>
      </c>
      <c r="BK103" s="1502">
        <f>IF(ISERROR(BK101/BJ101-1),,(BK101/BJ101-1))</f>
        <v>0.10854756435273871</v>
      </c>
      <c r="BL103" s="1502">
        <f>IF(ISERROR(BL101/BK101-1),,(BL101/BK101-1))</f>
        <v>3.3336892520488881E-2</v>
      </c>
      <c r="BM103" s="1502">
        <f>IF(ISERROR(BM101/BL101-1),,(BM101/BL101-1))</f>
        <v>0.17082283591210223</v>
      </c>
      <c r="BN103" s="1503"/>
      <c r="BO103" s="1502">
        <f>IF(ISERROR(BO101/BM101-1),,(BO101/BM101-1))</f>
        <v>-8.3852022774152046E-2</v>
      </c>
      <c r="BP103" s="1502">
        <f>IF(ISERROR(BP101/BO101-1),,(BP101/BO101-1))</f>
        <v>8.8107208983520646E-2</v>
      </c>
      <c r="BQ103" s="1502">
        <f>IF(ISERROR(BQ101/BP101-1),,(BQ101/BP101-1))</f>
        <v>5.4540549733517185E-2</v>
      </c>
      <c r="BR103" s="1502">
        <f>IF(ISERROR(BR101/BQ101-1),,(BR101/BQ101-1))</f>
        <v>0.17802214693098595</v>
      </c>
      <c r="BS103" s="1503"/>
      <c r="BT103" s="1502">
        <f>IF(ISERROR(BT101/BR101-1),,(BT101/BR101-1))</f>
        <v>-9.7630287008415362E-2</v>
      </c>
      <c r="BU103" s="1502">
        <f>IF(ISERROR(BU101/BT101-1),,(BU101/BT101-1))</f>
        <v>5.9285689596745073E-2</v>
      </c>
      <c r="BV103" s="1502">
        <f>IF(ISERROR(BV101/BU101-1),,(BV101/BU101-1))</f>
        <v>5.825481081077899E-2</v>
      </c>
      <c r="BW103" s="1502">
        <f>IF(ISERROR(BW101/BV101-1),,(BW101/BV101-1))</f>
        <v>0.18508706335701763</v>
      </c>
      <c r="BX103" s="1503"/>
      <c r="BY103" s="1438"/>
      <c r="BZ103" s="1503"/>
      <c r="CA103" s="1503"/>
      <c r="CB103" s="1503"/>
      <c r="CC103" s="1503"/>
      <c r="CD103" s="1503"/>
      <c r="CE103" s="1503"/>
      <c r="CF103" s="1503"/>
      <c r="CG103" s="1503"/>
      <c r="CH103" s="1503"/>
    </row>
    <row r="104" spans="1:87" ht="13.5" thickBot="1">
      <c r="A104" s="1506" t="s">
        <v>953</v>
      </c>
      <c r="B104" s="1483"/>
      <c r="C104" s="1483"/>
      <c r="D104" s="1483"/>
      <c r="E104" s="1483"/>
      <c r="F104" s="1484"/>
      <c r="G104" s="1483"/>
      <c r="H104" s="1483"/>
      <c r="I104" s="1483"/>
      <c r="J104" s="1483"/>
      <c r="K104" s="1484"/>
      <c r="L104" s="1483"/>
      <c r="M104" s="1483"/>
      <c r="N104" s="1483"/>
      <c r="O104" s="1483"/>
      <c r="P104" s="1484"/>
      <c r="Q104" s="1483"/>
      <c r="R104" s="1483"/>
      <c r="S104" s="1483"/>
      <c r="T104" s="1483"/>
      <c r="U104" s="1484"/>
      <c r="V104" s="1483"/>
      <c r="W104" s="1483"/>
      <c r="X104" s="1483"/>
      <c r="Y104" s="1483"/>
      <c r="Z104" s="1484"/>
      <c r="AA104" s="1483"/>
      <c r="AB104" s="1483"/>
      <c r="AC104" s="1483"/>
      <c r="AD104" s="1483"/>
      <c r="AE104" s="1484"/>
      <c r="AF104" s="1481"/>
      <c r="AG104" s="1507"/>
      <c r="AH104" s="1507"/>
      <c r="AI104" s="1507"/>
      <c r="AJ104" s="1508"/>
      <c r="AK104" s="1507"/>
      <c r="AL104" s="1507"/>
      <c r="AM104" s="1507"/>
      <c r="AN104" s="1507"/>
      <c r="AO104" s="1508"/>
      <c r="AP104" s="1507"/>
      <c r="AQ104" s="1507"/>
      <c r="AR104" s="1507"/>
      <c r="AS104" s="1507"/>
      <c r="AT104" s="1508"/>
      <c r="AU104" s="1507"/>
      <c r="AV104" s="1507"/>
      <c r="AW104" s="1507"/>
      <c r="AX104" s="1507"/>
      <c r="AY104" s="1508"/>
      <c r="AZ104" s="1507"/>
      <c r="BA104" s="1507"/>
      <c r="BB104" s="1507"/>
      <c r="BC104" s="1507"/>
      <c r="BD104" s="1508"/>
      <c r="BE104" s="1507">
        <f>AVERAGE(AZ103,AU103,AP103)</f>
        <v>-0.1515446701920401</v>
      </c>
      <c r="BF104" s="1507">
        <f>AVERAGE(BA103,AV103,AQ103)</f>
        <v>0.11483747244492148</v>
      </c>
      <c r="BG104" s="1507">
        <f>AVERAGE(BB103,AW103,AR103)</f>
        <v>-2.8988551729485001E-2</v>
      </c>
      <c r="BH104" s="1507">
        <f>AVERAGE(BC103,AX103,AS103)</f>
        <v>0.18774753968650182</v>
      </c>
      <c r="BI104" s="1508"/>
      <c r="BJ104" s="1507">
        <f>AVERAGE(BE103,AZ103,AU103)</f>
        <v>-0.13330237856316401</v>
      </c>
      <c r="BK104" s="1507">
        <f>AVERAGE(BF103,BA103,AV103)</f>
        <v>0.11859818783239399</v>
      </c>
      <c r="BL104" s="1507">
        <f>AVERAGE(BG103,BB103,AW103)</f>
        <v>-1.5006693241935931E-2</v>
      </c>
      <c r="BM104" s="1507">
        <f>AVERAGE(BH103,BC103,AX103)</f>
        <v>0.17760624217237572</v>
      </c>
      <c r="BN104" s="1508"/>
      <c r="BO104" s="1507">
        <f>AVERAGE(BJ103,BE103,AZ103)</f>
        <v>-0.12053396713082239</v>
      </c>
      <c r="BP104" s="1507">
        <f>AVERAGE(BK103,BF103,BA103)</f>
        <v>0.11436038568189784</v>
      </c>
      <c r="BQ104" s="1507">
        <f>AVERAGE(BL103,BG103,BB103)</f>
        <v>1.4050226203125868E-2</v>
      </c>
      <c r="BR104" s="1507">
        <f>AVERAGE(BM103,BH103,BC103)</f>
        <v>0.16346834229660226</v>
      </c>
      <c r="BS104" s="1508"/>
      <c r="BT104" s="1507">
        <f>AVERAGE(BO103,BJ103,BE103)</f>
        <v>-9.7969751324859702E-2</v>
      </c>
      <c r="BU104" s="1507">
        <f>AVERAGE(BP103,BK103,BF103)</f>
        <v>0.10759146398119945</v>
      </c>
      <c r="BV104" s="1507">
        <f>AVERAGE(BQ103,BL103,BG103)</f>
        <v>3.3611488662389423E-2</v>
      </c>
      <c r="BW104" s="1507">
        <f>AVERAGE(BR103,BM103,BH103)</f>
        <v>0.1687228766624039</v>
      </c>
      <c r="BX104" s="1508"/>
      <c r="BY104" s="1438"/>
      <c r="BZ104" s="1508"/>
      <c r="CA104" s="1508"/>
      <c r="CB104" s="1508"/>
      <c r="CC104" s="1508"/>
      <c r="CD104" s="1508"/>
      <c r="CE104" s="1508"/>
      <c r="CF104" s="1508"/>
      <c r="CG104" s="1508"/>
      <c r="CH104" s="1508"/>
    </row>
    <row r="105" spans="1:87">
      <c r="A105" s="1340"/>
      <c r="B105" s="1345"/>
      <c r="C105" s="1345"/>
      <c r="D105" s="1345"/>
      <c r="E105" s="1345"/>
      <c r="F105" s="1346"/>
      <c r="G105" s="1345"/>
      <c r="H105" s="1345"/>
      <c r="I105" s="1345"/>
      <c r="J105" s="1345"/>
      <c r="K105" s="1346"/>
      <c r="L105" s="1345"/>
      <c r="M105" s="1345"/>
      <c r="N105" s="1345"/>
      <c r="O105" s="1345"/>
      <c r="P105" s="1346"/>
      <c r="Q105" s="1345"/>
      <c r="R105" s="1345"/>
      <c r="S105" s="1345"/>
      <c r="T105" s="1345"/>
      <c r="U105" s="1346"/>
      <c r="V105" s="1345"/>
      <c r="W105" s="1345"/>
      <c r="X105" s="1345"/>
      <c r="Y105" s="1345"/>
      <c r="Z105" s="1346"/>
      <c r="AA105" s="1345"/>
      <c r="AB105" s="1345"/>
      <c r="AC105" s="1345"/>
      <c r="AD105" s="1345"/>
      <c r="AE105" s="1346"/>
      <c r="AF105" s="1347"/>
      <c r="AG105" s="1347"/>
      <c r="AH105" s="1347"/>
      <c r="AI105" s="1347"/>
      <c r="AJ105" s="1346"/>
      <c r="AK105" s="1347"/>
      <c r="AL105" s="1347"/>
      <c r="AM105" s="1347"/>
      <c r="AN105" s="1347"/>
      <c r="AO105" s="1344"/>
      <c r="AP105" s="1350"/>
      <c r="AQ105" s="1350"/>
      <c r="AR105" s="1350"/>
      <c r="AS105" s="1350"/>
      <c r="AT105" s="1351"/>
      <c r="AU105" s="1350"/>
      <c r="AV105" s="1350"/>
      <c r="AW105" s="2590"/>
      <c r="AX105" s="1350"/>
      <c r="AY105" s="1351"/>
      <c r="AZ105" s="1345"/>
      <c r="BA105" s="1345"/>
      <c r="BB105" s="1350"/>
      <c r="BC105" s="1350"/>
      <c r="BD105" s="1351"/>
      <c r="BE105" s="1345"/>
      <c r="BF105" s="1345"/>
      <c r="BG105" s="1345"/>
      <c r="BH105" s="1547"/>
      <c r="BI105" s="1548"/>
      <c r="BJ105" s="1547"/>
      <c r="BK105" s="1547"/>
      <c r="BL105" s="1547"/>
      <c r="BM105" s="1547"/>
      <c r="BN105" s="1548"/>
      <c r="BO105" s="1547"/>
      <c r="BP105" s="1547"/>
      <c r="BQ105" s="1547"/>
      <c r="BR105" s="1547"/>
      <c r="BS105" s="1548"/>
      <c r="BT105" s="1547"/>
      <c r="BU105" s="1547"/>
      <c r="BV105" s="1547"/>
      <c r="BW105" s="1547"/>
      <c r="BX105" s="1548"/>
      <c r="BY105" s="1343"/>
      <c r="BZ105" s="1351"/>
      <c r="CA105" s="1351"/>
      <c r="CB105" s="1351"/>
      <c r="CC105" s="1351"/>
      <c r="CD105" s="1351"/>
      <c r="CE105" s="1351"/>
      <c r="CF105" s="1351"/>
      <c r="CG105" s="1351"/>
      <c r="CH105" s="1351"/>
    </row>
    <row r="106" spans="1:87">
      <c r="A106" s="1050" t="s">
        <v>1047</v>
      </c>
      <c r="B106" s="1051"/>
      <c r="C106" s="1051"/>
      <c r="D106" s="1051"/>
      <c r="E106" s="1051"/>
      <c r="F106" s="1052"/>
      <c r="G106" s="1051"/>
      <c r="H106" s="1051"/>
      <c r="I106" s="1051"/>
      <c r="J106" s="1051"/>
      <c r="K106" s="1052"/>
      <c r="L106" s="1051"/>
      <c r="M106" s="1051"/>
      <c r="N106" s="1051"/>
      <c r="O106" s="1051"/>
      <c r="P106" s="1052"/>
      <c r="Q106" s="1051"/>
      <c r="R106" s="1051"/>
      <c r="S106" s="1051"/>
      <c r="T106" s="1051"/>
      <c r="U106" s="1052"/>
      <c r="V106" s="1051"/>
      <c r="W106" s="1051"/>
      <c r="X106" s="1051"/>
      <c r="Y106" s="1051"/>
      <c r="Z106" s="1052"/>
      <c r="AA106" s="1051"/>
      <c r="AB106" s="1051"/>
      <c r="AC106" s="1051"/>
      <c r="AD106" s="1051"/>
      <c r="AE106" s="1052"/>
      <c r="AF106" s="1053"/>
      <c r="AG106" s="1051"/>
      <c r="AH106" s="1051"/>
      <c r="AI106" s="1051"/>
      <c r="AJ106" s="1052"/>
      <c r="AK106" s="1054"/>
      <c r="AL106" s="1051"/>
      <c r="AM106" s="1051"/>
      <c r="AN106" s="1051"/>
      <c r="AO106" s="1052"/>
      <c r="AP106" s="1054"/>
      <c r="AQ106" s="1051"/>
      <c r="AR106" s="1051"/>
      <c r="AS106" s="1051"/>
      <c r="AT106" s="1052"/>
      <c r="AU106" s="1054"/>
      <c r="AV106" s="1051"/>
      <c r="AW106" s="1051"/>
      <c r="AX106" s="1051"/>
      <c r="AY106" s="1052"/>
      <c r="AZ106" s="1054"/>
      <c r="BA106" s="1051"/>
      <c r="BB106" s="1051"/>
      <c r="BC106" s="1051"/>
      <c r="BD106" s="1052"/>
      <c r="BE106" s="1054"/>
      <c r="BF106" s="1051"/>
      <c r="BG106" s="1051"/>
      <c r="BH106" s="1051"/>
      <c r="BI106" s="1052"/>
      <c r="BJ106" s="1054"/>
      <c r="BK106" s="1051"/>
      <c r="BL106" s="1051"/>
      <c r="BM106" s="1051"/>
      <c r="BN106" s="1052"/>
      <c r="BO106" s="1054"/>
      <c r="BP106" s="1051"/>
      <c r="BQ106" s="1051"/>
      <c r="BR106" s="1051"/>
      <c r="BS106" s="1052"/>
      <c r="BT106" s="1054"/>
      <c r="BU106" s="1051"/>
      <c r="BV106" s="1051"/>
      <c r="BW106" s="1051"/>
      <c r="BX106" s="1052"/>
      <c r="BY106" s="1343"/>
      <c r="BZ106" s="1052"/>
      <c r="CA106" s="1052"/>
      <c r="CB106" s="1052"/>
      <c r="CC106" s="1052"/>
      <c r="CD106" s="1052"/>
      <c r="CE106" s="1052"/>
      <c r="CF106" s="1052"/>
      <c r="CG106" s="1052"/>
      <c r="CH106" s="1052"/>
    </row>
    <row r="107" spans="1:87">
      <c r="A107" s="1175" t="s">
        <v>1066</v>
      </c>
      <c r="B107" s="1345"/>
      <c r="C107" s="1345"/>
      <c r="D107" s="1345"/>
      <c r="E107" s="1345"/>
      <c r="F107" s="1346"/>
      <c r="G107" s="1345"/>
      <c r="H107" s="1345"/>
      <c r="I107" s="1345"/>
      <c r="J107" s="1345"/>
      <c r="K107" s="1346"/>
      <c r="L107" s="1345"/>
      <c r="M107" s="1345"/>
      <c r="N107" s="1345"/>
      <c r="O107" s="1345"/>
      <c r="P107" s="1346"/>
      <c r="Q107" s="1345"/>
      <c r="R107" s="1345"/>
      <c r="S107" s="1345"/>
      <c r="T107" s="1345"/>
      <c r="U107" s="1346"/>
      <c r="V107" s="1345"/>
      <c r="W107" s="1345"/>
      <c r="X107" s="1345"/>
      <c r="Y107" s="1345"/>
      <c r="Z107" s="1346"/>
      <c r="AA107" s="1345"/>
      <c r="AB107" s="1345"/>
      <c r="AC107" s="1345"/>
      <c r="AD107" s="1345"/>
      <c r="AE107" s="1346"/>
      <c r="AF107" s="1347"/>
      <c r="AG107" s="1347"/>
      <c r="AH107" s="1347"/>
      <c r="AI107" s="1347"/>
      <c r="AJ107" s="1346"/>
      <c r="AK107" s="1002"/>
      <c r="AL107" s="1002"/>
      <c r="AM107" s="1002"/>
      <c r="AN107" s="1002"/>
      <c r="AO107" s="1010"/>
      <c r="AP107" s="1002"/>
      <c r="AQ107" s="1002"/>
      <c r="AR107" s="1002"/>
      <c r="AS107" s="1002"/>
      <c r="AT107" s="1010"/>
      <c r="AU107" s="1002"/>
      <c r="AV107" s="1002"/>
      <c r="AW107" s="1002"/>
      <c r="AX107" s="1002"/>
      <c r="AY107" s="1010"/>
      <c r="AZ107" s="1002">
        <f>'Client Unit Model'!BA35</f>
        <v>2891.0594925746768</v>
      </c>
      <c r="BA107" s="1002">
        <f>'Client Unit Model'!BB35</f>
        <v>3271.9821120942643</v>
      </c>
      <c r="BB107" s="1002">
        <f>'Client Unit Model'!BC35</f>
        <v>2653.9821120942652</v>
      </c>
      <c r="BC107" s="1002">
        <f>'Client Unit Model'!BD35</f>
        <v>2823.9821120942638</v>
      </c>
      <c r="BD107" s="1010">
        <f>SUM(AZ107:BC107)</f>
        <v>11641.005828857469</v>
      </c>
      <c r="BE107" s="1002">
        <f>'Client Unit Model'!BF35</f>
        <v>3016.1044008204349</v>
      </c>
      <c r="BF107" s="1002">
        <f>'Client Unit Model'!BG35</f>
        <v>3417.5794887398229</v>
      </c>
      <c r="BG107" s="1002">
        <f>'Client Unit Model'!BH35</f>
        <v>2763.5840078502501</v>
      </c>
      <c r="BH107" s="1002">
        <f>'Client Unit Model'!BI35</f>
        <v>2936.8152647191532</v>
      </c>
      <c r="BI107" s="1010">
        <f>SUM(BE107:BH107)</f>
        <v>12134.08316212966</v>
      </c>
      <c r="BJ107" s="1002">
        <f>'Client Unit Model'!BK35</f>
        <v>2954.0361638167383</v>
      </c>
      <c r="BK107" s="1002">
        <f>'Client Unit Model'!BL35</f>
        <v>3329.9084583343592</v>
      </c>
      <c r="BL107" s="1002">
        <f>'Client Unit Model'!BM35</f>
        <v>2717.7593653746476</v>
      </c>
      <c r="BM107" s="1002">
        <f>'Client Unit Model'!BN35</f>
        <v>2894.7460499574427</v>
      </c>
      <c r="BN107" s="1010">
        <f>SUM(BJ107:BM107)</f>
        <v>11896.450037483188</v>
      </c>
      <c r="BO107" s="1002">
        <f>'Client Unit Model'!BP35</f>
        <v>2847.6005005505713</v>
      </c>
      <c r="BP107" s="1002">
        <f>'Client Unit Model'!BQ35</f>
        <v>3214.8337916093478</v>
      </c>
      <c r="BQ107" s="1002">
        <f>'Client Unit Model'!BR35</f>
        <v>2636.0165500265639</v>
      </c>
      <c r="BR107" s="1002">
        <f>'Client Unit Model'!BS35</f>
        <v>2808.1241372024224</v>
      </c>
      <c r="BS107" s="1010">
        <f>SUM(BO107:BR107)</f>
        <v>11506.574979388904</v>
      </c>
      <c r="BT107" s="1002">
        <f>'Client Unit Model'!BU35</f>
        <v>2751.8378351435813</v>
      </c>
      <c r="BU107" s="1002">
        <f>'Client Unit Model'!BV35</f>
        <v>3112.7885932337863</v>
      </c>
      <c r="BV107" s="1002">
        <f>'Client Unit Model'!BW35</f>
        <v>2559.6174429044358</v>
      </c>
      <c r="BW107" s="1002">
        <f>'Client Unit Model'!BX35</f>
        <v>2725.8946341677947</v>
      </c>
      <c r="BX107" s="1010">
        <f>SUM(BT107:BW107)</f>
        <v>11150.138505449599</v>
      </c>
      <c r="BY107" s="1519"/>
      <c r="BZ107" s="1010"/>
      <c r="CA107" s="1010"/>
      <c r="CB107" s="1010">
        <f>SUM(AM107:AN107,AP107:AQ107)</f>
        <v>0</v>
      </c>
      <c r="CC107" s="1010">
        <f>SUM(AR107:AS107,AU107:AV107)</f>
        <v>0</v>
      </c>
      <c r="CD107" s="1010">
        <f>SUM(AW107:AX107,AZ107:BA107)</f>
        <v>6163.0416046689406</v>
      </c>
      <c r="CE107" s="1010">
        <f>SUM(BB107:BC107,BE107:BF107)</f>
        <v>11911.648113748786</v>
      </c>
      <c r="CF107" s="1010">
        <f>SUM(BG107:BH107,BJ107:BK107)</f>
        <v>11984.343894720501</v>
      </c>
      <c r="CG107" s="1010">
        <f>SUM(BL107:BM107,BO107:BP107)</f>
        <v>11674.939707492009</v>
      </c>
      <c r="CH107" s="1010">
        <f>SUM(BQ107:BR107,BT107:BU107)</f>
        <v>11308.767115606353</v>
      </c>
      <c r="CI107" s="1001"/>
    </row>
    <row r="108" spans="1:87">
      <c r="A108" s="1456" t="s">
        <v>926</v>
      </c>
      <c r="B108" s="1453"/>
      <c r="C108" s="1453"/>
      <c r="D108" s="1453"/>
      <c r="E108" s="1453"/>
      <c r="F108" s="1454"/>
      <c r="G108" s="1453"/>
      <c r="H108" s="1453"/>
      <c r="I108" s="1453"/>
      <c r="J108" s="1453"/>
      <c r="K108" s="1454"/>
      <c r="L108" s="1453"/>
      <c r="M108" s="1453"/>
      <c r="N108" s="1453"/>
      <c r="O108" s="1453"/>
      <c r="P108" s="1454"/>
      <c r="Q108" s="1453"/>
      <c r="R108" s="1453"/>
      <c r="S108" s="1453"/>
      <c r="T108" s="1453"/>
      <c r="U108" s="1454"/>
      <c r="V108" s="1453"/>
      <c r="W108" s="1453"/>
      <c r="X108" s="1453"/>
      <c r="Y108" s="1453"/>
      <c r="Z108" s="1454"/>
      <c r="AA108" s="1453"/>
      <c r="AB108" s="1453"/>
      <c r="AC108" s="1453"/>
      <c r="AD108" s="1453"/>
      <c r="AE108" s="1454"/>
      <c r="AF108" s="1446"/>
      <c r="AG108" s="1453"/>
      <c r="AH108" s="1453"/>
      <c r="AI108" s="1453"/>
      <c r="AJ108" s="1443"/>
      <c r="AK108" s="1442"/>
      <c r="AL108" s="1442"/>
      <c r="AM108" s="1442"/>
      <c r="AN108" s="1442"/>
      <c r="AO108" s="1443"/>
      <c r="AP108" s="1442"/>
      <c r="AQ108" s="1442"/>
      <c r="AR108" s="1442"/>
      <c r="AS108" s="1442"/>
      <c r="AT108" s="1443"/>
      <c r="AU108" s="1442"/>
      <c r="AV108" s="1442"/>
      <c r="AW108" s="1442"/>
      <c r="AX108" s="1442"/>
      <c r="AY108" s="1443"/>
      <c r="AZ108" s="1442"/>
      <c r="BA108" s="1442"/>
      <c r="BB108" s="1442"/>
      <c r="BC108" s="1442"/>
      <c r="BD108" s="1443"/>
      <c r="BE108" s="1442">
        <f t="shared" ref="BE108:BS108" si="224">IF(ISERROR(BE107/AZ107-1),,(BE107/AZ107-1))</f>
        <v>4.3252277778067283E-2</v>
      </c>
      <c r="BF108" s="1442">
        <f t="shared" si="224"/>
        <v>4.4498219017575114E-2</v>
      </c>
      <c r="BG108" s="1442">
        <f t="shared" si="224"/>
        <v>4.1297149387905074E-2</v>
      </c>
      <c r="BH108" s="1442">
        <f t="shared" si="224"/>
        <v>3.9955335461106189E-2</v>
      </c>
      <c r="BI108" s="1443">
        <f t="shared" si="224"/>
        <v>4.2356935519255234E-2</v>
      </c>
      <c r="BJ108" s="1442">
        <f t="shared" si="224"/>
        <v>-2.0578941825360242E-2</v>
      </c>
      <c r="BK108" s="1442">
        <f t="shared" si="224"/>
        <v>-2.5652960141620884E-2</v>
      </c>
      <c r="BL108" s="1442">
        <f t="shared" si="224"/>
        <v>-1.6581599236872413E-2</v>
      </c>
      <c r="BM108" s="1442">
        <f t="shared" si="224"/>
        <v>-1.4324773936958413E-2</v>
      </c>
      <c r="BN108" s="1443">
        <f t="shared" si="224"/>
        <v>-1.9583937366452475E-2</v>
      </c>
      <c r="BO108" s="1442">
        <f t="shared" si="224"/>
        <v>-3.6030589120699119E-2</v>
      </c>
      <c r="BP108" s="1442">
        <f t="shared" si="224"/>
        <v>-3.4557906970983931E-2</v>
      </c>
      <c r="BQ108" s="1442">
        <f t="shared" si="224"/>
        <v>-3.0077282186760201E-2</v>
      </c>
      <c r="BR108" s="1442">
        <f t="shared" si="224"/>
        <v>-2.9923838312619466E-2</v>
      </c>
      <c r="BS108" s="1443">
        <f t="shared" si="224"/>
        <v>-3.2772386456957348E-2</v>
      </c>
      <c r="BT108" s="1442">
        <f t="shared" ref="BT108" si="225">IF(ISERROR(BT107/BO107-1),,(BT107/BO107-1))</f>
        <v>-3.3629248691477098E-2</v>
      </c>
      <c r="BU108" s="1442">
        <f t="shared" ref="BU108" si="226">IF(ISERROR(BU107/BP107-1),,(BU107/BP107-1))</f>
        <v>-3.1741982631231958E-2</v>
      </c>
      <c r="BV108" s="1442">
        <f t="shared" ref="BV108" si="227">IF(ISERROR(BV107/BQ107-1),,(BV107/BQ107-1))</f>
        <v>-2.8982787350617434E-2</v>
      </c>
      <c r="BW108" s="1442">
        <f t="shared" ref="BW108" si="228">IF(ISERROR(BW107/BR107-1),,(BW107/BR107-1))</f>
        <v>-2.9282716510014573E-2</v>
      </c>
      <c r="BX108" s="1443">
        <f t="shared" ref="BX108" si="229">IF(ISERROR(BX107/BS107-1),,(BX107/BS107-1))</f>
        <v>-3.0976765421315333E-2</v>
      </c>
      <c r="BY108" s="1519"/>
      <c r="BZ108" s="1443"/>
      <c r="CA108" s="1443"/>
      <c r="CB108" s="1443"/>
      <c r="CC108" s="1443" t="e">
        <f t="shared" ref="CC108:CH108" si="230">CC107/CB107-1</f>
        <v>#DIV/0!</v>
      </c>
      <c r="CD108" s="1443" t="e">
        <f t="shared" si="230"/>
        <v>#DIV/0!</v>
      </c>
      <c r="CE108" s="1443">
        <f t="shared" si="230"/>
        <v>0.93275477886192903</v>
      </c>
      <c r="CF108" s="1443">
        <f t="shared" si="230"/>
        <v>6.1029154217380199E-3</v>
      </c>
      <c r="CG108" s="1443">
        <f t="shared" si="230"/>
        <v>-2.5817365551800919E-2</v>
      </c>
      <c r="CH108" s="1443">
        <f t="shared" si="230"/>
        <v>-3.136398140460428E-2</v>
      </c>
      <c r="CI108" s="1001"/>
    </row>
    <row r="109" spans="1:87">
      <c r="A109" s="1456" t="s">
        <v>952</v>
      </c>
      <c r="B109" s="1453"/>
      <c r="C109" s="1453"/>
      <c r="D109" s="1453"/>
      <c r="E109" s="1453"/>
      <c r="F109" s="1454"/>
      <c r="G109" s="1453"/>
      <c r="H109" s="1453"/>
      <c r="I109" s="1453"/>
      <c r="J109" s="1453"/>
      <c r="K109" s="1454"/>
      <c r="L109" s="1453"/>
      <c r="M109" s="1453"/>
      <c r="N109" s="1453"/>
      <c r="O109" s="1453"/>
      <c r="P109" s="1454"/>
      <c r="Q109" s="1453"/>
      <c r="R109" s="1453"/>
      <c r="S109" s="1453"/>
      <c r="T109" s="1453"/>
      <c r="U109" s="1454"/>
      <c r="V109" s="1453"/>
      <c r="W109" s="1453"/>
      <c r="X109" s="1453"/>
      <c r="Y109" s="1453"/>
      <c r="Z109" s="1454"/>
      <c r="AA109" s="1453"/>
      <c r="AB109" s="1453"/>
      <c r="AC109" s="1453"/>
      <c r="AD109" s="1453"/>
      <c r="AE109" s="1454"/>
      <c r="AF109" s="1446"/>
      <c r="AG109" s="1442"/>
      <c r="AH109" s="1442"/>
      <c r="AI109" s="1442"/>
      <c r="AJ109" s="1443"/>
      <c r="AK109" s="1442"/>
      <c r="AL109" s="1442"/>
      <c r="AM109" s="1442"/>
      <c r="AN109" s="1442"/>
      <c r="AO109" s="1443"/>
      <c r="AP109" s="1442"/>
      <c r="AQ109" s="1442"/>
      <c r="AR109" s="1442"/>
      <c r="AS109" s="1442"/>
      <c r="AT109" s="1443"/>
      <c r="AU109" s="1442"/>
      <c r="AV109" s="1442"/>
      <c r="AW109" s="1442"/>
      <c r="AX109" s="1442"/>
      <c r="AY109" s="1443"/>
      <c r="AZ109" s="1442"/>
      <c r="BA109" s="1442">
        <f>IF(ISERROR(BA107/AZ107-1),,(BA107/AZ107-1))</f>
        <v>0.13175883114752196</v>
      </c>
      <c r="BB109" s="1442">
        <f>IF(ISERROR(BB107/BA107-1),,(BB107/BA107-1))</f>
        <v>-0.18887633820358574</v>
      </c>
      <c r="BC109" s="1442">
        <f>IF(ISERROR(BC107/BB107-1),,(BC107/BB107-1))</f>
        <v>6.4054689451486624E-2</v>
      </c>
      <c r="BD109" s="1443"/>
      <c r="BE109" s="1442">
        <f>IF(ISERROR(BE107/BC107-1),,(BE107/BC107-1))</f>
        <v>6.8032402862386876E-2</v>
      </c>
      <c r="BF109" s="1442">
        <f>IF(ISERROR(BF107/BE107-1),,(BF107/BE107-1))</f>
        <v>0.13311047449490787</v>
      </c>
      <c r="BG109" s="1442">
        <f>IF(ISERROR(BG107/BF107-1),,(BG107/BF107-1))</f>
        <v>-0.19136218573535591</v>
      </c>
      <c r="BH109" s="1442">
        <f>IF(ISERROR(BH107/BG107-1),,(BH107/BG107-1))</f>
        <v>6.2683550193090465E-2</v>
      </c>
      <c r="BI109" s="1443"/>
      <c r="BJ109" s="1442">
        <f>IF(ISERROR(BJ107/BH107-1),,(BJ107/BH107-1))</f>
        <v>5.8638005953131067E-3</v>
      </c>
      <c r="BK109" s="1442">
        <f>IF(ISERROR(BK107/BJ107-1),,(BK107/BJ107-1))</f>
        <v>0.12724024814644719</v>
      </c>
      <c r="BL109" s="1442">
        <f>IF(ISERROR(BL107/BK107-1),,(BL107/BK107-1))</f>
        <v>-0.18383361002840071</v>
      </c>
      <c r="BM109" s="1442">
        <f>IF(ISERROR(BM107/BL107-1),,(BM107/BL107-1))</f>
        <v>6.5122279344402845E-2</v>
      </c>
      <c r="BN109" s="1443"/>
      <c r="BO109" s="1442">
        <f>IF(ISERROR(BO107/BM107-1),,(BO107/BM107-1))</f>
        <v>-1.6286592534624722E-2</v>
      </c>
      <c r="BP109" s="1442">
        <f>IF(ISERROR(BP107/BO107-1),,(BP107/BO107-1))</f>
        <v>0.12896236357163637</v>
      </c>
      <c r="BQ109" s="1442">
        <f>IF(ISERROR(BQ107/BP107-1),,(BQ107/BP107-1))</f>
        <v>-0.18004577502373076</v>
      </c>
      <c r="BR109" s="1442">
        <f>IF(ISERROR(BR107/BQ107-1),,(BR107/BQ107-1))</f>
        <v>6.5290783995314516E-2</v>
      </c>
      <c r="BS109" s="1443"/>
      <c r="BT109" s="1442">
        <f>IF(ISERROR(BT107/BR107-1),,(BT107/BR107-1))</f>
        <v>-2.004409324828349E-2</v>
      </c>
      <c r="BU109" s="1442">
        <f>IF(ISERROR(BU107/BT107-1),,(BU107/BT107-1))</f>
        <v>0.13116716162577657</v>
      </c>
      <c r="BV109" s="1442">
        <f>IF(ISERROR(BV107/BU107-1),,(BV107/BU107-1))</f>
        <v>-0.17770919346458958</v>
      </c>
      <c r="BW109" s="1442">
        <f>IF(ISERROR(BW107/BV107-1),,(BW107/BV107-1))</f>
        <v>6.4961735482893745E-2</v>
      </c>
      <c r="BX109" s="1443"/>
      <c r="BY109" s="1519"/>
      <c r="BZ109" s="1443"/>
      <c r="CA109" s="1443"/>
      <c r="CB109" s="1443"/>
      <c r="CC109" s="1443"/>
      <c r="CD109" s="1443"/>
      <c r="CE109" s="1443"/>
      <c r="CF109" s="1443"/>
      <c r="CG109" s="1443"/>
      <c r="CH109" s="1443"/>
      <c r="CI109" s="1001"/>
    </row>
    <row r="110" spans="1:87">
      <c r="A110" s="1175" t="s">
        <v>1457</v>
      </c>
      <c r="B110" s="1345"/>
      <c r="C110" s="1345"/>
      <c r="D110" s="1345"/>
      <c r="E110" s="1345"/>
      <c r="F110" s="1346"/>
      <c r="G110" s="1345"/>
      <c r="H110" s="1345"/>
      <c r="I110" s="1345"/>
      <c r="J110" s="1345"/>
      <c r="K110" s="1346"/>
      <c r="L110" s="1345"/>
      <c r="M110" s="1345"/>
      <c r="N110" s="1345"/>
      <c r="O110" s="1345"/>
      <c r="P110" s="1346"/>
      <c r="Q110" s="1345"/>
      <c r="R110" s="1345"/>
      <c r="S110" s="1345"/>
      <c r="T110" s="1345"/>
      <c r="U110" s="1346"/>
      <c r="V110" s="1345"/>
      <c r="W110" s="1345"/>
      <c r="X110" s="1345"/>
      <c r="Y110" s="1345"/>
      <c r="Z110" s="1346"/>
      <c r="AA110" s="1345"/>
      <c r="AB110" s="1345"/>
      <c r="AC110" s="1345"/>
      <c r="AD110" s="1345"/>
      <c r="AE110" s="1346"/>
      <c r="AF110" s="1347"/>
      <c r="AG110" s="1347"/>
      <c r="AH110" s="1347"/>
      <c r="AI110" s="1347"/>
      <c r="AJ110" s="1346"/>
      <c r="AK110" s="1002"/>
      <c r="AL110" s="1002"/>
      <c r="AM110" s="1002"/>
      <c r="AN110" s="1002"/>
      <c r="AO110" s="1010"/>
      <c r="AP110" s="1002"/>
      <c r="AQ110" s="1002"/>
      <c r="AR110" s="1002"/>
      <c r="AS110" s="1002"/>
      <c r="AT110" s="1010"/>
      <c r="AU110" s="1002"/>
      <c r="AV110" s="1002"/>
      <c r="AW110" s="1002"/>
      <c r="AX110" s="1002"/>
      <c r="AY110" s="1010"/>
      <c r="AZ110" s="1002">
        <f>'Rev Detail - OLD'!AZ33+54</f>
        <v>1318.2511064322671</v>
      </c>
      <c r="BA110" s="1002">
        <f>'Rev Detail - OLD'!BA33+47</f>
        <v>1178.4945810867864</v>
      </c>
      <c r="BB110" s="1002">
        <f>'Rev Detail - OLD'!BB33-100</f>
        <v>984.48306022099337</v>
      </c>
      <c r="BC110" s="1002">
        <f>'Rev Detail - OLD'!BC33+406</f>
        <v>1883.1805066703118</v>
      </c>
      <c r="BD110" s="1010">
        <f>SUM(AZ110:BC110)</f>
        <v>5364.4092544103587</v>
      </c>
      <c r="BE110" s="1002">
        <f>AZ110*(1+BE111)</f>
        <v>1410.5286838825259</v>
      </c>
      <c r="BF110" s="1002">
        <f>BA110*(1+BF111)</f>
        <v>1131.3547978433148</v>
      </c>
      <c r="BG110" s="1002">
        <f>BB110*(1+BG111)</f>
        <v>1191.224502867402</v>
      </c>
      <c r="BH110" s="1002">
        <f>BC110*(1+BH111)</f>
        <v>2052.6667522706402</v>
      </c>
      <c r="BI110" s="1010">
        <f>SUM(BE110:BH110)</f>
        <v>5785.7747368638829</v>
      </c>
      <c r="BJ110" s="1002">
        <f>BE110*(1+BJ111)</f>
        <v>1466.9498312378271</v>
      </c>
      <c r="BK110" s="1002">
        <f>BF110*(1+BK111)</f>
        <v>1221.86318167078</v>
      </c>
      <c r="BL110" s="1002">
        <f>BG110*(1+BL111)</f>
        <v>1238.873482982098</v>
      </c>
      <c r="BM110" s="1002">
        <f>BH110*(1+BM111)</f>
        <v>2155.3000898841724</v>
      </c>
      <c r="BN110" s="1010">
        <f>SUM(BJ110:BM110)</f>
        <v>6082.9865857748773</v>
      </c>
      <c r="BO110" s="1002">
        <f>BJ110*(1+BO111)</f>
        <v>1510.9583261749619</v>
      </c>
      <c r="BP110" s="1002">
        <f>BK110*(1+BP111)</f>
        <v>1258.5190771209034</v>
      </c>
      <c r="BQ110" s="1002">
        <f>BL110*(1+BQ111)</f>
        <v>1276.0396874715609</v>
      </c>
      <c r="BR110" s="1002">
        <f>BM110*(1+BR111)</f>
        <v>2219.9590925806974</v>
      </c>
      <c r="BS110" s="1010">
        <f>SUM(BO110:BR110)</f>
        <v>6265.4761833481243</v>
      </c>
      <c r="BT110" s="1002">
        <f>BO110*(1+BT111)</f>
        <v>1548.7322843293359</v>
      </c>
      <c r="BU110" s="1002">
        <f>BP110*(1+BU111)</f>
        <v>1289.9820540489259</v>
      </c>
      <c r="BV110" s="1002">
        <f>BQ110*(1+BV111)</f>
        <v>1307.9406796583498</v>
      </c>
      <c r="BW110" s="1002">
        <f>BR110*(1+BW111)</f>
        <v>2275.4580698952145</v>
      </c>
      <c r="BX110" s="1010">
        <f>SUM(BT110:BW110)</f>
        <v>6422.1130879318262</v>
      </c>
      <c r="BY110" s="1519"/>
      <c r="BZ110" s="1010"/>
      <c r="CA110" s="1010"/>
      <c r="CB110" s="1010">
        <f>SUM(AM110:AN110,AP110:AQ110)</f>
        <v>0</v>
      </c>
      <c r="CC110" s="1010">
        <f>SUM(AR110:AS110,AU110:AV110)</f>
        <v>0</v>
      </c>
      <c r="CD110" s="1010">
        <f>SUM(AW110:AX110,AZ110:BA110)</f>
        <v>2496.7456875190537</v>
      </c>
      <c r="CE110" s="1010">
        <f>SUM(BB110:BC110,BE110:BF110)</f>
        <v>5409.5470486171453</v>
      </c>
      <c r="CF110" s="1010">
        <f>SUM(BG110:BH110,BJ110:BK110)</f>
        <v>5932.7042680466493</v>
      </c>
      <c r="CG110" s="1010">
        <f>SUM(BL110:BM110,BO110:BP110)</f>
        <v>6163.6509761621364</v>
      </c>
      <c r="CH110" s="1010">
        <f>SUM(BQ110:BR110,BT110:BU110)</f>
        <v>6334.7131184305199</v>
      </c>
      <c r="CI110" s="1001"/>
    </row>
    <row r="111" spans="1:87">
      <c r="A111" s="1456" t="s">
        <v>926</v>
      </c>
      <c r="B111" s="1453"/>
      <c r="C111" s="1453"/>
      <c r="D111" s="1453"/>
      <c r="E111" s="1453"/>
      <c r="F111" s="1454"/>
      <c r="G111" s="1453"/>
      <c r="H111" s="1453"/>
      <c r="I111" s="1453"/>
      <c r="J111" s="1453"/>
      <c r="K111" s="1454"/>
      <c r="L111" s="1453"/>
      <c r="M111" s="1453"/>
      <c r="N111" s="1453"/>
      <c r="O111" s="1453"/>
      <c r="P111" s="1454"/>
      <c r="Q111" s="1453"/>
      <c r="R111" s="1453"/>
      <c r="S111" s="1453"/>
      <c r="T111" s="1453"/>
      <c r="U111" s="1454"/>
      <c r="V111" s="1453"/>
      <c r="W111" s="1453"/>
      <c r="X111" s="1453"/>
      <c r="Y111" s="1453"/>
      <c r="Z111" s="1454"/>
      <c r="AA111" s="1453"/>
      <c r="AB111" s="1453"/>
      <c r="AC111" s="1453"/>
      <c r="AD111" s="1453"/>
      <c r="AE111" s="1454"/>
      <c r="AF111" s="1446"/>
      <c r="AG111" s="1453"/>
      <c r="AH111" s="1453"/>
      <c r="AI111" s="1453"/>
      <c r="AJ111" s="1443"/>
      <c r="AK111" s="1442"/>
      <c r="AL111" s="1442"/>
      <c r="AM111" s="1442"/>
      <c r="AN111" s="1442"/>
      <c r="AO111" s="1443"/>
      <c r="AP111" s="1442"/>
      <c r="AQ111" s="1442"/>
      <c r="AR111" s="1442"/>
      <c r="AS111" s="1442"/>
      <c r="AT111" s="1443"/>
      <c r="AU111" s="1442"/>
      <c r="AV111" s="1442"/>
      <c r="AW111" s="1442"/>
      <c r="AX111" s="1442"/>
      <c r="AY111" s="1443"/>
      <c r="AZ111" s="2907">
        <v>0.11</v>
      </c>
      <c r="BA111" s="2907">
        <v>0.2</v>
      </c>
      <c r="BB111" s="2907">
        <v>0.08</v>
      </c>
      <c r="BC111" s="2907">
        <v>0.16</v>
      </c>
      <c r="BD111" s="2908">
        <v>0.14000000000000001</v>
      </c>
      <c r="BE111" s="1455">
        <v>7.0000000000000007E-2</v>
      </c>
      <c r="BF111" s="1455">
        <v>-0.04</v>
      </c>
      <c r="BG111" s="1455">
        <v>0.21</v>
      </c>
      <c r="BH111" s="1455">
        <v>0.09</v>
      </c>
      <c r="BI111" s="1443">
        <f>IF(ISERROR(BI110/BD110-1),,(BI110/BD110-1))</f>
        <v>7.854834753837947E-2</v>
      </c>
      <c r="BJ111" s="1455">
        <v>0.04</v>
      </c>
      <c r="BK111" s="1455">
        <v>0.08</v>
      </c>
      <c r="BL111" s="1455">
        <v>0.04</v>
      </c>
      <c r="BM111" s="1455">
        <v>0.05</v>
      </c>
      <c r="BN111" s="1443">
        <f>IF(ISERROR(BN110/BI110-1),,(BN110/BI110-1))</f>
        <v>5.1369412469054243E-2</v>
      </c>
      <c r="BO111" s="1455">
        <v>0.03</v>
      </c>
      <c r="BP111" s="1455">
        <v>0.03</v>
      </c>
      <c r="BQ111" s="1455">
        <v>0.03</v>
      </c>
      <c r="BR111" s="1455">
        <v>0.03</v>
      </c>
      <c r="BS111" s="1443">
        <f>IF(ISERROR(BS110/BN110-1),,(BS110/BN110-1))</f>
        <v>3.0000000000000027E-2</v>
      </c>
      <c r="BT111" s="1455">
        <v>2.5000000000000001E-2</v>
      </c>
      <c r="BU111" s="1455">
        <v>2.5000000000000001E-2</v>
      </c>
      <c r="BV111" s="1455">
        <v>2.5000000000000001E-2</v>
      </c>
      <c r="BW111" s="1455">
        <v>2.5000000000000001E-2</v>
      </c>
      <c r="BX111" s="1443">
        <f>IF(ISERROR(BX110/BS110-1),,(BX110/BS110-1))</f>
        <v>2.4999999999999689E-2</v>
      </c>
      <c r="BY111" s="1519"/>
      <c r="BZ111" s="1443"/>
      <c r="CA111" s="1443"/>
      <c r="CB111" s="1443"/>
      <c r="CC111" s="1443" t="e">
        <f t="shared" ref="CC111:CH111" si="231">CC110/CB110-1</f>
        <v>#DIV/0!</v>
      </c>
      <c r="CD111" s="1443" t="e">
        <f t="shared" si="231"/>
        <v>#DIV/0!</v>
      </c>
      <c r="CE111" s="1443">
        <f t="shared" si="231"/>
        <v>1.1666391878271192</v>
      </c>
      <c r="CF111" s="1443">
        <f t="shared" si="231"/>
        <v>9.6709986016895844E-2</v>
      </c>
      <c r="CG111" s="1443">
        <f t="shared" si="231"/>
        <v>3.8927729696448532E-2</v>
      </c>
      <c r="CH111" s="1443">
        <f t="shared" si="231"/>
        <v>2.7753379114094034E-2</v>
      </c>
      <c r="CI111" s="1001"/>
    </row>
    <row r="112" spans="1:87">
      <c r="A112" s="1456" t="s">
        <v>952</v>
      </c>
      <c r="B112" s="1453"/>
      <c r="C112" s="1453"/>
      <c r="D112" s="1453"/>
      <c r="E112" s="1453"/>
      <c r="F112" s="1454"/>
      <c r="G112" s="1453"/>
      <c r="H112" s="1453"/>
      <c r="I112" s="1453"/>
      <c r="J112" s="1453"/>
      <c r="K112" s="1454"/>
      <c r="L112" s="1453"/>
      <c r="M112" s="1453"/>
      <c r="N112" s="1453"/>
      <c r="O112" s="1453"/>
      <c r="P112" s="1454"/>
      <c r="Q112" s="1453"/>
      <c r="R112" s="1453"/>
      <c r="S112" s="1453"/>
      <c r="T112" s="1453"/>
      <c r="U112" s="1454"/>
      <c r="V112" s="1453"/>
      <c r="W112" s="1453"/>
      <c r="X112" s="1453"/>
      <c r="Y112" s="1453"/>
      <c r="Z112" s="1454"/>
      <c r="AA112" s="1453"/>
      <c r="AB112" s="1453"/>
      <c r="AC112" s="1453"/>
      <c r="AD112" s="1453"/>
      <c r="AE112" s="1454"/>
      <c r="AF112" s="1446"/>
      <c r="AG112" s="1442"/>
      <c r="AH112" s="1442"/>
      <c r="AI112" s="1442"/>
      <c r="AJ112" s="1443"/>
      <c r="AK112" s="1442"/>
      <c r="AL112" s="1442"/>
      <c r="AM112" s="1442"/>
      <c r="AN112" s="1442"/>
      <c r="AO112" s="1443"/>
      <c r="AP112" s="1442"/>
      <c r="AQ112" s="1442"/>
      <c r="AR112" s="1442"/>
      <c r="AS112" s="1442"/>
      <c r="AT112" s="1443"/>
      <c r="AU112" s="1442"/>
      <c r="AV112" s="1442"/>
      <c r="AW112" s="1442"/>
      <c r="AX112" s="1442"/>
      <c r="AY112" s="1443"/>
      <c r="AZ112" s="1442"/>
      <c r="BA112" s="1442">
        <f>IF(ISERROR(BA110/AZ110-1),,(BA110/AZ110-1))</f>
        <v>-0.10601661903680826</v>
      </c>
      <c r="BB112" s="1442">
        <f>IF(ISERROR(BB110/BA110-1),,(BB110/BA110-1))</f>
        <v>-0.16462657018488713</v>
      </c>
      <c r="BC112" s="1442">
        <f>IF(ISERROR(BC110/BB110-1),,(BC110/BB110-1))</f>
        <v>0.91286227540327802</v>
      </c>
      <c r="BD112" s="1443"/>
      <c r="BE112" s="1442">
        <f>IF(ISERROR(BE110/BC110-1),,(BE110/BC110-1))</f>
        <v>-0.2509859363526924</v>
      </c>
      <c r="BF112" s="1442">
        <f>IF(ISERROR(BF110/BE110-1),,(BF110/BE110-1))</f>
        <v>-0.19792145259377214</v>
      </c>
      <c r="BG112" s="1442">
        <f>IF(ISERROR(BG110/BF110-1),,(BG110/BF110-1))</f>
        <v>5.2918593829465177E-2</v>
      </c>
      <c r="BH112" s="1442">
        <f>IF(ISERROR(BH110/BG110-1),,(BH110/BG110-1))</f>
        <v>0.72315692577650714</v>
      </c>
      <c r="BI112" s="1443"/>
      <c r="BJ112" s="1442">
        <f>IF(ISERROR(BJ110/BH110-1),,(BJ110/BH110-1))</f>
        <v>-0.28534437963926618</v>
      </c>
      <c r="BK112" s="1442">
        <f>IF(ISERROR(BK110/BJ110-1),,(BK110/BJ110-1))</f>
        <v>-0.16707227769353261</v>
      </c>
      <c r="BL112" s="1442">
        <f>IF(ISERROR(BL110/BK110-1),,(BL110/BK110-1))</f>
        <v>1.3921608872818458E-2</v>
      </c>
      <c r="BM112" s="1442">
        <f>IF(ISERROR(BM110/BL110-1),,(BM110/BL110-1))</f>
        <v>0.73972574237051192</v>
      </c>
      <c r="BN112" s="1443"/>
      <c r="BO112" s="1442">
        <f>IF(ISERROR(BO110/BM110-1),,(BO110/BM110-1))</f>
        <v>-0.29895686764613738</v>
      </c>
      <c r="BP112" s="1442">
        <f>IF(ISERROR(BP110/BO110-1),,(BP110/BO110-1))</f>
        <v>-0.16707227769353272</v>
      </c>
      <c r="BQ112" s="1442">
        <f>IF(ISERROR(BQ110/BP110-1),,(BQ110/BP110-1))</f>
        <v>1.3921608872818458E-2</v>
      </c>
      <c r="BR112" s="1442">
        <f>IF(ISERROR(BR110/BQ110-1),,(BR110/BQ110-1))</f>
        <v>0.73972574237051192</v>
      </c>
      <c r="BS112" s="1443"/>
      <c r="BT112" s="1442">
        <f>IF(ISERROR(BT110/BR110-1),,(BT110/BR110-1))</f>
        <v>-0.30235998964785515</v>
      </c>
      <c r="BU112" s="1442">
        <f>IF(ISERROR(BU110/BT110-1),,(BU110/BT110-1))</f>
        <v>-0.16707227769353272</v>
      </c>
      <c r="BV112" s="1442">
        <f>IF(ISERROR(BV110/BU110-1),,(BV110/BU110-1))</f>
        <v>1.3921608872818236E-2</v>
      </c>
      <c r="BW112" s="1442">
        <f>IF(ISERROR(BW110/BV110-1),,(BW110/BV110-1))</f>
        <v>0.73972574237051192</v>
      </c>
      <c r="BX112" s="1443"/>
      <c r="BY112" s="1519"/>
      <c r="BZ112" s="1443"/>
      <c r="CA112" s="1443"/>
      <c r="CB112" s="1443"/>
      <c r="CC112" s="1443"/>
      <c r="CD112" s="1443"/>
      <c r="CE112" s="1443"/>
      <c r="CF112" s="1443"/>
      <c r="CG112" s="1443"/>
      <c r="CH112" s="1443"/>
      <c r="CI112" s="1001"/>
    </row>
    <row r="113" spans="1:87">
      <c r="A113" s="986" t="str">
        <f>A196</f>
        <v>Windows Patent Licensing, IP, IoT, Embedded &amp; Other</v>
      </c>
      <c r="B113" s="1345"/>
      <c r="C113" s="1345"/>
      <c r="D113" s="1345"/>
      <c r="E113" s="1345"/>
      <c r="F113" s="1346"/>
      <c r="G113" s="1345"/>
      <c r="H113" s="1345"/>
      <c r="I113" s="1345"/>
      <c r="J113" s="1345"/>
      <c r="K113" s="1346"/>
      <c r="L113" s="1345"/>
      <c r="M113" s="1345"/>
      <c r="N113" s="1345"/>
      <c r="O113" s="1345"/>
      <c r="P113" s="1346"/>
      <c r="Q113" s="1345"/>
      <c r="R113" s="1345"/>
      <c r="S113" s="1345"/>
      <c r="T113" s="1345"/>
      <c r="U113" s="1346"/>
      <c r="V113" s="1345"/>
      <c r="W113" s="1345"/>
      <c r="X113" s="1345"/>
      <c r="Y113" s="1345"/>
      <c r="Z113" s="1346"/>
      <c r="AA113" s="1345"/>
      <c r="AB113" s="1345"/>
      <c r="AC113" s="1345"/>
      <c r="AD113" s="1345"/>
      <c r="AE113" s="1346"/>
      <c r="AF113" s="1347"/>
      <c r="AG113" s="1347"/>
      <c r="AH113" s="1347"/>
      <c r="AI113" s="1347"/>
      <c r="AJ113" s="1346"/>
      <c r="AK113" s="1002">
        <f>AK205</f>
        <v>637.89365788206146</v>
      </c>
      <c r="AL113" s="1002">
        <f>AL205</f>
        <v>1381.7116259312536</v>
      </c>
      <c r="AM113" s="1002">
        <f>AM205</f>
        <v>721.43429887111256</v>
      </c>
      <c r="AN113" s="1002">
        <f>AN205</f>
        <v>995.02646240902504</v>
      </c>
      <c r="AO113" s="1010">
        <f>SUM(AK113:AN113)</f>
        <v>3736.0660450934529</v>
      </c>
      <c r="AP113" s="1002">
        <f>AP205</f>
        <v>364.160004029167</v>
      </c>
      <c r="AQ113" s="1002">
        <f>AQ205</f>
        <v>823.48541105582399</v>
      </c>
      <c r="AR113" s="1002">
        <f>AR205</f>
        <v>635.95335370396174</v>
      </c>
      <c r="AS113" s="1002">
        <f>AS205</f>
        <v>368.70986837053761</v>
      </c>
      <c r="AT113" s="1010">
        <f>SUM(AP113:AS113)</f>
        <v>2192.30863715949</v>
      </c>
      <c r="AU113" s="1002">
        <f>AU205</f>
        <v>400.57600443208366</v>
      </c>
      <c r="AV113" s="1002">
        <f>AV205</f>
        <v>836.2667951827334</v>
      </c>
      <c r="AW113" s="1002">
        <f>AW205</f>
        <v>594.8386336116323</v>
      </c>
      <c r="AX113" s="1002">
        <f>AX205</f>
        <v>326.46279468678188</v>
      </c>
      <c r="AY113" s="1010">
        <f>SUM(AU113:AX113)</f>
        <v>2158.1442279132311</v>
      </c>
      <c r="AZ113" s="1002">
        <f>AZ205</f>
        <v>429.64073015534234</v>
      </c>
      <c r="BA113" s="1002">
        <f>BA205</f>
        <v>837.0460449390647</v>
      </c>
      <c r="BB113" s="1002">
        <f>BB205</f>
        <v>590.44313015704063</v>
      </c>
      <c r="BC113" s="1002">
        <f>BC205</f>
        <v>329.3482525155988</v>
      </c>
      <c r="BD113" s="1010">
        <f>SUM(AZ113:BC113)</f>
        <v>2186.4781577670465</v>
      </c>
      <c r="BE113" s="1002">
        <f>BE205</f>
        <v>416.62167319844161</v>
      </c>
      <c r="BF113" s="1002">
        <f>BF205</f>
        <v>841.02309549862366</v>
      </c>
      <c r="BG113" s="1002">
        <f>BG205</f>
        <v>729.59490663905183</v>
      </c>
      <c r="BH113" s="1002">
        <f>BH205</f>
        <v>362.29501774170569</v>
      </c>
      <c r="BI113" s="1010">
        <f>SUM(BE113:BH113)</f>
        <v>2349.5346930778228</v>
      </c>
      <c r="BJ113" s="1002">
        <f>BJ205</f>
        <v>418.76337789359638</v>
      </c>
      <c r="BK113" s="1002">
        <f>BK205</f>
        <v>868.24801481930081</v>
      </c>
      <c r="BL113" s="1002">
        <f>BL205</f>
        <v>743.81301840211518</v>
      </c>
      <c r="BM113" s="1002">
        <f>BM205</f>
        <v>369.31157020476576</v>
      </c>
      <c r="BN113" s="1010">
        <f>SUM(BJ113:BM113)</f>
        <v>2400.1359813197782</v>
      </c>
      <c r="BO113" s="1002">
        <f>BO205</f>
        <v>430.82409178001171</v>
      </c>
      <c r="BP113" s="1002">
        <f>BP205</f>
        <v>896.8341801060119</v>
      </c>
      <c r="BQ113" s="1002">
        <f>BQ205</f>
        <v>758.74203575333161</v>
      </c>
      <c r="BR113" s="1002">
        <f>BR205</f>
        <v>376.67895029097872</v>
      </c>
      <c r="BS113" s="1010">
        <f>SUM(BO113:BR113)</f>
        <v>2463.0792579303338</v>
      </c>
      <c r="BT113" s="1002">
        <f>BT205</f>
        <v>439.68871648652697</v>
      </c>
      <c r="BU113" s="1002">
        <f>BU205</f>
        <v>917.84501159174442</v>
      </c>
      <c r="BV113" s="1002">
        <f>BV205</f>
        <v>769.71486350647569</v>
      </c>
      <c r="BW113" s="1002">
        <f>BW205</f>
        <v>382.09397465434529</v>
      </c>
      <c r="BX113" s="1010">
        <f>SUM(BT113:BW113)</f>
        <v>2509.3425662390928</v>
      </c>
      <c r="BY113" s="1519"/>
      <c r="BZ113" s="1010"/>
      <c r="CA113" s="1010"/>
      <c r="CB113" s="1010">
        <f>SUM(AM113:AN113,AP113:AQ113)</f>
        <v>2904.1061763651287</v>
      </c>
      <c r="CC113" s="1010">
        <f>SUM(AR113:AS113,AU113:AV113)</f>
        <v>2241.5060216893162</v>
      </c>
      <c r="CD113" s="1010">
        <f>SUM(AW113:AX113,AZ113:BA113)</f>
        <v>2187.9882033928211</v>
      </c>
      <c r="CE113" s="1010">
        <f>SUM(BB113:BC113,BE113:BF113)</f>
        <v>2177.4361513697049</v>
      </c>
      <c r="CF113" s="1010">
        <f>SUM(BG113:BH113,BJ113:BK113)</f>
        <v>2378.9013170936546</v>
      </c>
      <c r="CG113" s="1010">
        <f>SUM(BL113:BM113,BO113:BP113)</f>
        <v>2440.7828604929045</v>
      </c>
      <c r="CH113" s="1010">
        <f>SUM(BQ113:BR113,BT113:BU113)</f>
        <v>2492.9547141225817</v>
      </c>
      <c r="CI113" s="1001"/>
    </row>
    <row r="114" spans="1:87">
      <c r="A114" s="1456" t="s">
        <v>926</v>
      </c>
      <c r="B114" s="1453"/>
      <c r="C114" s="1453"/>
      <c r="D114" s="1453"/>
      <c r="E114" s="1453"/>
      <c r="F114" s="1454"/>
      <c r="G114" s="1453"/>
      <c r="H114" s="1453"/>
      <c r="I114" s="1453"/>
      <c r="J114" s="1453"/>
      <c r="K114" s="1454"/>
      <c r="L114" s="1453"/>
      <c r="M114" s="1453"/>
      <c r="N114" s="1453"/>
      <c r="O114" s="1453"/>
      <c r="P114" s="1454"/>
      <c r="Q114" s="1453"/>
      <c r="R114" s="1453"/>
      <c r="S114" s="1453"/>
      <c r="T114" s="1453"/>
      <c r="U114" s="1454"/>
      <c r="V114" s="1453"/>
      <c r="W114" s="1453"/>
      <c r="X114" s="1453"/>
      <c r="Y114" s="1453"/>
      <c r="Z114" s="1454"/>
      <c r="AA114" s="1453"/>
      <c r="AB114" s="1453"/>
      <c r="AC114" s="1453"/>
      <c r="AD114" s="1453"/>
      <c r="AE114" s="1454"/>
      <c r="AF114" s="1446"/>
      <c r="AG114" s="1453"/>
      <c r="AH114" s="1453"/>
      <c r="AI114" s="1453"/>
      <c r="AJ114" s="1443"/>
      <c r="AK114" s="1442"/>
      <c r="AL114" s="1442"/>
      <c r="AM114" s="1442"/>
      <c r="AN114" s="1442"/>
      <c r="AO114" s="1443"/>
      <c r="AP114" s="1442">
        <f t="shared" ref="AP114:BS114" si="232">IF(ISERROR(AP113/AK113-1),,(AP113/AK113-1))</f>
        <v>-0.42912114028809545</v>
      </c>
      <c r="AQ114" s="1442">
        <f t="shared" si="232"/>
        <v>-0.40401065200503994</v>
      </c>
      <c r="AR114" s="1442">
        <f t="shared" si="232"/>
        <v>-0.11848749816984006</v>
      </c>
      <c r="AS114" s="1442">
        <f t="shared" si="232"/>
        <v>-0.62944717321601018</v>
      </c>
      <c r="AT114" s="1443">
        <f t="shared" si="232"/>
        <v>-0.41320399299722443</v>
      </c>
      <c r="AU114" s="1442">
        <f t="shared" si="232"/>
        <v>9.9999999999999867E-2</v>
      </c>
      <c r="AV114" s="1442">
        <f t="shared" si="232"/>
        <v>1.5521081436672857E-2</v>
      </c>
      <c r="AW114" s="1442">
        <f t="shared" si="232"/>
        <v>-6.4650527987416662E-2</v>
      </c>
      <c r="AX114" s="1442">
        <f t="shared" si="232"/>
        <v>-0.11458080541879945</v>
      </c>
      <c r="AY114" s="1443">
        <f t="shared" si="232"/>
        <v>-1.5583758904733735E-2</v>
      </c>
      <c r="AZ114" s="1442">
        <f t="shared" si="232"/>
        <v>7.2557330947631726E-2</v>
      </c>
      <c r="BA114" s="1442">
        <f t="shared" si="232"/>
        <v>9.318195590450884E-4</v>
      </c>
      <c r="BB114" s="1442">
        <f t="shared" si="232"/>
        <v>-7.3894048002629553E-3</v>
      </c>
      <c r="BC114" s="1442">
        <f t="shared" si="232"/>
        <v>8.8385502905019564E-3</v>
      </c>
      <c r="BD114" s="1443">
        <f t="shared" si="232"/>
        <v>1.3128839809382065E-2</v>
      </c>
      <c r="BE114" s="1442">
        <f t="shared" si="232"/>
        <v>-3.0302194468837973E-2</v>
      </c>
      <c r="BF114" s="1442">
        <f t="shared" si="232"/>
        <v>4.7512924570936033E-3</v>
      </c>
      <c r="BG114" s="1442">
        <f t="shared" si="232"/>
        <v>0.23567346180317306</v>
      </c>
      <c r="BH114" s="1442">
        <f t="shared" si="232"/>
        <v>0.10003625334112387</v>
      </c>
      <c r="BI114" s="1443">
        <f t="shared" si="232"/>
        <v>7.4574966473618387E-2</v>
      </c>
      <c r="BJ114" s="1442">
        <f t="shared" si="232"/>
        <v>5.1406463775940381E-3</v>
      </c>
      <c r="BK114" s="1442">
        <f t="shared" si="232"/>
        <v>3.2371191072388061E-2</v>
      </c>
      <c r="BL114" s="1442">
        <f t="shared" si="232"/>
        <v>1.9487679579015094E-2</v>
      </c>
      <c r="BM114" s="1442">
        <f t="shared" si="232"/>
        <v>1.9366958195551121E-2</v>
      </c>
      <c r="BN114" s="1443">
        <f t="shared" si="232"/>
        <v>2.1536727417150514E-2</v>
      </c>
      <c r="BO114" s="1442">
        <f t="shared" si="232"/>
        <v>2.8800784698703508E-2</v>
      </c>
      <c r="BP114" s="1442">
        <f t="shared" si="232"/>
        <v>3.2923962737375634E-2</v>
      </c>
      <c r="BQ114" s="1442">
        <f t="shared" si="232"/>
        <v>2.0070927749137102E-2</v>
      </c>
      <c r="BR114" s="1442">
        <f t="shared" si="232"/>
        <v>1.9948955517770761E-2</v>
      </c>
      <c r="BS114" s="1443">
        <f t="shared" si="232"/>
        <v>2.6224879382019228E-2</v>
      </c>
      <c r="BT114" s="1442">
        <f t="shared" ref="BT114" si="233">IF(ISERROR(BT113/BO113-1),,(BT113/BO113-1))</f>
        <v>2.0575972596819758E-2</v>
      </c>
      <c r="BU114" s="1442">
        <f t="shared" ref="BU114" si="234">IF(ISERROR(BU113/BP113-1),,(BU113/BP113-1))</f>
        <v>2.342777734368795E-2</v>
      </c>
      <c r="BV114" s="1442">
        <f t="shared" ref="BV114" si="235">IF(ISERROR(BV113/BQ113-1),,(BV113/BQ113-1))</f>
        <v>1.4461868772368103E-2</v>
      </c>
      <c r="BW114" s="1442">
        <f t="shared" ref="BW114" si="236">IF(ISERROR(BW113/BR113-1),,(BW113/BR113-1))</f>
        <v>1.437570206453942E-2</v>
      </c>
      <c r="BX114" s="1443">
        <f t="shared" ref="BX114" si="237">IF(ISERROR(BX113/BS113-1),,(BX113/BS113-1))</f>
        <v>1.8782711989395295E-2</v>
      </c>
      <c r="BY114" s="1519"/>
      <c r="BZ114" s="1443"/>
      <c r="CA114" s="1443"/>
      <c r="CB114" s="1443"/>
      <c r="CC114" s="1443">
        <f t="shared" ref="CC114:CH114" si="238">CC113/CB113-1</f>
        <v>-0.22815975533826516</v>
      </c>
      <c r="CD114" s="1443">
        <f t="shared" si="238"/>
        <v>-2.3875830704287448E-2</v>
      </c>
      <c r="CE114" s="1443">
        <f t="shared" si="238"/>
        <v>-4.8227188824663259E-3</v>
      </c>
      <c r="CF114" s="1443">
        <f t="shared" si="238"/>
        <v>9.2524029050045309E-2</v>
      </c>
      <c r="CG114" s="1443">
        <f t="shared" si="238"/>
        <v>2.6012656748137797E-2</v>
      </c>
      <c r="CH114" s="1443">
        <f t="shared" si="238"/>
        <v>2.1375049159080506E-2</v>
      </c>
      <c r="CI114" s="1001"/>
    </row>
    <row r="115" spans="1:87">
      <c r="A115" s="1456" t="s">
        <v>952</v>
      </c>
      <c r="B115" s="1453"/>
      <c r="C115" s="1453"/>
      <c r="D115" s="1453"/>
      <c r="E115" s="1453"/>
      <c r="F115" s="1454"/>
      <c r="G115" s="1453"/>
      <c r="H115" s="1453"/>
      <c r="I115" s="1453"/>
      <c r="J115" s="1453"/>
      <c r="K115" s="1454"/>
      <c r="L115" s="1453"/>
      <c r="M115" s="1453"/>
      <c r="N115" s="1453"/>
      <c r="O115" s="1453"/>
      <c r="P115" s="1454"/>
      <c r="Q115" s="1453"/>
      <c r="R115" s="1453"/>
      <c r="S115" s="1453"/>
      <c r="T115" s="1453"/>
      <c r="U115" s="1454"/>
      <c r="V115" s="1453"/>
      <c r="W115" s="1453"/>
      <c r="X115" s="1453"/>
      <c r="Y115" s="1453"/>
      <c r="Z115" s="1454"/>
      <c r="AA115" s="1453"/>
      <c r="AB115" s="1453"/>
      <c r="AC115" s="1453"/>
      <c r="AD115" s="1453"/>
      <c r="AE115" s="1454"/>
      <c r="AF115" s="1446"/>
      <c r="AG115" s="1442"/>
      <c r="AH115" s="1442"/>
      <c r="AI115" s="1442"/>
      <c r="AJ115" s="1443"/>
      <c r="AK115" s="1442"/>
      <c r="AL115" s="1442">
        <f>IF(ISERROR(AL113/AK113-1),,(AL113/AK113-1))</f>
        <v>1.1660532423520578</v>
      </c>
      <c r="AM115" s="1442">
        <f>IF(ISERROR(AM113/AL113-1),,(AM113/AL113-1))</f>
        <v>-0.47786912599445175</v>
      </c>
      <c r="AN115" s="1442">
        <f>IF(ISERROR(AN113/AM113-1),,(AN113/AM113-1))</f>
        <v>0.37923365158272149</v>
      </c>
      <c r="AO115" s="1443"/>
      <c r="AP115" s="1442">
        <f>IF(ISERROR(AP113/AN113-1),,(AP113/AN113-1))</f>
        <v>-0.63401977958705591</v>
      </c>
      <c r="AQ115" s="1442">
        <f>IF(ISERROR(AQ113/AP113-1),,(AQ113/AP113-1))</f>
        <v>1.2613285422466873</v>
      </c>
      <c r="AR115" s="1442">
        <f>IF(ISERROR(AR113/AQ113-1),,(AR113/AQ113-1))</f>
        <v>-0.22772966567971109</v>
      </c>
      <c r="AS115" s="1442">
        <f>IF(ISERROR(AS113/AR113-1),,(AS113/AR113-1))</f>
        <v>-0.42022497998780395</v>
      </c>
      <c r="AT115" s="1443"/>
      <c r="AU115" s="1442">
        <f>IF(ISERROR(AU113/AS113-1),,(AU113/AS113-1))</f>
        <v>8.6426046046377936E-2</v>
      </c>
      <c r="AV115" s="1442">
        <f>IF(ISERROR(AV113/AU113-1),,(AV113/AU113-1))</f>
        <v>1.0876607333690647</v>
      </c>
      <c r="AW115" s="1442">
        <f>IF(ISERROR(AW113/AV113-1),,(AW113/AV113-1))</f>
        <v>-0.28869753404276488</v>
      </c>
      <c r="AX115" s="1442">
        <f>IF(ISERROR(AX113/AW113-1),,(AX113/AW113-1))</f>
        <v>-0.45117419037727113</v>
      </c>
      <c r="AY115" s="1443"/>
      <c r="AZ115" s="1442">
        <f>IF(ISERROR(AZ113/AX113-1),,(AZ113/AX113-1))</f>
        <v>0.3160480677975952</v>
      </c>
      <c r="BA115" s="1442">
        <f>IF(ISERROR(BA113/AZ113-1),,(BA113/AZ113-1))</f>
        <v>0.9482464910540942</v>
      </c>
      <c r="BB115" s="1442">
        <f>IF(ISERROR(BB113/BA113-1),,(BB113/BA113-1))</f>
        <v>-0.29461093123016457</v>
      </c>
      <c r="BC115" s="1442">
        <f>IF(ISERROR(BC113/BB113-1),,(BC113/BB113-1))</f>
        <v>-0.44220156744307992</v>
      </c>
      <c r="BD115" s="1443"/>
      <c r="BE115" s="1442">
        <f>IF(ISERROR(BE113/BC113-1),,(BE113/BC113-1))</f>
        <v>0.26498826095550432</v>
      </c>
      <c r="BF115" s="1442">
        <f>IF(ISERROR(BF113/BE113-1),,(BF113/BE113-1))</f>
        <v>1.0186734142801899</v>
      </c>
      <c r="BG115" s="1442">
        <f>IF(ISERROR(BG113/BF113-1),,(BG113/BF113-1))</f>
        <v>-0.1324912353251233</v>
      </c>
      <c r="BH115" s="1442">
        <f>IF(ISERROR(BH113/BG113-1),,(BH113/BG113-1))</f>
        <v>-0.50342989726908582</v>
      </c>
      <c r="BI115" s="1443"/>
      <c r="BJ115" s="1442">
        <f>IF(ISERROR(BJ113/BH113-1),,(BJ113/BH113-1))</f>
        <v>0.15586292216734043</v>
      </c>
      <c r="BK115" s="1442">
        <f>IF(ISERROR(BK113/BJ113-1),,(BK113/BJ113-1))</f>
        <v>1.0733618569671437</v>
      </c>
      <c r="BL115" s="1442">
        <f>IF(ISERROR(BL113/BK113-1),,(BL113/BK113-1))</f>
        <v>-0.14331734054477852</v>
      </c>
      <c r="BM115" s="1442">
        <f>IF(ISERROR(BM113/BL113-1),,(BM113/BL113-1))</f>
        <v>-0.50348869800889795</v>
      </c>
      <c r="BN115" s="1443"/>
      <c r="BO115" s="1442">
        <f>IF(ISERROR(BO113/BM113-1),,(BO113/BM113-1))</f>
        <v>0.16655996328828837</v>
      </c>
      <c r="BP115" s="1442">
        <f>IF(ISERROR(BP113/BO113-1),,(BP113/BO113-1))</f>
        <v>1.0816713763629431</v>
      </c>
      <c r="BQ115" s="1442">
        <f>IF(ISERROR(BQ113/BP113-1),,(BQ113/BP113-1))</f>
        <v>-0.15397734321004231</v>
      </c>
      <c r="BR115" s="1442">
        <f>IF(ISERROR(BR113/BQ113-1),,(BR113/BQ113-1))</f>
        <v>-0.50354806700938115</v>
      </c>
      <c r="BS115" s="1443"/>
      <c r="BT115" s="1442">
        <f>IF(ISERROR(BT113/BR113-1),,(BT113/BR113-1))</f>
        <v>0.16727710998152179</v>
      </c>
      <c r="BU115" s="1442">
        <f>IF(ISERROR(BU113/BT113-1),,(BU113/BT113-1))</f>
        <v>1.087488209672693</v>
      </c>
      <c r="BV115" s="1442">
        <f>IF(ISERROR(BV113/BU113-1),,(BV113/BU113-1))</f>
        <v>-0.1613890648360975</v>
      </c>
      <c r="BW115" s="1442">
        <f>IF(ISERROR(BW113/BV113-1),,(BW113/BV113-1))</f>
        <v>-0.50359023481280263</v>
      </c>
      <c r="BX115" s="1443"/>
      <c r="BY115" s="1519"/>
      <c r="BZ115" s="1443"/>
      <c r="CA115" s="1443"/>
      <c r="CB115" s="1443"/>
      <c r="CC115" s="1443"/>
      <c r="CD115" s="1443"/>
      <c r="CE115" s="1443"/>
      <c r="CF115" s="1443"/>
      <c r="CG115" s="1443"/>
      <c r="CH115" s="1443"/>
      <c r="CI115" s="1001"/>
    </row>
    <row r="116" spans="1:87">
      <c r="A116" s="986" t="s">
        <v>943</v>
      </c>
      <c r="B116" s="1345"/>
      <c r="C116" s="1345"/>
      <c r="D116" s="1345"/>
      <c r="E116" s="1345"/>
      <c r="F116" s="1346"/>
      <c r="G116" s="1345"/>
      <c r="H116" s="1345"/>
      <c r="I116" s="1345"/>
      <c r="J116" s="1345"/>
      <c r="K116" s="1346"/>
      <c r="L116" s="1345"/>
      <c r="M116" s="1345"/>
      <c r="N116" s="1345"/>
      <c r="O116" s="1345"/>
      <c r="P116" s="1346"/>
      <c r="Q116" s="1345"/>
      <c r="R116" s="1345"/>
      <c r="S116" s="1345"/>
      <c r="T116" s="1345"/>
      <c r="U116" s="1346"/>
      <c r="V116" s="1345"/>
      <c r="W116" s="1345"/>
      <c r="X116" s="1345"/>
      <c r="Y116" s="1345"/>
      <c r="Z116" s="1346"/>
      <c r="AA116" s="1345"/>
      <c r="AB116" s="1345"/>
      <c r="AC116" s="1345"/>
      <c r="AD116" s="1345"/>
      <c r="AE116" s="1346"/>
      <c r="AF116" s="1347"/>
      <c r="AG116" s="1347"/>
      <c r="AH116" s="1347"/>
      <c r="AI116" s="1347"/>
      <c r="AJ116" s="1346"/>
      <c r="AK116" s="1002">
        <f>AK158</f>
        <v>400</v>
      </c>
      <c r="AL116" s="1002">
        <f>AL158</f>
        <v>893</v>
      </c>
      <c r="AM116" s="1002">
        <f>AM158</f>
        <v>494</v>
      </c>
      <c r="AN116" s="1002">
        <f>AN158</f>
        <v>409</v>
      </c>
      <c r="AO116" s="1010">
        <f>SUM(AK116:AN116)</f>
        <v>2196</v>
      </c>
      <c r="AP116" s="1002">
        <f>AP158</f>
        <v>908</v>
      </c>
      <c r="AQ116" s="1002">
        <f>AQ158</f>
        <v>1104</v>
      </c>
      <c r="AR116" s="1002">
        <f>AR158</f>
        <v>713</v>
      </c>
      <c r="AS116" s="1002">
        <f>AS158</f>
        <v>888</v>
      </c>
      <c r="AT116" s="1010">
        <f>SUM(AP116:AS116)</f>
        <v>3613</v>
      </c>
      <c r="AU116" s="1002">
        <f>AU158</f>
        <v>672</v>
      </c>
      <c r="AV116" s="1002">
        <f>AV158</f>
        <v>1352</v>
      </c>
      <c r="AW116" s="1002">
        <f>AW158</f>
        <v>1111</v>
      </c>
      <c r="AX116" s="1002">
        <f>AX158</f>
        <v>965</v>
      </c>
      <c r="AY116" s="1010">
        <f>SUM(AU116:AX116)</f>
        <v>4100</v>
      </c>
      <c r="AZ116" s="1002">
        <f>AZ158</f>
        <v>926</v>
      </c>
      <c r="BA116" s="1002">
        <f>BA158</f>
        <v>1321</v>
      </c>
      <c r="BB116" s="1002">
        <f>BB158</f>
        <v>831</v>
      </c>
      <c r="BC116" s="1002">
        <f>BC158</f>
        <v>948</v>
      </c>
      <c r="BD116" s="1010">
        <f>SUM(AZ116:BC116)</f>
        <v>4026</v>
      </c>
      <c r="BE116" s="1002">
        <f>BE158</f>
        <v>1037</v>
      </c>
      <c r="BF116" s="1002">
        <f>BF158</f>
        <v>1335</v>
      </c>
      <c r="BG116" s="1002">
        <f>BG158</f>
        <v>1094</v>
      </c>
      <c r="BH116" s="1002">
        <f>BH158</f>
        <v>1124.6623149958041</v>
      </c>
      <c r="BI116" s="1010">
        <f>SUM(BE116:BH116)</f>
        <v>4590.6623149958041</v>
      </c>
      <c r="BJ116" s="1002">
        <f>BJ158</f>
        <v>1188.6180468703355</v>
      </c>
      <c r="BK116" s="1002">
        <f>BK158</f>
        <v>1760.364449916666</v>
      </c>
      <c r="BL116" s="1002">
        <f>BL158</f>
        <v>1051.3251373726532</v>
      </c>
      <c r="BM116" s="1002">
        <f>BM158</f>
        <v>1041.597926680191</v>
      </c>
      <c r="BN116" s="1010">
        <f>SUM(BJ116:BM116)</f>
        <v>5041.9055608398467</v>
      </c>
      <c r="BO116" s="1002">
        <f>BO158</f>
        <v>1263.1120851215114</v>
      </c>
      <c r="BP116" s="1002">
        <f>BP158</f>
        <v>1881.8334072735781</v>
      </c>
      <c r="BQ116" s="1002">
        <f>BQ158</f>
        <v>1130.4390875761023</v>
      </c>
      <c r="BR116" s="1002">
        <f>BR158</f>
        <v>1126.4077151175277</v>
      </c>
      <c r="BS116" s="1010">
        <f>SUM(BO116:BR116)</f>
        <v>5401.7922950887205</v>
      </c>
      <c r="BT116" s="1002">
        <f>BT158</f>
        <v>1305.7958882456637</v>
      </c>
      <c r="BU116" s="1002">
        <f>BU158</f>
        <v>1944.302219615947</v>
      </c>
      <c r="BV116" s="1002">
        <f>BV158</f>
        <v>1167.3064288159333</v>
      </c>
      <c r="BW116" s="1002">
        <f>BW158</f>
        <v>1162.503198167637</v>
      </c>
      <c r="BX116" s="1010">
        <f>SUM(BT116:BW116)</f>
        <v>5579.907734845181</v>
      </c>
      <c r="BY116" s="1519"/>
      <c r="BZ116" s="1010"/>
      <c r="CA116" s="1010"/>
      <c r="CB116" s="1010">
        <f>SUM(AM116:AN116,AP116:AQ116)</f>
        <v>2915</v>
      </c>
      <c r="CC116" s="1010">
        <f>SUM(AR116:AS116,AU116:AV116)</f>
        <v>3625</v>
      </c>
      <c r="CD116" s="1010">
        <f>SUM(AW116:AX116,AZ116:BA116)</f>
        <v>4323</v>
      </c>
      <c r="CE116" s="1010">
        <f>SUM(BB116:BC116,BE116:BF116)</f>
        <v>4151</v>
      </c>
      <c r="CF116" s="1010">
        <f>SUM(BG116:BH116,BJ116:BK116)</f>
        <v>5167.6448117828058</v>
      </c>
      <c r="CG116" s="1010">
        <f>SUM(BL116:BM116,BO116:BP116)</f>
        <v>5237.8685564479338</v>
      </c>
      <c r="CH116" s="1010">
        <f>SUM(BQ116:BR116,BT116:BU116)</f>
        <v>5506.9449105552403</v>
      </c>
      <c r="CI116" s="1001"/>
    </row>
    <row r="117" spans="1:87">
      <c r="A117" s="1456" t="s">
        <v>926</v>
      </c>
      <c r="B117" s="1453"/>
      <c r="C117" s="1453"/>
      <c r="D117" s="1453"/>
      <c r="E117" s="1453"/>
      <c r="F117" s="1454"/>
      <c r="G117" s="1453"/>
      <c r="H117" s="1453"/>
      <c r="I117" s="1453"/>
      <c r="J117" s="1453"/>
      <c r="K117" s="1454"/>
      <c r="L117" s="1453"/>
      <c r="M117" s="1453"/>
      <c r="N117" s="1453"/>
      <c r="O117" s="1453"/>
      <c r="P117" s="1454"/>
      <c r="Q117" s="1453"/>
      <c r="R117" s="1453"/>
      <c r="S117" s="1453"/>
      <c r="T117" s="1453"/>
      <c r="U117" s="1454"/>
      <c r="V117" s="1453"/>
      <c r="W117" s="1453"/>
      <c r="X117" s="1453"/>
      <c r="Y117" s="1453"/>
      <c r="Z117" s="1454"/>
      <c r="AA117" s="1453"/>
      <c r="AB117" s="1453"/>
      <c r="AC117" s="1453"/>
      <c r="AD117" s="1453"/>
      <c r="AE117" s="1454"/>
      <c r="AF117" s="1446"/>
      <c r="AG117" s="1453"/>
      <c r="AH117" s="1453"/>
      <c r="AI117" s="1453"/>
      <c r="AJ117" s="1443"/>
      <c r="AK117" s="1442"/>
      <c r="AL117" s="1442"/>
      <c r="AM117" s="1442"/>
      <c r="AN117" s="1442"/>
      <c r="AO117" s="1443"/>
      <c r="AP117" s="1442">
        <f t="shared" ref="AP117:BS117" si="239">IF(ISERROR(AP116/AK116-1),,(AP116/AK116-1))</f>
        <v>1.27</v>
      </c>
      <c r="AQ117" s="1442">
        <f t="shared" si="239"/>
        <v>0.23628219484882429</v>
      </c>
      <c r="AR117" s="1442">
        <f t="shared" si="239"/>
        <v>0.44331983805668007</v>
      </c>
      <c r="AS117" s="1442">
        <f t="shared" si="239"/>
        <v>1.1711491442542785</v>
      </c>
      <c r="AT117" s="1443">
        <f t="shared" si="239"/>
        <v>0.64526411657559191</v>
      </c>
      <c r="AU117" s="1442">
        <f t="shared" si="239"/>
        <v>-0.25991189427312777</v>
      </c>
      <c r="AV117" s="1442">
        <f t="shared" si="239"/>
        <v>0.2246376811594204</v>
      </c>
      <c r="AW117" s="1442">
        <f t="shared" si="239"/>
        <v>0.55820476858345014</v>
      </c>
      <c r="AX117" s="1442">
        <f t="shared" si="239"/>
        <v>8.671171171171177E-2</v>
      </c>
      <c r="AY117" s="1443">
        <f t="shared" si="239"/>
        <v>0.13479103238306123</v>
      </c>
      <c r="AZ117" s="1442">
        <f t="shared" si="239"/>
        <v>0.37797619047619047</v>
      </c>
      <c r="BA117" s="1442">
        <f t="shared" si="239"/>
        <v>-2.2928994082840215E-2</v>
      </c>
      <c r="BB117" s="1442">
        <f t="shared" si="239"/>
        <v>-0.25202520252025207</v>
      </c>
      <c r="BC117" s="1442">
        <f t="shared" si="239"/>
        <v>-1.7616580310880869E-2</v>
      </c>
      <c r="BD117" s="1443">
        <f t="shared" si="239"/>
        <v>-1.8048780487804894E-2</v>
      </c>
      <c r="BE117" s="1442">
        <f t="shared" si="239"/>
        <v>0.11987041036717061</v>
      </c>
      <c r="BF117" s="1442">
        <f t="shared" si="239"/>
        <v>1.0598031794095464E-2</v>
      </c>
      <c r="BG117" s="1442">
        <f t="shared" si="239"/>
        <v>0.31648616125150419</v>
      </c>
      <c r="BH117" s="1442">
        <f t="shared" si="239"/>
        <v>0.18635265294916037</v>
      </c>
      <c r="BI117" s="1443">
        <f t="shared" si="239"/>
        <v>0.14025392821554994</v>
      </c>
      <c r="BJ117" s="1442">
        <f t="shared" si="239"/>
        <v>0.14620833835133618</v>
      </c>
      <c r="BK117" s="1442">
        <f t="shared" si="239"/>
        <v>0.3186250561173527</v>
      </c>
      <c r="BL117" s="1442">
        <f t="shared" si="239"/>
        <v>-3.9008101121889238E-2</v>
      </c>
      <c r="BM117" s="1442">
        <f t="shared" si="239"/>
        <v>-7.3857181136119943E-2</v>
      </c>
      <c r="BN117" s="1443">
        <f t="shared" si="239"/>
        <v>9.829589172133546E-2</v>
      </c>
      <c r="BO117" s="1442">
        <f t="shared" si="239"/>
        <v>6.2672814406041333E-2</v>
      </c>
      <c r="BP117" s="1442">
        <f t="shared" si="239"/>
        <v>6.9002164502164565E-2</v>
      </c>
      <c r="BQ117" s="1442">
        <f t="shared" si="239"/>
        <v>7.5251648981932817E-2</v>
      </c>
      <c r="BR117" s="1442">
        <f t="shared" si="239"/>
        <v>8.1422770019948798E-2</v>
      </c>
      <c r="BS117" s="1443">
        <f t="shared" si="239"/>
        <v>7.1379110518072997E-2</v>
      </c>
      <c r="BT117" s="1442">
        <f t="shared" ref="BT117" si="240">IF(ISERROR(BT116/BO116-1),,(BT116/BO116-1))</f>
        <v>3.3792569659442551E-2</v>
      </c>
      <c r="BU117" s="1442">
        <f t="shared" ref="BU117" si="241">IF(ISERROR(BU116/BP116-1),,(BU116/BP116-1))</f>
        <v>3.3195718654434048E-2</v>
      </c>
      <c r="BV117" s="1442">
        <f t="shared" ref="BV117" si="242">IF(ISERROR(BV116/BQ116-1),,(BV116/BQ116-1))</f>
        <v>3.2613293051359626E-2</v>
      </c>
      <c r="BW117" s="1442">
        <f t="shared" ref="BW117" si="243">IF(ISERROR(BW116/BR116-1),,(BW116/BR116-1))</f>
        <v>3.2044776119402929E-2</v>
      </c>
      <c r="BX117" s="1443">
        <f t="shared" ref="BX117" si="244">IF(ISERROR(BX116/BS116-1),,(BX116/BS116-1))</f>
        <v>3.2973396611047479E-2</v>
      </c>
      <c r="BY117" s="1519"/>
      <c r="BZ117" s="1443"/>
      <c r="CA117" s="1443"/>
      <c r="CB117" s="1443"/>
      <c r="CC117" s="1443">
        <f t="shared" ref="CC117:CH117" si="245">CC116/CB116-1</f>
        <v>0.24356775300171529</v>
      </c>
      <c r="CD117" s="1443">
        <f t="shared" si="245"/>
        <v>0.19255172413793109</v>
      </c>
      <c r="CE117" s="1443">
        <f t="shared" si="245"/>
        <v>-3.9787184825352817E-2</v>
      </c>
      <c r="CF117" s="1443">
        <f t="shared" si="245"/>
        <v>0.24491563762534474</v>
      </c>
      <c r="CG117" s="1443">
        <f t="shared" si="245"/>
        <v>1.3589119845274666E-2</v>
      </c>
      <c r="CH117" s="1443">
        <f t="shared" si="245"/>
        <v>5.1371345272891E-2</v>
      </c>
      <c r="CI117" s="1001"/>
    </row>
    <row r="118" spans="1:87">
      <c r="A118" s="1456" t="s">
        <v>952</v>
      </c>
      <c r="B118" s="1453"/>
      <c r="C118" s="1453"/>
      <c r="D118" s="1453"/>
      <c r="E118" s="1453"/>
      <c r="F118" s="1454"/>
      <c r="G118" s="1453"/>
      <c r="H118" s="1453"/>
      <c r="I118" s="1453"/>
      <c r="J118" s="1453"/>
      <c r="K118" s="1454"/>
      <c r="L118" s="1453"/>
      <c r="M118" s="1453"/>
      <c r="N118" s="1453"/>
      <c r="O118" s="1453"/>
      <c r="P118" s="1454"/>
      <c r="Q118" s="1453"/>
      <c r="R118" s="1453"/>
      <c r="S118" s="1453"/>
      <c r="T118" s="1453"/>
      <c r="U118" s="1454"/>
      <c r="V118" s="1453"/>
      <c r="W118" s="1453"/>
      <c r="X118" s="1453"/>
      <c r="Y118" s="1453"/>
      <c r="Z118" s="1454"/>
      <c r="AA118" s="1453"/>
      <c r="AB118" s="1453"/>
      <c r="AC118" s="1453"/>
      <c r="AD118" s="1453"/>
      <c r="AE118" s="1454"/>
      <c r="AF118" s="1446"/>
      <c r="AG118" s="1442"/>
      <c r="AH118" s="1442"/>
      <c r="AI118" s="1442"/>
      <c r="AJ118" s="1443"/>
      <c r="AK118" s="1442"/>
      <c r="AL118" s="1442">
        <f>IF(ISERROR(AL116/AK116-1),,(AL116/AK116-1))</f>
        <v>1.2324999999999999</v>
      </c>
      <c r="AM118" s="1442">
        <f>IF(ISERROR(AM116/AL116-1),,(AM116/AL116-1))</f>
        <v>-0.44680851063829785</v>
      </c>
      <c r="AN118" s="1442">
        <f>IF(ISERROR(AN116/AM116-1),,(AN116/AM116-1))</f>
        <v>-0.17206477732793524</v>
      </c>
      <c r="AO118" s="1443"/>
      <c r="AP118" s="1442">
        <f>IF(ISERROR(AP116/AN116-1),,(AP116/AN116-1))</f>
        <v>1.220048899755501</v>
      </c>
      <c r="AQ118" s="1442">
        <f>IF(ISERROR(AQ116/AP116-1),,(AQ116/AP116-1))</f>
        <v>0.21585903083700431</v>
      </c>
      <c r="AR118" s="1442">
        <f>IF(ISERROR(AR116/AQ116-1),,(AR116/AQ116-1))</f>
        <v>-0.35416666666666663</v>
      </c>
      <c r="AS118" s="1442">
        <f>IF(ISERROR(AS116/AR116-1),,(AS116/AR116-1))</f>
        <v>0.24544179523141652</v>
      </c>
      <c r="AT118" s="1443"/>
      <c r="AU118" s="1442">
        <f>IF(ISERROR(AU116/AS116-1),,(AU116/AS116-1))</f>
        <v>-0.2432432432432432</v>
      </c>
      <c r="AV118" s="1442">
        <f>IF(ISERROR(AV116/AU116-1),,(AV116/AU116-1))</f>
        <v>1.0119047619047619</v>
      </c>
      <c r="AW118" s="1442">
        <f>IF(ISERROR(AW116/AV116-1),,(AW116/AV116-1))</f>
        <v>-0.17825443786982254</v>
      </c>
      <c r="AX118" s="1442">
        <f>IF(ISERROR(AX116/AW116-1),,(AX116/AW116-1))</f>
        <v>-0.1314131413141314</v>
      </c>
      <c r="AY118" s="1443"/>
      <c r="AZ118" s="1442">
        <f>IF(ISERROR(AZ116/AX116-1),,(AZ116/AX116-1))</f>
        <v>-4.0414507772020714E-2</v>
      </c>
      <c r="BA118" s="1442">
        <f>IF(ISERROR(BA116/AZ116-1),,(BA116/AZ116-1))</f>
        <v>0.42656587473002161</v>
      </c>
      <c r="BB118" s="1442">
        <f>IF(ISERROR(BB116/BA116-1),,(BB116/BA116-1))</f>
        <v>-0.37093111279333835</v>
      </c>
      <c r="BC118" s="1442">
        <f>IF(ISERROR(BC116/BB116-1),,(BC116/BB116-1))</f>
        <v>0.1407942238267148</v>
      </c>
      <c r="BD118" s="1443"/>
      <c r="BE118" s="1442">
        <f>IF(ISERROR(BE116/BC116-1),,(BE116/BC116-1))</f>
        <v>9.3881856540084296E-2</v>
      </c>
      <c r="BF118" s="1442">
        <f>IF(ISERROR(BF116/BE116-1),,(BF116/BE116-1))</f>
        <v>0.28736740597878496</v>
      </c>
      <c r="BG118" s="1442">
        <f>IF(ISERROR(BG116/BF116-1),,(BG116/BF116-1))</f>
        <v>-0.18052434456928834</v>
      </c>
      <c r="BH118" s="1442">
        <f>IF(ISERROR(BH116/BG116-1),,(BH116/BG116-1))</f>
        <v>2.8027710233824665E-2</v>
      </c>
      <c r="BI118" s="1443"/>
      <c r="BJ118" s="1442">
        <f>IF(ISERROR(BJ116/BH116-1),,(BJ116/BH116-1))</f>
        <v>5.6866608778271432E-2</v>
      </c>
      <c r="BK118" s="1442">
        <f>IF(ISERROR(BK116/BJ116-1),,(BK116/BJ116-1))</f>
        <v>0.48101777063856188</v>
      </c>
      <c r="BL118" s="1442">
        <f>IF(ISERROR(BL116/BK116-1),,(BL116/BK116-1))</f>
        <v>-0.40277984060492589</v>
      </c>
      <c r="BM118" s="1442">
        <f>IF(ISERROR(BM116/BL116-1),,(BM116/BL116-1))</f>
        <v>-9.2523334092166065E-3</v>
      </c>
      <c r="BN118" s="1443"/>
      <c r="BO118" s="1442">
        <f>IF(ISERROR(BO116/BM116-1),,(BO116/BM116-1))</f>
        <v>0.21266762612262147</v>
      </c>
      <c r="BP118" s="1442">
        <f>IF(ISERROR(BP116/BO116-1),,(BP116/BO116-1))</f>
        <v>0.48983881117133454</v>
      </c>
      <c r="BQ118" s="1442">
        <f>IF(ISERROR(BQ116/BP116-1),,(BQ116/BP116-1))</f>
        <v>-0.3992884369005355</v>
      </c>
      <c r="BR118" s="1442">
        <f>IF(ISERROR(BR116/BQ116-1),,(BR116/BQ116-1))</f>
        <v>-3.5662005170210564E-3</v>
      </c>
      <c r="BS118" s="1443"/>
      <c r="BT118" s="1442">
        <f>IF(ISERROR(BT116/BR116-1),,(BT116/BR116-1))</f>
        <v>0.15925687539295574</v>
      </c>
      <c r="BU118" s="1442">
        <f>IF(ISERROR(BU116/BT116-1),,(BU116/BT116-1))</f>
        <v>0.4889786658986317</v>
      </c>
      <c r="BV118" s="1442">
        <f>IF(ISERROR(BV116/BU116-1),,(BV116/BU116-1))</f>
        <v>-0.39962706566960138</v>
      </c>
      <c r="BW118" s="1442">
        <f>IF(ISERROR(BW116/BV116-1),,(BW116/BV116-1))</f>
        <v>-4.1147984194419562E-3</v>
      </c>
      <c r="BX118" s="1443"/>
      <c r="BY118" s="1519"/>
      <c r="BZ118" s="1443"/>
      <c r="CA118" s="1443"/>
      <c r="CB118" s="1443"/>
      <c r="CC118" s="1443"/>
      <c r="CD118" s="1443"/>
      <c r="CE118" s="1443"/>
      <c r="CF118" s="1443"/>
      <c r="CG118" s="1443"/>
      <c r="CH118" s="1443"/>
      <c r="CI118" s="1001"/>
    </row>
    <row r="119" spans="1:87">
      <c r="A119" s="1175" t="s">
        <v>1124</v>
      </c>
      <c r="B119" s="1345"/>
      <c r="C119" s="1345"/>
      <c r="D119" s="1345"/>
      <c r="E119" s="1345"/>
      <c r="F119" s="1346"/>
      <c r="G119" s="1345"/>
      <c r="H119" s="1345"/>
      <c r="I119" s="1345"/>
      <c r="J119" s="1345"/>
      <c r="K119" s="1346"/>
      <c r="L119" s="1345"/>
      <c r="M119" s="1345"/>
      <c r="N119" s="1345"/>
      <c r="O119" s="1345"/>
      <c r="P119" s="1346"/>
      <c r="Q119" s="1345"/>
      <c r="R119" s="1345"/>
      <c r="S119" s="1345"/>
      <c r="T119" s="1345"/>
      <c r="U119" s="1346"/>
      <c r="V119" s="1345"/>
      <c r="W119" s="1345"/>
      <c r="X119" s="1345"/>
      <c r="Y119" s="1345"/>
      <c r="Z119" s="1346"/>
      <c r="AA119" s="1345"/>
      <c r="AB119" s="1345"/>
      <c r="AC119" s="1345"/>
      <c r="AD119" s="1345"/>
      <c r="AE119" s="1346"/>
      <c r="AF119" s="1347"/>
      <c r="AG119" s="1347"/>
      <c r="AH119" s="1347"/>
      <c r="AI119" s="1347"/>
      <c r="AJ119" s="1346"/>
      <c r="AK119" s="1002"/>
      <c r="AL119" s="1002"/>
      <c r="AM119" s="1002"/>
      <c r="AN119" s="1002"/>
      <c r="AO119" s="1010"/>
      <c r="AP119" s="1002"/>
      <c r="AQ119" s="1002"/>
      <c r="AR119" s="1002"/>
      <c r="AS119" s="1002"/>
      <c r="AT119" s="1010"/>
      <c r="AU119" s="1002"/>
      <c r="AV119" s="1002"/>
      <c r="AW119" s="1002"/>
      <c r="AX119" s="1002"/>
      <c r="AY119" s="1010"/>
      <c r="AZ119" s="1002">
        <f t="shared" ref="AZ119:BH119" si="246">AZ193</f>
        <v>1885</v>
      </c>
      <c r="BA119" s="1002">
        <f t="shared" si="246"/>
        <v>3617</v>
      </c>
      <c r="BB119" s="1002">
        <f t="shared" si="246"/>
        <v>1906</v>
      </c>
      <c r="BC119" s="1002">
        <f t="shared" si="246"/>
        <v>1643</v>
      </c>
      <c r="BD119" s="1010">
        <f>SUM(AZ119:BC119)</f>
        <v>9051</v>
      </c>
      <c r="BE119" s="1002">
        <f t="shared" si="246"/>
        <v>1896</v>
      </c>
      <c r="BF119" s="1002">
        <f t="shared" ref="BF119:BG119" si="247">BF193</f>
        <v>3920</v>
      </c>
      <c r="BG119" s="1002">
        <f t="shared" ref="BG119" si="248">BG193</f>
        <v>2251</v>
      </c>
      <c r="BH119" s="1002">
        <f t="shared" si="246"/>
        <v>1971.5921987500001</v>
      </c>
      <c r="BI119" s="1010">
        <f>SUM(BE119:BH119)</f>
        <v>10038.592198750001</v>
      </c>
      <c r="BJ119" s="1002">
        <f>BJ193</f>
        <v>2037.7049582866382</v>
      </c>
      <c r="BK119" s="1002">
        <f>BK193</f>
        <v>4066.4011473461796</v>
      </c>
      <c r="BL119" s="1002">
        <f>BL193</f>
        <v>2378.6271374637499</v>
      </c>
      <c r="BM119" s="1002">
        <f>BM193</f>
        <v>2098.1574937687501</v>
      </c>
      <c r="BN119" s="1010">
        <f>SUM(BJ119:BM119)</f>
        <v>10580.89073686532</v>
      </c>
      <c r="BO119" s="1002">
        <f>BO193</f>
        <v>2108.239693887786</v>
      </c>
      <c r="BP119" s="1002">
        <f>BP193</f>
        <v>4131.8345825327306</v>
      </c>
      <c r="BQ119" s="1002">
        <f>BQ193</f>
        <v>2497.8196898740771</v>
      </c>
      <c r="BR119" s="1002">
        <f>BR193</f>
        <v>2223.6334400201908</v>
      </c>
      <c r="BS119" s="1010">
        <f>SUM(BO119:BR119)</f>
        <v>10961.527406314784</v>
      </c>
      <c r="BT119" s="1002">
        <f>BT193</f>
        <v>2171.5204886505135</v>
      </c>
      <c r="BU119" s="1002">
        <f>BU193</f>
        <v>4183.4497806191193</v>
      </c>
      <c r="BV119" s="1002">
        <f>BV193</f>
        <v>2600.1542652309399</v>
      </c>
      <c r="BW119" s="1002">
        <f>BW193</f>
        <v>2331.3872337046928</v>
      </c>
      <c r="BX119" s="1010">
        <f>SUM(BT119:BW119)</f>
        <v>11286.511768205266</v>
      </c>
      <c r="BY119" s="1519"/>
      <c r="BZ119" s="1010"/>
      <c r="CA119" s="1010"/>
      <c r="CB119" s="1010">
        <f>SUM(AM119:AN119,AP119:AQ119)</f>
        <v>0</v>
      </c>
      <c r="CC119" s="1010">
        <f>SUM(AR119:AS119,AU119:AV119)</f>
        <v>0</v>
      </c>
      <c r="CD119" s="1010">
        <f>SUM(AW119:AX119,AZ119:BA119)</f>
        <v>5502</v>
      </c>
      <c r="CE119" s="1010">
        <f>SUM(BB119:BC119,BE119:BF119)</f>
        <v>9365</v>
      </c>
      <c r="CF119" s="1010">
        <f>SUM(BG119:BH119,BJ119:BK119)</f>
        <v>10326.698304382819</v>
      </c>
      <c r="CG119" s="1010">
        <f>SUM(BL119:BM119,BO119:BP119)</f>
        <v>10716.858907653017</v>
      </c>
      <c r="CH119" s="1010">
        <f>SUM(BQ119:BR119,BT119:BU119)</f>
        <v>11076.423399163901</v>
      </c>
      <c r="CI119" s="1001"/>
    </row>
    <row r="120" spans="1:87">
      <c r="A120" s="1456" t="s">
        <v>926</v>
      </c>
      <c r="B120" s="1453"/>
      <c r="C120" s="1453"/>
      <c r="D120" s="1453"/>
      <c r="E120" s="1453"/>
      <c r="F120" s="1454"/>
      <c r="G120" s="1453"/>
      <c r="H120" s="1453"/>
      <c r="I120" s="1453"/>
      <c r="J120" s="1453"/>
      <c r="K120" s="1454"/>
      <c r="L120" s="1453"/>
      <c r="M120" s="1453"/>
      <c r="N120" s="1453"/>
      <c r="O120" s="1453"/>
      <c r="P120" s="1454"/>
      <c r="Q120" s="1453"/>
      <c r="R120" s="1453"/>
      <c r="S120" s="1453"/>
      <c r="T120" s="1453"/>
      <c r="U120" s="1454"/>
      <c r="V120" s="1453"/>
      <c r="W120" s="1453"/>
      <c r="X120" s="1453"/>
      <c r="Y120" s="1453"/>
      <c r="Z120" s="1454"/>
      <c r="AA120" s="1453"/>
      <c r="AB120" s="1453"/>
      <c r="AC120" s="1453"/>
      <c r="AD120" s="1453"/>
      <c r="AE120" s="1454"/>
      <c r="AF120" s="1446"/>
      <c r="AG120" s="1453"/>
      <c r="AH120" s="1453"/>
      <c r="AI120" s="1453"/>
      <c r="AJ120" s="1443"/>
      <c r="AK120" s="1442"/>
      <c r="AL120" s="1442"/>
      <c r="AM120" s="1442"/>
      <c r="AN120" s="1442"/>
      <c r="AO120" s="1443"/>
      <c r="AP120" s="1442"/>
      <c r="AQ120" s="1442"/>
      <c r="AR120" s="1442"/>
      <c r="AS120" s="1442"/>
      <c r="AT120" s="1443"/>
      <c r="AU120" s="1442"/>
      <c r="AV120" s="1442"/>
      <c r="AW120" s="1442"/>
      <c r="AX120" s="1442"/>
      <c r="AY120" s="1443"/>
      <c r="AZ120" s="1442"/>
      <c r="BA120" s="1442"/>
      <c r="BB120" s="1442"/>
      <c r="BC120" s="1442"/>
      <c r="BD120" s="1443"/>
      <c r="BE120" s="1442">
        <f t="shared" ref="BE120:BS120" si="249">IF(ISERROR(BE119/AZ119-1),,(BE119/AZ119-1))</f>
        <v>5.8355437665782439E-3</v>
      </c>
      <c r="BF120" s="1442">
        <f t="shared" si="249"/>
        <v>8.3771081006358772E-2</v>
      </c>
      <c r="BG120" s="1442">
        <f t="shared" si="249"/>
        <v>0.18100734522560336</v>
      </c>
      <c r="BH120" s="1442">
        <f t="shared" si="249"/>
        <v>0.19999525182592826</v>
      </c>
      <c r="BI120" s="1443">
        <f t="shared" si="249"/>
        <v>0.1091141529941444</v>
      </c>
      <c r="BJ120" s="1442">
        <f t="shared" si="249"/>
        <v>7.4738902049914735E-2</v>
      </c>
      <c r="BK120" s="1442">
        <f t="shared" si="249"/>
        <v>3.7347231465862052E-2</v>
      </c>
      <c r="BL120" s="1442">
        <f t="shared" si="249"/>
        <v>5.6697973106952348E-2</v>
      </c>
      <c r="BM120" s="1442">
        <f t="shared" si="249"/>
        <v>6.4194459228938516E-2</v>
      </c>
      <c r="BN120" s="1443">
        <f t="shared" si="249"/>
        <v>5.4021373453425614E-2</v>
      </c>
      <c r="BO120" s="1442">
        <f t="shared" si="249"/>
        <v>3.4614793134946975E-2</v>
      </c>
      <c r="BP120" s="1442">
        <f t="shared" si="249"/>
        <v>1.6091239603661434E-2</v>
      </c>
      <c r="BQ120" s="1442">
        <f t="shared" si="249"/>
        <v>5.0109809365673996E-2</v>
      </c>
      <c r="BR120" s="1442">
        <f t="shared" si="249"/>
        <v>5.9802920716908847E-2</v>
      </c>
      <c r="BS120" s="1443">
        <f t="shared" si="249"/>
        <v>3.5973972221759354E-2</v>
      </c>
      <c r="BT120" s="1442">
        <f t="shared" ref="BT120" si="250">IF(ISERROR(BT119/BO119-1),,(BT119/BO119-1))</f>
        <v>3.0015939338487563E-2</v>
      </c>
      <c r="BU120" s="1442">
        <f t="shared" ref="BU120" si="251">IF(ISERROR(BU119/BP119-1),,(BU119/BP119-1))</f>
        <v>1.2492077563944992E-2</v>
      </c>
      <c r="BV120" s="1442">
        <f t="shared" ref="BV120" si="252">IF(ISERROR(BV119/BQ119-1),,(BV119/BQ119-1))</f>
        <v>4.0969560681948902E-2</v>
      </c>
      <c r="BW120" s="1442">
        <f t="shared" ref="BW120" si="253">IF(ISERROR(BW119/BR119-1),,(BW119/BR119-1))</f>
        <v>4.8458433726164651E-2</v>
      </c>
      <c r="BX120" s="1443">
        <f t="shared" ref="BX120" si="254">IF(ISERROR(BX119/BS119-1),,(BX119/BS119-1))</f>
        <v>2.9647726073581904E-2</v>
      </c>
      <c r="BY120" s="1519"/>
      <c r="BZ120" s="1443"/>
      <c r="CA120" s="1443"/>
      <c r="CB120" s="1443"/>
      <c r="CC120" s="1443" t="e">
        <f t="shared" ref="CC120:CH120" si="255">CC119/CB119-1</f>
        <v>#DIV/0!</v>
      </c>
      <c r="CD120" s="1443" t="e">
        <f t="shared" si="255"/>
        <v>#DIV/0!</v>
      </c>
      <c r="CE120" s="1443">
        <f t="shared" si="255"/>
        <v>0.70210832424572889</v>
      </c>
      <c r="CF120" s="1443">
        <f t="shared" si="255"/>
        <v>0.10269068920265023</v>
      </c>
      <c r="CG120" s="1443">
        <f t="shared" si="255"/>
        <v>3.7781737373368207E-2</v>
      </c>
      <c r="CH120" s="1443">
        <f t="shared" si="255"/>
        <v>3.3551294703909607E-2</v>
      </c>
      <c r="CI120" s="1001"/>
    </row>
    <row r="121" spans="1:87">
      <c r="A121" s="1456" t="s">
        <v>952</v>
      </c>
      <c r="B121" s="1453"/>
      <c r="C121" s="1453"/>
      <c r="D121" s="1453"/>
      <c r="E121" s="1453"/>
      <c r="F121" s="1454"/>
      <c r="G121" s="1453"/>
      <c r="H121" s="1453"/>
      <c r="I121" s="1453"/>
      <c r="J121" s="1453"/>
      <c r="K121" s="1454"/>
      <c r="L121" s="1453"/>
      <c r="M121" s="1453"/>
      <c r="N121" s="1453"/>
      <c r="O121" s="1453"/>
      <c r="P121" s="1454"/>
      <c r="Q121" s="1453"/>
      <c r="R121" s="1453"/>
      <c r="S121" s="1453"/>
      <c r="T121" s="1453"/>
      <c r="U121" s="1454"/>
      <c r="V121" s="1453"/>
      <c r="W121" s="1453"/>
      <c r="X121" s="1453"/>
      <c r="Y121" s="1453"/>
      <c r="Z121" s="1454"/>
      <c r="AA121" s="1453"/>
      <c r="AB121" s="1453"/>
      <c r="AC121" s="1453"/>
      <c r="AD121" s="1453"/>
      <c r="AE121" s="1454"/>
      <c r="AF121" s="1446"/>
      <c r="AG121" s="1442"/>
      <c r="AH121" s="1442"/>
      <c r="AI121" s="1442"/>
      <c r="AJ121" s="1443"/>
      <c r="AK121" s="1442"/>
      <c r="AL121" s="1442"/>
      <c r="AM121" s="1442"/>
      <c r="AN121" s="1442"/>
      <c r="AO121" s="1443"/>
      <c r="AP121" s="1442"/>
      <c r="AQ121" s="1442"/>
      <c r="AR121" s="1442"/>
      <c r="AS121" s="1442"/>
      <c r="AT121" s="1443"/>
      <c r="AU121" s="1442"/>
      <c r="AV121" s="1442"/>
      <c r="AW121" s="1442"/>
      <c r="AX121" s="1442"/>
      <c r="AY121" s="1443"/>
      <c r="AZ121" s="1442"/>
      <c r="BA121" s="1442">
        <f>IF(ISERROR(BA119/AZ119-1),,(BA119/AZ119-1))</f>
        <v>0.91883289124668432</v>
      </c>
      <c r="BB121" s="1442">
        <f>IF(ISERROR(BB119/BA119-1),,(BB119/BA119-1))</f>
        <v>-0.47304395908211228</v>
      </c>
      <c r="BC121" s="1442">
        <f>IF(ISERROR(BC119/BB119-1),,(BC119/BB119-1))</f>
        <v>-0.13798530954879329</v>
      </c>
      <c r="BD121" s="1443"/>
      <c r="BE121" s="1442">
        <f>IF(ISERROR(BE119/BC119-1),,(BE119/BC119-1))</f>
        <v>0.15398660986001222</v>
      </c>
      <c r="BF121" s="1442">
        <f>IF(ISERROR(BF119/BE119-1),,(BF119/BE119-1))</f>
        <v>1.0675105485232068</v>
      </c>
      <c r="BG121" s="1442">
        <f>IF(ISERROR(BG119/BF119-1),,(BG119/BF119-1))</f>
        <v>-0.42576530612244901</v>
      </c>
      <c r="BH121" s="1442">
        <f>IF(ISERROR(BH119/BG119-1),,(BH119/BG119-1))</f>
        <v>-0.12412607785428698</v>
      </c>
      <c r="BI121" s="1443"/>
      <c r="BJ121" s="1442">
        <f>IF(ISERROR(BJ119/BH119-1),,(BJ119/BH119-1))</f>
        <v>3.3532674545250218E-2</v>
      </c>
      <c r="BK121" s="1442">
        <f>IF(ISERROR(BK119/BJ119-1),,(BK119/BJ119-1))</f>
        <v>0.99557896289624215</v>
      </c>
      <c r="BL121" s="1442">
        <f>IF(ISERROR(BL119/BK119-1),,(BL119/BK119-1))</f>
        <v>-0.41505349539454739</v>
      </c>
      <c r="BM121" s="1442">
        <f>IF(ISERROR(BM119/BL119-1),,(BM119/BL119-1))</f>
        <v>-0.11791240387262003</v>
      </c>
      <c r="BN121" s="1443"/>
      <c r="BO121" s="1442">
        <f>IF(ISERROR(BO119/BM119-1),,(BO119/BM119-1))</f>
        <v>4.8052637368636297E-3</v>
      </c>
      <c r="BP121" s="1442">
        <f>IF(ISERROR(BP119/BO119-1),,(BP119/BO119-1))</f>
        <v>0.9598504830886907</v>
      </c>
      <c r="BQ121" s="1442">
        <f>IF(ISERROR(BQ119/BP119-1),,(BQ119/BP119-1))</f>
        <v>-0.39546958137347199</v>
      </c>
      <c r="BR121" s="1442">
        <f>IF(ISERROR(BR119/BQ119-1),,(BR119/BQ119-1))</f>
        <v>-0.10977023320194457</v>
      </c>
      <c r="BS121" s="1443"/>
      <c r="BT121" s="1442">
        <f>IF(ISERROR(BT119/BR119-1),,(BT119/BR119-1))</f>
        <v>-2.3435945166036087E-2</v>
      </c>
      <c r="BU121" s="1442">
        <f>IF(ISERROR(BU119/BT119-1),,(BU119/BT119-1))</f>
        <v>0.92650716513336451</v>
      </c>
      <c r="BV121" s="1442">
        <f>IF(ISERROR(BV119/BU119-1),,(BV119/BU119-1))</f>
        <v>-0.37846648063595578</v>
      </c>
      <c r="BW121" s="1442">
        <f>IF(ISERROR(BW119/BV119-1),,(BW119/BV119-1))</f>
        <v>-0.10336580222188307</v>
      </c>
      <c r="BX121" s="1443"/>
      <c r="BY121" s="1519"/>
      <c r="BZ121" s="1443"/>
      <c r="CA121" s="1443"/>
      <c r="CB121" s="1443"/>
      <c r="CC121" s="1443"/>
      <c r="CD121" s="1443"/>
      <c r="CE121" s="1443"/>
      <c r="CF121" s="1443"/>
      <c r="CG121" s="1443"/>
      <c r="CH121" s="1443"/>
      <c r="CI121" s="1001"/>
    </row>
    <row r="122" spans="1:87">
      <c r="A122" s="1175" t="s">
        <v>996</v>
      </c>
      <c r="B122" s="1345"/>
      <c r="C122" s="1345"/>
      <c r="D122" s="1345"/>
      <c r="E122" s="1345"/>
      <c r="F122" s="1346"/>
      <c r="G122" s="1345"/>
      <c r="H122" s="1345"/>
      <c r="I122" s="1345"/>
      <c r="J122" s="1345"/>
      <c r="K122" s="1346"/>
      <c r="L122" s="1345"/>
      <c r="M122" s="1345"/>
      <c r="N122" s="1345"/>
      <c r="O122" s="1345"/>
      <c r="P122" s="1346"/>
      <c r="Q122" s="1345"/>
      <c r="R122" s="1345"/>
      <c r="S122" s="1345"/>
      <c r="T122" s="1345"/>
      <c r="U122" s="1346"/>
      <c r="V122" s="1345"/>
      <c r="W122" s="1345"/>
      <c r="X122" s="1345"/>
      <c r="Y122" s="1345"/>
      <c r="Z122" s="1346"/>
      <c r="AA122" s="1345"/>
      <c r="AB122" s="1345"/>
      <c r="AC122" s="1345"/>
      <c r="AD122" s="1345"/>
      <c r="AE122" s="1346"/>
      <c r="AF122" s="1347"/>
      <c r="AG122" s="1347"/>
      <c r="AH122" s="1347"/>
      <c r="AI122" s="1347"/>
      <c r="AJ122" s="1346"/>
      <c r="AK122" s="1002">
        <f>AK225</f>
        <v>0</v>
      </c>
      <c r="AL122" s="1002">
        <f>AL225</f>
        <v>0</v>
      </c>
      <c r="AM122" s="1002">
        <f>AM225</f>
        <v>0</v>
      </c>
      <c r="AN122" s="1002">
        <f>AN225</f>
        <v>1985.3333333333333</v>
      </c>
      <c r="AO122" s="1010">
        <f>SUM(AK122:AN122)</f>
        <v>1985.3333333333333</v>
      </c>
      <c r="AP122" s="1002">
        <f>AP225</f>
        <v>2609</v>
      </c>
      <c r="AQ122" s="1002">
        <f>AQ225</f>
        <v>2284</v>
      </c>
      <c r="AR122" s="1002">
        <f>AR225</f>
        <v>1397</v>
      </c>
      <c r="AS122" s="1002">
        <f>AS225</f>
        <v>1234</v>
      </c>
      <c r="AT122" s="1010">
        <f>SUM(AP122:AS122)</f>
        <v>7524</v>
      </c>
      <c r="AU122" s="1002">
        <f>AU225</f>
        <v>922.02060000000006</v>
      </c>
      <c r="AV122" s="1002">
        <f>AV225</f>
        <v>942.15000000000009</v>
      </c>
      <c r="AW122" s="1002">
        <f>AW225</f>
        <v>780.923</v>
      </c>
      <c r="AX122" s="1002">
        <f>AX225</f>
        <v>353.64</v>
      </c>
      <c r="AY122" s="1010">
        <f>SUM(AU122:AX122)</f>
        <v>2998.7336</v>
      </c>
      <c r="AZ122" s="1002">
        <f>AZ225</f>
        <v>261.89999999999998</v>
      </c>
      <c r="BA122" s="1002">
        <f>BA225</f>
        <v>179.77500000000001</v>
      </c>
      <c r="BB122" s="1002">
        <f>BB225</f>
        <v>31.04999999999999</v>
      </c>
      <c r="BC122" s="1002">
        <f>BC225</f>
        <v>16.2</v>
      </c>
      <c r="BD122" s="1010">
        <f>SUM(AZ122:BC122)</f>
        <v>488.92499999999995</v>
      </c>
      <c r="BE122" s="1002">
        <f>BE225</f>
        <v>0</v>
      </c>
      <c r="BF122" s="1002">
        <f>BF225</f>
        <v>0</v>
      </c>
      <c r="BG122" s="1002">
        <f>BG225</f>
        <v>0</v>
      </c>
      <c r="BH122" s="1002">
        <f>BH225</f>
        <v>0</v>
      </c>
      <c r="BI122" s="1010">
        <f>SUM(BE122:BH122)</f>
        <v>0</v>
      </c>
      <c r="BJ122" s="1002">
        <f>BJ225</f>
        <v>0</v>
      </c>
      <c r="BK122" s="1002">
        <f>BK225</f>
        <v>0</v>
      </c>
      <c r="BL122" s="1002">
        <f>BL225</f>
        <v>0</v>
      </c>
      <c r="BM122" s="1002">
        <f>BM225</f>
        <v>0</v>
      </c>
      <c r="BN122" s="1010">
        <f>SUM(BJ122:BM122)</f>
        <v>0</v>
      </c>
      <c r="BO122" s="1002">
        <f>BO225</f>
        <v>0</v>
      </c>
      <c r="BP122" s="1002">
        <f>BP225</f>
        <v>0</v>
      </c>
      <c r="BQ122" s="1002">
        <f>BQ225</f>
        <v>0</v>
      </c>
      <c r="BR122" s="1002">
        <f>BR225</f>
        <v>0</v>
      </c>
      <c r="BS122" s="1010">
        <f>SUM(BO122:BR122)</f>
        <v>0</v>
      </c>
      <c r="BT122" s="1002">
        <f>BT225</f>
        <v>0</v>
      </c>
      <c r="BU122" s="1002">
        <f>BU225</f>
        <v>0</v>
      </c>
      <c r="BV122" s="1002">
        <f>BV225</f>
        <v>0</v>
      </c>
      <c r="BW122" s="1002">
        <f>BW225</f>
        <v>0</v>
      </c>
      <c r="BX122" s="1010">
        <f>SUM(BT122:BW122)</f>
        <v>0</v>
      </c>
      <c r="BY122" s="1519"/>
      <c r="BZ122" s="1010"/>
      <c r="CA122" s="1010"/>
      <c r="CB122" s="1010">
        <f>SUM(AM122:AN122,AP122:AQ122)</f>
        <v>6878.333333333333</v>
      </c>
      <c r="CC122" s="1010">
        <f>SUM(AR122:AS122,AU122:AV122)</f>
        <v>4495.1705999999995</v>
      </c>
      <c r="CD122" s="1010">
        <f>SUM(AW122:AX122,AZ122:BA122)</f>
        <v>1576.2380000000003</v>
      </c>
      <c r="CE122" s="1010">
        <f>SUM(BB122:BC122,BE122:BF122)</f>
        <v>47.249999999999986</v>
      </c>
      <c r="CF122" s="1010">
        <f>SUM(BG122:BH122,BJ122:BK122)</f>
        <v>0</v>
      </c>
      <c r="CG122" s="1010"/>
      <c r="CH122" s="1010"/>
      <c r="CI122" s="1001"/>
    </row>
    <row r="123" spans="1:87">
      <c r="A123" s="1456" t="s">
        <v>926</v>
      </c>
      <c r="B123" s="1453"/>
      <c r="C123" s="1453"/>
      <c r="D123" s="1453"/>
      <c r="E123" s="1453"/>
      <c r="F123" s="1454"/>
      <c r="G123" s="1453"/>
      <c r="H123" s="1453"/>
      <c r="I123" s="1453"/>
      <c r="J123" s="1453"/>
      <c r="K123" s="1454"/>
      <c r="L123" s="1453"/>
      <c r="M123" s="1453"/>
      <c r="N123" s="1453"/>
      <c r="O123" s="1453"/>
      <c r="P123" s="1454"/>
      <c r="Q123" s="1453"/>
      <c r="R123" s="1453"/>
      <c r="S123" s="1453"/>
      <c r="T123" s="1453"/>
      <c r="U123" s="1454"/>
      <c r="V123" s="1453"/>
      <c r="W123" s="1453"/>
      <c r="X123" s="1453"/>
      <c r="Y123" s="1453"/>
      <c r="Z123" s="1454"/>
      <c r="AA123" s="1453"/>
      <c r="AB123" s="1453"/>
      <c r="AC123" s="1453"/>
      <c r="AD123" s="1453"/>
      <c r="AE123" s="1454"/>
      <c r="AF123" s="1446"/>
      <c r="AG123" s="1453"/>
      <c r="AH123" s="1453"/>
      <c r="AI123" s="1453"/>
      <c r="AJ123" s="1443"/>
      <c r="AK123" s="1442"/>
      <c r="AL123" s="1442"/>
      <c r="AM123" s="1442"/>
      <c r="AN123" s="1442"/>
      <c r="AO123" s="1443"/>
      <c r="AP123" s="1442">
        <f t="shared" ref="AP123:BS123" si="256">IF(ISERROR(AP122/AK122-1),,(AP122/AK122-1))</f>
        <v>0</v>
      </c>
      <c r="AQ123" s="1442">
        <f t="shared" si="256"/>
        <v>0</v>
      </c>
      <c r="AR123" s="1442">
        <f t="shared" si="256"/>
        <v>0</v>
      </c>
      <c r="AS123" s="1442">
        <f t="shared" si="256"/>
        <v>-0.37844190732034921</v>
      </c>
      <c r="AT123" s="1443">
        <f t="shared" si="256"/>
        <v>2.7897918065815985</v>
      </c>
      <c r="AU123" s="1442">
        <f t="shared" si="256"/>
        <v>-0.64659999999999995</v>
      </c>
      <c r="AV123" s="1442">
        <f t="shared" si="256"/>
        <v>-0.58749999999999991</v>
      </c>
      <c r="AW123" s="1442">
        <f t="shared" si="256"/>
        <v>-0.44099999999999995</v>
      </c>
      <c r="AX123" s="1442">
        <f t="shared" si="256"/>
        <v>-0.71341977309562399</v>
      </c>
      <c r="AY123" s="1443">
        <f t="shared" si="256"/>
        <v>-0.60144423179160023</v>
      </c>
      <c r="AZ123" s="1442">
        <f t="shared" si="256"/>
        <v>-0.71594994732221817</v>
      </c>
      <c r="BA123" s="1442">
        <f t="shared" si="256"/>
        <v>-0.8091864352810062</v>
      </c>
      <c r="BB123" s="1442">
        <f t="shared" si="256"/>
        <v>-0.96023935778559477</v>
      </c>
      <c r="BC123" s="1442">
        <f t="shared" si="256"/>
        <v>-0.95419070240922976</v>
      </c>
      <c r="BD123" s="1443">
        <f t="shared" si="256"/>
        <v>-0.8369561737661525</v>
      </c>
      <c r="BE123" s="1442">
        <f t="shared" si="256"/>
        <v>-1</v>
      </c>
      <c r="BF123" s="1442">
        <f t="shared" si="256"/>
        <v>-1</v>
      </c>
      <c r="BG123" s="1442">
        <f t="shared" si="256"/>
        <v>-1</v>
      </c>
      <c r="BH123" s="1442">
        <f t="shared" si="256"/>
        <v>-1</v>
      </c>
      <c r="BI123" s="1443">
        <f t="shared" si="256"/>
        <v>-1</v>
      </c>
      <c r="BJ123" s="1442">
        <f t="shared" si="256"/>
        <v>0</v>
      </c>
      <c r="BK123" s="1442">
        <f t="shared" si="256"/>
        <v>0</v>
      </c>
      <c r="BL123" s="1442">
        <f t="shared" si="256"/>
        <v>0</v>
      </c>
      <c r="BM123" s="1442">
        <f t="shared" si="256"/>
        <v>0</v>
      </c>
      <c r="BN123" s="1443">
        <f t="shared" si="256"/>
        <v>0</v>
      </c>
      <c r="BO123" s="1442">
        <f t="shared" si="256"/>
        <v>0</v>
      </c>
      <c r="BP123" s="1442">
        <f t="shared" si="256"/>
        <v>0</v>
      </c>
      <c r="BQ123" s="1442">
        <f t="shared" si="256"/>
        <v>0</v>
      </c>
      <c r="BR123" s="1442">
        <f t="shared" si="256"/>
        <v>0</v>
      </c>
      <c r="BS123" s="1443">
        <f t="shared" si="256"/>
        <v>0</v>
      </c>
      <c r="BT123" s="1442">
        <f t="shared" ref="BT123" si="257">IF(ISERROR(BT122/BO122-1),,(BT122/BO122-1))</f>
        <v>0</v>
      </c>
      <c r="BU123" s="1442">
        <f t="shared" ref="BU123" si="258">IF(ISERROR(BU122/BP122-1),,(BU122/BP122-1))</f>
        <v>0</v>
      </c>
      <c r="BV123" s="1442">
        <f t="shared" ref="BV123" si="259">IF(ISERROR(BV122/BQ122-1),,(BV122/BQ122-1))</f>
        <v>0</v>
      </c>
      <c r="BW123" s="1442">
        <f t="shared" ref="BW123" si="260">IF(ISERROR(BW122/BR122-1),,(BW122/BR122-1))</f>
        <v>0</v>
      </c>
      <c r="BX123" s="1443">
        <f t="shared" ref="BX123" si="261">IF(ISERROR(BX122/BS122-1),,(BX122/BS122-1))</f>
        <v>0</v>
      </c>
      <c r="BY123" s="1519"/>
      <c r="BZ123" s="1443"/>
      <c r="CA123" s="1443"/>
      <c r="CB123" s="1443"/>
      <c r="CC123" s="1443">
        <f>CC122/CB122-1</f>
        <v>-0.34647386479282782</v>
      </c>
      <c r="CD123" s="1443">
        <f>CD122/CC122-1</f>
        <v>-0.64934856977397026</v>
      </c>
      <c r="CE123" s="1443">
        <f>CE122/CD122-1</f>
        <v>-0.97002356243156174</v>
      </c>
      <c r="CF123" s="1443">
        <f>CF122/CE122-1</f>
        <v>-1</v>
      </c>
      <c r="CG123" s="1443"/>
      <c r="CH123" s="1443"/>
      <c r="CI123" s="1001"/>
    </row>
    <row r="124" spans="1:87">
      <c r="A124" s="1456" t="s">
        <v>952</v>
      </c>
      <c r="B124" s="1453"/>
      <c r="C124" s="1453"/>
      <c r="D124" s="1453"/>
      <c r="E124" s="1453"/>
      <c r="F124" s="1454"/>
      <c r="G124" s="1453"/>
      <c r="H124" s="1453"/>
      <c r="I124" s="1453"/>
      <c r="J124" s="1453"/>
      <c r="K124" s="1454"/>
      <c r="L124" s="1453"/>
      <c r="M124" s="1453"/>
      <c r="N124" s="1453"/>
      <c r="O124" s="1453"/>
      <c r="P124" s="1454"/>
      <c r="Q124" s="1453"/>
      <c r="R124" s="1453"/>
      <c r="S124" s="1453"/>
      <c r="T124" s="1453"/>
      <c r="U124" s="1454"/>
      <c r="V124" s="1453"/>
      <c r="W124" s="1453"/>
      <c r="X124" s="1453"/>
      <c r="Y124" s="1453"/>
      <c r="Z124" s="1454"/>
      <c r="AA124" s="1453"/>
      <c r="AB124" s="1453"/>
      <c r="AC124" s="1453"/>
      <c r="AD124" s="1453"/>
      <c r="AE124" s="1454"/>
      <c r="AF124" s="1446"/>
      <c r="AG124" s="1442"/>
      <c r="AH124" s="1442"/>
      <c r="AI124" s="1442"/>
      <c r="AJ124" s="1443"/>
      <c r="AK124" s="1442"/>
      <c r="AL124" s="1442">
        <f>IF(ISERROR(AL122/AK122-1),,(AL122/AK122-1))</f>
        <v>0</v>
      </c>
      <c r="AM124" s="1442">
        <f>IF(ISERROR(AM122/AL122-1),,(AM122/AL122-1))</f>
        <v>0</v>
      </c>
      <c r="AN124" s="1442">
        <f>IF(ISERROR(AN122/AM122-1),,(AN122/AM122-1))</f>
        <v>0</v>
      </c>
      <c r="AO124" s="1443"/>
      <c r="AP124" s="1442">
        <f>IF(ISERROR(AP122/AN122-1),,(AP122/AN122-1))</f>
        <v>0.31413700470114181</v>
      </c>
      <c r="AQ124" s="1442">
        <f>IF(ISERROR(AQ122/AP122-1),,(AQ122/AP122-1))</f>
        <v>-0.12456880030663087</v>
      </c>
      <c r="AR124" s="1442">
        <f>IF(ISERROR(AR122/AQ122-1),,(AR122/AQ122-1))</f>
        <v>-0.38835376532399302</v>
      </c>
      <c r="AS124" s="1442">
        <f>IF(ISERROR(AS122/AR122-1),,(AS122/AR122-1))</f>
        <v>-0.11667859699355765</v>
      </c>
      <c r="AT124" s="1443"/>
      <c r="AU124" s="1442">
        <f>IF(ISERROR(AU122/AS122-1),,(AU122/AS122-1))</f>
        <v>-0.25281961102106965</v>
      </c>
      <c r="AV124" s="1442">
        <f>IF(ISERROR(AV122/AU122-1),,(AV122/AU122-1))</f>
        <v>2.1831833258389333E-2</v>
      </c>
      <c r="AW124" s="1442">
        <f>IF(ISERROR(AW122/AV122-1),,(AW122/AV122-1))</f>
        <v>-0.17112667834208994</v>
      </c>
      <c r="AX124" s="1442">
        <f>IF(ISERROR(AX122/AW122-1),,(AX122/AW122-1))</f>
        <v>-0.54715125562955635</v>
      </c>
      <c r="AY124" s="1443"/>
      <c r="AZ124" s="1442">
        <f>IF(ISERROR(AZ122/AX122-1),,(AZ122/AX122-1))</f>
        <v>-0.25941635561588061</v>
      </c>
      <c r="BA124" s="1442">
        <f>IF(ISERROR(BA122/AZ122-1),,(BA122/AZ122-1))</f>
        <v>-0.31357388316151191</v>
      </c>
      <c r="BB124" s="1442">
        <f>IF(ISERROR(BB122/BA122-1),,(BB122/BA122-1))</f>
        <v>-0.82728410513141437</v>
      </c>
      <c r="BC124" s="1442">
        <f>IF(ISERROR(BC122/BB122-1),,(BC122/BB122-1))</f>
        <v>-0.47826086956521729</v>
      </c>
      <c r="BD124" s="1443"/>
      <c r="BE124" s="1442">
        <f>IF(ISERROR(BE122/BC122-1),,(BE122/BC122-1))</f>
        <v>-1</v>
      </c>
      <c r="BF124" s="1442">
        <f>IF(ISERROR(BF122/BE122-1),,(BF122/BE122-1))</f>
        <v>0</v>
      </c>
      <c r="BG124" s="1442">
        <f>IF(ISERROR(BG122/BF122-1),,(BG122/BF122-1))</f>
        <v>0</v>
      </c>
      <c r="BH124" s="1442">
        <f>IF(ISERROR(BH122/BG122-1),,(BH122/BG122-1))</f>
        <v>0</v>
      </c>
      <c r="BI124" s="1443"/>
      <c r="BJ124" s="1442">
        <f>IF(ISERROR(BJ122/BH122-1),,(BJ122/BH122-1))</f>
        <v>0</v>
      </c>
      <c r="BK124" s="1442">
        <f>IF(ISERROR(BK122/BJ122-1),,(BK122/BJ122-1))</f>
        <v>0</v>
      </c>
      <c r="BL124" s="1442">
        <f>IF(ISERROR(BL122/BK122-1),,(BL122/BK122-1))</f>
        <v>0</v>
      </c>
      <c r="BM124" s="1442">
        <f>IF(ISERROR(BM122/BL122-1),,(BM122/BL122-1))</f>
        <v>0</v>
      </c>
      <c r="BN124" s="1443"/>
      <c r="BO124" s="1442">
        <f>IF(ISERROR(BO122/BM122-1),,(BO122/BM122-1))</f>
        <v>0</v>
      </c>
      <c r="BP124" s="1442">
        <f>IF(ISERROR(BP122/BO122-1),,(BP122/BO122-1))</f>
        <v>0</v>
      </c>
      <c r="BQ124" s="1442">
        <f>IF(ISERROR(BQ122/BP122-1),,(BQ122/BP122-1))</f>
        <v>0</v>
      </c>
      <c r="BR124" s="1442">
        <f>IF(ISERROR(BR122/BQ122-1),,(BR122/BQ122-1))</f>
        <v>0</v>
      </c>
      <c r="BS124" s="1443"/>
      <c r="BT124" s="1442">
        <f>IF(ISERROR(BT122/BR122-1),,(BT122/BR122-1))</f>
        <v>0</v>
      </c>
      <c r="BU124" s="1442">
        <f>IF(ISERROR(BU122/BT122-1),,(BU122/BT122-1))</f>
        <v>0</v>
      </c>
      <c r="BV124" s="1442">
        <f>IF(ISERROR(BV122/BU122-1),,(BV122/BU122-1))</f>
        <v>0</v>
      </c>
      <c r="BW124" s="1442">
        <f>IF(ISERROR(BW122/BV122-1),,(BW122/BV122-1))</f>
        <v>0</v>
      </c>
      <c r="BX124" s="1443"/>
      <c r="BY124" s="1519"/>
      <c r="BZ124" s="1443"/>
      <c r="CA124" s="1443"/>
      <c r="CB124" s="1443"/>
      <c r="CC124" s="1443"/>
      <c r="CD124" s="1443"/>
      <c r="CE124" s="1443"/>
      <c r="CF124" s="1443"/>
      <c r="CG124" s="1443"/>
      <c r="CH124" s="1443"/>
      <c r="CI124" s="1001"/>
    </row>
    <row r="125" spans="1:87">
      <c r="A125" s="986" t="s">
        <v>1068</v>
      </c>
      <c r="B125" s="1345"/>
      <c r="C125" s="1345"/>
      <c r="D125" s="1345"/>
      <c r="E125" s="1345"/>
      <c r="F125" s="1346"/>
      <c r="G125" s="1345"/>
      <c r="H125" s="1345"/>
      <c r="I125" s="1345"/>
      <c r="J125" s="1345"/>
      <c r="K125" s="1346"/>
      <c r="L125" s="1345"/>
      <c r="M125" s="1345"/>
      <c r="N125" s="1345"/>
      <c r="O125" s="1345"/>
      <c r="P125" s="1346"/>
      <c r="Q125" s="1345"/>
      <c r="R125" s="1345"/>
      <c r="S125" s="1345"/>
      <c r="T125" s="1345"/>
      <c r="U125" s="1346"/>
      <c r="V125" s="1345"/>
      <c r="W125" s="1345"/>
      <c r="X125" s="1345"/>
      <c r="Y125" s="1345"/>
      <c r="Z125" s="1346"/>
      <c r="AA125" s="1345"/>
      <c r="AB125" s="1345"/>
      <c r="AC125" s="1345"/>
      <c r="AD125" s="1345"/>
      <c r="AE125" s="1346"/>
      <c r="AF125" s="1347"/>
      <c r="AG125" s="1347"/>
      <c r="AH125" s="1347"/>
      <c r="AI125" s="1347"/>
      <c r="AJ125" s="1346"/>
      <c r="AK125" s="1002">
        <v>872</v>
      </c>
      <c r="AL125" s="1002">
        <v>924.6160000000001</v>
      </c>
      <c r="AM125" s="1002">
        <v>965.11999999999989</v>
      </c>
      <c r="AN125" s="1002">
        <v>964.8</v>
      </c>
      <c r="AO125" s="1010">
        <f>SUM(AK125:AN125)</f>
        <v>3726.5360000000001</v>
      </c>
      <c r="AP125" s="1002">
        <f>AK125*1.135</f>
        <v>989.72</v>
      </c>
      <c r="AQ125" s="1002">
        <f>AL125*1.105</f>
        <v>1021.7006800000001</v>
      </c>
      <c r="AR125" s="1002">
        <f>AM125*1.075</f>
        <v>1037.5039999999999</v>
      </c>
      <c r="AS125" s="1002">
        <f>AN125*1.05</f>
        <v>1013.04</v>
      </c>
      <c r="AT125" s="1010">
        <f>SUM(AP125:AS125)</f>
        <v>4061.96468</v>
      </c>
      <c r="AU125" s="1002">
        <f>AP125*(1+AU126)</f>
        <v>1187.664</v>
      </c>
      <c r="AV125" s="1002">
        <f>AQ125*(1+AV126)</f>
        <v>1195.3897956000001</v>
      </c>
      <c r="AW125" s="1002">
        <f>AR125*(1+AW126)</f>
        <v>1203.5046399999999</v>
      </c>
      <c r="AX125" s="1002">
        <f>AS125*(1+AX126)</f>
        <v>1175.1263999999999</v>
      </c>
      <c r="AY125" s="1000">
        <f>SUM(AU125:AX125)</f>
        <v>4761.6848356</v>
      </c>
      <c r="AZ125" s="3101">
        <f>4366-BA125-BB125</f>
        <v>1338</v>
      </c>
      <c r="BA125" s="3101">
        <v>1429</v>
      </c>
      <c r="BB125" s="3101">
        <v>1599</v>
      </c>
      <c r="BC125" s="1002">
        <v>1625</v>
      </c>
      <c r="BD125" s="1000">
        <f>SUM(AZ125:BC125)</f>
        <v>5991</v>
      </c>
      <c r="BE125" s="3101">
        <f>5243-BF125-BG125</f>
        <v>1820</v>
      </c>
      <c r="BF125" s="3101">
        <v>1639</v>
      </c>
      <c r="BG125" s="3101">
        <v>1784</v>
      </c>
      <c r="BH125" s="1002">
        <f>BC125*(1+BH126)</f>
        <v>1868.7499999999998</v>
      </c>
      <c r="BI125" s="1000">
        <f>SUM(BE125:BH125)</f>
        <v>7111.75</v>
      </c>
      <c r="BJ125" s="1002">
        <f>BE125*(1+BJ126)</f>
        <v>1965.6000000000001</v>
      </c>
      <c r="BK125" s="1002">
        <f>BF125*(1+BK126)</f>
        <v>1770.1200000000001</v>
      </c>
      <c r="BL125" s="1002">
        <f>BG125*(1+BL126)</f>
        <v>1926.72</v>
      </c>
      <c r="BM125" s="1002">
        <f>BH125*(1+BM126)</f>
        <v>2018.25</v>
      </c>
      <c r="BN125" s="1000">
        <f>SUM(BJ125:BM125)</f>
        <v>7680.6900000000005</v>
      </c>
      <c r="BO125" s="1002">
        <f>BJ125*(1+BO126)</f>
        <v>2073.7080000000001</v>
      </c>
      <c r="BP125" s="1002">
        <f>BK125*(1+BP126)</f>
        <v>1867.4766</v>
      </c>
      <c r="BQ125" s="1002">
        <f>BL125*(1+BQ126)</f>
        <v>2032.6895999999999</v>
      </c>
      <c r="BR125" s="1002">
        <f>BM125*(1+BR126)</f>
        <v>2129.2537499999999</v>
      </c>
      <c r="BS125" s="1000">
        <f>SUM(BO125:BR125)</f>
        <v>8103.1279500000001</v>
      </c>
      <c r="BT125" s="1002">
        <f>BO125*(1+BT126)</f>
        <v>2156.6563200000001</v>
      </c>
      <c r="BU125" s="1002">
        <f>BP125*(1+BU126)</f>
        <v>1942.1756640000001</v>
      </c>
      <c r="BV125" s="1002">
        <f>BQ125*(1+BV126)</f>
        <v>2113.9971839999998</v>
      </c>
      <c r="BW125" s="1002">
        <f>BR125*(1+BW126)</f>
        <v>2214.4238999999998</v>
      </c>
      <c r="BX125" s="1000">
        <f>SUM(BT125:BW125)</f>
        <v>8427.253068</v>
      </c>
      <c r="BY125" s="1519"/>
      <c r="BZ125" s="1000"/>
      <c r="CA125" s="1000"/>
      <c r="CB125" s="1000">
        <f>SUM(AM125:AN125,AP125:AQ125)</f>
        <v>3941.3406800000002</v>
      </c>
      <c r="CC125" s="1000">
        <f>SUM(AR125:AS125,AU125:AV125)</f>
        <v>4433.5977955999997</v>
      </c>
      <c r="CD125" s="1000">
        <f>SUM(AW125:AX125,AZ125:BA125)</f>
        <v>5145.6310400000002</v>
      </c>
      <c r="CE125" s="1000">
        <f>SUM(BB125:BC125,BE125:BF125)</f>
        <v>6683</v>
      </c>
      <c r="CF125" s="1000">
        <f>SUM(BG125:BH125,BJ125:BK125)</f>
        <v>7388.47</v>
      </c>
      <c r="CG125" s="1000">
        <f>SUM(BL125:BM125,BO125:BP125)</f>
        <v>7886.1545999999998</v>
      </c>
      <c r="CH125" s="1000">
        <f>SUM(BQ125:BR125,BT125:BU125)</f>
        <v>8260.7753339999999</v>
      </c>
      <c r="CI125" s="1001"/>
    </row>
    <row r="126" spans="1:87">
      <c r="A126" s="1456" t="s">
        <v>926</v>
      </c>
      <c r="B126" s="1453"/>
      <c r="C126" s="1453"/>
      <c r="D126" s="1453"/>
      <c r="E126" s="1453"/>
      <c r="F126" s="1454"/>
      <c r="G126" s="1453"/>
      <c r="H126" s="1453"/>
      <c r="I126" s="1453"/>
      <c r="J126" s="1453"/>
      <c r="K126" s="1454"/>
      <c r="L126" s="1453"/>
      <c r="M126" s="1453"/>
      <c r="N126" s="1453"/>
      <c r="O126" s="1453"/>
      <c r="P126" s="1454"/>
      <c r="Q126" s="1453"/>
      <c r="R126" s="1453"/>
      <c r="S126" s="1453"/>
      <c r="T126" s="1453"/>
      <c r="U126" s="1454"/>
      <c r="V126" s="1453"/>
      <c r="W126" s="1453"/>
      <c r="X126" s="1453"/>
      <c r="Y126" s="1453"/>
      <c r="Z126" s="1454"/>
      <c r="AA126" s="1453"/>
      <c r="AB126" s="1453"/>
      <c r="AC126" s="1453"/>
      <c r="AD126" s="1453"/>
      <c r="AE126" s="1454"/>
      <c r="AF126" s="1446"/>
      <c r="AG126" s="1453"/>
      <c r="AH126" s="1453"/>
      <c r="AI126" s="1453"/>
      <c r="AJ126" s="1443"/>
      <c r="AK126" s="1442"/>
      <c r="AL126" s="1442"/>
      <c r="AM126" s="1442"/>
      <c r="AN126" s="1442"/>
      <c r="AO126" s="1443"/>
      <c r="AP126" s="1442">
        <f>IF(ISERROR(AP125/AK125-1),,(AP125/AK125-1))</f>
        <v>0.13500000000000001</v>
      </c>
      <c r="AQ126" s="1442">
        <f>IF(ISERROR(AQ125/AL125-1),,(AQ125/AL125-1))</f>
        <v>0.10499999999999998</v>
      </c>
      <c r="AR126" s="1442">
        <f>IF(ISERROR(AR125/AM125-1),,(AR125/AM125-1))</f>
        <v>7.4999999999999956E-2</v>
      </c>
      <c r="AS126" s="1442">
        <f>IF(ISERROR(AS125/AN125-1),,(AS125/AN125-1))</f>
        <v>5.0000000000000044E-2</v>
      </c>
      <c r="AT126" s="1443">
        <f>IF(ISERROR(AT125/AO125-1),,(AT125/AO125-1))</f>
        <v>9.00108519010685E-2</v>
      </c>
      <c r="AU126" s="1442">
        <v>0.2</v>
      </c>
      <c r="AV126" s="1442">
        <v>0.17</v>
      </c>
      <c r="AW126" s="1442">
        <v>0.16</v>
      </c>
      <c r="AX126" s="1442">
        <v>0.16</v>
      </c>
      <c r="AY126" s="1443">
        <f>IF(ISERROR(AY125/AT125-1),,(AY125/AT125-1))</f>
        <v>0.17226150661654693</v>
      </c>
      <c r="AZ126" s="1442">
        <f t="shared" ref="AZ126" si="262">AZ125/AU125-1</f>
        <v>0.12658125530453068</v>
      </c>
      <c r="BA126" s="1442">
        <f t="shared" ref="BA126" si="263">BA125/AV125-1</f>
        <v>0.1954259650365715</v>
      </c>
      <c r="BB126" s="1442">
        <f t="shared" ref="BB126" si="264">BB125/AW125-1</f>
        <v>0.32861972181511501</v>
      </c>
      <c r="BC126" s="1442">
        <f t="shared" ref="BC126" si="265">BC125/AX125-1</f>
        <v>0.3828299662061887</v>
      </c>
      <c r="BD126" s="1443">
        <f>IF(ISERROR(BD125/AY125-1),,(BD125/AY125-1))</f>
        <v>0.25816810789517519</v>
      </c>
      <c r="BE126" s="1442">
        <f t="shared" ref="BE126:BF126" si="266">BE125/AZ125-1</f>
        <v>0.36023916292974589</v>
      </c>
      <c r="BF126" s="1442">
        <f t="shared" si="266"/>
        <v>0.1469559132260323</v>
      </c>
      <c r="BG126" s="1442">
        <f>BG125/BB125-1</f>
        <v>0.11569731081926204</v>
      </c>
      <c r="BH126" s="1455">
        <v>0.15</v>
      </c>
      <c r="BI126" s="1443">
        <f>IF(ISERROR(BI125/BD125-1),,(BI125/BD125-1))</f>
        <v>0.1870722750792857</v>
      </c>
      <c r="BJ126" s="1455">
        <v>0.08</v>
      </c>
      <c r="BK126" s="1455">
        <v>0.08</v>
      </c>
      <c r="BL126" s="1455">
        <v>0.08</v>
      </c>
      <c r="BM126" s="1455">
        <v>0.08</v>
      </c>
      <c r="BN126" s="1443">
        <f>IF(ISERROR(BN125/BI125-1),,(BN125/BI125-1))</f>
        <v>8.0000000000000071E-2</v>
      </c>
      <c r="BO126" s="1455">
        <v>5.5E-2</v>
      </c>
      <c r="BP126" s="1455">
        <v>5.5E-2</v>
      </c>
      <c r="BQ126" s="1455">
        <v>5.5E-2</v>
      </c>
      <c r="BR126" s="1455">
        <v>5.5E-2</v>
      </c>
      <c r="BS126" s="1443">
        <f>IF(ISERROR(BS125/BN125-1),,(BS125/BN125-1))</f>
        <v>5.4999999999999938E-2</v>
      </c>
      <c r="BT126" s="1455">
        <v>0.04</v>
      </c>
      <c r="BU126" s="1455">
        <v>0.04</v>
      </c>
      <c r="BV126" s="1455">
        <v>0.04</v>
      </c>
      <c r="BW126" s="1455">
        <v>0.04</v>
      </c>
      <c r="BX126" s="1443">
        <f>IF(ISERROR(BX125/BS125-1),,(BX125/BS125-1))</f>
        <v>4.0000000000000036E-2</v>
      </c>
      <c r="BY126" s="1343"/>
      <c r="BZ126" s="1443"/>
      <c r="CA126" s="1443"/>
      <c r="CB126" s="1443"/>
      <c r="CC126" s="1443">
        <f t="shared" ref="CC126:CH126" si="267">CC125/CB125-1</f>
        <v>0.12489585538695414</v>
      </c>
      <c r="CD126" s="1443">
        <f t="shared" si="267"/>
        <v>0.16059942223596324</v>
      </c>
      <c r="CE126" s="1443">
        <f t="shared" si="267"/>
        <v>0.29877170517068397</v>
      </c>
      <c r="CF126" s="1443">
        <f t="shared" si="267"/>
        <v>0.10556187341014511</v>
      </c>
      <c r="CG126" s="1443">
        <f t="shared" si="267"/>
        <v>6.7359629260185017E-2</v>
      </c>
      <c r="CH126" s="1443">
        <f t="shared" si="267"/>
        <v>4.750360004354981E-2</v>
      </c>
    </row>
    <row r="127" spans="1:87">
      <c r="A127" s="1456" t="s">
        <v>952</v>
      </c>
      <c r="B127" s="1453"/>
      <c r="C127" s="1453"/>
      <c r="D127" s="1453"/>
      <c r="E127" s="1453"/>
      <c r="F127" s="1454"/>
      <c r="G127" s="1453"/>
      <c r="H127" s="1453"/>
      <c r="I127" s="1453"/>
      <c r="J127" s="1453"/>
      <c r="K127" s="1454"/>
      <c r="L127" s="1453"/>
      <c r="M127" s="1453"/>
      <c r="N127" s="1453"/>
      <c r="O127" s="1453"/>
      <c r="P127" s="1454"/>
      <c r="Q127" s="1453"/>
      <c r="R127" s="1453"/>
      <c r="S127" s="1453"/>
      <c r="T127" s="1453"/>
      <c r="U127" s="1454"/>
      <c r="V127" s="1453"/>
      <c r="W127" s="1453"/>
      <c r="X127" s="1453"/>
      <c r="Y127" s="1453"/>
      <c r="Z127" s="1454"/>
      <c r="AA127" s="1453"/>
      <c r="AB127" s="1453"/>
      <c r="AC127" s="1453"/>
      <c r="AD127" s="1453"/>
      <c r="AE127" s="1454"/>
      <c r="AF127" s="1446"/>
      <c r="AG127" s="1442"/>
      <c r="AH127" s="1442"/>
      <c r="AI127" s="1442"/>
      <c r="AJ127" s="1443"/>
      <c r="AK127" s="1442"/>
      <c r="AL127" s="1442">
        <f>IF(ISERROR(AL125/AK125-1),,(AL125/AK125-1))</f>
        <v>6.0339449541284562E-2</v>
      </c>
      <c r="AM127" s="1442">
        <f>IF(ISERROR(AM125/AL125-1),,(AM125/AL125-1))</f>
        <v>4.380629363973787E-2</v>
      </c>
      <c r="AN127" s="1442">
        <f>IF(ISERROR(AN125/AM125-1),,(AN125/AM125-1))</f>
        <v>-3.315649867373649E-4</v>
      </c>
      <c r="AO127" s="1443"/>
      <c r="AP127" s="1442">
        <f>IF(ISERROR(AP125/AN125-1),,(AP125/AN125-1))</f>
        <v>2.5829187396351649E-2</v>
      </c>
      <c r="AQ127" s="1442">
        <f>IF(ISERROR(AQ125/AP125-1),,(AQ125/AP125-1))</f>
        <v>3.231285616133861E-2</v>
      </c>
      <c r="AR127" s="1442">
        <f>IF(ISERROR(AR125/AQ125-1),,(AR125/AQ125-1))</f>
        <v>1.5467661233228958E-2</v>
      </c>
      <c r="AS127" s="1442">
        <f>IF(ISERROR(AS125/AR125-1),,(AS125/AR125-1))</f>
        <v>-2.3579668126580633E-2</v>
      </c>
      <c r="AT127" s="1443"/>
      <c r="AU127" s="1442">
        <f>IF(ISERROR(AU125/AS125-1),,(AU125/AS125-1))</f>
        <v>0.1723762141672589</v>
      </c>
      <c r="AV127" s="1442">
        <f>IF(ISERROR(AV125/AU125-1),,(AV125/AU125-1))</f>
        <v>6.5050347573052392E-3</v>
      </c>
      <c r="AW127" s="1442">
        <f>IF(ISERROR(AW125/AV125-1),,(AW125/AV125-1))</f>
        <v>6.7884504534578838E-3</v>
      </c>
      <c r="AX127" s="1442">
        <f>IF(ISERROR(AX125/AW125-1),,(AX125/AW125-1))</f>
        <v>-2.3579668126580744E-2</v>
      </c>
      <c r="AY127" s="1443"/>
      <c r="AZ127" s="1442">
        <f>IF(ISERROR(AZ125/AX125-1),,(AZ125/AX125-1))</f>
        <v>0.13860091986700329</v>
      </c>
      <c r="BA127" s="1442">
        <f>IF(ISERROR(BA125/AZ125-1),,(BA125/AZ125-1))</f>
        <v>6.8011958146487306E-2</v>
      </c>
      <c r="BB127" s="1442">
        <f>IF(ISERROR(BB125/BA125-1),,(BB125/BA125-1))</f>
        <v>0.11896431070678792</v>
      </c>
      <c r="BC127" s="1442">
        <f>IF(ISERROR(BC125/BB125-1),,(BC125/BB125-1))</f>
        <v>1.6260162601626105E-2</v>
      </c>
      <c r="BD127" s="1443"/>
      <c r="BE127" s="1442">
        <f>IF(ISERROR(BE125/BC125-1),,(BE125/BC125-1))</f>
        <v>0.12000000000000011</v>
      </c>
      <c r="BF127" s="1442">
        <f>IF(ISERROR(BF125/BE125-1),,(BF125/BE125-1))</f>
        <v>-9.945054945054943E-2</v>
      </c>
      <c r="BG127" s="1442">
        <f>IF(ISERROR(BG125/BF125-1),,(BG125/BF125-1))</f>
        <v>8.8468578401464271E-2</v>
      </c>
      <c r="BH127" s="1442">
        <f>IF(ISERROR(BH125/BG125-1),,(BH125/BG125-1))</f>
        <v>4.7505605381165772E-2</v>
      </c>
      <c r="BI127" s="1443"/>
      <c r="BJ127" s="1442">
        <f>IF(ISERROR(BJ125/BH125-1),,(BJ125/BH125-1))</f>
        <v>5.1826086956521911E-2</v>
      </c>
      <c r="BK127" s="1442">
        <f>IF(ISERROR(BK125/BJ125-1),,(BK125/BJ125-1))</f>
        <v>-9.945054945054943E-2</v>
      </c>
      <c r="BL127" s="1442">
        <f>IF(ISERROR(BL125/BK125-1),,(BL125/BK125-1))</f>
        <v>8.8468578401464271E-2</v>
      </c>
      <c r="BM127" s="1442">
        <f>IF(ISERROR(BM125/BL125-1),,(BM125/BL125-1))</f>
        <v>4.7505605381165994E-2</v>
      </c>
      <c r="BN127" s="1443"/>
      <c r="BO127" s="1442">
        <f>IF(ISERROR(BO125/BM125-1),,(BO125/BM125-1))</f>
        <v>2.7478260869565174E-2</v>
      </c>
      <c r="BP127" s="1442">
        <f>IF(ISERROR(BP125/BO125-1),,(BP125/BO125-1))</f>
        <v>-9.9450549450549541E-2</v>
      </c>
      <c r="BQ127" s="1442">
        <f>IF(ISERROR(BQ125/BP125-1),,(BQ125/BP125-1))</f>
        <v>8.8468578401464271E-2</v>
      </c>
      <c r="BR127" s="1442">
        <f>IF(ISERROR(BR125/BQ125-1),,(BR125/BQ125-1))</f>
        <v>4.7505605381165994E-2</v>
      </c>
      <c r="BS127" s="1443"/>
      <c r="BT127" s="1442">
        <f>IF(ISERROR(BT125/BR125-1),,(BT125/BR125-1))</f>
        <v>1.2869565217391354E-2</v>
      </c>
      <c r="BU127" s="1442">
        <f>IF(ISERROR(BU125/BT125-1),,(BU125/BT125-1))</f>
        <v>-9.945054945054943E-2</v>
      </c>
      <c r="BV127" s="1442">
        <f>IF(ISERROR(BV125/BU125-1),,(BV125/BU125-1))</f>
        <v>8.8468578401464271E-2</v>
      </c>
      <c r="BW127" s="1442">
        <f>IF(ISERROR(BW125/BV125-1),,(BW125/BV125-1))</f>
        <v>4.7505605381165994E-2</v>
      </c>
      <c r="BX127" s="1443"/>
      <c r="BY127" s="1520"/>
      <c r="BZ127" s="1443"/>
      <c r="CA127" s="1443"/>
      <c r="CB127" s="1443"/>
      <c r="CC127" s="1443"/>
      <c r="CD127" s="1443"/>
      <c r="CE127" s="1443"/>
      <c r="CF127" s="1443"/>
      <c r="CG127" s="1443"/>
      <c r="CH127" s="1443"/>
    </row>
    <row r="128" spans="1:87" ht="13.5" thickBot="1">
      <c r="A128" s="1175" t="s">
        <v>280</v>
      </c>
      <c r="B128" s="1345"/>
      <c r="C128" s="1345"/>
      <c r="D128" s="1345"/>
      <c r="E128" s="1345"/>
      <c r="F128" s="1346"/>
      <c r="G128" s="1345"/>
      <c r="H128" s="1345"/>
      <c r="I128" s="1345"/>
      <c r="J128" s="1345"/>
      <c r="K128" s="1346"/>
      <c r="L128" s="1345"/>
      <c r="M128" s="1345"/>
      <c r="N128" s="1345"/>
      <c r="O128" s="1345"/>
      <c r="P128" s="1346"/>
      <c r="Q128" s="1345"/>
      <c r="R128" s="1345"/>
      <c r="S128" s="1345"/>
      <c r="T128" s="1345"/>
      <c r="U128" s="1346"/>
      <c r="V128" s="1345"/>
      <c r="W128" s="1345"/>
      <c r="X128" s="1345"/>
      <c r="Y128" s="1345"/>
      <c r="Z128" s="1346"/>
      <c r="AA128" s="1345"/>
      <c r="AB128" s="1345"/>
      <c r="AC128" s="1345"/>
      <c r="AD128" s="1345"/>
      <c r="AE128" s="1346"/>
      <c r="AF128" s="1347"/>
      <c r="AG128" s="1347"/>
      <c r="AH128" s="1347"/>
      <c r="AI128" s="1347"/>
      <c r="AJ128" s="1346"/>
      <c r="AK128" s="1345"/>
      <c r="AL128" s="1001"/>
      <c r="AM128" s="1001"/>
      <c r="AN128" s="1001"/>
      <c r="AO128" s="1000"/>
      <c r="AP128" s="1001"/>
      <c r="AQ128" s="1001"/>
      <c r="AR128" s="1001"/>
      <c r="AS128" s="1001"/>
      <c r="AT128" s="1000"/>
      <c r="AU128" s="1001"/>
      <c r="AV128" s="1001"/>
      <c r="AW128" s="1001"/>
      <c r="AX128" s="1001"/>
      <c r="AY128" s="1000"/>
      <c r="AZ128" s="1001">
        <f t="shared" ref="AZ128:BS128" si="268">AZ129-AZ107-AZ110-AZ113-AZ116-AZ119-AZ122-AZ125</f>
        <v>345.14867083771287</v>
      </c>
      <c r="BA128" s="1001">
        <f t="shared" si="268"/>
        <v>54.702261879883281</v>
      </c>
      <c r="BB128" s="1001">
        <f t="shared" si="268"/>
        <v>179.04169752770144</v>
      </c>
      <c r="BC128" s="1001">
        <f t="shared" si="268"/>
        <v>-33.710871280173933</v>
      </c>
      <c r="BD128" s="1000">
        <f t="shared" si="268"/>
        <v>545.18175896512457</v>
      </c>
      <c r="BE128" s="1001">
        <f t="shared" si="268"/>
        <v>-218.25475790140263</v>
      </c>
      <c r="BF128" s="1001">
        <f t="shared" ref="BF128:BG128" si="269">BF129-BF107-BF110-BF113-BF116-BF119-BF122-BF125</f>
        <v>-113.95738208176044</v>
      </c>
      <c r="BG128" s="1001">
        <f t="shared" ref="BG128" si="270">BG129-BG107-BG110-BG113-BG116-BG119-BG122-BG125</f>
        <v>103.59658264329573</v>
      </c>
      <c r="BH128" s="1001">
        <f t="shared" si="268"/>
        <v>0</v>
      </c>
      <c r="BI128" s="1000">
        <f t="shared" si="268"/>
        <v>-228.61555733986461</v>
      </c>
      <c r="BJ128" s="1001">
        <f t="shared" si="268"/>
        <v>0</v>
      </c>
      <c r="BK128" s="1001">
        <f t="shared" si="268"/>
        <v>0</v>
      </c>
      <c r="BL128" s="1001">
        <f t="shared" si="268"/>
        <v>0</v>
      </c>
      <c r="BM128" s="1001">
        <f t="shared" si="268"/>
        <v>0</v>
      </c>
      <c r="BN128" s="1000">
        <f t="shared" si="268"/>
        <v>-9.0949470177292824E-12</v>
      </c>
      <c r="BO128" s="1001">
        <f t="shared" si="268"/>
        <v>0</v>
      </c>
      <c r="BP128" s="1001">
        <f t="shared" si="268"/>
        <v>0</v>
      </c>
      <c r="BQ128" s="1001">
        <f t="shared" si="268"/>
        <v>0</v>
      </c>
      <c r="BR128" s="1001">
        <f t="shared" si="268"/>
        <v>0</v>
      </c>
      <c r="BS128" s="1000">
        <f t="shared" si="268"/>
        <v>0</v>
      </c>
      <c r="BT128" s="1001">
        <f t="shared" ref="BT128:BX128" si="271">BT129-BT107-BT110-BT113-BT116-BT119-BT122-BT125</f>
        <v>0</v>
      </c>
      <c r="BU128" s="1001">
        <f t="shared" si="271"/>
        <v>0</v>
      </c>
      <c r="BV128" s="1001">
        <f t="shared" si="271"/>
        <v>0</v>
      </c>
      <c r="BW128" s="1001">
        <f t="shared" si="271"/>
        <v>0</v>
      </c>
      <c r="BX128" s="1000">
        <f t="shared" si="271"/>
        <v>0</v>
      </c>
      <c r="BY128" s="1343"/>
      <c r="BZ128" s="1000"/>
      <c r="CA128" s="1000"/>
      <c r="CB128" s="1000"/>
      <c r="CC128" s="1000"/>
      <c r="CD128" s="1000"/>
      <c r="CE128" s="1000"/>
      <c r="CF128" s="1000"/>
      <c r="CG128" s="1000"/>
      <c r="CH128" s="1000"/>
    </row>
    <row r="129" spans="1:86" ht="13.5" thickBot="1">
      <c r="A129" s="1477" t="s">
        <v>1047</v>
      </c>
      <c r="B129" s="1497"/>
      <c r="C129" s="1497"/>
      <c r="D129" s="1497"/>
      <c r="E129" s="1497"/>
      <c r="F129" s="1498"/>
      <c r="G129" s="1497"/>
      <c r="H129" s="1497"/>
      <c r="I129" s="1497"/>
      <c r="J129" s="1497"/>
      <c r="K129" s="1498"/>
      <c r="L129" s="1497"/>
      <c r="M129" s="1497"/>
      <c r="N129" s="1497"/>
      <c r="O129" s="1497"/>
      <c r="P129" s="1498"/>
      <c r="Q129" s="1497"/>
      <c r="R129" s="1497"/>
      <c r="S129" s="1497"/>
      <c r="T129" s="1497"/>
      <c r="U129" s="1498"/>
      <c r="V129" s="1497"/>
      <c r="W129" s="1497"/>
      <c r="X129" s="1497"/>
      <c r="Y129" s="1497"/>
      <c r="Z129" s="1498"/>
      <c r="AA129" s="1497"/>
      <c r="AB129" s="1497"/>
      <c r="AC129" s="1497"/>
      <c r="AD129" s="1497"/>
      <c r="AE129" s="1479"/>
      <c r="AF129" s="1478"/>
      <c r="AG129" s="1478"/>
      <c r="AH129" s="1478"/>
      <c r="AI129" s="1478"/>
      <c r="AJ129" s="1479"/>
      <c r="AK129" s="1478"/>
      <c r="AL129" s="1478"/>
      <c r="AM129" s="1478"/>
      <c r="AN129" s="1478"/>
      <c r="AO129" s="1479"/>
      <c r="AP129" s="1478"/>
      <c r="AQ129" s="1478"/>
      <c r="AR129" s="1478"/>
      <c r="AS129" s="1478"/>
      <c r="AT129" s="1479"/>
      <c r="AU129" s="1478">
        <f>AU40</f>
        <v>9329</v>
      </c>
      <c r="AV129" s="1478">
        <f>AV40</f>
        <v>12513</v>
      </c>
      <c r="AW129" s="1478">
        <f>AW40</f>
        <v>9387</v>
      </c>
      <c r="AX129" s="1478">
        <f>AX40</f>
        <v>9181</v>
      </c>
      <c r="AY129" s="1479">
        <f>SUM(AU129:AX129)</f>
        <v>40410</v>
      </c>
      <c r="AZ129" s="1478">
        <f>AZ40</f>
        <v>9395</v>
      </c>
      <c r="BA129" s="1478">
        <f>BA40</f>
        <v>11889</v>
      </c>
      <c r="BB129" s="1478">
        <f>BB40</f>
        <v>8775</v>
      </c>
      <c r="BC129" s="1478">
        <f>BC40</f>
        <v>9235</v>
      </c>
      <c r="BD129" s="1479">
        <f>SUM(AZ129:BC129)</f>
        <v>39294</v>
      </c>
      <c r="BE129" s="1478">
        <f>BE40</f>
        <v>9378</v>
      </c>
      <c r="BF129" s="1478">
        <f>BF40</f>
        <v>12170</v>
      </c>
      <c r="BG129" s="1478">
        <f>BG40</f>
        <v>9917</v>
      </c>
      <c r="BH129" s="1478">
        <f>BH107+BH110+BH113+BH116+BH119+BH122+BH125</f>
        <v>10316.781548477304</v>
      </c>
      <c r="BI129" s="1479">
        <f>SUM(BE129:BH129)</f>
        <v>41781.781548477302</v>
      </c>
      <c r="BJ129" s="1478">
        <f>BJ107+BJ110+BJ113+BJ116+BJ119+BJ122+BJ125</f>
        <v>10031.672378105135</v>
      </c>
      <c r="BK129" s="1478">
        <f>BK107+BK110+BK113+BK116+BK119+BK122+BK125</f>
        <v>13016.905252087286</v>
      </c>
      <c r="BL129" s="1478">
        <f>BL107+BL110+BL113+BL116+BL119+BL122+BL125</f>
        <v>10057.118141595263</v>
      </c>
      <c r="BM129" s="1478">
        <f>BM107+BM110+BM113+BM116+BM119+BM122+BM125</f>
        <v>10577.363130495323</v>
      </c>
      <c r="BN129" s="1479">
        <f>SUM(BJ129:BM129)</f>
        <v>43683.058902283003</v>
      </c>
      <c r="BO129" s="1478">
        <f>BO107+BO110+BO113+BO116+BO119+BO122+BO125</f>
        <v>10234.442697514844</v>
      </c>
      <c r="BP129" s="1478">
        <f>BP107+BP110+BP113+BP116+BP119+BP122+BP125</f>
        <v>13251.331638642572</v>
      </c>
      <c r="BQ129" s="1478">
        <f>BQ107+BQ110+BQ113+BQ116+BQ119+BQ122+BQ125</f>
        <v>10331.746650701636</v>
      </c>
      <c r="BR129" s="1478">
        <f>BR107+BR110+BR113+BR116+BR119+BR122+BR125</f>
        <v>10884.057085211818</v>
      </c>
      <c r="BS129" s="1479">
        <f>SUM(BO129:BR129)</f>
        <v>44701.578072070872</v>
      </c>
      <c r="BT129" s="1478">
        <f>BT107+BT110+BT113+BT116+BT119+BT122+BT125</f>
        <v>10374.23153285562</v>
      </c>
      <c r="BU129" s="1478">
        <f>BU107+BU110+BU113+BU116+BU119+BU122+BU125</f>
        <v>13390.543323109523</v>
      </c>
      <c r="BV129" s="1478">
        <f>BV107+BV110+BV113+BV116+BV119+BV122+BV125</f>
        <v>10518.730864116134</v>
      </c>
      <c r="BW129" s="1478">
        <f>BW107+BW110+BW113+BW116+BW119+BW122+BW125</f>
        <v>11091.761010589684</v>
      </c>
      <c r="BX129" s="1479">
        <f>SUM(BT129:BW129)</f>
        <v>45375.266730670963</v>
      </c>
      <c r="BY129" s="1343"/>
      <c r="BZ129" s="1479"/>
      <c r="CA129" s="1479"/>
      <c r="CB129" s="1479">
        <f>SUM(AM129:AN129,AP129:AQ129)</f>
        <v>0</v>
      </c>
      <c r="CC129" s="1479">
        <f>SUM(AR129:AS129,AU129:AV129)</f>
        <v>21842</v>
      </c>
      <c r="CD129" s="1479">
        <f>SUM(AW129:AX129,AZ129:BA129)</f>
        <v>39852</v>
      </c>
      <c r="CE129" s="1479">
        <f>SUM(BB129:BC129,BE129:BF129)</f>
        <v>39558</v>
      </c>
      <c r="CF129" s="1479">
        <f>SUM(BG129:BH129,BJ129:BK129)</f>
        <v>43282.359178669722</v>
      </c>
      <c r="CG129" s="1479">
        <f>SUM(BL129:BM129,BO129:BP129)</f>
        <v>44120.255608248</v>
      </c>
      <c r="CH129" s="1479">
        <f>SUM(BQ129:BR129,BT129:BU129)</f>
        <v>44980.578591878599</v>
      </c>
    </row>
    <row r="130" spans="1:86">
      <c r="A130" s="1499" t="s">
        <v>926</v>
      </c>
      <c r="B130" s="1500"/>
      <c r="C130" s="1500"/>
      <c r="D130" s="1500"/>
      <c r="E130" s="1500"/>
      <c r="F130" s="1501"/>
      <c r="G130" s="1500"/>
      <c r="H130" s="1500"/>
      <c r="I130" s="1500"/>
      <c r="J130" s="1500"/>
      <c r="K130" s="1501"/>
      <c r="L130" s="1500"/>
      <c r="M130" s="1500"/>
      <c r="N130" s="1500"/>
      <c r="O130" s="1500"/>
      <c r="P130" s="1501"/>
      <c r="Q130" s="1500"/>
      <c r="R130" s="1500"/>
      <c r="S130" s="1500"/>
      <c r="T130" s="1500"/>
      <c r="U130" s="1501"/>
      <c r="V130" s="1500"/>
      <c r="W130" s="1500"/>
      <c r="X130" s="1500"/>
      <c r="Y130" s="1500"/>
      <c r="Z130" s="1501"/>
      <c r="AA130" s="1502"/>
      <c r="AB130" s="1502"/>
      <c r="AC130" s="1502"/>
      <c r="AD130" s="1502"/>
      <c r="AE130" s="1501"/>
      <c r="AF130" s="1502"/>
      <c r="AG130" s="1502"/>
      <c r="AH130" s="1502"/>
      <c r="AI130" s="1502"/>
      <c r="AJ130" s="1503"/>
      <c r="AK130" s="1502"/>
      <c r="AL130" s="1502"/>
      <c r="AM130" s="1502"/>
      <c r="AN130" s="1502"/>
      <c r="AO130" s="1503"/>
      <c r="AP130" s="1502"/>
      <c r="AQ130" s="1502"/>
      <c r="AR130" s="1502"/>
      <c r="AS130" s="1502"/>
      <c r="AT130" s="1503"/>
      <c r="AU130" s="1502"/>
      <c r="AV130" s="1502"/>
      <c r="AW130" s="1502"/>
      <c r="AX130" s="1502"/>
      <c r="AY130" s="1503"/>
      <c r="AZ130" s="1502">
        <f t="shared" ref="AZ130" si="272">IF(ISERROR(AZ129/AU129-1),,(AZ129/AU129-1))</f>
        <v>7.0747132597277496E-3</v>
      </c>
      <c r="BA130" s="1502">
        <f t="shared" ref="BA130" si="273">IF(ISERROR(BA129/AV129-1),,(BA129/AV129-1))</f>
        <v>-4.9868137137377144E-2</v>
      </c>
      <c r="BB130" s="1502">
        <f t="shared" ref="BB130" si="274">IF(ISERROR(BB129/AW129-1),,(BB129/AW129-1))</f>
        <v>-6.5196548418024913E-2</v>
      </c>
      <c r="BC130" s="1502">
        <f t="shared" ref="BC130" si="275">IF(ISERROR(BC129/AX129-1),,(BC129/AX129-1))</f>
        <v>5.8817122317831316E-3</v>
      </c>
      <c r="BD130" s="1503">
        <f t="shared" ref="BD130:BS130" si="276">IF(ISERROR(BD129/AY129-1),,(BD129/AY129-1))</f>
        <v>-2.76169265033408E-2</v>
      </c>
      <c r="BE130" s="1502">
        <f t="shared" si="276"/>
        <v>-1.8094731240021478E-3</v>
      </c>
      <c r="BF130" s="1502">
        <f t="shared" si="276"/>
        <v>2.3635293128101642E-2</v>
      </c>
      <c r="BG130" s="1502">
        <f t="shared" si="276"/>
        <v>0.13014245014245018</v>
      </c>
      <c r="BH130" s="1502">
        <f t="shared" si="276"/>
        <v>0.11713931223360086</v>
      </c>
      <c r="BI130" s="1503">
        <f t="shared" si="276"/>
        <v>6.3311995431294843E-2</v>
      </c>
      <c r="BJ130" s="1502">
        <f t="shared" si="276"/>
        <v>6.9702748784936652E-2</v>
      </c>
      <c r="BK130" s="1502">
        <f t="shared" si="276"/>
        <v>6.9589585216703886E-2</v>
      </c>
      <c r="BL130" s="1502">
        <f t="shared" si="276"/>
        <v>1.412908556975534E-2</v>
      </c>
      <c r="BM130" s="1502">
        <f t="shared" si="276"/>
        <v>2.5258030403530141E-2</v>
      </c>
      <c r="BN130" s="1503">
        <f t="shared" si="276"/>
        <v>4.5504937399563516E-2</v>
      </c>
      <c r="BO130" s="1502">
        <f t="shared" si="276"/>
        <v>2.021301252344232E-2</v>
      </c>
      <c r="BP130" s="1502">
        <f t="shared" si="276"/>
        <v>1.8009379496535471E-2</v>
      </c>
      <c r="BQ130" s="1502">
        <f t="shared" si="276"/>
        <v>2.7306879091987257E-2</v>
      </c>
      <c r="BR130" s="1502">
        <f t="shared" si="276"/>
        <v>2.8995313003131518E-2</v>
      </c>
      <c r="BS130" s="1503">
        <f t="shared" si="276"/>
        <v>2.3316113737965383E-2</v>
      </c>
      <c r="BT130" s="1502">
        <f t="shared" ref="BT130" si="277">IF(ISERROR(BT129/BO129-1),,(BT129/BO129-1))</f>
        <v>1.3658666082005722E-2</v>
      </c>
      <c r="BU130" s="1502">
        <f t="shared" ref="BU130" si="278">IF(ISERROR(BU129/BP129-1),,(BU129/BP129-1))</f>
        <v>1.0505486411719778E-2</v>
      </c>
      <c r="BV130" s="1502">
        <f t="shared" ref="BV130" si="279">IF(ISERROR(BV129/BQ129-1),,(BV129/BQ129-1))</f>
        <v>1.8098025410040464E-2</v>
      </c>
      <c r="BW130" s="1502">
        <f t="shared" ref="BW130" si="280">IF(ISERROR(BW129/BR129-1),,(BW129/BR129-1))</f>
        <v>1.9083318265582516E-2</v>
      </c>
      <c r="BX130" s="1503">
        <f t="shared" ref="BX130" si="281">IF(ISERROR(BX129/BS129-1),,(BX129/BS129-1))</f>
        <v>1.5070802590323007E-2</v>
      </c>
      <c r="BY130" s="1438"/>
      <c r="BZ130" s="1503"/>
      <c r="CA130" s="1503"/>
      <c r="CB130" s="1503"/>
      <c r="CC130" s="1503" t="e">
        <f t="shared" ref="CC130:CH130" si="282">CC129/CB129-1</f>
        <v>#DIV/0!</v>
      </c>
      <c r="CD130" s="1503">
        <f t="shared" si="282"/>
        <v>0.82455819064188263</v>
      </c>
      <c r="CE130" s="1503">
        <f t="shared" si="282"/>
        <v>-7.3772959951822203E-3</v>
      </c>
      <c r="CF130" s="1503">
        <f t="shared" si="282"/>
        <v>9.414932955836286E-2</v>
      </c>
      <c r="CG130" s="1503">
        <f t="shared" si="282"/>
        <v>1.935884377557695E-2</v>
      </c>
      <c r="CH130" s="1503">
        <f t="shared" si="282"/>
        <v>1.9499501346265324E-2</v>
      </c>
    </row>
    <row r="131" spans="1:86">
      <c r="A131" s="1499" t="s">
        <v>952</v>
      </c>
      <c r="B131" s="1500"/>
      <c r="C131" s="1500"/>
      <c r="D131" s="1500"/>
      <c r="E131" s="1500"/>
      <c r="F131" s="1501"/>
      <c r="G131" s="1500"/>
      <c r="H131" s="1500"/>
      <c r="I131" s="1500"/>
      <c r="J131" s="1500"/>
      <c r="K131" s="1501"/>
      <c r="L131" s="1500"/>
      <c r="M131" s="1500"/>
      <c r="N131" s="1500"/>
      <c r="O131" s="1500"/>
      <c r="P131" s="1501"/>
      <c r="Q131" s="1500"/>
      <c r="R131" s="1500"/>
      <c r="S131" s="1500"/>
      <c r="T131" s="1500"/>
      <c r="U131" s="1501"/>
      <c r="V131" s="1500"/>
      <c r="W131" s="1500"/>
      <c r="X131" s="1500"/>
      <c r="Y131" s="1500"/>
      <c r="Z131" s="1501"/>
      <c r="AA131" s="1504"/>
      <c r="AB131" s="1502"/>
      <c r="AC131" s="1502"/>
      <c r="AD131" s="1502"/>
      <c r="AE131" s="1501"/>
      <c r="AF131" s="1502"/>
      <c r="AG131" s="1502"/>
      <c r="AH131" s="1502"/>
      <c r="AI131" s="1502"/>
      <c r="AJ131" s="1503"/>
      <c r="AK131" s="1502"/>
      <c r="AL131" s="1502"/>
      <c r="AM131" s="1502"/>
      <c r="AN131" s="1502"/>
      <c r="AO131" s="1505"/>
      <c r="AP131" s="1502"/>
      <c r="AQ131" s="1502"/>
      <c r="AR131" s="1502"/>
      <c r="AS131" s="1502"/>
      <c r="AT131" s="1505"/>
      <c r="AU131" s="1502"/>
      <c r="AV131" s="1502">
        <f>IF(ISERROR(AV129/AU129-1),,(AV129/AU129-1))</f>
        <v>0.34130131846928924</v>
      </c>
      <c r="AW131" s="1502">
        <f>IF(ISERROR(AW129/AV129-1),,(AW129/AV129-1))</f>
        <v>-0.24982018700551423</v>
      </c>
      <c r="AX131" s="1502">
        <f>IF(ISERROR(AX129/AW129-1),,(AX129/AW129-1))</f>
        <v>-2.1945243421753524E-2</v>
      </c>
      <c r="AY131" s="1505"/>
      <c r="AZ131" s="1502">
        <f>IF(ISERROR(AZ129/AX129-1),,(AZ129/AX129-1))</f>
        <v>2.3309007733362419E-2</v>
      </c>
      <c r="BA131" s="1502">
        <f>IF(ISERROR(BA129/AZ129-1),,(BA129/AZ129-1))</f>
        <v>0.26546035125066525</v>
      </c>
      <c r="BB131" s="1502">
        <f>IF(ISERROR(BB129/BA129-1),,(BB129/BA129-1))</f>
        <v>-0.26192278576835726</v>
      </c>
      <c r="BC131" s="1502">
        <f>IF(ISERROR(BC129/BB129-1),,(BC129/BB129-1))</f>
        <v>5.2421652421652531E-2</v>
      </c>
      <c r="BD131" s="1503"/>
      <c r="BE131" s="1502">
        <f>IF(ISERROR(BE129/BC129-1),,(BE129/BC129-1))</f>
        <v>1.5484569572279394E-2</v>
      </c>
      <c r="BF131" s="1502">
        <f>IF(ISERROR(BF129/BE129-1),,(BF129/BE129-1))</f>
        <v>0.29771806355299635</v>
      </c>
      <c r="BG131" s="1502">
        <f>IF(ISERROR(BG129/BF129-1),,(BG129/BF129-1))</f>
        <v>-0.18512736236647498</v>
      </c>
      <c r="BH131" s="1502">
        <f>IF(ISERROR(BH129/BG129-1),,(BH129/BG129-1))</f>
        <v>4.0312750678360709E-2</v>
      </c>
      <c r="BI131" s="1503"/>
      <c r="BJ131" s="1502">
        <f>IF(ISERROR(BJ129/BH129-1),,(BJ129/BH129-1))</f>
        <v>-2.7635476144616922E-2</v>
      </c>
      <c r="BK131" s="1502">
        <f>IF(ISERROR(BK129/BJ129-1),,(BK129/BJ129-1))</f>
        <v>0.29758077830548402</v>
      </c>
      <c r="BL131" s="1502">
        <f>IF(ISERROR(BL129/BK129-1),,(BL129/BK129-1))</f>
        <v>-0.22738024539415125</v>
      </c>
      <c r="BM131" s="1502">
        <f>IF(ISERROR(BM129/BL129-1),,(BM129/BL129-1))</f>
        <v>5.1729032271021769E-2</v>
      </c>
      <c r="BN131" s="1503"/>
      <c r="BO131" s="1502">
        <f>IF(ISERROR(BO129/BM129-1),,(BO129/BM129-1))</f>
        <v>-3.2420219363729186E-2</v>
      </c>
      <c r="BP131" s="1502">
        <f>IF(ISERROR(BP129/BO129-1),,(BP129/BO129-1))</f>
        <v>0.29477803826683191</v>
      </c>
      <c r="BQ131" s="1502">
        <f>IF(ISERROR(BQ129/BP129-1),,(BQ129/BP129-1))</f>
        <v>-0.22032389404752761</v>
      </c>
      <c r="BR131" s="1502">
        <f>IF(ISERROR(BR129/BQ129-1),,(BR129/BQ129-1))</f>
        <v>5.3457605299746191E-2</v>
      </c>
      <c r="BS131" s="1503"/>
      <c r="BT131" s="1502">
        <f>IF(ISERROR(BT129/BR129-1),,(BT129/BR129-1))</f>
        <v>-4.6841499301661926E-2</v>
      </c>
      <c r="BU131" s="1502">
        <f>IF(ISERROR(BU129/BT129-1),,(BU129/BT129-1))</f>
        <v>0.29075038287907096</v>
      </c>
      <c r="BV131" s="1502">
        <f>IF(ISERROR(BV129/BU129-1),,(BV129/BU129-1))</f>
        <v>-0.21446571581880391</v>
      </c>
      <c r="BW131" s="1502">
        <f>IF(ISERROR(BW129/BV129-1),,(BW129/BV129-1))</f>
        <v>5.4477118378263523E-2</v>
      </c>
      <c r="BX131" s="1503"/>
      <c r="BY131" s="1438"/>
      <c r="BZ131" s="1503"/>
      <c r="CA131" s="1503"/>
      <c r="CB131" s="1503"/>
      <c r="CC131" s="1503"/>
      <c r="CD131" s="1503"/>
      <c r="CE131" s="1503"/>
      <c r="CF131" s="1503"/>
      <c r="CG131" s="1503"/>
      <c r="CH131" s="1503"/>
    </row>
    <row r="132" spans="1:86" ht="13.5" thickBot="1">
      <c r="A132" s="1506" t="s">
        <v>953</v>
      </c>
      <c r="B132" s="1483"/>
      <c r="C132" s="1483"/>
      <c r="D132" s="1483"/>
      <c r="E132" s="1483"/>
      <c r="F132" s="1484"/>
      <c r="G132" s="1483"/>
      <c r="H132" s="1483"/>
      <c r="I132" s="1483"/>
      <c r="J132" s="1483"/>
      <c r="K132" s="1484"/>
      <c r="L132" s="1483"/>
      <c r="M132" s="1483"/>
      <c r="N132" s="1483"/>
      <c r="O132" s="1483"/>
      <c r="P132" s="1484"/>
      <c r="Q132" s="1483"/>
      <c r="R132" s="1483"/>
      <c r="S132" s="1483"/>
      <c r="T132" s="1483"/>
      <c r="U132" s="1484"/>
      <c r="V132" s="1483"/>
      <c r="W132" s="1483"/>
      <c r="X132" s="1483"/>
      <c r="Y132" s="1483"/>
      <c r="Z132" s="1484"/>
      <c r="AA132" s="1483"/>
      <c r="AB132" s="1483"/>
      <c r="AC132" s="1483"/>
      <c r="AD132" s="1483"/>
      <c r="AE132" s="1484"/>
      <c r="AF132" s="1481"/>
      <c r="AG132" s="1507"/>
      <c r="AH132" s="1507"/>
      <c r="AI132" s="1507"/>
      <c r="AJ132" s="1508"/>
      <c r="AK132" s="1507"/>
      <c r="AL132" s="1507"/>
      <c r="AM132" s="1507"/>
      <c r="AN132" s="1507"/>
      <c r="AO132" s="1508"/>
      <c r="AP132" s="1507"/>
      <c r="AQ132" s="1507"/>
      <c r="AR132" s="1507"/>
      <c r="AS132" s="1507"/>
      <c r="AT132" s="1508"/>
      <c r="AU132" s="1507"/>
      <c r="AV132" s="1507"/>
      <c r="AW132" s="1507"/>
      <c r="AX132" s="1507"/>
      <c r="AY132" s="1508"/>
      <c r="AZ132" s="1507"/>
      <c r="BA132" s="1507"/>
      <c r="BB132" s="1507"/>
      <c r="BC132" s="1507"/>
      <c r="BD132" s="1508"/>
      <c r="BE132" s="1507">
        <f>AVERAGE(AZ131,AU131,AP131)</f>
        <v>2.3309007733362419E-2</v>
      </c>
      <c r="BF132" s="1507"/>
      <c r="BG132" s="1507"/>
      <c r="BH132" s="1507">
        <f>AVERAGE(BC131,AX131,AS131)</f>
        <v>1.5238204499949504E-2</v>
      </c>
      <c r="BI132" s="1508"/>
      <c r="BJ132" s="1507">
        <f>AVERAGE(BE131,AZ131,AU131)</f>
        <v>1.9396788652820907E-2</v>
      </c>
      <c r="BK132" s="1507">
        <f>AVERAGE(BF131,BA131,AV131)</f>
        <v>0.30149324442431696</v>
      </c>
      <c r="BL132" s="1507">
        <f>AVERAGE(BG131,BB131,AW131)</f>
        <v>-0.23229011171344882</v>
      </c>
      <c r="BM132" s="1507">
        <f>AVERAGE(BH131,BC131,AX131)</f>
        <v>2.3596386559419907E-2</v>
      </c>
      <c r="BN132" s="1508"/>
      <c r="BO132" s="1507">
        <f>AVERAGE(BJ131,BE131,AZ131)</f>
        <v>3.7193670536749637E-3</v>
      </c>
      <c r="BP132" s="1507">
        <f>AVERAGE(BK131,BF131,BA131)</f>
        <v>0.28691973103638185</v>
      </c>
      <c r="BQ132" s="1507">
        <f>AVERAGE(BL131,BG131,BB131)</f>
        <v>-0.22481013117632784</v>
      </c>
      <c r="BR132" s="1507">
        <f>AVERAGE(BM131,BH131,BC131)</f>
        <v>4.8154478457011672E-2</v>
      </c>
      <c r="BS132" s="1508"/>
      <c r="BT132" s="1507">
        <f>AVERAGE(BO131,BJ131,BE131)</f>
        <v>-1.4857041978688904E-2</v>
      </c>
      <c r="BU132" s="1507">
        <f>AVERAGE(BP131,BK131,BF131)</f>
        <v>0.29669229337510411</v>
      </c>
      <c r="BV132" s="1507">
        <f>AVERAGE(BQ131,BL131,BG131)</f>
        <v>-0.21094383393605129</v>
      </c>
      <c r="BW132" s="1507">
        <f>AVERAGE(BR131,BM131,BH131)</f>
        <v>4.849979608304289E-2</v>
      </c>
      <c r="BX132" s="1508"/>
      <c r="BY132" s="1438"/>
      <c r="BZ132" s="1508"/>
      <c r="CA132" s="1508"/>
      <c r="CB132" s="1508"/>
      <c r="CC132" s="1508"/>
      <c r="CD132" s="1508"/>
      <c r="CE132" s="1508"/>
      <c r="CF132" s="1508"/>
      <c r="CG132" s="1508"/>
      <c r="CH132" s="1508"/>
    </row>
    <row r="133" spans="1:86" ht="13.5" thickBot="1">
      <c r="A133" s="1065"/>
      <c r="B133" s="1066"/>
      <c r="C133" s="1066"/>
      <c r="D133" s="1066"/>
      <c r="E133" s="1066"/>
      <c r="F133" s="1067"/>
      <c r="G133" s="1066"/>
      <c r="H133" s="1066"/>
      <c r="I133" s="1066"/>
      <c r="J133" s="1066"/>
      <c r="K133" s="1067"/>
      <c r="L133" s="1066"/>
      <c r="M133" s="1066"/>
      <c r="N133" s="1066"/>
      <c r="O133" s="1066"/>
      <c r="P133" s="1067"/>
      <c r="Q133" s="1066"/>
      <c r="R133" s="1066"/>
      <c r="S133" s="1066"/>
      <c r="T133" s="1066"/>
      <c r="U133" s="1067"/>
      <c r="V133" s="1066"/>
      <c r="W133" s="1066"/>
      <c r="X133" s="1066"/>
      <c r="Y133" s="1066"/>
      <c r="Z133" s="1067"/>
      <c r="AA133" s="1066"/>
      <c r="AB133" s="1066"/>
      <c r="AC133" s="1066"/>
      <c r="AD133" s="1066"/>
      <c r="AE133" s="1067"/>
      <c r="AF133" s="1068"/>
      <c r="AG133" s="1070"/>
      <c r="AH133" s="1070"/>
      <c r="AI133" s="1070"/>
      <c r="AJ133" s="1069"/>
      <c r="AK133" s="1070"/>
      <c r="AL133" s="1070"/>
      <c r="AM133" s="1070"/>
      <c r="AN133" s="1070"/>
      <c r="AO133" s="1069"/>
      <c r="AP133" s="1070"/>
      <c r="AQ133" s="1070"/>
      <c r="AR133" s="1070"/>
      <c r="AS133" s="1070"/>
      <c r="AT133" s="1069"/>
      <c r="AU133" s="1070"/>
      <c r="AV133" s="1070"/>
      <c r="AW133" s="1070"/>
      <c r="AX133" s="1070"/>
      <c r="AY133" s="1069"/>
      <c r="AZ133" s="1070"/>
      <c r="BA133" s="1070"/>
      <c r="BB133" s="1070"/>
      <c r="BC133" s="1070"/>
      <c r="BD133" s="1069"/>
      <c r="BE133" s="1070"/>
      <c r="BF133" s="1070"/>
      <c r="BG133" s="1070"/>
      <c r="BH133" s="1070"/>
      <c r="BI133" s="1069"/>
      <c r="BJ133" s="1070"/>
      <c r="BK133" s="1070"/>
      <c r="BL133" s="1070"/>
      <c r="BM133" s="1070"/>
      <c r="BN133" s="1069"/>
      <c r="BO133" s="1070"/>
      <c r="BP133" s="1070"/>
      <c r="BQ133" s="1070"/>
      <c r="BR133" s="1070"/>
      <c r="BS133" s="1069"/>
      <c r="BT133" s="1070"/>
      <c r="BU133" s="1070"/>
      <c r="BV133" s="1070"/>
      <c r="BW133" s="1070"/>
      <c r="BX133" s="1069"/>
      <c r="BY133" s="1438"/>
      <c r="BZ133" s="1069"/>
      <c r="CA133" s="1069"/>
      <c r="CB133" s="1069"/>
      <c r="CC133" s="1069"/>
      <c r="CD133" s="1069"/>
      <c r="CE133" s="1069"/>
      <c r="CF133" s="1069"/>
      <c r="CG133" s="1069"/>
      <c r="CH133" s="1069"/>
    </row>
    <row r="134" spans="1:86" ht="13.5" thickBot="1">
      <c r="A134" s="1487" t="s">
        <v>743</v>
      </c>
      <c r="B134" s="1475"/>
      <c r="C134" s="1475"/>
      <c r="D134" s="1475"/>
      <c r="E134" s="1475"/>
      <c r="F134" s="1476"/>
      <c r="G134" s="1475"/>
      <c r="H134" s="1475"/>
      <c r="I134" s="1475"/>
      <c r="J134" s="1475"/>
      <c r="K134" s="1476"/>
      <c r="L134" s="1475"/>
      <c r="M134" s="1475"/>
      <c r="N134" s="1475"/>
      <c r="O134" s="1475"/>
      <c r="P134" s="1476"/>
      <c r="Q134" s="1475"/>
      <c r="R134" s="1475"/>
      <c r="S134" s="1475"/>
      <c r="T134" s="1475"/>
      <c r="U134" s="1476"/>
      <c r="V134" s="1475"/>
      <c r="W134" s="1475"/>
      <c r="X134" s="1475"/>
      <c r="Y134" s="1475"/>
      <c r="Z134" s="1476"/>
      <c r="AA134" s="1475"/>
      <c r="AB134" s="1475"/>
      <c r="AC134" s="1475"/>
      <c r="AD134" s="1475"/>
      <c r="AE134" s="1489"/>
      <c r="AF134" s="1488"/>
      <c r="AG134" s="1488"/>
      <c r="AH134" s="1488"/>
      <c r="AI134" s="1488"/>
      <c r="AJ134" s="1489"/>
      <c r="AK134" s="1488"/>
      <c r="AL134" s="1488"/>
      <c r="AM134" s="1488"/>
      <c r="AN134" s="1488"/>
      <c r="AO134" s="1489"/>
      <c r="AP134" s="1488"/>
      <c r="AQ134" s="1488"/>
      <c r="AR134" s="1488"/>
      <c r="AS134" s="1488"/>
      <c r="AT134" s="1489"/>
      <c r="AU134" s="1488">
        <f>'Rev Overview'!BU32</f>
        <v>20910</v>
      </c>
      <c r="AV134" s="1488">
        <f>'Rev Overview'!BV32</f>
        <v>25253</v>
      </c>
      <c r="AW134" s="1488">
        <f>'Rev Overview'!BW32</f>
        <v>21517</v>
      </c>
      <c r="AX134" s="1488">
        <f>'Rev Overview'!BX32</f>
        <v>23474</v>
      </c>
      <c r="AY134" s="1489">
        <f>'Rev Overview'!BY32</f>
        <v>91154</v>
      </c>
      <c r="AZ134" s="1488">
        <f>'Rev Overview'!BZ32</f>
        <v>21928</v>
      </c>
      <c r="BA134" s="1488">
        <f>'Rev Overview'!CA32</f>
        <v>25826</v>
      </c>
      <c r="BB134" s="1488">
        <f>'Rev Overview'!CB32</f>
        <v>23212</v>
      </c>
      <c r="BC134" s="1488">
        <f>'Rev Overview'!CC32</f>
        <v>25605</v>
      </c>
      <c r="BD134" s="1489">
        <f>'Rev Overview'!CD32</f>
        <v>96571</v>
      </c>
      <c r="BE134" s="1488">
        <f>'Rev Overview'!CE32</f>
        <v>24538</v>
      </c>
      <c r="BF134" s="1488">
        <f>'Rev Overview'!CF32</f>
        <v>28918</v>
      </c>
      <c r="BG134" s="1488">
        <f>'Rev Overview'!CG32</f>
        <v>26819</v>
      </c>
      <c r="BH134" s="1488">
        <f>'Rev Overview'!CH32</f>
        <v>29195.5462989398</v>
      </c>
      <c r="BI134" s="1489">
        <f>'Rev Overview'!CI32</f>
        <v>109470.54629893979</v>
      </c>
      <c r="BJ134" s="1488">
        <f>'Rev Overview'!CJ32</f>
        <v>27735.172906742351</v>
      </c>
      <c r="BK134" s="1488">
        <f>'Rev Overview'!CK32</f>
        <v>32199.916918887284</v>
      </c>
      <c r="BL134" s="1488">
        <f>'Rev Overview'!CL32</f>
        <v>29957.026778955264</v>
      </c>
      <c r="BM134" s="1488">
        <f>'Rev Overview'!CM32</f>
        <v>32642.118087953073</v>
      </c>
      <c r="BN134" s="1489">
        <f>'Rev Overview'!CN32</f>
        <v>122534.23469253797</v>
      </c>
      <c r="BO134" s="1488">
        <f>'Rev Overview'!CO32</f>
        <v>31115.926472859042</v>
      </c>
      <c r="BP134" s="1488">
        <f>'Rev Overview'!CP32</f>
        <v>35617.687698203823</v>
      </c>
      <c r="BQ134" s="1488">
        <f>'Rev Overview'!CQ32</f>
        <v>33967.374251287059</v>
      </c>
      <c r="BR134" s="1488">
        <f>'Rev Overview'!CR32</f>
        <v>37014.075433360435</v>
      </c>
      <c r="BS134" s="1489">
        <f>'Rev Overview'!CS32</f>
        <v>137715.06385571035</v>
      </c>
      <c r="BT134" s="1488">
        <f>'Rev Overview'!CT32</f>
        <v>34831.269258138069</v>
      </c>
      <c r="BU134" s="1488">
        <f>'Rev Overview'!CU32</f>
        <v>39116.018736833961</v>
      </c>
      <c r="BV134" s="1488">
        <f>'Rev Overview'!CV32</f>
        <v>37958.862358815873</v>
      </c>
      <c r="BW134" s="1488">
        <f>'Rev Overview'!CW32</f>
        <v>41295.683517201003</v>
      </c>
      <c r="BX134" s="1489">
        <f>'Rev Overview'!CX32</f>
        <v>153201.83387098892</v>
      </c>
      <c r="BY134" s="1343"/>
      <c r="BZ134" s="1489"/>
      <c r="CA134" s="1489"/>
      <c r="CB134" s="1489">
        <f>SUM(AM134:AN134,AP134:AQ134)</f>
        <v>0</v>
      </c>
      <c r="CC134" s="1489">
        <f>SUM(AR134:AS134,AU134:AV134)</f>
        <v>46163</v>
      </c>
      <c r="CD134" s="1489">
        <f>SUM(AW134:AX134,AZ134:BA134)</f>
        <v>92745</v>
      </c>
      <c r="CE134" s="1489">
        <f>SUM(BB134:BC134,BE134:BF134)</f>
        <v>102273</v>
      </c>
      <c r="CF134" s="1489">
        <f>SUM(BG134:BH134,BJ134:BK134)</f>
        <v>115949.63612456943</v>
      </c>
      <c r="CG134" s="1489">
        <f>SUM(BL134:BM134,BO134:BP134)</f>
        <v>129332.75903797119</v>
      </c>
      <c r="CH134" s="1489">
        <f>SUM(BQ134:BR134,BT134:BU134)</f>
        <v>144928.73767961952</v>
      </c>
    </row>
    <row r="135" spans="1:86">
      <c r="A135" s="1509" t="s">
        <v>926</v>
      </c>
      <c r="B135" s="1510"/>
      <c r="C135" s="1510"/>
      <c r="D135" s="1510"/>
      <c r="E135" s="1510"/>
      <c r="F135" s="1511"/>
      <c r="G135" s="1510"/>
      <c r="H135" s="1510"/>
      <c r="I135" s="1510"/>
      <c r="J135" s="1510"/>
      <c r="K135" s="1511"/>
      <c r="L135" s="1510"/>
      <c r="M135" s="1510"/>
      <c r="N135" s="1510"/>
      <c r="O135" s="1510"/>
      <c r="P135" s="1511"/>
      <c r="Q135" s="1510"/>
      <c r="R135" s="1510"/>
      <c r="S135" s="1510"/>
      <c r="T135" s="1510"/>
      <c r="U135" s="1511"/>
      <c r="V135" s="1510"/>
      <c r="W135" s="1510"/>
      <c r="X135" s="1510"/>
      <c r="Y135" s="1510"/>
      <c r="Z135" s="1511"/>
      <c r="AA135" s="1512"/>
      <c r="AB135" s="1512"/>
      <c r="AC135" s="1512"/>
      <c r="AD135" s="1512"/>
      <c r="AE135" s="1511"/>
      <c r="AF135" s="1512"/>
      <c r="AG135" s="1512"/>
      <c r="AH135" s="1512"/>
      <c r="AI135" s="1512"/>
      <c r="AJ135" s="1513"/>
      <c r="AK135" s="1512"/>
      <c r="AL135" s="1512"/>
      <c r="AM135" s="1512"/>
      <c r="AN135" s="1512"/>
      <c r="AO135" s="1513"/>
      <c r="AP135" s="1512"/>
      <c r="AQ135" s="1512"/>
      <c r="AR135" s="1512"/>
      <c r="AS135" s="1512"/>
      <c r="AT135" s="1513"/>
      <c r="AU135" s="1512"/>
      <c r="AV135" s="1512"/>
      <c r="AW135" s="1512"/>
      <c r="AX135" s="1512"/>
      <c r="AY135" s="1513"/>
      <c r="AZ135" s="1512">
        <f t="shared" ref="AZ135:BS135" si="283">IF(ISERROR(AZ134/AU134-1),,(AZ134/AU134-1))</f>
        <v>4.8684839789574275E-2</v>
      </c>
      <c r="BA135" s="1512">
        <f t="shared" si="283"/>
        <v>2.2690373420979792E-2</v>
      </c>
      <c r="BB135" s="1512">
        <f t="shared" si="283"/>
        <v>7.8774922154575489E-2</v>
      </c>
      <c r="BC135" s="1512">
        <f t="shared" si="283"/>
        <v>9.0781289937803544E-2</v>
      </c>
      <c r="BD135" s="1513">
        <f t="shared" si="283"/>
        <v>5.9426903920837271E-2</v>
      </c>
      <c r="BE135" s="1512">
        <f t="shared" si="283"/>
        <v>0.11902590295512594</v>
      </c>
      <c r="BF135" s="1512">
        <f t="shared" si="283"/>
        <v>0.11972430883605667</v>
      </c>
      <c r="BG135" s="1512">
        <f t="shared" si="283"/>
        <v>0.15539376184732046</v>
      </c>
      <c r="BH135" s="1512">
        <f t="shared" si="283"/>
        <v>0.14022832645732475</v>
      </c>
      <c r="BI135" s="1513">
        <f t="shared" si="283"/>
        <v>0.13357577636081008</v>
      </c>
      <c r="BJ135" s="1512">
        <f t="shared" si="283"/>
        <v>0.13029476349915847</v>
      </c>
      <c r="BK135" s="1512">
        <f t="shared" si="283"/>
        <v>0.11349045296657034</v>
      </c>
      <c r="BL135" s="1512">
        <f t="shared" si="283"/>
        <v>0.11700759830550211</v>
      </c>
      <c r="BM135" s="1512">
        <f t="shared" si="283"/>
        <v>0.11805128610107318</v>
      </c>
      <c r="BN135" s="1513">
        <f t="shared" si="283"/>
        <v>0.11933518955796685</v>
      </c>
      <c r="BO135" s="1512">
        <f t="shared" si="283"/>
        <v>0.12189408652631251</v>
      </c>
      <c r="BP135" s="1512">
        <f t="shared" si="283"/>
        <v>0.10614222353200553</v>
      </c>
      <c r="BQ135" s="1512">
        <f t="shared" si="283"/>
        <v>0.13387000992865739</v>
      </c>
      <c r="BR135" s="1512">
        <f t="shared" si="283"/>
        <v>0.13393608017798564</v>
      </c>
      <c r="BS135" s="1513">
        <f t="shared" si="283"/>
        <v>0.12389051273110741</v>
      </c>
      <c r="BT135" s="1512">
        <f t="shared" ref="BT135" si="284">IF(ISERROR(BT134/BO134-1),,(BT134/BO134-1))</f>
        <v>0.11940325121026829</v>
      </c>
      <c r="BU135" s="1512">
        <f t="shared" ref="BU135" si="285">IF(ISERROR(BU134/BP134-1),,(BU134/BP134-1))</f>
        <v>9.8218926177135124E-2</v>
      </c>
      <c r="BV135" s="1512">
        <f t="shared" ref="BV135" si="286">IF(ISERROR(BV134/BQ134-1),,(BV134/BQ134-1))</f>
        <v>0.11750946888034997</v>
      </c>
      <c r="BW135" s="1512">
        <f t="shared" ref="BW135" si="287">IF(ISERROR(BW134/BR134-1),,(BW134/BR134-1))</f>
        <v>0.11567513260054563</v>
      </c>
      <c r="BX135" s="1513">
        <f t="shared" ref="BX135" si="288">IF(ISERROR(BX134/BS134-1),,(BX134/BS134-1))</f>
        <v>0.112455163448965</v>
      </c>
      <c r="BY135" s="1438"/>
      <c r="BZ135" s="1513"/>
      <c r="CA135" s="1513"/>
      <c r="CB135" s="1513"/>
      <c r="CC135" s="1513" t="e">
        <f t="shared" ref="CC135:CH135" si="289">CC134/CB134-1</f>
        <v>#DIV/0!</v>
      </c>
      <c r="CD135" s="1513">
        <f t="shared" si="289"/>
        <v>1.0090765331542579</v>
      </c>
      <c r="CE135" s="1513">
        <f t="shared" si="289"/>
        <v>0.10273330098657607</v>
      </c>
      <c r="CF135" s="1513">
        <f t="shared" si="289"/>
        <v>0.13372675216889518</v>
      </c>
      <c r="CG135" s="1513">
        <f t="shared" si="289"/>
        <v>0.11542186211799521</v>
      </c>
      <c r="CH135" s="1513">
        <f t="shared" si="289"/>
        <v>0.12058799918642005</v>
      </c>
    </row>
    <row r="136" spans="1:86">
      <c r="A136" s="1509" t="s">
        <v>952</v>
      </c>
      <c r="B136" s="1510"/>
      <c r="C136" s="1510"/>
      <c r="D136" s="1510"/>
      <c r="E136" s="1510"/>
      <c r="F136" s="1511"/>
      <c r="G136" s="1510"/>
      <c r="H136" s="1510"/>
      <c r="I136" s="1510"/>
      <c r="J136" s="1510"/>
      <c r="K136" s="1511"/>
      <c r="L136" s="1510"/>
      <c r="M136" s="1510"/>
      <c r="N136" s="1510"/>
      <c r="O136" s="1510"/>
      <c r="P136" s="1511"/>
      <c r="Q136" s="1510"/>
      <c r="R136" s="1510"/>
      <c r="S136" s="1510"/>
      <c r="T136" s="1510"/>
      <c r="U136" s="1511"/>
      <c r="V136" s="1510"/>
      <c r="W136" s="1510"/>
      <c r="X136" s="1510"/>
      <c r="Y136" s="1510"/>
      <c r="Z136" s="1511"/>
      <c r="AA136" s="1514"/>
      <c r="AB136" s="1512"/>
      <c r="AC136" s="1512"/>
      <c r="AD136" s="1512"/>
      <c r="AE136" s="1511"/>
      <c r="AF136" s="1512"/>
      <c r="AG136" s="1512"/>
      <c r="AH136" s="1512"/>
      <c r="AI136" s="1512"/>
      <c r="AJ136" s="1513"/>
      <c r="AK136" s="1512"/>
      <c r="AL136" s="1512"/>
      <c r="AM136" s="1512"/>
      <c r="AN136" s="1512"/>
      <c r="AO136" s="1515"/>
      <c r="AP136" s="1512"/>
      <c r="AQ136" s="1512"/>
      <c r="AR136" s="1512"/>
      <c r="AS136" s="1512"/>
      <c r="AT136" s="1515"/>
      <c r="AU136" s="1512"/>
      <c r="AV136" s="1512">
        <f>IF(ISERROR(AV134/AU134-1),,(AV134/AU134-1))</f>
        <v>0.2076996652319465</v>
      </c>
      <c r="AW136" s="1512">
        <f>IF(ISERROR(AW134/AV134-1),,(AW134/AV134-1))</f>
        <v>-0.14794281867500891</v>
      </c>
      <c r="AX136" s="1512">
        <f>IF(ISERROR(AX134/AW134-1),,(AX134/AW134-1))</f>
        <v>9.0951340800297542E-2</v>
      </c>
      <c r="AY136" s="1515">
        <f>(AY134+AY294)</f>
        <v>91496.669219935226</v>
      </c>
      <c r="AZ136" s="1512">
        <f>IF(ISERROR(AZ134/AX134-1),,(AZ134/AX134-1))</f>
        <v>-6.5860100536764055E-2</v>
      </c>
      <c r="BA136" s="1512">
        <f>IF(ISERROR(BA134/AZ134-1),,(BA134/AZ134-1))</f>
        <v>0.1777635899306822</v>
      </c>
      <c r="BB136" s="1512">
        <f>IF(ISERROR(BB134/BA134-1),,(BB134/BA134-1))</f>
        <v>-0.1012158290095253</v>
      </c>
      <c r="BC136" s="1512">
        <f>IF(ISERROR(BC134/BB134-1),,(BC134/BB134-1))</f>
        <v>0.10309322764087536</v>
      </c>
      <c r="BD136" s="1513"/>
      <c r="BE136" s="1512">
        <f>IF(ISERROR(BE134/BC134-1),,(BE134/BC134-1))</f>
        <v>-4.1671548525678559E-2</v>
      </c>
      <c r="BF136" s="1512">
        <f>IF(ISERROR(BF134/BE134-1),,(BF134/BE134-1))</f>
        <v>0.17849865514711882</v>
      </c>
      <c r="BG136" s="1512">
        <f>IF(ISERROR(BG134/BF134-1),,(BG134/BF134-1))</f>
        <v>-7.2584549415588895E-2</v>
      </c>
      <c r="BH136" s="1512">
        <f>IF(ISERROR(BH134/BG134-1),,(BH134/BG134-1))</f>
        <v>8.8614277152011534E-2</v>
      </c>
      <c r="BI136" s="1513"/>
      <c r="BJ136" s="1512">
        <f>IF(ISERROR(BJ134/BH134-1),,(BJ134/BH134-1))</f>
        <v>-5.0020416718507543E-2</v>
      </c>
      <c r="BK136" s="1512">
        <f>IF(ISERROR(BK134/BJ134-1),,(BK134/BJ134-1))</f>
        <v>0.16097768804821699</v>
      </c>
      <c r="BL136" s="1512">
        <f>IF(ISERROR(BL134/BK134-1),,(BL134/BK134-1))</f>
        <v>-6.9655153011168869E-2</v>
      </c>
      <c r="BM136" s="1512">
        <f>IF(ISERROR(BM134/BL134-1),,(BM134/BL134-1))</f>
        <v>8.9631435349387889E-2</v>
      </c>
      <c r="BN136" s="1513"/>
      <c r="BO136" s="1512">
        <f>IF(ISERROR(BO134/BM134-1),,(BO134/BM134-1))</f>
        <v>-4.6755287478029484E-2</v>
      </c>
      <c r="BP136" s="1512">
        <f>IF(ISERROR(BP134/BO134-1),,(BP134/BO134-1))</f>
        <v>0.14467707491439974</v>
      </c>
      <c r="BQ136" s="1512">
        <f>IF(ISERROR(BQ134/BP134-1),,(BQ134/BP134-1))</f>
        <v>-4.6334098409200997E-2</v>
      </c>
      <c r="BR136" s="1512">
        <f>IF(ISERROR(BR134/BQ134-1),,(BR134/BQ134-1))</f>
        <v>8.9694927830870963E-2</v>
      </c>
      <c r="BS136" s="1513"/>
      <c r="BT136" s="1512">
        <f>IF(ISERROR(BT134/BR134-1),,(BT134/BR134-1))</f>
        <v>-5.8972327409670289E-2</v>
      </c>
      <c r="BU136" s="1512">
        <f>IF(ISERROR(BU134/BT134-1),,(BU134/BT134-1))</f>
        <v>0.1230144513810616</v>
      </c>
      <c r="BV136" s="1512">
        <f>IF(ISERROR(BV134/BU134-1),,(BV134/BU134-1))</f>
        <v>-2.9582672659077103E-2</v>
      </c>
      <c r="BW136" s="1512">
        <f>IF(ISERROR(BW134/BV134-1),,(BW134/BV134-1))</f>
        <v>8.7906247738485321E-2</v>
      </c>
      <c r="BX136" s="1513"/>
      <c r="BY136" s="1438"/>
      <c r="BZ136" s="1513"/>
      <c r="CA136" s="1513"/>
      <c r="CB136" s="1513"/>
      <c r="CC136" s="1513"/>
      <c r="CD136" s="1513"/>
      <c r="CE136" s="1513"/>
      <c r="CF136" s="1513"/>
      <c r="CG136" s="1513"/>
      <c r="CH136" s="1513"/>
    </row>
    <row r="137" spans="1:86" ht="13.5" thickBot="1">
      <c r="A137" s="1516" t="s">
        <v>953</v>
      </c>
      <c r="B137" s="1493"/>
      <c r="C137" s="1493"/>
      <c r="D137" s="1493"/>
      <c r="E137" s="1493"/>
      <c r="F137" s="1494"/>
      <c r="G137" s="1493"/>
      <c r="H137" s="1493"/>
      <c r="I137" s="1493"/>
      <c r="J137" s="1493"/>
      <c r="K137" s="1494"/>
      <c r="L137" s="1493"/>
      <c r="M137" s="1493"/>
      <c r="N137" s="1493"/>
      <c r="O137" s="1493"/>
      <c r="P137" s="1494"/>
      <c r="Q137" s="1493"/>
      <c r="R137" s="1493"/>
      <c r="S137" s="1493"/>
      <c r="T137" s="1493"/>
      <c r="U137" s="1494"/>
      <c r="V137" s="1493"/>
      <c r="W137" s="1493"/>
      <c r="X137" s="1493"/>
      <c r="Y137" s="1493"/>
      <c r="Z137" s="1494"/>
      <c r="AA137" s="1493"/>
      <c r="AB137" s="1493"/>
      <c r="AC137" s="1493"/>
      <c r="AD137" s="1493"/>
      <c r="AE137" s="1494"/>
      <c r="AF137" s="1491"/>
      <c r="AG137" s="1517"/>
      <c r="AH137" s="1517"/>
      <c r="AI137" s="1517"/>
      <c r="AJ137" s="1518"/>
      <c r="AK137" s="1517"/>
      <c r="AL137" s="1517"/>
      <c r="AM137" s="1517"/>
      <c r="AN137" s="1517"/>
      <c r="AO137" s="1518"/>
      <c r="AP137" s="1517"/>
      <c r="AQ137" s="1517"/>
      <c r="AR137" s="1517"/>
      <c r="AS137" s="1517"/>
      <c r="AT137" s="1518"/>
      <c r="AU137" s="1517"/>
      <c r="AV137" s="1517"/>
      <c r="AW137" s="1517"/>
      <c r="AX137" s="1517"/>
      <c r="AY137" s="1518"/>
      <c r="AZ137" s="1517"/>
      <c r="BA137" s="1517">
        <f>AVERAGE(AV136,AQ136,AL136)</f>
        <v>0.2076996652319465</v>
      </c>
      <c r="BB137" s="1517">
        <f>AVERAGE(AW136,AR136,AM136)</f>
        <v>-0.14794281867500891</v>
      </c>
      <c r="BC137" s="1517">
        <f>AVERAGE(AX136,AS136,AN136)</f>
        <v>9.0951340800297542E-2</v>
      </c>
      <c r="BD137" s="1518"/>
      <c r="BE137" s="1517">
        <f>AVERAGE(AZ136,AU136,AP136)</f>
        <v>-6.5860100536764055E-2</v>
      </c>
      <c r="BF137" s="1517">
        <f>AVERAGE(BA136,AV136,AQ136)</f>
        <v>0.19273162758131435</v>
      </c>
      <c r="BG137" s="1517">
        <f>AVERAGE(BB136,AW136,AR136)</f>
        <v>-0.12457932384226711</v>
      </c>
      <c r="BH137" s="1517">
        <f>AVERAGE(BC136,AX136,AS136)</f>
        <v>9.7022284220586452E-2</v>
      </c>
      <c r="BI137" s="1518"/>
      <c r="BJ137" s="1517">
        <f>AVERAGE(BE136,AZ136,AU136)</f>
        <v>-5.3765824531221307E-2</v>
      </c>
      <c r="BK137" s="1517">
        <f>AVERAGE(BF136,BA136,AV136)</f>
        <v>0.18798730343658251</v>
      </c>
      <c r="BL137" s="1517">
        <f>AVERAGE(BG136,BB136,AW136)</f>
        <v>-0.1072477323667077</v>
      </c>
      <c r="BM137" s="1517">
        <f>AVERAGE(BH136,BC136,AX136)</f>
        <v>9.4219615197728146E-2</v>
      </c>
      <c r="BN137" s="1518"/>
      <c r="BO137" s="1517">
        <f>AVERAGE(BJ136,BE136,AZ136)</f>
        <v>-5.2517355260316721E-2</v>
      </c>
      <c r="BP137" s="1517">
        <f>AVERAGE(BK136,BF136,BA136)</f>
        <v>0.172413311042006</v>
      </c>
      <c r="BQ137" s="1517">
        <f>AVERAGE(BL136,BG136,BB136)</f>
        <v>-8.1151843812094351E-2</v>
      </c>
      <c r="BR137" s="1517">
        <f>AVERAGE(BM136,BH136,BC136)</f>
        <v>9.37796467140916E-2</v>
      </c>
      <c r="BS137" s="1518"/>
      <c r="BT137" s="1517">
        <f>AVERAGE(BO136,BJ136,BE136)</f>
        <v>-4.6149084240738526E-2</v>
      </c>
      <c r="BU137" s="1517">
        <f>AVERAGE(BP136,BK136,BF136)</f>
        <v>0.16138447270324519</v>
      </c>
      <c r="BV137" s="1517">
        <f>AVERAGE(BQ136,BL136,BG136)</f>
        <v>-6.2857933611986258E-2</v>
      </c>
      <c r="BW137" s="1517">
        <f>AVERAGE(BR136,BM136,BH136)</f>
        <v>8.9313546777423466E-2</v>
      </c>
      <c r="BX137" s="1518"/>
      <c r="BY137" s="1438"/>
      <c r="BZ137" s="1518"/>
      <c r="CA137" s="1518"/>
      <c r="CB137" s="1518"/>
      <c r="CC137" s="1518"/>
      <c r="CD137" s="1518"/>
      <c r="CE137" s="1518"/>
      <c r="CF137" s="1518"/>
      <c r="CG137" s="1518"/>
      <c r="CH137" s="1518"/>
    </row>
    <row r="138" spans="1:86" ht="13.5" thickBot="1">
      <c r="A138" s="1435"/>
      <c r="B138" s="1436"/>
      <c r="C138" s="1436"/>
      <c r="D138" s="1436"/>
      <c r="E138" s="1436"/>
      <c r="F138" s="1437"/>
      <c r="G138" s="1436"/>
      <c r="H138" s="1436"/>
      <c r="I138" s="1436"/>
      <c r="J138" s="1436"/>
      <c r="K138" s="1437"/>
      <c r="L138" s="1436"/>
      <c r="M138" s="1436"/>
      <c r="N138" s="1436"/>
      <c r="O138" s="1436"/>
      <c r="P138" s="1437"/>
      <c r="Q138" s="1436"/>
      <c r="R138" s="1436"/>
      <c r="S138" s="1436"/>
      <c r="T138" s="1436"/>
      <c r="U138" s="1437"/>
      <c r="V138" s="1436"/>
      <c r="W138" s="1436"/>
      <c r="X138" s="1436"/>
      <c r="Y138" s="1436"/>
      <c r="Z138" s="1437"/>
      <c r="AA138" s="1436"/>
      <c r="AB138" s="1436"/>
      <c r="AC138" s="1436"/>
      <c r="AD138" s="1436"/>
      <c r="AE138" s="1437"/>
      <c r="AF138" s="1432"/>
      <c r="AG138" s="1430"/>
      <c r="AH138" s="1430"/>
      <c r="AI138" s="1430"/>
      <c r="AJ138" s="1433"/>
      <c r="AK138" s="1430"/>
      <c r="AL138" s="1430"/>
      <c r="AM138" s="1430"/>
      <c r="AN138" s="1430"/>
      <c r="AO138" s="1433"/>
      <c r="AP138" s="1430"/>
      <c r="AQ138" s="1430"/>
      <c r="AR138" s="1430"/>
      <c r="AS138" s="1430"/>
      <c r="AT138" s="1433"/>
      <c r="AU138" s="1430"/>
      <c r="AV138" s="1430"/>
      <c r="AW138" s="1430"/>
      <c r="AX138" s="1430"/>
      <c r="AY138" s="1433"/>
      <c r="AZ138" s="1430"/>
      <c r="BA138" s="1430"/>
      <c r="BB138" s="1430"/>
      <c r="BC138" s="1430"/>
      <c r="BD138" s="1433"/>
      <c r="BE138" s="1430"/>
      <c r="BF138" s="1430"/>
      <c r="BG138" s="1430"/>
      <c r="BH138" s="1430"/>
      <c r="BI138" s="1433"/>
      <c r="BJ138" s="1430"/>
      <c r="BK138" s="1430"/>
      <c r="BL138" s="1430"/>
      <c r="BM138" s="1430"/>
      <c r="BN138" s="1433"/>
      <c r="BO138" s="1430"/>
      <c r="BP138" s="1430"/>
      <c r="BQ138" s="1430"/>
      <c r="BR138" s="1430"/>
      <c r="BS138" s="1433"/>
      <c r="BT138" s="1430"/>
      <c r="BU138" s="1430"/>
      <c r="BV138" s="1430"/>
      <c r="BW138" s="1430"/>
      <c r="BX138" s="1433"/>
      <c r="BY138" s="1438"/>
      <c r="BZ138" s="1433"/>
      <c r="CA138" s="1433"/>
      <c r="CB138" s="1433"/>
      <c r="CC138" s="1433"/>
      <c r="CD138" s="1433"/>
      <c r="CE138" s="1433"/>
      <c r="CF138" s="1433"/>
      <c r="CG138" s="1433"/>
      <c r="CH138" s="1433"/>
    </row>
    <row r="139" spans="1:86" ht="13.5" thickBot="1">
      <c r="A139" s="982" t="s">
        <v>1084</v>
      </c>
      <c r="B139" s="983"/>
      <c r="C139" s="983"/>
      <c r="D139" s="983"/>
      <c r="E139" s="983"/>
      <c r="F139" s="1008"/>
      <c r="G139" s="983"/>
      <c r="H139" s="983"/>
      <c r="I139" s="983"/>
      <c r="J139" s="983"/>
      <c r="K139" s="1008"/>
      <c r="L139" s="983"/>
      <c r="M139" s="983"/>
      <c r="N139" s="983"/>
      <c r="O139" s="983"/>
      <c r="P139" s="1008"/>
      <c r="Q139" s="983"/>
      <c r="R139" s="983"/>
      <c r="S139" s="983"/>
      <c r="T139" s="983"/>
      <c r="U139" s="1008"/>
      <c r="V139" s="983"/>
      <c r="W139" s="983"/>
      <c r="X139" s="983"/>
      <c r="Y139" s="983"/>
      <c r="Z139" s="1008"/>
      <c r="AA139" s="983"/>
      <c r="AB139" s="983"/>
      <c r="AC139" s="983"/>
      <c r="AD139" s="983"/>
      <c r="AE139" s="1008"/>
      <c r="AF139" s="984"/>
      <c r="AG139" s="984"/>
      <c r="AH139" s="984"/>
      <c r="AI139" s="984"/>
      <c r="AJ139" s="1008"/>
      <c r="AK139" s="984"/>
      <c r="AL139" s="984"/>
      <c r="AM139" s="984"/>
      <c r="AN139" s="984"/>
      <c r="AO139" s="985"/>
      <c r="AP139" s="984"/>
      <c r="AQ139" s="984"/>
      <c r="AR139" s="984"/>
      <c r="AS139" s="984"/>
      <c r="AT139" s="985"/>
      <c r="AU139" s="984"/>
      <c r="AV139" s="984"/>
      <c r="AW139" s="984"/>
      <c r="AX139" s="984"/>
      <c r="AY139" s="985"/>
      <c r="AZ139" s="984"/>
      <c r="BA139" s="984"/>
      <c r="BB139" s="984"/>
      <c r="BC139" s="984"/>
      <c r="BD139" s="985"/>
      <c r="BE139" s="984"/>
      <c r="BF139" s="984"/>
      <c r="BG139" s="984"/>
      <c r="BH139" s="984"/>
      <c r="BI139" s="985"/>
      <c r="BJ139" s="984"/>
      <c r="BK139" s="984"/>
      <c r="BL139" s="984"/>
      <c r="BM139" s="984"/>
      <c r="BN139" s="985"/>
      <c r="BO139" s="984"/>
      <c r="BP139" s="984"/>
      <c r="BQ139" s="984"/>
      <c r="BR139" s="984"/>
      <c r="BS139" s="985"/>
      <c r="BT139" s="984"/>
      <c r="BU139" s="984"/>
      <c r="BV139" s="984"/>
      <c r="BW139" s="984"/>
      <c r="BX139" s="985"/>
      <c r="BY139" s="1343"/>
      <c r="BZ139" s="985"/>
      <c r="CA139" s="985"/>
      <c r="CB139" s="985"/>
      <c r="CC139" s="985"/>
      <c r="CD139" s="985"/>
      <c r="CE139" s="985"/>
      <c r="CF139" s="985"/>
      <c r="CG139" s="985"/>
      <c r="CH139" s="985"/>
    </row>
    <row r="140" spans="1:86">
      <c r="A140" s="1050" t="s">
        <v>918</v>
      </c>
      <c r="B140" s="1051"/>
      <c r="C140" s="1051"/>
      <c r="D140" s="1051"/>
      <c r="E140" s="1051"/>
      <c r="F140" s="1052"/>
      <c r="G140" s="1051"/>
      <c r="H140" s="1051"/>
      <c r="I140" s="1051"/>
      <c r="J140" s="1051"/>
      <c r="K140" s="1052"/>
      <c r="L140" s="1051"/>
      <c r="M140" s="1051"/>
      <c r="N140" s="1051"/>
      <c r="O140" s="1051"/>
      <c r="P140" s="1052"/>
      <c r="Q140" s="1051"/>
      <c r="R140" s="1051"/>
      <c r="S140" s="1051"/>
      <c r="T140" s="1051"/>
      <c r="U140" s="1052"/>
      <c r="V140" s="1051"/>
      <c r="W140" s="1051"/>
      <c r="X140" s="1051"/>
      <c r="Y140" s="1051"/>
      <c r="Z140" s="1052"/>
      <c r="AA140" s="1051"/>
      <c r="AB140" s="1051"/>
      <c r="AC140" s="1051"/>
      <c r="AD140" s="1051"/>
      <c r="AE140" s="1052"/>
      <c r="AF140" s="1053"/>
      <c r="AG140" s="1051"/>
      <c r="AH140" s="1051"/>
      <c r="AI140" s="1051"/>
      <c r="AJ140" s="1052"/>
      <c r="AK140" s="1054"/>
      <c r="AL140" s="1051"/>
      <c r="AM140" s="1051"/>
      <c r="AN140" s="1051"/>
      <c r="AO140" s="1052"/>
      <c r="AP140" s="1054"/>
      <c r="AQ140" s="1051"/>
      <c r="AR140" s="1051"/>
      <c r="AS140" s="1051"/>
      <c r="AT140" s="1052"/>
      <c r="AU140" s="1054"/>
      <c r="AV140" s="1051"/>
      <c r="AW140" s="1051"/>
      <c r="AX140" s="1051"/>
      <c r="AY140" s="1052"/>
      <c r="AZ140" s="1054"/>
      <c r="BA140" s="1051"/>
      <c r="BB140" s="1051"/>
      <c r="BC140" s="1051"/>
      <c r="BD140" s="1052"/>
      <c r="BE140" s="1054"/>
      <c r="BF140" s="1051"/>
      <c r="BG140" s="1051"/>
      <c r="BH140" s="1051"/>
      <c r="BI140" s="1052"/>
      <c r="BJ140" s="1054"/>
      <c r="BK140" s="1051"/>
      <c r="BL140" s="1051"/>
      <c r="BM140" s="1051"/>
      <c r="BN140" s="1052"/>
      <c r="BO140" s="1054"/>
      <c r="BP140" s="1051"/>
      <c r="BQ140" s="1051"/>
      <c r="BR140" s="1051"/>
      <c r="BS140" s="1052"/>
      <c r="BT140" s="1054"/>
      <c r="BU140" s="1051"/>
      <c r="BV140" s="1051"/>
      <c r="BW140" s="1051"/>
      <c r="BX140" s="1052"/>
      <c r="BY140" s="1343"/>
      <c r="BZ140" s="1052"/>
      <c r="CA140" s="1052"/>
      <c r="CB140" s="1052"/>
      <c r="CC140" s="1052"/>
      <c r="CD140" s="1052"/>
      <c r="CE140" s="1052"/>
      <c r="CF140" s="1052"/>
      <c r="CG140" s="1052"/>
      <c r="CH140" s="1052"/>
    </row>
    <row r="141" spans="1:86">
      <c r="A141" s="1342" t="s">
        <v>1069</v>
      </c>
      <c r="AE141" s="1010"/>
      <c r="AF141" s="1178"/>
      <c r="AG141" s="1178"/>
      <c r="AH141" s="1178"/>
      <c r="AI141" s="1178"/>
      <c r="AJ141" s="1010"/>
      <c r="AK141" s="1178">
        <f t="shared" ref="AK141:BS141" si="290">AK66</f>
        <v>415</v>
      </c>
      <c r="AL141" s="1178">
        <f t="shared" si="290"/>
        <v>500</v>
      </c>
      <c r="AM141" s="1178">
        <f t="shared" si="290"/>
        <v>590</v>
      </c>
      <c r="AN141" s="1178">
        <f t="shared" si="290"/>
        <v>785</v>
      </c>
      <c r="AO141" s="1010">
        <f t="shared" si="290"/>
        <v>2290</v>
      </c>
      <c r="AP141" s="1178">
        <f t="shared" si="290"/>
        <v>933.75</v>
      </c>
      <c r="AQ141" s="1178">
        <f t="shared" si="290"/>
        <v>1050</v>
      </c>
      <c r="AR141" s="1178">
        <f t="shared" si="290"/>
        <v>1227.2</v>
      </c>
      <c r="AS141" s="1178">
        <f t="shared" si="290"/>
        <v>1397.3</v>
      </c>
      <c r="AT141" s="1010">
        <f t="shared" si="290"/>
        <v>4608.25</v>
      </c>
      <c r="AU141" s="1178">
        <f>AU66</f>
        <v>1550.0250000000001</v>
      </c>
      <c r="AV141" s="1178">
        <f t="shared" si="290"/>
        <v>1711.5</v>
      </c>
      <c r="AW141" s="1178">
        <f t="shared" si="290"/>
        <v>1889.8880000000001</v>
      </c>
      <c r="AX141" s="1178">
        <f t="shared" si="290"/>
        <v>2151.8420000000001</v>
      </c>
      <c r="AY141" s="1010">
        <f t="shared" si="290"/>
        <v>7303.255000000001</v>
      </c>
      <c r="AZ141" s="1178">
        <f t="shared" si="290"/>
        <v>2340.53775</v>
      </c>
      <c r="BA141" s="1178">
        <f t="shared" si="290"/>
        <v>2515.9049999999997</v>
      </c>
      <c r="BB141" s="1178">
        <f t="shared" si="290"/>
        <v>2740.3376000000003</v>
      </c>
      <c r="BC141" s="1178">
        <f t="shared" si="290"/>
        <v>3077.1340599999999</v>
      </c>
      <c r="BD141" s="1010">
        <f t="shared" si="290"/>
        <v>10673.914410000001</v>
      </c>
      <c r="BE141" s="1178">
        <f t="shared" ref="BE141:BG141" si="291">BE66</f>
        <v>3323.5636049999998</v>
      </c>
      <c r="BF141" s="1178">
        <f t="shared" si="291"/>
        <v>3547.4260499999996</v>
      </c>
      <c r="BG141" s="1178">
        <f t="shared" ref="BG141" si="292">BG66</f>
        <v>3898.130236</v>
      </c>
      <c r="BH141" s="1178">
        <f t="shared" si="290"/>
        <v>4184.9023215999996</v>
      </c>
      <c r="BI141" s="1010">
        <f t="shared" si="290"/>
        <v>14954.022212599997</v>
      </c>
      <c r="BJ141" s="1178">
        <f t="shared" si="290"/>
        <v>4470.1930487249992</v>
      </c>
      <c r="BK141" s="1178">
        <f t="shared" si="290"/>
        <v>4735.8137767499993</v>
      </c>
      <c r="BL141" s="1178">
        <f t="shared" si="290"/>
        <v>5252.7304930099999</v>
      </c>
      <c r="BM141" s="1178">
        <f t="shared" si="290"/>
        <v>5524.0710645119998</v>
      </c>
      <c r="BN141" s="1010">
        <f t="shared" si="290"/>
        <v>19982.808382996998</v>
      </c>
      <c r="BO141" s="1178">
        <f t="shared" si="290"/>
        <v>5744.1980676116236</v>
      </c>
      <c r="BP141" s="1178">
        <f t="shared" si="290"/>
        <v>6038.1625653562487</v>
      </c>
      <c r="BQ141" s="1178">
        <f t="shared" si="290"/>
        <v>6789.1541622154245</v>
      </c>
      <c r="BR141" s="1178">
        <f t="shared" si="290"/>
        <v>6987.9498966076808</v>
      </c>
      <c r="BS141" s="1010">
        <f t="shared" si="290"/>
        <v>25559.464691790978</v>
      </c>
      <c r="BT141" s="1178">
        <f t="shared" ref="BT141:BX141" si="293">BT66</f>
        <v>7036.6426328242396</v>
      </c>
      <c r="BU141" s="1178">
        <f t="shared" si="293"/>
        <v>7306.176704081061</v>
      </c>
      <c r="BV141" s="1178">
        <f t="shared" si="293"/>
        <v>8333.6867341194338</v>
      </c>
      <c r="BW141" s="1178">
        <f t="shared" si="293"/>
        <v>8385.5398759292166</v>
      </c>
      <c r="BX141" s="1010">
        <f t="shared" si="293"/>
        <v>31062.045946953949</v>
      </c>
      <c r="BY141" s="1433"/>
      <c r="BZ141" s="1010"/>
      <c r="CA141" s="1010"/>
      <c r="CB141" s="1010">
        <f>SUM(AM141:AN141,AP141:AQ141)</f>
        <v>3358.75</v>
      </c>
      <c r="CC141" s="1010">
        <f>SUM(AR141:AS141,AU141:AV141)</f>
        <v>5886.0249999999996</v>
      </c>
      <c r="CD141" s="1010">
        <f>SUM(AW141:AX141,AZ141:BA141)</f>
        <v>8898.1727500000015</v>
      </c>
      <c r="CE141" s="1010">
        <f>SUM(BB141:BC141,BE141:BF141)</f>
        <v>12688.461315</v>
      </c>
      <c r="CF141" s="1010">
        <f>SUM(BG141:BH141,BJ141:BK141)</f>
        <v>17289.039383074996</v>
      </c>
      <c r="CG141" s="1010">
        <f>SUM(BL141:BM141,BO141:BP141)</f>
        <v>22559.162190489871</v>
      </c>
      <c r="CH141" s="1010">
        <f>SUM(BQ141:BR141,BT141:BU141)</f>
        <v>28119.923395728401</v>
      </c>
    </row>
    <row r="142" spans="1:86">
      <c r="A142" s="1456" t="s">
        <v>926</v>
      </c>
      <c r="B142" s="1453"/>
      <c r="C142" s="1453"/>
      <c r="D142" s="1453"/>
      <c r="E142" s="1453"/>
      <c r="F142" s="1454"/>
      <c r="G142" s="1453"/>
      <c r="H142" s="1453"/>
      <c r="I142" s="1453"/>
      <c r="J142" s="1453"/>
      <c r="K142" s="1454"/>
      <c r="L142" s="1453"/>
      <c r="M142" s="1453"/>
      <c r="N142" s="1453"/>
      <c r="O142" s="1453"/>
      <c r="P142" s="1454"/>
      <c r="Q142" s="1453"/>
      <c r="R142" s="1453"/>
      <c r="S142" s="1453"/>
      <c r="T142" s="1453"/>
      <c r="U142" s="1454"/>
      <c r="V142" s="1453"/>
      <c r="W142" s="1453"/>
      <c r="X142" s="1453"/>
      <c r="Y142" s="1453"/>
      <c r="Z142" s="1454"/>
      <c r="AA142" s="1453"/>
      <c r="AB142" s="1453"/>
      <c r="AC142" s="1453"/>
      <c r="AD142" s="1453"/>
      <c r="AE142" s="1454"/>
      <c r="AF142" s="1446"/>
      <c r="AG142" s="1453"/>
      <c r="AH142" s="1453"/>
      <c r="AI142" s="1453"/>
      <c r="AJ142" s="1443"/>
      <c r="AK142" s="1442"/>
      <c r="AL142" s="1442"/>
      <c r="AM142" s="1442"/>
      <c r="AN142" s="1442"/>
      <c r="AO142" s="1443"/>
      <c r="AP142" s="1442">
        <f t="shared" ref="AP142:BS142" si="294">IF(ISERROR(AP141/AK141-1),,(AP141/AK141-1))</f>
        <v>1.25</v>
      </c>
      <c r="AQ142" s="1442">
        <f t="shared" si="294"/>
        <v>1.1000000000000001</v>
      </c>
      <c r="AR142" s="1442">
        <f t="shared" si="294"/>
        <v>1.08</v>
      </c>
      <c r="AS142" s="1442">
        <f t="shared" si="294"/>
        <v>0.78</v>
      </c>
      <c r="AT142" s="1443">
        <f t="shared" si="294"/>
        <v>1.0123362445414847</v>
      </c>
      <c r="AU142" s="1442">
        <f t="shared" si="294"/>
        <v>0.66000000000000014</v>
      </c>
      <c r="AV142" s="1442">
        <f t="shared" si="294"/>
        <v>0.62999999999999989</v>
      </c>
      <c r="AW142" s="1442">
        <f t="shared" si="294"/>
        <v>0.54</v>
      </c>
      <c r="AX142" s="1442">
        <f t="shared" si="294"/>
        <v>0.54</v>
      </c>
      <c r="AY142" s="1443">
        <f t="shared" si="294"/>
        <v>0.58482178701242349</v>
      </c>
      <c r="AZ142" s="1442">
        <f t="shared" si="294"/>
        <v>0.50999999999999979</v>
      </c>
      <c r="BA142" s="1442">
        <f t="shared" si="294"/>
        <v>0.46999999999999975</v>
      </c>
      <c r="BB142" s="1442">
        <f t="shared" si="294"/>
        <v>0.44999999999999996</v>
      </c>
      <c r="BC142" s="1442">
        <f t="shared" si="294"/>
        <v>0.42999999999999994</v>
      </c>
      <c r="BD142" s="1443">
        <f t="shared" si="294"/>
        <v>0.46152837467677088</v>
      </c>
      <c r="BE142" s="1442">
        <f t="shared" si="294"/>
        <v>0.41999999999999993</v>
      </c>
      <c r="BF142" s="1442">
        <f t="shared" si="294"/>
        <v>0.40999999999999992</v>
      </c>
      <c r="BG142" s="1442">
        <f t="shared" si="294"/>
        <v>0.42249999999999988</v>
      </c>
      <c r="BH142" s="1442">
        <f t="shared" si="294"/>
        <v>0.35999999999999988</v>
      </c>
      <c r="BI142" s="1443">
        <f t="shared" si="294"/>
        <v>0.40098764503771167</v>
      </c>
      <c r="BJ142" s="1442">
        <f t="shared" si="294"/>
        <v>0.34499999999999975</v>
      </c>
      <c r="BK142" s="1442">
        <f t="shared" si="294"/>
        <v>0.33499999999999996</v>
      </c>
      <c r="BL142" s="1442">
        <f t="shared" si="294"/>
        <v>0.34749999999999992</v>
      </c>
      <c r="BM142" s="1442">
        <f t="shared" si="294"/>
        <v>0.32000000000000006</v>
      </c>
      <c r="BN142" s="1443">
        <f t="shared" si="294"/>
        <v>0.33628318180240724</v>
      </c>
      <c r="BO142" s="1442">
        <f t="shared" si="294"/>
        <v>0.28499999999999992</v>
      </c>
      <c r="BP142" s="1442">
        <f t="shared" si="294"/>
        <v>0.27499999999999991</v>
      </c>
      <c r="BQ142" s="1442">
        <f t="shared" si="294"/>
        <v>0.29249999999999998</v>
      </c>
      <c r="BR142" s="1442">
        <f t="shared" si="294"/>
        <v>0.26500000000000012</v>
      </c>
      <c r="BS142" s="1443">
        <f t="shared" si="294"/>
        <v>0.27907270098926906</v>
      </c>
      <c r="BT142" s="1442">
        <f t="shared" ref="BT142" si="295">IF(ISERROR(BT141/BO141-1),,(BT141/BO141-1))</f>
        <v>0.22500000000000009</v>
      </c>
      <c r="BU142" s="1442">
        <f t="shared" ref="BU142" si="296">IF(ISERROR(BU141/BP141-1),,(BU141/BP141-1))</f>
        <v>0.20999999999999996</v>
      </c>
      <c r="BV142" s="1442">
        <f t="shared" ref="BV142" si="297">IF(ISERROR(BV141/BQ141-1),,(BV141/BQ141-1))</f>
        <v>0.22750000000000004</v>
      </c>
      <c r="BW142" s="1442">
        <f t="shared" ref="BW142" si="298">IF(ISERROR(BW141/BR141-1),,(BW141/BR141-1))</f>
        <v>0.19999999999999996</v>
      </c>
      <c r="BX142" s="1443">
        <f t="shared" ref="BX142" si="299">IF(ISERROR(BX141/BS141-1),,(BX141/BS141-1))</f>
        <v>0.21528546554146955</v>
      </c>
      <c r="BY142" s="1520"/>
      <c r="BZ142" s="1443"/>
      <c r="CA142" s="1443"/>
      <c r="CB142" s="1443"/>
      <c r="CC142" s="1443">
        <f t="shared" ref="CC142:CH142" si="300">CC141/CB141-1</f>
        <v>0.75244510606624471</v>
      </c>
      <c r="CD142" s="1443">
        <f t="shared" si="300"/>
        <v>0.51174566027157575</v>
      </c>
      <c r="CE142" s="1443">
        <f t="shared" si="300"/>
        <v>0.42596257360816003</v>
      </c>
      <c r="CF142" s="1443">
        <f t="shared" si="300"/>
        <v>0.36257966619138449</v>
      </c>
      <c r="CG142" s="1443">
        <f t="shared" si="300"/>
        <v>0.30482450127183069</v>
      </c>
      <c r="CH142" s="1443">
        <f t="shared" si="300"/>
        <v>0.24649679621447751</v>
      </c>
    </row>
    <row r="143" spans="1:86">
      <c r="A143" s="1456" t="s">
        <v>952</v>
      </c>
      <c r="B143" s="1453"/>
      <c r="C143" s="1453"/>
      <c r="D143" s="1453"/>
      <c r="E143" s="1453"/>
      <c r="F143" s="1454"/>
      <c r="G143" s="1453"/>
      <c r="H143" s="1453"/>
      <c r="I143" s="1453"/>
      <c r="J143" s="1453"/>
      <c r="K143" s="1454"/>
      <c r="L143" s="1453"/>
      <c r="M143" s="1453"/>
      <c r="N143" s="1453"/>
      <c r="O143" s="1453"/>
      <c r="P143" s="1454"/>
      <c r="Q143" s="1453"/>
      <c r="R143" s="1453"/>
      <c r="S143" s="1453"/>
      <c r="T143" s="1453"/>
      <c r="U143" s="1454"/>
      <c r="V143" s="1453"/>
      <c r="W143" s="1453"/>
      <c r="X143" s="1453"/>
      <c r="Y143" s="1453"/>
      <c r="Z143" s="1454"/>
      <c r="AA143" s="1453"/>
      <c r="AB143" s="1453"/>
      <c r="AC143" s="1453"/>
      <c r="AD143" s="1453"/>
      <c r="AE143" s="1454"/>
      <c r="AF143" s="1446"/>
      <c r="AG143" s="1442"/>
      <c r="AH143" s="1442"/>
      <c r="AI143" s="1442"/>
      <c r="AJ143" s="1443"/>
      <c r="AK143" s="1442"/>
      <c r="AL143" s="1442"/>
      <c r="AM143" s="1442"/>
      <c r="AN143" s="1442"/>
      <c r="AO143" s="1443"/>
      <c r="AP143" s="1442">
        <f>IF(ISERROR(AP141/AN141-1),,(AP141/AN141-1))</f>
        <v>0.18949044585987251</v>
      </c>
      <c r="AQ143" s="1442">
        <f>IF(ISERROR(AQ141/AP141-1),,(AQ141/AP141-1))</f>
        <v>0.12449799196787148</v>
      </c>
      <c r="AR143" s="1442">
        <f>IF(ISERROR(AR141/AQ141-1),,(AR141/AQ141-1))</f>
        <v>0.16876190476190489</v>
      </c>
      <c r="AS143" s="1442">
        <f>IF(ISERROR(AS141/AR141-1),,(AS141/AR141-1))</f>
        <v>0.13860821382007815</v>
      </c>
      <c r="AT143" s="1443"/>
      <c r="AU143" s="1442">
        <f>IF(ISERROR(AU141/AS141-1),,(AU141/AS141-1))</f>
        <v>0.10930007872325209</v>
      </c>
      <c r="AV143" s="1442">
        <f>IF(ISERROR(AV141/AU141-1),,(AV141/AU141-1))</f>
        <v>0.1041757391009821</v>
      </c>
      <c r="AW143" s="1442">
        <f>IF(ISERROR(AW141/AV141-1),,(AW141/AV141-1))</f>
        <v>0.10422903885480572</v>
      </c>
      <c r="AX143" s="1442">
        <f>IF(ISERROR(AX141/AW141-1),,(AX141/AW141-1))</f>
        <v>0.13860821382007815</v>
      </c>
      <c r="AY143" s="1443"/>
      <c r="AZ143" s="1442">
        <f>IF(ISERROR(AZ141/AX141-1),,(AZ141/AX141-1))</f>
        <v>8.769033692994177E-2</v>
      </c>
      <c r="BA143" s="1442">
        <f>IF(ISERROR(BA141/AZ141-1),,(BA141/AZ141-1))</f>
        <v>7.4926050647976083E-2</v>
      </c>
      <c r="BB143" s="1442">
        <f>IF(ISERROR(BB141/BA141-1),,(BB141/BA141-1))</f>
        <v>8.9205514516645268E-2</v>
      </c>
      <c r="BC143" s="1442">
        <f>IF(ISERROR(BC141/BB141-1),,(BC141/BB141-1))</f>
        <v>0.12290327293980119</v>
      </c>
      <c r="BD143" s="1443"/>
      <c r="BE143" s="1442">
        <f>IF(ISERROR(BE141/BC141-1),,(BE141/BC141-1))</f>
        <v>8.0084110797564723E-2</v>
      </c>
      <c r="BF143" s="1442">
        <f>IF(ISERROR(BF141/BE141-1),,(BF141/BE141-1))</f>
        <v>6.7356148882849354E-2</v>
      </c>
      <c r="BG143" s="1442">
        <f>IF(ISERROR(BG141/BF141-1),,(BG141/BF141-1))</f>
        <v>9.8861591772998469E-2</v>
      </c>
      <c r="BH143" s="1442">
        <f>IF(ISERROR(BH141/BG141-1),,(BH141/BG141-1))</f>
        <v>7.356657377724396E-2</v>
      </c>
      <c r="BI143" s="1443"/>
      <c r="BJ143" s="1442">
        <f>IF(ISERROR(BJ141/BH141-1),,(BJ141/BH141-1))</f>
        <v>6.8171418399062045E-2</v>
      </c>
      <c r="BK143" s="1442">
        <f>IF(ISERROR(BK141/BJ141-1),,(BK141/BJ141-1))</f>
        <v>5.9420415433906415E-2</v>
      </c>
      <c r="BL143" s="1442">
        <f>IF(ISERROR(BL141/BK141-1),,(BL141/BK141-1))</f>
        <v>0.10915055798810136</v>
      </c>
      <c r="BM143" s="1442">
        <f>IF(ISERROR(BM141/BL141-1),,(BM141/BL141-1))</f>
        <v>5.1657051863422732E-2</v>
      </c>
      <c r="BN143" s="1443"/>
      <c r="BO143" s="1442">
        <f>IF(ISERROR(BO141/BM141-1),,(BO141/BM141-1))</f>
        <v>3.9848691396056513E-2</v>
      </c>
      <c r="BP143" s="1442">
        <f>IF(ISERROR(BP141/BO141-1),,(BP141/BO141-1))</f>
        <v>5.1175898582280777E-2</v>
      </c>
      <c r="BQ143" s="1442">
        <f>IF(ISERROR(BQ141/BP141-1),,(BQ141/BP141-1))</f>
        <v>0.124374193097742</v>
      </c>
      <c r="BR143" s="1442">
        <f>IF(ISERROR(BR141/BQ141-1),,(BR141/BQ141-1))</f>
        <v>2.9281369908882082E-2</v>
      </c>
      <c r="BS143" s="1443"/>
      <c r="BT143" s="1442">
        <f>IF(ISERROR(BT141/BR141-1),,(BT141/BR141-1))</f>
        <v>6.9681003637700467E-3</v>
      </c>
      <c r="BU143" s="1442">
        <f>IF(ISERROR(BU141/BT141-1),,(BU141/BT141-1))</f>
        <v>3.8304356966987418E-2</v>
      </c>
      <c r="BV143" s="1442">
        <f>IF(ISERROR(BV141/BU141-1),,(BV141/BU141-1))</f>
        <v>0.14063580332849468</v>
      </c>
      <c r="BW143" s="1442">
        <f>IF(ISERROR(BW141/BV141-1),,(BW141/BV141-1))</f>
        <v>6.2221131492126158E-3</v>
      </c>
      <c r="BX143" s="1443"/>
      <c r="BY143" s="1520"/>
      <c r="BZ143" s="1443"/>
      <c r="CA143" s="1443"/>
      <c r="CB143" s="1443"/>
      <c r="CC143" s="1443"/>
      <c r="CD143" s="1443"/>
      <c r="CE143" s="1443"/>
      <c r="CF143" s="1443"/>
      <c r="CG143" s="1443"/>
      <c r="CH143" s="1443"/>
    </row>
    <row r="144" spans="1:86">
      <c r="A144" s="1342" t="s">
        <v>1447</v>
      </c>
      <c r="AE144" s="1010"/>
      <c r="AF144" s="1178"/>
      <c r="AG144" s="1178"/>
      <c r="AH144" s="1178"/>
      <c r="AI144" s="1178"/>
      <c r="AJ144" s="1010"/>
      <c r="AK144" s="1178">
        <f>AK75</f>
        <v>0</v>
      </c>
      <c r="AL144" s="1178">
        <f t="shared" ref="AL144:BS144" si="301">AL75</f>
        <v>0</v>
      </c>
      <c r="AM144" s="1178">
        <f t="shared" si="301"/>
        <v>0</v>
      </c>
      <c r="AN144" s="1178">
        <f t="shared" si="301"/>
        <v>0</v>
      </c>
      <c r="AO144" s="1010">
        <f t="shared" si="301"/>
        <v>0</v>
      </c>
      <c r="AP144" s="1178">
        <f t="shared" si="301"/>
        <v>26</v>
      </c>
      <c r="AQ144" s="1178">
        <f t="shared" si="301"/>
        <v>28</v>
      </c>
      <c r="AR144" s="1178">
        <f t="shared" si="301"/>
        <v>31</v>
      </c>
      <c r="AS144" s="1178">
        <f t="shared" si="301"/>
        <v>33</v>
      </c>
      <c r="AT144" s="1010">
        <f t="shared" si="301"/>
        <v>118</v>
      </c>
      <c r="AU144" s="1178">
        <f t="shared" si="301"/>
        <v>52</v>
      </c>
      <c r="AV144" s="1178">
        <f t="shared" si="301"/>
        <v>56</v>
      </c>
      <c r="AW144" s="1178">
        <f t="shared" si="301"/>
        <v>62</v>
      </c>
      <c r="AX144" s="1178">
        <f t="shared" si="301"/>
        <v>66</v>
      </c>
      <c r="AY144" s="1010">
        <f t="shared" si="301"/>
        <v>236</v>
      </c>
      <c r="AZ144" s="1178">
        <f t="shared" si="301"/>
        <v>98.8</v>
      </c>
      <c r="BA144" s="1178">
        <f t="shared" si="301"/>
        <v>106.39999999999999</v>
      </c>
      <c r="BB144" s="1178">
        <f t="shared" si="301"/>
        <v>112.22</v>
      </c>
      <c r="BC144" s="1178">
        <f t="shared" si="301"/>
        <v>114.84</v>
      </c>
      <c r="BD144" s="1010">
        <f t="shared" si="301"/>
        <v>432.26</v>
      </c>
      <c r="BE144" s="1178">
        <f t="shared" ref="BE144:BG144" si="302">BE75</f>
        <v>167.21899999999999</v>
      </c>
      <c r="BF144" s="1178">
        <f t="shared" si="302"/>
        <v>177.68799999999999</v>
      </c>
      <c r="BG144" s="1178">
        <f t="shared" ref="BG144" si="303">BG75</f>
        <v>185.44354999999999</v>
      </c>
      <c r="BH144" s="1178">
        <f t="shared" si="301"/>
        <v>187.1892</v>
      </c>
      <c r="BI144" s="1010">
        <f t="shared" si="301"/>
        <v>717.53975000000003</v>
      </c>
      <c r="BJ144" s="1178">
        <f t="shared" si="301"/>
        <v>267.55040000000002</v>
      </c>
      <c r="BK144" s="1178">
        <f t="shared" si="301"/>
        <v>278.97015999999996</v>
      </c>
      <c r="BL144" s="1178">
        <f t="shared" si="301"/>
        <v>285.58306699999997</v>
      </c>
      <c r="BM144" s="1178">
        <f t="shared" si="301"/>
        <v>282.65569199999999</v>
      </c>
      <c r="BN144" s="1010">
        <f t="shared" si="301"/>
        <v>1114.759319</v>
      </c>
      <c r="BO144" s="1178">
        <f t="shared" si="301"/>
        <v>395.97459200000003</v>
      </c>
      <c r="BP144" s="1178">
        <f t="shared" si="301"/>
        <v>404.50673199999989</v>
      </c>
      <c r="BQ144" s="1178">
        <f t="shared" si="301"/>
        <v>405.52795513999996</v>
      </c>
      <c r="BR144" s="1178">
        <f t="shared" si="301"/>
        <v>392.89141187999991</v>
      </c>
      <c r="BS144" s="1010">
        <f t="shared" si="301"/>
        <v>1598.9006910199996</v>
      </c>
      <c r="BT144" s="1178">
        <f t="shared" ref="BT144:BX144" si="304">BT75</f>
        <v>534.56569920000004</v>
      </c>
      <c r="BU144" s="1178">
        <f t="shared" si="304"/>
        <v>529.90381891999982</v>
      </c>
      <c r="BV144" s="1178">
        <f t="shared" si="304"/>
        <v>515.02050302779992</v>
      </c>
      <c r="BW144" s="1178">
        <f t="shared" si="304"/>
        <v>483.2564366123998</v>
      </c>
      <c r="BX144" s="1010">
        <f t="shared" si="304"/>
        <v>2062.7464577601995</v>
      </c>
      <c r="BY144" s="1433"/>
      <c r="BZ144" s="1010"/>
      <c r="CA144" s="1010"/>
      <c r="CB144" s="1010">
        <f>SUM(AM144:AN144,AP144:AQ144)</f>
        <v>54</v>
      </c>
      <c r="CC144" s="1010">
        <f>SUM(AR144:AS144,AU144:AV144)</f>
        <v>172</v>
      </c>
      <c r="CD144" s="1010">
        <f>SUM(AW144:AX144,AZ144:BA144)</f>
        <v>333.2</v>
      </c>
      <c r="CE144" s="1010">
        <f>SUM(BB144:BC144,BE144:BF144)</f>
        <v>571.96699999999998</v>
      </c>
      <c r="CF144" s="1010">
        <f>SUM(BG144:BH144,BJ144:BK144)</f>
        <v>919.15331000000003</v>
      </c>
      <c r="CG144" s="1010">
        <f>SUM(BL144:BM144,BO144:BP144)</f>
        <v>1368.7200829999999</v>
      </c>
      <c r="CH144" s="1010">
        <f>SUM(BQ144:BR144,BT144:BU144)</f>
        <v>1862.8888851399997</v>
      </c>
    </row>
    <row r="145" spans="1:99">
      <c r="A145" s="1456" t="s">
        <v>926</v>
      </c>
      <c r="B145" s="1453"/>
      <c r="C145" s="1453"/>
      <c r="D145" s="1453"/>
      <c r="E145" s="1453"/>
      <c r="F145" s="1454"/>
      <c r="G145" s="1453"/>
      <c r="H145" s="1453"/>
      <c r="I145" s="1453"/>
      <c r="J145" s="1453"/>
      <c r="K145" s="1454"/>
      <c r="L145" s="1453"/>
      <c r="M145" s="1453"/>
      <c r="N145" s="1453"/>
      <c r="O145" s="1453"/>
      <c r="P145" s="1454"/>
      <c r="Q145" s="1453"/>
      <c r="R145" s="1453"/>
      <c r="S145" s="1453"/>
      <c r="T145" s="1453"/>
      <c r="U145" s="1454"/>
      <c r="V145" s="1453"/>
      <c r="W145" s="1453"/>
      <c r="X145" s="1453"/>
      <c r="Y145" s="1453"/>
      <c r="Z145" s="1454"/>
      <c r="AA145" s="1453"/>
      <c r="AB145" s="1453"/>
      <c r="AC145" s="1453"/>
      <c r="AD145" s="1453"/>
      <c r="AE145" s="1454"/>
      <c r="AF145" s="1446"/>
      <c r="AG145" s="1453"/>
      <c r="AH145" s="1453"/>
      <c r="AI145" s="1453"/>
      <c r="AJ145" s="1443"/>
      <c r="AK145" s="1442"/>
      <c r="AL145" s="1442"/>
      <c r="AM145" s="1442"/>
      <c r="AN145" s="1442"/>
      <c r="AO145" s="1443"/>
      <c r="AP145" s="1442">
        <f t="shared" ref="AP145:BS145" si="305">IF(ISERROR(AP144/AK144-1),,(AP144/AK144-1))</f>
        <v>0</v>
      </c>
      <c r="AQ145" s="1442">
        <f t="shared" si="305"/>
        <v>0</v>
      </c>
      <c r="AR145" s="1442">
        <f t="shared" si="305"/>
        <v>0</v>
      </c>
      <c r="AS145" s="1442">
        <f t="shared" si="305"/>
        <v>0</v>
      </c>
      <c r="AT145" s="1443">
        <f t="shared" si="305"/>
        <v>0</v>
      </c>
      <c r="AU145" s="1442">
        <f t="shared" si="305"/>
        <v>1</v>
      </c>
      <c r="AV145" s="1442">
        <f t="shared" si="305"/>
        <v>1</v>
      </c>
      <c r="AW145" s="1442">
        <f t="shared" si="305"/>
        <v>1</v>
      </c>
      <c r="AX145" s="1442">
        <f t="shared" si="305"/>
        <v>1</v>
      </c>
      <c r="AY145" s="1443">
        <f t="shared" si="305"/>
        <v>1</v>
      </c>
      <c r="AZ145" s="1442">
        <f t="shared" si="305"/>
        <v>0.89999999999999991</v>
      </c>
      <c r="BA145" s="1442">
        <f t="shared" si="305"/>
        <v>0.89999999999999991</v>
      </c>
      <c r="BB145" s="1442">
        <f t="shared" si="305"/>
        <v>0.81</v>
      </c>
      <c r="BC145" s="1442">
        <f t="shared" si="305"/>
        <v>0.74</v>
      </c>
      <c r="BD145" s="1443">
        <f t="shared" si="305"/>
        <v>0.83161016949152544</v>
      </c>
      <c r="BE145" s="1442">
        <f t="shared" si="305"/>
        <v>0.69249999999999989</v>
      </c>
      <c r="BF145" s="1442">
        <f t="shared" si="305"/>
        <v>0.66999999999999993</v>
      </c>
      <c r="BG145" s="1442">
        <f t="shared" si="305"/>
        <v>0.65249999999999986</v>
      </c>
      <c r="BH145" s="1442">
        <f t="shared" si="305"/>
        <v>0.62999999999999989</v>
      </c>
      <c r="BI145" s="1443">
        <f t="shared" si="305"/>
        <v>0.65997258594364516</v>
      </c>
      <c r="BJ145" s="1442">
        <f t="shared" si="305"/>
        <v>0.60000000000000031</v>
      </c>
      <c r="BK145" s="1442">
        <f t="shared" si="305"/>
        <v>0.56999999999999984</v>
      </c>
      <c r="BL145" s="1442">
        <f t="shared" si="305"/>
        <v>0.54</v>
      </c>
      <c r="BM145" s="1442">
        <f t="shared" si="305"/>
        <v>0.51</v>
      </c>
      <c r="BN145" s="1443">
        <f t="shared" si="305"/>
        <v>0.55358545502182976</v>
      </c>
      <c r="BO145" s="1442">
        <f t="shared" si="305"/>
        <v>0.48</v>
      </c>
      <c r="BP145" s="1442">
        <f t="shared" si="305"/>
        <v>0.44999999999999973</v>
      </c>
      <c r="BQ145" s="1442">
        <f t="shared" si="305"/>
        <v>0.41999999999999993</v>
      </c>
      <c r="BR145" s="1442">
        <f t="shared" si="305"/>
        <v>0.38999999999999968</v>
      </c>
      <c r="BS145" s="1443">
        <f t="shared" si="305"/>
        <v>0.43430125567759403</v>
      </c>
      <c r="BT145" s="1442">
        <f t="shared" ref="BT145" si="306">IF(ISERROR(BT144/BO144-1),,(BT144/BO144-1))</f>
        <v>0.35000000000000009</v>
      </c>
      <c r="BU145" s="1442">
        <f t="shared" ref="BU145" si="307">IF(ISERROR(BU144/BP144-1),,(BU144/BP144-1))</f>
        <v>0.30999999999999983</v>
      </c>
      <c r="BV145" s="1442">
        <f t="shared" ref="BV145" si="308">IF(ISERROR(BV144/BQ144-1),,(BV144/BQ144-1))</f>
        <v>0.27</v>
      </c>
      <c r="BW145" s="1442">
        <f t="shared" ref="BW145" si="309">IF(ISERROR(BW144/BR144-1),,(BW144/BR144-1))</f>
        <v>0.22999999999999976</v>
      </c>
      <c r="BX145" s="1443">
        <f t="shared" ref="BX145" si="310">IF(ISERROR(BX144/BS144-1),,(BX144/BS144-1))</f>
        <v>0.29010292468151677</v>
      </c>
      <c r="BY145" s="1520"/>
      <c r="BZ145" s="1443"/>
      <c r="CA145" s="1443"/>
      <c r="CB145" s="1443"/>
      <c r="CC145" s="1443">
        <f t="shared" ref="CC145:CH145" si="311">CC144/CB144-1</f>
        <v>2.1851851851851851</v>
      </c>
      <c r="CD145" s="1443">
        <f t="shared" si="311"/>
        <v>0.93720930232558142</v>
      </c>
      <c r="CE145" s="1443">
        <f t="shared" si="311"/>
        <v>0.71658763505402168</v>
      </c>
      <c r="CF145" s="1443">
        <f t="shared" si="311"/>
        <v>0.60700409289347124</v>
      </c>
      <c r="CG145" s="1443">
        <f t="shared" si="311"/>
        <v>0.48910967094270696</v>
      </c>
      <c r="CH145" s="1443">
        <f t="shared" si="311"/>
        <v>0.36104445918325867</v>
      </c>
    </row>
    <row r="146" spans="1:99">
      <c r="A146" s="1456" t="s">
        <v>952</v>
      </c>
      <c r="B146" s="1453"/>
      <c r="C146" s="1453"/>
      <c r="D146" s="1453"/>
      <c r="E146" s="1453"/>
      <c r="F146" s="1454"/>
      <c r="G146" s="1453"/>
      <c r="H146" s="1453"/>
      <c r="I146" s="1453"/>
      <c r="J146" s="1453"/>
      <c r="K146" s="1454"/>
      <c r="L146" s="1453"/>
      <c r="M146" s="1453"/>
      <c r="N146" s="1453"/>
      <c r="O146" s="1453"/>
      <c r="P146" s="1454"/>
      <c r="Q146" s="1453"/>
      <c r="R146" s="1453"/>
      <c r="S146" s="1453"/>
      <c r="T146" s="1453"/>
      <c r="U146" s="1454"/>
      <c r="V146" s="1453"/>
      <c r="W146" s="1453"/>
      <c r="X146" s="1453"/>
      <c r="Y146" s="1453"/>
      <c r="Z146" s="1454"/>
      <c r="AA146" s="1453"/>
      <c r="AB146" s="1453"/>
      <c r="AC146" s="1453"/>
      <c r="AD146" s="1453"/>
      <c r="AE146" s="1454"/>
      <c r="AF146" s="1446"/>
      <c r="AG146" s="1442"/>
      <c r="AH146" s="1442"/>
      <c r="AI146" s="1442"/>
      <c r="AJ146" s="1443"/>
      <c r="AK146" s="1442"/>
      <c r="AL146" s="1442"/>
      <c r="AM146" s="1442"/>
      <c r="AN146" s="1442"/>
      <c r="AO146" s="1443"/>
      <c r="AP146" s="1442">
        <f>IF(ISERROR(AP144/AN144-1),,(AP144/AN144-1))</f>
        <v>0</v>
      </c>
      <c r="AQ146" s="1442">
        <f>IF(ISERROR(AQ144/AP144-1),,(AQ144/AP144-1))</f>
        <v>7.6923076923076872E-2</v>
      </c>
      <c r="AR146" s="1442">
        <f>IF(ISERROR(AR144/AQ144-1),,(AR144/AQ144-1))</f>
        <v>0.10714285714285721</v>
      </c>
      <c r="AS146" s="1442">
        <f>IF(ISERROR(AS144/AR144-1),,(AS144/AR144-1))</f>
        <v>6.4516129032258007E-2</v>
      </c>
      <c r="AT146" s="1443"/>
      <c r="AU146" s="1442">
        <f>IF(ISERROR(AU144/AS144-1),,(AU144/AS144-1))</f>
        <v>0.57575757575757569</v>
      </c>
      <c r="AV146" s="1442">
        <f>IF(ISERROR(AV144/AU144-1),,(AV144/AU144-1))</f>
        <v>7.6923076923076872E-2</v>
      </c>
      <c r="AW146" s="1442">
        <f>IF(ISERROR(AW144/AV144-1),,(AW144/AV144-1))</f>
        <v>0.10714285714285721</v>
      </c>
      <c r="AX146" s="1442">
        <f>IF(ISERROR(AX144/AW144-1),,(AX144/AW144-1))</f>
        <v>6.4516129032258007E-2</v>
      </c>
      <c r="AY146" s="1443"/>
      <c r="AZ146" s="1442">
        <f>IF(ISERROR(AZ144/AX144-1),,(AZ144/AX144-1))</f>
        <v>0.49696969696969684</v>
      </c>
      <c r="BA146" s="1442">
        <f>IF(ISERROR(BA144/AZ144-1),,(BA144/AZ144-1))</f>
        <v>7.6923076923076872E-2</v>
      </c>
      <c r="BB146" s="1442">
        <f>IF(ISERROR(BB144/BA144-1),,(BB144/BA144-1))</f>
        <v>5.4699248120300803E-2</v>
      </c>
      <c r="BC146" s="1442">
        <f>IF(ISERROR(BC144/BB144-1),,(BC144/BB144-1))</f>
        <v>2.3346996970237122E-2</v>
      </c>
      <c r="BD146" s="1443"/>
      <c r="BE146" s="1442">
        <f>IF(ISERROR(BE144/BC144-1),,(BE144/BC144-1))</f>
        <v>0.45610414489724826</v>
      </c>
      <c r="BF146" s="1442">
        <f>IF(ISERROR(BF144/BE144-1),,(BF144/BE144-1))</f>
        <v>6.2606521986137809E-2</v>
      </c>
      <c r="BG146" s="1442">
        <f>IF(ISERROR(BG144/BF144-1),,(BG144/BF144-1))</f>
        <v>4.3647010490297511E-2</v>
      </c>
      <c r="BH146" s="1442">
        <f>IF(ISERROR(BH144/BG144-1),,(BH144/BG144-1))</f>
        <v>9.4133767391748613E-3</v>
      </c>
      <c r="BI146" s="1443"/>
      <c r="BJ146" s="1442">
        <f>IF(ISERROR(BJ144/BH144-1),,(BJ144/BH144-1))</f>
        <v>0.42930468210772865</v>
      </c>
      <c r="BK146" s="1442">
        <f>IF(ISERROR(BK144/BJ144-1),,(BK144/BJ144-1))</f>
        <v>4.2682649698897679E-2</v>
      </c>
      <c r="BL146" s="1442">
        <f>IF(ISERROR(BL144/BK144-1),,(BL144/BK144-1))</f>
        <v>2.3704710926788719E-2</v>
      </c>
      <c r="BM146" s="1442">
        <f>IF(ISERROR(BM144/BL144-1),,(BM144/BL144-1))</f>
        <v>-1.0250520210289604E-2</v>
      </c>
      <c r="BN146" s="1443"/>
      <c r="BO146" s="1442">
        <f>IF(ISERROR(BO144/BM144-1),,(BO144/BM144-1))</f>
        <v>0.40090790034399881</v>
      </c>
      <c r="BP146" s="1442">
        <f>IF(ISERROR(BP144/BO144-1),,(BP144/BO144-1))</f>
        <v>2.1547190583379283E-2</v>
      </c>
      <c r="BQ146" s="1442">
        <f>IF(ISERROR(BQ144/BP144-1),,(BQ144/BP144-1))</f>
        <v>2.5246134593381875E-3</v>
      </c>
      <c r="BR146" s="1442">
        <f>IF(ISERROR(BR144/BQ144-1),,(BR144/BQ144-1))</f>
        <v>-3.1160720487537152E-2</v>
      </c>
      <c r="BS146" s="1443"/>
      <c r="BT146" s="1442">
        <f>IF(ISERROR(BT144/BR144-1),,(BT144/BR144-1))</f>
        <v>0.36059400393122232</v>
      </c>
      <c r="BU146" s="1442">
        <f>IF(ISERROR(BU144/BT144-1),,(BU144/BT144-1))</f>
        <v>-8.7208743227950025E-3</v>
      </c>
      <c r="BV146" s="1442">
        <f>IF(ISERROR(BV144/BU144-1),,(BV144/BU144-1))</f>
        <v>-2.8086825119572945E-2</v>
      </c>
      <c r="BW146" s="1442">
        <f>IF(ISERROR(BW144/BV144-1),,(BW144/BV144-1))</f>
        <v>-6.1675343464307808E-2</v>
      </c>
      <c r="BX146" s="1443"/>
      <c r="BY146" s="1520"/>
      <c r="BZ146" s="1443"/>
      <c r="CA146" s="1443"/>
      <c r="CB146" s="1443"/>
      <c r="CC146" s="1443"/>
      <c r="CD146" s="1443"/>
      <c r="CE146" s="1443"/>
      <c r="CF146" s="1443"/>
      <c r="CG146" s="1443"/>
      <c r="CH146" s="1443"/>
    </row>
    <row r="147" spans="1:99">
      <c r="A147" s="1342" t="s">
        <v>919</v>
      </c>
      <c r="AE147" s="1010"/>
      <c r="AF147" s="1178"/>
      <c r="AG147" s="1178"/>
      <c r="AH147" s="1178"/>
      <c r="AI147" s="1178"/>
      <c r="AJ147" s="1010"/>
      <c r="AK147" s="1178">
        <f t="shared" ref="AK147:BS147" si="312">AK97</f>
        <v>72.463768115942031</v>
      </c>
      <c r="AL147" s="1178">
        <f t="shared" si="312"/>
        <v>83.846658888373113</v>
      </c>
      <c r="AM147" s="1178">
        <f t="shared" si="312"/>
        <v>124.75722320281905</v>
      </c>
      <c r="AN147" s="1178">
        <f t="shared" si="312"/>
        <v>141.5</v>
      </c>
      <c r="AO147" s="1010">
        <f t="shared" si="312"/>
        <v>422.56765020713419</v>
      </c>
      <c r="AP147" s="1178">
        <f t="shared" si="312"/>
        <v>166.66666666666666</v>
      </c>
      <c r="AQ147" s="1178">
        <f t="shared" si="312"/>
        <v>176.07798366558353</v>
      </c>
      <c r="AR147" s="1178">
        <f t="shared" si="312"/>
        <v>243.27658524549713</v>
      </c>
      <c r="AS147" s="1178">
        <f t="shared" si="312"/>
        <v>318.375</v>
      </c>
      <c r="AT147" s="1010">
        <f t="shared" si="312"/>
        <v>904.39623557774735</v>
      </c>
      <c r="AU147" s="1178">
        <f t="shared" si="312"/>
        <v>375</v>
      </c>
      <c r="AV147" s="1178">
        <f t="shared" si="312"/>
        <v>415.54404145077717</v>
      </c>
      <c r="AW147" s="1178">
        <f t="shared" si="312"/>
        <v>510.88082901554401</v>
      </c>
      <c r="AX147" s="1178">
        <f t="shared" si="312"/>
        <v>643.11749999999995</v>
      </c>
      <c r="AY147" s="1010">
        <f t="shared" si="312"/>
        <v>1944.5423704663212</v>
      </c>
      <c r="AZ147" s="1178">
        <f>AZ97</f>
        <v>810</v>
      </c>
      <c r="BA147" s="1178">
        <f t="shared" si="312"/>
        <v>802</v>
      </c>
      <c r="BB147" s="1178">
        <f t="shared" si="312"/>
        <v>986</v>
      </c>
      <c r="BC147" s="1178">
        <f t="shared" si="312"/>
        <v>1266.9414749999999</v>
      </c>
      <c r="BD147" s="1010">
        <f t="shared" si="312"/>
        <v>3864.9414749999996</v>
      </c>
      <c r="BE147" s="1178">
        <f t="shared" ref="BE147:BG147" si="313">BE97</f>
        <v>1539</v>
      </c>
      <c r="BF147" s="1178">
        <f t="shared" si="313"/>
        <v>1587.96</v>
      </c>
      <c r="BG147" s="1178">
        <f t="shared" ref="BG147" si="314">BG97</f>
        <v>1905.4450000000002</v>
      </c>
      <c r="BH147" s="1178">
        <f t="shared" si="312"/>
        <v>2318.5028992499997</v>
      </c>
      <c r="BI147" s="1010">
        <f t="shared" si="312"/>
        <v>7350.9078992499999</v>
      </c>
      <c r="BJ147" s="1178">
        <f t="shared" si="312"/>
        <v>2739.42</v>
      </c>
      <c r="BK147" s="1178">
        <f t="shared" si="312"/>
        <v>2794.8096</v>
      </c>
      <c r="BL147" s="1178">
        <f t="shared" si="312"/>
        <v>3334.5287500000004</v>
      </c>
      <c r="BM147" s="1178">
        <f t="shared" si="312"/>
        <v>4057.3800736874996</v>
      </c>
      <c r="BN147" s="1010">
        <f t="shared" si="312"/>
        <v>12926.1384236875</v>
      </c>
      <c r="BO147" s="1178">
        <f t="shared" si="312"/>
        <v>4492.6488000000008</v>
      </c>
      <c r="BP147" s="1178">
        <f t="shared" si="312"/>
        <v>4527.5915520000008</v>
      </c>
      <c r="BQ147" s="1178">
        <f t="shared" si="312"/>
        <v>5368.5912875000004</v>
      </c>
      <c r="BR147" s="1178">
        <f t="shared" si="312"/>
        <v>6532.3819186368737</v>
      </c>
      <c r="BS147" s="1010">
        <f t="shared" si="312"/>
        <v>20921.213558136875</v>
      </c>
      <c r="BT147" s="1178">
        <f t="shared" ref="BT147:BX147" si="315">BT97</f>
        <v>6694.0467120000012</v>
      </c>
      <c r="BU147" s="1178">
        <f t="shared" si="315"/>
        <v>6565.007750400001</v>
      </c>
      <c r="BV147" s="1178">
        <f t="shared" si="315"/>
        <v>7569.713715375</v>
      </c>
      <c r="BW147" s="1178">
        <f t="shared" si="315"/>
        <v>9210.6585052779919</v>
      </c>
      <c r="BX147" s="1010">
        <f t="shared" si="315"/>
        <v>30039.426683052996</v>
      </c>
      <c r="BY147" s="1433"/>
      <c r="BZ147" s="1010"/>
      <c r="CA147" s="1010"/>
      <c r="CB147" s="1010">
        <f>SUM(AM147:AN147,AP147:AQ147)</f>
        <v>609.00187353506931</v>
      </c>
      <c r="CC147" s="1010">
        <f>SUM(AR147:AS147,AU147:AV147)</f>
        <v>1352.1956266962743</v>
      </c>
      <c r="CD147" s="1010">
        <f>SUM(AW147:AX147,AZ147:BA147)</f>
        <v>2765.9983290155442</v>
      </c>
      <c r="CE147" s="1010">
        <f>SUM(BB147:BC147,BE147:BF147)</f>
        <v>5379.9014749999997</v>
      </c>
      <c r="CF147" s="1010">
        <f>SUM(BG147:BH147,BJ147:BK147)</f>
        <v>9758.1774992499995</v>
      </c>
      <c r="CG147" s="1010">
        <f>SUM(BL147:BM147,BO147:BP147)</f>
        <v>16412.1491756875</v>
      </c>
      <c r="CH147" s="1010">
        <f>SUM(BQ147:BR147,BT147:BU147)</f>
        <v>25160.027668536874</v>
      </c>
    </row>
    <row r="148" spans="1:99">
      <c r="A148" s="1456" t="s">
        <v>926</v>
      </c>
      <c r="B148" s="1453"/>
      <c r="C148" s="1453"/>
      <c r="D148" s="1453"/>
      <c r="E148" s="1453"/>
      <c r="F148" s="1454"/>
      <c r="G148" s="1453"/>
      <c r="H148" s="1453"/>
      <c r="I148" s="1453"/>
      <c r="J148" s="1453"/>
      <c r="K148" s="1454"/>
      <c r="L148" s="1453"/>
      <c r="M148" s="1453"/>
      <c r="N148" s="1453"/>
      <c r="O148" s="1453"/>
      <c r="P148" s="1454"/>
      <c r="Q148" s="1453"/>
      <c r="R148" s="1453"/>
      <c r="S148" s="1453"/>
      <c r="T148" s="1453"/>
      <c r="U148" s="1454"/>
      <c r="V148" s="1453"/>
      <c r="W148" s="1453"/>
      <c r="X148" s="1453"/>
      <c r="Y148" s="1453"/>
      <c r="Z148" s="1454"/>
      <c r="AA148" s="1453"/>
      <c r="AB148" s="1453"/>
      <c r="AC148" s="1453"/>
      <c r="AD148" s="1453"/>
      <c r="AE148" s="1454"/>
      <c r="AF148" s="1446"/>
      <c r="AG148" s="1453"/>
      <c r="AH148" s="1453"/>
      <c r="AI148" s="1453"/>
      <c r="AJ148" s="1443"/>
      <c r="AK148" s="1442"/>
      <c r="AL148" s="1442"/>
      <c r="AM148" s="1442"/>
      <c r="AN148" s="1442"/>
      <c r="AO148" s="1443"/>
      <c r="AP148" s="1442">
        <f t="shared" ref="AP148:BS148" si="316">IF(ISERROR(AP147/AK147-1),,(AP147/AK147-1))</f>
        <v>1.2999999999999998</v>
      </c>
      <c r="AQ148" s="1442">
        <f t="shared" si="316"/>
        <v>1.1000000000000001</v>
      </c>
      <c r="AR148" s="1442">
        <f t="shared" si="316"/>
        <v>0.95</v>
      </c>
      <c r="AS148" s="1442">
        <f t="shared" si="316"/>
        <v>1.25</v>
      </c>
      <c r="AT148" s="1443">
        <f t="shared" si="316"/>
        <v>1.1402401133509166</v>
      </c>
      <c r="AU148" s="1442">
        <f t="shared" si="316"/>
        <v>1.25</v>
      </c>
      <c r="AV148" s="1442">
        <f t="shared" si="316"/>
        <v>1.3600000000000003</v>
      </c>
      <c r="AW148" s="1442">
        <f t="shared" si="316"/>
        <v>1.1000000000000001</v>
      </c>
      <c r="AX148" s="1442">
        <f t="shared" si="316"/>
        <v>1.02</v>
      </c>
      <c r="AY148" s="1443">
        <f t="shared" si="316"/>
        <v>1.1501000269247101</v>
      </c>
      <c r="AZ148" s="1442">
        <f t="shared" si="316"/>
        <v>1.1600000000000001</v>
      </c>
      <c r="BA148" s="1442">
        <f t="shared" si="316"/>
        <v>0.93000000000000016</v>
      </c>
      <c r="BB148" s="1442">
        <f t="shared" si="316"/>
        <v>0.93000000000000016</v>
      </c>
      <c r="BC148" s="1442">
        <f t="shared" si="316"/>
        <v>0.97</v>
      </c>
      <c r="BD148" s="1443">
        <f t="shared" si="316"/>
        <v>0.98758408852420487</v>
      </c>
      <c r="BE148" s="1442">
        <f t="shared" si="316"/>
        <v>0.89999999999999991</v>
      </c>
      <c r="BF148" s="1442">
        <f t="shared" si="316"/>
        <v>0.98</v>
      </c>
      <c r="BG148" s="1442">
        <f t="shared" si="316"/>
        <v>0.93250000000000011</v>
      </c>
      <c r="BH148" s="1442">
        <f t="shared" si="316"/>
        <v>0.83000000000000007</v>
      </c>
      <c r="BI148" s="1443">
        <f t="shared" si="316"/>
        <v>0.90194546199435033</v>
      </c>
      <c r="BJ148" s="1442">
        <f t="shared" si="316"/>
        <v>0.78</v>
      </c>
      <c r="BK148" s="1442">
        <f t="shared" si="316"/>
        <v>0.76</v>
      </c>
      <c r="BL148" s="1442">
        <f t="shared" si="316"/>
        <v>0.75</v>
      </c>
      <c r="BM148" s="1442">
        <f t="shared" si="316"/>
        <v>0.75</v>
      </c>
      <c r="BN148" s="1443">
        <f t="shared" si="316"/>
        <v>0.75844107977551056</v>
      </c>
      <c r="BO148" s="1442">
        <f t="shared" si="316"/>
        <v>0.64000000000000035</v>
      </c>
      <c r="BP148" s="1442">
        <f t="shared" si="316"/>
        <v>0.62000000000000033</v>
      </c>
      <c r="BQ148" s="1442">
        <f t="shared" si="316"/>
        <v>0.60999999999999988</v>
      </c>
      <c r="BR148" s="1442">
        <f t="shared" si="316"/>
        <v>0.60999999999999988</v>
      </c>
      <c r="BS148" s="1443">
        <f t="shared" si="316"/>
        <v>0.61851999973930205</v>
      </c>
      <c r="BT148" s="1442">
        <f t="shared" ref="BT148" si="317">IF(ISERROR(BT147/BO147-1),,(BT147/BO147-1))</f>
        <v>0.49</v>
      </c>
      <c r="BU148" s="1442">
        <f t="shared" ref="BU148" si="318">IF(ISERROR(BU147/BP147-1),,(BU147/BP147-1))</f>
        <v>0.44999999999999996</v>
      </c>
      <c r="BV148" s="1442">
        <f t="shared" ref="BV148" si="319">IF(ISERROR(BV147/BQ147-1),,(BV147/BQ147-1))</f>
        <v>0.40999999999999992</v>
      </c>
      <c r="BW148" s="1442">
        <f t="shared" ref="BW148" si="320">IF(ISERROR(BW147/BR147-1),,(BW147/BR147-1))</f>
        <v>0.40999999999999992</v>
      </c>
      <c r="BX148" s="1443">
        <f t="shared" ref="BX148" si="321">IF(ISERROR(BX147/BS147-1),,(BX147/BS147-1))</f>
        <v>0.43583576543387381</v>
      </c>
      <c r="BY148" s="1520"/>
      <c r="BZ148" s="1443"/>
      <c r="CA148" s="1443"/>
      <c r="CB148" s="1443"/>
      <c r="CC148" s="1443">
        <f t="shared" ref="CC148:CH148" si="322">CC147/CB147-1</f>
        <v>1.2203472361212833</v>
      </c>
      <c r="CD148" s="1443">
        <f t="shared" si="322"/>
        <v>1.0455607712424837</v>
      </c>
      <c r="CE148" s="1443">
        <f t="shared" si="322"/>
        <v>0.94501255426093422</v>
      </c>
      <c r="CF148" s="1443">
        <f t="shared" si="322"/>
        <v>0.8138208561245075</v>
      </c>
      <c r="CG148" s="1443">
        <f t="shared" si="322"/>
        <v>0.68188672289973362</v>
      </c>
      <c r="CH148" s="1443">
        <f t="shared" si="322"/>
        <v>0.53301236780178884</v>
      </c>
    </row>
    <row r="149" spans="1:99">
      <c r="A149" s="1456" t="s">
        <v>952</v>
      </c>
      <c r="B149" s="1453"/>
      <c r="C149" s="1453"/>
      <c r="D149" s="1453"/>
      <c r="E149" s="1453"/>
      <c r="F149" s="1454"/>
      <c r="G149" s="1453"/>
      <c r="H149" s="1453"/>
      <c r="I149" s="1453"/>
      <c r="J149" s="1453"/>
      <c r="K149" s="1454"/>
      <c r="L149" s="1453"/>
      <c r="M149" s="1453"/>
      <c r="N149" s="1453"/>
      <c r="O149" s="1453"/>
      <c r="P149" s="1454"/>
      <c r="Q149" s="1453"/>
      <c r="R149" s="1453"/>
      <c r="S149" s="1453"/>
      <c r="T149" s="1453"/>
      <c r="U149" s="1454"/>
      <c r="V149" s="1453"/>
      <c r="W149" s="1453"/>
      <c r="X149" s="1453"/>
      <c r="Y149" s="1453"/>
      <c r="Z149" s="1454"/>
      <c r="AA149" s="1453"/>
      <c r="AB149" s="1453"/>
      <c r="AC149" s="1453"/>
      <c r="AD149" s="1453"/>
      <c r="AE149" s="1454"/>
      <c r="AF149" s="1446"/>
      <c r="AG149" s="1442"/>
      <c r="AH149" s="1442"/>
      <c r="AI149" s="1442"/>
      <c r="AJ149" s="1443"/>
      <c r="AK149" s="1442"/>
      <c r="AL149" s="1442"/>
      <c r="AM149" s="1442"/>
      <c r="AN149" s="1442"/>
      <c r="AO149" s="1443"/>
      <c r="AP149" s="1442">
        <f>IF(ISERROR(AP147/AN147-1),,(AP147/AN147-1))</f>
        <v>0.17785630153121312</v>
      </c>
      <c r="AQ149" s="1442">
        <f>IF(ISERROR(AQ147/AP147-1),,(AQ147/AP147-1))</f>
        <v>5.6467901993501268E-2</v>
      </c>
      <c r="AR149" s="1442">
        <f>IF(ISERROR(AR147/AQ147-1),,(AR147/AQ147-1))</f>
        <v>0.38164113525709542</v>
      </c>
      <c r="AS149" s="1442">
        <f>IF(ISERROR(AS147/AR147-1),,(AS147/AR147-1))</f>
        <v>0.30869561359026387</v>
      </c>
      <c r="AT149" s="1443"/>
      <c r="AU149" s="1442">
        <f>IF(ISERROR(AU147/AS147-1),,(AU147/AS147-1))</f>
        <v>0.17785630153121312</v>
      </c>
      <c r="AV149" s="1442">
        <f>IF(ISERROR(AV147/AU147-1),,(AV147/AU147-1))</f>
        <v>0.10811744386873912</v>
      </c>
      <c r="AW149" s="1442">
        <f>IF(ISERROR(AW147/AV147-1),,(AW147/AV147-1))</f>
        <v>0.22942643391521189</v>
      </c>
      <c r="AX149" s="1442">
        <f>IF(ISERROR(AX147/AW147-1),,(AX147/AW147-1))</f>
        <v>0.25884054259634892</v>
      </c>
      <c r="AY149" s="1443"/>
      <c r="AZ149" s="1442">
        <f>IF(ISERROR(AZ147/AX147-1),,(AZ147/AX147-1))</f>
        <v>0.259489906587832</v>
      </c>
      <c r="BA149" s="1442">
        <f>IF(ISERROR(BA147/AZ147-1),,(BA147/AZ147-1))</f>
        <v>-9.8765432098765205E-3</v>
      </c>
      <c r="BB149" s="1442">
        <f>IF(ISERROR(BB147/BA147-1),,(BB147/BA147-1))</f>
        <v>0.22942643391521189</v>
      </c>
      <c r="BC149" s="1442">
        <f>IF(ISERROR(BC147/BB147-1),,(BC147/BB147-1))</f>
        <v>0.28493050202839743</v>
      </c>
      <c r="BD149" s="1443"/>
      <c r="BE149" s="1442">
        <f>IF(ISERROR(BE147/BC147-1),,(BE147/BC147-1))</f>
        <v>0.21473645813039632</v>
      </c>
      <c r="BF149" s="1442">
        <f>IF(ISERROR(BF147/BE147-1),,(BF147/BE147-1))</f>
        <v>3.1812865497075959E-2</v>
      </c>
      <c r="BG149" s="1442">
        <f>IF(ISERROR(BG147/BF147-1),,(BG147/BF147-1))</f>
        <v>0.19993261795007444</v>
      </c>
      <c r="BH149" s="1442">
        <f>IF(ISERROR(BH147/BG147-1),,(BH147/BG147-1))</f>
        <v>0.21677765521964654</v>
      </c>
      <c r="BI149" s="1443"/>
      <c r="BJ149" s="1442">
        <f>IF(ISERROR(BJ147/BH147-1),,(BJ147/BH147-1))</f>
        <v>0.18154693741645112</v>
      </c>
      <c r="BK149" s="1442">
        <f>IF(ISERROR(BK147/BJ147-1),,(BK147/BJ147-1))</f>
        <v>2.0219462513962894E-2</v>
      </c>
      <c r="BL149" s="1442">
        <f>IF(ISERROR(BL147/BK147-1),,(BL147/BK147-1))</f>
        <v>0.19311481898444893</v>
      </c>
      <c r="BM149" s="1442">
        <f>IF(ISERROR(BM147/BL147-1),,(BM147/BL147-1))</f>
        <v>0.21677765521964654</v>
      </c>
      <c r="BN149" s="1443"/>
      <c r="BO149" s="1442">
        <f>IF(ISERROR(BO147/BM147-1),,(BO147/BM147-1))</f>
        <v>0.10727827277884594</v>
      </c>
      <c r="BP149" s="1442">
        <f>IF(ISERROR(BP147/BO147-1),,(BP147/BO147-1))</f>
        <v>7.7777617515975006E-3</v>
      </c>
      <c r="BQ149" s="1442">
        <f>IF(ISERROR(BQ147/BP147-1),,(BQ147/BP147-1))</f>
        <v>0.18574991269442132</v>
      </c>
      <c r="BR149" s="1442">
        <f>IF(ISERROR(BR147/BQ147-1),,(BR147/BQ147-1))</f>
        <v>0.21677765521964654</v>
      </c>
      <c r="BS149" s="1443"/>
      <c r="BT149" s="1442">
        <f>IF(ISERROR(BT147/BR147-1),,(BT147/BR147-1))</f>
        <v>2.4748215180422584E-2</v>
      </c>
      <c r="BU149" s="1442">
        <f>IF(ISERROR(BU147/BT147-1),,(BU147/BT147-1))</f>
        <v>-1.9276674805492444E-2</v>
      </c>
      <c r="BV149" s="1442">
        <f>IF(ISERROR(BV147/BU147-1),,(BV147/BU147-1))</f>
        <v>0.15303957027526471</v>
      </c>
      <c r="BW149" s="1442">
        <f>IF(ISERROR(BW147/BV147-1),,(BW147/BV147-1))</f>
        <v>0.21677765521964654</v>
      </c>
      <c r="BX149" s="1443"/>
      <c r="BY149" s="1520"/>
      <c r="BZ149" s="1443"/>
      <c r="CA149" s="1443"/>
      <c r="CB149" s="1443"/>
      <c r="CC149" s="1443"/>
      <c r="CD149" s="1443"/>
      <c r="CE149" s="1443"/>
      <c r="CF149" s="1443"/>
      <c r="CG149" s="1443"/>
      <c r="CH149" s="1443"/>
    </row>
    <row r="150" spans="1:99">
      <c r="A150" s="1425" t="s">
        <v>918</v>
      </c>
      <c r="B150" s="1345"/>
      <c r="C150" s="1345"/>
      <c r="D150" s="1345"/>
      <c r="E150" s="1345"/>
      <c r="F150" s="1346"/>
      <c r="G150" s="1345"/>
      <c r="H150" s="1345"/>
      <c r="I150" s="1345"/>
      <c r="J150" s="1345"/>
      <c r="K150" s="1346"/>
      <c r="L150" s="1345"/>
      <c r="M150" s="1345"/>
      <c r="N150" s="1345"/>
      <c r="O150" s="1345"/>
      <c r="P150" s="1346"/>
      <c r="Q150" s="1345"/>
      <c r="R150" s="1345"/>
      <c r="S150" s="1345"/>
      <c r="T150" s="1345"/>
      <c r="U150" s="1346"/>
      <c r="V150" s="1345"/>
      <c r="W150" s="1345"/>
      <c r="X150" s="1345"/>
      <c r="Y150" s="1345"/>
      <c r="Z150" s="1346"/>
      <c r="AA150" s="1345"/>
      <c r="AB150" s="1345"/>
      <c r="AC150" s="1345"/>
      <c r="AD150" s="1345"/>
      <c r="AE150" s="1348"/>
      <c r="AF150" s="1177"/>
      <c r="AG150" s="1177"/>
      <c r="AH150" s="1177"/>
      <c r="AI150" s="1177"/>
      <c r="AJ150" s="1348"/>
      <c r="AK150" s="1177">
        <f>AK147+AK144+AK141</f>
        <v>487.463768115942</v>
      </c>
      <c r="AL150" s="1177">
        <f t="shared" ref="AL150:AN150" si="323">AL147+AL144+AL141</f>
        <v>583.8466588883731</v>
      </c>
      <c r="AM150" s="1177">
        <f t="shared" si="323"/>
        <v>714.75722320281909</v>
      </c>
      <c r="AN150" s="1177">
        <f t="shared" si="323"/>
        <v>926.5</v>
      </c>
      <c r="AO150" s="1348">
        <f>SUM(AK150:AN150)</f>
        <v>2712.5676502071342</v>
      </c>
      <c r="AP150" s="1177">
        <f>AP147+AP144+AP141</f>
        <v>1126.4166666666667</v>
      </c>
      <c r="AQ150" s="1177">
        <f t="shared" ref="AQ150:AS150" si="324">AQ147+AQ144+AQ141</f>
        <v>1254.0779836655836</v>
      </c>
      <c r="AR150" s="1177">
        <f t="shared" si="324"/>
        <v>1501.4765852454971</v>
      </c>
      <c r="AS150" s="1177">
        <f t="shared" si="324"/>
        <v>1748.675</v>
      </c>
      <c r="AT150" s="1348">
        <f>SUM(AP150:AS150)</f>
        <v>5630.6462355777476</v>
      </c>
      <c r="AU150" s="1177">
        <f>AU147+AU144+AU141</f>
        <v>1977.0250000000001</v>
      </c>
      <c r="AV150" s="1177">
        <f t="shared" ref="AV150:AX150" si="325">AV147+AV144+AV141</f>
        <v>2183.0440414507771</v>
      </c>
      <c r="AW150" s="1177">
        <f t="shared" si="325"/>
        <v>2462.7688290155443</v>
      </c>
      <c r="AX150" s="1177">
        <f t="shared" si="325"/>
        <v>2860.9594999999999</v>
      </c>
      <c r="AY150" s="1348">
        <f>SUM(AU150:AX150)</f>
        <v>9483.79737046632</v>
      </c>
      <c r="AZ150" s="1177">
        <f>AZ147+AZ144+AZ141</f>
        <v>3249.3377499999997</v>
      </c>
      <c r="BA150" s="1177">
        <f t="shared" ref="BA150:BC150" si="326">BA147+BA144+BA141</f>
        <v>3424.3049999999998</v>
      </c>
      <c r="BB150" s="1177">
        <f t="shared" si="326"/>
        <v>3838.5576000000001</v>
      </c>
      <c r="BC150" s="1177">
        <f t="shared" si="326"/>
        <v>4458.9155350000001</v>
      </c>
      <c r="BD150" s="1348">
        <f>SUM(AZ150:BC150)</f>
        <v>14971.115884999999</v>
      </c>
      <c r="BE150" s="1177">
        <f>BE147+BE144+BE141</f>
        <v>5029.7826050000003</v>
      </c>
      <c r="BF150" s="1177">
        <f t="shared" ref="BF150:BG150" si="327">BF147+BF144+BF141</f>
        <v>5313.0740499999993</v>
      </c>
      <c r="BG150" s="1177">
        <f t="shared" ref="BG150" si="328">BG147+BG144+BG141</f>
        <v>5989.0187860000005</v>
      </c>
      <c r="BH150" s="1177">
        <f t="shared" ref="BG150:BH150" si="329">BH147+BH144+BH141</f>
        <v>6690.5944208499986</v>
      </c>
      <c r="BI150" s="1348">
        <f>SUM(BE150:BH150)</f>
        <v>23022.469861849997</v>
      </c>
      <c r="BJ150" s="1177">
        <f>BJ147+BJ144+BJ141</f>
        <v>7477.1634487249994</v>
      </c>
      <c r="BK150" s="1177">
        <f t="shared" ref="BK150:BM150" si="330">BK147+BK144+BK141</f>
        <v>7809.5935367499987</v>
      </c>
      <c r="BL150" s="1177">
        <f t="shared" si="330"/>
        <v>8872.8423100100008</v>
      </c>
      <c r="BM150" s="1177">
        <f t="shared" si="330"/>
        <v>9864.1068301995001</v>
      </c>
      <c r="BN150" s="1348">
        <f>SUM(BJ150:BM150)</f>
        <v>34023.706125684505</v>
      </c>
      <c r="BO150" s="1177">
        <f>BO147+BO144+BO141</f>
        <v>10632.821459611625</v>
      </c>
      <c r="BP150" s="1177">
        <f t="shared" ref="BP150:BR150" si="331">BP147+BP144+BP141</f>
        <v>10970.260849356249</v>
      </c>
      <c r="BQ150" s="1177">
        <f t="shared" si="331"/>
        <v>12563.273404855425</v>
      </c>
      <c r="BR150" s="1177">
        <f t="shared" si="331"/>
        <v>13913.223227124556</v>
      </c>
      <c r="BS150" s="1348">
        <f>SUM(BO150:BR150)</f>
        <v>48079.57894094786</v>
      </c>
      <c r="BT150" s="1177">
        <f>BT147+BT144+BT141</f>
        <v>14265.255044024241</v>
      </c>
      <c r="BU150" s="1177">
        <f t="shared" ref="BU150:BW150" si="332">BU147+BU144+BU141</f>
        <v>14401.088273401063</v>
      </c>
      <c r="BV150" s="1177">
        <f t="shared" si="332"/>
        <v>16418.420952522232</v>
      </c>
      <c r="BW150" s="1177">
        <f t="shared" si="332"/>
        <v>18079.454817819609</v>
      </c>
      <c r="BX150" s="1348">
        <f>SUM(BT150:BW150)</f>
        <v>63164.219087767153</v>
      </c>
      <c r="BY150" s="1433"/>
      <c r="BZ150" s="1348"/>
      <c r="CA150" s="1348"/>
      <c r="CB150" s="1348">
        <f>SUM(AM150:AN150,AP150:AQ150)</f>
        <v>4021.7518735350695</v>
      </c>
      <c r="CC150" s="1348">
        <f>SUM(AR150:AS150,AU150:AV150)</f>
        <v>7410.2206266962748</v>
      </c>
      <c r="CD150" s="1348">
        <f>SUM(AW150:AX150,AZ150:BA150)</f>
        <v>11997.371079015546</v>
      </c>
      <c r="CE150" s="1348">
        <f>SUM(BB150:BC150,BE150:BF150)</f>
        <v>18640.32979</v>
      </c>
      <c r="CF150" s="1348">
        <f>SUM(BG150:BH150,BJ150:BK150)</f>
        <v>27966.370192324997</v>
      </c>
      <c r="CG150" s="1348">
        <f>SUM(BL150:BM150,BO150:BP150)</f>
        <v>40340.031449177375</v>
      </c>
      <c r="CH150" s="1348">
        <f>SUM(BQ150:BR150,BT150:BU150)</f>
        <v>55142.839949405286</v>
      </c>
    </row>
    <row r="151" spans="1:99">
      <c r="A151" s="1456" t="s">
        <v>926</v>
      </c>
      <c r="B151" s="1453"/>
      <c r="C151" s="1453"/>
      <c r="D151" s="1453"/>
      <c r="E151" s="1453"/>
      <c r="F151" s="1454"/>
      <c r="G151" s="1453"/>
      <c r="H151" s="1453"/>
      <c r="I151" s="1453"/>
      <c r="J151" s="1453"/>
      <c r="K151" s="1454"/>
      <c r="L151" s="1453"/>
      <c r="M151" s="1453"/>
      <c r="N151" s="1453"/>
      <c r="O151" s="1453"/>
      <c r="P151" s="1454"/>
      <c r="Q151" s="1453"/>
      <c r="R151" s="1453"/>
      <c r="S151" s="1453"/>
      <c r="T151" s="1453"/>
      <c r="U151" s="1454"/>
      <c r="V151" s="1453"/>
      <c r="W151" s="1453"/>
      <c r="X151" s="1453"/>
      <c r="Y151" s="1453"/>
      <c r="Z151" s="1454"/>
      <c r="AA151" s="1453"/>
      <c r="AB151" s="1453"/>
      <c r="AC151" s="1453"/>
      <c r="AD151" s="1453"/>
      <c r="AE151" s="1454"/>
      <c r="AF151" s="1446"/>
      <c r="AG151" s="1453"/>
      <c r="AH151" s="1453"/>
      <c r="AI151" s="1453"/>
      <c r="AJ151" s="1443"/>
      <c r="AK151" s="1442"/>
      <c r="AL151" s="1442"/>
      <c r="AM151" s="1442"/>
      <c r="AN151" s="1442"/>
      <c r="AO151" s="1443"/>
      <c r="AP151" s="1442">
        <f t="shared" ref="AP151:BS151" si="333">IF(ISERROR(AP150/AK150-1),,(AP150/AK150-1))</f>
        <v>1.3107700312174821</v>
      </c>
      <c r="AQ151" s="1442">
        <f t="shared" si="333"/>
        <v>1.1479577977774356</v>
      </c>
      <c r="AR151" s="1442">
        <f t="shared" si="333"/>
        <v>1.1006805338984855</v>
      </c>
      <c r="AS151" s="1442">
        <f t="shared" si="333"/>
        <v>0.88739881273610366</v>
      </c>
      <c r="AT151" s="1443">
        <f t="shared" si="333"/>
        <v>1.0757625105304882</v>
      </c>
      <c r="AU151" s="1442">
        <f t="shared" si="333"/>
        <v>0.75514537249389657</v>
      </c>
      <c r="AV151" s="1442">
        <f t="shared" si="333"/>
        <v>0.74075621283924442</v>
      </c>
      <c r="AW151" s="1442">
        <f t="shared" si="333"/>
        <v>0.64023125849336648</v>
      </c>
      <c r="AX151" s="1442">
        <f t="shared" si="333"/>
        <v>0.63607274078945486</v>
      </c>
      <c r="AY151" s="1443">
        <f t="shared" si="333"/>
        <v>0.68431774501159182</v>
      </c>
      <c r="AZ151" s="1442">
        <f t="shared" si="333"/>
        <v>0.6435491458125211</v>
      </c>
      <c r="BA151" s="1442">
        <f t="shared" si="333"/>
        <v>0.56859180803531695</v>
      </c>
      <c r="BB151" s="1442">
        <f t="shared" si="333"/>
        <v>0.55863496190765383</v>
      </c>
      <c r="BC151" s="1442">
        <f t="shared" si="333"/>
        <v>0.55853850255482484</v>
      </c>
      <c r="BD151" s="1443">
        <f t="shared" si="333"/>
        <v>0.57859929943482835</v>
      </c>
      <c r="BE151" s="1442">
        <f t="shared" si="333"/>
        <v>0.54794083963724627</v>
      </c>
      <c r="BF151" s="1442">
        <f t="shared" si="333"/>
        <v>0.55157734197158237</v>
      </c>
      <c r="BG151" s="1442">
        <f t="shared" si="333"/>
        <v>0.56022636888397881</v>
      </c>
      <c r="BH151" s="1442">
        <f t="shared" si="333"/>
        <v>0.50049812972068297</v>
      </c>
      <c r="BI151" s="1443">
        <f t="shared" si="333"/>
        <v>0.537792509168731</v>
      </c>
      <c r="BJ151" s="1442">
        <f t="shared" si="333"/>
        <v>0.48657785751855553</v>
      </c>
      <c r="BK151" s="1442">
        <f t="shared" si="333"/>
        <v>0.4698823060352415</v>
      </c>
      <c r="BL151" s="1442">
        <f t="shared" si="333"/>
        <v>0.48151853033943715</v>
      </c>
      <c r="BM151" s="1442">
        <f t="shared" si="333"/>
        <v>0.47432443363475119</v>
      </c>
      <c r="BN151" s="1443">
        <f t="shared" si="333"/>
        <v>0.47784778652547621</v>
      </c>
      <c r="BO151" s="1442">
        <f t="shared" si="333"/>
        <v>0.42203945821523092</v>
      </c>
      <c r="BP151" s="1442">
        <f t="shared" si="333"/>
        <v>0.40471598140581055</v>
      </c>
      <c r="BQ151" s="1442">
        <f t="shared" si="333"/>
        <v>0.41592434147984592</v>
      </c>
      <c r="BR151" s="1442">
        <f t="shared" si="333"/>
        <v>0.41048991729575213</v>
      </c>
      <c r="BS151" s="1443">
        <f t="shared" si="333"/>
        <v>0.41311998061999988</v>
      </c>
      <c r="BT151" s="1442">
        <f t="shared" ref="BT151" si="334">IF(ISERROR(BT150/BO150-1),,(BT150/BO150-1))</f>
        <v>0.34162461941172251</v>
      </c>
      <c r="BU151" s="1442">
        <f t="shared" ref="BU151" si="335">IF(ISERROR(BU150/BP150-1),,(BU150/BP150-1))</f>
        <v>0.3127389103282936</v>
      </c>
      <c r="BV151" s="1442">
        <f t="shared" ref="BV151" si="336">IF(ISERROR(BV150/BQ150-1),,(BV150/BQ150-1))</f>
        <v>0.3068585251178948</v>
      </c>
      <c r="BW151" s="1442">
        <f t="shared" ref="BW151" si="337">IF(ISERROR(BW150/BR150-1),,(BW150/BR150-1))</f>
        <v>0.2994440269291998</v>
      </c>
      <c r="BX151" s="1443">
        <f t="shared" ref="BX151" si="338">IF(ISERROR(BX150/BS150-1),,(BX150/BS150-1))</f>
        <v>0.31374318326178563</v>
      </c>
      <c r="BY151" s="1235"/>
      <c r="BZ151" s="1443"/>
      <c r="CA151" s="1443"/>
      <c r="CB151" s="1443"/>
      <c r="CC151" s="1443">
        <f t="shared" ref="CC151:CH151" si="339">CC150/CB150-1</f>
        <v>0.8425355068418936</v>
      </c>
      <c r="CD151" s="1443">
        <f t="shared" si="339"/>
        <v>0.61903021291882587</v>
      </c>
      <c r="CE151" s="1443">
        <f t="shared" si="339"/>
        <v>0.55370119563973241</v>
      </c>
      <c r="CF151" s="1443">
        <f t="shared" si="339"/>
        <v>0.50031520404366181</v>
      </c>
      <c r="CG151" s="1443">
        <f t="shared" si="339"/>
        <v>0.44244788192956719</v>
      </c>
      <c r="CH151" s="1443">
        <f t="shared" si="339"/>
        <v>0.36695084184248383</v>
      </c>
    </row>
    <row r="152" spans="1:99">
      <c r="A152" s="1457" t="s">
        <v>952</v>
      </c>
      <c r="B152" s="1458"/>
      <c r="C152" s="1458"/>
      <c r="D152" s="1458"/>
      <c r="E152" s="1458"/>
      <c r="F152" s="1459"/>
      <c r="G152" s="1458"/>
      <c r="H152" s="1458"/>
      <c r="I152" s="1458"/>
      <c r="J152" s="1458"/>
      <c r="K152" s="1459"/>
      <c r="L152" s="1458"/>
      <c r="M152" s="1458"/>
      <c r="N152" s="1458"/>
      <c r="O152" s="1458"/>
      <c r="P152" s="1459"/>
      <c r="Q152" s="1458"/>
      <c r="R152" s="1458"/>
      <c r="S152" s="1458"/>
      <c r="T152" s="1458"/>
      <c r="U152" s="1459"/>
      <c r="V152" s="1458"/>
      <c r="W152" s="1458"/>
      <c r="X152" s="1458"/>
      <c r="Y152" s="1458"/>
      <c r="Z152" s="1459"/>
      <c r="AA152" s="1458"/>
      <c r="AB152" s="1458"/>
      <c r="AC152" s="1458"/>
      <c r="AD152" s="1458"/>
      <c r="AE152" s="1459"/>
      <c r="AF152" s="1450"/>
      <c r="AG152" s="1460"/>
      <c r="AH152" s="1460"/>
      <c r="AI152" s="1460"/>
      <c r="AJ152" s="1461"/>
      <c r="AK152" s="1460"/>
      <c r="AL152" s="1460"/>
      <c r="AM152" s="1460"/>
      <c r="AN152" s="1460"/>
      <c r="AO152" s="1461"/>
      <c r="AP152" s="1460">
        <f>IF(ISERROR(AP150/AN150-1),,(AP150/AN150-1))</f>
        <v>0.21577621874437858</v>
      </c>
      <c r="AQ152" s="1460">
        <f>IF(ISERROR(AQ150/AP150-1),,(AQ150/AP150-1))</f>
        <v>0.11333400932063342</v>
      </c>
      <c r="AR152" s="1460">
        <f>IF(ISERROR(AR150/AQ150-1),,(AR150/AQ150-1))</f>
        <v>0.19727529292618984</v>
      </c>
      <c r="AS152" s="1460">
        <f>IF(ISERROR(AS150/AR150-1),,(AS150/AR150-1))</f>
        <v>0.16463687624811341</v>
      </c>
      <c r="AT152" s="1461"/>
      <c r="AU152" s="1460">
        <f>IF(ISERROR(AU150/AS150-1),,(AU150/AS150-1))</f>
        <v>0.13058458547185725</v>
      </c>
      <c r="AV152" s="1460">
        <f>IF(ISERROR(AV150/AU150-1),,(AV150/AU150-1))</f>
        <v>0.10420659397366094</v>
      </c>
      <c r="AW152" s="1460">
        <f>IF(ISERROR(AW150/AV150-1),,(AW150/AV150-1))</f>
        <v>0.1281352012389414</v>
      </c>
      <c r="AX152" s="1460">
        <f>IF(ISERROR(AX150/AW150-1),,(AX150/AW150-1))</f>
        <v>0.16168414440409595</v>
      </c>
      <c r="AY152" s="1461"/>
      <c r="AZ152" s="1460">
        <f>IF(ISERROR(AZ150/AX150-1),,(AZ150/AX150-1))</f>
        <v>0.13575104785649694</v>
      </c>
      <c r="BA152" s="1460">
        <f>IF(ISERROR(BA150/AZ150-1),,(BA150/AZ150-1))</f>
        <v>5.3847049294891036E-2</v>
      </c>
      <c r="BB152" s="1460">
        <f>IF(ISERROR(BB150/BA150-1),,(BB150/BA150-1))</f>
        <v>0.12097421228541272</v>
      </c>
      <c r="BC152" s="1460">
        <f>IF(ISERROR(BC150/BB150-1),,(BC150/BB150-1))</f>
        <v>0.16161225117476419</v>
      </c>
      <c r="BD152" s="1461"/>
      <c r="BE152" s="1460">
        <f>IF(ISERROR(BE150/BC150-1),,(BE150/BC150-1))</f>
        <v>0.12802823142062514</v>
      </c>
      <c r="BF152" s="1460">
        <f>IF(ISERROR(BF150/BE150-1),,(BF150/BE150-1))</f>
        <v>5.6322801052750338E-2</v>
      </c>
      <c r="BG152" s="1460">
        <f>IF(ISERROR(BG150/BF150-1),,(BG150/BF150-1))</f>
        <v>0.12722290892971855</v>
      </c>
      <c r="BH152" s="1460">
        <f>IF(ISERROR(BH150/BG150-1),,(BH150/BG150-1))</f>
        <v>0.1171436690915062</v>
      </c>
      <c r="BI152" s="1461"/>
      <c r="BJ152" s="1460">
        <f>IF(ISERROR(BJ150/BH150-1),,(BJ150/BH150-1))</f>
        <v>0.11756339996096665</v>
      </c>
      <c r="BK152" s="1460">
        <f>IF(ISERROR(BK150/BJ150-1),,(BK150/BJ150-1))</f>
        <v>4.4459384939844471E-2</v>
      </c>
      <c r="BL152" s="1460">
        <f>IF(ISERROR(BL150/BK150-1),,(BL150/BK150-1))</f>
        <v>0.13614649318900129</v>
      </c>
      <c r="BM152" s="1460">
        <f>IF(ISERROR(BM150/BL150-1),,(BM150/BL150-1))</f>
        <v>0.11171893803084876</v>
      </c>
      <c r="BN152" s="1461"/>
      <c r="BO152" s="1460">
        <f>IF(ISERROR(BO150/BM150-1),,(BO150/BM150-1))</f>
        <v>7.7930485004345629E-2</v>
      </c>
      <c r="BP152" s="1460">
        <f>IF(ISERROR(BP150/BO150-1),,(BP150/BO150-1))</f>
        <v>3.173563959729564E-2</v>
      </c>
      <c r="BQ152" s="1460">
        <f>IF(ISERROR(BQ150/BP150-1),,(BQ150/BP150-1))</f>
        <v>0.14521191222108953</v>
      </c>
      <c r="BR152" s="1460">
        <f>IF(ISERROR(BR150/BQ150-1),,(BR150/BQ150-1))</f>
        <v>0.10745207707948201</v>
      </c>
      <c r="BS152" s="1461"/>
      <c r="BT152" s="1460">
        <f>IF(ISERROR(BT150/BR150-1),,(BT150/BR150-1))</f>
        <v>2.5301959952269026E-2</v>
      </c>
      <c r="BU152" s="1460">
        <f>IF(ISERROR(BU150/BT150-1),,(BU150/BT150-1))</f>
        <v>9.5219629062097688E-3</v>
      </c>
      <c r="BV152" s="1460">
        <f>IF(ISERROR(BV150/BU150-1),,(BV150/BU150-1))</f>
        <v>0.14008196053121913</v>
      </c>
      <c r="BW152" s="1460">
        <f>IF(ISERROR(BW150/BV150-1),,(BW150/BV150-1))</f>
        <v>0.10116891691963859</v>
      </c>
      <c r="BX152" s="1461"/>
      <c r="BY152" s="1349"/>
      <c r="BZ152" s="1461"/>
      <c r="CA152" s="1461"/>
      <c r="CB152" s="1461"/>
      <c r="CC152" s="1461"/>
      <c r="CD152" s="1461"/>
      <c r="CE152" s="1461"/>
      <c r="CF152" s="1461"/>
      <c r="CG152" s="1461"/>
      <c r="CH152" s="1461"/>
    </row>
    <row r="153" spans="1:99">
      <c r="A153" s="1435"/>
      <c r="B153" s="1436"/>
      <c r="C153" s="1436"/>
      <c r="D153" s="1436"/>
      <c r="E153" s="1436"/>
      <c r="F153" s="1437"/>
      <c r="G153" s="1436"/>
      <c r="H153" s="1436"/>
      <c r="I153" s="1436"/>
      <c r="J153" s="1436"/>
      <c r="K153" s="1437"/>
      <c r="L153" s="1436"/>
      <c r="M153" s="1436"/>
      <c r="N153" s="1436"/>
      <c r="O153" s="1436"/>
      <c r="P153" s="1437"/>
      <c r="Q153" s="1436"/>
      <c r="R153" s="1436"/>
      <c r="S153" s="1436"/>
      <c r="T153" s="1436"/>
      <c r="U153" s="1437"/>
      <c r="V153" s="1436"/>
      <c r="W153" s="1436"/>
      <c r="X153" s="1436"/>
      <c r="Y153" s="1436"/>
      <c r="Z153" s="1437"/>
      <c r="AA153" s="1436"/>
      <c r="AB153" s="1436"/>
      <c r="AC153" s="1436"/>
      <c r="AD153" s="1436"/>
      <c r="AE153" s="1437"/>
      <c r="AF153" s="1721"/>
      <c r="AG153" s="1721"/>
      <c r="AH153" s="1721"/>
      <c r="AI153" s="1721"/>
      <c r="AJ153" s="1433"/>
      <c r="AK153" s="1721"/>
      <c r="AL153" s="1721"/>
      <c r="AM153" s="1721"/>
      <c r="AN153" s="1721"/>
      <c r="AO153" s="1433"/>
      <c r="AP153" s="1721"/>
      <c r="AQ153" s="2227"/>
      <c r="AR153" s="2227"/>
      <c r="AS153" s="1721"/>
      <c r="AT153" s="1433"/>
      <c r="AU153" s="1721"/>
      <c r="AV153" s="2227"/>
      <c r="AW153" s="2227"/>
      <c r="AX153" s="1721"/>
      <c r="AY153" s="1433"/>
      <c r="AZ153" s="1721"/>
      <c r="BA153" s="3098"/>
      <c r="BB153" s="3098"/>
      <c r="BC153" s="3098"/>
      <c r="BD153" s="3099"/>
      <c r="BE153" s="3098"/>
      <c r="BF153" s="3098"/>
      <c r="BG153" s="3098"/>
      <c r="BH153" s="1430"/>
      <c r="BI153" s="1433"/>
      <c r="BJ153" s="1430"/>
      <c r="BK153" s="1430"/>
      <c r="BL153" s="1430"/>
      <c r="BM153" s="1430"/>
      <c r="BN153" s="1433"/>
      <c r="BO153" s="1430"/>
      <c r="BP153" s="1430"/>
      <c r="BQ153" s="1430"/>
      <c r="BR153" s="1430"/>
      <c r="BS153" s="1433"/>
      <c r="BT153" s="1430"/>
      <c r="BU153" s="1430"/>
      <c r="BV153" s="1430"/>
      <c r="BW153" s="1430"/>
      <c r="BX153" s="1433"/>
      <c r="BY153" s="1235"/>
      <c r="BZ153" s="1433"/>
      <c r="CA153" s="1433"/>
      <c r="CB153" s="1433"/>
      <c r="CC153" s="1433"/>
      <c r="CD153" s="1433"/>
      <c r="CE153" s="1433"/>
      <c r="CF153" s="1433"/>
      <c r="CG153" s="1433"/>
      <c r="CH153" s="1433"/>
      <c r="CI153" s="1343"/>
      <c r="CJ153" s="1343"/>
      <c r="CK153" s="1343"/>
      <c r="CM153" s="1343"/>
      <c r="CN153" s="1343"/>
      <c r="CO153" s="1343"/>
      <c r="CP153" s="1343"/>
      <c r="CQ153" s="1343"/>
      <c r="CR153" s="1343"/>
      <c r="CS153" s="1343"/>
      <c r="CT153" s="1343"/>
      <c r="CU153" s="1343"/>
    </row>
    <row r="154" spans="1:99">
      <c r="A154" s="1050" t="s">
        <v>498</v>
      </c>
      <c r="B154" s="1051"/>
      <c r="C154" s="1051"/>
      <c r="D154" s="1051"/>
      <c r="E154" s="1051"/>
      <c r="F154" s="1052"/>
      <c r="G154" s="1051"/>
      <c r="H154" s="1051"/>
      <c r="I154" s="1051"/>
      <c r="J154" s="1051"/>
      <c r="K154" s="1052"/>
      <c r="L154" s="1051"/>
      <c r="M154" s="1051"/>
      <c r="N154" s="1051"/>
      <c r="O154" s="1051"/>
      <c r="P154" s="1052"/>
      <c r="Q154" s="1051"/>
      <c r="R154" s="1051"/>
      <c r="S154" s="1051"/>
      <c r="T154" s="1051"/>
      <c r="U154" s="1052"/>
      <c r="V154" s="1051"/>
      <c r="W154" s="1051"/>
      <c r="X154" s="1051"/>
      <c r="Y154" s="1051"/>
      <c r="Z154" s="1052"/>
      <c r="AA154" s="1051"/>
      <c r="AB154" s="1051"/>
      <c r="AC154" s="1051"/>
      <c r="AD154" s="1051"/>
      <c r="AE154" s="1052"/>
      <c r="AF154" s="1053"/>
      <c r="AG154" s="1051"/>
      <c r="AH154" s="1051"/>
      <c r="AI154" s="1051"/>
      <c r="AJ154" s="1052"/>
      <c r="AK154" s="1054"/>
      <c r="AL154" s="1051"/>
      <c r="AM154" s="1051"/>
      <c r="AN154" s="1051"/>
      <c r="AO154" s="1052"/>
      <c r="AP154" s="1054"/>
      <c r="AQ154" s="1051"/>
      <c r="AR154" s="1051"/>
      <c r="AS154" s="1051"/>
      <c r="AT154" s="1052"/>
      <c r="AU154" s="1054"/>
      <c r="AV154" s="1051"/>
      <c r="AW154" s="1051"/>
      <c r="AX154" s="1051"/>
      <c r="AY154" s="1052"/>
      <c r="AZ154" s="1054"/>
      <c r="BA154" s="1051"/>
      <c r="BB154" s="1051"/>
      <c r="BC154" s="1051"/>
      <c r="BD154" s="1052"/>
      <c r="BE154" s="3041"/>
      <c r="BF154" s="3100"/>
      <c r="BG154" s="3100"/>
      <c r="BH154" s="1051"/>
      <c r="BI154" s="1052"/>
      <c r="BJ154" s="1054"/>
      <c r="BK154" s="1051"/>
      <c r="BL154" s="1051"/>
      <c r="BM154" s="1051"/>
      <c r="BN154" s="1052"/>
      <c r="BO154" s="1054"/>
      <c r="BP154" s="1051"/>
      <c r="BQ154" s="1051"/>
      <c r="BR154" s="1051"/>
      <c r="BS154" s="1052"/>
      <c r="BT154" s="1054"/>
      <c r="BU154" s="1051"/>
      <c r="BV154" s="1051"/>
      <c r="BW154" s="1051"/>
      <c r="BX154" s="1052"/>
      <c r="BY154" s="1343"/>
      <c r="BZ154" s="1052"/>
      <c r="CA154" s="1052"/>
      <c r="CB154" s="1052"/>
      <c r="CC154" s="1052"/>
      <c r="CD154" s="1052"/>
      <c r="CE154" s="1052"/>
      <c r="CF154" s="1052"/>
      <c r="CG154" s="1052"/>
      <c r="CH154" s="1052"/>
      <c r="CO154" s="1343"/>
      <c r="CP154" s="1343"/>
      <c r="CQ154" s="1343"/>
      <c r="CR154" s="1343"/>
      <c r="CS154" s="1343"/>
      <c r="CT154" s="1343"/>
      <c r="CU154" s="1343"/>
    </row>
    <row r="155" spans="1:99" s="1021" customFormat="1">
      <c r="A155" s="1020" t="s">
        <v>935</v>
      </c>
      <c r="B155" s="1025"/>
      <c r="C155" s="1025"/>
      <c r="D155" s="1025"/>
      <c r="E155" s="1025"/>
      <c r="F155" s="1024"/>
      <c r="G155" s="1025"/>
      <c r="H155" s="1025"/>
      <c r="I155" s="1025"/>
      <c r="J155" s="1025"/>
      <c r="K155" s="1024"/>
      <c r="L155" s="1025"/>
      <c r="M155" s="1025"/>
      <c r="N155" s="1025"/>
      <c r="O155" s="1025"/>
      <c r="P155" s="1024"/>
      <c r="Q155" s="1025"/>
      <c r="R155" s="1025"/>
      <c r="S155" s="1025"/>
      <c r="T155" s="1025"/>
      <c r="U155" s="1024"/>
      <c r="V155" s="1025"/>
      <c r="W155" s="1025"/>
      <c r="X155" s="1025"/>
      <c r="Y155" s="1025"/>
      <c r="Z155" s="1024"/>
      <c r="AA155" s="1025"/>
      <c r="AB155" s="1025"/>
      <c r="AC155" s="1025"/>
      <c r="AD155" s="1025"/>
      <c r="AE155" s="1024"/>
      <c r="AF155" s="1025">
        <f>'Client Unit Model'!AJ22</f>
        <v>0</v>
      </c>
      <c r="AG155" s="1025">
        <f>'Client Unit Model'!AK22</f>
        <v>0.4</v>
      </c>
      <c r="AH155" s="1025">
        <f>'Client Unit Model'!AL22</f>
        <v>0.4</v>
      </c>
      <c r="AI155" s="1025">
        <f>'Client Unit Model'!AM22</f>
        <v>0.3</v>
      </c>
      <c r="AJ155" s="1024">
        <f>SUM(AF155:AI155)</f>
        <v>1.1000000000000001</v>
      </c>
      <c r="AK155" s="1025">
        <f>'Client Unit Model'!AN22</f>
        <v>0.7</v>
      </c>
      <c r="AL155" s="1025">
        <v>1.25</v>
      </c>
      <c r="AM155" s="1025">
        <f>'Client Unit Model'!AP22</f>
        <v>0.8</v>
      </c>
      <c r="AN155" s="1025">
        <f>'Client Unit Model'!AQ22</f>
        <v>0.6</v>
      </c>
      <c r="AO155" s="1024">
        <f>SUM(AK155:AN155)</f>
        <v>3.35</v>
      </c>
      <c r="AP155" s="1025">
        <f>'Client Unit Model'!AR22</f>
        <v>1.6</v>
      </c>
      <c r="AQ155" s="1025">
        <f>'Client Unit Model'!AS22</f>
        <v>1.5</v>
      </c>
      <c r="AR155" s="1025">
        <f>'Client Unit Model'!AT22</f>
        <v>0.95</v>
      </c>
      <c r="AS155" s="1025">
        <f>'Client Unit Model'!AU22</f>
        <v>1.2</v>
      </c>
      <c r="AT155" s="1024">
        <f>SUM(AP155:AS155)</f>
        <v>5.25</v>
      </c>
      <c r="AU155" s="1025">
        <f>'Client Unit Model'!AV22</f>
        <v>1</v>
      </c>
      <c r="AV155" s="1025">
        <f>'Client Unit Model'!AW22</f>
        <v>1.9</v>
      </c>
      <c r="AW155" s="1025">
        <f>'Client Unit Model'!AX22</f>
        <v>1.2050000000000001</v>
      </c>
      <c r="AX155" s="1025">
        <f>'Client Unit Model'!AY22</f>
        <v>1.2</v>
      </c>
      <c r="AY155" s="1024">
        <f>SUM(AU155:AX155)</f>
        <v>5.3050000000000006</v>
      </c>
      <c r="AZ155" s="1025">
        <f>'Client Unit Model'!BA22</f>
        <v>1.1499999999999999</v>
      </c>
      <c r="BA155" s="1025">
        <f>'Client Unit Model'!BB22</f>
        <v>1.4967183325534226</v>
      </c>
      <c r="BB155" s="1025">
        <f>'Client Unit Model'!BC22</f>
        <v>1.1000000000000001</v>
      </c>
      <c r="BC155" s="1025">
        <f>'Client Unit Model'!BD22</f>
        <v>1.1870824099284665</v>
      </c>
      <c r="BD155" s="1024">
        <f>SUM(AZ155:BC155)</f>
        <v>4.933800742481889</v>
      </c>
      <c r="BE155" s="1192">
        <f>'Client Unit Model'!BF22</f>
        <v>1.3235695582187119</v>
      </c>
      <c r="BF155" s="1025">
        <f>'Client Unit Model'!BG22</f>
        <v>1.7818380491571351</v>
      </c>
      <c r="BG155" s="1025">
        <f>'Client Unit Model'!BH22</f>
        <v>1.2924214430205847</v>
      </c>
      <c r="BH155" s="1192">
        <f>'Client Unit Model'!BI22</f>
        <v>1.3970960434730486</v>
      </c>
      <c r="BI155" s="1193">
        <f>SUM(BE155:BH155)</f>
        <v>5.7949250938694803</v>
      </c>
      <c r="BJ155" s="1192">
        <f>'Client Unit Model'!BK22</f>
        <v>1.4765441576029013</v>
      </c>
      <c r="BK155" s="1192">
        <f>'Client Unit Model'!BL22</f>
        <v>2.1867881365424422</v>
      </c>
      <c r="BL155" s="1192">
        <f>'Client Unit Model'!BM22</f>
        <v>1.3059939594691343</v>
      </c>
      <c r="BM155" s="1192">
        <f>'Client Unit Model'!BN22</f>
        <v>1.293910467925703</v>
      </c>
      <c r="BN155" s="1193">
        <f>SUM(BJ155:BM155)</f>
        <v>6.2632367215401805</v>
      </c>
      <c r="BO155" s="1192">
        <f>'Client Unit Model'!BP22</f>
        <v>1.5690833355546725</v>
      </c>
      <c r="BP155" s="1192">
        <f>'Client Unit Model'!BQ22</f>
        <v>2.3376812512715257</v>
      </c>
      <c r="BQ155" s="1192">
        <f>'Client Unit Model'!BR22</f>
        <v>1.4042721584796303</v>
      </c>
      <c r="BR155" s="1192">
        <f>'Client Unit Model'!BS22</f>
        <v>1.3992642423820219</v>
      </c>
      <c r="BS155" s="1193">
        <f>SUM(BO155:BR155)</f>
        <v>6.7103009876878499</v>
      </c>
      <c r="BT155" s="1192">
        <f>'Client Unit Model'!BU22</f>
        <v>1.6221066934728743</v>
      </c>
      <c r="BU155" s="1192">
        <f>'Client Unit Model'!BV22</f>
        <v>2.4152822603924808</v>
      </c>
      <c r="BV155" s="1192">
        <f>'Client Unit Model'!BW22</f>
        <v>1.4500700979079917</v>
      </c>
      <c r="BW155" s="1192">
        <f>'Client Unit Model'!BX22</f>
        <v>1.4441033517610398</v>
      </c>
      <c r="BX155" s="1193">
        <f>SUM(BT155:BW155)</f>
        <v>6.9315624035343859</v>
      </c>
      <c r="BY155" s="1521"/>
      <c r="BZ155" s="1193"/>
      <c r="CA155" s="1193"/>
      <c r="CB155" s="1193"/>
      <c r="CC155" s="1193"/>
      <c r="CD155" s="1193"/>
      <c r="CE155" s="1193"/>
      <c r="CF155" s="1193"/>
      <c r="CG155" s="1193"/>
      <c r="CH155" s="1193"/>
    </row>
    <row r="156" spans="1:99" s="1022" customFormat="1">
      <c r="A156" s="1032" t="s">
        <v>926</v>
      </c>
      <c r="B156" s="1034"/>
      <c r="C156" s="1034"/>
      <c r="D156" s="1034"/>
      <c r="E156" s="1034"/>
      <c r="F156" s="1033"/>
      <c r="G156" s="1034"/>
      <c r="H156" s="1034"/>
      <c r="I156" s="1034"/>
      <c r="J156" s="1034"/>
      <c r="K156" s="1033"/>
      <c r="L156" s="1034"/>
      <c r="M156" s="1034"/>
      <c r="N156" s="1034"/>
      <c r="O156" s="1034"/>
      <c r="P156" s="1033"/>
      <c r="Q156" s="1034"/>
      <c r="R156" s="1034"/>
      <c r="S156" s="1034"/>
      <c r="T156" s="1034"/>
      <c r="U156" s="1033"/>
      <c r="V156" s="1034"/>
      <c r="W156" s="1034"/>
      <c r="X156" s="1034"/>
      <c r="Y156" s="1034"/>
      <c r="Z156" s="1033"/>
      <c r="AA156" s="1034"/>
      <c r="AB156" s="1034"/>
      <c r="AC156" s="1034"/>
      <c r="AD156" s="1034"/>
      <c r="AE156" s="1033"/>
      <c r="AF156" s="1017"/>
      <c r="AG156" s="1034"/>
      <c r="AH156" s="1034"/>
      <c r="AI156" s="1034"/>
      <c r="AJ156" s="1035">
        <f t="shared" ref="AJ156:BS156" si="340">IF(ISERROR(AJ155/AE155-1),,(AJ155/AE155-1))</f>
        <v>0</v>
      </c>
      <c r="AK156" s="1036">
        <f t="shared" si="340"/>
        <v>0</v>
      </c>
      <c r="AL156" s="1036">
        <f t="shared" si="340"/>
        <v>2.125</v>
      </c>
      <c r="AM156" s="1036">
        <f t="shared" si="340"/>
        <v>1</v>
      </c>
      <c r="AN156" s="1036">
        <f t="shared" si="340"/>
        <v>1</v>
      </c>
      <c r="AO156" s="1035">
        <f t="shared" si="340"/>
        <v>2.0454545454545454</v>
      </c>
      <c r="AP156" s="1036">
        <f t="shared" si="340"/>
        <v>1.285714285714286</v>
      </c>
      <c r="AQ156" s="1036">
        <f t="shared" si="340"/>
        <v>0.19999999999999996</v>
      </c>
      <c r="AR156" s="1036">
        <f t="shared" si="340"/>
        <v>0.18749999999999978</v>
      </c>
      <c r="AS156" s="1036">
        <f t="shared" si="340"/>
        <v>1</v>
      </c>
      <c r="AT156" s="1035">
        <f t="shared" si="340"/>
        <v>0.56716417910447747</v>
      </c>
      <c r="AU156" s="1036">
        <f t="shared" si="340"/>
        <v>-0.375</v>
      </c>
      <c r="AV156" s="1036">
        <f t="shared" si="340"/>
        <v>0.26666666666666661</v>
      </c>
      <c r="AW156" s="1036">
        <f t="shared" si="340"/>
        <v>0.26842105263157912</v>
      </c>
      <c r="AX156" s="1036">
        <f t="shared" si="340"/>
        <v>0</v>
      </c>
      <c r="AY156" s="1035">
        <f t="shared" si="340"/>
        <v>1.0476190476190528E-2</v>
      </c>
      <c r="AZ156" s="1036">
        <f t="shared" si="340"/>
        <v>0.14999999999999991</v>
      </c>
      <c r="BA156" s="1036">
        <f t="shared" si="340"/>
        <v>-0.21225350918240915</v>
      </c>
      <c r="BB156" s="1036">
        <f t="shared" si="340"/>
        <v>-8.7136929460580936E-2</v>
      </c>
      <c r="BC156" s="1036">
        <f t="shared" si="340"/>
        <v>-1.0764658392944604E-2</v>
      </c>
      <c r="BD156" s="1035">
        <f t="shared" si="340"/>
        <v>-6.9971584829050193E-2</v>
      </c>
      <c r="BE156" s="1036">
        <f t="shared" si="340"/>
        <v>0.15093005062496689</v>
      </c>
      <c r="BF156" s="1036">
        <f t="shared" si="340"/>
        <v>0.19049657534246567</v>
      </c>
      <c r="BG156" s="1036">
        <f t="shared" si="340"/>
        <v>0.17492858456416771</v>
      </c>
      <c r="BH156" s="1036">
        <f t="shared" si="340"/>
        <v>0.1769157994323558</v>
      </c>
      <c r="BI156" s="1035">
        <f t="shared" si="340"/>
        <v>0.17453569698771676</v>
      </c>
      <c r="BJ156" s="1036">
        <f t="shared" si="340"/>
        <v>0.11557730263157895</v>
      </c>
      <c r="BK156" s="1036">
        <f t="shared" si="340"/>
        <v>0.22726537216828491</v>
      </c>
      <c r="BL156" s="1036">
        <f t="shared" si="340"/>
        <v>1.0501618122977341E-2</v>
      </c>
      <c r="BM156" s="1036">
        <f t="shared" si="340"/>
        <v>-7.3857181136120054E-2</v>
      </c>
      <c r="BN156" s="1035">
        <f t="shared" si="340"/>
        <v>8.0814095106446215E-2</v>
      </c>
      <c r="BO156" s="1036">
        <f t="shared" si="340"/>
        <v>6.2672814406041333E-2</v>
      </c>
      <c r="BP156" s="1036">
        <f t="shared" si="340"/>
        <v>6.9002164502164565E-2</v>
      </c>
      <c r="BQ156" s="1036">
        <f t="shared" si="340"/>
        <v>7.5251648981932817E-2</v>
      </c>
      <c r="BR156" s="1036">
        <f t="shared" si="340"/>
        <v>8.1422770019948798E-2</v>
      </c>
      <c r="BS156" s="1035">
        <f t="shared" si="340"/>
        <v>7.1379110518072997E-2</v>
      </c>
      <c r="BT156" s="1036">
        <f t="shared" ref="BT156" si="341">IF(ISERROR(BT155/BO155-1),,(BT155/BO155-1))</f>
        <v>3.3792569659442551E-2</v>
      </c>
      <c r="BU156" s="1036">
        <f t="shared" ref="BU156" si="342">IF(ISERROR(BU155/BP155-1),,(BU155/BP155-1))</f>
        <v>3.3195718654434048E-2</v>
      </c>
      <c r="BV156" s="1036">
        <f t="shared" ref="BV156" si="343">IF(ISERROR(BV155/BQ155-1),,(BV155/BQ155-1))</f>
        <v>3.2613293051359626E-2</v>
      </c>
      <c r="BW156" s="1036">
        <f t="shared" ref="BW156" si="344">IF(ISERROR(BW155/BR155-1),,(BW155/BR155-1))</f>
        <v>3.2044776119402929E-2</v>
      </c>
      <c r="BX156" s="1035">
        <f t="shared" ref="BX156" si="345">IF(ISERROR(BX155/BS155-1),,(BX155/BS155-1))</f>
        <v>3.2973396611047701E-2</v>
      </c>
      <c r="BY156" s="1438"/>
      <c r="BZ156" s="1035"/>
      <c r="CA156" s="1035"/>
      <c r="CB156" s="1035"/>
      <c r="CC156" s="1035"/>
      <c r="CD156" s="1035"/>
      <c r="CE156" s="1035"/>
      <c r="CF156" s="1035"/>
      <c r="CG156" s="1035"/>
      <c r="CH156" s="1035"/>
    </row>
    <row r="157" spans="1:99" s="1059" customFormat="1">
      <c r="A157" s="1055" t="s">
        <v>928</v>
      </c>
      <c r="B157" s="1060"/>
      <c r="C157" s="1060"/>
      <c r="D157" s="1060"/>
      <c r="E157" s="1060"/>
      <c r="F157" s="1058"/>
      <c r="G157" s="1060"/>
      <c r="H157" s="1060"/>
      <c r="I157" s="1060"/>
      <c r="J157" s="1060"/>
      <c r="K157" s="1058"/>
      <c r="L157" s="1060"/>
      <c r="M157" s="1060"/>
      <c r="N157" s="1060"/>
      <c r="O157" s="1060"/>
      <c r="P157" s="1058"/>
      <c r="Q157" s="1060"/>
      <c r="R157" s="1060"/>
      <c r="S157" s="1060"/>
      <c r="T157" s="1060"/>
      <c r="U157" s="1058"/>
      <c r="V157" s="1060"/>
      <c r="W157" s="1060"/>
      <c r="X157" s="1060"/>
      <c r="Y157" s="1060"/>
      <c r="Z157" s="1058"/>
      <c r="AA157" s="1060"/>
      <c r="AB157" s="1060"/>
      <c r="AC157" s="1060"/>
      <c r="AD157" s="1060"/>
      <c r="AE157" s="1058"/>
      <c r="AF157" s="1060" t="str">
        <f t="shared" ref="AF157:AT157" si="346">IFERROR((AF158/AF155),"")</f>
        <v/>
      </c>
      <c r="AG157" s="1060">
        <f t="shared" si="346"/>
        <v>413.92226590741939</v>
      </c>
      <c r="AH157" s="1060">
        <f t="shared" si="346"/>
        <v>531.93400005034891</v>
      </c>
      <c r="AI157" s="1060">
        <f t="shared" si="346"/>
        <v>533.36441512214662</v>
      </c>
      <c r="AJ157" s="1058">
        <f t="shared" si="346"/>
        <v>489.41075538159208</v>
      </c>
      <c r="AK157" s="1060">
        <f t="shared" si="346"/>
        <v>571.42857142857144</v>
      </c>
      <c r="AL157" s="1060">
        <f t="shared" si="346"/>
        <v>714.4</v>
      </c>
      <c r="AM157" s="1060">
        <f t="shared" si="346"/>
        <v>617.5</v>
      </c>
      <c r="AN157" s="1060">
        <f t="shared" si="346"/>
        <v>681.66666666666674</v>
      </c>
      <c r="AO157" s="1058">
        <f t="shared" si="346"/>
        <v>655.52238805970148</v>
      </c>
      <c r="AP157" s="1060">
        <f t="shared" si="346"/>
        <v>567.5</v>
      </c>
      <c r="AQ157" s="1060">
        <f t="shared" si="346"/>
        <v>736</v>
      </c>
      <c r="AR157" s="1060">
        <f t="shared" si="346"/>
        <v>750.52631578947376</v>
      </c>
      <c r="AS157" s="1060">
        <f t="shared" si="346"/>
        <v>740</v>
      </c>
      <c r="AT157" s="1058">
        <f t="shared" si="346"/>
        <v>688.19047619047615</v>
      </c>
      <c r="AU157" s="1060">
        <f>AU158/AU155</f>
        <v>672</v>
      </c>
      <c r="AV157" s="1060">
        <f>AV158/AV155</f>
        <v>711.57894736842104</v>
      </c>
      <c r="AW157" s="1060">
        <f>AW158/AW155</f>
        <v>921.99170124481327</v>
      </c>
      <c r="AX157" s="1060">
        <f>AX158/AX155</f>
        <v>804.16666666666674</v>
      </c>
      <c r="AY157" s="1058">
        <f>IFERROR((AY158/AY155),"")</f>
        <v>772.85579641847301</v>
      </c>
      <c r="AZ157" s="1060">
        <f>AZ158/AZ155</f>
        <v>805.21739130434787</v>
      </c>
      <c r="BA157" s="1060">
        <f>BA158/BA155</f>
        <v>882.5975945295969</v>
      </c>
      <c r="BB157" s="1060">
        <f>BB158/BB155</f>
        <v>755.45454545454538</v>
      </c>
      <c r="BC157" s="1060">
        <f>BC158/BC155</f>
        <v>798.5966198059715</v>
      </c>
      <c r="BD157" s="1058">
        <f>IFERROR((BD158/BD155),"")</f>
        <v>816.00376872430593</v>
      </c>
      <c r="BE157" s="1056">
        <f>BE158/BE155</f>
        <v>783.48734568632472</v>
      </c>
      <c r="BF157" s="1060">
        <f>BF158/BF155</f>
        <v>749.22633997601326</v>
      </c>
      <c r="BG157" s="1060">
        <f>BG158/BG155</f>
        <v>846.47311131201616</v>
      </c>
      <c r="BH157" s="1056">
        <v>805</v>
      </c>
      <c r="BI157" s="1194">
        <f>IFERROR((BI158/BI155),"")</f>
        <v>792.18665308587333</v>
      </c>
      <c r="BJ157" s="1056">
        <f>BH157</f>
        <v>805</v>
      </c>
      <c r="BK157" s="1056">
        <f>BJ157</f>
        <v>805</v>
      </c>
      <c r="BL157" s="1056">
        <f t="shared" ref="BL157:BM157" si="347">BK157</f>
        <v>805</v>
      </c>
      <c r="BM157" s="1056">
        <f t="shared" si="347"/>
        <v>805</v>
      </c>
      <c r="BN157" s="1194">
        <f>IFERROR((BN158/BN155),"")</f>
        <v>805.00000000000023</v>
      </c>
      <c r="BO157" s="1056">
        <f>BM157</f>
        <v>805</v>
      </c>
      <c r="BP157" s="1056">
        <f>BO157</f>
        <v>805</v>
      </c>
      <c r="BQ157" s="1056">
        <f>BP157</f>
        <v>805</v>
      </c>
      <c r="BR157" s="1056">
        <f>BQ157</f>
        <v>805</v>
      </c>
      <c r="BS157" s="1194">
        <f>IFERROR((BS158/BS155),"")</f>
        <v>805.00000000000023</v>
      </c>
      <c r="BT157" s="1056">
        <f>BR157</f>
        <v>805</v>
      </c>
      <c r="BU157" s="1056">
        <f>BT157</f>
        <v>805</v>
      </c>
      <c r="BV157" s="1056">
        <f>BU157</f>
        <v>805</v>
      </c>
      <c r="BW157" s="1056">
        <f>BV157</f>
        <v>805</v>
      </c>
      <c r="BX157" s="1194">
        <f>IFERROR((BX158/BX155),"")</f>
        <v>805</v>
      </c>
      <c r="BY157" s="1526"/>
      <c r="BZ157" s="1194"/>
      <c r="CA157" s="1194"/>
      <c r="CB157" s="1194"/>
      <c r="CC157" s="1194"/>
      <c r="CD157" s="1194"/>
      <c r="CE157" s="1194"/>
      <c r="CF157" s="1194"/>
      <c r="CG157" s="1194"/>
      <c r="CH157" s="1194"/>
    </row>
    <row r="158" spans="1:99" s="1011" customFormat="1">
      <c r="A158" s="1013" t="s">
        <v>936</v>
      </c>
      <c r="B158" s="1015"/>
      <c r="C158" s="1015"/>
      <c r="D158" s="1015"/>
      <c r="E158" s="1015"/>
      <c r="F158" s="1014"/>
      <c r="G158" s="1015"/>
      <c r="H158" s="1015"/>
      <c r="I158" s="1015"/>
      <c r="J158" s="1015"/>
      <c r="K158" s="1014"/>
      <c r="L158" s="1015"/>
      <c r="M158" s="1015"/>
      <c r="N158" s="1015"/>
      <c r="O158" s="1015"/>
      <c r="P158" s="1014"/>
      <c r="Q158" s="1015"/>
      <c r="R158" s="1015"/>
      <c r="S158" s="1015"/>
      <c r="T158" s="1015"/>
      <c r="U158" s="1014"/>
      <c r="V158" s="1015"/>
      <c r="W158" s="1015"/>
      <c r="X158" s="1015"/>
      <c r="Y158" s="1015"/>
      <c r="Z158" s="1014"/>
      <c r="AA158" s="1015"/>
      <c r="AB158" s="1015"/>
      <c r="AC158" s="1015"/>
      <c r="AD158" s="1015"/>
      <c r="AE158" s="1014">
        <v>0</v>
      </c>
      <c r="AF158" s="1015">
        <f>'Client Unit Model'!AJ182</f>
        <v>0</v>
      </c>
      <c r="AG158" s="1015">
        <f>'Client Unit Model'!AK182</f>
        <v>165.56890636296777</v>
      </c>
      <c r="AH158" s="1015">
        <f>'Client Unit Model'!AL182</f>
        <v>212.77360002013958</v>
      </c>
      <c r="AI158" s="1015">
        <f>'Client Unit Model'!AM182</f>
        <v>160.00932453664399</v>
      </c>
      <c r="AJ158" s="1014">
        <f>AJ300</f>
        <v>538.35183091975136</v>
      </c>
      <c r="AK158" s="1015">
        <v>400</v>
      </c>
      <c r="AL158" s="1015">
        <v>893</v>
      </c>
      <c r="AM158" s="1015">
        <v>494</v>
      </c>
      <c r="AN158" s="1015">
        <v>409</v>
      </c>
      <c r="AO158" s="1014">
        <f>SUM(AK158:AN158)</f>
        <v>2196</v>
      </c>
      <c r="AP158" s="1015">
        <v>908</v>
      </c>
      <c r="AQ158" s="1015">
        <v>1104</v>
      </c>
      <c r="AR158" s="1015">
        <v>713</v>
      </c>
      <c r="AS158" s="1015">
        <v>888</v>
      </c>
      <c r="AT158" s="1014">
        <f>SUM(AP158:AS158)</f>
        <v>3613</v>
      </c>
      <c r="AU158" s="1015">
        <v>672</v>
      </c>
      <c r="AV158" s="1015">
        <v>1352</v>
      </c>
      <c r="AW158" s="1015">
        <v>1111</v>
      </c>
      <c r="AX158" s="1015">
        <v>965</v>
      </c>
      <c r="AY158" s="1014">
        <f>SUM(AU158:AX158)</f>
        <v>4100</v>
      </c>
      <c r="AZ158" s="1015">
        <v>926</v>
      </c>
      <c r="BA158" s="1015">
        <v>1321</v>
      </c>
      <c r="BB158" s="1015">
        <v>831</v>
      </c>
      <c r="BC158" s="1015">
        <v>948</v>
      </c>
      <c r="BD158" s="1014">
        <f>SUM(AZ158:BC158)</f>
        <v>4026</v>
      </c>
      <c r="BE158" s="1015">
        <v>1037</v>
      </c>
      <c r="BF158" s="1015">
        <v>1335</v>
      </c>
      <c r="BG158" s="1015">
        <v>1094</v>
      </c>
      <c r="BH158" s="1015">
        <f>BH157*BH155</f>
        <v>1124.6623149958041</v>
      </c>
      <c r="BI158" s="1014">
        <f>SUM(BE158:BH158)</f>
        <v>4590.6623149958041</v>
      </c>
      <c r="BJ158" s="1015">
        <f>BJ157*BJ155</f>
        <v>1188.6180468703355</v>
      </c>
      <c r="BK158" s="1015">
        <f>BK157*BK155</f>
        <v>1760.364449916666</v>
      </c>
      <c r="BL158" s="1015">
        <f>BL157*BL155</f>
        <v>1051.3251373726532</v>
      </c>
      <c r="BM158" s="1015">
        <f>BM157*BM155</f>
        <v>1041.597926680191</v>
      </c>
      <c r="BN158" s="1014">
        <f>SUM(BJ158:BM158)</f>
        <v>5041.9055608398467</v>
      </c>
      <c r="BO158" s="1015">
        <f>BO157*BO155</f>
        <v>1263.1120851215114</v>
      </c>
      <c r="BP158" s="1015">
        <f>BP157*BP155</f>
        <v>1881.8334072735781</v>
      </c>
      <c r="BQ158" s="1015">
        <f>BQ157*BQ155</f>
        <v>1130.4390875761023</v>
      </c>
      <c r="BR158" s="1015">
        <f>BR157*BR155</f>
        <v>1126.4077151175277</v>
      </c>
      <c r="BS158" s="1014">
        <f>SUM(BO158:BR158)</f>
        <v>5401.7922950887205</v>
      </c>
      <c r="BT158" s="1015">
        <f>BT157*BT155</f>
        <v>1305.7958882456637</v>
      </c>
      <c r="BU158" s="1015">
        <f>BU157*BU155</f>
        <v>1944.302219615947</v>
      </c>
      <c r="BV158" s="1015">
        <f>BV157*BV155</f>
        <v>1167.3064288159333</v>
      </c>
      <c r="BW158" s="1015">
        <f>BW157*BW155</f>
        <v>1162.503198167637</v>
      </c>
      <c r="BX158" s="1014">
        <f>SUM(BT158:BW158)</f>
        <v>5579.907734845181</v>
      </c>
      <c r="BY158" s="1523"/>
      <c r="BZ158" s="1014"/>
      <c r="CA158" s="1014"/>
      <c r="CB158" s="1014">
        <f>SUM(AM158:AN158,AP158:AQ158)</f>
        <v>2915</v>
      </c>
      <c r="CC158" s="1014">
        <f>SUM(AR158:AS158,AU158:AV158)</f>
        <v>3625</v>
      </c>
      <c r="CD158" s="1014">
        <f>SUM(AW158:AX158,AZ158:BA158)</f>
        <v>4323</v>
      </c>
      <c r="CE158" s="1014">
        <f>SUM(BB158:BC158,BE158:BF158)</f>
        <v>4151</v>
      </c>
      <c r="CF158" s="1014">
        <f>SUM(BG158:BH158,BJ158:BK158)</f>
        <v>5167.6448117828058</v>
      </c>
      <c r="CG158" s="1014">
        <f>SUM(BL158:BM158,BO158:BP158)</f>
        <v>5237.8685564479338</v>
      </c>
      <c r="CH158" s="1014">
        <f>SUM(BQ158:BR158,BT158:BU158)</f>
        <v>5506.9449105552403</v>
      </c>
    </row>
    <row r="159" spans="1:99" s="1022" customFormat="1">
      <c r="A159" s="1032" t="s">
        <v>926</v>
      </c>
      <c r="B159" s="1034"/>
      <c r="C159" s="1034"/>
      <c r="D159" s="1034"/>
      <c r="E159" s="1034"/>
      <c r="F159" s="1033"/>
      <c r="G159" s="1034"/>
      <c r="H159" s="1034"/>
      <c r="I159" s="1034"/>
      <c r="J159" s="1034"/>
      <c r="K159" s="1033"/>
      <c r="L159" s="1034"/>
      <c r="M159" s="1034"/>
      <c r="N159" s="1034"/>
      <c r="O159" s="1034"/>
      <c r="P159" s="1033"/>
      <c r="Q159" s="1034"/>
      <c r="R159" s="1034"/>
      <c r="S159" s="1034"/>
      <c r="T159" s="1034"/>
      <c r="U159" s="1033"/>
      <c r="V159" s="1034"/>
      <c r="W159" s="1034"/>
      <c r="X159" s="1034"/>
      <c r="Y159" s="1034"/>
      <c r="Z159" s="1033"/>
      <c r="AA159" s="1034"/>
      <c r="AB159" s="1034"/>
      <c r="AC159" s="1034"/>
      <c r="AD159" s="1034"/>
      <c r="AE159" s="1033"/>
      <c r="AF159" s="1017"/>
      <c r="AG159" s="1034"/>
      <c r="AH159" s="1034"/>
      <c r="AI159" s="1034"/>
      <c r="AJ159" s="1035">
        <f t="shared" ref="AJ159:BS159" si="348">IF(ISERROR(AJ158/AE158-1),,(AJ158/AE158-1))</f>
        <v>0</v>
      </c>
      <c r="AK159" s="1036">
        <f t="shared" si="348"/>
        <v>0</v>
      </c>
      <c r="AL159" s="1036">
        <f t="shared" si="348"/>
        <v>4.393524784432195</v>
      </c>
      <c r="AM159" s="1036">
        <f t="shared" si="348"/>
        <v>1.32171660371983</v>
      </c>
      <c r="AN159" s="1036">
        <f t="shared" si="348"/>
        <v>1.5561010346389796</v>
      </c>
      <c r="AO159" s="1035">
        <f t="shared" si="348"/>
        <v>3.0791168040577235</v>
      </c>
      <c r="AP159" s="1036">
        <f t="shared" si="348"/>
        <v>1.27</v>
      </c>
      <c r="AQ159" s="1036">
        <f t="shared" si="348"/>
        <v>0.23628219484882429</v>
      </c>
      <c r="AR159" s="1036">
        <f t="shared" si="348"/>
        <v>0.44331983805668007</v>
      </c>
      <c r="AS159" s="1036">
        <f t="shared" si="348"/>
        <v>1.1711491442542785</v>
      </c>
      <c r="AT159" s="1035">
        <f t="shared" si="348"/>
        <v>0.64526411657559191</v>
      </c>
      <c r="AU159" s="1036">
        <f t="shared" si="348"/>
        <v>-0.25991189427312777</v>
      </c>
      <c r="AV159" s="1036">
        <f t="shared" si="348"/>
        <v>0.2246376811594204</v>
      </c>
      <c r="AW159" s="1036">
        <f t="shared" si="348"/>
        <v>0.55820476858345014</v>
      </c>
      <c r="AX159" s="1036">
        <f t="shared" si="348"/>
        <v>8.671171171171177E-2</v>
      </c>
      <c r="AY159" s="1035">
        <f t="shared" si="348"/>
        <v>0.13479103238306123</v>
      </c>
      <c r="AZ159" s="1036">
        <f t="shared" si="348"/>
        <v>0.37797619047619047</v>
      </c>
      <c r="BA159" s="1036">
        <f t="shared" si="348"/>
        <v>-2.2928994082840215E-2</v>
      </c>
      <c r="BB159" s="1036">
        <f t="shared" si="348"/>
        <v>-0.25202520252025207</v>
      </c>
      <c r="BC159" s="1036">
        <f t="shared" si="348"/>
        <v>-1.7616580310880869E-2</v>
      </c>
      <c r="BD159" s="1035">
        <f t="shared" si="348"/>
        <v>-1.8048780487804894E-2</v>
      </c>
      <c r="BE159" s="1036">
        <f t="shared" si="348"/>
        <v>0.11987041036717061</v>
      </c>
      <c r="BF159" s="1036">
        <f t="shared" si="348"/>
        <v>1.0598031794095464E-2</v>
      </c>
      <c r="BG159" s="1036">
        <f t="shared" si="348"/>
        <v>0.31648616125150419</v>
      </c>
      <c r="BH159" s="1036">
        <f t="shared" si="348"/>
        <v>0.18635265294916037</v>
      </c>
      <c r="BI159" s="1035">
        <f t="shared" si="348"/>
        <v>0.14025392821554994</v>
      </c>
      <c r="BJ159" s="1036">
        <f t="shared" si="348"/>
        <v>0.14620833835133618</v>
      </c>
      <c r="BK159" s="1036">
        <f t="shared" si="348"/>
        <v>0.3186250561173527</v>
      </c>
      <c r="BL159" s="1036">
        <f t="shared" si="348"/>
        <v>-3.9008101121889238E-2</v>
      </c>
      <c r="BM159" s="1036">
        <f t="shared" si="348"/>
        <v>-7.3857181136119943E-2</v>
      </c>
      <c r="BN159" s="1035">
        <f t="shared" si="348"/>
        <v>9.829589172133546E-2</v>
      </c>
      <c r="BO159" s="1036">
        <f t="shared" si="348"/>
        <v>6.2672814406041333E-2</v>
      </c>
      <c r="BP159" s="1036">
        <f t="shared" si="348"/>
        <v>6.9002164502164565E-2</v>
      </c>
      <c r="BQ159" s="1036">
        <f t="shared" si="348"/>
        <v>7.5251648981932817E-2</v>
      </c>
      <c r="BR159" s="1036">
        <f t="shared" si="348"/>
        <v>8.1422770019948798E-2</v>
      </c>
      <c r="BS159" s="1035">
        <f t="shared" si="348"/>
        <v>7.1379110518072997E-2</v>
      </c>
      <c r="BT159" s="1036">
        <f t="shared" ref="BT159" si="349">IF(ISERROR(BT158/BO158-1),,(BT158/BO158-1))</f>
        <v>3.3792569659442551E-2</v>
      </c>
      <c r="BU159" s="1036">
        <f t="shared" ref="BU159" si="350">IF(ISERROR(BU158/BP158-1),,(BU158/BP158-1))</f>
        <v>3.3195718654434048E-2</v>
      </c>
      <c r="BV159" s="1036">
        <f t="shared" ref="BV159" si="351">IF(ISERROR(BV158/BQ158-1),,(BV158/BQ158-1))</f>
        <v>3.2613293051359626E-2</v>
      </c>
      <c r="BW159" s="1036">
        <f t="shared" ref="BW159" si="352">IF(ISERROR(BW158/BR158-1),,(BW158/BR158-1))</f>
        <v>3.2044776119402929E-2</v>
      </c>
      <c r="BX159" s="1035">
        <f t="shared" ref="BX159" si="353">IF(ISERROR(BX158/BS158-1),,(BX158/BS158-1))</f>
        <v>3.2973396611047479E-2</v>
      </c>
      <c r="BY159" s="1438"/>
      <c r="BZ159" s="1035"/>
      <c r="CA159" s="1035"/>
      <c r="CB159" s="1035"/>
      <c r="CC159" s="1035"/>
      <c r="CD159" s="1035"/>
      <c r="CE159" s="1035"/>
      <c r="CF159" s="1035"/>
      <c r="CG159" s="1035"/>
      <c r="CH159" s="1035"/>
    </row>
    <row r="160" spans="1:99">
      <c r="A160" s="1341"/>
      <c r="B160" s="1345"/>
      <c r="C160" s="1345"/>
      <c r="D160" s="1345"/>
      <c r="E160" s="1345"/>
      <c r="F160" s="1346"/>
      <c r="G160" s="1345"/>
      <c r="H160" s="1345"/>
      <c r="I160" s="1345"/>
      <c r="J160" s="1345"/>
      <c r="K160" s="1346"/>
      <c r="L160" s="1345"/>
      <c r="M160" s="1345"/>
      <c r="N160" s="1345"/>
      <c r="O160" s="1345"/>
      <c r="P160" s="1346"/>
      <c r="Q160" s="1345"/>
      <c r="R160" s="1345"/>
      <c r="S160" s="1345"/>
      <c r="T160" s="1345"/>
      <c r="U160" s="1346"/>
      <c r="V160" s="1345"/>
      <c r="W160" s="1345"/>
      <c r="X160" s="1345"/>
      <c r="Y160" s="1345"/>
      <c r="Z160" s="1346"/>
      <c r="AA160" s="1345"/>
      <c r="AB160" s="1345"/>
      <c r="AC160" s="1345"/>
      <c r="AD160" s="1345"/>
      <c r="AE160" s="1346"/>
      <c r="AF160" s="1347"/>
      <c r="AG160" s="1347"/>
      <c r="AH160" s="1347"/>
      <c r="AI160" s="1347"/>
      <c r="AJ160" s="1346"/>
      <c r="AK160" s="1347"/>
      <c r="AL160" s="1347"/>
      <c r="AM160" s="1347"/>
      <c r="AN160" s="1347"/>
      <c r="AO160" s="1344"/>
      <c r="AP160" s="1236"/>
      <c r="AQ160" s="1347"/>
      <c r="AR160" s="1236">
        <f>400/SUM(AP158:AR158)</f>
        <v>0.14678899082568808</v>
      </c>
      <c r="AS160" s="1347"/>
      <c r="AT160" s="1344"/>
      <c r="AU160" s="1236"/>
      <c r="AV160" s="1347"/>
      <c r="AW160" s="1347"/>
      <c r="AX160" s="1347"/>
      <c r="AY160" s="1344"/>
      <c r="AZ160" s="1236"/>
      <c r="BA160" s="1347"/>
      <c r="BB160" s="1347"/>
      <c r="BC160" s="1347"/>
      <c r="BD160" s="1344"/>
      <c r="BE160" s="1347"/>
      <c r="BF160" s="1347"/>
      <c r="BG160" s="1347"/>
      <c r="BH160" s="1347"/>
      <c r="BI160" s="1344"/>
      <c r="BJ160" s="1347"/>
      <c r="BK160" s="1347"/>
      <c r="BL160" s="1347"/>
      <c r="BM160" s="1347"/>
      <c r="BN160" s="1344"/>
      <c r="BO160" s="1347"/>
      <c r="BP160" s="1347"/>
      <c r="BQ160" s="1347"/>
      <c r="BR160" s="1347"/>
      <c r="BS160" s="1344"/>
      <c r="BT160" s="1347"/>
      <c r="BU160" s="1347"/>
      <c r="BV160" s="1347"/>
      <c r="BW160" s="1347"/>
      <c r="BX160" s="1344"/>
      <c r="BY160" s="1343"/>
      <c r="BZ160" s="1344"/>
      <c r="CA160" s="1344"/>
      <c r="CB160" s="1344"/>
      <c r="CC160" s="1344"/>
      <c r="CD160" s="1344"/>
      <c r="CE160" s="1344"/>
      <c r="CF160" s="1344"/>
      <c r="CG160" s="1344"/>
      <c r="CH160" s="1344"/>
    </row>
    <row r="161" spans="1:86">
      <c r="A161" s="1050" t="s">
        <v>1124</v>
      </c>
      <c r="B161" s="1051"/>
      <c r="C161" s="1051"/>
      <c r="D161" s="1051"/>
      <c r="E161" s="1051"/>
      <c r="F161" s="1052"/>
      <c r="G161" s="1051"/>
      <c r="H161" s="1051"/>
      <c r="I161" s="1051"/>
      <c r="J161" s="1051"/>
      <c r="K161" s="1052"/>
      <c r="L161" s="1051"/>
      <c r="M161" s="1051"/>
      <c r="N161" s="1051"/>
      <c r="O161" s="1051"/>
      <c r="P161" s="1052"/>
      <c r="Q161" s="1051"/>
      <c r="R161" s="1051"/>
      <c r="S161" s="1051"/>
      <c r="T161" s="1051"/>
      <c r="U161" s="1052"/>
      <c r="V161" s="1051"/>
      <c r="W161" s="1051"/>
      <c r="X161" s="1051"/>
      <c r="Y161" s="1051"/>
      <c r="Z161" s="1052"/>
      <c r="AA161" s="1051"/>
      <c r="AB161" s="1051"/>
      <c r="AC161" s="1051"/>
      <c r="AD161" s="1051"/>
      <c r="AE161" s="1052"/>
      <c r="AF161" s="1053"/>
      <c r="AG161" s="1051"/>
      <c r="AH161" s="1051"/>
      <c r="AI161" s="1051"/>
      <c r="AJ161" s="1052"/>
      <c r="AK161" s="1054"/>
      <c r="AL161" s="1051"/>
      <c r="AM161" s="1051"/>
      <c r="AN161" s="1051"/>
      <c r="AO161" s="1052"/>
      <c r="AP161" s="1054"/>
      <c r="AQ161" s="1051"/>
      <c r="AR161" s="1051"/>
      <c r="AS161" s="1051"/>
      <c r="AT161" s="1052"/>
      <c r="AU161" s="1054"/>
      <c r="AV161" s="1051"/>
      <c r="AW161" s="1051"/>
      <c r="AX161" s="1051"/>
      <c r="AY161" s="1052"/>
      <c r="AZ161" s="1054"/>
      <c r="BA161" s="1051"/>
      <c r="BB161" s="1051"/>
      <c r="BC161" s="1051"/>
      <c r="BD161" s="1052"/>
      <c r="BE161" s="1054"/>
      <c r="BF161" s="1051"/>
      <c r="BG161" s="1051"/>
      <c r="BH161" s="1051"/>
      <c r="BI161" s="1052"/>
      <c r="BJ161" s="1054"/>
      <c r="BK161" s="1051"/>
      <c r="BL161" s="1051"/>
      <c r="BM161" s="1051"/>
      <c r="BN161" s="1052"/>
      <c r="BO161" s="1054"/>
      <c r="BP161" s="1051"/>
      <c r="BQ161" s="1051"/>
      <c r="BR161" s="1051"/>
      <c r="BS161" s="1052"/>
      <c r="BT161" s="1054"/>
      <c r="BU161" s="1051"/>
      <c r="BV161" s="1051"/>
      <c r="BW161" s="1051"/>
      <c r="BX161" s="1052"/>
      <c r="BY161" s="1343"/>
      <c r="BZ161" s="1052"/>
      <c r="CA161" s="1052"/>
      <c r="CB161" s="1052"/>
      <c r="CC161" s="1052"/>
      <c r="CD161" s="1052"/>
      <c r="CE161" s="1052"/>
      <c r="CF161" s="1052"/>
      <c r="CG161" s="1052"/>
      <c r="CH161" s="1052"/>
    </row>
    <row r="162" spans="1:86" s="1021" customFormat="1">
      <c r="A162" s="1020" t="s">
        <v>947</v>
      </c>
      <c r="B162" s="1025">
        <v>0.9</v>
      </c>
      <c r="C162" s="1025">
        <v>4.4000000000000004</v>
      </c>
      <c r="D162" s="1025">
        <v>0.5</v>
      </c>
      <c r="E162" s="1025">
        <v>0.7</v>
      </c>
      <c r="F162" s="1024">
        <f>SUM(B162:E162)</f>
        <v>6.5000000000000009</v>
      </c>
      <c r="G162" s="1025">
        <v>1.8</v>
      </c>
      <c r="H162" s="1025">
        <v>4.3</v>
      </c>
      <c r="I162" s="1025">
        <v>1.3</v>
      </c>
      <c r="J162" s="1025">
        <v>1.3</v>
      </c>
      <c r="K162" s="1024">
        <f>SUM(G162:J162)</f>
        <v>8.6999999999999993</v>
      </c>
      <c r="L162" s="1025">
        <v>2.2000000000000002</v>
      </c>
      <c r="M162" s="1025">
        <v>6</v>
      </c>
      <c r="N162" s="1025">
        <v>1.7</v>
      </c>
      <c r="O162" s="1025">
        <v>1.2</v>
      </c>
      <c r="P162" s="1024">
        <f>SUM(L162:O162)</f>
        <v>11.099999999999998</v>
      </c>
      <c r="Q162" s="1025">
        <v>2.1</v>
      </c>
      <c r="R162" s="1025">
        <v>5.2</v>
      </c>
      <c r="S162" s="1025">
        <v>1.5</v>
      </c>
      <c r="T162" s="1025">
        <v>1.5</v>
      </c>
      <c r="U162" s="1024">
        <f>SUM(Q162:T162)</f>
        <v>10.3</v>
      </c>
      <c r="V162" s="1025">
        <v>2.8</v>
      </c>
      <c r="W162" s="1025">
        <v>6.3</v>
      </c>
      <c r="X162" s="1025">
        <v>2.7</v>
      </c>
      <c r="Y162" s="1025">
        <v>1.7</v>
      </c>
      <c r="Z162" s="1024">
        <f>SUM(V162:Y162)</f>
        <v>13.5</v>
      </c>
      <c r="AA162" s="1025">
        <v>2.2999999999999998</v>
      </c>
      <c r="AB162" s="1025">
        <v>8.1999999999999993</v>
      </c>
      <c r="AC162" s="1025">
        <v>1.4</v>
      </c>
      <c r="AD162" s="1025">
        <v>1.1000000000000001</v>
      </c>
      <c r="AE162" s="1024">
        <f>SUM(AA162:AD162)</f>
        <v>13</v>
      </c>
      <c r="AF162" s="1025">
        <v>1.7</v>
      </c>
      <c r="AG162" s="1025">
        <v>5.9</v>
      </c>
      <c r="AH162" s="1025">
        <v>1.3</v>
      </c>
      <c r="AI162" s="1025">
        <v>1</v>
      </c>
      <c r="AJ162" s="1024">
        <f>SUM(AF162:AI162)</f>
        <v>9.9</v>
      </c>
      <c r="AK162" s="1025">
        <v>1.2</v>
      </c>
      <c r="AL162" s="1025">
        <v>3.5</v>
      </c>
      <c r="AM162" s="1025">
        <v>0.8</v>
      </c>
      <c r="AN162" s="1025">
        <v>0.25</v>
      </c>
      <c r="AO162" s="1024">
        <f>SUM(AK162:AN162)</f>
        <v>5.75</v>
      </c>
      <c r="AP162" s="1025">
        <v>0.3</v>
      </c>
      <c r="AQ162" s="1025">
        <v>1</v>
      </c>
      <c r="AR162" s="1025">
        <v>7.4999999999999997E-2</v>
      </c>
      <c r="AS162" s="1025">
        <v>7.4999999999999997E-2</v>
      </c>
      <c r="AT162" s="1024">
        <f>SUM(AP162:AS162)</f>
        <v>1.45</v>
      </c>
      <c r="AU162" s="1025">
        <f>AP162*(1+AU163)</f>
        <v>7.4999999999999997E-2</v>
      </c>
      <c r="AV162" s="1025">
        <f>AQ162*(1+AV163)</f>
        <v>0.35</v>
      </c>
      <c r="AW162" s="1025">
        <f>AR162*(1+AW163)</f>
        <v>4.8750000000000002E-2</v>
      </c>
      <c r="AX162" s="1025">
        <f>AS162*(1+AX163)</f>
        <v>4.4999999999999998E-2</v>
      </c>
      <c r="AY162" s="1024">
        <f>SUM(AU162:AX162)</f>
        <v>0.51875000000000004</v>
      </c>
      <c r="AZ162" s="1025">
        <f>AU162*(1+AZ163)</f>
        <v>3.7499999999999999E-2</v>
      </c>
      <c r="BA162" s="1025">
        <f>AV162*(1+BA163)</f>
        <v>5.2500000000000005E-2</v>
      </c>
      <c r="BB162" s="1025">
        <v>0</v>
      </c>
      <c r="BC162" s="1025">
        <v>0</v>
      </c>
      <c r="BD162" s="1024">
        <f>SUM(AZ162:BC162)</f>
        <v>0.09</v>
      </c>
      <c r="BE162" s="1192">
        <v>0</v>
      </c>
      <c r="BF162" s="1192">
        <v>0</v>
      </c>
      <c r="BG162" s="1192">
        <v>0</v>
      </c>
      <c r="BH162" s="1192">
        <v>0</v>
      </c>
      <c r="BI162" s="1024">
        <f>SUM(BE162:BH162)</f>
        <v>0</v>
      </c>
      <c r="BJ162" s="1192">
        <v>0</v>
      </c>
      <c r="BK162" s="1192">
        <v>0</v>
      </c>
      <c r="BL162" s="1192">
        <v>0</v>
      </c>
      <c r="BM162" s="1192">
        <v>0</v>
      </c>
      <c r="BN162" s="1024">
        <f>SUM(BJ162:BM162)</f>
        <v>0</v>
      </c>
      <c r="BO162" s="1192">
        <v>0</v>
      </c>
      <c r="BP162" s="1192">
        <v>0</v>
      </c>
      <c r="BQ162" s="1192">
        <v>0</v>
      </c>
      <c r="BR162" s="1192">
        <v>0</v>
      </c>
      <c r="BS162" s="1024">
        <f>SUM(BO162:BR162)</f>
        <v>0</v>
      </c>
      <c r="BT162" s="1192">
        <v>0</v>
      </c>
      <c r="BU162" s="1192">
        <v>0</v>
      </c>
      <c r="BV162" s="1192">
        <v>0</v>
      </c>
      <c r="BW162" s="1192">
        <v>0</v>
      </c>
      <c r="BX162" s="1024">
        <f>SUM(BT162:BW162)</f>
        <v>0</v>
      </c>
      <c r="BY162" s="1521"/>
      <c r="BZ162" s="1024"/>
      <c r="CA162" s="1024"/>
      <c r="CB162" s="1024">
        <f>SUM(AM162:AN162,AP162:AQ162)</f>
        <v>2.35</v>
      </c>
      <c r="CC162" s="1024">
        <f>SUM(AR162:AS162,AU162:AV162)</f>
        <v>0.57499999999999996</v>
      </c>
      <c r="CD162" s="1024">
        <f>SUM(AW162:AX162,AZ162:BA162)</f>
        <v>0.18375000000000002</v>
      </c>
      <c r="CE162" s="1024">
        <f>SUM(BB162:BC162,BE162:BF162)</f>
        <v>0</v>
      </c>
      <c r="CF162" s="1024">
        <f>SUM(BG162:BH162,BJ162:BK162)</f>
        <v>0</v>
      </c>
      <c r="CG162" s="1024">
        <f>SUM(BL162:BM162,BO162:BP162)</f>
        <v>0</v>
      </c>
      <c r="CH162" s="1024">
        <f>SUM(BQ162:BR162,BT162:BU162)</f>
        <v>0</v>
      </c>
    </row>
    <row r="163" spans="1:86" s="1022" customFormat="1">
      <c r="A163" s="1452" t="s">
        <v>926</v>
      </c>
      <c r="B163" s="1453"/>
      <c r="C163" s="1453"/>
      <c r="D163" s="1453"/>
      <c r="E163" s="1453"/>
      <c r="F163" s="1454"/>
      <c r="G163" s="1442">
        <f t="shared" ref="G163:AS163" si="354">IF(ISERROR(G162/B162-1),,(G162/B162-1))</f>
        <v>1</v>
      </c>
      <c r="H163" s="1442">
        <f t="shared" si="354"/>
        <v>-2.2727272727272818E-2</v>
      </c>
      <c r="I163" s="1442">
        <f t="shared" si="354"/>
        <v>1.6</v>
      </c>
      <c r="J163" s="1442">
        <f t="shared" si="354"/>
        <v>0.85714285714285743</v>
      </c>
      <c r="K163" s="1443">
        <f t="shared" si="354"/>
        <v>0.33846153846153815</v>
      </c>
      <c r="L163" s="1442">
        <f t="shared" si="354"/>
        <v>0.22222222222222232</v>
      </c>
      <c r="M163" s="1442">
        <f t="shared" si="354"/>
        <v>0.39534883720930236</v>
      </c>
      <c r="N163" s="1442">
        <f t="shared" si="354"/>
        <v>0.30769230769230771</v>
      </c>
      <c r="O163" s="1442">
        <f t="shared" si="354"/>
        <v>-7.6923076923076983E-2</v>
      </c>
      <c r="P163" s="1443">
        <f t="shared" si="354"/>
        <v>0.27586206896551713</v>
      </c>
      <c r="Q163" s="1442">
        <f t="shared" si="354"/>
        <v>-4.5454545454545525E-2</v>
      </c>
      <c r="R163" s="1442">
        <f t="shared" si="354"/>
        <v>-0.1333333333333333</v>
      </c>
      <c r="S163" s="1442">
        <f t="shared" si="354"/>
        <v>-0.11764705882352944</v>
      </c>
      <c r="T163" s="1442">
        <f t="shared" si="354"/>
        <v>0.25</v>
      </c>
      <c r="U163" s="1443">
        <f t="shared" si="354"/>
        <v>-7.207207207207178E-2</v>
      </c>
      <c r="V163" s="1442">
        <f t="shared" si="354"/>
        <v>0.33333333333333326</v>
      </c>
      <c r="W163" s="1442">
        <f t="shared" si="354"/>
        <v>0.21153846153846145</v>
      </c>
      <c r="X163" s="1442">
        <f t="shared" si="354"/>
        <v>0.8</v>
      </c>
      <c r="Y163" s="1442">
        <f t="shared" si="354"/>
        <v>0.1333333333333333</v>
      </c>
      <c r="Z163" s="1443">
        <f t="shared" si="354"/>
        <v>0.3106796116504853</v>
      </c>
      <c r="AA163" s="1442">
        <f t="shared" si="354"/>
        <v>-0.1785714285714286</v>
      </c>
      <c r="AB163" s="1442">
        <f t="shared" si="354"/>
        <v>0.3015873015873014</v>
      </c>
      <c r="AC163" s="1442">
        <f t="shared" si="354"/>
        <v>-0.48148148148148151</v>
      </c>
      <c r="AD163" s="1442">
        <f t="shared" si="354"/>
        <v>-0.3529411764705882</v>
      </c>
      <c r="AE163" s="1443">
        <f t="shared" si="354"/>
        <v>-3.703703703703709E-2</v>
      </c>
      <c r="AF163" s="1442">
        <f t="shared" si="354"/>
        <v>-0.26086956521739124</v>
      </c>
      <c r="AG163" s="1442">
        <f t="shared" si="354"/>
        <v>-0.2804878048780487</v>
      </c>
      <c r="AH163" s="1442">
        <f t="shared" si="354"/>
        <v>-7.1428571428571286E-2</v>
      </c>
      <c r="AI163" s="1442">
        <f t="shared" si="354"/>
        <v>-9.0909090909090939E-2</v>
      </c>
      <c r="AJ163" s="1443">
        <f t="shared" si="354"/>
        <v>-0.23846153846153839</v>
      </c>
      <c r="AK163" s="1442">
        <f t="shared" si="354"/>
        <v>-0.29411764705882348</v>
      </c>
      <c r="AL163" s="1442">
        <f t="shared" si="354"/>
        <v>-0.40677966101694918</v>
      </c>
      <c r="AM163" s="1442">
        <f t="shared" si="354"/>
        <v>-0.38461538461538458</v>
      </c>
      <c r="AN163" s="1442">
        <f t="shared" si="354"/>
        <v>-0.75</v>
      </c>
      <c r="AO163" s="1443">
        <f>IF(ISERROR(AO162/AJ162-1),,(AO162/AJ162-1))</f>
        <v>-0.41919191919191923</v>
      </c>
      <c r="AP163" s="1442">
        <f t="shared" si="354"/>
        <v>-0.75</v>
      </c>
      <c r="AQ163" s="1442">
        <f t="shared" si="354"/>
        <v>-0.7142857142857143</v>
      </c>
      <c r="AR163" s="1442">
        <f t="shared" si="354"/>
        <v>-0.90625</v>
      </c>
      <c r="AS163" s="1442">
        <f t="shared" si="354"/>
        <v>-0.7</v>
      </c>
      <c r="AT163" s="1443">
        <f>IF(ISERROR(AT162/AO162-1),,(AT162/AO162-1))</f>
        <v>-0.74782608695652175</v>
      </c>
      <c r="AU163" s="1442">
        <v>-0.75</v>
      </c>
      <c r="AV163" s="1442">
        <v>-0.65</v>
      </c>
      <c r="AW163" s="1442">
        <v>-0.35</v>
      </c>
      <c r="AX163" s="1442">
        <v>-0.4</v>
      </c>
      <c r="AY163" s="1443">
        <f>IF(ISERROR(AY162/AT162-1),,(AY162/AT162-1))</f>
        <v>-0.64224137931034475</v>
      </c>
      <c r="AZ163" s="1442">
        <v>-0.5</v>
      </c>
      <c r="BA163" s="1442">
        <v>-0.85</v>
      </c>
      <c r="BB163" s="1455"/>
      <c r="BC163" s="1455"/>
      <c r="BD163" s="1443">
        <f>IF(ISERROR(BD162/AY162-1),,(BD162/AY162-1))</f>
        <v>-0.82650602409638552</v>
      </c>
      <c r="BE163" s="1455"/>
      <c r="BF163" s="1455"/>
      <c r="BG163" s="1455"/>
      <c r="BH163" s="1455"/>
      <c r="BI163" s="1443"/>
      <c r="BJ163" s="1455"/>
      <c r="BK163" s="1455"/>
      <c r="BL163" s="1455"/>
      <c r="BM163" s="1455"/>
      <c r="BN163" s="1443"/>
      <c r="BO163" s="1455"/>
      <c r="BP163" s="1455"/>
      <c r="BQ163" s="1455"/>
      <c r="BR163" s="1455"/>
      <c r="BS163" s="1443"/>
      <c r="BT163" s="1455"/>
      <c r="BU163" s="1455"/>
      <c r="BV163" s="1455"/>
      <c r="BW163" s="1455"/>
      <c r="BX163" s="1443"/>
      <c r="BY163" s="1438"/>
      <c r="BZ163" s="1443"/>
      <c r="CA163" s="1443"/>
      <c r="CB163" s="1443"/>
      <c r="CC163" s="1443"/>
      <c r="CD163" s="1443"/>
      <c r="CE163" s="1443"/>
      <c r="CF163" s="1443"/>
      <c r="CG163" s="1443"/>
      <c r="CH163" s="1443"/>
    </row>
    <row r="164" spans="1:86" s="1059" customFormat="1">
      <c r="A164" s="1055" t="s">
        <v>938</v>
      </c>
      <c r="B164" s="1060"/>
      <c r="C164" s="1060"/>
      <c r="D164" s="1060"/>
      <c r="E164" s="1060"/>
      <c r="F164" s="1058"/>
      <c r="G164" s="1060"/>
      <c r="H164" s="1060"/>
      <c r="I164" s="1060"/>
      <c r="J164" s="1060"/>
      <c r="K164" s="1058"/>
      <c r="L164" s="1060"/>
      <c r="M164" s="1060"/>
      <c r="N164" s="1060"/>
      <c r="O164" s="1060"/>
      <c r="P164" s="1058"/>
      <c r="Q164" s="1060"/>
      <c r="R164" s="1060"/>
      <c r="S164" s="1060"/>
      <c r="T164" s="1060"/>
      <c r="U164" s="1058"/>
      <c r="V164" s="1060"/>
      <c r="W164" s="1060"/>
      <c r="X164" s="1060"/>
      <c r="Y164" s="1060"/>
      <c r="Z164" s="1058"/>
      <c r="AA164" s="1060"/>
      <c r="AB164" s="1060"/>
      <c r="AC164" s="1060"/>
      <c r="AD164" s="1060"/>
      <c r="AE164" s="1057"/>
      <c r="AF164" s="1056"/>
      <c r="AG164" s="1056"/>
      <c r="AH164" s="1056"/>
      <c r="AI164" s="1056"/>
      <c r="AJ164" s="1058"/>
      <c r="AK164" s="1056">
        <v>229</v>
      </c>
      <c r="AL164" s="1056">
        <f t="shared" ref="AL164:AS164" si="355">AK164</f>
        <v>229</v>
      </c>
      <c r="AM164" s="1056">
        <f t="shared" si="355"/>
        <v>229</v>
      </c>
      <c r="AN164" s="1056">
        <f t="shared" si="355"/>
        <v>229</v>
      </c>
      <c r="AO164" s="1058">
        <f>AO165/AO162</f>
        <v>229</v>
      </c>
      <c r="AP164" s="1056">
        <f t="shared" si="355"/>
        <v>229</v>
      </c>
      <c r="AQ164" s="1056">
        <f t="shared" si="355"/>
        <v>229</v>
      </c>
      <c r="AR164" s="1056">
        <f t="shared" si="355"/>
        <v>229</v>
      </c>
      <c r="AS164" s="1056">
        <f t="shared" si="355"/>
        <v>229</v>
      </c>
      <c r="AT164" s="1058">
        <f>AT165/AT162</f>
        <v>229.00000000000003</v>
      </c>
      <c r="AU164" s="1056">
        <f>AS164*0.95</f>
        <v>217.54999999999998</v>
      </c>
      <c r="AV164" s="1056">
        <f>AU164</f>
        <v>217.54999999999998</v>
      </c>
      <c r="AW164" s="1056">
        <v>200</v>
      </c>
      <c r="AX164" s="1056">
        <v>150</v>
      </c>
      <c r="AY164" s="1058">
        <f>AY165/AY162</f>
        <v>210.04096385542164</v>
      </c>
      <c r="AZ164" s="1056">
        <v>150</v>
      </c>
      <c r="BA164" s="1056">
        <v>150</v>
      </c>
      <c r="BB164" s="1056"/>
      <c r="BC164" s="1056"/>
      <c r="BD164" s="1058">
        <f>BD165/BD162</f>
        <v>150</v>
      </c>
      <c r="BE164" s="1056"/>
      <c r="BF164" s="1056"/>
      <c r="BG164" s="1056"/>
      <c r="BH164" s="1056"/>
      <c r="BI164" s="1058"/>
      <c r="BJ164" s="1056"/>
      <c r="BK164" s="1056"/>
      <c r="BL164" s="1056"/>
      <c r="BM164" s="1056"/>
      <c r="BN164" s="1058"/>
      <c r="BO164" s="1056"/>
      <c r="BP164" s="1056"/>
      <c r="BQ164" s="1056"/>
      <c r="BR164" s="1056"/>
      <c r="BS164" s="1058"/>
      <c r="BT164" s="1056"/>
      <c r="BU164" s="1056"/>
      <c r="BV164" s="1056"/>
      <c r="BW164" s="1056"/>
      <c r="BX164" s="1058"/>
      <c r="BY164" s="1526"/>
      <c r="BZ164" s="1058"/>
      <c r="CA164" s="1058"/>
      <c r="CB164" s="1058"/>
      <c r="CC164" s="1058"/>
      <c r="CD164" s="1058"/>
      <c r="CE164" s="1058"/>
      <c r="CF164" s="1058"/>
      <c r="CG164" s="1058"/>
      <c r="CH164" s="1058"/>
    </row>
    <row r="165" spans="1:86" s="1005" customFormat="1">
      <c r="A165" s="1062" t="s">
        <v>949</v>
      </c>
      <c r="B165" s="1063"/>
      <c r="C165" s="1063"/>
      <c r="D165" s="1063"/>
      <c r="E165" s="1063"/>
      <c r="F165" s="1064"/>
      <c r="G165" s="1063"/>
      <c r="H165" s="1063"/>
      <c r="I165" s="1063"/>
      <c r="J165" s="1063"/>
      <c r="K165" s="1064"/>
      <c r="L165" s="1063"/>
      <c r="M165" s="1063"/>
      <c r="N165" s="1063"/>
      <c r="O165" s="1063"/>
      <c r="P165" s="1064"/>
      <c r="Q165" s="1063"/>
      <c r="R165" s="1063"/>
      <c r="S165" s="1063"/>
      <c r="T165" s="1063"/>
      <c r="U165" s="1064"/>
      <c r="V165" s="1063"/>
      <c r="W165" s="1063"/>
      <c r="X165" s="1063"/>
      <c r="Y165" s="1063"/>
      <c r="Z165" s="1064"/>
      <c r="AA165" s="1063"/>
      <c r="AB165" s="1063"/>
      <c r="AC165" s="1063"/>
      <c r="AD165" s="1063"/>
      <c r="AE165" s="1064"/>
      <c r="AF165" s="1063"/>
      <c r="AG165" s="1063"/>
      <c r="AH165" s="1063"/>
      <c r="AI165" s="1063"/>
      <c r="AJ165" s="1064"/>
      <c r="AK165" s="1063">
        <f>AK164*AK162</f>
        <v>274.8</v>
      </c>
      <c r="AL165" s="1063">
        <f>AL164*AL162</f>
        <v>801.5</v>
      </c>
      <c r="AM165" s="1063">
        <f>AM164*AM162</f>
        <v>183.20000000000002</v>
      </c>
      <c r="AN165" s="1063">
        <f>AN164*AN162</f>
        <v>57.25</v>
      </c>
      <c r="AO165" s="1064">
        <f>SUM(AK165:AN165)</f>
        <v>1316.75</v>
      </c>
      <c r="AP165" s="1063">
        <f>AP164*AP162</f>
        <v>68.7</v>
      </c>
      <c r="AQ165" s="1063">
        <f>AQ164*AQ162</f>
        <v>229</v>
      </c>
      <c r="AR165" s="1063">
        <f>AR164*AR162</f>
        <v>17.175000000000001</v>
      </c>
      <c r="AS165" s="1063">
        <f>AS164*AS162</f>
        <v>17.175000000000001</v>
      </c>
      <c r="AT165" s="1064">
        <f>SUM(AP165:AS165)</f>
        <v>332.05</v>
      </c>
      <c r="AU165" s="1063">
        <f>AU164*AU162</f>
        <v>16.316249999999997</v>
      </c>
      <c r="AV165" s="1063">
        <f>AV164*AV162</f>
        <v>76.142499999999984</v>
      </c>
      <c r="AW165" s="1063">
        <f>AW164*AW162</f>
        <v>9.75</v>
      </c>
      <c r="AX165" s="1063">
        <f>AX164*AX162</f>
        <v>6.75</v>
      </c>
      <c r="AY165" s="1064">
        <f>SUM(AU165:AX165)</f>
        <v>108.95874999999998</v>
      </c>
      <c r="AZ165" s="1063">
        <f>AZ164*AZ162</f>
        <v>5.625</v>
      </c>
      <c r="BA165" s="1063">
        <f>BA164*BA162</f>
        <v>7.8750000000000009</v>
      </c>
      <c r="BB165" s="1063">
        <f>BB164*BB162</f>
        <v>0</v>
      </c>
      <c r="BC165" s="1063">
        <f>BC164*BC162</f>
        <v>0</v>
      </c>
      <c r="BD165" s="1064">
        <f>SUM(AZ165:BC165)</f>
        <v>13.5</v>
      </c>
      <c r="BE165" s="1195">
        <f>BE164*BE162</f>
        <v>0</v>
      </c>
      <c r="BF165" s="1063">
        <f>BF164*BF162</f>
        <v>0</v>
      </c>
      <c r="BG165" s="1063">
        <f>BG164*BG162</f>
        <v>0</v>
      </c>
      <c r="BH165" s="1195">
        <f>BH164*BH162</f>
        <v>0</v>
      </c>
      <c r="BI165" s="1064">
        <f>SUM(BE165:BH165)</f>
        <v>0</v>
      </c>
      <c r="BJ165" s="1195">
        <f>BJ164*BJ162</f>
        <v>0</v>
      </c>
      <c r="BK165" s="1195">
        <f>BK164*BK162</f>
        <v>0</v>
      </c>
      <c r="BL165" s="1195">
        <f>BL164*BL162</f>
        <v>0</v>
      </c>
      <c r="BM165" s="1195">
        <f>BM164*BM162</f>
        <v>0</v>
      </c>
      <c r="BN165" s="1064">
        <f>SUM(BJ165:BM165)</f>
        <v>0</v>
      </c>
      <c r="BO165" s="1195">
        <f>BO164*BO162</f>
        <v>0</v>
      </c>
      <c r="BP165" s="1195">
        <f>BP164*BP162</f>
        <v>0</v>
      </c>
      <c r="BQ165" s="1195">
        <f>BQ164*BQ162</f>
        <v>0</v>
      </c>
      <c r="BR165" s="1195">
        <f>BR164*BR162</f>
        <v>0</v>
      </c>
      <c r="BS165" s="1064">
        <f>SUM(BO165:BR165)</f>
        <v>0</v>
      </c>
      <c r="BT165" s="1195">
        <f>BT164*BT162</f>
        <v>0</v>
      </c>
      <c r="BU165" s="1195">
        <f>BU164*BU162</f>
        <v>0</v>
      </c>
      <c r="BV165" s="1195">
        <f>BV164*BV162</f>
        <v>0</v>
      </c>
      <c r="BW165" s="1195">
        <f>BW164*BW162</f>
        <v>0</v>
      </c>
      <c r="BX165" s="1064">
        <f>SUM(BT165:BW165)</f>
        <v>0</v>
      </c>
      <c r="BY165" s="1522"/>
      <c r="BZ165" s="1064"/>
      <c r="CA165" s="1064"/>
      <c r="CB165" s="1064">
        <f>SUM(AM165:AN165,AP165:AQ165)</f>
        <v>538.15000000000009</v>
      </c>
      <c r="CC165" s="1064">
        <f>SUM(AR165:AS165,AU165:AV165)</f>
        <v>126.80874999999997</v>
      </c>
      <c r="CD165" s="1064">
        <f>SUM(AW165:AX165,AZ165:BA165)</f>
        <v>30</v>
      </c>
      <c r="CE165" s="1064">
        <f>SUM(BB165:BC165,BE165:BF165)</f>
        <v>0</v>
      </c>
      <c r="CF165" s="1064">
        <f>SUM(BG165:BH165,BJ165:BK165)</f>
        <v>0</v>
      </c>
      <c r="CG165" s="1064">
        <f>SUM(BL165:BM165,BO165:BP165)</f>
        <v>0</v>
      </c>
      <c r="CH165" s="1064">
        <f>SUM(BQ165:BR165,BT165:BU165)</f>
        <v>0</v>
      </c>
    </row>
    <row r="166" spans="1:86" s="1049" customFormat="1" ht="7.5" customHeight="1">
      <c r="A166" s="1016"/>
      <c r="B166" s="1047"/>
      <c r="C166" s="1047"/>
      <c r="D166" s="1047"/>
      <c r="E166" s="1047"/>
      <c r="F166" s="1048"/>
      <c r="G166" s="1047"/>
      <c r="H166" s="1047"/>
      <c r="I166" s="1047"/>
      <c r="J166" s="1047"/>
      <c r="K166" s="1048"/>
      <c r="L166" s="1047"/>
      <c r="M166" s="1047"/>
      <c r="N166" s="1047"/>
      <c r="O166" s="1047"/>
      <c r="P166" s="1048"/>
      <c r="Q166" s="1047"/>
      <c r="R166" s="1047"/>
      <c r="S166" s="1047"/>
      <c r="T166" s="1047"/>
      <c r="U166" s="1048"/>
      <c r="V166" s="1047"/>
      <c r="W166" s="1047"/>
      <c r="X166" s="1047"/>
      <c r="Y166" s="1047"/>
      <c r="Z166" s="1048"/>
      <c r="AA166" s="1047"/>
      <c r="AB166" s="1047"/>
      <c r="AC166" s="1047"/>
      <c r="AD166" s="1047"/>
      <c r="AE166" s="1012"/>
      <c r="AF166" s="1047"/>
      <c r="AG166" s="1047"/>
      <c r="AH166" s="1047"/>
      <c r="AI166" s="1047"/>
      <c r="AJ166" s="1012"/>
      <c r="AK166" s="1047"/>
      <c r="AL166" s="1047"/>
      <c r="AM166" s="1047"/>
      <c r="AN166" s="1047"/>
      <c r="AO166" s="1012"/>
      <c r="AP166" s="1047"/>
      <c r="AQ166" s="1047"/>
      <c r="AR166" s="1047"/>
      <c r="AS166" s="1047"/>
      <c r="AT166" s="1012"/>
      <c r="AU166" s="1047"/>
      <c r="AV166" s="1047"/>
      <c r="AW166" s="1047"/>
      <c r="AX166" s="1047"/>
      <c r="AY166" s="1012"/>
      <c r="AZ166" s="1047"/>
      <c r="BA166" s="1047"/>
      <c r="BB166" s="1047"/>
      <c r="BC166" s="1047"/>
      <c r="BD166" s="1012"/>
      <c r="BE166" s="1047"/>
      <c r="BF166" s="1047"/>
      <c r="BG166" s="1047"/>
      <c r="BH166" s="1047"/>
      <c r="BI166" s="1012"/>
      <c r="BJ166" s="1047"/>
      <c r="BK166" s="1047"/>
      <c r="BL166" s="1047"/>
      <c r="BM166" s="1047"/>
      <c r="BN166" s="1012"/>
      <c r="BO166" s="1047"/>
      <c r="BP166" s="1047"/>
      <c r="BQ166" s="1047"/>
      <c r="BR166" s="1047"/>
      <c r="BS166" s="1012"/>
      <c r="BT166" s="1047"/>
      <c r="BU166" s="1047"/>
      <c r="BV166" s="1047"/>
      <c r="BW166" s="1047"/>
      <c r="BX166" s="1012"/>
      <c r="BY166" s="1524"/>
      <c r="BZ166" s="1012"/>
      <c r="CA166" s="1012"/>
      <c r="CB166" s="1012"/>
      <c r="CC166" s="1012"/>
      <c r="CD166" s="1012"/>
      <c r="CE166" s="1012"/>
      <c r="CF166" s="1012"/>
      <c r="CG166" s="1012"/>
      <c r="CH166" s="1012"/>
    </row>
    <row r="167" spans="1:86" s="1021" customFormat="1">
      <c r="A167" s="1020" t="s">
        <v>948</v>
      </c>
      <c r="B167" s="1025"/>
      <c r="C167" s="1025"/>
      <c r="D167" s="1025"/>
      <c r="E167" s="1025"/>
      <c r="F167" s="1024"/>
      <c r="G167" s="1025"/>
      <c r="H167" s="1025"/>
      <c r="I167" s="1025"/>
      <c r="J167" s="1025"/>
      <c r="K167" s="1024"/>
      <c r="L167" s="1025"/>
      <c r="M167" s="1025"/>
      <c r="N167" s="1025"/>
      <c r="O167" s="1025"/>
      <c r="P167" s="1024"/>
      <c r="Q167" s="1025"/>
      <c r="R167" s="1025"/>
      <c r="S167" s="1025"/>
      <c r="T167" s="1025"/>
      <c r="U167" s="1024"/>
      <c r="V167" s="1025"/>
      <c r="W167" s="1025"/>
      <c r="X167" s="1025"/>
      <c r="Y167" s="1025"/>
      <c r="Z167" s="1024"/>
      <c r="AA167" s="1025"/>
      <c r="AB167" s="1025"/>
      <c r="AC167" s="1025"/>
      <c r="AD167" s="1025"/>
      <c r="AE167" s="1024"/>
      <c r="AF167" s="1025"/>
      <c r="AG167" s="1025"/>
      <c r="AH167" s="1025"/>
      <c r="AI167" s="1025"/>
      <c r="AJ167" s="1024"/>
      <c r="AK167" s="1025">
        <v>0</v>
      </c>
      <c r="AL167" s="1025">
        <v>3.9</v>
      </c>
      <c r="AM167" s="1025">
        <v>1.2</v>
      </c>
      <c r="AN167" s="1025">
        <v>0.85000000000000009</v>
      </c>
      <c r="AO167" s="1024">
        <f>SUM(AK167:AN167)</f>
        <v>5.9499999999999993</v>
      </c>
      <c r="AP167" s="1025">
        <v>2.1</v>
      </c>
      <c r="AQ167" s="1025">
        <v>5.6</v>
      </c>
      <c r="AR167" s="1025">
        <v>1.5250000000000001</v>
      </c>
      <c r="AS167" s="1025">
        <v>1.4</v>
      </c>
      <c r="AT167" s="1024">
        <f>SUM(AP167:AS167)</f>
        <v>10.625</v>
      </c>
      <c r="AU167" s="1025">
        <f>AP167*(1+AU168)</f>
        <v>2.1</v>
      </c>
      <c r="AV167" s="1025">
        <f>AQ167*(1+AV168)</f>
        <v>6.16</v>
      </c>
      <c r="AW167" s="1025">
        <f>AR167*(1+AW168)</f>
        <v>1.2962500000000001</v>
      </c>
      <c r="AX167" s="1025">
        <f>AS167*(1+AX168)</f>
        <v>0.8819999999999999</v>
      </c>
      <c r="AY167" s="1024">
        <f>SUM(AU167:AX167)</f>
        <v>10.43825</v>
      </c>
      <c r="AZ167" s="1025">
        <f>AU167*(1+AZ168)</f>
        <v>2.0790000000000002</v>
      </c>
      <c r="BA167" s="1025">
        <f>AV167*(1+BA168)</f>
        <v>5.9135999999999997</v>
      </c>
      <c r="BB167" s="1025">
        <f>AW167*(1+BB168)</f>
        <v>1.1925500000000002</v>
      </c>
      <c r="BC167" s="1025">
        <f>AX167*(1+BC168)</f>
        <v>0.66149999999999998</v>
      </c>
      <c r="BD167" s="1024">
        <f>SUM(AZ167:BC167)</f>
        <v>9.8466500000000003</v>
      </c>
      <c r="BE167" s="1025">
        <f>AZ167*(1+BE168)</f>
        <v>1.55925</v>
      </c>
      <c r="BF167" s="1025">
        <f>BA167*(1+BF168)</f>
        <v>6.3866880000000004</v>
      </c>
      <c r="BG167" s="1025">
        <f>BB167*(1+BG168)</f>
        <v>1.2641030000000002</v>
      </c>
      <c r="BH167" s="1192">
        <f>BC167*(1+BH168)</f>
        <v>0.70780500000000002</v>
      </c>
      <c r="BI167" s="1024">
        <f>SUM(BE167:BH167)</f>
        <v>9.9178460000000008</v>
      </c>
      <c r="BJ167" s="1192">
        <f>BE167*(1+BJ168)</f>
        <v>1.6761937499999999</v>
      </c>
      <c r="BK167" s="1192">
        <f>BF167*(1+BK168)</f>
        <v>6.8656896000000005</v>
      </c>
      <c r="BL167" s="1192">
        <f>BG167*(1+BL168)</f>
        <v>1.3589107250000001</v>
      </c>
      <c r="BM167" s="1192">
        <f>BH167*(1+BM168)</f>
        <v>0.76089037500000001</v>
      </c>
      <c r="BN167" s="1024">
        <f>SUM(BJ167:BM167)</f>
        <v>10.661684450000001</v>
      </c>
      <c r="BO167" s="1192">
        <f>BJ167*(1+BO168)</f>
        <v>1.7264795625</v>
      </c>
      <c r="BP167" s="1192">
        <f>BK167*(1+BP168)</f>
        <v>7.0716602880000003</v>
      </c>
      <c r="BQ167" s="1192">
        <f>BL167*(1+BQ168)</f>
        <v>1.3996780467500001</v>
      </c>
      <c r="BR167" s="1192">
        <f>BM167*(1+BR168)</f>
        <v>0.78371708625000003</v>
      </c>
      <c r="BS167" s="1024">
        <f>SUM(BO167:BR167)</f>
        <v>10.981534983500001</v>
      </c>
      <c r="BT167" s="1192">
        <f>BO167*(1+BT168)</f>
        <v>1.7782739493750002</v>
      </c>
      <c r="BU167" s="1192">
        <f>BP167*(1+BU168)</f>
        <v>7.2838100966400008</v>
      </c>
      <c r="BV167" s="1192">
        <f>BQ167*(1+BV168)</f>
        <v>1.4416683881525001</v>
      </c>
      <c r="BW167" s="1192">
        <f>BR167*(1+BW168)</f>
        <v>0.80722859883750009</v>
      </c>
      <c r="BX167" s="1024">
        <f>SUM(BT167:BW167)</f>
        <v>11.310981033005001</v>
      </c>
      <c r="BY167" s="1521"/>
      <c r="BZ167" s="1024"/>
      <c r="CA167" s="1024"/>
      <c r="CB167" s="1024">
        <f>SUM(AM167:AN167,AP167:AQ167)</f>
        <v>9.75</v>
      </c>
      <c r="CC167" s="1024">
        <f>SUM(AR167:AS167,AU167:AV167)</f>
        <v>11.185</v>
      </c>
      <c r="CD167" s="1024">
        <f>SUM(AW167:AX167,AZ167:BA167)</f>
        <v>10.170850000000002</v>
      </c>
      <c r="CE167" s="1024">
        <f>SUM(BB167:BC167,BE167:BF167)</f>
        <v>9.7999880000000008</v>
      </c>
      <c r="CF167" s="1024">
        <f>SUM(BG167:BH167,BJ167:BK167)</f>
        <v>10.513791350000002</v>
      </c>
      <c r="CG167" s="1024">
        <f>SUM(BL167:BM167,BO167:BP167)</f>
        <v>10.9179409505</v>
      </c>
      <c r="CH167" s="1024">
        <f>SUM(BQ167:BR167,BT167:BU167)</f>
        <v>11.245479179015001</v>
      </c>
    </row>
    <row r="168" spans="1:86" s="1022" customFormat="1">
      <c r="A168" s="1452" t="s">
        <v>926</v>
      </c>
      <c r="B168" s="1453"/>
      <c r="C168" s="1453"/>
      <c r="D168" s="1453"/>
      <c r="E168" s="1453"/>
      <c r="F168" s="1454"/>
      <c r="G168" s="1453"/>
      <c r="H168" s="1453"/>
      <c r="I168" s="1453"/>
      <c r="J168" s="1453"/>
      <c r="K168" s="1454"/>
      <c r="L168" s="1453"/>
      <c r="M168" s="1453"/>
      <c r="N168" s="1453"/>
      <c r="O168" s="1453"/>
      <c r="P168" s="1454"/>
      <c r="Q168" s="1453"/>
      <c r="R168" s="1453"/>
      <c r="S168" s="1453"/>
      <c r="T168" s="1453"/>
      <c r="U168" s="1454"/>
      <c r="V168" s="1453"/>
      <c r="W168" s="1453"/>
      <c r="X168" s="1453"/>
      <c r="Y168" s="1453"/>
      <c r="Z168" s="1454"/>
      <c r="AA168" s="1453"/>
      <c r="AB168" s="1453"/>
      <c r="AC168" s="1453"/>
      <c r="AD168" s="1453"/>
      <c r="AE168" s="1454"/>
      <c r="AF168" s="1446"/>
      <c r="AG168" s="1453"/>
      <c r="AH168" s="1453"/>
      <c r="AI168" s="1453"/>
      <c r="AJ168" s="1443"/>
      <c r="AK168" s="1442"/>
      <c r="AL168" s="1442"/>
      <c r="AM168" s="1442"/>
      <c r="AN168" s="1442"/>
      <c r="AO168" s="1443">
        <f t="shared" ref="AO168:AT168" si="356">IF(ISERROR(AO167/AJ167-1),,(AO167/AJ167-1))</f>
        <v>0</v>
      </c>
      <c r="AP168" s="1442">
        <f t="shared" si="356"/>
        <v>0</v>
      </c>
      <c r="AQ168" s="1442">
        <f t="shared" si="356"/>
        <v>0.4358974358974359</v>
      </c>
      <c r="AR168" s="1442">
        <f t="shared" si="356"/>
        <v>0.27083333333333348</v>
      </c>
      <c r="AS168" s="1442">
        <f t="shared" si="356"/>
        <v>0.64705882352941146</v>
      </c>
      <c r="AT168" s="1443">
        <f t="shared" si="356"/>
        <v>0.78571428571428603</v>
      </c>
      <c r="AU168" s="1442">
        <v>0</v>
      </c>
      <c r="AV168" s="1442">
        <v>0.1</v>
      </c>
      <c r="AW168" s="1442">
        <v>-0.15</v>
      </c>
      <c r="AX168" s="1442">
        <v>-0.37</v>
      </c>
      <c r="AY168" s="1443">
        <f>IF(ISERROR(AY167/AT167-1),,(AY167/AT167-1))</f>
        <v>-1.7576470588235305E-2</v>
      </c>
      <c r="AZ168" s="1442">
        <v>-0.01</v>
      </c>
      <c r="BA168" s="1442">
        <v>-0.04</v>
      </c>
      <c r="BB168" s="1455">
        <v>-0.08</v>
      </c>
      <c r="BC168" s="1455">
        <v>-0.25</v>
      </c>
      <c r="BD168" s="1443">
        <f>IF(ISERROR(BD167/AY167-1),,(BD167/AY167-1))</f>
        <v>-5.6676166982013276E-2</v>
      </c>
      <c r="BE168" s="1442">
        <v>-0.25</v>
      </c>
      <c r="BF168" s="1442">
        <v>0.08</v>
      </c>
      <c r="BG168" s="1442">
        <v>0.06</v>
      </c>
      <c r="BH168" s="1455">
        <v>7.0000000000000007E-2</v>
      </c>
      <c r="BI168" s="1443">
        <f>IF(ISERROR(BI167/BD167-1),,(BI167/BD167-1))</f>
        <v>7.2304794016240237E-3</v>
      </c>
      <c r="BJ168" s="1455">
        <v>7.4999999999999997E-2</v>
      </c>
      <c r="BK168" s="1455">
        <v>7.4999999999999997E-2</v>
      </c>
      <c r="BL168" s="1455">
        <v>7.4999999999999997E-2</v>
      </c>
      <c r="BM168" s="1455">
        <v>7.4999999999999997E-2</v>
      </c>
      <c r="BN168" s="1443">
        <f>IF(ISERROR(BN167/BI167-1),,(BN167/BI167-1))</f>
        <v>7.4999999999999956E-2</v>
      </c>
      <c r="BO168" s="1455">
        <v>0.03</v>
      </c>
      <c r="BP168" s="1455">
        <v>0.03</v>
      </c>
      <c r="BQ168" s="1455">
        <v>0.03</v>
      </c>
      <c r="BR168" s="1455">
        <v>0.03</v>
      </c>
      <c r="BS168" s="1443">
        <f>IF(ISERROR(BS167/BN167-1),,(BS167/BN167-1))</f>
        <v>3.0000000000000027E-2</v>
      </c>
      <c r="BT168" s="1455">
        <v>0.03</v>
      </c>
      <c r="BU168" s="1455">
        <v>0.03</v>
      </c>
      <c r="BV168" s="1455">
        <v>0.03</v>
      </c>
      <c r="BW168" s="1455">
        <v>0.03</v>
      </c>
      <c r="BX168" s="1443">
        <f>IF(ISERROR(BX167/BS167-1),,(BX167/BS167-1))</f>
        <v>3.0000000000000027E-2</v>
      </c>
      <c r="BY168" s="1438"/>
      <c r="BZ168" s="1443"/>
      <c r="CA168" s="1443"/>
      <c r="CB168" s="1443"/>
      <c r="CC168" s="1443"/>
      <c r="CD168" s="1443"/>
      <c r="CE168" s="1443"/>
      <c r="CF168" s="1443"/>
      <c r="CG168" s="1443"/>
      <c r="CH168" s="1443"/>
    </row>
    <row r="169" spans="1:86" s="1059" customFormat="1">
      <c r="A169" s="1055" t="s">
        <v>937</v>
      </c>
      <c r="B169" s="1060"/>
      <c r="C169" s="1060"/>
      <c r="D169" s="1060"/>
      <c r="E169" s="1060"/>
      <c r="F169" s="1058"/>
      <c r="G169" s="1060"/>
      <c r="H169" s="1060"/>
      <c r="I169" s="1060"/>
      <c r="J169" s="1060"/>
      <c r="K169" s="1058"/>
      <c r="L169" s="1060"/>
      <c r="M169" s="1060"/>
      <c r="N169" s="1060"/>
      <c r="O169" s="1060"/>
      <c r="P169" s="1058"/>
      <c r="Q169" s="1060"/>
      <c r="R169" s="1060"/>
      <c r="S169" s="1060"/>
      <c r="T169" s="1060"/>
      <c r="U169" s="1058"/>
      <c r="V169" s="1060"/>
      <c r="W169" s="1060"/>
      <c r="X169" s="1060"/>
      <c r="Y169" s="1060"/>
      <c r="Z169" s="1058"/>
      <c r="AA169" s="1060"/>
      <c r="AB169" s="1060"/>
      <c r="AC169" s="1060"/>
      <c r="AD169" s="1060"/>
      <c r="AE169" s="1058"/>
      <c r="AF169" s="1056"/>
      <c r="AG169" s="1056"/>
      <c r="AH169" s="1056"/>
      <c r="AI169" s="1056"/>
      <c r="AJ169" s="1058"/>
      <c r="AK169" s="1056">
        <v>425</v>
      </c>
      <c r="AL169" s="1056">
        <f t="shared" ref="AL169:AQ169" si="357">AK169</f>
        <v>425</v>
      </c>
      <c r="AM169" s="1056">
        <f t="shared" si="357"/>
        <v>425</v>
      </c>
      <c r="AN169" s="1056">
        <f t="shared" si="357"/>
        <v>425</v>
      </c>
      <c r="AO169" s="1058">
        <f>AO170/AO167</f>
        <v>425.00000000000006</v>
      </c>
      <c r="AP169" s="1056">
        <f t="shared" si="357"/>
        <v>425.00000000000006</v>
      </c>
      <c r="AQ169" s="1056">
        <f t="shared" si="357"/>
        <v>425.00000000000006</v>
      </c>
      <c r="AR169" s="1056">
        <v>400</v>
      </c>
      <c r="AS169" s="1056">
        <f>AR169</f>
        <v>400</v>
      </c>
      <c r="AT169" s="1058">
        <f>AT170/AT167</f>
        <v>418.11764705882354</v>
      </c>
      <c r="AU169" s="1056">
        <f>AS169*0.98</f>
        <v>392</v>
      </c>
      <c r="AV169" s="1056">
        <f>AU169</f>
        <v>392</v>
      </c>
      <c r="AW169" s="1056">
        <v>325</v>
      </c>
      <c r="AX169" s="1056">
        <v>259</v>
      </c>
      <c r="AY169" s="1058">
        <f>AY170/AY167</f>
        <v>372.44166886211769</v>
      </c>
      <c r="AZ169" s="1056">
        <f>AX169</f>
        <v>259</v>
      </c>
      <c r="BA169" s="1056">
        <v>319</v>
      </c>
      <c r="BB169" s="1056">
        <v>279</v>
      </c>
      <c r="BC169" s="1056">
        <v>249</v>
      </c>
      <c r="BD169" s="1058">
        <f>BD170/BD167</f>
        <v>296.78462725901704</v>
      </c>
      <c r="BE169" s="1056">
        <f>BC169</f>
        <v>249</v>
      </c>
      <c r="BF169" s="1056">
        <v>329</v>
      </c>
      <c r="BG169" s="1056">
        <v>329</v>
      </c>
      <c r="BH169" s="1056">
        <f>BG169</f>
        <v>329</v>
      </c>
      <c r="BI169" s="1058">
        <f>BI170/BI167</f>
        <v>316.42267222136746</v>
      </c>
      <c r="BJ169" s="1056">
        <f>BH169*0.95</f>
        <v>312.55</v>
      </c>
      <c r="BK169" s="1056">
        <f>BJ169</f>
        <v>312.55</v>
      </c>
      <c r="BL169" s="1056">
        <f>BK169</f>
        <v>312.55</v>
      </c>
      <c r="BM169" s="1056">
        <f>BL169</f>
        <v>312.55</v>
      </c>
      <c r="BN169" s="1058">
        <f>BN170/BN167</f>
        <v>312.55</v>
      </c>
      <c r="BO169" s="1056">
        <f>BM169*0.95</f>
        <v>296.92250000000001</v>
      </c>
      <c r="BP169" s="1056">
        <f>BO169</f>
        <v>296.92250000000001</v>
      </c>
      <c r="BQ169" s="1056">
        <f>BP169</f>
        <v>296.92250000000001</v>
      </c>
      <c r="BR169" s="1056">
        <f>BQ169</f>
        <v>296.92250000000001</v>
      </c>
      <c r="BS169" s="1058">
        <f>BS170/BS167</f>
        <v>296.92249999999996</v>
      </c>
      <c r="BT169" s="1056">
        <f>BR169*0.95</f>
        <v>282.07637499999998</v>
      </c>
      <c r="BU169" s="1056">
        <f>BT169</f>
        <v>282.07637499999998</v>
      </c>
      <c r="BV169" s="1056">
        <f>BU169</f>
        <v>282.07637499999998</v>
      </c>
      <c r="BW169" s="1056">
        <f>BV169</f>
        <v>282.07637499999998</v>
      </c>
      <c r="BX169" s="1058">
        <f>BX170/BX167</f>
        <v>282.07637499999998</v>
      </c>
      <c r="BY169" s="1526"/>
      <c r="BZ169" s="1058"/>
      <c r="CA169" s="1058"/>
      <c r="CB169" s="1058"/>
      <c r="CC169" s="1058"/>
      <c r="CD169" s="1058"/>
      <c r="CE169" s="1058"/>
      <c r="CF169" s="1058"/>
      <c r="CG169" s="1058"/>
      <c r="CH169" s="1058"/>
    </row>
    <row r="170" spans="1:86" s="1005" customFormat="1">
      <c r="A170" s="1062" t="s">
        <v>950</v>
      </c>
      <c r="B170" s="1063"/>
      <c r="C170" s="1063"/>
      <c r="D170" s="1063"/>
      <c r="E170" s="1063"/>
      <c r="F170" s="1064"/>
      <c r="G170" s="1063"/>
      <c r="H170" s="1063"/>
      <c r="I170" s="1063"/>
      <c r="J170" s="1063"/>
      <c r="K170" s="1064"/>
      <c r="L170" s="1063"/>
      <c r="M170" s="1063"/>
      <c r="N170" s="1063"/>
      <c r="O170" s="1063"/>
      <c r="P170" s="1064"/>
      <c r="Q170" s="1063"/>
      <c r="R170" s="1063"/>
      <c r="S170" s="1063"/>
      <c r="T170" s="1063"/>
      <c r="U170" s="1064"/>
      <c r="V170" s="1063"/>
      <c r="W170" s="1063"/>
      <c r="X170" s="1063"/>
      <c r="Y170" s="1063"/>
      <c r="Z170" s="1064"/>
      <c r="AA170" s="1063"/>
      <c r="AB170" s="1063"/>
      <c r="AC170" s="1063"/>
      <c r="AD170" s="1063"/>
      <c r="AE170" s="1064"/>
      <c r="AF170" s="1063"/>
      <c r="AG170" s="1063"/>
      <c r="AH170" s="1063"/>
      <c r="AI170" s="1063"/>
      <c r="AJ170" s="1064"/>
      <c r="AK170" s="1063">
        <f>AK169*AK167</f>
        <v>0</v>
      </c>
      <c r="AL170" s="1063">
        <f>AL169*AL167</f>
        <v>1657.5</v>
      </c>
      <c r="AM170" s="1063">
        <f>AM169*AM167</f>
        <v>510</v>
      </c>
      <c r="AN170" s="1063">
        <f>AN169*AN167</f>
        <v>361.25000000000006</v>
      </c>
      <c r="AO170" s="1064">
        <f>SUM(AK170:AN170)</f>
        <v>2528.75</v>
      </c>
      <c r="AP170" s="1063">
        <f>AP169*AP167</f>
        <v>892.50000000000011</v>
      </c>
      <c r="AQ170" s="1063">
        <f>AQ169*AQ167</f>
        <v>2380</v>
      </c>
      <c r="AR170" s="1063">
        <f>AR169*AR167</f>
        <v>610</v>
      </c>
      <c r="AS170" s="1063">
        <f>AS169*AS167</f>
        <v>560</v>
      </c>
      <c r="AT170" s="1064">
        <f>SUM(AP170:AS170)</f>
        <v>4442.5</v>
      </c>
      <c r="AU170" s="1063">
        <f>AU169*AU167</f>
        <v>823.2</v>
      </c>
      <c r="AV170" s="1063">
        <f>AV169*AV167</f>
        <v>2414.7200000000003</v>
      </c>
      <c r="AW170" s="1063">
        <f>AW169*AW167</f>
        <v>421.28125000000006</v>
      </c>
      <c r="AX170" s="1063">
        <f>AX169*AX167</f>
        <v>228.43799999999996</v>
      </c>
      <c r="AY170" s="1064">
        <f>SUM(AU170:AX170)</f>
        <v>3887.6392500000002</v>
      </c>
      <c r="AZ170" s="1063">
        <f>AZ169*AZ167</f>
        <v>538.46100000000001</v>
      </c>
      <c r="BA170" s="1063">
        <f>BA169*BA167</f>
        <v>1886.4384</v>
      </c>
      <c r="BB170" s="1063">
        <f>BB169*BB167</f>
        <v>332.72145000000006</v>
      </c>
      <c r="BC170" s="1063">
        <f>BC169*BC167</f>
        <v>164.71349999999998</v>
      </c>
      <c r="BD170" s="1064">
        <f>SUM(AZ170:BC170)</f>
        <v>2922.3343500000001</v>
      </c>
      <c r="BE170" s="1063">
        <f>BE169*BE167</f>
        <v>388.25324999999998</v>
      </c>
      <c r="BF170" s="1063">
        <f>BF169*BF167</f>
        <v>2101.2203520000003</v>
      </c>
      <c r="BG170" s="1063">
        <f>BG169*BG167</f>
        <v>415.88988700000004</v>
      </c>
      <c r="BH170" s="1195">
        <f>BH169*BH167</f>
        <v>232.86784500000002</v>
      </c>
      <c r="BI170" s="1064">
        <f>SUM(BE170:BH170)</f>
        <v>3138.2313340000005</v>
      </c>
      <c r="BJ170" s="1195">
        <f>BJ169*BJ167</f>
        <v>523.89435656249998</v>
      </c>
      <c r="BK170" s="1195">
        <f>BK169*BK167</f>
        <v>2145.8712844800002</v>
      </c>
      <c r="BL170" s="1195">
        <f>BL169*BL167</f>
        <v>424.72754709875005</v>
      </c>
      <c r="BM170" s="1195">
        <f>BM169*BM167</f>
        <v>237.81628670625</v>
      </c>
      <c r="BN170" s="1064">
        <f>SUM(BJ170:BM170)</f>
        <v>3332.3094748475005</v>
      </c>
      <c r="BO170" s="1195">
        <f>BO169*BO167</f>
        <v>512.63062789640628</v>
      </c>
      <c r="BP170" s="1195">
        <f>BP169*BP167</f>
        <v>2099.7350518636804</v>
      </c>
      <c r="BQ170" s="1195">
        <f>BQ169*BQ167</f>
        <v>415.59590483612692</v>
      </c>
      <c r="BR170" s="1195">
        <f>BR169*BR167</f>
        <v>232.70323654206564</v>
      </c>
      <c r="BS170" s="1064">
        <f>SUM(BO170:BR170)</f>
        <v>3260.664821138279</v>
      </c>
      <c r="BT170" s="1195">
        <f>BT169*BT167</f>
        <v>501.60906939663352</v>
      </c>
      <c r="BU170" s="1195">
        <f>BU169*BU167</f>
        <v>2054.5907482486109</v>
      </c>
      <c r="BV170" s="1195">
        <f>BV169*BV167</f>
        <v>406.66059288215013</v>
      </c>
      <c r="BW170" s="1195">
        <f>BW169*BW167</f>
        <v>227.70011695641122</v>
      </c>
      <c r="BX170" s="1064">
        <f>SUM(BT170:BW170)</f>
        <v>3190.5605274838058</v>
      </c>
      <c r="BY170" s="1522"/>
      <c r="BZ170" s="1064"/>
      <c r="CA170" s="1064"/>
      <c r="CB170" s="1064">
        <f>SUM(AM170:AN170,AP170:AQ170)</f>
        <v>4143.75</v>
      </c>
      <c r="CC170" s="1064">
        <f>SUM(AR170:AS170,AU170:AV170)</f>
        <v>4407.92</v>
      </c>
      <c r="CD170" s="1064">
        <f>SUM(AW170:AX170,AZ170:BA170)</f>
        <v>3074.6186499999999</v>
      </c>
      <c r="CE170" s="1064">
        <f>SUM(BB170:BC170,BE170:BF170)</f>
        <v>2986.9085520000003</v>
      </c>
      <c r="CF170" s="1064">
        <f>SUM(BG170:BH170,BJ170:BK170)</f>
        <v>3318.5233730425002</v>
      </c>
      <c r="CG170" s="1064">
        <f>SUM(BL170:BM170,BO170:BP170)</f>
        <v>3274.9095135650869</v>
      </c>
      <c r="CH170" s="1064">
        <f>SUM(BQ170:BR170,BT170:BU170)</f>
        <v>3204.4989590234372</v>
      </c>
    </row>
    <row r="171" spans="1:86" s="1005" customFormat="1">
      <c r="A171" s="2520"/>
      <c r="B171" s="2521"/>
      <c r="C171" s="2521"/>
      <c r="D171" s="2521"/>
      <c r="E171" s="2521"/>
      <c r="F171" s="1012"/>
      <c r="G171" s="2521"/>
      <c r="H171" s="2521"/>
      <c r="I171" s="2521"/>
      <c r="J171" s="2521"/>
      <c r="K171" s="1012"/>
      <c r="L171" s="2521"/>
      <c r="M171" s="2521"/>
      <c r="N171" s="2521"/>
      <c r="O171" s="2521"/>
      <c r="P171" s="1012"/>
      <c r="Q171" s="2521"/>
      <c r="R171" s="2521"/>
      <c r="S171" s="2521"/>
      <c r="T171" s="2521"/>
      <c r="U171" s="1012"/>
      <c r="V171" s="2521"/>
      <c r="W171" s="2521"/>
      <c r="X171" s="2521"/>
      <c r="Y171" s="2521"/>
      <c r="Z171" s="1012"/>
      <c r="AA171" s="2521"/>
      <c r="AB171" s="2521"/>
      <c r="AC171" s="2521"/>
      <c r="AD171" s="2521"/>
      <c r="AE171" s="1012"/>
      <c r="AF171" s="2521"/>
      <c r="AG171" s="2521"/>
      <c r="AH171" s="2521"/>
      <c r="AI171" s="2521"/>
      <c r="AJ171" s="1012"/>
      <c r="AK171" s="2521"/>
      <c r="AL171" s="2521"/>
      <c r="AM171" s="2521"/>
      <c r="AN171" s="2521"/>
      <c r="AO171" s="1012"/>
      <c r="AP171" s="2521"/>
      <c r="AQ171" s="2521"/>
      <c r="AR171" s="2521"/>
      <c r="AS171" s="2521"/>
      <c r="AT171" s="1012"/>
      <c r="AU171" s="2521"/>
      <c r="AV171" s="2521"/>
      <c r="AW171" s="2521"/>
      <c r="AX171" s="2521"/>
      <c r="AY171" s="1012"/>
      <c r="AZ171" s="2521"/>
      <c r="BA171" s="2521"/>
      <c r="BB171" s="2521"/>
      <c r="BC171" s="2521"/>
      <c r="BD171" s="1012"/>
      <c r="BE171" s="2521"/>
      <c r="BF171" s="2521"/>
      <c r="BG171" s="2521"/>
      <c r="BH171" s="2522"/>
      <c r="BI171" s="1012"/>
      <c r="BJ171" s="2522"/>
      <c r="BK171" s="2522"/>
      <c r="BL171" s="2522"/>
      <c r="BM171" s="2522"/>
      <c r="BN171" s="1012"/>
      <c r="BO171" s="2522"/>
      <c r="BP171" s="2522"/>
      <c r="BQ171" s="2522"/>
      <c r="BR171" s="2522"/>
      <c r="BS171" s="1012"/>
      <c r="BT171" s="2522"/>
      <c r="BU171" s="2522"/>
      <c r="BV171" s="2522"/>
      <c r="BW171" s="2522"/>
      <c r="BX171" s="1012"/>
      <c r="BY171" s="1522"/>
      <c r="BZ171" s="1012"/>
      <c r="CA171" s="1012"/>
      <c r="CB171" s="1012"/>
      <c r="CC171" s="1012"/>
      <c r="CD171" s="1012"/>
      <c r="CE171" s="1012"/>
      <c r="CF171" s="1012"/>
      <c r="CG171" s="1012"/>
      <c r="CH171" s="1012"/>
    </row>
    <row r="172" spans="1:86" s="1005" customFormat="1">
      <c r="A172" s="1179" t="s">
        <v>1121</v>
      </c>
      <c r="B172" s="2521"/>
      <c r="C172" s="2521"/>
      <c r="D172" s="2521"/>
      <c r="E172" s="2521"/>
      <c r="F172" s="1012"/>
      <c r="G172" s="2521"/>
      <c r="H172" s="2521"/>
      <c r="I172" s="2521"/>
      <c r="J172" s="2521"/>
      <c r="K172" s="1012"/>
      <c r="L172" s="2521"/>
      <c r="M172" s="2521"/>
      <c r="N172" s="2521"/>
      <c r="O172" s="2521"/>
      <c r="P172" s="1012"/>
      <c r="Q172" s="2521"/>
      <c r="R172" s="2521"/>
      <c r="S172" s="2521"/>
      <c r="T172" s="2521"/>
      <c r="U172" s="1012"/>
      <c r="V172" s="2523">
        <f>V162+V167+Q162+Q167+L162+L167+G162+G167+B162+B167</f>
        <v>9.8000000000000007</v>
      </c>
      <c r="W172" s="2523">
        <f>W162+W167+R162+R167+M162+M167+H162+H167+C162+C167</f>
        <v>26.200000000000003</v>
      </c>
      <c r="X172" s="2523">
        <f>X162+X167+S162+S167+N162+N167+I162+I167+D162+D167</f>
        <v>7.7</v>
      </c>
      <c r="Y172" s="2523">
        <f>Y162+Y167+T162+T167+O162+O167+J162+J167+E162+E167</f>
        <v>6.4</v>
      </c>
      <c r="Z172" s="2524">
        <f>Z162+Z167+U162+U167+P162+P167+K162+K167+F162+F167</f>
        <v>50.099999999999994</v>
      </c>
      <c r="AA172" s="2523">
        <f t="shared" ref="AA172:BS172" si="358">AA162+AA167+V162+V167+Q162+Q167+L162+L167+G162+G167</f>
        <v>11.2</v>
      </c>
      <c r="AB172" s="2523">
        <f t="shared" si="358"/>
        <v>30</v>
      </c>
      <c r="AC172" s="2523">
        <f t="shared" si="358"/>
        <v>8.6</v>
      </c>
      <c r="AD172" s="2523">
        <f t="shared" si="358"/>
        <v>6.8</v>
      </c>
      <c r="AE172" s="2524">
        <f t="shared" si="358"/>
        <v>56.599999999999994</v>
      </c>
      <c r="AF172" s="2523">
        <f t="shared" si="358"/>
        <v>11.100000000000001</v>
      </c>
      <c r="AG172" s="2523">
        <f t="shared" si="358"/>
        <v>31.599999999999998</v>
      </c>
      <c r="AH172" s="2523">
        <f t="shared" si="358"/>
        <v>8.6</v>
      </c>
      <c r="AI172" s="2523">
        <f t="shared" si="358"/>
        <v>6.5</v>
      </c>
      <c r="AJ172" s="2524">
        <f t="shared" si="358"/>
        <v>57.8</v>
      </c>
      <c r="AK172" s="2523">
        <f t="shared" si="358"/>
        <v>10.1</v>
      </c>
      <c r="AL172" s="2523">
        <f t="shared" si="358"/>
        <v>33</v>
      </c>
      <c r="AM172" s="2523">
        <f t="shared" si="358"/>
        <v>8.8999999999999986</v>
      </c>
      <c r="AN172" s="2523">
        <f t="shared" si="358"/>
        <v>6.4</v>
      </c>
      <c r="AO172" s="2524">
        <f t="shared" si="358"/>
        <v>58.400000000000006</v>
      </c>
      <c r="AP172" s="2523">
        <f t="shared" si="358"/>
        <v>10.399999999999999</v>
      </c>
      <c r="AQ172" s="2523">
        <f t="shared" si="358"/>
        <v>34.4</v>
      </c>
      <c r="AR172" s="2523">
        <f t="shared" si="358"/>
        <v>9</v>
      </c>
      <c r="AS172" s="2523">
        <f t="shared" si="358"/>
        <v>6.3750000000000009</v>
      </c>
      <c r="AT172" s="2524">
        <f t="shared" si="358"/>
        <v>60.174999999999997</v>
      </c>
      <c r="AU172" s="2523">
        <f t="shared" si="358"/>
        <v>9.7750000000000004</v>
      </c>
      <c r="AV172" s="2523">
        <f t="shared" si="358"/>
        <v>34.61</v>
      </c>
      <c r="AW172" s="2523">
        <f t="shared" si="358"/>
        <v>7.6449999999999996</v>
      </c>
      <c r="AX172" s="2523">
        <f t="shared" si="358"/>
        <v>5.6020000000000003</v>
      </c>
      <c r="AY172" s="2524">
        <f t="shared" si="358"/>
        <v>57.631999999999998</v>
      </c>
      <c r="AZ172" s="2523">
        <f t="shared" si="358"/>
        <v>9.5915000000000017</v>
      </c>
      <c r="BA172" s="2523">
        <f t="shared" si="358"/>
        <v>32.376099999999994</v>
      </c>
      <c r="BB172" s="2523">
        <f t="shared" si="358"/>
        <v>7.4375500000000008</v>
      </c>
      <c r="BC172" s="2523">
        <f t="shared" si="358"/>
        <v>5.1634999999999991</v>
      </c>
      <c r="BD172" s="2524">
        <f t="shared" si="358"/>
        <v>54.568649999999998</v>
      </c>
      <c r="BE172" s="2523">
        <f t="shared" si="358"/>
        <v>9.4507499999999993</v>
      </c>
      <c r="BF172" s="2523">
        <f t="shared" si="358"/>
        <v>32.862788000000002</v>
      </c>
      <c r="BG172" s="2523">
        <f t="shared" si="358"/>
        <v>7.4016530000000005</v>
      </c>
      <c r="BH172" s="2525">
        <f t="shared" si="358"/>
        <v>4.8713049999999996</v>
      </c>
      <c r="BI172" s="2524">
        <f t="shared" si="358"/>
        <v>54.586495999999997</v>
      </c>
      <c r="BJ172" s="2525">
        <f t="shared" si="358"/>
        <v>9.9269437500000013</v>
      </c>
      <c r="BK172" s="2525">
        <f t="shared" si="358"/>
        <v>32.328477599999999</v>
      </c>
      <c r="BL172" s="2525">
        <f t="shared" si="358"/>
        <v>6.7605637250000017</v>
      </c>
      <c r="BM172" s="2525">
        <f t="shared" si="358"/>
        <v>4.5321953750000006</v>
      </c>
      <c r="BN172" s="2524">
        <f t="shared" si="358"/>
        <v>53.548180450000004</v>
      </c>
      <c r="BO172" s="2525">
        <f t="shared" si="358"/>
        <v>9.2534233125000007</v>
      </c>
      <c r="BP172" s="2525">
        <f t="shared" si="358"/>
        <v>32.800137887999995</v>
      </c>
      <c r="BQ172" s="2525">
        <f t="shared" si="358"/>
        <v>6.5602417717500021</v>
      </c>
      <c r="BR172" s="2525">
        <f t="shared" si="358"/>
        <v>3.8409124612499994</v>
      </c>
      <c r="BS172" s="2524">
        <f t="shared" si="358"/>
        <v>52.454715433499999</v>
      </c>
      <c r="BT172" s="2525">
        <f t="shared" ref="BT172" si="359">BT162+BT167+BO162+BO167+BJ162+BJ167+BE162+BE167+AZ162+AZ167</f>
        <v>8.8566972618750004</v>
      </c>
      <c r="BU172" s="2525">
        <f t="shared" ref="BU172" si="360">BU162+BU167+BP162+BP167+BK162+BK167+BF162+BF167+BA162+BA167</f>
        <v>33.57394798464</v>
      </c>
      <c r="BV172" s="2525">
        <f t="shared" ref="BV172" si="361">BV162+BV167+BQ162+BQ167+BL162+BL167+BG162+BG167+BB162+BB167</f>
        <v>6.6569101599025018</v>
      </c>
      <c r="BW172" s="2525">
        <f t="shared" ref="BW172" si="362">BW162+BW167+BR162+BR167+BM162+BM167+BH162+BH167+BC162+BC167</f>
        <v>3.7211410600874997</v>
      </c>
      <c r="BX172" s="2524">
        <f t="shared" ref="BX172" si="363">BX162+BX167+BS162+BS167+BN162+BN167+BI162+BI167+BD162+BD167</f>
        <v>52.808696466505012</v>
      </c>
      <c r="BY172" s="1522"/>
      <c r="BZ172" s="2524"/>
      <c r="CA172" s="2524"/>
      <c r="CB172" s="2524"/>
      <c r="CC172" s="2524"/>
      <c r="CD172" s="2524"/>
      <c r="CE172" s="2524"/>
      <c r="CF172" s="2524"/>
      <c r="CG172" s="2524"/>
      <c r="CH172" s="2524"/>
    </row>
    <row r="173" spans="1:86" s="1005" customFormat="1">
      <c r="A173" s="1452" t="s">
        <v>926</v>
      </c>
      <c r="B173" s="1453"/>
      <c r="C173" s="1453"/>
      <c r="D173" s="1453"/>
      <c r="E173" s="1453"/>
      <c r="F173" s="1454"/>
      <c r="G173" s="1453"/>
      <c r="H173" s="1453"/>
      <c r="I173" s="1453"/>
      <c r="J173" s="1453"/>
      <c r="K173" s="1454"/>
      <c r="L173" s="1453"/>
      <c r="M173" s="1453"/>
      <c r="N173" s="1453"/>
      <c r="O173" s="1453"/>
      <c r="P173" s="1454"/>
      <c r="Q173" s="1453"/>
      <c r="R173" s="1453"/>
      <c r="S173" s="1453"/>
      <c r="T173" s="1453"/>
      <c r="U173" s="1454"/>
      <c r="V173" s="1453"/>
      <c r="W173" s="1453"/>
      <c r="X173" s="1453"/>
      <c r="Y173" s="1453"/>
      <c r="Z173" s="1443"/>
      <c r="AA173" s="1442">
        <f t="shared" ref="AA173:BS173" si="364">IF(ISERROR(AA172/V172-1),,(AA172/V172-1))</f>
        <v>0.14285714285714279</v>
      </c>
      <c r="AB173" s="1442">
        <f t="shared" si="364"/>
        <v>0.14503816793893121</v>
      </c>
      <c r="AC173" s="1442">
        <f t="shared" si="364"/>
        <v>0.11688311688311681</v>
      </c>
      <c r="AD173" s="1442">
        <f t="shared" si="364"/>
        <v>6.25E-2</v>
      </c>
      <c r="AE173" s="1443">
        <f t="shared" si="364"/>
        <v>0.12974051896207595</v>
      </c>
      <c r="AF173" s="1442">
        <f t="shared" si="364"/>
        <v>-8.9285714285712858E-3</v>
      </c>
      <c r="AG173" s="1442">
        <f t="shared" si="364"/>
        <v>5.3333333333333233E-2</v>
      </c>
      <c r="AH173" s="1442">
        <f t="shared" si="364"/>
        <v>0</v>
      </c>
      <c r="AI173" s="1442">
        <f t="shared" si="364"/>
        <v>-4.4117647058823484E-2</v>
      </c>
      <c r="AJ173" s="1443">
        <f t="shared" si="364"/>
        <v>2.1201413427561988E-2</v>
      </c>
      <c r="AK173" s="1442">
        <f t="shared" si="364"/>
        <v>-9.009009009009028E-2</v>
      </c>
      <c r="AL173" s="1442">
        <f t="shared" si="364"/>
        <v>4.4303797468354444E-2</v>
      </c>
      <c r="AM173" s="1442">
        <f t="shared" si="364"/>
        <v>3.4883720930232398E-2</v>
      </c>
      <c r="AN173" s="1442">
        <f t="shared" si="364"/>
        <v>-1.538461538461533E-2</v>
      </c>
      <c r="AO173" s="1443">
        <f t="shared" si="364"/>
        <v>1.0380622837370401E-2</v>
      </c>
      <c r="AP173" s="1442">
        <f t="shared" si="364"/>
        <v>2.9702970297029507E-2</v>
      </c>
      <c r="AQ173" s="1442">
        <f t="shared" si="364"/>
        <v>4.2424242424242475E-2</v>
      </c>
      <c r="AR173" s="1442">
        <f t="shared" si="364"/>
        <v>1.1235955056180025E-2</v>
      </c>
      <c r="AS173" s="1442">
        <f t="shared" si="364"/>
        <v>-3.906249999999889E-3</v>
      </c>
      <c r="AT173" s="1443">
        <f t="shared" si="364"/>
        <v>3.0393835616438158E-2</v>
      </c>
      <c r="AU173" s="1442">
        <f t="shared" si="364"/>
        <v>-6.0096153846153633E-2</v>
      </c>
      <c r="AV173" s="1442">
        <f t="shared" si="364"/>
        <v>6.1046511627906863E-3</v>
      </c>
      <c r="AW173" s="1442">
        <f t="shared" si="364"/>
        <v>-0.15055555555555555</v>
      </c>
      <c r="AX173" s="1442">
        <f t="shared" si="364"/>
        <v>-0.12125490196078437</v>
      </c>
      <c r="AY173" s="1443">
        <f t="shared" si="364"/>
        <v>-4.2260074781886203E-2</v>
      </c>
      <c r="AZ173" s="1442">
        <f t="shared" si="364"/>
        <v>-1.8772378516623944E-2</v>
      </c>
      <c r="BA173" s="1442">
        <f t="shared" si="364"/>
        <v>-6.45449292112108E-2</v>
      </c>
      <c r="BB173" s="1442">
        <f t="shared" si="364"/>
        <v>-2.7135382603008296E-2</v>
      </c>
      <c r="BC173" s="1442">
        <f t="shared" si="364"/>
        <v>-7.8275615851481795E-2</v>
      </c>
      <c r="BD173" s="1443">
        <f t="shared" si="364"/>
        <v>-5.3153629927817914E-2</v>
      </c>
      <c r="BE173" s="1442">
        <f t="shared" si="364"/>
        <v>-1.4674451337121641E-2</v>
      </c>
      <c r="BF173" s="1442">
        <f t="shared" si="364"/>
        <v>1.503232322608361E-2</v>
      </c>
      <c r="BG173" s="1442">
        <f t="shared" si="364"/>
        <v>-4.826454948202108E-3</v>
      </c>
      <c r="BH173" s="1442">
        <f t="shared" si="364"/>
        <v>-5.658855427520082E-2</v>
      </c>
      <c r="BI173" s="1443">
        <f t="shared" si="364"/>
        <v>3.2703759392971321E-4</v>
      </c>
      <c r="BJ173" s="1442">
        <f t="shared" si="364"/>
        <v>5.0386874057614772E-2</v>
      </c>
      <c r="BK173" s="1442">
        <f t="shared" si="364"/>
        <v>-1.6258827461626324E-2</v>
      </c>
      <c r="BL173" s="1442">
        <f t="shared" si="364"/>
        <v>-8.6614338040434835E-2</v>
      </c>
      <c r="BM173" s="1442">
        <f t="shared" si="364"/>
        <v>-6.961371234196978E-2</v>
      </c>
      <c r="BN173" s="1443">
        <f t="shared" si="364"/>
        <v>-1.9021472819944152E-2</v>
      </c>
      <c r="BO173" s="1442">
        <f t="shared" si="364"/>
        <v>-6.7847713703424684E-2</v>
      </c>
      <c r="BP173" s="1442">
        <f t="shared" si="364"/>
        <v>1.4589622618047304E-2</v>
      </c>
      <c r="BQ173" s="1442">
        <f t="shared" si="364"/>
        <v>-2.9630954074025717E-2</v>
      </c>
      <c r="BR173" s="1442">
        <f t="shared" si="364"/>
        <v>-0.15252716543580191</v>
      </c>
      <c r="BS173" s="1443">
        <f t="shared" si="364"/>
        <v>-2.0420208629143177E-2</v>
      </c>
      <c r="BT173" s="1442">
        <f t="shared" ref="BT173" si="365">IF(ISERROR(BT172/BO172-1),,(BT172/BO172-1))</f>
        <v>-4.2873435833102103E-2</v>
      </c>
      <c r="BU173" s="1442">
        <f t="shared" ref="BU173" si="366">IF(ISERROR(BU172/BP172-1),,(BU172/BP172-1))</f>
        <v>2.3591672061936908E-2</v>
      </c>
      <c r="BV173" s="1442">
        <f t="shared" ref="BV173" si="367">IF(ISERROR(BV172/BQ172-1),,(BV172/BQ172-1))</f>
        <v>1.4735491696171499E-2</v>
      </c>
      <c r="BW173" s="1442">
        <f t="shared" ref="BW173" si="368">IF(ISERROR(BW172/BR172-1),,(BW172/BR172-1))</f>
        <v>-3.1183059330521901E-2</v>
      </c>
      <c r="BX173" s="1443">
        <f t="shared" ref="BX173" si="369">IF(ISERROR(BX172/BS172-1),,(BX172/BS172-1))</f>
        <v>6.7483167162307733E-3</v>
      </c>
      <c r="BY173" s="1522"/>
      <c r="BZ173" s="1443"/>
      <c r="CA173" s="1443"/>
      <c r="CB173" s="1443"/>
      <c r="CC173" s="1443"/>
      <c r="CD173" s="1443"/>
      <c r="CE173" s="1443"/>
      <c r="CF173" s="1443"/>
      <c r="CG173" s="1443"/>
      <c r="CH173" s="1443"/>
    </row>
    <row r="174" spans="1:86" s="1049" customFormat="1" ht="7.5" customHeight="1">
      <c r="A174" s="1016"/>
      <c r="B174" s="1047"/>
      <c r="C174" s="1047"/>
      <c r="D174" s="1047"/>
      <c r="E174" s="1047"/>
      <c r="F174" s="1048"/>
      <c r="G174" s="1047"/>
      <c r="H174" s="1047"/>
      <c r="I174" s="1047"/>
      <c r="J174" s="1047"/>
      <c r="K174" s="1048"/>
      <c r="L174" s="1047"/>
      <c r="M174" s="1047"/>
      <c r="N174" s="1047"/>
      <c r="O174" s="1047"/>
      <c r="P174" s="1048"/>
      <c r="Q174" s="1047"/>
      <c r="R174" s="1047"/>
      <c r="S174" s="1047"/>
      <c r="T174" s="1047"/>
      <c r="U174" s="1048"/>
      <c r="V174" s="1047"/>
      <c r="W174" s="1047"/>
      <c r="X174" s="1047"/>
      <c r="Y174" s="1047"/>
      <c r="Z174" s="1048"/>
      <c r="AA174" s="1047"/>
      <c r="AB174" s="1047"/>
      <c r="AC174" s="1047"/>
      <c r="AD174" s="1047"/>
      <c r="AE174" s="1012"/>
      <c r="AF174" s="1047"/>
      <c r="AG174" s="1047"/>
      <c r="AH174" s="1047"/>
      <c r="AI174" s="1047"/>
      <c r="AJ174" s="1012"/>
      <c r="AK174" s="1047"/>
      <c r="AL174" s="1047"/>
      <c r="AM174" s="1047"/>
      <c r="AN174" s="1047"/>
      <c r="AO174" s="1012"/>
      <c r="AP174" s="1047"/>
      <c r="AQ174" s="1047"/>
      <c r="AR174" s="1047"/>
      <c r="AS174" s="1047"/>
      <c r="AT174" s="1012"/>
      <c r="AU174" s="1047"/>
      <c r="AV174" s="1047"/>
      <c r="AW174" s="1047"/>
      <c r="AX174" s="1047"/>
      <c r="AY174" s="1012"/>
      <c r="AZ174" s="1047"/>
      <c r="BA174" s="1047"/>
      <c r="BB174" s="1047"/>
      <c r="BC174" s="1047"/>
      <c r="BD174" s="1012"/>
      <c r="BE174" s="1047"/>
      <c r="BF174" s="1047"/>
      <c r="BG174" s="1047"/>
      <c r="BH174" s="1047"/>
      <c r="BI174" s="1012"/>
      <c r="BJ174" s="1047"/>
      <c r="BK174" s="1047"/>
      <c r="BL174" s="1047"/>
      <c r="BM174" s="1047"/>
      <c r="BN174" s="1012"/>
      <c r="BO174" s="1047"/>
      <c r="BP174" s="1047"/>
      <c r="BQ174" s="1047"/>
      <c r="BR174" s="1047"/>
      <c r="BS174" s="1012"/>
      <c r="BT174" s="1047"/>
      <c r="BU174" s="1047"/>
      <c r="BV174" s="1047"/>
      <c r="BW174" s="1047"/>
      <c r="BX174" s="1012"/>
      <c r="BY174" s="1524"/>
      <c r="BZ174" s="1012"/>
      <c r="CA174" s="1012"/>
      <c r="CB174" s="1012"/>
      <c r="CC174" s="1012"/>
      <c r="CD174" s="1012"/>
      <c r="CE174" s="1012"/>
      <c r="CF174" s="1012"/>
      <c r="CG174" s="1012"/>
      <c r="CH174" s="1012"/>
    </row>
    <row r="175" spans="1:86" s="1011" customFormat="1">
      <c r="A175" s="1013" t="s">
        <v>1070</v>
      </c>
      <c r="B175" s="1015"/>
      <c r="C175" s="1015"/>
      <c r="D175" s="1015"/>
      <c r="E175" s="1015"/>
      <c r="F175" s="1014"/>
      <c r="G175" s="1015"/>
      <c r="H175" s="1015"/>
      <c r="I175" s="1015"/>
      <c r="J175" s="1015"/>
      <c r="K175" s="1014"/>
      <c r="L175" s="1015"/>
      <c r="M175" s="1015"/>
      <c r="N175" s="1015"/>
      <c r="O175" s="1015"/>
      <c r="P175" s="1014"/>
      <c r="Q175" s="1015"/>
      <c r="R175" s="1015"/>
      <c r="S175" s="1015"/>
      <c r="T175" s="1015"/>
      <c r="U175" s="1014"/>
      <c r="V175" s="1015"/>
      <c r="W175" s="1015"/>
      <c r="X175" s="1015"/>
      <c r="Y175" s="1015"/>
      <c r="Z175" s="1014"/>
      <c r="AA175" s="1015"/>
      <c r="AB175" s="1015"/>
      <c r="AC175" s="1015"/>
      <c r="AD175" s="1015"/>
      <c r="AE175" s="1014"/>
      <c r="AF175" s="1015"/>
      <c r="AG175" s="1015"/>
      <c r="AH175" s="1015"/>
      <c r="AI175" s="1015"/>
      <c r="AJ175" s="1014"/>
      <c r="AK175" s="1015">
        <f t="shared" ref="AK175:BG175" si="370">AK170+AK165</f>
        <v>274.8</v>
      </c>
      <c r="AL175" s="1015">
        <f t="shared" si="370"/>
        <v>2459</v>
      </c>
      <c r="AM175" s="1015">
        <f t="shared" si="370"/>
        <v>693.2</v>
      </c>
      <c r="AN175" s="1015">
        <f t="shared" si="370"/>
        <v>418.50000000000006</v>
      </c>
      <c r="AO175" s="1014">
        <f>SUM(AK175:AN175)</f>
        <v>3845.5</v>
      </c>
      <c r="AP175" s="1015">
        <f t="shared" si="370"/>
        <v>961.20000000000016</v>
      </c>
      <c r="AQ175" s="1015">
        <f t="shared" si="370"/>
        <v>2609</v>
      </c>
      <c r="AR175" s="1015">
        <f t="shared" si="370"/>
        <v>627.17499999999995</v>
      </c>
      <c r="AS175" s="1015">
        <f t="shared" si="370"/>
        <v>577.17499999999995</v>
      </c>
      <c r="AT175" s="1014">
        <f>SUM(AP175:AS175)</f>
        <v>4774.55</v>
      </c>
      <c r="AU175" s="1015">
        <f t="shared" si="370"/>
        <v>839.51625000000001</v>
      </c>
      <c r="AV175" s="1015">
        <f t="shared" si="370"/>
        <v>2490.8625000000002</v>
      </c>
      <c r="AW175" s="1015">
        <f t="shared" si="370"/>
        <v>431.03125000000006</v>
      </c>
      <c r="AX175" s="1015">
        <f t="shared" si="370"/>
        <v>235.18799999999996</v>
      </c>
      <c r="AY175" s="1014">
        <f>SUM(AU175:AX175)</f>
        <v>3996.5980000000004</v>
      </c>
      <c r="AZ175" s="1015">
        <f t="shared" si="370"/>
        <v>544.08600000000001</v>
      </c>
      <c r="BA175" s="1015">
        <f t="shared" si="370"/>
        <v>1894.3134</v>
      </c>
      <c r="BB175" s="1015">
        <f t="shared" si="370"/>
        <v>332.72145000000006</v>
      </c>
      <c r="BC175" s="1015">
        <f t="shared" si="370"/>
        <v>164.71349999999998</v>
      </c>
      <c r="BD175" s="1014">
        <f>SUM(AZ175:BC175)</f>
        <v>2935.8343500000001</v>
      </c>
      <c r="BE175" s="1015">
        <f t="shared" ref="BE175:BG175" si="371">BE170+BE165</f>
        <v>388.25324999999998</v>
      </c>
      <c r="BF175" s="1015">
        <f t="shared" si="371"/>
        <v>2101.2203520000003</v>
      </c>
      <c r="BG175" s="1015">
        <f t="shared" ref="BG175" si="372">BG170+BG165</f>
        <v>415.88988700000004</v>
      </c>
      <c r="BH175" s="1015">
        <f>BH170+BH165</f>
        <v>232.86784500000002</v>
      </c>
      <c r="BI175" s="1014">
        <f>SUM(BE175:BH175)</f>
        <v>3138.2313340000005</v>
      </c>
      <c r="BJ175" s="1015">
        <f>BJ170+BJ165</f>
        <v>523.89435656249998</v>
      </c>
      <c r="BK175" s="1015">
        <f>BK170+BK165</f>
        <v>2145.8712844800002</v>
      </c>
      <c r="BL175" s="1015">
        <f>BL170+BL165</f>
        <v>424.72754709875005</v>
      </c>
      <c r="BM175" s="1015">
        <f>BM170+BM165</f>
        <v>237.81628670625</v>
      </c>
      <c r="BN175" s="1014">
        <f>SUM(BJ175:BM175)</f>
        <v>3332.3094748475005</v>
      </c>
      <c r="BO175" s="1015">
        <f>BO170+BO165</f>
        <v>512.63062789640628</v>
      </c>
      <c r="BP175" s="1015">
        <f>BP170+BP165</f>
        <v>2099.7350518636804</v>
      </c>
      <c r="BQ175" s="1015">
        <f>BQ170+BQ165</f>
        <v>415.59590483612692</v>
      </c>
      <c r="BR175" s="1015">
        <f>BR170+BR165</f>
        <v>232.70323654206564</v>
      </c>
      <c r="BS175" s="1014">
        <f>SUM(BO175:BR175)</f>
        <v>3260.664821138279</v>
      </c>
      <c r="BT175" s="1015">
        <f>BT170+BT165</f>
        <v>501.60906939663352</v>
      </c>
      <c r="BU175" s="1015">
        <f>BU170+BU165</f>
        <v>2054.5907482486109</v>
      </c>
      <c r="BV175" s="1015">
        <f>BV170+BV165</f>
        <v>406.66059288215013</v>
      </c>
      <c r="BW175" s="1015">
        <f>BW170+BW165</f>
        <v>227.70011695641122</v>
      </c>
      <c r="BX175" s="1014">
        <f>SUM(BT175:BW175)</f>
        <v>3190.5605274838058</v>
      </c>
      <c r="BY175" s="1523"/>
      <c r="BZ175" s="1014"/>
      <c r="CA175" s="1014"/>
      <c r="CB175" s="1014">
        <f>SUM(AM175:AN175,AP175:AQ175)</f>
        <v>4681.8999999999996</v>
      </c>
      <c r="CC175" s="1014">
        <f>SUM(AR175:AS175,AU175:AV175)</f>
        <v>4534.7287500000002</v>
      </c>
      <c r="CD175" s="1014">
        <f>SUM(AW175:AX175,AZ175:BA175)</f>
        <v>3104.6186499999999</v>
      </c>
      <c r="CE175" s="1014">
        <f>SUM(BB175:BC175,BE175:BF175)</f>
        <v>2986.9085520000003</v>
      </c>
      <c r="CF175" s="1014">
        <f>SUM(BG175:BH175,BJ175:BK175)</f>
        <v>3318.5233730425002</v>
      </c>
      <c r="CG175" s="1014">
        <f>SUM(BL175:BM175,BO175:BP175)</f>
        <v>3274.9095135650869</v>
      </c>
      <c r="CH175" s="1014">
        <f>SUM(BQ175:BR175,BT175:BU175)</f>
        <v>3204.4989590234372</v>
      </c>
    </row>
    <row r="176" spans="1:86" s="1022" customFormat="1">
      <c r="A176" s="1452" t="s">
        <v>926</v>
      </c>
      <c r="B176" s="1453"/>
      <c r="C176" s="1453"/>
      <c r="D176" s="1453"/>
      <c r="E176" s="1453"/>
      <c r="F176" s="1454"/>
      <c r="G176" s="1453"/>
      <c r="H176" s="1453"/>
      <c r="I176" s="1453"/>
      <c r="J176" s="1453"/>
      <c r="K176" s="1454"/>
      <c r="L176" s="1453"/>
      <c r="M176" s="1453"/>
      <c r="N176" s="1453"/>
      <c r="O176" s="1453"/>
      <c r="P176" s="1454"/>
      <c r="Q176" s="1453"/>
      <c r="R176" s="1453"/>
      <c r="S176" s="1453"/>
      <c r="T176" s="1453"/>
      <c r="U176" s="1454"/>
      <c r="V176" s="1453"/>
      <c r="W176" s="1453"/>
      <c r="X176" s="1453"/>
      <c r="Y176" s="1453"/>
      <c r="Z176" s="1454"/>
      <c r="AA176" s="1453"/>
      <c r="AB176" s="1453"/>
      <c r="AC176" s="1453"/>
      <c r="AD176" s="1453"/>
      <c r="AE176" s="1454"/>
      <c r="AF176" s="1446"/>
      <c r="AG176" s="1453"/>
      <c r="AH176" s="1453"/>
      <c r="AI176" s="1453"/>
      <c r="AJ176" s="1443"/>
      <c r="AK176" s="1442"/>
      <c r="AL176" s="1442"/>
      <c r="AM176" s="1442"/>
      <c r="AN176" s="1442"/>
      <c r="AO176" s="1443">
        <f t="shared" ref="AO176:BS176" si="373">IF(ISERROR(AO175/AJ175-1),,(AO175/AJ175-1))</f>
        <v>0</v>
      </c>
      <c r="AP176" s="1442">
        <f t="shared" si="373"/>
        <v>2.4978165938864634</v>
      </c>
      <c r="AQ176" s="1442">
        <f t="shared" si="373"/>
        <v>6.1000406669377893E-2</v>
      </c>
      <c r="AR176" s="1442">
        <f t="shared" si="373"/>
        <v>-9.5246682054241361E-2</v>
      </c>
      <c r="AS176" s="1442">
        <f t="shared" si="373"/>
        <v>0.37915173237753863</v>
      </c>
      <c r="AT176" s="1443">
        <f t="shared" si="373"/>
        <v>0.24159407099206875</v>
      </c>
      <c r="AU176" s="1442">
        <f t="shared" si="373"/>
        <v>-0.12659566167290903</v>
      </c>
      <c r="AV176" s="1442">
        <f t="shared" si="373"/>
        <v>-4.5280758911460217E-2</v>
      </c>
      <c r="AW176" s="1442">
        <f t="shared" si="373"/>
        <v>-0.31274165902658735</v>
      </c>
      <c r="AX176" s="1442">
        <f t="shared" si="373"/>
        <v>-0.59251873348637774</v>
      </c>
      <c r="AY176" s="1443">
        <f t="shared" si="373"/>
        <v>-0.16293724015875832</v>
      </c>
      <c r="AZ176" s="1442">
        <f t="shared" si="373"/>
        <v>-0.3519053383421703</v>
      </c>
      <c r="BA176" s="1442">
        <f t="shared" si="373"/>
        <v>-0.23949499420381504</v>
      </c>
      <c r="BB176" s="1442">
        <f t="shared" si="373"/>
        <v>-0.22808044660334947</v>
      </c>
      <c r="BC176" s="1442">
        <f t="shared" si="373"/>
        <v>-0.29965176794734416</v>
      </c>
      <c r="BD176" s="1443">
        <f t="shared" si="373"/>
        <v>-0.26541664936028098</v>
      </c>
      <c r="BE176" s="1442">
        <f t="shared" si="373"/>
        <v>-0.28641198266450529</v>
      </c>
      <c r="BF176" s="1442">
        <f t="shared" si="373"/>
        <v>0.10922530136776754</v>
      </c>
      <c r="BG176" s="1442">
        <f t="shared" si="373"/>
        <v>0.24996415770609315</v>
      </c>
      <c r="BH176" s="1442">
        <f t="shared" si="373"/>
        <v>0.41377510040160659</v>
      </c>
      <c r="BI176" s="1443">
        <f t="shared" si="373"/>
        <v>6.8940192078616569E-2</v>
      </c>
      <c r="BJ176" s="1442">
        <f t="shared" si="373"/>
        <v>0.34936244979919673</v>
      </c>
      <c r="BK176" s="1442">
        <f t="shared" si="373"/>
        <v>2.1249999999999991E-2</v>
      </c>
      <c r="BL176" s="1442">
        <f t="shared" si="373"/>
        <v>2.1249999999999991E-2</v>
      </c>
      <c r="BM176" s="1442">
        <f t="shared" si="373"/>
        <v>2.1249999999999991E-2</v>
      </c>
      <c r="BN176" s="1443">
        <f t="shared" si="373"/>
        <v>6.1843159471652864E-2</v>
      </c>
      <c r="BO176" s="1442">
        <f t="shared" si="373"/>
        <v>-2.1499999999999853E-2</v>
      </c>
      <c r="BP176" s="1442">
        <f t="shared" si="373"/>
        <v>-2.1499999999999964E-2</v>
      </c>
      <c r="BQ176" s="1442">
        <f t="shared" si="373"/>
        <v>-2.1499999999999964E-2</v>
      </c>
      <c r="BR176" s="1442">
        <f t="shared" si="373"/>
        <v>-2.1499999999999964E-2</v>
      </c>
      <c r="BS176" s="1443">
        <f t="shared" si="373"/>
        <v>-2.1500000000000075E-2</v>
      </c>
      <c r="BT176" s="1442">
        <f t="shared" ref="BT176" si="374">IF(ISERROR(BT175/BO175-1),,(BT175/BO175-1))</f>
        <v>-2.1500000000000075E-2</v>
      </c>
      <c r="BU176" s="1442">
        <f t="shared" ref="BU176" si="375">IF(ISERROR(BU175/BP175-1),,(BU175/BP175-1))</f>
        <v>-2.1500000000000186E-2</v>
      </c>
      <c r="BV176" s="1442">
        <f t="shared" ref="BV176" si="376">IF(ISERROR(BV175/BQ175-1),,(BV175/BQ175-1))</f>
        <v>-2.1500000000000186E-2</v>
      </c>
      <c r="BW176" s="1442">
        <f t="shared" ref="BW176" si="377">IF(ISERROR(BW175/BR175-1),,(BW175/BR175-1))</f>
        <v>-2.1500000000000075E-2</v>
      </c>
      <c r="BX176" s="1443">
        <f t="shared" ref="BX176" si="378">IF(ISERROR(BX175/BS175-1),,(BX175/BS175-1))</f>
        <v>-2.1500000000000075E-2</v>
      </c>
      <c r="BY176" s="1438"/>
      <c r="BZ176" s="1443"/>
      <c r="CA176" s="1443"/>
      <c r="CB176" s="1443"/>
      <c r="CC176" s="1443"/>
      <c r="CD176" s="1443"/>
      <c r="CE176" s="1443"/>
      <c r="CF176" s="1443"/>
      <c r="CG176" s="1443"/>
      <c r="CH176" s="1443"/>
    </row>
    <row r="177" spans="1:89" s="1049" customFormat="1" ht="7.5" customHeight="1">
      <c r="A177" s="1016"/>
      <c r="B177" s="1047"/>
      <c r="C177" s="1047"/>
      <c r="D177" s="1047"/>
      <c r="E177" s="1047"/>
      <c r="F177" s="1048"/>
      <c r="G177" s="1047"/>
      <c r="H177" s="1047"/>
      <c r="I177" s="1047"/>
      <c r="J177" s="1047"/>
      <c r="K177" s="1048"/>
      <c r="L177" s="1047"/>
      <c r="M177" s="1047"/>
      <c r="N177" s="1047"/>
      <c r="O177" s="1047"/>
      <c r="P177" s="1048"/>
      <c r="Q177" s="1047"/>
      <c r="R177" s="1047"/>
      <c r="S177" s="1047"/>
      <c r="T177" s="1047"/>
      <c r="U177" s="1048"/>
      <c r="V177" s="1047"/>
      <c r="W177" s="1047"/>
      <c r="X177" s="1047"/>
      <c r="Y177" s="1047"/>
      <c r="Z177" s="1048"/>
      <c r="AA177" s="1047"/>
      <c r="AB177" s="1047"/>
      <c r="AC177" s="1047"/>
      <c r="AD177" s="1047"/>
      <c r="AE177" s="1012"/>
      <c r="AF177" s="1047"/>
      <c r="AG177" s="1047"/>
      <c r="AH177" s="1047"/>
      <c r="AI177" s="1047"/>
      <c r="AJ177" s="1012"/>
      <c r="AK177" s="1047"/>
      <c r="AL177" s="1047"/>
      <c r="AM177" s="1047"/>
      <c r="AN177" s="1047"/>
      <c r="AO177" s="1012"/>
      <c r="AP177" s="1047"/>
      <c r="AQ177" s="1047"/>
      <c r="AR177" s="1047"/>
      <c r="AS177" s="1047"/>
      <c r="AT177" s="1012"/>
      <c r="AU177" s="1047"/>
      <c r="AV177" s="1047"/>
      <c r="AW177" s="1047"/>
      <c r="AX177" s="1047"/>
      <c r="AY177" s="1012"/>
      <c r="AZ177" s="1047"/>
      <c r="BA177" s="1047"/>
      <c r="BB177" s="1047"/>
      <c r="BC177" s="1047"/>
      <c r="BD177" s="1012"/>
      <c r="BE177" s="1047"/>
      <c r="BF177" s="1047"/>
      <c r="BG177" s="1047"/>
      <c r="BH177" s="1047"/>
      <c r="BI177" s="1012"/>
      <c r="BJ177" s="1047"/>
      <c r="BK177" s="1047"/>
      <c r="BL177" s="1047"/>
      <c r="BM177" s="1047"/>
      <c r="BN177" s="1012"/>
      <c r="BO177" s="1047"/>
      <c r="BP177" s="1047"/>
      <c r="BQ177" s="1047"/>
      <c r="BR177" s="1047"/>
      <c r="BS177" s="1012"/>
      <c r="BT177" s="1047"/>
      <c r="BU177" s="1047"/>
      <c r="BV177" s="1047"/>
      <c r="BW177" s="1047"/>
      <c r="BX177" s="1012"/>
      <c r="BY177" s="1524"/>
      <c r="BZ177" s="1012"/>
      <c r="CA177" s="1012"/>
      <c r="CB177" s="1012"/>
      <c r="CC177" s="1012"/>
      <c r="CD177" s="1012"/>
      <c r="CE177" s="1012"/>
      <c r="CF177" s="1012"/>
      <c r="CG177" s="1012"/>
      <c r="CH177" s="1012"/>
    </row>
    <row r="178" spans="1:89" s="1011" customFormat="1">
      <c r="A178" s="1536" t="s">
        <v>1119</v>
      </c>
      <c r="B178" s="1195"/>
      <c r="C178" s="1195"/>
      <c r="D178" s="1195"/>
      <c r="E178" s="1195"/>
      <c r="F178" s="1196"/>
      <c r="G178" s="1195"/>
      <c r="H178" s="1195"/>
      <c r="I178" s="1195"/>
      <c r="J178" s="1195"/>
      <c r="K178" s="1196"/>
      <c r="L178" s="1195"/>
      <c r="M178" s="1195"/>
      <c r="N178" s="1195"/>
      <c r="O178" s="1195"/>
      <c r="P178" s="1196"/>
      <c r="Q178" s="1195"/>
      <c r="R178" s="1195"/>
      <c r="S178" s="1195"/>
      <c r="T178" s="1195"/>
      <c r="U178" s="1196"/>
      <c r="V178" s="1195"/>
      <c r="W178" s="1195"/>
      <c r="X178" s="1195"/>
      <c r="Y178" s="1195"/>
      <c r="Z178" s="1196"/>
      <c r="AA178" s="1195"/>
      <c r="AB178" s="1195"/>
      <c r="AC178" s="1195"/>
      <c r="AD178" s="1195"/>
      <c r="AE178" s="1196">
        <v>650</v>
      </c>
      <c r="AF178" s="1195">
        <v>150</v>
      </c>
      <c r="AG178" s="1195">
        <v>300</v>
      </c>
      <c r="AH178" s="1195">
        <v>50</v>
      </c>
      <c r="AI178" s="1195">
        <v>50</v>
      </c>
      <c r="AJ178" s="1196">
        <f>SUM(AF178:AI178)</f>
        <v>550</v>
      </c>
      <c r="AK178" s="1195">
        <v>50.862027343751151</v>
      </c>
      <c r="AL178" s="1195">
        <f>AK178</f>
        <v>50.862027343751151</v>
      </c>
      <c r="AM178" s="1195">
        <f>AL178</f>
        <v>50.862027343751151</v>
      </c>
      <c r="AN178" s="1195">
        <f>AM178</f>
        <v>50.862027343751151</v>
      </c>
      <c r="AO178" s="1474">
        <f>SUM(AK178:AN178)</f>
        <v>203.44810937500461</v>
      </c>
      <c r="AP178" s="1195">
        <f>AK178*(1+AP179)</f>
        <v>50.862027343751151</v>
      </c>
      <c r="AQ178" s="1195">
        <v>33</v>
      </c>
      <c r="AR178" s="1195">
        <f>AM178*(1+AR179)</f>
        <v>50.862027343751151</v>
      </c>
      <c r="AS178" s="1195">
        <f>AN178*(1+AS179)</f>
        <v>50.862027343751151</v>
      </c>
      <c r="AT178" s="1474">
        <f>SUM(AP178:AS178)</f>
        <v>185.58608203125345</v>
      </c>
      <c r="AU178" s="1195">
        <v>32.5</v>
      </c>
      <c r="AV178" s="1195">
        <f>AQ178*(1+AV179)</f>
        <v>33</v>
      </c>
      <c r="AW178" s="1195">
        <f>AR178*(1+AW179)</f>
        <v>25.431013671875576</v>
      </c>
      <c r="AX178" s="1195">
        <f>AS178*(1+AX179)</f>
        <v>12.715506835937788</v>
      </c>
      <c r="AY178" s="1474">
        <f>SUM(AU178:AX178)</f>
        <v>103.64652050781336</v>
      </c>
      <c r="AZ178" s="1195">
        <f>AZ193-AZ190-AZ187-AZ175</f>
        <v>86.901068965517084</v>
      </c>
      <c r="BA178" s="1195">
        <f>BA193-BA190-BA187-BA175</f>
        <v>74.908037620689356</v>
      </c>
      <c r="BB178" s="1195">
        <f>BB193-BB190-BB187-BB175</f>
        <v>69.537193749999972</v>
      </c>
      <c r="BC178" s="1195">
        <f>BC193-BC190-BC187-BC175</f>
        <v>4.8086249999998643</v>
      </c>
      <c r="BD178" s="1474">
        <f>SUM(AZ178:BC178)</f>
        <v>236.15492533620628</v>
      </c>
      <c r="BE178" s="1195">
        <f>BE193-BE190-BE187-BE175</f>
        <v>105.3080431034482</v>
      </c>
      <c r="BF178" s="1195">
        <f>BF193-BF190-BF187-BF175</f>
        <v>143.22383689213757</v>
      </c>
      <c r="BG178" s="1195">
        <f>BG193-BG190-BG187-BG175</f>
        <v>53.056507499999952</v>
      </c>
      <c r="BH178" s="1195">
        <f>BC178*(1+BH179)</f>
        <v>4.3277624999998778</v>
      </c>
      <c r="BI178" s="1474">
        <f>SUM(BE178:BH178)</f>
        <v>305.91614999558561</v>
      </c>
      <c r="BJ178" s="1195">
        <f>BE178*(1+BJ179)</f>
        <v>94.777238793103379</v>
      </c>
      <c r="BK178" s="1195">
        <f>BF178*(1+BK179)</f>
        <v>128.90145320292382</v>
      </c>
      <c r="BL178" s="1195">
        <f>BG178*(1+BL179)</f>
        <v>47.750856749999961</v>
      </c>
      <c r="BM178" s="1195">
        <f>BH178*(1+BM179)</f>
        <v>3.89498624999989</v>
      </c>
      <c r="BN178" s="1474">
        <f>SUM(BJ178:BM178)</f>
        <v>275.32453499602701</v>
      </c>
      <c r="BO178" s="1195">
        <f>BJ178*(1+BO179)</f>
        <v>85.299514913793047</v>
      </c>
      <c r="BP178" s="1195">
        <f>BK178*(1+BP179)</f>
        <v>116.01130788263144</v>
      </c>
      <c r="BQ178" s="1195">
        <f>BL178*(1+BQ179)</f>
        <v>42.975771074999969</v>
      </c>
      <c r="BR178" s="1195">
        <f>BM178*(1+BR179)</f>
        <v>3.5054876249999012</v>
      </c>
      <c r="BS178" s="1474">
        <f>SUM(BO178:BR178)</f>
        <v>247.79208149642432</v>
      </c>
      <c r="BT178" s="1195">
        <f>BO178*(1+BT179)</f>
        <v>76.769563422413739</v>
      </c>
      <c r="BU178" s="1195">
        <f>BP178*(1+BU179)</f>
        <v>104.41017709436829</v>
      </c>
      <c r="BV178" s="1195">
        <f>BQ178*(1+BV179)</f>
        <v>38.678193967499972</v>
      </c>
      <c r="BW178" s="1195">
        <f>BR178*(1+BW179)</f>
        <v>3.1549388624999111</v>
      </c>
      <c r="BX178" s="1474">
        <f>SUM(BT178:BW178)</f>
        <v>223.0128733467819</v>
      </c>
      <c r="BY178" s="1523"/>
      <c r="BZ178" s="1474"/>
      <c r="CA178" s="1474"/>
      <c r="CB178" s="1474">
        <f>SUM(AM178:AN178,AP178:AQ178)</f>
        <v>185.58608203125345</v>
      </c>
      <c r="CC178" s="1474">
        <f>SUM(AR178:AS178,AU178:AV178)</f>
        <v>167.2240546875023</v>
      </c>
      <c r="CD178" s="1474">
        <f>SUM(AW178:AX178,AZ178:BA178)</f>
        <v>199.9556270940198</v>
      </c>
      <c r="CE178" s="1474">
        <f>SUM(BB178:BC178,BE178:BF178)</f>
        <v>322.87769874558558</v>
      </c>
      <c r="CF178" s="1474">
        <f>SUM(BG178:BH178,BJ178:BK178)</f>
        <v>281.06296199602707</v>
      </c>
      <c r="CG178" s="1474">
        <f>SUM(BL178:BM178,BO178:BP178)</f>
        <v>252.95666579642432</v>
      </c>
      <c r="CH178" s="1474">
        <f>SUM(BQ178:BR178,BT178:BU178)</f>
        <v>227.6609992167819</v>
      </c>
    </row>
    <row r="179" spans="1:89" s="1022" customFormat="1">
      <c r="A179" s="1452" t="s">
        <v>926</v>
      </c>
      <c r="B179" s="1453"/>
      <c r="C179" s="1453"/>
      <c r="D179" s="1453"/>
      <c r="E179" s="1453"/>
      <c r="F179" s="1454"/>
      <c r="G179" s="1453"/>
      <c r="H179" s="1453"/>
      <c r="I179" s="1453"/>
      <c r="J179" s="1453"/>
      <c r="K179" s="1454"/>
      <c r="L179" s="1453"/>
      <c r="M179" s="1453"/>
      <c r="N179" s="1453"/>
      <c r="O179" s="1453"/>
      <c r="P179" s="1454"/>
      <c r="Q179" s="1453"/>
      <c r="R179" s="1453"/>
      <c r="S179" s="1453"/>
      <c r="T179" s="1453"/>
      <c r="U179" s="1454"/>
      <c r="V179" s="1453"/>
      <c r="W179" s="1453"/>
      <c r="X179" s="1453"/>
      <c r="Y179" s="1453"/>
      <c r="Z179" s="1454"/>
      <c r="AA179" s="1453"/>
      <c r="AB179" s="1453"/>
      <c r="AC179" s="1453"/>
      <c r="AD179" s="1453"/>
      <c r="AE179" s="1454"/>
      <c r="AF179" s="1446"/>
      <c r="AG179" s="1453"/>
      <c r="AH179" s="1453"/>
      <c r="AI179" s="1453"/>
      <c r="AJ179" s="1443"/>
      <c r="AK179" s="1442"/>
      <c r="AL179" s="1442"/>
      <c r="AM179" s="1442"/>
      <c r="AN179" s="1442"/>
      <c r="AO179" s="1433">
        <f>IF(ISERROR(AO178/AJ178-1),,(AO178/AJ178-1))</f>
        <v>-0.6300943465909008</v>
      </c>
      <c r="AP179" s="1442">
        <v>0</v>
      </c>
      <c r="AQ179" s="1442">
        <f>IF(ISERROR(AQ178/AL178-1),,(AQ178/AL178-1))</f>
        <v>-0.35118590973636565</v>
      </c>
      <c r="AR179" s="1442">
        <v>0</v>
      </c>
      <c r="AS179" s="1442">
        <v>0</v>
      </c>
      <c r="AT179" s="1433">
        <f>IF(ISERROR(AT178/AO178-1),,(AT178/AO178-1))</f>
        <v>-8.7796477434091358E-2</v>
      </c>
      <c r="AU179" s="1442">
        <f>IF(ISERROR(AU178/AP178-1),,(AU178/AP178-1))</f>
        <v>-0.36101642625551156</v>
      </c>
      <c r="AV179" s="1442">
        <v>0</v>
      </c>
      <c r="AW179" s="1442">
        <v>-0.5</v>
      </c>
      <c r="AX179" s="1442">
        <v>-0.75</v>
      </c>
      <c r="AY179" s="1433">
        <f>IF(ISERROR(AY178/AT178-1),,(AY178/AT178-1))</f>
        <v>-0.44151781548813096</v>
      </c>
      <c r="AZ179" s="1442">
        <f>AZ178/AU178-1</f>
        <v>1.6738790450928334</v>
      </c>
      <c r="BA179" s="1442">
        <f>BA178/AV178-1</f>
        <v>1.2699405339602836</v>
      </c>
      <c r="BB179" s="1442">
        <f>BB178/AW178-1</f>
        <v>1.7343461274177159</v>
      </c>
      <c r="BC179" s="1442">
        <f>BC178/AX178-1</f>
        <v>-0.62182986002498408</v>
      </c>
      <c r="BD179" s="1433">
        <f>IF(ISERROR(BD178/AY178-1),,(BD178/AY178-1))</f>
        <v>1.2784645753583574</v>
      </c>
      <c r="BE179" s="1442">
        <f>BE178/AZ178-1</f>
        <v>0.21181527865019856</v>
      </c>
      <c r="BF179" s="1442">
        <f>BF178/BA178-1</f>
        <v>0.91199558073297604</v>
      </c>
      <c r="BG179" s="1442">
        <f>BG178/BB178-1</f>
        <v>-0.23700534003789919</v>
      </c>
      <c r="BH179" s="1455">
        <v>-0.1</v>
      </c>
      <c r="BI179" s="1433">
        <f>IF(ISERROR(BI178/BD178-1),,(BI178/BD178-1))</f>
        <v>0.29540448737227254</v>
      </c>
      <c r="BJ179" s="1455">
        <v>-0.1</v>
      </c>
      <c r="BK179" s="1455">
        <v>-0.1</v>
      </c>
      <c r="BL179" s="1455">
        <v>-0.1</v>
      </c>
      <c r="BM179" s="1455">
        <v>-0.1</v>
      </c>
      <c r="BN179" s="1433">
        <f>IF(ISERROR(BN178/BI178-1),,(BN178/BI178-1))</f>
        <v>-0.10000000000000009</v>
      </c>
      <c r="BO179" s="1455">
        <v>-0.1</v>
      </c>
      <c r="BP179" s="1455">
        <v>-0.1</v>
      </c>
      <c r="BQ179" s="1455">
        <v>-0.1</v>
      </c>
      <c r="BR179" s="1455">
        <v>-0.1</v>
      </c>
      <c r="BS179" s="1433">
        <f>IF(ISERROR(BS178/BN178-1),,(BS178/BN178-1))</f>
        <v>-9.9999999999999978E-2</v>
      </c>
      <c r="BT179" s="1455">
        <v>-0.1</v>
      </c>
      <c r="BU179" s="1455">
        <v>-0.1</v>
      </c>
      <c r="BV179" s="1455">
        <v>-0.1</v>
      </c>
      <c r="BW179" s="1455">
        <v>-0.1</v>
      </c>
      <c r="BX179" s="1433">
        <f>IF(ISERROR(BX178/BS178-1),,(BX178/BS178-1))</f>
        <v>-9.9999999999999978E-2</v>
      </c>
      <c r="BY179" s="1438"/>
      <c r="BZ179" s="1433"/>
      <c r="CA179" s="1433"/>
      <c r="CB179" s="1433"/>
      <c r="CC179" s="1433"/>
      <c r="CD179" s="1433"/>
      <c r="CE179" s="1433"/>
      <c r="CF179" s="1433"/>
      <c r="CG179" s="1433"/>
      <c r="CH179" s="1433"/>
    </row>
    <row r="180" spans="1:89" s="1022" customFormat="1" ht="7.5" customHeight="1">
      <c r="A180" s="1016"/>
      <c r="B180" s="1047"/>
      <c r="C180" s="1047"/>
      <c r="D180" s="1047"/>
      <c r="E180" s="1047"/>
      <c r="F180" s="1048"/>
      <c r="G180" s="1047"/>
      <c r="H180" s="1047"/>
      <c r="I180" s="1047"/>
      <c r="J180" s="1047"/>
      <c r="K180" s="1048"/>
      <c r="L180" s="1047"/>
      <c r="M180" s="1047"/>
      <c r="N180" s="1047"/>
      <c r="O180" s="1047"/>
      <c r="P180" s="1048"/>
      <c r="Q180" s="1047"/>
      <c r="R180" s="1047"/>
      <c r="S180" s="1047"/>
      <c r="T180" s="1047"/>
      <c r="U180" s="1048"/>
      <c r="V180" s="1047"/>
      <c r="W180" s="1047"/>
      <c r="X180" s="1047"/>
      <c r="Y180" s="1047"/>
      <c r="Z180" s="1048"/>
      <c r="AA180" s="1047"/>
      <c r="AB180" s="1047"/>
      <c r="AC180" s="1047"/>
      <c r="AD180" s="1047"/>
      <c r="AE180" s="1012"/>
      <c r="AF180" s="1047"/>
      <c r="AG180" s="1047"/>
      <c r="AH180" s="1047"/>
      <c r="AI180" s="1047"/>
      <c r="AJ180" s="1012"/>
      <c r="AK180" s="1047"/>
      <c r="AL180" s="1047"/>
      <c r="AM180" s="1047"/>
      <c r="AN180" s="1047"/>
      <c r="AO180" s="1012"/>
      <c r="AP180" s="1047"/>
      <c r="AQ180" s="1047"/>
      <c r="AR180" s="1047"/>
      <c r="AS180" s="1047"/>
      <c r="AT180" s="1012"/>
      <c r="AU180" s="1047"/>
      <c r="AV180" s="1047"/>
      <c r="AW180" s="1047"/>
      <c r="AX180" s="1047"/>
      <c r="AY180" s="1012"/>
      <c r="AZ180" s="1047"/>
      <c r="BA180" s="1047"/>
      <c r="BB180" s="1047"/>
      <c r="BC180" s="1047"/>
      <c r="BD180" s="1012"/>
      <c r="BE180" s="1047"/>
      <c r="BF180" s="1047"/>
      <c r="BG180" s="1047"/>
      <c r="BH180" s="1047"/>
      <c r="BI180" s="1012"/>
      <c r="BJ180" s="1047"/>
      <c r="BK180" s="1047"/>
      <c r="BL180" s="1047"/>
      <c r="BM180" s="1047"/>
      <c r="BN180" s="1012"/>
      <c r="BO180" s="1047"/>
      <c r="BP180" s="1047"/>
      <c r="BQ180" s="1047"/>
      <c r="BR180" s="1047"/>
      <c r="BS180" s="1012"/>
      <c r="BT180" s="1047"/>
      <c r="BU180" s="1047"/>
      <c r="BV180" s="1047"/>
      <c r="BW180" s="1047"/>
      <c r="BX180" s="1012"/>
      <c r="BY180" s="1524"/>
      <c r="BZ180" s="1012"/>
      <c r="CA180" s="1012"/>
      <c r="CB180" s="1012"/>
      <c r="CC180" s="1012"/>
      <c r="CD180" s="1012"/>
      <c r="CE180" s="1012"/>
      <c r="CF180" s="1012"/>
      <c r="CG180" s="1012"/>
      <c r="CH180" s="1012"/>
      <c r="CI180" s="1049"/>
      <c r="CJ180" s="1049"/>
      <c r="CK180" s="1049"/>
    </row>
    <row r="181" spans="1:89" s="1022" customFormat="1">
      <c r="A181" s="1013" t="s">
        <v>1120</v>
      </c>
      <c r="B181" s="1015"/>
      <c r="C181" s="1015"/>
      <c r="D181" s="1015"/>
      <c r="E181" s="1015"/>
      <c r="F181" s="1014"/>
      <c r="G181" s="1015"/>
      <c r="H181" s="1015"/>
      <c r="I181" s="1015"/>
      <c r="J181" s="1015"/>
      <c r="K181" s="1014"/>
      <c r="L181" s="1015"/>
      <c r="M181" s="1015"/>
      <c r="N181" s="1015"/>
      <c r="O181" s="1015"/>
      <c r="P181" s="1014"/>
      <c r="Q181" s="1015"/>
      <c r="R181" s="1015"/>
      <c r="S181" s="1015"/>
      <c r="T181" s="1015"/>
      <c r="U181" s="1014"/>
      <c r="V181" s="1015"/>
      <c r="W181" s="1015"/>
      <c r="X181" s="1015"/>
      <c r="Y181" s="1015"/>
      <c r="Z181" s="1014"/>
      <c r="AA181" s="1015"/>
      <c r="AB181" s="1015"/>
      <c r="AC181" s="1015"/>
      <c r="AD181" s="1015"/>
      <c r="AE181" s="1014"/>
      <c r="AF181" s="1015"/>
      <c r="AG181" s="1015"/>
      <c r="AH181" s="1015"/>
      <c r="AI181" s="1015"/>
      <c r="AJ181" s="1014"/>
      <c r="AK181" s="1015">
        <f>AK178+AK175</f>
        <v>325.66202734375116</v>
      </c>
      <c r="AL181" s="1015">
        <f>AL178+AL175</f>
        <v>2509.8620273437509</v>
      </c>
      <c r="AM181" s="1015">
        <f>AM178+AM175</f>
        <v>744.0620273437512</v>
      </c>
      <c r="AN181" s="1015">
        <f>AN178+AN175</f>
        <v>469.36202734375121</v>
      </c>
      <c r="AO181" s="1014">
        <f>SUM(AK181:AN181)</f>
        <v>4048.9481093750046</v>
      </c>
      <c r="AP181" s="1015">
        <f>AP178+AP175</f>
        <v>1012.0620273437513</v>
      </c>
      <c r="AQ181" s="1015">
        <f>AQ178+AQ175</f>
        <v>2642</v>
      </c>
      <c r="AR181" s="1015">
        <f>AR178+AR175</f>
        <v>678.03702734375111</v>
      </c>
      <c r="AS181" s="1015">
        <f>AS178+AS175</f>
        <v>628.03702734375111</v>
      </c>
      <c r="AT181" s="1014">
        <f>SUM(AP181:AS181)</f>
        <v>4960.136082031253</v>
      </c>
      <c r="AU181" s="1015">
        <f>AU178+AU175</f>
        <v>872.01625000000001</v>
      </c>
      <c r="AV181" s="1015">
        <f>AV178+AV175</f>
        <v>2523.8625000000002</v>
      </c>
      <c r="AW181" s="1015">
        <f>AW178+AW175</f>
        <v>456.46226367187563</v>
      </c>
      <c r="AX181" s="1015">
        <f>AX178+AX175</f>
        <v>247.90350683593775</v>
      </c>
      <c r="AY181" s="1014">
        <f>SUM(AU181:AX181)</f>
        <v>4100.2445205078138</v>
      </c>
      <c r="AZ181" s="1015">
        <f>AZ178+AZ175</f>
        <v>630.9870689655171</v>
      </c>
      <c r="BA181" s="1015">
        <f>BA178+BA175</f>
        <v>1969.2214376206894</v>
      </c>
      <c r="BB181" s="1015">
        <f>BB178+BB175</f>
        <v>402.25864375000003</v>
      </c>
      <c r="BC181" s="1015">
        <f>BC178+BC175</f>
        <v>169.52212499999985</v>
      </c>
      <c r="BD181" s="1014">
        <f>SUM(AZ181:BC181)</f>
        <v>3171.9892753362064</v>
      </c>
      <c r="BE181" s="1015">
        <f>BE178+BE175</f>
        <v>493.56129310344818</v>
      </c>
      <c r="BF181" s="1015">
        <f>BF178+BF175</f>
        <v>2244.4441888921378</v>
      </c>
      <c r="BG181" s="1015">
        <f>BG178+BG175</f>
        <v>468.9463945</v>
      </c>
      <c r="BH181" s="1015">
        <f>BH178+BH175</f>
        <v>237.19560749999988</v>
      </c>
      <c r="BI181" s="1014">
        <f>SUM(BE181:BH181)</f>
        <v>3444.1474839955854</v>
      </c>
      <c r="BJ181" s="1015">
        <f>BJ178+BJ175</f>
        <v>618.67159535560336</v>
      </c>
      <c r="BK181" s="1015">
        <f>BK178+BK175</f>
        <v>2274.7727376829239</v>
      </c>
      <c r="BL181" s="1015">
        <f>BL178+BL175</f>
        <v>472.47840384875002</v>
      </c>
      <c r="BM181" s="1015">
        <f>BM178+BM175</f>
        <v>241.7112729562499</v>
      </c>
      <c r="BN181" s="1014">
        <f>SUM(BJ181:BM181)</f>
        <v>3607.6340098435276</v>
      </c>
      <c r="BO181" s="1015">
        <f>BO178+BO175</f>
        <v>597.9301428101993</v>
      </c>
      <c r="BP181" s="1015">
        <f>BP178+BP175</f>
        <v>2215.746359746312</v>
      </c>
      <c r="BQ181" s="1015">
        <f>BQ178+BQ175</f>
        <v>458.57167591112687</v>
      </c>
      <c r="BR181" s="1015">
        <f>BR178+BR175</f>
        <v>236.20872416706555</v>
      </c>
      <c r="BS181" s="1014">
        <f>SUM(BO181:BR181)</f>
        <v>3508.456902634704</v>
      </c>
      <c r="BT181" s="1015">
        <f>BT178+BT175</f>
        <v>578.3786328190472</v>
      </c>
      <c r="BU181" s="1015">
        <f>BU178+BU175</f>
        <v>2159.0009253429794</v>
      </c>
      <c r="BV181" s="1015">
        <f>BV178+BV175</f>
        <v>445.33878684965009</v>
      </c>
      <c r="BW181" s="1015">
        <f>BW178+BW175</f>
        <v>230.85505581891113</v>
      </c>
      <c r="BX181" s="1014">
        <f>SUM(BT181:BW181)</f>
        <v>3413.5734008305881</v>
      </c>
      <c r="BY181" s="1523"/>
      <c r="BZ181" s="1014"/>
      <c r="CA181" s="1014"/>
      <c r="CB181" s="1014"/>
      <c r="CC181" s="1014"/>
      <c r="CD181" s="1014"/>
      <c r="CE181" s="1014"/>
      <c r="CF181" s="1014"/>
      <c r="CG181" s="1014"/>
      <c r="CH181" s="1014"/>
      <c r="CI181" s="1011"/>
      <c r="CJ181" s="1011"/>
      <c r="CK181" s="1011"/>
    </row>
    <row r="182" spans="1:89" s="1022" customFormat="1">
      <c r="A182" s="1452" t="s">
        <v>926</v>
      </c>
      <c r="B182" s="1453"/>
      <c r="C182" s="1453"/>
      <c r="D182" s="1453"/>
      <c r="E182" s="1453"/>
      <c r="F182" s="1454"/>
      <c r="G182" s="1453"/>
      <c r="H182" s="1453"/>
      <c r="I182" s="1453"/>
      <c r="J182" s="1453"/>
      <c r="K182" s="1454"/>
      <c r="L182" s="1453"/>
      <c r="M182" s="1453"/>
      <c r="N182" s="1453"/>
      <c r="O182" s="1453"/>
      <c r="P182" s="1454"/>
      <c r="Q182" s="1453"/>
      <c r="R182" s="1453"/>
      <c r="S182" s="1453"/>
      <c r="T182" s="1453"/>
      <c r="U182" s="1454"/>
      <c r="V182" s="1453"/>
      <c r="W182" s="1453"/>
      <c r="X182" s="1453"/>
      <c r="Y182" s="1453"/>
      <c r="Z182" s="1454"/>
      <c r="AA182" s="1453"/>
      <c r="AB182" s="1453"/>
      <c r="AC182" s="1453"/>
      <c r="AD182" s="1453"/>
      <c r="AE182" s="1454"/>
      <c r="AF182" s="1446"/>
      <c r="AG182" s="1453"/>
      <c r="AH182" s="1453"/>
      <c r="AI182" s="1453"/>
      <c r="AJ182" s="1443"/>
      <c r="AK182" s="1442"/>
      <c r="AL182" s="1442"/>
      <c r="AM182" s="1442"/>
      <c r="AN182" s="1442"/>
      <c r="AO182" s="1443">
        <f t="shared" ref="AO182:BS182" si="379">IF(ISERROR(AO181/AJ181-1),,(AO181/AJ181-1))</f>
        <v>0</v>
      </c>
      <c r="AP182" s="1442">
        <f t="shared" si="379"/>
        <v>2.1077065864835189</v>
      </c>
      <c r="AQ182" s="1442">
        <f t="shared" si="379"/>
        <v>5.2647504610480178E-2</v>
      </c>
      <c r="AR182" s="1442">
        <f t="shared" si="379"/>
        <v>-8.8735881651835768E-2</v>
      </c>
      <c r="AS182" s="1442">
        <f t="shared" si="379"/>
        <v>0.33806526893107525</v>
      </c>
      <c r="AT182" s="1443">
        <f t="shared" si="379"/>
        <v>0.22504313417760735</v>
      </c>
      <c r="AU182" s="1442">
        <f t="shared" si="379"/>
        <v>-0.13837667411681687</v>
      </c>
      <c r="AV182" s="1442">
        <f t="shared" si="379"/>
        <v>-4.4715177895533587E-2</v>
      </c>
      <c r="AW182" s="1442">
        <f t="shared" si="379"/>
        <v>-0.32678858931924015</v>
      </c>
      <c r="AX182" s="1442">
        <f t="shared" si="379"/>
        <v>-0.60527246636327747</v>
      </c>
      <c r="AY182" s="1443">
        <f t="shared" si="379"/>
        <v>-0.17336047787852227</v>
      </c>
      <c r="AZ182" s="1442">
        <f t="shared" si="379"/>
        <v>-0.27640446039220357</v>
      </c>
      <c r="BA182" s="1442">
        <f t="shared" si="379"/>
        <v>-0.21975882694850091</v>
      </c>
      <c r="BB182" s="1442">
        <f t="shared" si="379"/>
        <v>-0.11874720921254389</v>
      </c>
      <c r="BC182" s="1442">
        <f t="shared" si="379"/>
        <v>-0.31617697884286333</v>
      </c>
      <c r="BD182" s="1443">
        <f t="shared" si="379"/>
        <v>-0.22639021661484793</v>
      </c>
      <c r="BE182" s="1442">
        <f t="shared" si="379"/>
        <v>-0.2177949162846935</v>
      </c>
      <c r="BF182" s="1442">
        <f t="shared" si="379"/>
        <v>0.13976221567239611</v>
      </c>
      <c r="BG182" s="1442">
        <f t="shared" si="379"/>
        <v>0.16578326354484951</v>
      </c>
      <c r="BH182" s="1442">
        <f t="shared" si="379"/>
        <v>0.39920147591354271</v>
      </c>
      <c r="BI182" s="1443">
        <f t="shared" si="379"/>
        <v>8.5800481980044641E-2</v>
      </c>
      <c r="BJ182" s="1442">
        <f t="shared" si="379"/>
        <v>0.25348483359681251</v>
      </c>
      <c r="BK182" s="1442">
        <f t="shared" si="379"/>
        <v>1.3512721296828678E-2</v>
      </c>
      <c r="BL182" s="1442">
        <f t="shared" si="379"/>
        <v>7.5317976429181144E-3</v>
      </c>
      <c r="BM182" s="1442">
        <f t="shared" si="379"/>
        <v>1.9037727991021214E-2</v>
      </c>
      <c r="BN182" s="1443">
        <f t="shared" si="379"/>
        <v>4.7467922499729864E-2</v>
      </c>
      <c r="BO182" s="1442">
        <f t="shared" si="379"/>
        <v>-3.3525787673316709E-2</v>
      </c>
      <c r="BP182" s="1442">
        <f t="shared" si="379"/>
        <v>-2.5948252745782385E-2</v>
      </c>
      <c r="BQ182" s="1442">
        <f t="shared" si="379"/>
        <v>-2.9433573734462093E-2</v>
      </c>
      <c r="BR182" s="1442">
        <f t="shared" si="379"/>
        <v>-2.2764965497411138E-2</v>
      </c>
      <c r="BS182" s="1443">
        <f t="shared" si="379"/>
        <v>-2.7490900390177098E-2</v>
      </c>
      <c r="BT182" s="1442">
        <f t="shared" ref="BT182" si="380">IF(ISERROR(BT181/BO181-1),,(BT181/BO181-1))</f>
        <v>-3.2698652553728724E-2</v>
      </c>
      <c r="BU182" s="1442">
        <f t="shared" ref="BU182" si="381">IF(ISERROR(BU181/BP181-1),,(BU181/BP181-1))</f>
        <v>-2.5610076782357716E-2</v>
      </c>
      <c r="BV182" s="1442">
        <f t="shared" ref="BV182" si="382">IF(ISERROR(BV181/BQ181-1),,(BV181/BQ181-1))</f>
        <v>-2.8856751859313245E-2</v>
      </c>
      <c r="BW182" s="1442">
        <f t="shared" ref="BW182" si="383">IF(ISERROR(BW181/BR181-1),,(BW181/BR181-1))</f>
        <v>-2.2664989902607902E-2</v>
      </c>
      <c r="BX182" s="1443">
        <f t="shared" ref="BX182" si="384">IF(ISERROR(BX181/BS181-1),,(BX181/BS181-1))</f>
        <v>-2.704422611914159E-2</v>
      </c>
      <c r="BY182" s="1438"/>
      <c r="BZ182" s="1443"/>
      <c r="CA182" s="1443"/>
      <c r="CB182" s="1443"/>
      <c r="CC182" s="1443"/>
      <c r="CD182" s="1443"/>
      <c r="CE182" s="1443"/>
      <c r="CF182" s="1443"/>
      <c r="CG182" s="1443"/>
      <c r="CH182" s="1443"/>
    </row>
    <row r="183" spans="1:89" ht="7.5" customHeight="1">
      <c r="A183" s="1016"/>
      <c r="B183" s="1047"/>
      <c r="C183" s="1047"/>
      <c r="D183" s="1047"/>
      <c r="E183" s="1047"/>
      <c r="F183" s="1048"/>
      <c r="G183" s="1047"/>
      <c r="H183" s="1047"/>
      <c r="I183" s="1047"/>
      <c r="J183" s="1047"/>
      <c r="K183" s="1048"/>
      <c r="L183" s="1047"/>
      <c r="M183" s="1047"/>
      <c r="N183" s="1047"/>
      <c r="O183" s="1047"/>
      <c r="P183" s="1048"/>
      <c r="Q183" s="1047"/>
      <c r="R183" s="1047"/>
      <c r="S183" s="1047"/>
      <c r="T183" s="1047"/>
      <c r="U183" s="1048"/>
      <c r="V183" s="1047"/>
      <c r="W183" s="1047"/>
      <c r="X183" s="1047"/>
      <c r="Y183" s="1047"/>
      <c r="Z183" s="1048"/>
      <c r="AA183" s="1047"/>
      <c r="AB183" s="1047"/>
      <c r="AC183" s="1047"/>
      <c r="AD183" s="1047"/>
      <c r="AE183" s="1012"/>
      <c r="AF183" s="1047"/>
      <c r="AG183" s="1047"/>
      <c r="AH183" s="1047"/>
      <c r="AI183" s="1047"/>
      <c r="AJ183" s="1012"/>
      <c r="AK183" s="1047"/>
      <c r="AL183" s="1047"/>
      <c r="AM183" s="1047"/>
      <c r="AN183" s="1047"/>
      <c r="AO183" s="1012"/>
      <c r="AP183" s="1047"/>
      <c r="AQ183" s="1047"/>
      <c r="AR183" s="1047"/>
      <c r="AS183" s="1047"/>
      <c r="AT183" s="1012"/>
      <c r="AU183" s="1047"/>
      <c r="AV183" s="1047"/>
      <c r="AW183" s="1047"/>
      <c r="AX183" s="1047"/>
      <c r="AY183" s="1012"/>
      <c r="AZ183" s="1047"/>
      <c r="BA183" s="1047"/>
      <c r="BB183" s="1047"/>
      <c r="BC183" s="1047"/>
      <c r="BD183" s="1012"/>
      <c r="BE183" s="1047"/>
      <c r="BF183" s="1047"/>
      <c r="BG183" s="1047"/>
      <c r="BH183" s="1047"/>
      <c r="BI183" s="1012"/>
      <c r="BJ183" s="1047"/>
      <c r="BK183" s="1047"/>
      <c r="BL183" s="1047"/>
      <c r="BM183" s="1047"/>
      <c r="BN183" s="1012"/>
      <c r="BO183" s="1047"/>
      <c r="BP183" s="1047"/>
      <c r="BQ183" s="1047"/>
      <c r="BR183" s="1047"/>
      <c r="BS183" s="1012"/>
      <c r="BT183" s="1047"/>
      <c r="BU183" s="1047"/>
      <c r="BV183" s="1047"/>
      <c r="BW183" s="1047"/>
      <c r="BX183" s="1012"/>
      <c r="BY183" s="1524"/>
      <c r="BZ183" s="1012"/>
      <c r="CA183" s="1012"/>
      <c r="CB183" s="1012"/>
      <c r="CC183" s="1012"/>
      <c r="CD183" s="1012"/>
      <c r="CE183" s="1012"/>
      <c r="CF183" s="1012"/>
      <c r="CG183" s="1012"/>
      <c r="CH183" s="1012"/>
      <c r="CI183" s="1049"/>
      <c r="CJ183" s="1049"/>
      <c r="CK183" s="1049"/>
    </row>
    <row r="184" spans="1:89" s="1021" customFormat="1">
      <c r="A184" s="1020" t="s">
        <v>956</v>
      </c>
      <c r="B184" s="1025"/>
      <c r="C184" s="1025"/>
      <c r="D184" s="1025"/>
      <c r="E184" s="1025"/>
      <c r="F184" s="1024"/>
      <c r="G184" s="1025"/>
      <c r="H184" s="1025"/>
      <c r="I184" s="1025"/>
      <c r="J184" s="1025"/>
      <c r="K184" s="1024"/>
      <c r="L184" s="1025"/>
      <c r="M184" s="1025"/>
      <c r="N184" s="1025"/>
      <c r="O184" s="1025"/>
      <c r="P184" s="1024"/>
      <c r="Q184" s="1025"/>
      <c r="R184" s="1025"/>
      <c r="S184" s="1025"/>
      <c r="T184" s="1025"/>
      <c r="U184" s="1024"/>
      <c r="V184" s="1025"/>
      <c r="W184" s="1025"/>
      <c r="X184" s="1025"/>
      <c r="Y184" s="1025"/>
      <c r="Z184" s="1024"/>
      <c r="AA184" s="1025"/>
      <c r="AB184" s="1025"/>
      <c r="AC184" s="1025"/>
      <c r="AD184" s="1025"/>
      <c r="AE184" s="1024"/>
      <c r="AF184" s="1025"/>
      <c r="AG184" s="1025"/>
      <c r="AH184" s="1025"/>
      <c r="AI184" s="1025"/>
      <c r="AJ184" s="1024"/>
      <c r="AK184" s="1025">
        <f>AK187/AK186</f>
        <v>11.149425287356323</v>
      </c>
      <c r="AL184" s="1025">
        <f>AL187/AL186</f>
        <v>4.6827586206896559</v>
      </c>
      <c r="AM184" s="1025">
        <f>AM187/AM186</f>
        <v>7.5</v>
      </c>
      <c r="AN184" s="1025">
        <f>AN187/AN186</f>
        <v>6.8055555555555554</v>
      </c>
      <c r="AO184" s="1024">
        <f>SUM(AK184:AN184)</f>
        <v>30.137739463601534</v>
      </c>
      <c r="AP184" s="1025">
        <f>AP187/AP186</f>
        <v>12.264367816091957</v>
      </c>
      <c r="AQ184" s="1025">
        <f>AQ187/AQ186</f>
        <v>8.3821379310344852</v>
      </c>
      <c r="AR184" s="1025">
        <f>AR187/AR186</f>
        <v>11.137500000000001</v>
      </c>
      <c r="AS184" s="1025">
        <f>AS187/AS186</f>
        <v>11.025000000000002</v>
      </c>
      <c r="AT184" s="1024">
        <f>SUM(AP184:AS184)</f>
        <v>42.809005747126449</v>
      </c>
      <c r="AU184" s="1025">
        <f>AP184*(1+AU185)</f>
        <v>15.330459770114945</v>
      </c>
      <c r="AV184" s="1025">
        <f>AQ184*(1+AV185)</f>
        <v>12.657028275862073</v>
      </c>
      <c r="AW184" s="1025">
        <f>AR184*(1+AW185)</f>
        <v>11.694375000000001</v>
      </c>
      <c r="AX184" s="1025">
        <f>AS184*(1+AX185)</f>
        <v>11.245500000000002</v>
      </c>
      <c r="AY184" s="1024">
        <f>SUM(AU184:AX184)</f>
        <v>50.927363045977017</v>
      </c>
      <c r="AZ184" s="1025">
        <f>AU184*(1+AZ185)</f>
        <v>16.250287356321842</v>
      </c>
      <c r="BA184" s="1025">
        <f>AV184*(1+BA185)</f>
        <v>14.049301386206903</v>
      </c>
      <c r="BB184" s="1025">
        <f>AW184*(1+BB185)</f>
        <v>12.512981250000001</v>
      </c>
      <c r="BC184" s="1025">
        <f>AX184*(1+BC185)</f>
        <v>11.807775000000003</v>
      </c>
      <c r="BD184" s="1024">
        <f>SUM(AZ184:BC184)</f>
        <v>54.620344992528743</v>
      </c>
      <c r="BE184" s="1025">
        <f>AZ184*(1+BE185)</f>
        <v>17.225304597701154</v>
      </c>
      <c r="BF184" s="1025">
        <f>BA184*(1+BF185)</f>
        <v>14.611273441655179</v>
      </c>
      <c r="BG184" s="1025">
        <f>BB184*(1+BG185)</f>
        <v>15.015577500000001</v>
      </c>
      <c r="BH184" s="1192">
        <f>BC184*(1+BH185)</f>
        <v>13.578941250000003</v>
      </c>
      <c r="BI184" s="1024">
        <f>SUM(BE184:BH184)</f>
        <v>60.431096789356332</v>
      </c>
      <c r="BJ184" s="1192">
        <f>BE184*(1+BJ185)</f>
        <v>18.086569827586214</v>
      </c>
      <c r="BK184" s="1192">
        <f>BF184*(1+BK185)</f>
        <v>15.341837113737938</v>
      </c>
      <c r="BL184" s="1192">
        <f>BG184*(1+BL185)</f>
        <v>15.766356375000001</v>
      </c>
      <c r="BM184" s="1192">
        <f>BH184*(1+BM185)</f>
        <v>14.257888312500004</v>
      </c>
      <c r="BN184" s="1024">
        <f>SUM(BJ184:BM184)</f>
        <v>63.452651628824157</v>
      </c>
      <c r="BO184" s="1192">
        <f>BJ184*(1+BO185)</f>
        <v>18.990898318965524</v>
      </c>
      <c r="BP184" s="1192">
        <f>BK184*(1+BP185)</f>
        <v>16.108928969424834</v>
      </c>
      <c r="BQ184" s="1192">
        <f>BL184*(1+BQ185)</f>
        <v>16.554674193750003</v>
      </c>
      <c r="BR184" s="1192">
        <f>BM184*(1+BR185)</f>
        <v>14.970782728125005</v>
      </c>
      <c r="BS184" s="1024">
        <f>SUM(BO184:BR184)</f>
        <v>66.625284210265363</v>
      </c>
      <c r="BT184" s="1192">
        <f>BO184*(1+BT185)</f>
        <v>19.940443234913801</v>
      </c>
      <c r="BU184" s="1192">
        <f>BP184*(1+BU185)</f>
        <v>16.914375417896078</v>
      </c>
      <c r="BV184" s="1192">
        <f>BQ184*(1+BV185)</f>
        <v>17.382407903437503</v>
      </c>
      <c r="BW184" s="1192">
        <f>BR184*(1+BW185)</f>
        <v>15.719321864531256</v>
      </c>
      <c r="BX184" s="1024">
        <f>SUM(BT184:BW184)</f>
        <v>69.956548420778645</v>
      </c>
      <c r="BY184" s="1521"/>
      <c r="BZ184" s="1024"/>
      <c r="CA184" s="1024"/>
      <c r="CB184" s="1024"/>
      <c r="CC184" s="1024"/>
      <c r="CD184" s="1024"/>
      <c r="CE184" s="1024"/>
      <c r="CF184" s="1024"/>
      <c r="CG184" s="1024"/>
      <c r="CH184" s="1024"/>
    </row>
    <row r="185" spans="1:89" s="1022" customFormat="1">
      <c r="A185" s="1452" t="s">
        <v>926</v>
      </c>
      <c r="B185" s="1453"/>
      <c r="C185" s="1453"/>
      <c r="D185" s="1453"/>
      <c r="E185" s="1453"/>
      <c r="F185" s="1454"/>
      <c r="G185" s="1453"/>
      <c r="H185" s="1453"/>
      <c r="I185" s="1453"/>
      <c r="J185" s="1453"/>
      <c r="K185" s="1454"/>
      <c r="L185" s="1453"/>
      <c r="M185" s="1453"/>
      <c r="N185" s="1453"/>
      <c r="O185" s="1453"/>
      <c r="P185" s="1454"/>
      <c r="Q185" s="1453"/>
      <c r="R185" s="1453"/>
      <c r="S185" s="1453"/>
      <c r="T185" s="1453"/>
      <c r="U185" s="1454"/>
      <c r="V185" s="1453"/>
      <c r="W185" s="1453"/>
      <c r="X185" s="1453"/>
      <c r="Y185" s="1453"/>
      <c r="Z185" s="1454"/>
      <c r="AA185" s="1453"/>
      <c r="AB185" s="1453"/>
      <c r="AC185" s="1453"/>
      <c r="AD185" s="1453"/>
      <c r="AE185" s="1454"/>
      <c r="AF185" s="1446"/>
      <c r="AG185" s="1453"/>
      <c r="AH185" s="1453"/>
      <c r="AI185" s="1453"/>
      <c r="AJ185" s="1443"/>
      <c r="AK185" s="1442"/>
      <c r="AL185" s="1442"/>
      <c r="AM185" s="1442"/>
      <c r="AN185" s="1442"/>
      <c r="AO185" s="1443">
        <f t="shared" ref="AO185:AT185" si="385">IF(ISERROR(AO184/AJ184-1),,(AO184/AJ184-1))</f>
        <v>0</v>
      </c>
      <c r="AP185" s="1442">
        <f t="shared" si="385"/>
        <v>0.10000000000000009</v>
      </c>
      <c r="AQ185" s="1442">
        <f t="shared" si="385"/>
        <v>0.79000000000000026</v>
      </c>
      <c r="AR185" s="1442">
        <f t="shared" si="385"/>
        <v>0.4850000000000001</v>
      </c>
      <c r="AS185" s="1442">
        <f t="shared" si="385"/>
        <v>0.62000000000000033</v>
      </c>
      <c r="AT185" s="1443">
        <f t="shared" si="385"/>
        <v>0.420445146485803</v>
      </c>
      <c r="AU185" s="1442">
        <v>0.25</v>
      </c>
      <c r="AV185" s="1442">
        <v>0.51</v>
      </c>
      <c r="AW185" s="1442">
        <v>0.05</v>
      </c>
      <c r="AX185" s="1442">
        <v>0.02</v>
      </c>
      <c r="AY185" s="1443">
        <f>IF(ISERROR(AY184/AT184-1),,(AY184/AT184-1))</f>
        <v>0.18964134198317639</v>
      </c>
      <c r="AZ185" s="1442">
        <v>0.06</v>
      </c>
      <c r="BA185" s="1442">
        <v>0.11</v>
      </c>
      <c r="BB185" s="1455">
        <v>7.0000000000000007E-2</v>
      </c>
      <c r="BC185" s="1455">
        <v>0.05</v>
      </c>
      <c r="BD185" s="1443">
        <f>IF(ISERROR(BD184/AY184-1),,(BD184/AY184-1))</f>
        <v>7.2514690054101383E-2</v>
      </c>
      <c r="BE185" s="1442">
        <v>0.06</v>
      </c>
      <c r="BF185" s="1442">
        <v>0.04</v>
      </c>
      <c r="BG185" s="1442">
        <v>0.2</v>
      </c>
      <c r="BH185" s="1455">
        <v>0.15</v>
      </c>
      <c r="BI185" s="1443">
        <f>IF(ISERROR(BI184/BD184-1),,(BI184/BD184-1))</f>
        <v>0.1063843847493533</v>
      </c>
      <c r="BJ185" s="1455">
        <v>0.05</v>
      </c>
      <c r="BK185" s="1455">
        <v>0.05</v>
      </c>
      <c r="BL185" s="1455">
        <v>0.05</v>
      </c>
      <c r="BM185" s="1455">
        <v>0.05</v>
      </c>
      <c r="BN185" s="1443">
        <f>IF(ISERROR(BN184/BI184-1),,(BN184/BI184-1))</f>
        <v>5.0000000000000044E-2</v>
      </c>
      <c r="BO185" s="1455">
        <v>0.05</v>
      </c>
      <c r="BP185" s="1455">
        <v>0.05</v>
      </c>
      <c r="BQ185" s="1455">
        <v>0.05</v>
      </c>
      <c r="BR185" s="1455">
        <v>0.05</v>
      </c>
      <c r="BS185" s="1443">
        <f>IF(ISERROR(BS184/BN184-1),,(BS184/BN184-1))</f>
        <v>5.0000000000000044E-2</v>
      </c>
      <c r="BT185" s="1455">
        <v>0.05</v>
      </c>
      <c r="BU185" s="1455">
        <v>0.05</v>
      </c>
      <c r="BV185" s="1455">
        <v>0.05</v>
      </c>
      <c r="BW185" s="1455">
        <v>0.05</v>
      </c>
      <c r="BX185" s="1443">
        <f>IF(ISERROR(BX184/BS184-1),,(BX184/BS184-1))</f>
        <v>5.0000000000000266E-2</v>
      </c>
      <c r="BY185" s="1438"/>
      <c r="BZ185" s="1443"/>
      <c r="CA185" s="1443"/>
      <c r="CB185" s="1443"/>
      <c r="CC185" s="1443"/>
      <c r="CD185" s="1443"/>
      <c r="CE185" s="1443"/>
      <c r="CF185" s="1443"/>
      <c r="CG185" s="1443"/>
      <c r="CH185" s="1443"/>
    </row>
    <row r="186" spans="1:89" s="1059" customFormat="1">
      <c r="A186" s="1055" t="s">
        <v>955</v>
      </c>
      <c r="B186" s="1060"/>
      <c r="C186" s="1060"/>
      <c r="D186" s="1060"/>
      <c r="E186" s="1060"/>
      <c r="F186" s="1058"/>
      <c r="G186" s="1060"/>
      <c r="H186" s="1060"/>
      <c r="I186" s="1060"/>
      <c r="J186" s="1060"/>
      <c r="K186" s="1058"/>
      <c r="L186" s="1060"/>
      <c r="M186" s="1060"/>
      <c r="N186" s="1060"/>
      <c r="O186" s="1060"/>
      <c r="P186" s="1058"/>
      <c r="Q186" s="1060"/>
      <c r="R186" s="1060"/>
      <c r="S186" s="1060"/>
      <c r="T186" s="1060"/>
      <c r="U186" s="1058"/>
      <c r="V186" s="1060"/>
      <c r="W186" s="1060"/>
      <c r="X186" s="1060"/>
      <c r="Y186" s="1060"/>
      <c r="Z186" s="1058"/>
      <c r="AA186" s="1060"/>
      <c r="AB186" s="1060"/>
      <c r="AC186" s="1060"/>
      <c r="AD186" s="1060"/>
      <c r="AE186" s="1057"/>
      <c r="AF186" s="1056"/>
      <c r="AG186" s="1056"/>
      <c r="AH186" s="1056"/>
      <c r="AI186" s="1056"/>
      <c r="AJ186" s="1058"/>
      <c r="AK186" s="1056">
        <v>45</v>
      </c>
      <c r="AL186" s="1056">
        <f>AK186</f>
        <v>45</v>
      </c>
      <c r="AM186" s="1056">
        <f>AL186</f>
        <v>45</v>
      </c>
      <c r="AN186" s="1056">
        <f>AM186</f>
        <v>45</v>
      </c>
      <c r="AO186" s="1058">
        <f>AO187/AO184</f>
        <v>45</v>
      </c>
      <c r="AP186" s="1056">
        <f>AO186</f>
        <v>45</v>
      </c>
      <c r="AQ186" s="1056">
        <f>AP186</f>
        <v>45</v>
      </c>
      <c r="AR186" s="1056">
        <f>AQ186</f>
        <v>45</v>
      </c>
      <c r="AS186" s="1056">
        <f>AR186</f>
        <v>45</v>
      </c>
      <c r="AT186" s="1058">
        <f>AT187/AT184</f>
        <v>44.999999999999993</v>
      </c>
      <c r="AU186" s="1056">
        <f>AS186</f>
        <v>45</v>
      </c>
      <c r="AV186" s="1056">
        <f>AU186</f>
        <v>45</v>
      </c>
      <c r="AW186" s="1056">
        <f>AV186</f>
        <v>45</v>
      </c>
      <c r="AX186" s="1056">
        <f>AW186</f>
        <v>45</v>
      </c>
      <c r="AY186" s="1058">
        <f>AY187/AY184</f>
        <v>45</v>
      </c>
      <c r="AZ186" s="1056">
        <f>AX186</f>
        <v>45</v>
      </c>
      <c r="BA186" s="1056">
        <f>AZ186</f>
        <v>45</v>
      </c>
      <c r="BB186" s="1056">
        <f>BA186</f>
        <v>45</v>
      </c>
      <c r="BC186" s="1056">
        <f>BB186</f>
        <v>45</v>
      </c>
      <c r="BD186" s="1058">
        <f>BD187/BD184</f>
        <v>45.000000000000007</v>
      </c>
      <c r="BE186" s="1056">
        <f>BC186</f>
        <v>45</v>
      </c>
      <c r="BF186" s="1056">
        <v>41</v>
      </c>
      <c r="BG186" s="1056">
        <v>41</v>
      </c>
      <c r="BH186" s="1056">
        <f>BG186</f>
        <v>41</v>
      </c>
      <c r="BI186" s="1058">
        <f>BI187/BI184</f>
        <v>42.140161639477974</v>
      </c>
      <c r="BJ186" s="1056">
        <f>BH186</f>
        <v>41</v>
      </c>
      <c r="BK186" s="1056">
        <f>BJ186</f>
        <v>41</v>
      </c>
      <c r="BL186" s="1056">
        <f>BK186</f>
        <v>41</v>
      </c>
      <c r="BM186" s="1056">
        <f>BL186</f>
        <v>41</v>
      </c>
      <c r="BN186" s="1058">
        <f>BN187/BN184</f>
        <v>41</v>
      </c>
      <c r="BO186" s="1056">
        <f>BM186</f>
        <v>41</v>
      </c>
      <c r="BP186" s="1056">
        <f>BO186</f>
        <v>41</v>
      </c>
      <c r="BQ186" s="1056">
        <f>BP186</f>
        <v>41</v>
      </c>
      <c r="BR186" s="1056">
        <f>BQ186</f>
        <v>41</v>
      </c>
      <c r="BS186" s="1058">
        <f>BS187/BS184</f>
        <v>41</v>
      </c>
      <c r="BT186" s="1056">
        <f>BR186</f>
        <v>41</v>
      </c>
      <c r="BU186" s="1056">
        <f>BT186</f>
        <v>41</v>
      </c>
      <c r="BV186" s="1056">
        <f>BU186</f>
        <v>41</v>
      </c>
      <c r="BW186" s="1056">
        <f>BV186</f>
        <v>41</v>
      </c>
      <c r="BX186" s="1058">
        <f>BX187/BX184</f>
        <v>40.999999999999993</v>
      </c>
      <c r="BY186" s="1526"/>
      <c r="BZ186" s="1058"/>
      <c r="CA186" s="1058"/>
      <c r="CB186" s="1058"/>
      <c r="CC186" s="1058"/>
      <c r="CD186" s="1058"/>
      <c r="CE186" s="1058"/>
      <c r="CF186" s="1058"/>
      <c r="CG186" s="1058"/>
      <c r="CH186" s="1058"/>
    </row>
    <row r="187" spans="1:89" s="1011" customFormat="1">
      <c r="A187" s="1013" t="s">
        <v>957</v>
      </c>
      <c r="B187" s="1015"/>
      <c r="C187" s="1015"/>
      <c r="D187" s="1015"/>
      <c r="E187" s="1015"/>
      <c r="F187" s="1014"/>
      <c r="G187" s="1015"/>
      <c r="H187" s="1015"/>
      <c r="I187" s="1015"/>
      <c r="J187" s="1015"/>
      <c r="K187" s="1014"/>
      <c r="L187" s="1015"/>
      <c r="M187" s="1015"/>
      <c r="N187" s="1015"/>
      <c r="O187" s="1015"/>
      <c r="P187" s="1014"/>
      <c r="Q187" s="1015"/>
      <c r="R187" s="1015"/>
      <c r="S187" s="1015"/>
      <c r="T187" s="1015"/>
      <c r="U187" s="1014"/>
      <c r="V187" s="1015"/>
      <c r="W187" s="1015"/>
      <c r="X187" s="1015"/>
      <c r="Y187" s="1015"/>
      <c r="Z187" s="1014"/>
      <c r="AA187" s="1015"/>
      <c r="AB187" s="1015"/>
      <c r="AC187" s="1015"/>
      <c r="AD187" s="1015"/>
      <c r="AE187" s="1014"/>
      <c r="AF187" s="1015"/>
      <c r="AG187" s="1015"/>
      <c r="AH187" s="1015"/>
      <c r="AI187" s="1015"/>
      <c r="AJ187" s="1014"/>
      <c r="AK187" s="1015">
        <v>501.72413793103453</v>
      </c>
      <c r="AL187" s="1015">
        <v>210.72413793103453</v>
      </c>
      <c r="AM187" s="1015">
        <v>337.5</v>
      </c>
      <c r="AN187" s="1015">
        <v>306.25</v>
      </c>
      <c r="AO187" s="1014">
        <f>SUM(AK187:AN187)</f>
        <v>1356.1982758620691</v>
      </c>
      <c r="AP187" s="1015">
        <f>AK187*1.1</f>
        <v>551.89655172413802</v>
      </c>
      <c r="AQ187" s="1015">
        <f>AL187*1.79</f>
        <v>377.19620689655181</v>
      </c>
      <c r="AR187" s="1015">
        <f>AM187*1.485</f>
        <v>501.18750000000006</v>
      </c>
      <c r="AS187" s="1015">
        <f>AN187*1.62</f>
        <v>496.12500000000006</v>
      </c>
      <c r="AT187" s="1014">
        <f>SUM(AP187:AS187)</f>
        <v>1926.4052586206899</v>
      </c>
      <c r="AU187" s="1015">
        <f>AU186*AU184</f>
        <v>689.87068965517255</v>
      </c>
      <c r="AV187" s="1015">
        <f>AV186*AV184</f>
        <v>569.56627241379329</v>
      </c>
      <c r="AW187" s="1015">
        <f>AW186*AW184</f>
        <v>526.24687500000005</v>
      </c>
      <c r="AX187" s="1015">
        <f>AX186*AX184</f>
        <v>506.04750000000007</v>
      </c>
      <c r="AY187" s="1014">
        <f>SUM(AU187:AX187)</f>
        <v>2291.7313370689658</v>
      </c>
      <c r="AZ187" s="1015">
        <f>AZ186*AZ184</f>
        <v>731.2629310344829</v>
      </c>
      <c r="BA187" s="1015">
        <f>BA186*BA184</f>
        <v>632.21856237931058</v>
      </c>
      <c r="BB187" s="1015">
        <f>BB186*BB184</f>
        <v>563.08415625000009</v>
      </c>
      <c r="BC187" s="1015">
        <f>BC186*BC184</f>
        <v>531.34987500000011</v>
      </c>
      <c r="BD187" s="1014">
        <f>SUM(AZ187:BC187)</f>
        <v>2457.9155246637938</v>
      </c>
      <c r="BE187" s="1015">
        <f>BE186*BE184</f>
        <v>775.13870689655187</v>
      </c>
      <c r="BF187" s="1015">
        <f>BF186*BF184</f>
        <v>599.06221110786237</v>
      </c>
      <c r="BG187" s="1015">
        <f>BG186*BG184</f>
        <v>615.63867750000009</v>
      </c>
      <c r="BH187" s="1015">
        <f>BH186*BH184</f>
        <v>556.73659125000017</v>
      </c>
      <c r="BI187" s="1014">
        <f>SUM(BE187:BH187)</f>
        <v>2546.5761867544143</v>
      </c>
      <c r="BJ187" s="1015">
        <f>BJ186*BJ184</f>
        <v>741.54936293103481</v>
      </c>
      <c r="BK187" s="1015">
        <f>BK186*BK184</f>
        <v>629.01532166325546</v>
      </c>
      <c r="BL187" s="1015">
        <f>BL186*BL184</f>
        <v>646.42061137500002</v>
      </c>
      <c r="BM187" s="1015">
        <f>BM186*BM184</f>
        <v>584.57342081250022</v>
      </c>
      <c r="BN187" s="1014">
        <f>SUM(BJ187:BM187)</f>
        <v>2601.5587167817903</v>
      </c>
      <c r="BO187" s="1015">
        <f>BO186*BO184</f>
        <v>778.62683107758653</v>
      </c>
      <c r="BP187" s="1015">
        <f>BP186*BP184</f>
        <v>660.46608774641822</v>
      </c>
      <c r="BQ187" s="1015">
        <f>BQ186*BQ184</f>
        <v>678.7416419437501</v>
      </c>
      <c r="BR187" s="1015">
        <f>BR186*BR184</f>
        <v>613.80209185312526</v>
      </c>
      <c r="BS187" s="1014">
        <f>SUM(BO187:BR187)</f>
        <v>2731.6366526208799</v>
      </c>
      <c r="BT187" s="1015">
        <f>BT186*BT184</f>
        <v>817.55817263146582</v>
      </c>
      <c r="BU187" s="1015">
        <f>BU186*BU184</f>
        <v>693.48939213373922</v>
      </c>
      <c r="BV187" s="1015">
        <f>BV186*BV184</f>
        <v>712.6787240409376</v>
      </c>
      <c r="BW187" s="1015">
        <f>BW186*BW184</f>
        <v>644.49219644578147</v>
      </c>
      <c r="BX187" s="1014">
        <f>SUM(BT187:BW187)</f>
        <v>2868.218485251924</v>
      </c>
      <c r="BY187" s="1523"/>
      <c r="BZ187" s="1014"/>
      <c r="CA187" s="1014"/>
      <c r="CB187" s="1014">
        <f>SUM(AM187:AN187,AP187:AQ187)</f>
        <v>1572.8427586206899</v>
      </c>
      <c r="CC187" s="1014">
        <f>SUM(AR187:AS187,AU187:AV187)</f>
        <v>2256.7494620689658</v>
      </c>
      <c r="CD187" s="1014">
        <f>SUM(AW187:AX187,AZ187:BA187)</f>
        <v>2395.7758684137939</v>
      </c>
      <c r="CE187" s="1014">
        <f>SUM(BB187:BC187,BE187:BF187)</f>
        <v>2468.6349492544146</v>
      </c>
      <c r="CF187" s="1014">
        <f>SUM(BG187:BH187,BJ187:BK187)</f>
        <v>2542.9399533442902</v>
      </c>
      <c r="CG187" s="1014">
        <f>SUM(BL187:BM187,BO187:BP187)</f>
        <v>2670.0869510115049</v>
      </c>
      <c r="CH187" s="1014">
        <f>SUM(BQ187:BR187,BT187:BU187)</f>
        <v>2803.5912985620803</v>
      </c>
    </row>
    <row r="188" spans="1:89" s="1022" customFormat="1" ht="12.75" customHeight="1">
      <c r="A188" s="1452" t="s">
        <v>926</v>
      </c>
      <c r="B188" s="1453"/>
      <c r="C188" s="1453"/>
      <c r="D188" s="1453"/>
      <c r="E188" s="1453"/>
      <c r="F188" s="1454"/>
      <c r="G188" s="1453"/>
      <c r="H188" s="1453"/>
      <c r="I188" s="1453"/>
      <c r="J188" s="1453"/>
      <c r="K188" s="1454"/>
      <c r="L188" s="1453"/>
      <c r="M188" s="1453"/>
      <c r="N188" s="1453"/>
      <c r="O188" s="1453"/>
      <c r="P188" s="1454"/>
      <c r="Q188" s="1453"/>
      <c r="R188" s="1453"/>
      <c r="S188" s="1453"/>
      <c r="T188" s="1453"/>
      <c r="U188" s="1454"/>
      <c r="V188" s="1453"/>
      <c r="W188" s="1453"/>
      <c r="X188" s="1453"/>
      <c r="Y188" s="1453"/>
      <c r="Z188" s="1454"/>
      <c r="AA188" s="1453"/>
      <c r="AB188" s="1453"/>
      <c r="AC188" s="1453"/>
      <c r="AD188" s="1453"/>
      <c r="AE188" s="1454"/>
      <c r="AF188" s="1446"/>
      <c r="AG188" s="1453"/>
      <c r="AH188" s="1453"/>
      <c r="AI188" s="1453"/>
      <c r="AJ188" s="1443"/>
      <c r="AK188" s="1442"/>
      <c r="AL188" s="1442"/>
      <c r="AM188" s="1442"/>
      <c r="AN188" s="1442"/>
      <c r="AO188" s="1443">
        <f t="shared" ref="AO188:BS188" si="386">IF(ISERROR(AO187/AJ187-1),,(AO187/AJ187-1))</f>
        <v>0</v>
      </c>
      <c r="AP188" s="1442">
        <f t="shared" si="386"/>
        <v>0.10000000000000009</v>
      </c>
      <c r="AQ188" s="1430">
        <f t="shared" si="386"/>
        <v>0.79</v>
      </c>
      <c r="AR188" s="1430">
        <f t="shared" si="386"/>
        <v>0.4850000000000001</v>
      </c>
      <c r="AS188" s="1430">
        <f t="shared" si="386"/>
        <v>0.62000000000000011</v>
      </c>
      <c r="AT188" s="1443">
        <f t="shared" si="386"/>
        <v>0.42044514648580278</v>
      </c>
      <c r="AU188" s="1442">
        <f t="shared" si="386"/>
        <v>0.25</v>
      </c>
      <c r="AV188" s="1442">
        <f t="shared" si="386"/>
        <v>0.51000000000000023</v>
      </c>
      <c r="AW188" s="1442">
        <f t="shared" si="386"/>
        <v>5.0000000000000044E-2</v>
      </c>
      <c r="AX188" s="1430">
        <f t="shared" si="386"/>
        <v>2.0000000000000018E-2</v>
      </c>
      <c r="AY188" s="1443">
        <f t="shared" si="386"/>
        <v>0.18964134198317661</v>
      </c>
      <c r="AZ188" s="1442">
        <f t="shared" si="386"/>
        <v>6.0000000000000053E-2</v>
      </c>
      <c r="BA188" s="1442">
        <f t="shared" si="386"/>
        <v>0.1100000000000001</v>
      </c>
      <c r="BB188" s="1442">
        <f t="shared" si="386"/>
        <v>7.0000000000000062E-2</v>
      </c>
      <c r="BC188" s="1442">
        <f t="shared" si="386"/>
        <v>5.0000000000000044E-2</v>
      </c>
      <c r="BD188" s="1443">
        <f t="shared" si="386"/>
        <v>7.2514690054101605E-2</v>
      </c>
      <c r="BE188" s="1442">
        <f t="shared" si="386"/>
        <v>6.0000000000000053E-2</v>
      </c>
      <c r="BF188" s="1442">
        <f t="shared" si="386"/>
        <v>-5.2444444444444294E-2</v>
      </c>
      <c r="BG188" s="1442">
        <f t="shared" si="386"/>
        <v>9.3333333333333268E-2</v>
      </c>
      <c r="BH188" s="1442">
        <f t="shared" si="386"/>
        <v>4.7777777777777919E-2</v>
      </c>
      <c r="BI188" s="1443">
        <f t="shared" si="386"/>
        <v>3.6071484638491746E-2</v>
      </c>
      <c r="BJ188" s="1442">
        <f t="shared" si="386"/>
        <v>-4.3333333333333113E-2</v>
      </c>
      <c r="BK188" s="1442">
        <f t="shared" si="386"/>
        <v>5.0000000000000044E-2</v>
      </c>
      <c r="BL188" s="1442">
        <f t="shared" si="386"/>
        <v>4.9999999999999822E-2</v>
      </c>
      <c r="BM188" s="1442">
        <f t="shared" si="386"/>
        <v>5.0000000000000044E-2</v>
      </c>
      <c r="BN188" s="1443">
        <f t="shared" si="386"/>
        <v>2.1590765795014732E-2</v>
      </c>
      <c r="BO188" s="1442">
        <f t="shared" si="386"/>
        <v>5.0000000000000044E-2</v>
      </c>
      <c r="BP188" s="1442">
        <f t="shared" si="386"/>
        <v>5.0000000000000044E-2</v>
      </c>
      <c r="BQ188" s="1442">
        <f t="shared" si="386"/>
        <v>5.0000000000000044E-2</v>
      </c>
      <c r="BR188" s="1442">
        <f t="shared" si="386"/>
        <v>5.0000000000000044E-2</v>
      </c>
      <c r="BS188" s="1443">
        <f t="shared" si="386"/>
        <v>5.0000000000000044E-2</v>
      </c>
      <c r="BT188" s="1442">
        <f t="shared" ref="BT188" si="387">IF(ISERROR(BT187/BO187-1),,(BT187/BO187-1))</f>
        <v>5.0000000000000044E-2</v>
      </c>
      <c r="BU188" s="1442">
        <f t="shared" ref="BU188" si="388">IF(ISERROR(BU187/BP187-1),,(BU187/BP187-1))</f>
        <v>5.0000000000000044E-2</v>
      </c>
      <c r="BV188" s="1442">
        <f t="shared" ref="BV188" si="389">IF(ISERROR(BV187/BQ187-1),,(BV187/BQ187-1))</f>
        <v>5.0000000000000044E-2</v>
      </c>
      <c r="BW188" s="1442">
        <f t="shared" ref="BW188" si="390">IF(ISERROR(BW187/BR187-1),,(BW187/BR187-1))</f>
        <v>4.9999999999999822E-2</v>
      </c>
      <c r="BX188" s="1443">
        <f t="shared" ref="BX188" si="391">IF(ISERROR(BX187/BS187-1),,(BX187/BS187-1))</f>
        <v>5.0000000000000044E-2</v>
      </c>
      <c r="BY188" s="1438"/>
      <c r="BZ188" s="1443"/>
      <c r="CA188" s="1443"/>
      <c r="CB188" s="1443"/>
      <c r="CC188" s="1443"/>
      <c r="CD188" s="1443"/>
      <c r="CE188" s="1443"/>
      <c r="CF188" s="1443"/>
      <c r="CG188" s="1443"/>
      <c r="CH188" s="1443"/>
    </row>
    <row r="189" spans="1:89" s="1049" customFormat="1" ht="7.5" customHeight="1">
      <c r="A189" s="1016"/>
      <c r="B189" s="1047"/>
      <c r="C189" s="1047"/>
      <c r="D189" s="1047"/>
      <c r="E189" s="1047"/>
      <c r="F189" s="1048"/>
      <c r="G189" s="1047"/>
      <c r="H189" s="1047"/>
      <c r="I189" s="1047"/>
      <c r="J189" s="1047"/>
      <c r="K189" s="1048"/>
      <c r="L189" s="1047"/>
      <c r="M189" s="1047"/>
      <c r="N189" s="1047"/>
      <c r="O189" s="1047"/>
      <c r="P189" s="1048"/>
      <c r="Q189" s="1047"/>
      <c r="R189" s="1047"/>
      <c r="S189" s="1047"/>
      <c r="T189" s="1047"/>
      <c r="U189" s="1048"/>
      <c r="V189" s="1047"/>
      <c r="W189" s="1047"/>
      <c r="X189" s="1047"/>
      <c r="Y189" s="1047"/>
      <c r="Z189" s="1048"/>
      <c r="AA189" s="1047"/>
      <c r="AB189" s="1047"/>
      <c r="AC189" s="1047"/>
      <c r="AD189" s="1047"/>
      <c r="AE189" s="1012"/>
      <c r="AF189" s="1047"/>
      <c r="AG189" s="1047"/>
      <c r="AH189" s="1047"/>
      <c r="AI189" s="1047"/>
      <c r="AJ189" s="1012"/>
      <c r="AK189" s="1047"/>
      <c r="AL189" s="1047"/>
      <c r="AM189" s="1047"/>
      <c r="AN189" s="1047"/>
      <c r="AO189" s="1012"/>
      <c r="AP189" s="1047"/>
      <c r="AQ189" s="1047"/>
      <c r="AR189" s="1047"/>
      <c r="AS189" s="1047"/>
      <c r="AT189" s="1012"/>
      <c r="AU189" s="1047"/>
      <c r="AV189" s="1047"/>
      <c r="AW189" s="1047"/>
      <c r="AX189" s="1047"/>
      <c r="AY189" s="1012"/>
      <c r="AZ189" s="1047"/>
      <c r="BA189" s="1047"/>
      <c r="BB189" s="1047"/>
      <c r="BC189" s="1047"/>
      <c r="BD189" s="1012"/>
      <c r="BE189" s="1047"/>
      <c r="BF189" s="1047"/>
      <c r="BG189" s="1047"/>
      <c r="BH189" s="1047"/>
      <c r="BI189" s="1012"/>
      <c r="BJ189" s="1047"/>
      <c r="BK189" s="1047"/>
      <c r="BL189" s="1047"/>
      <c r="BM189" s="1047"/>
      <c r="BN189" s="1012"/>
      <c r="BO189" s="1047"/>
      <c r="BP189" s="1047"/>
      <c r="BQ189" s="1047"/>
      <c r="BR189" s="1047"/>
      <c r="BS189" s="1012"/>
      <c r="BT189" s="1047"/>
      <c r="BU189" s="1047"/>
      <c r="BV189" s="1047"/>
      <c r="BW189" s="1047"/>
      <c r="BX189" s="1012"/>
      <c r="BY189" s="1524"/>
      <c r="BZ189" s="1012"/>
      <c r="CA189" s="1012"/>
      <c r="CB189" s="1012"/>
      <c r="CC189" s="1012"/>
      <c r="CD189" s="1012"/>
      <c r="CE189" s="1012"/>
      <c r="CF189" s="1012"/>
      <c r="CG189" s="1012"/>
      <c r="CH189" s="1012"/>
    </row>
    <row r="190" spans="1:89" s="1011" customFormat="1">
      <c r="A190" s="1013" t="s">
        <v>1122</v>
      </c>
      <c r="B190" s="1015"/>
      <c r="C190" s="1015"/>
      <c r="D190" s="1015"/>
      <c r="E190" s="1015"/>
      <c r="F190" s="1014"/>
      <c r="G190" s="1015"/>
      <c r="H190" s="1015"/>
      <c r="I190" s="1015"/>
      <c r="J190" s="1015"/>
      <c r="K190" s="1014"/>
      <c r="L190" s="1015"/>
      <c r="M190" s="1015"/>
      <c r="N190" s="1015"/>
      <c r="O190" s="1015"/>
      <c r="P190" s="1014"/>
      <c r="Q190" s="1015"/>
      <c r="R190" s="1015"/>
      <c r="S190" s="1015"/>
      <c r="T190" s="1015"/>
      <c r="U190" s="1014"/>
      <c r="V190" s="1015"/>
      <c r="W190" s="1015"/>
      <c r="X190" s="1015"/>
      <c r="Y190" s="1015"/>
      <c r="Z190" s="1014"/>
      <c r="AA190" s="1015"/>
      <c r="AB190" s="1015"/>
      <c r="AC190" s="1015"/>
      <c r="AD190" s="1015"/>
      <c r="AE190" s="1014"/>
      <c r="AF190" s="1015"/>
      <c r="AG190" s="1015"/>
      <c r="AH190" s="1015"/>
      <c r="AI190" s="1015"/>
      <c r="AJ190" s="1014"/>
      <c r="AK190" s="2519">
        <v>526.5</v>
      </c>
      <c r="AL190" s="1015">
        <v>1274.4000000000001</v>
      </c>
      <c r="AM190" s="1015">
        <v>952.4</v>
      </c>
      <c r="AN190" s="1015">
        <v>627.79999999999995</v>
      </c>
      <c r="AO190" s="1014">
        <f>SUM(AK190:AN190)</f>
        <v>3381.1000000000004</v>
      </c>
      <c r="AP190" s="2519">
        <v>401.4</v>
      </c>
      <c r="AQ190" s="1015">
        <v>580</v>
      </c>
      <c r="AR190" s="1015">
        <v>792.8</v>
      </c>
      <c r="AS190" s="1015">
        <v>848</v>
      </c>
      <c r="AT190" s="1014">
        <f>SUM(AP190:AS190)</f>
        <v>2622.2</v>
      </c>
      <c r="AU190" s="1015">
        <v>425</v>
      </c>
      <c r="AV190" s="1015">
        <v>819</v>
      </c>
      <c r="AW190" s="1015">
        <f>AR190*(1+AW191)</f>
        <v>832.43999999999994</v>
      </c>
      <c r="AX190" s="1015">
        <f>AS190*(1+AX191)</f>
        <v>856.48</v>
      </c>
      <c r="AY190" s="1014">
        <f>SUM(AU190:AX190)</f>
        <v>2932.92</v>
      </c>
      <c r="AZ190" s="1015">
        <f>AU190*(1+AZ191)</f>
        <v>522.75</v>
      </c>
      <c r="BA190" s="1015">
        <f>AV190*(1+BA191)</f>
        <v>1015.56</v>
      </c>
      <c r="BB190" s="1015">
        <f>AW190*(1+BB191)</f>
        <v>940.65719999999988</v>
      </c>
      <c r="BC190" s="1015">
        <f>AX190*(1+BC191)</f>
        <v>942.12800000000004</v>
      </c>
      <c r="BD190" s="1014">
        <f>SUM(AZ190:BC190)</f>
        <v>3421.0952000000002</v>
      </c>
      <c r="BE190" s="1015">
        <f>AZ190*(1+BE191)</f>
        <v>627.29999999999995</v>
      </c>
      <c r="BF190" s="1015">
        <f>BA190*(1+BF191)</f>
        <v>1076.4936</v>
      </c>
      <c r="BG190" s="1015">
        <f>BB190*(1+BG191)</f>
        <v>1166.4149279999999</v>
      </c>
      <c r="BH190" s="1015">
        <f>BC190*(1+BH191)</f>
        <v>1177.6600000000001</v>
      </c>
      <c r="BI190" s="1014">
        <f>SUM(BE190:BH190)</f>
        <v>4047.868528</v>
      </c>
      <c r="BJ190" s="1015">
        <f>BE190*(1+BJ191)</f>
        <v>677.48400000000004</v>
      </c>
      <c r="BK190" s="1015">
        <f>BF190*(1+BK191)</f>
        <v>1162.6130880000001</v>
      </c>
      <c r="BL190" s="1015">
        <f>BG190*(1+BL191)</f>
        <v>1259.7281222399999</v>
      </c>
      <c r="BM190" s="1015">
        <f>BH190*(1+BM191)</f>
        <v>1271.8728000000001</v>
      </c>
      <c r="BN190" s="1014">
        <f>SUM(BJ190:BM190)</f>
        <v>4371.6980102400003</v>
      </c>
      <c r="BO190" s="1015">
        <f>BJ190*(1+BO191)</f>
        <v>731.68272000000013</v>
      </c>
      <c r="BP190" s="1015">
        <f>BK190*(1+BP191)</f>
        <v>1255.6221350400001</v>
      </c>
      <c r="BQ190" s="1015">
        <f>BL190*(1+BQ191)</f>
        <v>1360.5063720191999</v>
      </c>
      <c r="BR190" s="1015">
        <f>BM190*(1+BR191)</f>
        <v>1373.6226240000001</v>
      </c>
      <c r="BS190" s="1014">
        <f>SUM(BO190:BR190)</f>
        <v>4721.4338510592006</v>
      </c>
      <c r="BT190" s="1015">
        <f>BO190*(1+BT191)</f>
        <v>775.58368320000022</v>
      </c>
      <c r="BU190" s="1015">
        <f>BP190*(1+BU191)</f>
        <v>1330.9594631424002</v>
      </c>
      <c r="BV190" s="1015">
        <f>BQ190*(1+BV191)</f>
        <v>1442.1367543403519</v>
      </c>
      <c r="BW190" s="1015">
        <f>BR190*(1+BW191)</f>
        <v>1456.0399814400002</v>
      </c>
      <c r="BX190" s="1014">
        <f>SUM(BT190:BW190)</f>
        <v>5004.7198821227521</v>
      </c>
      <c r="BY190" s="1523"/>
      <c r="BZ190" s="1014"/>
      <c r="CA190" s="1014"/>
      <c r="CB190" s="1014">
        <f>SUM(AM190:AN190,AP190:AQ190)</f>
        <v>2561.6</v>
      </c>
      <c r="CC190" s="1014">
        <f>SUM(AR190:AS190,AU190:AV190)</f>
        <v>2884.8</v>
      </c>
      <c r="CD190" s="1014">
        <f>SUM(AW190:AX190,AZ190:BA190)</f>
        <v>3227.23</v>
      </c>
      <c r="CE190" s="1014">
        <f>SUM(BB190:BC190,BE190:BF190)</f>
        <v>3586.5787999999993</v>
      </c>
      <c r="CF190" s="1014">
        <f>SUM(BG190:BH190,BJ190:BK190)</f>
        <v>4184.1720160000004</v>
      </c>
      <c r="CG190" s="1014">
        <f>SUM(BL190:BM190,BO190:BP190)</f>
        <v>4518.9057772800006</v>
      </c>
      <c r="CH190" s="1014">
        <f>SUM(BQ190:BR190,BT190:BU190)</f>
        <v>4840.6721423616</v>
      </c>
    </row>
    <row r="191" spans="1:89" s="1022" customFormat="1">
      <c r="A191" s="1452" t="s">
        <v>926</v>
      </c>
      <c r="B191" s="1453"/>
      <c r="C191" s="1453"/>
      <c r="D191" s="1453"/>
      <c r="E191" s="1453"/>
      <c r="F191" s="1454"/>
      <c r="G191" s="1453"/>
      <c r="H191" s="1453"/>
      <c r="I191" s="1453"/>
      <c r="J191" s="1453"/>
      <c r="K191" s="1454"/>
      <c r="L191" s="1453"/>
      <c r="M191" s="1453"/>
      <c r="N191" s="1453"/>
      <c r="O191" s="1453"/>
      <c r="P191" s="1454"/>
      <c r="Q191" s="1453"/>
      <c r="R191" s="1453"/>
      <c r="S191" s="1453"/>
      <c r="T191" s="1453"/>
      <c r="U191" s="1454"/>
      <c r="V191" s="1453"/>
      <c r="W191" s="1453"/>
      <c r="X191" s="1453"/>
      <c r="Y191" s="1453"/>
      <c r="Z191" s="1454"/>
      <c r="AA191" s="1453"/>
      <c r="AB191" s="1453"/>
      <c r="AC191" s="1453"/>
      <c r="AD191" s="1453"/>
      <c r="AE191" s="1454"/>
      <c r="AF191" s="1446"/>
      <c r="AG191" s="1453"/>
      <c r="AH191" s="1453"/>
      <c r="AI191" s="1453"/>
      <c r="AJ191" s="1443"/>
      <c r="AK191" s="1442"/>
      <c r="AL191" s="1442"/>
      <c r="AM191" s="1442"/>
      <c r="AN191" s="1442"/>
      <c r="AO191" s="1443">
        <f t="shared" ref="AO191:AV191" si="392">IF(ISERROR(AO190/AJ190-1),,(AO190/AJ190-1))</f>
        <v>0</v>
      </c>
      <c r="AP191" s="1442">
        <f t="shared" si="392"/>
        <v>-0.23760683760683765</v>
      </c>
      <c r="AQ191" s="1442">
        <f t="shared" si="392"/>
        <v>-0.54488386691776525</v>
      </c>
      <c r="AR191" s="1442">
        <f t="shared" si="392"/>
        <v>-0.16757664846703069</v>
      </c>
      <c r="AS191" s="1442">
        <f t="shared" si="392"/>
        <v>0.35074864606562617</v>
      </c>
      <c r="AT191" s="1443">
        <f t="shared" si="392"/>
        <v>-0.22445358019579442</v>
      </c>
      <c r="AU191" s="1442">
        <f t="shared" si="392"/>
        <v>5.879422022919778E-2</v>
      </c>
      <c r="AV191" s="1442">
        <f t="shared" si="392"/>
        <v>0.41206896551724137</v>
      </c>
      <c r="AW191" s="1442">
        <v>0.05</v>
      </c>
      <c r="AX191" s="1442">
        <v>0.01</v>
      </c>
      <c r="AY191" s="1443">
        <f>IF(ISERROR(AY190/AT190-1),,(AY190/AT190-1))</f>
        <v>0.1184959194569446</v>
      </c>
      <c r="AZ191" s="1442">
        <v>0.23</v>
      </c>
      <c r="BA191" s="1442">
        <v>0.24</v>
      </c>
      <c r="BB191" s="1455">
        <v>0.13</v>
      </c>
      <c r="BC191" s="1455">
        <v>0.1</v>
      </c>
      <c r="BD191" s="1443">
        <f>IF(ISERROR(BD190/AY190-1),,(BD190/AY190-1))</f>
        <v>0.16644681750610313</v>
      </c>
      <c r="BE191" s="1442">
        <v>0.2</v>
      </c>
      <c r="BF191" s="1442">
        <v>0.06</v>
      </c>
      <c r="BG191" s="1442">
        <v>0.24</v>
      </c>
      <c r="BH191" s="1455">
        <v>0.25</v>
      </c>
      <c r="BI191" s="1443">
        <f>IF(ISERROR(BI190/BD190-1),,(BI190/BD190-1))</f>
        <v>0.18320838543165929</v>
      </c>
      <c r="BJ191" s="1455">
        <v>0.08</v>
      </c>
      <c r="BK191" s="1455">
        <v>0.08</v>
      </c>
      <c r="BL191" s="1455">
        <v>0.08</v>
      </c>
      <c r="BM191" s="1455">
        <v>0.08</v>
      </c>
      <c r="BN191" s="1443">
        <f>IF(ISERROR(BN190/BI190-1),,(BN190/BI190-1))</f>
        <v>8.0000000000000071E-2</v>
      </c>
      <c r="BO191" s="1455">
        <v>0.08</v>
      </c>
      <c r="BP191" s="1455">
        <v>0.08</v>
      </c>
      <c r="BQ191" s="1455">
        <v>0.08</v>
      </c>
      <c r="BR191" s="1455">
        <v>0.08</v>
      </c>
      <c r="BS191" s="1443">
        <f>IF(ISERROR(BS190/BN190-1),,(BS190/BN190-1))</f>
        <v>8.0000000000000071E-2</v>
      </c>
      <c r="BT191" s="1455">
        <v>0.06</v>
      </c>
      <c r="BU191" s="1455">
        <v>0.06</v>
      </c>
      <c r="BV191" s="1455">
        <v>0.06</v>
      </c>
      <c r="BW191" s="1455">
        <v>0.06</v>
      </c>
      <c r="BX191" s="1443">
        <f>IF(ISERROR(BX190/BS190-1),,(BX190/BS190-1))</f>
        <v>5.9999999999999831E-2</v>
      </c>
      <c r="BY191" s="1438"/>
      <c r="BZ191" s="1443"/>
      <c r="CA191" s="1443"/>
      <c r="CB191" s="1443"/>
      <c r="CC191" s="1443"/>
      <c r="CD191" s="1443"/>
      <c r="CE191" s="1443"/>
      <c r="CF191" s="1443"/>
      <c r="CG191" s="1443"/>
      <c r="CH191" s="1443"/>
    </row>
    <row r="192" spans="1:89" s="1022" customFormat="1" ht="7.5" customHeight="1">
      <c r="A192" s="1016"/>
      <c r="B192" s="1047"/>
      <c r="C192" s="1047"/>
      <c r="D192" s="1047"/>
      <c r="E192" s="1047"/>
      <c r="F192" s="1048"/>
      <c r="G192" s="1047"/>
      <c r="H192" s="1047"/>
      <c r="I192" s="1047"/>
      <c r="J192" s="1047"/>
      <c r="K192" s="1048"/>
      <c r="L192" s="1047"/>
      <c r="M192" s="1047"/>
      <c r="N192" s="1047"/>
      <c r="O192" s="1047"/>
      <c r="P192" s="1048"/>
      <c r="Q192" s="1047"/>
      <c r="R192" s="1047"/>
      <c r="S192" s="1047"/>
      <c r="T192" s="1047"/>
      <c r="U192" s="1048"/>
      <c r="V192" s="1047"/>
      <c r="W192" s="1047"/>
      <c r="X192" s="1047"/>
      <c r="Y192" s="1047"/>
      <c r="Z192" s="1048"/>
      <c r="AA192" s="1047"/>
      <c r="AB192" s="1047"/>
      <c r="AC192" s="1047"/>
      <c r="AD192" s="1047"/>
      <c r="AE192" s="1012"/>
      <c r="AF192" s="1047"/>
      <c r="AG192" s="1047"/>
      <c r="AH192" s="1047"/>
      <c r="AI192" s="1047"/>
      <c r="AJ192" s="1012"/>
      <c r="AK192" s="1047"/>
      <c r="AL192" s="1047"/>
      <c r="AM192" s="1047"/>
      <c r="AN192" s="1047"/>
      <c r="AO192" s="1012"/>
      <c r="AP192" s="1047"/>
      <c r="AQ192" s="1047"/>
      <c r="AR192" s="1047"/>
      <c r="AS192" s="1047"/>
      <c r="AT192" s="1012"/>
      <c r="AU192" s="1047"/>
      <c r="AV192" s="1047"/>
      <c r="AW192" s="1047"/>
      <c r="AX192" s="1047"/>
      <c r="AY192" s="1012"/>
      <c r="AZ192" s="1047"/>
      <c r="BA192" s="1047"/>
      <c r="BB192" s="1047"/>
      <c r="BC192" s="1047"/>
      <c r="BD192" s="1012"/>
      <c r="BE192" s="1047"/>
      <c r="BF192" s="1047"/>
      <c r="BG192" s="1047"/>
      <c r="BH192" s="1047"/>
      <c r="BI192" s="1012"/>
      <c r="BJ192" s="1047"/>
      <c r="BK192" s="1047"/>
      <c r="BL192" s="1047"/>
      <c r="BM192" s="1047"/>
      <c r="BN192" s="1012"/>
      <c r="BO192" s="1047"/>
      <c r="BP192" s="1047"/>
      <c r="BQ192" s="1047"/>
      <c r="BR192" s="1047"/>
      <c r="BS192" s="1012"/>
      <c r="BT192" s="1047"/>
      <c r="BU192" s="1047"/>
      <c r="BV192" s="1047"/>
      <c r="BW192" s="1047"/>
      <c r="BX192" s="1012"/>
      <c r="BY192" s="1524"/>
      <c r="BZ192" s="1012"/>
      <c r="CA192" s="1012"/>
      <c r="CB192" s="1012"/>
      <c r="CC192" s="1012"/>
      <c r="CD192" s="1012"/>
      <c r="CE192" s="1012"/>
      <c r="CF192" s="1012"/>
      <c r="CG192" s="1012"/>
      <c r="CH192" s="1012"/>
      <c r="CI192" s="1049"/>
      <c r="CJ192" s="1049"/>
      <c r="CK192" s="1049"/>
    </row>
    <row r="193" spans="1:96">
      <c r="A193" s="1013" t="s">
        <v>1123</v>
      </c>
      <c r="B193" s="1015"/>
      <c r="C193" s="1015"/>
      <c r="D193" s="1015"/>
      <c r="E193" s="1015"/>
      <c r="F193" s="1014"/>
      <c r="G193" s="1015"/>
      <c r="H193" s="1015"/>
      <c r="I193" s="1015"/>
      <c r="J193" s="1015"/>
      <c r="K193" s="1014"/>
      <c r="L193" s="1015"/>
      <c r="M193" s="1015"/>
      <c r="N193" s="1015"/>
      <c r="O193" s="1015"/>
      <c r="P193" s="1014"/>
      <c r="Q193" s="1015"/>
      <c r="R193" s="1015"/>
      <c r="S193" s="1015"/>
      <c r="T193" s="1015"/>
      <c r="U193" s="1014"/>
      <c r="V193" s="1015"/>
      <c r="W193" s="1015"/>
      <c r="X193" s="1015"/>
      <c r="Y193" s="1015"/>
      <c r="Z193" s="1014"/>
      <c r="AA193" s="1015"/>
      <c r="AB193" s="1015"/>
      <c r="AC193" s="1015"/>
      <c r="AD193" s="1015"/>
      <c r="AE193" s="1014"/>
      <c r="AF193" s="1015"/>
      <c r="AG193" s="1015"/>
      <c r="AH193" s="1015"/>
      <c r="AI193" s="1015"/>
      <c r="AJ193" s="1014"/>
      <c r="AK193" s="1015"/>
      <c r="AL193" s="1015"/>
      <c r="AM193" s="1015"/>
      <c r="AN193" s="1015"/>
      <c r="AO193" s="1014"/>
      <c r="AP193" s="1015"/>
      <c r="AQ193" s="1015"/>
      <c r="AR193" s="1015"/>
      <c r="AS193" s="1015"/>
      <c r="AT193" s="1014"/>
      <c r="AU193" s="1015"/>
      <c r="AV193" s="1015"/>
      <c r="AW193" s="1015"/>
      <c r="AX193" s="1015"/>
      <c r="AY193" s="1014"/>
      <c r="AZ193" s="1015">
        <v>1885</v>
      </c>
      <c r="BA193" s="1015">
        <v>3617</v>
      </c>
      <c r="BB193" s="1015">
        <v>1906</v>
      </c>
      <c r="BC193" s="1015">
        <v>1643</v>
      </c>
      <c r="BD193" s="1014">
        <f>SUM(AZ193:BC193)</f>
        <v>9051</v>
      </c>
      <c r="BE193" s="1015">
        <v>1896</v>
      </c>
      <c r="BF193" s="1015">
        <v>3920</v>
      </c>
      <c r="BG193" s="1015">
        <v>2251</v>
      </c>
      <c r="BH193" s="1015">
        <f>BH190+BH187+BH181</f>
        <v>1971.5921987500001</v>
      </c>
      <c r="BI193" s="1014">
        <f>SUM(BE193:BH193)</f>
        <v>10038.592198750001</v>
      </c>
      <c r="BJ193" s="1015">
        <f>BJ190+BJ187+BJ181</f>
        <v>2037.7049582866382</v>
      </c>
      <c r="BK193" s="1015">
        <f>BK190+BK187+BK181</f>
        <v>4066.4011473461796</v>
      </c>
      <c r="BL193" s="1015">
        <f>BL190+BL187+BL181</f>
        <v>2378.6271374637499</v>
      </c>
      <c r="BM193" s="1015">
        <f>BM190+BM187+BM181</f>
        <v>2098.1574937687501</v>
      </c>
      <c r="BN193" s="1014">
        <f>SUM(BJ193:BM193)</f>
        <v>10580.89073686532</v>
      </c>
      <c r="BO193" s="1015">
        <f>BO190+BO187+BO181</f>
        <v>2108.239693887786</v>
      </c>
      <c r="BP193" s="1015">
        <f>BP190+BP187+BP181</f>
        <v>4131.8345825327306</v>
      </c>
      <c r="BQ193" s="1015">
        <f>BQ190+BQ187+BQ181</f>
        <v>2497.8196898740771</v>
      </c>
      <c r="BR193" s="1015">
        <f>BR190+BR187+BR181</f>
        <v>2223.6334400201908</v>
      </c>
      <c r="BS193" s="1014">
        <f>SUM(BO193:BR193)</f>
        <v>10961.527406314784</v>
      </c>
      <c r="BT193" s="1015">
        <f>BT190+BT187+BT181</f>
        <v>2171.5204886505135</v>
      </c>
      <c r="BU193" s="1015">
        <f>BU190+BU187+BU181</f>
        <v>4183.4497806191193</v>
      </c>
      <c r="BV193" s="1015">
        <f>BV190+BV187+BV181</f>
        <v>2600.1542652309399</v>
      </c>
      <c r="BW193" s="1015">
        <f>BW190+BW187+BW181</f>
        <v>2331.3872337046928</v>
      </c>
      <c r="BX193" s="1014">
        <f>SUM(BT193:BW193)</f>
        <v>11286.511768205266</v>
      </c>
      <c r="BY193" s="1523"/>
      <c r="BZ193" s="1014"/>
      <c r="CA193" s="1014"/>
      <c r="CB193" s="1014">
        <f>SUM(AM193:AN193,AP193:AQ193)</f>
        <v>0</v>
      </c>
      <c r="CC193" s="1014">
        <f>SUM(AR193:AS193,AU193:AV193)</f>
        <v>0</v>
      </c>
      <c r="CD193" s="1014">
        <f>SUM(AW193:AX193,AZ193:BA193)</f>
        <v>5502</v>
      </c>
      <c r="CE193" s="1014">
        <f>SUM(BB193:BC193,BE193:BF193)</f>
        <v>9365</v>
      </c>
      <c r="CF193" s="1014">
        <f>SUM(BG193:BH193,BJ193:BK193)</f>
        <v>10326.698304382819</v>
      </c>
      <c r="CG193" s="1014">
        <f>SUM(BL193:BM193,BO193:BP193)</f>
        <v>10716.858907653017</v>
      </c>
      <c r="CH193" s="1014">
        <f>SUM(BQ193:BR193,BT193:BU193)</f>
        <v>11076.423399163901</v>
      </c>
      <c r="CI193" s="1011"/>
      <c r="CJ193" s="1011"/>
      <c r="CK193" s="1011"/>
      <c r="CM193" s="1011"/>
      <c r="CN193" s="1011"/>
      <c r="CO193" s="1011"/>
      <c r="CP193" s="1011"/>
      <c r="CQ193" s="1011"/>
      <c r="CR193" s="1011"/>
    </row>
    <row r="194" spans="1:96">
      <c r="A194" s="1094"/>
      <c r="B194" s="2526"/>
      <c r="C194" s="2526"/>
      <c r="D194" s="2526"/>
      <c r="E194" s="2526"/>
      <c r="F194" s="2527"/>
      <c r="G194" s="2526"/>
      <c r="H194" s="2526"/>
      <c r="I194" s="2526"/>
      <c r="J194" s="2526"/>
      <c r="K194" s="2527"/>
      <c r="L194" s="2526"/>
      <c r="M194" s="2526"/>
      <c r="N194" s="2526"/>
      <c r="O194" s="2526"/>
      <c r="P194" s="2527"/>
      <c r="Q194" s="2526"/>
      <c r="R194" s="2526"/>
      <c r="S194" s="2526"/>
      <c r="T194" s="2526"/>
      <c r="U194" s="2527"/>
      <c r="V194" s="2526"/>
      <c r="W194" s="2526"/>
      <c r="X194" s="2526"/>
      <c r="Y194" s="2526"/>
      <c r="Z194" s="2527"/>
      <c r="AA194" s="2526"/>
      <c r="AB194" s="2526"/>
      <c r="AC194" s="2526"/>
      <c r="AD194" s="2526"/>
      <c r="AE194" s="2527"/>
      <c r="AF194" s="2526"/>
      <c r="AG194" s="2526"/>
      <c r="AH194" s="2526"/>
      <c r="AI194" s="2526"/>
      <c r="AJ194" s="2527"/>
      <c r="AK194" s="2526"/>
      <c r="AL194" s="2526"/>
      <c r="AM194" s="2526"/>
      <c r="AN194" s="2526"/>
      <c r="AO194" s="1443"/>
      <c r="AP194" s="1442"/>
      <c r="AQ194" s="1442"/>
      <c r="AR194" s="1442"/>
      <c r="AS194" s="1442"/>
      <c r="AT194" s="1443"/>
      <c r="AU194" s="1442"/>
      <c r="AV194" s="1442"/>
      <c r="AW194" s="1442"/>
      <c r="AX194" s="1442"/>
      <c r="AY194" s="1443"/>
      <c r="AZ194" s="1442"/>
      <c r="BA194" s="1442"/>
      <c r="BB194" s="1442"/>
      <c r="BC194" s="1442"/>
      <c r="BD194" s="1443"/>
      <c r="BE194" s="1442">
        <f t="shared" ref="BE194:BS194" si="393">IF(ISERROR(BE193/AZ193-1),,(BE193/AZ193-1))</f>
        <v>5.8355437665782439E-3</v>
      </c>
      <c r="BF194" s="1442">
        <f t="shared" si="393"/>
        <v>8.3771081006358772E-2</v>
      </c>
      <c r="BG194" s="1442">
        <f t="shared" si="393"/>
        <v>0.18100734522560336</v>
      </c>
      <c r="BH194" s="1442">
        <f t="shared" si="393"/>
        <v>0.19999525182592826</v>
      </c>
      <c r="BI194" s="1443">
        <f t="shared" si="393"/>
        <v>0.1091141529941444</v>
      </c>
      <c r="BJ194" s="1442">
        <f t="shared" si="393"/>
        <v>7.4738902049914735E-2</v>
      </c>
      <c r="BK194" s="1442">
        <f t="shared" si="393"/>
        <v>3.7347231465862052E-2</v>
      </c>
      <c r="BL194" s="1442">
        <f t="shared" si="393"/>
        <v>5.6697973106952348E-2</v>
      </c>
      <c r="BM194" s="1442">
        <f t="shared" si="393"/>
        <v>6.4194459228938516E-2</v>
      </c>
      <c r="BN194" s="1443">
        <f t="shared" si="393"/>
        <v>5.4021373453425614E-2</v>
      </c>
      <c r="BO194" s="1442">
        <f t="shared" si="393"/>
        <v>3.4614793134946975E-2</v>
      </c>
      <c r="BP194" s="1442">
        <f t="shared" si="393"/>
        <v>1.6091239603661434E-2</v>
      </c>
      <c r="BQ194" s="1442">
        <f t="shared" si="393"/>
        <v>5.0109809365673996E-2</v>
      </c>
      <c r="BR194" s="1442">
        <f t="shared" si="393"/>
        <v>5.9802920716908847E-2</v>
      </c>
      <c r="BS194" s="1443">
        <f t="shared" si="393"/>
        <v>3.5973972221759354E-2</v>
      </c>
      <c r="BT194" s="1442">
        <f t="shared" ref="BT194" si="394">IF(ISERROR(BT193/BO193-1),,(BT193/BO193-1))</f>
        <v>3.0015939338487563E-2</v>
      </c>
      <c r="BU194" s="1442">
        <f t="shared" ref="BU194" si="395">IF(ISERROR(BU193/BP193-1),,(BU193/BP193-1))</f>
        <v>1.2492077563944992E-2</v>
      </c>
      <c r="BV194" s="1442">
        <f t="shared" ref="BV194" si="396">IF(ISERROR(BV193/BQ193-1),,(BV193/BQ193-1))</f>
        <v>4.0969560681948902E-2</v>
      </c>
      <c r="BW194" s="1442">
        <f t="shared" ref="BW194" si="397">IF(ISERROR(BW193/BR193-1),,(BW193/BR193-1))</f>
        <v>4.8458433726164651E-2</v>
      </c>
      <c r="BX194" s="1443">
        <f t="shared" ref="BX194" si="398">IF(ISERROR(BX193/BS193-1),,(BX193/BS193-1))</f>
        <v>2.9647726073581904E-2</v>
      </c>
      <c r="BY194" s="1523"/>
      <c r="BZ194" s="1443"/>
      <c r="CA194" s="1443"/>
      <c r="CB194" s="1443"/>
      <c r="CC194" s="1443"/>
      <c r="CD194" s="1443"/>
      <c r="CE194" s="1443"/>
      <c r="CF194" s="1443"/>
      <c r="CG194" s="1443"/>
      <c r="CH194" s="1443"/>
      <c r="CI194" s="1011"/>
      <c r="CJ194" s="1011"/>
      <c r="CK194" s="1011"/>
      <c r="CM194" s="1011"/>
      <c r="CN194" s="1011"/>
      <c r="CO194" s="1011"/>
      <c r="CP194" s="1011"/>
      <c r="CQ194" s="1011"/>
      <c r="CR194" s="1011"/>
    </row>
    <row r="195" spans="1:96">
      <c r="A195" s="1094"/>
      <c r="B195" s="2526"/>
      <c r="C195" s="2526"/>
      <c r="D195" s="2526"/>
      <c r="E195" s="2526"/>
      <c r="F195" s="2527"/>
      <c r="G195" s="2526"/>
      <c r="H195" s="2526"/>
      <c r="I195" s="2526"/>
      <c r="J195" s="2526"/>
      <c r="K195" s="2527"/>
      <c r="L195" s="2526"/>
      <c r="M195" s="2526"/>
      <c r="N195" s="2526"/>
      <c r="O195" s="2526"/>
      <c r="P195" s="2527"/>
      <c r="Q195" s="2526"/>
      <c r="R195" s="2526"/>
      <c r="S195" s="2526"/>
      <c r="T195" s="2526"/>
      <c r="U195" s="2527"/>
      <c r="V195" s="2526"/>
      <c r="W195" s="2526"/>
      <c r="X195" s="2526"/>
      <c r="Y195" s="2526"/>
      <c r="Z195" s="2527"/>
      <c r="AA195" s="2526"/>
      <c r="AB195" s="2526"/>
      <c r="AC195" s="2526"/>
      <c r="AD195" s="2526"/>
      <c r="AE195" s="2527"/>
      <c r="AF195" s="2526"/>
      <c r="AG195" s="2526"/>
      <c r="AH195" s="2526"/>
      <c r="AI195" s="2526"/>
      <c r="AJ195" s="2527"/>
      <c r="AK195" s="2526"/>
      <c r="AL195" s="2526"/>
      <c r="AM195" s="2526"/>
      <c r="AN195" s="2526"/>
      <c r="AO195" s="1443"/>
      <c r="AP195" s="1442"/>
      <c r="AQ195" s="1442"/>
      <c r="AR195" s="1442"/>
      <c r="AS195" s="1442"/>
      <c r="AT195" s="1443"/>
      <c r="AU195" s="1442"/>
      <c r="AV195" s="1442"/>
      <c r="AW195" s="1442"/>
      <c r="AX195" s="1442"/>
      <c r="AY195" s="1443"/>
      <c r="AZ195" s="1442"/>
      <c r="BA195" s="1442"/>
      <c r="BB195" s="1442"/>
      <c r="BC195" s="1442"/>
      <c r="BD195" s="1443"/>
      <c r="BE195" s="1442"/>
      <c r="BF195" s="1442"/>
      <c r="BG195" s="1442"/>
      <c r="BH195" s="1442"/>
      <c r="BI195" s="1443"/>
      <c r="BJ195" s="1442"/>
      <c r="BK195" s="1442"/>
      <c r="BL195" s="1442"/>
      <c r="BM195" s="1442"/>
      <c r="BN195" s="1443"/>
      <c r="BO195" s="1442"/>
      <c r="BP195" s="1442"/>
      <c r="BQ195" s="1442"/>
      <c r="BR195" s="1442"/>
      <c r="BS195" s="1443"/>
      <c r="BT195" s="1442"/>
      <c r="BU195" s="1442"/>
      <c r="BV195" s="1442"/>
      <c r="BW195" s="1442"/>
      <c r="BX195" s="1443"/>
      <c r="BY195" s="1523"/>
      <c r="BZ195" s="1443"/>
      <c r="CA195" s="1443"/>
      <c r="CB195" s="1443"/>
      <c r="CC195" s="1443"/>
      <c r="CD195" s="1443"/>
      <c r="CE195" s="1443"/>
      <c r="CF195" s="1443"/>
      <c r="CG195" s="1443"/>
      <c r="CH195" s="1443"/>
      <c r="CI195" s="1011"/>
      <c r="CJ195" s="1011"/>
      <c r="CK195" s="1011"/>
      <c r="CM195" s="1011"/>
      <c r="CN195" s="1011"/>
      <c r="CO195" s="1011"/>
      <c r="CP195" s="1011"/>
      <c r="CQ195" s="1011"/>
      <c r="CR195" s="1011"/>
    </row>
    <row r="196" spans="1:96">
      <c r="A196" s="1050" t="s">
        <v>1456</v>
      </c>
      <c r="B196" s="1051"/>
      <c r="C196" s="1051"/>
      <c r="D196" s="1051"/>
      <c r="E196" s="1051"/>
      <c r="F196" s="1052"/>
      <c r="G196" s="1051"/>
      <c r="H196" s="1051"/>
      <c r="I196" s="1051"/>
      <c r="J196" s="1051"/>
      <c r="K196" s="1052"/>
      <c r="L196" s="1051"/>
      <c r="M196" s="1051"/>
      <c r="N196" s="1051"/>
      <c r="O196" s="1051"/>
      <c r="P196" s="1052"/>
      <c r="Q196" s="1051"/>
      <c r="R196" s="1051"/>
      <c r="S196" s="1051"/>
      <c r="T196" s="1051"/>
      <c r="U196" s="1052"/>
      <c r="V196" s="1051"/>
      <c r="W196" s="1051"/>
      <c r="X196" s="1051"/>
      <c r="Y196" s="1051"/>
      <c r="Z196" s="1052"/>
      <c r="AA196" s="1051"/>
      <c r="AB196" s="1051"/>
      <c r="AC196" s="1051"/>
      <c r="AD196" s="1051"/>
      <c r="AE196" s="1052"/>
      <c r="AF196" s="1053"/>
      <c r="AG196" s="1051"/>
      <c r="AH196" s="1051"/>
      <c r="AI196" s="1051"/>
      <c r="AJ196" s="1052"/>
      <c r="AK196" s="1054"/>
      <c r="AL196" s="1051"/>
      <c r="AM196" s="1051"/>
      <c r="AN196" s="1051"/>
      <c r="AO196" s="1052"/>
      <c r="AP196" s="1054"/>
      <c r="AQ196" s="1051"/>
      <c r="AR196" s="1051"/>
      <c r="AS196" s="1051"/>
      <c r="AT196" s="1052"/>
      <c r="AU196" s="1054"/>
      <c r="AV196" s="1051"/>
      <c r="AW196" s="1051"/>
      <c r="AX196" s="1051"/>
      <c r="AY196" s="1052"/>
      <c r="AZ196" s="1054"/>
      <c r="BA196" s="1051"/>
      <c r="BB196" s="1051"/>
      <c r="BC196" s="1051"/>
      <c r="BD196" s="1052"/>
      <c r="BE196" s="1054"/>
      <c r="BF196" s="1051"/>
      <c r="BG196" s="1051"/>
      <c r="BH196" s="1051"/>
      <c r="BI196" s="1052"/>
      <c r="BJ196" s="1054"/>
      <c r="BK196" s="1051"/>
      <c r="BL196" s="1051"/>
      <c r="BM196" s="1051"/>
      <c r="BN196" s="1052"/>
      <c r="BO196" s="1054"/>
      <c r="BP196" s="1051"/>
      <c r="BQ196" s="1051"/>
      <c r="BR196" s="1051"/>
      <c r="BS196" s="1052"/>
      <c r="BT196" s="1054"/>
      <c r="BU196" s="1051"/>
      <c r="BV196" s="1051"/>
      <c r="BW196" s="1051"/>
      <c r="BX196" s="1052"/>
      <c r="BY196" s="1343"/>
      <c r="BZ196" s="1052"/>
      <c r="CA196" s="1052"/>
      <c r="CB196" s="1052"/>
      <c r="CC196" s="1052"/>
      <c r="CD196" s="1052"/>
      <c r="CE196" s="1052"/>
      <c r="CF196" s="1052"/>
      <c r="CG196" s="1052"/>
      <c r="CH196" s="1052"/>
    </row>
    <row r="197" spans="1:96" s="1049" customFormat="1">
      <c r="A197" s="1016" t="s">
        <v>928</v>
      </c>
      <c r="B197" s="1047"/>
      <c r="C197" s="1047"/>
      <c r="D197" s="1047"/>
      <c r="E197" s="1047"/>
      <c r="F197" s="1048"/>
      <c r="G197" s="1047"/>
      <c r="H197" s="1047"/>
      <c r="I197" s="1047"/>
      <c r="J197" s="1047"/>
      <c r="K197" s="1048"/>
      <c r="L197" s="1047"/>
      <c r="M197" s="1047"/>
      <c r="N197" s="1047"/>
      <c r="O197" s="1047"/>
      <c r="P197" s="1048"/>
      <c r="Q197" s="1047"/>
      <c r="R197" s="1047"/>
      <c r="S197" s="1047"/>
      <c r="T197" s="1047"/>
      <c r="U197" s="1048"/>
      <c r="V197" s="1047"/>
      <c r="W197" s="1047"/>
      <c r="X197" s="1047"/>
      <c r="Y197" s="1047"/>
      <c r="Z197" s="1048"/>
      <c r="AA197" s="1047"/>
      <c r="AB197" s="1047"/>
      <c r="AC197" s="1047"/>
      <c r="AD197" s="1047"/>
      <c r="AE197" s="1012"/>
      <c r="AF197" s="1047"/>
      <c r="AG197" s="1047"/>
      <c r="AH197" s="1047"/>
      <c r="AI197" s="1047"/>
      <c r="AJ197" s="1012"/>
      <c r="AK197" s="1047">
        <v>5</v>
      </c>
      <c r="AL197" s="1047">
        <f t="shared" ref="AL197:BS197" si="399">AK197</f>
        <v>5</v>
      </c>
      <c r="AM197" s="1047">
        <f t="shared" si="399"/>
        <v>5</v>
      </c>
      <c r="AN197" s="1047">
        <f t="shared" si="399"/>
        <v>5</v>
      </c>
      <c r="AO197" s="1012">
        <f t="shared" si="399"/>
        <v>5</v>
      </c>
      <c r="AP197" s="1047">
        <v>3</v>
      </c>
      <c r="AQ197" s="1047">
        <f t="shared" si="399"/>
        <v>3</v>
      </c>
      <c r="AR197" s="1047">
        <f t="shared" si="399"/>
        <v>3</v>
      </c>
      <c r="AS197" s="1047">
        <f t="shared" si="399"/>
        <v>3</v>
      </c>
      <c r="AT197" s="1012">
        <f t="shared" si="399"/>
        <v>3</v>
      </c>
      <c r="AU197" s="1047">
        <v>3</v>
      </c>
      <c r="AV197" s="1047">
        <v>2.9</v>
      </c>
      <c r="AW197" s="1047">
        <f>AV197*0.95</f>
        <v>2.7549999999999999</v>
      </c>
      <c r="AX197" s="1047">
        <f>AW197*0.95</f>
        <v>2.6172499999999999</v>
      </c>
      <c r="AY197" s="1012">
        <f t="shared" si="399"/>
        <v>2.6172499999999999</v>
      </c>
      <c r="AZ197" s="1047">
        <f>AY197*1.1</f>
        <v>2.8789750000000001</v>
      </c>
      <c r="BA197" s="1047">
        <f>AZ197*0.95</f>
        <v>2.7350262499999998</v>
      </c>
      <c r="BB197" s="2632">
        <f>BA197*0.9</f>
        <v>2.4615236249999999</v>
      </c>
      <c r="BC197" s="2574">
        <f t="shared" si="399"/>
        <v>2.4615236249999999</v>
      </c>
      <c r="BD197" s="1012">
        <f t="shared" si="399"/>
        <v>2.4615236249999999</v>
      </c>
      <c r="BE197" s="1047">
        <f>BD197*1.1</f>
        <v>2.7076759875</v>
      </c>
      <c r="BF197" s="1047">
        <f>BE197*0.95</f>
        <v>2.572292188125</v>
      </c>
      <c r="BG197" s="1047">
        <f>BF197</f>
        <v>2.572292188125</v>
      </c>
      <c r="BH197" s="1047">
        <f t="shared" si="399"/>
        <v>2.572292188125</v>
      </c>
      <c r="BI197" s="1191">
        <f t="shared" si="399"/>
        <v>2.572292188125</v>
      </c>
      <c r="BJ197" s="1047">
        <f t="shared" si="399"/>
        <v>2.572292188125</v>
      </c>
      <c r="BK197" s="1047">
        <f t="shared" si="399"/>
        <v>2.572292188125</v>
      </c>
      <c r="BL197" s="1047">
        <f t="shared" si="399"/>
        <v>2.572292188125</v>
      </c>
      <c r="BM197" s="1047">
        <f t="shared" si="399"/>
        <v>2.572292188125</v>
      </c>
      <c r="BN197" s="1191">
        <f t="shared" si="399"/>
        <v>2.572292188125</v>
      </c>
      <c r="BO197" s="1047">
        <f t="shared" si="399"/>
        <v>2.572292188125</v>
      </c>
      <c r="BP197" s="1047">
        <f t="shared" si="399"/>
        <v>2.572292188125</v>
      </c>
      <c r="BQ197" s="1047">
        <f t="shared" si="399"/>
        <v>2.572292188125</v>
      </c>
      <c r="BR197" s="1047">
        <f t="shared" si="399"/>
        <v>2.572292188125</v>
      </c>
      <c r="BS197" s="1191">
        <f t="shared" si="399"/>
        <v>2.572292188125</v>
      </c>
      <c r="BT197" s="1047">
        <f t="shared" ref="BT197" si="400">BS197</f>
        <v>2.572292188125</v>
      </c>
      <c r="BU197" s="1047">
        <f t="shared" ref="BU197" si="401">BT197</f>
        <v>2.572292188125</v>
      </c>
      <c r="BV197" s="1047">
        <f t="shared" ref="BV197" si="402">BU197</f>
        <v>2.572292188125</v>
      </c>
      <c r="BW197" s="1047">
        <f t="shared" ref="BW197" si="403">BV197</f>
        <v>2.572292188125</v>
      </c>
      <c r="BX197" s="1191">
        <f t="shared" ref="BX197" si="404">BW197</f>
        <v>2.572292188125</v>
      </c>
      <c r="BY197" s="1524"/>
      <c r="BZ197" s="1191"/>
      <c r="CA197" s="1191"/>
      <c r="CB197" s="1191"/>
      <c r="CC197" s="1191"/>
      <c r="CD197" s="1191"/>
      <c r="CE197" s="1191"/>
      <c r="CF197" s="1191"/>
      <c r="CG197" s="1191"/>
      <c r="CH197" s="1191"/>
    </row>
    <row r="198" spans="1:96" s="1046" customFormat="1">
      <c r="A198" s="1043" t="s">
        <v>930</v>
      </c>
      <c r="B198" s="1044"/>
      <c r="C198" s="1044"/>
      <c r="D198" s="1044"/>
      <c r="E198" s="1044"/>
      <c r="F198" s="1045"/>
      <c r="G198" s="1044"/>
      <c r="H198" s="1044"/>
      <c r="I198" s="1044"/>
      <c r="J198" s="1044"/>
      <c r="K198" s="1045"/>
      <c r="L198" s="1044"/>
      <c r="M198" s="1044"/>
      <c r="N198" s="1044"/>
      <c r="O198" s="1044"/>
      <c r="P198" s="1045"/>
      <c r="Q198" s="1044"/>
      <c r="R198" s="1044"/>
      <c r="S198" s="1044"/>
      <c r="T198" s="1044"/>
      <c r="U198" s="1045"/>
      <c r="V198" s="1044"/>
      <c r="W198" s="1044"/>
      <c r="X198" s="1044"/>
      <c r="Y198" s="1044"/>
      <c r="Z198" s="1045"/>
      <c r="AA198" s="1044"/>
      <c r="AB198" s="1044"/>
      <c r="AC198" s="1044"/>
      <c r="AD198" s="1044"/>
      <c r="AE198" s="1045"/>
      <c r="AF198" s="1044"/>
      <c r="AG198" s="1044"/>
      <c r="AH198" s="1044"/>
      <c r="AI198" s="1044"/>
      <c r="AJ198" s="1045"/>
      <c r="AK198" s="1044">
        <f>AK200/AK197</f>
        <v>93.229723746531818</v>
      </c>
      <c r="AL198" s="1044">
        <f>AL200/AL197</f>
        <v>196.64021891038865</v>
      </c>
      <c r="AM198" s="1044">
        <f>AM200/AM197</f>
        <v>118.09006147309847</v>
      </c>
      <c r="AN198" s="1044">
        <f>AN200/AN197</f>
        <v>173.39158659638832</v>
      </c>
      <c r="AO198" s="1045">
        <f>SUM(AK198:AN198)</f>
        <v>581.35159072640727</v>
      </c>
      <c r="AP198" s="1044">
        <f>AP200/AP197</f>
        <v>58.100749676177351</v>
      </c>
      <c r="AQ198" s="1044">
        <f>AQ200/AQ197</f>
        <v>127.64615959389539</v>
      </c>
      <c r="AR198" s="1044">
        <f>AR200/AR197</f>
        <v>153.36514897506504</v>
      </c>
      <c r="AS198" s="1044">
        <f>AS200/AS197</f>
        <v>86.506606901290368</v>
      </c>
      <c r="AT198" s="1045">
        <f>SUM(AP198:AS198)</f>
        <v>425.6186651464281</v>
      </c>
      <c r="AU198" s="1044">
        <f>AP198*(1+AU199)</f>
        <v>63.910824643795088</v>
      </c>
      <c r="AV198" s="1044">
        <f>AQ198*(1+AV199)</f>
        <v>121.26385161420062</v>
      </c>
      <c r="AW198" s="1044">
        <f>AR198*(1+AW199)</f>
        <v>145.69689152631179</v>
      </c>
      <c r="AX198" s="1044">
        <f>AS198*(1+AX199)</f>
        <v>82.181276556225839</v>
      </c>
      <c r="AY198" s="1045">
        <f>SUM(AU198:AX198)</f>
        <v>413.05284434053334</v>
      </c>
      <c r="AZ198" s="1044">
        <f>AU198*(1+AZ199)</f>
        <v>76.692989572554097</v>
      </c>
      <c r="BA198" s="1044">
        <f>AV198*(1+BA199)</f>
        <v>118.23225532384561</v>
      </c>
      <c r="BB198" s="1044">
        <f>AW198*(1+BB199)</f>
        <v>157.35264284841674</v>
      </c>
      <c r="BC198" s="1044">
        <f>AX198*(1+BC199)</f>
        <v>86.290340384037137</v>
      </c>
      <c r="BD198" s="1045">
        <f>SUM(AZ198:BC198)</f>
        <v>438.56822812885355</v>
      </c>
      <c r="BE198" s="1044">
        <f>AZ198*(1+BE199)</f>
        <v>69.02369061529869</v>
      </c>
      <c r="BF198" s="1044">
        <f>BA198*(1+BF199)</f>
        <v>115.27644894074946</v>
      </c>
      <c r="BG198" s="1044">
        <f>BB198*(1+BG199)</f>
        <v>173.08790713325843</v>
      </c>
      <c r="BH198" s="1192">
        <f>BC198*(1+BH199)</f>
        <v>86.290340384037137</v>
      </c>
      <c r="BI198" s="1193">
        <f>SUM(BE198:BH198)</f>
        <v>443.67838707334374</v>
      </c>
      <c r="BJ198" s="1192">
        <f>BE198*(1+BJ199)</f>
        <v>69.02369061529869</v>
      </c>
      <c r="BK198" s="1192">
        <f>BF198*(1+BK199)</f>
        <v>115.27644894074946</v>
      </c>
      <c r="BL198" s="1192">
        <f>BG198*(1+BL199)</f>
        <v>173.08790713325843</v>
      </c>
      <c r="BM198" s="1192">
        <f>BH198*(1+BM199)</f>
        <v>86.290340384037137</v>
      </c>
      <c r="BN198" s="1193">
        <f>SUM(BJ198:BM198)</f>
        <v>443.67838707334374</v>
      </c>
      <c r="BO198" s="1192">
        <f>BJ198*(1+BO199)</f>
        <v>69.02369061529869</v>
      </c>
      <c r="BP198" s="1192">
        <f>BK198*(1+BP199)</f>
        <v>115.27644894074946</v>
      </c>
      <c r="BQ198" s="1192">
        <f>BL198*(1+BQ199)</f>
        <v>173.08790713325843</v>
      </c>
      <c r="BR198" s="1192">
        <f>BM198*(1+BR199)</f>
        <v>86.290340384037137</v>
      </c>
      <c r="BS198" s="1193">
        <f>SUM(BO198:BR198)</f>
        <v>443.67838707334374</v>
      </c>
      <c r="BT198" s="1192">
        <f>BO198*(1+BT199)</f>
        <v>69.02369061529869</v>
      </c>
      <c r="BU198" s="1192">
        <f>BP198*(1+BU199)</f>
        <v>115.27644894074946</v>
      </c>
      <c r="BV198" s="1192">
        <f>BQ198*(1+BV199)</f>
        <v>173.08790713325843</v>
      </c>
      <c r="BW198" s="1192">
        <f>BR198*(1+BW199)</f>
        <v>86.290340384037137</v>
      </c>
      <c r="BX198" s="1193">
        <f>SUM(BT198:BW198)</f>
        <v>443.67838707334374</v>
      </c>
      <c r="BY198" s="1525"/>
      <c r="BZ198" s="1193"/>
      <c r="CA198" s="1193"/>
      <c r="CB198" s="1193">
        <f>SUM(AM198:AN198,AP198:AQ198)</f>
        <v>477.22855733955959</v>
      </c>
      <c r="CC198" s="1193">
        <f>SUM(AR198:AS198,AU198:AV198)</f>
        <v>425.04643213435111</v>
      </c>
      <c r="CD198" s="1193">
        <f>SUM(AW198:AX198,AZ198:BA198)</f>
        <v>422.80341297893733</v>
      </c>
      <c r="CE198" s="1193">
        <f>SUM(BB198:BC198,BE198:BF198)</f>
        <v>427.94312278850202</v>
      </c>
      <c r="CF198" s="1193">
        <f>SUM(BG198:BH198,BJ198:BK198)</f>
        <v>443.67838707334369</v>
      </c>
      <c r="CG198" s="1193">
        <f>SUM(BL198:BM198,BO198:BP198)</f>
        <v>443.67838707334369</v>
      </c>
      <c r="CH198" s="1193">
        <f>SUM(BQ198:BR198,BT198:BU198)</f>
        <v>443.67838707334369</v>
      </c>
    </row>
    <row r="199" spans="1:96" s="1022" customFormat="1">
      <c r="A199" s="1452" t="s">
        <v>926</v>
      </c>
      <c r="B199" s="1453"/>
      <c r="C199" s="1453"/>
      <c r="D199" s="1453"/>
      <c r="E199" s="1453"/>
      <c r="F199" s="1454"/>
      <c r="G199" s="1453"/>
      <c r="H199" s="1453"/>
      <c r="I199" s="1453"/>
      <c r="J199" s="1453"/>
      <c r="K199" s="1454"/>
      <c r="L199" s="1453"/>
      <c r="M199" s="1453"/>
      <c r="N199" s="1453"/>
      <c r="O199" s="1453"/>
      <c r="P199" s="1454"/>
      <c r="Q199" s="1453"/>
      <c r="R199" s="1453"/>
      <c r="S199" s="1453"/>
      <c r="T199" s="1453"/>
      <c r="U199" s="1454"/>
      <c r="V199" s="1453"/>
      <c r="W199" s="1453"/>
      <c r="X199" s="1453"/>
      <c r="Y199" s="1453"/>
      <c r="Z199" s="1454"/>
      <c r="AA199" s="1453"/>
      <c r="AB199" s="1453"/>
      <c r="AC199" s="1453"/>
      <c r="AD199" s="1453"/>
      <c r="AE199" s="1454"/>
      <c r="AF199" s="1446"/>
      <c r="AG199" s="1453"/>
      <c r="AH199" s="1453"/>
      <c r="AI199" s="1453"/>
      <c r="AJ199" s="1443"/>
      <c r="AK199" s="1442">
        <f t="shared" ref="AK199:AS199" si="405">IF(ISERROR(AK198/AF198-1),,(AK198/AF198-1))</f>
        <v>0</v>
      </c>
      <c r="AL199" s="1442">
        <f t="shared" si="405"/>
        <v>0</v>
      </c>
      <c r="AM199" s="1442">
        <f t="shared" si="405"/>
        <v>0</v>
      </c>
      <c r="AN199" s="1442">
        <f t="shared" si="405"/>
        <v>0</v>
      </c>
      <c r="AO199" s="1443">
        <f t="shared" si="405"/>
        <v>0</v>
      </c>
      <c r="AP199" s="1442">
        <f t="shared" si="405"/>
        <v>-0.37680015191143668</v>
      </c>
      <c r="AQ199" s="1442">
        <f t="shared" si="405"/>
        <v>-0.3508644350519905</v>
      </c>
      <c r="AR199" s="1442">
        <f t="shared" si="405"/>
        <v>0.29871343161255282</v>
      </c>
      <c r="AS199" s="1442">
        <f t="shared" si="405"/>
        <v>-0.50109109329130352</v>
      </c>
      <c r="AT199" s="1443">
        <f>IF(ISERROR(AT198/AO198-1),,(AT198/AO198-1))</f>
        <v>-0.26788079376438723</v>
      </c>
      <c r="AU199" s="1442">
        <v>0.1</v>
      </c>
      <c r="AV199" s="1442">
        <v>-0.05</v>
      </c>
      <c r="AW199" s="1442">
        <v>-0.05</v>
      </c>
      <c r="AX199" s="1442">
        <v>-0.05</v>
      </c>
      <c r="AY199" s="1443">
        <f>IF(ISERROR(AY198/AT198-1),,(AY198/AT198-1))</f>
        <v>-2.9523660109153527E-2</v>
      </c>
      <c r="AZ199" s="1442">
        <v>0.2</v>
      </c>
      <c r="BA199" s="1442">
        <v>-2.5000000000000001E-2</v>
      </c>
      <c r="BB199" s="1455">
        <v>0.08</v>
      </c>
      <c r="BC199" s="1455">
        <v>0.05</v>
      </c>
      <c r="BD199" s="1443">
        <f>IF(ISERROR(BD198/AY198-1),,(BD198/AY198-1))</f>
        <v>6.177268632311983E-2</v>
      </c>
      <c r="BE199" s="1442">
        <v>-0.1</v>
      </c>
      <c r="BF199" s="1442">
        <v>-2.5000000000000001E-2</v>
      </c>
      <c r="BG199" s="1442">
        <v>0.1</v>
      </c>
      <c r="BH199" s="1455">
        <v>0</v>
      </c>
      <c r="BI199" s="1443">
        <f>IF(ISERROR(BI198/BD198-1),,(BI198/BD198-1))</f>
        <v>1.1651913241168099E-2</v>
      </c>
      <c r="BJ199" s="1455">
        <v>0</v>
      </c>
      <c r="BK199" s="1455">
        <v>0</v>
      </c>
      <c r="BL199" s="1455">
        <v>0</v>
      </c>
      <c r="BM199" s="1455">
        <v>0</v>
      </c>
      <c r="BN199" s="1443">
        <f>IF(ISERROR(BN198/BI198-1),,(BN198/BI198-1))</f>
        <v>0</v>
      </c>
      <c r="BO199" s="1455">
        <v>0</v>
      </c>
      <c r="BP199" s="1455">
        <v>0</v>
      </c>
      <c r="BQ199" s="1455">
        <v>0</v>
      </c>
      <c r="BR199" s="1455">
        <v>0</v>
      </c>
      <c r="BS199" s="1443">
        <f>IF(ISERROR(BS198/BN198-1),,(BS198/BN198-1))</f>
        <v>0</v>
      </c>
      <c r="BT199" s="1455">
        <v>0</v>
      </c>
      <c r="BU199" s="1455">
        <v>0</v>
      </c>
      <c r="BV199" s="1455">
        <v>0</v>
      </c>
      <c r="BW199" s="1455">
        <v>0</v>
      </c>
      <c r="BX199" s="1443">
        <f>IF(ISERROR(BX198/BS198-1),,(BX198/BS198-1))</f>
        <v>0</v>
      </c>
      <c r="BY199" s="1438"/>
      <c r="BZ199" s="1443"/>
      <c r="CA199" s="1443"/>
      <c r="CB199" s="1443"/>
      <c r="CC199" s="1443"/>
      <c r="CD199" s="1443"/>
      <c r="CE199" s="1443"/>
      <c r="CF199" s="1443"/>
      <c r="CG199" s="1443"/>
      <c r="CH199" s="1443"/>
    </row>
    <row r="200" spans="1:96" s="1011" customFormat="1">
      <c r="A200" s="1013" t="str">
        <f>A296</f>
        <v>Windows Phone Licensing and IP</v>
      </c>
      <c r="B200" s="1015"/>
      <c r="C200" s="1015"/>
      <c r="D200" s="1015"/>
      <c r="E200" s="1015"/>
      <c r="F200" s="1014"/>
      <c r="G200" s="1015"/>
      <c r="H200" s="1015"/>
      <c r="I200" s="1015"/>
      <c r="J200" s="1015"/>
      <c r="K200" s="1014"/>
      <c r="L200" s="1015"/>
      <c r="M200" s="1015"/>
      <c r="N200" s="1015"/>
      <c r="O200" s="1015"/>
      <c r="P200" s="1014"/>
      <c r="Q200" s="1015"/>
      <c r="R200" s="1015"/>
      <c r="S200" s="1015"/>
      <c r="T200" s="1015"/>
      <c r="U200" s="1014"/>
      <c r="V200" s="1015"/>
      <c r="W200" s="1015"/>
      <c r="X200" s="1015"/>
      <c r="Y200" s="1015"/>
      <c r="Z200" s="1014"/>
      <c r="AA200" s="1015"/>
      <c r="AB200" s="1015"/>
      <c r="AC200" s="1015"/>
      <c r="AD200" s="1015"/>
      <c r="AE200" s="1014"/>
      <c r="AF200" s="1015"/>
      <c r="AG200" s="1015"/>
      <c r="AH200" s="1015"/>
      <c r="AI200" s="1015"/>
      <c r="AJ200" s="1014"/>
      <c r="AK200" s="1015">
        <v>466.14861873265909</v>
      </c>
      <c r="AL200" s="1015">
        <v>983.20109455194324</v>
      </c>
      <c r="AM200" s="1015">
        <v>590.45030736549234</v>
      </c>
      <c r="AN200" s="1015">
        <v>866.95793298194167</v>
      </c>
      <c r="AO200" s="1014">
        <f>SUM(AK200:AN200)</f>
        <v>2906.7579536320363</v>
      </c>
      <c r="AP200" s="1015">
        <v>174.30224902853206</v>
      </c>
      <c r="AQ200" s="1015">
        <v>382.93847878168617</v>
      </c>
      <c r="AR200" s="1015">
        <v>460.09544692519512</v>
      </c>
      <c r="AS200" s="1015">
        <v>259.51982070387112</v>
      </c>
      <c r="AT200" s="1014">
        <f>SUM(AP200:AS200)</f>
        <v>1276.8559954392845</v>
      </c>
      <c r="AU200" s="1015">
        <f t="shared" ref="AU200:BC200" si="406">AU198*AU197</f>
        <v>191.73247393138527</v>
      </c>
      <c r="AV200" s="1015">
        <f t="shared" si="406"/>
        <v>351.66516968118179</v>
      </c>
      <c r="AW200" s="1015">
        <f t="shared" si="406"/>
        <v>401.39493615498895</v>
      </c>
      <c r="AX200" s="1015">
        <f t="shared" si="406"/>
        <v>215.08894606678206</v>
      </c>
      <c r="AY200" s="1014">
        <f>SUM(AU200:AX200)</f>
        <v>1159.8815258343382</v>
      </c>
      <c r="AZ200" s="1015">
        <f t="shared" si="406"/>
        <v>220.79719965464395</v>
      </c>
      <c r="BA200" s="1015">
        <f t="shared" si="406"/>
        <v>323.36832190741995</v>
      </c>
      <c r="BB200" s="1015">
        <f t="shared" si="406"/>
        <v>387.32724782756509</v>
      </c>
      <c r="BC200" s="1015">
        <f t="shared" si="406"/>
        <v>212.40571146459897</v>
      </c>
      <c r="BD200" s="1014">
        <f>SUM(AZ200:BC200)</f>
        <v>1143.898480854228</v>
      </c>
      <c r="BE200" s="1015">
        <f t="shared" ref="BE200:BG200" si="407">BE198*BE197</f>
        <v>186.89378964767337</v>
      </c>
      <c r="BF200" s="1015">
        <f t="shared" si="407"/>
        <v>296.52470908508025</v>
      </c>
      <c r="BG200" s="1015">
        <f t="shared" ref="BG200" si="408">BG198*BG197</f>
        <v>445.23267137778612</v>
      </c>
      <c r="BH200" s="1015">
        <f>BH198*BH197</f>
        <v>221.96396848050594</v>
      </c>
      <c r="BI200" s="1014">
        <f>SUM(BE200:BH200)</f>
        <v>1150.6151385910457</v>
      </c>
      <c r="BJ200" s="1015">
        <f>BJ198*BJ197</f>
        <v>177.5491001652897</v>
      </c>
      <c r="BK200" s="1015">
        <f>BK198*BK197</f>
        <v>296.52470908508025</v>
      </c>
      <c r="BL200" s="1015">
        <f>BL198*BL197</f>
        <v>445.23267137778612</v>
      </c>
      <c r="BM200" s="1015">
        <f>BM198*BM197</f>
        <v>221.96396848050594</v>
      </c>
      <c r="BN200" s="1014">
        <f>SUM(BJ200:BM200)</f>
        <v>1141.270449108662</v>
      </c>
      <c r="BO200" s="1015">
        <f>BO198*BO197</f>
        <v>177.5491001652897</v>
      </c>
      <c r="BP200" s="1015">
        <f>BP198*BP197</f>
        <v>296.52470908508025</v>
      </c>
      <c r="BQ200" s="1015">
        <f>BQ198*BQ197</f>
        <v>445.23267137778612</v>
      </c>
      <c r="BR200" s="1015">
        <f>BR198*BR197</f>
        <v>221.96396848050594</v>
      </c>
      <c r="BS200" s="1014">
        <f>SUM(BO200:BR200)</f>
        <v>1141.270449108662</v>
      </c>
      <c r="BT200" s="1015">
        <f>BT198*BT197</f>
        <v>177.5491001652897</v>
      </c>
      <c r="BU200" s="1015">
        <f>BU198*BU197</f>
        <v>296.52470908508025</v>
      </c>
      <c r="BV200" s="1015">
        <f>BV198*BV197</f>
        <v>445.23267137778612</v>
      </c>
      <c r="BW200" s="1015">
        <f>BW198*BW197</f>
        <v>221.96396848050594</v>
      </c>
      <c r="BX200" s="1014">
        <f>SUM(BT200:BW200)</f>
        <v>1141.270449108662</v>
      </c>
      <c r="BY200" s="1523"/>
      <c r="BZ200" s="1014"/>
      <c r="CA200" s="1014"/>
      <c r="CB200" s="1014">
        <f>SUM(AM200:AN200,AP200:AQ200)</f>
        <v>2014.6489681576522</v>
      </c>
      <c r="CC200" s="1014">
        <f>SUM(AR200:AS200,AU200:AV200)</f>
        <v>1263.0129112416332</v>
      </c>
      <c r="CD200" s="1014">
        <f>SUM(AW200:AX200,AZ200:BA200)</f>
        <v>1160.6494037838347</v>
      </c>
      <c r="CE200" s="1014">
        <f>SUM(BB200:BC200,BE200:BF200)</f>
        <v>1083.1514580249177</v>
      </c>
      <c r="CF200" s="1014">
        <f>SUM(BG200:BH200,BJ200:BK200)</f>
        <v>1141.270449108662</v>
      </c>
      <c r="CG200" s="1014">
        <f>SUM(BL200:BM200,BO200:BP200)</f>
        <v>1141.270449108662</v>
      </c>
      <c r="CH200" s="1014">
        <f>SUM(BQ200:BR200,BT200:BU200)</f>
        <v>1141.270449108662</v>
      </c>
    </row>
    <row r="201" spans="1:96" s="1022" customFormat="1">
      <c r="A201" s="1452" t="s">
        <v>926</v>
      </c>
      <c r="B201" s="1453"/>
      <c r="C201" s="1453"/>
      <c r="D201" s="1453"/>
      <c r="E201" s="1453"/>
      <c r="F201" s="1454"/>
      <c r="G201" s="1453"/>
      <c r="H201" s="1453"/>
      <c r="I201" s="1453"/>
      <c r="J201" s="1453"/>
      <c r="K201" s="1454"/>
      <c r="L201" s="1453"/>
      <c r="M201" s="1453"/>
      <c r="N201" s="1453"/>
      <c r="O201" s="1453"/>
      <c r="P201" s="1454"/>
      <c r="Q201" s="1453"/>
      <c r="R201" s="1453"/>
      <c r="S201" s="1453"/>
      <c r="T201" s="1453"/>
      <c r="U201" s="1454"/>
      <c r="V201" s="1453"/>
      <c r="W201" s="1453"/>
      <c r="X201" s="1453"/>
      <c r="Y201" s="1453"/>
      <c r="Z201" s="1454"/>
      <c r="AA201" s="1453"/>
      <c r="AB201" s="1453"/>
      <c r="AC201" s="1453"/>
      <c r="AD201" s="1453"/>
      <c r="AE201" s="1454"/>
      <c r="AF201" s="1446"/>
      <c r="AG201" s="1453"/>
      <c r="AH201" s="1453"/>
      <c r="AI201" s="1453"/>
      <c r="AJ201" s="1443"/>
      <c r="AK201" s="1442">
        <f t="shared" ref="AK201:BS201" si="409">IF(ISERROR(AK200/AF200-1),,(AK200/AF200-1))</f>
        <v>0</v>
      </c>
      <c r="AL201" s="1442">
        <f t="shared" si="409"/>
        <v>0</v>
      </c>
      <c r="AM201" s="1442">
        <f t="shared" si="409"/>
        <v>0</v>
      </c>
      <c r="AN201" s="1442">
        <f t="shared" si="409"/>
        <v>0</v>
      </c>
      <c r="AO201" s="1443">
        <f t="shared" si="409"/>
        <v>0</v>
      </c>
      <c r="AP201" s="1442">
        <f t="shared" si="409"/>
        <v>-0.62608009114686203</v>
      </c>
      <c r="AQ201" s="1442">
        <f t="shared" si="409"/>
        <v>-0.61051866103119434</v>
      </c>
      <c r="AR201" s="1442">
        <f t="shared" si="409"/>
        <v>-0.22077194103246822</v>
      </c>
      <c r="AS201" s="1442">
        <f t="shared" si="409"/>
        <v>-0.70065465597478216</v>
      </c>
      <c r="AT201" s="1443">
        <f t="shared" si="409"/>
        <v>-0.56072847625863231</v>
      </c>
      <c r="AU201" s="1442">
        <f t="shared" si="409"/>
        <v>0.10000000000000009</v>
      </c>
      <c r="AV201" s="1442">
        <f t="shared" si="409"/>
        <v>-8.1666666666666665E-2</v>
      </c>
      <c r="AW201" s="1442">
        <f t="shared" si="409"/>
        <v>-0.12758333333333338</v>
      </c>
      <c r="AX201" s="1442">
        <f t="shared" si="409"/>
        <v>-0.17120416666666693</v>
      </c>
      <c r="AY201" s="1443">
        <f t="shared" si="409"/>
        <v>-9.1611325022367018E-2</v>
      </c>
      <c r="AZ201" s="1442">
        <f t="shared" si="409"/>
        <v>0.15158999999999989</v>
      </c>
      <c r="BA201" s="1442">
        <f t="shared" si="409"/>
        <v>-8.0465312500000108E-2</v>
      </c>
      <c r="BB201" s="1442">
        <f t="shared" si="409"/>
        <v>-3.5046999999999939E-2</v>
      </c>
      <c r="BC201" s="1442">
        <f t="shared" si="409"/>
        <v>-1.2474999999999903E-2</v>
      </c>
      <c r="BD201" s="1443">
        <f t="shared" si="409"/>
        <v>-1.3779894432419004E-2</v>
      </c>
      <c r="BE201" s="1442">
        <f t="shared" si="409"/>
        <v>-0.15354999999999996</v>
      </c>
      <c r="BF201" s="1442">
        <f t="shared" si="409"/>
        <v>-8.3012500000000045E-2</v>
      </c>
      <c r="BG201" s="1442">
        <f t="shared" si="409"/>
        <v>0.14950000000000019</v>
      </c>
      <c r="BH201" s="1442">
        <f t="shared" si="409"/>
        <v>4.5000000000000151E-2</v>
      </c>
      <c r="BI201" s="1443">
        <f t="shared" si="409"/>
        <v>5.8717253753164389E-3</v>
      </c>
      <c r="BJ201" s="1442">
        <f t="shared" si="409"/>
        <v>-5.0000000000000044E-2</v>
      </c>
      <c r="BK201" s="1442">
        <f t="shared" si="409"/>
        <v>0</v>
      </c>
      <c r="BL201" s="1442">
        <f t="shared" si="409"/>
        <v>0</v>
      </c>
      <c r="BM201" s="1442">
        <f t="shared" si="409"/>
        <v>0</v>
      </c>
      <c r="BN201" s="1443">
        <f t="shared" si="409"/>
        <v>-8.1214727400740205E-3</v>
      </c>
      <c r="BO201" s="1442">
        <f t="shared" si="409"/>
        <v>0</v>
      </c>
      <c r="BP201" s="1442">
        <f t="shared" si="409"/>
        <v>0</v>
      </c>
      <c r="BQ201" s="1442">
        <f t="shared" si="409"/>
        <v>0</v>
      </c>
      <c r="BR201" s="1442">
        <f t="shared" si="409"/>
        <v>0</v>
      </c>
      <c r="BS201" s="1443">
        <f t="shared" si="409"/>
        <v>0</v>
      </c>
      <c r="BT201" s="1442">
        <f t="shared" ref="BT201" si="410">IF(ISERROR(BT200/BO200-1),,(BT200/BO200-1))</f>
        <v>0</v>
      </c>
      <c r="BU201" s="1442">
        <f t="shared" ref="BU201" si="411">IF(ISERROR(BU200/BP200-1),,(BU200/BP200-1))</f>
        <v>0</v>
      </c>
      <c r="BV201" s="1442">
        <f t="shared" ref="BV201" si="412">IF(ISERROR(BV200/BQ200-1),,(BV200/BQ200-1))</f>
        <v>0</v>
      </c>
      <c r="BW201" s="1442">
        <f t="shared" ref="BW201" si="413">IF(ISERROR(BW200/BR200-1),,(BW200/BR200-1))</f>
        <v>0</v>
      </c>
      <c r="BX201" s="1443">
        <f t="shared" ref="BX201" si="414">IF(ISERROR(BX200/BS200-1),,(BX200/BS200-1))</f>
        <v>0</v>
      </c>
      <c r="BY201" s="1438"/>
      <c r="BZ201" s="1443"/>
      <c r="CA201" s="1443"/>
      <c r="CB201" s="1443"/>
      <c r="CC201" s="1443"/>
      <c r="CD201" s="1443"/>
      <c r="CE201" s="1443"/>
      <c r="CF201" s="1443"/>
      <c r="CG201" s="1443"/>
      <c r="CH201" s="1443"/>
    </row>
    <row r="202" spans="1:96" s="1022" customFormat="1">
      <c r="A202" s="1452"/>
      <c r="B202" s="1453"/>
      <c r="C202" s="1453"/>
      <c r="D202" s="1453"/>
      <c r="E202" s="1453"/>
      <c r="F202" s="1453"/>
      <c r="G202" s="1453"/>
      <c r="H202" s="1453"/>
      <c r="I202" s="1453"/>
      <c r="J202" s="1453"/>
      <c r="K202" s="1453"/>
      <c r="L202" s="1453"/>
      <c r="M202" s="1453"/>
      <c r="N202" s="1453"/>
      <c r="O202" s="1453"/>
      <c r="P202" s="1453"/>
      <c r="Q202" s="1453"/>
      <c r="R202" s="1453"/>
      <c r="S202" s="1453"/>
      <c r="T202" s="1453"/>
      <c r="U202" s="1453"/>
      <c r="V202" s="1453"/>
      <c r="W202" s="1453"/>
      <c r="X202" s="1453"/>
      <c r="Y202" s="1453"/>
      <c r="Z202" s="1453"/>
      <c r="AA202" s="1453"/>
      <c r="AB202" s="1453"/>
      <c r="AC202" s="1453"/>
      <c r="AD202" s="1453"/>
      <c r="AE202" s="1453"/>
      <c r="AF202" s="1446"/>
      <c r="AG202" s="1453"/>
      <c r="AH202" s="1453"/>
      <c r="AI202" s="1453"/>
      <c r="AJ202" s="1443"/>
      <c r="AK202" s="1442"/>
      <c r="AL202" s="1442"/>
      <c r="AM202" s="1442"/>
      <c r="AN202" s="1442"/>
      <c r="AO202" s="1443"/>
      <c r="AP202" s="1442"/>
      <c r="AQ202" s="1442"/>
      <c r="AR202" s="1442"/>
      <c r="AS202" s="1442"/>
      <c r="AT202" s="1443"/>
      <c r="AU202" s="1442"/>
      <c r="AV202" s="1442"/>
      <c r="AW202" s="1442"/>
      <c r="AX202" s="1442"/>
      <c r="AY202" s="1443"/>
      <c r="AZ202" s="1442"/>
      <c r="BA202" s="1442"/>
      <c r="BB202" s="1442"/>
      <c r="BC202" s="1442"/>
      <c r="BD202" s="1443"/>
      <c r="BE202" s="1442"/>
      <c r="BF202" s="1442"/>
      <c r="BG202" s="1442"/>
      <c r="BH202" s="1442"/>
      <c r="BI202" s="1443"/>
      <c r="BJ202" s="1442"/>
      <c r="BK202" s="1442"/>
      <c r="BL202" s="1442"/>
      <c r="BM202" s="1442"/>
      <c r="BN202" s="1443"/>
      <c r="BO202" s="1442"/>
      <c r="BP202" s="1442"/>
      <c r="BQ202" s="1442"/>
      <c r="BR202" s="1442"/>
      <c r="BS202" s="1443"/>
      <c r="BT202" s="1442"/>
      <c r="BU202" s="1442"/>
      <c r="BV202" s="1442"/>
      <c r="BW202" s="1442"/>
      <c r="BX202" s="1443"/>
      <c r="BY202" s="1438"/>
      <c r="BZ202" s="1443"/>
      <c r="CA202" s="1443"/>
      <c r="CB202" s="1443"/>
      <c r="CC202" s="1443"/>
      <c r="CD202" s="1443"/>
      <c r="CE202" s="1443"/>
      <c r="CF202" s="1443"/>
      <c r="CG202" s="1443"/>
      <c r="CH202" s="1443"/>
    </row>
    <row r="203" spans="1:96" s="1022" customFormat="1">
      <c r="A203" s="1175" t="s">
        <v>1156</v>
      </c>
      <c r="B203" s="1345"/>
      <c r="C203" s="1345"/>
      <c r="D203" s="1345"/>
      <c r="E203" s="1345"/>
      <c r="F203" s="1346"/>
      <c r="G203" s="1345"/>
      <c r="H203" s="1345"/>
      <c r="I203" s="1345"/>
      <c r="J203" s="1345"/>
      <c r="K203" s="1346"/>
      <c r="L203" s="1345"/>
      <c r="M203" s="1345"/>
      <c r="N203" s="1345"/>
      <c r="O203" s="1345"/>
      <c r="P203" s="1346"/>
      <c r="Q203" s="1345"/>
      <c r="R203" s="1345"/>
      <c r="S203" s="1345"/>
      <c r="T203" s="1345"/>
      <c r="U203" s="1346"/>
      <c r="V203" s="1345"/>
      <c r="W203" s="1345"/>
      <c r="X203" s="1345"/>
      <c r="Y203" s="1345"/>
      <c r="Z203" s="1346"/>
      <c r="AA203" s="1345"/>
      <c r="AB203" s="1345"/>
      <c r="AC203" s="1345"/>
      <c r="AD203" s="1345"/>
      <c r="AE203" s="1346"/>
      <c r="AF203" s="1347"/>
      <c r="AG203" s="1347"/>
      <c r="AH203" s="1347"/>
      <c r="AI203" s="1347"/>
      <c r="AJ203" s="1346"/>
      <c r="AK203" s="1002">
        <v>171.74503914940232</v>
      </c>
      <c r="AL203" s="1002">
        <v>398.51053137931035</v>
      </c>
      <c r="AM203" s="1002">
        <v>130.98399150562028</v>
      </c>
      <c r="AN203" s="1002">
        <v>128.06852942708335</v>
      </c>
      <c r="AO203" s="1010">
        <f>SUM(AK203:AN203)</f>
        <v>829.30809146141632</v>
      </c>
      <c r="AP203" s="1001">
        <v>189.85775500063491</v>
      </c>
      <c r="AQ203" s="1001">
        <v>440.54693227413782</v>
      </c>
      <c r="AR203" s="1001">
        <v>175.85790677876668</v>
      </c>
      <c r="AS203" s="1001">
        <v>109.19004766666649</v>
      </c>
      <c r="AT203" s="1010">
        <f>SUM(AP203:AS203)</f>
        <v>915.45264172020597</v>
      </c>
      <c r="AU203" s="1001">
        <f>AP203*(1+AU204)</f>
        <v>208.84353050069842</v>
      </c>
      <c r="AV203" s="1001">
        <f>AQ203*(1+AV204)</f>
        <v>484.60162550155161</v>
      </c>
      <c r="AW203" s="1001">
        <f>AR203*(1+AW204)</f>
        <v>193.44369745664335</v>
      </c>
      <c r="AX203" s="1001">
        <f>AS203*(1+AX204)</f>
        <v>111.37384861999982</v>
      </c>
      <c r="AY203" s="1010">
        <f>SUM(AU203:AX203)</f>
        <v>998.2627020788932</v>
      </c>
      <c r="AZ203" s="1001">
        <f>AU203*(1+AZ204)</f>
        <v>208.84353050069842</v>
      </c>
      <c r="BA203" s="1001">
        <f>AV203*(1+BA204)</f>
        <v>513.67772303164475</v>
      </c>
      <c r="BB203" s="1002">
        <f>AW203*(1+BB204)</f>
        <v>203.11588232947554</v>
      </c>
      <c r="BC203" s="1002">
        <f>AX203*(1+BC204)</f>
        <v>116.94254105099982</v>
      </c>
      <c r="BD203" s="1010">
        <f>SUM(AZ203:BC203)</f>
        <v>1042.5796769128185</v>
      </c>
      <c r="BE203" s="1001">
        <f>AZ203*(1+BE204)</f>
        <v>229.72788355076827</v>
      </c>
      <c r="BF203" s="1001">
        <f>BA203*(1+BF204)</f>
        <v>544.49838641354347</v>
      </c>
      <c r="BG203" s="1001">
        <f>BB203*(1+BG204)</f>
        <v>284.36223526126571</v>
      </c>
      <c r="BH203" s="1002">
        <f>BC203*(1+BH204)</f>
        <v>140.33104926119978</v>
      </c>
      <c r="BI203" s="1010">
        <f>SUM(BE203:BH203)</f>
        <v>1198.9195544867773</v>
      </c>
      <c r="BJ203" s="1002">
        <f>BE203*(1+BJ204)</f>
        <v>241.21427772830668</v>
      </c>
      <c r="BK203" s="1002">
        <f>BF203*(1+BK204)</f>
        <v>571.72330573422062</v>
      </c>
      <c r="BL203" s="1002">
        <f>BG203*(1+BL204)</f>
        <v>298.580347024329</v>
      </c>
      <c r="BM203" s="1002">
        <f>BH203*(1+BM204)</f>
        <v>147.34760172425979</v>
      </c>
      <c r="BN203" s="1010">
        <f>SUM(BJ203:BM203)</f>
        <v>1258.8655322111163</v>
      </c>
      <c r="BO203" s="1002">
        <f>BJ203*(1+BO204)</f>
        <v>253.27499161472204</v>
      </c>
      <c r="BP203" s="1002">
        <f>BK203*(1+BP204)</f>
        <v>600.30947102093171</v>
      </c>
      <c r="BQ203" s="1002">
        <f>BL203*(1+BQ204)</f>
        <v>313.50936437554549</v>
      </c>
      <c r="BR203" s="1002">
        <f>BM203*(1+BR204)</f>
        <v>154.71498181047278</v>
      </c>
      <c r="BS203" s="1010">
        <f>SUM(BO203:BR203)</f>
        <v>1321.8088088216721</v>
      </c>
      <c r="BT203" s="1002">
        <f>BO203*(1+BT204)</f>
        <v>262.13961632123727</v>
      </c>
      <c r="BU203" s="1002">
        <f>BP203*(1+BU204)</f>
        <v>621.32030250666423</v>
      </c>
      <c r="BV203" s="1002">
        <f>BQ203*(1+BV204)</f>
        <v>324.48219212868958</v>
      </c>
      <c r="BW203" s="1002">
        <f>BR203*(1+BW204)</f>
        <v>160.13000617383932</v>
      </c>
      <c r="BX203" s="1010">
        <f>SUM(BT203:BW203)</f>
        <v>1368.0721171304303</v>
      </c>
      <c r="BY203" s="1438"/>
      <c r="BZ203" s="1443"/>
      <c r="CA203" s="1443"/>
      <c r="CB203" s="1443"/>
      <c r="CC203" s="1443"/>
      <c r="CD203" s="1443"/>
      <c r="CE203" s="1443"/>
      <c r="CF203" s="1443"/>
      <c r="CG203" s="1443"/>
      <c r="CH203" s="1443"/>
    </row>
    <row r="204" spans="1:96" s="1022" customFormat="1">
      <c r="A204" s="1456" t="s">
        <v>926</v>
      </c>
      <c r="B204" s="1453"/>
      <c r="C204" s="1453"/>
      <c r="D204" s="1453"/>
      <c r="E204" s="1453"/>
      <c r="F204" s="1454"/>
      <c r="G204" s="1453"/>
      <c r="H204" s="1453"/>
      <c r="I204" s="1453"/>
      <c r="J204" s="1453"/>
      <c r="K204" s="1454"/>
      <c r="L204" s="1453"/>
      <c r="M204" s="1453"/>
      <c r="N204" s="1453"/>
      <c r="O204" s="1453"/>
      <c r="P204" s="1454"/>
      <c r="Q204" s="1453"/>
      <c r="R204" s="1453"/>
      <c r="S204" s="1453"/>
      <c r="T204" s="1453"/>
      <c r="U204" s="1454"/>
      <c r="V204" s="1453"/>
      <c r="W204" s="1453"/>
      <c r="X204" s="1453"/>
      <c r="Y204" s="1453"/>
      <c r="Z204" s="1454"/>
      <c r="AA204" s="1453"/>
      <c r="AB204" s="1453"/>
      <c r="AC204" s="1453"/>
      <c r="AD204" s="1453"/>
      <c r="AE204" s="1454"/>
      <c r="AF204" s="1446"/>
      <c r="AG204" s="1453"/>
      <c r="AH204" s="1453"/>
      <c r="AI204" s="1453"/>
      <c r="AJ204" s="1443"/>
      <c r="AK204" s="1442"/>
      <c r="AL204" s="1442"/>
      <c r="AM204" s="1442"/>
      <c r="AN204" s="1442"/>
      <c r="AO204" s="1443"/>
      <c r="AP204" s="1442">
        <f>IF(ISERROR(AP203/AK203-1),,(AP203/AK203-1))</f>
        <v>0.10546281826211112</v>
      </c>
      <c r="AQ204" s="1442">
        <f>IF(ISERROR(AQ203/AL203-1),,(AQ203/AL203-1))</f>
        <v>0.10548378922216339</v>
      </c>
      <c r="AR204" s="1442">
        <f>IF(ISERROR(AR203/AM203-1),,(AR203/AM203-1))</f>
        <v>0.34259083692086856</v>
      </c>
      <c r="AS204" s="1442">
        <f>IF(ISERROR(AS203/AN203-1),,(AS203/AN203-1))</f>
        <v>-0.14740921789974526</v>
      </c>
      <c r="AT204" s="1443">
        <f>IF(ISERROR(AT203/AO203-1),,(AT203/AO203-1))</f>
        <v>0.10387520771319703</v>
      </c>
      <c r="AU204" s="1442">
        <v>0.1</v>
      </c>
      <c r="AV204" s="1442">
        <v>0.1</v>
      </c>
      <c r="AW204" s="1442">
        <v>0.1</v>
      </c>
      <c r="AX204" s="1442">
        <v>0.02</v>
      </c>
      <c r="AY204" s="1443">
        <f>IF(ISERROR(AY203/AT203-1),,(AY203/AT203-1))</f>
        <v>9.0458049477120772E-2</v>
      </c>
      <c r="AZ204" s="1442">
        <v>0</v>
      </c>
      <c r="BA204" s="1442">
        <v>0.06</v>
      </c>
      <c r="BB204" s="1455">
        <v>0.05</v>
      </c>
      <c r="BC204" s="1455">
        <v>0.05</v>
      </c>
      <c r="BD204" s="1443">
        <f>IF(ISERROR(BD203/AY203-1),,(BD203/AY203-1))</f>
        <v>4.4394100612628939E-2</v>
      </c>
      <c r="BE204" s="1442">
        <v>0.1</v>
      </c>
      <c r="BF204" s="1442">
        <v>0.06</v>
      </c>
      <c r="BG204" s="1442">
        <v>0.4</v>
      </c>
      <c r="BH204" s="1455">
        <v>0.2</v>
      </c>
      <c r="BI204" s="1443">
        <f>IF(ISERROR(BI203/BD203-1),,(BI203/BD203-1))</f>
        <v>0.14995484857032371</v>
      </c>
      <c r="BJ204" s="1455">
        <v>0.05</v>
      </c>
      <c r="BK204" s="1455">
        <v>0.05</v>
      </c>
      <c r="BL204" s="1455">
        <v>0.05</v>
      </c>
      <c r="BM204" s="1455">
        <v>0.05</v>
      </c>
      <c r="BN204" s="1443">
        <f>IF(ISERROR(BN203/BI203-1),,(BN203/BI203-1))</f>
        <v>5.0000000000000044E-2</v>
      </c>
      <c r="BO204" s="1455">
        <v>0.05</v>
      </c>
      <c r="BP204" s="1455">
        <v>0.05</v>
      </c>
      <c r="BQ204" s="1455">
        <v>0.05</v>
      </c>
      <c r="BR204" s="1455">
        <v>0.05</v>
      </c>
      <c r="BS204" s="1443">
        <f>IF(ISERROR(BS203/BN203-1),,(BS203/BN203-1))</f>
        <v>5.0000000000000044E-2</v>
      </c>
      <c r="BT204" s="1455">
        <v>3.5000000000000003E-2</v>
      </c>
      <c r="BU204" s="1455">
        <v>3.5000000000000003E-2</v>
      </c>
      <c r="BV204" s="1455">
        <v>3.5000000000000003E-2</v>
      </c>
      <c r="BW204" s="1455">
        <v>3.5000000000000003E-2</v>
      </c>
      <c r="BX204" s="1443">
        <f>IF(ISERROR(BX203/BS203-1),,(BX203/BS203-1))</f>
        <v>3.4999999999999698E-2</v>
      </c>
      <c r="BY204" s="1438"/>
      <c r="BZ204" s="1443"/>
      <c r="CA204" s="1443"/>
      <c r="CB204" s="1443"/>
      <c r="CC204" s="1443"/>
      <c r="CD204" s="1443"/>
      <c r="CE204" s="1443"/>
      <c r="CF204" s="1443"/>
      <c r="CG204" s="1443"/>
      <c r="CH204" s="1443"/>
    </row>
    <row r="205" spans="1:96" s="1022" customFormat="1">
      <c r="A205" s="1013" t="str">
        <f>A196</f>
        <v>Windows Patent Licensing, IP, IoT, Embedded &amp; Other</v>
      </c>
      <c r="B205" s="1015"/>
      <c r="C205" s="1015"/>
      <c r="D205" s="1015"/>
      <c r="E205" s="1015"/>
      <c r="F205" s="1014"/>
      <c r="G205" s="1015"/>
      <c r="H205" s="1015"/>
      <c r="I205" s="1015"/>
      <c r="J205" s="1015"/>
      <c r="K205" s="1014"/>
      <c r="L205" s="1015"/>
      <c r="M205" s="1015"/>
      <c r="N205" s="1015"/>
      <c r="O205" s="1015"/>
      <c r="P205" s="1014"/>
      <c r="Q205" s="1015"/>
      <c r="R205" s="1015"/>
      <c r="S205" s="1015"/>
      <c r="T205" s="1015"/>
      <c r="U205" s="1014"/>
      <c r="V205" s="1015"/>
      <c r="W205" s="1015"/>
      <c r="X205" s="1015"/>
      <c r="Y205" s="1015"/>
      <c r="Z205" s="1014"/>
      <c r="AA205" s="1015"/>
      <c r="AB205" s="1015"/>
      <c r="AC205" s="1015"/>
      <c r="AD205" s="1015"/>
      <c r="AE205" s="1014"/>
      <c r="AF205" s="1015"/>
      <c r="AG205" s="1015"/>
      <c r="AH205" s="1015"/>
      <c r="AI205" s="1015"/>
      <c r="AJ205" s="1014"/>
      <c r="AK205" s="1015">
        <f>AK203+AK200</f>
        <v>637.89365788206146</v>
      </c>
      <c r="AL205" s="1015">
        <f>AL203+AL200</f>
        <v>1381.7116259312536</v>
      </c>
      <c r="AM205" s="1015">
        <f>AM203+AM200</f>
        <v>721.43429887111256</v>
      </c>
      <c r="AN205" s="1015">
        <f>AN203+AN200</f>
        <v>995.02646240902504</v>
      </c>
      <c r="AO205" s="1014">
        <f>SUM(AK205:AN205)</f>
        <v>3736.0660450934529</v>
      </c>
      <c r="AP205" s="1015">
        <f>AP203+AP200</f>
        <v>364.160004029167</v>
      </c>
      <c r="AQ205" s="1015">
        <f>AQ203+AQ200</f>
        <v>823.48541105582399</v>
      </c>
      <c r="AR205" s="1015">
        <f>AR203+AR200</f>
        <v>635.95335370396174</v>
      </c>
      <c r="AS205" s="1015">
        <f>AS203+AS200</f>
        <v>368.70986837053761</v>
      </c>
      <c r="AT205" s="1014">
        <f>SUM(AP205:AS205)</f>
        <v>2192.30863715949</v>
      </c>
      <c r="AU205" s="1015">
        <f>AU203+AU200</f>
        <v>400.57600443208366</v>
      </c>
      <c r="AV205" s="1015">
        <f>AV203+AV200</f>
        <v>836.2667951827334</v>
      </c>
      <c r="AW205" s="1015">
        <f>AW203+AW200</f>
        <v>594.8386336116323</v>
      </c>
      <c r="AX205" s="1015">
        <f>AX203+AX200</f>
        <v>326.46279468678188</v>
      </c>
      <c r="AY205" s="1014">
        <f>SUM(AU205:AX205)</f>
        <v>2158.1442279132311</v>
      </c>
      <c r="AZ205" s="1015">
        <f>AZ203+AZ200</f>
        <v>429.64073015534234</v>
      </c>
      <c r="BA205" s="1015">
        <f>BA203+BA200</f>
        <v>837.0460449390647</v>
      </c>
      <c r="BB205" s="1015">
        <f>BB203+BB200</f>
        <v>590.44313015704063</v>
      </c>
      <c r="BC205" s="1015">
        <f>BC203+BC200</f>
        <v>329.3482525155988</v>
      </c>
      <c r="BD205" s="1014">
        <f>SUM(AZ205:BC205)</f>
        <v>2186.4781577670465</v>
      </c>
      <c r="BE205" s="1015">
        <f>BE203+BE200</f>
        <v>416.62167319844161</v>
      </c>
      <c r="BF205" s="1015">
        <f>BF203+BF200</f>
        <v>841.02309549862366</v>
      </c>
      <c r="BG205" s="1015">
        <f>BG203+BG200</f>
        <v>729.59490663905183</v>
      </c>
      <c r="BH205" s="1015">
        <f>BH203+BH200</f>
        <v>362.29501774170569</v>
      </c>
      <c r="BI205" s="1014">
        <f>SUM(BE205:BH205)</f>
        <v>2349.5346930778228</v>
      </c>
      <c r="BJ205" s="1015">
        <f>BJ203+BJ200</f>
        <v>418.76337789359638</v>
      </c>
      <c r="BK205" s="1015">
        <f>BK203+BK200</f>
        <v>868.24801481930081</v>
      </c>
      <c r="BL205" s="1015">
        <f>BL203+BL200</f>
        <v>743.81301840211518</v>
      </c>
      <c r="BM205" s="1015">
        <f>BM203+BM200</f>
        <v>369.31157020476576</v>
      </c>
      <c r="BN205" s="1014">
        <f>SUM(BJ205:BM205)</f>
        <v>2400.1359813197782</v>
      </c>
      <c r="BO205" s="1015">
        <f>BO203+BO200</f>
        <v>430.82409178001171</v>
      </c>
      <c r="BP205" s="1015">
        <f>BP203+BP200</f>
        <v>896.8341801060119</v>
      </c>
      <c r="BQ205" s="1015">
        <f>BQ203+BQ200</f>
        <v>758.74203575333161</v>
      </c>
      <c r="BR205" s="1015">
        <f>BR203+BR200</f>
        <v>376.67895029097872</v>
      </c>
      <c r="BS205" s="1014">
        <f>SUM(BO205:BR205)</f>
        <v>2463.0792579303338</v>
      </c>
      <c r="BT205" s="1015">
        <f>BT203+BT200</f>
        <v>439.68871648652697</v>
      </c>
      <c r="BU205" s="1015">
        <f>BU203+BU200</f>
        <v>917.84501159174442</v>
      </c>
      <c r="BV205" s="1015">
        <f>BV203+BV200</f>
        <v>769.71486350647569</v>
      </c>
      <c r="BW205" s="1015">
        <f>BW203+BW200</f>
        <v>382.09397465434529</v>
      </c>
      <c r="BX205" s="1014">
        <f>SUM(BT205:BW205)</f>
        <v>2509.3425662390928</v>
      </c>
      <c r="BY205" s="1438"/>
      <c r="BZ205" s="1443"/>
      <c r="CA205" s="1443"/>
      <c r="CB205" s="1443"/>
      <c r="CC205" s="1443"/>
      <c r="CD205" s="1443"/>
      <c r="CE205" s="1443"/>
      <c r="CF205" s="1443"/>
      <c r="CG205" s="1443"/>
      <c r="CH205" s="1443"/>
    </row>
    <row r="206" spans="1:96" s="1022" customFormat="1">
      <c r="A206" s="1094"/>
      <c r="B206" s="2526"/>
      <c r="C206" s="2526"/>
      <c r="D206" s="2526"/>
      <c r="E206" s="2526"/>
      <c r="F206" s="2526"/>
      <c r="G206" s="2526"/>
      <c r="H206" s="2526"/>
      <c r="I206" s="2526"/>
      <c r="J206" s="2526"/>
      <c r="K206" s="2526"/>
      <c r="L206" s="2526"/>
      <c r="M206" s="2526"/>
      <c r="N206" s="2526"/>
      <c r="O206" s="2526"/>
      <c r="P206" s="2526"/>
      <c r="Q206" s="2526"/>
      <c r="R206" s="2526"/>
      <c r="S206" s="2526"/>
      <c r="T206" s="2526"/>
      <c r="U206" s="2526"/>
      <c r="V206" s="2526"/>
      <c r="W206" s="2526"/>
      <c r="X206" s="2526"/>
      <c r="Y206" s="2526"/>
      <c r="Z206" s="2526"/>
      <c r="AA206" s="2526"/>
      <c r="AB206" s="2526"/>
      <c r="AC206" s="2526"/>
      <c r="AD206" s="2526"/>
      <c r="AE206" s="2526"/>
      <c r="AF206" s="2526"/>
      <c r="AG206" s="2526"/>
      <c r="AH206" s="2526"/>
      <c r="AI206" s="2526"/>
      <c r="AJ206" s="2527"/>
      <c r="AK206" s="2526"/>
      <c r="AL206" s="2526"/>
      <c r="AM206" s="2526"/>
      <c r="AN206" s="2526"/>
      <c r="AO206" s="2527"/>
      <c r="AP206" s="1442">
        <f t="shared" ref="AP206:BS206" si="415">IF(ISERROR(AP205/AK205-1),,(AP205/AK205-1))</f>
        <v>-0.42912114028809545</v>
      </c>
      <c r="AQ206" s="1442">
        <f t="shared" si="415"/>
        <v>-0.40401065200503994</v>
      </c>
      <c r="AR206" s="1442">
        <f t="shared" si="415"/>
        <v>-0.11848749816984006</v>
      </c>
      <c r="AS206" s="1442">
        <f t="shared" si="415"/>
        <v>-0.62944717321601018</v>
      </c>
      <c r="AT206" s="1443">
        <f t="shared" si="415"/>
        <v>-0.41320399299722443</v>
      </c>
      <c r="AU206" s="1442">
        <f t="shared" si="415"/>
        <v>9.9999999999999867E-2</v>
      </c>
      <c r="AV206" s="1442">
        <f t="shared" si="415"/>
        <v>1.5521081436672857E-2</v>
      </c>
      <c r="AW206" s="1442">
        <f t="shared" si="415"/>
        <v>-6.4650527987416662E-2</v>
      </c>
      <c r="AX206" s="1442">
        <f t="shared" si="415"/>
        <v>-0.11458080541879945</v>
      </c>
      <c r="AY206" s="1443">
        <f t="shared" si="415"/>
        <v>-1.5583758904733735E-2</v>
      </c>
      <c r="AZ206" s="1442">
        <f t="shared" si="415"/>
        <v>7.2557330947631726E-2</v>
      </c>
      <c r="BA206" s="1442">
        <f t="shared" si="415"/>
        <v>9.318195590450884E-4</v>
      </c>
      <c r="BB206" s="1442">
        <f t="shared" si="415"/>
        <v>-7.3894048002629553E-3</v>
      </c>
      <c r="BC206" s="1442">
        <f t="shared" si="415"/>
        <v>8.8385502905019564E-3</v>
      </c>
      <c r="BD206" s="1443">
        <f t="shared" si="415"/>
        <v>1.3128839809382065E-2</v>
      </c>
      <c r="BE206" s="1442">
        <f t="shared" si="415"/>
        <v>-3.0302194468837973E-2</v>
      </c>
      <c r="BF206" s="1442">
        <f t="shared" si="415"/>
        <v>4.7512924570936033E-3</v>
      </c>
      <c r="BG206" s="1442">
        <f t="shared" si="415"/>
        <v>0.23567346180317306</v>
      </c>
      <c r="BH206" s="1442">
        <f t="shared" si="415"/>
        <v>0.10003625334112387</v>
      </c>
      <c r="BI206" s="1443">
        <f t="shared" si="415"/>
        <v>7.4574966473618387E-2</v>
      </c>
      <c r="BJ206" s="1442">
        <f t="shared" si="415"/>
        <v>5.1406463775940381E-3</v>
      </c>
      <c r="BK206" s="1442">
        <f t="shared" si="415"/>
        <v>3.2371191072388061E-2</v>
      </c>
      <c r="BL206" s="1442">
        <f t="shared" si="415"/>
        <v>1.9487679579015094E-2</v>
      </c>
      <c r="BM206" s="1442">
        <f t="shared" si="415"/>
        <v>1.9366958195551121E-2</v>
      </c>
      <c r="BN206" s="1443">
        <f t="shared" si="415"/>
        <v>2.1536727417150514E-2</v>
      </c>
      <c r="BO206" s="1442">
        <f t="shared" si="415"/>
        <v>2.8800784698703508E-2</v>
      </c>
      <c r="BP206" s="1442">
        <f t="shared" si="415"/>
        <v>3.2923962737375634E-2</v>
      </c>
      <c r="BQ206" s="1442">
        <f t="shared" si="415"/>
        <v>2.0070927749137102E-2</v>
      </c>
      <c r="BR206" s="1442">
        <f t="shared" si="415"/>
        <v>1.9948955517770761E-2</v>
      </c>
      <c r="BS206" s="1443">
        <f t="shared" si="415"/>
        <v>2.6224879382019228E-2</v>
      </c>
      <c r="BT206" s="1442">
        <f t="shared" ref="BT206" si="416">IF(ISERROR(BT205/BO205-1),,(BT205/BO205-1))</f>
        <v>2.0575972596819758E-2</v>
      </c>
      <c r="BU206" s="1442">
        <f t="shared" ref="BU206" si="417">IF(ISERROR(BU205/BP205-1),,(BU205/BP205-1))</f>
        <v>2.342777734368795E-2</v>
      </c>
      <c r="BV206" s="1442">
        <f t="shared" ref="BV206" si="418">IF(ISERROR(BV205/BQ205-1),,(BV205/BQ205-1))</f>
        <v>1.4461868772368103E-2</v>
      </c>
      <c r="BW206" s="1442">
        <f t="shared" ref="BW206" si="419">IF(ISERROR(BW205/BR205-1),,(BW205/BR205-1))</f>
        <v>1.437570206453942E-2</v>
      </c>
      <c r="BX206" s="1443">
        <f t="shared" ref="BX206" si="420">IF(ISERROR(BX205/BS205-1),,(BX205/BS205-1))</f>
        <v>1.8782711989395295E-2</v>
      </c>
      <c r="BY206" s="1438"/>
      <c r="BZ206" s="1443"/>
      <c r="CA206" s="1443"/>
      <c r="CB206" s="1443"/>
      <c r="CC206" s="1443"/>
      <c r="CD206" s="1443"/>
      <c r="CE206" s="1443"/>
      <c r="CF206" s="1443"/>
      <c r="CG206" s="1443"/>
      <c r="CH206" s="1443"/>
    </row>
    <row r="207" spans="1:96" s="1022" customFormat="1">
      <c r="A207" s="1452"/>
      <c r="B207" s="1453"/>
      <c r="C207" s="1453"/>
      <c r="D207" s="1453"/>
      <c r="E207" s="1453"/>
      <c r="F207" s="1453"/>
      <c r="G207" s="1453"/>
      <c r="H207" s="1453"/>
      <c r="I207" s="1453"/>
      <c r="J207" s="1453"/>
      <c r="K207" s="1453"/>
      <c r="L207" s="1453"/>
      <c r="M207" s="1453"/>
      <c r="N207" s="1453"/>
      <c r="O207" s="1453"/>
      <c r="P207" s="1453"/>
      <c r="Q207" s="1453"/>
      <c r="R207" s="1453"/>
      <c r="S207" s="1453"/>
      <c r="T207" s="1453"/>
      <c r="U207" s="1453"/>
      <c r="V207" s="1453"/>
      <c r="W207" s="1453"/>
      <c r="X207" s="1453"/>
      <c r="Y207" s="1453"/>
      <c r="Z207" s="1453"/>
      <c r="AA207" s="1453"/>
      <c r="AB207" s="1453"/>
      <c r="AC207" s="1453"/>
      <c r="AD207" s="1453"/>
      <c r="AE207" s="1453"/>
      <c r="AF207" s="1446"/>
      <c r="AG207" s="1453"/>
      <c r="AH207" s="1453"/>
      <c r="AI207" s="1453"/>
      <c r="AJ207" s="1443"/>
      <c r="AK207" s="1442"/>
      <c r="AL207" s="1442"/>
      <c r="AM207" s="1442"/>
      <c r="AN207" s="1442"/>
      <c r="AO207" s="1443"/>
      <c r="AP207" s="1442"/>
      <c r="AQ207" s="1442"/>
      <c r="AR207" s="1442"/>
      <c r="AS207" s="1442"/>
      <c r="AT207" s="1443"/>
      <c r="AU207" s="1442"/>
      <c r="AV207" s="1442"/>
      <c r="AW207" s="1442"/>
      <c r="AX207" s="1442"/>
      <c r="AY207" s="1443"/>
      <c r="AZ207" s="1442"/>
      <c r="BA207" s="1442"/>
      <c r="BB207" s="1442"/>
      <c r="BC207" s="1442"/>
      <c r="BD207" s="1443"/>
      <c r="BE207" s="1442"/>
      <c r="BF207" s="1442"/>
      <c r="BG207" s="1442"/>
      <c r="BH207" s="1442"/>
      <c r="BI207" s="1443"/>
      <c r="BJ207" s="1442"/>
      <c r="BK207" s="1442"/>
      <c r="BL207" s="1442"/>
      <c r="BM207" s="1442"/>
      <c r="BN207" s="1443"/>
      <c r="BO207" s="1442"/>
      <c r="BP207" s="1442"/>
      <c r="BQ207" s="1442"/>
      <c r="BR207" s="1442"/>
      <c r="BS207" s="1443"/>
      <c r="BT207" s="1442"/>
      <c r="BU207" s="1442"/>
      <c r="BV207" s="1442"/>
      <c r="BW207" s="1442"/>
      <c r="BX207" s="1443"/>
      <c r="BY207" s="1438"/>
      <c r="BZ207" s="1443"/>
      <c r="CA207" s="1443"/>
      <c r="CB207" s="1443"/>
      <c r="CC207" s="1443"/>
      <c r="CD207" s="1443"/>
      <c r="CE207" s="1443"/>
      <c r="CF207" s="1443"/>
      <c r="CG207" s="1443"/>
      <c r="CH207" s="1443"/>
    </row>
    <row r="208" spans="1:96">
      <c r="A208" s="1050" t="s">
        <v>996</v>
      </c>
      <c r="B208" s="1051"/>
      <c r="C208" s="1051"/>
      <c r="D208" s="1051"/>
      <c r="E208" s="1051"/>
      <c r="F208" s="1052"/>
      <c r="G208" s="1051"/>
      <c r="H208" s="1051"/>
      <c r="I208" s="1051"/>
      <c r="J208" s="1051"/>
      <c r="K208" s="1052"/>
      <c r="L208" s="1051"/>
      <c r="M208" s="1051"/>
      <c r="N208" s="1051"/>
      <c r="O208" s="1051"/>
      <c r="P208" s="1052"/>
      <c r="Q208" s="1051"/>
      <c r="R208" s="1051"/>
      <c r="S208" s="1051"/>
      <c r="T208" s="1051"/>
      <c r="U208" s="1052"/>
      <c r="V208" s="1051"/>
      <c r="W208" s="1051"/>
      <c r="X208" s="1051"/>
      <c r="Y208" s="1051"/>
      <c r="Z208" s="1052"/>
      <c r="AA208" s="1051"/>
      <c r="AB208" s="1051"/>
      <c r="AC208" s="1051"/>
      <c r="AD208" s="1051"/>
      <c r="AE208" s="1052"/>
      <c r="AF208" s="1053"/>
      <c r="AG208" s="1051"/>
      <c r="AH208" s="1051"/>
      <c r="AI208" s="1051"/>
      <c r="AJ208" s="1052"/>
      <c r="AK208" s="1054"/>
      <c r="AL208" s="1051"/>
      <c r="AM208" s="1051"/>
      <c r="AN208" s="1051"/>
      <c r="AO208" s="1052"/>
      <c r="AP208" s="1054"/>
      <c r="AQ208" s="1051"/>
      <c r="AR208" s="1051"/>
      <c r="AS208" s="1051"/>
      <c r="AT208" s="1052"/>
      <c r="AU208" s="1054"/>
      <c r="AV208" s="1051"/>
      <c r="AW208" s="1051"/>
      <c r="AX208" s="1051"/>
      <c r="AY208" s="1052"/>
      <c r="AZ208" s="1054"/>
      <c r="BA208" s="1051"/>
      <c r="BB208" s="1051"/>
      <c r="BC208" s="1051"/>
      <c r="BD208" s="1052"/>
      <c r="BE208" s="1054"/>
      <c r="BF208" s="1051"/>
      <c r="BG208" s="1051"/>
      <c r="BH208" s="1051"/>
      <c r="BI208" s="1052"/>
      <c r="BJ208" s="1054"/>
      <c r="BK208" s="1051"/>
      <c r="BL208" s="1051"/>
      <c r="BM208" s="1051"/>
      <c r="BN208" s="1052"/>
      <c r="BO208" s="1054"/>
      <c r="BP208" s="1051"/>
      <c r="BQ208" s="1051"/>
      <c r="BR208" s="1051"/>
      <c r="BS208" s="1052"/>
      <c r="BT208" s="1054"/>
      <c r="BU208" s="1051"/>
      <c r="BV208" s="1051"/>
      <c r="BW208" s="1051"/>
      <c r="BX208" s="1052"/>
      <c r="BY208" s="1343"/>
      <c r="BZ208" s="1052"/>
      <c r="CA208" s="1052"/>
      <c r="CB208" s="1052"/>
      <c r="CC208" s="1052"/>
      <c r="CD208" s="1052"/>
      <c r="CE208" s="1052"/>
      <c r="CF208" s="1052"/>
      <c r="CG208" s="1052"/>
      <c r="CH208" s="1052"/>
    </row>
    <row r="209" spans="1:99">
      <c r="A209" s="2545" t="s">
        <v>1149</v>
      </c>
      <c r="B209" s="2545"/>
      <c r="C209" s="2545"/>
      <c r="D209" s="2545"/>
      <c r="E209" s="2545"/>
      <c r="F209" s="2546"/>
      <c r="G209" s="2545"/>
      <c r="H209" s="2545"/>
      <c r="I209" s="2545"/>
      <c r="J209" s="2545"/>
      <c r="K209" s="2546"/>
      <c r="L209" s="2545"/>
      <c r="M209" s="2545"/>
      <c r="N209" s="2545"/>
      <c r="O209" s="2545"/>
      <c r="P209" s="2546"/>
      <c r="Q209" s="2545"/>
      <c r="R209" s="2545"/>
      <c r="S209" s="2545"/>
      <c r="T209" s="2545"/>
      <c r="U209" s="2546"/>
      <c r="V209" s="2545"/>
      <c r="W209" s="2545"/>
      <c r="X209" s="2545"/>
      <c r="Y209" s="2545"/>
      <c r="Z209" s="2546"/>
      <c r="AA209" s="2545"/>
      <c r="AB209" s="2545"/>
      <c r="AC209" s="2545"/>
      <c r="AD209" s="2545"/>
      <c r="AE209" s="2546"/>
      <c r="AF209" s="2533"/>
      <c r="AG209" s="2545"/>
      <c r="AH209" s="2545"/>
      <c r="AI209" s="2545"/>
      <c r="AJ209" s="2546"/>
      <c r="AK209" s="2547"/>
      <c r="AL209" s="2545"/>
      <c r="AM209" s="2545"/>
      <c r="AN209" s="2545"/>
      <c r="AO209" s="2546"/>
      <c r="AP209" s="2545">
        <v>42.9</v>
      </c>
      <c r="AQ209" s="2545">
        <v>39.700000000000003</v>
      </c>
      <c r="AR209" s="2545">
        <v>24.7</v>
      </c>
      <c r="AS209" s="2545">
        <v>19.5</v>
      </c>
      <c r="AT209" s="1024">
        <f>SUM(AP209:AS209)</f>
        <v>126.8</v>
      </c>
      <c r="AU209" s="2545">
        <v>25.5</v>
      </c>
      <c r="AV209" s="2545">
        <v>22.5</v>
      </c>
      <c r="AW209" s="2545">
        <v>15.7</v>
      </c>
      <c r="AX209" s="2545">
        <f>75.5-AW209-AV209-AU209</f>
        <v>11.799999999999997</v>
      </c>
      <c r="AY209" s="1024">
        <f>SUM(AU209:AX209)</f>
        <v>75.5</v>
      </c>
      <c r="AZ209" s="2545">
        <f>AU209*(1+AZ210)</f>
        <v>9.18</v>
      </c>
      <c r="BA209" s="2545">
        <f>AV209*(1+BA210)</f>
        <v>6.2550000000000008</v>
      </c>
      <c r="BB209" s="1025"/>
      <c r="BC209" s="1025"/>
      <c r="BD209" s="1024">
        <f>SUM(AZ209:BC209)</f>
        <v>15.435</v>
      </c>
      <c r="BE209" s="1025"/>
      <c r="BF209" s="1025"/>
      <c r="BG209" s="1025"/>
      <c r="BH209" s="1025"/>
      <c r="BI209" s="2546"/>
      <c r="BJ209" s="1025"/>
      <c r="BK209" s="1025"/>
      <c r="BL209" s="1025"/>
      <c r="BM209" s="1025"/>
      <c r="BN209" s="2546"/>
      <c r="BO209" s="1025"/>
      <c r="BP209" s="1025"/>
      <c r="BQ209" s="1025"/>
      <c r="BR209" s="1025"/>
      <c r="BS209" s="2546"/>
      <c r="BT209" s="1025"/>
      <c r="BU209" s="1025"/>
      <c r="BV209" s="1025"/>
      <c r="BW209" s="1025"/>
      <c r="BX209" s="2546"/>
      <c r="BY209" s="2548"/>
      <c r="BZ209" s="2546"/>
      <c r="CA209" s="2546"/>
      <c r="CB209" s="2546"/>
      <c r="CC209" s="2546"/>
      <c r="CD209" s="2546"/>
      <c r="CE209" s="2546"/>
      <c r="CF209" s="2546"/>
      <c r="CG209" s="2546"/>
      <c r="CH209" s="2546"/>
      <c r="CI209" s="2548"/>
      <c r="CJ209" s="2548"/>
      <c r="CK209" s="2548"/>
      <c r="CM209" s="2548"/>
      <c r="CN209" s="2548"/>
      <c r="CO209" s="2548"/>
      <c r="CP209" s="2548"/>
      <c r="CQ209" s="1175"/>
      <c r="CR209" s="1175"/>
      <c r="CS209" s="1175"/>
      <c r="CT209" s="1175"/>
      <c r="CU209" s="1175"/>
    </row>
    <row r="210" spans="1:99">
      <c r="A210" s="1452" t="s">
        <v>926</v>
      </c>
      <c r="B210" s="1453"/>
      <c r="C210" s="1453"/>
      <c r="D210" s="1453"/>
      <c r="E210" s="1453"/>
      <c r="F210" s="1454"/>
      <c r="G210" s="1453"/>
      <c r="H210" s="1453"/>
      <c r="I210" s="1453"/>
      <c r="J210" s="1453"/>
      <c r="K210" s="1454"/>
      <c r="L210" s="1453"/>
      <c r="M210" s="1453"/>
      <c r="N210" s="1453"/>
      <c r="O210" s="1453"/>
      <c r="P210" s="1454"/>
      <c r="Q210" s="1453"/>
      <c r="R210" s="1453"/>
      <c r="S210" s="1453"/>
      <c r="T210" s="1453"/>
      <c r="U210" s="1454"/>
      <c r="V210" s="1453"/>
      <c r="W210" s="1453"/>
      <c r="X210" s="1453"/>
      <c r="Y210" s="1453"/>
      <c r="Z210" s="1454"/>
      <c r="AA210" s="1453"/>
      <c r="AB210" s="1453"/>
      <c r="AC210" s="1453"/>
      <c r="AD210" s="1453"/>
      <c r="AE210" s="1454"/>
      <c r="AF210" s="1446"/>
      <c r="AG210" s="1453"/>
      <c r="AH210" s="1453"/>
      <c r="AI210" s="1453"/>
      <c r="AJ210" s="1443"/>
      <c r="AK210" s="1442"/>
      <c r="AL210" s="1442"/>
      <c r="AM210" s="1442"/>
      <c r="AN210" s="1442"/>
      <c r="AO210" s="1443"/>
      <c r="AP210" s="1442" t="str">
        <f>IFERROR((AP209/AK209-1),"")</f>
        <v/>
      </c>
      <c r="AQ210" s="1442" t="str">
        <f>IFERROR((AQ209/AL209-1),"")</f>
        <v/>
      </c>
      <c r="AR210" s="1442" t="str">
        <f>IFERROR((AR209/AM209-1),"")</f>
        <v/>
      </c>
      <c r="AS210" s="1442" t="str">
        <f>IFERROR((AS209/AN209-1),"")</f>
        <v/>
      </c>
      <c r="AT210" s="1443"/>
      <c r="AU210" s="1442">
        <f>AU209/AP209-1</f>
        <v>-0.40559440559440563</v>
      </c>
      <c r="AV210" s="1442">
        <f>AV209/AQ209-1</f>
        <v>-0.43324937027707811</v>
      </c>
      <c r="AW210" s="1442">
        <f>AW209/AR209-1</f>
        <v>-0.36437246963562753</v>
      </c>
      <c r="AX210" s="1442">
        <v>-0.54</v>
      </c>
      <c r="AY210" s="1443">
        <f>IFERROR((AY209/AT209-1),"")</f>
        <v>-0.4045741324921136</v>
      </c>
      <c r="AZ210" s="1442">
        <v>-0.64</v>
      </c>
      <c r="BA210" s="1442">
        <v>-0.72199999999999998</v>
      </c>
      <c r="BB210" s="1455"/>
      <c r="BC210" s="1455"/>
      <c r="BD210" s="1443">
        <f>IFERROR((BD209/AY209-1),"")</f>
        <v>-0.79556291390728473</v>
      </c>
      <c r="BE210" s="1455"/>
      <c r="BF210" s="1455"/>
      <c r="BG210" s="1455"/>
      <c r="BH210" s="1455"/>
      <c r="BI210" s="1443"/>
      <c r="BJ210" s="1455"/>
      <c r="BK210" s="1455"/>
      <c r="BL210" s="1455"/>
      <c r="BM210" s="1455"/>
      <c r="BN210" s="1443"/>
      <c r="BO210" s="1455"/>
      <c r="BP210" s="1455"/>
      <c r="BQ210" s="1455"/>
      <c r="BR210" s="1455"/>
      <c r="BS210" s="1443"/>
      <c r="BT210" s="1455"/>
      <c r="BU210" s="1455"/>
      <c r="BV210" s="1455"/>
      <c r="BW210" s="1455"/>
      <c r="BX210" s="1443"/>
      <c r="BY210" s="2548"/>
      <c r="BZ210" s="2546"/>
      <c r="CA210" s="2546"/>
      <c r="CB210" s="2546"/>
      <c r="CC210" s="2546"/>
      <c r="CD210" s="2546"/>
      <c r="CE210" s="2546"/>
      <c r="CF210" s="2546"/>
      <c r="CG210" s="2546"/>
      <c r="CH210" s="2546"/>
      <c r="CI210" s="2548"/>
      <c r="CJ210" s="2548"/>
      <c r="CK210" s="2548"/>
      <c r="CM210" s="2548"/>
      <c r="CN210" s="2548"/>
      <c r="CO210" s="2548"/>
      <c r="CP210" s="2548"/>
      <c r="CQ210" s="1175"/>
      <c r="CR210" s="1175"/>
      <c r="CS210" s="1175"/>
      <c r="CT210" s="1175"/>
      <c r="CU210" s="1175"/>
    </row>
    <row r="211" spans="1:99">
      <c r="A211" s="2545" t="s">
        <v>1150</v>
      </c>
      <c r="B211" s="2545"/>
      <c r="C211" s="2545"/>
      <c r="D211" s="2545"/>
      <c r="E211" s="2545"/>
      <c r="F211" s="2546"/>
      <c r="G211" s="2545"/>
      <c r="H211" s="2545"/>
      <c r="I211" s="2545"/>
      <c r="J211" s="2545"/>
      <c r="K211" s="2546"/>
      <c r="L211" s="2545"/>
      <c r="M211" s="2545"/>
      <c r="N211" s="2545"/>
      <c r="O211" s="2545"/>
      <c r="P211" s="2546"/>
      <c r="Q211" s="2545"/>
      <c r="R211" s="2545"/>
      <c r="S211" s="2545"/>
      <c r="T211" s="2545"/>
      <c r="U211" s="2546"/>
      <c r="V211" s="2545"/>
      <c r="W211" s="2545"/>
      <c r="X211" s="2545"/>
      <c r="Y211" s="2545"/>
      <c r="Z211" s="2546"/>
      <c r="AA211" s="2545"/>
      <c r="AB211" s="2545"/>
      <c r="AC211" s="2545"/>
      <c r="AD211" s="2545"/>
      <c r="AE211" s="2546"/>
      <c r="AF211" s="2533"/>
      <c r="AG211" s="2545"/>
      <c r="AH211" s="2545"/>
      <c r="AI211" s="2545"/>
      <c r="AJ211" s="2546"/>
      <c r="AK211" s="2547"/>
      <c r="AL211" s="2545"/>
      <c r="AM211" s="2545"/>
      <c r="AN211" s="2545"/>
      <c r="AO211" s="2546"/>
      <c r="AP211" s="2547">
        <v>22</v>
      </c>
      <c r="AQ211" s="2547">
        <v>21</v>
      </c>
      <c r="AR211" s="2547">
        <v>18</v>
      </c>
      <c r="AS211" s="2547">
        <v>18</v>
      </c>
      <c r="AT211" s="2549">
        <f>AT212/AT209</f>
        <v>20.292586750788644</v>
      </c>
      <c r="AU211" s="2547">
        <v>18</v>
      </c>
      <c r="AV211" s="2547">
        <v>20</v>
      </c>
      <c r="AW211" s="2547">
        <v>22</v>
      </c>
      <c r="AX211" s="2547">
        <v>19.8</v>
      </c>
      <c r="AY211" s="2549">
        <f>AY212/AY209</f>
        <v>19.70913907284768</v>
      </c>
      <c r="AZ211" s="2547">
        <v>20</v>
      </c>
      <c r="BA211" s="2547">
        <v>20</v>
      </c>
      <c r="BB211" s="2545"/>
      <c r="BC211" s="2545"/>
      <c r="BD211" s="2549">
        <f>BD212/BD209</f>
        <v>20.000000000000004</v>
      </c>
      <c r="BE211" s="2547"/>
      <c r="BF211" s="2545"/>
      <c r="BG211" s="2545"/>
      <c r="BH211" s="2545"/>
      <c r="BI211" s="2546"/>
      <c r="BJ211" s="2547"/>
      <c r="BK211" s="2545"/>
      <c r="BL211" s="2545"/>
      <c r="BM211" s="2545"/>
      <c r="BN211" s="2546"/>
      <c r="BO211" s="2547"/>
      <c r="BP211" s="2545"/>
      <c r="BQ211" s="2545"/>
      <c r="BR211" s="2545"/>
      <c r="BS211" s="2546"/>
      <c r="BT211" s="2547"/>
      <c r="BU211" s="2545"/>
      <c r="BV211" s="2545"/>
      <c r="BW211" s="2545"/>
      <c r="BX211" s="2546"/>
      <c r="BY211" s="2548"/>
      <c r="BZ211" s="2546"/>
      <c r="CA211" s="2546"/>
      <c r="CB211" s="2546"/>
      <c r="CC211" s="2546"/>
      <c r="CD211" s="2546"/>
      <c r="CE211" s="2546"/>
      <c r="CF211" s="2546"/>
      <c r="CG211" s="2546"/>
      <c r="CH211" s="2546"/>
      <c r="CI211" s="2548"/>
      <c r="CJ211" s="2548"/>
      <c r="CK211" s="2548"/>
      <c r="CM211" s="2548"/>
      <c r="CN211" s="2548"/>
      <c r="CO211" s="2548"/>
      <c r="CP211" s="2548"/>
      <c r="CQ211" s="1175"/>
      <c r="CR211" s="1175"/>
      <c r="CS211" s="1175"/>
      <c r="CT211" s="1175"/>
      <c r="CU211" s="1175"/>
    </row>
    <row r="212" spans="1:99">
      <c r="A212" s="2545" t="s">
        <v>1151</v>
      </c>
      <c r="B212" s="2545"/>
      <c r="C212" s="2545"/>
      <c r="D212" s="2545"/>
      <c r="E212" s="2545"/>
      <c r="F212" s="2546"/>
      <c r="G212" s="2545"/>
      <c r="H212" s="2545"/>
      <c r="I212" s="2545"/>
      <c r="J212" s="2545"/>
      <c r="K212" s="2546"/>
      <c r="L212" s="2545"/>
      <c r="M212" s="2545"/>
      <c r="N212" s="2545"/>
      <c r="O212" s="2545"/>
      <c r="P212" s="2546"/>
      <c r="Q212" s="2545"/>
      <c r="R212" s="2545"/>
      <c r="S212" s="2545"/>
      <c r="T212" s="2545"/>
      <c r="U212" s="2546"/>
      <c r="V212" s="2545"/>
      <c r="W212" s="2545"/>
      <c r="X212" s="2545"/>
      <c r="Y212" s="2545"/>
      <c r="Z212" s="2546"/>
      <c r="AA212" s="2545"/>
      <c r="AB212" s="2545"/>
      <c r="AC212" s="2545"/>
      <c r="AD212" s="2545"/>
      <c r="AE212" s="2546"/>
      <c r="AF212" s="2533"/>
      <c r="AG212" s="2545"/>
      <c r="AH212" s="2545"/>
      <c r="AI212" s="2545"/>
      <c r="AJ212" s="2546"/>
      <c r="AK212" s="2547"/>
      <c r="AL212" s="2545"/>
      <c r="AM212" s="2545"/>
      <c r="AN212" s="2545"/>
      <c r="AO212" s="2546"/>
      <c r="AP212" s="2547">
        <f>AP209*AP211</f>
        <v>943.8</v>
      </c>
      <c r="AQ212" s="2547">
        <f>AQ209*AQ211</f>
        <v>833.7</v>
      </c>
      <c r="AR212" s="2547">
        <f>AR209*AR211</f>
        <v>444.59999999999997</v>
      </c>
      <c r="AS212" s="2547">
        <f>AS209*AS211</f>
        <v>351</v>
      </c>
      <c r="AT212" s="2549">
        <f>SUM(AP212:AS212)</f>
        <v>2573.1</v>
      </c>
      <c r="AU212" s="2547">
        <f>AU209*AU211</f>
        <v>459</v>
      </c>
      <c r="AV212" s="2547">
        <f>AV209*AV211</f>
        <v>450</v>
      </c>
      <c r="AW212" s="2547">
        <f>AW209*AW211</f>
        <v>345.4</v>
      </c>
      <c r="AX212" s="2547">
        <f>AX209*AX211</f>
        <v>233.63999999999996</v>
      </c>
      <c r="AY212" s="2549">
        <f>SUM(AU212:AX212)</f>
        <v>1488.04</v>
      </c>
      <c r="AZ212" s="2547">
        <f>AZ209*AZ211</f>
        <v>183.6</v>
      </c>
      <c r="BA212" s="2547">
        <f>BA209*BA211</f>
        <v>125.10000000000002</v>
      </c>
      <c r="BB212" s="2545"/>
      <c r="BC212" s="2545"/>
      <c r="BD212" s="2549">
        <f>SUM(AZ212:BC212)</f>
        <v>308.70000000000005</v>
      </c>
      <c r="BE212" s="2547"/>
      <c r="BF212" s="2545"/>
      <c r="BG212" s="2545"/>
      <c r="BH212" s="2545"/>
      <c r="BI212" s="2546"/>
      <c r="BJ212" s="2547"/>
      <c r="BK212" s="2545"/>
      <c r="BL212" s="2545"/>
      <c r="BM212" s="2545"/>
      <c r="BN212" s="2546"/>
      <c r="BO212" s="2547"/>
      <c r="BP212" s="2545"/>
      <c r="BQ212" s="2545"/>
      <c r="BR212" s="2545"/>
      <c r="BS212" s="2546"/>
      <c r="BT212" s="2547"/>
      <c r="BU212" s="2545"/>
      <c r="BV212" s="2545"/>
      <c r="BW212" s="2545"/>
      <c r="BX212" s="2546"/>
      <c r="BY212" s="2548"/>
      <c r="BZ212" s="2546"/>
      <c r="CA212" s="2546"/>
      <c r="CB212" s="2546"/>
      <c r="CC212" s="2546"/>
      <c r="CD212" s="2546"/>
      <c r="CE212" s="2546"/>
      <c r="CF212" s="2546"/>
      <c r="CG212" s="2546"/>
      <c r="CH212" s="2546"/>
      <c r="CI212" s="2548"/>
      <c r="CJ212" s="2548"/>
      <c r="CK212" s="2548"/>
      <c r="CM212" s="2548"/>
      <c r="CN212" s="2548"/>
      <c r="CO212" s="2548"/>
      <c r="CP212" s="2548"/>
      <c r="CQ212" s="1175"/>
      <c r="CR212" s="1175"/>
      <c r="CS212" s="1175"/>
      <c r="CT212" s="1175"/>
      <c r="CU212" s="1175"/>
    </row>
    <row r="213" spans="1:99">
      <c r="A213" s="1452" t="s">
        <v>926</v>
      </c>
      <c r="B213" s="1453"/>
      <c r="C213" s="1453"/>
      <c r="D213" s="1453"/>
      <c r="E213" s="1453"/>
      <c r="F213" s="1454"/>
      <c r="G213" s="1453"/>
      <c r="H213" s="1453"/>
      <c r="I213" s="1453"/>
      <c r="J213" s="1453"/>
      <c r="K213" s="1454"/>
      <c r="L213" s="1453"/>
      <c r="M213" s="1453"/>
      <c r="N213" s="1453"/>
      <c r="O213" s="1453"/>
      <c r="P213" s="1454"/>
      <c r="Q213" s="1453"/>
      <c r="R213" s="1453"/>
      <c r="S213" s="1453"/>
      <c r="T213" s="1453"/>
      <c r="U213" s="1454"/>
      <c r="V213" s="1453"/>
      <c r="W213" s="1453"/>
      <c r="X213" s="1453"/>
      <c r="Y213" s="1453"/>
      <c r="Z213" s="1454"/>
      <c r="AA213" s="1453"/>
      <c r="AB213" s="1453"/>
      <c r="AC213" s="1453"/>
      <c r="AD213" s="1453"/>
      <c r="AE213" s="1454"/>
      <c r="AF213" s="1446"/>
      <c r="AG213" s="1453"/>
      <c r="AH213" s="1453"/>
      <c r="AI213" s="1453"/>
      <c r="AJ213" s="1443"/>
      <c r="AK213" s="1442"/>
      <c r="AL213" s="1442"/>
      <c r="AM213" s="1442"/>
      <c r="AN213" s="1442"/>
      <c r="AO213" s="1443"/>
      <c r="AP213" s="1442" t="str">
        <f>IFERROR((AP212/AK212-1),"")</f>
        <v/>
      </c>
      <c r="AQ213" s="1442" t="str">
        <f>IFERROR((AQ212/AL212-1),"")</f>
        <v/>
      </c>
      <c r="AR213" s="1442" t="str">
        <f>IFERROR((AR212/AM212-1),"")</f>
        <v/>
      </c>
      <c r="AS213" s="1442" t="str">
        <f>IFERROR((AS212/AN212-1),"")</f>
        <v/>
      </c>
      <c r="AT213" s="1443"/>
      <c r="AU213" s="1442">
        <f>AU212/AP212-1</f>
        <v>-0.51366815003178634</v>
      </c>
      <c r="AV213" s="1442">
        <f>AV212/AQ212-1</f>
        <v>-0.46023749550197912</v>
      </c>
      <c r="AW213" s="1442">
        <f>AW212/AR212-1</f>
        <v>-0.22312190733243364</v>
      </c>
      <c r="AX213" s="1442">
        <f>AX212/AS212-1</f>
        <v>-0.33435897435897444</v>
      </c>
      <c r="AY213" s="1443">
        <f>IFERROR((AY212/AT212-1),"")</f>
        <v>-0.42169367688780068</v>
      </c>
      <c r="AZ213" s="1442">
        <f>AZ212/AU212-1</f>
        <v>-0.60000000000000009</v>
      </c>
      <c r="BA213" s="1442">
        <f>BA212/AV212-1</f>
        <v>-0.72199999999999998</v>
      </c>
      <c r="BB213" s="1442"/>
      <c r="BC213" s="1442"/>
      <c r="BD213" s="1443"/>
      <c r="BE213" s="1442"/>
      <c r="BF213" s="1442"/>
      <c r="BG213" s="1442"/>
      <c r="BH213" s="1442"/>
      <c r="BI213" s="1443"/>
      <c r="BJ213" s="2547"/>
      <c r="BK213" s="2545"/>
      <c r="BL213" s="2545"/>
      <c r="BM213" s="2545"/>
      <c r="BN213" s="2546"/>
      <c r="BO213" s="2547"/>
      <c r="BP213" s="2545"/>
      <c r="BQ213" s="2545"/>
      <c r="BR213" s="2545"/>
      <c r="BS213" s="2546"/>
      <c r="BT213" s="2547"/>
      <c r="BU213" s="2545"/>
      <c r="BV213" s="2545"/>
      <c r="BW213" s="2545"/>
      <c r="BX213" s="2546"/>
      <c r="BY213" s="2548"/>
      <c r="BZ213" s="2546"/>
      <c r="CA213" s="2546"/>
      <c r="CB213" s="2546"/>
      <c r="CC213" s="2546"/>
      <c r="CD213" s="2546"/>
      <c r="CE213" s="2546"/>
      <c r="CF213" s="2546"/>
      <c r="CG213" s="2546"/>
      <c r="CH213" s="2546"/>
      <c r="CI213" s="2548"/>
      <c r="CJ213" s="2548"/>
      <c r="CK213" s="2548"/>
      <c r="CM213" s="2548"/>
      <c r="CN213" s="2548"/>
      <c r="CO213" s="2548"/>
      <c r="CP213" s="2548"/>
      <c r="CQ213" s="1175"/>
      <c r="CR213" s="1175"/>
      <c r="CS213" s="1175"/>
      <c r="CT213" s="1175"/>
      <c r="CU213" s="1175"/>
    </row>
    <row r="214" spans="1:99">
      <c r="A214" s="2545"/>
      <c r="B214" s="2545"/>
      <c r="C214" s="2545"/>
      <c r="D214" s="2545"/>
      <c r="E214" s="2545"/>
      <c r="F214" s="2546"/>
      <c r="G214" s="2545"/>
      <c r="H214" s="2545"/>
      <c r="I214" s="2545"/>
      <c r="J214" s="2545"/>
      <c r="K214" s="2546"/>
      <c r="L214" s="2545"/>
      <c r="M214" s="2545"/>
      <c r="N214" s="2545"/>
      <c r="O214" s="2545"/>
      <c r="P214" s="2546"/>
      <c r="Q214" s="2545"/>
      <c r="R214" s="2545"/>
      <c r="S214" s="2545"/>
      <c r="T214" s="2545"/>
      <c r="U214" s="2546"/>
      <c r="V214" s="2545"/>
      <c r="W214" s="2545"/>
      <c r="X214" s="2545"/>
      <c r="Y214" s="2545"/>
      <c r="Z214" s="2546"/>
      <c r="AA214" s="2545"/>
      <c r="AB214" s="2545"/>
      <c r="AC214" s="2545"/>
      <c r="AD214" s="2545"/>
      <c r="AE214" s="2546"/>
      <c r="AF214" s="2533"/>
      <c r="AG214" s="2545"/>
      <c r="AH214" s="2545"/>
      <c r="AI214" s="2545"/>
      <c r="AJ214" s="2546"/>
      <c r="AK214" s="2547"/>
      <c r="AL214" s="2545"/>
      <c r="AM214" s="2545"/>
      <c r="AN214" s="2545"/>
      <c r="AO214" s="2546"/>
      <c r="AP214" s="2547"/>
      <c r="AQ214" s="2547"/>
      <c r="AR214" s="2547"/>
      <c r="AS214" s="2547"/>
      <c r="AT214" s="2549"/>
      <c r="AU214" s="2547"/>
      <c r="AV214" s="2547"/>
      <c r="AW214" s="2547"/>
      <c r="AX214" s="2547"/>
      <c r="AY214" s="2549"/>
      <c r="AZ214" s="2547"/>
      <c r="BA214" s="2547"/>
      <c r="BB214" s="2545"/>
      <c r="BC214" s="2545"/>
      <c r="BD214" s="2546"/>
      <c r="BE214" s="2547"/>
      <c r="BF214" s="2545"/>
      <c r="BG214" s="2545"/>
      <c r="BH214" s="2545"/>
      <c r="BI214" s="2546"/>
      <c r="BJ214" s="2547"/>
      <c r="BK214" s="2545"/>
      <c r="BL214" s="2545"/>
      <c r="BM214" s="2545"/>
      <c r="BN214" s="2546"/>
      <c r="BO214" s="2547"/>
      <c r="BP214" s="2545"/>
      <c r="BQ214" s="2545"/>
      <c r="BR214" s="2545"/>
      <c r="BS214" s="2546"/>
      <c r="BT214" s="2547"/>
      <c r="BU214" s="2545"/>
      <c r="BV214" s="2545"/>
      <c r="BW214" s="2545"/>
      <c r="BX214" s="2546"/>
      <c r="BY214" s="2548"/>
      <c r="BZ214" s="2546"/>
      <c r="CA214" s="2546"/>
      <c r="CB214" s="2546"/>
      <c r="CC214" s="2546"/>
      <c r="CD214" s="2546"/>
      <c r="CE214" s="2546"/>
      <c r="CF214" s="2546"/>
      <c r="CG214" s="2546"/>
      <c r="CH214" s="2546"/>
      <c r="CI214" s="2548"/>
      <c r="CJ214" s="2548"/>
      <c r="CK214" s="2548"/>
      <c r="CM214" s="2548"/>
      <c r="CN214" s="2548"/>
      <c r="CO214" s="2548"/>
      <c r="CP214" s="2548"/>
      <c r="CQ214" s="1175"/>
      <c r="CR214" s="1175"/>
      <c r="CS214" s="1175"/>
      <c r="CT214" s="1175"/>
      <c r="CU214" s="1175"/>
    </row>
    <row r="215" spans="1:99">
      <c r="A215" s="2545" t="s">
        <v>1153</v>
      </c>
      <c r="B215" s="2545"/>
      <c r="C215" s="2545"/>
      <c r="D215" s="2545"/>
      <c r="E215" s="2545"/>
      <c r="F215" s="2546"/>
      <c r="G215" s="2545"/>
      <c r="H215" s="2545"/>
      <c r="I215" s="2545"/>
      <c r="J215" s="2545"/>
      <c r="K215" s="2546"/>
      <c r="L215" s="2545"/>
      <c r="M215" s="2545"/>
      <c r="N215" s="2545"/>
      <c r="O215" s="2545"/>
      <c r="P215" s="2546"/>
      <c r="Q215" s="2545"/>
      <c r="R215" s="2545"/>
      <c r="S215" s="2545"/>
      <c r="T215" s="2545"/>
      <c r="U215" s="2546"/>
      <c r="V215" s="2545"/>
      <c r="W215" s="2545"/>
      <c r="X215" s="2545"/>
      <c r="Y215" s="2545"/>
      <c r="Z215" s="2546"/>
      <c r="AA215" s="2545"/>
      <c r="AB215" s="2545"/>
      <c r="AC215" s="2545"/>
      <c r="AD215" s="2545"/>
      <c r="AE215" s="2546"/>
      <c r="AF215" s="2533"/>
      <c r="AG215" s="2545"/>
      <c r="AH215" s="2545"/>
      <c r="AI215" s="2545"/>
      <c r="AJ215" s="2546"/>
      <c r="AK215" s="2547"/>
      <c r="AL215" s="2545"/>
      <c r="AM215" s="2545"/>
      <c r="AN215" s="2545"/>
      <c r="AO215" s="2546"/>
      <c r="AP215" s="2545">
        <v>9.3000000000000007</v>
      </c>
      <c r="AQ215" s="2545">
        <v>10.5</v>
      </c>
      <c r="AR215" s="2545">
        <v>8.6</v>
      </c>
      <c r="AS215" s="2545">
        <v>8.3999999999999986</v>
      </c>
      <c r="AT215" s="1024">
        <f>SUM(AP215:AS215)</f>
        <v>36.799999999999997</v>
      </c>
      <c r="AU215" s="2545">
        <v>5.8</v>
      </c>
      <c r="AV215" s="2545">
        <v>4.5</v>
      </c>
      <c r="AW215" s="2545">
        <v>2.2999999999999998</v>
      </c>
      <c r="AX215" s="2545">
        <f>13.8-AW215-AV215-AU215</f>
        <v>1.2000000000000002</v>
      </c>
      <c r="AY215" s="1024">
        <f>SUM(AU215:AX215)</f>
        <v>13.8</v>
      </c>
      <c r="AZ215" s="2545">
        <f>AU215*(1+AZ216)</f>
        <v>0.57999999999999985</v>
      </c>
      <c r="BA215" s="2545">
        <f>AV215*(1+BA216)</f>
        <v>0.40499999999999986</v>
      </c>
      <c r="BB215" s="1025">
        <f>AW215*(1+BB216)</f>
        <v>0.22999999999999993</v>
      </c>
      <c r="BC215" s="1025">
        <f>AX215*(1+BC216)</f>
        <v>0.12</v>
      </c>
      <c r="BD215" s="1024">
        <f>SUM(AZ215:BC215)</f>
        <v>1.3349999999999995</v>
      </c>
      <c r="BE215" s="1025"/>
      <c r="BF215" s="1025"/>
      <c r="BG215" s="1025"/>
      <c r="BH215" s="1025"/>
      <c r="BI215" s="1024"/>
      <c r="BJ215" s="1025"/>
      <c r="BK215" s="1025"/>
      <c r="BL215" s="1025"/>
      <c r="BM215" s="1025"/>
      <c r="BN215" s="1024"/>
      <c r="BO215" s="1025"/>
      <c r="BP215" s="1025"/>
      <c r="BQ215" s="1025"/>
      <c r="BR215" s="1025"/>
      <c r="BS215" s="1024"/>
      <c r="BT215" s="1025"/>
      <c r="BU215" s="1025"/>
      <c r="BV215" s="1025"/>
      <c r="BW215" s="1025"/>
      <c r="BX215" s="1024"/>
      <c r="BY215" s="2548"/>
      <c r="BZ215" s="2546"/>
      <c r="CA215" s="2546"/>
      <c r="CB215" s="2546"/>
      <c r="CC215" s="2546"/>
      <c r="CD215" s="2546"/>
      <c r="CE215" s="2546"/>
      <c r="CF215" s="2546"/>
      <c r="CG215" s="2546"/>
      <c r="CH215" s="2546"/>
      <c r="CI215" s="2548"/>
      <c r="CJ215" s="2548"/>
      <c r="CK215" s="2548"/>
      <c r="CM215" s="2548"/>
      <c r="CN215" s="2548"/>
      <c r="CO215" s="2548"/>
      <c r="CP215" s="2548"/>
      <c r="CQ215" s="1175"/>
      <c r="CR215" s="1175"/>
      <c r="CS215" s="1175"/>
      <c r="CT215" s="1175"/>
      <c r="CU215" s="1175"/>
    </row>
    <row r="216" spans="1:99">
      <c r="A216" s="1452" t="s">
        <v>926</v>
      </c>
      <c r="B216" s="1453"/>
      <c r="C216" s="1453"/>
      <c r="D216" s="1453"/>
      <c r="E216" s="1453"/>
      <c r="F216" s="1454"/>
      <c r="G216" s="1453"/>
      <c r="H216" s="1453"/>
      <c r="I216" s="1453"/>
      <c r="J216" s="1453"/>
      <c r="K216" s="1454"/>
      <c r="L216" s="1453"/>
      <c r="M216" s="1453"/>
      <c r="N216" s="1453"/>
      <c r="O216" s="1453"/>
      <c r="P216" s="1454"/>
      <c r="Q216" s="1453"/>
      <c r="R216" s="1453"/>
      <c r="S216" s="1453"/>
      <c r="T216" s="1453"/>
      <c r="U216" s="1454"/>
      <c r="V216" s="1453"/>
      <c r="W216" s="1453"/>
      <c r="X216" s="1453"/>
      <c r="Y216" s="1453"/>
      <c r="Z216" s="1454"/>
      <c r="AA216" s="1453"/>
      <c r="AB216" s="1453"/>
      <c r="AC216" s="1453"/>
      <c r="AD216" s="1453"/>
      <c r="AE216" s="1454"/>
      <c r="AF216" s="1446"/>
      <c r="AG216" s="1453"/>
      <c r="AH216" s="1453"/>
      <c r="AI216" s="1453"/>
      <c r="AJ216" s="1443"/>
      <c r="AK216" s="1442"/>
      <c r="AL216" s="1442"/>
      <c r="AM216" s="1442"/>
      <c r="AN216" s="1442"/>
      <c r="AO216" s="1443"/>
      <c r="AP216" s="1442" t="str">
        <f>IFERROR((AP215/AK215-1),"")</f>
        <v/>
      </c>
      <c r="AQ216" s="1442" t="str">
        <f>IFERROR((AQ215/AL215-1),"")</f>
        <v/>
      </c>
      <c r="AR216" s="1442" t="str">
        <f>IFERROR((AR215/AM215-1),"")</f>
        <v/>
      </c>
      <c r="AS216" s="1442" t="str">
        <f>IFERROR((AS215/AN215-1),"")</f>
        <v/>
      </c>
      <c r="AT216" s="1443"/>
      <c r="AU216" s="1442">
        <f>AU215/AP215-1</f>
        <v>-0.37634408602150549</v>
      </c>
      <c r="AV216" s="1442">
        <f>AV215/AQ215-1</f>
        <v>-0.5714285714285714</v>
      </c>
      <c r="AW216" s="1442">
        <f>AW215/AR215-1</f>
        <v>-0.73255813953488369</v>
      </c>
      <c r="AX216" s="1442">
        <v>-0.75</v>
      </c>
      <c r="AY216" s="1443">
        <f>IFERROR((AY215/AT215-1),"")</f>
        <v>-0.625</v>
      </c>
      <c r="AZ216" s="1442">
        <v>-0.9</v>
      </c>
      <c r="BA216" s="1442">
        <v>-0.91</v>
      </c>
      <c r="BB216" s="1455">
        <v>-0.9</v>
      </c>
      <c r="BC216" s="1455">
        <v>-0.9</v>
      </c>
      <c r="BD216" s="1443">
        <f>IFERROR((BD215/AY215-1),"")</f>
        <v>-0.90326086956521745</v>
      </c>
      <c r="BE216" s="1455"/>
      <c r="BF216" s="1455"/>
      <c r="BG216" s="1455"/>
      <c r="BH216" s="1455"/>
      <c r="BI216" s="1443"/>
      <c r="BJ216" s="1455"/>
      <c r="BK216" s="1455"/>
      <c r="BL216" s="1455"/>
      <c r="BM216" s="1455"/>
      <c r="BN216" s="1443"/>
      <c r="BO216" s="1455"/>
      <c r="BP216" s="1455"/>
      <c r="BQ216" s="1455"/>
      <c r="BR216" s="1455"/>
      <c r="BS216" s="1443"/>
      <c r="BT216" s="1455"/>
      <c r="BU216" s="1455"/>
      <c r="BV216" s="1455"/>
      <c r="BW216" s="1455"/>
      <c r="BX216" s="1443"/>
      <c r="BY216" s="2548"/>
      <c r="BZ216" s="2546"/>
      <c r="CA216" s="2546"/>
      <c r="CB216" s="2546"/>
      <c r="CC216" s="2546"/>
      <c r="CD216" s="2546"/>
      <c r="CE216" s="2546"/>
      <c r="CF216" s="2546"/>
      <c r="CG216" s="2546"/>
      <c r="CH216" s="2546"/>
      <c r="CI216" s="2548"/>
      <c r="CJ216" s="2548"/>
      <c r="CK216" s="2548"/>
      <c r="CM216" s="2548"/>
      <c r="CN216" s="2548"/>
      <c r="CO216" s="2548"/>
      <c r="CP216" s="2548"/>
      <c r="CQ216" s="1175"/>
      <c r="CR216" s="1175"/>
      <c r="CS216" s="1175"/>
      <c r="CT216" s="1175"/>
      <c r="CU216" s="1175"/>
    </row>
    <row r="217" spans="1:99">
      <c r="A217" s="2545" t="s">
        <v>1152</v>
      </c>
      <c r="B217" s="2545"/>
      <c r="C217" s="2545"/>
      <c r="D217" s="2545"/>
      <c r="E217" s="2545"/>
      <c r="F217" s="2546"/>
      <c r="G217" s="2545"/>
      <c r="H217" s="2545"/>
      <c r="I217" s="2545"/>
      <c r="J217" s="2545"/>
      <c r="K217" s="2546"/>
      <c r="L217" s="2545"/>
      <c r="M217" s="2545"/>
      <c r="N217" s="2545"/>
      <c r="O217" s="2545"/>
      <c r="P217" s="2546"/>
      <c r="Q217" s="2545"/>
      <c r="R217" s="2545"/>
      <c r="S217" s="2545"/>
      <c r="T217" s="2545"/>
      <c r="U217" s="2546"/>
      <c r="V217" s="2545"/>
      <c r="W217" s="2545"/>
      <c r="X217" s="2545"/>
      <c r="Y217" s="2545"/>
      <c r="Z217" s="2546"/>
      <c r="AA217" s="2545"/>
      <c r="AB217" s="2545"/>
      <c r="AC217" s="2545"/>
      <c r="AD217" s="2545"/>
      <c r="AE217" s="2546"/>
      <c r="AF217" s="2533"/>
      <c r="AG217" s="2545"/>
      <c r="AH217" s="2545"/>
      <c r="AI217" s="2545"/>
      <c r="AJ217" s="2546"/>
      <c r="AK217" s="2547"/>
      <c r="AL217" s="2545"/>
      <c r="AM217" s="2545"/>
      <c r="AN217" s="2545"/>
      <c r="AO217" s="2546"/>
      <c r="AP217" s="2547">
        <f>(AP225-AP212)/AP215</f>
        <v>179.05376344086019</v>
      </c>
      <c r="AQ217" s="2547">
        <f t="shared" ref="AQ217:AW217" si="421">(AQ225-AQ212)/AQ215</f>
        <v>138.12380952380951</v>
      </c>
      <c r="AR217" s="2547">
        <f t="shared" si="421"/>
        <v>110.74418604651164</v>
      </c>
      <c r="AS217" s="2547">
        <f t="shared" si="421"/>
        <v>105.11904761904763</v>
      </c>
      <c r="AT217" s="2549">
        <f>AT218/AT215</f>
        <v>134.53532608695653</v>
      </c>
      <c r="AU217" s="2547">
        <f t="shared" si="421"/>
        <v>79.83113793103449</v>
      </c>
      <c r="AV217" s="2547">
        <f t="shared" si="421"/>
        <v>109.36666666666669</v>
      </c>
      <c r="AW217" s="2547">
        <f t="shared" si="421"/>
        <v>189.35782608695655</v>
      </c>
      <c r="AX217" s="2547">
        <v>100</v>
      </c>
      <c r="AY217" s="2549">
        <f>AY218/AY215</f>
        <v>109.47055072463768</v>
      </c>
      <c r="AZ217" s="2547">
        <v>135</v>
      </c>
      <c r="BA217" s="2547">
        <f>AZ217</f>
        <v>135</v>
      </c>
      <c r="BB217" s="2547">
        <f>BA217</f>
        <v>135</v>
      </c>
      <c r="BC217" s="2547">
        <f>BB217</f>
        <v>135</v>
      </c>
      <c r="BD217" s="2549">
        <f>BD218/BD215</f>
        <v>135</v>
      </c>
      <c r="BE217" s="2547"/>
      <c r="BF217" s="2547"/>
      <c r="BG217" s="2547"/>
      <c r="BH217" s="2547"/>
      <c r="BI217" s="2549"/>
      <c r="BJ217" s="2547"/>
      <c r="BK217" s="2547"/>
      <c r="BL217" s="2547"/>
      <c r="BM217" s="2547"/>
      <c r="BN217" s="2549"/>
      <c r="BO217" s="2547"/>
      <c r="BP217" s="2547"/>
      <c r="BQ217" s="2547"/>
      <c r="BR217" s="2547"/>
      <c r="BS217" s="2549"/>
      <c r="BT217" s="2547"/>
      <c r="BU217" s="2547"/>
      <c r="BV217" s="2547"/>
      <c r="BW217" s="2547"/>
      <c r="BX217" s="2549"/>
      <c r="BY217" s="2548"/>
      <c r="BZ217" s="2546"/>
      <c r="CA217" s="2546"/>
      <c r="CB217" s="2546"/>
      <c r="CC217" s="2546"/>
      <c r="CD217" s="2546"/>
      <c r="CE217" s="2546"/>
      <c r="CF217" s="2546"/>
      <c r="CG217" s="2546"/>
      <c r="CH217" s="2546"/>
      <c r="CI217" s="2548"/>
      <c r="CJ217" s="2548"/>
      <c r="CK217" s="2548"/>
      <c r="CM217" s="2548"/>
      <c r="CN217" s="2548"/>
      <c r="CO217" s="2548"/>
      <c r="CP217" s="2548"/>
      <c r="CQ217" s="1175"/>
      <c r="CR217" s="1175"/>
      <c r="CS217" s="1175"/>
      <c r="CT217" s="1175"/>
      <c r="CU217" s="1175"/>
    </row>
    <row r="218" spans="1:99">
      <c r="A218" s="2545" t="s">
        <v>1154</v>
      </c>
      <c r="B218" s="2545"/>
      <c r="C218" s="2545"/>
      <c r="D218" s="2545"/>
      <c r="E218" s="2545"/>
      <c r="F218" s="2546"/>
      <c r="G218" s="2545"/>
      <c r="H218" s="2545"/>
      <c r="I218" s="2545"/>
      <c r="J218" s="2545"/>
      <c r="K218" s="2546"/>
      <c r="L218" s="2545"/>
      <c r="M218" s="2545"/>
      <c r="N218" s="2545"/>
      <c r="O218" s="2545"/>
      <c r="P218" s="2546"/>
      <c r="Q218" s="2545"/>
      <c r="R218" s="2545"/>
      <c r="S218" s="2545"/>
      <c r="T218" s="2545"/>
      <c r="U218" s="2546"/>
      <c r="V218" s="2545"/>
      <c r="W218" s="2545"/>
      <c r="X218" s="2545"/>
      <c r="Y218" s="2545"/>
      <c r="Z218" s="2546"/>
      <c r="AA218" s="2545"/>
      <c r="AB218" s="2545"/>
      <c r="AC218" s="2545"/>
      <c r="AD218" s="2545"/>
      <c r="AE218" s="2546"/>
      <c r="AF218" s="2533"/>
      <c r="AG218" s="2545"/>
      <c r="AH218" s="2545"/>
      <c r="AI218" s="2545"/>
      <c r="AJ218" s="2546"/>
      <c r="AK218" s="2547"/>
      <c r="AL218" s="2545"/>
      <c r="AM218" s="2545"/>
      <c r="AN218" s="2545"/>
      <c r="AO218" s="2546"/>
      <c r="AP218" s="2547">
        <f>AP215*AP217</f>
        <v>1665.2</v>
      </c>
      <c r="AQ218" s="2547">
        <f>AQ215*AQ217</f>
        <v>1450.3</v>
      </c>
      <c r="AR218" s="2547">
        <f>AR215*AR217</f>
        <v>952.40000000000009</v>
      </c>
      <c r="AS218" s="2547">
        <f>AS215*AS217</f>
        <v>883</v>
      </c>
      <c r="AT218" s="2549">
        <f>SUM(AP218:AS218)</f>
        <v>4950.8999999999996</v>
      </c>
      <c r="AU218" s="2547">
        <f>AU215*AU217</f>
        <v>463.02060000000006</v>
      </c>
      <c r="AV218" s="2547">
        <f>AV215*AV217</f>
        <v>492.15000000000009</v>
      </c>
      <c r="AW218" s="2547">
        <f>AW215*AW217</f>
        <v>435.52300000000002</v>
      </c>
      <c r="AX218" s="2547">
        <f>AX215*AX217</f>
        <v>120.00000000000001</v>
      </c>
      <c r="AY218" s="2549">
        <f>SUM(AU218:AX218)</f>
        <v>1510.6936000000001</v>
      </c>
      <c r="AZ218" s="2547">
        <f>AZ215*AZ217</f>
        <v>78.299999999999983</v>
      </c>
      <c r="BA218" s="2547">
        <f>BA215*BA217</f>
        <v>54.674999999999983</v>
      </c>
      <c r="BB218" s="2547">
        <f>BB215*BB217</f>
        <v>31.04999999999999</v>
      </c>
      <c r="BC218" s="2547">
        <f>BC215*BC217</f>
        <v>16.2</v>
      </c>
      <c r="BD218" s="2549">
        <f>SUM(AZ218:BC218)</f>
        <v>180.22499999999994</v>
      </c>
      <c r="BE218" s="2547"/>
      <c r="BF218" s="2547"/>
      <c r="BG218" s="2547"/>
      <c r="BH218" s="2547"/>
      <c r="BI218" s="2549"/>
      <c r="BJ218" s="2547"/>
      <c r="BK218" s="2547"/>
      <c r="BL218" s="2547"/>
      <c r="BM218" s="2547"/>
      <c r="BN218" s="2549"/>
      <c r="BO218" s="2547"/>
      <c r="BP218" s="2547"/>
      <c r="BQ218" s="2547"/>
      <c r="BR218" s="2547"/>
      <c r="BS218" s="2549"/>
      <c r="BT218" s="2547"/>
      <c r="BU218" s="2547"/>
      <c r="BV218" s="2547"/>
      <c r="BW218" s="2547"/>
      <c r="BX218" s="2549"/>
      <c r="BY218" s="2548"/>
      <c r="BZ218" s="2546"/>
      <c r="CA218" s="2546"/>
      <c r="CB218" s="2546"/>
      <c r="CC218" s="2546"/>
      <c r="CD218" s="2546"/>
      <c r="CE218" s="2546"/>
      <c r="CF218" s="2546"/>
      <c r="CG218" s="2546"/>
      <c r="CH218" s="2546"/>
      <c r="CI218" s="2548"/>
      <c r="CJ218" s="2548"/>
      <c r="CK218" s="2548"/>
      <c r="CM218" s="2548"/>
      <c r="CN218" s="2548"/>
      <c r="CO218" s="2548"/>
      <c r="CP218" s="2548"/>
      <c r="CQ218" s="1175"/>
      <c r="CR218" s="1175"/>
      <c r="CS218" s="1175"/>
      <c r="CT218" s="1175"/>
      <c r="CU218" s="1175"/>
    </row>
    <row r="219" spans="1:99">
      <c r="A219" s="1452" t="s">
        <v>926</v>
      </c>
      <c r="B219" s="1453"/>
      <c r="C219" s="1453"/>
      <c r="D219" s="1453"/>
      <c r="E219" s="1453"/>
      <c r="F219" s="1454"/>
      <c r="G219" s="1453"/>
      <c r="H219" s="1453"/>
      <c r="I219" s="1453"/>
      <c r="J219" s="1453"/>
      <c r="K219" s="1454"/>
      <c r="L219" s="1453"/>
      <c r="M219" s="1453"/>
      <c r="N219" s="1453"/>
      <c r="O219" s="1453"/>
      <c r="P219" s="1454"/>
      <c r="Q219" s="1453"/>
      <c r="R219" s="1453"/>
      <c r="S219" s="1453"/>
      <c r="T219" s="1453"/>
      <c r="U219" s="1454"/>
      <c r="V219" s="1453"/>
      <c r="W219" s="1453"/>
      <c r="X219" s="1453"/>
      <c r="Y219" s="1453"/>
      <c r="Z219" s="1454"/>
      <c r="AA219" s="1453"/>
      <c r="AB219" s="1453"/>
      <c r="AC219" s="1453"/>
      <c r="AD219" s="1453"/>
      <c r="AE219" s="1454"/>
      <c r="AF219" s="1446"/>
      <c r="AG219" s="1453"/>
      <c r="AH219" s="1453"/>
      <c r="AI219" s="1453"/>
      <c r="AJ219" s="1443"/>
      <c r="AK219" s="1442"/>
      <c r="AL219" s="1442"/>
      <c r="AM219" s="1442"/>
      <c r="AN219" s="1442"/>
      <c r="AO219" s="1443"/>
      <c r="AP219" s="1442" t="str">
        <f>IFERROR((AP218/AK218-1),"")</f>
        <v/>
      </c>
      <c r="AQ219" s="1442" t="str">
        <f>IFERROR((AQ218/AL218-1),"")</f>
        <v/>
      </c>
      <c r="AR219" s="1442" t="str">
        <f>IFERROR((AR218/AM218-1),"")</f>
        <v/>
      </c>
      <c r="AS219" s="1442" t="str">
        <f>IFERROR((AS218/AN218-1),"")</f>
        <v/>
      </c>
      <c r="AT219" s="1443"/>
      <c r="AU219" s="1442">
        <f>AU218/AP218-1</f>
        <v>-0.7219429497958203</v>
      </c>
      <c r="AV219" s="1442">
        <f>AV218/AQ218-1</f>
        <v>-0.66065641591394875</v>
      </c>
      <c r="AW219" s="1442">
        <f>AW218/AR218-1</f>
        <v>-0.54270999580008406</v>
      </c>
      <c r="AX219" s="1442">
        <f>AX218/AS218-1</f>
        <v>-0.86409966024915064</v>
      </c>
      <c r="AY219" s="1443">
        <f>IFERROR((AY218/AT218-1),"")</f>
        <v>-0.69486485285503641</v>
      </c>
      <c r="AZ219" s="1442">
        <f>AZ218/AU218-1</f>
        <v>-0.83089305313845652</v>
      </c>
      <c r="BA219" s="1442">
        <f>BA218/AV218-1</f>
        <v>-0.8889058213959159</v>
      </c>
      <c r="BB219" s="1442">
        <f>BB218/AW218-1</f>
        <v>-0.92870640586145858</v>
      </c>
      <c r="BC219" s="1442">
        <f>BC218/AX218-1</f>
        <v>-0.86499999999999999</v>
      </c>
      <c r="BD219" s="1443">
        <f>IFERROR((BD218/AY218-1),"")</f>
        <v>-0.88070049413064311</v>
      </c>
      <c r="BE219" s="1442"/>
      <c r="BF219" s="1442"/>
      <c r="BG219" s="1442"/>
      <c r="BH219" s="1442"/>
      <c r="BI219" s="1443"/>
      <c r="BJ219" s="1442"/>
      <c r="BK219" s="1442"/>
      <c r="BL219" s="1442"/>
      <c r="BM219" s="1442"/>
      <c r="BN219" s="1443"/>
      <c r="BO219" s="1442"/>
      <c r="BP219" s="1442"/>
      <c r="BQ219" s="1442"/>
      <c r="BR219" s="1442"/>
      <c r="BS219" s="1443"/>
      <c r="BT219" s="1442"/>
      <c r="BU219" s="1442"/>
      <c r="BV219" s="1442"/>
      <c r="BW219" s="1442"/>
      <c r="BX219" s="1443"/>
      <c r="BY219" s="2548"/>
      <c r="BZ219" s="2546"/>
      <c r="CA219" s="2546"/>
      <c r="CB219" s="2546"/>
      <c r="CC219" s="2546"/>
      <c r="CD219" s="2546"/>
      <c r="CE219" s="2546"/>
      <c r="CF219" s="2546"/>
      <c r="CG219" s="2546"/>
      <c r="CH219" s="2546"/>
      <c r="CI219" s="2548"/>
      <c r="CJ219" s="2548"/>
      <c r="CK219" s="2548"/>
      <c r="CM219" s="2548"/>
      <c r="CN219" s="2548"/>
      <c r="CO219" s="2548"/>
      <c r="CP219" s="2548"/>
      <c r="CQ219" s="1175"/>
      <c r="CR219" s="1175"/>
      <c r="CS219" s="1175"/>
      <c r="CT219" s="1175"/>
      <c r="CU219" s="1175"/>
    </row>
    <row r="220" spans="1:99">
      <c r="A220" s="2545"/>
      <c r="B220" s="2545"/>
      <c r="C220" s="2545"/>
      <c r="D220" s="2545"/>
      <c r="E220" s="2545"/>
      <c r="F220" s="2546"/>
      <c r="G220" s="2545"/>
      <c r="H220" s="2545"/>
      <c r="I220" s="2545"/>
      <c r="J220" s="2545"/>
      <c r="K220" s="2546"/>
      <c r="L220" s="2545"/>
      <c r="M220" s="2545"/>
      <c r="N220" s="2545"/>
      <c r="O220" s="2545"/>
      <c r="P220" s="2546"/>
      <c r="Q220" s="2545"/>
      <c r="R220" s="2545"/>
      <c r="S220" s="2545"/>
      <c r="T220" s="2545"/>
      <c r="U220" s="2546"/>
      <c r="V220" s="2545"/>
      <c r="W220" s="2545"/>
      <c r="X220" s="2545"/>
      <c r="Y220" s="2545"/>
      <c r="Z220" s="2546"/>
      <c r="AA220" s="2545"/>
      <c r="AB220" s="2545"/>
      <c r="AC220" s="2545"/>
      <c r="AD220" s="2545"/>
      <c r="AE220" s="2546"/>
      <c r="AF220" s="2533"/>
      <c r="AG220" s="2545"/>
      <c r="AH220" s="2545"/>
      <c r="AI220" s="2545"/>
      <c r="AJ220" s="2546"/>
      <c r="AK220" s="2547"/>
      <c r="AL220" s="2545"/>
      <c r="AM220" s="2545"/>
      <c r="AN220" s="2545"/>
      <c r="AO220" s="2546"/>
      <c r="AP220" s="2547"/>
      <c r="AQ220" s="2547"/>
      <c r="AR220" s="2547"/>
      <c r="AS220" s="2547"/>
      <c r="AT220" s="2549"/>
      <c r="AU220" s="2547"/>
      <c r="AV220" s="2547"/>
      <c r="AW220" s="2547"/>
      <c r="AX220" s="2547"/>
      <c r="AY220" s="2549"/>
      <c r="AZ220" s="2547"/>
      <c r="BA220" s="2547"/>
      <c r="BB220" s="2545"/>
      <c r="BC220" s="2545"/>
      <c r="BD220" s="2546"/>
      <c r="BE220" s="2547"/>
      <c r="BF220" s="2545"/>
      <c r="BG220" s="2545"/>
      <c r="BH220" s="2545"/>
      <c r="BI220" s="2546"/>
      <c r="BJ220" s="2547"/>
      <c r="BK220" s="2545"/>
      <c r="BL220" s="2545"/>
      <c r="BM220" s="2545"/>
      <c r="BN220" s="2546"/>
      <c r="BO220" s="2547"/>
      <c r="BP220" s="2545"/>
      <c r="BQ220" s="2545"/>
      <c r="BR220" s="2545"/>
      <c r="BS220" s="2546"/>
      <c r="BT220" s="2547"/>
      <c r="BU220" s="2545"/>
      <c r="BV220" s="2545"/>
      <c r="BW220" s="2545"/>
      <c r="BX220" s="2546"/>
      <c r="BY220" s="2548"/>
      <c r="BZ220" s="2546"/>
      <c r="CA220" s="2546"/>
      <c r="CB220" s="2546"/>
      <c r="CC220" s="2546"/>
      <c r="CD220" s="2546"/>
      <c r="CE220" s="2546"/>
      <c r="CF220" s="2546"/>
      <c r="CG220" s="2546"/>
      <c r="CH220" s="2546"/>
      <c r="CI220" s="2548"/>
      <c r="CJ220" s="2548"/>
      <c r="CK220" s="2548"/>
      <c r="CM220" s="2548"/>
      <c r="CN220" s="2548"/>
      <c r="CO220" s="2548"/>
      <c r="CP220" s="2548"/>
      <c r="CQ220" s="1175"/>
      <c r="CR220" s="1175"/>
      <c r="CS220" s="1175"/>
      <c r="CT220" s="1175"/>
      <c r="CU220" s="1175"/>
    </row>
    <row r="221" spans="1:99" s="1021" customFormat="1">
      <c r="A221" s="1020" t="s">
        <v>986</v>
      </c>
      <c r="B221" s="1025"/>
      <c r="C221" s="1025"/>
      <c r="D221" s="1025"/>
      <c r="E221" s="1025"/>
      <c r="F221" s="1024"/>
      <c r="G221" s="1025"/>
      <c r="H221" s="1025"/>
      <c r="I221" s="1025"/>
      <c r="J221" s="1025"/>
      <c r="K221" s="1024"/>
      <c r="L221" s="1025"/>
      <c r="M221" s="1025"/>
      <c r="N221" s="1025"/>
      <c r="O221" s="1025"/>
      <c r="P221" s="1024"/>
      <c r="Q221" s="1025"/>
      <c r="R221" s="1025"/>
      <c r="S221" s="1025"/>
      <c r="T221" s="1025"/>
      <c r="U221" s="1024"/>
      <c r="V221" s="1025"/>
      <c r="W221" s="1025"/>
      <c r="X221" s="1025"/>
      <c r="Y221" s="1025"/>
      <c r="Z221" s="1024"/>
      <c r="AA221" s="1025"/>
      <c r="AB221" s="1025"/>
      <c r="AC221" s="1025"/>
      <c r="AD221" s="1025"/>
      <c r="AE221" s="1024"/>
      <c r="AF221" s="1025"/>
      <c r="AG221" s="1025"/>
      <c r="AH221" s="1025"/>
      <c r="AI221" s="1025"/>
      <c r="AJ221" s="1024"/>
      <c r="AK221" s="1025"/>
      <c r="AL221" s="1025"/>
      <c r="AM221" s="1025"/>
      <c r="AN221" s="1025">
        <f>30.3+5.8</f>
        <v>36.1</v>
      </c>
      <c r="AO221" s="1024"/>
      <c r="AP221" s="1025">
        <f>AP209+AP215</f>
        <v>52.2</v>
      </c>
      <c r="AQ221" s="1025">
        <f>AQ209+AQ215</f>
        <v>50.2</v>
      </c>
      <c r="AR221" s="1025">
        <f>AR209+AR215</f>
        <v>33.299999999999997</v>
      </c>
      <c r="AS221" s="1025">
        <f>AS209+AS215</f>
        <v>27.9</v>
      </c>
      <c r="AT221" s="1024">
        <f>SUM(AP221:AS221)</f>
        <v>163.6</v>
      </c>
      <c r="AU221" s="1025">
        <f>AU209+AU215</f>
        <v>31.3</v>
      </c>
      <c r="AV221" s="1025">
        <f>AV209+AV215</f>
        <v>27</v>
      </c>
      <c r="AW221" s="1025">
        <f>AW209+AW215</f>
        <v>18</v>
      </c>
      <c r="AX221" s="1025">
        <f>AX209+AX215</f>
        <v>12.999999999999996</v>
      </c>
      <c r="AY221" s="1024">
        <f>SUM(AU221:AX221)</f>
        <v>89.3</v>
      </c>
      <c r="AZ221" s="1025">
        <f>AZ209+AZ215</f>
        <v>9.76</v>
      </c>
      <c r="BA221" s="1025">
        <f>BA209+BA215</f>
        <v>6.660000000000001</v>
      </c>
      <c r="BB221" s="1025">
        <f>BB209+BB215</f>
        <v>0.22999999999999993</v>
      </c>
      <c r="BC221" s="1025">
        <f>BC209+BC215</f>
        <v>0.12</v>
      </c>
      <c r="BD221" s="1024">
        <f>SUM(AZ221:BC221)</f>
        <v>16.770000000000003</v>
      </c>
      <c r="BE221" s="1025"/>
      <c r="BF221" s="1025"/>
      <c r="BG221" s="1025"/>
      <c r="BH221" s="1025"/>
      <c r="BI221" s="1193"/>
      <c r="BJ221" s="1025"/>
      <c r="BK221" s="1025"/>
      <c r="BL221" s="1025"/>
      <c r="BM221" s="1025"/>
      <c r="BN221" s="1193"/>
      <c r="BO221" s="1025"/>
      <c r="BP221" s="1025"/>
      <c r="BQ221" s="1025"/>
      <c r="BR221" s="1025"/>
      <c r="BS221" s="1193"/>
      <c r="BT221" s="1025"/>
      <c r="BU221" s="1025"/>
      <c r="BV221" s="1025"/>
      <c r="BW221" s="1025"/>
      <c r="BX221" s="1193"/>
      <c r="BY221" s="1521"/>
      <c r="BZ221" s="1193"/>
      <c r="CA221" s="1193"/>
      <c r="CB221" s="1193"/>
      <c r="CC221" s="1193"/>
      <c r="CD221" s="1193"/>
      <c r="CE221" s="1193"/>
      <c r="CF221" s="1193"/>
      <c r="CG221" s="1193"/>
      <c r="CH221" s="1193"/>
    </row>
    <row r="222" spans="1:99" s="1022" customFormat="1">
      <c r="A222" s="1452" t="s">
        <v>926</v>
      </c>
      <c r="B222" s="1453"/>
      <c r="C222" s="1453"/>
      <c r="D222" s="1453"/>
      <c r="E222" s="1453"/>
      <c r="F222" s="1454"/>
      <c r="G222" s="1453"/>
      <c r="H222" s="1453"/>
      <c r="I222" s="1453"/>
      <c r="J222" s="1453"/>
      <c r="K222" s="1454"/>
      <c r="L222" s="1453"/>
      <c r="M222" s="1453"/>
      <c r="N222" s="1453"/>
      <c r="O222" s="1453"/>
      <c r="P222" s="1454"/>
      <c r="Q222" s="1453"/>
      <c r="R222" s="1453"/>
      <c r="S222" s="1453"/>
      <c r="T222" s="1453"/>
      <c r="U222" s="1454"/>
      <c r="V222" s="1453"/>
      <c r="W222" s="1453"/>
      <c r="X222" s="1453"/>
      <c r="Y222" s="1453"/>
      <c r="Z222" s="1454"/>
      <c r="AA222" s="1453"/>
      <c r="AB222" s="1453"/>
      <c r="AC222" s="1453"/>
      <c r="AD222" s="1453"/>
      <c r="AE222" s="1454"/>
      <c r="AF222" s="1446"/>
      <c r="AG222" s="1453"/>
      <c r="AH222" s="1453"/>
      <c r="AI222" s="1453"/>
      <c r="AJ222" s="1443"/>
      <c r="AK222" s="1442"/>
      <c r="AL222" s="1442"/>
      <c r="AM222" s="1442"/>
      <c r="AN222" s="1442"/>
      <c r="AO222" s="1443"/>
      <c r="AP222" s="1442" t="str">
        <f>IFERROR((AP221/AK221-1),"")</f>
        <v/>
      </c>
      <c r="AQ222" s="1442" t="str">
        <f>IFERROR((AQ221/AL221-1),"")</f>
        <v/>
      </c>
      <c r="AR222" s="1442" t="str">
        <f>IFERROR((AR221/AM221-1),"")</f>
        <v/>
      </c>
      <c r="AS222" s="1442">
        <f>AS221/AN221-1</f>
        <v>-0.22714681440443218</v>
      </c>
      <c r="AT222" s="1443" t="str">
        <f>IFERROR((AT221/AO221-1),"")</f>
        <v/>
      </c>
      <c r="AU222" s="1442">
        <f>AU221/AP221-1</f>
        <v>-0.40038314176245215</v>
      </c>
      <c r="AV222" s="1442">
        <f>AV221/AQ221-1</f>
        <v>-0.46215139442231079</v>
      </c>
      <c r="AW222" s="1442">
        <f>AW221/AR221-1</f>
        <v>-0.45945945945945943</v>
      </c>
      <c r="AX222" s="1442">
        <f>AX221/AS221-1</f>
        <v>-0.53405017921146958</v>
      </c>
      <c r="AY222" s="1443">
        <f>IFERROR((AY221/AT221-1),"")</f>
        <v>-0.45415647921760394</v>
      </c>
      <c r="AZ222" s="1442">
        <f>AZ221/AU221-1</f>
        <v>-0.6881789137380192</v>
      </c>
      <c r="BA222" s="1442">
        <f>BA221/AV221-1</f>
        <v>-0.7533333333333333</v>
      </c>
      <c r="BB222" s="1442">
        <f>BB221/AW221-1</f>
        <v>-0.98722222222222222</v>
      </c>
      <c r="BC222" s="1442">
        <f>BC221/AX221-1</f>
        <v>-0.99076923076923074</v>
      </c>
      <c r="BD222" s="1443">
        <f>IFERROR((BD221/AY221-1),"")</f>
        <v>-0.81220604703247479</v>
      </c>
      <c r="BE222" s="1442"/>
      <c r="BF222" s="1442"/>
      <c r="BG222" s="1442"/>
      <c r="BH222" s="1442"/>
      <c r="BI222" s="1443"/>
      <c r="BJ222" s="1442"/>
      <c r="BK222" s="1442"/>
      <c r="BL222" s="1442"/>
      <c r="BM222" s="1442"/>
      <c r="BN222" s="1443"/>
      <c r="BO222" s="1442"/>
      <c r="BP222" s="1442"/>
      <c r="BQ222" s="1442"/>
      <c r="BR222" s="1442"/>
      <c r="BS222" s="1443"/>
      <c r="BT222" s="1442"/>
      <c r="BU222" s="1442"/>
      <c r="BV222" s="1442"/>
      <c r="BW222" s="1442"/>
      <c r="BX222" s="1443"/>
      <c r="BY222" s="1438"/>
      <c r="BZ222" s="1443"/>
      <c r="CA222" s="1443"/>
      <c r="CB222" s="1443"/>
      <c r="CC222" s="1443"/>
      <c r="CD222" s="1443"/>
      <c r="CE222" s="1443"/>
      <c r="CF222" s="1443"/>
      <c r="CG222" s="1443"/>
      <c r="CH222" s="1443"/>
    </row>
    <row r="223" spans="1:99" s="1021" customFormat="1">
      <c r="A223" s="1020" t="s">
        <v>928</v>
      </c>
      <c r="B223" s="1025"/>
      <c r="C223" s="1025"/>
      <c r="D223" s="1025"/>
      <c r="E223" s="1025"/>
      <c r="F223" s="1024"/>
      <c r="G223" s="1025"/>
      <c r="H223" s="1025"/>
      <c r="I223" s="1025"/>
      <c r="J223" s="1025"/>
      <c r="K223" s="1024"/>
      <c r="L223" s="1025"/>
      <c r="M223" s="1025"/>
      <c r="N223" s="1025"/>
      <c r="O223" s="1025"/>
      <c r="P223" s="1024"/>
      <c r="Q223" s="1025"/>
      <c r="R223" s="1025"/>
      <c r="S223" s="1025"/>
      <c r="T223" s="1025"/>
      <c r="U223" s="1024"/>
      <c r="V223" s="1025"/>
      <c r="W223" s="1025"/>
      <c r="X223" s="1025"/>
      <c r="Y223" s="1025"/>
      <c r="Z223" s="1024"/>
      <c r="AA223" s="1025"/>
      <c r="AB223" s="1025"/>
      <c r="AC223" s="1025"/>
      <c r="AD223" s="1025"/>
      <c r="AE223" s="1024"/>
      <c r="AF223" s="1025"/>
      <c r="AG223" s="1025"/>
      <c r="AH223" s="1025"/>
      <c r="AI223" s="1025"/>
      <c r="AJ223" s="1024"/>
      <c r="AK223" s="1025"/>
      <c r="AL223" s="1025"/>
      <c r="AM223" s="1025"/>
      <c r="AN223" s="1025">
        <v>54.995383194829174</v>
      </c>
      <c r="AO223" s="1012"/>
      <c r="AP223" s="1025">
        <v>49.980842911877389</v>
      </c>
      <c r="AQ223" s="1025">
        <v>45.498007968127489</v>
      </c>
      <c r="AR223" s="1025">
        <v>41.951951951951955</v>
      </c>
      <c r="AS223" s="1025">
        <f>AN223*(1+AS224)</f>
        <v>44.229390681003586</v>
      </c>
      <c r="AT223" s="1024">
        <f>AT225/AT221</f>
        <v>45.990220048899758</v>
      </c>
      <c r="AU223" s="1025">
        <f>AP223*(1+AU224)</f>
        <v>29.457527156549521</v>
      </c>
      <c r="AV223" s="1025">
        <f>AQ223*(1+AV224)</f>
        <v>34.894444444444446</v>
      </c>
      <c r="AW223" s="1025">
        <f>AR223*(1+AW224)</f>
        <v>43.384611111111113</v>
      </c>
      <c r="AX223" s="1025">
        <f t="shared" ref="AX223:BD223" si="422">AX225/AX221</f>
        <v>27.203076923076928</v>
      </c>
      <c r="AY223" s="1024">
        <f t="shared" si="422"/>
        <v>33.580443449048154</v>
      </c>
      <c r="AZ223" s="1025">
        <f t="shared" si="422"/>
        <v>26.834016393442621</v>
      </c>
      <c r="BA223" s="1025">
        <f t="shared" si="422"/>
        <v>26.993243243243239</v>
      </c>
      <c r="BB223" s="1025">
        <f t="shared" si="422"/>
        <v>135</v>
      </c>
      <c r="BC223" s="1025">
        <f t="shared" si="422"/>
        <v>135</v>
      </c>
      <c r="BD223" s="1024">
        <f t="shared" si="422"/>
        <v>29.154740608228973</v>
      </c>
      <c r="BE223" s="1025"/>
      <c r="BF223" s="1025"/>
      <c r="BG223" s="1025"/>
      <c r="BH223" s="1025"/>
      <c r="BI223" s="1024"/>
      <c r="BJ223" s="1192"/>
      <c r="BK223" s="1192"/>
      <c r="BL223" s="1192"/>
      <c r="BM223" s="1192"/>
      <c r="BN223" s="1024"/>
      <c r="BO223" s="1192"/>
      <c r="BP223" s="1192"/>
      <c r="BQ223" s="1192"/>
      <c r="BR223" s="1192"/>
      <c r="BS223" s="1024"/>
      <c r="BT223" s="1192"/>
      <c r="BU223" s="1192"/>
      <c r="BV223" s="1192"/>
      <c r="BW223" s="1192"/>
      <c r="BX223" s="1024"/>
      <c r="BY223" s="1521"/>
      <c r="BZ223" s="1193"/>
      <c r="CA223" s="1193"/>
      <c r="CB223" s="1193"/>
      <c r="CC223" s="1193"/>
      <c r="CD223" s="1193"/>
      <c r="CE223" s="1193"/>
      <c r="CF223" s="1193"/>
      <c r="CG223" s="1193"/>
      <c r="CH223" s="1193"/>
    </row>
    <row r="224" spans="1:99" s="1022" customFormat="1">
      <c r="A224" s="1452" t="s">
        <v>926</v>
      </c>
      <c r="B224" s="1453"/>
      <c r="C224" s="1453"/>
      <c r="D224" s="1453"/>
      <c r="E224" s="1453"/>
      <c r="F224" s="1454"/>
      <c r="G224" s="1453"/>
      <c r="H224" s="1453"/>
      <c r="I224" s="1453"/>
      <c r="J224" s="1453"/>
      <c r="K224" s="1454"/>
      <c r="L224" s="1453"/>
      <c r="M224" s="1453"/>
      <c r="N224" s="1453"/>
      <c r="O224" s="1453"/>
      <c r="P224" s="1454"/>
      <c r="Q224" s="1453"/>
      <c r="R224" s="1453"/>
      <c r="S224" s="1453"/>
      <c r="T224" s="1453"/>
      <c r="U224" s="1454"/>
      <c r="V224" s="1453"/>
      <c r="W224" s="1453"/>
      <c r="X224" s="1453"/>
      <c r="Y224" s="1453"/>
      <c r="Z224" s="1454"/>
      <c r="AA224" s="1453"/>
      <c r="AB224" s="1453"/>
      <c r="AC224" s="1453"/>
      <c r="AD224" s="1453"/>
      <c r="AE224" s="1454"/>
      <c r="AF224" s="1446"/>
      <c r="AG224" s="1453"/>
      <c r="AH224" s="1453"/>
      <c r="AI224" s="1453"/>
      <c r="AJ224" s="1443"/>
      <c r="AK224" s="1442"/>
      <c r="AL224" s="1442"/>
      <c r="AM224" s="1442"/>
      <c r="AN224" s="1442"/>
      <c r="AO224" s="1443"/>
      <c r="AP224" s="1442"/>
      <c r="AQ224" s="1442" t="str">
        <f>IFERROR((AQ223/AL223-1),"")</f>
        <v/>
      </c>
      <c r="AR224" s="1442" t="str">
        <f>IFERROR((AR223/AM223-1),"")</f>
        <v/>
      </c>
      <c r="AS224" s="1442">
        <v>-0.19576175104891058</v>
      </c>
      <c r="AT224" s="1443" t="s">
        <v>834</v>
      </c>
      <c r="AU224" s="1442">
        <v>-0.41062364217252389</v>
      </c>
      <c r="AV224" s="1442">
        <v>-0.23305555555555546</v>
      </c>
      <c r="AW224" s="1442">
        <v>3.4149999999999903E-2</v>
      </c>
      <c r="AX224" s="1442">
        <f>AX223/AS223-1</f>
        <v>-0.38495474379753136</v>
      </c>
      <c r="AY224" s="1443">
        <f>IFERROR((AY223/AT223-1),"")</f>
        <v>-0.2698351211769966</v>
      </c>
      <c r="AZ224" s="1442">
        <f>AZ223/AU223-1</f>
        <v>-8.9060794178835057E-2</v>
      </c>
      <c r="BA224" s="1442">
        <f>BA223/AV223-1</f>
        <v>-0.2264314943824578</v>
      </c>
      <c r="BB224" s="1442">
        <f>BB223/AW223-1</f>
        <v>2.1117024341708466</v>
      </c>
      <c r="BC224" s="1442">
        <f>BC223/AX223-1</f>
        <v>3.9626739056667786</v>
      </c>
      <c r="BD224" s="1443">
        <f>IFERROR((BD223/AY223-1),"")</f>
        <v>-0.1317940558925117</v>
      </c>
      <c r="BE224" s="1455"/>
      <c r="BF224" s="1455"/>
      <c r="BG224" s="1455"/>
      <c r="BH224" s="1455"/>
      <c r="BI224" s="1443"/>
      <c r="BJ224" s="1455"/>
      <c r="BK224" s="1455"/>
      <c r="BL224" s="1455"/>
      <c r="BM224" s="1455"/>
      <c r="BN224" s="1443"/>
      <c r="BO224" s="1455"/>
      <c r="BP224" s="1455"/>
      <c r="BQ224" s="1455"/>
      <c r="BR224" s="1455"/>
      <c r="BS224" s="1443"/>
      <c r="BT224" s="1455"/>
      <c r="BU224" s="1455"/>
      <c r="BV224" s="1455"/>
      <c r="BW224" s="1455"/>
      <c r="BX224" s="1443"/>
      <c r="BY224" s="1438"/>
      <c r="BZ224" s="1443"/>
      <c r="CA224" s="1443"/>
      <c r="CB224" s="1443"/>
      <c r="CC224" s="1443"/>
      <c r="CD224" s="1443"/>
      <c r="CE224" s="1443"/>
      <c r="CF224" s="1443"/>
      <c r="CG224" s="1443"/>
      <c r="CH224" s="1443"/>
    </row>
    <row r="225" spans="1:89" s="1011" customFormat="1">
      <c r="A225" s="1013" t="s">
        <v>1155</v>
      </c>
      <c r="B225" s="1015"/>
      <c r="C225" s="1015"/>
      <c r="D225" s="1015"/>
      <c r="E225" s="1015"/>
      <c r="F225" s="1014"/>
      <c r="G225" s="1015"/>
      <c r="H225" s="1015"/>
      <c r="I225" s="1015"/>
      <c r="J225" s="1015"/>
      <c r="K225" s="1014"/>
      <c r="L225" s="1015"/>
      <c r="M225" s="1015"/>
      <c r="N225" s="1015"/>
      <c r="O225" s="1015"/>
      <c r="P225" s="1014"/>
      <c r="Q225" s="1015"/>
      <c r="R225" s="1015"/>
      <c r="S225" s="1015"/>
      <c r="T225" s="1015"/>
      <c r="U225" s="1014"/>
      <c r="V225" s="1015"/>
      <c r="W225" s="1015"/>
      <c r="X225" s="1015"/>
      <c r="Y225" s="1015"/>
      <c r="Z225" s="1014"/>
      <c r="AA225" s="1015"/>
      <c r="AB225" s="1015"/>
      <c r="AC225" s="1015"/>
      <c r="AD225" s="1015"/>
      <c r="AE225" s="1014"/>
      <c r="AF225" s="1015"/>
      <c r="AG225" s="1015"/>
      <c r="AH225" s="1015"/>
      <c r="AI225" s="1015"/>
      <c r="AJ225" s="1014"/>
      <c r="AK225" s="1015"/>
      <c r="AL225" s="1015"/>
      <c r="AM225" s="1015"/>
      <c r="AN225" s="1015">
        <v>1985.3333333333333</v>
      </c>
      <c r="AO225" s="1014">
        <f>SUM(AK225:AN225)</f>
        <v>1985.3333333333333</v>
      </c>
      <c r="AP225" s="1015">
        <v>2609</v>
      </c>
      <c r="AQ225" s="1015">
        <f>AQ223*AQ221</f>
        <v>2284</v>
      </c>
      <c r="AR225" s="1015">
        <f>AR223*AR221</f>
        <v>1397</v>
      </c>
      <c r="AS225" s="1015">
        <f>AS223*AS221</f>
        <v>1234</v>
      </c>
      <c r="AT225" s="1014">
        <f>SUM(AP225:AS225)</f>
        <v>7524</v>
      </c>
      <c r="AU225" s="1015">
        <f>AU223*AU221</f>
        <v>922.02060000000006</v>
      </c>
      <c r="AV225" s="1015">
        <f>AV223*AV221</f>
        <v>942.15000000000009</v>
      </c>
      <c r="AW225" s="1015">
        <f>AW223*AW221</f>
        <v>780.923</v>
      </c>
      <c r="AX225" s="1015">
        <f>AX212+AX218</f>
        <v>353.64</v>
      </c>
      <c r="AY225" s="1014">
        <f>SUM(AU225:AX225)</f>
        <v>2998.7336</v>
      </c>
      <c r="AZ225" s="1015">
        <f>AZ212+AZ218</f>
        <v>261.89999999999998</v>
      </c>
      <c r="BA225" s="1015">
        <f>BA212+BA218</f>
        <v>179.77500000000001</v>
      </c>
      <c r="BB225" s="1015">
        <f>BB212+BB218</f>
        <v>31.04999999999999</v>
      </c>
      <c r="BC225" s="1015">
        <f>BC212+BC218</f>
        <v>16.2</v>
      </c>
      <c r="BD225" s="1014">
        <f>SUM(AZ225:BC225)</f>
        <v>488.92499999999995</v>
      </c>
      <c r="BE225" s="1015"/>
      <c r="BF225" s="1015"/>
      <c r="BG225" s="1015"/>
      <c r="BH225" s="1015"/>
      <c r="BI225" s="1014"/>
      <c r="BJ225" s="1015"/>
      <c r="BK225" s="1015"/>
      <c r="BL225" s="1015"/>
      <c r="BM225" s="1015"/>
      <c r="BN225" s="1014"/>
      <c r="BO225" s="1015"/>
      <c r="BP225" s="1015"/>
      <c r="BQ225" s="1015"/>
      <c r="BR225" s="1015"/>
      <c r="BS225" s="1014"/>
      <c r="BT225" s="1015"/>
      <c r="BU225" s="1015"/>
      <c r="BV225" s="1015"/>
      <c r="BW225" s="1015"/>
      <c r="BX225" s="1014"/>
      <c r="BY225" s="1523"/>
      <c r="BZ225" s="1014"/>
      <c r="CA225" s="1014"/>
      <c r="CB225" s="1014">
        <f>SUM(AM225:AN225,AP225:AQ225)</f>
        <v>6878.333333333333</v>
      </c>
      <c r="CC225" s="1014">
        <f>SUM(AR225:AS225,AU225:AV225)</f>
        <v>4495.1705999999995</v>
      </c>
      <c r="CD225" s="1014">
        <f>SUM(AW225:AX225,AZ225:BA225)</f>
        <v>1576.2380000000003</v>
      </c>
      <c r="CE225" s="1014">
        <f>SUM(BB225:BC225,BE225:BF225)</f>
        <v>47.249999999999986</v>
      </c>
      <c r="CF225" s="1014">
        <f>SUM(BG225:BH225,BJ225:BK225)</f>
        <v>0</v>
      </c>
      <c r="CG225" s="1014">
        <f>SUM(BL225:BM225,BO225:BP225)</f>
        <v>0</v>
      </c>
      <c r="CH225" s="1014">
        <f>SUM(BQ225:BR225,BT225:BU225)</f>
        <v>0</v>
      </c>
    </row>
    <row r="226" spans="1:89" s="1022" customFormat="1">
      <c r="A226" s="1452" t="s">
        <v>926</v>
      </c>
      <c r="B226" s="1453"/>
      <c r="C226" s="1453"/>
      <c r="D226" s="1453"/>
      <c r="E226" s="1453"/>
      <c r="F226" s="1454"/>
      <c r="G226" s="1453"/>
      <c r="H226" s="1453"/>
      <c r="I226" s="1453"/>
      <c r="J226" s="1453"/>
      <c r="K226" s="1454"/>
      <c r="L226" s="1453"/>
      <c r="M226" s="1453"/>
      <c r="N226" s="1453"/>
      <c r="O226" s="1453"/>
      <c r="P226" s="1454"/>
      <c r="Q226" s="1453"/>
      <c r="R226" s="1453"/>
      <c r="S226" s="1453"/>
      <c r="T226" s="1453"/>
      <c r="U226" s="1454"/>
      <c r="V226" s="1453"/>
      <c r="W226" s="1453"/>
      <c r="X226" s="1453"/>
      <c r="Y226" s="1453"/>
      <c r="Z226" s="1454"/>
      <c r="AA226" s="1453"/>
      <c r="AB226" s="1453"/>
      <c r="AC226" s="1453"/>
      <c r="AD226" s="1453"/>
      <c r="AE226" s="1454"/>
      <c r="AF226" s="1446"/>
      <c r="AG226" s="1453"/>
      <c r="AH226" s="1453"/>
      <c r="AI226" s="1453"/>
      <c r="AJ226" s="1443"/>
      <c r="AK226" s="1442"/>
      <c r="AL226" s="1442"/>
      <c r="AM226" s="1442"/>
      <c r="AN226" s="1442"/>
      <c r="AO226" s="1443"/>
      <c r="AP226" s="1442"/>
      <c r="AQ226" s="1442"/>
      <c r="AR226" s="1442" t="str">
        <f t="shared" ref="AR226:BD226" si="423">IFERROR((AR225/AM225-1),"")</f>
        <v/>
      </c>
      <c r="AS226" s="1442">
        <f t="shared" si="423"/>
        <v>-0.37844190732034921</v>
      </c>
      <c r="AT226" s="1443">
        <f t="shared" si="423"/>
        <v>2.7897918065815985</v>
      </c>
      <c r="AU226" s="1442">
        <f t="shared" si="423"/>
        <v>-0.64659999999999995</v>
      </c>
      <c r="AV226" s="1442">
        <f t="shared" si="423"/>
        <v>-0.58749999999999991</v>
      </c>
      <c r="AW226" s="1442">
        <f t="shared" si="423"/>
        <v>-0.44099999999999995</v>
      </c>
      <c r="AX226" s="1442">
        <f t="shared" si="423"/>
        <v>-0.71341977309562399</v>
      </c>
      <c r="AY226" s="1443">
        <f t="shared" si="423"/>
        <v>-0.60144423179160023</v>
      </c>
      <c r="AZ226" s="1442">
        <f t="shared" si="423"/>
        <v>-0.71594994732221817</v>
      </c>
      <c r="BA226" s="1442">
        <f t="shared" si="423"/>
        <v>-0.8091864352810062</v>
      </c>
      <c r="BB226" s="1442">
        <f t="shared" si="423"/>
        <v>-0.96023935778559477</v>
      </c>
      <c r="BC226" s="1442">
        <f t="shared" si="423"/>
        <v>-0.95419070240922976</v>
      </c>
      <c r="BD226" s="1443">
        <f t="shared" si="423"/>
        <v>-0.8369561737661525</v>
      </c>
      <c r="BE226" s="1442"/>
      <c r="BF226" s="1442"/>
      <c r="BG226" s="1442"/>
      <c r="BH226" s="1442"/>
      <c r="BI226" s="1443"/>
      <c r="BJ226" s="1442"/>
      <c r="BK226" s="1442"/>
      <c r="BL226" s="1442"/>
      <c r="BM226" s="1442"/>
      <c r="BN226" s="1443"/>
      <c r="BO226" s="1442"/>
      <c r="BP226" s="1442"/>
      <c r="BQ226" s="1442"/>
      <c r="BR226" s="1442"/>
      <c r="BS226" s="1443"/>
      <c r="BT226" s="1442"/>
      <c r="BU226" s="1442"/>
      <c r="BV226" s="1442"/>
      <c r="BW226" s="1442"/>
      <c r="BX226" s="1443"/>
      <c r="BY226" s="1438"/>
      <c r="BZ226" s="1443"/>
      <c r="CA226" s="1443"/>
      <c r="CB226" s="1443"/>
      <c r="CC226" s="1443"/>
      <c r="CD226" s="1443"/>
      <c r="CE226" s="1443"/>
      <c r="CF226" s="1443"/>
      <c r="CG226" s="1443"/>
      <c r="CH226" s="1443"/>
    </row>
    <row r="227" spans="1:89">
      <c r="B227" s="1037"/>
      <c r="C227" s="1037"/>
      <c r="D227" s="1037"/>
      <c r="E227" s="1037"/>
      <c r="F227" s="1037"/>
      <c r="G227" s="1037"/>
      <c r="H227" s="1037"/>
      <c r="I227" s="1037"/>
      <c r="J227" s="1037"/>
      <c r="K227" s="1037"/>
      <c r="L227" s="1037"/>
      <c r="M227" s="1037"/>
      <c r="N227" s="1037"/>
      <c r="O227" s="1037"/>
      <c r="P227" s="1037"/>
      <c r="Q227" s="1037"/>
      <c r="R227" s="1037"/>
      <c r="S227" s="1037"/>
      <c r="T227" s="1037"/>
      <c r="U227" s="1037"/>
      <c r="V227" s="1037"/>
      <c r="W227" s="1037"/>
      <c r="X227" s="1037"/>
      <c r="Y227" s="1037"/>
      <c r="Z227" s="1037"/>
      <c r="AA227" s="1037"/>
      <c r="AB227" s="1037"/>
      <c r="AC227" s="1037"/>
      <c r="AD227" s="1037"/>
      <c r="AE227" s="1037"/>
      <c r="AF227" s="1037"/>
      <c r="AG227" s="1037"/>
      <c r="AH227" s="1037"/>
      <c r="AI227" s="1037"/>
      <c r="AJ227" s="1532"/>
      <c r="AK227" s="1037"/>
      <c r="AL227" s="1037"/>
      <c r="AM227" s="1037"/>
      <c r="AN227" s="1037"/>
      <c r="AO227" s="1532"/>
      <c r="AP227" s="1037"/>
      <c r="AQ227" s="1037"/>
      <c r="AR227" s="1037"/>
      <c r="AS227" s="1037"/>
      <c r="AT227" s="1532"/>
      <c r="AU227" s="1037"/>
      <c r="AV227" s="1037"/>
      <c r="AW227" s="1037"/>
      <c r="AX227" s="1037"/>
      <c r="AY227" s="1532"/>
      <c r="AZ227" s="1037"/>
      <c r="BA227" s="1037"/>
      <c r="BB227" s="1037"/>
      <c r="BC227" s="1037"/>
      <c r="BD227" s="1532"/>
      <c r="BE227" s="1037"/>
      <c r="BF227" s="1037"/>
      <c r="BG227" s="1037"/>
      <c r="BH227" s="1037"/>
      <c r="BI227" s="1532"/>
      <c r="BJ227" s="1037"/>
      <c r="BK227" s="1037"/>
      <c r="BL227" s="1037"/>
      <c r="BM227" s="1037"/>
      <c r="BN227" s="1532"/>
      <c r="BO227" s="1037"/>
      <c r="BP227" s="1037"/>
      <c r="BQ227" s="1037"/>
      <c r="BR227" s="1037"/>
      <c r="BS227" s="1532"/>
      <c r="BT227" s="1037"/>
      <c r="BU227" s="1037"/>
      <c r="BV227" s="1037"/>
      <c r="BW227" s="1037"/>
      <c r="BX227" s="1532"/>
      <c r="BY227" s="1343"/>
      <c r="BZ227" s="1532"/>
      <c r="CA227" s="1532"/>
      <c r="CB227" s="1532"/>
      <c r="CC227" s="1532"/>
      <c r="CD227" s="1532"/>
      <c r="CE227" s="1532"/>
      <c r="CF227" s="1532"/>
      <c r="CG227" s="1532"/>
      <c r="CH227" s="1532"/>
    </row>
    <row r="228" spans="1:89">
      <c r="B228" s="1037"/>
      <c r="C228" s="1037"/>
      <c r="D228" s="1037"/>
      <c r="E228" s="1037"/>
      <c r="F228" s="1037"/>
      <c r="G228" s="1037"/>
      <c r="H228" s="1037"/>
      <c r="I228" s="1037"/>
      <c r="J228" s="1037"/>
      <c r="K228" s="1037"/>
      <c r="L228" s="1037"/>
      <c r="M228" s="1037"/>
      <c r="N228" s="1037"/>
      <c r="O228" s="1037"/>
      <c r="P228" s="1037"/>
      <c r="Q228" s="1037"/>
      <c r="R228" s="1037"/>
      <c r="S228" s="1037"/>
      <c r="T228" s="1037"/>
      <c r="U228" s="1037"/>
      <c r="V228" s="1037"/>
      <c r="W228" s="1037"/>
      <c r="X228" s="1037"/>
      <c r="Y228" s="1037"/>
      <c r="Z228" s="1037"/>
      <c r="AA228" s="1037"/>
      <c r="AB228" s="1037"/>
      <c r="AC228" s="1037"/>
      <c r="AD228" s="1037"/>
      <c r="AE228" s="1037"/>
      <c r="AF228" s="1037"/>
      <c r="AG228" s="1037"/>
      <c r="AH228" s="1037"/>
      <c r="AI228" s="1037"/>
      <c r="AJ228" s="1532"/>
      <c r="AK228" s="1037"/>
      <c r="AL228" s="1037"/>
      <c r="AM228" s="1037"/>
      <c r="AN228" s="1037"/>
      <c r="AO228" s="1532"/>
      <c r="AP228" s="1037"/>
      <c r="AQ228" s="1037"/>
      <c r="AR228" s="1037"/>
      <c r="AS228" s="1037"/>
      <c r="AT228" s="1532"/>
      <c r="AU228" s="1037"/>
      <c r="AV228" s="1037"/>
      <c r="AW228" s="1037"/>
      <c r="AX228" s="1037"/>
      <c r="AY228" s="1532"/>
      <c r="AZ228" s="1037"/>
      <c r="BA228" s="1037"/>
      <c r="BB228" s="1037"/>
      <c r="BC228" s="1037"/>
      <c r="BD228" s="1532"/>
      <c r="BE228" s="1037"/>
      <c r="BF228" s="1037"/>
      <c r="BG228" s="1037"/>
      <c r="BH228" s="1037"/>
      <c r="BI228" s="1532"/>
      <c r="BJ228" s="1037"/>
      <c r="BK228" s="1037"/>
      <c r="BL228" s="1037"/>
      <c r="BM228" s="1037"/>
      <c r="BN228" s="1532"/>
      <c r="BO228" s="1037"/>
      <c r="BP228" s="1037"/>
      <c r="BQ228" s="1037"/>
      <c r="BR228" s="1037"/>
      <c r="BS228" s="1532"/>
      <c r="BT228" s="1037"/>
      <c r="BU228" s="1037"/>
      <c r="BV228" s="1037"/>
      <c r="BW228" s="1037"/>
      <c r="BX228" s="1532"/>
      <c r="BY228" s="1343"/>
      <c r="BZ228" s="1532"/>
      <c r="CA228" s="1532"/>
      <c r="CB228" s="1532"/>
      <c r="CC228" s="1532"/>
      <c r="CD228" s="1532"/>
      <c r="CE228" s="1532"/>
      <c r="CF228" s="1532"/>
      <c r="CG228" s="1532"/>
      <c r="CH228" s="1532"/>
    </row>
    <row r="229" spans="1:89" s="1039" customFormat="1">
      <c r="A229" s="1050" t="s">
        <v>970</v>
      </c>
      <c r="B229" s="1051"/>
      <c r="C229" s="1051"/>
      <c r="D229" s="1051"/>
      <c r="E229" s="1051"/>
      <c r="F229" s="1052"/>
      <c r="G229" s="1051"/>
      <c r="H229" s="1051"/>
      <c r="I229" s="1051"/>
      <c r="J229" s="1051"/>
      <c r="K229" s="1052"/>
      <c r="L229" s="1051"/>
      <c r="M229" s="1051"/>
      <c r="N229" s="1051"/>
      <c r="O229" s="1051"/>
      <c r="P229" s="1052"/>
      <c r="Q229" s="1051"/>
      <c r="R229" s="1051"/>
      <c r="S229" s="1051"/>
      <c r="T229" s="1051"/>
      <c r="U229" s="1052"/>
      <c r="V229" s="1051"/>
      <c r="W229" s="1051"/>
      <c r="X229" s="1051"/>
      <c r="Y229" s="1051"/>
      <c r="Z229" s="1052"/>
      <c r="AA229" s="1051"/>
      <c r="AB229" s="1051"/>
      <c r="AC229" s="1051"/>
      <c r="AD229" s="1051"/>
      <c r="AE229" s="1052"/>
      <c r="AF229" s="1053"/>
      <c r="AG229" s="1051"/>
      <c r="AH229" s="1051"/>
      <c r="AI229" s="1051"/>
      <c r="AJ229" s="1052"/>
      <c r="AK229" s="1054"/>
      <c r="AL229" s="1051"/>
      <c r="AM229" s="1051"/>
      <c r="AN229" s="1051"/>
      <c r="AO229" s="1052"/>
      <c r="AP229" s="1054"/>
      <c r="AQ229" s="1051"/>
      <c r="AR229" s="1051"/>
      <c r="AS229" s="1051"/>
      <c r="AT229" s="1052"/>
      <c r="AU229" s="1054"/>
      <c r="AV229" s="1051"/>
      <c r="AW229" s="1051"/>
      <c r="AX229" s="1051"/>
      <c r="AY229" s="1052"/>
      <c r="AZ229" s="1054"/>
      <c r="BA229" s="1051"/>
      <c r="BB229" s="1051"/>
      <c r="BC229" s="1051"/>
      <c r="BD229" s="1052"/>
      <c r="BE229" s="1054"/>
      <c r="BF229" s="1051"/>
      <c r="BG229" s="1051"/>
      <c r="BH229" s="1051"/>
      <c r="BI229" s="1052"/>
      <c r="BJ229" s="1054"/>
      <c r="BK229" s="1051"/>
      <c r="BL229" s="1051"/>
      <c r="BM229" s="1051"/>
      <c r="BN229" s="1052"/>
      <c r="BO229" s="1054"/>
      <c r="BP229" s="1051"/>
      <c r="BQ229" s="1051"/>
      <c r="BR229" s="1051"/>
      <c r="BS229" s="1052"/>
      <c r="BT229" s="1054"/>
      <c r="BU229" s="1051"/>
      <c r="BV229" s="1051"/>
      <c r="BW229" s="1051"/>
      <c r="BX229" s="1052"/>
      <c r="BY229" s="1343"/>
      <c r="BZ229" s="1052"/>
      <c r="CA229" s="1052"/>
      <c r="CB229" s="1052"/>
      <c r="CC229" s="1052"/>
      <c r="CD229" s="1052"/>
      <c r="CE229" s="1052"/>
      <c r="CF229" s="1052"/>
      <c r="CG229" s="1052"/>
      <c r="CH229" s="1052"/>
      <c r="CI229" s="986"/>
      <c r="CJ229" s="986"/>
      <c r="CK229" s="986"/>
    </row>
    <row r="230" spans="1:89">
      <c r="B230" s="1037">
        <v>38990</v>
      </c>
      <c r="C230" s="1037">
        <v>39082</v>
      </c>
      <c r="D230" s="1037">
        <v>39172</v>
      </c>
      <c r="E230" s="1037">
        <v>39263</v>
      </c>
      <c r="F230" s="1018" t="s">
        <v>142</v>
      </c>
      <c r="G230" s="1037">
        <v>39355</v>
      </c>
      <c r="H230" s="1037">
        <v>39447</v>
      </c>
      <c r="I230" s="1037">
        <v>39538</v>
      </c>
      <c r="J230" s="1037">
        <v>39607</v>
      </c>
      <c r="K230" s="1018" t="s">
        <v>830</v>
      </c>
      <c r="L230" s="1037">
        <v>39699</v>
      </c>
      <c r="M230" s="1037">
        <v>39790</v>
      </c>
      <c r="N230" s="1037">
        <v>39881</v>
      </c>
      <c r="O230" s="1037">
        <v>39973</v>
      </c>
      <c r="P230" s="1018" t="s">
        <v>311</v>
      </c>
      <c r="Q230" s="1037">
        <v>40065</v>
      </c>
      <c r="R230" s="1037" t="s">
        <v>837</v>
      </c>
      <c r="S230" s="1037" t="s">
        <v>546</v>
      </c>
      <c r="T230" s="1037" t="s">
        <v>591</v>
      </c>
      <c r="U230" s="1018" t="s">
        <v>592</v>
      </c>
      <c r="V230" s="1037" t="s">
        <v>679</v>
      </c>
      <c r="W230" s="1037" t="s">
        <v>208</v>
      </c>
      <c r="X230" s="1037" t="s">
        <v>470</v>
      </c>
      <c r="Y230" s="1037" t="s">
        <v>67</v>
      </c>
      <c r="Z230" s="1018" t="s">
        <v>68</v>
      </c>
      <c r="AA230" s="1037" t="s">
        <v>478</v>
      </c>
      <c r="AB230" s="1037" t="s">
        <v>184</v>
      </c>
      <c r="AC230" s="1037" t="s">
        <v>172</v>
      </c>
      <c r="AD230" s="1037" t="s">
        <v>179</v>
      </c>
      <c r="AE230" s="1018" t="s">
        <v>180</v>
      </c>
      <c r="AF230" s="1018" t="s">
        <v>159</v>
      </c>
      <c r="AG230" s="1018" t="s">
        <v>894</v>
      </c>
      <c r="AH230" s="1018" t="s">
        <v>464</v>
      </c>
      <c r="AI230" s="1018" t="s">
        <v>26</v>
      </c>
      <c r="AJ230" s="1102" t="s">
        <v>27</v>
      </c>
      <c r="AK230" s="1018" t="s">
        <v>758</v>
      </c>
      <c r="AL230" s="1018" t="s">
        <v>905</v>
      </c>
      <c r="AM230" s="1018" t="s">
        <v>984</v>
      </c>
      <c r="AN230" s="1018" t="s">
        <v>1005</v>
      </c>
      <c r="AO230" s="1534" t="s">
        <v>1006</v>
      </c>
      <c r="AP230" s="1018" t="s">
        <v>1016</v>
      </c>
      <c r="AQ230" s="1018" t="s">
        <v>1025</v>
      </c>
      <c r="AR230" s="1018" t="s">
        <v>1026</v>
      </c>
      <c r="AS230" s="1018" t="s">
        <v>1029</v>
      </c>
      <c r="AT230" s="1102" t="s">
        <v>1030</v>
      </c>
      <c r="AU230" s="1018" t="s">
        <v>1086</v>
      </c>
      <c r="AV230" s="1018" t="s">
        <v>1117</v>
      </c>
      <c r="AW230" s="1018" t="s">
        <v>1125</v>
      </c>
      <c r="AX230" s="1018" t="s">
        <v>1411</v>
      </c>
      <c r="AY230" s="1102" t="s">
        <v>1412</v>
      </c>
      <c r="AZ230" s="1018" t="s">
        <v>1413</v>
      </c>
      <c r="BA230" s="1018" t="s">
        <v>1421</v>
      </c>
      <c r="BB230" s="1018" t="s">
        <v>1435</v>
      </c>
      <c r="BC230" s="1018" t="s">
        <v>1442</v>
      </c>
      <c r="BD230" s="1102" t="s">
        <v>1443</v>
      </c>
      <c r="BE230" s="1018" t="s">
        <v>1466</v>
      </c>
      <c r="BF230" s="1018" t="s">
        <v>1469</v>
      </c>
      <c r="BG230" s="1018" t="s">
        <v>1481</v>
      </c>
      <c r="BH230" s="1018" t="s">
        <v>1019</v>
      </c>
      <c r="BI230" s="1102" t="s">
        <v>642</v>
      </c>
      <c r="BJ230" s="1018" t="s">
        <v>1136</v>
      </c>
      <c r="BK230" s="1018" t="s">
        <v>1137</v>
      </c>
      <c r="BL230" s="1018" t="s">
        <v>1138</v>
      </c>
      <c r="BM230" s="1018" t="s">
        <v>1139</v>
      </c>
      <c r="BN230" s="1102" t="s">
        <v>888</v>
      </c>
      <c r="BO230" s="1018" t="s">
        <v>1436</v>
      </c>
      <c r="BP230" s="1018" t="s">
        <v>1437</v>
      </c>
      <c r="BQ230" s="1018" t="s">
        <v>1438</v>
      </c>
      <c r="BR230" s="1018" t="s">
        <v>1439</v>
      </c>
      <c r="BS230" s="1102" t="s">
        <v>889</v>
      </c>
      <c r="BT230" s="1018" t="s">
        <v>1473</v>
      </c>
      <c r="BU230" s="1018" t="s">
        <v>1474</v>
      </c>
      <c r="BV230" s="1018" t="s">
        <v>1475</v>
      </c>
      <c r="BW230" s="1018" t="s">
        <v>1476</v>
      </c>
      <c r="BX230" s="1102" t="s">
        <v>472</v>
      </c>
      <c r="BY230" s="1343"/>
      <c r="BZ230" s="1102"/>
      <c r="CA230" s="1102"/>
      <c r="CB230" s="1102"/>
      <c r="CC230" s="1102"/>
      <c r="CD230" s="1102"/>
      <c r="CE230" s="1102"/>
      <c r="CF230" s="1102"/>
      <c r="CG230" s="1102"/>
      <c r="CH230" s="1102"/>
    </row>
    <row r="231" spans="1:89" s="1089" customFormat="1">
      <c r="A231" s="1028" t="s">
        <v>971</v>
      </c>
      <c r="B231" s="1083"/>
      <c r="C231" s="1083"/>
      <c r="D231" s="1083"/>
      <c r="E231" s="1083"/>
      <c r="F231" s="1084"/>
      <c r="G231" s="1083"/>
      <c r="H231" s="1083"/>
      <c r="I231" s="1083"/>
      <c r="J231" s="1083"/>
      <c r="K231" s="1084"/>
      <c r="L231" s="1083"/>
      <c r="M231" s="1083"/>
      <c r="N231" s="1083"/>
      <c r="O231" s="1083"/>
      <c r="P231" s="1084"/>
      <c r="Q231" s="1083"/>
      <c r="R231" s="1083"/>
      <c r="S231" s="1083"/>
      <c r="T231" s="1083"/>
      <c r="U231" s="1084"/>
      <c r="V231" s="1083"/>
      <c r="W231" s="1083"/>
      <c r="X231" s="1083"/>
      <c r="Y231" s="1083"/>
      <c r="Z231" s="1084"/>
      <c r="AA231" s="1083"/>
      <c r="AB231" s="1083"/>
      <c r="AC231" s="1083"/>
      <c r="AD231" s="1083"/>
      <c r="AE231" s="1088">
        <f>AE255+Z255+U255+P255+K255+F255</f>
        <v>96.039542483660128</v>
      </c>
      <c r="AF231" s="1087">
        <f>'Rev Detail - OLD'!AF231</f>
        <v>119.5</v>
      </c>
      <c r="AG231" s="1087">
        <f>'Rev Detail - OLD'!AG231</f>
        <v>119.7198202614379</v>
      </c>
      <c r="AH231" s="1087">
        <f>'Rev Detail - OLD'!AH231</f>
        <v>119.7198202614379</v>
      </c>
      <c r="AI231" s="1087">
        <f>'Rev Detail - OLD'!AI231</f>
        <v>119.7198202614379</v>
      </c>
      <c r="AJ231" s="1088">
        <f>AI231</f>
        <v>119.7198202614379</v>
      </c>
      <c r="AK231" s="1087">
        <f>'Rev Detail - OLD'!AK231</f>
        <v>120.26215359477123</v>
      </c>
      <c r="AL231" s="1087">
        <f>'Rev Detail - OLD'!AL231</f>
        <v>115.75516470588234</v>
      </c>
      <c r="AM231" s="1087">
        <f>'Rev Detail - OLD'!AM231</f>
        <v>110.57009803921568</v>
      </c>
      <c r="AN231" s="1087">
        <f>'Rev Detail - OLD'!AN231</f>
        <v>105.39884803921568</v>
      </c>
      <c r="AO231" s="1088">
        <f>AN231</f>
        <v>105.39884803921568</v>
      </c>
      <c r="AP231" s="1087">
        <f>'Rev Detail - OLD'!AP231</f>
        <v>118.54924248366014</v>
      </c>
      <c r="AQ231" s="1087">
        <f>'Rev Detail - OLD'!AQ231</f>
        <v>113.49775637254902</v>
      </c>
      <c r="AR231" s="1087">
        <f>'Rev Detail - OLD'!AR231</f>
        <v>109.05207859477125</v>
      </c>
      <c r="AS231" s="1087">
        <f>'Rev Detail - OLD'!AS231</f>
        <v>105.56041748366013</v>
      </c>
      <c r="AT231" s="1088">
        <f>AS231</f>
        <v>105.56041748366013</v>
      </c>
      <c r="AU231" s="1087">
        <f>'Rev Detail - OLD'!AU231</f>
        <v>115.06293640849674</v>
      </c>
      <c r="AV231" s="1087">
        <f>'Rev Detail - OLD'!AV231</f>
        <v>109.48511150571896</v>
      </c>
      <c r="AW231" s="1087">
        <f>'Rev Detail - OLD'!AW231</f>
        <v>107.3247831862745</v>
      </c>
      <c r="AX231" s="1087">
        <f>'Rev Detail - OLD'!AX231</f>
        <v>102.76237124183007</v>
      </c>
      <c r="AY231" s="1088">
        <f>AX231</f>
        <v>102.76237124183007</v>
      </c>
      <c r="AZ231" s="1087">
        <f>'Rev Detail - OLD'!AZ231</f>
        <v>106.01292773763888</v>
      </c>
      <c r="BA231" s="1087">
        <f>'Rev Detail - OLD'!BA231</f>
        <v>98.295275692777764</v>
      </c>
      <c r="BB231" s="1087">
        <f>'Rev Detail - OLD'!BB231</f>
        <v>93.139289693749987</v>
      </c>
      <c r="BC231" s="1087">
        <f>'Rev Detail - OLD'!BC231</f>
        <v>89.062657048611101</v>
      </c>
      <c r="BD231" s="1088">
        <f>BC231</f>
        <v>89.062657048611101</v>
      </c>
      <c r="BE231" s="1087">
        <f>BC231+BE255-'Rev Detail - OLD'!AA255</f>
        <v>85.513501493055543</v>
      </c>
      <c r="BF231" s="1087">
        <f>BE231+BF255-'Rev Detail - OLD'!AB255</f>
        <v>81.181140381944431</v>
      </c>
      <c r="BG231" s="1087">
        <f>BF231+BG255-'Rev Detail - OLD'!AC255</f>
        <v>77.617473715277754</v>
      </c>
      <c r="BH231" s="1087">
        <f>BF231+BH255-'Rev Detail - OLD'!AD255</f>
        <v>78.536695937499985</v>
      </c>
      <c r="BI231" s="1088">
        <f>BH231</f>
        <v>78.536695937499985</v>
      </c>
      <c r="BJ231" s="1087">
        <f>BH231+BJ255-'Rev Detail - OLD'!AF255</f>
        <v>74.348491493055533</v>
      </c>
      <c r="BK231" s="1087">
        <f>BI231+BK255-'Rev Detail - OLD'!AG255</f>
        <v>73.748338298611088</v>
      </c>
      <c r="BL231" s="1087">
        <f>BJ231+BL255-'Rev Detail - OLD'!AH255</f>
        <v>71.807249826388869</v>
      </c>
      <c r="BM231" s="1087">
        <f>BK231+BM255-'Rev Detail - OLD'!AI255</f>
        <v>72.464449409722206</v>
      </c>
      <c r="BN231" s="1088">
        <f>BM231</f>
        <v>72.464449409722206</v>
      </c>
      <c r="BO231" s="1087">
        <f>BM231+BO255-'Rev Detail - OLD'!AK255</f>
        <v>69.396031187499972</v>
      </c>
      <c r="BP231" s="1087">
        <f>BN231+BP255-'Rev Detail - OLD'!AL255</f>
        <v>68.964320416666652</v>
      </c>
      <c r="BQ231" s="1087">
        <f>BO231+BQ255-'Rev Detail - OLD'!AM255</f>
        <v>65.890975770833307</v>
      </c>
      <c r="BR231" s="1087">
        <f>BP231+BR255-'Rev Detail - OLD'!AN255</f>
        <v>66.428014861111095</v>
      </c>
      <c r="BS231" s="1088">
        <f>BR231</f>
        <v>66.428014861111095</v>
      </c>
      <c r="BT231" s="1087">
        <f>BR231+BT255-'Rev Detail - OLD'!AP255</f>
        <v>63.30516704999998</v>
      </c>
      <c r="BU231" s="1087">
        <f>BS231+BU255-'Rev Detail - OLD'!AQ255</f>
        <v>63.901392608506924</v>
      </c>
      <c r="BV231" s="1087">
        <f>BT231+BV255-'Rev Detail - OLD'!AR255</f>
        <v>61.625117164583308</v>
      </c>
      <c r="BW231" s="1087">
        <f>BU231+BW255-'Rev Detail - OLD'!AS255</f>
        <v>62.998857886284696</v>
      </c>
      <c r="BX231" s="1088">
        <f>BW231</f>
        <v>62.998857886284696</v>
      </c>
      <c r="BY231" s="1528"/>
      <c r="BZ231" s="1088"/>
      <c r="CA231" s="1088"/>
      <c r="CB231" s="1088"/>
      <c r="CC231" s="1088"/>
      <c r="CD231" s="1088"/>
      <c r="CE231" s="1088"/>
      <c r="CF231" s="1088"/>
      <c r="CG231" s="1088"/>
      <c r="CH231" s="1088"/>
    </row>
    <row r="232" spans="1:89" s="1042" customFormat="1">
      <c r="A232" s="1077" t="s">
        <v>934</v>
      </c>
      <c r="B232" s="1071"/>
      <c r="C232" s="1071"/>
      <c r="D232" s="1071"/>
      <c r="E232" s="1071"/>
      <c r="F232" s="1078"/>
      <c r="G232" s="1071"/>
      <c r="H232" s="1071"/>
      <c r="I232" s="1071"/>
      <c r="J232" s="1071"/>
      <c r="K232" s="1078"/>
      <c r="L232" s="1071"/>
      <c r="M232" s="1071"/>
      <c r="N232" s="1071"/>
      <c r="O232" s="1071"/>
      <c r="P232" s="1078"/>
      <c r="Q232" s="1071"/>
      <c r="R232" s="1071"/>
      <c r="S232" s="1071"/>
      <c r="T232" s="1071"/>
      <c r="U232" s="1078"/>
      <c r="V232" s="1071"/>
      <c r="W232" s="1071"/>
      <c r="X232" s="1071"/>
      <c r="Y232" s="1071"/>
      <c r="Z232" s="1078"/>
      <c r="AA232" s="1071"/>
      <c r="AB232" s="1071"/>
      <c r="AC232" s="1071"/>
      <c r="AD232" s="1071"/>
      <c r="AE232" s="1078">
        <f t="shared" ref="AE232:BS232" si="424">AE231/AE236</f>
        <v>0.98765934136103484</v>
      </c>
      <c r="AF232" s="1071">
        <f t="shared" si="424"/>
        <v>0.98760330578512401</v>
      </c>
      <c r="AG232" s="1071">
        <f t="shared" si="424"/>
        <v>0.98559312925438192</v>
      </c>
      <c r="AH232" s="1071">
        <f t="shared" si="424"/>
        <v>0.98356882226983022</v>
      </c>
      <c r="AI232" s="1071">
        <f t="shared" si="424"/>
        <v>0.98195535397540412</v>
      </c>
      <c r="AJ232" s="1078">
        <f t="shared" si="424"/>
        <v>0.98195535397540412</v>
      </c>
      <c r="AK232" s="1071">
        <f t="shared" si="424"/>
        <v>0.98043406275150946</v>
      </c>
      <c r="AL232" s="1071">
        <f t="shared" si="424"/>
        <v>0.97065116627332648</v>
      </c>
      <c r="AM232" s="1071">
        <f t="shared" si="424"/>
        <v>0.96172917936888958</v>
      </c>
      <c r="AN232" s="1071">
        <f t="shared" si="424"/>
        <v>0.94954902596807556</v>
      </c>
      <c r="AO232" s="1078">
        <f t="shared" si="424"/>
        <v>0.94954902596807556</v>
      </c>
      <c r="AP232" s="1071">
        <f t="shared" si="424"/>
        <v>0.94386908821590088</v>
      </c>
      <c r="AQ232" s="1071">
        <f t="shared" si="424"/>
        <v>0.9250190038351972</v>
      </c>
      <c r="AR232" s="1071">
        <f t="shared" si="424"/>
        <v>0.89790211790962426</v>
      </c>
      <c r="AS232" s="1071">
        <f t="shared" si="424"/>
        <v>0.87413094193669305</v>
      </c>
      <c r="AT232" s="1078">
        <f t="shared" si="424"/>
        <v>0.87413094193669305</v>
      </c>
      <c r="AU232" s="1071">
        <f t="shared" si="424"/>
        <v>0.86342789307740653</v>
      </c>
      <c r="AV232" s="1071">
        <f t="shared" si="424"/>
        <v>0.84164213904606322</v>
      </c>
      <c r="AW232" s="1071">
        <f t="shared" si="424"/>
        <v>0.82860422960080671</v>
      </c>
      <c r="AX232" s="1071">
        <f t="shared" si="424"/>
        <v>0.81646619420814814</v>
      </c>
      <c r="AY232" s="1078">
        <f t="shared" si="424"/>
        <v>0.81646619420814814</v>
      </c>
      <c r="AZ232" s="1071">
        <f>AZ231/AZ236</f>
        <v>0.8154029724764672</v>
      </c>
      <c r="BA232" s="1071">
        <f t="shared" si="424"/>
        <v>0.7978818598361257</v>
      </c>
      <c r="BB232" s="1071">
        <f t="shared" si="424"/>
        <v>0.78045788551922202</v>
      </c>
      <c r="BC232" s="1071">
        <f t="shared" si="424"/>
        <v>0.7673670353015315</v>
      </c>
      <c r="BD232" s="1078">
        <f t="shared" si="424"/>
        <v>0.7673670353015315</v>
      </c>
      <c r="BE232" s="1071">
        <f t="shared" si="424"/>
        <v>0.75333330721268454</v>
      </c>
      <c r="BF232" s="1071">
        <f t="shared" ref="BF232:BG232" si="425">BF231/BF236</f>
        <v>0.7354620553931478</v>
      </c>
      <c r="BG232" s="1071">
        <f t="shared" si="425"/>
        <v>0.71723605301941185</v>
      </c>
      <c r="BH232" s="1071">
        <f t="shared" si="424"/>
        <v>0.71308382069194942</v>
      </c>
      <c r="BI232" s="1078">
        <f t="shared" si="424"/>
        <v>0.71308382069194942</v>
      </c>
      <c r="BJ232" s="1071">
        <f t="shared" si="424"/>
        <v>0.69518036631571556</v>
      </c>
      <c r="BK232" s="1071">
        <f t="shared" si="424"/>
        <v>0.68700027841572353</v>
      </c>
      <c r="BL232" s="1071">
        <f t="shared" si="424"/>
        <v>0.67483418604980017</v>
      </c>
      <c r="BM232" s="1071">
        <f t="shared" si="424"/>
        <v>0.67056696078629929</v>
      </c>
      <c r="BN232" s="1078">
        <f t="shared" si="424"/>
        <v>0.67056696078629929</v>
      </c>
      <c r="BO232" s="1071">
        <f t="shared" si="424"/>
        <v>0.65532230442732131</v>
      </c>
      <c r="BP232" s="1071">
        <f t="shared" si="424"/>
        <v>0.64837832974919629</v>
      </c>
      <c r="BQ232" s="1071">
        <f t="shared" si="424"/>
        <v>0.63240578450632479</v>
      </c>
      <c r="BR232" s="1071">
        <f t="shared" si="424"/>
        <v>0.62888633236605307</v>
      </c>
      <c r="BS232" s="1078">
        <f t="shared" si="424"/>
        <v>0.62888633236605307</v>
      </c>
      <c r="BT232" s="1071">
        <f t="shared" ref="BT232:BX232" si="426">BT231/BT236</f>
        <v>0.61279768338557661</v>
      </c>
      <c r="BU232" s="1071">
        <f t="shared" si="426"/>
        <v>0.61032036935213585</v>
      </c>
      <c r="BV232" s="1071">
        <f t="shared" si="426"/>
        <v>0.5969973089623869</v>
      </c>
      <c r="BW232" s="1071">
        <f t="shared" si="426"/>
        <v>0.59771860103317687</v>
      </c>
      <c r="BX232" s="1078">
        <f t="shared" si="426"/>
        <v>0.59771860103317687</v>
      </c>
      <c r="BY232" s="1529"/>
      <c r="BZ232" s="1078"/>
      <c r="CA232" s="1078"/>
      <c r="CB232" s="1078"/>
      <c r="CC232" s="1078"/>
      <c r="CD232" s="1078"/>
      <c r="CE232" s="1078"/>
      <c r="CF232" s="1078"/>
      <c r="CG232" s="1078"/>
      <c r="CH232" s="1078"/>
    </row>
    <row r="233" spans="1:89" s="1089" customFormat="1">
      <c r="A233" s="1028" t="s">
        <v>933</v>
      </c>
      <c r="B233" s="1083"/>
      <c r="C233" s="1083"/>
      <c r="D233" s="1083"/>
      <c r="E233" s="1083"/>
      <c r="F233" s="1084"/>
      <c r="G233" s="1083"/>
      <c r="H233" s="1083"/>
      <c r="I233" s="1083"/>
      <c r="J233" s="1083"/>
      <c r="K233" s="1084"/>
      <c r="L233" s="1083"/>
      <c r="M233" s="1083"/>
      <c r="N233" s="1083"/>
      <c r="O233" s="1083"/>
      <c r="P233" s="1084"/>
      <c r="Q233" s="1083"/>
      <c r="R233" s="1083"/>
      <c r="S233" s="1083"/>
      <c r="T233" s="1083"/>
      <c r="U233" s="1084"/>
      <c r="V233" s="1083"/>
      <c r="W233" s="1083"/>
      <c r="X233" s="1083"/>
      <c r="Y233" s="1083"/>
      <c r="Z233" s="1084"/>
      <c r="AA233" s="1083"/>
      <c r="AB233" s="1083"/>
      <c r="AC233" s="1083"/>
      <c r="AD233" s="1083"/>
      <c r="AE233" s="1085">
        <v>1.2</v>
      </c>
      <c r="AF233" s="1086">
        <v>1.5</v>
      </c>
      <c r="AG233" s="1086">
        <v>1.75</v>
      </c>
      <c r="AH233" s="1086">
        <v>2</v>
      </c>
      <c r="AI233" s="1087">
        <f>AJ233</f>
        <v>2.2000000000000002</v>
      </c>
      <c r="AJ233" s="1088">
        <v>2.2000000000000002</v>
      </c>
      <c r="AK233" s="1087">
        <v>2.4</v>
      </c>
      <c r="AL233" s="1087">
        <v>3.5</v>
      </c>
      <c r="AM233" s="1087">
        <v>4.4000000000000004</v>
      </c>
      <c r="AN233" s="1087">
        <f>AM233+AN234</f>
        <v>5.6</v>
      </c>
      <c r="AO233" s="1088">
        <f>AN233</f>
        <v>5.6</v>
      </c>
      <c r="AP233" s="1087">
        <v>7.05</v>
      </c>
      <c r="AQ233" s="1087">
        <v>9.1999999999999993</v>
      </c>
      <c r="AR233" s="1087">
        <f>AQ233+AR234</f>
        <v>12.4</v>
      </c>
      <c r="AS233" s="1087">
        <f>AR233+AS234</f>
        <v>15.2</v>
      </c>
      <c r="AT233" s="1088">
        <f>AS233</f>
        <v>15.2</v>
      </c>
      <c r="AU233" s="1087">
        <f>AT233+AU234</f>
        <v>18.2</v>
      </c>
      <c r="AV233" s="1087">
        <f>AU233+AV234</f>
        <v>20.599999999999998</v>
      </c>
      <c r="AW233" s="1087">
        <f>AV233+AW234</f>
        <v>22.2</v>
      </c>
      <c r="AX233" s="1087">
        <f>AW233+AX234</f>
        <v>23.099999999999998</v>
      </c>
      <c r="AY233" s="1088">
        <f>AX233</f>
        <v>23.099999999999998</v>
      </c>
      <c r="AZ233" s="1087">
        <f>AY233+AZ234</f>
        <v>23.999999999999996</v>
      </c>
      <c r="BA233" s="1087">
        <f>AZ233+BA234</f>
        <v>24.899999999999995</v>
      </c>
      <c r="BB233" s="1087">
        <f>BA233+BB234</f>
        <v>26.199999999999996</v>
      </c>
      <c r="BC233" s="1087">
        <f>BB233+BC234</f>
        <v>26.999999999999996</v>
      </c>
      <c r="BD233" s="1088">
        <f>BC233</f>
        <v>26.999999999999996</v>
      </c>
      <c r="BE233" s="1087">
        <f>BD233+BE234</f>
        <v>27.999999999999996</v>
      </c>
      <c r="BF233" s="1087">
        <f>BE233+BF234</f>
        <v>29.199999999999996</v>
      </c>
      <c r="BG233" s="1087">
        <f>BF233+BG234</f>
        <v>30.599999999999994</v>
      </c>
      <c r="BH233" s="1087">
        <f>BG233+BH234</f>
        <v>31.599999999999994</v>
      </c>
      <c r="BI233" s="1088">
        <f>BH233</f>
        <v>31.599999999999994</v>
      </c>
      <c r="BJ233" s="1087">
        <f>BI233+BJ234</f>
        <v>32.599999999999994</v>
      </c>
      <c r="BK233" s="1087">
        <f>BJ233+BK234</f>
        <v>33.599999999999994</v>
      </c>
      <c r="BL233" s="1087">
        <f>BK233+BL234</f>
        <v>34.599999999999994</v>
      </c>
      <c r="BM233" s="1087">
        <f>BL233+BM234</f>
        <v>35.599999999999994</v>
      </c>
      <c r="BN233" s="1088">
        <f>BM233</f>
        <v>35.599999999999994</v>
      </c>
      <c r="BO233" s="1087">
        <f>BN233+BO234</f>
        <v>36.499999999999993</v>
      </c>
      <c r="BP233" s="1087">
        <f>BO233+BP234</f>
        <v>37.399999999999991</v>
      </c>
      <c r="BQ233" s="1087">
        <f>BP233+BQ234</f>
        <v>38.29999999999999</v>
      </c>
      <c r="BR233" s="1087">
        <f>BQ233+BR234</f>
        <v>39.199999999999989</v>
      </c>
      <c r="BS233" s="1088">
        <f>BR233</f>
        <v>39.199999999999989</v>
      </c>
      <c r="BT233" s="1087">
        <f>BS233+BT234</f>
        <v>39.999999999999986</v>
      </c>
      <c r="BU233" s="1087">
        <f>BT233+BU234</f>
        <v>40.799999999999983</v>
      </c>
      <c r="BV233" s="1087">
        <f>BU233+BV234</f>
        <v>41.59999999999998</v>
      </c>
      <c r="BW233" s="1087">
        <f>BV233+BW234</f>
        <v>42.399999999999977</v>
      </c>
      <c r="BX233" s="1088">
        <f>BW233</f>
        <v>42.399999999999977</v>
      </c>
      <c r="BY233" s="1528"/>
      <c r="BZ233" s="1088"/>
      <c r="CA233" s="1088"/>
      <c r="CB233" s="1088"/>
      <c r="CC233" s="1088"/>
      <c r="CD233" s="1088"/>
      <c r="CE233" s="1088"/>
      <c r="CF233" s="1088"/>
      <c r="CG233" s="1088"/>
      <c r="CH233" s="1088"/>
    </row>
    <row r="234" spans="1:89" s="1039" customFormat="1">
      <c r="A234" s="1077" t="s">
        <v>958</v>
      </c>
      <c r="B234" s="1073"/>
      <c r="C234" s="1073"/>
      <c r="D234" s="1073"/>
      <c r="E234" s="1073"/>
      <c r="F234" s="1074"/>
      <c r="G234" s="1073"/>
      <c r="H234" s="1073"/>
      <c r="I234" s="1073"/>
      <c r="J234" s="1073"/>
      <c r="K234" s="1074"/>
      <c r="L234" s="1073"/>
      <c r="M234" s="1073"/>
      <c r="N234" s="1073"/>
      <c r="O234" s="1073"/>
      <c r="P234" s="1074"/>
      <c r="Q234" s="1073"/>
      <c r="R234" s="1073"/>
      <c r="S234" s="1073"/>
      <c r="T234" s="1073"/>
      <c r="U234" s="1074"/>
      <c r="V234" s="1073"/>
      <c r="W234" s="1073"/>
      <c r="X234" s="1073"/>
      <c r="Y234" s="1073"/>
      <c r="Z234" s="1074"/>
      <c r="AA234" s="1073"/>
      <c r="AB234" s="1073"/>
      <c r="AC234" s="1073"/>
      <c r="AD234" s="1100"/>
      <c r="AE234" s="1082">
        <v>1.1000000000000001</v>
      </c>
      <c r="AF234" s="1076">
        <f>AF233-AE233</f>
        <v>0.30000000000000004</v>
      </c>
      <c r="AG234" s="1076">
        <f>AG233-AF233</f>
        <v>0.25</v>
      </c>
      <c r="AH234" s="1076">
        <f>AH233-AG233</f>
        <v>0.25</v>
      </c>
      <c r="AI234" s="1076">
        <f>AI233-AH233</f>
        <v>0.20000000000000018</v>
      </c>
      <c r="AJ234" s="1075">
        <f>AJ233-AE233</f>
        <v>1.0000000000000002</v>
      </c>
      <c r="AK234" s="1076">
        <f>AK233-AI233</f>
        <v>0.19999999999999973</v>
      </c>
      <c r="AL234" s="1076">
        <f>AL233-AK233</f>
        <v>1.1000000000000001</v>
      </c>
      <c r="AM234" s="1076">
        <f>AM233-AL233</f>
        <v>0.90000000000000036</v>
      </c>
      <c r="AN234" s="1076">
        <f>5.6-AM233</f>
        <v>1.1999999999999993</v>
      </c>
      <c r="AO234" s="1075">
        <f>SUM(AK234:AN234)</f>
        <v>3.3999999999999995</v>
      </c>
      <c r="AP234" s="1076">
        <f>AP233-AN233</f>
        <v>1.4500000000000002</v>
      </c>
      <c r="AQ234" s="1076">
        <f>AQ233-AP233</f>
        <v>2.1499999999999995</v>
      </c>
      <c r="AR234" s="1076">
        <f>12.4-AQ233</f>
        <v>3.2000000000000011</v>
      </c>
      <c r="AS234" s="1076">
        <v>2.8</v>
      </c>
      <c r="AT234" s="1075">
        <f>SUM(AP234:AS234)</f>
        <v>9.6000000000000014</v>
      </c>
      <c r="AU234" s="1076">
        <v>3</v>
      </c>
      <c r="AV234" s="1076">
        <v>2.4</v>
      </c>
      <c r="AW234" s="1076">
        <v>1.6</v>
      </c>
      <c r="AX234" s="1076">
        <v>0.9</v>
      </c>
      <c r="AY234" s="1075">
        <f>SUM(AU234:AX234)</f>
        <v>7.9</v>
      </c>
      <c r="AZ234" s="1076">
        <v>0.9</v>
      </c>
      <c r="BA234" s="1076">
        <v>0.9</v>
      </c>
      <c r="BB234" s="1076">
        <v>1.3</v>
      </c>
      <c r="BC234" s="1076">
        <v>0.8</v>
      </c>
      <c r="BD234" s="1075">
        <f>SUM(AZ234:BC234)</f>
        <v>3.9000000000000004</v>
      </c>
      <c r="BE234" s="1079">
        <v>1</v>
      </c>
      <c r="BF234" s="1076">
        <v>1.2</v>
      </c>
      <c r="BG234" s="1076">
        <v>1.4</v>
      </c>
      <c r="BH234" s="1079">
        <v>1</v>
      </c>
      <c r="BI234" s="1075">
        <f>SUM(BE234:BH234)</f>
        <v>4.5999999999999996</v>
      </c>
      <c r="BJ234" s="1079">
        <v>1</v>
      </c>
      <c r="BK234" s="1079">
        <f>BJ234</f>
        <v>1</v>
      </c>
      <c r="BL234" s="1079">
        <f>BK234</f>
        <v>1</v>
      </c>
      <c r="BM234" s="1079">
        <f>BL234</f>
        <v>1</v>
      </c>
      <c r="BN234" s="1075">
        <f>SUM(BJ234:BM234)</f>
        <v>4</v>
      </c>
      <c r="BO234" s="1079">
        <v>0.9</v>
      </c>
      <c r="BP234" s="1079">
        <v>0.9</v>
      </c>
      <c r="BQ234" s="1079">
        <v>0.9</v>
      </c>
      <c r="BR234" s="1079">
        <v>0.9</v>
      </c>
      <c r="BS234" s="1075">
        <f>SUM(BO234:BR234)</f>
        <v>3.6</v>
      </c>
      <c r="BT234" s="1079">
        <f>BO234-0.1</f>
        <v>0.8</v>
      </c>
      <c r="BU234" s="1079">
        <f>BT234</f>
        <v>0.8</v>
      </c>
      <c r="BV234" s="1079">
        <f>BU234</f>
        <v>0.8</v>
      </c>
      <c r="BW234" s="1079">
        <f>BV234</f>
        <v>0.8</v>
      </c>
      <c r="BX234" s="1075">
        <f>SUM(BT234:BW234)</f>
        <v>3.2</v>
      </c>
      <c r="BY234" s="1527"/>
      <c r="BZ234" s="1075"/>
      <c r="CA234" s="1075"/>
      <c r="CB234" s="1075"/>
      <c r="CC234" s="1075"/>
      <c r="CD234" s="1075"/>
      <c r="CE234" s="1075"/>
      <c r="CF234" s="1075"/>
      <c r="CG234" s="1075"/>
      <c r="CH234" s="1075"/>
    </row>
    <row r="235" spans="1:89" s="1042" customFormat="1">
      <c r="A235" s="1077" t="s">
        <v>934</v>
      </c>
      <c r="B235" s="1071"/>
      <c r="C235" s="1071"/>
      <c r="D235" s="1071"/>
      <c r="E235" s="1071"/>
      <c r="F235" s="1078"/>
      <c r="G235" s="1071"/>
      <c r="H235" s="1071"/>
      <c r="I235" s="1071"/>
      <c r="J235" s="1071"/>
      <c r="K235" s="1078"/>
      <c r="L235" s="1071"/>
      <c r="M235" s="1071"/>
      <c r="N235" s="1071"/>
      <c r="O235" s="1071"/>
      <c r="P235" s="1078"/>
      <c r="Q235" s="1071"/>
      <c r="R235" s="1071"/>
      <c r="S235" s="1071"/>
      <c r="T235" s="1071"/>
      <c r="U235" s="1078"/>
      <c r="V235" s="1071"/>
      <c r="W235" s="1071"/>
      <c r="X235" s="1071"/>
      <c r="Y235" s="1071"/>
      <c r="Z235" s="1078"/>
      <c r="AA235" s="1071"/>
      <c r="AB235" s="1071"/>
      <c r="AC235" s="1071"/>
      <c r="AD235" s="1071"/>
      <c r="AE235" s="1078">
        <f>1-AE232</f>
        <v>1.2340658638965163E-2</v>
      </c>
      <c r="AF235" s="1071">
        <f t="shared" ref="AF235:BS235" si="427">1-AF232</f>
        <v>1.2396694214875992E-2</v>
      </c>
      <c r="AG235" s="1071">
        <f t="shared" si="427"/>
        <v>1.4406870745618083E-2</v>
      </c>
      <c r="AH235" s="1071">
        <f t="shared" si="427"/>
        <v>1.6431177730169777E-2</v>
      </c>
      <c r="AI235" s="1071">
        <f>1-AI232</f>
        <v>1.8044646024595878E-2</v>
      </c>
      <c r="AJ235" s="1078">
        <f>1-AJ232</f>
        <v>1.8044646024595878E-2</v>
      </c>
      <c r="AK235" s="1071">
        <f t="shared" si="427"/>
        <v>1.9565937248490539E-2</v>
      </c>
      <c r="AL235" s="1071">
        <f t="shared" si="427"/>
        <v>2.9348833726673518E-2</v>
      </c>
      <c r="AM235" s="1071">
        <f t="shared" si="427"/>
        <v>3.8270820631110425E-2</v>
      </c>
      <c r="AN235" s="1071">
        <f t="shared" si="427"/>
        <v>5.0450974031924445E-2</v>
      </c>
      <c r="AO235" s="1078">
        <f>1-AO232</f>
        <v>5.0450974031924445E-2</v>
      </c>
      <c r="AP235" s="1071">
        <f t="shared" si="427"/>
        <v>5.6130911784099125E-2</v>
      </c>
      <c r="AQ235" s="1071">
        <f t="shared" si="427"/>
        <v>7.4980996164802804E-2</v>
      </c>
      <c r="AR235" s="1071">
        <f t="shared" si="427"/>
        <v>0.10209788209037574</v>
      </c>
      <c r="AS235" s="1071">
        <f t="shared" si="427"/>
        <v>0.12586905806330695</v>
      </c>
      <c r="AT235" s="1078">
        <f>1-AT232</f>
        <v>0.12586905806330695</v>
      </c>
      <c r="AU235" s="1071">
        <f t="shared" si="427"/>
        <v>0.13657210692259347</v>
      </c>
      <c r="AV235" s="1071">
        <f t="shared" si="427"/>
        <v>0.15835786095393678</v>
      </c>
      <c r="AW235" s="1071">
        <f t="shared" si="427"/>
        <v>0.17139577039919329</v>
      </c>
      <c r="AX235" s="1071">
        <f t="shared" si="427"/>
        <v>0.18353380579185186</v>
      </c>
      <c r="AY235" s="1078">
        <f>1-AY232</f>
        <v>0.18353380579185186</v>
      </c>
      <c r="AZ235" s="1071">
        <f>1-AZ232</f>
        <v>0.1845970275235328</v>
      </c>
      <c r="BA235" s="1071">
        <f t="shared" si="427"/>
        <v>0.2021181401638743</v>
      </c>
      <c r="BB235" s="1071">
        <f t="shared" si="427"/>
        <v>0.21954211448077798</v>
      </c>
      <c r="BC235" s="1071">
        <f t="shared" si="427"/>
        <v>0.2326329646984685</v>
      </c>
      <c r="BD235" s="1078">
        <f t="shared" si="427"/>
        <v>0.2326329646984685</v>
      </c>
      <c r="BE235" s="1071">
        <f t="shared" si="427"/>
        <v>0.24666669278731546</v>
      </c>
      <c r="BF235" s="1071">
        <f t="shared" ref="BF235:BG235" si="428">1-BF232</f>
        <v>0.2645379446068522</v>
      </c>
      <c r="BG235" s="1071">
        <f t="shared" si="428"/>
        <v>0.28276394698058815</v>
      </c>
      <c r="BH235" s="1071">
        <f t="shared" si="427"/>
        <v>0.28691617930805058</v>
      </c>
      <c r="BI235" s="1078">
        <f t="shared" si="427"/>
        <v>0.28691617930805058</v>
      </c>
      <c r="BJ235" s="1071">
        <f t="shared" si="427"/>
        <v>0.30481963368428444</v>
      </c>
      <c r="BK235" s="1071">
        <f t="shared" si="427"/>
        <v>0.31299972158427647</v>
      </c>
      <c r="BL235" s="1071">
        <f t="shared" si="427"/>
        <v>0.32516581395019983</v>
      </c>
      <c r="BM235" s="1071">
        <f t="shared" si="427"/>
        <v>0.32943303921370071</v>
      </c>
      <c r="BN235" s="1078">
        <f t="shared" si="427"/>
        <v>0.32943303921370071</v>
      </c>
      <c r="BO235" s="1071">
        <f t="shared" si="427"/>
        <v>0.34467769557267869</v>
      </c>
      <c r="BP235" s="1071">
        <f t="shared" si="427"/>
        <v>0.35162167025080371</v>
      </c>
      <c r="BQ235" s="1071">
        <f t="shared" si="427"/>
        <v>0.36759421549367521</v>
      </c>
      <c r="BR235" s="1071">
        <f t="shared" si="427"/>
        <v>0.37111366763394693</v>
      </c>
      <c r="BS235" s="1078">
        <f t="shared" si="427"/>
        <v>0.37111366763394693</v>
      </c>
      <c r="BT235" s="1071">
        <f t="shared" ref="BT235:BX235" si="429">1-BT232</f>
        <v>0.38720231661442339</v>
      </c>
      <c r="BU235" s="1071">
        <f t="shared" si="429"/>
        <v>0.38967963064786415</v>
      </c>
      <c r="BV235" s="1071">
        <f t="shared" si="429"/>
        <v>0.4030026910376131</v>
      </c>
      <c r="BW235" s="1071">
        <f t="shared" si="429"/>
        <v>0.40228139896682313</v>
      </c>
      <c r="BX235" s="1078">
        <f t="shared" si="429"/>
        <v>0.40228139896682313</v>
      </c>
      <c r="BY235" s="1529"/>
      <c r="BZ235" s="1078"/>
      <c r="CA235" s="1078"/>
      <c r="CB235" s="1078"/>
      <c r="CC235" s="1078"/>
      <c r="CD235" s="1078"/>
      <c r="CE235" s="1078"/>
      <c r="CF235" s="1078"/>
      <c r="CG235" s="1078"/>
      <c r="CH235" s="1078"/>
    </row>
    <row r="236" spans="1:89" s="1027" customFormat="1">
      <c r="A236" s="1098" t="s">
        <v>972</v>
      </c>
      <c r="B236" s="1091"/>
      <c r="C236" s="1091"/>
      <c r="D236" s="1091"/>
      <c r="E236" s="1091"/>
      <c r="F236" s="1092"/>
      <c r="G236" s="1091"/>
      <c r="H236" s="1091"/>
      <c r="I236" s="1091"/>
      <c r="J236" s="1091"/>
      <c r="K236" s="1092"/>
      <c r="L236" s="1091"/>
      <c r="M236" s="1091"/>
      <c r="N236" s="1091"/>
      <c r="O236" s="1091"/>
      <c r="P236" s="1092"/>
      <c r="Q236" s="1091"/>
      <c r="R236" s="1091"/>
      <c r="S236" s="1091"/>
      <c r="T236" s="1091"/>
      <c r="U236" s="1092"/>
      <c r="V236" s="1091"/>
      <c r="W236" s="1091"/>
      <c r="X236" s="1091"/>
      <c r="Y236" s="1091"/>
      <c r="Z236" s="1092"/>
      <c r="AA236" s="1091"/>
      <c r="AB236" s="1091"/>
      <c r="AC236" s="1091"/>
      <c r="AD236" s="1091"/>
      <c r="AE236" s="1092">
        <f t="shared" ref="AE236:AL236" si="430">AE231+AE233</f>
        <v>97.239542483660131</v>
      </c>
      <c r="AF236" s="1091">
        <f t="shared" si="430"/>
        <v>121</v>
      </c>
      <c r="AG236" s="1091">
        <f t="shared" si="430"/>
        <v>121.4698202614379</v>
      </c>
      <c r="AH236" s="1091">
        <f t="shared" si="430"/>
        <v>121.7198202614379</v>
      </c>
      <c r="AI236" s="1091">
        <f t="shared" si="430"/>
        <v>121.91982026143791</v>
      </c>
      <c r="AJ236" s="1092">
        <f t="shared" si="430"/>
        <v>121.91982026143791</v>
      </c>
      <c r="AK236" s="1099">
        <f t="shared" si="430"/>
        <v>122.66215359477124</v>
      </c>
      <c r="AL236" s="1091">
        <f t="shared" si="430"/>
        <v>119.25516470588234</v>
      </c>
      <c r="AM236" s="1091">
        <f>AM233+AM231</f>
        <v>114.97009803921569</v>
      </c>
      <c r="AN236" s="1091">
        <f>AN233+AN231</f>
        <v>110.99884803921567</v>
      </c>
      <c r="AO236" s="1092">
        <f>AO231+AO233</f>
        <v>110.99884803921567</v>
      </c>
      <c r="AP236" s="1091">
        <f>AP233+AP231</f>
        <v>125.59924248366013</v>
      </c>
      <c r="AQ236" s="1091">
        <f>AQ233+AQ231</f>
        <v>122.69775637254902</v>
      </c>
      <c r="AR236" s="1091">
        <f>AR233+AR231</f>
        <v>121.45207859477125</v>
      </c>
      <c r="AS236" s="1091">
        <f>AS233+AS231</f>
        <v>120.76041748366013</v>
      </c>
      <c r="AT236" s="1092">
        <f>AT231+AT233</f>
        <v>120.76041748366013</v>
      </c>
      <c r="AU236" s="1091">
        <f>AU233+AU231</f>
        <v>133.26293640849673</v>
      </c>
      <c r="AV236" s="1091">
        <f>AV233+AV231</f>
        <v>130.08511150571897</v>
      </c>
      <c r="AW236" s="1091">
        <f>AW233+AW231</f>
        <v>129.5247831862745</v>
      </c>
      <c r="AX236" s="1091">
        <f>AX233+AX231</f>
        <v>125.86237124183006</v>
      </c>
      <c r="AY236" s="1092">
        <f>AY231+AY233</f>
        <v>125.86237124183006</v>
      </c>
      <c r="AZ236" s="1091">
        <f>AZ233+AZ231</f>
        <v>130.01292773763888</v>
      </c>
      <c r="BA236" s="1091">
        <f>BA233+BA231</f>
        <v>123.19527569277776</v>
      </c>
      <c r="BB236" s="1091">
        <f>BB233+BB231</f>
        <v>119.33928969374998</v>
      </c>
      <c r="BC236" s="1091">
        <f>BC233+BC231</f>
        <v>116.0626570486111</v>
      </c>
      <c r="BD236" s="1092">
        <f>BD231+BD233</f>
        <v>116.0626570486111</v>
      </c>
      <c r="BE236" s="1091">
        <f>BE233+BE231</f>
        <v>113.51350149305554</v>
      </c>
      <c r="BF236" s="1091">
        <f>BF233+BF231</f>
        <v>110.38114038194442</v>
      </c>
      <c r="BG236" s="1091">
        <f>BG233+BG231</f>
        <v>108.21747371527775</v>
      </c>
      <c r="BH236" s="1091">
        <f>BH233+BH231</f>
        <v>110.13669593749998</v>
      </c>
      <c r="BI236" s="1092">
        <f>BI231+BI233</f>
        <v>110.13669593749998</v>
      </c>
      <c r="BJ236" s="1091">
        <f>BJ233+BJ231</f>
        <v>106.94849149305553</v>
      </c>
      <c r="BK236" s="1091">
        <f>BK233+BK231</f>
        <v>107.34833829861108</v>
      </c>
      <c r="BL236" s="1091">
        <f>BL233+BL231</f>
        <v>106.40724982638886</v>
      </c>
      <c r="BM236" s="1091">
        <f>BM233+BM231</f>
        <v>108.0644494097222</v>
      </c>
      <c r="BN236" s="1092">
        <f>BN231+BN233</f>
        <v>108.0644494097222</v>
      </c>
      <c r="BO236" s="1091">
        <f>BO233+BO231</f>
        <v>105.89603118749997</v>
      </c>
      <c r="BP236" s="1091">
        <f>BP233+BP231</f>
        <v>106.36432041666664</v>
      </c>
      <c r="BQ236" s="1091">
        <f>BQ233+BQ231</f>
        <v>104.19097577083329</v>
      </c>
      <c r="BR236" s="1091">
        <f>BR233+BR231</f>
        <v>105.62801486111108</v>
      </c>
      <c r="BS236" s="1092">
        <f>BS231+BS233</f>
        <v>105.62801486111108</v>
      </c>
      <c r="BT236" s="1091">
        <f>BT233+BT231</f>
        <v>103.30516704999997</v>
      </c>
      <c r="BU236" s="1091">
        <f>BU233+BU231</f>
        <v>104.70139260850691</v>
      </c>
      <c r="BV236" s="1091">
        <f>BV233+BV231</f>
        <v>103.22511716458328</v>
      </c>
      <c r="BW236" s="1091">
        <f>BW233+BW231</f>
        <v>105.39885788628467</v>
      </c>
      <c r="BX236" s="1092">
        <f>BX231+BX233</f>
        <v>105.39885788628467</v>
      </c>
      <c r="BY236" s="1530"/>
      <c r="BZ236" s="1092"/>
      <c r="CA236" s="1092"/>
      <c r="CB236" s="1092">
        <f>SUM(AM236:AN236,AP236:AQ236)</f>
        <v>474.26594493464052</v>
      </c>
      <c r="CC236" s="1092">
        <f>SUM(AR236:AS236,AU236:AV236)</f>
        <v>505.56054399264713</v>
      </c>
      <c r="CD236" s="1092">
        <f>SUM(AW236:AX236,AZ236:BA236)</f>
        <v>508.5953578585212</v>
      </c>
      <c r="CE236" s="1092">
        <f>SUM(BB236:BC236,BE236:BF236)</f>
        <v>459.29658861736107</v>
      </c>
      <c r="CF236" s="1092">
        <f>SUM(BG236:BH236,BJ236:BK236)</f>
        <v>432.65099944444432</v>
      </c>
      <c r="CG236" s="1092">
        <f>SUM(BL236:BM236,BO236:BP236)</f>
        <v>426.73205084027774</v>
      </c>
      <c r="CH236" s="1092">
        <f>SUM(BQ236:BR236,BT236:BU236)</f>
        <v>417.82555029045125</v>
      </c>
    </row>
    <row r="237" spans="1:89" s="1022" customFormat="1">
      <c r="A237" s="1032" t="s">
        <v>926</v>
      </c>
      <c r="B237" s="1034"/>
      <c r="C237" s="1034"/>
      <c r="D237" s="1034"/>
      <c r="E237" s="1034"/>
      <c r="F237" s="1033"/>
      <c r="G237" s="1034"/>
      <c r="H237" s="1034"/>
      <c r="I237" s="1034"/>
      <c r="J237" s="1034"/>
      <c r="K237" s="1033"/>
      <c r="L237" s="1034"/>
      <c r="M237" s="1034"/>
      <c r="N237" s="1034"/>
      <c r="O237" s="1034"/>
      <c r="P237" s="1033"/>
      <c r="Q237" s="1034"/>
      <c r="R237" s="1034"/>
      <c r="S237" s="1034"/>
      <c r="T237" s="1034"/>
      <c r="U237" s="1033"/>
      <c r="V237" s="1034"/>
      <c r="W237" s="1034"/>
      <c r="X237" s="1034"/>
      <c r="Y237" s="1034"/>
      <c r="Z237" s="1033"/>
      <c r="AA237" s="1034"/>
      <c r="AB237" s="1034"/>
      <c r="AC237" s="1034"/>
      <c r="AD237" s="1034"/>
      <c r="AE237" s="1033"/>
      <c r="AF237" s="1017"/>
      <c r="AG237" s="1034"/>
      <c r="AH237" s="1034"/>
      <c r="AI237" s="1034"/>
      <c r="AJ237" s="1035">
        <f t="shared" ref="AJ237:BS237" si="431">IF(ISERROR(AJ236/AE236-1),,(AJ236/AE236-1))</f>
        <v>0.25380906930866098</v>
      </c>
      <c r="AK237" s="1036">
        <f t="shared" si="431"/>
        <v>1.3736806568357407E-2</v>
      </c>
      <c r="AL237" s="1036">
        <f t="shared" si="431"/>
        <v>-1.8232146477116684E-2</v>
      </c>
      <c r="AM237" s="1036">
        <f t="shared" si="431"/>
        <v>-5.5452942731304744E-2</v>
      </c>
      <c r="AN237" s="1036">
        <f t="shared" si="431"/>
        <v>-8.9575035452020169E-2</v>
      </c>
      <c r="AO237" s="1035">
        <f t="shared" si="431"/>
        <v>-8.9575035452020169E-2</v>
      </c>
      <c r="AP237" s="1036">
        <f t="shared" si="431"/>
        <v>2.3944540372182743E-2</v>
      </c>
      <c r="AQ237" s="1036">
        <f t="shared" si="431"/>
        <v>2.8867442975380575E-2</v>
      </c>
      <c r="AR237" s="1036">
        <f t="shared" si="431"/>
        <v>5.6379707994548278E-2</v>
      </c>
      <c r="AS237" s="1036">
        <f t="shared" si="431"/>
        <v>8.7942979741516991E-2</v>
      </c>
      <c r="AT237" s="1035">
        <f t="shared" si="431"/>
        <v>8.7942979741516991E-2</v>
      </c>
      <c r="AU237" s="1036">
        <f t="shared" si="431"/>
        <v>6.1017039380899085E-2</v>
      </c>
      <c r="AV237" s="1036">
        <f t="shared" si="431"/>
        <v>6.0207744229157756E-2</v>
      </c>
      <c r="AW237" s="1036">
        <f t="shared" si="431"/>
        <v>6.646822915594619E-2</v>
      </c>
      <c r="AX237" s="1036">
        <f t="shared" si="431"/>
        <v>4.2248560119960255E-2</v>
      </c>
      <c r="AY237" s="1035">
        <f t="shared" si="431"/>
        <v>4.2248560119960255E-2</v>
      </c>
      <c r="AZ237" s="1036">
        <f t="shared" si="431"/>
        <v>-2.4387941301964533E-2</v>
      </c>
      <c r="BA237" s="1036">
        <f t="shared" si="431"/>
        <v>-5.2964061245689198E-2</v>
      </c>
      <c r="BB237" s="1036">
        <f t="shared" si="431"/>
        <v>-7.8637410092216697E-2</v>
      </c>
      <c r="BC237" s="1036">
        <f t="shared" si="431"/>
        <v>-7.7860555911424378E-2</v>
      </c>
      <c r="BD237" s="1035">
        <f t="shared" si="431"/>
        <v>-7.7860555911424378E-2</v>
      </c>
      <c r="BE237" s="1036">
        <f t="shared" si="431"/>
        <v>-0.12690604335807698</v>
      </c>
      <c r="BF237" s="1036">
        <f t="shared" si="431"/>
        <v>-0.10401482718208288</v>
      </c>
      <c r="BG237" s="1036">
        <f t="shared" si="431"/>
        <v>-9.3194923541217389E-2</v>
      </c>
      <c r="BH237" s="1036">
        <f t="shared" si="431"/>
        <v>-5.1058292665392968E-2</v>
      </c>
      <c r="BI237" s="1035">
        <f t="shared" si="431"/>
        <v>-5.1058292665392968E-2</v>
      </c>
      <c r="BJ237" s="1036">
        <f t="shared" si="431"/>
        <v>-5.7834618029130591E-2</v>
      </c>
      <c r="BK237" s="1036">
        <f t="shared" si="431"/>
        <v>-2.7475727038506204E-2</v>
      </c>
      <c r="BL237" s="1036">
        <f t="shared" si="431"/>
        <v>-1.6727648749698343E-2</v>
      </c>
      <c r="BM237" s="1036">
        <f t="shared" si="431"/>
        <v>-1.8815223301720696E-2</v>
      </c>
      <c r="BN237" s="1035">
        <f t="shared" si="431"/>
        <v>-1.8815223301720696E-2</v>
      </c>
      <c r="BO237" s="1036">
        <f t="shared" si="431"/>
        <v>-9.8408148713710064E-3</v>
      </c>
      <c r="BP237" s="1036">
        <f t="shared" si="431"/>
        <v>-9.1665869965047442E-3</v>
      </c>
      <c r="BQ237" s="1036">
        <f t="shared" si="431"/>
        <v>-2.0828224196862366E-2</v>
      </c>
      <c r="BR237" s="1036">
        <f t="shared" si="431"/>
        <v>-2.2546124668377021E-2</v>
      </c>
      <c r="BS237" s="1035">
        <f t="shared" si="431"/>
        <v>-2.2546124668377021E-2</v>
      </c>
      <c r="BT237" s="1036">
        <f t="shared" ref="BT237" si="432">IF(ISERROR(BT236/BO236-1),,(BT236/BO236-1))</f>
        <v>-2.4466111793298606E-2</v>
      </c>
      <c r="BU237" s="1036">
        <f t="shared" ref="BU237" si="433">IF(ISERROR(BU236/BP236-1),,(BU236/BP236-1))</f>
        <v>-1.5634263460204134E-2</v>
      </c>
      <c r="BV237" s="1036">
        <f t="shared" ref="BV237" si="434">IF(ISERROR(BV236/BQ236-1),,(BV236/BQ236-1))</f>
        <v>-9.2700792856993397E-3</v>
      </c>
      <c r="BW237" s="1036">
        <f t="shared" ref="BW237" si="435">IF(ISERROR(BW236/BR236-1),,(BW236/BR236-1))</f>
        <v>-2.1694715661155772E-3</v>
      </c>
      <c r="BX237" s="1035">
        <f t="shared" ref="BX237" si="436">IF(ISERROR(BX236/BS236-1),,(BX236/BS236-1))</f>
        <v>-2.1694715661155772E-3</v>
      </c>
      <c r="BY237" s="1438"/>
      <c r="BZ237" s="1035"/>
      <c r="CA237" s="1035"/>
      <c r="CB237" s="1035"/>
      <c r="CC237" s="1035"/>
      <c r="CD237" s="1035"/>
      <c r="CE237" s="1035"/>
      <c r="CF237" s="1035"/>
      <c r="CG237" s="1035"/>
      <c r="CH237" s="1035"/>
    </row>
    <row r="238" spans="1:89" s="1021" customFormat="1" ht="7.5" customHeight="1">
      <c r="A238" s="1020"/>
      <c r="B238" s="1025"/>
      <c r="C238" s="1025"/>
      <c r="D238" s="1025"/>
      <c r="E238" s="1025"/>
      <c r="F238" s="1024"/>
      <c r="G238" s="1025"/>
      <c r="H238" s="1025"/>
      <c r="I238" s="1025"/>
      <c r="J238" s="1025"/>
      <c r="K238" s="1024"/>
      <c r="L238" s="1025"/>
      <c r="M238" s="1025"/>
      <c r="N238" s="1025"/>
      <c r="O238" s="1025"/>
      <c r="P238" s="1024"/>
      <c r="Q238" s="1025"/>
      <c r="R238" s="1025"/>
      <c r="S238" s="1025"/>
      <c r="T238" s="1025"/>
      <c r="U238" s="1024"/>
      <c r="V238" s="1025"/>
      <c r="W238" s="1025"/>
      <c r="X238" s="1025"/>
      <c r="Y238" s="1025"/>
      <c r="Z238" s="1024"/>
      <c r="AA238" s="1025"/>
      <c r="AB238" s="1025"/>
      <c r="AC238" s="1025"/>
      <c r="AD238" s="1025"/>
      <c r="AE238" s="1024"/>
      <c r="AF238" s="1025"/>
      <c r="AG238" s="1025"/>
      <c r="AH238" s="1025"/>
      <c r="AI238" s="1025"/>
      <c r="AJ238" s="1024"/>
      <c r="AK238" s="1026"/>
      <c r="AL238" s="1025"/>
      <c r="AM238" s="1025"/>
      <c r="AN238" s="1025"/>
      <c r="AO238" s="1029"/>
      <c r="AP238" s="1025"/>
      <c r="AQ238" s="1025"/>
      <c r="AR238" s="1025"/>
      <c r="AS238" s="1025"/>
      <c r="AT238" s="1024"/>
      <c r="AU238" s="1025"/>
      <c r="AV238" s="1025"/>
      <c r="AW238" s="1025"/>
      <c r="AX238" s="1025"/>
      <c r="AY238" s="1024"/>
      <c r="AZ238" s="1025"/>
      <c r="BA238" s="1025"/>
      <c r="BB238" s="1025"/>
      <c r="BC238" s="1025"/>
      <c r="BD238" s="1024"/>
      <c r="BE238" s="1192"/>
      <c r="BF238" s="1025"/>
      <c r="BG238" s="1025"/>
      <c r="BH238" s="1192"/>
      <c r="BI238" s="1193"/>
      <c r="BJ238" s="1192"/>
      <c r="BK238" s="1192"/>
      <c r="BL238" s="1192"/>
      <c r="BM238" s="1192"/>
      <c r="BN238" s="1193"/>
      <c r="BO238" s="1192"/>
      <c r="BP238" s="1192"/>
      <c r="BQ238" s="1192"/>
      <c r="BR238" s="1192"/>
      <c r="BS238" s="1193"/>
      <c r="BT238" s="1192"/>
      <c r="BU238" s="1192"/>
      <c r="BV238" s="1192"/>
      <c r="BW238" s="1192"/>
      <c r="BX238" s="1193"/>
      <c r="BY238" s="1521"/>
      <c r="BZ238" s="1193"/>
      <c r="CA238" s="1193"/>
      <c r="CB238" s="1193"/>
      <c r="CC238" s="1193"/>
      <c r="CD238" s="1193"/>
      <c r="CE238" s="1193"/>
      <c r="CF238" s="1193"/>
      <c r="CG238" s="1193"/>
      <c r="CH238" s="1193"/>
    </row>
    <row r="239" spans="1:89" s="1021" customFormat="1">
      <c r="A239" s="1020" t="s">
        <v>959</v>
      </c>
      <c r="B239" s="1025"/>
      <c r="C239" s="1025"/>
      <c r="D239" s="1025"/>
      <c r="E239" s="1025"/>
      <c r="F239" s="1024"/>
      <c r="G239" s="1025"/>
      <c r="H239" s="1025"/>
      <c r="I239" s="1025"/>
      <c r="J239" s="1025"/>
      <c r="K239" s="1024"/>
      <c r="L239" s="1025"/>
      <c r="M239" s="1025"/>
      <c r="N239" s="1025"/>
      <c r="O239" s="1025"/>
      <c r="P239" s="1024"/>
      <c r="Q239" s="1025"/>
      <c r="R239" s="1025"/>
      <c r="S239" s="1025"/>
      <c r="T239" s="1025"/>
      <c r="U239" s="1024"/>
      <c r="V239" s="1025"/>
      <c r="W239" s="1025"/>
      <c r="X239" s="1025"/>
      <c r="Y239" s="1025"/>
      <c r="Z239" s="1024"/>
      <c r="AA239" s="1025"/>
      <c r="AB239" s="1025"/>
      <c r="AC239" s="1025"/>
      <c r="AD239" s="1025"/>
      <c r="AE239" s="1024">
        <v>0.5</v>
      </c>
      <c r="AF239" s="1025">
        <v>0.1771875</v>
      </c>
      <c r="AG239" s="1025">
        <v>0.23625000000000002</v>
      </c>
      <c r="AH239" s="1025">
        <v>0.315</v>
      </c>
      <c r="AI239" s="1025">
        <v>0.42</v>
      </c>
      <c r="AJ239" s="1024">
        <f>AE234</f>
        <v>1.1000000000000001</v>
      </c>
      <c r="AK239" s="1026">
        <f>AF243+AF241</f>
        <v>0.47718750000000004</v>
      </c>
      <c r="AL239" s="1026">
        <f>AG243+AG241</f>
        <v>0.48625000000000002</v>
      </c>
      <c r="AM239" s="1026">
        <f>AH243+AH241</f>
        <v>0.56499999999999995</v>
      </c>
      <c r="AN239" s="1026">
        <f>AI243+AI241</f>
        <v>0.62000000000000011</v>
      </c>
      <c r="AO239" s="1029">
        <f>SUM(AK239:AN239)</f>
        <v>2.1484375</v>
      </c>
      <c r="AP239" s="1026">
        <f>AK243+AK241</f>
        <v>0.67718749999999983</v>
      </c>
      <c r="AQ239" s="1026">
        <f>AL243+AL241</f>
        <v>1.5862500000000002</v>
      </c>
      <c r="AR239" s="1026">
        <f>AM243+AM241</f>
        <v>1.4650000000000003</v>
      </c>
      <c r="AS239" s="1026">
        <f>AN243+AN241</f>
        <v>1.8199999999999994</v>
      </c>
      <c r="AT239" s="1029">
        <f>SUM(AP239:AS239)</f>
        <v>5.5484375000000004</v>
      </c>
      <c r="AU239" s="1026">
        <f>AP243+AP241</f>
        <v>2.1271874999999998</v>
      </c>
      <c r="AV239" s="1026">
        <f>AQ243+AQ241</f>
        <v>3.7362499999999996</v>
      </c>
      <c r="AW239" s="1026">
        <f>AR243+AR241</f>
        <v>4.6650000000000009</v>
      </c>
      <c r="AX239" s="1026">
        <f>AS243+AS241</f>
        <v>4.6199999999999992</v>
      </c>
      <c r="AY239" s="1029">
        <f>SUM(AU239:AX239)</f>
        <v>15.1484375</v>
      </c>
      <c r="AZ239" s="1026">
        <f>AU243+AU241</f>
        <v>5.1271874999999998</v>
      </c>
      <c r="BA239" s="1026">
        <f>AV243+AV241</f>
        <v>6.1362499999999995</v>
      </c>
      <c r="BB239" s="1026">
        <f>AW243+AW241</f>
        <v>6.2650000000000006</v>
      </c>
      <c r="BC239" s="1026">
        <f>AX243+AX241</f>
        <v>5.52</v>
      </c>
      <c r="BD239" s="1029">
        <f>SUM(AZ239:BC239)</f>
        <v>23.048437499999999</v>
      </c>
      <c r="BE239" s="1198">
        <f>AZ243+AZ241</f>
        <v>6.0271875000000001</v>
      </c>
      <c r="BF239" s="1026">
        <f>BA243+BA241</f>
        <v>7.0362499999999999</v>
      </c>
      <c r="BG239" s="1026">
        <f>BB243+BB241</f>
        <v>7.5650000000000004</v>
      </c>
      <c r="BH239" s="1198">
        <f>BC243+BC241</f>
        <v>6.3199999999999994</v>
      </c>
      <c r="BI239" s="1029">
        <f>SUM(BE239:BH239)</f>
        <v>26.948437500000001</v>
      </c>
      <c r="BJ239" s="1198">
        <f>BE243+BE241</f>
        <v>7.0271875000000001</v>
      </c>
      <c r="BK239" s="1198">
        <f>BF243+BF241</f>
        <v>8.2362500000000001</v>
      </c>
      <c r="BL239" s="1198">
        <f>BG243+BG241</f>
        <v>8.9649999999999999</v>
      </c>
      <c r="BM239" s="1198">
        <f>BH243+BH241</f>
        <v>7.3199999999999994</v>
      </c>
      <c r="BN239" s="1029">
        <f>SUM(BJ239:BM239)</f>
        <v>31.548437499999999</v>
      </c>
      <c r="BO239" s="1198">
        <f>BJ243+BJ241</f>
        <v>8.0271875000000001</v>
      </c>
      <c r="BP239" s="1198">
        <f>BK243+BK241</f>
        <v>9.2362500000000001</v>
      </c>
      <c r="BQ239" s="1198">
        <f>BL243+BL241</f>
        <v>9.9649999999999999</v>
      </c>
      <c r="BR239" s="1198">
        <f>BM243+BM241</f>
        <v>8.32</v>
      </c>
      <c r="BS239" s="1029">
        <f>SUM(BO239:BR239)</f>
        <v>35.548437500000006</v>
      </c>
      <c r="BT239" s="1198">
        <f>BO243+BO241</f>
        <v>8.9271875000000005</v>
      </c>
      <c r="BU239" s="1198">
        <f>BP243+BP241</f>
        <v>10.13625</v>
      </c>
      <c r="BV239" s="1198">
        <f>BQ243+BQ241</f>
        <v>10.865</v>
      </c>
      <c r="BW239" s="1198">
        <f>BR243+BR241</f>
        <v>9.2200000000000006</v>
      </c>
      <c r="BX239" s="1029">
        <f>SUM(BT239:BW239)</f>
        <v>39.1484375</v>
      </c>
      <c r="BY239" s="1521"/>
      <c r="BZ239" s="1029"/>
      <c r="CA239" s="1029"/>
      <c r="CB239" s="1029"/>
      <c r="CC239" s="1029"/>
      <c r="CD239" s="1029"/>
      <c r="CE239" s="1029"/>
      <c r="CF239" s="1029"/>
      <c r="CG239" s="1029"/>
      <c r="CH239" s="1029"/>
    </row>
    <row r="240" spans="1:89" s="1042" customFormat="1">
      <c r="A240" s="1077" t="s">
        <v>960</v>
      </c>
      <c r="B240" s="1071"/>
      <c r="C240" s="1071"/>
      <c r="D240" s="1071"/>
      <c r="E240" s="1071"/>
      <c r="F240" s="1078"/>
      <c r="G240" s="1071"/>
      <c r="H240" s="1071"/>
      <c r="I240" s="1071"/>
      <c r="J240" s="1071"/>
      <c r="K240" s="1078"/>
      <c r="L240" s="1071"/>
      <c r="M240" s="1071"/>
      <c r="N240" s="1071"/>
      <c r="O240" s="1071"/>
      <c r="P240" s="1078"/>
      <c r="Q240" s="1071"/>
      <c r="R240" s="1071"/>
      <c r="S240" s="1071"/>
      <c r="T240" s="1071"/>
      <c r="U240" s="1078"/>
      <c r="V240" s="1071"/>
      <c r="W240" s="1071"/>
      <c r="X240" s="1071"/>
      <c r="Y240" s="1071"/>
      <c r="Z240" s="1078"/>
      <c r="AA240" s="1071"/>
      <c r="AB240" s="1071"/>
      <c r="AC240" s="1071"/>
      <c r="AD240" s="1071"/>
      <c r="AE240" s="1080">
        <v>0.6</v>
      </c>
      <c r="AF240" s="1081">
        <v>0.7</v>
      </c>
      <c r="AG240" s="1081">
        <v>0.7</v>
      </c>
      <c r="AH240" s="1081">
        <f>AG240</f>
        <v>0.7</v>
      </c>
      <c r="AI240" s="1081">
        <f>AH240</f>
        <v>0.7</v>
      </c>
      <c r="AJ240" s="1080">
        <v>0.7</v>
      </c>
      <c r="AK240" s="1081">
        <v>0.7</v>
      </c>
      <c r="AL240" s="1081">
        <v>0.7</v>
      </c>
      <c r="AM240" s="1081">
        <v>0.7</v>
      </c>
      <c r="AN240" s="1081">
        <v>0.7</v>
      </c>
      <c r="AO240" s="1078">
        <f>AO241/AO239</f>
        <v>0.7</v>
      </c>
      <c r="AP240" s="1081">
        <v>0.75</v>
      </c>
      <c r="AQ240" s="1081">
        <f>AP240</f>
        <v>0.75</v>
      </c>
      <c r="AR240" s="1081">
        <f>AQ240</f>
        <v>0.75</v>
      </c>
      <c r="AS240" s="1081">
        <f>AR240</f>
        <v>0.75</v>
      </c>
      <c r="AT240" s="1078">
        <f>AT241/AT239</f>
        <v>0.74999999999999989</v>
      </c>
      <c r="AU240" s="1081">
        <v>0.8</v>
      </c>
      <c r="AV240" s="1081">
        <f>AU240</f>
        <v>0.8</v>
      </c>
      <c r="AW240" s="1081">
        <f>AV240</f>
        <v>0.8</v>
      </c>
      <c r="AX240" s="1081">
        <f>AW240</f>
        <v>0.8</v>
      </c>
      <c r="AY240" s="1078">
        <f>AY241/AY239</f>
        <v>0.8</v>
      </c>
      <c r="AZ240" s="1081">
        <v>0.8</v>
      </c>
      <c r="BA240" s="1081">
        <f>AZ240</f>
        <v>0.8</v>
      </c>
      <c r="BB240" s="1081">
        <f>BA240</f>
        <v>0.8</v>
      </c>
      <c r="BC240" s="1081">
        <f>BB240</f>
        <v>0.8</v>
      </c>
      <c r="BD240" s="1078">
        <f>BD241/BD239</f>
        <v>0.8</v>
      </c>
      <c r="BE240" s="1081">
        <v>0.8</v>
      </c>
      <c r="BF240" s="1081">
        <f>BE240</f>
        <v>0.8</v>
      </c>
      <c r="BG240" s="1081">
        <f>BF240</f>
        <v>0.8</v>
      </c>
      <c r="BH240" s="1081">
        <f>BG240</f>
        <v>0.8</v>
      </c>
      <c r="BI240" s="1078">
        <f>BI241/BI239</f>
        <v>0.80000000000000016</v>
      </c>
      <c r="BJ240" s="1081">
        <v>0.8</v>
      </c>
      <c r="BK240" s="1081">
        <f>BJ240</f>
        <v>0.8</v>
      </c>
      <c r="BL240" s="1081">
        <f>BK240</f>
        <v>0.8</v>
      </c>
      <c r="BM240" s="1081">
        <f>BL240</f>
        <v>0.8</v>
      </c>
      <c r="BN240" s="1078">
        <f>BN241/BN239</f>
        <v>0.80000000000000016</v>
      </c>
      <c r="BO240" s="1081">
        <v>0.8</v>
      </c>
      <c r="BP240" s="1081">
        <f>BO240</f>
        <v>0.8</v>
      </c>
      <c r="BQ240" s="1081">
        <f>BP240</f>
        <v>0.8</v>
      </c>
      <c r="BR240" s="1081">
        <f>BQ240</f>
        <v>0.8</v>
      </c>
      <c r="BS240" s="1078">
        <f>BS241/BS239</f>
        <v>0.79999999999999982</v>
      </c>
      <c r="BT240" s="1081">
        <v>0.8</v>
      </c>
      <c r="BU240" s="1081">
        <f>BT240</f>
        <v>0.8</v>
      </c>
      <c r="BV240" s="1081">
        <f>BU240</f>
        <v>0.8</v>
      </c>
      <c r="BW240" s="1081">
        <f>BV240</f>
        <v>0.8</v>
      </c>
      <c r="BX240" s="1078">
        <f>BX241/BX239</f>
        <v>0.8</v>
      </c>
      <c r="BY240" s="1529"/>
      <c r="BZ240" s="1078"/>
      <c r="CA240" s="1078"/>
      <c r="CB240" s="1078"/>
      <c r="CC240" s="1078"/>
      <c r="CD240" s="1078"/>
      <c r="CE240" s="1078"/>
      <c r="CF240" s="1078"/>
      <c r="CG240" s="1078"/>
      <c r="CH240" s="1078"/>
    </row>
    <row r="241" spans="1:86" s="1027" customFormat="1">
      <c r="A241" s="1028" t="s">
        <v>961</v>
      </c>
      <c r="B241" s="1030"/>
      <c r="C241" s="1030"/>
      <c r="D241" s="1030"/>
      <c r="E241" s="1030"/>
      <c r="F241" s="1029"/>
      <c r="G241" s="1030"/>
      <c r="H241" s="1030"/>
      <c r="I241" s="1030"/>
      <c r="J241" s="1030"/>
      <c r="K241" s="1029"/>
      <c r="L241" s="1030"/>
      <c r="M241" s="1030"/>
      <c r="N241" s="1030"/>
      <c r="O241" s="1030"/>
      <c r="P241" s="1029"/>
      <c r="Q241" s="1030"/>
      <c r="R241" s="1030"/>
      <c r="S241" s="1030"/>
      <c r="T241" s="1030"/>
      <c r="U241" s="1029"/>
      <c r="V241" s="1030"/>
      <c r="W241" s="1030"/>
      <c r="X241" s="1030"/>
      <c r="Y241" s="1030"/>
      <c r="Z241" s="1029"/>
      <c r="AA241" s="1030"/>
      <c r="AB241" s="1030"/>
      <c r="AC241" s="1030"/>
      <c r="AD241" s="1030"/>
      <c r="AE241" s="1029">
        <f t="shared" ref="AE241:AM241" si="437">AE240*AE239</f>
        <v>0.3</v>
      </c>
      <c r="AF241" s="1030">
        <f t="shared" si="437"/>
        <v>0.12403125</v>
      </c>
      <c r="AG241" s="1030">
        <f t="shared" si="437"/>
        <v>0.16537499999999999</v>
      </c>
      <c r="AH241" s="1030">
        <f t="shared" si="437"/>
        <v>0.22049999999999997</v>
      </c>
      <c r="AI241" s="1030">
        <f t="shared" si="437"/>
        <v>0.29399999999999998</v>
      </c>
      <c r="AJ241" s="1029">
        <f t="shared" si="437"/>
        <v>0.77</v>
      </c>
      <c r="AK241" s="1031">
        <f t="shared" si="437"/>
        <v>0.33403125</v>
      </c>
      <c r="AL241" s="1030">
        <f t="shared" si="437"/>
        <v>0.34037499999999998</v>
      </c>
      <c r="AM241" s="1030">
        <f t="shared" si="437"/>
        <v>0.39549999999999996</v>
      </c>
      <c r="AN241" s="1030">
        <f>AN240*AN239</f>
        <v>0.43400000000000005</v>
      </c>
      <c r="AO241" s="1029">
        <f>SUM(AK241:AN241)</f>
        <v>1.50390625</v>
      </c>
      <c r="AP241" s="1031">
        <f>AP240*AP239</f>
        <v>0.50789062499999993</v>
      </c>
      <c r="AQ241" s="1030">
        <f>AQ240*AQ239</f>
        <v>1.1896875000000002</v>
      </c>
      <c r="AR241" s="1030">
        <f>AR240*AR239</f>
        <v>1.0987500000000003</v>
      </c>
      <c r="AS241" s="1030">
        <f>AS240*AS239</f>
        <v>1.3649999999999995</v>
      </c>
      <c r="AT241" s="1029">
        <f>SUM(AP241:AS241)</f>
        <v>4.1613281249999998</v>
      </c>
      <c r="AU241" s="1031">
        <f>AU240*AU239</f>
        <v>1.7017499999999999</v>
      </c>
      <c r="AV241" s="1030">
        <f>AV240*AV239</f>
        <v>2.9889999999999999</v>
      </c>
      <c r="AW241" s="1030">
        <f>AW240*AW239</f>
        <v>3.7320000000000011</v>
      </c>
      <c r="AX241" s="1030">
        <f>AX240*AX239</f>
        <v>3.6959999999999997</v>
      </c>
      <c r="AY241" s="1029">
        <f>SUM(AU241:AX241)</f>
        <v>12.11875</v>
      </c>
      <c r="AZ241" s="1031">
        <f>AZ240*AZ239</f>
        <v>4.10175</v>
      </c>
      <c r="BA241" s="1030">
        <f>BA240*BA239</f>
        <v>4.9089999999999998</v>
      </c>
      <c r="BB241" s="1030">
        <f>BB240*BB239</f>
        <v>5.0120000000000005</v>
      </c>
      <c r="BC241" s="1030">
        <f>BC240*BC239</f>
        <v>4.4159999999999995</v>
      </c>
      <c r="BD241" s="1029">
        <f>SUM(AZ241:BC241)</f>
        <v>18.438749999999999</v>
      </c>
      <c r="BE241" s="1031">
        <f>BE240*BE239</f>
        <v>4.8217500000000006</v>
      </c>
      <c r="BF241" s="1030">
        <f>BF240*BF239</f>
        <v>5.6290000000000004</v>
      </c>
      <c r="BG241" s="1030">
        <f>BG240*BG239</f>
        <v>6.0520000000000005</v>
      </c>
      <c r="BH241" s="1030">
        <f>BH240*BH239</f>
        <v>5.056</v>
      </c>
      <c r="BI241" s="1029">
        <f>SUM(BE241:BH241)</f>
        <v>21.558750000000003</v>
      </c>
      <c r="BJ241" s="1031">
        <f>BJ240*BJ239</f>
        <v>5.6217500000000005</v>
      </c>
      <c r="BK241" s="1030">
        <f>BK240*BK239</f>
        <v>6.5890000000000004</v>
      </c>
      <c r="BL241" s="1030">
        <f>BL240*BL239</f>
        <v>7.1720000000000006</v>
      </c>
      <c r="BM241" s="1030">
        <f>BM240*BM239</f>
        <v>5.8559999999999999</v>
      </c>
      <c r="BN241" s="1029">
        <f>SUM(BJ241:BM241)</f>
        <v>25.238750000000003</v>
      </c>
      <c r="BO241" s="1031">
        <f>BO240*BO239</f>
        <v>6.4217500000000003</v>
      </c>
      <c r="BP241" s="1030">
        <f>BP240*BP239</f>
        <v>7.3890000000000002</v>
      </c>
      <c r="BQ241" s="1030">
        <f>BQ240*BQ239</f>
        <v>7.9720000000000004</v>
      </c>
      <c r="BR241" s="1030">
        <f>BR240*BR239</f>
        <v>6.6560000000000006</v>
      </c>
      <c r="BS241" s="1029">
        <f>SUM(BO241:BR241)</f>
        <v>28.438749999999999</v>
      </c>
      <c r="BT241" s="1031">
        <f>BT240*BT239</f>
        <v>7.1417500000000009</v>
      </c>
      <c r="BU241" s="1030">
        <f>BU240*BU239</f>
        <v>8.109</v>
      </c>
      <c r="BV241" s="1030">
        <f>BV240*BV239</f>
        <v>8.6920000000000002</v>
      </c>
      <c r="BW241" s="1030">
        <f>BW240*BW239</f>
        <v>7.3760000000000012</v>
      </c>
      <c r="BX241" s="1029">
        <f>SUM(BT241:BW241)</f>
        <v>31.318750000000001</v>
      </c>
      <c r="BY241" s="1530"/>
      <c r="BZ241" s="1029"/>
      <c r="CA241" s="1029"/>
      <c r="CB241" s="1029">
        <f>SUM(AM241:AN241,AP241:AQ241)</f>
        <v>2.5270781250000001</v>
      </c>
      <c r="CC241" s="1029">
        <f>SUM(AR241:AS241,AU241:AV241)</f>
        <v>7.1544999999999996</v>
      </c>
      <c r="CD241" s="1029">
        <f>SUM(AW241:AX241,AZ241:BA241)</f>
        <v>16.438749999999999</v>
      </c>
      <c r="CE241" s="1029">
        <f>SUM(BB241:BC241,BE241:BF241)</f>
        <v>19.878750000000004</v>
      </c>
      <c r="CF241" s="1029">
        <f>SUM(BG241:BH241,BJ241:BK241)</f>
        <v>23.318750000000001</v>
      </c>
      <c r="CG241" s="1029">
        <f>SUM(BL241:BM241,BO241:BP241)</f>
        <v>26.838750000000001</v>
      </c>
      <c r="CH241" s="1029">
        <f>SUM(BQ241:BR241,BT241:BU241)</f>
        <v>29.878750000000004</v>
      </c>
    </row>
    <row r="242" spans="1:86" s="1022" customFormat="1">
      <c r="A242" s="1032" t="s">
        <v>926</v>
      </c>
      <c r="B242" s="1034"/>
      <c r="C242" s="1034"/>
      <c r="D242" s="1034"/>
      <c r="E242" s="1034"/>
      <c r="F242" s="1033"/>
      <c r="G242" s="1034"/>
      <c r="H242" s="1034"/>
      <c r="I242" s="1034"/>
      <c r="J242" s="1034"/>
      <c r="K242" s="1033"/>
      <c r="L242" s="1034"/>
      <c r="M242" s="1034"/>
      <c r="N242" s="1034"/>
      <c r="O242" s="1034"/>
      <c r="P242" s="1033"/>
      <c r="Q242" s="1034"/>
      <c r="R242" s="1034"/>
      <c r="S242" s="1034"/>
      <c r="T242" s="1034"/>
      <c r="U242" s="1033"/>
      <c r="V242" s="1034"/>
      <c r="W242" s="1034"/>
      <c r="X242" s="1034"/>
      <c r="Y242" s="1034"/>
      <c r="Z242" s="1033"/>
      <c r="AA242" s="1034"/>
      <c r="AB242" s="1034"/>
      <c r="AC242" s="1034"/>
      <c r="AD242" s="1034"/>
      <c r="AE242" s="1033"/>
      <c r="AF242" s="1017"/>
      <c r="AG242" s="1034"/>
      <c r="AH242" s="1034"/>
      <c r="AI242" s="1034"/>
      <c r="AJ242" s="1035">
        <f t="shared" ref="AJ242:BS242" si="438">IF(ISERROR(AJ241/AE241-1),,(AJ241/AE241-1))</f>
        <v>1.5666666666666669</v>
      </c>
      <c r="AK242" s="1036">
        <f t="shared" si="438"/>
        <v>1.693121693121693</v>
      </c>
      <c r="AL242" s="1036">
        <f t="shared" si="438"/>
        <v>1.0582010582010581</v>
      </c>
      <c r="AM242" s="1036">
        <f t="shared" si="438"/>
        <v>0.79365079365079372</v>
      </c>
      <c r="AN242" s="1036">
        <f t="shared" si="438"/>
        <v>0.4761904761904765</v>
      </c>
      <c r="AO242" s="1035">
        <f t="shared" si="438"/>
        <v>0.953125</v>
      </c>
      <c r="AP242" s="1036">
        <f t="shared" si="438"/>
        <v>0.52048835251192793</v>
      </c>
      <c r="AQ242" s="1036">
        <f t="shared" si="438"/>
        <v>2.4952258538376797</v>
      </c>
      <c r="AR242" s="1036">
        <f t="shared" si="438"/>
        <v>1.7781289506953235</v>
      </c>
      <c r="AS242" s="1036">
        <f t="shared" si="438"/>
        <v>2.1451612903225792</v>
      </c>
      <c r="AT242" s="1035">
        <f t="shared" si="438"/>
        <v>1.7670129870129867</v>
      </c>
      <c r="AU242" s="1036">
        <f t="shared" si="438"/>
        <v>2.3506229810798343</v>
      </c>
      <c r="AV242" s="1036">
        <f t="shared" si="438"/>
        <v>1.5124244812188068</v>
      </c>
      <c r="AW242" s="1036">
        <f t="shared" si="438"/>
        <v>2.3965870307167236</v>
      </c>
      <c r="AX242" s="1036">
        <f t="shared" si="438"/>
        <v>1.7076923076923083</v>
      </c>
      <c r="AY242" s="1035">
        <f t="shared" si="438"/>
        <v>1.9122312963484465</v>
      </c>
      <c r="AZ242" s="1036">
        <f t="shared" si="438"/>
        <v>1.4103129131776115</v>
      </c>
      <c r="BA242" s="1036">
        <f t="shared" si="438"/>
        <v>0.64235530277684849</v>
      </c>
      <c r="BB242" s="1036">
        <f t="shared" si="438"/>
        <v>0.34297963558413702</v>
      </c>
      <c r="BC242" s="1036">
        <f t="shared" si="438"/>
        <v>0.19480519480519476</v>
      </c>
      <c r="BD242" s="1035">
        <f t="shared" si="438"/>
        <v>0.52150593089221231</v>
      </c>
      <c r="BE242" s="1036">
        <f t="shared" si="438"/>
        <v>0.17553483269336279</v>
      </c>
      <c r="BF242" s="1036">
        <f t="shared" si="438"/>
        <v>0.14666938276634767</v>
      </c>
      <c r="BG242" s="1036">
        <f t="shared" si="438"/>
        <v>0.20750199521149248</v>
      </c>
      <c r="BH242" s="1036">
        <f t="shared" si="438"/>
        <v>0.14492753623188426</v>
      </c>
      <c r="BI242" s="1035">
        <f t="shared" si="438"/>
        <v>0.16920886719544459</v>
      </c>
      <c r="BJ242" s="1036">
        <f t="shared" si="438"/>
        <v>0.16591486493493024</v>
      </c>
      <c r="BK242" s="1036">
        <f t="shared" si="438"/>
        <v>0.17054538994492807</v>
      </c>
      <c r="BL242" s="1036">
        <f t="shared" si="438"/>
        <v>0.18506278916060803</v>
      </c>
      <c r="BM242" s="1036">
        <f t="shared" si="438"/>
        <v>0.15822784810126578</v>
      </c>
      <c r="BN242" s="1035">
        <f t="shared" si="438"/>
        <v>0.1706963529889256</v>
      </c>
      <c r="BO242" s="1036">
        <f t="shared" si="438"/>
        <v>0.14230444256681629</v>
      </c>
      <c r="BP242" s="1036">
        <f t="shared" si="438"/>
        <v>0.12141447867658206</v>
      </c>
      <c r="BQ242" s="1036">
        <f t="shared" si="438"/>
        <v>0.11154489682097046</v>
      </c>
      <c r="BR242" s="1036">
        <f t="shared" si="438"/>
        <v>0.13661202185792365</v>
      </c>
      <c r="BS242" s="1035">
        <f t="shared" si="438"/>
        <v>0.12678916348868285</v>
      </c>
      <c r="BT242" s="1036">
        <f t="shared" ref="BT242" si="439">IF(ISERROR(BT241/BO241-1),,(BT241/BO241-1))</f>
        <v>0.11211897068556098</v>
      </c>
      <c r="BU242" s="1036">
        <f t="shared" ref="BU242" si="440">IF(ISERROR(BU241/BP241-1),,(BU241/BP241-1))</f>
        <v>9.7442143727161978E-2</v>
      </c>
      <c r="BV242" s="1036">
        <f t="shared" ref="BV242" si="441">IF(ISERROR(BV241/BQ241-1),,(BV241/BQ241-1))</f>
        <v>9.0316106372303029E-2</v>
      </c>
      <c r="BW242" s="1036">
        <f t="shared" ref="BW242" si="442">IF(ISERROR(BW241/BR241-1),,(BW241/BR241-1))</f>
        <v>0.10817307692307709</v>
      </c>
      <c r="BX242" s="1035">
        <f t="shared" ref="BX242" si="443">IF(ISERROR(BX241/BS241-1),,(BX241/BS241-1))</f>
        <v>0.10127027383411735</v>
      </c>
      <c r="BY242" s="1438"/>
      <c r="BZ242" s="1035"/>
      <c r="CA242" s="1035"/>
      <c r="CB242" s="1035"/>
      <c r="CC242" s="1035"/>
      <c r="CD242" s="1035"/>
      <c r="CE242" s="1035"/>
      <c r="CF242" s="1035"/>
      <c r="CG242" s="1035"/>
      <c r="CH242" s="1035"/>
    </row>
    <row r="243" spans="1:86" s="1027" customFormat="1">
      <c r="A243" s="1028" t="s">
        <v>962</v>
      </c>
      <c r="B243" s="1030"/>
      <c r="C243" s="1030"/>
      <c r="D243" s="1030"/>
      <c r="E243" s="1030"/>
      <c r="F243" s="1029"/>
      <c r="G243" s="1030"/>
      <c r="H243" s="1030"/>
      <c r="I243" s="1030"/>
      <c r="J243" s="1030"/>
      <c r="K243" s="1029"/>
      <c r="L243" s="1030"/>
      <c r="M243" s="1030"/>
      <c r="N243" s="1030"/>
      <c r="O243" s="1030"/>
      <c r="P243" s="1029"/>
      <c r="Q243" s="1030"/>
      <c r="R243" s="1030"/>
      <c r="S243" s="1030"/>
      <c r="T243" s="1030"/>
      <c r="U243" s="1029"/>
      <c r="V243" s="1030"/>
      <c r="W243" s="1030"/>
      <c r="X243" s="1030"/>
      <c r="Y243" s="1030"/>
      <c r="Z243" s="1029"/>
      <c r="AA243" s="1030"/>
      <c r="AB243" s="1030"/>
      <c r="AC243" s="1030"/>
      <c r="AD243" s="1030"/>
      <c r="AE243" s="1029">
        <f>AE234+AE239-AE241</f>
        <v>1.3</v>
      </c>
      <c r="AF243" s="1030">
        <f>AF234+AF239-AF241</f>
        <v>0.35315625000000006</v>
      </c>
      <c r="AG243" s="1030">
        <f>AG234+AG239-AG241</f>
        <v>0.32087500000000002</v>
      </c>
      <c r="AH243" s="1030">
        <f>AH234+AH239-AH241</f>
        <v>0.34449999999999997</v>
      </c>
      <c r="AI243" s="1030">
        <f>AI234+AI239-AI241</f>
        <v>0.32600000000000012</v>
      </c>
      <c r="AJ243" s="1029">
        <f>SUM(AF243:AI243)</f>
        <v>1.3445312500000002</v>
      </c>
      <c r="AK243" s="1030">
        <f>AK234+AK239-AK241</f>
        <v>0.34315624999999983</v>
      </c>
      <c r="AL243" s="1030">
        <f>AL234+AL239-AL241</f>
        <v>1.2458750000000003</v>
      </c>
      <c r="AM243" s="1030">
        <f>AM234+AM239-AM241</f>
        <v>1.0695000000000003</v>
      </c>
      <c r="AN243" s="1030">
        <f>AN234+AN239-AN241</f>
        <v>1.3859999999999992</v>
      </c>
      <c r="AO243" s="1029">
        <f>SUM(AK243:AN243)</f>
        <v>4.0445312499999995</v>
      </c>
      <c r="AP243" s="1030">
        <f>AP234+AP239-AP241</f>
        <v>1.6192968749999999</v>
      </c>
      <c r="AQ243" s="1030">
        <f>AQ234+AQ239-AQ241</f>
        <v>2.5465624999999994</v>
      </c>
      <c r="AR243" s="1030">
        <f>AR234+AR239-AR241</f>
        <v>3.5662500000000006</v>
      </c>
      <c r="AS243" s="1030">
        <f>AS234+AS239-AS241</f>
        <v>3.2549999999999999</v>
      </c>
      <c r="AT243" s="1029">
        <f>SUM(AP243:AS243)</f>
        <v>10.987109374999999</v>
      </c>
      <c r="AU243" s="1030">
        <f>AU234+AU239-AU241</f>
        <v>3.4254375000000001</v>
      </c>
      <c r="AV243" s="1030">
        <f>AV234+AV239-AV241</f>
        <v>3.1472499999999997</v>
      </c>
      <c r="AW243" s="1030">
        <f>AW234+AW239-AW241</f>
        <v>2.5329999999999995</v>
      </c>
      <c r="AX243" s="1030">
        <f>AX234+AX239-AX241</f>
        <v>1.8239999999999998</v>
      </c>
      <c r="AY243" s="1029">
        <f>SUM(AU243:AX243)</f>
        <v>10.929687499999998</v>
      </c>
      <c r="AZ243" s="1030">
        <f>AZ234+AZ239-AZ241</f>
        <v>1.9254375000000001</v>
      </c>
      <c r="BA243" s="1030">
        <f>BA234+BA239-BA241</f>
        <v>2.1272500000000001</v>
      </c>
      <c r="BB243" s="1030">
        <f>BB234+BB239-BB241</f>
        <v>2.5529999999999999</v>
      </c>
      <c r="BC243" s="1030">
        <f>BC234+BC239-BC241</f>
        <v>1.9039999999999999</v>
      </c>
      <c r="BD243" s="1029">
        <f>SUM(AZ243:BC243)</f>
        <v>8.5096875000000001</v>
      </c>
      <c r="BE243" s="1030">
        <f>BE234+BE239-BE241</f>
        <v>2.2054374999999995</v>
      </c>
      <c r="BF243" s="1030">
        <f>BF234+BF239-BF241</f>
        <v>2.6072499999999996</v>
      </c>
      <c r="BG243" s="1030">
        <f>BG234+BG239-BG241</f>
        <v>2.9129999999999994</v>
      </c>
      <c r="BH243" s="1030">
        <f>BH234+BH239-BH241</f>
        <v>2.2639999999999993</v>
      </c>
      <c r="BI243" s="1029">
        <f>SUM(BE243:BH243)</f>
        <v>9.9896874999999987</v>
      </c>
      <c r="BJ243" s="1030">
        <f>BJ234+BJ239-BJ241</f>
        <v>2.4054374999999997</v>
      </c>
      <c r="BK243" s="1030">
        <f>BK234+BK239-BK241</f>
        <v>2.6472499999999997</v>
      </c>
      <c r="BL243" s="1030">
        <f>BL234+BL239-BL241</f>
        <v>2.7929999999999993</v>
      </c>
      <c r="BM243" s="1030">
        <f>BM234+BM239-BM241</f>
        <v>2.4640000000000004</v>
      </c>
      <c r="BN243" s="1029">
        <f>SUM(BJ243:BM243)</f>
        <v>10.309687499999999</v>
      </c>
      <c r="BO243" s="1030">
        <f>BO234+BO239-BO241</f>
        <v>2.5054375000000002</v>
      </c>
      <c r="BP243" s="1030">
        <f>BP234+BP239-BP241</f>
        <v>2.7472500000000002</v>
      </c>
      <c r="BQ243" s="1030">
        <f>BQ234+BQ239-BQ241</f>
        <v>2.8929999999999998</v>
      </c>
      <c r="BR243" s="1030">
        <f>BR234+BR239-BR241</f>
        <v>2.5640000000000001</v>
      </c>
      <c r="BS243" s="1029">
        <f>SUM(BO243:BR243)</f>
        <v>10.709687500000001</v>
      </c>
      <c r="BT243" s="1030">
        <f>BT234+BT239-BT241</f>
        <v>2.5854375000000003</v>
      </c>
      <c r="BU243" s="1030">
        <f>BU234+BU239-BU241</f>
        <v>2.8272500000000012</v>
      </c>
      <c r="BV243" s="1030">
        <f>BV234+BV239-BV241</f>
        <v>2.9730000000000008</v>
      </c>
      <c r="BW243" s="1030">
        <f>BW234+BW239-BW241</f>
        <v>2.6440000000000001</v>
      </c>
      <c r="BX243" s="1029">
        <f>SUM(BT243:BW243)</f>
        <v>11.029687500000003</v>
      </c>
      <c r="BY243" s="1530"/>
      <c r="BZ243" s="1029"/>
      <c r="CA243" s="1029"/>
      <c r="CB243" s="1029">
        <f>SUM(AM243:AN243,AP243:AQ243)</f>
        <v>6.621359374999999</v>
      </c>
      <c r="CC243" s="1029">
        <f>SUM(AR243:AS243,AU243:AV243)</f>
        <v>13.3939375</v>
      </c>
      <c r="CD243" s="1029">
        <f>SUM(AW243:AX243,AZ243:BA243)</f>
        <v>8.4096875000000004</v>
      </c>
      <c r="CE243" s="1029">
        <f>SUM(BB243:BC243,BE243:BF243)</f>
        <v>9.2696874999999999</v>
      </c>
      <c r="CF243" s="1029">
        <f>SUM(BG243:BH243,BJ243:BK243)</f>
        <v>10.229687499999997</v>
      </c>
      <c r="CG243" s="1029">
        <f>SUM(BL243:BM243,BO243:BP243)</f>
        <v>10.5096875</v>
      </c>
      <c r="CH243" s="1029">
        <f>SUM(BQ243:BR243,BT243:BU243)</f>
        <v>10.869687500000001</v>
      </c>
    </row>
    <row r="244" spans="1:86" s="1022" customFormat="1">
      <c r="A244" s="1032" t="s">
        <v>926</v>
      </c>
      <c r="B244" s="1034"/>
      <c r="C244" s="1034"/>
      <c r="D244" s="1034"/>
      <c r="E244" s="1034"/>
      <c r="F244" s="1033"/>
      <c r="G244" s="1034"/>
      <c r="H244" s="1034"/>
      <c r="I244" s="1034"/>
      <c r="J244" s="1034"/>
      <c r="K244" s="1033"/>
      <c r="L244" s="1034"/>
      <c r="M244" s="1034"/>
      <c r="N244" s="1034"/>
      <c r="O244" s="1034"/>
      <c r="P244" s="1033"/>
      <c r="Q244" s="1034"/>
      <c r="R244" s="1034"/>
      <c r="S244" s="1034"/>
      <c r="T244" s="1034"/>
      <c r="U244" s="1033"/>
      <c r="V244" s="1034"/>
      <c r="W244" s="1034"/>
      <c r="X244" s="1034"/>
      <c r="Y244" s="1034"/>
      <c r="Z244" s="1033"/>
      <c r="AA244" s="1034"/>
      <c r="AB244" s="1034"/>
      <c r="AC244" s="1034"/>
      <c r="AD244" s="1034"/>
      <c r="AE244" s="1033"/>
      <c r="AF244" s="1017"/>
      <c r="AG244" s="1034"/>
      <c r="AH244" s="1034"/>
      <c r="AI244" s="1034"/>
      <c r="AJ244" s="1035">
        <f t="shared" ref="AJ244:BS244" si="444">IF(ISERROR(AJ243/AE243-1),,(AJ243/AE243-1))</f>
        <v>3.4254807692307709E-2</v>
      </c>
      <c r="AK244" s="1036">
        <f t="shared" si="444"/>
        <v>-2.831607822316673E-2</v>
      </c>
      <c r="AL244" s="1036">
        <f t="shared" si="444"/>
        <v>2.8827425009739001</v>
      </c>
      <c r="AM244" s="1036">
        <f t="shared" si="444"/>
        <v>2.1044992743105961</v>
      </c>
      <c r="AN244" s="1036">
        <f t="shared" si="444"/>
        <v>3.2515337423312847</v>
      </c>
      <c r="AO244" s="1035">
        <f t="shared" si="444"/>
        <v>2.0081348053457284</v>
      </c>
      <c r="AP244" s="1036">
        <f t="shared" si="444"/>
        <v>3.7188325289135795</v>
      </c>
      <c r="AQ244" s="1036">
        <f t="shared" si="444"/>
        <v>1.0439951841075539</v>
      </c>
      <c r="AR244" s="1036">
        <f t="shared" si="444"/>
        <v>2.3345021037868157</v>
      </c>
      <c r="AS244" s="1036">
        <f t="shared" si="444"/>
        <v>1.3484848484848495</v>
      </c>
      <c r="AT244" s="1035">
        <f t="shared" si="444"/>
        <v>1.7165346725903032</v>
      </c>
      <c r="AU244" s="1036">
        <f t="shared" si="444"/>
        <v>1.1153857287595894</v>
      </c>
      <c r="AV244" s="1036">
        <f t="shared" si="444"/>
        <v>0.23588170327647573</v>
      </c>
      <c r="AW244" s="1036">
        <f t="shared" si="444"/>
        <v>-0.28973010865755366</v>
      </c>
      <c r="AX244" s="1036">
        <f t="shared" si="444"/>
        <v>-0.43963133640552998</v>
      </c>
      <c r="AY244" s="1035">
        <f t="shared" si="444"/>
        <v>-5.2262950190209434E-3</v>
      </c>
      <c r="AZ244" s="1036">
        <f t="shared" si="444"/>
        <v>-0.43790026821391426</v>
      </c>
      <c r="BA244" s="1036">
        <f t="shared" si="444"/>
        <v>-0.32409246167288897</v>
      </c>
      <c r="BB244" s="1036">
        <f t="shared" si="444"/>
        <v>7.8957757599686929E-3</v>
      </c>
      <c r="BC244" s="1036">
        <f t="shared" si="444"/>
        <v>4.3859649122807154E-2</v>
      </c>
      <c r="BD244" s="1035">
        <f t="shared" si="444"/>
        <v>-0.22141529664045734</v>
      </c>
      <c r="BE244" s="1036">
        <f t="shared" si="444"/>
        <v>0.14542149511474634</v>
      </c>
      <c r="BF244" s="1036">
        <f t="shared" si="444"/>
        <v>0.22564343636149942</v>
      </c>
      <c r="BG244" s="1036">
        <f t="shared" si="444"/>
        <v>0.14101057579318432</v>
      </c>
      <c r="BH244" s="1036">
        <f t="shared" si="444"/>
        <v>0.18907563025210061</v>
      </c>
      <c r="BI244" s="1035">
        <f t="shared" si="444"/>
        <v>0.17391943006132693</v>
      </c>
      <c r="BJ244" s="1036">
        <f t="shared" si="444"/>
        <v>9.0684954799217898E-2</v>
      </c>
      <c r="BK244" s="1036">
        <f t="shared" si="444"/>
        <v>1.5341835267043802E-2</v>
      </c>
      <c r="BL244" s="1036">
        <f t="shared" si="444"/>
        <v>-4.1194644696189497E-2</v>
      </c>
      <c r="BM244" s="1036">
        <f t="shared" si="444"/>
        <v>8.8339222614841395E-2</v>
      </c>
      <c r="BN244" s="1035">
        <f t="shared" si="444"/>
        <v>3.2033034066381028E-2</v>
      </c>
      <c r="BO244" s="1036">
        <f t="shared" si="444"/>
        <v>4.157247901888983E-2</v>
      </c>
      <c r="BP244" s="1036">
        <f t="shared" si="444"/>
        <v>3.7775049579752862E-2</v>
      </c>
      <c r="BQ244" s="1036">
        <f t="shared" si="444"/>
        <v>3.58037952022916E-2</v>
      </c>
      <c r="BR244" s="1036">
        <f t="shared" si="444"/>
        <v>4.0584415584415501E-2</v>
      </c>
      <c r="BS244" s="1035">
        <f t="shared" si="444"/>
        <v>3.879846018611155E-2</v>
      </c>
      <c r="BT244" s="1036">
        <f t="shared" ref="BT244" si="445">IF(ISERROR(BT243/BO243-1),,(BT243/BO243-1))</f>
        <v>3.1930551051463141E-2</v>
      </c>
      <c r="BU244" s="1036">
        <f t="shared" ref="BU244" si="446">IF(ISERROR(BU243/BP243-1),,(BU243/BP243-1))</f>
        <v>2.9120029120029534E-2</v>
      </c>
      <c r="BV244" s="1036">
        <f t="shared" ref="BV244" si="447">IF(ISERROR(BV243/BQ243-1),,(BV243/BQ243-1))</f>
        <v>2.7652955409609659E-2</v>
      </c>
      <c r="BW244" s="1036">
        <f t="shared" ref="BW244" si="448">IF(ISERROR(BW243/BR243-1),,(BW243/BR243-1))</f>
        <v>3.120124804992197E-2</v>
      </c>
      <c r="BX244" s="1035">
        <f t="shared" ref="BX244" si="449">IF(ISERROR(BX243/BS243-1),,(BX243/BS243-1))</f>
        <v>2.9879489947769455E-2</v>
      </c>
      <c r="BY244" s="1438"/>
      <c r="BZ244" s="1035"/>
      <c r="CA244" s="1035"/>
      <c r="CB244" s="1035"/>
      <c r="CC244" s="1035"/>
      <c r="CD244" s="1035"/>
      <c r="CE244" s="1035"/>
      <c r="CF244" s="1035"/>
      <c r="CG244" s="1035"/>
      <c r="CH244" s="1035"/>
    </row>
    <row r="245" spans="1:86" s="1027" customFormat="1">
      <c r="A245" s="1028" t="s">
        <v>967</v>
      </c>
      <c r="B245" s="1030"/>
      <c r="C245" s="1030"/>
      <c r="D245" s="1030"/>
      <c r="E245" s="1030"/>
      <c r="F245" s="1029"/>
      <c r="G245" s="1030"/>
      <c r="H245" s="1030"/>
      <c r="I245" s="1030"/>
      <c r="J245" s="1030"/>
      <c r="K245" s="1029"/>
      <c r="L245" s="1030"/>
      <c r="M245" s="1030"/>
      <c r="N245" s="1030"/>
      <c r="O245" s="1030"/>
      <c r="P245" s="1029"/>
      <c r="Q245" s="1030"/>
      <c r="R245" s="1030"/>
      <c r="S245" s="1030"/>
      <c r="T245" s="1030"/>
      <c r="U245" s="1029"/>
      <c r="V245" s="1030"/>
      <c r="W245" s="1030"/>
      <c r="X245" s="1030"/>
      <c r="Y245" s="1030"/>
      <c r="Z245" s="1029"/>
      <c r="AA245" s="1030"/>
      <c r="AB245" s="1030"/>
      <c r="AC245" s="1030"/>
      <c r="AD245" s="1030"/>
      <c r="AE245" s="1029">
        <f>AE243+AE241</f>
        <v>1.6</v>
      </c>
      <c r="AF245" s="1030">
        <f t="shared" ref="AF245:BC245" si="450">AF243+AF241</f>
        <v>0.47718750000000004</v>
      </c>
      <c r="AG245" s="1030">
        <f t="shared" si="450"/>
        <v>0.48625000000000002</v>
      </c>
      <c r="AH245" s="1030">
        <f t="shared" si="450"/>
        <v>0.56499999999999995</v>
      </c>
      <c r="AI245" s="1030">
        <f t="shared" si="450"/>
        <v>0.62000000000000011</v>
      </c>
      <c r="AJ245" s="1029">
        <f>SUM(AF245:AI245)</f>
        <v>2.1484375</v>
      </c>
      <c r="AK245" s="1030">
        <f t="shared" si="450"/>
        <v>0.67718749999999983</v>
      </c>
      <c r="AL245" s="1030">
        <f t="shared" si="450"/>
        <v>1.5862500000000002</v>
      </c>
      <c r="AM245" s="1030">
        <f t="shared" si="450"/>
        <v>1.4650000000000003</v>
      </c>
      <c r="AN245" s="1030">
        <f>AN243+AN241</f>
        <v>1.8199999999999994</v>
      </c>
      <c r="AO245" s="1029">
        <f>SUM(AK245:AN245)</f>
        <v>5.5484375000000004</v>
      </c>
      <c r="AP245" s="1030">
        <f t="shared" si="450"/>
        <v>2.1271874999999998</v>
      </c>
      <c r="AQ245" s="1030">
        <f t="shared" si="450"/>
        <v>3.7362499999999996</v>
      </c>
      <c r="AR245" s="1030">
        <f t="shared" si="450"/>
        <v>4.6650000000000009</v>
      </c>
      <c r="AS245" s="1030">
        <f t="shared" si="450"/>
        <v>4.6199999999999992</v>
      </c>
      <c r="AT245" s="1029">
        <f>SUM(AP245:AS245)</f>
        <v>15.1484375</v>
      </c>
      <c r="AU245" s="1030">
        <f t="shared" si="450"/>
        <v>5.1271874999999998</v>
      </c>
      <c r="AV245" s="1030">
        <f t="shared" si="450"/>
        <v>6.1362499999999995</v>
      </c>
      <c r="AW245" s="1030">
        <f t="shared" si="450"/>
        <v>6.2650000000000006</v>
      </c>
      <c r="AX245" s="1030">
        <f t="shared" si="450"/>
        <v>5.52</v>
      </c>
      <c r="AY245" s="1029">
        <f>SUM(AU245:AX245)</f>
        <v>23.048437499999999</v>
      </c>
      <c r="AZ245" s="1030">
        <f>AZ243+AZ241</f>
        <v>6.0271875000000001</v>
      </c>
      <c r="BA245" s="1030">
        <f t="shared" si="450"/>
        <v>7.0362499999999999</v>
      </c>
      <c r="BB245" s="1030">
        <f t="shared" si="450"/>
        <v>7.5650000000000004</v>
      </c>
      <c r="BC245" s="1030">
        <f t="shared" si="450"/>
        <v>6.3199999999999994</v>
      </c>
      <c r="BD245" s="1029">
        <f>SUM(AZ245:BC245)</f>
        <v>26.948437500000001</v>
      </c>
      <c r="BE245" s="1030">
        <f>BE243+BE241</f>
        <v>7.0271875000000001</v>
      </c>
      <c r="BF245" s="1030">
        <f t="shared" ref="BF245:BG245" si="451">BF243+BF241</f>
        <v>8.2362500000000001</v>
      </c>
      <c r="BG245" s="1030">
        <f t="shared" si="451"/>
        <v>8.9649999999999999</v>
      </c>
      <c r="BH245" s="1030">
        <f>BH243+BH241</f>
        <v>7.3199999999999994</v>
      </c>
      <c r="BI245" s="1029">
        <f>SUM(BE245:BH245)</f>
        <v>31.548437499999999</v>
      </c>
      <c r="BJ245" s="1030">
        <f>BJ243+BJ241</f>
        <v>8.0271875000000001</v>
      </c>
      <c r="BK245" s="1030">
        <f>BK243+BK241</f>
        <v>9.2362500000000001</v>
      </c>
      <c r="BL245" s="1030">
        <f>BL243+BL241</f>
        <v>9.9649999999999999</v>
      </c>
      <c r="BM245" s="1030">
        <f>BM243+BM241</f>
        <v>8.32</v>
      </c>
      <c r="BN245" s="1029">
        <f>SUM(BJ245:BM245)</f>
        <v>35.548437500000006</v>
      </c>
      <c r="BO245" s="1030">
        <f>BO243+BO241</f>
        <v>8.9271875000000005</v>
      </c>
      <c r="BP245" s="1030">
        <f>BP243+BP241</f>
        <v>10.13625</v>
      </c>
      <c r="BQ245" s="1030">
        <f>BQ243+BQ241</f>
        <v>10.865</v>
      </c>
      <c r="BR245" s="1030">
        <f>BR243+BR241</f>
        <v>9.2200000000000006</v>
      </c>
      <c r="BS245" s="1029">
        <f>SUM(BO245:BR245)</f>
        <v>39.1484375</v>
      </c>
      <c r="BT245" s="1030">
        <f>BT243+BT241</f>
        <v>9.7271875000000012</v>
      </c>
      <c r="BU245" s="1030">
        <f>BU243+BU241</f>
        <v>10.936250000000001</v>
      </c>
      <c r="BV245" s="1030">
        <f>BV243+BV241</f>
        <v>11.665000000000001</v>
      </c>
      <c r="BW245" s="1030">
        <f>BW243+BW241</f>
        <v>10.020000000000001</v>
      </c>
      <c r="BX245" s="1029">
        <f>SUM(BT245:BW245)</f>
        <v>42.348437500000003</v>
      </c>
      <c r="BY245" s="1530"/>
      <c r="BZ245" s="1029"/>
      <c r="CA245" s="1029"/>
      <c r="CB245" s="1029">
        <f>SUM(AM245:AN245,AP245:AQ245)</f>
        <v>9.1484375</v>
      </c>
      <c r="CC245" s="1029">
        <f>SUM(AR245:AS245,AU245:AV245)</f>
        <v>20.548437499999999</v>
      </c>
      <c r="CD245" s="1029">
        <f>SUM(AW245:AX245,AZ245:BA245)</f>
        <v>24.848437499999999</v>
      </c>
      <c r="CE245" s="1029">
        <f>SUM(BB245:BC245,BE245:BF245)</f>
        <v>29.1484375</v>
      </c>
      <c r="CF245" s="1029">
        <f>SUM(BG245:BH245,BJ245:BK245)</f>
        <v>33.548437499999999</v>
      </c>
      <c r="CG245" s="1029">
        <f>SUM(BL245:BM245,BO245:BP245)</f>
        <v>37.348437500000003</v>
      </c>
      <c r="CH245" s="1029">
        <f>SUM(BQ245:BR245,BT245:BU245)</f>
        <v>40.748437500000001</v>
      </c>
    </row>
    <row r="246" spans="1:86" s="1022" customFormat="1">
      <c r="A246" s="1032" t="s">
        <v>926</v>
      </c>
      <c r="B246" s="1034"/>
      <c r="C246" s="1034"/>
      <c r="D246" s="1034"/>
      <c r="E246" s="1034"/>
      <c r="F246" s="1033"/>
      <c r="G246" s="1034"/>
      <c r="H246" s="1034"/>
      <c r="I246" s="1034"/>
      <c r="J246" s="1034"/>
      <c r="K246" s="1033"/>
      <c r="L246" s="1034"/>
      <c r="M246" s="1034"/>
      <c r="N246" s="1034"/>
      <c r="O246" s="1034"/>
      <c r="P246" s="1033"/>
      <c r="Q246" s="1034"/>
      <c r="R246" s="1034"/>
      <c r="S246" s="1034"/>
      <c r="T246" s="1034"/>
      <c r="U246" s="1033"/>
      <c r="V246" s="1034"/>
      <c r="W246" s="1034"/>
      <c r="X246" s="1034"/>
      <c r="Y246" s="1034"/>
      <c r="Z246" s="1033"/>
      <c r="AA246" s="1034"/>
      <c r="AB246" s="1034"/>
      <c r="AC246" s="1034"/>
      <c r="AD246" s="1034"/>
      <c r="AE246" s="1033"/>
      <c r="AF246" s="1017"/>
      <c r="AG246" s="1034"/>
      <c r="AH246" s="1034"/>
      <c r="AI246" s="1034"/>
      <c r="AJ246" s="1035">
        <f t="shared" ref="AJ246:BS246" si="452">IF(ISERROR(AJ245/AE245-1),,(AJ245/AE245-1))</f>
        <v>0.3427734375</v>
      </c>
      <c r="AK246" s="1036">
        <f t="shared" si="452"/>
        <v>0.41912246234446582</v>
      </c>
      <c r="AL246" s="1036">
        <f t="shared" si="452"/>
        <v>2.2622107969151672</v>
      </c>
      <c r="AM246" s="1036">
        <f t="shared" si="452"/>
        <v>1.5929203539823016</v>
      </c>
      <c r="AN246" s="1036">
        <f t="shared" si="452"/>
        <v>1.9354838709677407</v>
      </c>
      <c r="AO246" s="1035">
        <f t="shared" si="452"/>
        <v>1.5825454545454547</v>
      </c>
      <c r="AP246" s="1036">
        <f t="shared" si="452"/>
        <v>2.1412090447623449</v>
      </c>
      <c r="AQ246" s="1036">
        <f t="shared" si="452"/>
        <v>1.3553979511426317</v>
      </c>
      <c r="AR246" s="1036">
        <f t="shared" si="452"/>
        <v>2.1843003412969284</v>
      </c>
      <c r="AS246" s="1036">
        <f t="shared" si="452"/>
        <v>1.5384615384615388</v>
      </c>
      <c r="AT246" s="1035">
        <f t="shared" si="452"/>
        <v>1.7302168403266682</v>
      </c>
      <c r="AU246" s="1036">
        <f t="shared" si="452"/>
        <v>1.4103129131776115</v>
      </c>
      <c r="AV246" s="1036">
        <f t="shared" si="452"/>
        <v>0.64235530277684849</v>
      </c>
      <c r="AW246" s="1036">
        <f t="shared" si="452"/>
        <v>0.34297963558413702</v>
      </c>
      <c r="AX246" s="1036">
        <f t="shared" si="452"/>
        <v>0.19480519480519498</v>
      </c>
      <c r="AY246" s="1035">
        <f t="shared" si="452"/>
        <v>0.52150593089221231</v>
      </c>
      <c r="AZ246" s="1036">
        <f t="shared" si="452"/>
        <v>0.17553483269336256</v>
      </c>
      <c r="BA246" s="1036">
        <f t="shared" si="452"/>
        <v>0.14666938276634767</v>
      </c>
      <c r="BB246" s="1036">
        <f t="shared" si="452"/>
        <v>0.20750199521149226</v>
      </c>
      <c r="BC246" s="1036">
        <f t="shared" si="452"/>
        <v>0.14492753623188404</v>
      </c>
      <c r="BD246" s="1035">
        <f t="shared" si="452"/>
        <v>0.16920886719544459</v>
      </c>
      <c r="BE246" s="1036">
        <f t="shared" si="452"/>
        <v>0.16591486493493024</v>
      </c>
      <c r="BF246" s="1036">
        <f t="shared" si="452"/>
        <v>0.17054538994492807</v>
      </c>
      <c r="BG246" s="1036">
        <f t="shared" si="452"/>
        <v>0.18506278916060803</v>
      </c>
      <c r="BH246" s="1036">
        <f t="shared" si="452"/>
        <v>0.15822784810126578</v>
      </c>
      <c r="BI246" s="1035">
        <f t="shared" si="452"/>
        <v>0.1706963529889256</v>
      </c>
      <c r="BJ246" s="1036">
        <f t="shared" si="452"/>
        <v>0.14230444256681629</v>
      </c>
      <c r="BK246" s="1036">
        <f t="shared" si="452"/>
        <v>0.12141447867658228</v>
      </c>
      <c r="BL246" s="1036">
        <f t="shared" si="452"/>
        <v>0.11154489682097046</v>
      </c>
      <c r="BM246" s="1036">
        <f t="shared" si="452"/>
        <v>0.13661202185792365</v>
      </c>
      <c r="BN246" s="1035">
        <f t="shared" si="452"/>
        <v>0.1267891634886833</v>
      </c>
      <c r="BO246" s="1036">
        <f t="shared" si="452"/>
        <v>0.11211897068556076</v>
      </c>
      <c r="BP246" s="1036">
        <f t="shared" si="452"/>
        <v>9.7442143727161978E-2</v>
      </c>
      <c r="BQ246" s="1036">
        <f t="shared" si="452"/>
        <v>9.0316106372303029E-2</v>
      </c>
      <c r="BR246" s="1036">
        <f t="shared" si="452"/>
        <v>0.10817307692307687</v>
      </c>
      <c r="BS246" s="1035">
        <f t="shared" si="452"/>
        <v>0.10127027383411691</v>
      </c>
      <c r="BT246" s="1036">
        <f t="shared" ref="BT246" si="453">IF(ISERROR(BT245/BO245-1),,(BT245/BO245-1))</f>
        <v>8.9613890152973719E-2</v>
      </c>
      <c r="BU246" s="1036">
        <f t="shared" ref="BU246" si="454">IF(ISERROR(BU245/BP245-1),,(BU245/BP245-1))</f>
        <v>7.8924651621655073E-2</v>
      </c>
      <c r="BV246" s="1036">
        <f t="shared" ref="BV246" si="455">IF(ISERROR(BV245/BQ245-1),,(BV245/BQ245-1))</f>
        <v>7.3630924988495217E-2</v>
      </c>
      <c r="BW246" s="1036">
        <f t="shared" ref="BW246" si="456">IF(ISERROR(BW245/BR245-1),,(BW245/BR245-1))</f>
        <v>8.6767895878524959E-2</v>
      </c>
      <c r="BX246" s="1035">
        <f t="shared" ref="BX246" si="457">IF(ISERROR(BX245/BS245-1),,(BX245/BS245-1))</f>
        <v>8.1740171622430635E-2</v>
      </c>
      <c r="BY246" s="1438"/>
      <c r="BZ246" s="1035"/>
      <c r="CA246" s="1035"/>
      <c r="CB246" s="1035"/>
      <c r="CC246" s="1035"/>
      <c r="CD246" s="1035"/>
      <c r="CE246" s="1035"/>
      <c r="CF246" s="1035"/>
      <c r="CG246" s="1035"/>
      <c r="CH246" s="1035"/>
    </row>
    <row r="247" spans="1:86" ht="7.5" customHeight="1">
      <c r="A247" s="1005"/>
      <c r="BE247" s="986"/>
      <c r="BF247" s="986"/>
      <c r="BG247" s="986"/>
      <c r="BH247" s="986"/>
      <c r="BI247" s="1009"/>
      <c r="BJ247" s="986"/>
      <c r="BK247" s="986"/>
      <c r="BL247" s="986"/>
      <c r="BM247" s="986"/>
      <c r="BN247" s="1009"/>
      <c r="BO247" s="986"/>
      <c r="BP247" s="986"/>
      <c r="BQ247" s="986"/>
      <c r="BR247" s="986"/>
      <c r="BS247" s="1009"/>
      <c r="BT247" s="986"/>
      <c r="BU247" s="986"/>
      <c r="BV247" s="986"/>
      <c r="BW247" s="986"/>
      <c r="BX247" s="1009"/>
      <c r="BY247" s="1343"/>
      <c r="CE247" s="1009"/>
      <c r="CF247" s="1009"/>
      <c r="CG247" s="1009"/>
      <c r="CH247" s="1009"/>
    </row>
    <row r="248" spans="1:86" s="1059" customFormat="1">
      <c r="A248" s="1055" t="s">
        <v>963</v>
      </c>
      <c r="B248" s="1060"/>
      <c r="C248" s="1060"/>
      <c r="D248" s="1060"/>
      <c r="E248" s="1060"/>
      <c r="F248" s="1058"/>
      <c r="G248" s="1060"/>
      <c r="H248" s="1060"/>
      <c r="I248" s="1060"/>
      <c r="J248" s="1060"/>
      <c r="K248" s="1058"/>
      <c r="L248" s="1060"/>
      <c r="M248" s="1060"/>
      <c r="N248" s="1060"/>
      <c r="O248" s="1060"/>
      <c r="P248" s="1058"/>
      <c r="Q248" s="1060"/>
      <c r="R248" s="1060"/>
      <c r="S248" s="1060"/>
      <c r="T248" s="1060"/>
      <c r="U248" s="1058"/>
      <c r="V248" s="1060"/>
      <c r="W248" s="1060"/>
      <c r="X248" s="1060"/>
      <c r="Y248" s="1060"/>
      <c r="Z248" s="1058"/>
      <c r="AA248" s="1060"/>
      <c r="AB248" s="1060"/>
      <c r="AC248" s="1060"/>
      <c r="AD248" s="1060"/>
      <c r="AE248" s="1057">
        <v>99.99</v>
      </c>
      <c r="AF248" s="1056">
        <f>AE248</f>
        <v>99.99</v>
      </c>
      <c r="AG248" s="1056">
        <f>AF248</f>
        <v>99.99</v>
      </c>
      <c r="AH248" s="1056">
        <f>AG248</f>
        <v>99.99</v>
      </c>
      <c r="AI248" s="1056">
        <f>AH248</f>
        <v>99.99</v>
      </c>
      <c r="AJ248" s="1058">
        <f>AJ249/AJ245</f>
        <v>99.99</v>
      </c>
      <c r="AK248" s="1056">
        <f>AI248</f>
        <v>99.99</v>
      </c>
      <c r="AL248" s="1056">
        <f>AK248</f>
        <v>99.99</v>
      </c>
      <c r="AM248" s="1056">
        <f>AL248</f>
        <v>99.99</v>
      </c>
      <c r="AN248" s="1056">
        <f>AM248</f>
        <v>99.99</v>
      </c>
      <c r="AO248" s="1058">
        <f>AO249/AO245</f>
        <v>99.989999999999981</v>
      </c>
      <c r="AP248" s="1056">
        <v>90</v>
      </c>
      <c r="AQ248" s="1056">
        <f>AP248</f>
        <v>90</v>
      </c>
      <c r="AR248" s="1056">
        <v>85</v>
      </c>
      <c r="AS248" s="1056">
        <f>AR248</f>
        <v>85</v>
      </c>
      <c r="AT248" s="1058">
        <f>AT249/AT245</f>
        <v>86.935327488396069</v>
      </c>
      <c r="AU248" s="1056">
        <f>AS248</f>
        <v>85</v>
      </c>
      <c r="AV248" s="1056">
        <f>AU248</f>
        <v>85</v>
      </c>
      <c r="AW248" s="1056">
        <f>AV248</f>
        <v>85</v>
      </c>
      <c r="AX248" s="1056">
        <f>AW248</f>
        <v>85</v>
      </c>
      <c r="AY248" s="1058">
        <f>AY249/AY245</f>
        <v>85</v>
      </c>
      <c r="AZ248" s="1056">
        <f>AX248</f>
        <v>85</v>
      </c>
      <c r="BA248" s="1056">
        <v>90</v>
      </c>
      <c r="BB248" s="1056">
        <v>90</v>
      </c>
      <c r="BC248" s="1056">
        <f>BB248</f>
        <v>90</v>
      </c>
      <c r="BD248" s="1058">
        <f>BD249/BD245</f>
        <v>88.881718559749515</v>
      </c>
      <c r="BE248" s="1056">
        <v>90</v>
      </c>
      <c r="BF248" s="1056">
        <v>90</v>
      </c>
      <c r="BG248" s="1056">
        <v>90</v>
      </c>
      <c r="BH248" s="1056">
        <f>BG248</f>
        <v>90</v>
      </c>
      <c r="BI248" s="1194">
        <f>BI249/BI245</f>
        <v>90</v>
      </c>
      <c r="BJ248" s="1056">
        <v>90</v>
      </c>
      <c r="BK248" s="1056">
        <f>BJ248</f>
        <v>90</v>
      </c>
      <c r="BL248" s="1056">
        <f>BK248</f>
        <v>90</v>
      </c>
      <c r="BM248" s="1056">
        <f>BL248</f>
        <v>90</v>
      </c>
      <c r="BN248" s="1194">
        <f>BN249/BN245</f>
        <v>89.999999999999986</v>
      </c>
      <c r="BO248" s="1056">
        <v>90</v>
      </c>
      <c r="BP248" s="1056">
        <f>BO248</f>
        <v>90</v>
      </c>
      <c r="BQ248" s="1056">
        <f>BP248</f>
        <v>90</v>
      </c>
      <c r="BR248" s="1056">
        <f>BQ248</f>
        <v>90</v>
      </c>
      <c r="BS248" s="1194">
        <f>BS249/BS245</f>
        <v>90.000000000000014</v>
      </c>
      <c r="BT248" s="1056">
        <v>90</v>
      </c>
      <c r="BU248" s="1056">
        <f>BT248</f>
        <v>90</v>
      </c>
      <c r="BV248" s="1056">
        <f>BU248</f>
        <v>90</v>
      </c>
      <c r="BW248" s="1056">
        <f>BV248</f>
        <v>90</v>
      </c>
      <c r="BX248" s="1194">
        <f>BX249/BX245</f>
        <v>90</v>
      </c>
      <c r="BY248" s="1526"/>
      <c r="BZ248" s="1194"/>
      <c r="CA248" s="1194"/>
      <c r="CB248" s="1194"/>
      <c r="CC248" s="1194"/>
      <c r="CD248" s="1194"/>
      <c r="CE248" s="1194"/>
      <c r="CF248" s="1194"/>
      <c r="CG248" s="1194"/>
      <c r="CH248" s="1194"/>
    </row>
    <row r="249" spans="1:86" s="1059" customFormat="1">
      <c r="A249" s="1094" t="s">
        <v>964</v>
      </c>
      <c r="B249" s="1060"/>
      <c r="C249" s="1060"/>
      <c r="D249" s="1060"/>
      <c r="E249" s="1060"/>
      <c r="F249" s="1058"/>
      <c r="G249" s="1060"/>
      <c r="H249" s="1060"/>
      <c r="I249" s="1060"/>
      <c r="J249" s="1060"/>
      <c r="K249" s="1058"/>
      <c r="L249" s="1060"/>
      <c r="M249" s="1060"/>
      <c r="N249" s="1060"/>
      <c r="O249" s="1060"/>
      <c r="P249" s="1058"/>
      <c r="Q249" s="1060"/>
      <c r="R249" s="1060"/>
      <c r="S249" s="1060"/>
      <c r="T249" s="1060"/>
      <c r="U249" s="1058"/>
      <c r="V249" s="1060"/>
      <c r="W249" s="1060"/>
      <c r="X249" s="1060"/>
      <c r="Y249" s="1060"/>
      <c r="Z249" s="1058"/>
      <c r="AA249" s="1060"/>
      <c r="AB249" s="1060"/>
      <c r="AC249" s="1060"/>
      <c r="AD249" s="1060"/>
      <c r="AE249" s="1058">
        <f>AE245*AE248</f>
        <v>159.98400000000001</v>
      </c>
      <c r="AF249" s="1060">
        <f>AF245*AF248</f>
        <v>47.713978125000004</v>
      </c>
      <c r="AG249" s="1060">
        <f>AG245*AG248</f>
        <v>48.620137499999998</v>
      </c>
      <c r="AH249" s="1060">
        <f>AH245*AH248</f>
        <v>56.49434999999999</v>
      </c>
      <c r="AI249" s="1060">
        <f>AI245*AI248</f>
        <v>61.993800000000007</v>
      </c>
      <c r="AJ249" s="1058">
        <f>SUM(AF249:AI249)</f>
        <v>214.822265625</v>
      </c>
      <c r="AK249" s="1060">
        <f>AK245*AK248</f>
        <v>67.711978124999973</v>
      </c>
      <c r="AL249" s="1060">
        <f>AL245*AL248</f>
        <v>158.6091375</v>
      </c>
      <c r="AM249" s="1060">
        <f>AM245*AM248</f>
        <v>146.48535000000001</v>
      </c>
      <c r="AN249" s="1060">
        <f>AN245*AN248</f>
        <v>181.98179999999994</v>
      </c>
      <c r="AO249" s="1058">
        <f>SUM(AK249:AN249)</f>
        <v>554.78826562499989</v>
      </c>
      <c r="AP249" s="1060">
        <f>AP245*AP248</f>
        <v>191.44687499999998</v>
      </c>
      <c r="AQ249" s="1060">
        <f>AQ245*AQ248</f>
        <v>336.26249999999999</v>
      </c>
      <c r="AR249" s="1060">
        <f>AR245*AR248</f>
        <v>396.52500000000009</v>
      </c>
      <c r="AS249" s="1060">
        <f>AS245*AS248</f>
        <v>392.69999999999993</v>
      </c>
      <c r="AT249" s="1058">
        <f>SUM(AP249:AS249)</f>
        <v>1316.9343749999998</v>
      </c>
      <c r="AU249" s="1060">
        <f>AU245*AU248</f>
        <v>435.81093749999997</v>
      </c>
      <c r="AV249" s="1060">
        <f>AV245*AV248</f>
        <v>521.58124999999995</v>
      </c>
      <c r="AW249" s="1060">
        <f>AW245*AW248</f>
        <v>532.52500000000009</v>
      </c>
      <c r="AX249" s="1060">
        <f>AX245*AX248</f>
        <v>469.2</v>
      </c>
      <c r="AY249" s="1058">
        <f>SUM(AU249:AX249)</f>
        <v>1959.1171875</v>
      </c>
      <c r="AZ249" s="1060">
        <f>AZ245*AZ248</f>
        <v>512.31093750000002</v>
      </c>
      <c r="BA249" s="1060">
        <f>BA245*BA248</f>
        <v>633.26250000000005</v>
      </c>
      <c r="BB249" s="1060">
        <f>BB245*BB248</f>
        <v>680.85</v>
      </c>
      <c r="BC249" s="1060">
        <f>BC245*BC248</f>
        <v>568.79999999999995</v>
      </c>
      <c r="BD249" s="1058">
        <f>SUM(AZ249:BC249)</f>
        <v>2395.2234374999998</v>
      </c>
      <c r="BE249" s="1197">
        <f>BE245*BE248</f>
        <v>632.44687499999998</v>
      </c>
      <c r="BF249" s="1060">
        <f>BF245*BF248</f>
        <v>741.26250000000005</v>
      </c>
      <c r="BG249" s="1060">
        <f>BG245*BG248</f>
        <v>806.85</v>
      </c>
      <c r="BH249" s="1197">
        <f>BH245*BH248</f>
        <v>658.8</v>
      </c>
      <c r="BI249" s="1194">
        <f>SUM(BE249:BH249)</f>
        <v>2839.359375</v>
      </c>
      <c r="BJ249" s="1197">
        <f>BJ245*BJ248</f>
        <v>722.44687499999998</v>
      </c>
      <c r="BK249" s="1197">
        <f>BK245*BK248</f>
        <v>831.26250000000005</v>
      </c>
      <c r="BL249" s="1197">
        <f>BL245*BL248</f>
        <v>896.85</v>
      </c>
      <c r="BM249" s="1197">
        <f>BM245*BM248</f>
        <v>748.80000000000007</v>
      </c>
      <c r="BN249" s="1194">
        <f>SUM(BJ249:BM249)</f>
        <v>3199.359375</v>
      </c>
      <c r="BO249" s="1197">
        <f>BO245*BO248</f>
        <v>803.44687500000009</v>
      </c>
      <c r="BP249" s="1197">
        <f>BP245*BP248</f>
        <v>912.26250000000005</v>
      </c>
      <c r="BQ249" s="1197">
        <f>BQ245*BQ248</f>
        <v>977.85</v>
      </c>
      <c r="BR249" s="1197">
        <f>BR245*BR248</f>
        <v>829.80000000000007</v>
      </c>
      <c r="BS249" s="1194">
        <f>SUM(BO249:BR249)</f>
        <v>3523.3593750000005</v>
      </c>
      <c r="BT249" s="1197">
        <f>BT245*BT248</f>
        <v>875.44687500000009</v>
      </c>
      <c r="BU249" s="1197">
        <f>BU245*BU248</f>
        <v>984.26250000000005</v>
      </c>
      <c r="BV249" s="1197">
        <f>BV245*BV248</f>
        <v>1049.8500000000001</v>
      </c>
      <c r="BW249" s="1197">
        <f>BW245*BW248</f>
        <v>901.80000000000007</v>
      </c>
      <c r="BX249" s="1194">
        <f>SUM(BT249:BW249)</f>
        <v>3811.3593750000005</v>
      </c>
      <c r="BY249" s="1526"/>
      <c r="BZ249" s="1194"/>
      <c r="CA249" s="1194"/>
      <c r="CB249" s="1194"/>
      <c r="CC249" s="1194"/>
      <c r="CD249" s="1194"/>
      <c r="CE249" s="1194"/>
      <c r="CF249" s="1194"/>
      <c r="CG249" s="1194"/>
      <c r="CH249" s="1194"/>
    </row>
    <row r="250" spans="1:86" s="1022" customFormat="1">
      <c r="A250" s="1032" t="s">
        <v>926</v>
      </c>
      <c r="B250" s="1034"/>
      <c r="C250" s="1034"/>
      <c r="D250" s="1034"/>
      <c r="E250" s="1034"/>
      <c r="F250" s="1033"/>
      <c r="G250" s="1034"/>
      <c r="H250" s="1034"/>
      <c r="I250" s="1034"/>
      <c r="J250" s="1034"/>
      <c r="K250" s="1033"/>
      <c r="L250" s="1034"/>
      <c r="M250" s="1034"/>
      <c r="N250" s="1034"/>
      <c r="O250" s="1034"/>
      <c r="P250" s="1033"/>
      <c r="Q250" s="1034"/>
      <c r="R250" s="1034"/>
      <c r="S250" s="1034"/>
      <c r="T250" s="1034"/>
      <c r="U250" s="1033"/>
      <c r="V250" s="1034"/>
      <c r="W250" s="1034"/>
      <c r="X250" s="1034"/>
      <c r="Y250" s="1034"/>
      <c r="Z250" s="1033"/>
      <c r="AA250" s="1034"/>
      <c r="AB250" s="1034"/>
      <c r="AC250" s="1034"/>
      <c r="AD250" s="1034"/>
      <c r="AE250" s="1033"/>
      <c r="AF250" s="1017"/>
      <c r="AG250" s="1034"/>
      <c r="AH250" s="1034"/>
      <c r="AI250" s="1034"/>
      <c r="AJ250" s="1035">
        <f t="shared" ref="AJ250:BS250" si="458">IF(ISERROR(AJ249/AE249-1),,(AJ249/AE249-1))</f>
        <v>0.3427734375</v>
      </c>
      <c r="AK250" s="1036">
        <f t="shared" si="458"/>
        <v>0.4191224623444656</v>
      </c>
      <c r="AL250" s="1036">
        <f t="shared" si="458"/>
        <v>2.2622107969151672</v>
      </c>
      <c r="AM250" s="1036">
        <f t="shared" si="458"/>
        <v>1.5929203539823016</v>
      </c>
      <c r="AN250" s="1036">
        <f t="shared" si="458"/>
        <v>1.9354838709677407</v>
      </c>
      <c r="AO250" s="1035">
        <f t="shared" si="458"/>
        <v>1.5825454545454543</v>
      </c>
      <c r="AP250" s="1036">
        <f t="shared" si="458"/>
        <v>1.827370877373848</v>
      </c>
      <c r="AQ250" s="1036">
        <f t="shared" si="458"/>
        <v>1.120070163044673</v>
      </c>
      <c r="AR250" s="1036">
        <f t="shared" si="458"/>
        <v>1.7069259827006595</v>
      </c>
      <c r="AS250" s="1036">
        <f t="shared" si="458"/>
        <v>1.1579080985021584</v>
      </c>
      <c r="AT250" s="1035">
        <f t="shared" si="458"/>
        <v>1.3737603273140606</v>
      </c>
      <c r="AU250" s="1036">
        <f t="shared" si="458"/>
        <v>1.2764066402232994</v>
      </c>
      <c r="AV250" s="1036">
        <f t="shared" si="458"/>
        <v>0.55111334151146796</v>
      </c>
      <c r="AW250" s="1036">
        <f t="shared" si="458"/>
        <v>0.34297963558413702</v>
      </c>
      <c r="AX250" s="1036">
        <f t="shared" si="458"/>
        <v>0.19480519480519498</v>
      </c>
      <c r="AY250" s="1035">
        <f t="shared" si="458"/>
        <v>0.48763463441373101</v>
      </c>
      <c r="AZ250" s="1036">
        <f t="shared" si="458"/>
        <v>0.17553483269336279</v>
      </c>
      <c r="BA250" s="1036">
        <f t="shared" si="458"/>
        <v>0.21412052292907413</v>
      </c>
      <c r="BB250" s="1036">
        <f t="shared" si="458"/>
        <v>0.27853152434158002</v>
      </c>
      <c r="BC250" s="1036">
        <f t="shared" si="458"/>
        <v>0.21227621483375958</v>
      </c>
      <c r="BD250" s="1035">
        <f t="shared" si="458"/>
        <v>0.22260345260740033</v>
      </c>
      <c r="BE250" s="1036">
        <f t="shared" si="458"/>
        <v>0.23449809228404361</v>
      </c>
      <c r="BF250" s="1036">
        <f t="shared" si="458"/>
        <v>0.17054538994492807</v>
      </c>
      <c r="BG250" s="1036">
        <f t="shared" si="458"/>
        <v>0.18506278916060803</v>
      </c>
      <c r="BH250" s="1036">
        <f t="shared" si="458"/>
        <v>0.15822784810126578</v>
      </c>
      <c r="BI250" s="1035">
        <f t="shared" si="458"/>
        <v>0.1854256811897117</v>
      </c>
      <c r="BJ250" s="1036">
        <f t="shared" si="458"/>
        <v>0.14230444256681629</v>
      </c>
      <c r="BK250" s="1036">
        <f t="shared" si="458"/>
        <v>0.12141447867658228</v>
      </c>
      <c r="BL250" s="1036">
        <f t="shared" si="458"/>
        <v>0.11154489682097046</v>
      </c>
      <c r="BM250" s="1036">
        <f t="shared" si="458"/>
        <v>0.13661202185792365</v>
      </c>
      <c r="BN250" s="1035">
        <f t="shared" si="458"/>
        <v>0.12678916348868308</v>
      </c>
      <c r="BO250" s="1036">
        <f t="shared" si="458"/>
        <v>0.11211897068556098</v>
      </c>
      <c r="BP250" s="1036">
        <f t="shared" si="458"/>
        <v>9.7442143727161978E-2</v>
      </c>
      <c r="BQ250" s="1036">
        <f t="shared" si="458"/>
        <v>9.0316106372303029E-2</v>
      </c>
      <c r="BR250" s="1036">
        <f t="shared" si="458"/>
        <v>0.10817307692307687</v>
      </c>
      <c r="BS250" s="1035">
        <f t="shared" si="458"/>
        <v>0.10127027383411735</v>
      </c>
      <c r="BT250" s="1036">
        <f t="shared" ref="BT250" si="459">IF(ISERROR(BT249/BO249-1),,(BT249/BO249-1))</f>
        <v>8.9613890152973719E-2</v>
      </c>
      <c r="BU250" s="1036">
        <f t="shared" ref="BU250" si="460">IF(ISERROR(BU249/BP249-1),,(BU249/BP249-1))</f>
        <v>7.8924651621654851E-2</v>
      </c>
      <c r="BV250" s="1036">
        <f t="shared" ref="BV250" si="461">IF(ISERROR(BV249/BQ249-1),,(BV249/BQ249-1))</f>
        <v>7.3630924988495217E-2</v>
      </c>
      <c r="BW250" s="1036">
        <f t="shared" ref="BW250" si="462">IF(ISERROR(BW249/BR249-1),,(BW249/BR249-1))</f>
        <v>8.6767895878524959E-2</v>
      </c>
      <c r="BX250" s="1035">
        <f t="shared" ref="BX250" si="463">IF(ISERROR(BX249/BS249-1),,(BX249/BS249-1))</f>
        <v>8.1740171622430635E-2</v>
      </c>
      <c r="BY250" s="1438"/>
      <c r="BZ250" s="1035"/>
      <c r="CA250" s="1035"/>
      <c r="CB250" s="1035"/>
      <c r="CC250" s="1035"/>
      <c r="CD250" s="1035"/>
      <c r="CE250" s="1035"/>
      <c r="CF250" s="1035"/>
      <c r="CG250" s="1035"/>
      <c r="CH250" s="1035"/>
    </row>
    <row r="251" spans="1:86" s="1011" customFormat="1">
      <c r="A251" s="1013" t="s">
        <v>966</v>
      </c>
      <c r="B251" s="1015"/>
      <c r="C251" s="1015"/>
      <c r="D251" s="1015"/>
      <c r="E251" s="1015"/>
      <c r="F251" s="1014"/>
      <c r="G251" s="1015"/>
      <c r="H251" s="1015"/>
      <c r="I251" s="1015"/>
      <c r="J251" s="1015"/>
      <c r="K251" s="1014"/>
      <c r="L251" s="1015"/>
      <c r="M251" s="1015"/>
      <c r="N251" s="1015"/>
      <c r="O251" s="1015"/>
      <c r="P251" s="1014"/>
      <c r="Q251" s="1015"/>
      <c r="R251" s="1015"/>
      <c r="S251" s="1015"/>
      <c r="T251" s="1015"/>
      <c r="U251" s="1014"/>
      <c r="V251" s="1015"/>
      <c r="W251" s="1015"/>
      <c r="X251" s="1015"/>
      <c r="Y251" s="1015"/>
      <c r="Z251" s="1014"/>
      <c r="AA251" s="1015"/>
      <c r="AB251" s="1015"/>
      <c r="AC251" s="1015"/>
      <c r="AD251" s="1015"/>
      <c r="AE251" s="1014">
        <v>151.89930000000001</v>
      </c>
      <c r="AF251" s="1015">
        <v>34.656300000000002</v>
      </c>
      <c r="AG251" s="1015">
        <v>35.853299999999997</v>
      </c>
      <c r="AH251" s="1015">
        <v>56.870999999999995</v>
      </c>
      <c r="AI251" s="1015">
        <v>66.720249999999993</v>
      </c>
      <c r="AJ251" s="1014">
        <v>194.10084999999998</v>
      </c>
      <c r="AK251" s="1015">
        <v>65</v>
      </c>
      <c r="AL251" s="1015">
        <v>75</v>
      </c>
      <c r="AM251" s="1015">
        <v>98</v>
      </c>
      <c r="AN251" s="1015">
        <f>AM249/4+AL249/4+AN249/4+AK249/4</f>
        <v>138.69706640624997</v>
      </c>
      <c r="AO251" s="1014">
        <f>SUM(AK251:AN251)</f>
        <v>376.69706640624997</v>
      </c>
      <c r="AP251" s="1015">
        <f>AN249/4+AM249/4+AP249/4+AL249/4</f>
        <v>169.63079062499997</v>
      </c>
      <c r="AQ251" s="1015">
        <f>AQ249/4+AP249/4+AN249/4+AM249/4</f>
        <v>214.04413124999996</v>
      </c>
      <c r="AR251" s="1015">
        <f>AR249/4+AQ249/4+AN249/4+AP249/4</f>
        <v>276.55404375000001</v>
      </c>
      <c r="AS251" s="1015">
        <f>AR249/4+AQ249/4+AS249/4+AP249/4</f>
        <v>329.23359375000007</v>
      </c>
      <c r="AT251" s="1014">
        <f>SUM(AP251:AS251)</f>
        <v>989.46255937500007</v>
      </c>
      <c r="AU251" s="1015">
        <f>AU249/4+AS249/4+AR249/4+AQ249/4</f>
        <v>390.32460937500002</v>
      </c>
      <c r="AV251" s="1015">
        <f>AV249/4+AU249/4+AS249/4+AR249/4</f>
        <v>436.654296875</v>
      </c>
      <c r="AW251" s="1015">
        <f>AW249/4+AV249/4+AS249/4+AU249/4</f>
        <v>470.654296875</v>
      </c>
      <c r="AX251" s="1015">
        <f>AW249/4+AV249/4+AX249/4+AU249/4</f>
        <v>489.779296875</v>
      </c>
      <c r="AY251" s="1014">
        <f>SUM(AU251:AX251)</f>
        <v>1787.4124999999999</v>
      </c>
      <c r="AZ251" s="1015">
        <f>AZ249/4+AX249/4+AW249/4+AV249/4</f>
        <v>508.904296875</v>
      </c>
      <c r="BA251" s="1015">
        <f>BA249/4+AZ249/4+AX249/4+AW249/4</f>
        <v>536.82460937500014</v>
      </c>
      <c r="BB251" s="1015">
        <f>BB249/4+BA249/4+AX249/4+AZ249/4</f>
        <v>573.90585937500009</v>
      </c>
      <c r="BC251" s="1015">
        <f>BB249/4+BA249/4+BC249/4+AZ249/4</f>
        <v>598.80585937500007</v>
      </c>
      <c r="BD251" s="1014">
        <f>SUM(AZ251:BC251)</f>
        <v>2218.4406250000002</v>
      </c>
      <c r="BE251" s="1015">
        <f>BE249/4+BC249/4+BB249/4+BA249/4</f>
        <v>628.83984375</v>
      </c>
      <c r="BF251" s="1015">
        <f>BF249/4+BE249/4+BC249/4+BB249/4</f>
        <v>655.83984375</v>
      </c>
      <c r="BG251" s="1015">
        <f>BG249/4+BF249/4+BE249/4+BC249/4</f>
        <v>687.33984375</v>
      </c>
      <c r="BH251" s="1015">
        <f>BG249/4+BF249/4+BH249/4+BE249/4</f>
        <v>709.83984375000011</v>
      </c>
      <c r="BI251" s="1014">
        <f>SUM(BE251:BH251)</f>
        <v>2681.859375</v>
      </c>
      <c r="BJ251" s="1015">
        <f>BJ249/4+BH249/4+BG249/4+BF249/4</f>
        <v>732.33984375</v>
      </c>
      <c r="BK251" s="1015">
        <f>BK249/4+BJ249/4+BH249/4+BG249/4</f>
        <v>754.83984374999989</v>
      </c>
      <c r="BL251" s="1015">
        <f>BL249/4+BK249/4+BH249/4+BJ249/4</f>
        <v>777.33984375000011</v>
      </c>
      <c r="BM251" s="1015">
        <f>BL249/4+BK249/4+BM249/4+BJ249/4</f>
        <v>799.83984375000011</v>
      </c>
      <c r="BN251" s="1014">
        <f>SUM(BJ251:BM251)</f>
        <v>3064.359375</v>
      </c>
      <c r="BO251" s="1015">
        <f>BO249/4+BM249/4+BL249/4+BK249/4</f>
        <v>820.08984375</v>
      </c>
      <c r="BP251" s="1015">
        <f>BP249/4+BO249/4+BM249/4+BL249/4</f>
        <v>840.33984375</v>
      </c>
      <c r="BQ251" s="1015">
        <f>BQ249/4+BP249/4+BM249/4+BO249/4</f>
        <v>860.58984375000011</v>
      </c>
      <c r="BR251" s="1015">
        <f>BQ249/4+BP249/4+BR249/4+BO249/4</f>
        <v>880.83984375000011</v>
      </c>
      <c r="BS251" s="1014">
        <f>SUM(BO251:BR251)</f>
        <v>3401.859375</v>
      </c>
      <c r="BT251" s="1015">
        <f>BT249/4+BR249/4+BQ249/4+BP249/4</f>
        <v>898.83984375</v>
      </c>
      <c r="BU251" s="1015">
        <f>BU249/4+BT249/4+BR249/4+BQ249/4</f>
        <v>916.83984375</v>
      </c>
      <c r="BV251" s="1015">
        <f>BV249/4+BU249/4+BR249/4+BT249/4</f>
        <v>934.83984375000011</v>
      </c>
      <c r="BW251" s="1015">
        <f>BV249/4+BU249/4+BW249/4+BT249/4</f>
        <v>952.83984375000011</v>
      </c>
      <c r="BX251" s="1014">
        <f>SUM(BT251:BW251)</f>
        <v>3703.359375</v>
      </c>
      <c r="BY251" s="1523"/>
      <c r="BZ251" s="1014"/>
      <c r="CA251" s="1014"/>
      <c r="CB251" s="1014">
        <f>SUM(AM251:AN251,AP251:AQ251)</f>
        <v>620.37198828124997</v>
      </c>
      <c r="CC251" s="1014">
        <f>SUM(AR251:AS251,AU251:AV251)</f>
        <v>1432.76654375</v>
      </c>
      <c r="CD251" s="1014">
        <f>SUM(AW251:AX251,AZ251:BA251)</f>
        <v>2006.1625000000001</v>
      </c>
      <c r="CE251" s="1014">
        <f>SUM(BB251:BC251,BE251:BF251)</f>
        <v>2457.3914062500003</v>
      </c>
      <c r="CF251" s="1014">
        <f>SUM(BG251:BH251,BJ251:BK251)</f>
        <v>2884.359375</v>
      </c>
      <c r="CG251" s="1014">
        <f>SUM(BL251:BM251,BO251:BP251)</f>
        <v>3237.609375</v>
      </c>
      <c r="CH251" s="1014">
        <f>SUM(BQ251:BR251,BT251:BU251)</f>
        <v>3557.109375</v>
      </c>
    </row>
    <row r="252" spans="1:86" s="1022" customFormat="1">
      <c r="A252" s="1032" t="s">
        <v>926</v>
      </c>
      <c r="B252" s="1034"/>
      <c r="C252" s="1034"/>
      <c r="D252" s="1034"/>
      <c r="E252" s="1034"/>
      <c r="F252" s="1033"/>
      <c r="G252" s="1034"/>
      <c r="H252" s="1034"/>
      <c r="I252" s="1034"/>
      <c r="J252" s="1034"/>
      <c r="K252" s="1033"/>
      <c r="L252" s="1034"/>
      <c r="M252" s="1034"/>
      <c r="N252" s="1034"/>
      <c r="O252" s="1034"/>
      <c r="P252" s="1033"/>
      <c r="Q252" s="1034"/>
      <c r="R252" s="1034"/>
      <c r="S252" s="1034"/>
      <c r="T252" s="1034"/>
      <c r="U252" s="1033"/>
      <c r="V252" s="1034"/>
      <c r="W252" s="1034"/>
      <c r="X252" s="1034"/>
      <c r="Y252" s="1034"/>
      <c r="Z252" s="1033"/>
      <c r="AA252" s="1034"/>
      <c r="AB252" s="1034"/>
      <c r="AC252" s="1034"/>
      <c r="AD252" s="1034"/>
      <c r="AE252" s="1033"/>
      <c r="AF252" s="1017"/>
      <c r="AG252" s="1034"/>
      <c r="AH252" s="1034"/>
      <c r="AI252" s="1034"/>
      <c r="AJ252" s="1035">
        <f t="shared" ref="AJ252:BS252" si="464">IF(ISERROR(AJ251/AE251-1),,(AJ251/AE251-1))</f>
        <v>0.2778258359320942</v>
      </c>
      <c r="AK252" s="1036">
        <f t="shared" si="464"/>
        <v>0.87556086483554219</v>
      </c>
      <c r="AL252" s="1036">
        <f t="shared" si="464"/>
        <v>1.0918576532704103</v>
      </c>
      <c r="AM252" s="1036">
        <f t="shared" si="464"/>
        <v>0.72319811503226616</v>
      </c>
      <c r="AN252" s="1036">
        <f t="shared" si="464"/>
        <v>1.0787851725113438</v>
      </c>
      <c r="AO252" s="1035">
        <f t="shared" si="464"/>
        <v>0.94072857695496959</v>
      </c>
      <c r="AP252" s="1036">
        <f t="shared" si="464"/>
        <v>1.609704471153846</v>
      </c>
      <c r="AQ252" s="1036">
        <f t="shared" si="464"/>
        <v>1.8539217499999996</v>
      </c>
      <c r="AR252" s="1036">
        <f t="shared" si="464"/>
        <v>1.821980038265306</v>
      </c>
      <c r="AS252" s="1036">
        <f t="shared" si="464"/>
        <v>1.3737603273140615</v>
      </c>
      <c r="AT252" s="1035">
        <f t="shared" si="464"/>
        <v>1.6266797583921493</v>
      </c>
      <c r="AU252" s="1036">
        <f t="shared" si="464"/>
        <v>1.3010245247154701</v>
      </c>
      <c r="AV252" s="1036">
        <f t="shared" si="464"/>
        <v>1.0400199450691554</v>
      </c>
      <c r="AW252" s="1036">
        <f t="shared" si="464"/>
        <v>0.70185288377292077</v>
      </c>
      <c r="AX252" s="1036">
        <f t="shared" si="464"/>
        <v>0.48763463441373034</v>
      </c>
      <c r="AY252" s="1035">
        <f t="shared" si="464"/>
        <v>0.8064478368226784</v>
      </c>
      <c r="AZ252" s="1036">
        <f t="shared" si="464"/>
        <v>0.30379762037006453</v>
      </c>
      <c r="BA252" s="1036">
        <f t="shared" si="464"/>
        <v>0.2294041607213948</v>
      </c>
      <c r="BB252" s="1036">
        <f t="shared" si="464"/>
        <v>0.21937877373171499</v>
      </c>
      <c r="BC252" s="1036">
        <f t="shared" si="464"/>
        <v>0.22260345260740055</v>
      </c>
      <c r="BD252" s="1035">
        <f t="shared" si="464"/>
        <v>0.24114641975481343</v>
      </c>
      <c r="BE252" s="1036">
        <f t="shared" si="464"/>
        <v>0.23567406998031148</v>
      </c>
      <c r="BF252" s="1036">
        <f t="shared" si="464"/>
        <v>0.22170226978521668</v>
      </c>
      <c r="BG252" s="1036">
        <f t="shared" si="464"/>
        <v>0.1976525984567099</v>
      </c>
      <c r="BH252" s="1036">
        <f t="shared" si="464"/>
        <v>0.1854256811897117</v>
      </c>
      <c r="BI252" s="1035">
        <f t="shared" si="464"/>
        <v>0.20889391619394804</v>
      </c>
      <c r="BJ252" s="1036">
        <f t="shared" si="464"/>
        <v>0.16458880751383687</v>
      </c>
      <c r="BK252" s="1036">
        <f t="shared" si="464"/>
        <v>0.15095148753685317</v>
      </c>
      <c r="BL252" s="1036">
        <f t="shared" si="464"/>
        <v>0.13093959388266607</v>
      </c>
      <c r="BM252" s="1036">
        <f t="shared" si="464"/>
        <v>0.12678916348868308</v>
      </c>
      <c r="BN252" s="1035">
        <f t="shared" si="464"/>
        <v>0.14262492790100145</v>
      </c>
      <c r="BO252" s="1036">
        <f t="shared" si="464"/>
        <v>0.11982141999903995</v>
      </c>
      <c r="BP252" s="1036">
        <f t="shared" si="464"/>
        <v>0.11326906059335862</v>
      </c>
      <c r="BQ252" s="1036">
        <f t="shared" si="464"/>
        <v>0.10709601555786707</v>
      </c>
      <c r="BR252" s="1036">
        <f t="shared" si="464"/>
        <v>0.10127027383411713</v>
      </c>
      <c r="BS252" s="1035">
        <f t="shared" si="464"/>
        <v>0.11013721261071074</v>
      </c>
      <c r="BT252" s="1036">
        <f t="shared" ref="BT252" si="465">IF(ISERROR(BT251/BO251-1),,(BT251/BO251-1))</f>
        <v>9.6026064217430429E-2</v>
      </c>
      <c r="BU252" s="1036">
        <f t="shared" ref="BU252" si="466">IF(ISERROR(BU251/BP251-1),,(BU251/BP251-1))</f>
        <v>9.1034598167593961E-2</v>
      </c>
      <c r="BV252" s="1036">
        <f t="shared" ref="BV252" si="467">IF(ISERROR(BV251/BQ251-1),,(BV251/BQ251-1))</f>
        <v>8.6278034233424616E-2</v>
      </c>
      <c r="BW252" s="1036">
        <f t="shared" ref="BW252" si="468">IF(ISERROR(BW251/BR251-1),,(BW251/BR251-1))</f>
        <v>8.1740171622430635E-2</v>
      </c>
      <c r="BX252" s="1035">
        <f t="shared" ref="BX252" si="469">IF(ISERROR(BX251/BS251-1),,(BX251/BS251-1))</f>
        <v>8.8628002149559792E-2</v>
      </c>
      <c r="BY252" s="1438"/>
      <c r="BZ252" s="1035"/>
      <c r="CA252" s="1035"/>
      <c r="CB252" s="1035"/>
      <c r="CC252" s="1035"/>
      <c r="CD252" s="1035"/>
      <c r="CE252" s="1035"/>
      <c r="CF252" s="1035"/>
      <c r="CG252" s="1035"/>
      <c r="CH252" s="1035"/>
    </row>
    <row r="253" spans="1:86" s="1022" customFormat="1">
      <c r="A253" s="1032" t="s">
        <v>965</v>
      </c>
      <c r="B253" s="1034"/>
      <c r="C253" s="1034"/>
      <c r="D253" s="1034"/>
      <c r="E253" s="1034"/>
      <c r="F253" s="1033"/>
      <c r="G253" s="1034"/>
      <c r="H253" s="1034"/>
      <c r="I253" s="1034"/>
      <c r="J253" s="1034"/>
      <c r="K253" s="1033"/>
      <c r="L253" s="1034"/>
      <c r="M253" s="1034"/>
      <c r="N253" s="1034"/>
      <c r="O253" s="1034"/>
      <c r="P253" s="1033"/>
      <c r="Q253" s="1034"/>
      <c r="R253" s="1034"/>
      <c r="S253" s="1034"/>
      <c r="T253" s="1034"/>
      <c r="U253" s="1033"/>
      <c r="V253" s="1034"/>
      <c r="W253" s="1034"/>
      <c r="X253" s="1034"/>
      <c r="Y253" s="1034"/>
      <c r="Z253" s="1033"/>
      <c r="AA253" s="1034"/>
      <c r="AB253" s="1034"/>
      <c r="AC253" s="1034"/>
      <c r="AD253" s="1034"/>
      <c r="AE253" s="1041">
        <f>AE251/AE249</f>
        <v>0.94946557155715572</v>
      </c>
      <c r="AF253" s="1040">
        <f t="shared" ref="AF253:AM253" si="470">AF251/AF249</f>
        <v>0.72633432301972822</v>
      </c>
      <c r="AG253" s="1040">
        <f t="shared" si="470"/>
        <v>0.73741667225848551</v>
      </c>
      <c r="AH253" s="1040">
        <f t="shared" si="470"/>
        <v>1.0066670383852545</v>
      </c>
      <c r="AI253" s="1040">
        <f t="shared" si="470"/>
        <v>1.0762406885849873</v>
      </c>
      <c r="AJ253" s="1035">
        <f t="shared" si="470"/>
        <v>0.90354158324923395</v>
      </c>
      <c r="AK253" s="1040">
        <f t="shared" si="470"/>
        <v>0.9599483252432307</v>
      </c>
      <c r="AL253" s="1040">
        <f t="shared" si="470"/>
        <v>0.47286052482316787</v>
      </c>
      <c r="AM253" s="1040">
        <f t="shared" si="470"/>
        <v>0.66900888041022533</v>
      </c>
      <c r="AN253" s="1040">
        <f>AN251/AN249</f>
        <v>0.76214800824175832</v>
      </c>
      <c r="AO253" s="1035"/>
      <c r="AP253" s="1040">
        <f>AP251/AP249</f>
        <v>0.88604627589246365</v>
      </c>
      <c r="AQ253" s="1040">
        <f>AQ251/AQ249</f>
        <v>0.6365388089662094</v>
      </c>
      <c r="AR253" s="1040">
        <f>AR251/AR249</f>
        <v>0.69744415547569494</v>
      </c>
      <c r="AS253" s="1040">
        <f>AS251/AS249</f>
        <v>0.83838450152788424</v>
      </c>
      <c r="AT253" s="1035"/>
      <c r="AU253" s="1040">
        <f>AU251/AU249</f>
        <v>0.89562830068944754</v>
      </c>
      <c r="AV253" s="1040">
        <f>AV251/AV249</f>
        <v>0.83717406803829708</v>
      </c>
      <c r="AW253" s="1040">
        <f>AW251/AW249</f>
        <v>0.88381634078212279</v>
      </c>
      <c r="AX253" s="1040">
        <f>AX251/AX249</f>
        <v>1.0438603940217392</v>
      </c>
      <c r="AY253" s="1035"/>
      <c r="AZ253" s="1040">
        <f>AZ251/AZ249</f>
        <v>0.99335044330377975</v>
      </c>
      <c r="BA253" s="1040">
        <f>BA251/BA249</f>
        <v>0.84771261423975064</v>
      </c>
      <c r="BB253" s="1040">
        <f>BB251/BB249</f>
        <v>0.84292554802820019</v>
      </c>
      <c r="BC253" s="1040">
        <f>BC251/BC249</f>
        <v>1.0527529173259496</v>
      </c>
      <c r="BD253" s="1035"/>
      <c r="BE253" s="1040">
        <f>BE251/BE249</f>
        <v>0.99429670476275189</v>
      </c>
      <c r="BF253" s="1040">
        <f>BF251/BF249</f>
        <v>0.88476058582485961</v>
      </c>
      <c r="BG253" s="1040">
        <f>BG251/BG249</f>
        <v>0.85188057724484101</v>
      </c>
      <c r="BH253" s="1040">
        <f>BH251/BH249</f>
        <v>1.0774739583333335</v>
      </c>
      <c r="BI253" s="1035"/>
      <c r="BJ253" s="1040">
        <f>BJ251/BJ249</f>
        <v>1.0136936972009187</v>
      </c>
      <c r="BK253" s="1040">
        <f>BK251/BK249</f>
        <v>0.90806435241575301</v>
      </c>
      <c r="BL253" s="1040">
        <f>BL251/BL249</f>
        <v>0.86674454340190676</v>
      </c>
      <c r="BM253" s="1040">
        <f>BM251/BM249</f>
        <v>1.0681621844951923</v>
      </c>
      <c r="BN253" s="1035"/>
      <c r="BO253" s="1040">
        <f>BO251/BO249</f>
        <v>1.0207144607414147</v>
      </c>
      <c r="BP253" s="1040">
        <f>BP251/BP249</f>
        <v>0.9211601307189542</v>
      </c>
      <c r="BQ253" s="1040">
        <f>BQ251/BQ249</f>
        <v>0.88008369765301431</v>
      </c>
      <c r="BR253" s="1040">
        <f>BR251/BR249</f>
        <v>1.0615086090021693</v>
      </c>
      <c r="BS253" s="1035"/>
      <c r="BT253" s="1040">
        <f>BT251/BT249</f>
        <v>1.0267211745430012</v>
      </c>
      <c r="BU253" s="1040">
        <f>BU251/BU249</f>
        <v>0.93149931420733789</v>
      </c>
      <c r="BV253" s="1040">
        <f>BV251/BV249</f>
        <v>0.89045086798114015</v>
      </c>
      <c r="BW253" s="1040">
        <f>BW251/BW249</f>
        <v>1.056597742015968</v>
      </c>
      <c r="BX253" s="1035"/>
      <c r="BY253" s="1438"/>
      <c r="BZ253" s="1035"/>
      <c r="CA253" s="1035"/>
      <c r="CB253" s="1035"/>
      <c r="CC253" s="1035"/>
      <c r="CD253" s="1035"/>
      <c r="CE253" s="1035"/>
      <c r="CF253" s="1035"/>
      <c r="CG253" s="1035"/>
      <c r="CH253" s="1035"/>
    </row>
    <row r="254" spans="1:86" s="1021" customFormat="1" ht="7.5" customHeight="1">
      <c r="A254" s="1020"/>
      <c r="B254" s="1025"/>
      <c r="C254" s="1025"/>
      <c r="D254" s="1025"/>
      <c r="E254" s="1025"/>
      <c r="F254" s="1024"/>
      <c r="G254" s="1025"/>
      <c r="H254" s="1025"/>
      <c r="I254" s="1025"/>
      <c r="J254" s="1025"/>
      <c r="K254" s="1024"/>
      <c r="L254" s="1025"/>
      <c r="M254" s="1025"/>
      <c r="N254" s="1025"/>
      <c r="O254" s="1025"/>
      <c r="P254" s="1024"/>
      <c r="Q254" s="1025"/>
      <c r="R254" s="1025"/>
      <c r="S254" s="1025"/>
      <c r="T254" s="1025"/>
      <c r="U254" s="1024"/>
      <c r="V254" s="1025"/>
      <c r="W254" s="1025"/>
      <c r="X254" s="1025"/>
      <c r="Y254" s="1025"/>
      <c r="Z254" s="1024"/>
      <c r="AA254" s="1025"/>
      <c r="AB254" s="1025"/>
      <c r="AC254" s="1025"/>
      <c r="AD254" s="1025"/>
      <c r="AE254" s="1024"/>
      <c r="AF254" s="1025"/>
      <c r="AG254" s="1025"/>
      <c r="AH254" s="1025"/>
      <c r="AI254" s="1025"/>
      <c r="AJ254" s="1024"/>
      <c r="AK254" s="1025"/>
      <c r="AL254" s="1025"/>
      <c r="AM254" s="1025"/>
      <c r="AN254" s="1025"/>
      <c r="AO254" s="1024"/>
      <c r="AP254" s="1025"/>
      <c r="AQ254" s="1025"/>
      <c r="AR254" s="1025"/>
      <c r="AS254" s="1025"/>
      <c r="AT254" s="1024"/>
      <c r="AU254" s="1025"/>
      <c r="AV254" s="1025"/>
      <c r="AW254" s="1025"/>
      <c r="AX254" s="1025"/>
      <c r="AY254" s="1024"/>
      <c r="AZ254" s="1025"/>
      <c r="BA254" s="1025"/>
      <c r="BB254" s="1025"/>
      <c r="BC254" s="1025"/>
      <c r="BD254" s="1024"/>
      <c r="BE254" s="1192"/>
      <c r="BF254" s="1025"/>
      <c r="BG254" s="1025"/>
      <c r="BH254" s="1192"/>
      <c r="BI254" s="1193"/>
      <c r="BJ254" s="1192"/>
      <c r="BK254" s="1192"/>
      <c r="BL254" s="1192"/>
      <c r="BM254" s="1192"/>
      <c r="BN254" s="1193"/>
      <c r="BO254" s="1192"/>
      <c r="BP254" s="1192"/>
      <c r="BQ254" s="1192"/>
      <c r="BR254" s="1192"/>
      <c r="BS254" s="1193"/>
      <c r="BT254" s="1192"/>
      <c r="BU254" s="1192"/>
      <c r="BV254" s="1192"/>
      <c r="BW254" s="1192"/>
      <c r="BX254" s="1193"/>
      <c r="BY254" s="1521"/>
      <c r="BZ254" s="1193"/>
      <c r="CA254" s="1193"/>
      <c r="CB254" s="1193"/>
      <c r="CC254" s="1193"/>
      <c r="CD254" s="1193"/>
      <c r="CE254" s="1193"/>
      <c r="CF254" s="1193"/>
      <c r="CG254" s="1193"/>
      <c r="CH254" s="1193"/>
    </row>
    <row r="255" spans="1:86" s="1021" customFormat="1">
      <c r="A255" s="1020" t="s">
        <v>932</v>
      </c>
      <c r="B255" s="1025">
        <f>B260/B258</f>
        <v>4.0277777777777777</v>
      </c>
      <c r="C255" s="1025">
        <f>C260/C258</f>
        <v>1.3</v>
      </c>
      <c r="D255" s="1025">
        <f>D260/D258</f>
        <v>9.0277777777777786</v>
      </c>
      <c r="E255" s="1025">
        <f>E260/E258</f>
        <v>5.4111111111111114</v>
      </c>
      <c r="F255" s="1024">
        <f>SUM(B255:E255)</f>
        <v>19.766666666666666</v>
      </c>
      <c r="G255" s="1025">
        <f>G260/G258</f>
        <v>4.1888888888888891</v>
      </c>
      <c r="H255" s="1025">
        <f>H260/H258</f>
        <v>4.5888888888888886</v>
      </c>
      <c r="I255" s="1025">
        <f>I260/I258</f>
        <v>5.5277777777777777</v>
      </c>
      <c r="J255" s="1025">
        <f>J260/J258</f>
        <v>4.8722222222222218</v>
      </c>
      <c r="K255" s="1024">
        <f>SUM(G255:J255)</f>
        <v>19.177777777777777</v>
      </c>
      <c r="L255" s="1025">
        <f>L260/L258</f>
        <v>6.0444444444444443</v>
      </c>
      <c r="M255" s="1025">
        <f>M260/M258</f>
        <v>4.166666666666667</v>
      </c>
      <c r="N255" s="1025">
        <f>N260/N258</f>
        <v>3.8777777777777778</v>
      </c>
      <c r="O255" s="1025">
        <f>O260/O258</f>
        <v>3.2666666666666666</v>
      </c>
      <c r="P255" s="1024">
        <f>SUM(L255:O255)</f>
        <v>17.355555555555558</v>
      </c>
      <c r="Q255" s="1025">
        <f>Q260/Q258</f>
        <v>4.2058823529411757</v>
      </c>
      <c r="R255" s="1025">
        <f>R260/R258</f>
        <v>4.6944444444444446</v>
      </c>
      <c r="S255" s="1025">
        <f>S260/S258</f>
        <v>2.6111111111111112</v>
      </c>
      <c r="T255" s="1025">
        <f>T260/T258</f>
        <v>5.25</v>
      </c>
      <c r="U255" s="1024">
        <f>SUM(Q255:T255)</f>
        <v>16.761437908496731</v>
      </c>
      <c r="V255" s="1025">
        <f>V260/V258</f>
        <v>5.4058823529411759</v>
      </c>
      <c r="W255" s="1025">
        <f>W260/W258</f>
        <v>7.3111111111111109</v>
      </c>
      <c r="X255" s="1025">
        <f>X260/X258</f>
        <v>5.5277777777777777</v>
      </c>
      <c r="Y255" s="1025">
        <f>Y260/Y258</f>
        <v>4.7333333333333334</v>
      </c>
      <c r="Z255" s="1024">
        <f>SUM(V255:Y255)</f>
        <v>22.9781045751634</v>
      </c>
      <c r="AA255" s="1025">
        <f>AA260/AA258</f>
        <v>5.5555555555555554</v>
      </c>
      <c r="AB255" s="1025">
        <f>AB260/AB258</f>
        <v>5.916666666666667</v>
      </c>
      <c r="AC255" s="1025">
        <f>AC260/AC258</f>
        <v>5.5555555555555554</v>
      </c>
      <c r="AD255" s="1025">
        <f>AD260/AD258</f>
        <v>5.4444444444444446</v>
      </c>
      <c r="AE255" s="1024"/>
      <c r="AF255" s="1025"/>
      <c r="AG255" s="1025"/>
      <c r="AH255" s="1025"/>
      <c r="AI255" s="1025"/>
      <c r="AJ255" s="1024"/>
      <c r="AK255" s="1025"/>
      <c r="AL255" s="1025"/>
      <c r="AM255" s="1025"/>
      <c r="AN255" s="1025"/>
      <c r="AO255" s="1024"/>
      <c r="AP255" s="1417"/>
      <c r="AQ255" s="1417"/>
      <c r="AR255" s="1417"/>
      <c r="AS255" s="1417"/>
      <c r="AT255" s="1418"/>
      <c r="AU255" s="1417"/>
      <c r="AV255" s="1417"/>
      <c r="AW255" s="1417"/>
      <c r="AX255" s="1417"/>
      <c r="AY255" s="1418"/>
      <c r="AZ255" s="1417">
        <v>2.09</v>
      </c>
      <c r="BA255" s="1417">
        <v>1.694444444444444</v>
      </c>
      <c r="BB255" s="1417">
        <v>2.0222222222222195</v>
      </c>
      <c r="BC255" s="1417">
        <v>2.8</v>
      </c>
      <c r="BD255" s="1418">
        <f>SUM(AZ255:BC255)</f>
        <v>8.606666666666662</v>
      </c>
      <c r="BE255" s="1192">
        <f>AZ255*(1+BE256)</f>
        <v>2.0063999999999997</v>
      </c>
      <c r="BF255" s="1192">
        <f>BA255*(1+BF256)</f>
        <v>1.5843055555555552</v>
      </c>
      <c r="BG255" s="1192">
        <f>BB255*(1+BG256)</f>
        <v>1.9918888888888862</v>
      </c>
      <c r="BH255" s="1192">
        <f>BC255*(1+BH256)</f>
        <v>2.8</v>
      </c>
      <c r="BI255" s="1193">
        <f>SUM(BE255:BH255)</f>
        <v>8.3825944444444414</v>
      </c>
      <c r="BJ255" s="1192">
        <f>BE255*(1+BJ256)</f>
        <v>1.9562399999999998</v>
      </c>
      <c r="BK255" s="1192">
        <f>BF255*(1+BK256)</f>
        <v>1.5446979166666663</v>
      </c>
      <c r="BL255" s="1192">
        <f>BG255*(1+BL256)</f>
        <v>1.9420916666666639</v>
      </c>
      <c r="BM255" s="1192">
        <f>BH255*(1+BM256)</f>
        <v>2.73</v>
      </c>
      <c r="BN255" s="1193">
        <f>SUM(BJ255:BM255)</f>
        <v>8.1730295833333297</v>
      </c>
      <c r="BO255" s="1192">
        <f>BJ255*(1+BO256)</f>
        <v>1.6628039999999997</v>
      </c>
      <c r="BP255" s="1192">
        <f>BK255*(1+BP256)</f>
        <v>1.3129932291666664</v>
      </c>
      <c r="BQ255" s="1192">
        <f>BL255*(1+BQ256)</f>
        <v>1.6507779166666643</v>
      </c>
      <c r="BR255" s="1192">
        <f>BM255*(1+BR256)</f>
        <v>2.3205</v>
      </c>
      <c r="BS255" s="1193">
        <f>SUM(BO255:BR255)</f>
        <v>6.9470751458333302</v>
      </c>
      <c r="BT255" s="1192">
        <f>BO255*(1+BT256)</f>
        <v>1.3718132999999997</v>
      </c>
      <c r="BU255" s="1192">
        <f>BP255*(1+BU256)</f>
        <v>1.0832194140624998</v>
      </c>
      <c r="BV255" s="1192">
        <f>BQ255*(1+BV256)</f>
        <v>1.361891781249998</v>
      </c>
      <c r="BW255" s="1192">
        <f>BR255*(1+BW256)</f>
        <v>1.9144124999999999</v>
      </c>
      <c r="BX255" s="1193">
        <f>SUM(BT255:BW255)</f>
        <v>5.7313369953124971</v>
      </c>
      <c r="BY255" s="1521"/>
      <c r="BZ255" s="1193"/>
      <c r="CA255" s="1193"/>
      <c r="CB255" s="1193"/>
      <c r="CC255" s="1193"/>
      <c r="CD255" s="1193"/>
      <c r="CE255" s="1193"/>
      <c r="CF255" s="1193"/>
      <c r="CG255" s="1193"/>
      <c r="CH255" s="1193"/>
    </row>
    <row r="256" spans="1:86" s="1022" customFormat="1">
      <c r="A256" s="1032" t="s">
        <v>926</v>
      </c>
      <c r="B256" s="1034"/>
      <c r="C256" s="1034"/>
      <c r="D256" s="1034"/>
      <c r="E256" s="1034"/>
      <c r="F256" s="1033"/>
      <c r="G256" s="1034"/>
      <c r="H256" s="1034"/>
      <c r="I256" s="1034"/>
      <c r="J256" s="1034"/>
      <c r="K256" s="1033"/>
      <c r="L256" s="1034"/>
      <c r="M256" s="1034"/>
      <c r="N256" s="1034"/>
      <c r="O256" s="1034"/>
      <c r="P256" s="1033"/>
      <c r="Q256" s="1034"/>
      <c r="R256" s="1034"/>
      <c r="S256" s="1034"/>
      <c r="T256" s="1034"/>
      <c r="U256" s="1033"/>
      <c r="V256" s="1034"/>
      <c r="W256" s="1034"/>
      <c r="X256" s="1034"/>
      <c r="Y256" s="1034"/>
      <c r="Z256" s="1033"/>
      <c r="AA256" s="1034"/>
      <c r="AB256" s="1034"/>
      <c r="AC256" s="1034"/>
      <c r="AD256" s="1034"/>
      <c r="AE256" s="1033"/>
      <c r="AF256" s="1017"/>
      <c r="AG256" s="1034"/>
      <c r="AH256" s="1034"/>
      <c r="AI256" s="1034"/>
      <c r="AJ256" s="1035"/>
      <c r="AK256" s="1036"/>
      <c r="AL256" s="1036"/>
      <c r="AM256" s="1036"/>
      <c r="AN256" s="1036"/>
      <c r="AO256" s="1035"/>
      <c r="AP256" s="1036"/>
      <c r="AQ256" s="1036"/>
      <c r="AR256" s="1036"/>
      <c r="AS256" s="1036"/>
      <c r="AT256" s="1035"/>
      <c r="AU256" s="1036"/>
      <c r="AV256" s="1036"/>
      <c r="AW256" s="1036"/>
      <c r="AX256" s="1036"/>
      <c r="AY256" s="1035"/>
      <c r="AZ256" s="1036"/>
      <c r="BA256" s="1036"/>
      <c r="BB256" s="1061"/>
      <c r="BC256" s="1061"/>
      <c r="BD256" s="1035"/>
      <c r="BE256" s="1061">
        <v>-0.04</v>
      </c>
      <c r="BF256" s="1061">
        <v>-6.5000000000000002E-2</v>
      </c>
      <c r="BG256" s="1061">
        <v>-1.4999999999999999E-2</v>
      </c>
      <c r="BH256" s="1061">
        <v>0</v>
      </c>
      <c r="BI256" s="1035">
        <f>IF(ISERROR(BI255/BD255-1),,(BI255/BD255-1))</f>
        <v>-2.6034727601342511E-2</v>
      </c>
      <c r="BJ256" s="1061">
        <v>-2.5000000000000001E-2</v>
      </c>
      <c r="BK256" s="1061">
        <v>-2.5000000000000001E-2</v>
      </c>
      <c r="BL256" s="1061">
        <v>-2.5000000000000001E-2</v>
      </c>
      <c r="BM256" s="1061">
        <v>-2.5000000000000001E-2</v>
      </c>
      <c r="BN256" s="1035">
        <f>IF(ISERROR(BN255/BI255-1),,(BN255/BI255-1))</f>
        <v>-2.5000000000000022E-2</v>
      </c>
      <c r="BO256" s="1061">
        <v>-0.15</v>
      </c>
      <c r="BP256" s="1061">
        <v>-0.15</v>
      </c>
      <c r="BQ256" s="1061">
        <v>-0.15</v>
      </c>
      <c r="BR256" s="1061">
        <v>-0.15</v>
      </c>
      <c r="BS256" s="1035">
        <f>IF(ISERROR(BS255/BN255-1),,(BS255/BN255-1))</f>
        <v>-0.15000000000000002</v>
      </c>
      <c r="BT256" s="1061">
        <v>-0.17499999999999999</v>
      </c>
      <c r="BU256" s="1061">
        <v>-0.17499999999999999</v>
      </c>
      <c r="BV256" s="1061">
        <v>-0.17499999999999999</v>
      </c>
      <c r="BW256" s="1061">
        <v>-0.17499999999999999</v>
      </c>
      <c r="BX256" s="1035">
        <f>IF(ISERROR(BX255/BS255-1),,(BX255/BS255-1))</f>
        <v>-0.17500000000000004</v>
      </c>
      <c r="BY256" s="1438"/>
      <c r="BZ256" s="1035"/>
      <c r="CA256" s="1035"/>
      <c r="CB256" s="1035"/>
      <c r="CC256" s="1035"/>
      <c r="CD256" s="1035"/>
      <c r="CE256" s="1035"/>
      <c r="CF256" s="1035"/>
      <c r="CG256" s="1035"/>
      <c r="CH256" s="1035"/>
    </row>
    <row r="257" spans="1:86" s="1022" customFormat="1">
      <c r="A257" s="1032" t="s">
        <v>978</v>
      </c>
      <c r="B257" s="1034"/>
      <c r="C257" s="1034"/>
      <c r="D257" s="1034"/>
      <c r="E257" s="1034"/>
      <c r="F257" s="1033"/>
      <c r="G257" s="1034"/>
      <c r="H257" s="1034"/>
      <c r="I257" s="1034"/>
      <c r="J257" s="1034"/>
      <c r="K257" s="1033"/>
      <c r="L257" s="1034"/>
      <c r="M257" s="1034"/>
      <c r="N257" s="1034"/>
      <c r="O257" s="1034"/>
      <c r="P257" s="1033"/>
      <c r="Q257" s="1034"/>
      <c r="R257" s="1034"/>
      <c r="S257" s="1034"/>
      <c r="T257" s="1034"/>
      <c r="U257" s="1033"/>
      <c r="V257" s="1034"/>
      <c r="W257" s="1034"/>
      <c r="X257" s="1034"/>
      <c r="Y257" s="1034"/>
      <c r="Z257" s="1033"/>
      <c r="AA257" s="1034"/>
      <c r="AB257" s="1034"/>
      <c r="AC257" s="1034"/>
      <c r="AD257" s="1034"/>
      <c r="AE257" s="1033"/>
      <c r="AF257" s="1017"/>
      <c r="AG257" s="1105"/>
      <c r="AH257" s="1034"/>
      <c r="AI257" s="1034"/>
      <c r="AJ257" s="1035"/>
      <c r="AK257" s="1036"/>
      <c r="AL257" s="1105"/>
      <c r="AM257" s="1040"/>
      <c r="AN257" s="1036"/>
      <c r="AO257" s="1035"/>
      <c r="AP257" s="1036"/>
      <c r="AQ257" s="1105"/>
      <c r="AR257" s="1105"/>
      <c r="AS257" s="1036"/>
      <c r="AT257" s="1035"/>
      <c r="AU257" s="1036"/>
      <c r="AV257" s="1105"/>
      <c r="AW257" s="1105"/>
      <c r="AX257" s="1036"/>
      <c r="AY257" s="1035"/>
      <c r="AZ257" s="1036"/>
      <c r="BA257" s="1105"/>
      <c r="BB257" s="1036"/>
      <c r="BC257" s="1036"/>
      <c r="BD257" s="1035">
        <f>BD255/BD263</f>
        <v>0.50283293877079038</v>
      </c>
      <c r="BE257" s="1036"/>
      <c r="BF257" s="1105"/>
      <c r="BG257" s="1105"/>
      <c r="BH257" s="1036"/>
      <c r="BI257" s="1035">
        <f>BI255/BI263</f>
        <v>0.45626310709755025</v>
      </c>
      <c r="BJ257" s="1036"/>
      <c r="BK257" s="1036"/>
      <c r="BL257" s="1036"/>
      <c r="BM257" s="1036"/>
      <c r="BN257" s="1035">
        <f>BN255/BN263</f>
        <v>0.44219848989104027</v>
      </c>
      <c r="BO257" s="1036"/>
      <c r="BP257" s="1036"/>
      <c r="BQ257" s="1036"/>
      <c r="BR257" s="1036"/>
      <c r="BS257" s="1035">
        <f>BS255/BS263</f>
        <v>0.39345123934554971</v>
      </c>
      <c r="BT257" s="1036"/>
      <c r="BU257" s="1036"/>
      <c r="BV257" s="1036"/>
      <c r="BW257" s="1036"/>
      <c r="BX257" s="1035">
        <f>BX255/BX263</f>
        <v>0.34194431234888784</v>
      </c>
      <c r="BY257" s="1438"/>
      <c r="BZ257" s="1035"/>
      <c r="CA257" s="1035"/>
      <c r="CB257" s="1035"/>
      <c r="CC257" s="1035"/>
      <c r="CD257" s="1035"/>
      <c r="CE257" s="1035"/>
      <c r="CF257" s="1035"/>
      <c r="CG257" s="1035"/>
      <c r="CH257" s="1035"/>
    </row>
    <row r="258" spans="1:86" s="1059" customFormat="1">
      <c r="A258" s="1055" t="s">
        <v>299</v>
      </c>
      <c r="B258" s="1056">
        <v>180</v>
      </c>
      <c r="C258" s="1056">
        <v>180</v>
      </c>
      <c r="D258" s="1056">
        <v>180</v>
      </c>
      <c r="E258" s="1056">
        <v>180</v>
      </c>
      <c r="F258" s="1057">
        <f>F260/F255</f>
        <v>180</v>
      </c>
      <c r="G258" s="1056">
        <v>180</v>
      </c>
      <c r="H258" s="1056">
        <v>180</v>
      </c>
      <c r="I258" s="1056">
        <v>180</v>
      </c>
      <c r="J258" s="1056">
        <v>180</v>
      </c>
      <c r="K258" s="1057">
        <f>K260/K255</f>
        <v>180</v>
      </c>
      <c r="L258" s="1056">
        <v>180</v>
      </c>
      <c r="M258" s="1056">
        <v>180</v>
      </c>
      <c r="N258" s="1056">
        <v>180</v>
      </c>
      <c r="O258" s="1056">
        <v>180</v>
      </c>
      <c r="P258" s="1057">
        <f>P260/P255</f>
        <v>179.99999999999997</v>
      </c>
      <c r="Q258" s="1056">
        <v>180</v>
      </c>
      <c r="R258" s="1056">
        <v>180</v>
      </c>
      <c r="S258" s="1056">
        <v>180</v>
      </c>
      <c r="T258" s="1056">
        <v>180</v>
      </c>
      <c r="U258" s="1057">
        <f>U260/U255</f>
        <v>180</v>
      </c>
      <c r="V258" s="1056">
        <v>180</v>
      </c>
      <c r="W258" s="1056">
        <v>180</v>
      </c>
      <c r="X258" s="1056">
        <v>180</v>
      </c>
      <c r="Y258" s="1056">
        <v>180</v>
      </c>
      <c r="Z258" s="1057">
        <f>Z260/Z255</f>
        <v>180</v>
      </c>
      <c r="AA258" s="1056">
        <v>180</v>
      </c>
      <c r="AB258" s="1056">
        <v>180</v>
      </c>
      <c r="AC258" s="1056">
        <v>180</v>
      </c>
      <c r="AD258" s="1056">
        <v>180</v>
      </c>
      <c r="AE258" s="1058"/>
      <c r="AF258" s="1056"/>
      <c r="AG258" s="1056"/>
      <c r="AH258" s="1056"/>
      <c r="AI258" s="1056"/>
      <c r="AJ258" s="1058"/>
      <c r="AK258" s="1056"/>
      <c r="AL258" s="1056"/>
      <c r="AM258" s="1056"/>
      <c r="AN258" s="1056"/>
      <c r="AO258" s="1058"/>
      <c r="AP258" s="1422"/>
      <c r="AQ258" s="1422"/>
      <c r="AR258" s="1422"/>
      <c r="AS258" s="1422"/>
      <c r="AT258" s="1421"/>
      <c r="AU258" s="1422"/>
      <c r="AV258" s="1422"/>
      <c r="AW258" s="1422"/>
      <c r="AX258" s="1422"/>
      <c r="AY258" s="1421"/>
      <c r="AZ258" s="1422">
        <v>180</v>
      </c>
      <c r="BA258" s="1422">
        <v>180</v>
      </c>
      <c r="BB258" s="1422">
        <v>180</v>
      </c>
      <c r="BC258" s="1422">
        <v>180</v>
      </c>
      <c r="BD258" s="1421">
        <f>BD260/BD255</f>
        <v>180.00000000000003</v>
      </c>
      <c r="BE258" s="1056">
        <v>180</v>
      </c>
      <c r="BF258" s="1422">
        <v>180</v>
      </c>
      <c r="BG258" s="1422">
        <v>180</v>
      </c>
      <c r="BH258" s="1056">
        <v>160</v>
      </c>
      <c r="BI258" s="1194">
        <f>BI260/BI255</f>
        <v>173.319490717207</v>
      </c>
      <c r="BJ258" s="1056">
        <v>150</v>
      </c>
      <c r="BK258" s="1056">
        <v>150</v>
      </c>
      <c r="BL258" s="1056">
        <v>150</v>
      </c>
      <c r="BM258" s="1056">
        <v>150</v>
      </c>
      <c r="BN258" s="1194">
        <f>BN260/BN255</f>
        <v>150.00000000000003</v>
      </c>
      <c r="BO258" s="1056">
        <v>150</v>
      </c>
      <c r="BP258" s="1056">
        <v>150</v>
      </c>
      <c r="BQ258" s="1056">
        <v>150</v>
      </c>
      <c r="BR258" s="1056">
        <v>150</v>
      </c>
      <c r="BS258" s="1194">
        <f>BS260/BS255</f>
        <v>150.00000000000003</v>
      </c>
      <c r="BT258" s="1056">
        <v>150</v>
      </c>
      <c r="BU258" s="1056">
        <v>150</v>
      </c>
      <c r="BV258" s="1056">
        <v>150</v>
      </c>
      <c r="BW258" s="1056">
        <v>150</v>
      </c>
      <c r="BX258" s="1194">
        <f>BX260/BX255</f>
        <v>150.00000000000003</v>
      </c>
      <c r="BY258" s="1526"/>
      <c r="BZ258" s="1194"/>
      <c r="CA258" s="1194"/>
      <c r="CB258" s="1194"/>
      <c r="CC258" s="1194"/>
      <c r="CD258" s="1194"/>
      <c r="CE258" s="1194"/>
      <c r="CF258" s="1194"/>
      <c r="CG258" s="1194"/>
      <c r="CH258" s="1194"/>
    </row>
    <row r="259" spans="1:86" s="1022" customFormat="1">
      <c r="A259" s="1032" t="s">
        <v>926</v>
      </c>
      <c r="B259" s="1034"/>
      <c r="C259" s="1034"/>
      <c r="D259" s="1034"/>
      <c r="E259" s="1034"/>
      <c r="F259" s="1033"/>
      <c r="G259" s="1034"/>
      <c r="H259" s="1034"/>
      <c r="I259" s="1034"/>
      <c r="J259" s="1034"/>
      <c r="K259" s="1033"/>
      <c r="L259" s="1034"/>
      <c r="M259" s="1034"/>
      <c r="N259" s="1034"/>
      <c r="O259" s="1034"/>
      <c r="P259" s="1033"/>
      <c r="Q259" s="1034"/>
      <c r="R259" s="1034"/>
      <c r="S259" s="1034"/>
      <c r="T259" s="1034"/>
      <c r="U259" s="1033"/>
      <c r="V259" s="1034"/>
      <c r="W259" s="1034"/>
      <c r="X259" s="1034"/>
      <c r="Y259" s="1034"/>
      <c r="Z259" s="1033"/>
      <c r="AA259" s="1034"/>
      <c r="AB259" s="1034"/>
      <c r="AC259" s="1034"/>
      <c r="AD259" s="1034"/>
      <c r="AE259" s="1033"/>
      <c r="AF259" s="1017"/>
      <c r="AG259" s="1034"/>
      <c r="AH259" s="1034"/>
      <c r="AI259" s="1034"/>
      <c r="AJ259" s="1035"/>
      <c r="AK259" s="1036"/>
      <c r="AL259" s="1036"/>
      <c r="AM259" s="1036"/>
      <c r="AN259" s="1036"/>
      <c r="AO259" s="1035"/>
      <c r="AP259" s="1036"/>
      <c r="AQ259" s="1036"/>
      <c r="AR259" s="1036"/>
      <c r="AS259" s="1036"/>
      <c r="AT259" s="1035"/>
      <c r="AU259" s="1036"/>
      <c r="AV259" s="1036"/>
      <c r="AW259" s="1036"/>
      <c r="AX259" s="1036"/>
      <c r="AY259" s="1035"/>
      <c r="AZ259" s="1036"/>
      <c r="BA259" s="1036"/>
      <c r="BB259" s="1036"/>
      <c r="BC259" s="1036"/>
      <c r="BD259" s="1035"/>
      <c r="BE259" s="1036">
        <f t="shared" ref="BE259:BS259" si="471">IF(ISERROR(BE258/AZ258-1),,(BE258/AZ258-1))</f>
        <v>0</v>
      </c>
      <c r="BF259" s="1036">
        <f t="shared" si="471"/>
        <v>0</v>
      </c>
      <c r="BG259" s="1036">
        <f t="shared" si="471"/>
        <v>0</v>
      </c>
      <c r="BH259" s="1036">
        <f t="shared" si="471"/>
        <v>-0.11111111111111116</v>
      </c>
      <c r="BI259" s="1035">
        <f t="shared" si="471"/>
        <v>-3.7113940459961192E-2</v>
      </c>
      <c r="BJ259" s="1036">
        <f t="shared" si="471"/>
        <v>-0.16666666666666663</v>
      </c>
      <c r="BK259" s="1036">
        <f t="shared" si="471"/>
        <v>-0.16666666666666663</v>
      </c>
      <c r="BL259" s="1036">
        <f t="shared" si="471"/>
        <v>-0.16666666666666663</v>
      </c>
      <c r="BM259" s="1036">
        <f t="shared" si="471"/>
        <v>-6.25E-2</v>
      </c>
      <c r="BN259" s="1035">
        <f t="shared" si="471"/>
        <v>-0.13454626840125972</v>
      </c>
      <c r="BO259" s="1036">
        <f t="shared" si="471"/>
        <v>0</v>
      </c>
      <c r="BP259" s="1036">
        <f t="shared" si="471"/>
        <v>0</v>
      </c>
      <c r="BQ259" s="1036">
        <f t="shared" si="471"/>
        <v>0</v>
      </c>
      <c r="BR259" s="1036">
        <f t="shared" si="471"/>
        <v>0</v>
      </c>
      <c r="BS259" s="1035">
        <f t="shared" si="471"/>
        <v>0</v>
      </c>
      <c r="BT259" s="1036">
        <f t="shared" ref="BT259" si="472">IF(ISERROR(BT258/BO258-1),,(BT258/BO258-1))</f>
        <v>0</v>
      </c>
      <c r="BU259" s="1036">
        <f t="shared" ref="BU259" si="473">IF(ISERROR(BU258/BP258-1),,(BU258/BP258-1))</f>
        <v>0</v>
      </c>
      <c r="BV259" s="1036">
        <f t="shared" ref="BV259" si="474">IF(ISERROR(BV258/BQ258-1),,(BV258/BQ258-1))</f>
        <v>0</v>
      </c>
      <c r="BW259" s="1036">
        <f t="shared" ref="BW259" si="475">IF(ISERROR(BW258/BR258-1),,(BW258/BR258-1))</f>
        <v>0</v>
      </c>
      <c r="BX259" s="1035">
        <f t="shared" ref="BX259" si="476">IF(ISERROR(BX258/BS258-1),,(BX258/BS258-1))</f>
        <v>0</v>
      </c>
      <c r="BY259" s="1438"/>
      <c r="BZ259" s="1035"/>
      <c r="CA259" s="1035"/>
      <c r="CB259" s="1035"/>
      <c r="CC259" s="1035"/>
      <c r="CD259" s="1035"/>
      <c r="CE259" s="1035"/>
      <c r="CF259" s="1035"/>
      <c r="CG259" s="1035"/>
      <c r="CH259" s="1035"/>
    </row>
    <row r="260" spans="1:86" s="1011" customFormat="1">
      <c r="A260" s="1013" t="s">
        <v>924</v>
      </c>
      <c r="B260" s="1015">
        <v>725</v>
      </c>
      <c r="C260" s="1015">
        <v>234</v>
      </c>
      <c r="D260" s="1015">
        <v>1625</v>
      </c>
      <c r="E260" s="1015">
        <v>974</v>
      </c>
      <c r="F260" s="1014">
        <v>3558</v>
      </c>
      <c r="G260" s="1015">
        <v>754</v>
      </c>
      <c r="H260" s="1015">
        <v>826</v>
      </c>
      <c r="I260" s="1015">
        <v>995</v>
      </c>
      <c r="J260" s="1015">
        <v>877</v>
      </c>
      <c r="K260" s="1014">
        <v>3452</v>
      </c>
      <c r="L260" s="1015">
        <v>1088</v>
      </c>
      <c r="M260" s="1015">
        <v>750</v>
      </c>
      <c r="N260" s="1015">
        <v>698</v>
      </c>
      <c r="O260" s="1015">
        <v>588</v>
      </c>
      <c r="P260" s="1014">
        <v>3124</v>
      </c>
      <c r="Q260" s="1015">
        <v>757.05882352941171</v>
      </c>
      <c r="R260" s="1015">
        <v>845</v>
      </c>
      <c r="S260" s="1015">
        <v>470</v>
      </c>
      <c r="T260" s="1015">
        <v>945</v>
      </c>
      <c r="U260" s="1014">
        <v>3017.0588235294117</v>
      </c>
      <c r="V260" s="1015">
        <v>973.05882352941171</v>
      </c>
      <c r="W260" s="1015">
        <v>1316</v>
      </c>
      <c r="X260" s="1015">
        <v>995</v>
      </c>
      <c r="Y260" s="1015">
        <v>852</v>
      </c>
      <c r="Z260" s="1014">
        <v>4136.0588235294117</v>
      </c>
      <c r="AA260" s="1015">
        <v>1000</v>
      </c>
      <c r="AB260" s="1015">
        <v>1065</v>
      </c>
      <c r="AC260" s="1015">
        <v>1000</v>
      </c>
      <c r="AD260" s="1015">
        <v>980</v>
      </c>
      <c r="AE260" s="1014"/>
      <c r="AF260" s="1015"/>
      <c r="AG260" s="1015"/>
      <c r="AH260" s="1015"/>
      <c r="AI260" s="1015"/>
      <c r="AJ260" s="1014"/>
      <c r="AK260" s="1015"/>
      <c r="AL260" s="1015"/>
      <c r="AM260" s="1015"/>
      <c r="AN260" s="1015"/>
      <c r="AO260" s="1014"/>
      <c r="AP260" s="1419"/>
      <c r="AQ260" s="1419"/>
      <c r="AR260" s="1419"/>
      <c r="AS260" s="1419"/>
      <c r="AT260" s="1420"/>
      <c r="AU260" s="1419"/>
      <c r="AV260" s="1419"/>
      <c r="AW260" s="1419"/>
      <c r="AX260" s="1419"/>
      <c r="AY260" s="1420"/>
      <c r="AZ260" s="1419">
        <f>AZ258*AZ255</f>
        <v>376.2</v>
      </c>
      <c r="BA260" s="1419">
        <f>BA258*BA255</f>
        <v>304.99999999999994</v>
      </c>
      <c r="BB260" s="1419">
        <f>BB258*BB255</f>
        <v>363.99999999999949</v>
      </c>
      <c r="BC260" s="1419">
        <f>BC258*BC255</f>
        <v>503.99999999999994</v>
      </c>
      <c r="BD260" s="1420">
        <f>SUM(AZ260:BC260)</f>
        <v>1549.1999999999994</v>
      </c>
      <c r="BE260" s="1015">
        <f>BE258*BE255</f>
        <v>361.15199999999993</v>
      </c>
      <c r="BF260" s="1419">
        <f>BF258*BF255</f>
        <v>285.17499999999995</v>
      </c>
      <c r="BG260" s="1419">
        <f>BG258*BG255</f>
        <v>358.53999999999951</v>
      </c>
      <c r="BH260" s="1015">
        <f>BH258*BH255</f>
        <v>448</v>
      </c>
      <c r="BI260" s="1014">
        <f>SUM(BE260:BH260)</f>
        <v>1452.8669999999993</v>
      </c>
      <c r="BJ260" s="1015">
        <f>BJ258*BJ255</f>
        <v>293.43599999999998</v>
      </c>
      <c r="BK260" s="1015">
        <f>BK258*BK255</f>
        <v>231.70468749999995</v>
      </c>
      <c r="BL260" s="1015">
        <f>BL258*BL255</f>
        <v>291.31374999999957</v>
      </c>
      <c r="BM260" s="1015">
        <f>BM258*BM255</f>
        <v>409.5</v>
      </c>
      <c r="BN260" s="1014">
        <f>SUM(BJ260:BM260)</f>
        <v>1225.9544374999996</v>
      </c>
      <c r="BO260" s="1015">
        <f>BO258*BO255</f>
        <v>249.42059999999995</v>
      </c>
      <c r="BP260" s="1015">
        <f>BP258*BP255</f>
        <v>196.94898437499995</v>
      </c>
      <c r="BQ260" s="1015">
        <f>BQ258*BQ255</f>
        <v>247.61668749999964</v>
      </c>
      <c r="BR260" s="1015">
        <f>BR258*BR255</f>
        <v>348.07499999999999</v>
      </c>
      <c r="BS260" s="1014">
        <f>SUM(BO260:BR260)</f>
        <v>1042.0612718749996</v>
      </c>
      <c r="BT260" s="1015">
        <f>BT258*BT255</f>
        <v>205.77199499999995</v>
      </c>
      <c r="BU260" s="1015">
        <f>BU258*BU255</f>
        <v>162.48291210937498</v>
      </c>
      <c r="BV260" s="1015">
        <f>BV258*BV255</f>
        <v>204.28376718749971</v>
      </c>
      <c r="BW260" s="1015">
        <f>BW258*BW255</f>
        <v>287.16187499999995</v>
      </c>
      <c r="BX260" s="1014">
        <f>SUM(BT260:BW260)</f>
        <v>859.70054929687467</v>
      </c>
      <c r="BY260" s="1523"/>
      <c r="BZ260" s="1014"/>
      <c r="CA260" s="1014"/>
      <c r="CB260" s="1014">
        <f>SUM(AM260:AN260,AP260:AQ260)</f>
        <v>0</v>
      </c>
      <c r="CC260" s="1014">
        <f>SUM(AR260:AS260,AU260:AV260)</f>
        <v>0</v>
      </c>
      <c r="CD260" s="1014">
        <f>SUM(AW260:AX260,AZ260:BA260)</f>
        <v>681.19999999999993</v>
      </c>
      <c r="CE260" s="1014">
        <f>SUM(BB260:BC260,BE260:BF260)</f>
        <v>1514.3269999999993</v>
      </c>
      <c r="CF260" s="1014">
        <f>SUM(BG260:BH260,BJ260:BK260)</f>
        <v>1331.6806874999993</v>
      </c>
      <c r="CG260" s="1014">
        <f>SUM(BL260:BM260,BO260:BP260)</f>
        <v>1147.1833343749995</v>
      </c>
      <c r="CH260" s="1014">
        <f>SUM(BQ260:BR260,BT260:BU260)</f>
        <v>963.94659460937453</v>
      </c>
    </row>
    <row r="261" spans="1:86" s="1022" customFormat="1">
      <c r="A261" s="1032" t="s">
        <v>926</v>
      </c>
      <c r="B261" s="1034"/>
      <c r="C261" s="1034"/>
      <c r="D261" s="1034"/>
      <c r="E261" s="1034"/>
      <c r="F261" s="1033"/>
      <c r="G261" s="1034"/>
      <c r="H261" s="1034"/>
      <c r="I261" s="1034"/>
      <c r="J261" s="1034"/>
      <c r="K261" s="1033"/>
      <c r="L261" s="1034"/>
      <c r="M261" s="1034"/>
      <c r="N261" s="1034"/>
      <c r="O261" s="1034"/>
      <c r="P261" s="1033"/>
      <c r="Q261" s="1034"/>
      <c r="R261" s="1034"/>
      <c r="S261" s="1034"/>
      <c r="T261" s="1034"/>
      <c r="U261" s="1033"/>
      <c r="V261" s="1034"/>
      <c r="W261" s="1034"/>
      <c r="X261" s="1034"/>
      <c r="Y261" s="1034"/>
      <c r="Z261" s="1033"/>
      <c r="AA261" s="1034"/>
      <c r="AB261" s="1034"/>
      <c r="AC261" s="1034"/>
      <c r="AD261" s="1034"/>
      <c r="AE261" s="1033"/>
      <c r="AF261" s="1036"/>
      <c r="AG261" s="1036"/>
      <c r="AH261" s="1036"/>
      <c r="AI261" s="1036"/>
      <c r="AJ261" s="1035"/>
      <c r="AK261" s="1036"/>
      <c r="AL261" s="1036"/>
      <c r="AM261" s="1036"/>
      <c r="AN261" s="1036"/>
      <c r="AO261" s="1035"/>
      <c r="AP261" s="1036"/>
      <c r="AQ261" s="1036"/>
      <c r="AR261" s="1036"/>
      <c r="AS261" s="1036"/>
      <c r="AT261" s="1035"/>
      <c r="AU261" s="1036"/>
      <c r="AV261" s="1036"/>
      <c r="AW261" s="1036"/>
      <c r="AX261" s="1036"/>
      <c r="AY261" s="1035"/>
      <c r="AZ261" s="1036"/>
      <c r="BA261" s="1036"/>
      <c r="BB261" s="1036"/>
      <c r="BC261" s="1036"/>
      <c r="BD261" s="1035"/>
      <c r="BE261" s="1036">
        <f t="shared" ref="BE261:BS261" si="477">IF(ISERROR(BE260/AZ260-1),,(BE260/AZ260-1))</f>
        <v>-4.0000000000000147E-2</v>
      </c>
      <c r="BF261" s="1036">
        <f t="shared" si="477"/>
        <v>-6.4999999999999947E-2</v>
      </c>
      <c r="BG261" s="1036">
        <f t="shared" si="477"/>
        <v>-1.5000000000000013E-2</v>
      </c>
      <c r="BH261" s="1036">
        <f t="shared" si="477"/>
        <v>-0.11111111111111105</v>
      </c>
      <c r="BI261" s="1035">
        <f t="shared" si="477"/>
        <v>-6.2182416731216161E-2</v>
      </c>
      <c r="BJ261" s="1036">
        <f t="shared" si="477"/>
        <v>-0.18749999999999989</v>
      </c>
      <c r="BK261" s="1036">
        <f t="shared" si="477"/>
        <v>-0.1875</v>
      </c>
      <c r="BL261" s="1036">
        <f t="shared" si="477"/>
        <v>-0.18750000000000011</v>
      </c>
      <c r="BM261" s="1036">
        <f t="shared" si="477"/>
        <v>-8.59375E-2</v>
      </c>
      <c r="BN261" s="1035">
        <f t="shared" si="477"/>
        <v>-0.15618261169122827</v>
      </c>
      <c r="BO261" s="1036">
        <f t="shared" si="477"/>
        <v>-0.15000000000000013</v>
      </c>
      <c r="BP261" s="1036">
        <f t="shared" si="477"/>
        <v>-0.15000000000000002</v>
      </c>
      <c r="BQ261" s="1036">
        <f t="shared" si="477"/>
        <v>-0.15000000000000002</v>
      </c>
      <c r="BR261" s="1036">
        <f t="shared" si="477"/>
        <v>-0.15000000000000002</v>
      </c>
      <c r="BS261" s="1035">
        <f t="shared" si="477"/>
        <v>-0.15000000000000002</v>
      </c>
      <c r="BT261" s="1036">
        <f t="shared" ref="BT261" si="478">IF(ISERROR(BT260/BO260-1),,(BT260/BO260-1))</f>
        <v>-0.17500000000000004</v>
      </c>
      <c r="BU261" s="1036">
        <f t="shared" ref="BU261" si="479">IF(ISERROR(BU260/BP260-1),,(BU260/BP260-1))</f>
        <v>-0.17499999999999993</v>
      </c>
      <c r="BV261" s="1036">
        <f t="shared" ref="BV261" si="480">IF(ISERROR(BV260/BQ260-1),,(BV260/BQ260-1))</f>
        <v>-0.17500000000000004</v>
      </c>
      <c r="BW261" s="1036">
        <f t="shared" ref="BW261" si="481">IF(ISERROR(BW260/BR260-1),,(BW260/BR260-1))</f>
        <v>-0.17500000000000016</v>
      </c>
      <c r="BX261" s="1035">
        <f t="shared" ref="BX261" si="482">IF(ISERROR(BX260/BS260-1),,(BX260/BS260-1))</f>
        <v>-0.17500000000000004</v>
      </c>
      <c r="BY261" s="1438"/>
      <c r="BZ261" s="1035"/>
      <c r="CA261" s="1035"/>
      <c r="CB261" s="1035"/>
      <c r="CC261" s="1035"/>
      <c r="CD261" s="1035"/>
      <c r="CE261" s="1035"/>
      <c r="CF261" s="1035"/>
      <c r="CG261" s="1035"/>
      <c r="CH261" s="1035"/>
    </row>
    <row r="262" spans="1:86" ht="15" customHeight="1">
      <c r="AZ262" s="1419"/>
      <c r="BA262" s="1419"/>
      <c r="BB262" s="1419"/>
      <c r="BC262" s="1419"/>
      <c r="BE262" s="986"/>
      <c r="BF262" s="1419"/>
      <c r="BG262" s="1419"/>
      <c r="BH262" s="986"/>
      <c r="BI262" s="1009"/>
      <c r="BJ262" s="986"/>
      <c r="BK262" s="986"/>
      <c r="BL262" s="986"/>
      <c r="BM262" s="986"/>
      <c r="BN262" s="1009"/>
      <c r="BO262" s="986"/>
      <c r="BP262" s="986"/>
      <c r="BQ262" s="986"/>
      <c r="BR262" s="986"/>
      <c r="BS262" s="1009"/>
      <c r="BT262" s="986"/>
      <c r="BU262" s="986"/>
      <c r="BV262" s="986"/>
      <c r="BW262" s="986"/>
      <c r="BX262" s="1009"/>
      <c r="BY262" s="1343"/>
      <c r="CE262" s="1009"/>
      <c r="CF262" s="1009"/>
      <c r="CG262" s="1009"/>
      <c r="CH262" s="1009"/>
    </row>
    <row r="263" spans="1:86" s="1093" customFormat="1">
      <c r="A263" s="1090" t="s">
        <v>979</v>
      </c>
      <c r="B263" s="1091">
        <f>B255+B245</f>
        <v>4.0277777777777777</v>
      </c>
      <c r="C263" s="1091">
        <f>C255+C245</f>
        <v>1.3</v>
      </c>
      <c r="D263" s="1091">
        <f>D255+D245</f>
        <v>9.0277777777777786</v>
      </c>
      <c r="E263" s="1091">
        <f>E255+E245</f>
        <v>5.4111111111111114</v>
      </c>
      <c r="F263" s="1092">
        <f>SUM(B263:E263)</f>
        <v>19.766666666666666</v>
      </c>
      <c r="G263" s="1091">
        <f>G255+G245</f>
        <v>4.1888888888888891</v>
      </c>
      <c r="H263" s="1091">
        <f>H255+H245</f>
        <v>4.5888888888888886</v>
      </c>
      <c r="I263" s="1091">
        <f>I255+I245</f>
        <v>5.5277777777777777</v>
      </c>
      <c r="J263" s="1091">
        <f>J255+J245</f>
        <v>4.8722222222222218</v>
      </c>
      <c r="K263" s="1092">
        <f>SUM(G263:J263)</f>
        <v>19.177777777777777</v>
      </c>
      <c r="L263" s="1091">
        <f>L255+L245</f>
        <v>6.0444444444444443</v>
      </c>
      <c r="M263" s="1091">
        <f>M255+M245</f>
        <v>4.166666666666667</v>
      </c>
      <c r="N263" s="1091">
        <f>N255+N245</f>
        <v>3.8777777777777778</v>
      </c>
      <c r="O263" s="1091">
        <f>O255+O245</f>
        <v>3.2666666666666666</v>
      </c>
      <c r="P263" s="1092">
        <f>SUM(L263:O263)</f>
        <v>17.355555555555558</v>
      </c>
      <c r="Q263" s="1091">
        <f>Q255+Q245</f>
        <v>4.2058823529411757</v>
      </c>
      <c r="R263" s="1091">
        <f>R255+R245</f>
        <v>4.6944444444444446</v>
      </c>
      <c r="S263" s="1091">
        <f>S255+S245</f>
        <v>2.6111111111111112</v>
      </c>
      <c r="T263" s="1091">
        <f>T255+T245</f>
        <v>5.25</v>
      </c>
      <c r="U263" s="1092">
        <f>SUM(Q263:T263)</f>
        <v>16.761437908496731</v>
      </c>
      <c r="V263" s="1091">
        <f>V255+V245</f>
        <v>5.4058823529411759</v>
      </c>
      <c r="W263" s="1091">
        <f>W255+W245</f>
        <v>7.3111111111111109</v>
      </c>
      <c r="X263" s="1091">
        <f>X255+X245</f>
        <v>5.5277777777777777</v>
      </c>
      <c r="Y263" s="1091">
        <f>Y255+Y245</f>
        <v>4.7333333333333334</v>
      </c>
      <c r="Z263" s="1092">
        <f>SUM(V263:Y263)</f>
        <v>22.9781045751634</v>
      </c>
      <c r="AA263" s="1091">
        <f>AA255+AA243</f>
        <v>5.5555555555555554</v>
      </c>
      <c r="AB263" s="1091">
        <f>AB255+AB243</f>
        <v>5.916666666666667</v>
      </c>
      <c r="AC263" s="1091">
        <f>AC255+AC243</f>
        <v>5.5555555555555554</v>
      </c>
      <c r="AD263" s="1091">
        <f>AD255+AD243</f>
        <v>5.4444444444444446</v>
      </c>
      <c r="AE263" s="1092"/>
      <c r="AF263" s="1091"/>
      <c r="AG263" s="1091"/>
      <c r="AH263" s="1091"/>
      <c r="AI263" s="1091"/>
      <c r="AJ263" s="1092"/>
      <c r="AK263" s="1091"/>
      <c r="AL263" s="1091"/>
      <c r="AM263" s="1091"/>
      <c r="AN263" s="1091"/>
      <c r="AO263" s="1092"/>
      <c r="AP263" s="1091"/>
      <c r="AQ263" s="1091"/>
      <c r="AR263" s="1091"/>
      <c r="AS263" s="1091"/>
      <c r="AT263" s="1092"/>
      <c r="AU263" s="1091"/>
      <c r="AV263" s="1091"/>
      <c r="AW263" s="1091"/>
      <c r="AX263" s="1091"/>
      <c r="AY263" s="1092"/>
      <c r="AZ263" s="1091">
        <f>AZ255+AZ243</f>
        <v>4.0154375</v>
      </c>
      <c r="BA263" s="1091">
        <f>BA255+BA243</f>
        <v>3.8216944444444438</v>
      </c>
      <c r="BB263" s="1091">
        <f>BB255+BB243</f>
        <v>4.5752222222222194</v>
      </c>
      <c r="BC263" s="1091">
        <f>BC255+BC243</f>
        <v>4.7039999999999997</v>
      </c>
      <c r="BD263" s="1092">
        <f>SUM(AZ263:BC263)</f>
        <v>17.116354166666664</v>
      </c>
      <c r="BE263" s="1091">
        <f>BE255+BE243</f>
        <v>4.2118374999999997</v>
      </c>
      <c r="BF263" s="1091">
        <f>BF255+BF243</f>
        <v>4.1915555555555546</v>
      </c>
      <c r="BG263" s="1091">
        <f>BG255+BG243</f>
        <v>4.9048888888888857</v>
      </c>
      <c r="BH263" s="1091">
        <f>BH255+BH243</f>
        <v>5.0639999999999992</v>
      </c>
      <c r="BI263" s="1092">
        <f>SUM(BE263:BH263)</f>
        <v>18.372281944444438</v>
      </c>
      <c r="BJ263" s="1091">
        <f>BJ255+BJ243</f>
        <v>4.361677499999999</v>
      </c>
      <c r="BK263" s="1091">
        <f>BK255+BK243</f>
        <v>4.191947916666666</v>
      </c>
      <c r="BL263" s="1091">
        <f>BL255+BL243</f>
        <v>4.7350916666666629</v>
      </c>
      <c r="BM263" s="1091">
        <f>BM255+BM243</f>
        <v>5.1940000000000008</v>
      </c>
      <c r="BN263" s="1092">
        <f>SUM(BJ263:BM263)</f>
        <v>18.482717083333327</v>
      </c>
      <c r="BO263" s="1091">
        <f>BO255+BO243</f>
        <v>4.1682414999999997</v>
      </c>
      <c r="BP263" s="1091">
        <f>BP255+BP243</f>
        <v>4.0602432291666668</v>
      </c>
      <c r="BQ263" s="1091">
        <f>BQ255+BQ243</f>
        <v>4.5437779166666639</v>
      </c>
      <c r="BR263" s="1091">
        <f>BR255+BR243</f>
        <v>4.8845000000000001</v>
      </c>
      <c r="BS263" s="1092">
        <f>SUM(BO263:BR263)</f>
        <v>17.656762645833329</v>
      </c>
      <c r="BT263" s="1091">
        <f>BT255+BT243</f>
        <v>3.9572507999999997</v>
      </c>
      <c r="BU263" s="1091">
        <f>BU255+BU243</f>
        <v>3.9104694140625007</v>
      </c>
      <c r="BV263" s="1091">
        <f>BV255+BV243</f>
        <v>4.3348917812499987</v>
      </c>
      <c r="BW263" s="1091">
        <f>BW255+BW243</f>
        <v>4.5584125000000002</v>
      </c>
      <c r="BX263" s="1092">
        <f>SUM(BT263:BW263)</f>
        <v>16.761024495312498</v>
      </c>
      <c r="BY263" s="1531"/>
      <c r="BZ263" s="1092"/>
      <c r="CA263" s="1092"/>
      <c r="CB263" s="1092">
        <f>SUM(AM263:AN263,AP263:AQ263)</f>
        <v>0</v>
      </c>
      <c r="CC263" s="1092">
        <f>SUM(AR263:AS263,AU263:AV263)</f>
        <v>0</v>
      </c>
      <c r="CD263" s="1092">
        <f>SUM(AW263:AX263,AZ263:BA263)</f>
        <v>7.8371319444444438</v>
      </c>
      <c r="CE263" s="1092">
        <f>SUM(BB263:BC263,BE263:BF263)</f>
        <v>17.682615277777774</v>
      </c>
      <c r="CF263" s="1092">
        <f>SUM(BG263:BH263,BJ263:BK263)</f>
        <v>18.52251430555555</v>
      </c>
      <c r="CG263" s="1092">
        <f>SUM(BL263:BM263,BO263:BP263)</f>
        <v>18.157576395833331</v>
      </c>
      <c r="CH263" s="1092">
        <f>SUM(BQ263:BR263,BT263:BU263)</f>
        <v>17.295998130729163</v>
      </c>
    </row>
    <row r="264" spans="1:86" s="1022" customFormat="1">
      <c r="A264" s="1032" t="s">
        <v>926</v>
      </c>
      <c r="B264" s="1034"/>
      <c r="C264" s="1034"/>
      <c r="D264" s="1034"/>
      <c r="E264" s="1034"/>
      <c r="F264" s="1033"/>
      <c r="G264" s="1040">
        <f t="shared" ref="G264:AD264" si="483">IFERROR(G263/B263-1,"")</f>
        <v>4.0000000000000036E-2</v>
      </c>
      <c r="H264" s="1040">
        <f t="shared" si="483"/>
        <v>2.5299145299145294</v>
      </c>
      <c r="I264" s="1040">
        <f t="shared" si="483"/>
        <v>-0.38769230769230778</v>
      </c>
      <c r="J264" s="1040">
        <f t="shared" si="483"/>
        <v>-9.9589322381930301E-2</v>
      </c>
      <c r="K264" s="1041">
        <f t="shared" si="483"/>
        <v>-2.9792017987633534E-2</v>
      </c>
      <c r="L264" s="1040">
        <f t="shared" si="483"/>
        <v>0.44297082228116702</v>
      </c>
      <c r="M264" s="1040">
        <f t="shared" si="483"/>
        <v>-9.2009685230024063E-2</v>
      </c>
      <c r="N264" s="1040">
        <f t="shared" si="483"/>
        <v>-0.29849246231155779</v>
      </c>
      <c r="O264" s="1040">
        <f t="shared" si="483"/>
        <v>-0.32953249714937283</v>
      </c>
      <c r="P264" s="1041">
        <f t="shared" si="483"/>
        <v>-9.5017381228273301E-2</v>
      </c>
      <c r="Q264" s="1040">
        <f t="shared" si="483"/>
        <v>-0.30417387543252605</v>
      </c>
      <c r="R264" s="1040">
        <f t="shared" si="483"/>
        <v>0.12666666666666671</v>
      </c>
      <c r="S264" s="1040">
        <f t="shared" si="483"/>
        <v>-0.32664756446991405</v>
      </c>
      <c r="T264" s="1040">
        <f t="shared" si="483"/>
        <v>0.60714285714285721</v>
      </c>
      <c r="U264" s="1041">
        <f t="shared" si="483"/>
        <v>-3.4232130752429146E-2</v>
      </c>
      <c r="V264" s="1040">
        <f t="shared" si="483"/>
        <v>0.28531468531468551</v>
      </c>
      <c r="W264" s="1040">
        <f t="shared" si="483"/>
        <v>0.55739644970414193</v>
      </c>
      <c r="X264" s="1040">
        <f t="shared" si="483"/>
        <v>1.1170212765957448</v>
      </c>
      <c r="Y264" s="1040">
        <f t="shared" si="483"/>
        <v>-9.8412698412698396E-2</v>
      </c>
      <c r="Z264" s="1041">
        <f t="shared" si="483"/>
        <v>0.37089101189315676</v>
      </c>
      <c r="AA264" s="1040">
        <f t="shared" si="483"/>
        <v>2.7687099504292156E-2</v>
      </c>
      <c r="AB264" s="1040">
        <f t="shared" si="483"/>
        <v>-0.19072948328267469</v>
      </c>
      <c r="AC264" s="1040">
        <f t="shared" si="483"/>
        <v>5.0251256281406143E-3</v>
      </c>
      <c r="AD264" s="1040">
        <f t="shared" si="483"/>
        <v>0.15023474178403751</v>
      </c>
      <c r="AE264" s="1041"/>
      <c r="AF264" s="1040"/>
      <c r="AG264" s="1040"/>
      <c r="AH264" s="1040"/>
      <c r="AI264" s="1040"/>
      <c r="AJ264" s="1041"/>
      <c r="AK264" s="1040"/>
      <c r="AL264" s="1040"/>
      <c r="AM264" s="1040"/>
      <c r="AN264" s="1040"/>
      <c r="AO264" s="1035"/>
      <c r="AP264" s="1040"/>
      <c r="AQ264" s="1036"/>
      <c r="AR264" s="1036"/>
      <c r="AS264" s="1036"/>
      <c r="AT264" s="1035"/>
      <c r="AU264" s="1040"/>
      <c r="AV264" s="1036"/>
      <c r="AW264" s="1036"/>
      <c r="AX264" s="1036"/>
      <c r="AY264" s="1035"/>
      <c r="AZ264" s="1040"/>
      <c r="BA264" s="1036"/>
      <c r="BB264" s="1036"/>
      <c r="BC264" s="1036"/>
      <c r="BD264" s="1035"/>
      <c r="BE264" s="1036">
        <f t="shared" ref="BE264:BS264" si="484">IF(ISERROR(BE263/AZ263-1),,(BE263/AZ263-1))</f>
        <v>4.8911233209332661E-2</v>
      </c>
      <c r="BF264" s="1036">
        <f t="shared" si="484"/>
        <v>9.6779351800030389E-2</v>
      </c>
      <c r="BG264" s="1036">
        <f t="shared" si="484"/>
        <v>7.2054787867013026E-2</v>
      </c>
      <c r="BH264" s="1036">
        <f t="shared" si="484"/>
        <v>7.6530612244897878E-2</v>
      </c>
      <c r="BI264" s="1035">
        <f t="shared" si="484"/>
        <v>7.337589334436867E-2</v>
      </c>
      <c r="BJ264" s="1036">
        <f t="shared" si="484"/>
        <v>3.5575921435715196E-2</v>
      </c>
      <c r="BK264" s="1036">
        <f t="shared" si="484"/>
        <v>9.3607517760663228E-5</v>
      </c>
      <c r="BL264" s="1036">
        <f t="shared" si="484"/>
        <v>-3.4617954874954893E-2</v>
      </c>
      <c r="BM264" s="1036">
        <f t="shared" si="484"/>
        <v>2.567140600315998E-2</v>
      </c>
      <c r="BN264" s="1035">
        <f t="shared" si="484"/>
        <v>6.010964736053559E-3</v>
      </c>
      <c r="BO264" s="1036">
        <f t="shared" si="484"/>
        <v>-4.4348991872966148E-2</v>
      </c>
      <c r="BP264" s="1036">
        <f t="shared" si="484"/>
        <v>-3.14184932919509E-2</v>
      </c>
      <c r="BQ264" s="1036">
        <f t="shared" si="484"/>
        <v>-4.0403388881946833E-2</v>
      </c>
      <c r="BR264" s="1036">
        <f t="shared" si="484"/>
        <v>-5.9587986137851545E-2</v>
      </c>
      <c r="BS264" s="1035">
        <f t="shared" si="484"/>
        <v>-4.4687933801940694E-2</v>
      </c>
      <c r="BT264" s="1036">
        <f t="shared" ref="BT264" si="485">IF(ISERROR(BT263/BO263-1),,(BT263/BO263-1))</f>
        <v>-5.0618636180269294E-2</v>
      </c>
      <c r="BU264" s="1036">
        <f t="shared" ref="BU264" si="486">IF(ISERROR(BU263/BP263-1),,(BU263/BP263-1))</f>
        <v>-3.6887892338141048E-2</v>
      </c>
      <c r="BV264" s="1036">
        <f t="shared" ref="BV264" si="487">IF(ISERROR(BV263/BQ263-1),,(BV263/BQ263-1))</f>
        <v>-4.5971906912630311E-2</v>
      </c>
      <c r="BW264" s="1036">
        <f t="shared" ref="BW264" si="488">IF(ISERROR(BW263/BR263-1),,(BW263/BR263-1))</f>
        <v>-6.6759647865697547E-2</v>
      </c>
      <c r="BX264" s="1035">
        <f t="shared" ref="BX264" si="489">IF(ISERROR(BX263/BS263-1),,(BX263/BS263-1))</f>
        <v>-5.0730599288664524E-2</v>
      </c>
      <c r="BY264" s="1438"/>
      <c r="BZ264" s="1035"/>
      <c r="CA264" s="1035"/>
      <c r="CB264" s="1035"/>
      <c r="CC264" s="1035"/>
      <c r="CD264" s="1035"/>
      <c r="CE264" s="1035"/>
      <c r="CF264" s="1035"/>
      <c r="CG264" s="1035"/>
      <c r="CH264" s="1035"/>
    </row>
    <row r="265" spans="1:86" s="1022" customFormat="1">
      <c r="A265" s="1032" t="s">
        <v>968</v>
      </c>
      <c r="B265" s="1034"/>
      <c r="C265" s="1034"/>
      <c r="D265" s="1034"/>
      <c r="E265" s="1034"/>
      <c r="F265" s="1033"/>
      <c r="G265" s="1040"/>
      <c r="H265" s="1040"/>
      <c r="I265" s="1040"/>
      <c r="J265" s="1040"/>
      <c r="K265" s="1041"/>
      <c r="L265" s="1040"/>
      <c r="M265" s="1040"/>
      <c r="N265" s="1040"/>
      <c r="O265" s="1040"/>
      <c r="P265" s="1041"/>
      <c r="Q265" s="1040"/>
      <c r="R265" s="1040"/>
      <c r="S265" s="1040"/>
      <c r="T265" s="1040"/>
      <c r="U265" s="1041"/>
      <c r="V265" s="1040"/>
      <c r="W265" s="1040"/>
      <c r="X265" s="1040"/>
      <c r="Y265" s="1040"/>
      <c r="Z265" s="1041"/>
      <c r="AA265" s="1040"/>
      <c r="AB265" s="1040"/>
      <c r="AC265" s="1040"/>
      <c r="AD265" s="1040"/>
      <c r="AE265" s="1041"/>
      <c r="AF265" s="1040"/>
      <c r="AG265" s="1040"/>
      <c r="AH265" s="1040"/>
      <c r="AI265" s="1040"/>
      <c r="AJ265" s="1041"/>
      <c r="AK265" s="1040"/>
      <c r="AL265" s="1040"/>
      <c r="AM265" s="1040"/>
      <c r="AN265" s="1040"/>
      <c r="AO265" s="1041"/>
      <c r="AP265" s="1040"/>
      <c r="AQ265" s="1040"/>
      <c r="AR265" s="1040"/>
      <c r="AS265" s="1040"/>
      <c r="AT265" s="1041"/>
      <c r="AU265" s="1040"/>
      <c r="AV265" s="1040"/>
      <c r="AW265" s="1040"/>
      <c r="AX265" s="1040"/>
      <c r="AY265" s="1041"/>
      <c r="AZ265" s="1040"/>
      <c r="BA265" s="1040"/>
      <c r="BB265" s="1040"/>
      <c r="BC265" s="1040"/>
      <c r="BD265" s="1041"/>
      <c r="BE265" s="1040">
        <f t="shared" ref="BE265:BS265" si="490">BE243/BE263</f>
        <v>0.52362834511065526</v>
      </c>
      <c r="BF265" s="1040">
        <f t="shared" ref="BF265:BG265" si="491">BF243/BF263</f>
        <v>0.62202444067437179</v>
      </c>
      <c r="BG265" s="1040">
        <f t="shared" si="491"/>
        <v>0.59389724537876065</v>
      </c>
      <c r="BH265" s="1040">
        <f t="shared" si="490"/>
        <v>0.44707740916271715</v>
      </c>
      <c r="BI265" s="1041">
        <f t="shared" si="490"/>
        <v>0.54373689290244986</v>
      </c>
      <c r="BJ265" s="1040">
        <f t="shared" si="490"/>
        <v>0.55149366270202238</v>
      </c>
      <c r="BK265" s="1040">
        <f t="shared" si="490"/>
        <v>0.63150832324868855</v>
      </c>
      <c r="BL265" s="1040">
        <f t="shared" si="490"/>
        <v>0.58985130523696339</v>
      </c>
      <c r="BM265" s="1040">
        <f t="shared" si="490"/>
        <v>0.47439353099730458</v>
      </c>
      <c r="BN265" s="1041">
        <f t="shared" si="490"/>
        <v>0.55780151010895984</v>
      </c>
      <c r="BO265" s="1040">
        <f t="shared" si="490"/>
        <v>0.60107781662842719</v>
      </c>
      <c r="BP265" s="1040">
        <f t="shared" si="490"/>
        <v>0.67662202605626953</v>
      </c>
      <c r="BQ265" s="1040">
        <f t="shared" si="490"/>
        <v>0.63669485020128747</v>
      </c>
      <c r="BR265" s="1040">
        <f t="shared" si="490"/>
        <v>0.52492578564847991</v>
      </c>
      <c r="BS265" s="1041">
        <f t="shared" si="490"/>
        <v>0.60654876065445051</v>
      </c>
      <c r="BT265" s="1040">
        <f t="shared" ref="BT265:BX265" si="492">BT243/BT263</f>
        <v>0.65334183519528266</v>
      </c>
      <c r="BU265" s="1040">
        <f t="shared" si="492"/>
        <v>0.72299504244500234</v>
      </c>
      <c r="BV265" s="1040">
        <f t="shared" si="492"/>
        <v>0.68583026982572415</v>
      </c>
      <c r="BW265" s="1040">
        <f t="shared" si="492"/>
        <v>0.58002648948510038</v>
      </c>
      <c r="BX265" s="1041">
        <f t="shared" si="492"/>
        <v>0.65805568765111233</v>
      </c>
      <c r="BY265" s="1438"/>
      <c r="BZ265" s="1041"/>
      <c r="CA265" s="1041"/>
      <c r="CB265" s="1041"/>
      <c r="CC265" s="1041"/>
      <c r="CD265" s="1041"/>
      <c r="CE265" s="1041"/>
      <c r="CF265" s="1041"/>
      <c r="CG265" s="1041"/>
      <c r="CH265" s="1041"/>
    </row>
    <row r="266" spans="1:86" ht="7.5" customHeight="1">
      <c r="BE266" s="986"/>
      <c r="BF266" s="986"/>
      <c r="BG266" s="986"/>
      <c r="BH266" s="986"/>
      <c r="BI266" s="1009"/>
      <c r="BJ266" s="986"/>
      <c r="BK266" s="986"/>
      <c r="BL266" s="986"/>
      <c r="BM266" s="986"/>
      <c r="BN266" s="1009"/>
      <c r="BO266" s="986"/>
      <c r="BP266" s="986"/>
      <c r="BQ266" s="986"/>
      <c r="BR266" s="986"/>
      <c r="BS266" s="1009"/>
      <c r="BT266" s="986"/>
      <c r="BU266" s="986"/>
      <c r="BV266" s="986"/>
      <c r="BW266" s="986"/>
      <c r="BX266" s="1009"/>
      <c r="BY266" s="1343"/>
      <c r="CE266" s="1009"/>
      <c r="CF266" s="1009"/>
      <c r="CG266" s="1009"/>
      <c r="CH266" s="1009"/>
    </row>
    <row r="267" spans="1:86" s="1011" customFormat="1">
      <c r="A267" s="1013" t="s">
        <v>980</v>
      </c>
      <c r="B267" s="1015">
        <f>B260+B251</f>
        <v>725</v>
      </c>
      <c r="C267" s="1015">
        <f>C260+C251</f>
        <v>234</v>
      </c>
      <c r="D267" s="1015">
        <f>D260+D251</f>
        <v>1625</v>
      </c>
      <c r="E267" s="1015">
        <f>E260+E251</f>
        <v>974</v>
      </c>
      <c r="F267" s="1014">
        <f>SUM(B267:E267)</f>
        <v>3558</v>
      </c>
      <c r="G267" s="1015">
        <f>G260+G251</f>
        <v>754</v>
      </c>
      <c r="H267" s="1015">
        <f>H260+H251</f>
        <v>826</v>
      </c>
      <c r="I267" s="1015">
        <f>I260+I251</f>
        <v>995</v>
      </c>
      <c r="J267" s="1015">
        <f>J260+J251</f>
        <v>877</v>
      </c>
      <c r="K267" s="1014">
        <f>SUM(G267:J267)</f>
        <v>3452</v>
      </c>
      <c r="L267" s="1015">
        <f>L260+L251</f>
        <v>1088</v>
      </c>
      <c r="M267" s="1015">
        <f>M260+M251</f>
        <v>750</v>
      </c>
      <c r="N267" s="1015">
        <f>N260+N251</f>
        <v>698</v>
      </c>
      <c r="O267" s="1015">
        <f>O260+O251</f>
        <v>588</v>
      </c>
      <c r="P267" s="1014">
        <f>SUM(L267:O267)</f>
        <v>3124</v>
      </c>
      <c r="Q267" s="1015">
        <f>Q260+Q251</f>
        <v>757.05882352941171</v>
      </c>
      <c r="R267" s="1015">
        <f>R260+R251</f>
        <v>845</v>
      </c>
      <c r="S267" s="1015">
        <f>S260+S251</f>
        <v>470</v>
      </c>
      <c r="T267" s="1015">
        <f>T260+T251</f>
        <v>945</v>
      </c>
      <c r="U267" s="1014">
        <f>SUM(Q267:T267)</f>
        <v>3017.0588235294117</v>
      </c>
      <c r="V267" s="1015">
        <f>V260+V251</f>
        <v>973.05882352941171</v>
      </c>
      <c r="W267" s="1015">
        <f>W260+W251</f>
        <v>1316</v>
      </c>
      <c r="X267" s="1015">
        <f>X260+X251</f>
        <v>995</v>
      </c>
      <c r="Y267" s="1015">
        <f>Y260+Y251</f>
        <v>852</v>
      </c>
      <c r="Z267" s="1014">
        <f>SUM(V267:Y267)</f>
        <v>4136.0588235294117</v>
      </c>
      <c r="AA267" s="1015">
        <f>AA260+AA251</f>
        <v>1000</v>
      </c>
      <c r="AB267" s="1015">
        <f>AB260+AB251</f>
        <v>1065</v>
      </c>
      <c r="AC267" s="1015">
        <f>AC260+AC251</f>
        <v>1000</v>
      </c>
      <c r="AD267" s="1015">
        <f>AD260+AD251</f>
        <v>980</v>
      </c>
      <c r="AE267" s="1014"/>
      <c r="AF267" s="1015"/>
      <c r="AG267" s="1015"/>
      <c r="AH267" s="1015"/>
      <c r="AI267" s="1015"/>
      <c r="AJ267" s="1014"/>
      <c r="AK267" s="1015"/>
      <c r="AL267" s="1015"/>
      <c r="AM267" s="1015"/>
      <c r="AN267" s="1015"/>
      <c r="AO267" s="1014"/>
      <c r="AP267" s="1015"/>
      <c r="AQ267" s="1015"/>
      <c r="AR267" s="1015"/>
      <c r="AS267" s="1015"/>
      <c r="AT267" s="1014"/>
      <c r="AU267" s="1015"/>
      <c r="AV267" s="1015"/>
      <c r="AW267" s="1015"/>
      <c r="AX267" s="1015"/>
      <c r="AY267" s="1014"/>
      <c r="AZ267" s="1015">
        <f>AZ260+AZ251</f>
        <v>885.10429687500005</v>
      </c>
      <c r="BA267" s="1015">
        <f>BA260+BA251</f>
        <v>841.82460937500014</v>
      </c>
      <c r="BB267" s="1015">
        <f>BB260+BB251</f>
        <v>937.90585937499964</v>
      </c>
      <c r="BC267" s="1015">
        <f>BC260+BC251</f>
        <v>1102.805859375</v>
      </c>
      <c r="BD267" s="1014">
        <f>SUM(AZ267:BC267)</f>
        <v>3767.640625</v>
      </c>
      <c r="BE267" s="1015">
        <f>BE260+BE251</f>
        <v>989.99184374999993</v>
      </c>
      <c r="BF267" s="1015">
        <f>BF260+BF251</f>
        <v>941.01484374999995</v>
      </c>
      <c r="BG267" s="1015">
        <f>BG260+BG251</f>
        <v>1045.8798437499995</v>
      </c>
      <c r="BH267" s="1015">
        <f>BH260+BH251</f>
        <v>1157.83984375</v>
      </c>
      <c r="BI267" s="1014">
        <f>SUM(BE267:BH267)</f>
        <v>4134.7263749999993</v>
      </c>
      <c r="BJ267" s="1015">
        <f>BJ260+BJ251</f>
        <v>1025.7758437499999</v>
      </c>
      <c r="BK267" s="1015">
        <f>BK260+BK251</f>
        <v>986.54453124999986</v>
      </c>
      <c r="BL267" s="1015">
        <f>BL260+BL251</f>
        <v>1068.6535937499998</v>
      </c>
      <c r="BM267" s="1015">
        <f>BM260+BM251</f>
        <v>1209.33984375</v>
      </c>
      <c r="BN267" s="1014">
        <f>SUM(BJ267:BM267)</f>
        <v>4290.3138124999996</v>
      </c>
      <c r="BO267" s="1015">
        <f>BO260+BO251</f>
        <v>1069.5104437499999</v>
      </c>
      <c r="BP267" s="1015">
        <f>BP260+BP251</f>
        <v>1037.288828125</v>
      </c>
      <c r="BQ267" s="1015">
        <f>BQ260+BQ251</f>
        <v>1108.2065312499997</v>
      </c>
      <c r="BR267" s="1015">
        <f>BR260+BR251</f>
        <v>1228.91484375</v>
      </c>
      <c r="BS267" s="1014">
        <f>SUM(BO267:BR267)</f>
        <v>4443.9206468749999</v>
      </c>
      <c r="BT267" s="1015">
        <f>BT260+BT251</f>
        <v>1104.6118387500001</v>
      </c>
      <c r="BU267" s="1015">
        <f>BU260+BU251</f>
        <v>1079.3227558593749</v>
      </c>
      <c r="BV267" s="1015">
        <f>BV260+BV251</f>
        <v>1139.1236109374997</v>
      </c>
      <c r="BW267" s="1015">
        <f>BW260+BW251</f>
        <v>1240.00171875</v>
      </c>
      <c r="BX267" s="1014">
        <f>SUM(BT267:BW267)</f>
        <v>4563.0599242968747</v>
      </c>
      <c r="BY267" s="1523"/>
      <c r="BZ267" s="1014"/>
      <c r="CA267" s="1014"/>
      <c r="CB267" s="1014">
        <f>SUM(AM267:AN267,AP267:AQ267)</f>
        <v>0</v>
      </c>
      <c r="CC267" s="1014">
        <f>SUM(AR267:AS267,AU267:AV267)</f>
        <v>0</v>
      </c>
      <c r="CD267" s="1014">
        <f>SUM(AW267:AX267,AZ267:BA267)</f>
        <v>1726.9289062500002</v>
      </c>
      <c r="CE267" s="1014">
        <f>SUM(BB267:BC267,BE267:BF267)</f>
        <v>3971.7184062499991</v>
      </c>
      <c r="CF267" s="1014">
        <f>SUM(BG267:BH267,BJ267:BK267)</f>
        <v>4216.0400624999993</v>
      </c>
      <c r="CG267" s="1014">
        <f>SUM(BL267:BM267,BO267:BP267)</f>
        <v>4384.7927093749995</v>
      </c>
      <c r="CH267" s="1014">
        <f>SUM(BQ267:BR267,BT267:BU267)</f>
        <v>4521.0559696093751</v>
      </c>
    </row>
    <row r="268" spans="1:86" s="1022" customFormat="1">
      <c r="A268" s="1032" t="s">
        <v>926</v>
      </c>
      <c r="B268" s="1034"/>
      <c r="C268" s="1034"/>
      <c r="D268" s="1034"/>
      <c r="E268" s="1034"/>
      <c r="F268" s="1033"/>
      <c r="G268" s="1040">
        <f t="shared" ref="G268:BR268" si="493">IFERROR(G267/B267-1,"")</f>
        <v>4.0000000000000036E-2</v>
      </c>
      <c r="H268" s="1040">
        <f t="shared" si="493"/>
        <v>2.5299145299145298</v>
      </c>
      <c r="I268" s="1040">
        <f t="shared" si="493"/>
        <v>-0.38769230769230767</v>
      </c>
      <c r="J268" s="1040">
        <f t="shared" si="493"/>
        <v>-9.958932238193019E-2</v>
      </c>
      <c r="K268" s="1041">
        <f t="shared" si="493"/>
        <v>-2.9792017987633534E-2</v>
      </c>
      <c r="L268" s="1040">
        <f t="shared" si="493"/>
        <v>0.44297082228116702</v>
      </c>
      <c r="M268" s="1040">
        <f t="shared" si="493"/>
        <v>-9.2009685230024174E-2</v>
      </c>
      <c r="N268" s="1040">
        <f t="shared" si="493"/>
        <v>-0.29849246231155779</v>
      </c>
      <c r="O268" s="1040">
        <f t="shared" si="493"/>
        <v>-0.32953249714937283</v>
      </c>
      <c r="P268" s="1041">
        <f t="shared" si="493"/>
        <v>-9.5017381228273412E-2</v>
      </c>
      <c r="Q268" s="1040">
        <f t="shared" si="493"/>
        <v>-0.30417387543252605</v>
      </c>
      <c r="R268" s="1040">
        <f t="shared" si="493"/>
        <v>0.12666666666666671</v>
      </c>
      <c r="S268" s="1040">
        <f t="shared" si="493"/>
        <v>-0.32664756446991405</v>
      </c>
      <c r="T268" s="1040">
        <f t="shared" si="493"/>
        <v>0.60714285714285721</v>
      </c>
      <c r="U268" s="1041">
        <f t="shared" si="493"/>
        <v>-3.4232130752429035E-2</v>
      </c>
      <c r="V268" s="1040">
        <f t="shared" si="493"/>
        <v>0.28531468531468529</v>
      </c>
      <c r="W268" s="1040">
        <f t="shared" si="493"/>
        <v>0.55739644970414193</v>
      </c>
      <c r="X268" s="1040">
        <f t="shared" si="493"/>
        <v>1.1170212765957448</v>
      </c>
      <c r="Y268" s="1040">
        <f t="shared" si="493"/>
        <v>-9.8412698412698396E-2</v>
      </c>
      <c r="Z268" s="1041">
        <f t="shared" si="493"/>
        <v>0.37089101189315654</v>
      </c>
      <c r="AA268" s="1040">
        <f t="shared" si="493"/>
        <v>2.7687099504292156E-2</v>
      </c>
      <c r="AB268" s="1040">
        <f t="shared" si="493"/>
        <v>-0.19072948328267481</v>
      </c>
      <c r="AC268" s="1040">
        <f t="shared" si="493"/>
        <v>5.0251256281406143E-3</v>
      </c>
      <c r="AD268" s="1040">
        <f t="shared" si="493"/>
        <v>0.15023474178403751</v>
      </c>
      <c r="AE268" s="1041"/>
      <c r="AF268" s="1040"/>
      <c r="AG268" s="1040"/>
      <c r="AH268" s="1040"/>
      <c r="AI268" s="1040"/>
      <c r="AJ268" s="1041"/>
      <c r="AK268" s="1040"/>
      <c r="AL268" s="1040"/>
      <c r="AM268" s="1040"/>
      <c r="AN268" s="1040"/>
      <c r="AO268" s="1041"/>
      <c r="AP268" s="1040"/>
      <c r="AQ268" s="1040"/>
      <c r="AR268" s="1040"/>
      <c r="AS268" s="1040"/>
      <c r="AT268" s="1041"/>
      <c r="AU268" s="1040"/>
      <c r="AV268" s="1040"/>
      <c r="AW268" s="1040"/>
      <c r="AX268" s="1040"/>
      <c r="AY268" s="1041"/>
      <c r="AZ268" s="1040"/>
      <c r="BA268" s="1040"/>
      <c r="BB268" s="1040"/>
      <c r="BC268" s="1040"/>
      <c r="BD268" s="1041"/>
      <c r="BE268" s="1040">
        <f t="shared" si="493"/>
        <v>0.11850303658599537</v>
      </c>
      <c r="BF268" s="1040">
        <f t="shared" si="493"/>
        <v>0.11782767249895687</v>
      </c>
      <c r="BG268" s="1040">
        <f t="shared" si="493"/>
        <v>0.11512241158931613</v>
      </c>
      <c r="BH268" s="1040">
        <f t="shared" si="493"/>
        <v>4.9903601714802015E-2</v>
      </c>
      <c r="BI268" s="1041">
        <f t="shared" si="493"/>
        <v>9.7431200726581846E-2</v>
      </c>
      <c r="BJ268" s="1040">
        <f t="shared" si="493"/>
        <v>3.6145752337164216E-2</v>
      </c>
      <c r="BK268" s="1040">
        <f t="shared" si="493"/>
        <v>4.8383601812869825E-2</v>
      </c>
      <c r="BL268" s="1040">
        <f t="shared" si="493"/>
        <v>2.177472884298548E-2</v>
      </c>
      <c r="BM268" s="1040">
        <f t="shared" si="493"/>
        <v>4.4479381391127726E-2</v>
      </c>
      <c r="BN268" s="1041">
        <f t="shared" si="493"/>
        <v>3.7629439868315462E-2</v>
      </c>
      <c r="BO268" s="1040">
        <f t="shared" si="493"/>
        <v>4.2635630646278733E-2</v>
      </c>
      <c r="BP268" s="1040">
        <f t="shared" si="493"/>
        <v>5.1436397717095073E-2</v>
      </c>
      <c r="BQ268" s="1040">
        <f t="shared" si="493"/>
        <v>3.7011935140932817E-2</v>
      </c>
      <c r="BR268" s="1040">
        <f t="shared" si="493"/>
        <v>1.6186517049914251E-2</v>
      </c>
      <c r="BS268" s="1041">
        <f t="shared" ref="BS268" si="494">IFERROR(BS267/BN267-1,"")</f>
        <v>3.580316990506871E-2</v>
      </c>
      <c r="BT268" s="1040">
        <f t="shared" ref="BT268" si="495">IFERROR(BT267/BO267-1,"")</f>
        <v>3.282005819122702E-2</v>
      </c>
      <c r="BU268" s="1040">
        <f t="shared" ref="BU268" si="496">IFERROR(BU267/BP267-1,"")</f>
        <v>4.0522877133801982E-2</v>
      </c>
      <c r="BV268" s="1040">
        <f t="shared" ref="BV268" si="497">IFERROR(BV267/BQ267-1,"")</f>
        <v>2.7898301278397319E-2</v>
      </c>
      <c r="BW268" s="1040">
        <f t="shared" ref="BW268" si="498">IFERROR(BW267/BR267-1,"")</f>
        <v>9.021678805806177E-3</v>
      </c>
      <c r="BX268" s="1041">
        <f t="shared" ref="BX268" si="499">IFERROR(BX267/BS267-1,"")</f>
        <v>2.6809497038533969E-2</v>
      </c>
      <c r="BY268" s="1438"/>
      <c r="BZ268" s="1041"/>
      <c r="CA268" s="1041"/>
      <c r="CB268" s="1041"/>
      <c r="CC268" s="1041"/>
      <c r="CD268" s="1041"/>
      <c r="CE268" s="1041"/>
      <c r="CF268" s="1041"/>
      <c r="CG268" s="1041"/>
      <c r="CH268" s="1041"/>
    </row>
    <row r="269" spans="1:86" s="1022" customFormat="1">
      <c r="A269" s="1032" t="s">
        <v>968</v>
      </c>
      <c r="B269" s="1034"/>
      <c r="C269" s="1034"/>
      <c r="D269" s="1034"/>
      <c r="E269" s="1034"/>
      <c r="F269" s="1033"/>
      <c r="G269" s="1040"/>
      <c r="H269" s="1040"/>
      <c r="I269" s="1040"/>
      <c r="J269" s="1040"/>
      <c r="K269" s="1041"/>
      <c r="L269" s="1040"/>
      <c r="M269" s="1040"/>
      <c r="N269" s="1040"/>
      <c r="O269" s="1040"/>
      <c r="P269" s="1041"/>
      <c r="Q269" s="1040"/>
      <c r="R269" s="1040"/>
      <c r="S269" s="1040"/>
      <c r="T269" s="1040"/>
      <c r="U269" s="1041"/>
      <c r="V269" s="1040"/>
      <c r="W269" s="1040"/>
      <c r="X269" s="1040"/>
      <c r="Y269" s="1040"/>
      <c r="Z269" s="1041"/>
      <c r="AA269" s="1040"/>
      <c r="AB269" s="1040"/>
      <c r="AC269" s="1040"/>
      <c r="AD269" s="1040"/>
      <c r="AE269" s="1041"/>
      <c r="AF269" s="1040"/>
      <c r="AG269" s="1040"/>
      <c r="AH269" s="1040"/>
      <c r="AI269" s="1040"/>
      <c r="AJ269" s="1041"/>
      <c r="AK269" s="1040"/>
      <c r="AL269" s="1040"/>
      <c r="AM269" s="1040"/>
      <c r="AN269" s="1040"/>
      <c r="AO269" s="1041"/>
      <c r="AP269" s="1040"/>
      <c r="AQ269" s="1040"/>
      <c r="AR269" s="1040"/>
      <c r="AS269" s="1040"/>
      <c r="AT269" s="1041"/>
      <c r="AU269" s="1040"/>
      <c r="AV269" s="1040"/>
      <c r="AW269" s="1040"/>
      <c r="AX269" s="1040"/>
      <c r="AY269" s="1041"/>
      <c r="AZ269" s="1040"/>
      <c r="BA269" s="1040"/>
      <c r="BB269" s="1040"/>
      <c r="BC269" s="1040"/>
      <c r="BD269" s="1041"/>
      <c r="BE269" s="1040">
        <f t="shared" ref="BE269:BS269" si="500">BE251/BE267</f>
        <v>0.63519699452069356</v>
      </c>
      <c r="BF269" s="1040">
        <f t="shared" ref="BF269:BG269" si="501">BF251/BF267</f>
        <v>0.69694952009092581</v>
      </c>
      <c r="BG269" s="1040">
        <f t="shared" si="501"/>
        <v>0.65718815393319441</v>
      </c>
      <c r="BH269" s="1040">
        <f t="shared" si="500"/>
        <v>0.61307256576261704</v>
      </c>
      <c r="BI269" s="1041">
        <f t="shared" si="500"/>
        <v>0.64861834418244924</v>
      </c>
      <c r="BJ269" s="1040">
        <f t="shared" si="500"/>
        <v>0.71393750224487096</v>
      </c>
      <c r="BK269" s="1040">
        <f t="shared" si="500"/>
        <v>0.76513509511180511</v>
      </c>
      <c r="BL269" s="1040">
        <f t="shared" si="500"/>
        <v>0.72740114130178146</v>
      </c>
      <c r="BM269" s="1040">
        <f t="shared" si="500"/>
        <v>0.66138550539259877</v>
      </c>
      <c r="BN269" s="1041">
        <f t="shared" si="500"/>
        <v>0.71425063734775474</v>
      </c>
      <c r="BO269" s="1040">
        <f t="shared" si="500"/>
        <v>0.76678993509828464</v>
      </c>
      <c r="BP269" s="1040">
        <f t="shared" si="500"/>
        <v>0.81013100783992409</v>
      </c>
      <c r="BQ269" s="1040">
        <f t="shared" si="500"/>
        <v>0.77656088416957736</v>
      </c>
      <c r="BR269" s="1040">
        <f t="shared" si="500"/>
        <v>0.71676231126165046</v>
      </c>
      <c r="BS269" s="1041">
        <f t="shared" si="500"/>
        <v>0.76550857796981919</v>
      </c>
      <c r="BT269" s="1040">
        <f t="shared" ref="BT269:BX269" si="502">BT251/BT267</f>
        <v>0.81371556253384392</v>
      </c>
      <c r="BU269" s="1040">
        <f t="shared" si="502"/>
        <v>0.84945845788269025</v>
      </c>
      <c r="BV269" s="1040">
        <f t="shared" si="502"/>
        <v>0.82066584765162243</v>
      </c>
      <c r="BW269" s="1040">
        <f t="shared" si="502"/>
        <v>0.76841816373490424</v>
      </c>
      <c r="BX269" s="1041">
        <f t="shared" si="502"/>
        <v>0.81159560392375374</v>
      </c>
      <c r="BY269" s="1438"/>
      <c r="BZ269" s="1041"/>
      <c r="CA269" s="1041"/>
      <c r="CB269" s="1041"/>
      <c r="CC269" s="1041"/>
      <c r="CD269" s="1041"/>
      <c r="CE269" s="1041"/>
      <c r="CF269" s="1041"/>
      <c r="CG269" s="1041"/>
      <c r="CH269" s="1041"/>
    </row>
    <row r="270" spans="1:86" ht="7.5" customHeight="1">
      <c r="BE270" s="986"/>
      <c r="BF270" s="986"/>
      <c r="BG270" s="986"/>
      <c r="BH270" s="986"/>
      <c r="BI270" s="1009"/>
      <c r="BJ270" s="986"/>
      <c r="BK270" s="986"/>
      <c r="BL270" s="986"/>
      <c r="BM270" s="986"/>
      <c r="BN270" s="1009"/>
      <c r="BO270" s="986"/>
      <c r="BP270" s="986"/>
      <c r="BQ270" s="986"/>
      <c r="BR270" s="986"/>
      <c r="BS270" s="1009"/>
      <c r="BT270" s="986"/>
      <c r="BU270" s="986"/>
      <c r="BV270" s="986"/>
      <c r="BW270" s="986"/>
      <c r="BX270" s="1009"/>
      <c r="BY270" s="1343"/>
      <c r="CE270" s="1009"/>
      <c r="CF270" s="1009"/>
      <c r="CG270" s="1009"/>
      <c r="CH270" s="1009"/>
    </row>
    <row r="271" spans="1:86" s="1011" customFormat="1">
      <c r="A271" s="1011" t="s">
        <v>973</v>
      </c>
      <c r="B271" s="1094"/>
      <c r="C271" s="1094"/>
      <c r="D271" s="1094"/>
      <c r="E271" s="1094"/>
      <c r="F271" s="1095"/>
      <c r="G271" s="1094"/>
      <c r="H271" s="1094"/>
      <c r="I271" s="1094"/>
      <c r="J271" s="1094"/>
      <c r="K271" s="1095"/>
      <c r="L271" s="1094"/>
      <c r="M271" s="1094"/>
      <c r="N271" s="1094"/>
      <c r="O271" s="1094"/>
      <c r="P271" s="1095"/>
      <c r="Q271" s="1094"/>
      <c r="R271" s="1094"/>
      <c r="S271" s="1094"/>
      <c r="T271" s="1094"/>
      <c r="U271" s="1095"/>
      <c r="V271" s="1094"/>
      <c r="W271" s="1094"/>
      <c r="X271" s="1094"/>
      <c r="Y271" s="1094"/>
      <c r="Z271" s="1095"/>
      <c r="AA271" s="1094"/>
      <c r="AB271" s="1094"/>
      <c r="AC271" s="1094"/>
      <c r="AD271" s="1094"/>
      <c r="AE271" s="1095"/>
      <c r="AF271" s="1101"/>
      <c r="AG271" s="1101"/>
      <c r="AH271" s="1101"/>
      <c r="AI271" s="1101"/>
      <c r="AJ271" s="1097"/>
      <c r="AK271" s="1101"/>
      <c r="AL271" s="1101"/>
      <c r="AM271" s="1101"/>
      <c r="AN271" s="1101"/>
      <c r="AO271" s="1097"/>
      <c r="AP271" s="1101"/>
      <c r="AQ271" s="1101"/>
      <c r="AR271" s="1101"/>
      <c r="AS271" s="1101"/>
      <c r="AT271" s="1097"/>
      <c r="AU271" s="1101"/>
      <c r="AV271" s="1101"/>
      <c r="AW271" s="1101"/>
      <c r="AX271" s="1101"/>
      <c r="AY271" s="1097"/>
      <c r="AZ271" s="1101">
        <f>-AZ245*AZ258</f>
        <v>-1084.89375</v>
      </c>
      <c r="BA271" s="1101">
        <f>-BA245*BA258</f>
        <v>-1266.5250000000001</v>
      </c>
      <c r="BB271" s="1101">
        <f>-BB245*BB258</f>
        <v>-1361.7</v>
      </c>
      <c r="BC271" s="1101">
        <f>-BC245*BC258</f>
        <v>-1137.5999999999999</v>
      </c>
      <c r="BD271" s="1097">
        <f>SUM(AZ271:BC271)</f>
        <v>-4850.71875</v>
      </c>
      <c r="BE271" s="1101">
        <f>-BE245*BE258</f>
        <v>-1264.89375</v>
      </c>
      <c r="BF271" s="1101">
        <f>-BF245*BF258</f>
        <v>-1482.5250000000001</v>
      </c>
      <c r="BG271" s="1101">
        <f>-BG245*BG258</f>
        <v>-1613.7</v>
      </c>
      <c r="BH271" s="1101">
        <f>-BH245*BH258</f>
        <v>-1171.1999999999998</v>
      </c>
      <c r="BI271" s="1097">
        <f>SUM(BE271:BH271)</f>
        <v>-5532.3187499999995</v>
      </c>
      <c r="BJ271" s="1101">
        <f>-BJ245*BJ258</f>
        <v>-1204.078125</v>
      </c>
      <c r="BK271" s="1101">
        <f>-BK245*BK258</f>
        <v>-1385.4375</v>
      </c>
      <c r="BL271" s="1101">
        <f>-BL245*BL258</f>
        <v>-1494.75</v>
      </c>
      <c r="BM271" s="1101">
        <f>-BM245*BM258</f>
        <v>-1248</v>
      </c>
      <c r="BN271" s="1097">
        <f>SUM(BJ271:BM271)</f>
        <v>-5332.265625</v>
      </c>
      <c r="BO271" s="1101">
        <f>-BO245*BO258</f>
        <v>-1339.078125</v>
      </c>
      <c r="BP271" s="1101">
        <f>-BP245*BP258</f>
        <v>-1520.4375</v>
      </c>
      <c r="BQ271" s="1101">
        <f>-BQ245*BQ258</f>
        <v>-1629.75</v>
      </c>
      <c r="BR271" s="1101">
        <f>-BR245*BR258</f>
        <v>-1383</v>
      </c>
      <c r="BS271" s="1097">
        <f>SUM(BO271:BR271)</f>
        <v>-5872.265625</v>
      </c>
      <c r="BT271" s="1101">
        <f>-BT245*BT258</f>
        <v>-1459.0781250000002</v>
      </c>
      <c r="BU271" s="1101">
        <f>-BU245*BU258</f>
        <v>-1640.4375000000002</v>
      </c>
      <c r="BV271" s="1101">
        <f>-BV245*BV258</f>
        <v>-1749.7500000000002</v>
      </c>
      <c r="BW271" s="1101">
        <f>-BW245*BW258</f>
        <v>-1503.0000000000002</v>
      </c>
      <c r="BX271" s="1097">
        <f>SUM(BT271:BW271)</f>
        <v>-6352.2656250000009</v>
      </c>
      <c r="BY271" s="1523"/>
      <c r="BZ271" s="1097"/>
      <c r="CA271" s="1097"/>
      <c r="CB271" s="1097">
        <f>SUM(AM271:AN271,AP271:AQ271)</f>
        <v>0</v>
      </c>
      <c r="CC271" s="1097">
        <f>SUM(AR271:AS271,AU271:AV271)</f>
        <v>0</v>
      </c>
      <c r="CD271" s="1097">
        <f>SUM(AW271:AX271,AZ271:BA271)</f>
        <v>-2351.4187499999998</v>
      </c>
      <c r="CE271" s="1097">
        <f>SUM(BB271:BC271,BE271:BF271)</f>
        <v>-5246.71875</v>
      </c>
      <c r="CF271" s="1097">
        <f>SUM(BG271:BH271,BJ271:BK271)</f>
        <v>-5374.4156249999996</v>
      </c>
      <c r="CG271" s="1097">
        <f>SUM(BL271:BM271,BO271:BP271)</f>
        <v>-5602.265625</v>
      </c>
      <c r="CH271" s="1097">
        <f>SUM(BQ271:BR271,BT271:BU271)</f>
        <v>-6112.265625</v>
      </c>
    </row>
    <row r="272" spans="1:86" s="1011" customFormat="1">
      <c r="A272" s="1011" t="s">
        <v>969</v>
      </c>
      <c r="B272" s="1094"/>
      <c r="C272" s="1094"/>
      <c r="D272" s="1094"/>
      <c r="E272" s="1094"/>
      <c r="F272" s="1095"/>
      <c r="G272" s="1094"/>
      <c r="H272" s="1094"/>
      <c r="I272" s="1094"/>
      <c r="J272" s="1094"/>
      <c r="K272" s="1095"/>
      <c r="L272" s="1094"/>
      <c r="M272" s="1094"/>
      <c r="N272" s="1094"/>
      <c r="O272" s="1094"/>
      <c r="P272" s="1095"/>
      <c r="Q272" s="1094"/>
      <c r="R272" s="1094"/>
      <c r="S272" s="1094"/>
      <c r="T272" s="1094"/>
      <c r="U272" s="1095"/>
      <c r="V272" s="1094"/>
      <c r="W272" s="1094"/>
      <c r="X272" s="1094"/>
      <c r="Y272" s="1094"/>
      <c r="Z272" s="1095"/>
      <c r="AA272" s="1094"/>
      <c r="AB272" s="1094"/>
      <c r="AC272" s="1094"/>
      <c r="AD272" s="1094"/>
      <c r="AE272" s="1095"/>
      <c r="AF272" s="1096"/>
      <c r="AG272" s="1101"/>
      <c r="AH272" s="1101"/>
      <c r="AI272" s="1101"/>
      <c r="AJ272" s="1097"/>
      <c r="AK272" s="1101"/>
      <c r="AL272" s="1101"/>
      <c r="AM272" s="1101"/>
      <c r="AN272" s="1101"/>
      <c r="AO272" s="1097"/>
      <c r="AP272" s="1101"/>
      <c r="AQ272" s="1101"/>
      <c r="AR272" s="1101"/>
      <c r="AS272" s="1101"/>
      <c r="AT272" s="1097"/>
      <c r="AU272" s="1101"/>
      <c r="AV272" s="1101"/>
      <c r="AW272" s="1101"/>
      <c r="AX272" s="1101"/>
      <c r="AY272" s="1097"/>
      <c r="AZ272" s="1101">
        <f>AZ251-AZ243*AZ258</f>
        <v>162.32554687499999</v>
      </c>
      <c r="BA272" s="1101">
        <f>BA251-BA243*BA258</f>
        <v>153.91960937500011</v>
      </c>
      <c r="BB272" s="1101">
        <f>BB251-BB243*BB258</f>
        <v>114.36585937500013</v>
      </c>
      <c r="BC272" s="1101">
        <f>BC251-BC243*BC258</f>
        <v>256.0858593750001</v>
      </c>
      <c r="BD272" s="1097">
        <f>SUM(AZ272:BC272)</f>
        <v>686.69687500000032</v>
      </c>
      <c r="BE272" s="1101">
        <f>BE251-BE243*BE258</f>
        <v>231.86109375000007</v>
      </c>
      <c r="BF272" s="1101">
        <f>BF251-BF243*BF258</f>
        <v>186.53484375000005</v>
      </c>
      <c r="BG272" s="1101">
        <f>BG251-BG243*BG258</f>
        <v>162.99984375000008</v>
      </c>
      <c r="BH272" s="1101">
        <f>BH251-BH243*BH258</f>
        <v>347.59984375000022</v>
      </c>
      <c r="BI272" s="1097">
        <f>SUM(BE272:BH272)</f>
        <v>928.99562500000047</v>
      </c>
      <c r="BJ272" s="1101">
        <f>BJ251-BJ243*BJ258</f>
        <v>371.52421875000005</v>
      </c>
      <c r="BK272" s="1101">
        <f>BK251-BK243*BK258</f>
        <v>357.75234374999991</v>
      </c>
      <c r="BL272" s="1101">
        <f>BL251-BL243*BL258</f>
        <v>358.38984375000024</v>
      </c>
      <c r="BM272" s="1101">
        <f>BM251-BM243*BM258</f>
        <v>430.23984375000003</v>
      </c>
      <c r="BN272" s="1097">
        <f>SUM(BJ272:BM272)</f>
        <v>1517.9062500000002</v>
      </c>
      <c r="BO272" s="1101">
        <f>BO251-BO243*BO258</f>
        <v>444.27421874999999</v>
      </c>
      <c r="BP272" s="1101">
        <f>BP251-BP243*BP258</f>
        <v>428.25234374999997</v>
      </c>
      <c r="BQ272" s="1101">
        <f>BQ251-BQ243*BQ258</f>
        <v>426.63984375000013</v>
      </c>
      <c r="BR272" s="1101">
        <f>BR251-BR243*BR258</f>
        <v>496.23984375000009</v>
      </c>
      <c r="BS272" s="1097">
        <f>SUM(BO272:BR272)</f>
        <v>1795.4062500000002</v>
      </c>
      <c r="BT272" s="1101">
        <f>BT251-BT243*BT258</f>
        <v>511.02421874999993</v>
      </c>
      <c r="BU272" s="1101">
        <f>BU251-BU243*BU258</f>
        <v>492.75234374999985</v>
      </c>
      <c r="BV272" s="1101">
        <f>BV251-BV243*BV258</f>
        <v>488.88984375000001</v>
      </c>
      <c r="BW272" s="1101">
        <f>BW251-BW243*BW258</f>
        <v>556.23984375000009</v>
      </c>
      <c r="BX272" s="1097">
        <f>SUM(BT272:BW272)</f>
        <v>2048.90625</v>
      </c>
      <c r="BY272" s="1523"/>
      <c r="BZ272" s="1097"/>
      <c r="CA272" s="1097"/>
      <c r="CB272" s="1097">
        <f>SUM(AM272:AN272,AP272:AQ272)</f>
        <v>0</v>
      </c>
      <c r="CC272" s="1097">
        <f>SUM(AR272:AS272,AU272:AV272)</f>
        <v>0</v>
      </c>
      <c r="CD272" s="1097">
        <f>SUM(AW272:AX272,AZ272:BA272)</f>
        <v>316.24515625000009</v>
      </c>
      <c r="CE272" s="1097">
        <f>SUM(BB272:BC272,BE272:BF272)</f>
        <v>788.84765625000034</v>
      </c>
      <c r="CF272" s="1097">
        <f>SUM(BG272:BH272,BJ272:BK272)</f>
        <v>1239.8762500000003</v>
      </c>
      <c r="CG272" s="1097">
        <f>SUM(BL272:BM272,BO272:BP272)</f>
        <v>1661.1562500000002</v>
      </c>
      <c r="CH272" s="1097">
        <f>SUM(BQ272:BR272,BT272:BU272)</f>
        <v>1926.65625</v>
      </c>
    </row>
    <row r="273" spans="1:96">
      <c r="B273" s="1037"/>
      <c r="C273" s="1037"/>
      <c r="D273" s="1037"/>
      <c r="E273" s="1037"/>
      <c r="F273" s="1037"/>
      <c r="G273" s="1037"/>
      <c r="H273" s="1037"/>
      <c r="I273" s="1037"/>
      <c r="J273" s="1037"/>
      <c r="K273" s="1037"/>
      <c r="L273" s="1037"/>
      <c r="M273" s="1037"/>
      <c r="N273" s="1037"/>
      <c r="O273" s="1037"/>
      <c r="P273" s="1037"/>
      <c r="Q273" s="1037"/>
      <c r="R273" s="1037"/>
      <c r="S273" s="1037"/>
      <c r="T273" s="1037"/>
      <c r="U273" s="1037"/>
      <c r="V273" s="1037"/>
      <c r="W273" s="1037"/>
      <c r="X273" s="1037"/>
      <c r="Y273" s="1037"/>
      <c r="Z273" s="1037"/>
      <c r="AA273" s="1037"/>
      <c r="AB273" s="1037"/>
      <c r="AC273" s="1037"/>
      <c r="AD273" s="1037"/>
      <c r="AE273" s="1024"/>
      <c r="AF273" s="1037"/>
      <c r="AG273" s="1037"/>
      <c r="AH273" s="1037"/>
      <c r="AI273" s="1037"/>
      <c r="AJ273" s="1532"/>
      <c r="AK273" s="1037"/>
      <c r="AL273" s="1037"/>
      <c r="AM273" s="1037"/>
      <c r="AN273" s="1037"/>
      <c r="AO273" s="1532"/>
      <c r="AP273" s="1037"/>
      <c r="AQ273" s="1037"/>
      <c r="AR273" s="1037"/>
      <c r="AS273" s="1037"/>
      <c r="AT273" s="1532"/>
      <c r="AU273" s="1037"/>
      <c r="AV273" s="1037"/>
      <c r="AW273" s="1037"/>
      <c r="AX273" s="1037"/>
      <c r="AY273" s="1532"/>
      <c r="AZ273" s="1037"/>
      <c r="BA273" s="1037"/>
      <c r="BB273" s="1037"/>
      <c r="BC273" s="1037"/>
      <c r="BD273" s="1532"/>
      <c r="BE273" s="1037"/>
      <c r="BF273" s="1037"/>
      <c r="BG273" s="1037"/>
      <c r="BH273" s="1037"/>
      <c r="BI273" s="1532"/>
      <c r="BJ273" s="1037"/>
      <c r="BK273" s="1037"/>
      <c r="BL273" s="1037"/>
      <c r="BM273" s="1037"/>
      <c r="BN273" s="1532"/>
      <c r="BO273" s="1037"/>
      <c r="BP273" s="1037"/>
      <c r="BQ273" s="1037"/>
      <c r="BR273" s="1037"/>
      <c r="BS273" s="1037"/>
      <c r="BT273" s="1037"/>
      <c r="BU273" s="1037"/>
      <c r="BV273" s="1037"/>
      <c r="BW273" s="1037"/>
      <c r="BX273" s="1037"/>
      <c r="BY273" s="1343"/>
      <c r="BZ273" s="1532"/>
      <c r="CA273" s="1532"/>
      <c r="CB273" s="1532"/>
      <c r="CC273" s="1532"/>
      <c r="CD273" s="1532"/>
      <c r="CE273" s="1532"/>
      <c r="CF273" s="1532"/>
    </row>
    <row r="274" spans="1:96">
      <c r="BF274" s="986"/>
      <c r="BZ274" s="1004"/>
      <c r="CA274" s="1004"/>
      <c r="CB274" s="1004"/>
      <c r="CC274" s="1004"/>
      <c r="CD274" s="1004"/>
    </row>
    <row r="275" spans="1:96">
      <c r="BF275" s="986"/>
      <c r="BZ275" s="1004"/>
      <c r="CA275" s="1004"/>
      <c r="CB275" s="1004"/>
      <c r="CC275" s="1004"/>
      <c r="CD275" s="1004"/>
    </row>
    <row r="276" spans="1:96">
      <c r="BF276" s="986"/>
      <c r="BZ276" s="1004"/>
      <c r="CA276" s="1004"/>
      <c r="CB276" s="1004"/>
      <c r="CC276" s="1004"/>
      <c r="CD276" s="1004"/>
    </row>
    <row r="277" spans="1:96">
      <c r="BF277" s="986"/>
      <c r="BZ277" s="1004"/>
      <c r="CA277" s="1004"/>
      <c r="CB277" s="1004"/>
      <c r="CC277" s="1004"/>
      <c r="CD277" s="1004"/>
    </row>
    <row r="278" spans="1:96">
      <c r="BF278" s="986"/>
      <c r="BZ278" s="1004"/>
      <c r="CA278" s="1004"/>
      <c r="CB278" s="1004"/>
      <c r="CC278" s="1004"/>
      <c r="CD278" s="1004"/>
    </row>
    <row r="279" spans="1:96">
      <c r="BF279" s="986"/>
      <c r="BZ279" s="1004"/>
      <c r="CA279" s="1004"/>
      <c r="CB279" s="1004"/>
      <c r="CC279" s="1004"/>
      <c r="CD279" s="1004"/>
    </row>
    <row r="280" spans="1:96">
      <c r="BF280" s="986"/>
      <c r="BZ280" s="1004"/>
      <c r="CA280" s="1004"/>
      <c r="CB280" s="1004"/>
      <c r="CC280" s="1004"/>
      <c r="CD280" s="1004"/>
    </row>
    <row r="281" spans="1:96">
      <c r="BF281" s="986"/>
      <c r="BZ281" s="1004"/>
      <c r="CA281" s="1004"/>
      <c r="CB281" s="1004"/>
      <c r="CC281" s="1004"/>
      <c r="CD281" s="1004"/>
    </row>
    <row r="282" spans="1:96">
      <c r="BF282" s="986"/>
      <c r="BZ282" s="1004"/>
      <c r="CA282" s="1004"/>
      <c r="CB282" s="1004"/>
      <c r="CC282" s="1004"/>
      <c r="CD282" s="1004"/>
    </row>
    <row r="283" spans="1:96">
      <c r="BF283" s="986"/>
      <c r="BZ283" s="1004"/>
      <c r="CA283" s="1004"/>
      <c r="CB283" s="1004"/>
      <c r="CC283" s="1004"/>
      <c r="CD283" s="1004"/>
    </row>
    <row r="284" spans="1:96">
      <c r="BF284" s="986"/>
      <c r="BZ284" s="1004"/>
      <c r="CA284" s="1004"/>
      <c r="CB284" s="1004"/>
      <c r="CC284" s="1004"/>
      <c r="CD284" s="1004"/>
    </row>
    <row r="285" spans="1:96">
      <c r="BF285" s="986"/>
      <c r="BZ285" s="1004"/>
      <c r="CA285" s="1004"/>
      <c r="CB285" s="1004"/>
      <c r="CC285" s="1004"/>
      <c r="CD285" s="1004"/>
    </row>
    <row r="286" spans="1:96" s="1022" customFormat="1">
      <c r="A286" s="1435"/>
      <c r="B286" s="1436"/>
      <c r="C286" s="1436"/>
      <c r="D286" s="1436"/>
      <c r="E286" s="1436"/>
      <c r="F286" s="1437"/>
      <c r="G286" s="1436"/>
      <c r="H286" s="1436"/>
      <c r="I286" s="1436"/>
      <c r="J286" s="1436"/>
      <c r="K286" s="1437"/>
      <c r="L286" s="1436"/>
      <c r="M286" s="1436"/>
      <c r="N286" s="1436"/>
      <c r="O286" s="1436"/>
      <c r="P286" s="1437"/>
      <c r="Q286" s="1436"/>
      <c r="R286" s="1436"/>
      <c r="S286" s="1436"/>
      <c r="T286" s="1436"/>
      <c r="U286" s="1437"/>
      <c r="V286" s="1436"/>
      <c r="W286" s="1436"/>
      <c r="X286" s="1436"/>
      <c r="Y286" s="1436"/>
      <c r="Z286" s="1437"/>
      <c r="AA286" s="1436"/>
      <c r="AB286" s="1436"/>
      <c r="AC286" s="1436"/>
      <c r="AD286" s="1436"/>
      <c r="AE286" s="1437"/>
      <c r="AF286" s="1432"/>
      <c r="AG286" s="1436"/>
      <c r="AH286" s="1436"/>
      <c r="AI286" s="1436"/>
      <c r="AJ286" s="1433"/>
      <c r="AK286" s="1430"/>
      <c r="AL286" s="1430"/>
      <c r="AM286" s="1430"/>
      <c r="AN286" s="1430"/>
      <c r="AO286" s="1433"/>
      <c r="AP286" s="1430"/>
      <c r="AQ286" s="1430"/>
      <c r="AR286" s="1430"/>
      <c r="AS286" s="1430"/>
      <c r="AT286" s="1433"/>
      <c r="AU286" s="1430"/>
      <c r="AV286" s="1430"/>
      <c r="AW286" s="1430"/>
      <c r="AX286" s="1430"/>
      <c r="AY286" s="1433"/>
      <c r="AZ286" s="1430"/>
      <c r="BA286" s="1430"/>
      <c r="BB286" s="1430"/>
      <c r="BC286" s="1430"/>
      <c r="BD286" s="1433"/>
      <c r="BE286" s="1430"/>
      <c r="BF286" s="1430"/>
      <c r="BG286" s="1430"/>
      <c r="BH286" s="1430"/>
      <c r="BI286" s="1433"/>
      <c r="BJ286" s="1430"/>
      <c r="BK286" s="1430"/>
      <c r="BL286" s="1430"/>
      <c r="BM286" s="1430"/>
      <c r="BN286" s="1433"/>
      <c r="BO286" s="1430"/>
      <c r="BP286" s="1430"/>
      <c r="BQ286" s="1430"/>
      <c r="BR286" s="1430"/>
      <c r="BS286" s="1430"/>
      <c r="BT286" s="1430"/>
      <c r="BU286" s="1430"/>
      <c r="BV286" s="1430"/>
      <c r="BW286" s="1430"/>
      <c r="BX286" s="1430"/>
      <c r="BY286" s="1438"/>
      <c r="BZ286" s="1433"/>
      <c r="CA286" s="1433"/>
      <c r="CB286" s="1433"/>
      <c r="CC286" s="1433"/>
      <c r="CD286" s="1433"/>
      <c r="CE286" s="1433"/>
      <c r="CF286" s="1433"/>
      <c r="CG286" s="1438"/>
      <c r="CH286" s="1438"/>
      <c r="CI286" s="1438"/>
      <c r="CJ286" s="1438"/>
      <c r="CK286" s="1438"/>
      <c r="CM286" s="1438"/>
      <c r="CN286" s="1438"/>
      <c r="CO286" s="1438"/>
      <c r="CP286" s="1438"/>
      <c r="CQ286" s="1438"/>
      <c r="CR286" s="1438"/>
    </row>
    <row r="287" spans="1:96" s="1022" customFormat="1">
      <c r="A287" s="1435"/>
      <c r="B287" s="1436"/>
      <c r="C287" s="1436"/>
      <c r="D287" s="1436"/>
      <c r="E287" s="1436"/>
      <c r="F287" s="1437"/>
      <c r="G287" s="1436"/>
      <c r="H287" s="1436"/>
      <c r="I287" s="1436"/>
      <c r="J287" s="1436"/>
      <c r="K287" s="1437"/>
      <c r="L287" s="1436"/>
      <c r="M287" s="1436"/>
      <c r="N287" s="1436"/>
      <c r="O287" s="1436"/>
      <c r="P287" s="1437"/>
      <c r="Q287" s="1436"/>
      <c r="R287" s="1436"/>
      <c r="S287" s="1436"/>
      <c r="T287" s="1436"/>
      <c r="U287" s="1437"/>
      <c r="V287" s="1436"/>
      <c r="W287" s="1436"/>
      <c r="X287" s="1436"/>
      <c r="Y287" s="1436"/>
      <c r="Z287" s="1437"/>
      <c r="AA287" s="1436"/>
      <c r="AB287" s="1436"/>
      <c r="AC287" s="1436"/>
      <c r="AD287" s="1436"/>
      <c r="AE287" s="1437"/>
      <c r="AF287" s="1432"/>
      <c r="AG287" s="1436"/>
      <c r="AH287" s="1436"/>
      <c r="AI287" s="1436"/>
      <c r="AJ287" s="1433"/>
      <c r="AK287" s="1430"/>
      <c r="AL287" s="1430"/>
      <c r="AM287" s="1430"/>
      <c r="AN287" s="1430"/>
      <c r="AO287" s="1433"/>
      <c r="AP287" s="1430"/>
      <c r="AQ287" s="1430"/>
      <c r="AR287" s="1430"/>
      <c r="AS287" s="1430"/>
      <c r="AT287" s="1433"/>
      <c r="AU287" s="1430"/>
      <c r="AV287" s="1430"/>
      <c r="AW287" s="1430"/>
      <c r="AX287" s="1430"/>
      <c r="AY287" s="1433"/>
      <c r="AZ287" s="1430"/>
      <c r="BA287" s="1430"/>
      <c r="BB287" s="1430"/>
      <c r="BC287" s="1430"/>
      <c r="BD287" s="1433"/>
      <c r="BE287" s="1430"/>
      <c r="BF287" s="1430"/>
      <c r="BG287" s="1430"/>
      <c r="BH287" s="1430"/>
      <c r="BI287" s="1433"/>
      <c r="BJ287" s="1430"/>
      <c r="BK287" s="1430"/>
      <c r="BL287" s="1430"/>
      <c r="BM287" s="1430"/>
      <c r="BN287" s="1433"/>
      <c r="BO287" s="1430"/>
      <c r="BP287" s="1430"/>
      <c r="BQ287" s="1430"/>
      <c r="BR287" s="1430"/>
      <c r="BS287" s="1430"/>
      <c r="BT287" s="1430"/>
      <c r="BU287" s="1430"/>
      <c r="BV287" s="1430"/>
      <c r="BW287" s="1430"/>
      <c r="BX287" s="1430"/>
      <c r="BY287" s="1438"/>
      <c r="BZ287" s="1433"/>
      <c r="CA287" s="1433"/>
      <c r="CB287" s="1433"/>
      <c r="CC287" s="1433"/>
      <c r="CD287" s="1433"/>
      <c r="CE287" s="1433"/>
      <c r="CF287" s="1433"/>
      <c r="CG287" s="1438"/>
      <c r="CH287" s="1438"/>
      <c r="CI287" s="1438"/>
      <c r="CJ287" s="1438"/>
      <c r="CK287" s="1438"/>
      <c r="CM287" s="1438"/>
      <c r="CN287" s="1438"/>
      <c r="CO287" s="1438"/>
      <c r="CP287" s="1438"/>
      <c r="CQ287" s="1438"/>
      <c r="CR287" s="1438"/>
    </row>
    <row r="288" spans="1:96" s="1022" customFormat="1">
      <c r="A288" s="1435"/>
      <c r="B288" s="1436"/>
      <c r="C288" s="1436"/>
      <c r="D288" s="1436"/>
      <c r="E288" s="1436"/>
      <c r="F288" s="1437"/>
      <c r="G288" s="1436"/>
      <c r="H288" s="1436"/>
      <c r="I288" s="1436"/>
      <c r="J288" s="1436"/>
      <c r="K288" s="1437"/>
      <c r="L288" s="1436"/>
      <c r="M288" s="1436"/>
      <c r="N288" s="1436"/>
      <c r="O288" s="1436"/>
      <c r="P288" s="1437"/>
      <c r="Q288" s="1436"/>
      <c r="R288" s="1436"/>
      <c r="S288" s="1436"/>
      <c r="T288" s="1436"/>
      <c r="U288" s="1437"/>
      <c r="V288" s="1436"/>
      <c r="W288" s="1436"/>
      <c r="X288" s="1436"/>
      <c r="Y288" s="1436"/>
      <c r="Z288" s="1437"/>
      <c r="AA288" s="1436"/>
      <c r="AB288" s="1436"/>
      <c r="AC288" s="1436"/>
      <c r="AD288" s="1436"/>
      <c r="AE288" s="1437"/>
      <c r="AF288" s="1432"/>
      <c r="AG288" s="1436"/>
      <c r="AH288" s="1436"/>
      <c r="AI288" s="1436"/>
      <c r="AJ288" s="1433"/>
      <c r="AK288" s="1430"/>
      <c r="AL288" s="1430"/>
      <c r="AM288" s="1430"/>
      <c r="AN288" s="1430"/>
      <c r="AO288" s="1433"/>
      <c r="AP288" s="1430"/>
      <c r="AQ288" s="1430"/>
      <c r="AR288" s="1430"/>
      <c r="AS288" s="1430"/>
      <c r="AT288" s="1433"/>
      <c r="AU288" s="1430"/>
      <c r="AV288" s="1430"/>
      <c r="AW288" s="1430"/>
      <c r="AX288" s="1430"/>
      <c r="AY288" s="1433"/>
      <c r="AZ288" s="1430"/>
      <c r="BA288" s="1430"/>
      <c r="BB288" s="1430"/>
      <c r="BC288" s="1430"/>
      <c r="BD288" s="1433"/>
      <c r="BE288" s="1430"/>
      <c r="BF288" s="1430"/>
      <c r="BG288" s="1430"/>
      <c r="BH288" s="1430"/>
      <c r="BI288" s="1433"/>
      <c r="BJ288" s="1430"/>
      <c r="BK288" s="1430"/>
      <c r="BL288" s="1430"/>
      <c r="BM288" s="1430"/>
      <c r="BN288" s="1433"/>
      <c r="BO288" s="1430"/>
      <c r="BP288" s="1430"/>
      <c r="BQ288" s="1430"/>
      <c r="BR288" s="1430"/>
      <c r="BS288" s="1430"/>
      <c r="BT288" s="1430"/>
      <c r="BU288" s="1430"/>
      <c r="BV288" s="1430"/>
      <c r="BW288" s="1430"/>
      <c r="BX288" s="1430"/>
      <c r="BY288" s="1438"/>
      <c r="BZ288" s="1433"/>
      <c r="CA288" s="1433"/>
      <c r="CB288" s="1433"/>
      <c r="CC288" s="1433"/>
      <c r="CD288" s="1433"/>
      <c r="CE288" s="1433"/>
      <c r="CF288" s="1433"/>
      <c r="CG288" s="1438"/>
      <c r="CH288" s="1438"/>
      <c r="CI288" s="1438"/>
      <c r="CJ288" s="1438"/>
      <c r="CK288" s="1438"/>
      <c r="CM288" s="1438"/>
      <c r="CN288" s="1438"/>
      <c r="CO288" s="1438"/>
      <c r="CP288" s="1438"/>
      <c r="CQ288" s="1438"/>
      <c r="CR288" s="1438"/>
    </row>
    <row r="289" spans="1:96" s="1022" customFormat="1">
      <c r="A289" s="1435"/>
      <c r="B289" s="1436"/>
      <c r="C289" s="1436"/>
      <c r="D289" s="1436"/>
      <c r="E289" s="1436"/>
      <c r="F289" s="1437"/>
      <c r="G289" s="1436"/>
      <c r="H289" s="1436"/>
      <c r="I289" s="1436"/>
      <c r="J289" s="1436"/>
      <c r="K289" s="1437"/>
      <c r="L289" s="1436"/>
      <c r="M289" s="1436"/>
      <c r="N289" s="1436"/>
      <c r="O289" s="1436"/>
      <c r="P289" s="1437"/>
      <c r="Q289" s="1436"/>
      <c r="R289" s="1436"/>
      <c r="S289" s="1436"/>
      <c r="T289" s="1436"/>
      <c r="U289" s="1437"/>
      <c r="V289" s="1436"/>
      <c r="W289" s="1436"/>
      <c r="X289" s="1436"/>
      <c r="Y289" s="1436"/>
      <c r="Z289" s="1437"/>
      <c r="AA289" s="1436"/>
      <c r="AB289" s="1436"/>
      <c r="AC289" s="1436"/>
      <c r="AD289" s="1436"/>
      <c r="AE289" s="1437"/>
      <c r="AF289" s="1432"/>
      <c r="AG289" s="1436"/>
      <c r="AH289" s="1436"/>
      <c r="AI289" s="1436"/>
      <c r="AJ289" s="1433"/>
      <c r="AK289" s="1430"/>
      <c r="AL289" s="1430"/>
      <c r="AM289" s="1430"/>
      <c r="AN289" s="1430"/>
      <c r="AO289" s="1433"/>
      <c r="AP289" s="1430"/>
      <c r="AQ289" s="1430"/>
      <c r="AR289" s="1430"/>
      <c r="AS289" s="1430"/>
      <c r="AT289" s="1433"/>
      <c r="AU289" s="1430"/>
      <c r="AV289" s="1430"/>
      <c r="AW289" s="1430"/>
      <c r="AX289" s="1430"/>
      <c r="AY289" s="1433"/>
      <c r="AZ289" s="1430"/>
      <c r="BA289" s="1430"/>
      <c r="BB289" s="1430"/>
      <c r="BC289" s="1430"/>
      <c r="BD289" s="1433"/>
      <c r="BE289" s="1430"/>
      <c r="BF289" s="1430"/>
      <c r="BG289" s="1430"/>
      <c r="BH289" s="1430"/>
      <c r="BI289" s="1433"/>
      <c r="BJ289" s="1430"/>
      <c r="BK289" s="1430"/>
      <c r="BL289" s="1430"/>
      <c r="BM289" s="1430"/>
      <c r="BN289" s="1433"/>
      <c r="BO289" s="1430"/>
      <c r="BP289" s="1430"/>
      <c r="BQ289" s="1430"/>
      <c r="BR289" s="1430"/>
      <c r="BS289" s="1430"/>
      <c r="BT289" s="1430"/>
      <c r="BU289" s="1430"/>
      <c r="BV289" s="1430"/>
      <c r="BW289" s="1430"/>
      <c r="BX289" s="1430"/>
      <c r="BY289" s="1438"/>
      <c r="BZ289" s="1433"/>
      <c r="CA289" s="1433"/>
      <c r="CB289" s="1433"/>
      <c r="CC289" s="1433"/>
      <c r="CD289" s="1433"/>
      <c r="CE289" s="1433"/>
      <c r="CF289" s="1433"/>
      <c r="CG289" s="1438"/>
      <c r="CH289" s="1438"/>
      <c r="CI289" s="1438"/>
      <c r="CJ289" s="1438"/>
      <c r="CK289" s="1438"/>
      <c r="CM289" s="1438"/>
      <c r="CN289" s="1438"/>
      <c r="CO289" s="1438"/>
      <c r="CP289" s="1438"/>
      <c r="CQ289" s="1438"/>
      <c r="CR289" s="1438"/>
    </row>
    <row r="290" spans="1:96" customFormat="1" ht="13.5" hidden="1" outlineLevel="1" thickBot="1">
      <c r="A290" s="2115" t="s">
        <v>921</v>
      </c>
      <c r="B290" s="2116"/>
      <c r="C290" s="2116"/>
      <c r="D290" s="2116"/>
      <c r="E290" s="2116"/>
      <c r="F290" s="2117"/>
      <c r="G290" s="2116"/>
      <c r="H290" s="2116"/>
      <c r="I290" s="2116"/>
      <c r="J290" s="2116"/>
      <c r="K290" s="2117"/>
      <c r="L290" s="2116"/>
      <c r="M290" s="2116"/>
      <c r="N290" s="2116"/>
      <c r="O290" s="2116"/>
      <c r="P290" s="2117"/>
      <c r="Q290" s="2116"/>
      <c r="R290" s="2116"/>
      <c r="S290" s="2116"/>
      <c r="T290" s="2116"/>
      <c r="U290" s="2117"/>
      <c r="V290" s="2116"/>
      <c r="W290" s="2116"/>
      <c r="X290" s="2116"/>
      <c r="Y290" s="2116"/>
      <c r="Z290" s="2117"/>
      <c r="AA290" s="2116"/>
      <c r="AB290" s="2116"/>
      <c r="AC290" s="2116"/>
      <c r="AD290" s="2116"/>
      <c r="AE290" s="2117"/>
      <c r="AF290" s="2118"/>
      <c r="AG290" s="2118"/>
      <c r="AH290" s="2118"/>
      <c r="AI290" s="2118"/>
      <c r="AJ290" s="2117"/>
      <c r="AK290" s="2118"/>
      <c r="AL290" s="2118"/>
      <c r="AM290" s="2118"/>
      <c r="AN290" s="2118"/>
      <c r="AO290" s="2119"/>
      <c r="AP290" s="2118"/>
      <c r="AQ290" s="2118"/>
      <c r="AR290" s="2118"/>
      <c r="AS290" s="2118"/>
      <c r="AT290" s="2119"/>
      <c r="AU290" s="2118"/>
      <c r="AV290" s="2118"/>
      <c r="AW290" s="2118"/>
      <c r="AX290" s="2118"/>
      <c r="AY290" s="2119"/>
      <c r="AZ290" s="2118"/>
      <c r="BA290" s="2118"/>
      <c r="BB290" s="2118"/>
      <c r="BC290" s="2118"/>
      <c r="BD290" s="2119"/>
      <c r="BE290" s="2118"/>
      <c r="BF290" s="2118"/>
      <c r="BG290" s="2118"/>
      <c r="BH290" s="2118"/>
      <c r="BI290" s="2119"/>
      <c r="BJ290" s="2118"/>
      <c r="BK290" s="2118"/>
      <c r="BL290" s="2118"/>
      <c r="BM290" s="2118"/>
      <c r="BN290" s="2119"/>
      <c r="BO290" s="2636"/>
      <c r="BP290" s="2636"/>
      <c r="BQ290" s="2636"/>
      <c r="BR290" s="2636"/>
      <c r="BS290" s="2636"/>
      <c r="BT290" s="2636"/>
      <c r="BU290" s="2636"/>
      <c r="BV290" s="2636"/>
      <c r="BW290" s="2636"/>
      <c r="BX290" s="2636"/>
      <c r="BY290" s="2120"/>
      <c r="BZ290" s="2119"/>
      <c r="CA290" s="2119"/>
      <c r="CB290" s="2119"/>
      <c r="CC290" s="2119"/>
      <c r="CD290" s="2119"/>
      <c r="CE290" s="2119"/>
      <c r="CF290" s="2119"/>
    </row>
    <row r="291" spans="1:96" hidden="1" outlineLevel="1">
      <c r="A291" s="2121" t="s">
        <v>497</v>
      </c>
      <c r="B291" s="2122"/>
      <c r="C291" s="2122"/>
      <c r="D291" s="2122"/>
      <c r="E291" s="2122"/>
      <c r="F291" s="2123"/>
      <c r="G291" s="2122"/>
      <c r="H291" s="2122"/>
      <c r="I291" s="2122"/>
      <c r="J291" s="2122"/>
      <c r="K291" s="2123"/>
      <c r="L291" s="2122"/>
      <c r="M291" s="2122"/>
      <c r="N291" s="2122"/>
      <c r="O291" s="2122"/>
      <c r="P291" s="2123"/>
      <c r="Q291" s="2122"/>
      <c r="R291" s="2122"/>
      <c r="S291" s="2122"/>
      <c r="T291" s="2122"/>
      <c r="U291" s="2123"/>
      <c r="V291" s="2122"/>
      <c r="W291" s="2122"/>
      <c r="X291" s="2122"/>
      <c r="Y291" s="2122"/>
      <c r="Z291" s="2123"/>
      <c r="AA291" s="2122"/>
      <c r="AB291" s="2122"/>
      <c r="AC291" s="2122"/>
      <c r="AD291" s="2122"/>
      <c r="AE291" s="2123"/>
      <c r="AF291" s="2124"/>
      <c r="AG291" s="2122"/>
      <c r="AH291" s="2122"/>
      <c r="AI291" s="2122"/>
      <c r="AJ291" s="2123"/>
      <c r="AK291" s="2125"/>
      <c r="AL291" s="2122"/>
      <c r="AM291" s="2122"/>
      <c r="AN291" s="2122"/>
      <c r="AO291" s="2123"/>
      <c r="AP291" s="2122"/>
      <c r="AQ291" s="2122"/>
      <c r="AR291" s="2122"/>
      <c r="AS291" s="2122"/>
      <c r="AT291" s="2123"/>
      <c r="AU291" s="2122"/>
      <c r="AV291" s="2122"/>
      <c r="AW291" s="2122"/>
      <c r="AX291" s="2122"/>
      <c r="AY291" s="2123"/>
      <c r="AZ291" s="2122"/>
      <c r="BA291" s="2122"/>
      <c r="BB291" s="2122"/>
      <c r="BC291" s="2122"/>
      <c r="BD291" s="2123"/>
      <c r="BE291" s="2122"/>
      <c r="BF291" s="2122"/>
      <c r="BG291" s="2122"/>
      <c r="BH291" s="2122"/>
      <c r="BI291" s="2123"/>
      <c r="BJ291" s="2122"/>
      <c r="BK291" s="2122"/>
      <c r="BL291" s="2122"/>
      <c r="BM291" s="2122"/>
      <c r="BN291" s="2123"/>
      <c r="BO291" s="2162"/>
      <c r="BP291" s="2162"/>
      <c r="BQ291" s="2162"/>
      <c r="BR291" s="2162"/>
      <c r="BS291" s="2162"/>
      <c r="BT291" s="2162"/>
      <c r="BU291" s="2162"/>
      <c r="BV291" s="2162"/>
      <c r="BW291" s="2162"/>
      <c r="BX291" s="2162"/>
      <c r="BY291" s="2120"/>
      <c r="BZ291" s="2123"/>
      <c r="CA291" s="2123"/>
      <c r="CB291" s="2123"/>
      <c r="CC291" s="2123"/>
      <c r="CD291" s="2123"/>
      <c r="CE291" s="2123"/>
      <c r="CF291" s="2123"/>
    </row>
    <row r="292" spans="1:96" hidden="1" outlineLevel="1">
      <c r="A292" s="2126" t="s">
        <v>940</v>
      </c>
      <c r="B292" s="2127"/>
      <c r="C292" s="2127"/>
      <c r="D292" s="2127"/>
      <c r="E292" s="2127"/>
      <c r="F292" s="2128"/>
      <c r="G292" s="2127"/>
      <c r="H292" s="2127"/>
      <c r="I292" s="2127"/>
      <c r="J292" s="2127"/>
      <c r="K292" s="2128"/>
      <c r="L292" s="2127"/>
      <c r="M292" s="2127"/>
      <c r="N292" s="2127"/>
      <c r="O292" s="2127"/>
      <c r="P292" s="2128"/>
      <c r="Q292" s="2127"/>
      <c r="R292" s="2127"/>
      <c r="S292" s="2127"/>
      <c r="T292" s="2127"/>
      <c r="U292" s="2128"/>
      <c r="V292" s="2127"/>
      <c r="W292" s="2127"/>
      <c r="X292" s="2127"/>
      <c r="Y292" s="2127"/>
      <c r="Z292" s="2128"/>
      <c r="AA292" s="2127"/>
      <c r="AB292" s="2127"/>
      <c r="AC292" s="2127"/>
      <c r="AD292" s="2127"/>
      <c r="AE292" s="2128">
        <f>'Client Unit Model'!CF169</f>
        <v>15410.795760646593</v>
      </c>
      <c r="AF292" s="2129">
        <f>'Client Unit Model'!AJ169</f>
        <v>3739.1813925605875</v>
      </c>
      <c r="AG292" s="2129">
        <f>'Client Unit Model'!AK169</f>
        <v>4148.5202465186912</v>
      </c>
      <c r="AH292" s="2129">
        <f>'Client Unit Model'!AL169</f>
        <v>3360.3563818799948</v>
      </c>
      <c r="AI292" s="2129">
        <f>'Client Unit Model'!AM169</f>
        <v>3166.3021418468479</v>
      </c>
      <c r="AJ292" s="2128">
        <f>'Client Unit Model'!CG169</f>
        <v>14414.360162806122</v>
      </c>
      <c r="AK292" s="2129">
        <f>'Client Unit Model'!AN169</f>
        <v>3459.0277056347263</v>
      </c>
      <c r="AL292" s="2129">
        <f>'Client Unit Model'!AO169</f>
        <v>4021.3897743683583</v>
      </c>
      <c r="AM292" s="2129">
        <f>'Client Unit Model'!AP169</f>
        <v>3473.4711806982673</v>
      </c>
      <c r="AN292" s="2129">
        <f>'Client Unit Model'!AQ169</f>
        <v>3228.577388695473</v>
      </c>
      <c r="AO292" s="2128">
        <f>SUM(AK292:AN292)</f>
        <v>14182.466049396826</v>
      </c>
      <c r="AP292" s="2129">
        <f>'Client Unit Model'!AR169</f>
        <v>3281.3607708458353</v>
      </c>
      <c r="AQ292" s="2129">
        <f>'Client Unit Model'!AS169</f>
        <v>3279.557083044635</v>
      </c>
      <c r="AR292" s="2129">
        <f>'Client Unit Model'!AT169</f>
        <v>2608.2217498027921</v>
      </c>
      <c r="AS292" s="2129">
        <f>'Client Unit Model'!AU169</f>
        <v>2341.3104243680928</v>
      </c>
      <c r="AT292" s="2128">
        <f>SUM(AP292:AS292)</f>
        <v>11510.450028061357</v>
      </c>
      <c r="AU292" s="2129">
        <f>'Client Unit Model'!AV169</f>
        <v>2929.3479879174051</v>
      </c>
      <c r="AV292" s="2129">
        <f>'Client Unit Model'!AW169</f>
        <v>2657.0209081876546</v>
      </c>
      <c r="AW292" s="2129">
        <f>'Client Unit Model'!AX169</f>
        <v>1974.0823997250041</v>
      </c>
      <c r="AX292" s="2129">
        <f>'Client Unit Model'!AY169</f>
        <v>2074.3244792154951</v>
      </c>
      <c r="AY292" s="2128">
        <f>SUM(AU292:AX292)</f>
        <v>9634.7757750455585</v>
      </c>
      <c r="AZ292" s="2129"/>
      <c r="BA292" s="2129"/>
      <c r="BB292" s="2129"/>
      <c r="BC292" s="2129"/>
      <c r="BD292" s="2128"/>
      <c r="BE292" s="2130"/>
      <c r="BF292" s="2129"/>
      <c r="BG292" s="2130"/>
      <c r="BH292" s="2130"/>
      <c r="BI292" s="2131"/>
      <c r="BJ292" s="2130"/>
      <c r="BK292" s="2130"/>
      <c r="BL292" s="2130"/>
      <c r="BM292" s="2130"/>
      <c r="BN292" s="2131"/>
      <c r="BO292" s="2167"/>
      <c r="BP292" s="2167"/>
      <c r="BQ292" s="2167"/>
      <c r="BR292" s="2167"/>
      <c r="BS292" s="2167"/>
      <c r="BT292" s="2167"/>
      <c r="BU292" s="2167"/>
      <c r="BV292" s="2167"/>
      <c r="BW292" s="2167"/>
      <c r="BX292" s="2167"/>
      <c r="BY292" s="2120"/>
      <c r="BZ292" s="2131"/>
      <c r="CA292" s="2131"/>
      <c r="CB292" s="2131">
        <f t="shared" ref="CB292:CB297" si="503">SUM(AM292:AN292,AP292:AQ292)</f>
        <v>13262.966423284211</v>
      </c>
      <c r="CC292" s="2131">
        <f t="shared" ref="CC292:CC297" si="504">SUM(AR292:AS292,AU292:AV292)</f>
        <v>10535.901070275944</v>
      </c>
      <c r="CD292" s="2131">
        <f t="shared" ref="CD292:CD297" si="505">SUM(AW292:AX292,AZ292:BA292)</f>
        <v>4048.4068789404992</v>
      </c>
      <c r="CE292" s="2131">
        <f t="shared" ref="CE292:CE297" si="506">SUM(BB292:BC292,BE292:BF292)</f>
        <v>0</v>
      </c>
      <c r="CF292" s="2131"/>
    </row>
    <row r="293" spans="1:96" hidden="1" outlineLevel="1">
      <c r="A293" s="2126" t="s">
        <v>941</v>
      </c>
      <c r="B293" s="2127"/>
      <c r="C293" s="2127"/>
      <c r="D293" s="2127"/>
      <c r="E293" s="2127"/>
      <c r="F293" s="2128"/>
      <c r="G293" s="2127"/>
      <c r="H293" s="2127"/>
      <c r="I293" s="2127"/>
      <c r="J293" s="2127"/>
      <c r="K293" s="2128"/>
      <c r="L293" s="2127"/>
      <c r="M293" s="2127"/>
      <c r="N293" s="2127"/>
      <c r="O293" s="2127"/>
      <c r="P293" s="2128"/>
      <c r="Q293" s="2127"/>
      <c r="R293" s="2127"/>
      <c r="S293" s="2127"/>
      <c r="T293" s="2127"/>
      <c r="U293" s="2128"/>
      <c r="V293" s="2127"/>
      <c r="W293" s="2127"/>
      <c r="X293" s="2127"/>
      <c r="Y293" s="2127"/>
      <c r="Z293" s="2128"/>
      <c r="AA293" s="2127"/>
      <c r="AB293" s="2127"/>
      <c r="AC293" s="2127"/>
      <c r="AD293" s="2127"/>
      <c r="AE293" s="2128">
        <f>0.12*'Client Unit Model'!CF176</f>
        <v>440.15384721436976</v>
      </c>
      <c r="AF293" s="2129">
        <f>0.1*'Client Unit Model'!AJ176</f>
        <v>98.413726979282785</v>
      </c>
      <c r="AG293" s="2129">
        <f>0.09*'Client Unit Model'!AK176</f>
        <v>102.76256816142127</v>
      </c>
      <c r="AH293" s="2129">
        <f>0.09*'Client Unit Model'!AL176</f>
        <v>114.29402717374944</v>
      </c>
      <c r="AI293" s="2129">
        <f>0.09*'Client Unit Model'!AM176</f>
        <v>85.40357101087757</v>
      </c>
      <c r="AJ293" s="2128">
        <f>SUM(AF293:AI293)</f>
        <v>400.87389332533104</v>
      </c>
      <c r="AK293" s="2129">
        <f>AF293*1.1</f>
        <v>108.25509967721108</v>
      </c>
      <c r="AL293" s="2129">
        <f>0.15*'Client Unit Model'!AO176</f>
        <v>171.27094693570214</v>
      </c>
      <c r="AM293" s="2129">
        <f>0.1*'Client Unit Model'!AP176</f>
        <v>126.99336352638828</v>
      </c>
      <c r="AN293" s="2129">
        <v>122</v>
      </c>
      <c r="AO293" s="2128">
        <f>SUM(AK293:AN293)</f>
        <v>528.5194101393015</v>
      </c>
      <c r="AP293" s="2129">
        <f>AK293*0.9</f>
        <v>97.429589709489974</v>
      </c>
      <c r="AQ293" s="2129">
        <v>50</v>
      </c>
      <c r="AR293" s="2129">
        <v>100</v>
      </c>
      <c r="AS293" s="2129">
        <v>100</v>
      </c>
      <c r="AT293" s="2128">
        <f>SUM(AP293:AS293)</f>
        <v>347.42958970948996</v>
      </c>
      <c r="AU293" s="2129">
        <f>0.1*'Client Unit Model'!AV176</f>
        <v>74.352062801483029</v>
      </c>
      <c r="AV293" s="2129">
        <f>0.075*'Client Unit Model'!AW176</f>
        <v>83.794310788292265</v>
      </c>
      <c r="AW293" s="2129">
        <f>0.075*'Client Unit Model'!AX176</f>
        <v>93.197254657928184</v>
      </c>
      <c r="AX293" s="2129">
        <f>0.1*'Client Unit Model'!AY176</f>
        <v>92.852660260159681</v>
      </c>
      <c r="AY293" s="2128">
        <f>SUM(AU293:AX293)</f>
        <v>344.19628850786313</v>
      </c>
      <c r="AZ293" s="2129"/>
      <c r="BA293" s="2129"/>
      <c r="BB293" s="2129"/>
      <c r="BC293" s="2129"/>
      <c r="BD293" s="2128"/>
      <c r="BE293" s="2130"/>
      <c r="BF293" s="2129"/>
      <c r="BG293" s="2130"/>
      <c r="BH293" s="2130"/>
      <c r="BI293" s="2131"/>
      <c r="BJ293" s="2130"/>
      <c r="BK293" s="2130"/>
      <c r="BL293" s="2130"/>
      <c r="BM293" s="2130"/>
      <c r="BN293" s="2131"/>
      <c r="BO293" s="2167"/>
      <c r="BP293" s="2167"/>
      <c r="BQ293" s="2167"/>
      <c r="BR293" s="2167"/>
      <c r="BS293" s="2167"/>
      <c r="BT293" s="2167"/>
      <c r="BU293" s="2167"/>
      <c r="BV293" s="2167"/>
      <c r="BW293" s="2167"/>
      <c r="BX293" s="2167"/>
      <c r="BY293" s="2120"/>
      <c r="BZ293" s="2131"/>
      <c r="CA293" s="2131"/>
      <c r="CB293" s="2131">
        <f t="shared" si="503"/>
        <v>396.42295323587825</v>
      </c>
      <c r="CC293" s="2131">
        <f t="shared" si="504"/>
        <v>358.14637358977529</v>
      </c>
      <c r="CD293" s="2131">
        <f t="shared" si="505"/>
        <v>186.04991491808786</v>
      </c>
      <c r="CE293" s="2131">
        <f t="shared" si="506"/>
        <v>0</v>
      </c>
      <c r="CF293" s="2131"/>
    </row>
    <row r="294" spans="1:96" hidden="1" outlineLevel="1">
      <c r="A294" s="2126" t="s">
        <v>946</v>
      </c>
      <c r="B294" s="2127"/>
      <c r="C294" s="2127"/>
      <c r="D294" s="2127"/>
      <c r="E294" s="2127"/>
      <c r="F294" s="2128"/>
      <c r="G294" s="2127"/>
      <c r="H294" s="2127"/>
      <c r="I294" s="2127"/>
      <c r="J294" s="2127"/>
      <c r="K294" s="2128"/>
      <c r="L294" s="2127"/>
      <c r="M294" s="2127"/>
      <c r="N294" s="2127"/>
      <c r="O294" s="2127"/>
      <c r="P294" s="2128"/>
      <c r="Q294" s="2127"/>
      <c r="R294" s="2127"/>
      <c r="S294" s="2127"/>
      <c r="T294" s="2127"/>
      <c r="U294" s="2128"/>
      <c r="V294" s="2127"/>
      <c r="W294" s="2127"/>
      <c r="X294" s="2127"/>
      <c r="Y294" s="2127"/>
      <c r="Z294" s="2128"/>
      <c r="AA294" s="2127"/>
      <c r="AB294" s="2127"/>
      <c r="AC294" s="2127"/>
      <c r="AD294" s="2127"/>
      <c r="AE294" s="2128">
        <f>'Client Unit Model'!CF176*0.095</f>
        <v>348.45512904470939</v>
      </c>
      <c r="AF294" s="2129">
        <f>0.075*'Client Unit Model'!AJ176</f>
        <v>73.810295234462089</v>
      </c>
      <c r="AG294" s="2129">
        <f>0.3*'Client Unit Model'!AK176</f>
        <v>342.54189387140428</v>
      </c>
      <c r="AH294" s="2129">
        <f>0.06*'Client Unit Model'!AL176</f>
        <v>76.196018115832956</v>
      </c>
      <c r="AI294" s="2129">
        <v>50</v>
      </c>
      <c r="AJ294" s="2128">
        <f>SUM(AF294:AI294)</f>
        <v>542.54820722169939</v>
      </c>
      <c r="AK294" s="2129">
        <f>AF294</f>
        <v>73.810295234462089</v>
      </c>
      <c r="AL294" s="2129">
        <v>50</v>
      </c>
      <c r="AM294" s="2129">
        <v>25</v>
      </c>
      <c r="AN294" s="2129">
        <v>40</v>
      </c>
      <c r="AO294" s="2128">
        <f>SUM(AK294:AN294)</f>
        <v>188.8102952344621</v>
      </c>
      <c r="AP294" s="2129">
        <v>100.77565642678557</v>
      </c>
      <c r="AQ294" s="2129">
        <v>65</v>
      </c>
      <c r="AR294" s="2129">
        <v>65</v>
      </c>
      <c r="AS294" s="2129">
        <v>65</v>
      </c>
      <c r="AT294" s="2128">
        <f>SUM(AP294:AS294)</f>
        <v>295.77565642678559</v>
      </c>
      <c r="AU294" s="2129">
        <f>AU348-AU293</f>
        <v>133.76344564160632</v>
      </c>
      <c r="AV294" s="2129">
        <f>AV348-AV293</f>
        <v>48.455689211707735</v>
      </c>
      <c r="AW294" s="2129">
        <f>AW348-AW293</f>
        <v>80.052745342071816</v>
      </c>
      <c r="AX294" s="2129">
        <f>AX348-AX293</f>
        <v>80.397339739840319</v>
      </c>
      <c r="AY294" s="2128">
        <f>SUM(AU294:AX294)</f>
        <v>342.66921993522624</v>
      </c>
      <c r="AZ294" s="2129"/>
      <c r="BA294" s="2129"/>
      <c r="BB294" s="2129"/>
      <c r="BC294" s="2129"/>
      <c r="BD294" s="2128"/>
      <c r="BE294" s="2130"/>
      <c r="BF294" s="2129"/>
      <c r="BG294" s="2130"/>
      <c r="BH294" s="2130"/>
      <c r="BI294" s="2131"/>
      <c r="BJ294" s="2130"/>
      <c r="BK294" s="2130"/>
      <c r="BL294" s="2130"/>
      <c r="BM294" s="2130"/>
      <c r="BN294" s="2131"/>
      <c r="BO294" s="2167"/>
      <c r="BP294" s="2167"/>
      <c r="BQ294" s="2167"/>
      <c r="BR294" s="2167"/>
      <c r="BS294" s="2167"/>
      <c r="BT294" s="2167"/>
      <c r="BU294" s="2167"/>
      <c r="BV294" s="2167"/>
      <c r="BW294" s="2167"/>
      <c r="BX294" s="2167"/>
      <c r="BY294" s="2120"/>
      <c r="BZ294" s="2131"/>
      <c r="CA294" s="2131"/>
      <c r="CB294" s="2131">
        <f t="shared" si="503"/>
        <v>230.77565642678559</v>
      </c>
      <c r="CC294" s="2131">
        <f t="shared" si="504"/>
        <v>312.21913485331407</v>
      </c>
      <c r="CD294" s="2131">
        <f t="shared" si="505"/>
        <v>160.45008508191214</v>
      </c>
      <c r="CE294" s="2131">
        <f t="shared" si="506"/>
        <v>0</v>
      </c>
      <c r="CF294" s="2131"/>
    </row>
    <row r="295" spans="1:96" hidden="1" outlineLevel="1">
      <c r="A295" s="2126" t="s">
        <v>942</v>
      </c>
      <c r="B295" s="2127">
        <v>725</v>
      </c>
      <c r="C295" s="2127">
        <v>234</v>
      </c>
      <c r="D295" s="2127">
        <v>1625</v>
      </c>
      <c r="E295" s="2127">
        <v>974</v>
      </c>
      <c r="F295" s="2128">
        <f>SUM(B295:E295)</f>
        <v>3558</v>
      </c>
      <c r="G295" s="2127">
        <v>754</v>
      </c>
      <c r="H295" s="2127">
        <v>826</v>
      </c>
      <c r="I295" s="2127">
        <v>995</v>
      </c>
      <c r="J295" s="2127">
        <v>877</v>
      </c>
      <c r="K295" s="2128">
        <f>SUM(G295:J295)</f>
        <v>3452</v>
      </c>
      <c r="L295" s="2127">
        <v>1088</v>
      </c>
      <c r="M295" s="2127">
        <v>750</v>
      </c>
      <c r="N295" s="2127">
        <v>698</v>
      </c>
      <c r="O295" s="2127">
        <v>588</v>
      </c>
      <c r="P295" s="2128">
        <f>SUM(L295:O295)</f>
        <v>3124</v>
      </c>
      <c r="Q295" s="2127">
        <v>757.05882352941171</v>
      </c>
      <c r="R295" s="2127">
        <v>845</v>
      </c>
      <c r="S295" s="2127">
        <v>470</v>
      </c>
      <c r="T295" s="2127">
        <v>945</v>
      </c>
      <c r="U295" s="2128">
        <f>SUM(Q295:T295)</f>
        <v>3017.0588235294117</v>
      </c>
      <c r="V295" s="2127">
        <v>973.05882352941171</v>
      </c>
      <c r="W295" s="2127">
        <v>1316</v>
      </c>
      <c r="X295" s="2127">
        <v>995</v>
      </c>
      <c r="Y295" s="2127">
        <v>852</v>
      </c>
      <c r="Z295" s="2128">
        <f>SUM(V295:Y295)</f>
        <v>4136.0588235294117</v>
      </c>
      <c r="AA295" s="2127">
        <v>1000</v>
      </c>
      <c r="AB295" s="2127">
        <v>1065</v>
      </c>
      <c r="AC295" s="2127">
        <v>1000</v>
      </c>
      <c r="AD295" s="2127">
        <v>980</v>
      </c>
      <c r="AE295" s="2128">
        <f>'Rev Overview'!BE253*0.185*0.95</f>
        <v>4237.5082499999999</v>
      </c>
      <c r="AF295" s="2127">
        <v>1106</v>
      </c>
      <c r="AG295" s="2127">
        <v>1139.9499999999998</v>
      </c>
      <c r="AH295" s="2127">
        <v>807</v>
      </c>
      <c r="AI295" s="2127">
        <v>722.5</v>
      </c>
      <c r="AJ295" s="2128">
        <f>SUM(AF295:AI295)</f>
        <v>3775.45</v>
      </c>
      <c r="AK295" s="2129">
        <f>AF295*(1-0.23)</f>
        <v>851.62</v>
      </c>
      <c r="AL295" s="2129">
        <f>AG295*(1-0.24)</f>
        <v>866.36199999999985</v>
      </c>
      <c r="AM295" s="2129">
        <f>AH295*(1+0.15)</f>
        <v>928.05</v>
      </c>
      <c r="AN295" s="2129">
        <f>AI295*(1+0.21)</f>
        <v>874.22500000000002</v>
      </c>
      <c r="AO295" s="2128">
        <f>SUM(AK295:AN295)</f>
        <v>3520.2570000000001</v>
      </c>
      <c r="AP295" s="2129">
        <f>AK295*(1-0.05)</f>
        <v>809.03899999999999</v>
      </c>
      <c r="AQ295" s="2129">
        <f>AL295*0.75</f>
        <v>649.77149999999983</v>
      </c>
      <c r="AR295" s="2129">
        <f>AM295*(1-0.41)</f>
        <v>547.54950000000008</v>
      </c>
      <c r="AS295" s="2129">
        <f>AN295*(1-0.42)</f>
        <v>507.05050000000006</v>
      </c>
      <c r="AT295" s="2128">
        <f>SUM(AP295:AS295)</f>
        <v>2513.4105</v>
      </c>
      <c r="AU295" s="2129">
        <f t="shared" ref="AU295:AX295" si="507">AU351</f>
        <v>0</v>
      </c>
      <c r="AV295" s="2129">
        <f t="shared" si="507"/>
        <v>0</v>
      </c>
      <c r="AW295" s="2129">
        <f t="shared" si="507"/>
        <v>0</v>
      </c>
      <c r="AX295" s="2129">
        <f t="shared" si="507"/>
        <v>0</v>
      </c>
      <c r="AY295" s="2128">
        <f>SUM(AU295:AX295)</f>
        <v>0</v>
      </c>
      <c r="AZ295" s="2129"/>
      <c r="BA295" s="2129"/>
      <c r="BB295" s="2129"/>
      <c r="BC295" s="2129"/>
      <c r="BD295" s="2128"/>
      <c r="BE295" s="2130"/>
      <c r="BF295" s="2129"/>
      <c r="BG295" s="2130"/>
      <c r="BH295" s="2130"/>
      <c r="BI295" s="2131"/>
      <c r="BJ295" s="2130"/>
      <c r="BK295" s="2130"/>
      <c r="BL295" s="2130"/>
      <c r="BM295" s="2130"/>
      <c r="BN295" s="2131"/>
      <c r="BO295" s="2167"/>
      <c r="BP295" s="2167"/>
      <c r="BQ295" s="2167"/>
      <c r="BR295" s="2167"/>
      <c r="BS295" s="2167"/>
      <c r="BT295" s="2167"/>
      <c r="BU295" s="2167"/>
      <c r="BV295" s="2167"/>
      <c r="BW295" s="2167"/>
      <c r="BX295" s="2167"/>
      <c r="BY295" s="2120"/>
      <c r="BZ295" s="2131"/>
      <c r="CA295" s="2131"/>
      <c r="CB295" s="2131">
        <f t="shared" si="503"/>
        <v>3261.0855000000001</v>
      </c>
      <c r="CC295" s="2131">
        <f t="shared" si="504"/>
        <v>1054.6000000000001</v>
      </c>
      <c r="CD295" s="2131">
        <f t="shared" si="505"/>
        <v>0</v>
      </c>
      <c r="CE295" s="2131">
        <f t="shared" si="506"/>
        <v>0</v>
      </c>
      <c r="CF295" s="2131"/>
    </row>
    <row r="296" spans="1:96" hidden="1" outlineLevel="1">
      <c r="A296" s="2132" t="s">
        <v>939</v>
      </c>
      <c r="B296" s="2133"/>
      <c r="C296" s="2133"/>
      <c r="D296" s="2133"/>
      <c r="E296" s="2133"/>
      <c r="F296" s="2134"/>
      <c r="G296" s="2133"/>
      <c r="H296" s="2133"/>
      <c r="I296" s="2133"/>
      <c r="J296" s="2133"/>
      <c r="K296" s="2134"/>
      <c r="L296" s="2133"/>
      <c r="M296" s="2133"/>
      <c r="N296" s="2133"/>
      <c r="O296" s="2133"/>
      <c r="P296" s="2134"/>
      <c r="Q296" s="2133"/>
      <c r="R296" s="2133"/>
      <c r="S296" s="2133"/>
      <c r="T296" s="2133"/>
      <c r="U296" s="2134"/>
      <c r="V296" s="2133"/>
      <c r="W296" s="2133"/>
      <c r="X296" s="2133"/>
      <c r="Y296" s="2133"/>
      <c r="Z296" s="2134"/>
      <c r="AA296" s="2133"/>
      <c r="AB296" s="2133"/>
      <c r="AC296" s="2133"/>
      <c r="AD296" s="2133"/>
      <c r="AE296" s="2134">
        <f t="shared" ref="AE296:AM296" si="508">AE297-SUM(AE292:AE295)</f>
        <v>-941.91298690567055</v>
      </c>
      <c r="AF296" s="2133">
        <f t="shared" si="508"/>
        <v>-339.4054147743318</v>
      </c>
      <c r="AG296" s="2133">
        <f t="shared" si="508"/>
        <v>-30.774708551516596</v>
      </c>
      <c r="AH296" s="2133">
        <f t="shared" si="508"/>
        <v>-5.8464271695775096</v>
      </c>
      <c r="AI296" s="2133">
        <f t="shared" si="508"/>
        <v>263.7942871422747</v>
      </c>
      <c r="AJ296" s="2134">
        <f>AJ297-SUM(AJ292:AJ295)</f>
        <v>-112.23226335315485</v>
      </c>
      <c r="AK296" s="2133">
        <f t="shared" si="508"/>
        <v>-8.7131005463998008</v>
      </c>
      <c r="AL296" s="2133">
        <f t="shared" si="508"/>
        <v>434.97727869593928</v>
      </c>
      <c r="AM296" s="2133">
        <f t="shared" si="508"/>
        <v>43.485455775344235</v>
      </c>
      <c r="AN296" s="2133">
        <f>AN297-SUM(AN292:AN295)</f>
        <v>638.19761130452662</v>
      </c>
      <c r="AO296" s="2134">
        <f>SUM(AK296:AN296)</f>
        <v>1107.9472452294103</v>
      </c>
      <c r="AP296" s="2133">
        <f>AP297-SUM(AP292:AP295)</f>
        <v>-195.60501698211101</v>
      </c>
      <c r="AQ296" s="2133">
        <f>AQ297-SUM(AQ292:AQ295)</f>
        <v>122.6714169553652</v>
      </c>
      <c r="AR296" s="2133">
        <f>AR297-SUM(AR292:AR295)</f>
        <v>155.22875019720777</v>
      </c>
      <c r="AS296" s="2133">
        <f>AS297-SUM(AS292:AS295)</f>
        <v>219.63907563190696</v>
      </c>
      <c r="AT296" s="2134">
        <f>SUM(AP296:AS296)</f>
        <v>301.93422580236893</v>
      </c>
      <c r="AU296" s="2133">
        <f>AU200</f>
        <v>191.73247393138527</v>
      </c>
      <c r="AV296" s="2133">
        <f>AV200</f>
        <v>351.66516968118179</v>
      </c>
      <c r="AW296" s="2133">
        <f>AW200</f>
        <v>401.39493615498895</v>
      </c>
      <c r="AX296" s="2133">
        <f>AX200</f>
        <v>215.08894606678206</v>
      </c>
      <c r="AY296" s="2134">
        <f>SUM(AU296:AX296)</f>
        <v>1159.8815258343382</v>
      </c>
      <c r="AZ296" s="2133"/>
      <c r="BA296" s="2133"/>
      <c r="BB296" s="2133"/>
      <c r="BC296" s="2133"/>
      <c r="BD296" s="2134"/>
      <c r="BE296" s="2135"/>
      <c r="BF296" s="2133"/>
      <c r="BG296" s="2135"/>
      <c r="BH296" s="2135"/>
      <c r="BI296" s="2136"/>
      <c r="BJ296" s="2135"/>
      <c r="BK296" s="2135"/>
      <c r="BL296" s="2135"/>
      <c r="BM296" s="2135"/>
      <c r="BN296" s="2136"/>
      <c r="BO296" s="2167"/>
      <c r="BP296" s="2167"/>
      <c r="BQ296" s="2167"/>
      <c r="BR296" s="2167"/>
      <c r="BS296" s="2167"/>
      <c r="BT296" s="2167"/>
      <c r="BU296" s="2167"/>
      <c r="BV296" s="2167"/>
      <c r="BW296" s="2167"/>
      <c r="BX296" s="2167"/>
      <c r="BY296" s="2120"/>
      <c r="BZ296" s="2136"/>
      <c r="CA296" s="2136"/>
      <c r="CB296" s="2136">
        <f t="shared" si="503"/>
        <v>608.74946705312504</v>
      </c>
      <c r="CC296" s="2136">
        <f t="shared" si="504"/>
        <v>918.26546944168172</v>
      </c>
      <c r="CD296" s="2136">
        <f t="shared" si="505"/>
        <v>616.48388222177095</v>
      </c>
      <c r="CE296" s="2136">
        <f t="shared" si="506"/>
        <v>0</v>
      </c>
      <c r="CF296" s="2136"/>
    </row>
    <row r="297" spans="1:96" hidden="1" outlineLevel="1">
      <c r="A297" s="2137" t="s">
        <v>0</v>
      </c>
      <c r="B297" s="2138"/>
      <c r="C297" s="2138"/>
      <c r="D297" s="2138"/>
      <c r="E297" s="2138"/>
      <c r="F297" s="2139"/>
      <c r="G297" s="2138"/>
      <c r="H297" s="2138"/>
      <c r="I297" s="2138"/>
      <c r="J297" s="2138"/>
      <c r="K297" s="2139"/>
      <c r="L297" s="2138"/>
      <c r="M297" s="2138"/>
      <c r="N297" s="2138"/>
      <c r="O297" s="2138"/>
      <c r="P297" s="2139"/>
      <c r="Q297" s="2138"/>
      <c r="R297" s="2138"/>
      <c r="S297" s="2138"/>
      <c r="T297" s="2138"/>
      <c r="U297" s="2139"/>
      <c r="V297" s="2138"/>
      <c r="W297" s="2138"/>
      <c r="X297" s="2138"/>
      <c r="Y297" s="2138"/>
      <c r="Z297" s="2139"/>
      <c r="AA297" s="2138">
        <f>'Rev Overview'!BA96</f>
        <v>5093</v>
      </c>
      <c r="AB297" s="2138">
        <f>'Rev Overview'!BB96</f>
        <v>4956</v>
      </c>
      <c r="AC297" s="2138">
        <f>'Rev Overview'!BC96</f>
        <v>4763</v>
      </c>
      <c r="AD297" s="2138">
        <f>'Rev Overview'!BD96</f>
        <v>4683</v>
      </c>
      <c r="AE297" s="2139">
        <f>'Rev Overview'!BE96</f>
        <v>19495</v>
      </c>
      <c r="AF297" s="2140">
        <f>'Rev Overview'!BF96</f>
        <v>4678</v>
      </c>
      <c r="AG297" s="2140">
        <f>'Rev Overview'!BG96</f>
        <v>5703</v>
      </c>
      <c r="AH297" s="2140">
        <f>'Rev Overview'!BH96</f>
        <v>4352</v>
      </c>
      <c r="AI297" s="2140">
        <f>'Rev Overview'!BI96</f>
        <v>4288</v>
      </c>
      <c r="AJ297" s="2139">
        <f>'Rev Overview'!BJ96</f>
        <v>19021</v>
      </c>
      <c r="AK297" s="2140">
        <f>'Rev Overview'!BK96</f>
        <v>4484</v>
      </c>
      <c r="AL297" s="2140">
        <f>'Rev Overview'!BL96</f>
        <v>5544</v>
      </c>
      <c r="AM297" s="2140">
        <f>'Rev Overview'!BM96</f>
        <v>4597</v>
      </c>
      <c r="AN297" s="2140">
        <f>'Rev Overview'!BN96</f>
        <v>4903</v>
      </c>
      <c r="AO297" s="2139">
        <f>SUM(AO292:AO296)</f>
        <v>19528</v>
      </c>
      <c r="AP297" s="2140">
        <f>'Rev Overview'!BP96</f>
        <v>4093</v>
      </c>
      <c r="AQ297" s="2140">
        <f>'Rev Overview'!BQ96</f>
        <v>4167</v>
      </c>
      <c r="AR297" s="2140">
        <f>'Rev Overview'!BR96</f>
        <v>3476</v>
      </c>
      <c r="AS297" s="2140">
        <f>'Rev Overview'!BS96</f>
        <v>3233</v>
      </c>
      <c r="AT297" s="2139">
        <f>SUM(AT292:AT296)</f>
        <v>14969.000000000004</v>
      </c>
      <c r="AU297" s="2140">
        <f t="shared" ref="AU297:AY297" si="509">SUM(AU292:AU296)</f>
        <v>3329.1959702918798</v>
      </c>
      <c r="AV297" s="2140">
        <f t="shared" si="509"/>
        <v>3140.9360778688365</v>
      </c>
      <c r="AW297" s="2140">
        <f t="shared" si="509"/>
        <v>2548.727335879993</v>
      </c>
      <c r="AX297" s="2140">
        <f t="shared" si="509"/>
        <v>2462.6634252822773</v>
      </c>
      <c r="AY297" s="2139">
        <f t="shared" si="509"/>
        <v>11481.522809322985</v>
      </c>
      <c r="AZ297" s="2140"/>
      <c r="BA297" s="2140"/>
      <c r="BB297" s="2140"/>
      <c r="BC297" s="2140"/>
      <c r="BD297" s="2139"/>
      <c r="BE297" s="2140"/>
      <c r="BF297" s="2140"/>
      <c r="BG297" s="2140"/>
      <c r="BH297" s="2140"/>
      <c r="BI297" s="2139"/>
      <c r="BJ297" s="2140"/>
      <c r="BK297" s="2140"/>
      <c r="BL297" s="2140"/>
      <c r="BM297" s="2140"/>
      <c r="BN297" s="2139"/>
      <c r="BO297" s="2138"/>
      <c r="BP297" s="2138"/>
      <c r="BQ297" s="2138"/>
      <c r="BR297" s="2138"/>
      <c r="BS297" s="2138"/>
      <c r="BT297" s="2138"/>
      <c r="BU297" s="2138"/>
      <c r="BV297" s="2138"/>
      <c r="BW297" s="2138"/>
      <c r="BX297" s="2138"/>
      <c r="BY297" s="2120"/>
      <c r="BZ297" s="2139"/>
      <c r="CA297" s="2139"/>
      <c r="CB297" s="2139">
        <f t="shared" si="503"/>
        <v>17760</v>
      </c>
      <c r="CC297" s="2139">
        <f t="shared" si="504"/>
        <v>13179.132048160716</v>
      </c>
      <c r="CD297" s="2139">
        <f t="shared" si="505"/>
        <v>5011.3907611622708</v>
      </c>
      <c r="CE297" s="2139">
        <f t="shared" si="506"/>
        <v>0</v>
      </c>
      <c r="CF297" s="2139"/>
    </row>
    <row r="298" spans="1:96" ht="6.75" hidden="1" customHeight="1" outlineLevel="1">
      <c r="A298" s="2120"/>
      <c r="B298" s="2141"/>
      <c r="C298" s="2141"/>
      <c r="D298" s="2141"/>
      <c r="E298" s="2141"/>
      <c r="F298" s="2142"/>
      <c r="G298" s="2141"/>
      <c r="H298" s="2141"/>
      <c r="I298" s="2141"/>
      <c r="J298" s="2141"/>
      <c r="K298" s="2142"/>
      <c r="L298" s="2141"/>
      <c r="M298" s="2141"/>
      <c r="N298" s="2141"/>
      <c r="O298" s="2141"/>
      <c r="P298" s="2142"/>
      <c r="Q298" s="2141"/>
      <c r="R298" s="2141"/>
      <c r="S298" s="2141"/>
      <c r="T298" s="2141"/>
      <c r="U298" s="2142"/>
      <c r="V298" s="2141"/>
      <c r="W298" s="2141"/>
      <c r="X298" s="2141"/>
      <c r="Y298" s="2141"/>
      <c r="Z298" s="2142"/>
      <c r="AA298" s="2141"/>
      <c r="AB298" s="2141"/>
      <c r="AC298" s="2141"/>
      <c r="AD298" s="2141"/>
      <c r="AE298" s="2142"/>
      <c r="AF298" s="2143"/>
      <c r="AG298" s="2120"/>
      <c r="AH298" s="2120"/>
      <c r="AI298" s="2120"/>
      <c r="AJ298" s="2128"/>
      <c r="AK298" s="2120"/>
      <c r="AL298" s="2144"/>
      <c r="AM298" s="2120"/>
      <c r="AN298" s="2120"/>
      <c r="AO298" s="2142"/>
      <c r="AP298" s="2120"/>
      <c r="AQ298" s="2120"/>
      <c r="AR298" s="2120"/>
      <c r="AS298" s="2120"/>
      <c r="AT298" s="2142"/>
      <c r="AU298" s="2120"/>
      <c r="AV298" s="2120"/>
      <c r="AW298" s="2120"/>
      <c r="AX298" s="2120"/>
      <c r="AY298" s="2142"/>
      <c r="AZ298" s="2120"/>
      <c r="BA298" s="2120"/>
      <c r="BB298" s="2120"/>
      <c r="BC298" s="2120"/>
      <c r="BD298" s="2142"/>
      <c r="BE298" s="2120"/>
      <c r="BF298" s="2120"/>
      <c r="BG298" s="2120"/>
      <c r="BH298" s="2120"/>
      <c r="BI298" s="2145"/>
      <c r="BJ298" s="2120"/>
      <c r="BK298" s="2120"/>
      <c r="BL298" s="2120"/>
      <c r="BM298" s="2120"/>
      <c r="BN298" s="2145"/>
      <c r="BO298" s="2205"/>
      <c r="BP298" s="2205"/>
      <c r="BQ298" s="2205"/>
      <c r="BR298" s="2205"/>
      <c r="BS298" s="2205"/>
      <c r="BT298" s="2205"/>
      <c r="BU298" s="2205"/>
      <c r="BV298" s="2205"/>
      <c r="BW298" s="2205"/>
      <c r="BX298" s="2205"/>
      <c r="BY298" s="2120"/>
      <c r="BZ298" s="2145"/>
      <c r="CA298" s="2145"/>
      <c r="CB298" s="2145"/>
      <c r="CC298" s="2145"/>
      <c r="CD298" s="2145"/>
      <c r="CE298" s="2145"/>
      <c r="CF298" s="2145"/>
    </row>
    <row r="299" spans="1:96" hidden="1" outlineLevel="1">
      <c r="A299" s="2121" t="s">
        <v>998</v>
      </c>
      <c r="B299" s="2122"/>
      <c r="C299" s="2122"/>
      <c r="D299" s="2122"/>
      <c r="E299" s="2122"/>
      <c r="F299" s="2123"/>
      <c r="G299" s="2122"/>
      <c r="H299" s="2122"/>
      <c r="I299" s="2122"/>
      <c r="J299" s="2122"/>
      <c r="K299" s="2123"/>
      <c r="L299" s="2122"/>
      <c r="M299" s="2122"/>
      <c r="N299" s="2122"/>
      <c r="O299" s="2122"/>
      <c r="P299" s="2123"/>
      <c r="Q299" s="2122"/>
      <c r="R299" s="2122"/>
      <c r="S299" s="2122"/>
      <c r="T299" s="2122"/>
      <c r="U299" s="2123"/>
      <c r="V299" s="2122"/>
      <c r="W299" s="2122"/>
      <c r="X299" s="2122"/>
      <c r="Y299" s="2122"/>
      <c r="Z299" s="2123"/>
      <c r="AA299" s="2122"/>
      <c r="AB299" s="2122"/>
      <c r="AC299" s="2122"/>
      <c r="AD299" s="2122"/>
      <c r="AE299" s="2123"/>
      <c r="AF299" s="2124"/>
      <c r="AG299" s="2122"/>
      <c r="AH299" s="2122"/>
      <c r="AI299" s="2122"/>
      <c r="AJ299" s="2123"/>
      <c r="AK299" s="2125"/>
      <c r="AL299" s="2122"/>
      <c r="AM299" s="2122"/>
      <c r="AN299" s="2122"/>
      <c r="AO299" s="2123"/>
      <c r="AP299" s="2122"/>
      <c r="AQ299" s="2122"/>
      <c r="AR299" s="2122"/>
      <c r="AS299" s="2122"/>
      <c r="AT299" s="2123"/>
      <c r="AU299" s="2122"/>
      <c r="AV299" s="2122"/>
      <c r="AW299" s="2122"/>
      <c r="AX299" s="2122"/>
      <c r="AY299" s="2123"/>
      <c r="AZ299" s="2122"/>
      <c r="BA299" s="2122"/>
      <c r="BB299" s="2122"/>
      <c r="BC299" s="2122"/>
      <c r="BD299" s="2123"/>
      <c r="BE299" s="2122"/>
      <c r="BF299" s="2122"/>
      <c r="BG299" s="2122"/>
      <c r="BH299" s="2122"/>
      <c r="BI299" s="2123"/>
      <c r="BJ299" s="2122"/>
      <c r="BK299" s="2122"/>
      <c r="BL299" s="2122"/>
      <c r="BM299" s="2122"/>
      <c r="BN299" s="2123"/>
      <c r="BO299" s="2162"/>
      <c r="BP299" s="2162"/>
      <c r="BQ299" s="2162"/>
      <c r="BR299" s="2162"/>
      <c r="BS299" s="2162"/>
      <c r="BT299" s="2162"/>
      <c r="BU299" s="2162"/>
      <c r="BV299" s="2162"/>
      <c r="BW299" s="2162"/>
      <c r="BX299" s="2162"/>
      <c r="BY299" s="2120"/>
      <c r="BZ299" s="2123"/>
      <c r="CA299" s="2123"/>
      <c r="CB299" s="2123"/>
      <c r="CC299" s="2123"/>
      <c r="CD299" s="2123"/>
      <c r="CE299" s="2123"/>
      <c r="CF299" s="2123"/>
    </row>
    <row r="300" spans="1:96" hidden="1" outlineLevel="1">
      <c r="A300" s="2126" t="s">
        <v>943</v>
      </c>
      <c r="B300" s="2127"/>
      <c r="C300" s="2127"/>
      <c r="D300" s="2127"/>
      <c r="E300" s="2127"/>
      <c r="F300" s="2128"/>
      <c r="G300" s="2127"/>
      <c r="H300" s="2127"/>
      <c r="I300" s="2127"/>
      <c r="J300" s="2127"/>
      <c r="K300" s="2128"/>
      <c r="L300" s="2127"/>
      <c r="M300" s="2127"/>
      <c r="N300" s="2127"/>
      <c r="O300" s="2127"/>
      <c r="P300" s="2128"/>
      <c r="Q300" s="2127"/>
      <c r="R300" s="2127"/>
      <c r="S300" s="2127"/>
      <c r="T300" s="2127"/>
      <c r="U300" s="2128"/>
      <c r="V300" s="2127"/>
      <c r="W300" s="2127"/>
      <c r="X300" s="2127"/>
      <c r="Y300" s="2127"/>
      <c r="Z300" s="2128"/>
      <c r="AA300" s="2127"/>
      <c r="AB300" s="2127"/>
      <c r="AC300" s="2127"/>
      <c r="AD300" s="2146"/>
      <c r="AE300" s="2128">
        <f>'Client Unit Model'!CF177</f>
        <v>6.3765282141968083E-2</v>
      </c>
      <c r="AF300" s="2129">
        <f>'Client Unit Model'!AJ182</f>
        <v>0</v>
      </c>
      <c r="AG300" s="2129">
        <f>'Client Unit Model'!AK182</f>
        <v>165.56890636296777</v>
      </c>
      <c r="AH300" s="2129">
        <f>'Client Unit Model'!AL182</f>
        <v>212.77360002013958</v>
      </c>
      <c r="AI300" s="2129">
        <f>'Client Unit Model'!AM182</f>
        <v>160.00932453664399</v>
      </c>
      <c r="AJ300" s="2128">
        <f>SUM(AF300:AI300)</f>
        <v>538.35183091975136</v>
      </c>
      <c r="AK300" s="2129">
        <f>'Client Unit Model'!AN182</f>
        <v>372.98333333333329</v>
      </c>
      <c r="AL300" s="2129">
        <f>'Client Unit Model'!AO182</f>
        <v>553.00063766984226</v>
      </c>
      <c r="AM300" s="2129">
        <f>'Client Unit Model'!AP182</f>
        <v>428.93333333333339</v>
      </c>
      <c r="AN300" s="2129">
        <f>'Client Unit Model'!AQ182</f>
        <v>321.55</v>
      </c>
      <c r="AO300" s="2128">
        <f>SUM(AK300:AN300)</f>
        <v>1676.467304336509</v>
      </c>
      <c r="AP300" s="2129">
        <f>'Client Unit Model'!AR182</f>
        <v>857.44</v>
      </c>
      <c r="AQ300" s="2129">
        <f>'Client Unit Model'!AS182</f>
        <v>813.16</v>
      </c>
      <c r="AR300" s="2129">
        <f>'Client Unit Model'!AT182</f>
        <v>515.69166666666672</v>
      </c>
      <c r="AS300" s="2129">
        <f>'Client Unit Model'!AU182</f>
        <v>651.4</v>
      </c>
      <c r="AT300" s="2128">
        <f>SUM(AP300:AS300)</f>
        <v>2837.6916666666666</v>
      </c>
      <c r="AU300" s="2129">
        <f>AU158</f>
        <v>672</v>
      </c>
      <c r="AV300" s="2129">
        <f>AV158</f>
        <v>1352</v>
      </c>
      <c r="AW300" s="2129">
        <f>AW158</f>
        <v>1111</v>
      </c>
      <c r="AX300" s="2129">
        <f>AX158</f>
        <v>965</v>
      </c>
      <c r="AY300" s="2128">
        <f>SUM(AU300:AX300)</f>
        <v>4100</v>
      </c>
      <c r="AZ300" s="2129"/>
      <c r="BA300" s="2129"/>
      <c r="BB300" s="2129"/>
      <c r="BC300" s="2129"/>
      <c r="BD300" s="2128"/>
      <c r="BE300" s="2130"/>
      <c r="BF300" s="2129"/>
      <c r="BG300" s="2130"/>
      <c r="BH300" s="2130"/>
      <c r="BI300" s="2131"/>
      <c r="BJ300" s="2130"/>
      <c r="BK300" s="2130"/>
      <c r="BL300" s="2130"/>
      <c r="BM300" s="2130"/>
      <c r="BN300" s="2131"/>
      <c r="BO300" s="2167"/>
      <c r="BP300" s="2167"/>
      <c r="BQ300" s="2167"/>
      <c r="BR300" s="2167"/>
      <c r="BS300" s="2167"/>
      <c r="BT300" s="2167"/>
      <c r="BU300" s="2167"/>
      <c r="BV300" s="2167"/>
      <c r="BW300" s="2167"/>
      <c r="BX300" s="2167"/>
      <c r="BY300" s="2120"/>
      <c r="BZ300" s="2131"/>
      <c r="CA300" s="2131"/>
      <c r="CB300" s="2131">
        <f>SUM(AM300:AN300,AP300:AQ300)</f>
        <v>2421.0833333333335</v>
      </c>
      <c r="CC300" s="2131">
        <f>SUM(AR300:AS300,AU300:AV300)</f>
        <v>3191.0916666666667</v>
      </c>
      <c r="CD300" s="2131">
        <f>SUM(AW300:AX300,AZ300:BA300)</f>
        <v>2076</v>
      </c>
      <c r="CE300" s="2131">
        <f>SUM(BB300:BC300,BE300:BF300)</f>
        <v>0</v>
      </c>
      <c r="CF300" s="2131"/>
    </row>
    <row r="301" spans="1:96" hidden="1" outlineLevel="1">
      <c r="A301" s="2120" t="s">
        <v>280</v>
      </c>
      <c r="B301" s="2127"/>
      <c r="C301" s="2127"/>
      <c r="D301" s="2127"/>
      <c r="E301" s="2127"/>
      <c r="F301" s="2128"/>
      <c r="G301" s="2127"/>
      <c r="H301" s="2127"/>
      <c r="I301" s="2127"/>
      <c r="J301" s="2127"/>
      <c r="K301" s="2128"/>
      <c r="L301" s="2127"/>
      <c r="M301" s="2127"/>
      <c r="N301" s="2127"/>
      <c r="O301" s="2127"/>
      <c r="P301" s="2128"/>
      <c r="Q301" s="2127"/>
      <c r="R301" s="2127"/>
      <c r="S301" s="2127"/>
      <c r="T301" s="2127"/>
      <c r="U301" s="2128"/>
      <c r="V301" s="2127"/>
      <c r="W301" s="2127"/>
      <c r="X301" s="2127"/>
      <c r="Y301" s="2127"/>
      <c r="Z301" s="2128"/>
      <c r="AA301" s="2127"/>
      <c r="AB301" s="2127"/>
      <c r="AC301" s="2127"/>
      <c r="AD301" s="2127"/>
      <c r="AE301" s="2128">
        <f>AE302+AE303</f>
        <v>6739.9362347178576</v>
      </c>
      <c r="AF301" s="2129">
        <f>SUM(AF302:AF303)</f>
        <v>1084</v>
      </c>
      <c r="AG301" s="2129">
        <f>SUM(AG302:AG303)</f>
        <v>2642.4310936370321</v>
      </c>
      <c r="AH301" s="2129">
        <f>SUM(AH302:AH303)</f>
        <v>1189.2263999798604</v>
      </c>
      <c r="AI301" s="2129">
        <f>SUM(AI302:AI303)</f>
        <v>1006.990675463356</v>
      </c>
      <c r="AJ301" s="2128">
        <f>SUM(AF301:AI301)</f>
        <v>5922.6481690802484</v>
      </c>
      <c r="AK301" s="2129">
        <f>AK304-AK300</f>
        <v>1036.0166666666667</v>
      </c>
      <c r="AL301" s="2129">
        <f>AL304-AL300</f>
        <v>3916.999362330158</v>
      </c>
      <c r="AM301" s="2129">
        <f>AM304-AM300</f>
        <v>1443.0666666666666</v>
      </c>
      <c r="AN301" s="2129">
        <f>AN304-AN300</f>
        <v>1020.45</v>
      </c>
      <c r="AO301" s="2128">
        <f>SUM(AK301:AN301)</f>
        <v>7416.5326956634908</v>
      </c>
      <c r="AP301" s="2129">
        <f>SUM(AP302:AP303)</f>
        <v>1595.56</v>
      </c>
      <c r="AQ301" s="2129">
        <f>SUM(AQ302:AQ303)</f>
        <v>3183.84</v>
      </c>
      <c r="AR301" s="2129">
        <f>SUM(AR302:AR303)</f>
        <v>1284.3083333333334</v>
      </c>
      <c r="AS301" s="2129">
        <f>SUM(AS302:AS303)</f>
        <v>1281.5999999999999</v>
      </c>
      <c r="AT301" s="2128">
        <f>SUM(AP301:AS301)</f>
        <v>7345.3083333333325</v>
      </c>
      <c r="AU301" s="2129">
        <f>SUM(AU302:AU303)</f>
        <v>872.01625000000001</v>
      </c>
      <c r="AV301" s="2129">
        <f>SUM(AV302:AV303)</f>
        <v>2523.8625000000002</v>
      </c>
      <c r="AW301" s="2129">
        <f>SUM(AW302:AW303)</f>
        <v>456.46226367187563</v>
      </c>
      <c r="AX301" s="2129">
        <f>SUM(AX302:AX303)</f>
        <v>247.90350683593775</v>
      </c>
      <c r="AY301" s="2128">
        <f>SUM(AU301:AX301)</f>
        <v>4100.2445205078138</v>
      </c>
      <c r="AZ301" s="2129"/>
      <c r="BA301" s="2129"/>
      <c r="BB301" s="2129"/>
      <c r="BC301" s="2129"/>
      <c r="BD301" s="2128"/>
      <c r="BE301" s="2130"/>
      <c r="BF301" s="2129"/>
      <c r="BG301" s="2130"/>
      <c r="BH301" s="2130"/>
      <c r="BI301" s="2131"/>
      <c r="BJ301" s="2130"/>
      <c r="BK301" s="2130"/>
      <c r="BL301" s="2130"/>
      <c r="BM301" s="2130"/>
      <c r="BN301" s="2131"/>
      <c r="BO301" s="2167"/>
      <c r="BP301" s="2167"/>
      <c r="BQ301" s="2167"/>
      <c r="BR301" s="2167"/>
      <c r="BS301" s="2167"/>
      <c r="BT301" s="2167"/>
      <c r="BU301" s="2167"/>
      <c r="BV301" s="2167"/>
      <c r="BW301" s="2167"/>
      <c r="BX301" s="2167"/>
      <c r="BY301" s="2120"/>
      <c r="BZ301" s="2131"/>
      <c r="CA301" s="2131"/>
      <c r="CB301" s="2131">
        <f>SUM(AM301:AN301,AP301:AQ301)</f>
        <v>7242.9166666666661</v>
      </c>
      <c r="CC301" s="2131">
        <f>SUM(AR301:AS301,AU301:AV301)</f>
        <v>5961.7870833333336</v>
      </c>
      <c r="CD301" s="2131">
        <f>SUM(AW301:AX301,AZ301:BA301)</f>
        <v>704.36577050781341</v>
      </c>
      <c r="CE301" s="2131">
        <f>SUM(BB301:BC301,BE301:BF301)</f>
        <v>0</v>
      </c>
      <c r="CF301" s="2131"/>
    </row>
    <row r="302" spans="1:96" s="1006" customFormat="1" hidden="1" outlineLevel="1">
      <c r="A302" s="2147" t="s">
        <v>259</v>
      </c>
      <c r="B302" s="2148"/>
      <c r="C302" s="2148"/>
      <c r="D302" s="2148"/>
      <c r="E302" s="2148"/>
      <c r="F302" s="2149"/>
      <c r="G302" s="2148"/>
      <c r="H302" s="2148"/>
      <c r="I302" s="2148"/>
      <c r="J302" s="2148"/>
      <c r="K302" s="2149"/>
      <c r="L302" s="2148"/>
      <c r="M302" s="2148"/>
      <c r="N302" s="2148"/>
      <c r="O302" s="2148"/>
      <c r="P302" s="2149"/>
      <c r="Q302" s="2148"/>
      <c r="R302" s="2148"/>
      <c r="S302" s="2148"/>
      <c r="T302" s="2148"/>
      <c r="U302" s="2149"/>
      <c r="V302" s="2148"/>
      <c r="W302" s="2148"/>
      <c r="X302" s="2148"/>
      <c r="Y302" s="2148"/>
      <c r="Z302" s="2149"/>
      <c r="AA302" s="2148"/>
      <c r="AB302" s="2148"/>
      <c r="AC302" s="2148"/>
      <c r="AD302" s="2148"/>
      <c r="AE302" s="2149">
        <v>650</v>
      </c>
      <c r="AF302" s="2150">
        <v>150</v>
      </c>
      <c r="AG302" s="2150">
        <v>300</v>
      </c>
      <c r="AH302" s="2150">
        <v>50</v>
      </c>
      <c r="AI302" s="2150">
        <v>50</v>
      </c>
      <c r="AJ302" s="2149">
        <f>SUM(AF302:AI302)</f>
        <v>550</v>
      </c>
      <c r="AK302" s="2150">
        <v>225</v>
      </c>
      <c r="AL302" s="2150">
        <f>AL301-AL303</f>
        <v>374.5682686931259</v>
      </c>
      <c r="AM302" s="2150">
        <v>50</v>
      </c>
      <c r="AN302" s="2150">
        <v>50</v>
      </c>
      <c r="AO302" s="2149">
        <f>SUM(AK302:AN302)</f>
        <v>699.5682686931259</v>
      </c>
      <c r="AP302" s="2150">
        <v>191.25</v>
      </c>
      <c r="AQ302" s="2150">
        <v>158.74558613519366</v>
      </c>
      <c r="AR302" s="2150">
        <f>AM302*0.5</f>
        <v>25</v>
      </c>
      <c r="AS302" s="2150">
        <f>AN302*0.75</f>
        <v>37.5</v>
      </c>
      <c r="AT302" s="2128">
        <f>SUM(AP302:AS302)</f>
        <v>412.49558613519366</v>
      </c>
      <c r="AU302" s="2150">
        <f>AU178</f>
        <v>32.5</v>
      </c>
      <c r="AV302" s="2150">
        <f>AV178</f>
        <v>33</v>
      </c>
      <c r="AW302" s="2150">
        <f>AW178</f>
        <v>25.431013671875576</v>
      </c>
      <c r="AX302" s="2150">
        <f>AX178</f>
        <v>12.715506835937788</v>
      </c>
      <c r="AY302" s="2128">
        <f>SUM(AU302:AX302)</f>
        <v>103.64652050781336</v>
      </c>
      <c r="AZ302" s="2150"/>
      <c r="BA302" s="2150"/>
      <c r="BB302" s="2150"/>
      <c r="BC302" s="2150"/>
      <c r="BD302" s="2128"/>
      <c r="BE302" s="2150"/>
      <c r="BF302" s="2150"/>
      <c r="BG302" s="2150"/>
      <c r="BH302" s="2150"/>
      <c r="BI302" s="2131"/>
      <c r="BJ302" s="2150"/>
      <c r="BK302" s="2150"/>
      <c r="BL302" s="2150"/>
      <c r="BM302" s="2150"/>
      <c r="BN302" s="2131"/>
      <c r="BO302" s="2167"/>
      <c r="BP302" s="2167"/>
      <c r="BQ302" s="2167"/>
      <c r="BR302" s="2167"/>
      <c r="BS302" s="2167"/>
      <c r="BT302" s="2167"/>
      <c r="BU302" s="2167"/>
      <c r="BV302" s="2167"/>
      <c r="BW302" s="2167"/>
      <c r="BX302" s="2167"/>
      <c r="BY302" s="2147"/>
      <c r="BZ302" s="2131"/>
      <c r="CA302" s="2131"/>
      <c r="CB302" s="2131">
        <f>SUM(AM302:AN302,AP302:AQ302)</f>
        <v>449.99558613519366</v>
      </c>
      <c r="CC302" s="2131">
        <f>SUM(AR302:AS302,AU302:AV302)</f>
        <v>128</v>
      </c>
      <c r="CD302" s="2131">
        <f>SUM(AW302:AX302,AZ302:BA302)</f>
        <v>38.146520507813364</v>
      </c>
      <c r="CE302" s="2131">
        <f>SUM(BB302:BC302,BE302:BF302)</f>
        <v>0</v>
      </c>
      <c r="CF302" s="2131"/>
    </row>
    <row r="303" spans="1:96" s="1006" customFormat="1" hidden="1" outlineLevel="1">
      <c r="A303" s="2151" t="s">
        <v>260</v>
      </c>
      <c r="B303" s="2152"/>
      <c r="C303" s="2152"/>
      <c r="D303" s="2152"/>
      <c r="E303" s="2152"/>
      <c r="F303" s="2153"/>
      <c r="G303" s="2152"/>
      <c r="H303" s="2152"/>
      <c r="I303" s="2152"/>
      <c r="J303" s="2152"/>
      <c r="K303" s="2153"/>
      <c r="L303" s="2152"/>
      <c r="M303" s="2152"/>
      <c r="N303" s="2152"/>
      <c r="O303" s="2152"/>
      <c r="P303" s="2153"/>
      <c r="Q303" s="2152"/>
      <c r="R303" s="2152"/>
      <c r="S303" s="2152"/>
      <c r="T303" s="2152"/>
      <c r="U303" s="2153"/>
      <c r="V303" s="2152"/>
      <c r="W303" s="2152"/>
      <c r="X303" s="2152"/>
      <c r="Y303" s="2152"/>
      <c r="Z303" s="2153"/>
      <c r="AA303" s="2152"/>
      <c r="AB303" s="2152"/>
      <c r="AC303" s="2152"/>
      <c r="AD303" s="2152"/>
      <c r="AE303" s="2153">
        <f>AE304-SUM(AE302,AE300)</f>
        <v>6089.9362347178576</v>
      </c>
      <c r="AF303" s="2152">
        <f>AF304-AF302-AF300</f>
        <v>934</v>
      </c>
      <c r="AG303" s="2152">
        <f>AG304-AG302-AG300</f>
        <v>2342.4310936370321</v>
      </c>
      <c r="AH303" s="2152">
        <f>AH304-AH302-AH300</f>
        <v>1139.2263999798604</v>
      </c>
      <c r="AI303" s="2152">
        <f>AI304-AI302-AI300</f>
        <v>956.99067546335596</v>
      </c>
      <c r="AJ303" s="2153">
        <f>SUM(AF303:AI303)</f>
        <v>5372.6481690802484</v>
      </c>
      <c r="AK303" s="2152">
        <f>AK304-AK302-AK300</f>
        <v>811.01666666666665</v>
      </c>
      <c r="AL303" s="2152">
        <f>AG303+1200</f>
        <v>3542.4310936370321</v>
      </c>
      <c r="AM303" s="2152">
        <f>AM304-AM302-AM300</f>
        <v>1393.0666666666666</v>
      </c>
      <c r="AN303" s="2152">
        <f>AN304-AN302-AN300</f>
        <v>970.45</v>
      </c>
      <c r="AO303" s="2153">
        <f>SUM(AK303:AN303)</f>
        <v>6716.9644269703649</v>
      </c>
      <c r="AP303" s="2152">
        <f>AP304-AP302-AP300</f>
        <v>1404.31</v>
      </c>
      <c r="AQ303" s="2152">
        <f>AQ304-AQ302-AQ300</f>
        <v>3025.0944138648065</v>
      </c>
      <c r="AR303" s="2152">
        <f>AR304-AR302-AR300</f>
        <v>1259.3083333333334</v>
      </c>
      <c r="AS303" s="2152">
        <f>AS304-AS302-AS300</f>
        <v>1244.0999999999999</v>
      </c>
      <c r="AT303" s="2153">
        <f>SUM(AP303:AS303)</f>
        <v>6932.8127471981388</v>
      </c>
      <c r="AU303" s="2152">
        <f>AU175</f>
        <v>839.51625000000001</v>
      </c>
      <c r="AV303" s="2152">
        <f>AV175</f>
        <v>2490.8625000000002</v>
      </c>
      <c r="AW303" s="2152">
        <f>AW175</f>
        <v>431.03125000000006</v>
      </c>
      <c r="AX303" s="2152">
        <f>AX175</f>
        <v>235.18799999999996</v>
      </c>
      <c r="AY303" s="2153">
        <f>SUM(AU303:AX303)</f>
        <v>3996.5980000000004</v>
      </c>
      <c r="AZ303" s="2152"/>
      <c r="BA303" s="2152"/>
      <c r="BB303" s="2152"/>
      <c r="BC303" s="2152"/>
      <c r="BD303" s="2153"/>
      <c r="BE303" s="2152"/>
      <c r="BF303" s="2152"/>
      <c r="BG303" s="2152"/>
      <c r="BH303" s="2152"/>
      <c r="BI303" s="2153"/>
      <c r="BJ303" s="2152"/>
      <c r="BK303" s="2152"/>
      <c r="BL303" s="2152"/>
      <c r="BM303" s="2152"/>
      <c r="BN303" s="2153"/>
      <c r="BO303" s="2148"/>
      <c r="BP303" s="2148"/>
      <c r="BQ303" s="2148"/>
      <c r="BR303" s="2148"/>
      <c r="BS303" s="2148"/>
      <c r="BT303" s="2148"/>
      <c r="BU303" s="2148"/>
      <c r="BV303" s="2148"/>
      <c r="BW303" s="2148"/>
      <c r="BX303" s="2148"/>
      <c r="BY303" s="2147"/>
      <c r="BZ303" s="2153"/>
      <c r="CA303" s="2153"/>
      <c r="CB303" s="2153">
        <f>SUM(AM303:AN303,AP303:AQ303)</f>
        <v>6792.9210805314724</v>
      </c>
      <c r="CC303" s="2153">
        <f>SUM(AR303:AS303,AU303:AV303)</f>
        <v>5833.7870833333336</v>
      </c>
      <c r="CD303" s="2153">
        <f>SUM(AW303:AX303,AZ303:BA303)</f>
        <v>666.21924999999999</v>
      </c>
      <c r="CE303" s="2153">
        <f>SUM(BB303:BC303,BE303:BF303)</f>
        <v>0</v>
      </c>
      <c r="CF303" s="2153"/>
    </row>
    <row r="304" spans="1:96" hidden="1" outlineLevel="1">
      <c r="A304" s="2137" t="s">
        <v>0</v>
      </c>
      <c r="B304" s="2138"/>
      <c r="C304" s="2138"/>
      <c r="D304" s="2138"/>
      <c r="E304" s="2138"/>
      <c r="F304" s="2139"/>
      <c r="G304" s="2138"/>
      <c r="H304" s="2138"/>
      <c r="I304" s="2138"/>
      <c r="J304" s="2138"/>
      <c r="K304" s="2139"/>
      <c r="L304" s="2138"/>
      <c r="M304" s="2138"/>
      <c r="N304" s="2138"/>
      <c r="O304" s="2138"/>
      <c r="P304" s="2139"/>
      <c r="Q304" s="2138"/>
      <c r="R304" s="2138"/>
      <c r="S304" s="2138"/>
      <c r="T304" s="2138"/>
      <c r="U304" s="2139"/>
      <c r="V304" s="2138"/>
      <c r="W304" s="2138"/>
      <c r="X304" s="2138"/>
      <c r="Y304" s="2138"/>
      <c r="Z304" s="2139"/>
      <c r="AA304" s="2138">
        <f>'Rev Overview'!BA101</f>
        <v>1366</v>
      </c>
      <c r="AB304" s="2138">
        <f>'Rev Overview'!BB101</f>
        <v>3415</v>
      </c>
      <c r="AC304" s="2138">
        <f>'Rev Overview'!BC101</f>
        <v>953</v>
      </c>
      <c r="AD304" s="2138">
        <f>'Rev Overview'!BD101</f>
        <v>1006</v>
      </c>
      <c r="AE304" s="2139">
        <f>'Rev Overview'!BE101</f>
        <v>6740</v>
      </c>
      <c r="AF304" s="2140">
        <f>'Rev Overview'!BF101</f>
        <v>1084</v>
      </c>
      <c r="AG304" s="2140">
        <f>'Rev Overview'!BG101</f>
        <v>2808</v>
      </c>
      <c r="AH304" s="2140">
        <f>'Rev Overview'!BH101</f>
        <v>1402</v>
      </c>
      <c r="AI304" s="2140">
        <f>'Rev Overview'!BI101</f>
        <v>1167</v>
      </c>
      <c r="AJ304" s="2139">
        <f>'Rev Overview'!BJ101</f>
        <v>6461</v>
      </c>
      <c r="AK304" s="2140">
        <f>'Rev Overview'!BK101</f>
        <v>1409</v>
      </c>
      <c r="AL304" s="2140">
        <f>'Rev Overview'!BL101</f>
        <v>4470</v>
      </c>
      <c r="AM304" s="2140">
        <f>'Rev Overview'!BM101</f>
        <v>1872</v>
      </c>
      <c r="AN304" s="2140">
        <f>'Rev Overview'!BN101</f>
        <v>1342</v>
      </c>
      <c r="AO304" s="2139">
        <f t="shared" ref="AO304:AY304" si="510">SUM(AO300:AO301)</f>
        <v>9093</v>
      </c>
      <c r="AP304" s="2140">
        <f>'Rev Overview'!BP101</f>
        <v>2453</v>
      </c>
      <c r="AQ304" s="2140">
        <f>'Rev Overview'!BQ101</f>
        <v>3997</v>
      </c>
      <c r="AR304" s="2140">
        <f>'Rev Overview'!BR101</f>
        <v>1800</v>
      </c>
      <c r="AS304" s="2140">
        <f>'Rev Overview'!BS101</f>
        <v>1933</v>
      </c>
      <c r="AT304" s="2154">
        <f t="shared" si="510"/>
        <v>10183</v>
      </c>
      <c r="AU304" s="2140">
        <f t="shared" si="510"/>
        <v>1544.0162500000001</v>
      </c>
      <c r="AV304" s="2140">
        <f t="shared" si="510"/>
        <v>3875.8625000000002</v>
      </c>
      <c r="AW304" s="2140">
        <f t="shared" si="510"/>
        <v>1567.4622636718757</v>
      </c>
      <c r="AX304" s="2140">
        <f t="shared" si="510"/>
        <v>1212.9035068359378</v>
      </c>
      <c r="AY304" s="2154">
        <f t="shared" si="510"/>
        <v>8200.2445205078147</v>
      </c>
      <c r="AZ304" s="2140"/>
      <c r="BA304" s="2140"/>
      <c r="BB304" s="2140"/>
      <c r="BC304" s="2140"/>
      <c r="BD304" s="2154"/>
      <c r="BE304" s="2140"/>
      <c r="BF304" s="2140"/>
      <c r="BG304" s="2140"/>
      <c r="BH304" s="2140"/>
      <c r="BI304" s="2154"/>
      <c r="BJ304" s="2140"/>
      <c r="BK304" s="2140"/>
      <c r="BL304" s="2140"/>
      <c r="BM304" s="2140"/>
      <c r="BN304" s="2154"/>
      <c r="BO304" s="2138"/>
      <c r="BP304" s="2138"/>
      <c r="BQ304" s="2138"/>
      <c r="BR304" s="2138"/>
      <c r="BS304" s="2138"/>
      <c r="BT304" s="2138"/>
      <c r="BU304" s="2138"/>
      <c r="BV304" s="2138"/>
      <c r="BW304" s="2138"/>
      <c r="BX304" s="2138"/>
      <c r="BY304" s="2120"/>
      <c r="BZ304" s="2154"/>
      <c r="CA304" s="2154"/>
      <c r="CB304" s="2154">
        <f>SUM(AM304:AN304,AP304:AQ304)</f>
        <v>9664</v>
      </c>
      <c r="CC304" s="2154">
        <f>SUM(AR304:AS304,AU304:AV304)</f>
        <v>9152.8787499999999</v>
      </c>
      <c r="CD304" s="2154">
        <f>SUM(AW304:AX304,AZ304:BA304)</f>
        <v>2780.3657705078135</v>
      </c>
      <c r="CE304" s="2154">
        <f>SUM(BB304:BC304,BE304:BF304)</f>
        <v>0</v>
      </c>
      <c r="CF304" s="2154"/>
    </row>
    <row r="305" spans="1:84" ht="6.75" hidden="1" customHeight="1" outlineLevel="1">
      <c r="A305" s="2120"/>
      <c r="B305" s="2127"/>
      <c r="C305" s="2127"/>
      <c r="D305" s="2127"/>
      <c r="E305" s="2127"/>
      <c r="F305" s="2128"/>
      <c r="G305" s="2127"/>
      <c r="H305" s="2127"/>
      <c r="I305" s="2127"/>
      <c r="J305" s="2127"/>
      <c r="K305" s="2128"/>
      <c r="L305" s="2127"/>
      <c r="M305" s="2127"/>
      <c r="N305" s="2127"/>
      <c r="O305" s="2127"/>
      <c r="P305" s="2128"/>
      <c r="Q305" s="2127"/>
      <c r="R305" s="2127"/>
      <c r="S305" s="2127"/>
      <c r="T305" s="2127"/>
      <c r="U305" s="2128"/>
      <c r="V305" s="2127"/>
      <c r="W305" s="2127"/>
      <c r="X305" s="2127"/>
      <c r="Y305" s="2127"/>
      <c r="Z305" s="2128"/>
      <c r="AA305" s="2127"/>
      <c r="AB305" s="2127"/>
      <c r="AC305" s="2127"/>
      <c r="AD305" s="2127"/>
      <c r="AE305" s="2128"/>
      <c r="AF305" s="2155"/>
      <c r="AG305" s="2156"/>
      <c r="AH305" s="2157"/>
      <c r="AI305" s="2156"/>
      <c r="AJ305" s="2128"/>
      <c r="AK305" s="2156"/>
      <c r="AL305" s="2157"/>
      <c r="AM305" s="2157"/>
      <c r="AN305" s="2156"/>
      <c r="AO305" s="2158"/>
      <c r="AP305" s="2156"/>
      <c r="AQ305" s="2156"/>
      <c r="AR305" s="2156"/>
      <c r="AS305" s="2156"/>
      <c r="AT305" s="2158"/>
      <c r="AU305" s="2156"/>
      <c r="AV305" s="2156"/>
      <c r="AW305" s="2156"/>
      <c r="AX305" s="2156"/>
      <c r="AY305" s="2158"/>
      <c r="AZ305" s="2156"/>
      <c r="BA305" s="2156"/>
      <c r="BB305" s="2156"/>
      <c r="BC305" s="2156"/>
      <c r="BD305" s="2158"/>
      <c r="BE305" s="2159"/>
      <c r="BF305" s="2156"/>
      <c r="BG305" s="2159"/>
      <c r="BH305" s="2159"/>
      <c r="BI305" s="2160"/>
      <c r="BJ305" s="2159"/>
      <c r="BK305" s="2159"/>
      <c r="BL305" s="2159"/>
      <c r="BM305" s="2159"/>
      <c r="BN305" s="2160"/>
      <c r="BO305" s="2637"/>
      <c r="BP305" s="2637"/>
      <c r="BQ305" s="2637"/>
      <c r="BR305" s="2637"/>
      <c r="BS305" s="2637"/>
      <c r="BT305" s="2637"/>
      <c r="BU305" s="2637"/>
      <c r="BV305" s="2637"/>
      <c r="BW305" s="2637"/>
      <c r="BX305" s="2637"/>
      <c r="BY305" s="2120"/>
      <c r="BZ305" s="2160"/>
      <c r="CA305" s="2160"/>
      <c r="CB305" s="2160"/>
      <c r="CC305" s="2160"/>
      <c r="CD305" s="2160"/>
      <c r="CE305" s="2160"/>
      <c r="CF305" s="2160"/>
    </row>
    <row r="306" spans="1:84" hidden="1" outlineLevel="1">
      <c r="A306" s="2161" t="s">
        <v>996</v>
      </c>
      <c r="B306" s="2162"/>
      <c r="C306" s="2162"/>
      <c r="D306" s="2162"/>
      <c r="E306" s="2162"/>
      <c r="F306" s="2163"/>
      <c r="G306" s="2162"/>
      <c r="H306" s="2162"/>
      <c r="I306" s="2162"/>
      <c r="J306" s="2162"/>
      <c r="K306" s="2163"/>
      <c r="L306" s="2162"/>
      <c r="M306" s="2162"/>
      <c r="N306" s="2162"/>
      <c r="O306" s="2162"/>
      <c r="P306" s="2163"/>
      <c r="Q306" s="2162"/>
      <c r="R306" s="2162"/>
      <c r="S306" s="2162"/>
      <c r="T306" s="2162"/>
      <c r="U306" s="2163"/>
      <c r="V306" s="2162"/>
      <c r="W306" s="2162"/>
      <c r="X306" s="2162"/>
      <c r="Y306" s="2162"/>
      <c r="Z306" s="2163"/>
      <c r="AA306" s="2162"/>
      <c r="AB306" s="2162"/>
      <c r="AC306" s="2162"/>
      <c r="AD306" s="2162"/>
      <c r="AE306" s="2163"/>
      <c r="AF306" s="2164"/>
      <c r="AG306" s="2162"/>
      <c r="AH306" s="2162"/>
      <c r="AI306" s="2162"/>
      <c r="AJ306" s="2163"/>
      <c r="AK306" s="2165"/>
      <c r="AL306" s="2162"/>
      <c r="AM306" s="2162"/>
      <c r="AN306" s="2162"/>
      <c r="AO306" s="2163"/>
      <c r="AP306" s="2162"/>
      <c r="AQ306" s="2162"/>
      <c r="AR306" s="2162"/>
      <c r="AS306" s="2162"/>
      <c r="AT306" s="2163"/>
      <c r="AU306" s="2162"/>
      <c r="AV306" s="2162"/>
      <c r="AW306" s="2162"/>
      <c r="AX306" s="2162"/>
      <c r="AY306" s="2163"/>
      <c r="AZ306" s="2162"/>
      <c r="BA306" s="2162"/>
      <c r="BB306" s="2162"/>
      <c r="BC306" s="2162"/>
      <c r="BD306" s="2163"/>
      <c r="BE306" s="2162"/>
      <c r="BF306" s="2162"/>
      <c r="BG306" s="2162"/>
      <c r="BH306" s="2162"/>
      <c r="BI306" s="2163"/>
      <c r="BJ306" s="2162"/>
      <c r="BK306" s="2162"/>
      <c r="BL306" s="2162"/>
      <c r="BM306" s="2162"/>
      <c r="BN306" s="2163"/>
      <c r="BO306" s="2162"/>
      <c r="BP306" s="2162"/>
      <c r="BQ306" s="2162"/>
      <c r="BR306" s="2162"/>
      <c r="BS306" s="2162"/>
      <c r="BT306" s="2162"/>
      <c r="BU306" s="2162"/>
      <c r="BV306" s="2162"/>
      <c r="BW306" s="2162"/>
      <c r="BX306" s="2162"/>
      <c r="BY306" s="2120"/>
      <c r="BZ306" s="2163"/>
      <c r="CA306" s="2163"/>
      <c r="CB306" s="2163"/>
      <c r="CC306" s="2163"/>
      <c r="CD306" s="2163"/>
      <c r="CE306" s="2163"/>
      <c r="CF306" s="2163"/>
    </row>
    <row r="307" spans="1:84" hidden="1" outlineLevel="1">
      <c r="A307" s="2132" t="s">
        <v>985</v>
      </c>
      <c r="B307" s="2133"/>
      <c r="C307" s="2133"/>
      <c r="D307" s="2133"/>
      <c r="E307" s="2133"/>
      <c r="F307" s="2134"/>
      <c r="G307" s="2133"/>
      <c r="H307" s="2133"/>
      <c r="I307" s="2133"/>
      <c r="J307" s="2133"/>
      <c r="K307" s="2134"/>
      <c r="L307" s="2133"/>
      <c r="M307" s="2133"/>
      <c r="N307" s="2133"/>
      <c r="O307" s="2133"/>
      <c r="P307" s="2134"/>
      <c r="Q307" s="2133"/>
      <c r="R307" s="2133"/>
      <c r="S307" s="2133"/>
      <c r="T307" s="2133"/>
      <c r="U307" s="2134"/>
      <c r="V307" s="2133"/>
      <c r="W307" s="2133"/>
      <c r="X307" s="2133"/>
      <c r="Y307" s="2133"/>
      <c r="Z307" s="2134"/>
      <c r="AA307" s="2133"/>
      <c r="AB307" s="2133"/>
      <c r="AC307" s="2133"/>
      <c r="AD307" s="2133"/>
      <c r="AE307" s="2134">
        <v>0</v>
      </c>
      <c r="AF307" s="2133">
        <f>AF225</f>
        <v>0</v>
      </c>
      <c r="AG307" s="2133">
        <f>AG225</f>
        <v>0</v>
      </c>
      <c r="AH307" s="2133">
        <f>AH225</f>
        <v>0</v>
      </c>
      <c r="AI307" s="2133">
        <f>AI225</f>
        <v>0</v>
      </c>
      <c r="AJ307" s="2134">
        <f>SUM(AF307:AI307)</f>
        <v>0</v>
      </c>
      <c r="AK307" s="2133">
        <f>AK225</f>
        <v>0</v>
      </c>
      <c r="AL307" s="2133">
        <f>AL225</f>
        <v>0</v>
      </c>
      <c r="AM307" s="2133">
        <f>AM225</f>
        <v>0</v>
      </c>
      <c r="AN307" s="2133">
        <f>AN308</f>
        <v>1982</v>
      </c>
      <c r="AO307" s="2134">
        <f>SUM(AK307:AN307)</f>
        <v>1982</v>
      </c>
      <c r="AP307" s="2133">
        <f>AP308</f>
        <v>2609</v>
      </c>
      <c r="AQ307" s="2133">
        <f>AQ308</f>
        <v>2284</v>
      </c>
      <c r="AR307" s="2133">
        <f>AR308</f>
        <v>1397</v>
      </c>
      <c r="AS307" s="2133">
        <f>AS308</f>
        <v>1234</v>
      </c>
      <c r="AT307" s="2134">
        <f>SUM(AP307:AS307)</f>
        <v>7524</v>
      </c>
      <c r="AU307" s="2133">
        <f>AU225</f>
        <v>922.02060000000006</v>
      </c>
      <c r="AV307" s="2133">
        <f>AV225</f>
        <v>942.15000000000009</v>
      </c>
      <c r="AW307" s="2133">
        <f>AW225</f>
        <v>780.923</v>
      </c>
      <c r="AX307" s="2133">
        <f>AX225</f>
        <v>353.64</v>
      </c>
      <c r="AY307" s="2134">
        <f>SUM(AU307:AX307)</f>
        <v>2998.7336</v>
      </c>
      <c r="AZ307" s="2133"/>
      <c r="BA307" s="2133"/>
      <c r="BB307" s="2133"/>
      <c r="BC307" s="2133"/>
      <c r="BD307" s="2134"/>
      <c r="BE307" s="2135"/>
      <c r="BF307" s="2133"/>
      <c r="BG307" s="2135"/>
      <c r="BH307" s="2135"/>
      <c r="BI307" s="2136"/>
      <c r="BJ307" s="2135"/>
      <c r="BK307" s="2135"/>
      <c r="BL307" s="2135"/>
      <c r="BM307" s="2135"/>
      <c r="BN307" s="2136"/>
      <c r="BO307" s="2167"/>
      <c r="BP307" s="2167"/>
      <c r="BQ307" s="2167"/>
      <c r="BR307" s="2167"/>
      <c r="BS307" s="2167"/>
      <c r="BT307" s="2167"/>
      <c r="BU307" s="2167"/>
      <c r="BV307" s="2167"/>
      <c r="BW307" s="2167"/>
      <c r="BX307" s="2167"/>
      <c r="BY307" s="2120"/>
      <c r="BZ307" s="2136"/>
      <c r="CA307" s="2136"/>
      <c r="CB307" s="2136"/>
      <c r="CC307" s="2136"/>
      <c r="CD307" s="2136"/>
      <c r="CE307" s="2136"/>
      <c r="CF307" s="2136"/>
    </row>
    <row r="308" spans="1:84" hidden="1" outlineLevel="1">
      <c r="A308" s="2137" t="s">
        <v>0</v>
      </c>
      <c r="B308" s="2138"/>
      <c r="C308" s="2138"/>
      <c r="D308" s="2138"/>
      <c r="E308" s="2138"/>
      <c r="F308" s="2139"/>
      <c r="G308" s="2138"/>
      <c r="H308" s="2138"/>
      <c r="I308" s="2138"/>
      <c r="J308" s="2138"/>
      <c r="K308" s="2139"/>
      <c r="L308" s="2138"/>
      <c r="M308" s="2138"/>
      <c r="N308" s="2138"/>
      <c r="O308" s="2138"/>
      <c r="P308" s="2139"/>
      <c r="Q308" s="2138"/>
      <c r="R308" s="2138"/>
      <c r="S308" s="2138"/>
      <c r="T308" s="2138"/>
      <c r="U308" s="2139"/>
      <c r="V308" s="2138"/>
      <c r="W308" s="2138"/>
      <c r="X308" s="2138"/>
      <c r="Y308" s="2138"/>
      <c r="Z308" s="2139"/>
      <c r="AA308" s="2138">
        <f>'Rev Overview'!BA111</f>
        <v>0</v>
      </c>
      <c r="AB308" s="2138">
        <f>'Rev Overview'!BB111</f>
        <v>0</v>
      </c>
      <c r="AC308" s="2138">
        <f>'Rev Overview'!BC111</f>
        <v>0</v>
      </c>
      <c r="AD308" s="2138">
        <f>'Rev Overview'!BD111</f>
        <v>0</v>
      </c>
      <c r="AE308" s="2139">
        <f>'Rev Overview'!BE111</f>
        <v>0</v>
      </c>
      <c r="AF308" s="2140">
        <f>'Rev Overview'!BF111</f>
        <v>0</v>
      </c>
      <c r="AG308" s="2140">
        <f>'Rev Overview'!BG111</f>
        <v>0</v>
      </c>
      <c r="AH308" s="2140">
        <f>'Rev Overview'!BH111</f>
        <v>0</v>
      </c>
      <c r="AI308" s="2140">
        <f>'Rev Overview'!BI111</f>
        <v>0</v>
      </c>
      <c r="AJ308" s="2139">
        <f>'Rev Overview'!BJ111</f>
        <v>0</v>
      </c>
      <c r="AK308" s="2140">
        <f>'Rev Overview'!BK107</f>
        <v>0</v>
      </c>
      <c r="AL308" s="2140">
        <f>'Rev Overview'!BL107</f>
        <v>0</v>
      </c>
      <c r="AM308" s="2140">
        <f>'Rev Overview'!BM107</f>
        <v>0</v>
      </c>
      <c r="AN308" s="2140">
        <f>'Rev Overview'!BN107</f>
        <v>1982</v>
      </c>
      <c r="AO308" s="2139">
        <f t="shared" ref="AO308:AY308" si="511">SUM(AO307:AO307)</f>
        <v>1982</v>
      </c>
      <c r="AP308" s="2140">
        <f>'Rev Overview'!BP107</f>
        <v>2609</v>
      </c>
      <c r="AQ308" s="2140">
        <f>'Rev Overview'!BQ107</f>
        <v>2284</v>
      </c>
      <c r="AR308" s="2140">
        <f>'Rev Overview'!BR107</f>
        <v>1397</v>
      </c>
      <c r="AS308" s="2140">
        <f>'Rev Overview'!BS107</f>
        <v>1234</v>
      </c>
      <c r="AT308" s="2154">
        <f t="shared" si="511"/>
        <v>7524</v>
      </c>
      <c r="AU308" s="2140">
        <f t="shared" si="511"/>
        <v>922.02060000000006</v>
      </c>
      <c r="AV308" s="2140">
        <f t="shared" si="511"/>
        <v>942.15000000000009</v>
      </c>
      <c r="AW308" s="2140">
        <f t="shared" si="511"/>
        <v>780.923</v>
      </c>
      <c r="AX308" s="2140">
        <f t="shared" si="511"/>
        <v>353.64</v>
      </c>
      <c r="AY308" s="2154">
        <f t="shared" si="511"/>
        <v>2998.7336</v>
      </c>
      <c r="AZ308" s="2140"/>
      <c r="BA308" s="2140"/>
      <c r="BB308" s="2140"/>
      <c r="BC308" s="2140"/>
      <c r="BD308" s="2154"/>
      <c r="BE308" s="2140"/>
      <c r="BF308" s="2140"/>
      <c r="BG308" s="2140"/>
      <c r="BH308" s="2140"/>
      <c r="BI308" s="2154"/>
      <c r="BJ308" s="2140"/>
      <c r="BK308" s="2140"/>
      <c r="BL308" s="2140"/>
      <c r="BM308" s="2140"/>
      <c r="BN308" s="2154"/>
      <c r="BO308" s="2138"/>
      <c r="BP308" s="2138"/>
      <c r="BQ308" s="2138"/>
      <c r="BR308" s="2138"/>
      <c r="BS308" s="2138"/>
      <c r="BT308" s="2138"/>
      <c r="BU308" s="2138"/>
      <c r="BV308" s="2138"/>
      <c r="BW308" s="2138"/>
      <c r="BX308" s="2138"/>
      <c r="BY308" s="2120"/>
      <c r="BZ308" s="2154"/>
      <c r="CA308" s="2154"/>
      <c r="CB308" s="2154">
        <f>SUM(AM308:AN308,AP308:AQ308)</f>
        <v>6875</v>
      </c>
      <c r="CC308" s="2154">
        <f>SUM(AR308:AS308,AU308:AV308)</f>
        <v>4495.1705999999995</v>
      </c>
      <c r="CD308" s="2154">
        <f>SUM(AW308:AX308,AZ308:BA308)</f>
        <v>1134.5630000000001</v>
      </c>
      <c r="CE308" s="2154">
        <f>SUM(BB308:BC308,BE308:BF308)</f>
        <v>0</v>
      </c>
      <c r="CF308" s="2154"/>
    </row>
    <row r="309" spans="1:84" ht="6.75" hidden="1" customHeight="1" outlineLevel="1">
      <c r="A309" s="2120"/>
      <c r="B309" s="2127"/>
      <c r="C309" s="2127"/>
      <c r="D309" s="2127"/>
      <c r="E309" s="2127"/>
      <c r="F309" s="2128"/>
      <c r="G309" s="2127"/>
      <c r="H309" s="2127"/>
      <c r="I309" s="2127"/>
      <c r="J309" s="2127"/>
      <c r="K309" s="2128"/>
      <c r="L309" s="2127"/>
      <c r="M309" s="2127"/>
      <c r="N309" s="2127"/>
      <c r="O309" s="2127"/>
      <c r="P309" s="2128"/>
      <c r="Q309" s="2127"/>
      <c r="R309" s="2127"/>
      <c r="S309" s="2127"/>
      <c r="T309" s="2127"/>
      <c r="U309" s="2128"/>
      <c r="V309" s="2127"/>
      <c r="W309" s="2127"/>
      <c r="X309" s="2127"/>
      <c r="Y309" s="2127"/>
      <c r="Z309" s="2128"/>
      <c r="AA309" s="2127"/>
      <c r="AB309" s="2127"/>
      <c r="AC309" s="2127"/>
      <c r="AD309" s="2127"/>
      <c r="AE309" s="2128"/>
      <c r="AF309" s="2155"/>
      <c r="AG309" s="2156"/>
      <c r="AH309" s="2157"/>
      <c r="AI309" s="2156"/>
      <c r="AJ309" s="2128"/>
      <c r="AK309" s="2156"/>
      <c r="AL309" s="2157"/>
      <c r="AM309" s="2157"/>
      <c r="AN309" s="2156"/>
      <c r="AO309" s="2158"/>
      <c r="AP309" s="2156"/>
      <c r="AQ309" s="2156"/>
      <c r="AR309" s="2156"/>
      <c r="AS309" s="2156"/>
      <c r="AT309" s="2158"/>
      <c r="AU309" s="2156"/>
      <c r="AV309" s="2156"/>
      <c r="AW309" s="2156"/>
      <c r="AX309" s="2156"/>
      <c r="AY309" s="2158"/>
      <c r="AZ309" s="2156"/>
      <c r="BA309" s="2156"/>
      <c r="BB309" s="2156"/>
      <c r="BC309" s="2156"/>
      <c r="BD309" s="2158"/>
      <c r="BE309" s="2159"/>
      <c r="BF309" s="2156"/>
      <c r="BG309" s="2159"/>
      <c r="BH309" s="2159"/>
      <c r="BI309" s="2160"/>
      <c r="BJ309" s="2159"/>
      <c r="BK309" s="2159"/>
      <c r="BL309" s="2159"/>
      <c r="BM309" s="2159"/>
      <c r="BN309" s="2160"/>
      <c r="BO309" s="2637"/>
      <c r="BP309" s="2637"/>
      <c r="BQ309" s="2637"/>
      <c r="BR309" s="2637"/>
      <c r="BS309" s="2637"/>
      <c r="BT309" s="2637"/>
      <c r="BU309" s="2637"/>
      <c r="BV309" s="2637"/>
      <c r="BW309" s="2637"/>
      <c r="BX309" s="2637"/>
      <c r="BY309" s="2120"/>
      <c r="BZ309" s="2160"/>
      <c r="CA309" s="2160"/>
      <c r="CB309" s="2160"/>
      <c r="CC309" s="2160"/>
      <c r="CD309" s="2160"/>
      <c r="CE309" s="2160"/>
      <c r="CF309" s="2160"/>
    </row>
    <row r="310" spans="1:84" hidden="1" outlineLevel="1">
      <c r="A310" s="2121" t="s">
        <v>499</v>
      </c>
      <c r="B310" s="2122"/>
      <c r="C310" s="2122"/>
      <c r="D310" s="2122"/>
      <c r="E310" s="2122"/>
      <c r="F310" s="2123"/>
      <c r="G310" s="2122"/>
      <c r="H310" s="2122"/>
      <c r="I310" s="2122"/>
      <c r="J310" s="2122"/>
      <c r="K310" s="2123"/>
      <c r="L310" s="2122"/>
      <c r="M310" s="2122"/>
      <c r="N310" s="2122"/>
      <c r="O310" s="2122"/>
      <c r="P310" s="2123"/>
      <c r="Q310" s="2122"/>
      <c r="R310" s="2122"/>
      <c r="S310" s="2122"/>
      <c r="T310" s="2122"/>
      <c r="U310" s="2123"/>
      <c r="V310" s="2122"/>
      <c r="W310" s="2122"/>
      <c r="X310" s="2122"/>
      <c r="Y310" s="2122"/>
      <c r="Z310" s="2123"/>
      <c r="AA310" s="2122"/>
      <c r="AB310" s="2122"/>
      <c r="AC310" s="2122"/>
      <c r="AD310" s="2122"/>
      <c r="AE310" s="2123"/>
      <c r="AF310" s="2124"/>
      <c r="AG310" s="2122"/>
      <c r="AH310" s="2122"/>
      <c r="AI310" s="2122"/>
      <c r="AJ310" s="2123"/>
      <c r="AK310" s="2125"/>
      <c r="AL310" s="2122"/>
      <c r="AM310" s="2122"/>
      <c r="AN310" s="2122"/>
      <c r="AO310" s="2123"/>
      <c r="AP310" s="2122"/>
      <c r="AQ310" s="2122"/>
      <c r="AR310" s="2122"/>
      <c r="AS310" s="2122"/>
      <c r="AT310" s="2123"/>
      <c r="AU310" s="2122"/>
      <c r="AV310" s="2122"/>
      <c r="AW310" s="2122"/>
      <c r="AX310" s="2122"/>
      <c r="AY310" s="2123"/>
      <c r="AZ310" s="2122"/>
      <c r="BA310" s="2122"/>
      <c r="BB310" s="2122"/>
      <c r="BC310" s="2122"/>
      <c r="BD310" s="2123"/>
      <c r="BE310" s="2122"/>
      <c r="BF310" s="2122"/>
      <c r="BG310" s="2122"/>
      <c r="BH310" s="2122"/>
      <c r="BI310" s="2123"/>
      <c r="BJ310" s="2122"/>
      <c r="BK310" s="2122"/>
      <c r="BL310" s="2122"/>
      <c r="BM310" s="2122"/>
      <c r="BN310" s="2123"/>
      <c r="BO310" s="2162"/>
      <c r="BP310" s="2162"/>
      <c r="BQ310" s="2162"/>
      <c r="BR310" s="2162"/>
      <c r="BS310" s="2162"/>
      <c r="BT310" s="2162"/>
      <c r="BU310" s="2162"/>
      <c r="BV310" s="2162"/>
      <c r="BW310" s="2162"/>
      <c r="BX310" s="2162"/>
      <c r="BY310" s="2120"/>
      <c r="BZ310" s="2123"/>
      <c r="CA310" s="2123"/>
      <c r="CB310" s="2123"/>
      <c r="CC310" s="2123"/>
      <c r="CD310" s="2123"/>
      <c r="CE310" s="2123"/>
      <c r="CF310" s="2123"/>
    </row>
    <row r="311" spans="1:84" hidden="1" outlineLevel="1">
      <c r="A311" s="2120" t="s">
        <v>1</v>
      </c>
      <c r="B311" s="2127"/>
      <c r="C311" s="2127"/>
      <c r="D311" s="2127"/>
      <c r="E311" s="2127"/>
      <c r="F311" s="2128"/>
      <c r="G311" s="2127"/>
      <c r="H311" s="2127"/>
      <c r="I311" s="2127"/>
      <c r="J311" s="2127"/>
      <c r="K311" s="2128"/>
      <c r="L311" s="2127"/>
      <c r="M311" s="2127"/>
      <c r="N311" s="2127"/>
      <c r="O311" s="2127"/>
      <c r="P311" s="2128"/>
      <c r="Q311" s="2127"/>
      <c r="R311" s="2127"/>
      <c r="S311" s="2127"/>
      <c r="T311" s="2127"/>
      <c r="U311" s="2128"/>
      <c r="V311" s="2127"/>
      <c r="W311" s="2127"/>
      <c r="X311" s="2127"/>
      <c r="Y311" s="2127"/>
      <c r="Z311" s="2128"/>
      <c r="AA311" s="2127"/>
      <c r="AB311" s="2127"/>
      <c r="AC311" s="2127"/>
      <c r="AD311" s="2127"/>
      <c r="AE311" s="2128">
        <f>(AE294/0.9)*0.1</f>
        <v>38.717236560523268</v>
      </c>
      <c r="AF311" s="2129">
        <f>(AF294/0.9)*0.1</f>
        <v>8.2011439149402321</v>
      </c>
      <c r="AG311" s="2129">
        <v>250</v>
      </c>
      <c r="AH311" s="2129">
        <f>(AH294/0.9)*0.1</f>
        <v>8.4662242350925521</v>
      </c>
      <c r="AI311" s="2129">
        <f>(AI294/0.9)*0.1</f>
        <v>5.5555555555555562</v>
      </c>
      <c r="AJ311" s="2128">
        <f t="shared" ref="AJ311:AJ317" si="512">SUM(AF311:AI311)</f>
        <v>272.22292370558836</v>
      </c>
      <c r="AK311" s="2129">
        <f>(AK294/0.9)*0.1</f>
        <v>8.2011439149402321</v>
      </c>
      <c r="AL311" s="2129">
        <f>AL318-SUM(AL312:AL315)</f>
        <v>248.51053137931035</v>
      </c>
      <c r="AM311" s="2129">
        <f>AM318-SUM(AM312:AM315)</f>
        <v>30.504951505620284</v>
      </c>
      <c r="AN311" s="2129">
        <f>AN318-SUM(AN312:AN315)</f>
        <v>7.2045294270833438</v>
      </c>
      <c r="AO311" s="2128">
        <f t="shared" ref="AO311:AO317" si="513">SUM(AK311:AN311)</f>
        <v>294.42115622695422</v>
      </c>
      <c r="AP311" s="2129">
        <f>AP318-SUM(AP312:AP315)</f>
        <v>62.162018573849309</v>
      </c>
      <c r="AQ311" s="2129">
        <f>AQ318-SUM(AQ312:AQ315)</f>
        <v>270.54693227413782</v>
      </c>
      <c r="AR311" s="2129">
        <f>AR318-SUM(AR312:AR315)</f>
        <v>35.378866778766678</v>
      </c>
      <c r="AS311" s="2129">
        <f>AS318-SUM(AS312:AS315)</f>
        <v>9.1900476666664872</v>
      </c>
      <c r="AT311" s="2128">
        <f t="shared" ref="AT311:AT317" si="514">SUM(AP311:AS311)</f>
        <v>377.27786529342029</v>
      </c>
      <c r="AU311" s="2129">
        <v>10</v>
      </c>
      <c r="AV311" s="2129">
        <v>10</v>
      </c>
      <c r="AW311" s="2129">
        <v>5</v>
      </c>
      <c r="AX311" s="2129">
        <v>5</v>
      </c>
      <c r="AY311" s="2128">
        <f t="shared" ref="AY311:AY317" si="515">SUM(AU311:AX311)</f>
        <v>30</v>
      </c>
      <c r="AZ311" s="2129"/>
      <c r="BA311" s="2129"/>
      <c r="BB311" s="2129"/>
      <c r="BC311" s="2129"/>
      <c r="BD311" s="2128"/>
      <c r="BE311" s="2130"/>
      <c r="BF311" s="2129"/>
      <c r="BG311" s="2130"/>
      <c r="BH311" s="2130"/>
      <c r="BI311" s="2131"/>
      <c r="BJ311" s="2130"/>
      <c r="BK311" s="2130"/>
      <c r="BL311" s="2130"/>
      <c r="BM311" s="2130"/>
      <c r="BN311" s="2131"/>
      <c r="BO311" s="2167"/>
      <c r="BP311" s="2167"/>
      <c r="BQ311" s="2167"/>
      <c r="BR311" s="2167"/>
      <c r="BS311" s="2167"/>
      <c r="BT311" s="2167"/>
      <c r="BU311" s="2167"/>
      <c r="BV311" s="2167"/>
      <c r="BW311" s="2167"/>
      <c r="BX311" s="2167"/>
      <c r="BY311" s="2120"/>
      <c r="BZ311" s="2131"/>
      <c r="CA311" s="2131"/>
      <c r="CB311" s="2131">
        <f t="shared" ref="CB311:CB318" si="516">SUM(AM311:AN311,AP311:AQ311)</f>
        <v>370.41843178069075</v>
      </c>
      <c r="CC311" s="2131">
        <f t="shared" ref="CC311:CC318" si="517">SUM(AR311:AS311,AU311:AV311)</f>
        <v>64.568914445433165</v>
      </c>
      <c r="CD311" s="2131">
        <f t="shared" ref="CD311:CD318" si="518">SUM(AW311:AX311,AZ311:BA311)</f>
        <v>10</v>
      </c>
      <c r="CE311" s="2131">
        <f t="shared" ref="CE311:CE318" si="519">SUM(BB311:BC311,BE311:BF311)</f>
        <v>0</v>
      </c>
      <c r="CF311" s="2131"/>
    </row>
    <row r="312" spans="1:84" hidden="1" outlineLevel="1">
      <c r="A312" s="2126" t="s">
        <v>944</v>
      </c>
      <c r="B312" s="2127"/>
      <c r="C312" s="2127"/>
      <c r="D312" s="2127"/>
      <c r="E312" s="2127"/>
      <c r="F312" s="2128"/>
      <c r="G312" s="2127"/>
      <c r="H312" s="2127"/>
      <c r="I312" s="2127"/>
      <c r="J312" s="2127"/>
      <c r="K312" s="2128"/>
      <c r="L312" s="2127"/>
      <c r="M312" s="2127"/>
      <c r="N312" s="2127"/>
      <c r="O312" s="2127"/>
      <c r="P312" s="2128"/>
      <c r="Q312" s="2127"/>
      <c r="R312" s="2127"/>
      <c r="S312" s="2127"/>
      <c r="T312" s="2127"/>
      <c r="U312" s="2128"/>
      <c r="V312" s="2127"/>
      <c r="W312" s="2127"/>
      <c r="X312" s="2127"/>
      <c r="Y312" s="2127"/>
      <c r="Z312" s="2128"/>
      <c r="AA312" s="2127"/>
      <c r="AB312" s="2127"/>
      <c r="AC312" s="2127"/>
      <c r="AD312" s="2127"/>
      <c r="AE312" s="2128">
        <f>SUM('Client Unit Model'!AF180:AI180)</f>
        <v>308.49000000000007</v>
      </c>
      <c r="AF312" s="2129">
        <f>'Client Unit Model'!AJ180</f>
        <v>57.997500000000009</v>
      </c>
      <c r="AG312" s="2129">
        <v>100</v>
      </c>
      <c r="AH312" s="2129">
        <f>'Client Unit Model'!AL180</f>
        <v>64.512</v>
      </c>
      <c r="AI312" s="2129">
        <f>'Client Unit Model'!AM180</f>
        <v>85.12</v>
      </c>
      <c r="AJ312" s="2128">
        <f t="shared" si="512"/>
        <v>307.62950000000001</v>
      </c>
      <c r="AK312" s="2129">
        <f>'Client Unit Model'!AO180</f>
        <v>89.73360000000001</v>
      </c>
      <c r="AL312" s="2129">
        <f>AG312</f>
        <v>100</v>
      </c>
      <c r="AM312" s="2129">
        <f>AH312*1.17</f>
        <v>75.479039999999998</v>
      </c>
      <c r="AN312" s="2166">
        <f>AI312*0.95</f>
        <v>80.864000000000004</v>
      </c>
      <c r="AO312" s="2128">
        <f t="shared" si="513"/>
        <v>346.07664</v>
      </c>
      <c r="AP312" s="2129">
        <f>AK312*0.3</f>
        <v>26.920080000000002</v>
      </c>
      <c r="AQ312" s="2129">
        <v>105</v>
      </c>
      <c r="AR312" s="2129">
        <f>AM312</f>
        <v>75.479039999999998</v>
      </c>
      <c r="AS312" s="2129">
        <v>35</v>
      </c>
      <c r="AT312" s="2128">
        <f t="shared" si="514"/>
        <v>242.39912000000001</v>
      </c>
      <c r="AU312" s="2129">
        <f t="shared" ref="AU312:AX312" si="520">AU376</f>
        <v>26.920080000000002</v>
      </c>
      <c r="AV312" s="2129">
        <f t="shared" si="520"/>
        <v>105</v>
      </c>
      <c r="AW312" s="2129">
        <f t="shared" si="520"/>
        <v>75.479039999999998</v>
      </c>
      <c r="AX312" s="2129">
        <f t="shared" si="520"/>
        <v>35</v>
      </c>
      <c r="AY312" s="2128">
        <f t="shared" si="515"/>
        <v>242.39912000000001</v>
      </c>
      <c r="AZ312" s="2129"/>
      <c r="BA312" s="2129"/>
      <c r="BB312" s="2129"/>
      <c r="BC312" s="2129"/>
      <c r="BD312" s="2128"/>
      <c r="BE312" s="2130"/>
      <c r="BF312" s="2129"/>
      <c r="BG312" s="2130"/>
      <c r="BH312" s="2130"/>
      <c r="BI312" s="2131"/>
      <c r="BJ312" s="2130"/>
      <c r="BK312" s="2130"/>
      <c r="BL312" s="2130"/>
      <c r="BM312" s="2130"/>
      <c r="BN312" s="2131"/>
      <c r="BO312" s="2167"/>
      <c r="BP312" s="2167"/>
      <c r="BQ312" s="2167"/>
      <c r="BR312" s="2167"/>
      <c r="BS312" s="2167"/>
      <c r="BT312" s="2167"/>
      <c r="BU312" s="2167"/>
      <c r="BV312" s="2167"/>
      <c r="BW312" s="2167"/>
      <c r="BX312" s="2167"/>
      <c r="BY312" s="2120"/>
      <c r="BZ312" s="2131"/>
      <c r="CA312" s="2131"/>
      <c r="CB312" s="2131">
        <f t="shared" si="516"/>
        <v>288.26312000000001</v>
      </c>
      <c r="CC312" s="2131">
        <f t="shared" si="517"/>
        <v>242.39912000000001</v>
      </c>
      <c r="CD312" s="2131">
        <f t="shared" si="518"/>
        <v>110.47904</v>
      </c>
      <c r="CE312" s="2131">
        <f t="shared" si="519"/>
        <v>0</v>
      </c>
      <c r="CF312" s="2131"/>
    </row>
    <row r="313" spans="1:84" hidden="1" outlineLevel="1">
      <c r="A313" s="2126" t="s">
        <v>351</v>
      </c>
      <c r="B313" s="2127"/>
      <c r="C313" s="2127"/>
      <c r="D313" s="2127"/>
      <c r="E313" s="2127"/>
      <c r="F313" s="2128"/>
      <c r="G313" s="2127"/>
      <c r="H313" s="2127"/>
      <c r="I313" s="2127"/>
      <c r="J313" s="2127"/>
      <c r="K313" s="2128"/>
      <c r="L313" s="2127"/>
      <c r="M313" s="2127"/>
      <c r="N313" s="2127"/>
      <c r="O313" s="2127"/>
      <c r="P313" s="2128"/>
      <c r="Q313" s="2127"/>
      <c r="R313" s="2127"/>
      <c r="S313" s="2127"/>
      <c r="T313" s="2127"/>
      <c r="U313" s="2128"/>
      <c r="V313" s="2127"/>
      <c r="W313" s="2127"/>
      <c r="X313" s="2127"/>
      <c r="Y313" s="2127"/>
      <c r="Z313" s="2128"/>
      <c r="AA313" s="2127"/>
      <c r="AB313" s="2127"/>
      <c r="AC313" s="2127"/>
      <c r="AD313" s="2127"/>
      <c r="AE313" s="2128">
        <f>'Rev Overview'!BE244</f>
        <v>2867</v>
      </c>
      <c r="AF313" s="2129">
        <f>'Rev Overview'!BF244</f>
        <v>697</v>
      </c>
      <c r="AG313" s="2129">
        <f>'Rev Overview'!BG244</f>
        <v>869</v>
      </c>
      <c r="AH313" s="2129">
        <f>'Rev Overview'!BH244</f>
        <v>832</v>
      </c>
      <c r="AI313" s="2129">
        <f>'Rev Overview'!BI244</f>
        <v>804</v>
      </c>
      <c r="AJ313" s="2128">
        <f t="shared" si="512"/>
        <v>3202</v>
      </c>
      <c r="AK313" s="2129">
        <f>'Rev Overview'!BK244</f>
        <v>872</v>
      </c>
      <c r="AL313" s="2129">
        <f>AG313*1.064</f>
        <v>924.6160000000001</v>
      </c>
      <c r="AM313" s="2129">
        <f>AH313*1.16</f>
        <v>965.11999999999989</v>
      </c>
      <c r="AN313" s="2129">
        <f>AI313*1.2</f>
        <v>964.8</v>
      </c>
      <c r="AO313" s="2128">
        <f t="shared" si="513"/>
        <v>3726.5360000000001</v>
      </c>
      <c r="AP313" s="2129">
        <f>AK313*1.135</f>
        <v>989.72</v>
      </c>
      <c r="AQ313" s="2129">
        <f>AL313*1.105</f>
        <v>1021.7006800000001</v>
      </c>
      <c r="AR313" s="2129">
        <f>AM313*1.075</f>
        <v>1037.5039999999999</v>
      </c>
      <c r="AS313" s="2129">
        <f>AN313*1.05</f>
        <v>1013.04</v>
      </c>
      <c r="AT313" s="2128">
        <f t="shared" si="514"/>
        <v>4061.96468</v>
      </c>
      <c r="AU313" s="2129">
        <f t="shared" ref="AU313:AX313" si="521">AU379</f>
        <v>1054.0518</v>
      </c>
      <c r="AV313" s="2129">
        <f t="shared" si="521"/>
        <v>1093.2197276000002</v>
      </c>
      <c r="AW313" s="2129">
        <f t="shared" si="521"/>
        <v>1115.3167999999998</v>
      </c>
      <c r="AX313" s="2129">
        <f t="shared" si="521"/>
        <v>1083.9528</v>
      </c>
      <c r="AY313" s="2128">
        <f t="shared" si="515"/>
        <v>4346.5411275999995</v>
      </c>
      <c r="AZ313" s="2129"/>
      <c r="BA313" s="2129"/>
      <c r="BB313" s="2129"/>
      <c r="BC313" s="2129"/>
      <c r="BD313" s="2128"/>
      <c r="BE313" s="2130"/>
      <c r="BF313" s="2129"/>
      <c r="BG313" s="2130"/>
      <c r="BH313" s="2130"/>
      <c r="BI313" s="2131"/>
      <c r="BJ313" s="2130"/>
      <c r="BK313" s="2130"/>
      <c r="BL313" s="2130"/>
      <c r="BM313" s="2130"/>
      <c r="BN313" s="2131"/>
      <c r="BO313" s="2167"/>
      <c r="BP313" s="2167"/>
      <c r="BQ313" s="2167"/>
      <c r="BR313" s="2167"/>
      <c r="BS313" s="2167"/>
      <c r="BT313" s="2167"/>
      <c r="BU313" s="2167"/>
      <c r="BV313" s="2167"/>
      <c r="BW313" s="2167"/>
      <c r="BX313" s="2167"/>
      <c r="BY313" s="2120"/>
      <c r="BZ313" s="2131"/>
      <c r="CA313" s="2131"/>
      <c r="CB313" s="2131">
        <f t="shared" si="516"/>
        <v>3941.3406800000002</v>
      </c>
      <c r="CC313" s="2131">
        <f t="shared" si="517"/>
        <v>4197.8155275999998</v>
      </c>
      <c r="CD313" s="2131">
        <f t="shared" si="518"/>
        <v>2199.2695999999996</v>
      </c>
      <c r="CE313" s="2131">
        <f t="shared" si="519"/>
        <v>0</v>
      </c>
      <c r="CF313" s="2131"/>
    </row>
    <row r="314" spans="1:84" hidden="1" outlineLevel="1">
      <c r="A314" s="2126" t="s">
        <v>945</v>
      </c>
      <c r="B314" s="2127"/>
      <c r="C314" s="2127"/>
      <c r="D314" s="2127"/>
      <c r="E314" s="2127"/>
      <c r="F314" s="2128"/>
      <c r="G314" s="2127"/>
      <c r="H314" s="2127"/>
      <c r="I314" s="2127"/>
      <c r="J314" s="2127"/>
      <c r="K314" s="2128"/>
      <c r="L314" s="2127"/>
      <c r="M314" s="2127"/>
      <c r="N314" s="2127"/>
      <c r="O314" s="2127"/>
      <c r="P314" s="2128"/>
      <c r="Q314" s="2127"/>
      <c r="R314" s="2127"/>
      <c r="S314" s="2127"/>
      <c r="T314" s="2127"/>
      <c r="U314" s="2128"/>
      <c r="V314" s="2127"/>
      <c r="W314" s="2127"/>
      <c r="X314" s="2127"/>
      <c r="Y314" s="2127"/>
      <c r="Z314" s="2128"/>
      <c r="AA314" s="2127"/>
      <c r="AB314" s="2127"/>
      <c r="AC314" s="2127"/>
      <c r="AD314" s="2127"/>
      <c r="AE314" s="2128">
        <f>'Rev Overview'!BE253*0.18*0.035</f>
        <v>151.89930000000001</v>
      </c>
      <c r="AF314" s="2129">
        <f>0.18*0.035*'Rev Overview'!BF253</f>
        <v>34.656300000000002</v>
      </c>
      <c r="AG314" s="2129">
        <f>0.18*0.035*'Rev Overview'!BG253</f>
        <v>35.853299999999997</v>
      </c>
      <c r="AH314" s="2129">
        <f>0.18*0.05*'Rev Overview'!BH253</f>
        <v>56.870999999999995</v>
      </c>
      <c r="AI314" s="2129">
        <f>0.185*0.05*'Rev Overview'!BI253</f>
        <v>66.720249999999993</v>
      </c>
      <c r="AJ314" s="2128">
        <f t="shared" si="512"/>
        <v>194.10084999999998</v>
      </c>
      <c r="AK314" s="2129">
        <v>65</v>
      </c>
      <c r="AL314" s="2127">
        <v>75</v>
      </c>
      <c r="AM314" s="2127">
        <v>98</v>
      </c>
      <c r="AN314" s="2127">
        <f>AN251</f>
        <v>138.69706640624997</v>
      </c>
      <c r="AO314" s="2128">
        <f t="shared" si="513"/>
        <v>376.69706640624997</v>
      </c>
      <c r="AP314" s="2127">
        <f>AP251</f>
        <v>169.63079062499997</v>
      </c>
      <c r="AQ314" s="2127">
        <f>AQ251</f>
        <v>214.04413124999996</v>
      </c>
      <c r="AR314" s="2127">
        <f>AR251</f>
        <v>276.55404375000001</v>
      </c>
      <c r="AS314" s="2127">
        <f>AS251</f>
        <v>329.23359375000007</v>
      </c>
      <c r="AT314" s="2128">
        <f t="shared" si="514"/>
        <v>989.46255937500007</v>
      </c>
      <c r="AU314" s="2127">
        <f>AU251</f>
        <v>390.32460937500002</v>
      </c>
      <c r="AV314" s="2127">
        <f>AV251</f>
        <v>436.654296875</v>
      </c>
      <c r="AW314" s="2127">
        <f>AW251</f>
        <v>470.654296875</v>
      </c>
      <c r="AX314" s="2127">
        <f>AX251</f>
        <v>489.779296875</v>
      </c>
      <c r="AY314" s="2128">
        <f t="shared" si="515"/>
        <v>1787.4124999999999</v>
      </c>
      <c r="AZ314" s="2127"/>
      <c r="BA314" s="2127"/>
      <c r="BB314" s="2127"/>
      <c r="BC314" s="2127"/>
      <c r="BD314" s="2128"/>
      <c r="BE314" s="2167"/>
      <c r="BF314" s="2127"/>
      <c r="BG314" s="2167"/>
      <c r="BH314" s="2167"/>
      <c r="BI314" s="2131"/>
      <c r="BJ314" s="2167"/>
      <c r="BK314" s="2167"/>
      <c r="BL314" s="2167"/>
      <c r="BM314" s="2167"/>
      <c r="BN314" s="2131"/>
      <c r="BO314" s="2167"/>
      <c r="BP314" s="2167"/>
      <c r="BQ314" s="2167"/>
      <c r="BR314" s="2167"/>
      <c r="BS314" s="2167"/>
      <c r="BT314" s="2167"/>
      <c r="BU314" s="2167"/>
      <c r="BV314" s="2167"/>
      <c r="BW314" s="2167"/>
      <c r="BX314" s="2167"/>
      <c r="BY314" s="2120"/>
      <c r="BZ314" s="2131"/>
      <c r="CA314" s="2131"/>
      <c r="CB314" s="2131">
        <f t="shared" si="516"/>
        <v>620.37198828124997</v>
      </c>
      <c r="CC314" s="2131">
        <f t="shared" si="517"/>
        <v>1432.76654375</v>
      </c>
      <c r="CD314" s="2131">
        <f t="shared" si="518"/>
        <v>960.43359375</v>
      </c>
      <c r="CE314" s="2131">
        <f t="shared" si="519"/>
        <v>0</v>
      </c>
      <c r="CF314" s="2131"/>
    </row>
    <row r="315" spans="1:84" s="1004" customFormat="1" hidden="1" outlineLevel="1">
      <c r="A315" s="2141" t="s">
        <v>2</v>
      </c>
      <c r="B315" s="2127"/>
      <c r="C315" s="2127"/>
      <c r="D315" s="2127"/>
      <c r="E315" s="2127"/>
      <c r="F315" s="2128"/>
      <c r="G315" s="2127"/>
      <c r="H315" s="2127"/>
      <c r="I315" s="2127"/>
      <c r="J315" s="2127"/>
      <c r="K315" s="2128"/>
      <c r="L315" s="2127"/>
      <c r="M315" s="2127"/>
      <c r="N315" s="2127"/>
      <c r="O315" s="2127"/>
      <c r="P315" s="2128"/>
      <c r="Q315" s="2127"/>
      <c r="R315" s="2127"/>
      <c r="S315" s="2127"/>
      <c r="T315" s="2127"/>
      <c r="U315" s="2128"/>
      <c r="V315" s="2127"/>
      <c r="W315" s="2127"/>
      <c r="X315" s="2127"/>
      <c r="Y315" s="2127"/>
      <c r="Z315" s="2128"/>
      <c r="AA315" s="2127"/>
      <c r="AB315" s="2127"/>
      <c r="AC315" s="2127"/>
      <c r="AD315" s="2127"/>
      <c r="AE315" s="2128">
        <f>AE318-SUM(AE311:AE314)</f>
        <v>2836.8934634394768</v>
      </c>
      <c r="AF315" s="2127">
        <f>AF318-SUM(AF311:AF314)</f>
        <v>602.14505608505976</v>
      </c>
      <c r="AG315" s="2127">
        <f>AG318-SUM(AG311:AG314)</f>
        <v>744.14670000000001</v>
      </c>
      <c r="AH315" s="2127">
        <f>AH318-SUM(AH311:AH314)</f>
        <v>694.15077576490751</v>
      </c>
      <c r="AI315" s="2127">
        <f>AI318-SUM(AI311:AI314)</f>
        <v>601.60419444444449</v>
      </c>
      <c r="AJ315" s="2128">
        <f t="shared" si="512"/>
        <v>2642.0467262944117</v>
      </c>
      <c r="AK315" s="2127">
        <f>AK318-SUM(AK311:AK314)</f>
        <v>519.0652560850599</v>
      </c>
      <c r="AL315" s="2127">
        <f>SUM(AL316:AL317)</f>
        <v>525.87346862068966</v>
      </c>
      <c r="AM315" s="2127">
        <f>SUM(AM316:AM317)</f>
        <v>654.89600849437977</v>
      </c>
      <c r="AN315" s="2127">
        <f>SUM(AN316:AN317)</f>
        <v>570.4344041666667</v>
      </c>
      <c r="AO315" s="2128">
        <f t="shared" si="513"/>
        <v>2270.2691373667963</v>
      </c>
      <c r="AP315" s="2127">
        <f>SUM(AP316:AP317)</f>
        <v>560.56711080115065</v>
      </c>
      <c r="AQ315" s="2127">
        <f>SUM(AQ316:AQ317)</f>
        <v>824.70825647586207</v>
      </c>
      <c r="AR315" s="2127">
        <f>SUM(AR316:AR317)</f>
        <v>855.08404947123358</v>
      </c>
      <c r="AS315" s="2127">
        <f>SUM(AS316:AS317)</f>
        <v>913.53635858333348</v>
      </c>
      <c r="AT315" s="2128">
        <f t="shared" si="514"/>
        <v>3153.8957753315794</v>
      </c>
      <c r="AU315" s="2127">
        <f>SUM(AU316:AU317)</f>
        <v>1114.8706896551726</v>
      </c>
      <c r="AV315" s="2127">
        <f>SUM(AV316:AV317)</f>
        <v>1388.5662724137933</v>
      </c>
      <c r="AW315" s="2127">
        <f>SUM(AW316:AW317)</f>
        <v>1358.6868749999999</v>
      </c>
      <c r="AX315" s="2127">
        <f>SUM(AX316:AX317)</f>
        <v>1362.5275000000001</v>
      </c>
      <c r="AY315" s="2128">
        <f t="shared" si="515"/>
        <v>5224.6513370689663</v>
      </c>
      <c r="AZ315" s="2127"/>
      <c r="BA315" s="2127"/>
      <c r="BB315" s="2127"/>
      <c r="BC315" s="2127"/>
      <c r="BD315" s="2128"/>
      <c r="BE315" s="2167"/>
      <c r="BF315" s="2127"/>
      <c r="BG315" s="2167"/>
      <c r="BH315" s="2167"/>
      <c r="BI315" s="2131"/>
      <c r="BJ315" s="2167"/>
      <c r="BK315" s="2167"/>
      <c r="BL315" s="2167"/>
      <c r="BM315" s="2167"/>
      <c r="BN315" s="2131"/>
      <c r="BO315" s="2167"/>
      <c r="BP315" s="2167"/>
      <c r="BQ315" s="2167"/>
      <c r="BR315" s="2167"/>
      <c r="BS315" s="2167"/>
      <c r="BT315" s="2167"/>
      <c r="BU315" s="2167"/>
      <c r="BV315" s="2167"/>
      <c r="BW315" s="2167"/>
      <c r="BX315" s="2167"/>
      <c r="BY315" s="2168"/>
      <c r="BZ315" s="2131"/>
      <c r="CA315" s="2131"/>
      <c r="CB315" s="2131">
        <f t="shared" si="516"/>
        <v>2610.6057799380592</v>
      </c>
      <c r="CC315" s="2131">
        <f t="shared" si="517"/>
        <v>4272.0573701235335</v>
      </c>
      <c r="CD315" s="2131">
        <f t="shared" si="518"/>
        <v>2721.214375</v>
      </c>
      <c r="CE315" s="2131">
        <f t="shared" si="519"/>
        <v>0</v>
      </c>
      <c r="CF315" s="2131"/>
    </row>
    <row r="316" spans="1:84" s="1006" customFormat="1" hidden="1" outlineLevel="1">
      <c r="A316" s="2147" t="s">
        <v>916</v>
      </c>
      <c r="B316" s="2148"/>
      <c r="C316" s="2148"/>
      <c r="D316" s="2148"/>
      <c r="E316" s="2148"/>
      <c r="F316" s="2149"/>
      <c r="G316" s="2148"/>
      <c r="H316" s="2148"/>
      <c r="I316" s="2148"/>
      <c r="J316" s="2148"/>
      <c r="K316" s="2149"/>
      <c r="L316" s="2148"/>
      <c r="M316" s="2148"/>
      <c r="N316" s="2148"/>
      <c r="O316" s="2148"/>
      <c r="P316" s="2149"/>
      <c r="Q316" s="2148"/>
      <c r="R316" s="2148"/>
      <c r="S316" s="2148"/>
      <c r="T316" s="2148"/>
      <c r="U316" s="2149"/>
      <c r="V316" s="2148"/>
      <c r="W316" s="2148"/>
      <c r="X316" s="2148"/>
      <c r="Y316" s="2148"/>
      <c r="Z316" s="2149"/>
      <c r="AA316" s="2148"/>
      <c r="AB316" s="2148"/>
      <c r="AC316" s="2148"/>
      <c r="AD316" s="2148"/>
      <c r="AE316" s="2149">
        <f>AJ316*1.05</f>
        <v>1813.0603448275863</v>
      </c>
      <c r="AF316" s="2150">
        <v>425</v>
      </c>
      <c r="AG316" s="2150">
        <f>291/0.58</f>
        <v>501.72413793103453</v>
      </c>
      <c r="AH316" s="2150">
        <v>450</v>
      </c>
      <c r="AI316" s="2150">
        <v>350</v>
      </c>
      <c r="AJ316" s="2149">
        <f t="shared" si="512"/>
        <v>1726.7241379310344</v>
      </c>
      <c r="AK316" s="2150">
        <f>291/0.58</f>
        <v>501.72413793103453</v>
      </c>
      <c r="AL316" s="2150">
        <f>AG316*(1-0.58)</f>
        <v>210.72413793103453</v>
      </c>
      <c r="AM316" s="2150">
        <f>AH316*(1-0.25)</f>
        <v>337.5</v>
      </c>
      <c r="AN316" s="2150">
        <f>AI316*(1-0.125)</f>
        <v>306.25</v>
      </c>
      <c r="AO316" s="2149">
        <f t="shared" si="513"/>
        <v>1356.1982758620691</v>
      </c>
      <c r="AP316" s="2150">
        <f>AK316*1.1</f>
        <v>551.89655172413802</v>
      </c>
      <c r="AQ316" s="2150">
        <f>AL316*1.79</f>
        <v>377.19620689655181</v>
      </c>
      <c r="AR316" s="2150">
        <f>AM316*1.485</f>
        <v>501.18750000000006</v>
      </c>
      <c r="AS316" s="2150">
        <f>AN316*1.62</f>
        <v>496.12500000000006</v>
      </c>
      <c r="AT316" s="2149">
        <f t="shared" si="514"/>
        <v>1926.4052586206899</v>
      </c>
      <c r="AU316" s="2150">
        <f>AU187</f>
        <v>689.87068965517255</v>
      </c>
      <c r="AV316" s="2150">
        <f>AV187</f>
        <v>569.56627241379329</v>
      </c>
      <c r="AW316" s="2150">
        <f>AW187</f>
        <v>526.24687500000005</v>
      </c>
      <c r="AX316" s="2150">
        <f>AX187</f>
        <v>506.04750000000007</v>
      </c>
      <c r="AY316" s="2149">
        <f t="shared" si="515"/>
        <v>2291.7313370689658</v>
      </c>
      <c r="AZ316" s="2150"/>
      <c r="BA316" s="2150"/>
      <c r="BB316" s="2150"/>
      <c r="BC316" s="2150"/>
      <c r="BD316" s="2149"/>
      <c r="BE316" s="2150"/>
      <c r="BF316" s="2150"/>
      <c r="BG316" s="2150"/>
      <c r="BH316" s="2150"/>
      <c r="BI316" s="2149"/>
      <c r="BJ316" s="2150"/>
      <c r="BK316" s="2150"/>
      <c r="BL316" s="2150"/>
      <c r="BM316" s="2150"/>
      <c r="BN316" s="2149"/>
      <c r="BO316" s="2148"/>
      <c r="BP316" s="2148"/>
      <c r="BQ316" s="2148"/>
      <c r="BR316" s="2148"/>
      <c r="BS316" s="2148"/>
      <c r="BT316" s="2148"/>
      <c r="BU316" s="2148"/>
      <c r="BV316" s="2148"/>
      <c r="BW316" s="2148"/>
      <c r="BX316" s="2148"/>
      <c r="BY316" s="2147"/>
      <c r="BZ316" s="2149"/>
      <c r="CA316" s="2149"/>
      <c r="CB316" s="2149">
        <f t="shared" si="516"/>
        <v>1572.8427586206899</v>
      </c>
      <c r="CC316" s="2149">
        <f t="shared" si="517"/>
        <v>2256.7494620689658</v>
      </c>
      <c r="CD316" s="2149">
        <f t="shared" si="518"/>
        <v>1032.2943750000002</v>
      </c>
      <c r="CE316" s="2149">
        <f t="shared" si="519"/>
        <v>0</v>
      </c>
      <c r="CF316" s="2149"/>
    </row>
    <row r="317" spans="1:84" s="1006" customFormat="1" hidden="1" outlineLevel="1">
      <c r="A317" s="2151" t="s">
        <v>917</v>
      </c>
      <c r="B317" s="2152"/>
      <c r="C317" s="2152"/>
      <c r="D317" s="2152"/>
      <c r="E317" s="2152"/>
      <c r="F317" s="2153"/>
      <c r="G317" s="2152"/>
      <c r="H317" s="2152"/>
      <c r="I317" s="2152"/>
      <c r="J317" s="2152"/>
      <c r="K317" s="2153"/>
      <c r="L317" s="2152"/>
      <c r="M317" s="2152"/>
      <c r="N317" s="2152"/>
      <c r="O317" s="2152"/>
      <c r="P317" s="2153"/>
      <c r="Q317" s="2152"/>
      <c r="R317" s="2152"/>
      <c r="S317" s="2152"/>
      <c r="T317" s="2152"/>
      <c r="U317" s="2153"/>
      <c r="V317" s="2152"/>
      <c r="W317" s="2152"/>
      <c r="X317" s="2152"/>
      <c r="Y317" s="2152"/>
      <c r="Z317" s="2153"/>
      <c r="AA317" s="2152"/>
      <c r="AB317" s="2152"/>
      <c r="AC317" s="2152"/>
      <c r="AD317" s="2152"/>
      <c r="AE317" s="2153">
        <f>AE315-AE316</f>
        <v>1023.8331186118905</v>
      </c>
      <c r="AF317" s="2152">
        <f>AF315-AF316</f>
        <v>177.14505608505976</v>
      </c>
      <c r="AG317" s="2152">
        <f>AG315-AG316</f>
        <v>242.42256206896548</v>
      </c>
      <c r="AH317" s="2152">
        <f>AH315-AH316</f>
        <v>244.15077576490751</v>
      </c>
      <c r="AI317" s="2152">
        <f>AI315-AI316</f>
        <v>251.60419444444449</v>
      </c>
      <c r="AJ317" s="2153">
        <f t="shared" si="512"/>
        <v>915.32258836337724</v>
      </c>
      <c r="AK317" s="2152">
        <f>AK315-AK316</f>
        <v>17.341118154025366</v>
      </c>
      <c r="AL317" s="2152">
        <f>AG317*1.3</f>
        <v>315.14933068965513</v>
      </c>
      <c r="AM317" s="2152">
        <f>AH317*1.3</f>
        <v>317.39600849437977</v>
      </c>
      <c r="AN317" s="2152">
        <f>AI317*1.05</f>
        <v>264.1844041666667</v>
      </c>
      <c r="AO317" s="2153">
        <f t="shared" si="513"/>
        <v>914.07086150472696</v>
      </c>
      <c r="AP317" s="2152">
        <f>AK317*0.5</f>
        <v>8.6705590770126832</v>
      </c>
      <c r="AQ317" s="2152">
        <f>AL317*1.42</f>
        <v>447.51204957931026</v>
      </c>
      <c r="AR317" s="2152">
        <f>AM317*1.115</f>
        <v>353.89654947123347</v>
      </c>
      <c r="AS317" s="2152">
        <f>AN317*1.58</f>
        <v>417.41135858333342</v>
      </c>
      <c r="AT317" s="2153">
        <f t="shared" si="514"/>
        <v>1227.4905167108898</v>
      </c>
      <c r="AU317" s="2152">
        <f>AU190</f>
        <v>425</v>
      </c>
      <c r="AV317" s="2152">
        <f>AV190</f>
        <v>819</v>
      </c>
      <c r="AW317" s="2152">
        <f>AW190</f>
        <v>832.43999999999994</v>
      </c>
      <c r="AX317" s="2152">
        <f>AX190</f>
        <v>856.48</v>
      </c>
      <c r="AY317" s="2153">
        <f t="shared" si="515"/>
        <v>2932.92</v>
      </c>
      <c r="AZ317" s="2152"/>
      <c r="BA317" s="2152"/>
      <c r="BB317" s="2152"/>
      <c r="BC317" s="2152"/>
      <c r="BD317" s="2153"/>
      <c r="BE317" s="2152"/>
      <c r="BF317" s="2152"/>
      <c r="BG317" s="2152"/>
      <c r="BH317" s="2152"/>
      <c r="BI317" s="2153"/>
      <c r="BJ317" s="2152"/>
      <c r="BK317" s="2152"/>
      <c r="BL317" s="2152"/>
      <c r="BM317" s="2152"/>
      <c r="BN317" s="2153"/>
      <c r="BO317" s="2148"/>
      <c r="BP317" s="2148"/>
      <c r="BQ317" s="2148"/>
      <c r="BR317" s="2148"/>
      <c r="BS317" s="2148"/>
      <c r="BT317" s="2148"/>
      <c r="BU317" s="2148"/>
      <c r="BV317" s="2148"/>
      <c r="BW317" s="2148"/>
      <c r="BX317" s="2148"/>
      <c r="BY317" s="2147"/>
      <c r="BZ317" s="2153"/>
      <c r="CA317" s="2153"/>
      <c r="CB317" s="2153">
        <f t="shared" si="516"/>
        <v>1037.7630213173695</v>
      </c>
      <c r="CC317" s="2153">
        <f t="shared" si="517"/>
        <v>2015.307908054567</v>
      </c>
      <c r="CD317" s="2153">
        <f t="shared" si="518"/>
        <v>1688.92</v>
      </c>
      <c r="CE317" s="2153">
        <f t="shared" si="519"/>
        <v>0</v>
      </c>
      <c r="CF317" s="2153"/>
    </row>
    <row r="318" spans="1:84" hidden="1" outlineLevel="1">
      <c r="A318" s="2137" t="s">
        <v>0</v>
      </c>
      <c r="B318" s="2138"/>
      <c r="C318" s="2138"/>
      <c r="D318" s="2138"/>
      <c r="E318" s="2138"/>
      <c r="F318" s="2139"/>
      <c r="G318" s="2138"/>
      <c r="H318" s="2138"/>
      <c r="I318" s="2138"/>
      <c r="J318" s="2138"/>
      <c r="K318" s="2139"/>
      <c r="L318" s="2138"/>
      <c r="M318" s="2138"/>
      <c r="N318" s="2138"/>
      <c r="O318" s="2138"/>
      <c r="P318" s="2139"/>
      <c r="Q318" s="2138"/>
      <c r="R318" s="2138"/>
      <c r="S318" s="2138"/>
      <c r="T318" s="2138"/>
      <c r="U318" s="2139"/>
      <c r="V318" s="2138"/>
      <c r="W318" s="2138"/>
      <c r="X318" s="2138"/>
      <c r="Y318" s="2138"/>
      <c r="Z318" s="2139"/>
      <c r="AA318" s="2138">
        <f>'Rev Overview'!BA114</f>
        <v>1515</v>
      </c>
      <c r="AB318" s="2138">
        <f>'Rev Overview'!BB114</f>
        <v>1738</v>
      </c>
      <c r="AC318" s="2138">
        <f>'Rev Overview'!BC114</f>
        <v>1437</v>
      </c>
      <c r="AD318" s="2138">
        <f>'Rev Overview'!BD114</f>
        <v>1513</v>
      </c>
      <c r="AE318" s="2139">
        <f>'Rev Overview'!BE114</f>
        <v>6203</v>
      </c>
      <c r="AF318" s="2140">
        <f>'Rev Overview'!BF114</f>
        <v>1400</v>
      </c>
      <c r="AG318" s="2140">
        <f>'Rev Overview'!BG114</f>
        <v>1999</v>
      </c>
      <c r="AH318" s="2140">
        <f>'Rev Overview'!BH114</f>
        <v>1656</v>
      </c>
      <c r="AI318" s="2140">
        <f>'Rev Overview'!BI114</f>
        <v>1563</v>
      </c>
      <c r="AJ318" s="2139">
        <f>'Rev Overview'!BJ114</f>
        <v>6618</v>
      </c>
      <c r="AK318" s="2140">
        <f>'Rev Overview'!BK114</f>
        <v>1554</v>
      </c>
      <c r="AL318" s="2140">
        <f>'Rev Overview'!BL114</f>
        <v>1874</v>
      </c>
      <c r="AM318" s="2140">
        <f>'Rev Overview'!BM114</f>
        <v>1824</v>
      </c>
      <c r="AN318" s="2140">
        <f>'Rev Overview'!BN114</f>
        <v>1762</v>
      </c>
      <c r="AO318" s="2139">
        <f t="shared" ref="AO318:AY318" si="522">SUM(AO311:AO315)</f>
        <v>7014</v>
      </c>
      <c r="AP318" s="2140">
        <f>'Rev Overview'!BP114</f>
        <v>1809</v>
      </c>
      <c r="AQ318" s="2140">
        <f>'Rev Overview'!BQ114</f>
        <v>2436</v>
      </c>
      <c r="AR318" s="2140">
        <f>'Rev Overview'!BR114</f>
        <v>2280</v>
      </c>
      <c r="AS318" s="2140">
        <f>'Rev Overview'!BS114</f>
        <v>2300</v>
      </c>
      <c r="AT318" s="2154">
        <f t="shared" si="522"/>
        <v>8825</v>
      </c>
      <c r="AU318" s="2140">
        <f t="shared" si="522"/>
        <v>2596.1671790301725</v>
      </c>
      <c r="AV318" s="2140">
        <f t="shared" si="522"/>
        <v>3033.4402968887935</v>
      </c>
      <c r="AW318" s="2140">
        <f t="shared" si="522"/>
        <v>3025.1370118749996</v>
      </c>
      <c r="AX318" s="2140">
        <f t="shared" si="522"/>
        <v>2976.2595968750002</v>
      </c>
      <c r="AY318" s="2154">
        <f t="shared" si="522"/>
        <v>11631.004084668966</v>
      </c>
      <c r="AZ318" s="2140"/>
      <c r="BA318" s="2140"/>
      <c r="BB318" s="2140"/>
      <c r="BC318" s="2140"/>
      <c r="BD318" s="2154"/>
      <c r="BE318" s="2140"/>
      <c r="BF318" s="2140"/>
      <c r="BG318" s="2140"/>
      <c r="BH318" s="2140"/>
      <c r="BI318" s="2154"/>
      <c r="BJ318" s="2140"/>
      <c r="BK318" s="2140"/>
      <c r="BL318" s="2140"/>
      <c r="BM318" s="2140"/>
      <c r="BN318" s="2154"/>
      <c r="BO318" s="2138"/>
      <c r="BP318" s="2138"/>
      <c r="BQ318" s="2138"/>
      <c r="BR318" s="2138"/>
      <c r="BS318" s="2138"/>
      <c r="BT318" s="2138"/>
      <c r="BU318" s="2138"/>
      <c r="BV318" s="2138"/>
      <c r="BW318" s="2138"/>
      <c r="BX318" s="2138"/>
      <c r="BY318" s="2120"/>
      <c r="BZ318" s="2154"/>
      <c r="CA318" s="2154"/>
      <c r="CB318" s="2154">
        <f t="shared" si="516"/>
        <v>7831</v>
      </c>
      <c r="CC318" s="2154">
        <f t="shared" si="517"/>
        <v>10209.607475918965</v>
      </c>
      <c r="CD318" s="2154">
        <f t="shared" si="518"/>
        <v>6001.3966087499994</v>
      </c>
      <c r="CE318" s="2154">
        <f t="shared" si="519"/>
        <v>0</v>
      </c>
      <c r="CF318" s="2154"/>
    </row>
    <row r="319" spans="1:84" ht="6.75" hidden="1" customHeight="1" outlineLevel="1">
      <c r="A319" s="2120"/>
      <c r="B319" s="2141"/>
      <c r="C319" s="2141"/>
      <c r="D319" s="2141"/>
      <c r="E319" s="2141"/>
      <c r="F319" s="2142"/>
      <c r="G319" s="2141"/>
      <c r="H319" s="2141"/>
      <c r="I319" s="2141"/>
      <c r="J319" s="2141"/>
      <c r="K319" s="2142"/>
      <c r="L319" s="2141"/>
      <c r="M319" s="2141"/>
      <c r="N319" s="2141"/>
      <c r="O319" s="2141"/>
      <c r="P319" s="2142"/>
      <c r="Q319" s="2141"/>
      <c r="R319" s="2141"/>
      <c r="S319" s="2141"/>
      <c r="T319" s="2141"/>
      <c r="U319" s="2142"/>
      <c r="V319" s="2141"/>
      <c r="W319" s="2141"/>
      <c r="X319" s="2141"/>
      <c r="Y319" s="2141"/>
      <c r="Z319" s="2142"/>
      <c r="AA319" s="2141"/>
      <c r="AB319" s="2141"/>
      <c r="AC319" s="2141"/>
      <c r="AD319" s="2141"/>
      <c r="AE319" s="2142"/>
      <c r="AF319" s="2156"/>
      <c r="AG319" s="2156"/>
      <c r="AH319" s="2157"/>
      <c r="AI319" s="2156"/>
      <c r="AJ319" s="2128"/>
      <c r="AK319" s="2156"/>
      <c r="AL319" s="2156"/>
      <c r="AM319" s="2155"/>
      <c r="AN319" s="2156"/>
      <c r="AO319" s="2158"/>
      <c r="AP319" s="2156"/>
      <c r="AQ319" s="2156"/>
      <c r="AR319" s="2156"/>
      <c r="AS319" s="2156"/>
      <c r="AT319" s="2158"/>
      <c r="AU319" s="2156"/>
      <c r="AV319" s="2156"/>
      <c r="AW319" s="2156"/>
      <c r="AX319" s="2156"/>
      <c r="AY319" s="2158"/>
      <c r="AZ319" s="2156"/>
      <c r="BA319" s="2156"/>
      <c r="BB319" s="2156"/>
      <c r="BC319" s="2156"/>
      <c r="BD319" s="2158"/>
      <c r="BE319" s="2159"/>
      <c r="BF319" s="2156"/>
      <c r="BG319" s="2159"/>
      <c r="BH319" s="2159"/>
      <c r="BI319" s="2160"/>
      <c r="BJ319" s="2159"/>
      <c r="BK319" s="2159"/>
      <c r="BL319" s="2159"/>
      <c r="BM319" s="2159"/>
      <c r="BN319" s="2160"/>
      <c r="BO319" s="2637"/>
      <c r="BP319" s="2637"/>
      <c r="BQ319" s="2637"/>
      <c r="BR319" s="2637"/>
      <c r="BS319" s="2637"/>
      <c r="BT319" s="2637"/>
      <c r="BU319" s="2637"/>
      <c r="BV319" s="2637"/>
      <c r="BW319" s="2637"/>
      <c r="BX319" s="2637"/>
      <c r="BY319" s="2120"/>
      <c r="BZ319" s="2160"/>
      <c r="CA319" s="2160"/>
      <c r="CB319" s="2160"/>
      <c r="CC319" s="2160"/>
      <c r="CD319" s="2160"/>
      <c r="CE319" s="2160"/>
      <c r="CF319" s="2160"/>
    </row>
    <row r="320" spans="1:84" hidden="1" outlineLevel="1">
      <c r="A320" s="2121" t="s">
        <v>500</v>
      </c>
      <c r="B320" s="2122"/>
      <c r="C320" s="2122"/>
      <c r="D320" s="2122"/>
      <c r="E320" s="2122"/>
      <c r="F320" s="2123"/>
      <c r="G320" s="2122"/>
      <c r="H320" s="2122"/>
      <c r="I320" s="2122"/>
      <c r="J320" s="2122"/>
      <c r="K320" s="2123"/>
      <c r="L320" s="2122"/>
      <c r="M320" s="2122"/>
      <c r="N320" s="2122"/>
      <c r="O320" s="2122"/>
      <c r="P320" s="2123"/>
      <c r="Q320" s="2122"/>
      <c r="R320" s="2122"/>
      <c r="S320" s="2122"/>
      <c r="T320" s="2122"/>
      <c r="U320" s="2123"/>
      <c r="V320" s="2122"/>
      <c r="W320" s="2122"/>
      <c r="X320" s="2122"/>
      <c r="Y320" s="2122"/>
      <c r="Z320" s="2123"/>
      <c r="AA320" s="2122"/>
      <c r="AB320" s="2122"/>
      <c r="AC320" s="2122"/>
      <c r="AD320" s="2122"/>
      <c r="AE320" s="2123"/>
      <c r="AF320" s="2124"/>
      <c r="AG320" s="2122"/>
      <c r="AH320" s="2122"/>
      <c r="AI320" s="2122"/>
      <c r="AJ320" s="2123"/>
      <c r="AK320" s="2125"/>
      <c r="AL320" s="2122"/>
      <c r="AM320" s="2122"/>
      <c r="AN320" s="2122"/>
      <c r="AO320" s="2123"/>
      <c r="AP320" s="2122"/>
      <c r="AQ320" s="2122"/>
      <c r="AR320" s="2122"/>
      <c r="AS320" s="2122"/>
      <c r="AT320" s="2123"/>
      <c r="AU320" s="2122"/>
      <c r="AV320" s="2122"/>
      <c r="AW320" s="2122"/>
      <c r="AX320" s="2122"/>
      <c r="AY320" s="2123"/>
      <c r="AZ320" s="2122"/>
      <c r="BA320" s="2122"/>
      <c r="BB320" s="2122"/>
      <c r="BC320" s="2122"/>
      <c r="BD320" s="2123"/>
      <c r="BE320" s="2122"/>
      <c r="BF320" s="2122"/>
      <c r="BG320" s="2122"/>
      <c r="BH320" s="2122"/>
      <c r="BI320" s="2123"/>
      <c r="BJ320" s="2122"/>
      <c r="BK320" s="2122"/>
      <c r="BL320" s="2122"/>
      <c r="BM320" s="2122"/>
      <c r="BN320" s="2123"/>
      <c r="BO320" s="2162"/>
      <c r="BP320" s="2162"/>
      <c r="BQ320" s="2162"/>
      <c r="BR320" s="2162"/>
      <c r="BS320" s="2162"/>
      <c r="BT320" s="2162"/>
      <c r="BU320" s="2162"/>
      <c r="BV320" s="2162"/>
      <c r="BW320" s="2162"/>
      <c r="BX320" s="2162"/>
      <c r="BY320" s="2120"/>
      <c r="BZ320" s="2123"/>
      <c r="CA320" s="2123"/>
      <c r="CB320" s="2123"/>
      <c r="CC320" s="2123"/>
      <c r="CD320" s="2123"/>
      <c r="CE320" s="2123"/>
      <c r="CF320" s="2123"/>
    </row>
    <row r="321" spans="1:86" hidden="1" outlineLevel="1">
      <c r="A321" s="2120" t="s">
        <v>913</v>
      </c>
      <c r="B321" s="2127"/>
      <c r="C321" s="2127"/>
      <c r="D321" s="2127"/>
      <c r="E321" s="2127"/>
      <c r="F321" s="2128"/>
      <c r="G321" s="2127"/>
      <c r="H321" s="2127"/>
      <c r="I321" s="2127"/>
      <c r="J321" s="2127"/>
      <c r="K321" s="2128"/>
      <c r="L321" s="2127"/>
      <c r="M321" s="2127"/>
      <c r="N321" s="2127"/>
      <c r="O321" s="2127"/>
      <c r="P321" s="2128"/>
      <c r="Q321" s="2127"/>
      <c r="R321" s="2127"/>
      <c r="S321" s="2127"/>
      <c r="T321" s="2127"/>
      <c r="U321" s="2128"/>
      <c r="V321" s="2127"/>
      <c r="W321" s="2127"/>
      <c r="X321" s="2127"/>
      <c r="Y321" s="2127"/>
      <c r="Z321" s="2128"/>
      <c r="AA321" s="2127"/>
      <c r="AB321" s="2127"/>
      <c r="AC321" s="2127"/>
      <c r="AD321" s="2127"/>
      <c r="AE321" s="2128">
        <f>SUM('Client Unit Model'!AF187:AI187)-AE292-AE293-AE294-AE302-AE311-AE312</f>
        <v>3084.1123415370744</v>
      </c>
      <c r="AF321" s="2129">
        <v>850</v>
      </c>
      <c r="AG321" s="2129">
        <v>350</v>
      </c>
      <c r="AH321" s="2129">
        <v>1050</v>
      </c>
      <c r="AI321" s="2129">
        <v>1000</v>
      </c>
      <c r="AJ321" s="2128">
        <f>SUM(AF321:AI321)</f>
        <v>3250</v>
      </c>
      <c r="AK321" s="2129">
        <v>900</v>
      </c>
      <c r="AL321" s="2129">
        <f>AL325-SUM(AL322:AL324)</f>
        <v>1266.3380528713496</v>
      </c>
      <c r="AM321" s="2129">
        <f>AM325-SUM(AM322:AM324)</f>
        <v>742.91295454545434</v>
      </c>
      <c r="AN321" s="2129">
        <f>AI321*(1.1)</f>
        <v>1100</v>
      </c>
      <c r="AO321" s="2128">
        <f>SUM(AK321:AN321)</f>
        <v>4009.251007416804</v>
      </c>
      <c r="AP321" s="2129">
        <f>AK321*1.1</f>
        <v>990.00000000000011</v>
      </c>
      <c r="AQ321" s="2129">
        <f>AL321*1.03</f>
        <v>1304.3281944574901</v>
      </c>
      <c r="AR321" s="2129">
        <f>AM321*0.98</f>
        <v>728.05469545454525</v>
      </c>
      <c r="AS321" s="2129">
        <f>AN321*0.92</f>
        <v>1012</v>
      </c>
      <c r="AT321" s="2128">
        <f>SUM(AP321:AS321)</f>
        <v>4034.3828899120354</v>
      </c>
      <c r="AU321" s="2129">
        <f>AU392</f>
        <v>960.30000000000007</v>
      </c>
      <c r="AV321" s="2129">
        <f>AV392</f>
        <v>1278.2416305683403</v>
      </c>
      <c r="AW321" s="2129">
        <f>AW392</f>
        <v>728.05469545454525</v>
      </c>
      <c r="AX321" s="2129">
        <f>AX392</f>
        <v>1042.3600000000001</v>
      </c>
      <c r="AY321" s="2128">
        <f>SUM(AU321:AX321)</f>
        <v>4008.9563260228856</v>
      </c>
      <c r="AZ321" s="2129"/>
      <c r="BA321" s="2129"/>
      <c r="BB321" s="2129"/>
      <c r="BC321" s="2129"/>
      <c r="BD321" s="2128"/>
      <c r="BE321" s="2130"/>
      <c r="BF321" s="2129"/>
      <c r="BG321" s="2130"/>
      <c r="BH321" s="2130"/>
      <c r="BI321" s="2131"/>
      <c r="BJ321" s="2130"/>
      <c r="BK321" s="2130"/>
      <c r="BL321" s="2130"/>
      <c r="BM321" s="2130"/>
      <c r="BN321" s="2131"/>
      <c r="BO321" s="2167"/>
      <c r="BP321" s="2167"/>
      <c r="BQ321" s="2167"/>
      <c r="BR321" s="2167"/>
      <c r="BS321" s="2167"/>
      <c r="BT321" s="2167"/>
      <c r="BU321" s="2167"/>
      <c r="BV321" s="2167"/>
      <c r="BW321" s="2167"/>
      <c r="BX321" s="2167"/>
      <c r="BY321" s="2120"/>
      <c r="BZ321" s="2131"/>
      <c r="CA321" s="2131"/>
      <c r="CB321" s="2131">
        <f>SUM(AM321:AN321,AP321:AQ321)</f>
        <v>4137.2411490029444</v>
      </c>
      <c r="CC321" s="2131">
        <f>SUM(AR321:AS321,AU321:AV321)</f>
        <v>3978.5963260228855</v>
      </c>
      <c r="CD321" s="2131">
        <f>SUM(AW321:AX321,AZ321:BA321)</f>
        <v>1770.4146954545454</v>
      </c>
      <c r="CE321" s="2131">
        <f>SUM(BB321:BC321,BE321:BF321)</f>
        <v>0</v>
      </c>
      <c r="CF321" s="2131"/>
    </row>
    <row r="322" spans="1:86" hidden="1" outlineLevel="1">
      <c r="A322" s="2126" t="s">
        <v>915</v>
      </c>
      <c r="B322" s="2127"/>
      <c r="C322" s="2127"/>
      <c r="D322" s="2127"/>
      <c r="E322" s="2127"/>
      <c r="F322" s="2128"/>
      <c r="G322" s="2127"/>
      <c r="H322" s="2127"/>
      <c r="I322" s="2127"/>
      <c r="J322" s="2127"/>
      <c r="K322" s="2128"/>
      <c r="L322" s="2127"/>
      <c r="M322" s="2127"/>
      <c r="N322" s="2127"/>
      <c r="O322" s="2127"/>
      <c r="P322" s="2128"/>
      <c r="Q322" s="2127"/>
      <c r="R322" s="2127"/>
      <c r="S322" s="2127"/>
      <c r="T322" s="2127"/>
      <c r="U322" s="2128"/>
      <c r="V322" s="2127"/>
      <c r="W322" s="2127"/>
      <c r="X322" s="2127"/>
      <c r="Y322" s="2127"/>
      <c r="Z322" s="2128"/>
      <c r="AA322" s="2127"/>
      <c r="AB322" s="2127"/>
      <c r="AC322" s="2127"/>
      <c r="AD322" s="2127"/>
      <c r="AE322" s="2128">
        <v>13945</v>
      </c>
      <c r="AF322" s="2129">
        <v>3254.4196428571427</v>
      </c>
      <c r="AG322" s="2129">
        <v>3798.1696428571431</v>
      </c>
      <c r="AH322" s="2129">
        <v>3722.0454545454554</v>
      </c>
      <c r="AI322" s="2129">
        <v>4123.9210526315801</v>
      </c>
      <c r="AJ322" s="2128">
        <f>SUM(AF322:AI322)</f>
        <v>14898.555792891322</v>
      </c>
      <c r="AK322" s="2129">
        <v>3644.9500000000003</v>
      </c>
      <c r="AL322" s="2129">
        <v>4253.9500000000007</v>
      </c>
      <c r="AM322" s="2129">
        <v>4094.2500000000014</v>
      </c>
      <c r="AN322" s="2129">
        <v>4701.2700000000023</v>
      </c>
      <c r="AO322" s="2128">
        <f>SUM(AK322:AN322)</f>
        <v>16694.420000000006</v>
      </c>
      <c r="AP322" s="2129">
        <v>4045.8945000000008</v>
      </c>
      <c r="AQ322" s="2129">
        <v>4551.7265000000007</v>
      </c>
      <c r="AR322" s="2129">
        <v>4503.675000000002</v>
      </c>
      <c r="AS322" s="2129">
        <v>4701.2700000000023</v>
      </c>
      <c r="AT322" s="2128">
        <f>SUM(AP322:AS322)</f>
        <v>17802.566000000006</v>
      </c>
      <c r="AU322" s="2129">
        <f>AU396</f>
        <v>4045.8945000000008</v>
      </c>
      <c r="AV322" s="2129">
        <f>AV396</f>
        <v>4642.7610300000006</v>
      </c>
      <c r="AW322" s="2129">
        <f>AW396</f>
        <v>4638.7852500000026</v>
      </c>
      <c r="AX322" s="2129">
        <f>AX396</f>
        <v>5030.3589000000029</v>
      </c>
      <c r="AY322" s="2128">
        <f>SUM(AU322:AX322)</f>
        <v>18357.799680000007</v>
      </c>
      <c r="AZ322" s="2129"/>
      <c r="BA322" s="2129"/>
      <c r="BB322" s="2129"/>
      <c r="BC322" s="2129"/>
      <c r="BD322" s="2128"/>
      <c r="BE322" s="2130"/>
      <c r="BF322" s="2129"/>
      <c r="BG322" s="2130"/>
      <c r="BH322" s="2130"/>
      <c r="BI322" s="2131"/>
      <c r="BJ322" s="2130"/>
      <c r="BK322" s="2130"/>
      <c r="BL322" s="2130"/>
      <c r="BM322" s="2130"/>
      <c r="BN322" s="2131"/>
      <c r="BO322" s="2167"/>
      <c r="BP322" s="2167"/>
      <c r="BQ322" s="2167"/>
      <c r="BR322" s="2167"/>
      <c r="BS322" s="2167"/>
      <c r="BT322" s="2167"/>
      <c r="BU322" s="2167"/>
      <c r="BV322" s="2167"/>
      <c r="BW322" s="2167"/>
      <c r="BX322" s="2167"/>
      <c r="BY322" s="2120"/>
      <c r="BZ322" s="2131"/>
      <c r="CA322" s="2131"/>
      <c r="CB322" s="2131">
        <f>SUM(AM322:AN322,AP322:AQ322)</f>
        <v>17393.141000000003</v>
      </c>
      <c r="CC322" s="2131">
        <f>SUM(AR322:AS322,AU322:AV322)</f>
        <v>17893.600530000003</v>
      </c>
      <c r="CD322" s="2131">
        <f>SUM(AW322:AX322,AZ322:BA322)</f>
        <v>9669.1441500000055</v>
      </c>
      <c r="CE322" s="2131">
        <f>SUM(BB322:BC322,BE322:BF322)</f>
        <v>0</v>
      </c>
      <c r="CF322" s="2131"/>
    </row>
    <row r="323" spans="1:86" hidden="1" outlineLevel="1">
      <c r="A323" s="2126" t="s">
        <v>501</v>
      </c>
      <c r="B323" s="2127"/>
      <c r="C323" s="2127"/>
      <c r="D323" s="2127"/>
      <c r="E323" s="2127"/>
      <c r="F323" s="2128"/>
      <c r="G323" s="2127"/>
      <c r="H323" s="2127"/>
      <c r="I323" s="2127"/>
      <c r="J323" s="2127"/>
      <c r="K323" s="2128"/>
      <c r="L323" s="2127"/>
      <c r="M323" s="2127"/>
      <c r="N323" s="2127"/>
      <c r="O323" s="2127"/>
      <c r="P323" s="2128"/>
      <c r="Q323" s="2127"/>
      <c r="R323" s="2127"/>
      <c r="S323" s="2127"/>
      <c r="T323" s="2127"/>
      <c r="U323" s="2128"/>
      <c r="V323" s="2127"/>
      <c r="W323" s="2127"/>
      <c r="X323" s="2127"/>
      <c r="Y323" s="2127"/>
      <c r="Z323" s="2128"/>
      <c r="AA323" s="2127"/>
      <c r="AB323" s="2127"/>
      <c r="AC323" s="2127"/>
      <c r="AD323" s="2127"/>
      <c r="AE323" s="2128">
        <f>'Rev Overview'!BE282-AE315-AE296-AE303</f>
        <v>1614.0832887483357</v>
      </c>
      <c r="AF323" s="2129">
        <f>'Rev Overview'!BF282-AF315-AF296-AF303</f>
        <v>750.26035868927192</v>
      </c>
      <c r="AG323" s="2129">
        <f>'Rev Overview'!BG282-AG315-AG296-AG303</f>
        <v>1096.1969149144843</v>
      </c>
      <c r="AH323" s="2129">
        <v>100</v>
      </c>
      <c r="AI323" s="2129">
        <v>350</v>
      </c>
      <c r="AJ323" s="2128">
        <f>SUM(AF323:AI323)</f>
        <v>2296.4572736037562</v>
      </c>
      <c r="AK323" s="2129">
        <v>100</v>
      </c>
      <c r="AL323" s="2129">
        <v>275</v>
      </c>
      <c r="AM323" s="2129">
        <v>110</v>
      </c>
      <c r="AN323" s="2129">
        <f>AN325-AN324-AN322-AN321</f>
        <v>98.293289473683217</v>
      </c>
      <c r="AO323" s="2128">
        <f>SUM(AK323:AN323)</f>
        <v>583.29328947368322</v>
      </c>
      <c r="AP323" s="2129">
        <f>AP325-AP324-AP322-AP321</f>
        <v>218.67899999999952</v>
      </c>
      <c r="AQ323" s="2129">
        <f>AQ325-AQ324-AQ322-AQ321</f>
        <v>351.07235180494172</v>
      </c>
      <c r="AR323" s="2129">
        <f>AR325-AR324-AR322-AR321</f>
        <v>278.48718636363628</v>
      </c>
      <c r="AS323" s="2129">
        <f>AS325-AS324-AS322-AS321</f>
        <v>364.31189736841952</v>
      </c>
      <c r="AT323" s="2128">
        <f>SUM(AP323:AS323)</f>
        <v>1212.5504355369972</v>
      </c>
      <c r="AU323" s="2129">
        <f>AU400</f>
        <v>214.30541999999951</v>
      </c>
      <c r="AV323" s="2129">
        <f>AV400</f>
        <v>345.80626652786759</v>
      </c>
      <c r="AW323" s="2129">
        <f>AW400</f>
        <v>278.48718636363628</v>
      </c>
      <c r="AX323" s="2129">
        <f>AX400</f>
        <v>371.59813531578794</v>
      </c>
      <c r="AY323" s="2128">
        <f>SUM(AU323:AX323)</f>
        <v>1210.1970082072912</v>
      </c>
      <c r="AZ323" s="2129"/>
      <c r="BA323" s="2129"/>
      <c r="BB323" s="2129"/>
      <c r="BC323" s="2129"/>
      <c r="BD323" s="2128"/>
      <c r="BE323" s="2130"/>
      <c r="BF323" s="2129"/>
      <c r="BG323" s="2130"/>
      <c r="BH323" s="2130"/>
      <c r="BI323" s="2131"/>
      <c r="BJ323" s="2130"/>
      <c r="BK323" s="2130"/>
      <c r="BL323" s="2130"/>
      <c r="BM323" s="2130"/>
      <c r="BN323" s="2131"/>
      <c r="BO323" s="2167"/>
      <c r="BP323" s="2167"/>
      <c r="BQ323" s="2167"/>
      <c r="BR323" s="2167"/>
      <c r="BS323" s="2167"/>
      <c r="BT323" s="2167"/>
      <c r="BU323" s="2167"/>
      <c r="BV323" s="2167"/>
      <c r="BW323" s="2167"/>
      <c r="BX323" s="2167"/>
      <c r="BY323" s="2120"/>
      <c r="BZ323" s="2131"/>
      <c r="CA323" s="2131"/>
      <c r="CB323" s="2131">
        <f>SUM(AM323:AN323,AP323:AQ323)</f>
        <v>778.04464127862445</v>
      </c>
      <c r="CC323" s="2131">
        <f>SUM(AR323:AS323,AU323:AV323)</f>
        <v>1202.9107702599229</v>
      </c>
      <c r="CD323" s="2131">
        <f>SUM(AW323:AX323,AZ323:BA323)</f>
        <v>650.08532167942417</v>
      </c>
      <c r="CE323" s="2131">
        <f>SUM(BB323:BC323,BE323:BF323)</f>
        <v>0</v>
      </c>
      <c r="CF323" s="2131"/>
    </row>
    <row r="324" spans="1:86" hidden="1" outlineLevel="1">
      <c r="A324" s="2169" t="s">
        <v>914</v>
      </c>
      <c r="B324" s="2133"/>
      <c r="C324" s="2133"/>
      <c r="D324" s="2133"/>
      <c r="E324" s="2133"/>
      <c r="F324" s="2134"/>
      <c r="G324" s="2133"/>
      <c r="H324" s="2133"/>
      <c r="I324" s="2133"/>
      <c r="J324" s="2133"/>
      <c r="K324" s="2134"/>
      <c r="L324" s="2133"/>
      <c r="M324" s="2133"/>
      <c r="N324" s="2133"/>
      <c r="O324" s="2133"/>
      <c r="P324" s="2134"/>
      <c r="Q324" s="2133"/>
      <c r="R324" s="2133"/>
      <c r="S324" s="2133"/>
      <c r="T324" s="2133"/>
      <c r="U324" s="2134"/>
      <c r="V324" s="2133"/>
      <c r="W324" s="2133"/>
      <c r="X324" s="2133"/>
      <c r="Y324" s="2133"/>
      <c r="Z324" s="2134"/>
      <c r="AA324" s="2133"/>
      <c r="AB324" s="2133"/>
      <c r="AC324" s="2133"/>
      <c r="AD324" s="2133"/>
      <c r="AE324" s="2134">
        <f>AE325-SUM(AE321:AE323)</f>
        <v>18482.804369714591</v>
      </c>
      <c r="AF324" s="2133">
        <f t="shared" ref="AF324:AK324" si="523">AF325-SUM(AF321:AF323)</f>
        <v>4090.319998453585</v>
      </c>
      <c r="AG324" s="2133">
        <f t="shared" si="523"/>
        <v>4890.6334422283726</v>
      </c>
      <c r="AH324" s="2133">
        <f>AH325-SUM(AH321:AH323)</f>
        <v>5106.9545454545441</v>
      </c>
      <c r="AI324" s="2133">
        <f t="shared" si="523"/>
        <v>5153.0789473684199</v>
      </c>
      <c r="AJ324" s="2134">
        <f>SUM(AF324:AI324)</f>
        <v>19240.986933504922</v>
      </c>
      <c r="AK324" s="2133">
        <f t="shared" si="523"/>
        <v>4966.0499999999993</v>
      </c>
      <c r="AL324" s="2133">
        <f>AG324*1.045</f>
        <v>5110.7119471286487</v>
      </c>
      <c r="AM324" s="2133">
        <f>AH324*1.055</f>
        <v>5387.8370454545438</v>
      </c>
      <c r="AN324" s="2133">
        <f>AI324*1.035</f>
        <v>5333.4367105263145</v>
      </c>
      <c r="AO324" s="2134">
        <f>SUM(AK324:AN324)</f>
        <v>20798.035703109508</v>
      </c>
      <c r="AP324" s="2133">
        <f>AK324*0.93</f>
        <v>4618.4264999999996</v>
      </c>
      <c r="AQ324" s="2133">
        <f>AL324*(1-0.125)</f>
        <v>4471.8729537375675</v>
      </c>
      <c r="AR324" s="2133">
        <f>AM324*(1-0.16)</f>
        <v>4525.7831181818165</v>
      </c>
      <c r="AS324" s="2133">
        <f>AN324*(1-0.18)</f>
        <v>4373.4181026315782</v>
      </c>
      <c r="AT324" s="2134">
        <f>SUM(AP324:AS324)</f>
        <v>17989.50067455096</v>
      </c>
      <c r="AU324" s="2133">
        <f>AU404</f>
        <v>3925.6625249999997</v>
      </c>
      <c r="AV324" s="2133">
        <f>AV404</f>
        <v>3801.0920106769322</v>
      </c>
      <c r="AW324" s="2133">
        <f>AW404</f>
        <v>3982.6891439999986</v>
      </c>
      <c r="AX324" s="2133">
        <f>AX404</f>
        <v>3848.607930315789</v>
      </c>
      <c r="AY324" s="2134">
        <f>SUM(AU324:AX324)</f>
        <v>15558.051609992719</v>
      </c>
      <c r="AZ324" s="2133"/>
      <c r="BA324" s="2133"/>
      <c r="BB324" s="2133"/>
      <c r="BC324" s="2133"/>
      <c r="BD324" s="2134"/>
      <c r="BE324" s="2135"/>
      <c r="BF324" s="2133"/>
      <c r="BG324" s="2135"/>
      <c r="BH324" s="2135"/>
      <c r="BI324" s="2136"/>
      <c r="BJ324" s="2135"/>
      <c r="BK324" s="2135"/>
      <c r="BL324" s="2135"/>
      <c r="BM324" s="2135"/>
      <c r="BN324" s="2136"/>
      <c r="BO324" s="2167"/>
      <c r="BP324" s="2167"/>
      <c r="BQ324" s="2167"/>
      <c r="BR324" s="2167"/>
      <c r="BS324" s="2167"/>
      <c r="BT324" s="2167"/>
      <c r="BU324" s="2167"/>
      <c r="BV324" s="2167"/>
      <c r="BW324" s="2167"/>
      <c r="BX324" s="2167"/>
      <c r="BY324" s="2120"/>
      <c r="BZ324" s="2136"/>
      <c r="CA324" s="2136"/>
      <c r="CB324" s="2136">
        <f>SUM(AM324:AN324,AP324:AQ324)</f>
        <v>19811.573209718426</v>
      </c>
      <c r="CC324" s="2136">
        <f>SUM(AR324:AS324,AU324:AV324)</f>
        <v>16625.955756490326</v>
      </c>
      <c r="CD324" s="2136">
        <f>SUM(AW324:AX324,AZ324:BA324)</f>
        <v>7831.2970743157875</v>
      </c>
      <c r="CE324" s="2136">
        <f>SUM(BB324:BC324,BE324:BF324)</f>
        <v>0</v>
      </c>
      <c r="CF324" s="2136"/>
    </row>
    <row r="325" spans="1:86" hidden="1" outlineLevel="1">
      <c r="A325" s="2137" t="s">
        <v>0</v>
      </c>
      <c r="B325" s="2138"/>
      <c r="C325" s="2138"/>
      <c r="D325" s="2138"/>
      <c r="E325" s="2138"/>
      <c r="F325" s="2139"/>
      <c r="G325" s="2138"/>
      <c r="H325" s="2138"/>
      <c r="I325" s="2138"/>
      <c r="J325" s="2138"/>
      <c r="K325" s="2139"/>
      <c r="L325" s="2138"/>
      <c r="M325" s="2138"/>
      <c r="N325" s="2138"/>
      <c r="O325" s="2138"/>
      <c r="P325" s="2139"/>
      <c r="Q325" s="2138"/>
      <c r="R325" s="2138"/>
      <c r="S325" s="2138"/>
      <c r="T325" s="2138"/>
      <c r="U325" s="2139"/>
      <c r="V325" s="2138"/>
      <c r="W325" s="2138"/>
      <c r="X325" s="2138"/>
      <c r="Y325" s="2138"/>
      <c r="Z325" s="2139"/>
      <c r="AA325" s="2138">
        <f>'Rev Overview'!BA125</f>
        <v>8332</v>
      </c>
      <c r="AB325" s="2138">
        <f>'Rev Overview'!BB125</f>
        <v>9585</v>
      </c>
      <c r="AC325" s="2138">
        <f>'Rev Overview'!BC125</f>
        <v>9090</v>
      </c>
      <c r="AD325" s="2138">
        <f>'Rev Overview'!BD125</f>
        <v>10119</v>
      </c>
      <c r="AE325" s="2139">
        <f>'Rev Overview'!BE125</f>
        <v>37126</v>
      </c>
      <c r="AF325" s="2140">
        <f>'Rev Overview'!BF125</f>
        <v>8945</v>
      </c>
      <c r="AG325" s="2140">
        <f>'Rev Overview'!BG125</f>
        <v>10135</v>
      </c>
      <c r="AH325" s="2140">
        <f>'Rev Overview'!BH125</f>
        <v>9979</v>
      </c>
      <c r="AI325" s="2140">
        <f>'Rev Overview'!BI125</f>
        <v>10627</v>
      </c>
      <c r="AJ325" s="2139">
        <f>'Rev Overview'!BJ125</f>
        <v>39686</v>
      </c>
      <c r="AK325" s="2140">
        <f>'Rev Overview'!BK125</f>
        <v>9611</v>
      </c>
      <c r="AL325" s="2140">
        <f>'Rev Overview'!BL125</f>
        <v>10906</v>
      </c>
      <c r="AM325" s="2140">
        <f>'Rev Overview'!BM125</f>
        <v>10335</v>
      </c>
      <c r="AN325" s="2140">
        <f>'Rev Overview'!BN125</f>
        <v>11233</v>
      </c>
      <c r="AO325" s="2139">
        <f>SUM(AK325:AN325)</f>
        <v>42085</v>
      </c>
      <c r="AP325" s="2140">
        <f>'Rev Overview'!BP125</f>
        <v>9873</v>
      </c>
      <c r="AQ325" s="2140">
        <f>'Rev Overview'!BQ125</f>
        <v>10679</v>
      </c>
      <c r="AR325" s="2140">
        <f>'Rev Overview'!BR125</f>
        <v>10036</v>
      </c>
      <c r="AS325" s="2140">
        <f>'Rev Overview'!BS125</f>
        <v>10451</v>
      </c>
      <c r="AT325" s="2139">
        <f>SUM(AP325:AS325)</f>
        <v>41039</v>
      </c>
      <c r="AU325" s="2140">
        <f>SUM(AU321:AU324)</f>
        <v>9146.1624449999999</v>
      </c>
      <c r="AV325" s="2140">
        <f>SUM(AV321:AV324)</f>
        <v>10067.90093777314</v>
      </c>
      <c r="AW325" s="2140">
        <f>SUM(AW321:AW324)</f>
        <v>9628.0162758181832</v>
      </c>
      <c r="AX325" s="2140">
        <f>SUM(AX321:AX324)</f>
        <v>10292.924965631581</v>
      </c>
      <c r="AY325" s="2139">
        <f>SUM(AU325:AX325)</f>
        <v>39135.0046242229</v>
      </c>
      <c r="AZ325" s="2140"/>
      <c r="BA325" s="2140"/>
      <c r="BB325" s="2140"/>
      <c r="BC325" s="2140"/>
      <c r="BD325" s="2139"/>
      <c r="BE325" s="2140"/>
      <c r="BF325" s="2140"/>
      <c r="BG325" s="2140"/>
      <c r="BH325" s="2140"/>
      <c r="BI325" s="2139"/>
      <c r="BJ325" s="2140"/>
      <c r="BK325" s="2140"/>
      <c r="BL325" s="2140"/>
      <c r="BM325" s="2140"/>
      <c r="BN325" s="2139"/>
      <c r="BO325" s="2138"/>
      <c r="BP325" s="2138"/>
      <c r="BQ325" s="2138"/>
      <c r="BR325" s="2138"/>
      <c r="BS325" s="2138"/>
      <c r="BT325" s="2138"/>
      <c r="BU325" s="2138"/>
      <c r="BV325" s="2138"/>
      <c r="BW325" s="2138"/>
      <c r="BX325" s="2138"/>
      <c r="BY325" s="2120"/>
      <c r="BZ325" s="2139"/>
      <c r="CA325" s="2139"/>
      <c r="CB325" s="2139">
        <f>SUM(AM325:AN325,AP325:AQ325)</f>
        <v>42120</v>
      </c>
      <c r="CC325" s="2139">
        <f>SUM(AR325:AS325,AU325:AV325)</f>
        <v>39701.063382773144</v>
      </c>
      <c r="CD325" s="2139">
        <f>SUM(AW325:AX325,AZ325:BA325)</f>
        <v>19920.941241449764</v>
      </c>
      <c r="CE325" s="2139">
        <f>SUM(BB325:BC325,BE325:BF325)</f>
        <v>0</v>
      </c>
      <c r="CF325" s="2139"/>
    </row>
    <row r="326" spans="1:86" ht="6.75" hidden="1" customHeight="1" outlineLevel="1">
      <c r="A326" s="2120"/>
      <c r="B326" s="2141"/>
      <c r="C326" s="2141"/>
      <c r="D326" s="2141"/>
      <c r="E326" s="2141"/>
      <c r="F326" s="2142"/>
      <c r="G326" s="2141"/>
      <c r="H326" s="2141"/>
      <c r="I326" s="2141"/>
      <c r="J326" s="2141"/>
      <c r="K326" s="2142"/>
      <c r="L326" s="2141"/>
      <c r="M326" s="2141"/>
      <c r="N326" s="2141"/>
      <c r="O326" s="2141"/>
      <c r="P326" s="2142"/>
      <c r="Q326" s="2141"/>
      <c r="R326" s="2141"/>
      <c r="S326" s="2141"/>
      <c r="T326" s="2141"/>
      <c r="U326" s="2142"/>
      <c r="V326" s="2141"/>
      <c r="W326" s="2141"/>
      <c r="X326" s="2141"/>
      <c r="Y326" s="2141"/>
      <c r="Z326" s="2142"/>
      <c r="AA326" s="2141"/>
      <c r="AB326" s="2141"/>
      <c r="AC326" s="2141"/>
      <c r="AD326" s="2141"/>
      <c r="AE326" s="2142"/>
      <c r="AF326" s="2156"/>
      <c r="AG326" s="2156"/>
      <c r="AH326" s="2157"/>
      <c r="AI326" s="2156"/>
      <c r="AJ326" s="2142"/>
      <c r="AK326" s="2156"/>
      <c r="AL326" s="2156"/>
      <c r="AM326" s="2157"/>
      <c r="AN326" s="2156"/>
      <c r="AO326" s="2158"/>
      <c r="AP326" s="2156"/>
      <c r="AQ326" s="2156"/>
      <c r="AR326" s="2156"/>
      <c r="AS326" s="2156"/>
      <c r="AT326" s="2158"/>
      <c r="AU326" s="2156"/>
      <c r="AV326" s="2156"/>
      <c r="AW326" s="2156"/>
      <c r="AX326" s="2156"/>
      <c r="AY326" s="2158"/>
      <c r="AZ326" s="2156"/>
      <c r="BA326" s="2156"/>
      <c r="BB326" s="2156"/>
      <c r="BC326" s="2156"/>
      <c r="BD326" s="2158"/>
      <c r="BE326" s="2159"/>
      <c r="BF326" s="2156"/>
      <c r="BG326" s="2159"/>
      <c r="BH326" s="2159"/>
      <c r="BI326" s="2160"/>
      <c r="BJ326" s="2159"/>
      <c r="BK326" s="2159"/>
      <c r="BL326" s="2159"/>
      <c r="BM326" s="2159"/>
      <c r="BN326" s="2160"/>
      <c r="BO326" s="2637"/>
      <c r="BP326" s="2637"/>
      <c r="BQ326" s="2637"/>
      <c r="BR326" s="2637"/>
      <c r="BS326" s="2637"/>
      <c r="BT326" s="2637"/>
      <c r="BU326" s="2637"/>
      <c r="BV326" s="2637"/>
      <c r="BW326" s="2637"/>
      <c r="BX326" s="2637"/>
      <c r="BY326" s="2120"/>
      <c r="BZ326" s="2160"/>
      <c r="CA326" s="2160"/>
      <c r="CB326" s="2160"/>
      <c r="CC326" s="2160"/>
      <c r="CD326" s="2160"/>
      <c r="CE326" s="2160"/>
      <c r="CF326" s="2160"/>
    </row>
    <row r="327" spans="1:86" hidden="1" outlineLevel="1">
      <c r="A327" s="2121" t="s">
        <v>502</v>
      </c>
      <c r="B327" s="2122"/>
      <c r="C327" s="2122"/>
      <c r="D327" s="2122"/>
      <c r="E327" s="2122"/>
      <c r="F327" s="2123"/>
      <c r="G327" s="2122"/>
      <c r="H327" s="2122"/>
      <c r="I327" s="2122"/>
      <c r="J327" s="2122"/>
      <c r="K327" s="2123"/>
      <c r="L327" s="2122"/>
      <c r="M327" s="2122"/>
      <c r="N327" s="2122"/>
      <c r="O327" s="2122"/>
      <c r="P327" s="2123"/>
      <c r="Q327" s="2122"/>
      <c r="R327" s="2122"/>
      <c r="S327" s="2122"/>
      <c r="T327" s="2122"/>
      <c r="U327" s="2123"/>
      <c r="V327" s="2122"/>
      <c r="W327" s="2122"/>
      <c r="X327" s="2122"/>
      <c r="Y327" s="2122"/>
      <c r="Z327" s="2123"/>
      <c r="AA327" s="2122"/>
      <c r="AB327" s="2122"/>
      <c r="AC327" s="2122"/>
      <c r="AD327" s="2122"/>
      <c r="AE327" s="2123"/>
      <c r="AF327" s="2124"/>
      <c r="AG327" s="2122"/>
      <c r="AH327" s="2122"/>
      <c r="AI327" s="2122"/>
      <c r="AJ327" s="2123"/>
      <c r="AK327" s="2125"/>
      <c r="AL327" s="2122"/>
      <c r="AM327" s="2122"/>
      <c r="AN327" s="2124"/>
      <c r="AO327" s="2123"/>
      <c r="AP327" s="2122"/>
      <c r="AQ327" s="2122"/>
      <c r="AR327" s="2122"/>
      <c r="AS327" s="2122"/>
      <c r="AT327" s="2123"/>
      <c r="AU327" s="2122"/>
      <c r="AV327" s="2122"/>
      <c r="AW327" s="2122"/>
      <c r="AX327" s="2122"/>
      <c r="AY327" s="2123"/>
      <c r="AZ327" s="2122"/>
      <c r="BA327" s="2122"/>
      <c r="BB327" s="2122"/>
      <c r="BC327" s="2122"/>
      <c r="BD327" s="2123"/>
      <c r="BE327" s="2122"/>
      <c r="BF327" s="2122"/>
      <c r="BG327" s="2122"/>
      <c r="BH327" s="2122"/>
      <c r="BI327" s="2123"/>
      <c r="BJ327" s="2122"/>
      <c r="BK327" s="2122"/>
      <c r="BL327" s="2122"/>
      <c r="BM327" s="2122"/>
      <c r="BN327" s="2123"/>
      <c r="BO327" s="2162"/>
      <c r="BP327" s="2162"/>
      <c r="BQ327" s="2162"/>
      <c r="BR327" s="2162"/>
      <c r="BS327" s="2162"/>
      <c r="BT327" s="2162"/>
      <c r="BU327" s="2162"/>
      <c r="BV327" s="2162"/>
      <c r="BW327" s="2162"/>
      <c r="BX327" s="2162"/>
      <c r="BY327" s="2120"/>
      <c r="BZ327" s="2123"/>
      <c r="CA327" s="2123"/>
      <c r="CB327" s="2123"/>
      <c r="CC327" s="2123"/>
      <c r="CD327" s="2123"/>
      <c r="CE327" s="2123"/>
      <c r="CF327" s="2123"/>
    </row>
    <row r="328" spans="1:86" hidden="1" outlineLevel="1">
      <c r="A328" s="2120" t="s">
        <v>503</v>
      </c>
      <c r="B328" s="2127"/>
      <c r="C328" s="2127"/>
      <c r="D328" s="2127"/>
      <c r="E328" s="2127"/>
      <c r="F328" s="2128"/>
      <c r="G328" s="2127"/>
      <c r="H328" s="2127"/>
      <c r="I328" s="2127"/>
      <c r="J328" s="2127"/>
      <c r="K328" s="2128"/>
      <c r="L328" s="2127"/>
      <c r="M328" s="2127"/>
      <c r="N328" s="2127"/>
      <c r="O328" s="2127"/>
      <c r="P328" s="2128"/>
      <c r="Q328" s="2127"/>
      <c r="R328" s="2127"/>
      <c r="S328" s="2127"/>
      <c r="T328" s="2127"/>
      <c r="U328" s="2128"/>
      <c r="V328" s="2127"/>
      <c r="W328" s="2127"/>
      <c r="X328" s="2127"/>
      <c r="Y328" s="2127"/>
      <c r="Z328" s="2128"/>
      <c r="AA328" s="2127"/>
      <c r="AB328" s="2127"/>
      <c r="AC328" s="2127"/>
      <c r="AD328" s="2127"/>
      <c r="AE328" s="2128">
        <f>(595/0.18)*1.18</f>
        <v>3900.5555555555557</v>
      </c>
      <c r="AF328" s="2129">
        <v>1045</v>
      </c>
      <c r="AG328" s="2129">
        <v>1075</v>
      </c>
      <c r="AH328" s="2129">
        <v>1000</v>
      </c>
      <c r="AI328" s="2129">
        <v>1102</v>
      </c>
      <c r="AJ328" s="2128">
        <f>SUM(AF328:AI328)</f>
        <v>4222</v>
      </c>
      <c r="AK328" s="2129">
        <f>AF328*1.09</f>
        <v>1139.0500000000002</v>
      </c>
      <c r="AL328" s="2129">
        <f>AG328*1.074</f>
        <v>1154.5500000000002</v>
      </c>
      <c r="AM328" s="2129">
        <f>AH328*1.084</f>
        <v>1084</v>
      </c>
      <c r="AN328" s="2129">
        <f>AI328*1.115</f>
        <v>1228.73</v>
      </c>
      <c r="AO328" s="2128">
        <f>SUM(AK328:AN328)</f>
        <v>4606.33</v>
      </c>
      <c r="AP328" s="2129">
        <f>AK328*1.135</f>
        <v>1292.8217500000003</v>
      </c>
      <c r="AQ328" s="2129">
        <f>AL328*1.1</f>
        <v>1270.0050000000003</v>
      </c>
      <c r="AR328" s="2129">
        <f>AM328*1.074</f>
        <v>1164.2160000000001</v>
      </c>
      <c r="AS328" s="2129">
        <f>AN328*(1-0.0145)</f>
        <v>1210.913415</v>
      </c>
      <c r="AT328" s="2128">
        <f>SUM(AP328:AS328)</f>
        <v>4937.9561650000005</v>
      </c>
      <c r="AU328" s="2129">
        <f>AU414</f>
        <v>1318.6781850000002</v>
      </c>
      <c r="AV328" s="2129">
        <f>AV414</f>
        <v>1308.1051500000003</v>
      </c>
      <c r="AW328" s="2129">
        <f>AW414</f>
        <v>1222.4268000000002</v>
      </c>
      <c r="AX328" s="2129">
        <f>AX414</f>
        <v>1295.6773540500001</v>
      </c>
      <c r="AY328" s="2128">
        <f>SUM(AU328:AX328)</f>
        <v>5144.887489050001</v>
      </c>
      <c r="AZ328" s="2129"/>
      <c r="BA328" s="2129"/>
      <c r="BB328" s="2129"/>
      <c r="BC328" s="2129"/>
      <c r="BD328" s="2128"/>
      <c r="BE328" s="2130"/>
      <c r="BF328" s="2129"/>
      <c r="BG328" s="2130"/>
      <c r="BH328" s="2130"/>
      <c r="BI328" s="2131"/>
      <c r="BJ328" s="2130"/>
      <c r="BK328" s="2130"/>
      <c r="BL328" s="2130"/>
      <c r="BM328" s="2130"/>
      <c r="BN328" s="2131"/>
      <c r="BO328" s="2167"/>
      <c r="BP328" s="2167"/>
      <c r="BQ328" s="2167"/>
      <c r="BR328" s="2167"/>
      <c r="BS328" s="2167"/>
      <c r="BT328" s="2167"/>
      <c r="BU328" s="2167"/>
      <c r="BV328" s="2167"/>
      <c r="BW328" s="2167"/>
      <c r="BX328" s="2167"/>
      <c r="BY328" s="2120"/>
      <c r="BZ328" s="2131"/>
      <c r="CA328" s="2131"/>
      <c r="CB328" s="2131">
        <f>SUM(AM328:AN328,AP328:AQ328)</f>
        <v>4875.5567500000006</v>
      </c>
      <c r="CC328" s="2131">
        <f>SUM(AR328:AS328,AU328:AV328)</f>
        <v>5001.9127500000013</v>
      </c>
      <c r="CD328" s="2131">
        <f>SUM(AW328:AX328,AZ328:BA328)</f>
        <v>2518.10415405</v>
      </c>
      <c r="CE328" s="2131">
        <f>SUM(BB328:BC328,BE328:BF328)</f>
        <v>0</v>
      </c>
      <c r="CF328" s="2131"/>
    </row>
    <row r="329" spans="1:86" hidden="1" outlineLevel="1">
      <c r="A329" s="2126" t="s">
        <v>918</v>
      </c>
      <c r="B329" s="2127"/>
      <c r="C329" s="2127"/>
      <c r="D329" s="2127"/>
      <c r="E329" s="2127"/>
      <c r="F329" s="2128"/>
      <c r="G329" s="2127"/>
      <c r="H329" s="2127"/>
      <c r="I329" s="2127"/>
      <c r="J329" s="2127"/>
      <c r="K329" s="2128"/>
      <c r="L329" s="2127"/>
      <c r="M329" s="2127"/>
      <c r="N329" s="2127"/>
      <c r="O329" s="2127"/>
      <c r="P329" s="2128"/>
      <c r="Q329" s="2127"/>
      <c r="R329" s="2127"/>
      <c r="S329" s="2127"/>
      <c r="T329" s="2127"/>
      <c r="U329" s="2128"/>
      <c r="V329" s="2127"/>
      <c r="W329" s="2127"/>
      <c r="X329" s="2127"/>
      <c r="Y329" s="2127"/>
      <c r="Z329" s="2128"/>
      <c r="AA329" s="2127"/>
      <c r="AB329" s="2127"/>
      <c r="AC329" s="2127"/>
      <c r="AD329" s="2127"/>
      <c r="AE329" s="2128">
        <f>SUM(AE330:AE331)</f>
        <v>743.44444444444434</v>
      </c>
      <c r="AF329" s="2129">
        <f>SUM(AF330:AF331)</f>
        <v>203</v>
      </c>
      <c r="AG329" s="2129">
        <f>SUM(AG330:AG331)</f>
        <v>314</v>
      </c>
      <c r="AH329" s="2129">
        <f>SUM(AH330:AH331)</f>
        <v>449</v>
      </c>
      <c r="AI329" s="2129">
        <f>SUM(AI330:AI331)</f>
        <v>472</v>
      </c>
      <c r="AJ329" s="2128">
        <f>SUM(AF329:AI329)</f>
        <v>1438</v>
      </c>
      <c r="AK329" s="2129">
        <f>SUM(AK330:AK331)</f>
        <v>462.94999999999982</v>
      </c>
      <c r="AL329" s="2129">
        <f>SUM(AL330:AL331)</f>
        <v>625.44999999999982</v>
      </c>
      <c r="AM329" s="2129">
        <f>SUM(AM330:AM331)</f>
        <v>818</v>
      </c>
      <c r="AN329" s="2129">
        <f>SUM(AN330:AN331)</f>
        <v>1033.27</v>
      </c>
      <c r="AO329" s="2128">
        <f>SUM(AK329:AN329)</f>
        <v>2939.6699999999996</v>
      </c>
      <c r="AP329" s="2129">
        <f>SUM(AP330:AP331)</f>
        <v>1114.1782499999997</v>
      </c>
      <c r="AQ329" s="2129">
        <f>SUM(AQ330:AQ331)</f>
        <v>1322.9949999999997</v>
      </c>
      <c r="AR329" s="2129">
        <f>SUM(AR330:AR331)</f>
        <v>1595.7839999999999</v>
      </c>
      <c r="AS329" s="2129">
        <f>SUM(AS330:AS331)</f>
        <v>1865.086585</v>
      </c>
      <c r="AT329" s="2128">
        <f>SUM(AP329:AS329)</f>
        <v>5898.0438349999995</v>
      </c>
      <c r="AU329" s="2129">
        <f>SUM(AU330:AU331)</f>
        <v>1867.8819599999997</v>
      </c>
      <c r="AV329" s="2129">
        <f>SUM(AV330:AV331)</f>
        <v>2182.941749999999</v>
      </c>
      <c r="AW329" s="2129">
        <f>SUM(AW330:AW331)</f>
        <v>2624.8873499999995</v>
      </c>
      <c r="AX329" s="2129">
        <f>SUM(AX330:AX331)</f>
        <v>2984.1385360000004</v>
      </c>
      <c r="AY329" s="2128">
        <f>SUM(AU329:AX329)</f>
        <v>9659.8495959999982</v>
      </c>
      <c r="AZ329" s="2129"/>
      <c r="BA329" s="2129"/>
      <c r="BB329" s="2129"/>
      <c r="BC329" s="2129"/>
      <c r="BD329" s="2128"/>
      <c r="BE329" s="2130"/>
      <c r="BF329" s="2129"/>
      <c r="BG329" s="2130"/>
      <c r="BH329" s="2130"/>
      <c r="BI329" s="2131"/>
      <c r="BJ329" s="2130"/>
      <c r="BK329" s="2130"/>
      <c r="BL329" s="2130"/>
      <c r="BM329" s="2130"/>
      <c r="BN329" s="2131"/>
      <c r="BO329" s="2167"/>
      <c r="BP329" s="2167"/>
      <c r="BQ329" s="2167"/>
      <c r="BR329" s="2167"/>
      <c r="BS329" s="2167"/>
      <c r="BT329" s="2167"/>
      <c r="BU329" s="2167"/>
      <c r="BV329" s="2167"/>
      <c r="BW329" s="2167"/>
      <c r="BX329" s="2167"/>
      <c r="BY329" s="2120"/>
      <c r="BZ329" s="2131"/>
      <c r="CA329" s="2131"/>
      <c r="CB329" s="2131">
        <f>SUM(AM329:AN329,AP329:AQ329)</f>
        <v>4288.4432499999994</v>
      </c>
      <c r="CC329" s="2131">
        <f>SUM(AR329:AS329,AU329:AV329)</f>
        <v>7511.6942949999984</v>
      </c>
      <c r="CD329" s="2131">
        <f>SUM(AW329:AX329,AZ329:BA329)</f>
        <v>5609.0258859999994</v>
      </c>
      <c r="CE329" s="2131">
        <f>SUM(BB329:BC329,BE329:BF329)</f>
        <v>0</v>
      </c>
      <c r="CF329" s="2131"/>
      <c r="CG329" s="1003"/>
      <c r="CH329" s="1003"/>
    </row>
    <row r="330" spans="1:86" s="1006" customFormat="1" hidden="1" outlineLevel="1">
      <c r="A330" s="2147" t="s">
        <v>919</v>
      </c>
      <c r="B330" s="2148"/>
      <c r="C330" s="2148"/>
      <c r="D330" s="2148"/>
      <c r="E330" s="2148"/>
      <c r="F330" s="2149"/>
      <c r="G330" s="2148"/>
      <c r="H330" s="2148"/>
      <c r="I330" s="2148"/>
      <c r="J330" s="2148"/>
      <c r="K330" s="2149"/>
      <c r="L330" s="2148"/>
      <c r="M330" s="2148"/>
      <c r="N330" s="2148"/>
      <c r="O330" s="2148"/>
      <c r="P330" s="2149"/>
      <c r="Q330" s="2148"/>
      <c r="R330" s="2148"/>
      <c r="S330" s="2148"/>
      <c r="T330" s="2148"/>
      <c r="U330" s="2149"/>
      <c r="V330" s="2148"/>
      <c r="W330" s="2148"/>
      <c r="X330" s="2148"/>
      <c r="Y330" s="2148"/>
      <c r="Z330" s="2149"/>
      <c r="AA330" s="2148"/>
      <c r="AB330" s="2148"/>
      <c r="AC330" s="2148"/>
      <c r="AD330" s="2148"/>
      <c r="AE330" s="2149">
        <v>100</v>
      </c>
      <c r="AF330" s="2150">
        <v>50</v>
      </c>
      <c r="AG330" s="2150">
        <v>75</v>
      </c>
      <c r="AH330" s="2150">
        <v>75</v>
      </c>
      <c r="AI330" s="2150">
        <v>90</v>
      </c>
      <c r="AJ330" s="2149">
        <f>SUM(AF330:AI330)</f>
        <v>290</v>
      </c>
      <c r="AK330" s="2150">
        <f>AF330*1.5</f>
        <v>75</v>
      </c>
      <c r="AL330" s="2150">
        <f>AG330*1.5</f>
        <v>112.5</v>
      </c>
      <c r="AM330" s="2150">
        <f>AH330*1.45</f>
        <v>108.75</v>
      </c>
      <c r="AN330" s="2150">
        <f>AI330*1.5</f>
        <v>135</v>
      </c>
      <c r="AO330" s="2149">
        <f>SUM(AK330:AN330)</f>
        <v>431.25</v>
      </c>
      <c r="AP330" s="2150">
        <f>AK330*1.75</f>
        <v>131.25</v>
      </c>
      <c r="AQ330" s="2150">
        <f>AL330*1.5</f>
        <v>168.75</v>
      </c>
      <c r="AR330" s="2150">
        <f>AM330*1.5</f>
        <v>163.125</v>
      </c>
      <c r="AS330" s="2150">
        <f>AN330*2</f>
        <v>270</v>
      </c>
      <c r="AT330" s="2149">
        <f>SUM(AP330:AS330)</f>
        <v>733.125</v>
      </c>
      <c r="AU330" s="2150">
        <f>AU418</f>
        <v>216.5625</v>
      </c>
      <c r="AV330" s="2150">
        <f>AV418</f>
        <v>278.4375</v>
      </c>
      <c r="AW330" s="2150">
        <f>AW418</f>
        <v>261</v>
      </c>
      <c r="AX330" s="2150">
        <f>AX418</f>
        <v>432</v>
      </c>
      <c r="AY330" s="2149">
        <f>SUM(AU330:AX330)</f>
        <v>1188</v>
      </c>
      <c r="AZ330" s="2150"/>
      <c r="BA330" s="2150"/>
      <c r="BB330" s="2150"/>
      <c r="BC330" s="2150"/>
      <c r="BD330" s="2149"/>
      <c r="BE330" s="2150"/>
      <c r="BF330" s="2150"/>
      <c r="BG330" s="2150"/>
      <c r="BH330" s="2150"/>
      <c r="BI330" s="2149"/>
      <c r="BJ330" s="2150"/>
      <c r="BK330" s="2150"/>
      <c r="BL330" s="2150"/>
      <c r="BM330" s="2150"/>
      <c r="BN330" s="2149"/>
      <c r="BO330" s="2148"/>
      <c r="BP330" s="2148"/>
      <c r="BQ330" s="2148"/>
      <c r="BR330" s="2148"/>
      <c r="BS330" s="2148"/>
      <c r="BT330" s="2148"/>
      <c r="BU330" s="2148"/>
      <c r="BV330" s="2148"/>
      <c r="BW330" s="2148"/>
      <c r="BX330" s="2148"/>
      <c r="BY330" s="2147"/>
      <c r="BZ330" s="2149"/>
      <c r="CA330" s="2149"/>
      <c r="CB330" s="2149">
        <f>SUM(AM330:AN330,AP330:AQ330)</f>
        <v>543.75</v>
      </c>
      <c r="CC330" s="2149">
        <f>SUM(AR330:AS330,AU330:AV330)</f>
        <v>928.125</v>
      </c>
      <c r="CD330" s="2149">
        <f>SUM(AW330:AX330,AZ330:BA330)</f>
        <v>693</v>
      </c>
      <c r="CE330" s="2149">
        <f>SUM(BB330:BC330,BE330:BF330)</f>
        <v>0</v>
      </c>
      <c r="CF330" s="2149"/>
    </row>
    <row r="331" spans="1:86" s="1006" customFormat="1" hidden="1" outlineLevel="1">
      <c r="A331" s="2151" t="s">
        <v>920</v>
      </c>
      <c r="B331" s="2152"/>
      <c r="C331" s="2152"/>
      <c r="D331" s="2152"/>
      <c r="E331" s="2152"/>
      <c r="F331" s="2153"/>
      <c r="G331" s="2152"/>
      <c r="H331" s="2152"/>
      <c r="I331" s="2152"/>
      <c r="J331" s="2152"/>
      <c r="K331" s="2153"/>
      <c r="L331" s="2152"/>
      <c r="M331" s="2152"/>
      <c r="N331" s="2152"/>
      <c r="O331" s="2152"/>
      <c r="P331" s="2153"/>
      <c r="Q331" s="2152"/>
      <c r="R331" s="2152"/>
      <c r="S331" s="2152"/>
      <c r="T331" s="2152"/>
      <c r="U331" s="2153"/>
      <c r="V331" s="2152"/>
      <c r="W331" s="2152"/>
      <c r="X331" s="2152"/>
      <c r="Y331" s="2152"/>
      <c r="Z331" s="2153"/>
      <c r="AA331" s="2152"/>
      <c r="AB331" s="2152"/>
      <c r="AC331" s="2152"/>
      <c r="AD331" s="2152"/>
      <c r="AE331" s="2153">
        <f t="shared" ref="AE331:AM331" si="524">AE332-SUM(AE328,AE330)</f>
        <v>643.44444444444434</v>
      </c>
      <c r="AF331" s="2152">
        <f t="shared" si="524"/>
        <v>153</v>
      </c>
      <c r="AG331" s="2152">
        <f t="shared" si="524"/>
        <v>239</v>
      </c>
      <c r="AH331" s="2152">
        <f t="shared" si="524"/>
        <v>374</v>
      </c>
      <c r="AI331" s="2152">
        <f>AI332-SUM(AI328,AI330)</f>
        <v>382</v>
      </c>
      <c r="AJ331" s="2153">
        <f t="shared" si="524"/>
        <v>1148</v>
      </c>
      <c r="AK331" s="2152">
        <f t="shared" si="524"/>
        <v>387.94999999999982</v>
      </c>
      <c r="AL331" s="2152">
        <f t="shared" si="524"/>
        <v>512.94999999999982</v>
      </c>
      <c r="AM331" s="2152">
        <f t="shared" si="524"/>
        <v>709.25</v>
      </c>
      <c r="AN331" s="2152">
        <f>AN332-SUM(AN328,AN330)</f>
        <v>898.27</v>
      </c>
      <c r="AO331" s="2153">
        <f>SUM(AK331:AN331)</f>
        <v>2508.4199999999996</v>
      </c>
      <c r="AP331" s="2152">
        <f>AP332-SUM(AP328,AP330)</f>
        <v>982.92824999999971</v>
      </c>
      <c r="AQ331" s="2152">
        <f>AQ332-SUM(AQ328,AQ330)</f>
        <v>1154.2449999999997</v>
      </c>
      <c r="AR331" s="2152">
        <f>AR332-SUM(AR328,AR330)</f>
        <v>1432.6589999999999</v>
      </c>
      <c r="AS331" s="2152">
        <f>AS332-SUM(AS328,AS330)</f>
        <v>1595.086585</v>
      </c>
      <c r="AT331" s="2153">
        <f>SUM(AP331:AS331)</f>
        <v>5164.9188349999995</v>
      </c>
      <c r="AU331" s="2152">
        <f>AU422</f>
        <v>1651.3194599999997</v>
      </c>
      <c r="AV331" s="2152">
        <f>AV422</f>
        <v>1904.5042499999993</v>
      </c>
      <c r="AW331" s="2152">
        <f>AW422</f>
        <v>2363.8873499999995</v>
      </c>
      <c r="AX331" s="2152">
        <f>AX422</f>
        <v>2552.1385360000004</v>
      </c>
      <c r="AY331" s="2153">
        <f>SUM(AU331:AX331)</f>
        <v>8471.8495959999982</v>
      </c>
      <c r="AZ331" s="2152"/>
      <c r="BA331" s="2152"/>
      <c r="BB331" s="2152"/>
      <c r="BC331" s="2152"/>
      <c r="BD331" s="2153"/>
      <c r="BE331" s="2152"/>
      <c r="BF331" s="2152"/>
      <c r="BG331" s="2152"/>
      <c r="BH331" s="2152"/>
      <c r="BI331" s="2153"/>
      <c r="BJ331" s="2152"/>
      <c r="BK331" s="2152"/>
      <c r="BL331" s="2152"/>
      <c r="BM331" s="2152"/>
      <c r="BN331" s="2153"/>
      <c r="BO331" s="2148"/>
      <c r="BP331" s="2148"/>
      <c r="BQ331" s="2148"/>
      <c r="BR331" s="2148"/>
      <c r="BS331" s="2148"/>
      <c r="BT331" s="2148"/>
      <c r="BU331" s="2148"/>
      <c r="BV331" s="2148"/>
      <c r="BW331" s="2148"/>
      <c r="BX331" s="2148"/>
      <c r="BY331" s="2147"/>
      <c r="BZ331" s="2153"/>
      <c r="CA331" s="2153"/>
      <c r="CB331" s="2153">
        <f>SUM(AM331:AN331,AP331:AQ331)</f>
        <v>3744.6932499999994</v>
      </c>
      <c r="CC331" s="2153">
        <f>SUM(AR331:AS331,AU331:AV331)</f>
        <v>6583.5692949999984</v>
      </c>
      <c r="CD331" s="2153">
        <f>SUM(AW331:AX331,AZ331:BA331)</f>
        <v>4916.0258859999994</v>
      </c>
      <c r="CE331" s="2153">
        <f>SUM(BB331:BC331,BE331:BF331)</f>
        <v>0</v>
      </c>
      <c r="CF331" s="2153"/>
    </row>
    <row r="332" spans="1:86" hidden="1" outlineLevel="1">
      <c r="A332" s="2137" t="s">
        <v>0</v>
      </c>
      <c r="B332" s="2138"/>
      <c r="C332" s="2138"/>
      <c r="D332" s="2138"/>
      <c r="E332" s="2138"/>
      <c r="F332" s="2139"/>
      <c r="G332" s="2138"/>
      <c r="H332" s="2138"/>
      <c r="I332" s="2138"/>
      <c r="J332" s="2138"/>
      <c r="K332" s="2139"/>
      <c r="L332" s="2138"/>
      <c r="M332" s="2138"/>
      <c r="N332" s="2138"/>
      <c r="O332" s="2138"/>
      <c r="P332" s="2139"/>
      <c r="Q332" s="2138"/>
      <c r="R332" s="2138"/>
      <c r="S332" s="2138"/>
      <c r="T332" s="2138"/>
      <c r="U332" s="2139"/>
      <c r="V332" s="2138"/>
      <c r="W332" s="2138"/>
      <c r="X332" s="2138"/>
      <c r="Y332" s="2138"/>
      <c r="Z332" s="2139"/>
      <c r="AA332" s="2138">
        <f>'Rev Overview'!BA130</f>
        <v>1039</v>
      </c>
      <c r="AB332" s="2138">
        <f>'Rev Overview'!BB130</f>
        <v>1166</v>
      </c>
      <c r="AC332" s="2138">
        <f>'Rev Overview'!BC130</f>
        <v>1157</v>
      </c>
      <c r="AD332" s="2138">
        <f>'Rev Overview'!BD130</f>
        <v>1282</v>
      </c>
      <c r="AE332" s="2139">
        <f>'Rev Overview'!BE130</f>
        <v>4644</v>
      </c>
      <c r="AF332" s="2140">
        <f>'Rev Overview'!BF130</f>
        <v>1248</v>
      </c>
      <c r="AG332" s="2140">
        <f>'Rev Overview'!BG130</f>
        <v>1389</v>
      </c>
      <c r="AH332" s="2140">
        <f>'Rev Overview'!BH130</f>
        <v>1449</v>
      </c>
      <c r="AI332" s="2140">
        <f>'Rev Overview'!BI130</f>
        <v>1574</v>
      </c>
      <c r="AJ332" s="2139">
        <f>'Rev Overview'!BJ130</f>
        <v>5660</v>
      </c>
      <c r="AK332" s="2140">
        <f>'Rev Overview'!BK130</f>
        <v>1602</v>
      </c>
      <c r="AL332" s="2140">
        <f>'Rev Overview'!BL130</f>
        <v>1780</v>
      </c>
      <c r="AM332" s="2140">
        <f>'Rev Overview'!BM130</f>
        <v>1902</v>
      </c>
      <c r="AN332" s="2140">
        <f>'Rev Overview'!BN130</f>
        <v>2262</v>
      </c>
      <c r="AO332" s="2139">
        <f>SUM(AK332:AN332)</f>
        <v>7546</v>
      </c>
      <c r="AP332" s="2140">
        <f>'Rev Overview'!BP130</f>
        <v>2407</v>
      </c>
      <c r="AQ332" s="2140">
        <f>'Rev Overview'!BQ130</f>
        <v>2593</v>
      </c>
      <c r="AR332" s="2140">
        <f>'Rev Overview'!BR130</f>
        <v>2760</v>
      </c>
      <c r="AS332" s="2140">
        <f>'Rev Overview'!BS130</f>
        <v>3076</v>
      </c>
      <c r="AT332" s="2139">
        <f>SUM(AP332:AS332)</f>
        <v>10836</v>
      </c>
      <c r="AU332" s="2140">
        <f>SUM(AU328:AU329)</f>
        <v>3186.5601449999999</v>
      </c>
      <c r="AV332" s="2140">
        <f>SUM(AV328:AV329)</f>
        <v>3491.0468999999994</v>
      </c>
      <c r="AW332" s="2140">
        <f>SUM(AW328:AW329)</f>
        <v>3847.3141499999997</v>
      </c>
      <c r="AX332" s="2140">
        <f>SUM(AX328:AX329)</f>
        <v>4279.8158900500002</v>
      </c>
      <c r="AY332" s="2139">
        <f>SUM(AU332:AX332)</f>
        <v>14804.737085049999</v>
      </c>
      <c r="AZ332" s="2140"/>
      <c r="BA332" s="2140"/>
      <c r="BB332" s="2140"/>
      <c r="BC332" s="2140"/>
      <c r="BD332" s="2139"/>
      <c r="BE332" s="2140"/>
      <c r="BF332" s="2140"/>
      <c r="BG332" s="2140"/>
      <c r="BH332" s="2140"/>
      <c r="BI332" s="2139"/>
      <c r="BJ332" s="2140"/>
      <c r="BK332" s="2140"/>
      <c r="BL332" s="2140"/>
      <c r="BM332" s="2140"/>
      <c r="BN332" s="2139"/>
      <c r="BO332" s="2138"/>
      <c r="BP332" s="2138"/>
      <c r="BQ332" s="2138"/>
      <c r="BR332" s="2138"/>
      <c r="BS332" s="2138"/>
      <c r="BT332" s="2138"/>
      <c r="BU332" s="2138"/>
      <c r="BV332" s="2138"/>
      <c r="BW332" s="2138"/>
      <c r="BX332" s="2138"/>
      <c r="BY332" s="2120"/>
      <c r="BZ332" s="2139"/>
      <c r="CA332" s="2139"/>
      <c r="CB332" s="2139">
        <f>SUM(AM332:AN332,AP332:AQ332)</f>
        <v>9164</v>
      </c>
      <c r="CC332" s="2139">
        <f>SUM(AR332:AS332,AU332:AV332)</f>
        <v>12513.607044999999</v>
      </c>
      <c r="CD332" s="2139">
        <f>SUM(AW332:AX332,AZ332:BA332)</f>
        <v>8127.1300400500004</v>
      </c>
      <c r="CE332" s="2139">
        <f>SUM(BB332:BC332,BE332:BF332)</f>
        <v>0</v>
      </c>
      <c r="CF332" s="2139"/>
    </row>
    <row r="333" spans="1:86" hidden="1" outlineLevel="1">
      <c r="A333" s="2120"/>
      <c r="B333" s="2146"/>
      <c r="C333" s="2146"/>
      <c r="D333" s="2146"/>
      <c r="E333" s="2146"/>
      <c r="F333" s="2170"/>
      <c r="G333" s="2146"/>
      <c r="H333" s="2146"/>
      <c r="I333" s="2146"/>
      <c r="J333" s="2146"/>
      <c r="K333" s="2170"/>
      <c r="L333" s="2146"/>
      <c r="M333" s="2146"/>
      <c r="N333" s="2146"/>
      <c r="O333" s="2146"/>
      <c r="P333" s="2170"/>
      <c r="Q333" s="2146"/>
      <c r="R333" s="2146"/>
      <c r="S333" s="2146"/>
      <c r="T333" s="2146"/>
      <c r="U333" s="2170"/>
      <c r="V333" s="2146"/>
      <c r="W333" s="2146"/>
      <c r="X333" s="2146"/>
      <c r="Y333" s="2146"/>
      <c r="Z333" s="2170"/>
      <c r="AA333" s="2146"/>
      <c r="AB333" s="2146"/>
      <c r="AC333" s="2146"/>
      <c r="AD333" s="2146"/>
      <c r="AE333" s="2170"/>
      <c r="AF333" s="2157"/>
      <c r="AG333" s="2157"/>
      <c r="AH333" s="2157"/>
      <c r="AI333" s="2171"/>
      <c r="AJ333" s="2172"/>
      <c r="AK333" s="2171"/>
      <c r="AL333" s="2173"/>
      <c r="AM333" s="2174"/>
      <c r="AN333" s="2175"/>
      <c r="AO333" s="2142"/>
      <c r="AP333" s="2120"/>
      <c r="AQ333" s="2176"/>
      <c r="AR333" s="2120"/>
      <c r="AS333" s="2120"/>
      <c r="AT333" s="2142"/>
      <c r="AU333" s="2120"/>
      <c r="AV333" s="2176"/>
      <c r="AW333" s="2120"/>
      <c r="AX333" s="2120"/>
      <c r="AY333" s="2142"/>
      <c r="AZ333" s="2120"/>
      <c r="BA333" s="2120"/>
      <c r="BB333" s="2120"/>
      <c r="BC333" s="2120"/>
      <c r="BD333" s="2142"/>
      <c r="BE333" s="2120"/>
      <c r="BF333" s="2120"/>
      <c r="BG333" s="2120"/>
      <c r="BH333" s="2120"/>
      <c r="BI333" s="2145"/>
      <c r="BJ333" s="2120"/>
      <c r="BK333" s="2120"/>
      <c r="BL333" s="2120"/>
      <c r="BM333" s="2120"/>
      <c r="BN333" s="2145"/>
      <c r="BO333" s="2205"/>
      <c r="BP333" s="2205"/>
      <c r="BQ333" s="2205"/>
      <c r="BR333" s="2205"/>
      <c r="BS333" s="2205"/>
      <c r="BT333" s="2205"/>
      <c r="BU333" s="2205"/>
      <c r="BV333" s="2205"/>
      <c r="BW333" s="2205"/>
      <c r="BX333" s="2205"/>
      <c r="BY333" s="2120"/>
      <c r="BZ333" s="2145"/>
      <c r="CA333" s="2145"/>
      <c r="CB333" s="2145"/>
      <c r="CC333" s="2145"/>
      <c r="CD333" s="2145"/>
      <c r="CE333" s="2145"/>
      <c r="CF333" s="2145"/>
    </row>
    <row r="334" spans="1:86" customFormat="1" ht="13.5" hidden="1" outlineLevel="1" thickBot="1">
      <c r="A334" s="2115" t="s">
        <v>977</v>
      </c>
      <c r="B334" s="2116"/>
      <c r="C334" s="2116"/>
      <c r="D334" s="2116"/>
      <c r="E334" s="2116"/>
      <c r="F334" s="2117"/>
      <c r="G334" s="2116"/>
      <c r="H334" s="2116"/>
      <c r="I334" s="2116"/>
      <c r="J334" s="2116"/>
      <c r="K334" s="2117"/>
      <c r="L334" s="2116"/>
      <c r="M334" s="2116"/>
      <c r="N334" s="2116"/>
      <c r="O334" s="2116"/>
      <c r="P334" s="2117"/>
      <c r="Q334" s="2116"/>
      <c r="R334" s="2116"/>
      <c r="S334" s="2116"/>
      <c r="T334" s="2116"/>
      <c r="U334" s="2117"/>
      <c r="V334" s="2116"/>
      <c r="W334" s="2116"/>
      <c r="X334" s="2116"/>
      <c r="Y334" s="2116"/>
      <c r="Z334" s="2117"/>
      <c r="AA334" s="2116"/>
      <c r="AB334" s="2116"/>
      <c r="AC334" s="2116"/>
      <c r="AD334" s="2116"/>
      <c r="AE334" s="2117"/>
      <c r="AF334" s="2118"/>
      <c r="AG334" s="2118"/>
      <c r="AH334" s="2118"/>
      <c r="AI334" s="2118"/>
      <c r="AJ334" s="2117"/>
      <c r="AK334" s="2118"/>
      <c r="AL334" s="2118"/>
      <c r="AM334" s="2118"/>
      <c r="AN334" s="2118"/>
      <c r="AO334" s="2119"/>
      <c r="AP334" s="2118"/>
      <c r="AQ334" s="2118"/>
      <c r="AR334" s="2118"/>
      <c r="AS334" s="2118"/>
      <c r="AT334" s="2119"/>
      <c r="AU334" s="2118"/>
      <c r="AV334" s="2118"/>
      <c r="AW334" s="2118"/>
      <c r="AX334" s="2118"/>
      <c r="AY334" s="2119"/>
      <c r="AZ334" s="2118"/>
      <c r="BA334" s="2118"/>
      <c r="BB334" s="2118"/>
      <c r="BC334" s="2118"/>
      <c r="BD334" s="2119"/>
      <c r="BE334" s="2118"/>
      <c r="BF334" s="2118"/>
      <c r="BG334" s="2118"/>
      <c r="BH334" s="2118"/>
      <c r="BI334" s="2119"/>
      <c r="BJ334" s="2118"/>
      <c r="BK334" s="2118"/>
      <c r="BL334" s="2118"/>
      <c r="BM334" s="2118"/>
      <c r="BN334" s="2119"/>
      <c r="BO334" s="2636"/>
      <c r="BP334" s="2636"/>
      <c r="BQ334" s="2636"/>
      <c r="BR334" s="2636"/>
      <c r="BS334" s="2636"/>
      <c r="BT334" s="2636"/>
      <c r="BU334" s="2636"/>
      <c r="BV334" s="2636"/>
      <c r="BW334" s="2636"/>
      <c r="BX334" s="2636"/>
      <c r="BY334" s="2120"/>
      <c r="BZ334" s="2119"/>
      <c r="CA334" s="2119"/>
      <c r="CB334" s="2119"/>
      <c r="CC334" s="2119"/>
      <c r="CD334" s="2119"/>
      <c r="CE334" s="2119"/>
      <c r="CF334" s="2119"/>
    </row>
    <row r="335" spans="1:86" hidden="1" outlineLevel="1">
      <c r="A335" s="2121" t="str">
        <f>A291</f>
        <v>D&amp;C Licensing</v>
      </c>
      <c r="B335" s="2122"/>
      <c r="C335" s="2122"/>
      <c r="D335" s="2122"/>
      <c r="E335" s="2122"/>
      <c r="F335" s="2123"/>
      <c r="G335" s="2122"/>
      <c r="H335" s="2122"/>
      <c r="I335" s="2122"/>
      <c r="J335" s="2122"/>
      <c r="K335" s="2123"/>
      <c r="L335" s="2122"/>
      <c r="M335" s="2122"/>
      <c r="N335" s="2122"/>
      <c r="O335" s="2122"/>
      <c r="P335" s="2123"/>
      <c r="Q335" s="2122"/>
      <c r="R335" s="2122"/>
      <c r="S335" s="2122"/>
      <c r="T335" s="2122"/>
      <c r="U335" s="2123"/>
      <c r="V335" s="2122"/>
      <c r="W335" s="2122"/>
      <c r="X335" s="2122"/>
      <c r="Y335" s="2122"/>
      <c r="Z335" s="2123"/>
      <c r="AA335" s="2122"/>
      <c r="AB335" s="2122"/>
      <c r="AC335" s="2122"/>
      <c r="AD335" s="2122"/>
      <c r="AE335" s="2123"/>
      <c r="AF335" s="2124"/>
      <c r="AG335" s="2122"/>
      <c r="AH335" s="2122"/>
      <c r="AI335" s="2122"/>
      <c r="AJ335" s="2123"/>
      <c r="AK335" s="2125"/>
      <c r="AL335" s="2122"/>
      <c r="AM335" s="2122"/>
      <c r="AN335" s="2122"/>
      <c r="AO335" s="2123"/>
      <c r="AP335" s="2122"/>
      <c r="AQ335" s="2122"/>
      <c r="AR335" s="2122"/>
      <c r="AS335" s="2122"/>
      <c r="AT335" s="2123"/>
      <c r="AU335" s="2122"/>
      <c r="AV335" s="2122"/>
      <c r="AW335" s="2122"/>
      <c r="AX335" s="2122"/>
      <c r="AY335" s="2123"/>
      <c r="AZ335" s="2122"/>
      <c r="BA335" s="2122"/>
      <c r="BB335" s="2122"/>
      <c r="BC335" s="2122"/>
      <c r="BD335" s="2123"/>
      <c r="BE335" s="2122"/>
      <c r="BF335" s="2122"/>
      <c r="BG335" s="2122"/>
      <c r="BH335" s="2122"/>
      <c r="BI335" s="2123"/>
      <c r="BJ335" s="2122"/>
      <c r="BK335" s="2122"/>
      <c r="BL335" s="2122"/>
      <c r="BM335" s="2122"/>
      <c r="BN335" s="2123"/>
      <c r="BO335" s="2162"/>
      <c r="BP335" s="2162"/>
      <c r="BQ335" s="2162"/>
      <c r="BR335" s="2162"/>
      <c r="BS335" s="2162"/>
      <c r="BT335" s="2162"/>
      <c r="BU335" s="2162"/>
      <c r="BV335" s="2162"/>
      <c r="BW335" s="2162"/>
      <c r="BX335" s="2162"/>
      <c r="BY335" s="2120"/>
      <c r="BZ335" s="2123"/>
      <c r="CA335" s="2123"/>
      <c r="CB335" s="2123"/>
      <c r="CC335" s="2123"/>
      <c r="CD335" s="2123"/>
      <c r="CE335" s="2123"/>
      <c r="CF335" s="2123"/>
    </row>
    <row r="336" spans="1:86" s="1021" customFormat="1" hidden="1" outlineLevel="1">
      <c r="A336" s="2177" t="s">
        <v>925</v>
      </c>
      <c r="B336" s="2178"/>
      <c r="C336" s="2178"/>
      <c r="D336" s="2178"/>
      <c r="E336" s="2178"/>
      <c r="F336" s="2179"/>
      <c r="G336" s="2178"/>
      <c r="H336" s="2178"/>
      <c r="I336" s="2178"/>
      <c r="J336" s="2178"/>
      <c r="K336" s="2179"/>
      <c r="L336" s="2178"/>
      <c r="M336" s="2178"/>
      <c r="N336" s="2178"/>
      <c r="O336" s="2178"/>
      <c r="P336" s="2179"/>
      <c r="Q336" s="2178"/>
      <c r="R336" s="2178"/>
      <c r="S336" s="2178"/>
      <c r="T336" s="2178"/>
      <c r="U336" s="2179"/>
      <c r="V336" s="2178"/>
      <c r="W336" s="2178"/>
      <c r="X336" s="2178"/>
      <c r="Y336" s="2178"/>
      <c r="Z336" s="2179"/>
      <c r="AA336" s="2178"/>
      <c r="AB336" s="2178"/>
      <c r="AC336" s="2178"/>
      <c r="AD336" s="2178"/>
      <c r="AE336" s="2179">
        <f>'Client Unit Model'!CF6</f>
        <v>365.97740877593503</v>
      </c>
      <c r="AF336" s="2178">
        <f>'Client Unit Model'!AJ6</f>
        <v>88.334624807289828</v>
      </c>
      <c r="AG336" s="2178">
        <f>'Client Unit Model'!AK6</f>
        <v>87.007889028205696</v>
      </c>
      <c r="AH336" s="2178">
        <f>'Client Unit Model'!AL6</f>
        <v>76.781185736557319</v>
      </c>
      <c r="AI336" s="2178">
        <f>'Client Unit Model'!AM6</f>
        <v>75.654177999999945</v>
      </c>
      <c r="AJ336" s="2179">
        <f>SUM(AF336:AI336)</f>
        <v>327.77787757205283</v>
      </c>
      <c r="AK336" s="2180">
        <f>'Client Unit Model'!AN6</f>
        <v>79.906725000000037</v>
      </c>
      <c r="AL336" s="2178">
        <f>'Client Unit Model'!AO6</f>
        <v>82.778473999999989</v>
      </c>
      <c r="AM336" s="2178">
        <f>'Client Unit Model'!AP6</f>
        <v>73.392348999999996</v>
      </c>
      <c r="AN336" s="2178">
        <f>'Client Unit Model'!AQ6</f>
        <v>74.979650499999991</v>
      </c>
      <c r="AO336" s="2179">
        <f>SUM(AK336:AN336)</f>
        <v>311.05719850000003</v>
      </c>
      <c r="AP336" s="2178">
        <f>'Client Unit Model'!AR6</f>
        <v>79.566054999999992</v>
      </c>
      <c r="AQ336" s="2178">
        <f>'Client Unit Model'!AS6</f>
        <v>80.434203999999966</v>
      </c>
      <c r="AR336" s="2178">
        <f>'Client Unit Model'!AT6</f>
        <v>68.464105147992626</v>
      </c>
      <c r="AS336" s="2178">
        <f>'Client Unit Model'!AU6</f>
        <v>65.295967063820484</v>
      </c>
      <c r="AT336" s="2179">
        <f>SUM(AP336:AS336)</f>
        <v>293.76033121181308</v>
      </c>
      <c r="AU336" s="2178">
        <f>'Client Unit Model'!AV6</f>
        <v>70.736629000000022</v>
      </c>
      <c r="AV336" s="2178">
        <f>'Client Unit Model'!AW6</f>
        <v>71.299229000000025</v>
      </c>
      <c r="AW336" s="2178">
        <f>'Client Unit Model'!AX6</f>
        <v>59.903067999999983</v>
      </c>
      <c r="AX336" s="2178">
        <f>'Client Unit Model'!AY6</f>
        <v>62.618832414203844</v>
      </c>
      <c r="AY336" s="2179">
        <f>SUM(AU336:AX336)</f>
        <v>264.55775841420387</v>
      </c>
      <c r="AZ336" s="2178"/>
      <c r="BA336" s="2178"/>
      <c r="BB336" s="2178"/>
      <c r="BC336" s="2178"/>
      <c r="BD336" s="2179"/>
      <c r="BE336" s="2181"/>
      <c r="BF336" s="2178"/>
      <c r="BG336" s="2181"/>
      <c r="BH336" s="2181"/>
      <c r="BI336" s="2182"/>
      <c r="BJ336" s="2181"/>
      <c r="BK336" s="2181"/>
      <c r="BL336" s="2181"/>
      <c r="BM336" s="2181"/>
      <c r="BN336" s="2182"/>
      <c r="BO336" s="2181"/>
      <c r="BP336" s="2181"/>
      <c r="BQ336" s="2181"/>
      <c r="BR336" s="2181"/>
      <c r="BS336" s="2181"/>
      <c r="BT336" s="2181"/>
      <c r="BU336" s="2181"/>
      <c r="BV336" s="2181"/>
      <c r="BW336" s="2181"/>
      <c r="BX336" s="2181"/>
      <c r="BY336" s="2183"/>
      <c r="BZ336" s="2182"/>
      <c r="CA336" s="2182"/>
      <c r="CB336" s="2182">
        <f>SUM(AM336:AN336,AP336:AQ336)</f>
        <v>308.37225849999993</v>
      </c>
      <c r="CC336" s="2182">
        <f>SUM(AR336:AS336,AU336:AV336)</f>
        <v>275.79593021181313</v>
      </c>
      <c r="CD336" s="2182">
        <f>SUM(AW336:AX336,AZ336:BA336)</f>
        <v>122.52190041420383</v>
      </c>
      <c r="CE336" s="2182">
        <f>SUM(BB336:BC336,BE336:BF336)</f>
        <v>0</v>
      </c>
      <c r="CF336" s="2182"/>
    </row>
    <row r="337" spans="1:84" s="1022" customFormat="1" hidden="1" outlineLevel="1">
      <c r="A337" s="2184" t="s">
        <v>926</v>
      </c>
      <c r="B337" s="2185"/>
      <c r="C337" s="2185"/>
      <c r="D337" s="2185"/>
      <c r="E337" s="2185"/>
      <c r="F337" s="2186"/>
      <c r="G337" s="2185"/>
      <c r="H337" s="2185"/>
      <c r="I337" s="2185"/>
      <c r="J337" s="2185"/>
      <c r="K337" s="2186"/>
      <c r="L337" s="2185"/>
      <c r="M337" s="2185"/>
      <c r="N337" s="2185"/>
      <c r="O337" s="2185"/>
      <c r="P337" s="2186"/>
      <c r="Q337" s="2185"/>
      <c r="R337" s="2185"/>
      <c r="S337" s="2185"/>
      <c r="T337" s="2185"/>
      <c r="U337" s="2186"/>
      <c r="V337" s="2185"/>
      <c r="W337" s="2185"/>
      <c r="X337" s="2185"/>
      <c r="Y337" s="2185"/>
      <c r="Z337" s="2186"/>
      <c r="AA337" s="2185"/>
      <c r="AB337" s="2185"/>
      <c r="AC337" s="2185"/>
      <c r="AD337" s="2185"/>
      <c r="AE337" s="2186"/>
      <c r="AF337" s="2148"/>
      <c r="AG337" s="2185"/>
      <c r="AH337" s="2185"/>
      <c r="AI337" s="2185"/>
      <c r="AJ337" s="2187">
        <f>IF(ISERROR(AJ336/AE336-1),,(AJ336/AE336-1))</f>
        <v>-0.10437674645450412</v>
      </c>
      <c r="AK337" s="2188">
        <f t="shared" ref="AK337:AY337" si="525">IF(ISERROR(AK336/AF336-1),,(AK336/AF336-1))</f>
        <v>-9.5408791577210383E-2</v>
      </c>
      <c r="AL337" s="2188">
        <f t="shared" si="525"/>
        <v>-4.8609558000362929E-2</v>
      </c>
      <c r="AM337" s="2188">
        <f t="shared" si="525"/>
        <v>-4.4136290733835626E-2</v>
      </c>
      <c r="AN337" s="2188">
        <f t="shared" si="525"/>
        <v>-8.9159319132375847E-3</v>
      </c>
      <c r="AO337" s="2187">
        <f t="shared" si="525"/>
        <v>-5.101222570573638E-2</v>
      </c>
      <c r="AP337" s="2188">
        <f t="shared" si="525"/>
        <v>-4.2633457947380826E-3</v>
      </c>
      <c r="AQ337" s="2188">
        <f t="shared" si="525"/>
        <v>-2.8319802078013989E-2</v>
      </c>
      <c r="AR337" s="2188">
        <f t="shared" si="525"/>
        <v>-6.7149286256083296E-2</v>
      </c>
      <c r="AS337" s="2188">
        <f t="shared" si="525"/>
        <v>-0.12915082121087651</v>
      </c>
      <c r="AT337" s="2187">
        <f t="shared" si="525"/>
        <v>-5.5606709542801114E-2</v>
      </c>
      <c r="AU337" s="2188">
        <f t="shared" si="525"/>
        <v>-0.11096975965441502</v>
      </c>
      <c r="AV337" s="2188">
        <f>IF(ISERROR(AV336/AQ336-1),,(AV336/AQ336-1))</f>
        <v>-0.11357077643237379</v>
      </c>
      <c r="AW337" s="2188">
        <f t="shared" si="525"/>
        <v>-0.12504416919620909</v>
      </c>
      <c r="AX337" s="2188">
        <f t="shared" si="525"/>
        <v>-4.1000000000000036E-2</v>
      </c>
      <c r="AY337" s="2187">
        <f t="shared" si="525"/>
        <v>-9.9409517538135428E-2</v>
      </c>
      <c r="AZ337" s="2188"/>
      <c r="BA337" s="2188"/>
      <c r="BB337" s="2188"/>
      <c r="BC337" s="2188"/>
      <c r="BD337" s="2187"/>
      <c r="BE337" s="2188"/>
      <c r="BF337" s="2188"/>
      <c r="BG337" s="2188"/>
      <c r="BH337" s="2188"/>
      <c r="BI337" s="2187"/>
      <c r="BJ337" s="2188"/>
      <c r="BK337" s="2188"/>
      <c r="BL337" s="2188"/>
      <c r="BM337" s="2188"/>
      <c r="BN337" s="2187"/>
      <c r="BO337" s="2188"/>
      <c r="BP337" s="2188"/>
      <c r="BQ337" s="2188"/>
      <c r="BR337" s="2188"/>
      <c r="BS337" s="2188"/>
      <c r="BT337" s="2188"/>
      <c r="BU337" s="2188"/>
      <c r="BV337" s="2188"/>
      <c r="BW337" s="2188"/>
      <c r="BX337" s="2188"/>
      <c r="BY337" s="2189"/>
      <c r="BZ337" s="2187"/>
      <c r="CA337" s="2187"/>
      <c r="CB337" s="2187"/>
      <c r="CC337" s="2187"/>
      <c r="CD337" s="2187"/>
      <c r="CE337" s="2187"/>
      <c r="CF337" s="2187"/>
    </row>
    <row r="338" spans="1:84" s="1021" customFormat="1" hidden="1" outlineLevel="1">
      <c r="A338" s="2177" t="s">
        <v>927</v>
      </c>
      <c r="B338" s="2178"/>
      <c r="C338" s="2178"/>
      <c r="D338" s="2178"/>
      <c r="E338" s="2178"/>
      <c r="F338" s="2179"/>
      <c r="G338" s="2178"/>
      <c r="H338" s="2178"/>
      <c r="I338" s="2178"/>
      <c r="J338" s="2178"/>
      <c r="K338" s="2179"/>
      <c r="L338" s="2178"/>
      <c r="M338" s="2178"/>
      <c r="N338" s="2178"/>
      <c r="O338" s="2178"/>
      <c r="P338" s="2179"/>
      <c r="Q338" s="2178"/>
      <c r="R338" s="2178"/>
      <c r="S338" s="2178"/>
      <c r="T338" s="2178"/>
      <c r="U338" s="2179"/>
      <c r="V338" s="2178"/>
      <c r="W338" s="2178"/>
      <c r="X338" s="2178"/>
      <c r="Y338" s="2178"/>
      <c r="Z338" s="2179"/>
      <c r="AA338" s="2178"/>
      <c r="AB338" s="2178"/>
      <c r="AC338" s="2178"/>
      <c r="AD338" s="2178"/>
      <c r="AE338" s="2179">
        <f>'Client Unit Model'!CF11</f>
        <v>255.98808029172932</v>
      </c>
      <c r="AF338" s="2178">
        <f>'Client Unit Model'!AJ11</f>
        <v>65.263623143298759</v>
      </c>
      <c r="AG338" s="2178">
        <f>'Client Unit Model'!AK11</f>
        <v>65.931704322951603</v>
      </c>
      <c r="AH338" s="2178">
        <f>'Client Unit Model'!AL11</f>
        <v>56.591423434753985</v>
      </c>
      <c r="AI338" s="2178">
        <f>'Client Unit Model'!AM11</f>
        <v>56.109099274358535</v>
      </c>
      <c r="AJ338" s="2179">
        <f>SUM(AF338:AI338)</f>
        <v>243.89585017536288</v>
      </c>
      <c r="AK338" s="2180">
        <f>'Client Unit Model'!AN11</f>
        <v>57.715633119970185</v>
      </c>
      <c r="AL338" s="2178">
        <f>'Client Unit Model'!AO11</f>
        <v>63.647748941791953</v>
      </c>
      <c r="AM338" s="2178">
        <f>'Client Unit Model'!AP11</f>
        <v>57.13208289579557</v>
      </c>
      <c r="AN338" s="2178">
        <f>'Client Unit Model'!AQ11</f>
        <v>56.285014491765551</v>
      </c>
      <c r="AO338" s="2179">
        <f>SUM(AK338:AN338)</f>
        <v>234.78047944932325</v>
      </c>
      <c r="AP338" s="2178">
        <f>'Client Unit Model'!AR11</f>
        <v>54.502747675000002</v>
      </c>
      <c r="AQ338" s="2178">
        <f>'Client Unit Model'!AT11</f>
        <v>46.555591500634989</v>
      </c>
      <c r="AR338" s="2178">
        <f>'Client Unit Model'!AT11</f>
        <v>46.555591500634989</v>
      </c>
      <c r="AS338" s="2178">
        <f>'Client Unit Model'!AU11</f>
        <v>44.40125760339793</v>
      </c>
      <c r="AT338" s="2179">
        <f>SUM(AP338:AS338)</f>
        <v>192.01518827966791</v>
      </c>
      <c r="AU338" s="2178">
        <f>'Client Unit Model'!AV11</f>
        <v>45.978808850000014</v>
      </c>
      <c r="AV338" s="2178">
        <f>'Client Unit Model'!AW11</f>
        <v>46.344498850000015</v>
      </c>
      <c r="AW338" s="2178">
        <f>'Client Unit Model'!AX11</f>
        <v>38.936994199999994</v>
      </c>
      <c r="AX338" s="2178">
        <f>'Client Unit Model'!AY11</f>
        <v>40.7022410692325</v>
      </c>
      <c r="AY338" s="2179">
        <f>SUM(AU338:AX338)</f>
        <v>171.96254296923252</v>
      </c>
      <c r="AZ338" s="2178"/>
      <c r="BA338" s="2178"/>
      <c r="BB338" s="2178"/>
      <c r="BC338" s="2178"/>
      <c r="BD338" s="2179"/>
      <c r="BE338" s="2181"/>
      <c r="BF338" s="2178"/>
      <c r="BG338" s="2181"/>
      <c r="BH338" s="2181"/>
      <c r="BI338" s="2182"/>
      <c r="BJ338" s="2181"/>
      <c r="BK338" s="2181"/>
      <c r="BL338" s="2181"/>
      <c r="BM338" s="2181"/>
      <c r="BN338" s="2182"/>
      <c r="BO338" s="2181"/>
      <c r="BP338" s="2181"/>
      <c r="BQ338" s="2181"/>
      <c r="BR338" s="2181"/>
      <c r="BS338" s="2181"/>
      <c r="BT338" s="2181"/>
      <c r="BU338" s="2181"/>
      <c r="BV338" s="2181"/>
      <c r="BW338" s="2181"/>
      <c r="BX338" s="2181"/>
      <c r="BY338" s="2183"/>
      <c r="BZ338" s="2182"/>
      <c r="CA338" s="2182"/>
      <c r="CB338" s="2182">
        <f>SUM(AM338:AN338,AP338:AQ338)</f>
        <v>214.4754365631961</v>
      </c>
      <c r="CC338" s="2182">
        <f>SUM(AR338:AS338,AU338:AV338)</f>
        <v>183.28015680403294</v>
      </c>
      <c r="CD338" s="2182">
        <f>SUM(AW338:AX338,AZ338:BA338)</f>
        <v>79.639235269232501</v>
      </c>
      <c r="CE338" s="2182">
        <f>SUM(BB338:BC338,BE338:BF338)</f>
        <v>0</v>
      </c>
      <c r="CF338" s="2182"/>
    </row>
    <row r="339" spans="1:84" s="1022" customFormat="1" hidden="1" outlineLevel="1">
      <c r="A339" s="2184" t="s">
        <v>926</v>
      </c>
      <c r="B339" s="2185"/>
      <c r="C339" s="2185"/>
      <c r="D339" s="2185"/>
      <c r="E339" s="2185"/>
      <c r="F339" s="2186"/>
      <c r="G339" s="2185"/>
      <c r="H339" s="2185"/>
      <c r="I339" s="2185"/>
      <c r="J339" s="2185"/>
      <c r="K339" s="2186"/>
      <c r="L339" s="2185"/>
      <c r="M339" s="2185"/>
      <c r="N339" s="2185"/>
      <c r="O339" s="2185"/>
      <c r="P339" s="2186"/>
      <c r="Q339" s="2185"/>
      <c r="R339" s="2185"/>
      <c r="S339" s="2185"/>
      <c r="T339" s="2185"/>
      <c r="U339" s="2186"/>
      <c r="V339" s="2185"/>
      <c r="W339" s="2185"/>
      <c r="X339" s="2185"/>
      <c r="Y339" s="2185"/>
      <c r="Z339" s="2186"/>
      <c r="AA339" s="2185"/>
      <c r="AB339" s="2185"/>
      <c r="AC339" s="2185"/>
      <c r="AD339" s="2185"/>
      <c r="AE339" s="2186"/>
      <c r="AF339" s="2148"/>
      <c r="AG339" s="2185"/>
      <c r="AH339" s="2185"/>
      <c r="AI339" s="2185"/>
      <c r="AJ339" s="2187">
        <f t="shared" ref="AJ339:AY339" si="526">IF(ISERROR(AJ338/AE338-1),,(AJ338/AE338-1))</f>
        <v>-4.723747333307815E-2</v>
      </c>
      <c r="AK339" s="2188">
        <f t="shared" si="526"/>
        <v>-0.11565386136708222</v>
      </c>
      <c r="AL339" s="2188">
        <f t="shared" si="526"/>
        <v>-3.46412307191728E-2</v>
      </c>
      <c r="AM339" s="2188">
        <f t="shared" si="526"/>
        <v>9.5537349694858609E-3</v>
      </c>
      <c r="AN339" s="2188">
        <f t="shared" si="526"/>
        <v>3.1352350987998712E-3</v>
      </c>
      <c r="AO339" s="2187">
        <f t="shared" si="526"/>
        <v>-3.7374029609300918E-2</v>
      </c>
      <c r="AP339" s="2188">
        <f t="shared" si="526"/>
        <v>-5.5667507593510135E-2</v>
      </c>
      <c r="AQ339" s="2188">
        <f t="shared" si="526"/>
        <v>-0.26854299995414332</v>
      </c>
      <c r="AR339" s="2188">
        <f t="shared" si="526"/>
        <v>-0.18512350432682934</v>
      </c>
      <c r="AS339" s="2188">
        <f t="shared" si="526"/>
        <v>-0.21113536161754398</v>
      </c>
      <c r="AT339" s="2187">
        <f t="shared" si="526"/>
        <v>-0.18215011431087103</v>
      </c>
      <c r="AU339" s="2188">
        <f t="shared" si="526"/>
        <v>-0.15639466244579547</v>
      </c>
      <c r="AV339" s="2188">
        <f t="shared" si="526"/>
        <v>-4.5342061786949328E-3</v>
      </c>
      <c r="AW339" s="2188">
        <f t="shared" si="526"/>
        <v>-0.16364516173167043</v>
      </c>
      <c r="AX339" s="2188">
        <f t="shared" si="526"/>
        <v>-8.3308823529411713E-2</v>
      </c>
      <c r="AY339" s="2187">
        <f t="shared" si="526"/>
        <v>-0.1044325997859552</v>
      </c>
      <c r="AZ339" s="2188"/>
      <c r="BA339" s="2188"/>
      <c r="BB339" s="2188"/>
      <c r="BC339" s="2188"/>
      <c r="BD339" s="2187"/>
      <c r="BE339" s="2188"/>
      <c r="BF339" s="2188"/>
      <c r="BG339" s="2188"/>
      <c r="BH339" s="2188"/>
      <c r="BI339" s="2187"/>
      <c r="BJ339" s="2188"/>
      <c r="BK339" s="2188"/>
      <c r="BL339" s="2188"/>
      <c r="BM339" s="2188"/>
      <c r="BN339" s="2187"/>
      <c r="BO339" s="2188"/>
      <c r="BP339" s="2188"/>
      <c r="BQ339" s="2188"/>
      <c r="BR339" s="2188"/>
      <c r="BS339" s="2188"/>
      <c r="BT339" s="2188"/>
      <c r="BU339" s="2188"/>
      <c r="BV339" s="2188"/>
      <c r="BW339" s="2188"/>
      <c r="BX339" s="2188"/>
      <c r="BY339" s="2189"/>
      <c r="BZ339" s="2187"/>
      <c r="CA339" s="2187"/>
      <c r="CB339" s="2187"/>
      <c r="CC339" s="2187"/>
      <c r="CD339" s="2187"/>
      <c r="CE339" s="2187"/>
      <c r="CF339" s="2187"/>
    </row>
    <row r="340" spans="1:84" s="1021" customFormat="1" hidden="1" outlineLevel="1">
      <c r="A340" s="2177" t="s">
        <v>788</v>
      </c>
      <c r="B340" s="2178"/>
      <c r="C340" s="2178"/>
      <c r="D340" s="2178"/>
      <c r="E340" s="2178"/>
      <c r="F340" s="2179"/>
      <c r="G340" s="2178"/>
      <c r="H340" s="2178"/>
      <c r="I340" s="2178"/>
      <c r="J340" s="2178"/>
      <c r="K340" s="2179"/>
      <c r="L340" s="2178"/>
      <c r="M340" s="2178"/>
      <c r="N340" s="2178"/>
      <c r="O340" s="2178"/>
      <c r="P340" s="2179"/>
      <c r="Q340" s="2178"/>
      <c r="R340" s="2178"/>
      <c r="S340" s="2178"/>
      <c r="T340" s="2178"/>
      <c r="U340" s="2179"/>
      <c r="V340" s="2178"/>
      <c r="W340" s="2178"/>
      <c r="X340" s="2178"/>
      <c r="Y340" s="2178"/>
      <c r="Z340" s="2179"/>
      <c r="AA340" s="2178"/>
      <c r="AB340" s="2178"/>
      <c r="AC340" s="2178"/>
      <c r="AD340" s="2178"/>
      <c r="AE340" s="2179">
        <f>'Client Unit Model'!CF19</f>
        <v>1.0150000000000001</v>
      </c>
      <c r="AF340" s="2178">
        <f>'Client Unit Model'!AJ19</f>
        <v>0.34899999999999998</v>
      </c>
      <c r="AG340" s="2178">
        <f>'Client Unit Model'!AK19</f>
        <v>3.3220000000000001</v>
      </c>
      <c r="AH340" s="2178">
        <f>'Client Unit Model'!AL19</f>
        <v>1.9418036000000001</v>
      </c>
      <c r="AI340" s="2178">
        <f>'Client Unit Model'!AM19</f>
        <v>1.350983215415881</v>
      </c>
      <c r="AJ340" s="2179">
        <f>SUM(AF340:AI340)</f>
        <v>6.9637868154158813</v>
      </c>
      <c r="AK340" s="2180">
        <f>'Client Unit Model'!AN19</f>
        <v>2.1318428250000001</v>
      </c>
      <c r="AL340" s="2178">
        <f>'Client Unit Model'!AO19</f>
        <v>6.2785056799999994</v>
      </c>
      <c r="AM340" s="2178">
        <f>'Client Unit Model'!AP19</f>
        <v>3.7560520499999992</v>
      </c>
      <c r="AN340" s="2178">
        <f>'Client Unit Model'!AQ19</f>
        <v>4.1111722200000003</v>
      </c>
      <c r="AO340" s="2179">
        <f>SUM(AK340:AN340)</f>
        <v>16.277572774999999</v>
      </c>
      <c r="AP340" s="2178">
        <f>'Client Unit Model'!AR19</f>
        <v>5.4480427750000002</v>
      </c>
      <c r="AQ340" s="2178">
        <f>'Client Unit Model'!AT19</f>
        <v>4.8466547848785133</v>
      </c>
      <c r="AR340" s="2178">
        <f>'Client Unit Model'!AT19</f>
        <v>4.8466547848785133</v>
      </c>
      <c r="AS340" s="2178">
        <f>'Client Unit Model'!AU19</f>
        <v>5.3453953310896516</v>
      </c>
      <c r="AT340" s="2179">
        <f>SUM(AP340:AS340)</f>
        <v>20.486747675846679</v>
      </c>
      <c r="AU340" s="2178">
        <f>'Client Unit Model'!AV19</f>
        <v>6.442068518412686</v>
      </c>
      <c r="AV340" s="2178">
        <f>'Client Unit Model'!AW19</f>
        <v>9.0101034039094614</v>
      </c>
      <c r="AW340" s="2178">
        <f>'Client Unit Model'!AX19</f>
        <v>5.485720837227495</v>
      </c>
      <c r="AX340" s="2178">
        <f>'Client Unit Model'!AY19</f>
        <v>5.5271387723467011</v>
      </c>
      <c r="AY340" s="2179">
        <f>SUM(AU340:AX340)</f>
        <v>26.465031531896344</v>
      </c>
      <c r="AZ340" s="2178"/>
      <c r="BA340" s="2178"/>
      <c r="BB340" s="2178"/>
      <c r="BC340" s="2178"/>
      <c r="BD340" s="2179"/>
      <c r="BE340" s="2181"/>
      <c r="BF340" s="2178"/>
      <c r="BG340" s="2181"/>
      <c r="BH340" s="2181"/>
      <c r="BI340" s="2182"/>
      <c r="BJ340" s="2181"/>
      <c r="BK340" s="2181"/>
      <c r="BL340" s="2181"/>
      <c r="BM340" s="2181"/>
      <c r="BN340" s="2182"/>
      <c r="BO340" s="2181"/>
      <c r="BP340" s="2181"/>
      <c r="BQ340" s="2181"/>
      <c r="BR340" s="2181"/>
      <c r="BS340" s="2181"/>
      <c r="BT340" s="2181"/>
      <c r="BU340" s="2181"/>
      <c r="BV340" s="2181"/>
      <c r="BW340" s="2181"/>
      <c r="BX340" s="2181"/>
      <c r="BY340" s="2183"/>
      <c r="BZ340" s="2182"/>
      <c r="CA340" s="2182"/>
      <c r="CB340" s="2182">
        <f>SUM(AM340:AN340,AP340:AQ340)</f>
        <v>18.161921829878512</v>
      </c>
      <c r="CC340" s="2182">
        <f>SUM(AR340:AS340,AU340:AV340)</f>
        <v>25.644222038290312</v>
      </c>
      <c r="CD340" s="2182">
        <f>SUM(AW340:AX340,AZ340:BA340)</f>
        <v>11.012859609574196</v>
      </c>
      <c r="CE340" s="2182">
        <f>SUM(BB340:BC340,BE340:BF340)</f>
        <v>0</v>
      </c>
      <c r="CF340" s="2182"/>
    </row>
    <row r="341" spans="1:84" s="1022" customFormat="1" hidden="1" outlineLevel="1">
      <c r="A341" s="2184" t="s">
        <v>926</v>
      </c>
      <c r="B341" s="2185"/>
      <c r="C341" s="2185"/>
      <c r="D341" s="2185"/>
      <c r="E341" s="2185"/>
      <c r="F341" s="2186"/>
      <c r="G341" s="2185"/>
      <c r="H341" s="2185"/>
      <c r="I341" s="2185"/>
      <c r="J341" s="2185"/>
      <c r="K341" s="2186"/>
      <c r="L341" s="2185"/>
      <c r="M341" s="2185"/>
      <c r="N341" s="2185"/>
      <c r="O341" s="2185"/>
      <c r="P341" s="2186"/>
      <c r="Q341" s="2185"/>
      <c r="R341" s="2185"/>
      <c r="S341" s="2185"/>
      <c r="T341" s="2185"/>
      <c r="U341" s="2186"/>
      <c r="V341" s="2185"/>
      <c r="W341" s="2185"/>
      <c r="X341" s="2185"/>
      <c r="Y341" s="2185"/>
      <c r="Z341" s="2186"/>
      <c r="AA341" s="2185"/>
      <c r="AB341" s="2185"/>
      <c r="AC341" s="2185"/>
      <c r="AD341" s="2185"/>
      <c r="AE341" s="2186"/>
      <c r="AF341" s="2148"/>
      <c r="AG341" s="2185"/>
      <c r="AH341" s="2185"/>
      <c r="AI341" s="2185"/>
      <c r="AJ341" s="2187">
        <f t="shared" ref="AJ341:AY341" si="527">IF(ISERROR(AJ340/AE340-1),,(AJ340/AE340-1))</f>
        <v>5.86087370976934</v>
      </c>
      <c r="AK341" s="2188">
        <f t="shared" si="527"/>
        <v>5.1084321633237826</v>
      </c>
      <c r="AL341" s="2188">
        <f t="shared" si="527"/>
        <v>0.8899776279349787</v>
      </c>
      <c r="AM341" s="2188">
        <f t="shared" si="527"/>
        <v>0.93431099314060351</v>
      </c>
      <c r="AN341" s="2188">
        <f t="shared" si="527"/>
        <v>2.0430964449357978</v>
      </c>
      <c r="AO341" s="2187">
        <f t="shared" si="527"/>
        <v>1.3374599490848849</v>
      </c>
      <c r="AP341" s="2188">
        <f t="shared" si="527"/>
        <v>1.5555555555555554</v>
      </c>
      <c r="AQ341" s="2188">
        <f t="shared" si="527"/>
        <v>-0.22805600059941111</v>
      </c>
      <c r="AR341" s="2188">
        <f t="shared" si="527"/>
        <v>0.29035879172082146</v>
      </c>
      <c r="AS341" s="2188">
        <f t="shared" si="527"/>
        <v>0.30021196997912458</v>
      </c>
      <c r="AT341" s="2187">
        <f t="shared" si="527"/>
        <v>0.25858738025802985</v>
      </c>
      <c r="AU341" s="2188">
        <f t="shared" si="527"/>
        <v>0.18245556880978886</v>
      </c>
      <c r="AV341" s="2188">
        <f t="shared" si="527"/>
        <v>0.85903552116417337</v>
      </c>
      <c r="AW341" s="2188">
        <f t="shared" si="527"/>
        <v>0.13185714285714289</v>
      </c>
      <c r="AX341" s="2188">
        <f t="shared" si="527"/>
        <v>3.4000000000000252E-2</v>
      </c>
      <c r="AY341" s="2187">
        <f t="shared" si="527"/>
        <v>0.29181224617209001</v>
      </c>
      <c r="AZ341" s="2188"/>
      <c r="BA341" s="2188"/>
      <c r="BB341" s="2188"/>
      <c r="BC341" s="2188"/>
      <c r="BD341" s="2187"/>
      <c r="BE341" s="2188"/>
      <c r="BF341" s="2188"/>
      <c r="BG341" s="2188"/>
      <c r="BH341" s="2188"/>
      <c r="BI341" s="2187"/>
      <c r="BJ341" s="2188"/>
      <c r="BK341" s="2188"/>
      <c r="BL341" s="2188"/>
      <c r="BM341" s="2188"/>
      <c r="BN341" s="2187"/>
      <c r="BO341" s="2188"/>
      <c r="BP341" s="2188"/>
      <c r="BQ341" s="2188"/>
      <c r="BR341" s="2188"/>
      <c r="BS341" s="2188"/>
      <c r="BT341" s="2188"/>
      <c r="BU341" s="2188"/>
      <c r="BV341" s="2188"/>
      <c r="BW341" s="2188"/>
      <c r="BX341" s="2188"/>
      <c r="BY341" s="2189"/>
      <c r="BZ341" s="2187"/>
      <c r="CA341" s="2187"/>
      <c r="CB341" s="2187"/>
      <c r="CC341" s="2187"/>
      <c r="CD341" s="2187"/>
      <c r="CE341" s="2187"/>
      <c r="CF341" s="2187"/>
    </row>
    <row r="342" spans="1:84" s="1022" customFormat="1" hidden="1" outlineLevel="1">
      <c r="A342" s="2184" t="s">
        <v>922</v>
      </c>
      <c r="B342" s="2190"/>
      <c r="C342" s="2190"/>
      <c r="D342" s="2190"/>
      <c r="E342" s="2190"/>
      <c r="F342" s="2191"/>
      <c r="G342" s="2190"/>
      <c r="H342" s="2190"/>
      <c r="I342" s="2190"/>
      <c r="J342" s="2190"/>
      <c r="K342" s="2191"/>
      <c r="L342" s="2190"/>
      <c r="M342" s="2190"/>
      <c r="N342" s="2190"/>
      <c r="O342" s="2190"/>
      <c r="P342" s="2191"/>
      <c r="Q342" s="2190"/>
      <c r="R342" s="2190"/>
      <c r="S342" s="2190"/>
      <c r="T342" s="2190"/>
      <c r="U342" s="2191"/>
      <c r="V342" s="2190"/>
      <c r="W342" s="2190"/>
      <c r="X342" s="2190"/>
      <c r="Y342" s="2190"/>
      <c r="Z342" s="2191"/>
      <c r="AA342" s="2190"/>
      <c r="AB342" s="2190"/>
      <c r="AC342" s="2190"/>
      <c r="AD342" s="2190"/>
      <c r="AE342" s="2191">
        <f>'Client Unit Model'!CF18</f>
        <v>1.0000000000000002E-2</v>
      </c>
      <c r="AF342" s="2190">
        <f>'Client Unit Model'!AJ18</f>
        <v>0.01</v>
      </c>
      <c r="AG342" s="2190">
        <f>'Client Unit Model'!AK18</f>
        <v>5.5E-2</v>
      </c>
      <c r="AH342" s="2190">
        <f>'Client Unit Model'!AL18</f>
        <v>0.04</v>
      </c>
      <c r="AI342" s="2190">
        <f>'Client Unit Model'!AM18</f>
        <v>3.040662137537499E-2</v>
      </c>
      <c r="AJ342" s="2191">
        <f>'Client Unit Model'!CG18</f>
        <v>3.6987187750598026E-2</v>
      </c>
      <c r="AK342" s="2190">
        <f>'Client Unit Model'!AN18</f>
        <v>4.4999999999999998E-2</v>
      </c>
      <c r="AL342" s="2190">
        <f>'Client Unit Model'!AO18</f>
        <v>0.08</v>
      </c>
      <c r="AM342" s="2190">
        <f>'Client Unit Model'!AP18</f>
        <v>7.4999999999999997E-2</v>
      </c>
      <c r="AN342" s="2190">
        <f>'Client Unit Model'!AR18</f>
        <v>0.1</v>
      </c>
      <c r="AO342" s="2191">
        <f>'Client Unit Model'!CH18</f>
        <v>7.2569561944218403E-2</v>
      </c>
      <c r="AP342" s="2190">
        <f>'Client Unit Model'!AR18</f>
        <v>0.1</v>
      </c>
      <c r="AQ342" s="2190">
        <f>'Client Unit Model'!AT18</f>
        <v>0.105</v>
      </c>
      <c r="AR342" s="2190">
        <f>'Client Unit Model'!AT18</f>
        <v>0.105</v>
      </c>
      <c r="AS342" s="2190">
        <f>'Client Unit Model'!AU18</f>
        <v>0.12</v>
      </c>
      <c r="AT342" s="2191">
        <f>'Client Unit Model'!CI18</f>
        <v>0.10505049086819303</v>
      </c>
      <c r="AU342" s="2190">
        <f>'Client Unit Model'!AV18</f>
        <v>0.13</v>
      </c>
      <c r="AV342" s="2190">
        <f>'Client Unit Model'!AW18</f>
        <v>0.13500000000000001</v>
      </c>
      <c r="AW342" s="2190">
        <f>'Client Unit Model'!AX18</f>
        <v>0.13900000000000001</v>
      </c>
      <c r="AX342" s="2190">
        <f>'Client Unit Model'!AY18</f>
        <v>0.14100000000000001</v>
      </c>
      <c r="AY342" s="2191">
        <f>'Client Unit Model'!CJ18</f>
        <v>0.13574521546107418</v>
      </c>
      <c r="AZ342" s="2190"/>
      <c r="BA342" s="2190"/>
      <c r="BB342" s="2190"/>
      <c r="BC342" s="2190"/>
      <c r="BD342" s="2191"/>
      <c r="BE342" s="2190"/>
      <c r="BF342" s="2190"/>
      <c r="BG342" s="2190"/>
      <c r="BH342" s="2190"/>
      <c r="BI342" s="2191"/>
      <c r="BJ342" s="2190"/>
      <c r="BK342" s="2190"/>
      <c r="BL342" s="2190"/>
      <c r="BM342" s="2190"/>
      <c r="BN342" s="2191"/>
      <c r="BO342" s="2190"/>
      <c r="BP342" s="2190"/>
      <c r="BQ342" s="2190"/>
      <c r="BR342" s="2190"/>
      <c r="BS342" s="2190"/>
      <c r="BT342" s="2190"/>
      <c r="BU342" s="2190"/>
      <c r="BV342" s="2190"/>
      <c r="BW342" s="2190"/>
      <c r="BX342" s="2190"/>
      <c r="BY342" s="2189"/>
      <c r="BZ342" s="2191"/>
      <c r="CA342" s="2191"/>
      <c r="CB342" s="2191"/>
      <c r="CC342" s="2191"/>
      <c r="CD342" s="2191"/>
      <c r="CE342" s="2191"/>
      <c r="CF342" s="2191"/>
    </row>
    <row r="343" spans="1:84" s="1005" customFormat="1" hidden="1" outlineLevel="1">
      <c r="A343" s="2192" t="s">
        <v>931</v>
      </c>
      <c r="B343" s="2193"/>
      <c r="C343" s="2193"/>
      <c r="D343" s="2193"/>
      <c r="E343" s="2193"/>
      <c r="F343" s="2194"/>
      <c r="G343" s="2193"/>
      <c r="H343" s="2193"/>
      <c r="I343" s="2193"/>
      <c r="J343" s="2193"/>
      <c r="K343" s="2194"/>
      <c r="L343" s="2193"/>
      <c r="M343" s="2193"/>
      <c r="N343" s="2193"/>
      <c r="O343" s="2193"/>
      <c r="P343" s="2194"/>
      <c r="Q343" s="2193"/>
      <c r="R343" s="2193"/>
      <c r="S343" s="2193"/>
      <c r="T343" s="2193"/>
      <c r="U343" s="2194"/>
      <c r="V343" s="2193"/>
      <c r="W343" s="2193"/>
      <c r="X343" s="2193"/>
      <c r="Y343" s="2193"/>
      <c r="Z343" s="2194"/>
      <c r="AA343" s="2193"/>
      <c r="AB343" s="2193"/>
      <c r="AC343" s="2193"/>
      <c r="AD343" s="2193"/>
      <c r="AE343" s="2194">
        <f>'Client Unit Model'!CF172</f>
        <v>60.201223990914464</v>
      </c>
      <c r="AF343" s="2193">
        <f>'Client Unit Model'!AJ172</f>
        <v>57.293500000000002</v>
      </c>
      <c r="AG343" s="2193">
        <f>'Client Unit Model'!AK172</f>
        <v>59.90322520760548</v>
      </c>
      <c r="AH343" s="2193">
        <f>'Client Unit Model'!AL172</f>
        <v>57.409381852204895</v>
      </c>
      <c r="AI343" s="2193">
        <f>'Client Unit Model'!AM172</f>
        <v>55.104378633816303</v>
      </c>
      <c r="AJ343" s="2194">
        <f>'Client Unit Model'!CG172</f>
        <v>57.539912619904882</v>
      </c>
      <c r="AK343" s="2195">
        <f>'Client Unit Model'!AN172</f>
        <v>57.79738662354459</v>
      </c>
      <c r="AL343" s="2195">
        <f>'Client Unit Model'!AO172</f>
        <v>57.509011402351376</v>
      </c>
      <c r="AM343" s="2195">
        <f>'Client Unit Model'!AP172</f>
        <v>57.046765905877315</v>
      </c>
      <c r="AN343" s="2195">
        <f>'Client Unit Model'!AQ172</f>
        <v>53.456642951706854</v>
      </c>
      <c r="AO343" s="2194">
        <f>'Client Unit Model'!CH172</f>
        <v>56.49078340146059</v>
      </c>
      <c r="AP343" s="2195">
        <f>'Client Unit Model'!AR172</f>
        <v>54.734236966942852</v>
      </c>
      <c r="AQ343" s="2195">
        <f>'Client Unit Model'!AT172</f>
        <v>50.741396306212742</v>
      </c>
      <c r="AR343" s="2195">
        <f>'Client Unit Model'!AT172</f>
        <v>50.741396306212742</v>
      </c>
      <c r="AS343" s="2195">
        <f>'Client Unit Model'!AU172</f>
        <v>47.064682471229048</v>
      </c>
      <c r="AT343" s="2194">
        <f>'Client Unit Model'!CI172</f>
        <v>50.773149679997054</v>
      </c>
      <c r="AU343" s="2195">
        <f>'Client Unit Model'!AV172</f>
        <v>55.881323147836994</v>
      </c>
      <c r="AV343" s="2195">
        <f>'Client Unit Model'!AW172</f>
        <v>48</v>
      </c>
      <c r="AW343" s="2195">
        <f>'Client Unit Model'!AX172</f>
        <v>48</v>
      </c>
      <c r="AX343" s="2195">
        <f>'Client Unit Model'!AY172</f>
        <v>44.870264025255757</v>
      </c>
      <c r="AY343" s="2194">
        <f>'Client Unit Model'!CJ172</f>
        <v>48.555629424330569</v>
      </c>
      <c r="AZ343" s="2195"/>
      <c r="BA343" s="2195"/>
      <c r="BB343" s="2195"/>
      <c r="BC343" s="2195"/>
      <c r="BD343" s="2194"/>
      <c r="BE343" s="2196"/>
      <c r="BF343" s="2195"/>
      <c r="BG343" s="2196"/>
      <c r="BH343" s="2196"/>
      <c r="BI343" s="2131"/>
      <c r="BJ343" s="2196"/>
      <c r="BK343" s="2196"/>
      <c r="BL343" s="2196"/>
      <c r="BM343" s="2196"/>
      <c r="BN343" s="2131"/>
      <c r="BO343" s="2167"/>
      <c r="BP343" s="2167"/>
      <c r="BQ343" s="2167"/>
      <c r="BR343" s="2167"/>
      <c r="BS343" s="2167"/>
      <c r="BT343" s="2167"/>
      <c r="BU343" s="2167"/>
      <c r="BV343" s="2167"/>
      <c r="BW343" s="2167"/>
      <c r="BX343" s="2167"/>
      <c r="BY343" s="2126"/>
      <c r="BZ343" s="2131"/>
      <c r="CA343" s="2131"/>
      <c r="CB343" s="2131">
        <f>SUM(AM343:AN343,AP343:AQ343)</f>
        <v>215.97904213073977</v>
      </c>
      <c r="CC343" s="2131">
        <f>SUM(AR343:AS343,AU343:AV343)</f>
        <v>201.68740192527878</v>
      </c>
      <c r="CD343" s="2131">
        <f>SUM(AW343:AX343,AZ343:BA343)</f>
        <v>92.87026402525575</v>
      </c>
      <c r="CE343" s="2131">
        <f>SUM(BB343:BC343,BE343:BF343)</f>
        <v>0</v>
      </c>
      <c r="CF343" s="2131"/>
    </row>
    <row r="344" spans="1:84" s="1022" customFormat="1" hidden="1" outlineLevel="1">
      <c r="A344" s="2184" t="s">
        <v>926</v>
      </c>
      <c r="B344" s="2185"/>
      <c r="C344" s="2185"/>
      <c r="D344" s="2185"/>
      <c r="E344" s="2185"/>
      <c r="F344" s="2186"/>
      <c r="G344" s="2185"/>
      <c r="H344" s="2185"/>
      <c r="I344" s="2185"/>
      <c r="J344" s="2185"/>
      <c r="K344" s="2186"/>
      <c r="L344" s="2185"/>
      <c r="M344" s="2185"/>
      <c r="N344" s="2185"/>
      <c r="O344" s="2185"/>
      <c r="P344" s="2186"/>
      <c r="Q344" s="2185"/>
      <c r="R344" s="2185"/>
      <c r="S344" s="2185"/>
      <c r="T344" s="2185"/>
      <c r="U344" s="2186"/>
      <c r="V344" s="2185"/>
      <c r="W344" s="2185"/>
      <c r="X344" s="2185"/>
      <c r="Y344" s="2185"/>
      <c r="Z344" s="2186"/>
      <c r="AA344" s="2185"/>
      <c r="AB344" s="2185"/>
      <c r="AC344" s="2185"/>
      <c r="AD344" s="2185"/>
      <c r="AE344" s="2186"/>
      <c r="AF344" s="2148"/>
      <c r="AG344" s="2185"/>
      <c r="AH344" s="2185"/>
      <c r="AI344" s="2185"/>
      <c r="AJ344" s="2187">
        <f t="shared" ref="AJ344:AY344" si="528">IF(ISERROR(AJ343/AE343-1),,(AJ343/AE343-1))</f>
        <v>-4.420693126457409E-2</v>
      </c>
      <c r="AK344" s="2188">
        <f t="shared" si="528"/>
        <v>8.7948305400191717E-3</v>
      </c>
      <c r="AL344" s="2188">
        <f t="shared" si="528"/>
        <v>-3.9968028381719423E-2</v>
      </c>
      <c r="AM344" s="2188">
        <f t="shared" si="528"/>
        <v>-6.3163185986063741E-3</v>
      </c>
      <c r="AN344" s="2188">
        <f t="shared" si="528"/>
        <v>-2.9902082610514524E-2</v>
      </c>
      <c r="AO344" s="2187">
        <f t="shared" si="528"/>
        <v>-1.8233069371769717E-2</v>
      </c>
      <c r="AP344" s="2188">
        <f t="shared" si="528"/>
        <v>-5.2998065060504307E-2</v>
      </c>
      <c r="AQ344" s="2188">
        <f t="shared" si="528"/>
        <v>-0.11767921115510471</v>
      </c>
      <c r="AR344" s="2188">
        <f t="shared" si="528"/>
        <v>-0.11052983459339194</v>
      </c>
      <c r="AS344" s="2188">
        <f t="shared" si="528"/>
        <v>-0.1195728000774825</v>
      </c>
      <c r="AT344" s="2187">
        <f t="shared" si="528"/>
        <v>-0.10121356754482014</v>
      </c>
      <c r="AU344" s="2188">
        <f t="shared" si="528"/>
        <v>2.0957379593816716E-2</v>
      </c>
      <c r="AV344" s="2188">
        <f t="shared" si="528"/>
        <v>-5.4026820422304556E-2</v>
      </c>
      <c r="AW344" s="2188">
        <f t="shared" si="528"/>
        <v>-5.4026820422304556E-2</v>
      </c>
      <c r="AX344" s="2188">
        <f t="shared" si="528"/>
        <v>-4.6625586974155309E-2</v>
      </c>
      <c r="AY344" s="2187">
        <f t="shared" si="528"/>
        <v>-4.3675057971440223E-2</v>
      </c>
      <c r="AZ344" s="2188"/>
      <c r="BA344" s="2188"/>
      <c r="BB344" s="2188"/>
      <c r="BC344" s="2188"/>
      <c r="BD344" s="2187"/>
      <c r="BE344" s="2188"/>
      <c r="BF344" s="2188"/>
      <c r="BG344" s="2188"/>
      <c r="BH344" s="2188"/>
      <c r="BI344" s="2187"/>
      <c r="BJ344" s="2188"/>
      <c r="BK344" s="2188"/>
      <c r="BL344" s="2188"/>
      <c r="BM344" s="2188"/>
      <c r="BN344" s="2187"/>
      <c r="BO344" s="2188"/>
      <c r="BP344" s="2188"/>
      <c r="BQ344" s="2188"/>
      <c r="BR344" s="2188"/>
      <c r="BS344" s="2188"/>
      <c r="BT344" s="2188"/>
      <c r="BU344" s="2188"/>
      <c r="BV344" s="2188"/>
      <c r="BW344" s="2188"/>
      <c r="BX344" s="2188"/>
      <c r="BY344" s="2189"/>
      <c r="BZ344" s="2187"/>
      <c r="CA344" s="2187"/>
      <c r="CB344" s="2187"/>
      <c r="CC344" s="2187"/>
      <c r="CD344" s="2187"/>
      <c r="CE344" s="2187"/>
      <c r="CF344" s="2187"/>
    </row>
    <row r="345" spans="1:84" s="1011" customFormat="1" hidden="1" outlineLevel="1">
      <c r="A345" s="2197" t="s">
        <v>929</v>
      </c>
      <c r="B345" s="2198"/>
      <c r="C345" s="2198"/>
      <c r="D345" s="2198"/>
      <c r="E345" s="2198"/>
      <c r="F345" s="2199"/>
      <c r="G345" s="2198"/>
      <c r="H345" s="2198"/>
      <c r="I345" s="2198"/>
      <c r="J345" s="2198"/>
      <c r="K345" s="2199"/>
      <c r="L345" s="2198"/>
      <c r="M345" s="2198"/>
      <c r="N345" s="2198"/>
      <c r="O345" s="2198"/>
      <c r="P345" s="2199"/>
      <c r="Q345" s="2198"/>
      <c r="R345" s="2198"/>
      <c r="S345" s="2198"/>
      <c r="T345" s="2198"/>
      <c r="U345" s="2199"/>
      <c r="V345" s="2198"/>
      <c r="W345" s="2198"/>
      <c r="X345" s="2198"/>
      <c r="Y345" s="2198"/>
      <c r="Z345" s="2199"/>
      <c r="AA345" s="2198"/>
      <c r="AB345" s="2198"/>
      <c r="AC345" s="2198"/>
      <c r="AD345" s="2198"/>
      <c r="AE345" s="2199">
        <f t="shared" ref="AE345:AY345" si="529">AE292</f>
        <v>15410.795760646593</v>
      </c>
      <c r="AF345" s="2198">
        <f t="shared" si="529"/>
        <v>3739.1813925605875</v>
      </c>
      <c r="AG345" s="2198">
        <f t="shared" si="529"/>
        <v>4148.5202465186912</v>
      </c>
      <c r="AH345" s="2198">
        <f t="shared" si="529"/>
        <v>3360.3563818799948</v>
      </c>
      <c r="AI345" s="2198">
        <f t="shared" si="529"/>
        <v>3166.3021418468479</v>
      </c>
      <c r="AJ345" s="2199">
        <f t="shared" si="529"/>
        <v>14414.360162806122</v>
      </c>
      <c r="AK345" s="2198">
        <f t="shared" si="529"/>
        <v>3459.0277056347263</v>
      </c>
      <c r="AL345" s="2198">
        <f t="shared" si="529"/>
        <v>4021.3897743683583</v>
      </c>
      <c r="AM345" s="2198">
        <f t="shared" si="529"/>
        <v>3473.4711806982673</v>
      </c>
      <c r="AN345" s="2198">
        <f t="shared" si="529"/>
        <v>3228.577388695473</v>
      </c>
      <c r="AO345" s="2199">
        <f t="shared" si="529"/>
        <v>14182.466049396826</v>
      </c>
      <c r="AP345" s="2198">
        <f>AP292</f>
        <v>3281.3607708458353</v>
      </c>
      <c r="AQ345" s="2198">
        <f>AQ292</f>
        <v>3279.557083044635</v>
      </c>
      <c r="AR345" s="2198">
        <f t="shared" si="529"/>
        <v>2608.2217498027921</v>
      </c>
      <c r="AS345" s="2198">
        <f t="shared" si="529"/>
        <v>2341.3104243680928</v>
      </c>
      <c r="AT345" s="2199">
        <f t="shared" si="529"/>
        <v>11510.450028061357</v>
      </c>
      <c r="AU345" s="2198">
        <f t="shared" si="529"/>
        <v>2929.3479879174051</v>
      </c>
      <c r="AV345" s="2198">
        <f t="shared" si="529"/>
        <v>2657.0209081876546</v>
      </c>
      <c r="AW345" s="2198">
        <f t="shared" si="529"/>
        <v>1974.0823997250041</v>
      </c>
      <c r="AX345" s="2198">
        <f t="shared" si="529"/>
        <v>2074.3244792154951</v>
      </c>
      <c r="AY345" s="2199">
        <f t="shared" si="529"/>
        <v>9634.7757750455585</v>
      </c>
      <c r="AZ345" s="2198"/>
      <c r="BA345" s="2198"/>
      <c r="BB345" s="2198"/>
      <c r="BC345" s="2198"/>
      <c r="BD345" s="2199"/>
      <c r="BE345" s="2198"/>
      <c r="BF345" s="2198"/>
      <c r="BG345" s="2198"/>
      <c r="BH345" s="2198"/>
      <c r="BI345" s="2199"/>
      <c r="BJ345" s="2198"/>
      <c r="BK345" s="2198"/>
      <c r="BL345" s="2198"/>
      <c r="BM345" s="2198"/>
      <c r="BN345" s="2199"/>
      <c r="BO345" s="2138"/>
      <c r="BP345" s="2138"/>
      <c r="BQ345" s="2138"/>
      <c r="BR345" s="2138"/>
      <c r="BS345" s="2138"/>
      <c r="BT345" s="2138"/>
      <c r="BU345" s="2138"/>
      <c r="BV345" s="2138"/>
      <c r="BW345" s="2138"/>
      <c r="BX345" s="2138"/>
      <c r="BY345" s="2200"/>
      <c r="BZ345" s="2199"/>
      <c r="CA345" s="2199"/>
      <c r="CB345" s="2199">
        <f>SUM(AM345:AN345,AP345:AQ345)</f>
        <v>13262.966423284211</v>
      </c>
      <c r="CC345" s="2199">
        <f>SUM(AR345:AS345,AU345:AV345)</f>
        <v>10535.901070275944</v>
      </c>
      <c r="CD345" s="2199">
        <f>SUM(AW345:AX345,AZ345:BA345)</f>
        <v>4048.4068789404992</v>
      </c>
      <c r="CE345" s="2199">
        <f>SUM(BB345:BC345,BE345:BF345)</f>
        <v>0</v>
      </c>
      <c r="CF345" s="2199"/>
    </row>
    <row r="346" spans="1:84" s="1022" customFormat="1" hidden="1" outlineLevel="1">
      <c r="A346" s="2184" t="s">
        <v>926</v>
      </c>
      <c r="B346" s="2185"/>
      <c r="C346" s="2185"/>
      <c r="D346" s="2185"/>
      <c r="E346" s="2185"/>
      <c r="F346" s="2186"/>
      <c r="G346" s="2185"/>
      <c r="H346" s="2185"/>
      <c r="I346" s="2185"/>
      <c r="J346" s="2185"/>
      <c r="K346" s="2186"/>
      <c r="L346" s="2185"/>
      <c r="M346" s="2185"/>
      <c r="N346" s="2185"/>
      <c r="O346" s="2185"/>
      <c r="P346" s="2186"/>
      <c r="Q346" s="2185"/>
      <c r="R346" s="2185"/>
      <c r="S346" s="2185"/>
      <c r="T346" s="2185"/>
      <c r="U346" s="2186"/>
      <c r="V346" s="2185"/>
      <c r="W346" s="2185"/>
      <c r="X346" s="2185"/>
      <c r="Y346" s="2185"/>
      <c r="Z346" s="2186"/>
      <c r="AA346" s="2185"/>
      <c r="AB346" s="2185"/>
      <c r="AC346" s="2185"/>
      <c r="AD346" s="2185"/>
      <c r="AE346" s="2186"/>
      <c r="AF346" s="2148"/>
      <c r="AG346" s="2185"/>
      <c r="AH346" s="2185"/>
      <c r="AI346" s="2185"/>
      <c r="AJ346" s="2187">
        <f t="shared" ref="AJ346:AY346" si="530">IF(ISERROR(AJ345/AE345-1),,(AJ345/AE345-1))</f>
        <v>-6.4658283278595796E-2</v>
      </c>
      <c r="AK346" s="2188">
        <f t="shared" si="530"/>
        <v>-7.4923802167835563E-2</v>
      </c>
      <c r="AL346" s="2188">
        <f t="shared" si="530"/>
        <v>-3.0644775629820487E-2</v>
      </c>
      <c r="AM346" s="2188">
        <f t="shared" si="530"/>
        <v>3.3661548348925097E-2</v>
      </c>
      <c r="AN346" s="2188">
        <f t="shared" si="530"/>
        <v>1.9668131485487628E-2</v>
      </c>
      <c r="AO346" s="2187">
        <f t="shared" si="530"/>
        <v>-1.6087714667187281E-2</v>
      </c>
      <c r="AP346" s="2188">
        <f t="shared" si="530"/>
        <v>-5.1363258669328671E-2</v>
      </c>
      <c r="AQ346" s="2188">
        <f t="shared" si="530"/>
        <v>-0.18447172071009788</v>
      </c>
      <c r="AR346" s="2188">
        <f t="shared" si="530"/>
        <v>-0.2491022340140836</v>
      </c>
      <c r="AS346" s="2188">
        <f t="shared" si="530"/>
        <v>-0.27481669401329922</v>
      </c>
      <c r="AT346" s="2187">
        <f t="shared" si="530"/>
        <v>-0.18840277932123861</v>
      </c>
      <c r="AU346" s="2188">
        <f t="shared" si="530"/>
        <v>-0.10727646470817409</v>
      </c>
      <c r="AV346" s="2188">
        <f t="shared" si="530"/>
        <v>-0.1898232471925867</v>
      </c>
      <c r="AW346" s="2188">
        <f t="shared" si="530"/>
        <v>-0.24313091865204151</v>
      </c>
      <c r="AX346" s="2188">
        <f t="shared" si="530"/>
        <v>-0.11403269825899132</v>
      </c>
      <c r="AY346" s="2187">
        <f t="shared" si="530"/>
        <v>-0.16295403293903254</v>
      </c>
      <c r="AZ346" s="2188"/>
      <c r="BA346" s="2188"/>
      <c r="BB346" s="2188"/>
      <c r="BC346" s="2188"/>
      <c r="BD346" s="2187"/>
      <c r="BE346" s="2188"/>
      <c r="BF346" s="2188"/>
      <c r="BG346" s="2188"/>
      <c r="BH346" s="2188"/>
      <c r="BI346" s="2187"/>
      <c r="BJ346" s="2188"/>
      <c r="BK346" s="2188"/>
      <c r="BL346" s="2188"/>
      <c r="BM346" s="2188"/>
      <c r="BN346" s="2187"/>
      <c r="BO346" s="2188"/>
      <c r="BP346" s="2188"/>
      <c r="BQ346" s="2188"/>
      <c r="BR346" s="2188"/>
      <c r="BS346" s="2188"/>
      <c r="BT346" s="2188"/>
      <c r="BU346" s="2188"/>
      <c r="BV346" s="2188"/>
      <c r="BW346" s="2188"/>
      <c r="BX346" s="2188"/>
      <c r="BY346" s="2189"/>
      <c r="BZ346" s="2187"/>
      <c r="CA346" s="2187"/>
      <c r="CB346" s="2187"/>
      <c r="CC346" s="2187"/>
      <c r="CD346" s="2187"/>
      <c r="CE346" s="2187"/>
      <c r="CF346" s="2187"/>
    </row>
    <row r="347" spans="1:84" s="1005" customFormat="1" ht="7.5" hidden="1" customHeight="1" outlineLevel="1">
      <c r="A347" s="2201"/>
      <c r="B347" s="2193"/>
      <c r="C347" s="2193"/>
      <c r="D347" s="2193"/>
      <c r="E347" s="2193"/>
      <c r="F347" s="2194"/>
      <c r="G347" s="2193"/>
      <c r="H347" s="2193"/>
      <c r="I347" s="2193"/>
      <c r="J347" s="2193"/>
      <c r="K347" s="2194"/>
      <c r="L347" s="2193"/>
      <c r="M347" s="2193"/>
      <c r="N347" s="2193"/>
      <c r="O347" s="2193"/>
      <c r="P347" s="2194"/>
      <c r="Q347" s="2193"/>
      <c r="R347" s="2193"/>
      <c r="S347" s="2193"/>
      <c r="T347" s="2193"/>
      <c r="U347" s="2194"/>
      <c r="V347" s="2193"/>
      <c r="W347" s="2193"/>
      <c r="X347" s="2193"/>
      <c r="Y347" s="2193"/>
      <c r="Z347" s="2194"/>
      <c r="AA347" s="2193"/>
      <c r="AB347" s="2193"/>
      <c r="AC347" s="2193"/>
      <c r="AD347" s="2193"/>
      <c r="AE347" s="2194"/>
      <c r="AF347" s="2166"/>
      <c r="AG347" s="2166"/>
      <c r="AH347" s="2166"/>
      <c r="AI347" s="2166"/>
      <c r="AJ347" s="2194"/>
      <c r="AK347" s="2166"/>
      <c r="AL347" s="2166"/>
      <c r="AM347" s="2166"/>
      <c r="AN347" s="2166"/>
      <c r="AO347" s="2194"/>
      <c r="AP347" s="2166"/>
      <c r="AQ347" s="2166"/>
      <c r="AR347" s="2166"/>
      <c r="AS347" s="2166"/>
      <c r="AT347" s="2194"/>
      <c r="AU347" s="2166"/>
      <c r="AV347" s="2166"/>
      <c r="AW347" s="2166"/>
      <c r="AX347" s="2166"/>
      <c r="AY347" s="2194"/>
      <c r="AZ347" s="2166"/>
      <c r="BA347" s="2166"/>
      <c r="BB347" s="2166"/>
      <c r="BC347" s="2166"/>
      <c r="BD347" s="2194"/>
      <c r="BE347" s="2130"/>
      <c r="BF347" s="2166"/>
      <c r="BG347" s="2130"/>
      <c r="BH347" s="2130"/>
      <c r="BI347" s="2131"/>
      <c r="BJ347" s="2130"/>
      <c r="BK347" s="2130"/>
      <c r="BL347" s="2130"/>
      <c r="BM347" s="2130"/>
      <c r="BN347" s="2131"/>
      <c r="BO347" s="2167"/>
      <c r="BP347" s="2167"/>
      <c r="BQ347" s="2167"/>
      <c r="BR347" s="2167"/>
      <c r="BS347" s="2167"/>
      <c r="BT347" s="2167"/>
      <c r="BU347" s="2167"/>
      <c r="BV347" s="2167"/>
      <c r="BW347" s="2167"/>
      <c r="BX347" s="2167"/>
      <c r="BY347" s="2126"/>
      <c r="BZ347" s="2131"/>
      <c r="CA347" s="2131"/>
      <c r="CB347" s="2131"/>
      <c r="CC347" s="2131"/>
      <c r="CD347" s="2131"/>
      <c r="CE347" s="2131"/>
      <c r="CF347" s="2131"/>
    </row>
    <row r="348" spans="1:84" s="1011" customFormat="1" hidden="1" outlineLevel="1">
      <c r="A348" s="2197" t="s">
        <v>923</v>
      </c>
      <c r="B348" s="2198"/>
      <c r="C348" s="2198"/>
      <c r="D348" s="2198"/>
      <c r="E348" s="2198"/>
      <c r="F348" s="2199"/>
      <c r="G348" s="2198"/>
      <c r="H348" s="2198"/>
      <c r="I348" s="2198"/>
      <c r="J348" s="2198"/>
      <c r="K348" s="2199"/>
      <c r="L348" s="2198"/>
      <c r="M348" s="2198"/>
      <c r="N348" s="2198"/>
      <c r="O348" s="2198"/>
      <c r="P348" s="2199"/>
      <c r="Q348" s="2198"/>
      <c r="R348" s="2198"/>
      <c r="S348" s="2198"/>
      <c r="T348" s="2198"/>
      <c r="U348" s="2199"/>
      <c r="V348" s="2198"/>
      <c r="W348" s="2198"/>
      <c r="X348" s="2198"/>
      <c r="Y348" s="2198"/>
      <c r="Z348" s="2199"/>
      <c r="AA348" s="2198"/>
      <c r="AB348" s="2198"/>
      <c r="AC348" s="2198"/>
      <c r="AD348" s="2198"/>
      <c r="AE348" s="2199">
        <f t="shared" ref="AE348:AO348" si="531">AE293+AE294</f>
        <v>788.6089762590791</v>
      </c>
      <c r="AF348" s="2198">
        <f t="shared" si="531"/>
        <v>172.22402221374489</v>
      </c>
      <c r="AG348" s="2198">
        <f>AG293+AG294</f>
        <v>445.30446203282554</v>
      </c>
      <c r="AH348" s="2198">
        <f t="shared" si="531"/>
        <v>190.49004528958238</v>
      </c>
      <c r="AI348" s="2198">
        <f t="shared" si="531"/>
        <v>135.40357101087756</v>
      </c>
      <c r="AJ348" s="2199">
        <f t="shared" si="531"/>
        <v>943.42210054703037</v>
      </c>
      <c r="AK348" s="2198">
        <f t="shared" si="531"/>
        <v>182.06539491167317</v>
      </c>
      <c r="AL348" s="2198">
        <f>AL293+AL294</f>
        <v>221.27094693570214</v>
      </c>
      <c r="AM348" s="2198">
        <f t="shared" si="531"/>
        <v>151.99336352638829</v>
      </c>
      <c r="AN348" s="2198">
        <f t="shared" si="531"/>
        <v>162</v>
      </c>
      <c r="AO348" s="2199">
        <f t="shared" si="531"/>
        <v>717.32970537376355</v>
      </c>
      <c r="AP348" s="2198">
        <f>AP293+AP294</f>
        <v>198.20524613627555</v>
      </c>
      <c r="AQ348" s="2198">
        <f>AQ293+AQ294</f>
        <v>115</v>
      </c>
      <c r="AR348" s="2198">
        <f>AR293+AR294</f>
        <v>165</v>
      </c>
      <c r="AS348" s="2198">
        <f>AS293+AS294</f>
        <v>165</v>
      </c>
      <c r="AT348" s="2199">
        <f>AT293+AT294</f>
        <v>643.20524613627549</v>
      </c>
      <c r="AU348" s="2198">
        <f>AP348*(1+AU349)</f>
        <v>208.11550844308934</v>
      </c>
      <c r="AV348" s="2198">
        <f>AQ348*(1+AV349)</f>
        <v>132.25</v>
      </c>
      <c r="AW348" s="2198">
        <f>AR348*(1+AW349)</f>
        <v>173.25</v>
      </c>
      <c r="AX348" s="2198">
        <f>AS348*(1+AX349)</f>
        <v>173.25</v>
      </c>
      <c r="AY348" s="2199">
        <f>AY293+AY294</f>
        <v>686.86550844308931</v>
      </c>
      <c r="AZ348" s="2198"/>
      <c r="BA348" s="2198"/>
      <c r="BB348" s="2198"/>
      <c r="BC348" s="2198"/>
      <c r="BD348" s="2199"/>
      <c r="BE348" s="2198"/>
      <c r="BF348" s="2198"/>
      <c r="BG348" s="2198"/>
      <c r="BH348" s="2198"/>
      <c r="BI348" s="2199"/>
      <c r="BJ348" s="2198"/>
      <c r="BK348" s="2198"/>
      <c r="BL348" s="2198"/>
      <c r="BM348" s="2198"/>
      <c r="BN348" s="2199"/>
      <c r="BO348" s="2138"/>
      <c r="BP348" s="2138"/>
      <c r="BQ348" s="2138"/>
      <c r="BR348" s="2138"/>
      <c r="BS348" s="2138"/>
      <c r="BT348" s="2138"/>
      <c r="BU348" s="2138"/>
      <c r="BV348" s="2138"/>
      <c r="BW348" s="2138"/>
      <c r="BX348" s="2138"/>
      <c r="BY348" s="2200"/>
      <c r="BZ348" s="2199"/>
      <c r="CA348" s="2199"/>
      <c r="CB348" s="2199">
        <f>SUM(AM348:AN348,AP348:AQ348)</f>
        <v>627.19860966266378</v>
      </c>
      <c r="CC348" s="2199">
        <f>SUM(AR348:AS348,AU348:AV348)</f>
        <v>670.36550844308931</v>
      </c>
      <c r="CD348" s="2199">
        <f>SUM(AW348:AX348,AZ348:BA348)</f>
        <v>346.5</v>
      </c>
      <c r="CE348" s="2199">
        <f>SUM(BB348:BC348,BE348:BF348)</f>
        <v>0</v>
      </c>
      <c r="CF348" s="2199"/>
    </row>
    <row r="349" spans="1:84" s="1022" customFormat="1" hidden="1" outlineLevel="1">
      <c r="A349" s="2184" t="s">
        <v>926</v>
      </c>
      <c r="B349" s="2185"/>
      <c r="C349" s="2185"/>
      <c r="D349" s="2185"/>
      <c r="E349" s="2185"/>
      <c r="F349" s="2186"/>
      <c r="G349" s="2185"/>
      <c r="H349" s="2185"/>
      <c r="I349" s="2185"/>
      <c r="J349" s="2185"/>
      <c r="K349" s="2186"/>
      <c r="L349" s="2185"/>
      <c r="M349" s="2185"/>
      <c r="N349" s="2185"/>
      <c r="O349" s="2185"/>
      <c r="P349" s="2186"/>
      <c r="Q349" s="2185"/>
      <c r="R349" s="2185"/>
      <c r="S349" s="2185"/>
      <c r="T349" s="2185"/>
      <c r="U349" s="2186"/>
      <c r="V349" s="2185"/>
      <c r="W349" s="2185"/>
      <c r="X349" s="2185"/>
      <c r="Y349" s="2185"/>
      <c r="Z349" s="2186"/>
      <c r="AA349" s="2185"/>
      <c r="AB349" s="2185"/>
      <c r="AC349" s="2185"/>
      <c r="AD349" s="2185"/>
      <c r="AE349" s="2186"/>
      <c r="AF349" s="2148"/>
      <c r="AG349" s="2185"/>
      <c r="AH349" s="2185"/>
      <c r="AI349" s="2185"/>
      <c r="AJ349" s="2187">
        <f t="shared" ref="AJ349:AS349" si="532">IF(ISERROR(AJ348/AE348-1),,(AJ348/AE348-1))</f>
        <v>0.19631164360103726</v>
      </c>
      <c r="AK349" s="2188">
        <f t="shared" si="532"/>
        <v>5.7142857142857162E-2</v>
      </c>
      <c r="AL349" s="2188">
        <f t="shared" si="532"/>
        <v>-0.50310188690767887</v>
      </c>
      <c r="AM349" s="2188">
        <f t="shared" si="532"/>
        <v>-0.20209287947132115</v>
      </c>
      <c r="AN349" s="2188">
        <f t="shared" si="532"/>
        <v>0.19642339408453147</v>
      </c>
      <c r="AO349" s="2187">
        <f t="shared" si="532"/>
        <v>-0.23965136606633475</v>
      </c>
      <c r="AP349" s="2188">
        <f t="shared" si="532"/>
        <v>8.8648648648648631E-2</v>
      </c>
      <c r="AQ349" s="2188">
        <f t="shared" si="532"/>
        <v>-0.48027519386258521</v>
      </c>
      <c r="AR349" s="2188">
        <f t="shared" si="532"/>
        <v>8.557371303486927E-2</v>
      </c>
      <c r="AS349" s="2188">
        <f t="shared" si="532"/>
        <v>1.8518518518518601E-2</v>
      </c>
      <c r="AT349" s="2187">
        <f>IF(ISERROR(AT348/AO348-1),,(AT348/AO348-1))</f>
        <v>-0.10333387657334725</v>
      </c>
      <c r="AU349" s="2188">
        <v>0.05</v>
      </c>
      <c r="AV349" s="2188">
        <v>0.15</v>
      </c>
      <c r="AW349" s="2202">
        <v>0.05</v>
      </c>
      <c r="AX349" s="2188">
        <v>0.05</v>
      </c>
      <c r="AY349" s="2187">
        <f>IF(ISERROR(AY348/AT348-1),,(AY348/AT348-1))</f>
        <v>6.7879207405537212E-2</v>
      </c>
      <c r="AZ349" s="2202"/>
      <c r="BA349" s="2202"/>
      <c r="BB349" s="2202"/>
      <c r="BC349" s="2202"/>
      <c r="BD349" s="2187"/>
      <c r="BE349" s="2202"/>
      <c r="BF349" s="2202"/>
      <c r="BG349" s="2202"/>
      <c r="BH349" s="2202"/>
      <c r="BI349" s="2187"/>
      <c r="BJ349" s="2202"/>
      <c r="BK349" s="2202"/>
      <c r="BL349" s="2202"/>
      <c r="BM349" s="2202"/>
      <c r="BN349" s="2187"/>
      <c r="BO349" s="2188"/>
      <c r="BP349" s="2188"/>
      <c r="BQ349" s="2188"/>
      <c r="BR349" s="2188"/>
      <c r="BS349" s="2188"/>
      <c r="BT349" s="2188"/>
      <c r="BU349" s="2188"/>
      <c r="BV349" s="2188"/>
      <c r="BW349" s="2188"/>
      <c r="BX349" s="2188"/>
      <c r="BY349" s="2189"/>
      <c r="BZ349" s="2187"/>
      <c r="CA349" s="2187"/>
      <c r="CB349" s="2187"/>
      <c r="CC349" s="2187"/>
      <c r="CD349" s="2187"/>
      <c r="CE349" s="2187"/>
      <c r="CF349" s="2187"/>
    </row>
    <row r="350" spans="1:84" s="1005" customFormat="1" ht="10.5" hidden="1" customHeight="1" outlineLevel="1">
      <c r="A350" s="2201"/>
      <c r="B350" s="2193"/>
      <c r="C350" s="2193"/>
      <c r="D350" s="2193"/>
      <c r="E350" s="2193"/>
      <c r="F350" s="2194"/>
      <c r="G350" s="2193"/>
      <c r="H350" s="2193"/>
      <c r="I350" s="2193"/>
      <c r="J350" s="2193"/>
      <c r="K350" s="2194"/>
      <c r="L350" s="2193"/>
      <c r="M350" s="2193"/>
      <c r="N350" s="2193"/>
      <c r="O350" s="2193"/>
      <c r="P350" s="2194"/>
      <c r="Q350" s="2193"/>
      <c r="R350" s="2193"/>
      <c r="S350" s="2193"/>
      <c r="T350" s="2193"/>
      <c r="U350" s="2194"/>
      <c r="V350" s="2193"/>
      <c r="W350" s="2193"/>
      <c r="X350" s="2193"/>
      <c r="Y350" s="2193"/>
      <c r="Z350" s="2194"/>
      <c r="AA350" s="2193"/>
      <c r="AB350" s="2193"/>
      <c r="AC350" s="2193"/>
      <c r="AD350" s="2193"/>
      <c r="AE350" s="2194"/>
      <c r="AF350" s="2166"/>
      <c r="AG350" s="2166"/>
      <c r="AH350" s="2166"/>
      <c r="AI350" s="2166"/>
      <c r="AJ350" s="2194"/>
      <c r="AK350" s="2166"/>
      <c r="AL350" s="2166"/>
      <c r="AM350" s="2166"/>
      <c r="AN350" s="2166"/>
      <c r="AO350" s="2194"/>
      <c r="AP350" s="2166"/>
      <c r="AQ350" s="2166"/>
      <c r="AR350" s="2166"/>
      <c r="AS350" s="2166"/>
      <c r="AT350" s="2194"/>
      <c r="AU350" s="2166"/>
      <c r="AV350" s="2166"/>
      <c r="AW350" s="2166"/>
      <c r="AX350" s="2166"/>
      <c r="AY350" s="2194"/>
      <c r="AZ350" s="2166"/>
      <c r="BA350" s="2166"/>
      <c r="BB350" s="2166"/>
      <c r="BC350" s="2166"/>
      <c r="BD350" s="2194"/>
      <c r="BE350" s="2130"/>
      <c r="BF350" s="2166"/>
      <c r="BG350" s="2130"/>
      <c r="BH350" s="2130"/>
      <c r="BI350" s="2131"/>
      <c r="BJ350" s="2130"/>
      <c r="BK350" s="2130"/>
      <c r="BL350" s="2130"/>
      <c r="BM350" s="2130"/>
      <c r="BN350" s="2131"/>
      <c r="BO350" s="2167"/>
      <c r="BP350" s="2167"/>
      <c r="BQ350" s="2167"/>
      <c r="BR350" s="2167"/>
      <c r="BS350" s="2167"/>
      <c r="BT350" s="2167"/>
      <c r="BU350" s="2167"/>
      <c r="BV350" s="2167"/>
      <c r="BW350" s="2167"/>
      <c r="BX350" s="2167"/>
      <c r="BY350" s="2126"/>
      <c r="BZ350" s="2131"/>
      <c r="CA350" s="2131"/>
      <c r="CB350" s="2131"/>
      <c r="CC350" s="2131"/>
      <c r="CD350" s="2131"/>
      <c r="CE350" s="2131"/>
      <c r="CF350" s="2131"/>
    </row>
    <row r="351" spans="1:84" s="1011" customFormat="1" hidden="1" outlineLevel="1">
      <c r="A351" s="2197" t="s">
        <v>924</v>
      </c>
      <c r="B351" s="2198">
        <f>B260</f>
        <v>725</v>
      </c>
      <c r="C351" s="2198">
        <f>C260</f>
        <v>234</v>
      </c>
      <c r="D351" s="2198">
        <f>D260</f>
        <v>1625</v>
      </c>
      <c r="E351" s="2198">
        <f>E260</f>
        <v>974</v>
      </c>
      <c r="F351" s="2199">
        <f>SUM(B351:E351)</f>
        <v>3558</v>
      </c>
      <c r="G351" s="2198">
        <f>G260</f>
        <v>754</v>
      </c>
      <c r="H351" s="2198">
        <f>H260</f>
        <v>826</v>
      </c>
      <c r="I351" s="2198">
        <f>I260</f>
        <v>995</v>
      </c>
      <c r="J351" s="2198">
        <f>J260</f>
        <v>877</v>
      </c>
      <c r="K351" s="2199">
        <f>SUM(G351:J351)</f>
        <v>3452</v>
      </c>
      <c r="L351" s="2198">
        <f>L260</f>
        <v>1088</v>
      </c>
      <c r="M351" s="2198">
        <f>M260</f>
        <v>750</v>
      </c>
      <c r="N351" s="2198">
        <f>N260</f>
        <v>698</v>
      </c>
      <c r="O351" s="2198">
        <f>O260</f>
        <v>588</v>
      </c>
      <c r="P351" s="2199">
        <f>SUM(L351:O351)</f>
        <v>3124</v>
      </c>
      <c r="Q351" s="2198">
        <f>Q260</f>
        <v>757.05882352941171</v>
      </c>
      <c r="R351" s="2198">
        <f>R260</f>
        <v>845</v>
      </c>
      <c r="S351" s="2198">
        <f>S260</f>
        <v>470</v>
      </c>
      <c r="T351" s="2198">
        <f>T260</f>
        <v>945</v>
      </c>
      <c r="U351" s="2199">
        <f>SUM(Q351:T351)</f>
        <v>3017.0588235294117</v>
      </c>
      <c r="V351" s="2198">
        <f>V260</f>
        <v>973.05882352941171</v>
      </c>
      <c r="W351" s="2198">
        <f>W260</f>
        <v>1316</v>
      </c>
      <c r="X351" s="2198">
        <f>X260</f>
        <v>995</v>
      </c>
      <c r="Y351" s="2198">
        <f>Y260</f>
        <v>852</v>
      </c>
      <c r="Z351" s="2199">
        <f>SUM(V351:Y351)</f>
        <v>4136.0588235294117</v>
      </c>
      <c r="AA351" s="2198">
        <f t="shared" ref="AA351:AI351" si="533">AA260</f>
        <v>1000</v>
      </c>
      <c r="AB351" s="2198">
        <f t="shared" si="533"/>
        <v>1065</v>
      </c>
      <c r="AC351" s="2198">
        <f t="shared" si="533"/>
        <v>1000</v>
      </c>
      <c r="AD351" s="2198">
        <f t="shared" si="533"/>
        <v>980</v>
      </c>
      <c r="AE351" s="2199">
        <f t="shared" si="533"/>
        <v>0</v>
      </c>
      <c r="AF351" s="2198">
        <f t="shared" si="533"/>
        <v>0</v>
      </c>
      <c r="AG351" s="2198">
        <f t="shared" si="533"/>
        <v>0</v>
      </c>
      <c r="AH351" s="2198">
        <f t="shared" si="533"/>
        <v>0</v>
      </c>
      <c r="AI351" s="2198">
        <f t="shared" si="533"/>
        <v>0</v>
      </c>
      <c r="AJ351" s="2199">
        <f>SUM(AF351:AI351)</f>
        <v>0</v>
      </c>
      <c r="AK351" s="2198">
        <f>AK260</f>
        <v>0</v>
      </c>
      <c r="AL351" s="2198">
        <f>AL260</f>
        <v>0</v>
      </c>
      <c r="AM351" s="2198">
        <f>AM260</f>
        <v>0</v>
      </c>
      <c r="AN351" s="2198">
        <f>AN260</f>
        <v>0</v>
      </c>
      <c r="AO351" s="2199">
        <f>SUM(AK351:AN351)</f>
        <v>0</v>
      </c>
      <c r="AP351" s="2198">
        <f>AP260</f>
        <v>0</v>
      </c>
      <c r="AQ351" s="2198">
        <f>AQ260</f>
        <v>0</v>
      </c>
      <c r="AR351" s="2198">
        <f>AR260</f>
        <v>0</v>
      </c>
      <c r="AS351" s="2198">
        <f>AS260</f>
        <v>0</v>
      </c>
      <c r="AT351" s="2199">
        <f>SUM(AP351:AS351)</f>
        <v>0</v>
      </c>
      <c r="AU351" s="2198">
        <f>AU260</f>
        <v>0</v>
      </c>
      <c r="AV351" s="2198">
        <f>AV260</f>
        <v>0</v>
      </c>
      <c r="AW351" s="2198">
        <f>AW260</f>
        <v>0</v>
      </c>
      <c r="AX351" s="2198">
        <f>AX260</f>
        <v>0</v>
      </c>
      <c r="AY351" s="2199">
        <f>SUM(AU351:AX351)</f>
        <v>0</v>
      </c>
      <c r="AZ351" s="2198"/>
      <c r="BA351" s="2198"/>
      <c r="BB351" s="2198"/>
      <c r="BC351" s="2198"/>
      <c r="BD351" s="2199"/>
      <c r="BE351" s="2198"/>
      <c r="BF351" s="2198"/>
      <c r="BG351" s="2198"/>
      <c r="BH351" s="2198"/>
      <c r="BI351" s="2199"/>
      <c r="BJ351" s="2198"/>
      <c r="BK351" s="2198"/>
      <c r="BL351" s="2198"/>
      <c r="BM351" s="2198"/>
      <c r="BN351" s="2199"/>
      <c r="BO351" s="2138"/>
      <c r="BP351" s="2138"/>
      <c r="BQ351" s="2138"/>
      <c r="BR351" s="2138"/>
      <c r="BS351" s="2138"/>
      <c r="BT351" s="2138"/>
      <c r="BU351" s="2138"/>
      <c r="BV351" s="2138"/>
      <c r="BW351" s="2138"/>
      <c r="BX351" s="2138"/>
      <c r="BY351" s="2200"/>
      <c r="BZ351" s="2199"/>
      <c r="CA351" s="2199"/>
      <c r="CB351" s="2199">
        <f>SUM(AM351:AN351,AP351:AQ351)</f>
        <v>0</v>
      </c>
      <c r="CC351" s="2199">
        <f>SUM(AR351:AS351,AU351:AV351)</f>
        <v>0</v>
      </c>
      <c r="CD351" s="2199">
        <f>SUM(AW351:AX351,AZ351:BA351)</f>
        <v>0</v>
      </c>
      <c r="CE351" s="2199">
        <f>SUM(BB351:BC351,BE351:BF351)</f>
        <v>0</v>
      </c>
      <c r="CF351" s="2199"/>
    </row>
    <row r="352" spans="1:84" s="1022" customFormat="1" hidden="1" outlineLevel="1">
      <c r="A352" s="2184" t="s">
        <v>926</v>
      </c>
      <c r="B352" s="2185"/>
      <c r="C352" s="2185"/>
      <c r="D352" s="2185"/>
      <c r="E352" s="2185"/>
      <c r="F352" s="2186"/>
      <c r="G352" s="2185"/>
      <c r="H352" s="2185"/>
      <c r="I352" s="2185"/>
      <c r="J352" s="2185"/>
      <c r="K352" s="2186"/>
      <c r="L352" s="2185"/>
      <c r="M352" s="2185"/>
      <c r="N352" s="2185"/>
      <c r="O352" s="2185"/>
      <c r="P352" s="2186"/>
      <c r="Q352" s="2185"/>
      <c r="R352" s="2185"/>
      <c r="S352" s="2185"/>
      <c r="T352" s="2185"/>
      <c r="U352" s="2186"/>
      <c r="V352" s="2185"/>
      <c r="W352" s="2185"/>
      <c r="X352" s="2185"/>
      <c r="Y352" s="2185"/>
      <c r="Z352" s="2186"/>
      <c r="AA352" s="2188">
        <f t="shared" ref="AA352:AY352" si="534">IF(ISERROR(AA351/V351-1),,(AA351/V351-1))</f>
        <v>2.7687099504292156E-2</v>
      </c>
      <c r="AB352" s="2188">
        <f t="shared" si="534"/>
        <v>-0.19072948328267481</v>
      </c>
      <c r="AC352" s="2188">
        <f t="shared" si="534"/>
        <v>5.0251256281406143E-3</v>
      </c>
      <c r="AD352" s="2188">
        <f t="shared" si="534"/>
        <v>0.15023474178403751</v>
      </c>
      <c r="AE352" s="2187">
        <f t="shared" si="534"/>
        <v>-1</v>
      </c>
      <c r="AF352" s="2188">
        <f t="shared" si="534"/>
        <v>-1</v>
      </c>
      <c r="AG352" s="2188">
        <f t="shared" si="534"/>
        <v>-1</v>
      </c>
      <c r="AH352" s="2188">
        <f t="shared" si="534"/>
        <v>-1</v>
      </c>
      <c r="AI352" s="2188">
        <f t="shared" si="534"/>
        <v>-1</v>
      </c>
      <c r="AJ352" s="2187">
        <f t="shared" si="534"/>
        <v>0</v>
      </c>
      <c r="AK352" s="2188">
        <f t="shared" si="534"/>
        <v>0</v>
      </c>
      <c r="AL352" s="2188">
        <f t="shared" si="534"/>
        <v>0</v>
      </c>
      <c r="AM352" s="2188">
        <f t="shared" si="534"/>
        <v>0</v>
      </c>
      <c r="AN352" s="2188">
        <f t="shared" si="534"/>
        <v>0</v>
      </c>
      <c r="AO352" s="2187">
        <f t="shared" si="534"/>
        <v>0</v>
      </c>
      <c r="AP352" s="2188">
        <f t="shared" si="534"/>
        <v>0</v>
      </c>
      <c r="AQ352" s="2188">
        <f t="shared" si="534"/>
        <v>0</v>
      </c>
      <c r="AR352" s="2188">
        <f t="shared" si="534"/>
        <v>0</v>
      </c>
      <c r="AS352" s="2188">
        <f t="shared" si="534"/>
        <v>0</v>
      </c>
      <c r="AT352" s="2187">
        <f t="shared" si="534"/>
        <v>0</v>
      </c>
      <c r="AU352" s="2188">
        <f t="shared" si="534"/>
        <v>0</v>
      </c>
      <c r="AV352" s="2188">
        <f t="shared" si="534"/>
        <v>0</v>
      </c>
      <c r="AW352" s="2188">
        <f t="shared" si="534"/>
        <v>0</v>
      </c>
      <c r="AX352" s="2188">
        <f t="shared" si="534"/>
        <v>0</v>
      </c>
      <c r="AY352" s="2187">
        <f t="shared" si="534"/>
        <v>0</v>
      </c>
      <c r="AZ352" s="2188"/>
      <c r="BA352" s="2188"/>
      <c r="BB352" s="2188"/>
      <c r="BC352" s="2188"/>
      <c r="BD352" s="2187"/>
      <c r="BE352" s="2188"/>
      <c r="BF352" s="2188"/>
      <c r="BG352" s="2188"/>
      <c r="BH352" s="2188"/>
      <c r="BI352" s="2187"/>
      <c r="BJ352" s="2188"/>
      <c r="BK352" s="2188"/>
      <c r="BL352" s="2188"/>
      <c r="BM352" s="2188"/>
      <c r="BN352" s="2187"/>
      <c r="BO352" s="2188"/>
      <c r="BP352" s="2188"/>
      <c r="BQ352" s="2188"/>
      <c r="BR352" s="2188"/>
      <c r="BS352" s="2188"/>
      <c r="BT352" s="2188"/>
      <c r="BU352" s="2188"/>
      <c r="BV352" s="2188"/>
      <c r="BW352" s="2188"/>
      <c r="BX352" s="2188"/>
      <c r="BY352" s="2189"/>
      <c r="BZ352" s="2187"/>
      <c r="CA352" s="2187"/>
      <c r="CB352" s="2187"/>
      <c r="CC352" s="2187"/>
      <c r="CD352" s="2187"/>
      <c r="CE352" s="2187"/>
      <c r="CF352" s="2187"/>
    </row>
    <row r="353" spans="1:84" ht="7.5" hidden="1" customHeight="1" outlineLevel="1" thickBot="1">
      <c r="A353" s="2203"/>
      <c r="B353" s="2141"/>
      <c r="C353" s="2141"/>
      <c r="D353" s="2141"/>
      <c r="E353" s="2141"/>
      <c r="F353" s="2142"/>
      <c r="G353" s="2141"/>
      <c r="H353" s="2141"/>
      <c r="I353" s="2141"/>
      <c r="J353" s="2141"/>
      <c r="K353" s="2142"/>
      <c r="L353" s="2141"/>
      <c r="M353" s="2141"/>
      <c r="N353" s="2141"/>
      <c r="O353" s="2141"/>
      <c r="P353" s="2142"/>
      <c r="Q353" s="2141"/>
      <c r="R353" s="2141"/>
      <c r="S353" s="2141"/>
      <c r="T353" s="2141"/>
      <c r="U353" s="2142"/>
      <c r="V353" s="2141"/>
      <c r="W353" s="2141"/>
      <c r="X353" s="2141"/>
      <c r="Y353" s="2141"/>
      <c r="Z353" s="2142"/>
      <c r="AA353" s="2141"/>
      <c r="AB353" s="2141"/>
      <c r="AC353" s="2141"/>
      <c r="AD353" s="2141"/>
      <c r="AE353" s="2142"/>
      <c r="AF353" s="2127"/>
      <c r="AG353" s="2141"/>
      <c r="AH353" s="2141"/>
      <c r="AI353" s="2141"/>
      <c r="AJ353" s="2142"/>
      <c r="AK353" s="2204"/>
      <c r="AL353" s="2141"/>
      <c r="AM353" s="2141"/>
      <c r="AN353" s="2141"/>
      <c r="AO353" s="2142"/>
      <c r="AP353" s="2141"/>
      <c r="AQ353" s="2141"/>
      <c r="AR353" s="2141"/>
      <c r="AS353" s="2141"/>
      <c r="AT353" s="2142"/>
      <c r="AU353" s="2141"/>
      <c r="AV353" s="2141"/>
      <c r="AW353" s="2141"/>
      <c r="AX353" s="2141"/>
      <c r="AY353" s="2142"/>
      <c r="AZ353" s="2141"/>
      <c r="BA353" s="2141"/>
      <c r="BB353" s="2141"/>
      <c r="BC353" s="2141"/>
      <c r="BD353" s="2142"/>
      <c r="BE353" s="2205"/>
      <c r="BF353" s="2141"/>
      <c r="BG353" s="2205"/>
      <c r="BH353" s="2205"/>
      <c r="BI353" s="2145"/>
      <c r="BJ353" s="2205"/>
      <c r="BK353" s="2205"/>
      <c r="BL353" s="2205"/>
      <c r="BM353" s="2205"/>
      <c r="BN353" s="2145"/>
      <c r="BO353" s="2205"/>
      <c r="BP353" s="2205"/>
      <c r="BQ353" s="2205"/>
      <c r="BR353" s="2205"/>
      <c r="BS353" s="2205"/>
      <c r="BT353" s="2205"/>
      <c r="BU353" s="2205"/>
      <c r="BV353" s="2205"/>
      <c r="BW353" s="2205"/>
      <c r="BX353" s="2205"/>
      <c r="BY353" s="2120"/>
      <c r="BZ353" s="2145"/>
      <c r="CA353" s="2145"/>
      <c r="CB353" s="2145"/>
      <c r="CC353" s="2145"/>
      <c r="CD353" s="2145"/>
      <c r="CE353" s="2145"/>
      <c r="CF353" s="2145"/>
    </row>
    <row r="354" spans="1:84" s="1011" customFormat="1" ht="13.5" hidden="1" outlineLevel="1" thickBot="1">
      <c r="A354" s="2206" t="s">
        <v>951</v>
      </c>
      <c r="B354" s="2207"/>
      <c r="C354" s="2207"/>
      <c r="D354" s="2207"/>
      <c r="E354" s="2207"/>
      <c r="F354" s="2208"/>
      <c r="G354" s="2207"/>
      <c r="H354" s="2207"/>
      <c r="I354" s="2207"/>
      <c r="J354" s="2207"/>
      <c r="K354" s="2208"/>
      <c r="L354" s="2207"/>
      <c r="M354" s="2207"/>
      <c r="N354" s="2207"/>
      <c r="O354" s="2207"/>
      <c r="P354" s="2208"/>
      <c r="Q354" s="2207"/>
      <c r="R354" s="2207"/>
      <c r="S354" s="2207"/>
      <c r="T354" s="2207"/>
      <c r="U354" s="2208"/>
      <c r="V354" s="2207"/>
      <c r="W354" s="2207"/>
      <c r="X354" s="2207"/>
      <c r="Y354" s="2207"/>
      <c r="Z354" s="2208"/>
      <c r="AA354" s="2207">
        <f>AA297</f>
        <v>5093</v>
      </c>
      <c r="AB354" s="2207">
        <f>AB297</f>
        <v>4956</v>
      </c>
      <c r="AC354" s="2207">
        <f>AC297</f>
        <v>4763</v>
      </c>
      <c r="AD354" s="2207">
        <f>AD297</f>
        <v>4683</v>
      </c>
      <c r="AE354" s="2208">
        <f t="shared" ref="AE354:AY354" si="535">AE200+AE351+AE348+AE345</f>
        <v>16199.404736905672</v>
      </c>
      <c r="AF354" s="2207">
        <f t="shared" si="535"/>
        <v>3911.4054147743323</v>
      </c>
      <c r="AG354" s="2207">
        <f t="shared" si="535"/>
        <v>4593.8247085515168</v>
      </c>
      <c r="AH354" s="2207">
        <f t="shared" si="535"/>
        <v>3550.8464271695771</v>
      </c>
      <c r="AI354" s="2207">
        <f t="shared" si="535"/>
        <v>3301.7057128577253</v>
      </c>
      <c r="AJ354" s="2208">
        <f t="shared" si="535"/>
        <v>15357.782263353152</v>
      </c>
      <c r="AK354" s="2207">
        <f t="shared" si="535"/>
        <v>4107.2417192790581</v>
      </c>
      <c r="AL354" s="2207">
        <f t="shared" si="535"/>
        <v>5225.8618158560039</v>
      </c>
      <c r="AM354" s="2207">
        <f t="shared" si="535"/>
        <v>4215.9148515901479</v>
      </c>
      <c r="AN354" s="2207">
        <f t="shared" si="535"/>
        <v>4257.5353216774147</v>
      </c>
      <c r="AO354" s="2208">
        <f t="shared" si="535"/>
        <v>17806.553708402625</v>
      </c>
      <c r="AP354" s="2207">
        <f t="shared" si="535"/>
        <v>3653.8682660106429</v>
      </c>
      <c r="AQ354" s="2207">
        <f t="shared" si="535"/>
        <v>3777.4955618263211</v>
      </c>
      <c r="AR354" s="2207">
        <f t="shared" si="535"/>
        <v>3233.3171967279873</v>
      </c>
      <c r="AS354" s="2207">
        <f t="shared" si="535"/>
        <v>2765.8302450719639</v>
      </c>
      <c r="AT354" s="2208">
        <f t="shared" si="535"/>
        <v>13430.511269636918</v>
      </c>
      <c r="AU354" s="2207">
        <f t="shared" si="535"/>
        <v>3329.1959702918798</v>
      </c>
      <c r="AV354" s="2207">
        <f t="shared" si="535"/>
        <v>3140.9360778688365</v>
      </c>
      <c r="AW354" s="2207">
        <f t="shared" si="535"/>
        <v>2548.727335879993</v>
      </c>
      <c r="AX354" s="2207">
        <f t="shared" si="535"/>
        <v>2462.6634252822773</v>
      </c>
      <c r="AY354" s="2208">
        <f t="shared" si="535"/>
        <v>11481.522809322985</v>
      </c>
      <c r="AZ354" s="2207"/>
      <c r="BA354" s="2207"/>
      <c r="BB354" s="2207"/>
      <c r="BC354" s="2207"/>
      <c r="BD354" s="2208"/>
      <c r="BE354" s="2207"/>
      <c r="BF354" s="2207"/>
      <c r="BG354" s="2207"/>
      <c r="BH354" s="2207"/>
      <c r="BI354" s="2208"/>
      <c r="BJ354" s="2207"/>
      <c r="BK354" s="2207"/>
      <c r="BL354" s="2207"/>
      <c r="BM354" s="2207"/>
      <c r="BN354" s="2208"/>
      <c r="BO354" s="2138"/>
      <c r="BP354" s="2138"/>
      <c r="BQ354" s="2138"/>
      <c r="BR354" s="2138"/>
      <c r="BS354" s="2138"/>
      <c r="BT354" s="2138"/>
      <c r="BU354" s="2138"/>
      <c r="BV354" s="2138"/>
      <c r="BW354" s="2138"/>
      <c r="BX354" s="2138"/>
      <c r="BY354" s="2200"/>
      <c r="BZ354" s="2208"/>
      <c r="CA354" s="2208"/>
      <c r="CB354" s="2208">
        <f>SUM(AM354:AN354,AP354:AQ354)</f>
        <v>15904.814001104527</v>
      </c>
      <c r="CC354" s="2208">
        <f>SUM(AR354:AS354,AU354:AV354)</f>
        <v>12469.279489960667</v>
      </c>
      <c r="CD354" s="2208">
        <f>SUM(AW354:AX354,AZ354:BA354)</f>
        <v>5011.3907611622708</v>
      </c>
      <c r="CE354" s="2208">
        <f>SUM(BB354:BC354,BE354:BF354)</f>
        <v>0</v>
      </c>
      <c r="CF354" s="2208"/>
    </row>
    <row r="355" spans="1:84" s="1022" customFormat="1" hidden="1" outlineLevel="1">
      <c r="A355" s="2184" t="s">
        <v>926</v>
      </c>
      <c r="B355" s="2185"/>
      <c r="C355" s="2185"/>
      <c r="D355" s="2185"/>
      <c r="E355" s="2185"/>
      <c r="F355" s="2186"/>
      <c r="G355" s="2185"/>
      <c r="H355" s="2185"/>
      <c r="I355" s="2185"/>
      <c r="J355" s="2185"/>
      <c r="K355" s="2186"/>
      <c r="L355" s="2185"/>
      <c r="M355" s="2185"/>
      <c r="N355" s="2185"/>
      <c r="O355" s="2185"/>
      <c r="P355" s="2186"/>
      <c r="Q355" s="2185"/>
      <c r="R355" s="2185"/>
      <c r="S355" s="2185"/>
      <c r="T355" s="2185"/>
      <c r="U355" s="2186"/>
      <c r="V355" s="2185"/>
      <c r="W355" s="2185"/>
      <c r="X355" s="2185"/>
      <c r="Y355" s="2185"/>
      <c r="Z355" s="2186"/>
      <c r="AA355" s="2188">
        <f>IF(ISERROR(AA354/V354-1),,(AA354/V354-1))</f>
        <v>0</v>
      </c>
      <c r="AB355" s="2188">
        <f>IF(ISERROR(AB354/W354-1),,(AB354/W354-1))</f>
        <v>0</v>
      </c>
      <c r="AC355" s="2188">
        <f>IF(ISERROR(AC354/X354-1),,(AC354/X354-1))</f>
        <v>0</v>
      </c>
      <c r="AD355" s="2188">
        <f>IF(ISERROR(AD354/Y354-1),,(AD354/Y354-1))</f>
        <v>0</v>
      </c>
      <c r="AE355" s="2186"/>
      <c r="AF355" s="2188">
        <f t="shared" ref="AF355:AY355" si="536">IF(ISERROR(AF354/AA354-1),,(AF354/AA354-1))</f>
        <v>-0.23200364917056115</v>
      </c>
      <c r="AG355" s="2188">
        <f t="shared" si="536"/>
        <v>-7.3078145974270203E-2</v>
      </c>
      <c r="AH355" s="2188">
        <f t="shared" si="536"/>
        <v>-0.25449371673953869</v>
      </c>
      <c r="AI355" s="2188">
        <f t="shared" si="536"/>
        <v>-0.29495927549482692</v>
      </c>
      <c r="AJ355" s="2187">
        <f t="shared" si="536"/>
        <v>-5.1953913567893362E-2</v>
      </c>
      <c r="AK355" s="2188">
        <f t="shared" si="536"/>
        <v>5.0068014879000922E-2</v>
      </c>
      <c r="AL355" s="2188">
        <f t="shared" si="536"/>
        <v>0.13758407153149199</v>
      </c>
      <c r="AM355" s="2188">
        <f t="shared" si="536"/>
        <v>0.18729856051552907</v>
      </c>
      <c r="AN355" s="2188">
        <f t="shared" si="536"/>
        <v>0.28949570069114072</v>
      </c>
      <c r="AO355" s="2187">
        <f t="shared" si="536"/>
        <v>0.15944824604609398</v>
      </c>
      <c r="AP355" s="2188">
        <f t="shared" si="536"/>
        <v>-0.11038392289899013</v>
      </c>
      <c r="AQ355" s="2188">
        <f t="shared" si="536"/>
        <v>-0.27715356912713129</v>
      </c>
      <c r="AR355" s="2188">
        <f t="shared" si="536"/>
        <v>-0.23306866705136298</v>
      </c>
      <c r="AS355" s="2188">
        <f t="shared" si="536"/>
        <v>-0.3503682210245852</v>
      </c>
      <c r="AT355" s="2187">
        <f t="shared" si="536"/>
        <v>-0.24575459746041273</v>
      </c>
      <c r="AU355" s="2188">
        <f t="shared" si="536"/>
        <v>-8.8857143192314858E-2</v>
      </c>
      <c r="AV355" s="2188">
        <f t="shared" si="536"/>
        <v>-0.16851362855069107</v>
      </c>
      <c r="AW355" s="2188">
        <f t="shared" si="536"/>
        <v>-0.21172987962355727</v>
      </c>
      <c r="AX355" s="2188">
        <f t="shared" si="536"/>
        <v>-0.10961150646532125</v>
      </c>
      <c r="AY355" s="2187">
        <f t="shared" si="536"/>
        <v>-0.14511647555220897</v>
      </c>
      <c r="AZ355" s="2188"/>
      <c r="BA355" s="2188"/>
      <c r="BB355" s="2188"/>
      <c r="BC355" s="2188"/>
      <c r="BD355" s="2187"/>
      <c r="BE355" s="2188"/>
      <c r="BF355" s="2188"/>
      <c r="BG355" s="2188"/>
      <c r="BH355" s="2188"/>
      <c r="BI355" s="2187"/>
      <c r="BJ355" s="2188"/>
      <c r="BK355" s="2188"/>
      <c r="BL355" s="2188"/>
      <c r="BM355" s="2188"/>
      <c r="BN355" s="2187"/>
      <c r="BO355" s="2188"/>
      <c r="BP355" s="2188"/>
      <c r="BQ355" s="2188"/>
      <c r="BR355" s="2188"/>
      <c r="BS355" s="2188"/>
      <c r="BT355" s="2188"/>
      <c r="BU355" s="2188"/>
      <c r="BV355" s="2188"/>
      <c r="BW355" s="2188"/>
      <c r="BX355" s="2188"/>
      <c r="BY355" s="2189"/>
      <c r="BZ355" s="2187"/>
      <c r="CA355" s="2187"/>
      <c r="CB355" s="2187"/>
      <c r="CC355" s="2187"/>
      <c r="CD355" s="2187"/>
      <c r="CE355" s="2187"/>
      <c r="CF355" s="2187"/>
    </row>
    <row r="356" spans="1:84" s="1022" customFormat="1" hidden="1" outlineLevel="1">
      <c r="A356" s="2184" t="s">
        <v>952</v>
      </c>
      <c r="B356" s="2185"/>
      <c r="C356" s="2185"/>
      <c r="D356" s="2185"/>
      <c r="E356" s="2185"/>
      <c r="F356" s="2186"/>
      <c r="G356" s="2185"/>
      <c r="H356" s="2185"/>
      <c r="I356" s="2185"/>
      <c r="J356" s="2185"/>
      <c r="K356" s="2186"/>
      <c r="L356" s="2185"/>
      <c r="M356" s="2185"/>
      <c r="N356" s="2185"/>
      <c r="O356" s="2185"/>
      <c r="P356" s="2186"/>
      <c r="Q356" s="2185"/>
      <c r="R356" s="2185"/>
      <c r="S356" s="2185"/>
      <c r="T356" s="2185"/>
      <c r="U356" s="2186"/>
      <c r="V356" s="2185"/>
      <c r="W356" s="2185"/>
      <c r="X356" s="2185"/>
      <c r="Y356" s="2185"/>
      <c r="Z356" s="2186"/>
      <c r="AA356" s="2209" t="s">
        <v>834</v>
      </c>
      <c r="AB356" s="2188">
        <f>IF(ISERROR(AA354/AB354-1),,(AA354/AB354-1))</f>
        <v>2.7643260694108163E-2</v>
      </c>
      <c r="AC356" s="2188">
        <f>IF(ISERROR(AB354/AC354-1),,(AB354/AC354-1))</f>
        <v>4.0520680243544049E-2</v>
      </c>
      <c r="AD356" s="2188">
        <f>IF(ISERROR(AC354/AD354-1),,(AC354/AD354-1))</f>
        <v>1.7083066410420678E-2</v>
      </c>
      <c r="AE356" s="2186"/>
      <c r="AF356" s="2188">
        <f>IF(ISERROR(AF354/AD354-1),,(AF354/AD354-1))</f>
        <v>-0.16476501926663845</v>
      </c>
      <c r="AG356" s="2188">
        <f>IF(ISERROR(AG354/AF354-1),,(AG354/AF354-1))</f>
        <v>0.17446907732947348</v>
      </c>
      <c r="AH356" s="2188">
        <f>IF(ISERROR(AH354/AG354-1),,(AH354/AG354-1))</f>
        <v>-0.22703919882715817</v>
      </c>
      <c r="AI356" s="2188">
        <f>IF(ISERROR(AI354/AH354-1),,(AI354/AH354-1))</f>
        <v>-7.0163753747707114E-2</v>
      </c>
      <c r="AJ356" s="2187"/>
      <c r="AK356" s="2188">
        <f>IF(ISERROR(AK354/AI354-1),,(AK354/AI354-1))</f>
        <v>0.24397571330611334</v>
      </c>
      <c r="AL356" s="2188">
        <f>IF(ISERROR(AL354/AK354-1),,(AL354/AK354-1))</f>
        <v>0.27235311993599853</v>
      </c>
      <c r="AM356" s="2188">
        <f>IF(ISERROR(AM354/AL354-1),,(AM354/AL354-1))</f>
        <v>-0.19325940865897639</v>
      </c>
      <c r="AN356" s="2188">
        <f>IF(ISERROR(AN354/AM354-1),,(AN354/AM354-1))</f>
        <v>9.8722273936744376E-3</v>
      </c>
      <c r="AO356" s="2187"/>
      <c r="AP356" s="2188">
        <f>IF(ISERROR(AP354/AN354-1),,(AP354/AN354-1))</f>
        <v>-0.14178791485138742</v>
      </c>
      <c r="AQ356" s="2188">
        <f>IF(ISERROR(AQ354/AP354-1),,(AQ354/AP354-1))</f>
        <v>3.3834634096060912E-2</v>
      </c>
      <c r="AR356" s="2188">
        <f>IF(ISERROR(AR354/AQ354-1),,(AR354/AQ354-1))</f>
        <v>-0.14405797602982162</v>
      </c>
      <c r="AS356" s="2188">
        <f>IF(ISERROR(AS354/AR354-1),,(AS354/AR354-1))</f>
        <v>-0.14458431487300571</v>
      </c>
      <c r="AT356" s="2187"/>
      <c r="AU356" s="2188">
        <f>IF(ISERROR(AU354/AS354-1),,(AU354/AS354-1))</f>
        <v>0.20368774483672536</v>
      </c>
      <c r="AV356" s="2188">
        <f>IF(ISERROR(AV354/AU354-1),,(AV354/AU354-1))</f>
        <v>-5.654815580187611E-2</v>
      </c>
      <c r="AW356" s="2188">
        <f>IF(ISERROR(AW354/AV354-1),,(AW354/AV354-1))</f>
        <v>-0.18854530219878407</v>
      </c>
      <c r="AX356" s="2188">
        <f>IF(ISERROR(AX354/AW354-1),,(AX354/AW354-1))</f>
        <v>-3.3767405946544926E-2</v>
      </c>
      <c r="AY356" s="2187"/>
      <c r="AZ356" s="2188"/>
      <c r="BA356" s="2188"/>
      <c r="BB356" s="2188"/>
      <c r="BC356" s="2188"/>
      <c r="BD356" s="2187"/>
      <c r="BE356" s="2188"/>
      <c r="BF356" s="2188"/>
      <c r="BG356" s="2188"/>
      <c r="BH356" s="2188"/>
      <c r="BI356" s="2187"/>
      <c r="BJ356" s="2188"/>
      <c r="BK356" s="2188"/>
      <c r="BL356" s="2188"/>
      <c r="BM356" s="2188"/>
      <c r="BN356" s="2187"/>
      <c r="BO356" s="2188"/>
      <c r="BP356" s="2188"/>
      <c r="BQ356" s="2188"/>
      <c r="BR356" s="2188"/>
      <c r="BS356" s="2188"/>
      <c r="BT356" s="2188"/>
      <c r="BU356" s="2188"/>
      <c r="BV356" s="2188"/>
      <c r="BW356" s="2188"/>
      <c r="BX356" s="2188"/>
      <c r="BY356" s="2189"/>
      <c r="BZ356" s="2187"/>
      <c r="CA356" s="2187"/>
      <c r="CB356" s="2187"/>
      <c r="CC356" s="2187"/>
      <c r="CD356" s="2187"/>
      <c r="CE356" s="2187"/>
      <c r="CF356" s="2187"/>
    </row>
    <row r="357" spans="1:84" s="1022" customFormat="1" hidden="1" outlineLevel="1">
      <c r="A357" s="2184" t="s">
        <v>953</v>
      </c>
      <c r="B357" s="2185"/>
      <c r="C357" s="2185"/>
      <c r="D357" s="2185"/>
      <c r="E357" s="2185"/>
      <c r="F357" s="2186"/>
      <c r="G357" s="2185"/>
      <c r="H357" s="2185"/>
      <c r="I357" s="2185"/>
      <c r="J357" s="2185"/>
      <c r="K357" s="2186"/>
      <c r="L357" s="2185"/>
      <c r="M357" s="2185"/>
      <c r="N357" s="2185"/>
      <c r="O357" s="2185"/>
      <c r="P357" s="2186"/>
      <c r="Q357" s="2185"/>
      <c r="R357" s="2185"/>
      <c r="S357" s="2185"/>
      <c r="T357" s="2185"/>
      <c r="U357" s="2186"/>
      <c r="V357" s="2185"/>
      <c r="W357" s="2185"/>
      <c r="X357" s="2185"/>
      <c r="Y357" s="2185"/>
      <c r="Z357" s="2186"/>
      <c r="AA357" s="2185"/>
      <c r="AB357" s="2185"/>
      <c r="AC357" s="2185"/>
      <c r="AD357" s="2185"/>
      <c r="AE357" s="2186"/>
      <c r="AF357" s="2148"/>
      <c r="AG357" s="2188"/>
      <c r="AH357" s="2188"/>
      <c r="AI357" s="2188"/>
      <c r="AJ357" s="2187"/>
      <c r="AK357" s="2188">
        <f>AVERAGE(AF356,AA356)</f>
        <v>-0.16476501926663845</v>
      </c>
      <c r="AL357" s="2188">
        <f>AVERAGE(AG356,AB356)</f>
        <v>0.10105616901179082</v>
      </c>
      <c r="AM357" s="2188">
        <f>AVERAGE(AH356,AC356)</f>
        <v>-9.3259259291807062E-2</v>
      </c>
      <c r="AN357" s="2188">
        <f>AVERAGE(AI356,AD356)</f>
        <v>-2.6540343668643218E-2</v>
      </c>
      <c r="AO357" s="2187"/>
      <c r="AP357" s="2188">
        <f>AVERAGE(AK356,AF356,AA356)</f>
        <v>3.9605347019737447E-2</v>
      </c>
      <c r="AQ357" s="2188">
        <f>AVERAGE(AL356,AG356,AB356)</f>
        <v>0.15815515265319338</v>
      </c>
      <c r="AR357" s="2188">
        <f>AVERAGE(AM356,AH356,AC356)</f>
        <v>-0.12659264241419685</v>
      </c>
      <c r="AS357" s="2188">
        <f>AVERAGE(AN356,AI356,AD356)</f>
        <v>-1.4402819981203999E-2</v>
      </c>
      <c r="AT357" s="2187"/>
      <c r="AU357" s="2188">
        <f>AVERAGE(AP356,AK356,AF356)</f>
        <v>-2.0859073603970841E-2</v>
      </c>
      <c r="AV357" s="2188">
        <f>AVERAGE(AQ356,AL356,AG356)</f>
        <v>0.16021894378717763</v>
      </c>
      <c r="AW357" s="2188">
        <f>AVERAGE(AR356,AM356,AH356)</f>
        <v>-0.1881188611719854</v>
      </c>
      <c r="AX357" s="2188">
        <f>AVERAGE(AS356,AN356,AI356)</f>
        <v>-6.8291947075679468E-2</v>
      </c>
      <c r="AY357" s="2187"/>
      <c r="AZ357" s="2188"/>
      <c r="BA357" s="2188"/>
      <c r="BB357" s="2188"/>
      <c r="BC357" s="2188"/>
      <c r="BD357" s="2187"/>
      <c r="BE357" s="2188"/>
      <c r="BF357" s="2188"/>
      <c r="BG357" s="2188"/>
      <c r="BH357" s="2188"/>
      <c r="BI357" s="2187"/>
      <c r="BJ357" s="2188"/>
      <c r="BK357" s="2188"/>
      <c r="BL357" s="2188"/>
      <c r="BM357" s="2188"/>
      <c r="BN357" s="2187"/>
      <c r="BO357" s="2188"/>
      <c r="BP357" s="2188"/>
      <c r="BQ357" s="2188"/>
      <c r="BR357" s="2188"/>
      <c r="BS357" s="2188"/>
      <c r="BT357" s="2188"/>
      <c r="BU357" s="2188"/>
      <c r="BV357" s="2188"/>
      <c r="BW357" s="2188"/>
      <c r="BX357" s="2188"/>
      <c r="BY357" s="2189"/>
      <c r="BZ357" s="2187"/>
      <c r="CA357" s="2187"/>
      <c r="CB357" s="2187"/>
      <c r="CC357" s="2187"/>
      <c r="CD357" s="2187"/>
      <c r="CE357" s="2187"/>
      <c r="CF357" s="2187"/>
    </row>
    <row r="358" spans="1:84" ht="7.5" hidden="1" customHeight="1" outlineLevel="1">
      <c r="A358" s="2203"/>
      <c r="B358" s="2141"/>
      <c r="C358" s="2141"/>
      <c r="D358" s="2141"/>
      <c r="E358" s="2141"/>
      <c r="F358" s="2142"/>
      <c r="G358" s="2141"/>
      <c r="H358" s="2141"/>
      <c r="I358" s="2141"/>
      <c r="J358" s="2141"/>
      <c r="K358" s="2142"/>
      <c r="L358" s="2141"/>
      <c r="M358" s="2141"/>
      <c r="N358" s="2141"/>
      <c r="O358" s="2141"/>
      <c r="P358" s="2142"/>
      <c r="Q358" s="2141"/>
      <c r="R358" s="2141"/>
      <c r="S358" s="2141"/>
      <c r="T358" s="2141"/>
      <c r="U358" s="2142"/>
      <c r="V358" s="2141"/>
      <c r="W358" s="2141"/>
      <c r="X358" s="2141"/>
      <c r="Y358" s="2141"/>
      <c r="Z358" s="2142"/>
      <c r="AA358" s="2141"/>
      <c r="AB358" s="2141"/>
      <c r="AC358" s="2141"/>
      <c r="AD358" s="2141"/>
      <c r="AE358" s="2142"/>
      <c r="AF358" s="2127"/>
      <c r="AG358" s="2141"/>
      <c r="AH358" s="2141"/>
      <c r="AI358" s="2141"/>
      <c r="AJ358" s="2142"/>
      <c r="AK358" s="2204"/>
      <c r="AL358" s="2141"/>
      <c r="AM358" s="2141"/>
      <c r="AN358" s="2141"/>
      <c r="AO358" s="2142"/>
      <c r="AP358" s="2141"/>
      <c r="AQ358" s="2141"/>
      <c r="AR358" s="2141"/>
      <c r="AS358" s="2141"/>
      <c r="AT358" s="2142"/>
      <c r="AU358" s="2141"/>
      <c r="AV358" s="2141"/>
      <c r="AW358" s="2141"/>
      <c r="AX358" s="2141"/>
      <c r="AY358" s="2142"/>
      <c r="AZ358" s="2141"/>
      <c r="BA358" s="2141"/>
      <c r="BB358" s="2141"/>
      <c r="BC358" s="2141"/>
      <c r="BD358" s="2142"/>
      <c r="BE358" s="2205"/>
      <c r="BF358" s="2141"/>
      <c r="BG358" s="2205"/>
      <c r="BH358" s="2205"/>
      <c r="BI358" s="2145"/>
      <c r="BJ358" s="2205"/>
      <c r="BK358" s="2205"/>
      <c r="BL358" s="2205"/>
      <c r="BM358" s="2205"/>
      <c r="BN358" s="2145"/>
      <c r="BO358" s="2205"/>
      <c r="BP358" s="2205"/>
      <c r="BQ358" s="2205"/>
      <c r="BR358" s="2205"/>
      <c r="BS358" s="2205"/>
      <c r="BT358" s="2205"/>
      <c r="BU358" s="2205"/>
      <c r="BV358" s="2205"/>
      <c r="BW358" s="2205"/>
      <c r="BX358" s="2205"/>
      <c r="BY358" s="2120"/>
      <c r="BZ358" s="2145"/>
      <c r="CA358" s="2145"/>
      <c r="CB358" s="2145"/>
      <c r="CC358" s="2145"/>
      <c r="CD358" s="2145"/>
      <c r="CE358" s="2145"/>
      <c r="CF358" s="2145"/>
    </row>
    <row r="359" spans="1:84" ht="7.5" hidden="1" customHeight="1" outlineLevel="1" thickBot="1">
      <c r="A359" s="2203"/>
      <c r="B359" s="2141"/>
      <c r="C359" s="2141"/>
      <c r="D359" s="2141"/>
      <c r="E359" s="2141"/>
      <c r="F359" s="2142"/>
      <c r="G359" s="2141"/>
      <c r="H359" s="2141"/>
      <c r="I359" s="2141"/>
      <c r="J359" s="2141"/>
      <c r="K359" s="2142"/>
      <c r="L359" s="2141"/>
      <c r="M359" s="2141"/>
      <c r="N359" s="2141"/>
      <c r="O359" s="2141"/>
      <c r="P359" s="2142"/>
      <c r="Q359" s="2141"/>
      <c r="R359" s="2141"/>
      <c r="S359" s="2141"/>
      <c r="T359" s="2141"/>
      <c r="U359" s="2142"/>
      <c r="V359" s="2141"/>
      <c r="W359" s="2141"/>
      <c r="X359" s="2141"/>
      <c r="Y359" s="2141"/>
      <c r="Z359" s="2142"/>
      <c r="AA359" s="2141"/>
      <c r="AB359" s="2141"/>
      <c r="AC359" s="2141"/>
      <c r="AD359" s="2141"/>
      <c r="AE359" s="2142"/>
      <c r="AF359" s="2127"/>
      <c r="AG359" s="2141"/>
      <c r="AH359" s="2141"/>
      <c r="AI359" s="2141"/>
      <c r="AJ359" s="2142"/>
      <c r="AK359" s="2204"/>
      <c r="AL359" s="2141"/>
      <c r="AM359" s="2141"/>
      <c r="AN359" s="2141"/>
      <c r="AO359" s="2142"/>
      <c r="AP359" s="2141"/>
      <c r="AQ359" s="2141"/>
      <c r="AR359" s="2141"/>
      <c r="AS359" s="2141"/>
      <c r="AT359" s="2142"/>
      <c r="AU359" s="2141"/>
      <c r="AV359" s="2141"/>
      <c r="AW359" s="2141"/>
      <c r="AX359" s="2141"/>
      <c r="AY359" s="2142"/>
      <c r="AZ359" s="2141"/>
      <c r="BA359" s="2141"/>
      <c r="BB359" s="2141"/>
      <c r="BC359" s="2141"/>
      <c r="BD359" s="2142"/>
      <c r="BE359" s="2205"/>
      <c r="BF359" s="2141"/>
      <c r="BG359" s="2205"/>
      <c r="BH359" s="2205"/>
      <c r="BI359" s="2145"/>
      <c r="BJ359" s="2205"/>
      <c r="BK359" s="2205"/>
      <c r="BL359" s="2205"/>
      <c r="BM359" s="2205"/>
      <c r="BN359" s="2145"/>
      <c r="BO359" s="2205"/>
      <c r="BP359" s="2205"/>
      <c r="BQ359" s="2205"/>
      <c r="BR359" s="2205"/>
      <c r="BS359" s="2205"/>
      <c r="BT359" s="2205"/>
      <c r="BU359" s="2205"/>
      <c r="BV359" s="2205"/>
      <c r="BW359" s="2205"/>
      <c r="BX359" s="2205"/>
      <c r="BY359" s="2120"/>
      <c r="BZ359" s="2145"/>
      <c r="CA359" s="2145"/>
      <c r="CB359" s="2145"/>
      <c r="CC359" s="2145"/>
      <c r="CD359" s="2145"/>
      <c r="CE359" s="2145"/>
      <c r="CF359" s="2145"/>
    </row>
    <row r="360" spans="1:84" s="1011" customFormat="1" ht="13.5" hidden="1" outlineLevel="1" thickBot="1">
      <c r="A360" s="2206" t="s">
        <v>1008</v>
      </c>
      <c r="B360" s="2207"/>
      <c r="C360" s="2207"/>
      <c r="D360" s="2207"/>
      <c r="E360" s="2207"/>
      <c r="F360" s="2208"/>
      <c r="G360" s="2207"/>
      <c r="H360" s="2207"/>
      <c r="I360" s="2207"/>
      <c r="J360" s="2207"/>
      <c r="K360" s="2208"/>
      <c r="L360" s="2207"/>
      <c r="M360" s="2207"/>
      <c r="N360" s="2207"/>
      <c r="O360" s="2207"/>
      <c r="P360" s="2208"/>
      <c r="Q360" s="2207"/>
      <c r="R360" s="2207"/>
      <c r="S360" s="2207"/>
      <c r="T360" s="2207"/>
      <c r="U360" s="2208"/>
      <c r="V360" s="2207"/>
      <c r="W360" s="2207"/>
      <c r="X360" s="2207"/>
      <c r="Y360" s="2207"/>
      <c r="Z360" s="2208"/>
      <c r="AA360" s="2207">
        <f>AA304</f>
        <v>1366</v>
      </c>
      <c r="AB360" s="2207">
        <f>AB304</f>
        <v>3415</v>
      </c>
      <c r="AC360" s="2207">
        <f>AC304</f>
        <v>953</v>
      </c>
      <c r="AD360" s="2207">
        <f>AD304</f>
        <v>1006</v>
      </c>
      <c r="AE360" s="2208">
        <f>AE178+AE175+AE158</f>
        <v>650</v>
      </c>
      <c r="AF360" s="2207">
        <f>AF178+AF175+AF158</f>
        <v>150</v>
      </c>
      <c r="AG360" s="2207">
        <f>AG178+AG175+AG158</f>
        <v>465.56890636296777</v>
      </c>
      <c r="AH360" s="2207">
        <f>AH178+AH175+AH158</f>
        <v>262.77360002013961</v>
      </c>
      <c r="AI360" s="2207">
        <f>AI178+AI175+AI158</f>
        <v>210.00932453664399</v>
      </c>
      <c r="AJ360" s="2208">
        <f>SUM(AF360:AI360)</f>
        <v>1088.3518309197514</v>
      </c>
      <c r="AK360" s="2207">
        <f>AK178+AK175+AK158+AK225</f>
        <v>725.66202734375111</v>
      </c>
      <c r="AL360" s="2207">
        <f>AL178+AL175+AL158+AL225</f>
        <v>3402.8620273437509</v>
      </c>
      <c r="AM360" s="2207">
        <f>AM178+AM175+AM158+AM225</f>
        <v>1238.0620273437512</v>
      </c>
      <c r="AN360" s="2207">
        <f>AN178+AN175+AN158</f>
        <v>878.36202734375115</v>
      </c>
      <c r="AO360" s="2208">
        <f>SUM(AK360:AN360)</f>
        <v>6244.9481093750046</v>
      </c>
      <c r="AP360" s="2207">
        <f>AP178+AP175+AP158</f>
        <v>1920.0620273437512</v>
      </c>
      <c r="AQ360" s="2207">
        <f>AQ178+AQ175+AQ158</f>
        <v>3746</v>
      </c>
      <c r="AR360" s="2207">
        <f>AR178+AR175+AR158</f>
        <v>1391.0370273437511</v>
      </c>
      <c r="AS360" s="2207">
        <f>AS178+AS175+AS158</f>
        <v>1516.0370273437511</v>
      </c>
      <c r="AT360" s="2208">
        <f>SUM(AP360:AS360)</f>
        <v>8573.136082031253</v>
      </c>
      <c r="AU360" s="2207">
        <f>AU178+AU175+AU158</f>
        <v>1544.0162500000001</v>
      </c>
      <c r="AV360" s="2207">
        <f>AV178+AV175+AV158</f>
        <v>3875.8625000000002</v>
      </c>
      <c r="AW360" s="2207">
        <f>AW178+AW175+AW158</f>
        <v>1567.4622636718757</v>
      </c>
      <c r="AX360" s="2207">
        <f>AX178+AX175+AX158</f>
        <v>1212.9035068359378</v>
      </c>
      <c r="AY360" s="2208">
        <f>SUM(AU360:AX360)</f>
        <v>8200.2445205078129</v>
      </c>
      <c r="AZ360" s="2207"/>
      <c r="BA360" s="2207"/>
      <c r="BB360" s="2207"/>
      <c r="BC360" s="2207"/>
      <c r="BD360" s="2208"/>
      <c r="BE360" s="2207"/>
      <c r="BF360" s="2207"/>
      <c r="BG360" s="2207"/>
      <c r="BH360" s="2207"/>
      <c r="BI360" s="2208"/>
      <c r="BJ360" s="2207"/>
      <c r="BK360" s="2207"/>
      <c r="BL360" s="2207"/>
      <c r="BM360" s="2207"/>
      <c r="BN360" s="2208"/>
      <c r="BO360" s="2138"/>
      <c r="BP360" s="2138"/>
      <c r="BQ360" s="2138"/>
      <c r="BR360" s="2138"/>
      <c r="BS360" s="2138"/>
      <c r="BT360" s="2138"/>
      <c r="BU360" s="2138"/>
      <c r="BV360" s="2138"/>
      <c r="BW360" s="2138"/>
      <c r="BX360" s="2138"/>
      <c r="BY360" s="2200"/>
      <c r="BZ360" s="2208"/>
      <c r="CA360" s="2208"/>
      <c r="CB360" s="2208">
        <f>SUM(AM360:AN360,AP360:AQ360)</f>
        <v>7782.4860820312533</v>
      </c>
      <c r="CC360" s="2208">
        <f>SUM(AR360:AS360,AU360:AV360)</f>
        <v>8326.9528046875021</v>
      </c>
      <c r="CD360" s="2208">
        <f>SUM(AW360:AX360,AZ360:BA360)</f>
        <v>2780.3657705078135</v>
      </c>
      <c r="CE360" s="2208">
        <f>SUM(BB360:BC360,BE360:BF360)</f>
        <v>0</v>
      </c>
      <c r="CF360" s="2208"/>
    </row>
    <row r="361" spans="1:84" s="1022" customFormat="1" hidden="1" outlineLevel="1">
      <c r="A361" s="2184" t="s">
        <v>926</v>
      </c>
      <c r="B361" s="2185"/>
      <c r="C361" s="2185"/>
      <c r="D361" s="2185"/>
      <c r="E361" s="2185"/>
      <c r="F361" s="2186"/>
      <c r="G361" s="2185"/>
      <c r="H361" s="2185"/>
      <c r="I361" s="2185"/>
      <c r="J361" s="2185"/>
      <c r="K361" s="2186"/>
      <c r="L361" s="2185"/>
      <c r="M361" s="2185"/>
      <c r="N361" s="2185"/>
      <c r="O361" s="2185"/>
      <c r="P361" s="2186"/>
      <c r="Q361" s="2185"/>
      <c r="R361" s="2185"/>
      <c r="S361" s="2185"/>
      <c r="T361" s="2185"/>
      <c r="U361" s="2186"/>
      <c r="V361" s="2185"/>
      <c r="W361" s="2185"/>
      <c r="X361" s="2185"/>
      <c r="Y361" s="2185"/>
      <c r="Z361" s="2186"/>
      <c r="AA361" s="2188">
        <f>IF(ISERROR(AA360/V360-1),,(AA360/V360-1))</f>
        <v>0</v>
      </c>
      <c r="AB361" s="2188">
        <f>IF(ISERROR(AB360/W360-1),,(AB360/W360-1))</f>
        <v>0</v>
      </c>
      <c r="AC361" s="2188">
        <f>IF(ISERROR(AC360/X360-1),,(AC360/X360-1))</f>
        <v>0</v>
      </c>
      <c r="AD361" s="2188">
        <f>IF(ISERROR(AD360/Y360-1),,(AD360/Y360-1))</f>
        <v>0</v>
      </c>
      <c r="AE361" s="2186"/>
      <c r="AF361" s="2188">
        <f t="shared" ref="AF361:AY361" si="537">IF(ISERROR(AF360/AA360-1),,(AF360/AA360-1))</f>
        <v>-0.89019033674963399</v>
      </c>
      <c r="AG361" s="2188">
        <f t="shared" si="537"/>
        <v>-0.86366942712651018</v>
      </c>
      <c r="AH361" s="2188">
        <f t="shared" si="537"/>
        <v>-0.72426694646365197</v>
      </c>
      <c r="AI361" s="2188">
        <f t="shared" si="537"/>
        <v>-0.79124321616635784</v>
      </c>
      <c r="AJ361" s="2187">
        <f t="shared" si="537"/>
        <v>0.67438743218423292</v>
      </c>
      <c r="AK361" s="2188">
        <f t="shared" si="537"/>
        <v>3.8377468489583411</v>
      </c>
      <c r="AL361" s="2188">
        <f t="shared" si="537"/>
        <v>6.3090405755980719</v>
      </c>
      <c r="AM361" s="2188">
        <f t="shared" si="537"/>
        <v>3.7115160246267624</v>
      </c>
      <c r="AN361" s="2188">
        <f t="shared" si="537"/>
        <v>3.1824906074134249</v>
      </c>
      <c r="AO361" s="2187">
        <f t="shared" si="537"/>
        <v>4.7379864966069691</v>
      </c>
      <c r="AP361" s="2188">
        <f t="shared" si="537"/>
        <v>1.6459452954594309</v>
      </c>
      <c r="AQ361" s="2188">
        <f t="shared" si="537"/>
        <v>0.10083805041137683</v>
      </c>
      <c r="AR361" s="2188">
        <f t="shared" si="537"/>
        <v>0.12356004515234686</v>
      </c>
      <c r="AS361" s="2188">
        <f t="shared" si="537"/>
        <v>0.7259819757103898</v>
      </c>
      <c r="AT361" s="2187">
        <f t="shared" si="537"/>
        <v>0.37281142002783652</v>
      </c>
      <c r="AU361" s="2188">
        <f t="shared" si="537"/>
        <v>-0.19585084856033508</v>
      </c>
      <c r="AV361" s="2188">
        <f t="shared" si="537"/>
        <v>3.4666978109983981E-2</v>
      </c>
      <c r="AW361" s="2188">
        <f t="shared" si="537"/>
        <v>0.12683000729679828</v>
      </c>
      <c r="AX361" s="2188">
        <f t="shared" si="537"/>
        <v>-0.19995126440871536</v>
      </c>
      <c r="AY361" s="2187">
        <f t="shared" si="537"/>
        <v>-4.3495350820920375E-2</v>
      </c>
      <c r="AZ361" s="2188"/>
      <c r="BA361" s="2188"/>
      <c r="BB361" s="2188"/>
      <c r="BC361" s="2188"/>
      <c r="BD361" s="2187"/>
      <c r="BE361" s="2188"/>
      <c r="BF361" s="2188"/>
      <c r="BG361" s="2188"/>
      <c r="BH361" s="2188"/>
      <c r="BI361" s="2187"/>
      <c r="BJ361" s="2188"/>
      <c r="BK361" s="2188"/>
      <c r="BL361" s="2188"/>
      <c r="BM361" s="2188"/>
      <c r="BN361" s="2187"/>
      <c r="BO361" s="2188"/>
      <c r="BP361" s="2188"/>
      <c r="BQ361" s="2188"/>
      <c r="BR361" s="2188"/>
      <c r="BS361" s="2188"/>
      <c r="BT361" s="2188"/>
      <c r="BU361" s="2188"/>
      <c r="BV361" s="2188"/>
      <c r="BW361" s="2188"/>
      <c r="BX361" s="2188"/>
      <c r="BY361" s="2189"/>
      <c r="BZ361" s="2187"/>
      <c r="CA361" s="2187"/>
      <c r="CB361" s="2187"/>
      <c r="CC361" s="2187"/>
      <c r="CD361" s="2187"/>
      <c r="CE361" s="2187"/>
      <c r="CF361" s="2187"/>
    </row>
    <row r="362" spans="1:84" s="1022" customFormat="1" hidden="1" outlineLevel="1">
      <c r="A362" s="2184" t="s">
        <v>952</v>
      </c>
      <c r="B362" s="2185"/>
      <c r="C362" s="2185"/>
      <c r="D362" s="2185"/>
      <c r="E362" s="2185"/>
      <c r="F362" s="2186"/>
      <c r="G362" s="2185"/>
      <c r="H362" s="2185"/>
      <c r="I362" s="2185"/>
      <c r="J362" s="2185"/>
      <c r="K362" s="2186"/>
      <c r="L362" s="2185"/>
      <c r="M362" s="2185"/>
      <c r="N362" s="2185"/>
      <c r="O362" s="2185"/>
      <c r="P362" s="2186"/>
      <c r="Q362" s="2185"/>
      <c r="R362" s="2185"/>
      <c r="S362" s="2185"/>
      <c r="T362" s="2185"/>
      <c r="U362" s="2186"/>
      <c r="V362" s="2185"/>
      <c r="W362" s="2185"/>
      <c r="X362" s="2185"/>
      <c r="Y362" s="2185"/>
      <c r="Z362" s="2186"/>
      <c r="AA362" s="2209"/>
      <c r="AB362" s="2188">
        <f>IF(ISERROR(AB360/AA360-1),,(AB360/AA360-1))</f>
        <v>1.5</v>
      </c>
      <c r="AC362" s="2188">
        <f>IF(ISERROR(AC360/AB360-1),,(AC360/AB360-1))</f>
        <v>-0.72093704245973644</v>
      </c>
      <c r="AD362" s="2188">
        <f>IF(ISERROR(AD360/AC360-1),,(AD360/AC360-1))</f>
        <v>5.561385099685201E-2</v>
      </c>
      <c r="AE362" s="2186"/>
      <c r="AF362" s="2188">
        <f>IF(ISERROR(AF360/AD360-1),,(AF360/AD360-1))</f>
        <v>-0.85089463220675943</v>
      </c>
      <c r="AG362" s="2188">
        <f>IF(ISERROR(AG360/AF360-1),,(AG360/AF360-1))</f>
        <v>2.1037927090864517</v>
      </c>
      <c r="AH362" s="2188">
        <f>IF(ISERROR(AH360/AG360-1),,(AH360/AG360-1))</f>
        <v>-0.43558601867781199</v>
      </c>
      <c r="AI362" s="2188">
        <f>IF(ISERROR(AI360/AH360-1),,(AI360/AH360-1))</f>
        <v>-0.20079747539117954</v>
      </c>
      <c r="AJ362" s="2187"/>
      <c r="AK362" s="2188">
        <f>IF(ISERROR(AK360/AI360-1),,(AK360/AI360-1))</f>
        <v>2.4553800358380382</v>
      </c>
      <c r="AL362" s="2188">
        <f>IF(ISERROR(AL360/AK360-1),,(AL360/AK360-1))</f>
        <v>3.6893207844976459</v>
      </c>
      <c r="AM362" s="2188">
        <f>IF(ISERROR(AM360/AL360-1),,(AM360/AL360-1))</f>
        <v>-0.63617037147104871</v>
      </c>
      <c r="AN362" s="2188">
        <f>IF(ISERROR(AN360/AM360-1),,(AN360/AM360-1))</f>
        <v>-0.29053471640006001</v>
      </c>
      <c r="AO362" s="2210">
        <f>(AO360+AO366)</f>
        <v>8230.2814427083376</v>
      </c>
      <c r="AP362" s="2188">
        <f>IF(ISERROR(AP360/AN360-1),,(AP360/AN360-1))</f>
        <v>1.1859574612420327</v>
      </c>
      <c r="AQ362" s="2188">
        <f>IF(ISERROR(AQ360/AP360-1),,(AQ360/AP360-1))</f>
        <v>0.95097863852986286</v>
      </c>
      <c r="AR362" s="2188">
        <f>IF(ISERROR(AR360/AQ360-1),,(AR360/AQ360-1))</f>
        <v>-0.62866069745228215</v>
      </c>
      <c r="AS362" s="2188">
        <f>IF(ISERROR(AS360/AR360-1),,(AS360/AR360-1))</f>
        <v>8.9861015589709492E-2</v>
      </c>
      <c r="AT362" s="2210">
        <f>(AT360+AT366)</f>
        <v>16097.136082031253</v>
      </c>
      <c r="AU362" s="2188">
        <f>IF(ISERROR(AU360/AS360-1),,(AU360/AS360-1))</f>
        <v>1.8455500856249918E-2</v>
      </c>
      <c r="AV362" s="2188">
        <f>IF(ISERROR(AV360/AU360-1),,(AV360/AU360-1))</f>
        <v>1.5102472205198616</v>
      </c>
      <c r="AW362" s="2188">
        <f>IF(ISERROR(AW360/AV360-1),,(AW360/AV360-1))</f>
        <v>-0.59558362463274284</v>
      </c>
      <c r="AX362" s="2188">
        <f>IF(ISERROR(AX360/AW360-1),,(AX360/AW360-1))</f>
        <v>-0.2261992298336819</v>
      </c>
      <c r="AY362" s="2210">
        <f>(AY360+AY366)</f>
        <v>11198.978120507812</v>
      </c>
      <c r="AZ362" s="2188"/>
      <c r="BA362" s="2188"/>
      <c r="BB362" s="2188"/>
      <c r="BC362" s="2188"/>
      <c r="BD362" s="2187"/>
      <c r="BE362" s="2188"/>
      <c r="BF362" s="2188"/>
      <c r="BG362" s="2188"/>
      <c r="BH362" s="2188"/>
      <c r="BI362" s="2187"/>
      <c r="BJ362" s="2188"/>
      <c r="BK362" s="2188"/>
      <c r="BL362" s="2188"/>
      <c r="BM362" s="2188"/>
      <c r="BN362" s="2187"/>
      <c r="BO362" s="2188"/>
      <c r="BP362" s="2188"/>
      <c r="BQ362" s="2188"/>
      <c r="BR362" s="2188"/>
      <c r="BS362" s="2188"/>
      <c r="BT362" s="2188"/>
      <c r="BU362" s="2188"/>
      <c r="BV362" s="2188"/>
      <c r="BW362" s="2188"/>
      <c r="BX362" s="2188"/>
      <c r="BY362" s="2189"/>
      <c r="BZ362" s="2187"/>
      <c r="CA362" s="2187"/>
      <c r="CB362" s="2187"/>
      <c r="CC362" s="2187"/>
      <c r="CD362" s="2187"/>
      <c r="CE362" s="2187"/>
      <c r="CF362" s="2187"/>
    </row>
    <row r="363" spans="1:84" s="1022" customFormat="1" hidden="1" outlineLevel="1">
      <c r="A363" s="2184" t="s">
        <v>953</v>
      </c>
      <c r="B363" s="2185"/>
      <c r="C363" s="2185"/>
      <c r="D363" s="2185"/>
      <c r="E363" s="2185"/>
      <c r="F363" s="2186"/>
      <c r="G363" s="2185"/>
      <c r="H363" s="2185"/>
      <c r="I363" s="2185"/>
      <c r="J363" s="2185"/>
      <c r="K363" s="2186"/>
      <c r="L363" s="2185"/>
      <c r="M363" s="2185"/>
      <c r="N363" s="2185"/>
      <c r="O363" s="2185"/>
      <c r="P363" s="2186"/>
      <c r="Q363" s="2185"/>
      <c r="R363" s="2185"/>
      <c r="S363" s="2185"/>
      <c r="T363" s="2185"/>
      <c r="U363" s="2186"/>
      <c r="V363" s="2185"/>
      <c r="W363" s="2185"/>
      <c r="X363" s="2185"/>
      <c r="Y363" s="2185"/>
      <c r="Z363" s="2186"/>
      <c r="AA363" s="2185"/>
      <c r="AB363" s="2185"/>
      <c r="AC363" s="2185"/>
      <c r="AD363" s="2185"/>
      <c r="AE363" s="2186"/>
      <c r="AF363" s="2148"/>
      <c r="AG363" s="2188"/>
      <c r="AH363" s="2188"/>
      <c r="AI363" s="2188"/>
      <c r="AJ363" s="2187"/>
      <c r="AK363" s="2188"/>
      <c r="AL363" s="2188"/>
      <c r="AM363" s="2188"/>
      <c r="AN363" s="2188"/>
      <c r="AO363" s="2187"/>
      <c r="AP363" s="2188">
        <f>AVERAGE(AK362,AF362,AA362)</f>
        <v>0.80224270181563939</v>
      </c>
      <c r="AQ363" s="2188">
        <f>AVERAGE(AL362,AG362,AB362)</f>
        <v>2.4310378311946992</v>
      </c>
      <c r="AR363" s="2188">
        <f>AVERAGE(AM362,AH362,AC362)</f>
        <v>-0.59756447753619912</v>
      </c>
      <c r="AS363" s="2188">
        <f>AVERAGE(AN362,AI362,AD362)</f>
        <v>-0.14523944693146251</v>
      </c>
      <c r="AT363" s="2187"/>
      <c r="AU363" s="2188">
        <f>AVERAGE(AP362,AK362,AF362)</f>
        <v>0.93014762162443709</v>
      </c>
      <c r="AV363" s="2188">
        <f>AVERAGE(AQ362,AL362,AG362)</f>
        <v>2.2480307107046538</v>
      </c>
      <c r="AW363" s="2188">
        <f>AVERAGE(AR362,AM362,AH362)</f>
        <v>-0.56680569586704765</v>
      </c>
      <c r="AX363" s="2188">
        <f>AVERAGE(AS362,AN362,AI362)</f>
        <v>-0.13382372540051002</v>
      </c>
      <c r="AY363" s="2187"/>
      <c r="AZ363" s="2188"/>
      <c r="BA363" s="2188"/>
      <c r="BB363" s="2188"/>
      <c r="BC363" s="2188"/>
      <c r="BD363" s="2187"/>
      <c r="BE363" s="2188"/>
      <c r="BF363" s="2188"/>
      <c r="BG363" s="2188"/>
      <c r="BH363" s="2188"/>
      <c r="BI363" s="2187"/>
      <c r="BJ363" s="2188"/>
      <c r="BK363" s="2188"/>
      <c r="BL363" s="2188"/>
      <c r="BM363" s="2188"/>
      <c r="BN363" s="2187"/>
      <c r="BO363" s="2188"/>
      <c r="BP363" s="2188"/>
      <c r="BQ363" s="2188"/>
      <c r="BR363" s="2188"/>
      <c r="BS363" s="2188"/>
      <c r="BT363" s="2188"/>
      <c r="BU363" s="2188"/>
      <c r="BV363" s="2188"/>
      <c r="BW363" s="2188"/>
      <c r="BX363" s="2188"/>
      <c r="BY363" s="2189"/>
      <c r="BZ363" s="2187"/>
      <c r="CA363" s="2187"/>
      <c r="CB363" s="2187"/>
      <c r="CC363" s="2187"/>
      <c r="CD363" s="2187"/>
      <c r="CE363" s="2187"/>
      <c r="CF363" s="2187"/>
    </row>
    <row r="364" spans="1:84" s="1049" customFormat="1" ht="7.5" hidden="1" customHeight="1" outlineLevel="1">
      <c r="A364" s="2192"/>
      <c r="B364" s="2211"/>
      <c r="C364" s="2211"/>
      <c r="D364" s="2211"/>
      <c r="E364" s="2211"/>
      <c r="F364" s="2212"/>
      <c r="G364" s="2211"/>
      <c r="H364" s="2211"/>
      <c r="I364" s="2211"/>
      <c r="J364" s="2211"/>
      <c r="K364" s="2212"/>
      <c r="L364" s="2211"/>
      <c r="M364" s="2211"/>
      <c r="N364" s="2211"/>
      <c r="O364" s="2211"/>
      <c r="P364" s="2212"/>
      <c r="Q364" s="2211"/>
      <c r="R364" s="2211"/>
      <c r="S364" s="2211"/>
      <c r="T364" s="2211"/>
      <c r="U364" s="2212"/>
      <c r="V364" s="2211"/>
      <c r="W364" s="2211"/>
      <c r="X364" s="2211"/>
      <c r="Y364" s="2211"/>
      <c r="Z364" s="2212"/>
      <c r="AA364" s="2211"/>
      <c r="AB364" s="2211"/>
      <c r="AC364" s="2211"/>
      <c r="AD364" s="2211"/>
      <c r="AE364" s="2194"/>
      <c r="AF364" s="2211"/>
      <c r="AG364" s="2211"/>
      <c r="AH364" s="2211"/>
      <c r="AI364" s="2211"/>
      <c r="AJ364" s="2194"/>
      <c r="AK364" s="2211"/>
      <c r="AL364" s="2211"/>
      <c r="AM364" s="2211"/>
      <c r="AN364" s="2211"/>
      <c r="AO364" s="2194"/>
      <c r="AP364" s="2211"/>
      <c r="AQ364" s="2211"/>
      <c r="AR364" s="2211"/>
      <c r="AS364" s="2211"/>
      <c r="AT364" s="2194"/>
      <c r="AU364" s="2211"/>
      <c r="AV364" s="2211"/>
      <c r="AW364" s="2211"/>
      <c r="AX364" s="2211"/>
      <c r="AY364" s="2194"/>
      <c r="AZ364" s="2211"/>
      <c r="BA364" s="2211"/>
      <c r="BB364" s="2211"/>
      <c r="BC364" s="2211"/>
      <c r="BD364" s="2194"/>
      <c r="BE364" s="2211"/>
      <c r="BF364" s="2211"/>
      <c r="BG364" s="2211"/>
      <c r="BH364" s="2211"/>
      <c r="BI364" s="2131"/>
      <c r="BJ364" s="2211"/>
      <c r="BK364" s="2211"/>
      <c r="BL364" s="2211"/>
      <c r="BM364" s="2211"/>
      <c r="BN364" s="2131"/>
      <c r="BO364" s="2167"/>
      <c r="BP364" s="2167"/>
      <c r="BQ364" s="2167"/>
      <c r="BR364" s="2167"/>
      <c r="BS364" s="2167"/>
      <c r="BT364" s="2167"/>
      <c r="BU364" s="2167"/>
      <c r="BV364" s="2167"/>
      <c r="BW364" s="2167"/>
      <c r="BX364" s="2167"/>
      <c r="BY364" s="2213"/>
      <c r="BZ364" s="2131"/>
      <c r="CA364" s="2131"/>
      <c r="CB364" s="2131"/>
      <c r="CC364" s="2131"/>
      <c r="CD364" s="2131"/>
      <c r="CE364" s="2131"/>
      <c r="CF364" s="2131"/>
    </row>
    <row r="365" spans="1:84" ht="7.5" hidden="1" customHeight="1" outlineLevel="1" thickBot="1">
      <c r="A365" s="2203"/>
      <c r="B365" s="2141"/>
      <c r="C365" s="2141"/>
      <c r="D365" s="2141"/>
      <c r="E365" s="2141"/>
      <c r="F365" s="2142"/>
      <c r="G365" s="2141"/>
      <c r="H365" s="2141"/>
      <c r="I365" s="2141"/>
      <c r="J365" s="2141"/>
      <c r="K365" s="2142"/>
      <c r="L365" s="2141"/>
      <c r="M365" s="2141"/>
      <c r="N365" s="2141"/>
      <c r="O365" s="2141"/>
      <c r="P365" s="2142"/>
      <c r="Q365" s="2141"/>
      <c r="R365" s="2141"/>
      <c r="S365" s="2141"/>
      <c r="T365" s="2141"/>
      <c r="U365" s="2142"/>
      <c r="V365" s="2141"/>
      <c r="W365" s="2141"/>
      <c r="X365" s="2141"/>
      <c r="Y365" s="2141"/>
      <c r="Z365" s="2142"/>
      <c r="AA365" s="2141"/>
      <c r="AB365" s="2141"/>
      <c r="AC365" s="2141"/>
      <c r="AD365" s="2141"/>
      <c r="AE365" s="2142"/>
      <c r="AF365" s="2127"/>
      <c r="AG365" s="2141"/>
      <c r="AH365" s="2141"/>
      <c r="AI365" s="2141"/>
      <c r="AJ365" s="2142"/>
      <c r="AK365" s="2204"/>
      <c r="AL365" s="2141"/>
      <c r="AM365" s="2141"/>
      <c r="AN365" s="2141"/>
      <c r="AO365" s="2142"/>
      <c r="AP365" s="2141"/>
      <c r="AQ365" s="2141"/>
      <c r="AR365" s="2141"/>
      <c r="AS365" s="2141"/>
      <c r="AT365" s="2142"/>
      <c r="AU365" s="2141"/>
      <c r="AV365" s="2141"/>
      <c r="AW365" s="2141"/>
      <c r="AX365" s="2141"/>
      <c r="AY365" s="2142"/>
      <c r="AZ365" s="2141"/>
      <c r="BA365" s="2141"/>
      <c r="BB365" s="2141"/>
      <c r="BC365" s="2141"/>
      <c r="BD365" s="2142"/>
      <c r="BE365" s="2205"/>
      <c r="BF365" s="2141"/>
      <c r="BG365" s="2205"/>
      <c r="BH365" s="2205"/>
      <c r="BI365" s="2145"/>
      <c r="BJ365" s="2205"/>
      <c r="BK365" s="2205"/>
      <c r="BL365" s="2205"/>
      <c r="BM365" s="2205"/>
      <c r="BN365" s="2145"/>
      <c r="BO365" s="2205"/>
      <c r="BP365" s="2205"/>
      <c r="BQ365" s="2205"/>
      <c r="BR365" s="2205"/>
      <c r="BS365" s="2205"/>
      <c r="BT365" s="2205"/>
      <c r="BU365" s="2205"/>
      <c r="BV365" s="2205"/>
      <c r="BW365" s="2205"/>
      <c r="BX365" s="2205"/>
      <c r="BY365" s="2120"/>
      <c r="BZ365" s="2145"/>
      <c r="CA365" s="2145"/>
      <c r="CB365" s="2145"/>
      <c r="CC365" s="2145"/>
      <c r="CD365" s="2145"/>
      <c r="CE365" s="2145"/>
      <c r="CF365" s="2145"/>
    </row>
    <row r="366" spans="1:84" s="1011" customFormat="1" ht="13.5" hidden="1" outlineLevel="1" thickBot="1">
      <c r="A366" s="2206" t="s">
        <v>1009</v>
      </c>
      <c r="B366" s="2207"/>
      <c r="C366" s="2207"/>
      <c r="D366" s="2207"/>
      <c r="E366" s="2207"/>
      <c r="F366" s="2208"/>
      <c r="G366" s="2207"/>
      <c r="H366" s="2207"/>
      <c r="I366" s="2207"/>
      <c r="J366" s="2207"/>
      <c r="K366" s="2208"/>
      <c r="L366" s="2207"/>
      <c r="M366" s="2207"/>
      <c r="N366" s="2207"/>
      <c r="O366" s="2207"/>
      <c r="P366" s="2208"/>
      <c r="Q366" s="2207"/>
      <c r="R366" s="2207"/>
      <c r="S366" s="2207"/>
      <c r="T366" s="2207"/>
      <c r="U366" s="2208"/>
      <c r="V366" s="2207"/>
      <c r="W366" s="2207"/>
      <c r="X366" s="2207"/>
      <c r="Y366" s="2207"/>
      <c r="Z366" s="2208"/>
      <c r="AA366" s="2207">
        <f>AA317</f>
        <v>0</v>
      </c>
      <c r="AB366" s="2207">
        <f>AB317</f>
        <v>0</v>
      </c>
      <c r="AC366" s="2207">
        <f>AC317</f>
        <v>0</v>
      </c>
      <c r="AD366" s="2207">
        <f>AD317</f>
        <v>0</v>
      </c>
      <c r="AE366" s="2208"/>
      <c r="AF366" s="2207"/>
      <c r="AG366" s="2207"/>
      <c r="AH366" s="2207"/>
      <c r="AI366" s="2207"/>
      <c r="AJ366" s="2208"/>
      <c r="AK366" s="2207"/>
      <c r="AL366" s="2207"/>
      <c r="AM366" s="2207"/>
      <c r="AN366" s="2207">
        <f>AN225</f>
        <v>1985.3333333333333</v>
      </c>
      <c r="AO366" s="2208">
        <f>SUM(AK366:AN366)</f>
        <v>1985.3333333333333</v>
      </c>
      <c r="AP366" s="2207">
        <f>AP225</f>
        <v>2609</v>
      </c>
      <c r="AQ366" s="2207">
        <f>AQ225</f>
        <v>2284</v>
      </c>
      <c r="AR366" s="2207">
        <f>AR225</f>
        <v>1397</v>
      </c>
      <c r="AS366" s="2207">
        <f>AS225</f>
        <v>1234</v>
      </c>
      <c r="AT366" s="2208">
        <f>SUM(AP366:AS366)</f>
        <v>7524</v>
      </c>
      <c r="AU366" s="2207">
        <f>AU225</f>
        <v>922.02060000000006</v>
      </c>
      <c r="AV366" s="2207">
        <f>AV225</f>
        <v>942.15000000000009</v>
      </c>
      <c r="AW366" s="2207">
        <f>AW225</f>
        <v>780.923</v>
      </c>
      <c r="AX366" s="2207">
        <f>AX225</f>
        <v>353.64</v>
      </c>
      <c r="AY366" s="2208">
        <f>SUM(AU366:AX366)</f>
        <v>2998.7336</v>
      </c>
      <c r="AZ366" s="2207"/>
      <c r="BA366" s="2207"/>
      <c r="BB366" s="2207"/>
      <c r="BC366" s="2207"/>
      <c r="BD366" s="2208"/>
      <c r="BE366" s="2207"/>
      <c r="BF366" s="2207"/>
      <c r="BG366" s="2207"/>
      <c r="BH366" s="2207"/>
      <c r="BI366" s="2208"/>
      <c r="BJ366" s="2207"/>
      <c r="BK366" s="2207"/>
      <c r="BL366" s="2207"/>
      <c r="BM366" s="2207"/>
      <c r="BN366" s="2208"/>
      <c r="BO366" s="2138"/>
      <c r="BP366" s="2138"/>
      <c r="BQ366" s="2138"/>
      <c r="BR366" s="2138"/>
      <c r="BS366" s="2138"/>
      <c r="BT366" s="2138"/>
      <c r="BU366" s="2138"/>
      <c r="BV366" s="2138"/>
      <c r="BW366" s="2138"/>
      <c r="BX366" s="2138"/>
      <c r="BY366" s="2200"/>
      <c r="BZ366" s="2208"/>
      <c r="CA366" s="2208"/>
      <c r="CB366" s="2208">
        <f>SUM(AM366:AN366,AP366:AQ366)</f>
        <v>6878.333333333333</v>
      </c>
      <c r="CC366" s="2208">
        <f>SUM(AR366:AS366,AU366:AV366)</f>
        <v>4495.1705999999995</v>
      </c>
      <c r="CD366" s="2208">
        <f>SUM(AW366:AX366,AZ366:BA366)</f>
        <v>1134.5630000000001</v>
      </c>
      <c r="CE366" s="2208">
        <f>SUM(BB366:BC366,BE366:BF366)</f>
        <v>0</v>
      </c>
      <c r="CF366" s="2208"/>
    </row>
    <row r="367" spans="1:84" s="1022" customFormat="1" hidden="1" outlineLevel="1">
      <c r="A367" s="2184" t="s">
        <v>926</v>
      </c>
      <c r="B367" s="2185"/>
      <c r="C367" s="2185"/>
      <c r="D367" s="2185"/>
      <c r="E367" s="2185"/>
      <c r="F367" s="2186"/>
      <c r="G367" s="2185"/>
      <c r="H367" s="2185"/>
      <c r="I367" s="2185"/>
      <c r="J367" s="2185"/>
      <c r="K367" s="2186"/>
      <c r="L367" s="2185"/>
      <c r="M367" s="2185"/>
      <c r="N367" s="2185"/>
      <c r="O367" s="2185"/>
      <c r="P367" s="2186"/>
      <c r="Q367" s="2185"/>
      <c r="R367" s="2185"/>
      <c r="S367" s="2185"/>
      <c r="T367" s="2185"/>
      <c r="U367" s="2186"/>
      <c r="V367" s="2185"/>
      <c r="W367" s="2185"/>
      <c r="X367" s="2185"/>
      <c r="Y367" s="2185"/>
      <c r="Z367" s="2186"/>
      <c r="AA367" s="2188">
        <f>IF(ISERROR(AA366/V366-1),,(AA366/V366-1))</f>
        <v>0</v>
      </c>
      <c r="AB367" s="2188">
        <f>IF(ISERROR(AB366/W366-1),,(AB366/W366-1))</f>
        <v>0</v>
      </c>
      <c r="AC367" s="2188">
        <f>IF(ISERROR(AC366/X366-1),,(AC366/X366-1))</f>
        <v>0</v>
      </c>
      <c r="AD367" s="2188">
        <f>IF(ISERROR(AD366/Y366-1),,(AD366/Y366-1))</f>
        <v>0</v>
      </c>
      <c r="AE367" s="2186"/>
      <c r="AF367" s="2188"/>
      <c r="AG367" s="2188"/>
      <c r="AH367" s="2188"/>
      <c r="AI367" s="2188"/>
      <c r="AJ367" s="2187"/>
      <c r="AK367" s="2188"/>
      <c r="AL367" s="2188"/>
      <c r="AM367" s="2188"/>
      <c r="AN367" s="2188">
        <f t="shared" ref="AN367:AY367" si="538">IF(ISERROR(AN366/AI366-1),,(AN366/AI366-1))</f>
        <v>0</v>
      </c>
      <c r="AO367" s="2187">
        <f t="shared" si="538"/>
        <v>0</v>
      </c>
      <c r="AP367" s="2188">
        <f t="shared" si="538"/>
        <v>0</v>
      </c>
      <c r="AQ367" s="2188">
        <f t="shared" si="538"/>
        <v>0</v>
      </c>
      <c r="AR367" s="2188">
        <f t="shared" si="538"/>
        <v>0</v>
      </c>
      <c r="AS367" s="2188">
        <f t="shared" si="538"/>
        <v>-0.37844190732034921</v>
      </c>
      <c r="AT367" s="2187">
        <f t="shared" si="538"/>
        <v>2.7897918065815985</v>
      </c>
      <c r="AU367" s="2188">
        <f t="shared" si="538"/>
        <v>-0.64659999999999995</v>
      </c>
      <c r="AV367" s="2188">
        <f t="shared" si="538"/>
        <v>-0.58749999999999991</v>
      </c>
      <c r="AW367" s="2188">
        <f t="shared" si="538"/>
        <v>-0.44099999999999995</v>
      </c>
      <c r="AX367" s="2188">
        <f t="shared" si="538"/>
        <v>-0.71341977309562399</v>
      </c>
      <c r="AY367" s="2187">
        <f t="shared" si="538"/>
        <v>-0.60144423179160023</v>
      </c>
      <c r="AZ367" s="2188"/>
      <c r="BA367" s="2188"/>
      <c r="BB367" s="2188"/>
      <c r="BC367" s="2188"/>
      <c r="BD367" s="2187"/>
      <c r="BE367" s="2188"/>
      <c r="BF367" s="2188"/>
      <c r="BG367" s="2188"/>
      <c r="BH367" s="2188"/>
      <c r="BI367" s="2187"/>
      <c r="BJ367" s="2188"/>
      <c r="BK367" s="2188"/>
      <c r="BL367" s="2188"/>
      <c r="BM367" s="2188"/>
      <c r="BN367" s="2187"/>
      <c r="BO367" s="2188"/>
      <c r="BP367" s="2188"/>
      <c r="BQ367" s="2188"/>
      <c r="BR367" s="2188"/>
      <c r="BS367" s="2188"/>
      <c r="BT367" s="2188"/>
      <c r="BU367" s="2188"/>
      <c r="BV367" s="2188"/>
      <c r="BW367" s="2188"/>
      <c r="BX367" s="2188"/>
      <c r="BY367" s="2189"/>
      <c r="BZ367" s="2187"/>
      <c r="CA367" s="2187"/>
      <c r="CB367" s="2187"/>
      <c r="CC367" s="2187"/>
      <c r="CD367" s="2187"/>
      <c r="CE367" s="2187"/>
      <c r="CF367" s="2187"/>
    </row>
    <row r="368" spans="1:84" s="1022" customFormat="1" hidden="1" outlineLevel="1">
      <c r="A368" s="2184" t="s">
        <v>952</v>
      </c>
      <c r="B368" s="2185"/>
      <c r="C368" s="2185"/>
      <c r="D368" s="2185"/>
      <c r="E368" s="2185"/>
      <c r="F368" s="2186"/>
      <c r="G368" s="2185"/>
      <c r="H368" s="2185"/>
      <c r="I368" s="2185"/>
      <c r="J368" s="2185"/>
      <c r="K368" s="2186"/>
      <c r="L368" s="2185"/>
      <c r="M368" s="2185"/>
      <c r="N368" s="2185"/>
      <c r="O368" s="2185"/>
      <c r="P368" s="2186"/>
      <c r="Q368" s="2185"/>
      <c r="R368" s="2185"/>
      <c r="S368" s="2185"/>
      <c r="T368" s="2185"/>
      <c r="U368" s="2186"/>
      <c r="V368" s="2185"/>
      <c r="W368" s="2185"/>
      <c r="X368" s="2185"/>
      <c r="Y368" s="2185"/>
      <c r="Z368" s="2186"/>
      <c r="AA368" s="2209"/>
      <c r="AB368" s="2188">
        <f>IF(ISERROR(AB366/AA366-1),,(AB366/AA366-1))</f>
        <v>0</v>
      </c>
      <c r="AC368" s="2188">
        <f>IF(ISERROR(AC366/AB366-1),,(AC366/AB366-1))</f>
        <v>0</v>
      </c>
      <c r="AD368" s="2188">
        <f>IF(ISERROR(AD366/AC366-1),,(AD366/AC366-1))</f>
        <v>0</v>
      </c>
      <c r="AE368" s="2186"/>
      <c r="AF368" s="2188"/>
      <c r="AG368" s="2188"/>
      <c r="AH368" s="2188"/>
      <c r="AI368" s="2188"/>
      <c r="AJ368" s="2187"/>
      <c r="AK368" s="2188"/>
      <c r="AL368" s="2188"/>
      <c r="AM368" s="2188"/>
      <c r="AN368" s="2188">
        <f>IF(ISERROR(AN366/AM366-1),,(AN366/AM366-1))</f>
        <v>0</v>
      </c>
      <c r="AO368" s="2187"/>
      <c r="AP368" s="2188">
        <f>IF(ISERROR(AP366/AN366-1),,(AP366/AN366-1))</f>
        <v>0.31413700470114181</v>
      </c>
      <c r="AQ368" s="2188">
        <f>IF(ISERROR(AQ366/AP366-1),,(AQ366/AP366-1))</f>
        <v>-0.12456880030663087</v>
      </c>
      <c r="AR368" s="2188">
        <f>IF(ISERROR(AR366/AQ366-1),,(AR366/AQ366-1))</f>
        <v>-0.38835376532399302</v>
      </c>
      <c r="AS368" s="2188">
        <f>IF(ISERROR(AS366/AR366-1),,(AS366/AR366-1))</f>
        <v>-0.11667859699355765</v>
      </c>
      <c r="AT368" s="2187"/>
      <c r="AU368" s="2188">
        <f>IF(ISERROR(AU366/AS366-1),,(AU366/AS366-1))</f>
        <v>-0.25281961102106965</v>
      </c>
      <c r="AV368" s="2188">
        <f>IF(ISERROR(AV366/AU366-1),,(AV366/AU366-1))</f>
        <v>2.1831833258389333E-2</v>
      </c>
      <c r="AW368" s="2188">
        <f>IF(ISERROR(AW366/AV366-1),,(AW366/AV366-1))</f>
        <v>-0.17112667834208994</v>
      </c>
      <c r="AX368" s="2188">
        <f>IF(ISERROR(AX366/AW366-1),,(AX366/AW366-1))</f>
        <v>-0.54715125562955635</v>
      </c>
      <c r="AY368" s="2187"/>
      <c r="AZ368" s="2188"/>
      <c r="BA368" s="2188"/>
      <c r="BB368" s="2188"/>
      <c r="BC368" s="2188"/>
      <c r="BD368" s="2187"/>
      <c r="BE368" s="2188"/>
      <c r="BF368" s="2188"/>
      <c r="BG368" s="2188"/>
      <c r="BH368" s="2188"/>
      <c r="BI368" s="2187"/>
      <c r="BJ368" s="2188"/>
      <c r="BK368" s="2188"/>
      <c r="BL368" s="2188"/>
      <c r="BM368" s="2188"/>
      <c r="BN368" s="2187"/>
      <c r="BO368" s="2188"/>
      <c r="BP368" s="2188"/>
      <c r="BQ368" s="2188"/>
      <c r="BR368" s="2188"/>
      <c r="BS368" s="2188"/>
      <c r="BT368" s="2188"/>
      <c r="BU368" s="2188"/>
      <c r="BV368" s="2188"/>
      <c r="BW368" s="2188"/>
      <c r="BX368" s="2188"/>
      <c r="BY368" s="2189"/>
      <c r="BZ368" s="2187"/>
      <c r="CA368" s="2187"/>
      <c r="CB368" s="2187"/>
      <c r="CC368" s="2187"/>
      <c r="CD368" s="2187"/>
      <c r="CE368" s="2187"/>
      <c r="CF368" s="2187"/>
    </row>
    <row r="369" spans="1:84" s="1022" customFormat="1" hidden="1" outlineLevel="1">
      <c r="A369" s="2184" t="s">
        <v>953</v>
      </c>
      <c r="B369" s="2185"/>
      <c r="C369" s="2185"/>
      <c r="D369" s="2185"/>
      <c r="E369" s="2185"/>
      <c r="F369" s="2186"/>
      <c r="G369" s="2185"/>
      <c r="H369" s="2185"/>
      <c r="I369" s="2185"/>
      <c r="J369" s="2185"/>
      <c r="K369" s="2186"/>
      <c r="L369" s="2185"/>
      <c r="M369" s="2185"/>
      <c r="N369" s="2185"/>
      <c r="O369" s="2185"/>
      <c r="P369" s="2186"/>
      <c r="Q369" s="2185"/>
      <c r="R369" s="2185"/>
      <c r="S369" s="2185"/>
      <c r="T369" s="2185"/>
      <c r="U369" s="2186"/>
      <c r="V369" s="2185"/>
      <c r="W369" s="2185"/>
      <c r="X369" s="2185"/>
      <c r="Y369" s="2185"/>
      <c r="Z369" s="2186"/>
      <c r="AA369" s="2185"/>
      <c r="AB369" s="2185"/>
      <c r="AC369" s="2185"/>
      <c r="AD369" s="2185"/>
      <c r="AE369" s="2186"/>
      <c r="AF369" s="2148"/>
      <c r="AG369" s="2188"/>
      <c r="AH369" s="2188"/>
      <c r="AI369" s="2188"/>
      <c r="AJ369" s="2187"/>
      <c r="AK369" s="2188"/>
      <c r="AL369" s="2188"/>
      <c r="AM369" s="2188"/>
      <c r="AN369" s="2188"/>
      <c r="AO369" s="2187"/>
      <c r="AP369" s="2188"/>
      <c r="AQ369" s="2188"/>
      <c r="AR369" s="2188"/>
      <c r="AS369" s="2188"/>
      <c r="AT369" s="2187"/>
      <c r="AU369" s="2188">
        <f>AVERAGE(AP368,AK368,AF368)</f>
        <v>0.31413700470114181</v>
      </c>
      <c r="AV369" s="2188">
        <f>AVERAGE(AQ368,AL368,AG368)</f>
        <v>-0.12456880030663087</v>
      </c>
      <c r="AW369" s="2188">
        <f>AVERAGE(AR368,AM368,AH368)</f>
        <v>-0.38835376532399302</v>
      </c>
      <c r="AX369" s="2188">
        <f>AVERAGE(AS368,AN368,AI368)</f>
        <v>-5.8339298496778824E-2</v>
      </c>
      <c r="AY369" s="2187"/>
      <c r="AZ369" s="2188"/>
      <c r="BA369" s="2188"/>
      <c r="BB369" s="2188"/>
      <c r="BC369" s="2188"/>
      <c r="BD369" s="2187"/>
      <c r="BE369" s="2188"/>
      <c r="BF369" s="2188"/>
      <c r="BG369" s="2188"/>
      <c r="BH369" s="2188"/>
      <c r="BI369" s="2187"/>
      <c r="BJ369" s="2188"/>
      <c r="BK369" s="2188"/>
      <c r="BL369" s="2188"/>
      <c r="BM369" s="2188"/>
      <c r="BN369" s="2187"/>
      <c r="BO369" s="2188"/>
      <c r="BP369" s="2188"/>
      <c r="BQ369" s="2188"/>
      <c r="BR369" s="2188"/>
      <c r="BS369" s="2188"/>
      <c r="BT369" s="2188"/>
      <c r="BU369" s="2188"/>
      <c r="BV369" s="2188"/>
      <c r="BW369" s="2188"/>
      <c r="BX369" s="2188"/>
      <c r="BY369" s="2189"/>
      <c r="BZ369" s="2187"/>
      <c r="CA369" s="2187"/>
      <c r="CB369" s="2187"/>
      <c r="CC369" s="2187"/>
      <c r="CD369" s="2187"/>
      <c r="CE369" s="2187"/>
      <c r="CF369" s="2187"/>
    </row>
    <row r="370" spans="1:84" s="1049" customFormat="1" ht="6.75" hidden="1" customHeight="1" outlineLevel="1">
      <c r="A370" s="2192"/>
      <c r="B370" s="2211"/>
      <c r="C370" s="2211"/>
      <c r="D370" s="2211"/>
      <c r="E370" s="2211"/>
      <c r="F370" s="2212"/>
      <c r="G370" s="2211"/>
      <c r="H370" s="2211"/>
      <c r="I370" s="2211"/>
      <c r="J370" s="2211"/>
      <c r="K370" s="2212"/>
      <c r="L370" s="2211"/>
      <c r="M370" s="2211"/>
      <c r="N370" s="2211"/>
      <c r="O370" s="2211"/>
      <c r="P370" s="2212"/>
      <c r="Q370" s="2211"/>
      <c r="R370" s="2211"/>
      <c r="S370" s="2211"/>
      <c r="T370" s="2211"/>
      <c r="U370" s="2212"/>
      <c r="V370" s="2211"/>
      <c r="W370" s="2211"/>
      <c r="X370" s="2211"/>
      <c r="Y370" s="2211"/>
      <c r="Z370" s="2212"/>
      <c r="AA370" s="2211"/>
      <c r="AB370" s="2211"/>
      <c r="AC370" s="2211"/>
      <c r="AD370" s="2211"/>
      <c r="AE370" s="2194"/>
      <c r="AF370" s="2211"/>
      <c r="AG370" s="2211"/>
      <c r="AH370" s="2211"/>
      <c r="AI370" s="2211"/>
      <c r="AJ370" s="2194"/>
      <c r="AK370" s="2211"/>
      <c r="AL370" s="2211"/>
      <c r="AM370" s="2211"/>
      <c r="AN370" s="2211"/>
      <c r="AO370" s="2194"/>
      <c r="AP370" s="2211"/>
      <c r="AQ370" s="2211"/>
      <c r="AR370" s="2211"/>
      <c r="AS370" s="2211"/>
      <c r="AT370" s="2194"/>
      <c r="AU370" s="2211"/>
      <c r="AV370" s="2211"/>
      <c r="AW370" s="2211"/>
      <c r="AX370" s="2211"/>
      <c r="AY370" s="2194"/>
      <c r="AZ370" s="2211"/>
      <c r="BA370" s="2211"/>
      <c r="BB370" s="2211"/>
      <c r="BC370" s="2211"/>
      <c r="BD370" s="2194"/>
      <c r="BE370" s="2211"/>
      <c r="BF370" s="2211"/>
      <c r="BG370" s="2211"/>
      <c r="BH370" s="2211"/>
      <c r="BI370" s="2131"/>
      <c r="BJ370" s="2211"/>
      <c r="BK370" s="2211"/>
      <c r="BL370" s="2211"/>
      <c r="BM370" s="2211"/>
      <c r="BN370" s="2131"/>
      <c r="BO370" s="2167"/>
      <c r="BP370" s="2167"/>
      <c r="BQ370" s="2167"/>
      <c r="BR370" s="2167"/>
      <c r="BS370" s="2167"/>
      <c r="BT370" s="2167"/>
      <c r="BU370" s="2167"/>
      <c r="BV370" s="2167"/>
      <c r="BW370" s="2167"/>
      <c r="BX370" s="2167"/>
      <c r="BY370" s="2213"/>
      <c r="BZ370" s="2131"/>
      <c r="CA370" s="2131"/>
      <c r="CB370" s="2131"/>
      <c r="CC370" s="2131"/>
      <c r="CD370" s="2131"/>
      <c r="CE370" s="2131"/>
      <c r="CF370" s="2131"/>
    </row>
    <row r="371" spans="1:84" hidden="1" outlineLevel="1">
      <c r="A371" s="2121"/>
      <c r="B371" s="2122"/>
      <c r="C371" s="2122"/>
      <c r="D371" s="2122"/>
      <c r="E371" s="2122"/>
      <c r="F371" s="2123"/>
      <c r="G371" s="2122"/>
      <c r="H371" s="2122"/>
      <c r="I371" s="2122"/>
      <c r="J371" s="2122"/>
      <c r="K371" s="2123"/>
      <c r="L371" s="2122"/>
      <c r="M371" s="2122"/>
      <c r="N371" s="2122"/>
      <c r="O371" s="2122"/>
      <c r="P371" s="2123"/>
      <c r="Q371" s="2122"/>
      <c r="R371" s="2122"/>
      <c r="S371" s="2122"/>
      <c r="T371" s="2122"/>
      <c r="U371" s="2123"/>
      <c r="V371" s="2122"/>
      <c r="W371" s="2122"/>
      <c r="X371" s="2122"/>
      <c r="Y371" s="2122"/>
      <c r="Z371" s="2123"/>
      <c r="AA371" s="2122"/>
      <c r="AB371" s="2122"/>
      <c r="AC371" s="2122"/>
      <c r="AD371" s="2122"/>
      <c r="AE371" s="2123"/>
      <c r="AF371" s="2124"/>
      <c r="AG371" s="2122"/>
      <c r="AH371" s="2122"/>
      <c r="AI371" s="2122"/>
      <c r="AJ371" s="2123"/>
      <c r="AK371" s="2125"/>
      <c r="AL371" s="2122"/>
      <c r="AM371" s="2122"/>
      <c r="AN371" s="2122"/>
      <c r="AO371" s="2123"/>
      <c r="AP371" s="2122"/>
      <c r="AQ371" s="2122"/>
      <c r="AR371" s="2122"/>
      <c r="AS371" s="2122"/>
      <c r="AT371" s="2123"/>
      <c r="AU371" s="2122"/>
      <c r="AV371" s="2122"/>
      <c r="AW371" s="2122"/>
      <c r="AX371" s="2122"/>
      <c r="AY371" s="2123"/>
      <c r="AZ371" s="2122"/>
      <c r="BA371" s="2122"/>
      <c r="BB371" s="2122"/>
      <c r="BC371" s="2122"/>
      <c r="BD371" s="2123"/>
      <c r="BE371" s="2122"/>
      <c r="BF371" s="2122"/>
      <c r="BG371" s="2122"/>
      <c r="BH371" s="2122"/>
      <c r="BI371" s="2123"/>
      <c r="BJ371" s="2122"/>
      <c r="BK371" s="2122"/>
      <c r="BL371" s="2122"/>
      <c r="BM371" s="2122"/>
      <c r="BN371" s="2123"/>
      <c r="BO371" s="2162"/>
      <c r="BP371" s="2162"/>
      <c r="BQ371" s="2162"/>
      <c r="BR371" s="2162"/>
      <c r="BS371" s="2162"/>
      <c r="BT371" s="2162"/>
      <c r="BU371" s="2162"/>
      <c r="BV371" s="2162"/>
      <c r="BW371" s="2162"/>
      <c r="BX371" s="2162"/>
      <c r="BY371" s="2120"/>
      <c r="BZ371" s="2123"/>
      <c r="CA371" s="2123"/>
      <c r="CB371" s="2123"/>
      <c r="CC371" s="2123"/>
      <c r="CD371" s="2123"/>
      <c r="CE371" s="2123"/>
      <c r="CF371" s="2123"/>
    </row>
    <row r="372" spans="1:84" s="1049" customFormat="1" ht="6.75" hidden="1" customHeight="1" outlineLevel="1">
      <c r="A372" s="2192"/>
      <c r="B372" s="2211"/>
      <c r="C372" s="2211"/>
      <c r="D372" s="2211"/>
      <c r="E372" s="2211"/>
      <c r="F372" s="2212"/>
      <c r="G372" s="2211"/>
      <c r="H372" s="2211"/>
      <c r="I372" s="2211"/>
      <c r="J372" s="2211"/>
      <c r="K372" s="2212"/>
      <c r="L372" s="2211"/>
      <c r="M372" s="2211"/>
      <c r="N372" s="2211"/>
      <c r="O372" s="2211"/>
      <c r="P372" s="2212"/>
      <c r="Q372" s="2211"/>
      <c r="R372" s="2211"/>
      <c r="S372" s="2211"/>
      <c r="T372" s="2211"/>
      <c r="U372" s="2212"/>
      <c r="V372" s="2211"/>
      <c r="W372" s="2211"/>
      <c r="X372" s="2211"/>
      <c r="Y372" s="2211"/>
      <c r="Z372" s="2212"/>
      <c r="AA372" s="2211"/>
      <c r="AB372" s="2211"/>
      <c r="AC372" s="2211"/>
      <c r="AD372" s="2211"/>
      <c r="AE372" s="2194"/>
      <c r="AF372" s="2211"/>
      <c r="AG372" s="2211"/>
      <c r="AH372" s="2211"/>
      <c r="AI372" s="2211"/>
      <c r="AJ372" s="2194"/>
      <c r="AK372" s="2211"/>
      <c r="AL372" s="2211"/>
      <c r="AM372" s="2211"/>
      <c r="AN372" s="2211"/>
      <c r="AO372" s="2194"/>
      <c r="AP372" s="2211"/>
      <c r="AQ372" s="2211"/>
      <c r="AR372" s="2211"/>
      <c r="AS372" s="2211"/>
      <c r="AT372" s="2194"/>
      <c r="AU372" s="2211"/>
      <c r="AV372" s="2211"/>
      <c r="AW372" s="2211"/>
      <c r="AX372" s="2211"/>
      <c r="AY372" s="2194"/>
      <c r="AZ372" s="2211"/>
      <c r="BA372" s="2211"/>
      <c r="BB372" s="2211"/>
      <c r="BC372" s="2211"/>
      <c r="BD372" s="2194"/>
      <c r="BE372" s="2211"/>
      <c r="BF372" s="2211"/>
      <c r="BG372" s="2211"/>
      <c r="BH372" s="2211"/>
      <c r="BI372" s="2131"/>
      <c r="BJ372" s="2211"/>
      <c r="BK372" s="2211"/>
      <c r="BL372" s="2211"/>
      <c r="BM372" s="2211"/>
      <c r="BN372" s="2131"/>
      <c r="BO372" s="2167"/>
      <c r="BP372" s="2167"/>
      <c r="BQ372" s="2167"/>
      <c r="BR372" s="2167"/>
      <c r="BS372" s="2167"/>
      <c r="BT372" s="2167"/>
      <c r="BU372" s="2167"/>
      <c r="BV372" s="2167"/>
      <c r="BW372" s="2167"/>
      <c r="BX372" s="2167"/>
      <c r="BY372" s="2213"/>
      <c r="BZ372" s="2131"/>
      <c r="CA372" s="2131"/>
      <c r="CB372" s="2131"/>
      <c r="CC372" s="2131"/>
      <c r="CD372" s="2131"/>
      <c r="CE372" s="2131"/>
      <c r="CF372" s="2131"/>
    </row>
    <row r="373" spans="1:84" s="1011" customFormat="1" hidden="1" outlineLevel="1">
      <c r="A373" s="2197" t="s">
        <v>1</v>
      </c>
      <c r="B373" s="2198"/>
      <c r="C373" s="2198"/>
      <c r="D373" s="2198"/>
      <c r="E373" s="2198"/>
      <c r="F373" s="2199"/>
      <c r="G373" s="2198"/>
      <c r="H373" s="2198"/>
      <c r="I373" s="2198"/>
      <c r="J373" s="2198"/>
      <c r="K373" s="2199"/>
      <c r="L373" s="2198"/>
      <c r="M373" s="2198"/>
      <c r="N373" s="2198"/>
      <c r="O373" s="2198"/>
      <c r="P373" s="2199"/>
      <c r="Q373" s="2198"/>
      <c r="R373" s="2198"/>
      <c r="S373" s="2198"/>
      <c r="T373" s="2198"/>
      <c r="U373" s="2199"/>
      <c r="V373" s="2198"/>
      <c r="W373" s="2198"/>
      <c r="X373" s="2198"/>
      <c r="Y373" s="2198"/>
      <c r="Z373" s="2199"/>
      <c r="AA373" s="2198"/>
      <c r="AB373" s="2198"/>
      <c r="AC373" s="2198"/>
      <c r="AD373" s="2198"/>
      <c r="AE373" s="2199">
        <f>AE311</f>
        <v>38.717236560523268</v>
      </c>
      <c r="AF373" s="2198">
        <f>AF311</f>
        <v>8.2011439149402321</v>
      </c>
      <c r="AG373" s="2198">
        <f>AG311</f>
        <v>250</v>
      </c>
      <c r="AH373" s="2198">
        <f>AH311</f>
        <v>8.4662242350925521</v>
      </c>
      <c r="AI373" s="2198">
        <f>AI311</f>
        <v>5.5555555555555562</v>
      </c>
      <c r="AJ373" s="2199">
        <f>SUM(AF373:AI373)</f>
        <v>272.22292370558836</v>
      </c>
      <c r="AK373" s="2198">
        <f>AK311</f>
        <v>8.2011439149402321</v>
      </c>
      <c r="AL373" s="2198">
        <f>AL311</f>
        <v>248.51053137931035</v>
      </c>
      <c r="AM373" s="2198">
        <f>AM311</f>
        <v>30.504951505620284</v>
      </c>
      <c r="AN373" s="2198">
        <f>AN311</f>
        <v>7.2045294270833438</v>
      </c>
      <c r="AO373" s="2199">
        <f>SUM(AK373:AN373)</f>
        <v>294.42115622695422</v>
      </c>
      <c r="AP373" s="2198">
        <f>AP311</f>
        <v>62.162018573849309</v>
      </c>
      <c r="AQ373" s="2198">
        <f>AQ311</f>
        <v>270.54693227413782</v>
      </c>
      <c r="AR373" s="2198">
        <f>AR311</f>
        <v>35.378866778766678</v>
      </c>
      <c r="AS373" s="2198">
        <f>AS311</f>
        <v>9.1900476666664872</v>
      </c>
      <c r="AT373" s="2199">
        <f>SUM(AP373:AS373)</f>
        <v>377.27786529342029</v>
      </c>
      <c r="AU373" s="2198">
        <f>AP373*(1+AU374)</f>
        <v>62.162018573849309</v>
      </c>
      <c r="AV373" s="2198">
        <f>AQ373*(1+AV374)</f>
        <v>270.54693227413782</v>
      </c>
      <c r="AW373" s="2198">
        <f>AR373*(1+AW374)</f>
        <v>35.378866778766678</v>
      </c>
      <c r="AX373" s="2198">
        <f>AS373*(1+AX374)</f>
        <v>9.1900476666664872</v>
      </c>
      <c r="AY373" s="2199">
        <f>SUM(AU373:AX373)</f>
        <v>377.27786529342029</v>
      </c>
      <c r="AZ373" s="2198"/>
      <c r="BA373" s="2198"/>
      <c r="BB373" s="2198"/>
      <c r="BC373" s="2198"/>
      <c r="BD373" s="2199"/>
      <c r="BE373" s="2198"/>
      <c r="BF373" s="2198"/>
      <c r="BG373" s="2198"/>
      <c r="BH373" s="2198"/>
      <c r="BI373" s="2199"/>
      <c r="BJ373" s="2198"/>
      <c r="BK373" s="2198"/>
      <c r="BL373" s="2198"/>
      <c r="BM373" s="2198"/>
      <c r="BN373" s="2199"/>
      <c r="BO373" s="2138"/>
      <c r="BP373" s="2138"/>
      <c r="BQ373" s="2138"/>
      <c r="BR373" s="2138"/>
      <c r="BS373" s="2138"/>
      <c r="BT373" s="2138"/>
      <c r="BU373" s="2138"/>
      <c r="BV373" s="2138"/>
      <c r="BW373" s="2138"/>
      <c r="BX373" s="2138"/>
      <c r="BY373" s="2200"/>
      <c r="BZ373" s="2199"/>
      <c r="CA373" s="2199"/>
      <c r="CB373" s="2199">
        <f>SUM(AM373:AN373,AP373:AQ373)</f>
        <v>370.41843178069075</v>
      </c>
      <c r="CC373" s="2199">
        <f>SUM(AR373:AS373,AU373:AV373)</f>
        <v>377.27786529342029</v>
      </c>
      <c r="CD373" s="2199">
        <f>SUM(AW373:AX373,AZ373:BA373)</f>
        <v>44.568914445433165</v>
      </c>
      <c r="CE373" s="2199">
        <f>SUM(BB373:BC373,BE373:BF373)</f>
        <v>0</v>
      </c>
      <c r="CF373" s="2199"/>
    </row>
    <row r="374" spans="1:84" s="1022" customFormat="1" hidden="1" outlineLevel="1">
      <c r="A374" s="2184" t="s">
        <v>926</v>
      </c>
      <c r="B374" s="2185"/>
      <c r="C374" s="2185"/>
      <c r="D374" s="2185"/>
      <c r="E374" s="2185"/>
      <c r="F374" s="2186"/>
      <c r="G374" s="2185"/>
      <c r="H374" s="2185"/>
      <c r="I374" s="2185"/>
      <c r="J374" s="2185"/>
      <c r="K374" s="2186"/>
      <c r="L374" s="2185"/>
      <c r="M374" s="2185"/>
      <c r="N374" s="2185"/>
      <c r="O374" s="2185"/>
      <c r="P374" s="2186"/>
      <c r="Q374" s="2185"/>
      <c r="R374" s="2185"/>
      <c r="S374" s="2185"/>
      <c r="T374" s="2185"/>
      <c r="U374" s="2186"/>
      <c r="V374" s="2185"/>
      <c r="W374" s="2185"/>
      <c r="X374" s="2185"/>
      <c r="Y374" s="2185"/>
      <c r="Z374" s="2186"/>
      <c r="AA374" s="2185"/>
      <c r="AB374" s="2185"/>
      <c r="AC374" s="2185"/>
      <c r="AD374" s="2185"/>
      <c r="AE374" s="2186"/>
      <c r="AF374" s="2148"/>
      <c r="AG374" s="2185"/>
      <c r="AH374" s="2185"/>
      <c r="AI374" s="2185"/>
      <c r="AJ374" s="2187">
        <f t="shared" ref="AJ374:AS374" si="539">IF(ISERROR(AJ373/AE373-1),,(AJ373/AE373-1))</f>
        <v>6.0310525204981014</v>
      </c>
      <c r="AK374" s="2188">
        <f t="shared" si="539"/>
        <v>0</v>
      </c>
      <c r="AL374" s="2188">
        <f t="shared" si="539"/>
        <v>-5.9578744827586405E-3</v>
      </c>
      <c r="AM374" s="2214">
        <f t="shared" si="539"/>
        <v>2.6031353125726424</v>
      </c>
      <c r="AN374" s="2214">
        <f t="shared" si="539"/>
        <v>0.29681529687500174</v>
      </c>
      <c r="AO374" s="2187">
        <f t="shared" si="539"/>
        <v>8.1544317499776309E-2</v>
      </c>
      <c r="AP374" s="2214">
        <f t="shared" si="539"/>
        <v>6.5796765937258073</v>
      </c>
      <c r="AQ374" s="2188">
        <f t="shared" si="539"/>
        <v>8.8673911614604917E-2</v>
      </c>
      <c r="AR374" s="2188">
        <f t="shared" si="539"/>
        <v>0.15977456224601494</v>
      </c>
      <c r="AS374" s="2188">
        <f t="shared" si="539"/>
        <v>0.27559305013304014</v>
      </c>
      <c r="AT374" s="2187">
        <f>IF(ISERROR(AT373/AO373-1),,(AT373/AO373-1))</f>
        <v>0.28142240227667625</v>
      </c>
      <c r="AU374" s="2214">
        <v>0</v>
      </c>
      <c r="AV374" s="2188">
        <v>0</v>
      </c>
      <c r="AW374" s="2202">
        <v>0</v>
      </c>
      <c r="AX374" s="2188">
        <v>0</v>
      </c>
      <c r="AY374" s="2187">
        <f>IF(ISERROR(AY373/AT373-1),,(AY373/AT373-1))</f>
        <v>0</v>
      </c>
      <c r="AZ374" s="2202"/>
      <c r="BA374" s="2202"/>
      <c r="BB374" s="2202"/>
      <c r="BC374" s="2202"/>
      <c r="BD374" s="2187"/>
      <c r="BE374" s="2202"/>
      <c r="BF374" s="2202"/>
      <c r="BG374" s="2202"/>
      <c r="BH374" s="2202"/>
      <c r="BI374" s="2187"/>
      <c r="BJ374" s="2202"/>
      <c r="BK374" s="2202"/>
      <c r="BL374" s="2202"/>
      <c r="BM374" s="2202"/>
      <c r="BN374" s="2187"/>
      <c r="BO374" s="2188"/>
      <c r="BP374" s="2188"/>
      <c r="BQ374" s="2188"/>
      <c r="BR374" s="2188"/>
      <c r="BS374" s="2188"/>
      <c r="BT374" s="2188"/>
      <c r="BU374" s="2188"/>
      <c r="BV374" s="2188"/>
      <c r="BW374" s="2188"/>
      <c r="BX374" s="2188"/>
      <c r="BY374" s="2189"/>
      <c r="BZ374" s="2187"/>
      <c r="CA374" s="2187"/>
      <c r="CB374" s="2187"/>
      <c r="CC374" s="2187"/>
      <c r="CD374" s="2187"/>
      <c r="CE374" s="2187"/>
      <c r="CF374" s="2187"/>
    </row>
    <row r="375" spans="1:84" s="1049" customFormat="1" ht="7.5" hidden="1" customHeight="1" outlineLevel="1">
      <c r="A375" s="2192"/>
      <c r="B375" s="2211"/>
      <c r="C375" s="2211"/>
      <c r="D375" s="2211"/>
      <c r="E375" s="2211"/>
      <c r="F375" s="2212"/>
      <c r="G375" s="2211"/>
      <c r="H375" s="2211"/>
      <c r="I375" s="2211"/>
      <c r="J375" s="2211"/>
      <c r="K375" s="2212"/>
      <c r="L375" s="2211"/>
      <c r="M375" s="2211"/>
      <c r="N375" s="2211"/>
      <c r="O375" s="2211"/>
      <c r="P375" s="2212"/>
      <c r="Q375" s="2211"/>
      <c r="R375" s="2211"/>
      <c r="S375" s="2211"/>
      <c r="T375" s="2211"/>
      <c r="U375" s="2212"/>
      <c r="V375" s="2211"/>
      <c r="W375" s="2211"/>
      <c r="X375" s="2211"/>
      <c r="Y375" s="2211"/>
      <c r="Z375" s="2212"/>
      <c r="AA375" s="2211"/>
      <c r="AB375" s="2211"/>
      <c r="AC375" s="2211"/>
      <c r="AD375" s="2211"/>
      <c r="AE375" s="2194"/>
      <c r="AF375" s="2211"/>
      <c r="AG375" s="2211"/>
      <c r="AH375" s="2211"/>
      <c r="AI375" s="2211"/>
      <c r="AJ375" s="2194"/>
      <c r="AK375" s="2211"/>
      <c r="AL375" s="2211"/>
      <c r="AM375" s="2211"/>
      <c r="AN375" s="2211"/>
      <c r="AO375" s="2194"/>
      <c r="AP375" s="2211"/>
      <c r="AQ375" s="2211"/>
      <c r="AR375" s="2211"/>
      <c r="AS375" s="2211"/>
      <c r="AT375" s="2194"/>
      <c r="AU375" s="2211"/>
      <c r="AV375" s="2211"/>
      <c r="AW375" s="2211"/>
      <c r="AX375" s="2211"/>
      <c r="AY375" s="2194"/>
      <c r="AZ375" s="2211"/>
      <c r="BA375" s="2211"/>
      <c r="BB375" s="2211"/>
      <c r="BC375" s="2211"/>
      <c r="BD375" s="2194"/>
      <c r="BE375" s="2211"/>
      <c r="BF375" s="2211"/>
      <c r="BG375" s="2211"/>
      <c r="BH375" s="2211"/>
      <c r="BI375" s="2131"/>
      <c r="BJ375" s="2211"/>
      <c r="BK375" s="2211"/>
      <c r="BL375" s="2211"/>
      <c r="BM375" s="2211"/>
      <c r="BN375" s="2131"/>
      <c r="BO375" s="2167"/>
      <c r="BP375" s="2167"/>
      <c r="BQ375" s="2167"/>
      <c r="BR375" s="2167"/>
      <c r="BS375" s="2167"/>
      <c r="BT375" s="2167"/>
      <c r="BU375" s="2167"/>
      <c r="BV375" s="2167"/>
      <c r="BW375" s="2167"/>
      <c r="BX375" s="2167"/>
      <c r="BY375" s="2213"/>
      <c r="BZ375" s="2131"/>
      <c r="CA375" s="2131"/>
      <c r="CB375" s="2131"/>
      <c r="CC375" s="2131"/>
      <c r="CD375" s="2131"/>
      <c r="CE375" s="2131"/>
      <c r="CF375" s="2131"/>
    </row>
    <row r="376" spans="1:84" s="1011" customFormat="1" hidden="1" outlineLevel="1">
      <c r="A376" s="2197" t="s">
        <v>944</v>
      </c>
      <c r="B376" s="2198"/>
      <c r="C376" s="2198"/>
      <c r="D376" s="2198"/>
      <c r="E376" s="2198"/>
      <c r="F376" s="2199"/>
      <c r="G376" s="2198"/>
      <c r="H376" s="2198"/>
      <c r="I376" s="2198"/>
      <c r="J376" s="2198"/>
      <c r="K376" s="2199"/>
      <c r="L376" s="2198"/>
      <c r="M376" s="2198"/>
      <c r="N376" s="2198"/>
      <c r="O376" s="2198"/>
      <c r="P376" s="2199"/>
      <c r="Q376" s="2198"/>
      <c r="R376" s="2198"/>
      <c r="S376" s="2198"/>
      <c r="T376" s="2198"/>
      <c r="U376" s="2199"/>
      <c r="V376" s="2198"/>
      <c r="W376" s="2198"/>
      <c r="X376" s="2198"/>
      <c r="Y376" s="2198"/>
      <c r="Z376" s="2199"/>
      <c r="AA376" s="2198"/>
      <c r="AB376" s="2198"/>
      <c r="AC376" s="2198"/>
      <c r="AD376" s="2198"/>
      <c r="AE376" s="2199">
        <f>AE312</f>
        <v>308.49000000000007</v>
      </c>
      <c r="AF376" s="2198">
        <f>AF312</f>
        <v>57.997500000000009</v>
      </c>
      <c r="AG376" s="2198">
        <f>AG312</f>
        <v>100</v>
      </c>
      <c r="AH376" s="2198">
        <f>AH312</f>
        <v>64.512</v>
      </c>
      <c r="AI376" s="2198">
        <f>AI312</f>
        <v>85.12</v>
      </c>
      <c r="AJ376" s="2199">
        <f>SUM(AF376:AI376)</f>
        <v>307.62950000000001</v>
      </c>
      <c r="AK376" s="2198">
        <f>AK312</f>
        <v>89.73360000000001</v>
      </c>
      <c r="AL376" s="2198">
        <f>AL312</f>
        <v>100</v>
      </c>
      <c r="AM376" s="2198">
        <f>AM312</f>
        <v>75.479039999999998</v>
      </c>
      <c r="AN376" s="2198">
        <f>AN312</f>
        <v>80.864000000000004</v>
      </c>
      <c r="AO376" s="2199">
        <f>SUM(AK376:AN376)</f>
        <v>346.07664</v>
      </c>
      <c r="AP376" s="2198">
        <f>AP312</f>
        <v>26.920080000000002</v>
      </c>
      <c r="AQ376" s="2198">
        <f>AQ312</f>
        <v>105</v>
      </c>
      <c r="AR376" s="2198">
        <f>AR312</f>
        <v>75.479039999999998</v>
      </c>
      <c r="AS376" s="2198">
        <f>AS312</f>
        <v>35</v>
      </c>
      <c r="AT376" s="2199">
        <f>SUM(AP376:AS376)</f>
        <v>242.39912000000001</v>
      </c>
      <c r="AU376" s="2198">
        <f>AP376*(1+AU377)</f>
        <v>26.920080000000002</v>
      </c>
      <c r="AV376" s="2198">
        <f>AQ376*(1+AV377)</f>
        <v>105</v>
      </c>
      <c r="AW376" s="2198">
        <f>AR376*(1+AW377)</f>
        <v>75.479039999999998</v>
      </c>
      <c r="AX376" s="2198">
        <f>AS376*(1+AX377)</f>
        <v>35</v>
      </c>
      <c r="AY376" s="2199">
        <f>SUM(AU376:AX376)</f>
        <v>242.39912000000001</v>
      </c>
      <c r="AZ376" s="2198"/>
      <c r="BA376" s="2198"/>
      <c r="BB376" s="2198"/>
      <c r="BC376" s="2198"/>
      <c r="BD376" s="2199"/>
      <c r="BE376" s="2198"/>
      <c r="BF376" s="2198"/>
      <c r="BG376" s="2198"/>
      <c r="BH376" s="2198"/>
      <c r="BI376" s="2199"/>
      <c r="BJ376" s="2198"/>
      <c r="BK376" s="2198"/>
      <c r="BL376" s="2198"/>
      <c r="BM376" s="2198"/>
      <c r="BN376" s="2199"/>
      <c r="BO376" s="2138"/>
      <c r="BP376" s="2138"/>
      <c r="BQ376" s="2138"/>
      <c r="BR376" s="2138"/>
      <c r="BS376" s="2138"/>
      <c r="BT376" s="2138"/>
      <c r="BU376" s="2138"/>
      <c r="BV376" s="2138"/>
      <c r="BW376" s="2138"/>
      <c r="BX376" s="2138"/>
      <c r="BY376" s="2200"/>
      <c r="BZ376" s="2199"/>
      <c r="CA376" s="2199"/>
      <c r="CB376" s="2199">
        <f>SUM(AM376:AN376,AP376:AQ376)</f>
        <v>288.26312000000001</v>
      </c>
      <c r="CC376" s="2199">
        <f>SUM(AR376:AS376,AU376:AV376)</f>
        <v>242.39912000000001</v>
      </c>
      <c r="CD376" s="2199">
        <f>SUM(AW376:AX376,AZ376:BA376)</f>
        <v>110.47904</v>
      </c>
      <c r="CE376" s="2199">
        <f>SUM(BB376:BC376,BE376:BF376)</f>
        <v>0</v>
      </c>
      <c r="CF376" s="2199"/>
    </row>
    <row r="377" spans="1:84" s="1022" customFormat="1" hidden="1" outlineLevel="1">
      <c r="A377" s="2184" t="s">
        <v>926</v>
      </c>
      <c r="B377" s="2185"/>
      <c r="C377" s="2185"/>
      <c r="D377" s="2185"/>
      <c r="E377" s="2185"/>
      <c r="F377" s="2186"/>
      <c r="G377" s="2185"/>
      <c r="H377" s="2185"/>
      <c r="I377" s="2185"/>
      <c r="J377" s="2185"/>
      <c r="K377" s="2186"/>
      <c r="L377" s="2185"/>
      <c r="M377" s="2185"/>
      <c r="N377" s="2185"/>
      <c r="O377" s="2185"/>
      <c r="P377" s="2186"/>
      <c r="Q377" s="2185"/>
      <c r="R377" s="2185"/>
      <c r="S377" s="2185"/>
      <c r="T377" s="2185"/>
      <c r="U377" s="2186"/>
      <c r="V377" s="2185"/>
      <c r="W377" s="2185"/>
      <c r="X377" s="2185"/>
      <c r="Y377" s="2185"/>
      <c r="Z377" s="2186"/>
      <c r="AA377" s="2185"/>
      <c r="AB377" s="2185"/>
      <c r="AC377" s="2185"/>
      <c r="AD377" s="2185"/>
      <c r="AE377" s="2186"/>
      <c r="AF377" s="2148"/>
      <c r="AG377" s="2185"/>
      <c r="AH377" s="2185"/>
      <c r="AI377" s="2185"/>
      <c r="AJ377" s="2187">
        <f t="shared" ref="AJ377:AS377" si="540">IF(ISERROR(AJ376/AE376-1),,(AJ376/AE376-1))</f>
        <v>-2.7893934973582946E-3</v>
      </c>
      <c r="AK377" s="2188">
        <f t="shared" si="540"/>
        <v>0.54719772403982914</v>
      </c>
      <c r="AL377" s="2188">
        <f t="shared" si="540"/>
        <v>0</v>
      </c>
      <c r="AM377" s="2188">
        <f t="shared" si="540"/>
        <v>0.16999999999999993</v>
      </c>
      <c r="AN377" s="2188">
        <f t="shared" si="540"/>
        <v>-5.0000000000000044E-2</v>
      </c>
      <c r="AO377" s="2187">
        <f t="shared" si="540"/>
        <v>0.12497871628046076</v>
      </c>
      <c r="AP377" s="2188">
        <f t="shared" si="540"/>
        <v>-0.7</v>
      </c>
      <c r="AQ377" s="2188">
        <f t="shared" si="540"/>
        <v>5.0000000000000044E-2</v>
      </c>
      <c r="AR377" s="2188">
        <f t="shared" si="540"/>
        <v>0</v>
      </c>
      <c r="AS377" s="2188">
        <f t="shared" si="540"/>
        <v>-0.56717451523545703</v>
      </c>
      <c r="AT377" s="2187">
        <f>IF(ISERROR(AT376/AO376-1),,(AT376/AO376-1))</f>
        <v>-0.29957965380153939</v>
      </c>
      <c r="AU377" s="2188">
        <v>0</v>
      </c>
      <c r="AV377" s="2188">
        <v>0</v>
      </c>
      <c r="AW377" s="2202">
        <v>0</v>
      </c>
      <c r="AX377" s="2188">
        <v>0</v>
      </c>
      <c r="AY377" s="2187">
        <f>IF(ISERROR(AY376/AT376-1),,(AY376/AT376-1))</f>
        <v>0</v>
      </c>
      <c r="AZ377" s="2202"/>
      <c r="BA377" s="2202"/>
      <c r="BB377" s="2202"/>
      <c r="BC377" s="2202"/>
      <c r="BD377" s="2187"/>
      <c r="BE377" s="2202"/>
      <c r="BF377" s="2202"/>
      <c r="BG377" s="2202"/>
      <c r="BH377" s="2202"/>
      <c r="BI377" s="2187"/>
      <c r="BJ377" s="2202"/>
      <c r="BK377" s="2202"/>
      <c r="BL377" s="2202"/>
      <c r="BM377" s="2202"/>
      <c r="BN377" s="2187"/>
      <c r="BO377" s="2188"/>
      <c r="BP377" s="2188"/>
      <c r="BQ377" s="2188"/>
      <c r="BR377" s="2188"/>
      <c r="BS377" s="2188"/>
      <c r="BT377" s="2188"/>
      <c r="BU377" s="2188"/>
      <c r="BV377" s="2188"/>
      <c r="BW377" s="2188"/>
      <c r="BX377" s="2188"/>
      <c r="BY377" s="2189"/>
      <c r="BZ377" s="2187"/>
      <c r="CA377" s="2187"/>
      <c r="CB377" s="2187"/>
      <c r="CC377" s="2187"/>
      <c r="CD377" s="2187"/>
      <c r="CE377" s="2187"/>
      <c r="CF377" s="2187"/>
    </row>
    <row r="378" spans="1:84" s="1049" customFormat="1" ht="7.5" hidden="1" customHeight="1" outlineLevel="1">
      <c r="A378" s="2192"/>
      <c r="B378" s="2211"/>
      <c r="C378" s="2211"/>
      <c r="D378" s="2211"/>
      <c r="E378" s="2211"/>
      <c r="F378" s="2212"/>
      <c r="G378" s="2211"/>
      <c r="H378" s="2211"/>
      <c r="I378" s="2211"/>
      <c r="J378" s="2211"/>
      <c r="K378" s="2212"/>
      <c r="L378" s="2211"/>
      <c r="M378" s="2211"/>
      <c r="N378" s="2211"/>
      <c r="O378" s="2211"/>
      <c r="P378" s="2212"/>
      <c r="Q378" s="2211"/>
      <c r="R378" s="2211"/>
      <c r="S378" s="2211"/>
      <c r="T378" s="2211"/>
      <c r="U378" s="2212"/>
      <c r="V378" s="2211"/>
      <c r="W378" s="2211"/>
      <c r="X378" s="2211"/>
      <c r="Y378" s="2211"/>
      <c r="Z378" s="2212"/>
      <c r="AA378" s="2211"/>
      <c r="AB378" s="2211"/>
      <c r="AC378" s="2211"/>
      <c r="AD378" s="2211"/>
      <c r="AE378" s="2194"/>
      <c r="AF378" s="2211"/>
      <c r="AG378" s="2211"/>
      <c r="AH378" s="2211"/>
      <c r="AI378" s="2211"/>
      <c r="AJ378" s="2194"/>
      <c r="AK378" s="2211"/>
      <c r="AL378" s="2211"/>
      <c r="AM378" s="2211"/>
      <c r="AN378" s="2211"/>
      <c r="AO378" s="2194"/>
      <c r="AP378" s="2211"/>
      <c r="AQ378" s="2211"/>
      <c r="AR378" s="2211"/>
      <c r="AS378" s="2211"/>
      <c r="AT378" s="2194"/>
      <c r="AU378" s="2211"/>
      <c r="AV378" s="2211"/>
      <c r="AW378" s="2211"/>
      <c r="AX378" s="2211"/>
      <c r="AY378" s="2194"/>
      <c r="AZ378" s="2211"/>
      <c r="BA378" s="2211"/>
      <c r="BB378" s="2211"/>
      <c r="BC378" s="2211"/>
      <c r="BD378" s="2194"/>
      <c r="BE378" s="2211"/>
      <c r="BF378" s="2211"/>
      <c r="BG378" s="2211"/>
      <c r="BH378" s="2211"/>
      <c r="BI378" s="2131"/>
      <c r="BJ378" s="2211"/>
      <c r="BK378" s="2211"/>
      <c r="BL378" s="2211"/>
      <c r="BM378" s="2211"/>
      <c r="BN378" s="2131"/>
      <c r="BO378" s="2167"/>
      <c r="BP378" s="2167"/>
      <c r="BQ378" s="2167"/>
      <c r="BR378" s="2167"/>
      <c r="BS378" s="2167"/>
      <c r="BT378" s="2167"/>
      <c r="BU378" s="2167"/>
      <c r="BV378" s="2167"/>
      <c r="BW378" s="2167"/>
      <c r="BX378" s="2167"/>
      <c r="BY378" s="2213"/>
      <c r="BZ378" s="2131"/>
      <c r="CA378" s="2131"/>
      <c r="CB378" s="2131"/>
      <c r="CC378" s="2131"/>
      <c r="CD378" s="2131"/>
      <c r="CE378" s="2131"/>
      <c r="CF378" s="2131"/>
    </row>
    <row r="379" spans="1:84" s="1011" customFormat="1" hidden="1" outlineLevel="1">
      <c r="A379" s="2197" t="s">
        <v>351</v>
      </c>
      <c r="B379" s="2198"/>
      <c r="C379" s="2198"/>
      <c r="D379" s="2198"/>
      <c r="E379" s="2198"/>
      <c r="F379" s="2199"/>
      <c r="G379" s="2198"/>
      <c r="H379" s="2198"/>
      <c r="I379" s="2198"/>
      <c r="J379" s="2198"/>
      <c r="K379" s="2199"/>
      <c r="L379" s="2198"/>
      <c r="M379" s="2198"/>
      <c r="N379" s="2198"/>
      <c r="O379" s="2198"/>
      <c r="P379" s="2199"/>
      <c r="Q379" s="2198"/>
      <c r="R379" s="2198"/>
      <c r="S379" s="2198"/>
      <c r="T379" s="2198"/>
      <c r="U379" s="2199"/>
      <c r="V379" s="2198"/>
      <c r="W379" s="2198"/>
      <c r="X379" s="2198"/>
      <c r="Y379" s="2198"/>
      <c r="Z379" s="2199"/>
      <c r="AA379" s="2198"/>
      <c r="AB379" s="2198"/>
      <c r="AC379" s="2198"/>
      <c r="AD379" s="2198"/>
      <c r="AE379" s="2199">
        <f t="shared" ref="AE379:AN379" si="541">AE313</f>
        <v>2867</v>
      </c>
      <c r="AF379" s="2198">
        <f t="shared" si="541"/>
        <v>697</v>
      </c>
      <c r="AG379" s="2198">
        <f t="shared" si="541"/>
        <v>869</v>
      </c>
      <c r="AH379" s="2198">
        <f t="shared" si="541"/>
        <v>832</v>
      </c>
      <c r="AI379" s="2198">
        <f t="shared" si="541"/>
        <v>804</v>
      </c>
      <c r="AJ379" s="2199">
        <f t="shared" si="541"/>
        <v>3202</v>
      </c>
      <c r="AK379" s="2198">
        <f t="shared" si="541"/>
        <v>872</v>
      </c>
      <c r="AL379" s="2198">
        <f t="shared" si="541"/>
        <v>924.6160000000001</v>
      </c>
      <c r="AM379" s="2198">
        <f t="shared" si="541"/>
        <v>965.11999999999989</v>
      </c>
      <c r="AN379" s="2198">
        <f t="shared" si="541"/>
        <v>964.8</v>
      </c>
      <c r="AO379" s="2199">
        <f>SUM(AK379:AN379)</f>
        <v>3726.5360000000001</v>
      </c>
      <c r="AP379" s="2198">
        <f>AP313</f>
        <v>989.72</v>
      </c>
      <c r="AQ379" s="2198">
        <f>AQ313</f>
        <v>1021.7006800000001</v>
      </c>
      <c r="AR379" s="2198">
        <f>AR313</f>
        <v>1037.5039999999999</v>
      </c>
      <c r="AS379" s="2198">
        <f>AS313</f>
        <v>1013.04</v>
      </c>
      <c r="AT379" s="2199">
        <f>SUM(AP379:AS379)</f>
        <v>4061.96468</v>
      </c>
      <c r="AU379" s="2198">
        <f>AP379*(1+AU380)</f>
        <v>1054.0518</v>
      </c>
      <c r="AV379" s="2198">
        <f>AQ379*(1+AV380)</f>
        <v>1093.2197276000002</v>
      </c>
      <c r="AW379" s="2198">
        <f>AR379*(1+AW380)</f>
        <v>1115.3167999999998</v>
      </c>
      <c r="AX379" s="2198">
        <f>AS379*(1+AX380)</f>
        <v>1083.9528</v>
      </c>
      <c r="AY379" s="2199">
        <f>SUM(AU379:AX379)</f>
        <v>4346.5411275999995</v>
      </c>
      <c r="AZ379" s="2198"/>
      <c r="BA379" s="2198"/>
      <c r="BB379" s="2198"/>
      <c r="BC379" s="2198"/>
      <c r="BD379" s="2199"/>
      <c r="BE379" s="2198"/>
      <c r="BF379" s="2198"/>
      <c r="BG379" s="2198"/>
      <c r="BH379" s="2198"/>
      <c r="BI379" s="2199"/>
      <c r="BJ379" s="2198"/>
      <c r="BK379" s="2198"/>
      <c r="BL379" s="2198"/>
      <c r="BM379" s="2198"/>
      <c r="BN379" s="2199"/>
      <c r="BO379" s="2138"/>
      <c r="BP379" s="2138"/>
      <c r="BQ379" s="2138"/>
      <c r="BR379" s="2138"/>
      <c r="BS379" s="2138"/>
      <c r="BT379" s="2138"/>
      <c r="BU379" s="2138"/>
      <c r="BV379" s="2138"/>
      <c r="BW379" s="2138"/>
      <c r="BX379" s="2138"/>
      <c r="BY379" s="2200"/>
      <c r="BZ379" s="2199"/>
      <c r="CA379" s="2199"/>
      <c r="CB379" s="2199">
        <f>SUM(AM379:AN379,AP379:AQ379)</f>
        <v>3941.3406800000002</v>
      </c>
      <c r="CC379" s="2199">
        <f>SUM(AR379:AS379,AU379:AV379)</f>
        <v>4197.8155275999998</v>
      </c>
      <c r="CD379" s="2199">
        <f>SUM(AW379:AX379,AZ379:BA379)</f>
        <v>2199.2695999999996</v>
      </c>
      <c r="CE379" s="2199">
        <f>SUM(BB379:BC379,BE379:BF379)</f>
        <v>0</v>
      </c>
      <c r="CF379" s="2199"/>
    </row>
    <row r="380" spans="1:84" s="1022" customFormat="1" hidden="1" outlineLevel="1">
      <c r="A380" s="2184" t="s">
        <v>926</v>
      </c>
      <c r="B380" s="2185"/>
      <c r="C380" s="2185"/>
      <c r="D380" s="2185"/>
      <c r="E380" s="2185"/>
      <c r="F380" s="2186"/>
      <c r="G380" s="2185"/>
      <c r="H380" s="2185"/>
      <c r="I380" s="2185"/>
      <c r="J380" s="2185"/>
      <c r="K380" s="2186"/>
      <c r="L380" s="2185"/>
      <c r="M380" s="2185"/>
      <c r="N380" s="2185"/>
      <c r="O380" s="2185"/>
      <c r="P380" s="2186"/>
      <c r="Q380" s="2185"/>
      <c r="R380" s="2185"/>
      <c r="S380" s="2185"/>
      <c r="T380" s="2185"/>
      <c r="U380" s="2186"/>
      <c r="V380" s="2185"/>
      <c r="W380" s="2185"/>
      <c r="X380" s="2185"/>
      <c r="Y380" s="2185"/>
      <c r="Z380" s="2186"/>
      <c r="AA380" s="2185"/>
      <c r="AB380" s="2185"/>
      <c r="AC380" s="2185"/>
      <c r="AD380" s="2185"/>
      <c r="AE380" s="2186"/>
      <c r="AF380" s="2148"/>
      <c r="AG380" s="2185"/>
      <c r="AH380" s="2185"/>
      <c r="AI380" s="2185"/>
      <c r="AJ380" s="2187">
        <f t="shared" ref="AJ380:AS380" si="542">IF(ISERROR(AJ379/AE379-1),,(AJ379/AE379-1))</f>
        <v>0.11684687826996853</v>
      </c>
      <c r="AK380" s="2188">
        <f t="shared" si="542"/>
        <v>0.25107604017216634</v>
      </c>
      <c r="AL380" s="2188">
        <f t="shared" si="542"/>
        <v>6.4000000000000057E-2</v>
      </c>
      <c r="AM380" s="2188">
        <f t="shared" si="542"/>
        <v>0.15999999999999992</v>
      </c>
      <c r="AN380" s="2188">
        <f t="shared" si="542"/>
        <v>0.19999999999999996</v>
      </c>
      <c r="AO380" s="2187">
        <f t="shared" si="542"/>
        <v>0.16381511555277961</v>
      </c>
      <c r="AP380" s="2188">
        <f t="shared" si="542"/>
        <v>0.13500000000000001</v>
      </c>
      <c r="AQ380" s="2188">
        <f t="shared" si="542"/>
        <v>0.10499999999999998</v>
      </c>
      <c r="AR380" s="2188">
        <f t="shared" si="542"/>
        <v>7.4999999999999956E-2</v>
      </c>
      <c r="AS380" s="2188">
        <f t="shared" si="542"/>
        <v>5.0000000000000044E-2</v>
      </c>
      <c r="AT380" s="2187">
        <f>IF(ISERROR(AT379/AO379-1),,(AT379/AO379-1))</f>
        <v>9.00108519010685E-2</v>
      </c>
      <c r="AU380" s="2188">
        <v>6.5000000000000002E-2</v>
      </c>
      <c r="AV380" s="2188">
        <v>7.0000000000000007E-2</v>
      </c>
      <c r="AW380" s="2202">
        <v>7.4999999999999997E-2</v>
      </c>
      <c r="AX380" s="2188">
        <v>7.0000000000000007E-2</v>
      </c>
      <c r="AY380" s="2187">
        <f>IF(ISERROR(AY379/AT379-1),,(AY379/AT379-1))</f>
        <v>7.0058818827543279E-2</v>
      </c>
      <c r="AZ380" s="2202"/>
      <c r="BA380" s="2202"/>
      <c r="BB380" s="2202"/>
      <c r="BC380" s="2202"/>
      <c r="BD380" s="2187"/>
      <c r="BE380" s="2202"/>
      <c r="BF380" s="2202"/>
      <c r="BG380" s="2202"/>
      <c r="BH380" s="2202"/>
      <c r="BI380" s="2187"/>
      <c r="BJ380" s="2202"/>
      <c r="BK380" s="2202"/>
      <c r="BL380" s="2202"/>
      <c r="BM380" s="2202"/>
      <c r="BN380" s="2187"/>
      <c r="BO380" s="2188"/>
      <c r="BP380" s="2188"/>
      <c r="BQ380" s="2188"/>
      <c r="BR380" s="2188"/>
      <c r="BS380" s="2188"/>
      <c r="BT380" s="2188"/>
      <c r="BU380" s="2188"/>
      <c r="BV380" s="2188"/>
      <c r="BW380" s="2188"/>
      <c r="BX380" s="2188"/>
      <c r="BY380" s="2189"/>
      <c r="BZ380" s="2187"/>
      <c r="CA380" s="2187"/>
      <c r="CB380" s="2187"/>
      <c r="CC380" s="2187"/>
      <c r="CD380" s="2187"/>
      <c r="CE380" s="2187"/>
      <c r="CF380" s="2187"/>
    </row>
    <row r="381" spans="1:84" s="1049" customFormat="1" ht="7.5" hidden="1" customHeight="1" outlineLevel="1">
      <c r="A381" s="2192"/>
      <c r="B381" s="2211"/>
      <c r="C381" s="2211"/>
      <c r="D381" s="2211"/>
      <c r="E381" s="2211"/>
      <c r="F381" s="2212"/>
      <c r="G381" s="2211"/>
      <c r="H381" s="2211"/>
      <c r="I381" s="2211"/>
      <c r="J381" s="2211"/>
      <c r="K381" s="2212"/>
      <c r="L381" s="2211"/>
      <c r="M381" s="2211"/>
      <c r="N381" s="2211"/>
      <c r="O381" s="2211"/>
      <c r="P381" s="2212"/>
      <c r="Q381" s="2211"/>
      <c r="R381" s="2211"/>
      <c r="S381" s="2211"/>
      <c r="T381" s="2211"/>
      <c r="U381" s="2212"/>
      <c r="V381" s="2211"/>
      <c r="W381" s="2211"/>
      <c r="X381" s="2211"/>
      <c r="Y381" s="2211"/>
      <c r="Z381" s="2212"/>
      <c r="AA381" s="2211"/>
      <c r="AB381" s="2211"/>
      <c r="AC381" s="2211"/>
      <c r="AD381" s="2211"/>
      <c r="AE381" s="2194"/>
      <c r="AF381" s="2211"/>
      <c r="AG381" s="2211"/>
      <c r="AH381" s="2211"/>
      <c r="AI381" s="2211"/>
      <c r="AJ381" s="2194"/>
      <c r="AK381" s="2211"/>
      <c r="AL381" s="2211"/>
      <c r="AM381" s="2211"/>
      <c r="AN381" s="2211"/>
      <c r="AO381" s="2194"/>
      <c r="AP381" s="2211"/>
      <c r="AQ381" s="2211"/>
      <c r="AR381" s="2211"/>
      <c r="AS381" s="2211"/>
      <c r="AT381" s="2194"/>
      <c r="AU381" s="2211"/>
      <c r="AV381" s="2211"/>
      <c r="AW381" s="2211"/>
      <c r="AX381" s="2211"/>
      <c r="AY381" s="2194"/>
      <c r="AZ381" s="2211"/>
      <c r="BA381" s="2211"/>
      <c r="BB381" s="2211"/>
      <c r="BC381" s="2211"/>
      <c r="BD381" s="2194"/>
      <c r="BE381" s="2211"/>
      <c r="BF381" s="2211"/>
      <c r="BG381" s="2211"/>
      <c r="BH381" s="2211"/>
      <c r="BI381" s="2131"/>
      <c r="BJ381" s="2211"/>
      <c r="BK381" s="2211"/>
      <c r="BL381" s="2211"/>
      <c r="BM381" s="2211"/>
      <c r="BN381" s="2131"/>
      <c r="BO381" s="2167"/>
      <c r="BP381" s="2167"/>
      <c r="BQ381" s="2167"/>
      <c r="BR381" s="2167"/>
      <c r="BS381" s="2167"/>
      <c r="BT381" s="2167"/>
      <c r="BU381" s="2167"/>
      <c r="BV381" s="2167"/>
      <c r="BW381" s="2167"/>
      <c r="BX381" s="2167"/>
      <c r="BY381" s="2213"/>
      <c r="BZ381" s="2131"/>
      <c r="CA381" s="2131"/>
      <c r="CB381" s="2131"/>
      <c r="CC381" s="2131"/>
      <c r="CD381" s="2131"/>
      <c r="CE381" s="2131"/>
      <c r="CF381" s="2131"/>
    </row>
    <row r="382" spans="1:84" s="1049" customFormat="1" ht="7.5" hidden="1" customHeight="1" outlineLevel="1">
      <c r="A382" s="2192"/>
      <c r="B382" s="2211"/>
      <c r="C382" s="2211"/>
      <c r="D382" s="2211"/>
      <c r="E382" s="2211"/>
      <c r="F382" s="2212"/>
      <c r="G382" s="2211"/>
      <c r="H382" s="2211"/>
      <c r="I382" s="2211"/>
      <c r="J382" s="2211"/>
      <c r="K382" s="2212"/>
      <c r="L382" s="2211"/>
      <c r="M382" s="2211"/>
      <c r="N382" s="2211"/>
      <c r="O382" s="2211"/>
      <c r="P382" s="2212"/>
      <c r="Q382" s="2211"/>
      <c r="R382" s="2211"/>
      <c r="S382" s="2211"/>
      <c r="T382" s="2211"/>
      <c r="U382" s="2212"/>
      <c r="V382" s="2211"/>
      <c r="W382" s="2211"/>
      <c r="X382" s="2211"/>
      <c r="Y382" s="2211"/>
      <c r="Z382" s="2212"/>
      <c r="AA382" s="2211"/>
      <c r="AB382" s="2211"/>
      <c r="AC382" s="2211"/>
      <c r="AD382" s="2211"/>
      <c r="AE382" s="2194"/>
      <c r="AF382" s="2211"/>
      <c r="AG382" s="2211"/>
      <c r="AH382" s="2211"/>
      <c r="AI382" s="2211"/>
      <c r="AJ382" s="2194"/>
      <c r="AK382" s="2211"/>
      <c r="AL382" s="2211"/>
      <c r="AM382" s="2211"/>
      <c r="AN382" s="2211"/>
      <c r="AO382" s="2194"/>
      <c r="AP382" s="2211"/>
      <c r="AQ382" s="2211"/>
      <c r="AR382" s="2211"/>
      <c r="AS382" s="2211"/>
      <c r="AT382" s="2194"/>
      <c r="AU382" s="2211"/>
      <c r="AV382" s="2211"/>
      <c r="AW382" s="2211"/>
      <c r="AX382" s="2211"/>
      <c r="AY382" s="2194"/>
      <c r="AZ382" s="2211"/>
      <c r="BA382" s="2211"/>
      <c r="BB382" s="2211"/>
      <c r="BC382" s="2211"/>
      <c r="BD382" s="2194"/>
      <c r="BE382" s="2211"/>
      <c r="BF382" s="2211"/>
      <c r="BG382" s="2211"/>
      <c r="BH382" s="2211"/>
      <c r="BI382" s="2131"/>
      <c r="BJ382" s="2211"/>
      <c r="BK382" s="2211"/>
      <c r="BL382" s="2211"/>
      <c r="BM382" s="2211"/>
      <c r="BN382" s="2131"/>
      <c r="BO382" s="2167"/>
      <c r="BP382" s="2167"/>
      <c r="BQ382" s="2167"/>
      <c r="BR382" s="2167"/>
      <c r="BS382" s="2167"/>
      <c r="BT382" s="2167"/>
      <c r="BU382" s="2167"/>
      <c r="BV382" s="2167"/>
      <c r="BW382" s="2167"/>
      <c r="BX382" s="2167"/>
      <c r="BY382" s="2213"/>
      <c r="BZ382" s="2131"/>
      <c r="CA382" s="2131"/>
      <c r="CB382" s="2131"/>
      <c r="CC382" s="2131"/>
      <c r="CD382" s="2131"/>
      <c r="CE382" s="2131"/>
      <c r="CF382" s="2131"/>
    </row>
    <row r="383" spans="1:84" ht="7.5" hidden="1" customHeight="1" outlineLevel="1" thickBot="1">
      <c r="A383" s="2120"/>
      <c r="B383" s="2168"/>
      <c r="C383" s="2168"/>
      <c r="D383" s="2168"/>
      <c r="E383" s="2168"/>
      <c r="F383" s="2215"/>
      <c r="G383" s="2168"/>
      <c r="H383" s="2168"/>
      <c r="I383" s="2168"/>
      <c r="J383" s="2168"/>
      <c r="K383" s="2215"/>
      <c r="L383" s="2168"/>
      <c r="M383" s="2168"/>
      <c r="N383" s="2168"/>
      <c r="O383" s="2168"/>
      <c r="P383" s="2215"/>
      <c r="Q383" s="2168"/>
      <c r="R383" s="2168"/>
      <c r="S383" s="2168"/>
      <c r="T383" s="2168"/>
      <c r="U383" s="2215"/>
      <c r="V383" s="2168"/>
      <c r="W383" s="2168"/>
      <c r="X383" s="2168"/>
      <c r="Y383" s="2168"/>
      <c r="Z383" s="2215"/>
      <c r="AA383" s="2168"/>
      <c r="AB383" s="2168"/>
      <c r="AC383" s="2168"/>
      <c r="AD383" s="2168"/>
      <c r="AE383" s="2215"/>
      <c r="AF383" s="2120"/>
      <c r="AG383" s="2120"/>
      <c r="AH383" s="2120"/>
      <c r="AI383" s="2120"/>
      <c r="AJ383" s="2215"/>
      <c r="AK383" s="2120"/>
      <c r="AL383" s="2120"/>
      <c r="AM383" s="2120"/>
      <c r="AN383" s="2120"/>
      <c r="AO383" s="2215"/>
      <c r="AP383" s="2120"/>
      <c r="AQ383" s="2120"/>
      <c r="AR383" s="2120"/>
      <c r="AS383" s="2120"/>
      <c r="AT383" s="2215"/>
      <c r="AU383" s="2120"/>
      <c r="AV383" s="2120"/>
      <c r="AW383" s="2120"/>
      <c r="AX383" s="2120"/>
      <c r="AY383" s="2215"/>
      <c r="AZ383" s="2120"/>
      <c r="BA383" s="2120"/>
      <c r="BB383" s="2120"/>
      <c r="BC383" s="2120"/>
      <c r="BD383" s="2215"/>
      <c r="BE383" s="2120"/>
      <c r="BF383" s="2120"/>
      <c r="BG383" s="2120"/>
      <c r="BH383" s="2120"/>
      <c r="BI383" s="2215"/>
      <c r="BJ383" s="2120"/>
      <c r="BK383" s="2120"/>
      <c r="BL383" s="2120"/>
      <c r="BM383" s="2120"/>
      <c r="BN383" s="2215"/>
      <c r="BO383" s="2168"/>
      <c r="BP383" s="2168"/>
      <c r="BQ383" s="2168"/>
      <c r="BR383" s="2168"/>
      <c r="BS383" s="2168"/>
      <c r="BT383" s="2168"/>
      <c r="BU383" s="2168"/>
      <c r="BV383" s="2168"/>
      <c r="BW383" s="2168"/>
      <c r="BX383" s="2168"/>
      <c r="BY383" s="2120"/>
      <c r="BZ383" s="2215"/>
      <c r="CA383" s="2215"/>
      <c r="CB383" s="2215"/>
      <c r="CC383" s="2215"/>
      <c r="CD383" s="2215"/>
      <c r="CE383" s="2215"/>
      <c r="CF383" s="2215"/>
    </row>
    <row r="384" spans="1:84" s="1011" customFormat="1" ht="13.5" hidden="1" outlineLevel="1" thickBot="1">
      <c r="A384" s="2206" t="s">
        <v>954</v>
      </c>
      <c r="B384" s="2207">
        <f>B373+B376+B379+B187+B190+B251</f>
        <v>0</v>
      </c>
      <c r="C384" s="2207">
        <f>C373+C376+C379+C187+C190+C251</f>
        <v>0</v>
      </c>
      <c r="D384" s="2207">
        <f>D373+D376+D379+D187+D190+D251</f>
        <v>0</v>
      </c>
      <c r="E384" s="2207">
        <f>E373+E376+E379+E187+E190+E251</f>
        <v>0</v>
      </c>
      <c r="F384" s="2208">
        <f>SUM(B384:E384)</f>
        <v>0</v>
      </c>
      <c r="G384" s="2207">
        <f>G373+G376+G379+G187+G190+G251</f>
        <v>0</v>
      </c>
      <c r="H384" s="2207">
        <f>H373+H376+H379+H187+H190+H251</f>
        <v>0</v>
      </c>
      <c r="I384" s="2207">
        <f>I373+I376+I379+I187+I190+I251</f>
        <v>0</v>
      </c>
      <c r="J384" s="2207">
        <f>J373+J376+J379+J187+J190+J251</f>
        <v>0</v>
      </c>
      <c r="K384" s="2208">
        <f>SUM(G384:J384)</f>
        <v>0</v>
      </c>
      <c r="L384" s="2207">
        <f>L373+L376+L379+L187+L190+L251</f>
        <v>0</v>
      </c>
      <c r="M384" s="2207">
        <f>M373+M376+M379+M187+M190+M251</f>
        <v>0</v>
      </c>
      <c r="N384" s="2207">
        <f>N373+N376+N379+N187+N190+N251</f>
        <v>0</v>
      </c>
      <c r="O384" s="2207">
        <f>O373+O376+O379+O187+O190+O251</f>
        <v>0</v>
      </c>
      <c r="P384" s="2208">
        <f>SUM(L384:O384)</f>
        <v>0</v>
      </c>
      <c r="Q384" s="2207">
        <f>Q373+Q376+Q379+Q187+Q190+Q251</f>
        <v>0</v>
      </c>
      <c r="R384" s="2207">
        <f>R373+R376+R379+R187+R190+R251</f>
        <v>0</v>
      </c>
      <c r="S384" s="2207">
        <f>S373+S376+S379+S187+S190+S251</f>
        <v>0</v>
      </c>
      <c r="T384" s="2207">
        <f>T373+T376+T379+T187+T190+T251</f>
        <v>0</v>
      </c>
      <c r="U384" s="2208">
        <f>SUM(Q384:T384)</f>
        <v>0</v>
      </c>
      <c r="V384" s="2207">
        <f>V373+V376+V379+V187+V190+V251</f>
        <v>0</v>
      </c>
      <c r="W384" s="2207">
        <f>W373+W376+W379+W187+W190+W251</f>
        <v>0</v>
      </c>
      <c r="X384" s="2207">
        <f>X373+X376+X379+X187+X190+X251</f>
        <v>0</v>
      </c>
      <c r="Y384" s="2207">
        <f>Y373+Y376+Y379+Y187+Y190+Y251</f>
        <v>0</v>
      </c>
      <c r="Z384" s="2208">
        <f>SUM(V384:Y384)</f>
        <v>0</v>
      </c>
      <c r="AA384" s="2207">
        <f t="shared" ref="AA384:AI384" si="543">AA373+AA376+AA379+AA187+AA190+AA251</f>
        <v>0</v>
      </c>
      <c r="AB384" s="2207">
        <f t="shared" si="543"/>
        <v>0</v>
      </c>
      <c r="AC384" s="2207">
        <f t="shared" si="543"/>
        <v>0</v>
      </c>
      <c r="AD384" s="2207">
        <f t="shared" si="543"/>
        <v>0</v>
      </c>
      <c r="AE384" s="2208">
        <f t="shared" si="543"/>
        <v>3366.1065365605232</v>
      </c>
      <c r="AF384" s="2207">
        <f t="shared" si="543"/>
        <v>797.85494391494024</v>
      </c>
      <c r="AG384" s="2207">
        <f t="shared" si="543"/>
        <v>1254.8533</v>
      </c>
      <c r="AH384" s="2207">
        <f t="shared" si="543"/>
        <v>961.84922423509249</v>
      </c>
      <c r="AI384" s="2207">
        <f t="shared" si="543"/>
        <v>961.39580555555551</v>
      </c>
      <c r="AJ384" s="2208">
        <f>SUM(AF384:AI384)</f>
        <v>3975.9532737055883</v>
      </c>
      <c r="AK384" s="2207">
        <f>AK373+AK376+AK379+AK187+AK190+AK251</f>
        <v>2063.158881845975</v>
      </c>
      <c r="AL384" s="2207">
        <f>AL373+AL376+AL379+AL187+AL190+AL251</f>
        <v>2833.2506693103451</v>
      </c>
      <c r="AM384" s="2207">
        <f>AM373+AM376+AM379+AM187+AM190+AM251</f>
        <v>2459.00399150562</v>
      </c>
      <c r="AN384" s="2207">
        <f>AN373+AN376+AN379+AN187+AN190+AN251</f>
        <v>2125.6155958333334</v>
      </c>
      <c r="AO384" s="2208">
        <f>SUM(AK384:AN384)</f>
        <v>9481.0291384952725</v>
      </c>
      <c r="AP384" s="2207">
        <f>AP373+AP376+AP379+AP187+AP190+AP251</f>
        <v>2201.7294409229876</v>
      </c>
      <c r="AQ384" s="2207">
        <f>AQ373+AQ376+AQ379+AQ187+AQ190+AQ251</f>
        <v>2568.4879504206892</v>
      </c>
      <c r="AR384" s="2207">
        <f>AR373+AR376+AR379+AR187+AR190+AR251</f>
        <v>2718.9034505287664</v>
      </c>
      <c r="AS384" s="2207">
        <f>AS373+AS376+AS379+AS187+AS190+AS251</f>
        <v>2730.5886414166666</v>
      </c>
      <c r="AT384" s="2208">
        <f>SUM(AP384:AS384)</f>
        <v>10219.709483289109</v>
      </c>
      <c r="AU384" s="2207">
        <f>AU373+AU376+AU379+AU187+AU190+AU251</f>
        <v>2648.3291976040218</v>
      </c>
      <c r="AV384" s="2207">
        <f>AV373+AV376+AV379+AV187+AV190+AV251</f>
        <v>3293.9872291629313</v>
      </c>
      <c r="AW384" s="2207">
        <f>AW373+AW376+AW379+AW187+AW190+AW251</f>
        <v>3055.5158786537663</v>
      </c>
      <c r="AX384" s="2207">
        <f>AX373+AX376+AX379+AX187+AX190+AX251</f>
        <v>2980.4496445416667</v>
      </c>
      <c r="AY384" s="2208">
        <f>SUM(AU384:AX384)</f>
        <v>11978.281949962386</v>
      </c>
      <c r="AZ384" s="2207"/>
      <c r="BA384" s="2207"/>
      <c r="BB384" s="2207"/>
      <c r="BC384" s="2207"/>
      <c r="BD384" s="2208"/>
      <c r="BE384" s="2207"/>
      <c r="BF384" s="2207"/>
      <c r="BG384" s="2207"/>
      <c r="BH384" s="2207"/>
      <c r="BI384" s="2208"/>
      <c r="BJ384" s="2207"/>
      <c r="BK384" s="2207"/>
      <c r="BL384" s="2207"/>
      <c r="BM384" s="2207"/>
      <c r="BN384" s="2208"/>
      <c r="BO384" s="2138"/>
      <c r="BP384" s="2138"/>
      <c r="BQ384" s="2138"/>
      <c r="BR384" s="2138"/>
      <c r="BS384" s="2138"/>
      <c r="BT384" s="2138"/>
      <c r="BU384" s="2138"/>
      <c r="BV384" s="2138"/>
      <c r="BW384" s="2138"/>
      <c r="BX384" s="2138"/>
      <c r="BY384" s="2200"/>
      <c r="BZ384" s="2208"/>
      <c r="CA384" s="2208"/>
      <c r="CB384" s="2208">
        <f>SUM(AM384:AN384,AP384:AQ384)</f>
        <v>9354.8369786826297</v>
      </c>
      <c r="CC384" s="2208">
        <f>SUM(AR384:AS384,AU384:AV384)</f>
        <v>11391.808518712385</v>
      </c>
      <c r="CD384" s="2208">
        <f>SUM(AW384:AX384,AZ384:BA384)</f>
        <v>6035.965523195433</v>
      </c>
      <c r="CE384" s="2208">
        <f>SUM(BB384:BC384,BE384:BF384)</f>
        <v>0</v>
      </c>
      <c r="CF384" s="2208"/>
    </row>
    <row r="385" spans="1:84" s="1022" customFormat="1" hidden="1" outlineLevel="1">
      <c r="A385" s="2184" t="s">
        <v>926</v>
      </c>
      <c r="B385" s="2185"/>
      <c r="C385" s="2185"/>
      <c r="D385" s="2185"/>
      <c r="E385" s="2185"/>
      <c r="F385" s="2186"/>
      <c r="G385" s="2185"/>
      <c r="H385" s="2185"/>
      <c r="I385" s="2185"/>
      <c r="J385" s="2185"/>
      <c r="K385" s="2186"/>
      <c r="L385" s="2185"/>
      <c r="M385" s="2185"/>
      <c r="N385" s="2185"/>
      <c r="O385" s="2185"/>
      <c r="P385" s="2186"/>
      <c r="Q385" s="2185"/>
      <c r="R385" s="2185"/>
      <c r="S385" s="2185"/>
      <c r="T385" s="2185"/>
      <c r="U385" s="2186"/>
      <c r="V385" s="2185"/>
      <c r="W385" s="2185"/>
      <c r="X385" s="2185"/>
      <c r="Y385" s="2185"/>
      <c r="Z385" s="2186"/>
      <c r="AA385" s="2188">
        <f>IF(ISERROR(AA384/V384-1),,(AA384/V384-1))</f>
        <v>0</v>
      </c>
      <c r="AB385" s="2188">
        <f>IF(ISERROR(AB384/W384-1),,(AB384/W384-1))</f>
        <v>0</v>
      </c>
      <c r="AC385" s="2188">
        <f>IF(ISERROR(AC384/X384-1),,(AC384/X384-1))</f>
        <v>0</v>
      </c>
      <c r="AD385" s="2188">
        <f>IF(ISERROR(AD384/Y384-1),,(AD384/Y384-1))</f>
        <v>0</v>
      </c>
      <c r="AE385" s="2186"/>
      <c r="AF385" s="2188">
        <f t="shared" ref="AF385:AY385" si="544">IF(ISERROR(AF384/AA384-1),,(AF384/AA384-1))</f>
        <v>0</v>
      </c>
      <c r="AG385" s="2188">
        <f t="shared" si="544"/>
        <v>0</v>
      </c>
      <c r="AH385" s="2188">
        <f t="shared" si="544"/>
        <v>0</v>
      </c>
      <c r="AI385" s="2188">
        <f t="shared" si="544"/>
        <v>0</v>
      </c>
      <c r="AJ385" s="2187">
        <f t="shared" si="544"/>
        <v>0.18117273785642118</v>
      </c>
      <c r="AK385" s="2188">
        <f t="shared" si="544"/>
        <v>1.5858821801897984</v>
      </c>
      <c r="AL385" s="2188">
        <f t="shared" si="544"/>
        <v>1.257834178154805</v>
      </c>
      <c r="AM385" s="2188">
        <f t="shared" si="544"/>
        <v>1.556537895490985</v>
      </c>
      <c r="AN385" s="2188">
        <f t="shared" si="544"/>
        <v>1.2109682438285838</v>
      </c>
      <c r="AO385" s="2187">
        <f t="shared" si="544"/>
        <v>1.3845926965985074</v>
      </c>
      <c r="AP385" s="2188">
        <f t="shared" si="544"/>
        <v>6.7164269458990455E-2</v>
      </c>
      <c r="AQ385" s="2188">
        <f t="shared" si="544"/>
        <v>-9.3448391897531291E-2</v>
      </c>
      <c r="AR385" s="2188">
        <f t="shared" si="544"/>
        <v>0.10569297972713443</v>
      </c>
      <c r="AS385" s="2188">
        <f t="shared" si="544"/>
        <v>0.28461074841999245</v>
      </c>
      <c r="AT385" s="2187">
        <f t="shared" si="544"/>
        <v>7.7911409616348015E-2</v>
      </c>
      <c r="AU385" s="2188">
        <f t="shared" si="544"/>
        <v>0.20284043460572287</v>
      </c>
      <c r="AV385" s="2188">
        <f t="shared" si="544"/>
        <v>0.28246162440567946</v>
      </c>
      <c r="AW385" s="2188">
        <f t="shared" si="544"/>
        <v>0.123804480096392</v>
      </c>
      <c r="AX385" s="2188">
        <f t="shared" si="544"/>
        <v>9.1504446819704377E-2</v>
      </c>
      <c r="AY385" s="2187">
        <f t="shared" si="544"/>
        <v>0.17207656142758543</v>
      </c>
      <c r="AZ385" s="2188"/>
      <c r="BA385" s="2188"/>
      <c r="BB385" s="2188"/>
      <c r="BC385" s="2188"/>
      <c r="BD385" s="2187"/>
      <c r="BE385" s="2188"/>
      <c r="BF385" s="2188"/>
      <c r="BG385" s="2188"/>
      <c r="BH385" s="2188"/>
      <c r="BI385" s="2187"/>
      <c r="BJ385" s="2188"/>
      <c r="BK385" s="2188"/>
      <c r="BL385" s="2188"/>
      <c r="BM385" s="2188"/>
      <c r="BN385" s="2187"/>
      <c r="BO385" s="2188"/>
      <c r="BP385" s="2188"/>
      <c r="BQ385" s="2188"/>
      <c r="BR385" s="2188"/>
      <c r="BS385" s="2188"/>
      <c r="BT385" s="2188"/>
      <c r="BU385" s="2188"/>
      <c r="BV385" s="2188"/>
      <c r="BW385" s="2188"/>
      <c r="BX385" s="2188"/>
      <c r="BY385" s="2189"/>
      <c r="BZ385" s="2187"/>
      <c r="CA385" s="2187"/>
      <c r="CB385" s="2187"/>
      <c r="CC385" s="2187"/>
      <c r="CD385" s="2187"/>
      <c r="CE385" s="2187"/>
      <c r="CF385" s="2187"/>
    </row>
    <row r="386" spans="1:84" s="1022" customFormat="1" hidden="1" outlineLevel="1">
      <c r="A386" s="2184" t="s">
        <v>952</v>
      </c>
      <c r="B386" s="2185"/>
      <c r="C386" s="2185"/>
      <c r="D386" s="2185"/>
      <c r="E386" s="2185"/>
      <c r="F386" s="2186"/>
      <c r="G386" s="2185"/>
      <c r="H386" s="2185"/>
      <c r="I386" s="2185"/>
      <c r="J386" s="2185"/>
      <c r="K386" s="2186"/>
      <c r="L386" s="2185"/>
      <c r="M386" s="2185"/>
      <c r="N386" s="2185"/>
      <c r="O386" s="2185"/>
      <c r="P386" s="2186"/>
      <c r="Q386" s="2185"/>
      <c r="R386" s="2185"/>
      <c r="S386" s="2185"/>
      <c r="T386" s="2185"/>
      <c r="U386" s="2186"/>
      <c r="V386" s="2185"/>
      <c r="W386" s="2185"/>
      <c r="X386" s="2185"/>
      <c r="Y386" s="2185"/>
      <c r="Z386" s="2186"/>
      <c r="AA386" s="2209"/>
      <c r="AB386" s="2188">
        <f>IF(ISERROR(AB384/AA384-1),,(AB384/AA384-1))</f>
        <v>0</v>
      </c>
      <c r="AC386" s="2188">
        <f>IF(ISERROR(AC384/AB384-1),,(AC384/AB384-1))</f>
        <v>0</v>
      </c>
      <c r="AD386" s="2188">
        <f>IF(ISERROR(AD384/AC384-1),,(AD384/AC384-1))</f>
        <v>0</v>
      </c>
      <c r="AE386" s="2186"/>
      <c r="AF386" s="2188">
        <f>IF(ISERROR(AF384/AD384-1),,(AF384/AD384-1))</f>
        <v>0</v>
      </c>
      <c r="AG386" s="2188">
        <f>IF(ISERROR(AG384/AF384-1),,(AG384/AF384-1))</f>
        <v>0.57278376172320944</v>
      </c>
      <c r="AH386" s="2188">
        <f>IF(ISERROR(AH384/AG384-1),,(AH384/AG384-1))</f>
        <v>-0.23349667707365274</v>
      </c>
      <c r="AI386" s="2188">
        <f>IF(ISERROR(AI384/AH384-1),,(AI384/AH384-1))</f>
        <v>-4.7140307244886159E-4</v>
      </c>
      <c r="AJ386" s="2187"/>
      <c r="AK386" s="2188">
        <f>IF(ISERROR(AK384/AI384-1),,(AK384/AI384-1))</f>
        <v>1.1460036229862172</v>
      </c>
      <c r="AL386" s="2188">
        <f>IF(ISERROR(AL384/AK384-1),,(AL384/AK384-1))</f>
        <v>0.37325859595231181</v>
      </c>
      <c r="AM386" s="2188">
        <f>IF(ISERROR(AM384/AL384-1),,(AM384/AL384-1))</f>
        <v>-0.13209091657810224</v>
      </c>
      <c r="AN386" s="2188">
        <f>IF(ISERROR(AN384/AM384-1),,(AN384/AM384-1))</f>
        <v>-0.13557863135803883</v>
      </c>
      <c r="AO386" s="2187"/>
      <c r="AP386" s="2188">
        <f>IF(ISERROR(AP384/AN384-1),,(AP384/AN384-1))</f>
        <v>3.5807906772444609E-2</v>
      </c>
      <c r="AQ386" s="2188">
        <f>IF(ISERROR(AQ384/AP384-1),,(AQ384/AP384-1))</f>
        <v>0.16657746527836448</v>
      </c>
      <c r="AR386" s="2188">
        <f>IF(ISERROR(AR384/AQ384-1),,(AR384/AQ384-1))</f>
        <v>5.8561886608594182E-2</v>
      </c>
      <c r="AS386" s="2188">
        <f>IF(ISERROR(AS384/AR384-1),,(AS384/AR384-1))</f>
        <v>4.2977586738608409E-3</v>
      </c>
      <c r="AT386" s="2187"/>
      <c r="AU386" s="2188">
        <f>IF(ISERROR(AU384/AS384-1),,(AU384/AS384-1))</f>
        <v>-3.0125168824392201E-2</v>
      </c>
      <c r="AV386" s="2188">
        <f>IF(ISERROR(AV384/AU384-1),,(AV384/AU384-1))</f>
        <v>0.24379825292982638</v>
      </c>
      <c r="AW386" s="2188">
        <f>IF(ISERROR(AW384/AV384-1),,(AW384/AV384-1))</f>
        <v>-7.239595478631089E-2</v>
      </c>
      <c r="AX386" s="2188">
        <f>IF(ISERROR(AX384/AW384-1),,(AX384/AW384-1))</f>
        <v>-2.4567450176424255E-2</v>
      </c>
      <c r="AY386" s="2187"/>
      <c r="AZ386" s="2188"/>
      <c r="BA386" s="2188"/>
      <c r="BB386" s="2188"/>
      <c r="BC386" s="2188"/>
      <c r="BD386" s="2187"/>
      <c r="BE386" s="2188"/>
      <c r="BF386" s="2188"/>
      <c r="BG386" s="2188"/>
      <c r="BH386" s="2188"/>
      <c r="BI386" s="2187"/>
      <c r="BJ386" s="2188"/>
      <c r="BK386" s="2188"/>
      <c r="BL386" s="2188"/>
      <c r="BM386" s="2188"/>
      <c r="BN386" s="2187"/>
      <c r="BO386" s="2188"/>
      <c r="BP386" s="2188"/>
      <c r="BQ386" s="2188"/>
      <c r="BR386" s="2188"/>
      <c r="BS386" s="2188"/>
      <c r="BT386" s="2188"/>
      <c r="BU386" s="2188"/>
      <c r="BV386" s="2188"/>
      <c r="BW386" s="2188"/>
      <c r="BX386" s="2188"/>
      <c r="BY386" s="2189"/>
      <c r="BZ386" s="2187"/>
      <c r="CA386" s="2187"/>
      <c r="CB386" s="2187"/>
      <c r="CC386" s="2187"/>
      <c r="CD386" s="2187"/>
      <c r="CE386" s="2187"/>
      <c r="CF386" s="2187"/>
    </row>
    <row r="387" spans="1:84" s="1022" customFormat="1" hidden="1" outlineLevel="1">
      <c r="A387" s="2184" t="s">
        <v>953</v>
      </c>
      <c r="B387" s="2185"/>
      <c r="C387" s="2185"/>
      <c r="D387" s="2185"/>
      <c r="E387" s="2185"/>
      <c r="F387" s="2186"/>
      <c r="G387" s="2185"/>
      <c r="H387" s="2185"/>
      <c r="I387" s="2185"/>
      <c r="J387" s="2185"/>
      <c r="K387" s="2186"/>
      <c r="L387" s="2185"/>
      <c r="M387" s="2185"/>
      <c r="N387" s="2185"/>
      <c r="O387" s="2185"/>
      <c r="P387" s="2186"/>
      <c r="Q387" s="2185"/>
      <c r="R387" s="2185"/>
      <c r="S387" s="2185"/>
      <c r="T387" s="2185"/>
      <c r="U387" s="2186"/>
      <c r="V387" s="2185"/>
      <c r="W387" s="2185"/>
      <c r="X387" s="2185"/>
      <c r="Y387" s="2185"/>
      <c r="Z387" s="2186"/>
      <c r="AA387" s="2185"/>
      <c r="AB387" s="2185"/>
      <c r="AC387" s="2185"/>
      <c r="AD387" s="2185"/>
      <c r="AE387" s="2186"/>
      <c r="AF387" s="2148"/>
      <c r="AG387" s="2188"/>
      <c r="AH387" s="2188"/>
      <c r="AI387" s="2188"/>
      <c r="AJ387" s="2187"/>
      <c r="AK387" s="2188">
        <f>AVERAGE(AF386,AA386)</f>
        <v>0</v>
      </c>
      <c r="AL387" s="2188">
        <f>AVERAGE(AG386,AB386)</f>
        <v>0.28639188086160472</v>
      </c>
      <c r="AM387" s="2188">
        <f>AVERAGE(AH386,AC386)</f>
        <v>-0.11674833853682637</v>
      </c>
      <c r="AN387" s="2188">
        <f>AVERAGE(AI386,AD386)</f>
        <v>-2.357015362244308E-4</v>
      </c>
      <c r="AO387" s="2187"/>
      <c r="AP387" s="2188">
        <f>AVERAGE(AK386,AF386,AA386)</f>
        <v>0.57300181149310858</v>
      </c>
      <c r="AQ387" s="2188">
        <f>AVERAGE(AL386,AG386,AB386)</f>
        <v>0.3153474525585071</v>
      </c>
      <c r="AR387" s="2188">
        <f>AVERAGE(AM386,AH386,AC386)</f>
        <v>-0.12186253121725166</v>
      </c>
      <c r="AS387" s="2188">
        <f>AVERAGE(AN386,AI386,AD386)</f>
        <v>-4.5350011476829231E-2</v>
      </c>
      <c r="AT387" s="2187"/>
      <c r="AU387" s="2188">
        <f>AVERAGE(AP386,AK386,AF386)</f>
        <v>0.39393717658622057</v>
      </c>
      <c r="AV387" s="2188">
        <f>AVERAGE(AQ386,AL386,AG386)</f>
        <v>0.37087327431796191</v>
      </c>
      <c r="AW387" s="2188">
        <f>AVERAGE(AR386,AM386,AH386)</f>
        <v>-0.10234190234772027</v>
      </c>
      <c r="AX387" s="2188">
        <f>AVERAGE(AS386,AN386,AI386)</f>
        <v>-4.3917425252208951E-2</v>
      </c>
      <c r="AY387" s="2187"/>
      <c r="AZ387" s="2188"/>
      <c r="BA387" s="2188"/>
      <c r="BB387" s="2188"/>
      <c r="BC387" s="2188"/>
      <c r="BD387" s="2187"/>
      <c r="BE387" s="2188"/>
      <c r="BF387" s="2188"/>
      <c r="BG387" s="2188"/>
      <c r="BH387" s="2188"/>
      <c r="BI387" s="2187"/>
      <c r="BJ387" s="2188"/>
      <c r="BK387" s="2188"/>
      <c r="BL387" s="2188"/>
      <c r="BM387" s="2188"/>
      <c r="BN387" s="2187"/>
      <c r="BO387" s="2188"/>
      <c r="BP387" s="2188"/>
      <c r="BQ387" s="2188"/>
      <c r="BR387" s="2188"/>
      <c r="BS387" s="2188"/>
      <c r="BT387" s="2188"/>
      <c r="BU387" s="2188"/>
      <c r="BV387" s="2188"/>
      <c r="BW387" s="2188"/>
      <c r="BX387" s="2188"/>
      <c r="BY387" s="2189"/>
      <c r="BZ387" s="2187"/>
      <c r="CA387" s="2187"/>
      <c r="CB387" s="2187"/>
      <c r="CC387" s="2187"/>
      <c r="CD387" s="2187"/>
      <c r="CE387" s="2187"/>
      <c r="CF387" s="2187"/>
    </row>
    <row r="388" spans="1:84" ht="8.25" hidden="1" customHeight="1" outlineLevel="1">
      <c r="A388" s="2120"/>
      <c r="B388" s="2168"/>
      <c r="C388" s="2168"/>
      <c r="D388" s="2168"/>
      <c r="E388" s="2168"/>
      <c r="F388" s="2215"/>
      <c r="G388" s="2168"/>
      <c r="H388" s="2168"/>
      <c r="I388" s="2168"/>
      <c r="J388" s="2168"/>
      <c r="K388" s="2215"/>
      <c r="L388" s="2168"/>
      <c r="M388" s="2168"/>
      <c r="N388" s="2168"/>
      <c r="O388" s="2168"/>
      <c r="P388" s="2215"/>
      <c r="Q388" s="2168"/>
      <c r="R388" s="2168"/>
      <c r="S388" s="2168"/>
      <c r="T388" s="2168"/>
      <c r="U388" s="2215"/>
      <c r="V388" s="2168"/>
      <c r="W388" s="2168"/>
      <c r="X388" s="2168"/>
      <c r="Y388" s="2168"/>
      <c r="Z388" s="2215"/>
      <c r="AA388" s="2168"/>
      <c r="AB388" s="2168"/>
      <c r="AC388" s="2168"/>
      <c r="AD388" s="2168"/>
      <c r="AE388" s="2215"/>
      <c r="AF388" s="2120"/>
      <c r="AG388" s="2120"/>
      <c r="AH388" s="2120"/>
      <c r="AI388" s="2120"/>
      <c r="AJ388" s="2215"/>
      <c r="AK388" s="2120"/>
      <c r="AL388" s="2120"/>
      <c r="AM388" s="2120"/>
      <c r="AN388" s="2120"/>
      <c r="AO388" s="2215"/>
      <c r="AP388" s="2120"/>
      <c r="AQ388" s="2120"/>
      <c r="AR388" s="2120"/>
      <c r="AS388" s="2120"/>
      <c r="AT388" s="2215"/>
      <c r="AU388" s="2120"/>
      <c r="AV388" s="2120"/>
      <c r="AW388" s="2120"/>
      <c r="AX388" s="2120"/>
      <c r="AY388" s="2215"/>
      <c r="AZ388" s="2120"/>
      <c r="BA388" s="2120"/>
      <c r="BB388" s="2120"/>
      <c r="BC388" s="2120"/>
      <c r="BD388" s="2215"/>
      <c r="BE388" s="2120"/>
      <c r="BF388" s="2120"/>
      <c r="BG388" s="2120"/>
      <c r="BH388" s="2120"/>
      <c r="BI388" s="2215"/>
      <c r="BJ388" s="2120"/>
      <c r="BK388" s="2120"/>
      <c r="BL388" s="2120"/>
      <c r="BM388" s="2120"/>
      <c r="BN388" s="2215"/>
      <c r="BO388" s="2168"/>
      <c r="BP388" s="2168"/>
      <c r="BQ388" s="2168"/>
      <c r="BR388" s="2168"/>
      <c r="BS388" s="2168"/>
      <c r="BT388" s="2168"/>
      <c r="BU388" s="2168"/>
      <c r="BV388" s="2168"/>
      <c r="BW388" s="2168"/>
      <c r="BX388" s="2168"/>
      <c r="BY388" s="2120"/>
      <c r="BZ388" s="2215"/>
      <c r="CA388" s="2215"/>
      <c r="CB388" s="2215"/>
      <c r="CC388" s="2215"/>
      <c r="CD388" s="2215"/>
      <c r="CE388" s="2215"/>
      <c r="CF388" s="2215"/>
    </row>
    <row r="389" spans="1:84" hidden="1" outlineLevel="1">
      <c r="A389" s="2120"/>
      <c r="B389" s="2216"/>
      <c r="C389" s="2217"/>
      <c r="D389" s="2217"/>
      <c r="E389" s="2216"/>
      <c r="F389" s="2216" t="s">
        <v>109</v>
      </c>
      <c r="G389" s="2216"/>
      <c r="H389" s="2217"/>
      <c r="I389" s="2217"/>
      <c r="J389" s="2216"/>
      <c r="K389" s="2216" t="s">
        <v>109</v>
      </c>
      <c r="L389" s="2216"/>
      <c r="M389" s="2217"/>
      <c r="N389" s="2217"/>
      <c r="O389" s="2216"/>
      <c r="P389" s="2216" t="s">
        <v>109</v>
      </c>
      <c r="Q389" s="2216"/>
      <c r="R389" s="2217"/>
      <c r="S389" s="2217"/>
      <c r="T389" s="2216"/>
      <c r="U389" s="2216" t="s">
        <v>109</v>
      </c>
      <c r="V389" s="2216"/>
      <c r="W389" s="2217"/>
      <c r="X389" s="2217"/>
      <c r="Y389" s="2216"/>
      <c r="Z389" s="2216" t="s">
        <v>109</v>
      </c>
      <c r="AA389" s="2216"/>
      <c r="AB389" s="2217"/>
      <c r="AC389" s="2217"/>
      <c r="AD389" s="2216"/>
      <c r="AE389" s="2218" t="s">
        <v>109</v>
      </c>
      <c r="AF389" s="2216"/>
      <c r="AG389" s="2216"/>
      <c r="AH389" s="2216"/>
      <c r="AI389" s="2216"/>
      <c r="AJ389" s="2218" t="s">
        <v>109</v>
      </c>
      <c r="AK389" s="2216"/>
      <c r="AL389" s="2216"/>
      <c r="AM389" s="2216"/>
      <c r="AN389" s="2216"/>
      <c r="AO389" s="2218" t="s">
        <v>109</v>
      </c>
      <c r="AP389" s="2216"/>
      <c r="AQ389" s="2216"/>
      <c r="AR389" s="2216"/>
      <c r="AS389" s="2216"/>
      <c r="AT389" s="2218" t="s">
        <v>109</v>
      </c>
      <c r="AU389" s="2216"/>
      <c r="AV389" s="2216"/>
      <c r="AW389" s="2216"/>
      <c r="AX389" s="2216"/>
      <c r="AY389" s="2218" t="s">
        <v>109</v>
      </c>
      <c r="AZ389" s="2216"/>
      <c r="BA389" s="2216"/>
      <c r="BB389" s="2216"/>
      <c r="BC389" s="2216"/>
      <c r="BD389" s="2218"/>
      <c r="BE389" s="2216"/>
      <c r="BF389" s="2216"/>
      <c r="BG389" s="2216"/>
      <c r="BH389" s="2216"/>
      <c r="BI389" s="2218"/>
      <c r="BJ389" s="2216"/>
      <c r="BK389" s="2216"/>
      <c r="BL389" s="2216"/>
      <c r="BM389" s="2216"/>
      <c r="BN389" s="2218"/>
      <c r="BO389" s="2217"/>
      <c r="BP389" s="2217"/>
      <c r="BQ389" s="2217"/>
      <c r="BR389" s="2217"/>
      <c r="BS389" s="2217"/>
      <c r="BT389" s="2217"/>
      <c r="BU389" s="2217"/>
      <c r="BV389" s="2217"/>
      <c r="BW389" s="2217"/>
      <c r="BX389" s="2217"/>
      <c r="BY389" s="2120"/>
      <c r="BZ389" s="2218"/>
      <c r="CA389" s="2218"/>
      <c r="CB389" s="2218"/>
      <c r="CC389" s="2218"/>
      <c r="CD389" s="2218"/>
      <c r="CE389" s="2218"/>
      <c r="CF389" s="2218"/>
    </row>
    <row r="390" spans="1:84" hidden="1" outlineLevel="1">
      <c r="A390" s="2120"/>
      <c r="B390" s="2219">
        <v>38990</v>
      </c>
      <c r="C390" s="2219">
        <v>39082</v>
      </c>
      <c r="D390" s="2219">
        <v>39172</v>
      </c>
      <c r="E390" s="2219">
        <v>39263</v>
      </c>
      <c r="F390" s="2220" t="s">
        <v>142</v>
      </c>
      <c r="G390" s="2219">
        <v>39355</v>
      </c>
      <c r="H390" s="2219">
        <v>39447</v>
      </c>
      <c r="I390" s="2219">
        <v>39538</v>
      </c>
      <c r="J390" s="2219">
        <v>39607</v>
      </c>
      <c r="K390" s="2220" t="s">
        <v>830</v>
      </c>
      <c r="L390" s="2219">
        <v>39699</v>
      </c>
      <c r="M390" s="2219">
        <v>39790</v>
      </c>
      <c r="N390" s="2219">
        <v>39881</v>
      </c>
      <c r="O390" s="2219">
        <v>39973</v>
      </c>
      <c r="P390" s="2220" t="s">
        <v>311</v>
      </c>
      <c r="Q390" s="2219">
        <v>40065</v>
      </c>
      <c r="R390" s="2219" t="s">
        <v>837</v>
      </c>
      <c r="S390" s="2219" t="s">
        <v>546</v>
      </c>
      <c r="T390" s="2219" t="s">
        <v>591</v>
      </c>
      <c r="U390" s="2220" t="s">
        <v>592</v>
      </c>
      <c r="V390" s="2219" t="s">
        <v>679</v>
      </c>
      <c r="W390" s="2219" t="s">
        <v>208</v>
      </c>
      <c r="X390" s="2219" t="s">
        <v>470</v>
      </c>
      <c r="Y390" s="2219" t="s">
        <v>67</v>
      </c>
      <c r="Z390" s="2220" t="s">
        <v>68</v>
      </c>
      <c r="AA390" s="2219" t="s">
        <v>478</v>
      </c>
      <c r="AB390" s="2219" t="s">
        <v>184</v>
      </c>
      <c r="AC390" s="2219" t="s">
        <v>172</v>
      </c>
      <c r="AD390" s="2219" t="s">
        <v>179</v>
      </c>
      <c r="AE390" s="2221" t="s">
        <v>180</v>
      </c>
      <c r="AF390" s="2220" t="s">
        <v>159</v>
      </c>
      <c r="AG390" s="2220" t="s">
        <v>894</v>
      </c>
      <c r="AH390" s="2220" t="s">
        <v>464</v>
      </c>
      <c r="AI390" s="2220" t="s">
        <v>26</v>
      </c>
      <c r="AJ390" s="2221" t="s">
        <v>27</v>
      </c>
      <c r="AK390" s="2220" t="s">
        <v>758</v>
      </c>
      <c r="AL390" s="2220" t="s">
        <v>905</v>
      </c>
      <c r="AM390" s="2220" t="s">
        <v>984</v>
      </c>
      <c r="AN390" s="2220" t="s">
        <v>1005</v>
      </c>
      <c r="AO390" s="2221" t="s">
        <v>1006</v>
      </c>
      <c r="AP390" s="2222" t="s">
        <v>1016</v>
      </c>
      <c r="AQ390" s="2220" t="s">
        <v>1025</v>
      </c>
      <c r="AR390" s="2222" t="s">
        <v>1026</v>
      </c>
      <c r="AS390" s="2220" t="s">
        <v>339</v>
      </c>
      <c r="AT390" s="2221" t="s">
        <v>45</v>
      </c>
      <c r="AU390" s="2222" t="s">
        <v>824</v>
      </c>
      <c r="AV390" s="2220" t="s">
        <v>825</v>
      </c>
      <c r="AW390" s="2220" t="s">
        <v>826</v>
      </c>
      <c r="AX390" s="2220" t="s">
        <v>827</v>
      </c>
      <c r="AY390" s="2221" t="s">
        <v>641</v>
      </c>
      <c r="AZ390" s="2220"/>
      <c r="BA390" s="2220"/>
      <c r="BB390" s="2220"/>
      <c r="BC390" s="2220"/>
      <c r="BD390" s="2221"/>
      <c r="BE390" s="2220"/>
      <c r="BF390" s="2220"/>
      <c r="BG390" s="2220"/>
      <c r="BH390" s="2220"/>
      <c r="BI390" s="2221"/>
      <c r="BJ390" s="2220"/>
      <c r="BK390" s="2220"/>
      <c r="BL390" s="2220"/>
      <c r="BM390" s="2220"/>
      <c r="BN390" s="2221"/>
      <c r="BO390" s="2219"/>
      <c r="BP390" s="2219"/>
      <c r="BQ390" s="2219"/>
      <c r="BR390" s="2219"/>
      <c r="BS390" s="2219"/>
      <c r="BT390" s="2219"/>
      <c r="BU390" s="2219"/>
      <c r="BV390" s="2219"/>
      <c r="BW390" s="2219"/>
      <c r="BX390" s="2219"/>
      <c r="BY390" s="2120"/>
      <c r="BZ390" s="2221"/>
      <c r="CA390" s="2221"/>
      <c r="CB390" s="2221"/>
      <c r="CC390" s="2221"/>
      <c r="CD390" s="2221"/>
      <c r="CE390" s="2221"/>
      <c r="CF390" s="2221"/>
    </row>
    <row r="391" spans="1:84" hidden="1" outlineLevel="1">
      <c r="A391" s="2121" t="str">
        <f>A320</f>
        <v>Commercial Licensing</v>
      </c>
      <c r="B391" s="2122"/>
      <c r="C391" s="2122"/>
      <c r="D391" s="2122"/>
      <c r="E391" s="2122"/>
      <c r="F391" s="2123"/>
      <c r="G391" s="2122"/>
      <c r="H391" s="2122"/>
      <c r="I391" s="2122"/>
      <c r="J391" s="2122"/>
      <c r="K391" s="2123"/>
      <c r="L391" s="2122"/>
      <c r="M391" s="2122"/>
      <c r="N391" s="2122"/>
      <c r="O391" s="2122"/>
      <c r="P391" s="2123"/>
      <c r="Q391" s="2122"/>
      <c r="R391" s="2122"/>
      <c r="S391" s="2122"/>
      <c r="T391" s="2122"/>
      <c r="U391" s="2123"/>
      <c r="V391" s="2122"/>
      <c r="W391" s="2122"/>
      <c r="X391" s="2122"/>
      <c r="Y391" s="2122"/>
      <c r="Z391" s="2123"/>
      <c r="AA391" s="2122"/>
      <c r="AB391" s="2122"/>
      <c r="AC391" s="2122"/>
      <c r="AD391" s="2122"/>
      <c r="AE391" s="2123"/>
      <c r="AF391" s="2124"/>
      <c r="AG391" s="2122"/>
      <c r="AH391" s="2122"/>
      <c r="AI391" s="2122"/>
      <c r="AJ391" s="2123"/>
      <c r="AK391" s="2125"/>
      <c r="AL391" s="2122"/>
      <c r="AM391" s="2122"/>
      <c r="AN391" s="2122"/>
      <c r="AO391" s="2123"/>
      <c r="AP391" s="2122"/>
      <c r="AQ391" s="2122"/>
      <c r="AR391" s="2122"/>
      <c r="AS391" s="2122"/>
      <c r="AT391" s="2123"/>
      <c r="AU391" s="2122"/>
      <c r="AV391" s="2122"/>
      <c r="AW391" s="2122"/>
      <c r="AX391" s="2122"/>
      <c r="AY391" s="2123"/>
      <c r="AZ391" s="2122"/>
      <c r="BA391" s="2122"/>
      <c r="BB391" s="2122"/>
      <c r="BC391" s="2122"/>
      <c r="BD391" s="2123"/>
      <c r="BE391" s="2122"/>
      <c r="BF391" s="2122"/>
      <c r="BG391" s="2122"/>
      <c r="BH391" s="2122"/>
      <c r="BI391" s="2123"/>
      <c r="BJ391" s="2122"/>
      <c r="BK391" s="2122"/>
      <c r="BL391" s="2122"/>
      <c r="BM391" s="2122"/>
      <c r="BN391" s="2123"/>
      <c r="BO391" s="2162"/>
      <c r="BP391" s="2162"/>
      <c r="BQ391" s="2162"/>
      <c r="BR391" s="2162"/>
      <c r="BS391" s="2162"/>
      <c r="BT391" s="2162"/>
      <c r="BU391" s="2162"/>
      <c r="BV391" s="2162"/>
      <c r="BW391" s="2162"/>
      <c r="BX391" s="2162"/>
      <c r="BY391" s="2120"/>
      <c r="BZ391" s="2123"/>
      <c r="CA391" s="2123"/>
      <c r="CB391" s="2123"/>
      <c r="CC391" s="2123"/>
      <c r="CD391" s="2123"/>
      <c r="CE391" s="2123"/>
      <c r="CF391" s="2123"/>
    </row>
    <row r="392" spans="1:84" hidden="1" outlineLevel="1">
      <c r="A392" s="2120" t="str">
        <f>A321</f>
        <v>Windows Enterprise</v>
      </c>
      <c r="B392" s="2168"/>
      <c r="C392" s="2168"/>
      <c r="D392" s="2168"/>
      <c r="E392" s="2168"/>
      <c r="F392" s="2215"/>
      <c r="G392" s="2168"/>
      <c r="H392" s="2168"/>
      <c r="I392" s="2168"/>
      <c r="J392" s="2168"/>
      <c r="K392" s="2215"/>
      <c r="L392" s="2168"/>
      <c r="M392" s="2168"/>
      <c r="N392" s="2168"/>
      <c r="O392" s="2168"/>
      <c r="P392" s="2215"/>
      <c r="Q392" s="2168"/>
      <c r="R392" s="2168"/>
      <c r="S392" s="2168"/>
      <c r="T392" s="2168"/>
      <c r="U392" s="2215"/>
      <c r="V392" s="2168"/>
      <c r="W392" s="2168"/>
      <c r="X392" s="2168"/>
      <c r="Y392" s="2168"/>
      <c r="Z392" s="2215"/>
      <c r="AA392" s="2168"/>
      <c r="AB392" s="2168"/>
      <c r="AC392" s="2168"/>
      <c r="AD392" s="2168"/>
      <c r="AE392" s="2223">
        <f t="shared" ref="AE392:AN392" si="545">AE321</f>
        <v>3084.1123415370744</v>
      </c>
      <c r="AF392" s="2144">
        <f t="shared" si="545"/>
        <v>850</v>
      </c>
      <c r="AG392" s="2144">
        <f t="shared" si="545"/>
        <v>350</v>
      </c>
      <c r="AH392" s="2144">
        <f t="shared" si="545"/>
        <v>1050</v>
      </c>
      <c r="AI392" s="2144">
        <f t="shared" si="545"/>
        <v>1000</v>
      </c>
      <c r="AJ392" s="2223">
        <f t="shared" si="545"/>
        <v>3250</v>
      </c>
      <c r="AK392" s="2144">
        <f t="shared" si="545"/>
        <v>900</v>
      </c>
      <c r="AL392" s="2144">
        <f t="shared" si="545"/>
        <v>1266.3380528713496</v>
      </c>
      <c r="AM392" s="2144">
        <f t="shared" si="545"/>
        <v>742.91295454545434</v>
      </c>
      <c r="AN392" s="2144">
        <f t="shared" si="545"/>
        <v>1100</v>
      </c>
      <c r="AO392" s="2223">
        <f>SUM(AK392:AN392)</f>
        <v>4009.251007416804</v>
      </c>
      <c r="AP392" s="2144">
        <f>AP321</f>
        <v>990.00000000000011</v>
      </c>
      <c r="AQ392" s="2144">
        <f>AQ321</f>
        <v>1304.3281944574901</v>
      </c>
      <c r="AR392" s="2144">
        <f>AR321</f>
        <v>728.05469545454525</v>
      </c>
      <c r="AS392" s="2144">
        <f>AS321</f>
        <v>1012</v>
      </c>
      <c r="AT392" s="2223">
        <f>SUM(AP392:AS392)</f>
        <v>4034.3828899120354</v>
      </c>
      <c r="AU392" s="2144">
        <f>AP392*(1+AU393)</f>
        <v>960.30000000000007</v>
      </c>
      <c r="AV392" s="2144">
        <f>AQ392*(1+AV393)</f>
        <v>1278.2416305683403</v>
      </c>
      <c r="AW392" s="2144">
        <f>AR392*(1+AW393)</f>
        <v>728.05469545454525</v>
      </c>
      <c r="AX392" s="2144">
        <f>AS392*(1+AX393)</f>
        <v>1042.3600000000001</v>
      </c>
      <c r="AY392" s="2223">
        <f>SUM(AU392:AX392)</f>
        <v>4008.9563260228856</v>
      </c>
      <c r="AZ392" s="2144"/>
      <c r="BA392" s="2144"/>
      <c r="BB392" s="2144"/>
      <c r="BC392" s="2144"/>
      <c r="BD392" s="2223"/>
      <c r="BE392" s="2144"/>
      <c r="BF392" s="2144"/>
      <c r="BG392" s="2144"/>
      <c r="BH392" s="2144"/>
      <c r="BI392" s="2223"/>
      <c r="BJ392" s="2144"/>
      <c r="BK392" s="2144"/>
      <c r="BL392" s="2144"/>
      <c r="BM392" s="2144"/>
      <c r="BN392" s="2223"/>
      <c r="BO392" s="2638"/>
      <c r="BP392" s="2638"/>
      <c r="BQ392" s="2638"/>
      <c r="BR392" s="2638"/>
      <c r="BS392" s="2638"/>
      <c r="BT392" s="2638"/>
      <c r="BU392" s="2638"/>
      <c r="BV392" s="2638"/>
      <c r="BW392" s="2638"/>
      <c r="BX392" s="2638"/>
      <c r="BY392" s="2120"/>
      <c r="BZ392" s="2223"/>
      <c r="CA392" s="2223"/>
      <c r="CB392" s="2223">
        <f>SUM(AM392:AN392,AP392:AQ392)</f>
        <v>4137.2411490029444</v>
      </c>
      <c r="CC392" s="2223">
        <f>SUM(AR392:AS392,AU392:AV392)</f>
        <v>3978.5963260228855</v>
      </c>
      <c r="CD392" s="2223">
        <f>SUM(AW392:AX392,AZ392:BA392)</f>
        <v>1770.4146954545454</v>
      </c>
      <c r="CE392" s="2223">
        <f>SUM(BB392:BC392,BE392:BF392)</f>
        <v>0</v>
      </c>
      <c r="CF392" s="2223"/>
    </row>
    <row r="393" spans="1:84" s="1022" customFormat="1" hidden="1" outlineLevel="1">
      <c r="A393" s="2184" t="s">
        <v>926</v>
      </c>
      <c r="B393" s="2185"/>
      <c r="C393" s="2185"/>
      <c r="D393" s="2185"/>
      <c r="E393" s="2185"/>
      <c r="F393" s="2186"/>
      <c r="G393" s="2185"/>
      <c r="H393" s="2185"/>
      <c r="I393" s="2185"/>
      <c r="J393" s="2185"/>
      <c r="K393" s="2186"/>
      <c r="L393" s="2185"/>
      <c r="M393" s="2185"/>
      <c r="N393" s="2185"/>
      <c r="O393" s="2185"/>
      <c r="P393" s="2186"/>
      <c r="Q393" s="2185"/>
      <c r="R393" s="2185"/>
      <c r="S393" s="2185"/>
      <c r="T393" s="2185"/>
      <c r="U393" s="2186"/>
      <c r="V393" s="2185"/>
      <c r="W393" s="2185"/>
      <c r="X393" s="2185"/>
      <c r="Y393" s="2185"/>
      <c r="Z393" s="2186"/>
      <c r="AA393" s="2185"/>
      <c r="AB393" s="2185"/>
      <c r="AC393" s="2185"/>
      <c r="AD393" s="2185"/>
      <c r="AE393" s="2186"/>
      <c r="AF393" s="2148"/>
      <c r="AG393" s="2185"/>
      <c r="AH393" s="2185"/>
      <c r="AI393" s="2185"/>
      <c r="AJ393" s="2187">
        <f t="shared" ref="AJ393:AS393" si="546">IF(ISERROR(AJ392/AE392-1),,(AJ392/AE392-1))</f>
        <v>5.3787813183306277E-2</v>
      </c>
      <c r="AK393" s="2188">
        <f t="shared" si="546"/>
        <v>5.8823529411764719E-2</v>
      </c>
      <c r="AL393" s="2188">
        <f t="shared" si="546"/>
        <v>2.6181087224895703</v>
      </c>
      <c r="AM393" s="2188">
        <f t="shared" si="546"/>
        <v>-0.29246385281385301</v>
      </c>
      <c r="AN393" s="2188">
        <f t="shared" si="546"/>
        <v>0.10000000000000009</v>
      </c>
      <c r="AO393" s="2187">
        <f t="shared" si="546"/>
        <v>0.23361569458978582</v>
      </c>
      <c r="AP393" s="2188">
        <f t="shared" si="546"/>
        <v>0.10000000000000009</v>
      </c>
      <c r="AQ393" s="2188">
        <f t="shared" si="546"/>
        <v>3.0000000000000027E-2</v>
      </c>
      <c r="AR393" s="2188">
        <f t="shared" si="546"/>
        <v>-2.0000000000000018E-2</v>
      </c>
      <c r="AS393" s="2188">
        <f t="shared" si="546"/>
        <v>-7.999999999999996E-2</v>
      </c>
      <c r="AT393" s="2187">
        <f>IF(ISERROR(AT392/AO392-1),,(AT392/AO392-1))</f>
        <v>6.2684732007896038E-3</v>
      </c>
      <c r="AU393" s="2188">
        <v>-0.03</v>
      </c>
      <c r="AV393" s="2188">
        <v>-0.02</v>
      </c>
      <c r="AW393" s="2202">
        <v>0</v>
      </c>
      <c r="AX393" s="2188">
        <v>0.03</v>
      </c>
      <c r="AY393" s="2187">
        <f>IF(ISERROR(AY392/AT392-1),,(AY392/AT392-1))</f>
        <v>-6.3024667174572668E-3</v>
      </c>
      <c r="AZ393" s="2202"/>
      <c r="BA393" s="2202"/>
      <c r="BB393" s="2202"/>
      <c r="BC393" s="2202"/>
      <c r="BD393" s="2187"/>
      <c r="BE393" s="2202"/>
      <c r="BF393" s="2202"/>
      <c r="BG393" s="2202"/>
      <c r="BH393" s="2202"/>
      <c r="BI393" s="2187"/>
      <c r="BJ393" s="2202"/>
      <c r="BK393" s="2202"/>
      <c r="BL393" s="2202"/>
      <c r="BM393" s="2202"/>
      <c r="BN393" s="2187"/>
      <c r="BO393" s="2188"/>
      <c r="BP393" s="2188"/>
      <c r="BQ393" s="2188"/>
      <c r="BR393" s="2188"/>
      <c r="BS393" s="2188"/>
      <c r="BT393" s="2188"/>
      <c r="BU393" s="2188"/>
      <c r="BV393" s="2188"/>
      <c r="BW393" s="2188"/>
      <c r="BX393" s="2188"/>
      <c r="BY393" s="2189"/>
      <c r="BZ393" s="2187"/>
      <c r="CA393" s="2187"/>
      <c r="CB393" s="2187"/>
      <c r="CC393" s="2187"/>
      <c r="CD393" s="2187"/>
      <c r="CE393" s="2187"/>
      <c r="CF393" s="2187"/>
    </row>
    <row r="394" spans="1:84" s="1022" customFormat="1" hidden="1" outlineLevel="1">
      <c r="A394" s="2184" t="s">
        <v>952</v>
      </c>
      <c r="B394" s="2185"/>
      <c r="C394" s="2185"/>
      <c r="D394" s="2185"/>
      <c r="E394" s="2185"/>
      <c r="F394" s="2186"/>
      <c r="G394" s="2185"/>
      <c r="H394" s="2185"/>
      <c r="I394" s="2185"/>
      <c r="J394" s="2185"/>
      <c r="K394" s="2186"/>
      <c r="L394" s="2185"/>
      <c r="M394" s="2185"/>
      <c r="N394" s="2185"/>
      <c r="O394" s="2185"/>
      <c r="P394" s="2186"/>
      <c r="Q394" s="2185"/>
      <c r="R394" s="2185"/>
      <c r="S394" s="2185"/>
      <c r="T394" s="2185"/>
      <c r="U394" s="2186"/>
      <c r="V394" s="2185"/>
      <c r="W394" s="2185"/>
      <c r="X394" s="2185"/>
      <c r="Y394" s="2185"/>
      <c r="Z394" s="2186"/>
      <c r="AA394" s="2185"/>
      <c r="AB394" s="2185"/>
      <c r="AC394" s="2185"/>
      <c r="AD394" s="2185"/>
      <c r="AE394" s="2186"/>
      <c r="AF394" s="2148"/>
      <c r="AG394" s="2188">
        <f>IF(ISERROR(AG392/AF392-1),,(AG392/AF392-1))</f>
        <v>-0.58823529411764708</v>
      </c>
      <c r="AH394" s="2188">
        <f>IF(ISERROR(AH392/AG392-1),,(AH392/AG392-1))</f>
        <v>2</v>
      </c>
      <c r="AI394" s="2188">
        <f>IF(ISERROR(AI392/AH392-1),,(AI392/AH392-1))</f>
        <v>-4.7619047619047672E-2</v>
      </c>
      <c r="AJ394" s="2187"/>
      <c r="AK394" s="2188">
        <f>IF(ISERROR(AK392/AI392-1),,(AK392/AI392-1))</f>
        <v>-9.9999999999999978E-2</v>
      </c>
      <c r="AL394" s="2188">
        <f>IF(ISERROR(AL392/AK392-1),,(AL392/AK392-1))</f>
        <v>0.40704228096816619</v>
      </c>
      <c r="AM394" s="2188">
        <f>IF(ISERROR(AM392/AL392-1),,(AM392/AL392-1))</f>
        <v>-0.41333757375375291</v>
      </c>
      <c r="AN394" s="2188">
        <f>IF(ISERROR(AN392/AM392-1),,(AN392/AM392-1))</f>
        <v>0.48065798727796682</v>
      </c>
      <c r="AO394" s="2187"/>
      <c r="AP394" s="2188">
        <f>IF(ISERROR(AP392/AN392-1),,(AP392/AN392-1))</f>
        <v>-9.9999999999999867E-2</v>
      </c>
      <c r="AQ394" s="2188">
        <f>IF(ISERROR(AQ392/AP392-1),,(AQ392/AP392-1))</f>
        <v>0.3175032267247373</v>
      </c>
      <c r="AR394" s="2188">
        <f>IF(ISERROR(AR392/AQ392-1),,(AR392/AQ392-1))</f>
        <v>-0.44181633230939599</v>
      </c>
      <c r="AS394" s="2188">
        <f>IF(ISERROR(AS392/AR392-1),,(AS392/AR392-1))</f>
        <v>0.39000545744462189</v>
      </c>
      <c r="AT394" s="2187"/>
      <c r="AU394" s="2188">
        <f>IF(ISERROR(AU392/AS392-1),,(AU392/AS392-1))</f>
        <v>-5.1086956521739113E-2</v>
      </c>
      <c r="AV394" s="2188">
        <f>IF(ISERROR(AV392/AU392-1),,(AV392/AU392-1))</f>
        <v>0.33108573421674503</v>
      </c>
      <c r="AW394" s="2188">
        <f>IF(ISERROR(AW392/AV392-1),,(AW392/AV392-1))</f>
        <v>-0.43042482888713873</v>
      </c>
      <c r="AX394" s="2188">
        <f>IF(ISERROR(AX392/AW392-1),,(AX392/AW392-1))</f>
        <v>0.43170562116796063</v>
      </c>
      <c r="AY394" s="2187"/>
      <c r="AZ394" s="2188"/>
      <c r="BA394" s="2188"/>
      <c r="BB394" s="2188"/>
      <c r="BC394" s="2188"/>
      <c r="BD394" s="2187"/>
      <c r="BE394" s="2188"/>
      <c r="BF394" s="2188"/>
      <c r="BG394" s="2188"/>
      <c r="BH394" s="2188"/>
      <c r="BI394" s="2187"/>
      <c r="BJ394" s="2188"/>
      <c r="BK394" s="2188"/>
      <c r="BL394" s="2188"/>
      <c r="BM394" s="2188"/>
      <c r="BN394" s="2187"/>
      <c r="BO394" s="2188"/>
      <c r="BP394" s="2188"/>
      <c r="BQ394" s="2188"/>
      <c r="BR394" s="2188"/>
      <c r="BS394" s="2188"/>
      <c r="BT394" s="2188"/>
      <c r="BU394" s="2188"/>
      <c r="BV394" s="2188"/>
      <c r="BW394" s="2188"/>
      <c r="BX394" s="2188"/>
      <c r="BY394" s="2189"/>
      <c r="BZ394" s="2187"/>
      <c r="CA394" s="2187"/>
      <c r="CB394" s="2187"/>
      <c r="CC394" s="2187"/>
      <c r="CD394" s="2187"/>
      <c r="CE394" s="2187"/>
      <c r="CF394" s="2187"/>
    </row>
    <row r="395" spans="1:84" ht="8.25" hidden="1" customHeight="1" outlineLevel="1">
      <c r="A395" s="2120"/>
      <c r="B395" s="2168"/>
      <c r="C395" s="2168"/>
      <c r="D395" s="2168"/>
      <c r="E395" s="2168"/>
      <c r="F395" s="2215"/>
      <c r="G395" s="2168"/>
      <c r="H395" s="2168"/>
      <c r="I395" s="2168"/>
      <c r="J395" s="2168"/>
      <c r="K395" s="2215"/>
      <c r="L395" s="2168"/>
      <c r="M395" s="2168"/>
      <c r="N395" s="2168"/>
      <c r="O395" s="2168"/>
      <c r="P395" s="2215"/>
      <c r="Q395" s="2168"/>
      <c r="R395" s="2168"/>
      <c r="S395" s="2168"/>
      <c r="T395" s="2168"/>
      <c r="U395" s="2215"/>
      <c r="V395" s="2168"/>
      <c r="W395" s="2168"/>
      <c r="X395" s="2168"/>
      <c r="Y395" s="2168"/>
      <c r="Z395" s="2215"/>
      <c r="AA395" s="2168"/>
      <c r="AB395" s="2168"/>
      <c r="AC395" s="2168"/>
      <c r="AD395" s="2168"/>
      <c r="AE395" s="2215"/>
      <c r="AF395" s="2120"/>
      <c r="AG395" s="2120"/>
      <c r="AH395" s="2120"/>
      <c r="AI395" s="2120"/>
      <c r="AJ395" s="2215"/>
      <c r="AK395" s="2120"/>
      <c r="AL395" s="2120"/>
      <c r="AM395" s="2120"/>
      <c r="AN395" s="2120"/>
      <c r="AO395" s="2215"/>
      <c r="AP395" s="2120"/>
      <c r="AQ395" s="2120"/>
      <c r="AR395" s="2120"/>
      <c r="AS395" s="2120"/>
      <c r="AT395" s="2215"/>
      <c r="AU395" s="2120"/>
      <c r="AV395" s="2120"/>
      <c r="AW395" s="2120"/>
      <c r="AX395" s="2120"/>
      <c r="AY395" s="2215"/>
      <c r="AZ395" s="2120"/>
      <c r="BA395" s="2120"/>
      <c r="BB395" s="2120"/>
      <c r="BC395" s="2120"/>
      <c r="BD395" s="2215"/>
      <c r="BE395" s="2120"/>
      <c r="BF395" s="2120"/>
      <c r="BG395" s="2120"/>
      <c r="BH395" s="2120"/>
      <c r="BI395" s="2215"/>
      <c r="BJ395" s="2120"/>
      <c r="BK395" s="2120"/>
      <c r="BL395" s="2120"/>
      <c r="BM395" s="2120"/>
      <c r="BN395" s="2215"/>
      <c r="BO395" s="2168"/>
      <c r="BP395" s="2168"/>
      <c r="BQ395" s="2168"/>
      <c r="BR395" s="2168"/>
      <c r="BS395" s="2168"/>
      <c r="BT395" s="2168"/>
      <c r="BU395" s="2168"/>
      <c r="BV395" s="2168"/>
      <c r="BW395" s="2168"/>
      <c r="BX395" s="2168"/>
      <c r="BY395" s="2120"/>
      <c r="BZ395" s="2215"/>
      <c r="CA395" s="2215"/>
      <c r="CB395" s="2215"/>
      <c r="CC395" s="2215"/>
      <c r="CD395" s="2215"/>
      <c r="CE395" s="2215"/>
      <c r="CF395" s="2215"/>
    </row>
    <row r="396" spans="1:84" hidden="1" outlineLevel="1">
      <c r="A396" s="2120" t="str">
        <f>A322</f>
        <v>Server Tools</v>
      </c>
      <c r="B396" s="2168"/>
      <c r="C396" s="2168"/>
      <c r="D396" s="2168"/>
      <c r="E396" s="2168"/>
      <c r="F396" s="2215"/>
      <c r="G396" s="2168"/>
      <c r="H396" s="2168"/>
      <c r="I396" s="2168"/>
      <c r="J396" s="2168"/>
      <c r="K396" s="2215"/>
      <c r="L396" s="2168"/>
      <c r="M396" s="2168"/>
      <c r="N396" s="2168"/>
      <c r="O396" s="2168"/>
      <c r="P396" s="2215"/>
      <c r="Q396" s="2168"/>
      <c r="R396" s="2168"/>
      <c r="S396" s="2168"/>
      <c r="T396" s="2168"/>
      <c r="U396" s="2215"/>
      <c r="V396" s="2168"/>
      <c r="W396" s="2168"/>
      <c r="X396" s="2168"/>
      <c r="Y396" s="2168"/>
      <c r="Z396" s="2215"/>
      <c r="AA396" s="2168"/>
      <c r="AB396" s="2168"/>
      <c r="AC396" s="2168"/>
      <c r="AD396" s="2168"/>
      <c r="AE396" s="2223">
        <f>AE322</f>
        <v>13945</v>
      </c>
      <c r="AF396" s="2144">
        <f>AF322</f>
        <v>3254.4196428571427</v>
      </c>
      <c r="AG396" s="2144">
        <f>AG322</f>
        <v>3798.1696428571431</v>
      </c>
      <c r="AH396" s="2144">
        <f>AH322</f>
        <v>3722.0454545454554</v>
      </c>
      <c r="AI396" s="2144">
        <f>AI322</f>
        <v>4123.9210526315801</v>
      </c>
      <c r="AJ396" s="2223">
        <f>SUM(AF396:AI396)</f>
        <v>14898.555792891322</v>
      </c>
      <c r="AK396" s="2144">
        <f>AK322</f>
        <v>3644.9500000000003</v>
      </c>
      <c r="AL396" s="2144">
        <f>AL322</f>
        <v>4253.9500000000007</v>
      </c>
      <c r="AM396" s="2144">
        <f>AM322</f>
        <v>4094.2500000000014</v>
      </c>
      <c r="AN396" s="2144">
        <f>AN322</f>
        <v>4701.2700000000023</v>
      </c>
      <c r="AO396" s="2223">
        <f>SUM(AK396:AN396)</f>
        <v>16694.420000000006</v>
      </c>
      <c r="AP396" s="2144">
        <f>AP322</f>
        <v>4045.8945000000008</v>
      </c>
      <c r="AQ396" s="2144">
        <f>AQ322</f>
        <v>4551.7265000000007</v>
      </c>
      <c r="AR396" s="2144">
        <f>AR322</f>
        <v>4503.675000000002</v>
      </c>
      <c r="AS396" s="2144">
        <f>AS322</f>
        <v>4701.2700000000023</v>
      </c>
      <c r="AT396" s="2223">
        <f>SUM(AP396:AS396)</f>
        <v>17802.566000000006</v>
      </c>
      <c r="AU396" s="2144">
        <f>AP396*(1+AU397)</f>
        <v>4045.8945000000008</v>
      </c>
      <c r="AV396" s="2144">
        <f>AQ396*(1+AV397)</f>
        <v>4642.7610300000006</v>
      </c>
      <c r="AW396" s="2144">
        <f>AR396*(1+AW397)</f>
        <v>4638.7852500000026</v>
      </c>
      <c r="AX396" s="2144">
        <f>AS396*(1+AX397)</f>
        <v>5030.3589000000029</v>
      </c>
      <c r="AY396" s="2223">
        <f>SUM(AU396:AX396)</f>
        <v>18357.799680000007</v>
      </c>
      <c r="AZ396" s="2144"/>
      <c r="BA396" s="2144"/>
      <c r="BB396" s="2144"/>
      <c r="BC396" s="2144"/>
      <c r="BD396" s="2223"/>
      <c r="BE396" s="2144"/>
      <c r="BF396" s="2144"/>
      <c r="BG396" s="2144"/>
      <c r="BH396" s="2144"/>
      <c r="BI396" s="2223"/>
      <c r="BJ396" s="2144"/>
      <c r="BK396" s="2144"/>
      <c r="BL396" s="2144"/>
      <c r="BM396" s="2144"/>
      <c r="BN396" s="2223"/>
      <c r="BO396" s="2638"/>
      <c r="BP396" s="2638"/>
      <c r="BQ396" s="2638"/>
      <c r="BR396" s="2638"/>
      <c r="BS396" s="2638"/>
      <c r="BT396" s="2638"/>
      <c r="BU396" s="2638"/>
      <c r="BV396" s="2638"/>
      <c r="BW396" s="2638"/>
      <c r="BX396" s="2638"/>
      <c r="BY396" s="2120"/>
      <c r="BZ396" s="2223"/>
      <c r="CA396" s="2223"/>
      <c r="CB396" s="2223">
        <f>SUM(AM396:AN396,AP396:AQ396)</f>
        <v>17393.141000000003</v>
      </c>
      <c r="CC396" s="2223">
        <f>SUM(AR396:AS396,AU396:AV396)</f>
        <v>17893.600530000003</v>
      </c>
      <c r="CD396" s="2223">
        <f>SUM(AW396:AX396,AZ396:BA396)</f>
        <v>9669.1441500000055</v>
      </c>
      <c r="CE396" s="2223">
        <f>SUM(BB396:BC396,BE396:BF396)</f>
        <v>0</v>
      </c>
      <c r="CF396" s="2223"/>
    </row>
    <row r="397" spans="1:84" s="1022" customFormat="1" hidden="1" outlineLevel="1">
      <c r="A397" s="2184" t="s">
        <v>926</v>
      </c>
      <c r="B397" s="2185"/>
      <c r="C397" s="2185"/>
      <c r="D397" s="2185"/>
      <c r="E397" s="2185"/>
      <c r="F397" s="2186"/>
      <c r="G397" s="2185"/>
      <c r="H397" s="2185"/>
      <c r="I397" s="2185"/>
      <c r="J397" s="2185"/>
      <c r="K397" s="2186"/>
      <c r="L397" s="2185"/>
      <c r="M397" s="2185"/>
      <c r="N397" s="2185"/>
      <c r="O397" s="2185"/>
      <c r="P397" s="2186"/>
      <c r="Q397" s="2185"/>
      <c r="R397" s="2185"/>
      <c r="S397" s="2185"/>
      <c r="T397" s="2185"/>
      <c r="U397" s="2186"/>
      <c r="V397" s="2185"/>
      <c r="W397" s="2185"/>
      <c r="X397" s="2185"/>
      <c r="Y397" s="2185"/>
      <c r="Z397" s="2186"/>
      <c r="AA397" s="2185"/>
      <c r="AB397" s="2185"/>
      <c r="AC397" s="2185"/>
      <c r="AD397" s="2185"/>
      <c r="AE397" s="2186"/>
      <c r="AF397" s="2148"/>
      <c r="AG397" s="2185"/>
      <c r="AH397" s="2185"/>
      <c r="AI397" s="2185"/>
      <c r="AJ397" s="2187">
        <f t="shared" ref="AJ397:AS397" si="547">IF(ISERROR(AJ396/AE396-1),,(AJ396/AE396-1))</f>
        <v>6.8379762846276337E-2</v>
      </c>
      <c r="AK397" s="2188">
        <f t="shared" si="547"/>
        <v>0.12000000000000011</v>
      </c>
      <c r="AL397" s="2188">
        <f t="shared" si="547"/>
        <v>0.12000000000000011</v>
      </c>
      <c r="AM397" s="2188">
        <f t="shared" si="547"/>
        <v>0.10000000000000009</v>
      </c>
      <c r="AN397" s="2188">
        <f t="shared" si="547"/>
        <v>0.14000000000000012</v>
      </c>
      <c r="AO397" s="2187">
        <f t="shared" si="547"/>
        <v>0.12053948262324599</v>
      </c>
      <c r="AP397" s="2188">
        <f t="shared" si="547"/>
        <v>0.1100000000000001</v>
      </c>
      <c r="AQ397" s="2188">
        <f t="shared" si="547"/>
        <v>7.0000000000000062E-2</v>
      </c>
      <c r="AR397" s="2188">
        <f t="shared" si="547"/>
        <v>0.10000000000000009</v>
      </c>
      <c r="AS397" s="2188">
        <f t="shared" si="547"/>
        <v>0</v>
      </c>
      <c r="AT397" s="2187">
        <f>IF(ISERROR(AT396/AO396-1),,(AT396/AO396-1))</f>
        <v>6.6378226976438803E-2</v>
      </c>
      <c r="AU397" s="2188">
        <v>0</v>
      </c>
      <c r="AV397" s="2188">
        <v>0.02</v>
      </c>
      <c r="AW397" s="2202">
        <v>0.03</v>
      </c>
      <c r="AX397" s="2188">
        <v>7.0000000000000007E-2</v>
      </c>
      <c r="AY397" s="2187">
        <f>IF(ISERROR(AY396/AT396-1),,(AY396/AT396-1))</f>
        <v>3.1188407334088897E-2</v>
      </c>
      <c r="AZ397" s="2202"/>
      <c r="BA397" s="2202"/>
      <c r="BB397" s="2202"/>
      <c r="BC397" s="2202"/>
      <c r="BD397" s="2187"/>
      <c r="BE397" s="2202"/>
      <c r="BF397" s="2202"/>
      <c r="BG397" s="2202"/>
      <c r="BH397" s="2202"/>
      <c r="BI397" s="2187"/>
      <c r="BJ397" s="2202"/>
      <c r="BK397" s="2202"/>
      <c r="BL397" s="2202"/>
      <c r="BM397" s="2202"/>
      <c r="BN397" s="2187"/>
      <c r="BO397" s="2188"/>
      <c r="BP397" s="2188"/>
      <c r="BQ397" s="2188"/>
      <c r="BR397" s="2188"/>
      <c r="BS397" s="2188"/>
      <c r="BT397" s="2188"/>
      <c r="BU397" s="2188"/>
      <c r="BV397" s="2188"/>
      <c r="BW397" s="2188"/>
      <c r="BX397" s="2188"/>
      <c r="BY397" s="2189"/>
      <c r="BZ397" s="2187"/>
      <c r="CA397" s="2187"/>
      <c r="CB397" s="2187"/>
      <c r="CC397" s="2187"/>
      <c r="CD397" s="2187"/>
      <c r="CE397" s="2187"/>
      <c r="CF397" s="2187"/>
    </row>
    <row r="398" spans="1:84" s="1022" customFormat="1" hidden="1" outlineLevel="1">
      <c r="A398" s="2184" t="s">
        <v>952</v>
      </c>
      <c r="B398" s="2185"/>
      <c r="C398" s="2185"/>
      <c r="D398" s="2185"/>
      <c r="E398" s="2185"/>
      <c r="F398" s="2186"/>
      <c r="G398" s="2185"/>
      <c r="H398" s="2185"/>
      <c r="I398" s="2185"/>
      <c r="J398" s="2185"/>
      <c r="K398" s="2186"/>
      <c r="L398" s="2185"/>
      <c r="M398" s="2185"/>
      <c r="N398" s="2185"/>
      <c r="O398" s="2185"/>
      <c r="P398" s="2186"/>
      <c r="Q398" s="2185"/>
      <c r="R398" s="2185"/>
      <c r="S398" s="2185"/>
      <c r="T398" s="2185"/>
      <c r="U398" s="2186"/>
      <c r="V398" s="2185"/>
      <c r="W398" s="2185"/>
      <c r="X398" s="2185"/>
      <c r="Y398" s="2185"/>
      <c r="Z398" s="2186"/>
      <c r="AA398" s="2185"/>
      <c r="AB398" s="2185"/>
      <c r="AC398" s="2185"/>
      <c r="AD398" s="2185"/>
      <c r="AE398" s="2186"/>
      <c r="AF398" s="2148"/>
      <c r="AG398" s="2188">
        <f>IF(ISERROR(AG396/AF396-1),,(AG396/AF396-1))</f>
        <v>0.16708048121373431</v>
      </c>
      <c r="AH398" s="2188">
        <f>IF(ISERROR(AH396/AG396-1),,(AH396/AG396-1))</f>
        <v>-2.0042334984917587E-2</v>
      </c>
      <c r="AI398" s="2188">
        <f>IF(ISERROR(AI396/AH396-1),,(AI396/AH396-1))</f>
        <v>0.10797170614758178</v>
      </c>
      <c r="AJ398" s="2187"/>
      <c r="AK398" s="2188">
        <f>IF(ISERROR(AK396/AI396-1),,(AK396/AI396-1))</f>
        <v>-0.11614457370029818</v>
      </c>
      <c r="AL398" s="2188">
        <f>IF(ISERROR(AL396/AK396-1),,(AL396/AK396-1))</f>
        <v>0.16708048121373409</v>
      </c>
      <c r="AM398" s="2188">
        <f>IF(ISERROR(AM396/AL396-1),,(AM396/AL396-1))</f>
        <v>-3.7541579003044112E-2</v>
      </c>
      <c r="AN398" s="2188">
        <f>IF(ISERROR(AN396/AM396-1),,(AN396/AM396-1))</f>
        <v>0.14826158637113052</v>
      </c>
      <c r="AO398" s="2187"/>
      <c r="AP398" s="2188">
        <f>IF(ISERROR(AP396/AN396-1),,(AP396/AN396-1))</f>
        <v>-0.13940392702397464</v>
      </c>
      <c r="AQ398" s="2188">
        <f>IF(ISERROR(AQ396/AP396-1),,(AQ396/AP396-1))</f>
        <v>0.12502352693576158</v>
      </c>
      <c r="AR398" s="2188">
        <f>IF(ISERROR(AR396/AQ396-1),,(AR396/AQ396-1))</f>
        <v>-1.055676346107326E-2</v>
      </c>
      <c r="AS398" s="2188">
        <f>IF(ISERROR(AS396/AR396-1),,(AS396/AR396-1))</f>
        <v>4.3874169428300247E-2</v>
      </c>
      <c r="AT398" s="2187"/>
      <c r="AU398" s="2188">
        <f>IF(ISERROR(AU396/AS396-1),,(AU396/AS396-1))</f>
        <v>-0.13940392702397464</v>
      </c>
      <c r="AV398" s="2188">
        <f>IF(ISERROR(AV396/AU396-1),,(AV396/AU396-1))</f>
        <v>0.14752399747447686</v>
      </c>
      <c r="AW398" s="2188">
        <f>IF(ISERROR(AW396/AV396-1),,(AW396/AV396-1))</f>
        <v>-8.5633957343655975E-4</v>
      </c>
      <c r="AX398" s="2188">
        <f>IF(ISERROR(AX396/AW396-1),,(AX396/AW396-1))</f>
        <v>8.4412972124544794E-2</v>
      </c>
      <c r="AY398" s="2187"/>
      <c r="AZ398" s="2188"/>
      <c r="BA398" s="2188"/>
      <c r="BB398" s="2188"/>
      <c r="BC398" s="2188"/>
      <c r="BD398" s="2187"/>
      <c r="BE398" s="2188"/>
      <c r="BF398" s="2188"/>
      <c r="BG398" s="2188"/>
      <c r="BH398" s="2188"/>
      <c r="BI398" s="2187"/>
      <c r="BJ398" s="2188"/>
      <c r="BK398" s="2188"/>
      <c r="BL398" s="2188"/>
      <c r="BM398" s="2188"/>
      <c r="BN398" s="2187"/>
      <c r="BO398" s="2188"/>
      <c r="BP398" s="2188"/>
      <c r="BQ398" s="2188"/>
      <c r="BR398" s="2188"/>
      <c r="BS398" s="2188"/>
      <c r="BT398" s="2188"/>
      <c r="BU398" s="2188"/>
      <c r="BV398" s="2188"/>
      <c r="BW398" s="2188"/>
      <c r="BX398" s="2188"/>
      <c r="BY398" s="2189"/>
      <c r="BZ398" s="2187"/>
      <c r="CA398" s="2187"/>
      <c r="CB398" s="2187"/>
      <c r="CC398" s="2187"/>
      <c r="CD398" s="2187"/>
      <c r="CE398" s="2187"/>
      <c r="CF398" s="2187"/>
    </row>
    <row r="399" spans="1:84" ht="8.25" hidden="1" customHeight="1" outlineLevel="1">
      <c r="A399" s="2120"/>
      <c r="B399" s="2168"/>
      <c r="C399" s="2168"/>
      <c r="D399" s="2168"/>
      <c r="E399" s="2168"/>
      <c r="F399" s="2215"/>
      <c r="G399" s="2168"/>
      <c r="H399" s="2168"/>
      <c r="I399" s="2168"/>
      <c r="J399" s="2168"/>
      <c r="K399" s="2215"/>
      <c r="L399" s="2168"/>
      <c r="M399" s="2168"/>
      <c r="N399" s="2168"/>
      <c r="O399" s="2168"/>
      <c r="P399" s="2215"/>
      <c r="Q399" s="2168"/>
      <c r="R399" s="2168"/>
      <c r="S399" s="2168"/>
      <c r="T399" s="2168"/>
      <c r="U399" s="2215"/>
      <c r="V399" s="2168"/>
      <c r="W399" s="2168"/>
      <c r="X399" s="2168"/>
      <c r="Y399" s="2168"/>
      <c r="Z399" s="2215"/>
      <c r="AA399" s="2168"/>
      <c r="AB399" s="2168"/>
      <c r="AC399" s="2168"/>
      <c r="AD399" s="2168"/>
      <c r="AE399" s="2215"/>
      <c r="AF399" s="2120"/>
      <c r="AG399" s="2120"/>
      <c r="AH399" s="2120"/>
      <c r="AI399" s="2120"/>
      <c r="AJ399" s="2215"/>
      <c r="AK399" s="2120"/>
      <c r="AL399" s="2120"/>
      <c r="AM399" s="2120"/>
      <c r="AN399" s="2120"/>
      <c r="AO399" s="2215"/>
      <c r="AP399" s="2120"/>
      <c r="AQ399" s="2120"/>
      <c r="AR399" s="2120"/>
      <c r="AS399" s="2120"/>
      <c r="AT399" s="2215"/>
      <c r="AU399" s="2120"/>
      <c r="AV399" s="2120"/>
      <c r="AW399" s="2120"/>
      <c r="AX399" s="2120"/>
      <c r="AY399" s="2215"/>
      <c r="AZ399" s="2120"/>
      <c r="BA399" s="2120"/>
      <c r="BB399" s="2120"/>
      <c r="BC399" s="2120"/>
      <c r="BD399" s="2215"/>
      <c r="BE399" s="2120"/>
      <c r="BF399" s="2120"/>
      <c r="BG399" s="2120"/>
      <c r="BH399" s="2120"/>
      <c r="BI399" s="2215"/>
      <c r="BJ399" s="2120"/>
      <c r="BK399" s="2120"/>
      <c r="BL399" s="2120"/>
      <c r="BM399" s="2120"/>
      <c r="BN399" s="2215"/>
      <c r="BO399" s="2168"/>
      <c r="BP399" s="2168"/>
      <c r="BQ399" s="2168"/>
      <c r="BR399" s="2168"/>
      <c r="BS399" s="2168"/>
      <c r="BT399" s="2168"/>
      <c r="BU399" s="2168"/>
      <c r="BV399" s="2168"/>
      <c r="BW399" s="2168"/>
      <c r="BX399" s="2168"/>
      <c r="BY399" s="2120"/>
      <c r="BZ399" s="2215"/>
      <c r="CA399" s="2215"/>
      <c r="CB399" s="2215"/>
      <c r="CC399" s="2215"/>
      <c r="CD399" s="2215"/>
      <c r="CE399" s="2215"/>
      <c r="CF399" s="2215"/>
    </row>
    <row r="400" spans="1:84" hidden="1" outlineLevel="1">
      <c r="A400" s="2120" t="str">
        <f>A323</f>
        <v>Skype</v>
      </c>
      <c r="B400" s="2168"/>
      <c r="C400" s="2168"/>
      <c r="D400" s="2168"/>
      <c r="E400" s="2168"/>
      <c r="F400" s="2215"/>
      <c r="G400" s="2168"/>
      <c r="H400" s="2168"/>
      <c r="I400" s="2168"/>
      <c r="J400" s="2168"/>
      <c r="K400" s="2215"/>
      <c r="L400" s="2168"/>
      <c r="M400" s="2168"/>
      <c r="N400" s="2168"/>
      <c r="O400" s="2168"/>
      <c r="P400" s="2215"/>
      <c r="Q400" s="2168"/>
      <c r="R400" s="2168"/>
      <c r="S400" s="2168"/>
      <c r="T400" s="2168"/>
      <c r="U400" s="2215"/>
      <c r="V400" s="2168"/>
      <c r="W400" s="2168"/>
      <c r="X400" s="2168"/>
      <c r="Y400" s="2168"/>
      <c r="Z400" s="2215"/>
      <c r="AA400" s="2168"/>
      <c r="AB400" s="2168"/>
      <c r="AC400" s="2168"/>
      <c r="AD400" s="2168"/>
      <c r="AE400" s="2223">
        <f>AE323</f>
        <v>1614.0832887483357</v>
      </c>
      <c r="AF400" s="2144">
        <f>AF323</f>
        <v>750.26035868927192</v>
      </c>
      <c r="AG400" s="2144">
        <f>AG323</f>
        <v>1096.1969149144843</v>
      </c>
      <c r="AH400" s="2144">
        <f>AH323</f>
        <v>100</v>
      </c>
      <c r="AI400" s="2144">
        <f>AI323</f>
        <v>350</v>
      </c>
      <c r="AJ400" s="2223">
        <f>SUM(AF400:AI400)</f>
        <v>2296.4572736037562</v>
      </c>
      <c r="AK400" s="2144">
        <f>AK323</f>
        <v>100</v>
      </c>
      <c r="AL400" s="2144">
        <f>AL323</f>
        <v>275</v>
      </c>
      <c r="AM400" s="2144">
        <f>AM323</f>
        <v>110</v>
      </c>
      <c r="AN400" s="2144">
        <f>AN323</f>
        <v>98.293289473683217</v>
      </c>
      <c r="AO400" s="2223">
        <f>SUM(AK400:AN400)</f>
        <v>583.29328947368322</v>
      </c>
      <c r="AP400" s="2144">
        <f>AP323</f>
        <v>218.67899999999952</v>
      </c>
      <c r="AQ400" s="2144">
        <f>AQ323</f>
        <v>351.07235180494172</v>
      </c>
      <c r="AR400" s="2144">
        <f>AR323</f>
        <v>278.48718636363628</v>
      </c>
      <c r="AS400" s="2144">
        <f>AS323</f>
        <v>364.31189736841952</v>
      </c>
      <c r="AT400" s="2223">
        <f>SUM(AP400:AS400)</f>
        <v>1212.5504355369972</v>
      </c>
      <c r="AU400" s="2144">
        <f>AP400*(1+AU401)</f>
        <v>214.30541999999951</v>
      </c>
      <c r="AV400" s="2144">
        <f>AQ400*(1+AV401)</f>
        <v>345.80626652786759</v>
      </c>
      <c r="AW400" s="2144">
        <f>AR400*(1+AW401)</f>
        <v>278.48718636363628</v>
      </c>
      <c r="AX400" s="2144">
        <f>AS400*(1+AX401)</f>
        <v>371.59813531578794</v>
      </c>
      <c r="AY400" s="2223">
        <f>SUM(AU400:AX400)</f>
        <v>1210.1970082072912</v>
      </c>
      <c r="AZ400" s="2144"/>
      <c r="BA400" s="2144"/>
      <c r="BB400" s="2144"/>
      <c r="BC400" s="2144"/>
      <c r="BD400" s="2223"/>
      <c r="BE400" s="2144"/>
      <c r="BF400" s="2144"/>
      <c r="BG400" s="2144"/>
      <c r="BH400" s="2144"/>
      <c r="BI400" s="2223"/>
      <c r="BJ400" s="2144"/>
      <c r="BK400" s="2144"/>
      <c r="BL400" s="2144"/>
      <c r="BM400" s="2144"/>
      <c r="BN400" s="2223"/>
      <c r="BO400" s="2638"/>
      <c r="BP400" s="2638"/>
      <c r="BQ400" s="2638"/>
      <c r="BR400" s="2638"/>
      <c r="BS400" s="2638"/>
      <c r="BT400" s="2638"/>
      <c r="BU400" s="2638"/>
      <c r="BV400" s="2638"/>
      <c r="BW400" s="2638"/>
      <c r="BX400" s="2638"/>
      <c r="BY400" s="2120"/>
      <c r="BZ400" s="2223"/>
      <c r="CA400" s="2223"/>
      <c r="CB400" s="2223">
        <f>SUM(AM400:AN400,AP400:AQ400)</f>
        <v>778.04464127862445</v>
      </c>
      <c r="CC400" s="2223">
        <f>SUM(AR400:AS400,AU400:AV400)</f>
        <v>1202.9107702599229</v>
      </c>
      <c r="CD400" s="2223">
        <f>SUM(AW400:AX400,AZ400:BA400)</f>
        <v>650.08532167942417</v>
      </c>
      <c r="CE400" s="2223">
        <f>SUM(BB400:BC400,BE400:BF400)</f>
        <v>0</v>
      </c>
      <c r="CF400" s="2223"/>
    </row>
    <row r="401" spans="1:87" s="1022" customFormat="1" hidden="1" outlineLevel="1">
      <c r="A401" s="2184" t="s">
        <v>926</v>
      </c>
      <c r="B401" s="2185"/>
      <c r="C401" s="2185"/>
      <c r="D401" s="2185"/>
      <c r="E401" s="2185"/>
      <c r="F401" s="2186"/>
      <c r="G401" s="2185"/>
      <c r="H401" s="2185"/>
      <c r="I401" s="2185"/>
      <c r="J401" s="2185"/>
      <c r="K401" s="2186"/>
      <c r="L401" s="2185"/>
      <c r="M401" s="2185"/>
      <c r="N401" s="2185"/>
      <c r="O401" s="2185"/>
      <c r="P401" s="2186"/>
      <c r="Q401" s="2185"/>
      <c r="R401" s="2185"/>
      <c r="S401" s="2185"/>
      <c r="T401" s="2185"/>
      <c r="U401" s="2186"/>
      <c r="V401" s="2185"/>
      <c r="W401" s="2185"/>
      <c r="X401" s="2185"/>
      <c r="Y401" s="2185"/>
      <c r="Z401" s="2186"/>
      <c r="AA401" s="2185"/>
      <c r="AB401" s="2185"/>
      <c r="AC401" s="2185"/>
      <c r="AD401" s="2185"/>
      <c r="AE401" s="2186"/>
      <c r="AF401" s="2148"/>
      <c r="AG401" s="2185"/>
      <c r="AH401" s="2185"/>
      <c r="AI401" s="2185"/>
      <c r="AJ401" s="2187">
        <f t="shared" ref="AJ401:AS401" si="548">IF(ISERROR(AJ400/AE400-1),,(AJ400/AE400-1))</f>
        <v>0.42276256102284382</v>
      </c>
      <c r="AK401" s="2188">
        <f t="shared" si="548"/>
        <v>-0.86671293659350057</v>
      </c>
      <c r="AL401" s="2188">
        <f t="shared" si="548"/>
        <v>-0.74913266379567123</v>
      </c>
      <c r="AM401" s="2188">
        <f t="shared" si="548"/>
        <v>0.10000000000000009</v>
      </c>
      <c r="AN401" s="2188">
        <f t="shared" si="548"/>
        <v>-0.71916203007519086</v>
      </c>
      <c r="AO401" s="2187">
        <f t="shared" si="548"/>
        <v>-0.74600298634847229</v>
      </c>
      <c r="AP401" s="2188">
        <f t="shared" si="548"/>
        <v>1.1867899999999953</v>
      </c>
      <c r="AQ401" s="2188">
        <f t="shared" si="548"/>
        <v>0.27662673383615166</v>
      </c>
      <c r="AR401" s="2188">
        <f t="shared" si="548"/>
        <v>1.5317016942148753</v>
      </c>
      <c r="AS401" s="2188">
        <f t="shared" si="548"/>
        <v>2.7063760844626064</v>
      </c>
      <c r="AT401" s="2187">
        <f>IF(ISERROR(AT400/AO400-1),,(AT400/AO400-1))</f>
        <v>1.0788005921191117</v>
      </c>
      <c r="AU401" s="2188">
        <v>-0.02</v>
      </c>
      <c r="AV401" s="2188">
        <v>-1.4999999999999999E-2</v>
      </c>
      <c r="AW401" s="2202">
        <v>0</v>
      </c>
      <c r="AX401" s="2188">
        <v>0.02</v>
      </c>
      <c r="AY401" s="2187">
        <f>IF(ISERROR(AY400/AT400-1),,(AY400/AT400-1))</f>
        <v>-1.9408902596811384E-3</v>
      </c>
      <c r="AZ401" s="2202"/>
      <c r="BA401" s="2202"/>
      <c r="BB401" s="2202"/>
      <c r="BC401" s="2202"/>
      <c r="BD401" s="2187"/>
      <c r="BE401" s="2202"/>
      <c r="BF401" s="2202"/>
      <c r="BG401" s="2202"/>
      <c r="BH401" s="2202"/>
      <c r="BI401" s="2187"/>
      <c r="BJ401" s="2202"/>
      <c r="BK401" s="2202"/>
      <c r="BL401" s="2202"/>
      <c r="BM401" s="2202"/>
      <c r="BN401" s="2187"/>
      <c r="BO401" s="2188"/>
      <c r="BP401" s="2188"/>
      <c r="BQ401" s="2188"/>
      <c r="BR401" s="2188"/>
      <c r="BS401" s="2188"/>
      <c r="BT401" s="2188"/>
      <c r="BU401" s="2188"/>
      <c r="BV401" s="2188"/>
      <c r="BW401" s="2188"/>
      <c r="BX401" s="2188"/>
      <c r="BY401" s="2189"/>
      <c r="BZ401" s="2187"/>
      <c r="CA401" s="2187"/>
      <c r="CB401" s="2187"/>
      <c r="CC401" s="2187"/>
      <c r="CD401" s="2187"/>
      <c r="CE401" s="2187"/>
      <c r="CF401" s="2187"/>
    </row>
    <row r="402" spans="1:87" s="1022" customFormat="1" hidden="1" outlineLevel="1">
      <c r="A402" s="2184" t="s">
        <v>952</v>
      </c>
      <c r="B402" s="2185"/>
      <c r="C402" s="2185"/>
      <c r="D402" s="2185"/>
      <c r="E402" s="2185"/>
      <c r="F402" s="2186"/>
      <c r="G402" s="2185"/>
      <c r="H402" s="2185"/>
      <c r="I402" s="2185"/>
      <c r="J402" s="2185"/>
      <c r="K402" s="2186"/>
      <c r="L402" s="2185"/>
      <c r="M402" s="2185"/>
      <c r="N402" s="2185"/>
      <c r="O402" s="2185"/>
      <c r="P402" s="2186"/>
      <c r="Q402" s="2185"/>
      <c r="R402" s="2185"/>
      <c r="S402" s="2185"/>
      <c r="T402" s="2185"/>
      <c r="U402" s="2186"/>
      <c r="V402" s="2185"/>
      <c r="W402" s="2185"/>
      <c r="X402" s="2185"/>
      <c r="Y402" s="2185"/>
      <c r="Z402" s="2186"/>
      <c r="AA402" s="2185"/>
      <c r="AB402" s="2185"/>
      <c r="AC402" s="2185"/>
      <c r="AD402" s="2185"/>
      <c r="AE402" s="2186"/>
      <c r="AF402" s="2148"/>
      <c r="AG402" s="2188">
        <f>IF(ISERROR(AG400/AF400-1),,(AG400/AF400-1))</f>
        <v>0.46108867704215939</v>
      </c>
      <c r="AH402" s="2188">
        <f>IF(ISERROR(AH400/AG400-1),,(AH400/AG400-1))</f>
        <v>-0.90877551410751678</v>
      </c>
      <c r="AI402" s="2188">
        <f>IF(ISERROR(AI400/AH400-1),,(AI400/AH400-1))</f>
        <v>2.5</v>
      </c>
      <c r="AJ402" s="2187"/>
      <c r="AK402" s="2188">
        <f>IF(ISERROR(AK400/AI400-1),,(AK400/AI400-1))</f>
        <v>-0.7142857142857143</v>
      </c>
      <c r="AL402" s="2188">
        <f>IF(ISERROR(AL400/AK400-1),,(AL400/AK400-1))</f>
        <v>1.75</v>
      </c>
      <c r="AM402" s="2188">
        <f>IF(ISERROR(AM400/AL400-1),,(AM400/AL400-1))</f>
        <v>-0.6</v>
      </c>
      <c r="AN402" s="2188">
        <f>IF(ISERROR(AN400/AM400-1),,(AN400/AM400-1))</f>
        <v>-0.10642464114833439</v>
      </c>
      <c r="AO402" s="2187"/>
      <c r="AP402" s="2188">
        <f>IF(ISERROR(AP400/AN400-1),,(AP400/AN400-1))</f>
        <v>1.2247602168055232</v>
      </c>
      <c r="AQ402" s="2188">
        <f>IF(ISERROR(AQ400/AP400-1),,(AQ400/AP400-1))</f>
        <v>0.60542325419881426</v>
      </c>
      <c r="AR402" s="2188">
        <f>IF(ISERROR(AR400/AQ400-1),,(AR400/AQ400-1))</f>
        <v>-0.20675272509535092</v>
      </c>
      <c r="AS402" s="2188">
        <f>IF(ISERROR(AS400/AR400-1),,(AS400/AR400-1))</f>
        <v>0.30818190282089719</v>
      </c>
      <c r="AT402" s="2187"/>
      <c r="AU402" s="2188">
        <f>IF(ISERROR(AU400/AS400-1),,(AU400/AS400-1))</f>
        <v>-0.41175289210146826</v>
      </c>
      <c r="AV402" s="2188">
        <f>IF(ISERROR(AV400/AU400-1),,(AV400/AU400-1))</f>
        <v>0.6136141891692164</v>
      </c>
      <c r="AW402" s="2188">
        <f>IF(ISERROR(AW400/AV400-1),,(AW400/AV400-1))</f>
        <v>-0.1946728173556862</v>
      </c>
      <c r="AX402" s="2188">
        <f>IF(ISERROR(AX400/AW400-1),,(AX400/AW400-1))</f>
        <v>0.33434554087731527</v>
      </c>
      <c r="AY402" s="2187"/>
      <c r="AZ402" s="2188"/>
      <c r="BA402" s="2188"/>
      <c r="BB402" s="2188"/>
      <c r="BC402" s="2188"/>
      <c r="BD402" s="2187"/>
      <c r="BE402" s="2188"/>
      <c r="BF402" s="2188"/>
      <c r="BG402" s="2188"/>
      <c r="BH402" s="2188"/>
      <c r="BI402" s="2187"/>
      <c r="BJ402" s="2188"/>
      <c r="BK402" s="2188"/>
      <c r="BL402" s="2188"/>
      <c r="BM402" s="2188"/>
      <c r="BN402" s="2187"/>
      <c r="BO402" s="2188"/>
      <c r="BP402" s="2188"/>
      <c r="BQ402" s="2188"/>
      <c r="BR402" s="2188"/>
      <c r="BS402" s="2188"/>
      <c r="BT402" s="2188"/>
      <c r="BU402" s="2188"/>
      <c r="BV402" s="2188"/>
      <c r="BW402" s="2188"/>
      <c r="BX402" s="2188"/>
      <c r="BY402" s="2189"/>
      <c r="BZ402" s="2187"/>
      <c r="CA402" s="2187"/>
      <c r="CB402" s="2187"/>
      <c r="CC402" s="2187"/>
      <c r="CD402" s="2187"/>
      <c r="CE402" s="2187"/>
      <c r="CF402" s="2187"/>
    </row>
    <row r="403" spans="1:87" ht="8.25" hidden="1" customHeight="1" outlineLevel="1">
      <c r="A403" s="2120"/>
      <c r="B403" s="2168"/>
      <c r="C403" s="2168"/>
      <c r="D403" s="2168"/>
      <c r="E403" s="2168"/>
      <c r="F403" s="2215"/>
      <c r="G403" s="2168"/>
      <c r="H403" s="2168"/>
      <c r="I403" s="2168"/>
      <c r="J403" s="2168"/>
      <c r="K403" s="2215"/>
      <c r="L403" s="2168"/>
      <c r="M403" s="2168"/>
      <c r="N403" s="2168"/>
      <c r="O403" s="2168"/>
      <c r="P403" s="2215"/>
      <c r="Q403" s="2168"/>
      <c r="R403" s="2168"/>
      <c r="S403" s="2168"/>
      <c r="T403" s="2168"/>
      <c r="U403" s="2215"/>
      <c r="V403" s="2168"/>
      <c r="W403" s="2168"/>
      <c r="X403" s="2168"/>
      <c r="Y403" s="2168"/>
      <c r="Z403" s="2215"/>
      <c r="AA403" s="2168"/>
      <c r="AB403" s="2168"/>
      <c r="AC403" s="2168"/>
      <c r="AD403" s="2168"/>
      <c r="AE403" s="2215"/>
      <c r="AF403" s="2120"/>
      <c r="AG403" s="2120"/>
      <c r="AH403" s="2120"/>
      <c r="AI403" s="2120"/>
      <c r="AJ403" s="2215"/>
      <c r="AK403" s="2120"/>
      <c r="AL403" s="2120"/>
      <c r="AM403" s="2120"/>
      <c r="AN403" s="2120"/>
      <c r="AO403" s="2215"/>
      <c r="AP403" s="2120"/>
      <c r="AQ403" s="2120"/>
      <c r="AR403" s="2120"/>
      <c r="AS403" s="2120"/>
      <c r="AT403" s="2215"/>
      <c r="AU403" s="2120"/>
      <c r="AV403" s="2120"/>
      <c r="AW403" s="2120"/>
      <c r="AX403" s="2120"/>
      <c r="AY403" s="2215"/>
      <c r="AZ403" s="2120"/>
      <c r="BA403" s="2120"/>
      <c r="BB403" s="2120"/>
      <c r="BC403" s="2120"/>
      <c r="BD403" s="2215"/>
      <c r="BE403" s="2120"/>
      <c r="BF403" s="2120"/>
      <c r="BG403" s="2120"/>
      <c r="BH403" s="2120"/>
      <c r="BI403" s="2215"/>
      <c r="BJ403" s="2120"/>
      <c r="BK403" s="2120"/>
      <c r="BL403" s="2120"/>
      <c r="BM403" s="2120"/>
      <c r="BN403" s="2215"/>
      <c r="BO403" s="2168"/>
      <c r="BP403" s="2168"/>
      <c r="BQ403" s="2168"/>
      <c r="BR403" s="2168"/>
      <c r="BS403" s="2168"/>
      <c r="BT403" s="2168"/>
      <c r="BU403" s="2168"/>
      <c r="BV403" s="2168"/>
      <c r="BW403" s="2168"/>
      <c r="BX403" s="2168"/>
      <c r="BY403" s="2120"/>
      <c r="BZ403" s="2215"/>
      <c r="CA403" s="2215"/>
      <c r="CB403" s="2215"/>
      <c r="CC403" s="2215"/>
      <c r="CD403" s="2215"/>
      <c r="CE403" s="2215"/>
      <c r="CF403" s="2215"/>
    </row>
    <row r="404" spans="1:87" hidden="1" outlineLevel="1">
      <c r="A404" s="2120" t="str">
        <f>A324</f>
        <v>Office Business (+ Dynamics and Unified Communications)</v>
      </c>
      <c r="B404" s="2168"/>
      <c r="C404" s="2168"/>
      <c r="D404" s="2168"/>
      <c r="E404" s="2168"/>
      <c r="F404" s="2215"/>
      <c r="G404" s="2168"/>
      <c r="H404" s="2168"/>
      <c r="I404" s="2168"/>
      <c r="J404" s="2168"/>
      <c r="K404" s="2215"/>
      <c r="L404" s="2168"/>
      <c r="M404" s="2168"/>
      <c r="N404" s="2168"/>
      <c r="O404" s="2168"/>
      <c r="P404" s="2215"/>
      <c r="Q404" s="2168"/>
      <c r="R404" s="2168"/>
      <c r="S404" s="2168"/>
      <c r="T404" s="2168"/>
      <c r="U404" s="2215"/>
      <c r="V404" s="2168"/>
      <c r="W404" s="2168"/>
      <c r="X404" s="2168"/>
      <c r="Y404" s="2168"/>
      <c r="Z404" s="2215"/>
      <c r="AA404" s="2168"/>
      <c r="AB404" s="2168"/>
      <c r="AC404" s="2168"/>
      <c r="AD404" s="2168"/>
      <c r="AE404" s="2223">
        <f>AE324</f>
        <v>18482.804369714591</v>
      </c>
      <c r="AF404" s="2144">
        <f>AF324</f>
        <v>4090.319998453585</v>
      </c>
      <c r="AG404" s="2144">
        <f>AG324</f>
        <v>4890.6334422283726</v>
      </c>
      <c r="AH404" s="2144">
        <f>AH324</f>
        <v>5106.9545454545441</v>
      </c>
      <c r="AI404" s="2144">
        <f>AI324</f>
        <v>5153.0789473684199</v>
      </c>
      <c r="AJ404" s="2223">
        <f>SUM(AF404:AI404)</f>
        <v>19240.986933504922</v>
      </c>
      <c r="AK404" s="2144">
        <f>AK324</f>
        <v>4966.0499999999993</v>
      </c>
      <c r="AL404" s="2144">
        <f>AL324</f>
        <v>5110.7119471286487</v>
      </c>
      <c r="AM404" s="2144">
        <f>AM324</f>
        <v>5387.8370454545438</v>
      </c>
      <c r="AN404" s="2144">
        <f>AN324</f>
        <v>5333.4367105263145</v>
      </c>
      <c r="AO404" s="2223">
        <f>SUM(AK404:AN404)</f>
        <v>20798.035703109508</v>
      </c>
      <c r="AP404" s="2144">
        <f>AP324</f>
        <v>4618.4264999999996</v>
      </c>
      <c r="AQ404" s="2144">
        <f>AQ324</f>
        <v>4471.8729537375675</v>
      </c>
      <c r="AR404" s="2144">
        <f>AR324</f>
        <v>4525.7831181818165</v>
      </c>
      <c r="AS404" s="2144">
        <f>AS324</f>
        <v>4373.4181026315782</v>
      </c>
      <c r="AT404" s="2223">
        <f>SUM(AP404:AS404)</f>
        <v>17989.50067455096</v>
      </c>
      <c r="AU404" s="2144">
        <f>AP404*(1+AU405)</f>
        <v>3925.6625249999997</v>
      </c>
      <c r="AV404" s="2144">
        <f>AQ404*(1+AV405)</f>
        <v>3801.0920106769322</v>
      </c>
      <c r="AW404" s="2144">
        <f>AR404*(1+AW405)</f>
        <v>3982.6891439999986</v>
      </c>
      <c r="AX404" s="2144">
        <f>AS404*(1+AX405)</f>
        <v>3848.607930315789</v>
      </c>
      <c r="AY404" s="2223">
        <f>SUM(AU404:AX404)</f>
        <v>15558.051609992719</v>
      </c>
      <c r="AZ404" s="2144"/>
      <c r="BA404" s="2144"/>
      <c r="BB404" s="2144"/>
      <c r="BC404" s="2144"/>
      <c r="BD404" s="2223"/>
      <c r="BE404" s="2144"/>
      <c r="BF404" s="2144"/>
      <c r="BG404" s="2144"/>
      <c r="BH404" s="2144"/>
      <c r="BI404" s="2223"/>
      <c r="BJ404" s="2144"/>
      <c r="BK404" s="2144"/>
      <c r="BL404" s="2144"/>
      <c r="BM404" s="2144"/>
      <c r="BN404" s="2223"/>
      <c r="BO404" s="2638"/>
      <c r="BP404" s="2638"/>
      <c r="BQ404" s="2638"/>
      <c r="BR404" s="2638"/>
      <c r="BS404" s="2638"/>
      <c r="BT404" s="2638"/>
      <c r="BU404" s="2638"/>
      <c r="BV404" s="2638"/>
      <c r="BW404" s="2638"/>
      <c r="BX404" s="2638"/>
      <c r="BY404" s="2120"/>
      <c r="BZ404" s="2223"/>
      <c r="CA404" s="2223"/>
      <c r="CB404" s="2223">
        <f>SUM(AM404:AN404,AP404:AQ404)</f>
        <v>19811.573209718426</v>
      </c>
      <c r="CC404" s="2223">
        <f>SUM(AR404:AS404,AU404:AV404)</f>
        <v>16625.955756490326</v>
      </c>
      <c r="CD404" s="2223">
        <f>SUM(AW404:AX404,AZ404:BA404)</f>
        <v>7831.2970743157875</v>
      </c>
      <c r="CE404" s="2223">
        <f>SUM(BB404:BC404,BE404:BF404)</f>
        <v>0</v>
      </c>
      <c r="CF404" s="2223"/>
    </row>
    <row r="405" spans="1:87" s="1022" customFormat="1" hidden="1" outlineLevel="1">
      <c r="A405" s="2184" t="s">
        <v>926</v>
      </c>
      <c r="B405" s="2185"/>
      <c r="C405" s="2185"/>
      <c r="D405" s="2185"/>
      <c r="E405" s="2185"/>
      <c r="F405" s="2186"/>
      <c r="G405" s="2185"/>
      <c r="H405" s="2185"/>
      <c r="I405" s="2185"/>
      <c r="J405" s="2185"/>
      <c r="K405" s="2186"/>
      <c r="L405" s="2185"/>
      <c r="M405" s="2185"/>
      <c r="N405" s="2185"/>
      <c r="O405" s="2185"/>
      <c r="P405" s="2186"/>
      <c r="Q405" s="2185"/>
      <c r="R405" s="2185"/>
      <c r="S405" s="2185"/>
      <c r="T405" s="2185"/>
      <c r="U405" s="2186"/>
      <c r="V405" s="2185"/>
      <c r="W405" s="2185"/>
      <c r="X405" s="2185"/>
      <c r="Y405" s="2185"/>
      <c r="Z405" s="2186"/>
      <c r="AA405" s="2185"/>
      <c r="AB405" s="2185"/>
      <c r="AC405" s="2185"/>
      <c r="AD405" s="2185"/>
      <c r="AE405" s="2186"/>
      <c r="AF405" s="2148"/>
      <c r="AG405" s="2185"/>
      <c r="AH405" s="2185"/>
      <c r="AI405" s="2185"/>
      <c r="AJ405" s="2187">
        <f t="shared" ref="AJ405:AS405" si="549">IF(ISERROR(AJ404/AE404-1),,(AJ404/AE404-1))</f>
        <v>4.1020970012141111E-2</v>
      </c>
      <c r="AK405" s="2188">
        <f t="shared" si="549"/>
        <v>0.21409816392788317</v>
      </c>
      <c r="AL405" s="2188">
        <f t="shared" si="549"/>
        <v>4.4999999999999929E-2</v>
      </c>
      <c r="AM405" s="2188">
        <f t="shared" si="549"/>
        <v>5.4999999999999938E-2</v>
      </c>
      <c r="AN405" s="2188">
        <f t="shared" si="549"/>
        <v>3.499999999999992E-2</v>
      </c>
      <c r="AO405" s="2187">
        <f t="shared" si="549"/>
        <v>8.0923539680454182E-2</v>
      </c>
      <c r="AP405" s="2188">
        <f t="shared" si="549"/>
        <v>-6.9999999999999951E-2</v>
      </c>
      <c r="AQ405" s="2188">
        <f t="shared" si="549"/>
        <v>-0.125</v>
      </c>
      <c r="AR405" s="2188">
        <f t="shared" si="549"/>
        <v>-0.16000000000000003</v>
      </c>
      <c r="AS405" s="2188">
        <f t="shared" si="549"/>
        <v>-0.17999999999999994</v>
      </c>
      <c r="AT405" s="2187">
        <f>IF(ISERROR(AT404/AO404-1),,(AT404/AO404-1))</f>
        <v>-0.13503847520266754</v>
      </c>
      <c r="AU405" s="2188">
        <v>-0.15</v>
      </c>
      <c r="AV405" s="2188">
        <v>-0.15</v>
      </c>
      <c r="AW405" s="2202">
        <v>-0.12</v>
      </c>
      <c r="AX405" s="2188">
        <v>-0.12</v>
      </c>
      <c r="AY405" s="2187">
        <f>IF(ISERROR(AY404/AT404-1),,(AY404/AT404-1))</f>
        <v>-0.13515934147065667</v>
      </c>
      <c r="AZ405" s="2202"/>
      <c r="BA405" s="2202"/>
      <c r="BB405" s="2202"/>
      <c r="BC405" s="2202"/>
      <c r="BD405" s="2187"/>
      <c r="BE405" s="2202"/>
      <c r="BF405" s="2202"/>
      <c r="BG405" s="2202"/>
      <c r="BH405" s="2202"/>
      <c r="BI405" s="2187"/>
      <c r="BJ405" s="2202"/>
      <c r="BK405" s="2202"/>
      <c r="BL405" s="2202"/>
      <c r="BM405" s="2202"/>
      <c r="BN405" s="2187"/>
      <c r="BO405" s="2188"/>
      <c r="BP405" s="2188"/>
      <c r="BQ405" s="2188"/>
      <c r="BR405" s="2188"/>
      <c r="BS405" s="2188"/>
      <c r="BT405" s="2188"/>
      <c r="BU405" s="2188"/>
      <c r="BV405" s="2188"/>
      <c r="BW405" s="2188"/>
      <c r="BX405" s="2188"/>
      <c r="BY405" s="2189"/>
      <c r="BZ405" s="2187"/>
      <c r="CA405" s="2187"/>
      <c r="CB405" s="2187"/>
      <c r="CC405" s="2187"/>
      <c r="CD405" s="2187"/>
      <c r="CE405" s="2187"/>
      <c r="CF405" s="2187"/>
    </row>
    <row r="406" spans="1:87" s="1022" customFormat="1" hidden="1" outlineLevel="1">
      <c r="A406" s="2184" t="s">
        <v>952</v>
      </c>
      <c r="B406" s="2185"/>
      <c r="C406" s="2185"/>
      <c r="D406" s="2185"/>
      <c r="E406" s="2185"/>
      <c r="F406" s="2186"/>
      <c r="G406" s="2185"/>
      <c r="H406" s="2185"/>
      <c r="I406" s="2185"/>
      <c r="J406" s="2185"/>
      <c r="K406" s="2186"/>
      <c r="L406" s="2185"/>
      <c r="M406" s="2185"/>
      <c r="N406" s="2185"/>
      <c r="O406" s="2185"/>
      <c r="P406" s="2186"/>
      <c r="Q406" s="2185"/>
      <c r="R406" s="2185"/>
      <c r="S406" s="2185"/>
      <c r="T406" s="2185"/>
      <c r="U406" s="2186"/>
      <c r="V406" s="2185"/>
      <c r="W406" s="2185"/>
      <c r="X406" s="2185"/>
      <c r="Y406" s="2185"/>
      <c r="Z406" s="2186"/>
      <c r="AA406" s="2185"/>
      <c r="AB406" s="2185"/>
      <c r="AC406" s="2185"/>
      <c r="AD406" s="2185"/>
      <c r="AE406" s="2186"/>
      <c r="AF406" s="2148"/>
      <c r="AG406" s="2188">
        <f>IF(ISERROR(AG404/AF404-1),,(AG404/AF404-1))</f>
        <v>0.1956603503093548</v>
      </c>
      <c r="AH406" s="2188">
        <f>IF(ISERROR(AH404/AG404-1),,(AH404/AG404-1))</f>
        <v>4.4231714721929105E-2</v>
      </c>
      <c r="AI406" s="2188">
        <f>IF(ISERROR(AI404/AH404-1),,(AI404/AH404-1))</f>
        <v>9.0316844419398024E-3</v>
      </c>
      <c r="AJ406" s="2187"/>
      <c r="AK406" s="2188">
        <f>IF(ISERROR(AK404/AI404-1),,(AK404/AI404-1))</f>
        <v>-3.6294601592302911E-2</v>
      </c>
      <c r="AL406" s="2188">
        <f>IF(ISERROR(AL404/AK404-1),,(AL404/AK404-1))</f>
        <v>2.9130183370817742E-2</v>
      </c>
      <c r="AM406" s="2188">
        <f>IF(ISERROR(AM404/AL404-1),,(AM404/AL404-1))</f>
        <v>5.422436270969877E-2</v>
      </c>
      <c r="AN406" s="2188">
        <f>IF(ISERROR(AN404/AM404-1),,(AN404/AM404-1))</f>
        <v>-1.0096878296295908E-2</v>
      </c>
      <c r="AO406" s="2187"/>
      <c r="AP406" s="2188">
        <f>IF(ISERROR(AP404/AN404-1),,(AP404/AN404-1))</f>
        <v>-0.13406181592351851</v>
      </c>
      <c r="AQ406" s="2188">
        <f>IF(ISERROR(AQ404/AP404-1),,(AQ404/AP404-1))</f>
        <v>-3.1732354355413439E-2</v>
      </c>
      <c r="AR406" s="2188">
        <f>IF(ISERROR(AR404/AQ404-1),,(AR404/AQ404-1))</f>
        <v>1.2055388201310802E-2</v>
      </c>
      <c r="AS406" s="2188">
        <f>IF(ISERROR(AS404/AR404-1),,(AS404/AR404-1))</f>
        <v>-3.366600024162214E-2</v>
      </c>
      <c r="AT406" s="2187"/>
      <c r="AU406" s="2188">
        <f>IF(ISERROR(AU404/AS404-1),,(AU404/AS404-1))</f>
        <v>-0.10238115065242781</v>
      </c>
      <c r="AV406" s="2188">
        <f>IF(ISERROR(AV404/AU404-1),,(AV404/AU404-1))</f>
        <v>-3.173235435541355E-2</v>
      </c>
      <c r="AW406" s="2188">
        <f>IF(ISERROR(AW404/AV404-1),,(AW404/AV404-1))</f>
        <v>4.7774990137827711E-2</v>
      </c>
      <c r="AX406" s="2188">
        <f>IF(ISERROR(AX404/AW404-1),,(AX404/AW404-1))</f>
        <v>-3.366600024162214E-2</v>
      </c>
      <c r="AY406" s="2187"/>
      <c r="AZ406" s="2188"/>
      <c r="BA406" s="2188"/>
      <c r="BB406" s="2188"/>
      <c r="BC406" s="2188"/>
      <c r="BD406" s="2187"/>
      <c r="BE406" s="2188"/>
      <c r="BF406" s="2188"/>
      <c r="BG406" s="2188"/>
      <c r="BH406" s="2188"/>
      <c r="BI406" s="2187"/>
      <c r="BJ406" s="2188"/>
      <c r="BK406" s="2188"/>
      <c r="BL406" s="2188"/>
      <c r="BM406" s="2188"/>
      <c r="BN406" s="2187"/>
      <c r="BO406" s="2188"/>
      <c r="BP406" s="2188"/>
      <c r="BQ406" s="2188"/>
      <c r="BR406" s="2188"/>
      <c r="BS406" s="2188"/>
      <c r="BT406" s="2188"/>
      <c r="BU406" s="2188"/>
      <c r="BV406" s="2188"/>
      <c r="BW406" s="2188"/>
      <c r="BX406" s="2188"/>
      <c r="BY406" s="2189"/>
      <c r="BZ406" s="2187"/>
      <c r="CA406" s="2187"/>
      <c r="CB406" s="2187"/>
      <c r="CC406" s="2187"/>
      <c r="CD406" s="2187"/>
      <c r="CE406" s="2187"/>
      <c r="CF406" s="2187"/>
    </row>
    <row r="407" spans="1:87" ht="8.25" hidden="1" customHeight="1" outlineLevel="1" thickBot="1">
      <c r="A407" s="2120"/>
      <c r="B407" s="2168"/>
      <c r="C407" s="2168"/>
      <c r="D407" s="2168"/>
      <c r="E407" s="2168"/>
      <c r="F407" s="2215"/>
      <c r="G407" s="2168"/>
      <c r="H407" s="2168"/>
      <c r="I407" s="2168"/>
      <c r="J407" s="2168"/>
      <c r="K407" s="2215"/>
      <c r="L407" s="2168"/>
      <c r="M407" s="2168"/>
      <c r="N407" s="2168"/>
      <c r="O407" s="2168"/>
      <c r="P407" s="2215"/>
      <c r="Q407" s="2168"/>
      <c r="R407" s="2168"/>
      <c r="S407" s="2168"/>
      <c r="T407" s="2168"/>
      <c r="U407" s="2215"/>
      <c r="V407" s="2168"/>
      <c r="W407" s="2168"/>
      <c r="X407" s="2168"/>
      <c r="Y407" s="2168"/>
      <c r="Z407" s="2215"/>
      <c r="AA407" s="2168"/>
      <c r="AB407" s="2168"/>
      <c r="AC407" s="2168"/>
      <c r="AD407" s="2168"/>
      <c r="AE407" s="2215"/>
      <c r="AF407" s="2120"/>
      <c r="AG407" s="2120"/>
      <c r="AH407" s="2120"/>
      <c r="AI407" s="2120"/>
      <c r="AJ407" s="2215"/>
      <c r="AK407" s="2120"/>
      <c r="AL407" s="2120"/>
      <c r="AM407" s="2120"/>
      <c r="AN407" s="2120"/>
      <c r="AO407" s="2215"/>
      <c r="AP407" s="2120"/>
      <c r="AQ407" s="2120"/>
      <c r="AR407" s="2120"/>
      <c r="AS407" s="2120"/>
      <c r="AT407" s="2215"/>
      <c r="AU407" s="2120"/>
      <c r="AV407" s="2120"/>
      <c r="AW407" s="2120"/>
      <c r="AX407" s="2120"/>
      <c r="AY407" s="2215"/>
      <c r="AZ407" s="2120"/>
      <c r="BA407" s="2120"/>
      <c r="BB407" s="2120"/>
      <c r="BC407" s="2120"/>
      <c r="BD407" s="2215"/>
      <c r="BE407" s="2120"/>
      <c r="BF407" s="2120"/>
      <c r="BG407" s="2120"/>
      <c r="BH407" s="2120"/>
      <c r="BI407" s="2215"/>
      <c r="BJ407" s="2120"/>
      <c r="BK407" s="2120"/>
      <c r="BL407" s="2120"/>
      <c r="BM407" s="2120"/>
      <c r="BN407" s="2215"/>
      <c r="BO407" s="2168"/>
      <c r="BP407" s="2168"/>
      <c r="BQ407" s="2168"/>
      <c r="BR407" s="2168"/>
      <c r="BS407" s="2168"/>
      <c r="BT407" s="2168"/>
      <c r="BU407" s="2168"/>
      <c r="BV407" s="2168"/>
      <c r="BW407" s="2168"/>
      <c r="BX407" s="2168"/>
      <c r="BY407" s="2120"/>
      <c r="BZ407" s="2215"/>
      <c r="CA407" s="2215"/>
      <c r="CB407" s="2215"/>
      <c r="CC407" s="2215"/>
      <c r="CD407" s="2215"/>
      <c r="CE407" s="2215"/>
      <c r="CF407" s="2215"/>
    </row>
    <row r="408" spans="1:87" s="1011" customFormat="1" ht="13.5" hidden="1" outlineLevel="1" thickBot="1">
      <c r="A408" s="2206" t="s">
        <v>974</v>
      </c>
      <c r="B408" s="2207">
        <f>B233+B236+B239+B246+B249+B383</f>
        <v>0</v>
      </c>
      <c r="C408" s="2207">
        <f>C233+C236+C239+C246+C249+C383</f>
        <v>0</v>
      </c>
      <c r="D408" s="2207">
        <f>D233+D236+D239+D246+D249+D383</f>
        <v>0</v>
      </c>
      <c r="E408" s="2207">
        <f>E233+E236+E239+E246+E249+E383</f>
        <v>0</v>
      </c>
      <c r="F408" s="2208">
        <f>SUM(B408:E408)</f>
        <v>0</v>
      </c>
      <c r="G408" s="2207">
        <f>G233+G236+G239+G246+G249+G383</f>
        <v>0</v>
      </c>
      <c r="H408" s="2207">
        <f>H233+H236+H239+H246+H249+H383</f>
        <v>0</v>
      </c>
      <c r="I408" s="2207">
        <f>I233+I236+I239+I246+I249+I383</f>
        <v>0</v>
      </c>
      <c r="J408" s="2207">
        <f>J233+J236+J239+J246+J249+J383</f>
        <v>0</v>
      </c>
      <c r="K408" s="2208">
        <f>SUM(G408:J408)</f>
        <v>0</v>
      </c>
      <c r="L408" s="2207">
        <f>L233+L236+L239+L246+L249+L383</f>
        <v>0</v>
      </c>
      <c r="M408" s="2207">
        <f>M233+M236+M239+M246+M249+M383</f>
        <v>0</v>
      </c>
      <c r="N408" s="2207">
        <f>N233+N236+N239+N246+N249+N383</f>
        <v>0</v>
      </c>
      <c r="O408" s="2207">
        <f>O233+O236+O239+O246+O249+O383</f>
        <v>0</v>
      </c>
      <c r="P408" s="2208">
        <f>SUM(L408:O408)</f>
        <v>0</v>
      </c>
      <c r="Q408" s="2207">
        <f>Q233+Q236+Q239+Q246+Q249+Q383</f>
        <v>0</v>
      </c>
      <c r="R408" s="2207">
        <f>R233+R236+R239+R246+R249+R383</f>
        <v>0</v>
      </c>
      <c r="S408" s="2207">
        <f>S233+S236+S239+S246+S249+S383</f>
        <v>0</v>
      </c>
      <c r="T408" s="2207">
        <f>T233+T236+T239+T246+T249+T383</f>
        <v>0</v>
      </c>
      <c r="U408" s="2208">
        <f>SUM(Q408:T408)</f>
        <v>0</v>
      </c>
      <c r="V408" s="2207">
        <f>V233+V236+V239+V246+V249+V383</f>
        <v>0</v>
      </c>
      <c r="W408" s="2207">
        <f>W233+W236+W239+W246+W249+W383</f>
        <v>0</v>
      </c>
      <c r="X408" s="2207">
        <f>X233+X236+X239+X246+X249+X383</f>
        <v>0</v>
      </c>
      <c r="Y408" s="2207">
        <f>Y233+Y236+Y239+Y246+Y249+Y383</f>
        <v>0</v>
      </c>
      <c r="Z408" s="2208">
        <f>SUM(V408:Y408)</f>
        <v>0</v>
      </c>
      <c r="AA408" s="2207">
        <f>AA233+AA236+AA239+AA246+AA249+AA383</f>
        <v>0</v>
      </c>
      <c r="AB408" s="2207">
        <f>AB233+AB236+AB239+AB246+AB249+AB383</f>
        <v>0</v>
      </c>
      <c r="AC408" s="2207">
        <f>AC233+AC236+AC239+AC246+AC249+AC383</f>
        <v>0</v>
      </c>
      <c r="AD408" s="2207">
        <f>AD233+AD236+AD239+AD246+AD249+AD383</f>
        <v>0</v>
      </c>
      <c r="AE408" s="2208">
        <f>AE404+AE400+AE396+AE392</f>
        <v>37126</v>
      </c>
      <c r="AF408" s="2207">
        <f t="shared" ref="AF408:AX408" si="550">AF404+AF400+AF396+AF392</f>
        <v>8945</v>
      </c>
      <c r="AG408" s="2207">
        <f t="shared" si="550"/>
        <v>10135</v>
      </c>
      <c r="AH408" s="2207">
        <f t="shared" si="550"/>
        <v>9979</v>
      </c>
      <c r="AI408" s="2207">
        <f t="shared" si="550"/>
        <v>10627</v>
      </c>
      <c r="AJ408" s="2208">
        <f>SUM(AF408:AI408)</f>
        <v>39686</v>
      </c>
      <c r="AK408" s="2207">
        <f t="shared" si="550"/>
        <v>9611</v>
      </c>
      <c r="AL408" s="2207">
        <f t="shared" si="550"/>
        <v>10906</v>
      </c>
      <c r="AM408" s="2207">
        <f t="shared" si="550"/>
        <v>10335</v>
      </c>
      <c r="AN408" s="2207">
        <f t="shared" si="550"/>
        <v>11233</v>
      </c>
      <c r="AO408" s="2208">
        <f>SUM(AK408:AN408)</f>
        <v>42085</v>
      </c>
      <c r="AP408" s="2207">
        <f t="shared" si="550"/>
        <v>9873</v>
      </c>
      <c r="AQ408" s="2207">
        <f>AQ404+AQ400+AQ396+AQ392</f>
        <v>10679</v>
      </c>
      <c r="AR408" s="2207">
        <f>AR404+AR400+AR396+AR392</f>
        <v>10036</v>
      </c>
      <c r="AS408" s="2207">
        <f t="shared" si="550"/>
        <v>10451</v>
      </c>
      <c r="AT408" s="2208">
        <f>SUM(AP408:AS408)</f>
        <v>41039</v>
      </c>
      <c r="AU408" s="2207">
        <f t="shared" si="550"/>
        <v>9146.1624449999999</v>
      </c>
      <c r="AV408" s="2207">
        <f t="shared" si="550"/>
        <v>10067.900937773142</v>
      </c>
      <c r="AW408" s="2207">
        <f t="shared" si="550"/>
        <v>9628.0162758181832</v>
      </c>
      <c r="AX408" s="2207">
        <f t="shared" si="550"/>
        <v>10292.924965631581</v>
      </c>
      <c r="AY408" s="2208">
        <f>SUM(AU408:AX408)</f>
        <v>39135.004624222907</v>
      </c>
      <c r="AZ408" s="2207"/>
      <c r="BA408" s="2207"/>
      <c r="BB408" s="2207"/>
      <c r="BC408" s="2207"/>
      <c r="BD408" s="2208"/>
      <c r="BE408" s="2207"/>
      <c r="BF408" s="2207"/>
      <c r="BG408" s="2207"/>
      <c r="BH408" s="2207"/>
      <c r="BI408" s="2208"/>
      <c r="BJ408" s="2207"/>
      <c r="BK408" s="2207"/>
      <c r="BL408" s="2207"/>
      <c r="BM408" s="2207"/>
      <c r="BN408" s="2208"/>
      <c r="BO408" s="2138"/>
      <c r="BP408" s="2138"/>
      <c r="BQ408" s="2138"/>
      <c r="BR408" s="2138"/>
      <c r="BS408" s="2138"/>
      <c r="BT408" s="2138"/>
      <c r="BU408" s="2138"/>
      <c r="BV408" s="2138"/>
      <c r="BW408" s="2138"/>
      <c r="BX408" s="2138"/>
      <c r="BY408" s="2200"/>
      <c r="BZ408" s="2208"/>
      <c r="CA408" s="2208"/>
      <c r="CB408" s="2208">
        <f>SUM(AM408:AN408,AP408:AQ408)</f>
        <v>42120</v>
      </c>
      <c r="CC408" s="2208">
        <f>SUM(AR408:AS408,AU408:AV408)</f>
        <v>39701.063382773144</v>
      </c>
      <c r="CD408" s="2208">
        <f>SUM(AW408:AX408,AZ408:BA408)</f>
        <v>19920.941241449764</v>
      </c>
      <c r="CE408" s="2208">
        <f>SUM(BB408:BC408,BE408:BF408)</f>
        <v>0</v>
      </c>
      <c r="CF408" s="2208"/>
      <c r="CI408" s="1072"/>
    </row>
    <row r="409" spans="1:87" s="1022" customFormat="1" hidden="1" outlineLevel="1">
      <c r="A409" s="2184" t="s">
        <v>926</v>
      </c>
      <c r="B409" s="2185"/>
      <c r="C409" s="2185"/>
      <c r="D409" s="2185"/>
      <c r="E409" s="2185"/>
      <c r="F409" s="2186"/>
      <c r="G409" s="2185"/>
      <c r="H409" s="2185"/>
      <c r="I409" s="2185"/>
      <c r="J409" s="2185"/>
      <c r="K409" s="2186"/>
      <c r="L409" s="2185"/>
      <c r="M409" s="2185"/>
      <c r="N409" s="2185"/>
      <c r="O409" s="2185"/>
      <c r="P409" s="2186"/>
      <c r="Q409" s="2185"/>
      <c r="R409" s="2185"/>
      <c r="S409" s="2185"/>
      <c r="T409" s="2185"/>
      <c r="U409" s="2186"/>
      <c r="V409" s="2185"/>
      <c r="W409" s="2185"/>
      <c r="X409" s="2185"/>
      <c r="Y409" s="2185"/>
      <c r="Z409" s="2186"/>
      <c r="AA409" s="2188"/>
      <c r="AB409" s="2188"/>
      <c r="AC409" s="2188"/>
      <c r="AD409" s="2188"/>
      <c r="AE409" s="2186"/>
      <c r="AF409" s="2188">
        <f t="shared" ref="AF409:AY409" si="551">IF(ISERROR(AF408/AA408-1),,(AF408/AA408-1))</f>
        <v>0</v>
      </c>
      <c r="AG409" s="2188">
        <f t="shared" si="551"/>
        <v>0</v>
      </c>
      <c r="AH409" s="2188">
        <f t="shared" si="551"/>
        <v>0</v>
      </c>
      <c r="AI409" s="2188">
        <f t="shared" si="551"/>
        <v>0</v>
      </c>
      <c r="AJ409" s="2187">
        <f t="shared" si="551"/>
        <v>6.8954371599418307E-2</v>
      </c>
      <c r="AK409" s="2188">
        <f t="shared" si="551"/>
        <v>7.4455002794857394E-2</v>
      </c>
      <c r="AL409" s="2188">
        <f t="shared" si="551"/>
        <v>7.6073014306857534E-2</v>
      </c>
      <c r="AM409" s="2188">
        <f t="shared" si="551"/>
        <v>3.5674917326385502E-2</v>
      </c>
      <c r="AN409" s="2188">
        <f t="shared" si="551"/>
        <v>5.7024560082807874E-2</v>
      </c>
      <c r="AO409" s="2187">
        <f t="shared" si="551"/>
        <v>6.0449528801088448E-2</v>
      </c>
      <c r="AP409" s="2188">
        <f t="shared" si="551"/>
        <v>2.7260430756425036E-2</v>
      </c>
      <c r="AQ409" s="2188">
        <f t="shared" si="551"/>
        <v>-2.0814230698697922E-2</v>
      </c>
      <c r="AR409" s="2188">
        <f t="shared" si="551"/>
        <v>-2.8930817610062887E-2</v>
      </c>
      <c r="AS409" s="2188">
        <f t="shared" si="551"/>
        <v>-6.9616309089290507E-2</v>
      </c>
      <c r="AT409" s="2187">
        <f t="shared" si="551"/>
        <v>-2.4854461209457002E-2</v>
      </c>
      <c r="AU409" s="2188">
        <f t="shared" si="551"/>
        <v>-7.3618713157095117E-2</v>
      </c>
      <c r="AV409" s="2188">
        <f t="shared" si="551"/>
        <v>-5.7224371404331675E-2</v>
      </c>
      <c r="AW409" s="2188">
        <f t="shared" si="551"/>
        <v>-4.0652025127721925E-2</v>
      </c>
      <c r="AX409" s="2188">
        <f t="shared" si="551"/>
        <v>-1.5125350145289373E-2</v>
      </c>
      <c r="AY409" s="2187">
        <f t="shared" si="551"/>
        <v>-4.6394779984334278E-2</v>
      </c>
      <c r="AZ409" s="2188"/>
      <c r="BA409" s="2188"/>
      <c r="BB409" s="2188"/>
      <c r="BC409" s="2188"/>
      <c r="BD409" s="2187"/>
      <c r="BE409" s="2188"/>
      <c r="BF409" s="2188"/>
      <c r="BG409" s="2188"/>
      <c r="BH409" s="2188"/>
      <c r="BI409" s="2187"/>
      <c r="BJ409" s="2188"/>
      <c r="BK409" s="2188"/>
      <c r="BL409" s="2188"/>
      <c r="BM409" s="2188"/>
      <c r="BN409" s="2187"/>
      <c r="BO409" s="2188"/>
      <c r="BP409" s="2188"/>
      <c r="BQ409" s="2188"/>
      <c r="BR409" s="2188"/>
      <c r="BS409" s="2188"/>
      <c r="BT409" s="2188"/>
      <c r="BU409" s="2188"/>
      <c r="BV409" s="2188"/>
      <c r="BW409" s="2188"/>
      <c r="BX409" s="2188"/>
      <c r="BY409" s="2189"/>
      <c r="BZ409" s="2187"/>
      <c r="CA409" s="2187"/>
      <c r="CB409" s="2187"/>
      <c r="CC409" s="2187"/>
      <c r="CD409" s="2187"/>
      <c r="CE409" s="2187"/>
      <c r="CF409" s="2187"/>
      <c r="CG409" s="1233"/>
      <c r="CH409" s="1233"/>
    </row>
    <row r="410" spans="1:87" s="1022" customFormat="1" hidden="1" outlineLevel="1">
      <c r="A410" s="2184" t="s">
        <v>952</v>
      </c>
      <c r="B410" s="2185"/>
      <c r="C410" s="2185"/>
      <c r="D410" s="2185"/>
      <c r="E410" s="2185"/>
      <c r="F410" s="2186"/>
      <c r="G410" s="2185"/>
      <c r="H410" s="2185"/>
      <c r="I410" s="2185"/>
      <c r="J410" s="2185"/>
      <c r="K410" s="2186"/>
      <c r="L410" s="2185"/>
      <c r="M410" s="2185"/>
      <c r="N410" s="2185"/>
      <c r="O410" s="2185"/>
      <c r="P410" s="2186"/>
      <c r="Q410" s="2185"/>
      <c r="R410" s="2185"/>
      <c r="S410" s="2185"/>
      <c r="T410" s="2185"/>
      <c r="U410" s="2186"/>
      <c r="V410" s="2185"/>
      <c r="W410" s="2185"/>
      <c r="X410" s="2185"/>
      <c r="Y410" s="2185"/>
      <c r="Z410" s="2186"/>
      <c r="AA410" s="2209"/>
      <c r="AB410" s="2188"/>
      <c r="AC410" s="2188"/>
      <c r="AD410" s="2188"/>
      <c r="AE410" s="2186"/>
      <c r="AF410" s="2188">
        <f>IF(ISERROR(AF408/AD408-1),,(AF408/AD408-1))</f>
        <v>0</v>
      </c>
      <c r="AG410" s="2188">
        <f>IF(ISERROR(AG408/AF408-1),,(AG408/AF408-1))</f>
        <v>0.13303521520402461</v>
      </c>
      <c r="AH410" s="2188">
        <f>IF(ISERROR(AH408/AG408-1),,(AH408/AG408-1))</f>
        <v>-1.53922052294031E-2</v>
      </c>
      <c r="AI410" s="2188">
        <f>IF(ISERROR(AI408/AH408-1),,(AI408/AH408-1))</f>
        <v>6.4936366369375609E-2</v>
      </c>
      <c r="AJ410" s="2187"/>
      <c r="AK410" s="2188">
        <f>IF(ISERROR(AK408/AI408-1),,(AK408/AI408-1))</f>
        <v>-9.5605533076126847E-2</v>
      </c>
      <c r="AL410" s="2188">
        <f>IF(ISERROR(AL408/AK408-1),,(AL408/AK408-1))</f>
        <v>0.13474144209759653</v>
      </c>
      <c r="AM410" s="2188">
        <f>IF(ISERROR(AM408/AL408-1),,(AM408/AL408-1))</f>
        <v>-5.2356501008619105E-2</v>
      </c>
      <c r="AN410" s="2188">
        <f>IF(ISERROR(AN408/AM408-1),,(AN408/AM408-1))</f>
        <v>8.6889211417513268E-2</v>
      </c>
      <c r="AO410" s="2187"/>
      <c r="AP410" s="2188">
        <f>IF(ISERROR(AP408/AN408-1),,(AP408/AN408-1))</f>
        <v>-0.12107184189441822</v>
      </c>
      <c r="AQ410" s="2188">
        <f>IF(ISERROR(AQ408/AP408-1),,(AQ408/AP408-1))</f>
        <v>8.1636787197407079E-2</v>
      </c>
      <c r="AR410" s="2188">
        <f>IF(ISERROR(AR408/AQ408-1),,(AR408/AQ408-1))</f>
        <v>-6.0211630302462793E-2</v>
      </c>
      <c r="AS410" s="2188">
        <f>IF(ISERROR(AS408/AR408-1),,(AS408/AR408-1))</f>
        <v>4.1351135910721482E-2</v>
      </c>
      <c r="AT410" s="2187"/>
      <c r="AU410" s="2188">
        <f>IF(ISERROR(AU408/AS408-1),,(AU408/AS408-1))</f>
        <v>-0.12485289015405221</v>
      </c>
      <c r="AV410" s="2188">
        <f>IF(ISERROR(AV408/AU408-1),,(AV408/AU408-1))</f>
        <v>0.10077871438605768</v>
      </c>
      <c r="AW410" s="2188">
        <f>IF(ISERROR(AW408/AV408-1),,(AW408/AV408-1))</f>
        <v>-4.3691794811427154E-2</v>
      </c>
      <c r="AX410" s="2188">
        <f>IF(ISERROR(AX408/AW408-1),,(AX408/AW408-1))</f>
        <v>6.9059780412231708E-2</v>
      </c>
      <c r="AY410" s="2187"/>
      <c r="AZ410" s="2188"/>
      <c r="BA410" s="2188"/>
      <c r="BB410" s="2188"/>
      <c r="BC410" s="2188"/>
      <c r="BD410" s="2187"/>
      <c r="BE410" s="2188"/>
      <c r="BF410" s="2188"/>
      <c r="BG410" s="2188"/>
      <c r="BH410" s="2188"/>
      <c r="BI410" s="2187"/>
      <c r="BJ410" s="2188"/>
      <c r="BK410" s="2188"/>
      <c r="BL410" s="2188"/>
      <c r="BM410" s="2188"/>
      <c r="BN410" s="2187"/>
      <c r="BO410" s="2188"/>
      <c r="BP410" s="2188"/>
      <c r="BQ410" s="2188"/>
      <c r="BR410" s="2188"/>
      <c r="BS410" s="2188"/>
      <c r="BT410" s="2188"/>
      <c r="BU410" s="2188"/>
      <c r="BV410" s="2188"/>
      <c r="BW410" s="2188"/>
      <c r="BX410" s="2188"/>
      <c r="BY410" s="2189"/>
      <c r="BZ410" s="2187"/>
      <c r="CA410" s="2187"/>
      <c r="CB410" s="2187"/>
      <c r="CC410" s="2187"/>
      <c r="CD410" s="2187"/>
      <c r="CE410" s="2187"/>
      <c r="CF410" s="2187"/>
    </row>
    <row r="411" spans="1:87" s="1022" customFormat="1" hidden="1" outlineLevel="1">
      <c r="A411" s="2184" t="s">
        <v>953</v>
      </c>
      <c r="B411" s="2185"/>
      <c r="C411" s="2185"/>
      <c r="D411" s="2185"/>
      <c r="E411" s="2185"/>
      <c r="F411" s="2186"/>
      <c r="G411" s="2185"/>
      <c r="H411" s="2185"/>
      <c r="I411" s="2185"/>
      <c r="J411" s="2185"/>
      <c r="K411" s="2186"/>
      <c r="L411" s="2185"/>
      <c r="M411" s="2185"/>
      <c r="N411" s="2185"/>
      <c r="O411" s="2185"/>
      <c r="P411" s="2186"/>
      <c r="Q411" s="2185"/>
      <c r="R411" s="2185"/>
      <c r="S411" s="2185"/>
      <c r="T411" s="2185"/>
      <c r="U411" s="2186"/>
      <c r="V411" s="2185"/>
      <c r="W411" s="2185"/>
      <c r="X411" s="2185"/>
      <c r="Y411" s="2185"/>
      <c r="Z411" s="2186"/>
      <c r="AA411" s="2185"/>
      <c r="AB411" s="2185"/>
      <c r="AC411" s="2185"/>
      <c r="AD411" s="2185"/>
      <c r="AE411" s="2186"/>
      <c r="AF411" s="2148"/>
      <c r="AG411" s="2188"/>
      <c r="AH411" s="2188"/>
      <c r="AI411" s="2188"/>
      <c r="AJ411" s="2187">
        <f>AJ404/AJ408</f>
        <v>0.48483059349657115</v>
      </c>
      <c r="AK411" s="2188">
        <f>AVERAGE(AF410,AA410)</f>
        <v>0</v>
      </c>
      <c r="AL411" s="2188">
        <f>AVERAGE(AG410,AB410)</f>
        <v>0.13303521520402461</v>
      </c>
      <c r="AM411" s="2188">
        <f>AVERAGE(AH410,AC410)</f>
        <v>-1.53922052294031E-2</v>
      </c>
      <c r="AN411" s="2188">
        <f>AVERAGE(AI410,AD410)</f>
        <v>6.4936366369375609E-2</v>
      </c>
      <c r="AO411" s="2187"/>
      <c r="AP411" s="2188">
        <f>AVERAGE(AK410,AF410,AA410)</f>
        <v>-4.7802766538063424E-2</v>
      </c>
      <c r="AQ411" s="2188">
        <f>AVERAGE(AL410,AG410)</f>
        <v>0.13388832865081057</v>
      </c>
      <c r="AR411" s="2188">
        <f>AVERAGE(AM410,AH410)</f>
        <v>-3.3874353119011102E-2</v>
      </c>
      <c r="AS411" s="2188">
        <f>AVERAGE(AN410,AI410,AD410)</f>
        <v>7.5912788893444438E-2</v>
      </c>
      <c r="AT411" s="2187"/>
      <c r="AU411" s="2188">
        <f>AVERAGE(AP410,AK410,AF410)</f>
        <v>-7.2225791656848351E-2</v>
      </c>
      <c r="AV411" s="2188">
        <f>AVERAGE(AQ410,AL410,AG410)</f>
        <v>0.11647114816634274</v>
      </c>
      <c r="AW411" s="2188">
        <f>AVERAGE(AR410,AM410,AH410)</f>
        <v>-4.2653445513495002E-2</v>
      </c>
      <c r="AX411" s="2188">
        <f>AVERAGE(AS410,AN410,AI410)</f>
        <v>6.4392237899203453E-2</v>
      </c>
      <c r="AY411" s="2187"/>
      <c r="AZ411" s="2188"/>
      <c r="BA411" s="2188"/>
      <c r="BB411" s="2188"/>
      <c r="BC411" s="2188"/>
      <c r="BD411" s="2187"/>
      <c r="BE411" s="2188"/>
      <c r="BF411" s="2188"/>
      <c r="BG411" s="2188"/>
      <c r="BH411" s="2188"/>
      <c r="BI411" s="2187"/>
      <c r="BJ411" s="2188"/>
      <c r="BK411" s="2188"/>
      <c r="BL411" s="2188"/>
      <c r="BM411" s="2188"/>
      <c r="BN411" s="2187"/>
      <c r="BO411" s="2188"/>
      <c r="BP411" s="2188"/>
      <c r="BQ411" s="2188"/>
      <c r="BR411" s="2188"/>
      <c r="BS411" s="2188"/>
      <c r="BT411" s="2188"/>
      <c r="BU411" s="2188"/>
      <c r="BV411" s="2188"/>
      <c r="BW411" s="2188"/>
      <c r="BX411" s="2188"/>
      <c r="BY411" s="2189"/>
      <c r="BZ411" s="2187"/>
      <c r="CA411" s="2187"/>
      <c r="CB411" s="2187"/>
      <c r="CC411" s="2187"/>
      <c r="CD411" s="2187"/>
      <c r="CE411" s="2187"/>
      <c r="CF411" s="2187"/>
    </row>
    <row r="412" spans="1:87" s="1022" customFormat="1" ht="8.25" hidden="1" customHeight="1" outlineLevel="1">
      <c r="A412" s="2184"/>
      <c r="B412" s="2185"/>
      <c r="C412" s="2185"/>
      <c r="D412" s="2185"/>
      <c r="E412" s="2185"/>
      <c r="F412" s="2186"/>
      <c r="G412" s="2185"/>
      <c r="H412" s="2185"/>
      <c r="I412" s="2185"/>
      <c r="J412" s="2185"/>
      <c r="K412" s="2186"/>
      <c r="L412" s="2185"/>
      <c r="M412" s="2185"/>
      <c r="N412" s="2185"/>
      <c r="O412" s="2185"/>
      <c r="P412" s="2186"/>
      <c r="Q412" s="2185"/>
      <c r="R412" s="2185"/>
      <c r="S412" s="2185"/>
      <c r="T412" s="2185"/>
      <c r="U412" s="2186"/>
      <c r="V412" s="2185"/>
      <c r="W412" s="2185"/>
      <c r="X412" s="2185"/>
      <c r="Y412" s="2185"/>
      <c r="Z412" s="2186"/>
      <c r="AA412" s="2185"/>
      <c r="AB412" s="2185"/>
      <c r="AC412" s="2185"/>
      <c r="AD412" s="2185"/>
      <c r="AE412" s="2210"/>
      <c r="AF412" s="2224"/>
      <c r="AG412" s="2224"/>
      <c r="AH412" s="2224"/>
      <c r="AI412" s="2224"/>
      <c r="AJ412" s="2210"/>
      <c r="AK412" s="2224"/>
      <c r="AL412" s="2224"/>
      <c r="AM412" s="2188"/>
      <c r="AN412" s="2188"/>
      <c r="AO412" s="2187"/>
      <c r="AP412" s="2188"/>
      <c r="AQ412" s="2188"/>
      <c r="AR412" s="2188"/>
      <c r="AS412" s="2188"/>
      <c r="AT412" s="2187"/>
      <c r="AU412" s="2188"/>
      <c r="AV412" s="2188"/>
      <c r="AW412" s="2188"/>
      <c r="AX412" s="2188"/>
      <c r="AY412" s="2187"/>
      <c r="AZ412" s="2188"/>
      <c r="BA412" s="2188"/>
      <c r="BB412" s="2188"/>
      <c r="BC412" s="2188"/>
      <c r="BD412" s="2187"/>
      <c r="BE412" s="2188"/>
      <c r="BF412" s="2188"/>
      <c r="BG412" s="2188"/>
      <c r="BH412" s="2188"/>
      <c r="BI412" s="2187"/>
      <c r="BJ412" s="2188"/>
      <c r="BK412" s="2188"/>
      <c r="BL412" s="2188"/>
      <c r="BM412" s="2188"/>
      <c r="BN412" s="2187"/>
      <c r="BO412" s="2188"/>
      <c r="BP412" s="2188"/>
      <c r="BQ412" s="2188"/>
      <c r="BR412" s="2188"/>
      <c r="BS412" s="2188"/>
      <c r="BT412" s="2188"/>
      <c r="BU412" s="2188"/>
      <c r="BV412" s="2188"/>
      <c r="BW412" s="2188"/>
      <c r="BX412" s="2188"/>
      <c r="BY412" s="2189"/>
      <c r="BZ412" s="2187"/>
      <c r="CA412" s="2187"/>
      <c r="CB412" s="2187"/>
      <c r="CC412" s="2187"/>
      <c r="CD412" s="2187"/>
      <c r="CE412" s="2187"/>
      <c r="CF412" s="2187"/>
    </row>
    <row r="413" spans="1:87" hidden="1" outlineLevel="1">
      <c r="A413" s="2121"/>
      <c r="B413" s="2122"/>
      <c r="C413" s="2122"/>
      <c r="D413" s="2122"/>
      <c r="E413" s="2122"/>
      <c r="F413" s="2123"/>
      <c r="G413" s="2122"/>
      <c r="H413" s="2122"/>
      <c r="I413" s="2122"/>
      <c r="J413" s="2122"/>
      <c r="K413" s="2123"/>
      <c r="L413" s="2122"/>
      <c r="M413" s="2122"/>
      <c r="N413" s="2122"/>
      <c r="O413" s="2122"/>
      <c r="P413" s="2123"/>
      <c r="Q413" s="2122"/>
      <c r="R413" s="2122"/>
      <c r="S413" s="2122"/>
      <c r="T413" s="2122"/>
      <c r="U413" s="2123"/>
      <c r="V413" s="2122"/>
      <c r="W413" s="2122"/>
      <c r="X413" s="2122"/>
      <c r="Y413" s="2122"/>
      <c r="Z413" s="2123"/>
      <c r="AA413" s="2122"/>
      <c r="AB413" s="2122"/>
      <c r="AC413" s="2122"/>
      <c r="AD413" s="2122"/>
      <c r="AE413" s="2123"/>
      <c r="AF413" s="2124"/>
      <c r="AG413" s="2122"/>
      <c r="AH413" s="2122"/>
      <c r="AI413" s="2122"/>
      <c r="AJ413" s="2123"/>
      <c r="AK413" s="2125"/>
      <c r="AL413" s="2122"/>
      <c r="AM413" s="2122"/>
      <c r="AN413" s="2122"/>
      <c r="AO413" s="2123"/>
      <c r="AP413" s="2122"/>
      <c r="AQ413" s="2122"/>
      <c r="AR413" s="2122"/>
      <c r="AS413" s="2122"/>
      <c r="AT413" s="2123"/>
      <c r="AU413" s="2122"/>
      <c r="AV413" s="2122"/>
      <c r="AW413" s="2122"/>
      <c r="AX413" s="2122"/>
      <c r="AY413" s="2123"/>
      <c r="AZ413" s="2122"/>
      <c r="BA413" s="2122"/>
      <c r="BB413" s="2122"/>
      <c r="BC413" s="2122"/>
      <c r="BD413" s="2123"/>
      <c r="BE413" s="2122"/>
      <c r="BF413" s="2122"/>
      <c r="BG413" s="2122"/>
      <c r="BH413" s="2122"/>
      <c r="BI413" s="2123"/>
      <c r="BJ413" s="2122"/>
      <c r="BK413" s="2122"/>
      <c r="BL413" s="2122"/>
      <c r="BM413" s="2122"/>
      <c r="BN413" s="2123"/>
      <c r="BO413" s="2162"/>
      <c r="BP413" s="2162"/>
      <c r="BQ413" s="2162"/>
      <c r="BR413" s="2162"/>
      <c r="BS413" s="2162"/>
      <c r="BT413" s="2162"/>
      <c r="BU413" s="2162"/>
      <c r="BV413" s="2162"/>
      <c r="BW413" s="2162"/>
      <c r="BX413" s="2162"/>
      <c r="BY413" s="2120"/>
      <c r="BZ413" s="2123"/>
      <c r="CA413" s="2123"/>
      <c r="CB413" s="2123"/>
      <c r="CC413" s="2123"/>
      <c r="CD413" s="2123"/>
      <c r="CE413" s="2123"/>
      <c r="CF413" s="2123"/>
    </row>
    <row r="414" spans="1:87" hidden="1" outlineLevel="1">
      <c r="A414" s="2120" t="str">
        <f>A328</f>
        <v>Enterprise Services</v>
      </c>
      <c r="B414" s="2168"/>
      <c r="C414" s="2168"/>
      <c r="D414" s="2168"/>
      <c r="E414" s="2168"/>
      <c r="F414" s="2215"/>
      <c r="G414" s="2168"/>
      <c r="H414" s="2168"/>
      <c r="I414" s="2168"/>
      <c r="J414" s="2168"/>
      <c r="K414" s="2215"/>
      <c r="L414" s="2168"/>
      <c r="M414" s="2168"/>
      <c r="N414" s="2168"/>
      <c r="O414" s="2168"/>
      <c r="P414" s="2215"/>
      <c r="Q414" s="2168"/>
      <c r="R414" s="2168"/>
      <c r="S414" s="2168"/>
      <c r="T414" s="2168"/>
      <c r="U414" s="2215"/>
      <c r="V414" s="2168"/>
      <c r="W414" s="2168"/>
      <c r="X414" s="2168"/>
      <c r="Y414" s="2168"/>
      <c r="Z414" s="2215"/>
      <c r="AA414" s="2168"/>
      <c r="AB414" s="2168"/>
      <c r="AC414" s="2168"/>
      <c r="AD414" s="2168"/>
      <c r="AE414" s="2223">
        <f>AE328</f>
        <v>3900.5555555555557</v>
      </c>
      <c r="AF414" s="2144">
        <f>AF328</f>
        <v>1045</v>
      </c>
      <c r="AG414" s="2144">
        <f>AG328</f>
        <v>1075</v>
      </c>
      <c r="AH414" s="2144">
        <f>AH328</f>
        <v>1000</v>
      </c>
      <c r="AI414" s="2144">
        <f>AI328</f>
        <v>1102</v>
      </c>
      <c r="AJ414" s="2223">
        <f>SUM(AF414:AI414)</f>
        <v>4222</v>
      </c>
      <c r="AK414" s="2144">
        <f>AK328</f>
        <v>1139.0500000000002</v>
      </c>
      <c r="AL414" s="2144">
        <f>AL328</f>
        <v>1154.5500000000002</v>
      </c>
      <c r="AM414" s="2144">
        <f>AM328</f>
        <v>1084</v>
      </c>
      <c r="AN414" s="2144">
        <f>AN328</f>
        <v>1228.73</v>
      </c>
      <c r="AO414" s="2223">
        <f>SUM(AK414:AN414)</f>
        <v>4606.33</v>
      </c>
      <c r="AP414" s="2144">
        <f>AP328</f>
        <v>1292.8217500000003</v>
      </c>
      <c r="AQ414" s="2144">
        <f>AQ328</f>
        <v>1270.0050000000003</v>
      </c>
      <c r="AR414" s="2144">
        <f>AR328</f>
        <v>1164.2160000000001</v>
      </c>
      <c r="AS414" s="2144">
        <f>AS328</f>
        <v>1210.913415</v>
      </c>
      <c r="AT414" s="2223">
        <f>SUM(AP414:AS414)</f>
        <v>4937.9561650000005</v>
      </c>
      <c r="AU414" s="2144">
        <f>AP414*(1+AU415)</f>
        <v>1318.6781850000002</v>
      </c>
      <c r="AV414" s="2144">
        <f>AQ414*(1+AV415)</f>
        <v>1308.1051500000003</v>
      </c>
      <c r="AW414" s="2144">
        <f>AR414*(1+AW415)</f>
        <v>1222.4268000000002</v>
      </c>
      <c r="AX414" s="2144">
        <f>AS414*(1+AX415)</f>
        <v>1295.6773540500001</v>
      </c>
      <c r="AY414" s="2223">
        <f>SUM(AU414:AX414)</f>
        <v>5144.887489050001</v>
      </c>
      <c r="AZ414" s="2144"/>
      <c r="BA414" s="2144"/>
      <c r="BB414" s="2144"/>
      <c r="BC414" s="2144"/>
      <c r="BD414" s="2223"/>
      <c r="BE414" s="2144"/>
      <c r="BF414" s="2144"/>
      <c r="BG414" s="2144"/>
      <c r="BH414" s="2144"/>
      <c r="BI414" s="2223"/>
      <c r="BJ414" s="2144"/>
      <c r="BK414" s="2144"/>
      <c r="BL414" s="2144"/>
      <c r="BM414" s="2144"/>
      <c r="BN414" s="2223"/>
      <c r="BO414" s="2638"/>
      <c r="BP414" s="2638"/>
      <c r="BQ414" s="2638"/>
      <c r="BR414" s="2638"/>
      <c r="BS414" s="2638"/>
      <c r="BT414" s="2638"/>
      <c r="BU414" s="2638"/>
      <c r="BV414" s="2638"/>
      <c r="BW414" s="2638"/>
      <c r="BX414" s="2638"/>
      <c r="BY414" s="2120"/>
      <c r="BZ414" s="2223"/>
      <c r="CA414" s="2223"/>
      <c r="CB414" s="2223">
        <f>SUM(AM414:AN414,AP414:AQ414)</f>
        <v>4875.5567500000006</v>
      </c>
      <c r="CC414" s="2223">
        <f>SUM(AR414:AS414,AU414:AV414)</f>
        <v>5001.9127500000013</v>
      </c>
      <c r="CD414" s="2223">
        <f>SUM(AW414:AX414,AZ414:BA414)</f>
        <v>2518.10415405</v>
      </c>
      <c r="CE414" s="2223">
        <f>SUM(BB414:BC414,BE414:BF414)</f>
        <v>0</v>
      </c>
      <c r="CF414" s="2223"/>
    </row>
    <row r="415" spans="1:87" s="1022" customFormat="1" hidden="1" outlineLevel="1">
      <c r="A415" s="2184" t="s">
        <v>926</v>
      </c>
      <c r="B415" s="2185"/>
      <c r="C415" s="2185"/>
      <c r="D415" s="2185"/>
      <c r="E415" s="2185"/>
      <c r="F415" s="2186"/>
      <c r="G415" s="2185"/>
      <c r="H415" s="2185"/>
      <c r="I415" s="2185"/>
      <c r="J415" s="2185"/>
      <c r="K415" s="2186"/>
      <c r="L415" s="2185"/>
      <c r="M415" s="2185"/>
      <c r="N415" s="2185"/>
      <c r="O415" s="2185"/>
      <c r="P415" s="2186"/>
      <c r="Q415" s="2185"/>
      <c r="R415" s="2185"/>
      <c r="S415" s="2185"/>
      <c r="T415" s="2185"/>
      <c r="U415" s="2186"/>
      <c r="V415" s="2185"/>
      <c r="W415" s="2185"/>
      <c r="X415" s="2185"/>
      <c r="Y415" s="2185"/>
      <c r="Z415" s="2186"/>
      <c r="AA415" s="2185"/>
      <c r="AB415" s="2185"/>
      <c r="AC415" s="2185"/>
      <c r="AD415" s="2185"/>
      <c r="AE415" s="2186"/>
      <c r="AF415" s="2148"/>
      <c r="AG415" s="2185"/>
      <c r="AH415" s="2185"/>
      <c r="AI415" s="2185"/>
      <c r="AJ415" s="2187">
        <f t="shared" ref="AJ415:AS415" si="552">IF(ISERROR(AJ414/AE414-1),,(AJ414/AE414-1))</f>
        <v>8.2409913117789557E-2</v>
      </c>
      <c r="AK415" s="2188">
        <f t="shared" si="552"/>
        <v>9.000000000000008E-2</v>
      </c>
      <c r="AL415" s="2188">
        <f t="shared" si="552"/>
        <v>7.4000000000000066E-2</v>
      </c>
      <c r="AM415" s="2188">
        <f t="shared" si="552"/>
        <v>8.4000000000000075E-2</v>
      </c>
      <c r="AN415" s="2188">
        <f t="shared" si="552"/>
        <v>0.11499999999999999</v>
      </c>
      <c r="AO415" s="2187">
        <f t="shared" si="552"/>
        <v>9.1030317385125459E-2</v>
      </c>
      <c r="AP415" s="2188">
        <f t="shared" si="552"/>
        <v>0.13500000000000001</v>
      </c>
      <c r="AQ415" s="2188">
        <f t="shared" si="552"/>
        <v>0.10000000000000009</v>
      </c>
      <c r="AR415" s="2188">
        <f t="shared" si="552"/>
        <v>7.4000000000000066E-2</v>
      </c>
      <c r="AS415" s="2188">
        <f t="shared" si="552"/>
        <v>-1.4500000000000068E-2</v>
      </c>
      <c r="AT415" s="2187">
        <f>IF(ISERROR(AT414/AO414-1),,(AT414/AO414-1))</f>
        <v>7.1993575145506528E-2</v>
      </c>
      <c r="AU415" s="2188">
        <v>0.02</v>
      </c>
      <c r="AV415" s="2188">
        <v>0.03</v>
      </c>
      <c r="AW415" s="2202">
        <v>0.05</v>
      </c>
      <c r="AX415" s="2188">
        <v>7.0000000000000007E-2</v>
      </c>
      <c r="AY415" s="2187">
        <f>IF(ISERROR(AY414/AT414-1),,(AY414/AT414-1))</f>
        <v>4.1906269949644415E-2</v>
      </c>
      <c r="AZ415" s="2202"/>
      <c r="BA415" s="2202"/>
      <c r="BB415" s="2202"/>
      <c r="BC415" s="2202"/>
      <c r="BD415" s="2187"/>
      <c r="BE415" s="2202"/>
      <c r="BF415" s="2202"/>
      <c r="BG415" s="2202"/>
      <c r="BH415" s="2202"/>
      <c r="BI415" s="2187"/>
      <c r="BJ415" s="2202"/>
      <c r="BK415" s="2202"/>
      <c r="BL415" s="2202"/>
      <c r="BM415" s="2202"/>
      <c r="BN415" s="2187"/>
      <c r="BO415" s="2188"/>
      <c r="BP415" s="2188"/>
      <c r="BQ415" s="2188"/>
      <c r="BR415" s="2188"/>
      <c r="BS415" s="2188"/>
      <c r="BT415" s="2188"/>
      <c r="BU415" s="2188"/>
      <c r="BV415" s="2188"/>
      <c r="BW415" s="2188"/>
      <c r="BX415" s="2188"/>
      <c r="BY415" s="2225"/>
      <c r="BZ415" s="2187"/>
      <c r="CA415" s="2187"/>
      <c r="CB415" s="2187"/>
      <c r="CC415" s="2187"/>
      <c r="CD415" s="2187"/>
      <c r="CE415" s="2187"/>
      <c r="CF415" s="2187"/>
    </row>
    <row r="416" spans="1:87" s="1022" customFormat="1" hidden="1" outlineLevel="1">
      <c r="A416" s="2184" t="s">
        <v>952</v>
      </c>
      <c r="B416" s="2185"/>
      <c r="C416" s="2185"/>
      <c r="D416" s="2185"/>
      <c r="E416" s="2185"/>
      <c r="F416" s="2186"/>
      <c r="G416" s="2185"/>
      <c r="H416" s="2185"/>
      <c r="I416" s="2185"/>
      <c r="J416" s="2185"/>
      <c r="K416" s="2186"/>
      <c r="L416" s="2185"/>
      <c r="M416" s="2185"/>
      <c r="N416" s="2185"/>
      <c r="O416" s="2185"/>
      <c r="P416" s="2186"/>
      <c r="Q416" s="2185"/>
      <c r="R416" s="2185"/>
      <c r="S416" s="2185"/>
      <c r="T416" s="2185"/>
      <c r="U416" s="2186"/>
      <c r="V416" s="2185"/>
      <c r="W416" s="2185"/>
      <c r="X416" s="2185"/>
      <c r="Y416" s="2185"/>
      <c r="Z416" s="2186"/>
      <c r="AA416" s="2185"/>
      <c r="AB416" s="2185"/>
      <c r="AC416" s="2185"/>
      <c r="AD416" s="2185"/>
      <c r="AE416" s="2186"/>
      <c r="AF416" s="2148"/>
      <c r="AG416" s="2188">
        <f>IF(ISERROR(AG414/AF414-1),,(AG414/AF414-1))</f>
        <v>2.8708133971291794E-2</v>
      </c>
      <c r="AH416" s="2188">
        <f>IF(ISERROR(AH414/AG414-1),,(AH414/AG414-1))</f>
        <v>-6.9767441860465129E-2</v>
      </c>
      <c r="AI416" s="2188">
        <f>IF(ISERROR(AI414/AH414-1),,(AI414/AH414-1))</f>
        <v>0.10200000000000009</v>
      </c>
      <c r="AJ416" s="2187"/>
      <c r="AK416" s="2188">
        <f>IF(ISERROR(AK414/AI414-1),,(AK414/AI414-1))</f>
        <v>3.3620689655172509E-2</v>
      </c>
      <c r="AL416" s="2188">
        <f>IF(ISERROR(AL414/AK414-1),,(AL414/AK414-1))</f>
        <v>1.3607831087309563E-2</v>
      </c>
      <c r="AM416" s="2188">
        <f>IF(ISERROR(AM414/AL414-1),,(AM414/AL414-1))</f>
        <v>-6.1106058637564575E-2</v>
      </c>
      <c r="AN416" s="2188">
        <f>IF(ISERROR(AN414/AM414-1),,(AN414/AM414-1))</f>
        <v>0.13351476014760144</v>
      </c>
      <c r="AO416" s="2187"/>
      <c r="AP416" s="2188">
        <f>IF(ISERROR(AP414/AN414-1),,(AP414/AN414-1))</f>
        <v>5.2160971083965002E-2</v>
      </c>
      <c r="AQ416" s="2188">
        <f>IF(ISERROR(AQ414/AP414-1),,(AQ414/AP414-1))</f>
        <v>-1.7648798065162508E-2</v>
      </c>
      <c r="AR416" s="2188">
        <f>IF(ISERROR(AR414/AQ414-1),,(AR414/AQ414-1))</f>
        <v>-8.3298097251585768E-2</v>
      </c>
      <c r="AS416" s="2188">
        <f>IF(ISERROR(AS414/AR414-1),,(AS414/AR414-1))</f>
        <v>4.0110610917561518E-2</v>
      </c>
      <c r="AT416" s="2187"/>
      <c r="AU416" s="2188">
        <f>IF(ISERROR(AU414/AS414-1),,(AU414/AS414-1))</f>
        <v>8.8994612385230099E-2</v>
      </c>
      <c r="AV416" s="2188">
        <f>IF(ISERROR(AV414/AU414-1),,(AV414/AU414-1))</f>
        <v>-8.0179039285463993E-3</v>
      </c>
      <c r="AW416" s="2188">
        <f>IF(ISERROR(AW414/AV414-1),,(AW414/AV414-1))</f>
        <v>-6.5498060305014594E-2</v>
      </c>
      <c r="AX416" s="2188">
        <f>IF(ISERROR(AX414/AW414-1),,(AX414/AW414-1))</f>
        <v>5.9922241601705561E-2</v>
      </c>
      <c r="AY416" s="2187"/>
      <c r="AZ416" s="2188"/>
      <c r="BA416" s="2188"/>
      <c r="BB416" s="2188"/>
      <c r="BC416" s="2188"/>
      <c r="BD416" s="2187"/>
      <c r="BE416" s="2188"/>
      <c r="BF416" s="2188"/>
      <c r="BG416" s="2188"/>
      <c r="BH416" s="2188"/>
      <c r="BI416" s="2187"/>
      <c r="BJ416" s="2188"/>
      <c r="BK416" s="2188"/>
      <c r="BL416" s="2188"/>
      <c r="BM416" s="2188"/>
      <c r="BN416" s="2187"/>
      <c r="BO416" s="2188"/>
      <c r="BP416" s="2188"/>
      <c r="BQ416" s="2188"/>
      <c r="BR416" s="2188"/>
      <c r="BS416" s="2188"/>
      <c r="BT416" s="2188"/>
      <c r="BU416" s="2188"/>
      <c r="BV416" s="2188"/>
      <c r="BW416" s="2188"/>
      <c r="BX416" s="2188"/>
      <c r="BY416" s="2189"/>
      <c r="BZ416" s="2187"/>
      <c r="CA416" s="2187"/>
      <c r="CB416" s="2187"/>
      <c r="CC416" s="2187"/>
      <c r="CD416" s="2187"/>
      <c r="CE416" s="2187"/>
      <c r="CF416" s="2187"/>
    </row>
    <row r="417" spans="1:84" ht="8.25" hidden="1" customHeight="1" outlineLevel="1">
      <c r="A417" s="2120"/>
      <c r="B417" s="2168"/>
      <c r="C417" s="2168"/>
      <c r="D417" s="2168"/>
      <c r="E417" s="2168"/>
      <c r="F417" s="2215"/>
      <c r="G417" s="2168"/>
      <c r="H417" s="2168"/>
      <c r="I417" s="2168"/>
      <c r="J417" s="2168"/>
      <c r="K417" s="2215"/>
      <c r="L417" s="2168"/>
      <c r="M417" s="2168"/>
      <c r="N417" s="2168"/>
      <c r="O417" s="2168"/>
      <c r="P417" s="2215"/>
      <c r="Q417" s="2168"/>
      <c r="R417" s="2168"/>
      <c r="S417" s="2168"/>
      <c r="T417" s="2168"/>
      <c r="U417" s="2215"/>
      <c r="V417" s="2168"/>
      <c r="W417" s="2168"/>
      <c r="X417" s="2168"/>
      <c r="Y417" s="2168"/>
      <c r="Z417" s="2215"/>
      <c r="AA417" s="2168"/>
      <c r="AB417" s="2168"/>
      <c r="AC417" s="2168"/>
      <c r="AD417" s="2168"/>
      <c r="AE417" s="2215"/>
      <c r="AF417" s="2120"/>
      <c r="AG417" s="2120"/>
      <c r="AH417" s="2120"/>
      <c r="AI417" s="2120"/>
      <c r="AJ417" s="2215"/>
      <c r="AK417" s="2120"/>
      <c r="AL417" s="2120"/>
      <c r="AM417" s="2120"/>
      <c r="AN417" s="2120"/>
      <c r="AO417" s="2215"/>
      <c r="AP417" s="2120"/>
      <c r="AQ417" s="2120"/>
      <c r="AR417" s="2120"/>
      <c r="AS417" s="2120"/>
      <c r="AT417" s="2215"/>
      <c r="AU417" s="2120"/>
      <c r="AV417" s="2120"/>
      <c r="AW417" s="2120"/>
      <c r="AX417" s="2120"/>
      <c r="AY417" s="2215"/>
      <c r="AZ417" s="2120"/>
      <c r="BA417" s="2120"/>
      <c r="BB417" s="2120"/>
      <c r="BC417" s="2120"/>
      <c r="BD417" s="2215"/>
      <c r="BE417" s="2120"/>
      <c r="BF417" s="2120"/>
      <c r="BG417" s="2120"/>
      <c r="BH417" s="2120"/>
      <c r="BI417" s="2215"/>
      <c r="BJ417" s="2120"/>
      <c r="BK417" s="2120"/>
      <c r="BL417" s="2120"/>
      <c r="BM417" s="2120"/>
      <c r="BN417" s="2215"/>
      <c r="BO417" s="2168"/>
      <c r="BP417" s="2168"/>
      <c r="BQ417" s="2168"/>
      <c r="BR417" s="2168"/>
      <c r="BS417" s="2168"/>
      <c r="BT417" s="2168"/>
      <c r="BU417" s="2168"/>
      <c r="BV417" s="2168"/>
      <c r="BW417" s="2168"/>
      <c r="BX417" s="2168"/>
      <c r="BY417" s="2120"/>
      <c r="BZ417" s="2215"/>
      <c r="CA417" s="2215"/>
      <c r="CB417" s="2215"/>
      <c r="CC417" s="2215"/>
      <c r="CD417" s="2215"/>
      <c r="CE417" s="2215"/>
      <c r="CF417" s="2215"/>
    </row>
    <row r="418" spans="1:84" hidden="1" outlineLevel="1">
      <c r="A418" s="2120" t="str">
        <f>A330</f>
        <v xml:space="preserve">   Azure </v>
      </c>
      <c r="B418" s="2168"/>
      <c r="C418" s="2168"/>
      <c r="D418" s="2168"/>
      <c r="E418" s="2168"/>
      <c r="F418" s="2215"/>
      <c r="G418" s="2168"/>
      <c r="H418" s="2168"/>
      <c r="I418" s="2168"/>
      <c r="J418" s="2168"/>
      <c r="K418" s="2215"/>
      <c r="L418" s="2168"/>
      <c r="M418" s="2168"/>
      <c r="N418" s="2168"/>
      <c r="O418" s="2168"/>
      <c r="P418" s="2215"/>
      <c r="Q418" s="2168"/>
      <c r="R418" s="2168"/>
      <c r="S418" s="2168"/>
      <c r="T418" s="2168"/>
      <c r="U418" s="2215"/>
      <c r="V418" s="2168"/>
      <c r="W418" s="2168"/>
      <c r="X418" s="2168"/>
      <c r="Y418" s="2168"/>
      <c r="Z418" s="2215"/>
      <c r="AA418" s="2168"/>
      <c r="AB418" s="2168"/>
      <c r="AC418" s="2168"/>
      <c r="AD418" s="2168"/>
      <c r="AE418" s="2223">
        <f>AE330</f>
        <v>100</v>
      </c>
      <c r="AF418" s="2144">
        <f>AF330</f>
        <v>50</v>
      </c>
      <c r="AG418" s="2144">
        <f>AG330</f>
        <v>75</v>
      </c>
      <c r="AH418" s="2144">
        <f>AH330</f>
        <v>75</v>
      </c>
      <c r="AI418" s="2144">
        <f>AI330</f>
        <v>90</v>
      </c>
      <c r="AJ418" s="2223">
        <f>SUM(AF418:AI418)</f>
        <v>290</v>
      </c>
      <c r="AK418" s="2144">
        <f>AK330</f>
        <v>75</v>
      </c>
      <c r="AL418" s="2144">
        <f>AL330</f>
        <v>112.5</v>
      </c>
      <c r="AM418" s="2144">
        <f>AM330</f>
        <v>108.75</v>
      </c>
      <c r="AN418" s="2144">
        <f>AN330</f>
        <v>135</v>
      </c>
      <c r="AO418" s="2223">
        <f>SUM(AK418:AN418)</f>
        <v>431.25</v>
      </c>
      <c r="AP418" s="2144">
        <f>AP330</f>
        <v>131.25</v>
      </c>
      <c r="AQ418" s="2144">
        <f>AQ330</f>
        <v>168.75</v>
      </c>
      <c r="AR418" s="2144">
        <f>AR330</f>
        <v>163.125</v>
      </c>
      <c r="AS418" s="2144">
        <f>AS330</f>
        <v>270</v>
      </c>
      <c r="AT418" s="2223">
        <f>SUM(AP418:AS418)</f>
        <v>733.125</v>
      </c>
      <c r="AU418" s="2144">
        <f>AP418*(1+AU419)</f>
        <v>216.5625</v>
      </c>
      <c r="AV418" s="2144">
        <f>AQ418*(1+AV419)</f>
        <v>278.4375</v>
      </c>
      <c r="AW418" s="2144">
        <f>AR418*(1+AW419)</f>
        <v>261</v>
      </c>
      <c r="AX418" s="2144">
        <f>AS418*(1+AX419)</f>
        <v>432</v>
      </c>
      <c r="AY418" s="2223">
        <f>SUM(AU418:AX418)</f>
        <v>1188</v>
      </c>
      <c r="AZ418" s="2144"/>
      <c r="BA418" s="2144"/>
      <c r="BB418" s="2144"/>
      <c r="BC418" s="2144"/>
      <c r="BD418" s="2223"/>
      <c r="BE418" s="2144"/>
      <c r="BF418" s="2144"/>
      <c r="BG418" s="2144"/>
      <c r="BH418" s="2144"/>
      <c r="BI418" s="2223"/>
      <c r="BJ418" s="2144"/>
      <c r="BK418" s="2144"/>
      <c r="BL418" s="2144"/>
      <c r="BM418" s="2144"/>
      <c r="BN418" s="2223"/>
      <c r="BO418" s="2638"/>
      <c r="BP418" s="2638"/>
      <c r="BQ418" s="2638"/>
      <c r="BR418" s="2638"/>
      <c r="BS418" s="2638"/>
      <c r="BT418" s="2638"/>
      <c r="BU418" s="2638"/>
      <c r="BV418" s="2638"/>
      <c r="BW418" s="2638"/>
      <c r="BX418" s="2638"/>
      <c r="BY418" s="2120"/>
      <c r="BZ418" s="2223"/>
      <c r="CA418" s="2223"/>
      <c r="CB418" s="2223">
        <f>SUM(AM418:AN418,AP418:AQ418)</f>
        <v>543.75</v>
      </c>
      <c r="CC418" s="2223">
        <f>SUM(AR418:AS418,AU418:AV418)</f>
        <v>928.125</v>
      </c>
      <c r="CD418" s="2223">
        <f>SUM(AW418:AX418,AZ418:BA418)</f>
        <v>693</v>
      </c>
      <c r="CE418" s="2223">
        <f>SUM(BB418:BC418,BE418:BF418)</f>
        <v>0</v>
      </c>
      <c r="CF418" s="2223"/>
    </row>
    <row r="419" spans="1:84" s="1022" customFormat="1" hidden="1" outlineLevel="1">
      <c r="A419" s="2184" t="s">
        <v>926</v>
      </c>
      <c r="B419" s="2185"/>
      <c r="C419" s="2185"/>
      <c r="D419" s="2185"/>
      <c r="E419" s="2185"/>
      <c r="F419" s="2186"/>
      <c r="G419" s="2185"/>
      <c r="H419" s="2185"/>
      <c r="I419" s="2185"/>
      <c r="J419" s="2185"/>
      <c r="K419" s="2186"/>
      <c r="L419" s="2185"/>
      <c r="M419" s="2185"/>
      <c r="N419" s="2185"/>
      <c r="O419" s="2185"/>
      <c r="P419" s="2186"/>
      <c r="Q419" s="2185"/>
      <c r="R419" s="2185"/>
      <c r="S419" s="2185"/>
      <c r="T419" s="2185"/>
      <c r="U419" s="2186"/>
      <c r="V419" s="2185"/>
      <c r="W419" s="2185"/>
      <c r="X419" s="2185"/>
      <c r="Y419" s="2185"/>
      <c r="Z419" s="2186"/>
      <c r="AA419" s="2185"/>
      <c r="AB419" s="2185"/>
      <c r="AC419" s="2185"/>
      <c r="AD419" s="2185"/>
      <c r="AE419" s="2186"/>
      <c r="AF419" s="2148"/>
      <c r="AG419" s="2185"/>
      <c r="AH419" s="2185"/>
      <c r="AI419" s="2185"/>
      <c r="AJ419" s="2187">
        <f t="shared" ref="AJ419:AS419" si="553">IF(ISERROR(AJ418/AE418-1),,(AJ418/AE418-1))</f>
        <v>1.9</v>
      </c>
      <c r="AK419" s="2188">
        <f t="shared" si="553"/>
        <v>0.5</v>
      </c>
      <c r="AL419" s="2188">
        <f t="shared" si="553"/>
        <v>0.5</v>
      </c>
      <c r="AM419" s="2188">
        <f t="shared" si="553"/>
        <v>0.44999999999999996</v>
      </c>
      <c r="AN419" s="2188">
        <f t="shared" si="553"/>
        <v>0.5</v>
      </c>
      <c r="AO419" s="2187">
        <f t="shared" si="553"/>
        <v>0.48706896551724133</v>
      </c>
      <c r="AP419" s="2188">
        <f t="shared" si="553"/>
        <v>0.75</v>
      </c>
      <c r="AQ419" s="2188">
        <f t="shared" si="553"/>
        <v>0.5</v>
      </c>
      <c r="AR419" s="2188">
        <f t="shared" si="553"/>
        <v>0.5</v>
      </c>
      <c r="AS419" s="2188">
        <f t="shared" si="553"/>
        <v>1</v>
      </c>
      <c r="AT419" s="2187">
        <f>IF(ISERROR(AT418/AO418-1),,(AT418/AO418-1))</f>
        <v>0.7</v>
      </c>
      <c r="AU419" s="2188">
        <v>0.65</v>
      </c>
      <c r="AV419" s="2188">
        <v>0.65</v>
      </c>
      <c r="AW419" s="2202">
        <v>0.6</v>
      </c>
      <c r="AX419" s="2188">
        <v>0.6</v>
      </c>
      <c r="AY419" s="2187">
        <f>IF(ISERROR(AY418/AT418-1),,(AY418/AT418-1))</f>
        <v>0.62046035805626598</v>
      </c>
      <c r="AZ419" s="2202"/>
      <c r="BA419" s="2202"/>
      <c r="BB419" s="2202"/>
      <c r="BC419" s="2202"/>
      <c r="BD419" s="2187"/>
      <c r="BE419" s="2202"/>
      <c r="BF419" s="2202"/>
      <c r="BG419" s="2202"/>
      <c r="BH419" s="2202"/>
      <c r="BI419" s="2187"/>
      <c r="BJ419" s="2202"/>
      <c r="BK419" s="2202"/>
      <c r="BL419" s="2202"/>
      <c r="BM419" s="2202"/>
      <c r="BN419" s="2187"/>
      <c r="BO419" s="2188"/>
      <c r="BP419" s="2188"/>
      <c r="BQ419" s="2188"/>
      <c r="BR419" s="2188"/>
      <c r="BS419" s="2188"/>
      <c r="BT419" s="2188"/>
      <c r="BU419" s="2188"/>
      <c r="BV419" s="2188"/>
      <c r="BW419" s="2188"/>
      <c r="BX419" s="2188"/>
      <c r="BY419" s="2189"/>
      <c r="BZ419" s="2187"/>
      <c r="CA419" s="2187"/>
      <c r="CB419" s="2187"/>
      <c r="CC419" s="2187"/>
      <c r="CD419" s="2187"/>
      <c r="CE419" s="2187"/>
      <c r="CF419" s="2187"/>
    </row>
    <row r="420" spans="1:84" s="1022" customFormat="1" hidden="1" outlineLevel="1">
      <c r="A420" s="2184" t="s">
        <v>952</v>
      </c>
      <c r="B420" s="2185"/>
      <c r="C420" s="2185"/>
      <c r="D420" s="2185"/>
      <c r="E420" s="2185"/>
      <c r="F420" s="2186"/>
      <c r="G420" s="2185"/>
      <c r="H420" s="2185"/>
      <c r="I420" s="2185"/>
      <c r="J420" s="2185"/>
      <c r="K420" s="2186"/>
      <c r="L420" s="2185"/>
      <c r="M420" s="2185"/>
      <c r="N420" s="2185"/>
      <c r="O420" s="2185"/>
      <c r="P420" s="2186"/>
      <c r="Q420" s="2185"/>
      <c r="R420" s="2185"/>
      <c r="S420" s="2185"/>
      <c r="T420" s="2185"/>
      <c r="U420" s="2186"/>
      <c r="V420" s="2185"/>
      <c r="W420" s="2185"/>
      <c r="X420" s="2185"/>
      <c r="Y420" s="2185"/>
      <c r="Z420" s="2186"/>
      <c r="AA420" s="2185"/>
      <c r="AB420" s="2185"/>
      <c r="AC420" s="2185"/>
      <c r="AD420" s="2185"/>
      <c r="AE420" s="2186"/>
      <c r="AF420" s="2148"/>
      <c r="AG420" s="2188">
        <f>IF(ISERROR(AG418/AF418-1),,(AG418/AF418-1))</f>
        <v>0.5</v>
      </c>
      <c r="AH420" s="2188">
        <f>IF(ISERROR(AH418/AG418-1),,(AH418/AG418-1))</f>
        <v>0</v>
      </c>
      <c r="AI420" s="2188">
        <f>IF(ISERROR(AI418/AH418-1),,(AI418/AH418-1))</f>
        <v>0.19999999999999996</v>
      </c>
      <c r="AJ420" s="2187"/>
      <c r="AK420" s="2188">
        <f>IF(ISERROR(AK418/AI418-1),,(AK418/AI418-1))</f>
        <v>-0.16666666666666663</v>
      </c>
      <c r="AL420" s="2188">
        <f>IF(ISERROR(AL418/AK418-1),,(AL418/AK418-1))</f>
        <v>0.5</v>
      </c>
      <c r="AM420" s="2188">
        <f>IF(ISERROR(AM418/AL418-1),,(AM418/AL418-1))</f>
        <v>-3.3333333333333326E-2</v>
      </c>
      <c r="AN420" s="2188">
        <f>IF(ISERROR(AN418/AM418-1),,(AN418/AM418-1))</f>
        <v>0.24137931034482762</v>
      </c>
      <c r="AO420" s="2187"/>
      <c r="AP420" s="2188">
        <f>IF(ISERROR(AP418/AN418-1),,(AP418/AN418-1))</f>
        <v>-2.777777777777779E-2</v>
      </c>
      <c r="AQ420" s="2188">
        <f>IF(ISERROR(AQ418/AP418-1),,(AQ418/AP418-1))</f>
        <v>0.28571428571428581</v>
      </c>
      <c r="AR420" s="2188">
        <f>IF(ISERROR(AR418/AQ418-1),,(AR418/AQ418-1))</f>
        <v>-3.3333333333333326E-2</v>
      </c>
      <c r="AS420" s="2188">
        <f>IF(ISERROR(AS418/AR418-1),,(AS418/AR418-1))</f>
        <v>0.65517241379310343</v>
      </c>
      <c r="AT420" s="2187"/>
      <c r="AU420" s="2188">
        <f>IF(ISERROR(AU418/AS418-1),,(AU418/AS418-1))</f>
        <v>-0.19791666666666663</v>
      </c>
      <c r="AV420" s="2188">
        <f>IF(ISERROR(AV418/AU418-1),,(AV418/AU418-1))</f>
        <v>0.28571428571428581</v>
      </c>
      <c r="AW420" s="2188">
        <f>IF(ISERROR(AW418/AV418-1),,(AW418/AV418-1))</f>
        <v>-6.2626262626262585E-2</v>
      </c>
      <c r="AX420" s="2188">
        <f>IF(ISERROR(AX418/AW418-1),,(AX418/AW418-1))</f>
        <v>0.65517241379310343</v>
      </c>
      <c r="AY420" s="2187"/>
      <c r="AZ420" s="2188"/>
      <c r="BA420" s="2188"/>
      <c r="BB420" s="2188"/>
      <c r="BC420" s="2188"/>
      <c r="BD420" s="2187"/>
      <c r="BE420" s="2188"/>
      <c r="BF420" s="2188"/>
      <c r="BG420" s="2188"/>
      <c r="BH420" s="2188"/>
      <c r="BI420" s="2187"/>
      <c r="BJ420" s="2188"/>
      <c r="BK420" s="2188"/>
      <c r="BL420" s="2188"/>
      <c r="BM420" s="2188"/>
      <c r="BN420" s="2187"/>
      <c r="BO420" s="2188"/>
      <c r="BP420" s="2188"/>
      <c r="BQ420" s="2188"/>
      <c r="BR420" s="2188"/>
      <c r="BS420" s="2188"/>
      <c r="BT420" s="2188"/>
      <c r="BU420" s="2188"/>
      <c r="BV420" s="2188"/>
      <c r="BW420" s="2188"/>
      <c r="BX420" s="2188"/>
      <c r="BY420" s="2189"/>
      <c r="BZ420" s="2187"/>
      <c r="CA420" s="2187"/>
      <c r="CB420" s="2187"/>
      <c r="CC420" s="2187"/>
      <c r="CD420" s="2187"/>
      <c r="CE420" s="2187"/>
      <c r="CF420" s="2187"/>
    </row>
    <row r="421" spans="1:84" ht="8.25" hidden="1" customHeight="1" outlineLevel="1">
      <c r="A421" s="2120"/>
      <c r="B421" s="2168"/>
      <c r="C421" s="2168"/>
      <c r="D421" s="2168"/>
      <c r="E421" s="2168"/>
      <c r="F421" s="2215"/>
      <c r="G421" s="2168"/>
      <c r="H421" s="2168"/>
      <c r="I421" s="2168"/>
      <c r="J421" s="2168"/>
      <c r="K421" s="2215"/>
      <c r="L421" s="2168"/>
      <c r="M421" s="2168"/>
      <c r="N421" s="2168"/>
      <c r="O421" s="2168"/>
      <c r="P421" s="2215"/>
      <c r="Q421" s="2168"/>
      <c r="R421" s="2168"/>
      <c r="S421" s="2168"/>
      <c r="T421" s="2168"/>
      <c r="U421" s="2215"/>
      <c r="V421" s="2168"/>
      <c r="W421" s="2168"/>
      <c r="X421" s="2168"/>
      <c r="Y421" s="2168"/>
      <c r="Z421" s="2215"/>
      <c r="AA421" s="2168"/>
      <c r="AB421" s="2168"/>
      <c r="AC421" s="2168"/>
      <c r="AD421" s="2168"/>
      <c r="AE421" s="2215"/>
      <c r="AF421" s="2120"/>
      <c r="AG421" s="2120"/>
      <c r="AH421" s="2120"/>
      <c r="AI421" s="2120"/>
      <c r="AJ421" s="2215"/>
      <c r="AK421" s="2120"/>
      <c r="AL421" s="2120"/>
      <c r="AM421" s="2120"/>
      <c r="AN421" s="2120"/>
      <c r="AO421" s="2215"/>
      <c r="AP421" s="2120"/>
      <c r="AQ421" s="2120"/>
      <c r="AR421" s="2120"/>
      <c r="AS421" s="2120"/>
      <c r="AT421" s="2215"/>
      <c r="AU421" s="2120"/>
      <c r="AV421" s="2120"/>
      <c r="AW421" s="2120"/>
      <c r="AX421" s="2120"/>
      <c r="AY421" s="2215"/>
      <c r="AZ421" s="2120"/>
      <c r="BA421" s="2120"/>
      <c r="BB421" s="2120"/>
      <c r="BC421" s="2120"/>
      <c r="BD421" s="2215"/>
      <c r="BE421" s="2120"/>
      <c r="BF421" s="2120"/>
      <c r="BG421" s="2120"/>
      <c r="BH421" s="2120"/>
      <c r="BI421" s="2215"/>
      <c r="BJ421" s="2120"/>
      <c r="BK421" s="2120"/>
      <c r="BL421" s="2120"/>
      <c r="BM421" s="2120"/>
      <c r="BN421" s="2215"/>
      <c r="BO421" s="2168"/>
      <c r="BP421" s="2168"/>
      <c r="BQ421" s="2168"/>
      <c r="BR421" s="2168"/>
      <c r="BS421" s="2168"/>
      <c r="BT421" s="2168"/>
      <c r="BU421" s="2168"/>
      <c r="BV421" s="2168"/>
      <c r="BW421" s="2168"/>
      <c r="BX421" s="2168"/>
      <c r="BY421" s="2120"/>
      <c r="BZ421" s="2215"/>
      <c r="CA421" s="2215"/>
      <c r="CB421" s="2215"/>
      <c r="CC421" s="2215"/>
      <c r="CD421" s="2215"/>
      <c r="CE421" s="2215"/>
      <c r="CF421" s="2215"/>
    </row>
    <row r="422" spans="1:84" hidden="1" outlineLevel="1">
      <c r="A422" s="2120" t="str">
        <f>A331</f>
        <v xml:space="preserve">   Office 365 Pro + Dynamics CRM Online</v>
      </c>
      <c r="B422" s="2168"/>
      <c r="C422" s="2168"/>
      <c r="D422" s="2168"/>
      <c r="E422" s="2168"/>
      <c r="F422" s="2215"/>
      <c r="G422" s="2168"/>
      <c r="H422" s="2168"/>
      <c r="I422" s="2168"/>
      <c r="J422" s="2168"/>
      <c r="K422" s="2215"/>
      <c r="L422" s="2168"/>
      <c r="M422" s="2168"/>
      <c r="N422" s="2168"/>
      <c r="O422" s="2168"/>
      <c r="P422" s="2215"/>
      <c r="Q422" s="2168"/>
      <c r="R422" s="2168"/>
      <c r="S422" s="2168"/>
      <c r="T422" s="2168"/>
      <c r="U422" s="2215"/>
      <c r="V422" s="2168"/>
      <c r="W422" s="2168"/>
      <c r="X422" s="2168"/>
      <c r="Y422" s="2168"/>
      <c r="Z422" s="2215"/>
      <c r="AA422" s="2168"/>
      <c r="AB422" s="2168"/>
      <c r="AC422" s="2168"/>
      <c r="AD422" s="2168"/>
      <c r="AE422" s="2223">
        <f>AE331</f>
        <v>643.44444444444434</v>
      </c>
      <c r="AF422" s="2144">
        <f>AF331</f>
        <v>153</v>
      </c>
      <c r="AG422" s="2144">
        <f>AG331</f>
        <v>239</v>
      </c>
      <c r="AH422" s="2144">
        <f>AH331</f>
        <v>374</v>
      </c>
      <c r="AI422" s="2144">
        <f>AI331</f>
        <v>382</v>
      </c>
      <c r="AJ422" s="2223">
        <f>SUM(AF422:AI422)</f>
        <v>1148</v>
      </c>
      <c r="AK422" s="2144">
        <f>AK331</f>
        <v>387.94999999999982</v>
      </c>
      <c r="AL422" s="2144">
        <f>AL331</f>
        <v>512.94999999999982</v>
      </c>
      <c r="AM422" s="2144">
        <f>AM331</f>
        <v>709.25</v>
      </c>
      <c r="AN422" s="2144">
        <f>AN331</f>
        <v>898.27</v>
      </c>
      <c r="AO422" s="2223">
        <f>SUM(AK422:AN422)</f>
        <v>2508.4199999999996</v>
      </c>
      <c r="AP422" s="2144">
        <f>AP331</f>
        <v>982.92824999999971</v>
      </c>
      <c r="AQ422" s="2144">
        <f>AQ331</f>
        <v>1154.2449999999997</v>
      </c>
      <c r="AR422" s="2144">
        <f>AR331</f>
        <v>1432.6589999999999</v>
      </c>
      <c r="AS422" s="2144">
        <f>AS331</f>
        <v>1595.086585</v>
      </c>
      <c r="AT422" s="2223">
        <f>SUM(AP422:AS422)</f>
        <v>5164.9188349999995</v>
      </c>
      <c r="AU422" s="2144">
        <f>AP422*(1+AU423)</f>
        <v>1651.3194599999997</v>
      </c>
      <c r="AV422" s="2144">
        <f>AQ422*(1+AV423)</f>
        <v>1904.5042499999993</v>
      </c>
      <c r="AW422" s="2144">
        <f>AR422*(1+AW423)</f>
        <v>2363.8873499999995</v>
      </c>
      <c r="AX422" s="2144">
        <f>AS422*(1+AX423)</f>
        <v>2552.1385360000004</v>
      </c>
      <c r="AY422" s="2223">
        <f>SUM(AU422:AX422)</f>
        <v>8471.8495959999982</v>
      </c>
      <c r="AZ422" s="2144"/>
      <c r="BA422" s="2144"/>
      <c r="BB422" s="2144"/>
      <c r="BC422" s="2144"/>
      <c r="BD422" s="2223"/>
      <c r="BE422" s="2144"/>
      <c r="BF422" s="2144"/>
      <c r="BG422" s="2144"/>
      <c r="BH422" s="2144"/>
      <c r="BI422" s="2223"/>
      <c r="BJ422" s="2144"/>
      <c r="BK422" s="2144"/>
      <c r="BL422" s="2144"/>
      <c r="BM422" s="2144"/>
      <c r="BN422" s="2223"/>
      <c r="BO422" s="2638"/>
      <c r="BP422" s="2638"/>
      <c r="BQ422" s="2638"/>
      <c r="BR422" s="2638"/>
      <c r="BS422" s="2638"/>
      <c r="BT422" s="2638"/>
      <c r="BU422" s="2638"/>
      <c r="BV422" s="2638"/>
      <c r="BW422" s="2638"/>
      <c r="BX422" s="2638"/>
      <c r="BY422" s="2120"/>
      <c r="BZ422" s="2223"/>
      <c r="CA422" s="2223"/>
      <c r="CB422" s="2223">
        <f>SUM(AM422:AN422,AP422:AQ422)</f>
        <v>3744.6932499999994</v>
      </c>
      <c r="CC422" s="2223">
        <f>SUM(AR422:AS422,AU422:AV422)</f>
        <v>6583.5692949999984</v>
      </c>
      <c r="CD422" s="2223">
        <f>SUM(AW422:AX422,AZ422:BA422)</f>
        <v>4916.0258859999994</v>
      </c>
      <c r="CE422" s="2223">
        <f>SUM(BB422:BC422,BE422:BF422)</f>
        <v>0</v>
      </c>
      <c r="CF422" s="2223"/>
    </row>
    <row r="423" spans="1:84" s="1022" customFormat="1" hidden="1" outlineLevel="1">
      <c r="A423" s="2184" t="s">
        <v>926</v>
      </c>
      <c r="B423" s="2185"/>
      <c r="C423" s="2185"/>
      <c r="D423" s="2185"/>
      <c r="E423" s="2185"/>
      <c r="F423" s="2186"/>
      <c r="G423" s="2185"/>
      <c r="H423" s="2185"/>
      <c r="I423" s="2185"/>
      <c r="J423" s="2185"/>
      <c r="K423" s="2186"/>
      <c r="L423" s="2185"/>
      <c r="M423" s="2185"/>
      <c r="N423" s="2185"/>
      <c r="O423" s="2185"/>
      <c r="P423" s="2186"/>
      <c r="Q423" s="2185"/>
      <c r="R423" s="2185"/>
      <c r="S423" s="2185"/>
      <c r="T423" s="2185"/>
      <c r="U423" s="2186"/>
      <c r="V423" s="2185"/>
      <c r="W423" s="2185"/>
      <c r="X423" s="2185"/>
      <c r="Y423" s="2185"/>
      <c r="Z423" s="2186"/>
      <c r="AA423" s="2185"/>
      <c r="AB423" s="2185"/>
      <c r="AC423" s="2185"/>
      <c r="AD423" s="2185"/>
      <c r="AE423" s="2186"/>
      <c r="AF423" s="2148"/>
      <c r="AG423" s="2185"/>
      <c r="AH423" s="2185"/>
      <c r="AI423" s="2185"/>
      <c r="AJ423" s="2187">
        <f t="shared" ref="AJ423:AS423" si="554">IF(ISERROR(AJ422/AE422-1),,(AJ422/AE422-1))</f>
        <v>0.78414781557589386</v>
      </c>
      <c r="AK423" s="2188">
        <f t="shared" si="554"/>
        <v>1.5356209150326787</v>
      </c>
      <c r="AL423" s="2188">
        <f t="shared" si="554"/>
        <v>1.1462343096234302</v>
      </c>
      <c r="AM423" s="2188">
        <f t="shared" si="554"/>
        <v>0.89639037433155089</v>
      </c>
      <c r="AN423" s="2188">
        <f t="shared" si="554"/>
        <v>1.3514921465968586</v>
      </c>
      <c r="AO423" s="2187">
        <f t="shared" si="554"/>
        <v>1.1850348432055746</v>
      </c>
      <c r="AP423" s="2188">
        <f t="shared" si="554"/>
        <v>1.5336467328263956</v>
      </c>
      <c r="AQ423" s="2188">
        <f t="shared" si="554"/>
        <v>1.2502095720830493</v>
      </c>
      <c r="AR423" s="2188">
        <f t="shared" si="554"/>
        <v>1.0199633415579834</v>
      </c>
      <c r="AS423" s="2188">
        <f t="shared" si="554"/>
        <v>0.77573177886381606</v>
      </c>
      <c r="AT423" s="2187">
        <f>IF(ISERROR(AT422/AO422-1),,(AT422/AO422-1))</f>
        <v>1.0590327118265681</v>
      </c>
      <c r="AU423" s="2188">
        <v>0.68</v>
      </c>
      <c r="AV423" s="2188">
        <v>0.65</v>
      </c>
      <c r="AW423" s="2202">
        <v>0.65</v>
      </c>
      <c r="AX423" s="2188">
        <v>0.6</v>
      </c>
      <c r="AY423" s="2187">
        <f>IF(ISERROR(AY422/AT422-1),,(AY422/AT422-1))</f>
        <v>0.64026771119627846</v>
      </c>
      <c r="AZ423" s="2202"/>
      <c r="BA423" s="2202"/>
      <c r="BB423" s="2202"/>
      <c r="BC423" s="2202"/>
      <c r="BD423" s="2187"/>
      <c r="BE423" s="2202"/>
      <c r="BF423" s="2202"/>
      <c r="BG423" s="2202"/>
      <c r="BH423" s="2202"/>
      <c r="BI423" s="2187"/>
      <c r="BJ423" s="2202"/>
      <c r="BK423" s="2202"/>
      <c r="BL423" s="2202"/>
      <c r="BM423" s="2202"/>
      <c r="BN423" s="2187"/>
      <c r="BO423" s="2188"/>
      <c r="BP423" s="2188"/>
      <c r="BQ423" s="2188"/>
      <c r="BR423" s="2188"/>
      <c r="BS423" s="2188"/>
      <c r="BT423" s="2188"/>
      <c r="BU423" s="2188"/>
      <c r="BV423" s="2188"/>
      <c r="BW423" s="2188"/>
      <c r="BX423" s="2188"/>
      <c r="BY423" s="2189"/>
      <c r="BZ423" s="2187"/>
      <c r="CA423" s="2187"/>
      <c r="CB423" s="2187"/>
      <c r="CC423" s="2187"/>
      <c r="CD423" s="2187"/>
      <c r="CE423" s="2187"/>
      <c r="CF423" s="2187"/>
    </row>
    <row r="424" spans="1:84" s="1022" customFormat="1" hidden="1" outlineLevel="1">
      <c r="A424" s="2184" t="s">
        <v>952</v>
      </c>
      <c r="B424" s="2185"/>
      <c r="C424" s="2185"/>
      <c r="D424" s="2185"/>
      <c r="E424" s="2185"/>
      <c r="F424" s="2186"/>
      <c r="G424" s="2185"/>
      <c r="H424" s="2185"/>
      <c r="I424" s="2185"/>
      <c r="J424" s="2185"/>
      <c r="K424" s="2186"/>
      <c r="L424" s="2185"/>
      <c r="M424" s="2185"/>
      <c r="N424" s="2185"/>
      <c r="O424" s="2185"/>
      <c r="P424" s="2186"/>
      <c r="Q424" s="2185"/>
      <c r="R424" s="2185"/>
      <c r="S424" s="2185"/>
      <c r="T424" s="2185"/>
      <c r="U424" s="2186"/>
      <c r="V424" s="2185"/>
      <c r="W424" s="2185"/>
      <c r="X424" s="2185"/>
      <c r="Y424" s="2185"/>
      <c r="Z424" s="2186"/>
      <c r="AA424" s="2185"/>
      <c r="AB424" s="2185"/>
      <c r="AC424" s="2185"/>
      <c r="AD424" s="2185"/>
      <c r="AE424" s="2186"/>
      <c r="AF424" s="2148"/>
      <c r="AG424" s="2188">
        <f>IF(ISERROR(AG422/AF422-1),,(AG422/AF422-1))</f>
        <v>0.56209150326797386</v>
      </c>
      <c r="AH424" s="2188">
        <f>IF(ISERROR(AH422/AG422-1),,(AH422/AG422-1))</f>
        <v>0.56485355648535562</v>
      </c>
      <c r="AI424" s="2188">
        <f>IF(ISERROR(AI422/AH422-1),,(AI422/AH422-1))</f>
        <v>2.1390374331550888E-2</v>
      </c>
      <c r="AJ424" s="2187"/>
      <c r="AK424" s="2188">
        <f>IF(ISERROR(AK422/AI422-1),,(AK422/AI422-1))</f>
        <v>1.5575916230365916E-2</v>
      </c>
      <c r="AL424" s="2188">
        <f>IF(ISERROR(AL422/AK422-1),,(AL422/AK422-1))</f>
        <v>0.32220646990591595</v>
      </c>
      <c r="AM424" s="2188">
        <f>IF(ISERROR(AM422/AL422-1),,(AM422/AL422-1))</f>
        <v>0.38268837118627586</v>
      </c>
      <c r="AN424" s="2188">
        <f>IF(ISERROR(AN422/AM422-1),,(AN422/AM422-1))</f>
        <v>0.26650687345787794</v>
      </c>
      <c r="AO424" s="2187"/>
      <c r="AP424" s="2188">
        <f>IF(ISERROR(AP422/AN422-1),,(AP422/AN422-1))</f>
        <v>9.4245883754327409E-2</v>
      </c>
      <c r="AQ424" s="2188">
        <f>IF(ISERROR(AQ422/AP422-1),,(AQ422/AP422-1))</f>
        <v>0.17429222326248128</v>
      </c>
      <c r="AR424" s="2188">
        <f>IF(ISERROR(AR422/AQ422-1),,(AR422/AQ422-1))</f>
        <v>0.24120875550684673</v>
      </c>
      <c r="AS424" s="2188">
        <f>IF(ISERROR(AS422/AR422-1),,(AS422/AR422-1))</f>
        <v>0.11337490987038801</v>
      </c>
      <c r="AT424" s="2187"/>
      <c r="AU424" s="2188">
        <f>IF(ISERROR(AU422/AS422-1),,(AU422/AS422-1))</f>
        <v>3.5253807240814838E-2</v>
      </c>
      <c r="AV424" s="2188">
        <f>IF(ISERROR(AV422/AU422-1),,(AV422/AU422-1))</f>
        <v>0.153322719275651</v>
      </c>
      <c r="AW424" s="2188">
        <f>IF(ISERROR(AW422/AV422-1),,(AW422/AV422-1))</f>
        <v>0.24120875550684673</v>
      </c>
      <c r="AX424" s="2188">
        <f>IF(ISERROR(AX422/AW422-1),,(AX422/AW422-1))</f>
        <v>7.963627623795233E-2</v>
      </c>
      <c r="AY424" s="2187"/>
      <c r="AZ424" s="2188"/>
      <c r="BA424" s="2188"/>
      <c r="BB424" s="2188"/>
      <c r="BC424" s="2188"/>
      <c r="BD424" s="2187"/>
      <c r="BE424" s="2188"/>
      <c r="BF424" s="2188"/>
      <c r="BG424" s="2188"/>
      <c r="BH424" s="2188"/>
      <c r="BI424" s="2187"/>
      <c r="BJ424" s="2188"/>
      <c r="BK424" s="2188"/>
      <c r="BL424" s="2188"/>
      <c r="BM424" s="2188"/>
      <c r="BN424" s="2187"/>
      <c r="BO424" s="2188"/>
      <c r="BP424" s="2188"/>
      <c r="BQ424" s="2188"/>
      <c r="BR424" s="2188"/>
      <c r="BS424" s="2188"/>
      <c r="BT424" s="2188"/>
      <c r="BU424" s="2188"/>
      <c r="BV424" s="2188"/>
      <c r="BW424" s="2188"/>
      <c r="BX424" s="2188"/>
      <c r="BY424" s="2189"/>
      <c r="BZ424" s="2187"/>
      <c r="CA424" s="2187"/>
      <c r="CB424" s="2187"/>
      <c r="CC424" s="2187"/>
      <c r="CD424" s="2187"/>
      <c r="CE424" s="2187"/>
      <c r="CF424" s="2187"/>
    </row>
    <row r="425" spans="1:84" ht="8.25" hidden="1" customHeight="1" outlineLevel="1" thickBot="1">
      <c r="A425" s="2120"/>
      <c r="B425" s="2168"/>
      <c r="C425" s="2168"/>
      <c r="D425" s="2168"/>
      <c r="E425" s="2168"/>
      <c r="F425" s="2215"/>
      <c r="G425" s="2168"/>
      <c r="H425" s="2168"/>
      <c r="I425" s="2168"/>
      <c r="J425" s="2168"/>
      <c r="K425" s="2215"/>
      <c r="L425" s="2168"/>
      <c r="M425" s="2168"/>
      <c r="N425" s="2168"/>
      <c r="O425" s="2168"/>
      <c r="P425" s="2215"/>
      <c r="Q425" s="2168"/>
      <c r="R425" s="2168"/>
      <c r="S425" s="2168"/>
      <c r="T425" s="2168"/>
      <c r="U425" s="2215"/>
      <c r="V425" s="2168"/>
      <c r="W425" s="2168"/>
      <c r="X425" s="2168"/>
      <c r="Y425" s="2168"/>
      <c r="Z425" s="2215"/>
      <c r="AA425" s="2168"/>
      <c r="AB425" s="2168"/>
      <c r="AC425" s="2168"/>
      <c r="AD425" s="2168"/>
      <c r="AE425" s="2215"/>
      <c r="AF425" s="2120"/>
      <c r="AG425" s="2120"/>
      <c r="AH425" s="2120"/>
      <c r="AI425" s="2120"/>
      <c r="AJ425" s="2215"/>
      <c r="AK425" s="2120"/>
      <c r="AL425" s="2120"/>
      <c r="AM425" s="2120"/>
      <c r="AN425" s="2120"/>
      <c r="AO425" s="2215"/>
      <c r="AP425" s="2120"/>
      <c r="AQ425" s="2120"/>
      <c r="AR425" s="2120"/>
      <c r="AS425" s="2120"/>
      <c r="AT425" s="2215"/>
      <c r="AU425" s="2120"/>
      <c r="AV425" s="2120"/>
      <c r="AW425" s="2120"/>
      <c r="AX425" s="2120"/>
      <c r="AY425" s="2215"/>
      <c r="AZ425" s="2120"/>
      <c r="BA425" s="2120"/>
      <c r="BB425" s="2120"/>
      <c r="BC425" s="2120"/>
      <c r="BD425" s="2215"/>
      <c r="BE425" s="2120"/>
      <c r="BF425" s="2120"/>
      <c r="BG425" s="2120"/>
      <c r="BH425" s="2120"/>
      <c r="BI425" s="2215"/>
      <c r="BJ425" s="2120"/>
      <c r="BK425" s="2120"/>
      <c r="BL425" s="2120"/>
      <c r="BM425" s="2120"/>
      <c r="BN425" s="2215"/>
      <c r="BO425" s="2168"/>
      <c r="BP425" s="2168"/>
      <c r="BQ425" s="2168"/>
      <c r="BR425" s="2168"/>
      <c r="BS425" s="2168"/>
      <c r="BT425" s="2168"/>
      <c r="BU425" s="2168"/>
      <c r="BV425" s="2168"/>
      <c r="BW425" s="2168"/>
      <c r="BX425" s="2168"/>
      <c r="BY425" s="2120"/>
      <c r="BZ425" s="2215"/>
      <c r="CA425" s="2215"/>
      <c r="CB425" s="2215"/>
      <c r="CC425" s="2215"/>
      <c r="CD425" s="2215"/>
      <c r="CE425" s="2215"/>
      <c r="CF425" s="2215"/>
    </row>
    <row r="426" spans="1:84" s="1011" customFormat="1" ht="13.5" hidden="1" outlineLevel="1" thickBot="1">
      <c r="A426" s="2206" t="s">
        <v>975</v>
      </c>
      <c r="B426" s="2207">
        <f>B254+B257+B260+B267+B270+B406</f>
        <v>1450</v>
      </c>
      <c r="C426" s="2207">
        <f>C254+C257+C260+C267+C270+C406</f>
        <v>468</v>
      </c>
      <c r="D426" s="2207">
        <f>D254+D257+D260+D267+D270+D406</f>
        <v>3250</v>
      </c>
      <c r="E426" s="2207">
        <f>E254+E257+E260+E267+E270+E406</f>
        <v>1948</v>
      </c>
      <c r="F426" s="2208">
        <f>SUM(B426:E426)</f>
        <v>7116</v>
      </c>
      <c r="G426" s="2207">
        <f>G254+G257+G260+G267+G270+G406</f>
        <v>1508</v>
      </c>
      <c r="H426" s="2207">
        <f>H254+H257+H260+H267+H270+H406</f>
        <v>1652</v>
      </c>
      <c r="I426" s="2207">
        <f>I254+I257+I260+I267+I270+I406</f>
        <v>1990</v>
      </c>
      <c r="J426" s="2207">
        <f>J254+J257+J260+J267+J270+J406</f>
        <v>1754</v>
      </c>
      <c r="K426" s="2208">
        <f>SUM(G426:J426)</f>
        <v>6904</v>
      </c>
      <c r="L426" s="2207">
        <f>L254+L257+L260+L267+L270+L406</f>
        <v>2176</v>
      </c>
      <c r="M426" s="2207">
        <f>M254+M257+M260+M267+M270+M406</f>
        <v>1500</v>
      </c>
      <c r="N426" s="2207">
        <f>N254+N257+N260+N267+N270+N406</f>
        <v>1396</v>
      </c>
      <c r="O426" s="2207">
        <f>O254+O257+O260+O267+O270+O406</f>
        <v>1176</v>
      </c>
      <c r="P426" s="2208">
        <f>SUM(L426:O426)</f>
        <v>6248</v>
      </c>
      <c r="Q426" s="2207">
        <f>Q254+Q257+Q260+Q267+Q270+Q406</f>
        <v>1514.1176470588234</v>
      </c>
      <c r="R426" s="2207">
        <f>R254+R257+R260+R267+R270+R406</f>
        <v>1690</v>
      </c>
      <c r="S426" s="2207">
        <f>S254+S257+S260+S267+S270+S406</f>
        <v>940</v>
      </c>
      <c r="T426" s="2207">
        <f>T254+T257+T260+T267+T270+T406</f>
        <v>1890</v>
      </c>
      <c r="U426" s="2208">
        <f>SUM(Q426:T426)</f>
        <v>6034.1176470588234</v>
      </c>
      <c r="V426" s="2207">
        <f>V254+V257+V260+V267+V270+V406</f>
        <v>1946.1176470588234</v>
      </c>
      <c r="W426" s="2207">
        <f>W254+W257+W260+W267+W270+W406</f>
        <v>2632</v>
      </c>
      <c r="X426" s="2207">
        <f>X254+X257+X260+X267+X270+X406</f>
        <v>1990</v>
      </c>
      <c r="Y426" s="2207">
        <f>Y254+Y257+Y260+Y267+Y270+Y406</f>
        <v>1704</v>
      </c>
      <c r="Z426" s="2208">
        <f>SUM(V426:Y426)</f>
        <v>8272.1176470588234</v>
      </c>
      <c r="AA426" s="2207">
        <f>AA254+AA257+AA260+AA267+AA270+AA406</f>
        <v>2000</v>
      </c>
      <c r="AB426" s="2207">
        <f>AB254+AB257+AB260+AB267+AB270+AB406</f>
        <v>2130</v>
      </c>
      <c r="AC426" s="2207">
        <f>AC254+AC257+AC260+AC267+AC270+AC406</f>
        <v>2000</v>
      </c>
      <c r="AD426" s="2207">
        <f>AD254+AD257+AD260+AD267+AD270+AD406</f>
        <v>1960</v>
      </c>
      <c r="AE426" s="2208">
        <f>AE422+AE418+AE414</f>
        <v>4644</v>
      </c>
      <c r="AF426" s="2207">
        <f t="shared" ref="AF426:AX426" si="555">AF422+AF418+AF414</f>
        <v>1248</v>
      </c>
      <c r="AG426" s="2207">
        <f t="shared" si="555"/>
        <v>1389</v>
      </c>
      <c r="AH426" s="2207">
        <f t="shared" si="555"/>
        <v>1449</v>
      </c>
      <c r="AI426" s="2207">
        <f t="shared" si="555"/>
        <v>1574</v>
      </c>
      <c r="AJ426" s="2208">
        <f>SUM(AF426:AI426)</f>
        <v>5660</v>
      </c>
      <c r="AK426" s="2207">
        <f t="shared" si="555"/>
        <v>1602</v>
      </c>
      <c r="AL426" s="2207">
        <f t="shared" si="555"/>
        <v>1780</v>
      </c>
      <c r="AM426" s="2207">
        <f t="shared" si="555"/>
        <v>1902</v>
      </c>
      <c r="AN426" s="2207">
        <f t="shared" si="555"/>
        <v>2262</v>
      </c>
      <c r="AO426" s="2208">
        <f>SUM(AK426:AN426)</f>
        <v>7546</v>
      </c>
      <c r="AP426" s="2207">
        <f>AP422+AP418+AP414</f>
        <v>2407</v>
      </c>
      <c r="AQ426" s="2207">
        <f>AQ422+AQ418+AQ414</f>
        <v>2593</v>
      </c>
      <c r="AR426" s="2207">
        <f>AR422+AR418+AR414</f>
        <v>2760</v>
      </c>
      <c r="AS426" s="2207">
        <f t="shared" si="555"/>
        <v>3076</v>
      </c>
      <c r="AT426" s="2208">
        <f>SUM(AP426:AS426)</f>
        <v>10836</v>
      </c>
      <c r="AU426" s="2207">
        <f t="shared" si="555"/>
        <v>3186.5601449999999</v>
      </c>
      <c r="AV426" s="2207">
        <f t="shared" si="555"/>
        <v>3491.0468999999994</v>
      </c>
      <c r="AW426" s="2207">
        <f t="shared" si="555"/>
        <v>3847.3141499999997</v>
      </c>
      <c r="AX426" s="2207">
        <f t="shared" si="555"/>
        <v>4279.8158900500002</v>
      </c>
      <c r="AY426" s="2208">
        <f>SUM(AU426:AX426)</f>
        <v>14804.737085049999</v>
      </c>
      <c r="AZ426" s="2207"/>
      <c r="BA426" s="2207"/>
      <c r="BB426" s="2207"/>
      <c r="BC426" s="2207"/>
      <c r="BD426" s="2208"/>
      <c r="BE426" s="2207"/>
      <c r="BF426" s="2207"/>
      <c r="BG426" s="2207"/>
      <c r="BH426" s="2207"/>
      <c r="BI426" s="2208"/>
      <c r="BJ426" s="2207"/>
      <c r="BK426" s="2207"/>
      <c r="BL426" s="2207"/>
      <c r="BM426" s="2207"/>
      <c r="BN426" s="2208"/>
      <c r="BO426" s="2138"/>
      <c r="BP426" s="2138"/>
      <c r="BQ426" s="2138"/>
      <c r="BR426" s="2138"/>
      <c r="BS426" s="2138"/>
      <c r="BT426" s="2138"/>
      <c r="BU426" s="2138"/>
      <c r="BV426" s="2138"/>
      <c r="BW426" s="2138"/>
      <c r="BX426" s="2138"/>
      <c r="BY426" s="2200"/>
      <c r="BZ426" s="2208"/>
      <c r="CA426" s="2208"/>
      <c r="CB426" s="2208">
        <f>SUM(AM426:AN426,AP426:AQ426)</f>
        <v>9164</v>
      </c>
      <c r="CC426" s="2208">
        <f>SUM(AR426:AS426,AU426:AV426)</f>
        <v>12513.607044999999</v>
      </c>
      <c r="CD426" s="2208">
        <f>SUM(AW426:AX426,AZ426:BA426)</f>
        <v>8127.1300400500004</v>
      </c>
      <c r="CE426" s="2208">
        <f>SUM(BB426:BC426,BE426:BF426)</f>
        <v>0</v>
      </c>
      <c r="CF426" s="2208"/>
    </row>
    <row r="427" spans="1:84" s="1022" customFormat="1" hidden="1" outlineLevel="1">
      <c r="A427" s="2184" t="s">
        <v>926</v>
      </c>
      <c r="B427" s="2185"/>
      <c r="C427" s="2185"/>
      <c r="D427" s="2185"/>
      <c r="E427" s="2185"/>
      <c r="F427" s="2186"/>
      <c r="G427" s="2185"/>
      <c r="H427" s="2185"/>
      <c r="I427" s="2185"/>
      <c r="J427" s="2185"/>
      <c r="K427" s="2186"/>
      <c r="L427" s="2185"/>
      <c r="M427" s="2185"/>
      <c r="N427" s="2185"/>
      <c r="O427" s="2185"/>
      <c r="P427" s="2186"/>
      <c r="Q427" s="2185"/>
      <c r="R427" s="2185"/>
      <c r="S427" s="2185"/>
      <c r="T427" s="2185"/>
      <c r="U427" s="2186"/>
      <c r="V427" s="2185"/>
      <c r="W427" s="2185"/>
      <c r="X427" s="2185"/>
      <c r="Y427" s="2185"/>
      <c r="Z427" s="2186"/>
      <c r="AA427" s="2188">
        <f>IF(ISERROR(AA426/V426-1),,(AA426/V426-1))</f>
        <v>2.7687099504292156E-2</v>
      </c>
      <c r="AB427" s="2188">
        <f>IF(ISERROR(AB426/W426-1),,(AB426/W426-1))</f>
        <v>-0.19072948328267481</v>
      </c>
      <c r="AC427" s="2188">
        <f>IF(ISERROR(AC426/X426-1),,(AC426/X426-1))</f>
        <v>5.0251256281406143E-3</v>
      </c>
      <c r="AD427" s="2188">
        <f>IF(ISERROR(AD426/Y426-1),,(AD426/Y426-1))</f>
        <v>0.15023474178403751</v>
      </c>
      <c r="AE427" s="2186"/>
      <c r="AF427" s="2188">
        <f t="shared" ref="AF427:AY427" si="556">IF(ISERROR(AF426/AA426-1),,(AF426/AA426-1))</f>
        <v>-0.376</v>
      </c>
      <c r="AG427" s="2188">
        <f t="shared" si="556"/>
        <v>-0.34788732394366195</v>
      </c>
      <c r="AH427" s="2188">
        <f t="shared" si="556"/>
        <v>-0.27549999999999997</v>
      </c>
      <c r="AI427" s="2188">
        <f t="shared" si="556"/>
        <v>-0.19693877551020411</v>
      </c>
      <c r="AJ427" s="2187">
        <f t="shared" si="556"/>
        <v>0.21877691645133512</v>
      </c>
      <c r="AK427" s="2188">
        <f t="shared" si="556"/>
        <v>0.28365384615384626</v>
      </c>
      <c r="AL427" s="2188">
        <f t="shared" si="556"/>
        <v>0.28149748020158394</v>
      </c>
      <c r="AM427" s="2188">
        <f t="shared" si="556"/>
        <v>0.31262939958592129</v>
      </c>
      <c r="AN427" s="2188">
        <f t="shared" si="556"/>
        <v>0.43710292249047011</v>
      </c>
      <c r="AO427" s="2187">
        <f t="shared" si="556"/>
        <v>0.33321554770318018</v>
      </c>
      <c r="AP427" s="2188">
        <f t="shared" si="556"/>
        <v>0.50249687890137329</v>
      </c>
      <c r="AQ427" s="2188">
        <f t="shared" si="556"/>
        <v>0.45674157303370788</v>
      </c>
      <c r="AR427" s="2188">
        <f t="shared" si="556"/>
        <v>0.45110410094637232</v>
      </c>
      <c r="AS427" s="2188">
        <f t="shared" si="556"/>
        <v>0.35985853227232534</v>
      </c>
      <c r="AT427" s="2187">
        <f t="shared" si="556"/>
        <v>0.43599257884972165</v>
      </c>
      <c r="AU427" s="2188">
        <f t="shared" si="556"/>
        <v>0.32387210012463652</v>
      </c>
      <c r="AV427" s="2188">
        <f t="shared" si="556"/>
        <v>0.34633509448515198</v>
      </c>
      <c r="AW427" s="2188">
        <f t="shared" si="556"/>
        <v>0.39395440217391298</v>
      </c>
      <c r="AX427" s="2188">
        <f t="shared" si="556"/>
        <v>0.39135757153771134</v>
      </c>
      <c r="AY427" s="2187">
        <f t="shared" si="556"/>
        <v>0.36625480666758947</v>
      </c>
      <c r="AZ427" s="2188"/>
      <c r="BA427" s="2188"/>
      <c r="BB427" s="2188"/>
      <c r="BC427" s="2188"/>
      <c r="BD427" s="2187"/>
      <c r="BE427" s="2188"/>
      <c r="BF427" s="2188"/>
      <c r="BG427" s="2188"/>
      <c r="BH427" s="2188"/>
      <c r="BI427" s="2187"/>
      <c r="BJ427" s="2188"/>
      <c r="BK427" s="2188"/>
      <c r="BL427" s="2188"/>
      <c r="BM427" s="2188"/>
      <c r="BN427" s="2187"/>
      <c r="BO427" s="2188"/>
      <c r="BP427" s="2188"/>
      <c r="BQ427" s="2188"/>
      <c r="BR427" s="2188"/>
      <c r="BS427" s="2188"/>
      <c r="BT427" s="2188"/>
      <c r="BU427" s="2188"/>
      <c r="BV427" s="2188"/>
      <c r="BW427" s="2188"/>
      <c r="BX427" s="2188"/>
      <c r="BY427" s="2189"/>
      <c r="BZ427" s="2187"/>
      <c r="CA427" s="2187"/>
      <c r="CB427" s="2187"/>
      <c r="CC427" s="2187"/>
      <c r="CD427" s="2187"/>
      <c r="CE427" s="2187"/>
      <c r="CF427" s="2187"/>
    </row>
    <row r="428" spans="1:84" s="1022" customFormat="1" hidden="1" outlineLevel="1">
      <c r="A428" s="2184" t="s">
        <v>952</v>
      </c>
      <c r="B428" s="2185"/>
      <c r="C428" s="2185"/>
      <c r="D428" s="2185"/>
      <c r="E428" s="2185"/>
      <c r="F428" s="2186"/>
      <c r="G428" s="2185"/>
      <c r="H428" s="2185"/>
      <c r="I428" s="2185"/>
      <c r="J428" s="2185"/>
      <c r="K428" s="2186"/>
      <c r="L428" s="2185"/>
      <c r="M428" s="2185"/>
      <c r="N428" s="2185"/>
      <c r="O428" s="2185"/>
      <c r="P428" s="2186"/>
      <c r="Q428" s="2185"/>
      <c r="R428" s="2185"/>
      <c r="S428" s="2185"/>
      <c r="T428" s="2185"/>
      <c r="U428" s="2186"/>
      <c r="V428" s="2185"/>
      <c r="W428" s="2185"/>
      <c r="X428" s="2185"/>
      <c r="Y428" s="2185"/>
      <c r="Z428" s="2186"/>
      <c r="AA428" s="2209"/>
      <c r="AB428" s="2188">
        <f>IF(ISERROR(AB426/AA426-1),,(AB426/AA426-1))</f>
        <v>6.4999999999999947E-2</v>
      </c>
      <c r="AC428" s="2188">
        <f>IF(ISERROR(AC426/AB426-1),,(AC426/AB426-1))</f>
        <v>-6.1032863849765251E-2</v>
      </c>
      <c r="AD428" s="2188">
        <f>IF(ISERROR(AD426/AC426-1),,(AD426/AC426-1))</f>
        <v>-2.0000000000000018E-2</v>
      </c>
      <c r="AE428" s="2186"/>
      <c r="AF428" s="2188">
        <f>IF(ISERROR(AF426/AD426-1),,(AF426/AD426-1))</f>
        <v>-0.36326530612244901</v>
      </c>
      <c r="AG428" s="2188">
        <f>IF(ISERROR(AG426/AF426-1),,(AG426/AF426-1))</f>
        <v>0.11298076923076916</v>
      </c>
      <c r="AH428" s="2188">
        <f>IF(ISERROR(AH426/AG426-1),,(AH426/AG426-1))</f>
        <v>4.3196544276457916E-2</v>
      </c>
      <c r="AI428" s="2188">
        <f>IF(ISERROR(AI426/AH426-1),,(AI426/AH426-1))</f>
        <v>8.6266390614216704E-2</v>
      </c>
      <c r="AJ428" s="2187"/>
      <c r="AK428" s="2188">
        <f>IF(ISERROR(AK426/AI426-1),,(AK426/AI426-1))</f>
        <v>1.7789072426937835E-2</v>
      </c>
      <c r="AL428" s="2188">
        <f>IF(ISERROR(AL426/AK426-1),,(AL426/AK426-1))</f>
        <v>0.11111111111111116</v>
      </c>
      <c r="AM428" s="2188">
        <f>IF(ISERROR(AM426/AL426-1),,(AM426/AL426-1))</f>
        <v>6.853932584269673E-2</v>
      </c>
      <c r="AN428" s="2188">
        <f>IF(ISERROR(AN426/AM426-1),,(AN426/AM426-1))</f>
        <v>0.18927444794952675</v>
      </c>
      <c r="AO428" s="2187"/>
      <c r="AP428" s="2188">
        <f>IF(ISERROR(AP426/AN426-1),,(AP426/AN426-1))</f>
        <v>6.4102564102564097E-2</v>
      </c>
      <c r="AQ428" s="2188">
        <f>IF(ISERROR(AQ426/AP426-1),,(AQ426/AP426-1))</f>
        <v>7.7274615704196137E-2</v>
      </c>
      <c r="AR428" s="2188">
        <f>IF(ISERROR(AR426/AQ426-1),,(AR426/AQ426-1))</f>
        <v>6.4404165059776419E-2</v>
      </c>
      <c r="AS428" s="2188">
        <f>IF(ISERROR(AS426/AR426-1),,(AS426/AR426-1))</f>
        <v>0.11449275362318834</v>
      </c>
      <c r="AT428" s="2187"/>
      <c r="AU428" s="2188">
        <f>IF(ISERROR(AU426/AS426-1),,(AU426/AS426-1))</f>
        <v>3.5942829973992119E-2</v>
      </c>
      <c r="AV428" s="2188">
        <f>IF(ISERROR(AV426/AU426-1),,(AV426/AU426-1))</f>
        <v>9.5553431018010615E-2</v>
      </c>
      <c r="AW428" s="2188">
        <f>IF(ISERROR(AW426/AV426-1),,(AW426/AV426-1))</f>
        <v>0.10205169400617353</v>
      </c>
      <c r="AX428" s="2188">
        <f>IF(ISERROR(AX426/AW426-1),,(AX426/AW426-1))</f>
        <v>0.11241653870402035</v>
      </c>
      <c r="AY428" s="2187"/>
      <c r="AZ428" s="2188"/>
      <c r="BA428" s="2188"/>
      <c r="BB428" s="2188"/>
      <c r="BC428" s="2188"/>
      <c r="BD428" s="2187"/>
      <c r="BE428" s="2188"/>
      <c r="BF428" s="2188"/>
      <c r="BG428" s="2188"/>
      <c r="BH428" s="2188"/>
      <c r="BI428" s="2187"/>
      <c r="BJ428" s="2188"/>
      <c r="BK428" s="2188"/>
      <c r="BL428" s="2188"/>
      <c r="BM428" s="2188"/>
      <c r="BN428" s="2187"/>
      <c r="BO428" s="2188"/>
      <c r="BP428" s="2188"/>
      <c r="BQ428" s="2188"/>
      <c r="BR428" s="2188"/>
      <c r="BS428" s="2188"/>
      <c r="BT428" s="2188"/>
      <c r="BU428" s="2188"/>
      <c r="BV428" s="2188"/>
      <c r="BW428" s="2188"/>
      <c r="BX428" s="2188"/>
      <c r="BY428" s="2189"/>
      <c r="BZ428" s="2187"/>
      <c r="CA428" s="2187"/>
      <c r="CB428" s="2187"/>
      <c r="CC428" s="2187"/>
      <c r="CD428" s="2187"/>
      <c r="CE428" s="2187"/>
      <c r="CF428" s="2187"/>
    </row>
    <row r="429" spans="1:84" s="1022" customFormat="1" hidden="1" outlineLevel="1">
      <c r="A429" s="2184" t="s">
        <v>953</v>
      </c>
      <c r="B429" s="2185"/>
      <c r="C429" s="2185"/>
      <c r="D429" s="2185"/>
      <c r="E429" s="2185"/>
      <c r="F429" s="2186"/>
      <c r="G429" s="2185"/>
      <c r="H429" s="2185"/>
      <c r="I429" s="2185"/>
      <c r="J429" s="2185"/>
      <c r="K429" s="2186"/>
      <c r="L429" s="2185"/>
      <c r="M429" s="2185"/>
      <c r="N429" s="2185"/>
      <c r="O429" s="2185"/>
      <c r="P429" s="2186"/>
      <c r="Q429" s="2185"/>
      <c r="R429" s="2185"/>
      <c r="S429" s="2185"/>
      <c r="T429" s="2185"/>
      <c r="U429" s="2186"/>
      <c r="V429" s="2185"/>
      <c r="W429" s="2185"/>
      <c r="X429" s="2185"/>
      <c r="Y429" s="2185"/>
      <c r="Z429" s="2186"/>
      <c r="AA429" s="2185"/>
      <c r="AB429" s="2185"/>
      <c r="AC429" s="2185"/>
      <c r="AD429" s="2185"/>
      <c r="AE429" s="2186"/>
      <c r="AF429" s="2148"/>
      <c r="AG429" s="2188"/>
      <c r="AH429" s="2188"/>
      <c r="AI429" s="2188"/>
      <c r="AJ429" s="2187"/>
      <c r="AK429" s="2188">
        <f>AVERAGE(AF428,AA428)</f>
        <v>-0.36326530612244901</v>
      </c>
      <c r="AL429" s="2188">
        <f>AVERAGE(AG428,AB428)</f>
        <v>8.8990384615384555E-2</v>
      </c>
      <c r="AM429" s="2188">
        <f>AVERAGE(AH428,AC428)</f>
        <v>-8.9181597866536677E-3</v>
      </c>
      <c r="AN429" s="2188">
        <f>AVERAGE(AI428,AD428)</f>
        <v>3.3133195307108343E-2</v>
      </c>
      <c r="AO429" s="2187"/>
      <c r="AP429" s="2188">
        <f>AVERAGE(AK428,AF428)</f>
        <v>-0.17273811684775559</v>
      </c>
      <c r="AQ429" s="2188">
        <f>AVERAGE(AL428,AG428)</f>
        <v>0.11204594017094016</v>
      </c>
      <c r="AR429" s="2188">
        <f>AVERAGE(AM428,AH428)</f>
        <v>5.5867935059577323E-2</v>
      </c>
      <c r="AS429" s="2188">
        <f>AVERAGE(AN428,AI428,AD428)</f>
        <v>8.5180279521247806E-2</v>
      </c>
      <c r="AT429" s="2187"/>
      <c r="AU429" s="2188">
        <f>AVERAGE(AP428,AK428,AF428)</f>
        <v>-9.3791223197649029E-2</v>
      </c>
      <c r="AV429" s="2188">
        <f>AVERAGE(AQ428,AL428,AG428)</f>
        <v>0.10045549868202548</v>
      </c>
      <c r="AW429" s="2188">
        <f>AVERAGE(AR428,AM428,AH428)</f>
        <v>5.8713345059643686E-2</v>
      </c>
      <c r="AX429" s="2188">
        <f>AVERAGE(AS428,AN428,AI428)</f>
        <v>0.13001119739564393</v>
      </c>
      <c r="AY429" s="2187"/>
      <c r="AZ429" s="2188"/>
      <c r="BA429" s="2188"/>
      <c r="BB429" s="2188"/>
      <c r="BC429" s="2188"/>
      <c r="BD429" s="2187"/>
      <c r="BE429" s="2188"/>
      <c r="BF429" s="2188"/>
      <c r="BG429" s="2188"/>
      <c r="BH429" s="2188"/>
      <c r="BI429" s="2187"/>
      <c r="BJ429" s="2188"/>
      <c r="BK429" s="2188"/>
      <c r="BL429" s="2188"/>
      <c r="BM429" s="2188"/>
      <c r="BN429" s="2187"/>
      <c r="BO429" s="2188"/>
      <c r="BP429" s="2188"/>
      <c r="BQ429" s="2188"/>
      <c r="BR429" s="2188"/>
      <c r="BS429" s="2188"/>
      <c r="BT429" s="2188"/>
      <c r="BU429" s="2188"/>
      <c r="BV429" s="2188"/>
      <c r="BW429" s="2188"/>
      <c r="BX429" s="2188"/>
      <c r="BY429" s="2189"/>
      <c r="BZ429" s="2187"/>
      <c r="CA429" s="2187"/>
      <c r="CB429" s="2187"/>
      <c r="CC429" s="2187"/>
      <c r="CD429" s="2187"/>
      <c r="CE429" s="2187"/>
      <c r="CF429" s="2187"/>
    </row>
    <row r="430" spans="1:84" s="1022" customFormat="1" ht="8.25" hidden="1" customHeight="1" outlineLevel="1">
      <c r="A430" s="2184"/>
      <c r="B430" s="2185"/>
      <c r="C430" s="2185"/>
      <c r="D430" s="2185"/>
      <c r="E430" s="2185"/>
      <c r="F430" s="2186"/>
      <c r="G430" s="2185"/>
      <c r="H430" s="2185"/>
      <c r="I430" s="2185"/>
      <c r="J430" s="2185"/>
      <c r="K430" s="2186"/>
      <c r="L430" s="2185"/>
      <c r="M430" s="2185"/>
      <c r="N430" s="2185"/>
      <c r="O430" s="2185"/>
      <c r="P430" s="2186"/>
      <c r="Q430" s="2185"/>
      <c r="R430" s="2185"/>
      <c r="S430" s="2185"/>
      <c r="T430" s="2185"/>
      <c r="U430" s="2186"/>
      <c r="V430" s="2185"/>
      <c r="W430" s="2185"/>
      <c r="X430" s="2185"/>
      <c r="Y430" s="2185"/>
      <c r="Z430" s="2186"/>
      <c r="AA430" s="2185"/>
      <c r="AB430" s="2185"/>
      <c r="AC430" s="2185"/>
      <c r="AD430" s="2185"/>
      <c r="AE430" s="2186"/>
      <c r="AF430" s="2148"/>
      <c r="AG430" s="2188"/>
      <c r="AH430" s="2188"/>
      <c r="AI430" s="2188"/>
      <c r="AJ430" s="2187"/>
      <c r="AK430" s="2188"/>
      <c r="AL430" s="2188"/>
      <c r="AM430" s="2188"/>
      <c r="AN430" s="2188"/>
      <c r="AO430" s="2187"/>
      <c r="AP430" s="2188"/>
      <c r="AQ430" s="2188"/>
      <c r="AR430" s="2188"/>
      <c r="AS430" s="2188"/>
      <c r="AT430" s="2187"/>
      <c r="AU430" s="2188"/>
      <c r="AV430" s="2188"/>
      <c r="AW430" s="2188"/>
      <c r="AX430" s="2188"/>
      <c r="AY430" s="2187"/>
      <c r="AZ430" s="2188"/>
      <c r="BA430" s="2188"/>
      <c r="BB430" s="2188"/>
      <c r="BC430" s="2188"/>
      <c r="BD430" s="2187"/>
      <c r="BE430" s="2188"/>
      <c r="BF430" s="2188"/>
      <c r="BG430" s="2188"/>
      <c r="BH430" s="2188"/>
      <c r="BI430" s="2187"/>
      <c r="BJ430" s="2188"/>
      <c r="BK430" s="2188"/>
      <c r="BL430" s="2188"/>
      <c r="BM430" s="2188"/>
      <c r="BN430" s="2187"/>
      <c r="BO430" s="2188"/>
      <c r="BP430" s="2188"/>
      <c r="BQ430" s="2188"/>
      <c r="BR430" s="2188"/>
      <c r="BS430" s="2188"/>
      <c r="BT430" s="2188"/>
      <c r="BU430" s="2188"/>
      <c r="BV430" s="2188"/>
      <c r="BW430" s="2188"/>
      <c r="BX430" s="2188"/>
      <c r="BY430" s="2189"/>
      <c r="BZ430" s="2187"/>
      <c r="CA430" s="2187"/>
      <c r="CB430" s="2187"/>
      <c r="CC430" s="2187"/>
      <c r="CD430" s="2187"/>
      <c r="CE430" s="2187"/>
      <c r="CF430" s="2187"/>
    </row>
    <row r="431" spans="1:84" s="1022" customFormat="1" hidden="1" outlineLevel="1">
      <c r="A431" s="2184" t="s">
        <v>976</v>
      </c>
      <c r="B431" s="2185"/>
      <c r="C431" s="2185"/>
      <c r="D431" s="2185"/>
      <c r="E431" s="2185"/>
      <c r="F431" s="2186"/>
      <c r="G431" s="2185"/>
      <c r="H431" s="2185"/>
      <c r="I431" s="2185"/>
      <c r="J431" s="2185"/>
      <c r="K431" s="2186"/>
      <c r="L431" s="2185"/>
      <c r="M431" s="2185"/>
      <c r="N431" s="2185"/>
      <c r="O431" s="2185"/>
      <c r="P431" s="2186"/>
      <c r="Q431" s="2185"/>
      <c r="R431" s="2185"/>
      <c r="S431" s="2185"/>
      <c r="T431" s="2185"/>
      <c r="U431" s="2186"/>
      <c r="V431" s="2185"/>
      <c r="W431" s="2185"/>
      <c r="X431" s="2185"/>
      <c r="Y431" s="2185"/>
      <c r="Z431" s="2186"/>
      <c r="AA431" s="2185"/>
      <c r="AB431" s="2185"/>
      <c r="AC431" s="2185"/>
      <c r="AD431" s="2185"/>
      <c r="AE431" s="2149">
        <f>'Rev Overview'!BE140</f>
        <v>-485</v>
      </c>
      <c r="AF431" s="2226">
        <f>'Rev Overview'!BF140</f>
        <v>-1347</v>
      </c>
      <c r="AG431" s="2226">
        <f>'Rev Overview'!BG140</f>
        <v>-578</v>
      </c>
      <c r="AH431" s="2226">
        <f>'Rev Overview'!BH140</f>
        <v>1651</v>
      </c>
      <c r="AI431" s="2226">
        <f>'Rev Overview'!BI140</f>
        <v>677</v>
      </c>
      <c r="AJ431" s="2149">
        <f>'Rev Overview'!BJ140</f>
        <v>403</v>
      </c>
      <c r="AK431" s="2226">
        <f>'Rev Overview'!BK140</f>
        <v>-131</v>
      </c>
      <c r="AL431" s="2226">
        <f>'Rev Overview'!BL140</f>
        <v>-55</v>
      </c>
      <c r="AM431" s="2226">
        <f>'Rev Overview'!BM140</f>
        <v>-127</v>
      </c>
      <c r="AN431" s="2226">
        <f>'Rev Overview'!BN140</f>
        <v>-102</v>
      </c>
      <c r="AO431" s="2149">
        <f>'Rev Overview'!BO140</f>
        <v>-415</v>
      </c>
      <c r="AP431" s="2226">
        <f>'Rev Overview'!BP140</f>
        <v>-43</v>
      </c>
      <c r="AQ431" s="2226">
        <f>'Rev Overview'!BQ140</f>
        <v>314</v>
      </c>
      <c r="AR431" s="2226">
        <f>'Rev Overview'!BR140</f>
        <v>-20</v>
      </c>
      <c r="AS431" s="2226">
        <f>'Rev Overview'!BS140</f>
        <v>-47</v>
      </c>
      <c r="AT431" s="2149">
        <f>'Rev Overview'!BT140</f>
        <v>204</v>
      </c>
      <c r="AU431" s="2226">
        <f>'Rev Overview'!BU140</f>
        <v>0</v>
      </c>
      <c r="AV431" s="2226">
        <f>'Rev Overview'!BV140</f>
        <v>0</v>
      </c>
      <c r="AW431" s="2226">
        <f>'Rev Overview'!BW140</f>
        <v>0</v>
      </c>
      <c r="AX431" s="2226">
        <f>'Rev Overview'!BX140</f>
        <v>0</v>
      </c>
      <c r="AY431" s="2149">
        <f>'Rev Overview'!BY140</f>
        <v>0</v>
      </c>
      <c r="AZ431" s="2226"/>
      <c r="BA431" s="2226"/>
      <c r="BB431" s="2226"/>
      <c r="BC431" s="2226"/>
      <c r="BD431" s="2149"/>
      <c r="BE431" s="2226"/>
      <c r="BF431" s="2226"/>
      <c r="BG431" s="2226"/>
      <c r="BH431" s="2226"/>
      <c r="BI431" s="2149"/>
      <c r="BJ431" s="2226"/>
      <c r="BK431" s="2226"/>
      <c r="BL431" s="2226"/>
      <c r="BM431" s="2226"/>
      <c r="BN431" s="2149"/>
      <c r="BO431" s="2148"/>
      <c r="BP431" s="2148"/>
      <c r="BQ431" s="2148"/>
      <c r="BR431" s="2148"/>
      <c r="BS431" s="2148"/>
      <c r="BT431" s="2148"/>
      <c r="BU431" s="2148"/>
      <c r="BV431" s="2148"/>
      <c r="BW431" s="2148"/>
      <c r="BX431" s="2148"/>
      <c r="BY431" s="2189"/>
      <c r="BZ431" s="2149"/>
      <c r="CA431" s="2149"/>
      <c r="CB431" s="2149"/>
      <c r="CC431" s="2149"/>
      <c r="CD431" s="2149"/>
      <c r="CE431" s="2149"/>
      <c r="CF431" s="2149"/>
    </row>
    <row r="432" spans="1:84" ht="8.25" hidden="1" customHeight="1" outlineLevel="1" thickBot="1">
      <c r="A432" s="2120"/>
      <c r="B432" s="2168"/>
      <c r="C432" s="2168"/>
      <c r="D432" s="2168"/>
      <c r="E432" s="2168"/>
      <c r="F432" s="2215"/>
      <c r="G432" s="2168"/>
      <c r="H432" s="2168"/>
      <c r="I432" s="2168"/>
      <c r="J432" s="2168"/>
      <c r="K432" s="2215"/>
      <c r="L432" s="2168"/>
      <c r="M432" s="2168"/>
      <c r="N432" s="2168"/>
      <c r="O432" s="2168"/>
      <c r="P432" s="2215"/>
      <c r="Q432" s="2168"/>
      <c r="R432" s="2168"/>
      <c r="S432" s="2168"/>
      <c r="T432" s="2168"/>
      <c r="U432" s="2215"/>
      <c r="V432" s="2168"/>
      <c r="W432" s="2168"/>
      <c r="X432" s="2168"/>
      <c r="Y432" s="2168"/>
      <c r="Z432" s="2215"/>
      <c r="AA432" s="2168"/>
      <c r="AB432" s="2168"/>
      <c r="AC432" s="2168"/>
      <c r="AD432" s="2168"/>
      <c r="AE432" s="2215"/>
      <c r="AF432" s="2120"/>
      <c r="AG432" s="2120"/>
      <c r="AH432" s="2120"/>
      <c r="AI432" s="2120"/>
      <c r="AJ432" s="2215"/>
      <c r="AK432" s="2120"/>
      <c r="AL432" s="2120"/>
      <c r="AM432" s="2120"/>
      <c r="AN432" s="2120"/>
      <c r="AO432" s="2215"/>
      <c r="AP432" s="2120"/>
      <c r="AQ432" s="2120"/>
      <c r="AR432" s="2120"/>
      <c r="AS432" s="2120"/>
      <c r="AT432" s="2215"/>
      <c r="AU432" s="2120"/>
      <c r="AV432" s="2120"/>
      <c r="AW432" s="2120"/>
      <c r="AX432" s="2120"/>
      <c r="AY432" s="2215"/>
      <c r="AZ432" s="2120"/>
      <c r="BA432" s="2120"/>
      <c r="BB432" s="2120"/>
      <c r="BC432" s="2120"/>
      <c r="BD432" s="2215"/>
      <c r="BE432" s="2120"/>
      <c r="BF432" s="2120"/>
      <c r="BG432" s="2120"/>
      <c r="BH432" s="2120"/>
      <c r="BI432" s="2215"/>
      <c r="BJ432" s="2120"/>
      <c r="BK432" s="2120"/>
      <c r="BL432" s="2120"/>
      <c r="BM432" s="2120"/>
      <c r="BN432" s="2215"/>
      <c r="BO432" s="2168"/>
      <c r="BP432" s="2168"/>
      <c r="BQ432" s="2168"/>
      <c r="BR432" s="2168"/>
      <c r="BS432" s="2168"/>
      <c r="BT432" s="2168"/>
      <c r="BU432" s="2168"/>
      <c r="BV432" s="2168"/>
      <c r="BW432" s="2168"/>
      <c r="BX432" s="2168"/>
      <c r="BY432" s="2120"/>
      <c r="BZ432" s="2215"/>
      <c r="CA432" s="2215"/>
      <c r="CB432" s="2215"/>
      <c r="CC432" s="2215"/>
      <c r="CD432" s="2215"/>
      <c r="CE432" s="2215"/>
      <c r="CF432" s="2215"/>
    </row>
    <row r="433" spans="1:84" s="1011" customFormat="1" ht="13.5" hidden="1" outlineLevel="1" thickBot="1">
      <c r="A433" s="2206" t="s">
        <v>743</v>
      </c>
      <c r="B433" s="2207">
        <f>B260+B263+B266+B383+B386+B412</f>
        <v>729.02777777777783</v>
      </c>
      <c r="C433" s="2207">
        <f>C260+C263+C266+C383+C386+C412</f>
        <v>235.3</v>
      </c>
      <c r="D433" s="2207">
        <f>D260+D263+D266+D383+D386+D412</f>
        <v>1634.0277777777778</v>
      </c>
      <c r="E433" s="2207">
        <f>E260+E263+E266+E383+E386+E412</f>
        <v>979.41111111111115</v>
      </c>
      <c r="F433" s="2208">
        <f>SUM(B433:E433)</f>
        <v>3577.7666666666669</v>
      </c>
      <c r="G433" s="2207">
        <f>G260+G263+G266+G383+G386+G412</f>
        <v>758.18888888888887</v>
      </c>
      <c r="H433" s="2207">
        <f>H260+H263+H266+H383+H386+H412</f>
        <v>830.58888888888885</v>
      </c>
      <c r="I433" s="2207">
        <f>I260+I263+I266+I383+I386+I412</f>
        <v>1000.5277777777778</v>
      </c>
      <c r="J433" s="2207">
        <f>J260+J263+J266+J383+J386+J412</f>
        <v>881.87222222222226</v>
      </c>
      <c r="K433" s="2208">
        <f>SUM(G433:J433)</f>
        <v>3471.1777777777779</v>
      </c>
      <c r="L433" s="2207">
        <f>L260+L263+L266+L383+L386+L412</f>
        <v>1094.0444444444445</v>
      </c>
      <c r="M433" s="2207">
        <f>M260+M263+M266+M383+M386+M412</f>
        <v>754.16666666666663</v>
      </c>
      <c r="N433" s="2207">
        <f>N260+N263+N266+N383+N386+N412</f>
        <v>701.87777777777774</v>
      </c>
      <c r="O433" s="2207">
        <f>O260+O263+O266+O383+O386+O412</f>
        <v>591.26666666666665</v>
      </c>
      <c r="P433" s="2208">
        <f>SUM(L433:O433)</f>
        <v>3141.3555555555558</v>
      </c>
      <c r="Q433" s="2207">
        <f>Q260+Q263+Q266+Q383+Q386+Q412</f>
        <v>761.26470588235293</v>
      </c>
      <c r="R433" s="2207">
        <f>R260+R263+R266+R383+R386+R412</f>
        <v>849.69444444444446</v>
      </c>
      <c r="S433" s="2207">
        <f>S260+S263+S266+S383+S386+S412</f>
        <v>472.61111111111109</v>
      </c>
      <c r="T433" s="2207">
        <f>T260+T263+T266+T383+T386+T412</f>
        <v>950.25</v>
      </c>
      <c r="U433" s="2208">
        <f>SUM(Q433:T433)</f>
        <v>3033.8202614379088</v>
      </c>
      <c r="V433" s="2207">
        <f>IS!DJ8</f>
        <v>16195</v>
      </c>
      <c r="W433" s="2207">
        <f>IS!DK8</f>
        <v>19953</v>
      </c>
      <c r="X433" s="2207">
        <f>IS!DL8</f>
        <v>16428</v>
      </c>
      <c r="Y433" s="2207">
        <f>IS!DM8</f>
        <v>17365.439999999999</v>
      </c>
      <c r="Z433" s="2208">
        <f>SUM(V433:Y433)</f>
        <v>69941.440000000002</v>
      </c>
      <c r="AA433" s="2207">
        <f>IS!DO8</f>
        <v>17372</v>
      </c>
      <c r="AB433" s="2207">
        <f>IS!DP8</f>
        <v>20885</v>
      </c>
      <c r="AC433" s="2207">
        <f>IS!DQ8</f>
        <v>17407</v>
      </c>
      <c r="AD433" s="2207">
        <f>IS!DR8</f>
        <v>18059</v>
      </c>
      <c r="AE433" s="2208">
        <f>AE426+AE408+AE384+AE360+AE354+AE431</f>
        <v>61500.511273466196</v>
      </c>
      <c r="AF433" s="2207">
        <f>AF426+AF408+AF384+AF360+AF354+AF431</f>
        <v>13705.260358689273</v>
      </c>
      <c r="AG433" s="2207">
        <f>AG426+AG408+AG384+AG360+AG354+AG431</f>
        <v>17260.246914914485</v>
      </c>
      <c r="AH433" s="2207">
        <f>AH426+AH408+AH384+AH360+AH354+AH431</f>
        <v>17854.469251424809</v>
      </c>
      <c r="AI433" s="2207">
        <f>AI426+AI408+AI384+AI360+AI354+AI431</f>
        <v>17351.110842949925</v>
      </c>
      <c r="AJ433" s="2208">
        <f>SUM(AF433:AI433)</f>
        <v>66171.0873679785</v>
      </c>
      <c r="AK433" s="2207">
        <f>AK426+AK408+AK384+AK360+AK354+AK431</f>
        <v>17978.062628468782</v>
      </c>
      <c r="AL433" s="2207">
        <f>AL426+AL408+AL384+AL360+AL354+AL431</f>
        <v>24092.974512510104</v>
      </c>
      <c r="AM433" s="2207">
        <f>AM426+AM408+AM384+AM360+AM354+AM431</f>
        <v>20022.980870439518</v>
      </c>
      <c r="AN433" s="2207">
        <f>AN426+AN408+AN384+AN360+AN354+AN431+AN366</f>
        <v>22639.84627818783</v>
      </c>
      <c r="AO433" s="2208">
        <f>SUM(AK433:AN433)</f>
        <v>84733.864289606237</v>
      </c>
      <c r="AP433" s="2207">
        <f>AP426+AP408+AP384+AP360+AP354+AP431+AP366</f>
        <v>22621.659734277382</v>
      </c>
      <c r="AQ433" s="2207">
        <f>AQ426+AQ408+AQ384+AQ360+AQ354+AQ431+AQ366</f>
        <v>25961.98351224701</v>
      </c>
      <c r="AR433" s="2207">
        <f>AR426+AR408+AR384+AR360+AR354+AR431+AR366</f>
        <v>21516.257674600507</v>
      </c>
      <c r="AS433" s="2207">
        <f>AS426+AS408+AS384+AS360+AS354+AS431+AS366</f>
        <v>21726.455913832382</v>
      </c>
      <c r="AT433" s="2208">
        <f>SUM(AP433:AS433)</f>
        <v>91826.356834957289</v>
      </c>
      <c r="AU433" s="2207">
        <f>AU426+AU408+AU384+AU360+AU354+AU431+AU366</f>
        <v>20776.284607895901</v>
      </c>
      <c r="AV433" s="2207">
        <f>AV426+AV408+AV384+AV360+AV354+AV431+AV366</f>
        <v>24811.883644804908</v>
      </c>
      <c r="AW433" s="2207">
        <f>AW426+AW408+AW384+AW360+AW354+AW431+AW366</f>
        <v>21427.958904023817</v>
      </c>
      <c r="AX433" s="2207">
        <f>AX426+AX408+AX384+AX360+AX354+AX431+AX366</f>
        <v>21582.397432341462</v>
      </c>
      <c r="AY433" s="2208">
        <f>SUM(AU433:AX433)</f>
        <v>88598.524589066088</v>
      </c>
      <c r="AZ433" s="2207"/>
      <c r="BA433" s="2207"/>
      <c r="BB433" s="2207"/>
      <c r="BC433" s="2207"/>
      <c r="BD433" s="2208"/>
      <c r="BE433" s="2207"/>
      <c r="BF433" s="2207"/>
      <c r="BG433" s="2207"/>
      <c r="BH433" s="2207"/>
      <c r="BI433" s="2208"/>
      <c r="BJ433" s="2207"/>
      <c r="BK433" s="2207"/>
      <c r="BL433" s="2207"/>
      <c r="BM433" s="2207"/>
      <c r="BN433" s="2208"/>
      <c r="BO433" s="2138"/>
      <c r="BP433" s="2138"/>
      <c r="BQ433" s="2138"/>
      <c r="BR433" s="2138"/>
      <c r="BS433" s="2138"/>
      <c r="BT433" s="2138"/>
      <c r="BU433" s="2138"/>
      <c r="BV433" s="2138"/>
      <c r="BW433" s="2138"/>
      <c r="BX433" s="2138"/>
      <c r="BY433" s="2200"/>
      <c r="BZ433" s="2208"/>
      <c r="CA433" s="2208"/>
      <c r="CB433" s="2208">
        <f>SUM(AM433:AN433,AP433:AQ433)</f>
        <v>91246.470395151729</v>
      </c>
      <c r="CC433" s="2208">
        <f>SUM(AR433:AS433,AU433:AV433)</f>
        <v>88830.881841133698</v>
      </c>
      <c r="CD433" s="2208">
        <f>SUM(AW433:AX433,AZ433:BA433)</f>
        <v>43010.356336365279</v>
      </c>
      <c r="CE433" s="2208">
        <f>SUM(BB433:BC433,BE433:BF433)</f>
        <v>0</v>
      </c>
      <c r="CF433" s="2208"/>
    </row>
    <row r="434" spans="1:84" s="1022" customFormat="1" hidden="1" outlineLevel="1">
      <c r="A434" s="2184" t="s">
        <v>926</v>
      </c>
      <c r="B434" s="2185"/>
      <c r="C434" s="2185"/>
      <c r="D434" s="2185"/>
      <c r="E434" s="2185"/>
      <c r="F434" s="2186"/>
      <c r="G434" s="2185"/>
      <c r="H434" s="2185"/>
      <c r="I434" s="2185"/>
      <c r="J434" s="2185"/>
      <c r="K434" s="2186"/>
      <c r="L434" s="2185"/>
      <c r="M434" s="2185"/>
      <c r="N434" s="2185"/>
      <c r="O434" s="2185"/>
      <c r="P434" s="2186"/>
      <c r="Q434" s="2185"/>
      <c r="R434" s="2185"/>
      <c r="S434" s="2185"/>
      <c r="T434" s="2185"/>
      <c r="U434" s="2186"/>
      <c r="V434" s="2185"/>
      <c r="W434" s="2185"/>
      <c r="X434" s="2185"/>
      <c r="Y434" s="2185"/>
      <c r="Z434" s="2186"/>
      <c r="AA434" s="2188">
        <f>IF(ISERROR(AA433/V433-1),,(AA433/V433-1))</f>
        <v>7.2676752083976615E-2</v>
      </c>
      <c r="AB434" s="2188">
        <f>IF(ISERROR(AB433/W433-1),,(AB433/W433-1))</f>
        <v>4.6709767954693504E-2</v>
      </c>
      <c r="AC434" s="2188">
        <f>IF(ISERROR(AC433/X433-1),,(AC433/X433-1))</f>
        <v>5.9593377160944705E-2</v>
      </c>
      <c r="AD434" s="2188">
        <f>IF(ISERROR(AD433/Y433-1),,(AD433/Y433-1))</f>
        <v>3.9939097425691461E-2</v>
      </c>
      <c r="AE434" s="2186"/>
      <c r="AF434" s="2188">
        <f t="shared" ref="AF434:AY434" si="557">IF(ISERROR(AF433/AA433-1),,(AF433/AA433-1))</f>
        <v>-0.21107181909456174</v>
      </c>
      <c r="AG434" s="2188">
        <f t="shared" si="557"/>
        <v>-0.17355772492628752</v>
      </c>
      <c r="AH434" s="2188">
        <f t="shared" si="557"/>
        <v>2.5706282037387673E-2</v>
      </c>
      <c r="AI434" s="2188">
        <f t="shared" si="557"/>
        <v>-3.9198690794068014E-2</v>
      </c>
      <c r="AJ434" s="2187">
        <f t="shared" si="557"/>
        <v>7.594369539050283E-2</v>
      </c>
      <c r="AK434" s="2188">
        <f t="shared" si="557"/>
        <v>0.31176367014950657</v>
      </c>
      <c r="AL434" s="2188">
        <f t="shared" si="557"/>
        <v>0.39586499725513757</v>
      </c>
      <c r="AM434" s="2188">
        <f t="shared" si="557"/>
        <v>0.12145483511595612</v>
      </c>
      <c r="AN434" s="2188">
        <f t="shared" si="557"/>
        <v>0.30480673445682083</v>
      </c>
      <c r="AO434" s="2187">
        <f t="shared" si="557"/>
        <v>0.28052700446646472</v>
      </c>
      <c r="AP434" s="2188">
        <f t="shared" si="557"/>
        <v>0.2582924090193861</v>
      </c>
      <c r="AQ434" s="2188">
        <f t="shared" si="557"/>
        <v>7.7574854809497884E-2</v>
      </c>
      <c r="AR434" s="2188">
        <f t="shared" si="557"/>
        <v>7.4578146671735235E-2</v>
      </c>
      <c r="AS434" s="2188">
        <f t="shared" si="557"/>
        <v>-4.0344371297054482E-2</v>
      </c>
      <c r="AT434" s="2187">
        <f t="shared" si="557"/>
        <v>8.370316407511047E-2</v>
      </c>
      <c r="AU434" s="2188">
        <f t="shared" si="557"/>
        <v>-8.1575584994998507E-2</v>
      </c>
      <c r="AV434" s="2188">
        <f t="shared" si="557"/>
        <v>-4.429938363143815E-2</v>
      </c>
      <c r="AW434" s="2188">
        <f t="shared" si="557"/>
        <v>-4.1038163751369039E-3</v>
      </c>
      <c r="AX434" s="2188">
        <f t="shared" si="557"/>
        <v>-6.6305559481150134E-3</v>
      </c>
      <c r="AY434" s="2187">
        <f t="shared" si="557"/>
        <v>-3.5151478912450962E-2</v>
      </c>
      <c r="AZ434" s="2188"/>
      <c r="BA434" s="2188"/>
      <c r="BB434" s="2188"/>
      <c r="BC434" s="2188"/>
      <c r="BD434" s="2187"/>
      <c r="BE434" s="2188"/>
      <c r="BF434" s="2188"/>
      <c r="BG434" s="2188"/>
      <c r="BH434" s="2188"/>
      <c r="BI434" s="2187"/>
      <c r="BJ434" s="2188"/>
      <c r="BK434" s="2188"/>
      <c r="BL434" s="2188"/>
      <c r="BM434" s="2188"/>
      <c r="BN434" s="2187"/>
      <c r="BO434" s="2188"/>
      <c r="BP434" s="2188"/>
      <c r="BQ434" s="2188"/>
      <c r="BR434" s="2188"/>
      <c r="BS434" s="2188"/>
      <c r="BT434" s="2188"/>
      <c r="BU434" s="2188"/>
      <c r="BV434" s="2188"/>
      <c r="BW434" s="2188"/>
      <c r="BX434" s="2188"/>
      <c r="BY434" s="2189"/>
      <c r="BZ434" s="2187"/>
      <c r="CA434" s="2187"/>
      <c r="CB434" s="2187"/>
      <c r="CC434" s="2187"/>
      <c r="CD434" s="2187"/>
      <c r="CE434" s="2187"/>
      <c r="CF434" s="2187"/>
    </row>
    <row r="435" spans="1:84" s="1022" customFormat="1" hidden="1" outlineLevel="1">
      <c r="A435" s="2184" t="s">
        <v>952</v>
      </c>
      <c r="B435" s="2185"/>
      <c r="C435" s="2185"/>
      <c r="D435" s="2185"/>
      <c r="E435" s="2185"/>
      <c r="F435" s="2186"/>
      <c r="G435" s="2185"/>
      <c r="H435" s="2185"/>
      <c r="I435" s="2185"/>
      <c r="J435" s="2185"/>
      <c r="K435" s="2186"/>
      <c r="L435" s="2185"/>
      <c r="M435" s="2185"/>
      <c r="N435" s="2185"/>
      <c r="O435" s="2185"/>
      <c r="P435" s="2186"/>
      <c r="Q435" s="2185"/>
      <c r="R435" s="2185"/>
      <c r="S435" s="2185"/>
      <c r="T435" s="2185"/>
      <c r="U435" s="2186"/>
      <c r="V435" s="2185"/>
      <c r="W435" s="2185"/>
      <c r="X435" s="2185"/>
      <c r="Y435" s="2185"/>
      <c r="Z435" s="2186"/>
      <c r="AA435" s="2209"/>
      <c r="AB435" s="2188">
        <f>IF(ISERROR(AB433/AA433-1),,(AB433/AA433-1))</f>
        <v>0.20222196638268475</v>
      </c>
      <c r="AC435" s="2188">
        <f>IF(ISERROR(AC433/AB433-1),,(AC433/AB433-1))</f>
        <v>-0.16653100311228153</v>
      </c>
      <c r="AD435" s="2188">
        <f>IF(ISERROR(AD433/AC433-1),,(AD433/AC433-1))</f>
        <v>3.7456195783305501E-2</v>
      </c>
      <c r="AE435" s="2186"/>
      <c r="AF435" s="2188">
        <f>IF(ISERROR(AF433/AD433-1),,(AF433/AD433-1))</f>
        <v>-0.24108420407058684</v>
      </c>
      <c r="AG435" s="2188">
        <f>IF(ISERROR(AG433/AF433-1),,(AG433/AF433-1))</f>
        <v>0.25938847297937806</v>
      </c>
      <c r="AH435" s="2188">
        <f>IF(ISERROR(AH433/AG433-1),,(AH433/AG433-1))</f>
        <v>3.4427221084355475E-2</v>
      </c>
      <c r="AI435" s="2188">
        <f>IF(ISERROR(AI433/AH433-1),,(AI433/AH433-1))</f>
        <v>-2.8192291878668674E-2</v>
      </c>
      <c r="AJ435" s="2187"/>
      <c r="AK435" s="2188">
        <f>IF(ISERROR(AK433/AI433-1),,(AK433/AI433-1))</f>
        <v>3.6133236148024439E-2</v>
      </c>
      <c r="AL435" s="2188">
        <f>IF(ISERROR(AL433/AK433-1),,(AL433/AK433-1))</f>
        <v>0.34013186016819086</v>
      </c>
      <c r="AM435" s="2188">
        <f>IF(ISERROR(AM433/AL433-1),,(AM433/AL433-1))</f>
        <v>-0.16892864930219675</v>
      </c>
      <c r="AN435" s="2188">
        <f>IF(ISERROR(AN433/AM433-1),,(AN433/AM433-1))</f>
        <v>0.13069309832941323</v>
      </c>
      <c r="AO435" s="2187"/>
      <c r="AP435" s="2188">
        <f>IF(ISERROR(AP433/AN433-1),,(AP433/AN433-1))</f>
        <v>-8.0329802980905196E-4</v>
      </c>
      <c r="AQ435" s="2188">
        <f>IF(ISERROR(AQ433/AP433-1),,(AQ433/AP433-1))</f>
        <v>0.1476604200225069</v>
      </c>
      <c r="AR435" s="2188">
        <f>IF(ISERROR(AR433/AQ433-1),,(AR433/AQ433-1))</f>
        <v>-0.17123983749351535</v>
      </c>
      <c r="AS435" s="2188">
        <f>IF(ISERROR(AS433/AR433-1),,(AS433/AR433-1))</f>
        <v>9.7692750482352153E-3</v>
      </c>
      <c r="AT435" s="2187"/>
      <c r="AU435" s="2188">
        <f>IF(ISERROR(AU433/AS433-1),,(AU433/AS433-1))</f>
        <v>-4.3733377855315281E-2</v>
      </c>
      <c r="AV435" s="2188">
        <f>IF(ISERROR(AV433/AU433-1),,(AV433/AU433-1))</f>
        <v>0.19424065048547234</v>
      </c>
      <c r="AW435" s="2188">
        <f>IF(ISERROR(AW433/AV433-1),,(AW433/AV433-1))</f>
        <v>-0.13638322624850829</v>
      </c>
      <c r="AX435" s="2188">
        <f>IF(ISERROR(AX433/AW433-1),,(AX433/AW433-1))</f>
        <v>7.2073373394720974E-3</v>
      </c>
      <c r="AY435" s="2187"/>
      <c r="AZ435" s="2188"/>
      <c r="BA435" s="2188"/>
      <c r="BB435" s="2188"/>
      <c r="BC435" s="2188"/>
      <c r="BD435" s="2187"/>
      <c r="BE435" s="2188"/>
      <c r="BF435" s="2188"/>
      <c r="BG435" s="2188"/>
      <c r="BH435" s="2188"/>
      <c r="BI435" s="2187"/>
      <c r="BJ435" s="2188"/>
      <c r="BK435" s="2188"/>
      <c r="BL435" s="2188"/>
      <c r="BM435" s="2188"/>
      <c r="BN435" s="2187"/>
      <c r="BO435" s="2188"/>
      <c r="BP435" s="2188"/>
      <c r="BQ435" s="2188"/>
      <c r="BR435" s="2188"/>
      <c r="BS435" s="2188"/>
      <c r="BT435" s="2188"/>
      <c r="BU435" s="2188"/>
      <c r="BV435" s="2188"/>
      <c r="BW435" s="2188"/>
      <c r="BX435" s="2188"/>
      <c r="BY435" s="2189"/>
      <c r="BZ435" s="2187"/>
      <c r="CA435" s="2187"/>
      <c r="CB435" s="2187"/>
      <c r="CC435" s="2187"/>
      <c r="CD435" s="2187"/>
      <c r="CE435" s="2187"/>
      <c r="CF435" s="2187"/>
    </row>
    <row r="436" spans="1:84" s="1022" customFormat="1" hidden="1" outlineLevel="1">
      <c r="A436" s="2184" t="s">
        <v>953</v>
      </c>
      <c r="B436" s="2185"/>
      <c r="C436" s="2185"/>
      <c r="D436" s="2185"/>
      <c r="E436" s="2185"/>
      <c r="F436" s="2186"/>
      <c r="G436" s="2185"/>
      <c r="H436" s="2185"/>
      <c r="I436" s="2185"/>
      <c r="J436" s="2185"/>
      <c r="K436" s="2186"/>
      <c r="L436" s="2185"/>
      <c r="M436" s="2185"/>
      <c r="N436" s="2185"/>
      <c r="O436" s="2185"/>
      <c r="P436" s="2186"/>
      <c r="Q436" s="2185"/>
      <c r="R436" s="2185"/>
      <c r="S436" s="2185"/>
      <c r="T436" s="2185"/>
      <c r="U436" s="2186"/>
      <c r="V436" s="2185"/>
      <c r="W436" s="2185"/>
      <c r="X436" s="2185"/>
      <c r="Y436" s="2185"/>
      <c r="Z436" s="2186"/>
      <c r="AA436" s="2185"/>
      <c r="AB436" s="2185"/>
      <c r="AC436" s="2185"/>
      <c r="AD436" s="2185"/>
      <c r="AE436" s="2186"/>
      <c r="AF436" s="2148"/>
      <c r="AG436" s="2188"/>
      <c r="AH436" s="2188"/>
      <c r="AI436" s="2188"/>
      <c r="AJ436" s="2187"/>
      <c r="AK436" s="2188">
        <f>AVERAGE(AF435,AA435)</f>
        <v>-0.24108420407058684</v>
      </c>
      <c r="AL436" s="2188">
        <f>AVERAGE(AG435,AB435)</f>
        <v>0.2308052196810314</v>
      </c>
      <c r="AM436" s="2188">
        <f>AVERAGE(AH435,AC435)</f>
        <v>-6.6051891013963027E-2</v>
      </c>
      <c r="AN436" s="2188">
        <f>AVERAGE(AI435,AD435)</f>
        <v>4.6319519523184138E-3</v>
      </c>
      <c r="AO436" s="2187"/>
      <c r="AP436" s="2188">
        <f>AVERAGE(AK435,AF435,AA435)</f>
        <v>-0.1024754839612812</v>
      </c>
      <c r="AQ436" s="2188">
        <f>AVERAGE(AL435,AG435,AB435)</f>
        <v>0.2672474331767512</v>
      </c>
      <c r="AR436" s="2188">
        <f>AVERAGE(AM435,AH435,AC435)</f>
        <v>-0.1003441437767076</v>
      </c>
      <c r="AS436" s="2188">
        <f>AVERAGE(AN435,AI435,AD435)</f>
        <v>4.6652334078016687E-2</v>
      </c>
      <c r="AT436" s="2187"/>
      <c r="AU436" s="2188">
        <f>AVERAGE(AP435,AK435,AF435)</f>
        <v>-6.8584755317457155E-2</v>
      </c>
      <c r="AV436" s="2188">
        <f>AVERAGE(AQ435,AL435,AG435)</f>
        <v>0.24906025105669194</v>
      </c>
      <c r="AW436" s="2188">
        <f>AVERAGE(AR435,AM435,AH435)</f>
        <v>-0.10191375523711887</v>
      </c>
      <c r="AX436" s="2188">
        <f>AVERAGE(AS435,AN435,AI435)</f>
        <v>3.742336049965992E-2</v>
      </c>
      <c r="AY436" s="2187"/>
      <c r="AZ436" s="2188"/>
      <c r="BA436" s="2188"/>
      <c r="BB436" s="2188"/>
      <c r="BC436" s="2188"/>
      <c r="BD436" s="2187"/>
      <c r="BE436" s="2188"/>
      <c r="BF436" s="2188"/>
      <c r="BG436" s="2188"/>
      <c r="BH436" s="2188"/>
      <c r="BI436" s="2187"/>
      <c r="BJ436" s="2188"/>
      <c r="BK436" s="2188"/>
      <c r="BL436" s="2188"/>
      <c r="BM436" s="2188"/>
      <c r="BN436" s="2187"/>
      <c r="BO436" s="2188"/>
      <c r="BP436" s="2188"/>
      <c r="BQ436" s="2188"/>
      <c r="BR436" s="2188"/>
      <c r="BS436" s="2188"/>
      <c r="BT436" s="2188"/>
      <c r="BU436" s="2188"/>
      <c r="BV436" s="2188"/>
      <c r="BW436" s="2188"/>
      <c r="BX436" s="2188"/>
      <c r="BY436" s="2189"/>
      <c r="BZ436" s="2187"/>
      <c r="CA436" s="2187"/>
      <c r="CB436" s="2187"/>
      <c r="CC436" s="2187"/>
      <c r="CD436" s="2187"/>
      <c r="CE436" s="2187"/>
      <c r="CF436" s="2187"/>
    </row>
    <row r="437" spans="1:84" collapsed="1">
      <c r="BE437" s="986"/>
      <c r="BF437" s="986"/>
      <c r="BG437" s="986"/>
      <c r="BH437" s="986"/>
      <c r="BI437" s="1009"/>
      <c r="BJ437" s="986"/>
      <c r="BK437" s="986"/>
      <c r="BL437" s="986"/>
      <c r="BM437" s="986"/>
      <c r="BN437" s="1009"/>
      <c r="BY437" s="1343"/>
      <c r="CE437" s="1009"/>
      <c r="CF437" s="1009"/>
    </row>
    <row r="438" spans="1:84">
      <c r="B438" s="986"/>
      <c r="C438" s="986"/>
      <c r="D438" s="986"/>
      <c r="E438" s="986"/>
      <c r="F438" s="986"/>
      <c r="G438" s="986"/>
      <c r="H438" s="986"/>
      <c r="I438" s="986"/>
      <c r="J438" s="986"/>
      <c r="K438" s="986"/>
      <c r="L438" s="986"/>
      <c r="M438" s="986"/>
      <c r="N438" s="986"/>
      <c r="O438" s="986"/>
      <c r="P438" s="986"/>
      <c r="Q438" s="986"/>
      <c r="R438" s="986"/>
      <c r="S438" s="986"/>
      <c r="T438" s="986"/>
      <c r="U438" s="986"/>
      <c r="V438" s="986"/>
      <c r="W438" s="986"/>
      <c r="X438" s="986"/>
      <c r="Y438" s="986"/>
      <c r="Z438" s="986"/>
      <c r="AA438" s="986"/>
      <c r="AB438" s="986"/>
      <c r="AC438" s="986"/>
      <c r="AD438" s="986"/>
      <c r="AE438" s="986"/>
      <c r="BE438" s="986"/>
      <c r="BF438" s="986"/>
      <c r="BG438" s="986"/>
      <c r="BH438" s="986"/>
      <c r="BI438" s="1009"/>
      <c r="BJ438" s="986"/>
      <c r="BK438" s="986"/>
      <c r="BL438" s="986"/>
      <c r="BM438" s="986"/>
      <c r="BN438" s="1009"/>
      <c r="BY438" s="1343"/>
      <c r="CE438" s="1009"/>
      <c r="CF438" s="1009"/>
    </row>
    <row r="439" spans="1:84">
      <c r="B439" s="986"/>
      <c r="C439" s="986"/>
      <c r="D439" s="986"/>
      <c r="E439" s="986"/>
      <c r="F439" s="986"/>
      <c r="G439" s="986"/>
      <c r="H439" s="986"/>
      <c r="I439" s="986"/>
      <c r="J439" s="986"/>
      <c r="K439" s="986"/>
      <c r="L439" s="986"/>
      <c r="M439" s="986"/>
      <c r="N439" s="986"/>
      <c r="O439" s="986"/>
      <c r="P439" s="986"/>
      <c r="Q439" s="986"/>
      <c r="R439" s="986"/>
      <c r="S439" s="986"/>
      <c r="T439" s="986"/>
      <c r="U439" s="986"/>
      <c r="V439" s="986"/>
      <c r="W439" s="986"/>
      <c r="X439" s="986"/>
      <c r="Y439" s="986"/>
      <c r="Z439" s="986"/>
      <c r="AA439" s="986"/>
      <c r="AB439" s="986"/>
      <c r="AC439" s="986"/>
      <c r="AD439" s="986"/>
      <c r="AE439" s="986"/>
      <c r="BE439" s="986"/>
      <c r="BF439" s="986"/>
      <c r="BG439" s="986"/>
      <c r="BH439" s="986"/>
      <c r="BI439" s="1009"/>
      <c r="BJ439" s="986"/>
      <c r="BK439" s="986"/>
      <c r="BL439" s="986"/>
      <c r="BM439" s="986"/>
      <c r="BN439" s="1009"/>
      <c r="BY439" s="1343"/>
      <c r="CE439" s="1009"/>
      <c r="CF439" s="1009"/>
    </row>
    <row r="440" spans="1:84">
      <c r="B440" s="986"/>
      <c r="C440" s="986"/>
      <c r="D440" s="986"/>
      <c r="E440" s="986"/>
      <c r="F440" s="986"/>
      <c r="G440" s="986"/>
      <c r="H440" s="986"/>
      <c r="I440" s="986"/>
      <c r="J440" s="986"/>
      <c r="K440" s="986"/>
      <c r="L440" s="986"/>
      <c r="M440" s="986"/>
      <c r="N440" s="986"/>
      <c r="O440" s="986"/>
      <c r="P440" s="986"/>
      <c r="Q440" s="986"/>
      <c r="R440" s="986"/>
      <c r="S440" s="986"/>
      <c r="T440" s="986"/>
      <c r="U440" s="986"/>
      <c r="V440" s="986"/>
      <c r="W440" s="986"/>
      <c r="X440" s="986"/>
      <c r="Y440" s="986"/>
      <c r="Z440" s="986"/>
      <c r="AA440" s="986"/>
      <c r="AB440" s="986"/>
      <c r="AC440" s="986"/>
      <c r="AD440" s="986"/>
      <c r="AE440" s="986"/>
      <c r="BE440" s="986"/>
      <c r="BF440" s="986"/>
      <c r="BG440" s="986"/>
      <c r="BH440" s="986"/>
      <c r="BI440" s="1009"/>
      <c r="BJ440" s="986"/>
      <c r="BK440" s="986"/>
      <c r="BL440" s="986"/>
      <c r="BM440" s="986"/>
      <c r="BN440" s="1009"/>
      <c r="BY440" s="1343"/>
      <c r="CE440" s="1009"/>
      <c r="CF440" s="1009"/>
    </row>
    <row r="441" spans="1:84">
      <c r="B441" s="986"/>
      <c r="C441" s="986"/>
      <c r="D441" s="986"/>
      <c r="E441" s="986"/>
      <c r="F441" s="986"/>
      <c r="G441" s="986"/>
      <c r="H441" s="986"/>
      <c r="I441" s="986"/>
      <c r="J441" s="986"/>
      <c r="K441" s="986"/>
      <c r="L441" s="986"/>
      <c r="M441" s="986"/>
      <c r="N441" s="986"/>
      <c r="O441" s="986"/>
      <c r="P441" s="986"/>
      <c r="Q441" s="986"/>
      <c r="R441" s="986"/>
      <c r="S441" s="986"/>
      <c r="T441" s="986"/>
      <c r="U441" s="986"/>
      <c r="V441" s="986"/>
      <c r="W441" s="986"/>
      <c r="X441" s="986"/>
      <c r="Y441" s="986"/>
      <c r="Z441" s="986"/>
      <c r="AA441" s="986"/>
      <c r="AB441" s="986"/>
      <c r="AC441" s="986"/>
      <c r="AD441" s="986"/>
      <c r="AE441" s="986"/>
      <c r="BE441" s="986"/>
      <c r="BF441" s="986"/>
      <c r="BG441" s="986"/>
      <c r="BH441" s="986"/>
      <c r="BI441" s="1009"/>
      <c r="BJ441" s="986"/>
      <c r="BK441" s="986"/>
      <c r="BL441" s="986"/>
      <c r="BM441" s="986"/>
      <c r="BN441" s="1009"/>
      <c r="BY441" s="1343"/>
      <c r="CE441" s="1009"/>
      <c r="CF441" s="1009"/>
    </row>
    <row r="442" spans="1:84">
      <c r="B442" s="986"/>
      <c r="C442" s="986"/>
      <c r="D442" s="986"/>
      <c r="E442" s="986"/>
      <c r="F442" s="986"/>
      <c r="G442" s="986"/>
      <c r="H442" s="986"/>
      <c r="I442" s="986"/>
      <c r="J442" s="986"/>
      <c r="K442" s="986"/>
      <c r="L442" s="986"/>
      <c r="M442" s="986"/>
      <c r="N442" s="986"/>
      <c r="O442" s="986"/>
      <c r="P442" s="986"/>
      <c r="Q442" s="986"/>
      <c r="R442" s="986"/>
      <c r="S442" s="986"/>
      <c r="T442" s="986"/>
      <c r="U442" s="986"/>
      <c r="V442" s="986"/>
      <c r="W442" s="986"/>
      <c r="X442" s="986"/>
      <c r="Y442" s="986"/>
      <c r="Z442" s="986"/>
      <c r="AA442" s="986"/>
      <c r="AB442" s="986"/>
      <c r="AC442" s="986"/>
      <c r="AD442" s="986"/>
      <c r="AE442" s="986"/>
      <c r="BE442" s="986"/>
      <c r="BF442" s="986"/>
      <c r="BG442" s="986"/>
      <c r="BH442" s="986"/>
      <c r="BI442" s="1009"/>
      <c r="BJ442" s="986"/>
      <c r="BK442" s="986"/>
      <c r="BL442" s="986"/>
      <c r="BM442" s="986"/>
      <c r="BN442" s="1009"/>
      <c r="BY442" s="1343"/>
      <c r="CE442" s="1009"/>
      <c r="CF442" s="1009"/>
    </row>
    <row r="443" spans="1:84">
      <c r="B443" s="986"/>
      <c r="C443" s="986"/>
      <c r="D443" s="986"/>
      <c r="E443" s="986"/>
      <c r="F443" s="986"/>
      <c r="G443" s="986"/>
      <c r="H443" s="986"/>
      <c r="I443" s="986"/>
      <c r="J443" s="986"/>
      <c r="K443" s="986"/>
      <c r="L443" s="986"/>
      <c r="M443" s="986"/>
      <c r="N443" s="986"/>
      <c r="O443" s="986"/>
      <c r="P443" s="986"/>
      <c r="Q443" s="986"/>
      <c r="R443" s="986"/>
      <c r="S443" s="986"/>
      <c r="T443" s="986"/>
      <c r="U443" s="986"/>
      <c r="V443" s="986"/>
      <c r="W443" s="986"/>
      <c r="X443" s="986"/>
      <c r="Y443" s="986"/>
      <c r="Z443" s="986"/>
      <c r="AA443" s="986"/>
      <c r="AB443" s="986"/>
      <c r="AC443" s="986"/>
      <c r="AD443" s="986"/>
      <c r="AE443" s="986"/>
      <c r="BE443" s="986"/>
      <c r="BF443" s="986"/>
      <c r="BG443" s="986"/>
      <c r="BH443" s="986"/>
      <c r="BI443" s="1009"/>
      <c r="BJ443" s="986"/>
      <c r="BK443" s="986"/>
      <c r="BL443" s="986"/>
      <c r="BM443" s="986"/>
      <c r="BN443" s="1009"/>
      <c r="BY443" s="1343"/>
      <c r="CE443" s="1009"/>
      <c r="CF443" s="1009"/>
    </row>
    <row r="444" spans="1:84">
      <c r="B444" s="986"/>
      <c r="C444" s="986"/>
      <c r="D444" s="986"/>
      <c r="E444" s="986"/>
      <c r="F444" s="986"/>
      <c r="G444" s="986"/>
      <c r="H444" s="986"/>
      <c r="I444" s="986"/>
      <c r="J444" s="986"/>
      <c r="K444" s="986"/>
      <c r="L444" s="986"/>
      <c r="M444" s="986"/>
      <c r="N444" s="986"/>
      <c r="O444" s="986"/>
      <c r="P444" s="986"/>
      <c r="Q444" s="986"/>
      <c r="R444" s="986"/>
      <c r="S444" s="986"/>
      <c r="T444" s="986"/>
      <c r="U444" s="986"/>
      <c r="V444" s="986"/>
      <c r="W444" s="986"/>
      <c r="X444" s="986"/>
      <c r="Y444" s="986"/>
      <c r="Z444" s="986"/>
      <c r="AA444" s="986"/>
      <c r="AB444" s="986"/>
      <c r="AC444" s="986"/>
      <c r="AD444" s="986"/>
      <c r="AE444" s="986"/>
      <c r="BE444" s="986"/>
      <c r="BF444" s="986"/>
      <c r="BG444" s="986"/>
      <c r="BH444" s="986"/>
      <c r="BI444" s="1009"/>
      <c r="BJ444" s="986"/>
      <c r="BK444" s="986"/>
      <c r="BL444" s="986"/>
      <c r="BM444" s="986"/>
      <c r="BN444" s="1009"/>
      <c r="BY444" s="1343"/>
      <c r="CE444" s="1009"/>
      <c r="CF444" s="1009"/>
    </row>
    <row r="445" spans="1:84">
      <c r="B445" s="986"/>
      <c r="C445" s="986"/>
      <c r="D445" s="986"/>
      <c r="E445" s="986"/>
      <c r="F445" s="986"/>
      <c r="G445" s="986"/>
      <c r="H445" s="986"/>
      <c r="I445" s="986"/>
      <c r="J445" s="986"/>
      <c r="K445" s="986"/>
      <c r="L445" s="986"/>
      <c r="M445" s="986"/>
      <c r="N445" s="986"/>
      <c r="O445" s="986"/>
      <c r="P445" s="986"/>
      <c r="Q445" s="986"/>
      <c r="R445" s="986"/>
      <c r="S445" s="986"/>
      <c r="T445" s="986"/>
      <c r="U445" s="986"/>
      <c r="V445" s="986"/>
      <c r="W445" s="986"/>
      <c r="X445" s="986"/>
      <c r="Y445" s="986"/>
      <c r="Z445" s="986"/>
      <c r="AA445" s="986"/>
      <c r="AB445" s="986"/>
      <c r="AC445" s="986"/>
      <c r="AD445" s="986"/>
      <c r="AE445" s="986"/>
      <c r="BE445" s="986"/>
      <c r="BF445" s="986"/>
      <c r="BG445" s="986"/>
      <c r="BH445" s="986"/>
      <c r="BI445" s="1009"/>
      <c r="BJ445" s="986"/>
      <c r="BK445" s="986"/>
      <c r="BL445" s="986"/>
      <c r="BM445" s="986"/>
      <c r="BN445" s="1009"/>
      <c r="BY445" s="1343"/>
      <c r="CE445" s="1009"/>
      <c r="CF445" s="1009"/>
    </row>
    <row r="446" spans="1:84">
      <c r="B446" s="986"/>
      <c r="C446" s="986"/>
      <c r="D446" s="986"/>
      <c r="E446" s="986"/>
      <c r="F446" s="986"/>
      <c r="G446" s="986"/>
      <c r="H446" s="986"/>
      <c r="I446" s="986"/>
      <c r="J446" s="986"/>
      <c r="K446" s="986"/>
      <c r="L446" s="986"/>
      <c r="M446" s="986"/>
      <c r="N446" s="986"/>
      <c r="O446" s="986"/>
      <c r="P446" s="986"/>
      <c r="Q446" s="986"/>
      <c r="R446" s="986"/>
      <c r="S446" s="986"/>
      <c r="T446" s="986"/>
      <c r="U446" s="986"/>
      <c r="V446" s="986"/>
      <c r="W446" s="986"/>
      <c r="X446" s="986"/>
      <c r="Y446" s="986"/>
      <c r="Z446" s="986"/>
      <c r="AA446" s="986"/>
      <c r="AB446" s="986"/>
      <c r="AC446" s="986"/>
      <c r="AD446" s="986"/>
      <c r="AE446" s="986"/>
      <c r="BE446" s="986"/>
      <c r="BF446" s="986"/>
      <c r="BG446" s="986"/>
      <c r="BH446" s="986"/>
      <c r="BI446" s="1009"/>
      <c r="BJ446" s="986"/>
      <c r="BK446" s="986"/>
      <c r="BL446" s="986"/>
      <c r="BM446" s="986"/>
      <c r="BN446" s="1009"/>
      <c r="BY446" s="1343"/>
      <c r="CE446" s="1009"/>
      <c r="CF446" s="1009"/>
    </row>
    <row r="447" spans="1:84">
      <c r="B447" s="986"/>
      <c r="C447" s="986"/>
      <c r="D447" s="986"/>
      <c r="E447" s="986"/>
      <c r="F447" s="986"/>
      <c r="G447" s="986"/>
      <c r="H447" s="986"/>
      <c r="I447" s="986"/>
      <c r="J447" s="986"/>
      <c r="K447" s="986"/>
      <c r="L447" s="986"/>
      <c r="M447" s="986"/>
      <c r="N447" s="986"/>
      <c r="O447" s="986"/>
      <c r="P447" s="986"/>
      <c r="Q447" s="986"/>
      <c r="R447" s="986"/>
      <c r="S447" s="986"/>
      <c r="T447" s="986"/>
      <c r="U447" s="986"/>
      <c r="V447" s="986"/>
      <c r="W447" s="986"/>
      <c r="X447" s="986"/>
      <c r="Y447" s="986"/>
      <c r="Z447" s="986"/>
      <c r="AA447" s="986"/>
      <c r="AB447" s="986"/>
      <c r="AC447" s="986"/>
      <c r="AD447" s="986"/>
      <c r="AE447" s="986"/>
      <c r="BE447" s="986"/>
      <c r="BF447" s="986"/>
      <c r="BG447" s="986"/>
      <c r="BH447" s="986"/>
      <c r="BI447" s="1009"/>
      <c r="BJ447" s="986"/>
      <c r="BK447" s="986"/>
      <c r="BL447" s="986"/>
      <c r="BM447" s="986"/>
      <c r="BN447" s="1009"/>
      <c r="BY447" s="1343"/>
      <c r="CE447" s="1009"/>
      <c r="CF447" s="1009"/>
    </row>
    <row r="448" spans="1:84">
      <c r="B448" s="986"/>
      <c r="C448" s="986"/>
      <c r="D448" s="986"/>
      <c r="E448" s="986"/>
      <c r="F448" s="986"/>
      <c r="G448" s="986"/>
      <c r="H448" s="986"/>
      <c r="I448" s="986"/>
      <c r="J448" s="986"/>
      <c r="K448" s="986"/>
      <c r="L448" s="986"/>
      <c r="M448" s="986"/>
      <c r="N448" s="986"/>
      <c r="O448" s="986"/>
      <c r="P448" s="986"/>
      <c r="Q448" s="986"/>
      <c r="R448" s="986"/>
      <c r="S448" s="986"/>
      <c r="T448" s="986"/>
      <c r="U448" s="986"/>
      <c r="V448" s="986"/>
      <c r="W448" s="986"/>
      <c r="X448" s="986"/>
      <c r="Y448" s="986"/>
      <c r="Z448" s="986"/>
      <c r="AA448" s="986"/>
      <c r="AB448" s="986"/>
      <c r="AC448" s="986"/>
      <c r="AD448" s="986"/>
      <c r="AE448" s="986"/>
      <c r="BE448" s="986"/>
      <c r="BF448" s="986"/>
      <c r="BG448" s="986"/>
      <c r="BH448" s="986"/>
      <c r="BI448" s="1009"/>
      <c r="BJ448" s="986"/>
      <c r="BK448" s="986"/>
      <c r="BL448" s="986"/>
      <c r="BM448" s="986"/>
      <c r="BN448" s="1009"/>
      <c r="BY448" s="1343"/>
      <c r="CE448" s="1009"/>
      <c r="CF448" s="1009"/>
    </row>
    <row r="449" spans="2:84">
      <c r="B449" s="986"/>
      <c r="C449" s="986"/>
      <c r="D449" s="986"/>
      <c r="E449" s="986"/>
      <c r="F449" s="986"/>
      <c r="G449" s="986"/>
      <c r="H449" s="986"/>
      <c r="I449" s="986"/>
      <c r="J449" s="986"/>
      <c r="K449" s="986"/>
      <c r="L449" s="986"/>
      <c r="M449" s="986"/>
      <c r="N449" s="986"/>
      <c r="O449" s="986"/>
      <c r="P449" s="986"/>
      <c r="Q449" s="986"/>
      <c r="R449" s="986"/>
      <c r="S449" s="986"/>
      <c r="T449" s="986"/>
      <c r="U449" s="986"/>
      <c r="V449" s="986"/>
      <c r="W449" s="986"/>
      <c r="X449" s="986"/>
      <c r="Y449" s="986"/>
      <c r="Z449" s="986"/>
      <c r="AA449" s="986"/>
      <c r="AB449" s="986"/>
      <c r="AC449" s="986"/>
      <c r="AD449" s="986"/>
      <c r="AE449" s="986"/>
      <c r="BE449" s="986"/>
      <c r="BF449" s="986"/>
      <c r="BG449" s="986"/>
      <c r="BH449" s="986"/>
      <c r="BI449" s="1009"/>
      <c r="BJ449" s="986"/>
      <c r="BK449" s="986"/>
      <c r="BL449" s="986"/>
      <c r="BM449" s="986"/>
      <c r="BN449" s="1009"/>
      <c r="BY449" s="1343"/>
      <c r="CE449" s="1009"/>
      <c r="CF449" s="1009"/>
    </row>
    <row r="450" spans="2:84">
      <c r="B450" s="986"/>
      <c r="C450" s="986"/>
      <c r="D450" s="986"/>
      <c r="E450" s="986"/>
      <c r="F450" s="986"/>
      <c r="G450" s="986"/>
      <c r="H450" s="986"/>
      <c r="I450" s="986"/>
      <c r="J450" s="986"/>
      <c r="K450" s="986"/>
      <c r="L450" s="986"/>
      <c r="M450" s="986"/>
      <c r="N450" s="986"/>
      <c r="O450" s="986"/>
      <c r="P450" s="986"/>
      <c r="Q450" s="986"/>
      <c r="R450" s="986"/>
      <c r="S450" s="986"/>
      <c r="T450" s="986"/>
      <c r="U450" s="986"/>
      <c r="V450" s="986"/>
      <c r="W450" s="986"/>
      <c r="X450" s="986"/>
      <c r="Y450" s="986"/>
      <c r="Z450" s="986"/>
      <c r="AA450" s="986"/>
      <c r="AB450" s="986"/>
      <c r="AC450" s="986"/>
      <c r="AD450" s="986"/>
      <c r="AE450" s="986"/>
      <c r="BE450" s="986"/>
      <c r="BF450" s="986"/>
      <c r="BG450" s="986"/>
      <c r="BH450" s="986"/>
      <c r="BI450" s="1009"/>
      <c r="BJ450" s="986"/>
      <c r="BK450" s="986"/>
      <c r="BL450" s="986"/>
      <c r="BM450" s="986"/>
      <c r="BN450" s="1009"/>
      <c r="BY450" s="1343"/>
      <c r="CE450" s="1009"/>
      <c r="CF450" s="1009"/>
    </row>
    <row r="451" spans="2:84">
      <c r="B451" s="986"/>
      <c r="C451" s="986"/>
      <c r="D451" s="986"/>
      <c r="E451" s="986"/>
      <c r="F451" s="986"/>
      <c r="G451" s="986"/>
      <c r="H451" s="986"/>
      <c r="I451" s="986"/>
      <c r="J451" s="986"/>
      <c r="K451" s="986"/>
      <c r="L451" s="986"/>
      <c r="M451" s="986"/>
      <c r="N451" s="986"/>
      <c r="O451" s="986"/>
      <c r="P451" s="986"/>
      <c r="Q451" s="986"/>
      <c r="R451" s="986"/>
      <c r="S451" s="986"/>
      <c r="T451" s="986"/>
      <c r="U451" s="986"/>
      <c r="V451" s="986"/>
      <c r="W451" s="986"/>
      <c r="X451" s="986"/>
      <c r="Y451" s="986"/>
      <c r="Z451" s="986"/>
      <c r="AA451" s="986"/>
      <c r="AB451" s="986"/>
      <c r="AC451" s="986"/>
      <c r="AD451" s="986"/>
      <c r="AE451" s="986"/>
      <c r="BE451" s="986"/>
      <c r="BF451" s="986"/>
      <c r="BG451" s="986"/>
      <c r="BH451" s="986"/>
      <c r="BI451" s="1009"/>
      <c r="BJ451" s="986"/>
      <c r="BK451" s="986"/>
      <c r="BL451" s="986"/>
      <c r="BM451" s="986"/>
      <c r="BN451" s="1009"/>
      <c r="BY451" s="1343"/>
      <c r="CE451" s="1009"/>
      <c r="CF451" s="1009"/>
    </row>
    <row r="452" spans="2:84">
      <c r="B452" s="986"/>
      <c r="C452" s="986"/>
      <c r="D452" s="986"/>
      <c r="E452" s="986"/>
      <c r="F452" s="986"/>
      <c r="G452" s="986"/>
      <c r="H452" s="986"/>
      <c r="I452" s="986"/>
      <c r="J452" s="986"/>
      <c r="K452" s="986"/>
      <c r="L452" s="986"/>
      <c r="M452" s="986"/>
      <c r="N452" s="986"/>
      <c r="O452" s="986"/>
      <c r="P452" s="986"/>
      <c r="Q452" s="986"/>
      <c r="R452" s="986"/>
      <c r="S452" s="986"/>
      <c r="T452" s="986"/>
      <c r="U452" s="986"/>
      <c r="V452" s="986"/>
      <c r="W452" s="986"/>
      <c r="X452" s="986"/>
      <c r="Y452" s="986"/>
      <c r="Z452" s="986"/>
      <c r="AA452" s="986"/>
      <c r="AB452" s="986"/>
      <c r="AC452" s="986"/>
      <c r="AD452" s="986"/>
      <c r="AE452" s="986"/>
      <c r="BE452" s="986"/>
      <c r="BF452" s="986"/>
      <c r="BG452" s="986"/>
      <c r="BH452" s="986"/>
      <c r="BI452" s="1009"/>
      <c r="BJ452" s="986"/>
      <c r="BK452" s="986"/>
      <c r="BL452" s="986"/>
      <c r="BM452" s="986"/>
      <c r="BN452" s="1009"/>
      <c r="BY452" s="1343"/>
      <c r="CE452" s="1009"/>
      <c r="CF452" s="1009"/>
    </row>
    <row r="453" spans="2:84">
      <c r="B453" s="986"/>
      <c r="C453" s="986"/>
      <c r="D453" s="986"/>
      <c r="E453" s="986"/>
      <c r="F453" s="986"/>
      <c r="G453" s="986"/>
      <c r="H453" s="986"/>
      <c r="I453" s="986"/>
      <c r="J453" s="986"/>
      <c r="K453" s="986"/>
      <c r="L453" s="986"/>
      <c r="M453" s="986"/>
      <c r="N453" s="986"/>
      <c r="O453" s="986"/>
      <c r="P453" s="986"/>
      <c r="Q453" s="986"/>
      <c r="R453" s="986"/>
      <c r="S453" s="986"/>
      <c r="T453" s="986"/>
      <c r="U453" s="986"/>
      <c r="V453" s="986"/>
      <c r="W453" s="986"/>
      <c r="X453" s="986"/>
      <c r="Y453" s="986"/>
      <c r="Z453" s="986"/>
      <c r="AA453" s="986"/>
      <c r="AB453" s="986"/>
      <c r="AC453" s="986"/>
      <c r="AD453" s="986"/>
      <c r="AE453" s="986"/>
      <c r="BE453" s="986"/>
      <c r="BF453" s="986"/>
      <c r="BG453" s="986"/>
      <c r="BH453" s="986"/>
      <c r="BI453" s="1009"/>
      <c r="BJ453" s="986"/>
      <c r="BK453" s="986"/>
      <c r="BL453" s="986"/>
      <c r="BM453" s="986"/>
      <c r="BN453" s="1009"/>
      <c r="BY453" s="1343"/>
      <c r="CE453" s="1009"/>
      <c r="CF453" s="1009"/>
    </row>
    <row r="454" spans="2:84">
      <c r="B454" s="986"/>
      <c r="C454" s="986"/>
      <c r="D454" s="986"/>
      <c r="E454" s="986"/>
      <c r="F454" s="986"/>
      <c r="G454" s="986"/>
      <c r="H454" s="986"/>
      <c r="I454" s="986"/>
      <c r="J454" s="986"/>
      <c r="K454" s="986"/>
      <c r="L454" s="986"/>
      <c r="M454" s="986"/>
      <c r="N454" s="986"/>
      <c r="O454" s="986"/>
      <c r="P454" s="986"/>
      <c r="Q454" s="986"/>
      <c r="R454" s="986"/>
      <c r="S454" s="986"/>
      <c r="T454" s="986"/>
      <c r="U454" s="986"/>
      <c r="V454" s="986"/>
      <c r="W454" s="986"/>
      <c r="X454" s="986"/>
      <c r="Y454" s="986"/>
      <c r="Z454" s="986"/>
      <c r="AA454" s="986"/>
      <c r="AB454" s="986"/>
      <c r="AC454" s="986"/>
      <c r="AD454" s="986"/>
      <c r="AE454" s="986"/>
      <c r="BE454" s="986"/>
      <c r="BF454" s="986"/>
      <c r="BG454" s="986"/>
      <c r="BH454" s="986"/>
      <c r="BI454" s="1009"/>
      <c r="BJ454" s="986"/>
      <c r="BK454" s="986"/>
      <c r="BL454" s="986"/>
      <c r="BM454" s="986"/>
      <c r="BN454" s="1009"/>
      <c r="BY454" s="1343"/>
      <c r="CE454" s="1009"/>
      <c r="CF454" s="1009"/>
    </row>
    <row r="455" spans="2:84">
      <c r="B455" s="986"/>
      <c r="C455" s="986"/>
      <c r="D455" s="986"/>
      <c r="E455" s="986"/>
      <c r="F455" s="986"/>
      <c r="G455" s="986"/>
      <c r="H455" s="986"/>
      <c r="I455" s="986"/>
      <c r="J455" s="986"/>
      <c r="K455" s="986"/>
      <c r="L455" s="986"/>
      <c r="M455" s="986"/>
      <c r="N455" s="986"/>
      <c r="O455" s="986"/>
      <c r="P455" s="986"/>
      <c r="Q455" s="986"/>
      <c r="R455" s="986"/>
      <c r="S455" s="986"/>
      <c r="T455" s="986"/>
      <c r="U455" s="986"/>
      <c r="V455" s="986"/>
      <c r="W455" s="986"/>
      <c r="X455" s="986"/>
      <c r="Y455" s="986"/>
      <c r="Z455" s="986"/>
      <c r="AA455" s="986"/>
      <c r="AB455" s="986"/>
      <c r="AC455" s="986"/>
      <c r="AD455" s="986"/>
      <c r="AE455" s="986"/>
      <c r="BE455" s="986"/>
      <c r="BF455" s="986"/>
      <c r="BG455" s="986"/>
      <c r="BH455" s="986"/>
      <c r="BI455" s="1009"/>
      <c r="BJ455" s="986"/>
      <c r="BK455" s="986"/>
      <c r="BL455" s="986"/>
      <c r="BM455" s="986"/>
      <c r="BN455" s="1009"/>
      <c r="BY455" s="1343"/>
      <c r="CE455" s="1009"/>
      <c r="CF455" s="1009"/>
    </row>
    <row r="456" spans="2:84">
      <c r="B456" s="986"/>
      <c r="C456" s="986"/>
      <c r="D456" s="986"/>
      <c r="E456" s="986"/>
      <c r="F456" s="986"/>
      <c r="G456" s="986"/>
      <c r="H456" s="986"/>
      <c r="I456" s="986"/>
      <c r="J456" s="986"/>
      <c r="K456" s="986"/>
      <c r="L456" s="986"/>
      <c r="M456" s="986"/>
      <c r="N456" s="986"/>
      <c r="O456" s="986"/>
      <c r="P456" s="986"/>
      <c r="Q456" s="986"/>
      <c r="R456" s="986"/>
      <c r="S456" s="986"/>
      <c r="T456" s="986"/>
      <c r="U456" s="986"/>
      <c r="V456" s="986"/>
      <c r="W456" s="986"/>
      <c r="X456" s="986"/>
      <c r="Y456" s="986"/>
      <c r="Z456" s="986"/>
      <c r="AA456" s="986"/>
      <c r="AB456" s="986"/>
      <c r="AC456" s="986"/>
      <c r="AD456" s="986"/>
      <c r="AE456" s="986"/>
      <c r="BE456" s="986"/>
      <c r="BF456" s="986"/>
      <c r="BG456" s="986"/>
      <c r="BH456" s="986"/>
      <c r="BI456" s="1009"/>
      <c r="BJ456" s="986"/>
      <c r="BK456" s="986"/>
      <c r="BL456" s="986"/>
      <c r="BM456" s="986"/>
      <c r="BN456" s="1009"/>
      <c r="BY456" s="1343"/>
      <c r="CE456" s="1009"/>
      <c r="CF456" s="1009"/>
    </row>
    <row r="457" spans="2:84">
      <c r="B457" s="986"/>
      <c r="C457" s="986"/>
      <c r="D457" s="986"/>
      <c r="E457" s="986"/>
      <c r="F457" s="986"/>
      <c r="G457" s="986"/>
      <c r="H457" s="986"/>
      <c r="I457" s="986"/>
      <c r="J457" s="986"/>
      <c r="K457" s="986"/>
      <c r="L457" s="986"/>
      <c r="M457" s="986"/>
      <c r="N457" s="986"/>
      <c r="O457" s="986"/>
      <c r="P457" s="986"/>
      <c r="Q457" s="986"/>
      <c r="R457" s="986"/>
      <c r="S457" s="986"/>
      <c r="T457" s="986"/>
      <c r="U457" s="986"/>
      <c r="V457" s="986"/>
      <c r="W457" s="986"/>
      <c r="X457" s="986"/>
      <c r="Y457" s="986"/>
      <c r="Z457" s="986"/>
      <c r="AA457" s="986"/>
      <c r="AB457" s="986"/>
      <c r="AC457" s="986"/>
      <c r="AD457" s="986"/>
      <c r="AE457" s="986"/>
      <c r="BE457" s="986"/>
      <c r="BF457" s="986"/>
      <c r="BG457" s="986"/>
      <c r="BH457" s="986"/>
      <c r="BI457" s="1009"/>
      <c r="BJ457" s="986"/>
      <c r="BK457" s="986"/>
      <c r="BL457" s="986"/>
      <c r="BM457" s="986"/>
      <c r="BN457" s="1009"/>
      <c r="BY457" s="1343"/>
      <c r="CE457" s="1009"/>
      <c r="CF457" s="1009"/>
    </row>
    <row r="458" spans="2:84">
      <c r="B458" s="986"/>
      <c r="C458" s="986"/>
      <c r="D458" s="986"/>
      <c r="E458" s="986"/>
      <c r="F458" s="986"/>
      <c r="G458" s="986"/>
      <c r="H458" s="986"/>
      <c r="I458" s="986"/>
      <c r="J458" s="986"/>
      <c r="K458" s="986"/>
      <c r="L458" s="986"/>
      <c r="M458" s="986"/>
      <c r="N458" s="986"/>
      <c r="O458" s="986"/>
      <c r="P458" s="986"/>
      <c r="Q458" s="986"/>
      <c r="R458" s="986"/>
      <c r="S458" s="986"/>
      <c r="T458" s="986"/>
      <c r="U458" s="986"/>
      <c r="V458" s="986"/>
      <c r="W458" s="986"/>
      <c r="X458" s="986"/>
      <c r="Y458" s="986"/>
      <c r="Z458" s="986"/>
      <c r="AA458" s="986"/>
      <c r="AB458" s="986"/>
      <c r="AC458" s="986"/>
      <c r="AD458" s="986"/>
      <c r="AE458" s="986"/>
      <c r="BE458" s="986"/>
      <c r="BF458" s="986"/>
      <c r="BG458" s="986"/>
      <c r="BH458" s="986"/>
      <c r="BI458" s="1009"/>
      <c r="BJ458" s="986"/>
      <c r="BK458" s="986"/>
      <c r="BL458" s="986"/>
      <c r="BM458" s="986"/>
      <c r="BN458" s="1009"/>
      <c r="BY458" s="1343"/>
      <c r="CE458" s="1009"/>
      <c r="CF458" s="1009"/>
    </row>
    <row r="459" spans="2:84">
      <c r="B459" s="986"/>
      <c r="C459" s="986"/>
      <c r="D459" s="986"/>
      <c r="E459" s="986"/>
      <c r="F459" s="986"/>
      <c r="G459" s="986"/>
      <c r="H459" s="986"/>
      <c r="I459" s="986"/>
      <c r="J459" s="986"/>
      <c r="K459" s="986"/>
      <c r="L459" s="986"/>
      <c r="M459" s="986"/>
      <c r="N459" s="986"/>
      <c r="O459" s="986"/>
      <c r="P459" s="986"/>
      <c r="Q459" s="986"/>
      <c r="R459" s="986"/>
      <c r="S459" s="986"/>
      <c r="T459" s="986"/>
      <c r="U459" s="986"/>
      <c r="V459" s="986"/>
      <c r="W459" s="986"/>
      <c r="X459" s="986"/>
      <c r="Y459" s="986"/>
      <c r="Z459" s="986"/>
      <c r="AA459" s="986"/>
      <c r="AB459" s="986"/>
      <c r="AC459" s="986"/>
      <c r="AD459" s="986"/>
      <c r="AE459" s="986"/>
      <c r="BE459" s="986"/>
      <c r="BF459" s="986"/>
      <c r="BG459" s="986"/>
      <c r="BH459" s="986"/>
      <c r="BI459" s="1009"/>
      <c r="BJ459" s="986"/>
      <c r="BK459" s="986"/>
      <c r="BL459" s="986"/>
      <c r="BM459" s="986"/>
      <c r="BN459" s="1009"/>
      <c r="BY459" s="1343"/>
      <c r="CE459" s="1009"/>
      <c r="CF459" s="1009"/>
    </row>
    <row r="460" spans="2:84">
      <c r="B460" s="986"/>
      <c r="C460" s="986"/>
      <c r="D460" s="986"/>
      <c r="E460" s="986"/>
      <c r="F460" s="986"/>
      <c r="G460" s="986"/>
      <c r="H460" s="986"/>
      <c r="I460" s="986"/>
      <c r="J460" s="986"/>
      <c r="K460" s="986"/>
      <c r="L460" s="986"/>
      <c r="M460" s="986"/>
      <c r="N460" s="986"/>
      <c r="O460" s="986"/>
      <c r="P460" s="986"/>
      <c r="Q460" s="986"/>
      <c r="R460" s="986"/>
      <c r="S460" s="986"/>
      <c r="T460" s="986"/>
      <c r="U460" s="986"/>
      <c r="V460" s="986"/>
      <c r="W460" s="986"/>
      <c r="X460" s="986"/>
      <c r="Y460" s="986"/>
      <c r="Z460" s="986"/>
      <c r="AA460" s="986"/>
      <c r="AB460" s="986"/>
      <c r="AC460" s="986"/>
      <c r="AD460" s="986"/>
      <c r="AE460" s="986"/>
      <c r="BE460" s="986"/>
      <c r="BF460" s="986"/>
      <c r="BG460" s="986"/>
      <c r="BH460" s="986"/>
      <c r="BI460" s="1009"/>
      <c r="BJ460" s="986"/>
      <c r="BK460" s="986"/>
      <c r="BL460" s="986"/>
      <c r="BM460" s="986"/>
      <c r="BN460" s="1009"/>
      <c r="BY460" s="1343"/>
      <c r="CE460" s="1009"/>
      <c r="CF460" s="1009"/>
    </row>
    <row r="461" spans="2:84">
      <c r="B461" s="986"/>
      <c r="C461" s="986"/>
      <c r="D461" s="986"/>
      <c r="E461" s="986"/>
      <c r="F461" s="986"/>
      <c r="G461" s="986"/>
      <c r="H461" s="986"/>
      <c r="I461" s="986"/>
      <c r="J461" s="986"/>
      <c r="K461" s="986"/>
      <c r="L461" s="986"/>
      <c r="M461" s="986"/>
      <c r="N461" s="986"/>
      <c r="O461" s="986"/>
      <c r="P461" s="986"/>
      <c r="Q461" s="986"/>
      <c r="R461" s="986"/>
      <c r="S461" s="986"/>
      <c r="T461" s="986"/>
      <c r="U461" s="986"/>
      <c r="V461" s="986"/>
      <c r="W461" s="986"/>
      <c r="X461" s="986"/>
      <c r="Y461" s="986"/>
      <c r="Z461" s="986"/>
      <c r="AA461" s="986"/>
      <c r="AB461" s="986"/>
      <c r="AC461" s="986"/>
      <c r="AD461" s="986"/>
      <c r="AE461" s="986"/>
      <c r="BE461" s="986"/>
      <c r="BF461" s="986"/>
      <c r="BG461" s="986"/>
      <c r="BH461" s="986"/>
      <c r="BI461" s="1009"/>
      <c r="BJ461" s="986"/>
      <c r="BK461" s="986"/>
      <c r="BL461" s="986"/>
      <c r="BM461" s="986"/>
      <c r="BN461" s="1009"/>
      <c r="BY461" s="1343"/>
      <c r="CE461" s="1009"/>
      <c r="CF461" s="1009"/>
    </row>
    <row r="462" spans="2:84">
      <c r="B462" s="986"/>
      <c r="C462" s="986"/>
      <c r="D462" s="986"/>
      <c r="E462" s="986"/>
      <c r="F462" s="986"/>
      <c r="G462" s="986"/>
      <c r="H462" s="986"/>
      <c r="I462" s="986"/>
      <c r="J462" s="986"/>
      <c r="K462" s="986"/>
      <c r="L462" s="986"/>
      <c r="M462" s="986"/>
      <c r="N462" s="986"/>
      <c r="O462" s="986"/>
      <c r="P462" s="986"/>
      <c r="Q462" s="986"/>
      <c r="R462" s="986"/>
      <c r="S462" s="986"/>
      <c r="T462" s="986"/>
      <c r="U462" s="986"/>
      <c r="V462" s="986"/>
      <c r="W462" s="986"/>
      <c r="X462" s="986"/>
      <c r="Y462" s="986"/>
      <c r="Z462" s="986"/>
      <c r="AA462" s="986"/>
      <c r="AB462" s="986"/>
      <c r="AC462" s="986"/>
      <c r="AD462" s="986"/>
      <c r="AE462" s="986"/>
      <c r="BE462" s="986"/>
      <c r="BF462" s="986"/>
      <c r="BG462" s="986"/>
      <c r="BH462" s="986"/>
      <c r="BI462" s="1009"/>
      <c r="BJ462" s="986"/>
      <c r="BK462" s="986"/>
      <c r="BL462" s="986"/>
      <c r="BM462" s="986"/>
      <c r="BN462" s="1009"/>
      <c r="BY462" s="1343"/>
      <c r="CE462" s="1009"/>
      <c r="CF462" s="1009"/>
    </row>
    <row r="463" spans="2:84">
      <c r="B463" s="986"/>
      <c r="C463" s="986"/>
      <c r="D463" s="986"/>
      <c r="E463" s="986"/>
      <c r="F463" s="986"/>
      <c r="G463" s="986"/>
      <c r="H463" s="986"/>
      <c r="I463" s="986"/>
      <c r="J463" s="986"/>
      <c r="K463" s="986"/>
      <c r="L463" s="986"/>
      <c r="M463" s="986"/>
      <c r="N463" s="986"/>
      <c r="O463" s="986"/>
      <c r="P463" s="986"/>
      <c r="Q463" s="986"/>
      <c r="R463" s="986"/>
      <c r="S463" s="986"/>
      <c r="T463" s="986"/>
      <c r="U463" s="986"/>
      <c r="V463" s="986"/>
      <c r="W463" s="986"/>
      <c r="X463" s="986"/>
      <c r="Y463" s="986"/>
      <c r="Z463" s="986"/>
      <c r="AA463" s="986"/>
      <c r="AB463" s="986"/>
      <c r="AC463" s="986"/>
      <c r="AD463" s="986"/>
      <c r="AE463" s="986"/>
      <c r="BE463" s="986"/>
      <c r="BF463" s="986"/>
      <c r="BG463" s="986"/>
      <c r="BH463" s="986"/>
      <c r="BI463" s="1009"/>
      <c r="BJ463" s="986"/>
      <c r="BK463" s="986"/>
      <c r="BL463" s="986"/>
      <c r="BM463" s="986"/>
      <c r="BN463" s="1009"/>
      <c r="BY463" s="1343"/>
      <c r="CE463" s="1009"/>
      <c r="CF463" s="1009"/>
    </row>
    <row r="464" spans="2:84">
      <c r="B464" s="986"/>
      <c r="C464" s="986"/>
      <c r="D464" s="986"/>
      <c r="E464" s="986"/>
      <c r="F464" s="986"/>
      <c r="G464" s="986"/>
      <c r="H464" s="986"/>
      <c r="I464" s="986"/>
      <c r="J464" s="986"/>
      <c r="K464" s="986"/>
      <c r="L464" s="986"/>
      <c r="M464" s="986"/>
      <c r="N464" s="986"/>
      <c r="O464" s="986"/>
      <c r="P464" s="986"/>
      <c r="Q464" s="986"/>
      <c r="R464" s="986"/>
      <c r="S464" s="986"/>
      <c r="T464" s="986"/>
      <c r="U464" s="986"/>
      <c r="V464" s="986"/>
      <c r="W464" s="986"/>
      <c r="X464" s="986"/>
      <c r="Y464" s="986"/>
      <c r="Z464" s="986"/>
      <c r="AA464" s="986"/>
      <c r="AB464" s="986"/>
      <c r="AC464" s="986"/>
      <c r="AD464" s="986"/>
      <c r="AE464" s="986"/>
      <c r="BE464" s="986"/>
      <c r="BF464" s="986"/>
      <c r="BG464" s="986"/>
      <c r="BH464" s="986"/>
      <c r="BI464" s="1009"/>
      <c r="BJ464" s="986"/>
      <c r="BK464" s="986"/>
      <c r="BL464" s="986"/>
      <c r="BM464" s="986"/>
      <c r="BN464" s="1009"/>
      <c r="BY464" s="1343"/>
      <c r="CE464" s="1009"/>
      <c r="CF464" s="1009"/>
    </row>
    <row r="465" spans="2:84">
      <c r="B465" s="986"/>
      <c r="C465" s="986"/>
      <c r="D465" s="986"/>
      <c r="E465" s="986"/>
      <c r="F465" s="986"/>
      <c r="G465" s="986"/>
      <c r="H465" s="986"/>
      <c r="I465" s="986"/>
      <c r="J465" s="986"/>
      <c r="K465" s="986"/>
      <c r="L465" s="986"/>
      <c r="M465" s="986"/>
      <c r="N465" s="986"/>
      <c r="O465" s="986"/>
      <c r="P465" s="986"/>
      <c r="Q465" s="986"/>
      <c r="R465" s="986"/>
      <c r="S465" s="986"/>
      <c r="T465" s="986"/>
      <c r="U465" s="986"/>
      <c r="V465" s="986"/>
      <c r="W465" s="986"/>
      <c r="X465" s="986"/>
      <c r="Y465" s="986"/>
      <c r="Z465" s="986"/>
      <c r="AA465" s="986"/>
      <c r="AB465" s="986"/>
      <c r="AC465" s="986"/>
      <c r="AD465" s="986"/>
      <c r="AE465" s="986"/>
      <c r="BE465" s="986"/>
      <c r="BF465" s="986"/>
      <c r="BG465" s="986"/>
      <c r="BH465" s="986"/>
      <c r="BI465" s="1009"/>
      <c r="BJ465" s="986"/>
      <c r="BK465" s="986"/>
      <c r="BL465" s="986"/>
      <c r="BM465" s="986"/>
      <c r="BN465" s="1009"/>
      <c r="BY465" s="1343"/>
      <c r="CE465" s="1009"/>
      <c r="CF465" s="1009"/>
    </row>
    <row r="466" spans="2:84">
      <c r="B466" s="986"/>
      <c r="C466" s="986"/>
      <c r="D466" s="986"/>
      <c r="E466" s="986"/>
      <c r="F466" s="986"/>
      <c r="G466" s="986"/>
      <c r="H466" s="986"/>
      <c r="I466" s="986"/>
      <c r="J466" s="986"/>
      <c r="K466" s="986"/>
      <c r="L466" s="986"/>
      <c r="M466" s="986"/>
      <c r="N466" s="986"/>
      <c r="O466" s="986"/>
      <c r="P466" s="986"/>
      <c r="Q466" s="986"/>
      <c r="R466" s="986"/>
      <c r="S466" s="986"/>
      <c r="T466" s="986"/>
      <c r="U466" s="986"/>
      <c r="V466" s="986"/>
      <c r="W466" s="986"/>
      <c r="X466" s="986"/>
      <c r="Y466" s="986"/>
      <c r="Z466" s="986"/>
      <c r="AA466" s="986"/>
      <c r="AB466" s="986"/>
      <c r="AC466" s="986"/>
      <c r="AD466" s="986"/>
      <c r="AE466" s="986"/>
      <c r="BE466" s="986"/>
      <c r="BF466" s="986"/>
      <c r="BG466" s="986"/>
      <c r="BH466" s="986"/>
      <c r="BI466" s="1009"/>
      <c r="BJ466" s="986"/>
      <c r="BK466" s="986"/>
      <c r="BL466" s="986"/>
      <c r="BM466" s="986"/>
      <c r="BN466" s="1009"/>
      <c r="BY466" s="1343"/>
      <c r="CE466" s="1009"/>
      <c r="CF466" s="1009"/>
    </row>
    <row r="467" spans="2:84">
      <c r="B467" s="986"/>
      <c r="C467" s="986"/>
      <c r="D467" s="986"/>
      <c r="E467" s="986"/>
      <c r="F467" s="986"/>
      <c r="G467" s="986"/>
      <c r="H467" s="986"/>
      <c r="I467" s="986"/>
      <c r="J467" s="986"/>
      <c r="K467" s="986"/>
      <c r="L467" s="986"/>
      <c r="M467" s="986"/>
      <c r="N467" s="986"/>
      <c r="O467" s="986"/>
      <c r="P467" s="986"/>
      <c r="Q467" s="986"/>
      <c r="R467" s="986"/>
      <c r="S467" s="986"/>
      <c r="T467" s="986"/>
      <c r="U467" s="986"/>
      <c r="V467" s="986"/>
      <c r="W467" s="986"/>
      <c r="X467" s="986"/>
      <c r="Y467" s="986"/>
      <c r="Z467" s="986"/>
      <c r="AA467" s="986"/>
      <c r="AB467" s="986"/>
      <c r="AC467" s="986"/>
      <c r="AD467" s="986"/>
      <c r="AE467" s="986"/>
      <c r="BE467" s="986"/>
      <c r="BF467" s="986"/>
      <c r="BG467" s="986"/>
      <c r="BH467" s="986"/>
      <c r="BI467" s="1009"/>
      <c r="BJ467" s="986"/>
      <c r="BK467" s="986"/>
      <c r="BL467" s="986"/>
      <c r="BM467" s="986"/>
      <c r="BN467" s="1009"/>
      <c r="BY467" s="1343"/>
      <c r="CE467" s="1009"/>
      <c r="CF467" s="1009"/>
    </row>
    <row r="468" spans="2:84">
      <c r="B468" s="986"/>
      <c r="C468" s="986"/>
      <c r="D468" s="986"/>
      <c r="E468" s="986"/>
      <c r="F468" s="986"/>
      <c r="G468" s="986"/>
      <c r="H468" s="986"/>
      <c r="I468" s="986"/>
      <c r="J468" s="986"/>
      <c r="K468" s="986"/>
      <c r="L468" s="986"/>
      <c r="M468" s="986"/>
      <c r="N468" s="986"/>
      <c r="O468" s="986"/>
      <c r="P468" s="986"/>
      <c r="Q468" s="986"/>
      <c r="R468" s="986"/>
      <c r="S468" s="986"/>
      <c r="T468" s="986"/>
      <c r="U468" s="986"/>
      <c r="V468" s="986"/>
      <c r="W468" s="986"/>
      <c r="X468" s="986"/>
      <c r="Y468" s="986"/>
      <c r="Z468" s="986"/>
      <c r="AA468" s="986"/>
      <c r="AB468" s="986"/>
      <c r="AC468" s="986"/>
      <c r="AD468" s="986"/>
      <c r="AE468" s="986"/>
      <c r="BE468" s="986"/>
      <c r="BF468" s="986"/>
      <c r="BG468" s="986"/>
      <c r="BH468" s="986"/>
      <c r="BI468" s="1009"/>
      <c r="BJ468" s="986"/>
      <c r="BK468" s="986"/>
      <c r="BL468" s="986"/>
      <c r="BM468" s="986"/>
      <c r="BN468" s="1009"/>
      <c r="BY468" s="1343"/>
      <c r="CB468" s="1533"/>
      <c r="CE468" s="1009"/>
      <c r="CF468" s="1009"/>
    </row>
    <row r="469" spans="2:84">
      <c r="B469" s="986"/>
      <c r="C469" s="986"/>
      <c r="D469" s="986"/>
      <c r="E469" s="986"/>
      <c r="F469" s="986"/>
      <c r="G469" s="986"/>
      <c r="H469" s="986"/>
      <c r="I469" s="986"/>
      <c r="J469" s="986"/>
      <c r="K469" s="986"/>
      <c r="L469" s="986"/>
      <c r="M469" s="986"/>
      <c r="N469" s="986"/>
      <c r="O469" s="986"/>
      <c r="P469" s="986"/>
      <c r="Q469" s="986"/>
      <c r="R469" s="986"/>
      <c r="S469" s="986"/>
      <c r="T469" s="986"/>
      <c r="U469" s="986"/>
      <c r="V469" s="986"/>
      <c r="W469" s="986"/>
      <c r="X469" s="986"/>
      <c r="Y469" s="986"/>
      <c r="Z469" s="986"/>
      <c r="AA469" s="986"/>
      <c r="AB469" s="986"/>
      <c r="AC469" s="986"/>
      <c r="AD469" s="986"/>
      <c r="AE469" s="986"/>
      <c r="BE469" s="986"/>
      <c r="BF469" s="986"/>
      <c r="BG469" s="986"/>
      <c r="BH469" s="986"/>
      <c r="BI469" s="1009"/>
      <c r="BJ469" s="986"/>
      <c r="BK469" s="986"/>
      <c r="BL469" s="986"/>
      <c r="BM469" s="986"/>
      <c r="BN469" s="1009"/>
      <c r="BY469" s="1343"/>
      <c r="CB469" s="1535"/>
      <c r="CE469" s="1009"/>
      <c r="CF469" s="1009"/>
    </row>
    <row r="470" spans="2:84">
      <c r="B470" s="986"/>
      <c r="C470" s="986"/>
      <c r="D470" s="986"/>
      <c r="E470" s="986"/>
      <c r="F470" s="986"/>
      <c r="G470" s="986"/>
      <c r="H470" s="986"/>
      <c r="I470" s="986"/>
      <c r="J470" s="986"/>
      <c r="K470" s="986"/>
      <c r="L470" s="986"/>
      <c r="M470" s="986"/>
      <c r="N470" s="986"/>
      <c r="O470" s="986"/>
      <c r="P470" s="986"/>
      <c r="Q470" s="986"/>
      <c r="R470" s="986"/>
      <c r="S470" s="986"/>
      <c r="T470" s="986"/>
      <c r="U470" s="986"/>
      <c r="V470" s="986"/>
      <c r="W470" s="986"/>
      <c r="X470" s="986"/>
      <c r="Y470" s="986"/>
      <c r="Z470" s="986"/>
      <c r="AA470" s="986"/>
      <c r="AB470" s="986"/>
      <c r="AC470" s="986"/>
      <c r="AD470" s="986"/>
      <c r="AE470" s="986"/>
      <c r="BE470" s="986"/>
      <c r="BF470" s="986"/>
      <c r="BG470" s="986"/>
      <c r="BH470" s="986"/>
      <c r="BI470" s="1009"/>
      <c r="BJ470" s="986"/>
      <c r="BK470" s="986"/>
      <c r="BL470" s="986"/>
      <c r="BM470" s="986"/>
      <c r="BN470" s="1009"/>
      <c r="BY470" s="1343"/>
      <c r="CB470" s="1535"/>
      <c r="CE470" s="1009"/>
      <c r="CF470" s="1009"/>
    </row>
    <row r="471" spans="2:84">
      <c r="B471" s="986"/>
      <c r="C471" s="986"/>
      <c r="D471" s="986"/>
      <c r="E471" s="986"/>
      <c r="F471" s="986"/>
      <c r="G471" s="986"/>
      <c r="H471" s="986"/>
      <c r="I471" s="986"/>
      <c r="J471" s="986"/>
      <c r="K471" s="986"/>
      <c r="L471" s="986"/>
      <c r="M471" s="986"/>
      <c r="N471" s="986"/>
      <c r="O471" s="986"/>
      <c r="P471" s="986"/>
      <c r="Q471" s="986"/>
      <c r="R471" s="986"/>
      <c r="S471" s="986"/>
      <c r="T471" s="986"/>
      <c r="U471" s="986"/>
      <c r="V471" s="986"/>
      <c r="W471" s="986"/>
      <c r="X471" s="986"/>
      <c r="Y471" s="986"/>
      <c r="Z471" s="986"/>
      <c r="AA471" s="986"/>
      <c r="AB471" s="986"/>
      <c r="AC471" s="986"/>
      <c r="AD471" s="986"/>
      <c r="AE471" s="986"/>
      <c r="BE471" s="986"/>
      <c r="BF471" s="986"/>
      <c r="BG471" s="986"/>
      <c r="BH471" s="986"/>
      <c r="BI471" s="1009"/>
      <c r="BJ471" s="986"/>
      <c r="BK471" s="986"/>
      <c r="BL471" s="986"/>
      <c r="BM471" s="986"/>
      <c r="BN471" s="1009"/>
      <c r="BY471" s="1343"/>
      <c r="CB471" s="1535"/>
      <c r="CE471" s="1009"/>
      <c r="CF471" s="1009"/>
    </row>
    <row r="472" spans="2:84">
      <c r="B472" s="986"/>
      <c r="C472" s="986"/>
      <c r="D472" s="986"/>
      <c r="E472" s="986"/>
      <c r="F472" s="986"/>
      <c r="G472" s="986"/>
      <c r="H472" s="986"/>
      <c r="I472" s="986"/>
      <c r="J472" s="986"/>
      <c r="K472" s="986"/>
      <c r="L472" s="986"/>
      <c r="M472" s="986"/>
      <c r="N472" s="986"/>
      <c r="O472" s="986"/>
      <c r="P472" s="986"/>
      <c r="Q472" s="986"/>
      <c r="R472" s="986"/>
      <c r="S472" s="986"/>
      <c r="T472" s="986"/>
      <c r="U472" s="986"/>
      <c r="V472" s="986"/>
      <c r="W472" s="986"/>
      <c r="X472" s="986"/>
      <c r="Y472" s="986"/>
      <c r="Z472" s="986"/>
      <c r="AA472" s="986"/>
      <c r="AB472" s="986"/>
      <c r="AC472" s="986"/>
      <c r="AD472" s="986"/>
      <c r="AE472" s="986"/>
      <c r="BE472" s="986"/>
      <c r="BF472" s="986"/>
      <c r="BG472" s="986"/>
      <c r="BH472" s="986"/>
      <c r="BI472" s="1009"/>
      <c r="BJ472" s="986"/>
      <c r="BK472" s="986"/>
      <c r="BL472" s="986"/>
      <c r="BM472" s="986"/>
      <c r="BN472" s="1009"/>
      <c r="BY472" s="1343"/>
      <c r="CB472" s="1535"/>
      <c r="CE472" s="1009"/>
      <c r="CF472" s="1009"/>
    </row>
    <row r="473" spans="2:84">
      <c r="B473" s="986"/>
      <c r="C473" s="986"/>
      <c r="D473" s="986"/>
      <c r="E473" s="986"/>
      <c r="F473" s="986"/>
      <c r="G473" s="986"/>
      <c r="H473" s="986"/>
      <c r="I473" s="986"/>
      <c r="J473" s="986"/>
      <c r="K473" s="986"/>
      <c r="L473" s="986"/>
      <c r="M473" s="986"/>
      <c r="N473" s="986"/>
      <c r="O473" s="986"/>
      <c r="P473" s="986"/>
      <c r="Q473" s="986"/>
      <c r="R473" s="986"/>
      <c r="S473" s="986"/>
      <c r="T473" s="986"/>
      <c r="U473" s="986"/>
      <c r="V473" s="986"/>
      <c r="W473" s="986"/>
      <c r="X473" s="986"/>
      <c r="Y473" s="986"/>
      <c r="Z473" s="986"/>
      <c r="AA473" s="986"/>
      <c r="AB473" s="986"/>
      <c r="AC473" s="986"/>
      <c r="AD473" s="986"/>
      <c r="AE473" s="986"/>
      <c r="BE473" s="986"/>
      <c r="BF473" s="986"/>
      <c r="BG473" s="986"/>
      <c r="BH473" s="986"/>
      <c r="BI473" s="1009"/>
      <c r="BJ473" s="986"/>
      <c r="BK473" s="986"/>
      <c r="BL473" s="986"/>
      <c r="BM473" s="986"/>
      <c r="BN473" s="1009"/>
      <c r="BY473" s="1343"/>
      <c r="CB473" s="1535"/>
      <c r="CE473" s="1009"/>
      <c r="CF473" s="1009"/>
    </row>
    <row r="474" spans="2:84">
      <c r="B474" s="986"/>
      <c r="C474" s="986"/>
      <c r="D474" s="986"/>
      <c r="E474" s="986"/>
      <c r="F474" s="986"/>
      <c r="G474" s="986"/>
      <c r="H474" s="986"/>
      <c r="I474" s="986"/>
      <c r="J474" s="986"/>
      <c r="K474" s="986"/>
      <c r="L474" s="986"/>
      <c r="M474" s="986"/>
      <c r="N474" s="986"/>
      <c r="O474" s="986"/>
      <c r="P474" s="986"/>
      <c r="Q474" s="986"/>
      <c r="R474" s="986"/>
      <c r="S474" s="986"/>
      <c r="T474" s="986"/>
      <c r="U474" s="986"/>
      <c r="V474" s="986"/>
      <c r="W474" s="986"/>
      <c r="X474" s="986"/>
      <c r="Y474" s="986"/>
      <c r="Z474" s="986"/>
      <c r="AA474" s="986"/>
      <c r="AB474" s="986"/>
      <c r="AC474" s="986"/>
      <c r="AD474" s="986"/>
      <c r="AE474" s="986"/>
      <c r="BE474" s="986"/>
      <c r="BF474" s="986"/>
      <c r="BG474" s="986"/>
      <c r="BH474" s="986"/>
      <c r="BI474" s="1009"/>
      <c r="BJ474" s="986"/>
      <c r="BK474" s="986"/>
      <c r="BL474" s="986"/>
      <c r="BM474" s="986"/>
      <c r="BN474" s="1009"/>
      <c r="BY474" s="1343"/>
      <c r="CB474" s="1535"/>
      <c r="CE474" s="1009"/>
      <c r="CF474" s="1009"/>
    </row>
    <row r="475" spans="2:84">
      <c r="B475" s="986"/>
      <c r="C475" s="986"/>
      <c r="D475" s="986"/>
      <c r="E475" s="986"/>
      <c r="F475" s="986"/>
      <c r="G475" s="986"/>
      <c r="H475" s="986"/>
      <c r="I475" s="986"/>
      <c r="J475" s="986"/>
      <c r="K475" s="986"/>
      <c r="L475" s="986"/>
      <c r="M475" s="986"/>
      <c r="N475" s="986"/>
      <c r="O475" s="986"/>
      <c r="P475" s="986"/>
      <c r="Q475" s="986"/>
      <c r="R475" s="986"/>
      <c r="S475" s="986"/>
      <c r="T475" s="986"/>
      <c r="U475" s="986"/>
      <c r="V475" s="986"/>
      <c r="W475" s="986"/>
      <c r="X475" s="986"/>
      <c r="Y475" s="986"/>
      <c r="Z475" s="986"/>
      <c r="AA475" s="986"/>
      <c r="AB475" s="986"/>
      <c r="AC475" s="986"/>
      <c r="AD475" s="986"/>
      <c r="AE475" s="986"/>
      <c r="BE475" s="986"/>
      <c r="BF475" s="986"/>
      <c r="BG475" s="986"/>
      <c r="BH475" s="986"/>
      <c r="BI475" s="1009"/>
      <c r="BJ475" s="986"/>
      <c r="BK475" s="986"/>
      <c r="BL475" s="986"/>
      <c r="BM475" s="986"/>
      <c r="BN475" s="1009"/>
      <c r="BY475" s="1343"/>
      <c r="CB475" s="1535"/>
      <c r="CE475" s="1009"/>
      <c r="CF475" s="1009"/>
    </row>
    <row r="476" spans="2:84">
      <c r="B476" s="986"/>
      <c r="C476" s="986"/>
      <c r="D476" s="986"/>
      <c r="E476" s="986"/>
      <c r="F476" s="986"/>
      <c r="G476" s="986"/>
      <c r="H476" s="986"/>
      <c r="I476" s="986"/>
      <c r="J476" s="986"/>
      <c r="K476" s="986"/>
      <c r="L476" s="986"/>
      <c r="M476" s="986"/>
      <c r="N476" s="986"/>
      <c r="O476" s="986"/>
      <c r="P476" s="986"/>
      <c r="Q476" s="986"/>
      <c r="R476" s="986"/>
      <c r="S476" s="986"/>
      <c r="T476" s="986"/>
      <c r="U476" s="986"/>
      <c r="V476" s="986"/>
      <c r="W476" s="986"/>
      <c r="X476" s="986"/>
      <c r="Y476" s="986"/>
      <c r="Z476" s="986"/>
      <c r="AA476" s="986"/>
      <c r="AB476" s="986"/>
      <c r="AC476" s="986"/>
      <c r="AD476" s="986"/>
      <c r="AE476" s="986"/>
      <c r="BE476" s="986"/>
      <c r="BF476" s="986"/>
      <c r="BG476" s="986"/>
      <c r="BH476" s="986"/>
      <c r="BI476" s="1009"/>
      <c r="BJ476" s="986"/>
      <c r="BK476" s="986"/>
      <c r="BL476" s="986"/>
      <c r="BM476" s="986"/>
      <c r="BN476" s="1009"/>
      <c r="BY476" s="1343"/>
      <c r="CB476" s="1535"/>
      <c r="CE476" s="1009"/>
      <c r="CF476" s="1009"/>
    </row>
    <row r="477" spans="2:84">
      <c r="B477" s="986"/>
      <c r="C477" s="986"/>
      <c r="D477" s="986"/>
      <c r="E477" s="986"/>
      <c r="F477" s="986"/>
      <c r="G477" s="986"/>
      <c r="H477" s="986"/>
      <c r="I477" s="986"/>
      <c r="J477" s="986"/>
      <c r="K477" s="986"/>
      <c r="L477" s="986"/>
      <c r="M477" s="986"/>
      <c r="N477" s="986"/>
      <c r="O477" s="986"/>
      <c r="P477" s="986"/>
      <c r="Q477" s="986"/>
      <c r="R477" s="986"/>
      <c r="S477" s="986"/>
      <c r="T477" s="986"/>
      <c r="U477" s="986"/>
      <c r="V477" s="986"/>
      <c r="W477" s="986"/>
      <c r="X477" s="986"/>
      <c r="Y477" s="986"/>
      <c r="Z477" s="986"/>
      <c r="AA477" s="986"/>
      <c r="AB477" s="986"/>
      <c r="AC477" s="986"/>
      <c r="AD477" s="986"/>
      <c r="AE477" s="986"/>
      <c r="BE477" s="986"/>
      <c r="BF477" s="986"/>
      <c r="BG477" s="986"/>
      <c r="BH477" s="986"/>
      <c r="BI477" s="1009"/>
      <c r="BJ477" s="986"/>
      <c r="BK477" s="986"/>
      <c r="BL477" s="986"/>
      <c r="BM477" s="986"/>
      <c r="BN477" s="1009"/>
      <c r="BY477" s="1343"/>
      <c r="CB477" s="1535"/>
      <c r="CE477" s="1009"/>
      <c r="CF477" s="1009"/>
    </row>
    <row r="478" spans="2:84">
      <c r="B478" s="986"/>
      <c r="C478" s="986"/>
      <c r="D478" s="986"/>
      <c r="E478" s="986"/>
      <c r="F478" s="986"/>
      <c r="G478" s="986"/>
      <c r="H478" s="986"/>
      <c r="I478" s="986"/>
      <c r="J478" s="986"/>
      <c r="K478" s="986"/>
      <c r="L478" s="986"/>
      <c r="M478" s="986"/>
      <c r="N478" s="986"/>
      <c r="O478" s="986"/>
      <c r="P478" s="986"/>
      <c r="Q478" s="986"/>
      <c r="R478" s="986"/>
      <c r="S478" s="986"/>
      <c r="T478" s="986"/>
      <c r="U478" s="986"/>
      <c r="V478" s="986"/>
      <c r="W478" s="986"/>
      <c r="X478" s="986"/>
      <c r="Y478" s="986"/>
      <c r="Z478" s="986"/>
      <c r="AA478" s="986"/>
      <c r="AB478" s="986"/>
      <c r="AC478" s="986"/>
      <c r="AD478" s="986"/>
      <c r="AE478" s="986"/>
      <c r="BE478" s="986"/>
      <c r="BF478" s="986"/>
      <c r="BG478" s="986"/>
      <c r="BH478" s="986"/>
      <c r="BI478" s="1009"/>
      <c r="BJ478" s="986"/>
      <c r="BK478" s="986"/>
      <c r="BL478" s="986"/>
      <c r="BM478" s="986"/>
      <c r="BN478" s="1009"/>
      <c r="BY478" s="1343"/>
      <c r="CB478" s="1535"/>
      <c r="CE478" s="1009"/>
      <c r="CF478" s="1009"/>
    </row>
    <row r="479" spans="2:84">
      <c r="B479" s="986"/>
      <c r="C479" s="986"/>
      <c r="D479" s="986"/>
      <c r="E479" s="986"/>
      <c r="F479" s="986"/>
      <c r="G479" s="986"/>
      <c r="H479" s="986"/>
      <c r="I479" s="986"/>
      <c r="J479" s="986"/>
      <c r="K479" s="986"/>
      <c r="L479" s="986"/>
      <c r="M479" s="986"/>
      <c r="N479" s="986"/>
      <c r="O479" s="986"/>
      <c r="P479" s="986"/>
      <c r="Q479" s="986"/>
      <c r="R479" s="986"/>
      <c r="S479" s="986"/>
      <c r="T479" s="986"/>
      <c r="U479" s="986"/>
      <c r="V479" s="986"/>
      <c r="W479" s="986"/>
      <c r="X479" s="986"/>
      <c r="Y479" s="986"/>
      <c r="Z479" s="986"/>
      <c r="AA479" s="986"/>
      <c r="AB479" s="986"/>
      <c r="AC479" s="986"/>
      <c r="AD479" s="986"/>
      <c r="AE479" s="986"/>
      <c r="BE479" s="986"/>
      <c r="BF479" s="986"/>
      <c r="BG479" s="986"/>
      <c r="BH479" s="986"/>
      <c r="BI479" s="1009"/>
      <c r="BJ479" s="986"/>
      <c r="BK479" s="986"/>
      <c r="BL479" s="986"/>
      <c r="BM479" s="986"/>
      <c r="BN479" s="1009"/>
      <c r="BY479" s="1343"/>
      <c r="CB479" s="1535"/>
      <c r="CE479" s="1009"/>
      <c r="CF479" s="1009"/>
    </row>
    <row r="480" spans="2:84">
      <c r="B480" s="986"/>
      <c r="C480" s="986"/>
      <c r="D480" s="986"/>
      <c r="E480" s="986"/>
      <c r="F480" s="986"/>
      <c r="G480" s="986"/>
      <c r="H480" s="986"/>
      <c r="I480" s="986"/>
      <c r="J480" s="986"/>
      <c r="K480" s="986"/>
      <c r="L480" s="986"/>
      <c r="M480" s="986"/>
      <c r="N480" s="986"/>
      <c r="O480" s="986"/>
      <c r="P480" s="986"/>
      <c r="Q480" s="986"/>
      <c r="R480" s="986"/>
      <c r="S480" s="986"/>
      <c r="T480" s="986"/>
      <c r="U480" s="986"/>
      <c r="V480" s="986"/>
      <c r="W480" s="986"/>
      <c r="X480" s="986"/>
      <c r="Y480" s="986"/>
      <c r="Z480" s="986"/>
      <c r="AA480" s="986"/>
      <c r="AB480" s="986"/>
      <c r="AC480" s="986"/>
      <c r="AD480" s="986"/>
      <c r="AE480" s="986"/>
      <c r="BE480" s="986"/>
      <c r="BF480" s="986"/>
      <c r="BG480" s="986"/>
      <c r="BH480" s="986"/>
      <c r="BI480" s="1009"/>
      <c r="BJ480" s="986"/>
      <c r="BK480" s="986"/>
      <c r="BL480" s="986"/>
      <c r="BM480" s="986"/>
      <c r="BN480" s="1009"/>
      <c r="BY480" s="1343"/>
      <c r="CB480" s="1535"/>
      <c r="CE480" s="1009"/>
      <c r="CF480" s="1009"/>
    </row>
    <row r="481" spans="2:84">
      <c r="B481" s="986"/>
      <c r="C481" s="986"/>
      <c r="D481" s="986"/>
      <c r="E481" s="986"/>
      <c r="F481" s="986"/>
      <c r="G481" s="986"/>
      <c r="H481" s="986"/>
      <c r="I481" s="986"/>
      <c r="J481" s="986"/>
      <c r="K481" s="986"/>
      <c r="L481" s="986"/>
      <c r="M481" s="986"/>
      <c r="N481" s="986"/>
      <c r="O481" s="986"/>
      <c r="P481" s="986"/>
      <c r="Q481" s="986"/>
      <c r="R481" s="986"/>
      <c r="S481" s="986"/>
      <c r="T481" s="986"/>
      <c r="U481" s="986"/>
      <c r="V481" s="986"/>
      <c r="W481" s="986"/>
      <c r="X481" s="986"/>
      <c r="Y481" s="986"/>
      <c r="Z481" s="986"/>
      <c r="AA481" s="986"/>
      <c r="AB481" s="986"/>
      <c r="AC481" s="986"/>
      <c r="AD481" s="986"/>
      <c r="AE481" s="986"/>
      <c r="BF481" s="986"/>
      <c r="BH481" s="986"/>
      <c r="BI481" s="1009"/>
      <c r="BM481" s="986"/>
      <c r="BN481" s="1009"/>
      <c r="BY481" s="1343"/>
      <c r="CB481" s="1535"/>
      <c r="CE481" s="1009"/>
      <c r="CF481" s="1009"/>
    </row>
    <row r="482" spans="2:84">
      <c r="B482" s="986"/>
      <c r="C482" s="986"/>
      <c r="D482" s="986"/>
      <c r="E482" s="986"/>
      <c r="F482" s="986"/>
      <c r="G482" s="986"/>
      <c r="H482" s="986"/>
      <c r="I482" s="986"/>
      <c r="J482" s="986"/>
      <c r="K482" s="986"/>
      <c r="L482" s="986"/>
      <c r="M482" s="986"/>
      <c r="N482" s="986"/>
      <c r="O482" s="986"/>
      <c r="P482" s="986"/>
      <c r="Q482" s="986"/>
      <c r="R482" s="986"/>
      <c r="S482" s="986"/>
      <c r="T482" s="986"/>
      <c r="U482" s="986"/>
      <c r="V482" s="986"/>
      <c r="W482" s="986"/>
      <c r="X482" s="986"/>
      <c r="Y482" s="986"/>
      <c r="Z482" s="986"/>
      <c r="AA482" s="986"/>
      <c r="AB482" s="986"/>
      <c r="AC482" s="986"/>
      <c r="AD482" s="986"/>
      <c r="AE482" s="986"/>
      <c r="BF482" s="986"/>
      <c r="BH482" s="986"/>
      <c r="BI482" s="1009"/>
      <c r="BM482" s="986"/>
      <c r="BN482" s="1009"/>
      <c r="BY482" s="1343"/>
      <c r="CB482" s="1535"/>
      <c r="CE482" s="1009"/>
      <c r="CF482" s="1009"/>
    </row>
    <row r="483" spans="2:84">
      <c r="B483" s="986"/>
      <c r="C483" s="986"/>
      <c r="D483" s="986"/>
      <c r="E483" s="986"/>
      <c r="F483" s="986"/>
      <c r="G483" s="986"/>
      <c r="H483" s="986"/>
      <c r="I483" s="986"/>
      <c r="J483" s="986"/>
      <c r="K483" s="986"/>
      <c r="L483" s="986"/>
      <c r="M483" s="986"/>
      <c r="N483" s="986"/>
      <c r="O483" s="986"/>
      <c r="P483" s="986"/>
      <c r="Q483" s="986"/>
      <c r="R483" s="986"/>
      <c r="S483" s="986"/>
      <c r="T483" s="986"/>
      <c r="U483" s="986"/>
      <c r="V483" s="986"/>
      <c r="W483" s="986"/>
      <c r="X483" s="986"/>
      <c r="Y483" s="986"/>
      <c r="Z483" s="986"/>
      <c r="AA483" s="986"/>
      <c r="AB483" s="986"/>
      <c r="AC483" s="986"/>
      <c r="AD483" s="986"/>
      <c r="AE483" s="986"/>
      <c r="BF483" s="986"/>
      <c r="BH483" s="986"/>
      <c r="BI483" s="1009"/>
      <c r="BM483" s="986"/>
      <c r="BN483" s="1009"/>
      <c r="BY483" s="1343"/>
      <c r="CB483" s="1535"/>
      <c r="CE483" s="1009"/>
      <c r="CF483" s="1009"/>
    </row>
    <row r="484" spans="2:84">
      <c r="B484" s="986"/>
      <c r="C484" s="986"/>
      <c r="D484" s="986"/>
      <c r="E484" s="986"/>
      <c r="F484" s="986"/>
      <c r="G484" s="986"/>
      <c r="H484" s="986"/>
      <c r="I484" s="986"/>
      <c r="J484" s="986"/>
      <c r="K484" s="986"/>
      <c r="L484" s="986"/>
      <c r="M484" s="986"/>
      <c r="N484" s="986"/>
      <c r="O484" s="986"/>
      <c r="P484" s="986"/>
      <c r="Q484" s="986"/>
      <c r="R484" s="986"/>
      <c r="S484" s="986"/>
      <c r="T484" s="986"/>
      <c r="U484" s="986"/>
      <c r="V484" s="986"/>
      <c r="W484" s="986"/>
      <c r="X484" s="986"/>
      <c r="Y484" s="986"/>
      <c r="Z484" s="986"/>
      <c r="AA484" s="986"/>
      <c r="AB484" s="986"/>
      <c r="AC484" s="986"/>
      <c r="AD484" s="986"/>
      <c r="AE484" s="986"/>
      <c r="BE484" s="986"/>
      <c r="BF484" s="986"/>
      <c r="BG484" s="986"/>
      <c r="BH484" s="986"/>
      <c r="BI484" s="1009"/>
      <c r="BY484" s="1343"/>
      <c r="CB484" s="1535"/>
      <c r="CE484" s="1009"/>
      <c r="CF484" s="1009"/>
    </row>
    <row r="485" spans="2:84">
      <c r="B485" s="986"/>
      <c r="C485" s="986"/>
      <c r="D485" s="986"/>
      <c r="E485" s="986"/>
      <c r="F485" s="986"/>
      <c r="G485" s="986"/>
      <c r="H485" s="986"/>
      <c r="I485" s="986"/>
      <c r="J485" s="986"/>
      <c r="K485" s="986"/>
      <c r="L485" s="986"/>
      <c r="M485" s="986"/>
      <c r="N485" s="986"/>
      <c r="O485" s="986"/>
      <c r="P485" s="986"/>
      <c r="Q485" s="986"/>
      <c r="R485" s="986"/>
      <c r="S485" s="986"/>
      <c r="T485" s="986"/>
      <c r="U485" s="986"/>
      <c r="V485" s="986"/>
      <c r="W485" s="986"/>
      <c r="X485" s="986"/>
      <c r="Y485" s="986"/>
      <c r="Z485" s="986"/>
      <c r="AA485" s="986"/>
      <c r="AB485" s="986"/>
      <c r="AC485" s="986"/>
      <c r="AD485" s="986"/>
      <c r="AE485" s="986"/>
      <c r="BE485" s="986"/>
      <c r="BF485" s="986"/>
      <c r="BG485" s="986"/>
      <c r="BH485" s="986"/>
      <c r="BI485" s="1009"/>
      <c r="BY485" s="1343"/>
      <c r="CB485" s="1535"/>
      <c r="CE485" s="1009"/>
      <c r="CF485" s="1009"/>
    </row>
    <row r="486" spans="2:84">
      <c r="B486" s="986"/>
      <c r="C486" s="986"/>
      <c r="D486" s="986"/>
      <c r="E486" s="986"/>
      <c r="F486" s="986"/>
      <c r="G486" s="986"/>
      <c r="H486" s="986"/>
      <c r="I486" s="986"/>
      <c r="J486" s="986"/>
      <c r="K486" s="986"/>
      <c r="L486" s="986"/>
      <c r="M486" s="986"/>
      <c r="N486" s="986"/>
      <c r="O486" s="986"/>
      <c r="P486" s="986"/>
      <c r="Q486" s="986"/>
      <c r="R486" s="986"/>
      <c r="S486" s="986"/>
      <c r="T486" s="986"/>
      <c r="U486" s="986"/>
      <c r="V486" s="986"/>
      <c r="W486" s="986"/>
      <c r="X486" s="986"/>
      <c r="Y486" s="986"/>
      <c r="Z486" s="986"/>
      <c r="AA486" s="986"/>
      <c r="AB486" s="986"/>
      <c r="AC486" s="986"/>
      <c r="AD486" s="986"/>
      <c r="AE486" s="986"/>
      <c r="BE486" s="986"/>
      <c r="BF486" s="986"/>
      <c r="BG486" s="986"/>
      <c r="BH486" s="986"/>
      <c r="BI486" s="1009"/>
      <c r="BY486" s="1343"/>
      <c r="CB486" s="1535"/>
      <c r="CE486" s="1009"/>
      <c r="CF486" s="1009"/>
    </row>
    <row r="487" spans="2:84">
      <c r="B487" s="986"/>
      <c r="C487" s="986"/>
      <c r="D487" s="986"/>
      <c r="E487" s="986"/>
      <c r="F487" s="986"/>
      <c r="G487" s="986"/>
      <c r="H487" s="986"/>
      <c r="I487" s="986"/>
      <c r="J487" s="986"/>
      <c r="K487" s="986"/>
      <c r="L487" s="986"/>
      <c r="M487" s="986"/>
      <c r="N487" s="986"/>
      <c r="O487" s="986"/>
      <c r="P487" s="986"/>
      <c r="Q487" s="986"/>
      <c r="R487" s="986"/>
      <c r="S487" s="986"/>
      <c r="T487" s="986"/>
      <c r="U487" s="986"/>
      <c r="V487" s="986"/>
      <c r="W487" s="986"/>
      <c r="X487" s="986"/>
      <c r="Y487" s="986"/>
      <c r="Z487" s="986"/>
      <c r="AA487" s="986"/>
      <c r="AB487" s="986"/>
      <c r="AC487" s="986"/>
      <c r="AD487" s="986"/>
      <c r="AE487" s="986"/>
      <c r="BE487" s="986"/>
      <c r="BF487" s="986"/>
      <c r="BG487" s="986"/>
      <c r="BH487" s="986"/>
      <c r="BI487" s="1009"/>
      <c r="BY487" s="1343"/>
      <c r="CB487" s="1535"/>
      <c r="CE487" s="1009"/>
      <c r="CF487" s="1009"/>
    </row>
    <row r="488" spans="2:84">
      <c r="B488" s="986"/>
      <c r="C488" s="986"/>
      <c r="D488" s="986"/>
      <c r="E488" s="986"/>
      <c r="F488" s="986"/>
      <c r="G488" s="986"/>
      <c r="H488" s="986"/>
      <c r="I488" s="986"/>
      <c r="J488" s="986"/>
      <c r="K488" s="986"/>
      <c r="L488" s="986"/>
      <c r="M488" s="986"/>
      <c r="N488" s="986"/>
      <c r="O488" s="986"/>
      <c r="P488" s="986"/>
      <c r="Q488" s="986"/>
      <c r="R488" s="986"/>
      <c r="S488" s="986"/>
      <c r="T488" s="986"/>
      <c r="U488" s="986"/>
      <c r="V488" s="986"/>
      <c r="W488" s="986"/>
      <c r="X488" s="986"/>
      <c r="Y488" s="986"/>
      <c r="Z488" s="986"/>
      <c r="AA488" s="986"/>
      <c r="AB488" s="986"/>
      <c r="AC488" s="986"/>
      <c r="AD488" s="986"/>
      <c r="AE488" s="986"/>
      <c r="BE488" s="986"/>
      <c r="BF488" s="986"/>
      <c r="BG488" s="986"/>
      <c r="BH488" s="986"/>
      <c r="BI488" s="1009"/>
      <c r="BY488" s="1343"/>
      <c r="CB488" s="1535"/>
      <c r="CE488" s="1009"/>
      <c r="CF488" s="1009"/>
    </row>
    <row r="489" spans="2:84">
      <c r="B489" s="986"/>
      <c r="C489" s="986"/>
      <c r="D489" s="986"/>
      <c r="E489" s="986"/>
      <c r="F489" s="986"/>
      <c r="G489" s="986"/>
      <c r="H489" s="986"/>
      <c r="I489" s="986"/>
      <c r="J489" s="986"/>
      <c r="K489" s="986"/>
      <c r="L489" s="986"/>
      <c r="M489" s="986"/>
      <c r="N489" s="986"/>
      <c r="O489" s="986"/>
      <c r="P489" s="986"/>
      <c r="Q489" s="986"/>
      <c r="R489" s="986"/>
      <c r="S489" s="986"/>
      <c r="T489" s="986"/>
      <c r="U489" s="986"/>
      <c r="V489" s="986"/>
      <c r="W489" s="986"/>
      <c r="X489" s="986"/>
      <c r="Y489" s="986"/>
      <c r="Z489" s="986"/>
      <c r="AA489" s="986"/>
      <c r="AB489" s="986"/>
      <c r="AC489" s="986"/>
      <c r="AD489" s="986"/>
      <c r="AE489" s="986"/>
      <c r="BE489" s="986"/>
      <c r="BF489" s="986"/>
      <c r="BG489" s="986"/>
      <c r="BH489" s="986"/>
      <c r="BI489" s="1009"/>
      <c r="BY489" s="1343"/>
      <c r="CB489" s="1535"/>
      <c r="CE489" s="1009"/>
      <c r="CF489" s="1009"/>
    </row>
    <row r="490" spans="2:84">
      <c r="B490" s="986"/>
      <c r="C490" s="986"/>
      <c r="D490" s="986"/>
      <c r="E490" s="986"/>
      <c r="F490" s="986"/>
      <c r="G490" s="986"/>
      <c r="H490" s="986"/>
      <c r="I490" s="986"/>
      <c r="J490" s="986"/>
      <c r="K490" s="986"/>
      <c r="L490" s="986"/>
      <c r="M490" s="986"/>
      <c r="N490" s="986"/>
      <c r="O490" s="986"/>
      <c r="P490" s="986"/>
      <c r="Q490" s="986"/>
      <c r="R490" s="986"/>
      <c r="S490" s="986"/>
      <c r="T490" s="986"/>
      <c r="U490" s="986"/>
      <c r="V490" s="986"/>
      <c r="W490" s="986"/>
      <c r="X490" s="986"/>
      <c r="Y490" s="986"/>
      <c r="Z490" s="986"/>
      <c r="AA490" s="986"/>
      <c r="AB490" s="986"/>
      <c r="AC490" s="986"/>
      <c r="AD490" s="986"/>
      <c r="AE490" s="986"/>
      <c r="BE490" s="986"/>
      <c r="BF490" s="986"/>
      <c r="BG490" s="986"/>
      <c r="BH490" s="986"/>
      <c r="BI490" s="1009"/>
      <c r="BY490" s="1343"/>
      <c r="CB490" s="1535"/>
      <c r="CE490" s="1009"/>
      <c r="CF490" s="1009"/>
    </row>
    <row r="491" spans="2:84">
      <c r="B491" s="986"/>
      <c r="C491" s="986"/>
      <c r="D491" s="986"/>
      <c r="E491" s="986"/>
      <c r="F491" s="986"/>
      <c r="G491" s="986"/>
      <c r="H491" s="986"/>
      <c r="I491" s="986"/>
      <c r="J491" s="986"/>
      <c r="K491" s="986"/>
      <c r="L491" s="986"/>
      <c r="M491" s="986"/>
      <c r="N491" s="986"/>
      <c r="O491" s="986"/>
      <c r="P491" s="986"/>
      <c r="Q491" s="986"/>
      <c r="R491" s="986"/>
      <c r="S491" s="986"/>
      <c r="T491" s="986"/>
      <c r="U491" s="986"/>
      <c r="V491" s="986"/>
      <c r="W491" s="986"/>
      <c r="X491" s="986"/>
      <c r="Y491" s="986"/>
      <c r="Z491" s="986"/>
      <c r="AA491" s="986"/>
      <c r="AB491" s="986"/>
      <c r="AC491" s="986"/>
      <c r="AD491" s="986"/>
      <c r="AE491" s="986"/>
      <c r="BE491" s="986"/>
      <c r="BF491" s="986"/>
      <c r="BG491" s="986"/>
      <c r="BH491" s="986"/>
      <c r="BI491" s="1009"/>
      <c r="BY491" s="1343"/>
      <c r="CB491" s="1535"/>
      <c r="CE491" s="1009"/>
      <c r="CF491" s="1009"/>
    </row>
    <row r="492" spans="2:84">
      <c r="B492" s="986"/>
      <c r="C492" s="986"/>
      <c r="D492" s="986"/>
      <c r="E492" s="986"/>
      <c r="F492" s="986"/>
      <c r="G492" s="986"/>
      <c r="H492" s="986"/>
      <c r="I492" s="986"/>
      <c r="J492" s="986"/>
      <c r="K492" s="986"/>
      <c r="L492" s="986"/>
      <c r="M492" s="986"/>
      <c r="N492" s="986"/>
      <c r="O492" s="986"/>
      <c r="P492" s="986"/>
      <c r="Q492" s="986"/>
      <c r="R492" s="986"/>
      <c r="S492" s="986"/>
      <c r="T492" s="986"/>
      <c r="U492" s="986"/>
      <c r="V492" s="986"/>
      <c r="W492" s="986"/>
      <c r="X492" s="986"/>
      <c r="Y492" s="986"/>
      <c r="Z492" s="986"/>
      <c r="AA492" s="986"/>
      <c r="AB492" s="986"/>
      <c r="AC492" s="986"/>
      <c r="AD492" s="986"/>
      <c r="AE492" s="986"/>
      <c r="BE492" s="986"/>
      <c r="BF492" s="986"/>
      <c r="BG492" s="986"/>
      <c r="BH492" s="986"/>
      <c r="BI492" s="1009"/>
      <c r="BY492" s="1343"/>
      <c r="CB492" s="1535"/>
      <c r="CE492" s="1009"/>
      <c r="CF492" s="1009"/>
    </row>
    <row r="493" spans="2:84">
      <c r="B493" s="986"/>
      <c r="C493" s="986"/>
      <c r="D493" s="986"/>
      <c r="E493" s="986"/>
      <c r="F493" s="986"/>
      <c r="G493" s="986"/>
      <c r="H493" s="986"/>
      <c r="I493" s="986"/>
      <c r="J493" s="986"/>
      <c r="K493" s="986"/>
      <c r="L493" s="986"/>
      <c r="M493" s="986"/>
      <c r="N493" s="986"/>
      <c r="O493" s="986"/>
      <c r="P493" s="986"/>
      <c r="Q493" s="986"/>
      <c r="R493" s="986"/>
      <c r="S493" s="986"/>
      <c r="T493" s="986"/>
      <c r="U493" s="986"/>
      <c r="V493" s="986"/>
      <c r="W493" s="986"/>
      <c r="X493" s="986"/>
      <c r="Y493" s="986"/>
      <c r="Z493" s="986"/>
      <c r="AA493" s="986"/>
      <c r="AB493" s="986"/>
      <c r="AC493" s="986"/>
      <c r="AD493" s="986"/>
      <c r="AE493" s="986"/>
      <c r="BE493" s="986"/>
      <c r="BF493" s="986"/>
      <c r="BG493" s="986"/>
      <c r="BH493" s="986"/>
      <c r="BI493" s="1009"/>
      <c r="BY493" s="1343"/>
      <c r="CB493" s="1535"/>
      <c r="CE493" s="1009"/>
      <c r="CF493" s="1009"/>
    </row>
    <row r="494" spans="2:84">
      <c r="B494" s="986"/>
      <c r="C494" s="986"/>
      <c r="D494" s="986"/>
      <c r="E494" s="986"/>
      <c r="F494" s="986"/>
      <c r="G494" s="986"/>
      <c r="H494" s="986"/>
      <c r="I494" s="986"/>
      <c r="J494" s="986"/>
      <c r="K494" s="986"/>
      <c r="L494" s="986"/>
      <c r="M494" s="986"/>
      <c r="N494" s="986"/>
      <c r="O494" s="986"/>
      <c r="P494" s="986"/>
      <c r="Q494" s="986"/>
      <c r="R494" s="986"/>
      <c r="S494" s="986"/>
      <c r="T494" s="986"/>
      <c r="U494" s="986"/>
      <c r="V494" s="986"/>
      <c r="W494" s="986"/>
      <c r="X494" s="986"/>
      <c r="Y494" s="986"/>
      <c r="Z494" s="986"/>
      <c r="AA494" s="986"/>
      <c r="AB494" s="986"/>
      <c r="AC494" s="986"/>
      <c r="AD494" s="986"/>
      <c r="AE494" s="986"/>
      <c r="BE494" s="986"/>
      <c r="BF494" s="986"/>
      <c r="BG494" s="986"/>
      <c r="BH494" s="986"/>
      <c r="BI494" s="1009"/>
      <c r="BY494" s="1343"/>
      <c r="CB494" s="1535"/>
      <c r="CE494" s="1009"/>
      <c r="CF494" s="1009"/>
    </row>
    <row r="495" spans="2:84">
      <c r="B495" s="986"/>
      <c r="C495" s="986"/>
      <c r="D495" s="986"/>
      <c r="E495" s="986"/>
      <c r="F495" s="986"/>
      <c r="G495" s="986"/>
      <c r="H495" s="986"/>
      <c r="I495" s="986"/>
      <c r="J495" s="986"/>
      <c r="K495" s="986"/>
      <c r="L495" s="986"/>
      <c r="M495" s="986"/>
      <c r="N495" s="986"/>
      <c r="O495" s="986"/>
      <c r="P495" s="986"/>
      <c r="Q495" s="986"/>
      <c r="R495" s="986"/>
      <c r="S495" s="986"/>
      <c r="T495" s="986"/>
      <c r="U495" s="986"/>
      <c r="V495" s="986"/>
      <c r="W495" s="986"/>
      <c r="X495" s="986"/>
      <c r="Y495" s="986"/>
      <c r="Z495" s="986"/>
      <c r="AA495" s="986"/>
      <c r="AB495" s="986"/>
      <c r="AC495" s="986"/>
      <c r="AD495" s="986"/>
      <c r="AE495" s="986"/>
      <c r="BE495" s="986"/>
      <c r="BF495" s="986"/>
      <c r="BG495" s="986"/>
      <c r="BH495" s="986"/>
      <c r="BI495" s="1009"/>
      <c r="BY495" s="1343"/>
      <c r="CB495" s="1535"/>
      <c r="CE495" s="1009"/>
      <c r="CF495" s="1009"/>
    </row>
    <row r="496" spans="2:84">
      <c r="B496" s="986"/>
      <c r="C496" s="986"/>
      <c r="D496" s="986"/>
      <c r="E496" s="986"/>
      <c r="F496" s="986"/>
      <c r="G496" s="986"/>
      <c r="H496" s="986"/>
      <c r="I496" s="986"/>
      <c r="J496" s="986"/>
      <c r="K496" s="986"/>
      <c r="L496" s="986"/>
      <c r="M496" s="986"/>
      <c r="N496" s="986"/>
      <c r="O496" s="986"/>
      <c r="P496" s="986"/>
      <c r="Q496" s="986"/>
      <c r="R496" s="986"/>
      <c r="S496" s="986"/>
      <c r="T496" s="986"/>
      <c r="U496" s="986"/>
      <c r="V496" s="986"/>
      <c r="W496" s="986"/>
      <c r="X496" s="986"/>
      <c r="Y496" s="986"/>
      <c r="Z496" s="986"/>
      <c r="AA496" s="986"/>
      <c r="AB496" s="986"/>
      <c r="AC496" s="986"/>
      <c r="AD496" s="986"/>
      <c r="AE496" s="986"/>
      <c r="BE496" s="986"/>
      <c r="BF496" s="986"/>
      <c r="BG496" s="986"/>
      <c r="BH496" s="986"/>
      <c r="BI496" s="1009"/>
      <c r="BY496" s="1343"/>
      <c r="CB496" s="1535"/>
      <c r="CE496" s="1009"/>
      <c r="CF496" s="1009"/>
    </row>
    <row r="497" spans="2:84">
      <c r="B497" s="986"/>
      <c r="C497" s="986"/>
      <c r="D497" s="986"/>
      <c r="E497" s="986"/>
      <c r="F497" s="986"/>
      <c r="G497" s="986"/>
      <c r="H497" s="986"/>
      <c r="I497" s="986"/>
      <c r="J497" s="986"/>
      <c r="K497" s="986"/>
      <c r="L497" s="986"/>
      <c r="M497" s="986"/>
      <c r="N497" s="986"/>
      <c r="O497" s="986"/>
      <c r="P497" s="986"/>
      <c r="Q497" s="986"/>
      <c r="R497" s="986"/>
      <c r="S497" s="986"/>
      <c r="T497" s="986"/>
      <c r="U497" s="986"/>
      <c r="V497" s="986"/>
      <c r="W497" s="986"/>
      <c r="X497" s="986"/>
      <c r="Y497" s="986"/>
      <c r="Z497" s="986"/>
      <c r="AA497" s="986"/>
      <c r="AB497" s="986"/>
      <c r="AC497" s="986"/>
      <c r="AD497" s="986"/>
      <c r="AE497" s="986"/>
      <c r="BE497" s="986"/>
      <c r="BF497" s="986"/>
      <c r="BG497" s="986"/>
      <c r="BH497" s="986"/>
      <c r="BI497" s="1009"/>
      <c r="BY497" s="1343"/>
      <c r="CB497" s="1535"/>
      <c r="CE497" s="1009"/>
      <c r="CF497" s="1009"/>
    </row>
    <row r="498" spans="2:84">
      <c r="B498" s="986"/>
      <c r="C498" s="986"/>
      <c r="D498" s="986"/>
      <c r="E498" s="986"/>
      <c r="F498" s="986"/>
      <c r="G498" s="986"/>
      <c r="H498" s="986"/>
      <c r="I498" s="986"/>
      <c r="J498" s="986"/>
      <c r="K498" s="986"/>
      <c r="L498" s="986"/>
      <c r="M498" s="986"/>
      <c r="N498" s="986"/>
      <c r="O498" s="986"/>
      <c r="P498" s="986"/>
      <c r="Q498" s="986"/>
      <c r="R498" s="986"/>
      <c r="S498" s="986"/>
      <c r="T498" s="986"/>
      <c r="U498" s="986"/>
      <c r="V498" s="986"/>
      <c r="W498" s="986"/>
      <c r="X498" s="986"/>
      <c r="Y498" s="986"/>
      <c r="Z498" s="986"/>
      <c r="AA498" s="986"/>
      <c r="AB498" s="986"/>
      <c r="AC498" s="986"/>
      <c r="AD498" s="986"/>
      <c r="AE498" s="986"/>
      <c r="BE498" s="986"/>
      <c r="BF498" s="986"/>
      <c r="BG498" s="986"/>
      <c r="BH498" s="986"/>
      <c r="BI498" s="1009"/>
      <c r="BY498" s="1343"/>
      <c r="CB498" s="1535"/>
      <c r="CE498" s="1009"/>
      <c r="CF498" s="1009"/>
    </row>
    <row r="499" spans="2:84">
      <c r="B499" s="986"/>
      <c r="C499" s="986"/>
      <c r="D499" s="986"/>
      <c r="E499" s="986"/>
      <c r="F499" s="986"/>
      <c r="G499" s="986"/>
      <c r="H499" s="986"/>
      <c r="I499" s="986"/>
      <c r="J499" s="986"/>
      <c r="K499" s="986"/>
      <c r="L499" s="986"/>
      <c r="M499" s="986"/>
      <c r="N499" s="986"/>
      <c r="O499" s="986"/>
      <c r="P499" s="986"/>
      <c r="Q499" s="986"/>
      <c r="R499" s="986"/>
      <c r="S499" s="986"/>
      <c r="T499" s="986"/>
      <c r="U499" s="986"/>
      <c r="V499" s="986"/>
      <c r="W499" s="986"/>
      <c r="X499" s="986"/>
      <c r="Y499" s="986"/>
      <c r="Z499" s="986"/>
      <c r="AA499" s="986"/>
      <c r="AB499" s="986"/>
      <c r="AC499" s="986"/>
      <c r="AD499" s="986"/>
      <c r="AE499" s="986"/>
      <c r="BE499" s="986"/>
      <c r="BF499" s="986"/>
      <c r="BG499" s="986"/>
      <c r="BH499" s="986"/>
      <c r="BI499" s="1009"/>
      <c r="BY499" s="1343"/>
      <c r="CB499" s="1535"/>
      <c r="CE499" s="1009"/>
      <c r="CF499" s="1009"/>
    </row>
    <row r="500" spans="2:84">
      <c r="B500" s="986"/>
      <c r="C500" s="986"/>
      <c r="D500" s="986"/>
      <c r="E500" s="986"/>
      <c r="F500" s="986"/>
      <c r="G500" s="986"/>
      <c r="H500" s="986"/>
      <c r="I500" s="986"/>
      <c r="J500" s="986"/>
      <c r="K500" s="986"/>
      <c r="L500" s="986"/>
      <c r="M500" s="986"/>
      <c r="N500" s="986"/>
      <c r="O500" s="986"/>
      <c r="P500" s="986"/>
      <c r="Q500" s="986"/>
      <c r="R500" s="986"/>
      <c r="S500" s="986"/>
      <c r="T500" s="986"/>
      <c r="U500" s="986"/>
      <c r="V500" s="986"/>
      <c r="W500" s="986"/>
      <c r="X500" s="986"/>
      <c r="Y500" s="986"/>
      <c r="Z500" s="986"/>
      <c r="AA500" s="986"/>
      <c r="AB500" s="986"/>
      <c r="AC500" s="986"/>
      <c r="AD500" s="986"/>
      <c r="AE500" s="986"/>
      <c r="BE500" s="986"/>
      <c r="BF500" s="986"/>
      <c r="BG500" s="986"/>
      <c r="BH500" s="986"/>
      <c r="BI500" s="1009"/>
      <c r="BY500" s="1343"/>
      <c r="CB500" s="1535"/>
      <c r="CE500" s="1009"/>
      <c r="CF500" s="1009"/>
    </row>
    <row r="501" spans="2:84">
      <c r="B501" s="986"/>
      <c r="C501" s="986"/>
      <c r="D501" s="986"/>
      <c r="E501" s="986"/>
      <c r="F501" s="986"/>
      <c r="G501" s="986"/>
      <c r="H501" s="986"/>
      <c r="I501" s="986"/>
      <c r="J501" s="986"/>
      <c r="K501" s="986"/>
      <c r="L501" s="986"/>
      <c r="M501" s="986"/>
      <c r="N501" s="986"/>
      <c r="O501" s="986"/>
      <c r="P501" s="986"/>
      <c r="Q501" s="986"/>
      <c r="R501" s="986"/>
      <c r="S501" s="986"/>
      <c r="T501" s="986"/>
      <c r="U501" s="986"/>
      <c r="V501" s="986"/>
      <c r="W501" s="986"/>
      <c r="X501" s="986"/>
      <c r="Y501" s="986"/>
      <c r="Z501" s="986"/>
      <c r="AA501" s="986"/>
      <c r="AB501" s="986"/>
      <c r="AC501" s="986"/>
      <c r="AD501" s="986"/>
      <c r="AE501" s="986"/>
      <c r="BE501" s="986"/>
      <c r="BF501" s="986"/>
      <c r="BG501" s="986"/>
      <c r="BH501" s="986"/>
      <c r="BI501" s="1009"/>
      <c r="BY501" s="1343"/>
      <c r="CB501" s="1535"/>
      <c r="CE501" s="1009"/>
      <c r="CF501" s="1009"/>
    </row>
    <row r="502" spans="2:84">
      <c r="B502" s="986"/>
      <c r="C502" s="986"/>
      <c r="D502" s="986"/>
      <c r="E502" s="986"/>
      <c r="F502" s="986"/>
      <c r="G502" s="986"/>
      <c r="H502" s="986"/>
      <c r="I502" s="986"/>
      <c r="J502" s="986"/>
      <c r="K502" s="986"/>
      <c r="L502" s="986"/>
      <c r="M502" s="986"/>
      <c r="N502" s="986"/>
      <c r="O502" s="986"/>
      <c r="P502" s="986"/>
      <c r="Q502" s="986"/>
      <c r="R502" s="986"/>
      <c r="S502" s="986"/>
      <c r="T502" s="986"/>
      <c r="U502" s="986"/>
      <c r="V502" s="986"/>
      <c r="W502" s="986"/>
      <c r="X502" s="986"/>
      <c r="Y502" s="986"/>
      <c r="Z502" s="986"/>
      <c r="AA502" s="986"/>
      <c r="AB502" s="986"/>
      <c r="AC502" s="986"/>
      <c r="AD502" s="986"/>
      <c r="AE502" s="986"/>
      <c r="BE502" s="986"/>
      <c r="BF502" s="986"/>
      <c r="BG502" s="986"/>
      <c r="BH502" s="986"/>
      <c r="BI502" s="1009"/>
      <c r="BY502" s="1343"/>
      <c r="CB502" s="1535"/>
      <c r="CE502" s="1009"/>
      <c r="CF502" s="1009"/>
    </row>
    <row r="503" spans="2:84">
      <c r="B503" s="986"/>
      <c r="C503" s="986"/>
      <c r="D503" s="986"/>
      <c r="E503" s="986"/>
      <c r="F503" s="986"/>
      <c r="G503" s="986"/>
      <c r="H503" s="986"/>
      <c r="I503" s="986"/>
      <c r="J503" s="986"/>
      <c r="K503" s="986"/>
      <c r="L503" s="986"/>
      <c r="M503" s="986"/>
      <c r="N503" s="986"/>
      <c r="O503" s="986"/>
      <c r="P503" s="986"/>
      <c r="Q503" s="986"/>
      <c r="R503" s="986"/>
      <c r="S503" s="986"/>
      <c r="T503" s="986"/>
      <c r="U503" s="986"/>
      <c r="V503" s="986"/>
      <c r="W503" s="986"/>
      <c r="X503" s="986"/>
      <c r="Y503" s="986"/>
      <c r="Z503" s="986"/>
      <c r="AA503" s="986"/>
      <c r="AB503" s="986"/>
      <c r="AC503" s="986"/>
      <c r="AD503" s="986"/>
      <c r="AE503" s="986"/>
      <c r="BE503" s="986"/>
      <c r="BF503" s="986"/>
      <c r="BG503" s="986"/>
      <c r="BH503" s="986"/>
      <c r="BI503" s="1009"/>
      <c r="BY503" s="1343"/>
      <c r="CB503" s="1535"/>
      <c r="CE503" s="1009"/>
      <c r="CF503" s="1009"/>
    </row>
    <row r="504" spans="2:84">
      <c r="B504" s="986"/>
      <c r="C504" s="986"/>
      <c r="D504" s="986"/>
      <c r="E504" s="986"/>
      <c r="F504" s="986"/>
      <c r="G504" s="986"/>
      <c r="H504" s="986"/>
      <c r="I504" s="986"/>
      <c r="J504" s="986"/>
      <c r="K504" s="986"/>
      <c r="L504" s="986"/>
      <c r="M504" s="986"/>
      <c r="N504" s="986"/>
      <c r="O504" s="986"/>
      <c r="P504" s="986"/>
      <c r="Q504" s="986"/>
      <c r="R504" s="986"/>
      <c r="S504" s="986"/>
      <c r="T504" s="986"/>
      <c r="U504" s="986"/>
      <c r="V504" s="986"/>
      <c r="W504" s="986"/>
      <c r="X504" s="986"/>
      <c r="Y504" s="986"/>
      <c r="Z504" s="986"/>
      <c r="AA504" s="986"/>
      <c r="AB504" s="986"/>
      <c r="AC504" s="986"/>
      <c r="AD504" s="986"/>
      <c r="AE504" s="986"/>
      <c r="BE504" s="986"/>
      <c r="BF504" s="986"/>
      <c r="BG504" s="986"/>
      <c r="BH504" s="986"/>
      <c r="BI504" s="1009"/>
      <c r="BY504" s="1343"/>
      <c r="CB504" s="1535"/>
      <c r="CE504" s="1009"/>
      <c r="CF504" s="1009"/>
    </row>
    <row r="505" spans="2:84">
      <c r="B505" s="986"/>
      <c r="C505" s="986"/>
      <c r="D505" s="986"/>
      <c r="E505" s="986"/>
      <c r="F505" s="986"/>
      <c r="G505" s="986"/>
      <c r="H505" s="986"/>
      <c r="I505" s="986"/>
      <c r="J505" s="986"/>
      <c r="K505" s="986"/>
      <c r="L505" s="986"/>
      <c r="M505" s="986"/>
      <c r="N505" s="986"/>
      <c r="O505" s="986"/>
      <c r="P505" s="986"/>
      <c r="Q505" s="986"/>
      <c r="R505" s="986"/>
      <c r="S505" s="986"/>
      <c r="T505" s="986"/>
      <c r="U505" s="986"/>
      <c r="V505" s="986"/>
      <c r="W505" s="986"/>
      <c r="X505" s="986"/>
      <c r="Y505" s="986"/>
      <c r="Z505" s="986"/>
      <c r="AA505" s="986"/>
      <c r="AB505" s="986"/>
      <c r="AC505" s="986"/>
      <c r="AD505" s="986"/>
      <c r="AE505" s="986"/>
      <c r="BE505" s="986"/>
      <c r="BF505" s="986"/>
      <c r="BG505" s="986"/>
      <c r="BH505" s="986"/>
      <c r="BI505" s="1009"/>
      <c r="BY505" s="1343"/>
      <c r="CB505" s="1535"/>
      <c r="CE505" s="1009"/>
      <c r="CF505" s="1009"/>
    </row>
    <row r="506" spans="2:84">
      <c r="B506" s="986"/>
      <c r="C506" s="986"/>
      <c r="D506" s="986"/>
      <c r="E506" s="986"/>
      <c r="F506" s="986"/>
      <c r="G506" s="986"/>
      <c r="H506" s="986"/>
      <c r="I506" s="986"/>
      <c r="J506" s="986"/>
      <c r="K506" s="986"/>
      <c r="L506" s="986"/>
      <c r="M506" s="986"/>
      <c r="N506" s="986"/>
      <c r="O506" s="986"/>
      <c r="P506" s="986"/>
      <c r="Q506" s="986"/>
      <c r="R506" s="986"/>
      <c r="S506" s="986"/>
      <c r="T506" s="986"/>
      <c r="U506" s="986"/>
      <c r="V506" s="986"/>
      <c r="W506" s="986"/>
      <c r="X506" s="986"/>
      <c r="Y506" s="986"/>
      <c r="Z506" s="986"/>
      <c r="AA506" s="986"/>
      <c r="AB506" s="986"/>
      <c r="AC506" s="986"/>
      <c r="AD506" s="986"/>
      <c r="AE506" s="986"/>
      <c r="BE506" s="986"/>
      <c r="BF506" s="986"/>
      <c r="BG506" s="986"/>
      <c r="BH506" s="986"/>
      <c r="BI506" s="1009"/>
      <c r="BY506" s="1343"/>
      <c r="CB506" s="1535"/>
      <c r="CE506" s="1009"/>
      <c r="CF506" s="1009"/>
    </row>
    <row r="507" spans="2:84">
      <c r="B507" s="986"/>
      <c r="C507" s="986"/>
      <c r="D507" s="986"/>
      <c r="E507" s="986"/>
      <c r="F507" s="986"/>
      <c r="G507" s="986"/>
      <c r="H507" s="986"/>
      <c r="I507" s="986"/>
      <c r="J507" s="986"/>
      <c r="K507" s="986"/>
      <c r="L507" s="986"/>
      <c r="M507" s="986"/>
      <c r="N507" s="986"/>
      <c r="O507" s="986"/>
      <c r="P507" s="986"/>
      <c r="Q507" s="986"/>
      <c r="R507" s="986"/>
      <c r="S507" s="986"/>
      <c r="T507" s="986"/>
      <c r="U507" s="986"/>
      <c r="V507" s="986"/>
      <c r="W507" s="986"/>
      <c r="X507" s="986"/>
      <c r="Y507" s="986"/>
      <c r="Z507" s="986"/>
      <c r="AA507" s="986"/>
      <c r="AB507" s="986"/>
      <c r="AC507" s="986"/>
      <c r="AD507" s="986"/>
      <c r="AE507" s="986"/>
      <c r="BE507" s="986"/>
      <c r="BF507" s="986"/>
      <c r="BG507" s="986"/>
      <c r="BH507" s="986"/>
      <c r="BI507" s="1009"/>
      <c r="BY507" s="1343"/>
      <c r="CB507" s="1535"/>
      <c r="CE507" s="1009"/>
      <c r="CF507" s="1009"/>
    </row>
    <row r="508" spans="2:84">
      <c r="B508" s="986"/>
      <c r="C508" s="986"/>
      <c r="D508" s="986"/>
      <c r="E508" s="986"/>
      <c r="F508" s="986"/>
      <c r="G508" s="986"/>
      <c r="H508" s="986"/>
      <c r="I508" s="986"/>
      <c r="J508" s="986"/>
      <c r="K508" s="986"/>
      <c r="L508" s="986"/>
      <c r="M508" s="986"/>
      <c r="N508" s="986"/>
      <c r="O508" s="986"/>
      <c r="P508" s="986"/>
      <c r="Q508" s="986"/>
      <c r="R508" s="986"/>
      <c r="S508" s="986"/>
      <c r="T508" s="986"/>
      <c r="U508" s="986"/>
      <c r="V508" s="986"/>
      <c r="W508" s="986"/>
      <c r="X508" s="986"/>
      <c r="Y508" s="986"/>
      <c r="Z508" s="986"/>
      <c r="AA508" s="986"/>
      <c r="AB508" s="986"/>
      <c r="AC508" s="986"/>
      <c r="AD508" s="986"/>
      <c r="AE508" s="986"/>
      <c r="BE508" s="986"/>
      <c r="BF508" s="986"/>
      <c r="BG508" s="986"/>
      <c r="BH508" s="986"/>
      <c r="BI508" s="1009"/>
      <c r="BY508" s="1343"/>
      <c r="CB508" s="1535"/>
      <c r="CE508" s="1009"/>
      <c r="CF508" s="1009"/>
    </row>
    <row r="509" spans="2:84">
      <c r="B509" s="986"/>
      <c r="C509" s="986"/>
      <c r="D509" s="986"/>
      <c r="E509" s="986"/>
      <c r="F509" s="986"/>
      <c r="G509" s="986"/>
      <c r="H509" s="986"/>
      <c r="I509" s="986"/>
      <c r="J509" s="986"/>
      <c r="K509" s="986"/>
      <c r="L509" s="986"/>
      <c r="M509" s="986"/>
      <c r="N509" s="986"/>
      <c r="O509" s="986"/>
      <c r="P509" s="986"/>
      <c r="Q509" s="986"/>
      <c r="R509" s="986"/>
      <c r="S509" s="986"/>
      <c r="T509" s="986"/>
      <c r="U509" s="986"/>
      <c r="V509" s="986"/>
      <c r="W509" s="986"/>
      <c r="X509" s="986"/>
      <c r="Y509" s="986"/>
      <c r="Z509" s="986"/>
      <c r="AA509" s="986"/>
      <c r="AB509" s="986"/>
      <c r="AC509" s="986"/>
      <c r="AD509" s="986"/>
      <c r="AE509" s="986"/>
      <c r="BE509" s="986"/>
      <c r="BF509" s="986"/>
      <c r="BG509" s="986"/>
      <c r="BH509" s="986"/>
      <c r="BI509" s="1009"/>
      <c r="BY509" s="1343"/>
      <c r="CB509" s="1535"/>
      <c r="CE509" s="1009"/>
      <c r="CF509" s="1009"/>
    </row>
    <row r="510" spans="2:84">
      <c r="B510" s="986"/>
      <c r="C510" s="986"/>
      <c r="D510" s="986"/>
      <c r="E510" s="986"/>
      <c r="F510" s="986"/>
      <c r="G510" s="986"/>
      <c r="H510" s="986"/>
      <c r="I510" s="986"/>
      <c r="J510" s="986"/>
      <c r="K510" s="986"/>
      <c r="L510" s="986"/>
      <c r="M510" s="986"/>
      <c r="N510" s="986"/>
      <c r="O510" s="986"/>
      <c r="P510" s="986"/>
      <c r="Q510" s="986"/>
      <c r="R510" s="986"/>
      <c r="S510" s="986"/>
      <c r="T510" s="986"/>
      <c r="U510" s="986"/>
      <c r="V510" s="986"/>
      <c r="W510" s="986"/>
      <c r="X510" s="986"/>
      <c r="Y510" s="986"/>
      <c r="Z510" s="986"/>
      <c r="AA510" s="986"/>
      <c r="AB510" s="986"/>
      <c r="AC510" s="986"/>
      <c r="AD510" s="986"/>
      <c r="AE510" s="986"/>
      <c r="BE510" s="986"/>
      <c r="BF510" s="986"/>
      <c r="BG510" s="986"/>
      <c r="BH510" s="986"/>
      <c r="BI510" s="1009"/>
      <c r="BY510" s="1343"/>
      <c r="CB510" s="1535"/>
      <c r="CE510" s="1009"/>
      <c r="CF510" s="1009"/>
    </row>
    <row r="511" spans="2:84">
      <c r="B511" s="986"/>
      <c r="C511" s="986"/>
      <c r="D511" s="986"/>
      <c r="E511" s="986"/>
      <c r="F511" s="986"/>
      <c r="G511" s="986"/>
      <c r="H511" s="986"/>
      <c r="I511" s="986"/>
      <c r="J511" s="986"/>
      <c r="K511" s="986"/>
      <c r="L511" s="986"/>
      <c r="M511" s="986"/>
      <c r="N511" s="986"/>
      <c r="O511" s="986"/>
      <c r="P511" s="986"/>
      <c r="Q511" s="986"/>
      <c r="R511" s="986"/>
      <c r="S511" s="986"/>
      <c r="T511" s="986"/>
      <c r="U511" s="986"/>
      <c r="V511" s="986"/>
      <c r="W511" s="986"/>
      <c r="X511" s="986"/>
      <c r="Y511" s="986"/>
      <c r="Z511" s="986"/>
      <c r="AA511" s="986"/>
      <c r="AB511" s="986"/>
      <c r="AC511" s="986"/>
      <c r="AD511" s="986"/>
      <c r="AE511" s="986"/>
      <c r="BE511" s="986"/>
      <c r="BF511" s="986"/>
      <c r="BG511" s="986"/>
      <c r="BH511" s="986"/>
      <c r="BI511" s="1009"/>
      <c r="BY511" s="1343"/>
      <c r="CB511" s="1535"/>
      <c r="CE511" s="1009"/>
      <c r="CF511" s="1009"/>
    </row>
    <row r="512" spans="2:84">
      <c r="B512" s="986"/>
      <c r="C512" s="986"/>
      <c r="D512" s="986"/>
      <c r="E512" s="986"/>
      <c r="F512" s="986"/>
      <c r="G512" s="986"/>
      <c r="H512" s="986"/>
      <c r="I512" s="986"/>
      <c r="J512" s="986"/>
      <c r="K512" s="986"/>
      <c r="L512" s="986"/>
      <c r="M512" s="986"/>
      <c r="N512" s="986"/>
      <c r="O512" s="986"/>
      <c r="P512" s="986"/>
      <c r="Q512" s="986"/>
      <c r="R512" s="986"/>
      <c r="S512" s="986"/>
      <c r="T512" s="986"/>
      <c r="U512" s="986"/>
      <c r="V512" s="986"/>
      <c r="W512" s="986"/>
      <c r="X512" s="986"/>
      <c r="Y512" s="986"/>
      <c r="Z512" s="986"/>
      <c r="AA512" s="986"/>
      <c r="AB512" s="986"/>
      <c r="AC512" s="986"/>
      <c r="AD512" s="986"/>
      <c r="AE512" s="986"/>
      <c r="BE512" s="986"/>
      <c r="BF512" s="986"/>
      <c r="BG512" s="986"/>
      <c r="BH512" s="986"/>
      <c r="BI512" s="1009"/>
      <c r="BY512" s="1343"/>
      <c r="CB512" s="1535"/>
      <c r="CE512" s="1009"/>
      <c r="CF512" s="1009"/>
    </row>
    <row r="513" spans="2:84">
      <c r="B513" s="986"/>
      <c r="C513" s="986"/>
      <c r="D513" s="986"/>
      <c r="E513" s="986"/>
      <c r="F513" s="986"/>
      <c r="G513" s="986"/>
      <c r="H513" s="986"/>
      <c r="I513" s="986"/>
      <c r="J513" s="986"/>
      <c r="K513" s="986"/>
      <c r="L513" s="986"/>
      <c r="M513" s="986"/>
      <c r="N513" s="986"/>
      <c r="O513" s="986"/>
      <c r="P513" s="986"/>
      <c r="Q513" s="986"/>
      <c r="R513" s="986"/>
      <c r="S513" s="986"/>
      <c r="T513" s="986"/>
      <c r="U513" s="986"/>
      <c r="V513" s="986"/>
      <c r="W513" s="986"/>
      <c r="X513" s="986"/>
      <c r="Y513" s="986"/>
      <c r="Z513" s="986"/>
      <c r="AA513" s="986"/>
      <c r="AB513" s="986"/>
      <c r="AC513" s="986"/>
      <c r="AD513" s="986"/>
      <c r="AE513" s="986"/>
      <c r="BE513" s="986"/>
      <c r="BF513" s="986"/>
      <c r="BG513" s="986"/>
      <c r="BH513" s="986"/>
      <c r="BI513" s="1009"/>
      <c r="BY513" s="1343"/>
      <c r="CB513" s="1535"/>
      <c r="CE513" s="1009"/>
      <c r="CF513" s="1009"/>
    </row>
    <row r="514" spans="2:84">
      <c r="B514" s="986"/>
      <c r="C514" s="986"/>
      <c r="D514" s="986"/>
      <c r="E514" s="986"/>
      <c r="F514" s="986"/>
      <c r="G514" s="986"/>
      <c r="H514" s="986"/>
      <c r="I514" s="986"/>
      <c r="J514" s="986"/>
      <c r="K514" s="986"/>
      <c r="L514" s="986"/>
      <c r="M514" s="986"/>
      <c r="N514" s="986"/>
      <c r="O514" s="986"/>
      <c r="P514" s="986"/>
      <c r="Q514" s="986"/>
      <c r="R514" s="986"/>
      <c r="S514" s="986"/>
      <c r="T514" s="986"/>
      <c r="U514" s="986"/>
      <c r="V514" s="986"/>
      <c r="W514" s="986"/>
      <c r="X514" s="986"/>
      <c r="Y514" s="986"/>
      <c r="Z514" s="986"/>
      <c r="AA514" s="986"/>
      <c r="AB514" s="986"/>
      <c r="AC514" s="986"/>
      <c r="AD514" s="986"/>
      <c r="AE514" s="986"/>
      <c r="BE514" s="986"/>
      <c r="BF514" s="986"/>
      <c r="BG514" s="986"/>
      <c r="BH514" s="986"/>
      <c r="BI514" s="1009"/>
      <c r="BY514" s="1343"/>
      <c r="CB514" s="1535"/>
      <c r="CE514" s="1009"/>
      <c r="CF514" s="1009"/>
    </row>
    <row r="515" spans="2:84">
      <c r="B515" s="986"/>
      <c r="C515" s="986"/>
      <c r="D515" s="986"/>
      <c r="E515" s="986"/>
      <c r="F515" s="986"/>
      <c r="G515" s="986"/>
      <c r="H515" s="986"/>
      <c r="I515" s="986"/>
      <c r="J515" s="986"/>
      <c r="K515" s="986"/>
      <c r="L515" s="986"/>
      <c r="M515" s="986"/>
      <c r="N515" s="986"/>
      <c r="O515" s="986"/>
      <c r="P515" s="986"/>
      <c r="Q515" s="986"/>
      <c r="R515" s="986"/>
      <c r="S515" s="986"/>
      <c r="T515" s="986"/>
      <c r="U515" s="986"/>
      <c r="V515" s="986"/>
      <c r="W515" s="986"/>
      <c r="X515" s="986"/>
      <c r="Y515" s="986"/>
      <c r="Z515" s="986"/>
      <c r="AA515" s="986"/>
      <c r="AB515" s="986"/>
      <c r="AC515" s="986"/>
      <c r="AD515" s="986"/>
      <c r="AE515" s="986"/>
      <c r="BE515" s="986"/>
      <c r="BF515" s="986"/>
      <c r="BG515" s="986"/>
      <c r="BH515" s="986"/>
      <c r="BI515" s="1009"/>
      <c r="BY515" s="1343"/>
      <c r="CB515" s="1535"/>
      <c r="CE515" s="1009"/>
      <c r="CF515" s="1009"/>
    </row>
    <row r="516" spans="2:84">
      <c r="B516" s="986"/>
      <c r="C516" s="986"/>
      <c r="D516" s="986"/>
      <c r="E516" s="986"/>
      <c r="F516" s="986"/>
      <c r="G516" s="986"/>
      <c r="H516" s="986"/>
      <c r="I516" s="986"/>
      <c r="J516" s="986"/>
      <c r="K516" s="986"/>
      <c r="L516" s="986"/>
      <c r="M516" s="986"/>
      <c r="N516" s="986"/>
      <c r="O516" s="986"/>
      <c r="P516" s="986"/>
      <c r="Q516" s="986"/>
      <c r="R516" s="986"/>
      <c r="S516" s="986"/>
      <c r="T516" s="986"/>
      <c r="U516" s="986"/>
      <c r="V516" s="986"/>
      <c r="W516" s="986"/>
      <c r="X516" s="986"/>
      <c r="Y516" s="986"/>
      <c r="Z516" s="986"/>
      <c r="AA516" s="986"/>
      <c r="AB516" s="986"/>
      <c r="AC516" s="986"/>
      <c r="AD516" s="986"/>
      <c r="AE516" s="986"/>
      <c r="BE516" s="986"/>
      <c r="BF516" s="986"/>
      <c r="BG516" s="986"/>
      <c r="BH516" s="986"/>
      <c r="BI516" s="1009"/>
      <c r="BY516" s="1343"/>
      <c r="CB516" s="1535"/>
      <c r="CE516" s="1009"/>
      <c r="CF516" s="1009"/>
    </row>
    <row r="517" spans="2:84">
      <c r="B517" s="986"/>
      <c r="C517" s="986"/>
      <c r="D517" s="986"/>
      <c r="E517" s="986"/>
      <c r="F517" s="986"/>
      <c r="G517" s="986"/>
      <c r="H517" s="986"/>
      <c r="I517" s="986"/>
      <c r="J517" s="986"/>
      <c r="K517" s="986"/>
      <c r="L517" s="986"/>
      <c r="M517" s="986"/>
      <c r="N517" s="986"/>
      <c r="O517" s="986"/>
      <c r="P517" s="986"/>
      <c r="Q517" s="986"/>
      <c r="R517" s="986"/>
      <c r="S517" s="986"/>
      <c r="T517" s="986"/>
      <c r="U517" s="986"/>
      <c r="V517" s="986"/>
      <c r="W517" s="986"/>
      <c r="X517" s="986"/>
      <c r="Y517" s="986"/>
      <c r="Z517" s="986"/>
      <c r="AA517" s="986"/>
      <c r="AB517" s="986"/>
      <c r="AC517" s="986"/>
      <c r="AD517" s="986"/>
      <c r="AE517" s="986"/>
      <c r="BE517" s="986"/>
      <c r="BF517" s="986"/>
      <c r="BG517" s="986"/>
      <c r="BH517" s="986"/>
      <c r="BI517" s="1009"/>
      <c r="BY517" s="1343"/>
      <c r="CB517" s="1535"/>
      <c r="CE517" s="1009"/>
      <c r="CF517" s="1009"/>
    </row>
    <row r="518" spans="2:84">
      <c r="B518" s="986"/>
      <c r="C518" s="986"/>
      <c r="D518" s="986"/>
      <c r="E518" s="986"/>
      <c r="F518" s="986"/>
      <c r="G518" s="986"/>
      <c r="H518" s="986"/>
      <c r="I518" s="986"/>
      <c r="J518" s="986"/>
      <c r="K518" s="986"/>
      <c r="L518" s="986"/>
      <c r="M518" s="986"/>
      <c r="N518" s="986"/>
      <c r="O518" s="986"/>
      <c r="P518" s="986"/>
      <c r="Q518" s="986"/>
      <c r="R518" s="986"/>
      <c r="S518" s="986"/>
      <c r="T518" s="986"/>
      <c r="U518" s="986"/>
      <c r="V518" s="986"/>
      <c r="W518" s="986"/>
      <c r="X518" s="986"/>
      <c r="Y518" s="986"/>
      <c r="Z518" s="986"/>
      <c r="AA518" s="986"/>
      <c r="AB518" s="986"/>
      <c r="AC518" s="986"/>
      <c r="AD518" s="986"/>
      <c r="AE518" s="986"/>
      <c r="BE518" s="986"/>
      <c r="BF518" s="986"/>
      <c r="BG518" s="986"/>
      <c r="BH518" s="986"/>
      <c r="BI518" s="1009"/>
      <c r="BY518" s="1343"/>
      <c r="CB518" s="1535"/>
      <c r="CE518" s="1009"/>
      <c r="CF518" s="1009"/>
    </row>
    <row r="519" spans="2:84">
      <c r="B519" s="986"/>
      <c r="C519" s="986"/>
      <c r="D519" s="986"/>
      <c r="E519" s="986"/>
      <c r="F519" s="986"/>
      <c r="G519" s="986"/>
      <c r="H519" s="986"/>
      <c r="I519" s="986"/>
      <c r="J519" s="986"/>
      <c r="K519" s="986"/>
      <c r="L519" s="986"/>
      <c r="M519" s="986"/>
      <c r="N519" s="986"/>
      <c r="O519" s="986"/>
      <c r="P519" s="986"/>
      <c r="Q519" s="986"/>
      <c r="R519" s="986"/>
      <c r="S519" s="986"/>
      <c r="T519" s="986"/>
      <c r="U519" s="986"/>
      <c r="V519" s="986"/>
      <c r="W519" s="986"/>
      <c r="X519" s="986"/>
      <c r="Y519" s="986"/>
      <c r="Z519" s="986"/>
      <c r="AA519" s="986"/>
      <c r="AB519" s="986"/>
      <c r="AC519" s="986"/>
      <c r="AD519" s="986"/>
      <c r="AE519" s="986"/>
      <c r="BE519" s="986"/>
      <c r="BF519" s="986"/>
      <c r="BG519" s="986"/>
      <c r="BH519" s="986"/>
      <c r="BI519" s="1009"/>
      <c r="BY519" s="1343"/>
      <c r="CB519" s="1535"/>
      <c r="CE519" s="1009"/>
      <c r="CF519" s="1009"/>
    </row>
    <row r="520" spans="2:84">
      <c r="B520" s="986"/>
      <c r="C520" s="986"/>
      <c r="D520" s="986"/>
      <c r="E520" s="986"/>
      <c r="F520" s="986"/>
      <c r="G520" s="986"/>
      <c r="H520" s="986"/>
      <c r="I520" s="986"/>
      <c r="J520" s="986"/>
      <c r="K520" s="986"/>
      <c r="L520" s="986"/>
      <c r="M520" s="986"/>
      <c r="N520" s="986"/>
      <c r="O520" s="986"/>
      <c r="P520" s="986"/>
      <c r="Q520" s="986"/>
      <c r="R520" s="986"/>
      <c r="S520" s="986"/>
      <c r="T520" s="986"/>
      <c r="U520" s="986"/>
      <c r="V520" s="986"/>
      <c r="W520" s="986"/>
      <c r="X520" s="986"/>
      <c r="Y520" s="986"/>
      <c r="Z520" s="986"/>
      <c r="AA520" s="986"/>
      <c r="AB520" s="986"/>
      <c r="AC520" s="986"/>
      <c r="AD520" s="986"/>
      <c r="AE520" s="986"/>
      <c r="BE520" s="986"/>
      <c r="BF520" s="986"/>
      <c r="BG520" s="986"/>
      <c r="BH520" s="986"/>
      <c r="BI520" s="1009"/>
      <c r="BY520" s="1343"/>
      <c r="CB520" s="1535"/>
      <c r="CE520" s="1009"/>
      <c r="CF520" s="1009"/>
    </row>
    <row r="521" spans="2:84">
      <c r="B521" s="986"/>
      <c r="C521" s="986"/>
      <c r="D521" s="986"/>
      <c r="E521" s="986"/>
      <c r="F521" s="986"/>
      <c r="G521" s="986"/>
      <c r="H521" s="986"/>
      <c r="I521" s="986"/>
      <c r="J521" s="986"/>
      <c r="K521" s="986"/>
      <c r="L521" s="986"/>
      <c r="M521" s="986"/>
      <c r="N521" s="986"/>
      <c r="O521" s="986"/>
      <c r="P521" s="986"/>
      <c r="Q521" s="986"/>
      <c r="R521" s="986"/>
      <c r="S521" s="986"/>
      <c r="T521" s="986"/>
      <c r="U521" s="986"/>
      <c r="V521" s="986"/>
      <c r="W521" s="986"/>
      <c r="X521" s="986"/>
      <c r="Y521" s="986"/>
      <c r="Z521" s="986"/>
      <c r="AA521" s="986"/>
      <c r="AB521" s="986"/>
      <c r="AC521" s="986"/>
      <c r="AD521" s="986"/>
      <c r="AE521" s="986"/>
      <c r="BE521" s="986"/>
      <c r="BF521" s="986"/>
      <c r="BG521" s="986"/>
      <c r="BH521" s="986"/>
      <c r="BI521" s="1009"/>
      <c r="BY521" s="1343"/>
      <c r="CB521" s="1535"/>
      <c r="CE521" s="1009"/>
      <c r="CF521" s="1009"/>
    </row>
    <row r="522" spans="2:84">
      <c r="B522" s="986"/>
      <c r="C522" s="986"/>
      <c r="D522" s="986"/>
      <c r="E522" s="986"/>
      <c r="F522" s="986"/>
      <c r="G522" s="986"/>
      <c r="H522" s="986"/>
      <c r="I522" s="986"/>
      <c r="J522" s="986"/>
      <c r="K522" s="986"/>
      <c r="L522" s="986"/>
      <c r="M522" s="986"/>
      <c r="N522" s="986"/>
      <c r="O522" s="986"/>
      <c r="P522" s="986"/>
      <c r="Q522" s="986"/>
      <c r="R522" s="986"/>
      <c r="S522" s="986"/>
      <c r="T522" s="986"/>
      <c r="U522" s="986"/>
      <c r="V522" s="986"/>
      <c r="W522" s="986"/>
      <c r="X522" s="986"/>
      <c r="Y522" s="986"/>
      <c r="Z522" s="986"/>
      <c r="AA522" s="986"/>
      <c r="AB522" s="986"/>
      <c r="AC522" s="986"/>
      <c r="AD522" s="986"/>
      <c r="AE522" s="986"/>
      <c r="BE522" s="986"/>
      <c r="BF522" s="986"/>
      <c r="BG522" s="986"/>
      <c r="BH522" s="986"/>
      <c r="BI522" s="1009"/>
      <c r="BY522" s="1343"/>
      <c r="CB522" s="1535"/>
      <c r="CE522" s="1009"/>
      <c r="CF522" s="1009"/>
    </row>
    <row r="523" spans="2:84">
      <c r="B523" s="986"/>
      <c r="C523" s="986"/>
      <c r="D523" s="986"/>
      <c r="E523" s="986"/>
      <c r="F523" s="986"/>
      <c r="G523" s="986"/>
      <c r="H523" s="986"/>
      <c r="I523" s="986"/>
      <c r="J523" s="986"/>
      <c r="K523" s="986"/>
      <c r="L523" s="986"/>
      <c r="M523" s="986"/>
      <c r="N523" s="986"/>
      <c r="O523" s="986"/>
      <c r="P523" s="986"/>
      <c r="Q523" s="986"/>
      <c r="R523" s="986"/>
      <c r="S523" s="986"/>
      <c r="T523" s="986"/>
      <c r="U523" s="986"/>
      <c r="V523" s="986"/>
      <c r="W523" s="986"/>
      <c r="X523" s="986"/>
      <c r="Y523" s="986"/>
      <c r="Z523" s="986"/>
      <c r="AA523" s="986"/>
      <c r="AB523" s="986"/>
      <c r="AC523" s="986"/>
      <c r="AD523" s="986"/>
      <c r="AE523" s="986"/>
      <c r="BE523" s="986"/>
      <c r="BF523" s="986"/>
      <c r="BG523" s="986"/>
      <c r="BH523" s="986"/>
      <c r="BI523" s="1009"/>
      <c r="BY523" s="1343"/>
      <c r="CB523" s="1535"/>
      <c r="CE523" s="1009"/>
      <c r="CF523" s="1009"/>
    </row>
    <row r="524" spans="2:84">
      <c r="B524" s="986"/>
      <c r="C524" s="986"/>
      <c r="D524" s="986"/>
      <c r="E524" s="986"/>
      <c r="F524" s="986"/>
      <c r="G524" s="986"/>
      <c r="H524" s="986"/>
      <c r="I524" s="986"/>
      <c r="J524" s="986"/>
      <c r="K524" s="986"/>
      <c r="L524" s="986"/>
      <c r="M524" s="986"/>
      <c r="N524" s="986"/>
      <c r="O524" s="986"/>
      <c r="P524" s="986"/>
      <c r="Q524" s="986"/>
      <c r="R524" s="986"/>
      <c r="S524" s="986"/>
      <c r="T524" s="986"/>
      <c r="U524" s="986"/>
      <c r="V524" s="986"/>
      <c r="W524" s="986"/>
      <c r="X524" s="986"/>
      <c r="Y524" s="986"/>
      <c r="Z524" s="986"/>
      <c r="AA524" s="986"/>
      <c r="AB524" s="986"/>
      <c r="AC524" s="986"/>
      <c r="AD524" s="986"/>
      <c r="AE524" s="986"/>
      <c r="BE524" s="986"/>
      <c r="BF524" s="986"/>
      <c r="BG524" s="986"/>
      <c r="BH524" s="986"/>
      <c r="BI524" s="1009"/>
      <c r="BY524" s="1343"/>
      <c r="CB524" s="1535"/>
      <c r="CE524" s="1009"/>
      <c r="CF524" s="1009"/>
    </row>
    <row r="525" spans="2:84">
      <c r="B525" s="986"/>
      <c r="C525" s="986"/>
      <c r="D525" s="986"/>
      <c r="E525" s="986"/>
      <c r="F525" s="986"/>
      <c r="G525" s="986"/>
      <c r="H525" s="986"/>
      <c r="I525" s="986"/>
      <c r="J525" s="986"/>
      <c r="K525" s="986"/>
      <c r="L525" s="986"/>
      <c r="M525" s="986"/>
      <c r="N525" s="986"/>
      <c r="O525" s="986"/>
      <c r="P525" s="986"/>
      <c r="Q525" s="986"/>
      <c r="R525" s="986"/>
      <c r="S525" s="986"/>
      <c r="T525" s="986"/>
      <c r="U525" s="986"/>
      <c r="V525" s="986"/>
      <c r="W525" s="986"/>
      <c r="X525" s="986"/>
      <c r="Y525" s="986"/>
      <c r="Z525" s="986"/>
      <c r="AA525" s="986"/>
      <c r="AB525" s="986"/>
      <c r="AC525" s="986"/>
      <c r="AD525" s="986"/>
      <c r="AE525" s="986"/>
      <c r="BE525" s="986"/>
      <c r="BF525" s="986"/>
      <c r="BG525" s="986"/>
      <c r="BH525" s="986"/>
      <c r="BI525" s="1009"/>
      <c r="BY525" s="1343"/>
      <c r="CB525" s="1535"/>
      <c r="CE525" s="1009"/>
      <c r="CF525" s="1009"/>
    </row>
    <row r="526" spans="2:84">
      <c r="B526" s="986"/>
      <c r="C526" s="986"/>
      <c r="D526" s="986"/>
      <c r="E526" s="986"/>
      <c r="F526" s="986"/>
      <c r="G526" s="986"/>
      <c r="H526" s="986"/>
      <c r="I526" s="986"/>
      <c r="J526" s="986"/>
      <c r="K526" s="986"/>
      <c r="L526" s="986"/>
      <c r="M526" s="986"/>
      <c r="N526" s="986"/>
      <c r="O526" s="986"/>
      <c r="P526" s="986"/>
      <c r="Q526" s="986"/>
      <c r="R526" s="986"/>
      <c r="S526" s="986"/>
      <c r="T526" s="986"/>
      <c r="U526" s="986"/>
      <c r="V526" s="986"/>
      <c r="W526" s="986"/>
      <c r="X526" s="986"/>
      <c r="Y526" s="986"/>
      <c r="Z526" s="986"/>
      <c r="AA526" s="986"/>
      <c r="AB526" s="986"/>
      <c r="AC526" s="986"/>
      <c r="AD526" s="986"/>
      <c r="AE526" s="986"/>
      <c r="BE526" s="986"/>
      <c r="BF526" s="986"/>
      <c r="BG526" s="986"/>
      <c r="BH526" s="986"/>
      <c r="BI526" s="1009"/>
      <c r="BY526" s="1343"/>
      <c r="CB526" s="1535"/>
      <c r="CE526" s="1009"/>
      <c r="CF526" s="1009"/>
    </row>
    <row r="527" spans="2:84">
      <c r="B527" s="986"/>
      <c r="C527" s="986"/>
      <c r="D527" s="986"/>
      <c r="E527" s="986"/>
      <c r="F527" s="986"/>
      <c r="G527" s="986"/>
      <c r="H527" s="986"/>
      <c r="I527" s="986"/>
      <c r="J527" s="986"/>
      <c r="K527" s="986"/>
      <c r="L527" s="986"/>
      <c r="M527" s="986"/>
      <c r="N527" s="986"/>
      <c r="O527" s="986"/>
      <c r="P527" s="986"/>
      <c r="Q527" s="986"/>
      <c r="R527" s="986"/>
      <c r="S527" s="986"/>
      <c r="T527" s="986"/>
      <c r="U527" s="986"/>
      <c r="V527" s="986"/>
      <c r="W527" s="986"/>
      <c r="X527" s="986"/>
      <c r="Y527" s="986"/>
      <c r="Z527" s="986"/>
      <c r="AA527" s="986"/>
      <c r="AB527" s="986"/>
      <c r="AC527" s="986"/>
      <c r="AD527" s="986"/>
      <c r="AE527" s="986"/>
      <c r="BE527" s="986"/>
      <c r="BF527" s="986"/>
      <c r="BG527" s="986"/>
      <c r="BH527" s="986"/>
      <c r="BI527" s="1009"/>
      <c r="BY527" s="1343"/>
      <c r="CB527" s="1535"/>
      <c r="CE527" s="1009"/>
      <c r="CF527" s="1009"/>
    </row>
    <row r="528" spans="2:84">
      <c r="B528" s="986"/>
      <c r="C528" s="986"/>
      <c r="D528" s="986"/>
      <c r="E528" s="986"/>
      <c r="F528" s="986"/>
      <c r="G528" s="986"/>
      <c r="H528" s="986"/>
      <c r="I528" s="986"/>
      <c r="J528" s="986"/>
      <c r="K528" s="986"/>
      <c r="L528" s="986"/>
      <c r="M528" s="986"/>
      <c r="N528" s="986"/>
      <c r="O528" s="986"/>
      <c r="P528" s="986"/>
      <c r="Q528" s="986"/>
      <c r="R528" s="986"/>
      <c r="S528" s="986"/>
      <c r="T528" s="986"/>
      <c r="U528" s="986"/>
      <c r="V528" s="986"/>
      <c r="W528" s="986"/>
      <c r="X528" s="986"/>
      <c r="Y528" s="986"/>
      <c r="Z528" s="986"/>
      <c r="AA528" s="986"/>
      <c r="AB528" s="986"/>
      <c r="AC528" s="986"/>
      <c r="AD528" s="986"/>
      <c r="AE528" s="986"/>
      <c r="BE528" s="986"/>
      <c r="BF528" s="986"/>
      <c r="BG528" s="986"/>
      <c r="BH528" s="986"/>
      <c r="BI528" s="1009"/>
      <c r="CB528" s="1535"/>
      <c r="CE528" s="1009"/>
      <c r="CF528" s="1009"/>
    </row>
    <row r="529" spans="2:84">
      <c r="B529" s="986"/>
      <c r="C529" s="986"/>
      <c r="D529" s="986"/>
      <c r="E529" s="986"/>
      <c r="F529" s="986"/>
      <c r="G529" s="986"/>
      <c r="H529" s="986"/>
      <c r="I529" s="986"/>
      <c r="J529" s="986"/>
      <c r="K529" s="986"/>
      <c r="L529" s="986"/>
      <c r="M529" s="986"/>
      <c r="N529" s="986"/>
      <c r="O529" s="986"/>
      <c r="P529" s="986"/>
      <c r="Q529" s="986"/>
      <c r="R529" s="986"/>
      <c r="S529" s="986"/>
      <c r="T529" s="986"/>
      <c r="U529" s="986"/>
      <c r="V529" s="986"/>
      <c r="W529" s="986"/>
      <c r="X529" s="986"/>
      <c r="Y529" s="986"/>
      <c r="Z529" s="986"/>
      <c r="AA529" s="986"/>
      <c r="AB529" s="986"/>
      <c r="AC529" s="986"/>
      <c r="AD529" s="986"/>
      <c r="AE529" s="986"/>
      <c r="BE529" s="986"/>
      <c r="BF529" s="986"/>
      <c r="BG529" s="986"/>
      <c r="BH529" s="986"/>
      <c r="BI529" s="1009"/>
      <c r="CB529" s="1535"/>
      <c r="CE529" s="1009"/>
      <c r="CF529" s="1009"/>
    </row>
    <row r="530" spans="2:84">
      <c r="B530" s="986"/>
      <c r="C530" s="986"/>
      <c r="D530" s="986"/>
      <c r="E530" s="986"/>
      <c r="F530" s="986"/>
      <c r="G530" s="986"/>
      <c r="H530" s="986"/>
      <c r="I530" s="986"/>
      <c r="J530" s="986"/>
      <c r="K530" s="986"/>
      <c r="L530" s="986"/>
      <c r="M530" s="986"/>
      <c r="N530" s="986"/>
      <c r="O530" s="986"/>
      <c r="P530" s="986"/>
      <c r="Q530" s="986"/>
      <c r="R530" s="986"/>
      <c r="S530" s="986"/>
      <c r="T530" s="986"/>
      <c r="U530" s="986"/>
      <c r="V530" s="986"/>
      <c r="W530" s="986"/>
      <c r="X530" s="986"/>
      <c r="Y530" s="986"/>
      <c r="Z530" s="986"/>
      <c r="AA530" s="986"/>
      <c r="AB530" s="986"/>
      <c r="AC530" s="986"/>
      <c r="AD530" s="986"/>
      <c r="AE530" s="986"/>
      <c r="BE530" s="986"/>
      <c r="BF530" s="986"/>
      <c r="BG530" s="986"/>
      <c r="BH530" s="986"/>
      <c r="BI530" s="1009"/>
      <c r="CB530" s="1535"/>
      <c r="CE530" s="1009"/>
      <c r="CF530" s="1009"/>
    </row>
    <row r="531" spans="2:84">
      <c r="B531" s="986"/>
      <c r="C531" s="986"/>
      <c r="D531" s="986"/>
      <c r="E531" s="986"/>
      <c r="F531" s="986"/>
      <c r="G531" s="986"/>
      <c r="H531" s="986"/>
      <c r="I531" s="986"/>
      <c r="J531" s="986"/>
      <c r="K531" s="986"/>
      <c r="L531" s="986"/>
      <c r="M531" s="986"/>
      <c r="N531" s="986"/>
      <c r="O531" s="986"/>
      <c r="P531" s="986"/>
      <c r="Q531" s="986"/>
      <c r="R531" s="986"/>
      <c r="S531" s="986"/>
      <c r="T531" s="986"/>
      <c r="U531" s="986"/>
      <c r="V531" s="986"/>
      <c r="W531" s="986"/>
      <c r="X531" s="986"/>
      <c r="Y531" s="986"/>
      <c r="Z531" s="986"/>
      <c r="AA531" s="986"/>
      <c r="AB531" s="986"/>
      <c r="AC531" s="986"/>
      <c r="AD531" s="986"/>
      <c r="AE531" s="986"/>
      <c r="BE531" s="986"/>
      <c r="BF531" s="986"/>
      <c r="BG531" s="986"/>
      <c r="BH531" s="986"/>
      <c r="BI531" s="1009"/>
      <c r="CB531" s="1535"/>
      <c r="CE531" s="1009"/>
      <c r="CF531" s="1009"/>
    </row>
    <row r="532" spans="2:84">
      <c r="B532" s="986"/>
      <c r="C532" s="986"/>
      <c r="D532" s="986"/>
      <c r="E532" s="986"/>
      <c r="F532" s="986"/>
      <c r="G532" s="986"/>
      <c r="H532" s="986"/>
      <c r="I532" s="986"/>
      <c r="J532" s="986"/>
      <c r="K532" s="986"/>
      <c r="L532" s="986"/>
      <c r="M532" s="986"/>
      <c r="N532" s="986"/>
      <c r="O532" s="986"/>
      <c r="P532" s="986"/>
      <c r="Q532" s="986"/>
      <c r="R532" s="986"/>
      <c r="S532" s="986"/>
      <c r="T532" s="986"/>
      <c r="U532" s="986"/>
      <c r="V532" s="986"/>
      <c r="W532" s="986"/>
      <c r="X532" s="986"/>
      <c r="Y532" s="986"/>
      <c r="Z532" s="986"/>
      <c r="AA532" s="986"/>
      <c r="AB532" s="986"/>
      <c r="AC532" s="986"/>
      <c r="AD532" s="986"/>
      <c r="AE532" s="986"/>
      <c r="BE532" s="986"/>
      <c r="BF532" s="986"/>
      <c r="BG532" s="986"/>
      <c r="BH532" s="986"/>
      <c r="BI532" s="1009"/>
      <c r="CB532" s="1535"/>
      <c r="CE532" s="1009"/>
      <c r="CF532" s="1009"/>
    </row>
    <row r="533" spans="2:84">
      <c r="B533" s="986"/>
      <c r="C533" s="986"/>
      <c r="D533" s="986"/>
      <c r="E533" s="986"/>
      <c r="F533" s="986"/>
      <c r="G533" s="986"/>
      <c r="H533" s="986"/>
      <c r="I533" s="986"/>
      <c r="J533" s="986"/>
      <c r="K533" s="986"/>
      <c r="L533" s="986"/>
      <c r="M533" s="986"/>
      <c r="N533" s="986"/>
      <c r="O533" s="986"/>
      <c r="P533" s="986"/>
      <c r="Q533" s="986"/>
      <c r="R533" s="986"/>
      <c r="S533" s="986"/>
      <c r="T533" s="986"/>
      <c r="U533" s="986"/>
      <c r="V533" s="986"/>
      <c r="W533" s="986"/>
      <c r="X533" s="986"/>
      <c r="Y533" s="986"/>
      <c r="Z533" s="986"/>
      <c r="AA533" s="986"/>
      <c r="AB533" s="986"/>
      <c r="AC533" s="986"/>
      <c r="AD533" s="986"/>
      <c r="AE533" s="986"/>
      <c r="BE533" s="986"/>
      <c r="BF533" s="986"/>
      <c r="BG533" s="986"/>
      <c r="BH533" s="986"/>
      <c r="BI533" s="1009"/>
      <c r="CB533" s="1535"/>
      <c r="CE533" s="1009"/>
      <c r="CF533" s="1009"/>
    </row>
    <row r="534" spans="2:84">
      <c r="B534" s="986"/>
      <c r="C534" s="986"/>
      <c r="D534" s="986"/>
      <c r="E534" s="986"/>
      <c r="F534" s="986"/>
      <c r="G534" s="986"/>
      <c r="H534" s="986"/>
      <c r="I534" s="986"/>
      <c r="J534" s="986"/>
      <c r="K534" s="986"/>
      <c r="L534" s="986"/>
      <c r="M534" s="986"/>
      <c r="N534" s="986"/>
      <c r="O534" s="986"/>
      <c r="P534" s="986"/>
      <c r="Q534" s="986"/>
      <c r="R534" s="986"/>
      <c r="S534" s="986"/>
      <c r="T534" s="986"/>
      <c r="U534" s="986"/>
      <c r="V534" s="986"/>
      <c r="W534" s="986"/>
      <c r="X534" s="986"/>
      <c r="Y534" s="986"/>
      <c r="Z534" s="986"/>
      <c r="AA534" s="986"/>
      <c r="AB534" s="986"/>
      <c r="AC534" s="986"/>
      <c r="AD534" s="986"/>
      <c r="AE534" s="986"/>
      <c r="BE534" s="986"/>
      <c r="BF534" s="986"/>
      <c r="BG534" s="986"/>
      <c r="BH534" s="986"/>
      <c r="BI534" s="1009"/>
      <c r="CB534" s="1535"/>
      <c r="CE534" s="1009"/>
      <c r="CF534" s="1009"/>
    </row>
    <row r="535" spans="2:84">
      <c r="B535" s="986"/>
      <c r="C535" s="986"/>
      <c r="D535" s="986"/>
      <c r="E535" s="986"/>
      <c r="F535" s="986"/>
      <c r="G535" s="986"/>
      <c r="H535" s="986"/>
      <c r="I535" s="986"/>
      <c r="J535" s="986"/>
      <c r="K535" s="986"/>
      <c r="L535" s="986"/>
      <c r="M535" s="986"/>
      <c r="N535" s="986"/>
      <c r="O535" s="986"/>
      <c r="P535" s="986"/>
      <c r="Q535" s="986"/>
      <c r="R535" s="986"/>
      <c r="S535" s="986"/>
      <c r="T535" s="986"/>
      <c r="U535" s="986"/>
      <c r="V535" s="986"/>
      <c r="W535" s="986"/>
      <c r="X535" s="986"/>
      <c r="Y535" s="986"/>
      <c r="Z535" s="986"/>
      <c r="AA535" s="986"/>
      <c r="AB535" s="986"/>
      <c r="AC535" s="986"/>
      <c r="AD535" s="986"/>
      <c r="AE535" s="986"/>
      <c r="BE535" s="986"/>
      <c r="BF535" s="986"/>
      <c r="BG535" s="986"/>
      <c r="BH535" s="986"/>
      <c r="BI535" s="1009"/>
      <c r="CB535" s="1535"/>
      <c r="CE535" s="1009"/>
      <c r="CF535" s="1009"/>
    </row>
    <row r="536" spans="2:84">
      <c r="B536" s="986"/>
      <c r="C536" s="986"/>
      <c r="D536" s="986"/>
      <c r="E536" s="986"/>
      <c r="F536" s="986"/>
      <c r="G536" s="986"/>
      <c r="H536" s="986"/>
      <c r="I536" s="986"/>
      <c r="J536" s="986"/>
      <c r="K536" s="986"/>
      <c r="L536" s="986"/>
      <c r="M536" s="986"/>
      <c r="N536" s="986"/>
      <c r="O536" s="986"/>
      <c r="P536" s="986"/>
      <c r="Q536" s="986"/>
      <c r="R536" s="986"/>
      <c r="S536" s="986"/>
      <c r="T536" s="986"/>
      <c r="U536" s="986"/>
      <c r="V536" s="986"/>
      <c r="W536" s="986"/>
      <c r="X536" s="986"/>
      <c r="Y536" s="986"/>
      <c r="Z536" s="986"/>
      <c r="AA536" s="986"/>
      <c r="AB536" s="986"/>
      <c r="AC536" s="986"/>
      <c r="AD536" s="986"/>
      <c r="AE536" s="986"/>
      <c r="BE536" s="986"/>
      <c r="BF536" s="986"/>
      <c r="BG536" s="986"/>
      <c r="BH536" s="986"/>
      <c r="BI536" s="1009"/>
      <c r="CB536" s="1535"/>
      <c r="CE536" s="1009"/>
      <c r="CF536" s="1009"/>
    </row>
    <row r="537" spans="2:84">
      <c r="B537" s="986"/>
      <c r="C537" s="986"/>
      <c r="D537" s="986"/>
      <c r="E537" s="986"/>
      <c r="F537" s="986"/>
      <c r="G537" s="986"/>
      <c r="H537" s="986"/>
      <c r="I537" s="986"/>
      <c r="J537" s="986"/>
      <c r="K537" s="986"/>
      <c r="L537" s="986"/>
      <c r="M537" s="986"/>
      <c r="N537" s="986"/>
      <c r="O537" s="986"/>
      <c r="P537" s="986"/>
      <c r="Q537" s="986"/>
      <c r="R537" s="986"/>
      <c r="S537" s="986"/>
      <c r="T537" s="986"/>
      <c r="U537" s="986"/>
      <c r="V537" s="986"/>
      <c r="W537" s="986"/>
      <c r="X537" s="986"/>
      <c r="Y537" s="986"/>
      <c r="Z537" s="986"/>
      <c r="AA537" s="986"/>
      <c r="AB537" s="986"/>
      <c r="AC537" s="986"/>
      <c r="AD537" s="986"/>
      <c r="AE537" s="986"/>
      <c r="BE537" s="986"/>
      <c r="BF537" s="986"/>
      <c r="BG537" s="986"/>
      <c r="BH537" s="986"/>
      <c r="BI537" s="1009"/>
      <c r="CB537" s="1535"/>
      <c r="CE537" s="1009"/>
      <c r="CF537" s="1009"/>
    </row>
    <row r="538" spans="2:84">
      <c r="B538" s="986"/>
      <c r="C538" s="986"/>
      <c r="D538" s="986"/>
      <c r="E538" s="986"/>
      <c r="F538" s="986"/>
      <c r="G538" s="986"/>
      <c r="H538" s="986"/>
      <c r="I538" s="986"/>
      <c r="J538" s="986"/>
      <c r="K538" s="986"/>
      <c r="L538" s="986"/>
      <c r="M538" s="986"/>
      <c r="N538" s="986"/>
      <c r="O538" s="986"/>
      <c r="P538" s="986"/>
      <c r="Q538" s="986"/>
      <c r="R538" s="986"/>
      <c r="S538" s="986"/>
      <c r="T538" s="986"/>
      <c r="U538" s="986"/>
      <c r="V538" s="986"/>
      <c r="W538" s="986"/>
      <c r="X538" s="986"/>
      <c r="Y538" s="986"/>
      <c r="Z538" s="986"/>
      <c r="AA538" s="986"/>
      <c r="AB538" s="986"/>
      <c r="AC538" s="986"/>
      <c r="AD538" s="986"/>
      <c r="AE538" s="986"/>
      <c r="BE538" s="986"/>
      <c r="BF538" s="986"/>
      <c r="BG538" s="986"/>
      <c r="BH538" s="986"/>
      <c r="BI538" s="1009"/>
      <c r="CB538" s="1535"/>
      <c r="CE538" s="1009"/>
      <c r="CF538" s="1009"/>
    </row>
    <row r="539" spans="2:84">
      <c r="B539" s="986"/>
      <c r="C539" s="986"/>
      <c r="D539" s="986"/>
      <c r="E539" s="986"/>
      <c r="F539" s="986"/>
      <c r="G539" s="986"/>
      <c r="H539" s="986"/>
      <c r="I539" s="986"/>
      <c r="J539" s="986"/>
      <c r="K539" s="986"/>
      <c r="L539" s="986"/>
      <c r="M539" s="986"/>
      <c r="N539" s="986"/>
      <c r="O539" s="986"/>
      <c r="P539" s="986"/>
      <c r="Q539" s="986"/>
      <c r="R539" s="986"/>
      <c r="S539" s="986"/>
      <c r="T539" s="986"/>
      <c r="U539" s="986"/>
      <c r="V539" s="986"/>
      <c r="W539" s="986"/>
      <c r="X539" s="986"/>
      <c r="Y539" s="986"/>
      <c r="Z539" s="986"/>
      <c r="AA539" s="986"/>
      <c r="AB539" s="986"/>
      <c r="AC539" s="986"/>
      <c r="AD539" s="986"/>
      <c r="AE539" s="986"/>
      <c r="BE539" s="986"/>
      <c r="BF539" s="986"/>
      <c r="BG539" s="986"/>
      <c r="BH539" s="986"/>
      <c r="BI539" s="1009"/>
      <c r="CB539" s="1535"/>
      <c r="CE539" s="1009"/>
      <c r="CF539" s="1009"/>
    </row>
    <row r="540" spans="2:84">
      <c r="B540" s="986"/>
      <c r="C540" s="986"/>
      <c r="D540" s="986"/>
      <c r="E540" s="986"/>
      <c r="F540" s="986"/>
      <c r="G540" s="986"/>
      <c r="H540" s="986"/>
      <c r="I540" s="986"/>
      <c r="J540" s="986"/>
      <c r="K540" s="986"/>
      <c r="L540" s="986"/>
      <c r="M540" s="986"/>
      <c r="N540" s="986"/>
      <c r="O540" s="986"/>
      <c r="P540" s="986"/>
      <c r="Q540" s="986"/>
      <c r="R540" s="986"/>
      <c r="S540" s="986"/>
      <c r="T540" s="986"/>
      <c r="U540" s="986"/>
      <c r="V540" s="986"/>
      <c r="W540" s="986"/>
      <c r="X540" s="986"/>
      <c r="Y540" s="986"/>
      <c r="Z540" s="986"/>
      <c r="AA540" s="986"/>
      <c r="AB540" s="986"/>
      <c r="AC540" s="986"/>
      <c r="AD540" s="986"/>
      <c r="AE540" s="986"/>
      <c r="BE540" s="986"/>
      <c r="BF540" s="986"/>
      <c r="BG540" s="986"/>
      <c r="BH540" s="986"/>
      <c r="BI540" s="1009"/>
      <c r="CB540" s="1535"/>
      <c r="CE540" s="1009"/>
      <c r="CF540" s="1009"/>
    </row>
    <row r="541" spans="2:84">
      <c r="B541" s="986"/>
      <c r="C541" s="986"/>
      <c r="D541" s="986"/>
      <c r="E541" s="986"/>
      <c r="F541" s="986"/>
      <c r="G541" s="986"/>
      <c r="H541" s="986"/>
      <c r="I541" s="986"/>
      <c r="J541" s="986"/>
      <c r="K541" s="986"/>
      <c r="L541" s="986"/>
      <c r="M541" s="986"/>
      <c r="N541" s="986"/>
      <c r="O541" s="986"/>
      <c r="P541" s="986"/>
      <c r="Q541" s="986"/>
      <c r="R541" s="986"/>
      <c r="S541" s="986"/>
      <c r="T541" s="986"/>
      <c r="U541" s="986"/>
      <c r="V541" s="986"/>
      <c r="W541" s="986"/>
      <c r="X541" s="986"/>
      <c r="Y541" s="986"/>
      <c r="Z541" s="986"/>
      <c r="AA541" s="986"/>
      <c r="AB541" s="986"/>
      <c r="AC541" s="986"/>
      <c r="AD541" s="986"/>
      <c r="AE541" s="986"/>
      <c r="BE541" s="986"/>
      <c r="BF541" s="986"/>
      <c r="BG541" s="986"/>
      <c r="BH541" s="986"/>
      <c r="BI541" s="1009"/>
      <c r="CB541" s="1535"/>
      <c r="CE541" s="1009"/>
      <c r="CF541" s="1009"/>
    </row>
    <row r="542" spans="2:84">
      <c r="B542" s="986"/>
      <c r="C542" s="986"/>
      <c r="D542" s="986"/>
      <c r="E542" s="986"/>
      <c r="F542" s="986"/>
      <c r="G542" s="986"/>
      <c r="H542" s="986"/>
      <c r="I542" s="986"/>
      <c r="J542" s="986"/>
      <c r="K542" s="986"/>
      <c r="L542" s="986"/>
      <c r="M542" s="986"/>
      <c r="N542" s="986"/>
      <c r="O542" s="986"/>
      <c r="P542" s="986"/>
      <c r="Q542" s="986"/>
      <c r="R542" s="986"/>
      <c r="S542" s="986"/>
      <c r="T542" s="986"/>
      <c r="U542" s="986"/>
      <c r="V542" s="986"/>
      <c r="W542" s="986"/>
      <c r="X542" s="986"/>
      <c r="Y542" s="986"/>
      <c r="Z542" s="986"/>
      <c r="AA542" s="986"/>
      <c r="AB542" s="986"/>
      <c r="AC542" s="986"/>
      <c r="AD542" s="986"/>
      <c r="AE542" s="986"/>
      <c r="BE542" s="986"/>
      <c r="BF542" s="986"/>
      <c r="BG542" s="986"/>
      <c r="BH542" s="986"/>
      <c r="BI542" s="1009"/>
      <c r="CB542" s="1535"/>
      <c r="CE542" s="1009"/>
      <c r="CF542" s="1009"/>
    </row>
    <row r="543" spans="2:84">
      <c r="B543" s="986"/>
      <c r="C543" s="986"/>
      <c r="D543" s="986"/>
      <c r="E543" s="986"/>
      <c r="F543" s="986"/>
      <c r="G543" s="986"/>
      <c r="H543" s="986"/>
      <c r="I543" s="986"/>
      <c r="J543" s="986"/>
      <c r="K543" s="986"/>
      <c r="L543" s="986"/>
      <c r="M543" s="986"/>
      <c r="N543" s="986"/>
      <c r="O543" s="986"/>
      <c r="P543" s="986"/>
      <c r="Q543" s="986"/>
      <c r="R543" s="986"/>
      <c r="S543" s="986"/>
      <c r="T543" s="986"/>
      <c r="U543" s="986"/>
      <c r="V543" s="986"/>
      <c r="W543" s="986"/>
      <c r="X543" s="986"/>
      <c r="Y543" s="986"/>
      <c r="Z543" s="986"/>
      <c r="AA543" s="986"/>
      <c r="AB543" s="986"/>
      <c r="AC543" s="986"/>
      <c r="AD543" s="986"/>
      <c r="AE543" s="986"/>
      <c r="BE543" s="986"/>
      <c r="BF543" s="986"/>
      <c r="BG543" s="986"/>
      <c r="BH543" s="986"/>
      <c r="BI543" s="1009"/>
      <c r="CB543" s="1535"/>
      <c r="CE543" s="1009"/>
      <c r="CF543" s="1009"/>
    </row>
    <row r="544" spans="2:84">
      <c r="B544" s="986"/>
      <c r="C544" s="986"/>
      <c r="D544" s="986"/>
      <c r="E544" s="986"/>
      <c r="F544" s="986"/>
      <c r="G544" s="986"/>
      <c r="H544" s="986"/>
      <c r="I544" s="986"/>
      <c r="J544" s="986"/>
      <c r="K544" s="986"/>
      <c r="L544" s="986"/>
      <c r="M544" s="986"/>
      <c r="N544" s="986"/>
      <c r="O544" s="986"/>
      <c r="P544" s="986"/>
      <c r="Q544" s="986"/>
      <c r="R544" s="986"/>
      <c r="S544" s="986"/>
      <c r="T544" s="986"/>
      <c r="U544" s="986"/>
      <c r="V544" s="986"/>
      <c r="W544" s="986"/>
      <c r="X544" s="986"/>
      <c r="Y544" s="986"/>
      <c r="Z544" s="986"/>
      <c r="AA544" s="986"/>
      <c r="AB544" s="986"/>
      <c r="AC544" s="986"/>
      <c r="AD544" s="986"/>
      <c r="AE544" s="986"/>
      <c r="BE544" s="986"/>
      <c r="BF544" s="986"/>
      <c r="BG544" s="986"/>
      <c r="BH544" s="986"/>
      <c r="BI544" s="1009"/>
      <c r="CB544" s="1535"/>
      <c r="CE544" s="1009"/>
      <c r="CF544" s="1009"/>
    </row>
    <row r="545" spans="2:84">
      <c r="B545" s="986"/>
      <c r="C545" s="986"/>
      <c r="D545" s="986"/>
      <c r="E545" s="986"/>
      <c r="F545" s="986"/>
      <c r="G545" s="986"/>
      <c r="H545" s="986"/>
      <c r="I545" s="986"/>
      <c r="J545" s="986"/>
      <c r="K545" s="986"/>
      <c r="L545" s="986"/>
      <c r="M545" s="986"/>
      <c r="N545" s="986"/>
      <c r="O545" s="986"/>
      <c r="P545" s="986"/>
      <c r="Q545" s="986"/>
      <c r="R545" s="986"/>
      <c r="S545" s="986"/>
      <c r="T545" s="986"/>
      <c r="U545" s="986"/>
      <c r="V545" s="986"/>
      <c r="W545" s="986"/>
      <c r="X545" s="986"/>
      <c r="Y545" s="986"/>
      <c r="Z545" s="986"/>
      <c r="AA545" s="986"/>
      <c r="AB545" s="986"/>
      <c r="AC545" s="986"/>
      <c r="AD545" s="986"/>
      <c r="AE545" s="986"/>
      <c r="BE545" s="986"/>
      <c r="BF545" s="986"/>
      <c r="BG545" s="986"/>
      <c r="BH545" s="986"/>
      <c r="BI545" s="1009"/>
      <c r="CB545" s="1535"/>
      <c r="CE545" s="1009"/>
      <c r="CF545" s="1009"/>
    </row>
    <row r="546" spans="2:84">
      <c r="B546" s="986"/>
      <c r="C546" s="986"/>
      <c r="D546" s="986"/>
      <c r="E546" s="986"/>
      <c r="F546" s="986"/>
      <c r="G546" s="986"/>
      <c r="H546" s="986"/>
      <c r="I546" s="986"/>
      <c r="J546" s="986"/>
      <c r="K546" s="986"/>
      <c r="L546" s="986"/>
      <c r="M546" s="986"/>
      <c r="N546" s="986"/>
      <c r="O546" s="986"/>
      <c r="P546" s="986"/>
      <c r="Q546" s="986"/>
      <c r="R546" s="986"/>
      <c r="S546" s="986"/>
      <c r="T546" s="986"/>
      <c r="U546" s="986"/>
      <c r="V546" s="986"/>
      <c r="W546" s="986"/>
      <c r="X546" s="986"/>
      <c r="Y546" s="986"/>
      <c r="Z546" s="986"/>
      <c r="AA546" s="986"/>
      <c r="AB546" s="986"/>
      <c r="AC546" s="986"/>
      <c r="AD546" s="986"/>
      <c r="AE546" s="986"/>
      <c r="BE546" s="986"/>
      <c r="BF546" s="986"/>
      <c r="BG546" s="986"/>
      <c r="BH546" s="986"/>
      <c r="BI546" s="1009"/>
      <c r="CB546" s="1535"/>
      <c r="CE546" s="1009"/>
      <c r="CF546" s="1009"/>
    </row>
    <row r="547" spans="2:84">
      <c r="B547" s="986"/>
      <c r="C547" s="986"/>
      <c r="D547" s="986"/>
      <c r="E547" s="986"/>
      <c r="F547" s="986"/>
      <c r="G547" s="986"/>
      <c r="H547" s="986"/>
      <c r="I547" s="986"/>
      <c r="J547" s="986"/>
      <c r="K547" s="986"/>
      <c r="L547" s="986"/>
      <c r="M547" s="986"/>
      <c r="N547" s="986"/>
      <c r="O547" s="986"/>
      <c r="P547" s="986"/>
      <c r="Q547" s="986"/>
      <c r="R547" s="986"/>
      <c r="S547" s="986"/>
      <c r="T547" s="986"/>
      <c r="U547" s="986"/>
      <c r="V547" s="986"/>
      <c r="W547" s="986"/>
      <c r="X547" s="986"/>
      <c r="Y547" s="986"/>
      <c r="Z547" s="986"/>
      <c r="AA547" s="986"/>
      <c r="AB547" s="986"/>
      <c r="AC547" s="986"/>
      <c r="AD547" s="986"/>
      <c r="AE547" s="986"/>
      <c r="BE547" s="986"/>
      <c r="BF547" s="986"/>
      <c r="BG547" s="986"/>
      <c r="BH547" s="986"/>
      <c r="BI547" s="1009"/>
      <c r="CB547" s="1535"/>
      <c r="CE547" s="1009"/>
      <c r="CF547" s="1009"/>
    </row>
    <row r="548" spans="2:84">
      <c r="B548" s="986"/>
      <c r="C548" s="986"/>
      <c r="D548" s="986"/>
      <c r="E548" s="986"/>
      <c r="F548" s="986"/>
      <c r="G548" s="986"/>
      <c r="H548" s="986"/>
      <c r="I548" s="986"/>
      <c r="J548" s="986"/>
      <c r="K548" s="986"/>
      <c r="L548" s="986"/>
      <c r="M548" s="986"/>
      <c r="N548" s="986"/>
      <c r="O548" s="986"/>
      <c r="P548" s="986"/>
      <c r="Q548" s="986"/>
      <c r="R548" s="986"/>
      <c r="S548" s="986"/>
      <c r="T548" s="986"/>
      <c r="U548" s="986"/>
      <c r="V548" s="986"/>
      <c r="W548" s="986"/>
      <c r="X548" s="986"/>
      <c r="Y548" s="986"/>
      <c r="Z548" s="986"/>
      <c r="AA548" s="986"/>
      <c r="AB548" s="986"/>
      <c r="AC548" s="986"/>
      <c r="AD548" s="986"/>
      <c r="AE548" s="986"/>
      <c r="BE548" s="986"/>
      <c r="BF548" s="986"/>
      <c r="BG548" s="986"/>
      <c r="BH548" s="986"/>
      <c r="BI548" s="1009"/>
      <c r="CB548" s="1535"/>
      <c r="CE548" s="1009"/>
      <c r="CF548" s="1009"/>
    </row>
    <row r="549" spans="2:84">
      <c r="B549" s="986"/>
      <c r="C549" s="986"/>
      <c r="D549" s="986"/>
      <c r="E549" s="986"/>
      <c r="F549" s="986"/>
      <c r="G549" s="986"/>
      <c r="H549" s="986"/>
      <c r="I549" s="986"/>
      <c r="J549" s="986"/>
      <c r="K549" s="986"/>
      <c r="L549" s="986"/>
      <c r="M549" s="986"/>
      <c r="N549" s="986"/>
      <c r="O549" s="986"/>
      <c r="P549" s="986"/>
      <c r="Q549" s="986"/>
      <c r="R549" s="986"/>
      <c r="S549" s="986"/>
      <c r="T549" s="986"/>
      <c r="U549" s="986"/>
      <c r="V549" s="986"/>
      <c r="W549" s="986"/>
      <c r="X549" s="986"/>
      <c r="Y549" s="986"/>
      <c r="Z549" s="986"/>
      <c r="AA549" s="986"/>
      <c r="AB549" s="986"/>
      <c r="AC549" s="986"/>
      <c r="AD549" s="986"/>
      <c r="AE549" s="986"/>
      <c r="BE549" s="986"/>
      <c r="BF549" s="986"/>
      <c r="BG549" s="986"/>
      <c r="BH549" s="986"/>
      <c r="BI549" s="1009"/>
      <c r="CB549" s="1535"/>
      <c r="CE549" s="1009"/>
      <c r="CF549" s="1009"/>
    </row>
    <row r="550" spans="2:84">
      <c r="B550" s="986"/>
      <c r="C550" s="986"/>
      <c r="D550" s="986"/>
      <c r="E550" s="986"/>
      <c r="F550" s="986"/>
      <c r="G550" s="986"/>
      <c r="H550" s="986"/>
      <c r="I550" s="986"/>
      <c r="J550" s="986"/>
      <c r="K550" s="986"/>
      <c r="L550" s="986"/>
      <c r="M550" s="986"/>
      <c r="N550" s="986"/>
      <c r="O550" s="986"/>
      <c r="P550" s="986"/>
      <c r="Q550" s="986"/>
      <c r="R550" s="986"/>
      <c r="S550" s="986"/>
      <c r="T550" s="986"/>
      <c r="U550" s="986"/>
      <c r="V550" s="986"/>
      <c r="W550" s="986"/>
      <c r="X550" s="986"/>
      <c r="Y550" s="986"/>
      <c r="Z550" s="986"/>
      <c r="AA550" s="986"/>
      <c r="AB550" s="986"/>
      <c r="AC550" s="986"/>
      <c r="AD550" s="986"/>
      <c r="AE550" s="986"/>
      <c r="BE550" s="986"/>
      <c r="BF550" s="986"/>
      <c r="BG550" s="986"/>
      <c r="BH550" s="986"/>
      <c r="BI550" s="1009"/>
      <c r="CB550" s="1535"/>
      <c r="CE550" s="1009"/>
      <c r="CF550" s="1009"/>
    </row>
    <row r="551" spans="2:84">
      <c r="B551" s="986"/>
      <c r="C551" s="986"/>
      <c r="D551" s="986"/>
      <c r="E551" s="986"/>
      <c r="F551" s="986"/>
      <c r="G551" s="986"/>
      <c r="H551" s="986"/>
      <c r="I551" s="986"/>
      <c r="J551" s="986"/>
      <c r="K551" s="986"/>
      <c r="L551" s="986"/>
      <c r="M551" s="986"/>
      <c r="N551" s="986"/>
      <c r="O551" s="986"/>
      <c r="P551" s="986"/>
      <c r="Q551" s="986"/>
      <c r="R551" s="986"/>
      <c r="S551" s="986"/>
      <c r="T551" s="986"/>
      <c r="U551" s="986"/>
      <c r="V551" s="986"/>
      <c r="W551" s="986"/>
      <c r="X551" s="986"/>
      <c r="Y551" s="986"/>
      <c r="Z551" s="986"/>
      <c r="AA551" s="986"/>
      <c r="AB551" s="986"/>
      <c r="AC551" s="986"/>
      <c r="AD551" s="986"/>
      <c r="AE551" s="986"/>
      <c r="BE551" s="986"/>
      <c r="BF551" s="986"/>
      <c r="BG551" s="986"/>
      <c r="BH551" s="986"/>
      <c r="BI551" s="1009"/>
      <c r="CB551" s="1535"/>
      <c r="CE551" s="1009"/>
      <c r="CF551" s="1009"/>
    </row>
    <row r="552" spans="2:84">
      <c r="B552" s="986"/>
      <c r="C552" s="986"/>
      <c r="D552" s="986"/>
      <c r="E552" s="986"/>
      <c r="F552" s="986"/>
      <c r="G552" s="986"/>
      <c r="H552" s="986"/>
      <c r="I552" s="986"/>
      <c r="J552" s="986"/>
      <c r="K552" s="986"/>
      <c r="L552" s="986"/>
      <c r="M552" s="986"/>
      <c r="N552" s="986"/>
      <c r="O552" s="986"/>
      <c r="P552" s="986"/>
      <c r="Q552" s="986"/>
      <c r="R552" s="986"/>
      <c r="S552" s="986"/>
      <c r="T552" s="986"/>
      <c r="U552" s="986"/>
      <c r="V552" s="986"/>
      <c r="W552" s="986"/>
      <c r="X552" s="986"/>
      <c r="Y552" s="986"/>
      <c r="Z552" s="986"/>
      <c r="AA552" s="986"/>
      <c r="AB552" s="986"/>
      <c r="AC552" s="986"/>
      <c r="AD552" s="986"/>
      <c r="AE552" s="986"/>
      <c r="BE552" s="986"/>
      <c r="BF552" s="986"/>
      <c r="BG552" s="986"/>
      <c r="BH552" s="986"/>
      <c r="BI552" s="1009"/>
      <c r="CB552" s="1535"/>
      <c r="CE552" s="1009"/>
      <c r="CF552" s="1009"/>
    </row>
    <row r="553" spans="2:84">
      <c r="B553" s="986"/>
      <c r="C553" s="986"/>
      <c r="D553" s="986"/>
      <c r="E553" s="986"/>
      <c r="F553" s="986"/>
      <c r="G553" s="986"/>
      <c r="H553" s="986"/>
      <c r="I553" s="986"/>
      <c r="J553" s="986"/>
      <c r="K553" s="986"/>
      <c r="L553" s="986"/>
      <c r="M553" s="986"/>
      <c r="N553" s="986"/>
      <c r="O553" s="986"/>
      <c r="P553" s="986"/>
      <c r="Q553" s="986"/>
      <c r="R553" s="986"/>
      <c r="S553" s="986"/>
      <c r="T553" s="986"/>
      <c r="U553" s="986"/>
      <c r="V553" s="986"/>
      <c r="W553" s="986"/>
      <c r="X553" s="986"/>
      <c r="Y553" s="986"/>
      <c r="Z553" s="986"/>
      <c r="AA553" s="986"/>
      <c r="AB553" s="986"/>
      <c r="AC553" s="986"/>
      <c r="AD553" s="986"/>
      <c r="AE553" s="986"/>
      <c r="BE553" s="986"/>
      <c r="BF553" s="986"/>
      <c r="BG553" s="986"/>
      <c r="BH553" s="986"/>
      <c r="BI553" s="1009"/>
      <c r="CB553" s="1535"/>
      <c r="CE553" s="1009"/>
      <c r="CF553" s="1009"/>
    </row>
    <row r="554" spans="2:84">
      <c r="B554" s="986"/>
      <c r="C554" s="986"/>
      <c r="D554" s="986"/>
      <c r="E554" s="986"/>
      <c r="F554" s="986"/>
      <c r="G554" s="986"/>
      <c r="H554" s="986"/>
      <c r="I554" s="986"/>
      <c r="J554" s="986"/>
      <c r="K554" s="986"/>
      <c r="L554" s="986"/>
      <c r="M554" s="986"/>
      <c r="N554" s="986"/>
      <c r="O554" s="986"/>
      <c r="P554" s="986"/>
      <c r="Q554" s="986"/>
      <c r="R554" s="986"/>
      <c r="S554" s="986"/>
      <c r="T554" s="986"/>
      <c r="U554" s="986"/>
      <c r="V554" s="986"/>
      <c r="W554" s="986"/>
      <c r="X554" s="986"/>
      <c r="Y554" s="986"/>
      <c r="Z554" s="986"/>
      <c r="AA554" s="986"/>
      <c r="AB554" s="986"/>
      <c r="AC554" s="986"/>
      <c r="AD554" s="986"/>
      <c r="AE554" s="986"/>
      <c r="BE554" s="986"/>
      <c r="BF554" s="986"/>
      <c r="BG554" s="986"/>
      <c r="BH554" s="986"/>
      <c r="BI554" s="1009"/>
      <c r="CB554" s="1535"/>
      <c r="CE554" s="1009"/>
      <c r="CF554" s="1009"/>
    </row>
    <row r="555" spans="2:84">
      <c r="B555" s="986"/>
      <c r="C555" s="986"/>
      <c r="D555" s="986"/>
      <c r="E555" s="986"/>
      <c r="F555" s="986"/>
      <c r="G555" s="986"/>
      <c r="H555" s="986"/>
      <c r="I555" s="986"/>
      <c r="J555" s="986"/>
      <c r="K555" s="986"/>
      <c r="L555" s="986"/>
      <c r="M555" s="986"/>
      <c r="N555" s="986"/>
      <c r="O555" s="986"/>
      <c r="P555" s="986"/>
      <c r="Q555" s="986"/>
      <c r="R555" s="986"/>
      <c r="S555" s="986"/>
      <c r="T555" s="986"/>
      <c r="U555" s="986"/>
      <c r="V555" s="986"/>
      <c r="W555" s="986"/>
      <c r="X555" s="986"/>
      <c r="Y555" s="986"/>
      <c r="Z555" s="986"/>
      <c r="AA555" s="986"/>
      <c r="AB555" s="986"/>
      <c r="AC555" s="986"/>
      <c r="AD555" s="986"/>
      <c r="AE555" s="986"/>
      <c r="BE555" s="986"/>
      <c r="BF555" s="986"/>
      <c r="BG555" s="986"/>
      <c r="BH555" s="986"/>
      <c r="BI555" s="1009"/>
      <c r="CB555" s="1535"/>
      <c r="CE555" s="1009"/>
      <c r="CF555" s="1009"/>
    </row>
    <row r="556" spans="2:84">
      <c r="B556" s="986"/>
      <c r="C556" s="986"/>
      <c r="D556" s="986"/>
      <c r="E556" s="986"/>
      <c r="F556" s="986"/>
      <c r="G556" s="986"/>
      <c r="H556" s="986"/>
      <c r="I556" s="986"/>
      <c r="J556" s="986"/>
      <c r="K556" s="986"/>
      <c r="L556" s="986"/>
      <c r="M556" s="986"/>
      <c r="N556" s="986"/>
      <c r="O556" s="986"/>
      <c r="P556" s="986"/>
      <c r="Q556" s="986"/>
      <c r="R556" s="986"/>
      <c r="S556" s="986"/>
      <c r="T556" s="986"/>
      <c r="U556" s="986"/>
      <c r="V556" s="986"/>
      <c r="W556" s="986"/>
      <c r="X556" s="986"/>
      <c r="Y556" s="986"/>
      <c r="Z556" s="986"/>
      <c r="AA556" s="986"/>
      <c r="AB556" s="986"/>
      <c r="AC556" s="986"/>
      <c r="AD556" s="986"/>
      <c r="AE556" s="986"/>
      <c r="BE556" s="986"/>
      <c r="BF556" s="986"/>
      <c r="BG556" s="986"/>
      <c r="BH556" s="986"/>
      <c r="BI556" s="1009"/>
      <c r="CB556" s="1535"/>
      <c r="CE556" s="1009"/>
      <c r="CF556" s="1009"/>
    </row>
    <row r="557" spans="2:84">
      <c r="B557" s="986"/>
      <c r="C557" s="986"/>
      <c r="D557" s="986"/>
      <c r="E557" s="986"/>
      <c r="F557" s="986"/>
      <c r="G557" s="986"/>
      <c r="H557" s="986"/>
      <c r="I557" s="986"/>
      <c r="J557" s="986"/>
      <c r="K557" s="986"/>
      <c r="L557" s="986"/>
      <c r="M557" s="986"/>
      <c r="N557" s="986"/>
      <c r="O557" s="986"/>
      <c r="P557" s="986"/>
      <c r="Q557" s="986"/>
      <c r="R557" s="986"/>
      <c r="S557" s="986"/>
      <c r="T557" s="986"/>
      <c r="U557" s="986"/>
      <c r="V557" s="986"/>
      <c r="W557" s="986"/>
      <c r="X557" s="986"/>
      <c r="Y557" s="986"/>
      <c r="Z557" s="986"/>
      <c r="AA557" s="986"/>
      <c r="AB557" s="986"/>
      <c r="AC557" s="986"/>
      <c r="AD557" s="986"/>
      <c r="AE557" s="986"/>
      <c r="BE557" s="986"/>
      <c r="BF557" s="986"/>
      <c r="BG557" s="986"/>
      <c r="BH557" s="986"/>
      <c r="BI557" s="1009"/>
      <c r="CB557" s="1535"/>
      <c r="CE557" s="1009"/>
      <c r="CF557" s="1009"/>
    </row>
    <row r="558" spans="2:84">
      <c r="B558" s="986"/>
      <c r="C558" s="986"/>
      <c r="D558" s="986"/>
      <c r="E558" s="986"/>
      <c r="F558" s="986"/>
      <c r="G558" s="986"/>
      <c r="H558" s="986"/>
      <c r="I558" s="986"/>
      <c r="J558" s="986"/>
      <c r="K558" s="986"/>
      <c r="L558" s="986"/>
      <c r="M558" s="986"/>
      <c r="N558" s="986"/>
      <c r="O558" s="986"/>
      <c r="P558" s="986"/>
      <c r="Q558" s="986"/>
      <c r="R558" s="986"/>
      <c r="S558" s="986"/>
      <c r="T558" s="986"/>
      <c r="U558" s="986"/>
      <c r="V558" s="986"/>
      <c r="W558" s="986"/>
      <c r="X558" s="986"/>
      <c r="Y558" s="986"/>
      <c r="Z558" s="986"/>
      <c r="AA558" s="986"/>
      <c r="AB558" s="986"/>
      <c r="AC558" s="986"/>
      <c r="AD558" s="986"/>
      <c r="AE558" s="986"/>
      <c r="BE558" s="986"/>
      <c r="BF558" s="986"/>
      <c r="BG558" s="986"/>
      <c r="BH558" s="986"/>
      <c r="BI558" s="1009"/>
      <c r="CB558" s="1535"/>
      <c r="CE558" s="1009"/>
      <c r="CF558" s="1009"/>
    </row>
    <row r="559" spans="2:84">
      <c r="B559" s="986"/>
      <c r="C559" s="986"/>
      <c r="D559" s="986"/>
      <c r="E559" s="986"/>
      <c r="F559" s="986"/>
      <c r="G559" s="986"/>
      <c r="H559" s="986"/>
      <c r="I559" s="986"/>
      <c r="J559" s="986"/>
      <c r="K559" s="986"/>
      <c r="L559" s="986"/>
      <c r="M559" s="986"/>
      <c r="N559" s="986"/>
      <c r="O559" s="986"/>
      <c r="P559" s="986"/>
      <c r="Q559" s="986"/>
      <c r="R559" s="986"/>
      <c r="S559" s="986"/>
      <c r="T559" s="986"/>
      <c r="U559" s="986"/>
      <c r="V559" s="986"/>
      <c r="W559" s="986"/>
      <c r="X559" s="986"/>
      <c r="Y559" s="986"/>
      <c r="Z559" s="986"/>
      <c r="AA559" s="986"/>
      <c r="AB559" s="986"/>
      <c r="AC559" s="986"/>
      <c r="AD559" s="986"/>
      <c r="AE559" s="986"/>
      <c r="BE559" s="986"/>
      <c r="BF559" s="986"/>
      <c r="BG559" s="986"/>
      <c r="BH559" s="986"/>
      <c r="BI559" s="1009"/>
      <c r="CB559" s="1535"/>
      <c r="CE559" s="1009"/>
      <c r="CF559" s="1009"/>
    </row>
    <row r="560" spans="2:84">
      <c r="B560" s="986"/>
      <c r="C560" s="986"/>
      <c r="D560" s="986"/>
      <c r="E560" s="986"/>
      <c r="F560" s="986"/>
      <c r="G560" s="986"/>
      <c r="H560" s="986"/>
      <c r="I560" s="986"/>
      <c r="J560" s="986"/>
      <c r="K560" s="986"/>
      <c r="L560" s="986"/>
      <c r="M560" s="986"/>
      <c r="N560" s="986"/>
      <c r="O560" s="986"/>
      <c r="P560" s="986"/>
      <c r="Q560" s="986"/>
      <c r="R560" s="986"/>
      <c r="S560" s="986"/>
      <c r="T560" s="986"/>
      <c r="U560" s="986"/>
      <c r="V560" s="986"/>
      <c r="W560" s="986"/>
      <c r="X560" s="986"/>
      <c r="Y560" s="986"/>
      <c r="Z560" s="986"/>
      <c r="AA560" s="986"/>
      <c r="AB560" s="986"/>
      <c r="AC560" s="986"/>
      <c r="AD560" s="986"/>
      <c r="AE560" s="986"/>
      <c r="BE560" s="986"/>
      <c r="BF560" s="986"/>
      <c r="BG560" s="986"/>
      <c r="BH560" s="986"/>
      <c r="BI560" s="1009"/>
      <c r="CB560" s="1535"/>
      <c r="CE560" s="1009"/>
      <c r="CF560" s="1009"/>
    </row>
    <row r="561" spans="2:84">
      <c r="B561" s="986"/>
      <c r="C561" s="986"/>
      <c r="D561" s="986"/>
      <c r="E561" s="986"/>
      <c r="F561" s="986"/>
      <c r="G561" s="986"/>
      <c r="H561" s="986"/>
      <c r="I561" s="986"/>
      <c r="J561" s="986"/>
      <c r="K561" s="986"/>
      <c r="L561" s="986"/>
      <c r="M561" s="986"/>
      <c r="N561" s="986"/>
      <c r="O561" s="986"/>
      <c r="P561" s="986"/>
      <c r="Q561" s="986"/>
      <c r="R561" s="986"/>
      <c r="S561" s="986"/>
      <c r="T561" s="986"/>
      <c r="U561" s="986"/>
      <c r="V561" s="986"/>
      <c r="W561" s="986"/>
      <c r="X561" s="986"/>
      <c r="Y561" s="986"/>
      <c r="Z561" s="986"/>
      <c r="AA561" s="986"/>
      <c r="AB561" s="986"/>
      <c r="AC561" s="986"/>
      <c r="AD561" s="986"/>
      <c r="AE561" s="986"/>
      <c r="BE561" s="986"/>
      <c r="BF561" s="986"/>
      <c r="BG561" s="986"/>
      <c r="BH561" s="986"/>
      <c r="BI561" s="1009"/>
      <c r="CB561" s="1535"/>
      <c r="CE561" s="1009"/>
      <c r="CF561" s="1009"/>
    </row>
    <row r="562" spans="2:84">
      <c r="B562" s="986"/>
      <c r="C562" s="986"/>
      <c r="D562" s="986"/>
      <c r="E562" s="986"/>
      <c r="F562" s="986"/>
      <c r="G562" s="986"/>
      <c r="H562" s="986"/>
      <c r="I562" s="986"/>
      <c r="J562" s="986"/>
      <c r="K562" s="986"/>
      <c r="L562" s="986"/>
      <c r="M562" s="986"/>
      <c r="N562" s="986"/>
      <c r="O562" s="986"/>
      <c r="P562" s="986"/>
      <c r="Q562" s="986"/>
      <c r="R562" s="986"/>
      <c r="S562" s="986"/>
      <c r="T562" s="986"/>
      <c r="U562" s="986"/>
      <c r="V562" s="986"/>
      <c r="W562" s="986"/>
      <c r="X562" s="986"/>
      <c r="Y562" s="986"/>
      <c r="Z562" s="986"/>
      <c r="AA562" s="986"/>
      <c r="AB562" s="986"/>
      <c r="AC562" s="986"/>
      <c r="AD562" s="986"/>
      <c r="AE562" s="986"/>
      <c r="BE562" s="986"/>
      <c r="BF562" s="986"/>
      <c r="BG562" s="986"/>
      <c r="BH562" s="986"/>
      <c r="BI562" s="1009"/>
      <c r="CB562" s="1535"/>
      <c r="CE562" s="1009"/>
      <c r="CF562" s="1009"/>
    </row>
    <row r="563" spans="2:84">
      <c r="B563" s="986"/>
      <c r="C563" s="986"/>
      <c r="D563" s="986"/>
      <c r="E563" s="986"/>
      <c r="F563" s="986"/>
      <c r="G563" s="986"/>
      <c r="H563" s="986"/>
      <c r="I563" s="986"/>
      <c r="J563" s="986"/>
      <c r="K563" s="986"/>
      <c r="L563" s="986"/>
      <c r="M563" s="986"/>
      <c r="N563" s="986"/>
      <c r="O563" s="986"/>
      <c r="P563" s="986"/>
      <c r="Q563" s="986"/>
      <c r="R563" s="986"/>
      <c r="S563" s="986"/>
      <c r="T563" s="986"/>
      <c r="U563" s="986"/>
      <c r="V563" s="986"/>
      <c r="W563" s="986"/>
      <c r="X563" s="986"/>
      <c r="Y563" s="986"/>
      <c r="Z563" s="986"/>
      <c r="AA563" s="986"/>
      <c r="AB563" s="986"/>
      <c r="AC563" s="986"/>
      <c r="AD563" s="986"/>
      <c r="AE563" s="986"/>
      <c r="BE563" s="986"/>
      <c r="BF563" s="986"/>
      <c r="BG563" s="986"/>
      <c r="BH563" s="986"/>
      <c r="BI563" s="1009"/>
      <c r="CB563" s="1535"/>
      <c r="CE563" s="1009"/>
      <c r="CF563" s="1009"/>
    </row>
    <row r="564" spans="2:84">
      <c r="B564" s="986"/>
      <c r="C564" s="986"/>
      <c r="D564" s="986"/>
      <c r="E564" s="986"/>
      <c r="F564" s="986"/>
      <c r="G564" s="986"/>
      <c r="H564" s="986"/>
      <c r="I564" s="986"/>
      <c r="J564" s="986"/>
      <c r="K564" s="986"/>
      <c r="L564" s="986"/>
      <c r="M564" s="986"/>
      <c r="N564" s="986"/>
      <c r="O564" s="986"/>
      <c r="P564" s="986"/>
      <c r="Q564" s="986"/>
      <c r="R564" s="986"/>
      <c r="S564" s="986"/>
      <c r="T564" s="986"/>
      <c r="U564" s="986"/>
      <c r="V564" s="986"/>
      <c r="W564" s="986"/>
      <c r="X564" s="986"/>
      <c r="Y564" s="986"/>
      <c r="Z564" s="986"/>
      <c r="AA564" s="986"/>
      <c r="AB564" s="986"/>
      <c r="AC564" s="986"/>
      <c r="AD564" s="986"/>
      <c r="AE564" s="986"/>
      <c r="BE564" s="986"/>
      <c r="BF564" s="986"/>
      <c r="BG564" s="986"/>
      <c r="BH564" s="986"/>
      <c r="BI564" s="1009"/>
      <c r="CB564" s="1535"/>
      <c r="CE564" s="1009"/>
      <c r="CF564" s="1009"/>
    </row>
    <row r="565" spans="2:84">
      <c r="B565" s="986"/>
      <c r="C565" s="986"/>
      <c r="D565" s="986"/>
      <c r="E565" s="986"/>
      <c r="F565" s="986"/>
      <c r="G565" s="986"/>
      <c r="H565" s="986"/>
      <c r="I565" s="986"/>
      <c r="J565" s="986"/>
      <c r="K565" s="986"/>
      <c r="L565" s="986"/>
      <c r="M565" s="986"/>
      <c r="N565" s="986"/>
      <c r="O565" s="986"/>
      <c r="P565" s="986"/>
      <c r="Q565" s="986"/>
      <c r="R565" s="986"/>
      <c r="S565" s="986"/>
      <c r="T565" s="986"/>
      <c r="U565" s="986"/>
      <c r="V565" s="986"/>
      <c r="W565" s="986"/>
      <c r="X565" s="986"/>
      <c r="Y565" s="986"/>
      <c r="Z565" s="986"/>
      <c r="AA565" s="986"/>
      <c r="AB565" s="986"/>
      <c r="AC565" s="986"/>
      <c r="AD565" s="986"/>
      <c r="AE565" s="986"/>
      <c r="BE565" s="986"/>
      <c r="BF565" s="986"/>
      <c r="BG565" s="986"/>
      <c r="BH565" s="986"/>
      <c r="BI565" s="1009"/>
      <c r="CB565" s="1535"/>
      <c r="CE565" s="1009"/>
      <c r="CF565" s="1009"/>
    </row>
    <row r="566" spans="2:84">
      <c r="B566" s="986"/>
      <c r="C566" s="986"/>
      <c r="D566" s="986"/>
      <c r="E566" s="986"/>
      <c r="F566" s="986"/>
      <c r="G566" s="986"/>
      <c r="H566" s="986"/>
      <c r="I566" s="986"/>
      <c r="J566" s="986"/>
      <c r="K566" s="986"/>
      <c r="L566" s="986"/>
      <c r="M566" s="986"/>
      <c r="N566" s="986"/>
      <c r="O566" s="986"/>
      <c r="P566" s="986"/>
      <c r="Q566" s="986"/>
      <c r="R566" s="986"/>
      <c r="S566" s="986"/>
      <c r="T566" s="986"/>
      <c r="U566" s="986"/>
      <c r="V566" s="986"/>
      <c r="W566" s="986"/>
      <c r="X566" s="986"/>
      <c r="Y566" s="986"/>
      <c r="Z566" s="986"/>
      <c r="AA566" s="986"/>
      <c r="AB566" s="986"/>
      <c r="AC566" s="986"/>
      <c r="AD566" s="986"/>
      <c r="AE566" s="986"/>
      <c r="BE566" s="986"/>
      <c r="BF566" s="986"/>
      <c r="BG566" s="986"/>
      <c r="BH566" s="986"/>
      <c r="BI566" s="1009"/>
      <c r="CB566" s="1535"/>
      <c r="CE566" s="1009"/>
      <c r="CF566" s="1009"/>
    </row>
    <row r="567" spans="2:84">
      <c r="B567" s="986"/>
      <c r="C567" s="986"/>
      <c r="D567" s="986"/>
      <c r="E567" s="986"/>
      <c r="F567" s="986"/>
      <c r="G567" s="986"/>
      <c r="H567" s="986"/>
      <c r="I567" s="986"/>
      <c r="J567" s="986"/>
      <c r="K567" s="986"/>
      <c r="L567" s="986"/>
      <c r="M567" s="986"/>
      <c r="N567" s="986"/>
      <c r="O567" s="986"/>
      <c r="P567" s="986"/>
      <c r="Q567" s="986"/>
      <c r="R567" s="986"/>
      <c r="S567" s="986"/>
      <c r="T567" s="986"/>
      <c r="U567" s="986"/>
      <c r="V567" s="986"/>
      <c r="W567" s="986"/>
      <c r="X567" s="986"/>
      <c r="Y567" s="986"/>
      <c r="Z567" s="986"/>
      <c r="AA567" s="986"/>
      <c r="AB567" s="986"/>
      <c r="AC567" s="986"/>
      <c r="AD567" s="986"/>
      <c r="AE567" s="986"/>
      <c r="BE567" s="986"/>
      <c r="BF567" s="986"/>
      <c r="BG567" s="986"/>
      <c r="BH567" s="986"/>
      <c r="BI567" s="1009"/>
      <c r="CB567" s="1535"/>
      <c r="CE567" s="1009"/>
      <c r="CF567" s="1009"/>
    </row>
    <row r="568" spans="2:84">
      <c r="B568" s="986"/>
      <c r="C568" s="986"/>
      <c r="D568" s="986"/>
      <c r="E568" s="986"/>
      <c r="F568" s="986"/>
      <c r="G568" s="986"/>
      <c r="H568" s="986"/>
      <c r="I568" s="986"/>
      <c r="J568" s="986"/>
      <c r="K568" s="986"/>
      <c r="L568" s="986"/>
      <c r="M568" s="986"/>
      <c r="N568" s="986"/>
      <c r="O568" s="986"/>
      <c r="P568" s="986"/>
      <c r="Q568" s="986"/>
      <c r="R568" s="986"/>
      <c r="S568" s="986"/>
      <c r="T568" s="986"/>
      <c r="U568" s="986"/>
      <c r="V568" s="986"/>
      <c r="W568" s="986"/>
      <c r="X568" s="986"/>
      <c r="Y568" s="986"/>
      <c r="Z568" s="986"/>
      <c r="AA568" s="986"/>
      <c r="AB568" s="986"/>
      <c r="AC568" s="986"/>
      <c r="AD568" s="986"/>
      <c r="AE568" s="986"/>
      <c r="BE568" s="986"/>
      <c r="BF568" s="986"/>
      <c r="BG568" s="986"/>
      <c r="BH568" s="986"/>
      <c r="BI568" s="1009"/>
      <c r="CB568" s="1535"/>
      <c r="CE568" s="1009"/>
      <c r="CF568" s="1009"/>
    </row>
    <row r="569" spans="2:84">
      <c r="B569" s="986"/>
      <c r="C569" s="986"/>
      <c r="D569" s="986"/>
      <c r="E569" s="986"/>
      <c r="F569" s="986"/>
      <c r="G569" s="986"/>
      <c r="H569" s="986"/>
      <c r="I569" s="986"/>
      <c r="J569" s="986"/>
      <c r="K569" s="986"/>
      <c r="L569" s="986"/>
      <c r="M569" s="986"/>
      <c r="N569" s="986"/>
      <c r="O569" s="986"/>
      <c r="P569" s="986"/>
      <c r="Q569" s="986"/>
      <c r="R569" s="986"/>
      <c r="S569" s="986"/>
      <c r="T569" s="986"/>
      <c r="U569" s="986"/>
      <c r="V569" s="986"/>
      <c r="W569" s="986"/>
      <c r="X569" s="986"/>
      <c r="Y569" s="986"/>
      <c r="Z569" s="986"/>
      <c r="AA569" s="986"/>
      <c r="AB569" s="986"/>
      <c r="AC569" s="986"/>
      <c r="AD569" s="986"/>
      <c r="AE569" s="986"/>
      <c r="BE569" s="986"/>
      <c r="BF569" s="986"/>
      <c r="BG569" s="986"/>
      <c r="BH569" s="986"/>
      <c r="BI569" s="1009"/>
      <c r="CB569" s="1535"/>
      <c r="CE569" s="1009"/>
      <c r="CF569" s="1009"/>
    </row>
    <row r="570" spans="2:84">
      <c r="B570" s="986"/>
      <c r="C570" s="986"/>
      <c r="D570" s="986"/>
      <c r="E570" s="986"/>
      <c r="F570" s="986"/>
      <c r="G570" s="986"/>
      <c r="H570" s="986"/>
      <c r="I570" s="986"/>
      <c r="J570" s="986"/>
      <c r="K570" s="986"/>
      <c r="L570" s="986"/>
      <c r="M570" s="986"/>
      <c r="N570" s="986"/>
      <c r="O570" s="986"/>
      <c r="P570" s="986"/>
      <c r="Q570" s="986"/>
      <c r="R570" s="986"/>
      <c r="S570" s="986"/>
      <c r="T570" s="986"/>
      <c r="U570" s="986"/>
      <c r="V570" s="986"/>
      <c r="W570" s="986"/>
      <c r="X570" s="986"/>
      <c r="Y570" s="986"/>
      <c r="Z570" s="986"/>
      <c r="AA570" s="986"/>
      <c r="AB570" s="986"/>
      <c r="AC570" s="986"/>
      <c r="AD570" s="986"/>
      <c r="AE570" s="986"/>
      <c r="BE570" s="986"/>
      <c r="BF570" s="986"/>
      <c r="BG570" s="986"/>
      <c r="BH570" s="986"/>
      <c r="BI570" s="1009"/>
      <c r="CB570" s="1535"/>
      <c r="CE570" s="1009"/>
      <c r="CF570" s="1009"/>
    </row>
    <row r="571" spans="2:84">
      <c r="B571" s="986"/>
      <c r="C571" s="986"/>
      <c r="D571" s="986"/>
      <c r="E571" s="986"/>
      <c r="F571" s="986"/>
      <c r="G571" s="986"/>
      <c r="H571" s="986"/>
      <c r="I571" s="986"/>
      <c r="J571" s="986"/>
      <c r="K571" s="986"/>
      <c r="L571" s="986"/>
      <c r="M571" s="986"/>
      <c r="N571" s="986"/>
      <c r="O571" s="986"/>
      <c r="P571" s="986"/>
      <c r="Q571" s="986"/>
      <c r="R571" s="986"/>
      <c r="S571" s="986"/>
      <c r="T571" s="986"/>
      <c r="U571" s="986"/>
      <c r="V571" s="986"/>
      <c r="W571" s="986"/>
      <c r="X571" s="986"/>
      <c r="Y571" s="986"/>
      <c r="Z571" s="986"/>
      <c r="AA571" s="986"/>
      <c r="AB571" s="986"/>
      <c r="AC571" s="986"/>
      <c r="AD571" s="986"/>
      <c r="AE571" s="986"/>
      <c r="BE571" s="986"/>
      <c r="BF571" s="986"/>
      <c r="BG571" s="986"/>
      <c r="BH571" s="986"/>
      <c r="BI571" s="1009"/>
      <c r="CB571" s="1535"/>
      <c r="CE571" s="1009"/>
      <c r="CF571" s="1009"/>
    </row>
    <row r="572" spans="2:84">
      <c r="B572" s="986"/>
      <c r="C572" s="986"/>
      <c r="D572" s="986"/>
      <c r="E572" s="986"/>
      <c r="F572" s="986"/>
      <c r="G572" s="986"/>
      <c r="H572" s="986"/>
      <c r="I572" s="986"/>
      <c r="J572" s="986"/>
      <c r="K572" s="986"/>
      <c r="L572" s="986"/>
      <c r="M572" s="986"/>
      <c r="N572" s="986"/>
      <c r="O572" s="986"/>
      <c r="P572" s="986"/>
      <c r="Q572" s="986"/>
      <c r="R572" s="986"/>
      <c r="S572" s="986"/>
      <c r="T572" s="986"/>
      <c r="U572" s="986"/>
      <c r="V572" s="986"/>
      <c r="W572" s="986"/>
      <c r="X572" s="986"/>
      <c r="Y572" s="986"/>
      <c r="Z572" s="986"/>
      <c r="AA572" s="986"/>
      <c r="AB572" s="986"/>
      <c r="AC572" s="986"/>
      <c r="AD572" s="986"/>
      <c r="AE572" s="986"/>
      <c r="BE572" s="986"/>
      <c r="BF572" s="986"/>
      <c r="BG572" s="986"/>
      <c r="BH572" s="986"/>
      <c r="BI572" s="1009"/>
      <c r="CB572" s="1535"/>
      <c r="CE572" s="1009"/>
      <c r="CF572" s="1009"/>
    </row>
    <row r="573" spans="2:84">
      <c r="B573" s="986"/>
      <c r="C573" s="986"/>
      <c r="D573" s="986"/>
      <c r="E573" s="986"/>
      <c r="F573" s="986"/>
      <c r="G573" s="986"/>
      <c r="H573" s="986"/>
      <c r="I573" s="986"/>
      <c r="J573" s="986"/>
      <c r="K573" s="986"/>
      <c r="L573" s="986"/>
      <c r="M573" s="986"/>
      <c r="N573" s="986"/>
      <c r="O573" s="986"/>
      <c r="P573" s="986"/>
      <c r="Q573" s="986"/>
      <c r="R573" s="986"/>
      <c r="S573" s="986"/>
      <c r="T573" s="986"/>
      <c r="U573" s="986"/>
      <c r="V573" s="986"/>
      <c r="W573" s="986"/>
      <c r="X573" s="986"/>
      <c r="Y573" s="986"/>
      <c r="Z573" s="986"/>
      <c r="AA573" s="986"/>
      <c r="AB573" s="986"/>
      <c r="AC573" s="986"/>
      <c r="AD573" s="986"/>
      <c r="AE573" s="986"/>
      <c r="BE573" s="986"/>
      <c r="BF573" s="986"/>
      <c r="BG573" s="986"/>
      <c r="BH573" s="986"/>
      <c r="BI573" s="1009"/>
      <c r="CB573" s="1535"/>
      <c r="CE573" s="1009"/>
      <c r="CF573" s="1009"/>
    </row>
    <row r="574" spans="2:84">
      <c r="B574" s="986"/>
      <c r="C574" s="986"/>
      <c r="D574" s="986"/>
      <c r="E574" s="986"/>
      <c r="F574" s="986"/>
      <c r="G574" s="986"/>
      <c r="H574" s="986"/>
      <c r="I574" s="986"/>
      <c r="J574" s="986"/>
      <c r="K574" s="986"/>
      <c r="L574" s="986"/>
      <c r="M574" s="986"/>
      <c r="N574" s="986"/>
      <c r="O574" s="986"/>
      <c r="P574" s="986"/>
      <c r="Q574" s="986"/>
      <c r="R574" s="986"/>
      <c r="S574" s="986"/>
      <c r="T574" s="986"/>
      <c r="U574" s="986"/>
      <c r="V574" s="986"/>
      <c r="W574" s="986"/>
      <c r="X574" s="986"/>
      <c r="Y574" s="986"/>
      <c r="Z574" s="986"/>
      <c r="AA574" s="986"/>
      <c r="AB574" s="986"/>
      <c r="AC574" s="986"/>
      <c r="AD574" s="986"/>
      <c r="AE574" s="986"/>
      <c r="BE574" s="986"/>
      <c r="BF574" s="986"/>
      <c r="BG574" s="986"/>
      <c r="BH574" s="986"/>
      <c r="BI574" s="1009"/>
      <c r="CB574" s="1535"/>
      <c r="CE574" s="1009"/>
      <c r="CF574" s="1009"/>
    </row>
    <row r="575" spans="2:84">
      <c r="B575" s="986"/>
      <c r="C575" s="986"/>
      <c r="D575" s="986"/>
      <c r="E575" s="986"/>
      <c r="F575" s="986"/>
      <c r="G575" s="986"/>
      <c r="H575" s="986"/>
      <c r="I575" s="986"/>
      <c r="J575" s="986"/>
      <c r="K575" s="986"/>
      <c r="L575" s="986"/>
      <c r="M575" s="986"/>
      <c r="N575" s="986"/>
      <c r="O575" s="986"/>
      <c r="P575" s="986"/>
      <c r="Q575" s="986"/>
      <c r="R575" s="986"/>
      <c r="S575" s="986"/>
      <c r="T575" s="986"/>
      <c r="U575" s="986"/>
      <c r="V575" s="986"/>
      <c r="W575" s="986"/>
      <c r="X575" s="986"/>
      <c r="Y575" s="986"/>
      <c r="Z575" s="986"/>
      <c r="AA575" s="986"/>
      <c r="AB575" s="986"/>
      <c r="AC575" s="986"/>
      <c r="AD575" s="986"/>
      <c r="AE575" s="986"/>
      <c r="BE575" s="986"/>
      <c r="BF575" s="986"/>
      <c r="BG575" s="986"/>
      <c r="BH575" s="986"/>
      <c r="BI575" s="1009"/>
      <c r="CB575" s="1535"/>
      <c r="CE575" s="1009"/>
      <c r="CF575" s="1009"/>
    </row>
    <row r="576" spans="2:84">
      <c r="B576" s="986"/>
      <c r="C576" s="986"/>
      <c r="D576" s="986"/>
      <c r="E576" s="986"/>
      <c r="F576" s="986"/>
      <c r="G576" s="986"/>
      <c r="H576" s="986"/>
      <c r="I576" s="986"/>
      <c r="J576" s="986"/>
      <c r="K576" s="986"/>
      <c r="L576" s="986"/>
      <c r="M576" s="986"/>
      <c r="N576" s="986"/>
      <c r="O576" s="986"/>
      <c r="P576" s="986"/>
      <c r="Q576" s="986"/>
      <c r="R576" s="986"/>
      <c r="S576" s="986"/>
      <c r="T576" s="986"/>
      <c r="U576" s="986"/>
      <c r="V576" s="986"/>
      <c r="W576" s="986"/>
      <c r="X576" s="986"/>
      <c r="Y576" s="986"/>
      <c r="Z576" s="986"/>
      <c r="AA576" s="986"/>
      <c r="AB576" s="986"/>
      <c r="AC576" s="986"/>
      <c r="AD576" s="986"/>
      <c r="AE576" s="986"/>
      <c r="BE576" s="986"/>
      <c r="BF576" s="986"/>
      <c r="BG576" s="986"/>
      <c r="BH576" s="986"/>
      <c r="BI576" s="1009"/>
      <c r="CB576" s="1535"/>
      <c r="CE576" s="1009"/>
      <c r="CF576" s="1009"/>
    </row>
    <row r="577" spans="2:84">
      <c r="B577" s="986"/>
      <c r="C577" s="986"/>
      <c r="D577" s="986"/>
      <c r="E577" s="986"/>
      <c r="F577" s="986"/>
      <c r="G577" s="986"/>
      <c r="H577" s="986"/>
      <c r="I577" s="986"/>
      <c r="J577" s="986"/>
      <c r="K577" s="986"/>
      <c r="L577" s="986"/>
      <c r="M577" s="986"/>
      <c r="N577" s="986"/>
      <c r="O577" s="986"/>
      <c r="P577" s="986"/>
      <c r="Q577" s="986"/>
      <c r="R577" s="986"/>
      <c r="S577" s="986"/>
      <c r="T577" s="986"/>
      <c r="U577" s="986"/>
      <c r="V577" s="986"/>
      <c r="W577" s="986"/>
      <c r="X577" s="986"/>
      <c r="Y577" s="986"/>
      <c r="Z577" s="986"/>
      <c r="AA577" s="986"/>
      <c r="AB577" s="986"/>
      <c r="AC577" s="986"/>
      <c r="AD577" s="986"/>
      <c r="AE577" s="986"/>
      <c r="BE577" s="986"/>
      <c r="BF577" s="986"/>
      <c r="BG577" s="986"/>
      <c r="BH577" s="986"/>
      <c r="BI577" s="1009"/>
      <c r="CB577" s="1535"/>
      <c r="CE577" s="1009"/>
      <c r="CF577" s="1009"/>
    </row>
    <row r="578" spans="2:84">
      <c r="B578" s="986"/>
      <c r="C578" s="986"/>
      <c r="D578" s="986"/>
      <c r="E578" s="986"/>
      <c r="F578" s="986"/>
      <c r="G578" s="986"/>
      <c r="H578" s="986"/>
      <c r="I578" s="986"/>
      <c r="J578" s="986"/>
      <c r="K578" s="986"/>
      <c r="L578" s="986"/>
      <c r="M578" s="986"/>
      <c r="N578" s="986"/>
      <c r="O578" s="986"/>
      <c r="P578" s="986"/>
      <c r="Q578" s="986"/>
      <c r="R578" s="986"/>
      <c r="S578" s="986"/>
      <c r="T578" s="986"/>
      <c r="U578" s="986"/>
      <c r="V578" s="986"/>
      <c r="W578" s="986"/>
      <c r="X578" s="986"/>
      <c r="Y578" s="986"/>
      <c r="Z578" s="986"/>
      <c r="AA578" s="986"/>
      <c r="AB578" s="986"/>
      <c r="AC578" s="986"/>
      <c r="AD578" s="986"/>
      <c r="AE578" s="986"/>
      <c r="BE578" s="986"/>
      <c r="BF578" s="986"/>
      <c r="BG578" s="986"/>
      <c r="BH578" s="986"/>
      <c r="BI578" s="1009"/>
      <c r="CB578" s="1535"/>
      <c r="CE578" s="1009"/>
      <c r="CF578" s="1009"/>
    </row>
    <row r="579" spans="2:84">
      <c r="B579" s="986"/>
      <c r="C579" s="986"/>
      <c r="D579" s="986"/>
      <c r="E579" s="986"/>
      <c r="F579" s="986"/>
      <c r="G579" s="986"/>
      <c r="H579" s="986"/>
      <c r="I579" s="986"/>
      <c r="J579" s="986"/>
      <c r="K579" s="986"/>
      <c r="L579" s="986"/>
      <c r="M579" s="986"/>
      <c r="N579" s="986"/>
      <c r="O579" s="986"/>
      <c r="P579" s="986"/>
      <c r="Q579" s="986"/>
      <c r="R579" s="986"/>
      <c r="S579" s="986"/>
      <c r="T579" s="986"/>
      <c r="U579" s="986"/>
      <c r="V579" s="986"/>
      <c r="W579" s="986"/>
      <c r="X579" s="986"/>
      <c r="Y579" s="986"/>
      <c r="Z579" s="986"/>
      <c r="AA579" s="986"/>
      <c r="AB579" s="986"/>
      <c r="AC579" s="986"/>
      <c r="AD579" s="986"/>
      <c r="AE579" s="986"/>
      <c r="BE579" s="986"/>
      <c r="BF579" s="986"/>
      <c r="BG579" s="986"/>
      <c r="BH579" s="986"/>
      <c r="BI579" s="1009"/>
      <c r="CB579" s="1535"/>
      <c r="CE579" s="1009"/>
      <c r="CF579" s="1009"/>
    </row>
    <row r="580" spans="2:84">
      <c r="B580" s="986"/>
      <c r="C580" s="986"/>
      <c r="D580" s="986"/>
      <c r="E580" s="986"/>
      <c r="F580" s="986"/>
      <c r="G580" s="986"/>
      <c r="H580" s="986"/>
      <c r="I580" s="986"/>
      <c r="J580" s="986"/>
      <c r="K580" s="986"/>
      <c r="L580" s="986"/>
      <c r="M580" s="986"/>
      <c r="N580" s="986"/>
      <c r="O580" s="986"/>
      <c r="P580" s="986"/>
      <c r="Q580" s="986"/>
      <c r="R580" s="986"/>
      <c r="S580" s="986"/>
      <c r="T580" s="986"/>
      <c r="U580" s="986"/>
      <c r="V580" s="986"/>
      <c r="W580" s="986"/>
      <c r="X580" s="986"/>
      <c r="Y580" s="986"/>
      <c r="Z580" s="986"/>
      <c r="AA580" s="986"/>
      <c r="AB580" s="986"/>
      <c r="AC580" s="986"/>
      <c r="AD580" s="986"/>
      <c r="AE580" s="986"/>
      <c r="BE580" s="986"/>
      <c r="BF580" s="986"/>
      <c r="BG580" s="986"/>
      <c r="BH580" s="986"/>
      <c r="BI580" s="1009"/>
      <c r="CB580" s="1535"/>
      <c r="CE580" s="1009"/>
      <c r="CF580" s="1009"/>
    </row>
    <row r="581" spans="2:84">
      <c r="B581" s="986"/>
      <c r="C581" s="986"/>
      <c r="D581" s="986"/>
      <c r="E581" s="986"/>
      <c r="F581" s="986"/>
      <c r="G581" s="986"/>
      <c r="H581" s="986"/>
      <c r="I581" s="986"/>
      <c r="J581" s="986"/>
      <c r="K581" s="986"/>
      <c r="L581" s="986"/>
      <c r="M581" s="986"/>
      <c r="N581" s="986"/>
      <c r="O581" s="986"/>
      <c r="P581" s="986"/>
      <c r="Q581" s="986"/>
      <c r="R581" s="986"/>
      <c r="S581" s="986"/>
      <c r="T581" s="986"/>
      <c r="U581" s="986"/>
      <c r="V581" s="986"/>
      <c r="W581" s="986"/>
      <c r="X581" s="986"/>
      <c r="Y581" s="986"/>
      <c r="Z581" s="986"/>
      <c r="AA581" s="986"/>
      <c r="AB581" s="986"/>
      <c r="AC581" s="986"/>
      <c r="AD581" s="986"/>
      <c r="AE581" s="986"/>
      <c r="BE581" s="986"/>
      <c r="BF581" s="986"/>
      <c r="BG581" s="986"/>
      <c r="BH581" s="986"/>
      <c r="BI581" s="1009"/>
      <c r="CB581" s="1535"/>
      <c r="CE581" s="1009"/>
      <c r="CF581" s="1009"/>
    </row>
    <row r="582" spans="2:84">
      <c r="B582" s="986"/>
      <c r="C582" s="986"/>
      <c r="D582" s="986"/>
      <c r="E582" s="986"/>
      <c r="F582" s="986"/>
      <c r="G582" s="986"/>
      <c r="H582" s="986"/>
      <c r="I582" s="986"/>
      <c r="J582" s="986"/>
      <c r="K582" s="986"/>
      <c r="L582" s="986"/>
      <c r="M582" s="986"/>
      <c r="N582" s="986"/>
      <c r="O582" s="986"/>
      <c r="P582" s="986"/>
      <c r="Q582" s="986"/>
      <c r="R582" s="986"/>
      <c r="S582" s="986"/>
      <c r="T582" s="986"/>
      <c r="U582" s="986"/>
      <c r="V582" s="986"/>
      <c r="W582" s="986"/>
      <c r="X582" s="986"/>
      <c r="Y582" s="986"/>
      <c r="Z582" s="986"/>
      <c r="AA582" s="986"/>
      <c r="AB582" s="986"/>
      <c r="AC582" s="986"/>
      <c r="AD582" s="986"/>
      <c r="AE582" s="986"/>
      <c r="BE582" s="986"/>
      <c r="BF582" s="986"/>
      <c r="BG582" s="986"/>
      <c r="BH582" s="986"/>
      <c r="BI582" s="1009"/>
      <c r="CB582" s="1535"/>
      <c r="CE582" s="1009"/>
      <c r="CF582" s="1009"/>
    </row>
    <row r="583" spans="2:84">
      <c r="B583" s="986"/>
      <c r="C583" s="986"/>
      <c r="D583" s="986"/>
      <c r="E583" s="986"/>
      <c r="F583" s="986"/>
      <c r="G583" s="986"/>
      <c r="H583" s="986"/>
      <c r="I583" s="986"/>
      <c r="J583" s="986"/>
      <c r="K583" s="986"/>
      <c r="L583" s="986"/>
      <c r="M583" s="986"/>
      <c r="N583" s="986"/>
      <c r="O583" s="986"/>
      <c r="P583" s="986"/>
      <c r="Q583" s="986"/>
      <c r="R583" s="986"/>
      <c r="S583" s="986"/>
      <c r="T583" s="986"/>
      <c r="U583" s="986"/>
      <c r="V583" s="986"/>
      <c r="W583" s="986"/>
      <c r="X583" s="986"/>
      <c r="Y583" s="986"/>
      <c r="Z583" s="986"/>
      <c r="AA583" s="986"/>
      <c r="AB583" s="986"/>
      <c r="AC583" s="986"/>
      <c r="AD583" s="986"/>
      <c r="AE583" s="986"/>
      <c r="BE583" s="986"/>
      <c r="BF583" s="986"/>
      <c r="BG583" s="986"/>
      <c r="BH583" s="986"/>
      <c r="BI583" s="1009"/>
      <c r="CB583" s="1535"/>
      <c r="CE583" s="1009"/>
      <c r="CF583" s="1009"/>
    </row>
    <row r="584" spans="2:84">
      <c r="B584" s="986"/>
      <c r="C584" s="986"/>
      <c r="D584" s="986"/>
      <c r="E584" s="986"/>
      <c r="F584" s="986"/>
      <c r="G584" s="986"/>
      <c r="H584" s="986"/>
      <c r="I584" s="986"/>
      <c r="J584" s="986"/>
      <c r="K584" s="986"/>
      <c r="L584" s="986"/>
      <c r="M584" s="986"/>
      <c r="N584" s="986"/>
      <c r="O584" s="986"/>
      <c r="P584" s="986"/>
      <c r="Q584" s="986"/>
      <c r="R584" s="986"/>
      <c r="S584" s="986"/>
      <c r="T584" s="986"/>
      <c r="U584" s="986"/>
      <c r="V584" s="986"/>
      <c r="W584" s="986"/>
      <c r="X584" s="986"/>
      <c r="Y584" s="986"/>
      <c r="Z584" s="986"/>
      <c r="AA584" s="986"/>
      <c r="AB584" s="986"/>
      <c r="AC584" s="986"/>
      <c r="AD584" s="986"/>
      <c r="AE584" s="986"/>
      <c r="BE584" s="986"/>
      <c r="BF584" s="986"/>
      <c r="BG584" s="986"/>
      <c r="BH584" s="986"/>
      <c r="BI584" s="1009"/>
      <c r="CB584" s="1535"/>
      <c r="CE584" s="1009"/>
      <c r="CF584" s="1009"/>
    </row>
    <row r="585" spans="2:84">
      <c r="B585" s="986"/>
      <c r="C585" s="986"/>
      <c r="D585" s="986"/>
      <c r="E585" s="986"/>
      <c r="F585" s="986"/>
      <c r="G585" s="986"/>
      <c r="H585" s="986"/>
      <c r="I585" s="986"/>
      <c r="J585" s="986"/>
      <c r="K585" s="986"/>
      <c r="L585" s="986"/>
      <c r="M585" s="986"/>
      <c r="N585" s="986"/>
      <c r="O585" s="986"/>
      <c r="P585" s="986"/>
      <c r="Q585" s="986"/>
      <c r="R585" s="986"/>
      <c r="S585" s="986"/>
      <c r="T585" s="986"/>
      <c r="U585" s="986"/>
      <c r="V585" s="986"/>
      <c r="W585" s="986"/>
      <c r="X585" s="986"/>
      <c r="Y585" s="986"/>
      <c r="Z585" s="986"/>
      <c r="AA585" s="986"/>
      <c r="AB585" s="986"/>
      <c r="AC585" s="986"/>
      <c r="AD585" s="986"/>
      <c r="AE585" s="986"/>
      <c r="BE585" s="986"/>
      <c r="BF585" s="986"/>
      <c r="BG585" s="986"/>
      <c r="BH585" s="986"/>
      <c r="BI585" s="1009"/>
      <c r="CB585" s="1535"/>
      <c r="CE585" s="1009"/>
      <c r="CF585" s="1009"/>
    </row>
    <row r="586" spans="2:84">
      <c r="B586" s="986"/>
      <c r="C586" s="986"/>
      <c r="D586" s="986"/>
      <c r="E586" s="986"/>
      <c r="F586" s="986"/>
      <c r="G586" s="986"/>
      <c r="H586" s="986"/>
      <c r="I586" s="986"/>
      <c r="J586" s="986"/>
      <c r="K586" s="986"/>
      <c r="L586" s="986"/>
      <c r="M586" s="986"/>
      <c r="N586" s="986"/>
      <c r="O586" s="986"/>
      <c r="P586" s="986"/>
      <c r="Q586" s="986"/>
      <c r="R586" s="986"/>
      <c r="S586" s="986"/>
      <c r="T586" s="986"/>
      <c r="U586" s="986"/>
      <c r="V586" s="986"/>
      <c r="W586" s="986"/>
      <c r="X586" s="986"/>
      <c r="Y586" s="986"/>
      <c r="Z586" s="986"/>
      <c r="AA586" s="986"/>
      <c r="AB586" s="986"/>
      <c r="AC586" s="986"/>
      <c r="AD586" s="986"/>
      <c r="AE586" s="986"/>
      <c r="BE586" s="986"/>
      <c r="BF586" s="986"/>
      <c r="BG586" s="986"/>
      <c r="BH586" s="986"/>
      <c r="BI586" s="1009"/>
      <c r="CB586" s="1535"/>
      <c r="CE586" s="1009"/>
      <c r="CF586" s="1009"/>
    </row>
    <row r="587" spans="2:84">
      <c r="B587" s="986"/>
      <c r="C587" s="986"/>
      <c r="D587" s="986"/>
      <c r="E587" s="986"/>
      <c r="F587" s="986"/>
      <c r="G587" s="986"/>
      <c r="H587" s="986"/>
      <c r="I587" s="986"/>
      <c r="J587" s="986"/>
      <c r="K587" s="986"/>
      <c r="L587" s="986"/>
      <c r="M587" s="986"/>
      <c r="N587" s="986"/>
      <c r="O587" s="986"/>
      <c r="P587" s="986"/>
      <c r="Q587" s="986"/>
      <c r="R587" s="986"/>
      <c r="S587" s="986"/>
      <c r="T587" s="986"/>
      <c r="U587" s="986"/>
      <c r="V587" s="986"/>
      <c r="W587" s="986"/>
      <c r="X587" s="986"/>
      <c r="Y587" s="986"/>
      <c r="Z587" s="986"/>
      <c r="AA587" s="986"/>
      <c r="AB587" s="986"/>
      <c r="AC587" s="986"/>
      <c r="AD587" s="986"/>
      <c r="AE587" s="986"/>
      <c r="BE587" s="986"/>
      <c r="BF587" s="986"/>
      <c r="BG587" s="986"/>
      <c r="BH587" s="986"/>
      <c r="BI587" s="1009"/>
      <c r="CB587" s="1535"/>
      <c r="CE587" s="1009"/>
      <c r="CF587" s="1009"/>
    </row>
    <row r="588" spans="2:84">
      <c r="B588" s="986"/>
      <c r="C588" s="986"/>
      <c r="D588" s="986"/>
      <c r="E588" s="986"/>
      <c r="F588" s="986"/>
      <c r="G588" s="986"/>
      <c r="H588" s="986"/>
      <c r="I588" s="986"/>
      <c r="J588" s="986"/>
      <c r="K588" s="986"/>
      <c r="L588" s="986"/>
      <c r="M588" s="986"/>
      <c r="N588" s="986"/>
      <c r="O588" s="986"/>
      <c r="P588" s="986"/>
      <c r="Q588" s="986"/>
      <c r="R588" s="986"/>
      <c r="S588" s="986"/>
      <c r="T588" s="986"/>
      <c r="U588" s="986"/>
      <c r="V588" s="986"/>
      <c r="W588" s="986"/>
      <c r="X588" s="986"/>
      <c r="Y588" s="986"/>
      <c r="Z588" s="986"/>
      <c r="AA588" s="986"/>
      <c r="AB588" s="986"/>
      <c r="AC588" s="986"/>
      <c r="AD588" s="986"/>
      <c r="AE588" s="986"/>
      <c r="BE588" s="986"/>
      <c r="BF588" s="986"/>
      <c r="BG588" s="986"/>
      <c r="BH588" s="986"/>
      <c r="BI588" s="1009"/>
      <c r="CB588" s="1535"/>
      <c r="CE588" s="1009"/>
      <c r="CF588" s="1009"/>
    </row>
    <row r="589" spans="2:84">
      <c r="B589" s="986"/>
      <c r="C589" s="986"/>
      <c r="D589" s="986"/>
      <c r="E589" s="986"/>
      <c r="F589" s="986"/>
      <c r="G589" s="986"/>
      <c r="H589" s="986"/>
      <c r="I589" s="986"/>
      <c r="J589" s="986"/>
      <c r="K589" s="986"/>
      <c r="L589" s="986"/>
      <c r="M589" s="986"/>
      <c r="N589" s="986"/>
      <c r="O589" s="986"/>
      <c r="P589" s="986"/>
      <c r="Q589" s="986"/>
      <c r="R589" s="986"/>
      <c r="S589" s="986"/>
      <c r="T589" s="986"/>
      <c r="U589" s="986"/>
      <c r="V589" s="986"/>
      <c r="W589" s="986"/>
      <c r="X589" s="986"/>
      <c r="Y589" s="986"/>
      <c r="Z589" s="986"/>
      <c r="AA589" s="986"/>
      <c r="AB589" s="986"/>
      <c r="AC589" s="986"/>
      <c r="AD589" s="986"/>
      <c r="AE589" s="986"/>
      <c r="BE589" s="986"/>
      <c r="BF589" s="986"/>
      <c r="BG589" s="986"/>
      <c r="BH589" s="986"/>
      <c r="BI589" s="1009"/>
      <c r="CB589" s="1535"/>
      <c r="CE589" s="1009"/>
      <c r="CF589" s="1009"/>
    </row>
    <row r="590" spans="2:84">
      <c r="B590" s="986"/>
      <c r="C590" s="986"/>
      <c r="D590" s="986"/>
      <c r="E590" s="986"/>
      <c r="F590" s="986"/>
      <c r="G590" s="986"/>
      <c r="H590" s="986"/>
      <c r="I590" s="986"/>
      <c r="J590" s="986"/>
      <c r="K590" s="986"/>
      <c r="L590" s="986"/>
      <c r="M590" s="986"/>
      <c r="N590" s="986"/>
      <c r="O590" s="986"/>
      <c r="P590" s="986"/>
      <c r="Q590" s="986"/>
      <c r="R590" s="986"/>
      <c r="S590" s="986"/>
      <c r="T590" s="986"/>
      <c r="U590" s="986"/>
      <c r="V590" s="986"/>
      <c r="W590" s="986"/>
      <c r="X590" s="986"/>
      <c r="Y590" s="986"/>
      <c r="Z590" s="986"/>
      <c r="AA590" s="986"/>
      <c r="AB590" s="986"/>
      <c r="AC590" s="986"/>
      <c r="AD590" s="986"/>
      <c r="AE590" s="986"/>
      <c r="BE590" s="986"/>
      <c r="BF590" s="986"/>
      <c r="BG590" s="986"/>
      <c r="BH590" s="986"/>
      <c r="BI590" s="1009"/>
      <c r="CB590" s="1535"/>
      <c r="CE590" s="1009"/>
      <c r="CF590" s="1009"/>
    </row>
    <row r="591" spans="2:84">
      <c r="B591" s="986"/>
      <c r="C591" s="986"/>
      <c r="D591" s="986"/>
      <c r="E591" s="986"/>
      <c r="F591" s="986"/>
      <c r="G591" s="986"/>
      <c r="H591" s="986"/>
      <c r="I591" s="986"/>
      <c r="J591" s="986"/>
      <c r="K591" s="986"/>
      <c r="L591" s="986"/>
      <c r="M591" s="986"/>
      <c r="N591" s="986"/>
      <c r="O591" s="986"/>
      <c r="P591" s="986"/>
      <c r="Q591" s="986"/>
      <c r="R591" s="986"/>
      <c r="S591" s="986"/>
      <c r="T591" s="986"/>
      <c r="U591" s="986"/>
      <c r="V591" s="986"/>
      <c r="W591" s="986"/>
      <c r="X591" s="986"/>
      <c r="Y591" s="986"/>
      <c r="Z591" s="986"/>
      <c r="AA591" s="986"/>
      <c r="AB591" s="986"/>
      <c r="AC591" s="986"/>
      <c r="AD591" s="986"/>
      <c r="AE591" s="986"/>
      <c r="BE591" s="986"/>
      <c r="BF591" s="986"/>
      <c r="BG591" s="986"/>
      <c r="BH591" s="986"/>
      <c r="BI591" s="1009"/>
      <c r="CB591" s="1535"/>
      <c r="CE591" s="1009"/>
      <c r="CF591" s="1009"/>
    </row>
    <row r="592" spans="2:84">
      <c r="B592" s="986"/>
      <c r="C592" s="986"/>
      <c r="D592" s="986"/>
      <c r="E592" s="986"/>
      <c r="F592" s="986"/>
      <c r="G592" s="986"/>
      <c r="H592" s="986"/>
      <c r="I592" s="986"/>
      <c r="J592" s="986"/>
      <c r="K592" s="986"/>
      <c r="L592" s="986"/>
      <c r="M592" s="986"/>
      <c r="N592" s="986"/>
      <c r="O592" s="986"/>
      <c r="P592" s="986"/>
      <c r="Q592" s="986"/>
      <c r="R592" s="986"/>
      <c r="S592" s="986"/>
      <c r="T592" s="986"/>
      <c r="U592" s="986"/>
      <c r="V592" s="986"/>
      <c r="W592" s="986"/>
      <c r="X592" s="986"/>
      <c r="Y592" s="986"/>
      <c r="Z592" s="986"/>
      <c r="AA592" s="986"/>
      <c r="AB592" s="986"/>
      <c r="AC592" s="986"/>
      <c r="AD592" s="986"/>
      <c r="AE592" s="986"/>
      <c r="BE592" s="986"/>
      <c r="BF592" s="986"/>
      <c r="BG592" s="986"/>
      <c r="BH592" s="986"/>
      <c r="BI592" s="1009"/>
      <c r="CB592" s="1535"/>
      <c r="CE592" s="1009"/>
      <c r="CF592" s="1009"/>
    </row>
    <row r="593" spans="2:84">
      <c r="B593" s="986"/>
      <c r="C593" s="986"/>
      <c r="D593" s="986"/>
      <c r="E593" s="986"/>
      <c r="F593" s="986"/>
      <c r="G593" s="986"/>
      <c r="H593" s="986"/>
      <c r="I593" s="986"/>
      <c r="J593" s="986"/>
      <c r="K593" s="986"/>
      <c r="L593" s="986"/>
      <c r="M593" s="986"/>
      <c r="N593" s="986"/>
      <c r="O593" s="986"/>
      <c r="P593" s="986"/>
      <c r="Q593" s="986"/>
      <c r="R593" s="986"/>
      <c r="S593" s="986"/>
      <c r="T593" s="986"/>
      <c r="U593" s="986"/>
      <c r="V593" s="986"/>
      <c r="W593" s="986"/>
      <c r="X593" s="986"/>
      <c r="Y593" s="986"/>
      <c r="Z593" s="986"/>
      <c r="AA593" s="986"/>
      <c r="AB593" s="986"/>
      <c r="AC593" s="986"/>
      <c r="AD593" s="986"/>
      <c r="AE593" s="986"/>
      <c r="BE593" s="986"/>
      <c r="BF593" s="986"/>
      <c r="BG593" s="986"/>
      <c r="BH593" s="986"/>
      <c r="BI593" s="1009"/>
      <c r="CB593" s="1535"/>
      <c r="CE593" s="1009"/>
      <c r="CF593" s="1009"/>
    </row>
    <row r="594" spans="2:84">
      <c r="B594" s="986"/>
      <c r="C594" s="986"/>
      <c r="D594" s="986"/>
      <c r="E594" s="986"/>
      <c r="F594" s="986"/>
      <c r="G594" s="986"/>
      <c r="H594" s="986"/>
      <c r="I594" s="986"/>
      <c r="J594" s="986"/>
      <c r="K594" s="986"/>
      <c r="L594" s="986"/>
      <c r="M594" s="986"/>
      <c r="N594" s="986"/>
      <c r="O594" s="986"/>
      <c r="P594" s="986"/>
      <c r="Q594" s="986"/>
      <c r="R594" s="986"/>
      <c r="S594" s="986"/>
      <c r="T594" s="986"/>
      <c r="U594" s="986"/>
      <c r="V594" s="986"/>
      <c r="W594" s="986"/>
      <c r="X594" s="986"/>
      <c r="Y594" s="986"/>
      <c r="Z594" s="986"/>
      <c r="AA594" s="986"/>
      <c r="AB594" s="986"/>
      <c r="AC594" s="986"/>
      <c r="AD594" s="986"/>
      <c r="AE594" s="986"/>
      <c r="BE594" s="986"/>
      <c r="BF594" s="986"/>
      <c r="BG594" s="986"/>
      <c r="BH594" s="986"/>
      <c r="BI594" s="1009"/>
      <c r="CB594" s="1535"/>
      <c r="CE594" s="1009"/>
      <c r="CF594" s="1009"/>
    </row>
    <row r="595" spans="2:84">
      <c r="B595" s="986"/>
      <c r="C595" s="986"/>
      <c r="D595" s="986"/>
      <c r="E595" s="986"/>
      <c r="F595" s="986"/>
      <c r="G595" s="986"/>
      <c r="H595" s="986"/>
      <c r="I595" s="986"/>
      <c r="J595" s="986"/>
      <c r="K595" s="986"/>
      <c r="L595" s="986"/>
      <c r="M595" s="986"/>
      <c r="N595" s="986"/>
      <c r="O595" s="986"/>
      <c r="P595" s="986"/>
      <c r="Q595" s="986"/>
      <c r="R595" s="986"/>
      <c r="S595" s="986"/>
      <c r="T595" s="986"/>
      <c r="U595" s="986"/>
      <c r="V595" s="986"/>
      <c r="W595" s="986"/>
      <c r="X595" s="986"/>
      <c r="Y595" s="986"/>
      <c r="Z595" s="986"/>
      <c r="AA595" s="986"/>
      <c r="AB595" s="986"/>
      <c r="AC595" s="986"/>
      <c r="AD595" s="986"/>
      <c r="AE595" s="986"/>
      <c r="BE595" s="986"/>
      <c r="BF595" s="986"/>
      <c r="BG595" s="986"/>
      <c r="BH595" s="986"/>
      <c r="BI595" s="1009"/>
      <c r="CB595" s="1535"/>
      <c r="CE595" s="1009"/>
      <c r="CF595" s="1009"/>
    </row>
    <row r="596" spans="2:84">
      <c r="B596" s="986"/>
      <c r="C596" s="986"/>
      <c r="D596" s="986"/>
      <c r="E596" s="986"/>
      <c r="F596" s="986"/>
      <c r="G596" s="986"/>
      <c r="H596" s="986"/>
      <c r="I596" s="986"/>
      <c r="J596" s="986"/>
      <c r="K596" s="986"/>
      <c r="L596" s="986"/>
      <c r="M596" s="986"/>
      <c r="N596" s="986"/>
      <c r="O596" s="986"/>
      <c r="P596" s="986"/>
      <c r="Q596" s="986"/>
      <c r="R596" s="986"/>
      <c r="S596" s="986"/>
      <c r="T596" s="986"/>
      <c r="U596" s="986"/>
      <c r="V596" s="986"/>
      <c r="W596" s="986"/>
      <c r="X596" s="986"/>
      <c r="Y596" s="986"/>
      <c r="Z596" s="986"/>
      <c r="AA596" s="986"/>
      <c r="AB596" s="986"/>
      <c r="AC596" s="986"/>
      <c r="AD596" s="986"/>
      <c r="AE596" s="986"/>
      <c r="BE596" s="986"/>
      <c r="BF596" s="986"/>
      <c r="BG596" s="986"/>
      <c r="BH596" s="986"/>
      <c r="BI596" s="1009"/>
      <c r="CB596" s="1535"/>
      <c r="CE596" s="1009"/>
      <c r="CF596" s="1009"/>
    </row>
    <row r="597" spans="2:84">
      <c r="B597" s="986"/>
      <c r="C597" s="986"/>
      <c r="D597" s="986"/>
      <c r="E597" s="986"/>
      <c r="F597" s="986"/>
      <c r="G597" s="986"/>
      <c r="H597" s="986"/>
      <c r="I597" s="986"/>
      <c r="J597" s="986"/>
      <c r="K597" s="986"/>
      <c r="L597" s="986"/>
      <c r="M597" s="986"/>
      <c r="N597" s="986"/>
      <c r="O597" s="986"/>
      <c r="P597" s="986"/>
      <c r="Q597" s="986"/>
      <c r="R597" s="986"/>
      <c r="S597" s="986"/>
      <c r="T597" s="986"/>
      <c r="U597" s="986"/>
      <c r="V597" s="986"/>
      <c r="W597" s="986"/>
      <c r="X597" s="986"/>
      <c r="Y597" s="986"/>
      <c r="Z597" s="986"/>
      <c r="AA597" s="986"/>
      <c r="AB597" s="986"/>
      <c r="AC597" s="986"/>
      <c r="AD597" s="986"/>
      <c r="AE597" s="986"/>
      <c r="BE597" s="986"/>
      <c r="BF597" s="986"/>
      <c r="BG597" s="986"/>
      <c r="BH597" s="986"/>
      <c r="BI597" s="1009"/>
      <c r="CB597" s="1535"/>
      <c r="CE597" s="1009"/>
      <c r="CF597" s="1009"/>
    </row>
    <row r="598" spans="2:84">
      <c r="B598" s="986"/>
      <c r="C598" s="986"/>
      <c r="D598" s="986"/>
      <c r="E598" s="986"/>
      <c r="F598" s="986"/>
      <c r="G598" s="986"/>
      <c r="H598" s="986"/>
      <c r="I598" s="986"/>
      <c r="J598" s="986"/>
      <c r="K598" s="986"/>
      <c r="L598" s="986"/>
      <c r="M598" s="986"/>
      <c r="N598" s="986"/>
      <c r="O598" s="986"/>
      <c r="P598" s="986"/>
      <c r="Q598" s="986"/>
      <c r="R598" s="986"/>
      <c r="S598" s="986"/>
      <c r="T598" s="986"/>
      <c r="U598" s="986"/>
      <c r="V598" s="986"/>
      <c r="W598" s="986"/>
      <c r="X598" s="986"/>
      <c r="Y598" s="986"/>
      <c r="Z598" s="986"/>
      <c r="AA598" s="986"/>
      <c r="AB598" s="986"/>
      <c r="AC598" s="986"/>
      <c r="AD598" s="986"/>
      <c r="AE598" s="986"/>
      <c r="BE598" s="986"/>
      <c r="BF598" s="986"/>
      <c r="BG598" s="986"/>
      <c r="BH598" s="986"/>
      <c r="BI598" s="1009"/>
      <c r="CB598" s="1535"/>
      <c r="CE598" s="1009"/>
      <c r="CF598" s="1009"/>
    </row>
    <row r="599" spans="2:84">
      <c r="B599" s="986"/>
      <c r="C599" s="986"/>
      <c r="D599" s="986"/>
      <c r="E599" s="986"/>
      <c r="F599" s="986"/>
      <c r="G599" s="986"/>
      <c r="H599" s="986"/>
      <c r="I599" s="986"/>
      <c r="J599" s="986"/>
      <c r="K599" s="986"/>
      <c r="L599" s="986"/>
      <c r="M599" s="986"/>
      <c r="N599" s="986"/>
      <c r="O599" s="986"/>
      <c r="P599" s="986"/>
      <c r="Q599" s="986"/>
      <c r="R599" s="986"/>
      <c r="S599" s="986"/>
      <c r="T599" s="986"/>
      <c r="U599" s="986"/>
      <c r="V599" s="986"/>
      <c r="W599" s="986"/>
      <c r="X599" s="986"/>
      <c r="Y599" s="986"/>
      <c r="Z599" s="986"/>
      <c r="AA599" s="986"/>
      <c r="AB599" s="986"/>
      <c r="AC599" s="986"/>
      <c r="AD599" s="986"/>
      <c r="AE599" s="986"/>
      <c r="BE599" s="986"/>
      <c r="BF599" s="986"/>
      <c r="BG599" s="986"/>
      <c r="BH599" s="986"/>
      <c r="BI599" s="1009"/>
      <c r="CB599" s="1535"/>
      <c r="CE599" s="1009"/>
      <c r="CF599" s="1009"/>
    </row>
    <row r="600" spans="2:84">
      <c r="B600" s="986"/>
      <c r="C600" s="986"/>
      <c r="D600" s="986"/>
      <c r="E600" s="986"/>
      <c r="F600" s="986"/>
      <c r="G600" s="986"/>
      <c r="H600" s="986"/>
      <c r="I600" s="986"/>
      <c r="J600" s="986"/>
      <c r="K600" s="986"/>
      <c r="L600" s="986"/>
      <c r="M600" s="986"/>
      <c r="N600" s="986"/>
      <c r="O600" s="986"/>
      <c r="P600" s="986"/>
      <c r="Q600" s="986"/>
      <c r="R600" s="986"/>
      <c r="S600" s="986"/>
      <c r="T600" s="986"/>
      <c r="U600" s="986"/>
      <c r="V600" s="986"/>
      <c r="W600" s="986"/>
      <c r="X600" s="986"/>
      <c r="Y600" s="986"/>
      <c r="Z600" s="986"/>
      <c r="AA600" s="986"/>
      <c r="AB600" s="986"/>
      <c r="AC600" s="986"/>
      <c r="AD600" s="986"/>
      <c r="AE600" s="986"/>
      <c r="BE600" s="986"/>
      <c r="BF600" s="986"/>
      <c r="BG600" s="986"/>
      <c r="BH600" s="986"/>
      <c r="BI600" s="1009"/>
      <c r="CB600" s="1535"/>
      <c r="CE600" s="1009"/>
      <c r="CF600" s="1009"/>
    </row>
    <row r="601" spans="2:84">
      <c r="B601" s="986"/>
      <c r="C601" s="986"/>
      <c r="D601" s="986"/>
      <c r="E601" s="986"/>
      <c r="F601" s="986"/>
      <c r="G601" s="986"/>
      <c r="H601" s="986"/>
      <c r="I601" s="986"/>
      <c r="J601" s="986"/>
      <c r="K601" s="986"/>
      <c r="L601" s="986"/>
      <c r="M601" s="986"/>
      <c r="N601" s="986"/>
      <c r="O601" s="986"/>
      <c r="P601" s="986"/>
      <c r="Q601" s="986"/>
      <c r="R601" s="986"/>
      <c r="S601" s="986"/>
      <c r="T601" s="986"/>
      <c r="U601" s="986"/>
      <c r="V601" s="986"/>
      <c r="W601" s="986"/>
      <c r="X601" s="986"/>
      <c r="Y601" s="986"/>
      <c r="Z601" s="986"/>
      <c r="AA601" s="986"/>
      <c r="AB601" s="986"/>
      <c r="AC601" s="986"/>
      <c r="AD601" s="986"/>
      <c r="AE601" s="986"/>
      <c r="BE601" s="986"/>
      <c r="BF601" s="986"/>
      <c r="BG601" s="986"/>
      <c r="BH601" s="986"/>
      <c r="BI601" s="1009"/>
      <c r="CB601" s="1535"/>
      <c r="CE601" s="1009"/>
      <c r="CF601" s="1009"/>
    </row>
    <row r="602" spans="2:84">
      <c r="B602" s="986"/>
      <c r="C602" s="986"/>
      <c r="D602" s="986"/>
      <c r="E602" s="986"/>
      <c r="F602" s="986"/>
      <c r="G602" s="986"/>
      <c r="H602" s="986"/>
      <c r="I602" s="986"/>
      <c r="J602" s="986"/>
      <c r="K602" s="986"/>
      <c r="L602" s="986"/>
      <c r="M602" s="986"/>
      <c r="N602" s="986"/>
      <c r="O602" s="986"/>
      <c r="P602" s="986"/>
      <c r="Q602" s="986"/>
      <c r="R602" s="986"/>
      <c r="S602" s="986"/>
      <c r="T602" s="986"/>
      <c r="U602" s="986"/>
      <c r="V602" s="986"/>
      <c r="W602" s="986"/>
      <c r="X602" s="986"/>
      <c r="Y602" s="986"/>
      <c r="Z602" s="986"/>
      <c r="AA602" s="986"/>
      <c r="AB602" s="986"/>
      <c r="AC602" s="986"/>
      <c r="AD602" s="986"/>
      <c r="AE602" s="986"/>
      <c r="BE602" s="986"/>
      <c r="BF602" s="986"/>
      <c r="BG602" s="986"/>
      <c r="BH602" s="986"/>
      <c r="BI602" s="1009"/>
      <c r="CB602" s="1535"/>
      <c r="CE602" s="1009"/>
      <c r="CF602" s="1009"/>
    </row>
    <row r="603" spans="2:84">
      <c r="B603" s="986"/>
      <c r="C603" s="986"/>
      <c r="D603" s="986"/>
      <c r="E603" s="986"/>
      <c r="F603" s="986"/>
      <c r="G603" s="986"/>
      <c r="H603" s="986"/>
      <c r="I603" s="986"/>
      <c r="J603" s="986"/>
      <c r="K603" s="986"/>
      <c r="L603" s="986"/>
      <c r="M603" s="986"/>
      <c r="N603" s="986"/>
      <c r="O603" s="986"/>
      <c r="P603" s="986"/>
      <c r="Q603" s="986"/>
      <c r="R603" s="986"/>
      <c r="S603" s="986"/>
      <c r="T603" s="986"/>
      <c r="U603" s="986"/>
      <c r="V603" s="986"/>
      <c r="W603" s="986"/>
      <c r="X603" s="986"/>
      <c r="Y603" s="986"/>
      <c r="Z603" s="986"/>
      <c r="AA603" s="986"/>
      <c r="AB603" s="986"/>
      <c r="AC603" s="986"/>
      <c r="AD603" s="986"/>
      <c r="AE603" s="986"/>
      <c r="BE603" s="986"/>
      <c r="BF603" s="986"/>
      <c r="BG603" s="986"/>
      <c r="BH603" s="986"/>
      <c r="BI603" s="1009"/>
      <c r="CB603" s="1535"/>
      <c r="CC603" s="1533"/>
      <c r="CD603" s="1533"/>
      <c r="CE603" s="1533"/>
      <c r="CF603" s="1533"/>
    </row>
    <row r="604" spans="2:84">
      <c r="B604" s="986"/>
      <c r="C604" s="986"/>
      <c r="D604" s="986"/>
      <c r="E604" s="986"/>
      <c r="F604" s="986"/>
      <c r="G604" s="986"/>
      <c r="H604" s="986"/>
      <c r="I604" s="986"/>
      <c r="J604" s="986"/>
      <c r="K604" s="986"/>
      <c r="L604" s="986"/>
      <c r="M604" s="986"/>
      <c r="N604" s="986"/>
      <c r="O604" s="986"/>
      <c r="P604" s="986"/>
      <c r="Q604" s="986"/>
      <c r="R604" s="986"/>
      <c r="S604" s="986"/>
      <c r="T604" s="986"/>
      <c r="U604" s="986"/>
      <c r="V604" s="986"/>
      <c r="W604" s="986"/>
      <c r="X604" s="986"/>
      <c r="Y604" s="986"/>
      <c r="Z604" s="986"/>
      <c r="AA604" s="986"/>
      <c r="AB604" s="986"/>
      <c r="AC604" s="986"/>
      <c r="AD604" s="986"/>
      <c r="AE604" s="986"/>
      <c r="BE604" s="986"/>
      <c r="BF604" s="986"/>
      <c r="BG604" s="986"/>
      <c r="BH604" s="986"/>
      <c r="BI604" s="1009"/>
      <c r="CB604" s="1535"/>
      <c r="CE604" s="1009"/>
      <c r="CF604" s="1009"/>
    </row>
    <row r="605" spans="2:84">
      <c r="B605" s="986"/>
      <c r="C605" s="986"/>
      <c r="D605" s="986"/>
      <c r="E605" s="986"/>
      <c r="F605" s="986"/>
      <c r="G605" s="986"/>
      <c r="H605" s="986"/>
      <c r="I605" s="986"/>
      <c r="J605" s="986"/>
      <c r="K605" s="986"/>
      <c r="L605" s="986"/>
      <c r="M605" s="986"/>
      <c r="N605" s="986"/>
      <c r="O605" s="986"/>
      <c r="P605" s="986"/>
      <c r="Q605" s="986"/>
      <c r="R605" s="986"/>
      <c r="S605" s="986"/>
      <c r="T605" s="986"/>
      <c r="U605" s="986"/>
      <c r="V605" s="986"/>
      <c r="W605" s="986"/>
      <c r="X605" s="986"/>
      <c r="Y605" s="986"/>
      <c r="Z605" s="986"/>
      <c r="AA605" s="986"/>
      <c r="AB605" s="986"/>
      <c r="AC605" s="986"/>
      <c r="AD605" s="986"/>
      <c r="AE605" s="986"/>
      <c r="BE605" s="986"/>
      <c r="BF605" s="986"/>
      <c r="BG605" s="986"/>
      <c r="BH605" s="986"/>
      <c r="BI605" s="1009"/>
      <c r="CB605" s="1535"/>
      <c r="CE605" s="1009"/>
      <c r="CF605" s="1009"/>
    </row>
    <row r="606" spans="2:84">
      <c r="B606" s="986"/>
      <c r="C606" s="986"/>
      <c r="D606" s="986"/>
      <c r="E606" s="986"/>
      <c r="F606" s="986"/>
      <c r="G606" s="986"/>
      <c r="H606" s="986"/>
      <c r="I606" s="986"/>
      <c r="J606" s="986"/>
      <c r="K606" s="986"/>
      <c r="L606" s="986"/>
      <c r="M606" s="986"/>
      <c r="N606" s="986"/>
      <c r="O606" s="986"/>
      <c r="P606" s="986"/>
      <c r="Q606" s="986"/>
      <c r="R606" s="986"/>
      <c r="S606" s="986"/>
      <c r="T606" s="986"/>
      <c r="U606" s="986"/>
      <c r="V606" s="986"/>
      <c r="W606" s="986"/>
      <c r="X606" s="986"/>
      <c r="Y606" s="986"/>
      <c r="Z606" s="986"/>
      <c r="AA606" s="986"/>
      <c r="AB606" s="986"/>
      <c r="AC606" s="986"/>
      <c r="AD606" s="986"/>
      <c r="AE606" s="986"/>
      <c r="BE606" s="986"/>
      <c r="BF606" s="986"/>
      <c r="BG606" s="986"/>
      <c r="BH606" s="986"/>
      <c r="BI606" s="1009"/>
      <c r="CB606" s="1535"/>
      <c r="CE606" s="1009"/>
      <c r="CF606" s="1009"/>
    </row>
    <row r="607" spans="2:84">
      <c r="B607" s="986"/>
      <c r="C607" s="986"/>
      <c r="D607" s="986"/>
      <c r="E607" s="986"/>
      <c r="F607" s="986"/>
      <c r="G607" s="986"/>
      <c r="H607" s="986"/>
      <c r="I607" s="986"/>
      <c r="J607" s="986"/>
      <c r="K607" s="986"/>
      <c r="L607" s="986"/>
      <c r="M607" s="986"/>
      <c r="N607" s="986"/>
      <c r="O607" s="986"/>
      <c r="P607" s="986"/>
      <c r="Q607" s="986"/>
      <c r="R607" s="986"/>
      <c r="S607" s="986"/>
      <c r="T607" s="986"/>
      <c r="U607" s="986"/>
      <c r="V607" s="986"/>
      <c r="W607" s="986"/>
      <c r="X607" s="986"/>
      <c r="Y607" s="986"/>
      <c r="Z607" s="986"/>
      <c r="AA607" s="986"/>
      <c r="AB607" s="986"/>
      <c r="AC607" s="986"/>
      <c r="AD607" s="986"/>
      <c r="AE607" s="986"/>
      <c r="BE607" s="986"/>
      <c r="BF607" s="986"/>
      <c r="BG607" s="986"/>
      <c r="BH607" s="986"/>
      <c r="BI607" s="1009"/>
      <c r="CB607" s="1535"/>
      <c r="CE607" s="1009"/>
      <c r="CF607" s="1009"/>
    </row>
    <row r="608" spans="2:84">
      <c r="B608" s="986"/>
      <c r="C608" s="986"/>
      <c r="D608" s="986"/>
      <c r="E608" s="986"/>
      <c r="F608" s="986"/>
      <c r="G608" s="986"/>
      <c r="H608" s="986"/>
      <c r="I608" s="986"/>
      <c r="J608" s="986"/>
      <c r="K608" s="986"/>
      <c r="L608" s="986"/>
      <c r="M608" s="986"/>
      <c r="N608" s="986"/>
      <c r="O608" s="986"/>
      <c r="P608" s="986"/>
      <c r="Q608" s="986"/>
      <c r="R608" s="986"/>
      <c r="S608" s="986"/>
      <c r="T608" s="986"/>
      <c r="U608" s="986"/>
      <c r="V608" s="986"/>
      <c r="W608" s="986"/>
      <c r="X608" s="986"/>
      <c r="Y608" s="986"/>
      <c r="Z608" s="986"/>
      <c r="AA608" s="986"/>
      <c r="AB608" s="986"/>
      <c r="AC608" s="986"/>
      <c r="AD608" s="986"/>
      <c r="AE608" s="986"/>
      <c r="BE608" s="986"/>
      <c r="BF608" s="986"/>
      <c r="BG608" s="986"/>
      <c r="BH608" s="986"/>
      <c r="BI608" s="1009"/>
      <c r="CB608" s="1535"/>
      <c r="CE608" s="1009"/>
      <c r="CF608" s="1009"/>
    </row>
    <row r="609" spans="2:84">
      <c r="B609" s="986"/>
      <c r="C609" s="986"/>
      <c r="D609" s="986"/>
      <c r="E609" s="986"/>
      <c r="F609" s="986"/>
      <c r="G609" s="986"/>
      <c r="H609" s="986"/>
      <c r="I609" s="986"/>
      <c r="J609" s="986"/>
      <c r="K609" s="986"/>
      <c r="L609" s="986"/>
      <c r="M609" s="986"/>
      <c r="N609" s="986"/>
      <c r="O609" s="986"/>
      <c r="P609" s="986"/>
      <c r="Q609" s="986"/>
      <c r="R609" s="986"/>
      <c r="S609" s="986"/>
      <c r="T609" s="986"/>
      <c r="U609" s="986"/>
      <c r="V609" s="986"/>
      <c r="W609" s="986"/>
      <c r="X609" s="986"/>
      <c r="Y609" s="986"/>
      <c r="Z609" s="986"/>
      <c r="AA609" s="986"/>
      <c r="AB609" s="986"/>
      <c r="AC609" s="986"/>
      <c r="AD609" s="986"/>
      <c r="AE609" s="986"/>
      <c r="BE609" s="986"/>
      <c r="BF609" s="986"/>
      <c r="BG609" s="986"/>
      <c r="BH609" s="986"/>
      <c r="BI609" s="1009"/>
      <c r="CB609" s="1535"/>
      <c r="CE609" s="1009"/>
      <c r="CF609" s="1009"/>
    </row>
    <row r="610" spans="2:84">
      <c r="B610" s="986"/>
      <c r="C610" s="986"/>
      <c r="D610" s="986"/>
      <c r="E610" s="986"/>
      <c r="F610" s="986"/>
      <c r="G610" s="986"/>
      <c r="H610" s="986"/>
      <c r="I610" s="986"/>
      <c r="J610" s="986"/>
      <c r="K610" s="986"/>
      <c r="L610" s="986"/>
      <c r="M610" s="986"/>
      <c r="N610" s="986"/>
      <c r="O610" s="986"/>
      <c r="P610" s="986"/>
      <c r="Q610" s="986"/>
      <c r="R610" s="986"/>
      <c r="S610" s="986"/>
      <c r="T610" s="986"/>
      <c r="U610" s="986"/>
      <c r="V610" s="986"/>
      <c r="W610" s="986"/>
      <c r="X610" s="986"/>
      <c r="Y610" s="986"/>
      <c r="Z610" s="986"/>
      <c r="AA610" s="986"/>
      <c r="AB610" s="986"/>
      <c r="AC610" s="986"/>
      <c r="AD610" s="986"/>
      <c r="AE610" s="986"/>
      <c r="BE610" s="986"/>
      <c r="BF610" s="986"/>
      <c r="BG610" s="986"/>
      <c r="BH610" s="986"/>
      <c r="BI610" s="1009"/>
      <c r="CB610" s="1535"/>
      <c r="CE610" s="1009"/>
      <c r="CF610" s="1009"/>
    </row>
    <row r="611" spans="2:84">
      <c r="B611" s="986"/>
      <c r="C611" s="986"/>
      <c r="D611" s="986"/>
      <c r="E611" s="986"/>
      <c r="F611" s="986"/>
      <c r="G611" s="986"/>
      <c r="H611" s="986"/>
      <c r="I611" s="986"/>
      <c r="J611" s="986"/>
      <c r="K611" s="986"/>
      <c r="L611" s="986"/>
      <c r="M611" s="986"/>
      <c r="N611" s="986"/>
      <c r="O611" s="986"/>
      <c r="P611" s="986"/>
      <c r="Q611" s="986"/>
      <c r="R611" s="986"/>
      <c r="S611" s="986"/>
      <c r="T611" s="986"/>
      <c r="U611" s="986"/>
      <c r="V611" s="986"/>
      <c r="W611" s="986"/>
      <c r="X611" s="986"/>
      <c r="Y611" s="986"/>
      <c r="Z611" s="986"/>
      <c r="AA611" s="986"/>
      <c r="AB611" s="986"/>
      <c r="AC611" s="986"/>
      <c r="AD611" s="986"/>
      <c r="AE611" s="986"/>
      <c r="BE611" s="986"/>
      <c r="BF611" s="986"/>
      <c r="BG611" s="986"/>
      <c r="BH611" s="986"/>
      <c r="BI611" s="1009"/>
      <c r="CB611" s="1535"/>
      <c r="CE611" s="1009"/>
      <c r="CF611" s="1009"/>
    </row>
    <row r="612" spans="2:84">
      <c r="B612" s="986"/>
      <c r="C612" s="986"/>
      <c r="D612" s="986"/>
      <c r="E612" s="986"/>
      <c r="F612" s="986"/>
      <c r="G612" s="986"/>
      <c r="H612" s="986"/>
      <c r="I612" s="986"/>
      <c r="J612" s="986"/>
      <c r="K612" s="986"/>
      <c r="L612" s="986"/>
      <c r="M612" s="986"/>
      <c r="N612" s="986"/>
      <c r="O612" s="986"/>
      <c r="P612" s="986"/>
      <c r="Q612" s="986"/>
      <c r="R612" s="986"/>
      <c r="S612" s="986"/>
      <c r="T612" s="986"/>
      <c r="U612" s="986"/>
      <c r="V612" s="986"/>
      <c r="W612" s="986"/>
      <c r="X612" s="986"/>
      <c r="Y612" s="986"/>
      <c r="Z612" s="986"/>
      <c r="AA612" s="986"/>
      <c r="AB612" s="986"/>
      <c r="AC612" s="986"/>
      <c r="AD612" s="986"/>
      <c r="AE612" s="986"/>
      <c r="BE612" s="986"/>
      <c r="BF612" s="986"/>
      <c r="BG612" s="986"/>
      <c r="BH612" s="986"/>
      <c r="BI612" s="1009"/>
      <c r="CB612" s="1535"/>
      <c r="CE612" s="1009"/>
      <c r="CF612" s="1009"/>
    </row>
    <row r="613" spans="2:84">
      <c r="B613" s="986"/>
      <c r="C613" s="986"/>
      <c r="D613" s="986"/>
      <c r="E613" s="986"/>
      <c r="F613" s="986"/>
      <c r="G613" s="986"/>
      <c r="H613" s="986"/>
      <c r="I613" s="986"/>
      <c r="J613" s="986"/>
      <c r="K613" s="986"/>
      <c r="L613" s="986"/>
      <c r="M613" s="986"/>
      <c r="N613" s="986"/>
      <c r="O613" s="986"/>
      <c r="P613" s="986"/>
      <c r="Q613" s="986"/>
      <c r="R613" s="986"/>
      <c r="S613" s="986"/>
      <c r="T613" s="986"/>
      <c r="U613" s="986"/>
      <c r="V613" s="986"/>
      <c r="W613" s="986"/>
      <c r="X613" s="986"/>
      <c r="Y613" s="986"/>
      <c r="Z613" s="986"/>
      <c r="AA613" s="986"/>
      <c r="AB613" s="986"/>
      <c r="AC613" s="986"/>
      <c r="AD613" s="986"/>
      <c r="AE613" s="986"/>
      <c r="BE613" s="986"/>
      <c r="BF613" s="986"/>
      <c r="BG613" s="986"/>
      <c r="BH613" s="986"/>
      <c r="BI613" s="1009"/>
      <c r="CB613" s="1535"/>
      <c r="CE613" s="1009"/>
      <c r="CF613" s="1009"/>
    </row>
    <row r="614" spans="2:84">
      <c r="B614" s="986"/>
      <c r="C614" s="986"/>
      <c r="D614" s="986"/>
      <c r="E614" s="986"/>
      <c r="F614" s="986"/>
      <c r="G614" s="986"/>
      <c r="H614" s="986"/>
      <c r="I614" s="986"/>
      <c r="J614" s="986"/>
      <c r="K614" s="986"/>
      <c r="L614" s="986"/>
      <c r="M614" s="986"/>
      <c r="N614" s="986"/>
      <c r="O614" s="986"/>
      <c r="P614" s="986"/>
      <c r="Q614" s="986"/>
      <c r="R614" s="986"/>
      <c r="S614" s="986"/>
      <c r="T614" s="986"/>
      <c r="U614" s="986"/>
      <c r="V614" s="986"/>
      <c r="W614" s="986"/>
      <c r="X614" s="986"/>
      <c r="Y614" s="986"/>
      <c r="Z614" s="986"/>
      <c r="AA614" s="986"/>
      <c r="AB614" s="986"/>
      <c r="AC614" s="986"/>
      <c r="AD614" s="986"/>
      <c r="AE614" s="986"/>
      <c r="BE614" s="986"/>
      <c r="BF614" s="986"/>
      <c r="BG614" s="986"/>
      <c r="BH614" s="986"/>
      <c r="BI614" s="1009"/>
      <c r="CB614" s="1535"/>
      <c r="CE614" s="1009"/>
      <c r="CF614" s="1009"/>
    </row>
    <row r="615" spans="2:84">
      <c r="B615" s="986"/>
      <c r="C615" s="986"/>
      <c r="D615" s="986"/>
      <c r="E615" s="986"/>
      <c r="F615" s="986"/>
      <c r="G615" s="986"/>
      <c r="H615" s="986"/>
      <c r="I615" s="986"/>
      <c r="J615" s="986"/>
      <c r="K615" s="986"/>
      <c r="L615" s="986"/>
      <c r="M615" s="986"/>
      <c r="N615" s="986"/>
      <c r="O615" s="986"/>
      <c r="P615" s="986"/>
      <c r="Q615" s="986"/>
      <c r="R615" s="986"/>
      <c r="S615" s="986"/>
      <c r="T615" s="986"/>
      <c r="U615" s="986"/>
      <c r="V615" s="986"/>
      <c r="W615" s="986"/>
      <c r="X615" s="986"/>
      <c r="Y615" s="986"/>
      <c r="Z615" s="986"/>
      <c r="AA615" s="986"/>
      <c r="AB615" s="986"/>
      <c r="AC615" s="986"/>
      <c r="AD615" s="986"/>
      <c r="AE615" s="986"/>
      <c r="BE615" s="986"/>
      <c r="BF615" s="986"/>
      <c r="BG615" s="986"/>
      <c r="BH615" s="986"/>
      <c r="BI615" s="1009"/>
      <c r="CB615" s="1535"/>
      <c r="CE615" s="1009"/>
      <c r="CF615" s="1009"/>
    </row>
    <row r="616" spans="2:84">
      <c r="B616" s="986"/>
      <c r="C616" s="986"/>
      <c r="D616" s="986"/>
      <c r="E616" s="986"/>
      <c r="F616" s="986"/>
      <c r="G616" s="986"/>
      <c r="H616" s="986"/>
      <c r="I616" s="986"/>
      <c r="J616" s="986"/>
      <c r="K616" s="986"/>
      <c r="L616" s="986"/>
      <c r="M616" s="986"/>
      <c r="N616" s="986"/>
      <c r="O616" s="986"/>
      <c r="P616" s="986"/>
      <c r="Q616" s="986"/>
      <c r="R616" s="986"/>
      <c r="S616" s="986"/>
      <c r="T616" s="986"/>
      <c r="U616" s="986"/>
      <c r="V616" s="986"/>
      <c r="W616" s="986"/>
      <c r="X616" s="986"/>
      <c r="Y616" s="986"/>
      <c r="Z616" s="986"/>
      <c r="AA616" s="986"/>
      <c r="AB616" s="986"/>
      <c r="AC616" s="986"/>
      <c r="AD616" s="986"/>
      <c r="AE616" s="986"/>
      <c r="BE616" s="986"/>
      <c r="BF616" s="986"/>
      <c r="BG616" s="986"/>
      <c r="BH616" s="986"/>
      <c r="BI616" s="1009"/>
      <c r="CB616" s="1535"/>
      <c r="CE616" s="1009"/>
      <c r="CF616" s="1009"/>
    </row>
    <row r="617" spans="2:84">
      <c r="B617" s="986"/>
      <c r="C617" s="986"/>
      <c r="D617" s="986"/>
      <c r="E617" s="986"/>
      <c r="F617" s="986"/>
      <c r="G617" s="986"/>
      <c r="H617" s="986"/>
      <c r="I617" s="986"/>
      <c r="J617" s="986"/>
      <c r="K617" s="986"/>
      <c r="L617" s="986"/>
      <c r="M617" s="986"/>
      <c r="N617" s="986"/>
      <c r="O617" s="986"/>
      <c r="P617" s="986"/>
      <c r="Q617" s="986"/>
      <c r="R617" s="986"/>
      <c r="S617" s="986"/>
      <c r="T617" s="986"/>
      <c r="U617" s="986"/>
      <c r="V617" s="986"/>
      <c r="W617" s="986"/>
      <c r="X617" s="986"/>
      <c r="Y617" s="986"/>
      <c r="Z617" s="986"/>
      <c r="AA617" s="986"/>
      <c r="AB617" s="986"/>
      <c r="AC617" s="986"/>
      <c r="AD617" s="986"/>
      <c r="AE617" s="986"/>
      <c r="BE617" s="986"/>
      <c r="BF617" s="986"/>
      <c r="BG617" s="986"/>
      <c r="BH617" s="986"/>
      <c r="BI617" s="1009"/>
      <c r="CB617" s="1535"/>
      <c r="CE617" s="1009"/>
      <c r="CF617" s="1009"/>
    </row>
    <row r="618" spans="2:84">
      <c r="B618" s="986"/>
      <c r="C618" s="986"/>
      <c r="D618" s="986"/>
      <c r="E618" s="986"/>
      <c r="F618" s="986"/>
      <c r="G618" s="986"/>
      <c r="H618" s="986"/>
      <c r="I618" s="986"/>
      <c r="J618" s="986"/>
      <c r="K618" s="986"/>
      <c r="L618" s="986"/>
      <c r="M618" s="986"/>
      <c r="N618" s="986"/>
      <c r="O618" s="986"/>
      <c r="P618" s="986"/>
      <c r="Q618" s="986"/>
      <c r="R618" s="986"/>
      <c r="S618" s="986"/>
      <c r="T618" s="986"/>
      <c r="U618" s="986"/>
      <c r="V618" s="986"/>
      <c r="W618" s="986"/>
      <c r="X618" s="986"/>
      <c r="Y618" s="986"/>
      <c r="Z618" s="986"/>
      <c r="AA618" s="986"/>
      <c r="AB618" s="986"/>
      <c r="AC618" s="986"/>
      <c r="AD618" s="986"/>
      <c r="AE618" s="986"/>
      <c r="BE618" s="986"/>
      <c r="BF618" s="986"/>
      <c r="BG618" s="986"/>
      <c r="BH618" s="986"/>
      <c r="BI618" s="1009"/>
      <c r="CB618" s="1535"/>
      <c r="CE618" s="1009"/>
      <c r="CF618" s="1009"/>
    </row>
    <row r="619" spans="2:84">
      <c r="B619" s="986"/>
      <c r="C619" s="986"/>
      <c r="D619" s="986"/>
      <c r="E619" s="986"/>
      <c r="F619" s="986"/>
      <c r="G619" s="986"/>
      <c r="H619" s="986"/>
      <c r="I619" s="986"/>
      <c r="J619" s="986"/>
      <c r="K619" s="986"/>
      <c r="L619" s="986"/>
      <c r="M619" s="986"/>
      <c r="N619" s="986"/>
      <c r="O619" s="986"/>
      <c r="P619" s="986"/>
      <c r="Q619" s="986"/>
      <c r="R619" s="986"/>
      <c r="S619" s="986"/>
      <c r="T619" s="986"/>
      <c r="U619" s="986"/>
      <c r="V619" s="986"/>
      <c r="W619" s="986"/>
      <c r="X619" s="986"/>
      <c r="Y619" s="986"/>
      <c r="Z619" s="986"/>
      <c r="AA619" s="986"/>
      <c r="AB619" s="986"/>
      <c r="AC619" s="986"/>
      <c r="AD619" s="986"/>
      <c r="AE619" s="986"/>
      <c r="BE619" s="986"/>
      <c r="BF619" s="986"/>
      <c r="BG619" s="986"/>
      <c r="BH619" s="986"/>
      <c r="BI619" s="1009"/>
      <c r="CB619" s="1535"/>
      <c r="CE619" s="1009"/>
      <c r="CF619" s="1009"/>
    </row>
    <row r="620" spans="2:84">
      <c r="B620" s="986"/>
      <c r="C620" s="986"/>
      <c r="D620" s="986"/>
      <c r="E620" s="986"/>
      <c r="F620" s="986"/>
      <c r="G620" s="986"/>
      <c r="H620" s="986"/>
      <c r="I620" s="986"/>
      <c r="J620" s="986"/>
      <c r="K620" s="986"/>
      <c r="L620" s="986"/>
      <c r="M620" s="986"/>
      <c r="N620" s="986"/>
      <c r="O620" s="986"/>
      <c r="P620" s="986"/>
      <c r="Q620" s="986"/>
      <c r="R620" s="986"/>
      <c r="S620" s="986"/>
      <c r="T620" s="986"/>
      <c r="U620" s="986"/>
      <c r="V620" s="986"/>
      <c r="W620" s="986"/>
      <c r="X620" s="986"/>
      <c r="Y620" s="986"/>
      <c r="Z620" s="986"/>
      <c r="AA620" s="986"/>
      <c r="AB620" s="986"/>
      <c r="AC620" s="986"/>
      <c r="AD620" s="986"/>
      <c r="AE620" s="986"/>
      <c r="BE620" s="986"/>
      <c r="BF620" s="986"/>
      <c r="BG620" s="986"/>
      <c r="BH620" s="986"/>
      <c r="BI620" s="1009"/>
      <c r="CB620" s="1535"/>
      <c r="CE620" s="1009"/>
      <c r="CF620" s="1009"/>
    </row>
    <row r="621" spans="2:84">
      <c r="B621" s="986"/>
      <c r="C621" s="986"/>
      <c r="D621" s="986"/>
      <c r="E621" s="986"/>
      <c r="F621" s="986"/>
      <c r="G621" s="986"/>
      <c r="H621" s="986"/>
      <c r="I621" s="986"/>
      <c r="J621" s="986"/>
      <c r="K621" s="986"/>
      <c r="L621" s="986"/>
      <c r="M621" s="986"/>
      <c r="N621" s="986"/>
      <c r="O621" s="986"/>
      <c r="P621" s="986"/>
      <c r="Q621" s="986"/>
      <c r="R621" s="986"/>
      <c r="S621" s="986"/>
      <c r="T621" s="986"/>
      <c r="U621" s="986"/>
      <c r="V621" s="986"/>
      <c r="W621" s="986"/>
      <c r="X621" s="986"/>
      <c r="Y621" s="986"/>
      <c r="Z621" s="986"/>
      <c r="AA621" s="986"/>
      <c r="AB621" s="986"/>
      <c r="AC621" s="986"/>
      <c r="AD621" s="986"/>
      <c r="AE621" s="986"/>
      <c r="BE621" s="986"/>
      <c r="BF621" s="986"/>
      <c r="BG621" s="986"/>
      <c r="BH621" s="986"/>
      <c r="BI621" s="1009"/>
      <c r="CB621" s="1535"/>
      <c r="CE621" s="1009"/>
      <c r="CF621" s="1009"/>
    </row>
    <row r="622" spans="2:84">
      <c r="B622" s="986"/>
      <c r="C622" s="986"/>
      <c r="D622" s="986"/>
      <c r="E622" s="986"/>
      <c r="F622" s="986"/>
      <c r="G622" s="986"/>
      <c r="H622" s="986"/>
      <c r="I622" s="986"/>
      <c r="J622" s="986"/>
      <c r="K622" s="986"/>
      <c r="L622" s="986"/>
      <c r="M622" s="986"/>
      <c r="N622" s="986"/>
      <c r="O622" s="986"/>
      <c r="P622" s="986"/>
      <c r="Q622" s="986"/>
      <c r="R622" s="986"/>
      <c r="S622" s="986"/>
      <c r="T622" s="986"/>
      <c r="U622" s="986"/>
      <c r="V622" s="986"/>
      <c r="W622" s="986"/>
      <c r="X622" s="986"/>
      <c r="Y622" s="986"/>
      <c r="Z622" s="986"/>
      <c r="AA622" s="986"/>
      <c r="AB622" s="986"/>
      <c r="AC622" s="986"/>
      <c r="AD622" s="986"/>
      <c r="AE622" s="986"/>
      <c r="BE622" s="986"/>
      <c r="BF622" s="986"/>
      <c r="BG622" s="986"/>
      <c r="BH622" s="986"/>
      <c r="BI622" s="1009"/>
      <c r="CB622" s="1535"/>
      <c r="CE622" s="1009"/>
      <c r="CF622" s="1009"/>
    </row>
    <row r="623" spans="2:84">
      <c r="B623" s="986"/>
      <c r="C623" s="986"/>
      <c r="D623" s="986"/>
      <c r="E623" s="986"/>
      <c r="F623" s="986"/>
      <c r="G623" s="986"/>
      <c r="H623" s="986"/>
      <c r="I623" s="986"/>
      <c r="J623" s="986"/>
      <c r="K623" s="986"/>
      <c r="L623" s="986"/>
      <c r="M623" s="986"/>
      <c r="N623" s="986"/>
      <c r="O623" s="986"/>
      <c r="P623" s="986"/>
      <c r="Q623" s="986"/>
      <c r="R623" s="986"/>
      <c r="S623" s="986"/>
      <c r="T623" s="986"/>
      <c r="U623" s="986"/>
      <c r="V623" s="986"/>
      <c r="W623" s="986"/>
      <c r="X623" s="986"/>
      <c r="Y623" s="986"/>
      <c r="Z623" s="986"/>
      <c r="AA623" s="986"/>
      <c r="AB623" s="986"/>
      <c r="AC623" s="986"/>
      <c r="AD623" s="986"/>
      <c r="AE623" s="986"/>
      <c r="BE623" s="986"/>
      <c r="BF623" s="986"/>
      <c r="BG623" s="986"/>
      <c r="BH623" s="986"/>
      <c r="BI623" s="1009"/>
      <c r="CB623" s="1535"/>
      <c r="CE623" s="1009"/>
      <c r="CF623" s="1009"/>
    </row>
    <row r="624" spans="2:84">
      <c r="B624" s="986"/>
      <c r="C624" s="986"/>
      <c r="D624" s="986"/>
      <c r="E624" s="986"/>
      <c r="F624" s="986"/>
      <c r="G624" s="986"/>
      <c r="H624" s="986"/>
      <c r="I624" s="986"/>
      <c r="J624" s="986"/>
      <c r="K624" s="986"/>
      <c r="L624" s="986"/>
      <c r="M624" s="986"/>
      <c r="N624" s="986"/>
      <c r="O624" s="986"/>
      <c r="P624" s="986"/>
      <c r="Q624" s="986"/>
      <c r="R624" s="986"/>
      <c r="S624" s="986"/>
      <c r="T624" s="986"/>
      <c r="U624" s="986"/>
      <c r="V624" s="986"/>
      <c r="W624" s="986"/>
      <c r="X624" s="986"/>
      <c r="Y624" s="986"/>
      <c r="Z624" s="986"/>
      <c r="AA624" s="986"/>
      <c r="AB624" s="986"/>
      <c r="AC624" s="986"/>
      <c r="AD624" s="986"/>
      <c r="AE624" s="986"/>
      <c r="BE624" s="986"/>
      <c r="BF624" s="986"/>
      <c r="BG624" s="986"/>
      <c r="BH624" s="986"/>
      <c r="BI624" s="1009"/>
      <c r="CB624" s="1535"/>
      <c r="CE624" s="1009"/>
      <c r="CF624" s="1009"/>
    </row>
    <row r="625" spans="2:84">
      <c r="B625" s="986"/>
      <c r="C625" s="986"/>
      <c r="D625" s="986"/>
      <c r="E625" s="986"/>
      <c r="F625" s="986"/>
      <c r="G625" s="986"/>
      <c r="H625" s="986"/>
      <c r="I625" s="986"/>
      <c r="J625" s="986"/>
      <c r="K625" s="986"/>
      <c r="L625" s="986"/>
      <c r="M625" s="986"/>
      <c r="N625" s="986"/>
      <c r="O625" s="986"/>
      <c r="P625" s="986"/>
      <c r="Q625" s="986"/>
      <c r="R625" s="986"/>
      <c r="S625" s="986"/>
      <c r="T625" s="986"/>
      <c r="U625" s="986"/>
      <c r="V625" s="986"/>
      <c r="W625" s="986"/>
      <c r="X625" s="986"/>
      <c r="Y625" s="986"/>
      <c r="Z625" s="986"/>
      <c r="AA625" s="986"/>
      <c r="AB625" s="986"/>
      <c r="AC625" s="986"/>
      <c r="AD625" s="986"/>
      <c r="AE625" s="986"/>
      <c r="BE625" s="986"/>
      <c r="BF625" s="986"/>
      <c r="BG625" s="986"/>
      <c r="BH625" s="986"/>
      <c r="BI625" s="1009"/>
      <c r="CB625" s="1535"/>
      <c r="CE625" s="1009"/>
      <c r="CF625" s="1009"/>
    </row>
    <row r="626" spans="2:84">
      <c r="B626" s="986"/>
      <c r="C626" s="986"/>
      <c r="D626" s="986"/>
      <c r="E626" s="986"/>
      <c r="F626" s="986"/>
      <c r="G626" s="986"/>
      <c r="H626" s="986"/>
      <c r="I626" s="986"/>
      <c r="J626" s="986"/>
      <c r="K626" s="986"/>
      <c r="L626" s="986"/>
      <c r="M626" s="986"/>
      <c r="N626" s="986"/>
      <c r="O626" s="986"/>
      <c r="P626" s="986"/>
      <c r="Q626" s="986"/>
      <c r="R626" s="986"/>
      <c r="S626" s="986"/>
      <c r="T626" s="986"/>
      <c r="U626" s="986"/>
      <c r="V626" s="986"/>
      <c r="W626" s="986"/>
      <c r="X626" s="986"/>
      <c r="Y626" s="986"/>
      <c r="Z626" s="986"/>
      <c r="AA626" s="986"/>
      <c r="AB626" s="986"/>
      <c r="AC626" s="986"/>
      <c r="AD626" s="986"/>
      <c r="AE626" s="986"/>
      <c r="BE626" s="986"/>
      <c r="BF626" s="986"/>
      <c r="BG626" s="986"/>
      <c r="BH626" s="986"/>
      <c r="BI626" s="1009"/>
      <c r="CB626" s="1535"/>
      <c r="CE626" s="1009"/>
      <c r="CF626" s="1009"/>
    </row>
    <row r="627" spans="2:84">
      <c r="B627" s="986"/>
      <c r="C627" s="986"/>
      <c r="D627" s="986"/>
      <c r="E627" s="986"/>
      <c r="F627" s="986"/>
      <c r="G627" s="986"/>
      <c r="H627" s="986"/>
      <c r="I627" s="986"/>
      <c r="J627" s="986"/>
      <c r="K627" s="986"/>
      <c r="L627" s="986"/>
      <c r="M627" s="986"/>
      <c r="N627" s="986"/>
      <c r="O627" s="986"/>
      <c r="P627" s="986"/>
      <c r="Q627" s="986"/>
      <c r="R627" s="986"/>
      <c r="S627" s="986"/>
      <c r="T627" s="986"/>
      <c r="U627" s="986"/>
      <c r="V627" s="986"/>
      <c r="W627" s="986"/>
      <c r="X627" s="986"/>
      <c r="Y627" s="986"/>
      <c r="Z627" s="986"/>
      <c r="AA627" s="986"/>
      <c r="AB627" s="986"/>
      <c r="AC627" s="986"/>
      <c r="AD627" s="986"/>
      <c r="AE627" s="986"/>
      <c r="BE627" s="986"/>
      <c r="BF627" s="986"/>
      <c r="BG627" s="986"/>
      <c r="BI627" s="1009"/>
      <c r="CB627" s="1535"/>
      <c r="CE627" s="1009"/>
      <c r="CF627" s="1009"/>
    </row>
    <row r="628" spans="2:84">
      <c r="B628" s="986"/>
      <c r="C628" s="986"/>
      <c r="D628" s="986"/>
      <c r="E628" s="986"/>
      <c r="F628" s="986"/>
      <c r="G628" s="986"/>
      <c r="H628" s="986"/>
      <c r="I628" s="986"/>
      <c r="J628" s="986"/>
      <c r="K628" s="986"/>
      <c r="L628" s="986"/>
      <c r="M628" s="986"/>
      <c r="N628" s="986"/>
      <c r="O628" s="986"/>
      <c r="P628" s="986"/>
      <c r="Q628" s="986"/>
      <c r="R628" s="986"/>
      <c r="S628" s="986"/>
      <c r="T628" s="986"/>
      <c r="U628" s="986"/>
      <c r="V628" s="986"/>
      <c r="W628" s="986"/>
      <c r="X628" s="986"/>
      <c r="Y628" s="986"/>
      <c r="Z628" s="986"/>
      <c r="AA628" s="986"/>
      <c r="AB628" s="986"/>
      <c r="AC628" s="986"/>
      <c r="AD628" s="986"/>
      <c r="AE628" s="986"/>
      <c r="BE628" s="986"/>
      <c r="BF628" s="986"/>
      <c r="BG628" s="986"/>
      <c r="BH628" s="986"/>
      <c r="BI628" s="1009"/>
      <c r="CB628" s="986"/>
      <c r="CC628" s="986"/>
      <c r="CD628" s="986"/>
      <c r="CE628" s="986"/>
      <c r="CF628" s="1009"/>
    </row>
    <row r="629" spans="2:84">
      <c r="B629" s="986"/>
      <c r="C629" s="986"/>
      <c r="D629" s="986"/>
      <c r="E629" s="986"/>
      <c r="F629" s="986"/>
      <c r="G629" s="986"/>
      <c r="H629" s="986"/>
      <c r="I629" s="986"/>
      <c r="J629" s="986"/>
      <c r="K629" s="986"/>
      <c r="L629" s="986"/>
      <c r="M629" s="986"/>
      <c r="N629" s="986"/>
      <c r="O629" s="986"/>
      <c r="P629" s="986"/>
      <c r="Q629" s="986"/>
      <c r="R629" s="986"/>
      <c r="S629" s="986"/>
      <c r="T629" s="986"/>
      <c r="U629" s="986"/>
      <c r="V629" s="986"/>
      <c r="W629" s="986"/>
      <c r="X629" s="986"/>
      <c r="Y629" s="986"/>
      <c r="Z629" s="986"/>
      <c r="AA629" s="986"/>
      <c r="AB629" s="986"/>
      <c r="AC629" s="986"/>
      <c r="AD629" s="986"/>
      <c r="AE629" s="986"/>
      <c r="BE629" s="986"/>
      <c r="BF629" s="986"/>
      <c r="BG629" s="986"/>
      <c r="BH629" s="986"/>
      <c r="BI629" s="1009"/>
      <c r="CB629" s="986"/>
      <c r="CC629" s="986"/>
      <c r="CD629" s="986"/>
      <c r="CE629" s="986"/>
      <c r="CF629" s="1009"/>
    </row>
    <row r="630" spans="2:84">
      <c r="B630" s="986"/>
      <c r="C630" s="986"/>
      <c r="D630" s="986"/>
      <c r="E630" s="986"/>
      <c r="F630" s="986"/>
      <c r="G630" s="986"/>
      <c r="H630" s="986"/>
      <c r="I630" s="986"/>
      <c r="J630" s="986"/>
      <c r="K630" s="986"/>
      <c r="L630" s="986"/>
      <c r="M630" s="986"/>
      <c r="N630" s="986"/>
      <c r="O630" s="986"/>
      <c r="P630" s="986"/>
      <c r="Q630" s="986"/>
      <c r="R630" s="986"/>
      <c r="S630" s="986"/>
      <c r="T630" s="986"/>
      <c r="U630" s="986"/>
      <c r="V630" s="986"/>
      <c r="W630" s="986"/>
      <c r="X630" s="986"/>
      <c r="Y630" s="986"/>
      <c r="Z630" s="986"/>
      <c r="AA630" s="986"/>
      <c r="AB630" s="986"/>
      <c r="AC630" s="986"/>
      <c r="AD630" s="986"/>
      <c r="AE630" s="986"/>
      <c r="BE630" s="986"/>
      <c r="BF630" s="986"/>
      <c r="BG630" s="986"/>
      <c r="BH630" s="986"/>
      <c r="BI630" s="1009"/>
      <c r="CB630" s="986"/>
      <c r="CC630" s="986"/>
      <c r="CD630" s="986"/>
      <c r="CE630" s="986"/>
      <c r="CF630" s="1009"/>
    </row>
    <row r="631" spans="2:84">
      <c r="B631" s="986"/>
      <c r="C631" s="986"/>
      <c r="D631" s="986"/>
      <c r="E631" s="986"/>
      <c r="F631" s="986"/>
      <c r="G631" s="986"/>
      <c r="H631" s="986"/>
      <c r="I631" s="986"/>
      <c r="J631" s="986"/>
      <c r="K631" s="986"/>
      <c r="L631" s="986"/>
      <c r="M631" s="986"/>
      <c r="N631" s="986"/>
      <c r="O631" s="986"/>
      <c r="P631" s="986"/>
      <c r="Q631" s="986"/>
      <c r="R631" s="986"/>
      <c r="S631" s="986"/>
      <c r="T631" s="986"/>
      <c r="U631" s="986"/>
      <c r="V631" s="986"/>
      <c r="W631" s="986"/>
      <c r="X631" s="986"/>
      <c r="Y631" s="986"/>
      <c r="Z631" s="986"/>
      <c r="AA631" s="986"/>
      <c r="AB631" s="986"/>
      <c r="AC631" s="986"/>
      <c r="AD631" s="986"/>
      <c r="AE631" s="986"/>
      <c r="BE631" s="986"/>
      <c r="BF631" s="986"/>
      <c r="BG631" s="986"/>
      <c r="BH631" s="986"/>
      <c r="BI631" s="1009"/>
      <c r="CB631" s="986"/>
      <c r="CC631" s="986"/>
      <c r="CD631" s="986"/>
      <c r="CE631" s="986"/>
      <c r="CF631" s="1009"/>
    </row>
    <row r="632" spans="2:84">
      <c r="B632" s="986"/>
      <c r="C632" s="986"/>
      <c r="D632" s="986"/>
      <c r="E632" s="986"/>
      <c r="F632" s="986"/>
      <c r="G632" s="986"/>
      <c r="H632" s="986"/>
      <c r="I632" s="986"/>
      <c r="J632" s="986"/>
      <c r="K632" s="986"/>
      <c r="L632" s="986"/>
      <c r="M632" s="986"/>
      <c r="N632" s="986"/>
      <c r="O632" s="986"/>
      <c r="P632" s="986"/>
      <c r="Q632" s="986"/>
      <c r="R632" s="986"/>
      <c r="S632" s="986"/>
      <c r="T632" s="986"/>
      <c r="U632" s="986"/>
      <c r="V632" s="986"/>
      <c r="W632" s="986"/>
      <c r="X632" s="986"/>
      <c r="Y632" s="986"/>
      <c r="Z632" s="986"/>
      <c r="AA632" s="986"/>
      <c r="AB632" s="986"/>
      <c r="AC632" s="986"/>
      <c r="AD632" s="986"/>
      <c r="AE632" s="986"/>
      <c r="BE632" s="986"/>
      <c r="BF632" s="986"/>
      <c r="BG632" s="986"/>
      <c r="BH632" s="986"/>
      <c r="BI632" s="1009"/>
      <c r="CB632" s="986"/>
      <c r="CC632" s="986"/>
      <c r="CD632" s="986"/>
      <c r="CE632" s="986"/>
      <c r="CF632" s="1009"/>
    </row>
    <row r="633" spans="2:84">
      <c r="B633" s="986"/>
      <c r="C633" s="986"/>
      <c r="D633" s="986"/>
      <c r="E633" s="986"/>
      <c r="F633" s="986"/>
      <c r="G633" s="986"/>
      <c r="H633" s="986"/>
      <c r="I633" s="986"/>
      <c r="J633" s="986"/>
      <c r="K633" s="986"/>
      <c r="L633" s="986"/>
      <c r="M633" s="986"/>
      <c r="N633" s="986"/>
      <c r="O633" s="986"/>
      <c r="P633" s="986"/>
      <c r="Q633" s="986"/>
      <c r="R633" s="986"/>
      <c r="S633" s="986"/>
      <c r="T633" s="986"/>
      <c r="U633" s="986"/>
      <c r="V633" s="986"/>
      <c r="W633" s="986"/>
      <c r="X633" s="986"/>
      <c r="Y633" s="986"/>
      <c r="Z633" s="986"/>
      <c r="AA633" s="986"/>
      <c r="AB633" s="986"/>
      <c r="AC633" s="986"/>
      <c r="AD633" s="986"/>
      <c r="AE633" s="986"/>
      <c r="BE633" s="986"/>
      <c r="BF633" s="986"/>
      <c r="BG633" s="986"/>
      <c r="BH633" s="986"/>
      <c r="BI633" s="1009"/>
      <c r="CB633" s="986"/>
      <c r="CC633" s="986"/>
      <c r="CD633" s="986"/>
      <c r="CE633" s="986"/>
      <c r="CF633" s="1009"/>
    </row>
    <row r="634" spans="2:84">
      <c r="B634" s="986"/>
      <c r="C634" s="986"/>
      <c r="D634" s="986"/>
      <c r="E634" s="986"/>
      <c r="F634" s="986"/>
      <c r="G634" s="986"/>
      <c r="H634" s="986"/>
      <c r="I634" s="986"/>
      <c r="J634" s="986"/>
      <c r="K634" s="986"/>
      <c r="L634" s="986"/>
      <c r="M634" s="986"/>
      <c r="N634" s="986"/>
      <c r="O634" s="986"/>
      <c r="P634" s="986"/>
      <c r="Q634" s="986"/>
      <c r="R634" s="986"/>
      <c r="S634" s="986"/>
      <c r="T634" s="986"/>
      <c r="U634" s="986"/>
      <c r="V634" s="986"/>
      <c r="W634" s="986"/>
      <c r="X634" s="986"/>
      <c r="Y634" s="986"/>
      <c r="Z634" s="986"/>
      <c r="AA634" s="986"/>
      <c r="AB634" s="986"/>
      <c r="AC634" s="986"/>
      <c r="AD634" s="986"/>
      <c r="AE634" s="986"/>
      <c r="BE634" s="986"/>
      <c r="BF634" s="986"/>
      <c r="BG634" s="986"/>
      <c r="BH634" s="986"/>
      <c r="BI634" s="1009"/>
      <c r="CB634" s="986"/>
      <c r="CC634" s="986"/>
      <c r="CD634" s="986"/>
      <c r="CE634" s="986"/>
      <c r="CF634" s="1009"/>
    </row>
    <row r="635" spans="2:84">
      <c r="B635" s="986"/>
      <c r="C635" s="986"/>
      <c r="D635" s="986"/>
      <c r="E635" s="986"/>
      <c r="F635" s="986"/>
      <c r="G635" s="986"/>
      <c r="H635" s="986"/>
      <c r="I635" s="986"/>
      <c r="J635" s="986"/>
      <c r="K635" s="986"/>
      <c r="L635" s="986"/>
      <c r="M635" s="986"/>
      <c r="N635" s="986"/>
      <c r="O635" s="986"/>
      <c r="P635" s="986"/>
      <c r="Q635" s="986"/>
      <c r="R635" s="986"/>
      <c r="S635" s="986"/>
      <c r="T635" s="986"/>
      <c r="U635" s="986"/>
      <c r="V635" s="986"/>
      <c r="W635" s="986"/>
      <c r="X635" s="986"/>
      <c r="Y635" s="986"/>
      <c r="Z635" s="986"/>
      <c r="AA635" s="986"/>
      <c r="AB635" s="986"/>
      <c r="AC635" s="986"/>
      <c r="AD635" s="986"/>
      <c r="AE635" s="986"/>
      <c r="BE635" s="986"/>
      <c r="BF635" s="986"/>
      <c r="BG635" s="986"/>
      <c r="BH635" s="986"/>
      <c r="BI635" s="1009"/>
      <c r="CB635" s="986"/>
      <c r="CC635" s="986"/>
      <c r="CD635" s="986"/>
      <c r="CE635" s="986"/>
      <c r="CF635" s="1009"/>
    </row>
    <row r="636" spans="2:84">
      <c r="B636" s="986"/>
      <c r="C636" s="986"/>
      <c r="D636" s="986"/>
      <c r="E636" s="986"/>
      <c r="F636" s="986"/>
      <c r="G636" s="986"/>
      <c r="H636" s="986"/>
      <c r="I636" s="986"/>
      <c r="J636" s="986"/>
      <c r="K636" s="986"/>
      <c r="L636" s="986"/>
      <c r="M636" s="986"/>
      <c r="N636" s="986"/>
      <c r="O636" s="986"/>
      <c r="P636" s="986"/>
      <c r="Q636" s="986"/>
      <c r="R636" s="986"/>
      <c r="S636" s="986"/>
      <c r="T636" s="986"/>
      <c r="U636" s="986"/>
      <c r="V636" s="986"/>
      <c r="W636" s="986"/>
      <c r="X636" s="986"/>
      <c r="Y636" s="986"/>
      <c r="Z636" s="986"/>
      <c r="AA636" s="986"/>
      <c r="AB636" s="986"/>
      <c r="AC636" s="986"/>
      <c r="AD636" s="986"/>
      <c r="AE636" s="986"/>
      <c r="BE636" s="986"/>
      <c r="BF636" s="986"/>
      <c r="BG636" s="986"/>
      <c r="BH636" s="986"/>
      <c r="BI636" s="1009"/>
      <c r="CB636" s="986"/>
      <c r="CC636" s="986"/>
      <c r="CD636" s="986"/>
      <c r="CE636" s="986"/>
      <c r="CF636" s="1009"/>
    </row>
    <row r="637" spans="2:84">
      <c r="B637" s="986"/>
      <c r="C637" s="986"/>
      <c r="D637" s="986"/>
      <c r="E637" s="986"/>
      <c r="F637" s="986"/>
      <c r="G637" s="986"/>
      <c r="H637" s="986"/>
      <c r="I637" s="986"/>
      <c r="J637" s="986"/>
      <c r="K637" s="986"/>
      <c r="L637" s="986"/>
      <c r="M637" s="986"/>
      <c r="N637" s="986"/>
      <c r="O637" s="986"/>
      <c r="P637" s="986"/>
      <c r="Q637" s="986"/>
      <c r="R637" s="986"/>
      <c r="S637" s="986"/>
      <c r="T637" s="986"/>
      <c r="U637" s="986"/>
      <c r="V637" s="986"/>
      <c r="W637" s="986"/>
      <c r="X637" s="986"/>
      <c r="Y637" s="986"/>
      <c r="Z637" s="986"/>
      <c r="AA637" s="986"/>
      <c r="AB637" s="986"/>
      <c r="AC637" s="986"/>
      <c r="AD637" s="986"/>
      <c r="AE637" s="986"/>
      <c r="BE637" s="986"/>
      <c r="BF637" s="986"/>
      <c r="BG637" s="986"/>
      <c r="BH637" s="986"/>
      <c r="BI637" s="1009"/>
      <c r="CB637" s="986"/>
      <c r="CC637" s="986"/>
      <c r="CD637" s="986"/>
      <c r="CE637" s="986"/>
      <c r="CF637" s="1009"/>
    </row>
    <row r="638" spans="2:84">
      <c r="B638" s="986"/>
      <c r="C638" s="986"/>
      <c r="D638" s="986"/>
      <c r="E638" s="986"/>
      <c r="F638" s="986"/>
      <c r="G638" s="986"/>
      <c r="H638" s="986"/>
      <c r="I638" s="986"/>
      <c r="J638" s="986"/>
      <c r="K638" s="986"/>
      <c r="L638" s="986"/>
      <c r="M638" s="986"/>
      <c r="N638" s="986"/>
      <c r="O638" s="986"/>
      <c r="P638" s="986"/>
      <c r="Q638" s="986"/>
      <c r="R638" s="986"/>
      <c r="S638" s="986"/>
      <c r="T638" s="986"/>
      <c r="U638" s="986"/>
      <c r="V638" s="986"/>
      <c r="W638" s="986"/>
      <c r="X638" s="986"/>
      <c r="Y638" s="986"/>
      <c r="Z638" s="986"/>
      <c r="AA638" s="986"/>
      <c r="AB638" s="986"/>
      <c r="AC638" s="986"/>
      <c r="AD638" s="986"/>
      <c r="AE638" s="986"/>
      <c r="BE638" s="986"/>
      <c r="BF638" s="986"/>
      <c r="BG638" s="986"/>
      <c r="BH638" s="986"/>
      <c r="BI638" s="1009"/>
      <c r="CB638" s="986"/>
      <c r="CC638" s="986"/>
      <c r="CD638" s="986"/>
      <c r="CE638" s="986"/>
      <c r="CF638" s="1009"/>
    </row>
    <row r="639" spans="2:84">
      <c r="B639" s="986"/>
      <c r="C639" s="986"/>
      <c r="D639" s="986"/>
      <c r="E639" s="986"/>
      <c r="F639" s="986"/>
      <c r="G639" s="986"/>
      <c r="H639" s="986"/>
      <c r="I639" s="986"/>
      <c r="J639" s="986"/>
      <c r="K639" s="986"/>
      <c r="L639" s="986"/>
      <c r="M639" s="986"/>
      <c r="N639" s="986"/>
      <c r="O639" s="986"/>
      <c r="P639" s="986"/>
      <c r="Q639" s="986"/>
      <c r="R639" s="986"/>
      <c r="S639" s="986"/>
      <c r="T639" s="986"/>
      <c r="U639" s="986"/>
      <c r="V639" s="986"/>
      <c r="W639" s="986"/>
      <c r="X639" s="986"/>
      <c r="Y639" s="986"/>
      <c r="Z639" s="986"/>
      <c r="AA639" s="986"/>
      <c r="AB639" s="986"/>
      <c r="AC639" s="986"/>
      <c r="AD639" s="986"/>
      <c r="AE639" s="986"/>
      <c r="BE639" s="986"/>
      <c r="BF639" s="986"/>
      <c r="BG639" s="986"/>
      <c r="BH639" s="986"/>
      <c r="BI639" s="1009"/>
      <c r="CB639" s="986"/>
      <c r="CC639" s="986"/>
      <c r="CD639" s="986"/>
      <c r="CE639" s="986"/>
      <c r="CF639" s="1009"/>
    </row>
    <row r="640" spans="2:84">
      <c r="B640" s="986"/>
      <c r="C640" s="986"/>
      <c r="D640" s="986"/>
      <c r="E640" s="986"/>
      <c r="F640" s="986"/>
      <c r="G640" s="986"/>
      <c r="H640" s="986"/>
      <c r="I640" s="986"/>
      <c r="J640" s="986"/>
      <c r="K640" s="986"/>
      <c r="L640" s="986"/>
      <c r="M640" s="986"/>
      <c r="N640" s="986"/>
      <c r="O640" s="986"/>
      <c r="P640" s="986"/>
      <c r="Q640" s="986"/>
      <c r="R640" s="986"/>
      <c r="S640" s="986"/>
      <c r="T640" s="986"/>
      <c r="U640" s="986"/>
      <c r="V640" s="986"/>
      <c r="W640" s="986"/>
      <c r="X640" s="986"/>
      <c r="Y640" s="986"/>
      <c r="Z640" s="986"/>
      <c r="AA640" s="986"/>
      <c r="AB640" s="986"/>
      <c r="AC640" s="986"/>
      <c r="AD640" s="986"/>
      <c r="AE640" s="986"/>
      <c r="BE640" s="986"/>
      <c r="BF640" s="986"/>
      <c r="BG640" s="986"/>
      <c r="BH640" s="986"/>
      <c r="BI640" s="1009"/>
      <c r="CB640" s="986"/>
      <c r="CC640" s="986"/>
      <c r="CD640" s="986"/>
      <c r="CE640" s="986"/>
      <c r="CF640" s="1009"/>
    </row>
    <row r="641" spans="2:84">
      <c r="B641" s="986"/>
      <c r="C641" s="986"/>
      <c r="D641" s="986"/>
      <c r="E641" s="986"/>
      <c r="F641" s="986"/>
      <c r="G641" s="986"/>
      <c r="H641" s="986"/>
      <c r="I641" s="986"/>
      <c r="J641" s="986"/>
      <c r="K641" s="986"/>
      <c r="L641" s="986"/>
      <c r="M641" s="986"/>
      <c r="N641" s="986"/>
      <c r="O641" s="986"/>
      <c r="P641" s="986"/>
      <c r="Q641" s="986"/>
      <c r="R641" s="986"/>
      <c r="S641" s="986"/>
      <c r="T641" s="986"/>
      <c r="U641" s="986"/>
      <c r="V641" s="986"/>
      <c r="W641" s="986"/>
      <c r="X641" s="986"/>
      <c r="Y641" s="986"/>
      <c r="Z641" s="986"/>
      <c r="AA641" s="986"/>
      <c r="AB641" s="986"/>
      <c r="AC641" s="986"/>
      <c r="AD641" s="986"/>
      <c r="AE641" s="986"/>
      <c r="BE641" s="986"/>
      <c r="BF641" s="986"/>
      <c r="BG641" s="986"/>
      <c r="BH641" s="986"/>
      <c r="BI641" s="1009"/>
      <c r="CB641" s="986"/>
      <c r="CC641" s="986"/>
      <c r="CD641" s="986"/>
      <c r="CE641" s="986"/>
      <c r="CF641" s="1009"/>
    </row>
    <row r="642" spans="2:84">
      <c r="B642" s="986"/>
      <c r="C642" s="986"/>
      <c r="D642" s="986"/>
      <c r="E642" s="986"/>
      <c r="F642" s="986"/>
      <c r="G642" s="986"/>
      <c r="H642" s="986"/>
      <c r="I642" s="986"/>
      <c r="J642" s="986"/>
      <c r="K642" s="986"/>
      <c r="L642" s="986"/>
      <c r="M642" s="986"/>
      <c r="N642" s="986"/>
      <c r="O642" s="986"/>
      <c r="P642" s="986"/>
      <c r="Q642" s="986"/>
      <c r="R642" s="986"/>
      <c r="S642" s="986"/>
      <c r="T642" s="986"/>
      <c r="U642" s="986"/>
      <c r="V642" s="986"/>
      <c r="W642" s="986"/>
      <c r="X642" s="986"/>
      <c r="Y642" s="986"/>
      <c r="Z642" s="986"/>
      <c r="AA642" s="986"/>
      <c r="AB642" s="986"/>
      <c r="AC642" s="986"/>
      <c r="AD642" s="986"/>
      <c r="AE642" s="986"/>
      <c r="BE642" s="986"/>
      <c r="BF642" s="986"/>
      <c r="BG642" s="986"/>
      <c r="BH642" s="986"/>
      <c r="BI642" s="1009"/>
      <c r="CB642" s="986"/>
      <c r="CC642" s="986"/>
      <c r="CD642" s="986"/>
      <c r="CE642" s="986"/>
      <c r="CF642" s="1009"/>
    </row>
    <row r="643" spans="2:84">
      <c r="B643" s="986"/>
      <c r="C643" s="986"/>
      <c r="D643" s="986"/>
      <c r="E643" s="986"/>
      <c r="F643" s="986"/>
      <c r="G643" s="986"/>
      <c r="H643" s="986"/>
      <c r="I643" s="986"/>
      <c r="J643" s="986"/>
      <c r="K643" s="986"/>
      <c r="L643" s="986"/>
      <c r="M643" s="986"/>
      <c r="N643" s="986"/>
      <c r="O643" s="986"/>
      <c r="P643" s="986"/>
      <c r="Q643" s="986"/>
      <c r="R643" s="986"/>
      <c r="S643" s="986"/>
      <c r="T643" s="986"/>
      <c r="U643" s="986"/>
      <c r="V643" s="986"/>
      <c r="W643" s="986"/>
      <c r="X643" s="986"/>
      <c r="Y643" s="986"/>
      <c r="Z643" s="986"/>
      <c r="AA643" s="986"/>
      <c r="AB643" s="986"/>
      <c r="AC643" s="986"/>
      <c r="AD643" s="986"/>
      <c r="AE643" s="986"/>
      <c r="BE643" s="986"/>
      <c r="BF643" s="986"/>
      <c r="BG643" s="986"/>
      <c r="BH643" s="986"/>
      <c r="BI643" s="1009"/>
      <c r="CB643" s="986"/>
      <c r="CC643" s="986"/>
      <c r="CD643" s="986"/>
      <c r="CE643" s="986"/>
      <c r="CF643" s="1009"/>
    </row>
    <row r="644" spans="2:84">
      <c r="B644" s="986"/>
      <c r="C644" s="986"/>
      <c r="D644" s="986"/>
      <c r="E644" s="986"/>
      <c r="F644" s="986"/>
      <c r="G644" s="986"/>
      <c r="H644" s="986"/>
      <c r="I644" s="986"/>
      <c r="J644" s="986"/>
      <c r="K644" s="986"/>
      <c r="L644" s="986"/>
      <c r="M644" s="986"/>
      <c r="N644" s="986"/>
      <c r="O644" s="986"/>
      <c r="P644" s="986"/>
      <c r="Q644" s="986"/>
      <c r="R644" s="986"/>
      <c r="S644" s="986"/>
      <c r="T644" s="986"/>
      <c r="U644" s="986"/>
      <c r="V644" s="986"/>
      <c r="W644" s="986"/>
      <c r="X644" s="986"/>
      <c r="Y644" s="986"/>
      <c r="Z644" s="986"/>
      <c r="AA644" s="986"/>
      <c r="AB644" s="986"/>
      <c r="AC644" s="986"/>
      <c r="AD644" s="986"/>
      <c r="AE644" s="986"/>
      <c r="BE644" s="986"/>
      <c r="BF644" s="986"/>
      <c r="BG644" s="986"/>
      <c r="BH644" s="986"/>
      <c r="BI644" s="1009"/>
      <c r="CB644" s="986"/>
      <c r="CC644" s="986"/>
      <c r="CD644" s="986"/>
      <c r="CE644" s="986"/>
      <c r="CF644" s="1009"/>
    </row>
    <row r="645" spans="2:84">
      <c r="B645" s="986"/>
      <c r="C645" s="986"/>
      <c r="D645" s="986"/>
      <c r="E645" s="986"/>
      <c r="F645" s="986"/>
      <c r="G645" s="986"/>
      <c r="H645" s="986"/>
      <c r="I645" s="986"/>
      <c r="J645" s="986"/>
      <c r="K645" s="986"/>
      <c r="L645" s="986"/>
      <c r="M645" s="986"/>
      <c r="N645" s="986"/>
      <c r="O645" s="986"/>
      <c r="P645" s="986"/>
      <c r="Q645" s="986"/>
      <c r="R645" s="986"/>
      <c r="S645" s="986"/>
      <c r="T645" s="986"/>
      <c r="U645" s="986"/>
      <c r="V645" s="986"/>
      <c r="W645" s="986"/>
      <c r="X645" s="986"/>
      <c r="Y645" s="986"/>
      <c r="Z645" s="986"/>
      <c r="AA645" s="986"/>
      <c r="AB645" s="986"/>
      <c r="AC645" s="986"/>
      <c r="AD645" s="986"/>
      <c r="AE645" s="986"/>
      <c r="BE645" s="986"/>
      <c r="BF645" s="986"/>
      <c r="BG645" s="986"/>
      <c r="BH645" s="986"/>
      <c r="BI645" s="1009"/>
      <c r="CB645" s="986"/>
      <c r="CC645" s="986"/>
      <c r="CD645" s="986"/>
      <c r="CE645" s="986"/>
      <c r="CF645" s="1009"/>
    </row>
    <row r="646" spans="2:84">
      <c r="B646" s="986"/>
      <c r="C646" s="986"/>
      <c r="D646" s="986"/>
      <c r="E646" s="986"/>
      <c r="F646" s="986"/>
      <c r="G646" s="986"/>
      <c r="H646" s="986"/>
      <c r="I646" s="986"/>
      <c r="J646" s="986"/>
      <c r="K646" s="986"/>
      <c r="L646" s="986"/>
      <c r="M646" s="986"/>
      <c r="N646" s="986"/>
      <c r="O646" s="986"/>
      <c r="P646" s="986"/>
      <c r="Q646" s="986"/>
      <c r="R646" s="986"/>
      <c r="S646" s="986"/>
      <c r="T646" s="986"/>
      <c r="U646" s="986"/>
      <c r="V646" s="986"/>
      <c r="W646" s="986"/>
      <c r="X646" s="986"/>
      <c r="Y646" s="986"/>
      <c r="Z646" s="986"/>
      <c r="AA646" s="986"/>
      <c r="AB646" s="986"/>
      <c r="AC646" s="986"/>
      <c r="AD646" s="986"/>
      <c r="AE646" s="986"/>
      <c r="BE646" s="986"/>
      <c r="BF646" s="986"/>
      <c r="BG646" s="986"/>
      <c r="BH646" s="986"/>
      <c r="BI646" s="1009"/>
      <c r="CB646" s="986"/>
      <c r="CC646" s="986"/>
      <c r="CD646" s="986"/>
      <c r="CE646" s="986"/>
      <c r="CF646" s="1009"/>
    </row>
    <row r="647" spans="2:84">
      <c r="B647" s="986"/>
      <c r="C647" s="986"/>
      <c r="D647" s="986"/>
      <c r="E647" s="986"/>
      <c r="F647" s="986"/>
      <c r="G647" s="986"/>
      <c r="H647" s="986"/>
      <c r="I647" s="986"/>
      <c r="J647" s="986"/>
      <c r="K647" s="986"/>
      <c r="L647" s="986"/>
      <c r="M647" s="986"/>
      <c r="N647" s="986"/>
      <c r="O647" s="986"/>
      <c r="P647" s="986"/>
      <c r="Q647" s="986"/>
      <c r="R647" s="986"/>
      <c r="S647" s="986"/>
      <c r="T647" s="986"/>
      <c r="U647" s="986"/>
      <c r="V647" s="986"/>
      <c r="W647" s="986"/>
      <c r="X647" s="986"/>
      <c r="Y647" s="986"/>
      <c r="Z647" s="986"/>
      <c r="AA647" s="986"/>
      <c r="AB647" s="986"/>
      <c r="AC647" s="986"/>
      <c r="AD647" s="986"/>
      <c r="AE647" s="986"/>
      <c r="BE647" s="986"/>
      <c r="BF647" s="986"/>
      <c r="BG647" s="986"/>
      <c r="BH647" s="986"/>
      <c r="BI647" s="1009"/>
      <c r="CB647" s="986"/>
      <c r="CC647" s="986"/>
      <c r="CD647" s="986"/>
      <c r="CE647" s="986"/>
      <c r="CF647" s="1009"/>
    </row>
    <row r="648" spans="2:84">
      <c r="B648" s="986"/>
      <c r="C648" s="986"/>
      <c r="D648" s="986"/>
      <c r="E648" s="986"/>
      <c r="F648" s="986"/>
      <c r="G648" s="986"/>
      <c r="H648" s="986"/>
      <c r="I648" s="986"/>
      <c r="J648" s="986"/>
      <c r="K648" s="986"/>
      <c r="L648" s="986"/>
      <c r="M648" s="986"/>
      <c r="N648" s="986"/>
      <c r="O648" s="986"/>
      <c r="P648" s="986"/>
      <c r="Q648" s="986"/>
      <c r="R648" s="986"/>
      <c r="S648" s="986"/>
      <c r="T648" s="986"/>
      <c r="U648" s="986"/>
      <c r="V648" s="986"/>
      <c r="W648" s="986"/>
      <c r="X648" s="986"/>
      <c r="Y648" s="986"/>
      <c r="Z648" s="986"/>
      <c r="AA648" s="986"/>
      <c r="AB648" s="986"/>
      <c r="AC648" s="986"/>
      <c r="AD648" s="986"/>
      <c r="AE648" s="986"/>
      <c r="BE648" s="986"/>
      <c r="BF648" s="986"/>
      <c r="BG648" s="986"/>
      <c r="BH648" s="986"/>
      <c r="BI648" s="1009"/>
      <c r="CB648" s="986"/>
      <c r="CC648" s="986"/>
      <c r="CD648" s="986"/>
      <c r="CE648" s="986"/>
      <c r="CF648" s="1009"/>
    </row>
    <row r="649" spans="2:84">
      <c r="B649" s="986"/>
      <c r="C649" s="986"/>
      <c r="D649" s="986"/>
      <c r="E649" s="986"/>
      <c r="F649" s="986"/>
      <c r="G649" s="986"/>
      <c r="H649" s="986"/>
      <c r="I649" s="986"/>
      <c r="J649" s="986"/>
      <c r="K649" s="986"/>
      <c r="L649" s="986"/>
      <c r="M649" s="986"/>
      <c r="N649" s="986"/>
      <c r="O649" s="986"/>
      <c r="P649" s="986"/>
      <c r="Q649" s="986"/>
      <c r="R649" s="986"/>
      <c r="S649" s="986"/>
      <c r="T649" s="986"/>
      <c r="U649" s="986"/>
      <c r="V649" s="986"/>
      <c r="W649" s="986"/>
      <c r="X649" s="986"/>
      <c r="Y649" s="986"/>
      <c r="Z649" s="986"/>
      <c r="AA649" s="986"/>
      <c r="AB649" s="986"/>
      <c r="AC649" s="986"/>
      <c r="AD649" s="986"/>
      <c r="AE649" s="986"/>
      <c r="BE649" s="986"/>
      <c r="BF649" s="986"/>
      <c r="BG649" s="986"/>
      <c r="BH649" s="986"/>
      <c r="BI649" s="1009"/>
      <c r="CB649" s="986"/>
      <c r="CC649" s="986"/>
      <c r="CD649" s="986"/>
      <c r="CE649" s="986"/>
      <c r="CF649" s="1009"/>
    </row>
    <row r="650" spans="2:84">
      <c r="B650" s="986"/>
      <c r="C650" s="986"/>
      <c r="D650" s="986"/>
      <c r="E650" s="986"/>
      <c r="F650" s="986"/>
      <c r="G650" s="986"/>
      <c r="H650" s="986"/>
      <c r="I650" s="986"/>
      <c r="J650" s="986"/>
      <c r="K650" s="986"/>
      <c r="L650" s="986"/>
      <c r="M650" s="986"/>
      <c r="N650" s="986"/>
      <c r="O650" s="986"/>
      <c r="P650" s="986"/>
      <c r="Q650" s="986"/>
      <c r="R650" s="986"/>
      <c r="S650" s="986"/>
      <c r="T650" s="986"/>
      <c r="U650" s="986"/>
      <c r="V650" s="986"/>
      <c r="W650" s="986"/>
      <c r="X650" s="986"/>
      <c r="Y650" s="986"/>
      <c r="Z650" s="986"/>
      <c r="AA650" s="986"/>
      <c r="AB650" s="986"/>
      <c r="AC650" s="986"/>
      <c r="AD650" s="986"/>
      <c r="AE650" s="986"/>
      <c r="BE650" s="986"/>
      <c r="BF650" s="986"/>
      <c r="BG650" s="986"/>
      <c r="BH650" s="986"/>
      <c r="BI650" s="1009"/>
      <c r="CB650" s="986"/>
      <c r="CC650" s="986"/>
      <c r="CD650" s="986"/>
      <c r="CE650" s="986"/>
      <c r="CF650" s="1009"/>
    </row>
    <row r="651" spans="2:84">
      <c r="B651" s="986"/>
      <c r="C651" s="986"/>
      <c r="D651" s="986"/>
      <c r="E651" s="986"/>
      <c r="F651" s="986"/>
      <c r="G651" s="986"/>
      <c r="H651" s="986"/>
      <c r="I651" s="986"/>
      <c r="J651" s="986"/>
      <c r="K651" s="986"/>
      <c r="L651" s="986"/>
      <c r="M651" s="986"/>
      <c r="N651" s="986"/>
      <c r="O651" s="986"/>
      <c r="P651" s="986"/>
      <c r="Q651" s="986"/>
      <c r="R651" s="986"/>
      <c r="S651" s="986"/>
      <c r="T651" s="986"/>
      <c r="U651" s="986"/>
      <c r="V651" s="986"/>
      <c r="W651" s="986"/>
      <c r="X651" s="986"/>
      <c r="Y651" s="986"/>
      <c r="Z651" s="986"/>
      <c r="AA651" s="986"/>
      <c r="AB651" s="986"/>
      <c r="AC651" s="986"/>
      <c r="AD651" s="986"/>
      <c r="AE651" s="986"/>
      <c r="BE651" s="986"/>
      <c r="BF651" s="986"/>
      <c r="BG651" s="986"/>
      <c r="BH651" s="986"/>
      <c r="BI651" s="1009"/>
      <c r="CB651" s="986"/>
      <c r="CC651" s="986"/>
      <c r="CD651" s="986"/>
      <c r="CE651" s="986"/>
      <c r="CF651" s="1009"/>
    </row>
    <row r="652" spans="2:84">
      <c r="B652" s="986"/>
      <c r="C652" s="986"/>
      <c r="D652" s="986"/>
      <c r="E652" s="986"/>
      <c r="F652" s="986"/>
      <c r="G652" s="986"/>
      <c r="H652" s="986"/>
      <c r="I652" s="986"/>
      <c r="J652" s="986"/>
      <c r="K652" s="986"/>
      <c r="L652" s="986"/>
      <c r="M652" s="986"/>
      <c r="N652" s="986"/>
      <c r="O652" s="986"/>
      <c r="P652" s="986"/>
      <c r="Q652" s="986"/>
      <c r="R652" s="986"/>
      <c r="S652" s="986"/>
      <c r="T652" s="986"/>
      <c r="U652" s="986"/>
      <c r="V652" s="986"/>
      <c r="W652" s="986"/>
      <c r="X652" s="986"/>
      <c r="Y652" s="986"/>
      <c r="Z652" s="986"/>
      <c r="AA652" s="986"/>
      <c r="AB652" s="986"/>
      <c r="AC652" s="986"/>
      <c r="AD652" s="986"/>
      <c r="AE652" s="986"/>
      <c r="BE652" s="986"/>
      <c r="BF652" s="986"/>
      <c r="BG652" s="986"/>
      <c r="BH652" s="986"/>
      <c r="BI652" s="1009"/>
      <c r="CB652" s="986"/>
      <c r="CC652" s="986"/>
      <c r="CD652" s="986"/>
      <c r="CE652" s="986"/>
      <c r="CF652" s="1009"/>
    </row>
    <row r="653" spans="2:84">
      <c r="B653" s="986"/>
      <c r="C653" s="986"/>
      <c r="D653" s="986"/>
      <c r="E653" s="986"/>
      <c r="F653" s="986"/>
      <c r="G653" s="986"/>
      <c r="H653" s="986"/>
      <c r="I653" s="986"/>
      <c r="J653" s="986"/>
      <c r="K653" s="986"/>
      <c r="L653" s="986"/>
      <c r="M653" s="986"/>
      <c r="N653" s="986"/>
      <c r="O653" s="986"/>
      <c r="P653" s="986"/>
      <c r="Q653" s="986"/>
      <c r="R653" s="986"/>
      <c r="S653" s="986"/>
      <c r="T653" s="986"/>
      <c r="U653" s="986"/>
      <c r="V653" s="986"/>
      <c r="W653" s="986"/>
      <c r="X653" s="986"/>
      <c r="Y653" s="986"/>
      <c r="Z653" s="986"/>
      <c r="AA653" s="986"/>
      <c r="AB653" s="986"/>
      <c r="AC653" s="986"/>
      <c r="AD653" s="986"/>
      <c r="AE653" s="986"/>
      <c r="BE653" s="986"/>
      <c r="BF653" s="986"/>
      <c r="BG653" s="986"/>
      <c r="BH653" s="986"/>
      <c r="BI653" s="1009"/>
      <c r="CB653" s="986"/>
      <c r="CC653" s="986"/>
      <c r="CD653" s="986"/>
      <c r="CE653" s="986"/>
      <c r="CF653" s="1009"/>
    </row>
    <row r="654" spans="2:84">
      <c r="B654" s="986"/>
      <c r="C654" s="986"/>
      <c r="D654" s="986"/>
      <c r="E654" s="986"/>
      <c r="F654" s="986"/>
      <c r="G654" s="986"/>
      <c r="H654" s="986"/>
      <c r="I654" s="986"/>
      <c r="J654" s="986"/>
      <c r="K654" s="986"/>
      <c r="L654" s="986"/>
      <c r="M654" s="986"/>
      <c r="N654" s="986"/>
      <c r="O654" s="986"/>
      <c r="P654" s="986"/>
      <c r="Q654" s="986"/>
      <c r="R654" s="986"/>
      <c r="S654" s="986"/>
      <c r="T654" s="986"/>
      <c r="U654" s="986"/>
      <c r="V654" s="986"/>
      <c r="W654" s="986"/>
      <c r="X654" s="986"/>
      <c r="Y654" s="986"/>
      <c r="Z654" s="986"/>
      <c r="AA654" s="986"/>
      <c r="AB654" s="986"/>
      <c r="AC654" s="986"/>
      <c r="AD654" s="986"/>
      <c r="AE654" s="986"/>
      <c r="BE654" s="986"/>
      <c r="BF654" s="986"/>
      <c r="BG654" s="986"/>
      <c r="BH654" s="986"/>
      <c r="BI654" s="1009"/>
      <c r="CB654" s="986"/>
      <c r="CC654" s="986"/>
      <c r="CD654" s="986"/>
      <c r="CE654" s="986"/>
      <c r="CF654" s="1009"/>
    </row>
    <row r="655" spans="2:84">
      <c r="B655" s="986"/>
      <c r="C655" s="986"/>
      <c r="D655" s="986"/>
      <c r="E655" s="986"/>
      <c r="F655" s="986"/>
      <c r="G655" s="986"/>
      <c r="H655" s="986"/>
      <c r="I655" s="986"/>
      <c r="J655" s="986"/>
      <c r="K655" s="986"/>
      <c r="L655" s="986"/>
      <c r="M655" s="986"/>
      <c r="N655" s="986"/>
      <c r="O655" s="986"/>
      <c r="P655" s="986"/>
      <c r="Q655" s="986"/>
      <c r="R655" s="986"/>
      <c r="S655" s="986"/>
      <c r="T655" s="986"/>
      <c r="U655" s="986"/>
      <c r="V655" s="986"/>
      <c r="W655" s="986"/>
      <c r="X655" s="986"/>
      <c r="Y655" s="986"/>
      <c r="Z655" s="986"/>
      <c r="AA655" s="986"/>
      <c r="AB655" s="986"/>
      <c r="AC655" s="986"/>
      <c r="AD655" s="986"/>
      <c r="AE655" s="986"/>
      <c r="BE655" s="986"/>
      <c r="BF655" s="986"/>
      <c r="BG655" s="986"/>
      <c r="BH655" s="986"/>
      <c r="BI655" s="1009"/>
      <c r="CB655" s="986"/>
      <c r="CC655" s="986"/>
      <c r="CD655" s="986"/>
      <c r="CE655" s="986"/>
      <c r="CF655" s="1009"/>
    </row>
    <row r="656" spans="2:84">
      <c r="B656" s="986"/>
      <c r="C656" s="986"/>
      <c r="D656" s="986"/>
      <c r="E656" s="986"/>
      <c r="F656" s="986"/>
      <c r="G656" s="986"/>
      <c r="H656" s="986"/>
      <c r="I656" s="986"/>
      <c r="J656" s="986"/>
      <c r="K656" s="986"/>
      <c r="L656" s="986"/>
      <c r="M656" s="986"/>
      <c r="N656" s="986"/>
      <c r="O656" s="986"/>
      <c r="P656" s="986"/>
      <c r="Q656" s="986"/>
      <c r="R656" s="986"/>
      <c r="S656" s="986"/>
      <c r="T656" s="986"/>
      <c r="U656" s="986"/>
      <c r="V656" s="986"/>
      <c r="W656" s="986"/>
      <c r="X656" s="986"/>
      <c r="Y656" s="986"/>
      <c r="Z656" s="986"/>
      <c r="AA656" s="986"/>
      <c r="AB656" s="986"/>
      <c r="AC656" s="986"/>
      <c r="AD656" s="986"/>
      <c r="AE656" s="986"/>
      <c r="BE656" s="986"/>
      <c r="BF656" s="986"/>
      <c r="BG656" s="986"/>
      <c r="BH656" s="986"/>
      <c r="BI656" s="1009"/>
      <c r="CB656" s="986"/>
      <c r="CC656" s="986"/>
      <c r="CD656" s="986"/>
      <c r="CE656" s="986"/>
      <c r="CF656" s="1009"/>
    </row>
    <row r="657" spans="2:84">
      <c r="B657" s="986"/>
      <c r="C657" s="986"/>
      <c r="D657" s="986"/>
      <c r="E657" s="986"/>
      <c r="F657" s="986"/>
      <c r="G657" s="986"/>
      <c r="H657" s="986"/>
      <c r="I657" s="986"/>
      <c r="J657" s="986"/>
      <c r="K657" s="986"/>
      <c r="L657" s="986"/>
      <c r="M657" s="986"/>
      <c r="N657" s="986"/>
      <c r="O657" s="986"/>
      <c r="P657" s="986"/>
      <c r="Q657" s="986"/>
      <c r="R657" s="986"/>
      <c r="S657" s="986"/>
      <c r="T657" s="986"/>
      <c r="U657" s="986"/>
      <c r="V657" s="986"/>
      <c r="W657" s="986"/>
      <c r="X657" s="986"/>
      <c r="Y657" s="986"/>
      <c r="Z657" s="986"/>
      <c r="AA657" s="986"/>
      <c r="AB657" s="986"/>
      <c r="AC657" s="986"/>
      <c r="AD657" s="986"/>
      <c r="AE657" s="986"/>
      <c r="BE657" s="986"/>
      <c r="BF657" s="986"/>
      <c r="BG657" s="986"/>
      <c r="BH657" s="986"/>
      <c r="BI657" s="1009"/>
      <c r="CB657" s="986"/>
      <c r="CC657" s="986"/>
      <c r="CD657" s="986"/>
      <c r="CE657" s="986"/>
      <c r="CF657" s="1009"/>
    </row>
    <row r="658" spans="2:84">
      <c r="B658" s="986"/>
      <c r="C658" s="986"/>
      <c r="D658" s="986"/>
      <c r="E658" s="986"/>
      <c r="F658" s="986"/>
      <c r="G658" s="986"/>
      <c r="H658" s="986"/>
      <c r="I658" s="986"/>
      <c r="J658" s="986"/>
      <c r="K658" s="986"/>
      <c r="L658" s="986"/>
      <c r="M658" s="986"/>
      <c r="N658" s="986"/>
      <c r="O658" s="986"/>
      <c r="P658" s="986"/>
      <c r="Q658" s="986"/>
      <c r="R658" s="986"/>
      <c r="S658" s="986"/>
      <c r="T658" s="986"/>
      <c r="U658" s="986"/>
      <c r="V658" s="986"/>
      <c r="W658" s="986"/>
      <c r="X658" s="986"/>
      <c r="Y658" s="986"/>
      <c r="Z658" s="986"/>
      <c r="AA658" s="986"/>
      <c r="AB658" s="986"/>
      <c r="AC658" s="986"/>
      <c r="AD658" s="986"/>
      <c r="AE658" s="986"/>
      <c r="BE658" s="986"/>
      <c r="BF658" s="986"/>
      <c r="BG658" s="986"/>
      <c r="BH658" s="986"/>
      <c r="BI658" s="1009"/>
      <c r="CB658" s="986"/>
      <c r="CC658" s="986"/>
      <c r="CD658" s="986"/>
      <c r="CE658" s="986"/>
      <c r="CF658" s="1009"/>
    </row>
    <row r="659" spans="2:84">
      <c r="B659" s="986"/>
      <c r="C659" s="986"/>
      <c r="D659" s="986"/>
      <c r="E659" s="986"/>
      <c r="F659" s="986"/>
      <c r="G659" s="986"/>
      <c r="H659" s="986"/>
      <c r="I659" s="986"/>
      <c r="J659" s="986"/>
      <c r="K659" s="986"/>
      <c r="L659" s="986"/>
      <c r="M659" s="986"/>
      <c r="N659" s="986"/>
      <c r="O659" s="986"/>
      <c r="P659" s="986"/>
      <c r="Q659" s="986"/>
      <c r="R659" s="986"/>
      <c r="S659" s="986"/>
      <c r="T659" s="986"/>
      <c r="U659" s="986"/>
      <c r="V659" s="986"/>
      <c r="W659" s="986"/>
      <c r="X659" s="986"/>
      <c r="Y659" s="986"/>
      <c r="Z659" s="986"/>
      <c r="AA659" s="986"/>
      <c r="AB659" s="986"/>
      <c r="AC659" s="986"/>
      <c r="AD659" s="986"/>
      <c r="AE659" s="986"/>
      <c r="BE659" s="986"/>
      <c r="BF659" s="986"/>
      <c r="BG659" s="986"/>
      <c r="BH659" s="986"/>
      <c r="BI659" s="1009"/>
      <c r="CB659" s="986"/>
      <c r="CC659" s="986"/>
      <c r="CD659" s="986"/>
      <c r="CE659" s="986"/>
      <c r="CF659" s="1009"/>
    </row>
    <row r="660" spans="2:84">
      <c r="B660" s="986"/>
      <c r="C660" s="986"/>
      <c r="D660" s="986"/>
      <c r="E660" s="986"/>
      <c r="F660" s="986"/>
      <c r="G660" s="986"/>
      <c r="H660" s="986"/>
      <c r="I660" s="986"/>
      <c r="J660" s="986"/>
      <c r="K660" s="986"/>
      <c r="L660" s="986"/>
      <c r="M660" s="986"/>
      <c r="N660" s="986"/>
      <c r="O660" s="986"/>
      <c r="P660" s="986"/>
      <c r="Q660" s="986"/>
      <c r="R660" s="986"/>
      <c r="S660" s="986"/>
      <c r="T660" s="986"/>
      <c r="U660" s="986"/>
      <c r="V660" s="986"/>
      <c r="W660" s="986"/>
      <c r="X660" s="986"/>
      <c r="Y660" s="986"/>
      <c r="Z660" s="986"/>
      <c r="AA660" s="986"/>
      <c r="AB660" s="986"/>
      <c r="AC660" s="986"/>
      <c r="AD660" s="986"/>
      <c r="AE660" s="986"/>
      <c r="BE660" s="986"/>
      <c r="BF660" s="986"/>
      <c r="BG660" s="986"/>
      <c r="BH660" s="986"/>
      <c r="BI660" s="1009"/>
      <c r="CB660" s="986"/>
      <c r="CC660" s="986"/>
      <c r="CD660" s="986"/>
      <c r="CE660" s="986"/>
      <c r="CF660" s="1009"/>
    </row>
    <row r="661" spans="2:84">
      <c r="B661" s="986"/>
      <c r="C661" s="986"/>
      <c r="D661" s="986"/>
      <c r="E661" s="986"/>
      <c r="F661" s="986"/>
      <c r="G661" s="986"/>
      <c r="H661" s="986"/>
      <c r="I661" s="986"/>
      <c r="J661" s="986"/>
      <c r="K661" s="986"/>
      <c r="L661" s="986"/>
      <c r="M661" s="986"/>
      <c r="N661" s="986"/>
      <c r="O661" s="986"/>
      <c r="P661" s="986"/>
      <c r="Q661" s="986"/>
      <c r="R661" s="986"/>
      <c r="S661" s="986"/>
      <c r="T661" s="986"/>
      <c r="U661" s="986"/>
      <c r="V661" s="986"/>
      <c r="W661" s="986"/>
      <c r="X661" s="986"/>
      <c r="Y661" s="986"/>
      <c r="Z661" s="986"/>
      <c r="AA661" s="986"/>
      <c r="AB661" s="986"/>
      <c r="AC661" s="986"/>
      <c r="AD661" s="986"/>
      <c r="AE661" s="986"/>
      <c r="BE661" s="986"/>
      <c r="BF661" s="986"/>
      <c r="BG661" s="986"/>
      <c r="BH661" s="986"/>
      <c r="BI661" s="1009"/>
      <c r="CB661" s="986"/>
      <c r="CC661" s="986"/>
      <c r="CD661" s="986"/>
      <c r="CE661" s="986"/>
      <c r="CF661" s="1009"/>
    </row>
    <row r="662" spans="2:84">
      <c r="B662" s="986"/>
      <c r="C662" s="986"/>
      <c r="D662" s="986"/>
      <c r="E662" s="986"/>
      <c r="F662" s="986"/>
      <c r="G662" s="986"/>
      <c r="H662" s="986"/>
      <c r="I662" s="986"/>
      <c r="J662" s="986"/>
      <c r="K662" s="986"/>
      <c r="L662" s="986"/>
      <c r="M662" s="986"/>
      <c r="N662" s="986"/>
      <c r="O662" s="986"/>
      <c r="P662" s="986"/>
      <c r="Q662" s="986"/>
      <c r="R662" s="986"/>
      <c r="S662" s="986"/>
      <c r="T662" s="986"/>
      <c r="U662" s="986"/>
      <c r="V662" s="986"/>
      <c r="W662" s="986"/>
      <c r="X662" s="986"/>
      <c r="Y662" s="986"/>
      <c r="Z662" s="986"/>
      <c r="AA662" s="986"/>
      <c r="AB662" s="986"/>
      <c r="AC662" s="986"/>
      <c r="AD662" s="986"/>
      <c r="AE662" s="986"/>
      <c r="BE662" s="986"/>
      <c r="BF662" s="986"/>
      <c r="BG662" s="986"/>
      <c r="BH662" s="986"/>
      <c r="BI662" s="1009"/>
      <c r="CB662" s="986"/>
      <c r="CC662" s="986"/>
      <c r="CD662" s="986"/>
      <c r="CE662" s="986"/>
      <c r="CF662" s="1009"/>
    </row>
    <row r="663" spans="2:84">
      <c r="B663" s="986"/>
      <c r="C663" s="986"/>
      <c r="D663" s="986"/>
      <c r="E663" s="986"/>
      <c r="F663" s="986"/>
      <c r="G663" s="986"/>
      <c r="H663" s="986"/>
      <c r="I663" s="986"/>
      <c r="J663" s="986"/>
      <c r="K663" s="986"/>
      <c r="L663" s="986"/>
      <c r="M663" s="986"/>
      <c r="N663" s="986"/>
      <c r="O663" s="986"/>
      <c r="P663" s="986"/>
      <c r="Q663" s="986"/>
      <c r="R663" s="986"/>
      <c r="S663" s="986"/>
      <c r="T663" s="986"/>
      <c r="U663" s="986"/>
      <c r="V663" s="986"/>
      <c r="W663" s="986"/>
      <c r="X663" s="986"/>
      <c r="Y663" s="986"/>
      <c r="Z663" s="986"/>
      <c r="AA663" s="986"/>
      <c r="AB663" s="986"/>
      <c r="AC663" s="986"/>
      <c r="AD663" s="986"/>
      <c r="AE663" s="986"/>
      <c r="BE663" s="986"/>
      <c r="BF663" s="986"/>
      <c r="BG663" s="986"/>
      <c r="BH663" s="986"/>
      <c r="BI663" s="1009"/>
      <c r="CB663" s="986"/>
      <c r="CC663" s="986"/>
      <c r="CD663" s="986"/>
      <c r="CE663" s="986"/>
      <c r="CF663" s="1009"/>
    </row>
    <row r="664" spans="2:84">
      <c r="B664" s="986"/>
      <c r="C664" s="986"/>
      <c r="D664" s="986"/>
      <c r="E664" s="986"/>
      <c r="F664" s="986"/>
      <c r="G664" s="986"/>
      <c r="H664" s="986"/>
      <c r="I664" s="986"/>
      <c r="J664" s="986"/>
      <c r="K664" s="986"/>
      <c r="L664" s="986"/>
      <c r="M664" s="986"/>
      <c r="N664" s="986"/>
      <c r="O664" s="986"/>
      <c r="P664" s="986"/>
      <c r="Q664" s="986"/>
      <c r="R664" s="986"/>
      <c r="S664" s="986"/>
      <c r="T664" s="986"/>
      <c r="U664" s="986"/>
      <c r="V664" s="986"/>
      <c r="W664" s="986"/>
      <c r="X664" s="986"/>
      <c r="Y664" s="986"/>
      <c r="Z664" s="986"/>
      <c r="AA664" s="986"/>
      <c r="AB664" s="986"/>
      <c r="AC664" s="986"/>
      <c r="AD664" s="986"/>
      <c r="AE664" s="986"/>
      <c r="BE664" s="986"/>
      <c r="BF664" s="986"/>
      <c r="BG664" s="986"/>
      <c r="BH664" s="986"/>
      <c r="BI664" s="1009"/>
      <c r="CB664" s="986"/>
      <c r="CC664" s="986"/>
      <c r="CD664" s="986"/>
      <c r="CE664" s="986"/>
      <c r="CF664" s="1009"/>
    </row>
    <row r="665" spans="2:84">
      <c r="B665" s="986"/>
      <c r="C665" s="986"/>
      <c r="D665" s="986"/>
      <c r="E665" s="986"/>
      <c r="F665" s="986"/>
      <c r="G665" s="986"/>
      <c r="H665" s="986"/>
      <c r="I665" s="986"/>
      <c r="J665" s="986"/>
      <c r="K665" s="986"/>
      <c r="L665" s="986"/>
      <c r="M665" s="986"/>
      <c r="N665" s="986"/>
      <c r="O665" s="986"/>
      <c r="P665" s="986"/>
      <c r="Q665" s="986"/>
      <c r="R665" s="986"/>
      <c r="S665" s="986"/>
      <c r="T665" s="986"/>
      <c r="U665" s="986"/>
      <c r="V665" s="986"/>
      <c r="W665" s="986"/>
      <c r="X665" s="986"/>
      <c r="Y665" s="986"/>
      <c r="Z665" s="986"/>
      <c r="AA665" s="986"/>
      <c r="AB665" s="986"/>
      <c r="AC665" s="986"/>
      <c r="AD665" s="986"/>
      <c r="AE665" s="986"/>
      <c r="BE665" s="986"/>
      <c r="BF665" s="986"/>
      <c r="BG665" s="986"/>
      <c r="BH665" s="986"/>
      <c r="BI665" s="1009"/>
      <c r="CB665" s="986"/>
      <c r="CC665" s="986"/>
      <c r="CD665" s="986"/>
      <c r="CE665" s="986"/>
      <c r="CF665" s="1009"/>
    </row>
    <row r="666" spans="2:84">
      <c r="B666" s="986"/>
      <c r="C666" s="986"/>
      <c r="D666" s="986"/>
      <c r="E666" s="986"/>
      <c r="F666" s="986"/>
      <c r="G666" s="986"/>
      <c r="H666" s="986"/>
      <c r="I666" s="986"/>
      <c r="J666" s="986"/>
      <c r="K666" s="986"/>
      <c r="L666" s="986"/>
      <c r="M666" s="986"/>
      <c r="N666" s="986"/>
      <c r="O666" s="986"/>
      <c r="P666" s="986"/>
      <c r="Q666" s="986"/>
      <c r="R666" s="986"/>
      <c r="S666" s="986"/>
      <c r="T666" s="986"/>
      <c r="U666" s="986"/>
      <c r="V666" s="986"/>
      <c r="W666" s="986"/>
      <c r="X666" s="986"/>
      <c r="Y666" s="986"/>
      <c r="Z666" s="986"/>
      <c r="AA666" s="986"/>
      <c r="AB666" s="986"/>
      <c r="AC666" s="986"/>
      <c r="AD666" s="986"/>
      <c r="AE666" s="986"/>
      <c r="BE666" s="986"/>
      <c r="BF666" s="986"/>
      <c r="BG666" s="986"/>
      <c r="BH666" s="986"/>
      <c r="BI666" s="1009"/>
      <c r="CB666" s="986"/>
      <c r="CC666" s="986"/>
      <c r="CD666" s="986"/>
      <c r="CE666" s="986"/>
      <c r="CF666" s="1009"/>
    </row>
    <row r="667" spans="2:84">
      <c r="B667" s="986"/>
      <c r="C667" s="986"/>
      <c r="D667" s="986"/>
      <c r="E667" s="986"/>
      <c r="F667" s="986"/>
      <c r="G667" s="986"/>
      <c r="H667" s="986"/>
      <c r="I667" s="986"/>
      <c r="J667" s="986"/>
      <c r="K667" s="986"/>
      <c r="L667" s="986"/>
      <c r="M667" s="986"/>
      <c r="N667" s="986"/>
      <c r="O667" s="986"/>
      <c r="P667" s="986"/>
      <c r="Q667" s="986"/>
      <c r="R667" s="986"/>
      <c r="S667" s="986"/>
      <c r="T667" s="986"/>
      <c r="U667" s="986"/>
      <c r="V667" s="986"/>
      <c r="W667" s="986"/>
      <c r="X667" s="986"/>
      <c r="Y667" s="986"/>
      <c r="Z667" s="986"/>
      <c r="AA667" s="986"/>
      <c r="AB667" s="986"/>
      <c r="AC667" s="986"/>
      <c r="AD667" s="986"/>
      <c r="AE667" s="986"/>
      <c r="BE667" s="986"/>
      <c r="BF667" s="986"/>
      <c r="BG667" s="986"/>
      <c r="BH667" s="986"/>
      <c r="BI667" s="1009"/>
      <c r="CB667" s="986"/>
      <c r="CC667" s="986"/>
      <c r="CD667" s="986"/>
      <c r="CE667" s="986"/>
      <c r="CF667" s="1009"/>
    </row>
    <row r="668" spans="2:84">
      <c r="B668" s="986"/>
      <c r="C668" s="986"/>
      <c r="D668" s="986"/>
      <c r="E668" s="986"/>
      <c r="F668" s="986"/>
      <c r="G668" s="986"/>
      <c r="H668" s="986"/>
      <c r="I668" s="986"/>
      <c r="J668" s="986"/>
      <c r="K668" s="986"/>
      <c r="L668" s="986"/>
      <c r="M668" s="986"/>
      <c r="N668" s="986"/>
      <c r="O668" s="986"/>
      <c r="P668" s="986"/>
      <c r="Q668" s="986"/>
      <c r="R668" s="986"/>
      <c r="S668" s="986"/>
      <c r="T668" s="986"/>
      <c r="U668" s="986"/>
      <c r="V668" s="986"/>
      <c r="W668" s="986"/>
      <c r="X668" s="986"/>
      <c r="Y668" s="986"/>
      <c r="Z668" s="986"/>
      <c r="AA668" s="986"/>
      <c r="AB668" s="986"/>
      <c r="AC668" s="986"/>
      <c r="AD668" s="986"/>
      <c r="AE668" s="986"/>
      <c r="BE668" s="986"/>
      <c r="BF668" s="986"/>
      <c r="BG668" s="986"/>
      <c r="BH668" s="986"/>
      <c r="BI668" s="1009"/>
      <c r="CB668" s="986"/>
      <c r="CC668" s="986"/>
      <c r="CD668" s="986"/>
      <c r="CE668" s="986"/>
      <c r="CF668" s="1009"/>
    </row>
    <row r="669" spans="2:84">
      <c r="B669" s="986"/>
      <c r="C669" s="986"/>
      <c r="D669" s="986"/>
      <c r="E669" s="986"/>
      <c r="F669" s="986"/>
      <c r="G669" s="986"/>
      <c r="H669" s="986"/>
      <c r="I669" s="986"/>
      <c r="J669" s="986"/>
      <c r="K669" s="986"/>
      <c r="L669" s="986"/>
      <c r="M669" s="986"/>
      <c r="N669" s="986"/>
      <c r="O669" s="986"/>
      <c r="P669" s="986"/>
      <c r="Q669" s="986"/>
      <c r="R669" s="986"/>
      <c r="S669" s="986"/>
      <c r="T669" s="986"/>
      <c r="U669" s="986"/>
      <c r="V669" s="986"/>
      <c r="W669" s="986"/>
      <c r="X669" s="986"/>
      <c r="Y669" s="986"/>
      <c r="Z669" s="986"/>
      <c r="AA669" s="986"/>
      <c r="AB669" s="986"/>
      <c r="AC669" s="986"/>
      <c r="AD669" s="986"/>
      <c r="AE669" s="986"/>
      <c r="BE669" s="986"/>
      <c r="BF669" s="986"/>
      <c r="BG669" s="986"/>
      <c r="BH669" s="986"/>
      <c r="BI669" s="1009"/>
      <c r="CB669" s="986"/>
      <c r="CC669" s="986"/>
      <c r="CD669" s="986"/>
      <c r="CE669" s="986"/>
      <c r="CF669" s="1009"/>
    </row>
    <row r="670" spans="2:84">
      <c r="B670" s="986"/>
      <c r="C670" s="986"/>
      <c r="D670" s="986"/>
      <c r="E670" s="986"/>
      <c r="F670" s="986"/>
      <c r="G670" s="986"/>
      <c r="H670" s="986"/>
      <c r="I670" s="986"/>
      <c r="J670" s="986"/>
      <c r="K670" s="986"/>
      <c r="L670" s="986"/>
      <c r="M670" s="986"/>
      <c r="N670" s="986"/>
      <c r="O670" s="986"/>
      <c r="P670" s="986"/>
      <c r="Q670" s="986"/>
      <c r="R670" s="986"/>
      <c r="S670" s="986"/>
      <c r="T670" s="986"/>
      <c r="U670" s="986"/>
      <c r="V670" s="986"/>
      <c r="W670" s="986"/>
      <c r="X670" s="986"/>
      <c r="Y670" s="986"/>
      <c r="Z670" s="986"/>
      <c r="AA670" s="986"/>
      <c r="AB670" s="986"/>
      <c r="AC670" s="986"/>
      <c r="AD670" s="986"/>
      <c r="AE670" s="986"/>
      <c r="BE670" s="986"/>
      <c r="BF670" s="986"/>
      <c r="BG670" s="986"/>
      <c r="BH670" s="986"/>
      <c r="BI670" s="1009"/>
      <c r="CB670" s="986"/>
      <c r="CC670" s="986"/>
      <c r="CD670" s="986"/>
      <c r="CE670" s="986"/>
      <c r="CF670" s="1009"/>
    </row>
    <row r="671" spans="2:84">
      <c r="B671" s="986"/>
      <c r="C671" s="986"/>
      <c r="D671" s="986"/>
      <c r="E671" s="986"/>
      <c r="F671" s="986"/>
      <c r="G671" s="986"/>
      <c r="H671" s="986"/>
      <c r="I671" s="986"/>
      <c r="J671" s="986"/>
      <c r="K671" s="986"/>
      <c r="L671" s="986"/>
      <c r="M671" s="986"/>
      <c r="N671" s="986"/>
      <c r="O671" s="986"/>
      <c r="P671" s="986"/>
      <c r="Q671" s="986"/>
      <c r="R671" s="986"/>
      <c r="S671" s="986"/>
      <c r="T671" s="986"/>
      <c r="U671" s="986"/>
      <c r="V671" s="986"/>
      <c r="W671" s="986"/>
      <c r="X671" s="986"/>
      <c r="Y671" s="986"/>
      <c r="Z671" s="986"/>
      <c r="AA671" s="986"/>
      <c r="AB671" s="986"/>
      <c r="AC671" s="986"/>
      <c r="AD671" s="986"/>
      <c r="AE671" s="986"/>
      <c r="BE671" s="986"/>
      <c r="BF671" s="986"/>
      <c r="BG671" s="986"/>
      <c r="BH671" s="986"/>
      <c r="BI671" s="1009"/>
      <c r="CB671" s="986"/>
      <c r="CC671" s="986"/>
      <c r="CD671" s="986"/>
      <c r="CE671" s="986"/>
      <c r="CF671" s="1009"/>
    </row>
    <row r="672" spans="2:84">
      <c r="B672" s="986"/>
      <c r="C672" s="986"/>
      <c r="D672" s="986"/>
      <c r="E672" s="986"/>
      <c r="F672" s="986"/>
      <c r="G672" s="986"/>
      <c r="H672" s="986"/>
      <c r="I672" s="986"/>
      <c r="J672" s="986"/>
      <c r="K672" s="986"/>
      <c r="L672" s="986"/>
      <c r="M672" s="986"/>
      <c r="N672" s="986"/>
      <c r="O672" s="986"/>
      <c r="P672" s="986"/>
      <c r="Q672" s="986"/>
      <c r="R672" s="986"/>
      <c r="S672" s="986"/>
      <c r="T672" s="986"/>
      <c r="U672" s="986"/>
      <c r="V672" s="986"/>
      <c r="W672" s="986"/>
      <c r="X672" s="986"/>
      <c r="Y672" s="986"/>
      <c r="Z672" s="986"/>
      <c r="AA672" s="986"/>
      <c r="AB672" s="986"/>
      <c r="AC672" s="986"/>
      <c r="AD672" s="986"/>
      <c r="AE672" s="986"/>
      <c r="BE672" s="986"/>
      <c r="BF672" s="986"/>
      <c r="BG672" s="986"/>
      <c r="BH672" s="986"/>
      <c r="BI672" s="1009"/>
      <c r="CB672" s="986"/>
      <c r="CC672" s="986"/>
      <c r="CD672" s="986"/>
      <c r="CE672" s="986"/>
      <c r="CF672" s="1009"/>
    </row>
    <row r="673" spans="2:84">
      <c r="B673" s="986"/>
      <c r="C673" s="986"/>
      <c r="D673" s="986"/>
      <c r="E673" s="986"/>
      <c r="F673" s="986"/>
      <c r="G673" s="986"/>
      <c r="H673" s="986"/>
      <c r="I673" s="986"/>
      <c r="J673" s="986"/>
      <c r="K673" s="986"/>
      <c r="L673" s="986"/>
      <c r="M673" s="986"/>
      <c r="N673" s="986"/>
      <c r="O673" s="986"/>
      <c r="P673" s="986"/>
      <c r="Q673" s="986"/>
      <c r="R673" s="986"/>
      <c r="S673" s="986"/>
      <c r="T673" s="986"/>
      <c r="U673" s="986"/>
      <c r="V673" s="986"/>
      <c r="W673" s="986"/>
      <c r="X673" s="986"/>
      <c r="Y673" s="986"/>
      <c r="Z673" s="986"/>
      <c r="AA673" s="986"/>
      <c r="AB673" s="986"/>
      <c r="AC673" s="986"/>
      <c r="AD673" s="986"/>
      <c r="AE673" s="986"/>
      <c r="BE673" s="986"/>
      <c r="BF673" s="986"/>
      <c r="BG673" s="986"/>
      <c r="BH673" s="986"/>
      <c r="BI673" s="1009"/>
      <c r="CB673" s="986"/>
      <c r="CC673" s="986"/>
      <c r="CD673" s="986"/>
      <c r="CE673" s="986"/>
      <c r="CF673" s="1009"/>
    </row>
    <row r="674" spans="2:84">
      <c r="B674" s="986"/>
      <c r="C674" s="986"/>
      <c r="D674" s="986"/>
      <c r="E674" s="986"/>
      <c r="F674" s="986"/>
      <c r="G674" s="986"/>
      <c r="H674" s="986"/>
      <c r="I674" s="986"/>
      <c r="J674" s="986"/>
      <c r="K674" s="986"/>
      <c r="L674" s="986"/>
      <c r="M674" s="986"/>
      <c r="N674" s="986"/>
      <c r="O674" s="986"/>
      <c r="P674" s="986"/>
      <c r="Q674" s="986"/>
      <c r="R674" s="986"/>
      <c r="S674" s="986"/>
      <c r="T674" s="986"/>
      <c r="U674" s="986"/>
      <c r="V674" s="986"/>
      <c r="W674" s="986"/>
      <c r="X674" s="986"/>
      <c r="Y674" s="986"/>
      <c r="Z674" s="986"/>
      <c r="AA674" s="986"/>
      <c r="AB674" s="986"/>
      <c r="AC674" s="986"/>
      <c r="AD674" s="986"/>
      <c r="AE674" s="986"/>
      <c r="BE674" s="986"/>
      <c r="BF674" s="986"/>
      <c r="BG674" s="986"/>
      <c r="BH674" s="986"/>
      <c r="BI674" s="1009"/>
      <c r="CB674" s="986"/>
      <c r="CC674" s="986"/>
      <c r="CD674" s="986"/>
      <c r="CE674" s="986"/>
      <c r="CF674" s="1009"/>
    </row>
    <row r="675" spans="2:84">
      <c r="B675" s="986"/>
      <c r="C675" s="986"/>
      <c r="D675" s="986"/>
      <c r="E675" s="986"/>
      <c r="F675" s="986"/>
      <c r="G675" s="986"/>
      <c r="H675" s="986"/>
      <c r="I675" s="986"/>
      <c r="J675" s="986"/>
      <c r="K675" s="986"/>
      <c r="L675" s="986"/>
      <c r="M675" s="986"/>
      <c r="N675" s="986"/>
      <c r="O675" s="986"/>
      <c r="P675" s="986"/>
      <c r="Q675" s="986"/>
      <c r="R675" s="986"/>
      <c r="S675" s="986"/>
      <c r="T675" s="986"/>
      <c r="U675" s="986"/>
      <c r="V675" s="986"/>
      <c r="W675" s="986"/>
      <c r="X675" s="986"/>
      <c r="Y675" s="986"/>
      <c r="Z675" s="986"/>
      <c r="AA675" s="986"/>
      <c r="AB675" s="986"/>
      <c r="AC675" s="986"/>
      <c r="AD675" s="986"/>
      <c r="AE675" s="986"/>
      <c r="BE675" s="986"/>
      <c r="BF675" s="986"/>
      <c r="BG675" s="986"/>
      <c r="BH675" s="986"/>
      <c r="BI675" s="1009"/>
      <c r="CB675" s="986"/>
      <c r="CC675" s="986"/>
      <c r="CD675" s="986"/>
      <c r="CE675" s="986"/>
      <c r="CF675" s="1009"/>
    </row>
    <row r="676" spans="2:84">
      <c r="B676" s="986"/>
      <c r="C676" s="986"/>
      <c r="D676" s="986"/>
      <c r="E676" s="986"/>
      <c r="F676" s="986"/>
      <c r="G676" s="986"/>
      <c r="H676" s="986"/>
      <c r="I676" s="986"/>
      <c r="J676" s="986"/>
      <c r="K676" s="986"/>
      <c r="L676" s="986"/>
      <c r="M676" s="986"/>
      <c r="N676" s="986"/>
      <c r="O676" s="986"/>
      <c r="P676" s="986"/>
      <c r="Q676" s="986"/>
      <c r="R676" s="986"/>
      <c r="S676" s="986"/>
      <c r="T676" s="986"/>
      <c r="U676" s="986"/>
      <c r="V676" s="986"/>
      <c r="W676" s="986"/>
      <c r="X676" s="986"/>
      <c r="Y676" s="986"/>
      <c r="Z676" s="986"/>
      <c r="AA676" s="986"/>
      <c r="AB676" s="986"/>
      <c r="AC676" s="986"/>
      <c r="AD676" s="986"/>
      <c r="AE676" s="986"/>
      <c r="BE676" s="986"/>
      <c r="BF676" s="986"/>
      <c r="BG676" s="986"/>
      <c r="BH676" s="986"/>
      <c r="BI676" s="1009"/>
      <c r="CB676" s="986"/>
      <c r="CC676" s="986"/>
      <c r="CD676" s="986"/>
      <c r="CE676" s="986"/>
      <c r="CF676" s="1009"/>
    </row>
    <row r="677" spans="2:84">
      <c r="B677" s="986"/>
      <c r="C677" s="986"/>
      <c r="D677" s="986"/>
      <c r="E677" s="986"/>
      <c r="F677" s="986"/>
      <c r="G677" s="986"/>
      <c r="H677" s="986"/>
      <c r="I677" s="986"/>
      <c r="J677" s="986"/>
      <c r="K677" s="986"/>
      <c r="L677" s="986"/>
      <c r="M677" s="986"/>
      <c r="N677" s="986"/>
      <c r="O677" s="986"/>
      <c r="P677" s="986"/>
      <c r="Q677" s="986"/>
      <c r="R677" s="986"/>
      <c r="S677" s="986"/>
      <c r="T677" s="986"/>
      <c r="U677" s="986"/>
      <c r="V677" s="986"/>
      <c r="W677" s="986"/>
      <c r="X677" s="986"/>
      <c r="Y677" s="986"/>
      <c r="Z677" s="986"/>
      <c r="AA677" s="986"/>
      <c r="AB677" s="986"/>
      <c r="AC677" s="986"/>
      <c r="AD677" s="986"/>
      <c r="AE677" s="986"/>
      <c r="BE677" s="986"/>
      <c r="BF677" s="986"/>
      <c r="BG677" s="986"/>
      <c r="BH677" s="986"/>
      <c r="BI677" s="1009"/>
      <c r="CB677" s="986"/>
      <c r="CC677" s="986"/>
      <c r="CD677" s="986"/>
      <c r="CE677" s="986"/>
      <c r="CF677" s="1009"/>
    </row>
    <row r="678" spans="2:84">
      <c r="B678" s="986"/>
      <c r="C678" s="986"/>
      <c r="D678" s="986"/>
      <c r="E678" s="986"/>
      <c r="F678" s="986"/>
      <c r="G678" s="986"/>
      <c r="H678" s="986"/>
      <c r="I678" s="986"/>
      <c r="J678" s="986"/>
      <c r="K678" s="986"/>
      <c r="L678" s="986"/>
      <c r="M678" s="986"/>
      <c r="N678" s="986"/>
      <c r="O678" s="986"/>
      <c r="P678" s="986"/>
      <c r="Q678" s="986"/>
      <c r="R678" s="986"/>
      <c r="S678" s="986"/>
      <c r="T678" s="986"/>
      <c r="U678" s="986"/>
      <c r="V678" s="986"/>
      <c r="W678" s="986"/>
      <c r="X678" s="986"/>
      <c r="Y678" s="986"/>
      <c r="Z678" s="986"/>
      <c r="AA678" s="986"/>
      <c r="AB678" s="986"/>
      <c r="AC678" s="986"/>
      <c r="AD678" s="986"/>
      <c r="AE678" s="986"/>
      <c r="BE678" s="986"/>
      <c r="BF678" s="986"/>
      <c r="BG678" s="986"/>
      <c r="BH678" s="986"/>
      <c r="BI678" s="1009"/>
      <c r="CB678" s="986"/>
      <c r="CC678" s="986"/>
      <c r="CD678" s="986"/>
      <c r="CE678" s="986"/>
      <c r="CF678" s="1009"/>
    </row>
    <row r="679" spans="2:84">
      <c r="B679" s="986"/>
      <c r="C679" s="986"/>
      <c r="D679" s="986"/>
      <c r="E679" s="986"/>
      <c r="F679" s="986"/>
      <c r="G679" s="986"/>
      <c r="H679" s="986"/>
      <c r="I679" s="986"/>
      <c r="J679" s="986"/>
      <c r="K679" s="986"/>
      <c r="L679" s="986"/>
      <c r="M679" s="986"/>
      <c r="N679" s="986"/>
      <c r="O679" s="986"/>
      <c r="P679" s="986"/>
      <c r="Q679" s="986"/>
      <c r="R679" s="986"/>
      <c r="S679" s="986"/>
      <c r="T679" s="986"/>
      <c r="U679" s="986"/>
      <c r="V679" s="986"/>
      <c r="W679" s="986"/>
      <c r="X679" s="986"/>
      <c r="Y679" s="986"/>
      <c r="Z679" s="986"/>
      <c r="AA679" s="986"/>
      <c r="AB679" s="986"/>
      <c r="AC679" s="986"/>
      <c r="AD679" s="986"/>
      <c r="AE679" s="986"/>
      <c r="BE679" s="986"/>
      <c r="BF679" s="986"/>
      <c r="BG679" s="986"/>
      <c r="BH679" s="986"/>
      <c r="BI679" s="1009"/>
      <c r="CB679" s="986"/>
      <c r="CC679" s="986"/>
      <c r="CD679" s="986"/>
      <c r="CE679" s="986"/>
      <c r="CF679" s="1009"/>
    </row>
    <row r="680" spans="2:84">
      <c r="B680" s="986"/>
      <c r="C680" s="986"/>
      <c r="D680" s="986"/>
      <c r="E680" s="986"/>
      <c r="F680" s="986"/>
      <c r="G680" s="986"/>
      <c r="H680" s="986"/>
      <c r="I680" s="986"/>
      <c r="J680" s="986"/>
      <c r="K680" s="986"/>
      <c r="L680" s="986"/>
      <c r="M680" s="986"/>
      <c r="N680" s="986"/>
      <c r="O680" s="986"/>
      <c r="P680" s="986"/>
      <c r="Q680" s="986"/>
      <c r="R680" s="986"/>
      <c r="S680" s="986"/>
      <c r="T680" s="986"/>
      <c r="U680" s="986"/>
      <c r="V680" s="986"/>
      <c r="W680" s="986"/>
      <c r="X680" s="986"/>
      <c r="Y680" s="986"/>
      <c r="Z680" s="986"/>
      <c r="AA680" s="986"/>
      <c r="AB680" s="986"/>
      <c r="AC680" s="986"/>
      <c r="AD680" s="986"/>
      <c r="AE680" s="986"/>
      <c r="BE680" s="986"/>
      <c r="BF680" s="986"/>
      <c r="BG680" s="986"/>
      <c r="BH680" s="986"/>
      <c r="BI680" s="1009"/>
      <c r="CB680" s="986"/>
      <c r="CC680" s="986"/>
      <c r="CD680" s="986"/>
      <c r="CE680" s="986"/>
      <c r="CF680" s="1009"/>
    </row>
    <row r="681" spans="2:84">
      <c r="B681" s="986"/>
      <c r="C681" s="986"/>
      <c r="D681" s="986"/>
      <c r="E681" s="986"/>
      <c r="F681" s="986"/>
      <c r="G681" s="986"/>
      <c r="H681" s="986"/>
      <c r="I681" s="986"/>
      <c r="J681" s="986"/>
      <c r="K681" s="986"/>
      <c r="L681" s="986"/>
      <c r="M681" s="986"/>
      <c r="N681" s="986"/>
      <c r="O681" s="986"/>
      <c r="P681" s="986"/>
      <c r="Q681" s="986"/>
      <c r="R681" s="986"/>
      <c r="S681" s="986"/>
      <c r="T681" s="986"/>
      <c r="U681" s="986"/>
      <c r="V681" s="986"/>
      <c r="W681" s="986"/>
      <c r="X681" s="986"/>
      <c r="Y681" s="986"/>
      <c r="Z681" s="986"/>
      <c r="AA681" s="986"/>
      <c r="AB681" s="986"/>
      <c r="AC681" s="986"/>
      <c r="AD681" s="986"/>
      <c r="AE681" s="986"/>
      <c r="BE681" s="986"/>
      <c r="BF681" s="986"/>
      <c r="BG681" s="986"/>
      <c r="BH681" s="986"/>
      <c r="BI681" s="1009"/>
      <c r="CB681" s="986"/>
      <c r="CC681" s="986"/>
      <c r="CD681" s="986"/>
      <c r="CE681" s="986"/>
      <c r="CF681" s="1009"/>
    </row>
    <row r="682" spans="2:84">
      <c r="B682" s="986"/>
      <c r="C682" s="986"/>
      <c r="D682" s="986"/>
      <c r="E682" s="986"/>
      <c r="F682" s="986"/>
      <c r="G682" s="986"/>
      <c r="H682" s="986"/>
      <c r="I682" s="986"/>
      <c r="J682" s="986"/>
      <c r="K682" s="986"/>
      <c r="L682" s="986"/>
      <c r="M682" s="986"/>
      <c r="N682" s="986"/>
      <c r="O682" s="986"/>
      <c r="P682" s="986"/>
      <c r="Q682" s="986"/>
      <c r="R682" s="986"/>
      <c r="S682" s="986"/>
      <c r="T682" s="986"/>
      <c r="U682" s="986"/>
      <c r="V682" s="986"/>
      <c r="W682" s="986"/>
      <c r="X682" s="986"/>
      <c r="Y682" s="986"/>
      <c r="Z682" s="986"/>
      <c r="AA682" s="986"/>
      <c r="AB682" s="986"/>
      <c r="AC682" s="986"/>
      <c r="AD682" s="986"/>
      <c r="AE682" s="986"/>
      <c r="BE682" s="986"/>
      <c r="BF682" s="986"/>
      <c r="BG682" s="986"/>
      <c r="BH682" s="986"/>
      <c r="BI682" s="1009"/>
      <c r="CB682" s="986"/>
      <c r="CC682" s="986"/>
      <c r="CD682" s="986"/>
      <c r="CE682" s="986"/>
      <c r="CF682" s="1009"/>
    </row>
    <row r="683" spans="2:84">
      <c r="B683" s="986"/>
      <c r="C683" s="986"/>
      <c r="D683" s="986"/>
      <c r="E683" s="986"/>
      <c r="F683" s="986"/>
      <c r="G683" s="986"/>
      <c r="H683" s="986"/>
      <c r="I683" s="986"/>
      <c r="J683" s="986"/>
      <c r="K683" s="986"/>
      <c r="L683" s="986"/>
      <c r="M683" s="986"/>
      <c r="N683" s="986"/>
      <c r="O683" s="986"/>
      <c r="P683" s="986"/>
      <c r="Q683" s="986"/>
      <c r="R683" s="986"/>
      <c r="S683" s="986"/>
      <c r="T683" s="986"/>
      <c r="U683" s="986"/>
      <c r="V683" s="986"/>
      <c r="W683" s="986"/>
      <c r="X683" s="986"/>
      <c r="Y683" s="986"/>
      <c r="Z683" s="986"/>
      <c r="AA683" s="986"/>
      <c r="AB683" s="986"/>
      <c r="AC683" s="986"/>
      <c r="AD683" s="986"/>
      <c r="AE683" s="986"/>
      <c r="BE683" s="986"/>
      <c r="BF683" s="986"/>
      <c r="BG683" s="986"/>
      <c r="BH683" s="986"/>
      <c r="BI683" s="1009"/>
      <c r="CB683" s="986"/>
      <c r="CC683" s="986"/>
      <c r="CD683" s="986"/>
      <c r="CE683" s="986"/>
      <c r="CF683" s="1009"/>
    </row>
    <row r="684" spans="2:84">
      <c r="B684" s="986"/>
      <c r="C684" s="986"/>
      <c r="D684" s="986"/>
      <c r="E684" s="986"/>
      <c r="F684" s="986"/>
      <c r="G684" s="986"/>
      <c r="H684" s="986"/>
      <c r="I684" s="986"/>
      <c r="J684" s="986"/>
      <c r="K684" s="986"/>
      <c r="L684" s="986"/>
      <c r="M684" s="986"/>
      <c r="N684" s="986"/>
      <c r="O684" s="986"/>
      <c r="P684" s="986"/>
      <c r="Q684" s="986"/>
      <c r="R684" s="986"/>
      <c r="S684" s="986"/>
      <c r="T684" s="986"/>
      <c r="U684" s="986"/>
      <c r="V684" s="986"/>
      <c r="W684" s="986"/>
      <c r="X684" s="986"/>
      <c r="Y684" s="986"/>
      <c r="Z684" s="986"/>
      <c r="AA684" s="986"/>
      <c r="AB684" s="986"/>
      <c r="AC684" s="986"/>
      <c r="AD684" s="986"/>
      <c r="AE684" s="986"/>
      <c r="BE684" s="986"/>
      <c r="BF684" s="986"/>
      <c r="BG684" s="986"/>
      <c r="BH684" s="986"/>
      <c r="BI684" s="1009"/>
      <c r="CB684" s="986"/>
      <c r="CC684" s="986"/>
      <c r="CD684" s="986"/>
      <c r="CE684" s="986"/>
      <c r="CF684" s="1009"/>
    </row>
    <row r="685" spans="2:84">
      <c r="B685" s="986"/>
      <c r="C685" s="986"/>
      <c r="D685" s="986"/>
      <c r="E685" s="986"/>
      <c r="F685" s="986"/>
      <c r="G685" s="986"/>
      <c r="H685" s="986"/>
      <c r="I685" s="986"/>
      <c r="J685" s="986"/>
      <c r="K685" s="986"/>
      <c r="L685" s="986"/>
      <c r="M685" s="986"/>
      <c r="N685" s="986"/>
      <c r="O685" s="986"/>
      <c r="P685" s="986"/>
      <c r="Q685" s="986"/>
      <c r="R685" s="986"/>
      <c r="S685" s="986"/>
      <c r="T685" s="986"/>
      <c r="U685" s="986"/>
      <c r="V685" s="986"/>
      <c r="W685" s="986"/>
      <c r="X685" s="986"/>
      <c r="Y685" s="986"/>
      <c r="Z685" s="986"/>
      <c r="AA685" s="986"/>
      <c r="AB685" s="986"/>
      <c r="AC685" s="986"/>
      <c r="AD685" s="986"/>
      <c r="AE685" s="986"/>
      <c r="BE685" s="986"/>
      <c r="BF685" s="986"/>
      <c r="BG685" s="986"/>
      <c r="BH685" s="986"/>
      <c r="BI685" s="1009"/>
      <c r="CB685" s="986"/>
      <c r="CC685" s="986"/>
      <c r="CD685" s="986"/>
      <c r="CE685" s="986"/>
      <c r="CF685" s="1009"/>
    </row>
    <row r="686" spans="2:84">
      <c r="B686" s="986"/>
      <c r="C686" s="986"/>
      <c r="D686" s="986"/>
      <c r="E686" s="986"/>
      <c r="F686" s="986"/>
      <c r="G686" s="986"/>
      <c r="H686" s="986"/>
      <c r="I686" s="986"/>
      <c r="J686" s="986"/>
      <c r="K686" s="986"/>
      <c r="L686" s="986"/>
      <c r="M686" s="986"/>
      <c r="N686" s="986"/>
      <c r="O686" s="986"/>
      <c r="P686" s="986"/>
      <c r="Q686" s="986"/>
      <c r="R686" s="986"/>
      <c r="S686" s="986"/>
      <c r="T686" s="986"/>
      <c r="U686" s="986"/>
      <c r="V686" s="986"/>
      <c r="W686" s="986"/>
      <c r="X686" s="986"/>
      <c r="Y686" s="986"/>
      <c r="Z686" s="986"/>
      <c r="AA686" s="986"/>
      <c r="AB686" s="986"/>
      <c r="AC686" s="986"/>
      <c r="AD686" s="986"/>
      <c r="AE686" s="986"/>
      <c r="BE686" s="986"/>
      <c r="BF686" s="986"/>
      <c r="BG686" s="986"/>
      <c r="BH686" s="986"/>
      <c r="BI686" s="1009"/>
      <c r="CB686" s="986"/>
      <c r="CC686" s="986"/>
      <c r="CD686" s="986"/>
      <c r="CE686" s="986"/>
      <c r="CF686" s="1009"/>
    </row>
    <row r="687" spans="2:84">
      <c r="B687" s="986"/>
      <c r="C687" s="986"/>
      <c r="D687" s="986"/>
      <c r="E687" s="986"/>
      <c r="F687" s="986"/>
      <c r="G687" s="986"/>
      <c r="H687" s="986"/>
      <c r="I687" s="986"/>
      <c r="J687" s="986"/>
      <c r="K687" s="986"/>
      <c r="L687" s="986"/>
      <c r="M687" s="986"/>
      <c r="N687" s="986"/>
      <c r="O687" s="986"/>
      <c r="P687" s="986"/>
      <c r="Q687" s="986"/>
      <c r="R687" s="986"/>
      <c r="S687" s="986"/>
      <c r="T687" s="986"/>
      <c r="U687" s="986"/>
      <c r="V687" s="986"/>
      <c r="W687" s="986"/>
      <c r="X687" s="986"/>
      <c r="Y687" s="986"/>
      <c r="Z687" s="986"/>
      <c r="AA687" s="986"/>
      <c r="AB687" s="986"/>
      <c r="AC687" s="986"/>
      <c r="AD687" s="986"/>
      <c r="AE687" s="986"/>
      <c r="BE687" s="986"/>
      <c r="BF687" s="986"/>
      <c r="BG687" s="986"/>
      <c r="BH687" s="986"/>
      <c r="BI687" s="1009"/>
      <c r="CB687" s="986"/>
      <c r="CC687" s="986"/>
      <c r="CD687" s="986"/>
      <c r="CE687" s="986"/>
      <c r="CF687" s="1009"/>
    </row>
    <row r="688" spans="2:84">
      <c r="B688" s="986"/>
      <c r="C688" s="986"/>
      <c r="D688" s="986"/>
      <c r="E688" s="986"/>
      <c r="F688" s="986"/>
      <c r="G688" s="986"/>
      <c r="H688" s="986"/>
      <c r="I688" s="986"/>
      <c r="J688" s="986"/>
      <c r="K688" s="986"/>
      <c r="L688" s="986"/>
      <c r="M688" s="986"/>
      <c r="N688" s="986"/>
      <c r="O688" s="986"/>
      <c r="P688" s="986"/>
      <c r="Q688" s="986"/>
      <c r="R688" s="986"/>
      <c r="S688" s="986"/>
      <c r="T688" s="986"/>
      <c r="U688" s="986"/>
      <c r="V688" s="986"/>
      <c r="W688" s="986"/>
      <c r="X688" s="986"/>
      <c r="Y688" s="986"/>
      <c r="Z688" s="986"/>
      <c r="AA688" s="986"/>
      <c r="AB688" s="986"/>
      <c r="AC688" s="986"/>
      <c r="AD688" s="986"/>
      <c r="AE688" s="986"/>
      <c r="BE688" s="986"/>
      <c r="BF688" s="986"/>
      <c r="BG688" s="986"/>
      <c r="BH688" s="986"/>
      <c r="BI688" s="1009"/>
      <c r="CB688" s="986"/>
      <c r="CC688" s="986"/>
      <c r="CD688" s="986"/>
      <c r="CE688" s="986"/>
      <c r="CF688" s="1009"/>
    </row>
    <row r="689" spans="2:84">
      <c r="B689" s="986"/>
      <c r="C689" s="986"/>
      <c r="D689" s="986"/>
      <c r="E689" s="986"/>
      <c r="F689" s="986"/>
      <c r="G689" s="986"/>
      <c r="H689" s="986"/>
      <c r="I689" s="986"/>
      <c r="J689" s="986"/>
      <c r="K689" s="986"/>
      <c r="L689" s="986"/>
      <c r="M689" s="986"/>
      <c r="N689" s="986"/>
      <c r="O689" s="986"/>
      <c r="P689" s="986"/>
      <c r="Q689" s="986"/>
      <c r="R689" s="986"/>
      <c r="S689" s="986"/>
      <c r="T689" s="986"/>
      <c r="U689" s="986"/>
      <c r="V689" s="986"/>
      <c r="W689" s="986"/>
      <c r="X689" s="986"/>
      <c r="Y689" s="986"/>
      <c r="Z689" s="986"/>
      <c r="AA689" s="986"/>
      <c r="AB689" s="986"/>
      <c r="AC689" s="986"/>
      <c r="AD689" s="986"/>
      <c r="AE689" s="986"/>
      <c r="BE689" s="986"/>
      <c r="BF689" s="986"/>
      <c r="BG689" s="986"/>
      <c r="BH689" s="986"/>
      <c r="BI689" s="1009"/>
      <c r="CB689" s="986"/>
      <c r="CC689" s="986"/>
      <c r="CD689" s="986"/>
      <c r="CE689" s="986"/>
      <c r="CF689" s="1009"/>
    </row>
    <row r="690" spans="2:84">
      <c r="B690" s="986"/>
      <c r="C690" s="986"/>
      <c r="D690" s="986"/>
      <c r="E690" s="986"/>
      <c r="F690" s="986"/>
      <c r="G690" s="986"/>
      <c r="H690" s="986"/>
      <c r="I690" s="986"/>
      <c r="J690" s="986"/>
      <c r="K690" s="986"/>
      <c r="L690" s="986"/>
      <c r="M690" s="986"/>
      <c r="N690" s="986"/>
      <c r="O690" s="986"/>
      <c r="P690" s="986"/>
      <c r="Q690" s="986"/>
      <c r="R690" s="986"/>
      <c r="S690" s="986"/>
      <c r="T690" s="986"/>
      <c r="U690" s="986"/>
      <c r="V690" s="986"/>
      <c r="W690" s="986"/>
      <c r="X690" s="986"/>
      <c r="Y690" s="986"/>
      <c r="Z690" s="986"/>
      <c r="AA690" s="986"/>
      <c r="AB690" s="986"/>
      <c r="AC690" s="986"/>
      <c r="AD690" s="986"/>
      <c r="AE690" s="986"/>
      <c r="BE690" s="986"/>
      <c r="BF690" s="986"/>
      <c r="BG690" s="986"/>
      <c r="BH690" s="986"/>
      <c r="BI690" s="1009"/>
      <c r="CB690" s="986"/>
      <c r="CC690" s="986"/>
      <c r="CD690" s="986"/>
      <c r="CE690" s="986"/>
      <c r="CF690" s="1009"/>
    </row>
    <row r="691" spans="2:84">
      <c r="B691" s="986"/>
      <c r="C691" s="986"/>
      <c r="D691" s="986"/>
      <c r="E691" s="986"/>
      <c r="F691" s="986"/>
      <c r="G691" s="986"/>
      <c r="H691" s="986"/>
      <c r="I691" s="986"/>
      <c r="J691" s="986"/>
      <c r="K691" s="986"/>
      <c r="L691" s="986"/>
      <c r="M691" s="986"/>
      <c r="N691" s="986"/>
      <c r="O691" s="986"/>
      <c r="P691" s="986"/>
      <c r="Q691" s="986"/>
      <c r="R691" s="986"/>
      <c r="S691" s="986"/>
      <c r="T691" s="986"/>
      <c r="U691" s="986"/>
      <c r="V691" s="986"/>
      <c r="W691" s="986"/>
      <c r="X691" s="986"/>
      <c r="Y691" s="986"/>
      <c r="Z691" s="986"/>
      <c r="AA691" s="986"/>
      <c r="AB691" s="986"/>
      <c r="AC691" s="986"/>
      <c r="AD691" s="986"/>
      <c r="AE691" s="986"/>
      <c r="BE691" s="986"/>
      <c r="BF691" s="986"/>
      <c r="BG691" s="986"/>
      <c r="BH691" s="986"/>
      <c r="BI691" s="1009"/>
      <c r="CB691" s="986"/>
      <c r="CC691" s="986"/>
      <c r="CD691" s="986"/>
      <c r="CE691" s="986"/>
      <c r="CF691" s="1009"/>
    </row>
    <row r="692" spans="2:84">
      <c r="B692" s="986"/>
      <c r="C692" s="986"/>
      <c r="D692" s="986"/>
      <c r="E692" s="986"/>
      <c r="F692" s="986"/>
      <c r="G692" s="986"/>
      <c r="H692" s="986"/>
      <c r="I692" s="986"/>
      <c r="J692" s="986"/>
      <c r="K692" s="986"/>
      <c r="L692" s="986"/>
      <c r="M692" s="986"/>
      <c r="N692" s="986"/>
      <c r="O692" s="986"/>
      <c r="P692" s="986"/>
      <c r="Q692" s="986"/>
      <c r="R692" s="986"/>
      <c r="S692" s="986"/>
      <c r="T692" s="986"/>
      <c r="U692" s="986"/>
      <c r="V692" s="986"/>
      <c r="W692" s="986"/>
      <c r="X692" s="986"/>
      <c r="Y692" s="986"/>
      <c r="Z692" s="986"/>
      <c r="AA692" s="986"/>
      <c r="AB692" s="986"/>
      <c r="AC692" s="986"/>
      <c r="AD692" s="986"/>
      <c r="AE692" s="986"/>
      <c r="BE692" s="986"/>
      <c r="BF692" s="986"/>
      <c r="BG692" s="986"/>
      <c r="BH692" s="986"/>
      <c r="BI692" s="1009"/>
      <c r="CB692" s="986"/>
      <c r="CC692" s="986"/>
      <c r="CD692" s="986"/>
      <c r="CE692" s="986"/>
      <c r="CF692" s="1009"/>
    </row>
    <row r="693" spans="2:84">
      <c r="B693" s="986"/>
      <c r="C693" s="986"/>
      <c r="D693" s="986"/>
      <c r="E693" s="986"/>
      <c r="F693" s="986"/>
      <c r="G693" s="986"/>
      <c r="H693" s="986"/>
      <c r="I693" s="986"/>
      <c r="J693" s="986"/>
      <c r="K693" s="986"/>
      <c r="L693" s="986"/>
      <c r="M693" s="986"/>
      <c r="N693" s="986"/>
      <c r="O693" s="986"/>
      <c r="P693" s="986"/>
      <c r="Q693" s="986"/>
      <c r="R693" s="986"/>
      <c r="S693" s="986"/>
      <c r="T693" s="986"/>
      <c r="U693" s="986"/>
      <c r="V693" s="986"/>
      <c r="W693" s="986"/>
      <c r="X693" s="986"/>
      <c r="Y693" s="986"/>
      <c r="Z693" s="986"/>
      <c r="AA693" s="986"/>
      <c r="AB693" s="986"/>
      <c r="AC693" s="986"/>
      <c r="AD693" s="986"/>
      <c r="AE693" s="986"/>
      <c r="BE693" s="986"/>
      <c r="BF693" s="986"/>
      <c r="BG693" s="986"/>
      <c r="BH693" s="986"/>
      <c r="BI693" s="1009"/>
      <c r="CB693" s="986"/>
      <c r="CC693" s="986"/>
      <c r="CD693" s="986"/>
      <c r="CE693" s="986"/>
      <c r="CF693" s="1009"/>
    </row>
    <row r="694" spans="2:84">
      <c r="B694" s="986"/>
      <c r="C694" s="986"/>
      <c r="D694" s="986"/>
      <c r="E694" s="986"/>
      <c r="F694" s="986"/>
      <c r="G694" s="986"/>
      <c r="H694" s="986"/>
      <c r="I694" s="986"/>
      <c r="J694" s="986"/>
      <c r="K694" s="986"/>
      <c r="L694" s="986"/>
      <c r="M694" s="986"/>
      <c r="N694" s="986"/>
      <c r="O694" s="986"/>
      <c r="P694" s="986"/>
      <c r="Q694" s="986"/>
      <c r="R694" s="986"/>
      <c r="S694" s="986"/>
      <c r="T694" s="986"/>
      <c r="U694" s="986"/>
      <c r="V694" s="986"/>
      <c r="W694" s="986"/>
      <c r="X694" s="986"/>
      <c r="Y694" s="986"/>
      <c r="Z694" s="986"/>
      <c r="AA694" s="986"/>
      <c r="AB694" s="986"/>
      <c r="AC694" s="986"/>
      <c r="AD694" s="986"/>
      <c r="AE694" s="986"/>
      <c r="BE694" s="986"/>
      <c r="BF694" s="986"/>
      <c r="BG694" s="986"/>
      <c r="BH694" s="986"/>
      <c r="BI694" s="1009"/>
      <c r="CB694" s="986"/>
      <c r="CC694" s="986"/>
      <c r="CD694" s="986"/>
      <c r="CE694" s="986"/>
      <c r="CF694" s="1009"/>
    </row>
    <row r="695" spans="2:84">
      <c r="B695" s="986"/>
      <c r="C695" s="986"/>
      <c r="D695" s="986"/>
      <c r="E695" s="986"/>
      <c r="F695" s="986"/>
      <c r="G695" s="986"/>
      <c r="H695" s="986"/>
      <c r="I695" s="986"/>
      <c r="J695" s="986"/>
      <c r="K695" s="986"/>
      <c r="L695" s="986"/>
      <c r="M695" s="986"/>
      <c r="N695" s="986"/>
      <c r="O695" s="986"/>
      <c r="P695" s="986"/>
      <c r="Q695" s="986"/>
      <c r="R695" s="986"/>
      <c r="S695" s="986"/>
      <c r="T695" s="986"/>
      <c r="U695" s="986"/>
      <c r="V695" s="986"/>
      <c r="W695" s="986"/>
      <c r="X695" s="986"/>
      <c r="Y695" s="986"/>
      <c r="Z695" s="986"/>
      <c r="AA695" s="986"/>
      <c r="AB695" s="986"/>
      <c r="AC695" s="986"/>
      <c r="AD695" s="986"/>
      <c r="AE695" s="986"/>
      <c r="BE695" s="986"/>
      <c r="BF695" s="986"/>
      <c r="BG695" s="986"/>
      <c r="BH695" s="986"/>
      <c r="BI695" s="1009"/>
      <c r="CB695" s="986"/>
      <c r="CC695" s="986"/>
      <c r="CD695" s="986"/>
      <c r="CE695" s="986"/>
      <c r="CF695" s="1009"/>
    </row>
    <row r="696" spans="2:84">
      <c r="B696" s="986"/>
      <c r="C696" s="986"/>
      <c r="D696" s="986"/>
      <c r="E696" s="986"/>
      <c r="F696" s="986"/>
      <c r="G696" s="986"/>
      <c r="H696" s="986"/>
      <c r="I696" s="986"/>
      <c r="J696" s="986"/>
      <c r="K696" s="986"/>
      <c r="L696" s="986"/>
      <c r="M696" s="986"/>
      <c r="N696" s="986"/>
      <c r="O696" s="986"/>
      <c r="P696" s="986"/>
      <c r="Q696" s="986"/>
      <c r="R696" s="986"/>
      <c r="S696" s="986"/>
      <c r="T696" s="986"/>
      <c r="U696" s="986"/>
      <c r="V696" s="986"/>
      <c r="W696" s="986"/>
      <c r="X696" s="986"/>
      <c r="Y696" s="986"/>
      <c r="Z696" s="986"/>
      <c r="AA696" s="986"/>
      <c r="AB696" s="986"/>
      <c r="AC696" s="986"/>
      <c r="AD696" s="986"/>
      <c r="AE696" s="986"/>
      <c r="BE696" s="986"/>
      <c r="BF696" s="986"/>
      <c r="BG696" s="986"/>
      <c r="BH696" s="986"/>
      <c r="BI696" s="1009"/>
      <c r="CB696" s="986"/>
      <c r="CC696" s="986"/>
      <c r="CD696" s="986"/>
      <c r="CE696" s="986"/>
      <c r="CF696" s="1009"/>
    </row>
    <row r="697" spans="2:84">
      <c r="B697" s="986"/>
      <c r="C697" s="986"/>
      <c r="D697" s="986"/>
      <c r="E697" s="986"/>
      <c r="F697" s="986"/>
      <c r="G697" s="986"/>
      <c r="H697" s="986"/>
      <c r="I697" s="986"/>
      <c r="J697" s="986"/>
      <c r="K697" s="986"/>
      <c r="L697" s="986"/>
      <c r="M697" s="986"/>
      <c r="N697" s="986"/>
      <c r="O697" s="986"/>
      <c r="P697" s="986"/>
      <c r="Q697" s="986"/>
      <c r="R697" s="986"/>
      <c r="S697" s="986"/>
      <c r="T697" s="986"/>
      <c r="U697" s="986"/>
      <c r="V697" s="986"/>
      <c r="W697" s="986"/>
      <c r="X697" s="986"/>
      <c r="Y697" s="986"/>
      <c r="Z697" s="986"/>
      <c r="AA697" s="986"/>
      <c r="AB697" s="986"/>
      <c r="AC697" s="986"/>
      <c r="AD697" s="986"/>
      <c r="AE697" s="986"/>
      <c r="BE697" s="986"/>
      <c r="BF697" s="986"/>
      <c r="BG697" s="986"/>
      <c r="BH697" s="986"/>
      <c r="BI697" s="1009"/>
      <c r="CB697" s="986"/>
      <c r="CC697" s="986"/>
      <c r="CD697" s="986"/>
      <c r="CE697" s="986"/>
      <c r="CF697" s="1009"/>
    </row>
    <row r="698" spans="2:84">
      <c r="B698" s="986"/>
      <c r="C698" s="986"/>
      <c r="D698" s="986"/>
      <c r="E698" s="986"/>
      <c r="F698" s="986"/>
      <c r="G698" s="986"/>
      <c r="H698" s="986"/>
      <c r="I698" s="986"/>
      <c r="J698" s="986"/>
      <c r="K698" s="986"/>
      <c r="L698" s="986"/>
      <c r="M698" s="986"/>
      <c r="N698" s="986"/>
      <c r="O698" s="986"/>
      <c r="P698" s="986"/>
      <c r="Q698" s="986"/>
      <c r="R698" s="986"/>
      <c r="S698" s="986"/>
      <c r="T698" s="986"/>
      <c r="U698" s="986"/>
      <c r="V698" s="986"/>
      <c r="W698" s="986"/>
      <c r="X698" s="986"/>
      <c r="Y698" s="986"/>
      <c r="Z698" s="986"/>
      <c r="AA698" s="986"/>
      <c r="AB698" s="986"/>
      <c r="AC698" s="986"/>
      <c r="AD698" s="986"/>
      <c r="AE698" s="986"/>
      <c r="BE698" s="986"/>
      <c r="BF698" s="986"/>
      <c r="BG698" s="986"/>
      <c r="BH698" s="986"/>
      <c r="BI698" s="1009"/>
      <c r="CB698" s="986"/>
      <c r="CC698" s="986"/>
      <c r="CD698" s="986"/>
      <c r="CE698" s="986"/>
      <c r="CF698" s="1009"/>
    </row>
    <row r="699" spans="2:84">
      <c r="B699" s="986"/>
      <c r="C699" s="986"/>
      <c r="D699" s="986"/>
      <c r="E699" s="986"/>
      <c r="F699" s="986"/>
      <c r="G699" s="986"/>
      <c r="H699" s="986"/>
      <c r="I699" s="986"/>
      <c r="J699" s="986"/>
      <c r="K699" s="986"/>
      <c r="L699" s="986"/>
      <c r="M699" s="986"/>
      <c r="N699" s="986"/>
      <c r="O699" s="986"/>
      <c r="P699" s="986"/>
      <c r="Q699" s="986"/>
      <c r="R699" s="986"/>
      <c r="S699" s="986"/>
      <c r="T699" s="986"/>
      <c r="U699" s="986"/>
      <c r="V699" s="986"/>
      <c r="W699" s="986"/>
      <c r="X699" s="986"/>
      <c r="Y699" s="986"/>
      <c r="Z699" s="986"/>
      <c r="AA699" s="986"/>
      <c r="AB699" s="986"/>
      <c r="AC699" s="986"/>
      <c r="AD699" s="986"/>
      <c r="AE699" s="986"/>
      <c r="BE699" s="986"/>
      <c r="BF699" s="986"/>
      <c r="BG699" s="986"/>
      <c r="BH699" s="986"/>
      <c r="BI699" s="1009"/>
      <c r="CB699" s="986"/>
      <c r="CC699" s="986"/>
      <c r="CD699" s="986"/>
      <c r="CE699" s="986"/>
      <c r="CF699" s="1009"/>
    </row>
    <row r="700" spans="2:84">
      <c r="B700" s="986"/>
      <c r="C700" s="986"/>
      <c r="D700" s="986"/>
      <c r="E700" s="986"/>
      <c r="F700" s="986"/>
      <c r="G700" s="986"/>
      <c r="H700" s="986"/>
      <c r="I700" s="986"/>
      <c r="J700" s="986"/>
      <c r="K700" s="986"/>
      <c r="L700" s="986"/>
      <c r="M700" s="986"/>
      <c r="N700" s="986"/>
      <c r="O700" s="986"/>
      <c r="P700" s="986"/>
      <c r="Q700" s="986"/>
      <c r="R700" s="986"/>
      <c r="S700" s="986"/>
      <c r="T700" s="986"/>
      <c r="U700" s="986"/>
      <c r="V700" s="986"/>
      <c r="W700" s="986"/>
      <c r="X700" s="986"/>
      <c r="Y700" s="986"/>
      <c r="Z700" s="986"/>
      <c r="AA700" s="986"/>
      <c r="AB700" s="986"/>
      <c r="AC700" s="986"/>
      <c r="AD700" s="986"/>
      <c r="AE700" s="986"/>
      <c r="BE700" s="986"/>
      <c r="BF700" s="986"/>
      <c r="BG700" s="986"/>
      <c r="BH700" s="986"/>
      <c r="BI700" s="1009"/>
      <c r="CB700" s="986"/>
      <c r="CC700" s="986"/>
      <c r="CD700" s="986"/>
      <c r="CE700" s="986"/>
      <c r="CF700" s="1009"/>
    </row>
    <row r="701" spans="2:84">
      <c r="B701" s="986"/>
      <c r="C701" s="986"/>
      <c r="D701" s="986"/>
      <c r="E701" s="986"/>
      <c r="F701" s="986"/>
      <c r="G701" s="986"/>
      <c r="H701" s="986"/>
      <c r="I701" s="986"/>
      <c r="J701" s="986"/>
      <c r="K701" s="986"/>
      <c r="L701" s="986"/>
      <c r="M701" s="986"/>
      <c r="N701" s="986"/>
      <c r="O701" s="986"/>
      <c r="P701" s="986"/>
      <c r="Q701" s="986"/>
      <c r="R701" s="986"/>
      <c r="S701" s="986"/>
      <c r="T701" s="986"/>
      <c r="U701" s="986"/>
      <c r="V701" s="986"/>
      <c r="W701" s="986"/>
      <c r="X701" s="986"/>
      <c r="Y701" s="986"/>
      <c r="Z701" s="986"/>
      <c r="AA701" s="986"/>
      <c r="AB701" s="986"/>
      <c r="AC701" s="986"/>
      <c r="AD701" s="986"/>
      <c r="AE701" s="986"/>
      <c r="BE701" s="986"/>
      <c r="BF701" s="986"/>
      <c r="BG701" s="986"/>
      <c r="BH701" s="986"/>
      <c r="BI701" s="1009"/>
      <c r="CB701" s="986"/>
      <c r="CC701" s="986"/>
      <c r="CD701" s="986"/>
      <c r="CE701" s="986"/>
      <c r="CF701" s="1009"/>
    </row>
    <row r="702" spans="2:84">
      <c r="B702" s="986"/>
      <c r="C702" s="986"/>
      <c r="D702" s="986"/>
      <c r="E702" s="986"/>
      <c r="F702" s="986"/>
      <c r="G702" s="986"/>
      <c r="H702" s="986"/>
      <c r="I702" s="986"/>
      <c r="J702" s="986"/>
      <c r="K702" s="986"/>
      <c r="L702" s="986"/>
      <c r="M702" s="986"/>
      <c r="N702" s="986"/>
      <c r="O702" s="986"/>
      <c r="P702" s="986"/>
      <c r="Q702" s="986"/>
      <c r="R702" s="986"/>
      <c r="S702" s="986"/>
      <c r="T702" s="986"/>
      <c r="U702" s="986"/>
      <c r="V702" s="986"/>
      <c r="W702" s="986"/>
      <c r="X702" s="986"/>
      <c r="Y702" s="986"/>
      <c r="Z702" s="986"/>
      <c r="AA702" s="986"/>
      <c r="AB702" s="986"/>
      <c r="AC702" s="986"/>
      <c r="AD702" s="986"/>
      <c r="AE702" s="986"/>
      <c r="BE702" s="986"/>
      <c r="BF702" s="986"/>
      <c r="BG702" s="986"/>
      <c r="BH702" s="986"/>
      <c r="BI702" s="1009"/>
      <c r="CB702" s="986"/>
      <c r="CC702" s="986"/>
      <c r="CD702" s="986"/>
      <c r="CE702" s="986"/>
      <c r="CF702" s="1009"/>
    </row>
    <row r="703" spans="2:84">
      <c r="B703" s="986"/>
      <c r="C703" s="986"/>
      <c r="D703" s="986"/>
      <c r="E703" s="986"/>
      <c r="F703" s="986"/>
      <c r="G703" s="986"/>
      <c r="H703" s="986"/>
      <c r="I703" s="986"/>
      <c r="J703" s="986"/>
      <c r="K703" s="986"/>
      <c r="L703" s="986"/>
      <c r="M703" s="986"/>
      <c r="N703" s="986"/>
      <c r="O703" s="986"/>
      <c r="P703" s="986"/>
      <c r="Q703" s="986"/>
      <c r="R703" s="986"/>
      <c r="S703" s="986"/>
      <c r="T703" s="986"/>
      <c r="U703" s="986"/>
      <c r="V703" s="986"/>
      <c r="W703" s="986"/>
      <c r="X703" s="986"/>
      <c r="Y703" s="986"/>
      <c r="Z703" s="986"/>
      <c r="AA703" s="986"/>
      <c r="AB703" s="986"/>
      <c r="AC703" s="986"/>
      <c r="AD703" s="986"/>
      <c r="AE703" s="986"/>
      <c r="BE703" s="986"/>
      <c r="BF703" s="986"/>
      <c r="BG703" s="986"/>
      <c r="BH703" s="986"/>
      <c r="BI703" s="1009"/>
      <c r="CB703" s="986"/>
      <c r="CC703" s="986"/>
      <c r="CD703" s="986"/>
      <c r="CE703" s="986"/>
      <c r="CF703" s="1009"/>
    </row>
    <row r="704" spans="2:84">
      <c r="B704" s="986"/>
      <c r="C704" s="986"/>
      <c r="D704" s="986"/>
      <c r="E704" s="986"/>
      <c r="F704" s="986"/>
      <c r="G704" s="986"/>
      <c r="H704" s="986"/>
      <c r="I704" s="986"/>
      <c r="J704" s="986"/>
      <c r="K704" s="986"/>
      <c r="L704" s="986"/>
      <c r="M704" s="986"/>
      <c r="N704" s="986"/>
      <c r="O704" s="986"/>
      <c r="P704" s="986"/>
      <c r="Q704" s="986"/>
      <c r="R704" s="986"/>
      <c r="S704" s="986"/>
      <c r="T704" s="986"/>
      <c r="U704" s="986"/>
      <c r="V704" s="986"/>
      <c r="W704" s="986"/>
      <c r="X704" s="986"/>
      <c r="Y704" s="986"/>
      <c r="Z704" s="986"/>
      <c r="AA704" s="986"/>
      <c r="AB704" s="986"/>
      <c r="AC704" s="986"/>
      <c r="AD704" s="986"/>
      <c r="AE704" s="986"/>
      <c r="BE704" s="986"/>
      <c r="BF704" s="986"/>
      <c r="BG704" s="986"/>
      <c r="BH704" s="986"/>
      <c r="BI704" s="1009"/>
      <c r="CB704" s="986"/>
      <c r="CC704" s="986"/>
      <c r="CD704" s="986"/>
      <c r="CE704" s="986"/>
      <c r="CF704" s="1009"/>
    </row>
    <row r="705" spans="2:84">
      <c r="B705" s="986"/>
      <c r="C705" s="986"/>
      <c r="D705" s="986"/>
      <c r="E705" s="986"/>
      <c r="F705" s="986"/>
      <c r="G705" s="986"/>
      <c r="H705" s="986"/>
      <c r="I705" s="986"/>
      <c r="J705" s="986"/>
      <c r="K705" s="986"/>
      <c r="L705" s="986"/>
      <c r="M705" s="986"/>
      <c r="N705" s="986"/>
      <c r="O705" s="986"/>
      <c r="P705" s="986"/>
      <c r="Q705" s="986"/>
      <c r="R705" s="986"/>
      <c r="S705" s="986"/>
      <c r="T705" s="986"/>
      <c r="U705" s="986"/>
      <c r="V705" s="986"/>
      <c r="W705" s="986"/>
      <c r="X705" s="986"/>
      <c r="Y705" s="986"/>
      <c r="Z705" s="986"/>
      <c r="AA705" s="986"/>
      <c r="AB705" s="986"/>
      <c r="AC705" s="986"/>
      <c r="AD705" s="986"/>
      <c r="AE705" s="986"/>
      <c r="BE705" s="986"/>
      <c r="BF705" s="986"/>
      <c r="BG705" s="986"/>
      <c r="BH705" s="986"/>
      <c r="BI705" s="1009"/>
      <c r="CB705" s="986"/>
      <c r="CC705" s="986"/>
      <c r="CD705" s="986"/>
      <c r="CE705" s="986"/>
      <c r="CF705" s="1009"/>
    </row>
    <row r="706" spans="2:84">
      <c r="B706" s="986"/>
      <c r="C706" s="986"/>
      <c r="D706" s="986"/>
      <c r="E706" s="986"/>
      <c r="F706" s="986"/>
      <c r="G706" s="986"/>
      <c r="H706" s="986"/>
      <c r="I706" s="986"/>
      <c r="J706" s="986"/>
      <c r="K706" s="986"/>
      <c r="L706" s="986"/>
      <c r="M706" s="986"/>
      <c r="N706" s="986"/>
      <c r="O706" s="986"/>
      <c r="P706" s="986"/>
      <c r="Q706" s="986"/>
      <c r="R706" s="986"/>
      <c r="S706" s="986"/>
      <c r="T706" s="986"/>
      <c r="U706" s="986"/>
      <c r="V706" s="986"/>
      <c r="W706" s="986"/>
      <c r="X706" s="986"/>
      <c r="Y706" s="986"/>
      <c r="Z706" s="986"/>
      <c r="AA706" s="986"/>
      <c r="AB706" s="986"/>
      <c r="AC706" s="986"/>
      <c r="AD706" s="986"/>
      <c r="AE706" s="986"/>
      <c r="BE706" s="986"/>
      <c r="BF706" s="986"/>
      <c r="BG706" s="986"/>
      <c r="BH706" s="986"/>
      <c r="BI706" s="1009"/>
      <c r="CB706" s="986"/>
      <c r="CC706" s="986"/>
      <c r="CD706" s="986"/>
      <c r="CE706" s="986"/>
      <c r="CF706" s="1009"/>
    </row>
    <row r="707" spans="2:84">
      <c r="B707" s="986"/>
      <c r="C707" s="986"/>
      <c r="D707" s="986"/>
      <c r="E707" s="986"/>
      <c r="F707" s="986"/>
      <c r="G707" s="986"/>
      <c r="H707" s="986"/>
      <c r="I707" s="986"/>
      <c r="J707" s="986"/>
      <c r="K707" s="986"/>
      <c r="L707" s="986"/>
      <c r="M707" s="986"/>
      <c r="N707" s="986"/>
      <c r="O707" s="986"/>
      <c r="P707" s="986"/>
      <c r="Q707" s="986"/>
      <c r="R707" s="986"/>
      <c r="S707" s="986"/>
      <c r="T707" s="986"/>
      <c r="U707" s="986"/>
      <c r="V707" s="986"/>
      <c r="W707" s="986"/>
      <c r="X707" s="986"/>
      <c r="Y707" s="986"/>
      <c r="Z707" s="986"/>
      <c r="AA707" s="986"/>
      <c r="AB707" s="986"/>
      <c r="AC707" s="986"/>
      <c r="AD707" s="986"/>
      <c r="AE707" s="986"/>
      <c r="BE707" s="986"/>
      <c r="BF707" s="986"/>
      <c r="BG707" s="986"/>
      <c r="BH707" s="986"/>
      <c r="BI707" s="1009"/>
      <c r="CB707" s="986"/>
      <c r="CC707" s="986"/>
      <c r="CD707" s="986"/>
      <c r="CE707" s="986"/>
      <c r="CF707" s="1009"/>
    </row>
    <row r="708" spans="2:84">
      <c r="B708" s="986"/>
      <c r="C708" s="986"/>
      <c r="D708" s="986"/>
      <c r="E708" s="986"/>
      <c r="F708" s="986"/>
      <c r="G708" s="986"/>
      <c r="H708" s="986"/>
      <c r="I708" s="986"/>
      <c r="J708" s="986"/>
      <c r="K708" s="986"/>
      <c r="L708" s="986"/>
      <c r="M708" s="986"/>
      <c r="N708" s="986"/>
      <c r="O708" s="986"/>
      <c r="P708" s="986"/>
      <c r="Q708" s="986"/>
      <c r="R708" s="986"/>
      <c r="S708" s="986"/>
      <c r="T708" s="986"/>
      <c r="U708" s="986"/>
      <c r="V708" s="986"/>
      <c r="W708" s="986"/>
      <c r="X708" s="986"/>
      <c r="Y708" s="986"/>
      <c r="Z708" s="986"/>
      <c r="AA708" s="986"/>
      <c r="AB708" s="986"/>
      <c r="AC708" s="986"/>
      <c r="AD708" s="986"/>
      <c r="AE708" s="986"/>
      <c r="BE708" s="986"/>
      <c r="BF708" s="986"/>
      <c r="BG708" s="986"/>
      <c r="BH708" s="986"/>
      <c r="BI708" s="1009"/>
      <c r="CB708" s="986"/>
      <c r="CC708" s="986"/>
      <c r="CD708" s="986"/>
      <c r="CE708" s="986"/>
      <c r="CF708" s="1009"/>
    </row>
    <row r="709" spans="2:84">
      <c r="B709" s="986"/>
      <c r="C709" s="986"/>
      <c r="D709" s="986"/>
      <c r="E709" s="986"/>
      <c r="F709" s="986"/>
      <c r="G709" s="986"/>
      <c r="H709" s="986"/>
      <c r="I709" s="986"/>
      <c r="J709" s="986"/>
      <c r="K709" s="986"/>
      <c r="L709" s="986"/>
      <c r="M709" s="986"/>
      <c r="N709" s="986"/>
      <c r="O709" s="986"/>
      <c r="P709" s="986"/>
      <c r="Q709" s="986"/>
      <c r="R709" s="986"/>
      <c r="S709" s="986"/>
      <c r="T709" s="986"/>
      <c r="U709" s="986"/>
      <c r="V709" s="986"/>
      <c r="W709" s="986"/>
      <c r="X709" s="986"/>
      <c r="Y709" s="986"/>
      <c r="Z709" s="986"/>
      <c r="AA709" s="986"/>
      <c r="AB709" s="986"/>
      <c r="AC709" s="986"/>
      <c r="AD709" s="986"/>
      <c r="AE709" s="986"/>
      <c r="BE709" s="986"/>
      <c r="BF709" s="986"/>
      <c r="BG709" s="986"/>
      <c r="BH709" s="986"/>
      <c r="BI709" s="1009"/>
      <c r="CB709" s="986"/>
      <c r="CC709" s="986"/>
      <c r="CD709" s="986"/>
      <c r="CE709" s="986"/>
      <c r="CF709" s="1009"/>
    </row>
    <row r="710" spans="2:84">
      <c r="B710" s="986"/>
      <c r="C710" s="986"/>
      <c r="D710" s="986"/>
      <c r="E710" s="986"/>
      <c r="F710" s="986"/>
      <c r="G710" s="986"/>
      <c r="H710" s="986"/>
      <c r="I710" s="986"/>
      <c r="J710" s="986"/>
      <c r="K710" s="986"/>
      <c r="L710" s="986"/>
      <c r="M710" s="986"/>
      <c r="N710" s="986"/>
      <c r="O710" s="986"/>
      <c r="P710" s="986"/>
      <c r="Q710" s="986"/>
      <c r="R710" s="986"/>
      <c r="S710" s="986"/>
      <c r="T710" s="986"/>
      <c r="U710" s="986"/>
      <c r="V710" s="986"/>
      <c r="W710" s="986"/>
      <c r="X710" s="986"/>
      <c r="Y710" s="986"/>
      <c r="Z710" s="986"/>
      <c r="AA710" s="986"/>
      <c r="AB710" s="986"/>
      <c r="AC710" s="986"/>
      <c r="AD710" s="986"/>
      <c r="AE710" s="986"/>
      <c r="BE710" s="986"/>
      <c r="BF710" s="986"/>
      <c r="BG710" s="986"/>
      <c r="BH710" s="986"/>
      <c r="BI710" s="1009"/>
      <c r="CB710" s="986"/>
      <c r="CC710" s="986"/>
      <c r="CD710" s="986"/>
      <c r="CE710" s="986"/>
      <c r="CF710" s="1009"/>
    </row>
    <row r="711" spans="2:84">
      <c r="B711" s="986"/>
      <c r="C711" s="986"/>
      <c r="D711" s="986"/>
      <c r="E711" s="986"/>
      <c r="F711" s="986"/>
      <c r="G711" s="986"/>
      <c r="H711" s="986"/>
      <c r="I711" s="986"/>
      <c r="J711" s="986"/>
      <c r="K711" s="986"/>
      <c r="L711" s="986"/>
      <c r="M711" s="986"/>
      <c r="N711" s="986"/>
      <c r="O711" s="986"/>
      <c r="P711" s="986"/>
      <c r="Q711" s="986"/>
      <c r="R711" s="986"/>
      <c r="S711" s="986"/>
      <c r="T711" s="986"/>
      <c r="U711" s="986"/>
      <c r="V711" s="986"/>
      <c r="W711" s="986"/>
      <c r="X711" s="986"/>
      <c r="Y711" s="986"/>
      <c r="Z711" s="986"/>
      <c r="AA711" s="986"/>
      <c r="AB711" s="986"/>
      <c r="AC711" s="986"/>
      <c r="AD711" s="986"/>
      <c r="AE711" s="986"/>
      <c r="BE711" s="986"/>
      <c r="BF711" s="986"/>
      <c r="BG711" s="986"/>
      <c r="BH711" s="986"/>
      <c r="BI711" s="1009"/>
      <c r="CB711" s="986"/>
      <c r="CC711" s="986"/>
      <c r="CD711" s="986"/>
      <c r="CE711" s="986"/>
      <c r="CF711" s="1009"/>
    </row>
    <row r="712" spans="2:84">
      <c r="B712" s="986"/>
      <c r="C712" s="986"/>
      <c r="D712" s="986"/>
      <c r="E712" s="986"/>
      <c r="F712" s="986"/>
      <c r="G712" s="986"/>
      <c r="H712" s="986"/>
      <c r="I712" s="986"/>
      <c r="J712" s="986"/>
      <c r="K712" s="986"/>
      <c r="L712" s="986"/>
      <c r="M712" s="986"/>
      <c r="N712" s="986"/>
      <c r="O712" s="986"/>
      <c r="P712" s="986"/>
      <c r="Q712" s="986"/>
      <c r="R712" s="986"/>
      <c r="S712" s="986"/>
      <c r="T712" s="986"/>
      <c r="U712" s="986"/>
      <c r="V712" s="986"/>
      <c r="W712" s="986"/>
      <c r="X712" s="986"/>
      <c r="Y712" s="986"/>
      <c r="Z712" s="986"/>
      <c r="AA712" s="986"/>
      <c r="AB712" s="986"/>
      <c r="AC712" s="986"/>
      <c r="AD712" s="986"/>
      <c r="AE712" s="986"/>
      <c r="BE712" s="986"/>
      <c r="BF712" s="986"/>
      <c r="BG712" s="986"/>
      <c r="BH712" s="986"/>
      <c r="BI712" s="1009"/>
      <c r="CB712" s="986"/>
      <c r="CC712" s="986"/>
      <c r="CD712" s="986"/>
      <c r="CE712" s="986"/>
      <c r="CF712" s="1009"/>
    </row>
    <row r="713" spans="2:84">
      <c r="B713" s="986"/>
      <c r="C713" s="986"/>
      <c r="D713" s="986"/>
      <c r="E713" s="986"/>
      <c r="F713" s="986"/>
      <c r="G713" s="986"/>
      <c r="H713" s="986"/>
      <c r="I713" s="986"/>
      <c r="J713" s="986"/>
      <c r="K713" s="986"/>
      <c r="L713" s="986"/>
      <c r="M713" s="986"/>
      <c r="N713" s="986"/>
      <c r="O713" s="986"/>
      <c r="P713" s="986"/>
      <c r="Q713" s="986"/>
      <c r="R713" s="986"/>
      <c r="S713" s="986"/>
      <c r="T713" s="986"/>
      <c r="U713" s="986"/>
      <c r="V713" s="986"/>
      <c r="W713" s="986"/>
      <c r="X713" s="986"/>
      <c r="Y713" s="986"/>
      <c r="Z713" s="986"/>
      <c r="AA713" s="986"/>
      <c r="AB713" s="986"/>
      <c r="AC713" s="986"/>
      <c r="AD713" s="986"/>
      <c r="AE713" s="986"/>
      <c r="BE713" s="986"/>
      <c r="BF713" s="986"/>
      <c r="BG713" s="986"/>
      <c r="BH713" s="986"/>
      <c r="BI713" s="1009"/>
      <c r="CB713" s="986"/>
      <c r="CC713" s="986"/>
      <c r="CD713" s="986"/>
      <c r="CE713" s="986"/>
      <c r="CF713" s="1009"/>
    </row>
    <row r="714" spans="2:84">
      <c r="B714" s="986"/>
      <c r="C714" s="986"/>
      <c r="D714" s="986"/>
      <c r="E714" s="986"/>
      <c r="F714" s="986"/>
      <c r="G714" s="986"/>
      <c r="H714" s="986"/>
      <c r="I714" s="986"/>
      <c r="J714" s="986"/>
      <c r="K714" s="986"/>
      <c r="L714" s="986"/>
      <c r="M714" s="986"/>
      <c r="N714" s="986"/>
      <c r="O714" s="986"/>
      <c r="P714" s="986"/>
      <c r="Q714" s="986"/>
      <c r="R714" s="986"/>
      <c r="S714" s="986"/>
      <c r="T714" s="986"/>
      <c r="U714" s="986"/>
      <c r="V714" s="986"/>
      <c r="W714" s="986"/>
      <c r="X714" s="986"/>
      <c r="Y714" s="986"/>
      <c r="Z714" s="986"/>
      <c r="AA714" s="986"/>
      <c r="AB714" s="986"/>
      <c r="AC714" s="986"/>
      <c r="AD714" s="986"/>
      <c r="AE714" s="986"/>
      <c r="BE714" s="986"/>
      <c r="BF714" s="986"/>
      <c r="BG714" s="986"/>
      <c r="BH714" s="986"/>
      <c r="BI714" s="1009"/>
      <c r="CB714" s="986"/>
      <c r="CC714" s="986"/>
      <c r="CD714" s="986"/>
      <c r="CE714" s="986"/>
      <c r="CF714" s="1009"/>
    </row>
    <row r="715" spans="2:84">
      <c r="B715" s="986"/>
      <c r="C715" s="986"/>
      <c r="D715" s="986"/>
      <c r="E715" s="986"/>
      <c r="F715" s="986"/>
      <c r="G715" s="986"/>
      <c r="H715" s="986"/>
      <c r="I715" s="986"/>
      <c r="J715" s="986"/>
      <c r="K715" s="986"/>
      <c r="L715" s="986"/>
      <c r="M715" s="986"/>
      <c r="N715" s="986"/>
      <c r="O715" s="986"/>
      <c r="P715" s="986"/>
      <c r="Q715" s="986"/>
      <c r="R715" s="986"/>
      <c r="S715" s="986"/>
      <c r="T715" s="986"/>
      <c r="U715" s="986"/>
      <c r="V715" s="986"/>
      <c r="W715" s="986"/>
      <c r="X715" s="986"/>
      <c r="Y715" s="986"/>
      <c r="Z715" s="986"/>
      <c r="AA715" s="986"/>
      <c r="AB715" s="986"/>
      <c r="AC715" s="986"/>
      <c r="AD715" s="986"/>
      <c r="AE715" s="986"/>
      <c r="BE715" s="986"/>
      <c r="BF715" s="986"/>
      <c r="BG715" s="986"/>
      <c r="BH715" s="986"/>
      <c r="BI715" s="1009"/>
      <c r="CB715" s="986"/>
      <c r="CC715" s="986"/>
      <c r="CD715" s="986"/>
      <c r="CE715" s="986"/>
      <c r="CF715" s="1009"/>
    </row>
    <row r="716" spans="2:84">
      <c r="B716" s="986"/>
      <c r="C716" s="986"/>
      <c r="D716" s="986"/>
      <c r="E716" s="986"/>
      <c r="F716" s="986"/>
      <c r="G716" s="986"/>
      <c r="H716" s="986"/>
      <c r="I716" s="986"/>
      <c r="J716" s="986"/>
      <c r="K716" s="986"/>
      <c r="L716" s="986"/>
      <c r="M716" s="986"/>
      <c r="N716" s="986"/>
      <c r="O716" s="986"/>
      <c r="P716" s="986"/>
      <c r="Q716" s="986"/>
      <c r="R716" s="986"/>
      <c r="S716" s="986"/>
      <c r="T716" s="986"/>
      <c r="U716" s="986"/>
      <c r="V716" s="986"/>
      <c r="W716" s="986"/>
      <c r="X716" s="986"/>
      <c r="Y716" s="986"/>
      <c r="Z716" s="986"/>
      <c r="AA716" s="986"/>
      <c r="AB716" s="986"/>
      <c r="AC716" s="986"/>
      <c r="AD716" s="986"/>
      <c r="AE716" s="986"/>
      <c r="BE716" s="986"/>
      <c r="BF716" s="986"/>
      <c r="BG716" s="986"/>
      <c r="BH716" s="986"/>
      <c r="BI716" s="1009"/>
      <c r="CB716" s="986"/>
      <c r="CC716" s="986"/>
      <c r="CD716" s="986"/>
      <c r="CE716" s="986"/>
      <c r="CF716" s="1009"/>
    </row>
    <row r="717" spans="2:84">
      <c r="B717" s="986"/>
      <c r="C717" s="986"/>
      <c r="D717" s="986"/>
      <c r="E717" s="986"/>
      <c r="F717" s="986"/>
      <c r="G717" s="986"/>
      <c r="H717" s="986"/>
      <c r="I717" s="986"/>
      <c r="J717" s="986"/>
      <c r="K717" s="986"/>
      <c r="L717" s="986"/>
      <c r="M717" s="986"/>
      <c r="N717" s="986"/>
      <c r="O717" s="986"/>
      <c r="P717" s="986"/>
      <c r="Q717" s="986"/>
      <c r="R717" s="986"/>
      <c r="S717" s="986"/>
      <c r="T717" s="986"/>
      <c r="U717" s="986"/>
      <c r="V717" s="986"/>
      <c r="W717" s="986"/>
      <c r="X717" s="986"/>
      <c r="Y717" s="986"/>
      <c r="Z717" s="986"/>
      <c r="AA717" s="986"/>
      <c r="AB717" s="986"/>
      <c r="AC717" s="986"/>
      <c r="AD717" s="986"/>
      <c r="AE717" s="986"/>
      <c r="BE717" s="986"/>
      <c r="BF717" s="986"/>
      <c r="BG717" s="986"/>
      <c r="BH717" s="986"/>
      <c r="BI717" s="1009"/>
      <c r="CB717" s="986"/>
      <c r="CC717" s="986"/>
      <c r="CD717" s="986"/>
      <c r="CE717" s="986"/>
      <c r="CF717" s="1009"/>
    </row>
    <row r="718" spans="2:84">
      <c r="B718" s="986"/>
      <c r="C718" s="986"/>
      <c r="D718" s="986"/>
      <c r="E718" s="986"/>
      <c r="F718" s="986"/>
      <c r="G718" s="986"/>
      <c r="H718" s="986"/>
      <c r="I718" s="986"/>
      <c r="J718" s="986"/>
      <c r="K718" s="986"/>
      <c r="L718" s="986"/>
      <c r="M718" s="986"/>
      <c r="N718" s="986"/>
      <c r="O718" s="986"/>
      <c r="P718" s="986"/>
      <c r="Q718" s="986"/>
      <c r="R718" s="986"/>
      <c r="S718" s="986"/>
      <c r="T718" s="986"/>
      <c r="U718" s="986"/>
      <c r="V718" s="986"/>
      <c r="W718" s="986"/>
      <c r="X718" s="986"/>
      <c r="Y718" s="986"/>
      <c r="Z718" s="986"/>
      <c r="AA718" s="986"/>
      <c r="AB718" s="986"/>
      <c r="AC718" s="986"/>
      <c r="AD718" s="986"/>
      <c r="AE718" s="986"/>
      <c r="BE718" s="986"/>
      <c r="BF718" s="986"/>
      <c r="BG718" s="986"/>
      <c r="BH718" s="986"/>
      <c r="BI718" s="1009"/>
      <c r="CB718" s="986"/>
      <c r="CC718" s="986"/>
      <c r="CD718" s="986"/>
      <c r="CE718" s="986"/>
      <c r="CF718" s="1009"/>
    </row>
    <row r="719" spans="2:84">
      <c r="B719" s="986"/>
      <c r="C719" s="986"/>
      <c r="D719" s="986"/>
      <c r="E719" s="986"/>
      <c r="F719" s="986"/>
      <c r="G719" s="986"/>
      <c r="H719" s="986"/>
      <c r="I719" s="986"/>
      <c r="J719" s="986"/>
      <c r="K719" s="986"/>
      <c r="L719" s="986"/>
      <c r="M719" s="986"/>
      <c r="N719" s="986"/>
      <c r="O719" s="986"/>
      <c r="P719" s="986"/>
      <c r="Q719" s="986"/>
      <c r="R719" s="986"/>
      <c r="S719" s="986"/>
      <c r="T719" s="986"/>
      <c r="U719" s="986"/>
      <c r="V719" s="986"/>
      <c r="W719" s="986"/>
      <c r="X719" s="986"/>
      <c r="Y719" s="986"/>
      <c r="Z719" s="986"/>
      <c r="AA719" s="986"/>
      <c r="AB719" s="986"/>
      <c r="AC719" s="986"/>
      <c r="AD719" s="986"/>
      <c r="AE719" s="986"/>
      <c r="BE719" s="986"/>
      <c r="BF719" s="986"/>
      <c r="BG719" s="986"/>
      <c r="BH719" s="986"/>
      <c r="BI719" s="1009"/>
      <c r="CB719" s="986"/>
      <c r="CC719" s="986"/>
      <c r="CD719" s="986"/>
      <c r="CE719" s="986"/>
      <c r="CF719" s="1009"/>
    </row>
    <row r="720" spans="2:84">
      <c r="B720" s="986"/>
      <c r="C720" s="986"/>
      <c r="D720" s="986"/>
      <c r="E720" s="986"/>
      <c r="F720" s="986"/>
      <c r="G720" s="986"/>
      <c r="H720" s="986"/>
      <c r="I720" s="986"/>
      <c r="J720" s="986"/>
      <c r="K720" s="986"/>
      <c r="L720" s="986"/>
      <c r="M720" s="986"/>
      <c r="N720" s="986"/>
      <c r="O720" s="986"/>
      <c r="P720" s="986"/>
      <c r="Q720" s="986"/>
      <c r="R720" s="986"/>
      <c r="S720" s="986"/>
      <c r="T720" s="986"/>
      <c r="U720" s="986"/>
      <c r="V720" s="986"/>
      <c r="W720" s="986"/>
      <c r="X720" s="986"/>
      <c r="Y720" s="986"/>
      <c r="Z720" s="986"/>
      <c r="AA720" s="986"/>
      <c r="AB720" s="986"/>
      <c r="AC720" s="986"/>
      <c r="AD720" s="986"/>
      <c r="AE720" s="986"/>
      <c r="BE720" s="986"/>
      <c r="BF720" s="986"/>
      <c r="BG720" s="986"/>
      <c r="BH720" s="986"/>
      <c r="BI720" s="1009"/>
      <c r="CB720" s="986"/>
      <c r="CC720" s="986"/>
      <c r="CD720" s="986"/>
      <c r="CE720" s="986"/>
      <c r="CF720" s="1009"/>
    </row>
    <row r="721" spans="2:84">
      <c r="B721" s="986"/>
      <c r="C721" s="986"/>
      <c r="D721" s="986"/>
      <c r="E721" s="986"/>
      <c r="F721" s="986"/>
      <c r="G721" s="986"/>
      <c r="H721" s="986"/>
      <c r="I721" s="986"/>
      <c r="J721" s="986"/>
      <c r="K721" s="986"/>
      <c r="L721" s="986"/>
      <c r="M721" s="986"/>
      <c r="N721" s="986"/>
      <c r="O721" s="986"/>
      <c r="P721" s="986"/>
      <c r="Q721" s="986"/>
      <c r="R721" s="986"/>
      <c r="S721" s="986"/>
      <c r="T721" s="986"/>
      <c r="U721" s="986"/>
      <c r="V721" s="986"/>
      <c r="W721" s="986"/>
      <c r="X721" s="986"/>
      <c r="Y721" s="986"/>
      <c r="Z721" s="986"/>
      <c r="AA721" s="986"/>
      <c r="AB721" s="986"/>
      <c r="AC721" s="986"/>
      <c r="AD721" s="986"/>
      <c r="AE721" s="986"/>
      <c r="BE721" s="986"/>
      <c r="BF721" s="986"/>
      <c r="BG721" s="986"/>
      <c r="BH721" s="986"/>
      <c r="BI721" s="1009"/>
      <c r="CB721" s="986"/>
      <c r="CC721" s="986"/>
      <c r="CD721" s="986"/>
      <c r="CE721" s="986"/>
      <c r="CF721" s="1009"/>
    </row>
    <row r="722" spans="2:84">
      <c r="B722" s="986"/>
      <c r="C722" s="986"/>
      <c r="D722" s="986"/>
      <c r="E722" s="986"/>
      <c r="F722" s="986"/>
      <c r="G722" s="986"/>
      <c r="H722" s="986"/>
      <c r="I722" s="986"/>
      <c r="J722" s="986"/>
      <c r="K722" s="986"/>
      <c r="L722" s="986"/>
      <c r="M722" s="986"/>
      <c r="N722" s="986"/>
      <c r="O722" s="986"/>
      <c r="P722" s="986"/>
      <c r="Q722" s="986"/>
      <c r="R722" s="986"/>
      <c r="S722" s="986"/>
      <c r="T722" s="986"/>
      <c r="U722" s="986"/>
      <c r="V722" s="986"/>
      <c r="W722" s="986"/>
      <c r="X722" s="986"/>
      <c r="Y722" s="986"/>
      <c r="Z722" s="986"/>
      <c r="AA722" s="986"/>
      <c r="AB722" s="986"/>
      <c r="AC722" s="986"/>
      <c r="AD722" s="986"/>
      <c r="AE722" s="986"/>
      <c r="BE722" s="986"/>
      <c r="BF722" s="986"/>
      <c r="BG722" s="986"/>
      <c r="BH722" s="986"/>
      <c r="BI722" s="1009"/>
      <c r="CB722" s="986"/>
      <c r="CC722" s="986"/>
      <c r="CD722" s="986"/>
      <c r="CE722" s="986"/>
      <c r="CF722" s="1009"/>
    </row>
    <row r="723" spans="2:84">
      <c r="B723" s="986"/>
      <c r="C723" s="986"/>
      <c r="D723" s="986"/>
      <c r="E723" s="986"/>
      <c r="F723" s="986"/>
      <c r="G723" s="986"/>
      <c r="H723" s="986"/>
      <c r="I723" s="986"/>
      <c r="J723" s="986"/>
      <c r="K723" s="986"/>
      <c r="L723" s="986"/>
      <c r="M723" s="986"/>
      <c r="N723" s="986"/>
      <c r="O723" s="986"/>
      <c r="P723" s="986"/>
      <c r="Q723" s="986"/>
      <c r="R723" s="986"/>
      <c r="S723" s="986"/>
      <c r="T723" s="986"/>
      <c r="U723" s="986"/>
      <c r="V723" s="986"/>
      <c r="W723" s="986"/>
      <c r="X723" s="986"/>
      <c r="Y723" s="986"/>
      <c r="Z723" s="986"/>
      <c r="AA723" s="986"/>
      <c r="AB723" s="986"/>
      <c r="AC723" s="986"/>
      <c r="AD723" s="986"/>
      <c r="AE723" s="986"/>
      <c r="BE723" s="986"/>
      <c r="BF723" s="986"/>
      <c r="BG723" s="986"/>
      <c r="BH723" s="986"/>
      <c r="BI723" s="1009"/>
      <c r="CB723" s="986"/>
      <c r="CC723" s="986"/>
      <c r="CD723" s="986"/>
      <c r="CE723" s="986"/>
      <c r="CF723" s="1009"/>
    </row>
    <row r="724" spans="2:84">
      <c r="B724" s="986"/>
      <c r="C724" s="986"/>
      <c r="D724" s="986"/>
      <c r="E724" s="986"/>
      <c r="F724" s="986"/>
      <c r="G724" s="986"/>
      <c r="H724" s="986"/>
      <c r="I724" s="986"/>
      <c r="J724" s="986"/>
      <c r="K724" s="986"/>
      <c r="L724" s="986"/>
      <c r="M724" s="986"/>
      <c r="N724" s="986"/>
      <c r="O724" s="986"/>
      <c r="P724" s="986"/>
      <c r="Q724" s="986"/>
      <c r="R724" s="986"/>
      <c r="S724" s="986"/>
      <c r="T724" s="986"/>
      <c r="U724" s="986"/>
      <c r="V724" s="986"/>
      <c r="W724" s="986"/>
      <c r="X724" s="986"/>
      <c r="Y724" s="986"/>
      <c r="Z724" s="986"/>
      <c r="AA724" s="986"/>
      <c r="AB724" s="986"/>
      <c r="AC724" s="986"/>
      <c r="AD724" s="986"/>
      <c r="AE724" s="986"/>
      <c r="BE724" s="986"/>
      <c r="BF724" s="986"/>
      <c r="BG724" s="986"/>
      <c r="BH724" s="986"/>
      <c r="BI724" s="1009"/>
      <c r="CB724" s="986"/>
      <c r="CC724" s="986"/>
      <c r="CD724" s="986"/>
      <c r="CE724" s="986"/>
      <c r="CF724" s="1009"/>
    </row>
    <row r="725" spans="2:84">
      <c r="B725" s="986"/>
      <c r="C725" s="986"/>
      <c r="D725" s="986"/>
      <c r="E725" s="986"/>
      <c r="F725" s="986"/>
      <c r="G725" s="986"/>
      <c r="H725" s="986"/>
      <c r="I725" s="986"/>
      <c r="J725" s="986"/>
      <c r="K725" s="986"/>
      <c r="L725" s="986"/>
      <c r="M725" s="986"/>
      <c r="N725" s="986"/>
      <c r="O725" s="986"/>
      <c r="P725" s="986"/>
      <c r="Q725" s="986"/>
      <c r="R725" s="986"/>
      <c r="S725" s="986"/>
      <c r="T725" s="986"/>
      <c r="U725" s="986"/>
      <c r="V725" s="986"/>
      <c r="W725" s="986"/>
      <c r="X725" s="986"/>
      <c r="Y725" s="986"/>
      <c r="Z725" s="986"/>
      <c r="AA725" s="986"/>
      <c r="AB725" s="986"/>
      <c r="AC725" s="986"/>
      <c r="AD725" s="986"/>
      <c r="AE725" s="986"/>
      <c r="BE725" s="986"/>
      <c r="BF725" s="986"/>
      <c r="BG725" s="986"/>
      <c r="BH725" s="986"/>
      <c r="BI725" s="1009"/>
      <c r="CB725" s="986"/>
      <c r="CC725" s="986"/>
      <c r="CD725" s="986"/>
      <c r="CE725" s="986"/>
      <c r="CF725" s="1009"/>
    </row>
    <row r="726" spans="2:84">
      <c r="BI726" s="1009"/>
      <c r="CB726" s="1535"/>
      <c r="CE726" s="1009"/>
    </row>
    <row r="727" spans="2:84">
      <c r="BI727" s="1009"/>
      <c r="CB727" s="1535"/>
      <c r="CE727" s="1009"/>
    </row>
    <row r="728" spans="2:84">
      <c r="BI728" s="1009"/>
      <c r="CB728" s="1535"/>
      <c r="CE728" s="1009"/>
    </row>
    <row r="729" spans="2:84">
      <c r="BI729" s="1009"/>
      <c r="CB729" s="1535"/>
      <c r="CE729" s="1009"/>
    </row>
    <row r="730" spans="2:84">
      <c r="BI730" s="1009"/>
      <c r="CB730" s="1535"/>
      <c r="CE730" s="1009"/>
    </row>
    <row r="731" spans="2:84">
      <c r="BI731" s="1009"/>
      <c r="CB731" s="1535"/>
      <c r="CE731" s="1009"/>
    </row>
    <row r="732" spans="2:84">
      <c r="BI732" s="1009"/>
      <c r="CB732" s="1535"/>
      <c r="CE732" s="1009"/>
    </row>
    <row r="733" spans="2:84">
      <c r="BI733" s="1009"/>
      <c r="CB733" s="1535"/>
      <c r="CE733" s="1009"/>
    </row>
    <row r="734" spans="2:84">
      <c r="BI734" s="1009"/>
      <c r="CB734" s="1535"/>
      <c r="CE734" s="1009"/>
    </row>
    <row r="735" spans="2:84">
      <c r="BI735" s="1009"/>
      <c r="CB735" s="1535"/>
      <c r="CE735" s="1009"/>
    </row>
    <row r="736" spans="2:84">
      <c r="BI736" s="1009"/>
      <c r="CB736" s="1535"/>
      <c r="CE736" s="1009"/>
    </row>
    <row r="737" spans="36:83">
      <c r="BI737" s="1009"/>
      <c r="CB737" s="1535"/>
      <c r="CE737" s="1009"/>
    </row>
    <row r="738" spans="36:83">
      <c r="AJ738" s="1533"/>
      <c r="BI738" s="1009"/>
      <c r="BZ738" s="1533"/>
      <c r="CA738" s="1533"/>
      <c r="CB738" s="1535"/>
      <c r="CE738" s="1009"/>
    </row>
    <row r="739" spans="36:83">
      <c r="BI739" s="1009"/>
      <c r="CE739" s="1009"/>
    </row>
    <row r="740" spans="36:83">
      <c r="BI740" s="1009"/>
      <c r="CE740" s="1009"/>
    </row>
    <row r="741" spans="36:83">
      <c r="BI741" s="1009"/>
      <c r="CE741" s="1009"/>
    </row>
    <row r="742" spans="36:83">
      <c r="BI742" s="1009"/>
      <c r="CE742" s="1009"/>
    </row>
    <row r="743" spans="36:83">
      <c r="BI743" s="1009"/>
      <c r="CE743" s="1009"/>
    </row>
    <row r="744" spans="36:83">
      <c r="BI744" s="1009"/>
      <c r="CE744" s="1009"/>
    </row>
    <row r="745" spans="36:83">
      <c r="BI745" s="1009"/>
      <c r="CE745" s="1009"/>
    </row>
    <row r="746" spans="36:83">
      <c r="BI746" s="1009"/>
      <c r="CE746" s="1009"/>
    </row>
    <row r="747" spans="36:83">
      <c r="BI747" s="1009"/>
      <c r="CE747" s="1009"/>
    </row>
    <row r="748" spans="36:83">
      <c r="BI748" s="1009"/>
      <c r="CE748" s="1009"/>
    </row>
    <row r="749" spans="36:83">
      <c r="BI749" s="1009"/>
      <c r="CE749" s="1009"/>
    </row>
    <row r="750" spans="36:83">
      <c r="BI750" s="1009"/>
      <c r="CE750" s="1009"/>
    </row>
    <row r="751" spans="36:83">
      <c r="BI751" s="1009"/>
      <c r="CE751" s="1009"/>
    </row>
    <row r="752" spans="36:83">
      <c r="BI752" s="1009"/>
      <c r="CE752" s="1009"/>
    </row>
    <row r="753" spans="61:83">
      <c r="BI753" s="1009"/>
      <c r="CE753" s="1009"/>
    </row>
    <row r="754" spans="61:83">
      <c r="BI754" s="1009"/>
      <c r="CE754" s="1009"/>
    </row>
    <row r="755" spans="61:83">
      <c r="BI755" s="1009"/>
      <c r="CE755" s="1009"/>
    </row>
    <row r="756" spans="61:83">
      <c r="BI756" s="1009"/>
      <c r="CE756" s="1009"/>
    </row>
    <row r="757" spans="61:83">
      <c r="BI757" s="1009"/>
      <c r="CE757" s="1009"/>
    </row>
    <row r="758" spans="61:83">
      <c r="BI758" s="1009"/>
      <c r="CE758" s="1009"/>
    </row>
    <row r="759" spans="61:83">
      <c r="BI759" s="1009"/>
      <c r="CE759" s="1009"/>
    </row>
    <row r="760" spans="61:83">
      <c r="BI760" s="1009"/>
      <c r="CE760" s="1009"/>
    </row>
    <row r="761" spans="61:83">
      <c r="BI761" s="1009"/>
      <c r="CE761" s="1009"/>
    </row>
    <row r="762" spans="61:83">
      <c r="BI762" s="1009"/>
      <c r="CE762" s="1009"/>
    </row>
    <row r="763" spans="61:83">
      <c r="BI763" s="1009"/>
      <c r="CE763" s="1009"/>
    </row>
    <row r="764" spans="61:83">
      <c r="BI764" s="1009"/>
      <c r="CE764" s="1009"/>
    </row>
    <row r="765" spans="61:83">
      <c r="BI765" s="1009"/>
      <c r="CE765" s="1009"/>
    </row>
    <row r="766" spans="61:83">
      <c r="BI766" s="1009"/>
      <c r="CE766" s="1009"/>
    </row>
    <row r="767" spans="61:83">
      <c r="BI767" s="1009"/>
      <c r="CE767" s="1009"/>
    </row>
    <row r="768" spans="61:83">
      <c r="BI768" s="1009"/>
      <c r="CE768" s="1009"/>
    </row>
    <row r="769" spans="46:83">
      <c r="BI769" s="1009"/>
      <c r="CE769" s="1009"/>
    </row>
    <row r="770" spans="46:83">
      <c r="BI770" s="1009"/>
      <c r="CE770" s="1009"/>
    </row>
    <row r="771" spans="46:83">
      <c r="BI771" s="1009"/>
      <c r="CE771" s="1009"/>
    </row>
    <row r="772" spans="46:83">
      <c r="BI772" s="1009"/>
      <c r="CE772" s="1009"/>
    </row>
    <row r="773" spans="46:83">
      <c r="BI773" s="1009"/>
      <c r="CE773" s="1009"/>
    </row>
    <row r="774" spans="46:83">
      <c r="BI774" s="1009"/>
      <c r="CE774" s="1009"/>
    </row>
    <row r="775" spans="46:83">
      <c r="BI775" s="1009"/>
      <c r="CE775" s="1009"/>
    </row>
    <row r="776" spans="46:83">
      <c r="BI776" s="1009"/>
      <c r="CE776" s="1009"/>
    </row>
    <row r="777" spans="46:83">
      <c r="BI777" s="1009"/>
      <c r="CE777" s="1009"/>
    </row>
    <row r="778" spans="46:83">
      <c r="BI778" s="1009"/>
      <c r="CE778" s="1009"/>
    </row>
    <row r="779" spans="46:83">
      <c r="BI779" s="1009"/>
      <c r="CE779" s="1009"/>
    </row>
    <row r="780" spans="46:83">
      <c r="BI780" s="1009"/>
      <c r="CE780" s="1009"/>
    </row>
    <row r="781" spans="46:83">
      <c r="BI781" s="1009"/>
      <c r="CE781" s="1009"/>
    </row>
    <row r="782" spans="46:83">
      <c r="BI782" s="1009"/>
      <c r="CE782" s="1009"/>
    </row>
    <row r="783" spans="46:83">
      <c r="AT783" s="1533"/>
      <c r="BI783" s="1009"/>
      <c r="CE783" s="1009"/>
    </row>
    <row r="784" spans="46:83">
      <c r="BI784" s="1009"/>
      <c r="CE784" s="1009"/>
    </row>
    <row r="785" spans="61:83">
      <c r="BI785" s="1009"/>
      <c r="CE785" s="1009"/>
    </row>
    <row r="786" spans="61:83">
      <c r="BI786" s="1009"/>
      <c r="CE786" s="1009"/>
    </row>
    <row r="787" spans="61:83">
      <c r="BI787" s="1009"/>
      <c r="CE787" s="1009"/>
    </row>
    <row r="788" spans="61:83">
      <c r="BI788" s="1009"/>
      <c r="CE788" s="1009"/>
    </row>
    <row r="789" spans="61:83">
      <c r="BI789" s="1009"/>
      <c r="CE789" s="1009"/>
    </row>
    <row r="790" spans="61:83">
      <c r="BI790" s="1009"/>
      <c r="CE790" s="1009"/>
    </row>
    <row r="791" spans="61:83">
      <c r="BI791" s="1009"/>
      <c r="CE791" s="1009"/>
    </row>
    <row r="792" spans="61:83">
      <c r="BI792" s="1009"/>
      <c r="CE792" s="1009"/>
    </row>
    <row r="793" spans="61:83">
      <c r="BI793" s="1009"/>
      <c r="CE793" s="1009"/>
    </row>
    <row r="794" spans="61:83">
      <c r="BI794" s="1009"/>
      <c r="CE794" s="1009"/>
    </row>
    <row r="795" spans="61:83">
      <c r="BI795" s="1009"/>
      <c r="CE795" s="1009"/>
    </row>
    <row r="796" spans="61:83">
      <c r="BI796" s="1009"/>
      <c r="CE796" s="1009"/>
    </row>
    <row r="797" spans="61:83">
      <c r="BI797" s="1009"/>
      <c r="CE797" s="1009"/>
    </row>
    <row r="798" spans="61:83">
      <c r="BI798" s="1009"/>
      <c r="CE798" s="1009"/>
    </row>
    <row r="799" spans="61:83">
      <c r="BI799" s="1009"/>
      <c r="CE799" s="1009"/>
    </row>
    <row r="800" spans="61:83">
      <c r="BI800" s="1009"/>
      <c r="CE800" s="1009"/>
    </row>
    <row r="801" spans="61:83">
      <c r="BI801" s="1009"/>
      <c r="CE801" s="1009"/>
    </row>
    <row r="802" spans="61:83">
      <c r="BI802" s="1009"/>
      <c r="CE802" s="1009"/>
    </row>
    <row r="803" spans="61:83">
      <c r="BI803" s="1009"/>
      <c r="CE803" s="1009"/>
    </row>
    <row r="804" spans="61:83">
      <c r="BI804" s="1009"/>
      <c r="CE804" s="1009"/>
    </row>
    <row r="805" spans="61:83">
      <c r="BI805" s="1009"/>
      <c r="CE805" s="1009"/>
    </row>
    <row r="806" spans="61:83">
      <c r="BI806" s="1009"/>
      <c r="CE806" s="1009"/>
    </row>
    <row r="807" spans="61:83">
      <c r="BI807" s="1009"/>
      <c r="CE807" s="1009"/>
    </row>
    <row r="808" spans="61:83">
      <c r="BI808" s="1009"/>
      <c r="CE808" s="1009"/>
    </row>
    <row r="809" spans="61:83">
      <c r="BI809" s="1009"/>
      <c r="CE809" s="1009"/>
    </row>
    <row r="810" spans="61:83">
      <c r="BI810" s="1009"/>
      <c r="CE810" s="1009"/>
    </row>
    <row r="811" spans="61:83">
      <c r="BI811" s="1009"/>
      <c r="CE811" s="1009"/>
    </row>
    <row r="812" spans="61:83">
      <c r="BI812" s="1009"/>
      <c r="CE812" s="1009"/>
    </row>
    <row r="813" spans="61:83">
      <c r="BI813" s="1009"/>
      <c r="CE813" s="1009"/>
    </row>
    <row r="814" spans="61:83">
      <c r="BI814" s="1009"/>
      <c r="CE814" s="1009"/>
    </row>
    <row r="815" spans="61:83">
      <c r="BI815" s="1009"/>
      <c r="CE815" s="1009"/>
    </row>
    <row r="816" spans="61:83">
      <c r="BI816" s="1009"/>
      <c r="CE816" s="1009"/>
    </row>
    <row r="817" spans="61:83">
      <c r="BI817" s="1009"/>
      <c r="CE817" s="1009"/>
    </row>
    <row r="818" spans="61:83">
      <c r="BI818" s="1009"/>
      <c r="CE818" s="1009"/>
    </row>
    <row r="819" spans="61:83">
      <c r="BI819" s="1009"/>
      <c r="CE819" s="1009"/>
    </row>
    <row r="820" spans="61:83">
      <c r="BI820" s="1009"/>
      <c r="CE820" s="1009"/>
    </row>
    <row r="821" spans="61:83">
      <c r="BI821" s="1009"/>
      <c r="CE821" s="1009"/>
    </row>
    <row r="822" spans="61:83">
      <c r="BI822" s="1009"/>
      <c r="CE822" s="1009"/>
    </row>
    <row r="823" spans="61:83">
      <c r="BI823" s="1009"/>
      <c r="CE823" s="1009"/>
    </row>
    <row r="824" spans="61:83">
      <c r="BI824" s="1009"/>
      <c r="CE824" s="1009"/>
    </row>
    <row r="825" spans="61:83">
      <c r="BI825" s="1009"/>
      <c r="CE825" s="1009"/>
    </row>
    <row r="826" spans="61:83">
      <c r="BI826" s="1009"/>
      <c r="CE826" s="1009"/>
    </row>
    <row r="827" spans="61:83">
      <c r="BI827" s="1009"/>
      <c r="CE827" s="1009"/>
    </row>
    <row r="828" spans="61:83">
      <c r="BI828" s="1009"/>
      <c r="CE828" s="1009"/>
    </row>
    <row r="829" spans="61:83">
      <c r="BI829" s="1009"/>
      <c r="CE829" s="1009"/>
    </row>
    <row r="830" spans="61:83">
      <c r="BI830" s="1009"/>
      <c r="CE830" s="1009"/>
    </row>
    <row r="831" spans="61:83">
      <c r="BI831" s="1009"/>
      <c r="CE831" s="1009"/>
    </row>
    <row r="832" spans="61:83">
      <c r="BI832" s="1009"/>
      <c r="CE832" s="1009"/>
    </row>
    <row r="833" spans="61:83">
      <c r="BI833" s="1009"/>
      <c r="CE833" s="1009"/>
    </row>
    <row r="834" spans="61:83">
      <c r="BI834" s="1009"/>
      <c r="CE834" s="1009"/>
    </row>
    <row r="835" spans="61:83">
      <c r="BI835" s="1009"/>
      <c r="CE835" s="1009"/>
    </row>
    <row r="836" spans="61:83">
      <c r="BI836" s="1009"/>
      <c r="CE836" s="1009"/>
    </row>
    <row r="837" spans="61:83">
      <c r="BI837" s="1009"/>
      <c r="CE837" s="1009"/>
    </row>
    <row r="838" spans="61:83">
      <c r="BI838" s="1009"/>
      <c r="CE838" s="1009"/>
    </row>
    <row r="839" spans="61:83">
      <c r="BI839" s="1009"/>
      <c r="CE839" s="1009"/>
    </row>
    <row r="840" spans="61:83">
      <c r="BI840" s="1009"/>
      <c r="CE840" s="1009"/>
    </row>
    <row r="841" spans="61:83">
      <c r="BI841" s="1009"/>
      <c r="CE841" s="1009"/>
    </row>
    <row r="842" spans="61:83">
      <c r="BI842" s="1009"/>
      <c r="CE842" s="1009"/>
    </row>
    <row r="843" spans="61:83">
      <c r="BI843" s="1009"/>
      <c r="CE843" s="1009"/>
    </row>
    <row r="844" spans="61:83">
      <c r="BI844" s="1009"/>
      <c r="CE844" s="1009"/>
    </row>
    <row r="845" spans="61:83">
      <c r="BI845" s="1009"/>
      <c r="CE845" s="1009"/>
    </row>
    <row r="846" spans="61:83">
      <c r="BI846" s="1009"/>
      <c r="CE846" s="1009"/>
    </row>
    <row r="847" spans="61:83">
      <c r="BI847" s="1009"/>
      <c r="CE847" s="1009"/>
    </row>
    <row r="848" spans="61:83">
      <c r="BI848" s="1009"/>
      <c r="CE848" s="1009"/>
    </row>
    <row r="849" spans="61:83">
      <c r="BI849" s="1009"/>
      <c r="CE849" s="1009"/>
    </row>
    <row r="850" spans="61:83">
      <c r="BI850" s="1009"/>
      <c r="CE850" s="1009"/>
    </row>
    <row r="851" spans="61:83">
      <c r="BI851" s="1009"/>
      <c r="CE851" s="1009"/>
    </row>
    <row r="852" spans="61:83">
      <c r="BI852" s="1009"/>
      <c r="CE852" s="1009"/>
    </row>
    <row r="853" spans="61:83">
      <c r="BI853" s="1009"/>
      <c r="CE853" s="1009"/>
    </row>
    <row r="854" spans="61:83">
      <c r="BI854" s="1009"/>
      <c r="CE854" s="1009"/>
    </row>
    <row r="855" spans="61:83">
      <c r="BI855" s="1009"/>
      <c r="CE855" s="1009"/>
    </row>
    <row r="856" spans="61:83">
      <c r="BI856" s="1009"/>
      <c r="CE856" s="1009"/>
    </row>
    <row r="857" spans="61:83">
      <c r="BI857" s="1009"/>
      <c r="CE857" s="1009"/>
    </row>
    <row r="858" spans="61:83">
      <c r="BI858" s="1009"/>
      <c r="CE858" s="1009"/>
    </row>
    <row r="859" spans="61:83">
      <c r="BI859" s="1009"/>
      <c r="CE859" s="1009"/>
    </row>
    <row r="860" spans="61:83">
      <c r="BI860" s="1009"/>
      <c r="CE860" s="1009"/>
    </row>
    <row r="861" spans="61:83">
      <c r="BI861" s="1009"/>
      <c r="CE861" s="1009"/>
    </row>
    <row r="862" spans="61:83">
      <c r="BI862" s="1009"/>
      <c r="CE862" s="1009"/>
    </row>
    <row r="863" spans="61:83">
      <c r="BI863" s="1009"/>
      <c r="CE863" s="1009"/>
    </row>
    <row r="864" spans="61:83">
      <c r="BI864" s="1009"/>
      <c r="CE864" s="1009"/>
    </row>
    <row r="865" spans="61:83">
      <c r="BI865" s="1009"/>
      <c r="CE865" s="1009"/>
    </row>
    <row r="866" spans="61:83">
      <c r="BI866" s="1009"/>
      <c r="CE866" s="1009"/>
    </row>
    <row r="867" spans="61:83">
      <c r="BI867" s="1009"/>
      <c r="CE867" s="1009"/>
    </row>
    <row r="868" spans="61:83">
      <c r="BI868" s="1009"/>
      <c r="CE868" s="1009"/>
    </row>
    <row r="869" spans="61:83">
      <c r="BI869" s="1009"/>
      <c r="CE869" s="1009"/>
    </row>
    <row r="870" spans="61:83">
      <c r="BI870" s="1009"/>
      <c r="CE870" s="1009"/>
    </row>
    <row r="871" spans="61:83">
      <c r="BI871" s="1009"/>
      <c r="CE871" s="1009"/>
    </row>
    <row r="872" spans="61:83">
      <c r="BI872" s="1009"/>
      <c r="CE872" s="1009"/>
    </row>
    <row r="873" spans="61:83">
      <c r="BI873" s="1009"/>
      <c r="CE873" s="1009"/>
    </row>
    <row r="874" spans="61:83">
      <c r="BI874" s="1009"/>
      <c r="CE874" s="1009"/>
    </row>
    <row r="875" spans="61:83">
      <c r="BI875" s="1009"/>
      <c r="CE875" s="1009"/>
    </row>
    <row r="876" spans="61:83">
      <c r="BI876" s="1009"/>
      <c r="CE876" s="1009"/>
    </row>
    <row r="877" spans="61:83">
      <c r="BI877" s="1009"/>
      <c r="CE877" s="1009"/>
    </row>
    <row r="878" spans="61:83">
      <c r="BI878" s="1009"/>
      <c r="CE878" s="1009"/>
    </row>
    <row r="879" spans="61:83">
      <c r="BI879" s="1009"/>
      <c r="CE879" s="1009"/>
    </row>
    <row r="880" spans="61:83">
      <c r="BI880" s="1009"/>
      <c r="CE880" s="1009"/>
    </row>
    <row r="881" spans="61:83">
      <c r="BI881" s="1009"/>
      <c r="CE881" s="1009"/>
    </row>
    <row r="882" spans="61:83">
      <c r="BI882" s="1009"/>
      <c r="CE882" s="1009"/>
    </row>
    <row r="883" spans="61:83">
      <c r="BI883" s="1009"/>
      <c r="CE883" s="1009"/>
    </row>
    <row r="884" spans="61:83">
      <c r="BI884" s="1009"/>
      <c r="CE884" s="1009"/>
    </row>
    <row r="885" spans="61:83">
      <c r="BI885" s="1009"/>
      <c r="CE885" s="1009"/>
    </row>
    <row r="886" spans="61:83">
      <c r="BI886" s="1009"/>
      <c r="CE886" s="1009"/>
    </row>
    <row r="887" spans="61:83">
      <c r="BI887" s="1009"/>
      <c r="CE887" s="1009"/>
    </row>
    <row r="888" spans="61:83">
      <c r="BI888" s="1009"/>
      <c r="CE888" s="1009"/>
    </row>
    <row r="889" spans="61:83">
      <c r="BI889" s="1009"/>
      <c r="CE889" s="1009"/>
    </row>
    <row r="890" spans="61:83">
      <c r="BI890" s="1009"/>
      <c r="CE890" s="1009"/>
    </row>
    <row r="891" spans="61:83">
      <c r="BI891" s="1009"/>
      <c r="CE891" s="1009"/>
    </row>
    <row r="892" spans="61:83">
      <c r="BI892" s="1009"/>
      <c r="CE892" s="1009"/>
    </row>
    <row r="893" spans="61:83">
      <c r="BI893" s="1009"/>
      <c r="CE893" s="1009"/>
    </row>
    <row r="894" spans="61:83">
      <c r="BI894" s="1009"/>
      <c r="CE894" s="1009"/>
    </row>
    <row r="895" spans="61:83">
      <c r="BI895" s="1009"/>
      <c r="CE895" s="1009"/>
    </row>
    <row r="896" spans="61:83">
      <c r="BI896" s="1009"/>
      <c r="CE896" s="1009"/>
    </row>
    <row r="897" spans="61:83">
      <c r="BI897" s="1009"/>
      <c r="CE897" s="1009"/>
    </row>
    <row r="898" spans="61:83">
      <c r="BI898" s="1009"/>
      <c r="CE898" s="1009"/>
    </row>
    <row r="899" spans="61:83">
      <c r="BI899" s="1009"/>
      <c r="CE899" s="1009"/>
    </row>
    <row r="900" spans="61:83">
      <c r="BI900" s="1009"/>
      <c r="CE900" s="1009"/>
    </row>
    <row r="901" spans="61:83">
      <c r="BI901" s="1009"/>
      <c r="CE901" s="1009"/>
    </row>
    <row r="902" spans="61:83">
      <c r="BI902" s="1009"/>
      <c r="CE902" s="1009"/>
    </row>
    <row r="903" spans="61:83">
      <c r="BI903" s="1009"/>
      <c r="CE903" s="1009"/>
    </row>
    <row r="904" spans="61:83">
      <c r="BI904" s="1009"/>
      <c r="CE904" s="1009"/>
    </row>
    <row r="905" spans="61:83">
      <c r="BI905" s="1009"/>
      <c r="CE905" s="1009"/>
    </row>
    <row r="906" spans="61:83">
      <c r="BI906" s="1009"/>
      <c r="CE906" s="1009"/>
    </row>
    <row r="907" spans="61:83">
      <c r="BI907" s="1009"/>
      <c r="CE907" s="1009"/>
    </row>
    <row r="908" spans="61:83">
      <c r="BI908" s="1009"/>
      <c r="CE908" s="1009"/>
    </row>
    <row r="909" spans="61:83">
      <c r="BI909" s="1009"/>
      <c r="CE909" s="1009"/>
    </row>
    <row r="910" spans="61:83">
      <c r="BI910" s="1009"/>
      <c r="CE910" s="1009"/>
    </row>
    <row r="911" spans="61:83">
      <c r="BI911" s="1009"/>
      <c r="CE911" s="1009"/>
    </row>
    <row r="912" spans="61:83">
      <c r="BI912" s="1009"/>
      <c r="CE912" s="1009"/>
    </row>
    <row r="913" spans="61:83">
      <c r="BI913" s="1009"/>
      <c r="CE913" s="1009"/>
    </row>
    <row r="914" spans="61:83">
      <c r="BI914" s="1009"/>
      <c r="CE914" s="1009"/>
    </row>
    <row r="915" spans="61:83">
      <c r="BI915" s="1009"/>
      <c r="CE915" s="1009"/>
    </row>
    <row r="916" spans="61:83">
      <c r="BI916" s="1009"/>
      <c r="CE916" s="1009"/>
    </row>
    <row r="917" spans="61:83">
      <c r="BI917" s="1009"/>
      <c r="CE917" s="1009"/>
    </row>
    <row r="918" spans="61:83">
      <c r="BI918" s="1009"/>
      <c r="CE918" s="1009"/>
    </row>
    <row r="919" spans="61:83">
      <c r="BI919" s="1009"/>
      <c r="CE919" s="1009"/>
    </row>
    <row r="920" spans="61:83">
      <c r="BI920" s="1009"/>
      <c r="CE920" s="1009"/>
    </row>
    <row r="921" spans="61:83">
      <c r="BI921" s="1009"/>
      <c r="CE921" s="1009"/>
    </row>
    <row r="922" spans="61:83">
      <c r="BI922" s="1009"/>
      <c r="CE922" s="1009"/>
    </row>
    <row r="923" spans="61:83">
      <c r="BI923" s="1009"/>
      <c r="CE923" s="1009"/>
    </row>
    <row r="924" spans="61:83">
      <c r="BI924" s="1009"/>
      <c r="CE924" s="1009"/>
    </row>
    <row r="925" spans="61:83">
      <c r="BI925" s="1009"/>
      <c r="CE925" s="1009"/>
    </row>
    <row r="926" spans="61:83">
      <c r="BI926" s="1009"/>
      <c r="CE926" s="1009"/>
    </row>
    <row r="927" spans="61:83">
      <c r="BI927" s="1009"/>
      <c r="CE927" s="1009"/>
    </row>
    <row r="928" spans="61:83">
      <c r="BI928" s="1009"/>
      <c r="CE928" s="1009"/>
    </row>
    <row r="929" spans="61:83">
      <c r="BI929" s="1009"/>
      <c r="CE929" s="1009"/>
    </row>
    <row r="930" spans="61:83">
      <c r="BI930" s="1009"/>
      <c r="CE930" s="1009"/>
    </row>
    <row r="931" spans="61:83">
      <c r="BI931" s="1009"/>
      <c r="CE931" s="1009"/>
    </row>
    <row r="932" spans="61:83">
      <c r="BI932" s="1009"/>
      <c r="CE932" s="1009"/>
    </row>
    <row r="933" spans="61:83">
      <c r="BI933" s="1009"/>
      <c r="CE933" s="1009"/>
    </row>
    <row r="934" spans="61:83">
      <c r="BI934" s="1009"/>
      <c r="CE934" s="1009"/>
    </row>
    <row r="935" spans="61:83">
      <c r="BI935" s="1009"/>
      <c r="CE935" s="1009"/>
    </row>
    <row r="936" spans="61:83">
      <c r="BI936" s="1009"/>
      <c r="CE936" s="1009"/>
    </row>
    <row r="937" spans="61:83">
      <c r="BI937" s="1009"/>
      <c r="CE937" s="1009"/>
    </row>
    <row r="938" spans="61:83">
      <c r="BI938" s="1009"/>
      <c r="CE938" s="1009"/>
    </row>
    <row r="939" spans="61:83">
      <c r="BI939" s="1009"/>
      <c r="CE939" s="1009"/>
    </row>
    <row r="940" spans="61:83">
      <c r="BI940" s="1009"/>
      <c r="CE940" s="1009"/>
    </row>
    <row r="941" spans="61:83">
      <c r="BI941" s="1009"/>
      <c r="CE941" s="1009"/>
    </row>
    <row r="942" spans="61:83">
      <c r="BI942" s="1009"/>
      <c r="CE942" s="1009"/>
    </row>
    <row r="943" spans="61:83">
      <c r="BI943" s="1009"/>
      <c r="CE943" s="1009"/>
    </row>
    <row r="944" spans="61:83">
      <c r="BI944" s="1009"/>
      <c r="CE944" s="1009"/>
    </row>
    <row r="945" spans="61:83">
      <c r="BI945" s="1009"/>
      <c r="CE945" s="1009"/>
    </row>
    <row r="946" spans="61:83">
      <c r="BI946" s="1009"/>
      <c r="CE946" s="1009"/>
    </row>
    <row r="947" spans="61:83">
      <c r="BI947" s="1009"/>
      <c r="CE947" s="1009"/>
    </row>
    <row r="948" spans="61:83">
      <c r="BI948" s="1009"/>
      <c r="CE948" s="1009"/>
    </row>
    <row r="949" spans="61:83">
      <c r="BI949" s="1009"/>
      <c r="CE949" s="1009"/>
    </row>
    <row r="950" spans="61:83">
      <c r="BI950" s="1009"/>
      <c r="CE950" s="1009"/>
    </row>
    <row r="951" spans="61:83">
      <c r="BI951" s="1009"/>
      <c r="CE951" s="1009"/>
    </row>
    <row r="952" spans="61:83">
      <c r="BI952" s="1009"/>
      <c r="CE952" s="1009"/>
    </row>
    <row r="953" spans="61:83">
      <c r="BI953" s="1009"/>
      <c r="CE953" s="1009"/>
    </row>
    <row r="954" spans="61:83">
      <c r="BI954" s="1009"/>
      <c r="CE954" s="1009"/>
    </row>
    <row r="955" spans="61:83">
      <c r="BI955" s="1009"/>
      <c r="CE955" s="1009"/>
    </row>
    <row r="956" spans="61:83">
      <c r="BI956" s="1009"/>
      <c r="CE956" s="1009"/>
    </row>
    <row r="957" spans="61:83">
      <c r="BI957" s="1009"/>
      <c r="CE957" s="1009"/>
    </row>
    <row r="958" spans="61:83">
      <c r="BI958" s="1009"/>
      <c r="CE958" s="1009"/>
    </row>
    <row r="959" spans="61:83">
      <c r="BI959" s="1009"/>
      <c r="CE959" s="1009"/>
    </row>
    <row r="960" spans="61:83">
      <c r="BI960" s="1009"/>
      <c r="CE960" s="1009"/>
    </row>
    <row r="961" spans="41:83">
      <c r="BI961" s="1009"/>
      <c r="CE961" s="1009"/>
    </row>
    <row r="962" spans="41:83">
      <c r="BI962" s="1009"/>
      <c r="CE962" s="1009"/>
    </row>
    <row r="963" spans="41:83">
      <c r="AO963" s="1533"/>
      <c r="BI963" s="1009"/>
      <c r="CE963" s="1009"/>
    </row>
    <row r="964" spans="41:83">
      <c r="BI964" s="1009"/>
      <c r="CE964" s="1009"/>
    </row>
    <row r="965" spans="41:83">
      <c r="BI965" s="1009"/>
      <c r="CE965" s="1009"/>
    </row>
    <row r="966" spans="41:83">
      <c r="BI966" s="1009"/>
      <c r="CE966" s="1009"/>
    </row>
    <row r="967" spans="41:83">
      <c r="BI967" s="1009"/>
      <c r="CE967" s="1009"/>
    </row>
    <row r="968" spans="41:83">
      <c r="BI968" s="1009"/>
      <c r="CE968" s="1009"/>
    </row>
    <row r="969" spans="41:83">
      <c r="BI969" s="1009"/>
      <c r="CE969" s="1009"/>
    </row>
    <row r="970" spans="41:83">
      <c r="BI970" s="1009"/>
      <c r="CE970" s="1009"/>
    </row>
    <row r="971" spans="41:83">
      <c r="BI971" s="1009"/>
      <c r="CE971" s="1009"/>
    </row>
    <row r="972" spans="41:83">
      <c r="BI972" s="1009"/>
      <c r="CE972" s="1009"/>
    </row>
    <row r="973" spans="41:83">
      <c r="BI973" s="1009"/>
      <c r="CE973" s="1009"/>
    </row>
    <row r="974" spans="41:83">
      <c r="BI974" s="1009"/>
      <c r="CE974" s="1009"/>
    </row>
    <row r="975" spans="41:83">
      <c r="BI975" s="1009"/>
      <c r="CE975" s="1009"/>
    </row>
    <row r="976" spans="41:83">
      <c r="BI976" s="1009"/>
      <c r="CE976" s="1009"/>
    </row>
    <row r="977" spans="61:83">
      <c r="BI977" s="1009"/>
      <c r="CE977" s="1009"/>
    </row>
    <row r="978" spans="61:83">
      <c r="BI978" s="1009"/>
      <c r="CE978" s="1009"/>
    </row>
    <row r="979" spans="61:83">
      <c r="BI979" s="1009"/>
      <c r="CE979" s="1009"/>
    </row>
    <row r="980" spans="61:83">
      <c r="BI980" s="1009"/>
      <c r="CE980" s="1009"/>
    </row>
    <row r="981" spans="61:83">
      <c r="BI981" s="1009"/>
      <c r="CE981" s="1009"/>
    </row>
    <row r="982" spans="61:83">
      <c r="BI982" s="1009"/>
      <c r="CE982" s="1009"/>
    </row>
    <row r="983" spans="61:83">
      <c r="BI983" s="1009"/>
      <c r="CE983" s="1009"/>
    </row>
    <row r="984" spans="61:83">
      <c r="BI984" s="1009"/>
      <c r="CE984" s="1009"/>
    </row>
    <row r="985" spans="61:83">
      <c r="BI985" s="1009"/>
      <c r="CE985" s="1009"/>
    </row>
    <row r="986" spans="61:83">
      <c r="BI986" s="1009"/>
      <c r="CE986" s="1009"/>
    </row>
    <row r="987" spans="61:83">
      <c r="BI987" s="1009"/>
      <c r="CE987" s="1009"/>
    </row>
    <row r="988" spans="61:83">
      <c r="BI988" s="1009"/>
      <c r="CE988" s="1009"/>
    </row>
    <row r="989" spans="61:83">
      <c r="BI989" s="1009"/>
      <c r="CE989" s="1009"/>
    </row>
    <row r="990" spans="61:83">
      <c r="BI990" s="1009"/>
      <c r="CE990" s="1009"/>
    </row>
    <row r="991" spans="61:83">
      <c r="BI991" s="1009"/>
      <c r="CE991" s="1009"/>
    </row>
    <row r="992" spans="61:83">
      <c r="BI992" s="1009"/>
      <c r="CE992" s="1009"/>
    </row>
    <row r="993" spans="61:83">
      <c r="BI993" s="1009"/>
      <c r="CE993" s="1009"/>
    </row>
    <row r="994" spans="61:83">
      <c r="BI994" s="1009"/>
      <c r="CE994" s="1009"/>
    </row>
    <row r="995" spans="61:83">
      <c r="BI995" s="1009"/>
      <c r="CE995" s="1009"/>
    </row>
    <row r="996" spans="61:83">
      <c r="BI996" s="1009"/>
      <c r="CE996" s="1009"/>
    </row>
    <row r="997" spans="61:83">
      <c r="BI997" s="1009"/>
      <c r="CE997" s="1009"/>
    </row>
    <row r="998" spans="61:83">
      <c r="BI998" s="1009"/>
      <c r="CE998" s="1009"/>
    </row>
    <row r="999" spans="61:83">
      <c r="BI999" s="1009"/>
      <c r="CE999" s="1009"/>
    </row>
    <row r="1000" spans="61:83">
      <c r="BI1000" s="1009"/>
      <c r="CE1000" s="1009"/>
    </row>
    <row r="1001" spans="61:83">
      <c r="BI1001" s="1009"/>
      <c r="CE1001" s="1009"/>
    </row>
    <row r="1002" spans="61:83">
      <c r="BI1002" s="1009"/>
    </row>
    <row r="1003" spans="61:83">
      <c r="BI1003" s="1009"/>
    </row>
    <row r="1004" spans="61:83">
      <c r="BI1004" s="1009"/>
    </row>
    <row r="1005" spans="61:83">
      <c r="BI1005" s="1009"/>
    </row>
    <row r="1006" spans="61:83">
      <c r="BI1006" s="1009"/>
    </row>
    <row r="1007" spans="61:83">
      <c r="BI1007" s="1009"/>
    </row>
    <row r="1008" spans="61:83">
      <c r="BI1008" s="1009"/>
    </row>
    <row r="1009" spans="61:61">
      <c r="BI1009" s="1009"/>
    </row>
    <row r="1010" spans="61:61">
      <c r="BI1010" s="1009"/>
    </row>
    <row r="1011" spans="61:61">
      <c r="BI1011" s="1009"/>
    </row>
    <row r="1012" spans="61:61">
      <c r="BI1012" s="1009"/>
    </row>
    <row r="1013" spans="61:61">
      <c r="BI1013" s="1009"/>
    </row>
    <row r="1014" spans="61:61">
      <c r="BI1014" s="1009"/>
    </row>
    <row r="1015" spans="61:61">
      <c r="BI1015" s="1009"/>
    </row>
    <row r="1016" spans="61:61">
      <c r="BI1016" s="1009"/>
    </row>
    <row r="1017" spans="61:61">
      <c r="BI1017" s="1009"/>
    </row>
    <row r="1018" spans="61:61">
      <c r="BI1018" s="1009"/>
    </row>
    <row r="1019" spans="61:61">
      <c r="BI1019" s="1009"/>
    </row>
    <row r="1020" spans="61:61">
      <c r="BI1020" s="1009"/>
    </row>
    <row r="1021" spans="61:61">
      <c r="BI1021" s="1009"/>
    </row>
    <row r="1022" spans="61:61">
      <c r="BI1022" s="1009"/>
    </row>
    <row r="1023" spans="61:61">
      <c r="BI1023" s="1009"/>
    </row>
    <row r="1024" spans="61:61">
      <c r="BI1024" s="1009"/>
    </row>
    <row r="1025" spans="61:61">
      <c r="BI1025" s="1009"/>
    </row>
    <row r="1026" spans="61:61">
      <c r="BI1026" s="1009"/>
    </row>
    <row r="1027" spans="61:61">
      <c r="BI1027" s="1009"/>
    </row>
    <row r="1028" spans="61:61">
      <c r="BI1028" s="1009"/>
    </row>
    <row r="1029" spans="61:61">
      <c r="BI1029" s="1009"/>
    </row>
    <row r="1030" spans="61:61">
      <c r="BI1030" s="1009"/>
    </row>
    <row r="1031" spans="61:61">
      <c r="BI1031" s="1009"/>
    </row>
    <row r="1032" spans="61:61">
      <c r="BI1032" s="1009"/>
    </row>
    <row r="1033" spans="61:61">
      <c r="BI1033" s="1009"/>
    </row>
    <row r="1034" spans="61:61">
      <c r="BI1034" s="1009"/>
    </row>
    <row r="1035" spans="61:61">
      <c r="BI1035" s="1009"/>
    </row>
    <row r="1036" spans="61:61">
      <c r="BI1036" s="1009"/>
    </row>
    <row r="1037" spans="61:61">
      <c r="BI1037" s="1009"/>
    </row>
    <row r="1038" spans="61:61">
      <c r="BI1038" s="1009"/>
    </row>
    <row r="1039" spans="61:61">
      <c r="BI1039" s="1009"/>
    </row>
    <row r="1040" spans="61:61">
      <c r="BI1040" s="1009"/>
    </row>
    <row r="1041" spans="51:61">
      <c r="BI1041" s="1009"/>
    </row>
    <row r="1042" spans="51:61">
      <c r="BI1042" s="1009"/>
    </row>
    <row r="1043" spans="51:61">
      <c r="BI1043" s="1009"/>
    </row>
    <row r="1044" spans="51:61">
      <c r="BI1044" s="1009"/>
    </row>
    <row r="1045" spans="51:61">
      <c r="BI1045" s="1009"/>
    </row>
    <row r="1046" spans="51:61">
      <c r="BI1046" s="1009"/>
    </row>
    <row r="1047" spans="51:61">
      <c r="BI1047" s="1009"/>
    </row>
    <row r="1048" spans="51:61">
      <c r="BI1048" s="1009"/>
    </row>
    <row r="1049" spans="51:61">
      <c r="BI1049" s="1009"/>
    </row>
    <row r="1050" spans="51:61">
      <c r="BI1050" s="1009"/>
    </row>
    <row r="1051" spans="51:61">
      <c r="BI1051" s="1009"/>
    </row>
    <row r="1052" spans="51:61">
      <c r="BI1052" s="1009"/>
    </row>
    <row r="1053" spans="51:61">
      <c r="AY1053" s="1533"/>
      <c r="BI1053" s="1009"/>
    </row>
    <row r="1054" spans="51:61">
      <c r="BI1054" s="1009"/>
    </row>
    <row r="1055" spans="51:61">
      <c r="BI1055" s="1009"/>
    </row>
    <row r="1056" spans="51:61">
      <c r="BI1056" s="1009"/>
    </row>
    <row r="1057" spans="61:61">
      <c r="BI1057" s="1009"/>
    </row>
    <row r="1058" spans="61:61">
      <c r="BI1058" s="1009"/>
    </row>
    <row r="1059" spans="61:61">
      <c r="BI1059" s="1009"/>
    </row>
    <row r="1060" spans="61:61">
      <c r="BI1060" s="1009"/>
    </row>
    <row r="1061" spans="61:61">
      <c r="BI1061" s="1009"/>
    </row>
    <row r="1062" spans="61:61">
      <c r="BI1062" s="1009"/>
    </row>
    <row r="1063" spans="61:61">
      <c r="BI1063" s="1009"/>
    </row>
    <row r="1064" spans="61:61">
      <c r="BI1064" s="1009"/>
    </row>
    <row r="1065" spans="61:61">
      <c r="BI1065" s="1009"/>
    </row>
    <row r="1066" spans="61:61">
      <c r="BI1066" s="1009"/>
    </row>
    <row r="1067" spans="61:61">
      <c r="BI1067" s="1009"/>
    </row>
    <row r="1068" spans="61:61">
      <c r="BI1068" s="1009"/>
    </row>
    <row r="1069" spans="61:61">
      <c r="BI1069" s="1009"/>
    </row>
    <row r="1070" spans="61:61">
      <c r="BI1070" s="1009"/>
    </row>
    <row r="1071" spans="61:61">
      <c r="BI1071" s="1009"/>
    </row>
    <row r="1072" spans="61:61">
      <c r="BI1072" s="1009"/>
    </row>
    <row r="1073" spans="61:61">
      <c r="BI1073" s="1009"/>
    </row>
    <row r="1074" spans="61:61">
      <c r="BI1074" s="1009"/>
    </row>
    <row r="1075" spans="61:61">
      <c r="BI1075" s="1009"/>
    </row>
    <row r="1076" spans="61:61">
      <c r="BI1076" s="1009"/>
    </row>
    <row r="1077" spans="61:61">
      <c r="BI1077" s="1009"/>
    </row>
    <row r="1078" spans="61:61">
      <c r="BI1078" s="1009"/>
    </row>
    <row r="1079" spans="61:61">
      <c r="BI1079" s="1009"/>
    </row>
    <row r="1080" spans="61:61">
      <c r="BI1080" s="1009"/>
    </row>
    <row r="1081" spans="61:61">
      <c r="BI1081" s="1009"/>
    </row>
    <row r="1082" spans="61:61">
      <c r="BI1082" s="1009"/>
    </row>
    <row r="1083" spans="61:61">
      <c r="BI1083" s="1009"/>
    </row>
    <row r="1084" spans="61:61">
      <c r="BI1084" s="1009"/>
    </row>
    <row r="1085" spans="61:61">
      <c r="BI1085" s="1009"/>
    </row>
    <row r="1086" spans="61:61">
      <c r="BI1086" s="1009"/>
    </row>
    <row r="1087" spans="61:61">
      <c r="BI1087" s="1009"/>
    </row>
    <row r="1088" spans="61:61">
      <c r="BI1088" s="1009"/>
    </row>
    <row r="1089" spans="61:61">
      <c r="BI1089" s="1009"/>
    </row>
    <row r="1090" spans="61:61">
      <c r="BI1090" s="1009"/>
    </row>
    <row r="1091" spans="61:61">
      <c r="BI1091" s="1009"/>
    </row>
    <row r="1092" spans="61:61">
      <c r="BI1092" s="1009"/>
    </row>
    <row r="1093" spans="61:61">
      <c r="BI1093" s="1009"/>
    </row>
    <row r="1094" spans="61:61">
      <c r="BI1094" s="1009"/>
    </row>
    <row r="1095" spans="61:61">
      <c r="BI1095" s="1009"/>
    </row>
    <row r="1096" spans="61:61">
      <c r="BI1096" s="1009"/>
    </row>
    <row r="1097" spans="61:61">
      <c r="BI1097" s="1009"/>
    </row>
    <row r="1098" spans="61:61">
      <c r="BI1098" s="1009"/>
    </row>
    <row r="1099" spans="61:61">
      <c r="BI1099" s="1009"/>
    </row>
    <row r="1100" spans="61:61">
      <c r="BI1100" s="1009"/>
    </row>
    <row r="1101" spans="61:61">
      <c r="BI1101" s="1009"/>
    </row>
    <row r="1102" spans="61:61">
      <c r="BI1102" s="1009"/>
    </row>
    <row r="1103" spans="61:61">
      <c r="BI1103" s="1009"/>
    </row>
    <row r="1104" spans="61:61">
      <c r="BI1104" s="1009"/>
    </row>
    <row r="1105" spans="61:61">
      <c r="BI1105" s="1009"/>
    </row>
    <row r="1106" spans="61:61">
      <c r="BI1106" s="1009"/>
    </row>
    <row r="1107" spans="61:61">
      <c r="BI1107" s="1009"/>
    </row>
    <row r="1108" spans="61:61">
      <c r="BI1108" s="1009"/>
    </row>
    <row r="1109" spans="61:61">
      <c r="BI1109" s="1009"/>
    </row>
    <row r="1110" spans="61:61">
      <c r="BI1110" s="1009"/>
    </row>
    <row r="1111" spans="61:61">
      <c r="BI1111" s="1009"/>
    </row>
    <row r="1112" spans="61:61">
      <c r="BI1112" s="1009"/>
    </row>
    <row r="1113" spans="61:61">
      <c r="BI1113" s="1009"/>
    </row>
    <row r="1114" spans="61:61">
      <c r="BI1114" s="1009"/>
    </row>
    <row r="1115" spans="61:61">
      <c r="BI1115" s="1009"/>
    </row>
    <row r="1116" spans="61:61">
      <c r="BI1116" s="1009"/>
    </row>
    <row r="1117" spans="61:61">
      <c r="BI1117" s="1009"/>
    </row>
    <row r="1118" spans="61:61">
      <c r="BI1118" s="1009"/>
    </row>
    <row r="1119" spans="61:61">
      <c r="BI1119" s="1009"/>
    </row>
    <row r="1120" spans="61:61">
      <c r="BI1120" s="1009"/>
    </row>
    <row r="1121" spans="61:61">
      <c r="BI1121" s="1009"/>
    </row>
    <row r="1122" spans="61:61">
      <c r="BI1122" s="1009"/>
    </row>
    <row r="1123" spans="61:61">
      <c r="BI1123" s="1009"/>
    </row>
    <row r="1124" spans="61:61">
      <c r="BI1124" s="1009"/>
    </row>
    <row r="1125" spans="61:61">
      <c r="BI1125" s="1009"/>
    </row>
    <row r="1126" spans="61:61">
      <c r="BI1126" s="1009"/>
    </row>
    <row r="1127" spans="61:61">
      <c r="BI1127" s="1009"/>
    </row>
    <row r="1128" spans="61:61">
      <c r="BI1128" s="1009"/>
    </row>
    <row r="1129" spans="61:61">
      <c r="BI1129" s="1009"/>
    </row>
    <row r="1130" spans="61:61">
      <c r="BI1130" s="1009"/>
    </row>
    <row r="1131" spans="61:61">
      <c r="BI1131" s="1009"/>
    </row>
    <row r="1132" spans="61:61">
      <c r="BI1132" s="1009"/>
    </row>
    <row r="1133" spans="61:61">
      <c r="BI1133" s="1009"/>
    </row>
    <row r="1134" spans="61:61">
      <c r="BI1134" s="1009"/>
    </row>
    <row r="1135" spans="61:61">
      <c r="BI1135" s="1009"/>
    </row>
    <row r="1136" spans="61:61">
      <c r="BI1136" s="1009"/>
    </row>
    <row r="1137" spans="56:61">
      <c r="BI1137" s="1009"/>
    </row>
    <row r="1138" spans="56:61">
      <c r="BI1138" s="1009"/>
    </row>
    <row r="1139" spans="56:61">
      <c r="BI1139" s="1009"/>
    </row>
    <row r="1140" spans="56:61">
      <c r="BI1140" s="1009"/>
    </row>
    <row r="1141" spans="56:61">
      <c r="BI1141" s="1009"/>
    </row>
    <row r="1142" spans="56:61">
      <c r="BI1142" s="1009"/>
    </row>
    <row r="1143" spans="56:61">
      <c r="BD1143" s="1533"/>
      <c r="BI1143" s="1009"/>
    </row>
    <row r="1144" spans="56:61">
      <c r="BI1144" s="1009"/>
    </row>
    <row r="1145" spans="56:61">
      <c r="BI1145" s="1009"/>
    </row>
    <row r="1146" spans="56:61">
      <c r="BI1146" s="1009"/>
    </row>
    <row r="1147" spans="56:61">
      <c r="BI1147" s="1009"/>
    </row>
    <row r="1148" spans="56:61">
      <c r="BI1148" s="1009"/>
    </row>
    <row r="1149" spans="56:61">
      <c r="BI1149" s="1009"/>
    </row>
    <row r="1150" spans="56:61">
      <c r="BI1150" s="1009"/>
    </row>
    <row r="1151" spans="56:61">
      <c r="BI1151" s="1009"/>
    </row>
    <row r="1152" spans="56:61">
      <c r="BI1152" s="1009"/>
    </row>
    <row r="1153" spans="61:61">
      <c r="BI1153" s="1009"/>
    </row>
    <row r="1154" spans="61:61">
      <c r="BI1154" s="1009"/>
    </row>
    <row r="1155" spans="61:61">
      <c r="BI1155" s="1009"/>
    </row>
    <row r="1156" spans="61:61">
      <c r="BI1156" s="1009"/>
    </row>
    <row r="1157" spans="61:61">
      <c r="BI1157" s="1009"/>
    </row>
    <row r="1158" spans="61:61">
      <c r="BI1158" s="1009"/>
    </row>
    <row r="1159" spans="61:61">
      <c r="BI1159" s="1009"/>
    </row>
    <row r="1160" spans="61:61">
      <c r="BI1160" s="1009"/>
    </row>
    <row r="1161" spans="61:61">
      <c r="BI1161" s="1009"/>
    </row>
    <row r="1162" spans="61:61">
      <c r="BI1162" s="1009"/>
    </row>
    <row r="1163" spans="61:61">
      <c r="BI1163" s="1009"/>
    </row>
    <row r="1164" spans="61:61">
      <c r="BI1164" s="1009"/>
    </row>
    <row r="1165" spans="61:61">
      <c r="BI1165" s="1009"/>
    </row>
    <row r="1166" spans="61:61">
      <c r="BI1166" s="1009"/>
    </row>
    <row r="1167" spans="61:61">
      <c r="BI1167" s="1009"/>
    </row>
    <row r="1168" spans="61:61">
      <c r="BI1168" s="1009"/>
    </row>
    <row r="1169" spans="61:61">
      <c r="BI1169" s="1009"/>
    </row>
    <row r="1170" spans="61:61">
      <c r="BI1170" s="1009"/>
    </row>
    <row r="1171" spans="61:61">
      <c r="BI1171" s="1009"/>
    </row>
    <row r="1172" spans="61:61">
      <c r="BI1172" s="1009"/>
    </row>
    <row r="1173" spans="61:61">
      <c r="BI1173" s="1009"/>
    </row>
    <row r="1174" spans="61:61">
      <c r="BI1174" s="1009"/>
    </row>
    <row r="1175" spans="61:61">
      <c r="BI1175" s="1009"/>
    </row>
    <row r="1176" spans="61:61">
      <c r="BI1176" s="1009"/>
    </row>
    <row r="1177" spans="61:61">
      <c r="BI1177" s="1009"/>
    </row>
    <row r="1178" spans="61:61">
      <c r="BI1178" s="1009"/>
    </row>
    <row r="1179" spans="61:61">
      <c r="BI1179" s="1009"/>
    </row>
    <row r="1180" spans="61:61">
      <c r="BI1180" s="1009"/>
    </row>
    <row r="1181" spans="61:61">
      <c r="BI1181" s="1009"/>
    </row>
    <row r="1182" spans="61:61">
      <c r="BI1182" s="1009"/>
    </row>
    <row r="1183" spans="61:61">
      <c r="BI1183" s="1009"/>
    </row>
    <row r="1184" spans="61:61">
      <c r="BI1184" s="1009"/>
    </row>
    <row r="1185" spans="61:61">
      <c r="BI1185" s="1009"/>
    </row>
    <row r="1186" spans="61:61">
      <c r="BI1186" s="1009"/>
    </row>
    <row r="1187" spans="61:61">
      <c r="BI1187" s="1009"/>
    </row>
    <row r="1188" spans="61:61">
      <c r="BI1188" s="1009"/>
    </row>
    <row r="1189" spans="61:61">
      <c r="BI1189" s="1009"/>
    </row>
    <row r="1190" spans="61:61">
      <c r="BI1190" s="1009"/>
    </row>
    <row r="1191" spans="61:61">
      <c r="BI1191" s="1009"/>
    </row>
    <row r="1192" spans="61:61">
      <c r="BI1192" s="1009"/>
    </row>
    <row r="1193" spans="61:61">
      <c r="BI1193" s="1009"/>
    </row>
    <row r="1194" spans="61:61">
      <c r="BI1194" s="1009"/>
    </row>
    <row r="1195" spans="61:61">
      <c r="BI1195" s="1009"/>
    </row>
    <row r="1196" spans="61:61">
      <c r="BI1196" s="1009"/>
    </row>
    <row r="1197" spans="61:61">
      <c r="BI1197" s="1009"/>
    </row>
    <row r="1198" spans="61:61">
      <c r="BI1198" s="1009"/>
    </row>
    <row r="1199" spans="61:61">
      <c r="BI1199" s="1009"/>
    </row>
    <row r="1200" spans="61:61">
      <c r="BI1200" s="1009"/>
    </row>
    <row r="1201" spans="61:61">
      <c r="BI1201" s="1009"/>
    </row>
    <row r="1202" spans="61:61">
      <c r="BI1202" s="1009"/>
    </row>
    <row r="1203" spans="61:61">
      <c r="BI1203" s="1009"/>
    </row>
    <row r="1204" spans="61:61">
      <c r="BI1204" s="1009"/>
    </row>
    <row r="1205" spans="61:61">
      <c r="BI1205" s="1009"/>
    </row>
    <row r="1206" spans="61:61">
      <c r="BI1206" s="1009"/>
    </row>
    <row r="1207" spans="61:61">
      <c r="BI1207" s="1009"/>
    </row>
    <row r="1208" spans="61:61">
      <c r="BI1208" s="1009"/>
    </row>
    <row r="1209" spans="61:61">
      <c r="BI1209" s="1009"/>
    </row>
    <row r="1210" spans="61:61">
      <c r="BI1210" s="1009"/>
    </row>
    <row r="1211" spans="61:61">
      <c r="BI1211" s="1009"/>
    </row>
    <row r="1212" spans="61:61">
      <c r="BI1212" s="1009"/>
    </row>
    <row r="1213" spans="61:61">
      <c r="BI1213" s="1009"/>
    </row>
    <row r="1214" spans="61:61">
      <c r="BI1214" s="1009"/>
    </row>
    <row r="1215" spans="61:61">
      <c r="BI1215" s="1009"/>
    </row>
    <row r="1216" spans="61:61">
      <c r="BI1216" s="1009"/>
    </row>
    <row r="1217" spans="61:61">
      <c r="BI1217" s="1009"/>
    </row>
    <row r="1218" spans="61:61">
      <c r="BI1218" s="1009"/>
    </row>
    <row r="1219" spans="61:61">
      <c r="BI1219" s="1009"/>
    </row>
    <row r="1220" spans="61:61">
      <c r="BI1220" s="1009"/>
    </row>
    <row r="1221" spans="61:61">
      <c r="BI1221" s="1009"/>
    </row>
    <row r="1222" spans="61:61">
      <c r="BI1222" s="1009"/>
    </row>
    <row r="1223" spans="61:61">
      <c r="BI1223" s="1009"/>
    </row>
    <row r="1224" spans="61:61">
      <c r="BI1224" s="1009"/>
    </row>
    <row r="1225" spans="61:61">
      <c r="BI1225" s="1009"/>
    </row>
    <row r="1226" spans="61:61">
      <c r="BI1226" s="1009"/>
    </row>
    <row r="1227" spans="61:61">
      <c r="BI1227" s="1009"/>
    </row>
    <row r="1228" spans="61:61">
      <c r="BI1228" s="1009"/>
    </row>
    <row r="1229" spans="61:61">
      <c r="BI1229" s="1009"/>
    </row>
    <row r="1230" spans="61:61">
      <c r="BI1230" s="1009"/>
    </row>
    <row r="1231" spans="61:61">
      <c r="BI1231" s="1009"/>
    </row>
    <row r="1232" spans="61:61">
      <c r="BI1232" s="1009"/>
    </row>
    <row r="1233" spans="61:61">
      <c r="BI1233" s="1009"/>
    </row>
    <row r="1234" spans="61:61">
      <c r="BI1234" s="1009"/>
    </row>
    <row r="1235" spans="61:61">
      <c r="BI1235" s="1009"/>
    </row>
    <row r="1236" spans="61:61">
      <c r="BI1236" s="1009"/>
    </row>
    <row r="1237" spans="61:61">
      <c r="BI1237" s="1009"/>
    </row>
    <row r="1238" spans="61:61">
      <c r="BI1238" s="1009"/>
    </row>
    <row r="1239" spans="61:61">
      <c r="BI1239" s="1009"/>
    </row>
    <row r="1240" spans="61:61">
      <c r="BI1240" s="1009"/>
    </row>
    <row r="1241" spans="61:61">
      <c r="BI1241" s="1009"/>
    </row>
    <row r="1242" spans="61:61">
      <c r="BI1242" s="1009"/>
    </row>
    <row r="1243" spans="61:61">
      <c r="BI1243" s="1009"/>
    </row>
    <row r="1244" spans="61:61">
      <c r="BI1244" s="1009"/>
    </row>
    <row r="1245" spans="61:61">
      <c r="BI1245" s="1009"/>
    </row>
    <row r="1246" spans="61:61">
      <c r="BI1246" s="1009"/>
    </row>
    <row r="1247" spans="61:61">
      <c r="BI1247" s="1009"/>
    </row>
    <row r="1248" spans="61:61">
      <c r="BI1248" s="1009"/>
    </row>
    <row r="1249" spans="61:61">
      <c r="BI1249" s="1009"/>
    </row>
    <row r="1250" spans="61:61">
      <c r="BI1250" s="1009"/>
    </row>
    <row r="1251" spans="61:61">
      <c r="BI1251" s="1009"/>
    </row>
    <row r="1252" spans="61:61">
      <c r="BI1252" s="1009"/>
    </row>
    <row r="1253" spans="61:61">
      <c r="BI1253" s="1009"/>
    </row>
    <row r="1254" spans="61:61">
      <c r="BI1254" s="1009"/>
    </row>
    <row r="1255" spans="61:61">
      <c r="BI1255" s="1009"/>
    </row>
    <row r="1256" spans="61:61">
      <c r="BI1256" s="1009"/>
    </row>
    <row r="1257" spans="61:61">
      <c r="BI1257" s="1009"/>
    </row>
    <row r="1258" spans="61:61">
      <c r="BI1258" s="1009"/>
    </row>
    <row r="1259" spans="61:61">
      <c r="BI1259" s="1009"/>
    </row>
    <row r="1260" spans="61:61">
      <c r="BI1260" s="1009"/>
    </row>
    <row r="1261" spans="61:61">
      <c r="BI1261" s="1009"/>
    </row>
    <row r="1262" spans="61:61">
      <c r="BI1262" s="1009"/>
    </row>
    <row r="1263" spans="61:61">
      <c r="BI1263" s="1009"/>
    </row>
    <row r="1264" spans="61:61">
      <c r="BI1264" s="1009"/>
    </row>
    <row r="1265" spans="61:61">
      <c r="BI1265" s="1009"/>
    </row>
    <row r="1266" spans="61:61">
      <c r="BI1266" s="1009"/>
    </row>
    <row r="1267" spans="61:61">
      <c r="BI1267" s="1009"/>
    </row>
    <row r="1268" spans="61:61">
      <c r="BI1268" s="1009"/>
    </row>
    <row r="1269" spans="61:61">
      <c r="BI1269" s="1009"/>
    </row>
    <row r="1270" spans="61:61">
      <c r="BI1270" s="1009"/>
    </row>
    <row r="1271" spans="61:61">
      <c r="BI1271" s="1009"/>
    </row>
    <row r="1272" spans="61:61">
      <c r="BI1272" s="1009"/>
    </row>
    <row r="1273" spans="61:61">
      <c r="BI1273" s="1009"/>
    </row>
    <row r="1274" spans="61:61">
      <c r="BI1274" s="1009"/>
    </row>
    <row r="1275" spans="61:61">
      <c r="BI1275" s="1009"/>
    </row>
    <row r="1276" spans="61:61">
      <c r="BI1276" s="1009"/>
    </row>
    <row r="1277" spans="61:61">
      <c r="BI1277" s="1009"/>
    </row>
    <row r="1278" spans="61:61">
      <c r="BI1278" s="1533"/>
    </row>
  </sheetData>
  <pageMargins left="0" right="0" top="0" bottom="0" header="0" footer="0"/>
  <pageSetup paperSize="5" scale="10" orientation="landscape" horizontalDpi="1200" verticalDpi="12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499984740745262"/>
    <pageSetUpPr fitToPage="1"/>
  </sheetPr>
  <dimension ref="A1:CO1278"/>
  <sheetViews>
    <sheetView showGridLines="0" zoomScale="85" zoomScaleNormal="85" workbookViewId="0">
      <pane xSplit="1" ySplit="3" topLeftCell="AE4" activePane="bottomRight" state="frozen"/>
      <selection activeCell="EF49" sqref="EF49"/>
      <selection pane="topRight" activeCell="EF49" sqref="EF49"/>
      <selection pane="bottomLeft" activeCell="EF49" sqref="EF49"/>
      <selection pane="bottomRight" activeCell="AE4" sqref="AE4"/>
    </sheetView>
  </sheetViews>
  <sheetFormatPr defaultRowHeight="12.75" outlineLevelRow="1" outlineLevelCol="2"/>
  <cols>
    <col min="1" max="1" width="53.85546875" style="986" bestFit="1" customWidth="1"/>
    <col min="2" max="5" width="10.7109375" style="1004" hidden="1" customWidth="1" outlineLevel="2"/>
    <col min="6" max="6" width="10.7109375" style="1009" hidden="1" customWidth="1" outlineLevel="1"/>
    <col min="7" max="10" width="10.7109375" style="1004" hidden="1" customWidth="1" outlineLevel="2"/>
    <col min="11" max="11" width="10.7109375" style="1009" hidden="1" customWidth="1" outlineLevel="1"/>
    <col min="12" max="15" width="10.7109375" style="1004" hidden="1" customWidth="1" outlineLevel="2"/>
    <col min="16" max="16" width="10.7109375" style="1009" hidden="1" customWidth="1" outlineLevel="1"/>
    <col min="17" max="20" width="10.7109375" style="1004" hidden="1" customWidth="1" outlineLevel="2"/>
    <col min="21" max="21" width="10.7109375" style="1009" hidden="1" customWidth="1" outlineLevel="1"/>
    <col min="22" max="25" width="10.7109375" style="1004" hidden="1" customWidth="1" outlineLevel="2"/>
    <col min="26" max="26" width="10.7109375" style="1009" hidden="1" customWidth="1" outlineLevel="1"/>
    <col min="27" max="30" width="10.7109375" style="1004" hidden="1" customWidth="1" outlineLevel="1"/>
    <col min="31" max="31" width="10.85546875" style="1009" customWidth="1" collapsed="1"/>
    <col min="32" max="32" width="8.28515625" style="986" hidden="1" customWidth="1" outlineLevel="1"/>
    <col min="33" max="33" width="8.85546875" style="986" hidden="1" customWidth="1" outlineLevel="1"/>
    <col min="34" max="35" width="8.140625" style="986" hidden="1" customWidth="1" outlineLevel="1"/>
    <col min="36" max="36" width="10.85546875" style="1009" customWidth="1" collapsed="1"/>
    <col min="37" max="37" width="8.85546875" style="986" hidden="1" customWidth="1" outlineLevel="1"/>
    <col min="38" max="40" width="8.140625" style="986" hidden="1" customWidth="1" outlineLevel="1"/>
    <col min="41" max="41" width="10" style="1009" customWidth="1" collapsed="1"/>
    <col min="42" max="42" width="9.85546875" style="986" customWidth="1" outlineLevel="1"/>
    <col min="43" max="44" width="9.28515625" style="986" customWidth="1" outlineLevel="1"/>
    <col min="45" max="45" width="9.85546875" style="986" customWidth="1" outlineLevel="1"/>
    <col min="46" max="46" width="12.5703125" style="1009" customWidth="1"/>
    <col min="47" max="47" width="9.85546875" style="986" customWidth="1" outlineLevel="1"/>
    <col min="48" max="49" width="9.28515625" style="986" customWidth="1" outlineLevel="1"/>
    <col min="50" max="50" width="9.85546875" style="986" customWidth="1" outlineLevel="1"/>
    <col min="51" max="51" width="11.85546875" style="1009" bestFit="1" customWidth="1"/>
    <col min="52" max="52" width="9.85546875" style="986" hidden="1" customWidth="1" outlineLevel="1"/>
    <col min="53" max="54" width="9.28515625" style="986" hidden="1" customWidth="1" outlineLevel="1"/>
    <col min="55" max="55" width="9.85546875" style="986" hidden="1" customWidth="1" outlineLevel="1"/>
    <col min="56" max="56" width="11.85546875" style="1009" bestFit="1" customWidth="1" collapsed="1"/>
    <col min="57" max="60" width="9.85546875" style="1004" hidden="1" customWidth="1" outlineLevel="1"/>
    <col min="61" max="61" width="9.85546875" style="3002" customWidth="1" collapsed="1"/>
    <col min="62" max="65" width="9.85546875" style="3002" hidden="1" customWidth="1" outlineLevel="1"/>
    <col min="66" max="66" width="9.85546875" style="3002" customWidth="1" collapsed="1"/>
    <col min="67" max="70" width="9.85546875" style="3002" hidden="1" customWidth="1" outlineLevel="1"/>
    <col min="71" max="71" width="9.85546875" style="3002" customWidth="1" collapsed="1"/>
    <col min="72" max="72" width="9.140625" style="986"/>
    <col min="73" max="77" width="9.85546875" style="1009" hidden="1" customWidth="1" outlineLevel="1"/>
    <col min="78" max="79" width="9.85546875" style="1004" hidden="1" customWidth="1" outlineLevel="1"/>
    <col min="80" max="80" width="9.140625" style="986" collapsed="1"/>
    <col min="81" max="16384" width="9.140625" style="986"/>
  </cols>
  <sheetData>
    <row r="1" spans="1:80" ht="17.25" customHeight="1">
      <c r="A1" s="3039" t="s">
        <v>1454</v>
      </c>
      <c r="F1" s="1004"/>
      <c r="K1" s="1004"/>
      <c r="P1" s="1004"/>
      <c r="U1" s="1004"/>
      <c r="Z1" s="1004"/>
      <c r="AE1" s="1104"/>
      <c r="AI1" s="1173"/>
      <c r="AJ1" s="1174"/>
      <c r="AK1" s="1172"/>
      <c r="AL1" s="1172"/>
      <c r="AM1" s="1172"/>
      <c r="AN1" s="1172"/>
      <c r="AO1" s="1172"/>
      <c r="AP1" s="1172"/>
      <c r="AQ1" s="1172"/>
      <c r="AR1" s="1172"/>
      <c r="AS1" s="1172"/>
      <c r="AT1" s="1172"/>
      <c r="AU1" s="1172"/>
      <c r="AV1" s="2567"/>
      <c r="AW1" s="1172"/>
      <c r="AX1" s="1172"/>
      <c r="AY1" s="2534"/>
      <c r="AZ1" s="2529"/>
      <c r="BA1" s="2529"/>
      <c r="BB1" s="2529"/>
      <c r="BC1" s="2529"/>
      <c r="BD1" s="1171"/>
      <c r="BE1" s="2847"/>
      <c r="BF1" s="2847"/>
      <c r="BG1" s="2847"/>
      <c r="BH1" s="2847"/>
      <c r="BI1" s="2910"/>
      <c r="BJ1" s="2910"/>
      <c r="BK1" s="2910"/>
      <c r="BL1" s="2910"/>
      <c r="BM1" s="2910"/>
      <c r="BN1" s="2910"/>
      <c r="BO1" s="2910"/>
      <c r="BP1" s="2910"/>
      <c r="BQ1" s="2910"/>
      <c r="BR1" s="2910"/>
      <c r="BS1" s="2910"/>
      <c r="BT1" s="1343"/>
      <c r="BU1" s="1002"/>
      <c r="BV1" s="1002"/>
      <c r="BW1" s="1002"/>
      <c r="BX1" s="1002"/>
      <c r="BY1" s="1002"/>
      <c r="BZ1" s="1002"/>
      <c r="CA1" s="1002"/>
    </row>
    <row r="2" spans="1:80">
      <c r="B2" s="1019"/>
      <c r="C2" s="1038"/>
      <c r="D2" s="1038"/>
      <c r="E2" s="1019"/>
      <c r="F2" s="1019" t="str">
        <f>IS!CT6</f>
        <v>FY</v>
      </c>
      <c r="G2" s="1019"/>
      <c r="H2" s="1038"/>
      <c r="I2" s="1038"/>
      <c r="J2" s="1019"/>
      <c r="K2" s="1019" t="str">
        <f>IS!CY6</f>
        <v>FY</v>
      </c>
      <c r="L2" s="1019"/>
      <c r="M2" s="1038"/>
      <c r="N2" s="1038"/>
      <c r="O2" s="1019"/>
      <c r="P2" s="1019" t="str">
        <f>IS!DD6</f>
        <v>FY</v>
      </c>
      <c r="Q2" s="1019"/>
      <c r="R2" s="1038"/>
      <c r="S2" s="1038"/>
      <c r="T2" s="1019"/>
      <c r="U2" s="1019" t="str">
        <f>IS!DI6</f>
        <v>FY</v>
      </c>
      <c r="V2" s="1019"/>
      <c r="W2" s="1038"/>
      <c r="X2" s="1038"/>
      <c r="Y2" s="1019"/>
      <c r="Z2" s="1019" t="str">
        <f>IS!DN6</f>
        <v>FY</v>
      </c>
      <c r="AA2" s="1019"/>
      <c r="AB2" s="1038"/>
      <c r="AC2" s="1038"/>
      <c r="AD2" s="1019"/>
      <c r="AE2" s="1019" t="str">
        <f>IS!DS6</f>
        <v>FY</v>
      </c>
      <c r="AF2" s="1019"/>
      <c r="AG2" s="1019"/>
      <c r="AH2" s="1019"/>
      <c r="AI2" s="1019"/>
      <c r="AJ2" s="1019" t="str">
        <f>IS!DX6</f>
        <v>FY</v>
      </c>
      <c r="AK2" s="1019"/>
      <c r="AL2" s="1019"/>
      <c r="AM2" s="1007"/>
      <c r="AN2" s="1019"/>
      <c r="AO2" s="1019" t="str">
        <f>IS!EC6</f>
        <v>FY</v>
      </c>
      <c r="AP2" s="1019"/>
      <c r="AQ2" s="1019"/>
      <c r="AR2" s="1019"/>
      <c r="AS2" s="1019"/>
      <c r="AT2" s="1019" t="str">
        <f>IS!EH6</f>
        <v>FY</v>
      </c>
      <c r="AU2" s="1019"/>
      <c r="AV2" s="1019"/>
      <c r="AW2" s="1019"/>
      <c r="AX2" s="1019"/>
      <c r="AY2" s="1019" t="str">
        <f>IS!EM6</f>
        <v>FY</v>
      </c>
      <c r="AZ2" s="1019"/>
      <c r="BA2" s="1019"/>
      <c r="BB2" s="1019"/>
      <c r="BC2" s="1019"/>
      <c r="BD2" s="1019" t="str">
        <f>IS!ER6</f>
        <v>FY</v>
      </c>
      <c r="BE2" s="2848"/>
      <c r="BF2" s="2848"/>
      <c r="BG2" s="2848"/>
      <c r="BH2" s="2848"/>
      <c r="BI2" s="2911"/>
      <c r="BJ2" s="2911"/>
      <c r="BK2" s="2911"/>
      <c r="BL2" s="2911"/>
      <c r="BM2" s="2911"/>
      <c r="BN2" s="2911"/>
      <c r="BO2" s="2911"/>
      <c r="BP2" s="2911"/>
      <c r="BQ2" s="2911"/>
      <c r="BR2" s="2911"/>
      <c r="BS2" s="2911"/>
      <c r="BT2" s="1343"/>
      <c r="BU2" s="1019"/>
      <c r="BV2" s="1019"/>
      <c r="BW2" s="1019"/>
      <c r="BX2" s="1019"/>
      <c r="BY2" s="1019"/>
      <c r="BZ2" s="1019"/>
      <c r="CA2" s="1019"/>
    </row>
    <row r="3" spans="1:80">
      <c r="B3" s="1037">
        <f>IS!CP7</f>
        <v>38990</v>
      </c>
      <c r="C3" s="1037">
        <f>IS!CQ7</f>
        <v>39082</v>
      </c>
      <c r="D3" s="1037">
        <f>IS!CR7</f>
        <v>39172</v>
      </c>
      <c r="E3" s="1037">
        <f>IS!CS7</f>
        <v>39263</v>
      </c>
      <c r="F3" s="1037" t="str">
        <f>IS!CT7</f>
        <v>2007</v>
      </c>
      <c r="G3" s="1037">
        <f>IS!CU7</f>
        <v>39355</v>
      </c>
      <c r="H3" s="1037">
        <f>IS!CV7</f>
        <v>39447</v>
      </c>
      <c r="I3" s="1037">
        <f>IS!CW7</f>
        <v>39538</v>
      </c>
      <c r="J3" s="1037">
        <f>IS!CX7</f>
        <v>39607</v>
      </c>
      <c r="K3" s="1037" t="str">
        <f>IS!CY7</f>
        <v>2008</v>
      </c>
      <c r="L3" s="1037">
        <f>IS!CZ7</f>
        <v>39699</v>
      </c>
      <c r="M3" s="1037">
        <f>IS!DA7</f>
        <v>39790</v>
      </c>
      <c r="N3" s="1037">
        <f>IS!DB7</f>
        <v>39881</v>
      </c>
      <c r="O3" s="1037">
        <f>IS!DC7</f>
        <v>39973</v>
      </c>
      <c r="P3" s="1037" t="str">
        <f>IS!DD7</f>
        <v>2009</v>
      </c>
      <c r="Q3" s="1037">
        <f>IS!DE7</f>
        <v>40065</v>
      </c>
      <c r="R3" s="1037" t="str">
        <f>IS!DF7</f>
        <v>Dec-09</v>
      </c>
      <c r="S3" s="1037" t="str">
        <f>IS!DG7</f>
        <v>Mar-10</v>
      </c>
      <c r="T3" s="1037" t="str">
        <f>IS!DH7</f>
        <v>Jun-10</v>
      </c>
      <c r="U3" s="1037" t="str">
        <f>IS!DI7</f>
        <v>2010</v>
      </c>
      <c r="V3" s="1037" t="str">
        <f>IS!DJ7</f>
        <v>Sep-10</v>
      </c>
      <c r="W3" s="1037" t="str">
        <f>IS!DK7</f>
        <v>Dec-10</v>
      </c>
      <c r="X3" s="1037" t="str">
        <f>IS!DL7</f>
        <v>Mar-11</v>
      </c>
      <c r="Y3" s="1037" t="str">
        <f>IS!DM7</f>
        <v>Jun-11</v>
      </c>
      <c r="Z3" s="1037" t="str">
        <f>IS!DN7</f>
        <v>2011</v>
      </c>
      <c r="AA3" s="1037" t="str">
        <f>IS!DO7</f>
        <v>Sep-11</v>
      </c>
      <c r="AB3" s="1037" t="str">
        <f>IS!DP7</f>
        <v>Dec-11</v>
      </c>
      <c r="AC3" s="1037" t="str">
        <f>IS!DQ7</f>
        <v>Mar-12</v>
      </c>
      <c r="AD3" s="1037" t="str">
        <f>IS!DR7</f>
        <v>Jun-12</v>
      </c>
      <c r="AE3" s="1037" t="str">
        <f>IS!DS7</f>
        <v>2012</v>
      </c>
      <c r="AF3" s="1037" t="str">
        <f>IS!DT7</f>
        <v>Sep-12</v>
      </c>
      <c r="AG3" s="1037" t="str">
        <f>IS!DU7</f>
        <v>Dec-12</v>
      </c>
      <c r="AH3" s="1037" t="str">
        <f>IS!DV7</f>
        <v>Mar-13</v>
      </c>
      <c r="AI3" s="1037" t="str">
        <f>IS!DW7</f>
        <v>Jun-13</v>
      </c>
      <c r="AJ3" s="1037" t="str">
        <f>IS!DX7</f>
        <v>2013</v>
      </c>
      <c r="AK3" s="1037" t="str">
        <f>IS!DY7</f>
        <v>Sep-13</v>
      </c>
      <c r="AL3" s="1037" t="str">
        <f>IS!DZ7</f>
        <v>Dec-13</v>
      </c>
      <c r="AM3" s="1037" t="str">
        <f>IS!EA7</f>
        <v>Mar-14</v>
      </c>
      <c r="AN3" s="1037" t="str">
        <f>IS!EB7</f>
        <v>Jun-14</v>
      </c>
      <c r="AO3" s="1037" t="str">
        <f>IS!EC7</f>
        <v>2014</v>
      </c>
      <c r="AP3" s="1037" t="str">
        <f>IS!ED7</f>
        <v>Sep-14</v>
      </c>
      <c r="AQ3" s="1037" t="str">
        <f>IS!EE7</f>
        <v>Dec-14</v>
      </c>
      <c r="AR3" s="1037" t="str">
        <f>IS!EF7</f>
        <v>Mar-15</v>
      </c>
      <c r="AS3" s="1037" t="str">
        <f>IS!EG7</f>
        <v>Jun-15</v>
      </c>
      <c r="AT3" s="1037" t="str">
        <f>IS!EH7</f>
        <v>2015</v>
      </c>
      <c r="AU3" s="1037" t="str">
        <f>IS!EI7</f>
        <v>Sep-15</v>
      </c>
      <c r="AV3" s="1037" t="str">
        <f>IS!EJ7</f>
        <v>Dec-15</v>
      </c>
      <c r="AW3" s="1037" t="str">
        <f>IS!EK7</f>
        <v>Mar-16</v>
      </c>
      <c r="AX3" s="1037" t="str">
        <f>IS!EL7</f>
        <v>Jun-16</v>
      </c>
      <c r="AY3" s="1037" t="str">
        <f>IS!EM7</f>
        <v>2016</v>
      </c>
      <c r="AZ3" s="1037" t="str">
        <f>IS!EN7</f>
        <v>Sep-16</v>
      </c>
      <c r="BA3" s="1037" t="str">
        <f>IS!EO7</f>
        <v>Dec-16</v>
      </c>
      <c r="BB3" s="1037" t="str">
        <f>IS!EP7</f>
        <v>Mar-17</v>
      </c>
      <c r="BC3" s="1037" t="str">
        <f>IS!EQ7</f>
        <v>Jun-17</v>
      </c>
      <c r="BD3" s="1037" t="str">
        <f>IS!ER7</f>
        <v>2017</v>
      </c>
      <c r="BE3" s="2849"/>
      <c r="BF3" s="2849"/>
      <c r="BG3" s="2849"/>
      <c r="BH3" s="2849"/>
      <c r="BI3" s="2912"/>
      <c r="BJ3" s="2912"/>
      <c r="BK3" s="2912"/>
      <c r="BL3" s="2912"/>
      <c r="BM3" s="2912"/>
      <c r="BN3" s="2912"/>
      <c r="BO3" s="2912"/>
      <c r="BP3" s="2912"/>
      <c r="BQ3" s="2912"/>
      <c r="BR3" s="2912"/>
      <c r="BS3" s="2912"/>
      <c r="BT3" s="1343"/>
      <c r="BU3" s="1037" t="s">
        <v>819</v>
      </c>
      <c r="BV3" s="1037" t="s">
        <v>288</v>
      </c>
      <c r="BW3" s="1037" t="s">
        <v>433</v>
      </c>
      <c r="BX3" s="1037" t="s">
        <v>3</v>
      </c>
      <c r="BY3" s="1037" t="s">
        <v>1015</v>
      </c>
      <c r="BZ3" s="1037" t="s">
        <v>1021</v>
      </c>
      <c r="CA3" s="1037"/>
      <c r="CB3" s="1037"/>
    </row>
    <row r="4" spans="1:80">
      <c r="A4" s="1537" t="s">
        <v>921</v>
      </c>
      <c r="B4" s="1538"/>
      <c r="C4" s="1538"/>
      <c r="D4" s="1538"/>
      <c r="E4" s="1538"/>
      <c r="F4" s="1539"/>
      <c r="G4" s="1538"/>
      <c r="H4" s="1538"/>
      <c r="I4" s="1538"/>
      <c r="J4" s="1538"/>
      <c r="K4" s="1539"/>
      <c r="L4" s="1538"/>
      <c r="M4" s="1538"/>
      <c r="N4" s="1538"/>
      <c r="O4" s="1538"/>
      <c r="P4" s="1539"/>
      <c r="Q4" s="1538"/>
      <c r="R4" s="1538"/>
      <c r="S4" s="1538"/>
      <c r="T4" s="1538"/>
      <c r="U4" s="1539"/>
      <c r="V4" s="1538"/>
      <c r="W4" s="1538"/>
      <c r="X4" s="1538"/>
      <c r="Y4" s="1538"/>
      <c r="Z4" s="1539"/>
      <c r="AA4" s="1538"/>
      <c r="AB4" s="1538"/>
      <c r="AC4" s="1538"/>
      <c r="AD4" s="1538"/>
      <c r="AE4" s="1539"/>
      <c r="AF4" s="1540"/>
      <c r="AG4" s="1540"/>
      <c r="AH4" s="1540"/>
      <c r="AI4" s="1540"/>
      <c r="AJ4" s="1539"/>
      <c r="AK4" s="1540"/>
      <c r="AL4" s="1540"/>
      <c r="AM4" s="1540"/>
      <c r="AN4" s="1540"/>
      <c r="AO4" s="1541"/>
      <c r="AP4" s="1540"/>
      <c r="AQ4" s="1540"/>
      <c r="AR4" s="1540"/>
      <c r="AS4" s="1540"/>
      <c r="AT4" s="1541"/>
      <c r="AU4" s="1540"/>
      <c r="AV4" s="1540"/>
      <c r="AW4" s="1540"/>
      <c r="AX4" s="1540"/>
      <c r="AY4" s="1541"/>
      <c r="AZ4" s="1540"/>
      <c r="BA4" s="1540"/>
      <c r="BB4" s="1540"/>
      <c r="BC4" s="1540"/>
      <c r="BD4" s="1541"/>
      <c r="BE4" s="2850"/>
      <c r="BF4" s="2850"/>
      <c r="BG4" s="2850"/>
      <c r="BH4" s="2850"/>
      <c r="BI4" s="2913"/>
      <c r="BJ4" s="2914"/>
      <c r="BK4" s="2914"/>
      <c r="BL4" s="2914"/>
      <c r="BM4" s="2914"/>
      <c r="BN4" s="2913"/>
      <c r="BO4" s="2914"/>
      <c r="BP4" s="2914"/>
      <c r="BQ4" s="2914"/>
      <c r="BR4" s="2914"/>
      <c r="BS4" s="2913"/>
      <c r="BT4" s="1343"/>
      <c r="BU4" s="1541"/>
      <c r="BV4" s="1541"/>
      <c r="BW4" s="1541"/>
      <c r="BX4" s="1541"/>
      <c r="BY4" s="1541"/>
      <c r="BZ4" s="1541"/>
      <c r="CA4" s="1541"/>
      <c r="CB4" s="1541"/>
    </row>
    <row r="5" spans="1:80">
      <c r="A5" s="1050" t="s">
        <v>1043</v>
      </c>
      <c r="B5" s="1051"/>
      <c r="C5" s="1051"/>
      <c r="D5" s="1051"/>
      <c r="E5" s="1051"/>
      <c r="F5" s="1052"/>
      <c r="G5" s="1051"/>
      <c r="H5" s="1051"/>
      <c r="I5" s="1051"/>
      <c r="J5" s="1051"/>
      <c r="K5" s="1052"/>
      <c r="L5" s="1051"/>
      <c r="M5" s="1051"/>
      <c r="N5" s="1051"/>
      <c r="O5" s="1051"/>
      <c r="P5" s="1052"/>
      <c r="Q5" s="1051"/>
      <c r="R5" s="1051"/>
      <c r="S5" s="1051"/>
      <c r="T5" s="1051"/>
      <c r="U5" s="1052"/>
      <c r="V5" s="1051"/>
      <c r="W5" s="1051"/>
      <c r="X5" s="1051"/>
      <c r="Y5" s="1051"/>
      <c r="Z5" s="1052"/>
      <c r="AA5" s="1051"/>
      <c r="AB5" s="1051"/>
      <c r="AC5" s="1051"/>
      <c r="AD5" s="1051"/>
      <c r="AE5" s="1052"/>
      <c r="AF5" s="1053"/>
      <c r="AG5" s="1051"/>
      <c r="AH5" s="1051"/>
      <c r="AI5" s="1051"/>
      <c r="AJ5" s="1052"/>
      <c r="AK5" s="1054"/>
      <c r="AL5" s="1051"/>
      <c r="AM5" s="1051"/>
      <c r="AN5" s="1051"/>
      <c r="AO5" s="1052"/>
      <c r="AP5" s="1054"/>
      <c r="AQ5" s="1051"/>
      <c r="AR5" s="1051"/>
      <c r="AS5" s="1051"/>
      <c r="AT5" s="1052"/>
      <c r="AU5" s="1054"/>
      <c r="AV5" s="1051"/>
      <c r="AW5" s="1051"/>
      <c r="AX5" s="1051"/>
      <c r="AY5" s="1052"/>
      <c r="AZ5" s="1054"/>
      <c r="BA5" s="1051"/>
      <c r="BB5" s="1051"/>
      <c r="BC5" s="1051"/>
      <c r="BD5" s="1052"/>
      <c r="BE5" s="2851"/>
      <c r="BF5" s="2852"/>
      <c r="BG5" s="2852"/>
      <c r="BH5" s="2852"/>
      <c r="BI5" s="2915"/>
      <c r="BJ5" s="2916"/>
      <c r="BK5" s="2917"/>
      <c r="BL5" s="2917"/>
      <c r="BM5" s="2917"/>
      <c r="BN5" s="2915"/>
      <c r="BO5" s="2916"/>
      <c r="BP5" s="2917"/>
      <c r="BQ5" s="2917"/>
      <c r="BR5" s="2917"/>
      <c r="BS5" s="2915"/>
      <c r="BT5" s="1343"/>
      <c r="BU5" s="1052"/>
      <c r="BV5" s="1052"/>
      <c r="BW5" s="1052"/>
      <c r="BX5" s="1052"/>
      <c r="BY5" s="1052"/>
      <c r="BZ5" s="1052"/>
      <c r="CA5" s="1052"/>
      <c r="CB5" s="1052"/>
    </row>
    <row r="6" spans="1:80">
      <c r="A6" s="986" t="s">
        <v>1064</v>
      </c>
      <c r="B6" s="1345"/>
      <c r="C6" s="1345"/>
      <c r="D6" s="1345"/>
      <c r="E6" s="1345"/>
      <c r="F6" s="1346"/>
      <c r="G6" s="1345"/>
      <c r="H6" s="1345"/>
      <c r="I6" s="1345"/>
      <c r="J6" s="1345"/>
      <c r="K6" s="1346"/>
      <c r="L6" s="1345"/>
      <c r="M6" s="1345"/>
      <c r="N6" s="1345"/>
      <c r="O6" s="1345"/>
      <c r="P6" s="1346"/>
      <c r="Q6" s="1345"/>
      <c r="R6" s="1345"/>
      <c r="S6" s="1345"/>
      <c r="T6" s="1345"/>
      <c r="U6" s="1346"/>
      <c r="V6" s="1345"/>
      <c r="W6" s="1345"/>
      <c r="X6" s="1345"/>
      <c r="Y6" s="1345"/>
      <c r="Z6" s="1346"/>
      <c r="AA6" s="1345"/>
      <c r="AB6" s="1345"/>
      <c r="AC6" s="1345"/>
      <c r="AD6" s="1345"/>
      <c r="AE6" s="1346"/>
      <c r="AF6" s="1347"/>
      <c r="AG6" s="1347"/>
      <c r="AH6" s="1347"/>
      <c r="AI6" s="1347"/>
      <c r="AJ6" s="1346"/>
      <c r="AK6" s="1001">
        <f>AK7+AK8</f>
        <v>916.62</v>
      </c>
      <c r="AL6" s="1001">
        <f>AL7+AL8</f>
        <v>941.36199999999985</v>
      </c>
      <c r="AM6" s="1001">
        <f>AM7+AM8</f>
        <v>1026.05</v>
      </c>
      <c r="AN6" s="1001">
        <f>AN7+AN8</f>
        <v>1012.92206640625</v>
      </c>
      <c r="AO6" s="1000">
        <f>SUM(AK6:AN6)</f>
        <v>3896.9540664062501</v>
      </c>
      <c r="AP6" s="1001">
        <f>AP7+AP8</f>
        <v>978.66979062499991</v>
      </c>
      <c r="AQ6" s="1001">
        <f>AQ7+AQ8</f>
        <v>863.8156312499998</v>
      </c>
      <c r="AR6" s="1001">
        <f>AR7+AR8</f>
        <v>824.10354375000009</v>
      </c>
      <c r="AS6" s="1001">
        <f>AS7+AS8</f>
        <v>836.28409375000012</v>
      </c>
      <c r="AT6" s="1000">
        <f>SUM(AP6:AS6)</f>
        <v>3502.8730593749997</v>
      </c>
      <c r="AU6" s="1001">
        <f>AU7+AU8</f>
        <v>851.47683937500005</v>
      </c>
      <c r="AV6" s="1001">
        <f>AV7+AV8</f>
        <v>738.7980443749999</v>
      </c>
      <c r="AW6" s="1001">
        <f>AW7+AW8</f>
        <v>853.93894687500006</v>
      </c>
      <c r="AX6" s="1001">
        <f>AX7+AX8</f>
        <v>996.82979687500006</v>
      </c>
      <c r="AY6" s="1000">
        <f t="shared" ref="AY6:AY11" si="0">SUM(AU6:AX6)</f>
        <v>3441.0436275000002</v>
      </c>
      <c r="AZ6" s="1001">
        <f>AZ7+AZ8</f>
        <v>920.48266215000012</v>
      </c>
      <c r="BA6" s="1001">
        <f>BA7+BA8</f>
        <v>875.22560657500003</v>
      </c>
      <c r="BB6" s="1001">
        <f>BB7+BB8</f>
        <v>979.22937675000014</v>
      </c>
      <c r="BC6" s="1001">
        <f>BC7+BC8</f>
        <v>1122.3355006250001</v>
      </c>
      <c r="BD6" s="1000">
        <f>SUM(AZ6:BC6)</f>
        <v>3897.2731461000003</v>
      </c>
      <c r="BE6" s="2853"/>
      <c r="BF6" s="2853"/>
      <c r="BG6" s="2853"/>
      <c r="BH6" s="2853"/>
      <c r="BI6" s="2918"/>
      <c r="BJ6" s="2919"/>
      <c r="BK6" s="2919"/>
      <c r="BL6" s="2919"/>
      <c r="BM6" s="2919"/>
      <c r="BN6" s="2918"/>
      <c r="BO6" s="2919"/>
      <c r="BP6" s="2919"/>
      <c r="BQ6" s="2919"/>
      <c r="BR6" s="2919"/>
      <c r="BS6" s="2918"/>
      <c r="BT6" s="1343"/>
      <c r="BU6" s="1191"/>
      <c r="BV6" s="1191"/>
      <c r="BW6" s="1191">
        <f>SUM(AM6:AN6,AP6:AQ6)</f>
        <v>3881.4574882812494</v>
      </c>
      <c r="BX6" s="1191">
        <f>SUM(AR6:AS6,AU6:AV6)</f>
        <v>3250.6625212499998</v>
      </c>
      <c r="BY6" s="1191">
        <f>SUM(AW6:AX6,AZ6:BA6)</f>
        <v>3646.4770124750003</v>
      </c>
      <c r="BZ6" s="1191">
        <f>SUM(BB6:BC6,BE6:BF6)</f>
        <v>2101.5648773750004</v>
      </c>
      <c r="CA6" s="1191"/>
      <c r="CB6" s="1191"/>
    </row>
    <row r="7" spans="1:80">
      <c r="A7" s="1445" t="s">
        <v>1065</v>
      </c>
      <c r="B7" s="1446"/>
      <c r="C7" s="1446"/>
      <c r="D7" s="1446"/>
      <c r="E7" s="1446"/>
      <c r="F7" s="1447"/>
      <c r="G7" s="1446"/>
      <c r="H7" s="1446"/>
      <c r="I7" s="1446"/>
      <c r="J7" s="1446"/>
      <c r="K7" s="1447"/>
      <c r="L7" s="1446"/>
      <c r="M7" s="1446"/>
      <c r="N7" s="1446"/>
      <c r="O7" s="1446"/>
      <c r="P7" s="1447"/>
      <c r="Q7" s="1446"/>
      <c r="R7" s="1446"/>
      <c r="S7" s="1446"/>
      <c r="T7" s="1446"/>
      <c r="U7" s="1447"/>
      <c r="V7" s="1446"/>
      <c r="W7" s="1446"/>
      <c r="X7" s="1446"/>
      <c r="Y7" s="1446"/>
      <c r="Z7" s="1447"/>
      <c r="AA7" s="1446"/>
      <c r="AB7" s="1446"/>
      <c r="AC7" s="1446"/>
      <c r="AD7" s="1446"/>
      <c r="AE7" s="1447"/>
      <c r="AF7" s="1448"/>
      <c r="AG7" s="1448"/>
      <c r="AH7" s="1448"/>
      <c r="AI7" s="1448"/>
      <c r="AJ7" s="1447"/>
      <c r="AK7" s="1448">
        <f>AK54</f>
        <v>65</v>
      </c>
      <c r="AL7" s="1448">
        <f>AL54</f>
        <v>75</v>
      </c>
      <c r="AM7" s="1448">
        <f>AM54</f>
        <v>98</v>
      </c>
      <c r="AN7" s="1448">
        <f>AN54</f>
        <v>138.69706640624997</v>
      </c>
      <c r="AO7" s="1447">
        <f t="shared" ref="AO7:AO17" si="1">SUM(AK7:AN7)</f>
        <v>376.69706640624997</v>
      </c>
      <c r="AP7" s="1448">
        <f>AP54</f>
        <v>169.63079062499997</v>
      </c>
      <c r="AQ7" s="1448">
        <f>AQ54</f>
        <v>214.04413124999996</v>
      </c>
      <c r="AR7" s="1448">
        <f>AR54</f>
        <v>276.55404375000001</v>
      </c>
      <c r="AS7" s="1448">
        <f>AS54</f>
        <v>329.23359375000007</v>
      </c>
      <c r="AT7" s="1447">
        <f t="shared" ref="AT7:AT17" si="2">SUM(AP7:AS7)</f>
        <v>989.46255937500007</v>
      </c>
      <c r="AU7" s="1448">
        <f>AU54</f>
        <v>390.32460937500002</v>
      </c>
      <c r="AV7" s="1448">
        <f>AV54</f>
        <v>436.654296875</v>
      </c>
      <c r="AW7" s="1448">
        <f>AW54</f>
        <v>470.654296875</v>
      </c>
      <c r="AX7" s="1448">
        <f>AX54</f>
        <v>489.779296875</v>
      </c>
      <c r="AY7" s="1447">
        <f t="shared" si="0"/>
        <v>1787.4124999999999</v>
      </c>
      <c r="AZ7" s="1448">
        <f>AZ54</f>
        <v>508.904296875</v>
      </c>
      <c r="BA7" s="1448">
        <f>BA54</f>
        <v>536.82460937500014</v>
      </c>
      <c r="BB7" s="1448">
        <f>BB54</f>
        <v>573.90585937500009</v>
      </c>
      <c r="BC7" s="1448">
        <f>BC54</f>
        <v>598.80585937500007</v>
      </c>
      <c r="BD7" s="1447">
        <f t="shared" ref="BD7:BD14" si="3">SUM(AZ7:BC7)</f>
        <v>2218.4406250000002</v>
      </c>
      <c r="BE7" s="2854"/>
      <c r="BF7" s="2854"/>
      <c r="BG7" s="2854"/>
      <c r="BH7" s="2854"/>
      <c r="BI7" s="2920"/>
      <c r="BJ7" s="2921"/>
      <c r="BK7" s="2921"/>
      <c r="BL7" s="2921"/>
      <c r="BM7" s="2921"/>
      <c r="BN7" s="2920"/>
      <c r="BO7" s="2921"/>
      <c r="BP7" s="2921"/>
      <c r="BQ7" s="2921"/>
      <c r="BR7" s="2921"/>
      <c r="BS7" s="2920"/>
      <c r="BT7" s="1343"/>
      <c r="BU7" s="1447"/>
      <c r="BV7" s="1447"/>
      <c r="BW7" s="1447">
        <f t="shared" ref="BW7:BW17" si="4">SUM(AM7:AN7,AP7:AQ7)</f>
        <v>620.37198828124997</v>
      </c>
      <c r="BX7" s="1447">
        <f t="shared" ref="BX7:BX17" si="5">SUM(AR7:AS7,AU7:AV7)</f>
        <v>1432.76654375</v>
      </c>
      <c r="BY7" s="1447">
        <f t="shared" ref="BY7:BY17" si="6">SUM(AW7:AX7,AZ7:BA7)</f>
        <v>2006.1625000000001</v>
      </c>
      <c r="BZ7" s="1447">
        <f t="shared" ref="BZ7:BZ17" si="7">SUM(BB7:BC7,BE7:BF7)</f>
        <v>1172.7117187500003</v>
      </c>
      <c r="CA7" s="1447"/>
      <c r="CB7" s="1447"/>
    </row>
    <row r="8" spans="1:80">
      <c r="A8" s="1449" t="s">
        <v>942</v>
      </c>
      <c r="B8" s="1450"/>
      <c r="C8" s="1450"/>
      <c r="D8" s="1450"/>
      <c r="E8" s="1450"/>
      <c r="F8" s="1451"/>
      <c r="G8" s="1450"/>
      <c r="H8" s="1450"/>
      <c r="I8" s="1450"/>
      <c r="J8" s="1450"/>
      <c r="K8" s="1451"/>
      <c r="L8" s="1450"/>
      <c r="M8" s="1450"/>
      <c r="N8" s="1450"/>
      <c r="O8" s="1450"/>
      <c r="P8" s="1451"/>
      <c r="Q8" s="1450"/>
      <c r="R8" s="1450"/>
      <c r="S8" s="1450"/>
      <c r="T8" s="1450"/>
      <c r="U8" s="1451"/>
      <c r="V8" s="1450"/>
      <c r="W8" s="1450"/>
      <c r="X8" s="1450"/>
      <c r="Y8" s="1450"/>
      <c r="Z8" s="1451"/>
      <c r="AA8" s="1450"/>
      <c r="AB8" s="1450"/>
      <c r="AC8" s="1450"/>
      <c r="AD8" s="1450"/>
      <c r="AE8" s="1451"/>
      <c r="AF8" s="1450"/>
      <c r="AG8" s="1450"/>
      <c r="AH8" s="1450"/>
      <c r="AI8" s="1450"/>
      <c r="AJ8" s="1451"/>
      <c r="AK8" s="1450">
        <f>AK57</f>
        <v>851.62</v>
      </c>
      <c r="AL8" s="1450">
        <f>AL57</f>
        <v>866.36199999999985</v>
      </c>
      <c r="AM8" s="1450">
        <f>AM57</f>
        <v>928.05</v>
      </c>
      <c r="AN8" s="1450">
        <f>AN57</f>
        <v>874.22500000000002</v>
      </c>
      <c r="AO8" s="1451">
        <f t="shared" si="1"/>
        <v>3520.2570000000001</v>
      </c>
      <c r="AP8" s="1450">
        <f>AP57</f>
        <v>809.03899999999999</v>
      </c>
      <c r="AQ8" s="1450">
        <f>AQ57</f>
        <v>649.77149999999983</v>
      </c>
      <c r="AR8" s="1450">
        <f>AR57</f>
        <v>547.54950000000008</v>
      </c>
      <c r="AS8" s="1450">
        <f>AS57</f>
        <v>507.05050000000006</v>
      </c>
      <c r="AT8" s="1451">
        <f t="shared" si="2"/>
        <v>2513.4105</v>
      </c>
      <c r="AU8" s="1450">
        <f>AU57</f>
        <v>461.15223000000009</v>
      </c>
      <c r="AV8" s="1450">
        <f>AV57</f>
        <v>302.1437474999999</v>
      </c>
      <c r="AW8" s="1450">
        <f>AW57</f>
        <v>383.28465</v>
      </c>
      <c r="AX8" s="1450">
        <f>AX57</f>
        <v>507.05050000000011</v>
      </c>
      <c r="AY8" s="1451">
        <f t="shared" si="0"/>
        <v>1653.6311275</v>
      </c>
      <c r="AZ8" s="1450">
        <f>AZ57</f>
        <v>411.57836527500012</v>
      </c>
      <c r="BA8" s="1450">
        <f>BA57</f>
        <v>338.40099719999989</v>
      </c>
      <c r="BB8" s="1450">
        <f>BB57</f>
        <v>405.32351737500005</v>
      </c>
      <c r="BC8" s="1450">
        <f>BC57</f>
        <v>523.52964125000005</v>
      </c>
      <c r="BD8" s="1451">
        <f t="shared" si="3"/>
        <v>1678.8325211000001</v>
      </c>
      <c r="BE8" s="2855"/>
      <c r="BF8" s="2855"/>
      <c r="BG8" s="2855"/>
      <c r="BH8" s="2855"/>
      <c r="BI8" s="2922"/>
      <c r="BJ8" s="2923"/>
      <c r="BK8" s="2923"/>
      <c r="BL8" s="2923"/>
      <c r="BM8" s="2923"/>
      <c r="BN8" s="2922"/>
      <c r="BO8" s="2923"/>
      <c r="BP8" s="2923"/>
      <c r="BQ8" s="2923"/>
      <c r="BR8" s="2923"/>
      <c r="BS8" s="2922"/>
      <c r="BT8" s="1343"/>
      <c r="BU8" s="1451"/>
      <c r="BV8" s="1451"/>
      <c r="BW8" s="1451">
        <f t="shared" si="4"/>
        <v>3261.0855000000001</v>
      </c>
      <c r="BX8" s="1451">
        <f t="shared" si="5"/>
        <v>1817.8959775000003</v>
      </c>
      <c r="BY8" s="1451">
        <f t="shared" si="6"/>
        <v>1640.3145124750001</v>
      </c>
      <c r="BZ8" s="1451">
        <f t="shared" si="7"/>
        <v>928.85315862500011</v>
      </c>
      <c r="CA8" s="1451"/>
      <c r="CB8" s="1451"/>
    </row>
    <row r="9" spans="1:80">
      <c r="A9" s="986" t="s">
        <v>1449</v>
      </c>
      <c r="B9" s="1345"/>
      <c r="C9" s="1345"/>
      <c r="D9" s="1345"/>
      <c r="E9" s="1345"/>
      <c r="F9" s="1346"/>
      <c r="G9" s="1345"/>
      <c r="H9" s="1345"/>
      <c r="I9" s="1345"/>
      <c r="J9" s="1345"/>
      <c r="K9" s="1346"/>
      <c r="L9" s="1345"/>
      <c r="M9" s="1345"/>
      <c r="N9" s="1345"/>
      <c r="O9" s="1345"/>
      <c r="P9" s="1346"/>
      <c r="Q9" s="1345"/>
      <c r="R9" s="1345"/>
      <c r="S9" s="1345"/>
      <c r="T9" s="1345"/>
      <c r="U9" s="1346"/>
      <c r="V9" s="1345"/>
      <c r="W9" s="1345"/>
      <c r="X9" s="1345"/>
      <c r="Y9" s="1345"/>
      <c r="Z9" s="1346"/>
      <c r="AA9" s="1345"/>
      <c r="AB9" s="1345"/>
      <c r="AC9" s="1345"/>
      <c r="AD9" s="1345"/>
      <c r="AE9" s="1346"/>
      <c r="AF9" s="1347"/>
      <c r="AG9" s="1347"/>
      <c r="AH9" s="1347"/>
      <c r="AI9" s="1347"/>
      <c r="AJ9" s="1346"/>
      <c r="AK9" s="1001">
        <f>AK10+AK11</f>
        <v>4926.38</v>
      </c>
      <c r="AL9" s="1001">
        <f>AL10+AL11</f>
        <v>5605</v>
      </c>
      <c r="AM9" s="1001">
        <f>AM10+AM11</f>
        <v>5305</v>
      </c>
      <c r="AN9" s="1001">
        <f>AN10+AN11</f>
        <v>5550</v>
      </c>
      <c r="AO9" s="1000">
        <f t="shared" si="1"/>
        <v>21386.38</v>
      </c>
      <c r="AP9" s="1001">
        <f>AP10+AP11</f>
        <v>5109.5334000000003</v>
      </c>
      <c r="AQ9" s="1001">
        <f>AQ10+AQ11</f>
        <v>5522.1</v>
      </c>
      <c r="AR9" s="1001">
        <f>AR10+AR11</f>
        <v>5200.2</v>
      </c>
      <c r="AS9" s="1001">
        <f>AS10+AS11</f>
        <v>5414</v>
      </c>
      <c r="AT9" s="1000">
        <f t="shared" si="2"/>
        <v>21245.8334</v>
      </c>
      <c r="AU9" s="1001">
        <f>AU10+AU11</f>
        <v>5051.0557230000004</v>
      </c>
      <c r="AV9" s="1001">
        <f>AV10+AV11</f>
        <v>5542.7100000000009</v>
      </c>
      <c r="AW9" s="1001">
        <f>AW10+AW11</f>
        <v>5234.4869999999992</v>
      </c>
      <c r="AX9" s="1001">
        <f>AX10+AX11</f>
        <v>5762.9</v>
      </c>
      <c r="AY9" s="1000">
        <f t="shared" si="0"/>
        <v>21591.152722999999</v>
      </c>
      <c r="AZ9" s="1001">
        <f>AZ10+AZ11</f>
        <v>5297.2226431650006</v>
      </c>
      <c r="BA9" s="1001">
        <f>BA10+BA11</f>
        <v>5875.0043999999998</v>
      </c>
      <c r="BB9" s="1001">
        <f>BB10+BB11</f>
        <v>5642.954819999999</v>
      </c>
      <c r="BC9" s="1001">
        <f>BC10+BC11</f>
        <v>6146.8901999999998</v>
      </c>
      <c r="BD9" s="1000">
        <f t="shared" si="3"/>
        <v>22962.072063164997</v>
      </c>
      <c r="BE9" s="2853"/>
      <c r="BF9" s="2853"/>
      <c r="BG9" s="2853"/>
      <c r="BH9" s="2853"/>
      <c r="BI9" s="2918"/>
      <c r="BJ9" s="2919"/>
      <c r="BK9" s="2919"/>
      <c r="BL9" s="2919"/>
      <c r="BM9" s="2919"/>
      <c r="BN9" s="2918"/>
      <c r="BO9" s="2919"/>
      <c r="BP9" s="2919"/>
      <c r="BQ9" s="2919"/>
      <c r="BR9" s="2919"/>
      <c r="BS9" s="2918"/>
      <c r="BT9" s="1343"/>
      <c r="BU9" s="1191"/>
      <c r="BV9" s="1191"/>
      <c r="BW9" s="1191">
        <f t="shared" si="4"/>
        <v>21486.633399999999</v>
      </c>
      <c r="BX9" s="1191">
        <f t="shared" si="5"/>
        <v>21207.965723000001</v>
      </c>
      <c r="BY9" s="1191">
        <f t="shared" si="6"/>
        <v>22169.614043164998</v>
      </c>
      <c r="BZ9" s="1191">
        <f t="shared" si="7"/>
        <v>11789.845019999999</v>
      </c>
      <c r="CA9" s="1191"/>
      <c r="CB9" s="1191"/>
    </row>
    <row r="10" spans="1:80">
      <c r="A10" s="1445" t="s">
        <v>1459</v>
      </c>
      <c r="B10" s="1446"/>
      <c r="C10" s="1446"/>
      <c r="D10" s="1446"/>
      <c r="E10" s="1446"/>
      <c r="F10" s="1447"/>
      <c r="G10" s="1446"/>
      <c r="H10" s="1446"/>
      <c r="I10" s="1446"/>
      <c r="J10" s="1446"/>
      <c r="K10" s="1447"/>
      <c r="L10" s="1446"/>
      <c r="M10" s="1446"/>
      <c r="N10" s="1446"/>
      <c r="O10" s="1446"/>
      <c r="P10" s="1447"/>
      <c r="Q10" s="1446"/>
      <c r="R10" s="1446"/>
      <c r="S10" s="1446"/>
      <c r="T10" s="1446"/>
      <c r="U10" s="1447"/>
      <c r="V10" s="1446"/>
      <c r="W10" s="1446"/>
      <c r="X10" s="1446"/>
      <c r="Y10" s="1446"/>
      <c r="Z10" s="1447"/>
      <c r="AA10" s="1446"/>
      <c r="AB10" s="1446"/>
      <c r="AC10" s="1446"/>
      <c r="AD10" s="1446"/>
      <c r="AE10" s="1447"/>
      <c r="AF10" s="1448"/>
      <c r="AG10" s="1448"/>
      <c r="AH10" s="1448"/>
      <c r="AI10" s="1448"/>
      <c r="AJ10" s="1447"/>
      <c r="AK10" s="1448">
        <f>AK63</f>
        <v>4526.38</v>
      </c>
      <c r="AL10" s="1448">
        <f>AL63</f>
        <v>5080</v>
      </c>
      <c r="AM10" s="1448">
        <f>AM63</f>
        <v>4705</v>
      </c>
      <c r="AN10" s="1448">
        <f>AN63</f>
        <v>4700</v>
      </c>
      <c r="AO10" s="1447">
        <f t="shared" si="1"/>
        <v>19011.38</v>
      </c>
      <c r="AP10" s="1448">
        <f>AP63</f>
        <v>4209.5334000000003</v>
      </c>
      <c r="AQ10" s="1448">
        <f>AQ63</f>
        <v>4419.6000000000004</v>
      </c>
      <c r="AR10" s="1448">
        <f>AR63</f>
        <v>3952.2</v>
      </c>
      <c r="AS10" s="1448">
        <f>AS63</f>
        <v>3901</v>
      </c>
      <c r="AT10" s="1447">
        <f t="shared" si="2"/>
        <v>16482.3334</v>
      </c>
      <c r="AU10" s="1448">
        <f>AU63</f>
        <v>3557.0557229999999</v>
      </c>
      <c r="AV10" s="1448">
        <f>AV63</f>
        <v>3756.6600000000003</v>
      </c>
      <c r="AW10" s="1448">
        <f>AW63</f>
        <v>3300.0869999999995</v>
      </c>
      <c r="AX10" s="1448">
        <f>AX63</f>
        <v>3432.88</v>
      </c>
      <c r="AY10" s="1447">
        <f t="shared" si="0"/>
        <v>14046.682723000002</v>
      </c>
      <c r="AZ10" s="1448">
        <f>AZ63</f>
        <v>3041.2826431650001</v>
      </c>
      <c r="BA10" s="1448">
        <f>BA63</f>
        <v>3249.5109000000002</v>
      </c>
      <c r="BB10" s="1448">
        <f>BB63</f>
        <v>2838.0748199999994</v>
      </c>
      <c r="BC10" s="1448">
        <f>BC63</f>
        <v>2814.9616000000001</v>
      </c>
      <c r="BD10" s="1447">
        <f t="shared" si="3"/>
        <v>11943.829963165001</v>
      </c>
      <c r="BE10" s="2854"/>
      <c r="BF10" s="2854"/>
      <c r="BG10" s="2854"/>
      <c r="BH10" s="2854"/>
      <c r="BI10" s="2920"/>
      <c r="BJ10" s="2921"/>
      <c r="BK10" s="2921"/>
      <c r="BL10" s="2921"/>
      <c r="BM10" s="2921"/>
      <c r="BN10" s="2920"/>
      <c r="BO10" s="2921"/>
      <c r="BP10" s="2921"/>
      <c r="BQ10" s="2921"/>
      <c r="BR10" s="2921"/>
      <c r="BS10" s="2920"/>
      <c r="BT10" s="1343"/>
      <c r="BU10" s="1447"/>
      <c r="BV10" s="1447"/>
      <c r="BW10" s="1447">
        <f t="shared" si="4"/>
        <v>18034.133399999999</v>
      </c>
      <c r="BX10" s="1447">
        <f t="shared" si="5"/>
        <v>15166.915723</v>
      </c>
      <c r="BY10" s="1447">
        <f t="shared" si="6"/>
        <v>13023.760543165001</v>
      </c>
      <c r="BZ10" s="1447">
        <f t="shared" si="7"/>
        <v>5653.0364199999995</v>
      </c>
      <c r="CA10" s="1447"/>
      <c r="CB10" s="1447"/>
    </row>
    <row r="11" spans="1:80">
      <c r="A11" s="1449" t="s">
        <v>989</v>
      </c>
      <c r="B11" s="1450"/>
      <c r="C11" s="1450"/>
      <c r="D11" s="1450"/>
      <c r="E11" s="1450"/>
      <c r="F11" s="1451"/>
      <c r="G11" s="1450"/>
      <c r="H11" s="1450"/>
      <c r="I11" s="1450"/>
      <c r="J11" s="1450"/>
      <c r="K11" s="1451"/>
      <c r="L11" s="1450"/>
      <c r="M11" s="1450"/>
      <c r="N11" s="1450"/>
      <c r="O11" s="1450"/>
      <c r="P11" s="1451"/>
      <c r="Q11" s="1450"/>
      <c r="R11" s="1450"/>
      <c r="S11" s="1450"/>
      <c r="T11" s="1450"/>
      <c r="U11" s="1451"/>
      <c r="V11" s="1450"/>
      <c r="W11" s="1450"/>
      <c r="X11" s="1450"/>
      <c r="Y11" s="1450"/>
      <c r="Z11" s="1451"/>
      <c r="AA11" s="1450"/>
      <c r="AB11" s="1450"/>
      <c r="AC11" s="1450"/>
      <c r="AD11" s="1450"/>
      <c r="AE11" s="1451"/>
      <c r="AF11" s="1450"/>
      <c r="AG11" s="1450"/>
      <c r="AH11" s="1450"/>
      <c r="AI11" s="1450"/>
      <c r="AJ11" s="1451"/>
      <c r="AK11" s="1450">
        <f>AK66</f>
        <v>400</v>
      </c>
      <c r="AL11" s="1450">
        <f>AL66</f>
        <v>525</v>
      </c>
      <c r="AM11" s="1450">
        <f>AM66</f>
        <v>600</v>
      </c>
      <c r="AN11" s="1450">
        <f>AN66</f>
        <v>850</v>
      </c>
      <c r="AO11" s="1451">
        <f t="shared" si="1"/>
        <v>2375</v>
      </c>
      <c r="AP11" s="1450">
        <f>AP66</f>
        <v>900</v>
      </c>
      <c r="AQ11" s="1450">
        <f>AQ66</f>
        <v>1102.5</v>
      </c>
      <c r="AR11" s="1450">
        <f>AR66</f>
        <v>1248</v>
      </c>
      <c r="AS11" s="1450">
        <f>AS66</f>
        <v>1513</v>
      </c>
      <c r="AT11" s="1451">
        <f t="shared" si="2"/>
        <v>4763.5</v>
      </c>
      <c r="AU11" s="1450">
        <f>AU66</f>
        <v>1494.0000000000002</v>
      </c>
      <c r="AV11" s="1450">
        <f>AV66</f>
        <v>1786.0500000000002</v>
      </c>
      <c r="AW11" s="1450">
        <f>AW66</f>
        <v>1934.4</v>
      </c>
      <c r="AX11" s="1450">
        <f>AX66</f>
        <v>2330.02</v>
      </c>
      <c r="AY11" s="1451">
        <f t="shared" si="0"/>
        <v>7544.4700000000012</v>
      </c>
      <c r="AZ11" s="1450">
        <f>AZ66</f>
        <v>2255.9400000000005</v>
      </c>
      <c r="BA11" s="1450">
        <f>BA66</f>
        <v>2625.4935</v>
      </c>
      <c r="BB11" s="1450">
        <f>BB66</f>
        <v>2804.88</v>
      </c>
      <c r="BC11" s="1450">
        <f>BC66</f>
        <v>3331.9285999999997</v>
      </c>
      <c r="BD11" s="1451">
        <f t="shared" si="3"/>
        <v>11018.242100000001</v>
      </c>
      <c r="BE11" s="2855"/>
      <c r="BF11" s="2855"/>
      <c r="BG11" s="2855"/>
      <c r="BH11" s="2855"/>
      <c r="BI11" s="2922"/>
      <c r="BJ11" s="2923"/>
      <c r="BK11" s="2923"/>
      <c r="BL11" s="2923"/>
      <c r="BM11" s="2923"/>
      <c r="BN11" s="2922"/>
      <c r="BO11" s="2923"/>
      <c r="BP11" s="2923"/>
      <c r="BQ11" s="2923"/>
      <c r="BR11" s="2923"/>
      <c r="BS11" s="2922"/>
      <c r="BT11" s="1343"/>
      <c r="BU11" s="1451"/>
      <c r="BV11" s="1451"/>
      <c r="BW11" s="1451">
        <f t="shared" si="4"/>
        <v>3452.5</v>
      </c>
      <c r="BX11" s="1451">
        <f t="shared" si="5"/>
        <v>6041.05</v>
      </c>
      <c r="BY11" s="1451">
        <f t="shared" si="6"/>
        <v>9145.8535000000011</v>
      </c>
      <c r="BZ11" s="1451">
        <f t="shared" si="7"/>
        <v>6136.8086000000003</v>
      </c>
      <c r="CA11" s="1451"/>
      <c r="CB11" s="1451"/>
    </row>
    <row r="12" spans="1:80">
      <c r="A12" s="986" t="s">
        <v>1445</v>
      </c>
      <c r="B12" s="1345"/>
      <c r="C12" s="1345"/>
      <c r="D12" s="1345"/>
      <c r="E12" s="1345"/>
      <c r="F12" s="1346"/>
      <c r="G12" s="1345"/>
      <c r="H12" s="1345"/>
      <c r="I12" s="1345"/>
      <c r="J12" s="1345"/>
      <c r="K12" s="1346"/>
      <c r="L12" s="1345"/>
      <c r="M12" s="1345"/>
      <c r="N12" s="1345"/>
      <c r="O12" s="1345"/>
      <c r="P12" s="1346"/>
      <c r="Q12" s="1345"/>
      <c r="R12" s="1345"/>
      <c r="S12" s="1345"/>
      <c r="T12" s="1345"/>
      <c r="U12" s="1346"/>
      <c r="V12" s="1345"/>
      <c r="W12" s="1345"/>
      <c r="X12" s="1345"/>
      <c r="Y12" s="1345"/>
      <c r="Z12" s="1346"/>
      <c r="AA12" s="1345"/>
      <c r="AB12" s="1345"/>
      <c r="AC12" s="1345"/>
      <c r="AD12" s="1345"/>
      <c r="AE12" s="1346"/>
      <c r="AF12" s="1347"/>
      <c r="AG12" s="1347"/>
      <c r="AH12" s="1347"/>
      <c r="AI12" s="1347"/>
      <c r="AJ12" s="1346"/>
      <c r="AK12" s="1001">
        <f>AK13+AK14</f>
        <v>340</v>
      </c>
      <c r="AL12" s="1001">
        <f t="shared" ref="AL12:AN12" si="8">AL13+AL14</f>
        <v>390</v>
      </c>
      <c r="AM12" s="1001">
        <f t="shared" si="8"/>
        <v>440</v>
      </c>
      <c r="AN12" s="1001">
        <f t="shared" si="8"/>
        <v>520</v>
      </c>
      <c r="AO12" s="1000">
        <f t="shared" ref="AO12:AO14" si="9">SUM(AK12:AN12)</f>
        <v>1690</v>
      </c>
      <c r="AP12" s="1001">
        <f>AP13+AP14</f>
        <v>393.40000000000003</v>
      </c>
      <c r="AQ12" s="1001">
        <f t="shared" ref="AQ12" si="10">AQ13+AQ14</f>
        <v>441.6</v>
      </c>
      <c r="AR12" s="1001">
        <f t="shared" ref="AR12" si="11">AR13+AR14</f>
        <v>497.4</v>
      </c>
      <c r="AS12" s="1001">
        <f t="shared" ref="AS12" si="12">AS13+AS14</f>
        <v>551.79999999999995</v>
      </c>
      <c r="AT12" s="1000">
        <f t="shared" si="2"/>
        <v>1884.2</v>
      </c>
      <c r="AU12" s="1001">
        <f>AU13+AU14</f>
        <v>407.13560000000001</v>
      </c>
      <c r="AV12" s="1001">
        <f t="shared" ref="AV12" si="13">AV13+AV14</f>
        <v>454.69920000000002</v>
      </c>
      <c r="AW12" s="1001">
        <f t="shared" ref="AW12" si="14">AW13+AW14</f>
        <v>517.4</v>
      </c>
      <c r="AX12" s="1001">
        <f t="shared" ref="AX12" si="15">AX13+AX14</f>
        <v>585.03650000000005</v>
      </c>
      <c r="AY12" s="1000">
        <f t="shared" ref="AY12:AY14" si="16">SUM(AU12:AX12)</f>
        <v>1964.2713000000003</v>
      </c>
      <c r="AZ12" s="1001">
        <f>AZ13+AZ14</f>
        <v>456.01670200000001</v>
      </c>
      <c r="BA12" s="1001">
        <f t="shared" ref="BA12" si="17">BA13+BA14</f>
        <v>487.69920000000002</v>
      </c>
      <c r="BB12" s="1001">
        <f t="shared" ref="BB12" si="18">BB13+BB14</f>
        <v>568.89599999999996</v>
      </c>
      <c r="BC12" s="1001">
        <f t="shared" ref="BC12" si="19">BC13+BC14</f>
        <v>628.61204750000002</v>
      </c>
      <c r="BD12" s="1000">
        <f t="shared" si="3"/>
        <v>2141.2239495000003</v>
      </c>
      <c r="BE12" s="2853"/>
      <c r="BF12" s="2853"/>
      <c r="BG12" s="2853"/>
      <c r="BH12" s="2853"/>
      <c r="BI12" s="2924"/>
      <c r="BJ12" s="2919"/>
      <c r="BK12" s="2919"/>
      <c r="BL12" s="2919"/>
      <c r="BM12" s="2919"/>
      <c r="BN12" s="2924"/>
      <c r="BO12" s="2919"/>
      <c r="BP12" s="2919"/>
      <c r="BQ12" s="2919"/>
      <c r="BR12" s="2919"/>
      <c r="BS12" s="2924"/>
      <c r="BT12" s="1343"/>
      <c r="BU12" s="1191"/>
      <c r="BV12" s="1191"/>
      <c r="BW12" s="1191">
        <f t="shared" ref="BW12:BW14" si="20">SUM(AM12:AN12,AP12:AQ12)</f>
        <v>1795</v>
      </c>
      <c r="BX12" s="1191">
        <f t="shared" ref="BX12:BX14" si="21">SUM(AR12:AS12,AU12:AV12)</f>
        <v>1911.0347999999999</v>
      </c>
      <c r="BY12" s="1191">
        <f t="shared" ref="BY12:BY14" si="22">SUM(AW12:AX12,AZ12:BA12)</f>
        <v>2046.1524020000002</v>
      </c>
      <c r="BZ12" s="1191">
        <f t="shared" ref="BZ12:BZ14" si="23">SUM(BB12:BC12,BE12:BF12)</f>
        <v>1197.5080475</v>
      </c>
      <c r="CA12" s="1191"/>
      <c r="CB12" s="1191"/>
    </row>
    <row r="13" spans="1:80">
      <c r="A13" s="1445" t="s">
        <v>1446</v>
      </c>
      <c r="B13" s="1446"/>
      <c r="C13" s="1446"/>
      <c r="D13" s="1446"/>
      <c r="E13" s="1446"/>
      <c r="F13" s="1447"/>
      <c r="G13" s="1446"/>
      <c r="H13" s="1446"/>
      <c r="I13" s="1446"/>
      <c r="J13" s="1446"/>
      <c r="K13" s="1447"/>
      <c r="L13" s="1446"/>
      <c r="M13" s="1446"/>
      <c r="N13" s="1446"/>
      <c r="O13" s="1446"/>
      <c r="P13" s="1447"/>
      <c r="Q13" s="1446"/>
      <c r="R13" s="1446"/>
      <c r="S13" s="1446"/>
      <c r="T13" s="1446"/>
      <c r="U13" s="1447"/>
      <c r="V13" s="1446"/>
      <c r="W13" s="1446"/>
      <c r="X13" s="1446"/>
      <c r="Y13" s="1446"/>
      <c r="Z13" s="1447"/>
      <c r="AA13" s="1446"/>
      <c r="AB13" s="1446"/>
      <c r="AC13" s="1446"/>
      <c r="AD13" s="1446"/>
      <c r="AE13" s="1447"/>
      <c r="AF13" s="1448"/>
      <c r="AG13" s="1448"/>
      <c r="AH13" s="1448"/>
      <c r="AI13" s="1448"/>
      <c r="AJ13" s="1447"/>
      <c r="AK13" s="1448">
        <f>AK72</f>
        <v>340</v>
      </c>
      <c r="AL13" s="1448">
        <f t="shared" ref="AL13:AN13" si="24">AL72</f>
        <v>390</v>
      </c>
      <c r="AM13" s="1448">
        <f t="shared" si="24"/>
        <v>440</v>
      </c>
      <c r="AN13" s="1448">
        <f t="shared" si="24"/>
        <v>520</v>
      </c>
      <c r="AO13" s="1447">
        <f t="shared" si="9"/>
        <v>1690</v>
      </c>
      <c r="AP13" s="1448">
        <f>AP72</f>
        <v>377.40000000000003</v>
      </c>
      <c r="AQ13" s="1448">
        <f t="shared" ref="AQ13:AS13" si="25">AQ72</f>
        <v>425.1</v>
      </c>
      <c r="AR13" s="1448">
        <f t="shared" si="25"/>
        <v>477.4</v>
      </c>
      <c r="AS13" s="1448">
        <f t="shared" si="25"/>
        <v>527.79999999999995</v>
      </c>
      <c r="AT13" s="1447">
        <f t="shared" si="2"/>
        <v>1807.7</v>
      </c>
      <c r="AU13" s="1448">
        <f>AU72</f>
        <v>375.13560000000001</v>
      </c>
      <c r="AV13" s="1448">
        <f t="shared" ref="AV13:AX13" si="26">AV72</f>
        <v>421.69920000000002</v>
      </c>
      <c r="AW13" s="1448">
        <f t="shared" si="26"/>
        <v>477.4</v>
      </c>
      <c r="AX13" s="1448">
        <f t="shared" si="26"/>
        <v>537.03650000000005</v>
      </c>
      <c r="AY13" s="1447">
        <f t="shared" si="16"/>
        <v>1811.2713000000003</v>
      </c>
      <c r="AZ13" s="1448">
        <f>AZ72</f>
        <v>392.01670200000001</v>
      </c>
      <c r="BA13" s="1448">
        <f t="shared" ref="BA13:BC13" si="27">BA72</f>
        <v>421.69920000000002</v>
      </c>
      <c r="BB13" s="1448">
        <f t="shared" si="27"/>
        <v>496.49599999999998</v>
      </c>
      <c r="BC13" s="1448">
        <f t="shared" si="27"/>
        <v>545.09204750000004</v>
      </c>
      <c r="BD13" s="1447">
        <f t="shared" si="3"/>
        <v>1855.3039495</v>
      </c>
      <c r="BE13" s="2854"/>
      <c r="BF13" s="2854"/>
      <c r="BG13" s="2854"/>
      <c r="BH13" s="2854"/>
      <c r="BI13" s="2920"/>
      <c r="BJ13" s="2921"/>
      <c r="BK13" s="2921"/>
      <c r="BL13" s="2921"/>
      <c r="BM13" s="2921"/>
      <c r="BN13" s="2920"/>
      <c r="BO13" s="2921"/>
      <c r="BP13" s="2921"/>
      <c r="BQ13" s="2921"/>
      <c r="BR13" s="2921"/>
      <c r="BS13" s="2920"/>
      <c r="BT13" s="1343"/>
      <c r="BU13" s="1447"/>
      <c r="BV13" s="1447"/>
      <c r="BW13" s="1447">
        <f t="shared" si="20"/>
        <v>1762.5</v>
      </c>
      <c r="BX13" s="1447">
        <f t="shared" si="21"/>
        <v>1802.0347999999999</v>
      </c>
      <c r="BY13" s="1447">
        <f t="shared" si="22"/>
        <v>1828.1524020000002</v>
      </c>
      <c r="BZ13" s="1447">
        <f t="shared" si="23"/>
        <v>1041.5880474999999</v>
      </c>
      <c r="CA13" s="1447"/>
      <c r="CB13" s="1447"/>
    </row>
    <row r="14" spans="1:80">
      <c r="A14" s="1449" t="s">
        <v>1447</v>
      </c>
      <c r="B14" s="1450"/>
      <c r="C14" s="1450"/>
      <c r="D14" s="1450"/>
      <c r="E14" s="1450"/>
      <c r="F14" s="1451"/>
      <c r="G14" s="1450"/>
      <c r="H14" s="1450"/>
      <c r="I14" s="1450"/>
      <c r="J14" s="1450"/>
      <c r="K14" s="1451"/>
      <c r="L14" s="1450"/>
      <c r="M14" s="1450"/>
      <c r="N14" s="1450"/>
      <c r="O14" s="1450"/>
      <c r="P14" s="1451"/>
      <c r="Q14" s="1450"/>
      <c r="R14" s="1450"/>
      <c r="S14" s="1450"/>
      <c r="T14" s="1450"/>
      <c r="U14" s="1451"/>
      <c r="V14" s="1450"/>
      <c r="W14" s="1450"/>
      <c r="X14" s="1450"/>
      <c r="Y14" s="1450"/>
      <c r="Z14" s="1451"/>
      <c r="AA14" s="1450"/>
      <c r="AB14" s="1450"/>
      <c r="AC14" s="1450"/>
      <c r="AD14" s="1450"/>
      <c r="AE14" s="1451"/>
      <c r="AF14" s="1450"/>
      <c r="AG14" s="1450"/>
      <c r="AH14" s="1450"/>
      <c r="AI14" s="1450"/>
      <c r="AJ14" s="1451"/>
      <c r="AK14" s="1450">
        <f>AK75</f>
        <v>0</v>
      </c>
      <c r="AL14" s="1450">
        <f t="shared" ref="AL14:AN14" si="28">AL75</f>
        <v>0</v>
      </c>
      <c r="AM14" s="1450">
        <f t="shared" si="28"/>
        <v>0</v>
      </c>
      <c r="AN14" s="1450">
        <f t="shared" si="28"/>
        <v>0</v>
      </c>
      <c r="AO14" s="1451">
        <f t="shared" si="9"/>
        <v>0</v>
      </c>
      <c r="AP14" s="1450">
        <f>AP75</f>
        <v>16</v>
      </c>
      <c r="AQ14" s="1450">
        <f t="shared" ref="AQ14:AS14" si="29">AQ75</f>
        <v>16.5</v>
      </c>
      <c r="AR14" s="1450">
        <f t="shared" si="29"/>
        <v>20</v>
      </c>
      <c r="AS14" s="1450">
        <f t="shared" si="29"/>
        <v>24</v>
      </c>
      <c r="AT14" s="1451">
        <f t="shared" si="2"/>
        <v>76.5</v>
      </c>
      <c r="AU14" s="1450">
        <f>AU75</f>
        <v>32</v>
      </c>
      <c r="AV14" s="1450">
        <f t="shared" ref="AV14:AX14" si="30">AV75</f>
        <v>33</v>
      </c>
      <c r="AW14" s="1450">
        <f t="shared" si="30"/>
        <v>40</v>
      </c>
      <c r="AX14" s="1450">
        <f t="shared" si="30"/>
        <v>48</v>
      </c>
      <c r="AY14" s="1451">
        <f t="shared" si="16"/>
        <v>153</v>
      </c>
      <c r="AZ14" s="1450">
        <f>AZ75</f>
        <v>64</v>
      </c>
      <c r="BA14" s="1450">
        <f t="shared" ref="BA14:BC14" si="31">BA75</f>
        <v>66</v>
      </c>
      <c r="BB14" s="1450">
        <f t="shared" si="31"/>
        <v>72.400000000000006</v>
      </c>
      <c r="BC14" s="1450">
        <f t="shared" si="31"/>
        <v>83.52</v>
      </c>
      <c r="BD14" s="1451">
        <f t="shared" si="3"/>
        <v>285.92</v>
      </c>
      <c r="BE14" s="2855"/>
      <c r="BF14" s="2855"/>
      <c r="BG14" s="2855"/>
      <c r="BH14" s="2855"/>
      <c r="BI14" s="2922"/>
      <c r="BJ14" s="2923"/>
      <c r="BK14" s="2923"/>
      <c r="BL14" s="2923"/>
      <c r="BM14" s="2923"/>
      <c r="BN14" s="2922"/>
      <c r="BO14" s="2923"/>
      <c r="BP14" s="2923"/>
      <c r="BQ14" s="2923"/>
      <c r="BR14" s="2923"/>
      <c r="BS14" s="2922"/>
      <c r="BT14" s="1343"/>
      <c r="BU14" s="1451"/>
      <c r="BV14" s="1451"/>
      <c r="BW14" s="1451">
        <f t="shared" si="20"/>
        <v>32.5</v>
      </c>
      <c r="BX14" s="1451">
        <f t="shared" si="21"/>
        <v>109</v>
      </c>
      <c r="BY14" s="1451">
        <f t="shared" si="22"/>
        <v>218</v>
      </c>
      <c r="BZ14" s="1451">
        <f t="shared" si="23"/>
        <v>155.92000000000002</v>
      </c>
      <c r="CA14" s="1451"/>
      <c r="CB14" s="1451"/>
    </row>
    <row r="15" spans="1:80">
      <c r="A15" s="1175" t="s">
        <v>1416</v>
      </c>
      <c r="B15" s="1345"/>
      <c r="C15" s="1345"/>
      <c r="D15" s="1345"/>
      <c r="E15" s="1345"/>
      <c r="F15" s="1346"/>
      <c r="G15" s="1345"/>
      <c r="H15" s="1345"/>
      <c r="I15" s="1345"/>
      <c r="J15" s="1345"/>
      <c r="K15" s="1346"/>
      <c r="L15" s="1345"/>
      <c r="M15" s="1345"/>
      <c r="N15" s="1345"/>
      <c r="O15" s="1345"/>
      <c r="P15" s="1346"/>
      <c r="Q15" s="1345"/>
      <c r="R15" s="1345"/>
      <c r="S15" s="1345"/>
      <c r="T15" s="1345"/>
      <c r="U15" s="1346"/>
      <c r="V15" s="1345"/>
      <c r="W15" s="1345"/>
      <c r="X15" s="1345"/>
      <c r="Y15" s="1345"/>
      <c r="Z15" s="1346"/>
      <c r="AA15" s="1345"/>
      <c r="AB15" s="1345"/>
      <c r="AC15" s="1345"/>
      <c r="AD15" s="1345"/>
      <c r="AE15" s="1346"/>
      <c r="AF15" s="1347"/>
      <c r="AG15" s="1347"/>
      <c r="AH15" s="1347"/>
      <c r="AI15" s="1347"/>
      <c r="AJ15" s="1346"/>
      <c r="AK15" s="1001"/>
      <c r="AL15" s="1001"/>
      <c r="AM15" s="1001"/>
      <c r="AN15" s="1001"/>
      <c r="AO15" s="1000"/>
      <c r="AP15" s="1001"/>
      <c r="AQ15" s="1001"/>
      <c r="AR15" s="1001"/>
      <c r="AS15" s="1001"/>
      <c r="AT15" s="1000"/>
      <c r="AU15" s="1001"/>
      <c r="AV15" s="1001"/>
      <c r="AW15" s="1001"/>
      <c r="AX15" s="1001"/>
      <c r="AY15" s="1000"/>
      <c r="AZ15" s="1001">
        <v>0</v>
      </c>
      <c r="BA15" s="1001">
        <f>BA78</f>
        <v>228</v>
      </c>
      <c r="BB15" s="1001">
        <f>BB78</f>
        <v>975</v>
      </c>
      <c r="BC15" s="1001">
        <f>BC78</f>
        <v>1065</v>
      </c>
      <c r="BD15" s="1000">
        <f>SUM(AZ15:BC15)</f>
        <v>2268</v>
      </c>
      <c r="BE15" s="2853"/>
      <c r="BF15" s="2853"/>
      <c r="BG15" s="2853"/>
      <c r="BH15" s="2853"/>
      <c r="BI15" s="2918"/>
      <c r="BJ15" s="2919"/>
      <c r="BK15" s="2919"/>
      <c r="BL15" s="2919"/>
      <c r="BM15" s="2919"/>
      <c r="BN15" s="2918"/>
      <c r="BO15" s="2919"/>
      <c r="BP15" s="2919"/>
      <c r="BQ15" s="2919"/>
      <c r="BR15" s="2919"/>
      <c r="BS15" s="2918"/>
      <c r="BT15" s="1343"/>
      <c r="BU15" s="1447"/>
      <c r="BV15" s="1447"/>
      <c r="BW15" s="1447"/>
      <c r="BX15" s="1447"/>
      <c r="BY15" s="1447"/>
      <c r="BZ15" s="1447"/>
      <c r="CA15" s="1447"/>
      <c r="CB15" s="1447"/>
    </row>
    <row r="16" spans="1:80" ht="13.5" thickBot="1">
      <c r="A16" s="1175" t="s">
        <v>280</v>
      </c>
      <c r="B16" s="1345"/>
      <c r="C16" s="1345"/>
      <c r="D16" s="1345"/>
      <c r="E16" s="1345"/>
      <c r="F16" s="1346"/>
      <c r="G16" s="1345"/>
      <c r="H16" s="1345"/>
      <c r="I16" s="1345"/>
      <c r="J16" s="1345"/>
      <c r="K16" s="1346"/>
      <c r="L16" s="1345"/>
      <c r="M16" s="1345"/>
      <c r="N16" s="1345"/>
      <c r="O16" s="1345"/>
      <c r="P16" s="1346"/>
      <c r="Q16" s="1345"/>
      <c r="R16" s="1345"/>
      <c r="S16" s="1345"/>
      <c r="T16" s="1345"/>
      <c r="U16" s="1346"/>
      <c r="V16" s="1345"/>
      <c r="W16" s="1345"/>
      <c r="X16" s="1345"/>
      <c r="Y16" s="1345"/>
      <c r="Z16" s="1346"/>
      <c r="AA16" s="1345"/>
      <c r="AB16" s="1345"/>
      <c r="AC16" s="1345"/>
      <c r="AD16" s="1345"/>
      <c r="AE16" s="1346"/>
      <c r="AF16" s="1347"/>
      <c r="AG16" s="1347"/>
      <c r="AH16" s="1347"/>
      <c r="AI16" s="1347"/>
      <c r="AJ16" s="1346"/>
      <c r="AK16" s="1345">
        <f>AK17-AK6-AK9-AK12</f>
        <v>0</v>
      </c>
      <c r="AL16" s="1001">
        <f t="shared" ref="AL16:AY16" si="32">AL17-AL6-AL9-AL12</f>
        <v>6.63799999999992</v>
      </c>
      <c r="AM16" s="1001">
        <f t="shared" si="32"/>
        <v>-3.0500000000001819</v>
      </c>
      <c r="AN16" s="1001">
        <f t="shared" si="32"/>
        <v>-4.9220664062504511</v>
      </c>
      <c r="AO16" s="1000">
        <f t="shared" si="32"/>
        <v>-1.334066406252532</v>
      </c>
      <c r="AP16" s="1001">
        <f t="shared" si="32"/>
        <v>8.3968093749995774</v>
      </c>
      <c r="AQ16" s="1001">
        <f t="shared" si="32"/>
        <v>-5.5156312499999558</v>
      </c>
      <c r="AR16" s="1001">
        <f t="shared" si="32"/>
        <v>-64.703543750000222</v>
      </c>
      <c r="AS16" s="1001">
        <f t="shared" si="32"/>
        <v>-140.08409375000042</v>
      </c>
      <c r="AT16" s="1000">
        <f t="shared" si="32"/>
        <v>-201.90645937500017</v>
      </c>
      <c r="AU16" s="1001">
        <f t="shared" si="32"/>
        <v>-3.6681623750004633</v>
      </c>
      <c r="AV16" s="1001">
        <f t="shared" si="32"/>
        <v>-46.20724437500121</v>
      </c>
      <c r="AW16" s="1001">
        <f t="shared" si="32"/>
        <v>-83.825946874998749</v>
      </c>
      <c r="AX16" s="1001">
        <f t="shared" si="32"/>
        <v>-375.76629687499997</v>
      </c>
      <c r="AY16" s="1000">
        <f t="shared" si="32"/>
        <v>-509.46765049999885</v>
      </c>
      <c r="AZ16" s="1001">
        <f>AZ17-AZ6-AZ9-AZ12-AZ15</f>
        <v>-15.722007315000269</v>
      </c>
      <c r="BA16" s="1001">
        <f t="shared" ref="BA16:BD16" si="33">BA17-BA6-BA9-BA12-BA15</f>
        <v>-83.929206574999625</v>
      </c>
      <c r="BB16" s="1001">
        <f t="shared" si="33"/>
        <v>-208.08019674999946</v>
      </c>
      <c r="BC16" s="1001">
        <f t="shared" si="33"/>
        <v>-516.83774812500019</v>
      </c>
      <c r="BD16" s="1000">
        <f t="shared" si="33"/>
        <v>-824.56915876499716</v>
      </c>
      <c r="BE16" s="2856"/>
      <c r="BF16" s="2856"/>
      <c r="BG16" s="2856"/>
      <c r="BH16" s="2856"/>
      <c r="BI16" s="2918"/>
      <c r="BJ16" s="2925"/>
      <c r="BK16" s="2925"/>
      <c r="BL16" s="2925"/>
      <c r="BM16" s="2925"/>
      <c r="BN16" s="2918"/>
      <c r="BO16" s="2925"/>
      <c r="BP16" s="2925"/>
      <c r="BQ16" s="2925"/>
      <c r="BR16" s="2925"/>
      <c r="BS16" s="2918"/>
      <c r="BT16" s="1343"/>
      <c r="BU16" s="1191"/>
      <c r="BV16" s="1191"/>
      <c r="BW16" s="1191">
        <f t="shared" si="4"/>
        <v>-5.0908882812510114</v>
      </c>
      <c r="BX16" s="1191">
        <f t="shared" si="5"/>
        <v>-254.66304425000232</v>
      </c>
      <c r="BY16" s="1191">
        <f t="shared" si="6"/>
        <v>-559.24345763999861</v>
      </c>
      <c r="BZ16" s="1191">
        <f t="shared" si="7"/>
        <v>-724.91794487499965</v>
      </c>
      <c r="CA16" s="1191"/>
      <c r="CB16" s="1191"/>
    </row>
    <row r="17" spans="1:83">
      <c r="A17" s="1477" t="s">
        <v>1043</v>
      </c>
      <c r="B17" s="1478"/>
      <c r="C17" s="1478"/>
      <c r="D17" s="1478"/>
      <c r="E17" s="1478"/>
      <c r="F17" s="1479"/>
      <c r="G17" s="1478"/>
      <c r="H17" s="1478"/>
      <c r="I17" s="1478"/>
      <c r="J17" s="1478"/>
      <c r="K17" s="1479"/>
      <c r="L17" s="1478"/>
      <c r="M17" s="1478"/>
      <c r="N17" s="1478"/>
      <c r="O17" s="1478"/>
      <c r="P17" s="1479"/>
      <c r="Q17" s="1478"/>
      <c r="R17" s="1478"/>
      <c r="S17" s="1478"/>
      <c r="T17" s="1478"/>
      <c r="U17" s="1479"/>
      <c r="V17" s="1478"/>
      <c r="W17" s="1478"/>
      <c r="X17" s="1478"/>
      <c r="Y17" s="1478"/>
      <c r="Z17" s="1479"/>
      <c r="AA17" s="1478"/>
      <c r="AB17" s="1478"/>
      <c r="AC17" s="1478"/>
      <c r="AD17" s="1478"/>
      <c r="AE17" s="1479"/>
      <c r="AF17" s="1478"/>
      <c r="AG17" s="1478"/>
      <c r="AH17" s="1478"/>
      <c r="AI17" s="1478"/>
      <c r="AJ17" s="1479">
        <f>'Rev Overview'!BJ10</f>
        <v>25776</v>
      </c>
      <c r="AK17" s="1478">
        <f>'Rev Overview'!BK10</f>
        <v>6183</v>
      </c>
      <c r="AL17" s="1478">
        <f>'Rev Overview'!BL10</f>
        <v>6943</v>
      </c>
      <c r="AM17" s="1478">
        <f>'Rev Overview'!BM10</f>
        <v>6768</v>
      </c>
      <c r="AN17" s="1478">
        <f>'Rev Overview'!BN10</f>
        <v>7078</v>
      </c>
      <c r="AO17" s="1479">
        <f t="shared" si="1"/>
        <v>26972</v>
      </c>
      <c r="AP17" s="1478">
        <f>'Rev Overview'!BP10</f>
        <v>6490</v>
      </c>
      <c r="AQ17" s="1478">
        <f>'Rev Overview'!BQ10</f>
        <v>6822</v>
      </c>
      <c r="AR17" s="1478">
        <f>'Rev Overview'!BR10</f>
        <v>6457</v>
      </c>
      <c r="AS17" s="1478">
        <f>'Rev Overview'!BS10</f>
        <v>6662</v>
      </c>
      <c r="AT17" s="1479">
        <f t="shared" si="2"/>
        <v>26431</v>
      </c>
      <c r="AU17" s="1478">
        <v>6306</v>
      </c>
      <c r="AV17" s="1478">
        <v>6690</v>
      </c>
      <c r="AW17" s="1478">
        <v>6522</v>
      </c>
      <c r="AX17" s="1478">
        <v>6969</v>
      </c>
      <c r="AY17" s="1479">
        <v>26487</v>
      </c>
      <c r="AZ17" s="1478">
        <v>6658</v>
      </c>
      <c r="BA17" s="1478">
        <v>7382</v>
      </c>
      <c r="BB17" s="1478">
        <v>7958</v>
      </c>
      <c r="BC17" s="1478">
        <v>8446</v>
      </c>
      <c r="BD17" s="1479">
        <v>30444</v>
      </c>
      <c r="BE17" s="2857"/>
      <c r="BF17" s="2857"/>
      <c r="BG17" s="2857"/>
      <c r="BH17" s="2857"/>
      <c r="BI17" s="2926"/>
      <c r="BJ17" s="2927"/>
      <c r="BK17" s="2927"/>
      <c r="BL17" s="2927"/>
      <c r="BM17" s="2927"/>
      <c r="BN17" s="2926"/>
      <c r="BO17" s="2927"/>
      <c r="BP17" s="2927"/>
      <c r="BQ17" s="2927"/>
      <c r="BR17" s="2927"/>
      <c r="BS17" s="2926"/>
      <c r="BT17" s="1343"/>
      <c r="BU17" s="1479"/>
      <c r="BV17" s="1479"/>
      <c r="BW17" s="1479">
        <f t="shared" si="4"/>
        <v>27158</v>
      </c>
      <c r="BX17" s="1479">
        <f t="shared" si="5"/>
        <v>26115</v>
      </c>
      <c r="BY17" s="1479">
        <f t="shared" si="6"/>
        <v>27531</v>
      </c>
      <c r="BZ17" s="1479">
        <f t="shared" si="7"/>
        <v>16404</v>
      </c>
      <c r="CA17" s="1479"/>
      <c r="CB17" s="1479"/>
      <c r="CD17" s="1004"/>
      <c r="CE17" s="1004"/>
    </row>
    <row r="18" spans="1:83" ht="13.5" thickBot="1">
      <c r="A18" s="1480" t="s">
        <v>163</v>
      </c>
      <c r="B18" s="1481"/>
      <c r="C18" s="1481"/>
      <c r="D18" s="1481"/>
      <c r="E18" s="1481"/>
      <c r="F18" s="1482"/>
      <c r="G18" s="1481"/>
      <c r="H18" s="1481"/>
      <c r="I18" s="1481"/>
      <c r="J18" s="1481"/>
      <c r="K18" s="1482"/>
      <c r="L18" s="1481"/>
      <c r="M18" s="1481"/>
      <c r="N18" s="1481"/>
      <c r="O18" s="1481"/>
      <c r="P18" s="1482"/>
      <c r="Q18" s="1481"/>
      <c r="R18" s="1481"/>
      <c r="S18" s="1481"/>
      <c r="T18" s="1481"/>
      <c r="U18" s="1482"/>
      <c r="V18" s="1481"/>
      <c r="W18" s="1481"/>
      <c r="X18" s="1481"/>
      <c r="Y18" s="1481"/>
      <c r="Z18" s="1482"/>
      <c r="AA18" s="1481"/>
      <c r="AB18" s="1481"/>
      <c r="AC18" s="1481"/>
      <c r="AD18" s="1481"/>
      <c r="AE18" s="1482"/>
      <c r="AF18" s="1483"/>
      <c r="AG18" s="1483"/>
      <c r="AH18" s="1483"/>
      <c r="AI18" s="1483"/>
      <c r="AJ18" s="1482"/>
      <c r="AK18" s="1483"/>
      <c r="AL18" s="1483"/>
      <c r="AM18" s="1483"/>
      <c r="AN18" s="1483"/>
      <c r="AO18" s="1486">
        <f>IF(ISERROR(AO17/AJ17-1),,(AO17/AJ17-1))</f>
        <v>4.639975170701427E-2</v>
      </c>
      <c r="AP18" s="1485">
        <f>IFERROR(AP17/AK17-1,"")</f>
        <v>4.9652272359695937E-2</v>
      </c>
      <c r="AQ18" s="1485">
        <f>IFERROR(AQ17/AL17-1,"")</f>
        <v>-1.7427624945988818E-2</v>
      </c>
      <c r="AR18" s="1485">
        <f>IFERROR(AR17/AM17-1,"")</f>
        <v>-4.5951536643025981E-2</v>
      </c>
      <c r="AS18" s="1485">
        <f>IFERROR(AS17/AN17-1,"")</f>
        <v>-5.8773664877083909E-2</v>
      </c>
      <c r="AT18" s="1486">
        <f t="shared" ref="AT18:BD18" si="34">IFERROR(AT17/AO17-1,"")</f>
        <v>-2.0057837757674668E-2</v>
      </c>
      <c r="AU18" s="1485">
        <f t="shared" si="34"/>
        <v>-2.8351309707241867E-2</v>
      </c>
      <c r="AV18" s="1485">
        <f t="shared" si="34"/>
        <v>-1.9349164467898028E-2</v>
      </c>
      <c r="AW18" s="1485">
        <f t="shared" si="34"/>
        <v>1.0066594393681294E-2</v>
      </c>
      <c r="AX18" s="1485">
        <f t="shared" si="34"/>
        <v>4.6082257580306152E-2</v>
      </c>
      <c r="AY18" s="1486">
        <f t="shared" si="34"/>
        <v>2.1187242253415395E-3</v>
      </c>
      <c r="AZ18" s="1485">
        <f t="shared" si="34"/>
        <v>5.5819854107199474E-2</v>
      </c>
      <c r="BA18" s="1485">
        <f t="shared" si="34"/>
        <v>0.10343796711509712</v>
      </c>
      <c r="BB18" s="1485">
        <f t="shared" si="34"/>
        <v>0.22017785955228453</v>
      </c>
      <c r="BC18" s="1485">
        <f t="shared" si="34"/>
        <v>0.21193858516286412</v>
      </c>
      <c r="BD18" s="1486">
        <f t="shared" si="34"/>
        <v>0.14939404236040321</v>
      </c>
      <c r="BE18" s="2858"/>
      <c r="BF18" s="2858"/>
      <c r="BG18" s="2858"/>
      <c r="BH18" s="2858"/>
      <c r="BI18" s="2928"/>
      <c r="BJ18" s="2929"/>
      <c r="BK18" s="2929"/>
      <c r="BL18" s="2929"/>
      <c r="BM18" s="2929"/>
      <c r="BN18" s="2928"/>
      <c r="BO18" s="2929"/>
      <c r="BP18" s="2929"/>
      <c r="BQ18" s="2929"/>
      <c r="BR18" s="2929"/>
      <c r="BS18" s="2928"/>
      <c r="BT18" s="1438"/>
      <c r="BU18" s="1486"/>
      <c r="BV18" s="1486"/>
      <c r="BW18" s="1486"/>
      <c r="BX18" s="1486">
        <f>BX17/BW17-1</f>
        <v>-3.8404889903527528E-2</v>
      </c>
      <c r="BY18" s="1486">
        <f>BY17/BX17-1</f>
        <v>5.4221711659965477E-2</v>
      </c>
      <c r="BZ18" s="1486">
        <f>BZ17/BY17-1</f>
        <v>-0.40416258036395336</v>
      </c>
      <c r="CA18" s="1486"/>
      <c r="CB18" s="1486"/>
    </row>
    <row r="19" spans="1:83">
      <c r="A19" s="5"/>
      <c r="B19" s="1432"/>
      <c r="C19" s="1432"/>
      <c r="D19" s="1432"/>
      <c r="E19" s="1432"/>
      <c r="F19" s="1429"/>
      <c r="G19" s="1432"/>
      <c r="H19" s="1432"/>
      <c r="I19" s="1432"/>
      <c r="J19" s="1432"/>
      <c r="K19" s="1429"/>
      <c r="L19" s="1432"/>
      <c r="M19" s="1432"/>
      <c r="N19" s="1432"/>
      <c r="O19" s="1432"/>
      <c r="P19" s="1429"/>
      <c r="Q19" s="1432"/>
      <c r="R19" s="1432"/>
      <c r="S19" s="1432"/>
      <c r="T19" s="1432"/>
      <c r="U19" s="1429"/>
      <c r="V19" s="1432"/>
      <c r="W19" s="1432"/>
      <c r="X19" s="1432"/>
      <c r="Y19" s="1432"/>
      <c r="Z19" s="1429"/>
      <c r="AA19" s="1432"/>
      <c r="AB19" s="1432"/>
      <c r="AC19" s="1432"/>
      <c r="AD19" s="1432"/>
      <c r="AE19" s="1429"/>
      <c r="AF19" s="1436"/>
      <c r="AG19" s="1436"/>
      <c r="AH19" s="1436"/>
      <c r="AI19" s="1436"/>
      <c r="AJ19" s="1429"/>
      <c r="AK19" s="1436"/>
      <c r="AL19" s="1436"/>
      <c r="AM19" s="1436"/>
      <c r="AN19" s="1436"/>
      <c r="AO19" s="2"/>
      <c r="AP19" s="3"/>
      <c r="AQ19" s="3"/>
      <c r="AR19" s="3"/>
      <c r="AS19" s="3"/>
      <c r="AT19" s="2"/>
      <c r="AU19" s="3"/>
      <c r="AV19" s="3"/>
      <c r="AW19" s="3"/>
      <c r="AX19" s="3"/>
      <c r="AY19" s="2"/>
      <c r="AZ19" s="3"/>
      <c r="BA19" s="3"/>
      <c r="BB19" s="3"/>
      <c r="BC19" s="3"/>
      <c r="BD19" s="2"/>
      <c r="BE19" s="2859"/>
      <c r="BF19" s="2859"/>
      <c r="BG19" s="2859"/>
      <c r="BH19" s="2859"/>
      <c r="BI19" s="2930"/>
      <c r="BJ19" s="2931"/>
      <c r="BK19" s="2931"/>
      <c r="BL19" s="2931"/>
      <c r="BM19" s="2931"/>
      <c r="BN19" s="2930"/>
      <c r="BO19" s="2931"/>
      <c r="BP19" s="2931"/>
      <c r="BQ19" s="2931"/>
      <c r="BR19" s="2931"/>
      <c r="BS19" s="2930"/>
      <c r="BT19" s="1438"/>
      <c r="BU19" s="4"/>
      <c r="BV19" s="4"/>
      <c r="BW19" s="4"/>
      <c r="BX19" s="4"/>
      <c r="BY19" s="4"/>
      <c r="BZ19" s="4"/>
      <c r="CA19" s="4"/>
      <c r="CB19" s="4"/>
    </row>
    <row r="20" spans="1:83">
      <c r="A20" s="5" t="s">
        <v>1419</v>
      </c>
      <c r="B20" s="1432"/>
      <c r="C20" s="1432"/>
      <c r="D20" s="1432"/>
      <c r="E20" s="1432"/>
      <c r="F20" s="1429"/>
      <c r="G20" s="1432"/>
      <c r="H20" s="1432"/>
      <c r="I20" s="1432"/>
      <c r="J20" s="1432"/>
      <c r="K20" s="1429"/>
      <c r="L20" s="1432"/>
      <c r="M20" s="1432"/>
      <c r="N20" s="1432"/>
      <c r="O20" s="1432"/>
      <c r="P20" s="1429"/>
      <c r="Q20" s="1432"/>
      <c r="R20" s="1432"/>
      <c r="S20" s="1432"/>
      <c r="T20" s="1432"/>
      <c r="U20" s="1429"/>
      <c r="V20" s="1432"/>
      <c r="W20" s="1432"/>
      <c r="X20" s="1432"/>
      <c r="Y20" s="1432"/>
      <c r="Z20" s="1429"/>
      <c r="AA20" s="1432"/>
      <c r="AB20" s="1432"/>
      <c r="AC20" s="1432"/>
      <c r="AD20" s="1432"/>
      <c r="AE20" s="1429"/>
      <c r="AF20" s="1436"/>
      <c r="AG20" s="1436"/>
      <c r="AH20" s="1436"/>
      <c r="AI20" s="1436"/>
      <c r="AJ20" s="1429"/>
      <c r="AK20" s="1001">
        <f>AK17-AK15</f>
        <v>6183</v>
      </c>
      <c r="AL20" s="1001">
        <f>AL17-AL15</f>
        <v>6943</v>
      </c>
      <c r="AM20" s="1001">
        <f>AM17-AM15</f>
        <v>6768</v>
      </c>
      <c r="AN20" s="1001">
        <f>AN17-AN15</f>
        <v>7078</v>
      </c>
      <c r="AO20" s="1000">
        <f>AO17-AO15</f>
        <v>26972</v>
      </c>
      <c r="AP20" s="1001">
        <f t="shared" ref="AP20:BD20" si="35">AP17-AP15</f>
        <v>6490</v>
      </c>
      <c r="AQ20" s="1001">
        <f t="shared" si="35"/>
        <v>6822</v>
      </c>
      <c r="AR20" s="1001">
        <f t="shared" si="35"/>
        <v>6457</v>
      </c>
      <c r="AS20" s="1001">
        <f t="shared" si="35"/>
        <v>6662</v>
      </c>
      <c r="AT20" s="1000">
        <f t="shared" si="35"/>
        <v>26431</v>
      </c>
      <c r="AU20" s="1001">
        <f t="shared" si="35"/>
        <v>6306</v>
      </c>
      <c r="AV20" s="1001">
        <f t="shared" si="35"/>
        <v>6690</v>
      </c>
      <c r="AW20" s="1001">
        <f t="shared" si="35"/>
        <v>6522</v>
      </c>
      <c r="AX20" s="1001">
        <f t="shared" si="35"/>
        <v>6969</v>
      </c>
      <c r="AY20" s="1000">
        <f t="shared" si="35"/>
        <v>26487</v>
      </c>
      <c r="AZ20" s="1001">
        <f t="shared" si="35"/>
        <v>6658</v>
      </c>
      <c r="BA20" s="1001">
        <f t="shared" si="35"/>
        <v>7154</v>
      </c>
      <c r="BB20" s="1001">
        <f t="shared" si="35"/>
        <v>6983</v>
      </c>
      <c r="BC20" s="1001">
        <f t="shared" ref="BC20" si="36">BC17-BC15</f>
        <v>7381</v>
      </c>
      <c r="BD20" s="1000">
        <f t="shared" si="35"/>
        <v>28176</v>
      </c>
      <c r="BE20" s="2853"/>
      <c r="BF20" s="2853"/>
      <c r="BG20" s="2853"/>
      <c r="BH20" s="2853"/>
      <c r="BI20" s="2918"/>
      <c r="BJ20" s="2919"/>
      <c r="BK20" s="2919"/>
      <c r="BL20" s="2919"/>
      <c r="BM20" s="2919"/>
      <c r="BN20" s="2918"/>
      <c r="BO20" s="2919"/>
      <c r="BP20" s="2919"/>
      <c r="BQ20" s="2919"/>
      <c r="BR20" s="2919"/>
      <c r="BS20" s="2918"/>
      <c r="BT20" s="1438"/>
      <c r="BU20" s="4"/>
      <c r="BV20" s="4"/>
      <c r="BW20" s="4"/>
      <c r="BX20" s="4"/>
      <c r="BY20" s="4"/>
      <c r="BZ20" s="4"/>
      <c r="CA20" s="4"/>
      <c r="CB20" s="4"/>
    </row>
    <row r="21" spans="1:83">
      <c r="A21" s="5" t="s">
        <v>1420</v>
      </c>
      <c r="B21" s="1432"/>
      <c r="C21" s="1432"/>
      <c r="D21" s="1432"/>
      <c r="E21" s="1432"/>
      <c r="F21" s="1429"/>
      <c r="G21" s="1432"/>
      <c r="H21" s="1432"/>
      <c r="I21" s="1432"/>
      <c r="J21" s="1432"/>
      <c r="K21" s="1429"/>
      <c r="L21" s="1432"/>
      <c r="M21" s="1432"/>
      <c r="N21" s="1432"/>
      <c r="O21" s="1432"/>
      <c r="P21" s="1429"/>
      <c r="Q21" s="1432"/>
      <c r="R21" s="1432"/>
      <c r="S21" s="1432"/>
      <c r="T21" s="1432"/>
      <c r="U21" s="1429"/>
      <c r="V21" s="1432"/>
      <c r="W21" s="1432"/>
      <c r="X21" s="1432"/>
      <c r="Y21" s="1432"/>
      <c r="Z21" s="1429"/>
      <c r="AA21" s="1432"/>
      <c r="AB21" s="1432"/>
      <c r="AC21" s="1432"/>
      <c r="AD21" s="1432"/>
      <c r="AE21" s="1429"/>
      <c r="AF21" s="1436"/>
      <c r="AG21" s="1436"/>
      <c r="AH21" s="1436"/>
      <c r="AI21" s="1436"/>
      <c r="AJ21" s="1429"/>
      <c r="AK21" s="1436"/>
      <c r="AL21" s="1436"/>
      <c r="AM21" s="1436"/>
      <c r="AN21" s="1436"/>
      <c r="AO21" s="2"/>
      <c r="AP21" s="3">
        <f t="shared" ref="AP21:BD21" si="37">IFERROR(AP20/AK20-1,"")</f>
        <v>4.9652272359695937E-2</v>
      </c>
      <c r="AQ21" s="3">
        <f t="shared" si="37"/>
        <v>-1.7427624945988818E-2</v>
      </c>
      <c r="AR21" s="3">
        <f t="shared" si="37"/>
        <v>-4.5951536643025981E-2</v>
      </c>
      <c r="AS21" s="3">
        <f t="shared" si="37"/>
        <v>-5.8773664877083909E-2</v>
      </c>
      <c r="AT21" s="2">
        <f t="shared" si="37"/>
        <v>-2.0057837757674668E-2</v>
      </c>
      <c r="AU21" s="3">
        <f t="shared" si="37"/>
        <v>-2.8351309707241867E-2</v>
      </c>
      <c r="AV21" s="3">
        <f t="shared" si="37"/>
        <v>-1.9349164467898028E-2</v>
      </c>
      <c r="AW21" s="3">
        <f t="shared" si="37"/>
        <v>1.0066594393681294E-2</v>
      </c>
      <c r="AX21" s="3">
        <f t="shared" si="37"/>
        <v>4.6082257580306152E-2</v>
      </c>
      <c r="AY21" s="2">
        <f t="shared" si="37"/>
        <v>2.1187242253415395E-3</v>
      </c>
      <c r="AZ21" s="3">
        <f t="shared" si="37"/>
        <v>5.5819854107199474E-2</v>
      </c>
      <c r="BA21" s="3">
        <f t="shared" si="37"/>
        <v>6.935724962630796E-2</v>
      </c>
      <c r="BB21" s="3">
        <f t="shared" si="37"/>
        <v>7.0683839313094188E-2</v>
      </c>
      <c r="BC21" s="3">
        <f t="shared" si="37"/>
        <v>5.9118955373798299E-2</v>
      </c>
      <c r="BD21" s="2">
        <f t="shared" si="37"/>
        <v>6.3767131045418424E-2</v>
      </c>
      <c r="BE21" s="2859"/>
      <c r="BF21" s="2859"/>
      <c r="BG21" s="2859"/>
      <c r="BH21" s="2859"/>
      <c r="BI21" s="2930"/>
      <c r="BJ21" s="2931"/>
      <c r="BK21" s="2931"/>
      <c r="BL21" s="2931"/>
      <c r="BM21" s="2931"/>
      <c r="BN21" s="2930"/>
      <c r="BO21" s="2931"/>
      <c r="BP21" s="2931"/>
      <c r="BQ21" s="2931"/>
      <c r="BR21" s="2931"/>
      <c r="BS21" s="2930"/>
      <c r="BT21" s="1438"/>
      <c r="BU21" s="4"/>
      <c r="BV21" s="4"/>
      <c r="BW21" s="4"/>
      <c r="BX21" s="4"/>
      <c r="BY21" s="4"/>
      <c r="BZ21" s="4"/>
      <c r="CA21" s="4"/>
      <c r="CB21" s="4"/>
    </row>
    <row r="22" spans="1:83">
      <c r="B22" s="1345"/>
      <c r="C22" s="1345"/>
      <c r="D22" s="1345"/>
      <c r="E22" s="1345"/>
      <c r="F22" s="1346"/>
      <c r="G22" s="1345"/>
      <c r="H22" s="1345"/>
      <c r="I22" s="1345"/>
      <c r="J22" s="1345"/>
      <c r="K22" s="1346"/>
      <c r="L22" s="1345"/>
      <c r="M22" s="1345"/>
      <c r="N22" s="1345"/>
      <c r="O22" s="1345"/>
      <c r="P22" s="1346"/>
      <c r="Q22" s="1345"/>
      <c r="R22" s="1345"/>
      <c r="S22" s="1345"/>
      <c r="T22" s="1345"/>
      <c r="U22" s="1346"/>
      <c r="V22" s="1345"/>
      <c r="W22" s="1345"/>
      <c r="X22" s="1345"/>
      <c r="Y22" s="1345"/>
      <c r="Z22" s="1346"/>
      <c r="AA22" s="1345"/>
      <c r="AB22" s="1345"/>
      <c r="AC22" s="1345"/>
      <c r="AD22" s="1345"/>
      <c r="AE22" s="1346"/>
      <c r="AF22" s="1347"/>
      <c r="AG22" s="1347"/>
      <c r="AH22" s="1347"/>
      <c r="AI22" s="1347"/>
      <c r="AJ22" s="1346"/>
      <c r="AK22" s="1347"/>
      <c r="AL22" s="1347"/>
      <c r="AM22" s="1347"/>
      <c r="AN22" s="1347"/>
      <c r="AO22" s="1344"/>
      <c r="AP22" s="1347"/>
      <c r="AQ22" s="1347"/>
      <c r="AR22" s="1347"/>
      <c r="AS22" s="1347"/>
      <c r="AT22" s="1344"/>
      <c r="AU22" s="1347"/>
      <c r="AV22" s="1347"/>
      <c r="AW22" s="1347"/>
      <c r="AX22" s="1347"/>
      <c r="AY22" s="1344"/>
      <c r="AZ22" s="1347"/>
      <c r="BA22" s="1347"/>
      <c r="BB22" s="1347"/>
      <c r="BC22" s="1347"/>
      <c r="BD22" s="1344"/>
      <c r="BE22" s="2860"/>
      <c r="BF22" s="2860"/>
      <c r="BG22" s="2860"/>
      <c r="BH22" s="2860"/>
      <c r="BI22" s="2932"/>
      <c r="BJ22" s="2933"/>
      <c r="BK22" s="2933"/>
      <c r="BL22" s="2933"/>
      <c r="BM22" s="2933"/>
      <c r="BN22" s="2932"/>
      <c r="BO22" s="2933"/>
      <c r="BP22" s="2933"/>
      <c r="BQ22" s="2933"/>
      <c r="BR22" s="2933"/>
      <c r="BS22" s="2932"/>
      <c r="BT22" s="1343"/>
      <c r="BU22" s="1344"/>
      <c r="BV22" s="1344"/>
      <c r="BW22" s="1344"/>
      <c r="BX22" s="1344"/>
      <c r="BY22" s="1344"/>
      <c r="BZ22" s="1344"/>
      <c r="CA22" s="1344"/>
      <c r="CB22" s="1344"/>
    </row>
    <row r="23" spans="1:83">
      <c r="A23" s="1050" t="s">
        <v>1045</v>
      </c>
      <c r="B23" s="1051"/>
      <c r="C23" s="1051"/>
      <c r="D23" s="1051"/>
      <c r="E23" s="1051"/>
      <c r="F23" s="1052"/>
      <c r="G23" s="1051"/>
      <c r="H23" s="1051"/>
      <c r="I23" s="1051"/>
      <c r="J23" s="1051"/>
      <c r="K23" s="1052"/>
      <c r="L23" s="1051"/>
      <c r="M23" s="1051"/>
      <c r="N23" s="1051"/>
      <c r="O23" s="1051"/>
      <c r="P23" s="1052"/>
      <c r="Q23" s="1051"/>
      <c r="R23" s="1051"/>
      <c r="S23" s="1051"/>
      <c r="T23" s="1051"/>
      <c r="U23" s="1052"/>
      <c r="V23" s="1051"/>
      <c r="W23" s="1051"/>
      <c r="X23" s="1051"/>
      <c r="Y23" s="1051"/>
      <c r="Z23" s="1052"/>
      <c r="AA23" s="1051"/>
      <c r="AB23" s="1051"/>
      <c r="AC23" s="1051"/>
      <c r="AD23" s="1051"/>
      <c r="AE23" s="1052"/>
      <c r="AF23" s="1053"/>
      <c r="AG23" s="1051"/>
      <c r="AH23" s="1051"/>
      <c r="AI23" s="1051"/>
      <c r="AJ23" s="1052"/>
      <c r="AK23" s="1054"/>
      <c r="AL23" s="1051"/>
      <c r="AM23" s="1051"/>
      <c r="AN23" s="1051"/>
      <c r="AO23" s="1052"/>
      <c r="AP23" s="1054"/>
      <c r="AQ23" s="1051"/>
      <c r="AR23" s="1051"/>
      <c r="AS23" s="1051"/>
      <c r="AT23" s="1052"/>
      <c r="AU23" s="1054"/>
      <c r="AV23" s="1051"/>
      <c r="AW23" s="1051"/>
      <c r="AX23" s="1051"/>
      <c r="AY23" s="1052"/>
      <c r="AZ23" s="1054"/>
      <c r="BA23" s="1051"/>
      <c r="BB23" s="1051"/>
      <c r="BC23" s="1051"/>
      <c r="BD23" s="1052"/>
      <c r="BE23" s="2851"/>
      <c r="BF23" s="2852"/>
      <c r="BG23" s="2852"/>
      <c r="BH23" s="2852"/>
      <c r="BI23" s="2915"/>
      <c r="BJ23" s="2916"/>
      <c r="BK23" s="2917"/>
      <c r="BL23" s="2917"/>
      <c r="BM23" s="2917"/>
      <c r="BN23" s="2915"/>
      <c r="BO23" s="2916"/>
      <c r="BP23" s="2917"/>
      <c r="BQ23" s="2917"/>
      <c r="BR23" s="2917"/>
      <c r="BS23" s="2915"/>
      <c r="BT23" s="1343"/>
      <c r="BU23" s="1052"/>
      <c r="BV23" s="1052"/>
      <c r="BW23" s="1052"/>
      <c r="BX23" s="1052"/>
      <c r="BY23" s="1052"/>
      <c r="BZ23" s="1052"/>
      <c r="CA23" s="1052"/>
      <c r="CB23" s="1052"/>
    </row>
    <row r="24" spans="1:83">
      <c r="A24" s="986" t="s">
        <v>915</v>
      </c>
      <c r="B24" s="1345"/>
      <c r="C24" s="1345"/>
      <c r="D24" s="1345"/>
      <c r="E24" s="1345"/>
      <c r="F24" s="1346"/>
      <c r="G24" s="1345"/>
      <c r="H24" s="1345"/>
      <c r="I24" s="1345"/>
      <c r="J24" s="1345"/>
      <c r="K24" s="1346"/>
      <c r="L24" s="1345"/>
      <c r="M24" s="1345"/>
      <c r="N24" s="1345"/>
      <c r="O24" s="1345"/>
      <c r="P24" s="1346"/>
      <c r="Q24" s="1345"/>
      <c r="R24" s="1345"/>
      <c r="S24" s="1345"/>
      <c r="T24" s="1345"/>
      <c r="U24" s="1346"/>
      <c r="V24" s="1345"/>
      <c r="W24" s="1345"/>
      <c r="X24" s="1345"/>
      <c r="Y24" s="1345"/>
      <c r="Z24" s="1346"/>
      <c r="AA24" s="1345"/>
      <c r="AB24" s="1345"/>
      <c r="AC24" s="1345"/>
      <c r="AD24" s="1345"/>
      <c r="AE24" s="1010"/>
      <c r="AF24" s="1190"/>
      <c r="AG24" s="1190"/>
      <c r="AH24" s="1190"/>
      <c r="AI24" s="1190"/>
      <c r="AJ24" s="1191"/>
      <c r="AK24" s="1190">
        <f>AK91</f>
        <v>3635</v>
      </c>
      <c r="AL24" s="1190">
        <f>AL91</f>
        <v>4250</v>
      </c>
      <c r="AM24" s="1190">
        <f>AM91</f>
        <v>4075</v>
      </c>
      <c r="AN24" s="1190">
        <f>AN91</f>
        <v>4717</v>
      </c>
      <c r="AO24" s="1191">
        <f>SUM(AK24:AN24)</f>
        <v>16677</v>
      </c>
      <c r="AP24" s="1190">
        <f>AP91</f>
        <v>4020.3100000000004</v>
      </c>
      <c r="AQ24" s="1190">
        <f>AQ91</f>
        <v>4530.5</v>
      </c>
      <c r="AR24" s="1190">
        <f>AR91</f>
        <v>4466.2000000000007</v>
      </c>
      <c r="AS24" s="1190">
        <f>AS91</f>
        <v>4717</v>
      </c>
      <c r="AT24" s="1191">
        <f>SUM(AP24:AS24)</f>
        <v>17734.010000000002</v>
      </c>
      <c r="AU24" s="1190">
        <f>AU91</f>
        <v>4120.8177500000002</v>
      </c>
      <c r="AV24" s="1190">
        <f>AV91</f>
        <v>4467.0730000000003</v>
      </c>
      <c r="AW24" s="1190">
        <f>AW91</f>
        <v>4225.0252</v>
      </c>
      <c r="AX24" s="1190">
        <f>AX91</f>
        <v>4698.1319999999996</v>
      </c>
      <c r="AY24" s="1191">
        <f>SUM(AU24:AX24)</f>
        <v>17511.04795</v>
      </c>
      <c r="AZ24" s="1190">
        <f>AZ91</f>
        <v>4192.9320606250003</v>
      </c>
      <c r="BA24" s="1190">
        <f>BA91</f>
        <v>4679.2589675000008</v>
      </c>
      <c r="BB24" s="1190">
        <f>BB91</f>
        <v>4489.0892750000003</v>
      </c>
      <c r="BC24" s="1190">
        <f>BC91</f>
        <v>4862.5666199999996</v>
      </c>
      <c r="BD24" s="1191">
        <f>SUM(AZ24:BC24)</f>
        <v>18223.846923125002</v>
      </c>
      <c r="BE24" s="2856"/>
      <c r="BF24" s="2856"/>
      <c r="BG24" s="2856"/>
      <c r="BH24" s="2856"/>
      <c r="BI24" s="2918"/>
      <c r="BJ24" s="2925"/>
      <c r="BK24" s="2925"/>
      <c r="BL24" s="2925"/>
      <c r="BM24" s="2925"/>
      <c r="BN24" s="2918"/>
      <c r="BO24" s="2925"/>
      <c r="BP24" s="2925"/>
      <c r="BQ24" s="2925"/>
      <c r="BR24" s="2925"/>
      <c r="BS24" s="2918"/>
      <c r="BT24" s="1343"/>
      <c r="BU24" s="1191"/>
      <c r="BV24" s="1191"/>
      <c r="BW24" s="1191">
        <f>SUM(AM24:AN24,AP24:AQ24)</f>
        <v>17342.810000000001</v>
      </c>
      <c r="BX24" s="1191">
        <f>SUM(AR24:AS24,AU24:AV24)</f>
        <v>17771.090750000003</v>
      </c>
      <c r="BY24" s="1191">
        <f>SUM(AW24:AX24,AZ24:BA24)</f>
        <v>17795.348228125</v>
      </c>
      <c r="BZ24" s="1191">
        <f>SUM(BB24:BC24,BE24:BF24)</f>
        <v>9351.6558949999999</v>
      </c>
      <c r="CA24" s="1191"/>
      <c r="CB24" s="1191"/>
    </row>
    <row r="25" spans="1:83">
      <c r="A25" s="986" t="s">
        <v>503</v>
      </c>
      <c r="B25" s="1345"/>
      <c r="C25" s="1345"/>
      <c r="D25" s="1345"/>
      <c r="E25" s="1345"/>
      <c r="F25" s="1346"/>
      <c r="G25" s="1345"/>
      <c r="H25" s="1345"/>
      <c r="I25" s="1345"/>
      <c r="J25" s="1345"/>
      <c r="K25" s="1346"/>
      <c r="L25" s="1345"/>
      <c r="M25" s="1345"/>
      <c r="N25" s="1345"/>
      <c r="O25" s="1345"/>
      <c r="P25" s="1346"/>
      <c r="Q25" s="1345"/>
      <c r="R25" s="1345"/>
      <c r="S25" s="1345"/>
      <c r="T25" s="1345"/>
      <c r="U25" s="1346"/>
      <c r="V25" s="1345"/>
      <c r="W25" s="1345"/>
      <c r="X25" s="1345"/>
      <c r="Y25" s="1345"/>
      <c r="Z25" s="1346"/>
      <c r="AA25" s="1345"/>
      <c r="AB25" s="1345"/>
      <c r="AC25" s="1345"/>
      <c r="AD25" s="1345"/>
      <c r="AE25" s="1191"/>
      <c r="AF25" s="1190"/>
      <c r="AG25" s="1190"/>
      <c r="AH25" s="1190"/>
      <c r="AI25" s="1190"/>
      <c r="AJ25" s="1191"/>
      <c r="AK25" s="1190">
        <f>AK94</f>
        <v>1150</v>
      </c>
      <c r="AL25" s="1190">
        <f>AL94</f>
        <v>1180</v>
      </c>
      <c r="AM25" s="1190">
        <f>AM94</f>
        <v>1120</v>
      </c>
      <c r="AN25" s="1190">
        <f>AN94</f>
        <v>1250</v>
      </c>
      <c r="AO25" s="1191">
        <f>SUM(AK25:AN25)</f>
        <v>4700</v>
      </c>
      <c r="AP25" s="1190">
        <f>AP94</f>
        <v>1299.4999999999998</v>
      </c>
      <c r="AQ25" s="1190">
        <f>AQ94</f>
        <v>1298</v>
      </c>
      <c r="AR25" s="1190">
        <f>AR94</f>
        <v>1198.4000000000001</v>
      </c>
      <c r="AS25" s="1190">
        <f>AS94</f>
        <v>1237.5</v>
      </c>
      <c r="AT25" s="1191">
        <f>SUM(AP25:AS25)</f>
        <v>5033.3999999999996</v>
      </c>
      <c r="AU25" s="1190">
        <f>AU94</f>
        <v>1416.4549999999999</v>
      </c>
      <c r="AV25" s="1190">
        <f>AV94</f>
        <v>1427.8000000000002</v>
      </c>
      <c r="AW25" s="1190">
        <f>AW94</f>
        <v>1330.2240000000002</v>
      </c>
      <c r="AX25" s="1190">
        <f>AX94</f>
        <v>1386.0000000000002</v>
      </c>
      <c r="AY25" s="1191">
        <f>SUM(AU25:AX25)</f>
        <v>5560.4790000000003</v>
      </c>
      <c r="AZ25" s="1190">
        <f>AZ94</f>
        <v>1430.6195499999999</v>
      </c>
      <c r="BA25" s="1190">
        <f>BA94</f>
        <v>1370.6880000000001</v>
      </c>
      <c r="BB25" s="1190">
        <f>BB94</f>
        <v>1316.9217600000002</v>
      </c>
      <c r="BC25" s="1190">
        <f>BC94</f>
        <v>1344.42</v>
      </c>
      <c r="BD25" s="1191">
        <f>SUM(AZ25:BC25)</f>
        <v>5462.6493100000007</v>
      </c>
      <c r="BE25" s="2856"/>
      <c r="BF25" s="2856"/>
      <c r="BG25" s="2856"/>
      <c r="BH25" s="2856"/>
      <c r="BI25" s="2918"/>
      <c r="BJ25" s="2925"/>
      <c r="BK25" s="2925"/>
      <c r="BL25" s="2925"/>
      <c r="BM25" s="2925"/>
      <c r="BN25" s="2918"/>
      <c r="BO25" s="2925"/>
      <c r="BP25" s="2925"/>
      <c r="BQ25" s="2925"/>
      <c r="BR25" s="2925"/>
      <c r="BS25" s="2918"/>
      <c r="BT25" s="1343"/>
      <c r="BU25" s="1191"/>
      <c r="BV25" s="1191"/>
      <c r="BW25" s="1191">
        <f>SUM(AM25:AN25,AP25:AQ25)</f>
        <v>4967.5</v>
      </c>
      <c r="BX25" s="1191">
        <f>SUM(AR25:AS25,AU25:AV25)</f>
        <v>5280.1550000000007</v>
      </c>
      <c r="BY25" s="1191">
        <f>SUM(AW25:AX25,AZ25:BA25)</f>
        <v>5517.5315499999997</v>
      </c>
      <c r="BZ25" s="1191">
        <f>SUM(BB25:BC25,BE25:BF25)</f>
        <v>2661.3417600000002</v>
      </c>
      <c r="CA25" s="1191"/>
      <c r="CB25" s="1191"/>
    </row>
    <row r="26" spans="1:83">
      <c r="A26" s="986" t="s">
        <v>504</v>
      </c>
      <c r="B26" s="1345"/>
      <c r="C26" s="1345"/>
      <c r="D26" s="1345"/>
      <c r="E26" s="1345"/>
      <c r="F26" s="1346"/>
      <c r="G26" s="1345"/>
      <c r="H26" s="1345"/>
      <c r="I26" s="1345"/>
      <c r="J26" s="1345"/>
      <c r="K26" s="1346"/>
      <c r="L26" s="1345"/>
      <c r="M26" s="1345"/>
      <c r="N26" s="1345"/>
      <c r="O26" s="1345"/>
      <c r="P26" s="1346"/>
      <c r="Q26" s="1345"/>
      <c r="R26" s="1345"/>
      <c r="S26" s="1345"/>
      <c r="T26" s="1345"/>
      <c r="U26" s="1346"/>
      <c r="V26" s="1345"/>
      <c r="W26" s="1345"/>
      <c r="X26" s="1345"/>
      <c r="Y26" s="1345"/>
      <c r="Z26" s="1346"/>
      <c r="AA26" s="1345"/>
      <c r="AB26" s="1345"/>
      <c r="AC26" s="1345"/>
      <c r="AD26" s="1345"/>
      <c r="AE26" s="1346"/>
      <c r="AF26" s="1190"/>
      <c r="AG26" s="1190"/>
      <c r="AH26" s="1190"/>
      <c r="AI26" s="1190"/>
      <c r="AJ26" s="1191"/>
      <c r="AK26" s="1190">
        <f>AK97</f>
        <v>72</v>
      </c>
      <c r="AL26" s="1190">
        <f>AL97</f>
        <v>85</v>
      </c>
      <c r="AM26" s="1190">
        <f>AM97</f>
        <v>113</v>
      </c>
      <c r="AN26" s="1190">
        <f>AN97</f>
        <v>144.5</v>
      </c>
      <c r="AO26" s="1191">
        <f>SUM(AK26:AN26)</f>
        <v>414.5</v>
      </c>
      <c r="AP26" s="1190">
        <f>AP97</f>
        <v>165.6</v>
      </c>
      <c r="AQ26" s="1190">
        <f>AQ97</f>
        <v>178.5</v>
      </c>
      <c r="AR26" s="1190">
        <f>AR97</f>
        <v>220.35</v>
      </c>
      <c r="AS26" s="1190">
        <f>AS97</f>
        <v>325.125</v>
      </c>
      <c r="AT26" s="1191">
        <f>SUM(AP26:AS26)</f>
        <v>889.57500000000005</v>
      </c>
      <c r="AU26" s="1190">
        <f>AU97</f>
        <v>372.59999999999997</v>
      </c>
      <c r="AV26" s="1190">
        <f>AV97</f>
        <v>421.26000000000005</v>
      </c>
      <c r="AW26" s="1190">
        <f>AW97</f>
        <v>462.73500000000001</v>
      </c>
      <c r="AX26" s="1190">
        <f>AX97</f>
        <v>656.75250000000005</v>
      </c>
      <c r="AY26" s="1191">
        <f>SUM(AU26:AX26)</f>
        <v>1913.3475000000001</v>
      </c>
      <c r="AZ26" s="1190">
        <f>AZ97</f>
        <v>804.81600000000003</v>
      </c>
      <c r="BA26" s="1190">
        <f>BA97</f>
        <v>813.0318000000002</v>
      </c>
      <c r="BB26" s="1190">
        <f>BB97</f>
        <v>893.07855000000006</v>
      </c>
      <c r="BC26" s="1190">
        <f>BC97</f>
        <v>1293.8024250000001</v>
      </c>
      <c r="BD26" s="1191">
        <f>SUM(AZ26:BC26)</f>
        <v>3804.7287750000005</v>
      </c>
      <c r="BE26" s="2856"/>
      <c r="BF26" s="2856"/>
      <c r="BG26" s="2856"/>
      <c r="BH26" s="2856"/>
      <c r="BI26" s="2918"/>
      <c r="BJ26" s="2925"/>
      <c r="BK26" s="2925"/>
      <c r="BL26" s="2925"/>
      <c r="BM26" s="2925"/>
      <c r="BN26" s="2918"/>
      <c r="BO26" s="2925"/>
      <c r="BP26" s="2925"/>
      <c r="BQ26" s="2925"/>
      <c r="BR26" s="2925"/>
      <c r="BS26" s="2918"/>
      <c r="BT26" s="1343"/>
      <c r="BU26" s="1191"/>
      <c r="BV26" s="1191"/>
      <c r="BW26" s="1191">
        <f>SUM(AM26:AN26,AP26:AQ26)</f>
        <v>601.6</v>
      </c>
      <c r="BX26" s="1191">
        <f>SUM(AR26:AS26,AU26:AV26)</f>
        <v>1339.335</v>
      </c>
      <c r="BY26" s="1191">
        <f>SUM(AW26:AX26,AZ26:BA26)</f>
        <v>2737.3353000000006</v>
      </c>
      <c r="BZ26" s="1191">
        <f>SUM(BB26:BC26,BE26:BF26)</f>
        <v>2186.880975</v>
      </c>
      <c r="CA26" s="1191"/>
      <c r="CB26" s="1191"/>
    </row>
    <row r="27" spans="1:83" ht="13.5" thickBot="1">
      <c r="A27" s="1175" t="s">
        <v>280</v>
      </c>
      <c r="B27" s="1345"/>
      <c r="C27" s="1345"/>
      <c r="D27" s="1345"/>
      <c r="E27" s="1345"/>
      <c r="F27" s="1346"/>
      <c r="G27" s="1345"/>
      <c r="H27" s="1345"/>
      <c r="I27" s="1345"/>
      <c r="J27" s="1345"/>
      <c r="K27" s="1346"/>
      <c r="L27" s="1345"/>
      <c r="M27" s="1345"/>
      <c r="N27" s="1345"/>
      <c r="O27" s="1345"/>
      <c r="P27" s="1346"/>
      <c r="Q27" s="1345"/>
      <c r="R27" s="1345"/>
      <c r="S27" s="1345"/>
      <c r="T27" s="1345"/>
      <c r="U27" s="1346"/>
      <c r="V27" s="1345"/>
      <c r="W27" s="1345"/>
      <c r="X27" s="1345"/>
      <c r="Y27" s="1345"/>
      <c r="Z27" s="1346"/>
      <c r="AA27" s="1345"/>
      <c r="AB27" s="1345"/>
      <c r="AC27" s="1345"/>
      <c r="AD27" s="1345"/>
      <c r="AE27" s="1346"/>
      <c r="AF27" s="1347"/>
      <c r="AG27" s="1347"/>
      <c r="AH27" s="1347"/>
      <c r="AI27" s="1347"/>
      <c r="AJ27" s="1346"/>
      <c r="AK27" s="1190">
        <f>AK28-AK24-AK25-AK26</f>
        <v>2</v>
      </c>
      <c r="AL27" s="1190">
        <f>AL28-AL24-AL25-AL26</f>
        <v>6</v>
      </c>
      <c r="AM27" s="1190">
        <f>AM28-AM24-AM25-AM26</f>
        <v>-21</v>
      </c>
      <c r="AN27" s="1190">
        <f>AN28-AN24-AN25-AN26</f>
        <v>-46.5</v>
      </c>
      <c r="AO27" s="1191">
        <f>SUM(AK27:AN27)</f>
        <v>-59.5</v>
      </c>
      <c r="AP27" s="1190">
        <f>AP28-AP24-AP25-AP26</f>
        <v>-10.410000000000167</v>
      </c>
      <c r="AQ27" s="1190">
        <f>AQ28-AQ24-AQ25-AQ26</f>
        <v>34</v>
      </c>
      <c r="AR27" s="1190">
        <f>AR28-AR24-AR25-AR26</f>
        <v>18.049999999999187</v>
      </c>
      <c r="AS27" s="1190">
        <f>AS28-AS24-AS25-AS26</f>
        <v>16.375</v>
      </c>
      <c r="AT27" s="1191">
        <f>SUM(AP27:AS27)</f>
        <v>58.01499999999902</v>
      </c>
      <c r="AU27" s="1190">
        <f>AU28-SUM(AU24:AU26)</f>
        <v>-17.872750000000451</v>
      </c>
      <c r="AV27" s="1190">
        <f>AV28-SUM(AV24:AV26)</f>
        <v>26.86699999999928</v>
      </c>
      <c r="AW27" s="1190">
        <f>AW28-SUM(AW24:AW26)</f>
        <v>78.015800000000127</v>
      </c>
      <c r="AX27" s="1190">
        <f>AX28-SUM(AX24:AX26)</f>
        <v>-29.884500000000116</v>
      </c>
      <c r="AY27" s="1191">
        <f>SUM(AU27:AX27)</f>
        <v>57.125549999998839</v>
      </c>
      <c r="AZ27" s="1190">
        <f>AZ28-SUM(AZ24:AZ26)</f>
        <v>-46.367610624999543</v>
      </c>
      <c r="BA27" s="1190">
        <f>BA28-SUM(BA24:BA26)</f>
        <v>-1.9787675000006857</v>
      </c>
      <c r="BB27" s="1190">
        <f>BB28-SUM(BB24:BB26)</f>
        <v>63.910414999999375</v>
      </c>
      <c r="BC27" s="1190">
        <f>BC28-SUM(BC24:BC26)</f>
        <v>-66.789044999999533</v>
      </c>
      <c r="BD27" s="1191">
        <f>SUM(AZ27:BC27)</f>
        <v>-51.225008125000386</v>
      </c>
      <c r="BE27" s="2856"/>
      <c r="BF27" s="2856"/>
      <c r="BG27" s="2856"/>
      <c r="BH27" s="2856"/>
      <c r="BI27" s="2918"/>
      <c r="BJ27" s="2925"/>
      <c r="BK27" s="2925"/>
      <c r="BL27" s="2925"/>
      <c r="BM27" s="2925"/>
      <c r="BN27" s="2918"/>
      <c r="BO27" s="2925"/>
      <c r="BP27" s="2925"/>
      <c r="BQ27" s="2925"/>
      <c r="BR27" s="2925"/>
      <c r="BS27" s="2918"/>
      <c r="BT27" s="1343"/>
      <c r="BU27" s="1191"/>
      <c r="BV27" s="1191"/>
      <c r="BW27" s="1191">
        <f>SUM(AM27:AN27,AP27:AQ27)</f>
        <v>-43.910000000000167</v>
      </c>
      <c r="BX27" s="1191">
        <f>SUM(AR27:AS27,AU27:AV27)</f>
        <v>43.419249999998016</v>
      </c>
      <c r="BY27" s="1191">
        <f>SUM(AW27:AX27,AZ27:BA27)</f>
        <v>-0.21507812500021828</v>
      </c>
      <c r="BZ27" s="1191">
        <f>SUM(BB27:BC27,BE27:BF27)</f>
        <v>-2.8786300000001575</v>
      </c>
      <c r="CA27" s="1191"/>
      <c r="CB27" s="1191"/>
    </row>
    <row r="28" spans="1:83">
      <c r="A28" s="1477" t="s">
        <v>1045</v>
      </c>
      <c r="B28" s="1478"/>
      <c r="C28" s="1478"/>
      <c r="D28" s="1478"/>
      <c r="E28" s="1478"/>
      <c r="F28" s="1479"/>
      <c r="G28" s="1478"/>
      <c r="H28" s="1478"/>
      <c r="I28" s="1478"/>
      <c r="J28" s="1478"/>
      <c r="K28" s="1479"/>
      <c r="L28" s="1478"/>
      <c r="M28" s="1478"/>
      <c r="N28" s="1478"/>
      <c r="O28" s="1478"/>
      <c r="P28" s="1479"/>
      <c r="Q28" s="1478"/>
      <c r="R28" s="1478"/>
      <c r="S28" s="1478"/>
      <c r="T28" s="1478"/>
      <c r="U28" s="1479"/>
      <c r="V28" s="1478"/>
      <c r="W28" s="1478"/>
      <c r="X28" s="1478"/>
      <c r="Y28" s="1478"/>
      <c r="Z28" s="1479"/>
      <c r="AA28" s="1478"/>
      <c r="AB28" s="1478"/>
      <c r="AC28" s="1478"/>
      <c r="AD28" s="1478"/>
      <c r="AE28" s="1479"/>
      <c r="AF28" s="1478"/>
      <c r="AG28" s="1478"/>
      <c r="AH28" s="1478"/>
      <c r="AI28" s="1478"/>
      <c r="AJ28" s="1479">
        <f>'Rev Overview'!BJ17</f>
        <v>19747</v>
      </c>
      <c r="AK28" s="1478">
        <f>'Rev Overview'!BK17</f>
        <v>4859</v>
      </c>
      <c r="AL28" s="1478">
        <f>'Rev Overview'!BL17</f>
        <v>5521</v>
      </c>
      <c r="AM28" s="1478">
        <f>'Rev Overview'!BM17</f>
        <v>5287</v>
      </c>
      <c r="AN28" s="1478">
        <f>'Rev Overview'!BN17</f>
        <v>6065</v>
      </c>
      <c r="AO28" s="1479">
        <f>SUM(AK28:AN28)</f>
        <v>21732</v>
      </c>
      <c r="AP28" s="1478">
        <f>'Rev Overview'!BP17</f>
        <v>5475</v>
      </c>
      <c r="AQ28" s="1478">
        <f>'Rev Overview'!BQ17</f>
        <v>6041</v>
      </c>
      <c r="AR28" s="1478">
        <f>'Rev Overview'!BR17</f>
        <v>5903</v>
      </c>
      <c r="AS28" s="1478">
        <f>'Rev Overview'!BS17</f>
        <v>6296</v>
      </c>
      <c r="AT28" s="1479">
        <f>SUM(AP28:AS28)</f>
        <v>23715</v>
      </c>
      <c r="AU28" s="1478">
        <v>5892</v>
      </c>
      <c r="AV28" s="1478">
        <v>6343</v>
      </c>
      <c r="AW28" s="1478">
        <v>6096</v>
      </c>
      <c r="AX28" s="1478">
        <v>6711</v>
      </c>
      <c r="AY28" s="1479">
        <v>25042</v>
      </c>
      <c r="AZ28" s="1478">
        <v>6382</v>
      </c>
      <c r="BA28" s="1478">
        <v>6861</v>
      </c>
      <c r="BB28" s="1478">
        <v>6763</v>
      </c>
      <c r="BC28" s="1478">
        <v>7434</v>
      </c>
      <c r="BD28" s="1479">
        <v>27440</v>
      </c>
      <c r="BE28" s="2857"/>
      <c r="BF28" s="2857"/>
      <c r="BG28" s="2857"/>
      <c r="BH28" s="2857"/>
      <c r="BI28" s="2926"/>
      <c r="BJ28" s="2927"/>
      <c r="BK28" s="2927"/>
      <c r="BL28" s="2927"/>
      <c r="BM28" s="2927"/>
      <c r="BN28" s="2926"/>
      <c r="BO28" s="2927"/>
      <c r="BP28" s="2927"/>
      <c r="BQ28" s="2927"/>
      <c r="BR28" s="2927"/>
      <c r="BS28" s="2926"/>
      <c r="BT28" s="1343"/>
      <c r="BU28" s="1479"/>
      <c r="BV28" s="1479"/>
      <c r="BW28" s="1479">
        <f>SUM(AM28:AN28,AP28:AQ28)</f>
        <v>22868</v>
      </c>
      <c r="BX28" s="1479">
        <f>SUM(AR28:AS28,AU28:AV28)</f>
        <v>24434</v>
      </c>
      <c r="BY28" s="1479">
        <f>SUM(AW28:AX28,AZ28:BA28)</f>
        <v>26050</v>
      </c>
      <c r="BZ28" s="1479">
        <f>SUM(BB28:BC28,BE28:BF28)</f>
        <v>14197</v>
      </c>
      <c r="CA28" s="1479"/>
      <c r="CB28" s="1479"/>
    </row>
    <row r="29" spans="1:83" ht="13.5" thickBot="1">
      <c r="A29" s="1480" t="s">
        <v>163</v>
      </c>
      <c r="B29" s="1481"/>
      <c r="C29" s="1481"/>
      <c r="D29" s="1481"/>
      <c r="E29" s="1481"/>
      <c r="F29" s="1482"/>
      <c r="G29" s="1481"/>
      <c r="H29" s="1481"/>
      <c r="I29" s="1481"/>
      <c r="J29" s="1481"/>
      <c r="K29" s="1482"/>
      <c r="L29" s="1481"/>
      <c r="M29" s="1481"/>
      <c r="N29" s="1481"/>
      <c r="O29" s="1481"/>
      <c r="P29" s="1482"/>
      <c r="Q29" s="1481"/>
      <c r="R29" s="1481"/>
      <c r="S29" s="1481"/>
      <c r="T29" s="1481"/>
      <c r="U29" s="1482"/>
      <c r="V29" s="1481"/>
      <c r="W29" s="1481"/>
      <c r="X29" s="1481"/>
      <c r="Y29" s="1481"/>
      <c r="Z29" s="1482"/>
      <c r="AA29" s="1481"/>
      <c r="AB29" s="1481"/>
      <c r="AC29" s="1481"/>
      <c r="AD29" s="1481"/>
      <c r="AE29" s="1482"/>
      <c r="AF29" s="1483"/>
      <c r="AG29" s="1483"/>
      <c r="AH29" s="1483"/>
      <c r="AI29" s="1483"/>
      <c r="AJ29" s="1482"/>
      <c r="AK29" s="1483"/>
      <c r="AL29" s="1483"/>
      <c r="AM29" s="1483"/>
      <c r="AN29" s="1483"/>
      <c r="AO29" s="1486">
        <f>IF(ISERROR(AO28/AJ28-1),,(AO28/AJ28-1))</f>
        <v>0.10052159821745077</v>
      </c>
      <c r="AP29" s="1485">
        <f t="shared" ref="AP29:BD29" si="38">IFERROR(AP28/AK28-1,"")</f>
        <v>0.12677505659600752</v>
      </c>
      <c r="AQ29" s="1485">
        <f t="shared" si="38"/>
        <v>9.4185835899293524E-2</v>
      </c>
      <c r="AR29" s="1485">
        <f t="shared" si="38"/>
        <v>0.11651219973519944</v>
      </c>
      <c r="AS29" s="1485">
        <f t="shared" si="38"/>
        <v>3.8087386644682697E-2</v>
      </c>
      <c r="AT29" s="1486">
        <f t="shared" si="38"/>
        <v>9.1247929320817267E-2</v>
      </c>
      <c r="AU29" s="1485">
        <f t="shared" si="38"/>
        <v>7.61643835616439E-2</v>
      </c>
      <c r="AV29" s="1485">
        <f t="shared" si="38"/>
        <v>4.9991723224631635E-2</v>
      </c>
      <c r="AW29" s="1485">
        <f t="shared" si="38"/>
        <v>3.2695239708622648E-2</v>
      </c>
      <c r="AX29" s="1485">
        <f t="shared" si="38"/>
        <v>6.5914866581956888E-2</v>
      </c>
      <c r="AY29" s="1486">
        <f t="shared" si="38"/>
        <v>5.5956145899219933E-2</v>
      </c>
      <c r="AZ29" s="1485">
        <f t="shared" si="38"/>
        <v>8.3163611676849936E-2</v>
      </c>
      <c r="BA29" s="1485">
        <f t="shared" si="38"/>
        <v>8.1664827368753024E-2</v>
      </c>
      <c r="BB29" s="1485">
        <f t="shared" si="38"/>
        <v>0.10941601049868765</v>
      </c>
      <c r="BC29" s="1485">
        <f t="shared" si="38"/>
        <v>0.10773357174787668</v>
      </c>
      <c r="BD29" s="1486">
        <f t="shared" si="38"/>
        <v>9.5759124670553364E-2</v>
      </c>
      <c r="BE29" s="2858"/>
      <c r="BF29" s="2858"/>
      <c r="BG29" s="2858"/>
      <c r="BH29" s="2858"/>
      <c r="BI29" s="2928"/>
      <c r="BJ29" s="2929"/>
      <c r="BK29" s="2929"/>
      <c r="BL29" s="2929"/>
      <c r="BM29" s="2929"/>
      <c r="BN29" s="2928"/>
      <c r="BO29" s="2929"/>
      <c r="BP29" s="2929"/>
      <c r="BQ29" s="2929"/>
      <c r="BR29" s="2929"/>
      <c r="BS29" s="2928"/>
      <c r="BT29" s="1343"/>
      <c r="BU29" s="1486"/>
      <c r="BV29" s="1486"/>
      <c r="BW29" s="1486"/>
      <c r="BX29" s="1486">
        <f>BX28/BW28-1</f>
        <v>6.8479972013293589E-2</v>
      </c>
      <c r="BY29" s="1486">
        <f>BY28/BX28-1</f>
        <v>6.6137349594826977E-2</v>
      </c>
      <c r="BZ29" s="1486">
        <f>BZ28/BY28-1</f>
        <v>-0.45500959692898268</v>
      </c>
      <c r="CA29" s="1486"/>
      <c r="CB29" s="1486"/>
    </row>
    <row r="30" spans="1:83">
      <c r="B30" s="1345"/>
      <c r="C30" s="1345"/>
      <c r="D30" s="1345"/>
      <c r="E30" s="1345"/>
      <c r="F30" s="1346"/>
      <c r="G30" s="1345"/>
      <c r="H30" s="1345"/>
      <c r="I30" s="1345"/>
      <c r="J30" s="1345"/>
      <c r="K30" s="1346"/>
      <c r="L30" s="1345"/>
      <c r="M30" s="1345"/>
      <c r="N30" s="1345"/>
      <c r="O30" s="1345"/>
      <c r="P30" s="1346"/>
      <c r="Q30" s="1345"/>
      <c r="R30" s="1345"/>
      <c r="S30" s="1345"/>
      <c r="T30" s="1345"/>
      <c r="U30" s="1346"/>
      <c r="V30" s="1345"/>
      <c r="W30" s="1345"/>
      <c r="X30" s="1345"/>
      <c r="Y30" s="1345"/>
      <c r="Z30" s="1346"/>
      <c r="AA30" s="1345"/>
      <c r="AB30" s="1345"/>
      <c r="AC30" s="1345"/>
      <c r="AD30" s="1345"/>
      <c r="AE30" s="1346"/>
      <c r="AF30" s="1347"/>
      <c r="AG30" s="1347"/>
      <c r="AH30" s="1347"/>
      <c r="AI30" s="1347"/>
      <c r="AJ30" s="1346"/>
      <c r="AK30" s="1347"/>
      <c r="AL30" s="1347"/>
      <c r="AM30" s="1347"/>
      <c r="AN30" s="1347"/>
      <c r="AO30" s="1344"/>
      <c r="AP30" s="1347"/>
      <c r="AQ30" s="1347"/>
      <c r="AR30" s="1347"/>
      <c r="AS30" s="1347"/>
      <c r="AT30" s="1346"/>
      <c r="AU30" s="1347"/>
      <c r="AV30" s="1347"/>
      <c r="AW30" s="1347"/>
      <c r="AX30" s="1347"/>
      <c r="AY30" s="1346"/>
      <c r="AZ30" s="1347"/>
      <c r="BA30" s="1347"/>
      <c r="BB30" s="1347"/>
      <c r="BC30" s="1347"/>
      <c r="BD30" s="1344"/>
      <c r="BE30" s="2860"/>
      <c r="BF30" s="2860"/>
      <c r="BG30" s="2860"/>
      <c r="BH30" s="2860"/>
      <c r="BI30" s="2932"/>
      <c r="BJ30" s="2933"/>
      <c r="BK30" s="2933"/>
      <c r="BL30" s="2933"/>
      <c r="BM30" s="2933"/>
      <c r="BN30" s="2932"/>
      <c r="BO30" s="2933"/>
      <c r="BP30" s="2933"/>
      <c r="BQ30" s="2933"/>
      <c r="BR30" s="2933"/>
      <c r="BS30" s="2932"/>
      <c r="BT30" s="1343"/>
      <c r="BU30" s="1344"/>
      <c r="BV30" s="1344"/>
      <c r="BW30" s="1344"/>
      <c r="BX30" s="1344"/>
      <c r="BY30" s="1344"/>
      <c r="BZ30" s="1344"/>
      <c r="CA30" s="1344"/>
      <c r="CB30" s="1344"/>
    </row>
    <row r="31" spans="1:83">
      <c r="A31" s="1050" t="s">
        <v>1047</v>
      </c>
      <c r="B31" s="1051"/>
      <c r="C31" s="1051"/>
      <c r="D31" s="1051"/>
      <c r="E31" s="1051"/>
      <c r="F31" s="1052"/>
      <c r="G31" s="1051"/>
      <c r="H31" s="1051"/>
      <c r="I31" s="1051"/>
      <c r="J31" s="1051"/>
      <c r="K31" s="1052"/>
      <c r="L31" s="1051"/>
      <c r="M31" s="1051"/>
      <c r="N31" s="1051"/>
      <c r="O31" s="1051"/>
      <c r="P31" s="1052"/>
      <c r="Q31" s="1051"/>
      <c r="R31" s="1051"/>
      <c r="S31" s="1051"/>
      <c r="T31" s="1051"/>
      <c r="U31" s="1052"/>
      <c r="V31" s="1051"/>
      <c r="W31" s="1051"/>
      <c r="X31" s="1051"/>
      <c r="Y31" s="1051"/>
      <c r="Z31" s="1052"/>
      <c r="AA31" s="1051"/>
      <c r="AB31" s="1051"/>
      <c r="AC31" s="1051"/>
      <c r="AD31" s="1051"/>
      <c r="AE31" s="1052"/>
      <c r="AF31" s="1053"/>
      <c r="AG31" s="1051"/>
      <c r="AH31" s="1051"/>
      <c r="AI31" s="1051"/>
      <c r="AJ31" s="1052"/>
      <c r="AK31" s="1054"/>
      <c r="AL31" s="1051"/>
      <c r="AM31" s="1051"/>
      <c r="AN31" s="1051"/>
      <c r="AO31" s="1052"/>
      <c r="AP31" s="1054"/>
      <c r="AQ31" s="1051"/>
      <c r="AR31" s="1051"/>
      <c r="AS31" s="1051"/>
      <c r="AT31" s="1052"/>
      <c r="AU31" s="1054"/>
      <c r="AV31" s="1051"/>
      <c r="AW31" s="1051"/>
      <c r="AX31" s="1051"/>
      <c r="AY31" s="1052"/>
      <c r="AZ31" s="1054"/>
      <c r="BA31" s="1051"/>
      <c r="BB31" s="1051"/>
      <c r="BC31" s="1051"/>
      <c r="BD31" s="1052"/>
      <c r="BE31" s="2851"/>
      <c r="BF31" s="2852"/>
      <c r="BG31" s="2852"/>
      <c r="BH31" s="2852"/>
      <c r="BI31" s="2915"/>
      <c r="BJ31" s="2916"/>
      <c r="BK31" s="2917"/>
      <c r="BL31" s="2917"/>
      <c r="BM31" s="2917"/>
      <c r="BN31" s="2915"/>
      <c r="BO31" s="2916"/>
      <c r="BP31" s="2917"/>
      <c r="BQ31" s="2917"/>
      <c r="BR31" s="2917"/>
      <c r="BS31" s="2915"/>
      <c r="BT31" s="1343"/>
      <c r="BU31" s="1052"/>
      <c r="BV31" s="1052"/>
      <c r="BW31" s="1052"/>
      <c r="BX31" s="1052"/>
      <c r="BY31" s="1052"/>
      <c r="BZ31" s="1052"/>
      <c r="CA31" s="1052"/>
      <c r="CB31" s="1052"/>
    </row>
    <row r="32" spans="1:83">
      <c r="A32" s="1175" t="s">
        <v>1066</v>
      </c>
      <c r="B32" s="1345"/>
      <c r="C32" s="1345"/>
      <c r="D32" s="1345"/>
      <c r="E32" s="1345"/>
      <c r="F32" s="1346"/>
      <c r="G32" s="1345"/>
      <c r="H32" s="1345"/>
      <c r="I32" s="1345"/>
      <c r="J32" s="1345"/>
      <c r="K32" s="1346"/>
      <c r="L32" s="1345"/>
      <c r="M32" s="1345"/>
      <c r="N32" s="1345"/>
      <c r="O32" s="1345"/>
      <c r="P32" s="1346"/>
      <c r="Q32" s="1345"/>
      <c r="R32" s="1345"/>
      <c r="S32" s="1345"/>
      <c r="T32" s="1345"/>
      <c r="U32" s="1346"/>
      <c r="V32" s="1345"/>
      <c r="W32" s="1345"/>
      <c r="X32" s="1345"/>
      <c r="Y32" s="1345"/>
      <c r="Z32" s="1346"/>
      <c r="AA32" s="1345"/>
      <c r="AB32" s="1345"/>
      <c r="AC32" s="1345"/>
      <c r="AD32" s="1345"/>
      <c r="AE32" s="1346"/>
      <c r="AF32" s="1347"/>
      <c r="AG32" s="1347"/>
      <c r="AH32" s="1347"/>
      <c r="AI32" s="1347"/>
      <c r="AJ32" s="1346"/>
      <c r="AK32" s="1190">
        <f>AK107</f>
        <v>3105.9999999999986</v>
      </c>
      <c r="AL32" s="1190">
        <f>AL107</f>
        <v>3667.0000000000027</v>
      </c>
      <c r="AM32" s="1190">
        <f>AM107</f>
        <v>3150.9999999999964</v>
      </c>
      <c r="AN32" s="1190">
        <f>AN107</f>
        <v>3100</v>
      </c>
      <c r="AO32" s="1191">
        <f t="shared" ref="AO32:AO40" si="39">SUM(AK32:AN32)</f>
        <v>13023.999999999998</v>
      </c>
      <c r="AP32" s="1190">
        <f>AP107</f>
        <v>3097.0000000000027</v>
      </c>
      <c r="AQ32" s="1190">
        <f>AQ107</f>
        <v>3248.0000000000009</v>
      </c>
      <c r="AR32" s="1190">
        <f>AR107</f>
        <v>2513.9999999999982</v>
      </c>
      <c r="AS32" s="1190">
        <f>AS107</f>
        <v>2400.9999999999982</v>
      </c>
      <c r="AT32" s="1191">
        <f t="shared" ref="AT32:AT40" si="40">SUM(AP32:AS32)</f>
        <v>11260</v>
      </c>
      <c r="AU32" s="1190">
        <f>AU107</f>
        <v>2923.4386473375312</v>
      </c>
      <c r="AV32" s="1190">
        <f>AV107</f>
        <v>3094.6230728392748</v>
      </c>
      <c r="AW32" s="1190">
        <f>AW107</f>
        <v>2507.894229484998</v>
      </c>
      <c r="AX32" s="1190">
        <f>AX107</f>
        <v>2736.5645524921138</v>
      </c>
      <c r="AY32" s="1191">
        <f t="shared" ref="AY32:AY38" si="41">SUM(AU32:AX32)</f>
        <v>11262.520502153919</v>
      </c>
      <c r="AZ32" s="1190">
        <f>AZ107</f>
        <v>2896.8641147621565</v>
      </c>
      <c r="BA32" s="1190">
        <f>BA107</f>
        <v>3291.5527325278085</v>
      </c>
      <c r="BB32" s="1190">
        <f>BB107</f>
        <v>2654.0770811553148</v>
      </c>
      <c r="BC32" s="1190">
        <f>BC107</f>
        <v>2830.4840989873878</v>
      </c>
      <c r="BD32" s="1191">
        <f t="shared" ref="BD32:BD38" si="42">SUM(AZ32:BC32)</f>
        <v>11672.978027432669</v>
      </c>
      <c r="BE32" s="2856"/>
      <c r="BF32" s="2856"/>
      <c r="BG32" s="2856"/>
      <c r="BH32" s="2856"/>
      <c r="BI32" s="2918"/>
      <c r="BJ32" s="2925"/>
      <c r="BK32" s="2925"/>
      <c r="BL32" s="2925"/>
      <c r="BM32" s="2925"/>
      <c r="BN32" s="2918"/>
      <c r="BO32" s="2925"/>
      <c r="BP32" s="2925"/>
      <c r="BQ32" s="2925"/>
      <c r="BR32" s="2925"/>
      <c r="BS32" s="2918"/>
      <c r="BT32" s="1343"/>
      <c r="BU32" s="1191"/>
      <c r="BV32" s="1191"/>
      <c r="BW32" s="1191">
        <f t="shared" ref="BW32:BW40" si="43">SUM(AM32:AN32,AP32:AQ32)</f>
        <v>12596</v>
      </c>
      <c r="BX32" s="1191">
        <f t="shared" ref="BX32:BX40" si="44">SUM(AR32:AS32,AU32:AV32)</f>
        <v>10933.061720176802</v>
      </c>
      <c r="BY32" s="1191">
        <f t="shared" ref="BY32:BY40" si="45">SUM(AW32:AX32,AZ32:BA32)</f>
        <v>11432.875629267077</v>
      </c>
      <c r="BZ32" s="1191">
        <f t="shared" ref="BZ32:BZ40" si="46">SUM(BB32:BC32,BE32:BF32)</f>
        <v>5484.5611801427021</v>
      </c>
      <c r="CA32" s="1191"/>
      <c r="CB32" s="1191"/>
    </row>
    <row r="33" spans="1:80">
      <c r="A33" s="1175" t="s">
        <v>1067</v>
      </c>
      <c r="B33" s="1345"/>
      <c r="C33" s="1345"/>
      <c r="D33" s="1345"/>
      <c r="E33" s="1345"/>
      <c r="F33" s="1346"/>
      <c r="G33" s="1345"/>
      <c r="H33" s="1345"/>
      <c r="I33" s="1345"/>
      <c r="J33" s="1345"/>
      <c r="K33" s="1346"/>
      <c r="L33" s="1345"/>
      <c r="M33" s="1345"/>
      <c r="N33" s="1345"/>
      <c r="O33" s="1345"/>
      <c r="P33" s="1346"/>
      <c r="Q33" s="1345"/>
      <c r="R33" s="1345"/>
      <c r="S33" s="1345"/>
      <c r="T33" s="1345"/>
      <c r="U33" s="1346"/>
      <c r="V33" s="1345"/>
      <c r="W33" s="1345"/>
      <c r="X33" s="1345"/>
      <c r="Y33" s="1345"/>
      <c r="Z33" s="1346"/>
      <c r="AA33" s="1345"/>
      <c r="AB33" s="1345"/>
      <c r="AC33" s="1345"/>
      <c r="AD33" s="1345"/>
      <c r="AE33" s="1346"/>
      <c r="AF33" s="1347"/>
      <c r="AG33" s="1347"/>
      <c r="AH33" s="1347"/>
      <c r="AI33" s="1347"/>
      <c r="AJ33" s="1346"/>
      <c r="AK33" s="1190">
        <f>AK110</f>
        <v>1224.1771660834604</v>
      </c>
      <c r="AL33" s="1190">
        <f>AL110</f>
        <v>1208.5547996044947</v>
      </c>
      <c r="AM33" s="1190">
        <f>AM110</f>
        <v>1085.8283844780919</v>
      </c>
      <c r="AN33" s="1190">
        <f>AN110</f>
        <v>1437.9220664062493</v>
      </c>
      <c r="AO33" s="1191">
        <f t="shared" si="39"/>
        <v>4956.4824165722966</v>
      </c>
      <c r="AP33" s="1190">
        <f>AP110</f>
        <v>1303.3516561157394</v>
      </c>
      <c r="AQ33" s="1190">
        <f>AQ110</f>
        <v>1111.924706256669</v>
      </c>
      <c r="AR33" s="1190">
        <f>AR110</f>
        <v>1043.9767618607946</v>
      </c>
      <c r="AS33" s="1190">
        <f>AS110</f>
        <v>1327.9220664062493</v>
      </c>
      <c r="AT33" s="1191">
        <f t="shared" si="40"/>
        <v>4787.1751906394529</v>
      </c>
      <c r="AU33" s="1190">
        <f>AU110</f>
        <v>1264.2511064322671</v>
      </c>
      <c r="AV33" s="1190">
        <f>AV110</f>
        <v>1067.4477180064023</v>
      </c>
      <c r="AW33" s="1190">
        <f>AW110</f>
        <v>1023.0972266235786</v>
      </c>
      <c r="AX33" s="1190">
        <f>AX110</f>
        <v>1367.7597283984369</v>
      </c>
      <c r="AY33" s="1191">
        <f t="shared" si="41"/>
        <v>4722.5557794606848</v>
      </c>
      <c r="AZ33" s="1190">
        <f>AZ110</f>
        <v>1264.2511064322671</v>
      </c>
      <c r="BA33" s="1190">
        <f>BA110</f>
        <v>1131.4945810867864</v>
      </c>
      <c r="BB33" s="1190">
        <f>BB110</f>
        <v>1084.4830602209934</v>
      </c>
      <c r="BC33" s="1190">
        <f>BC110</f>
        <v>1477.1805066703118</v>
      </c>
      <c r="BD33" s="1191">
        <f t="shared" si="42"/>
        <v>4957.4092544103587</v>
      </c>
      <c r="BE33" s="2856"/>
      <c r="BF33" s="2856"/>
      <c r="BG33" s="2856"/>
      <c r="BH33" s="2856"/>
      <c r="BI33" s="2918"/>
      <c r="BJ33" s="2925"/>
      <c r="BK33" s="2925"/>
      <c r="BL33" s="2925"/>
      <c r="BM33" s="2925"/>
      <c r="BN33" s="2918"/>
      <c r="BO33" s="2925"/>
      <c r="BP33" s="2925"/>
      <c r="BQ33" s="2925"/>
      <c r="BR33" s="2925"/>
      <c r="BS33" s="2918"/>
      <c r="BT33" s="1343"/>
      <c r="BU33" s="1191"/>
      <c r="BV33" s="1191"/>
      <c r="BW33" s="1191">
        <f t="shared" si="43"/>
        <v>4939.0268132567498</v>
      </c>
      <c r="BX33" s="1191">
        <f t="shared" si="44"/>
        <v>4703.5976527057137</v>
      </c>
      <c r="BY33" s="1191">
        <f t="shared" si="45"/>
        <v>4786.6026425410691</v>
      </c>
      <c r="BZ33" s="1191">
        <f t="shared" si="46"/>
        <v>2561.663566891305</v>
      </c>
      <c r="CA33" s="1191"/>
      <c r="CB33" s="1191"/>
    </row>
    <row r="34" spans="1:80">
      <c r="A34" s="986" t="s">
        <v>1157</v>
      </c>
      <c r="B34" s="1345"/>
      <c r="C34" s="1345"/>
      <c r="D34" s="1345"/>
      <c r="E34" s="1345"/>
      <c r="F34" s="1346"/>
      <c r="G34" s="1345"/>
      <c r="H34" s="1345"/>
      <c r="I34" s="1345"/>
      <c r="J34" s="1345"/>
      <c r="K34" s="1346"/>
      <c r="L34" s="1345"/>
      <c r="M34" s="1345"/>
      <c r="N34" s="1345"/>
      <c r="O34" s="1345"/>
      <c r="P34" s="1346"/>
      <c r="Q34" s="1345"/>
      <c r="R34" s="1345"/>
      <c r="S34" s="1345"/>
      <c r="T34" s="1345"/>
      <c r="U34" s="1346"/>
      <c r="V34" s="1345"/>
      <c r="W34" s="1345"/>
      <c r="X34" s="1345"/>
      <c r="Y34" s="1345"/>
      <c r="Z34" s="1346"/>
      <c r="AA34" s="1345"/>
      <c r="AB34" s="1345"/>
      <c r="AC34" s="1345"/>
      <c r="AD34" s="1345"/>
      <c r="AE34" s="1346"/>
      <c r="AF34" s="1347"/>
      <c r="AG34" s="1347"/>
      <c r="AH34" s="1347"/>
      <c r="AI34" s="1347"/>
      <c r="AJ34" s="1346"/>
      <c r="AK34" s="1190">
        <f>AK113</f>
        <v>637.89365788206146</v>
      </c>
      <c r="AL34" s="1190">
        <f>AL113</f>
        <v>1381.7116259312536</v>
      </c>
      <c r="AM34" s="1190">
        <f>AM113</f>
        <v>721.43429887111256</v>
      </c>
      <c r="AN34" s="1190">
        <f>AN113</f>
        <v>995.02646240902504</v>
      </c>
      <c r="AO34" s="1191">
        <f t="shared" si="39"/>
        <v>3736.0660450934529</v>
      </c>
      <c r="AP34" s="1190">
        <f>AP113</f>
        <v>364.160004029167</v>
      </c>
      <c r="AQ34" s="1190">
        <f>AQ113</f>
        <v>823.48541105582399</v>
      </c>
      <c r="AR34" s="1190">
        <f>AR113</f>
        <v>635.95335370396174</v>
      </c>
      <c r="AS34" s="1190">
        <f>AS113</f>
        <v>368.70986837053761</v>
      </c>
      <c r="AT34" s="1191">
        <f t="shared" si="40"/>
        <v>2192.30863715949</v>
      </c>
      <c r="AU34" s="1190">
        <f>AU113</f>
        <v>400.57600443208366</v>
      </c>
      <c r="AV34" s="1190">
        <f>AV113</f>
        <v>836.2667951827334</v>
      </c>
      <c r="AW34" s="1190">
        <f>AW113</f>
        <v>594.8386336116323</v>
      </c>
      <c r="AX34" s="1190">
        <f>AX113</f>
        <v>326.46279468678188</v>
      </c>
      <c r="AY34" s="1191">
        <f t="shared" si="41"/>
        <v>2158.1442279132311</v>
      </c>
      <c r="AZ34" s="1190">
        <f>AZ113</f>
        <v>429.64073015534234</v>
      </c>
      <c r="BA34" s="1190">
        <f>BA113</f>
        <v>837.0460449390647</v>
      </c>
      <c r="BB34" s="1190">
        <f>BB113</f>
        <v>590.44313015704063</v>
      </c>
      <c r="BC34" s="1190">
        <f>BC113</f>
        <v>329.3482525155988</v>
      </c>
      <c r="BD34" s="1191">
        <f t="shared" si="42"/>
        <v>2186.4781577670465</v>
      </c>
      <c r="BE34" s="2856"/>
      <c r="BF34" s="2856"/>
      <c r="BG34" s="2856"/>
      <c r="BH34" s="2856"/>
      <c r="BI34" s="2918"/>
      <c r="BJ34" s="2925"/>
      <c r="BK34" s="2925"/>
      <c r="BL34" s="2925"/>
      <c r="BM34" s="2925"/>
      <c r="BN34" s="2918"/>
      <c r="BO34" s="2925"/>
      <c r="BP34" s="2925"/>
      <c r="BQ34" s="2925"/>
      <c r="BR34" s="2925"/>
      <c r="BS34" s="2918"/>
      <c r="BT34" s="1343"/>
      <c r="BU34" s="1191"/>
      <c r="BV34" s="1191"/>
      <c r="BW34" s="1191">
        <f t="shared" si="43"/>
        <v>2904.1061763651287</v>
      </c>
      <c r="BX34" s="1191">
        <f t="shared" si="44"/>
        <v>2241.5060216893162</v>
      </c>
      <c r="BY34" s="1191">
        <f t="shared" si="45"/>
        <v>2187.9882033928211</v>
      </c>
      <c r="BZ34" s="1191">
        <f t="shared" si="46"/>
        <v>919.79138267263943</v>
      </c>
      <c r="CA34" s="1191"/>
      <c r="CB34" s="1191"/>
    </row>
    <row r="35" spans="1:80">
      <c r="A35" s="986" t="s">
        <v>943</v>
      </c>
      <c r="B35" s="1345"/>
      <c r="C35" s="1345"/>
      <c r="D35" s="1345"/>
      <c r="E35" s="1345"/>
      <c r="F35" s="1346"/>
      <c r="G35" s="1345"/>
      <c r="H35" s="1345"/>
      <c r="I35" s="1345"/>
      <c r="J35" s="1345"/>
      <c r="K35" s="1346"/>
      <c r="L35" s="1345"/>
      <c r="M35" s="1345"/>
      <c r="N35" s="1345"/>
      <c r="O35" s="1345"/>
      <c r="P35" s="1346"/>
      <c r="Q35" s="1345"/>
      <c r="R35" s="1345"/>
      <c r="S35" s="1345"/>
      <c r="T35" s="1345"/>
      <c r="U35" s="1346"/>
      <c r="V35" s="1345"/>
      <c r="W35" s="1345"/>
      <c r="X35" s="1345"/>
      <c r="Y35" s="1345"/>
      <c r="Z35" s="1346"/>
      <c r="AA35" s="1345"/>
      <c r="AB35" s="1345"/>
      <c r="AC35" s="1345"/>
      <c r="AD35" s="1345"/>
      <c r="AE35" s="1346"/>
      <c r="AF35" s="1347"/>
      <c r="AG35" s="1347"/>
      <c r="AH35" s="1347"/>
      <c r="AI35" s="1347"/>
      <c r="AJ35" s="1346"/>
      <c r="AK35" s="1190">
        <f>AK116</f>
        <v>400</v>
      </c>
      <c r="AL35" s="1190">
        <f>AL116</f>
        <v>893</v>
      </c>
      <c r="AM35" s="1190">
        <f>AM116</f>
        <v>494</v>
      </c>
      <c r="AN35" s="1190">
        <f>AN116</f>
        <v>409</v>
      </c>
      <c r="AO35" s="1191">
        <f t="shared" si="39"/>
        <v>2196</v>
      </c>
      <c r="AP35" s="1190">
        <f>AP116</f>
        <v>908</v>
      </c>
      <c r="AQ35" s="1190">
        <f>AQ116</f>
        <v>1104</v>
      </c>
      <c r="AR35" s="1190">
        <f>AR116</f>
        <v>713</v>
      </c>
      <c r="AS35" s="1190">
        <f>AS116</f>
        <v>888</v>
      </c>
      <c r="AT35" s="1191">
        <f t="shared" si="40"/>
        <v>3613</v>
      </c>
      <c r="AU35" s="1190">
        <f>AU116</f>
        <v>672</v>
      </c>
      <c r="AV35" s="1190">
        <f>AV116</f>
        <v>1352</v>
      </c>
      <c r="AW35" s="1190">
        <f>AW116</f>
        <v>1111</v>
      </c>
      <c r="AX35" s="1190">
        <f>AX116</f>
        <v>965</v>
      </c>
      <c r="AY35" s="1191">
        <f t="shared" si="41"/>
        <v>4100</v>
      </c>
      <c r="AZ35" s="1190">
        <f>AZ116</f>
        <v>926</v>
      </c>
      <c r="BA35" s="1190">
        <f>BA116</f>
        <v>1321</v>
      </c>
      <c r="BB35" s="1190">
        <f>BB116</f>
        <v>831</v>
      </c>
      <c r="BC35" s="1190">
        <f>BC116</f>
        <v>948</v>
      </c>
      <c r="BD35" s="1191">
        <f t="shared" si="42"/>
        <v>4026</v>
      </c>
      <c r="BE35" s="2856"/>
      <c r="BF35" s="2856"/>
      <c r="BG35" s="2856"/>
      <c r="BH35" s="2856"/>
      <c r="BI35" s="2918"/>
      <c r="BJ35" s="2925"/>
      <c r="BK35" s="2925"/>
      <c r="BL35" s="2925"/>
      <c r="BM35" s="2925"/>
      <c r="BN35" s="2918"/>
      <c r="BO35" s="2925"/>
      <c r="BP35" s="2925"/>
      <c r="BQ35" s="2925"/>
      <c r="BR35" s="2925"/>
      <c r="BS35" s="2918"/>
      <c r="BT35" s="1343"/>
      <c r="BU35" s="1191"/>
      <c r="BV35" s="1191"/>
      <c r="BW35" s="1191">
        <f t="shared" si="43"/>
        <v>2915</v>
      </c>
      <c r="BX35" s="1191">
        <f t="shared" si="44"/>
        <v>3625</v>
      </c>
      <c r="BY35" s="1191">
        <f t="shared" si="45"/>
        <v>4323</v>
      </c>
      <c r="BZ35" s="1191">
        <f t="shared" si="46"/>
        <v>1779</v>
      </c>
      <c r="CA35" s="1191"/>
      <c r="CB35" s="1191"/>
    </row>
    <row r="36" spans="1:80">
      <c r="A36" s="1175" t="s">
        <v>1124</v>
      </c>
      <c r="B36" s="1345"/>
      <c r="C36" s="1345"/>
      <c r="D36" s="1345"/>
      <c r="E36" s="1345"/>
      <c r="F36" s="1346"/>
      <c r="G36" s="1345"/>
      <c r="H36" s="1345"/>
      <c r="I36" s="1345"/>
      <c r="J36" s="1345"/>
      <c r="K36" s="1346"/>
      <c r="L36" s="1345"/>
      <c r="M36" s="1345"/>
      <c r="N36" s="1345"/>
      <c r="O36" s="1345"/>
      <c r="P36" s="1346"/>
      <c r="Q36" s="1345"/>
      <c r="R36" s="1345"/>
      <c r="S36" s="1345"/>
      <c r="T36" s="1345"/>
      <c r="U36" s="1346"/>
      <c r="V36" s="1345"/>
      <c r="W36" s="1345"/>
      <c r="X36" s="1345"/>
      <c r="Y36" s="1345"/>
      <c r="Z36" s="1346"/>
      <c r="AA36" s="1345"/>
      <c r="AB36" s="1345"/>
      <c r="AC36" s="1345"/>
      <c r="AD36" s="1345"/>
      <c r="AE36" s="1346"/>
      <c r="AF36" s="1347"/>
      <c r="AG36" s="1347"/>
      <c r="AH36" s="1347"/>
      <c r="AI36" s="1347"/>
      <c r="AJ36" s="1346"/>
      <c r="AK36" s="1190">
        <f>AK119</f>
        <v>1353.8861652747855</v>
      </c>
      <c r="AL36" s="1190">
        <f>AL119</f>
        <v>3994.9861652747854</v>
      </c>
      <c r="AM36" s="1190">
        <f>AM119</f>
        <v>2033.9620273437513</v>
      </c>
      <c r="AN36" s="1190">
        <f>AN119</f>
        <v>1403.4120273437511</v>
      </c>
      <c r="AO36" s="1191">
        <f t="shared" si="39"/>
        <v>8786.2463852370747</v>
      </c>
      <c r="AP36" s="1190">
        <f>AP119</f>
        <v>1965.3585790678894</v>
      </c>
      <c r="AQ36" s="1190">
        <f>AQ119</f>
        <v>3599.1962068965518</v>
      </c>
      <c r="AR36" s="1190">
        <f>AR119</f>
        <v>1972.0245273437511</v>
      </c>
      <c r="AS36" s="1190">
        <f>AS119</f>
        <v>1972.1620273437511</v>
      </c>
      <c r="AT36" s="1191">
        <f t="shared" si="40"/>
        <v>9508.7413406519445</v>
      </c>
      <c r="AU36" s="1190">
        <f>AU119</f>
        <v>1986.8869396551727</v>
      </c>
      <c r="AV36" s="1190">
        <f>AV119</f>
        <v>3912.4287724137935</v>
      </c>
      <c r="AW36" s="1190">
        <f>AW119</f>
        <v>1815.1491386718756</v>
      </c>
      <c r="AX36" s="1190">
        <f>AX119</f>
        <v>1610.431006835938</v>
      </c>
      <c r="AY36" s="1191">
        <f t="shared" si="41"/>
        <v>9324.8958575767792</v>
      </c>
      <c r="AZ36" s="1190">
        <f>AZ119</f>
        <v>1896</v>
      </c>
      <c r="BA36" s="1190">
        <f>BA119</f>
        <v>3595</v>
      </c>
      <c r="BB36" s="1190">
        <f>BB119</f>
        <v>1928</v>
      </c>
      <c r="BC36" s="1190">
        <f>BC119</f>
        <v>1657</v>
      </c>
      <c r="BD36" s="1191">
        <f t="shared" si="42"/>
        <v>9076</v>
      </c>
      <c r="BE36" s="2856"/>
      <c r="BF36" s="2856"/>
      <c r="BG36" s="2856"/>
      <c r="BH36" s="2856"/>
      <c r="BI36" s="2918"/>
      <c r="BJ36" s="2925"/>
      <c r="BK36" s="2925"/>
      <c r="BL36" s="2925"/>
      <c r="BM36" s="2925"/>
      <c r="BN36" s="2918"/>
      <c r="BO36" s="2925"/>
      <c r="BP36" s="2925"/>
      <c r="BQ36" s="2925"/>
      <c r="BR36" s="2925"/>
      <c r="BS36" s="2918"/>
      <c r="BT36" s="1343"/>
      <c r="BU36" s="1191"/>
      <c r="BV36" s="1191"/>
      <c r="BW36" s="1191">
        <f t="shared" si="43"/>
        <v>9001.9288406519427</v>
      </c>
      <c r="BX36" s="1191">
        <f t="shared" si="44"/>
        <v>9843.5022667564681</v>
      </c>
      <c r="BY36" s="1191">
        <f t="shared" si="45"/>
        <v>8916.5801455078144</v>
      </c>
      <c r="BZ36" s="1191">
        <f t="shared" si="46"/>
        <v>3585</v>
      </c>
      <c r="CA36" s="1191"/>
      <c r="CB36" s="1191"/>
    </row>
    <row r="37" spans="1:80">
      <c r="A37" s="1175" t="s">
        <v>996</v>
      </c>
      <c r="B37" s="1345"/>
      <c r="C37" s="1345"/>
      <c r="D37" s="1345"/>
      <c r="E37" s="1345"/>
      <c r="F37" s="1346"/>
      <c r="G37" s="1345"/>
      <c r="H37" s="1345"/>
      <c r="I37" s="1345"/>
      <c r="J37" s="1345"/>
      <c r="K37" s="1346"/>
      <c r="L37" s="1345"/>
      <c r="M37" s="1345"/>
      <c r="N37" s="1345"/>
      <c r="O37" s="1345"/>
      <c r="P37" s="1346"/>
      <c r="Q37" s="1345"/>
      <c r="R37" s="1345"/>
      <c r="S37" s="1345"/>
      <c r="T37" s="1345"/>
      <c r="U37" s="1346"/>
      <c r="V37" s="1345"/>
      <c r="W37" s="1345"/>
      <c r="X37" s="1345"/>
      <c r="Y37" s="1345"/>
      <c r="Z37" s="1346"/>
      <c r="AA37" s="1345"/>
      <c r="AB37" s="1345"/>
      <c r="AC37" s="1345"/>
      <c r="AD37" s="1345"/>
      <c r="AE37" s="1346"/>
      <c r="AF37" s="1347"/>
      <c r="AG37" s="1347"/>
      <c r="AH37" s="1347"/>
      <c r="AI37" s="1347"/>
      <c r="AJ37" s="1346"/>
      <c r="AK37" s="1190">
        <f>AK122</f>
        <v>0</v>
      </c>
      <c r="AL37" s="1190">
        <f>AL122</f>
        <v>0</v>
      </c>
      <c r="AM37" s="1190">
        <f>AM122</f>
        <v>0</v>
      </c>
      <c r="AN37" s="1190">
        <f>AN122</f>
        <v>1985.3333333333333</v>
      </c>
      <c r="AO37" s="1191">
        <f t="shared" si="39"/>
        <v>1985.3333333333333</v>
      </c>
      <c r="AP37" s="1190">
        <f>AP122</f>
        <v>2609</v>
      </c>
      <c r="AQ37" s="1190">
        <f>AQ122</f>
        <v>2284</v>
      </c>
      <c r="AR37" s="1190">
        <f>AR122</f>
        <v>1397</v>
      </c>
      <c r="AS37" s="1190">
        <f>AS122</f>
        <v>1234</v>
      </c>
      <c r="AT37" s="1191">
        <f t="shared" si="40"/>
        <v>7524</v>
      </c>
      <c r="AU37" s="1190">
        <f>AU122</f>
        <v>922.02060000000006</v>
      </c>
      <c r="AV37" s="1190">
        <f>AV122</f>
        <v>942.15000000000009</v>
      </c>
      <c r="AW37" s="1190">
        <f>AW122</f>
        <v>780.923</v>
      </c>
      <c r="AX37" s="1190">
        <f>AX122</f>
        <v>353.64</v>
      </c>
      <c r="AY37" s="1191">
        <f t="shared" si="41"/>
        <v>2998.7336</v>
      </c>
      <c r="AZ37" s="1190">
        <f>AZ122</f>
        <v>261.89999999999998</v>
      </c>
      <c r="BA37" s="1190">
        <f>BA122</f>
        <v>179.77500000000001</v>
      </c>
      <c r="BB37" s="1190">
        <f>BB122</f>
        <v>31.04999999999999</v>
      </c>
      <c r="BC37" s="1190">
        <f>BC122</f>
        <v>16.2</v>
      </c>
      <c r="BD37" s="1191">
        <f t="shared" si="42"/>
        <v>488.92499999999995</v>
      </c>
      <c r="BE37" s="2856"/>
      <c r="BF37" s="2856"/>
      <c r="BG37" s="2856"/>
      <c r="BH37" s="2856"/>
      <c r="BI37" s="2918"/>
      <c r="BJ37" s="2925"/>
      <c r="BK37" s="2925"/>
      <c r="BL37" s="2925"/>
      <c r="BM37" s="2925"/>
      <c r="BN37" s="2918"/>
      <c r="BO37" s="2925"/>
      <c r="BP37" s="2925"/>
      <c r="BQ37" s="2925"/>
      <c r="BR37" s="2925"/>
      <c r="BS37" s="2918"/>
      <c r="BT37" s="1343"/>
      <c r="BU37" s="1191"/>
      <c r="BV37" s="1191"/>
      <c r="BW37" s="1191">
        <f t="shared" si="43"/>
        <v>6878.333333333333</v>
      </c>
      <c r="BX37" s="1191">
        <f t="shared" si="44"/>
        <v>4495.1705999999995</v>
      </c>
      <c r="BY37" s="1191">
        <f t="shared" si="45"/>
        <v>1576.2380000000003</v>
      </c>
      <c r="BZ37" s="1191">
        <f t="shared" si="46"/>
        <v>47.249999999999986</v>
      </c>
      <c r="CA37" s="1191"/>
      <c r="CB37" s="1191"/>
    </row>
    <row r="38" spans="1:80">
      <c r="A38" s="986" t="s">
        <v>1068</v>
      </c>
      <c r="B38" s="1345"/>
      <c r="C38" s="1345"/>
      <c r="D38" s="1345"/>
      <c r="E38" s="1345"/>
      <c r="F38" s="1346"/>
      <c r="G38" s="1345"/>
      <c r="H38" s="1345"/>
      <c r="I38" s="1345"/>
      <c r="J38" s="1345"/>
      <c r="K38" s="1346"/>
      <c r="L38" s="1345"/>
      <c r="M38" s="1345"/>
      <c r="N38" s="1345"/>
      <c r="O38" s="1345"/>
      <c r="P38" s="1346"/>
      <c r="Q38" s="1345"/>
      <c r="R38" s="1345"/>
      <c r="S38" s="1345"/>
      <c r="T38" s="1345"/>
      <c r="U38" s="1346"/>
      <c r="V38" s="1345"/>
      <c r="W38" s="1345"/>
      <c r="X38" s="1345"/>
      <c r="Y38" s="1345"/>
      <c r="Z38" s="1346"/>
      <c r="AA38" s="1345"/>
      <c r="AB38" s="1345"/>
      <c r="AC38" s="1345"/>
      <c r="AD38" s="1345"/>
      <c r="AE38" s="1346"/>
      <c r="AF38" s="1347"/>
      <c r="AG38" s="1347"/>
      <c r="AH38" s="1347"/>
      <c r="AI38" s="1347"/>
      <c r="AJ38" s="1346"/>
      <c r="AK38" s="1190">
        <f>AK125</f>
        <v>872</v>
      </c>
      <c r="AL38" s="1190">
        <f>AL125</f>
        <v>924.6160000000001</v>
      </c>
      <c r="AM38" s="1190">
        <f>AM125</f>
        <v>965.11999999999989</v>
      </c>
      <c r="AN38" s="1190">
        <f>AN125</f>
        <v>964.8</v>
      </c>
      <c r="AO38" s="1191">
        <f t="shared" si="39"/>
        <v>3726.5360000000001</v>
      </c>
      <c r="AP38" s="1190">
        <f>AP125</f>
        <v>989.72</v>
      </c>
      <c r="AQ38" s="1190">
        <f>AQ125</f>
        <v>1021.7006800000001</v>
      </c>
      <c r="AR38" s="1190">
        <f>AR125</f>
        <v>1037.5039999999999</v>
      </c>
      <c r="AS38" s="1190">
        <f>AS125</f>
        <v>1013.04</v>
      </c>
      <c r="AT38" s="1191">
        <f t="shared" si="40"/>
        <v>4061.96468</v>
      </c>
      <c r="AU38" s="1190">
        <f>AU125</f>
        <v>1187.664</v>
      </c>
      <c r="AV38" s="1190">
        <f>AV125</f>
        <v>1195.3897956000001</v>
      </c>
      <c r="AW38" s="1190">
        <f>AW125</f>
        <v>1203.5046399999999</v>
      </c>
      <c r="AX38" s="1190">
        <f>AX125</f>
        <v>1175.1263999999999</v>
      </c>
      <c r="AY38" s="1191">
        <f t="shared" si="41"/>
        <v>4761.6848356</v>
      </c>
      <c r="AZ38" s="1190">
        <f>AZ125</f>
        <v>1299.3044160000002</v>
      </c>
      <c r="BA38" s="1190">
        <f>BA125</f>
        <v>1319.7103343424003</v>
      </c>
      <c r="BB38" s="1190">
        <f>BB125</f>
        <v>1304.5990297599999</v>
      </c>
      <c r="BC38" s="1190">
        <f>BC125</f>
        <v>1292.63904</v>
      </c>
      <c r="BD38" s="1191">
        <f t="shared" si="42"/>
        <v>5216.2528201024006</v>
      </c>
      <c r="BE38" s="2856"/>
      <c r="BF38" s="2856"/>
      <c r="BG38" s="2856"/>
      <c r="BH38" s="2856"/>
      <c r="BI38" s="2918"/>
      <c r="BJ38" s="2925"/>
      <c r="BK38" s="2925"/>
      <c r="BL38" s="2925"/>
      <c r="BM38" s="2925"/>
      <c r="BN38" s="2918"/>
      <c r="BO38" s="2925"/>
      <c r="BP38" s="2925"/>
      <c r="BQ38" s="2925"/>
      <c r="BR38" s="2925"/>
      <c r="BS38" s="2918"/>
      <c r="BT38" s="1343"/>
      <c r="BU38" s="1191"/>
      <c r="BV38" s="1191"/>
      <c r="BW38" s="1191">
        <f t="shared" si="43"/>
        <v>3941.3406800000002</v>
      </c>
      <c r="BX38" s="1191">
        <f t="shared" si="44"/>
        <v>4433.5977955999997</v>
      </c>
      <c r="BY38" s="1191">
        <f t="shared" si="45"/>
        <v>4997.6457903424007</v>
      </c>
      <c r="BZ38" s="1191">
        <f t="shared" si="46"/>
        <v>2597.2380697600001</v>
      </c>
      <c r="CA38" s="1191"/>
      <c r="CB38" s="1191"/>
    </row>
    <row r="39" spans="1:80" ht="13.5" thickBot="1">
      <c r="A39" s="1175" t="s">
        <v>280</v>
      </c>
      <c r="B39" s="1345"/>
      <c r="C39" s="1345"/>
      <c r="D39" s="1345"/>
      <c r="E39" s="1345"/>
      <c r="F39" s="1346"/>
      <c r="G39" s="1345"/>
      <c r="H39" s="1345"/>
      <c r="I39" s="1345"/>
      <c r="J39" s="1345"/>
      <c r="K39" s="1346"/>
      <c r="L39" s="1345"/>
      <c r="M39" s="1345"/>
      <c r="N39" s="1345"/>
      <c r="O39" s="1345"/>
      <c r="P39" s="1346"/>
      <c r="Q39" s="1345"/>
      <c r="R39" s="1345"/>
      <c r="S39" s="1345"/>
      <c r="T39" s="1345"/>
      <c r="U39" s="1346"/>
      <c r="V39" s="1345"/>
      <c r="W39" s="1345"/>
      <c r="X39" s="1345"/>
      <c r="Y39" s="1345"/>
      <c r="Z39" s="1346"/>
      <c r="AA39" s="1345"/>
      <c r="AB39" s="1345"/>
      <c r="AC39" s="1345"/>
      <c r="AD39" s="1345"/>
      <c r="AE39" s="1346"/>
      <c r="AF39" s="1347"/>
      <c r="AG39" s="1347"/>
      <c r="AH39" s="1347"/>
      <c r="AI39" s="1347"/>
      <c r="AJ39" s="1346"/>
      <c r="AK39" s="1190">
        <f>AK40-SUM(AK32:AK38)</f>
        <v>4.3010759693970613E-2</v>
      </c>
      <c r="AL39" s="1190">
        <f>AL40-SUM(AL32:AL38)</f>
        <v>0.13140918946373858</v>
      </c>
      <c r="AM39" s="1190">
        <f>AM40-SUM(AM32:AM38)</f>
        <v>-0.34471069295250345</v>
      </c>
      <c r="AN39" s="1190">
        <f>AN40-SUM(AN32:AN38)</f>
        <v>-3.4938894923579937</v>
      </c>
      <c r="AO39" s="1191">
        <f t="shared" si="39"/>
        <v>-3.664180236152788</v>
      </c>
      <c r="AP39" s="1190">
        <f t="shared" ref="AP39:AX39" si="47">AP40-SUM(AP32:AP38)</f>
        <v>-0.59023921279731439</v>
      </c>
      <c r="AQ39" s="1190">
        <f t="shared" si="47"/>
        <v>10.692995790954228</v>
      </c>
      <c r="AR39" s="1190">
        <f t="shared" si="47"/>
        <v>-4.4586429085065902</v>
      </c>
      <c r="AS39" s="1190">
        <f t="shared" si="47"/>
        <v>0.16603787946223747</v>
      </c>
      <c r="AT39" s="1191">
        <f t="shared" si="40"/>
        <v>5.810151549112561</v>
      </c>
      <c r="AU39" s="1190">
        <f t="shared" si="47"/>
        <v>105.16270214294491</v>
      </c>
      <c r="AV39" s="1190">
        <f t="shared" si="47"/>
        <v>259.69384595779593</v>
      </c>
      <c r="AW39" s="1190">
        <f t="shared" si="47"/>
        <v>421.5931316079168</v>
      </c>
      <c r="AX39" s="1190">
        <f t="shared" si="47"/>
        <v>425.0155175867294</v>
      </c>
      <c r="AY39" s="1191">
        <f>SUM(AU39:AX39)</f>
        <v>1211.465197295387</v>
      </c>
      <c r="AZ39" s="1190">
        <f>AZ40-SUM(AZ32:AZ38)</f>
        <v>320.03963265023413</v>
      </c>
      <c r="BA39" s="1190">
        <f>BA40-SUM(BA32:BA38)</f>
        <v>147.42130710394122</v>
      </c>
      <c r="BB39" s="1190">
        <f>BB40-SUM(BB32:BB38)</f>
        <v>412.3476987066515</v>
      </c>
      <c r="BC39" s="1190">
        <f t="shared" ref="BC39" si="48">BC40-SUM(BC32:BC38)</f>
        <v>269.14810182670226</v>
      </c>
      <c r="BD39" s="1191">
        <f>SUM(AZ39:BC39)</f>
        <v>1148.9567402875291</v>
      </c>
      <c r="BE39" s="2856"/>
      <c r="BF39" s="2856"/>
      <c r="BG39" s="2856"/>
      <c r="BH39" s="2856"/>
      <c r="BI39" s="2918"/>
      <c r="BJ39" s="2925"/>
      <c r="BK39" s="2925"/>
      <c r="BL39" s="2925"/>
      <c r="BM39" s="2925"/>
      <c r="BN39" s="2918"/>
      <c r="BO39" s="2925"/>
      <c r="BP39" s="2925"/>
      <c r="BQ39" s="2925"/>
      <c r="BR39" s="2925"/>
      <c r="BS39" s="2918"/>
      <c r="BT39" s="1343"/>
      <c r="BU39" s="1191"/>
      <c r="BV39" s="1191"/>
      <c r="BW39" s="1191">
        <f t="shared" si="43"/>
        <v>6.2641563928464166</v>
      </c>
      <c r="BX39" s="1191">
        <f t="shared" si="44"/>
        <v>360.56394307169649</v>
      </c>
      <c r="BY39" s="1191">
        <f t="shared" si="45"/>
        <v>1314.0695889488215</v>
      </c>
      <c r="BZ39" s="1191">
        <f t="shared" si="46"/>
        <v>681.49580053335376</v>
      </c>
      <c r="CA39" s="1191"/>
      <c r="CB39" s="1191"/>
    </row>
    <row r="40" spans="1:80">
      <c r="A40" s="1477" t="s">
        <v>1047</v>
      </c>
      <c r="B40" s="1478"/>
      <c r="C40" s="1478"/>
      <c r="D40" s="1478"/>
      <c r="E40" s="1478"/>
      <c r="F40" s="1479"/>
      <c r="G40" s="1478"/>
      <c r="H40" s="1478"/>
      <c r="I40" s="1478"/>
      <c r="J40" s="1478"/>
      <c r="K40" s="1479"/>
      <c r="L40" s="1478"/>
      <c r="M40" s="1478"/>
      <c r="N40" s="1478"/>
      <c r="O40" s="1478"/>
      <c r="P40" s="1479"/>
      <c r="Q40" s="1478"/>
      <c r="R40" s="1478"/>
      <c r="S40" s="1478"/>
      <c r="T40" s="1478"/>
      <c r="U40" s="1479"/>
      <c r="V40" s="1478"/>
      <c r="W40" s="1478"/>
      <c r="X40" s="1478"/>
      <c r="Y40" s="1478"/>
      <c r="Z40" s="1479"/>
      <c r="AA40" s="1478"/>
      <c r="AB40" s="1478"/>
      <c r="AC40" s="1478"/>
      <c r="AD40" s="1478"/>
      <c r="AE40" s="1479"/>
      <c r="AF40" s="1478"/>
      <c r="AG40" s="1478"/>
      <c r="AH40" s="1478"/>
      <c r="AI40" s="1478"/>
      <c r="AJ40" s="1479">
        <f>'Rev Overview'!BJ24</f>
        <v>31951</v>
      </c>
      <c r="AK40" s="1478">
        <f>'Rev Overview'!BK24</f>
        <v>7594</v>
      </c>
      <c r="AL40" s="1478">
        <f>'Rev Overview'!BL24</f>
        <v>12070</v>
      </c>
      <c r="AM40" s="1478">
        <f>'Rev Overview'!BM24</f>
        <v>8451</v>
      </c>
      <c r="AN40" s="1478">
        <f>'Rev Overview'!BN24</f>
        <v>10292</v>
      </c>
      <c r="AO40" s="1479">
        <f t="shared" si="39"/>
        <v>38407</v>
      </c>
      <c r="AP40" s="1478">
        <f>'Rev Overview'!BP24</f>
        <v>11236</v>
      </c>
      <c r="AQ40" s="1478">
        <f>'Rev Overview'!BQ24</f>
        <v>13203</v>
      </c>
      <c r="AR40" s="1478">
        <f>'Rev Overview'!BR24</f>
        <v>9309</v>
      </c>
      <c r="AS40" s="1478">
        <f>'Rev Overview'!BS24</f>
        <v>9205</v>
      </c>
      <c r="AT40" s="1479">
        <f t="shared" si="40"/>
        <v>42953</v>
      </c>
      <c r="AU40" s="1478">
        <v>9462</v>
      </c>
      <c r="AV40" s="1478">
        <v>12660</v>
      </c>
      <c r="AW40" s="1478">
        <v>9458</v>
      </c>
      <c r="AX40" s="1478">
        <v>8960</v>
      </c>
      <c r="AY40" s="1479">
        <v>40540</v>
      </c>
      <c r="AZ40" s="1478">
        <v>9294</v>
      </c>
      <c r="BA40" s="1478">
        <v>11823</v>
      </c>
      <c r="BB40" s="1478">
        <v>8836</v>
      </c>
      <c r="BC40" s="1478">
        <v>8820</v>
      </c>
      <c r="BD40" s="1479">
        <v>38773</v>
      </c>
      <c r="BE40" s="2857"/>
      <c r="BF40" s="2857"/>
      <c r="BG40" s="2857"/>
      <c r="BH40" s="2857"/>
      <c r="BI40" s="2926"/>
      <c r="BJ40" s="2927"/>
      <c r="BK40" s="2927"/>
      <c r="BL40" s="2927"/>
      <c r="BM40" s="2927"/>
      <c r="BN40" s="2926"/>
      <c r="BO40" s="2927"/>
      <c r="BP40" s="2927"/>
      <c r="BQ40" s="2927"/>
      <c r="BR40" s="2927"/>
      <c r="BS40" s="2926"/>
      <c r="BT40" s="1343"/>
      <c r="BU40" s="1479"/>
      <c r="BV40" s="1479"/>
      <c r="BW40" s="1479">
        <f t="shared" si="43"/>
        <v>43182</v>
      </c>
      <c r="BX40" s="1479">
        <f t="shared" si="44"/>
        <v>40636</v>
      </c>
      <c r="BY40" s="1479">
        <f t="shared" si="45"/>
        <v>39535</v>
      </c>
      <c r="BZ40" s="1479">
        <f t="shared" si="46"/>
        <v>17656</v>
      </c>
      <c r="CA40" s="1479"/>
      <c r="CB40" s="1479"/>
    </row>
    <row r="41" spans="1:80" ht="13.5" thickBot="1">
      <c r="A41" s="1480" t="s">
        <v>163</v>
      </c>
      <c r="B41" s="1481"/>
      <c r="C41" s="1481"/>
      <c r="D41" s="1481"/>
      <c r="E41" s="1481"/>
      <c r="F41" s="1482"/>
      <c r="G41" s="1481"/>
      <c r="H41" s="1481"/>
      <c r="I41" s="1481"/>
      <c r="J41" s="1481"/>
      <c r="K41" s="1482"/>
      <c r="L41" s="1481"/>
      <c r="M41" s="1481"/>
      <c r="N41" s="1481"/>
      <c r="O41" s="1481"/>
      <c r="P41" s="1482"/>
      <c r="Q41" s="1481"/>
      <c r="R41" s="1481"/>
      <c r="S41" s="1481"/>
      <c r="T41" s="1481"/>
      <c r="U41" s="1482"/>
      <c r="V41" s="1481"/>
      <c r="W41" s="1481"/>
      <c r="X41" s="1481"/>
      <c r="Y41" s="1481"/>
      <c r="Z41" s="1482"/>
      <c r="AA41" s="1481"/>
      <c r="AB41" s="1481"/>
      <c r="AC41" s="1481"/>
      <c r="AD41" s="1481"/>
      <c r="AE41" s="1482"/>
      <c r="AF41" s="1483"/>
      <c r="AG41" s="1483"/>
      <c r="AH41" s="1483"/>
      <c r="AI41" s="1483"/>
      <c r="AJ41" s="1482"/>
      <c r="AK41" s="1483"/>
      <c r="AL41" s="1483"/>
      <c r="AM41" s="1483"/>
      <c r="AN41" s="1483"/>
      <c r="AO41" s="1486">
        <f>IF(ISERROR(AO40/AJ40-1),,(AO40/AJ40-1))</f>
        <v>0.2020594034615506</v>
      </c>
      <c r="AP41" s="1485">
        <f t="shared" ref="AP41:BD41" si="49">IFERROR(AP40/AK40-1,"")</f>
        <v>0.47958914932841723</v>
      </c>
      <c r="AQ41" s="1485">
        <f t="shared" si="49"/>
        <v>9.3869096934548368E-2</v>
      </c>
      <c r="AR41" s="1485">
        <f t="shared" si="49"/>
        <v>0.10152644657436993</v>
      </c>
      <c r="AS41" s="1485">
        <f t="shared" si="49"/>
        <v>-0.10561601243684415</v>
      </c>
      <c r="AT41" s="1486">
        <f t="shared" si="49"/>
        <v>0.11836383992501376</v>
      </c>
      <c r="AU41" s="1485">
        <f t="shared" si="49"/>
        <v>-0.15788536845852619</v>
      </c>
      <c r="AV41" s="1485">
        <f t="shared" si="49"/>
        <v>-4.1127016587139242E-2</v>
      </c>
      <c r="AW41" s="1485">
        <f t="shared" si="49"/>
        <v>1.6006015683746933E-2</v>
      </c>
      <c r="AX41" s="1485">
        <f t="shared" si="49"/>
        <v>-2.6615969581749055E-2</v>
      </c>
      <c r="AY41" s="1486">
        <f t="shared" si="49"/>
        <v>-5.6177682583288702E-2</v>
      </c>
      <c r="AZ41" s="1485">
        <f t="shared" si="49"/>
        <v>-1.775523145212432E-2</v>
      </c>
      <c r="BA41" s="1485">
        <f t="shared" si="49"/>
        <v>-6.6113744075829373E-2</v>
      </c>
      <c r="BB41" s="1485">
        <f t="shared" si="49"/>
        <v>-6.5764432226686376E-2</v>
      </c>
      <c r="BC41" s="1485">
        <f t="shared" si="49"/>
        <v>-1.5625E-2</v>
      </c>
      <c r="BD41" s="1486">
        <f t="shared" si="49"/>
        <v>-4.3586581154415382E-2</v>
      </c>
      <c r="BE41" s="2858"/>
      <c r="BF41" s="2858"/>
      <c r="BG41" s="2858"/>
      <c r="BH41" s="2858"/>
      <c r="BI41" s="2928"/>
      <c r="BJ41" s="2929"/>
      <c r="BK41" s="2929"/>
      <c r="BL41" s="2929"/>
      <c r="BM41" s="2929"/>
      <c r="BN41" s="2928"/>
      <c r="BO41" s="2929"/>
      <c r="BP41" s="2929"/>
      <c r="BQ41" s="2929"/>
      <c r="BR41" s="2929"/>
      <c r="BS41" s="2928"/>
      <c r="BT41" s="1343"/>
      <c r="BU41" s="1486"/>
      <c r="BV41" s="1486"/>
      <c r="BW41" s="1486"/>
      <c r="BX41" s="1486">
        <f>BX40/BW40-1</f>
        <v>-5.8959751748413725E-2</v>
      </c>
      <c r="BY41" s="1486">
        <f>BY40/BX40-1</f>
        <v>-2.709420218525449E-2</v>
      </c>
      <c r="BZ41" s="1486">
        <f>BZ40/BY40-1</f>
        <v>-0.55340837232831674</v>
      </c>
      <c r="CA41" s="1486"/>
      <c r="CB41" s="1486"/>
    </row>
    <row r="42" spans="1:80">
      <c r="A42" s="1340"/>
      <c r="B42" s="1345"/>
      <c r="C42" s="1345"/>
      <c r="D42" s="1345"/>
      <c r="E42" s="1345"/>
      <c r="F42" s="1346"/>
      <c r="G42" s="1345"/>
      <c r="H42" s="1345"/>
      <c r="I42" s="1345"/>
      <c r="J42" s="1345"/>
      <c r="K42" s="1346"/>
      <c r="L42" s="1345"/>
      <c r="M42" s="1345"/>
      <c r="N42" s="1345"/>
      <c r="O42" s="1345"/>
      <c r="P42" s="1346"/>
      <c r="Q42" s="1345"/>
      <c r="R42" s="1345"/>
      <c r="S42" s="1345"/>
      <c r="T42" s="1345"/>
      <c r="U42" s="1346"/>
      <c r="V42" s="1345"/>
      <c r="W42" s="1345"/>
      <c r="X42" s="1345"/>
      <c r="Y42" s="1345"/>
      <c r="Z42" s="1346"/>
      <c r="AA42" s="1345"/>
      <c r="AB42" s="1345"/>
      <c r="AC42" s="1345"/>
      <c r="AD42" s="1345"/>
      <c r="AE42" s="1346"/>
      <c r="AF42" s="1347"/>
      <c r="AG42" s="1347"/>
      <c r="AH42" s="1347"/>
      <c r="AI42" s="1347"/>
      <c r="AJ42" s="1346"/>
      <c r="AK42" s="1347"/>
      <c r="AL42" s="1347"/>
      <c r="AM42" s="1347"/>
      <c r="AN42" s="1347"/>
      <c r="AO42" s="1344"/>
      <c r="AP42" s="1347"/>
      <c r="AQ42" s="1347"/>
      <c r="AR42" s="1347"/>
      <c r="AS42" s="1347"/>
      <c r="AT42" s="1344"/>
      <c r="AU42" s="1347"/>
      <c r="AV42" s="1347"/>
      <c r="AW42" s="1347"/>
      <c r="AX42" s="1347"/>
      <c r="AY42" s="1344"/>
      <c r="AZ42" s="1347"/>
      <c r="BA42" s="1347"/>
      <c r="BB42" s="1347"/>
      <c r="BC42" s="1347"/>
      <c r="BD42" s="1344"/>
      <c r="BE42" s="2860"/>
      <c r="BF42" s="2860"/>
      <c r="BG42" s="2860"/>
      <c r="BH42" s="2860"/>
      <c r="BI42" s="2932"/>
      <c r="BJ42" s="2933"/>
      <c r="BK42" s="2933"/>
      <c r="BL42" s="2933"/>
      <c r="BM42" s="2933"/>
      <c r="BN42" s="2932"/>
      <c r="BO42" s="2933"/>
      <c r="BP42" s="2933"/>
      <c r="BQ42" s="2933"/>
      <c r="BR42" s="2933"/>
      <c r="BS42" s="2932"/>
      <c r="BT42" s="1343"/>
      <c r="BU42" s="1344"/>
      <c r="BV42" s="1344"/>
      <c r="BW42" s="1344"/>
      <c r="BX42" s="1344"/>
      <c r="BY42" s="1344"/>
      <c r="BZ42" s="1344"/>
      <c r="CA42" s="1344"/>
      <c r="CB42" s="1344"/>
    </row>
    <row r="43" spans="1:80">
      <c r="A43" s="1536" t="s">
        <v>1071</v>
      </c>
      <c r="B43" s="1465"/>
      <c r="C43" s="1465"/>
      <c r="D43" s="1465"/>
      <c r="E43" s="1465"/>
      <c r="F43" s="1466"/>
      <c r="G43" s="1465"/>
      <c r="H43" s="1465"/>
      <c r="I43" s="1465"/>
      <c r="J43" s="1465"/>
      <c r="K43" s="1466"/>
      <c r="L43" s="1465"/>
      <c r="M43" s="1465"/>
      <c r="N43" s="1465"/>
      <c r="O43" s="1465"/>
      <c r="P43" s="1466"/>
      <c r="Q43" s="1465"/>
      <c r="R43" s="1465"/>
      <c r="S43" s="1465"/>
      <c r="T43" s="1465"/>
      <c r="U43" s="1466"/>
      <c r="V43" s="1465"/>
      <c r="W43" s="1465"/>
      <c r="X43" s="1465"/>
      <c r="Y43" s="1465"/>
      <c r="Z43" s="1466"/>
      <c r="AA43" s="1465"/>
      <c r="AB43" s="1465"/>
      <c r="AC43" s="1465"/>
      <c r="AD43" s="1465"/>
      <c r="AE43" s="1466"/>
      <c r="AF43" s="1467"/>
      <c r="AG43" s="1467"/>
      <c r="AH43" s="1467"/>
      <c r="AI43" s="1467"/>
      <c r="AJ43" s="1466">
        <f>'Rev Overview'!BJ30</f>
        <v>375</v>
      </c>
      <c r="AK43" s="1465">
        <f>'Rev Overview'!BK30</f>
        <v>-107</v>
      </c>
      <c r="AL43" s="1467">
        <f>'Rev Overview'!BL30</f>
        <v>-15</v>
      </c>
      <c r="AM43" s="1467">
        <f>'Rev Overview'!BM30</f>
        <v>-103</v>
      </c>
      <c r="AN43" s="1467">
        <f>'Rev Overview'!BN30</f>
        <v>-53</v>
      </c>
      <c r="AO43" s="1196">
        <f>SUM(AK43:AN43)</f>
        <v>-278</v>
      </c>
      <c r="AP43" s="1195">
        <f>'Rev Overview'!BP30</f>
        <v>0</v>
      </c>
      <c r="AQ43" s="1195">
        <f>'Rev Overview'!BQ30</f>
        <v>78</v>
      </c>
      <c r="AR43" s="1195">
        <f>'Rev Overview'!BR30</f>
        <v>60</v>
      </c>
      <c r="AS43" s="1195">
        <f>'Rev Overview'!BS30</f>
        <v>17</v>
      </c>
      <c r="AT43" s="1196">
        <f>SUM(AP43:AS43)</f>
        <v>155</v>
      </c>
      <c r="AU43" s="1195">
        <f>'Rev Overview'!BU30+'Client Unit Model'!AV46</f>
        <v>-5.9093405798739695</v>
      </c>
      <c r="AV43" s="1195">
        <f>'Rev Overview'!BV30+'Client Unit Model'!AW46</f>
        <v>0.26759556683464325</v>
      </c>
      <c r="AW43" s="1195">
        <f>'Rev Overview'!BW30+'Client Unit Model'!AX46</f>
        <v>-15.618327415892054</v>
      </c>
      <c r="AX43" s="1195">
        <f>'Rev Overview'!BX30+'Client Unit Model'!AY46</f>
        <v>-7.4529532993910834</v>
      </c>
      <c r="AY43" s="1196">
        <f>SUM(AU43:AX43)</f>
        <v>-28.713025728322464</v>
      </c>
      <c r="AZ43" s="1195">
        <f>'Rev Overview'!BZ30+'Client Unit Model'!BA46</f>
        <v>5.8046221874797084</v>
      </c>
      <c r="BA43" s="1195">
        <f>'Rev Overview'!CA30+'Client Unit Model'!BB46</f>
        <v>19.570620433544264</v>
      </c>
      <c r="BB43" s="1195">
        <f>'Rev Overview'!CB30+'Client Unit Model'!BC46</f>
        <v>9.4969061049596348E-2</v>
      </c>
      <c r="BC43" s="1195">
        <f>'Rev Overview'!CC30+'Client Unit Model'!BD46</f>
        <v>6.5019868931240126</v>
      </c>
      <c r="BD43" s="1196">
        <f>SUM(AZ43:BC43)</f>
        <v>31.972198575197581</v>
      </c>
      <c r="BE43" s="2861"/>
      <c r="BF43" s="2861"/>
      <c r="BG43" s="2861"/>
      <c r="BH43" s="2861"/>
      <c r="BI43" s="2934"/>
      <c r="BJ43" s="2935"/>
      <c r="BK43" s="2935"/>
      <c r="BL43" s="2935"/>
      <c r="BM43" s="2935"/>
      <c r="BN43" s="2934"/>
      <c r="BO43" s="2935"/>
      <c r="BP43" s="2935"/>
      <c r="BQ43" s="2935"/>
      <c r="BR43" s="2935"/>
      <c r="BS43" s="2934"/>
      <c r="BT43" s="1343"/>
      <c r="BU43" s="1196"/>
      <c r="BV43" s="1196"/>
      <c r="BW43" s="1196">
        <f>SUM(AM43:AN43,AP43:AQ43)</f>
        <v>-78</v>
      </c>
      <c r="BX43" s="1196">
        <f>SUM(AR43:AS43,AU43:AV43)</f>
        <v>71.358254986960674</v>
      </c>
      <c r="BY43" s="1196">
        <f>SUM(AW43:AX43,AZ43:BA43)</f>
        <v>2.3039619057408345</v>
      </c>
      <c r="BZ43" s="1196">
        <f>SUM(BB43:BC43,BE43:BF43)</f>
        <v>6.5969559541736089</v>
      </c>
      <c r="CA43" s="1196"/>
      <c r="CB43" s="1196"/>
    </row>
    <row r="44" spans="1:80" ht="13.5" thickBot="1">
      <c r="B44" s="1345"/>
      <c r="C44" s="1345"/>
      <c r="D44" s="1345"/>
      <c r="E44" s="1345"/>
      <c r="F44" s="1346"/>
      <c r="G44" s="1345"/>
      <c r="H44" s="1345"/>
      <c r="I44" s="1345"/>
      <c r="J44" s="1345"/>
      <c r="K44" s="1346"/>
      <c r="L44" s="1345"/>
      <c r="M44" s="1345"/>
      <c r="N44" s="1345"/>
      <c r="O44" s="1345"/>
      <c r="P44" s="1346"/>
      <c r="Q44" s="1345"/>
      <c r="R44" s="1345"/>
      <c r="S44" s="1345"/>
      <c r="T44" s="1345"/>
      <c r="U44" s="1346"/>
      <c r="V44" s="1345"/>
      <c r="W44" s="1345"/>
      <c r="X44" s="1345"/>
      <c r="Y44" s="1345"/>
      <c r="Z44" s="1346"/>
      <c r="AA44" s="1345"/>
      <c r="AB44" s="1345"/>
      <c r="AC44" s="1345"/>
      <c r="AD44" s="1345"/>
      <c r="AE44" s="1346"/>
      <c r="AF44" s="1347"/>
      <c r="AG44" s="1347"/>
      <c r="AH44" s="1347"/>
      <c r="AI44" s="1347"/>
      <c r="AJ44" s="1346"/>
      <c r="AK44" s="1347"/>
      <c r="AL44" s="1347"/>
      <c r="AM44" s="1347"/>
      <c r="AN44" s="1347"/>
      <c r="AO44" s="1344"/>
      <c r="AP44" s="1347"/>
      <c r="AQ44" s="1347"/>
      <c r="AR44" s="1347"/>
      <c r="AS44" s="1347"/>
      <c r="AT44" s="1344"/>
      <c r="AU44" s="1347"/>
      <c r="AV44" s="1347"/>
      <c r="AW44" s="1347"/>
      <c r="AX44" s="1347"/>
      <c r="AY44" s="1344"/>
      <c r="AZ44" s="1347"/>
      <c r="BA44" s="1347"/>
      <c r="BB44" s="1347"/>
      <c r="BC44" s="1347"/>
      <c r="BD44" s="1344"/>
      <c r="BE44" s="2860"/>
      <c r="BF44" s="2860"/>
      <c r="BG44" s="2860"/>
      <c r="BH44" s="2860"/>
      <c r="BI44" s="2932"/>
      <c r="BJ44" s="2933"/>
      <c r="BK44" s="2933"/>
      <c r="BL44" s="2933"/>
      <c r="BM44" s="2933"/>
      <c r="BN44" s="2932"/>
      <c r="BO44" s="2933"/>
      <c r="BP44" s="2933"/>
      <c r="BQ44" s="2933"/>
      <c r="BR44" s="2933"/>
      <c r="BS44" s="2932"/>
      <c r="BT44" s="1343"/>
      <c r="BU44" s="1344"/>
      <c r="BV44" s="1344"/>
      <c r="BW44" s="1344"/>
      <c r="BX44" s="1344"/>
      <c r="BY44" s="1344"/>
      <c r="BZ44" s="1344"/>
      <c r="CA44" s="1344"/>
      <c r="CB44" s="1344"/>
    </row>
    <row r="45" spans="1:80">
      <c r="A45" s="1487" t="s">
        <v>1032</v>
      </c>
      <c r="B45" s="1488"/>
      <c r="C45" s="1488"/>
      <c r="D45" s="1488"/>
      <c r="E45" s="1488"/>
      <c r="F45" s="1489"/>
      <c r="G45" s="1488"/>
      <c r="H45" s="1488"/>
      <c r="I45" s="1488"/>
      <c r="J45" s="1488"/>
      <c r="K45" s="1489"/>
      <c r="L45" s="1488"/>
      <c r="M45" s="1488"/>
      <c r="N45" s="1488"/>
      <c r="O45" s="1488"/>
      <c r="P45" s="1489"/>
      <c r="Q45" s="1488"/>
      <c r="R45" s="1488"/>
      <c r="S45" s="1488"/>
      <c r="T45" s="1488"/>
      <c r="U45" s="1489"/>
      <c r="V45" s="1488"/>
      <c r="W45" s="1488"/>
      <c r="X45" s="1488"/>
      <c r="Y45" s="1488"/>
      <c r="Z45" s="1489"/>
      <c r="AA45" s="1488"/>
      <c r="AB45" s="1488"/>
      <c r="AC45" s="1488"/>
      <c r="AD45" s="1488"/>
      <c r="AE45" s="1489"/>
      <c r="AF45" s="1488"/>
      <c r="AG45" s="1488"/>
      <c r="AH45" s="1488"/>
      <c r="AI45" s="1488"/>
      <c r="AJ45" s="1489">
        <f>AJ43+AJ40+AJ28+AJ17</f>
        <v>77849</v>
      </c>
      <c r="AK45" s="1488">
        <f>AK43+AK40+AK28+AK17</f>
        <v>18529</v>
      </c>
      <c r="AL45" s="1488">
        <f>AL43+AL40+AL28+AL17</f>
        <v>24519</v>
      </c>
      <c r="AM45" s="1488">
        <f>AM43+AM40+AM28+AM17</f>
        <v>20403</v>
      </c>
      <c r="AN45" s="1488">
        <f>AN43+AN40+AN28+AN17</f>
        <v>23382</v>
      </c>
      <c r="AO45" s="1489">
        <f>SUM(AK45:AN45)</f>
        <v>86833</v>
      </c>
      <c r="AP45" s="1488">
        <f>AP43+AP40+AP28+AP17</f>
        <v>23201</v>
      </c>
      <c r="AQ45" s="1488">
        <f>AQ43+AQ40+AQ28+AQ17</f>
        <v>26144</v>
      </c>
      <c r="AR45" s="1488">
        <f>AR43+AR40+AR28+AR17</f>
        <v>21729</v>
      </c>
      <c r="AS45" s="1488">
        <f>AS43+AS40+AS28+AS17</f>
        <v>22180</v>
      </c>
      <c r="AT45" s="1489">
        <f>SUM(AP45:AS45)</f>
        <v>93254</v>
      </c>
      <c r="AU45" s="1488">
        <f>AU43+AU40+AU28+AU17</f>
        <v>21654.090659420126</v>
      </c>
      <c r="AV45" s="1488">
        <f>AV43+AV40+AV28+AV17</f>
        <v>25693.267595566835</v>
      </c>
      <c r="AW45" s="1488">
        <f>AW43+AW40+AW28+AW17</f>
        <v>22060.38167258411</v>
      </c>
      <c r="AX45" s="1488">
        <f>AX43+AX40+AX28+AX17</f>
        <v>22632.547046700609</v>
      </c>
      <c r="AY45" s="1489">
        <f>SUM(AU45:AX45)</f>
        <v>92040.286974271672</v>
      </c>
      <c r="AZ45" s="1488">
        <f>AZ43+AZ40+AZ28+AZ17</f>
        <v>22339.804622187479</v>
      </c>
      <c r="BA45" s="1488">
        <f>BA43+BA40+BA28+BA17</f>
        <v>26085.570620433544</v>
      </c>
      <c r="BB45" s="1488">
        <f>BB43+BB40+BB28+BB17</f>
        <v>23557.094969061051</v>
      </c>
      <c r="BC45" s="1488">
        <f>BC43+BC40+BC28+BC17</f>
        <v>24706.501986893123</v>
      </c>
      <c r="BD45" s="1489">
        <f>SUM(AZ45:BC45)</f>
        <v>96688.972198575211</v>
      </c>
      <c r="BE45" s="2857"/>
      <c r="BF45" s="2857"/>
      <c r="BG45" s="2857"/>
      <c r="BH45" s="2857"/>
      <c r="BI45" s="2926"/>
      <c r="BJ45" s="2927"/>
      <c r="BK45" s="2927"/>
      <c r="BL45" s="2927"/>
      <c r="BM45" s="2927"/>
      <c r="BN45" s="2926"/>
      <c r="BO45" s="2927"/>
      <c r="BP45" s="2927"/>
      <c r="BQ45" s="2927"/>
      <c r="BR45" s="2927"/>
      <c r="BS45" s="2926"/>
      <c r="BT45" s="1343"/>
      <c r="BU45" s="1489"/>
      <c r="BV45" s="1489"/>
      <c r="BW45" s="1489">
        <f>SUM(AM45:AN45,AP45:AQ45)</f>
        <v>93130</v>
      </c>
      <c r="BX45" s="1489">
        <f>SUM(AR45:AS45,AU45:AV45)</f>
        <v>91256.358254986961</v>
      </c>
      <c r="BY45" s="1489">
        <f>SUM(AW45:AX45,AZ45:BA45)</f>
        <v>93118.303961905738</v>
      </c>
      <c r="BZ45" s="1489">
        <f>SUM(BB45:BC45,BE45:BF45)</f>
        <v>48263.59695595417</v>
      </c>
      <c r="CA45" s="1489"/>
      <c r="CB45" s="1489"/>
    </row>
    <row r="46" spans="1:80" ht="13.5" thickBot="1">
      <c r="A46" s="1490" t="s">
        <v>163</v>
      </c>
      <c r="B46" s="1491"/>
      <c r="C46" s="1491"/>
      <c r="D46" s="1491"/>
      <c r="E46" s="1491"/>
      <c r="F46" s="1492"/>
      <c r="G46" s="1491"/>
      <c r="H46" s="1491"/>
      <c r="I46" s="1491"/>
      <c r="J46" s="1491"/>
      <c r="K46" s="1492"/>
      <c r="L46" s="1491"/>
      <c r="M46" s="1491"/>
      <c r="N46" s="1491"/>
      <c r="O46" s="1491"/>
      <c r="P46" s="1492"/>
      <c r="Q46" s="1491"/>
      <c r="R46" s="1491"/>
      <c r="S46" s="1491"/>
      <c r="T46" s="1491"/>
      <c r="U46" s="1492"/>
      <c r="V46" s="1491"/>
      <c r="W46" s="1491"/>
      <c r="X46" s="1491"/>
      <c r="Y46" s="1491"/>
      <c r="Z46" s="1492"/>
      <c r="AA46" s="1491"/>
      <c r="AB46" s="1491"/>
      <c r="AC46" s="1491"/>
      <c r="AD46" s="1491"/>
      <c r="AE46" s="1492"/>
      <c r="AF46" s="1493"/>
      <c r="AG46" s="1493"/>
      <c r="AH46" s="1493"/>
      <c r="AI46" s="1493"/>
      <c r="AJ46" s="1492"/>
      <c r="AK46" s="1493"/>
      <c r="AL46" s="1493"/>
      <c r="AM46" s="1493"/>
      <c r="AN46" s="1493"/>
      <c r="AO46" s="1496">
        <f t="shared" ref="AO46:BD46" si="50">IFERROR(AO45/AJ45-1,"")</f>
        <v>0.11540289534868786</v>
      </c>
      <c r="AP46" s="1495">
        <f t="shared" si="50"/>
        <v>0.25214528576825512</v>
      </c>
      <c r="AQ46" s="1495">
        <f t="shared" si="50"/>
        <v>6.627513356988457E-2</v>
      </c>
      <c r="AR46" s="1495">
        <f t="shared" si="50"/>
        <v>6.4990442581973173E-2</v>
      </c>
      <c r="AS46" s="1495">
        <f t="shared" si="50"/>
        <v>-5.1407065263878171E-2</v>
      </c>
      <c r="AT46" s="1496">
        <f t="shared" si="50"/>
        <v>7.3946541061578053E-2</v>
      </c>
      <c r="AU46" s="1495">
        <f t="shared" si="50"/>
        <v>-6.6674252858923033E-2</v>
      </c>
      <c r="AV46" s="1495">
        <f t="shared" si="50"/>
        <v>-1.7240376546556191E-2</v>
      </c>
      <c r="AW46" s="1495">
        <f t="shared" si="50"/>
        <v>1.5250663748175741E-2</v>
      </c>
      <c r="AX46" s="1495">
        <f t="shared" si="50"/>
        <v>2.0403383530234853E-2</v>
      </c>
      <c r="AY46" s="1496">
        <f t="shared" si="50"/>
        <v>-1.3015130994148527E-2</v>
      </c>
      <c r="AZ46" s="1495">
        <f t="shared" si="50"/>
        <v>3.1666717090659713E-2</v>
      </c>
      <c r="BA46" s="1495">
        <f t="shared" si="50"/>
        <v>1.5268708949047749E-2</v>
      </c>
      <c r="BB46" s="1495">
        <f t="shared" si="50"/>
        <v>6.784621040065697E-2</v>
      </c>
      <c r="BC46" s="1495">
        <f t="shared" si="50"/>
        <v>9.1635949586807763E-2</v>
      </c>
      <c r="BD46" s="1496">
        <f t="shared" si="50"/>
        <v>5.0507070079029548E-2</v>
      </c>
      <c r="BE46" s="2858"/>
      <c r="BF46" s="2858"/>
      <c r="BG46" s="2858"/>
      <c r="BH46" s="2858"/>
      <c r="BI46" s="2928"/>
      <c r="BJ46" s="2929"/>
      <c r="BK46" s="2929"/>
      <c r="BL46" s="2929"/>
      <c r="BM46" s="2929"/>
      <c r="BN46" s="2928"/>
      <c r="BO46" s="2929"/>
      <c r="BP46" s="2929"/>
      <c r="BQ46" s="2929"/>
      <c r="BR46" s="2929"/>
      <c r="BS46" s="2928"/>
      <c r="BT46" s="1343"/>
      <c r="BU46" s="1496"/>
      <c r="BV46" s="1496"/>
      <c r="BW46" s="1496"/>
      <c r="BX46" s="1496">
        <f>BX45/BW45-1</f>
        <v>-2.0118562708182575E-2</v>
      </c>
      <c r="BY46" s="1496">
        <f>BY45/BX45-1</f>
        <v>2.0403462756164004E-2</v>
      </c>
      <c r="BZ46" s="1496">
        <f>BZ45/BY45-1</f>
        <v>-0.48169591903543929</v>
      </c>
      <c r="CA46" s="1496"/>
      <c r="CB46" s="1496"/>
    </row>
    <row r="47" spans="1:80">
      <c r="A47" s="1340"/>
      <c r="B47" s="1345"/>
      <c r="C47" s="1345"/>
      <c r="D47" s="1345"/>
      <c r="E47" s="1345"/>
      <c r="F47" s="1346"/>
      <c r="G47" s="1345"/>
      <c r="H47" s="1345"/>
      <c r="I47" s="1345"/>
      <c r="J47" s="1345"/>
      <c r="K47" s="1346"/>
      <c r="L47" s="1345"/>
      <c r="M47" s="1345"/>
      <c r="N47" s="1345"/>
      <c r="O47" s="1345"/>
      <c r="P47" s="1346"/>
      <c r="Q47" s="1345"/>
      <c r="R47" s="1345"/>
      <c r="S47" s="1345"/>
      <c r="T47" s="1345"/>
      <c r="U47" s="1346"/>
      <c r="V47" s="1345"/>
      <c r="W47" s="1345"/>
      <c r="X47" s="1345"/>
      <c r="Y47" s="1345"/>
      <c r="Z47" s="1346"/>
      <c r="AA47" s="1345"/>
      <c r="AB47" s="1345"/>
      <c r="AC47" s="1345"/>
      <c r="AD47" s="1345"/>
      <c r="AE47" s="1346"/>
      <c r="AF47" s="1347"/>
      <c r="AG47" s="1347"/>
      <c r="AH47" s="1347"/>
      <c r="AI47" s="1347"/>
      <c r="AJ47" s="1346"/>
      <c r="AK47" s="1347"/>
      <c r="AL47" s="1347"/>
      <c r="AM47" s="1347"/>
      <c r="AN47" s="1347"/>
      <c r="AO47" s="1344"/>
      <c r="AP47" s="1547"/>
      <c r="AQ47" s="1547"/>
      <c r="AR47" s="1547"/>
      <c r="AS47" s="1547"/>
      <c r="AT47" s="1548"/>
      <c r="AU47" s="1547"/>
      <c r="AV47" s="1547"/>
      <c r="AW47" s="1547"/>
      <c r="AX47" s="1547"/>
      <c r="AY47" s="1548"/>
      <c r="AZ47" s="1547"/>
      <c r="BA47" s="1547"/>
      <c r="BB47" s="1547"/>
      <c r="BC47" s="1547"/>
      <c r="BD47" s="1548"/>
      <c r="BE47" s="2862"/>
      <c r="BF47" s="2862"/>
      <c r="BG47" s="2862"/>
      <c r="BH47" s="2862"/>
      <c r="BI47" s="2936"/>
      <c r="BJ47" s="2937"/>
      <c r="BK47" s="2937"/>
      <c r="BL47" s="2937"/>
      <c r="BM47" s="2937"/>
      <c r="BN47" s="2936"/>
      <c r="BO47" s="2937"/>
      <c r="BP47" s="2937"/>
      <c r="BQ47" s="2937"/>
      <c r="BR47" s="2937"/>
      <c r="BS47" s="2936"/>
      <c r="BT47" s="1343"/>
      <c r="BU47" s="1548"/>
      <c r="BV47" s="1548"/>
      <c r="BW47" s="1548"/>
      <c r="BX47" s="1548"/>
      <c r="BY47" s="1548"/>
      <c r="BZ47" s="1548"/>
      <c r="CA47" s="1548"/>
      <c r="CB47" s="1548"/>
    </row>
    <row r="48" spans="1:80" ht="13.5" thickBot="1">
      <c r="A48" s="1340"/>
      <c r="B48" s="1345"/>
      <c r="C48" s="1345"/>
      <c r="D48" s="1345"/>
      <c r="E48" s="1345"/>
      <c r="F48" s="1346"/>
      <c r="G48" s="1345"/>
      <c r="H48" s="1345"/>
      <c r="I48" s="1345"/>
      <c r="J48" s="1345"/>
      <c r="K48" s="1346"/>
      <c r="L48" s="1345"/>
      <c r="M48" s="1345"/>
      <c r="N48" s="1345"/>
      <c r="O48" s="1345"/>
      <c r="P48" s="1346"/>
      <c r="Q48" s="1345"/>
      <c r="R48" s="1345"/>
      <c r="S48" s="1345"/>
      <c r="T48" s="1345"/>
      <c r="U48" s="1346"/>
      <c r="V48" s="1345"/>
      <c r="W48" s="1345"/>
      <c r="X48" s="1345"/>
      <c r="Y48" s="1345"/>
      <c r="Z48" s="1346"/>
      <c r="AA48" s="1345"/>
      <c r="AB48" s="1345"/>
      <c r="AC48" s="1345"/>
      <c r="AD48" s="1345"/>
      <c r="AE48" s="1346"/>
      <c r="AF48" s="1347"/>
      <c r="AG48" s="1347"/>
      <c r="AH48" s="1347"/>
      <c r="AI48" s="1347"/>
      <c r="AJ48" s="1346"/>
      <c r="AK48" s="2689"/>
      <c r="AL48" s="2689"/>
      <c r="AM48" s="2689"/>
      <c r="AN48" s="2689"/>
      <c r="AO48" s="2688"/>
      <c r="AP48" s="2689"/>
      <c r="AQ48" s="2689"/>
      <c r="AR48" s="2689"/>
      <c r="AS48" s="2689"/>
      <c r="AT48" s="2688"/>
      <c r="AU48" s="2689"/>
      <c r="AV48" s="2689"/>
      <c r="AW48" s="2689"/>
      <c r="AX48" s="2689"/>
      <c r="AY48" s="2688"/>
      <c r="AZ48" s="2689"/>
      <c r="BA48" s="2689"/>
      <c r="BB48" s="2689"/>
      <c r="BC48" s="2689"/>
      <c r="BD48" s="2688"/>
      <c r="BE48" s="2863"/>
      <c r="BF48" s="2863"/>
      <c r="BG48" s="2863"/>
      <c r="BH48" s="2863"/>
      <c r="BI48" s="2938"/>
      <c r="BJ48" s="2939"/>
      <c r="BK48" s="2939"/>
      <c r="BL48" s="2939"/>
      <c r="BM48" s="2939"/>
      <c r="BN48" s="2938"/>
      <c r="BO48" s="2939"/>
      <c r="BP48" s="2939"/>
      <c r="BQ48" s="2939"/>
      <c r="BR48" s="2939"/>
      <c r="BS48" s="2938"/>
      <c r="BT48" s="1343"/>
      <c r="BU48" s="1351"/>
      <c r="BV48" s="1351"/>
      <c r="BW48" s="1351"/>
      <c r="BX48" s="1351"/>
      <c r="BY48" s="1351"/>
      <c r="BZ48" s="1351"/>
      <c r="CA48" s="1351"/>
      <c r="CB48" s="1351"/>
    </row>
    <row r="49" spans="1:83" ht="13.5" thickBot="1">
      <c r="A49" s="982" t="s">
        <v>977</v>
      </c>
      <c r="B49" s="983"/>
      <c r="C49" s="983"/>
      <c r="D49" s="983"/>
      <c r="E49" s="983"/>
      <c r="F49" s="1008"/>
      <c r="G49" s="983"/>
      <c r="H49" s="983"/>
      <c r="I49" s="983"/>
      <c r="J49" s="983"/>
      <c r="K49" s="1008"/>
      <c r="L49" s="983"/>
      <c r="M49" s="983"/>
      <c r="N49" s="983"/>
      <c r="O49" s="983"/>
      <c r="P49" s="1008"/>
      <c r="Q49" s="983"/>
      <c r="R49" s="983"/>
      <c r="S49" s="983"/>
      <c r="T49" s="983"/>
      <c r="U49" s="1008"/>
      <c r="V49" s="983"/>
      <c r="W49" s="983"/>
      <c r="X49" s="983"/>
      <c r="Y49" s="983"/>
      <c r="Z49" s="1008"/>
      <c r="AA49" s="983"/>
      <c r="AB49" s="983"/>
      <c r="AC49" s="983"/>
      <c r="AD49" s="983"/>
      <c r="AE49" s="1008"/>
      <c r="AF49" s="984"/>
      <c r="AG49" s="984"/>
      <c r="AH49" s="984"/>
      <c r="AI49" s="984"/>
      <c r="AJ49" s="1008"/>
      <c r="AK49" s="984"/>
      <c r="AL49" s="984"/>
      <c r="AM49" s="984"/>
      <c r="AN49" s="984"/>
      <c r="AO49" s="985"/>
      <c r="AP49" s="984"/>
      <c r="AQ49" s="984"/>
      <c r="AR49" s="984"/>
      <c r="AS49" s="984"/>
      <c r="AT49" s="985"/>
      <c r="AU49" s="984"/>
      <c r="AV49" s="984"/>
      <c r="AW49" s="984"/>
      <c r="AX49" s="984"/>
      <c r="AY49" s="985"/>
      <c r="AZ49" s="984"/>
      <c r="BA49" s="984"/>
      <c r="BB49" s="984"/>
      <c r="BC49" s="984"/>
      <c r="BD49" s="985"/>
      <c r="BE49" s="2864"/>
      <c r="BF49" s="2864"/>
      <c r="BG49" s="2864"/>
      <c r="BH49" s="2864"/>
      <c r="BI49" s="2940"/>
      <c r="BJ49" s="2941"/>
      <c r="BK49" s="2941"/>
      <c r="BL49" s="2941"/>
      <c r="BM49" s="2941"/>
      <c r="BN49" s="2940"/>
      <c r="BO49" s="2941"/>
      <c r="BP49" s="2941"/>
      <c r="BQ49" s="2941"/>
      <c r="BR49" s="2941"/>
      <c r="BS49" s="2940"/>
      <c r="BT49" s="1343"/>
      <c r="BU49" s="985"/>
      <c r="BV49" s="985"/>
      <c r="BW49" s="985"/>
      <c r="BX49" s="985"/>
      <c r="BY49" s="985"/>
      <c r="BZ49" s="985"/>
      <c r="CA49" s="985"/>
      <c r="CB49" s="985"/>
    </row>
    <row r="50" spans="1:83" outlineLevel="1">
      <c r="A50" s="1050" t="s">
        <v>1043</v>
      </c>
      <c r="B50" s="1051"/>
      <c r="C50" s="1051"/>
      <c r="D50" s="1051"/>
      <c r="E50" s="1051"/>
      <c r="F50" s="1052"/>
      <c r="G50" s="1051"/>
      <c r="H50" s="1051"/>
      <c r="I50" s="1051"/>
      <c r="J50" s="1051"/>
      <c r="K50" s="1052"/>
      <c r="L50" s="1051"/>
      <c r="M50" s="1051"/>
      <c r="N50" s="1051"/>
      <c r="O50" s="1051"/>
      <c r="P50" s="1052"/>
      <c r="Q50" s="1051"/>
      <c r="R50" s="1051"/>
      <c r="S50" s="1051"/>
      <c r="T50" s="1051"/>
      <c r="U50" s="1052"/>
      <c r="V50" s="1051"/>
      <c r="W50" s="1051"/>
      <c r="X50" s="1051"/>
      <c r="Y50" s="1051"/>
      <c r="Z50" s="1052"/>
      <c r="AA50" s="1051"/>
      <c r="AB50" s="1051"/>
      <c r="AC50" s="1051"/>
      <c r="AD50" s="1051"/>
      <c r="AE50" s="1052"/>
      <c r="AF50" s="1053"/>
      <c r="AG50" s="1051"/>
      <c r="AH50" s="1051"/>
      <c r="AI50" s="1051"/>
      <c r="AJ50" s="1052"/>
      <c r="AK50" s="1054"/>
      <c r="AL50" s="1051"/>
      <c r="AM50" s="1051"/>
      <c r="AN50" s="1051"/>
      <c r="AO50" s="1052"/>
      <c r="AP50" s="1054"/>
      <c r="AQ50" s="1051"/>
      <c r="AR50" s="1051"/>
      <c r="AS50" s="1051"/>
      <c r="AT50" s="1052"/>
      <c r="AU50" s="1054"/>
      <c r="AV50" s="1051"/>
      <c r="AW50" s="1051"/>
      <c r="AX50" s="1051"/>
      <c r="AY50" s="1052"/>
      <c r="AZ50" s="1054"/>
      <c r="BA50" s="1051"/>
      <c r="BB50" s="1051"/>
      <c r="BC50" s="1051"/>
      <c r="BD50" s="1052"/>
      <c r="BE50" s="2851"/>
      <c r="BF50" s="2852"/>
      <c r="BG50" s="2852"/>
      <c r="BH50" s="2852"/>
      <c r="BI50" s="2915"/>
      <c r="BJ50" s="2916"/>
      <c r="BK50" s="2917"/>
      <c r="BL50" s="2917"/>
      <c r="BM50" s="2917"/>
      <c r="BN50" s="2915"/>
      <c r="BO50" s="2916"/>
      <c r="BP50" s="2917"/>
      <c r="BQ50" s="2917"/>
      <c r="BR50" s="2917"/>
      <c r="BS50" s="2915"/>
      <c r="BT50" s="1343"/>
      <c r="BU50" s="1052"/>
      <c r="BV50" s="1052"/>
      <c r="BW50" s="1052"/>
      <c r="BX50" s="1052"/>
      <c r="BY50" s="1052"/>
      <c r="BZ50" s="1052"/>
      <c r="CA50" s="1052"/>
      <c r="CB50" s="1052"/>
    </row>
    <row r="51" spans="1:83" outlineLevel="1">
      <c r="A51" s="1464" t="s">
        <v>1064</v>
      </c>
      <c r="B51" s="1465"/>
      <c r="C51" s="1465"/>
      <c r="D51" s="1465"/>
      <c r="E51" s="1465"/>
      <c r="F51" s="1466"/>
      <c r="G51" s="1465"/>
      <c r="H51" s="1465"/>
      <c r="I51" s="1465"/>
      <c r="J51" s="1465"/>
      <c r="K51" s="1466"/>
      <c r="L51" s="1465"/>
      <c r="M51" s="1465"/>
      <c r="N51" s="1465"/>
      <c r="O51" s="1465"/>
      <c r="P51" s="1466"/>
      <c r="Q51" s="1465"/>
      <c r="R51" s="1465"/>
      <c r="S51" s="1465"/>
      <c r="T51" s="1465"/>
      <c r="U51" s="1466"/>
      <c r="V51" s="1465"/>
      <c r="W51" s="1465"/>
      <c r="X51" s="1465"/>
      <c r="Y51" s="1465"/>
      <c r="Z51" s="1466"/>
      <c r="AA51" s="1465"/>
      <c r="AB51" s="1465"/>
      <c r="AC51" s="1465"/>
      <c r="AD51" s="1465"/>
      <c r="AE51" s="1466"/>
      <c r="AF51" s="1467"/>
      <c r="AG51" s="1467"/>
      <c r="AH51" s="1467"/>
      <c r="AI51" s="1467"/>
      <c r="AJ51" s="1466"/>
      <c r="AK51" s="1468">
        <f t="shared" ref="AK51:AN51" si="51">AK54+AK57</f>
        <v>916.62</v>
      </c>
      <c r="AL51" s="1468">
        <f t="shared" si="51"/>
        <v>941.36199999999985</v>
      </c>
      <c r="AM51" s="1468">
        <f t="shared" si="51"/>
        <v>1026.05</v>
      </c>
      <c r="AN51" s="1468">
        <f t="shared" si="51"/>
        <v>1012.92206640625</v>
      </c>
      <c r="AO51" s="1469">
        <f>SUM(AK51:AN51)</f>
        <v>3896.9540664062501</v>
      </c>
      <c r="AP51" s="1423">
        <f t="shared" ref="AP51:BC51" si="52">AP54+AP57</f>
        <v>978.66979062499991</v>
      </c>
      <c r="AQ51" s="1423">
        <f t="shared" si="52"/>
        <v>863.8156312499998</v>
      </c>
      <c r="AR51" s="1423">
        <f t="shared" si="52"/>
        <v>824.10354375000009</v>
      </c>
      <c r="AS51" s="1423">
        <f t="shared" si="52"/>
        <v>836.28409375000012</v>
      </c>
      <c r="AT51" s="1424">
        <f>SUM(AP51:AS51)</f>
        <v>3502.8730593749997</v>
      </c>
      <c r="AU51" s="1423">
        <f t="shared" si="52"/>
        <v>851.47683937500005</v>
      </c>
      <c r="AV51" s="1423">
        <f t="shared" si="52"/>
        <v>738.7980443749999</v>
      </c>
      <c r="AW51" s="1423">
        <f t="shared" si="52"/>
        <v>853.93894687500006</v>
      </c>
      <c r="AX51" s="1423">
        <f t="shared" si="52"/>
        <v>996.82979687500006</v>
      </c>
      <c r="AY51" s="1424">
        <f>SUM(AU51:AX51)</f>
        <v>3441.0436275000002</v>
      </c>
      <c r="AZ51" s="1423">
        <f>AZ54+AZ57</f>
        <v>920.48266215000012</v>
      </c>
      <c r="BA51" s="1423">
        <f t="shared" si="52"/>
        <v>875.22560657500003</v>
      </c>
      <c r="BB51" s="1423">
        <f t="shared" si="52"/>
        <v>979.22937675000014</v>
      </c>
      <c r="BC51" s="1423">
        <f t="shared" si="52"/>
        <v>1122.3355006250001</v>
      </c>
      <c r="BD51" s="1424">
        <f>SUM(AZ51:BC51)</f>
        <v>3897.2731461000003</v>
      </c>
      <c r="BE51" s="2865"/>
      <c r="BF51" s="2865"/>
      <c r="BG51" s="2865"/>
      <c r="BH51" s="2865"/>
      <c r="BI51" s="2934"/>
      <c r="BJ51" s="2935"/>
      <c r="BK51" s="2935"/>
      <c r="BL51" s="2935"/>
      <c r="BM51" s="2935"/>
      <c r="BN51" s="2934"/>
      <c r="BO51" s="2935"/>
      <c r="BP51" s="2935"/>
      <c r="BQ51" s="2935"/>
      <c r="BR51" s="2935"/>
      <c r="BS51" s="2934"/>
      <c r="BT51" s="1343"/>
      <c r="BU51" s="1196"/>
      <c r="BV51" s="1196"/>
      <c r="BW51" s="1196">
        <f>SUM(AM51:AN51,AP51:AQ51)</f>
        <v>3881.4574882812494</v>
      </c>
      <c r="BX51" s="1196">
        <f>SUM(AR51:AS51,AU51:AV51)</f>
        <v>3250.6625212499998</v>
      </c>
      <c r="BY51" s="1196">
        <f>SUM(AW51:AX51,AZ51:BA51)</f>
        <v>3646.4770124750003</v>
      </c>
      <c r="BZ51" s="1196">
        <f>SUM(BB51:BC51,BE51:BF51)</f>
        <v>2101.5648773750004</v>
      </c>
      <c r="CA51" s="1196"/>
      <c r="CB51" s="1196"/>
    </row>
    <row r="52" spans="1:83" outlineLevel="1">
      <c r="A52" s="1452" t="s">
        <v>926</v>
      </c>
      <c r="B52" s="1439"/>
      <c r="C52" s="1439"/>
      <c r="D52" s="1439"/>
      <c r="E52" s="1439"/>
      <c r="F52" s="1440"/>
      <c r="G52" s="1439"/>
      <c r="H52" s="1439"/>
      <c r="I52" s="1439"/>
      <c r="J52" s="1439"/>
      <c r="K52" s="1440"/>
      <c r="L52" s="1439"/>
      <c r="M52" s="1439"/>
      <c r="N52" s="1439"/>
      <c r="O52" s="1439"/>
      <c r="P52" s="1440"/>
      <c r="Q52" s="1439"/>
      <c r="R52" s="1439"/>
      <c r="S52" s="1439"/>
      <c r="T52" s="1439"/>
      <c r="U52" s="1440"/>
      <c r="V52" s="1439"/>
      <c r="W52" s="1439"/>
      <c r="X52" s="1439"/>
      <c r="Y52" s="1439"/>
      <c r="Z52" s="1440"/>
      <c r="AA52" s="1439"/>
      <c r="AB52" s="1439"/>
      <c r="AC52" s="1439"/>
      <c r="AD52" s="1439"/>
      <c r="AE52" s="1440"/>
      <c r="AF52" s="1441"/>
      <c r="AG52" s="1441"/>
      <c r="AH52" s="1441"/>
      <c r="AI52" s="1441"/>
      <c r="AJ52" s="1440"/>
      <c r="AK52" s="1442"/>
      <c r="AL52" s="1442"/>
      <c r="AM52" s="1442"/>
      <c r="AN52" s="1442"/>
      <c r="AO52" s="1443"/>
      <c r="AP52" s="1442">
        <f t="shared" ref="AP52:BD52" si="53">IF(ISERROR(AP51/AK51-1),,(AP51/AK51-1))</f>
        <v>6.7694126928279807E-2</v>
      </c>
      <c r="AQ52" s="1442">
        <f t="shared" si="53"/>
        <v>-8.2376778274457774E-2</v>
      </c>
      <c r="AR52" s="1442">
        <f t="shared" si="53"/>
        <v>-0.19681931314263423</v>
      </c>
      <c r="AS52" s="1442">
        <f t="shared" si="53"/>
        <v>-0.17438456374333355</v>
      </c>
      <c r="AT52" s="1443">
        <f t="shared" si="53"/>
        <v>-0.10112539186141078</v>
      </c>
      <c r="AU52" s="1442">
        <f t="shared" si="53"/>
        <v>-0.12996513478644478</v>
      </c>
      <c r="AV52" s="1442">
        <f t="shared" si="53"/>
        <v>-0.14472716439975852</v>
      </c>
      <c r="AW52" s="1442">
        <f t="shared" si="53"/>
        <v>3.6203464177859246E-2</v>
      </c>
      <c r="AX52" s="1442">
        <f t="shared" si="53"/>
        <v>0.19197507680086723</v>
      </c>
      <c r="AY52" s="1443">
        <f t="shared" si="53"/>
        <v>-1.7651062663981198E-2</v>
      </c>
      <c r="AZ52" s="1442">
        <f t="shared" si="53"/>
        <v>8.1042512942162581E-2</v>
      </c>
      <c r="BA52" s="1442">
        <f t="shared" si="53"/>
        <v>0.18466150964897809</v>
      </c>
      <c r="BB52" s="1442">
        <f t="shared" si="53"/>
        <v>0.14672059440959084</v>
      </c>
      <c r="BC52" s="1442">
        <f t="shared" si="53"/>
        <v>0.1259048476916047</v>
      </c>
      <c r="BD52" s="1443">
        <f t="shared" si="53"/>
        <v>0.13258463651954955</v>
      </c>
      <c r="BE52" s="2866"/>
      <c r="BF52" s="2866"/>
      <c r="BG52" s="2866"/>
      <c r="BH52" s="2866"/>
      <c r="BI52" s="2942"/>
      <c r="BJ52" s="2943"/>
      <c r="BK52" s="2943"/>
      <c r="BL52" s="2943"/>
      <c r="BM52" s="2943"/>
      <c r="BN52" s="2942"/>
      <c r="BO52" s="2943"/>
      <c r="BP52" s="2943"/>
      <c r="BQ52" s="2943"/>
      <c r="BR52" s="2943"/>
      <c r="BS52" s="2942"/>
      <c r="BT52" s="1343"/>
      <c r="BU52" s="1443"/>
      <c r="BV52" s="1443"/>
      <c r="BW52" s="1443"/>
      <c r="BX52" s="1443">
        <f>BX51/BW51-1</f>
        <v>-0.162514975092661</v>
      </c>
      <c r="BY52" s="1443">
        <f>BY51/BX51-1</f>
        <v>0.12176425225242848</v>
      </c>
      <c r="BZ52" s="1443">
        <f>BZ51/BY51-1</f>
        <v>-0.42367252825526802</v>
      </c>
      <c r="CA52" s="1443"/>
      <c r="CB52" s="1443"/>
    </row>
    <row r="53" spans="1:83" outlineLevel="1">
      <c r="A53" s="1452" t="s">
        <v>952</v>
      </c>
      <c r="B53" s="1439"/>
      <c r="C53" s="1439"/>
      <c r="D53" s="1439"/>
      <c r="E53" s="1439"/>
      <c r="F53" s="1440"/>
      <c r="G53" s="1439"/>
      <c r="H53" s="1439"/>
      <c r="I53" s="1439"/>
      <c r="J53" s="1439"/>
      <c r="K53" s="1440"/>
      <c r="L53" s="1439"/>
      <c r="M53" s="1439"/>
      <c r="N53" s="1439"/>
      <c r="O53" s="1439"/>
      <c r="P53" s="1440"/>
      <c r="Q53" s="1439"/>
      <c r="R53" s="1439"/>
      <c r="S53" s="1439"/>
      <c r="T53" s="1439"/>
      <c r="U53" s="1440"/>
      <c r="V53" s="1439"/>
      <c r="W53" s="1439"/>
      <c r="X53" s="1439"/>
      <c r="Y53" s="1439"/>
      <c r="Z53" s="1440"/>
      <c r="AA53" s="1439"/>
      <c r="AB53" s="1439"/>
      <c r="AC53" s="1439"/>
      <c r="AD53" s="1439"/>
      <c r="AE53" s="1440"/>
      <c r="AF53" s="1441"/>
      <c r="AG53" s="1441"/>
      <c r="AH53" s="1441"/>
      <c r="AI53" s="1441"/>
      <c r="AJ53" s="1440"/>
      <c r="AK53" s="1442"/>
      <c r="AL53" s="1442">
        <f>IF(ISERROR(AL51/AK51-1),,(AL51/AK51-1))</f>
        <v>2.6992646898387429E-2</v>
      </c>
      <c r="AM53" s="1442">
        <f>IF(ISERROR(AM51/AL51-1),,(AM51/AL51-1))</f>
        <v>8.9963265991191532E-2</v>
      </c>
      <c r="AN53" s="1442">
        <f>IF(ISERROR(AN51/AM51-1),,(AN51/AM51-1))</f>
        <v>-1.279463339384046E-2</v>
      </c>
      <c r="AO53" s="1444"/>
      <c r="AP53" s="1442">
        <f>IF(ISERROR(AP51/AN51-1),,(AP51/AN51-1))</f>
        <v>-3.3815312073093517E-2</v>
      </c>
      <c r="AQ53" s="1442">
        <f>IF(ISERROR(AQ51/AP51-1),,(AQ51/AP51-1))</f>
        <v>-0.11735741766551488</v>
      </c>
      <c r="AR53" s="1442">
        <f>IF(ISERROR(AR51/AQ51-1),,(AR51/AQ51-1))</f>
        <v>-4.5972874376600026E-2</v>
      </c>
      <c r="AS53" s="1442">
        <f>IF(ISERROR(AS51/AR51-1),,(AS51/AR51-1))</f>
        <v>1.4780363574913968E-2</v>
      </c>
      <c r="AT53" s="1444"/>
      <c r="AU53" s="1442">
        <f>IF(ISERROR(AU51/AS51-1),,(AU51/AS51-1))</f>
        <v>1.8166967109076282E-2</v>
      </c>
      <c r="AV53" s="1442">
        <f>IF(ISERROR(AV51/AU51-1),,(AV51/AU51-1))</f>
        <v>-0.13233336456069489</v>
      </c>
      <c r="AW53" s="1442">
        <f>IF(ISERROR(AW51/AV51-1),,(AW51/AV51-1))</f>
        <v>0.1558489540905672</v>
      </c>
      <c r="AX53" s="1442">
        <f>IF(ISERROR(AX51/AW51-1),,(AX51/AW51-1))</f>
        <v>0.16733145914343273</v>
      </c>
      <c r="AY53" s="1444"/>
      <c r="AZ53" s="1442">
        <f>IF(ISERROR(AZ51/AX51-1),,(AZ51/AX51-1))</f>
        <v>-7.658994039337863E-2</v>
      </c>
      <c r="BA53" s="1442">
        <f>IF(ISERROR(BA51/AZ51-1),,(BA51/AZ51-1))</f>
        <v>-4.9166657272274761E-2</v>
      </c>
      <c r="BB53" s="1442">
        <f>IF(ISERROR(BB51/BA51-1),,(BB51/BA51-1))</f>
        <v>0.11883081275694796</v>
      </c>
      <c r="BC53" s="1442">
        <f>IF(ISERROR(BC51/BB51-1),,(BC51/BB51-1))</f>
        <v>0.14614157548046625</v>
      </c>
      <c r="BD53" s="1443"/>
      <c r="BE53" s="2866"/>
      <c r="BF53" s="2866"/>
      <c r="BG53" s="2866"/>
      <c r="BH53" s="2866"/>
      <c r="BI53" s="2942"/>
      <c r="BJ53" s="2943"/>
      <c r="BK53" s="2943"/>
      <c r="BL53" s="2943"/>
      <c r="BM53" s="2943"/>
      <c r="BN53" s="2942"/>
      <c r="BO53" s="2943"/>
      <c r="BP53" s="2943"/>
      <c r="BQ53" s="2943"/>
      <c r="BR53" s="2943"/>
      <c r="BS53" s="2942"/>
      <c r="BT53" s="1343"/>
      <c r="BU53" s="1443"/>
      <c r="BV53" s="1443"/>
      <c r="BW53" s="1443"/>
      <c r="BX53" s="1443"/>
      <c r="BY53" s="1443"/>
      <c r="BZ53" s="1443"/>
      <c r="CA53" s="1443"/>
      <c r="CB53" s="1443"/>
    </row>
    <row r="54" spans="1:83" outlineLevel="1">
      <c r="A54" s="1462" t="s">
        <v>1065</v>
      </c>
      <c r="B54" s="1432"/>
      <c r="C54" s="1432"/>
      <c r="D54" s="1432"/>
      <c r="E54" s="1432"/>
      <c r="F54" s="1429"/>
      <c r="G54" s="1432"/>
      <c r="H54" s="1432"/>
      <c r="I54" s="1432"/>
      <c r="J54" s="1432"/>
      <c r="K54" s="1429"/>
      <c r="L54" s="1432"/>
      <c r="M54" s="1432"/>
      <c r="N54" s="1432"/>
      <c r="O54" s="1432"/>
      <c r="P54" s="1429"/>
      <c r="Q54" s="1432"/>
      <c r="R54" s="1432"/>
      <c r="S54" s="1432"/>
      <c r="T54" s="1432"/>
      <c r="U54" s="1429"/>
      <c r="V54" s="1432"/>
      <c r="W54" s="1432"/>
      <c r="X54" s="1432"/>
      <c r="Y54" s="1432"/>
      <c r="Z54" s="1429"/>
      <c r="AA54" s="1432"/>
      <c r="AB54" s="1432"/>
      <c r="AC54" s="1432"/>
      <c r="AD54" s="1432"/>
      <c r="AE54" s="1429"/>
      <c r="AF54" s="1432"/>
      <c r="AG54" s="1432"/>
      <c r="AH54" s="1432"/>
      <c r="AI54" s="1432"/>
      <c r="AJ54" s="1429"/>
      <c r="AK54" s="1432">
        <v>65</v>
      </c>
      <c r="AL54" s="1432">
        <v>75</v>
      </c>
      <c r="AM54" s="1432">
        <v>98</v>
      </c>
      <c r="AN54" s="1432">
        <f>AN251</f>
        <v>138.69706640624997</v>
      </c>
      <c r="AO54" s="1429">
        <f>SUM(AK54:AN54)</f>
        <v>376.69706640624997</v>
      </c>
      <c r="AP54" s="2840">
        <f>AP251</f>
        <v>169.63079062499997</v>
      </c>
      <c r="AQ54" s="2840">
        <f>AQ251</f>
        <v>214.04413124999996</v>
      </c>
      <c r="AR54" s="2840">
        <f>AR251</f>
        <v>276.55404375000001</v>
      </c>
      <c r="AS54" s="2840">
        <f>AS251</f>
        <v>329.23359375000007</v>
      </c>
      <c r="AT54" s="2841">
        <f>SUM(AP54:AS54)</f>
        <v>989.46255937500007</v>
      </c>
      <c r="AU54" s="2840">
        <f>AU251</f>
        <v>390.32460937500002</v>
      </c>
      <c r="AV54" s="2840">
        <f>AV251</f>
        <v>436.654296875</v>
      </c>
      <c r="AW54" s="2840">
        <f>AW251</f>
        <v>470.654296875</v>
      </c>
      <c r="AX54" s="2840">
        <f>AX251</f>
        <v>489.779296875</v>
      </c>
      <c r="AY54" s="2841">
        <f>SUM(AU54:AX54)</f>
        <v>1787.4124999999999</v>
      </c>
      <c r="AZ54" s="2840">
        <f>AZ251</f>
        <v>508.904296875</v>
      </c>
      <c r="BA54" s="2840">
        <f>BA251</f>
        <v>536.82460937500014</v>
      </c>
      <c r="BB54" s="2840">
        <f>BB251</f>
        <v>573.90585937500009</v>
      </c>
      <c r="BC54" s="2840">
        <f>BC251</f>
        <v>598.80585937500007</v>
      </c>
      <c r="BD54" s="2841">
        <f>SUM(AZ54:BC54)</f>
        <v>2218.4406250000002</v>
      </c>
      <c r="BE54" s="2867"/>
      <c r="BF54" s="2867"/>
      <c r="BG54" s="2867"/>
      <c r="BH54" s="2867"/>
      <c r="BI54" s="2920"/>
      <c r="BJ54" s="2944"/>
      <c r="BK54" s="2944"/>
      <c r="BL54" s="2944"/>
      <c r="BM54" s="2944"/>
      <c r="BN54" s="2920"/>
      <c r="BO54" s="2944"/>
      <c r="BP54" s="2944"/>
      <c r="BQ54" s="2944"/>
      <c r="BR54" s="2944"/>
      <c r="BS54" s="2920"/>
      <c r="BT54" s="1343"/>
      <c r="BU54" s="1429"/>
      <c r="BV54" s="1429"/>
      <c r="BW54" s="1429">
        <f>SUM(AM54:AN54,AP54:AQ54)</f>
        <v>620.37198828124997</v>
      </c>
      <c r="BX54" s="1429">
        <f>SUM(AR54:AS54,AU54:AV54)</f>
        <v>1432.76654375</v>
      </c>
      <c r="BY54" s="1429">
        <f>SUM(AW54:AX54,AZ54:BA54)</f>
        <v>2006.1625000000001</v>
      </c>
      <c r="BZ54" s="1429">
        <f>SUM(BB54:BC54,BE54:BF54)</f>
        <v>1172.7117187500003</v>
      </c>
      <c r="CA54" s="1429"/>
      <c r="CB54" s="1429"/>
      <c r="CC54" s="1343"/>
      <c r="CD54" s="1343"/>
      <c r="CE54" s="1343"/>
    </row>
    <row r="55" spans="1:83" outlineLevel="1">
      <c r="A55" s="1452" t="s">
        <v>926</v>
      </c>
      <c r="B55" s="1446"/>
      <c r="C55" s="1446"/>
      <c r="D55" s="1446"/>
      <c r="E55" s="1446"/>
      <c r="F55" s="1447"/>
      <c r="G55" s="1446"/>
      <c r="H55" s="1446"/>
      <c r="I55" s="1446"/>
      <c r="J55" s="1446"/>
      <c r="K55" s="1447"/>
      <c r="L55" s="1446"/>
      <c r="M55" s="1446"/>
      <c r="N55" s="1446"/>
      <c r="O55" s="1446"/>
      <c r="P55" s="1447"/>
      <c r="Q55" s="1446"/>
      <c r="R55" s="1446"/>
      <c r="S55" s="1446"/>
      <c r="T55" s="1446"/>
      <c r="U55" s="1447"/>
      <c r="V55" s="1446"/>
      <c r="W55" s="1446"/>
      <c r="X55" s="1446"/>
      <c r="Y55" s="1446"/>
      <c r="Z55" s="1447"/>
      <c r="AA55" s="1446"/>
      <c r="AB55" s="1446"/>
      <c r="AC55" s="1446"/>
      <c r="AD55" s="1446"/>
      <c r="AE55" s="1447"/>
      <c r="AF55" s="1446"/>
      <c r="AG55" s="1446"/>
      <c r="AH55" s="1446"/>
      <c r="AI55" s="1446"/>
      <c r="AJ55" s="1447"/>
      <c r="AK55" s="1442"/>
      <c r="AL55" s="1442"/>
      <c r="AM55" s="1442"/>
      <c r="AN55" s="1442"/>
      <c r="AO55" s="1443"/>
      <c r="AP55" s="1442">
        <f t="shared" ref="AP55:BD55" si="54">IF(ISERROR(AP54/AK54-1),,(AP54/AK54-1))</f>
        <v>1.609704471153846</v>
      </c>
      <c r="AQ55" s="1442">
        <f t="shared" si="54"/>
        <v>1.8539217499999996</v>
      </c>
      <c r="AR55" s="1442">
        <f t="shared" si="54"/>
        <v>1.821980038265306</v>
      </c>
      <c r="AS55" s="1442">
        <f t="shared" si="54"/>
        <v>1.3737603273140615</v>
      </c>
      <c r="AT55" s="1443">
        <f t="shared" si="54"/>
        <v>1.6266797583921493</v>
      </c>
      <c r="AU55" s="1442">
        <f t="shared" si="54"/>
        <v>1.3010245247154701</v>
      </c>
      <c r="AV55" s="1442">
        <f t="shared" si="54"/>
        <v>1.0400199450691554</v>
      </c>
      <c r="AW55" s="1442">
        <f t="shared" si="54"/>
        <v>0.70185288377292077</v>
      </c>
      <c r="AX55" s="1442">
        <f t="shared" si="54"/>
        <v>0.48763463441373034</v>
      </c>
      <c r="AY55" s="1443">
        <f t="shared" si="54"/>
        <v>0.8064478368226784</v>
      </c>
      <c r="AZ55" s="1442">
        <f t="shared" si="54"/>
        <v>0.30379762037006453</v>
      </c>
      <c r="BA55" s="1442">
        <f t="shared" si="54"/>
        <v>0.2294041607213948</v>
      </c>
      <c r="BB55" s="1442">
        <f t="shared" si="54"/>
        <v>0.21937877373171499</v>
      </c>
      <c r="BC55" s="1442">
        <f t="shared" si="54"/>
        <v>0.22260345260740055</v>
      </c>
      <c r="BD55" s="1443">
        <f t="shared" si="54"/>
        <v>0.24114641975481343</v>
      </c>
      <c r="BE55" s="2866"/>
      <c r="BF55" s="2866"/>
      <c r="BG55" s="2866"/>
      <c r="BH55" s="2866"/>
      <c r="BI55" s="2942"/>
      <c r="BJ55" s="2943"/>
      <c r="BK55" s="2943"/>
      <c r="BL55" s="2943"/>
      <c r="BM55" s="2943"/>
      <c r="BN55" s="2942"/>
      <c r="BO55" s="2943"/>
      <c r="BP55" s="2943"/>
      <c r="BQ55" s="2943"/>
      <c r="BR55" s="2943"/>
      <c r="BS55" s="2942"/>
      <c r="BT55" s="1343"/>
      <c r="BU55" s="1443"/>
      <c r="BV55" s="1443"/>
      <c r="BW55" s="1443"/>
      <c r="BX55" s="1443">
        <f>BX54/BW54-1</f>
        <v>1.3095281070305922</v>
      </c>
      <c r="BY55" s="1443">
        <f>BY54/BX54-1</f>
        <v>0.4002019440998692</v>
      </c>
      <c r="BZ55" s="1443">
        <f>BZ54/BY54-1</f>
        <v>-0.41544529979500655</v>
      </c>
      <c r="CA55" s="1443"/>
      <c r="CB55" s="1443"/>
      <c r="CC55" s="1343"/>
      <c r="CD55" s="1343"/>
      <c r="CE55" s="1343"/>
    </row>
    <row r="56" spans="1:83" outlineLevel="1">
      <c r="A56" s="1452" t="s">
        <v>952</v>
      </c>
      <c r="B56" s="1446"/>
      <c r="C56" s="1446"/>
      <c r="D56" s="1446"/>
      <c r="E56" s="1446"/>
      <c r="F56" s="1447"/>
      <c r="G56" s="1446"/>
      <c r="H56" s="1446"/>
      <c r="I56" s="1446"/>
      <c r="J56" s="1446"/>
      <c r="K56" s="1447"/>
      <c r="L56" s="1446"/>
      <c r="M56" s="1446"/>
      <c r="N56" s="1446"/>
      <c r="O56" s="1446"/>
      <c r="P56" s="1447"/>
      <c r="Q56" s="1446"/>
      <c r="R56" s="1446"/>
      <c r="S56" s="1446"/>
      <c r="T56" s="1446"/>
      <c r="U56" s="1447"/>
      <c r="V56" s="1446"/>
      <c r="W56" s="1446"/>
      <c r="X56" s="1446"/>
      <c r="Y56" s="1446"/>
      <c r="Z56" s="1447"/>
      <c r="AA56" s="1446"/>
      <c r="AB56" s="1446"/>
      <c r="AC56" s="1446"/>
      <c r="AD56" s="1446"/>
      <c r="AE56" s="1447"/>
      <c r="AF56" s="1446"/>
      <c r="AG56" s="1446"/>
      <c r="AH56" s="1446"/>
      <c r="AI56" s="1446"/>
      <c r="AJ56" s="1447"/>
      <c r="AK56" s="1442"/>
      <c r="AL56" s="1442">
        <f>IF(ISERROR(AL54/AK54-1),,(AL54/AK54-1))</f>
        <v>0.15384615384615374</v>
      </c>
      <c r="AM56" s="1442">
        <f>IF(ISERROR(AM54/AL54-1),,(AM54/AL54-1))</f>
        <v>0.30666666666666664</v>
      </c>
      <c r="AN56" s="1442">
        <f>IF(ISERROR(AN54/AM54-1),,(AN54/AM54-1))</f>
        <v>0.41527618781887732</v>
      </c>
      <c r="AO56" s="1444"/>
      <c r="AP56" s="1442">
        <f>IF(ISERROR(AP54/AN54-1),,(AP54/AN54-1))</f>
        <v>0.2230308471568081</v>
      </c>
      <c r="AQ56" s="1442">
        <f>IF(ISERROR(AQ54/AP54-1),,(AQ54/AP54-1))</f>
        <v>0.26182357849869264</v>
      </c>
      <c r="AR56" s="1442">
        <f>IF(ISERROR(AR54/AQ54-1),,(AR54/AQ54-1))</f>
        <v>0.29204216969158336</v>
      </c>
      <c r="AS56" s="1442">
        <f>IF(ISERROR(AS54/AR54-1),,(AS54/AR54-1))</f>
        <v>0.19048555315148974</v>
      </c>
      <c r="AT56" s="1444"/>
      <c r="AU56" s="1442">
        <f>IF(ISERROR(AU54/AS54-1),,(AU54/AS54-1))</f>
        <v>0.18555523125440465</v>
      </c>
      <c r="AV56" s="1442">
        <f>IF(ISERROR(AV54/AU54-1),,(AV54/AU54-1))</f>
        <v>0.11869527666775737</v>
      </c>
      <c r="AW56" s="1442">
        <f>IF(ISERROR(AW54/AV54-1),,(AW54/AV54-1))</f>
        <v>7.786480115580563E-2</v>
      </c>
      <c r="AX56" s="1442">
        <f>IF(ISERROR(AX54/AW54-1),,(AX54/AW54-1))</f>
        <v>4.0634920634920579E-2</v>
      </c>
      <c r="AY56" s="1444"/>
      <c r="AZ56" s="1442">
        <f>IF(ISERROR(AZ54/AX54-1),,(AZ54/AX54-1))</f>
        <v>3.9048200122025589E-2</v>
      </c>
      <c r="BA56" s="1442">
        <f>IF(ISERROR(BA54/AZ54-1),,(BA54/AZ54-1))</f>
        <v>5.4863581760753011E-2</v>
      </c>
      <c r="BB56" s="1442">
        <f>IF(ISERROR(BB54/BA54-1),,(BB54/BA54-1))</f>
        <v>6.9075167852628683E-2</v>
      </c>
      <c r="BC56" s="1442">
        <f>IF(ISERROR(BC54/BB54-1),,(BC54/BB54-1))</f>
        <v>4.3386906743061893E-2</v>
      </c>
      <c r="BD56" s="1443"/>
      <c r="BE56" s="2866"/>
      <c r="BF56" s="2866"/>
      <c r="BG56" s="2866"/>
      <c r="BH56" s="2866"/>
      <c r="BI56" s="2942"/>
      <c r="BJ56" s="2943"/>
      <c r="BK56" s="2943"/>
      <c r="BL56" s="2943"/>
      <c r="BM56" s="2943"/>
      <c r="BN56" s="2942"/>
      <c r="BO56" s="2943"/>
      <c r="BP56" s="2943"/>
      <c r="BQ56" s="2943"/>
      <c r="BR56" s="2943"/>
      <c r="BS56" s="2942"/>
      <c r="BT56" s="1343"/>
      <c r="BU56" s="1443"/>
      <c r="BV56" s="1443"/>
      <c r="BW56" s="1443"/>
      <c r="BX56" s="1443"/>
      <c r="BY56" s="1443"/>
      <c r="BZ56" s="1443"/>
      <c r="CA56" s="1443"/>
      <c r="CB56" s="1443"/>
      <c r="CC56" s="1343"/>
      <c r="CD56" s="1343"/>
      <c r="CE56" s="1343"/>
    </row>
    <row r="57" spans="1:83" outlineLevel="1">
      <c r="A57" s="1462" t="s">
        <v>942</v>
      </c>
      <c r="B57" s="1432"/>
      <c r="C57" s="1432"/>
      <c r="D57" s="1432"/>
      <c r="E57" s="1432"/>
      <c r="F57" s="1429"/>
      <c r="G57" s="1432"/>
      <c r="H57" s="1432"/>
      <c r="I57" s="1432"/>
      <c r="J57" s="1432"/>
      <c r="K57" s="1429"/>
      <c r="L57" s="1432"/>
      <c r="M57" s="1432"/>
      <c r="N57" s="1432"/>
      <c r="O57" s="1432"/>
      <c r="P57" s="1429"/>
      <c r="Q57" s="1432"/>
      <c r="R57" s="1432"/>
      <c r="S57" s="1432"/>
      <c r="T57" s="1432"/>
      <c r="U57" s="1429"/>
      <c r="V57" s="1432"/>
      <c r="W57" s="1432"/>
      <c r="X57" s="1432"/>
      <c r="Y57" s="1432"/>
      <c r="Z57" s="1429"/>
      <c r="AA57" s="1432"/>
      <c r="AB57" s="1432"/>
      <c r="AC57" s="1432"/>
      <c r="AD57" s="1432"/>
      <c r="AE57" s="1429"/>
      <c r="AF57" s="1432"/>
      <c r="AG57" s="1432"/>
      <c r="AH57" s="1432"/>
      <c r="AI57" s="1432"/>
      <c r="AJ57" s="1429"/>
      <c r="AK57" s="1432">
        <f>AK260</f>
        <v>851.62</v>
      </c>
      <c r="AL57" s="1432">
        <f>AL260</f>
        <v>866.36199999999985</v>
      </c>
      <c r="AM57" s="1432">
        <f>AM260</f>
        <v>928.05</v>
      </c>
      <c r="AN57" s="1432">
        <f>AN260</f>
        <v>874.22500000000002</v>
      </c>
      <c r="AO57" s="1429">
        <f>SUM(AK57:AN57)</f>
        <v>3520.2570000000001</v>
      </c>
      <c r="AP57" s="2840">
        <f>AP260</f>
        <v>809.03899999999999</v>
      </c>
      <c r="AQ57" s="2840">
        <f>AQ260</f>
        <v>649.77149999999983</v>
      </c>
      <c r="AR57" s="2840">
        <f>AR260</f>
        <v>547.54950000000008</v>
      </c>
      <c r="AS57" s="2840">
        <f>AS260</f>
        <v>507.05050000000006</v>
      </c>
      <c r="AT57" s="2841">
        <f>SUM(AP57:AS57)</f>
        <v>2513.4105</v>
      </c>
      <c r="AU57" s="2840">
        <f>AU260</f>
        <v>461.15223000000009</v>
      </c>
      <c r="AV57" s="2840">
        <f>AV260</f>
        <v>302.1437474999999</v>
      </c>
      <c r="AW57" s="2840">
        <f>AW260</f>
        <v>383.28465</v>
      </c>
      <c r="AX57" s="2840">
        <f>AX260</f>
        <v>507.05050000000011</v>
      </c>
      <c r="AY57" s="2841">
        <f>SUM(AU57:AX57)</f>
        <v>1653.6311275</v>
      </c>
      <c r="AZ57" s="2840">
        <f>AZ260</f>
        <v>411.57836527500012</v>
      </c>
      <c r="BA57" s="2840">
        <f>BA260</f>
        <v>338.40099719999989</v>
      </c>
      <c r="BB57" s="2840">
        <f>BB260</f>
        <v>405.32351737500005</v>
      </c>
      <c r="BC57" s="2840">
        <f>BC260</f>
        <v>523.52964125000005</v>
      </c>
      <c r="BD57" s="2841">
        <f>SUM(AZ57:BC57)</f>
        <v>1678.8325211000001</v>
      </c>
      <c r="BE57" s="2867"/>
      <c r="BF57" s="2867"/>
      <c r="BG57" s="2867"/>
      <c r="BH57" s="2867"/>
      <c r="BI57" s="2920"/>
      <c r="BJ57" s="2944"/>
      <c r="BK57" s="2944"/>
      <c r="BL57" s="2944"/>
      <c r="BM57" s="2944"/>
      <c r="BN57" s="2920"/>
      <c r="BO57" s="2944"/>
      <c r="BP57" s="2944"/>
      <c r="BQ57" s="2944"/>
      <c r="BR57" s="2944"/>
      <c r="BS57" s="2920"/>
      <c r="BT57" s="1432"/>
      <c r="BU57" s="1429"/>
      <c r="BV57" s="1429"/>
      <c r="BW57" s="1429">
        <f>SUM(AM57:AN57,AP57:AQ57)</f>
        <v>3261.0855000000001</v>
      </c>
      <c r="BX57" s="1429">
        <f>SUM(AR57:AS57,AU57:AV57)</f>
        <v>1817.8959775000003</v>
      </c>
      <c r="BY57" s="1429">
        <f>SUM(AW57:AX57,AZ57:BA57)</f>
        <v>1640.3145124750001</v>
      </c>
      <c r="BZ57" s="1429">
        <f>SUM(BB57:BC57,BE57:BF57)</f>
        <v>928.85315862500011</v>
      </c>
      <c r="CA57" s="1429"/>
      <c r="CB57" s="1429"/>
      <c r="CC57" s="1343"/>
      <c r="CD57" s="1343"/>
      <c r="CE57" s="1343"/>
    </row>
    <row r="58" spans="1:83" outlineLevel="1">
      <c r="A58" s="1452" t="s">
        <v>926</v>
      </c>
      <c r="B58" s="1446"/>
      <c r="C58" s="1446"/>
      <c r="D58" s="1446"/>
      <c r="E58" s="1446"/>
      <c r="F58" s="1447"/>
      <c r="G58" s="1446"/>
      <c r="H58" s="1446"/>
      <c r="I58" s="1446"/>
      <c r="J58" s="1446"/>
      <c r="K58" s="1447"/>
      <c r="L58" s="1446"/>
      <c r="M58" s="1446"/>
      <c r="N58" s="1446"/>
      <c r="O58" s="1446"/>
      <c r="P58" s="1447"/>
      <c r="Q58" s="1446"/>
      <c r="R58" s="1446"/>
      <c r="S58" s="1446"/>
      <c r="T58" s="1446"/>
      <c r="U58" s="1447"/>
      <c r="V58" s="1446"/>
      <c r="W58" s="1446"/>
      <c r="X58" s="1446"/>
      <c r="Y58" s="1446"/>
      <c r="Z58" s="1447"/>
      <c r="AA58" s="1446"/>
      <c r="AB58" s="1446"/>
      <c r="AC58" s="1446"/>
      <c r="AD58" s="1446"/>
      <c r="AE58" s="1447"/>
      <c r="AF58" s="1446"/>
      <c r="AG58" s="1446"/>
      <c r="AH58" s="1446"/>
      <c r="AI58" s="1446"/>
      <c r="AJ58" s="1447"/>
      <c r="AK58" s="1442"/>
      <c r="AL58" s="1442"/>
      <c r="AM58" s="1442"/>
      <c r="AN58" s="1442"/>
      <c r="AO58" s="1443"/>
      <c r="AP58" s="1442">
        <f t="shared" ref="AP58:BD58" si="55">IF(ISERROR(AP57/AK57-1),,(AP57/AK57-1))</f>
        <v>-5.0000000000000044E-2</v>
      </c>
      <c r="AQ58" s="1442">
        <f t="shared" si="55"/>
        <v>-0.25000000000000011</v>
      </c>
      <c r="AR58" s="1442">
        <f t="shared" si="55"/>
        <v>-0.40999999999999992</v>
      </c>
      <c r="AS58" s="1442">
        <f t="shared" si="55"/>
        <v>-0.41999999999999993</v>
      </c>
      <c r="AT58" s="1443">
        <f t="shared" si="55"/>
        <v>-0.28601505515080294</v>
      </c>
      <c r="AU58" s="1442">
        <f t="shared" si="55"/>
        <v>-0.42999999999999983</v>
      </c>
      <c r="AV58" s="1442">
        <f t="shared" si="55"/>
        <v>-0.53500000000000003</v>
      </c>
      <c r="AW58" s="1442">
        <f t="shared" si="55"/>
        <v>-0.30000000000000016</v>
      </c>
      <c r="AX58" s="1442">
        <f t="shared" si="55"/>
        <v>2.2204460492503131E-16</v>
      </c>
      <c r="AY58" s="1443">
        <f t="shared" si="55"/>
        <v>-0.34207678073279313</v>
      </c>
      <c r="AZ58" s="1442">
        <f t="shared" si="55"/>
        <v>-0.10749999999999993</v>
      </c>
      <c r="BA58" s="1442">
        <f t="shared" si="55"/>
        <v>0.12000000000000011</v>
      </c>
      <c r="BB58" s="1442">
        <f t="shared" si="55"/>
        <v>5.7500000000000107E-2</v>
      </c>
      <c r="BC58" s="1442">
        <f t="shared" si="55"/>
        <v>3.2499999999999973E-2</v>
      </c>
      <c r="BD58" s="1443">
        <f t="shared" si="55"/>
        <v>1.5240033391304308E-2</v>
      </c>
      <c r="BE58" s="2866"/>
      <c r="BF58" s="2866"/>
      <c r="BG58" s="2866"/>
      <c r="BH58" s="2866"/>
      <c r="BI58" s="2942"/>
      <c r="BJ58" s="2943"/>
      <c r="BK58" s="2943"/>
      <c r="BL58" s="2943"/>
      <c r="BM58" s="2943"/>
      <c r="BN58" s="2942"/>
      <c r="BO58" s="2943"/>
      <c r="BP58" s="2943"/>
      <c r="BQ58" s="2943"/>
      <c r="BR58" s="2943"/>
      <c r="BS58" s="2942"/>
      <c r="BT58" s="1343"/>
      <c r="BU58" s="1443"/>
      <c r="BV58" s="1443"/>
      <c r="BW58" s="1443"/>
      <c r="BX58" s="1443">
        <f>BX57/BW57-1</f>
        <v>-0.44254881465082707</v>
      </c>
      <c r="BY58" s="1443">
        <f>BY57/BX57-1</f>
        <v>-9.7685163080240223E-2</v>
      </c>
      <c r="BZ58" s="1443">
        <f>BZ57/BY57-1</f>
        <v>-0.43373471882322523</v>
      </c>
      <c r="CA58" s="1443"/>
      <c r="CB58" s="1443"/>
      <c r="CC58" s="1343"/>
      <c r="CD58" s="1343"/>
      <c r="CE58" s="1343"/>
    </row>
    <row r="59" spans="1:83" outlineLevel="1">
      <c r="A59" s="1452" t="s">
        <v>952</v>
      </c>
      <c r="B59" s="1450"/>
      <c r="C59" s="1450"/>
      <c r="D59" s="1450"/>
      <c r="E59" s="1450"/>
      <c r="F59" s="1451"/>
      <c r="G59" s="1450"/>
      <c r="H59" s="1450"/>
      <c r="I59" s="1450"/>
      <c r="J59" s="1450"/>
      <c r="K59" s="1451"/>
      <c r="L59" s="1450"/>
      <c r="M59" s="1450"/>
      <c r="N59" s="1450"/>
      <c r="O59" s="1450"/>
      <c r="P59" s="1451"/>
      <c r="Q59" s="1450"/>
      <c r="R59" s="1450"/>
      <c r="S59" s="1450"/>
      <c r="T59" s="1450"/>
      <c r="U59" s="1451"/>
      <c r="V59" s="1450"/>
      <c r="W59" s="1450"/>
      <c r="X59" s="1450"/>
      <c r="Y59" s="1450"/>
      <c r="Z59" s="1451"/>
      <c r="AA59" s="1450"/>
      <c r="AB59" s="1450"/>
      <c r="AC59" s="1450"/>
      <c r="AD59" s="1450"/>
      <c r="AE59" s="1451"/>
      <c r="AF59" s="1450"/>
      <c r="AG59" s="1450"/>
      <c r="AH59" s="1450"/>
      <c r="AI59" s="1450"/>
      <c r="AJ59" s="1451"/>
      <c r="AK59" s="1460"/>
      <c r="AL59" s="1460">
        <f>IF(ISERROR(AL57/AK57-1),,(AL57/AK57-1))</f>
        <v>1.7310537563701933E-2</v>
      </c>
      <c r="AM59" s="1460">
        <f>IF(ISERROR(AM57/AL57-1),,(AM57/AL57-1))</f>
        <v>7.1203492304602545E-2</v>
      </c>
      <c r="AN59" s="1460">
        <f>IF(ISERROR(AN57/AM57-1),,(AN57/AM57-1))</f>
        <v>-5.7997952696514088E-2</v>
      </c>
      <c r="AO59" s="1463"/>
      <c r="AP59" s="1460">
        <f>IF(ISERROR(AP57/AN57-1),,(AP57/AN57-1))</f>
        <v>-7.4564328405158919E-2</v>
      </c>
      <c r="AQ59" s="1460">
        <f>IF(ISERROR(AQ57/AP57-1),,(AQ57/AP57-1))</f>
        <v>-0.1968601019233932</v>
      </c>
      <c r="AR59" s="1460">
        <f>IF(ISERROR(AR57/AQ57-1),,(AR57/AQ57-1))</f>
        <v>-0.1573199193870457</v>
      </c>
      <c r="AS59" s="1460">
        <f>IF(ISERROR(AS57/AR57-1),,(AS57/AR57-1))</f>
        <v>-7.396408909148855E-2</v>
      </c>
      <c r="AT59" s="1463"/>
      <c r="AU59" s="1460">
        <f>IF(ISERROR(AU57/AS57-1),,(AU57/AS57-1))</f>
        <v>-9.0520115846449145E-2</v>
      </c>
      <c r="AV59" s="1460">
        <f>IF(ISERROR(AV57/AU57-1),,(AV57/AU57-1))</f>
        <v>-0.3448069252532947</v>
      </c>
      <c r="AW59" s="1460">
        <f>IF(ISERROR(AW57/AV57-1),,(AW57/AV57-1))</f>
        <v>0.26855065898724284</v>
      </c>
      <c r="AX59" s="1460">
        <f>IF(ISERROR(AX57/AW57-1),,(AX57/AW57-1))</f>
        <v>0.32290844415501674</v>
      </c>
      <c r="AY59" s="1463"/>
      <c r="AZ59" s="1460">
        <f>IF(ISERROR(AZ57/AX57-1),,(AZ57/AX57-1))</f>
        <v>-0.18828920339295585</v>
      </c>
      <c r="BA59" s="1460">
        <f>IF(ISERROR(BA57/AZ57-1),,(BA57/AZ57-1))</f>
        <v>-0.17779692580805617</v>
      </c>
      <c r="BB59" s="1460">
        <f>IF(ISERROR(BB57/BA57-1),,(BB57/BA57-1))</f>
        <v>0.19776100167768718</v>
      </c>
      <c r="BC59" s="1460">
        <f>IF(ISERROR(BC57/BB57-1),,(BC57/BB57-1))</f>
        <v>0.29163401285111523</v>
      </c>
      <c r="BD59" s="1461"/>
      <c r="BE59" s="2868"/>
      <c r="BF59" s="2868"/>
      <c r="BG59" s="2868"/>
      <c r="BH59" s="2868"/>
      <c r="BI59" s="2945"/>
      <c r="BJ59" s="2946"/>
      <c r="BK59" s="2946"/>
      <c r="BL59" s="2946"/>
      <c r="BM59" s="2946"/>
      <c r="BN59" s="2945"/>
      <c r="BO59" s="2946"/>
      <c r="BP59" s="2946"/>
      <c r="BQ59" s="2946"/>
      <c r="BR59" s="2946"/>
      <c r="BS59" s="2945"/>
      <c r="BT59" s="1343"/>
      <c r="BU59" s="1461"/>
      <c r="BV59" s="1461"/>
      <c r="BW59" s="1461"/>
      <c r="BX59" s="1461"/>
      <c r="BY59" s="1461"/>
      <c r="BZ59" s="1461"/>
      <c r="CA59" s="1461"/>
      <c r="CB59" s="1461"/>
      <c r="CC59" s="1343"/>
      <c r="CD59" s="1343"/>
      <c r="CE59" s="1343"/>
    </row>
    <row r="60" spans="1:83" outlineLevel="1">
      <c r="A60" s="1470" t="s">
        <v>1449</v>
      </c>
      <c r="B60" s="1465"/>
      <c r="C60" s="1465"/>
      <c r="D60" s="1465"/>
      <c r="E60" s="1465"/>
      <c r="F60" s="1466"/>
      <c r="G60" s="1465"/>
      <c r="H60" s="1465"/>
      <c r="I60" s="1465"/>
      <c r="J60" s="1465"/>
      <c r="K60" s="1466"/>
      <c r="L60" s="1465"/>
      <c r="M60" s="1465"/>
      <c r="N60" s="1465"/>
      <c r="O60" s="1465"/>
      <c r="P60" s="1466"/>
      <c r="Q60" s="1465"/>
      <c r="R60" s="1465"/>
      <c r="S60" s="1465"/>
      <c r="T60" s="1465"/>
      <c r="U60" s="1466"/>
      <c r="V60" s="1465"/>
      <c r="W60" s="1465"/>
      <c r="X60" s="1465"/>
      <c r="Y60" s="1465"/>
      <c r="Z60" s="1466"/>
      <c r="AA60" s="1465"/>
      <c r="AB60" s="1465"/>
      <c r="AC60" s="1465"/>
      <c r="AD60" s="1465"/>
      <c r="AE60" s="1466"/>
      <c r="AF60" s="1467"/>
      <c r="AG60" s="1467"/>
      <c r="AH60" s="1467"/>
      <c r="AI60" s="1467"/>
      <c r="AJ60" s="1466"/>
      <c r="AK60" s="1471">
        <f t="shared" ref="AK60:AN60" si="56">AK63+AK66</f>
        <v>4926.38</v>
      </c>
      <c r="AL60" s="1471">
        <f t="shared" si="56"/>
        <v>5605</v>
      </c>
      <c r="AM60" s="1471">
        <f t="shared" si="56"/>
        <v>5305</v>
      </c>
      <c r="AN60" s="1471">
        <f t="shared" si="56"/>
        <v>5550</v>
      </c>
      <c r="AO60" s="1472">
        <f>SUM(AK60:AN60)</f>
        <v>21386.38</v>
      </c>
      <c r="AP60" s="2842">
        <f t="shared" ref="AP60:BC60" si="57">AP63+AP66</f>
        <v>5109.5334000000003</v>
      </c>
      <c r="AQ60" s="2842">
        <f t="shared" si="57"/>
        <v>5522.1</v>
      </c>
      <c r="AR60" s="2842">
        <f t="shared" si="57"/>
        <v>5200.2</v>
      </c>
      <c r="AS60" s="2842">
        <f t="shared" si="57"/>
        <v>5414</v>
      </c>
      <c r="AT60" s="2843">
        <f>SUM(AP60:AS60)</f>
        <v>21245.8334</v>
      </c>
      <c r="AU60" s="2842">
        <f t="shared" si="57"/>
        <v>5051.0557230000004</v>
      </c>
      <c r="AV60" s="2842">
        <f t="shared" si="57"/>
        <v>5542.7100000000009</v>
      </c>
      <c r="AW60" s="2842">
        <f t="shared" si="57"/>
        <v>5234.4869999999992</v>
      </c>
      <c r="AX60" s="2842">
        <f t="shared" si="57"/>
        <v>5762.9</v>
      </c>
      <c r="AY60" s="2843">
        <f>SUM(AU60:AX60)</f>
        <v>21591.152722999999</v>
      </c>
      <c r="AZ60" s="2842">
        <f>AZ63+AZ66</f>
        <v>5297.2226431650006</v>
      </c>
      <c r="BA60" s="2842">
        <f t="shared" si="57"/>
        <v>5875.0043999999998</v>
      </c>
      <c r="BB60" s="2842">
        <f t="shared" si="57"/>
        <v>5642.954819999999</v>
      </c>
      <c r="BC60" s="2842">
        <f t="shared" si="57"/>
        <v>6146.8901999999998</v>
      </c>
      <c r="BD60" s="2843">
        <f>SUM(AZ60:BC60)</f>
        <v>22962.072063164997</v>
      </c>
      <c r="BE60" s="2865"/>
      <c r="BF60" s="2865"/>
      <c r="BG60" s="2865"/>
      <c r="BH60" s="2865"/>
      <c r="BI60" s="2934"/>
      <c r="BJ60" s="2935"/>
      <c r="BK60" s="2935"/>
      <c r="BL60" s="2935"/>
      <c r="BM60" s="2935"/>
      <c r="BN60" s="2934"/>
      <c r="BO60" s="2935"/>
      <c r="BP60" s="2935"/>
      <c r="BQ60" s="2935"/>
      <c r="BR60" s="2935"/>
      <c r="BS60" s="2934"/>
      <c r="BT60" s="1343"/>
      <c r="BU60" s="1474"/>
      <c r="BV60" s="1474"/>
      <c r="BW60" s="1474">
        <f>SUM(AM60:AN60,AP60:AQ60)</f>
        <v>21486.633399999999</v>
      </c>
      <c r="BX60" s="1474">
        <f>SUM(AR60:AS60,AU60:AV60)</f>
        <v>21207.965723000001</v>
      </c>
      <c r="BY60" s="1474">
        <f>SUM(AW60:AX60,AZ60:BA60)</f>
        <v>22169.614043164998</v>
      </c>
      <c r="BZ60" s="1474">
        <f>SUM(BB60:BC60,BE60:BF60)</f>
        <v>11789.845019999999</v>
      </c>
      <c r="CA60" s="1474"/>
      <c r="CB60" s="1474"/>
      <c r="CC60" s="1343"/>
      <c r="CD60" s="1343"/>
      <c r="CE60" s="1343"/>
    </row>
    <row r="61" spans="1:83" outlineLevel="1">
      <c r="A61" s="1452" t="s">
        <v>926</v>
      </c>
      <c r="B61" s="1439"/>
      <c r="C61" s="1439"/>
      <c r="D61" s="1439"/>
      <c r="E61" s="1439"/>
      <c r="F61" s="1440"/>
      <c r="G61" s="1439"/>
      <c r="H61" s="1439"/>
      <c r="I61" s="1439"/>
      <c r="J61" s="1439"/>
      <c r="K61" s="1440"/>
      <c r="L61" s="1439"/>
      <c r="M61" s="1439"/>
      <c r="N61" s="1439"/>
      <c r="O61" s="1439"/>
      <c r="P61" s="1440"/>
      <c r="Q61" s="1439"/>
      <c r="R61" s="1439"/>
      <c r="S61" s="1439"/>
      <c r="T61" s="1439"/>
      <c r="U61" s="1440"/>
      <c r="V61" s="1439"/>
      <c r="W61" s="1439"/>
      <c r="X61" s="1439"/>
      <c r="Y61" s="1439"/>
      <c r="Z61" s="1440"/>
      <c r="AA61" s="1439"/>
      <c r="AB61" s="1439"/>
      <c r="AC61" s="1439"/>
      <c r="AD61" s="1439"/>
      <c r="AE61" s="1440"/>
      <c r="AF61" s="1441"/>
      <c r="AG61" s="1441"/>
      <c r="AH61" s="1441"/>
      <c r="AI61" s="1441"/>
      <c r="AJ61" s="1440"/>
      <c r="AK61" s="1442"/>
      <c r="AL61" s="1442"/>
      <c r="AM61" s="1442"/>
      <c r="AN61" s="1442"/>
      <c r="AO61" s="1443"/>
      <c r="AP61" s="1442">
        <f t="shared" ref="AP61:BD61" si="58">IF(ISERROR(AP60/AK60-1),,(AP60/AK60-1))</f>
        <v>3.7178090200106428E-2</v>
      </c>
      <c r="AQ61" s="1442">
        <f t="shared" si="58"/>
        <v>-1.4790365744870582E-2</v>
      </c>
      <c r="AR61" s="1442">
        <f t="shared" si="58"/>
        <v>-1.9754948162111208E-2</v>
      </c>
      <c r="AS61" s="1442">
        <f t="shared" si="58"/>
        <v>-2.4504504504504476E-2</v>
      </c>
      <c r="AT61" s="1443">
        <f t="shared" si="58"/>
        <v>-6.5717807314749077E-3</v>
      </c>
      <c r="AU61" s="1442">
        <f t="shared" si="58"/>
        <v>-1.1444817446540245E-2</v>
      </c>
      <c r="AV61" s="1442">
        <f t="shared" si="58"/>
        <v>3.7322757646549576E-3</v>
      </c>
      <c r="AW61" s="1442">
        <f t="shared" si="58"/>
        <v>6.5934002538363679E-3</v>
      </c>
      <c r="AX61" s="1442">
        <f t="shared" si="58"/>
        <v>6.4444033985962212E-2</v>
      </c>
      <c r="AY61" s="1443">
        <f t="shared" si="58"/>
        <v>1.6253507993713168E-2</v>
      </c>
      <c r="AZ61" s="1442">
        <f t="shared" si="58"/>
        <v>4.8735736381619876E-2</v>
      </c>
      <c r="BA61" s="1442">
        <f t="shared" si="58"/>
        <v>5.9951612117537856E-2</v>
      </c>
      <c r="BB61" s="1442">
        <f t="shared" si="58"/>
        <v>7.8033973529784362E-2</v>
      </c>
      <c r="BC61" s="1442">
        <f t="shared" si="58"/>
        <v>6.6631418209581961E-2</v>
      </c>
      <c r="BD61" s="1443">
        <f t="shared" si="58"/>
        <v>6.3494495071799717E-2</v>
      </c>
      <c r="BE61" s="2866"/>
      <c r="BF61" s="2866"/>
      <c r="BG61" s="2866"/>
      <c r="BH61" s="2866"/>
      <c r="BI61" s="2942"/>
      <c r="BJ61" s="2943"/>
      <c r="BK61" s="2943"/>
      <c r="BL61" s="2943"/>
      <c r="BM61" s="2943"/>
      <c r="BN61" s="2942"/>
      <c r="BO61" s="2943"/>
      <c r="BP61" s="2943"/>
      <c r="BQ61" s="2943"/>
      <c r="BR61" s="2943"/>
      <c r="BS61" s="2942"/>
      <c r="BT61" s="1343"/>
      <c r="BU61" s="1443"/>
      <c r="BV61" s="1443"/>
      <c r="BW61" s="1443"/>
      <c r="BX61" s="1443">
        <f>BX60/BW60-1</f>
        <v>-1.2969350377616484E-2</v>
      </c>
      <c r="BY61" s="1443">
        <f>BY60/BX60-1</f>
        <v>4.5343732290272998E-2</v>
      </c>
      <c r="BZ61" s="1443">
        <f>BZ60/BY60-1</f>
        <v>-0.46819800303944104</v>
      </c>
      <c r="CA61" s="1443"/>
      <c r="CB61" s="1443"/>
      <c r="CC61" s="1343"/>
      <c r="CD61" s="1343"/>
      <c r="CE61" s="1343"/>
    </row>
    <row r="62" spans="1:83" outlineLevel="1">
      <c r="A62" s="1452" t="s">
        <v>952</v>
      </c>
      <c r="B62" s="1439"/>
      <c r="C62" s="1439"/>
      <c r="D62" s="1439"/>
      <c r="E62" s="1439"/>
      <c r="F62" s="1440"/>
      <c r="G62" s="1439"/>
      <c r="H62" s="1439"/>
      <c r="I62" s="1439"/>
      <c r="J62" s="1439"/>
      <c r="K62" s="1440"/>
      <c r="L62" s="1439"/>
      <c r="M62" s="1439"/>
      <c r="N62" s="1439"/>
      <c r="O62" s="1439"/>
      <c r="P62" s="1440"/>
      <c r="Q62" s="1439"/>
      <c r="R62" s="1439"/>
      <c r="S62" s="1439"/>
      <c r="T62" s="1439"/>
      <c r="U62" s="1440"/>
      <c r="V62" s="1439"/>
      <c r="W62" s="1439"/>
      <c r="X62" s="1439"/>
      <c r="Y62" s="1439"/>
      <c r="Z62" s="1440"/>
      <c r="AA62" s="1439"/>
      <c r="AB62" s="1439"/>
      <c r="AC62" s="1439"/>
      <c r="AD62" s="1439"/>
      <c r="AE62" s="1440"/>
      <c r="AF62" s="1441"/>
      <c r="AG62" s="1441"/>
      <c r="AH62" s="1441"/>
      <c r="AI62" s="1441"/>
      <c r="AJ62" s="1440"/>
      <c r="AK62" s="1442"/>
      <c r="AL62" s="1442">
        <f>IF(ISERROR(AL60/AK60-1),,(AL60/AK60-1))</f>
        <v>0.13775226434014431</v>
      </c>
      <c r="AM62" s="1442">
        <f>IF(ISERROR(AM60/AL60-1),,(AM60/AL60-1))</f>
        <v>-5.352363960749329E-2</v>
      </c>
      <c r="AN62" s="1442">
        <f>IF(ISERROR(AN60/AM60-1),,(AN60/AM60-1))</f>
        <v>4.6182846371347841E-2</v>
      </c>
      <c r="AO62" s="1444"/>
      <c r="AP62" s="1442">
        <f>IF(ISERROR(AP60/AN60-1),,(AP60/AN60-1))</f>
        <v>-7.9363351351351308E-2</v>
      </c>
      <c r="AQ62" s="1442">
        <f>IF(ISERROR(AQ60/AP60-1),,(AQ60/AP60-1))</f>
        <v>8.0744476589584391E-2</v>
      </c>
      <c r="AR62" s="1442">
        <f>IF(ISERROR(AR60/AQ60-1),,(AR60/AQ60-1))</f>
        <v>-5.8293040691041575E-2</v>
      </c>
      <c r="AS62" s="1442">
        <f>IF(ISERROR(AS60/AR60-1),,(AS60/AR60-1))</f>
        <v>4.1113803315257158E-2</v>
      </c>
      <c r="AT62" s="1444"/>
      <c r="AU62" s="1442">
        <f>IF(ISERROR(AU60/AS60-1),,(AU60/AS60-1))</f>
        <v>-6.7038100664942646E-2</v>
      </c>
      <c r="AV62" s="1442">
        <f>IF(ISERROR(AV60/AU60-1),,(AV60/AU60-1))</f>
        <v>9.7336933893096944E-2</v>
      </c>
      <c r="AW62" s="1442">
        <f>IF(ISERROR(AW60/AV60-1),,(AW60/AV60-1))</f>
        <v>-5.560871847886717E-2</v>
      </c>
      <c r="AX62" s="1442">
        <f>IF(ISERROR(AX60/AW60-1),,(AX60/AW60-1))</f>
        <v>0.10094838328951816</v>
      </c>
      <c r="AY62" s="1444"/>
      <c r="AZ62" s="1442">
        <f>IF(ISERROR(AZ60/AX60-1),,(AZ60/AX60-1))</f>
        <v>-8.0806079722882451E-2</v>
      </c>
      <c r="BA62" s="1442">
        <f>IF(ISERROR(BA60/AZ60-1),,(BA60/AZ60-1))</f>
        <v>0.10907258307908019</v>
      </c>
      <c r="BB62" s="1442">
        <f>IF(ISERROR(BB60/BA60-1),,(BB60/BA60-1))</f>
        <v>-3.94977712697544E-2</v>
      </c>
      <c r="BC62" s="1442">
        <f>IF(ISERROR(BC60/BB60-1),,(BC60/BB60-1))</f>
        <v>8.9303458219075482E-2</v>
      </c>
      <c r="BD62" s="1443"/>
      <c r="BE62" s="2866"/>
      <c r="BF62" s="2866"/>
      <c r="BG62" s="2866"/>
      <c r="BH62" s="2866"/>
      <c r="BI62" s="2942"/>
      <c r="BJ62" s="2943"/>
      <c r="BK62" s="2943"/>
      <c r="BL62" s="2943"/>
      <c r="BM62" s="2943"/>
      <c r="BN62" s="2942"/>
      <c r="BO62" s="2943"/>
      <c r="BP62" s="2943"/>
      <c r="BQ62" s="2943"/>
      <c r="BR62" s="2943"/>
      <c r="BS62" s="2942"/>
      <c r="BT62" s="1343"/>
      <c r="BU62" s="1443"/>
      <c r="BV62" s="1443"/>
      <c r="BW62" s="1443"/>
      <c r="BX62" s="1443"/>
      <c r="BY62" s="1443"/>
      <c r="BZ62" s="1443"/>
      <c r="CA62" s="1443"/>
      <c r="CB62" s="1443"/>
      <c r="CC62" s="1343"/>
      <c r="CD62" s="1343"/>
      <c r="CE62" s="1343"/>
    </row>
    <row r="63" spans="1:83" outlineLevel="1">
      <c r="A63" s="1431" t="s">
        <v>1460</v>
      </c>
      <c r="B63" s="1432"/>
      <c r="C63" s="1432"/>
      <c r="D63" s="1432"/>
      <c r="E63" s="1432"/>
      <c r="F63" s="1429"/>
      <c r="G63" s="1432"/>
      <c r="H63" s="1432"/>
      <c r="I63" s="1432"/>
      <c r="J63" s="1432"/>
      <c r="K63" s="1429"/>
      <c r="L63" s="1432"/>
      <c r="M63" s="1432"/>
      <c r="N63" s="1432"/>
      <c r="O63" s="1432"/>
      <c r="P63" s="1429"/>
      <c r="Q63" s="1432"/>
      <c r="R63" s="1432"/>
      <c r="S63" s="1432"/>
      <c r="T63" s="1432"/>
      <c r="U63" s="1429"/>
      <c r="V63" s="1432"/>
      <c r="W63" s="1432"/>
      <c r="X63" s="1432"/>
      <c r="Y63" s="1432"/>
      <c r="Z63" s="1429"/>
      <c r="AA63" s="1432"/>
      <c r="AB63" s="1432"/>
      <c r="AC63" s="1432"/>
      <c r="AD63" s="1432"/>
      <c r="AE63" s="1429"/>
      <c r="AF63" s="1428"/>
      <c r="AG63" s="1428"/>
      <c r="AH63" s="1428"/>
      <c r="AI63" s="1428"/>
      <c r="AJ63" s="1429"/>
      <c r="AK63" s="1428">
        <f>AK82-AK51-AK69-AK78-AK66</f>
        <v>4526.38</v>
      </c>
      <c r="AL63" s="1428">
        <v>5080</v>
      </c>
      <c r="AM63" s="1428">
        <v>4705</v>
      </c>
      <c r="AN63" s="1428">
        <v>4700</v>
      </c>
      <c r="AO63" s="1429">
        <f>SUM(AK63:AN63)</f>
        <v>19011.38</v>
      </c>
      <c r="AP63" s="2844">
        <f t="shared" ref="AP63:AS63" si="59">AK63*(1+AP64)</f>
        <v>4209.5334000000003</v>
      </c>
      <c r="AQ63" s="2844">
        <f t="shared" si="59"/>
        <v>4419.6000000000004</v>
      </c>
      <c r="AR63" s="2844">
        <f t="shared" si="59"/>
        <v>3952.2</v>
      </c>
      <c r="AS63" s="2844">
        <f t="shared" si="59"/>
        <v>3901</v>
      </c>
      <c r="AT63" s="2841">
        <f>SUM(AP63:AS63)</f>
        <v>16482.3334</v>
      </c>
      <c r="AU63" s="2844">
        <f>AP63*(1+AU64)</f>
        <v>3557.0557229999999</v>
      </c>
      <c r="AV63" s="2844">
        <f t="shared" ref="AV63:BC63" si="60">AQ63*(1+AV64)</f>
        <v>3756.6600000000003</v>
      </c>
      <c r="AW63" s="2844">
        <f t="shared" si="60"/>
        <v>3300.0869999999995</v>
      </c>
      <c r="AX63" s="2844">
        <f t="shared" si="60"/>
        <v>3432.88</v>
      </c>
      <c r="AY63" s="2841">
        <f>SUM(AU63:AX63)</f>
        <v>14046.682723000002</v>
      </c>
      <c r="AZ63" s="2844">
        <f>AU63*(1+AZ64)</f>
        <v>3041.2826431650001</v>
      </c>
      <c r="BA63" s="2844">
        <f t="shared" si="60"/>
        <v>3249.5109000000002</v>
      </c>
      <c r="BB63" s="2844">
        <f t="shared" si="60"/>
        <v>2838.0748199999994</v>
      </c>
      <c r="BC63" s="2844">
        <f t="shared" si="60"/>
        <v>2814.9616000000001</v>
      </c>
      <c r="BD63" s="2841">
        <f>SUM(AZ63:BC63)</f>
        <v>11943.829963165001</v>
      </c>
      <c r="BE63" s="2869"/>
      <c r="BF63" s="2869"/>
      <c r="BG63" s="2869"/>
      <c r="BH63" s="2869"/>
      <c r="BI63" s="2920"/>
      <c r="BJ63" s="2921"/>
      <c r="BK63" s="2921"/>
      <c r="BL63" s="2921"/>
      <c r="BM63" s="2921"/>
      <c r="BN63" s="2920"/>
      <c r="BO63" s="2921"/>
      <c r="BP63" s="2921"/>
      <c r="BQ63" s="2921"/>
      <c r="BR63" s="2921"/>
      <c r="BS63" s="2920"/>
      <c r="BT63" s="1432"/>
      <c r="BU63" s="1429"/>
      <c r="BV63" s="1429"/>
      <c r="BW63" s="1429">
        <f>SUM(AM63:AN63,AP63:AQ63)</f>
        <v>18034.133399999999</v>
      </c>
      <c r="BX63" s="1429">
        <f>SUM(AR63:AS63,AU63:AV63)</f>
        <v>15166.915723</v>
      </c>
      <c r="BY63" s="1429">
        <f>SUM(AW63:AX63,AZ63:BA63)</f>
        <v>13023.760543165001</v>
      </c>
      <c r="BZ63" s="1429">
        <f>SUM(BB63:BC63,BE63:BF63)</f>
        <v>5653.0364199999995</v>
      </c>
      <c r="CA63" s="1429"/>
      <c r="CB63" s="1429"/>
      <c r="CC63" s="1343"/>
      <c r="CD63" s="1343"/>
      <c r="CE63" s="1343"/>
    </row>
    <row r="64" spans="1:83" outlineLevel="1">
      <c r="A64" s="1452" t="s">
        <v>926</v>
      </c>
      <c r="B64" s="1453"/>
      <c r="C64" s="1453"/>
      <c r="D64" s="1453"/>
      <c r="E64" s="1453"/>
      <c r="F64" s="1454"/>
      <c r="G64" s="1453"/>
      <c r="H64" s="1453"/>
      <c r="I64" s="1453"/>
      <c r="J64" s="1453"/>
      <c r="K64" s="1454"/>
      <c r="L64" s="1453"/>
      <c r="M64" s="1453"/>
      <c r="N64" s="1453"/>
      <c r="O64" s="1453"/>
      <c r="P64" s="1454"/>
      <c r="Q64" s="1453"/>
      <c r="R64" s="1453"/>
      <c r="S64" s="1453"/>
      <c r="T64" s="1453"/>
      <c r="U64" s="1454"/>
      <c r="V64" s="1453"/>
      <c r="W64" s="1453"/>
      <c r="X64" s="1453"/>
      <c r="Y64" s="1453"/>
      <c r="Z64" s="1454"/>
      <c r="AA64" s="1453"/>
      <c r="AB64" s="1453"/>
      <c r="AC64" s="1453"/>
      <c r="AD64" s="1453"/>
      <c r="AE64" s="1454"/>
      <c r="AF64" s="1446"/>
      <c r="AG64" s="1453"/>
      <c r="AH64" s="1453"/>
      <c r="AI64" s="1453"/>
      <c r="AJ64" s="1443"/>
      <c r="AK64" s="1442"/>
      <c r="AL64" s="1442"/>
      <c r="AM64" s="1442"/>
      <c r="AN64" s="1442"/>
      <c r="AO64" s="1443"/>
      <c r="AP64" s="1442">
        <v>-7.0000000000000007E-2</v>
      </c>
      <c r="AQ64" s="1442">
        <v>-0.13</v>
      </c>
      <c r="AR64" s="1442">
        <v>-0.16</v>
      </c>
      <c r="AS64" s="1442">
        <v>-0.17</v>
      </c>
      <c r="AT64" s="1443">
        <f>IF(ISERROR(AT63/AO63-1),,(AT63/AO63-1))</f>
        <v>-0.13302803899559112</v>
      </c>
      <c r="AU64" s="1442">
        <v>-0.155</v>
      </c>
      <c r="AV64" s="1442">
        <v>-0.15</v>
      </c>
      <c r="AW64" s="1442">
        <v>-0.16500000000000001</v>
      </c>
      <c r="AX64" s="1442">
        <v>-0.12</v>
      </c>
      <c r="AY64" s="1443">
        <f>IF(ISERROR(AY63/AT63-1),,(AY63/AT63-1))</f>
        <v>-0.14777341398760913</v>
      </c>
      <c r="AZ64" s="1455">
        <v>-0.14499999999999999</v>
      </c>
      <c r="BA64" s="1455">
        <v>-0.13500000000000001</v>
      </c>
      <c r="BB64" s="1455">
        <v>-0.14000000000000001</v>
      </c>
      <c r="BC64" s="1455">
        <v>-0.18</v>
      </c>
      <c r="BD64" s="1443">
        <f>IF(ISERROR(BD63/AY63-1),,(BD63/AY63-1))</f>
        <v>-0.14970458159432876</v>
      </c>
      <c r="BE64" s="2870"/>
      <c r="BF64" s="2870"/>
      <c r="BG64" s="2870"/>
      <c r="BH64" s="2870"/>
      <c r="BI64" s="2942"/>
      <c r="BJ64" s="2947"/>
      <c r="BK64" s="2947"/>
      <c r="BL64" s="2947"/>
      <c r="BM64" s="2947"/>
      <c r="BN64" s="2942"/>
      <c r="BO64" s="2947"/>
      <c r="BP64" s="2947"/>
      <c r="BQ64" s="2947"/>
      <c r="BR64" s="2947"/>
      <c r="BS64" s="2942"/>
      <c r="BT64" s="1438"/>
      <c r="BU64" s="1443"/>
      <c r="BV64" s="1443"/>
      <c r="BW64" s="1443"/>
      <c r="BX64" s="1443">
        <f>BX63/BW63-1</f>
        <v>-0.15898838127702875</v>
      </c>
      <c r="BY64" s="1443">
        <f>BY63/BX63-1</f>
        <v>-0.14130461452917509</v>
      </c>
      <c r="BZ64" s="1443">
        <f>BZ63/BY63-1</f>
        <v>-0.56594438286361393</v>
      </c>
      <c r="CA64" s="1443"/>
      <c r="CB64" s="1443"/>
      <c r="CC64" s="1343"/>
      <c r="CD64" s="1343"/>
      <c r="CE64" s="1343"/>
    </row>
    <row r="65" spans="1:83" outlineLevel="1">
      <c r="A65" s="1452" t="s">
        <v>952</v>
      </c>
      <c r="B65" s="1453"/>
      <c r="C65" s="1453"/>
      <c r="D65" s="1453"/>
      <c r="E65" s="1453"/>
      <c r="F65" s="1454"/>
      <c r="G65" s="1453"/>
      <c r="H65" s="1453"/>
      <c r="I65" s="1453"/>
      <c r="J65" s="1453"/>
      <c r="K65" s="1454"/>
      <c r="L65" s="1453"/>
      <c r="M65" s="1453"/>
      <c r="N65" s="1453"/>
      <c r="O65" s="1453"/>
      <c r="P65" s="1454"/>
      <c r="Q65" s="1453"/>
      <c r="R65" s="1453"/>
      <c r="S65" s="1453"/>
      <c r="T65" s="1453"/>
      <c r="U65" s="1454"/>
      <c r="V65" s="1453"/>
      <c r="W65" s="1453"/>
      <c r="X65" s="1453"/>
      <c r="Y65" s="1453"/>
      <c r="Z65" s="1454"/>
      <c r="AA65" s="1453"/>
      <c r="AB65" s="1453"/>
      <c r="AC65" s="1453"/>
      <c r="AD65" s="1453"/>
      <c r="AE65" s="1454"/>
      <c r="AF65" s="1446"/>
      <c r="AG65" s="1442"/>
      <c r="AH65" s="1442"/>
      <c r="AI65" s="1442"/>
      <c r="AJ65" s="1443"/>
      <c r="AK65" s="1442"/>
      <c r="AL65" s="1442">
        <f>IF(ISERROR(AL63/AK63-1),,(AL63/AK63-1))</f>
        <v>0.12230966025830803</v>
      </c>
      <c r="AM65" s="1442">
        <f>IF(ISERROR(AM63/AL63-1),,(AM63/AL63-1))</f>
        <v>-7.3818897637795255E-2</v>
      </c>
      <c r="AN65" s="1442">
        <f>IF(ISERROR(AN63/AM63-1),,(AN63/AM63-1))</f>
        <v>-1.0626992561104665E-3</v>
      </c>
      <c r="AO65" s="1443"/>
      <c r="AP65" s="1442">
        <f>IF(ISERROR(AP63/AN63-1),,(AP63/AN63-1))</f>
        <v>-0.10435459574468076</v>
      </c>
      <c r="AQ65" s="1442">
        <f>IF(ISERROR(AQ63/AP63-1),,(AQ63/AP63-1))</f>
        <v>4.9902585402933353E-2</v>
      </c>
      <c r="AR65" s="1442">
        <f>IF(ISERROR(AR63/AQ63-1),,(AR63/AQ63-1))</f>
        <v>-0.1057561770295955</v>
      </c>
      <c r="AS65" s="1442">
        <f>IF(ISERROR(AS63/AR63-1),,(AS63/AR63-1))</f>
        <v>-1.2954809979252024E-2</v>
      </c>
      <c r="AT65" s="1443"/>
      <c r="AU65" s="1442">
        <f>IF(ISERROR(AU63/AS63-1),,(AU63/AS63-1))</f>
        <v>-8.8168233017175135E-2</v>
      </c>
      <c r="AV65" s="1442">
        <f>IF(ISERROR(AV63/AU63-1),,(AV63/AU63-1))</f>
        <v>5.6115026736678564E-2</v>
      </c>
      <c r="AW65" s="1442">
        <f>IF(ISERROR(AW63/AV63-1),,(AW63/AV63-1))</f>
        <v>-0.12153695037613221</v>
      </c>
      <c r="AX65" s="1442">
        <f>IF(ISERROR(AX63/AW63-1),,(AX63/AW63-1))</f>
        <v>4.0239242177554813E-2</v>
      </c>
      <c r="AY65" s="1443"/>
      <c r="AZ65" s="1442">
        <f>IF(ISERROR(AZ63/AX63-1),,(AZ63/AX63-1))</f>
        <v>-0.11407254457918714</v>
      </c>
      <c r="BA65" s="1442">
        <f>IF(ISERROR(BA63/AZ63-1),,(BA63/AZ63-1))</f>
        <v>6.8467249271610298E-2</v>
      </c>
      <c r="BB65" s="1442">
        <f>IF(ISERROR(BB63/BA63-1),,(BB63/BA63-1))</f>
        <v>-0.126614771472224</v>
      </c>
      <c r="BC65" s="1442">
        <f>IF(ISERROR(BC63/BB63-1),,(BC63/BB63-1))</f>
        <v>-8.143978388842954E-3</v>
      </c>
      <c r="BD65" s="1443"/>
      <c r="BE65" s="2866"/>
      <c r="BF65" s="2866"/>
      <c r="BG65" s="2866"/>
      <c r="BH65" s="2866"/>
      <c r="BI65" s="2942"/>
      <c r="BJ65" s="2943"/>
      <c r="BK65" s="2943"/>
      <c r="BL65" s="2943"/>
      <c r="BM65" s="2943"/>
      <c r="BN65" s="2942"/>
      <c r="BO65" s="2943"/>
      <c r="BP65" s="2943"/>
      <c r="BQ65" s="2943"/>
      <c r="BR65" s="2943"/>
      <c r="BS65" s="2942"/>
      <c r="BT65" s="1438"/>
      <c r="BU65" s="1443"/>
      <c r="BV65" s="1443"/>
      <c r="BW65" s="1443"/>
      <c r="BX65" s="1443"/>
      <c r="BY65" s="1443"/>
      <c r="BZ65" s="1443"/>
      <c r="CA65" s="1443"/>
      <c r="CB65" s="1443"/>
      <c r="CC65" s="1343"/>
      <c r="CD65" s="1343"/>
      <c r="CE65" s="1343"/>
    </row>
    <row r="66" spans="1:83" outlineLevel="1">
      <c r="A66" s="1434" t="s">
        <v>989</v>
      </c>
      <c r="B66" s="1432"/>
      <c r="C66" s="1432"/>
      <c r="D66" s="1432"/>
      <c r="E66" s="1432"/>
      <c r="F66" s="1429"/>
      <c r="G66" s="1432"/>
      <c r="H66" s="1432"/>
      <c r="I66" s="1432"/>
      <c r="J66" s="1432"/>
      <c r="K66" s="1429"/>
      <c r="L66" s="1432"/>
      <c r="M66" s="1432"/>
      <c r="N66" s="1432"/>
      <c r="O66" s="1432"/>
      <c r="P66" s="1429"/>
      <c r="Q66" s="1432"/>
      <c r="R66" s="1432"/>
      <c r="S66" s="1432"/>
      <c r="T66" s="1432"/>
      <c r="U66" s="1429"/>
      <c r="V66" s="1432"/>
      <c r="W66" s="1432"/>
      <c r="X66" s="1432"/>
      <c r="Y66" s="1432"/>
      <c r="Z66" s="1429"/>
      <c r="AA66" s="1432"/>
      <c r="AB66" s="1432"/>
      <c r="AC66" s="1432"/>
      <c r="AD66" s="1432"/>
      <c r="AE66" s="1429"/>
      <c r="AF66" s="1432"/>
      <c r="AG66" s="1432"/>
      <c r="AH66" s="1432"/>
      <c r="AI66" s="1432"/>
      <c r="AJ66" s="1429"/>
      <c r="AK66" s="1432">
        <v>400</v>
      </c>
      <c r="AL66" s="1432">
        <v>525</v>
      </c>
      <c r="AM66" s="1432">
        <v>600</v>
      </c>
      <c r="AN66" s="1432">
        <v>850</v>
      </c>
      <c r="AO66" s="1429">
        <f>SUM(AK66:AN66)</f>
        <v>2375</v>
      </c>
      <c r="AP66" s="2840">
        <f>AK66*(1+AP67)</f>
        <v>900</v>
      </c>
      <c r="AQ66" s="2840">
        <f>AL66*(1+AQ67)</f>
        <v>1102.5</v>
      </c>
      <c r="AR66" s="2840">
        <f>AM66*(1+AR67)</f>
        <v>1248</v>
      </c>
      <c r="AS66" s="2840">
        <f>AN66*(1+AS67)</f>
        <v>1513</v>
      </c>
      <c r="AT66" s="2841">
        <f>SUM(AP66:AS66)</f>
        <v>4763.5</v>
      </c>
      <c r="AU66" s="2840">
        <f>AP66*(1+AU67)</f>
        <v>1494.0000000000002</v>
      </c>
      <c r="AV66" s="2840">
        <f>AQ66*(1+AV67)</f>
        <v>1786.0500000000002</v>
      </c>
      <c r="AW66" s="2840">
        <f>AR66*(1+AW67)</f>
        <v>1934.4</v>
      </c>
      <c r="AX66" s="2840">
        <f>AS66*(1+AX67)</f>
        <v>2330.02</v>
      </c>
      <c r="AY66" s="2841">
        <f>SUM(AU66:AX66)</f>
        <v>7544.4700000000012</v>
      </c>
      <c r="AZ66" s="2840">
        <f>AU66*(1+AZ67)</f>
        <v>2255.9400000000005</v>
      </c>
      <c r="BA66" s="2840">
        <f>AV66*(1+BA67)</f>
        <v>2625.4935</v>
      </c>
      <c r="BB66" s="2840">
        <f>AW66*(1+BB67)</f>
        <v>2804.88</v>
      </c>
      <c r="BC66" s="2840">
        <f>AX66*(1+BC67)</f>
        <v>3331.9285999999997</v>
      </c>
      <c r="BD66" s="2841">
        <f>SUM(AZ66:BC66)</f>
        <v>11018.242100000001</v>
      </c>
      <c r="BE66" s="2867"/>
      <c r="BF66" s="2867"/>
      <c r="BG66" s="2867"/>
      <c r="BH66" s="2867"/>
      <c r="BI66" s="2948"/>
      <c r="BJ66" s="2949"/>
      <c r="BK66" s="2949"/>
      <c r="BL66" s="2949"/>
      <c r="BM66" s="2949"/>
      <c r="BN66" s="2948"/>
      <c r="BO66" s="2949"/>
      <c r="BP66" s="2949"/>
      <c r="BQ66" s="2949"/>
      <c r="BR66" s="2949"/>
      <c r="BS66" s="2948"/>
      <c r="BT66" s="1235"/>
      <c r="BU66" s="1429"/>
      <c r="BV66" s="1429"/>
      <c r="BW66" s="1429">
        <f>SUM(AM66:AN66,AP66:AQ66)</f>
        <v>3452.5</v>
      </c>
      <c r="BX66" s="1429">
        <f>SUM(AR66:AS66,AU66:AV66)</f>
        <v>6041.05</v>
      </c>
      <c r="BY66" s="1429">
        <f>SUM(AW66:AX66,AZ66:BA66)</f>
        <v>9145.8535000000011</v>
      </c>
      <c r="BZ66" s="1429">
        <f>SUM(BB66:BC66,BE66:BF66)</f>
        <v>6136.8086000000003</v>
      </c>
      <c r="CA66" s="1429"/>
      <c r="CB66" s="1429"/>
      <c r="CC66" s="1343"/>
      <c r="CD66" s="1343"/>
      <c r="CE66" s="1343"/>
    </row>
    <row r="67" spans="1:83" outlineLevel="1">
      <c r="A67" s="1456" t="s">
        <v>926</v>
      </c>
      <c r="B67" s="1453"/>
      <c r="C67" s="1453"/>
      <c r="D67" s="1453"/>
      <c r="E67" s="1453"/>
      <c r="F67" s="1454"/>
      <c r="G67" s="1453"/>
      <c r="H67" s="1453"/>
      <c r="I67" s="1453"/>
      <c r="J67" s="1453"/>
      <c r="K67" s="1454"/>
      <c r="L67" s="1453"/>
      <c r="M67" s="1453"/>
      <c r="N67" s="1453"/>
      <c r="O67" s="1453"/>
      <c r="P67" s="1454"/>
      <c r="Q67" s="1453"/>
      <c r="R67" s="1453"/>
      <c r="S67" s="1453"/>
      <c r="T67" s="1453"/>
      <c r="U67" s="1454"/>
      <c r="V67" s="1453"/>
      <c r="W67" s="1453"/>
      <c r="X67" s="1453"/>
      <c r="Y67" s="1453"/>
      <c r="Z67" s="1454"/>
      <c r="AA67" s="1453"/>
      <c r="AB67" s="1453"/>
      <c r="AC67" s="1453"/>
      <c r="AD67" s="1453"/>
      <c r="AE67" s="1454"/>
      <c r="AF67" s="1446"/>
      <c r="AG67" s="1453"/>
      <c r="AH67" s="1453"/>
      <c r="AI67" s="1453"/>
      <c r="AJ67" s="1443"/>
      <c r="AK67" s="1442"/>
      <c r="AL67" s="1442"/>
      <c r="AM67" s="1442"/>
      <c r="AN67" s="1442"/>
      <c r="AO67" s="1443"/>
      <c r="AP67" s="1442">
        <v>1.25</v>
      </c>
      <c r="AQ67" s="1442">
        <v>1.1000000000000001</v>
      </c>
      <c r="AR67" s="1442">
        <v>1.08</v>
      </c>
      <c r="AS67" s="1442">
        <v>0.78</v>
      </c>
      <c r="AT67" s="1443">
        <f>IF(ISERROR(AT66/AO66-1),,(AT66/AO66-1))</f>
        <v>1.005684210526316</v>
      </c>
      <c r="AU67" s="1442">
        <v>0.66</v>
      </c>
      <c r="AV67" s="1442">
        <v>0.62</v>
      </c>
      <c r="AW67" s="1442">
        <v>0.55000000000000004</v>
      </c>
      <c r="AX67" s="1442">
        <v>0.54</v>
      </c>
      <c r="AY67" s="1443">
        <f>IF(ISERROR(AY66/AT66-1),,(AY66/AT66-1))</f>
        <v>0.58380812427836704</v>
      </c>
      <c r="AZ67" s="1455">
        <v>0.51</v>
      </c>
      <c r="BA67" s="1455">
        <v>0.47</v>
      </c>
      <c r="BB67" s="1455">
        <v>0.45</v>
      </c>
      <c r="BC67" s="1455">
        <v>0.43</v>
      </c>
      <c r="BD67" s="1443">
        <f>IF(ISERROR(BD66/AY66-1),,(BD66/AY66-1))</f>
        <v>0.46043951397513672</v>
      </c>
      <c r="BE67" s="2870"/>
      <c r="BF67" s="2870"/>
      <c r="BG67" s="2870"/>
      <c r="BH67" s="2870"/>
      <c r="BI67" s="2942"/>
      <c r="BJ67" s="2947"/>
      <c r="BK67" s="2947"/>
      <c r="BL67" s="2947"/>
      <c r="BM67" s="2947"/>
      <c r="BN67" s="2942"/>
      <c r="BO67" s="2947"/>
      <c r="BP67" s="2947"/>
      <c r="BQ67" s="2947"/>
      <c r="BR67" s="2947"/>
      <c r="BS67" s="2942"/>
      <c r="BT67" s="1343"/>
      <c r="BU67" s="1443"/>
      <c r="BV67" s="1443"/>
      <c r="BW67" s="1443"/>
      <c r="BX67" s="1443">
        <f>BX66/BW66-1</f>
        <v>0.74976104272266486</v>
      </c>
      <c r="BY67" s="1443">
        <f>BY66/BX66-1</f>
        <v>0.51395096878853863</v>
      </c>
      <c r="BZ67" s="1443">
        <f>BZ66/BY66-1</f>
        <v>-0.32900646178074033</v>
      </c>
      <c r="CA67" s="1443"/>
      <c r="CB67" s="1443"/>
    </row>
    <row r="68" spans="1:83" outlineLevel="1">
      <c r="A68" s="1457" t="s">
        <v>952</v>
      </c>
      <c r="B68" s="1458"/>
      <c r="C68" s="1458"/>
      <c r="D68" s="1458"/>
      <c r="E68" s="1458"/>
      <c r="F68" s="1459"/>
      <c r="G68" s="1458"/>
      <c r="H68" s="1458"/>
      <c r="I68" s="1458"/>
      <c r="J68" s="1458"/>
      <c r="K68" s="1459"/>
      <c r="L68" s="1458"/>
      <c r="M68" s="1458"/>
      <c r="N68" s="1458"/>
      <c r="O68" s="1458"/>
      <c r="P68" s="1459"/>
      <c r="Q68" s="1458"/>
      <c r="R68" s="1458"/>
      <c r="S68" s="1458"/>
      <c r="T68" s="1458"/>
      <c r="U68" s="1459"/>
      <c r="V68" s="1458"/>
      <c r="W68" s="1458"/>
      <c r="X68" s="1458"/>
      <c r="Y68" s="1458"/>
      <c r="Z68" s="1459"/>
      <c r="AA68" s="1458"/>
      <c r="AB68" s="1458"/>
      <c r="AC68" s="1458"/>
      <c r="AD68" s="1458"/>
      <c r="AE68" s="1459"/>
      <c r="AF68" s="1450"/>
      <c r="AG68" s="1460"/>
      <c r="AH68" s="1460"/>
      <c r="AI68" s="1460"/>
      <c r="AJ68" s="1461"/>
      <c r="AK68" s="1460"/>
      <c r="AL68" s="1460"/>
      <c r="AM68" s="1460"/>
      <c r="AN68" s="1460"/>
      <c r="AO68" s="1461"/>
      <c r="AP68" s="1460">
        <f>IF(ISERROR(AP66/AN66-1),,(AP66/AN66-1))</f>
        <v>5.8823529411764719E-2</v>
      </c>
      <c r="AQ68" s="1460">
        <f>IF(ISERROR(AQ66/AP66-1),,(AQ66/AP66-1))</f>
        <v>0.22500000000000009</v>
      </c>
      <c r="AR68" s="1460">
        <f>IF(ISERROR(AR66/AQ66-1),,(AR66/AQ66-1))</f>
        <v>0.13197278911564636</v>
      </c>
      <c r="AS68" s="1460">
        <f>IF(ISERROR(AS66/AR66-1),,(AS66/AR66-1))</f>
        <v>0.21233974358974361</v>
      </c>
      <c r="AT68" s="1461"/>
      <c r="AU68" s="1460">
        <f>IF(ISERROR(AU66/AS66-1),,(AU66/AS66-1))</f>
        <v>-1.2557832121612544E-2</v>
      </c>
      <c r="AV68" s="1460">
        <f>IF(ISERROR(AV66/AU66-1),,(AV66/AU66-1))</f>
        <v>0.19548192771084327</v>
      </c>
      <c r="AW68" s="1460">
        <f>IF(ISERROR(AW66/AV66-1),,(AW66/AV66-1))</f>
        <v>8.3060384647686281E-2</v>
      </c>
      <c r="AX68" s="1460">
        <f>IF(ISERROR(AX66/AW66-1),,(AX66/AW66-1))</f>
        <v>0.20451819685690653</v>
      </c>
      <c r="AY68" s="1461"/>
      <c r="AZ68" s="1460">
        <f>IF(ISERROR(AZ66/AX66-1),,(AZ66/AX66-1))</f>
        <v>-3.1793718508853819E-2</v>
      </c>
      <c r="BA68" s="1460">
        <f>IF(ISERROR(BA66/AZ66-1),,(BA66/AZ66-1))</f>
        <v>0.16381353227479423</v>
      </c>
      <c r="BB68" s="1460">
        <f>IF(ISERROR(BB66/BA66-1),,(BB66/BA66-1))</f>
        <v>6.8324869210302674E-2</v>
      </c>
      <c r="BC68" s="1460">
        <f>IF(ISERROR(BC66/BB66-1),,(BC66/BB66-1))</f>
        <v>0.18790415276232841</v>
      </c>
      <c r="BD68" s="1461"/>
      <c r="BE68" s="2868"/>
      <c r="BF68" s="2868"/>
      <c r="BG68" s="2868"/>
      <c r="BH68" s="2868"/>
      <c r="BI68" s="2945"/>
      <c r="BJ68" s="2946"/>
      <c r="BK68" s="2946"/>
      <c r="BL68" s="2946"/>
      <c r="BM68" s="2946"/>
      <c r="BN68" s="2945"/>
      <c r="BO68" s="2946"/>
      <c r="BP68" s="2946"/>
      <c r="BQ68" s="2946"/>
      <c r="BR68" s="2946"/>
      <c r="BS68" s="2945"/>
      <c r="BT68" s="1349"/>
      <c r="BU68" s="1461"/>
      <c r="BV68" s="1461"/>
      <c r="BW68" s="1461"/>
      <c r="BX68" s="1461"/>
      <c r="BY68" s="1461"/>
      <c r="BZ68" s="1461"/>
      <c r="CA68" s="1461"/>
      <c r="CB68" s="1461"/>
    </row>
    <row r="69" spans="1:83" outlineLevel="1">
      <c r="A69" s="1470" t="s">
        <v>1445</v>
      </c>
      <c r="B69" s="1465"/>
      <c r="C69" s="1465"/>
      <c r="D69" s="1465"/>
      <c r="E69" s="1465"/>
      <c r="F69" s="1466"/>
      <c r="G69" s="1465"/>
      <c r="H69" s="1465"/>
      <c r="I69" s="1465"/>
      <c r="J69" s="1465"/>
      <c r="K69" s="1466"/>
      <c r="L69" s="1465"/>
      <c r="M69" s="1465"/>
      <c r="N69" s="1465"/>
      <c r="O69" s="1465"/>
      <c r="P69" s="1466"/>
      <c r="Q69" s="1465"/>
      <c r="R69" s="1465"/>
      <c r="S69" s="1465"/>
      <c r="T69" s="1465"/>
      <c r="U69" s="1466"/>
      <c r="V69" s="1465"/>
      <c r="W69" s="1465"/>
      <c r="X69" s="1465"/>
      <c r="Y69" s="1465"/>
      <c r="Z69" s="1466"/>
      <c r="AA69" s="1465"/>
      <c r="AB69" s="1465"/>
      <c r="AC69" s="1465"/>
      <c r="AD69" s="1465"/>
      <c r="AE69" s="1466"/>
      <c r="AF69" s="1467"/>
      <c r="AG69" s="1467"/>
      <c r="AH69" s="1467"/>
      <c r="AI69" s="1467"/>
      <c r="AJ69" s="1466"/>
      <c r="AK69" s="1471">
        <f t="shared" ref="AK69:AN69" si="61">AK72+AK75</f>
        <v>340</v>
      </c>
      <c r="AL69" s="1471">
        <f t="shared" si="61"/>
        <v>390</v>
      </c>
      <c r="AM69" s="1471">
        <f t="shared" si="61"/>
        <v>440</v>
      </c>
      <c r="AN69" s="1471">
        <f t="shared" si="61"/>
        <v>520</v>
      </c>
      <c r="AO69" s="1472">
        <f>SUM(AK69:AN69)</f>
        <v>1690</v>
      </c>
      <c r="AP69" s="2842">
        <f t="shared" ref="AP69:AS69" si="62">AP72+AP75</f>
        <v>393.40000000000003</v>
      </c>
      <c r="AQ69" s="2842">
        <f t="shared" si="62"/>
        <v>441.6</v>
      </c>
      <c r="AR69" s="2842">
        <f t="shared" si="62"/>
        <v>497.4</v>
      </c>
      <c r="AS69" s="2842">
        <f t="shared" si="62"/>
        <v>551.79999999999995</v>
      </c>
      <c r="AT69" s="2843">
        <f>SUM(AP69:AS69)</f>
        <v>1884.2</v>
      </c>
      <c r="AU69" s="2842">
        <f t="shared" ref="AU69:AX69" si="63">AU72+AU75</f>
        <v>407.13560000000001</v>
      </c>
      <c r="AV69" s="2842">
        <f t="shared" si="63"/>
        <v>454.69920000000002</v>
      </c>
      <c r="AW69" s="2842">
        <f t="shared" si="63"/>
        <v>517.4</v>
      </c>
      <c r="AX69" s="2842">
        <f t="shared" si="63"/>
        <v>585.03650000000005</v>
      </c>
      <c r="AY69" s="2843">
        <f>SUM(AU69:AX69)</f>
        <v>1964.2713000000003</v>
      </c>
      <c r="AZ69" s="2842">
        <f>AZ72+AZ75</f>
        <v>456.01670200000001</v>
      </c>
      <c r="BA69" s="2842">
        <f t="shared" ref="BA69:BC69" si="64">BA72+BA75</f>
        <v>487.69920000000002</v>
      </c>
      <c r="BB69" s="2842">
        <f t="shared" si="64"/>
        <v>568.89599999999996</v>
      </c>
      <c r="BC69" s="2842">
        <f t="shared" si="64"/>
        <v>628.61204750000002</v>
      </c>
      <c r="BD69" s="2843">
        <f>SUM(AZ69:BC69)</f>
        <v>2141.2239495000003</v>
      </c>
      <c r="BE69" s="2865"/>
      <c r="BF69" s="2865"/>
      <c r="BG69" s="2865"/>
      <c r="BH69" s="2865"/>
      <c r="BI69" s="2934"/>
      <c r="BJ69" s="2935"/>
      <c r="BK69" s="2935"/>
      <c r="BL69" s="2935"/>
      <c r="BM69" s="2935"/>
      <c r="BN69" s="2934"/>
      <c r="BO69" s="2935"/>
      <c r="BP69" s="2935"/>
      <c r="BQ69" s="2935"/>
      <c r="BR69" s="2935"/>
      <c r="BS69" s="2934"/>
      <c r="BT69" s="1343"/>
      <c r="BU69" s="1474"/>
      <c r="BV69" s="1474"/>
      <c r="BW69" s="1474">
        <f>SUM(AM69:AN69,AP69:AQ69)</f>
        <v>1795</v>
      </c>
      <c r="BX69" s="1474">
        <f>SUM(AR69:AS69,AU69:AV69)</f>
        <v>1911.0347999999999</v>
      </c>
      <c r="BY69" s="1474">
        <f>SUM(AW69:AX69,AZ69:BA69)</f>
        <v>2046.1524020000002</v>
      </c>
      <c r="BZ69" s="1474">
        <f>SUM(BB69:BC69,BE69:BF69)</f>
        <v>1197.5080475</v>
      </c>
      <c r="CA69" s="1474"/>
      <c r="CB69" s="1474"/>
    </row>
    <row r="70" spans="1:83" outlineLevel="1">
      <c r="A70" s="1452" t="s">
        <v>926</v>
      </c>
      <c r="B70" s="1439"/>
      <c r="C70" s="1439"/>
      <c r="D70" s="1439"/>
      <c r="E70" s="1439"/>
      <c r="F70" s="1440"/>
      <c r="G70" s="1439"/>
      <c r="H70" s="1439"/>
      <c r="I70" s="1439"/>
      <c r="J70" s="1439"/>
      <c r="K70" s="1440"/>
      <c r="L70" s="1439"/>
      <c r="M70" s="1439"/>
      <c r="N70" s="1439"/>
      <c r="O70" s="1439"/>
      <c r="P70" s="1440"/>
      <c r="Q70" s="1439"/>
      <c r="R70" s="1439"/>
      <c r="S70" s="1439"/>
      <c r="T70" s="1439"/>
      <c r="U70" s="1440"/>
      <c r="V70" s="1439"/>
      <c r="W70" s="1439"/>
      <c r="X70" s="1439"/>
      <c r="Y70" s="1439"/>
      <c r="Z70" s="1440"/>
      <c r="AA70" s="1439"/>
      <c r="AB70" s="1439"/>
      <c r="AC70" s="1439"/>
      <c r="AD70" s="1439"/>
      <c r="AE70" s="1440"/>
      <c r="AF70" s="1441"/>
      <c r="AG70" s="1441"/>
      <c r="AH70" s="1441"/>
      <c r="AI70" s="1441"/>
      <c r="AJ70" s="1440"/>
      <c r="AK70" s="1442"/>
      <c r="AL70" s="1442"/>
      <c r="AM70" s="1442"/>
      <c r="AN70" s="1442"/>
      <c r="AO70" s="1443"/>
      <c r="AP70" s="1442">
        <f t="shared" ref="AP70:BD70" si="65">IF(ISERROR(AP69/AK69-1),,(AP69/AK69-1))</f>
        <v>0.15705882352941192</v>
      </c>
      <c r="AQ70" s="1442">
        <f t="shared" si="65"/>
        <v>0.13230769230769246</v>
      </c>
      <c r="AR70" s="1442">
        <f t="shared" si="65"/>
        <v>0.13045454545454538</v>
      </c>
      <c r="AS70" s="1442">
        <f t="shared" si="65"/>
        <v>6.1153846153846114E-2</v>
      </c>
      <c r="AT70" s="1443">
        <f t="shared" si="65"/>
        <v>0.11491124260355035</v>
      </c>
      <c r="AU70" s="1442">
        <f t="shared" si="65"/>
        <v>3.4915099135739647E-2</v>
      </c>
      <c r="AV70" s="1442">
        <f t="shared" si="65"/>
        <v>2.9663043478260764E-2</v>
      </c>
      <c r="AW70" s="1442">
        <f t="shared" si="65"/>
        <v>4.02090872537193E-2</v>
      </c>
      <c r="AX70" s="1442">
        <f t="shared" si="65"/>
        <v>6.0232874229793509E-2</v>
      </c>
      <c r="AY70" s="1443">
        <f t="shared" si="65"/>
        <v>4.2496178749602098E-2</v>
      </c>
      <c r="AZ70" s="1442">
        <f t="shared" si="65"/>
        <v>0.12006098705197976</v>
      </c>
      <c r="BA70" s="1442">
        <f t="shared" si="65"/>
        <v>7.2575452079088665E-2</v>
      </c>
      <c r="BB70" s="1442">
        <f t="shared" si="65"/>
        <v>9.9528411287205243E-2</v>
      </c>
      <c r="BC70" s="1442">
        <f t="shared" si="65"/>
        <v>7.4483468125492891E-2</v>
      </c>
      <c r="BD70" s="1443">
        <f t="shared" si="65"/>
        <v>9.0085646264851382E-2</v>
      </c>
      <c r="BE70" s="2866"/>
      <c r="BF70" s="2866"/>
      <c r="BG70" s="2866"/>
      <c r="BH70" s="2866"/>
      <c r="BI70" s="2942"/>
      <c r="BJ70" s="2943"/>
      <c r="BK70" s="2943"/>
      <c r="BL70" s="2943"/>
      <c r="BM70" s="2943"/>
      <c r="BN70" s="2942"/>
      <c r="BO70" s="2943"/>
      <c r="BP70" s="2943"/>
      <c r="BQ70" s="2943"/>
      <c r="BR70" s="2943"/>
      <c r="BS70" s="2942"/>
      <c r="BT70" s="1343"/>
      <c r="BU70" s="1443"/>
      <c r="BV70" s="1443"/>
      <c r="BW70" s="1443"/>
      <c r="BX70" s="1443">
        <f>BX69/BW69-1</f>
        <v>6.4643342618384336E-2</v>
      </c>
      <c r="BY70" s="1443">
        <f>BY69/BX69-1</f>
        <v>7.0703894036885373E-2</v>
      </c>
      <c r="BZ70" s="1443">
        <f>BZ69/BY69-1</f>
        <v>-0.41475129304664571</v>
      </c>
      <c r="CA70" s="1443"/>
      <c r="CB70" s="1443"/>
    </row>
    <row r="71" spans="1:83" outlineLevel="1">
      <c r="A71" s="1452" t="s">
        <v>952</v>
      </c>
      <c r="B71" s="1439"/>
      <c r="C71" s="1439"/>
      <c r="D71" s="1439"/>
      <c r="E71" s="1439"/>
      <c r="F71" s="1440"/>
      <c r="G71" s="1439"/>
      <c r="H71" s="1439"/>
      <c r="I71" s="1439"/>
      <c r="J71" s="1439"/>
      <c r="K71" s="1440"/>
      <c r="L71" s="1439"/>
      <c r="M71" s="1439"/>
      <c r="N71" s="1439"/>
      <c r="O71" s="1439"/>
      <c r="P71" s="1440"/>
      <c r="Q71" s="1439"/>
      <c r="R71" s="1439"/>
      <c r="S71" s="1439"/>
      <c r="T71" s="1439"/>
      <c r="U71" s="1440"/>
      <c r="V71" s="1439"/>
      <c r="W71" s="1439"/>
      <c r="X71" s="1439"/>
      <c r="Y71" s="1439"/>
      <c r="Z71" s="1440"/>
      <c r="AA71" s="1439"/>
      <c r="AB71" s="1439"/>
      <c r="AC71" s="1439"/>
      <c r="AD71" s="1439"/>
      <c r="AE71" s="1440"/>
      <c r="AF71" s="1441"/>
      <c r="AG71" s="1441"/>
      <c r="AH71" s="1441"/>
      <c r="AI71" s="1441"/>
      <c r="AJ71" s="1440"/>
      <c r="AK71" s="1442"/>
      <c r="AL71" s="1442">
        <f>IF(ISERROR(AL69/AK69-1),,(AL69/AK69-1))</f>
        <v>0.14705882352941169</v>
      </c>
      <c r="AM71" s="1442">
        <f>IF(ISERROR(AM69/AL69-1),,(AM69/AL69-1))</f>
        <v>0.12820512820512819</v>
      </c>
      <c r="AN71" s="1442">
        <f>IF(ISERROR(AN69/AM69-1),,(AN69/AM69-1))</f>
        <v>0.18181818181818188</v>
      </c>
      <c r="AO71" s="1444"/>
      <c r="AP71" s="1442">
        <f>IF(ISERROR(AP69/AN69-1),,(AP69/AN69-1))</f>
        <v>-0.2434615384615384</v>
      </c>
      <c r="AQ71" s="1442">
        <f>IF(ISERROR(AQ69/AP69-1),,(AQ69/AP69-1))</f>
        <v>0.12252160650737154</v>
      </c>
      <c r="AR71" s="1442">
        <f>IF(ISERROR(AR69/AQ69-1),,(AR69/AQ69-1))</f>
        <v>0.12635869565217384</v>
      </c>
      <c r="AS71" s="1442">
        <f>IF(ISERROR(AS69/AR69-1),,(AS69/AR69-1))</f>
        <v>0.10936871733011655</v>
      </c>
      <c r="AT71" s="1444"/>
      <c r="AU71" s="1442">
        <f>IF(ISERROR(AU69/AS69-1),,(AU69/AS69-1))</f>
        <v>-0.2621681768756795</v>
      </c>
      <c r="AV71" s="1442">
        <f>IF(ISERROR(AV69/AU69-1),,(AV69/AU69-1))</f>
        <v>0.11682495954664729</v>
      </c>
      <c r="AW71" s="1442">
        <f>IF(ISERROR(AW69/AV69-1),,(AW69/AV69-1))</f>
        <v>0.13789511835516755</v>
      </c>
      <c r="AX71" s="1442">
        <f>IF(ISERROR(AX69/AW69-1),,(AX69/AW69-1))</f>
        <v>0.13072381136451505</v>
      </c>
      <c r="AY71" s="1444"/>
      <c r="AZ71" s="1442">
        <f>IF(ISERROR(AZ69/AX69-1),,(AZ69/AX69-1))</f>
        <v>-0.22053290350260202</v>
      </c>
      <c r="BA71" s="1442">
        <f>IF(ISERROR(BA69/AZ69-1),,(BA69/AZ69-1))</f>
        <v>6.9476617547223007E-2</v>
      </c>
      <c r="BB71" s="1442">
        <f>IF(ISERROR(BB69/BA69-1),,(BB69/BA69-1))</f>
        <v>0.16648950828707521</v>
      </c>
      <c r="BC71" s="1442">
        <f>IF(ISERROR(BC69/BB69-1),,(BC69/BB69-1))</f>
        <v>0.10496830264231094</v>
      </c>
      <c r="BD71" s="1443"/>
      <c r="BE71" s="2866"/>
      <c r="BF71" s="2866"/>
      <c r="BG71" s="2866"/>
      <c r="BH71" s="2866"/>
      <c r="BI71" s="2942"/>
      <c r="BJ71" s="2943"/>
      <c r="BK71" s="2943"/>
      <c r="BL71" s="2943"/>
      <c r="BM71" s="2943"/>
      <c r="BN71" s="2942"/>
      <c r="BO71" s="2943"/>
      <c r="BP71" s="2943"/>
      <c r="BQ71" s="2943"/>
      <c r="BR71" s="2943"/>
      <c r="BS71" s="2942"/>
      <c r="BT71" s="1343"/>
      <c r="BU71" s="1443"/>
      <c r="BV71" s="1443"/>
      <c r="BW71" s="1443"/>
      <c r="BX71" s="1443"/>
      <c r="BY71" s="1443"/>
      <c r="BZ71" s="1443"/>
      <c r="CA71" s="1443"/>
      <c r="CB71" s="1443"/>
    </row>
    <row r="72" spans="1:83" outlineLevel="1">
      <c r="A72" s="1431" t="s">
        <v>1446</v>
      </c>
      <c r="B72" s="1432"/>
      <c r="C72" s="1432"/>
      <c r="D72" s="1432"/>
      <c r="E72" s="1432"/>
      <c r="F72" s="1429"/>
      <c r="G72" s="1432"/>
      <c r="H72" s="1432"/>
      <c r="I72" s="1432"/>
      <c r="J72" s="1432"/>
      <c r="K72" s="1429"/>
      <c r="L72" s="1432"/>
      <c r="M72" s="1432"/>
      <c r="N72" s="1432"/>
      <c r="O72" s="1432"/>
      <c r="P72" s="1429"/>
      <c r="Q72" s="1432"/>
      <c r="R72" s="1432"/>
      <c r="S72" s="1432"/>
      <c r="T72" s="1432"/>
      <c r="U72" s="1429"/>
      <c r="V72" s="1432"/>
      <c r="W72" s="1432"/>
      <c r="X72" s="1432"/>
      <c r="Y72" s="1432"/>
      <c r="Z72" s="1429"/>
      <c r="AA72" s="1432"/>
      <c r="AB72" s="1432"/>
      <c r="AC72" s="1432"/>
      <c r="AD72" s="1432"/>
      <c r="AE72" s="1429"/>
      <c r="AF72" s="1428"/>
      <c r="AG72" s="1428"/>
      <c r="AH72" s="1428"/>
      <c r="AI72" s="1428"/>
      <c r="AJ72" s="1429"/>
      <c r="AK72" s="1428">
        <v>340</v>
      </c>
      <c r="AL72" s="1428">
        <v>390</v>
      </c>
      <c r="AM72" s="1428">
        <v>440</v>
      </c>
      <c r="AN72" s="1428">
        <v>520</v>
      </c>
      <c r="AO72" s="1429">
        <f>SUM(AK72:AN72)</f>
        <v>1690</v>
      </c>
      <c r="AP72" s="2844">
        <f>AK72*(1+AP73)</f>
        <v>377.40000000000003</v>
      </c>
      <c r="AQ72" s="2844">
        <f t="shared" ref="AQ72:AS72" si="66">AL72*(1+AQ73)</f>
        <v>425.1</v>
      </c>
      <c r="AR72" s="2844">
        <f t="shared" si="66"/>
        <v>477.4</v>
      </c>
      <c r="AS72" s="2844">
        <f t="shared" si="66"/>
        <v>527.79999999999995</v>
      </c>
      <c r="AT72" s="2841">
        <f>SUM(AP72:AS72)</f>
        <v>1807.7</v>
      </c>
      <c r="AU72" s="2844">
        <f>AP72*(1+AU73)</f>
        <v>375.13560000000001</v>
      </c>
      <c r="AV72" s="2844">
        <f>AQ72*(1+AV73)</f>
        <v>421.69920000000002</v>
      </c>
      <c r="AW72" s="2844">
        <f t="shared" ref="AW72:AX72" si="67">AR72*(1+AW73)</f>
        <v>477.4</v>
      </c>
      <c r="AX72" s="2844">
        <f t="shared" si="67"/>
        <v>537.03650000000005</v>
      </c>
      <c r="AY72" s="2841">
        <f>SUM(AU72:AX72)</f>
        <v>1811.2713000000003</v>
      </c>
      <c r="AZ72" s="2844">
        <f>AU72*(1+AZ73)</f>
        <v>392.01670200000001</v>
      </c>
      <c r="BA72" s="2844">
        <f t="shared" ref="BA72:BC72" si="68">AV72*(1+BA73)</f>
        <v>421.69920000000002</v>
      </c>
      <c r="BB72" s="2844">
        <f t="shared" si="68"/>
        <v>496.49599999999998</v>
      </c>
      <c r="BC72" s="2844">
        <f t="shared" si="68"/>
        <v>545.09204750000004</v>
      </c>
      <c r="BD72" s="2841">
        <f>SUM(AZ72:BC72)</f>
        <v>1855.3039495</v>
      </c>
      <c r="BE72" s="2869"/>
      <c r="BF72" s="2869"/>
      <c r="BG72" s="2869"/>
      <c r="BH72" s="2869"/>
      <c r="BI72" s="2920"/>
      <c r="BJ72" s="2921"/>
      <c r="BK72" s="2921"/>
      <c r="BL72" s="2921"/>
      <c r="BM72" s="2921"/>
      <c r="BN72" s="2920"/>
      <c r="BO72" s="2921"/>
      <c r="BP72" s="2921"/>
      <c r="BQ72" s="2921"/>
      <c r="BR72" s="2921"/>
      <c r="BS72" s="2920"/>
      <c r="BT72" s="1432"/>
      <c r="BU72" s="1429"/>
      <c r="BV72" s="1429"/>
      <c r="BW72" s="1429">
        <f>SUM(AM72:AN72,AP72:AQ72)</f>
        <v>1762.5</v>
      </c>
      <c r="BX72" s="1429">
        <f>SUM(AR72:AS72,AU72:AV72)</f>
        <v>1802.0347999999999</v>
      </c>
      <c r="BY72" s="1429">
        <f>SUM(AW72:AX72,AZ72:BA72)</f>
        <v>1828.1524020000002</v>
      </c>
      <c r="BZ72" s="1429">
        <f>SUM(BB72:BC72,BE72:BF72)</f>
        <v>1041.5880474999999</v>
      </c>
      <c r="CA72" s="1429"/>
      <c r="CB72" s="1429"/>
    </row>
    <row r="73" spans="1:83" outlineLevel="1">
      <c r="A73" s="1452" t="s">
        <v>926</v>
      </c>
      <c r="B73" s="1453"/>
      <c r="C73" s="1453"/>
      <c r="D73" s="1453"/>
      <c r="E73" s="1453"/>
      <c r="F73" s="1454"/>
      <c r="G73" s="1453"/>
      <c r="H73" s="1453"/>
      <c r="I73" s="1453"/>
      <c r="J73" s="1453"/>
      <c r="K73" s="1454"/>
      <c r="L73" s="1453"/>
      <c r="M73" s="1453"/>
      <c r="N73" s="1453"/>
      <c r="O73" s="1453"/>
      <c r="P73" s="1454"/>
      <c r="Q73" s="1453"/>
      <c r="R73" s="1453"/>
      <c r="S73" s="1453"/>
      <c r="T73" s="1453"/>
      <c r="U73" s="1454"/>
      <c r="V73" s="1453"/>
      <c r="W73" s="1453"/>
      <c r="X73" s="1453"/>
      <c r="Y73" s="1453"/>
      <c r="Z73" s="1454"/>
      <c r="AA73" s="1453"/>
      <c r="AB73" s="1453"/>
      <c r="AC73" s="1453"/>
      <c r="AD73" s="1453"/>
      <c r="AE73" s="1454"/>
      <c r="AF73" s="1446"/>
      <c r="AG73" s="1453"/>
      <c r="AH73" s="1453"/>
      <c r="AI73" s="1453"/>
      <c r="AJ73" s="1443"/>
      <c r="AK73" s="1442"/>
      <c r="AL73" s="1442"/>
      <c r="AM73" s="1442"/>
      <c r="AN73" s="1442"/>
      <c r="AO73" s="1443"/>
      <c r="AP73" s="1442">
        <v>0.11</v>
      </c>
      <c r="AQ73" s="1442">
        <v>0.09</v>
      </c>
      <c r="AR73" s="1442">
        <v>8.5000000000000006E-2</v>
      </c>
      <c r="AS73" s="1442">
        <v>1.4999999999999999E-2</v>
      </c>
      <c r="AT73" s="1443">
        <f>IF(ISERROR(AT72/AO72-1),,(AT72/AO72-1))</f>
        <v>6.9644970414201257E-2</v>
      </c>
      <c r="AU73" s="1442">
        <v>-6.0000000000000001E-3</v>
      </c>
      <c r="AV73" s="1442">
        <v>-8.0000000000000002E-3</v>
      </c>
      <c r="AW73" s="1442">
        <v>0</v>
      </c>
      <c r="AX73" s="1442">
        <v>1.7500000000000002E-2</v>
      </c>
      <c r="AY73" s="1443">
        <f>IF(ISERROR(AY72/AT72-1),,(AY72/AT72-1))</f>
        <v>1.9756043591305783E-3</v>
      </c>
      <c r="AZ73" s="1455">
        <v>4.4999999999999998E-2</v>
      </c>
      <c r="BA73" s="1455">
        <v>0</v>
      </c>
      <c r="BB73" s="1455">
        <v>0.04</v>
      </c>
      <c r="BC73" s="1455">
        <v>1.4999999999999999E-2</v>
      </c>
      <c r="BD73" s="1443">
        <f>IF(ISERROR(BD72/AY72-1),,(BD72/AY72-1))</f>
        <v>2.4310355660137617E-2</v>
      </c>
      <c r="BE73" s="2870"/>
      <c r="BF73" s="2870"/>
      <c r="BG73" s="2870"/>
      <c r="BH73" s="2870"/>
      <c r="BI73" s="2942"/>
      <c r="BJ73" s="2947"/>
      <c r="BK73" s="2947"/>
      <c r="BL73" s="2947"/>
      <c r="BM73" s="2947"/>
      <c r="BN73" s="2942"/>
      <c r="BO73" s="2947"/>
      <c r="BP73" s="2947"/>
      <c r="BQ73" s="2947"/>
      <c r="BR73" s="2947"/>
      <c r="BS73" s="2942"/>
      <c r="BT73" s="1438"/>
      <c r="BU73" s="1443"/>
      <c r="BV73" s="1443"/>
      <c r="BW73" s="1443"/>
      <c r="BX73" s="1443">
        <f>BX72/BW72-1</f>
        <v>2.2431092198581526E-2</v>
      </c>
      <c r="BY73" s="1443">
        <f>BY72/BX72-1</f>
        <v>1.4493394911130553E-2</v>
      </c>
      <c r="BZ73" s="1443">
        <f>BZ72/BY72-1</f>
        <v>-0.4302509755967272</v>
      </c>
      <c r="CA73" s="1443"/>
      <c r="CB73" s="1443"/>
    </row>
    <row r="74" spans="1:83" outlineLevel="1">
      <c r="A74" s="1452" t="s">
        <v>952</v>
      </c>
      <c r="B74" s="1453"/>
      <c r="C74" s="1453"/>
      <c r="D74" s="1453"/>
      <c r="E74" s="1453"/>
      <c r="F74" s="1454"/>
      <c r="G74" s="1453"/>
      <c r="H74" s="1453"/>
      <c r="I74" s="1453"/>
      <c r="J74" s="1453"/>
      <c r="K74" s="1454"/>
      <c r="L74" s="1453"/>
      <c r="M74" s="1453"/>
      <c r="N74" s="1453"/>
      <c r="O74" s="1453"/>
      <c r="P74" s="1454"/>
      <c r="Q74" s="1453"/>
      <c r="R74" s="1453"/>
      <c r="S74" s="1453"/>
      <c r="T74" s="1453"/>
      <c r="U74" s="1454"/>
      <c r="V74" s="1453"/>
      <c r="W74" s="1453"/>
      <c r="X74" s="1453"/>
      <c r="Y74" s="1453"/>
      <c r="Z74" s="1454"/>
      <c r="AA74" s="1453"/>
      <c r="AB74" s="1453"/>
      <c r="AC74" s="1453"/>
      <c r="AD74" s="1453"/>
      <c r="AE74" s="1454"/>
      <c r="AF74" s="1446"/>
      <c r="AG74" s="1442"/>
      <c r="AH74" s="1442"/>
      <c r="AI74" s="1442"/>
      <c r="AJ74" s="1443"/>
      <c r="AK74" s="1442"/>
      <c r="AL74" s="1442">
        <f>IF(ISERROR(AL72/AK72-1),,(AL72/AK72-1))</f>
        <v>0.14705882352941169</v>
      </c>
      <c r="AM74" s="1442">
        <f>IF(ISERROR(AM72/AL72-1),,(AM72/AL72-1))</f>
        <v>0.12820512820512819</v>
      </c>
      <c r="AN74" s="1442">
        <f>IF(ISERROR(AN72/AM72-1),,(AN72/AM72-1))</f>
        <v>0.18181818181818188</v>
      </c>
      <c r="AO74" s="1443"/>
      <c r="AP74" s="1442">
        <f>IF(ISERROR(AP72/AN72-1),,(AP72/AN72-1))</f>
        <v>-0.27423076923076917</v>
      </c>
      <c r="AQ74" s="1442">
        <f>IF(ISERROR(AQ72/AP72-1),,(AQ72/AP72-1))</f>
        <v>0.12639109697933226</v>
      </c>
      <c r="AR74" s="1442">
        <f>IF(ISERROR(AR72/AQ72-1),,(AR72/AQ72-1))</f>
        <v>0.12302987532345311</v>
      </c>
      <c r="AS74" s="1442">
        <f>IF(ISERROR(AS72/AR72-1),,(AS72/AR72-1))</f>
        <v>0.10557184750733128</v>
      </c>
      <c r="AT74" s="1443"/>
      <c r="AU74" s="1442">
        <f>IF(ISERROR(AU72/AS72-1),,(AU72/AS72-1))</f>
        <v>-0.28924668435013257</v>
      </c>
      <c r="AV74" s="1442">
        <f>IF(ISERROR(AV72/AU72-1),,(AV72/AU72-1))</f>
        <v>0.12412471650251278</v>
      </c>
      <c r="AW74" s="1442">
        <f>IF(ISERROR(AW72/AV72-1),,(AW72/AV72-1))</f>
        <v>0.13208656786638429</v>
      </c>
      <c r="AX74" s="1442">
        <f>IF(ISERROR(AX72/AW72-1),,(AX72/AW72-1))</f>
        <v>0.12491935483870975</v>
      </c>
      <c r="AY74" s="1443"/>
      <c r="AZ74" s="1442">
        <f>IF(ISERROR(AZ72/AX72-1),,(AZ72/AX72-1))</f>
        <v>-0.27003713527851458</v>
      </c>
      <c r="BA74" s="1442">
        <f>IF(ISERROR(BA72/AZ72-1),,(BA72/AZ72-1))</f>
        <v>7.5717432059820844E-2</v>
      </c>
      <c r="BB74" s="1442">
        <f>IF(ISERROR(BB72/BA72-1),,(BB72/BA72-1))</f>
        <v>0.17737003058103973</v>
      </c>
      <c r="BC74" s="1442">
        <f>IF(ISERROR(BC72/BB72-1),,(BC72/BB72-1))</f>
        <v>9.7878024193548407E-2</v>
      </c>
      <c r="BD74" s="1443"/>
      <c r="BE74" s="2866"/>
      <c r="BF74" s="2866"/>
      <c r="BG74" s="2866"/>
      <c r="BH74" s="2866"/>
      <c r="BI74" s="2942"/>
      <c r="BJ74" s="2943"/>
      <c r="BK74" s="2943"/>
      <c r="BL74" s="2943"/>
      <c r="BM74" s="2943"/>
      <c r="BN74" s="2942"/>
      <c r="BO74" s="2943"/>
      <c r="BP74" s="2943"/>
      <c r="BQ74" s="2943"/>
      <c r="BR74" s="2943"/>
      <c r="BS74" s="2942"/>
      <c r="BT74" s="1438"/>
      <c r="BU74" s="1443"/>
      <c r="BV74" s="1443"/>
      <c r="BW74" s="1443"/>
      <c r="BX74" s="1443"/>
      <c r="BY74" s="1443"/>
      <c r="BZ74" s="1443"/>
      <c r="CA74" s="1443"/>
      <c r="CB74" s="1443"/>
    </row>
    <row r="75" spans="1:83" outlineLevel="1">
      <c r="A75" s="1434" t="s">
        <v>1447</v>
      </c>
      <c r="B75" s="1432"/>
      <c r="C75" s="1432"/>
      <c r="D75" s="1432"/>
      <c r="E75" s="1432"/>
      <c r="F75" s="1429"/>
      <c r="G75" s="1432"/>
      <c r="H75" s="1432"/>
      <c r="I75" s="1432"/>
      <c r="J75" s="1432"/>
      <c r="K75" s="1429"/>
      <c r="L75" s="1432"/>
      <c r="M75" s="1432"/>
      <c r="N75" s="1432"/>
      <c r="O75" s="1432"/>
      <c r="P75" s="1429"/>
      <c r="Q75" s="1432"/>
      <c r="R75" s="1432"/>
      <c r="S75" s="1432"/>
      <c r="T75" s="1432"/>
      <c r="U75" s="1429"/>
      <c r="V75" s="1432"/>
      <c r="W75" s="1432"/>
      <c r="X75" s="1432"/>
      <c r="Y75" s="1432"/>
      <c r="Z75" s="1429"/>
      <c r="AA75" s="1432"/>
      <c r="AB75" s="1432"/>
      <c r="AC75" s="1432"/>
      <c r="AD75" s="1432"/>
      <c r="AE75" s="1429"/>
      <c r="AF75" s="1432"/>
      <c r="AG75" s="1432"/>
      <c r="AH75" s="1432"/>
      <c r="AI75" s="1432"/>
      <c r="AJ75" s="1429"/>
      <c r="AK75" s="1432">
        <v>0</v>
      </c>
      <c r="AL75" s="1432">
        <v>0</v>
      </c>
      <c r="AM75" s="1432">
        <v>0</v>
      </c>
      <c r="AN75" s="1432">
        <v>0</v>
      </c>
      <c r="AO75" s="1429">
        <f>SUM(AK75:AN75)</f>
        <v>0</v>
      </c>
      <c r="AP75" s="2840">
        <v>16</v>
      </c>
      <c r="AQ75" s="2840">
        <v>16.5</v>
      </c>
      <c r="AR75" s="2840">
        <v>20</v>
      </c>
      <c r="AS75" s="2840">
        <v>24</v>
      </c>
      <c r="AT75" s="2841">
        <f>SUM(AP75:AS75)</f>
        <v>76.5</v>
      </c>
      <c r="AU75" s="2840">
        <f>AP75*(1+AU76)</f>
        <v>32</v>
      </c>
      <c r="AV75" s="2840">
        <f>AQ75*(1+AV76)</f>
        <v>33</v>
      </c>
      <c r="AW75" s="2840">
        <f>AR75*(1+AW76)</f>
        <v>40</v>
      </c>
      <c r="AX75" s="2840">
        <f>AS75*(1+AX76)</f>
        <v>48</v>
      </c>
      <c r="AY75" s="2841">
        <f>SUM(AU75:AX75)</f>
        <v>153</v>
      </c>
      <c r="AZ75" s="2840">
        <f>AU75*(1+AZ76)</f>
        <v>64</v>
      </c>
      <c r="BA75" s="2840">
        <f>AV75*(1+BA76)</f>
        <v>66</v>
      </c>
      <c r="BB75" s="2840">
        <f>AW75*(1+BB76)</f>
        <v>72.400000000000006</v>
      </c>
      <c r="BC75" s="2840">
        <f>AX75*(1+BC76)</f>
        <v>83.52</v>
      </c>
      <c r="BD75" s="2841">
        <f>SUM(AZ75:BC75)</f>
        <v>285.92</v>
      </c>
      <c r="BE75" s="2867"/>
      <c r="BF75" s="2867"/>
      <c r="BG75" s="2867"/>
      <c r="BH75" s="2867"/>
      <c r="BI75" s="2920"/>
      <c r="BJ75" s="2944"/>
      <c r="BK75" s="2944"/>
      <c r="BL75" s="2944"/>
      <c r="BM75" s="2944"/>
      <c r="BN75" s="2920"/>
      <c r="BO75" s="2944"/>
      <c r="BP75" s="2944"/>
      <c r="BQ75" s="2944"/>
      <c r="BR75" s="2944"/>
      <c r="BS75" s="2920"/>
      <c r="BT75" s="1235"/>
      <c r="BU75" s="1429"/>
      <c r="BV75" s="1429"/>
      <c r="BW75" s="1429">
        <f>SUM(AM75:AN75,AP75:AQ75)</f>
        <v>32.5</v>
      </c>
      <c r="BX75" s="1429">
        <f>SUM(AR75:AS75,AU75:AV75)</f>
        <v>109</v>
      </c>
      <c r="BY75" s="1429">
        <f>SUM(AW75:AX75,AZ75:BA75)</f>
        <v>218</v>
      </c>
      <c r="BZ75" s="1429">
        <f>SUM(BB75:BC75,BE75:BF75)</f>
        <v>155.92000000000002</v>
      </c>
      <c r="CA75" s="1429"/>
      <c r="CB75" s="1429"/>
    </row>
    <row r="76" spans="1:83" outlineLevel="1">
      <c r="A76" s="1456" t="s">
        <v>926</v>
      </c>
      <c r="B76" s="1453"/>
      <c r="C76" s="1453"/>
      <c r="D76" s="1453"/>
      <c r="E76" s="1453"/>
      <c r="F76" s="1454"/>
      <c r="G76" s="1453"/>
      <c r="H76" s="1453"/>
      <c r="I76" s="1453"/>
      <c r="J76" s="1453"/>
      <c r="K76" s="1454"/>
      <c r="L76" s="1453"/>
      <c r="M76" s="1453"/>
      <c r="N76" s="1453"/>
      <c r="O76" s="1453"/>
      <c r="P76" s="1454"/>
      <c r="Q76" s="1453"/>
      <c r="R76" s="1453"/>
      <c r="S76" s="1453"/>
      <c r="T76" s="1453"/>
      <c r="U76" s="1454"/>
      <c r="V76" s="1453"/>
      <c r="W76" s="1453"/>
      <c r="X76" s="1453"/>
      <c r="Y76" s="1453"/>
      <c r="Z76" s="1454"/>
      <c r="AA76" s="1453"/>
      <c r="AB76" s="1453"/>
      <c r="AC76" s="1453"/>
      <c r="AD76" s="1453"/>
      <c r="AE76" s="1454"/>
      <c r="AF76" s="1446"/>
      <c r="AG76" s="1453"/>
      <c r="AH76" s="1453"/>
      <c r="AI76" s="1453"/>
      <c r="AJ76" s="1443"/>
      <c r="AK76" s="1442"/>
      <c r="AL76" s="1442"/>
      <c r="AM76" s="1442"/>
      <c r="AN76" s="1442"/>
      <c r="AO76" s="1443"/>
      <c r="AP76" s="1442">
        <f>IF(ISERROR(AP75/AK75-1),,(AP75/AK75-1))</f>
        <v>0</v>
      </c>
      <c r="AQ76" s="1442">
        <f>IF(ISERROR(AQ75/AL75-1),,(AQ75/AL75-1))</f>
        <v>0</v>
      </c>
      <c r="AR76" s="1442">
        <f>IF(ISERROR(AR75/AM75-1),,(AR75/AM75-1))</f>
        <v>0</v>
      </c>
      <c r="AS76" s="1442">
        <f>IF(ISERROR(AS75/AN75-1),,(AS75/AN75-1))</f>
        <v>0</v>
      </c>
      <c r="AT76" s="1443">
        <f>IF(ISERROR(AT75/AO75-1),,(AT75/AO75-1))</f>
        <v>0</v>
      </c>
      <c r="AU76" s="1442">
        <v>1</v>
      </c>
      <c r="AV76" s="1442">
        <v>1</v>
      </c>
      <c r="AW76" s="1442">
        <v>1</v>
      </c>
      <c r="AX76" s="1442">
        <v>1</v>
      </c>
      <c r="AY76" s="1443">
        <f>IF(ISERROR(AY75/AT75-1),,(AY75/AT75-1))</f>
        <v>1</v>
      </c>
      <c r="AZ76" s="1455">
        <v>1</v>
      </c>
      <c r="BA76" s="1455">
        <v>1</v>
      </c>
      <c r="BB76" s="1455">
        <v>0.81</v>
      </c>
      <c r="BC76" s="1455">
        <v>0.74</v>
      </c>
      <c r="BD76" s="1443">
        <f>IF(ISERROR(BD75/AY75-1),,(BD75/AY75-1))</f>
        <v>0.86875816993464072</v>
      </c>
      <c r="BE76" s="2870"/>
      <c r="BF76" s="2870"/>
      <c r="BG76" s="2870"/>
      <c r="BH76" s="2870"/>
      <c r="BI76" s="2942"/>
      <c r="BJ76" s="2947"/>
      <c r="BK76" s="2947"/>
      <c r="BL76" s="2947"/>
      <c r="BM76" s="2947"/>
      <c r="BN76" s="2942"/>
      <c r="BO76" s="2947"/>
      <c r="BP76" s="2947"/>
      <c r="BQ76" s="2947"/>
      <c r="BR76" s="2947"/>
      <c r="BS76" s="2942"/>
      <c r="BT76" s="1343"/>
      <c r="BU76" s="1443"/>
      <c r="BV76" s="1443"/>
      <c r="BW76" s="1443"/>
      <c r="BX76" s="1443">
        <f>BX75/BW75-1</f>
        <v>2.3538461538461539</v>
      </c>
      <c r="BY76" s="1443">
        <f>BY75/BX75-1</f>
        <v>1</v>
      </c>
      <c r="BZ76" s="1443">
        <f>BZ75/BY75-1</f>
        <v>-0.28477064220183479</v>
      </c>
      <c r="CA76" s="1443"/>
      <c r="CB76" s="1443"/>
    </row>
    <row r="77" spans="1:83" outlineLevel="1">
      <c r="A77" s="1457" t="s">
        <v>952</v>
      </c>
      <c r="B77" s="1458"/>
      <c r="C77" s="1458"/>
      <c r="D77" s="1458"/>
      <c r="E77" s="1458"/>
      <c r="F77" s="1459"/>
      <c r="G77" s="1458"/>
      <c r="H77" s="1458"/>
      <c r="I77" s="1458"/>
      <c r="J77" s="1458"/>
      <c r="K77" s="1459"/>
      <c r="L77" s="1458"/>
      <c r="M77" s="1458"/>
      <c r="N77" s="1458"/>
      <c r="O77" s="1458"/>
      <c r="P77" s="1459"/>
      <c r="Q77" s="1458"/>
      <c r="R77" s="1458"/>
      <c r="S77" s="1458"/>
      <c r="T77" s="1458"/>
      <c r="U77" s="1459"/>
      <c r="V77" s="1458"/>
      <c r="W77" s="1458"/>
      <c r="X77" s="1458"/>
      <c r="Y77" s="1458"/>
      <c r="Z77" s="1459"/>
      <c r="AA77" s="1458"/>
      <c r="AB77" s="1458"/>
      <c r="AC77" s="1458"/>
      <c r="AD77" s="1458"/>
      <c r="AE77" s="1459"/>
      <c r="AF77" s="1450"/>
      <c r="AG77" s="1460"/>
      <c r="AH77" s="1460"/>
      <c r="AI77" s="1460"/>
      <c r="AJ77" s="1461"/>
      <c r="AK77" s="1460"/>
      <c r="AL77" s="1460"/>
      <c r="AM77" s="1460"/>
      <c r="AN77" s="1460"/>
      <c r="AO77" s="1461"/>
      <c r="AP77" s="1460">
        <f>IF(ISERROR(AP75/AN75-1),,(AP75/AN75-1))</f>
        <v>0</v>
      </c>
      <c r="AQ77" s="1460">
        <f>IF(ISERROR(AQ75/AP75-1),,(AQ75/AP75-1))</f>
        <v>3.125E-2</v>
      </c>
      <c r="AR77" s="1460">
        <f>IF(ISERROR(AR75/AQ75-1),,(AR75/AQ75-1))</f>
        <v>0.21212121212121215</v>
      </c>
      <c r="AS77" s="1460">
        <f>IF(ISERROR(AS75/AR75-1),,(AS75/AR75-1))</f>
        <v>0.19999999999999996</v>
      </c>
      <c r="AT77" s="1461"/>
      <c r="AU77" s="1460">
        <f>IF(ISERROR(AU75/AS75-1),,(AU75/AS75-1))</f>
        <v>0.33333333333333326</v>
      </c>
      <c r="AV77" s="1460">
        <f>IF(ISERROR(AV75/AU75-1),,(AV75/AU75-1))</f>
        <v>3.125E-2</v>
      </c>
      <c r="AW77" s="1460">
        <f>IF(ISERROR(AW75/AV75-1),,(AW75/AV75-1))</f>
        <v>0.21212121212121215</v>
      </c>
      <c r="AX77" s="1460">
        <f>IF(ISERROR(AX75/AW75-1),,(AX75/AW75-1))</f>
        <v>0.19999999999999996</v>
      </c>
      <c r="AY77" s="1461"/>
      <c r="AZ77" s="1460">
        <f>IF(ISERROR(AZ75/AX75-1),,(AZ75/AX75-1))</f>
        <v>0.33333333333333326</v>
      </c>
      <c r="BA77" s="1460">
        <f>IF(ISERROR(BA75/AZ75-1),,(BA75/AZ75-1))</f>
        <v>3.125E-2</v>
      </c>
      <c r="BB77" s="1460">
        <f>IF(ISERROR(BB75/BA75-1),,(BB75/BA75-1))</f>
        <v>9.696969696969715E-2</v>
      </c>
      <c r="BC77" s="1460">
        <f>IF(ISERROR(BC75/BB75-1),,(BC75/BB75-1))</f>
        <v>0.15359116022099428</v>
      </c>
      <c r="BD77" s="1461"/>
      <c r="BE77" s="2868"/>
      <c r="BF77" s="2868"/>
      <c r="BG77" s="2868"/>
      <c r="BH77" s="2868"/>
      <c r="BI77" s="2945"/>
      <c r="BJ77" s="2946"/>
      <c r="BK77" s="2946"/>
      <c r="BL77" s="2946"/>
      <c r="BM77" s="2946"/>
      <c r="BN77" s="2945"/>
      <c r="BO77" s="2946"/>
      <c r="BP77" s="2946"/>
      <c r="BQ77" s="2946"/>
      <c r="BR77" s="2946"/>
      <c r="BS77" s="2945"/>
      <c r="BT77" s="1349"/>
      <c r="BU77" s="1461"/>
      <c r="BV77" s="1461"/>
      <c r="BW77" s="1461"/>
      <c r="BX77" s="1461"/>
      <c r="BY77" s="1461"/>
      <c r="BZ77" s="1461"/>
      <c r="CA77" s="1461"/>
      <c r="CB77" s="1461"/>
    </row>
    <row r="78" spans="1:83" outlineLevel="1">
      <c r="A78" s="1434" t="s">
        <v>1416</v>
      </c>
      <c r="B78" s="1432"/>
      <c r="C78" s="1432"/>
      <c r="D78" s="1432"/>
      <c r="E78" s="1432"/>
      <c r="F78" s="1429"/>
      <c r="G78" s="1432"/>
      <c r="H78" s="1432"/>
      <c r="I78" s="1432"/>
      <c r="J78" s="1432"/>
      <c r="K78" s="1429"/>
      <c r="L78" s="1432"/>
      <c r="M78" s="1432"/>
      <c r="N78" s="1432"/>
      <c r="O78" s="1432"/>
      <c r="P78" s="1429"/>
      <c r="Q78" s="1432"/>
      <c r="R78" s="1432"/>
      <c r="S78" s="1432"/>
      <c r="T78" s="1432"/>
      <c r="U78" s="1429"/>
      <c r="V78" s="1432"/>
      <c r="W78" s="1432"/>
      <c r="X78" s="1432"/>
      <c r="Y78" s="1432"/>
      <c r="Z78" s="1429"/>
      <c r="AA78" s="1432"/>
      <c r="AB78" s="1432"/>
      <c r="AC78" s="1432"/>
      <c r="AD78" s="1432"/>
      <c r="AE78" s="1429"/>
      <c r="AF78" s="1432"/>
      <c r="AG78" s="1432"/>
      <c r="AH78" s="1432"/>
      <c r="AI78" s="1432"/>
      <c r="AJ78" s="1429"/>
      <c r="AK78" s="1432"/>
      <c r="AL78" s="1432"/>
      <c r="AM78" s="1432"/>
      <c r="AN78" s="1432"/>
      <c r="AO78" s="1429"/>
      <c r="AP78" s="2845"/>
      <c r="AQ78" s="2845"/>
      <c r="AR78" s="2845"/>
      <c r="AS78" s="2845"/>
      <c r="AT78" s="2841"/>
      <c r="AU78" s="2840"/>
      <c r="AV78" s="2840"/>
      <c r="AW78" s="2840"/>
      <c r="AX78" s="2840"/>
      <c r="AY78" s="2841"/>
      <c r="AZ78" s="2840"/>
      <c r="BA78" s="2840">
        <v>228</v>
      </c>
      <c r="BB78" s="2840">
        <v>975</v>
      </c>
      <c r="BC78" s="2840">
        <v>1065</v>
      </c>
      <c r="BD78" s="2841"/>
      <c r="BE78" s="2867"/>
      <c r="BF78" s="2867"/>
      <c r="BG78" s="2867"/>
      <c r="BH78" s="2867"/>
      <c r="BI78" s="2920"/>
      <c r="BJ78" s="2944"/>
      <c r="BK78" s="2944"/>
      <c r="BL78" s="2944"/>
      <c r="BM78" s="2944"/>
      <c r="BN78" s="2920"/>
      <c r="BO78" s="2944"/>
      <c r="BP78" s="2944"/>
      <c r="BQ78" s="2944"/>
      <c r="BR78" s="2944"/>
      <c r="BS78" s="2920"/>
      <c r="BT78" s="1235"/>
      <c r="BU78" s="1429"/>
      <c r="BV78" s="1429"/>
      <c r="BW78" s="1429">
        <f>SUM(AM78:AN78,AP78:AQ78)</f>
        <v>0</v>
      </c>
      <c r="BX78" s="1429">
        <f>SUM(AR78:AS78,AU78:AV78)</f>
        <v>0</v>
      </c>
      <c r="BY78" s="1429">
        <f>SUM(AW78:AX78,AZ78:BA78)</f>
        <v>228</v>
      </c>
      <c r="BZ78" s="1429">
        <f>SUM(BB78:BC78,BE78:BF78)</f>
        <v>2040</v>
      </c>
      <c r="CA78" s="1429"/>
      <c r="CB78" s="1429"/>
    </row>
    <row r="79" spans="1:83" outlineLevel="1">
      <c r="A79" s="1456" t="s">
        <v>926</v>
      </c>
      <c r="B79" s="1453"/>
      <c r="C79" s="1453"/>
      <c r="D79" s="1453"/>
      <c r="E79" s="1453"/>
      <c r="F79" s="1454"/>
      <c r="G79" s="1453"/>
      <c r="H79" s="1453"/>
      <c r="I79" s="1453"/>
      <c r="J79" s="1453"/>
      <c r="K79" s="1454"/>
      <c r="L79" s="1453"/>
      <c r="M79" s="1453"/>
      <c r="N79" s="1453"/>
      <c r="O79" s="1453"/>
      <c r="P79" s="1454"/>
      <c r="Q79" s="1453"/>
      <c r="R79" s="1453"/>
      <c r="S79" s="1453"/>
      <c r="T79" s="1453"/>
      <c r="U79" s="1454"/>
      <c r="V79" s="1453"/>
      <c r="W79" s="1453"/>
      <c r="X79" s="1453"/>
      <c r="Y79" s="1453"/>
      <c r="Z79" s="1454"/>
      <c r="AA79" s="1453"/>
      <c r="AB79" s="1453"/>
      <c r="AC79" s="1453"/>
      <c r="AD79" s="1453"/>
      <c r="AE79" s="1454"/>
      <c r="AF79" s="1446"/>
      <c r="AG79" s="1453"/>
      <c r="AH79" s="1453"/>
      <c r="AI79" s="1453"/>
      <c r="AJ79" s="1443"/>
      <c r="AK79" s="1442"/>
      <c r="AL79" s="1442"/>
      <c r="AM79" s="1442"/>
      <c r="AN79" s="1442"/>
      <c r="AO79" s="1443"/>
      <c r="AP79" s="1442"/>
      <c r="AQ79" s="1442"/>
      <c r="AR79" s="1442"/>
      <c r="AS79" s="1442"/>
      <c r="AT79" s="1443"/>
      <c r="AU79" s="1442"/>
      <c r="AV79" s="1442"/>
      <c r="AW79" s="1442"/>
      <c r="AX79" s="1442"/>
      <c r="AY79" s="1443"/>
      <c r="AZ79" s="1455"/>
      <c r="BA79" s="1455"/>
      <c r="BB79" s="1455"/>
      <c r="BC79" s="1455"/>
      <c r="BD79" s="1443"/>
      <c r="BE79" s="2870"/>
      <c r="BF79" s="2866"/>
      <c r="BG79" s="2870"/>
      <c r="BH79" s="2870"/>
      <c r="BI79" s="2942"/>
      <c r="BJ79" s="2947"/>
      <c r="BK79" s="2947"/>
      <c r="BL79" s="2947"/>
      <c r="BM79" s="2947"/>
      <c r="BN79" s="2942"/>
      <c r="BO79" s="2947"/>
      <c r="BP79" s="2947"/>
      <c r="BQ79" s="2947"/>
      <c r="BR79" s="2947"/>
      <c r="BS79" s="2942"/>
      <c r="BT79" s="1235"/>
      <c r="BU79" s="1443"/>
      <c r="BV79" s="1443"/>
      <c r="BW79" s="1443"/>
      <c r="BX79" s="1443"/>
      <c r="BY79" s="1443"/>
      <c r="BZ79" s="1443"/>
      <c r="CA79" s="1443"/>
      <c r="CB79" s="1443"/>
    </row>
    <row r="80" spans="1:83" outlineLevel="1">
      <c r="A80" s="1457" t="s">
        <v>952</v>
      </c>
      <c r="B80" s="1458"/>
      <c r="C80" s="1458"/>
      <c r="D80" s="1458"/>
      <c r="E80" s="1458"/>
      <c r="F80" s="1459"/>
      <c r="G80" s="1458"/>
      <c r="H80" s="1458"/>
      <c r="I80" s="1458"/>
      <c r="J80" s="1458"/>
      <c r="K80" s="1459"/>
      <c r="L80" s="1458"/>
      <c r="M80" s="1458"/>
      <c r="N80" s="1458"/>
      <c r="O80" s="1458"/>
      <c r="P80" s="1459"/>
      <c r="Q80" s="1458"/>
      <c r="R80" s="1458"/>
      <c r="S80" s="1458"/>
      <c r="T80" s="1458"/>
      <c r="U80" s="1459"/>
      <c r="V80" s="1458"/>
      <c r="W80" s="1458"/>
      <c r="X80" s="1458"/>
      <c r="Y80" s="1458"/>
      <c r="Z80" s="1459"/>
      <c r="AA80" s="1458"/>
      <c r="AB80" s="1458"/>
      <c r="AC80" s="1458"/>
      <c r="AD80" s="1458"/>
      <c r="AE80" s="1459"/>
      <c r="AF80" s="1450"/>
      <c r="AG80" s="1460"/>
      <c r="AH80" s="1460"/>
      <c r="AI80" s="1460"/>
      <c r="AJ80" s="1461"/>
      <c r="AK80" s="1460"/>
      <c r="AL80" s="1460"/>
      <c r="AM80" s="1460"/>
      <c r="AN80" s="1460"/>
      <c r="AO80" s="1461"/>
      <c r="AP80" s="1460"/>
      <c r="AQ80" s="1460"/>
      <c r="AR80" s="1460"/>
      <c r="AS80" s="1460"/>
      <c r="AT80" s="1461"/>
      <c r="AU80" s="1460"/>
      <c r="AV80" s="1460"/>
      <c r="AW80" s="1460"/>
      <c r="AX80" s="1460"/>
      <c r="AY80" s="1461"/>
      <c r="AZ80" s="1460"/>
      <c r="BA80" s="1460"/>
      <c r="BB80" s="1460"/>
      <c r="BC80" s="1460">
        <f>IF(ISERROR(BC78/BB78-1),,(BC78/BB78-1))</f>
        <v>9.2307692307692202E-2</v>
      </c>
      <c r="BD80" s="1461"/>
      <c r="BE80" s="2868"/>
      <c r="BF80" s="2868"/>
      <c r="BG80" s="2868"/>
      <c r="BH80" s="2868"/>
      <c r="BI80" s="2945"/>
      <c r="BJ80" s="2946"/>
      <c r="BK80" s="2946"/>
      <c r="BL80" s="2946"/>
      <c r="BM80" s="2946"/>
      <c r="BN80" s="2945"/>
      <c r="BO80" s="2946"/>
      <c r="BP80" s="2946"/>
      <c r="BQ80" s="2946"/>
      <c r="BR80" s="2946"/>
      <c r="BS80" s="2945"/>
      <c r="BT80" s="1235"/>
      <c r="BU80" s="1443"/>
      <c r="BV80" s="1443"/>
      <c r="BW80" s="1443"/>
      <c r="BX80" s="1443"/>
      <c r="BY80" s="1443"/>
      <c r="BZ80" s="1443"/>
      <c r="CA80" s="1443"/>
      <c r="CB80" s="1443"/>
    </row>
    <row r="81" spans="1:80" ht="13.5" outlineLevel="1" thickBot="1">
      <c r="A81" s="1175" t="s">
        <v>280</v>
      </c>
      <c r="B81" s="1345"/>
      <c r="C81" s="1345"/>
      <c r="D81" s="1345"/>
      <c r="E81" s="1345"/>
      <c r="F81" s="1346"/>
      <c r="G81" s="1345"/>
      <c r="H81" s="1345"/>
      <c r="I81" s="1345"/>
      <c r="J81" s="1345"/>
      <c r="K81" s="1346"/>
      <c r="L81" s="1345"/>
      <c r="M81" s="1345"/>
      <c r="N81" s="1345"/>
      <c r="O81" s="1345"/>
      <c r="P81" s="1346"/>
      <c r="Q81" s="1345"/>
      <c r="R81" s="1345"/>
      <c r="S81" s="1345"/>
      <c r="T81" s="1345"/>
      <c r="U81" s="1346"/>
      <c r="V81" s="1345"/>
      <c r="W81" s="1345"/>
      <c r="X81" s="1345"/>
      <c r="Y81" s="1345"/>
      <c r="Z81" s="1346"/>
      <c r="AA81" s="1345"/>
      <c r="AB81" s="1345"/>
      <c r="AC81" s="1345"/>
      <c r="AD81" s="1345"/>
      <c r="AE81" s="1346"/>
      <c r="AF81" s="1347"/>
      <c r="AG81" s="1347"/>
      <c r="AH81" s="1347"/>
      <c r="AI81" s="1347"/>
      <c r="AJ81" s="1346"/>
      <c r="AK81" s="1345">
        <f t="shared" ref="AK81" si="69">AK82-AK51-AK60-AK69</f>
        <v>0</v>
      </c>
      <c r="AL81" s="1345">
        <f>AL82-AL51-AL60-AL69</f>
        <v>6.63799999999992</v>
      </c>
      <c r="AM81" s="1345">
        <f t="shared" ref="AM81:AN81" si="70">AM82-AM51-AM60-AM69</f>
        <v>-3.0500000000001819</v>
      </c>
      <c r="AN81" s="1345">
        <f t="shared" si="70"/>
        <v>-4.9220664062504511</v>
      </c>
      <c r="AO81" s="1000">
        <f>SUM(AK81:AN81)</f>
        <v>-1.334066406250713</v>
      </c>
      <c r="AP81" s="2846">
        <f t="shared" ref="AP81" si="71">AP82-AP51-AP60-AP69</f>
        <v>8.3968093749995774</v>
      </c>
      <c r="AQ81" s="2846">
        <f>AQ82-AQ51-AQ60-AQ69</f>
        <v>-5.5156312499999558</v>
      </c>
      <c r="AR81" s="2846">
        <f t="shared" ref="AR81:AS81" si="72">AR82-AR51-AR60-AR69</f>
        <v>-64.703543750000222</v>
      </c>
      <c r="AS81" s="2846">
        <f t="shared" si="72"/>
        <v>-140.08409375000042</v>
      </c>
      <c r="AT81" s="1416">
        <f>SUM(AP81:AS81)</f>
        <v>-201.90645937500102</v>
      </c>
      <c r="AU81" s="2846">
        <f t="shared" ref="AU81" si="73">AU82-AU51-AU60-AU69</f>
        <v>-3.6681623750004633</v>
      </c>
      <c r="AV81" s="2846">
        <f>AV82-AV51-AV60-AV69</f>
        <v>-46.20724437500121</v>
      </c>
      <c r="AW81" s="2846">
        <f t="shared" ref="AW81:AX81" si="74">AW82-AW51-AW60-AW69</f>
        <v>-83.825946874998749</v>
      </c>
      <c r="AX81" s="2846">
        <f t="shared" si="74"/>
        <v>-375.76629687499997</v>
      </c>
      <c r="AY81" s="1416">
        <f>SUM(AU81:AX81)</f>
        <v>-509.46765050000039</v>
      </c>
      <c r="AZ81" s="2846">
        <f>AZ82-AZ51-AZ60-AZ69-AZ78</f>
        <v>-15.722007315000269</v>
      </c>
      <c r="BA81" s="2846">
        <f t="shared" ref="BA81:BC81" si="75">BA82-BA51-BA60-BA69-BA78</f>
        <v>-83.929206574999625</v>
      </c>
      <c r="BB81" s="2846">
        <f t="shared" si="75"/>
        <v>-208.08019674999946</v>
      </c>
      <c r="BC81" s="2846">
        <f t="shared" si="75"/>
        <v>-516.83774812500019</v>
      </c>
      <c r="BD81" s="1416">
        <f>SUM(AZ81:BC81)</f>
        <v>-824.56915876499954</v>
      </c>
      <c r="BE81" s="2871"/>
      <c r="BF81" s="2871"/>
      <c r="BG81" s="2871"/>
      <c r="BH81" s="2871"/>
      <c r="BI81" s="2924"/>
      <c r="BJ81" s="2950"/>
      <c r="BK81" s="2950"/>
      <c r="BL81" s="2950"/>
      <c r="BM81" s="2950"/>
      <c r="BN81" s="2924"/>
      <c r="BO81" s="2950"/>
      <c r="BP81" s="2950"/>
      <c r="BQ81" s="2950"/>
      <c r="BR81" s="2950"/>
      <c r="BS81" s="2924"/>
      <c r="BT81" s="1343"/>
      <c r="BU81" s="1000"/>
      <c r="BV81" s="1000"/>
      <c r="BW81" s="1000">
        <f>SUM(AM81:AN81,AP81:AQ81)</f>
        <v>-5.0908882812510114</v>
      </c>
      <c r="BX81" s="1000">
        <f>SUM(AR81:AS81,AU81:AV81)</f>
        <v>-254.66304425000232</v>
      </c>
      <c r="BY81" s="1000">
        <f>SUM(AW81:AX81,AZ81:BA81)</f>
        <v>-559.24345763999861</v>
      </c>
      <c r="BZ81" s="1000">
        <f>SUM(BB81:BC81,BE81:BF81)</f>
        <v>-724.91794487499965</v>
      </c>
      <c r="CA81" s="1000"/>
      <c r="CB81" s="1000"/>
    </row>
    <row r="82" spans="1:80" ht="13.5" outlineLevel="1" thickBot="1">
      <c r="A82" s="1477" t="s">
        <v>1043</v>
      </c>
      <c r="B82" s="1497"/>
      <c r="C82" s="1497"/>
      <c r="D82" s="1497"/>
      <c r="E82" s="1497"/>
      <c r="F82" s="1498"/>
      <c r="G82" s="1497"/>
      <c r="H82" s="1497"/>
      <c r="I82" s="1497"/>
      <c r="J82" s="1497"/>
      <c r="K82" s="1498"/>
      <c r="L82" s="1497"/>
      <c r="M82" s="1497"/>
      <c r="N82" s="1497"/>
      <c r="O82" s="1497"/>
      <c r="P82" s="1498"/>
      <c r="Q82" s="1497"/>
      <c r="R82" s="1497"/>
      <c r="S82" s="1497"/>
      <c r="T82" s="1497"/>
      <c r="U82" s="1498"/>
      <c r="V82" s="1497"/>
      <c r="W82" s="1497"/>
      <c r="X82" s="1497"/>
      <c r="Y82" s="1497"/>
      <c r="Z82" s="1498"/>
      <c r="AA82" s="1497"/>
      <c r="AB82" s="1497"/>
      <c r="AC82" s="1497"/>
      <c r="AD82" s="1497"/>
      <c r="AE82" s="1479"/>
      <c r="AF82" s="1478"/>
      <c r="AG82" s="1478"/>
      <c r="AH82" s="1478"/>
      <c r="AI82" s="1478"/>
      <c r="AJ82" s="1479">
        <f>'Rev Overview'!BJ10</f>
        <v>25776</v>
      </c>
      <c r="AK82" s="1478">
        <f>'Rev Overview'!BK10</f>
        <v>6183</v>
      </c>
      <c r="AL82" s="1478">
        <f>'Rev Overview'!BL10</f>
        <v>6943</v>
      </c>
      <c r="AM82" s="1478">
        <f>'Rev Overview'!BM10</f>
        <v>6768</v>
      </c>
      <c r="AN82" s="1478">
        <f>'Rev Overview'!BN10</f>
        <v>7078</v>
      </c>
      <c r="AO82" s="1479">
        <f>'Rev Overview'!BO10</f>
        <v>26972</v>
      </c>
      <c r="AP82" s="1478">
        <f>'Rev Overview'!BP10</f>
        <v>6490</v>
      </c>
      <c r="AQ82" s="1478">
        <f>'Rev Overview'!BQ10</f>
        <v>6822</v>
      </c>
      <c r="AR82" s="1478">
        <f>'Rev Overview'!BR10</f>
        <v>6457</v>
      </c>
      <c r="AS82" s="1478">
        <f>'Rev Overview'!BS10</f>
        <v>6662</v>
      </c>
      <c r="AT82" s="1479">
        <f>'Rev Overview'!BT10</f>
        <v>26431</v>
      </c>
      <c r="AU82" s="1478">
        <f>AU17</f>
        <v>6306</v>
      </c>
      <c r="AV82" s="1478">
        <f>AV17</f>
        <v>6690</v>
      </c>
      <c r="AW82" s="1478">
        <f>AW17</f>
        <v>6522</v>
      </c>
      <c r="AX82" s="1478">
        <f>AX17</f>
        <v>6969</v>
      </c>
      <c r="AY82" s="1479">
        <f>SUM(AU82:AX82)</f>
        <v>26487</v>
      </c>
      <c r="AZ82" s="1478">
        <f>AZ17</f>
        <v>6658</v>
      </c>
      <c r="BA82" s="1478">
        <f>BA17</f>
        <v>7382</v>
      </c>
      <c r="BB82" s="1478">
        <f>BB17</f>
        <v>7958</v>
      </c>
      <c r="BC82" s="1478">
        <f>BC17</f>
        <v>8446</v>
      </c>
      <c r="BD82" s="1479">
        <f>SUM(AZ82:BC82)</f>
        <v>30444</v>
      </c>
      <c r="BE82" s="2857"/>
      <c r="BF82" s="2857"/>
      <c r="BG82" s="2857"/>
      <c r="BH82" s="2857"/>
      <c r="BI82" s="2926"/>
      <c r="BJ82" s="2927"/>
      <c r="BK82" s="2927"/>
      <c r="BL82" s="2927"/>
      <c r="BM82" s="2927"/>
      <c r="BN82" s="2926"/>
      <c r="BO82" s="2927"/>
      <c r="BP82" s="2927"/>
      <c r="BQ82" s="2927"/>
      <c r="BR82" s="2927"/>
      <c r="BS82" s="2926"/>
      <c r="BT82" s="1343"/>
      <c r="BU82" s="1479"/>
      <c r="BV82" s="1479"/>
      <c r="BW82" s="1479">
        <f>SUM(AM82:AN82,AP82:AQ82)</f>
        <v>27158</v>
      </c>
      <c r="BX82" s="1479">
        <f>SUM(AR82:AS82,AU82:AV82)</f>
        <v>26115</v>
      </c>
      <c r="BY82" s="1479">
        <f>SUM(AW82:AX82,AZ82:BA82)</f>
        <v>27531</v>
      </c>
      <c r="BZ82" s="1479">
        <f>SUM(BB82:BC82,BE82:BF82)</f>
        <v>16404</v>
      </c>
      <c r="CA82" s="1479"/>
      <c r="CB82" s="1479"/>
    </row>
    <row r="83" spans="1:80" outlineLevel="1">
      <c r="A83" s="1499" t="s">
        <v>926</v>
      </c>
      <c r="B83" s="1500"/>
      <c r="C83" s="1500"/>
      <c r="D83" s="1500"/>
      <c r="E83" s="1500"/>
      <c r="F83" s="1501"/>
      <c r="G83" s="1500"/>
      <c r="H83" s="1500"/>
      <c r="I83" s="1500"/>
      <c r="J83" s="1500"/>
      <c r="K83" s="1501"/>
      <c r="L83" s="1500"/>
      <c r="M83" s="1500"/>
      <c r="N83" s="1500"/>
      <c r="O83" s="1500"/>
      <c r="P83" s="1501"/>
      <c r="Q83" s="1500"/>
      <c r="R83" s="1500"/>
      <c r="S83" s="1500"/>
      <c r="T83" s="1500"/>
      <c r="U83" s="1501"/>
      <c r="V83" s="1500"/>
      <c r="W83" s="1500"/>
      <c r="X83" s="1500"/>
      <c r="Y83" s="1500"/>
      <c r="Z83" s="1501"/>
      <c r="AA83" s="1502"/>
      <c r="AB83" s="1502"/>
      <c r="AC83" s="1502"/>
      <c r="AD83" s="1502"/>
      <c r="AE83" s="1501"/>
      <c r="AF83" s="1502"/>
      <c r="AG83" s="1502"/>
      <c r="AH83" s="1502"/>
      <c r="AI83" s="1502"/>
      <c r="AJ83" s="1503"/>
      <c r="AK83" s="1502"/>
      <c r="AL83" s="1502"/>
      <c r="AM83" s="1502"/>
      <c r="AN83" s="1502"/>
      <c r="AO83" s="1503">
        <f t="shared" ref="AO83:BD83" si="76">IF(ISERROR(AO82/AJ82-1),,(AO82/AJ82-1))</f>
        <v>4.639975170701427E-2</v>
      </c>
      <c r="AP83" s="1502">
        <f t="shared" si="76"/>
        <v>4.9652272359695937E-2</v>
      </c>
      <c r="AQ83" s="1502">
        <f t="shared" si="76"/>
        <v>-1.7427624945988818E-2</v>
      </c>
      <c r="AR83" s="1502">
        <f t="shared" si="76"/>
        <v>-4.5951536643025981E-2</v>
      </c>
      <c r="AS83" s="1502">
        <f t="shared" si="76"/>
        <v>-5.8773664877083909E-2</v>
      </c>
      <c r="AT83" s="1503">
        <f t="shared" si="76"/>
        <v>-2.0057837757674668E-2</v>
      </c>
      <c r="AU83" s="1502">
        <f t="shared" si="76"/>
        <v>-2.8351309707241867E-2</v>
      </c>
      <c r="AV83" s="1502">
        <f t="shared" si="76"/>
        <v>-1.9349164467898028E-2</v>
      </c>
      <c r="AW83" s="1502">
        <f t="shared" si="76"/>
        <v>1.0066594393681294E-2</v>
      </c>
      <c r="AX83" s="1502">
        <f t="shared" si="76"/>
        <v>4.6082257580306152E-2</v>
      </c>
      <c r="AY83" s="1503">
        <f t="shared" si="76"/>
        <v>2.1187242253415395E-3</v>
      </c>
      <c r="AZ83" s="1502">
        <f t="shared" si="76"/>
        <v>5.5819854107199474E-2</v>
      </c>
      <c r="BA83" s="1502">
        <f t="shared" si="76"/>
        <v>0.10343796711509712</v>
      </c>
      <c r="BB83" s="1502">
        <f t="shared" si="76"/>
        <v>0.22017785955228453</v>
      </c>
      <c r="BC83" s="1502">
        <f t="shared" si="76"/>
        <v>0.21193858516286412</v>
      </c>
      <c r="BD83" s="1503">
        <f t="shared" si="76"/>
        <v>0.14939404236040321</v>
      </c>
      <c r="BE83" s="2866"/>
      <c r="BF83" s="2866"/>
      <c r="BG83" s="2866"/>
      <c r="BH83" s="2866"/>
      <c r="BI83" s="2942"/>
      <c r="BJ83" s="2943"/>
      <c r="BK83" s="2943"/>
      <c r="BL83" s="2943"/>
      <c r="BM83" s="2943"/>
      <c r="BN83" s="2942"/>
      <c r="BO83" s="2943"/>
      <c r="BP83" s="2943"/>
      <c r="BQ83" s="2943"/>
      <c r="BR83" s="2943"/>
      <c r="BS83" s="2942"/>
      <c r="BT83" s="1438"/>
      <c r="BU83" s="1503"/>
      <c r="BV83" s="1503"/>
      <c r="BW83" s="1503"/>
      <c r="BX83" s="1503">
        <f>BX82/BW82-1</f>
        <v>-3.8404889903527528E-2</v>
      </c>
      <c r="BY83" s="1503">
        <f>BY82/BX82-1</f>
        <v>5.4221711659965477E-2</v>
      </c>
      <c r="BZ83" s="1503">
        <f>BZ82/BY82-1</f>
        <v>-0.40416258036395336</v>
      </c>
      <c r="CA83" s="1503"/>
      <c r="CB83" s="1503"/>
    </row>
    <row r="84" spans="1:80" outlineLevel="1">
      <c r="A84" s="1499" t="s">
        <v>952</v>
      </c>
      <c r="B84" s="1500"/>
      <c r="C84" s="1500"/>
      <c r="D84" s="1500"/>
      <c r="E84" s="1500"/>
      <c r="F84" s="1501"/>
      <c r="G84" s="1500"/>
      <c r="H84" s="1500"/>
      <c r="I84" s="1500"/>
      <c r="J84" s="1500"/>
      <c r="K84" s="1501"/>
      <c r="L84" s="1500"/>
      <c r="M84" s="1500"/>
      <c r="N84" s="1500"/>
      <c r="O84" s="1500"/>
      <c r="P84" s="1501"/>
      <c r="Q84" s="1500"/>
      <c r="R84" s="1500"/>
      <c r="S84" s="1500"/>
      <c r="T84" s="1500"/>
      <c r="U84" s="1501"/>
      <c r="V84" s="1500"/>
      <c r="W84" s="1500"/>
      <c r="X84" s="1500"/>
      <c r="Y84" s="1500"/>
      <c r="Z84" s="1501"/>
      <c r="AA84" s="1504"/>
      <c r="AB84" s="1502"/>
      <c r="AC84" s="1502"/>
      <c r="AD84" s="1502"/>
      <c r="AE84" s="1501"/>
      <c r="AF84" s="1502"/>
      <c r="AG84" s="1502"/>
      <c r="AH84" s="1502"/>
      <c r="AI84" s="1502"/>
      <c r="AJ84" s="1503"/>
      <c r="AK84" s="1502"/>
      <c r="AL84" s="1502">
        <f>IF(ISERROR(AL82/AK82-1),,(AL82/AK82-1))</f>
        <v>0.12291767750283045</v>
      </c>
      <c r="AM84" s="1502">
        <f>IF(ISERROR(AM82/AL82-1),,(AM82/AL82-1))</f>
        <v>-2.5205242690479635E-2</v>
      </c>
      <c r="AN84" s="1502">
        <f>IF(ISERROR(AN82/AM82-1),,(AN82/AM82-1))</f>
        <v>4.5803782505910107E-2</v>
      </c>
      <c r="AO84" s="1505"/>
      <c r="AP84" s="1502">
        <f>IF(ISERROR(AP82/AN82-1),,(AP82/AN82-1))</f>
        <v>-8.3074314778185943E-2</v>
      </c>
      <c r="AQ84" s="1502">
        <f>IF(ISERROR(AQ82/AP82-1),,(AQ82/AP82-1))</f>
        <v>5.115562403697993E-2</v>
      </c>
      <c r="AR84" s="1502">
        <f>IF(ISERROR(AR82/AQ82-1),,(AR82/AQ82-1))</f>
        <v>-5.3503371445323911E-2</v>
      </c>
      <c r="AS84" s="1502">
        <f>IF(ISERROR(AS82/AR82-1),,(AS82/AR82-1))</f>
        <v>3.1748490010840902E-2</v>
      </c>
      <c r="AT84" s="1505"/>
      <c r="AU84" s="1502">
        <f>IF(ISERROR(AU82/AS82-1),,(AU82/AS82-1))</f>
        <v>-5.3437406184329017E-2</v>
      </c>
      <c r="AV84" s="1502">
        <f>IF(ISERROR(AV82/AU82-1),,(AV82/AU82-1))</f>
        <v>6.0894386298762981E-2</v>
      </c>
      <c r="AW84" s="1502">
        <f>IF(ISERROR(AW82/AV82-1),,(AW82/AV82-1))</f>
        <v>-2.5112107623318392E-2</v>
      </c>
      <c r="AX84" s="1502">
        <f>IF(ISERROR(AX82/AW82-1),,(AX82/AW82-1))</f>
        <v>6.8537258509659527E-2</v>
      </c>
      <c r="AY84" s="1505"/>
      <c r="AZ84" s="1502">
        <f>IF(ISERROR(AZ82/AX82-1),,(AZ82/AX82-1))</f>
        <v>-4.4626201750609829E-2</v>
      </c>
      <c r="BA84" s="1502">
        <f>IF(ISERROR(BA82/AZ82-1),,(BA82/AZ82-1))</f>
        <v>0.10874136377290489</v>
      </c>
      <c r="BB84" s="1502">
        <f>IF(ISERROR(BB82/BA82-1),,(BB82/BA82-1))</f>
        <v>7.8027634787320554E-2</v>
      </c>
      <c r="BC84" s="1502">
        <f>IF(ISERROR(BC82/BB82-1),,(BC82/BB82-1))</f>
        <v>6.1321940185976365E-2</v>
      </c>
      <c r="BD84" s="1503"/>
      <c r="BE84" s="2866"/>
      <c r="BF84" s="2866"/>
      <c r="BG84" s="2866"/>
      <c r="BH84" s="2866"/>
      <c r="BI84" s="2942"/>
      <c r="BJ84" s="2943"/>
      <c r="BK84" s="2943"/>
      <c r="BL84" s="2943"/>
      <c r="BM84" s="2943"/>
      <c r="BN84" s="2942"/>
      <c r="BO84" s="2943"/>
      <c r="BP84" s="2943"/>
      <c r="BQ84" s="2943"/>
      <c r="BR84" s="2943"/>
      <c r="BS84" s="2942"/>
      <c r="BT84" s="1438"/>
      <c r="BU84" s="1503"/>
      <c r="BV84" s="1503"/>
      <c r="BW84" s="1503"/>
      <c r="BX84" s="1503"/>
      <c r="BY84" s="1503"/>
      <c r="BZ84" s="1503"/>
      <c r="CA84" s="1503"/>
      <c r="CB84" s="1503"/>
    </row>
    <row r="85" spans="1:80" ht="13.5" outlineLevel="1" thickBot="1">
      <c r="A85" s="1506" t="s">
        <v>953</v>
      </c>
      <c r="B85" s="1483"/>
      <c r="C85" s="1483"/>
      <c r="D85" s="1483"/>
      <c r="E85" s="1483"/>
      <c r="F85" s="1484"/>
      <c r="G85" s="1483"/>
      <c r="H85" s="1483"/>
      <c r="I85" s="1483"/>
      <c r="J85" s="1483"/>
      <c r="K85" s="1484"/>
      <c r="L85" s="1483"/>
      <c r="M85" s="1483"/>
      <c r="N85" s="1483"/>
      <c r="O85" s="1483"/>
      <c r="P85" s="1484"/>
      <c r="Q85" s="1483"/>
      <c r="R85" s="1483"/>
      <c r="S85" s="1483"/>
      <c r="T85" s="1483"/>
      <c r="U85" s="1484"/>
      <c r="V85" s="1483"/>
      <c r="W85" s="1483"/>
      <c r="X85" s="1483"/>
      <c r="Y85" s="1483"/>
      <c r="Z85" s="1484"/>
      <c r="AA85" s="1483"/>
      <c r="AB85" s="1483"/>
      <c r="AC85" s="1483"/>
      <c r="AD85" s="1483"/>
      <c r="AE85" s="1484"/>
      <c r="AF85" s="1481"/>
      <c r="AG85" s="1507"/>
      <c r="AH85" s="1507"/>
      <c r="AI85" s="1507"/>
      <c r="AJ85" s="1508"/>
      <c r="AK85" s="1507"/>
      <c r="AL85" s="1507"/>
      <c r="AM85" s="1507"/>
      <c r="AN85" s="1507"/>
      <c r="AO85" s="1508"/>
      <c r="AP85" s="1507"/>
      <c r="AQ85" s="1507"/>
      <c r="AR85" s="1507"/>
      <c r="AS85" s="1507"/>
      <c r="AT85" s="1508"/>
      <c r="AU85" s="1507"/>
      <c r="AV85" s="1507"/>
      <c r="AW85" s="1507"/>
      <c r="AX85" s="1507"/>
      <c r="AY85" s="1508"/>
      <c r="AZ85" s="1507">
        <f>AVERAGE(AU84,AP84,AK84)</f>
        <v>-6.825586048125748E-2</v>
      </c>
      <c r="BA85" s="1507">
        <f>AVERAGE(AV84,AQ84,AL84)</f>
        <v>7.8322562612857791E-2</v>
      </c>
      <c r="BB85" s="1507">
        <f>AVERAGE(AW84,AR84,AM84)</f>
        <v>-3.4606907253040643E-2</v>
      </c>
      <c r="BC85" s="1507">
        <f>AVERAGE(AX84,AS84,AN84)</f>
        <v>4.8696510342136845E-2</v>
      </c>
      <c r="BD85" s="1508"/>
      <c r="BE85" s="2873"/>
      <c r="BF85" s="2873"/>
      <c r="BG85" s="2873"/>
      <c r="BH85" s="2873"/>
      <c r="BI85" s="2951"/>
      <c r="BJ85" s="2952"/>
      <c r="BK85" s="2952"/>
      <c r="BL85" s="2952"/>
      <c r="BM85" s="2952"/>
      <c r="BN85" s="2951"/>
      <c r="BO85" s="2952"/>
      <c r="BP85" s="2952"/>
      <c r="BQ85" s="2952"/>
      <c r="BR85" s="2952"/>
      <c r="BS85" s="2951"/>
      <c r="BT85" s="1438"/>
      <c r="BU85" s="1508"/>
      <c r="BV85" s="1508"/>
      <c r="BW85" s="1508"/>
      <c r="BX85" s="1508"/>
      <c r="BY85" s="1508"/>
      <c r="BZ85" s="1508"/>
      <c r="CA85" s="1508"/>
      <c r="CB85" s="1508"/>
    </row>
    <row r="86" spans="1:80" outlineLevel="1">
      <c r="A86" s="1065"/>
      <c r="B86" s="1066"/>
      <c r="C86" s="1066"/>
      <c r="D86" s="1066"/>
      <c r="E86" s="1066"/>
      <c r="F86" s="1067"/>
      <c r="G86" s="1066"/>
      <c r="H86" s="1066"/>
      <c r="I86" s="1066"/>
      <c r="J86" s="1066"/>
      <c r="K86" s="1067"/>
      <c r="L86" s="1066"/>
      <c r="M86" s="1066"/>
      <c r="N86" s="1066"/>
      <c r="O86" s="1066"/>
      <c r="P86" s="1067"/>
      <c r="Q86" s="1066"/>
      <c r="R86" s="1066"/>
      <c r="S86" s="1066"/>
      <c r="T86" s="1066"/>
      <c r="U86" s="1067"/>
      <c r="V86" s="1066"/>
      <c r="W86" s="1066"/>
      <c r="X86" s="1066"/>
      <c r="Y86" s="1066"/>
      <c r="Z86" s="1067"/>
      <c r="AA86" s="1066"/>
      <c r="AB86" s="1066"/>
      <c r="AC86" s="1066"/>
      <c r="AD86" s="1066"/>
      <c r="AE86" s="1067"/>
      <c r="AF86" s="1068"/>
      <c r="AG86" s="1070"/>
      <c r="AH86" s="1070"/>
      <c r="AI86" s="1070"/>
      <c r="AJ86" s="1069"/>
      <c r="AK86" s="1345"/>
      <c r="AL86" s="1426"/>
      <c r="AM86" s="1426"/>
      <c r="AN86" s="1426"/>
      <c r="AO86" s="1427"/>
      <c r="AP86" s="1426"/>
      <c r="AQ86" s="1426"/>
      <c r="AR86" s="1426"/>
      <c r="AS86" s="1426"/>
      <c r="AT86" s="1427"/>
      <c r="AU86" s="2679"/>
      <c r="AV86" s="1426"/>
      <c r="AW86" s="1426"/>
      <c r="AX86" s="1070"/>
      <c r="AY86" s="1427"/>
      <c r="AZ86" s="2690">
        <v>3907.9320606250003</v>
      </c>
      <c r="BA86" s="2690">
        <v>4576.2589675000017</v>
      </c>
      <c r="BB86" s="2690">
        <v>4434.9641489999995</v>
      </c>
      <c r="BC86" s="2690">
        <v>5262.3119499999993</v>
      </c>
      <c r="BD86" s="1427"/>
      <c r="BE86" s="2874"/>
      <c r="BF86" s="2866"/>
      <c r="BG86" s="2866"/>
      <c r="BH86" s="2866"/>
      <c r="BI86" s="2942"/>
      <c r="BJ86" s="2943"/>
      <c r="BK86" s="2943"/>
      <c r="BL86" s="2943"/>
      <c r="BM86" s="2943"/>
      <c r="BN86" s="2942"/>
      <c r="BO86" s="2943"/>
      <c r="BP86" s="2943"/>
      <c r="BQ86" s="2943"/>
      <c r="BR86" s="2943"/>
      <c r="BS86" s="2942"/>
      <c r="BT86" s="1438"/>
      <c r="BU86" s="1069"/>
      <c r="BV86" s="1069"/>
      <c r="BW86" s="1069"/>
      <c r="BX86" s="1069"/>
      <c r="BY86" s="1069"/>
      <c r="BZ86" s="1069"/>
      <c r="CA86" s="1069"/>
      <c r="CB86" s="1069"/>
    </row>
    <row r="87" spans="1:80" outlineLevel="1">
      <c r="A87" s="2680" t="s">
        <v>1045</v>
      </c>
      <c r="B87" s="2681"/>
      <c r="C87" s="2681"/>
      <c r="D87" s="2681"/>
      <c r="E87" s="2681"/>
      <c r="F87" s="2682"/>
      <c r="G87" s="2681"/>
      <c r="H87" s="2681"/>
      <c r="I87" s="2681"/>
      <c r="J87" s="2681"/>
      <c r="K87" s="2682"/>
      <c r="L87" s="2681"/>
      <c r="M87" s="2681"/>
      <c r="N87" s="2681"/>
      <c r="O87" s="2681"/>
      <c r="P87" s="2682"/>
      <c r="Q87" s="2681"/>
      <c r="R87" s="2681"/>
      <c r="S87" s="2681"/>
      <c r="T87" s="2681"/>
      <c r="U87" s="2682"/>
      <c r="V87" s="2681"/>
      <c r="W87" s="2681"/>
      <c r="X87" s="2681"/>
      <c r="Y87" s="2681"/>
      <c r="Z87" s="2682"/>
      <c r="AA87" s="2681"/>
      <c r="AB87" s="2681"/>
      <c r="AC87" s="2681"/>
      <c r="AD87" s="2681"/>
      <c r="AE87" s="2682"/>
      <c r="AF87" s="2683"/>
      <c r="AG87" s="2681"/>
      <c r="AH87" s="2681"/>
      <c r="AI87" s="2681"/>
      <c r="AJ87" s="2682"/>
      <c r="AK87" s="1167"/>
      <c r="AL87" s="2681"/>
      <c r="AM87" s="2681"/>
      <c r="AN87" s="2681"/>
      <c r="AO87" s="2682"/>
      <c r="AP87" s="1167"/>
      <c r="AQ87" s="2681"/>
      <c r="AR87" s="2681"/>
      <c r="AS87" s="2681"/>
      <c r="AT87" s="2682"/>
      <c r="AU87" s="1167"/>
      <c r="AV87" s="2681"/>
      <c r="AW87" s="2681"/>
      <c r="AX87" s="2681"/>
      <c r="AY87" s="2682"/>
      <c r="AZ87" s="1167"/>
      <c r="BA87" s="2681"/>
      <c r="BB87" s="2681"/>
      <c r="BC87" s="2681"/>
      <c r="BD87" s="2682"/>
      <c r="BE87" s="2875"/>
      <c r="BF87" s="2876"/>
      <c r="BG87" s="2876"/>
      <c r="BH87" s="2876"/>
      <c r="BI87" s="2953"/>
      <c r="BJ87" s="2954"/>
      <c r="BK87" s="2955"/>
      <c r="BL87" s="2955"/>
      <c r="BM87" s="2955"/>
      <c r="BN87" s="2953"/>
      <c r="BO87" s="2954"/>
      <c r="BP87" s="2955"/>
      <c r="BQ87" s="2955"/>
      <c r="BR87" s="2955"/>
      <c r="BS87" s="2953"/>
      <c r="BT87" s="1343"/>
      <c r="BU87" s="2682"/>
      <c r="BV87" s="2682"/>
      <c r="BW87" s="2682"/>
      <c r="BX87" s="2682"/>
      <c r="BY87" s="2682"/>
      <c r="BZ87" s="2682"/>
      <c r="CA87" s="2682"/>
      <c r="CB87" s="2682"/>
    </row>
    <row r="88" spans="1:80" outlineLevel="1">
      <c r="A88" s="1464" t="s">
        <v>1448</v>
      </c>
      <c r="B88" s="1465"/>
      <c r="C88" s="1465"/>
      <c r="D88" s="1465"/>
      <c r="E88" s="1465"/>
      <c r="F88" s="1466"/>
      <c r="G88" s="1465"/>
      <c r="H88" s="1465"/>
      <c r="I88" s="1465"/>
      <c r="J88" s="1465"/>
      <c r="K88" s="1466"/>
      <c r="L88" s="1465"/>
      <c r="M88" s="1465"/>
      <c r="N88" s="1465"/>
      <c r="O88" s="1465"/>
      <c r="P88" s="1466"/>
      <c r="Q88" s="1465"/>
      <c r="R88" s="1465"/>
      <c r="S88" s="1465"/>
      <c r="T88" s="1465"/>
      <c r="U88" s="1466"/>
      <c r="V88" s="1465"/>
      <c r="W88" s="1465"/>
      <c r="X88" s="1465"/>
      <c r="Y88" s="1465"/>
      <c r="Z88" s="1466"/>
      <c r="AA88" s="1465"/>
      <c r="AB88" s="1465"/>
      <c r="AC88" s="1465"/>
      <c r="AD88" s="1465"/>
      <c r="AE88" s="1466"/>
      <c r="AF88" s="1467"/>
      <c r="AG88" s="1467"/>
      <c r="AH88" s="1467"/>
      <c r="AI88" s="1467"/>
      <c r="AJ88" s="1466"/>
      <c r="AK88" s="2684">
        <f>AK91+AK97</f>
        <v>3707</v>
      </c>
      <c r="AL88" s="2684">
        <f t="shared" ref="AL88:AN88" si="77">AL91+AL97</f>
        <v>4335</v>
      </c>
      <c r="AM88" s="2684">
        <f t="shared" si="77"/>
        <v>4188</v>
      </c>
      <c r="AN88" s="2684">
        <f t="shared" si="77"/>
        <v>4861.5</v>
      </c>
      <c r="AO88" s="2685">
        <f>SUM(AK88:AN88)</f>
        <v>17091.5</v>
      </c>
      <c r="AP88" s="2684">
        <f>AP91+AP97</f>
        <v>4185.9100000000008</v>
      </c>
      <c r="AQ88" s="2684">
        <f t="shared" ref="AQ88:AS88" si="78">AQ91+AQ97</f>
        <v>4709</v>
      </c>
      <c r="AR88" s="2684">
        <f t="shared" si="78"/>
        <v>4686.5500000000011</v>
      </c>
      <c r="AS88" s="2684">
        <f t="shared" si="78"/>
        <v>5042.125</v>
      </c>
      <c r="AT88" s="2685">
        <f>SUM(AP88:AS88)</f>
        <v>18623.584999999999</v>
      </c>
      <c r="AU88" s="2684">
        <f>AU91+AU97</f>
        <v>4493.4177500000005</v>
      </c>
      <c r="AV88" s="2684">
        <f t="shared" ref="AV88:AX88" si="79">AV91+AV97</f>
        <v>4888.3330000000005</v>
      </c>
      <c r="AW88" s="2684">
        <f t="shared" si="79"/>
        <v>4687.7601999999997</v>
      </c>
      <c r="AX88" s="2684">
        <f t="shared" si="79"/>
        <v>5354.8845000000001</v>
      </c>
      <c r="AY88" s="2685">
        <f>SUM(AU88:AX88)</f>
        <v>19424.39545</v>
      </c>
      <c r="AZ88" s="2684">
        <f>AZ91+AZ97</f>
        <v>4997.7480606250001</v>
      </c>
      <c r="BA88" s="2684">
        <f t="shared" ref="BA88:BC88" si="80">BA91+BA97</f>
        <v>5492.2907675000006</v>
      </c>
      <c r="BB88" s="2684">
        <f t="shared" si="80"/>
        <v>5382.1678250000004</v>
      </c>
      <c r="BC88" s="2684">
        <f t="shared" si="80"/>
        <v>6156.3690449999995</v>
      </c>
      <c r="BD88" s="2685">
        <f>SUM(AZ88:BC88)</f>
        <v>22028.575698125002</v>
      </c>
      <c r="BE88" s="2877"/>
      <c r="BF88" s="2877"/>
      <c r="BG88" s="2877"/>
      <c r="BH88" s="2877"/>
      <c r="BI88" s="2956"/>
      <c r="BJ88" s="2957"/>
      <c r="BK88" s="2957"/>
      <c r="BL88" s="2957"/>
      <c r="BM88" s="2957"/>
      <c r="BN88" s="2956"/>
      <c r="BO88" s="2957"/>
      <c r="BP88" s="2957"/>
      <c r="BQ88" s="2957"/>
      <c r="BR88" s="2957"/>
      <c r="BS88" s="2956"/>
      <c r="BT88" s="2686"/>
      <c r="BU88" s="2687"/>
      <c r="BV88" s="2687"/>
      <c r="BW88" s="2687"/>
      <c r="BX88" s="2687"/>
      <c r="BY88" s="2687"/>
      <c r="BZ88" s="2687"/>
      <c r="CA88" s="2687"/>
      <c r="CB88" s="2687"/>
    </row>
    <row r="89" spans="1:80" outlineLevel="1">
      <c r="A89" s="1452" t="s">
        <v>926</v>
      </c>
      <c r="B89" s="1453"/>
      <c r="C89" s="1453"/>
      <c r="D89" s="1453"/>
      <c r="E89" s="1453"/>
      <c r="F89" s="1454"/>
      <c r="G89" s="1453"/>
      <c r="H89" s="1453"/>
      <c r="I89" s="1453"/>
      <c r="J89" s="1453"/>
      <c r="K89" s="1454"/>
      <c r="L89" s="1453"/>
      <c r="M89" s="1453"/>
      <c r="N89" s="1453"/>
      <c r="O89" s="1453"/>
      <c r="P89" s="1454"/>
      <c r="Q89" s="1453"/>
      <c r="R89" s="1453"/>
      <c r="S89" s="1453"/>
      <c r="T89" s="1453"/>
      <c r="U89" s="1454"/>
      <c r="V89" s="1453"/>
      <c r="W89" s="1453"/>
      <c r="X89" s="1453"/>
      <c r="Y89" s="1453"/>
      <c r="Z89" s="1454"/>
      <c r="AA89" s="1453"/>
      <c r="AB89" s="1453"/>
      <c r="AC89" s="1453"/>
      <c r="AD89" s="1453"/>
      <c r="AE89" s="1454"/>
      <c r="AF89" s="1446"/>
      <c r="AG89" s="1453"/>
      <c r="AH89" s="1453"/>
      <c r="AI89" s="1453"/>
      <c r="AJ89" s="1443"/>
      <c r="AK89" s="1442"/>
      <c r="AL89" s="1442"/>
      <c r="AM89" s="1442"/>
      <c r="AN89" s="1442"/>
      <c r="AO89" s="1443"/>
      <c r="AP89" s="1442">
        <f t="shared" ref="AP89" si="81">IF(ISERROR(AP88/AK88-1),,(AP88/AK88-1))</f>
        <v>0.12919072025896972</v>
      </c>
      <c r="AQ89" s="1442">
        <f t="shared" ref="AQ89" si="82">IF(ISERROR(AQ88/AL88-1),,(AQ88/AL88-1))</f>
        <v>8.6274509803921484E-2</v>
      </c>
      <c r="AR89" s="1442">
        <f t="shared" ref="AR89" si="83">IF(ISERROR(AR88/AM88-1),,(AR88/AM88-1))</f>
        <v>0.11904250238777481</v>
      </c>
      <c r="AS89" s="1442">
        <f t="shared" ref="AS89" si="84">IF(ISERROR(AS88/AN88-1),,(AS88/AN88-1))</f>
        <v>3.7154170523501007E-2</v>
      </c>
      <c r="AT89" s="1443">
        <f>IF(ISERROR(AT88/AO88-1),,(AT88/AO88-1))</f>
        <v>8.9640172015329256E-2</v>
      </c>
      <c r="AU89" s="1442">
        <f t="shared" ref="AU89" si="85">IF(ISERROR(AU88/AP88-1),,(AU88/AP88-1))</f>
        <v>7.3462580418594658E-2</v>
      </c>
      <c r="AV89" s="1442">
        <f t="shared" ref="AV89" si="86">IF(ISERROR(AV88/AQ88-1),,(AV88/AQ88-1))</f>
        <v>3.8083032490974889E-2</v>
      </c>
      <c r="AW89" s="1442">
        <f t="shared" ref="AW89" si="87">IF(ISERROR(AW88/AR88-1),,(AW88/AR88-1))</f>
        <v>2.5822833427535663E-4</v>
      </c>
      <c r="AX89" s="1442">
        <f t="shared" ref="AX89" si="88">IF(ISERROR(AX88/AS88-1),,(AX88/AS88-1))</f>
        <v>6.2029303121203805E-2</v>
      </c>
      <c r="AY89" s="1443">
        <f>IF(ISERROR(AY88/AT88-1),,(AY88/AT88-1))</f>
        <v>4.2999801058711373E-2</v>
      </c>
      <c r="AZ89" s="1442">
        <f t="shared" ref="AZ89" si="89">IF(ISERROR(AZ88/AU88-1),,(AZ88/AU88-1))</f>
        <v>0.11223757475587481</v>
      </c>
      <c r="BA89" s="1442">
        <f t="shared" ref="BA89" si="90">IF(ISERROR(BA88/AV88-1),,(BA88/AV88-1))</f>
        <v>0.12355086437441964</v>
      </c>
      <c r="BB89" s="1442">
        <f t="shared" ref="BB89" si="91">IF(ISERROR(BB88/AW88-1),,(BB88/AW88-1))</f>
        <v>0.14813207062084799</v>
      </c>
      <c r="BC89" s="1442">
        <f t="shared" ref="BC89" si="92">IF(ISERROR(BC88/AX88-1),,(BC88/AX88-1))</f>
        <v>0.1496735447795372</v>
      </c>
      <c r="BD89" s="1443">
        <f>IF(ISERROR(BD88/AY88-1),,(BD88/AY88-1))</f>
        <v>0.13406750572126569</v>
      </c>
      <c r="BE89" s="2866"/>
      <c r="BF89" s="2866"/>
      <c r="BG89" s="2866"/>
      <c r="BH89" s="2866"/>
      <c r="BI89" s="2942"/>
      <c r="BJ89" s="2943"/>
      <c r="BK89" s="2943"/>
      <c r="BL89" s="2943"/>
      <c r="BM89" s="2943"/>
      <c r="BN89" s="2942"/>
      <c r="BO89" s="2943"/>
      <c r="BP89" s="2943"/>
      <c r="BQ89" s="2943"/>
      <c r="BR89" s="2943"/>
      <c r="BS89" s="2942"/>
      <c r="BT89" s="1343"/>
      <c r="BU89" s="2682"/>
      <c r="BV89" s="2682"/>
      <c r="BW89" s="2682"/>
      <c r="BX89" s="2682"/>
      <c r="BY89" s="2682"/>
      <c r="BZ89" s="2682"/>
      <c r="CA89" s="2682"/>
      <c r="CB89" s="2682"/>
    </row>
    <row r="90" spans="1:80" outlineLevel="1">
      <c r="A90" s="1452" t="s">
        <v>952</v>
      </c>
      <c r="B90" s="1453"/>
      <c r="C90" s="1453"/>
      <c r="D90" s="1453"/>
      <c r="E90" s="1453"/>
      <c r="F90" s="1454"/>
      <c r="G90" s="1453"/>
      <c r="H90" s="1453"/>
      <c r="I90" s="1453"/>
      <c r="J90" s="1453"/>
      <c r="K90" s="1454"/>
      <c r="L90" s="1453"/>
      <c r="M90" s="1453"/>
      <c r="N90" s="1453"/>
      <c r="O90" s="1453"/>
      <c r="P90" s="1454"/>
      <c r="Q90" s="1453"/>
      <c r="R90" s="1453"/>
      <c r="S90" s="1453"/>
      <c r="T90" s="1453"/>
      <c r="U90" s="1454"/>
      <c r="V90" s="1453"/>
      <c r="W90" s="1453"/>
      <c r="X90" s="1453"/>
      <c r="Y90" s="1453"/>
      <c r="Z90" s="1454"/>
      <c r="AA90" s="1453"/>
      <c r="AB90" s="1453"/>
      <c r="AC90" s="1453"/>
      <c r="AD90" s="1453"/>
      <c r="AE90" s="1454"/>
      <c r="AF90" s="1446"/>
      <c r="AG90" s="1442"/>
      <c r="AH90" s="1442"/>
      <c r="AI90" s="1442"/>
      <c r="AJ90" s="1443"/>
      <c r="AK90" s="1442"/>
      <c r="AL90" s="1442">
        <f>IF(ISERROR(AL88/AK88-1),,(AL88/AK88-1))</f>
        <v>0.16940922578904782</v>
      </c>
      <c r="AM90" s="1442">
        <f>IF(ISERROR(AM88/AL88-1),,(AM88/AL88-1))</f>
        <v>-3.3910034602076089E-2</v>
      </c>
      <c r="AN90" s="1442">
        <f>IF(ISERROR(AN88/AM88-1),,(AN88/AM88-1))</f>
        <v>0.16081661891117482</v>
      </c>
      <c r="AO90" s="1443"/>
      <c r="AP90" s="1442">
        <f>IF(ISERROR(AP88/AN88-1),,(AP88/AN88-1))</f>
        <v>-0.13896739689396265</v>
      </c>
      <c r="AQ90" s="1442">
        <f>IF(ISERROR(AQ88/AP88-1),,(AQ88/AP88-1))</f>
        <v>0.12496446411891293</v>
      </c>
      <c r="AR90" s="1442">
        <f>IF(ISERROR(AR88/AQ88-1),,(AR88/AQ88-1))</f>
        <v>-4.7674665534080951E-3</v>
      </c>
      <c r="AS90" s="1442">
        <f>IF(ISERROR(AS88/AR88-1),,(AS88/AR88-1))</f>
        <v>7.5871376598990459E-2</v>
      </c>
      <c r="AT90" s="1443"/>
      <c r="AU90" s="1442">
        <f>IF(ISERROR(AU88/AS88-1),,(AU88/AS88-1))</f>
        <v>-0.10882460272206651</v>
      </c>
      <c r="AV90" s="1442">
        <f>IF(ISERROR(AV88/AU88-1),,(AV88/AU88-1))</f>
        <v>8.7887499442935058E-2</v>
      </c>
      <c r="AW90" s="1442">
        <f>IF(ISERROR(AW88/AV88-1),,(AW88/AV88-1))</f>
        <v>-4.1030919947556921E-2</v>
      </c>
      <c r="AX90" s="1442">
        <f>IF(ISERROR(AX88/AW88-1),,(AX88/AW88-1))</f>
        <v>0.14231195102514005</v>
      </c>
      <c r="AY90" s="1443"/>
      <c r="AZ90" s="1442">
        <f>IF(ISERROR(AZ88/AX88-1),,(AZ88/AX88-1))</f>
        <v>-6.6693584030617314E-2</v>
      </c>
      <c r="BA90" s="1442">
        <f>IF(ISERROR(BA88/AZ88-1),,(BA88/AZ88-1))</f>
        <v>9.8953108655331912E-2</v>
      </c>
      <c r="BB90" s="1442">
        <f>IF(ISERROR(BB88/BA88-1),,(BB88/BA88-1))</f>
        <v>-2.0050457479716788E-2</v>
      </c>
      <c r="BC90" s="1442">
        <f>IF(ISERROR(BC88/BB88-1),,(BC88/BB88-1))</f>
        <v>0.14384561113160732</v>
      </c>
      <c r="BD90" s="1443"/>
      <c r="BE90" s="2866"/>
      <c r="BF90" s="2866"/>
      <c r="BG90" s="2866"/>
      <c r="BH90" s="2866"/>
      <c r="BI90" s="2942"/>
      <c r="BJ90" s="2943"/>
      <c r="BK90" s="2943"/>
      <c r="BL90" s="2943"/>
      <c r="BM90" s="2943"/>
      <c r="BN90" s="2942"/>
      <c r="BO90" s="2943"/>
      <c r="BP90" s="2943"/>
      <c r="BQ90" s="2943"/>
      <c r="BR90" s="2943"/>
      <c r="BS90" s="2942"/>
      <c r="BT90" s="1343"/>
      <c r="BU90" s="2682"/>
      <c r="BV90" s="2682"/>
      <c r="BW90" s="2682"/>
      <c r="BX90" s="2682"/>
      <c r="BY90" s="2682"/>
      <c r="BZ90" s="2682"/>
      <c r="CA90" s="2682"/>
      <c r="CB90" s="2682"/>
    </row>
    <row r="91" spans="1:80" outlineLevel="1">
      <c r="A91" s="986" t="s">
        <v>915</v>
      </c>
      <c r="B91" s="1345"/>
      <c r="C91" s="1345"/>
      <c r="D91" s="1345"/>
      <c r="E91" s="1345"/>
      <c r="F91" s="1346"/>
      <c r="G91" s="1345"/>
      <c r="H91" s="1345"/>
      <c r="I91" s="1345"/>
      <c r="J91" s="1345"/>
      <c r="K91" s="1346"/>
      <c r="L91" s="1345"/>
      <c r="M91" s="1345"/>
      <c r="N91" s="1345"/>
      <c r="O91" s="1345"/>
      <c r="P91" s="1346"/>
      <c r="Q91" s="1345"/>
      <c r="R91" s="1345"/>
      <c r="S91" s="1345"/>
      <c r="T91" s="1345"/>
      <c r="U91" s="1346"/>
      <c r="V91" s="1345"/>
      <c r="W91" s="1345"/>
      <c r="X91" s="1345"/>
      <c r="Y91" s="1345"/>
      <c r="Z91" s="1346"/>
      <c r="AA91" s="1345"/>
      <c r="AB91" s="1345"/>
      <c r="AC91" s="1345"/>
      <c r="AD91" s="1345"/>
      <c r="AE91" s="1346"/>
      <c r="AF91" s="1347"/>
      <c r="AG91" s="1347"/>
      <c r="AH91" s="1347"/>
      <c r="AI91" s="1347"/>
      <c r="AJ91" s="1346"/>
      <c r="AK91" s="1002">
        <v>3635</v>
      </c>
      <c r="AL91" s="1002">
        <v>4250</v>
      </c>
      <c r="AM91" s="1002">
        <v>4075</v>
      </c>
      <c r="AN91" s="1002">
        <v>4717</v>
      </c>
      <c r="AO91" s="1010">
        <f>SUM(AK91:AN91)</f>
        <v>16677</v>
      </c>
      <c r="AP91" s="1002">
        <f>AK91*(1+AP92)</f>
        <v>4020.3100000000004</v>
      </c>
      <c r="AQ91" s="1002">
        <f>AL91*(1+AQ92)</f>
        <v>4530.5</v>
      </c>
      <c r="AR91" s="1002">
        <f>AM91*(1+AR92)</f>
        <v>4466.2000000000007</v>
      </c>
      <c r="AS91" s="1002">
        <f>AN91*(1+AS92)</f>
        <v>4717</v>
      </c>
      <c r="AT91" s="1010">
        <f>SUM(AP91:AS91)</f>
        <v>17734.010000000002</v>
      </c>
      <c r="AU91" s="1002">
        <f>AP91*(1+AU92)</f>
        <v>4120.8177500000002</v>
      </c>
      <c r="AV91" s="1002">
        <f>AQ91*(1+AV92)</f>
        <v>4467.0730000000003</v>
      </c>
      <c r="AW91" s="1002">
        <f>AR91*(1+AW92)</f>
        <v>4225.0252</v>
      </c>
      <c r="AX91" s="1002">
        <f>AS91*(1+AX92)</f>
        <v>4698.1319999999996</v>
      </c>
      <c r="AY91" s="1010">
        <f>SUM(AU91:AX91)</f>
        <v>17511.04795</v>
      </c>
      <c r="AZ91" s="1002">
        <f>AU91*(1+AZ92)</f>
        <v>4192.9320606250003</v>
      </c>
      <c r="BA91" s="1002">
        <f>AV91*(1+BA92)</f>
        <v>4679.2589675000008</v>
      </c>
      <c r="BB91" s="1002">
        <f>AW91*(1+BB92)</f>
        <v>4489.0892750000003</v>
      </c>
      <c r="BC91" s="1002">
        <f>AX91*(1+BC92)</f>
        <v>4862.5666199999996</v>
      </c>
      <c r="BD91" s="1010">
        <f>SUM(AZ91:BC91)</f>
        <v>18223.846923125002</v>
      </c>
      <c r="BE91" s="2878"/>
      <c r="BF91" s="2878"/>
      <c r="BG91" s="2878"/>
      <c r="BH91" s="2878"/>
      <c r="BI91" s="2958"/>
      <c r="BJ91" s="2959"/>
      <c r="BK91" s="2959"/>
      <c r="BL91" s="2959"/>
      <c r="BM91" s="2959"/>
      <c r="BN91" s="2958"/>
      <c r="BO91" s="2959"/>
      <c r="BP91" s="2959"/>
      <c r="BQ91" s="2959"/>
      <c r="BR91" s="2959"/>
      <c r="BS91" s="2958"/>
      <c r="BT91" s="1343"/>
      <c r="BU91" s="1010"/>
      <c r="BV91" s="1010"/>
      <c r="BW91" s="1010">
        <f>SUM(AM91:AN91,AP91:AQ91)</f>
        <v>17342.810000000001</v>
      </c>
      <c r="BX91" s="1010">
        <f>SUM(AR91:AS91,AU91:AV91)</f>
        <v>17771.090750000003</v>
      </c>
      <c r="BY91" s="1010">
        <f>SUM(AW91:AX91,AZ91:BA91)</f>
        <v>17795.348228125</v>
      </c>
      <c r="BZ91" s="1010">
        <f>SUM(BB91:BC91,BE91:BF91)</f>
        <v>9351.6558949999999</v>
      </c>
      <c r="CA91" s="1010"/>
      <c r="CB91" s="1010"/>
    </row>
    <row r="92" spans="1:80" outlineLevel="1">
      <c r="A92" s="1452" t="s">
        <v>926</v>
      </c>
      <c r="B92" s="1453"/>
      <c r="C92" s="1453"/>
      <c r="D92" s="1453"/>
      <c r="E92" s="1453"/>
      <c r="F92" s="1454"/>
      <c r="G92" s="1453"/>
      <c r="H92" s="1453"/>
      <c r="I92" s="1453"/>
      <c r="J92" s="1453"/>
      <c r="K92" s="1454"/>
      <c r="L92" s="1453"/>
      <c r="M92" s="1453"/>
      <c r="N92" s="1453"/>
      <c r="O92" s="1453"/>
      <c r="P92" s="1454"/>
      <c r="Q92" s="1453"/>
      <c r="R92" s="1453"/>
      <c r="S92" s="1453"/>
      <c r="T92" s="1453"/>
      <c r="U92" s="1454"/>
      <c r="V92" s="1453"/>
      <c r="W92" s="1453"/>
      <c r="X92" s="1453"/>
      <c r="Y92" s="1453"/>
      <c r="Z92" s="1454"/>
      <c r="AA92" s="1453"/>
      <c r="AB92" s="1453"/>
      <c r="AC92" s="1453"/>
      <c r="AD92" s="1453"/>
      <c r="AE92" s="1454"/>
      <c r="AF92" s="1446"/>
      <c r="AG92" s="1453"/>
      <c r="AH92" s="1453"/>
      <c r="AI92" s="1453"/>
      <c r="AJ92" s="1443"/>
      <c r="AK92" s="1442"/>
      <c r="AL92" s="1442"/>
      <c r="AM92" s="1442"/>
      <c r="AN92" s="1442"/>
      <c r="AO92" s="1443"/>
      <c r="AP92" s="1442">
        <v>0.106</v>
      </c>
      <c r="AQ92" s="1442">
        <v>6.6000000000000003E-2</v>
      </c>
      <c r="AR92" s="1442">
        <v>9.6000000000000002E-2</v>
      </c>
      <c r="AS92" s="1442">
        <v>0</v>
      </c>
      <c r="AT92" s="1443">
        <f>IF(ISERROR(AT91/AO91-1),,(AT91/AO91-1))</f>
        <v>6.3381303591773186E-2</v>
      </c>
      <c r="AU92" s="1442">
        <v>2.5000000000000001E-2</v>
      </c>
      <c r="AV92" s="1442">
        <v>-1.4E-2</v>
      </c>
      <c r="AW92" s="1442">
        <v>-5.3999999999999999E-2</v>
      </c>
      <c r="AX92" s="1442">
        <v>-4.0000000000000001E-3</v>
      </c>
      <c r="AY92" s="1443">
        <f>IF(ISERROR(AY91/AT91-1),,(AY91/AT91-1))</f>
        <v>-1.25725681895974E-2</v>
      </c>
      <c r="AZ92" s="1442">
        <v>1.7500000000000002E-2</v>
      </c>
      <c r="BA92" s="1442">
        <v>4.7500000000000001E-2</v>
      </c>
      <c r="BB92" s="1455">
        <v>6.25E-2</v>
      </c>
      <c r="BC92" s="1455">
        <v>3.5000000000000003E-2</v>
      </c>
      <c r="BD92" s="1443">
        <f>IF(ISERROR(BD91/AY91-1),,(BD91/AY91-1))</f>
        <v>4.0705671936955845E-2</v>
      </c>
      <c r="BE92" s="2870"/>
      <c r="BF92" s="2870"/>
      <c r="BG92" s="2870"/>
      <c r="BH92" s="2870"/>
      <c r="BI92" s="2942"/>
      <c r="BJ92" s="2947"/>
      <c r="BK92" s="2947"/>
      <c r="BL92" s="2947"/>
      <c r="BM92" s="2947"/>
      <c r="BN92" s="2942"/>
      <c r="BO92" s="2947"/>
      <c r="BP92" s="2947"/>
      <c r="BQ92" s="2947"/>
      <c r="BR92" s="2947"/>
      <c r="BS92" s="2942"/>
      <c r="BT92" s="1343"/>
      <c r="BU92" s="1443"/>
      <c r="BV92" s="1443"/>
      <c r="BW92" s="1443"/>
      <c r="BX92" s="1443">
        <f>BX91/BW91-1</f>
        <v>2.4695003289547657E-2</v>
      </c>
      <c r="BY92" s="1443">
        <f>BY91/BX91-1</f>
        <v>1.3649965815967224E-3</v>
      </c>
      <c r="BZ92" s="1443">
        <f>BZ91/BY91-1</f>
        <v>-0.47448873856708262</v>
      </c>
      <c r="CA92" s="1443"/>
      <c r="CB92" s="1443"/>
    </row>
    <row r="93" spans="1:80" outlineLevel="1">
      <c r="A93" s="1452" t="s">
        <v>952</v>
      </c>
      <c r="B93" s="1453"/>
      <c r="C93" s="1453"/>
      <c r="D93" s="1453"/>
      <c r="E93" s="1453"/>
      <c r="F93" s="1454"/>
      <c r="G93" s="1453"/>
      <c r="H93" s="1453"/>
      <c r="I93" s="1453"/>
      <c r="J93" s="1453"/>
      <c r="K93" s="1454"/>
      <c r="L93" s="1453"/>
      <c r="M93" s="1453"/>
      <c r="N93" s="1453"/>
      <c r="O93" s="1453"/>
      <c r="P93" s="1454"/>
      <c r="Q93" s="1453"/>
      <c r="R93" s="1453"/>
      <c r="S93" s="1453"/>
      <c r="T93" s="1453"/>
      <c r="U93" s="1454"/>
      <c r="V93" s="1453"/>
      <c r="W93" s="1453"/>
      <c r="X93" s="1453"/>
      <c r="Y93" s="1453"/>
      <c r="Z93" s="1454"/>
      <c r="AA93" s="1453"/>
      <c r="AB93" s="1453"/>
      <c r="AC93" s="1453"/>
      <c r="AD93" s="1453"/>
      <c r="AE93" s="1454"/>
      <c r="AF93" s="1446"/>
      <c r="AG93" s="1442"/>
      <c r="AH93" s="1442"/>
      <c r="AI93" s="1442"/>
      <c r="AJ93" s="1443"/>
      <c r="AK93" s="1442"/>
      <c r="AL93" s="1442">
        <f>IF(ISERROR(AL91/AK91-1),,(AL91/AK91-1))</f>
        <v>0.1691884456671251</v>
      </c>
      <c r="AM93" s="1442">
        <f>IF(ISERROR(AM91/AL91-1),,(AM91/AL91-1))</f>
        <v>-4.1176470588235259E-2</v>
      </c>
      <c r="AN93" s="1442">
        <f>IF(ISERROR(AN91/AM91-1),,(AN91/AM91-1))</f>
        <v>0.15754601226993858</v>
      </c>
      <c r="AO93" s="1443"/>
      <c r="AP93" s="1442">
        <f>IF(ISERROR(AP91/AN91-1),,(AP91/AN91-1))</f>
        <v>-0.14769768920924309</v>
      </c>
      <c r="AQ93" s="1442">
        <f>IF(ISERROR(AQ91/AP91-1),,(AQ91/AP91-1))</f>
        <v>0.1269031492596342</v>
      </c>
      <c r="AR93" s="1442">
        <f>IF(ISERROR(AR91/AQ91-1),,(AR91/AQ91-1))</f>
        <v>-1.4192693963138603E-2</v>
      </c>
      <c r="AS93" s="1442">
        <f>IF(ISERROR(AS91/AR91-1),,(AS91/AR91-1))</f>
        <v>5.6155120684250326E-2</v>
      </c>
      <c r="AT93" s="1443"/>
      <c r="AU93" s="1442">
        <f>IF(ISERROR(AU91/AS91-1),,(AU91/AS91-1))</f>
        <v>-0.1263901314394742</v>
      </c>
      <c r="AV93" s="1442">
        <f>IF(ISERROR(AV91/AU91-1),,(AV91/AU91-1))</f>
        <v>8.4025858702438505E-2</v>
      </c>
      <c r="AW93" s="1442">
        <f>IF(ISERROR(AW91/AV91-1),,(AW91/AV91-1))</f>
        <v>-5.4184876763822776E-2</v>
      </c>
      <c r="AX93" s="1442">
        <f>IF(ISERROR(AX91/AW91-1),,(AX91/AW91-1))</f>
        <v>0.11197727294028903</v>
      </c>
      <c r="AY93" s="1443"/>
      <c r="AZ93" s="1442">
        <f>IF(ISERROR(AZ91/AX91-1),,(AZ91/AX91-1))</f>
        <v>-0.10753208708801698</v>
      </c>
      <c r="BA93" s="1442">
        <f>IF(ISERROR(BA91/AZ91-1),,(BA91/AZ91-1))</f>
        <v>0.11598730908187149</v>
      </c>
      <c r="BB93" s="1442">
        <f>IF(ISERROR(BB91/BA91-1),,(BB91/BA91-1))</f>
        <v>-4.0640984784307221E-2</v>
      </c>
      <c r="BC93" s="1442">
        <f>IF(ISERROR(BC91/BB91-1),,(BC91/BB91-1))</f>
        <v>8.3196684699481604E-2</v>
      </c>
      <c r="BD93" s="1443"/>
      <c r="BE93" s="2866"/>
      <c r="BF93" s="2866"/>
      <c r="BG93" s="2866"/>
      <c r="BH93" s="2866"/>
      <c r="BI93" s="2942"/>
      <c r="BJ93" s="2943"/>
      <c r="BK93" s="2943"/>
      <c r="BL93" s="2943"/>
      <c r="BM93" s="2943"/>
      <c r="BN93" s="2942"/>
      <c r="BO93" s="2943"/>
      <c r="BP93" s="2943"/>
      <c r="BQ93" s="2943"/>
      <c r="BR93" s="2943"/>
      <c r="BS93" s="2942"/>
      <c r="BT93" s="1343"/>
      <c r="BU93" s="1443"/>
      <c r="BV93" s="1443"/>
      <c r="BW93" s="1443"/>
      <c r="BX93" s="1443"/>
      <c r="BY93" s="1443"/>
      <c r="BZ93" s="1443"/>
      <c r="CA93" s="1443"/>
      <c r="CB93" s="1443"/>
    </row>
    <row r="94" spans="1:80" outlineLevel="1">
      <c r="A94" s="986" t="s">
        <v>503</v>
      </c>
      <c r="B94" s="1345"/>
      <c r="C94" s="1345"/>
      <c r="D94" s="1345"/>
      <c r="E94" s="1345"/>
      <c r="F94" s="1346"/>
      <c r="G94" s="1345"/>
      <c r="H94" s="1345"/>
      <c r="I94" s="1345"/>
      <c r="J94" s="1345"/>
      <c r="K94" s="1346"/>
      <c r="L94" s="1345"/>
      <c r="M94" s="1345"/>
      <c r="N94" s="1345"/>
      <c r="O94" s="1345"/>
      <c r="P94" s="1346"/>
      <c r="Q94" s="1345"/>
      <c r="R94" s="1345"/>
      <c r="S94" s="1345"/>
      <c r="T94" s="1345"/>
      <c r="U94" s="1346"/>
      <c r="V94" s="1345"/>
      <c r="W94" s="1345"/>
      <c r="X94" s="1345"/>
      <c r="Y94" s="1345"/>
      <c r="Z94" s="1346"/>
      <c r="AA94" s="1345"/>
      <c r="AB94" s="1345"/>
      <c r="AC94" s="1345"/>
      <c r="AD94" s="1345"/>
      <c r="AE94" s="1346"/>
      <c r="AF94" s="1347"/>
      <c r="AG94" s="1347"/>
      <c r="AH94" s="1347"/>
      <c r="AI94" s="1347"/>
      <c r="AJ94" s="1346"/>
      <c r="AK94" s="1002">
        <v>1150</v>
      </c>
      <c r="AL94" s="1002">
        <v>1180</v>
      </c>
      <c r="AM94" s="1002">
        <v>1120</v>
      </c>
      <c r="AN94" s="1002">
        <v>1250</v>
      </c>
      <c r="AO94" s="1010">
        <f>SUM(AK94:AN94)</f>
        <v>4700</v>
      </c>
      <c r="AP94" s="1001">
        <f>AK94*(1+AP95)</f>
        <v>1299.4999999999998</v>
      </c>
      <c r="AQ94" s="1001">
        <f>AL94*(1+AQ95)</f>
        <v>1298</v>
      </c>
      <c r="AR94" s="1001">
        <f>AM94*(1+AR95)</f>
        <v>1198.4000000000001</v>
      </c>
      <c r="AS94" s="1001">
        <f>AN94*(1+AS95)</f>
        <v>1237.5</v>
      </c>
      <c r="AT94" s="1010">
        <f>SUM(AP94:AS94)</f>
        <v>5033.3999999999996</v>
      </c>
      <c r="AU94" s="1001">
        <f>AP94*(1+AU95)</f>
        <v>1416.4549999999999</v>
      </c>
      <c r="AV94" s="1001">
        <f>AQ94*(1+AV95)</f>
        <v>1427.8000000000002</v>
      </c>
      <c r="AW94" s="1001">
        <f>AR94*(1+AW95)</f>
        <v>1330.2240000000002</v>
      </c>
      <c r="AX94" s="1001">
        <f>AS94*(1+AX95)</f>
        <v>1386.0000000000002</v>
      </c>
      <c r="AY94" s="1010">
        <f>SUM(AU94:AX94)</f>
        <v>5560.4790000000003</v>
      </c>
      <c r="AZ94" s="1001">
        <f>AU94*(1+AZ95)</f>
        <v>1430.6195499999999</v>
      </c>
      <c r="BA94" s="1001">
        <f>AV94*(1+BA95)</f>
        <v>1370.6880000000001</v>
      </c>
      <c r="BB94" s="1002">
        <f>AW94*(1+BB95)</f>
        <v>1316.9217600000002</v>
      </c>
      <c r="BC94" s="1002">
        <f>AX94*(1+BC95)</f>
        <v>1344.42</v>
      </c>
      <c r="BD94" s="1010">
        <f>SUM(AZ94:BC94)</f>
        <v>5462.6493100000007</v>
      </c>
      <c r="BE94" s="2878"/>
      <c r="BF94" s="2878"/>
      <c r="BG94" s="2878"/>
      <c r="BH94" s="2878"/>
      <c r="BI94" s="2958"/>
      <c r="BJ94" s="2959"/>
      <c r="BK94" s="2959"/>
      <c r="BL94" s="2959"/>
      <c r="BM94" s="2959"/>
      <c r="BN94" s="2958"/>
      <c r="BO94" s="2959"/>
      <c r="BP94" s="2959"/>
      <c r="BQ94" s="2959"/>
      <c r="BR94" s="2959"/>
      <c r="BS94" s="2958"/>
      <c r="BT94" s="1343"/>
      <c r="BU94" s="1010"/>
      <c r="BV94" s="1010"/>
      <c r="BW94" s="1010">
        <f>SUM(AM94:AN94,AP94:AQ94)</f>
        <v>4967.5</v>
      </c>
      <c r="BX94" s="1010">
        <f>SUM(AR94:AS94,AU94:AV94)</f>
        <v>5280.1550000000007</v>
      </c>
      <c r="BY94" s="1010">
        <f>SUM(AW94:AX94,AZ94:BA94)</f>
        <v>5517.5315499999997</v>
      </c>
      <c r="BZ94" s="1010">
        <f>SUM(BB94:BC94,BE94:BF94)</f>
        <v>2661.3417600000002</v>
      </c>
      <c r="CA94" s="1010"/>
      <c r="CB94" s="1010"/>
    </row>
    <row r="95" spans="1:80" outlineLevel="1">
      <c r="A95" s="1452" t="s">
        <v>926</v>
      </c>
      <c r="B95" s="1453"/>
      <c r="C95" s="1453"/>
      <c r="D95" s="1453"/>
      <c r="E95" s="1453"/>
      <c r="F95" s="1454"/>
      <c r="G95" s="1453"/>
      <c r="H95" s="1453"/>
      <c r="I95" s="1453"/>
      <c r="J95" s="1453"/>
      <c r="K95" s="1454"/>
      <c r="L95" s="1453"/>
      <c r="M95" s="1453"/>
      <c r="N95" s="1453"/>
      <c r="O95" s="1453"/>
      <c r="P95" s="1454"/>
      <c r="Q95" s="1453"/>
      <c r="R95" s="1453"/>
      <c r="S95" s="1453"/>
      <c r="T95" s="1453"/>
      <c r="U95" s="1454"/>
      <c r="V95" s="1453"/>
      <c r="W95" s="1453"/>
      <c r="X95" s="1453"/>
      <c r="Y95" s="1453"/>
      <c r="Z95" s="1454"/>
      <c r="AA95" s="1453"/>
      <c r="AB95" s="1453"/>
      <c r="AC95" s="1453"/>
      <c r="AD95" s="1453"/>
      <c r="AE95" s="1454"/>
      <c r="AF95" s="1446"/>
      <c r="AG95" s="1453"/>
      <c r="AH95" s="1453"/>
      <c r="AI95" s="1453"/>
      <c r="AJ95" s="1443"/>
      <c r="AK95" s="1442"/>
      <c r="AL95" s="1442"/>
      <c r="AM95" s="1442"/>
      <c r="AN95" s="1442"/>
      <c r="AO95" s="1443"/>
      <c r="AP95" s="1442">
        <v>0.13</v>
      </c>
      <c r="AQ95" s="1442">
        <v>0.1</v>
      </c>
      <c r="AR95" s="1442">
        <v>7.0000000000000007E-2</v>
      </c>
      <c r="AS95" s="1442">
        <v>-0.01</v>
      </c>
      <c r="AT95" s="1443">
        <f>IF(ISERROR(AT94/AO94-1),,(AT94/AO94-1))</f>
        <v>7.093617021276577E-2</v>
      </c>
      <c r="AU95" s="1442">
        <v>0.09</v>
      </c>
      <c r="AV95" s="1442">
        <v>0.1</v>
      </c>
      <c r="AW95" s="1442">
        <v>0.11</v>
      </c>
      <c r="AX95" s="1442">
        <v>0.12</v>
      </c>
      <c r="AY95" s="1443">
        <f>IF(ISERROR(AY94/AT94-1),,(AY94/AT94-1))</f>
        <v>0.10471629514840886</v>
      </c>
      <c r="AZ95" s="1442">
        <v>0.01</v>
      </c>
      <c r="BA95" s="1442">
        <v>-0.04</v>
      </c>
      <c r="BB95" s="1455">
        <v>-0.01</v>
      </c>
      <c r="BC95" s="1455">
        <v>-0.03</v>
      </c>
      <c r="BD95" s="1443">
        <f>IF(ISERROR(BD94/AY94-1),,(BD94/AY94-1))</f>
        <v>-1.7593752264867701E-2</v>
      </c>
      <c r="BE95" s="2870"/>
      <c r="BF95" s="2870"/>
      <c r="BG95" s="2870"/>
      <c r="BH95" s="2870"/>
      <c r="BI95" s="2942"/>
      <c r="BJ95" s="2947"/>
      <c r="BK95" s="2947"/>
      <c r="BL95" s="2947"/>
      <c r="BM95" s="2947"/>
      <c r="BN95" s="2942"/>
      <c r="BO95" s="2947"/>
      <c r="BP95" s="2947"/>
      <c r="BQ95" s="2947"/>
      <c r="BR95" s="2947"/>
      <c r="BS95" s="2942"/>
      <c r="BT95" s="1343"/>
      <c r="BU95" s="1443"/>
      <c r="BV95" s="1443"/>
      <c r="BW95" s="1443"/>
      <c r="BX95" s="1443">
        <f>BX94/BW94-1</f>
        <v>6.2940110719678088E-2</v>
      </c>
      <c r="BY95" s="1443">
        <f>BY94/BX94-1</f>
        <v>4.4956360182608179E-2</v>
      </c>
      <c r="BZ95" s="1443">
        <f>BZ94/BY94-1</f>
        <v>-0.51765717406726919</v>
      </c>
      <c r="CA95" s="1443"/>
      <c r="CB95" s="1443"/>
    </row>
    <row r="96" spans="1:80" outlineLevel="1">
      <c r="A96" s="1452" t="s">
        <v>952</v>
      </c>
      <c r="B96" s="1453"/>
      <c r="C96" s="1453"/>
      <c r="D96" s="1453"/>
      <c r="E96" s="1453"/>
      <c r="F96" s="1454"/>
      <c r="G96" s="1453"/>
      <c r="H96" s="1453"/>
      <c r="I96" s="1453"/>
      <c r="J96" s="1453"/>
      <c r="K96" s="1454"/>
      <c r="L96" s="1453"/>
      <c r="M96" s="1453"/>
      <c r="N96" s="1453"/>
      <c r="O96" s="1453"/>
      <c r="P96" s="1454"/>
      <c r="Q96" s="1453"/>
      <c r="R96" s="1453"/>
      <c r="S96" s="1453"/>
      <c r="T96" s="1453"/>
      <c r="U96" s="1454"/>
      <c r="V96" s="1453"/>
      <c r="W96" s="1453"/>
      <c r="X96" s="1453"/>
      <c r="Y96" s="1453"/>
      <c r="Z96" s="1454"/>
      <c r="AA96" s="1453"/>
      <c r="AB96" s="1453"/>
      <c r="AC96" s="1453"/>
      <c r="AD96" s="1453"/>
      <c r="AE96" s="1454"/>
      <c r="AF96" s="1446"/>
      <c r="AG96" s="1442"/>
      <c r="AH96" s="1442"/>
      <c r="AI96" s="1442"/>
      <c r="AJ96" s="1443"/>
      <c r="AK96" s="1442"/>
      <c r="AL96" s="1442">
        <f>IF(ISERROR(AL94/AK94-1),,(AL94/AK94-1))</f>
        <v>2.6086956521739202E-2</v>
      </c>
      <c r="AM96" s="1442">
        <f>IF(ISERROR(AM94/AL94-1),,(AM94/AL94-1))</f>
        <v>-5.084745762711862E-2</v>
      </c>
      <c r="AN96" s="1442">
        <f>IF(ISERROR(AN94/AM94-1),,(AN94/AM94-1))</f>
        <v>0.1160714285714286</v>
      </c>
      <c r="AO96" s="1443"/>
      <c r="AP96" s="1442">
        <f>IF(ISERROR(AP94/AN94-1),,(AP94/AN94-1))</f>
        <v>3.9599999999999858E-2</v>
      </c>
      <c r="AQ96" s="1442">
        <f>IF(ISERROR(AQ94/AP94-1),,(AQ94/AP94-1))</f>
        <v>-1.154290111581191E-3</v>
      </c>
      <c r="AR96" s="1442">
        <f>IF(ISERROR(AR94/AQ94-1),,(AR94/AQ94-1))</f>
        <v>-7.6733436055469895E-2</v>
      </c>
      <c r="AS96" s="1442">
        <f>IF(ISERROR(AS94/AR94-1),,(AS94/AR94-1))</f>
        <v>3.2626835781041308E-2</v>
      </c>
      <c r="AT96" s="1443"/>
      <c r="AU96" s="1442">
        <f>IF(ISERROR(AU94/AS94-1),,(AU94/AS94-1))</f>
        <v>0.14461010101010086</v>
      </c>
      <c r="AV96" s="1442">
        <f>IF(ISERROR(AV94/AU94-1),,(AV94/AU94-1))</f>
        <v>8.0094319974868267E-3</v>
      </c>
      <c r="AW96" s="1442">
        <f>IF(ISERROR(AW94/AV94-1),,(AW94/AV94-1))</f>
        <v>-6.8340103655974205E-2</v>
      </c>
      <c r="AX96" s="1442">
        <f>IF(ISERROR(AX94/AW94-1),,(AX94/AW94-1))</f>
        <v>4.1929780247537352E-2</v>
      </c>
      <c r="AY96" s="1443"/>
      <c r="AZ96" s="1442">
        <f>IF(ISERROR(AZ94/AX94-1),,(AZ94/AX94-1))</f>
        <v>3.219303751803726E-2</v>
      </c>
      <c r="BA96" s="1442">
        <f>IF(ISERROR(BA94/AZ94-1),,(BA94/AZ94-1))</f>
        <v>-4.1892025032091773E-2</v>
      </c>
      <c r="BB96" s="1442">
        <f>IF(ISERROR(BB94/BA94-1),,(BB94/BA94-1))</f>
        <v>-3.9225731895223381E-2</v>
      </c>
      <c r="BC96" s="1442">
        <f>IF(ISERROR(BC94/BB94-1),,(BC94/BB94-1))</f>
        <v>2.0880693777890036E-2</v>
      </c>
      <c r="BD96" s="1443"/>
      <c r="BE96" s="2866"/>
      <c r="BF96" s="2866"/>
      <c r="BG96" s="2866"/>
      <c r="BH96" s="2866"/>
      <c r="BI96" s="2942"/>
      <c r="BJ96" s="2943"/>
      <c r="BK96" s="2943"/>
      <c r="BL96" s="2943"/>
      <c r="BM96" s="2943"/>
      <c r="BN96" s="2942"/>
      <c r="BO96" s="2943"/>
      <c r="BP96" s="2943"/>
      <c r="BQ96" s="2943"/>
      <c r="BR96" s="2943"/>
      <c r="BS96" s="2942"/>
      <c r="BT96" s="1343"/>
      <c r="BU96" s="1443"/>
      <c r="BV96" s="1443"/>
      <c r="BW96" s="1443"/>
      <c r="BX96" s="1443"/>
      <c r="BY96" s="1443"/>
      <c r="BZ96" s="1443"/>
      <c r="CA96" s="1443"/>
      <c r="CB96" s="1443"/>
    </row>
    <row r="97" spans="1:81" outlineLevel="1">
      <c r="A97" s="986" t="s">
        <v>504</v>
      </c>
      <c r="B97" s="1345"/>
      <c r="C97" s="1345"/>
      <c r="D97" s="1345"/>
      <c r="E97" s="1345"/>
      <c r="F97" s="1346"/>
      <c r="G97" s="1345"/>
      <c r="H97" s="1345"/>
      <c r="I97" s="1345"/>
      <c r="J97" s="1345"/>
      <c r="K97" s="1346"/>
      <c r="L97" s="1345"/>
      <c r="M97" s="1345"/>
      <c r="N97" s="1345"/>
      <c r="O97" s="1345"/>
      <c r="P97" s="1346"/>
      <c r="Q97" s="1345"/>
      <c r="R97" s="1345"/>
      <c r="S97" s="1345"/>
      <c r="T97" s="1345"/>
      <c r="U97" s="1346"/>
      <c r="V97" s="1345"/>
      <c r="W97" s="1345"/>
      <c r="X97" s="1345"/>
      <c r="Y97" s="1345"/>
      <c r="Z97" s="1346"/>
      <c r="AA97" s="1345"/>
      <c r="AB97" s="1345"/>
      <c r="AC97" s="1345"/>
      <c r="AD97" s="1345"/>
      <c r="AE97" s="1346"/>
      <c r="AF97" s="1347"/>
      <c r="AG97" s="1347"/>
      <c r="AH97" s="1347"/>
      <c r="AI97" s="1347"/>
      <c r="AJ97" s="1346"/>
      <c r="AK97" s="1345">
        <v>72</v>
      </c>
      <c r="AL97" s="1345">
        <v>85</v>
      </c>
      <c r="AM97" s="1345">
        <v>113</v>
      </c>
      <c r="AN97" s="1345">
        <v>144.5</v>
      </c>
      <c r="AO97" s="1010">
        <f>SUM(AK97:AN97)</f>
        <v>414.5</v>
      </c>
      <c r="AP97" s="1345">
        <f>AK97*(1+AP98)</f>
        <v>165.6</v>
      </c>
      <c r="AQ97" s="1345">
        <f>AL97*(1+AQ98)</f>
        <v>178.5</v>
      </c>
      <c r="AR97" s="1345">
        <f>AM97*(1+AR98)</f>
        <v>220.35</v>
      </c>
      <c r="AS97" s="1345">
        <f>AN97*(1+AS98)</f>
        <v>325.125</v>
      </c>
      <c r="AT97" s="1010">
        <f>SUM(AP97:AS97)</f>
        <v>889.57500000000005</v>
      </c>
      <c r="AU97" s="1345">
        <f>AP97*(1+AU98)</f>
        <v>372.59999999999997</v>
      </c>
      <c r="AV97" s="1345">
        <f>AQ97*(1+AV98)</f>
        <v>421.26000000000005</v>
      </c>
      <c r="AW97" s="1345">
        <f>AR97*(1+AW98)</f>
        <v>462.73500000000001</v>
      </c>
      <c r="AX97" s="1345">
        <f>AS97*(1+AX98)</f>
        <v>656.75250000000005</v>
      </c>
      <c r="AY97" s="1010">
        <f>SUM(AU97:AX97)</f>
        <v>1913.3475000000001</v>
      </c>
      <c r="AZ97" s="1345">
        <f>AU97*(1+AZ98)</f>
        <v>804.81600000000003</v>
      </c>
      <c r="BA97" s="1345">
        <f>AV97*(1+BA98)</f>
        <v>813.0318000000002</v>
      </c>
      <c r="BB97" s="1345">
        <f>AW97*(1+BB98)</f>
        <v>893.07855000000006</v>
      </c>
      <c r="BC97" s="1345">
        <f>AX97*(1+BC98)</f>
        <v>1293.8024250000001</v>
      </c>
      <c r="BD97" s="1010">
        <f>SUM(AZ97:BC97)</f>
        <v>3804.7287750000005</v>
      </c>
      <c r="BE97" s="2872"/>
      <c r="BF97" s="2872"/>
      <c r="BG97" s="2872"/>
      <c r="BH97" s="2872"/>
      <c r="BI97" s="2958"/>
      <c r="BJ97" s="2950"/>
      <c r="BK97" s="2950"/>
      <c r="BL97" s="2950"/>
      <c r="BM97" s="2950"/>
      <c r="BN97" s="2958"/>
      <c r="BO97" s="2950"/>
      <c r="BP97" s="2950"/>
      <c r="BQ97" s="2950"/>
      <c r="BR97" s="2950"/>
      <c r="BS97" s="2958"/>
      <c r="BT97" s="1343"/>
      <c r="BU97" s="1010"/>
      <c r="BV97" s="1010"/>
      <c r="BW97" s="1010">
        <f>SUM(AM97:AN97,AP97:AQ97)</f>
        <v>601.6</v>
      </c>
      <c r="BX97" s="1010">
        <f>SUM(AR97:AS97,AU97:AV97)</f>
        <v>1339.335</v>
      </c>
      <c r="BY97" s="1010">
        <f>SUM(AW97:AX97,AZ97:BA97)</f>
        <v>2737.3353000000006</v>
      </c>
      <c r="BZ97" s="1010">
        <f>SUM(BB97:BC97,BE97:BF97)</f>
        <v>2186.880975</v>
      </c>
      <c r="CA97" s="1010"/>
      <c r="CB97" s="1010"/>
    </row>
    <row r="98" spans="1:81" outlineLevel="1">
      <c r="A98" s="1456" t="s">
        <v>926</v>
      </c>
      <c r="B98" s="1453"/>
      <c r="C98" s="1453"/>
      <c r="D98" s="1453"/>
      <c r="E98" s="1453"/>
      <c r="F98" s="1454"/>
      <c r="G98" s="1453"/>
      <c r="H98" s="1453"/>
      <c r="I98" s="1453"/>
      <c r="J98" s="1453"/>
      <c r="K98" s="1454"/>
      <c r="L98" s="1453"/>
      <c r="M98" s="1453"/>
      <c r="N98" s="1453"/>
      <c r="O98" s="1453"/>
      <c r="P98" s="1454"/>
      <c r="Q98" s="1453"/>
      <c r="R98" s="1453"/>
      <c r="S98" s="1453"/>
      <c r="T98" s="1453"/>
      <c r="U98" s="1454"/>
      <c r="V98" s="1453"/>
      <c r="W98" s="1453"/>
      <c r="X98" s="1453"/>
      <c r="Y98" s="1453"/>
      <c r="Z98" s="1454"/>
      <c r="AA98" s="1453"/>
      <c r="AB98" s="1453"/>
      <c r="AC98" s="1453"/>
      <c r="AD98" s="1453"/>
      <c r="AE98" s="1454"/>
      <c r="AF98" s="1446"/>
      <c r="AG98" s="1453"/>
      <c r="AH98" s="1453"/>
      <c r="AI98" s="1453"/>
      <c r="AJ98" s="1443"/>
      <c r="AK98" s="1442"/>
      <c r="AL98" s="1442"/>
      <c r="AM98" s="1442"/>
      <c r="AN98" s="1442"/>
      <c r="AO98" s="1443"/>
      <c r="AP98" s="1442">
        <v>1.3</v>
      </c>
      <c r="AQ98" s="1442">
        <v>1.1000000000000001</v>
      </c>
      <c r="AR98" s="1442">
        <v>0.95</v>
      </c>
      <c r="AS98" s="1442">
        <v>1.25</v>
      </c>
      <c r="AT98" s="1443">
        <f>IF(ISERROR(AT97/AO97-1),,(AT97/AO97-1))</f>
        <v>1.146139927623643</v>
      </c>
      <c r="AU98" s="1442">
        <v>1.25</v>
      </c>
      <c r="AV98" s="1442">
        <v>1.36</v>
      </c>
      <c r="AW98" s="1442">
        <v>1.1000000000000001</v>
      </c>
      <c r="AX98" s="1442">
        <v>1.02</v>
      </c>
      <c r="AY98" s="1443">
        <f>IF(ISERROR(AY97/AT97-1),,(AY97/AT97-1))</f>
        <v>1.1508557457212714</v>
      </c>
      <c r="AZ98" s="1442">
        <v>1.1599999999999999</v>
      </c>
      <c r="BA98" s="1442">
        <v>0.93</v>
      </c>
      <c r="BB98" s="1455">
        <v>0.93</v>
      </c>
      <c r="BC98" s="1455">
        <v>0.97</v>
      </c>
      <c r="BD98" s="1443">
        <f>IF(ISERROR(BD97/AY97-1),,(BD97/AY97-1))</f>
        <v>0.98851947960315645</v>
      </c>
      <c r="BE98" s="2870"/>
      <c r="BF98" s="2870"/>
      <c r="BG98" s="2870"/>
      <c r="BH98" s="2870"/>
      <c r="BI98" s="2942"/>
      <c r="BJ98" s="2947"/>
      <c r="BK98" s="2947"/>
      <c r="BL98" s="2947"/>
      <c r="BM98" s="2947"/>
      <c r="BN98" s="2942"/>
      <c r="BO98" s="2947"/>
      <c r="BP98" s="2947"/>
      <c r="BQ98" s="2947"/>
      <c r="BR98" s="2947"/>
      <c r="BS98" s="2942"/>
      <c r="BT98" s="1343"/>
      <c r="BU98" s="1443"/>
      <c r="BV98" s="1443"/>
      <c r="BW98" s="1443"/>
      <c r="BX98" s="1443">
        <f>BX97/BW97-1</f>
        <v>1.2262882313829788</v>
      </c>
      <c r="BY98" s="1443">
        <f>BY97/BX97-1</f>
        <v>1.0438018120933155</v>
      </c>
      <c r="BZ98" s="1443">
        <f>BZ97/BY97-1</f>
        <v>-0.20109130401379782</v>
      </c>
      <c r="CA98" s="1443"/>
      <c r="CB98" s="1443"/>
    </row>
    <row r="99" spans="1:81" outlineLevel="1">
      <c r="A99" s="1456" t="s">
        <v>952</v>
      </c>
      <c r="B99" s="1453"/>
      <c r="C99" s="1453"/>
      <c r="D99" s="1453"/>
      <c r="E99" s="1453"/>
      <c r="F99" s="1454"/>
      <c r="G99" s="1453"/>
      <c r="H99" s="1453"/>
      <c r="I99" s="1453"/>
      <c r="J99" s="1453"/>
      <c r="K99" s="1454"/>
      <c r="L99" s="1453"/>
      <c r="M99" s="1453"/>
      <c r="N99" s="1453"/>
      <c r="O99" s="1453"/>
      <c r="P99" s="1454"/>
      <c r="Q99" s="1453"/>
      <c r="R99" s="1453"/>
      <c r="S99" s="1453"/>
      <c r="T99" s="1453"/>
      <c r="U99" s="1454"/>
      <c r="V99" s="1453"/>
      <c r="W99" s="1453"/>
      <c r="X99" s="1453"/>
      <c r="Y99" s="1453"/>
      <c r="Z99" s="1454"/>
      <c r="AA99" s="1453"/>
      <c r="AB99" s="1453"/>
      <c r="AC99" s="1453"/>
      <c r="AD99" s="1453"/>
      <c r="AE99" s="1454"/>
      <c r="AF99" s="1446"/>
      <c r="AG99" s="1442"/>
      <c r="AH99" s="1442"/>
      <c r="AI99" s="1442"/>
      <c r="AJ99" s="1443"/>
      <c r="AK99" s="1442"/>
      <c r="AL99" s="1442">
        <f>IF(ISERROR(AL97/AK97-1),,(AL97/AK97-1))</f>
        <v>0.18055555555555558</v>
      </c>
      <c r="AM99" s="1442">
        <f>IF(ISERROR(AM97/AL97-1),,(AM97/AL97-1))</f>
        <v>0.32941176470588229</v>
      </c>
      <c r="AN99" s="1442">
        <f>IF(ISERROR(AN97/AM97-1),,(AN97/AM97-1))</f>
        <v>0.27876106194690276</v>
      </c>
      <c r="AO99" s="1443"/>
      <c r="AP99" s="1442">
        <f>IF(ISERROR(AP97/AN97-1),,(AP97/AN97-1))</f>
        <v>0.14602076124567476</v>
      </c>
      <c r="AQ99" s="1442">
        <f>IF(ISERROR(AQ97/AP97-1),,(AQ97/AP97-1))</f>
        <v>7.7898550724637694E-2</v>
      </c>
      <c r="AR99" s="1442">
        <f>IF(ISERROR(AR97/AQ97-1),,(AR97/AQ97-1))</f>
        <v>0.2344537815126051</v>
      </c>
      <c r="AS99" s="1442">
        <f>IF(ISERROR(AS97/AR97-1),,(AS97/AR97-1))</f>
        <v>0.47549353301565689</v>
      </c>
      <c r="AT99" s="1443"/>
      <c r="AU99" s="1442">
        <f>IF(ISERROR(AU97/AS97-1),,(AU97/AS97-1))</f>
        <v>0.14602076124567454</v>
      </c>
      <c r="AV99" s="1442">
        <f>IF(ISERROR(AV97/AU97-1),,(AV97/AU97-1))</f>
        <v>0.13059581320450908</v>
      </c>
      <c r="AW99" s="1442">
        <f>IF(ISERROR(AW97/AV97-1),,(AW97/AV97-1))</f>
        <v>9.8454636091724668E-2</v>
      </c>
      <c r="AX99" s="1442">
        <f>IF(ISERROR(AX97/AW97-1),,(AX97/AW97-1))</f>
        <v>0.41928425556744142</v>
      </c>
      <c r="AY99" s="1443"/>
      <c r="AZ99" s="1442">
        <f>IF(ISERROR(AZ97/AX97-1),,(AZ97/AX97-1))</f>
        <v>0.22544794271814728</v>
      </c>
      <c r="BA99" s="1442">
        <f>IF(ISERROR(BA97/AZ97-1),,(BA97/AZ97-1))</f>
        <v>1.0208296057732769E-2</v>
      </c>
      <c r="BB99" s="1442">
        <f>IF(ISERROR(BB97/BA97-1),,(BB97/BA97-1))</f>
        <v>9.8454636091724668E-2</v>
      </c>
      <c r="BC99" s="1442">
        <f>IF(ISERROR(BC97/BB97-1),,(BC97/BB97-1))</f>
        <v>0.44869947329940918</v>
      </c>
      <c r="BD99" s="1443"/>
      <c r="BE99" s="2866"/>
      <c r="BF99" s="2866"/>
      <c r="BG99" s="2866"/>
      <c r="BH99" s="2866"/>
      <c r="BI99" s="2942"/>
      <c r="BJ99" s="2943"/>
      <c r="BK99" s="2943"/>
      <c r="BL99" s="2943"/>
      <c r="BM99" s="2943"/>
      <c r="BN99" s="2942"/>
      <c r="BO99" s="2943"/>
      <c r="BP99" s="2943"/>
      <c r="BQ99" s="2943"/>
      <c r="BR99" s="2943"/>
      <c r="BS99" s="2942"/>
      <c r="BT99" s="1343"/>
      <c r="BU99" s="1443"/>
      <c r="BV99" s="1443"/>
      <c r="BW99" s="1443"/>
      <c r="BX99" s="1443"/>
      <c r="BY99" s="1443"/>
      <c r="BZ99" s="1443"/>
      <c r="CA99" s="1443"/>
      <c r="CB99" s="1443"/>
    </row>
    <row r="100" spans="1:81" ht="13.5" outlineLevel="1" thickBot="1">
      <c r="A100" s="1175" t="s">
        <v>280</v>
      </c>
      <c r="B100" s="1345"/>
      <c r="C100" s="1345"/>
      <c r="D100" s="1345"/>
      <c r="E100" s="1345"/>
      <c r="F100" s="1346"/>
      <c r="G100" s="1345"/>
      <c r="H100" s="1345"/>
      <c r="I100" s="1345"/>
      <c r="J100" s="1345"/>
      <c r="K100" s="1346"/>
      <c r="L100" s="1345"/>
      <c r="M100" s="1345"/>
      <c r="N100" s="1345"/>
      <c r="O100" s="1345"/>
      <c r="P100" s="1346"/>
      <c r="Q100" s="1345"/>
      <c r="R100" s="1345"/>
      <c r="S100" s="1345"/>
      <c r="T100" s="1345"/>
      <c r="U100" s="1346"/>
      <c r="V100" s="1345"/>
      <c r="W100" s="1345"/>
      <c r="X100" s="1345"/>
      <c r="Y100" s="1345"/>
      <c r="Z100" s="1346"/>
      <c r="AA100" s="1345"/>
      <c r="AB100" s="1345"/>
      <c r="AC100" s="1345"/>
      <c r="AD100" s="1345"/>
      <c r="AE100" s="1346"/>
      <c r="AF100" s="1347"/>
      <c r="AG100" s="1347"/>
      <c r="AH100" s="1347"/>
      <c r="AI100" s="1347"/>
      <c r="AJ100" s="1346"/>
      <c r="AK100" s="1345">
        <f>AK101-AK91-AK94-AK97</f>
        <v>2</v>
      </c>
      <c r="AL100" s="1001">
        <f>AL101-AL91-AL94-AL97</f>
        <v>6</v>
      </c>
      <c r="AM100" s="1001">
        <f>AM101-AM91-AM94-AM97</f>
        <v>-21</v>
      </c>
      <c r="AN100" s="1001">
        <f>AN101-AN91-AN94-AN97</f>
        <v>-46.5</v>
      </c>
      <c r="AO100" s="1000">
        <f>SUM(AK100:AN100)</f>
        <v>-59.5</v>
      </c>
      <c r="AP100" s="1001">
        <f>AP101-AP91-AP94-AP97</f>
        <v>-10.410000000000167</v>
      </c>
      <c r="AQ100" s="1001">
        <f>AQ101-AQ91-AQ94-AQ97</f>
        <v>34</v>
      </c>
      <c r="AR100" s="1001">
        <f>AR101-AR91-AR94-AR97</f>
        <v>18.049999999999187</v>
      </c>
      <c r="AS100" s="1001">
        <f>AS101-AS91-AS94-AS97</f>
        <v>16.375</v>
      </c>
      <c r="AT100" s="1000">
        <f>SUM(AP100:AS100)</f>
        <v>58.01499999999902</v>
      </c>
      <c r="AU100" s="1001">
        <f>AU101-AU91-AU94-AU97</f>
        <v>-17.872750000000053</v>
      </c>
      <c r="AV100" s="1001">
        <f>AV101-AV91-AV94-AV97</f>
        <v>26.86699999999945</v>
      </c>
      <c r="AW100" s="1001">
        <f>AW101-AW91-AW94-AW97</f>
        <v>78.015799999999786</v>
      </c>
      <c r="AX100" s="1001">
        <f>AX101-AX91-AX94-AX97</f>
        <v>-29.884499999999889</v>
      </c>
      <c r="AY100" s="1000">
        <f>SUM(AU100:AX100)</f>
        <v>57.125549999999294</v>
      </c>
      <c r="AZ100" s="1001">
        <f>AZ101-AZ91-AZ94-AZ97</f>
        <v>-46.367610625000225</v>
      </c>
      <c r="BA100" s="1001">
        <f>BA101-BA91-BA94-BA97</f>
        <v>-1.9787675000011404</v>
      </c>
      <c r="BB100" s="1001">
        <f>BB101-BB91-BB94-BB97</f>
        <v>63.910414999999489</v>
      </c>
      <c r="BC100" s="1001">
        <f>BC101-BC91-BC94-BC97</f>
        <v>-66.78904499999976</v>
      </c>
      <c r="BD100" s="1000">
        <f>SUM(AZ100:BC100)</f>
        <v>-51.225008125001636</v>
      </c>
      <c r="BE100" s="2853"/>
      <c r="BF100" s="2853"/>
      <c r="BG100" s="2853"/>
      <c r="BH100" s="2853"/>
      <c r="BI100" s="2924"/>
      <c r="BJ100" s="2919"/>
      <c r="BK100" s="2919"/>
      <c r="BL100" s="2919"/>
      <c r="BM100" s="2919"/>
      <c r="BN100" s="2924"/>
      <c r="BO100" s="2919"/>
      <c r="BP100" s="2919"/>
      <c r="BQ100" s="2919"/>
      <c r="BR100" s="2919"/>
      <c r="BS100" s="2924"/>
      <c r="BT100" s="1343"/>
      <c r="BU100" s="1000"/>
      <c r="BV100" s="1000"/>
      <c r="BW100" s="1000">
        <f>SUM(AM100:AN100,AP100:AQ100)</f>
        <v>-43.910000000000167</v>
      </c>
      <c r="BX100" s="1000">
        <f>SUM(AR100:AS100,AU100:AV100)</f>
        <v>43.419249999998584</v>
      </c>
      <c r="BY100" s="1000">
        <f>SUM(AW100:AX100,AZ100:BA100)</f>
        <v>-0.21507812500146883</v>
      </c>
      <c r="BZ100" s="1000">
        <f>SUM(BB100:BC100,BE100:BF100)</f>
        <v>-2.8786300000002711</v>
      </c>
      <c r="CA100" s="1000"/>
      <c r="CB100" s="1000"/>
    </row>
    <row r="101" spans="1:81" ht="13.5" outlineLevel="1" thickBot="1">
      <c r="A101" s="1477" t="s">
        <v>1045</v>
      </c>
      <c r="B101" s="1497"/>
      <c r="C101" s="1497"/>
      <c r="D101" s="1497"/>
      <c r="E101" s="1497"/>
      <c r="F101" s="1498"/>
      <c r="G101" s="1497"/>
      <c r="H101" s="1497"/>
      <c r="I101" s="1497"/>
      <c r="J101" s="1497"/>
      <c r="K101" s="1498"/>
      <c r="L101" s="1497"/>
      <c r="M101" s="1497"/>
      <c r="N101" s="1497"/>
      <c r="O101" s="1497"/>
      <c r="P101" s="1498"/>
      <c r="Q101" s="1497"/>
      <c r="R101" s="1497"/>
      <c r="S101" s="1497"/>
      <c r="T101" s="1497"/>
      <c r="U101" s="1498"/>
      <c r="V101" s="1497"/>
      <c r="W101" s="1497"/>
      <c r="X101" s="1497"/>
      <c r="Y101" s="1497"/>
      <c r="Z101" s="1498"/>
      <c r="AA101" s="1497"/>
      <c r="AB101" s="1497"/>
      <c r="AC101" s="1497"/>
      <c r="AD101" s="1497"/>
      <c r="AE101" s="1479"/>
      <c r="AF101" s="1478"/>
      <c r="AG101" s="1478"/>
      <c r="AH101" s="1478"/>
      <c r="AI101" s="1478"/>
      <c r="AJ101" s="1479">
        <f>'Rev Overview'!BJ17</f>
        <v>19747</v>
      </c>
      <c r="AK101" s="1478">
        <f>'Rev Overview'!BK17</f>
        <v>4859</v>
      </c>
      <c r="AL101" s="1478">
        <f>'Rev Overview'!BL17</f>
        <v>5521</v>
      </c>
      <c r="AM101" s="1478">
        <f>'Rev Overview'!BM17</f>
        <v>5287</v>
      </c>
      <c r="AN101" s="1478">
        <f>'Rev Overview'!BN17</f>
        <v>6065</v>
      </c>
      <c r="AO101" s="1479">
        <f>'Rev Overview'!BO17</f>
        <v>21732</v>
      </c>
      <c r="AP101" s="1478">
        <f>'Rev Overview'!BP17</f>
        <v>5475</v>
      </c>
      <c r="AQ101" s="1478">
        <f>'Rev Overview'!BQ17</f>
        <v>6041</v>
      </c>
      <c r="AR101" s="1478">
        <f>'Rev Overview'!BR17</f>
        <v>5903</v>
      </c>
      <c r="AS101" s="1478">
        <f>'Rev Overview'!BS17</f>
        <v>6296</v>
      </c>
      <c r="AT101" s="1479">
        <f>'Rev Overview'!BT17</f>
        <v>23715</v>
      </c>
      <c r="AU101" s="1478">
        <f>AU28</f>
        <v>5892</v>
      </c>
      <c r="AV101" s="1478">
        <f>AV28</f>
        <v>6343</v>
      </c>
      <c r="AW101" s="1478">
        <f>AW28</f>
        <v>6096</v>
      </c>
      <c r="AX101" s="1478">
        <f>AX28</f>
        <v>6711</v>
      </c>
      <c r="AY101" s="1479">
        <f>SUM(AU101:AX101)</f>
        <v>25042</v>
      </c>
      <c r="AZ101" s="1478">
        <f>AZ28</f>
        <v>6382</v>
      </c>
      <c r="BA101" s="1478">
        <f>BA28</f>
        <v>6861</v>
      </c>
      <c r="BB101" s="1478">
        <f>BB28</f>
        <v>6763</v>
      </c>
      <c r="BC101" s="1478">
        <f>BC28</f>
        <v>7434</v>
      </c>
      <c r="BD101" s="1479">
        <f>SUM(AZ101:BC101)</f>
        <v>27440</v>
      </c>
      <c r="BE101" s="2857"/>
      <c r="BF101" s="2857"/>
      <c r="BG101" s="2857"/>
      <c r="BH101" s="2857"/>
      <c r="BI101" s="2926"/>
      <c r="BJ101" s="2927"/>
      <c r="BK101" s="2927"/>
      <c r="BL101" s="2927"/>
      <c r="BM101" s="2927"/>
      <c r="BN101" s="2926"/>
      <c r="BO101" s="2927"/>
      <c r="BP101" s="2927"/>
      <c r="BQ101" s="2927"/>
      <c r="BR101" s="2927"/>
      <c r="BS101" s="2926"/>
      <c r="BT101" s="1343"/>
      <c r="BU101" s="1479"/>
      <c r="BV101" s="1479"/>
      <c r="BW101" s="1479">
        <f>SUM(AM101:AN101,AP101:AQ101)</f>
        <v>22868</v>
      </c>
      <c r="BX101" s="1479">
        <f>SUM(AR101:AS101,AU101:AV101)</f>
        <v>24434</v>
      </c>
      <c r="BY101" s="1479">
        <f>SUM(AW101:AX101,AZ101:BA101)</f>
        <v>26050</v>
      </c>
      <c r="BZ101" s="1479">
        <f>SUM(BB101:BC101,BE101:BF101)</f>
        <v>14197</v>
      </c>
      <c r="CA101" s="1479"/>
      <c r="CB101" s="1479"/>
    </row>
    <row r="102" spans="1:81" outlineLevel="1">
      <c r="A102" s="1499" t="s">
        <v>926</v>
      </c>
      <c r="B102" s="1500"/>
      <c r="C102" s="1500"/>
      <c r="D102" s="1500"/>
      <c r="E102" s="1500"/>
      <c r="F102" s="1501"/>
      <c r="G102" s="1500"/>
      <c r="H102" s="1500"/>
      <c r="I102" s="1500"/>
      <c r="J102" s="1500"/>
      <c r="K102" s="1501"/>
      <c r="L102" s="1500"/>
      <c r="M102" s="1500"/>
      <c r="N102" s="1500"/>
      <c r="O102" s="1500"/>
      <c r="P102" s="1501"/>
      <c r="Q102" s="1500"/>
      <c r="R102" s="1500"/>
      <c r="S102" s="1500"/>
      <c r="T102" s="1500"/>
      <c r="U102" s="1501"/>
      <c r="V102" s="1500"/>
      <c r="W102" s="1500"/>
      <c r="X102" s="1500"/>
      <c r="Y102" s="1500"/>
      <c r="Z102" s="1501"/>
      <c r="AA102" s="1502"/>
      <c r="AB102" s="1502"/>
      <c r="AC102" s="1502"/>
      <c r="AD102" s="1502"/>
      <c r="AE102" s="1501"/>
      <c r="AF102" s="1502"/>
      <c r="AG102" s="1502"/>
      <c r="AH102" s="1502"/>
      <c r="AI102" s="1502"/>
      <c r="AJ102" s="1503"/>
      <c r="AK102" s="1502"/>
      <c r="AL102" s="1502"/>
      <c r="AM102" s="1502"/>
      <c r="AN102" s="1502"/>
      <c r="AO102" s="1503">
        <f t="shared" ref="AO102:BD102" si="93">IF(ISERROR(AO101/AJ101-1),,(AO101/AJ101-1))</f>
        <v>0.10052159821745077</v>
      </c>
      <c r="AP102" s="1502">
        <f t="shared" si="93"/>
        <v>0.12677505659600752</v>
      </c>
      <c r="AQ102" s="1502">
        <f t="shared" si="93"/>
        <v>9.4185835899293524E-2</v>
      </c>
      <c r="AR102" s="1502">
        <f t="shared" si="93"/>
        <v>0.11651219973519944</v>
      </c>
      <c r="AS102" s="1502">
        <f t="shared" si="93"/>
        <v>3.8087386644682697E-2</v>
      </c>
      <c r="AT102" s="1503">
        <f t="shared" si="93"/>
        <v>9.1247929320817267E-2</v>
      </c>
      <c r="AU102" s="1502">
        <f t="shared" si="93"/>
        <v>7.61643835616439E-2</v>
      </c>
      <c r="AV102" s="1502">
        <f t="shared" si="93"/>
        <v>4.9991723224631635E-2</v>
      </c>
      <c r="AW102" s="1502">
        <f t="shared" si="93"/>
        <v>3.2695239708622648E-2</v>
      </c>
      <c r="AX102" s="1502">
        <f t="shared" si="93"/>
        <v>6.5914866581956888E-2</v>
      </c>
      <c r="AY102" s="1503">
        <f t="shared" si="93"/>
        <v>5.5956145899219933E-2</v>
      </c>
      <c r="AZ102" s="1502">
        <f t="shared" si="93"/>
        <v>8.3163611676849936E-2</v>
      </c>
      <c r="BA102" s="1502">
        <f t="shared" si="93"/>
        <v>8.1664827368753024E-2</v>
      </c>
      <c r="BB102" s="1502">
        <f t="shared" si="93"/>
        <v>0.10941601049868765</v>
      </c>
      <c r="BC102" s="1502">
        <f t="shared" si="93"/>
        <v>0.10773357174787668</v>
      </c>
      <c r="BD102" s="1503">
        <f t="shared" si="93"/>
        <v>9.5759124670553364E-2</v>
      </c>
      <c r="BE102" s="2866"/>
      <c r="BF102" s="2866"/>
      <c r="BG102" s="2866"/>
      <c r="BH102" s="2866"/>
      <c r="BI102" s="2942"/>
      <c r="BJ102" s="2943"/>
      <c r="BK102" s="2943"/>
      <c r="BL102" s="2943"/>
      <c r="BM102" s="2943"/>
      <c r="BN102" s="2942"/>
      <c r="BO102" s="2943"/>
      <c r="BP102" s="2943"/>
      <c r="BQ102" s="2943"/>
      <c r="BR102" s="2943"/>
      <c r="BS102" s="2942"/>
      <c r="BT102" s="1438"/>
      <c r="BU102" s="1503"/>
      <c r="BV102" s="1503"/>
      <c r="BW102" s="1503"/>
      <c r="BX102" s="1503">
        <f>BX101/BW101-1</f>
        <v>6.8479972013293589E-2</v>
      </c>
      <c r="BY102" s="1503">
        <f>BY101/BX101-1</f>
        <v>6.6137349594826977E-2</v>
      </c>
      <c r="BZ102" s="1503">
        <f>BZ101/BY101-1</f>
        <v>-0.45500959692898268</v>
      </c>
      <c r="CA102" s="1503"/>
      <c r="CB102" s="1503"/>
    </row>
    <row r="103" spans="1:81" outlineLevel="1">
      <c r="A103" s="1499" t="s">
        <v>952</v>
      </c>
      <c r="B103" s="1500"/>
      <c r="C103" s="1500"/>
      <c r="D103" s="1500"/>
      <c r="E103" s="1500"/>
      <c r="F103" s="1501"/>
      <c r="G103" s="1500"/>
      <c r="H103" s="1500"/>
      <c r="I103" s="1500"/>
      <c r="J103" s="1500"/>
      <c r="K103" s="1501"/>
      <c r="L103" s="1500"/>
      <c r="M103" s="1500"/>
      <c r="N103" s="1500"/>
      <c r="O103" s="1500"/>
      <c r="P103" s="1501"/>
      <c r="Q103" s="1500"/>
      <c r="R103" s="1500"/>
      <c r="S103" s="1500"/>
      <c r="T103" s="1500"/>
      <c r="U103" s="1501"/>
      <c r="V103" s="1500"/>
      <c r="W103" s="1500"/>
      <c r="X103" s="1500"/>
      <c r="Y103" s="1500"/>
      <c r="Z103" s="1501"/>
      <c r="AA103" s="1504"/>
      <c r="AB103" s="1502"/>
      <c r="AC103" s="1502"/>
      <c r="AD103" s="1502"/>
      <c r="AE103" s="1501"/>
      <c r="AF103" s="1502"/>
      <c r="AG103" s="1502"/>
      <c r="AH103" s="1502"/>
      <c r="AI103" s="1502"/>
      <c r="AJ103" s="1503"/>
      <c r="AK103" s="1502"/>
      <c r="AL103" s="1502">
        <f>IF(ISERROR(AL101/AK101-1),,(AL101/AK101-1))</f>
        <v>0.13624202510804695</v>
      </c>
      <c r="AM103" s="1502">
        <f>IF(ISERROR(AM101/AL101-1),,(AM101/AL101-1))</f>
        <v>-4.2383626154682164E-2</v>
      </c>
      <c r="AN103" s="1502">
        <f>IF(ISERROR(AN101/AM101-1),,(AN101/AM101-1))</f>
        <v>0.14715339512010583</v>
      </c>
      <c r="AO103" s="1505"/>
      <c r="AP103" s="1502">
        <f>IF(ISERROR(AP101/AN101-1),,(AP101/AN101-1))</f>
        <v>-9.7279472382522658E-2</v>
      </c>
      <c r="AQ103" s="1502">
        <f>IF(ISERROR(AQ101/AP101-1),,(AQ101/AP101-1))</f>
        <v>0.10337899543379003</v>
      </c>
      <c r="AR103" s="1502">
        <f>IF(ISERROR(AR101/AQ101-1),,(AR101/AQ101-1))</f>
        <v>-2.2843900016553564E-2</v>
      </c>
      <c r="AS103" s="1502">
        <f>IF(ISERROR(AS101/AR101-1),,(AS101/AR101-1))</f>
        <v>6.6576317126884721E-2</v>
      </c>
      <c r="AT103" s="1505"/>
      <c r="AU103" s="1502">
        <f>IF(ISERROR(AU101/AS101-1),,(AU101/AS101-1))</f>
        <v>-6.4167725540025367E-2</v>
      </c>
      <c r="AV103" s="1502">
        <f>IF(ISERROR(AV101/AU101-1),,(AV101/AU101-1))</f>
        <v>7.6544467073998534E-2</v>
      </c>
      <c r="AW103" s="1502">
        <f>IF(ISERROR(AW101/AV101-1),,(AW101/AV101-1))</f>
        <v>-3.8940564401702682E-2</v>
      </c>
      <c r="AX103" s="1502">
        <f>IF(ISERROR(AX101/AW101-1),,(AX101/AW101-1))</f>
        <v>0.10088582677165348</v>
      </c>
      <c r="AY103" s="1505"/>
      <c r="AZ103" s="1502">
        <f>IF(ISERROR(AZ101/AX101-1),,(AZ101/AX101-1))</f>
        <v>-4.9023990463418321E-2</v>
      </c>
      <c r="BA103" s="1502">
        <f>IF(ISERROR(BA101/AZ101-1),,(BA101/AZ101-1))</f>
        <v>7.5054841742400402E-2</v>
      </c>
      <c r="BB103" s="1502">
        <f>IF(ISERROR(BB101/BA101-1),,(BB101/BA101-1))</f>
        <v>-1.4283632123597179E-2</v>
      </c>
      <c r="BC103" s="1502">
        <f>IF(ISERROR(BC101/BB101-1),,(BC101/BB101-1))</f>
        <v>9.9216324116516263E-2</v>
      </c>
      <c r="BD103" s="1503"/>
      <c r="BE103" s="2866"/>
      <c r="BF103" s="2866"/>
      <c r="BG103" s="2866"/>
      <c r="BH103" s="2866"/>
      <c r="BI103" s="2942"/>
      <c r="BJ103" s="2943"/>
      <c r="BK103" s="2943"/>
      <c r="BL103" s="2943"/>
      <c r="BM103" s="2943"/>
      <c r="BN103" s="2942"/>
      <c r="BO103" s="2943"/>
      <c r="BP103" s="2943"/>
      <c r="BQ103" s="2943"/>
      <c r="BR103" s="2943"/>
      <c r="BS103" s="2942"/>
      <c r="BT103" s="1438"/>
      <c r="BU103" s="1503"/>
      <c r="BV103" s="1503"/>
      <c r="BW103" s="1503"/>
      <c r="BX103" s="1503"/>
      <c r="BY103" s="1503"/>
      <c r="BZ103" s="1503"/>
      <c r="CA103" s="1503"/>
      <c r="CB103" s="1503"/>
    </row>
    <row r="104" spans="1:81" ht="13.5" outlineLevel="1" thickBot="1">
      <c r="A104" s="1506" t="s">
        <v>953</v>
      </c>
      <c r="B104" s="1483"/>
      <c r="C104" s="1483"/>
      <c r="D104" s="1483"/>
      <c r="E104" s="1483"/>
      <c r="F104" s="1484"/>
      <c r="G104" s="1483"/>
      <c r="H104" s="1483"/>
      <c r="I104" s="1483"/>
      <c r="J104" s="1483"/>
      <c r="K104" s="1484"/>
      <c r="L104" s="1483"/>
      <c r="M104" s="1483"/>
      <c r="N104" s="1483"/>
      <c r="O104" s="1483"/>
      <c r="P104" s="1484"/>
      <c r="Q104" s="1483"/>
      <c r="R104" s="1483"/>
      <c r="S104" s="1483"/>
      <c r="T104" s="1483"/>
      <c r="U104" s="1484"/>
      <c r="V104" s="1483"/>
      <c r="W104" s="1483"/>
      <c r="X104" s="1483"/>
      <c r="Y104" s="1483"/>
      <c r="Z104" s="1484"/>
      <c r="AA104" s="1483"/>
      <c r="AB104" s="1483"/>
      <c r="AC104" s="1483"/>
      <c r="AD104" s="1483"/>
      <c r="AE104" s="1484"/>
      <c r="AF104" s="1481"/>
      <c r="AG104" s="1507"/>
      <c r="AH104" s="1507"/>
      <c r="AI104" s="1507"/>
      <c r="AJ104" s="1508"/>
      <c r="AK104" s="1507"/>
      <c r="AL104" s="1507"/>
      <c r="AM104" s="1507"/>
      <c r="AN104" s="1507"/>
      <c r="AO104" s="1508"/>
      <c r="AP104" s="1507"/>
      <c r="AQ104" s="1507"/>
      <c r="AR104" s="1507"/>
      <c r="AS104" s="1507"/>
      <c r="AT104" s="1508"/>
      <c r="AU104" s="1507"/>
      <c r="AV104" s="1507"/>
      <c r="AW104" s="1507"/>
      <c r="AX104" s="1507"/>
      <c r="AY104" s="1508"/>
      <c r="AZ104" s="1507">
        <f>AVERAGE(AU103,AP103,AK103)</f>
        <v>-8.0723598961274012E-2</v>
      </c>
      <c r="BA104" s="1507">
        <f>AVERAGE(AV103,AQ103,AL103)</f>
        <v>0.10538849587194517</v>
      </c>
      <c r="BB104" s="1507">
        <f>AVERAGE(AW103,AR103,AM103)</f>
        <v>-3.4722696857646139E-2</v>
      </c>
      <c r="BC104" s="1507">
        <f>AVERAGE(AX103,AS103,AN103)</f>
        <v>0.10487184633954801</v>
      </c>
      <c r="BD104" s="1508"/>
      <c r="BE104" s="2873"/>
      <c r="BF104" s="2873"/>
      <c r="BG104" s="2873"/>
      <c r="BH104" s="2873"/>
      <c r="BI104" s="2951"/>
      <c r="BJ104" s="2952"/>
      <c r="BK104" s="2952"/>
      <c r="BL104" s="2952"/>
      <c r="BM104" s="2952"/>
      <c r="BN104" s="2951"/>
      <c r="BO104" s="2952"/>
      <c r="BP104" s="2952"/>
      <c r="BQ104" s="2952"/>
      <c r="BR104" s="2952"/>
      <c r="BS104" s="2951"/>
      <c r="BT104" s="1438"/>
      <c r="BU104" s="1508"/>
      <c r="BV104" s="1508"/>
      <c r="BW104" s="1508"/>
      <c r="BX104" s="1508"/>
      <c r="BY104" s="1508"/>
      <c r="BZ104" s="1508"/>
      <c r="CA104" s="1508"/>
      <c r="CB104" s="1508"/>
    </row>
    <row r="105" spans="1:81" outlineLevel="1">
      <c r="A105" s="1340"/>
      <c r="B105" s="1345"/>
      <c r="C105" s="1345"/>
      <c r="D105" s="1345"/>
      <c r="E105" s="1345"/>
      <c r="F105" s="1346"/>
      <c r="G105" s="1345"/>
      <c r="H105" s="1345"/>
      <c r="I105" s="1345"/>
      <c r="J105" s="1345"/>
      <c r="K105" s="1346"/>
      <c r="L105" s="1345"/>
      <c r="M105" s="1345"/>
      <c r="N105" s="1345"/>
      <c r="O105" s="1345"/>
      <c r="P105" s="1346"/>
      <c r="Q105" s="1345"/>
      <c r="R105" s="1345"/>
      <c r="S105" s="1345"/>
      <c r="T105" s="1345"/>
      <c r="U105" s="1346"/>
      <c r="V105" s="1345"/>
      <c r="W105" s="1345"/>
      <c r="X105" s="1345"/>
      <c r="Y105" s="1345"/>
      <c r="Z105" s="1346"/>
      <c r="AA105" s="1345"/>
      <c r="AB105" s="1345"/>
      <c r="AC105" s="1345"/>
      <c r="AD105" s="1345"/>
      <c r="AE105" s="1346"/>
      <c r="AF105" s="1347"/>
      <c r="AG105" s="1347"/>
      <c r="AH105" s="1347"/>
      <c r="AI105" s="1347"/>
      <c r="AJ105" s="1346"/>
      <c r="AK105" s="1347"/>
      <c r="AL105" s="1347"/>
      <c r="AM105" s="1347"/>
      <c r="AN105" s="1347"/>
      <c r="AO105" s="1344"/>
      <c r="AP105" s="1350"/>
      <c r="AQ105" s="1350"/>
      <c r="AR105" s="1350"/>
      <c r="AS105" s="1350"/>
      <c r="AT105" s="1351"/>
      <c r="AU105" s="1350"/>
      <c r="AV105" s="1350"/>
      <c r="AW105" s="2590"/>
      <c r="AX105" s="1350"/>
      <c r="AY105" s="1351"/>
      <c r="AZ105" s="1350"/>
      <c r="BA105" s="1350"/>
      <c r="BB105" s="1350"/>
      <c r="BC105" s="1350"/>
      <c r="BD105" s="1351"/>
      <c r="BE105" s="2863"/>
      <c r="BF105" s="2863"/>
      <c r="BG105" s="2863"/>
      <c r="BH105" s="2863"/>
      <c r="BI105" s="2938"/>
      <c r="BJ105" s="2939"/>
      <c r="BK105" s="2939"/>
      <c r="BL105" s="2939"/>
      <c r="BM105" s="2939"/>
      <c r="BN105" s="2938"/>
      <c r="BO105" s="2939"/>
      <c r="BP105" s="2939"/>
      <c r="BQ105" s="2939"/>
      <c r="BR105" s="2939"/>
      <c r="BS105" s="2938"/>
      <c r="BT105" s="1343"/>
      <c r="BU105" s="1351"/>
      <c r="BV105" s="1351"/>
      <c r="BW105" s="1351"/>
      <c r="BX105" s="1351"/>
      <c r="BY105" s="1351"/>
      <c r="BZ105" s="1351"/>
      <c r="CA105" s="1351"/>
      <c r="CB105" s="1351"/>
    </row>
    <row r="106" spans="1:81" outlineLevel="1">
      <c r="A106" s="1050" t="s">
        <v>1047</v>
      </c>
      <c r="B106" s="1051"/>
      <c r="C106" s="1051"/>
      <c r="D106" s="1051"/>
      <c r="E106" s="1051"/>
      <c r="F106" s="1052"/>
      <c r="G106" s="1051"/>
      <c r="H106" s="1051"/>
      <c r="I106" s="1051"/>
      <c r="J106" s="1051"/>
      <c r="K106" s="1052"/>
      <c r="L106" s="1051"/>
      <c r="M106" s="1051"/>
      <c r="N106" s="1051"/>
      <c r="O106" s="1051"/>
      <c r="P106" s="1052"/>
      <c r="Q106" s="1051"/>
      <c r="R106" s="1051"/>
      <c r="S106" s="1051"/>
      <c r="T106" s="1051"/>
      <c r="U106" s="1052"/>
      <c r="V106" s="1051"/>
      <c r="W106" s="1051"/>
      <c r="X106" s="1051"/>
      <c r="Y106" s="1051"/>
      <c r="Z106" s="1052"/>
      <c r="AA106" s="1051"/>
      <c r="AB106" s="1051"/>
      <c r="AC106" s="1051"/>
      <c r="AD106" s="1051"/>
      <c r="AE106" s="1052"/>
      <c r="AF106" s="1053"/>
      <c r="AG106" s="1051"/>
      <c r="AH106" s="1051"/>
      <c r="AI106" s="1051"/>
      <c r="AJ106" s="1052"/>
      <c r="AK106" s="1054"/>
      <c r="AL106" s="1051"/>
      <c r="AM106" s="1051"/>
      <c r="AN106" s="1051"/>
      <c r="AO106" s="1052"/>
      <c r="AP106" s="1054"/>
      <c r="AQ106" s="1051"/>
      <c r="AR106" s="1051"/>
      <c r="AS106" s="1051"/>
      <c r="AT106" s="1052"/>
      <c r="AU106" s="1054"/>
      <c r="AV106" s="1051"/>
      <c r="AW106" s="1051"/>
      <c r="AX106" s="1051"/>
      <c r="AY106" s="1052"/>
      <c r="AZ106" s="1054"/>
      <c r="BA106" s="1051"/>
      <c r="BB106" s="1051"/>
      <c r="BC106" s="1051"/>
      <c r="BD106" s="1052"/>
      <c r="BE106" s="2851"/>
      <c r="BF106" s="2852"/>
      <c r="BG106" s="2852"/>
      <c r="BH106" s="2852"/>
      <c r="BI106" s="2915"/>
      <c r="BJ106" s="2916"/>
      <c r="BK106" s="2917"/>
      <c r="BL106" s="2917"/>
      <c r="BM106" s="2917"/>
      <c r="BN106" s="2915"/>
      <c r="BO106" s="2916"/>
      <c r="BP106" s="2917"/>
      <c r="BQ106" s="2917"/>
      <c r="BR106" s="2917"/>
      <c r="BS106" s="2915"/>
      <c r="BT106" s="1343"/>
      <c r="BU106" s="1052"/>
      <c r="BV106" s="1052"/>
      <c r="BW106" s="1052"/>
      <c r="BX106" s="1052"/>
      <c r="BY106" s="1052"/>
      <c r="BZ106" s="1052"/>
      <c r="CA106" s="1052"/>
      <c r="CB106" s="1052"/>
    </row>
    <row r="107" spans="1:81" outlineLevel="1">
      <c r="A107" s="1175" t="s">
        <v>1066</v>
      </c>
      <c r="B107" s="1345"/>
      <c r="C107" s="1345"/>
      <c r="D107" s="1345"/>
      <c r="E107" s="1345"/>
      <c r="F107" s="1346"/>
      <c r="G107" s="1345"/>
      <c r="H107" s="1345"/>
      <c r="I107" s="1345"/>
      <c r="J107" s="1345"/>
      <c r="K107" s="1346"/>
      <c r="L107" s="1345"/>
      <c r="M107" s="1345"/>
      <c r="N107" s="1345"/>
      <c r="O107" s="1345"/>
      <c r="P107" s="1346"/>
      <c r="Q107" s="1345"/>
      <c r="R107" s="1345"/>
      <c r="S107" s="1345"/>
      <c r="T107" s="1345"/>
      <c r="U107" s="1346"/>
      <c r="V107" s="1345"/>
      <c r="W107" s="1345"/>
      <c r="X107" s="1345"/>
      <c r="Y107" s="1345"/>
      <c r="Z107" s="1346"/>
      <c r="AA107" s="1345"/>
      <c r="AB107" s="1345"/>
      <c r="AC107" s="1345"/>
      <c r="AD107" s="1345"/>
      <c r="AE107" s="1346"/>
      <c r="AF107" s="1347"/>
      <c r="AG107" s="1347"/>
      <c r="AH107" s="1347"/>
      <c r="AI107" s="1347"/>
      <c r="AJ107" s="1346"/>
      <c r="AK107" s="1002">
        <f>('Client Unit Model'!AN32)</f>
        <v>3105.9999999999986</v>
      </c>
      <c r="AL107" s="1002">
        <f>('Client Unit Model'!AO32)</f>
        <v>3667.0000000000027</v>
      </c>
      <c r="AM107" s="1002">
        <f>('Client Unit Model'!AP32)</f>
        <v>3150.9999999999964</v>
      </c>
      <c r="AN107" s="1002">
        <f>('Client Unit Model'!AQ32)</f>
        <v>3100</v>
      </c>
      <c r="AO107" s="1010">
        <f>SUM(AK107:AN107)</f>
        <v>13023.999999999998</v>
      </c>
      <c r="AP107" s="1002">
        <f>('Client Unit Model'!AR32)</f>
        <v>3097.0000000000027</v>
      </c>
      <c r="AQ107" s="1002">
        <f>('Client Unit Model'!AS32)</f>
        <v>3248.0000000000009</v>
      </c>
      <c r="AR107" s="1002">
        <f>('Client Unit Model'!AT32)</f>
        <v>2513.9999999999982</v>
      </c>
      <c r="AS107" s="1002">
        <f>('Client Unit Model'!AU32)</f>
        <v>2400.9999999999982</v>
      </c>
      <c r="AT107" s="1010">
        <f>SUM(AP107:AS107)</f>
        <v>11260</v>
      </c>
      <c r="AU107" s="1002">
        <f>'Client Unit Model'!AV32</f>
        <v>2923.4386473375312</v>
      </c>
      <c r="AV107" s="1002">
        <f>'Client Unit Model'!AW32</f>
        <v>3094.6230728392748</v>
      </c>
      <c r="AW107" s="1002">
        <f>'Client Unit Model'!AX32</f>
        <v>2507.894229484998</v>
      </c>
      <c r="AX107" s="1002">
        <f>'Client Unit Model'!AY32</f>
        <v>2736.5645524921138</v>
      </c>
      <c r="AY107" s="1010">
        <f>SUM(AU107:AX107)</f>
        <v>11262.520502153919</v>
      </c>
      <c r="AZ107" s="1002">
        <f>'Client Unit Model'!BA32</f>
        <v>2896.8641147621565</v>
      </c>
      <c r="BA107" s="1002">
        <f>'Client Unit Model'!BB32</f>
        <v>3291.5527325278085</v>
      </c>
      <c r="BB107" s="1002">
        <f>'Client Unit Model'!BC32</f>
        <v>2654.0770811553148</v>
      </c>
      <c r="BC107" s="1002">
        <f>'Client Unit Model'!BD32</f>
        <v>2830.4840989873878</v>
      </c>
      <c r="BD107" s="1010">
        <f>SUM(AZ107:BC107)</f>
        <v>11672.978027432669</v>
      </c>
      <c r="BE107" s="2878"/>
      <c r="BF107" s="2878"/>
      <c r="BG107" s="2878"/>
      <c r="BH107" s="2878"/>
      <c r="BI107" s="2958"/>
      <c r="BJ107" s="2959"/>
      <c r="BK107" s="2959"/>
      <c r="BL107" s="2959"/>
      <c r="BM107" s="2959"/>
      <c r="BN107" s="2958"/>
      <c r="BO107" s="2959"/>
      <c r="BP107" s="2959"/>
      <c r="BQ107" s="2959"/>
      <c r="BR107" s="2959"/>
      <c r="BS107" s="2958"/>
      <c r="BT107" s="1519"/>
      <c r="BU107" s="1010"/>
      <c r="BV107" s="1010"/>
      <c r="BW107" s="1010">
        <f>SUM(AM107:AN107,AP107:AQ107)</f>
        <v>12596</v>
      </c>
      <c r="BX107" s="1010">
        <f>SUM(AR107:AS107,AU107:AV107)</f>
        <v>10933.061720176802</v>
      </c>
      <c r="BY107" s="1010">
        <f>SUM(AW107:AX107,AZ107:BA107)</f>
        <v>11432.875629267077</v>
      </c>
      <c r="BZ107" s="1010">
        <f>SUM(BB107:BC107,BE107:BF107)</f>
        <v>5484.5611801427021</v>
      </c>
      <c r="CA107" s="1010"/>
      <c r="CB107" s="1010"/>
      <c r="CC107" s="1001"/>
    </row>
    <row r="108" spans="1:81" outlineLevel="1">
      <c r="A108" s="1456" t="s">
        <v>926</v>
      </c>
      <c r="B108" s="1453"/>
      <c r="C108" s="1453"/>
      <c r="D108" s="1453"/>
      <c r="E108" s="1453"/>
      <c r="F108" s="1454"/>
      <c r="G108" s="1453"/>
      <c r="H108" s="1453"/>
      <c r="I108" s="1453"/>
      <c r="J108" s="1453"/>
      <c r="K108" s="1454"/>
      <c r="L108" s="1453"/>
      <c r="M108" s="1453"/>
      <c r="N108" s="1453"/>
      <c r="O108" s="1453"/>
      <c r="P108" s="1454"/>
      <c r="Q108" s="1453"/>
      <c r="R108" s="1453"/>
      <c r="S108" s="1453"/>
      <c r="T108" s="1453"/>
      <c r="U108" s="1454"/>
      <c r="V108" s="1453"/>
      <c r="W108" s="1453"/>
      <c r="X108" s="1453"/>
      <c r="Y108" s="1453"/>
      <c r="Z108" s="1454"/>
      <c r="AA108" s="1453"/>
      <c r="AB108" s="1453"/>
      <c r="AC108" s="1453"/>
      <c r="AD108" s="1453"/>
      <c r="AE108" s="1454"/>
      <c r="AF108" s="1446"/>
      <c r="AG108" s="1453"/>
      <c r="AH108" s="1453"/>
      <c r="AI108" s="1453"/>
      <c r="AJ108" s="1443"/>
      <c r="AK108" s="1442"/>
      <c r="AL108" s="1442"/>
      <c r="AM108" s="1442"/>
      <c r="AN108" s="1442"/>
      <c r="AO108" s="1443"/>
      <c r="AP108" s="1442">
        <f t="shared" ref="AP108:BD108" si="94">IF(ISERROR(AP107/AK107-1),,(AP107/AK107-1))</f>
        <v>-2.8976175144868055E-3</v>
      </c>
      <c r="AQ108" s="1442">
        <f t="shared" si="94"/>
        <v>-0.1142623397872925</v>
      </c>
      <c r="AR108" s="1442">
        <f t="shared" si="94"/>
        <v>-0.20215804506505841</v>
      </c>
      <c r="AS108" s="1442">
        <f t="shared" si="94"/>
        <v>-0.22548387096774247</v>
      </c>
      <c r="AT108" s="1443">
        <f t="shared" si="94"/>
        <v>-0.13544226044226038</v>
      </c>
      <c r="AU108" s="1442">
        <f t="shared" si="94"/>
        <v>-5.6041767085073135E-2</v>
      </c>
      <c r="AV108" s="1442">
        <f t="shared" si="94"/>
        <v>-4.7221960332735846E-2</v>
      </c>
      <c r="AW108" s="1442">
        <f t="shared" si="94"/>
        <v>-2.428707444311895E-3</v>
      </c>
      <c r="AX108" s="1442">
        <f t="shared" si="94"/>
        <v>0.13976033006752009</v>
      </c>
      <c r="AY108" s="1443">
        <f t="shared" si="94"/>
        <v>2.2384566198208056E-4</v>
      </c>
      <c r="AZ108" s="1442">
        <f t="shared" si="94"/>
        <v>-9.0901625726187429E-3</v>
      </c>
      <c r="BA108" s="1442">
        <f t="shared" si="94"/>
        <v>6.363607297345375E-2</v>
      </c>
      <c r="BB108" s="1442">
        <f t="shared" si="94"/>
        <v>5.8289081713121416E-2</v>
      </c>
      <c r="BC108" s="1442">
        <f t="shared" si="94"/>
        <v>3.4320237909149398E-2</v>
      </c>
      <c r="BD108" s="1443">
        <f t="shared" si="94"/>
        <v>3.6444552993288859E-2</v>
      </c>
      <c r="BE108" s="2866"/>
      <c r="BF108" s="2866"/>
      <c r="BG108" s="2866"/>
      <c r="BH108" s="2866"/>
      <c r="BI108" s="2942"/>
      <c r="BJ108" s="2943"/>
      <c r="BK108" s="2943"/>
      <c r="BL108" s="2943"/>
      <c r="BM108" s="2943"/>
      <c r="BN108" s="2942"/>
      <c r="BO108" s="2943"/>
      <c r="BP108" s="2943"/>
      <c r="BQ108" s="2943"/>
      <c r="BR108" s="2943"/>
      <c r="BS108" s="2942"/>
      <c r="BT108" s="1519"/>
      <c r="BU108" s="1443"/>
      <c r="BV108" s="1443"/>
      <c r="BW108" s="1443"/>
      <c r="BX108" s="1443">
        <f>BX107/BW107-1</f>
        <v>-0.1320211400304222</v>
      </c>
      <c r="BY108" s="1443">
        <f>BY107/BX107-1</f>
        <v>4.5715822509981408E-2</v>
      </c>
      <c r="BZ108" s="1443">
        <f>BZ107/BY107-1</f>
        <v>-0.5202815671236074</v>
      </c>
      <c r="CA108" s="1443"/>
      <c r="CB108" s="1443"/>
      <c r="CC108" s="1001"/>
    </row>
    <row r="109" spans="1:81" outlineLevel="1">
      <c r="A109" s="1456" t="s">
        <v>952</v>
      </c>
      <c r="B109" s="1453"/>
      <c r="C109" s="1453"/>
      <c r="D109" s="1453"/>
      <c r="E109" s="1453"/>
      <c r="F109" s="1454"/>
      <c r="G109" s="1453"/>
      <c r="H109" s="1453"/>
      <c r="I109" s="1453"/>
      <c r="J109" s="1453"/>
      <c r="K109" s="1454"/>
      <c r="L109" s="1453"/>
      <c r="M109" s="1453"/>
      <c r="N109" s="1453"/>
      <c r="O109" s="1453"/>
      <c r="P109" s="1454"/>
      <c r="Q109" s="1453"/>
      <c r="R109" s="1453"/>
      <c r="S109" s="1453"/>
      <c r="T109" s="1453"/>
      <c r="U109" s="1454"/>
      <c r="V109" s="1453"/>
      <c r="W109" s="1453"/>
      <c r="X109" s="1453"/>
      <c r="Y109" s="1453"/>
      <c r="Z109" s="1454"/>
      <c r="AA109" s="1453"/>
      <c r="AB109" s="1453"/>
      <c r="AC109" s="1453"/>
      <c r="AD109" s="1453"/>
      <c r="AE109" s="1454"/>
      <c r="AF109" s="1446"/>
      <c r="AG109" s="1442"/>
      <c r="AH109" s="1442"/>
      <c r="AI109" s="1442"/>
      <c r="AJ109" s="1443"/>
      <c r="AK109" s="1442"/>
      <c r="AL109" s="1442">
        <f>IF(ISERROR(AL107/AK107-1),,(AL107/AK107-1))</f>
        <v>0.18061815840309214</v>
      </c>
      <c r="AM109" s="1442">
        <f>IF(ISERROR(AM107/AL107-1),,(AM107/AL107-1))</f>
        <v>-0.14071448050177415</v>
      </c>
      <c r="AN109" s="1442">
        <f>IF(ISERROR(AN107/AM107-1),,(AN107/AM107-1))</f>
        <v>-1.6185337987939197E-2</v>
      </c>
      <c r="AO109" s="1443"/>
      <c r="AP109" s="1442">
        <f>IF(ISERROR(AP107/AN107-1),,(AP107/AN107-1))</f>
        <v>-9.6774193548299081E-4</v>
      </c>
      <c r="AQ109" s="1442">
        <f>IF(ISERROR(AQ107/AP107-1),,(AQ107/AP107-1))</f>
        <v>4.8756861478849833E-2</v>
      </c>
      <c r="AR109" s="1442">
        <f>IF(ISERROR(AR107/AQ107-1),,(AR107/AQ107-1))</f>
        <v>-0.22598522167487767</v>
      </c>
      <c r="AS109" s="1442">
        <f>IF(ISERROR(AS107/AR107-1),,(AS107/AR107-1))</f>
        <v>-4.4948289578361167E-2</v>
      </c>
      <c r="AT109" s="1443"/>
      <c r="AU109" s="1442">
        <f>IF(ISERROR(AU107/AS107-1),,(AU107/AS107-1))</f>
        <v>0.21759210634632797</v>
      </c>
      <c r="AV109" s="1442">
        <f>IF(ISERROR(AV107/AU107-1),,(AV107/AU107-1))</f>
        <v>5.8555846779150489E-2</v>
      </c>
      <c r="AW109" s="1442">
        <f>IF(ISERROR(AW107/AV107-1),,(AW107/AV107-1))</f>
        <v>-0.18959622207429638</v>
      </c>
      <c r="AX109" s="1442">
        <f>IF(ISERROR(AX107/AW107-1),,(AX107/AW107-1))</f>
        <v>9.118021020131839E-2</v>
      </c>
      <c r="AY109" s="1443"/>
      <c r="AZ109" s="1442">
        <f>IF(ISERROR(AZ107/AX107-1),,(AZ107/AX107-1))</f>
        <v>5.8576934399030556E-2</v>
      </c>
      <c r="BA109" s="1442">
        <f>IF(ISERROR(BA107/AZ107-1),,(BA107/AZ107-1))</f>
        <v>0.13624685250314461</v>
      </c>
      <c r="BB109" s="1442">
        <f>IF(ISERROR(BB107/BA107-1),,(BB107/BA107-1))</f>
        <v>-0.19367019251213169</v>
      </c>
      <c r="BC109" s="1442">
        <f>IF(ISERROR(BC107/BB107-1),,(BC107/BB107-1))</f>
        <v>6.6466425969543996E-2</v>
      </c>
      <c r="BD109" s="1443"/>
      <c r="BE109" s="2866"/>
      <c r="BF109" s="2866"/>
      <c r="BG109" s="2866"/>
      <c r="BH109" s="2866"/>
      <c r="BI109" s="2942"/>
      <c r="BJ109" s="2943"/>
      <c r="BK109" s="2943"/>
      <c r="BL109" s="2943"/>
      <c r="BM109" s="2943"/>
      <c r="BN109" s="2942"/>
      <c r="BO109" s="2943"/>
      <c r="BP109" s="2943"/>
      <c r="BQ109" s="2943"/>
      <c r="BR109" s="2943"/>
      <c r="BS109" s="2942"/>
      <c r="BT109" s="1519"/>
      <c r="BU109" s="1443"/>
      <c r="BV109" s="1443"/>
      <c r="BW109" s="1443"/>
      <c r="BX109" s="1443"/>
      <c r="BY109" s="1443"/>
      <c r="BZ109" s="1443"/>
      <c r="CA109" s="1443"/>
      <c r="CB109" s="1443"/>
      <c r="CC109" s="1001"/>
    </row>
    <row r="110" spans="1:81" outlineLevel="1">
      <c r="A110" s="1175" t="s">
        <v>1067</v>
      </c>
      <c r="B110" s="1345"/>
      <c r="C110" s="1345"/>
      <c r="D110" s="1345"/>
      <c r="E110" s="1345"/>
      <c r="F110" s="1346"/>
      <c r="G110" s="1345"/>
      <c r="H110" s="1345"/>
      <c r="I110" s="1345"/>
      <c r="J110" s="1345"/>
      <c r="K110" s="1346"/>
      <c r="L110" s="1345"/>
      <c r="M110" s="1345"/>
      <c r="N110" s="1345"/>
      <c r="O110" s="1345"/>
      <c r="P110" s="1346"/>
      <c r="Q110" s="1345"/>
      <c r="R110" s="1345"/>
      <c r="S110" s="1345"/>
      <c r="T110" s="1345"/>
      <c r="U110" s="1346"/>
      <c r="V110" s="1345"/>
      <c r="W110" s="1345"/>
      <c r="X110" s="1345"/>
      <c r="Y110" s="1345"/>
      <c r="Z110" s="1346"/>
      <c r="AA110" s="1345"/>
      <c r="AB110" s="1345"/>
      <c r="AC110" s="1345"/>
      <c r="AD110" s="1345"/>
      <c r="AE110" s="1346"/>
      <c r="AF110" s="1347"/>
      <c r="AG110" s="1347"/>
      <c r="AH110" s="1347"/>
      <c r="AI110" s="1347"/>
      <c r="AJ110" s="1346"/>
      <c r="AK110" s="1002">
        <v>1224.1771660834604</v>
      </c>
      <c r="AL110" s="1002">
        <v>1208.5547996044947</v>
      </c>
      <c r="AM110" s="1002">
        <v>1085.8283844780919</v>
      </c>
      <c r="AN110" s="1002">
        <v>1437.9220664062493</v>
      </c>
      <c r="AO110" s="1010">
        <f>SUM(AK110:AN110)</f>
        <v>4956.4824165722966</v>
      </c>
      <c r="AP110" s="1002">
        <v>1303.3516561157394</v>
      </c>
      <c r="AQ110" s="1002">
        <v>1111.924706256669</v>
      </c>
      <c r="AR110" s="1002">
        <v>1043.9767618607946</v>
      </c>
      <c r="AS110" s="1002">
        <v>1327.9220664062493</v>
      </c>
      <c r="AT110" s="1010">
        <f>SUM(AP110:AS110)</f>
        <v>4787.1751906394529</v>
      </c>
      <c r="AU110" s="1002">
        <f>AP110*(1+AU111)</f>
        <v>1264.2511064322671</v>
      </c>
      <c r="AV110" s="1002">
        <f>AQ110*(1+AV111)</f>
        <v>1067.4477180064023</v>
      </c>
      <c r="AW110" s="1002">
        <f>AR110*(1+AW111)</f>
        <v>1023.0972266235786</v>
      </c>
      <c r="AX110" s="1002">
        <f>AS110*(1+AX111)</f>
        <v>1367.7597283984369</v>
      </c>
      <c r="AY110" s="1010">
        <f>SUM(AU110:AX110)</f>
        <v>4722.5557794606848</v>
      </c>
      <c r="AZ110" s="1002">
        <f>AU110*(1+AZ111)</f>
        <v>1264.2511064322671</v>
      </c>
      <c r="BA110" s="1002">
        <f>AV110*(1+BA111)</f>
        <v>1131.4945810867864</v>
      </c>
      <c r="BB110" s="1002">
        <f>AW110*(1+BB111)</f>
        <v>1084.4830602209934</v>
      </c>
      <c r="BC110" s="1002">
        <f>AX110*(1+BC111)</f>
        <v>1477.1805066703118</v>
      </c>
      <c r="BD110" s="1010">
        <f>SUM(AZ110:BC110)</f>
        <v>4957.4092544103587</v>
      </c>
      <c r="BE110" s="2878"/>
      <c r="BF110" s="2878"/>
      <c r="BG110" s="2878"/>
      <c r="BH110" s="2878"/>
      <c r="BI110" s="2958"/>
      <c r="BJ110" s="2959"/>
      <c r="BK110" s="2959"/>
      <c r="BL110" s="2959"/>
      <c r="BM110" s="2959"/>
      <c r="BN110" s="2958"/>
      <c r="BO110" s="2959"/>
      <c r="BP110" s="2959"/>
      <c r="BQ110" s="2959"/>
      <c r="BR110" s="2959"/>
      <c r="BS110" s="2958"/>
      <c r="BT110" s="1519"/>
      <c r="BU110" s="1010"/>
      <c r="BV110" s="1010"/>
      <c r="BW110" s="1010">
        <f>SUM(AM110:AN110,AP110:AQ110)</f>
        <v>4939.0268132567498</v>
      </c>
      <c r="BX110" s="1010">
        <f>SUM(AR110:AS110,AU110:AV110)</f>
        <v>4703.5976527057137</v>
      </c>
      <c r="BY110" s="1010">
        <f>SUM(AW110:AX110,AZ110:BA110)</f>
        <v>4786.6026425410691</v>
      </c>
      <c r="BZ110" s="1010">
        <f>SUM(BB110:BC110,BE110:BF110)</f>
        <v>2561.663566891305</v>
      </c>
      <c r="CA110" s="1010"/>
      <c r="CB110" s="1010"/>
      <c r="CC110" s="1001"/>
    </row>
    <row r="111" spans="1:81" outlineLevel="1">
      <c r="A111" s="1456" t="s">
        <v>926</v>
      </c>
      <c r="B111" s="1453"/>
      <c r="C111" s="1453"/>
      <c r="D111" s="1453"/>
      <c r="E111" s="1453"/>
      <c r="F111" s="1454"/>
      <c r="G111" s="1453"/>
      <c r="H111" s="1453"/>
      <c r="I111" s="1453"/>
      <c r="J111" s="1453"/>
      <c r="K111" s="1454"/>
      <c r="L111" s="1453"/>
      <c r="M111" s="1453"/>
      <c r="N111" s="1453"/>
      <c r="O111" s="1453"/>
      <c r="P111" s="1454"/>
      <c r="Q111" s="1453"/>
      <c r="R111" s="1453"/>
      <c r="S111" s="1453"/>
      <c r="T111" s="1453"/>
      <c r="U111" s="1454"/>
      <c r="V111" s="1453"/>
      <c r="W111" s="1453"/>
      <c r="X111" s="1453"/>
      <c r="Y111" s="1453"/>
      <c r="Z111" s="1454"/>
      <c r="AA111" s="1453"/>
      <c r="AB111" s="1453"/>
      <c r="AC111" s="1453"/>
      <c r="AD111" s="1453"/>
      <c r="AE111" s="1454"/>
      <c r="AF111" s="1446"/>
      <c r="AG111" s="1453"/>
      <c r="AH111" s="1453"/>
      <c r="AI111" s="1453"/>
      <c r="AJ111" s="1443"/>
      <c r="AK111" s="1442"/>
      <c r="AL111" s="1442"/>
      <c r="AM111" s="1442"/>
      <c r="AN111" s="1442"/>
      <c r="AO111" s="1443"/>
      <c r="AP111" s="1442">
        <f>IF(ISERROR(AP110/AK110-1),,(AP110/AK110-1))</f>
        <v>6.4675679489745619E-2</v>
      </c>
      <c r="AQ111" s="1442">
        <f>IF(ISERROR(AQ110/AL110-1),,(AQ110/AL110-1))</f>
        <v>-7.9955078064683938E-2</v>
      </c>
      <c r="AR111" s="1442">
        <f>IF(ISERROR(AR110/AM110-1),,(AR110/AM110-1))</f>
        <v>-3.85434965741972E-2</v>
      </c>
      <c r="AS111" s="1442">
        <f>IF(ISERROR(AS110/AN110-1),,(AS110/AN110-1))</f>
        <v>-7.6499278069304122E-2</v>
      </c>
      <c r="AT111" s="1443">
        <f>IF(ISERROR(AT110/AO110-1),,(AT110/AO110-1))</f>
        <v>-3.4158746405869356E-2</v>
      </c>
      <c r="AU111" s="1442">
        <v>-0.03</v>
      </c>
      <c r="AV111" s="1442">
        <v>-0.04</v>
      </c>
      <c r="AW111" s="1442">
        <v>-0.02</v>
      </c>
      <c r="AX111" s="1442">
        <v>0.03</v>
      </c>
      <c r="AY111" s="1443">
        <f>IF(ISERROR(AY110/AT110-1),,(AY110/AT110-1))</f>
        <v>-1.3498442945042211E-2</v>
      </c>
      <c r="AZ111" s="1442">
        <v>0</v>
      </c>
      <c r="BA111" s="1442">
        <v>0.06</v>
      </c>
      <c r="BB111" s="1455">
        <v>0.06</v>
      </c>
      <c r="BC111" s="1455">
        <v>0.08</v>
      </c>
      <c r="BD111" s="1443">
        <f>IF(ISERROR(BD110/AY110-1),,(BD110/AY110-1))</f>
        <v>4.9730164325659798E-2</v>
      </c>
      <c r="BE111" s="2870"/>
      <c r="BF111" s="2870"/>
      <c r="BG111" s="2870"/>
      <c r="BH111" s="2870"/>
      <c r="BI111" s="2942"/>
      <c r="BJ111" s="2947"/>
      <c r="BK111" s="2947"/>
      <c r="BL111" s="2947"/>
      <c r="BM111" s="2947"/>
      <c r="BN111" s="2942"/>
      <c r="BO111" s="2947"/>
      <c r="BP111" s="2947"/>
      <c r="BQ111" s="2947"/>
      <c r="BR111" s="2947"/>
      <c r="BS111" s="2942"/>
      <c r="BT111" s="1519"/>
      <c r="BU111" s="1443"/>
      <c r="BV111" s="1443"/>
      <c r="BW111" s="1443"/>
      <c r="BX111" s="1443">
        <f>BX110/BW110-1</f>
        <v>-4.766711529468215E-2</v>
      </c>
      <c r="BY111" s="1443">
        <f>BY110/BX110-1</f>
        <v>1.7647127999480761E-2</v>
      </c>
      <c r="BZ111" s="1443">
        <f>BZ110/BY110-1</f>
        <v>-0.46482635844378517</v>
      </c>
      <c r="CA111" s="1443"/>
      <c r="CB111" s="1443"/>
      <c r="CC111" s="1001"/>
    </row>
    <row r="112" spans="1:81" outlineLevel="1">
      <c r="A112" s="1456" t="s">
        <v>952</v>
      </c>
      <c r="B112" s="1453"/>
      <c r="C112" s="1453"/>
      <c r="D112" s="1453"/>
      <c r="E112" s="1453"/>
      <c r="F112" s="1454"/>
      <c r="G112" s="1453"/>
      <c r="H112" s="1453"/>
      <c r="I112" s="1453"/>
      <c r="J112" s="1453"/>
      <c r="K112" s="1454"/>
      <c r="L112" s="1453"/>
      <c r="M112" s="1453"/>
      <c r="N112" s="1453"/>
      <c r="O112" s="1453"/>
      <c r="P112" s="1454"/>
      <c r="Q112" s="1453"/>
      <c r="R112" s="1453"/>
      <c r="S112" s="1453"/>
      <c r="T112" s="1453"/>
      <c r="U112" s="1454"/>
      <c r="V112" s="1453"/>
      <c r="W112" s="1453"/>
      <c r="X112" s="1453"/>
      <c r="Y112" s="1453"/>
      <c r="Z112" s="1454"/>
      <c r="AA112" s="1453"/>
      <c r="AB112" s="1453"/>
      <c r="AC112" s="1453"/>
      <c r="AD112" s="1453"/>
      <c r="AE112" s="1454"/>
      <c r="AF112" s="1446"/>
      <c r="AG112" s="1442"/>
      <c r="AH112" s="1442"/>
      <c r="AI112" s="1442"/>
      <c r="AJ112" s="1443"/>
      <c r="AK112" s="1442"/>
      <c r="AL112" s="1442">
        <f>IF(ISERROR(AL110/AK110-1),,(AL110/AK110-1))</f>
        <v>-1.2761524158261039E-2</v>
      </c>
      <c r="AM112" s="1442">
        <f>IF(ISERROR(AM110/AL110-1),,(AM110/AL110-1))</f>
        <v>-0.10154807640213381</v>
      </c>
      <c r="AN112" s="1442">
        <f>IF(ISERROR(AN110/AM110-1),,(AN110/AM110-1))</f>
        <v>0.32426273521795324</v>
      </c>
      <c r="AO112" s="1443"/>
      <c r="AP112" s="1442">
        <f>IF(ISERROR(AP110/AN110-1),,(AP110/AN110-1))</f>
        <v>-9.358672033376414E-2</v>
      </c>
      <c r="AQ112" s="1442">
        <f>IF(ISERROR(AQ110/AP110-1),,(AQ110/AP110-1))</f>
        <v>-0.14687283279292618</v>
      </c>
      <c r="AR112" s="1442">
        <f>IF(ISERROR(AR110/AQ110-1),,(AR110/AQ110-1))</f>
        <v>-6.1108404205374112E-2</v>
      </c>
      <c r="AS112" s="1442">
        <f>IF(ISERROR(AS110/AR110-1),,(AS110/AR110-1))</f>
        <v>0.27198431509083387</v>
      </c>
      <c r="AT112" s="1443"/>
      <c r="AU112" s="1442">
        <f>IF(ISERROR(AU110/AS110-1),,(AU110/AS110-1))</f>
        <v>-4.7947813794746774E-2</v>
      </c>
      <c r="AV112" s="1442">
        <f>IF(ISERROR(AV110/AU110-1),,(AV110/AU110-1))</f>
        <v>-0.15566795822805046</v>
      </c>
      <c r="AW112" s="1442">
        <f>IF(ISERROR(AW110/AV110-1),,(AW110/AV110-1))</f>
        <v>-4.154816262631944E-2</v>
      </c>
      <c r="AX112" s="1442">
        <f>IF(ISERROR(AX110/AW110-1),,(AX110/AW110-1))</f>
        <v>0.33688147402403978</v>
      </c>
      <c r="AY112" s="1443"/>
      <c r="AZ112" s="1442">
        <f>IF(ISERROR(AZ110/AX110-1),,(AZ110/AX110-1))</f>
        <v>-7.5677489121113495E-2</v>
      </c>
      <c r="BA112" s="1442">
        <f>IF(ISERROR(BA110/AZ110-1),,(BA110/AZ110-1))</f>
        <v>-0.10500803572173356</v>
      </c>
      <c r="BB112" s="1442">
        <f>IF(ISERROR(BB110/BA110-1),,(BB110/BA110-1))</f>
        <v>-4.154816262631944E-2</v>
      </c>
      <c r="BC112" s="1442">
        <f>IF(ISERROR(BC110/BB110-1),,(BC110/BB110-1))</f>
        <v>0.36210565277921036</v>
      </c>
      <c r="BD112" s="1443"/>
      <c r="BE112" s="2866"/>
      <c r="BF112" s="2866"/>
      <c r="BG112" s="2866"/>
      <c r="BH112" s="2866"/>
      <c r="BI112" s="2942"/>
      <c r="BJ112" s="2943"/>
      <c r="BK112" s="2943"/>
      <c r="BL112" s="2943"/>
      <c r="BM112" s="2943"/>
      <c r="BN112" s="2942"/>
      <c r="BO112" s="2943"/>
      <c r="BP112" s="2943"/>
      <c r="BQ112" s="2943"/>
      <c r="BR112" s="2943"/>
      <c r="BS112" s="2942"/>
      <c r="BT112" s="1519"/>
      <c r="BU112" s="1443"/>
      <c r="BV112" s="1443"/>
      <c r="BW112" s="1443"/>
      <c r="BX112" s="1443"/>
      <c r="BY112" s="1443"/>
      <c r="BZ112" s="1443"/>
      <c r="CA112" s="1443"/>
      <c r="CB112" s="1443"/>
      <c r="CC112" s="1001"/>
    </row>
    <row r="113" spans="1:81" outlineLevel="1">
      <c r="A113" s="986" t="str">
        <f>A196</f>
        <v>Windows Phone Licensing, IP, Embedded &amp; Other</v>
      </c>
      <c r="B113" s="1345"/>
      <c r="C113" s="1345"/>
      <c r="D113" s="1345"/>
      <c r="E113" s="1345"/>
      <c r="F113" s="1346"/>
      <c r="G113" s="1345"/>
      <c r="H113" s="1345"/>
      <c r="I113" s="1345"/>
      <c r="J113" s="1345"/>
      <c r="K113" s="1346"/>
      <c r="L113" s="1345"/>
      <c r="M113" s="1345"/>
      <c r="N113" s="1345"/>
      <c r="O113" s="1345"/>
      <c r="P113" s="1346"/>
      <c r="Q113" s="1345"/>
      <c r="R113" s="1345"/>
      <c r="S113" s="1345"/>
      <c r="T113" s="1345"/>
      <c r="U113" s="1346"/>
      <c r="V113" s="1345"/>
      <c r="W113" s="1345"/>
      <c r="X113" s="1345"/>
      <c r="Y113" s="1345"/>
      <c r="Z113" s="1346"/>
      <c r="AA113" s="1345"/>
      <c r="AB113" s="1345"/>
      <c r="AC113" s="1345"/>
      <c r="AD113" s="1345"/>
      <c r="AE113" s="1346"/>
      <c r="AF113" s="1347"/>
      <c r="AG113" s="1347"/>
      <c r="AH113" s="1347"/>
      <c r="AI113" s="1347"/>
      <c r="AJ113" s="1346"/>
      <c r="AK113" s="1002">
        <f>AK205</f>
        <v>637.89365788206146</v>
      </c>
      <c r="AL113" s="1002">
        <f>AL205</f>
        <v>1381.7116259312536</v>
      </c>
      <c r="AM113" s="1002">
        <f>AM205</f>
        <v>721.43429887111256</v>
      </c>
      <c r="AN113" s="1002">
        <f>AN205</f>
        <v>995.02646240902504</v>
      </c>
      <c r="AO113" s="1010">
        <f>SUM(AK113:AN113)</f>
        <v>3736.0660450934529</v>
      </c>
      <c r="AP113" s="1002">
        <f>AP205</f>
        <v>364.160004029167</v>
      </c>
      <c r="AQ113" s="1002">
        <f>AQ205</f>
        <v>823.48541105582399</v>
      </c>
      <c r="AR113" s="1002">
        <f>AR205</f>
        <v>635.95335370396174</v>
      </c>
      <c r="AS113" s="1002">
        <f>AS205</f>
        <v>368.70986837053761</v>
      </c>
      <c r="AT113" s="1010">
        <f>SUM(AP113:AS113)</f>
        <v>2192.30863715949</v>
      </c>
      <c r="AU113" s="1002">
        <f>AU205</f>
        <v>400.57600443208366</v>
      </c>
      <c r="AV113" s="1002">
        <f>AV205</f>
        <v>836.2667951827334</v>
      </c>
      <c r="AW113" s="1002">
        <f>AW205</f>
        <v>594.8386336116323</v>
      </c>
      <c r="AX113" s="1002">
        <f>AX205</f>
        <v>326.46279468678188</v>
      </c>
      <c r="AY113" s="1010">
        <f>SUM(AU113:AX113)</f>
        <v>2158.1442279132311</v>
      </c>
      <c r="AZ113" s="1002">
        <f>AZ205</f>
        <v>429.64073015534234</v>
      </c>
      <c r="BA113" s="1002">
        <f>BA205</f>
        <v>837.0460449390647</v>
      </c>
      <c r="BB113" s="1002">
        <f>BB205</f>
        <v>590.44313015704063</v>
      </c>
      <c r="BC113" s="1002">
        <f>BC205</f>
        <v>329.3482525155988</v>
      </c>
      <c r="BD113" s="1010">
        <f>SUM(AZ113:BC113)</f>
        <v>2186.4781577670465</v>
      </c>
      <c r="BE113" s="2878"/>
      <c r="BF113" s="2878"/>
      <c r="BG113" s="2878"/>
      <c r="BH113" s="2878"/>
      <c r="BI113" s="2958"/>
      <c r="BJ113" s="2959"/>
      <c r="BK113" s="2959"/>
      <c r="BL113" s="2959"/>
      <c r="BM113" s="2959"/>
      <c r="BN113" s="2958"/>
      <c r="BO113" s="2959"/>
      <c r="BP113" s="2959"/>
      <c r="BQ113" s="2959"/>
      <c r="BR113" s="2959"/>
      <c r="BS113" s="2958"/>
      <c r="BT113" s="1519"/>
      <c r="BU113" s="1010"/>
      <c r="BV113" s="1010"/>
      <c r="BW113" s="1010">
        <f>SUM(AM113:AN113,AP113:AQ113)</f>
        <v>2904.1061763651287</v>
      </c>
      <c r="BX113" s="1010">
        <f>SUM(AR113:AS113,AU113:AV113)</f>
        <v>2241.5060216893162</v>
      </c>
      <c r="BY113" s="1010">
        <f>SUM(AW113:AX113,AZ113:BA113)</f>
        <v>2187.9882033928211</v>
      </c>
      <c r="BZ113" s="1010">
        <f>SUM(BB113:BC113,BE113:BF113)</f>
        <v>919.79138267263943</v>
      </c>
      <c r="CA113" s="1010"/>
      <c r="CB113" s="1010"/>
      <c r="CC113" s="1001"/>
    </row>
    <row r="114" spans="1:81" outlineLevel="1">
      <c r="A114" s="1456" t="s">
        <v>926</v>
      </c>
      <c r="B114" s="1453"/>
      <c r="C114" s="1453"/>
      <c r="D114" s="1453"/>
      <c r="E114" s="1453"/>
      <c r="F114" s="1454"/>
      <c r="G114" s="1453"/>
      <c r="H114" s="1453"/>
      <c r="I114" s="1453"/>
      <c r="J114" s="1453"/>
      <c r="K114" s="1454"/>
      <c r="L114" s="1453"/>
      <c r="M114" s="1453"/>
      <c r="N114" s="1453"/>
      <c r="O114" s="1453"/>
      <c r="P114" s="1454"/>
      <c r="Q114" s="1453"/>
      <c r="R114" s="1453"/>
      <c r="S114" s="1453"/>
      <c r="T114" s="1453"/>
      <c r="U114" s="1454"/>
      <c r="V114" s="1453"/>
      <c r="W114" s="1453"/>
      <c r="X114" s="1453"/>
      <c r="Y114" s="1453"/>
      <c r="Z114" s="1454"/>
      <c r="AA114" s="1453"/>
      <c r="AB114" s="1453"/>
      <c r="AC114" s="1453"/>
      <c r="AD114" s="1453"/>
      <c r="AE114" s="1454"/>
      <c r="AF114" s="1446"/>
      <c r="AG114" s="1453"/>
      <c r="AH114" s="1453"/>
      <c r="AI114" s="1453"/>
      <c r="AJ114" s="1443"/>
      <c r="AK114" s="1442"/>
      <c r="AL114" s="1442"/>
      <c r="AM114" s="1442"/>
      <c r="AN114" s="1442"/>
      <c r="AO114" s="1443"/>
      <c r="AP114" s="1442">
        <f t="shared" ref="AP114:BD114" si="95">IF(ISERROR(AP113/AK113-1),,(AP113/AK113-1))</f>
        <v>-0.42912114028809545</v>
      </c>
      <c r="AQ114" s="1442">
        <f t="shared" si="95"/>
        <v>-0.40401065200503994</v>
      </c>
      <c r="AR114" s="1442">
        <f t="shared" si="95"/>
        <v>-0.11848749816984006</v>
      </c>
      <c r="AS114" s="1442">
        <f t="shared" si="95"/>
        <v>-0.62944717321601018</v>
      </c>
      <c r="AT114" s="1443">
        <f t="shared" si="95"/>
        <v>-0.41320399299722443</v>
      </c>
      <c r="AU114" s="1442">
        <f t="shared" si="95"/>
        <v>9.9999999999999867E-2</v>
      </c>
      <c r="AV114" s="1442">
        <f t="shared" si="95"/>
        <v>1.5521081436672857E-2</v>
      </c>
      <c r="AW114" s="1442">
        <f t="shared" si="95"/>
        <v>-6.4650527987416662E-2</v>
      </c>
      <c r="AX114" s="1442">
        <f t="shared" si="95"/>
        <v>-0.11458080541879945</v>
      </c>
      <c r="AY114" s="1443">
        <f t="shared" si="95"/>
        <v>-1.5583758904733735E-2</v>
      </c>
      <c r="AZ114" s="1442">
        <f t="shared" si="95"/>
        <v>7.2557330947631726E-2</v>
      </c>
      <c r="BA114" s="1442">
        <f t="shared" si="95"/>
        <v>9.318195590450884E-4</v>
      </c>
      <c r="BB114" s="1442">
        <f t="shared" si="95"/>
        <v>-7.3894048002629553E-3</v>
      </c>
      <c r="BC114" s="1442">
        <f t="shared" si="95"/>
        <v>8.8385502905019564E-3</v>
      </c>
      <c r="BD114" s="1443">
        <f t="shared" si="95"/>
        <v>1.3128839809382065E-2</v>
      </c>
      <c r="BE114" s="2866"/>
      <c r="BF114" s="2866"/>
      <c r="BG114" s="2866"/>
      <c r="BH114" s="2866"/>
      <c r="BI114" s="2942"/>
      <c r="BJ114" s="2943"/>
      <c r="BK114" s="2943"/>
      <c r="BL114" s="2943"/>
      <c r="BM114" s="2943"/>
      <c r="BN114" s="2942"/>
      <c r="BO114" s="2943"/>
      <c r="BP114" s="2943"/>
      <c r="BQ114" s="2943"/>
      <c r="BR114" s="2943"/>
      <c r="BS114" s="2942"/>
      <c r="BT114" s="1519"/>
      <c r="BU114" s="1443"/>
      <c r="BV114" s="1443"/>
      <c r="BW114" s="1443"/>
      <c r="BX114" s="1443">
        <f>BX113/BW113-1</f>
        <v>-0.22815975533826516</v>
      </c>
      <c r="BY114" s="1443">
        <f>BY113/BX113-1</f>
        <v>-2.3875830704287448E-2</v>
      </c>
      <c r="BZ114" s="1443">
        <f>BZ113/BY113-1</f>
        <v>-0.57961775970896112</v>
      </c>
      <c r="CA114" s="1443"/>
      <c r="CB114" s="1443"/>
      <c r="CC114" s="1001"/>
    </row>
    <row r="115" spans="1:81" outlineLevel="1">
      <c r="A115" s="1456" t="s">
        <v>952</v>
      </c>
      <c r="B115" s="1453"/>
      <c r="C115" s="1453"/>
      <c r="D115" s="1453"/>
      <c r="E115" s="1453"/>
      <c r="F115" s="1454"/>
      <c r="G115" s="1453"/>
      <c r="H115" s="1453"/>
      <c r="I115" s="1453"/>
      <c r="J115" s="1453"/>
      <c r="K115" s="1454"/>
      <c r="L115" s="1453"/>
      <c r="M115" s="1453"/>
      <c r="N115" s="1453"/>
      <c r="O115" s="1453"/>
      <c r="P115" s="1454"/>
      <c r="Q115" s="1453"/>
      <c r="R115" s="1453"/>
      <c r="S115" s="1453"/>
      <c r="T115" s="1453"/>
      <c r="U115" s="1454"/>
      <c r="V115" s="1453"/>
      <c r="W115" s="1453"/>
      <c r="X115" s="1453"/>
      <c r="Y115" s="1453"/>
      <c r="Z115" s="1454"/>
      <c r="AA115" s="1453"/>
      <c r="AB115" s="1453"/>
      <c r="AC115" s="1453"/>
      <c r="AD115" s="1453"/>
      <c r="AE115" s="1454"/>
      <c r="AF115" s="1446"/>
      <c r="AG115" s="1442"/>
      <c r="AH115" s="1442"/>
      <c r="AI115" s="1442"/>
      <c r="AJ115" s="1443"/>
      <c r="AK115" s="1442"/>
      <c r="AL115" s="1442">
        <f>IF(ISERROR(AL113/AK113-1),,(AL113/AK113-1))</f>
        <v>1.1660532423520578</v>
      </c>
      <c r="AM115" s="1442">
        <f>IF(ISERROR(AM113/AL113-1),,(AM113/AL113-1))</f>
        <v>-0.47786912599445175</v>
      </c>
      <c r="AN115" s="1442">
        <f>IF(ISERROR(AN113/AM113-1),,(AN113/AM113-1))</f>
        <v>0.37923365158272149</v>
      </c>
      <c r="AO115" s="1443"/>
      <c r="AP115" s="1442">
        <f>IF(ISERROR(AP113/AN113-1),,(AP113/AN113-1))</f>
        <v>-0.63401977958705591</v>
      </c>
      <c r="AQ115" s="1442">
        <f>IF(ISERROR(AQ113/AP113-1),,(AQ113/AP113-1))</f>
        <v>1.2613285422466873</v>
      </c>
      <c r="AR115" s="1442">
        <f>IF(ISERROR(AR113/AQ113-1),,(AR113/AQ113-1))</f>
        <v>-0.22772966567971109</v>
      </c>
      <c r="AS115" s="1442">
        <f>IF(ISERROR(AS113/AR113-1),,(AS113/AR113-1))</f>
        <v>-0.42022497998780395</v>
      </c>
      <c r="AT115" s="1443"/>
      <c r="AU115" s="1442">
        <f>IF(ISERROR(AU113/AS113-1),,(AU113/AS113-1))</f>
        <v>8.6426046046377936E-2</v>
      </c>
      <c r="AV115" s="1442">
        <f>IF(ISERROR(AV113/AU113-1),,(AV113/AU113-1))</f>
        <v>1.0876607333690647</v>
      </c>
      <c r="AW115" s="1442">
        <f>IF(ISERROR(AW113/AV113-1),,(AW113/AV113-1))</f>
        <v>-0.28869753404276488</v>
      </c>
      <c r="AX115" s="1442">
        <f>IF(ISERROR(AX113/AW113-1),,(AX113/AW113-1))</f>
        <v>-0.45117419037727113</v>
      </c>
      <c r="AY115" s="1443"/>
      <c r="AZ115" s="1442">
        <f>IF(ISERROR(AZ113/AX113-1),,(AZ113/AX113-1))</f>
        <v>0.3160480677975952</v>
      </c>
      <c r="BA115" s="1442">
        <f>IF(ISERROR(BA113/AZ113-1),,(BA113/AZ113-1))</f>
        <v>0.9482464910540942</v>
      </c>
      <c r="BB115" s="1442">
        <f>IF(ISERROR(BB113/BA113-1),,(BB113/BA113-1))</f>
        <v>-0.29461093123016457</v>
      </c>
      <c r="BC115" s="1442">
        <f>IF(ISERROR(BC113/BB113-1),,(BC113/BB113-1))</f>
        <v>-0.44220156744307992</v>
      </c>
      <c r="BD115" s="1443"/>
      <c r="BE115" s="2866"/>
      <c r="BF115" s="2866"/>
      <c r="BG115" s="2866"/>
      <c r="BH115" s="2866"/>
      <c r="BI115" s="2942"/>
      <c r="BJ115" s="2943"/>
      <c r="BK115" s="2943"/>
      <c r="BL115" s="2943"/>
      <c r="BM115" s="2943"/>
      <c r="BN115" s="2942"/>
      <c r="BO115" s="2943"/>
      <c r="BP115" s="2943"/>
      <c r="BQ115" s="2943"/>
      <c r="BR115" s="2943"/>
      <c r="BS115" s="2942"/>
      <c r="BT115" s="1519"/>
      <c r="BU115" s="1443"/>
      <c r="BV115" s="1443"/>
      <c r="BW115" s="1443"/>
      <c r="BX115" s="1443"/>
      <c r="BY115" s="1443"/>
      <c r="BZ115" s="1443"/>
      <c r="CA115" s="1443"/>
      <c r="CB115" s="1443"/>
      <c r="CC115" s="1001"/>
    </row>
    <row r="116" spans="1:81" outlineLevel="1">
      <c r="A116" s="986" t="s">
        <v>943</v>
      </c>
      <c r="B116" s="1345"/>
      <c r="C116" s="1345"/>
      <c r="D116" s="1345"/>
      <c r="E116" s="1345"/>
      <c r="F116" s="1346"/>
      <c r="G116" s="1345"/>
      <c r="H116" s="1345"/>
      <c r="I116" s="1345"/>
      <c r="J116" s="1345"/>
      <c r="K116" s="1346"/>
      <c r="L116" s="1345"/>
      <c r="M116" s="1345"/>
      <c r="N116" s="1345"/>
      <c r="O116" s="1345"/>
      <c r="P116" s="1346"/>
      <c r="Q116" s="1345"/>
      <c r="R116" s="1345"/>
      <c r="S116" s="1345"/>
      <c r="T116" s="1345"/>
      <c r="U116" s="1346"/>
      <c r="V116" s="1345"/>
      <c r="W116" s="1345"/>
      <c r="X116" s="1345"/>
      <c r="Y116" s="1345"/>
      <c r="Z116" s="1346"/>
      <c r="AA116" s="1345"/>
      <c r="AB116" s="1345"/>
      <c r="AC116" s="1345"/>
      <c r="AD116" s="1345"/>
      <c r="AE116" s="1346"/>
      <c r="AF116" s="1347"/>
      <c r="AG116" s="1347"/>
      <c r="AH116" s="1347"/>
      <c r="AI116" s="1347"/>
      <c r="AJ116" s="1346"/>
      <c r="AK116" s="1002">
        <f>AK158</f>
        <v>400</v>
      </c>
      <c r="AL116" s="1002">
        <f>AL158</f>
        <v>893</v>
      </c>
      <c r="AM116" s="1002">
        <f>AM158</f>
        <v>494</v>
      </c>
      <c r="AN116" s="1002">
        <f>AN158</f>
        <v>409</v>
      </c>
      <c r="AO116" s="1010">
        <f>SUM(AK116:AN116)</f>
        <v>2196</v>
      </c>
      <c r="AP116" s="1002">
        <f>AP158</f>
        <v>908</v>
      </c>
      <c r="AQ116" s="1002">
        <f>AQ158</f>
        <v>1104</v>
      </c>
      <c r="AR116" s="1002">
        <f>AR158</f>
        <v>713</v>
      </c>
      <c r="AS116" s="1002">
        <f>AS158</f>
        <v>888</v>
      </c>
      <c r="AT116" s="1010">
        <f>SUM(AP116:AS116)</f>
        <v>3613</v>
      </c>
      <c r="AU116" s="1002">
        <f>AU158</f>
        <v>672</v>
      </c>
      <c r="AV116" s="1002">
        <f>AV158</f>
        <v>1352</v>
      </c>
      <c r="AW116" s="1002">
        <f>AW158</f>
        <v>1111</v>
      </c>
      <c r="AX116" s="1002">
        <f>AX158</f>
        <v>965</v>
      </c>
      <c r="AY116" s="1010">
        <f>SUM(AU116:AX116)</f>
        <v>4100</v>
      </c>
      <c r="AZ116" s="1002">
        <f>AZ158</f>
        <v>926</v>
      </c>
      <c r="BA116" s="1002">
        <f>BA158</f>
        <v>1321</v>
      </c>
      <c r="BB116" s="1002">
        <f>BB158</f>
        <v>831</v>
      </c>
      <c r="BC116" s="1002">
        <f>BC158</f>
        <v>948</v>
      </c>
      <c r="BD116" s="1010">
        <f>SUM(AZ116:BC116)</f>
        <v>4026</v>
      </c>
      <c r="BE116" s="2878"/>
      <c r="BF116" s="2878"/>
      <c r="BG116" s="2878"/>
      <c r="BH116" s="2878"/>
      <c r="BI116" s="2958"/>
      <c r="BJ116" s="2959"/>
      <c r="BK116" s="2959"/>
      <c r="BL116" s="2959"/>
      <c r="BM116" s="2959"/>
      <c r="BN116" s="2958"/>
      <c r="BO116" s="2959"/>
      <c r="BP116" s="2959"/>
      <c r="BQ116" s="2959"/>
      <c r="BR116" s="2959"/>
      <c r="BS116" s="2958"/>
      <c r="BT116" s="1519"/>
      <c r="BU116" s="1010"/>
      <c r="BV116" s="1010"/>
      <c r="BW116" s="1010">
        <f>SUM(AM116:AN116,AP116:AQ116)</f>
        <v>2915</v>
      </c>
      <c r="BX116" s="1010">
        <f>SUM(AR116:AS116,AU116:AV116)</f>
        <v>3625</v>
      </c>
      <c r="BY116" s="1010">
        <f>SUM(AW116:AX116,AZ116:BA116)</f>
        <v>4323</v>
      </c>
      <c r="BZ116" s="1010">
        <f>SUM(BB116:BC116,BE116:BF116)</f>
        <v>1779</v>
      </c>
      <c r="CA116" s="1010"/>
      <c r="CB116" s="1010"/>
      <c r="CC116" s="1001"/>
    </row>
    <row r="117" spans="1:81" outlineLevel="1">
      <c r="A117" s="1456" t="s">
        <v>926</v>
      </c>
      <c r="B117" s="1453"/>
      <c r="C117" s="1453"/>
      <c r="D117" s="1453"/>
      <c r="E117" s="1453"/>
      <c r="F117" s="1454"/>
      <c r="G117" s="1453"/>
      <c r="H117" s="1453"/>
      <c r="I117" s="1453"/>
      <c r="J117" s="1453"/>
      <c r="K117" s="1454"/>
      <c r="L117" s="1453"/>
      <c r="M117" s="1453"/>
      <c r="N117" s="1453"/>
      <c r="O117" s="1453"/>
      <c r="P117" s="1454"/>
      <c r="Q117" s="1453"/>
      <c r="R117" s="1453"/>
      <c r="S117" s="1453"/>
      <c r="T117" s="1453"/>
      <c r="U117" s="1454"/>
      <c r="V117" s="1453"/>
      <c r="W117" s="1453"/>
      <c r="X117" s="1453"/>
      <c r="Y117" s="1453"/>
      <c r="Z117" s="1454"/>
      <c r="AA117" s="1453"/>
      <c r="AB117" s="1453"/>
      <c r="AC117" s="1453"/>
      <c r="AD117" s="1453"/>
      <c r="AE117" s="1454"/>
      <c r="AF117" s="1446"/>
      <c r="AG117" s="1453"/>
      <c r="AH117" s="1453"/>
      <c r="AI117" s="1453"/>
      <c r="AJ117" s="1443"/>
      <c r="AK117" s="1442"/>
      <c r="AL117" s="1442"/>
      <c r="AM117" s="1442"/>
      <c r="AN117" s="1442"/>
      <c r="AO117" s="1443"/>
      <c r="AP117" s="1442">
        <f t="shared" ref="AP117:BD117" si="96">IF(ISERROR(AP116/AK116-1),,(AP116/AK116-1))</f>
        <v>1.27</v>
      </c>
      <c r="AQ117" s="1442">
        <f t="shared" si="96"/>
        <v>0.23628219484882429</v>
      </c>
      <c r="AR117" s="1442">
        <f t="shared" si="96"/>
        <v>0.44331983805668007</v>
      </c>
      <c r="AS117" s="1442">
        <f t="shared" si="96"/>
        <v>1.1711491442542785</v>
      </c>
      <c r="AT117" s="1443">
        <f t="shared" si="96"/>
        <v>0.64526411657559191</v>
      </c>
      <c r="AU117" s="1442">
        <f t="shared" si="96"/>
        <v>-0.25991189427312777</v>
      </c>
      <c r="AV117" s="1442">
        <f t="shared" si="96"/>
        <v>0.2246376811594204</v>
      </c>
      <c r="AW117" s="1442">
        <f t="shared" si="96"/>
        <v>0.55820476858345014</v>
      </c>
      <c r="AX117" s="1442">
        <f t="shared" si="96"/>
        <v>8.671171171171177E-2</v>
      </c>
      <c r="AY117" s="1443">
        <f t="shared" si="96"/>
        <v>0.13479103238306123</v>
      </c>
      <c r="AZ117" s="1442">
        <f t="shared" si="96"/>
        <v>0.37797619047619047</v>
      </c>
      <c r="BA117" s="1442">
        <f t="shared" si="96"/>
        <v>-2.2928994082840215E-2</v>
      </c>
      <c r="BB117" s="1442">
        <f t="shared" si="96"/>
        <v>-0.25202520252025207</v>
      </c>
      <c r="BC117" s="1442">
        <f t="shared" si="96"/>
        <v>-1.7616580310880869E-2</v>
      </c>
      <c r="BD117" s="1443">
        <f t="shared" si="96"/>
        <v>-1.8048780487804894E-2</v>
      </c>
      <c r="BE117" s="2866"/>
      <c r="BF117" s="2866"/>
      <c r="BG117" s="2866"/>
      <c r="BH117" s="2866"/>
      <c r="BI117" s="2942"/>
      <c r="BJ117" s="2943"/>
      <c r="BK117" s="2943"/>
      <c r="BL117" s="2943"/>
      <c r="BM117" s="2943"/>
      <c r="BN117" s="2942"/>
      <c r="BO117" s="2943"/>
      <c r="BP117" s="2943"/>
      <c r="BQ117" s="2943"/>
      <c r="BR117" s="2943"/>
      <c r="BS117" s="2942"/>
      <c r="BT117" s="1519"/>
      <c r="BU117" s="1443"/>
      <c r="BV117" s="1443"/>
      <c r="BW117" s="1443"/>
      <c r="BX117" s="1443">
        <f>BX116/BW116-1</f>
        <v>0.24356775300171529</v>
      </c>
      <c r="BY117" s="1443">
        <f>BY116/BX116-1</f>
        <v>0.19255172413793109</v>
      </c>
      <c r="BZ117" s="1443">
        <f>BZ116/BY116-1</f>
        <v>-0.58848022206800832</v>
      </c>
      <c r="CA117" s="1443"/>
      <c r="CB117" s="1443"/>
      <c r="CC117" s="1001"/>
    </row>
    <row r="118" spans="1:81" outlineLevel="1">
      <c r="A118" s="1456" t="s">
        <v>952</v>
      </c>
      <c r="B118" s="1453"/>
      <c r="C118" s="1453"/>
      <c r="D118" s="1453"/>
      <c r="E118" s="1453"/>
      <c r="F118" s="1454"/>
      <c r="G118" s="1453"/>
      <c r="H118" s="1453"/>
      <c r="I118" s="1453"/>
      <c r="J118" s="1453"/>
      <c r="K118" s="1454"/>
      <c r="L118" s="1453"/>
      <c r="M118" s="1453"/>
      <c r="N118" s="1453"/>
      <c r="O118" s="1453"/>
      <c r="P118" s="1454"/>
      <c r="Q118" s="1453"/>
      <c r="R118" s="1453"/>
      <c r="S118" s="1453"/>
      <c r="T118" s="1453"/>
      <c r="U118" s="1454"/>
      <c r="V118" s="1453"/>
      <c r="W118" s="1453"/>
      <c r="X118" s="1453"/>
      <c r="Y118" s="1453"/>
      <c r="Z118" s="1454"/>
      <c r="AA118" s="1453"/>
      <c r="AB118" s="1453"/>
      <c r="AC118" s="1453"/>
      <c r="AD118" s="1453"/>
      <c r="AE118" s="1454"/>
      <c r="AF118" s="1446"/>
      <c r="AG118" s="1442"/>
      <c r="AH118" s="1442"/>
      <c r="AI118" s="1442"/>
      <c r="AJ118" s="1443"/>
      <c r="AK118" s="1442"/>
      <c r="AL118" s="1442">
        <f>IF(ISERROR(AL116/AK116-1),,(AL116/AK116-1))</f>
        <v>1.2324999999999999</v>
      </c>
      <c r="AM118" s="1442">
        <f>IF(ISERROR(AM116/AL116-1),,(AM116/AL116-1))</f>
        <v>-0.44680851063829785</v>
      </c>
      <c r="AN118" s="1442">
        <f>IF(ISERROR(AN116/AM116-1),,(AN116/AM116-1))</f>
        <v>-0.17206477732793524</v>
      </c>
      <c r="AO118" s="1443"/>
      <c r="AP118" s="1442">
        <f>IF(ISERROR(AP116/AN116-1),,(AP116/AN116-1))</f>
        <v>1.220048899755501</v>
      </c>
      <c r="AQ118" s="1442">
        <f>IF(ISERROR(AQ116/AP116-1),,(AQ116/AP116-1))</f>
        <v>0.21585903083700431</v>
      </c>
      <c r="AR118" s="1442">
        <f>IF(ISERROR(AR116/AQ116-1),,(AR116/AQ116-1))</f>
        <v>-0.35416666666666663</v>
      </c>
      <c r="AS118" s="1442">
        <f>IF(ISERROR(AS116/AR116-1),,(AS116/AR116-1))</f>
        <v>0.24544179523141652</v>
      </c>
      <c r="AT118" s="1443"/>
      <c r="AU118" s="1442">
        <f>IF(ISERROR(AU116/AS116-1),,(AU116/AS116-1))</f>
        <v>-0.2432432432432432</v>
      </c>
      <c r="AV118" s="1442">
        <f>IF(ISERROR(AV116/AU116-1),,(AV116/AU116-1))</f>
        <v>1.0119047619047619</v>
      </c>
      <c r="AW118" s="1442">
        <f>IF(ISERROR(AW116/AV116-1),,(AW116/AV116-1))</f>
        <v>-0.17825443786982254</v>
      </c>
      <c r="AX118" s="1442">
        <f>IF(ISERROR(AX116/AW116-1),,(AX116/AW116-1))</f>
        <v>-0.1314131413141314</v>
      </c>
      <c r="AY118" s="1443"/>
      <c r="AZ118" s="1442">
        <f>IF(ISERROR(AZ116/AX116-1),,(AZ116/AX116-1))</f>
        <v>-4.0414507772020714E-2</v>
      </c>
      <c r="BA118" s="1442">
        <f>IF(ISERROR(BA116/AZ116-1),,(BA116/AZ116-1))</f>
        <v>0.42656587473002161</v>
      </c>
      <c r="BB118" s="1442">
        <f>IF(ISERROR(BB116/BA116-1),,(BB116/BA116-1))</f>
        <v>-0.37093111279333835</v>
      </c>
      <c r="BC118" s="1442">
        <f>IF(ISERROR(BC116/BB116-1),,(BC116/BB116-1))</f>
        <v>0.1407942238267148</v>
      </c>
      <c r="BD118" s="1443"/>
      <c r="BE118" s="2866"/>
      <c r="BF118" s="2866"/>
      <c r="BG118" s="2866"/>
      <c r="BH118" s="2866"/>
      <c r="BI118" s="2942"/>
      <c r="BJ118" s="2943"/>
      <c r="BK118" s="2943"/>
      <c r="BL118" s="2943"/>
      <c r="BM118" s="2943"/>
      <c r="BN118" s="2942"/>
      <c r="BO118" s="2943"/>
      <c r="BP118" s="2943"/>
      <c r="BQ118" s="2943"/>
      <c r="BR118" s="2943"/>
      <c r="BS118" s="2942"/>
      <c r="BT118" s="1519"/>
      <c r="BU118" s="1443"/>
      <c r="BV118" s="1443"/>
      <c r="BW118" s="1443"/>
      <c r="BX118" s="1443"/>
      <c r="BY118" s="1443"/>
      <c r="BZ118" s="1443"/>
      <c r="CA118" s="1443"/>
      <c r="CB118" s="1443"/>
      <c r="CC118" s="1001"/>
    </row>
    <row r="119" spans="1:81" outlineLevel="1">
      <c r="A119" s="1175" t="s">
        <v>1124</v>
      </c>
      <c r="B119" s="1345"/>
      <c r="C119" s="1345"/>
      <c r="D119" s="1345"/>
      <c r="E119" s="1345"/>
      <c r="F119" s="1346"/>
      <c r="G119" s="1345"/>
      <c r="H119" s="1345"/>
      <c r="I119" s="1345"/>
      <c r="J119" s="1345"/>
      <c r="K119" s="1346"/>
      <c r="L119" s="1345"/>
      <c r="M119" s="1345"/>
      <c r="N119" s="1345"/>
      <c r="O119" s="1345"/>
      <c r="P119" s="1346"/>
      <c r="Q119" s="1345"/>
      <c r="R119" s="1345"/>
      <c r="S119" s="1345"/>
      <c r="T119" s="1345"/>
      <c r="U119" s="1346"/>
      <c r="V119" s="1345"/>
      <c r="W119" s="1345"/>
      <c r="X119" s="1345"/>
      <c r="Y119" s="1345"/>
      <c r="Z119" s="1346"/>
      <c r="AA119" s="1345"/>
      <c r="AB119" s="1345"/>
      <c r="AC119" s="1345"/>
      <c r="AD119" s="1345"/>
      <c r="AE119" s="1346"/>
      <c r="AF119" s="1347"/>
      <c r="AG119" s="1347"/>
      <c r="AH119" s="1347"/>
      <c r="AI119" s="1347"/>
      <c r="AJ119" s="1346"/>
      <c r="AK119" s="1002">
        <f>AK193</f>
        <v>1353.8861652747855</v>
      </c>
      <c r="AL119" s="1002">
        <f>AL193</f>
        <v>3994.9861652747854</v>
      </c>
      <c r="AM119" s="1002">
        <f>AM193</f>
        <v>2033.9620273437513</v>
      </c>
      <c r="AN119" s="1002">
        <f>AN193</f>
        <v>1403.4120273437511</v>
      </c>
      <c r="AO119" s="1010">
        <f>SUM(AK119:AN119)</f>
        <v>8786.2463852370747</v>
      </c>
      <c r="AP119" s="1002">
        <f>AP193</f>
        <v>1965.3585790678894</v>
      </c>
      <c r="AQ119" s="1002">
        <f>AQ193</f>
        <v>3599.1962068965518</v>
      </c>
      <c r="AR119" s="1002">
        <f>AR193</f>
        <v>1972.0245273437511</v>
      </c>
      <c r="AS119" s="1002">
        <f>AS193</f>
        <v>1972.1620273437511</v>
      </c>
      <c r="AT119" s="1010">
        <f>SUM(AP119:AS119)</f>
        <v>9508.7413406519445</v>
      </c>
      <c r="AU119" s="1002">
        <f>AU193</f>
        <v>1986.8869396551727</v>
      </c>
      <c r="AV119" s="1002">
        <f t="shared" ref="AV119:BC119" si="97">AV193</f>
        <v>3912.4287724137935</v>
      </c>
      <c r="AW119" s="1002">
        <f t="shared" si="97"/>
        <v>1815.1491386718756</v>
      </c>
      <c r="AX119" s="1002">
        <f t="shared" si="97"/>
        <v>1610.431006835938</v>
      </c>
      <c r="AY119" s="1010">
        <f>SUM(AU119:AX119)</f>
        <v>9324.8958575767792</v>
      </c>
      <c r="AZ119" s="1002">
        <f t="shared" si="97"/>
        <v>1896</v>
      </c>
      <c r="BA119" s="1002">
        <f t="shared" si="97"/>
        <v>3595</v>
      </c>
      <c r="BB119" s="1002">
        <f t="shared" si="97"/>
        <v>1928</v>
      </c>
      <c r="BC119" s="1002">
        <f t="shared" si="97"/>
        <v>1657</v>
      </c>
      <c r="BD119" s="1010">
        <f>SUM(AZ119:BC119)</f>
        <v>9076</v>
      </c>
      <c r="BE119" s="2878"/>
      <c r="BF119" s="2878"/>
      <c r="BG119" s="2878"/>
      <c r="BH119" s="2878"/>
      <c r="BI119" s="2958"/>
      <c r="BJ119" s="2959"/>
      <c r="BK119" s="2959"/>
      <c r="BL119" s="2959"/>
      <c r="BM119" s="2959"/>
      <c r="BN119" s="2958"/>
      <c r="BO119" s="2959"/>
      <c r="BP119" s="2959"/>
      <c r="BQ119" s="2959"/>
      <c r="BR119" s="2959"/>
      <c r="BS119" s="2958"/>
      <c r="BT119" s="1519"/>
      <c r="BU119" s="1010"/>
      <c r="BV119" s="1010"/>
      <c r="BW119" s="1010">
        <f>SUM(AM119:AN119,AP119:AQ119)</f>
        <v>9001.9288406519427</v>
      </c>
      <c r="BX119" s="1010">
        <f>SUM(AR119:AS119,AU119:AV119)</f>
        <v>9843.5022667564681</v>
      </c>
      <c r="BY119" s="1010">
        <f>SUM(AW119:AX119,AZ119:BA119)</f>
        <v>8916.5801455078144</v>
      </c>
      <c r="BZ119" s="1010">
        <f>SUM(BB119:BC119,BE119:BF119)</f>
        <v>3585</v>
      </c>
      <c r="CA119" s="1010"/>
      <c r="CB119" s="1010"/>
      <c r="CC119" s="1001"/>
    </row>
    <row r="120" spans="1:81" outlineLevel="1">
      <c r="A120" s="1456" t="s">
        <v>926</v>
      </c>
      <c r="B120" s="1453"/>
      <c r="C120" s="1453"/>
      <c r="D120" s="1453"/>
      <c r="E120" s="1453"/>
      <c r="F120" s="1454"/>
      <c r="G120" s="1453"/>
      <c r="H120" s="1453"/>
      <c r="I120" s="1453"/>
      <c r="J120" s="1453"/>
      <c r="K120" s="1454"/>
      <c r="L120" s="1453"/>
      <c r="M120" s="1453"/>
      <c r="N120" s="1453"/>
      <c r="O120" s="1453"/>
      <c r="P120" s="1454"/>
      <c r="Q120" s="1453"/>
      <c r="R120" s="1453"/>
      <c r="S120" s="1453"/>
      <c r="T120" s="1453"/>
      <c r="U120" s="1454"/>
      <c r="V120" s="1453"/>
      <c r="W120" s="1453"/>
      <c r="X120" s="1453"/>
      <c r="Y120" s="1453"/>
      <c r="Z120" s="1454"/>
      <c r="AA120" s="1453"/>
      <c r="AB120" s="1453"/>
      <c r="AC120" s="1453"/>
      <c r="AD120" s="1453"/>
      <c r="AE120" s="1454"/>
      <c r="AF120" s="1446"/>
      <c r="AG120" s="1453"/>
      <c r="AH120" s="1453"/>
      <c r="AI120" s="1453"/>
      <c r="AJ120" s="1443"/>
      <c r="AK120" s="1442"/>
      <c r="AL120" s="1442"/>
      <c r="AM120" s="1442"/>
      <c r="AN120" s="1442"/>
      <c r="AO120" s="1443"/>
      <c r="AP120" s="1442">
        <f t="shared" ref="AP120:BD120" si="98">IF(ISERROR(AP119/AK119-1),,(AP119/AK119-1))</f>
        <v>0.45164241239513592</v>
      </c>
      <c r="AQ120" s="1442">
        <f t="shared" si="98"/>
        <v>-9.9071671841699627E-2</v>
      </c>
      <c r="AR120" s="1442">
        <f t="shared" si="98"/>
        <v>-3.0451650113098361E-2</v>
      </c>
      <c r="AS120" s="1442">
        <f t="shared" si="98"/>
        <v>0.40526230994077883</v>
      </c>
      <c r="AT120" s="1443">
        <f t="shared" si="98"/>
        <v>8.2230217972128372E-2</v>
      </c>
      <c r="AU120" s="1442">
        <f t="shared" si="98"/>
        <v>1.0953909793648631E-2</v>
      </c>
      <c r="AV120" s="1442">
        <f t="shared" si="98"/>
        <v>8.7028477335313159E-2</v>
      </c>
      <c r="AW120" s="1442">
        <f t="shared" si="98"/>
        <v>-7.9550424701452016E-2</v>
      </c>
      <c r="AX120" s="1442">
        <f t="shared" si="98"/>
        <v>-0.18341850998673692</v>
      </c>
      <c r="AY120" s="1443">
        <f t="shared" si="98"/>
        <v>-1.9334365768178596E-2</v>
      </c>
      <c r="AZ120" s="1442">
        <f t="shared" si="98"/>
        <v>-4.5743387729422769E-2</v>
      </c>
      <c r="BA120" s="1442">
        <f t="shared" si="98"/>
        <v>-8.1133431655537658E-2</v>
      </c>
      <c r="BB120" s="1442">
        <f t="shared" si="98"/>
        <v>6.2171674450230752E-2</v>
      </c>
      <c r="BC120" s="1442">
        <f t="shared" si="98"/>
        <v>2.8917099190456819E-2</v>
      </c>
      <c r="BD120" s="1443">
        <f t="shared" si="98"/>
        <v>-2.6691542873858887E-2</v>
      </c>
      <c r="BE120" s="2866"/>
      <c r="BF120" s="2866"/>
      <c r="BG120" s="2866"/>
      <c r="BH120" s="2866"/>
      <c r="BI120" s="2942"/>
      <c r="BJ120" s="2943"/>
      <c r="BK120" s="2943"/>
      <c r="BL120" s="2943"/>
      <c r="BM120" s="2943"/>
      <c r="BN120" s="2942"/>
      <c r="BO120" s="2943"/>
      <c r="BP120" s="2943"/>
      <c r="BQ120" s="2943"/>
      <c r="BR120" s="2943"/>
      <c r="BS120" s="2942"/>
      <c r="BT120" s="1519"/>
      <c r="BU120" s="1443"/>
      <c r="BV120" s="1443"/>
      <c r="BW120" s="1443"/>
      <c r="BX120" s="1443">
        <f>BX119/BW119-1</f>
        <v>9.3488122490376968E-2</v>
      </c>
      <c r="BY120" s="1443">
        <f>BY119/BX119-1</f>
        <v>-9.4165886909891805E-2</v>
      </c>
      <c r="BZ120" s="1443">
        <f>BZ119/BY119-1</f>
        <v>-0.59794002392204959</v>
      </c>
      <c r="CA120" s="1443"/>
      <c r="CB120" s="1443"/>
      <c r="CC120" s="1001"/>
    </row>
    <row r="121" spans="1:81" outlineLevel="1">
      <c r="A121" s="1456" t="s">
        <v>952</v>
      </c>
      <c r="B121" s="1453"/>
      <c r="C121" s="1453"/>
      <c r="D121" s="1453"/>
      <c r="E121" s="1453"/>
      <c r="F121" s="1454"/>
      <c r="G121" s="1453"/>
      <c r="H121" s="1453"/>
      <c r="I121" s="1453"/>
      <c r="J121" s="1453"/>
      <c r="K121" s="1454"/>
      <c r="L121" s="1453"/>
      <c r="M121" s="1453"/>
      <c r="N121" s="1453"/>
      <c r="O121" s="1453"/>
      <c r="P121" s="1454"/>
      <c r="Q121" s="1453"/>
      <c r="R121" s="1453"/>
      <c r="S121" s="1453"/>
      <c r="T121" s="1453"/>
      <c r="U121" s="1454"/>
      <c r="V121" s="1453"/>
      <c r="W121" s="1453"/>
      <c r="X121" s="1453"/>
      <c r="Y121" s="1453"/>
      <c r="Z121" s="1454"/>
      <c r="AA121" s="1453"/>
      <c r="AB121" s="1453"/>
      <c r="AC121" s="1453"/>
      <c r="AD121" s="1453"/>
      <c r="AE121" s="1454"/>
      <c r="AF121" s="1446"/>
      <c r="AG121" s="1442"/>
      <c r="AH121" s="1442"/>
      <c r="AI121" s="1442"/>
      <c r="AJ121" s="1443"/>
      <c r="AK121" s="1442"/>
      <c r="AL121" s="1442">
        <f>IF(ISERROR(AL119/AK119-1),,(AL119/AK119-1))</f>
        <v>1.950754847593823</v>
      </c>
      <c r="AM121" s="1442">
        <f>IF(ISERROR(AM119/AL119-1),,(AM119/AL119-1))</f>
        <v>-0.49087132140197287</v>
      </c>
      <c r="AN121" s="1442">
        <f>IF(ISERROR(AN119/AM119-1),,(AN119/AM119-1))</f>
        <v>-0.31001070399699926</v>
      </c>
      <c r="AO121" s="1443"/>
      <c r="AP121" s="1442">
        <f>IF(ISERROR(AP119/AN119-1),,(AP119/AN119-1))</f>
        <v>0.40041451888348067</v>
      </c>
      <c r="AQ121" s="1442">
        <f>IF(ISERROR(AQ119/AP119-1),,(AQ119/AP119-1))</f>
        <v>0.83131782934162701</v>
      </c>
      <c r="AR121" s="1442">
        <f>IF(ISERROR(AR119/AQ119-1),,(AR119/AQ119-1))</f>
        <v>-0.45209307468009596</v>
      </c>
      <c r="AS121" s="1442">
        <f>IF(ISERROR(AS119/AR119-1),,(AS119/AR119-1))</f>
        <v>6.9725299099321347E-5</v>
      </c>
      <c r="AT121" s="1443"/>
      <c r="AU121" s="1442">
        <f>IF(ISERROR(AU119/AS119-1),,(AU119/AS119-1))</f>
        <v>7.4663806052761572E-3</v>
      </c>
      <c r="AV121" s="1442">
        <f>IF(ISERROR(AV119/AU119-1),,(AV119/AU119-1))</f>
        <v>0.96912501377295346</v>
      </c>
      <c r="AW121" s="1442">
        <f>IF(ISERROR(AW119/AV119-1),,(AW119/AV119-1))</f>
        <v>-0.53605567174274471</v>
      </c>
      <c r="AX121" s="1442">
        <f>IF(ISERROR(AX119/AW119-1),,(AX119/AW119-1))</f>
        <v>-0.11278309174403578</v>
      </c>
      <c r="AY121" s="1443"/>
      <c r="AZ121" s="1442">
        <f>IF(ISERROR(AZ119/AX119-1),,(AZ119/AX119-1))</f>
        <v>0.1773245745715788</v>
      </c>
      <c r="BA121" s="1442">
        <f>IF(ISERROR(BA119/AZ119-1),,(BA119/AZ119-1))</f>
        <v>0.89609704641350207</v>
      </c>
      <c r="BB121" s="1442">
        <f>IF(ISERROR(BB119/BA119-1),,(BB119/BA119-1))</f>
        <v>-0.46369958275382472</v>
      </c>
      <c r="BC121" s="1442">
        <f>IF(ISERROR(BC119/BB119-1),,(BC119/BB119-1))</f>
        <v>-0.14056016597510368</v>
      </c>
      <c r="BD121" s="1443"/>
      <c r="BE121" s="2866"/>
      <c r="BF121" s="2866"/>
      <c r="BG121" s="2866"/>
      <c r="BH121" s="2866"/>
      <c r="BI121" s="2942"/>
      <c r="BJ121" s="2943"/>
      <c r="BK121" s="2943"/>
      <c r="BL121" s="2943"/>
      <c r="BM121" s="2943"/>
      <c r="BN121" s="2942"/>
      <c r="BO121" s="2943"/>
      <c r="BP121" s="2943"/>
      <c r="BQ121" s="2943"/>
      <c r="BR121" s="2943"/>
      <c r="BS121" s="2942"/>
      <c r="BT121" s="1519"/>
      <c r="BU121" s="1443"/>
      <c r="BV121" s="1443"/>
      <c r="BW121" s="1443"/>
      <c r="BX121" s="1443"/>
      <c r="BY121" s="1443"/>
      <c r="BZ121" s="1443"/>
      <c r="CA121" s="1443"/>
      <c r="CB121" s="1443"/>
      <c r="CC121" s="1001"/>
    </row>
    <row r="122" spans="1:81" outlineLevel="1">
      <c r="A122" s="1175" t="s">
        <v>996</v>
      </c>
      <c r="B122" s="1345"/>
      <c r="C122" s="1345"/>
      <c r="D122" s="1345"/>
      <c r="E122" s="1345"/>
      <c r="F122" s="1346"/>
      <c r="G122" s="1345"/>
      <c r="H122" s="1345"/>
      <c r="I122" s="1345"/>
      <c r="J122" s="1345"/>
      <c r="K122" s="1346"/>
      <c r="L122" s="1345"/>
      <c r="M122" s="1345"/>
      <c r="N122" s="1345"/>
      <c r="O122" s="1345"/>
      <c r="P122" s="1346"/>
      <c r="Q122" s="1345"/>
      <c r="R122" s="1345"/>
      <c r="S122" s="1345"/>
      <c r="T122" s="1345"/>
      <c r="U122" s="1346"/>
      <c r="V122" s="1345"/>
      <c r="W122" s="1345"/>
      <c r="X122" s="1345"/>
      <c r="Y122" s="1345"/>
      <c r="Z122" s="1346"/>
      <c r="AA122" s="1345"/>
      <c r="AB122" s="1345"/>
      <c r="AC122" s="1345"/>
      <c r="AD122" s="1345"/>
      <c r="AE122" s="1346"/>
      <c r="AF122" s="1347"/>
      <c r="AG122" s="1347"/>
      <c r="AH122" s="1347"/>
      <c r="AI122" s="1347"/>
      <c r="AJ122" s="1346"/>
      <c r="AK122" s="1002">
        <f>AK225</f>
        <v>0</v>
      </c>
      <c r="AL122" s="1002">
        <f>AL225</f>
        <v>0</v>
      </c>
      <c r="AM122" s="1002">
        <f>AM225</f>
        <v>0</v>
      </c>
      <c r="AN122" s="1002">
        <f>AN225</f>
        <v>1985.3333333333333</v>
      </c>
      <c r="AO122" s="1010">
        <f>SUM(AK122:AN122)</f>
        <v>1985.3333333333333</v>
      </c>
      <c r="AP122" s="1002">
        <f>AP225</f>
        <v>2609</v>
      </c>
      <c r="AQ122" s="1002">
        <f>AQ225</f>
        <v>2284</v>
      </c>
      <c r="AR122" s="1002">
        <f>AR225</f>
        <v>1397</v>
      </c>
      <c r="AS122" s="1002">
        <f>AS225</f>
        <v>1234</v>
      </c>
      <c r="AT122" s="1010">
        <f>SUM(AP122:AS122)</f>
        <v>7524</v>
      </c>
      <c r="AU122" s="1002">
        <f>AU225</f>
        <v>922.02060000000006</v>
      </c>
      <c r="AV122" s="1002">
        <f>AV225</f>
        <v>942.15000000000009</v>
      </c>
      <c r="AW122" s="1002">
        <f>AW225</f>
        <v>780.923</v>
      </c>
      <c r="AX122" s="1002">
        <f>AX225</f>
        <v>353.64</v>
      </c>
      <c r="AY122" s="1010">
        <f>SUM(AU122:AX122)</f>
        <v>2998.7336</v>
      </c>
      <c r="AZ122" s="1002">
        <f>AZ225</f>
        <v>261.89999999999998</v>
      </c>
      <c r="BA122" s="1002">
        <f>BA225</f>
        <v>179.77500000000001</v>
      </c>
      <c r="BB122" s="1002">
        <f>BB225</f>
        <v>31.04999999999999</v>
      </c>
      <c r="BC122" s="1002">
        <f>BC225</f>
        <v>16.2</v>
      </c>
      <c r="BD122" s="1010">
        <f>SUM(AZ122:BC122)</f>
        <v>488.92499999999995</v>
      </c>
      <c r="BE122" s="2878"/>
      <c r="BF122" s="2878"/>
      <c r="BG122" s="2878"/>
      <c r="BH122" s="2878"/>
      <c r="BI122" s="2958"/>
      <c r="BJ122" s="2959"/>
      <c r="BK122" s="2959"/>
      <c r="BL122" s="2959"/>
      <c r="BM122" s="2959"/>
      <c r="BN122" s="2958"/>
      <c r="BO122" s="2959"/>
      <c r="BP122" s="2959"/>
      <c r="BQ122" s="2959"/>
      <c r="BR122" s="2959"/>
      <c r="BS122" s="2958"/>
      <c r="BT122" s="1519"/>
      <c r="BU122" s="1010"/>
      <c r="BV122" s="1010"/>
      <c r="BW122" s="1010">
        <f>SUM(AM122:AN122,AP122:AQ122)</f>
        <v>6878.333333333333</v>
      </c>
      <c r="BX122" s="1010">
        <f>SUM(AR122:AS122,AU122:AV122)</f>
        <v>4495.1705999999995</v>
      </c>
      <c r="BY122" s="1010">
        <f>SUM(AW122:AX122,AZ122:BA122)</f>
        <v>1576.2380000000003</v>
      </c>
      <c r="BZ122" s="1010">
        <f>SUM(BB122:BC122,BE122:BF122)</f>
        <v>47.249999999999986</v>
      </c>
      <c r="CA122" s="1010"/>
      <c r="CB122" s="1010"/>
      <c r="CC122" s="1001"/>
    </row>
    <row r="123" spans="1:81" outlineLevel="1">
      <c r="A123" s="1456" t="s">
        <v>926</v>
      </c>
      <c r="B123" s="1453"/>
      <c r="C123" s="1453"/>
      <c r="D123" s="1453"/>
      <c r="E123" s="1453"/>
      <c r="F123" s="1454"/>
      <c r="G123" s="1453"/>
      <c r="H123" s="1453"/>
      <c r="I123" s="1453"/>
      <c r="J123" s="1453"/>
      <c r="K123" s="1454"/>
      <c r="L123" s="1453"/>
      <c r="M123" s="1453"/>
      <c r="N123" s="1453"/>
      <c r="O123" s="1453"/>
      <c r="P123" s="1454"/>
      <c r="Q123" s="1453"/>
      <c r="R123" s="1453"/>
      <c r="S123" s="1453"/>
      <c r="T123" s="1453"/>
      <c r="U123" s="1454"/>
      <c r="V123" s="1453"/>
      <c r="W123" s="1453"/>
      <c r="X123" s="1453"/>
      <c r="Y123" s="1453"/>
      <c r="Z123" s="1454"/>
      <c r="AA123" s="1453"/>
      <c r="AB123" s="1453"/>
      <c r="AC123" s="1453"/>
      <c r="AD123" s="1453"/>
      <c r="AE123" s="1454"/>
      <c r="AF123" s="1446"/>
      <c r="AG123" s="1453"/>
      <c r="AH123" s="1453"/>
      <c r="AI123" s="1453"/>
      <c r="AJ123" s="1443"/>
      <c r="AK123" s="1442"/>
      <c r="AL123" s="1442"/>
      <c r="AM123" s="1442"/>
      <c r="AN123" s="1442"/>
      <c r="AO123" s="1443"/>
      <c r="AP123" s="1442">
        <f t="shared" ref="AP123:BD123" si="99">IF(ISERROR(AP122/AK122-1),,(AP122/AK122-1))</f>
        <v>0</v>
      </c>
      <c r="AQ123" s="1442">
        <f t="shared" si="99"/>
        <v>0</v>
      </c>
      <c r="AR123" s="1442">
        <f t="shared" si="99"/>
        <v>0</v>
      </c>
      <c r="AS123" s="1442">
        <f t="shared" si="99"/>
        <v>-0.37844190732034921</v>
      </c>
      <c r="AT123" s="1443">
        <f t="shared" si="99"/>
        <v>2.7897918065815985</v>
      </c>
      <c r="AU123" s="1442">
        <f t="shared" si="99"/>
        <v>-0.64659999999999995</v>
      </c>
      <c r="AV123" s="1442">
        <f t="shared" si="99"/>
        <v>-0.58749999999999991</v>
      </c>
      <c r="AW123" s="1442">
        <f t="shared" si="99"/>
        <v>-0.44099999999999995</v>
      </c>
      <c r="AX123" s="1442">
        <f t="shared" si="99"/>
        <v>-0.71341977309562399</v>
      </c>
      <c r="AY123" s="1443">
        <f t="shared" si="99"/>
        <v>-0.60144423179160023</v>
      </c>
      <c r="AZ123" s="1442">
        <f t="shared" si="99"/>
        <v>-0.71594994732221817</v>
      </c>
      <c r="BA123" s="1442">
        <f t="shared" si="99"/>
        <v>-0.8091864352810062</v>
      </c>
      <c r="BB123" s="1442">
        <f t="shared" si="99"/>
        <v>-0.96023935778559477</v>
      </c>
      <c r="BC123" s="1442">
        <f t="shared" si="99"/>
        <v>-0.95419070240922976</v>
      </c>
      <c r="BD123" s="1443">
        <f t="shared" si="99"/>
        <v>-0.8369561737661525</v>
      </c>
      <c r="BE123" s="2866"/>
      <c r="BF123" s="2866"/>
      <c r="BG123" s="2866"/>
      <c r="BH123" s="2866"/>
      <c r="BI123" s="2942"/>
      <c r="BJ123" s="2943"/>
      <c r="BK123" s="2943"/>
      <c r="BL123" s="2943"/>
      <c r="BM123" s="2943"/>
      <c r="BN123" s="2942"/>
      <c r="BO123" s="2943"/>
      <c r="BP123" s="2943"/>
      <c r="BQ123" s="2943"/>
      <c r="BR123" s="2943"/>
      <c r="BS123" s="2942"/>
      <c r="BT123" s="1519"/>
      <c r="BU123" s="1443"/>
      <c r="BV123" s="1443"/>
      <c r="BW123" s="1443"/>
      <c r="BX123" s="1443">
        <f>BX122/BW122-1</f>
        <v>-0.34647386479282782</v>
      </c>
      <c r="BY123" s="1443">
        <f>BY122/BX122-1</f>
        <v>-0.64934856977397026</v>
      </c>
      <c r="BZ123" s="1443">
        <f>BZ122/BY122-1</f>
        <v>-0.97002356243156174</v>
      </c>
      <c r="CA123" s="1443"/>
      <c r="CB123" s="1443"/>
      <c r="CC123" s="1001"/>
    </row>
    <row r="124" spans="1:81" outlineLevel="1">
      <c r="A124" s="1456" t="s">
        <v>952</v>
      </c>
      <c r="B124" s="1453"/>
      <c r="C124" s="1453"/>
      <c r="D124" s="1453"/>
      <c r="E124" s="1453"/>
      <c r="F124" s="1454"/>
      <c r="G124" s="1453"/>
      <c r="H124" s="1453"/>
      <c r="I124" s="1453"/>
      <c r="J124" s="1453"/>
      <c r="K124" s="1454"/>
      <c r="L124" s="1453"/>
      <c r="M124" s="1453"/>
      <c r="N124" s="1453"/>
      <c r="O124" s="1453"/>
      <c r="P124" s="1454"/>
      <c r="Q124" s="1453"/>
      <c r="R124" s="1453"/>
      <c r="S124" s="1453"/>
      <c r="T124" s="1453"/>
      <c r="U124" s="1454"/>
      <c r="V124" s="1453"/>
      <c r="W124" s="1453"/>
      <c r="X124" s="1453"/>
      <c r="Y124" s="1453"/>
      <c r="Z124" s="1454"/>
      <c r="AA124" s="1453"/>
      <c r="AB124" s="1453"/>
      <c r="AC124" s="1453"/>
      <c r="AD124" s="1453"/>
      <c r="AE124" s="1454"/>
      <c r="AF124" s="1446"/>
      <c r="AG124" s="1442"/>
      <c r="AH124" s="1442"/>
      <c r="AI124" s="1442"/>
      <c r="AJ124" s="1443"/>
      <c r="AK124" s="1442"/>
      <c r="AL124" s="1442">
        <f>IF(ISERROR(AL122/AK122-1),,(AL122/AK122-1))</f>
        <v>0</v>
      </c>
      <c r="AM124" s="1442">
        <f>IF(ISERROR(AM122/AL122-1),,(AM122/AL122-1))</f>
        <v>0</v>
      </c>
      <c r="AN124" s="1442">
        <f>IF(ISERROR(AN122/AM122-1),,(AN122/AM122-1))</f>
        <v>0</v>
      </c>
      <c r="AO124" s="1443"/>
      <c r="AP124" s="1442">
        <f>IF(ISERROR(AP122/AN122-1),,(AP122/AN122-1))</f>
        <v>0.31413700470114181</v>
      </c>
      <c r="AQ124" s="1442">
        <f>IF(ISERROR(AQ122/AP122-1),,(AQ122/AP122-1))</f>
        <v>-0.12456880030663087</v>
      </c>
      <c r="AR124" s="1442">
        <f>IF(ISERROR(AR122/AQ122-1),,(AR122/AQ122-1))</f>
        <v>-0.38835376532399302</v>
      </c>
      <c r="AS124" s="1442">
        <f>IF(ISERROR(AS122/AR122-1),,(AS122/AR122-1))</f>
        <v>-0.11667859699355765</v>
      </c>
      <c r="AT124" s="1443"/>
      <c r="AU124" s="1442">
        <f>IF(ISERROR(AU122/AS122-1),,(AU122/AS122-1))</f>
        <v>-0.25281961102106965</v>
      </c>
      <c r="AV124" s="1442">
        <f>IF(ISERROR(AV122/AU122-1),,(AV122/AU122-1))</f>
        <v>2.1831833258389333E-2</v>
      </c>
      <c r="AW124" s="1442">
        <f>IF(ISERROR(AW122/AV122-1),,(AW122/AV122-1))</f>
        <v>-0.17112667834208994</v>
      </c>
      <c r="AX124" s="1442">
        <f>IF(ISERROR(AX122/AW122-1),,(AX122/AW122-1))</f>
        <v>-0.54715125562955635</v>
      </c>
      <c r="AY124" s="1443"/>
      <c r="AZ124" s="1442">
        <f>IF(ISERROR(AZ122/AX122-1),,(AZ122/AX122-1))</f>
        <v>-0.25941635561588061</v>
      </c>
      <c r="BA124" s="1442">
        <f>IF(ISERROR(BA122/AZ122-1),,(BA122/AZ122-1))</f>
        <v>-0.31357388316151191</v>
      </c>
      <c r="BB124" s="1442">
        <f>IF(ISERROR(BB122/BA122-1),,(BB122/BA122-1))</f>
        <v>-0.82728410513141437</v>
      </c>
      <c r="BC124" s="1442">
        <f>IF(ISERROR(BC122/BB122-1),,(BC122/BB122-1))</f>
        <v>-0.47826086956521729</v>
      </c>
      <c r="BD124" s="1443"/>
      <c r="BE124" s="2866"/>
      <c r="BF124" s="2866"/>
      <c r="BG124" s="2866"/>
      <c r="BH124" s="2866"/>
      <c r="BI124" s="2942"/>
      <c r="BJ124" s="2943"/>
      <c r="BK124" s="2943"/>
      <c r="BL124" s="2943"/>
      <c r="BM124" s="2943"/>
      <c r="BN124" s="2942"/>
      <c r="BO124" s="2943"/>
      <c r="BP124" s="2943"/>
      <c r="BQ124" s="2943"/>
      <c r="BR124" s="2943"/>
      <c r="BS124" s="2942"/>
      <c r="BT124" s="1519"/>
      <c r="BU124" s="1443"/>
      <c r="BV124" s="1443"/>
      <c r="BW124" s="1443"/>
      <c r="BX124" s="1443"/>
      <c r="BY124" s="1443"/>
      <c r="BZ124" s="1443"/>
      <c r="CA124" s="1443"/>
      <c r="CB124" s="1443"/>
      <c r="CC124" s="1001"/>
    </row>
    <row r="125" spans="1:81" outlineLevel="1">
      <c r="A125" s="986" t="s">
        <v>1068</v>
      </c>
      <c r="B125" s="1345"/>
      <c r="C125" s="1345"/>
      <c r="D125" s="1345"/>
      <c r="E125" s="1345"/>
      <c r="F125" s="1346"/>
      <c r="G125" s="1345"/>
      <c r="H125" s="1345"/>
      <c r="I125" s="1345"/>
      <c r="J125" s="1345"/>
      <c r="K125" s="1346"/>
      <c r="L125" s="1345"/>
      <c r="M125" s="1345"/>
      <c r="N125" s="1345"/>
      <c r="O125" s="1345"/>
      <c r="P125" s="1346"/>
      <c r="Q125" s="1345"/>
      <c r="R125" s="1345"/>
      <c r="S125" s="1345"/>
      <c r="T125" s="1345"/>
      <c r="U125" s="1346"/>
      <c r="V125" s="1345"/>
      <c r="W125" s="1345"/>
      <c r="X125" s="1345"/>
      <c r="Y125" s="1345"/>
      <c r="Z125" s="1346"/>
      <c r="AA125" s="1345"/>
      <c r="AB125" s="1345"/>
      <c r="AC125" s="1345"/>
      <c r="AD125" s="1345"/>
      <c r="AE125" s="1346"/>
      <c r="AF125" s="1347"/>
      <c r="AG125" s="1347"/>
      <c r="AH125" s="1347"/>
      <c r="AI125" s="1347"/>
      <c r="AJ125" s="1346"/>
      <c r="AK125" s="1002">
        <v>872</v>
      </c>
      <c r="AL125" s="1002">
        <v>924.6160000000001</v>
      </c>
      <c r="AM125" s="1002">
        <v>965.11999999999989</v>
      </c>
      <c r="AN125" s="1002">
        <v>964.8</v>
      </c>
      <c r="AO125" s="1010">
        <f>SUM(AK125:AN125)</f>
        <v>3726.5360000000001</v>
      </c>
      <c r="AP125" s="1002">
        <f>AK125*1.135</f>
        <v>989.72</v>
      </c>
      <c r="AQ125" s="1002">
        <f>AL125*1.105</f>
        <v>1021.7006800000001</v>
      </c>
      <c r="AR125" s="1002">
        <f>AM125*1.075</f>
        <v>1037.5039999999999</v>
      </c>
      <c r="AS125" s="1002">
        <f>AN125*1.05</f>
        <v>1013.04</v>
      </c>
      <c r="AT125" s="1010">
        <f>SUM(AP125:AS125)</f>
        <v>4061.96468</v>
      </c>
      <c r="AU125" s="1002">
        <f>AP125*(1+AU126)</f>
        <v>1187.664</v>
      </c>
      <c r="AV125" s="1002">
        <f>AQ125*(1+AV126)</f>
        <v>1195.3897956000001</v>
      </c>
      <c r="AW125" s="1002">
        <f>AR125*(1+AW126)</f>
        <v>1203.5046399999999</v>
      </c>
      <c r="AX125" s="1002">
        <f>AS125*(1+AX126)</f>
        <v>1175.1263999999999</v>
      </c>
      <c r="AY125" s="1000">
        <f>SUM(AU125:AX125)</f>
        <v>4761.6848356</v>
      </c>
      <c r="AZ125" s="1002">
        <f>AU125*(1+AZ126)</f>
        <v>1299.3044160000002</v>
      </c>
      <c r="BA125" s="1002">
        <f>AV125*(1+BA126)</f>
        <v>1319.7103343424003</v>
      </c>
      <c r="BB125" s="1002">
        <f>AW125*(1+BB126)</f>
        <v>1304.5990297599999</v>
      </c>
      <c r="BC125" s="1002">
        <f>AX125*(1+BC126)</f>
        <v>1292.63904</v>
      </c>
      <c r="BD125" s="1000">
        <f>SUM(AZ125:BC125)</f>
        <v>5216.2528201024006</v>
      </c>
      <c r="BE125" s="2878"/>
      <c r="BF125" s="2878"/>
      <c r="BG125" s="2878"/>
      <c r="BH125" s="2878"/>
      <c r="BI125" s="2924"/>
      <c r="BJ125" s="2959"/>
      <c r="BK125" s="2959"/>
      <c r="BL125" s="2959"/>
      <c r="BM125" s="2959"/>
      <c r="BN125" s="2924"/>
      <c r="BO125" s="2959"/>
      <c r="BP125" s="2959"/>
      <c r="BQ125" s="2959"/>
      <c r="BR125" s="2959"/>
      <c r="BS125" s="2924"/>
      <c r="BT125" s="1519"/>
      <c r="BU125" s="1000"/>
      <c r="BV125" s="1000"/>
      <c r="BW125" s="1000">
        <f>SUM(AM125:AN125,AP125:AQ125)</f>
        <v>3941.3406800000002</v>
      </c>
      <c r="BX125" s="1000">
        <f>SUM(AR125:AS125,AU125:AV125)</f>
        <v>4433.5977955999997</v>
      </c>
      <c r="BY125" s="1000">
        <f>SUM(AW125:AX125,AZ125:BA125)</f>
        <v>4997.6457903424007</v>
      </c>
      <c r="BZ125" s="1000">
        <f>SUM(BB125:BC125,BE125:BF125)</f>
        <v>2597.2380697600001</v>
      </c>
      <c r="CA125" s="1000"/>
      <c r="CB125" s="1000"/>
      <c r="CC125" s="1001"/>
    </row>
    <row r="126" spans="1:81" outlineLevel="1">
      <c r="A126" s="1456" t="s">
        <v>926</v>
      </c>
      <c r="B126" s="1453"/>
      <c r="C126" s="1453"/>
      <c r="D126" s="1453"/>
      <c r="E126" s="1453"/>
      <c r="F126" s="1454"/>
      <c r="G126" s="1453"/>
      <c r="H126" s="1453"/>
      <c r="I126" s="1453"/>
      <c r="J126" s="1453"/>
      <c r="K126" s="1454"/>
      <c r="L126" s="1453"/>
      <c r="M126" s="1453"/>
      <c r="N126" s="1453"/>
      <c r="O126" s="1453"/>
      <c r="P126" s="1454"/>
      <c r="Q126" s="1453"/>
      <c r="R126" s="1453"/>
      <c r="S126" s="1453"/>
      <c r="T126" s="1453"/>
      <c r="U126" s="1454"/>
      <c r="V126" s="1453"/>
      <c r="W126" s="1453"/>
      <c r="X126" s="1453"/>
      <c r="Y126" s="1453"/>
      <c r="Z126" s="1454"/>
      <c r="AA126" s="1453"/>
      <c r="AB126" s="1453"/>
      <c r="AC126" s="1453"/>
      <c r="AD126" s="1453"/>
      <c r="AE126" s="1454"/>
      <c r="AF126" s="1446"/>
      <c r="AG126" s="1453"/>
      <c r="AH126" s="1453"/>
      <c r="AI126" s="1453"/>
      <c r="AJ126" s="1443"/>
      <c r="AK126" s="1442"/>
      <c r="AL126" s="1442"/>
      <c r="AM126" s="1442"/>
      <c r="AN126" s="1442"/>
      <c r="AO126" s="1443"/>
      <c r="AP126" s="1442">
        <f>IF(ISERROR(AP125/AK125-1),,(AP125/AK125-1))</f>
        <v>0.13500000000000001</v>
      </c>
      <c r="AQ126" s="1442">
        <f>IF(ISERROR(AQ125/AL125-1),,(AQ125/AL125-1))</f>
        <v>0.10499999999999998</v>
      </c>
      <c r="AR126" s="1442">
        <f>IF(ISERROR(AR125/AM125-1),,(AR125/AM125-1))</f>
        <v>7.4999999999999956E-2</v>
      </c>
      <c r="AS126" s="1442">
        <f>IF(ISERROR(AS125/AN125-1),,(AS125/AN125-1))</f>
        <v>5.0000000000000044E-2</v>
      </c>
      <c r="AT126" s="1443">
        <f>IF(ISERROR(AT125/AO125-1),,(AT125/AO125-1))</f>
        <v>9.00108519010685E-2</v>
      </c>
      <c r="AU126" s="1442">
        <v>0.2</v>
      </c>
      <c r="AV126" s="1442">
        <v>0.17</v>
      </c>
      <c r="AW126" s="1442">
        <v>0.16</v>
      </c>
      <c r="AX126" s="1442">
        <v>0.16</v>
      </c>
      <c r="AY126" s="1443">
        <f>IF(ISERROR(AY125/AT125-1),,(AY125/AT125-1))</f>
        <v>0.17226150661654693</v>
      </c>
      <c r="AZ126" s="1442">
        <v>9.4E-2</v>
      </c>
      <c r="BA126" s="1442">
        <v>0.104</v>
      </c>
      <c r="BB126" s="1455">
        <v>8.4000000000000005E-2</v>
      </c>
      <c r="BC126" s="1455">
        <v>0.1</v>
      </c>
      <c r="BD126" s="1443">
        <f>IF(ISERROR(BD125/AY125-1),,(BD125/AY125-1))</f>
        <v>9.546368569038699E-2</v>
      </c>
      <c r="BE126" s="2870"/>
      <c r="BF126" s="2870"/>
      <c r="BG126" s="2870"/>
      <c r="BH126" s="2870"/>
      <c r="BI126" s="2942"/>
      <c r="BJ126" s="2947"/>
      <c r="BK126" s="2947"/>
      <c r="BL126" s="2947"/>
      <c r="BM126" s="2947"/>
      <c r="BN126" s="2942"/>
      <c r="BO126" s="2947"/>
      <c r="BP126" s="2947"/>
      <c r="BQ126" s="2947"/>
      <c r="BR126" s="2947"/>
      <c r="BS126" s="2942"/>
      <c r="BT126" s="1343"/>
      <c r="BU126" s="1443"/>
      <c r="BV126" s="1443"/>
      <c r="BW126" s="1443"/>
      <c r="BX126" s="1443">
        <f>BX125/BW125-1</f>
        <v>0.12489585538695414</v>
      </c>
      <c r="BY126" s="1443">
        <f>BY125/BX125-1</f>
        <v>0.12722128184522608</v>
      </c>
      <c r="BZ126" s="1443">
        <f>BZ125/BY125-1</f>
        <v>-0.4803076931184318</v>
      </c>
      <c r="CA126" s="1443"/>
      <c r="CB126" s="1443"/>
    </row>
    <row r="127" spans="1:81" outlineLevel="1">
      <c r="A127" s="1456" t="s">
        <v>952</v>
      </c>
      <c r="B127" s="1453"/>
      <c r="C127" s="1453"/>
      <c r="D127" s="1453"/>
      <c r="E127" s="1453"/>
      <c r="F127" s="1454"/>
      <c r="G127" s="1453"/>
      <c r="H127" s="1453"/>
      <c r="I127" s="1453"/>
      <c r="J127" s="1453"/>
      <c r="K127" s="1454"/>
      <c r="L127" s="1453"/>
      <c r="M127" s="1453"/>
      <c r="N127" s="1453"/>
      <c r="O127" s="1453"/>
      <c r="P127" s="1454"/>
      <c r="Q127" s="1453"/>
      <c r="R127" s="1453"/>
      <c r="S127" s="1453"/>
      <c r="T127" s="1453"/>
      <c r="U127" s="1454"/>
      <c r="V127" s="1453"/>
      <c r="W127" s="1453"/>
      <c r="X127" s="1453"/>
      <c r="Y127" s="1453"/>
      <c r="Z127" s="1454"/>
      <c r="AA127" s="1453"/>
      <c r="AB127" s="1453"/>
      <c r="AC127" s="1453"/>
      <c r="AD127" s="1453"/>
      <c r="AE127" s="1454"/>
      <c r="AF127" s="1446"/>
      <c r="AG127" s="1442"/>
      <c r="AH127" s="1442"/>
      <c r="AI127" s="1442"/>
      <c r="AJ127" s="1443"/>
      <c r="AK127" s="1442"/>
      <c r="AL127" s="1442">
        <f>IF(ISERROR(AL125/AK125-1),,(AL125/AK125-1))</f>
        <v>6.0339449541284562E-2</v>
      </c>
      <c r="AM127" s="1442">
        <f>IF(ISERROR(AM125/AL125-1),,(AM125/AL125-1))</f>
        <v>4.380629363973787E-2</v>
      </c>
      <c r="AN127" s="1442">
        <f>IF(ISERROR(AN125/AM125-1),,(AN125/AM125-1))</f>
        <v>-3.315649867373649E-4</v>
      </c>
      <c r="AO127" s="1443"/>
      <c r="AP127" s="1442">
        <f>IF(ISERROR(AP125/AN125-1),,(AP125/AN125-1))</f>
        <v>2.5829187396351649E-2</v>
      </c>
      <c r="AQ127" s="1442">
        <f>IF(ISERROR(AQ125/AP125-1),,(AQ125/AP125-1))</f>
        <v>3.231285616133861E-2</v>
      </c>
      <c r="AR127" s="1442">
        <f>IF(ISERROR(AR125/AQ125-1),,(AR125/AQ125-1))</f>
        <v>1.5467661233228958E-2</v>
      </c>
      <c r="AS127" s="1442">
        <f>IF(ISERROR(AS125/AR125-1),,(AS125/AR125-1))</f>
        <v>-2.3579668126580633E-2</v>
      </c>
      <c r="AT127" s="1443"/>
      <c r="AU127" s="1442">
        <f>IF(ISERROR(AU125/AS125-1),,(AU125/AS125-1))</f>
        <v>0.1723762141672589</v>
      </c>
      <c r="AV127" s="1442">
        <f>IF(ISERROR(AV125/AU125-1),,(AV125/AU125-1))</f>
        <v>6.5050347573052392E-3</v>
      </c>
      <c r="AW127" s="1442">
        <f>IF(ISERROR(AW125/AV125-1),,(AW125/AV125-1))</f>
        <v>6.7884504534578838E-3</v>
      </c>
      <c r="AX127" s="1442">
        <f>IF(ISERROR(AX125/AW125-1),,(AX125/AW125-1))</f>
        <v>-2.3579668126580744E-2</v>
      </c>
      <c r="AY127" s="1443"/>
      <c r="AZ127" s="1442">
        <f>IF(ISERROR(AZ125/AX125-1),,(AZ125/AX125-1))</f>
        <v>0.10567205025774284</v>
      </c>
      <c r="BA127" s="1442">
        <f>IF(ISERROR(BA125/AZ125-1),,(BA125/AZ125-1))</f>
        <v>1.5705263594209207E-2</v>
      </c>
      <c r="BB127" s="1442">
        <f>IF(ISERROR(BB125/BA125-1),,(BB125/BA125-1))</f>
        <v>-1.145047075040917E-2</v>
      </c>
      <c r="BC127" s="1442">
        <f>IF(ISERROR(BC125/BB125-1),,(BC125/BB125-1))</f>
        <v>-9.1675599070467628E-3</v>
      </c>
      <c r="BD127" s="1443"/>
      <c r="BE127" s="2866"/>
      <c r="BF127" s="2866"/>
      <c r="BG127" s="2866"/>
      <c r="BH127" s="2866"/>
      <c r="BI127" s="2942"/>
      <c r="BJ127" s="2943"/>
      <c r="BK127" s="2943"/>
      <c r="BL127" s="2943"/>
      <c r="BM127" s="2943"/>
      <c r="BN127" s="2942"/>
      <c r="BO127" s="2943"/>
      <c r="BP127" s="2943"/>
      <c r="BQ127" s="2943"/>
      <c r="BR127" s="2943"/>
      <c r="BS127" s="2942"/>
      <c r="BT127" s="1520"/>
      <c r="BU127" s="1443"/>
      <c r="BV127" s="1443"/>
      <c r="BW127" s="1443"/>
      <c r="BX127" s="1443"/>
      <c r="BY127" s="1443"/>
      <c r="BZ127" s="1443"/>
      <c r="CA127" s="1443"/>
      <c r="CB127" s="1443"/>
    </row>
    <row r="128" spans="1:81" ht="13.5" outlineLevel="1" thickBot="1">
      <c r="A128" s="1175" t="s">
        <v>280</v>
      </c>
      <c r="B128" s="1345"/>
      <c r="C128" s="1345"/>
      <c r="D128" s="1345"/>
      <c r="E128" s="1345"/>
      <c r="F128" s="1346"/>
      <c r="G128" s="1345"/>
      <c r="H128" s="1345"/>
      <c r="I128" s="1345"/>
      <c r="J128" s="1345"/>
      <c r="K128" s="1346"/>
      <c r="L128" s="1345"/>
      <c r="M128" s="1345"/>
      <c r="N128" s="1345"/>
      <c r="O128" s="1345"/>
      <c r="P128" s="1346"/>
      <c r="Q128" s="1345"/>
      <c r="R128" s="1345"/>
      <c r="S128" s="1345"/>
      <c r="T128" s="1345"/>
      <c r="U128" s="1346"/>
      <c r="V128" s="1345"/>
      <c r="W128" s="1345"/>
      <c r="X128" s="1345"/>
      <c r="Y128" s="1345"/>
      <c r="Z128" s="1346"/>
      <c r="AA128" s="1345"/>
      <c r="AB128" s="1345"/>
      <c r="AC128" s="1345"/>
      <c r="AD128" s="1345"/>
      <c r="AE128" s="1346"/>
      <c r="AF128" s="1347"/>
      <c r="AG128" s="1347"/>
      <c r="AH128" s="1347"/>
      <c r="AI128" s="1347"/>
      <c r="AJ128" s="1346"/>
      <c r="AK128" s="1345">
        <f>AK129-AK107-AK110-AK113-AK116-AK119-AK122-AK125</f>
        <v>4.3010759694880107E-2</v>
      </c>
      <c r="AL128" s="1001">
        <f>AL129-AL107-AL110-AL113-AL116-AL119-AL122-AL125</f>
        <v>0.13140918946226066</v>
      </c>
      <c r="AM128" s="1001">
        <f>AM129-AM107-AM110-AM113-AM116-AM119-AM122-AM125</f>
        <v>-0.34471069295159396</v>
      </c>
      <c r="AN128" s="1001">
        <f>AN129-AN107-AN110-AN113-AN116-AN119-AN122-AN125</f>
        <v>-3.4938894923589032</v>
      </c>
      <c r="AO128" s="1000">
        <f>SUM(AK128:AN128)</f>
        <v>-3.6641802361533564</v>
      </c>
      <c r="AP128" s="1001">
        <f>AP129-AP107-AP110-AP113-AP116-AP119-AP122-AP125</f>
        <v>-0.59023921279845126</v>
      </c>
      <c r="AQ128" s="1001">
        <f>AQ129-AQ107-AQ110-AQ113-AQ116-AQ119-AQ122-AQ125</f>
        <v>10.692995790955365</v>
      </c>
      <c r="AR128" s="1001">
        <f>AR129-AR107-AR110-AR113-AR116-AR119-AR122-AR125</f>
        <v>-4.4586429085056807</v>
      </c>
      <c r="AS128" s="1001">
        <f>AS129-AS107-AS110-AS113-AS116-AS119-AS122-AS125</f>
        <v>0.16603787946314696</v>
      </c>
      <c r="AT128" s="1000">
        <f>SUM(AP128:AS128)</f>
        <v>5.81015154911438</v>
      </c>
      <c r="AU128" s="1001">
        <f t="shared" ref="AU128:BD128" si="100">AU129-AU107-AU110-AU113-AU116-AU119-AU122-AU125</f>
        <v>105.16270214294536</v>
      </c>
      <c r="AV128" s="1001">
        <f t="shared" si="100"/>
        <v>259.69384595779593</v>
      </c>
      <c r="AW128" s="1001">
        <f t="shared" si="100"/>
        <v>421.59313160791498</v>
      </c>
      <c r="AX128" s="1001">
        <f>AX129-AX107-AX110-AX113-AX116-AX119-AX122-AX125</f>
        <v>425.01551758672917</v>
      </c>
      <c r="AY128" s="1000">
        <f t="shared" si="100"/>
        <v>1211.465197295388</v>
      </c>
      <c r="AZ128" s="1001">
        <f t="shared" si="100"/>
        <v>320.03963265023344</v>
      </c>
      <c r="BA128" s="1001">
        <f t="shared" si="100"/>
        <v>147.42130710393917</v>
      </c>
      <c r="BB128" s="1001">
        <f t="shared" si="100"/>
        <v>412.34769870665195</v>
      </c>
      <c r="BC128" s="1001">
        <f t="shared" ref="BC128" si="101">BC129-BC107-BC110-BC113-BC116-BC119-BC122-BC125</f>
        <v>269.14810182670112</v>
      </c>
      <c r="BD128" s="1000">
        <f t="shared" si="100"/>
        <v>1148.9567402875236</v>
      </c>
      <c r="BE128" s="2853"/>
      <c r="BF128" s="2853"/>
      <c r="BG128" s="2853"/>
      <c r="BH128" s="2853"/>
      <c r="BI128" s="2924"/>
      <c r="BJ128" s="2919"/>
      <c r="BK128" s="2919"/>
      <c r="BL128" s="2919"/>
      <c r="BM128" s="2919"/>
      <c r="BN128" s="2924"/>
      <c r="BO128" s="2919"/>
      <c r="BP128" s="2919"/>
      <c r="BQ128" s="2919"/>
      <c r="BR128" s="2919"/>
      <c r="BS128" s="2924"/>
      <c r="BT128" s="1343"/>
      <c r="BU128" s="1000"/>
      <c r="BV128" s="1000"/>
      <c r="BW128" s="1000"/>
      <c r="BX128" s="1000"/>
      <c r="BY128" s="1000"/>
      <c r="BZ128" s="1000"/>
      <c r="CA128" s="1000"/>
      <c r="CB128" s="1000"/>
    </row>
    <row r="129" spans="1:80" ht="13.5" outlineLevel="1" thickBot="1">
      <c r="A129" s="1477" t="s">
        <v>1047</v>
      </c>
      <c r="B129" s="1497"/>
      <c r="C129" s="1497"/>
      <c r="D129" s="1497"/>
      <c r="E129" s="1497"/>
      <c r="F129" s="1498"/>
      <c r="G129" s="1497"/>
      <c r="H129" s="1497"/>
      <c r="I129" s="1497"/>
      <c r="J129" s="1497"/>
      <c r="K129" s="1498"/>
      <c r="L129" s="1497"/>
      <c r="M129" s="1497"/>
      <c r="N129" s="1497"/>
      <c r="O129" s="1497"/>
      <c r="P129" s="1498"/>
      <c r="Q129" s="1497"/>
      <c r="R129" s="1497"/>
      <c r="S129" s="1497"/>
      <c r="T129" s="1497"/>
      <c r="U129" s="1498"/>
      <c r="V129" s="1497"/>
      <c r="W129" s="1497"/>
      <c r="X129" s="1497"/>
      <c r="Y129" s="1497"/>
      <c r="Z129" s="1498"/>
      <c r="AA129" s="1497"/>
      <c r="AB129" s="1497"/>
      <c r="AC129" s="1497"/>
      <c r="AD129" s="1497"/>
      <c r="AE129" s="1479"/>
      <c r="AF129" s="1478"/>
      <c r="AG129" s="1478"/>
      <c r="AH129" s="1478"/>
      <c r="AI129" s="1478"/>
      <c r="AJ129" s="1479">
        <f>'Rev Overview'!BJ24</f>
        <v>31951</v>
      </c>
      <c r="AK129" s="1478">
        <f>'Rev Overview'!BK24</f>
        <v>7594</v>
      </c>
      <c r="AL129" s="1478">
        <f>'Rev Overview'!BL24</f>
        <v>12070</v>
      </c>
      <c r="AM129" s="1478">
        <f>'Rev Overview'!BM24</f>
        <v>8451</v>
      </c>
      <c r="AN129" s="1478">
        <f>'Rev Overview'!BN24</f>
        <v>10292</v>
      </c>
      <c r="AO129" s="1479">
        <f>SUM(AK129:AN129)</f>
        <v>38407</v>
      </c>
      <c r="AP129" s="1478">
        <f>'Rev Overview'!BP24</f>
        <v>11236</v>
      </c>
      <c r="AQ129" s="1478">
        <f>'Rev Overview'!BQ24</f>
        <v>13203</v>
      </c>
      <c r="AR129" s="1478">
        <f>'Rev Overview'!BR24</f>
        <v>9309</v>
      </c>
      <c r="AS129" s="1478">
        <f>'Rev Overview'!BS24</f>
        <v>9205</v>
      </c>
      <c r="AT129" s="1479">
        <f>SUM(AP129:AS129)</f>
        <v>42953</v>
      </c>
      <c r="AU129" s="1478">
        <f>AU40</f>
        <v>9462</v>
      </c>
      <c r="AV129" s="1478">
        <f>AV40</f>
        <v>12660</v>
      </c>
      <c r="AW129" s="1478">
        <f>AW40</f>
        <v>9458</v>
      </c>
      <c r="AX129" s="1478">
        <f>AX40</f>
        <v>8960</v>
      </c>
      <c r="AY129" s="1479">
        <f>SUM(AU129:AX129)</f>
        <v>40540</v>
      </c>
      <c r="AZ129" s="1478">
        <f>AZ40</f>
        <v>9294</v>
      </c>
      <c r="BA129" s="1478">
        <f>BA40</f>
        <v>11823</v>
      </c>
      <c r="BB129" s="1478">
        <f>BB40</f>
        <v>8836</v>
      </c>
      <c r="BC129" s="1478">
        <f>BC40</f>
        <v>8820</v>
      </c>
      <c r="BD129" s="1479">
        <f>SUM(AZ129:BC129)</f>
        <v>38773</v>
      </c>
      <c r="BE129" s="2857"/>
      <c r="BF129" s="2857"/>
      <c r="BG129" s="2857"/>
      <c r="BH129" s="2857"/>
      <c r="BI129" s="2926"/>
      <c r="BJ129" s="2927"/>
      <c r="BK129" s="2927"/>
      <c r="BL129" s="2927"/>
      <c r="BM129" s="2927"/>
      <c r="BN129" s="2926"/>
      <c r="BO129" s="2927"/>
      <c r="BP129" s="2927"/>
      <c r="BQ129" s="2927"/>
      <c r="BR129" s="2927"/>
      <c r="BS129" s="2926"/>
      <c r="BT129" s="1343"/>
      <c r="BU129" s="1479"/>
      <c r="BV129" s="1479"/>
      <c r="BW129" s="1479">
        <f>SUM(AM129:AN129,AP129:AQ129)</f>
        <v>43182</v>
      </c>
      <c r="BX129" s="1479">
        <f>SUM(AR129:AS129,AU129:AV129)</f>
        <v>40636</v>
      </c>
      <c r="BY129" s="1479">
        <f>SUM(AW129:AX129,AZ129:BA129)</f>
        <v>39535</v>
      </c>
      <c r="BZ129" s="1479">
        <f>SUM(BB129:BC129,BE129:BF129)</f>
        <v>17656</v>
      </c>
      <c r="CA129" s="1479"/>
      <c r="CB129" s="1479"/>
    </row>
    <row r="130" spans="1:80" outlineLevel="1">
      <c r="A130" s="1499" t="s">
        <v>926</v>
      </c>
      <c r="B130" s="1500"/>
      <c r="C130" s="1500"/>
      <c r="D130" s="1500"/>
      <c r="E130" s="1500"/>
      <c r="F130" s="1501"/>
      <c r="G130" s="1500"/>
      <c r="H130" s="1500"/>
      <c r="I130" s="1500"/>
      <c r="J130" s="1500"/>
      <c r="K130" s="1501"/>
      <c r="L130" s="1500"/>
      <c r="M130" s="1500"/>
      <c r="N130" s="1500"/>
      <c r="O130" s="1500"/>
      <c r="P130" s="1501"/>
      <c r="Q130" s="1500"/>
      <c r="R130" s="1500"/>
      <c r="S130" s="1500"/>
      <c r="T130" s="1500"/>
      <c r="U130" s="1501"/>
      <c r="V130" s="1500"/>
      <c r="W130" s="1500"/>
      <c r="X130" s="1500"/>
      <c r="Y130" s="1500"/>
      <c r="Z130" s="1501"/>
      <c r="AA130" s="1502"/>
      <c r="AB130" s="1502"/>
      <c r="AC130" s="1502"/>
      <c r="AD130" s="1502"/>
      <c r="AE130" s="1501"/>
      <c r="AF130" s="1502"/>
      <c r="AG130" s="1502"/>
      <c r="AH130" s="1502"/>
      <c r="AI130" s="1502"/>
      <c r="AJ130" s="1503"/>
      <c r="AK130" s="1502"/>
      <c r="AL130" s="1502"/>
      <c r="AM130" s="1502"/>
      <c r="AN130" s="1502"/>
      <c r="AO130" s="1503">
        <f>IFERROR(AO129/AJ129-1,"")</f>
        <v>0.2020594034615506</v>
      </c>
      <c r="AP130" s="1502">
        <f t="shared" ref="AP130:BD130" si="102">IF(ISERROR(AP129/AK129-1),,(AP129/AK129-1))</f>
        <v>0.47958914932841723</v>
      </c>
      <c r="AQ130" s="1502">
        <f t="shared" si="102"/>
        <v>9.3869096934548368E-2</v>
      </c>
      <c r="AR130" s="1502">
        <f t="shared" si="102"/>
        <v>0.10152644657436993</v>
      </c>
      <c r="AS130" s="1502">
        <f t="shared" si="102"/>
        <v>-0.10561601243684415</v>
      </c>
      <c r="AT130" s="1503">
        <f t="shared" si="102"/>
        <v>0.11836383992501376</v>
      </c>
      <c r="AU130" s="1502">
        <f t="shared" si="102"/>
        <v>-0.15788536845852619</v>
      </c>
      <c r="AV130" s="1502">
        <f t="shared" si="102"/>
        <v>-4.1127016587139242E-2</v>
      </c>
      <c r="AW130" s="1502">
        <f t="shared" si="102"/>
        <v>1.6006015683746933E-2</v>
      </c>
      <c r="AX130" s="1502">
        <f t="shared" si="102"/>
        <v>-2.6615969581749055E-2</v>
      </c>
      <c r="AY130" s="1503">
        <f t="shared" si="102"/>
        <v>-5.6177682583288702E-2</v>
      </c>
      <c r="AZ130" s="1502">
        <f t="shared" si="102"/>
        <v>-1.775523145212432E-2</v>
      </c>
      <c r="BA130" s="1502">
        <f t="shared" si="102"/>
        <v>-6.6113744075829373E-2</v>
      </c>
      <c r="BB130" s="1502">
        <f t="shared" si="102"/>
        <v>-6.5764432226686376E-2</v>
      </c>
      <c r="BC130" s="1502">
        <f t="shared" si="102"/>
        <v>-1.5625E-2</v>
      </c>
      <c r="BD130" s="1503">
        <f t="shared" si="102"/>
        <v>-4.3586581154415382E-2</v>
      </c>
      <c r="BE130" s="2866"/>
      <c r="BF130" s="2866"/>
      <c r="BG130" s="2866"/>
      <c r="BH130" s="2866"/>
      <c r="BI130" s="2942"/>
      <c r="BJ130" s="2943"/>
      <c r="BK130" s="2943"/>
      <c r="BL130" s="2943"/>
      <c r="BM130" s="2943"/>
      <c r="BN130" s="2942"/>
      <c r="BO130" s="2943"/>
      <c r="BP130" s="2943"/>
      <c r="BQ130" s="2943"/>
      <c r="BR130" s="2943"/>
      <c r="BS130" s="2942"/>
      <c r="BT130" s="1438"/>
      <c r="BU130" s="1503"/>
      <c r="BV130" s="1503"/>
      <c r="BW130" s="1503"/>
      <c r="BX130" s="1503">
        <f>BX129/BW129-1</f>
        <v>-5.8959751748413725E-2</v>
      </c>
      <c r="BY130" s="1503">
        <f>BY129/BX129-1</f>
        <v>-2.709420218525449E-2</v>
      </c>
      <c r="BZ130" s="1503">
        <f>BZ129/BY129-1</f>
        <v>-0.55340837232831674</v>
      </c>
      <c r="CA130" s="1503"/>
      <c r="CB130" s="1503"/>
    </row>
    <row r="131" spans="1:80" outlineLevel="1">
      <c r="A131" s="1499" t="s">
        <v>952</v>
      </c>
      <c r="B131" s="1500"/>
      <c r="C131" s="1500"/>
      <c r="D131" s="1500"/>
      <c r="E131" s="1500"/>
      <c r="F131" s="1501"/>
      <c r="G131" s="1500"/>
      <c r="H131" s="1500"/>
      <c r="I131" s="1500"/>
      <c r="J131" s="1500"/>
      <c r="K131" s="1501"/>
      <c r="L131" s="1500"/>
      <c r="M131" s="1500"/>
      <c r="N131" s="1500"/>
      <c r="O131" s="1500"/>
      <c r="P131" s="1501"/>
      <c r="Q131" s="1500"/>
      <c r="R131" s="1500"/>
      <c r="S131" s="1500"/>
      <c r="T131" s="1500"/>
      <c r="U131" s="1501"/>
      <c r="V131" s="1500"/>
      <c r="W131" s="1500"/>
      <c r="X131" s="1500"/>
      <c r="Y131" s="1500"/>
      <c r="Z131" s="1501"/>
      <c r="AA131" s="1504"/>
      <c r="AB131" s="1502"/>
      <c r="AC131" s="1502"/>
      <c r="AD131" s="1502"/>
      <c r="AE131" s="1501"/>
      <c r="AF131" s="1502"/>
      <c r="AG131" s="1502"/>
      <c r="AH131" s="1502"/>
      <c r="AI131" s="1502"/>
      <c r="AJ131" s="1503"/>
      <c r="AK131" s="1502"/>
      <c r="AL131" s="1502">
        <f>IF(ISERROR(AL129/AK129-1),,(AL129/AK129-1))</f>
        <v>0.58941269423228859</v>
      </c>
      <c r="AM131" s="1502">
        <f>IF(ISERROR(AM129/AL129-1),,(AM129/AL129-1))</f>
        <v>-0.29983429991714994</v>
      </c>
      <c r="AN131" s="1502">
        <f>IF(ISERROR(AN129/AM129-1),,(AN129/AM129-1))</f>
        <v>0.21784404212519237</v>
      </c>
      <c r="AO131" s="1505"/>
      <c r="AP131" s="1502">
        <f>IF(ISERROR(AP129/AN129-1),,(AP129/AN129-1))</f>
        <v>9.1721725612125882E-2</v>
      </c>
      <c r="AQ131" s="1502">
        <f>IF(ISERROR(AQ129/AP129-1),,(AQ129/AP129-1))</f>
        <v>0.1750622997508009</v>
      </c>
      <c r="AR131" s="1502">
        <f>IF(ISERROR(AR129/AQ129-1),,(AR129/AQ129-1))</f>
        <v>-0.2949329697795956</v>
      </c>
      <c r="AS131" s="1502">
        <f>IF(ISERROR(AS129/AR129-1),,(AS129/AR129-1))</f>
        <v>-1.1171984101407295E-2</v>
      </c>
      <c r="AT131" s="1505"/>
      <c r="AU131" s="1502">
        <f>IF(ISERROR(AU129/AS129-1),,(AU129/AS129-1))</f>
        <v>2.7919608908202109E-2</v>
      </c>
      <c r="AV131" s="1502">
        <f>IF(ISERROR(AV129/AU129-1),,(AV129/AU129-1))</f>
        <v>0.3379835129993658</v>
      </c>
      <c r="AW131" s="1502">
        <f>IF(ISERROR(AW129/AV129-1),,(AW129/AV129-1))</f>
        <v>-0.25292259083728275</v>
      </c>
      <c r="AX131" s="1502">
        <f>IF(ISERROR(AX129/AW129-1),,(AX129/AW129-1))</f>
        <v>-5.2653838020723209E-2</v>
      </c>
      <c r="AY131" s="1505"/>
      <c r="AZ131" s="1502">
        <f>IF(ISERROR(AZ129/AX129-1),,(AZ129/AX129-1))</f>
        <v>3.7276785714285721E-2</v>
      </c>
      <c r="BA131" s="1502">
        <f>IF(ISERROR(BA129/AZ129-1),,(BA129/AZ129-1))</f>
        <v>0.27211103938024528</v>
      </c>
      <c r="BB131" s="1502">
        <f>IF(ISERROR(BB129/BA129-1),,(BB129/BA129-1))</f>
        <v>-0.25264315317601282</v>
      </c>
      <c r="BC131" s="1502">
        <f>IF(ISERROR(BC129/BB129-1),,(BC129/BB129-1))</f>
        <v>-1.8107741059303351E-3</v>
      </c>
      <c r="BD131" s="1503"/>
      <c r="BE131" s="2866"/>
      <c r="BF131" s="2866"/>
      <c r="BG131" s="2866"/>
      <c r="BH131" s="2866"/>
      <c r="BI131" s="2942"/>
      <c r="BJ131" s="2943"/>
      <c r="BK131" s="2943"/>
      <c r="BL131" s="2943"/>
      <c r="BM131" s="2943"/>
      <c r="BN131" s="2942"/>
      <c r="BO131" s="2943"/>
      <c r="BP131" s="2943"/>
      <c r="BQ131" s="2943"/>
      <c r="BR131" s="2943"/>
      <c r="BS131" s="2942"/>
      <c r="BT131" s="1438"/>
      <c r="BU131" s="1503"/>
      <c r="BV131" s="1503"/>
      <c r="BW131" s="1503"/>
      <c r="BX131" s="1503"/>
      <c r="BY131" s="1503"/>
      <c r="BZ131" s="1503"/>
      <c r="CA131" s="1503"/>
      <c r="CB131" s="1503"/>
    </row>
    <row r="132" spans="1:80" ht="13.5" outlineLevel="1" thickBot="1">
      <c r="A132" s="1506" t="s">
        <v>953</v>
      </c>
      <c r="B132" s="1483"/>
      <c r="C132" s="1483"/>
      <c r="D132" s="1483"/>
      <c r="E132" s="1483"/>
      <c r="F132" s="1484"/>
      <c r="G132" s="1483"/>
      <c r="H132" s="1483"/>
      <c r="I132" s="1483"/>
      <c r="J132" s="1483"/>
      <c r="K132" s="1484"/>
      <c r="L132" s="1483"/>
      <c r="M132" s="1483"/>
      <c r="N132" s="1483"/>
      <c r="O132" s="1483"/>
      <c r="P132" s="1484"/>
      <c r="Q132" s="1483"/>
      <c r="R132" s="1483"/>
      <c r="S132" s="1483"/>
      <c r="T132" s="1483"/>
      <c r="U132" s="1484"/>
      <c r="V132" s="1483"/>
      <c r="W132" s="1483"/>
      <c r="X132" s="1483"/>
      <c r="Y132" s="1483"/>
      <c r="Z132" s="1484"/>
      <c r="AA132" s="1483"/>
      <c r="AB132" s="1483"/>
      <c r="AC132" s="1483"/>
      <c r="AD132" s="1483"/>
      <c r="AE132" s="1484"/>
      <c r="AF132" s="1481"/>
      <c r="AG132" s="1507"/>
      <c r="AH132" s="1507"/>
      <c r="AI132" s="1507"/>
      <c r="AJ132" s="1508"/>
      <c r="AK132" s="1507"/>
      <c r="AL132" s="1507"/>
      <c r="AM132" s="1507"/>
      <c r="AN132" s="1507"/>
      <c r="AO132" s="1508"/>
      <c r="AP132" s="1507"/>
      <c r="AQ132" s="1507"/>
      <c r="AR132" s="1507"/>
      <c r="AS132" s="1507"/>
      <c r="AT132" s="1508"/>
      <c r="AU132" s="1507"/>
      <c r="AV132" s="1507"/>
      <c r="AW132" s="1507"/>
      <c r="AX132" s="1507"/>
      <c r="AY132" s="1508"/>
      <c r="AZ132" s="1507">
        <f>AVERAGE(AU131,AP131,AK131)</f>
        <v>5.9820667260163995E-2</v>
      </c>
      <c r="BA132" s="1507">
        <f>AVERAGE(AV131,AQ131,AL131)</f>
        <v>0.36748616899415176</v>
      </c>
      <c r="BB132" s="1507">
        <f>AVERAGE(AW131,AR131,AM131)</f>
        <v>-0.28256328684467608</v>
      </c>
      <c r="BC132" s="1507">
        <f>AVERAGE(AX131,AS131,AN131)</f>
        <v>5.1339406667687291E-2</v>
      </c>
      <c r="BD132" s="1508"/>
      <c r="BE132" s="2873"/>
      <c r="BF132" s="2873"/>
      <c r="BG132" s="2873"/>
      <c r="BH132" s="2873"/>
      <c r="BI132" s="2951"/>
      <c r="BJ132" s="2952"/>
      <c r="BK132" s="2952"/>
      <c r="BL132" s="2952"/>
      <c r="BM132" s="2952"/>
      <c r="BN132" s="2951"/>
      <c r="BO132" s="2952"/>
      <c r="BP132" s="2952"/>
      <c r="BQ132" s="2952"/>
      <c r="BR132" s="2952"/>
      <c r="BS132" s="2951"/>
      <c r="BT132" s="1438"/>
      <c r="BU132" s="1508"/>
      <c r="BV132" s="1508"/>
      <c r="BW132" s="1508"/>
      <c r="BX132" s="1508"/>
      <c r="BY132" s="1508"/>
      <c r="BZ132" s="1508"/>
      <c r="CA132" s="1508"/>
      <c r="CB132" s="1508"/>
    </row>
    <row r="133" spans="1:80" ht="13.5" outlineLevel="1" thickBot="1">
      <c r="A133" s="1065"/>
      <c r="B133" s="1066"/>
      <c r="C133" s="1066"/>
      <c r="D133" s="1066"/>
      <c r="E133" s="1066"/>
      <c r="F133" s="1067"/>
      <c r="G133" s="1066"/>
      <c r="H133" s="1066"/>
      <c r="I133" s="1066"/>
      <c r="J133" s="1066"/>
      <c r="K133" s="1067"/>
      <c r="L133" s="1066"/>
      <c r="M133" s="1066"/>
      <c r="N133" s="1066"/>
      <c r="O133" s="1066"/>
      <c r="P133" s="1067"/>
      <c r="Q133" s="1066"/>
      <c r="R133" s="1066"/>
      <c r="S133" s="1066"/>
      <c r="T133" s="1066"/>
      <c r="U133" s="1067"/>
      <c r="V133" s="1066"/>
      <c r="W133" s="1066"/>
      <c r="X133" s="1066"/>
      <c r="Y133" s="1066"/>
      <c r="Z133" s="1067"/>
      <c r="AA133" s="1066"/>
      <c r="AB133" s="1066"/>
      <c r="AC133" s="1066"/>
      <c r="AD133" s="1066"/>
      <c r="AE133" s="1067"/>
      <c r="AF133" s="1068"/>
      <c r="AG133" s="1070"/>
      <c r="AH133" s="1070"/>
      <c r="AI133" s="1070"/>
      <c r="AJ133" s="1069"/>
      <c r="AK133" s="1070"/>
      <c r="AL133" s="1070"/>
      <c r="AM133" s="1070"/>
      <c r="AN133" s="1070"/>
      <c r="AO133" s="1069"/>
      <c r="AP133" s="1070"/>
      <c r="AQ133" s="1070"/>
      <c r="AR133" s="1070"/>
      <c r="AS133" s="1070"/>
      <c r="AT133" s="1069"/>
      <c r="AU133" s="1070"/>
      <c r="AV133" s="1070"/>
      <c r="AW133" s="1070"/>
      <c r="AX133" s="1070"/>
      <c r="AY133" s="1069"/>
      <c r="AZ133" s="1070"/>
      <c r="BA133" s="1070"/>
      <c r="BB133" s="1070"/>
      <c r="BC133" s="1070"/>
      <c r="BD133" s="1069"/>
      <c r="BE133" s="2866"/>
      <c r="BF133" s="2866"/>
      <c r="BG133" s="2866"/>
      <c r="BH133" s="2866"/>
      <c r="BI133" s="2942"/>
      <c r="BJ133" s="2943"/>
      <c r="BK133" s="2943"/>
      <c r="BL133" s="2943"/>
      <c r="BM133" s="2943"/>
      <c r="BN133" s="2942"/>
      <c r="BO133" s="2943"/>
      <c r="BP133" s="2943"/>
      <c r="BQ133" s="2943"/>
      <c r="BR133" s="2943"/>
      <c r="BS133" s="2942"/>
      <c r="BT133" s="1438"/>
      <c r="BU133" s="1069"/>
      <c r="BV133" s="1069"/>
      <c r="BW133" s="1069"/>
      <c r="BX133" s="1069"/>
      <c r="BY133" s="1069"/>
      <c r="BZ133" s="1069"/>
      <c r="CA133" s="1069"/>
      <c r="CB133" s="1069"/>
    </row>
    <row r="134" spans="1:80" ht="13.5" outlineLevel="1" thickBot="1">
      <c r="A134" s="1487" t="s">
        <v>1032</v>
      </c>
      <c r="B134" s="1475"/>
      <c r="C134" s="1475"/>
      <c r="D134" s="1475"/>
      <c r="E134" s="1475"/>
      <c r="F134" s="1476"/>
      <c r="G134" s="1475"/>
      <c r="H134" s="1475"/>
      <c r="I134" s="1475"/>
      <c r="J134" s="1475"/>
      <c r="K134" s="1476"/>
      <c r="L134" s="1475"/>
      <c r="M134" s="1475"/>
      <c r="N134" s="1475"/>
      <c r="O134" s="1475"/>
      <c r="P134" s="1476"/>
      <c r="Q134" s="1475"/>
      <c r="R134" s="1475"/>
      <c r="S134" s="1475"/>
      <c r="T134" s="1475"/>
      <c r="U134" s="1476"/>
      <c r="V134" s="1475"/>
      <c r="W134" s="1475"/>
      <c r="X134" s="1475"/>
      <c r="Y134" s="1475"/>
      <c r="Z134" s="1476"/>
      <c r="AA134" s="1475"/>
      <c r="AB134" s="1475"/>
      <c r="AC134" s="1475"/>
      <c r="AD134" s="1475"/>
      <c r="AE134" s="1489"/>
      <c r="AF134" s="1488"/>
      <c r="AG134" s="1488"/>
      <c r="AH134" s="1488"/>
      <c r="AI134" s="1488"/>
      <c r="AJ134" s="1489">
        <f>'Rev Overview'!BJ32</f>
        <v>77849</v>
      </c>
      <c r="AK134" s="1488">
        <f>'Rev Overview'!BK32</f>
        <v>18529</v>
      </c>
      <c r="AL134" s="1488">
        <f>'Rev Overview'!BL32</f>
        <v>24519</v>
      </c>
      <c r="AM134" s="1488">
        <f>'Rev Overview'!BM32</f>
        <v>20403</v>
      </c>
      <c r="AN134" s="1488">
        <f>'Rev Overview'!BN32</f>
        <v>23382</v>
      </c>
      <c r="AO134" s="1489">
        <f>'Rev Overview'!BO32</f>
        <v>86833</v>
      </c>
      <c r="AP134" s="1488">
        <f>'Rev Overview'!BP32</f>
        <v>23201</v>
      </c>
      <c r="AQ134" s="1488">
        <f>'Rev Overview'!BQ32</f>
        <v>26144</v>
      </c>
      <c r="AR134" s="1488">
        <f>'Rev Overview'!BR32</f>
        <v>21729</v>
      </c>
      <c r="AS134" s="1488">
        <f>'Rev Overview'!BS32</f>
        <v>22180</v>
      </c>
      <c r="AT134" s="1489">
        <f>'Rev Overview'!BT32</f>
        <v>93254</v>
      </c>
      <c r="AU134" s="1488">
        <f>'Rev Overview'!BU32</f>
        <v>20910</v>
      </c>
      <c r="AV134" s="1488">
        <f>'Rev Overview'!BV32</f>
        <v>25253</v>
      </c>
      <c r="AW134" s="1488">
        <f>'Rev Overview'!BW32</f>
        <v>21517</v>
      </c>
      <c r="AX134" s="1488">
        <f>'Rev Overview'!BX32</f>
        <v>23474</v>
      </c>
      <c r="AY134" s="1489">
        <f>'Rev Overview'!BY32</f>
        <v>91154</v>
      </c>
      <c r="AZ134" s="1488">
        <f>'Rev Overview'!BZ32</f>
        <v>21928</v>
      </c>
      <c r="BA134" s="1488">
        <f>'Rev Overview'!CA32</f>
        <v>25826</v>
      </c>
      <c r="BB134" s="1488">
        <f>'Rev Overview'!CB32</f>
        <v>23212</v>
      </c>
      <c r="BC134" s="1488">
        <f>'Rev Overview'!CC32</f>
        <v>25605</v>
      </c>
      <c r="BD134" s="1489">
        <f>'Rev Overview'!CD32</f>
        <v>96571</v>
      </c>
      <c r="BE134" s="2857"/>
      <c r="BF134" s="2857"/>
      <c r="BG134" s="2857"/>
      <c r="BH134" s="2857"/>
      <c r="BI134" s="2926"/>
      <c r="BJ134" s="2927"/>
      <c r="BK134" s="2927"/>
      <c r="BL134" s="2927"/>
      <c r="BM134" s="2927"/>
      <c r="BN134" s="2926"/>
      <c r="BO134" s="2927"/>
      <c r="BP134" s="2927"/>
      <c r="BQ134" s="2927"/>
      <c r="BR134" s="2927"/>
      <c r="BS134" s="2926"/>
      <c r="BT134" s="1343"/>
      <c r="BU134" s="1489"/>
      <c r="BV134" s="1489"/>
      <c r="BW134" s="1489">
        <f>SUM(AM134:AN134,AP134:AQ134)</f>
        <v>93130</v>
      </c>
      <c r="BX134" s="1489">
        <f>SUM(AR134:AS134,AU134:AV134)</f>
        <v>90072</v>
      </c>
      <c r="BY134" s="1489">
        <f>SUM(AW134:AX134,AZ134:BA134)</f>
        <v>92745</v>
      </c>
      <c r="BZ134" s="1489">
        <f>SUM(BB134:BC134,BE134:BF134)</f>
        <v>48817</v>
      </c>
      <c r="CA134" s="1489"/>
      <c r="CB134" s="1489"/>
    </row>
    <row r="135" spans="1:80" outlineLevel="1">
      <c r="A135" s="1509" t="s">
        <v>926</v>
      </c>
      <c r="B135" s="1510"/>
      <c r="C135" s="1510"/>
      <c r="D135" s="1510"/>
      <c r="E135" s="1510"/>
      <c r="F135" s="1511"/>
      <c r="G135" s="1510"/>
      <c r="H135" s="1510"/>
      <c r="I135" s="1510"/>
      <c r="J135" s="1510"/>
      <c r="K135" s="1511"/>
      <c r="L135" s="1510"/>
      <c r="M135" s="1510"/>
      <c r="N135" s="1510"/>
      <c r="O135" s="1510"/>
      <c r="P135" s="1511"/>
      <c r="Q135" s="1510"/>
      <c r="R135" s="1510"/>
      <c r="S135" s="1510"/>
      <c r="T135" s="1510"/>
      <c r="U135" s="1511"/>
      <c r="V135" s="1510"/>
      <c r="W135" s="1510"/>
      <c r="X135" s="1510"/>
      <c r="Y135" s="1510"/>
      <c r="Z135" s="1511"/>
      <c r="AA135" s="1512"/>
      <c r="AB135" s="1512"/>
      <c r="AC135" s="1512"/>
      <c r="AD135" s="1512"/>
      <c r="AE135" s="1511"/>
      <c r="AF135" s="1512"/>
      <c r="AG135" s="1512"/>
      <c r="AH135" s="1512"/>
      <c r="AI135" s="1512"/>
      <c r="AJ135" s="1513"/>
      <c r="AK135" s="1512"/>
      <c r="AL135" s="1512"/>
      <c r="AM135" s="1512"/>
      <c r="AN135" s="1512"/>
      <c r="AO135" s="1513">
        <f t="shared" ref="AO135:BD135" si="103">IF(ISERROR(AO134/AJ134-1),,(AO134/AJ134-1))</f>
        <v>0.11540289534868786</v>
      </c>
      <c r="AP135" s="1512">
        <f t="shared" si="103"/>
        <v>0.25214528576825512</v>
      </c>
      <c r="AQ135" s="1512">
        <f t="shared" si="103"/>
        <v>6.627513356988457E-2</v>
      </c>
      <c r="AR135" s="1512">
        <f t="shared" si="103"/>
        <v>6.4990442581973173E-2</v>
      </c>
      <c r="AS135" s="1512">
        <f t="shared" si="103"/>
        <v>-5.1407065263878171E-2</v>
      </c>
      <c r="AT135" s="1513">
        <f t="shared" si="103"/>
        <v>7.3946541061578053E-2</v>
      </c>
      <c r="AU135" s="1512">
        <f t="shared" si="103"/>
        <v>-9.8745743717943202E-2</v>
      </c>
      <c r="AV135" s="1512">
        <f t="shared" si="103"/>
        <v>-3.4080477356181138E-2</v>
      </c>
      <c r="AW135" s="1512">
        <f t="shared" si="103"/>
        <v>-9.7565465506925797E-3</v>
      </c>
      <c r="AX135" s="1512">
        <f t="shared" si="103"/>
        <v>5.8340847610459878E-2</v>
      </c>
      <c r="AY135" s="1513">
        <f t="shared" si="103"/>
        <v>-2.251914127007959E-2</v>
      </c>
      <c r="AZ135" s="1512">
        <f t="shared" si="103"/>
        <v>4.8684839789574275E-2</v>
      </c>
      <c r="BA135" s="1512">
        <f t="shared" si="103"/>
        <v>2.2690373420979792E-2</v>
      </c>
      <c r="BB135" s="1512">
        <f t="shared" si="103"/>
        <v>7.8774922154575489E-2</v>
      </c>
      <c r="BC135" s="1512">
        <f t="shared" si="103"/>
        <v>9.0781289937803544E-2</v>
      </c>
      <c r="BD135" s="1513">
        <f t="shared" si="103"/>
        <v>5.9426903920837271E-2</v>
      </c>
      <c r="BE135" s="2866"/>
      <c r="BF135" s="2866"/>
      <c r="BG135" s="2866"/>
      <c r="BH135" s="2866"/>
      <c r="BI135" s="2942"/>
      <c r="BJ135" s="2943"/>
      <c r="BK135" s="2943"/>
      <c r="BL135" s="2943"/>
      <c r="BM135" s="2943"/>
      <c r="BN135" s="2942"/>
      <c r="BO135" s="2943"/>
      <c r="BP135" s="2943"/>
      <c r="BQ135" s="2943"/>
      <c r="BR135" s="2943"/>
      <c r="BS135" s="2942"/>
      <c r="BT135" s="1438"/>
      <c r="BU135" s="1513"/>
      <c r="BV135" s="1513"/>
      <c r="BW135" s="1513"/>
      <c r="BX135" s="1513">
        <f>BX134/BW134-1</f>
        <v>-3.2835820895522394E-2</v>
      </c>
      <c r="BY135" s="1513">
        <f>BY134/BX134-1</f>
        <v>2.9676258992805682E-2</v>
      </c>
      <c r="BZ135" s="1513">
        <f>BZ134/BY134-1</f>
        <v>-0.47364278397757287</v>
      </c>
      <c r="CA135" s="1513"/>
      <c r="CB135" s="1513"/>
    </row>
    <row r="136" spans="1:80" outlineLevel="1">
      <c r="A136" s="1509" t="s">
        <v>952</v>
      </c>
      <c r="B136" s="1510"/>
      <c r="C136" s="1510"/>
      <c r="D136" s="1510"/>
      <c r="E136" s="1510"/>
      <c r="F136" s="1511"/>
      <c r="G136" s="1510"/>
      <c r="H136" s="1510"/>
      <c r="I136" s="1510"/>
      <c r="J136" s="1510"/>
      <c r="K136" s="1511"/>
      <c r="L136" s="1510"/>
      <c r="M136" s="1510"/>
      <c r="N136" s="1510"/>
      <c r="O136" s="1510"/>
      <c r="P136" s="1511"/>
      <c r="Q136" s="1510"/>
      <c r="R136" s="1510"/>
      <c r="S136" s="1510"/>
      <c r="T136" s="1510"/>
      <c r="U136" s="1511"/>
      <c r="V136" s="1510"/>
      <c r="W136" s="1510"/>
      <c r="X136" s="1510"/>
      <c r="Y136" s="1510"/>
      <c r="Z136" s="1511"/>
      <c r="AA136" s="1514"/>
      <c r="AB136" s="1512"/>
      <c r="AC136" s="1512"/>
      <c r="AD136" s="1512"/>
      <c r="AE136" s="1511"/>
      <c r="AF136" s="1512"/>
      <c r="AG136" s="1512"/>
      <c r="AH136" s="1512"/>
      <c r="AI136" s="1512"/>
      <c r="AJ136" s="1513"/>
      <c r="AK136" s="1512"/>
      <c r="AL136" s="1512">
        <f>IF(ISERROR(AL134/AK134-1),,(AL134/AK134-1))</f>
        <v>0.32327702520373469</v>
      </c>
      <c r="AM136" s="1512">
        <f>IF(ISERROR(AM134/AL134-1),,(AM134/AL134-1))</f>
        <v>-0.16786981524531996</v>
      </c>
      <c r="AN136" s="1512">
        <f>IF(ISERROR(AN134/AM134-1),,(AN134/AM134-1))</f>
        <v>0.14600794000882233</v>
      </c>
      <c r="AO136" s="1515"/>
      <c r="AP136" s="1512">
        <f>IF(ISERROR(AP134/AN134-1),,(AP134/AN134-1))</f>
        <v>-7.7409973483876238E-3</v>
      </c>
      <c r="AQ136" s="1512">
        <f>IF(ISERROR(AQ134/AP134-1),,(AQ134/AP134-1))</f>
        <v>0.12684798069048742</v>
      </c>
      <c r="AR136" s="1512">
        <f>IF(ISERROR(AR134/AQ134-1),,(AR134/AQ134-1))</f>
        <v>-0.16887239902080786</v>
      </c>
      <c r="AS136" s="1512">
        <f>IF(ISERROR(AS134/AR134-1),,(AS134/AR134-1))</f>
        <v>2.0755672143218717E-2</v>
      </c>
      <c r="AT136" s="1515"/>
      <c r="AU136" s="1512">
        <f>IF(ISERROR(AU134/AS134-1),,(AU134/AS134-1))</f>
        <v>-5.7258791704238088E-2</v>
      </c>
      <c r="AV136" s="1512">
        <f>IF(ISERROR(AV134/AU134-1),,(AV134/AU134-1))</f>
        <v>0.2076996652319465</v>
      </c>
      <c r="AW136" s="1512">
        <f>IF(ISERROR(AW134/AV134-1),,(AW134/AV134-1))</f>
        <v>-0.14794281867500891</v>
      </c>
      <c r="AX136" s="1512">
        <f>IF(ISERROR(AX134/AW134-1),,(AX134/AW134-1))</f>
        <v>9.0951340800297542E-2</v>
      </c>
      <c r="AY136" s="1515">
        <f>(AY134+AY294)</f>
        <v>91496.669219935226</v>
      </c>
      <c r="AZ136" s="1512">
        <f>IF(ISERROR(AZ134/AX134-1),,(AZ134/AX134-1))</f>
        <v>-6.5860100536764055E-2</v>
      </c>
      <c r="BA136" s="1512">
        <f>IF(ISERROR(BA134/AZ134-1),,(BA134/AZ134-1))</f>
        <v>0.1777635899306822</v>
      </c>
      <c r="BB136" s="1512">
        <f>IF(ISERROR(BB134/BA134-1),,(BB134/BA134-1))</f>
        <v>-0.1012158290095253</v>
      </c>
      <c r="BC136" s="1512">
        <f>IF(ISERROR(BC134/BB134-1),,(BC134/BB134-1))</f>
        <v>0.10309322764087536</v>
      </c>
      <c r="BD136" s="1513"/>
      <c r="BE136" s="2866"/>
      <c r="BF136" s="2866"/>
      <c r="BG136" s="2866"/>
      <c r="BH136" s="2866"/>
      <c r="BI136" s="2942"/>
      <c r="BJ136" s="2943"/>
      <c r="BK136" s="2943"/>
      <c r="BL136" s="2943"/>
      <c r="BM136" s="2943"/>
      <c r="BN136" s="2942"/>
      <c r="BO136" s="2943"/>
      <c r="BP136" s="2943"/>
      <c r="BQ136" s="2943"/>
      <c r="BR136" s="2943"/>
      <c r="BS136" s="2942"/>
      <c r="BT136" s="1438"/>
      <c r="BU136" s="1513"/>
      <c r="BV136" s="1513"/>
      <c r="BW136" s="1513"/>
      <c r="BX136" s="1513"/>
      <c r="BY136" s="1513"/>
      <c r="BZ136" s="1513"/>
      <c r="CA136" s="1513"/>
      <c r="CB136" s="1513"/>
    </row>
    <row r="137" spans="1:80" ht="13.5" outlineLevel="1" thickBot="1">
      <c r="A137" s="1516" t="s">
        <v>953</v>
      </c>
      <c r="B137" s="1493"/>
      <c r="C137" s="1493"/>
      <c r="D137" s="1493"/>
      <c r="E137" s="1493"/>
      <c r="F137" s="1494"/>
      <c r="G137" s="1493"/>
      <c r="H137" s="1493"/>
      <c r="I137" s="1493"/>
      <c r="J137" s="1493"/>
      <c r="K137" s="1494"/>
      <c r="L137" s="1493"/>
      <c r="M137" s="1493"/>
      <c r="N137" s="1493"/>
      <c r="O137" s="1493"/>
      <c r="P137" s="1494"/>
      <c r="Q137" s="1493"/>
      <c r="R137" s="1493"/>
      <c r="S137" s="1493"/>
      <c r="T137" s="1493"/>
      <c r="U137" s="1494"/>
      <c r="V137" s="1493"/>
      <c r="W137" s="1493"/>
      <c r="X137" s="1493"/>
      <c r="Y137" s="1493"/>
      <c r="Z137" s="1494"/>
      <c r="AA137" s="1493"/>
      <c r="AB137" s="1493"/>
      <c r="AC137" s="1493"/>
      <c r="AD137" s="1493"/>
      <c r="AE137" s="1494"/>
      <c r="AF137" s="1491"/>
      <c r="AG137" s="1517"/>
      <c r="AH137" s="1517"/>
      <c r="AI137" s="1517"/>
      <c r="AJ137" s="1518"/>
      <c r="AK137" s="1517"/>
      <c r="AL137" s="1517"/>
      <c r="AM137" s="1517"/>
      <c r="AN137" s="1517"/>
      <c r="AO137" s="1518"/>
      <c r="AP137" s="1517"/>
      <c r="AQ137" s="1517"/>
      <c r="AR137" s="1517"/>
      <c r="AS137" s="1517"/>
      <c r="AT137" s="1518"/>
      <c r="AU137" s="1517"/>
      <c r="AV137" s="1517"/>
      <c r="AW137" s="1517"/>
      <c r="AX137" s="1517"/>
      <c r="AY137" s="1518"/>
      <c r="AZ137" s="1517">
        <f>AVERAGE(AU136,AP136,AK136)</f>
        <v>-3.2499894526312856E-2</v>
      </c>
      <c r="BA137" s="1517">
        <f>AVERAGE(AV136,AQ136,AL136)</f>
        <v>0.21927489037538953</v>
      </c>
      <c r="BB137" s="1517">
        <f>AVERAGE(AW136,AR136,AM136)</f>
        <v>-0.16156167764704557</v>
      </c>
      <c r="BC137" s="1517">
        <f>AVERAGE(AX136,AS136,AN136)</f>
        <v>8.5904984317446198E-2</v>
      </c>
      <c r="BD137" s="1518"/>
      <c r="BE137" s="2873"/>
      <c r="BF137" s="2873"/>
      <c r="BG137" s="2873"/>
      <c r="BH137" s="2873"/>
      <c r="BI137" s="2951"/>
      <c r="BJ137" s="2952"/>
      <c r="BK137" s="2952"/>
      <c r="BL137" s="2952"/>
      <c r="BM137" s="2952"/>
      <c r="BN137" s="2951"/>
      <c r="BO137" s="2952"/>
      <c r="BP137" s="2952"/>
      <c r="BQ137" s="2952"/>
      <c r="BR137" s="2952"/>
      <c r="BS137" s="2951"/>
      <c r="BT137" s="1438"/>
      <c r="BU137" s="1518"/>
      <c r="BV137" s="1518"/>
      <c r="BW137" s="1518"/>
      <c r="BX137" s="1518"/>
      <c r="BY137" s="1518"/>
      <c r="BZ137" s="1518"/>
      <c r="CA137" s="1518"/>
      <c r="CB137" s="1518"/>
    </row>
    <row r="138" spans="1:80" ht="13.5" thickBot="1">
      <c r="A138" s="1435"/>
      <c r="B138" s="1436"/>
      <c r="C138" s="1436"/>
      <c r="D138" s="1436"/>
      <c r="E138" s="1436"/>
      <c r="F138" s="1437"/>
      <c r="G138" s="1436"/>
      <c r="H138" s="1436"/>
      <c r="I138" s="1436"/>
      <c r="J138" s="1436"/>
      <c r="K138" s="1437"/>
      <c r="L138" s="1436"/>
      <c r="M138" s="1436"/>
      <c r="N138" s="1436"/>
      <c r="O138" s="1436"/>
      <c r="P138" s="1437"/>
      <c r="Q138" s="1436"/>
      <c r="R138" s="1436"/>
      <c r="S138" s="1436"/>
      <c r="T138" s="1436"/>
      <c r="U138" s="1437"/>
      <c r="V138" s="1436"/>
      <c r="W138" s="1436"/>
      <c r="X138" s="1436"/>
      <c r="Y138" s="1436"/>
      <c r="Z138" s="1437"/>
      <c r="AA138" s="1436"/>
      <c r="AB138" s="1436"/>
      <c r="AC138" s="1436"/>
      <c r="AD138" s="1436"/>
      <c r="AE138" s="1437"/>
      <c r="AF138" s="1432"/>
      <c r="AG138" s="1430"/>
      <c r="AH138" s="1430"/>
      <c r="AI138" s="1430"/>
      <c r="AJ138" s="1433"/>
      <c r="AK138" s="1430"/>
      <c r="AL138" s="1430"/>
      <c r="AM138" s="1430"/>
      <c r="AN138" s="1430"/>
      <c r="AO138" s="1433"/>
      <c r="AP138" s="1430"/>
      <c r="AQ138" s="1430"/>
      <c r="AR138" s="1430"/>
      <c r="AS138" s="1430"/>
      <c r="AT138" s="1433"/>
      <c r="AU138" s="1430"/>
      <c r="AV138" s="1430"/>
      <c r="AW138" s="1430"/>
      <c r="AX138" s="1430"/>
      <c r="AY138" s="1433"/>
      <c r="AZ138" s="1430"/>
      <c r="BA138" s="1430"/>
      <c r="BB138" s="1430"/>
      <c r="BC138" s="1430"/>
      <c r="BD138" s="1433"/>
      <c r="BE138" s="2866"/>
      <c r="BF138" s="2866"/>
      <c r="BG138" s="2866"/>
      <c r="BH138" s="2866"/>
      <c r="BI138" s="2942"/>
      <c r="BJ138" s="2943"/>
      <c r="BK138" s="2943"/>
      <c r="BL138" s="2943"/>
      <c r="BM138" s="2943"/>
      <c r="BN138" s="2942"/>
      <c r="BO138" s="2943"/>
      <c r="BP138" s="2943"/>
      <c r="BQ138" s="2943"/>
      <c r="BR138" s="2943"/>
      <c r="BS138" s="2942"/>
      <c r="BT138" s="1438"/>
      <c r="BU138" s="1433"/>
      <c r="BV138" s="1433"/>
      <c r="BW138" s="1433"/>
      <c r="BX138" s="1433"/>
      <c r="BY138" s="1433"/>
      <c r="BZ138" s="1433"/>
      <c r="CA138" s="1433"/>
      <c r="CB138" s="1433"/>
    </row>
    <row r="139" spans="1:80" ht="13.5" thickBot="1">
      <c r="A139" s="982" t="s">
        <v>1084</v>
      </c>
      <c r="B139" s="983"/>
      <c r="C139" s="983"/>
      <c r="D139" s="983"/>
      <c r="E139" s="983"/>
      <c r="F139" s="1008"/>
      <c r="G139" s="983"/>
      <c r="H139" s="983"/>
      <c r="I139" s="983"/>
      <c r="J139" s="983"/>
      <c r="K139" s="1008"/>
      <c r="L139" s="983"/>
      <c r="M139" s="983"/>
      <c r="N139" s="983"/>
      <c r="O139" s="983"/>
      <c r="P139" s="1008"/>
      <c r="Q139" s="983"/>
      <c r="R139" s="983"/>
      <c r="S139" s="983"/>
      <c r="T139" s="983"/>
      <c r="U139" s="1008"/>
      <c r="V139" s="983"/>
      <c r="W139" s="983"/>
      <c r="X139" s="983"/>
      <c r="Y139" s="983"/>
      <c r="Z139" s="1008"/>
      <c r="AA139" s="983"/>
      <c r="AB139" s="983"/>
      <c r="AC139" s="983"/>
      <c r="AD139" s="983"/>
      <c r="AE139" s="1008"/>
      <c r="AF139" s="984"/>
      <c r="AG139" s="984"/>
      <c r="AH139" s="984"/>
      <c r="AI139" s="984"/>
      <c r="AJ139" s="1008"/>
      <c r="AK139" s="984"/>
      <c r="AL139" s="984"/>
      <c r="AM139" s="984"/>
      <c r="AN139" s="984"/>
      <c r="AO139" s="985"/>
      <c r="AP139" s="984"/>
      <c r="AQ139" s="984"/>
      <c r="AR139" s="984"/>
      <c r="AS139" s="984"/>
      <c r="AT139" s="985"/>
      <c r="AU139" s="984"/>
      <c r="AV139" s="984"/>
      <c r="AW139" s="984"/>
      <c r="AX139" s="984"/>
      <c r="AY139" s="985"/>
      <c r="AZ139" s="984"/>
      <c r="BA139" s="984"/>
      <c r="BB139" s="984"/>
      <c r="BC139" s="984"/>
      <c r="BD139" s="985"/>
      <c r="BE139" s="2864"/>
      <c r="BF139" s="2864"/>
      <c r="BG139" s="2864"/>
      <c r="BH139" s="2864"/>
      <c r="BI139" s="2940"/>
      <c r="BJ139" s="2941"/>
      <c r="BK139" s="2941"/>
      <c r="BL139" s="2941"/>
      <c r="BM139" s="2941"/>
      <c r="BN139" s="2940"/>
      <c r="BO139" s="2941"/>
      <c r="BP139" s="2941"/>
      <c r="BQ139" s="2941"/>
      <c r="BR139" s="2941"/>
      <c r="BS139" s="2940"/>
      <c r="BT139" s="1343"/>
      <c r="BU139" s="985"/>
      <c r="BV139" s="985"/>
      <c r="BW139" s="985"/>
      <c r="BX139" s="985"/>
      <c r="BY139" s="985"/>
      <c r="BZ139" s="985"/>
      <c r="CA139" s="985"/>
      <c r="CB139" s="985"/>
    </row>
    <row r="140" spans="1:80" outlineLevel="1">
      <c r="A140" s="1050" t="s">
        <v>918</v>
      </c>
      <c r="B140" s="1051"/>
      <c r="C140" s="1051"/>
      <c r="D140" s="1051"/>
      <c r="E140" s="1051"/>
      <c r="F140" s="1052"/>
      <c r="G140" s="1051"/>
      <c r="H140" s="1051"/>
      <c r="I140" s="1051"/>
      <c r="J140" s="1051"/>
      <c r="K140" s="1052"/>
      <c r="L140" s="1051"/>
      <c r="M140" s="1051"/>
      <c r="N140" s="1051"/>
      <c r="O140" s="1051"/>
      <c r="P140" s="1052"/>
      <c r="Q140" s="1051"/>
      <c r="R140" s="1051"/>
      <c r="S140" s="1051"/>
      <c r="T140" s="1051"/>
      <c r="U140" s="1052"/>
      <c r="V140" s="1051"/>
      <c r="W140" s="1051"/>
      <c r="X140" s="1051"/>
      <c r="Y140" s="1051"/>
      <c r="Z140" s="1052"/>
      <c r="AA140" s="1051"/>
      <c r="AB140" s="1051"/>
      <c r="AC140" s="1051"/>
      <c r="AD140" s="1051"/>
      <c r="AE140" s="1052"/>
      <c r="AF140" s="1053"/>
      <c r="AG140" s="1051"/>
      <c r="AH140" s="1051"/>
      <c r="AI140" s="1051"/>
      <c r="AJ140" s="1052"/>
      <c r="AK140" s="1054"/>
      <c r="AL140" s="1051"/>
      <c r="AM140" s="1051"/>
      <c r="AN140" s="1051"/>
      <c r="AO140" s="1052"/>
      <c r="AP140" s="1054"/>
      <c r="AQ140" s="1051"/>
      <c r="AR140" s="1051"/>
      <c r="AS140" s="1051"/>
      <c r="AT140" s="1052"/>
      <c r="AU140" s="1054"/>
      <c r="AV140" s="1051"/>
      <c r="AW140" s="1051"/>
      <c r="AX140" s="1051"/>
      <c r="AY140" s="1052"/>
      <c r="AZ140" s="1054"/>
      <c r="BA140" s="1051"/>
      <c r="BB140" s="1051"/>
      <c r="BC140" s="1051"/>
      <c r="BD140" s="1052"/>
      <c r="BE140" s="2851"/>
      <c r="BF140" s="2852"/>
      <c r="BG140" s="2852"/>
      <c r="BH140" s="2852"/>
      <c r="BI140" s="2915"/>
      <c r="BJ140" s="2916"/>
      <c r="BK140" s="2917"/>
      <c r="BL140" s="2917"/>
      <c r="BM140" s="2917"/>
      <c r="BN140" s="2915"/>
      <c r="BO140" s="2916"/>
      <c r="BP140" s="2917"/>
      <c r="BQ140" s="2917"/>
      <c r="BR140" s="2917"/>
      <c r="BS140" s="2915"/>
      <c r="BT140" s="1343"/>
      <c r="BU140" s="1052"/>
      <c r="BV140" s="1052"/>
      <c r="BW140" s="1052"/>
      <c r="BX140" s="1052"/>
      <c r="BY140" s="1052"/>
      <c r="BZ140" s="1052"/>
      <c r="CA140" s="1052"/>
      <c r="CB140" s="1052"/>
    </row>
    <row r="141" spans="1:80" outlineLevel="1">
      <c r="A141" s="1342" t="s">
        <v>1069</v>
      </c>
      <c r="AE141" s="1010"/>
      <c r="AF141" s="1178"/>
      <c r="AG141" s="1178"/>
      <c r="AH141" s="1178"/>
      <c r="AI141" s="1178"/>
      <c r="AJ141" s="1010"/>
      <c r="AK141" s="1178">
        <f t="shared" ref="AK141:BD141" si="104">AK66</f>
        <v>400</v>
      </c>
      <c r="AL141" s="1178">
        <f t="shared" si="104"/>
        <v>525</v>
      </c>
      <c r="AM141" s="1178">
        <f t="shared" si="104"/>
        <v>600</v>
      </c>
      <c r="AN141" s="1178">
        <f t="shared" si="104"/>
        <v>850</v>
      </c>
      <c r="AO141" s="1010">
        <f t="shared" si="104"/>
        <v>2375</v>
      </c>
      <c r="AP141" s="1178">
        <f t="shared" si="104"/>
        <v>900</v>
      </c>
      <c r="AQ141" s="1178">
        <f t="shared" si="104"/>
        <v>1102.5</v>
      </c>
      <c r="AR141" s="1178">
        <f t="shared" si="104"/>
        <v>1248</v>
      </c>
      <c r="AS141" s="1178">
        <f t="shared" si="104"/>
        <v>1513</v>
      </c>
      <c r="AT141" s="1010">
        <f t="shared" si="104"/>
        <v>4763.5</v>
      </c>
      <c r="AU141" s="1178">
        <f t="shared" si="104"/>
        <v>1494.0000000000002</v>
      </c>
      <c r="AV141" s="1178">
        <f t="shared" si="104"/>
        <v>1786.0500000000002</v>
      </c>
      <c r="AW141" s="1178">
        <f t="shared" si="104"/>
        <v>1934.4</v>
      </c>
      <c r="AX141" s="1178">
        <f t="shared" si="104"/>
        <v>2330.02</v>
      </c>
      <c r="AY141" s="1010">
        <f t="shared" si="104"/>
        <v>7544.4700000000012</v>
      </c>
      <c r="AZ141" s="1178">
        <f t="shared" si="104"/>
        <v>2255.9400000000005</v>
      </c>
      <c r="BA141" s="1178">
        <f t="shared" si="104"/>
        <v>2625.4935</v>
      </c>
      <c r="BB141" s="1178">
        <f t="shared" si="104"/>
        <v>2804.88</v>
      </c>
      <c r="BC141" s="1178">
        <f t="shared" si="104"/>
        <v>3331.9285999999997</v>
      </c>
      <c r="BD141" s="1010">
        <f t="shared" si="104"/>
        <v>11018.242100000001</v>
      </c>
      <c r="BE141" s="2879"/>
      <c r="BF141" s="2879"/>
      <c r="BG141" s="2879"/>
      <c r="BH141" s="2879"/>
      <c r="BI141" s="2958"/>
      <c r="BJ141" s="2960"/>
      <c r="BK141" s="2960"/>
      <c r="BL141" s="2960"/>
      <c r="BM141" s="2960"/>
      <c r="BN141" s="2958"/>
      <c r="BO141" s="2960"/>
      <c r="BP141" s="2960"/>
      <c r="BQ141" s="2960"/>
      <c r="BR141" s="2960"/>
      <c r="BS141" s="2958"/>
      <c r="BT141" s="1433"/>
      <c r="BU141" s="1010"/>
      <c r="BV141" s="1010"/>
      <c r="BW141" s="1010">
        <f>SUM(AM141:AN141,AP141:AQ141)</f>
        <v>3452.5</v>
      </c>
      <c r="BX141" s="1010">
        <f>SUM(AR141:AS141,AU141:AV141)</f>
        <v>6041.05</v>
      </c>
      <c r="BY141" s="1010">
        <f>SUM(AW141:AX141,AZ141:BA141)</f>
        <v>9145.8535000000011</v>
      </c>
      <c r="BZ141" s="1010">
        <f>SUM(BB141:BC141,BE141:BF141)</f>
        <v>6136.8086000000003</v>
      </c>
      <c r="CA141" s="1010"/>
      <c r="CB141" s="1010"/>
    </row>
    <row r="142" spans="1:80" outlineLevel="1">
      <c r="A142" s="1456" t="s">
        <v>926</v>
      </c>
      <c r="B142" s="1453"/>
      <c r="C142" s="1453"/>
      <c r="D142" s="1453"/>
      <c r="E142" s="1453"/>
      <c r="F142" s="1454"/>
      <c r="G142" s="1453"/>
      <c r="H142" s="1453"/>
      <c r="I142" s="1453"/>
      <c r="J142" s="1453"/>
      <c r="K142" s="1454"/>
      <c r="L142" s="1453"/>
      <c r="M142" s="1453"/>
      <c r="N142" s="1453"/>
      <c r="O142" s="1453"/>
      <c r="P142" s="1454"/>
      <c r="Q142" s="1453"/>
      <c r="R142" s="1453"/>
      <c r="S142" s="1453"/>
      <c r="T142" s="1453"/>
      <c r="U142" s="1454"/>
      <c r="V142" s="1453"/>
      <c r="W142" s="1453"/>
      <c r="X142" s="1453"/>
      <c r="Y142" s="1453"/>
      <c r="Z142" s="1454"/>
      <c r="AA142" s="1453"/>
      <c r="AB142" s="1453"/>
      <c r="AC142" s="1453"/>
      <c r="AD142" s="1453"/>
      <c r="AE142" s="1454"/>
      <c r="AF142" s="1446"/>
      <c r="AG142" s="1453"/>
      <c r="AH142" s="1453"/>
      <c r="AI142" s="1453"/>
      <c r="AJ142" s="1443"/>
      <c r="AK142" s="1442"/>
      <c r="AL142" s="1442"/>
      <c r="AM142" s="1442"/>
      <c r="AN142" s="1442"/>
      <c r="AO142" s="1443"/>
      <c r="AP142" s="1442">
        <f t="shared" ref="AP142:BD142" si="105">IF(ISERROR(AP141/AK141-1),,(AP141/AK141-1))</f>
        <v>1.25</v>
      </c>
      <c r="AQ142" s="1442">
        <f t="shared" si="105"/>
        <v>1.1000000000000001</v>
      </c>
      <c r="AR142" s="1442">
        <f t="shared" si="105"/>
        <v>1.08</v>
      </c>
      <c r="AS142" s="1442">
        <f t="shared" si="105"/>
        <v>0.78</v>
      </c>
      <c r="AT142" s="1443">
        <f t="shared" si="105"/>
        <v>1.005684210526316</v>
      </c>
      <c r="AU142" s="1442">
        <f t="shared" si="105"/>
        <v>0.66000000000000014</v>
      </c>
      <c r="AV142" s="1442">
        <f t="shared" si="105"/>
        <v>0.62000000000000011</v>
      </c>
      <c r="AW142" s="1442">
        <f t="shared" si="105"/>
        <v>0.55000000000000004</v>
      </c>
      <c r="AX142" s="1442">
        <f t="shared" si="105"/>
        <v>0.54</v>
      </c>
      <c r="AY142" s="1443">
        <f t="shared" si="105"/>
        <v>0.58380812427836704</v>
      </c>
      <c r="AZ142" s="1442">
        <f t="shared" si="105"/>
        <v>0.51</v>
      </c>
      <c r="BA142" s="1442">
        <f t="shared" si="105"/>
        <v>0.47</v>
      </c>
      <c r="BB142" s="1442">
        <f t="shared" si="105"/>
        <v>0.44999999999999996</v>
      </c>
      <c r="BC142" s="1442">
        <f t="shared" si="105"/>
        <v>0.42999999999999994</v>
      </c>
      <c r="BD142" s="1443">
        <f t="shared" si="105"/>
        <v>0.46043951397513672</v>
      </c>
      <c r="BE142" s="2866"/>
      <c r="BF142" s="2866"/>
      <c r="BG142" s="2866"/>
      <c r="BH142" s="2866"/>
      <c r="BI142" s="2942"/>
      <c r="BJ142" s="2943"/>
      <c r="BK142" s="2943"/>
      <c r="BL142" s="2943"/>
      <c r="BM142" s="2943"/>
      <c r="BN142" s="2942"/>
      <c r="BO142" s="2943"/>
      <c r="BP142" s="2943"/>
      <c r="BQ142" s="2943"/>
      <c r="BR142" s="2943"/>
      <c r="BS142" s="2942"/>
      <c r="BT142" s="1520"/>
      <c r="BU142" s="1443"/>
      <c r="BV142" s="1443"/>
      <c r="BW142" s="1443"/>
      <c r="BX142" s="1443">
        <f>BX141/BW141-1</f>
        <v>0.74976104272266486</v>
      </c>
      <c r="BY142" s="1443">
        <f>BY141/BX141-1</f>
        <v>0.51395096878853863</v>
      </c>
      <c r="BZ142" s="1443">
        <f>BZ141/BY141-1</f>
        <v>-0.32900646178074033</v>
      </c>
      <c r="CA142" s="1443"/>
      <c r="CB142" s="1443"/>
    </row>
    <row r="143" spans="1:80" outlineLevel="1">
      <c r="A143" s="1456" t="s">
        <v>952</v>
      </c>
      <c r="B143" s="1453"/>
      <c r="C143" s="1453"/>
      <c r="D143" s="1453"/>
      <c r="E143" s="1453"/>
      <c r="F143" s="1454"/>
      <c r="G143" s="1453"/>
      <c r="H143" s="1453"/>
      <c r="I143" s="1453"/>
      <c r="J143" s="1453"/>
      <c r="K143" s="1454"/>
      <c r="L143" s="1453"/>
      <c r="M143" s="1453"/>
      <c r="N143" s="1453"/>
      <c r="O143" s="1453"/>
      <c r="P143" s="1454"/>
      <c r="Q143" s="1453"/>
      <c r="R143" s="1453"/>
      <c r="S143" s="1453"/>
      <c r="T143" s="1453"/>
      <c r="U143" s="1454"/>
      <c r="V143" s="1453"/>
      <c r="W143" s="1453"/>
      <c r="X143" s="1453"/>
      <c r="Y143" s="1453"/>
      <c r="Z143" s="1454"/>
      <c r="AA143" s="1453"/>
      <c r="AB143" s="1453"/>
      <c r="AC143" s="1453"/>
      <c r="AD143" s="1453"/>
      <c r="AE143" s="1454"/>
      <c r="AF143" s="1446"/>
      <c r="AG143" s="1442"/>
      <c r="AH143" s="1442"/>
      <c r="AI143" s="1442"/>
      <c r="AJ143" s="1443"/>
      <c r="AK143" s="1442"/>
      <c r="AL143" s="1442"/>
      <c r="AM143" s="1442"/>
      <c r="AN143" s="1442"/>
      <c r="AO143" s="1443"/>
      <c r="AP143" s="1442">
        <f>IF(ISERROR(AP141/AN141-1),,(AP141/AN141-1))</f>
        <v>5.8823529411764719E-2</v>
      </c>
      <c r="AQ143" s="1442">
        <f>IF(ISERROR(AQ141/AP141-1),,(AQ141/AP141-1))</f>
        <v>0.22500000000000009</v>
      </c>
      <c r="AR143" s="1442">
        <f>IF(ISERROR(AR141/AQ141-1),,(AR141/AQ141-1))</f>
        <v>0.13197278911564636</v>
      </c>
      <c r="AS143" s="1442">
        <f>IF(ISERROR(AS141/AR141-1),,(AS141/AR141-1))</f>
        <v>0.21233974358974361</v>
      </c>
      <c r="AT143" s="1443"/>
      <c r="AU143" s="1442">
        <f>IF(ISERROR(AU141/AS141-1),,(AU141/AS141-1))</f>
        <v>-1.2557832121612544E-2</v>
      </c>
      <c r="AV143" s="1442">
        <f>IF(ISERROR(AV141/AU141-1),,(AV141/AU141-1))</f>
        <v>0.19548192771084327</v>
      </c>
      <c r="AW143" s="1442">
        <f>IF(ISERROR(AW141/AV141-1),,(AW141/AV141-1))</f>
        <v>8.3060384647686281E-2</v>
      </c>
      <c r="AX143" s="1442">
        <f>IF(ISERROR(AX141/AW141-1),,(AX141/AW141-1))</f>
        <v>0.20451819685690653</v>
      </c>
      <c r="AY143" s="1443"/>
      <c r="AZ143" s="1442">
        <f>IF(ISERROR(AZ141/AX141-1),,(AZ141/AX141-1))</f>
        <v>-3.1793718508853819E-2</v>
      </c>
      <c r="BA143" s="1442">
        <f>IF(ISERROR(BA141/AZ141-1),,(BA141/AZ141-1))</f>
        <v>0.16381353227479423</v>
      </c>
      <c r="BB143" s="1442">
        <f>IF(ISERROR(BB141/BA141-1),,(BB141/BA141-1))</f>
        <v>6.8324869210302674E-2</v>
      </c>
      <c r="BC143" s="1442">
        <f>IF(ISERROR(BC141/BB141-1),,(BC141/BB141-1))</f>
        <v>0.18790415276232841</v>
      </c>
      <c r="BD143" s="1443"/>
      <c r="BE143" s="2866"/>
      <c r="BF143" s="2866"/>
      <c r="BG143" s="2866"/>
      <c r="BH143" s="2866"/>
      <c r="BI143" s="2942"/>
      <c r="BJ143" s="2943"/>
      <c r="BK143" s="2943"/>
      <c r="BL143" s="2943"/>
      <c r="BM143" s="2943"/>
      <c r="BN143" s="2942"/>
      <c r="BO143" s="2943"/>
      <c r="BP143" s="2943"/>
      <c r="BQ143" s="2943"/>
      <c r="BR143" s="2943"/>
      <c r="BS143" s="2942"/>
      <c r="BT143" s="1520"/>
      <c r="BU143" s="1443"/>
      <c r="BV143" s="1443"/>
      <c r="BW143" s="1443"/>
      <c r="BX143" s="1443"/>
      <c r="BY143" s="1443"/>
      <c r="BZ143" s="1443"/>
      <c r="CA143" s="1443"/>
      <c r="CB143" s="1443"/>
    </row>
    <row r="144" spans="1:80" outlineLevel="1">
      <c r="A144" s="1342" t="s">
        <v>1447</v>
      </c>
      <c r="AE144" s="1010"/>
      <c r="AF144" s="1178"/>
      <c r="AG144" s="1178"/>
      <c r="AH144" s="1178"/>
      <c r="AI144" s="1178"/>
      <c r="AJ144" s="1010"/>
      <c r="AK144" s="1178">
        <f>AK75</f>
        <v>0</v>
      </c>
      <c r="AL144" s="1178">
        <f t="shared" ref="AL144:BD144" si="106">AL75</f>
        <v>0</v>
      </c>
      <c r="AM144" s="1178">
        <f t="shared" si="106"/>
        <v>0</v>
      </c>
      <c r="AN144" s="1178">
        <f t="shared" si="106"/>
        <v>0</v>
      </c>
      <c r="AO144" s="1010">
        <f t="shared" si="106"/>
        <v>0</v>
      </c>
      <c r="AP144" s="1178">
        <f t="shared" si="106"/>
        <v>16</v>
      </c>
      <c r="AQ144" s="1178">
        <f t="shared" si="106"/>
        <v>16.5</v>
      </c>
      <c r="AR144" s="1178">
        <f t="shared" si="106"/>
        <v>20</v>
      </c>
      <c r="AS144" s="1178">
        <f t="shared" si="106"/>
        <v>24</v>
      </c>
      <c r="AT144" s="1010">
        <f t="shared" si="106"/>
        <v>76.5</v>
      </c>
      <c r="AU144" s="1178">
        <f t="shared" si="106"/>
        <v>32</v>
      </c>
      <c r="AV144" s="1178">
        <f t="shared" si="106"/>
        <v>33</v>
      </c>
      <c r="AW144" s="1178">
        <f t="shared" si="106"/>
        <v>40</v>
      </c>
      <c r="AX144" s="1178">
        <f t="shared" si="106"/>
        <v>48</v>
      </c>
      <c r="AY144" s="1010">
        <f t="shared" si="106"/>
        <v>153</v>
      </c>
      <c r="AZ144" s="1178">
        <f t="shared" si="106"/>
        <v>64</v>
      </c>
      <c r="BA144" s="1178">
        <f t="shared" si="106"/>
        <v>66</v>
      </c>
      <c r="BB144" s="1178">
        <f t="shared" si="106"/>
        <v>72.400000000000006</v>
      </c>
      <c r="BC144" s="1178">
        <f t="shared" si="106"/>
        <v>83.52</v>
      </c>
      <c r="BD144" s="1010">
        <f t="shared" si="106"/>
        <v>285.92</v>
      </c>
      <c r="BE144" s="2879"/>
      <c r="BF144" s="2879"/>
      <c r="BG144" s="2879"/>
      <c r="BH144" s="2879"/>
      <c r="BI144" s="2958"/>
      <c r="BJ144" s="2960"/>
      <c r="BK144" s="2960"/>
      <c r="BL144" s="2960"/>
      <c r="BM144" s="2960"/>
      <c r="BN144" s="2958"/>
      <c r="BO144" s="2960"/>
      <c r="BP144" s="2960"/>
      <c r="BQ144" s="2960"/>
      <c r="BR144" s="2960"/>
      <c r="BS144" s="2958"/>
      <c r="BT144" s="1433"/>
      <c r="BU144" s="1010"/>
      <c r="BV144" s="1010"/>
      <c r="BW144" s="1010">
        <f>SUM(AM144:AN144,AP144:AQ144)</f>
        <v>32.5</v>
      </c>
      <c r="BX144" s="1010">
        <f>SUM(AR144:AS144,AU144:AV144)</f>
        <v>109</v>
      </c>
      <c r="BY144" s="1010">
        <f>SUM(AW144:AX144,AZ144:BA144)</f>
        <v>218</v>
      </c>
      <c r="BZ144" s="1010">
        <f>SUM(BB144:BC144,BE144:BF144)</f>
        <v>155.92000000000002</v>
      </c>
      <c r="CA144" s="1010"/>
      <c r="CB144" s="1010"/>
    </row>
    <row r="145" spans="1:93" outlineLevel="1">
      <c r="A145" s="1456" t="s">
        <v>926</v>
      </c>
      <c r="B145" s="1453"/>
      <c r="C145" s="1453"/>
      <c r="D145" s="1453"/>
      <c r="E145" s="1453"/>
      <c r="F145" s="1454"/>
      <c r="G145" s="1453"/>
      <c r="H145" s="1453"/>
      <c r="I145" s="1453"/>
      <c r="J145" s="1453"/>
      <c r="K145" s="1454"/>
      <c r="L145" s="1453"/>
      <c r="M145" s="1453"/>
      <c r="N145" s="1453"/>
      <c r="O145" s="1453"/>
      <c r="P145" s="1454"/>
      <c r="Q145" s="1453"/>
      <c r="R145" s="1453"/>
      <c r="S145" s="1453"/>
      <c r="T145" s="1453"/>
      <c r="U145" s="1454"/>
      <c r="V145" s="1453"/>
      <c r="W145" s="1453"/>
      <c r="X145" s="1453"/>
      <c r="Y145" s="1453"/>
      <c r="Z145" s="1454"/>
      <c r="AA145" s="1453"/>
      <c r="AB145" s="1453"/>
      <c r="AC145" s="1453"/>
      <c r="AD145" s="1453"/>
      <c r="AE145" s="1454"/>
      <c r="AF145" s="1446"/>
      <c r="AG145" s="1453"/>
      <c r="AH145" s="1453"/>
      <c r="AI145" s="1453"/>
      <c r="AJ145" s="1443"/>
      <c r="AK145" s="1442"/>
      <c r="AL145" s="1442"/>
      <c r="AM145" s="1442"/>
      <c r="AN145" s="1442"/>
      <c r="AO145" s="1443"/>
      <c r="AP145" s="1442">
        <f t="shared" ref="AP145" si="107">IF(ISERROR(AP144/AK144-1),,(AP144/AK144-1))</f>
        <v>0</v>
      </c>
      <c r="AQ145" s="1442">
        <f t="shared" ref="AQ145" si="108">IF(ISERROR(AQ144/AL144-1),,(AQ144/AL144-1))</f>
        <v>0</v>
      </c>
      <c r="AR145" s="1442">
        <f t="shared" ref="AR145" si="109">IF(ISERROR(AR144/AM144-1),,(AR144/AM144-1))</f>
        <v>0</v>
      </c>
      <c r="AS145" s="1442">
        <f t="shared" ref="AS145" si="110">IF(ISERROR(AS144/AN144-1),,(AS144/AN144-1))</f>
        <v>0</v>
      </c>
      <c r="AT145" s="1443">
        <f t="shared" ref="AT145" si="111">IF(ISERROR(AT144/AO144-1),,(AT144/AO144-1))</f>
        <v>0</v>
      </c>
      <c r="AU145" s="1442">
        <f t="shared" ref="AU145" si="112">IF(ISERROR(AU144/AP144-1),,(AU144/AP144-1))</f>
        <v>1</v>
      </c>
      <c r="AV145" s="1442">
        <f t="shared" ref="AV145" si="113">IF(ISERROR(AV144/AQ144-1),,(AV144/AQ144-1))</f>
        <v>1</v>
      </c>
      <c r="AW145" s="1442">
        <f t="shared" ref="AW145" si="114">IF(ISERROR(AW144/AR144-1),,(AW144/AR144-1))</f>
        <v>1</v>
      </c>
      <c r="AX145" s="1442">
        <f t="shared" ref="AX145" si="115">IF(ISERROR(AX144/AS144-1),,(AX144/AS144-1))</f>
        <v>1</v>
      </c>
      <c r="AY145" s="1443">
        <f t="shared" ref="AY145" si="116">IF(ISERROR(AY144/AT144-1),,(AY144/AT144-1))</f>
        <v>1</v>
      </c>
      <c r="AZ145" s="1442">
        <f t="shared" ref="AZ145" si="117">IF(ISERROR(AZ144/AU144-1),,(AZ144/AU144-1))</f>
        <v>1</v>
      </c>
      <c r="BA145" s="1442">
        <f t="shared" ref="BA145" si="118">IF(ISERROR(BA144/AV144-1),,(BA144/AV144-1))</f>
        <v>1</v>
      </c>
      <c r="BB145" s="1442">
        <f t="shared" ref="BB145" si="119">IF(ISERROR(BB144/AW144-1),,(BB144/AW144-1))</f>
        <v>0.81</v>
      </c>
      <c r="BC145" s="1442">
        <f t="shared" ref="BC145" si="120">IF(ISERROR(BC144/AX144-1),,(BC144/AX144-1))</f>
        <v>0.74</v>
      </c>
      <c r="BD145" s="1443">
        <f t="shared" ref="BD145" si="121">IF(ISERROR(BD144/AY144-1),,(BD144/AY144-1))</f>
        <v>0.86875816993464072</v>
      </c>
      <c r="BE145" s="2866"/>
      <c r="BF145" s="2866"/>
      <c r="BG145" s="2866"/>
      <c r="BH145" s="2866"/>
      <c r="BI145" s="2942"/>
      <c r="BJ145" s="2943"/>
      <c r="BK145" s="2943"/>
      <c r="BL145" s="2943"/>
      <c r="BM145" s="2943"/>
      <c r="BN145" s="2942"/>
      <c r="BO145" s="2943"/>
      <c r="BP145" s="2943"/>
      <c r="BQ145" s="2943"/>
      <c r="BR145" s="2943"/>
      <c r="BS145" s="2942"/>
      <c r="BT145" s="1520"/>
      <c r="BU145" s="1443"/>
      <c r="BV145" s="1443"/>
      <c r="BW145" s="1443"/>
      <c r="BX145" s="1443">
        <f>BX144/BW144-1</f>
        <v>2.3538461538461539</v>
      </c>
      <c r="BY145" s="1443">
        <f>BY144/BX144-1</f>
        <v>1</v>
      </c>
      <c r="BZ145" s="1443">
        <f>BZ144/BY144-1</f>
        <v>-0.28477064220183479</v>
      </c>
      <c r="CA145" s="1443"/>
      <c r="CB145" s="1443"/>
    </row>
    <row r="146" spans="1:93" outlineLevel="1">
      <c r="A146" s="1456" t="s">
        <v>952</v>
      </c>
      <c r="B146" s="1453"/>
      <c r="C146" s="1453"/>
      <c r="D146" s="1453"/>
      <c r="E146" s="1453"/>
      <c r="F146" s="1454"/>
      <c r="G146" s="1453"/>
      <c r="H146" s="1453"/>
      <c r="I146" s="1453"/>
      <c r="J146" s="1453"/>
      <c r="K146" s="1454"/>
      <c r="L146" s="1453"/>
      <c r="M146" s="1453"/>
      <c r="N146" s="1453"/>
      <c r="O146" s="1453"/>
      <c r="P146" s="1454"/>
      <c r="Q146" s="1453"/>
      <c r="R146" s="1453"/>
      <c r="S146" s="1453"/>
      <c r="T146" s="1453"/>
      <c r="U146" s="1454"/>
      <c r="V146" s="1453"/>
      <c r="W146" s="1453"/>
      <c r="X146" s="1453"/>
      <c r="Y146" s="1453"/>
      <c r="Z146" s="1454"/>
      <c r="AA146" s="1453"/>
      <c r="AB146" s="1453"/>
      <c r="AC146" s="1453"/>
      <c r="AD146" s="1453"/>
      <c r="AE146" s="1454"/>
      <c r="AF146" s="1446"/>
      <c r="AG146" s="1442"/>
      <c r="AH146" s="1442"/>
      <c r="AI146" s="1442"/>
      <c r="AJ146" s="1443"/>
      <c r="AK146" s="1442"/>
      <c r="AL146" s="1442"/>
      <c r="AM146" s="1442"/>
      <c r="AN146" s="1442"/>
      <c r="AO146" s="1443"/>
      <c r="AP146" s="1442">
        <f>IF(ISERROR(AP144/AN144-1),,(AP144/AN144-1))</f>
        <v>0</v>
      </c>
      <c r="AQ146" s="1442">
        <f>IF(ISERROR(AQ144/AP144-1),,(AQ144/AP144-1))</f>
        <v>3.125E-2</v>
      </c>
      <c r="AR146" s="1442">
        <f>IF(ISERROR(AR144/AQ144-1),,(AR144/AQ144-1))</f>
        <v>0.21212121212121215</v>
      </c>
      <c r="AS146" s="1442">
        <f>IF(ISERROR(AS144/AR144-1),,(AS144/AR144-1))</f>
        <v>0.19999999999999996</v>
      </c>
      <c r="AT146" s="1443"/>
      <c r="AU146" s="1442">
        <f>IF(ISERROR(AU144/AS144-1),,(AU144/AS144-1))</f>
        <v>0.33333333333333326</v>
      </c>
      <c r="AV146" s="1442">
        <f>IF(ISERROR(AV144/AU144-1),,(AV144/AU144-1))</f>
        <v>3.125E-2</v>
      </c>
      <c r="AW146" s="1442">
        <f>IF(ISERROR(AW144/AV144-1),,(AW144/AV144-1))</f>
        <v>0.21212121212121215</v>
      </c>
      <c r="AX146" s="1442">
        <f>IF(ISERROR(AX144/AW144-1),,(AX144/AW144-1))</f>
        <v>0.19999999999999996</v>
      </c>
      <c r="AY146" s="1443"/>
      <c r="AZ146" s="1442">
        <f>IF(ISERROR(AZ144/AX144-1),,(AZ144/AX144-1))</f>
        <v>0.33333333333333326</v>
      </c>
      <c r="BA146" s="1442">
        <f>IF(ISERROR(BA144/AZ144-1),,(BA144/AZ144-1))</f>
        <v>3.125E-2</v>
      </c>
      <c r="BB146" s="1442">
        <f>IF(ISERROR(BB144/BA144-1),,(BB144/BA144-1))</f>
        <v>9.696969696969715E-2</v>
      </c>
      <c r="BC146" s="1442">
        <f>IF(ISERROR(BC144/BB144-1),,(BC144/BB144-1))</f>
        <v>0.15359116022099428</v>
      </c>
      <c r="BD146" s="1443"/>
      <c r="BE146" s="2866"/>
      <c r="BF146" s="2866"/>
      <c r="BG146" s="2866"/>
      <c r="BH146" s="2866"/>
      <c r="BI146" s="2942"/>
      <c r="BJ146" s="2943"/>
      <c r="BK146" s="2943"/>
      <c r="BL146" s="2943"/>
      <c r="BM146" s="2943"/>
      <c r="BN146" s="2942"/>
      <c r="BO146" s="2943"/>
      <c r="BP146" s="2943"/>
      <c r="BQ146" s="2943"/>
      <c r="BR146" s="2943"/>
      <c r="BS146" s="2942"/>
      <c r="BT146" s="1520"/>
      <c r="BU146" s="1443"/>
      <c r="BV146" s="1443"/>
      <c r="BW146" s="1443"/>
      <c r="BX146" s="1443"/>
      <c r="BY146" s="1443"/>
      <c r="BZ146" s="1443"/>
      <c r="CA146" s="1443"/>
      <c r="CB146" s="1443"/>
    </row>
    <row r="147" spans="1:93" outlineLevel="1">
      <c r="A147" s="1342" t="s">
        <v>919</v>
      </c>
      <c r="AE147" s="1010"/>
      <c r="AF147" s="1178"/>
      <c r="AG147" s="1178"/>
      <c r="AH147" s="1178"/>
      <c r="AI147" s="1178"/>
      <c r="AJ147" s="1010"/>
      <c r="AK147" s="1178">
        <f t="shared" ref="AK147:BD147" si="122">AK97</f>
        <v>72</v>
      </c>
      <c r="AL147" s="1178">
        <f t="shared" si="122"/>
        <v>85</v>
      </c>
      <c r="AM147" s="1178">
        <f t="shared" si="122"/>
        <v>113</v>
      </c>
      <c r="AN147" s="1178">
        <f t="shared" si="122"/>
        <v>144.5</v>
      </c>
      <c r="AO147" s="1010">
        <f t="shared" si="122"/>
        <v>414.5</v>
      </c>
      <c r="AP147" s="1178">
        <f t="shared" si="122"/>
        <v>165.6</v>
      </c>
      <c r="AQ147" s="1178">
        <f t="shared" si="122"/>
        <v>178.5</v>
      </c>
      <c r="AR147" s="1178">
        <f t="shared" si="122"/>
        <v>220.35</v>
      </c>
      <c r="AS147" s="1178">
        <f t="shared" si="122"/>
        <v>325.125</v>
      </c>
      <c r="AT147" s="1010">
        <f t="shared" si="122"/>
        <v>889.57500000000005</v>
      </c>
      <c r="AU147" s="1178">
        <f t="shared" si="122"/>
        <v>372.59999999999997</v>
      </c>
      <c r="AV147" s="1178">
        <f t="shared" si="122"/>
        <v>421.26000000000005</v>
      </c>
      <c r="AW147" s="1178">
        <f t="shared" si="122"/>
        <v>462.73500000000001</v>
      </c>
      <c r="AX147" s="1178">
        <f t="shared" si="122"/>
        <v>656.75250000000005</v>
      </c>
      <c r="AY147" s="1010">
        <f t="shared" si="122"/>
        <v>1913.3475000000001</v>
      </c>
      <c r="AZ147" s="1178">
        <f t="shared" si="122"/>
        <v>804.81600000000003</v>
      </c>
      <c r="BA147" s="1178">
        <f t="shared" si="122"/>
        <v>813.0318000000002</v>
      </c>
      <c r="BB147" s="1178">
        <f t="shared" si="122"/>
        <v>893.07855000000006</v>
      </c>
      <c r="BC147" s="1178">
        <f t="shared" si="122"/>
        <v>1293.8024250000001</v>
      </c>
      <c r="BD147" s="1010">
        <f t="shared" si="122"/>
        <v>3804.7287750000005</v>
      </c>
      <c r="BE147" s="2879"/>
      <c r="BF147" s="2879"/>
      <c r="BG147" s="2879"/>
      <c r="BH147" s="2879"/>
      <c r="BI147" s="2958"/>
      <c r="BJ147" s="2960"/>
      <c r="BK147" s="2960"/>
      <c r="BL147" s="2960"/>
      <c r="BM147" s="2960"/>
      <c r="BN147" s="2958"/>
      <c r="BO147" s="2960"/>
      <c r="BP147" s="2960"/>
      <c r="BQ147" s="2960"/>
      <c r="BR147" s="2960"/>
      <c r="BS147" s="2958"/>
      <c r="BT147" s="1433"/>
      <c r="BU147" s="1010"/>
      <c r="BV147" s="1010"/>
      <c r="BW147" s="1010">
        <f>SUM(AM147:AN147,AP147:AQ147)</f>
        <v>601.6</v>
      </c>
      <c r="BX147" s="1010">
        <f>SUM(AR147:AS147,AU147:AV147)</f>
        <v>1339.335</v>
      </c>
      <c r="BY147" s="1010">
        <f>SUM(AW147:AX147,AZ147:BA147)</f>
        <v>2737.3353000000006</v>
      </c>
      <c r="BZ147" s="1010">
        <f>SUM(BB147:BC147,BE147:BF147)</f>
        <v>2186.880975</v>
      </c>
      <c r="CA147" s="1010"/>
      <c r="CB147" s="1010"/>
    </row>
    <row r="148" spans="1:93" outlineLevel="1">
      <c r="A148" s="1456" t="s">
        <v>926</v>
      </c>
      <c r="B148" s="1453"/>
      <c r="C148" s="1453"/>
      <c r="D148" s="1453"/>
      <c r="E148" s="1453"/>
      <c r="F148" s="1454"/>
      <c r="G148" s="1453"/>
      <c r="H148" s="1453"/>
      <c r="I148" s="1453"/>
      <c r="J148" s="1453"/>
      <c r="K148" s="1454"/>
      <c r="L148" s="1453"/>
      <c r="M148" s="1453"/>
      <c r="N148" s="1453"/>
      <c r="O148" s="1453"/>
      <c r="P148" s="1454"/>
      <c r="Q148" s="1453"/>
      <c r="R148" s="1453"/>
      <c r="S148" s="1453"/>
      <c r="T148" s="1453"/>
      <c r="U148" s="1454"/>
      <c r="V148" s="1453"/>
      <c r="W148" s="1453"/>
      <c r="X148" s="1453"/>
      <c r="Y148" s="1453"/>
      <c r="Z148" s="1454"/>
      <c r="AA148" s="1453"/>
      <c r="AB148" s="1453"/>
      <c r="AC148" s="1453"/>
      <c r="AD148" s="1453"/>
      <c r="AE148" s="1454"/>
      <c r="AF148" s="1446"/>
      <c r="AG148" s="1453"/>
      <c r="AH148" s="1453"/>
      <c r="AI148" s="1453"/>
      <c r="AJ148" s="1443"/>
      <c r="AK148" s="1442"/>
      <c r="AL148" s="1442"/>
      <c r="AM148" s="1442"/>
      <c r="AN148" s="1442"/>
      <c r="AO148" s="1443"/>
      <c r="AP148" s="1442">
        <f t="shared" ref="AP148:BD148" si="123">IF(ISERROR(AP147/AK147-1),,(AP147/AK147-1))</f>
        <v>1.2999999999999998</v>
      </c>
      <c r="AQ148" s="1442">
        <f t="shared" si="123"/>
        <v>1.1000000000000001</v>
      </c>
      <c r="AR148" s="1442">
        <f t="shared" si="123"/>
        <v>0.95</v>
      </c>
      <c r="AS148" s="1442">
        <f t="shared" si="123"/>
        <v>1.25</v>
      </c>
      <c r="AT148" s="1443">
        <f t="shared" si="123"/>
        <v>1.146139927623643</v>
      </c>
      <c r="AU148" s="1442">
        <f t="shared" si="123"/>
        <v>1.25</v>
      </c>
      <c r="AV148" s="1442">
        <f t="shared" si="123"/>
        <v>1.3600000000000003</v>
      </c>
      <c r="AW148" s="1442">
        <f t="shared" si="123"/>
        <v>1.1000000000000001</v>
      </c>
      <c r="AX148" s="1442">
        <f t="shared" si="123"/>
        <v>1.02</v>
      </c>
      <c r="AY148" s="1443">
        <f t="shared" si="123"/>
        <v>1.1508557457212714</v>
      </c>
      <c r="AZ148" s="1442">
        <f t="shared" si="123"/>
        <v>1.1600000000000001</v>
      </c>
      <c r="BA148" s="1442">
        <f t="shared" si="123"/>
        <v>0.93000000000000016</v>
      </c>
      <c r="BB148" s="1442">
        <f t="shared" si="123"/>
        <v>0.93000000000000016</v>
      </c>
      <c r="BC148" s="1442">
        <f t="shared" si="123"/>
        <v>0.97</v>
      </c>
      <c r="BD148" s="1443">
        <f t="shared" si="123"/>
        <v>0.98851947960315645</v>
      </c>
      <c r="BE148" s="2866"/>
      <c r="BF148" s="2866"/>
      <c r="BG148" s="2866"/>
      <c r="BH148" s="2866"/>
      <c r="BI148" s="2942"/>
      <c r="BJ148" s="2943"/>
      <c r="BK148" s="2943"/>
      <c r="BL148" s="2943"/>
      <c r="BM148" s="2943"/>
      <c r="BN148" s="2942"/>
      <c r="BO148" s="2943"/>
      <c r="BP148" s="2943"/>
      <c r="BQ148" s="2943"/>
      <c r="BR148" s="2943"/>
      <c r="BS148" s="2942"/>
      <c r="BT148" s="1520"/>
      <c r="BU148" s="1443"/>
      <c r="BV148" s="1443"/>
      <c r="BW148" s="1443"/>
      <c r="BX148" s="1443">
        <f>BX147/BW147-1</f>
        <v>1.2262882313829788</v>
      </c>
      <c r="BY148" s="1443">
        <f>BY147/BX147-1</f>
        <v>1.0438018120933155</v>
      </c>
      <c r="BZ148" s="1443">
        <f>BZ147/BY147-1</f>
        <v>-0.20109130401379782</v>
      </c>
      <c r="CA148" s="1443"/>
      <c r="CB148" s="1443"/>
    </row>
    <row r="149" spans="1:93" outlineLevel="1">
      <c r="A149" s="1456" t="s">
        <v>952</v>
      </c>
      <c r="B149" s="1453"/>
      <c r="C149" s="1453"/>
      <c r="D149" s="1453"/>
      <c r="E149" s="1453"/>
      <c r="F149" s="1454"/>
      <c r="G149" s="1453"/>
      <c r="H149" s="1453"/>
      <c r="I149" s="1453"/>
      <c r="J149" s="1453"/>
      <c r="K149" s="1454"/>
      <c r="L149" s="1453"/>
      <c r="M149" s="1453"/>
      <c r="N149" s="1453"/>
      <c r="O149" s="1453"/>
      <c r="P149" s="1454"/>
      <c r="Q149" s="1453"/>
      <c r="R149" s="1453"/>
      <c r="S149" s="1453"/>
      <c r="T149" s="1453"/>
      <c r="U149" s="1454"/>
      <c r="V149" s="1453"/>
      <c r="W149" s="1453"/>
      <c r="X149" s="1453"/>
      <c r="Y149" s="1453"/>
      <c r="Z149" s="1454"/>
      <c r="AA149" s="1453"/>
      <c r="AB149" s="1453"/>
      <c r="AC149" s="1453"/>
      <c r="AD149" s="1453"/>
      <c r="AE149" s="1454"/>
      <c r="AF149" s="1446"/>
      <c r="AG149" s="1442"/>
      <c r="AH149" s="1442"/>
      <c r="AI149" s="1442"/>
      <c r="AJ149" s="1443"/>
      <c r="AK149" s="1442"/>
      <c r="AL149" s="1442"/>
      <c r="AM149" s="1442"/>
      <c r="AN149" s="1442"/>
      <c r="AO149" s="1443"/>
      <c r="AP149" s="1442">
        <f>IF(ISERROR(AP147/AN147-1),,(AP147/AN147-1))</f>
        <v>0.14602076124567476</v>
      </c>
      <c r="AQ149" s="1442">
        <f>IF(ISERROR(AQ147/AP147-1),,(AQ147/AP147-1))</f>
        <v>7.7898550724637694E-2</v>
      </c>
      <c r="AR149" s="1442">
        <f>IF(ISERROR(AR147/AQ147-1),,(AR147/AQ147-1))</f>
        <v>0.2344537815126051</v>
      </c>
      <c r="AS149" s="1442">
        <f>IF(ISERROR(AS147/AR147-1),,(AS147/AR147-1))</f>
        <v>0.47549353301565689</v>
      </c>
      <c r="AT149" s="1443"/>
      <c r="AU149" s="1442">
        <f>IF(ISERROR(AU147/AS147-1),,(AU147/AS147-1))</f>
        <v>0.14602076124567454</v>
      </c>
      <c r="AV149" s="1442">
        <f>IF(ISERROR(AV147/AU147-1),,(AV147/AU147-1))</f>
        <v>0.13059581320450908</v>
      </c>
      <c r="AW149" s="1442">
        <f>IF(ISERROR(AW147/AV147-1),,(AW147/AV147-1))</f>
        <v>9.8454636091724668E-2</v>
      </c>
      <c r="AX149" s="1442">
        <f>IF(ISERROR(AX147/AW147-1),,(AX147/AW147-1))</f>
        <v>0.41928425556744142</v>
      </c>
      <c r="AY149" s="1443"/>
      <c r="AZ149" s="1442">
        <f>IF(ISERROR(AZ147/AX147-1),,(AZ147/AX147-1))</f>
        <v>0.22544794271814728</v>
      </c>
      <c r="BA149" s="1442">
        <f>IF(ISERROR(BA147/AZ147-1),,(BA147/AZ147-1))</f>
        <v>1.0208296057732769E-2</v>
      </c>
      <c r="BB149" s="1442">
        <f>IF(ISERROR(BB147/BA147-1),,(BB147/BA147-1))</f>
        <v>9.8454636091724668E-2</v>
      </c>
      <c r="BC149" s="1442">
        <f>IF(ISERROR(BC147/BB147-1),,(BC147/BB147-1))</f>
        <v>0.44869947329940918</v>
      </c>
      <c r="BD149" s="1443"/>
      <c r="BE149" s="2866"/>
      <c r="BF149" s="2866"/>
      <c r="BG149" s="2866"/>
      <c r="BH149" s="2866"/>
      <c r="BI149" s="2942"/>
      <c r="BJ149" s="2943"/>
      <c r="BK149" s="2943"/>
      <c r="BL149" s="2943"/>
      <c r="BM149" s="2943"/>
      <c r="BN149" s="2942"/>
      <c r="BO149" s="2943"/>
      <c r="BP149" s="2943"/>
      <c r="BQ149" s="2943"/>
      <c r="BR149" s="2943"/>
      <c r="BS149" s="2942"/>
      <c r="BT149" s="1520"/>
      <c r="BU149" s="1443"/>
      <c r="BV149" s="1443"/>
      <c r="BW149" s="1443"/>
      <c r="BX149" s="1443"/>
      <c r="BY149" s="1443"/>
      <c r="BZ149" s="1443"/>
      <c r="CA149" s="1443"/>
      <c r="CB149" s="1443"/>
    </row>
    <row r="150" spans="1:93" outlineLevel="1">
      <c r="A150" s="1425" t="s">
        <v>918</v>
      </c>
      <c r="B150" s="1345"/>
      <c r="C150" s="1345"/>
      <c r="D150" s="1345"/>
      <c r="E150" s="1345"/>
      <c r="F150" s="1346"/>
      <c r="G150" s="1345"/>
      <c r="H150" s="1345"/>
      <c r="I150" s="1345"/>
      <c r="J150" s="1345"/>
      <c r="K150" s="1346"/>
      <c r="L150" s="1345"/>
      <c r="M150" s="1345"/>
      <c r="N150" s="1345"/>
      <c r="O150" s="1345"/>
      <c r="P150" s="1346"/>
      <c r="Q150" s="1345"/>
      <c r="R150" s="1345"/>
      <c r="S150" s="1345"/>
      <c r="T150" s="1345"/>
      <c r="U150" s="1346"/>
      <c r="V150" s="1345"/>
      <c r="W150" s="1345"/>
      <c r="X150" s="1345"/>
      <c r="Y150" s="1345"/>
      <c r="Z150" s="1346"/>
      <c r="AA150" s="1345"/>
      <c r="AB150" s="1345"/>
      <c r="AC150" s="1345"/>
      <c r="AD150" s="1345"/>
      <c r="AE150" s="1348"/>
      <c r="AF150" s="1177"/>
      <c r="AG150" s="1177"/>
      <c r="AH150" s="1177"/>
      <c r="AI150" s="1177"/>
      <c r="AJ150" s="1348"/>
      <c r="AK150" s="1177">
        <f>AK147+AK144+AK141</f>
        <v>472</v>
      </c>
      <c r="AL150" s="1177">
        <f t="shared" ref="AL150:AN150" si="124">AL147+AL144+AL141</f>
        <v>610</v>
      </c>
      <c r="AM150" s="1177">
        <f t="shared" si="124"/>
        <v>713</v>
      </c>
      <c r="AN150" s="1177">
        <f t="shared" si="124"/>
        <v>994.5</v>
      </c>
      <c r="AO150" s="1348">
        <f>SUM(AK150:AN150)</f>
        <v>2789.5</v>
      </c>
      <c r="AP150" s="1177">
        <f>AP147+AP144+AP141</f>
        <v>1081.5999999999999</v>
      </c>
      <c r="AQ150" s="1177">
        <f t="shared" ref="AQ150:AS150" si="125">AQ147+AQ144+AQ141</f>
        <v>1297.5</v>
      </c>
      <c r="AR150" s="1177">
        <f t="shared" si="125"/>
        <v>1488.35</v>
      </c>
      <c r="AS150" s="1177">
        <f t="shared" si="125"/>
        <v>1862.125</v>
      </c>
      <c r="AT150" s="1348">
        <f>SUM(AP150:AS150)</f>
        <v>5729.5749999999998</v>
      </c>
      <c r="AU150" s="1177">
        <f>AU147+AU144+AU141</f>
        <v>1898.6000000000001</v>
      </c>
      <c r="AV150" s="1177">
        <f t="shared" ref="AV150:AX150" si="126">AV147+AV144+AV141</f>
        <v>2240.3100000000004</v>
      </c>
      <c r="AW150" s="1177">
        <f t="shared" si="126"/>
        <v>2437.1350000000002</v>
      </c>
      <c r="AX150" s="1177">
        <f t="shared" si="126"/>
        <v>3034.7725</v>
      </c>
      <c r="AY150" s="1348">
        <f>SUM(AU150:AX150)</f>
        <v>9610.817500000001</v>
      </c>
      <c r="AZ150" s="1177">
        <f>AZ147+AZ144+AZ141</f>
        <v>3124.7560000000003</v>
      </c>
      <c r="BA150" s="1177">
        <f t="shared" ref="BA150:BC150" si="127">BA147+BA144+BA141</f>
        <v>3504.5253000000002</v>
      </c>
      <c r="BB150" s="1177">
        <f t="shared" si="127"/>
        <v>3770.3585499999999</v>
      </c>
      <c r="BC150" s="1177">
        <f t="shared" si="127"/>
        <v>4709.2510249999996</v>
      </c>
      <c r="BD150" s="1348">
        <f>SUM(AZ150:BC150)</f>
        <v>15108.890874999999</v>
      </c>
      <c r="BE150" s="2880"/>
      <c r="BF150" s="2880"/>
      <c r="BG150" s="2880"/>
      <c r="BH150" s="2880"/>
      <c r="BI150" s="2961"/>
      <c r="BJ150" s="2962"/>
      <c r="BK150" s="2962"/>
      <c r="BL150" s="2962"/>
      <c r="BM150" s="2962"/>
      <c r="BN150" s="2961"/>
      <c r="BO150" s="2962"/>
      <c r="BP150" s="2962"/>
      <c r="BQ150" s="2962"/>
      <c r="BR150" s="2962"/>
      <c r="BS150" s="2961"/>
      <c r="BT150" s="1433"/>
      <c r="BU150" s="1348"/>
      <c r="BV150" s="1348"/>
      <c r="BW150" s="1348">
        <f>SUM(AM150:AN150,AP150:AQ150)</f>
        <v>4086.6</v>
      </c>
      <c r="BX150" s="1348">
        <f>SUM(AR150:AS150,AU150:AV150)</f>
        <v>7489.3850000000002</v>
      </c>
      <c r="BY150" s="1348">
        <f>SUM(AW150:AX150,AZ150:BA150)</f>
        <v>12101.1888</v>
      </c>
      <c r="BZ150" s="1348">
        <f>SUM(BB150:BC150,BE150:BF150)</f>
        <v>8479.6095749999986</v>
      </c>
      <c r="CA150" s="1348"/>
      <c r="CB150" s="1348"/>
    </row>
    <row r="151" spans="1:93" outlineLevel="1">
      <c r="A151" s="1456" t="s">
        <v>926</v>
      </c>
      <c r="B151" s="1453"/>
      <c r="C151" s="1453"/>
      <c r="D151" s="1453"/>
      <c r="E151" s="1453"/>
      <c r="F151" s="1454"/>
      <c r="G151" s="1453"/>
      <c r="H151" s="1453"/>
      <c r="I151" s="1453"/>
      <c r="J151" s="1453"/>
      <c r="K151" s="1454"/>
      <c r="L151" s="1453"/>
      <c r="M151" s="1453"/>
      <c r="N151" s="1453"/>
      <c r="O151" s="1453"/>
      <c r="P151" s="1454"/>
      <c r="Q151" s="1453"/>
      <c r="R151" s="1453"/>
      <c r="S151" s="1453"/>
      <c r="T151" s="1453"/>
      <c r="U151" s="1454"/>
      <c r="V151" s="1453"/>
      <c r="W151" s="1453"/>
      <c r="X151" s="1453"/>
      <c r="Y151" s="1453"/>
      <c r="Z151" s="1454"/>
      <c r="AA151" s="1453"/>
      <c r="AB151" s="1453"/>
      <c r="AC151" s="1453"/>
      <c r="AD151" s="1453"/>
      <c r="AE151" s="1454"/>
      <c r="AF151" s="1446"/>
      <c r="AG151" s="1453"/>
      <c r="AH151" s="1453"/>
      <c r="AI151" s="1453"/>
      <c r="AJ151" s="1443"/>
      <c r="AK151" s="1442"/>
      <c r="AL151" s="1442"/>
      <c r="AM151" s="1442"/>
      <c r="AN151" s="1442"/>
      <c r="AO151" s="1443"/>
      <c r="AP151" s="1442">
        <f t="shared" ref="AP151:BD151" si="128">IF(ISERROR(AP150/AK150-1),,(AP150/AK150-1))</f>
        <v>1.2915254237288134</v>
      </c>
      <c r="AQ151" s="1442">
        <f t="shared" si="128"/>
        <v>1.127049180327869</v>
      </c>
      <c r="AR151" s="1442">
        <f t="shared" si="128"/>
        <v>1.0874474053295931</v>
      </c>
      <c r="AS151" s="1442">
        <f t="shared" si="128"/>
        <v>0.87242332830568126</v>
      </c>
      <c r="AT151" s="1443">
        <f t="shared" si="128"/>
        <v>1.053979207743323</v>
      </c>
      <c r="AU151" s="1442">
        <f t="shared" si="128"/>
        <v>0.75536242603550319</v>
      </c>
      <c r="AV151" s="1442">
        <f t="shared" si="128"/>
        <v>0.72663583815028931</v>
      </c>
      <c r="AW151" s="1442">
        <f t="shared" si="128"/>
        <v>0.63747438438539339</v>
      </c>
      <c r="AX151" s="1442">
        <f t="shared" si="128"/>
        <v>0.62973618849432778</v>
      </c>
      <c r="AY151" s="1443">
        <f t="shared" si="128"/>
        <v>0.67740495586496396</v>
      </c>
      <c r="AZ151" s="1442">
        <f t="shared" si="128"/>
        <v>0.64582113135994956</v>
      </c>
      <c r="BA151" s="1442">
        <f t="shared" si="128"/>
        <v>0.56430373475099405</v>
      </c>
      <c r="BB151" s="1442">
        <f t="shared" si="128"/>
        <v>0.54704542423788571</v>
      </c>
      <c r="BC151" s="1442">
        <f t="shared" si="128"/>
        <v>0.5517641025810005</v>
      </c>
      <c r="BD151" s="1443">
        <f t="shared" si="128"/>
        <v>0.57207135345146209</v>
      </c>
      <c r="BE151" s="2866"/>
      <c r="BF151" s="2866"/>
      <c r="BG151" s="2866"/>
      <c r="BH151" s="2866"/>
      <c r="BI151" s="2942"/>
      <c r="BJ151" s="2943"/>
      <c r="BK151" s="2943"/>
      <c r="BL151" s="2943"/>
      <c r="BM151" s="2943"/>
      <c r="BN151" s="2942"/>
      <c r="BO151" s="2943"/>
      <c r="BP151" s="2943"/>
      <c r="BQ151" s="2943"/>
      <c r="BR151" s="2943"/>
      <c r="BS151" s="2942"/>
      <c r="BT151" s="1235"/>
      <c r="BU151" s="1443"/>
      <c r="BV151" s="1443"/>
      <c r="BW151" s="1443"/>
      <c r="BX151" s="1443">
        <f>BX150/BW150-1</f>
        <v>0.83266896686732261</v>
      </c>
      <c r="BY151" s="1443">
        <f>BY150/BX150-1</f>
        <v>0.61577870546112923</v>
      </c>
      <c r="BZ151" s="1443">
        <f>BZ150/BY150-1</f>
        <v>-0.29927466506431177</v>
      </c>
      <c r="CA151" s="1443"/>
      <c r="CB151" s="1443"/>
    </row>
    <row r="152" spans="1:93" outlineLevel="1">
      <c r="A152" s="1457" t="s">
        <v>952</v>
      </c>
      <c r="B152" s="1458"/>
      <c r="C152" s="1458"/>
      <c r="D152" s="1458"/>
      <c r="E152" s="1458"/>
      <c r="F152" s="1459"/>
      <c r="G152" s="1458"/>
      <c r="H152" s="1458"/>
      <c r="I152" s="1458"/>
      <c r="J152" s="1458"/>
      <c r="K152" s="1459"/>
      <c r="L152" s="1458"/>
      <c r="M152" s="1458"/>
      <c r="N152" s="1458"/>
      <c r="O152" s="1458"/>
      <c r="P152" s="1459"/>
      <c r="Q152" s="1458"/>
      <c r="R152" s="1458"/>
      <c r="S152" s="1458"/>
      <c r="T152" s="1458"/>
      <c r="U152" s="1459"/>
      <c r="V152" s="1458"/>
      <c r="W152" s="1458"/>
      <c r="X152" s="1458"/>
      <c r="Y152" s="1458"/>
      <c r="Z152" s="1459"/>
      <c r="AA152" s="1458"/>
      <c r="AB152" s="1458"/>
      <c r="AC152" s="1458"/>
      <c r="AD152" s="1458"/>
      <c r="AE152" s="1459"/>
      <c r="AF152" s="1450"/>
      <c r="AG152" s="1460"/>
      <c r="AH152" s="1460"/>
      <c r="AI152" s="1460"/>
      <c r="AJ152" s="1461"/>
      <c r="AK152" s="1460"/>
      <c r="AL152" s="1460"/>
      <c r="AM152" s="1460"/>
      <c r="AN152" s="1460"/>
      <c r="AO152" s="1461"/>
      <c r="AP152" s="1460">
        <f>IF(ISERROR(AP150/AN150-1),,(AP150/AN150-1))</f>
        <v>8.758169934640514E-2</v>
      </c>
      <c r="AQ152" s="1460">
        <f>IF(ISERROR(AQ150/AP150-1),,(AQ150/AP150-1))</f>
        <v>0.19961168639053262</v>
      </c>
      <c r="AR152" s="1460">
        <f>IF(ISERROR(AR150/AQ150-1),,(AR150/AQ150-1))</f>
        <v>0.14709055876685917</v>
      </c>
      <c r="AS152" s="1460">
        <f>IF(ISERROR(AS150/AR150-1),,(AS150/AR150-1))</f>
        <v>0.25113380589243128</v>
      </c>
      <c r="AT152" s="1461"/>
      <c r="AU152" s="1460">
        <f>IF(ISERROR(AU150/AS150-1),,(AU150/AS150-1))</f>
        <v>1.9587836477143128E-2</v>
      </c>
      <c r="AV152" s="1460">
        <f>IF(ISERROR(AV150/AU150-1),,(AV150/AU150-1))</f>
        <v>0.1799799852522912</v>
      </c>
      <c r="AW152" s="1460">
        <f>IF(ISERROR(AW150/AV150-1),,(AW150/AV150-1))</f>
        <v>8.785614490851712E-2</v>
      </c>
      <c r="AX152" s="1460">
        <f>IF(ISERROR(AX150/AW150-1),,(AX150/AW150-1))</f>
        <v>0.24522133570770577</v>
      </c>
      <c r="AY152" s="1461"/>
      <c r="AZ152" s="1460">
        <f>IF(ISERROR(AZ150/AX150-1),,(AZ150/AX150-1))</f>
        <v>2.9650822260976817E-2</v>
      </c>
      <c r="BA152" s="1460">
        <f>IF(ISERROR(BA150/AZ150-1),,(BA150/AZ150-1))</f>
        <v>0.12153566550476258</v>
      </c>
      <c r="BB152" s="1460">
        <f>IF(ISERROR(BB150/BA150-1),,(BB150/BA150-1))</f>
        <v>7.5854281890902486E-2</v>
      </c>
      <c r="BC152" s="1460">
        <f>IF(ISERROR(BC150/BB150-1),,(BC150/BB150-1))</f>
        <v>0.24901941355153068</v>
      </c>
      <c r="BD152" s="1461"/>
      <c r="BE152" s="2868"/>
      <c r="BF152" s="2868"/>
      <c r="BG152" s="2868"/>
      <c r="BH152" s="2868"/>
      <c r="BI152" s="2945"/>
      <c r="BJ152" s="2946"/>
      <c r="BK152" s="2946"/>
      <c r="BL152" s="2946"/>
      <c r="BM152" s="2946"/>
      <c r="BN152" s="2945"/>
      <c r="BO152" s="2946"/>
      <c r="BP152" s="2946"/>
      <c r="BQ152" s="2946"/>
      <c r="BR152" s="2946"/>
      <c r="BS152" s="2945"/>
      <c r="BT152" s="1349"/>
      <c r="BU152" s="1461"/>
      <c r="BV152" s="1461"/>
      <c r="BW152" s="1461"/>
      <c r="BX152" s="1461"/>
      <c r="BY152" s="1461"/>
      <c r="BZ152" s="1461"/>
      <c r="CA152" s="1461"/>
      <c r="CB152" s="1461"/>
    </row>
    <row r="153" spans="1:93" outlineLevel="1">
      <c r="A153" s="1435"/>
      <c r="B153" s="1436"/>
      <c r="C153" s="1436"/>
      <c r="D153" s="1436"/>
      <c r="E153" s="1436"/>
      <c r="F153" s="1437"/>
      <c r="G153" s="1436"/>
      <c r="H153" s="1436"/>
      <c r="I153" s="1436"/>
      <c r="J153" s="1436"/>
      <c r="K153" s="1437"/>
      <c r="L153" s="1436"/>
      <c r="M153" s="1436"/>
      <c r="N153" s="1436"/>
      <c r="O153" s="1436"/>
      <c r="P153" s="1437"/>
      <c r="Q153" s="1436"/>
      <c r="R153" s="1436"/>
      <c r="S153" s="1436"/>
      <c r="T153" s="1436"/>
      <c r="U153" s="1437"/>
      <c r="V153" s="1436"/>
      <c r="W153" s="1436"/>
      <c r="X153" s="1436"/>
      <c r="Y153" s="1436"/>
      <c r="Z153" s="1437"/>
      <c r="AA153" s="1436"/>
      <c r="AB153" s="1436"/>
      <c r="AC153" s="1436"/>
      <c r="AD153" s="1436"/>
      <c r="AE153" s="1437"/>
      <c r="AF153" s="1721"/>
      <c r="AG153" s="1721"/>
      <c r="AH153" s="1721"/>
      <c r="AI153" s="1721"/>
      <c r="AJ153" s="1433"/>
      <c r="AK153" s="1721"/>
      <c r="AL153" s="1721"/>
      <c r="AM153" s="1721"/>
      <c r="AN153" s="1721"/>
      <c r="AO153" s="1433"/>
      <c r="AP153" s="1721"/>
      <c r="AQ153" s="2227"/>
      <c r="AR153" s="2227"/>
      <c r="AS153" s="1721"/>
      <c r="AT153" s="1433"/>
      <c r="AU153" s="1721"/>
      <c r="AV153" s="2227"/>
      <c r="AW153" s="2227"/>
      <c r="AX153" s="1721"/>
      <c r="AY153" s="1433"/>
      <c r="AZ153" s="1721"/>
      <c r="BA153" s="2227"/>
      <c r="BB153" s="1430"/>
      <c r="BC153" s="1430"/>
      <c r="BD153" s="1433"/>
      <c r="BE153" s="2866"/>
      <c r="BF153" s="2866"/>
      <c r="BG153" s="2866"/>
      <c r="BH153" s="2866"/>
      <c r="BI153" s="2942"/>
      <c r="BJ153" s="2943"/>
      <c r="BK153" s="2943"/>
      <c r="BL153" s="2943"/>
      <c r="BM153" s="2943"/>
      <c r="BN153" s="2942"/>
      <c r="BO153" s="2943"/>
      <c r="BP153" s="2943"/>
      <c r="BQ153" s="2943"/>
      <c r="BR153" s="2943"/>
      <c r="BS153" s="2942"/>
      <c r="BT153" s="1235"/>
      <c r="BU153" s="1433"/>
      <c r="BV153" s="1433"/>
      <c r="BW153" s="1433"/>
      <c r="BX153" s="1433"/>
      <c r="BY153" s="1433"/>
      <c r="BZ153" s="1433"/>
      <c r="CA153" s="1433"/>
      <c r="CB153" s="1433"/>
      <c r="CC153" s="1343"/>
      <c r="CD153" s="1343"/>
      <c r="CE153" s="1343"/>
      <c r="CG153" s="1343"/>
      <c r="CH153" s="1343"/>
      <c r="CI153" s="1343"/>
      <c r="CJ153" s="1343"/>
      <c r="CK153" s="1343"/>
      <c r="CL153" s="1343"/>
      <c r="CM153" s="1343"/>
      <c r="CN153" s="1343"/>
      <c r="CO153" s="1343"/>
    </row>
    <row r="154" spans="1:93" outlineLevel="1">
      <c r="A154" s="1050" t="s">
        <v>498</v>
      </c>
      <c r="B154" s="1051"/>
      <c r="C154" s="1051"/>
      <c r="D154" s="1051"/>
      <c r="E154" s="1051"/>
      <c r="F154" s="1052"/>
      <c r="G154" s="1051"/>
      <c r="H154" s="1051"/>
      <c r="I154" s="1051"/>
      <c r="J154" s="1051"/>
      <c r="K154" s="1052"/>
      <c r="L154" s="1051"/>
      <c r="M154" s="1051"/>
      <c r="N154" s="1051"/>
      <c r="O154" s="1051"/>
      <c r="P154" s="1052"/>
      <c r="Q154" s="1051"/>
      <c r="R154" s="1051"/>
      <c r="S154" s="1051"/>
      <c r="T154" s="1051"/>
      <c r="U154" s="1052"/>
      <c r="V154" s="1051"/>
      <c r="W154" s="1051"/>
      <c r="X154" s="1051"/>
      <c r="Y154" s="1051"/>
      <c r="Z154" s="1052"/>
      <c r="AA154" s="1051"/>
      <c r="AB154" s="1051"/>
      <c r="AC154" s="1051"/>
      <c r="AD154" s="1051"/>
      <c r="AE154" s="1052"/>
      <c r="AF154" s="1053"/>
      <c r="AG154" s="1051"/>
      <c r="AH154" s="1051"/>
      <c r="AI154" s="1051"/>
      <c r="AJ154" s="1052"/>
      <c r="AK154" s="1054"/>
      <c r="AL154" s="1051"/>
      <c r="AM154" s="1051"/>
      <c r="AN154" s="1051"/>
      <c r="AO154" s="1052"/>
      <c r="AP154" s="1054"/>
      <c r="AQ154" s="1051"/>
      <c r="AR154" s="1051"/>
      <c r="AS154" s="1051"/>
      <c r="AT154" s="1052"/>
      <c r="AU154" s="1054"/>
      <c r="AV154" s="1051"/>
      <c r="AW154" s="1051"/>
      <c r="AX154" s="1051"/>
      <c r="AY154" s="1052"/>
      <c r="AZ154" s="1054"/>
      <c r="BA154" s="1051"/>
      <c r="BB154" s="1051"/>
      <c r="BC154" s="1051"/>
      <c r="BD154" s="1052"/>
      <c r="BE154" s="2851"/>
      <c r="BF154" s="2852"/>
      <c r="BG154" s="2852"/>
      <c r="BH154" s="2852"/>
      <c r="BI154" s="2915"/>
      <c r="BJ154" s="2916"/>
      <c r="BK154" s="2917"/>
      <c r="BL154" s="2917"/>
      <c r="BM154" s="2917"/>
      <c r="BN154" s="2915"/>
      <c r="BO154" s="2916"/>
      <c r="BP154" s="2917"/>
      <c r="BQ154" s="2917"/>
      <c r="BR154" s="2917"/>
      <c r="BS154" s="2915"/>
      <c r="BT154" s="1343"/>
      <c r="BU154" s="1052"/>
      <c r="BV154" s="1052"/>
      <c r="BW154" s="1052"/>
      <c r="BX154" s="1052"/>
      <c r="BY154" s="1052"/>
      <c r="BZ154" s="1052"/>
      <c r="CA154" s="1052"/>
      <c r="CB154" s="1052"/>
      <c r="CI154" s="1343"/>
      <c r="CJ154" s="1343"/>
      <c r="CK154" s="1343"/>
      <c r="CL154" s="1343"/>
      <c r="CM154" s="1343"/>
      <c r="CN154" s="1343"/>
      <c r="CO154" s="1343"/>
    </row>
    <row r="155" spans="1:93" s="1021" customFormat="1" outlineLevel="1">
      <c r="A155" s="1020" t="s">
        <v>935</v>
      </c>
      <c r="B155" s="1025"/>
      <c r="C155" s="1025"/>
      <c r="D155" s="1025"/>
      <c r="E155" s="1025"/>
      <c r="F155" s="1024"/>
      <c r="G155" s="1025"/>
      <c r="H155" s="1025"/>
      <c r="I155" s="1025"/>
      <c r="J155" s="1025"/>
      <c r="K155" s="1024"/>
      <c r="L155" s="1025"/>
      <c r="M155" s="1025"/>
      <c r="N155" s="1025"/>
      <c r="O155" s="1025"/>
      <c r="P155" s="1024"/>
      <c r="Q155" s="1025"/>
      <c r="R155" s="1025"/>
      <c r="S155" s="1025"/>
      <c r="T155" s="1025"/>
      <c r="U155" s="1024"/>
      <c r="V155" s="1025"/>
      <c r="W155" s="1025"/>
      <c r="X155" s="1025"/>
      <c r="Y155" s="1025"/>
      <c r="Z155" s="1024"/>
      <c r="AA155" s="1025"/>
      <c r="AB155" s="1025"/>
      <c r="AC155" s="1025"/>
      <c r="AD155" s="1025"/>
      <c r="AE155" s="1024"/>
      <c r="AF155" s="1025">
        <f>'Client Unit Model'!AJ22</f>
        <v>0</v>
      </c>
      <c r="AG155" s="1025">
        <f>'Client Unit Model'!AK22</f>
        <v>0.4</v>
      </c>
      <c r="AH155" s="1025">
        <f>'Client Unit Model'!AL22</f>
        <v>0.4</v>
      </c>
      <c r="AI155" s="1025">
        <f>'Client Unit Model'!AM22</f>
        <v>0.3</v>
      </c>
      <c r="AJ155" s="1024">
        <f>SUM(AF155:AI155)</f>
        <v>1.1000000000000001</v>
      </c>
      <c r="AK155" s="1025">
        <f>'Client Unit Model'!AN22</f>
        <v>0.7</v>
      </c>
      <c r="AL155" s="1025">
        <v>1.25</v>
      </c>
      <c r="AM155" s="1025">
        <f>'Client Unit Model'!AP22</f>
        <v>0.8</v>
      </c>
      <c r="AN155" s="1025">
        <f>'Client Unit Model'!AQ22</f>
        <v>0.6</v>
      </c>
      <c r="AO155" s="1024">
        <f>SUM(AK155:AN155)</f>
        <v>3.35</v>
      </c>
      <c r="AP155" s="1025">
        <f>'Client Unit Model'!AR22</f>
        <v>1.6</v>
      </c>
      <c r="AQ155" s="1025">
        <f>'Client Unit Model'!AS22</f>
        <v>1.5</v>
      </c>
      <c r="AR155" s="1025">
        <f>'Client Unit Model'!AT22</f>
        <v>0.95</v>
      </c>
      <c r="AS155" s="1025">
        <f>'Client Unit Model'!AU22</f>
        <v>1.2</v>
      </c>
      <c r="AT155" s="1024">
        <f>SUM(AP155:AS155)</f>
        <v>5.25</v>
      </c>
      <c r="AU155" s="1025">
        <f>'Client Unit Model'!AV22</f>
        <v>1</v>
      </c>
      <c r="AV155" s="1025">
        <f>'Client Unit Model'!AW22</f>
        <v>1.9</v>
      </c>
      <c r="AW155" s="1025">
        <f>'Client Unit Model'!AX22</f>
        <v>1.2050000000000001</v>
      </c>
      <c r="AX155" s="1025">
        <f>'Client Unit Model'!AY22</f>
        <v>1.2</v>
      </c>
      <c r="AY155" s="1024">
        <f>SUM(AU155:AX155)</f>
        <v>5.3050000000000006</v>
      </c>
      <c r="AZ155" s="1025">
        <f>'Client Unit Model'!BA22</f>
        <v>1.1499999999999999</v>
      </c>
      <c r="BA155" s="1025">
        <f>'Client Unit Model'!BB22</f>
        <v>1.4967183325534226</v>
      </c>
      <c r="BB155" s="1025">
        <f>'Client Unit Model'!BC22</f>
        <v>1.1000000000000001</v>
      </c>
      <c r="BC155" s="1025">
        <f>'Client Unit Model'!BD22</f>
        <v>1.1870824099284665</v>
      </c>
      <c r="BD155" s="1024">
        <f>SUM(AZ155:BC155)</f>
        <v>4.933800742481889</v>
      </c>
      <c r="BE155" s="2881"/>
      <c r="BF155" s="2881"/>
      <c r="BG155" s="2881"/>
      <c r="BH155" s="2881"/>
      <c r="BI155" s="2963"/>
      <c r="BJ155" s="2964"/>
      <c r="BK155" s="2964"/>
      <c r="BL155" s="2964"/>
      <c r="BM155" s="2964"/>
      <c r="BN155" s="2963"/>
      <c r="BO155" s="2964"/>
      <c r="BP155" s="2964"/>
      <c r="BQ155" s="2964"/>
      <c r="BR155" s="2964"/>
      <c r="BS155" s="2963"/>
      <c r="BT155" s="1521"/>
      <c r="BU155" s="1193"/>
      <c r="BV155" s="1193"/>
      <c r="BW155" s="1193"/>
      <c r="BX155" s="1193"/>
      <c r="BY155" s="1193"/>
      <c r="BZ155" s="1193"/>
      <c r="CA155" s="1193"/>
      <c r="CB155" s="1193"/>
    </row>
    <row r="156" spans="1:93" s="1022" customFormat="1" outlineLevel="1">
      <c r="A156" s="1032" t="s">
        <v>926</v>
      </c>
      <c r="B156" s="1034"/>
      <c r="C156" s="1034"/>
      <c r="D156" s="1034"/>
      <c r="E156" s="1034"/>
      <c r="F156" s="1033"/>
      <c r="G156" s="1034"/>
      <c r="H156" s="1034"/>
      <c r="I156" s="1034"/>
      <c r="J156" s="1034"/>
      <c r="K156" s="1033"/>
      <c r="L156" s="1034"/>
      <c r="M156" s="1034"/>
      <c r="N156" s="1034"/>
      <c r="O156" s="1034"/>
      <c r="P156" s="1033"/>
      <c r="Q156" s="1034"/>
      <c r="R156" s="1034"/>
      <c r="S156" s="1034"/>
      <c r="T156" s="1034"/>
      <c r="U156" s="1033"/>
      <c r="V156" s="1034"/>
      <c r="W156" s="1034"/>
      <c r="X156" s="1034"/>
      <c r="Y156" s="1034"/>
      <c r="Z156" s="1033"/>
      <c r="AA156" s="1034"/>
      <c r="AB156" s="1034"/>
      <c r="AC156" s="1034"/>
      <c r="AD156" s="1034"/>
      <c r="AE156" s="1033"/>
      <c r="AF156" s="1017"/>
      <c r="AG156" s="1034"/>
      <c r="AH156" s="1034"/>
      <c r="AI156" s="1034"/>
      <c r="AJ156" s="1035">
        <f t="shared" ref="AJ156:BD156" si="129">IF(ISERROR(AJ155/AE155-1),,(AJ155/AE155-1))</f>
        <v>0</v>
      </c>
      <c r="AK156" s="1036">
        <f t="shared" si="129"/>
        <v>0</v>
      </c>
      <c r="AL156" s="1036">
        <f t="shared" si="129"/>
        <v>2.125</v>
      </c>
      <c r="AM156" s="1036">
        <f t="shared" si="129"/>
        <v>1</v>
      </c>
      <c r="AN156" s="1036">
        <f t="shared" si="129"/>
        <v>1</v>
      </c>
      <c r="AO156" s="1035">
        <f t="shared" si="129"/>
        <v>2.0454545454545454</v>
      </c>
      <c r="AP156" s="1036">
        <f t="shared" si="129"/>
        <v>1.285714285714286</v>
      </c>
      <c r="AQ156" s="1036">
        <f t="shared" si="129"/>
        <v>0.19999999999999996</v>
      </c>
      <c r="AR156" s="1036">
        <f t="shared" si="129"/>
        <v>0.18749999999999978</v>
      </c>
      <c r="AS156" s="1036">
        <f t="shared" si="129"/>
        <v>1</v>
      </c>
      <c r="AT156" s="1035">
        <f t="shared" si="129"/>
        <v>0.56716417910447747</v>
      </c>
      <c r="AU156" s="1036">
        <f t="shared" si="129"/>
        <v>-0.375</v>
      </c>
      <c r="AV156" s="1036">
        <f t="shared" si="129"/>
        <v>0.26666666666666661</v>
      </c>
      <c r="AW156" s="1036">
        <f t="shared" si="129"/>
        <v>0.26842105263157912</v>
      </c>
      <c r="AX156" s="1036">
        <f t="shared" si="129"/>
        <v>0</v>
      </c>
      <c r="AY156" s="1035">
        <f t="shared" si="129"/>
        <v>1.0476190476190528E-2</v>
      </c>
      <c r="AZ156" s="1036">
        <f t="shared" si="129"/>
        <v>0.14999999999999991</v>
      </c>
      <c r="BA156" s="1036">
        <f t="shared" si="129"/>
        <v>-0.21225350918240915</v>
      </c>
      <c r="BB156" s="1036">
        <f t="shared" si="129"/>
        <v>-8.7136929460580936E-2</v>
      </c>
      <c r="BC156" s="1036">
        <f t="shared" si="129"/>
        <v>-1.0764658392944604E-2</v>
      </c>
      <c r="BD156" s="1035">
        <f t="shared" si="129"/>
        <v>-6.9971584829050193E-2</v>
      </c>
      <c r="BE156" s="2866"/>
      <c r="BF156" s="2866"/>
      <c r="BG156" s="2866"/>
      <c r="BH156" s="2866"/>
      <c r="BI156" s="2942"/>
      <c r="BJ156" s="2943"/>
      <c r="BK156" s="2943"/>
      <c r="BL156" s="2943"/>
      <c r="BM156" s="2943"/>
      <c r="BN156" s="2942"/>
      <c r="BO156" s="2943"/>
      <c r="BP156" s="2943"/>
      <c r="BQ156" s="2943"/>
      <c r="BR156" s="2943"/>
      <c r="BS156" s="2942"/>
      <c r="BT156" s="1438"/>
      <c r="BU156" s="1035"/>
      <c r="BV156" s="1035"/>
      <c r="BW156" s="1035"/>
      <c r="BX156" s="1035"/>
      <c r="BY156" s="1035"/>
      <c r="BZ156" s="1035"/>
      <c r="CA156" s="1035"/>
      <c r="CB156" s="1035"/>
    </row>
    <row r="157" spans="1:93" s="1059" customFormat="1" outlineLevel="1">
      <c r="A157" s="1055" t="s">
        <v>928</v>
      </c>
      <c r="B157" s="1060"/>
      <c r="C157" s="1060"/>
      <c r="D157" s="1060"/>
      <c r="E157" s="1060"/>
      <c r="F157" s="1058"/>
      <c r="G157" s="1060"/>
      <c r="H157" s="1060"/>
      <c r="I157" s="1060"/>
      <c r="J157" s="1060"/>
      <c r="K157" s="1058"/>
      <c r="L157" s="1060"/>
      <c r="M157" s="1060"/>
      <c r="N157" s="1060"/>
      <c r="O157" s="1060"/>
      <c r="P157" s="1058"/>
      <c r="Q157" s="1060"/>
      <c r="R157" s="1060"/>
      <c r="S157" s="1060"/>
      <c r="T157" s="1060"/>
      <c r="U157" s="1058"/>
      <c r="V157" s="1060"/>
      <c r="W157" s="1060"/>
      <c r="X157" s="1060"/>
      <c r="Y157" s="1060"/>
      <c r="Z157" s="1058"/>
      <c r="AA157" s="1060"/>
      <c r="AB157" s="1060"/>
      <c r="AC157" s="1060"/>
      <c r="AD157" s="1060"/>
      <c r="AE157" s="1058"/>
      <c r="AF157" s="1060" t="str">
        <f t="shared" ref="AF157:AT157" si="130">IFERROR((AF158/AF155),"")</f>
        <v/>
      </c>
      <c r="AG157" s="1060">
        <f t="shared" si="130"/>
        <v>413.92226590741939</v>
      </c>
      <c r="AH157" s="1060">
        <f t="shared" si="130"/>
        <v>531.93400005034891</v>
      </c>
      <c r="AI157" s="1060">
        <f t="shared" si="130"/>
        <v>533.36441512214662</v>
      </c>
      <c r="AJ157" s="1058">
        <f t="shared" si="130"/>
        <v>489.41075538159208</v>
      </c>
      <c r="AK157" s="1060">
        <f t="shared" si="130"/>
        <v>571.42857142857144</v>
      </c>
      <c r="AL157" s="1060">
        <f t="shared" si="130"/>
        <v>714.4</v>
      </c>
      <c r="AM157" s="1060">
        <f t="shared" si="130"/>
        <v>617.5</v>
      </c>
      <c r="AN157" s="1060">
        <f t="shared" si="130"/>
        <v>681.66666666666674</v>
      </c>
      <c r="AO157" s="1058">
        <f t="shared" si="130"/>
        <v>655.52238805970148</v>
      </c>
      <c r="AP157" s="1060">
        <f t="shared" si="130"/>
        <v>567.5</v>
      </c>
      <c r="AQ157" s="1060">
        <f t="shared" si="130"/>
        <v>736</v>
      </c>
      <c r="AR157" s="1060">
        <f t="shared" si="130"/>
        <v>750.52631578947376</v>
      </c>
      <c r="AS157" s="1060">
        <f t="shared" si="130"/>
        <v>740</v>
      </c>
      <c r="AT157" s="1058">
        <f t="shared" si="130"/>
        <v>688.19047619047615</v>
      </c>
      <c r="AU157" s="1060">
        <f>AU158/AU155</f>
        <v>672</v>
      </c>
      <c r="AV157" s="1060">
        <f>AV158/AV155</f>
        <v>711.57894736842104</v>
      </c>
      <c r="AW157" s="1060">
        <f>AW158/AW155</f>
        <v>921.99170124481327</v>
      </c>
      <c r="AX157" s="1060">
        <f>AX158/AX155</f>
        <v>804.16666666666674</v>
      </c>
      <c r="AY157" s="1058">
        <f>IFERROR((AY158/AY155),"")</f>
        <v>772.85579641847301</v>
      </c>
      <c r="AZ157" s="1060">
        <f>AZ158/AZ155</f>
        <v>805.21739130434787</v>
      </c>
      <c r="BA157" s="1060">
        <f>BA158/BA155</f>
        <v>882.5975945295969</v>
      </c>
      <c r="BB157" s="1060">
        <f>BB158/BB155</f>
        <v>755.45454545454538</v>
      </c>
      <c r="BC157" s="1060">
        <f>BC158/BC155</f>
        <v>798.5966198059715</v>
      </c>
      <c r="BD157" s="1058">
        <f>IFERROR((BD158/BD155),"")</f>
        <v>816.00376872430593</v>
      </c>
      <c r="BE157" s="2882"/>
      <c r="BF157" s="2882"/>
      <c r="BG157" s="2882"/>
      <c r="BH157" s="2882"/>
      <c r="BI157" s="2965"/>
      <c r="BJ157" s="2966"/>
      <c r="BK157" s="2966"/>
      <c r="BL157" s="2966"/>
      <c r="BM157" s="2966"/>
      <c r="BN157" s="2965"/>
      <c r="BO157" s="2966"/>
      <c r="BP157" s="2966"/>
      <c r="BQ157" s="2966"/>
      <c r="BR157" s="2966"/>
      <c r="BS157" s="2965"/>
      <c r="BT157" s="1526"/>
      <c r="BU157" s="1194"/>
      <c r="BV157" s="1194"/>
      <c r="BW157" s="1194"/>
      <c r="BX157" s="1194"/>
      <c r="BY157" s="1194"/>
      <c r="BZ157" s="1194"/>
      <c r="CA157" s="1194"/>
      <c r="CB157" s="1194"/>
    </row>
    <row r="158" spans="1:93" s="1011" customFormat="1" outlineLevel="1">
      <c r="A158" s="1013" t="s">
        <v>936</v>
      </c>
      <c r="B158" s="1015"/>
      <c r="C158" s="1015"/>
      <c r="D158" s="1015"/>
      <c r="E158" s="1015"/>
      <c r="F158" s="1014"/>
      <c r="G158" s="1015"/>
      <c r="H158" s="1015"/>
      <c r="I158" s="1015"/>
      <c r="J158" s="1015"/>
      <c r="K158" s="1014"/>
      <c r="L158" s="1015"/>
      <c r="M158" s="1015"/>
      <c r="N158" s="1015"/>
      <c r="O158" s="1015"/>
      <c r="P158" s="1014"/>
      <c r="Q158" s="1015"/>
      <c r="R158" s="1015"/>
      <c r="S158" s="1015"/>
      <c r="T158" s="1015"/>
      <c r="U158" s="1014"/>
      <c r="V158" s="1015"/>
      <c r="W158" s="1015"/>
      <c r="X158" s="1015"/>
      <c r="Y158" s="1015"/>
      <c r="Z158" s="1014"/>
      <c r="AA158" s="1015"/>
      <c r="AB158" s="1015"/>
      <c r="AC158" s="1015"/>
      <c r="AD158" s="1015"/>
      <c r="AE158" s="1014">
        <v>0</v>
      </c>
      <c r="AF158" s="1015">
        <f>'Client Unit Model'!AJ182</f>
        <v>0</v>
      </c>
      <c r="AG158" s="1015">
        <f>'Client Unit Model'!AK182</f>
        <v>165.56890636296777</v>
      </c>
      <c r="AH158" s="1015">
        <f>'Client Unit Model'!AL182</f>
        <v>212.77360002013958</v>
      </c>
      <c r="AI158" s="1015">
        <f>'Client Unit Model'!AM182</f>
        <v>160.00932453664399</v>
      </c>
      <c r="AJ158" s="1014">
        <f>AJ300</f>
        <v>538.35183091975136</v>
      </c>
      <c r="AK158" s="1015">
        <v>400</v>
      </c>
      <c r="AL158" s="1015">
        <v>893</v>
      </c>
      <c r="AM158" s="1015">
        <v>494</v>
      </c>
      <c r="AN158" s="1015">
        <v>409</v>
      </c>
      <c r="AO158" s="1014">
        <f>SUM(AK158:AN158)</f>
        <v>2196</v>
      </c>
      <c r="AP158" s="1015">
        <v>908</v>
      </c>
      <c r="AQ158" s="1015">
        <v>1104</v>
      </c>
      <c r="AR158" s="1015">
        <v>713</v>
      </c>
      <c r="AS158" s="1015">
        <v>888</v>
      </c>
      <c r="AT158" s="1014">
        <f>SUM(AP158:AS158)</f>
        <v>3613</v>
      </c>
      <c r="AU158" s="1015">
        <v>672</v>
      </c>
      <c r="AV158" s="1015">
        <v>1352</v>
      </c>
      <c r="AW158" s="1015">
        <v>1111</v>
      </c>
      <c r="AX158" s="1015">
        <v>965</v>
      </c>
      <c r="AY158" s="1014">
        <f>SUM(AU158:AX158)</f>
        <v>4100</v>
      </c>
      <c r="AZ158" s="1015">
        <v>926</v>
      </c>
      <c r="BA158" s="1015">
        <v>1321</v>
      </c>
      <c r="BB158" s="1015">
        <v>831</v>
      </c>
      <c r="BC158" s="1015">
        <v>948</v>
      </c>
      <c r="BD158" s="1014">
        <f>SUM(AZ158:BC158)</f>
        <v>4026</v>
      </c>
      <c r="BE158" s="2883"/>
      <c r="BF158" s="2883"/>
      <c r="BG158" s="2883"/>
      <c r="BH158" s="2883"/>
      <c r="BI158" s="2967"/>
      <c r="BJ158" s="2968"/>
      <c r="BK158" s="2968"/>
      <c r="BL158" s="2968"/>
      <c r="BM158" s="2968"/>
      <c r="BN158" s="2967"/>
      <c r="BO158" s="2968"/>
      <c r="BP158" s="2968"/>
      <c r="BQ158" s="2968"/>
      <c r="BR158" s="2968"/>
      <c r="BS158" s="2967"/>
      <c r="BT158" s="1523"/>
      <c r="BU158" s="1014"/>
      <c r="BV158" s="1014"/>
      <c r="BW158" s="1014">
        <f>SUM(AM158:AN158,AP158:AQ158)</f>
        <v>2915</v>
      </c>
      <c r="BX158" s="1014">
        <f>SUM(AR158:AS158,AU158:AV158)</f>
        <v>3625</v>
      </c>
      <c r="BY158" s="1014">
        <f>SUM(AW158:AX158,AZ158:BA158)</f>
        <v>4323</v>
      </c>
      <c r="BZ158" s="1014">
        <f>SUM(BB158:BC158,BE158:BF158)</f>
        <v>1779</v>
      </c>
      <c r="CA158" s="1014"/>
      <c r="CB158" s="1014"/>
    </row>
    <row r="159" spans="1:93" s="1022" customFormat="1" outlineLevel="1">
      <c r="A159" s="1032" t="s">
        <v>926</v>
      </c>
      <c r="B159" s="1034"/>
      <c r="C159" s="1034"/>
      <c r="D159" s="1034"/>
      <c r="E159" s="1034"/>
      <c r="F159" s="1033"/>
      <c r="G159" s="1034"/>
      <c r="H159" s="1034"/>
      <c r="I159" s="1034"/>
      <c r="J159" s="1034"/>
      <c r="K159" s="1033"/>
      <c r="L159" s="1034"/>
      <c r="M159" s="1034"/>
      <c r="N159" s="1034"/>
      <c r="O159" s="1034"/>
      <c r="P159" s="1033"/>
      <c r="Q159" s="1034"/>
      <c r="R159" s="1034"/>
      <c r="S159" s="1034"/>
      <c r="T159" s="1034"/>
      <c r="U159" s="1033"/>
      <c r="V159" s="1034"/>
      <c r="W159" s="1034"/>
      <c r="X159" s="1034"/>
      <c r="Y159" s="1034"/>
      <c r="Z159" s="1033"/>
      <c r="AA159" s="1034"/>
      <c r="AB159" s="1034"/>
      <c r="AC159" s="1034"/>
      <c r="AD159" s="1034"/>
      <c r="AE159" s="1033"/>
      <c r="AF159" s="1017"/>
      <c r="AG159" s="1034"/>
      <c r="AH159" s="1034"/>
      <c r="AI159" s="1034"/>
      <c r="AJ159" s="1035">
        <f t="shared" ref="AJ159:BD159" si="131">IF(ISERROR(AJ158/AE158-1),,(AJ158/AE158-1))</f>
        <v>0</v>
      </c>
      <c r="AK159" s="1036">
        <f t="shared" si="131"/>
        <v>0</v>
      </c>
      <c r="AL159" s="1036">
        <f t="shared" si="131"/>
        <v>4.393524784432195</v>
      </c>
      <c r="AM159" s="1036">
        <f t="shared" si="131"/>
        <v>1.32171660371983</v>
      </c>
      <c r="AN159" s="1036">
        <f t="shared" si="131"/>
        <v>1.5561010346389796</v>
      </c>
      <c r="AO159" s="1035">
        <f t="shared" si="131"/>
        <v>3.0791168040577235</v>
      </c>
      <c r="AP159" s="1036">
        <f t="shared" si="131"/>
        <v>1.27</v>
      </c>
      <c r="AQ159" s="1036">
        <f t="shared" si="131"/>
        <v>0.23628219484882429</v>
      </c>
      <c r="AR159" s="1036">
        <f t="shared" si="131"/>
        <v>0.44331983805668007</v>
      </c>
      <c r="AS159" s="1036">
        <f t="shared" si="131"/>
        <v>1.1711491442542785</v>
      </c>
      <c r="AT159" s="1035">
        <f t="shared" si="131"/>
        <v>0.64526411657559191</v>
      </c>
      <c r="AU159" s="1036">
        <f t="shared" si="131"/>
        <v>-0.25991189427312777</v>
      </c>
      <c r="AV159" s="1036">
        <f t="shared" si="131"/>
        <v>0.2246376811594204</v>
      </c>
      <c r="AW159" s="1036">
        <f t="shared" si="131"/>
        <v>0.55820476858345014</v>
      </c>
      <c r="AX159" s="1036">
        <f t="shared" si="131"/>
        <v>8.671171171171177E-2</v>
      </c>
      <c r="AY159" s="1035">
        <f t="shared" si="131"/>
        <v>0.13479103238306123</v>
      </c>
      <c r="AZ159" s="1036">
        <f t="shared" si="131"/>
        <v>0.37797619047619047</v>
      </c>
      <c r="BA159" s="1036">
        <f t="shared" si="131"/>
        <v>-2.2928994082840215E-2</v>
      </c>
      <c r="BB159" s="1036">
        <f t="shared" si="131"/>
        <v>-0.25202520252025207</v>
      </c>
      <c r="BC159" s="1036">
        <f t="shared" si="131"/>
        <v>-1.7616580310880869E-2</v>
      </c>
      <c r="BD159" s="1035">
        <f t="shared" si="131"/>
        <v>-1.8048780487804894E-2</v>
      </c>
      <c r="BE159" s="2866"/>
      <c r="BF159" s="2866"/>
      <c r="BG159" s="2866"/>
      <c r="BH159" s="2866"/>
      <c r="BI159" s="2942"/>
      <c r="BJ159" s="2943"/>
      <c r="BK159" s="2943"/>
      <c r="BL159" s="2943"/>
      <c r="BM159" s="2943"/>
      <c r="BN159" s="2942"/>
      <c r="BO159" s="2943"/>
      <c r="BP159" s="2943"/>
      <c r="BQ159" s="2943"/>
      <c r="BR159" s="2943"/>
      <c r="BS159" s="2942"/>
      <c r="BT159" s="1438"/>
      <c r="BU159" s="1035"/>
      <c r="BV159" s="1035"/>
      <c r="BW159" s="1035"/>
      <c r="BX159" s="1035"/>
      <c r="BY159" s="1035"/>
      <c r="BZ159" s="1035"/>
      <c r="CA159" s="1035"/>
      <c r="CB159" s="1035"/>
    </row>
    <row r="160" spans="1:93" outlineLevel="1">
      <c r="A160" s="1341"/>
      <c r="B160" s="1345"/>
      <c r="C160" s="1345"/>
      <c r="D160" s="1345"/>
      <c r="E160" s="1345"/>
      <c r="F160" s="1346"/>
      <c r="G160" s="1345"/>
      <c r="H160" s="1345"/>
      <c r="I160" s="1345"/>
      <c r="J160" s="1345"/>
      <c r="K160" s="1346"/>
      <c r="L160" s="1345"/>
      <c r="M160" s="1345"/>
      <c r="N160" s="1345"/>
      <c r="O160" s="1345"/>
      <c r="P160" s="1346"/>
      <c r="Q160" s="1345"/>
      <c r="R160" s="1345"/>
      <c r="S160" s="1345"/>
      <c r="T160" s="1345"/>
      <c r="U160" s="1346"/>
      <c r="V160" s="1345"/>
      <c r="W160" s="1345"/>
      <c r="X160" s="1345"/>
      <c r="Y160" s="1345"/>
      <c r="Z160" s="1346"/>
      <c r="AA160" s="1345"/>
      <c r="AB160" s="1345"/>
      <c r="AC160" s="1345"/>
      <c r="AD160" s="1345"/>
      <c r="AE160" s="1346"/>
      <c r="AF160" s="1347"/>
      <c r="AG160" s="1347"/>
      <c r="AH160" s="1347"/>
      <c r="AI160" s="1347"/>
      <c r="AJ160" s="1346"/>
      <c r="AK160" s="1347"/>
      <c r="AL160" s="1347"/>
      <c r="AM160" s="1347"/>
      <c r="AN160" s="1347"/>
      <c r="AO160" s="1344"/>
      <c r="AP160" s="1236"/>
      <c r="AQ160" s="1347"/>
      <c r="AR160" s="1236">
        <f>400/SUM(AP158:AR158)</f>
        <v>0.14678899082568808</v>
      </c>
      <c r="AS160" s="1347"/>
      <c r="AT160" s="1344"/>
      <c r="AU160" s="1236"/>
      <c r="AV160" s="1347"/>
      <c r="AW160" s="1347"/>
      <c r="AX160" s="1347"/>
      <c r="AY160" s="1344"/>
      <c r="AZ160" s="1236"/>
      <c r="BA160" s="1347"/>
      <c r="BB160" s="1347"/>
      <c r="BC160" s="1347"/>
      <c r="BD160" s="1344"/>
      <c r="BE160" s="2860"/>
      <c r="BF160" s="2860"/>
      <c r="BG160" s="2860"/>
      <c r="BH160" s="2860"/>
      <c r="BI160" s="2932"/>
      <c r="BJ160" s="2933"/>
      <c r="BK160" s="2933"/>
      <c r="BL160" s="2933"/>
      <c r="BM160" s="2933"/>
      <c r="BN160" s="2932"/>
      <c r="BO160" s="2933"/>
      <c r="BP160" s="2933"/>
      <c r="BQ160" s="2933"/>
      <c r="BR160" s="2933"/>
      <c r="BS160" s="2932"/>
      <c r="BT160" s="1343"/>
      <c r="BU160" s="1344"/>
      <c r="BV160" s="1344"/>
      <c r="BW160" s="1344"/>
      <c r="BX160" s="1344"/>
      <c r="BY160" s="1344"/>
      <c r="BZ160" s="1344"/>
      <c r="CA160" s="1344"/>
      <c r="CB160" s="1344"/>
    </row>
    <row r="161" spans="1:80" outlineLevel="1">
      <c r="A161" s="1050" t="s">
        <v>1124</v>
      </c>
      <c r="B161" s="1051"/>
      <c r="C161" s="1051"/>
      <c r="D161" s="1051"/>
      <c r="E161" s="1051"/>
      <c r="F161" s="1052"/>
      <c r="G161" s="1051"/>
      <c r="H161" s="1051"/>
      <c r="I161" s="1051"/>
      <c r="J161" s="1051"/>
      <c r="K161" s="1052"/>
      <c r="L161" s="1051"/>
      <c r="M161" s="1051"/>
      <c r="N161" s="1051"/>
      <c r="O161" s="1051"/>
      <c r="P161" s="1052"/>
      <c r="Q161" s="1051"/>
      <c r="R161" s="1051"/>
      <c r="S161" s="1051"/>
      <c r="T161" s="1051"/>
      <c r="U161" s="1052"/>
      <c r="V161" s="1051"/>
      <c r="W161" s="1051"/>
      <c r="X161" s="1051"/>
      <c r="Y161" s="1051"/>
      <c r="Z161" s="1052"/>
      <c r="AA161" s="1051"/>
      <c r="AB161" s="1051"/>
      <c r="AC161" s="1051"/>
      <c r="AD161" s="1051"/>
      <c r="AE161" s="1052"/>
      <c r="AF161" s="1053"/>
      <c r="AG161" s="1051"/>
      <c r="AH161" s="1051"/>
      <c r="AI161" s="1051"/>
      <c r="AJ161" s="1052"/>
      <c r="AK161" s="1054"/>
      <c r="AL161" s="1051"/>
      <c r="AM161" s="1051"/>
      <c r="AN161" s="1051"/>
      <c r="AO161" s="1052"/>
      <c r="AP161" s="1054"/>
      <c r="AQ161" s="1051"/>
      <c r="AR161" s="1051"/>
      <c r="AS161" s="1051"/>
      <c r="AT161" s="1052"/>
      <c r="AU161" s="1054"/>
      <c r="AV161" s="1051"/>
      <c r="AW161" s="1051"/>
      <c r="AX161" s="1051"/>
      <c r="AY161" s="1052"/>
      <c r="AZ161" s="1054"/>
      <c r="BA161" s="1051"/>
      <c r="BB161" s="1051"/>
      <c r="BC161" s="1051"/>
      <c r="BD161" s="1052"/>
      <c r="BE161" s="2851"/>
      <c r="BF161" s="2852"/>
      <c r="BG161" s="2852"/>
      <c r="BH161" s="2852"/>
      <c r="BI161" s="2915"/>
      <c r="BJ161" s="2916"/>
      <c r="BK161" s="2917"/>
      <c r="BL161" s="2917"/>
      <c r="BM161" s="2917"/>
      <c r="BN161" s="2915"/>
      <c r="BO161" s="2916"/>
      <c r="BP161" s="2917"/>
      <c r="BQ161" s="2917"/>
      <c r="BR161" s="2917"/>
      <c r="BS161" s="2915"/>
      <c r="BT161" s="1343"/>
      <c r="BU161" s="1052"/>
      <c r="BV161" s="1052"/>
      <c r="BW161" s="1052"/>
      <c r="BX161" s="1052"/>
      <c r="BY161" s="1052"/>
      <c r="BZ161" s="1052"/>
      <c r="CA161" s="1052"/>
      <c r="CB161" s="1052"/>
    </row>
    <row r="162" spans="1:80" s="1021" customFormat="1" outlineLevel="1">
      <c r="A162" s="1020" t="s">
        <v>947</v>
      </c>
      <c r="B162" s="1025">
        <v>0.9</v>
      </c>
      <c r="C162" s="1025">
        <v>4.4000000000000004</v>
      </c>
      <c r="D162" s="1025">
        <v>0.5</v>
      </c>
      <c r="E162" s="1025">
        <v>0.7</v>
      </c>
      <c r="F162" s="1024">
        <f>SUM(B162:E162)</f>
        <v>6.5000000000000009</v>
      </c>
      <c r="G162" s="1025">
        <v>1.8</v>
      </c>
      <c r="H162" s="1025">
        <v>4.3</v>
      </c>
      <c r="I162" s="1025">
        <v>1.3</v>
      </c>
      <c r="J162" s="1025">
        <v>1.3</v>
      </c>
      <c r="K162" s="1024">
        <f>SUM(G162:J162)</f>
        <v>8.6999999999999993</v>
      </c>
      <c r="L162" s="1025">
        <v>2.2000000000000002</v>
      </c>
      <c r="M162" s="1025">
        <v>6</v>
      </c>
      <c r="N162" s="1025">
        <v>1.7</v>
      </c>
      <c r="O162" s="1025">
        <v>1.2</v>
      </c>
      <c r="P162" s="1024">
        <f>SUM(L162:O162)</f>
        <v>11.099999999999998</v>
      </c>
      <c r="Q162" s="1025">
        <v>2.1</v>
      </c>
      <c r="R162" s="1025">
        <v>5.2</v>
      </c>
      <c r="S162" s="1025">
        <v>1.5</v>
      </c>
      <c r="T162" s="1025">
        <v>1.5</v>
      </c>
      <c r="U162" s="1024">
        <f>SUM(Q162:T162)</f>
        <v>10.3</v>
      </c>
      <c r="V162" s="1025">
        <v>2.8</v>
      </c>
      <c r="W162" s="1025">
        <v>6.3</v>
      </c>
      <c r="X162" s="1025">
        <v>2.7</v>
      </c>
      <c r="Y162" s="1025">
        <v>1.7</v>
      </c>
      <c r="Z162" s="1024">
        <f>SUM(V162:Y162)</f>
        <v>13.5</v>
      </c>
      <c r="AA162" s="1025">
        <v>2.2999999999999998</v>
      </c>
      <c r="AB162" s="1025">
        <v>8.1999999999999993</v>
      </c>
      <c r="AC162" s="1025">
        <v>1.4</v>
      </c>
      <c r="AD162" s="1025">
        <v>1.1000000000000001</v>
      </c>
      <c r="AE162" s="1024">
        <f>SUM(AA162:AD162)</f>
        <v>13</v>
      </c>
      <c r="AF162" s="1025">
        <v>1.7</v>
      </c>
      <c r="AG162" s="1025">
        <v>5.9</v>
      </c>
      <c r="AH162" s="1025">
        <v>1.3</v>
      </c>
      <c r="AI162" s="1025">
        <v>1</v>
      </c>
      <c r="AJ162" s="1024">
        <f>SUM(AF162:AI162)</f>
        <v>9.9</v>
      </c>
      <c r="AK162" s="1025">
        <v>1.2</v>
      </c>
      <c r="AL162" s="1025">
        <v>3.5</v>
      </c>
      <c r="AM162" s="1025">
        <v>0.8</v>
      </c>
      <c r="AN162" s="1025">
        <v>0.25</v>
      </c>
      <c r="AO162" s="1024">
        <f>SUM(AK162:AN162)</f>
        <v>5.75</v>
      </c>
      <c r="AP162" s="1025">
        <v>0.3</v>
      </c>
      <c r="AQ162" s="1025">
        <v>1</v>
      </c>
      <c r="AR162" s="1025">
        <v>7.4999999999999997E-2</v>
      </c>
      <c r="AS162" s="1025">
        <v>7.4999999999999997E-2</v>
      </c>
      <c r="AT162" s="1024">
        <f>SUM(AP162:AS162)</f>
        <v>1.45</v>
      </c>
      <c r="AU162" s="1025">
        <f>AP162*(1+AU163)</f>
        <v>7.4999999999999997E-2</v>
      </c>
      <c r="AV162" s="1025">
        <f>AQ162*(1+AV163)</f>
        <v>0.35</v>
      </c>
      <c r="AW162" s="1025">
        <f>AR162*(1+AW163)</f>
        <v>4.8750000000000002E-2</v>
      </c>
      <c r="AX162" s="1025">
        <f>AS162*(1+AX163)</f>
        <v>4.4999999999999998E-2</v>
      </c>
      <c r="AY162" s="1024">
        <f>SUM(AU162:AX162)</f>
        <v>0.51875000000000004</v>
      </c>
      <c r="AZ162" s="1025">
        <f>AU162*(1+AZ163)</f>
        <v>3.7499999999999999E-2</v>
      </c>
      <c r="BA162" s="1025">
        <f>AV162*(1+BA163)</f>
        <v>5.2500000000000005E-2</v>
      </c>
      <c r="BB162" s="1025">
        <v>0</v>
      </c>
      <c r="BC162" s="1025">
        <v>0</v>
      </c>
      <c r="BD162" s="1024">
        <f>SUM(AZ162:BC162)</f>
        <v>0.09</v>
      </c>
      <c r="BE162" s="2881"/>
      <c r="BF162" s="2881"/>
      <c r="BG162" s="2881"/>
      <c r="BH162" s="2881"/>
      <c r="BI162" s="2969"/>
      <c r="BJ162" s="2964"/>
      <c r="BK162" s="2964"/>
      <c r="BL162" s="2964"/>
      <c r="BM162" s="2964"/>
      <c r="BN162" s="2969"/>
      <c r="BO162" s="2964"/>
      <c r="BP162" s="2964"/>
      <c r="BQ162" s="2964"/>
      <c r="BR162" s="2964"/>
      <c r="BS162" s="2969"/>
      <c r="BT162" s="1521"/>
      <c r="BU162" s="1024"/>
      <c r="BV162" s="1024"/>
      <c r="BW162" s="1024">
        <f>SUM(AM162:AN162,AP162:AQ162)</f>
        <v>2.35</v>
      </c>
      <c r="BX162" s="1024">
        <f>SUM(AR162:AS162,AU162:AV162)</f>
        <v>0.57499999999999996</v>
      </c>
      <c r="BY162" s="1024">
        <f>SUM(AW162:AX162,AZ162:BA162)</f>
        <v>0.18375000000000002</v>
      </c>
      <c r="BZ162" s="1024">
        <f>SUM(BB162:BC162,BE162:BF162)</f>
        <v>0</v>
      </c>
      <c r="CA162" s="1024"/>
      <c r="CB162" s="1024"/>
    </row>
    <row r="163" spans="1:80" s="1022" customFormat="1" outlineLevel="1">
      <c r="A163" s="1452" t="s">
        <v>926</v>
      </c>
      <c r="B163" s="1453"/>
      <c r="C163" s="1453"/>
      <c r="D163" s="1453"/>
      <c r="E163" s="1453"/>
      <c r="F163" s="1454"/>
      <c r="G163" s="1442">
        <f t="shared" ref="G163:AJ163" si="132">IF(ISERROR(G162/B162-1),,(G162/B162-1))</f>
        <v>1</v>
      </c>
      <c r="H163" s="1442">
        <f t="shared" si="132"/>
        <v>-2.2727272727272818E-2</v>
      </c>
      <c r="I163" s="1442">
        <f t="shared" si="132"/>
        <v>1.6</v>
      </c>
      <c r="J163" s="1442">
        <f t="shared" si="132"/>
        <v>0.85714285714285743</v>
      </c>
      <c r="K163" s="1443">
        <f t="shared" si="132"/>
        <v>0.33846153846153815</v>
      </c>
      <c r="L163" s="1442">
        <f t="shared" si="132"/>
        <v>0.22222222222222232</v>
      </c>
      <c r="M163" s="1442">
        <f t="shared" si="132"/>
        <v>0.39534883720930236</v>
      </c>
      <c r="N163" s="1442">
        <f t="shared" si="132"/>
        <v>0.30769230769230771</v>
      </c>
      <c r="O163" s="1442">
        <f t="shared" si="132"/>
        <v>-7.6923076923076983E-2</v>
      </c>
      <c r="P163" s="1443">
        <f t="shared" si="132"/>
        <v>0.27586206896551713</v>
      </c>
      <c r="Q163" s="1442">
        <f t="shared" si="132"/>
        <v>-4.5454545454545525E-2</v>
      </c>
      <c r="R163" s="1442">
        <f t="shared" si="132"/>
        <v>-0.1333333333333333</v>
      </c>
      <c r="S163" s="1442">
        <f t="shared" si="132"/>
        <v>-0.11764705882352944</v>
      </c>
      <c r="T163" s="1442">
        <f t="shared" si="132"/>
        <v>0.25</v>
      </c>
      <c r="U163" s="1443">
        <f t="shared" si="132"/>
        <v>-7.207207207207178E-2</v>
      </c>
      <c r="V163" s="1442">
        <f t="shared" si="132"/>
        <v>0.33333333333333326</v>
      </c>
      <c r="W163" s="1442">
        <f t="shared" si="132"/>
        <v>0.21153846153846145</v>
      </c>
      <c r="X163" s="1442">
        <f t="shared" si="132"/>
        <v>0.8</v>
      </c>
      <c r="Y163" s="1442">
        <f t="shared" si="132"/>
        <v>0.1333333333333333</v>
      </c>
      <c r="Z163" s="1443">
        <f t="shared" si="132"/>
        <v>0.3106796116504853</v>
      </c>
      <c r="AA163" s="1442">
        <f t="shared" si="132"/>
        <v>-0.1785714285714286</v>
      </c>
      <c r="AB163" s="1442">
        <f t="shared" si="132"/>
        <v>0.3015873015873014</v>
      </c>
      <c r="AC163" s="1442">
        <f t="shared" si="132"/>
        <v>-0.48148148148148151</v>
      </c>
      <c r="AD163" s="1442">
        <f t="shared" si="132"/>
        <v>-0.3529411764705882</v>
      </c>
      <c r="AE163" s="1443">
        <f t="shared" si="132"/>
        <v>-3.703703703703709E-2</v>
      </c>
      <c r="AF163" s="1442">
        <f t="shared" si="132"/>
        <v>-0.26086956521739124</v>
      </c>
      <c r="AG163" s="1442">
        <f t="shared" si="132"/>
        <v>-0.2804878048780487</v>
      </c>
      <c r="AH163" s="1442">
        <f t="shared" si="132"/>
        <v>-7.1428571428571286E-2</v>
      </c>
      <c r="AI163" s="1442">
        <f t="shared" si="132"/>
        <v>-9.0909090909090939E-2</v>
      </c>
      <c r="AJ163" s="1443">
        <f t="shared" si="132"/>
        <v>-0.23846153846153839</v>
      </c>
      <c r="AK163" s="1442">
        <f t="shared" ref="AK163:AS163" si="133">IF(ISERROR(AK162/AF162-1),,(AK162/AF162-1))</f>
        <v>-0.29411764705882348</v>
      </c>
      <c r="AL163" s="1442">
        <f t="shared" si="133"/>
        <v>-0.40677966101694918</v>
      </c>
      <c r="AM163" s="1442">
        <f t="shared" si="133"/>
        <v>-0.38461538461538458</v>
      </c>
      <c r="AN163" s="1442">
        <f t="shared" si="133"/>
        <v>-0.75</v>
      </c>
      <c r="AO163" s="1443">
        <f>IF(ISERROR(AO162/AJ162-1),,(AO162/AJ162-1))</f>
        <v>-0.41919191919191923</v>
      </c>
      <c r="AP163" s="1442">
        <f t="shared" si="133"/>
        <v>-0.75</v>
      </c>
      <c r="AQ163" s="1442">
        <f t="shared" si="133"/>
        <v>-0.7142857142857143</v>
      </c>
      <c r="AR163" s="1442">
        <f t="shared" si="133"/>
        <v>-0.90625</v>
      </c>
      <c r="AS163" s="1442">
        <f t="shared" si="133"/>
        <v>-0.7</v>
      </c>
      <c r="AT163" s="1443">
        <f>IF(ISERROR(AT162/AO162-1),,(AT162/AO162-1))</f>
        <v>-0.74782608695652175</v>
      </c>
      <c r="AU163" s="1442">
        <v>-0.75</v>
      </c>
      <c r="AV163" s="1442">
        <v>-0.65</v>
      </c>
      <c r="AW163" s="1442">
        <v>-0.35</v>
      </c>
      <c r="AX163" s="1442">
        <v>-0.4</v>
      </c>
      <c r="AY163" s="1443">
        <f>IF(ISERROR(AY162/AT162-1),,(AY162/AT162-1))</f>
        <v>-0.64224137931034475</v>
      </c>
      <c r="AZ163" s="1442">
        <v>-0.5</v>
      </c>
      <c r="BA163" s="1442">
        <v>-0.85</v>
      </c>
      <c r="BB163" s="1455"/>
      <c r="BC163" s="1455"/>
      <c r="BD163" s="1443">
        <f>IF(ISERROR(BD162/AY162-1),,(BD162/AY162-1))</f>
        <v>-0.82650602409638552</v>
      </c>
      <c r="BE163" s="2870"/>
      <c r="BF163" s="2870"/>
      <c r="BG163" s="2870"/>
      <c r="BH163" s="2870"/>
      <c r="BI163" s="2942"/>
      <c r="BJ163" s="2947"/>
      <c r="BK163" s="2947"/>
      <c r="BL163" s="2947"/>
      <c r="BM163" s="2947"/>
      <c r="BN163" s="2942"/>
      <c r="BO163" s="2947"/>
      <c r="BP163" s="2947"/>
      <c r="BQ163" s="2947"/>
      <c r="BR163" s="2947"/>
      <c r="BS163" s="2942"/>
      <c r="BT163" s="1438"/>
      <c r="BU163" s="1443"/>
      <c r="BV163" s="1443"/>
      <c r="BW163" s="1443"/>
      <c r="BX163" s="1443"/>
      <c r="BY163" s="1443"/>
      <c r="BZ163" s="1443"/>
      <c r="CA163" s="1443"/>
      <c r="CB163" s="1443"/>
    </row>
    <row r="164" spans="1:80" s="1059" customFormat="1" outlineLevel="1">
      <c r="A164" s="1055" t="s">
        <v>938</v>
      </c>
      <c r="B164" s="1060"/>
      <c r="C164" s="1060"/>
      <c r="D164" s="1060"/>
      <c r="E164" s="1060"/>
      <c r="F164" s="1058"/>
      <c r="G164" s="1060"/>
      <c r="H164" s="1060"/>
      <c r="I164" s="1060"/>
      <c r="J164" s="1060"/>
      <c r="K164" s="1058"/>
      <c r="L164" s="1060"/>
      <c r="M164" s="1060"/>
      <c r="N164" s="1060"/>
      <c r="O164" s="1060"/>
      <c r="P164" s="1058"/>
      <c r="Q164" s="1060"/>
      <c r="R164" s="1060"/>
      <c r="S164" s="1060"/>
      <c r="T164" s="1060"/>
      <c r="U164" s="1058"/>
      <c r="V164" s="1060"/>
      <c r="W164" s="1060"/>
      <c r="X164" s="1060"/>
      <c r="Y164" s="1060"/>
      <c r="Z164" s="1058"/>
      <c r="AA164" s="1060"/>
      <c r="AB164" s="1060"/>
      <c r="AC164" s="1060"/>
      <c r="AD164" s="1060"/>
      <c r="AE164" s="1057"/>
      <c r="AF164" s="1056"/>
      <c r="AG164" s="1056"/>
      <c r="AH164" s="1056"/>
      <c r="AI164" s="1056"/>
      <c r="AJ164" s="1058"/>
      <c r="AK164" s="1056">
        <v>229</v>
      </c>
      <c r="AL164" s="1056">
        <f t="shared" ref="AL164:AS164" si="134">AK164</f>
        <v>229</v>
      </c>
      <c r="AM164" s="1056">
        <f t="shared" si="134"/>
        <v>229</v>
      </c>
      <c r="AN164" s="1056">
        <f t="shared" si="134"/>
        <v>229</v>
      </c>
      <c r="AO164" s="1058">
        <f>AO165/AO162</f>
        <v>229</v>
      </c>
      <c r="AP164" s="1056">
        <f t="shared" si="134"/>
        <v>229</v>
      </c>
      <c r="AQ164" s="1056">
        <f t="shared" si="134"/>
        <v>229</v>
      </c>
      <c r="AR164" s="1056">
        <f t="shared" si="134"/>
        <v>229</v>
      </c>
      <c r="AS164" s="1056">
        <f t="shared" si="134"/>
        <v>229</v>
      </c>
      <c r="AT164" s="1058">
        <f>AT165/AT162</f>
        <v>229.00000000000003</v>
      </c>
      <c r="AU164" s="1056">
        <f>AS164*0.95</f>
        <v>217.54999999999998</v>
      </c>
      <c r="AV164" s="1056">
        <f>AU164</f>
        <v>217.54999999999998</v>
      </c>
      <c r="AW164" s="1056">
        <v>200</v>
      </c>
      <c r="AX164" s="1056">
        <v>150</v>
      </c>
      <c r="AY164" s="1058">
        <f>AY165/AY162</f>
        <v>210.04096385542164</v>
      </c>
      <c r="AZ164" s="1056">
        <v>150</v>
      </c>
      <c r="BA164" s="1056">
        <v>150</v>
      </c>
      <c r="BB164" s="1056"/>
      <c r="BC164" s="1056"/>
      <c r="BD164" s="1058">
        <f>BD165/BD162</f>
        <v>150</v>
      </c>
      <c r="BE164" s="2882"/>
      <c r="BF164" s="2882"/>
      <c r="BG164" s="2882"/>
      <c r="BH164" s="2882"/>
      <c r="BI164" s="2970"/>
      <c r="BJ164" s="2966"/>
      <c r="BK164" s="2966"/>
      <c r="BL164" s="2966"/>
      <c r="BM164" s="2966"/>
      <c r="BN164" s="2970"/>
      <c r="BO164" s="2966"/>
      <c r="BP164" s="2966"/>
      <c r="BQ164" s="2966"/>
      <c r="BR164" s="2966"/>
      <c r="BS164" s="2970"/>
      <c r="BT164" s="1526"/>
      <c r="BU164" s="1058"/>
      <c r="BV164" s="1058"/>
      <c r="BW164" s="1058"/>
      <c r="BX164" s="1058"/>
      <c r="BY164" s="1058"/>
      <c r="BZ164" s="1058"/>
      <c r="CA164" s="1058"/>
      <c r="CB164" s="1058"/>
    </row>
    <row r="165" spans="1:80" s="1005" customFormat="1" outlineLevel="1">
      <c r="A165" s="1062" t="s">
        <v>949</v>
      </c>
      <c r="B165" s="1063"/>
      <c r="C165" s="1063"/>
      <c r="D165" s="1063"/>
      <c r="E165" s="1063"/>
      <c r="F165" s="1064"/>
      <c r="G165" s="1063"/>
      <c r="H165" s="1063"/>
      <c r="I165" s="1063"/>
      <c r="J165" s="1063"/>
      <c r="K165" s="1064"/>
      <c r="L165" s="1063"/>
      <c r="M165" s="1063"/>
      <c r="N165" s="1063"/>
      <c r="O165" s="1063"/>
      <c r="P165" s="1064"/>
      <c r="Q165" s="1063"/>
      <c r="R165" s="1063"/>
      <c r="S165" s="1063"/>
      <c r="T165" s="1063"/>
      <c r="U165" s="1064"/>
      <c r="V165" s="1063"/>
      <c r="W165" s="1063"/>
      <c r="X165" s="1063"/>
      <c r="Y165" s="1063"/>
      <c r="Z165" s="1064"/>
      <c r="AA165" s="1063"/>
      <c r="AB165" s="1063"/>
      <c r="AC165" s="1063"/>
      <c r="AD165" s="1063"/>
      <c r="AE165" s="1064"/>
      <c r="AF165" s="1063"/>
      <c r="AG165" s="1063"/>
      <c r="AH165" s="1063"/>
      <c r="AI165" s="1063"/>
      <c r="AJ165" s="1064"/>
      <c r="AK165" s="1063">
        <f>AK164*AK162</f>
        <v>274.8</v>
      </c>
      <c r="AL165" s="1063">
        <f>AL164*AL162</f>
        <v>801.5</v>
      </c>
      <c r="AM165" s="1063">
        <f>AM164*AM162</f>
        <v>183.20000000000002</v>
      </c>
      <c r="AN165" s="1063">
        <f>AN164*AN162</f>
        <v>57.25</v>
      </c>
      <c r="AO165" s="1064">
        <f>SUM(AK165:AN165)</f>
        <v>1316.75</v>
      </c>
      <c r="AP165" s="1063">
        <f>AP164*AP162</f>
        <v>68.7</v>
      </c>
      <c r="AQ165" s="1063">
        <f>AQ164*AQ162</f>
        <v>229</v>
      </c>
      <c r="AR165" s="1063">
        <f>AR164*AR162</f>
        <v>17.175000000000001</v>
      </c>
      <c r="AS165" s="1063">
        <f>AS164*AS162</f>
        <v>17.175000000000001</v>
      </c>
      <c r="AT165" s="1064">
        <f>SUM(AP165:AS165)</f>
        <v>332.05</v>
      </c>
      <c r="AU165" s="1063">
        <f>AU164*AU162</f>
        <v>16.316249999999997</v>
      </c>
      <c r="AV165" s="1063">
        <f>AV164*AV162</f>
        <v>76.142499999999984</v>
      </c>
      <c r="AW165" s="1063">
        <f>AW164*AW162</f>
        <v>9.75</v>
      </c>
      <c r="AX165" s="1063">
        <f>AX164*AX162</f>
        <v>6.75</v>
      </c>
      <c r="AY165" s="1064">
        <f>SUM(AU165:AX165)</f>
        <v>108.95874999999998</v>
      </c>
      <c r="AZ165" s="1063">
        <f>AZ164*AZ162</f>
        <v>5.625</v>
      </c>
      <c r="BA165" s="1063">
        <f>BA164*BA162</f>
        <v>7.8750000000000009</v>
      </c>
      <c r="BB165" s="1063">
        <f>BB164*BB162</f>
        <v>0</v>
      </c>
      <c r="BC165" s="1063">
        <f>BC164*BC162</f>
        <v>0</v>
      </c>
      <c r="BD165" s="1064">
        <f>SUM(AZ165:BC165)</f>
        <v>13.5</v>
      </c>
      <c r="BE165" s="2861"/>
      <c r="BF165" s="2861"/>
      <c r="BG165" s="2861"/>
      <c r="BH165" s="2861"/>
      <c r="BI165" s="2971"/>
      <c r="BJ165" s="2935"/>
      <c r="BK165" s="2935"/>
      <c r="BL165" s="2935"/>
      <c r="BM165" s="2935"/>
      <c r="BN165" s="2971"/>
      <c r="BO165" s="2935"/>
      <c r="BP165" s="2935"/>
      <c r="BQ165" s="2935"/>
      <c r="BR165" s="2935"/>
      <c r="BS165" s="2971"/>
      <c r="BT165" s="1522"/>
      <c r="BU165" s="1064"/>
      <c r="BV165" s="1064"/>
      <c r="BW165" s="1064">
        <f>SUM(AM165:AN165,AP165:AQ165)</f>
        <v>538.15000000000009</v>
      </c>
      <c r="BX165" s="1064">
        <f>SUM(AR165:AS165,AU165:AV165)</f>
        <v>126.80874999999997</v>
      </c>
      <c r="BY165" s="1064">
        <f>SUM(AW165:AX165,AZ165:BA165)</f>
        <v>30</v>
      </c>
      <c r="BZ165" s="1064">
        <f>SUM(BB165:BC165,BE165:BF165)</f>
        <v>0</v>
      </c>
      <c r="CA165" s="1064"/>
      <c r="CB165" s="1064"/>
    </row>
    <row r="166" spans="1:80" s="1049" customFormat="1" ht="7.5" customHeight="1" outlineLevel="1">
      <c r="A166" s="1016"/>
      <c r="B166" s="1047"/>
      <c r="C166" s="1047"/>
      <c r="D166" s="1047"/>
      <c r="E166" s="1047"/>
      <c r="F166" s="1048"/>
      <c r="G166" s="1047"/>
      <c r="H166" s="1047"/>
      <c r="I166" s="1047"/>
      <c r="J166" s="1047"/>
      <c r="K166" s="1048"/>
      <c r="L166" s="1047"/>
      <c r="M166" s="1047"/>
      <c r="N166" s="1047"/>
      <c r="O166" s="1047"/>
      <c r="P166" s="1048"/>
      <c r="Q166" s="1047"/>
      <c r="R166" s="1047"/>
      <c r="S166" s="1047"/>
      <c r="T166" s="1047"/>
      <c r="U166" s="1048"/>
      <c r="V166" s="1047"/>
      <c r="W166" s="1047"/>
      <c r="X166" s="1047"/>
      <c r="Y166" s="1047"/>
      <c r="Z166" s="1048"/>
      <c r="AA166" s="1047"/>
      <c r="AB166" s="1047"/>
      <c r="AC166" s="1047"/>
      <c r="AD166" s="1047"/>
      <c r="AE166" s="1012"/>
      <c r="AF166" s="1047"/>
      <c r="AG166" s="1047"/>
      <c r="AH166" s="1047"/>
      <c r="AI166" s="1047"/>
      <c r="AJ166" s="1012"/>
      <c r="AK166" s="1047"/>
      <c r="AL166" s="1047"/>
      <c r="AM166" s="1047"/>
      <c r="AN166" s="1047"/>
      <c r="AO166" s="1012"/>
      <c r="AP166" s="1047"/>
      <c r="AQ166" s="1047"/>
      <c r="AR166" s="1047"/>
      <c r="AS166" s="1047"/>
      <c r="AT166" s="1012"/>
      <c r="AU166" s="1047"/>
      <c r="AV166" s="1047"/>
      <c r="AW166" s="1047"/>
      <c r="AX166" s="1047"/>
      <c r="AY166" s="1012"/>
      <c r="AZ166" s="1047"/>
      <c r="BA166" s="1047"/>
      <c r="BB166" s="1047"/>
      <c r="BC166" s="1047"/>
      <c r="BD166" s="1012"/>
      <c r="BE166" s="2884"/>
      <c r="BF166" s="2884"/>
      <c r="BG166" s="2884"/>
      <c r="BH166" s="2884"/>
      <c r="BI166" s="2972"/>
      <c r="BJ166" s="2973"/>
      <c r="BK166" s="2973"/>
      <c r="BL166" s="2973"/>
      <c r="BM166" s="2973"/>
      <c r="BN166" s="2972"/>
      <c r="BO166" s="2973"/>
      <c r="BP166" s="2973"/>
      <c r="BQ166" s="2973"/>
      <c r="BR166" s="2973"/>
      <c r="BS166" s="2972"/>
      <c r="BT166" s="1524"/>
      <c r="BU166" s="1012"/>
      <c r="BV166" s="1012"/>
      <c r="BW166" s="1012"/>
      <c r="BX166" s="1012"/>
      <c r="BY166" s="1012"/>
      <c r="BZ166" s="1012"/>
      <c r="CA166" s="1012"/>
      <c r="CB166" s="1012"/>
    </row>
    <row r="167" spans="1:80" s="1021" customFormat="1" outlineLevel="1">
      <c r="A167" s="1020" t="s">
        <v>948</v>
      </c>
      <c r="B167" s="1025"/>
      <c r="C167" s="1025"/>
      <c r="D167" s="1025"/>
      <c r="E167" s="1025"/>
      <c r="F167" s="1024"/>
      <c r="G167" s="1025"/>
      <c r="H167" s="1025"/>
      <c r="I167" s="1025"/>
      <c r="J167" s="1025"/>
      <c r="K167" s="1024"/>
      <c r="L167" s="1025"/>
      <c r="M167" s="1025"/>
      <c r="N167" s="1025"/>
      <c r="O167" s="1025"/>
      <c r="P167" s="1024"/>
      <c r="Q167" s="1025"/>
      <c r="R167" s="1025"/>
      <c r="S167" s="1025"/>
      <c r="T167" s="1025"/>
      <c r="U167" s="1024"/>
      <c r="V167" s="1025"/>
      <c r="W167" s="1025"/>
      <c r="X167" s="1025"/>
      <c r="Y167" s="1025"/>
      <c r="Z167" s="1024"/>
      <c r="AA167" s="1025"/>
      <c r="AB167" s="1025"/>
      <c r="AC167" s="1025"/>
      <c r="AD167" s="1025"/>
      <c r="AE167" s="1024"/>
      <c r="AF167" s="1025"/>
      <c r="AG167" s="1025"/>
      <c r="AH167" s="1025"/>
      <c r="AI167" s="1025"/>
      <c r="AJ167" s="1024"/>
      <c r="AK167" s="1025">
        <v>0</v>
      </c>
      <c r="AL167" s="1025">
        <v>3.9</v>
      </c>
      <c r="AM167" s="1025">
        <v>1.2</v>
      </c>
      <c r="AN167" s="1025">
        <v>0.85000000000000009</v>
      </c>
      <c r="AO167" s="1024">
        <f>SUM(AK167:AN167)</f>
        <v>5.9499999999999993</v>
      </c>
      <c r="AP167" s="1025">
        <v>2.1</v>
      </c>
      <c r="AQ167" s="1025">
        <v>5.6</v>
      </c>
      <c r="AR167" s="1025">
        <v>1.5250000000000001</v>
      </c>
      <c r="AS167" s="1025">
        <v>1.4</v>
      </c>
      <c r="AT167" s="1024">
        <f>SUM(AP167:AS167)</f>
        <v>10.625</v>
      </c>
      <c r="AU167" s="1025">
        <f>AP167*(1+AU168)</f>
        <v>2.1</v>
      </c>
      <c r="AV167" s="1025">
        <f>AQ167*(1+AV168)</f>
        <v>6.16</v>
      </c>
      <c r="AW167" s="1025">
        <f>AR167*(1+AW168)</f>
        <v>1.2962500000000001</v>
      </c>
      <c r="AX167" s="1025">
        <f>AS167*(1+AX168)</f>
        <v>0.8819999999999999</v>
      </c>
      <c r="AY167" s="1024">
        <f>SUM(AU167:AX167)</f>
        <v>10.43825</v>
      </c>
      <c r="AZ167" s="1025">
        <f>AU167*(1+AZ168)</f>
        <v>2.0790000000000002</v>
      </c>
      <c r="BA167" s="1025">
        <f>AV167*(1+BA168)</f>
        <v>5.9135999999999997</v>
      </c>
      <c r="BB167" s="1025">
        <f>AW167*(1+BB168)</f>
        <v>1.1925500000000002</v>
      </c>
      <c r="BC167" s="1025">
        <f>AX167*(1+BC168)</f>
        <v>0.66149999999999998</v>
      </c>
      <c r="BD167" s="1024">
        <f>SUM(AZ167:BC167)</f>
        <v>9.8466500000000003</v>
      </c>
      <c r="BE167" s="2881"/>
      <c r="BF167" s="2881"/>
      <c r="BG167" s="2881"/>
      <c r="BH167" s="2881"/>
      <c r="BI167" s="2969"/>
      <c r="BJ167" s="2964"/>
      <c r="BK167" s="2964"/>
      <c r="BL167" s="2964"/>
      <c r="BM167" s="2964"/>
      <c r="BN167" s="2969"/>
      <c r="BO167" s="2964"/>
      <c r="BP167" s="2964"/>
      <c r="BQ167" s="2964"/>
      <c r="BR167" s="2964"/>
      <c r="BS167" s="2969"/>
      <c r="BT167" s="1521"/>
      <c r="BU167" s="1024"/>
      <c r="BV167" s="1024"/>
      <c r="BW167" s="1024">
        <f>SUM(AM167:AN167,AP167:AQ167)</f>
        <v>9.75</v>
      </c>
      <c r="BX167" s="1024">
        <f>SUM(AR167:AS167,AU167:AV167)</f>
        <v>11.185</v>
      </c>
      <c r="BY167" s="1024">
        <f>SUM(AW167:AX167,AZ167:BA167)</f>
        <v>10.170850000000002</v>
      </c>
      <c r="BZ167" s="1024">
        <f>SUM(BB167:BC167,BE167:BF167)</f>
        <v>1.8540500000000002</v>
      </c>
      <c r="CA167" s="1024"/>
      <c r="CB167" s="1024"/>
    </row>
    <row r="168" spans="1:80" s="1022" customFormat="1" outlineLevel="1">
      <c r="A168" s="1452" t="s">
        <v>926</v>
      </c>
      <c r="B168" s="1453"/>
      <c r="C168" s="1453"/>
      <c r="D168" s="1453"/>
      <c r="E168" s="1453"/>
      <c r="F168" s="1454"/>
      <c r="G168" s="1453"/>
      <c r="H168" s="1453"/>
      <c r="I168" s="1453"/>
      <c r="J168" s="1453"/>
      <c r="K168" s="1454"/>
      <c r="L168" s="1453"/>
      <c r="M168" s="1453"/>
      <c r="N168" s="1453"/>
      <c r="O168" s="1453"/>
      <c r="P168" s="1454"/>
      <c r="Q168" s="1453"/>
      <c r="R168" s="1453"/>
      <c r="S168" s="1453"/>
      <c r="T168" s="1453"/>
      <c r="U168" s="1454"/>
      <c r="V168" s="1453"/>
      <c r="W168" s="1453"/>
      <c r="X168" s="1453"/>
      <c r="Y168" s="1453"/>
      <c r="Z168" s="1454"/>
      <c r="AA168" s="1453"/>
      <c r="AB168" s="1453"/>
      <c r="AC168" s="1453"/>
      <c r="AD168" s="1453"/>
      <c r="AE168" s="1454"/>
      <c r="AF168" s="1446"/>
      <c r="AG168" s="1453"/>
      <c r="AH168" s="1453"/>
      <c r="AI168" s="1453"/>
      <c r="AJ168" s="1443"/>
      <c r="AK168" s="1442"/>
      <c r="AL168" s="1442"/>
      <c r="AM168" s="1442"/>
      <c r="AN168" s="1442"/>
      <c r="AO168" s="1443">
        <f t="shared" ref="AO168:AT168" si="135">IF(ISERROR(AO167/AJ167-1),,(AO167/AJ167-1))</f>
        <v>0</v>
      </c>
      <c r="AP168" s="1442">
        <f t="shared" si="135"/>
        <v>0</v>
      </c>
      <c r="AQ168" s="1442">
        <f t="shared" si="135"/>
        <v>0.4358974358974359</v>
      </c>
      <c r="AR168" s="1442">
        <f t="shared" si="135"/>
        <v>0.27083333333333348</v>
      </c>
      <c r="AS168" s="1442">
        <f t="shared" si="135"/>
        <v>0.64705882352941146</v>
      </c>
      <c r="AT168" s="1443">
        <f t="shared" si="135"/>
        <v>0.78571428571428603</v>
      </c>
      <c r="AU168" s="1442">
        <v>0</v>
      </c>
      <c r="AV168" s="1442">
        <v>0.1</v>
      </c>
      <c r="AW168" s="1442">
        <v>-0.15</v>
      </c>
      <c r="AX168" s="1442">
        <v>-0.37</v>
      </c>
      <c r="AY168" s="1443">
        <f>IF(ISERROR(AY167/AT167-1),,(AY167/AT167-1))</f>
        <v>-1.7576470588235305E-2</v>
      </c>
      <c r="AZ168" s="1442">
        <v>-0.01</v>
      </c>
      <c r="BA168" s="1442">
        <v>-0.04</v>
      </c>
      <c r="BB168" s="1455">
        <v>-0.08</v>
      </c>
      <c r="BC168" s="1455">
        <v>-0.25</v>
      </c>
      <c r="BD168" s="1443">
        <f>IF(ISERROR(BD167/AY167-1),,(BD167/AY167-1))</f>
        <v>-5.6676166982013276E-2</v>
      </c>
      <c r="BE168" s="2870"/>
      <c r="BF168" s="2870"/>
      <c r="BG168" s="2870"/>
      <c r="BH168" s="2870"/>
      <c r="BI168" s="2942"/>
      <c r="BJ168" s="2947"/>
      <c r="BK168" s="2947"/>
      <c r="BL168" s="2947"/>
      <c r="BM168" s="2947"/>
      <c r="BN168" s="2942"/>
      <c r="BO168" s="2947"/>
      <c r="BP168" s="2947"/>
      <c r="BQ168" s="2947"/>
      <c r="BR168" s="2947"/>
      <c r="BS168" s="2942"/>
      <c r="BT168" s="1438"/>
      <c r="BU168" s="1443"/>
      <c r="BV168" s="1443"/>
      <c r="BW168" s="1443"/>
      <c r="BX168" s="1443"/>
      <c r="BY168" s="1443"/>
      <c r="BZ168" s="1443"/>
      <c r="CA168" s="1443"/>
      <c r="CB168" s="1443"/>
    </row>
    <row r="169" spans="1:80" s="1059" customFormat="1" outlineLevel="1">
      <c r="A169" s="1055" t="s">
        <v>937</v>
      </c>
      <c r="B169" s="1060"/>
      <c r="C169" s="1060"/>
      <c r="D169" s="1060"/>
      <c r="E169" s="1060"/>
      <c r="F169" s="1058"/>
      <c r="G169" s="1060"/>
      <c r="H169" s="1060"/>
      <c r="I169" s="1060"/>
      <c r="J169" s="1060"/>
      <c r="K169" s="1058"/>
      <c r="L169" s="1060"/>
      <c r="M169" s="1060"/>
      <c r="N169" s="1060"/>
      <c r="O169" s="1060"/>
      <c r="P169" s="1058"/>
      <c r="Q169" s="1060"/>
      <c r="R169" s="1060"/>
      <c r="S169" s="1060"/>
      <c r="T169" s="1060"/>
      <c r="U169" s="1058"/>
      <c r="V169" s="1060"/>
      <c r="W169" s="1060"/>
      <c r="X169" s="1060"/>
      <c r="Y169" s="1060"/>
      <c r="Z169" s="1058"/>
      <c r="AA169" s="1060"/>
      <c r="AB169" s="1060"/>
      <c r="AC169" s="1060"/>
      <c r="AD169" s="1060"/>
      <c r="AE169" s="1058"/>
      <c r="AF169" s="1056"/>
      <c r="AG169" s="1056"/>
      <c r="AH169" s="1056"/>
      <c r="AI169" s="1056"/>
      <c r="AJ169" s="1058"/>
      <c r="AK169" s="1056">
        <v>425</v>
      </c>
      <c r="AL169" s="1056">
        <f t="shared" ref="AL169:AQ169" si="136">AK169</f>
        <v>425</v>
      </c>
      <c r="AM169" s="1056">
        <f t="shared" si="136"/>
        <v>425</v>
      </c>
      <c r="AN169" s="1056">
        <f t="shared" si="136"/>
        <v>425</v>
      </c>
      <c r="AO169" s="1058">
        <f>AO170/AO167</f>
        <v>425.00000000000006</v>
      </c>
      <c r="AP169" s="1056">
        <f t="shared" si="136"/>
        <v>425.00000000000006</v>
      </c>
      <c r="AQ169" s="1056">
        <f t="shared" si="136"/>
        <v>425.00000000000006</v>
      </c>
      <c r="AR169" s="1056">
        <v>400</v>
      </c>
      <c r="AS169" s="1056">
        <f>AR169</f>
        <v>400</v>
      </c>
      <c r="AT169" s="1058">
        <f>AT170/AT167</f>
        <v>418.11764705882354</v>
      </c>
      <c r="AU169" s="1056">
        <f>AS169*0.98</f>
        <v>392</v>
      </c>
      <c r="AV169" s="1056">
        <f>AU169</f>
        <v>392</v>
      </c>
      <c r="AW169" s="1056">
        <v>325</v>
      </c>
      <c r="AX169" s="1056">
        <v>259</v>
      </c>
      <c r="AY169" s="1058">
        <f>AY170/AY167</f>
        <v>372.44166886211769</v>
      </c>
      <c r="AZ169" s="1056">
        <f>AX169</f>
        <v>259</v>
      </c>
      <c r="BA169" s="1056">
        <v>319</v>
      </c>
      <c r="BB169" s="1056">
        <v>279</v>
      </c>
      <c r="BC169" s="1056">
        <v>249</v>
      </c>
      <c r="BD169" s="1058">
        <f>BD170/BD167</f>
        <v>296.78462725901704</v>
      </c>
      <c r="BE169" s="2882"/>
      <c r="BF169" s="2882"/>
      <c r="BG169" s="2882"/>
      <c r="BH169" s="2882"/>
      <c r="BI169" s="2970"/>
      <c r="BJ169" s="2966"/>
      <c r="BK169" s="2966"/>
      <c r="BL169" s="2966"/>
      <c r="BM169" s="2966"/>
      <c r="BN169" s="2970"/>
      <c r="BO169" s="2966"/>
      <c r="BP169" s="2966"/>
      <c r="BQ169" s="2966"/>
      <c r="BR169" s="2966"/>
      <c r="BS169" s="2970"/>
      <c r="BT169" s="1526"/>
      <c r="BU169" s="1058"/>
      <c r="BV169" s="1058"/>
      <c r="BW169" s="1058"/>
      <c r="BX169" s="1058"/>
      <c r="BY169" s="1058"/>
      <c r="BZ169" s="1058"/>
      <c r="CA169" s="1058"/>
      <c r="CB169" s="1058"/>
    </row>
    <row r="170" spans="1:80" s="1005" customFormat="1" outlineLevel="1">
      <c r="A170" s="1062" t="s">
        <v>950</v>
      </c>
      <c r="B170" s="1063"/>
      <c r="C170" s="1063"/>
      <c r="D170" s="1063"/>
      <c r="E170" s="1063"/>
      <c r="F170" s="1064"/>
      <c r="G170" s="1063"/>
      <c r="H170" s="1063"/>
      <c r="I170" s="1063"/>
      <c r="J170" s="1063"/>
      <c r="K170" s="1064"/>
      <c r="L170" s="1063"/>
      <c r="M170" s="1063"/>
      <c r="N170" s="1063"/>
      <c r="O170" s="1063"/>
      <c r="P170" s="1064"/>
      <c r="Q170" s="1063"/>
      <c r="R170" s="1063"/>
      <c r="S170" s="1063"/>
      <c r="T170" s="1063"/>
      <c r="U170" s="1064"/>
      <c r="V170" s="1063"/>
      <c r="W170" s="1063"/>
      <c r="X170" s="1063"/>
      <c r="Y170" s="1063"/>
      <c r="Z170" s="1064"/>
      <c r="AA170" s="1063"/>
      <c r="AB170" s="1063"/>
      <c r="AC170" s="1063"/>
      <c r="AD170" s="1063"/>
      <c r="AE170" s="1064"/>
      <c r="AF170" s="1063"/>
      <c r="AG170" s="1063"/>
      <c r="AH170" s="1063"/>
      <c r="AI170" s="1063"/>
      <c r="AJ170" s="1064"/>
      <c r="AK170" s="1063">
        <f>AK169*AK167</f>
        <v>0</v>
      </c>
      <c r="AL170" s="1063">
        <f>AL169*AL167</f>
        <v>1657.5</v>
      </c>
      <c r="AM170" s="1063">
        <f>AM169*AM167</f>
        <v>510</v>
      </c>
      <c r="AN170" s="1063">
        <f>AN169*AN167</f>
        <v>361.25000000000006</v>
      </c>
      <c r="AO170" s="1064">
        <f>SUM(AK170:AN170)</f>
        <v>2528.75</v>
      </c>
      <c r="AP170" s="1063">
        <f>AP169*AP167</f>
        <v>892.50000000000011</v>
      </c>
      <c r="AQ170" s="1063">
        <f>AQ169*AQ167</f>
        <v>2380</v>
      </c>
      <c r="AR170" s="1063">
        <f>AR169*AR167</f>
        <v>610</v>
      </c>
      <c r="AS170" s="1063">
        <f>AS169*AS167</f>
        <v>560</v>
      </c>
      <c r="AT170" s="1064">
        <f>SUM(AP170:AS170)</f>
        <v>4442.5</v>
      </c>
      <c r="AU170" s="1063">
        <f>AU169*AU167</f>
        <v>823.2</v>
      </c>
      <c r="AV170" s="1063">
        <f>AV169*AV167</f>
        <v>2414.7200000000003</v>
      </c>
      <c r="AW170" s="1063">
        <f>AW169*AW167</f>
        <v>421.28125000000006</v>
      </c>
      <c r="AX170" s="1063">
        <f>AX169*AX167</f>
        <v>228.43799999999996</v>
      </c>
      <c r="AY170" s="1064">
        <f>SUM(AU170:AX170)</f>
        <v>3887.6392500000002</v>
      </c>
      <c r="AZ170" s="1063">
        <f>AZ169*AZ167</f>
        <v>538.46100000000001</v>
      </c>
      <c r="BA170" s="1063">
        <f>BA169*BA167</f>
        <v>1886.4384</v>
      </c>
      <c r="BB170" s="1063">
        <f>BB169*BB167</f>
        <v>332.72145000000006</v>
      </c>
      <c r="BC170" s="1063">
        <f>BC169*BC167</f>
        <v>164.71349999999998</v>
      </c>
      <c r="BD170" s="1064">
        <f>SUM(AZ170:BC170)</f>
        <v>2922.3343500000001</v>
      </c>
      <c r="BE170" s="2861"/>
      <c r="BF170" s="2861"/>
      <c r="BG170" s="2861"/>
      <c r="BH170" s="2861"/>
      <c r="BI170" s="2971"/>
      <c r="BJ170" s="2935"/>
      <c r="BK170" s="2935"/>
      <c r="BL170" s="2935"/>
      <c r="BM170" s="2935"/>
      <c r="BN170" s="2971"/>
      <c r="BO170" s="2935"/>
      <c r="BP170" s="2935"/>
      <c r="BQ170" s="2935"/>
      <c r="BR170" s="2935"/>
      <c r="BS170" s="2971"/>
      <c r="BT170" s="1522"/>
      <c r="BU170" s="1064"/>
      <c r="BV170" s="1064"/>
      <c r="BW170" s="1064">
        <f>SUM(AM170:AN170,AP170:AQ170)</f>
        <v>4143.75</v>
      </c>
      <c r="BX170" s="1064">
        <f>SUM(AR170:AS170,AU170:AV170)</f>
        <v>4407.92</v>
      </c>
      <c r="BY170" s="1064">
        <f>SUM(AW170:AX170,AZ170:BA170)</f>
        <v>3074.6186499999999</v>
      </c>
      <c r="BZ170" s="1064">
        <f>SUM(BB170:BC170,BE170:BF170)</f>
        <v>497.43495000000007</v>
      </c>
      <c r="CA170" s="1064"/>
      <c r="CB170" s="1064"/>
    </row>
    <row r="171" spans="1:80" s="1005" customFormat="1" outlineLevel="1">
      <c r="A171" s="2520"/>
      <c r="B171" s="2521"/>
      <c r="C171" s="2521"/>
      <c r="D171" s="2521"/>
      <c r="E171" s="2521"/>
      <c r="F171" s="1012"/>
      <c r="G171" s="2521"/>
      <c r="H171" s="2521"/>
      <c r="I171" s="2521"/>
      <c r="J171" s="2521"/>
      <c r="K171" s="1012"/>
      <c r="L171" s="2521"/>
      <c r="M171" s="2521"/>
      <c r="N171" s="2521"/>
      <c r="O171" s="2521"/>
      <c r="P171" s="1012"/>
      <c r="Q171" s="2521"/>
      <c r="R171" s="2521"/>
      <c r="S171" s="2521"/>
      <c r="T171" s="2521"/>
      <c r="U171" s="1012"/>
      <c r="V171" s="2521"/>
      <c r="W171" s="2521"/>
      <c r="X171" s="2521"/>
      <c r="Y171" s="2521"/>
      <c r="Z171" s="1012"/>
      <c r="AA171" s="2521"/>
      <c r="AB171" s="2521"/>
      <c r="AC171" s="2521"/>
      <c r="AD171" s="2521"/>
      <c r="AE171" s="1012"/>
      <c r="AF171" s="2521"/>
      <c r="AG171" s="2521"/>
      <c r="AH171" s="2521"/>
      <c r="AI171" s="2521"/>
      <c r="AJ171" s="1012"/>
      <c r="AK171" s="2521"/>
      <c r="AL171" s="2521"/>
      <c r="AM171" s="2521"/>
      <c r="AN171" s="2521"/>
      <c r="AO171" s="1012"/>
      <c r="AP171" s="2521"/>
      <c r="AQ171" s="2521"/>
      <c r="AR171" s="2521"/>
      <c r="AS171" s="2521"/>
      <c r="AT171" s="1012"/>
      <c r="AU171" s="2521"/>
      <c r="AV171" s="2521"/>
      <c r="AW171" s="2521"/>
      <c r="AX171" s="2521"/>
      <c r="AY171" s="1012"/>
      <c r="AZ171" s="2521"/>
      <c r="BA171" s="2521"/>
      <c r="BB171" s="2521"/>
      <c r="BC171" s="2521"/>
      <c r="BD171" s="1012"/>
      <c r="BE171" s="2885"/>
      <c r="BF171" s="2885"/>
      <c r="BG171" s="2885"/>
      <c r="BH171" s="2885"/>
      <c r="BI171" s="2972"/>
      <c r="BJ171" s="2974"/>
      <c r="BK171" s="2974"/>
      <c r="BL171" s="2974"/>
      <c r="BM171" s="2974"/>
      <c r="BN171" s="2972"/>
      <c r="BO171" s="2974"/>
      <c r="BP171" s="2974"/>
      <c r="BQ171" s="2974"/>
      <c r="BR171" s="2974"/>
      <c r="BS171" s="2972"/>
      <c r="BT171" s="1522"/>
      <c r="BU171" s="1012"/>
      <c r="BV171" s="1012"/>
      <c r="BW171" s="1012"/>
      <c r="BX171" s="1012"/>
      <c r="BY171" s="1012"/>
      <c r="BZ171" s="1012"/>
      <c r="CA171" s="1012"/>
      <c r="CB171" s="1012"/>
    </row>
    <row r="172" spans="1:80" s="1005" customFormat="1" outlineLevel="1">
      <c r="A172" s="1179" t="s">
        <v>1121</v>
      </c>
      <c r="B172" s="2521"/>
      <c r="C172" s="2521"/>
      <c r="D172" s="2521"/>
      <c r="E172" s="2521"/>
      <c r="F172" s="1012"/>
      <c r="G172" s="2521"/>
      <c r="H172" s="2521"/>
      <c r="I172" s="2521"/>
      <c r="J172" s="2521"/>
      <c r="K172" s="1012"/>
      <c r="L172" s="2521"/>
      <c r="M172" s="2521"/>
      <c r="N172" s="2521"/>
      <c r="O172" s="2521"/>
      <c r="P172" s="1012"/>
      <c r="Q172" s="2521"/>
      <c r="R172" s="2521"/>
      <c r="S172" s="2521"/>
      <c r="T172" s="2521"/>
      <c r="U172" s="1012"/>
      <c r="V172" s="2523">
        <f>V162+V167+Q162+Q167+L162+L167+G162+G167+B162+B167</f>
        <v>9.8000000000000007</v>
      </c>
      <c r="W172" s="2523">
        <f>W162+W167+R162+R167+M162+M167+H162+H167+C162+C167</f>
        <v>26.200000000000003</v>
      </c>
      <c r="X172" s="2523">
        <f>X162+X167+S162+S167+N162+N167+I162+I167+D162+D167</f>
        <v>7.7</v>
      </c>
      <c r="Y172" s="2523">
        <f>Y162+Y167+T162+T167+O162+O167+J162+J167+E162+E167</f>
        <v>6.4</v>
      </c>
      <c r="Z172" s="2524">
        <f>Z162+Z167+U162+U167+P162+P167+K162+K167+F162+F167</f>
        <v>50.099999999999994</v>
      </c>
      <c r="AA172" s="2523">
        <f t="shared" ref="AA172:BD172" si="137">AA162+AA167+V162+V167+Q162+Q167+L162+L167+G162+G167</f>
        <v>11.2</v>
      </c>
      <c r="AB172" s="2523">
        <f t="shared" si="137"/>
        <v>30</v>
      </c>
      <c r="AC172" s="2523">
        <f t="shared" si="137"/>
        <v>8.6</v>
      </c>
      <c r="AD172" s="2523">
        <f t="shared" si="137"/>
        <v>6.8</v>
      </c>
      <c r="AE172" s="2524">
        <f t="shared" si="137"/>
        <v>56.599999999999994</v>
      </c>
      <c r="AF172" s="2523">
        <f t="shared" si="137"/>
        <v>11.100000000000001</v>
      </c>
      <c r="AG172" s="2523">
        <f t="shared" si="137"/>
        <v>31.599999999999998</v>
      </c>
      <c r="AH172" s="2523">
        <f t="shared" si="137"/>
        <v>8.6</v>
      </c>
      <c r="AI172" s="2523">
        <f t="shared" si="137"/>
        <v>6.5</v>
      </c>
      <c r="AJ172" s="2524">
        <f t="shared" si="137"/>
        <v>57.8</v>
      </c>
      <c r="AK172" s="2523">
        <f t="shared" si="137"/>
        <v>10.1</v>
      </c>
      <c r="AL172" s="2523">
        <f t="shared" si="137"/>
        <v>33</v>
      </c>
      <c r="AM172" s="2523">
        <f t="shared" si="137"/>
        <v>8.8999999999999986</v>
      </c>
      <c r="AN172" s="2523">
        <f t="shared" si="137"/>
        <v>6.4</v>
      </c>
      <c r="AO172" s="2524">
        <f t="shared" si="137"/>
        <v>58.400000000000006</v>
      </c>
      <c r="AP172" s="2523">
        <f t="shared" si="137"/>
        <v>10.399999999999999</v>
      </c>
      <c r="AQ172" s="2523">
        <f t="shared" si="137"/>
        <v>34.4</v>
      </c>
      <c r="AR172" s="2523">
        <f t="shared" si="137"/>
        <v>9</v>
      </c>
      <c r="AS172" s="2523">
        <f t="shared" si="137"/>
        <v>6.3750000000000009</v>
      </c>
      <c r="AT172" s="2524">
        <f t="shared" si="137"/>
        <v>60.174999999999997</v>
      </c>
      <c r="AU172" s="2523">
        <f t="shared" si="137"/>
        <v>9.7750000000000004</v>
      </c>
      <c r="AV172" s="2523">
        <f t="shared" si="137"/>
        <v>34.61</v>
      </c>
      <c r="AW172" s="2523">
        <f t="shared" si="137"/>
        <v>7.6449999999999996</v>
      </c>
      <c r="AX172" s="2523">
        <f t="shared" si="137"/>
        <v>5.6020000000000003</v>
      </c>
      <c r="AY172" s="2524">
        <f t="shared" si="137"/>
        <v>57.631999999999998</v>
      </c>
      <c r="AZ172" s="2523">
        <f t="shared" si="137"/>
        <v>9.5915000000000017</v>
      </c>
      <c r="BA172" s="2523">
        <f t="shared" si="137"/>
        <v>32.376099999999994</v>
      </c>
      <c r="BB172" s="2523">
        <f t="shared" si="137"/>
        <v>7.4375500000000008</v>
      </c>
      <c r="BC172" s="2523">
        <f t="shared" si="137"/>
        <v>5.1634999999999991</v>
      </c>
      <c r="BD172" s="2524">
        <f t="shared" si="137"/>
        <v>54.568649999999998</v>
      </c>
      <c r="BE172" s="2886"/>
      <c r="BF172" s="2886"/>
      <c r="BG172" s="2886"/>
      <c r="BH172" s="2886"/>
      <c r="BI172" s="2975"/>
      <c r="BJ172" s="2976"/>
      <c r="BK172" s="2976"/>
      <c r="BL172" s="2976"/>
      <c r="BM172" s="2976"/>
      <c r="BN172" s="2975"/>
      <c r="BO172" s="2976"/>
      <c r="BP172" s="2976"/>
      <c r="BQ172" s="2976"/>
      <c r="BR172" s="2976"/>
      <c r="BS172" s="2975"/>
      <c r="BT172" s="1522"/>
      <c r="BU172" s="2524"/>
      <c r="BV172" s="2524"/>
      <c r="BW172" s="2524"/>
      <c r="BX172" s="2524"/>
      <c r="BY172" s="2524"/>
      <c r="BZ172" s="2524"/>
      <c r="CA172" s="2524"/>
      <c r="CB172" s="2524"/>
    </row>
    <row r="173" spans="1:80" s="1005" customFormat="1" outlineLevel="1">
      <c r="A173" s="1452" t="s">
        <v>926</v>
      </c>
      <c r="B173" s="1453"/>
      <c r="C173" s="1453"/>
      <c r="D173" s="1453"/>
      <c r="E173" s="1453"/>
      <c r="F173" s="1454"/>
      <c r="G173" s="1453"/>
      <c r="H173" s="1453"/>
      <c r="I173" s="1453"/>
      <c r="J173" s="1453"/>
      <c r="K173" s="1454"/>
      <c r="L173" s="1453"/>
      <c r="M173" s="1453"/>
      <c r="N173" s="1453"/>
      <c r="O173" s="1453"/>
      <c r="P173" s="1454"/>
      <c r="Q173" s="1453"/>
      <c r="R173" s="1453"/>
      <c r="S173" s="1453"/>
      <c r="T173" s="1453"/>
      <c r="U173" s="1454"/>
      <c r="V173" s="1453"/>
      <c r="W173" s="1453"/>
      <c r="X173" s="1453"/>
      <c r="Y173" s="1453"/>
      <c r="Z173" s="1443"/>
      <c r="AA173" s="1442">
        <f t="shared" ref="AA173:BD173" si="138">IF(ISERROR(AA172/V172-1),,(AA172/V172-1))</f>
        <v>0.14285714285714279</v>
      </c>
      <c r="AB173" s="1442">
        <f t="shared" si="138"/>
        <v>0.14503816793893121</v>
      </c>
      <c r="AC173" s="1442">
        <f t="shared" si="138"/>
        <v>0.11688311688311681</v>
      </c>
      <c r="AD173" s="1442">
        <f t="shared" si="138"/>
        <v>6.25E-2</v>
      </c>
      <c r="AE173" s="1443">
        <f t="shared" si="138"/>
        <v>0.12974051896207595</v>
      </c>
      <c r="AF173" s="1442">
        <f t="shared" si="138"/>
        <v>-8.9285714285712858E-3</v>
      </c>
      <c r="AG173" s="1442">
        <f t="shared" si="138"/>
        <v>5.3333333333333233E-2</v>
      </c>
      <c r="AH173" s="1442">
        <f t="shared" si="138"/>
        <v>0</v>
      </c>
      <c r="AI173" s="1442">
        <f t="shared" si="138"/>
        <v>-4.4117647058823484E-2</v>
      </c>
      <c r="AJ173" s="1443">
        <f t="shared" si="138"/>
        <v>2.1201413427561988E-2</v>
      </c>
      <c r="AK173" s="1442">
        <f t="shared" si="138"/>
        <v>-9.009009009009028E-2</v>
      </c>
      <c r="AL173" s="1442">
        <f t="shared" si="138"/>
        <v>4.4303797468354444E-2</v>
      </c>
      <c r="AM173" s="1442">
        <f t="shared" si="138"/>
        <v>3.4883720930232398E-2</v>
      </c>
      <c r="AN173" s="1442">
        <f t="shared" si="138"/>
        <v>-1.538461538461533E-2</v>
      </c>
      <c r="AO173" s="1443">
        <f t="shared" si="138"/>
        <v>1.0380622837370401E-2</v>
      </c>
      <c r="AP173" s="1442">
        <f t="shared" si="138"/>
        <v>2.9702970297029507E-2</v>
      </c>
      <c r="AQ173" s="1442">
        <f t="shared" si="138"/>
        <v>4.2424242424242475E-2</v>
      </c>
      <c r="AR173" s="1442">
        <f t="shared" si="138"/>
        <v>1.1235955056180025E-2</v>
      </c>
      <c r="AS173" s="1442">
        <f t="shared" si="138"/>
        <v>-3.906249999999889E-3</v>
      </c>
      <c r="AT173" s="1443">
        <f t="shared" si="138"/>
        <v>3.0393835616438158E-2</v>
      </c>
      <c r="AU173" s="1442">
        <f t="shared" si="138"/>
        <v>-6.0096153846153633E-2</v>
      </c>
      <c r="AV173" s="1442">
        <f t="shared" si="138"/>
        <v>6.1046511627906863E-3</v>
      </c>
      <c r="AW173" s="1442">
        <f t="shared" si="138"/>
        <v>-0.15055555555555555</v>
      </c>
      <c r="AX173" s="1442">
        <f t="shared" si="138"/>
        <v>-0.12125490196078437</v>
      </c>
      <c r="AY173" s="1443">
        <f t="shared" si="138"/>
        <v>-4.2260074781886203E-2</v>
      </c>
      <c r="AZ173" s="1442">
        <f t="shared" si="138"/>
        <v>-1.8772378516623944E-2</v>
      </c>
      <c r="BA173" s="1442">
        <f t="shared" si="138"/>
        <v>-6.45449292112108E-2</v>
      </c>
      <c r="BB173" s="1442">
        <f t="shared" si="138"/>
        <v>-2.7135382603008296E-2</v>
      </c>
      <c r="BC173" s="1442">
        <f t="shared" si="138"/>
        <v>-7.8275615851481795E-2</v>
      </c>
      <c r="BD173" s="1443">
        <f t="shared" si="138"/>
        <v>-5.3153629927817914E-2</v>
      </c>
      <c r="BE173" s="2866"/>
      <c r="BF173" s="2866"/>
      <c r="BG173" s="2866"/>
      <c r="BH173" s="2866"/>
      <c r="BI173" s="2942"/>
      <c r="BJ173" s="2943"/>
      <c r="BK173" s="2943"/>
      <c r="BL173" s="2943"/>
      <c r="BM173" s="2943"/>
      <c r="BN173" s="2942"/>
      <c r="BO173" s="2943"/>
      <c r="BP173" s="2943"/>
      <c r="BQ173" s="2943"/>
      <c r="BR173" s="2943"/>
      <c r="BS173" s="2942"/>
      <c r="BT173" s="1522"/>
      <c r="BU173" s="1443"/>
      <c r="BV173" s="1443"/>
      <c r="BW173" s="1443"/>
      <c r="BX173" s="1443"/>
      <c r="BY173" s="1443"/>
      <c r="BZ173" s="1443"/>
      <c r="CA173" s="1443"/>
      <c r="CB173" s="1443"/>
    </row>
    <row r="174" spans="1:80" s="1049" customFormat="1" ht="7.5" customHeight="1" outlineLevel="1">
      <c r="A174" s="1016"/>
      <c r="B174" s="1047"/>
      <c r="C174" s="1047"/>
      <c r="D174" s="1047"/>
      <c r="E174" s="1047"/>
      <c r="F174" s="1048"/>
      <c r="G174" s="1047"/>
      <c r="H174" s="1047"/>
      <c r="I174" s="1047"/>
      <c r="J174" s="1047"/>
      <c r="K174" s="1048"/>
      <c r="L174" s="1047"/>
      <c r="M174" s="1047"/>
      <c r="N174" s="1047"/>
      <c r="O174" s="1047"/>
      <c r="P174" s="1048"/>
      <c r="Q174" s="1047"/>
      <c r="R174" s="1047"/>
      <c r="S174" s="1047"/>
      <c r="T174" s="1047"/>
      <c r="U174" s="1048"/>
      <c r="V174" s="1047"/>
      <c r="W174" s="1047"/>
      <c r="X174" s="1047"/>
      <c r="Y174" s="1047"/>
      <c r="Z174" s="1048"/>
      <c r="AA174" s="1047"/>
      <c r="AB174" s="1047"/>
      <c r="AC174" s="1047"/>
      <c r="AD174" s="1047"/>
      <c r="AE174" s="1012"/>
      <c r="AF174" s="1047"/>
      <c r="AG174" s="1047"/>
      <c r="AH174" s="1047"/>
      <c r="AI174" s="1047"/>
      <c r="AJ174" s="1012"/>
      <c r="AK174" s="1047"/>
      <c r="AL174" s="1047"/>
      <c r="AM174" s="1047"/>
      <c r="AN174" s="1047"/>
      <c r="AO174" s="1012"/>
      <c r="AP174" s="1047"/>
      <c r="AQ174" s="1047"/>
      <c r="AR174" s="1047"/>
      <c r="AS174" s="1047"/>
      <c r="AT174" s="1012"/>
      <c r="AU174" s="1047"/>
      <c r="AV174" s="1047"/>
      <c r="AW174" s="1047"/>
      <c r="AX174" s="1047"/>
      <c r="AY174" s="1012"/>
      <c r="AZ174" s="1047"/>
      <c r="BA174" s="1047"/>
      <c r="BB174" s="1047"/>
      <c r="BC174" s="1047"/>
      <c r="BD174" s="1012"/>
      <c r="BE174" s="2884"/>
      <c r="BF174" s="2884"/>
      <c r="BG174" s="2884"/>
      <c r="BH174" s="2884"/>
      <c r="BI174" s="2972"/>
      <c r="BJ174" s="2973"/>
      <c r="BK174" s="2973"/>
      <c r="BL174" s="2973"/>
      <c r="BM174" s="2973"/>
      <c r="BN174" s="2972"/>
      <c r="BO174" s="2973"/>
      <c r="BP174" s="2973"/>
      <c r="BQ174" s="2973"/>
      <c r="BR174" s="2973"/>
      <c r="BS174" s="2972"/>
      <c r="BT174" s="1524"/>
      <c r="BU174" s="1012"/>
      <c r="BV174" s="1012"/>
      <c r="BW174" s="1012"/>
      <c r="BX174" s="1012"/>
      <c r="BY174" s="1012"/>
      <c r="BZ174" s="1012"/>
      <c r="CA174" s="1012"/>
      <c r="CB174" s="1012"/>
    </row>
    <row r="175" spans="1:80" s="1011" customFormat="1" outlineLevel="1">
      <c r="A175" s="1013" t="s">
        <v>1070</v>
      </c>
      <c r="B175" s="1015"/>
      <c r="C175" s="1015"/>
      <c r="D175" s="1015"/>
      <c r="E175" s="1015"/>
      <c r="F175" s="1014"/>
      <c r="G175" s="1015"/>
      <c r="H175" s="1015"/>
      <c r="I175" s="1015"/>
      <c r="J175" s="1015"/>
      <c r="K175" s="1014"/>
      <c r="L175" s="1015"/>
      <c r="M175" s="1015"/>
      <c r="N175" s="1015"/>
      <c r="O175" s="1015"/>
      <c r="P175" s="1014"/>
      <c r="Q175" s="1015"/>
      <c r="R175" s="1015"/>
      <c r="S175" s="1015"/>
      <c r="T175" s="1015"/>
      <c r="U175" s="1014"/>
      <c r="V175" s="1015"/>
      <c r="W175" s="1015"/>
      <c r="X175" s="1015"/>
      <c r="Y175" s="1015"/>
      <c r="Z175" s="1014"/>
      <c r="AA175" s="1015"/>
      <c r="AB175" s="1015"/>
      <c r="AC175" s="1015"/>
      <c r="AD175" s="1015"/>
      <c r="AE175" s="1014"/>
      <c r="AF175" s="1015"/>
      <c r="AG175" s="1015"/>
      <c r="AH175" s="1015"/>
      <c r="AI175" s="1015"/>
      <c r="AJ175" s="1014"/>
      <c r="AK175" s="1015">
        <f t="shared" ref="AK175:BB175" si="139">AK170+AK165</f>
        <v>274.8</v>
      </c>
      <c r="AL175" s="1015">
        <f t="shared" si="139"/>
        <v>2459</v>
      </c>
      <c r="AM175" s="1015">
        <f t="shared" si="139"/>
        <v>693.2</v>
      </c>
      <c r="AN175" s="1015">
        <f t="shared" si="139"/>
        <v>418.50000000000006</v>
      </c>
      <c r="AO175" s="1014">
        <f>SUM(AK175:AN175)</f>
        <v>3845.5</v>
      </c>
      <c r="AP175" s="1015">
        <f t="shared" si="139"/>
        <v>961.20000000000016</v>
      </c>
      <c r="AQ175" s="1015">
        <f t="shared" si="139"/>
        <v>2609</v>
      </c>
      <c r="AR175" s="1015">
        <f t="shared" si="139"/>
        <v>627.17499999999995</v>
      </c>
      <c r="AS175" s="1015">
        <f t="shared" si="139"/>
        <v>577.17499999999995</v>
      </c>
      <c r="AT175" s="1014">
        <f>SUM(AP175:AS175)</f>
        <v>4774.55</v>
      </c>
      <c r="AU175" s="1015">
        <f t="shared" si="139"/>
        <v>839.51625000000001</v>
      </c>
      <c r="AV175" s="1015">
        <f t="shared" si="139"/>
        <v>2490.8625000000002</v>
      </c>
      <c r="AW175" s="1015">
        <f t="shared" si="139"/>
        <v>431.03125000000006</v>
      </c>
      <c r="AX175" s="1015">
        <f t="shared" si="139"/>
        <v>235.18799999999996</v>
      </c>
      <c r="AY175" s="1014">
        <f>SUM(AU175:AX175)</f>
        <v>3996.5980000000004</v>
      </c>
      <c r="AZ175" s="1015">
        <f t="shared" si="139"/>
        <v>544.08600000000001</v>
      </c>
      <c r="BA175" s="1015">
        <f t="shared" si="139"/>
        <v>1894.3134</v>
      </c>
      <c r="BB175" s="1015">
        <f t="shared" si="139"/>
        <v>332.72145000000006</v>
      </c>
      <c r="BC175" s="1015">
        <f t="shared" ref="BC175" si="140">BC170+BC165</f>
        <v>164.71349999999998</v>
      </c>
      <c r="BD175" s="1014">
        <f>SUM(AZ175:BC175)</f>
        <v>2935.8343500000001</v>
      </c>
      <c r="BE175" s="2883"/>
      <c r="BF175" s="2883"/>
      <c r="BG175" s="2883"/>
      <c r="BH175" s="2883"/>
      <c r="BI175" s="2967"/>
      <c r="BJ175" s="2968"/>
      <c r="BK175" s="2968"/>
      <c r="BL175" s="2968"/>
      <c r="BM175" s="2968"/>
      <c r="BN175" s="2967"/>
      <c r="BO175" s="2968"/>
      <c r="BP175" s="2968"/>
      <c r="BQ175" s="2968"/>
      <c r="BR175" s="2968"/>
      <c r="BS175" s="2967"/>
      <c r="BT175" s="1523"/>
      <c r="BU175" s="1014"/>
      <c r="BV175" s="1014"/>
      <c r="BW175" s="1014">
        <f>SUM(AM175:AN175,AP175:AQ175)</f>
        <v>4681.8999999999996</v>
      </c>
      <c r="BX175" s="1014">
        <f>SUM(AR175:AS175,AU175:AV175)</f>
        <v>4534.7287500000002</v>
      </c>
      <c r="BY175" s="1014">
        <f>SUM(AW175:AX175,AZ175:BA175)</f>
        <v>3104.6186499999999</v>
      </c>
      <c r="BZ175" s="1014">
        <f>SUM(BB175:BC175,BE175:BF175)</f>
        <v>497.43495000000007</v>
      </c>
      <c r="CA175" s="1014"/>
      <c r="CB175" s="1014"/>
    </row>
    <row r="176" spans="1:80" s="1022" customFormat="1" outlineLevel="1">
      <c r="A176" s="1452" t="s">
        <v>926</v>
      </c>
      <c r="B176" s="1453"/>
      <c r="C176" s="1453"/>
      <c r="D176" s="1453"/>
      <c r="E176" s="1453"/>
      <c r="F176" s="1454"/>
      <c r="G176" s="1453"/>
      <c r="H176" s="1453"/>
      <c r="I176" s="1453"/>
      <c r="J176" s="1453"/>
      <c r="K176" s="1454"/>
      <c r="L176" s="1453"/>
      <c r="M176" s="1453"/>
      <c r="N176" s="1453"/>
      <c r="O176" s="1453"/>
      <c r="P176" s="1454"/>
      <c r="Q176" s="1453"/>
      <c r="R176" s="1453"/>
      <c r="S176" s="1453"/>
      <c r="T176" s="1453"/>
      <c r="U176" s="1454"/>
      <c r="V176" s="1453"/>
      <c r="W176" s="1453"/>
      <c r="X176" s="1453"/>
      <c r="Y176" s="1453"/>
      <c r="Z176" s="1454"/>
      <c r="AA176" s="1453"/>
      <c r="AB176" s="1453"/>
      <c r="AC176" s="1453"/>
      <c r="AD176" s="1453"/>
      <c r="AE176" s="1454"/>
      <c r="AF176" s="1446"/>
      <c r="AG176" s="1453"/>
      <c r="AH176" s="1453"/>
      <c r="AI176" s="1453"/>
      <c r="AJ176" s="1443"/>
      <c r="AK176" s="1442"/>
      <c r="AL176" s="1442"/>
      <c r="AM176" s="1442"/>
      <c r="AN176" s="1442"/>
      <c r="AO176" s="1443">
        <f t="shared" ref="AO176:BD176" si="141">IF(ISERROR(AO175/AJ175-1),,(AO175/AJ175-1))</f>
        <v>0</v>
      </c>
      <c r="AP176" s="1442">
        <f t="shared" si="141"/>
        <v>2.4978165938864634</v>
      </c>
      <c r="AQ176" s="1442">
        <f t="shared" si="141"/>
        <v>6.1000406669377893E-2</v>
      </c>
      <c r="AR176" s="1442">
        <f t="shared" si="141"/>
        <v>-9.5246682054241361E-2</v>
      </c>
      <c r="AS176" s="1442">
        <f t="shared" si="141"/>
        <v>0.37915173237753863</v>
      </c>
      <c r="AT176" s="1443">
        <f t="shared" si="141"/>
        <v>0.24159407099206875</v>
      </c>
      <c r="AU176" s="1442">
        <f t="shared" si="141"/>
        <v>-0.12659566167290903</v>
      </c>
      <c r="AV176" s="1442">
        <f t="shared" si="141"/>
        <v>-4.5280758911460217E-2</v>
      </c>
      <c r="AW176" s="1442">
        <f t="shared" si="141"/>
        <v>-0.31274165902658735</v>
      </c>
      <c r="AX176" s="1442">
        <f t="shared" si="141"/>
        <v>-0.59251873348637774</v>
      </c>
      <c r="AY176" s="1443">
        <f t="shared" si="141"/>
        <v>-0.16293724015875832</v>
      </c>
      <c r="AZ176" s="1442">
        <f t="shared" si="141"/>
        <v>-0.3519053383421703</v>
      </c>
      <c r="BA176" s="1442">
        <f t="shared" si="141"/>
        <v>-0.23949499420381504</v>
      </c>
      <c r="BB176" s="1442">
        <f t="shared" si="141"/>
        <v>-0.22808044660334947</v>
      </c>
      <c r="BC176" s="1442">
        <f t="shared" si="141"/>
        <v>-0.29965176794734416</v>
      </c>
      <c r="BD176" s="1443">
        <f t="shared" si="141"/>
        <v>-0.26541664936028098</v>
      </c>
      <c r="BE176" s="2866"/>
      <c r="BF176" s="2866"/>
      <c r="BG176" s="2866"/>
      <c r="BH176" s="2866"/>
      <c r="BI176" s="2942"/>
      <c r="BJ176" s="2943"/>
      <c r="BK176" s="2943"/>
      <c r="BL176" s="2943"/>
      <c r="BM176" s="2943"/>
      <c r="BN176" s="2942"/>
      <c r="BO176" s="2943"/>
      <c r="BP176" s="2943"/>
      <c r="BQ176" s="2943"/>
      <c r="BR176" s="2943"/>
      <c r="BS176" s="2942"/>
      <c r="BT176" s="1438"/>
      <c r="BU176" s="1443"/>
      <c r="BV176" s="1443"/>
      <c r="BW176" s="1443"/>
      <c r="BX176" s="1443"/>
      <c r="BY176" s="1443"/>
      <c r="BZ176" s="1443"/>
      <c r="CA176" s="1443"/>
      <c r="CB176" s="1443"/>
    </row>
    <row r="177" spans="1:83" s="1049" customFormat="1" ht="7.5" customHeight="1" outlineLevel="1">
      <c r="A177" s="1016"/>
      <c r="B177" s="1047"/>
      <c r="C177" s="1047"/>
      <c r="D177" s="1047"/>
      <c r="E177" s="1047"/>
      <c r="F177" s="1048"/>
      <c r="G177" s="1047"/>
      <c r="H177" s="1047"/>
      <c r="I177" s="1047"/>
      <c r="J177" s="1047"/>
      <c r="K177" s="1048"/>
      <c r="L177" s="1047"/>
      <c r="M177" s="1047"/>
      <c r="N177" s="1047"/>
      <c r="O177" s="1047"/>
      <c r="P177" s="1048"/>
      <c r="Q177" s="1047"/>
      <c r="R177" s="1047"/>
      <c r="S177" s="1047"/>
      <c r="T177" s="1047"/>
      <c r="U177" s="1048"/>
      <c r="V177" s="1047"/>
      <c r="W177" s="1047"/>
      <c r="X177" s="1047"/>
      <c r="Y177" s="1047"/>
      <c r="Z177" s="1048"/>
      <c r="AA177" s="1047"/>
      <c r="AB177" s="1047"/>
      <c r="AC177" s="1047"/>
      <c r="AD177" s="1047"/>
      <c r="AE177" s="1012"/>
      <c r="AF177" s="1047"/>
      <c r="AG177" s="1047"/>
      <c r="AH177" s="1047"/>
      <c r="AI177" s="1047"/>
      <c r="AJ177" s="1012"/>
      <c r="AK177" s="1047"/>
      <c r="AL177" s="1047"/>
      <c r="AM177" s="1047"/>
      <c r="AN177" s="1047"/>
      <c r="AO177" s="1012"/>
      <c r="AP177" s="1047"/>
      <c r="AQ177" s="1047"/>
      <c r="AR177" s="1047"/>
      <c r="AS177" s="1047"/>
      <c r="AT177" s="1012"/>
      <c r="AU177" s="1047"/>
      <c r="AV177" s="1047"/>
      <c r="AW177" s="1047"/>
      <c r="AX177" s="1047"/>
      <c r="AY177" s="1012"/>
      <c r="AZ177" s="1047"/>
      <c r="BA177" s="1047"/>
      <c r="BB177" s="1047"/>
      <c r="BC177" s="1047"/>
      <c r="BD177" s="1012"/>
      <c r="BE177" s="2884"/>
      <c r="BF177" s="2884"/>
      <c r="BG177" s="2884"/>
      <c r="BH177" s="2884"/>
      <c r="BI177" s="2972"/>
      <c r="BJ177" s="2973"/>
      <c r="BK177" s="2973"/>
      <c r="BL177" s="2973"/>
      <c r="BM177" s="2973"/>
      <c r="BN177" s="2972"/>
      <c r="BO177" s="2973"/>
      <c r="BP177" s="2973"/>
      <c r="BQ177" s="2973"/>
      <c r="BR177" s="2973"/>
      <c r="BS177" s="2972"/>
      <c r="BT177" s="1524"/>
      <c r="BU177" s="1012"/>
      <c r="BV177" s="1012"/>
      <c r="BW177" s="1012"/>
      <c r="BX177" s="1012"/>
      <c r="BY177" s="1012"/>
      <c r="BZ177" s="1012"/>
      <c r="CA177" s="1012"/>
      <c r="CB177" s="1012"/>
    </row>
    <row r="178" spans="1:83" s="1011" customFormat="1" outlineLevel="1">
      <c r="A178" s="1536" t="s">
        <v>1119</v>
      </c>
      <c r="B178" s="1195"/>
      <c r="C178" s="1195"/>
      <c r="D178" s="1195"/>
      <c r="E178" s="1195"/>
      <c r="F178" s="1196"/>
      <c r="G178" s="1195"/>
      <c r="H178" s="1195"/>
      <c r="I178" s="1195"/>
      <c r="J178" s="1195"/>
      <c r="K178" s="1196"/>
      <c r="L178" s="1195"/>
      <c r="M178" s="1195"/>
      <c r="N178" s="1195"/>
      <c r="O178" s="1195"/>
      <c r="P178" s="1196"/>
      <c r="Q178" s="1195"/>
      <c r="R178" s="1195"/>
      <c r="S178" s="1195"/>
      <c r="T178" s="1195"/>
      <c r="U178" s="1196"/>
      <c r="V178" s="1195"/>
      <c r="W178" s="1195"/>
      <c r="X178" s="1195"/>
      <c r="Y178" s="1195"/>
      <c r="Z178" s="1196"/>
      <c r="AA178" s="1195"/>
      <c r="AB178" s="1195"/>
      <c r="AC178" s="1195"/>
      <c r="AD178" s="1195"/>
      <c r="AE178" s="1196">
        <v>650</v>
      </c>
      <c r="AF178" s="1195">
        <v>150</v>
      </c>
      <c r="AG178" s="1195">
        <v>300</v>
      </c>
      <c r="AH178" s="1195">
        <v>50</v>
      </c>
      <c r="AI178" s="1195">
        <v>50</v>
      </c>
      <c r="AJ178" s="1196">
        <f>SUM(AF178:AI178)</f>
        <v>550</v>
      </c>
      <c r="AK178" s="1195">
        <v>50.862027343751151</v>
      </c>
      <c r="AL178" s="1195">
        <f>AK178</f>
        <v>50.862027343751151</v>
      </c>
      <c r="AM178" s="1195">
        <f>AL178</f>
        <v>50.862027343751151</v>
      </c>
      <c r="AN178" s="1195">
        <f>AM178</f>
        <v>50.862027343751151</v>
      </c>
      <c r="AO178" s="1474">
        <f>SUM(AK178:AN178)</f>
        <v>203.44810937500461</v>
      </c>
      <c r="AP178" s="1195">
        <f>AK178*(1+AP179)</f>
        <v>50.862027343751151</v>
      </c>
      <c r="AQ178" s="1195">
        <v>33</v>
      </c>
      <c r="AR178" s="1195">
        <f>AM178*(1+AR179)</f>
        <v>50.862027343751151</v>
      </c>
      <c r="AS178" s="1195">
        <f>AN178*(1+AS179)</f>
        <v>50.862027343751151</v>
      </c>
      <c r="AT178" s="1474">
        <f>SUM(AP178:AS178)</f>
        <v>185.58608203125345</v>
      </c>
      <c r="AU178" s="1195">
        <v>32.5</v>
      </c>
      <c r="AV178" s="1195">
        <f>AQ178*(1+AV179)</f>
        <v>33</v>
      </c>
      <c r="AW178" s="1195">
        <f>AR178*(1+AW179)</f>
        <v>25.431013671875576</v>
      </c>
      <c r="AX178" s="1195">
        <f>AS178*(1+AX179)</f>
        <v>12.715506835937788</v>
      </c>
      <c r="AY178" s="1474">
        <f>SUM(AU178:AX178)</f>
        <v>103.64652050781336</v>
      </c>
      <c r="AZ178" s="1195">
        <f>AZ193-AZ190-AZ187-AZ175</f>
        <v>97.901068965517084</v>
      </c>
      <c r="BA178" s="1195">
        <f>BA193-BA190-BA187-BA175</f>
        <v>52.908037620689356</v>
      </c>
      <c r="BB178" s="1195">
        <f>BB193-BB190-BB187-BB175</f>
        <v>91.537193749999972</v>
      </c>
      <c r="BC178" s="1195">
        <f>BC193-BC190-BC187-BC175</f>
        <v>18.808624999999864</v>
      </c>
      <c r="BD178" s="1474">
        <f>SUM(AZ178:BC178)</f>
        <v>261.15492533620625</v>
      </c>
      <c r="BE178" s="2861"/>
      <c r="BF178" s="2861"/>
      <c r="BG178" s="2861"/>
      <c r="BH178" s="2861"/>
      <c r="BI178" s="2934"/>
      <c r="BJ178" s="2935"/>
      <c r="BK178" s="2935"/>
      <c r="BL178" s="2935"/>
      <c r="BM178" s="2935"/>
      <c r="BN178" s="2934"/>
      <c r="BO178" s="2935"/>
      <c r="BP178" s="2935"/>
      <c r="BQ178" s="2935"/>
      <c r="BR178" s="2935"/>
      <c r="BS178" s="2934"/>
      <c r="BT178" s="1523"/>
      <c r="BU178" s="1474"/>
      <c r="BV178" s="1474"/>
      <c r="BW178" s="1474">
        <f>SUM(AM178:AN178,AP178:AQ178)</f>
        <v>185.58608203125345</v>
      </c>
      <c r="BX178" s="1474">
        <f>SUM(AR178:AS178,AU178:AV178)</f>
        <v>167.2240546875023</v>
      </c>
      <c r="BY178" s="1474">
        <f>SUM(AW178:AX178,AZ178:BA178)</f>
        <v>188.9556270940198</v>
      </c>
      <c r="BZ178" s="1474">
        <f>SUM(BB178:BC178,BE178:BF178)</f>
        <v>110.34581874999984</v>
      </c>
      <c r="CA178" s="1474"/>
      <c r="CB178" s="1474"/>
    </row>
    <row r="179" spans="1:83" s="1022" customFormat="1" outlineLevel="1">
      <c r="A179" s="1452" t="s">
        <v>926</v>
      </c>
      <c r="B179" s="1453"/>
      <c r="C179" s="1453"/>
      <c r="D179" s="1453"/>
      <c r="E179" s="1453"/>
      <c r="F179" s="1454"/>
      <c r="G179" s="1453"/>
      <c r="H179" s="1453"/>
      <c r="I179" s="1453"/>
      <c r="J179" s="1453"/>
      <c r="K179" s="1454"/>
      <c r="L179" s="1453"/>
      <c r="M179" s="1453"/>
      <c r="N179" s="1453"/>
      <c r="O179" s="1453"/>
      <c r="P179" s="1454"/>
      <c r="Q179" s="1453"/>
      <c r="R179" s="1453"/>
      <c r="S179" s="1453"/>
      <c r="T179" s="1453"/>
      <c r="U179" s="1454"/>
      <c r="V179" s="1453"/>
      <c r="W179" s="1453"/>
      <c r="X179" s="1453"/>
      <c r="Y179" s="1453"/>
      <c r="Z179" s="1454"/>
      <c r="AA179" s="1453"/>
      <c r="AB179" s="1453"/>
      <c r="AC179" s="1453"/>
      <c r="AD179" s="1453"/>
      <c r="AE179" s="1454"/>
      <c r="AF179" s="1446"/>
      <c r="AG179" s="1453"/>
      <c r="AH179" s="1453"/>
      <c r="AI179" s="1453"/>
      <c r="AJ179" s="1443"/>
      <c r="AK179" s="1442"/>
      <c r="AL179" s="1442"/>
      <c r="AM179" s="1442"/>
      <c r="AN179" s="1442"/>
      <c r="AO179" s="1433">
        <f>IF(ISERROR(AO178/AJ178-1),,(AO178/AJ178-1))</f>
        <v>-0.6300943465909008</v>
      </c>
      <c r="AP179" s="1442">
        <v>0</v>
      </c>
      <c r="AQ179" s="1442">
        <f>IF(ISERROR(AQ178/AL178-1),,(AQ178/AL178-1))</f>
        <v>-0.35118590973636565</v>
      </c>
      <c r="AR179" s="1442">
        <v>0</v>
      </c>
      <c r="AS179" s="1442">
        <v>0</v>
      </c>
      <c r="AT179" s="1433">
        <f>IF(ISERROR(AT178/AO178-1),,(AT178/AO178-1))</f>
        <v>-8.7796477434091358E-2</v>
      </c>
      <c r="AU179" s="1442">
        <f>IF(ISERROR(AU178/AP178-1),,(AU178/AP178-1))</f>
        <v>-0.36101642625551156</v>
      </c>
      <c r="AV179" s="1442">
        <v>0</v>
      </c>
      <c r="AW179" s="1442">
        <v>-0.5</v>
      </c>
      <c r="AX179" s="1442">
        <v>-0.75</v>
      </c>
      <c r="AY179" s="1433">
        <f>IF(ISERROR(AY178/AT178-1),,(AY178/AT178-1))</f>
        <v>-0.44151781548813096</v>
      </c>
      <c r="AZ179" s="1442">
        <f>AZ178/AU178-1</f>
        <v>2.012340583554372</v>
      </c>
      <c r="BA179" s="1442">
        <f>BA178/AV178-1</f>
        <v>0.60327386729361687</v>
      </c>
      <c r="BB179" s="1442">
        <f>BB178/AW178-1</f>
        <v>2.5994315811025621</v>
      </c>
      <c r="BC179" s="1442">
        <f>BC178/AX178-1</f>
        <v>0.47918799011936519</v>
      </c>
      <c r="BD179" s="1433">
        <f>IF(ISERROR(BD178/AY178-1),,(BD178/AY178-1))</f>
        <v>1.5196690063176712</v>
      </c>
      <c r="BE179" s="2870"/>
      <c r="BF179" s="2870"/>
      <c r="BG179" s="2870"/>
      <c r="BH179" s="2870"/>
      <c r="BI179" s="2942"/>
      <c r="BJ179" s="2947"/>
      <c r="BK179" s="2947"/>
      <c r="BL179" s="2947"/>
      <c r="BM179" s="2947"/>
      <c r="BN179" s="2942"/>
      <c r="BO179" s="2947"/>
      <c r="BP179" s="2947"/>
      <c r="BQ179" s="2947"/>
      <c r="BR179" s="2947"/>
      <c r="BS179" s="2942"/>
      <c r="BT179" s="1438"/>
      <c r="BU179" s="1433"/>
      <c r="BV179" s="1433"/>
      <c r="BW179" s="1433"/>
      <c r="BX179" s="1433"/>
      <c r="BY179" s="1433"/>
      <c r="BZ179" s="1433"/>
      <c r="CA179" s="1433"/>
      <c r="CB179" s="1433"/>
    </row>
    <row r="180" spans="1:83" s="1022" customFormat="1" ht="7.5" customHeight="1" outlineLevel="1">
      <c r="A180" s="1016"/>
      <c r="B180" s="1047"/>
      <c r="C180" s="1047"/>
      <c r="D180" s="1047"/>
      <c r="E180" s="1047"/>
      <c r="F180" s="1048"/>
      <c r="G180" s="1047"/>
      <c r="H180" s="1047"/>
      <c r="I180" s="1047"/>
      <c r="J180" s="1047"/>
      <c r="K180" s="1048"/>
      <c r="L180" s="1047"/>
      <c r="M180" s="1047"/>
      <c r="N180" s="1047"/>
      <c r="O180" s="1047"/>
      <c r="P180" s="1048"/>
      <c r="Q180" s="1047"/>
      <c r="R180" s="1047"/>
      <c r="S180" s="1047"/>
      <c r="T180" s="1047"/>
      <c r="U180" s="1048"/>
      <c r="V180" s="1047"/>
      <c r="W180" s="1047"/>
      <c r="X180" s="1047"/>
      <c r="Y180" s="1047"/>
      <c r="Z180" s="1048"/>
      <c r="AA180" s="1047"/>
      <c r="AB180" s="1047"/>
      <c r="AC180" s="1047"/>
      <c r="AD180" s="1047"/>
      <c r="AE180" s="1012"/>
      <c r="AF180" s="1047"/>
      <c r="AG180" s="1047"/>
      <c r="AH180" s="1047"/>
      <c r="AI180" s="1047"/>
      <c r="AJ180" s="1012"/>
      <c r="AK180" s="1047"/>
      <c r="AL180" s="1047"/>
      <c r="AM180" s="1047"/>
      <c r="AN180" s="1047"/>
      <c r="AO180" s="1012"/>
      <c r="AP180" s="1047"/>
      <c r="AQ180" s="1047"/>
      <c r="AR180" s="1047"/>
      <c r="AS180" s="1047"/>
      <c r="AT180" s="1012"/>
      <c r="AU180" s="1047"/>
      <c r="AV180" s="1047"/>
      <c r="AW180" s="1047"/>
      <c r="AX180" s="1047"/>
      <c r="AY180" s="1012"/>
      <c r="AZ180" s="1047"/>
      <c r="BA180" s="1047"/>
      <c r="BB180" s="1047"/>
      <c r="BC180" s="1047"/>
      <c r="BD180" s="1012"/>
      <c r="BE180" s="2884"/>
      <c r="BF180" s="2884"/>
      <c r="BG180" s="2884"/>
      <c r="BH180" s="2884"/>
      <c r="BI180" s="2972"/>
      <c r="BJ180" s="2973"/>
      <c r="BK180" s="2973"/>
      <c r="BL180" s="2973"/>
      <c r="BM180" s="2973"/>
      <c r="BN180" s="2972"/>
      <c r="BO180" s="2973"/>
      <c r="BP180" s="2973"/>
      <c r="BQ180" s="2973"/>
      <c r="BR180" s="2973"/>
      <c r="BS180" s="2972"/>
      <c r="BT180" s="1524"/>
      <c r="BU180" s="1012"/>
      <c r="BV180" s="1012"/>
      <c r="BW180" s="1012"/>
      <c r="BX180" s="1012"/>
      <c r="BY180" s="1012"/>
      <c r="BZ180" s="1012"/>
      <c r="CA180" s="1012"/>
      <c r="CB180" s="1012"/>
      <c r="CC180" s="1049"/>
      <c r="CD180" s="1049"/>
      <c r="CE180" s="1049"/>
    </row>
    <row r="181" spans="1:83" s="1022" customFormat="1" outlineLevel="1">
      <c r="A181" s="1013" t="s">
        <v>1120</v>
      </c>
      <c r="B181" s="1015"/>
      <c r="C181" s="1015"/>
      <c r="D181" s="1015"/>
      <c r="E181" s="1015"/>
      <c r="F181" s="1014"/>
      <c r="G181" s="1015"/>
      <c r="H181" s="1015"/>
      <c r="I181" s="1015"/>
      <c r="J181" s="1015"/>
      <c r="K181" s="1014"/>
      <c r="L181" s="1015"/>
      <c r="M181" s="1015"/>
      <c r="N181" s="1015"/>
      <c r="O181" s="1015"/>
      <c r="P181" s="1014"/>
      <c r="Q181" s="1015"/>
      <c r="R181" s="1015"/>
      <c r="S181" s="1015"/>
      <c r="T181" s="1015"/>
      <c r="U181" s="1014"/>
      <c r="V181" s="1015"/>
      <c r="W181" s="1015"/>
      <c r="X181" s="1015"/>
      <c r="Y181" s="1015"/>
      <c r="Z181" s="1014"/>
      <c r="AA181" s="1015"/>
      <c r="AB181" s="1015"/>
      <c r="AC181" s="1015"/>
      <c r="AD181" s="1015"/>
      <c r="AE181" s="1014"/>
      <c r="AF181" s="1015"/>
      <c r="AG181" s="1015"/>
      <c r="AH181" s="1015"/>
      <c r="AI181" s="1015"/>
      <c r="AJ181" s="1014"/>
      <c r="AK181" s="1015">
        <f>AK178+AK175</f>
        <v>325.66202734375116</v>
      </c>
      <c r="AL181" s="1015">
        <f>AL178+AL175</f>
        <v>2509.8620273437509</v>
      </c>
      <c r="AM181" s="1015">
        <f>AM178+AM175</f>
        <v>744.0620273437512</v>
      </c>
      <c r="AN181" s="1015">
        <f>AN178+AN175</f>
        <v>469.36202734375121</v>
      </c>
      <c r="AO181" s="1014">
        <f>SUM(AK181:AN181)</f>
        <v>4048.9481093750046</v>
      </c>
      <c r="AP181" s="1015">
        <f>AP178+AP175</f>
        <v>1012.0620273437513</v>
      </c>
      <c r="AQ181" s="1015">
        <f>AQ178+AQ175</f>
        <v>2642</v>
      </c>
      <c r="AR181" s="1015">
        <f>AR178+AR175</f>
        <v>678.03702734375111</v>
      </c>
      <c r="AS181" s="1015">
        <f>AS178+AS175</f>
        <v>628.03702734375111</v>
      </c>
      <c r="AT181" s="1014">
        <f>SUM(AP181:AS181)</f>
        <v>4960.136082031253</v>
      </c>
      <c r="AU181" s="1015">
        <f>AU178+AU175</f>
        <v>872.01625000000001</v>
      </c>
      <c r="AV181" s="1015">
        <f>AV178+AV175</f>
        <v>2523.8625000000002</v>
      </c>
      <c r="AW181" s="1015">
        <f>AW178+AW175</f>
        <v>456.46226367187563</v>
      </c>
      <c r="AX181" s="1015">
        <f>AX178+AX175</f>
        <v>247.90350683593775</v>
      </c>
      <c r="AY181" s="1014">
        <f>SUM(AU181:AX181)</f>
        <v>4100.2445205078138</v>
      </c>
      <c r="AZ181" s="1015">
        <f>AZ178+AZ175</f>
        <v>641.9870689655171</v>
      </c>
      <c r="BA181" s="1015">
        <f>BA178+BA175</f>
        <v>1947.2214376206894</v>
      </c>
      <c r="BB181" s="1015">
        <f>BB178+BB175</f>
        <v>424.25864375000003</v>
      </c>
      <c r="BC181" s="1015">
        <f>BC178+BC175</f>
        <v>183.52212499999985</v>
      </c>
      <c r="BD181" s="1014">
        <f>SUM(AZ181:BC181)</f>
        <v>3196.9892753362064</v>
      </c>
      <c r="BE181" s="2883"/>
      <c r="BF181" s="2883"/>
      <c r="BG181" s="2883"/>
      <c r="BH181" s="2883"/>
      <c r="BI181" s="2967"/>
      <c r="BJ181" s="2968"/>
      <c r="BK181" s="2968"/>
      <c r="BL181" s="2968"/>
      <c r="BM181" s="2968"/>
      <c r="BN181" s="2967"/>
      <c r="BO181" s="2968"/>
      <c r="BP181" s="2968"/>
      <c r="BQ181" s="2968"/>
      <c r="BR181" s="2968"/>
      <c r="BS181" s="2967"/>
      <c r="BT181" s="1523"/>
      <c r="BU181" s="1014"/>
      <c r="BV181" s="1014"/>
      <c r="BW181" s="1014"/>
      <c r="BX181" s="1014"/>
      <c r="BY181" s="1014"/>
      <c r="BZ181" s="1014"/>
      <c r="CA181" s="1014"/>
      <c r="CB181" s="1014"/>
      <c r="CC181" s="1011"/>
      <c r="CD181" s="1011"/>
      <c r="CE181" s="1011"/>
    </row>
    <row r="182" spans="1:83" s="1022" customFormat="1" outlineLevel="1">
      <c r="A182" s="1452" t="s">
        <v>926</v>
      </c>
      <c r="B182" s="1453"/>
      <c r="C182" s="1453"/>
      <c r="D182" s="1453"/>
      <c r="E182" s="1453"/>
      <c r="F182" s="1454"/>
      <c r="G182" s="1453"/>
      <c r="H182" s="1453"/>
      <c r="I182" s="1453"/>
      <c r="J182" s="1453"/>
      <c r="K182" s="1454"/>
      <c r="L182" s="1453"/>
      <c r="M182" s="1453"/>
      <c r="N182" s="1453"/>
      <c r="O182" s="1453"/>
      <c r="P182" s="1454"/>
      <c r="Q182" s="1453"/>
      <c r="R182" s="1453"/>
      <c r="S182" s="1453"/>
      <c r="T182" s="1453"/>
      <c r="U182" s="1454"/>
      <c r="V182" s="1453"/>
      <c r="W182" s="1453"/>
      <c r="X182" s="1453"/>
      <c r="Y182" s="1453"/>
      <c r="Z182" s="1454"/>
      <c r="AA182" s="1453"/>
      <c r="AB182" s="1453"/>
      <c r="AC182" s="1453"/>
      <c r="AD182" s="1453"/>
      <c r="AE182" s="1454"/>
      <c r="AF182" s="1446"/>
      <c r="AG182" s="1453"/>
      <c r="AH182" s="1453"/>
      <c r="AI182" s="1453"/>
      <c r="AJ182" s="1443"/>
      <c r="AK182" s="1442"/>
      <c r="AL182" s="1442"/>
      <c r="AM182" s="1442"/>
      <c r="AN182" s="1442"/>
      <c r="AO182" s="1443">
        <f t="shared" ref="AO182:BD182" si="142">IF(ISERROR(AO181/AJ181-1),,(AO181/AJ181-1))</f>
        <v>0</v>
      </c>
      <c r="AP182" s="1442">
        <f t="shared" si="142"/>
        <v>2.1077065864835189</v>
      </c>
      <c r="AQ182" s="1442">
        <f t="shared" si="142"/>
        <v>5.2647504610480178E-2</v>
      </c>
      <c r="AR182" s="1442">
        <f t="shared" si="142"/>
        <v>-8.8735881651835768E-2</v>
      </c>
      <c r="AS182" s="1442">
        <f t="shared" si="142"/>
        <v>0.33806526893107525</v>
      </c>
      <c r="AT182" s="1443">
        <f t="shared" si="142"/>
        <v>0.22504313417760735</v>
      </c>
      <c r="AU182" s="1442">
        <f t="shared" si="142"/>
        <v>-0.13837667411681687</v>
      </c>
      <c r="AV182" s="1442">
        <f t="shared" si="142"/>
        <v>-4.4715177895533587E-2</v>
      </c>
      <c r="AW182" s="1442">
        <f t="shared" si="142"/>
        <v>-0.32678858931924015</v>
      </c>
      <c r="AX182" s="1442">
        <f t="shared" si="142"/>
        <v>-0.60527246636327747</v>
      </c>
      <c r="AY182" s="1443">
        <f t="shared" si="142"/>
        <v>-0.17336047787852227</v>
      </c>
      <c r="AZ182" s="1442">
        <f t="shared" si="142"/>
        <v>-0.26379001656733225</v>
      </c>
      <c r="BA182" s="1442">
        <f t="shared" si="142"/>
        <v>-0.22847562511004893</v>
      </c>
      <c r="BB182" s="1442">
        <f t="shared" si="142"/>
        <v>-7.0550453969235316E-2</v>
      </c>
      <c r="BC182" s="1442">
        <f t="shared" si="142"/>
        <v>-0.25970339289530675</v>
      </c>
      <c r="BD182" s="1443">
        <f t="shared" si="142"/>
        <v>-0.22029301927089451</v>
      </c>
      <c r="BE182" s="2866"/>
      <c r="BF182" s="2866"/>
      <c r="BG182" s="2866"/>
      <c r="BH182" s="2866"/>
      <c r="BI182" s="2942"/>
      <c r="BJ182" s="2943"/>
      <c r="BK182" s="2943"/>
      <c r="BL182" s="2943"/>
      <c r="BM182" s="2943"/>
      <c r="BN182" s="2942"/>
      <c r="BO182" s="2943"/>
      <c r="BP182" s="2943"/>
      <c r="BQ182" s="2943"/>
      <c r="BR182" s="2943"/>
      <c r="BS182" s="2942"/>
      <c r="BT182" s="1438"/>
      <c r="BU182" s="1443"/>
      <c r="BV182" s="1443"/>
      <c r="BW182" s="1443"/>
      <c r="BX182" s="1443"/>
      <c r="BY182" s="1443"/>
      <c r="BZ182" s="1443"/>
      <c r="CA182" s="1443"/>
      <c r="CB182" s="1443"/>
    </row>
    <row r="183" spans="1:83" ht="7.5" customHeight="1" outlineLevel="1">
      <c r="A183" s="1016"/>
      <c r="B183" s="1047"/>
      <c r="C183" s="1047"/>
      <c r="D183" s="1047"/>
      <c r="E183" s="1047"/>
      <c r="F183" s="1048"/>
      <c r="G183" s="1047"/>
      <c r="H183" s="1047"/>
      <c r="I183" s="1047"/>
      <c r="J183" s="1047"/>
      <c r="K183" s="1048"/>
      <c r="L183" s="1047"/>
      <c r="M183" s="1047"/>
      <c r="N183" s="1047"/>
      <c r="O183" s="1047"/>
      <c r="P183" s="1048"/>
      <c r="Q183" s="1047"/>
      <c r="R183" s="1047"/>
      <c r="S183" s="1047"/>
      <c r="T183" s="1047"/>
      <c r="U183" s="1048"/>
      <c r="V183" s="1047"/>
      <c r="W183" s="1047"/>
      <c r="X183" s="1047"/>
      <c r="Y183" s="1047"/>
      <c r="Z183" s="1048"/>
      <c r="AA183" s="1047"/>
      <c r="AB183" s="1047"/>
      <c r="AC183" s="1047"/>
      <c r="AD183" s="1047"/>
      <c r="AE183" s="1012"/>
      <c r="AF183" s="1047"/>
      <c r="AG183" s="1047"/>
      <c r="AH183" s="1047"/>
      <c r="AI183" s="1047"/>
      <c r="AJ183" s="1012"/>
      <c r="AK183" s="1047"/>
      <c r="AL183" s="1047"/>
      <c r="AM183" s="1047"/>
      <c r="AN183" s="1047"/>
      <c r="AO183" s="1012"/>
      <c r="AP183" s="1047"/>
      <c r="AQ183" s="1047"/>
      <c r="AR183" s="1047"/>
      <c r="AS183" s="1047"/>
      <c r="AT183" s="1012"/>
      <c r="AU183" s="1047"/>
      <c r="AV183" s="1047"/>
      <c r="AW183" s="1047"/>
      <c r="AX183" s="1047"/>
      <c r="AY183" s="1012"/>
      <c r="AZ183" s="1047"/>
      <c r="BA183" s="1047"/>
      <c r="BB183" s="1047"/>
      <c r="BC183" s="1047"/>
      <c r="BD183" s="1012"/>
      <c r="BE183" s="2884"/>
      <c r="BF183" s="2884"/>
      <c r="BG183" s="2884"/>
      <c r="BH183" s="2884"/>
      <c r="BI183" s="2972"/>
      <c r="BJ183" s="2973"/>
      <c r="BK183" s="2973"/>
      <c r="BL183" s="2973"/>
      <c r="BM183" s="2973"/>
      <c r="BN183" s="2972"/>
      <c r="BO183" s="2973"/>
      <c r="BP183" s="2973"/>
      <c r="BQ183" s="2973"/>
      <c r="BR183" s="2973"/>
      <c r="BS183" s="2972"/>
      <c r="BT183" s="1524"/>
      <c r="BU183" s="1012"/>
      <c r="BV183" s="1012"/>
      <c r="BW183" s="1012"/>
      <c r="BX183" s="1012"/>
      <c r="BY183" s="1012"/>
      <c r="BZ183" s="1012"/>
      <c r="CA183" s="1012"/>
      <c r="CB183" s="1012"/>
      <c r="CC183" s="1049"/>
      <c r="CD183" s="1049"/>
      <c r="CE183" s="1049"/>
    </row>
    <row r="184" spans="1:83" s="1021" customFormat="1" outlineLevel="1">
      <c r="A184" s="1020" t="s">
        <v>956</v>
      </c>
      <c r="B184" s="1025"/>
      <c r="C184" s="1025"/>
      <c r="D184" s="1025"/>
      <c r="E184" s="1025"/>
      <c r="F184" s="1024"/>
      <c r="G184" s="1025"/>
      <c r="H184" s="1025"/>
      <c r="I184" s="1025"/>
      <c r="J184" s="1025"/>
      <c r="K184" s="1024"/>
      <c r="L184" s="1025"/>
      <c r="M184" s="1025"/>
      <c r="N184" s="1025"/>
      <c r="O184" s="1025"/>
      <c r="P184" s="1024"/>
      <c r="Q184" s="1025"/>
      <c r="R184" s="1025"/>
      <c r="S184" s="1025"/>
      <c r="T184" s="1025"/>
      <c r="U184" s="1024"/>
      <c r="V184" s="1025"/>
      <c r="W184" s="1025"/>
      <c r="X184" s="1025"/>
      <c r="Y184" s="1025"/>
      <c r="Z184" s="1024"/>
      <c r="AA184" s="1025"/>
      <c r="AB184" s="1025"/>
      <c r="AC184" s="1025"/>
      <c r="AD184" s="1025"/>
      <c r="AE184" s="1024"/>
      <c r="AF184" s="1025"/>
      <c r="AG184" s="1025"/>
      <c r="AH184" s="1025"/>
      <c r="AI184" s="1025"/>
      <c r="AJ184" s="1024"/>
      <c r="AK184" s="1025">
        <f>AK187/AK186</f>
        <v>11.149425287356323</v>
      </c>
      <c r="AL184" s="1025">
        <f>AL187/AL186</f>
        <v>4.6827586206896559</v>
      </c>
      <c r="AM184" s="1025">
        <f>AM187/AM186</f>
        <v>7.5</v>
      </c>
      <c r="AN184" s="1025">
        <f>AN187/AN186</f>
        <v>6.8055555555555554</v>
      </c>
      <c r="AO184" s="1024">
        <f>SUM(AK184:AN184)</f>
        <v>30.137739463601534</v>
      </c>
      <c r="AP184" s="1025">
        <f>AP187/AP186</f>
        <v>12.264367816091957</v>
      </c>
      <c r="AQ184" s="1025">
        <f>AQ187/AQ186</f>
        <v>8.3821379310344852</v>
      </c>
      <c r="AR184" s="1025">
        <f>AR187/AR186</f>
        <v>11.137500000000001</v>
      </c>
      <c r="AS184" s="1025">
        <f>AS187/AS186</f>
        <v>11.025000000000002</v>
      </c>
      <c r="AT184" s="1024">
        <f>SUM(AP184:AS184)</f>
        <v>42.809005747126449</v>
      </c>
      <c r="AU184" s="1025">
        <f>AP184*(1+AU185)</f>
        <v>15.330459770114945</v>
      </c>
      <c r="AV184" s="1025">
        <f>AQ184*(1+AV185)</f>
        <v>12.657028275862073</v>
      </c>
      <c r="AW184" s="1025">
        <f>AR184*(1+AW185)</f>
        <v>11.694375000000001</v>
      </c>
      <c r="AX184" s="1025">
        <f>AS184*(1+AX185)</f>
        <v>11.245500000000002</v>
      </c>
      <c r="AY184" s="1024">
        <f>SUM(AU184:AX184)</f>
        <v>50.927363045977017</v>
      </c>
      <c r="AZ184" s="1025">
        <f>AU184*(1+AZ185)</f>
        <v>16.250287356321842</v>
      </c>
      <c r="BA184" s="1025">
        <f>AV184*(1+BA185)</f>
        <v>14.049301386206903</v>
      </c>
      <c r="BB184" s="1025">
        <f>AW184*(1+BB185)</f>
        <v>12.512981250000001</v>
      </c>
      <c r="BC184" s="1025">
        <f>AX184*(1+BC185)</f>
        <v>11.807775000000003</v>
      </c>
      <c r="BD184" s="1024">
        <f>SUM(AZ184:BC184)</f>
        <v>54.620344992528743</v>
      </c>
      <c r="BE184" s="2881"/>
      <c r="BF184" s="2881"/>
      <c r="BG184" s="2881"/>
      <c r="BH184" s="2881"/>
      <c r="BI184" s="2969"/>
      <c r="BJ184" s="2964"/>
      <c r="BK184" s="2964"/>
      <c r="BL184" s="2964"/>
      <c r="BM184" s="2964"/>
      <c r="BN184" s="2969"/>
      <c r="BO184" s="2964"/>
      <c r="BP184" s="2964"/>
      <c r="BQ184" s="2964"/>
      <c r="BR184" s="2964"/>
      <c r="BS184" s="2969"/>
      <c r="BT184" s="1521"/>
      <c r="BU184" s="1024"/>
      <c r="BV184" s="1024"/>
      <c r="BW184" s="1024"/>
      <c r="BX184" s="1024"/>
      <c r="BY184" s="1024"/>
      <c r="BZ184" s="1024"/>
      <c r="CA184" s="1024"/>
      <c r="CB184" s="1024"/>
    </row>
    <row r="185" spans="1:83" s="1022" customFormat="1" outlineLevel="1">
      <c r="A185" s="1452" t="s">
        <v>926</v>
      </c>
      <c r="B185" s="1453"/>
      <c r="C185" s="1453"/>
      <c r="D185" s="1453"/>
      <c r="E185" s="1453"/>
      <c r="F185" s="1454"/>
      <c r="G185" s="1453"/>
      <c r="H185" s="1453"/>
      <c r="I185" s="1453"/>
      <c r="J185" s="1453"/>
      <c r="K185" s="1454"/>
      <c r="L185" s="1453"/>
      <c r="M185" s="1453"/>
      <c r="N185" s="1453"/>
      <c r="O185" s="1453"/>
      <c r="P185" s="1454"/>
      <c r="Q185" s="1453"/>
      <c r="R185" s="1453"/>
      <c r="S185" s="1453"/>
      <c r="T185" s="1453"/>
      <c r="U185" s="1454"/>
      <c r="V185" s="1453"/>
      <c r="W185" s="1453"/>
      <c r="X185" s="1453"/>
      <c r="Y185" s="1453"/>
      <c r="Z185" s="1454"/>
      <c r="AA185" s="1453"/>
      <c r="AB185" s="1453"/>
      <c r="AC185" s="1453"/>
      <c r="AD185" s="1453"/>
      <c r="AE185" s="1454"/>
      <c r="AF185" s="1446"/>
      <c r="AG185" s="1453"/>
      <c r="AH185" s="1453"/>
      <c r="AI185" s="1453"/>
      <c r="AJ185" s="1443"/>
      <c r="AK185" s="1442"/>
      <c r="AL185" s="1442"/>
      <c r="AM185" s="1442"/>
      <c r="AN185" s="1442"/>
      <c r="AO185" s="1443">
        <f t="shared" ref="AO185:AT185" si="143">IF(ISERROR(AO184/AJ184-1),,(AO184/AJ184-1))</f>
        <v>0</v>
      </c>
      <c r="AP185" s="1442">
        <f t="shared" si="143"/>
        <v>0.10000000000000009</v>
      </c>
      <c r="AQ185" s="1442">
        <f t="shared" si="143"/>
        <v>0.79000000000000026</v>
      </c>
      <c r="AR185" s="1442">
        <f t="shared" si="143"/>
        <v>0.4850000000000001</v>
      </c>
      <c r="AS185" s="1442">
        <f t="shared" si="143"/>
        <v>0.62000000000000033</v>
      </c>
      <c r="AT185" s="1443">
        <f t="shared" si="143"/>
        <v>0.420445146485803</v>
      </c>
      <c r="AU185" s="1442">
        <v>0.25</v>
      </c>
      <c r="AV185" s="1442">
        <v>0.51</v>
      </c>
      <c r="AW185" s="1442">
        <v>0.05</v>
      </c>
      <c r="AX185" s="1442">
        <v>0.02</v>
      </c>
      <c r="AY185" s="1443">
        <f>IF(ISERROR(AY184/AT184-1),,(AY184/AT184-1))</f>
        <v>0.18964134198317639</v>
      </c>
      <c r="AZ185" s="1442">
        <v>0.06</v>
      </c>
      <c r="BA185" s="1442">
        <v>0.11</v>
      </c>
      <c r="BB185" s="1455">
        <v>7.0000000000000007E-2</v>
      </c>
      <c r="BC185" s="1455">
        <v>0.05</v>
      </c>
      <c r="BD185" s="1443">
        <f>IF(ISERROR(BD184/AY184-1),,(BD184/AY184-1))</f>
        <v>7.2514690054101383E-2</v>
      </c>
      <c r="BE185" s="2870"/>
      <c r="BF185" s="2870"/>
      <c r="BG185" s="2870"/>
      <c r="BH185" s="2870"/>
      <c r="BI185" s="2942"/>
      <c r="BJ185" s="2947"/>
      <c r="BK185" s="2947"/>
      <c r="BL185" s="2947"/>
      <c r="BM185" s="2947"/>
      <c r="BN185" s="2942"/>
      <c r="BO185" s="2947"/>
      <c r="BP185" s="2947"/>
      <c r="BQ185" s="2947"/>
      <c r="BR185" s="2947"/>
      <c r="BS185" s="2942"/>
      <c r="BT185" s="1438"/>
      <c r="BU185" s="1443"/>
      <c r="BV185" s="1443"/>
      <c r="BW185" s="1443"/>
      <c r="BX185" s="1443"/>
      <c r="BY185" s="1443"/>
      <c r="BZ185" s="1443"/>
      <c r="CA185" s="1443"/>
      <c r="CB185" s="1443"/>
    </row>
    <row r="186" spans="1:83" s="1059" customFormat="1" outlineLevel="1">
      <c r="A186" s="1055" t="s">
        <v>955</v>
      </c>
      <c r="B186" s="1060"/>
      <c r="C186" s="1060"/>
      <c r="D186" s="1060"/>
      <c r="E186" s="1060"/>
      <c r="F186" s="1058"/>
      <c r="G186" s="1060"/>
      <c r="H186" s="1060"/>
      <c r="I186" s="1060"/>
      <c r="J186" s="1060"/>
      <c r="K186" s="1058"/>
      <c r="L186" s="1060"/>
      <c r="M186" s="1060"/>
      <c r="N186" s="1060"/>
      <c r="O186" s="1060"/>
      <c r="P186" s="1058"/>
      <c r="Q186" s="1060"/>
      <c r="R186" s="1060"/>
      <c r="S186" s="1060"/>
      <c r="T186" s="1060"/>
      <c r="U186" s="1058"/>
      <c r="V186" s="1060"/>
      <c r="W186" s="1060"/>
      <c r="X186" s="1060"/>
      <c r="Y186" s="1060"/>
      <c r="Z186" s="1058"/>
      <c r="AA186" s="1060"/>
      <c r="AB186" s="1060"/>
      <c r="AC186" s="1060"/>
      <c r="AD186" s="1060"/>
      <c r="AE186" s="1057"/>
      <c r="AF186" s="1056"/>
      <c r="AG186" s="1056"/>
      <c r="AH186" s="1056"/>
      <c r="AI186" s="1056"/>
      <c r="AJ186" s="1058"/>
      <c r="AK186" s="1056">
        <v>45</v>
      </c>
      <c r="AL186" s="1056">
        <f>AK186</f>
        <v>45</v>
      </c>
      <c r="AM186" s="1056">
        <f>AL186</f>
        <v>45</v>
      </c>
      <c r="AN186" s="1056">
        <f>AM186</f>
        <v>45</v>
      </c>
      <c r="AO186" s="1058">
        <f>AO187/AO184</f>
        <v>45</v>
      </c>
      <c r="AP186" s="1056">
        <f>AO186</f>
        <v>45</v>
      </c>
      <c r="AQ186" s="1056">
        <f>AP186</f>
        <v>45</v>
      </c>
      <c r="AR186" s="1056">
        <f>AQ186</f>
        <v>45</v>
      </c>
      <c r="AS186" s="1056">
        <f>AR186</f>
        <v>45</v>
      </c>
      <c r="AT186" s="1058">
        <f>AT187/AT184</f>
        <v>44.999999999999993</v>
      </c>
      <c r="AU186" s="1056">
        <f>AS186</f>
        <v>45</v>
      </c>
      <c r="AV186" s="1056">
        <f>AU186</f>
        <v>45</v>
      </c>
      <c r="AW186" s="1056">
        <f>AV186</f>
        <v>45</v>
      </c>
      <c r="AX186" s="1056">
        <f>AW186</f>
        <v>45</v>
      </c>
      <c r="AY186" s="1058">
        <f>AY187/AY184</f>
        <v>45</v>
      </c>
      <c r="AZ186" s="1056">
        <f>AX186</f>
        <v>45</v>
      </c>
      <c r="BA186" s="1056">
        <f>AZ186</f>
        <v>45</v>
      </c>
      <c r="BB186" s="1056">
        <f>BA186</f>
        <v>45</v>
      </c>
      <c r="BC186" s="1056">
        <f>BB186</f>
        <v>45</v>
      </c>
      <c r="BD186" s="1058">
        <f>BD187/BD184</f>
        <v>45.000000000000007</v>
      </c>
      <c r="BE186" s="2882"/>
      <c r="BF186" s="2882"/>
      <c r="BG186" s="2882"/>
      <c r="BH186" s="2882"/>
      <c r="BI186" s="2970"/>
      <c r="BJ186" s="2966"/>
      <c r="BK186" s="2966"/>
      <c r="BL186" s="2966"/>
      <c r="BM186" s="2966"/>
      <c r="BN186" s="2970"/>
      <c r="BO186" s="2966"/>
      <c r="BP186" s="2966"/>
      <c r="BQ186" s="2966"/>
      <c r="BR186" s="2966"/>
      <c r="BS186" s="2970"/>
      <c r="BT186" s="1526"/>
      <c r="BU186" s="1058"/>
      <c r="BV186" s="1058"/>
      <c r="BW186" s="1058"/>
      <c r="BX186" s="1058"/>
      <c r="BY186" s="1058"/>
      <c r="BZ186" s="1058"/>
      <c r="CA186" s="1058"/>
      <c r="CB186" s="1058"/>
    </row>
    <row r="187" spans="1:83" s="1011" customFormat="1" outlineLevel="1">
      <c r="A187" s="1013" t="s">
        <v>957</v>
      </c>
      <c r="B187" s="1015"/>
      <c r="C187" s="1015"/>
      <c r="D187" s="1015"/>
      <c r="E187" s="1015"/>
      <c r="F187" s="1014"/>
      <c r="G187" s="1015"/>
      <c r="H187" s="1015"/>
      <c r="I187" s="1015"/>
      <c r="J187" s="1015"/>
      <c r="K187" s="1014"/>
      <c r="L187" s="1015"/>
      <c r="M187" s="1015"/>
      <c r="N187" s="1015"/>
      <c r="O187" s="1015"/>
      <c r="P187" s="1014"/>
      <c r="Q187" s="1015"/>
      <c r="R187" s="1015"/>
      <c r="S187" s="1015"/>
      <c r="T187" s="1015"/>
      <c r="U187" s="1014"/>
      <c r="V187" s="1015"/>
      <c r="W187" s="1015"/>
      <c r="X187" s="1015"/>
      <c r="Y187" s="1015"/>
      <c r="Z187" s="1014"/>
      <c r="AA187" s="1015"/>
      <c r="AB187" s="1015"/>
      <c r="AC187" s="1015"/>
      <c r="AD187" s="1015"/>
      <c r="AE187" s="1014"/>
      <c r="AF187" s="1015"/>
      <c r="AG187" s="1015"/>
      <c r="AH187" s="1015"/>
      <c r="AI187" s="1015"/>
      <c r="AJ187" s="1014"/>
      <c r="AK187" s="1015">
        <v>501.72413793103453</v>
      </c>
      <c r="AL187" s="1015">
        <v>210.72413793103453</v>
      </c>
      <c r="AM187" s="1015">
        <v>337.5</v>
      </c>
      <c r="AN187" s="1015">
        <v>306.25</v>
      </c>
      <c r="AO187" s="1014">
        <f>SUM(AK187:AN187)</f>
        <v>1356.1982758620691</v>
      </c>
      <c r="AP187" s="1015">
        <f>AK187*1.1</f>
        <v>551.89655172413802</v>
      </c>
      <c r="AQ187" s="1015">
        <f>AL187*1.79</f>
        <v>377.19620689655181</v>
      </c>
      <c r="AR187" s="1015">
        <f>AM187*1.485</f>
        <v>501.18750000000006</v>
      </c>
      <c r="AS187" s="1015">
        <f>AN187*1.62</f>
        <v>496.12500000000006</v>
      </c>
      <c r="AT187" s="1014">
        <f>SUM(AP187:AS187)</f>
        <v>1926.4052586206899</v>
      </c>
      <c r="AU187" s="1015">
        <f>AU186*AU184</f>
        <v>689.87068965517255</v>
      </c>
      <c r="AV187" s="1015">
        <f>AV186*AV184</f>
        <v>569.56627241379329</v>
      </c>
      <c r="AW187" s="1015">
        <f>AW186*AW184</f>
        <v>526.24687500000005</v>
      </c>
      <c r="AX187" s="1015">
        <f>AX186*AX184</f>
        <v>506.04750000000007</v>
      </c>
      <c r="AY187" s="1014">
        <f>SUM(AU187:AX187)</f>
        <v>2291.7313370689658</v>
      </c>
      <c r="AZ187" s="1015">
        <f>AZ186*AZ184</f>
        <v>731.2629310344829</v>
      </c>
      <c r="BA187" s="1015">
        <f>BA186*BA184</f>
        <v>632.21856237931058</v>
      </c>
      <c r="BB187" s="1015">
        <f>BB186*BB184</f>
        <v>563.08415625000009</v>
      </c>
      <c r="BC187" s="1015">
        <f>BC186*BC184</f>
        <v>531.34987500000011</v>
      </c>
      <c r="BD187" s="1014">
        <f>SUM(AZ187:BC187)</f>
        <v>2457.9155246637938</v>
      </c>
      <c r="BE187" s="2883"/>
      <c r="BF187" s="2883"/>
      <c r="BG187" s="2883"/>
      <c r="BH187" s="2883"/>
      <c r="BI187" s="2967"/>
      <c r="BJ187" s="2968"/>
      <c r="BK187" s="2968"/>
      <c r="BL187" s="2968"/>
      <c r="BM187" s="2968"/>
      <c r="BN187" s="2967"/>
      <c r="BO187" s="2968"/>
      <c r="BP187" s="2968"/>
      <c r="BQ187" s="2968"/>
      <c r="BR187" s="2968"/>
      <c r="BS187" s="2967"/>
      <c r="BT187" s="1523"/>
      <c r="BU187" s="1014"/>
      <c r="BV187" s="1014"/>
      <c r="BW187" s="1014">
        <f>SUM(AM187:AN187,AP187:AQ187)</f>
        <v>1572.8427586206899</v>
      </c>
      <c r="BX187" s="1014">
        <f>SUM(AR187:AS187,AU187:AV187)</f>
        <v>2256.7494620689658</v>
      </c>
      <c r="BY187" s="1014">
        <f>SUM(AW187:AX187,AZ187:BA187)</f>
        <v>2395.7758684137939</v>
      </c>
      <c r="BZ187" s="1014">
        <f>SUM(BB187:BC187,BE187:BF187)</f>
        <v>1094.4340312500003</v>
      </c>
      <c r="CA187" s="1014"/>
      <c r="CB187" s="1014"/>
    </row>
    <row r="188" spans="1:83" s="1022" customFormat="1" ht="12.75" customHeight="1" outlineLevel="1">
      <c r="A188" s="1452" t="s">
        <v>926</v>
      </c>
      <c r="B188" s="1453"/>
      <c r="C188" s="1453"/>
      <c r="D188" s="1453"/>
      <c r="E188" s="1453"/>
      <c r="F188" s="1454"/>
      <c r="G188" s="1453"/>
      <c r="H188" s="1453"/>
      <c r="I188" s="1453"/>
      <c r="J188" s="1453"/>
      <c r="K188" s="1454"/>
      <c r="L188" s="1453"/>
      <c r="M188" s="1453"/>
      <c r="N188" s="1453"/>
      <c r="O188" s="1453"/>
      <c r="P188" s="1454"/>
      <c r="Q188" s="1453"/>
      <c r="R188" s="1453"/>
      <c r="S188" s="1453"/>
      <c r="T188" s="1453"/>
      <c r="U188" s="1454"/>
      <c r="V188" s="1453"/>
      <c r="W188" s="1453"/>
      <c r="X188" s="1453"/>
      <c r="Y188" s="1453"/>
      <c r="Z188" s="1454"/>
      <c r="AA188" s="1453"/>
      <c r="AB188" s="1453"/>
      <c r="AC188" s="1453"/>
      <c r="AD188" s="1453"/>
      <c r="AE188" s="1454"/>
      <c r="AF188" s="1446"/>
      <c r="AG188" s="1453"/>
      <c r="AH188" s="1453"/>
      <c r="AI188" s="1453"/>
      <c r="AJ188" s="1443"/>
      <c r="AK188" s="1442"/>
      <c r="AL188" s="1442"/>
      <c r="AM188" s="1442"/>
      <c r="AN188" s="1442"/>
      <c r="AO188" s="1443">
        <f t="shared" ref="AO188:BD188" si="144">IF(ISERROR(AO187/AJ187-1),,(AO187/AJ187-1))</f>
        <v>0</v>
      </c>
      <c r="AP188" s="1442">
        <f t="shared" si="144"/>
        <v>0.10000000000000009</v>
      </c>
      <c r="AQ188" s="1430">
        <f t="shared" si="144"/>
        <v>0.79</v>
      </c>
      <c r="AR188" s="1430">
        <f t="shared" si="144"/>
        <v>0.4850000000000001</v>
      </c>
      <c r="AS188" s="1430">
        <f t="shared" si="144"/>
        <v>0.62000000000000011</v>
      </c>
      <c r="AT188" s="1443">
        <f t="shared" si="144"/>
        <v>0.42044514648580278</v>
      </c>
      <c r="AU188" s="1442">
        <f t="shared" si="144"/>
        <v>0.25</v>
      </c>
      <c r="AV188" s="1442">
        <f t="shared" si="144"/>
        <v>0.51000000000000023</v>
      </c>
      <c r="AW188" s="1442">
        <f t="shared" si="144"/>
        <v>5.0000000000000044E-2</v>
      </c>
      <c r="AX188" s="1430">
        <f t="shared" si="144"/>
        <v>2.0000000000000018E-2</v>
      </c>
      <c r="AY188" s="1443">
        <f t="shared" si="144"/>
        <v>0.18964134198317661</v>
      </c>
      <c r="AZ188" s="1442">
        <f t="shared" si="144"/>
        <v>6.0000000000000053E-2</v>
      </c>
      <c r="BA188" s="1442">
        <f t="shared" si="144"/>
        <v>0.1100000000000001</v>
      </c>
      <c r="BB188" s="1442">
        <f t="shared" si="144"/>
        <v>7.0000000000000062E-2</v>
      </c>
      <c r="BC188" s="1442">
        <f t="shared" si="144"/>
        <v>5.0000000000000044E-2</v>
      </c>
      <c r="BD188" s="1443">
        <f t="shared" si="144"/>
        <v>7.2514690054101605E-2</v>
      </c>
      <c r="BE188" s="2866"/>
      <c r="BF188" s="2866"/>
      <c r="BG188" s="2866"/>
      <c r="BH188" s="2866"/>
      <c r="BI188" s="2942"/>
      <c r="BJ188" s="2943"/>
      <c r="BK188" s="2943"/>
      <c r="BL188" s="2943"/>
      <c r="BM188" s="2943"/>
      <c r="BN188" s="2942"/>
      <c r="BO188" s="2943"/>
      <c r="BP188" s="2943"/>
      <c r="BQ188" s="2943"/>
      <c r="BR188" s="2943"/>
      <c r="BS188" s="2942"/>
      <c r="BT188" s="1438"/>
      <c r="BU188" s="1443"/>
      <c r="BV188" s="1443"/>
      <c r="BW188" s="1443"/>
      <c r="BX188" s="1443"/>
      <c r="BY188" s="1443"/>
      <c r="BZ188" s="1443"/>
      <c r="CA188" s="1443"/>
      <c r="CB188" s="1443"/>
    </row>
    <row r="189" spans="1:83" s="1049" customFormat="1" ht="7.5" customHeight="1" outlineLevel="1">
      <c r="A189" s="1016"/>
      <c r="B189" s="1047"/>
      <c r="C189" s="1047"/>
      <c r="D189" s="1047"/>
      <c r="E189" s="1047"/>
      <c r="F189" s="1048"/>
      <c r="G189" s="1047"/>
      <c r="H189" s="1047"/>
      <c r="I189" s="1047"/>
      <c r="J189" s="1047"/>
      <c r="K189" s="1048"/>
      <c r="L189" s="1047"/>
      <c r="M189" s="1047"/>
      <c r="N189" s="1047"/>
      <c r="O189" s="1047"/>
      <c r="P189" s="1048"/>
      <c r="Q189" s="1047"/>
      <c r="R189" s="1047"/>
      <c r="S189" s="1047"/>
      <c r="T189" s="1047"/>
      <c r="U189" s="1048"/>
      <c r="V189" s="1047"/>
      <c r="W189" s="1047"/>
      <c r="X189" s="1047"/>
      <c r="Y189" s="1047"/>
      <c r="Z189" s="1048"/>
      <c r="AA189" s="1047"/>
      <c r="AB189" s="1047"/>
      <c r="AC189" s="1047"/>
      <c r="AD189" s="1047"/>
      <c r="AE189" s="1012"/>
      <c r="AF189" s="1047"/>
      <c r="AG189" s="1047"/>
      <c r="AH189" s="1047"/>
      <c r="AI189" s="1047"/>
      <c r="AJ189" s="1012"/>
      <c r="AK189" s="1047"/>
      <c r="AL189" s="1047"/>
      <c r="AM189" s="1047"/>
      <c r="AN189" s="1047"/>
      <c r="AO189" s="1012"/>
      <c r="AP189" s="1047"/>
      <c r="AQ189" s="1047"/>
      <c r="AR189" s="1047"/>
      <c r="AS189" s="1047"/>
      <c r="AT189" s="1012"/>
      <c r="AU189" s="1047"/>
      <c r="AV189" s="1047"/>
      <c r="AW189" s="1047"/>
      <c r="AX189" s="1047"/>
      <c r="AY189" s="1012"/>
      <c r="AZ189" s="1047"/>
      <c r="BA189" s="1047"/>
      <c r="BB189" s="1047"/>
      <c r="BC189" s="1047"/>
      <c r="BD189" s="1012"/>
      <c r="BE189" s="2884"/>
      <c r="BF189" s="2884"/>
      <c r="BG189" s="2884"/>
      <c r="BH189" s="2884"/>
      <c r="BI189" s="2972"/>
      <c r="BJ189" s="2973"/>
      <c r="BK189" s="2973"/>
      <c r="BL189" s="2973"/>
      <c r="BM189" s="2973"/>
      <c r="BN189" s="2972"/>
      <c r="BO189" s="2973"/>
      <c r="BP189" s="2973"/>
      <c r="BQ189" s="2973"/>
      <c r="BR189" s="2973"/>
      <c r="BS189" s="2972"/>
      <c r="BT189" s="1524"/>
      <c r="BU189" s="1012"/>
      <c r="BV189" s="1012"/>
      <c r="BW189" s="1012"/>
      <c r="BX189" s="1012"/>
      <c r="BY189" s="1012"/>
      <c r="BZ189" s="1012"/>
      <c r="CA189" s="1012"/>
      <c r="CB189" s="1012"/>
    </row>
    <row r="190" spans="1:83" s="1011" customFormat="1" outlineLevel="1">
      <c r="A190" s="1013" t="s">
        <v>1122</v>
      </c>
      <c r="B190" s="1015"/>
      <c r="C190" s="1015"/>
      <c r="D190" s="1015"/>
      <c r="E190" s="1015"/>
      <c r="F190" s="1014"/>
      <c r="G190" s="1015"/>
      <c r="H190" s="1015"/>
      <c r="I190" s="1015"/>
      <c r="J190" s="1015"/>
      <c r="K190" s="1014"/>
      <c r="L190" s="1015"/>
      <c r="M190" s="1015"/>
      <c r="N190" s="1015"/>
      <c r="O190" s="1015"/>
      <c r="P190" s="1014"/>
      <c r="Q190" s="1015"/>
      <c r="R190" s="1015"/>
      <c r="S190" s="1015"/>
      <c r="T190" s="1015"/>
      <c r="U190" s="1014"/>
      <c r="V190" s="1015"/>
      <c r="W190" s="1015"/>
      <c r="X190" s="1015"/>
      <c r="Y190" s="1015"/>
      <c r="Z190" s="1014"/>
      <c r="AA190" s="1015"/>
      <c r="AB190" s="1015"/>
      <c r="AC190" s="1015"/>
      <c r="AD190" s="1015"/>
      <c r="AE190" s="1014"/>
      <c r="AF190" s="1015"/>
      <c r="AG190" s="1015"/>
      <c r="AH190" s="1015"/>
      <c r="AI190" s="1015"/>
      <c r="AJ190" s="1014"/>
      <c r="AK190" s="2519">
        <v>526.5</v>
      </c>
      <c r="AL190" s="1015">
        <v>1274.4000000000001</v>
      </c>
      <c r="AM190" s="1015">
        <v>952.4</v>
      </c>
      <c r="AN190" s="1015">
        <v>627.79999999999995</v>
      </c>
      <c r="AO190" s="1014">
        <f>SUM(AK190:AN190)</f>
        <v>3381.1000000000004</v>
      </c>
      <c r="AP190" s="2519">
        <v>401.4</v>
      </c>
      <c r="AQ190" s="1015">
        <v>580</v>
      </c>
      <c r="AR190" s="1015">
        <v>792.8</v>
      </c>
      <c r="AS190" s="1015">
        <v>848</v>
      </c>
      <c r="AT190" s="1014">
        <f>SUM(AP190:AS190)</f>
        <v>2622.2</v>
      </c>
      <c r="AU190" s="1015">
        <v>425</v>
      </c>
      <c r="AV190" s="1015">
        <v>819</v>
      </c>
      <c r="AW190" s="1015">
        <f>AR190*(1+AW191)</f>
        <v>832.43999999999994</v>
      </c>
      <c r="AX190" s="1015">
        <f>AS190*(1+AX191)</f>
        <v>856.48</v>
      </c>
      <c r="AY190" s="1014">
        <f>SUM(AU190:AX190)</f>
        <v>2932.92</v>
      </c>
      <c r="AZ190" s="1015">
        <f>AU190*(1+AZ191)</f>
        <v>522.75</v>
      </c>
      <c r="BA190" s="1015">
        <f>AV190*(1+BA191)</f>
        <v>1015.56</v>
      </c>
      <c r="BB190" s="1015">
        <f>AW190*(1+BB191)</f>
        <v>940.65719999999988</v>
      </c>
      <c r="BC190" s="1015">
        <f>AX190*(1+BC191)</f>
        <v>942.12800000000004</v>
      </c>
      <c r="BD190" s="1014">
        <f>SUM(AZ190:BC190)</f>
        <v>3421.0952000000002</v>
      </c>
      <c r="BE190" s="2883"/>
      <c r="BF190" s="2883"/>
      <c r="BG190" s="2883"/>
      <c r="BH190" s="2883"/>
      <c r="BI190" s="2967"/>
      <c r="BJ190" s="2968"/>
      <c r="BK190" s="2968"/>
      <c r="BL190" s="2968"/>
      <c r="BM190" s="2968"/>
      <c r="BN190" s="2967"/>
      <c r="BO190" s="2968"/>
      <c r="BP190" s="2968"/>
      <c r="BQ190" s="2968"/>
      <c r="BR190" s="2968"/>
      <c r="BS190" s="2967"/>
      <c r="BT190" s="1523"/>
      <c r="BU190" s="1014"/>
      <c r="BV190" s="1014"/>
      <c r="BW190" s="1014">
        <f>SUM(AM190:AN190,AP190:AQ190)</f>
        <v>2561.6</v>
      </c>
      <c r="BX190" s="1014">
        <f>SUM(AR190:AS190,AU190:AV190)</f>
        <v>2884.8</v>
      </c>
      <c r="BY190" s="1014">
        <f>SUM(AW190:AX190,AZ190:BA190)</f>
        <v>3227.23</v>
      </c>
      <c r="BZ190" s="1014">
        <f>SUM(BB190:BC190,BE190:BF190)</f>
        <v>1882.7851999999998</v>
      </c>
      <c r="CA190" s="1014"/>
      <c r="CB190" s="1014"/>
    </row>
    <row r="191" spans="1:83" s="1022" customFormat="1" outlineLevel="1">
      <c r="A191" s="1452" t="s">
        <v>926</v>
      </c>
      <c r="B191" s="1453"/>
      <c r="C191" s="1453"/>
      <c r="D191" s="1453"/>
      <c r="E191" s="1453"/>
      <c r="F191" s="1454"/>
      <c r="G191" s="1453"/>
      <c r="H191" s="1453"/>
      <c r="I191" s="1453"/>
      <c r="J191" s="1453"/>
      <c r="K191" s="1454"/>
      <c r="L191" s="1453"/>
      <c r="M191" s="1453"/>
      <c r="N191" s="1453"/>
      <c r="O191" s="1453"/>
      <c r="P191" s="1454"/>
      <c r="Q191" s="1453"/>
      <c r="R191" s="1453"/>
      <c r="S191" s="1453"/>
      <c r="T191" s="1453"/>
      <c r="U191" s="1454"/>
      <c r="V191" s="1453"/>
      <c r="W191" s="1453"/>
      <c r="X191" s="1453"/>
      <c r="Y191" s="1453"/>
      <c r="Z191" s="1454"/>
      <c r="AA191" s="1453"/>
      <c r="AB191" s="1453"/>
      <c r="AC191" s="1453"/>
      <c r="AD191" s="1453"/>
      <c r="AE191" s="1454"/>
      <c r="AF191" s="1446"/>
      <c r="AG191" s="1453"/>
      <c r="AH191" s="1453"/>
      <c r="AI191" s="1453"/>
      <c r="AJ191" s="1443"/>
      <c r="AK191" s="1442"/>
      <c r="AL191" s="1442"/>
      <c r="AM191" s="1442"/>
      <c r="AN191" s="1442"/>
      <c r="AO191" s="1443">
        <f t="shared" ref="AO191:AV191" si="145">IF(ISERROR(AO190/AJ190-1),,(AO190/AJ190-1))</f>
        <v>0</v>
      </c>
      <c r="AP191" s="1442">
        <f t="shared" si="145"/>
        <v>-0.23760683760683765</v>
      </c>
      <c r="AQ191" s="1442">
        <f t="shared" si="145"/>
        <v>-0.54488386691776525</v>
      </c>
      <c r="AR191" s="1442">
        <f t="shared" si="145"/>
        <v>-0.16757664846703069</v>
      </c>
      <c r="AS191" s="1442">
        <f t="shared" si="145"/>
        <v>0.35074864606562617</v>
      </c>
      <c r="AT191" s="1443">
        <f t="shared" si="145"/>
        <v>-0.22445358019579442</v>
      </c>
      <c r="AU191" s="1442">
        <f t="shared" si="145"/>
        <v>5.879422022919778E-2</v>
      </c>
      <c r="AV191" s="1442">
        <f t="shared" si="145"/>
        <v>0.41206896551724137</v>
      </c>
      <c r="AW191" s="1442">
        <v>0.05</v>
      </c>
      <c r="AX191" s="1442">
        <v>0.01</v>
      </c>
      <c r="AY191" s="1443">
        <f>IF(ISERROR(AY190/AT190-1),,(AY190/AT190-1))</f>
        <v>0.1184959194569446</v>
      </c>
      <c r="AZ191" s="1442">
        <v>0.23</v>
      </c>
      <c r="BA191" s="1442">
        <v>0.24</v>
      </c>
      <c r="BB191" s="1455">
        <v>0.13</v>
      </c>
      <c r="BC191" s="1455">
        <v>0.1</v>
      </c>
      <c r="BD191" s="1443">
        <f>IF(ISERROR(BD190/AY190-1),,(BD190/AY190-1))</f>
        <v>0.16644681750610313</v>
      </c>
      <c r="BE191" s="2870"/>
      <c r="BF191" s="2870"/>
      <c r="BG191" s="2870"/>
      <c r="BH191" s="2870"/>
      <c r="BI191" s="2942"/>
      <c r="BJ191" s="2947"/>
      <c r="BK191" s="2947"/>
      <c r="BL191" s="2947"/>
      <c r="BM191" s="2947"/>
      <c r="BN191" s="2942"/>
      <c r="BO191" s="2947"/>
      <c r="BP191" s="2947"/>
      <c r="BQ191" s="2947"/>
      <c r="BR191" s="2947"/>
      <c r="BS191" s="2942"/>
      <c r="BT191" s="1438"/>
      <c r="BU191" s="1443"/>
      <c r="BV191" s="1443"/>
      <c r="BW191" s="1443"/>
      <c r="BX191" s="1443"/>
      <c r="BY191" s="1443"/>
      <c r="BZ191" s="1443"/>
      <c r="CA191" s="1443"/>
      <c r="CB191" s="1443"/>
    </row>
    <row r="192" spans="1:83" s="1022" customFormat="1" ht="7.5" customHeight="1" outlineLevel="1">
      <c r="A192" s="1016"/>
      <c r="B192" s="1047"/>
      <c r="C192" s="1047"/>
      <c r="D192" s="1047"/>
      <c r="E192" s="1047"/>
      <c r="F192" s="1048"/>
      <c r="G192" s="1047"/>
      <c r="H192" s="1047"/>
      <c r="I192" s="1047"/>
      <c r="J192" s="1047"/>
      <c r="K192" s="1048"/>
      <c r="L192" s="1047"/>
      <c r="M192" s="1047"/>
      <c r="N192" s="1047"/>
      <c r="O192" s="1047"/>
      <c r="P192" s="1048"/>
      <c r="Q192" s="1047"/>
      <c r="R192" s="1047"/>
      <c r="S192" s="1047"/>
      <c r="T192" s="1047"/>
      <c r="U192" s="1048"/>
      <c r="V192" s="1047"/>
      <c r="W192" s="1047"/>
      <c r="X192" s="1047"/>
      <c r="Y192" s="1047"/>
      <c r="Z192" s="1048"/>
      <c r="AA192" s="1047"/>
      <c r="AB192" s="1047"/>
      <c r="AC192" s="1047"/>
      <c r="AD192" s="1047"/>
      <c r="AE192" s="1012"/>
      <c r="AF192" s="1047"/>
      <c r="AG192" s="1047"/>
      <c r="AH192" s="1047"/>
      <c r="AI192" s="1047"/>
      <c r="AJ192" s="1012"/>
      <c r="AK192" s="1047"/>
      <c r="AL192" s="1047"/>
      <c r="AM192" s="1047"/>
      <c r="AN192" s="1047"/>
      <c r="AO192" s="1012"/>
      <c r="AP192" s="1047"/>
      <c r="AQ192" s="1047"/>
      <c r="AR192" s="1047"/>
      <c r="AS192" s="1047"/>
      <c r="AT192" s="1012"/>
      <c r="AU192" s="1047"/>
      <c r="AV192" s="1047"/>
      <c r="AW192" s="1047"/>
      <c r="AX192" s="1047"/>
      <c r="AY192" s="1012"/>
      <c r="AZ192" s="1047"/>
      <c r="BA192" s="1047"/>
      <c r="BB192" s="1047"/>
      <c r="BC192" s="1047"/>
      <c r="BD192" s="1012"/>
      <c r="BE192" s="2884"/>
      <c r="BF192" s="2884"/>
      <c r="BG192" s="2884"/>
      <c r="BH192" s="2884"/>
      <c r="BI192" s="2972"/>
      <c r="BJ192" s="2973"/>
      <c r="BK192" s="2973"/>
      <c r="BL192" s="2973"/>
      <c r="BM192" s="2973"/>
      <c r="BN192" s="2972"/>
      <c r="BO192" s="2973"/>
      <c r="BP192" s="2973"/>
      <c r="BQ192" s="2973"/>
      <c r="BR192" s="2973"/>
      <c r="BS192" s="2972"/>
      <c r="BT192" s="1524"/>
      <c r="BU192" s="1012"/>
      <c r="BV192" s="1012"/>
      <c r="BW192" s="1012"/>
      <c r="BX192" s="1012"/>
      <c r="BY192" s="1012"/>
      <c r="BZ192" s="1012"/>
      <c r="CA192" s="1012"/>
      <c r="CB192" s="1012"/>
      <c r="CC192" s="1049"/>
      <c r="CD192" s="1049"/>
      <c r="CE192" s="1049"/>
    </row>
    <row r="193" spans="1:90" outlineLevel="1">
      <c r="A193" s="1013" t="s">
        <v>1123</v>
      </c>
      <c r="B193" s="1015"/>
      <c r="C193" s="1015"/>
      <c r="D193" s="1015"/>
      <c r="E193" s="1015"/>
      <c r="F193" s="1014"/>
      <c r="G193" s="1015"/>
      <c r="H193" s="1015"/>
      <c r="I193" s="1015"/>
      <c r="J193" s="1015"/>
      <c r="K193" s="1014"/>
      <c r="L193" s="1015"/>
      <c r="M193" s="1015"/>
      <c r="N193" s="1015"/>
      <c r="O193" s="1015"/>
      <c r="P193" s="1014"/>
      <c r="Q193" s="1015"/>
      <c r="R193" s="1015"/>
      <c r="S193" s="1015"/>
      <c r="T193" s="1015"/>
      <c r="U193" s="1014"/>
      <c r="V193" s="1015"/>
      <c r="W193" s="1015"/>
      <c r="X193" s="1015"/>
      <c r="Y193" s="1015"/>
      <c r="Z193" s="1014"/>
      <c r="AA193" s="1015"/>
      <c r="AB193" s="1015"/>
      <c r="AC193" s="1015"/>
      <c r="AD193" s="1015"/>
      <c r="AE193" s="1014"/>
      <c r="AF193" s="1015"/>
      <c r="AG193" s="1015"/>
      <c r="AH193" s="1015"/>
      <c r="AI193" s="1015"/>
      <c r="AJ193" s="1014"/>
      <c r="AK193" s="1015">
        <f>AK190+AK187+AK181</f>
        <v>1353.8861652747855</v>
      </c>
      <c r="AL193" s="1015">
        <f>AL190+AL187+AL181</f>
        <v>3994.9861652747854</v>
      </c>
      <c r="AM193" s="1015">
        <f>AM190+AM187+AM181</f>
        <v>2033.9620273437513</v>
      </c>
      <c r="AN193" s="1015">
        <f>AN190+AN187+AN181</f>
        <v>1403.4120273437511</v>
      </c>
      <c r="AO193" s="1014">
        <f>SUM(AK193:AN193)</f>
        <v>8786.2463852370747</v>
      </c>
      <c r="AP193" s="1015">
        <f>AP190+AP187+AP181</f>
        <v>1965.3585790678894</v>
      </c>
      <c r="AQ193" s="1015">
        <f>AQ190+AQ187+AQ181</f>
        <v>3599.1962068965518</v>
      </c>
      <c r="AR193" s="1015">
        <f>AR190+AR187+AR181</f>
        <v>1972.0245273437511</v>
      </c>
      <c r="AS193" s="1015">
        <f>AS190+AS187+AS181</f>
        <v>1972.1620273437511</v>
      </c>
      <c r="AT193" s="1014">
        <f>SUM(AP193:AS193)</f>
        <v>9508.7413406519445</v>
      </c>
      <c r="AU193" s="1015">
        <f>AU190+AU187+AU181</f>
        <v>1986.8869396551727</v>
      </c>
      <c r="AV193" s="1015">
        <f>AV190+AV187+AV181</f>
        <v>3912.4287724137935</v>
      </c>
      <c r="AW193" s="1015">
        <f>AW190+AW187+AW181</f>
        <v>1815.1491386718756</v>
      </c>
      <c r="AX193" s="1015">
        <f>AX190+AX187+AX181</f>
        <v>1610.431006835938</v>
      </c>
      <c r="AY193" s="1014">
        <f>SUM(AU193:AX193)</f>
        <v>9324.8958575767792</v>
      </c>
      <c r="AZ193" s="1015">
        <v>1896</v>
      </c>
      <c r="BA193" s="1015">
        <v>3595</v>
      </c>
      <c r="BB193" s="1015">
        <v>1928</v>
      </c>
      <c r="BC193" s="1015">
        <v>1657</v>
      </c>
      <c r="BD193" s="1014">
        <f>SUM(AZ193:BC193)</f>
        <v>9076</v>
      </c>
      <c r="BE193" s="2883"/>
      <c r="BF193" s="2883"/>
      <c r="BG193" s="2883"/>
      <c r="BH193" s="2883"/>
      <c r="BI193" s="2967"/>
      <c r="BJ193" s="2968"/>
      <c r="BK193" s="2968"/>
      <c r="BL193" s="2968"/>
      <c r="BM193" s="2968"/>
      <c r="BN193" s="2967"/>
      <c r="BO193" s="2968"/>
      <c r="BP193" s="2968"/>
      <c r="BQ193" s="2968"/>
      <c r="BR193" s="2968"/>
      <c r="BS193" s="2967"/>
      <c r="BT193" s="1523"/>
      <c r="BU193" s="1014"/>
      <c r="BV193" s="1014"/>
      <c r="BW193" s="1014">
        <f>SUM(AM193:AN193,AP193:AQ193)</f>
        <v>9001.9288406519427</v>
      </c>
      <c r="BX193" s="1014">
        <f>SUM(AR193:AS193,AU193:AV193)</f>
        <v>9843.5022667564681</v>
      </c>
      <c r="BY193" s="1014">
        <f>SUM(AW193:AX193,AZ193:BA193)</f>
        <v>8916.5801455078144</v>
      </c>
      <c r="BZ193" s="1014">
        <f>SUM(BB193:BC193,BE193:BF193)</f>
        <v>3585</v>
      </c>
      <c r="CA193" s="1014"/>
      <c r="CB193" s="1014"/>
      <c r="CC193" s="1011"/>
      <c r="CD193" s="1011"/>
      <c r="CE193" s="1011"/>
      <c r="CG193" s="1011"/>
      <c r="CH193" s="1011"/>
      <c r="CI193" s="1011"/>
      <c r="CJ193" s="1011"/>
      <c r="CK193" s="1011"/>
      <c r="CL193" s="1011"/>
    </row>
    <row r="194" spans="1:90" outlineLevel="1">
      <c r="A194" s="1094"/>
      <c r="B194" s="2526"/>
      <c r="C194" s="2526"/>
      <c r="D194" s="2526"/>
      <c r="E194" s="2526"/>
      <c r="F194" s="2527"/>
      <c r="G194" s="2526"/>
      <c r="H194" s="2526"/>
      <c r="I194" s="2526"/>
      <c r="J194" s="2526"/>
      <c r="K194" s="2527"/>
      <c r="L194" s="2526"/>
      <c r="M194" s="2526"/>
      <c r="N194" s="2526"/>
      <c r="O194" s="2526"/>
      <c r="P194" s="2527"/>
      <c r="Q194" s="2526"/>
      <c r="R194" s="2526"/>
      <c r="S194" s="2526"/>
      <c r="T194" s="2526"/>
      <c r="U194" s="2527"/>
      <c r="V194" s="2526"/>
      <c r="W194" s="2526"/>
      <c r="X194" s="2526"/>
      <c r="Y194" s="2526"/>
      <c r="Z194" s="2527"/>
      <c r="AA194" s="2526"/>
      <c r="AB194" s="2526"/>
      <c r="AC194" s="2526"/>
      <c r="AD194" s="2526"/>
      <c r="AE194" s="2527"/>
      <c r="AF194" s="2526"/>
      <c r="AG194" s="2526"/>
      <c r="AH194" s="2526"/>
      <c r="AI194" s="2526"/>
      <c r="AJ194" s="2527"/>
      <c r="AK194" s="2526"/>
      <c r="AL194" s="2526"/>
      <c r="AM194" s="2526"/>
      <c r="AN194" s="2526"/>
      <c r="AO194" s="1443"/>
      <c r="AP194" s="1442">
        <f t="shared" ref="AP194:BD194" si="146">IF(ISERROR(AP193/AK193-1),,(AP193/AK193-1))</f>
        <v>0.45164241239513592</v>
      </c>
      <c r="AQ194" s="1442">
        <f t="shared" si="146"/>
        <v>-9.9071671841699627E-2</v>
      </c>
      <c r="AR194" s="1442">
        <f t="shared" si="146"/>
        <v>-3.0451650113098361E-2</v>
      </c>
      <c r="AS194" s="1442">
        <f t="shared" si="146"/>
        <v>0.40526230994077883</v>
      </c>
      <c r="AT194" s="1443">
        <f t="shared" si="146"/>
        <v>8.2230217972128372E-2</v>
      </c>
      <c r="AU194" s="1442">
        <f t="shared" si="146"/>
        <v>1.0953909793648631E-2</v>
      </c>
      <c r="AV194" s="1442">
        <f t="shared" si="146"/>
        <v>8.7028477335313159E-2</v>
      </c>
      <c r="AW194" s="1442">
        <f t="shared" si="146"/>
        <v>-7.9550424701452016E-2</v>
      </c>
      <c r="AX194" s="1442">
        <f t="shared" si="146"/>
        <v>-0.18341850998673692</v>
      </c>
      <c r="AY194" s="1443">
        <f t="shared" si="146"/>
        <v>-1.9334365768178596E-2</v>
      </c>
      <c r="AZ194" s="1442">
        <f t="shared" si="146"/>
        <v>-4.5743387729422769E-2</v>
      </c>
      <c r="BA194" s="1442">
        <f t="shared" si="146"/>
        <v>-8.1133431655537658E-2</v>
      </c>
      <c r="BB194" s="1442">
        <f t="shared" si="146"/>
        <v>6.2171674450230752E-2</v>
      </c>
      <c r="BC194" s="1442">
        <f t="shared" si="146"/>
        <v>2.8917099190456819E-2</v>
      </c>
      <c r="BD194" s="1443">
        <f t="shared" si="146"/>
        <v>-2.6691542873858887E-2</v>
      </c>
      <c r="BE194" s="2866"/>
      <c r="BF194" s="2866"/>
      <c r="BG194" s="2866"/>
      <c r="BH194" s="2866"/>
      <c r="BI194" s="2942"/>
      <c r="BJ194" s="2943"/>
      <c r="BK194" s="2943"/>
      <c r="BL194" s="2943"/>
      <c r="BM194" s="2943"/>
      <c r="BN194" s="2942"/>
      <c r="BO194" s="2943"/>
      <c r="BP194" s="2943"/>
      <c r="BQ194" s="2943"/>
      <c r="BR194" s="2943"/>
      <c r="BS194" s="2942"/>
      <c r="BT194" s="1523"/>
      <c r="BU194" s="1443"/>
      <c r="BV194" s="1443"/>
      <c r="BW194" s="1443"/>
      <c r="BX194" s="1443"/>
      <c r="BY194" s="1443"/>
      <c r="BZ194" s="1443"/>
      <c r="CA194" s="1443"/>
      <c r="CB194" s="1443"/>
      <c r="CC194" s="1011"/>
      <c r="CD194" s="1011"/>
      <c r="CE194" s="1011"/>
      <c r="CG194" s="1011"/>
      <c r="CH194" s="1011"/>
      <c r="CI194" s="1011"/>
      <c r="CJ194" s="1011"/>
      <c r="CK194" s="1011"/>
      <c r="CL194" s="1011"/>
    </row>
    <row r="195" spans="1:90" outlineLevel="1">
      <c r="A195" s="1094"/>
      <c r="B195" s="2526"/>
      <c r="C195" s="2526"/>
      <c r="D195" s="2526"/>
      <c r="E195" s="2526"/>
      <c r="F195" s="2527"/>
      <c r="G195" s="2526"/>
      <c r="H195" s="2526"/>
      <c r="I195" s="2526"/>
      <c r="J195" s="2526"/>
      <c r="K195" s="2527"/>
      <c r="L195" s="2526"/>
      <c r="M195" s="2526"/>
      <c r="N195" s="2526"/>
      <c r="O195" s="2526"/>
      <c r="P195" s="2527"/>
      <c r="Q195" s="2526"/>
      <c r="R195" s="2526"/>
      <c r="S195" s="2526"/>
      <c r="T195" s="2526"/>
      <c r="U195" s="2527"/>
      <c r="V195" s="2526"/>
      <c r="W195" s="2526"/>
      <c r="X195" s="2526"/>
      <c r="Y195" s="2526"/>
      <c r="Z195" s="2527"/>
      <c r="AA195" s="2526"/>
      <c r="AB195" s="2526"/>
      <c r="AC195" s="2526"/>
      <c r="AD195" s="2526"/>
      <c r="AE195" s="2527"/>
      <c r="AF195" s="2526"/>
      <c r="AG195" s="2526"/>
      <c r="AH195" s="2526"/>
      <c r="AI195" s="2526"/>
      <c r="AJ195" s="2527"/>
      <c r="AK195" s="2526"/>
      <c r="AL195" s="2526"/>
      <c r="AM195" s="2526"/>
      <c r="AN195" s="2526"/>
      <c r="AO195" s="1443"/>
      <c r="AP195" s="1442"/>
      <c r="AQ195" s="1442"/>
      <c r="AR195" s="1442"/>
      <c r="AS195" s="1442"/>
      <c r="AT195" s="1443"/>
      <c r="AU195" s="1442"/>
      <c r="AV195" s="1442"/>
      <c r="AW195" s="1442"/>
      <c r="AX195" s="1442"/>
      <c r="AY195" s="1443"/>
      <c r="AZ195" s="1442"/>
      <c r="BA195" s="1442"/>
      <c r="BB195" s="1442"/>
      <c r="BC195" s="1442"/>
      <c r="BD195" s="1443"/>
      <c r="BE195" s="2866"/>
      <c r="BF195" s="2866"/>
      <c r="BG195" s="2866"/>
      <c r="BH195" s="2866"/>
      <c r="BI195" s="2942"/>
      <c r="BJ195" s="2943"/>
      <c r="BK195" s="2943"/>
      <c r="BL195" s="2943"/>
      <c r="BM195" s="2943"/>
      <c r="BN195" s="2942"/>
      <c r="BO195" s="2943"/>
      <c r="BP195" s="2943"/>
      <c r="BQ195" s="2943"/>
      <c r="BR195" s="2943"/>
      <c r="BS195" s="2942"/>
      <c r="BT195" s="1523"/>
      <c r="BU195" s="1443"/>
      <c r="BV195" s="1443"/>
      <c r="BW195" s="1443"/>
      <c r="BX195" s="1443"/>
      <c r="BY195" s="1443"/>
      <c r="BZ195" s="1443"/>
      <c r="CA195" s="1443"/>
      <c r="CB195" s="1443"/>
      <c r="CC195" s="1011"/>
      <c r="CD195" s="1011"/>
      <c r="CE195" s="1011"/>
      <c r="CG195" s="1011"/>
      <c r="CH195" s="1011"/>
      <c r="CI195" s="1011"/>
      <c r="CJ195" s="1011"/>
      <c r="CK195" s="1011"/>
      <c r="CL195" s="1011"/>
    </row>
    <row r="196" spans="1:90" outlineLevel="1">
      <c r="A196" s="1050" t="s">
        <v>1157</v>
      </c>
      <c r="B196" s="1051"/>
      <c r="C196" s="1051"/>
      <c r="D196" s="1051"/>
      <c r="E196" s="1051"/>
      <c r="F196" s="1052"/>
      <c r="G196" s="1051"/>
      <c r="H196" s="1051"/>
      <c r="I196" s="1051"/>
      <c r="J196" s="1051"/>
      <c r="K196" s="1052"/>
      <c r="L196" s="1051"/>
      <c r="M196" s="1051"/>
      <c r="N196" s="1051"/>
      <c r="O196" s="1051"/>
      <c r="P196" s="1052"/>
      <c r="Q196" s="1051"/>
      <c r="R196" s="1051"/>
      <c r="S196" s="1051"/>
      <c r="T196" s="1051"/>
      <c r="U196" s="1052"/>
      <c r="V196" s="1051"/>
      <c r="W196" s="1051"/>
      <c r="X196" s="1051"/>
      <c r="Y196" s="1051"/>
      <c r="Z196" s="1052"/>
      <c r="AA196" s="1051"/>
      <c r="AB196" s="1051"/>
      <c r="AC196" s="1051"/>
      <c r="AD196" s="1051"/>
      <c r="AE196" s="1052"/>
      <c r="AF196" s="1053"/>
      <c r="AG196" s="1051"/>
      <c r="AH196" s="1051"/>
      <c r="AI196" s="1051"/>
      <c r="AJ196" s="1052"/>
      <c r="AK196" s="1054"/>
      <c r="AL196" s="1051"/>
      <c r="AM196" s="1051"/>
      <c r="AN196" s="1051"/>
      <c r="AO196" s="1052"/>
      <c r="AP196" s="1054"/>
      <c r="AQ196" s="1051"/>
      <c r="AR196" s="1051"/>
      <c r="AS196" s="1051"/>
      <c r="AT196" s="1052"/>
      <c r="AU196" s="1054"/>
      <c r="AV196" s="1051"/>
      <c r="AW196" s="1051"/>
      <c r="AX196" s="1051"/>
      <c r="AY196" s="1052"/>
      <c r="AZ196" s="1054"/>
      <c r="BA196" s="1051"/>
      <c r="BB196" s="1051"/>
      <c r="BC196" s="1051"/>
      <c r="BD196" s="1052"/>
      <c r="BE196" s="2851"/>
      <c r="BF196" s="2852"/>
      <c r="BG196" s="2852"/>
      <c r="BH196" s="2852"/>
      <c r="BI196" s="2915"/>
      <c r="BJ196" s="2916"/>
      <c r="BK196" s="2917"/>
      <c r="BL196" s="2917"/>
      <c r="BM196" s="2917"/>
      <c r="BN196" s="2915"/>
      <c r="BO196" s="2916"/>
      <c r="BP196" s="2917"/>
      <c r="BQ196" s="2917"/>
      <c r="BR196" s="2917"/>
      <c r="BS196" s="2915"/>
      <c r="BT196" s="1343"/>
      <c r="BU196" s="1052"/>
      <c r="BV196" s="1052"/>
      <c r="BW196" s="1052"/>
      <c r="BX196" s="1052"/>
      <c r="BY196" s="1052"/>
      <c r="BZ196" s="1052"/>
      <c r="CA196" s="1052"/>
      <c r="CB196" s="1052"/>
    </row>
    <row r="197" spans="1:90" s="1049" customFormat="1" outlineLevel="1">
      <c r="A197" s="1016" t="s">
        <v>928</v>
      </c>
      <c r="B197" s="1047"/>
      <c r="C197" s="1047"/>
      <c r="D197" s="1047"/>
      <c r="E197" s="1047"/>
      <c r="F197" s="1048"/>
      <c r="G197" s="1047"/>
      <c r="H197" s="1047"/>
      <c r="I197" s="1047"/>
      <c r="J197" s="1047"/>
      <c r="K197" s="1048"/>
      <c r="L197" s="1047"/>
      <c r="M197" s="1047"/>
      <c r="N197" s="1047"/>
      <c r="O197" s="1047"/>
      <c r="P197" s="1048"/>
      <c r="Q197" s="1047"/>
      <c r="R197" s="1047"/>
      <c r="S197" s="1047"/>
      <c r="T197" s="1047"/>
      <c r="U197" s="1048"/>
      <c r="V197" s="1047"/>
      <c r="W197" s="1047"/>
      <c r="X197" s="1047"/>
      <c r="Y197" s="1047"/>
      <c r="Z197" s="1048"/>
      <c r="AA197" s="1047"/>
      <c r="AB197" s="1047"/>
      <c r="AC197" s="1047"/>
      <c r="AD197" s="1047"/>
      <c r="AE197" s="1012"/>
      <c r="AF197" s="1047"/>
      <c r="AG197" s="1047"/>
      <c r="AH197" s="1047"/>
      <c r="AI197" s="1047"/>
      <c r="AJ197" s="1012"/>
      <c r="AK197" s="1047">
        <v>5</v>
      </c>
      <c r="AL197" s="1047">
        <f t="shared" ref="AL197:BD197" si="147">AK197</f>
        <v>5</v>
      </c>
      <c r="AM197" s="1047">
        <f t="shared" si="147"/>
        <v>5</v>
      </c>
      <c r="AN197" s="1047">
        <f t="shared" si="147"/>
        <v>5</v>
      </c>
      <c r="AO197" s="1012">
        <f t="shared" si="147"/>
        <v>5</v>
      </c>
      <c r="AP197" s="1047">
        <v>3</v>
      </c>
      <c r="AQ197" s="1047">
        <f t="shared" si="147"/>
        <v>3</v>
      </c>
      <c r="AR197" s="1047">
        <f t="shared" si="147"/>
        <v>3</v>
      </c>
      <c r="AS197" s="1047">
        <f t="shared" si="147"/>
        <v>3</v>
      </c>
      <c r="AT197" s="1012">
        <f t="shared" si="147"/>
        <v>3</v>
      </c>
      <c r="AU197" s="1047">
        <v>3</v>
      </c>
      <c r="AV197" s="1047">
        <v>2.9</v>
      </c>
      <c r="AW197" s="1047">
        <f>AV197*0.95</f>
        <v>2.7549999999999999</v>
      </c>
      <c r="AX197" s="1047">
        <f>AW197*0.95</f>
        <v>2.6172499999999999</v>
      </c>
      <c r="AY197" s="1012">
        <f t="shared" si="147"/>
        <v>2.6172499999999999</v>
      </c>
      <c r="AZ197" s="1047">
        <f>AY197*1.1</f>
        <v>2.8789750000000001</v>
      </c>
      <c r="BA197" s="1047">
        <f>AZ197*0.95</f>
        <v>2.7350262499999998</v>
      </c>
      <c r="BB197" s="2632">
        <f>BA197*0.9</f>
        <v>2.4615236249999999</v>
      </c>
      <c r="BC197" s="2574">
        <f t="shared" si="147"/>
        <v>2.4615236249999999</v>
      </c>
      <c r="BD197" s="1012">
        <f t="shared" si="147"/>
        <v>2.4615236249999999</v>
      </c>
      <c r="BE197" s="2884"/>
      <c r="BF197" s="2884"/>
      <c r="BG197" s="2884"/>
      <c r="BH197" s="2884"/>
      <c r="BI197" s="2918"/>
      <c r="BJ197" s="2973"/>
      <c r="BK197" s="2973"/>
      <c r="BL197" s="2973"/>
      <c r="BM197" s="2973"/>
      <c r="BN197" s="2918"/>
      <c r="BO197" s="2973"/>
      <c r="BP197" s="2973"/>
      <c r="BQ197" s="2973"/>
      <c r="BR197" s="2973"/>
      <c r="BS197" s="2918"/>
      <c r="BT197" s="1524"/>
      <c r="BU197" s="1191"/>
      <c r="BV197" s="1191"/>
      <c r="BW197" s="1191"/>
      <c r="BX197" s="1191"/>
      <c r="BY197" s="1191"/>
      <c r="BZ197" s="1191"/>
      <c r="CA197" s="1191"/>
      <c r="CB197" s="1191"/>
    </row>
    <row r="198" spans="1:90" s="1046" customFormat="1" outlineLevel="1">
      <c r="A198" s="1043" t="s">
        <v>930</v>
      </c>
      <c r="B198" s="1044"/>
      <c r="C198" s="1044"/>
      <c r="D198" s="1044"/>
      <c r="E198" s="1044"/>
      <c r="F198" s="1045"/>
      <c r="G198" s="1044"/>
      <c r="H198" s="1044"/>
      <c r="I198" s="1044"/>
      <c r="J198" s="1044"/>
      <c r="K198" s="1045"/>
      <c r="L198" s="1044"/>
      <c r="M198" s="1044"/>
      <c r="N198" s="1044"/>
      <c r="O198" s="1044"/>
      <c r="P198" s="1045"/>
      <c r="Q198" s="1044"/>
      <c r="R198" s="1044"/>
      <c r="S198" s="1044"/>
      <c r="T198" s="1044"/>
      <c r="U198" s="1045"/>
      <c r="V198" s="1044"/>
      <c r="W198" s="1044"/>
      <c r="X198" s="1044"/>
      <c r="Y198" s="1044"/>
      <c r="Z198" s="1045"/>
      <c r="AA198" s="1044"/>
      <c r="AB198" s="1044"/>
      <c r="AC198" s="1044"/>
      <c r="AD198" s="1044"/>
      <c r="AE198" s="1045"/>
      <c r="AF198" s="1044"/>
      <c r="AG198" s="1044"/>
      <c r="AH198" s="1044"/>
      <c r="AI198" s="1044"/>
      <c r="AJ198" s="1045"/>
      <c r="AK198" s="1044">
        <f>AK200/AK197</f>
        <v>93.229723746531818</v>
      </c>
      <c r="AL198" s="1044">
        <f>AL200/AL197</f>
        <v>196.64021891038865</v>
      </c>
      <c r="AM198" s="1044">
        <f>AM200/AM197</f>
        <v>118.09006147309847</v>
      </c>
      <c r="AN198" s="1044">
        <f>AN200/AN197</f>
        <v>173.39158659638832</v>
      </c>
      <c r="AO198" s="1045">
        <f>SUM(AK198:AN198)</f>
        <v>581.35159072640727</v>
      </c>
      <c r="AP198" s="1044">
        <f>AP200/AP197</f>
        <v>58.100749676177351</v>
      </c>
      <c r="AQ198" s="1044">
        <f>AQ200/AQ197</f>
        <v>127.64615959389539</v>
      </c>
      <c r="AR198" s="1044">
        <f>AR200/AR197</f>
        <v>153.36514897506504</v>
      </c>
      <c r="AS198" s="1044">
        <f>AS200/AS197</f>
        <v>86.506606901290368</v>
      </c>
      <c r="AT198" s="1045">
        <f>SUM(AP198:AS198)</f>
        <v>425.6186651464281</v>
      </c>
      <c r="AU198" s="1044">
        <f>AP198*(1+AU199)</f>
        <v>63.910824643795088</v>
      </c>
      <c r="AV198" s="1044">
        <f>AQ198*(1+AV199)</f>
        <v>121.26385161420062</v>
      </c>
      <c r="AW198" s="1044">
        <f>AR198*(1+AW199)</f>
        <v>145.69689152631179</v>
      </c>
      <c r="AX198" s="1044">
        <f>AS198*(1+AX199)</f>
        <v>82.181276556225839</v>
      </c>
      <c r="AY198" s="1045">
        <f>SUM(AU198:AX198)</f>
        <v>413.05284434053334</v>
      </c>
      <c r="AZ198" s="1044">
        <f>AU198*(1+AZ199)</f>
        <v>76.692989572554097</v>
      </c>
      <c r="BA198" s="1044">
        <f>AV198*(1+BA199)</f>
        <v>118.23225532384561</v>
      </c>
      <c r="BB198" s="1044">
        <f>AW198*(1+BB199)</f>
        <v>157.35264284841674</v>
      </c>
      <c r="BC198" s="1044">
        <f>AX198*(1+BC199)</f>
        <v>86.290340384037137</v>
      </c>
      <c r="BD198" s="1045">
        <f>SUM(AZ198:BC198)</f>
        <v>438.56822812885355</v>
      </c>
      <c r="BE198" s="2881"/>
      <c r="BF198" s="2881"/>
      <c r="BG198" s="2881"/>
      <c r="BH198" s="2881"/>
      <c r="BI198" s="2963"/>
      <c r="BJ198" s="2964"/>
      <c r="BK198" s="2964"/>
      <c r="BL198" s="2964"/>
      <c r="BM198" s="2964"/>
      <c r="BN198" s="2963"/>
      <c r="BO198" s="2964"/>
      <c r="BP198" s="2964"/>
      <c r="BQ198" s="2964"/>
      <c r="BR198" s="2964"/>
      <c r="BS198" s="2963"/>
      <c r="BT198" s="1525"/>
      <c r="BU198" s="1193"/>
      <c r="BV198" s="1193"/>
      <c r="BW198" s="1193">
        <f>SUM(AM198:AN198,AP198:AQ198)</f>
        <v>477.22855733955959</v>
      </c>
      <c r="BX198" s="1193">
        <f>SUM(AR198:AS198,AU198:AV198)</f>
        <v>425.04643213435111</v>
      </c>
      <c r="BY198" s="1193">
        <f>SUM(AW198:AX198,AZ198:BA198)</f>
        <v>422.80341297893733</v>
      </c>
      <c r="BZ198" s="1193">
        <f>SUM(BB198:BC198,BE198:BF198)</f>
        <v>243.64298323245387</v>
      </c>
      <c r="CA198" s="1193"/>
      <c r="CB198" s="1193"/>
    </row>
    <row r="199" spans="1:90" s="1022" customFormat="1" outlineLevel="1">
      <c r="A199" s="1452" t="s">
        <v>926</v>
      </c>
      <c r="B199" s="1453"/>
      <c r="C199" s="1453"/>
      <c r="D199" s="1453"/>
      <c r="E199" s="1453"/>
      <c r="F199" s="1454"/>
      <c r="G199" s="1453"/>
      <c r="H199" s="1453"/>
      <c r="I199" s="1453"/>
      <c r="J199" s="1453"/>
      <c r="K199" s="1454"/>
      <c r="L199" s="1453"/>
      <c r="M199" s="1453"/>
      <c r="N199" s="1453"/>
      <c r="O199" s="1453"/>
      <c r="P199" s="1454"/>
      <c r="Q199" s="1453"/>
      <c r="R199" s="1453"/>
      <c r="S199" s="1453"/>
      <c r="T199" s="1453"/>
      <c r="U199" s="1454"/>
      <c r="V199" s="1453"/>
      <c r="W199" s="1453"/>
      <c r="X199" s="1453"/>
      <c r="Y199" s="1453"/>
      <c r="Z199" s="1454"/>
      <c r="AA199" s="1453"/>
      <c r="AB199" s="1453"/>
      <c r="AC199" s="1453"/>
      <c r="AD199" s="1453"/>
      <c r="AE199" s="1454"/>
      <c r="AF199" s="1446"/>
      <c r="AG199" s="1453"/>
      <c r="AH199" s="1453"/>
      <c r="AI199" s="1453"/>
      <c r="AJ199" s="1443"/>
      <c r="AK199" s="1442">
        <f t="shared" ref="AK199:AS199" si="148">IF(ISERROR(AK198/AF198-1),,(AK198/AF198-1))</f>
        <v>0</v>
      </c>
      <c r="AL199" s="1442">
        <f t="shared" si="148"/>
        <v>0</v>
      </c>
      <c r="AM199" s="1442">
        <f t="shared" si="148"/>
        <v>0</v>
      </c>
      <c r="AN199" s="1442">
        <f t="shared" si="148"/>
        <v>0</v>
      </c>
      <c r="AO199" s="1443">
        <f t="shared" si="148"/>
        <v>0</v>
      </c>
      <c r="AP199" s="1442">
        <f t="shared" si="148"/>
        <v>-0.37680015191143668</v>
      </c>
      <c r="AQ199" s="1442">
        <f t="shared" si="148"/>
        <v>-0.3508644350519905</v>
      </c>
      <c r="AR199" s="1442">
        <f t="shared" si="148"/>
        <v>0.29871343161255282</v>
      </c>
      <c r="AS199" s="1442">
        <f t="shared" si="148"/>
        <v>-0.50109109329130352</v>
      </c>
      <c r="AT199" s="1443">
        <f>IF(ISERROR(AT198/AO198-1),,(AT198/AO198-1))</f>
        <v>-0.26788079376438723</v>
      </c>
      <c r="AU199" s="1442">
        <v>0.1</v>
      </c>
      <c r="AV199" s="1442">
        <v>-0.05</v>
      </c>
      <c r="AW199" s="1442">
        <v>-0.05</v>
      </c>
      <c r="AX199" s="1442">
        <v>-0.05</v>
      </c>
      <c r="AY199" s="1443">
        <f>IF(ISERROR(AY198/AT198-1),,(AY198/AT198-1))</f>
        <v>-2.9523660109153527E-2</v>
      </c>
      <c r="AZ199" s="1442">
        <v>0.2</v>
      </c>
      <c r="BA199" s="1442">
        <v>-2.5000000000000001E-2</v>
      </c>
      <c r="BB199" s="1455">
        <v>0.08</v>
      </c>
      <c r="BC199" s="1455">
        <v>0.05</v>
      </c>
      <c r="BD199" s="1443">
        <f>IF(ISERROR(BD198/AY198-1),,(BD198/AY198-1))</f>
        <v>6.177268632311983E-2</v>
      </c>
      <c r="BE199" s="2870"/>
      <c r="BF199" s="2870"/>
      <c r="BG199" s="2870"/>
      <c r="BH199" s="2870"/>
      <c r="BI199" s="2942"/>
      <c r="BJ199" s="2947"/>
      <c r="BK199" s="2947"/>
      <c r="BL199" s="2947"/>
      <c r="BM199" s="2947"/>
      <c r="BN199" s="2942"/>
      <c r="BO199" s="2947"/>
      <c r="BP199" s="2947"/>
      <c r="BQ199" s="2947"/>
      <c r="BR199" s="2947"/>
      <c r="BS199" s="2942"/>
      <c r="BT199" s="1438"/>
      <c r="BU199" s="1443"/>
      <c r="BV199" s="1443"/>
      <c r="BW199" s="1443"/>
      <c r="BX199" s="1443"/>
      <c r="BY199" s="1443"/>
      <c r="BZ199" s="1443"/>
      <c r="CA199" s="1443"/>
      <c r="CB199" s="1443"/>
    </row>
    <row r="200" spans="1:90" s="1011" customFormat="1" outlineLevel="1">
      <c r="A200" s="1013" t="str">
        <f>A296</f>
        <v>Windows Phone Licensing and IP</v>
      </c>
      <c r="B200" s="1015"/>
      <c r="C200" s="1015"/>
      <c r="D200" s="1015"/>
      <c r="E200" s="1015"/>
      <c r="F200" s="1014"/>
      <c r="G200" s="1015"/>
      <c r="H200" s="1015"/>
      <c r="I200" s="1015"/>
      <c r="J200" s="1015"/>
      <c r="K200" s="1014"/>
      <c r="L200" s="1015"/>
      <c r="M200" s="1015"/>
      <c r="N200" s="1015"/>
      <c r="O200" s="1015"/>
      <c r="P200" s="1014"/>
      <c r="Q200" s="1015"/>
      <c r="R200" s="1015"/>
      <c r="S200" s="1015"/>
      <c r="T200" s="1015"/>
      <c r="U200" s="1014"/>
      <c r="V200" s="1015"/>
      <c r="W200" s="1015"/>
      <c r="X200" s="1015"/>
      <c r="Y200" s="1015"/>
      <c r="Z200" s="1014"/>
      <c r="AA200" s="1015"/>
      <c r="AB200" s="1015"/>
      <c r="AC200" s="1015"/>
      <c r="AD200" s="1015"/>
      <c r="AE200" s="1014"/>
      <c r="AF200" s="1015"/>
      <c r="AG200" s="1015"/>
      <c r="AH200" s="1015"/>
      <c r="AI200" s="1015"/>
      <c r="AJ200" s="1014"/>
      <c r="AK200" s="1015">
        <v>466.14861873265909</v>
      </c>
      <c r="AL200" s="1015">
        <v>983.20109455194324</v>
      </c>
      <c r="AM200" s="1015">
        <v>590.45030736549234</v>
      </c>
      <c r="AN200" s="1015">
        <v>866.95793298194167</v>
      </c>
      <c r="AO200" s="1014">
        <f>SUM(AK200:AN200)</f>
        <v>2906.7579536320363</v>
      </c>
      <c r="AP200" s="1015">
        <v>174.30224902853206</v>
      </c>
      <c r="AQ200" s="1015">
        <v>382.93847878168617</v>
      </c>
      <c r="AR200" s="1015">
        <v>460.09544692519512</v>
      </c>
      <c r="AS200" s="1015">
        <v>259.51982070387112</v>
      </c>
      <c r="AT200" s="1014">
        <f>SUM(AP200:AS200)</f>
        <v>1276.8559954392845</v>
      </c>
      <c r="AU200" s="1015">
        <f t="shared" ref="AU200:BC200" si="149">AU198*AU197</f>
        <v>191.73247393138527</v>
      </c>
      <c r="AV200" s="1015">
        <f t="shared" si="149"/>
        <v>351.66516968118179</v>
      </c>
      <c r="AW200" s="1015">
        <f t="shared" si="149"/>
        <v>401.39493615498895</v>
      </c>
      <c r="AX200" s="1015">
        <f t="shared" si="149"/>
        <v>215.08894606678206</v>
      </c>
      <c r="AY200" s="1014">
        <f>SUM(AU200:AX200)</f>
        <v>1159.8815258343382</v>
      </c>
      <c r="AZ200" s="1015">
        <f t="shared" si="149"/>
        <v>220.79719965464395</v>
      </c>
      <c r="BA200" s="1015">
        <f t="shared" si="149"/>
        <v>323.36832190741995</v>
      </c>
      <c r="BB200" s="1015">
        <f t="shared" si="149"/>
        <v>387.32724782756509</v>
      </c>
      <c r="BC200" s="1015">
        <f t="shared" si="149"/>
        <v>212.40571146459897</v>
      </c>
      <c r="BD200" s="1014">
        <f>SUM(AZ200:BC200)</f>
        <v>1143.898480854228</v>
      </c>
      <c r="BE200" s="2883"/>
      <c r="BF200" s="2883"/>
      <c r="BG200" s="2883"/>
      <c r="BH200" s="2883"/>
      <c r="BI200" s="2967"/>
      <c r="BJ200" s="2968"/>
      <c r="BK200" s="2968"/>
      <c r="BL200" s="2968"/>
      <c r="BM200" s="2968"/>
      <c r="BN200" s="2967"/>
      <c r="BO200" s="2968"/>
      <c r="BP200" s="2968"/>
      <c r="BQ200" s="2968"/>
      <c r="BR200" s="2968"/>
      <c r="BS200" s="2967"/>
      <c r="BT200" s="1523"/>
      <c r="BU200" s="1014"/>
      <c r="BV200" s="1014"/>
      <c r="BW200" s="1014">
        <f>SUM(AM200:AN200,AP200:AQ200)</f>
        <v>2014.6489681576522</v>
      </c>
      <c r="BX200" s="1014">
        <f>SUM(AR200:AS200,AU200:AV200)</f>
        <v>1263.0129112416332</v>
      </c>
      <c r="BY200" s="1014">
        <f>SUM(AW200:AX200,AZ200:BA200)</f>
        <v>1160.6494037838347</v>
      </c>
      <c r="BZ200" s="1014">
        <f>SUM(BB200:BC200,BE200:BF200)</f>
        <v>599.73295929216408</v>
      </c>
      <c r="CA200" s="1014"/>
      <c r="CB200" s="1014"/>
    </row>
    <row r="201" spans="1:90" s="1022" customFormat="1" outlineLevel="1">
      <c r="A201" s="1452" t="s">
        <v>926</v>
      </c>
      <c r="B201" s="1453"/>
      <c r="C201" s="1453"/>
      <c r="D201" s="1453"/>
      <c r="E201" s="1453"/>
      <c r="F201" s="1454"/>
      <c r="G201" s="1453"/>
      <c r="H201" s="1453"/>
      <c r="I201" s="1453"/>
      <c r="J201" s="1453"/>
      <c r="K201" s="1454"/>
      <c r="L201" s="1453"/>
      <c r="M201" s="1453"/>
      <c r="N201" s="1453"/>
      <c r="O201" s="1453"/>
      <c r="P201" s="1454"/>
      <c r="Q201" s="1453"/>
      <c r="R201" s="1453"/>
      <c r="S201" s="1453"/>
      <c r="T201" s="1453"/>
      <c r="U201" s="1454"/>
      <c r="V201" s="1453"/>
      <c r="W201" s="1453"/>
      <c r="X201" s="1453"/>
      <c r="Y201" s="1453"/>
      <c r="Z201" s="1454"/>
      <c r="AA201" s="1453"/>
      <c r="AB201" s="1453"/>
      <c r="AC201" s="1453"/>
      <c r="AD201" s="1453"/>
      <c r="AE201" s="1454"/>
      <c r="AF201" s="1446"/>
      <c r="AG201" s="1453"/>
      <c r="AH201" s="1453"/>
      <c r="AI201" s="1453"/>
      <c r="AJ201" s="1443"/>
      <c r="AK201" s="1442">
        <f t="shared" ref="AK201:BD201" si="150">IF(ISERROR(AK200/AF200-1),,(AK200/AF200-1))</f>
        <v>0</v>
      </c>
      <c r="AL201" s="1442">
        <f t="shared" si="150"/>
        <v>0</v>
      </c>
      <c r="AM201" s="1442">
        <f t="shared" si="150"/>
        <v>0</v>
      </c>
      <c r="AN201" s="1442">
        <f t="shared" si="150"/>
        <v>0</v>
      </c>
      <c r="AO201" s="1443">
        <f t="shared" si="150"/>
        <v>0</v>
      </c>
      <c r="AP201" s="1442">
        <f t="shared" si="150"/>
        <v>-0.62608009114686203</v>
      </c>
      <c r="AQ201" s="1442">
        <f t="shared" si="150"/>
        <v>-0.61051866103119434</v>
      </c>
      <c r="AR201" s="1442">
        <f t="shared" si="150"/>
        <v>-0.22077194103246822</v>
      </c>
      <c r="AS201" s="1442">
        <f t="shared" si="150"/>
        <v>-0.70065465597478216</v>
      </c>
      <c r="AT201" s="1443">
        <f t="shared" si="150"/>
        <v>-0.56072847625863231</v>
      </c>
      <c r="AU201" s="1442">
        <f t="shared" si="150"/>
        <v>0.10000000000000009</v>
      </c>
      <c r="AV201" s="1442">
        <f t="shared" si="150"/>
        <v>-8.1666666666666665E-2</v>
      </c>
      <c r="AW201" s="1442">
        <f t="shared" si="150"/>
        <v>-0.12758333333333338</v>
      </c>
      <c r="AX201" s="1442">
        <f t="shared" si="150"/>
        <v>-0.17120416666666693</v>
      </c>
      <c r="AY201" s="1443">
        <f t="shared" si="150"/>
        <v>-9.1611325022367018E-2</v>
      </c>
      <c r="AZ201" s="1442">
        <f t="shared" si="150"/>
        <v>0.15158999999999989</v>
      </c>
      <c r="BA201" s="1442">
        <f t="shared" si="150"/>
        <v>-8.0465312500000108E-2</v>
      </c>
      <c r="BB201" s="1442">
        <f t="shared" si="150"/>
        <v>-3.5046999999999939E-2</v>
      </c>
      <c r="BC201" s="1442">
        <f t="shared" si="150"/>
        <v>-1.2474999999999903E-2</v>
      </c>
      <c r="BD201" s="1443">
        <f t="shared" si="150"/>
        <v>-1.3779894432419004E-2</v>
      </c>
      <c r="BE201" s="2866"/>
      <c r="BF201" s="2866"/>
      <c r="BG201" s="2866"/>
      <c r="BH201" s="2866"/>
      <c r="BI201" s="2942"/>
      <c r="BJ201" s="2943"/>
      <c r="BK201" s="2943"/>
      <c r="BL201" s="2943"/>
      <c r="BM201" s="2943"/>
      <c r="BN201" s="2942"/>
      <c r="BO201" s="2943"/>
      <c r="BP201" s="2943"/>
      <c r="BQ201" s="2943"/>
      <c r="BR201" s="2943"/>
      <c r="BS201" s="2942"/>
      <c r="BT201" s="1438"/>
      <c r="BU201" s="1443"/>
      <c r="BV201" s="1443"/>
      <c r="BW201" s="1443"/>
      <c r="BX201" s="1443"/>
      <c r="BY201" s="1443"/>
      <c r="BZ201" s="1443"/>
      <c r="CA201" s="1443"/>
      <c r="CB201" s="1443"/>
    </row>
    <row r="202" spans="1:90" s="1022" customFormat="1" outlineLevel="1">
      <c r="A202" s="1452"/>
      <c r="B202" s="1453"/>
      <c r="C202" s="1453"/>
      <c r="D202" s="1453"/>
      <c r="E202" s="1453"/>
      <c r="F202" s="1453"/>
      <c r="G202" s="1453"/>
      <c r="H202" s="1453"/>
      <c r="I202" s="1453"/>
      <c r="J202" s="1453"/>
      <c r="K202" s="1453"/>
      <c r="L202" s="1453"/>
      <c r="M202" s="1453"/>
      <c r="N202" s="1453"/>
      <c r="O202" s="1453"/>
      <c r="P202" s="1453"/>
      <c r="Q202" s="1453"/>
      <c r="R202" s="1453"/>
      <c r="S202" s="1453"/>
      <c r="T202" s="1453"/>
      <c r="U202" s="1453"/>
      <c r="V202" s="1453"/>
      <c r="W202" s="1453"/>
      <c r="X202" s="1453"/>
      <c r="Y202" s="1453"/>
      <c r="Z202" s="1453"/>
      <c r="AA202" s="1453"/>
      <c r="AB202" s="1453"/>
      <c r="AC202" s="1453"/>
      <c r="AD202" s="1453"/>
      <c r="AE202" s="1453"/>
      <c r="AF202" s="1446"/>
      <c r="AG202" s="1453"/>
      <c r="AH202" s="1453"/>
      <c r="AI202" s="1453"/>
      <c r="AJ202" s="1443"/>
      <c r="AK202" s="1442"/>
      <c r="AL202" s="1442"/>
      <c r="AM202" s="1442"/>
      <c r="AN202" s="1442"/>
      <c r="AO202" s="1443"/>
      <c r="AP202" s="1442"/>
      <c r="AQ202" s="1442"/>
      <c r="AR202" s="1442"/>
      <c r="AS202" s="1442"/>
      <c r="AT202" s="1443"/>
      <c r="AU202" s="1442"/>
      <c r="AV202" s="1442"/>
      <c r="AW202" s="1442"/>
      <c r="AX202" s="1442"/>
      <c r="AY202" s="1443"/>
      <c r="AZ202" s="1442"/>
      <c r="BA202" s="1442"/>
      <c r="BB202" s="1442"/>
      <c r="BC202" s="1442"/>
      <c r="BD202" s="1443"/>
      <c r="BE202" s="2866"/>
      <c r="BF202" s="2866"/>
      <c r="BG202" s="2866"/>
      <c r="BH202" s="2866"/>
      <c r="BI202" s="2942"/>
      <c r="BJ202" s="2943"/>
      <c r="BK202" s="2943"/>
      <c r="BL202" s="2943"/>
      <c r="BM202" s="2943"/>
      <c r="BN202" s="2942"/>
      <c r="BO202" s="2943"/>
      <c r="BP202" s="2943"/>
      <c r="BQ202" s="2943"/>
      <c r="BR202" s="2943"/>
      <c r="BS202" s="2942"/>
      <c r="BT202" s="1438"/>
      <c r="BU202" s="1443"/>
      <c r="BV202" s="1443"/>
      <c r="BW202" s="1443"/>
      <c r="BX202" s="1443"/>
      <c r="BY202" s="1443"/>
      <c r="BZ202" s="1443"/>
      <c r="CA202" s="1443"/>
      <c r="CB202" s="1443"/>
    </row>
    <row r="203" spans="1:90" s="1022" customFormat="1" outlineLevel="1">
      <c r="A203" s="1175" t="s">
        <v>1156</v>
      </c>
      <c r="B203" s="1345"/>
      <c r="C203" s="1345"/>
      <c r="D203" s="1345"/>
      <c r="E203" s="1345"/>
      <c r="F203" s="1346"/>
      <c r="G203" s="1345"/>
      <c r="H203" s="1345"/>
      <c r="I203" s="1345"/>
      <c r="J203" s="1345"/>
      <c r="K203" s="1346"/>
      <c r="L203" s="1345"/>
      <c r="M203" s="1345"/>
      <c r="N203" s="1345"/>
      <c r="O203" s="1345"/>
      <c r="P203" s="1346"/>
      <c r="Q203" s="1345"/>
      <c r="R203" s="1345"/>
      <c r="S203" s="1345"/>
      <c r="T203" s="1345"/>
      <c r="U203" s="1346"/>
      <c r="V203" s="1345"/>
      <c r="W203" s="1345"/>
      <c r="X203" s="1345"/>
      <c r="Y203" s="1345"/>
      <c r="Z203" s="1346"/>
      <c r="AA203" s="1345"/>
      <c r="AB203" s="1345"/>
      <c r="AC203" s="1345"/>
      <c r="AD203" s="1345"/>
      <c r="AE203" s="1346"/>
      <c r="AF203" s="1347"/>
      <c r="AG203" s="1347"/>
      <c r="AH203" s="1347"/>
      <c r="AI203" s="1347"/>
      <c r="AJ203" s="1346"/>
      <c r="AK203" s="1002">
        <v>171.74503914940232</v>
      </c>
      <c r="AL203" s="1002">
        <v>398.51053137931035</v>
      </c>
      <c r="AM203" s="1002">
        <v>130.98399150562028</v>
      </c>
      <c r="AN203" s="1002">
        <v>128.06852942708335</v>
      </c>
      <c r="AO203" s="1010">
        <f>SUM(AK203:AN203)</f>
        <v>829.30809146141632</v>
      </c>
      <c r="AP203" s="1001">
        <v>189.85775500063491</v>
      </c>
      <c r="AQ203" s="1001">
        <v>440.54693227413782</v>
      </c>
      <c r="AR203" s="1001">
        <v>175.85790677876668</v>
      </c>
      <c r="AS203" s="1001">
        <v>109.19004766666649</v>
      </c>
      <c r="AT203" s="1010">
        <f>SUM(AP203:AS203)</f>
        <v>915.45264172020597</v>
      </c>
      <c r="AU203" s="1001">
        <f>AP203*(1+AU204)</f>
        <v>208.84353050069842</v>
      </c>
      <c r="AV203" s="1001">
        <f>AQ203*(1+AV204)</f>
        <v>484.60162550155161</v>
      </c>
      <c r="AW203" s="1001">
        <f>AR203*(1+AW204)</f>
        <v>193.44369745664335</v>
      </c>
      <c r="AX203" s="1001">
        <f>AS203*(1+AX204)</f>
        <v>111.37384861999982</v>
      </c>
      <c r="AY203" s="1010">
        <f>SUM(AU203:AX203)</f>
        <v>998.2627020788932</v>
      </c>
      <c r="AZ203" s="1001">
        <f>AU203*(1+AZ204)</f>
        <v>208.84353050069842</v>
      </c>
      <c r="BA203" s="1001">
        <f>AV203*(1+BA204)</f>
        <v>513.67772303164475</v>
      </c>
      <c r="BB203" s="1002">
        <f>AW203*(1+BB204)</f>
        <v>203.11588232947554</v>
      </c>
      <c r="BC203" s="1002">
        <f>AX203*(1+BC204)</f>
        <v>116.94254105099982</v>
      </c>
      <c r="BD203" s="1010">
        <f>SUM(AZ203:BC203)</f>
        <v>1042.5796769128185</v>
      </c>
      <c r="BE203" s="2878"/>
      <c r="BF203" s="2878"/>
      <c r="BG203" s="2878"/>
      <c r="BH203" s="2878"/>
      <c r="BI203" s="2958"/>
      <c r="BJ203" s="2959"/>
      <c r="BK203" s="2959"/>
      <c r="BL203" s="2959"/>
      <c r="BM203" s="2959"/>
      <c r="BN203" s="2958"/>
      <c r="BO203" s="2959"/>
      <c r="BP203" s="2959"/>
      <c r="BQ203" s="2959"/>
      <c r="BR203" s="2959"/>
      <c r="BS203" s="2958"/>
      <c r="BT203" s="1438"/>
      <c r="BU203" s="1443"/>
      <c r="BV203" s="1443"/>
      <c r="BW203" s="1443"/>
      <c r="BX203" s="1443"/>
      <c r="BY203" s="1443"/>
      <c r="BZ203" s="1443"/>
      <c r="CA203" s="1443"/>
      <c r="CB203" s="1443"/>
    </row>
    <row r="204" spans="1:90" s="1022" customFormat="1" outlineLevel="1">
      <c r="A204" s="1456" t="s">
        <v>926</v>
      </c>
      <c r="B204" s="1453"/>
      <c r="C204" s="1453"/>
      <c r="D204" s="1453"/>
      <c r="E204" s="1453"/>
      <c r="F204" s="1454"/>
      <c r="G204" s="1453"/>
      <c r="H204" s="1453"/>
      <c r="I204" s="1453"/>
      <c r="J204" s="1453"/>
      <c r="K204" s="1454"/>
      <c r="L204" s="1453"/>
      <c r="M204" s="1453"/>
      <c r="N204" s="1453"/>
      <c r="O204" s="1453"/>
      <c r="P204" s="1454"/>
      <c r="Q204" s="1453"/>
      <c r="R204" s="1453"/>
      <c r="S204" s="1453"/>
      <c r="T204" s="1453"/>
      <c r="U204" s="1454"/>
      <c r="V204" s="1453"/>
      <c r="W204" s="1453"/>
      <c r="X204" s="1453"/>
      <c r="Y204" s="1453"/>
      <c r="Z204" s="1454"/>
      <c r="AA204" s="1453"/>
      <c r="AB204" s="1453"/>
      <c r="AC204" s="1453"/>
      <c r="AD204" s="1453"/>
      <c r="AE204" s="1454"/>
      <c r="AF204" s="1446"/>
      <c r="AG204" s="1453"/>
      <c r="AH204" s="1453"/>
      <c r="AI204" s="1453"/>
      <c r="AJ204" s="1443"/>
      <c r="AK204" s="1442"/>
      <c r="AL204" s="1442"/>
      <c r="AM204" s="1442"/>
      <c r="AN204" s="1442"/>
      <c r="AO204" s="1443"/>
      <c r="AP204" s="1442">
        <f>IF(ISERROR(AP203/AK203-1),,(AP203/AK203-1))</f>
        <v>0.10546281826211112</v>
      </c>
      <c r="AQ204" s="1442">
        <f>IF(ISERROR(AQ203/AL203-1),,(AQ203/AL203-1))</f>
        <v>0.10548378922216339</v>
      </c>
      <c r="AR204" s="1442">
        <f>IF(ISERROR(AR203/AM203-1),,(AR203/AM203-1))</f>
        <v>0.34259083692086856</v>
      </c>
      <c r="AS204" s="1442">
        <f>IF(ISERROR(AS203/AN203-1),,(AS203/AN203-1))</f>
        <v>-0.14740921789974526</v>
      </c>
      <c r="AT204" s="1443">
        <f>IF(ISERROR(AT203/AO203-1),,(AT203/AO203-1))</f>
        <v>0.10387520771319703</v>
      </c>
      <c r="AU204" s="1442">
        <v>0.1</v>
      </c>
      <c r="AV204" s="1442">
        <v>0.1</v>
      </c>
      <c r="AW204" s="1442">
        <v>0.1</v>
      </c>
      <c r="AX204" s="1442">
        <v>0.02</v>
      </c>
      <c r="AY204" s="1443">
        <f>IF(ISERROR(AY203/AT203-1),,(AY203/AT203-1))</f>
        <v>9.0458049477120772E-2</v>
      </c>
      <c r="AZ204" s="1442">
        <v>0</v>
      </c>
      <c r="BA204" s="1442">
        <v>0.06</v>
      </c>
      <c r="BB204" s="1455">
        <v>0.05</v>
      </c>
      <c r="BC204" s="1455">
        <v>0.05</v>
      </c>
      <c r="BD204" s="1443">
        <f>IF(ISERROR(BD203/AY203-1),,(BD203/AY203-1))</f>
        <v>4.4394100612628939E-2</v>
      </c>
      <c r="BE204" s="2870"/>
      <c r="BF204" s="2870"/>
      <c r="BG204" s="2870"/>
      <c r="BH204" s="2870"/>
      <c r="BI204" s="2942"/>
      <c r="BJ204" s="2947"/>
      <c r="BK204" s="2947"/>
      <c r="BL204" s="2947"/>
      <c r="BM204" s="2947"/>
      <c r="BN204" s="2942"/>
      <c r="BO204" s="2947"/>
      <c r="BP204" s="2947"/>
      <c r="BQ204" s="2947"/>
      <c r="BR204" s="2947"/>
      <c r="BS204" s="2942"/>
      <c r="BT204" s="1438"/>
      <c r="BU204" s="1443"/>
      <c r="BV204" s="1443"/>
      <c r="BW204" s="1443"/>
      <c r="BX204" s="1443"/>
      <c r="BY204" s="1443"/>
      <c r="BZ204" s="1443"/>
      <c r="CA204" s="1443"/>
      <c r="CB204" s="1443"/>
    </row>
    <row r="205" spans="1:90" s="1022" customFormat="1" outlineLevel="1">
      <c r="A205" s="1013" t="s">
        <v>1157</v>
      </c>
      <c r="B205" s="1015"/>
      <c r="C205" s="1015"/>
      <c r="D205" s="1015"/>
      <c r="E205" s="1015"/>
      <c r="F205" s="1014"/>
      <c r="G205" s="1015"/>
      <c r="H205" s="1015"/>
      <c r="I205" s="1015"/>
      <c r="J205" s="1015"/>
      <c r="K205" s="1014"/>
      <c r="L205" s="1015"/>
      <c r="M205" s="1015"/>
      <c r="N205" s="1015"/>
      <c r="O205" s="1015"/>
      <c r="P205" s="1014"/>
      <c r="Q205" s="1015"/>
      <c r="R205" s="1015"/>
      <c r="S205" s="1015"/>
      <c r="T205" s="1015"/>
      <c r="U205" s="1014"/>
      <c r="V205" s="1015"/>
      <c r="W205" s="1015"/>
      <c r="X205" s="1015"/>
      <c r="Y205" s="1015"/>
      <c r="Z205" s="1014"/>
      <c r="AA205" s="1015"/>
      <c r="AB205" s="1015"/>
      <c r="AC205" s="1015"/>
      <c r="AD205" s="1015"/>
      <c r="AE205" s="1014"/>
      <c r="AF205" s="1015"/>
      <c r="AG205" s="1015"/>
      <c r="AH205" s="1015"/>
      <c r="AI205" s="1015"/>
      <c r="AJ205" s="1014"/>
      <c r="AK205" s="1015">
        <f>AK203+AK200</f>
        <v>637.89365788206146</v>
      </c>
      <c r="AL205" s="1015">
        <f>AL203+AL200</f>
        <v>1381.7116259312536</v>
      </c>
      <c r="AM205" s="1015">
        <f>AM203+AM200</f>
        <v>721.43429887111256</v>
      </c>
      <c r="AN205" s="1015">
        <f>AN203+AN200</f>
        <v>995.02646240902504</v>
      </c>
      <c r="AO205" s="1014">
        <f>SUM(AK205:AN205)</f>
        <v>3736.0660450934529</v>
      </c>
      <c r="AP205" s="1015">
        <f>AP203+AP200</f>
        <v>364.160004029167</v>
      </c>
      <c r="AQ205" s="1015">
        <f>AQ203+AQ200</f>
        <v>823.48541105582399</v>
      </c>
      <c r="AR205" s="1015">
        <f>AR203+AR200</f>
        <v>635.95335370396174</v>
      </c>
      <c r="AS205" s="1015">
        <f>AS203+AS200</f>
        <v>368.70986837053761</v>
      </c>
      <c r="AT205" s="1014">
        <f>SUM(AP205:AS205)</f>
        <v>2192.30863715949</v>
      </c>
      <c r="AU205" s="1015">
        <f>AU203+AU200</f>
        <v>400.57600443208366</v>
      </c>
      <c r="AV205" s="1015">
        <f>AV203+AV200</f>
        <v>836.2667951827334</v>
      </c>
      <c r="AW205" s="1015">
        <f>AW203+AW200</f>
        <v>594.8386336116323</v>
      </c>
      <c r="AX205" s="1015">
        <f>AX203+AX200</f>
        <v>326.46279468678188</v>
      </c>
      <c r="AY205" s="1014">
        <f>SUM(AU205:AX205)</f>
        <v>2158.1442279132311</v>
      </c>
      <c r="AZ205" s="1015">
        <f>AZ203+AZ200</f>
        <v>429.64073015534234</v>
      </c>
      <c r="BA205" s="1015">
        <f>BA203+BA200</f>
        <v>837.0460449390647</v>
      </c>
      <c r="BB205" s="1015">
        <f>BB203+BB200</f>
        <v>590.44313015704063</v>
      </c>
      <c r="BC205" s="1015">
        <f>BC203+BC200</f>
        <v>329.3482525155988</v>
      </c>
      <c r="BD205" s="1014">
        <f>SUM(AZ205:BC205)</f>
        <v>2186.4781577670465</v>
      </c>
      <c r="BE205" s="2883"/>
      <c r="BF205" s="2883"/>
      <c r="BG205" s="2883"/>
      <c r="BH205" s="2883"/>
      <c r="BI205" s="2967"/>
      <c r="BJ205" s="2968"/>
      <c r="BK205" s="2968"/>
      <c r="BL205" s="2968"/>
      <c r="BM205" s="2968"/>
      <c r="BN205" s="2967"/>
      <c r="BO205" s="2968"/>
      <c r="BP205" s="2968"/>
      <c r="BQ205" s="2968"/>
      <c r="BR205" s="2968"/>
      <c r="BS205" s="2967"/>
      <c r="BT205" s="1438"/>
      <c r="BU205" s="1443"/>
      <c r="BV205" s="1443"/>
      <c r="BW205" s="1443"/>
      <c r="BX205" s="1443"/>
      <c r="BY205" s="1443"/>
      <c r="BZ205" s="1443"/>
      <c r="CA205" s="1443"/>
      <c r="CB205" s="1443"/>
    </row>
    <row r="206" spans="1:90" s="1022" customFormat="1" outlineLevel="1">
      <c r="A206" s="1094"/>
      <c r="B206" s="2526"/>
      <c r="C206" s="2526"/>
      <c r="D206" s="2526"/>
      <c r="E206" s="2526"/>
      <c r="F206" s="2526"/>
      <c r="G206" s="2526"/>
      <c r="H206" s="2526"/>
      <c r="I206" s="2526"/>
      <c r="J206" s="2526"/>
      <c r="K206" s="2526"/>
      <c r="L206" s="2526"/>
      <c r="M206" s="2526"/>
      <c r="N206" s="2526"/>
      <c r="O206" s="2526"/>
      <c r="P206" s="2526"/>
      <c r="Q206" s="2526"/>
      <c r="R206" s="2526"/>
      <c r="S206" s="2526"/>
      <c r="T206" s="2526"/>
      <c r="U206" s="2526"/>
      <c r="V206" s="2526"/>
      <c r="W206" s="2526"/>
      <c r="X206" s="2526"/>
      <c r="Y206" s="2526"/>
      <c r="Z206" s="2526"/>
      <c r="AA206" s="2526"/>
      <c r="AB206" s="2526"/>
      <c r="AC206" s="2526"/>
      <c r="AD206" s="2526"/>
      <c r="AE206" s="2526"/>
      <c r="AF206" s="2526"/>
      <c r="AG206" s="2526"/>
      <c r="AH206" s="2526"/>
      <c r="AI206" s="2526"/>
      <c r="AJ206" s="2527"/>
      <c r="AK206" s="2526"/>
      <c r="AL206" s="2526"/>
      <c r="AM206" s="2526"/>
      <c r="AN206" s="2526"/>
      <c r="AO206" s="2527"/>
      <c r="AP206" s="1442">
        <f t="shared" ref="AP206:BD206" si="151">IF(ISERROR(AP205/AK205-1),,(AP205/AK205-1))</f>
        <v>-0.42912114028809545</v>
      </c>
      <c r="AQ206" s="1442">
        <f t="shared" si="151"/>
        <v>-0.40401065200503994</v>
      </c>
      <c r="AR206" s="1442">
        <f t="shared" si="151"/>
        <v>-0.11848749816984006</v>
      </c>
      <c r="AS206" s="1442">
        <f t="shared" si="151"/>
        <v>-0.62944717321601018</v>
      </c>
      <c r="AT206" s="1443">
        <f t="shared" si="151"/>
        <v>-0.41320399299722443</v>
      </c>
      <c r="AU206" s="1442">
        <f t="shared" si="151"/>
        <v>9.9999999999999867E-2</v>
      </c>
      <c r="AV206" s="1442">
        <f t="shared" si="151"/>
        <v>1.5521081436672857E-2</v>
      </c>
      <c r="AW206" s="1442">
        <f t="shared" si="151"/>
        <v>-6.4650527987416662E-2</v>
      </c>
      <c r="AX206" s="1442">
        <f t="shared" si="151"/>
        <v>-0.11458080541879945</v>
      </c>
      <c r="AY206" s="1443">
        <f t="shared" si="151"/>
        <v>-1.5583758904733735E-2</v>
      </c>
      <c r="AZ206" s="1442">
        <f t="shared" si="151"/>
        <v>7.2557330947631726E-2</v>
      </c>
      <c r="BA206" s="1442">
        <f t="shared" si="151"/>
        <v>9.318195590450884E-4</v>
      </c>
      <c r="BB206" s="1442">
        <f t="shared" si="151"/>
        <v>-7.3894048002629553E-3</v>
      </c>
      <c r="BC206" s="1442">
        <f t="shared" si="151"/>
        <v>8.8385502905019564E-3</v>
      </c>
      <c r="BD206" s="1443">
        <f t="shared" si="151"/>
        <v>1.3128839809382065E-2</v>
      </c>
      <c r="BE206" s="2866"/>
      <c r="BF206" s="2866"/>
      <c r="BG206" s="2866"/>
      <c r="BH206" s="2866"/>
      <c r="BI206" s="2942"/>
      <c r="BJ206" s="2943"/>
      <c r="BK206" s="2943"/>
      <c r="BL206" s="2943"/>
      <c r="BM206" s="2943"/>
      <c r="BN206" s="2942"/>
      <c r="BO206" s="2943"/>
      <c r="BP206" s="2943"/>
      <c r="BQ206" s="2943"/>
      <c r="BR206" s="2943"/>
      <c r="BS206" s="2942"/>
      <c r="BT206" s="1438"/>
      <c r="BU206" s="1443"/>
      <c r="BV206" s="1443"/>
      <c r="BW206" s="1443"/>
      <c r="BX206" s="1443"/>
      <c r="BY206" s="1443"/>
      <c r="BZ206" s="1443"/>
      <c r="CA206" s="1443"/>
      <c r="CB206" s="1443"/>
    </row>
    <row r="207" spans="1:90" s="1022" customFormat="1" outlineLevel="1">
      <c r="A207" s="1452"/>
      <c r="B207" s="1453"/>
      <c r="C207" s="1453"/>
      <c r="D207" s="1453"/>
      <c r="E207" s="1453"/>
      <c r="F207" s="1453"/>
      <c r="G207" s="1453"/>
      <c r="H207" s="1453"/>
      <c r="I207" s="1453"/>
      <c r="J207" s="1453"/>
      <c r="K207" s="1453"/>
      <c r="L207" s="1453"/>
      <c r="M207" s="1453"/>
      <c r="N207" s="1453"/>
      <c r="O207" s="1453"/>
      <c r="P207" s="1453"/>
      <c r="Q207" s="1453"/>
      <c r="R207" s="1453"/>
      <c r="S207" s="1453"/>
      <c r="T207" s="1453"/>
      <c r="U207" s="1453"/>
      <c r="V207" s="1453"/>
      <c r="W207" s="1453"/>
      <c r="X207" s="1453"/>
      <c r="Y207" s="1453"/>
      <c r="Z207" s="1453"/>
      <c r="AA207" s="1453"/>
      <c r="AB207" s="1453"/>
      <c r="AC207" s="1453"/>
      <c r="AD207" s="1453"/>
      <c r="AE207" s="1453"/>
      <c r="AF207" s="1446"/>
      <c r="AG207" s="1453"/>
      <c r="AH207" s="1453"/>
      <c r="AI207" s="1453"/>
      <c r="AJ207" s="1443"/>
      <c r="AK207" s="1442"/>
      <c r="AL207" s="1442"/>
      <c r="AM207" s="1442"/>
      <c r="AN207" s="1442"/>
      <c r="AO207" s="1443"/>
      <c r="AP207" s="1442"/>
      <c r="AQ207" s="1442"/>
      <c r="AR207" s="1442"/>
      <c r="AS207" s="1442"/>
      <c r="AT207" s="1443"/>
      <c r="AU207" s="1442"/>
      <c r="AV207" s="1442"/>
      <c r="AW207" s="1442"/>
      <c r="AX207" s="1442"/>
      <c r="AY207" s="1443"/>
      <c r="AZ207" s="1442"/>
      <c r="BA207" s="1442"/>
      <c r="BB207" s="1442"/>
      <c r="BC207" s="1442"/>
      <c r="BD207" s="1443"/>
      <c r="BE207" s="2866"/>
      <c r="BF207" s="2866"/>
      <c r="BG207" s="2866"/>
      <c r="BH207" s="2866"/>
      <c r="BI207" s="2942"/>
      <c r="BJ207" s="2943"/>
      <c r="BK207" s="2943"/>
      <c r="BL207" s="2943"/>
      <c r="BM207" s="2943"/>
      <c r="BN207" s="2942"/>
      <c r="BO207" s="2943"/>
      <c r="BP207" s="2943"/>
      <c r="BQ207" s="2943"/>
      <c r="BR207" s="2943"/>
      <c r="BS207" s="2942"/>
      <c r="BT207" s="1438"/>
      <c r="BU207" s="1443"/>
      <c r="BV207" s="1443"/>
      <c r="BW207" s="1443"/>
      <c r="BX207" s="1443"/>
      <c r="BY207" s="1443"/>
      <c r="BZ207" s="1443"/>
      <c r="CA207" s="1443"/>
      <c r="CB207" s="1443"/>
    </row>
    <row r="208" spans="1:90" outlineLevel="1">
      <c r="A208" s="1050" t="s">
        <v>996</v>
      </c>
      <c r="B208" s="1051"/>
      <c r="C208" s="1051"/>
      <c r="D208" s="1051"/>
      <c r="E208" s="1051"/>
      <c r="F208" s="1052"/>
      <c r="G208" s="1051"/>
      <c r="H208" s="1051"/>
      <c r="I208" s="1051"/>
      <c r="J208" s="1051"/>
      <c r="K208" s="1052"/>
      <c r="L208" s="1051"/>
      <c r="M208" s="1051"/>
      <c r="N208" s="1051"/>
      <c r="O208" s="1051"/>
      <c r="P208" s="1052"/>
      <c r="Q208" s="1051"/>
      <c r="R208" s="1051"/>
      <c r="S208" s="1051"/>
      <c r="T208" s="1051"/>
      <c r="U208" s="1052"/>
      <c r="V208" s="1051"/>
      <c r="W208" s="1051"/>
      <c r="X208" s="1051"/>
      <c r="Y208" s="1051"/>
      <c r="Z208" s="1052"/>
      <c r="AA208" s="1051"/>
      <c r="AB208" s="1051"/>
      <c r="AC208" s="1051"/>
      <c r="AD208" s="1051"/>
      <c r="AE208" s="1052"/>
      <c r="AF208" s="1053"/>
      <c r="AG208" s="1051"/>
      <c r="AH208" s="1051"/>
      <c r="AI208" s="1051"/>
      <c r="AJ208" s="1052"/>
      <c r="AK208" s="1054"/>
      <c r="AL208" s="1051"/>
      <c r="AM208" s="1051"/>
      <c r="AN208" s="1051"/>
      <c r="AO208" s="1052"/>
      <c r="AP208" s="1054"/>
      <c r="AQ208" s="1051"/>
      <c r="AR208" s="1051"/>
      <c r="AS208" s="1051"/>
      <c r="AT208" s="1052"/>
      <c r="AU208" s="1054"/>
      <c r="AV208" s="1051"/>
      <c r="AW208" s="1051"/>
      <c r="AX208" s="1051"/>
      <c r="AY208" s="1052"/>
      <c r="AZ208" s="1054"/>
      <c r="BA208" s="1051"/>
      <c r="BB208" s="1051"/>
      <c r="BC208" s="1051"/>
      <c r="BD208" s="1052"/>
      <c r="BE208" s="2851"/>
      <c r="BF208" s="2852"/>
      <c r="BG208" s="2852"/>
      <c r="BH208" s="2852"/>
      <c r="BI208" s="2915"/>
      <c r="BJ208" s="2916"/>
      <c r="BK208" s="2917"/>
      <c r="BL208" s="2917"/>
      <c r="BM208" s="2917"/>
      <c r="BN208" s="2915"/>
      <c r="BO208" s="2916"/>
      <c r="BP208" s="2917"/>
      <c r="BQ208" s="2917"/>
      <c r="BR208" s="2917"/>
      <c r="BS208" s="2915"/>
      <c r="BT208" s="1343"/>
      <c r="BU208" s="1052"/>
      <c r="BV208" s="1052"/>
      <c r="BW208" s="1052"/>
      <c r="BX208" s="1052"/>
      <c r="BY208" s="1052"/>
      <c r="BZ208" s="1052"/>
      <c r="CA208" s="1052"/>
      <c r="CB208" s="1052"/>
    </row>
    <row r="209" spans="1:93" outlineLevel="1">
      <c r="A209" s="2545" t="s">
        <v>1149</v>
      </c>
      <c r="B209" s="2545"/>
      <c r="C209" s="2545"/>
      <c r="D209" s="2545"/>
      <c r="E209" s="2545"/>
      <c r="F209" s="2546"/>
      <c r="G209" s="2545"/>
      <c r="H209" s="2545"/>
      <c r="I209" s="2545"/>
      <c r="J209" s="2545"/>
      <c r="K209" s="2546"/>
      <c r="L209" s="2545"/>
      <c r="M209" s="2545"/>
      <c r="N209" s="2545"/>
      <c r="O209" s="2545"/>
      <c r="P209" s="2546"/>
      <c r="Q209" s="2545"/>
      <c r="R209" s="2545"/>
      <c r="S209" s="2545"/>
      <c r="T209" s="2545"/>
      <c r="U209" s="2546"/>
      <c r="V209" s="2545"/>
      <c r="W209" s="2545"/>
      <c r="X209" s="2545"/>
      <c r="Y209" s="2545"/>
      <c r="Z209" s="2546"/>
      <c r="AA209" s="2545"/>
      <c r="AB209" s="2545"/>
      <c r="AC209" s="2545"/>
      <c r="AD209" s="2545"/>
      <c r="AE209" s="2546"/>
      <c r="AF209" s="2533"/>
      <c r="AG209" s="2545"/>
      <c r="AH209" s="2545"/>
      <c r="AI209" s="2545"/>
      <c r="AJ209" s="2546"/>
      <c r="AK209" s="2547"/>
      <c r="AL209" s="2545"/>
      <c r="AM209" s="2545"/>
      <c r="AN209" s="2545"/>
      <c r="AO209" s="2546"/>
      <c r="AP209" s="2545">
        <v>42.9</v>
      </c>
      <c r="AQ209" s="2545">
        <v>39.700000000000003</v>
      </c>
      <c r="AR209" s="2545">
        <v>24.7</v>
      </c>
      <c r="AS209" s="2545">
        <v>19.5</v>
      </c>
      <c r="AT209" s="1024">
        <f>SUM(AP209:AS209)</f>
        <v>126.8</v>
      </c>
      <c r="AU209" s="2545">
        <v>25.5</v>
      </c>
      <c r="AV209" s="2545">
        <v>22.5</v>
      </c>
      <c r="AW209" s="2545">
        <v>15.7</v>
      </c>
      <c r="AX209" s="2545">
        <f>75.5-AW209-AV209-AU209</f>
        <v>11.799999999999997</v>
      </c>
      <c r="AY209" s="1024">
        <f>SUM(AU209:AX209)</f>
        <v>75.5</v>
      </c>
      <c r="AZ209" s="2545">
        <f>AU209*(1+AZ210)</f>
        <v>9.18</v>
      </c>
      <c r="BA209" s="2545">
        <f>AV209*(1+BA210)</f>
        <v>6.2550000000000008</v>
      </c>
      <c r="BB209" s="1025"/>
      <c r="BC209" s="1025"/>
      <c r="BD209" s="1024">
        <f>SUM(AZ209:BC209)</f>
        <v>15.435</v>
      </c>
      <c r="BE209" s="2887"/>
      <c r="BF209" s="2887"/>
      <c r="BG209" s="2887"/>
      <c r="BH209" s="2887"/>
      <c r="BI209" s="2977"/>
      <c r="BJ209" s="2978"/>
      <c r="BK209" s="2978"/>
      <c r="BL209" s="2978"/>
      <c r="BM209" s="2978"/>
      <c r="BN209" s="2977"/>
      <c r="BO209" s="2978"/>
      <c r="BP209" s="2978"/>
      <c r="BQ209" s="2978"/>
      <c r="BR209" s="2978"/>
      <c r="BS209" s="2977"/>
      <c r="BT209" s="2548"/>
      <c r="BU209" s="2546"/>
      <c r="BV209" s="2546"/>
      <c r="BW209" s="2546"/>
      <c r="BX209" s="2546"/>
      <c r="BY209" s="2546"/>
      <c r="BZ209" s="2546"/>
      <c r="CA209" s="2546"/>
      <c r="CB209" s="2546"/>
      <c r="CC209" s="2548"/>
      <c r="CD209" s="2548"/>
      <c r="CE209" s="2548"/>
      <c r="CG209" s="2548"/>
      <c r="CH209" s="2548"/>
      <c r="CI209" s="2548"/>
      <c r="CJ209" s="2548"/>
      <c r="CK209" s="1175"/>
      <c r="CL209" s="1175"/>
      <c r="CM209" s="1175"/>
      <c r="CN209" s="1175"/>
      <c r="CO209" s="1175"/>
    </row>
    <row r="210" spans="1:93" outlineLevel="1">
      <c r="A210" s="1452" t="s">
        <v>926</v>
      </c>
      <c r="B210" s="1453"/>
      <c r="C210" s="1453"/>
      <c r="D210" s="1453"/>
      <c r="E210" s="1453"/>
      <c r="F210" s="1454"/>
      <c r="G210" s="1453"/>
      <c r="H210" s="1453"/>
      <c r="I210" s="1453"/>
      <c r="J210" s="1453"/>
      <c r="K210" s="1454"/>
      <c r="L210" s="1453"/>
      <c r="M210" s="1453"/>
      <c r="N210" s="1453"/>
      <c r="O210" s="1453"/>
      <c r="P210" s="1454"/>
      <c r="Q210" s="1453"/>
      <c r="R210" s="1453"/>
      <c r="S210" s="1453"/>
      <c r="T210" s="1453"/>
      <c r="U210" s="1454"/>
      <c r="V210" s="1453"/>
      <c r="W210" s="1453"/>
      <c r="X210" s="1453"/>
      <c r="Y210" s="1453"/>
      <c r="Z210" s="1454"/>
      <c r="AA210" s="1453"/>
      <c r="AB210" s="1453"/>
      <c r="AC210" s="1453"/>
      <c r="AD210" s="1453"/>
      <c r="AE210" s="1454"/>
      <c r="AF210" s="1446"/>
      <c r="AG210" s="1453"/>
      <c r="AH210" s="1453"/>
      <c r="AI210" s="1453"/>
      <c r="AJ210" s="1443"/>
      <c r="AK210" s="1442"/>
      <c r="AL210" s="1442"/>
      <c r="AM210" s="1442"/>
      <c r="AN210" s="1442"/>
      <c r="AO210" s="1443"/>
      <c r="AP210" s="1442" t="str">
        <f>IFERROR((AP209/AK209-1),"")</f>
        <v/>
      </c>
      <c r="AQ210" s="1442" t="str">
        <f>IFERROR((AQ209/AL209-1),"")</f>
        <v/>
      </c>
      <c r="AR210" s="1442" t="str">
        <f>IFERROR((AR209/AM209-1),"")</f>
        <v/>
      </c>
      <c r="AS210" s="1442" t="str">
        <f>IFERROR((AS209/AN209-1),"")</f>
        <v/>
      </c>
      <c r="AT210" s="1443"/>
      <c r="AU210" s="1442">
        <f>AU209/AP209-1</f>
        <v>-0.40559440559440563</v>
      </c>
      <c r="AV210" s="1442">
        <f>AV209/AQ209-1</f>
        <v>-0.43324937027707811</v>
      </c>
      <c r="AW210" s="1442">
        <f>AW209/AR209-1</f>
        <v>-0.36437246963562753</v>
      </c>
      <c r="AX210" s="1442">
        <v>-0.54</v>
      </c>
      <c r="AY210" s="1443">
        <f>IFERROR((AY209/AT209-1),"")</f>
        <v>-0.4045741324921136</v>
      </c>
      <c r="AZ210" s="1442">
        <v>-0.64</v>
      </c>
      <c r="BA210" s="1442">
        <v>-0.72199999999999998</v>
      </c>
      <c r="BB210" s="1455"/>
      <c r="BC210" s="1455"/>
      <c r="BD210" s="1443">
        <f>IFERROR((BD209/AY209-1),"")</f>
        <v>-0.79556291390728473</v>
      </c>
      <c r="BE210" s="2870"/>
      <c r="BF210" s="2870"/>
      <c r="BG210" s="2870"/>
      <c r="BH210" s="2870"/>
      <c r="BI210" s="2942"/>
      <c r="BJ210" s="2947"/>
      <c r="BK210" s="2947"/>
      <c r="BL210" s="2947"/>
      <c r="BM210" s="2947"/>
      <c r="BN210" s="2942"/>
      <c r="BO210" s="2947"/>
      <c r="BP210" s="2947"/>
      <c r="BQ210" s="2947"/>
      <c r="BR210" s="2947"/>
      <c r="BS210" s="2942"/>
      <c r="BT210" s="2548"/>
      <c r="BU210" s="2546"/>
      <c r="BV210" s="2546"/>
      <c r="BW210" s="2546"/>
      <c r="BX210" s="2546"/>
      <c r="BY210" s="2546"/>
      <c r="BZ210" s="2546"/>
      <c r="CA210" s="2546"/>
      <c r="CB210" s="2546"/>
      <c r="CC210" s="2548"/>
      <c r="CD210" s="2548"/>
      <c r="CE210" s="2548"/>
      <c r="CG210" s="2548"/>
      <c r="CH210" s="2548"/>
      <c r="CI210" s="2548"/>
      <c r="CJ210" s="2548"/>
      <c r="CK210" s="1175"/>
      <c r="CL210" s="1175"/>
      <c r="CM210" s="1175"/>
      <c r="CN210" s="1175"/>
      <c r="CO210" s="1175"/>
    </row>
    <row r="211" spans="1:93" outlineLevel="1">
      <c r="A211" s="2545" t="s">
        <v>1150</v>
      </c>
      <c r="B211" s="2545"/>
      <c r="C211" s="2545"/>
      <c r="D211" s="2545"/>
      <c r="E211" s="2545"/>
      <c r="F211" s="2546"/>
      <c r="G211" s="2545"/>
      <c r="H211" s="2545"/>
      <c r="I211" s="2545"/>
      <c r="J211" s="2545"/>
      <c r="K211" s="2546"/>
      <c r="L211" s="2545"/>
      <c r="M211" s="2545"/>
      <c r="N211" s="2545"/>
      <c r="O211" s="2545"/>
      <c r="P211" s="2546"/>
      <c r="Q211" s="2545"/>
      <c r="R211" s="2545"/>
      <c r="S211" s="2545"/>
      <c r="T211" s="2545"/>
      <c r="U211" s="2546"/>
      <c r="V211" s="2545"/>
      <c r="W211" s="2545"/>
      <c r="X211" s="2545"/>
      <c r="Y211" s="2545"/>
      <c r="Z211" s="2546"/>
      <c r="AA211" s="2545"/>
      <c r="AB211" s="2545"/>
      <c r="AC211" s="2545"/>
      <c r="AD211" s="2545"/>
      <c r="AE211" s="2546"/>
      <c r="AF211" s="2533"/>
      <c r="AG211" s="2545"/>
      <c r="AH211" s="2545"/>
      <c r="AI211" s="2545"/>
      <c r="AJ211" s="2546"/>
      <c r="AK211" s="2547"/>
      <c r="AL211" s="2545"/>
      <c r="AM211" s="2545"/>
      <c r="AN211" s="2545"/>
      <c r="AO211" s="2546"/>
      <c r="AP211" s="2547">
        <v>22</v>
      </c>
      <c r="AQ211" s="2547">
        <v>21</v>
      </c>
      <c r="AR211" s="2547">
        <v>18</v>
      </c>
      <c r="AS211" s="2547">
        <v>18</v>
      </c>
      <c r="AT211" s="2549">
        <f>AT212/AT209</f>
        <v>20.292586750788644</v>
      </c>
      <c r="AU211" s="2547">
        <v>18</v>
      </c>
      <c r="AV211" s="2547">
        <v>20</v>
      </c>
      <c r="AW211" s="2547">
        <v>22</v>
      </c>
      <c r="AX211" s="2547">
        <v>19.8</v>
      </c>
      <c r="AY211" s="2549">
        <f>AY212/AY209</f>
        <v>19.70913907284768</v>
      </c>
      <c r="AZ211" s="2547">
        <v>20</v>
      </c>
      <c r="BA211" s="2547">
        <v>20</v>
      </c>
      <c r="BB211" s="2545"/>
      <c r="BC211" s="2545"/>
      <c r="BD211" s="2549">
        <f>BD212/BD209</f>
        <v>20.000000000000004</v>
      </c>
      <c r="BE211" s="2888"/>
      <c r="BF211" s="2889"/>
      <c r="BG211" s="2889"/>
      <c r="BH211" s="2889"/>
      <c r="BI211" s="2977"/>
      <c r="BJ211" s="2979"/>
      <c r="BK211" s="2980"/>
      <c r="BL211" s="2980"/>
      <c r="BM211" s="2980"/>
      <c r="BN211" s="2977"/>
      <c r="BO211" s="2979"/>
      <c r="BP211" s="2980"/>
      <c r="BQ211" s="2980"/>
      <c r="BR211" s="2980"/>
      <c r="BS211" s="2977"/>
      <c r="BT211" s="2548"/>
      <c r="BU211" s="2546"/>
      <c r="BV211" s="2546"/>
      <c r="BW211" s="2546"/>
      <c r="BX211" s="2546"/>
      <c r="BY211" s="2546"/>
      <c r="BZ211" s="2546"/>
      <c r="CA211" s="2546"/>
      <c r="CB211" s="2546"/>
      <c r="CC211" s="2548"/>
      <c r="CD211" s="2548"/>
      <c r="CE211" s="2548"/>
      <c r="CG211" s="2548"/>
      <c r="CH211" s="2548"/>
      <c r="CI211" s="2548"/>
      <c r="CJ211" s="2548"/>
      <c r="CK211" s="1175"/>
      <c r="CL211" s="1175"/>
      <c r="CM211" s="1175"/>
      <c r="CN211" s="1175"/>
      <c r="CO211" s="1175"/>
    </row>
    <row r="212" spans="1:93" outlineLevel="1">
      <c r="A212" s="2545" t="s">
        <v>1151</v>
      </c>
      <c r="B212" s="2545"/>
      <c r="C212" s="2545"/>
      <c r="D212" s="2545"/>
      <c r="E212" s="2545"/>
      <c r="F212" s="2546"/>
      <c r="G212" s="2545"/>
      <c r="H212" s="2545"/>
      <c r="I212" s="2545"/>
      <c r="J212" s="2545"/>
      <c r="K212" s="2546"/>
      <c r="L212" s="2545"/>
      <c r="M212" s="2545"/>
      <c r="N212" s="2545"/>
      <c r="O212" s="2545"/>
      <c r="P212" s="2546"/>
      <c r="Q212" s="2545"/>
      <c r="R212" s="2545"/>
      <c r="S212" s="2545"/>
      <c r="T212" s="2545"/>
      <c r="U212" s="2546"/>
      <c r="V212" s="2545"/>
      <c r="W212" s="2545"/>
      <c r="X212" s="2545"/>
      <c r="Y212" s="2545"/>
      <c r="Z212" s="2546"/>
      <c r="AA212" s="2545"/>
      <c r="AB212" s="2545"/>
      <c r="AC212" s="2545"/>
      <c r="AD212" s="2545"/>
      <c r="AE212" s="2546"/>
      <c r="AF212" s="2533"/>
      <c r="AG212" s="2545"/>
      <c r="AH212" s="2545"/>
      <c r="AI212" s="2545"/>
      <c r="AJ212" s="2546"/>
      <c r="AK212" s="2547"/>
      <c r="AL212" s="2545"/>
      <c r="AM212" s="2545"/>
      <c r="AN212" s="2545"/>
      <c r="AO212" s="2546"/>
      <c r="AP212" s="2547">
        <f>AP209*AP211</f>
        <v>943.8</v>
      </c>
      <c r="AQ212" s="2547">
        <f>AQ209*AQ211</f>
        <v>833.7</v>
      </c>
      <c r="AR212" s="2547">
        <f>AR209*AR211</f>
        <v>444.59999999999997</v>
      </c>
      <c r="AS212" s="2547">
        <f>AS209*AS211</f>
        <v>351</v>
      </c>
      <c r="AT212" s="2549">
        <f>SUM(AP212:AS212)</f>
        <v>2573.1</v>
      </c>
      <c r="AU212" s="2547">
        <f>AU209*AU211</f>
        <v>459</v>
      </c>
      <c r="AV212" s="2547">
        <f>AV209*AV211</f>
        <v>450</v>
      </c>
      <c r="AW212" s="2547">
        <f>AW209*AW211</f>
        <v>345.4</v>
      </c>
      <c r="AX212" s="2547">
        <f>AX209*AX211</f>
        <v>233.63999999999996</v>
      </c>
      <c r="AY212" s="2549">
        <f>SUM(AU212:AX212)</f>
        <v>1488.04</v>
      </c>
      <c r="AZ212" s="2547">
        <f>AZ209*AZ211</f>
        <v>183.6</v>
      </c>
      <c r="BA212" s="2547">
        <f>BA209*BA211</f>
        <v>125.10000000000002</v>
      </c>
      <c r="BB212" s="2545"/>
      <c r="BC212" s="2545"/>
      <c r="BD212" s="2549">
        <f>SUM(AZ212:BC212)</f>
        <v>308.70000000000005</v>
      </c>
      <c r="BE212" s="2888"/>
      <c r="BF212" s="2889"/>
      <c r="BG212" s="2889"/>
      <c r="BH212" s="2889"/>
      <c r="BI212" s="2977"/>
      <c r="BJ212" s="2979"/>
      <c r="BK212" s="2980"/>
      <c r="BL212" s="2980"/>
      <c r="BM212" s="2980"/>
      <c r="BN212" s="2977"/>
      <c r="BO212" s="2979"/>
      <c r="BP212" s="2980"/>
      <c r="BQ212" s="2980"/>
      <c r="BR212" s="2980"/>
      <c r="BS212" s="2977"/>
      <c r="BT212" s="2548"/>
      <c r="BU212" s="2546"/>
      <c r="BV212" s="2546"/>
      <c r="BW212" s="2546"/>
      <c r="BX212" s="2546"/>
      <c r="BY212" s="2546"/>
      <c r="BZ212" s="2546"/>
      <c r="CA212" s="2546"/>
      <c r="CB212" s="2546"/>
      <c r="CC212" s="2548"/>
      <c r="CD212" s="2548"/>
      <c r="CE212" s="2548"/>
      <c r="CG212" s="2548"/>
      <c r="CH212" s="2548"/>
      <c r="CI212" s="2548"/>
      <c r="CJ212" s="2548"/>
      <c r="CK212" s="1175"/>
      <c r="CL212" s="1175"/>
      <c r="CM212" s="1175"/>
      <c r="CN212" s="1175"/>
      <c r="CO212" s="1175"/>
    </row>
    <row r="213" spans="1:93" outlineLevel="1">
      <c r="A213" s="1452" t="s">
        <v>926</v>
      </c>
      <c r="B213" s="1453"/>
      <c r="C213" s="1453"/>
      <c r="D213" s="1453"/>
      <c r="E213" s="1453"/>
      <c r="F213" s="1454"/>
      <c r="G213" s="1453"/>
      <c r="H213" s="1453"/>
      <c r="I213" s="1453"/>
      <c r="J213" s="1453"/>
      <c r="K213" s="1454"/>
      <c r="L213" s="1453"/>
      <c r="M213" s="1453"/>
      <c r="N213" s="1453"/>
      <c r="O213" s="1453"/>
      <c r="P213" s="1454"/>
      <c r="Q213" s="1453"/>
      <c r="R213" s="1453"/>
      <c r="S213" s="1453"/>
      <c r="T213" s="1453"/>
      <c r="U213" s="1454"/>
      <c r="V213" s="1453"/>
      <c r="W213" s="1453"/>
      <c r="X213" s="1453"/>
      <c r="Y213" s="1453"/>
      <c r="Z213" s="1454"/>
      <c r="AA213" s="1453"/>
      <c r="AB213" s="1453"/>
      <c r="AC213" s="1453"/>
      <c r="AD213" s="1453"/>
      <c r="AE213" s="1454"/>
      <c r="AF213" s="1446"/>
      <c r="AG213" s="1453"/>
      <c r="AH213" s="1453"/>
      <c r="AI213" s="1453"/>
      <c r="AJ213" s="1443"/>
      <c r="AK213" s="1442"/>
      <c r="AL213" s="1442"/>
      <c r="AM213" s="1442"/>
      <c r="AN213" s="1442"/>
      <c r="AO213" s="1443"/>
      <c r="AP213" s="1442" t="str">
        <f>IFERROR((AP212/AK212-1),"")</f>
        <v/>
      </c>
      <c r="AQ213" s="1442" t="str">
        <f>IFERROR((AQ212/AL212-1),"")</f>
        <v/>
      </c>
      <c r="AR213" s="1442" t="str">
        <f>IFERROR((AR212/AM212-1),"")</f>
        <v/>
      </c>
      <c r="AS213" s="1442" t="str">
        <f>IFERROR((AS212/AN212-1),"")</f>
        <v/>
      </c>
      <c r="AT213" s="1443"/>
      <c r="AU213" s="1442">
        <f>AU212/AP212-1</f>
        <v>-0.51366815003178634</v>
      </c>
      <c r="AV213" s="1442">
        <f>AV212/AQ212-1</f>
        <v>-0.46023749550197912</v>
      </c>
      <c r="AW213" s="1442">
        <f>AW212/AR212-1</f>
        <v>-0.22312190733243364</v>
      </c>
      <c r="AX213" s="1442">
        <f>AX212/AS212-1</f>
        <v>-0.33435897435897444</v>
      </c>
      <c r="AY213" s="1443">
        <f>IFERROR((AY212/AT212-1),"")</f>
        <v>-0.42169367688780068</v>
      </c>
      <c r="AZ213" s="1442">
        <f>AZ212/AU212-1</f>
        <v>-0.60000000000000009</v>
      </c>
      <c r="BA213" s="1442">
        <f>BA212/AV212-1</f>
        <v>-0.72199999999999998</v>
      </c>
      <c r="BB213" s="1442"/>
      <c r="BC213" s="1442"/>
      <c r="BD213" s="1443"/>
      <c r="BE213" s="2866"/>
      <c r="BF213" s="2866"/>
      <c r="BG213" s="2866"/>
      <c r="BH213" s="2866"/>
      <c r="BI213" s="2942"/>
      <c r="BJ213" s="2979"/>
      <c r="BK213" s="2980"/>
      <c r="BL213" s="2980"/>
      <c r="BM213" s="2980"/>
      <c r="BN213" s="2977"/>
      <c r="BO213" s="2979"/>
      <c r="BP213" s="2980"/>
      <c r="BQ213" s="2980"/>
      <c r="BR213" s="2980"/>
      <c r="BS213" s="2977"/>
      <c r="BT213" s="2548"/>
      <c r="BU213" s="2546"/>
      <c r="BV213" s="2546"/>
      <c r="BW213" s="2546"/>
      <c r="BX213" s="2546"/>
      <c r="BY213" s="2546"/>
      <c r="BZ213" s="2546"/>
      <c r="CA213" s="2546"/>
      <c r="CB213" s="2546"/>
      <c r="CC213" s="2548"/>
      <c r="CD213" s="2548"/>
      <c r="CE213" s="2548"/>
      <c r="CG213" s="2548"/>
      <c r="CH213" s="2548"/>
      <c r="CI213" s="2548"/>
      <c r="CJ213" s="2548"/>
      <c r="CK213" s="1175"/>
      <c r="CL213" s="1175"/>
      <c r="CM213" s="1175"/>
      <c r="CN213" s="1175"/>
      <c r="CO213" s="1175"/>
    </row>
    <row r="214" spans="1:93" outlineLevel="1">
      <c r="A214" s="2545"/>
      <c r="B214" s="2545"/>
      <c r="C214" s="2545"/>
      <c r="D214" s="2545"/>
      <c r="E214" s="2545"/>
      <c r="F214" s="2546"/>
      <c r="G214" s="2545"/>
      <c r="H214" s="2545"/>
      <c r="I214" s="2545"/>
      <c r="J214" s="2545"/>
      <c r="K214" s="2546"/>
      <c r="L214" s="2545"/>
      <c r="M214" s="2545"/>
      <c r="N214" s="2545"/>
      <c r="O214" s="2545"/>
      <c r="P214" s="2546"/>
      <c r="Q214" s="2545"/>
      <c r="R214" s="2545"/>
      <c r="S214" s="2545"/>
      <c r="T214" s="2545"/>
      <c r="U214" s="2546"/>
      <c r="V214" s="2545"/>
      <c r="W214" s="2545"/>
      <c r="X214" s="2545"/>
      <c r="Y214" s="2545"/>
      <c r="Z214" s="2546"/>
      <c r="AA214" s="2545"/>
      <c r="AB214" s="2545"/>
      <c r="AC214" s="2545"/>
      <c r="AD214" s="2545"/>
      <c r="AE214" s="2546"/>
      <c r="AF214" s="2533"/>
      <c r="AG214" s="2545"/>
      <c r="AH214" s="2545"/>
      <c r="AI214" s="2545"/>
      <c r="AJ214" s="2546"/>
      <c r="AK214" s="2547"/>
      <c r="AL214" s="2545"/>
      <c r="AM214" s="2545"/>
      <c r="AN214" s="2545"/>
      <c r="AO214" s="2546"/>
      <c r="AP214" s="2547"/>
      <c r="AQ214" s="2547"/>
      <c r="AR214" s="2547"/>
      <c r="AS214" s="2547"/>
      <c r="AT214" s="2549"/>
      <c r="AU214" s="2547"/>
      <c r="AV214" s="2547"/>
      <c r="AW214" s="2547"/>
      <c r="AX214" s="2547"/>
      <c r="AY214" s="2549"/>
      <c r="AZ214" s="2547"/>
      <c r="BA214" s="2547"/>
      <c r="BB214" s="2545"/>
      <c r="BC214" s="2545"/>
      <c r="BD214" s="2546"/>
      <c r="BE214" s="2888"/>
      <c r="BF214" s="2889"/>
      <c r="BG214" s="2889"/>
      <c r="BH214" s="2889"/>
      <c r="BI214" s="2977"/>
      <c r="BJ214" s="2979"/>
      <c r="BK214" s="2980"/>
      <c r="BL214" s="2980"/>
      <c r="BM214" s="2980"/>
      <c r="BN214" s="2977"/>
      <c r="BO214" s="2979"/>
      <c r="BP214" s="2980"/>
      <c r="BQ214" s="2980"/>
      <c r="BR214" s="2980"/>
      <c r="BS214" s="2977"/>
      <c r="BT214" s="2548"/>
      <c r="BU214" s="2546"/>
      <c r="BV214" s="2546"/>
      <c r="BW214" s="2546"/>
      <c r="BX214" s="2546"/>
      <c r="BY214" s="2546"/>
      <c r="BZ214" s="2546"/>
      <c r="CA214" s="2546"/>
      <c r="CB214" s="2546"/>
      <c r="CC214" s="2548"/>
      <c r="CD214" s="2548"/>
      <c r="CE214" s="2548"/>
      <c r="CG214" s="2548"/>
      <c r="CH214" s="2548"/>
      <c r="CI214" s="2548"/>
      <c r="CJ214" s="2548"/>
      <c r="CK214" s="1175"/>
      <c r="CL214" s="1175"/>
      <c r="CM214" s="1175"/>
      <c r="CN214" s="1175"/>
      <c r="CO214" s="1175"/>
    </row>
    <row r="215" spans="1:93" outlineLevel="1">
      <c r="A215" s="2545" t="s">
        <v>1153</v>
      </c>
      <c r="B215" s="2545"/>
      <c r="C215" s="2545"/>
      <c r="D215" s="2545"/>
      <c r="E215" s="2545"/>
      <c r="F215" s="2546"/>
      <c r="G215" s="2545"/>
      <c r="H215" s="2545"/>
      <c r="I215" s="2545"/>
      <c r="J215" s="2545"/>
      <c r="K215" s="2546"/>
      <c r="L215" s="2545"/>
      <c r="M215" s="2545"/>
      <c r="N215" s="2545"/>
      <c r="O215" s="2545"/>
      <c r="P215" s="2546"/>
      <c r="Q215" s="2545"/>
      <c r="R215" s="2545"/>
      <c r="S215" s="2545"/>
      <c r="T215" s="2545"/>
      <c r="U215" s="2546"/>
      <c r="V215" s="2545"/>
      <c r="W215" s="2545"/>
      <c r="X215" s="2545"/>
      <c r="Y215" s="2545"/>
      <c r="Z215" s="2546"/>
      <c r="AA215" s="2545"/>
      <c r="AB215" s="2545"/>
      <c r="AC215" s="2545"/>
      <c r="AD215" s="2545"/>
      <c r="AE215" s="2546"/>
      <c r="AF215" s="2533"/>
      <c r="AG215" s="2545"/>
      <c r="AH215" s="2545"/>
      <c r="AI215" s="2545"/>
      <c r="AJ215" s="2546"/>
      <c r="AK215" s="2547"/>
      <c r="AL215" s="2545"/>
      <c r="AM215" s="2545"/>
      <c r="AN215" s="2545"/>
      <c r="AO215" s="2546"/>
      <c r="AP215" s="2545">
        <v>9.3000000000000007</v>
      </c>
      <c r="AQ215" s="2545">
        <v>10.5</v>
      </c>
      <c r="AR215" s="2545">
        <v>8.6</v>
      </c>
      <c r="AS215" s="2545">
        <v>8.3999999999999986</v>
      </c>
      <c r="AT215" s="1024">
        <f>SUM(AP215:AS215)</f>
        <v>36.799999999999997</v>
      </c>
      <c r="AU215" s="2545">
        <v>5.8</v>
      </c>
      <c r="AV215" s="2545">
        <v>4.5</v>
      </c>
      <c r="AW215" s="2545">
        <v>2.2999999999999998</v>
      </c>
      <c r="AX215" s="2545">
        <f>13.8-AW215-AV215-AU215</f>
        <v>1.2000000000000002</v>
      </c>
      <c r="AY215" s="1024">
        <f>SUM(AU215:AX215)</f>
        <v>13.8</v>
      </c>
      <c r="AZ215" s="2545">
        <f>AU215*(1+AZ216)</f>
        <v>0.57999999999999985</v>
      </c>
      <c r="BA215" s="2545">
        <f>AV215*(1+BA216)</f>
        <v>0.40499999999999986</v>
      </c>
      <c r="BB215" s="1025">
        <f>AW215*(1+BB216)</f>
        <v>0.22999999999999993</v>
      </c>
      <c r="BC215" s="1025">
        <f>AX215*(1+BC216)</f>
        <v>0.12</v>
      </c>
      <c r="BD215" s="1024">
        <f>SUM(AZ215:BC215)</f>
        <v>1.3349999999999995</v>
      </c>
      <c r="BE215" s="2887"/>
      <c r="BF215" s="2887"/>
      <c r="BG215" s="2887"/>
      <c r="BH215" s="2887"/>
      <c r="BI215" s="2969"/>
      <c r="BJ215" s="2978"/>
      <c r="BK215" s="2978"/>
      <c r="BL215" s="2978"/>
      <c r="BM215" s="2978"/>
      <c r="BN215" s="2969"/>
      <c r="BO215" s="2978"/>
      <c r="BP215" s="2978"/>
      <c r="BQ215" s="2978"/>
      <c r="BR215" s="2978"/>
      <c r="BS215" s="2969"/>
      <c r="BT215" s="2548"/>
      <c r="BU215" s="2546"/>
      <c r="BV215" s="2546"/>
      <c r="BW215" s="2546"/>
      <c r="BX215" s="2546"/>
      <c r="BY215" s="2546"/>
      <c r="BZ215" s="2546"/>
      <c r="CA215" s="2546"/>
      <c r="CB215" s="2546"/>
      <c r="CC215" s="2548"/>
      <c r="CD215" s="2548"/>
      <c r="CE215" s="2548"/>
      <c r="CG215" s="2548"/>
      <c r="CH215" s="2548"/>
      <c r="CI215" s="2548"/>
      <c r="CJ215" s="2548"/>
      <c r="CK215" s="1175"/>
      <c r="CL215" s="1175"/>
      <c r="CM215" s="1175"/>
      <c r="CN215" s="1175"/>
      <c r="CO215" s="1175"/>
    </row>
    <row r="216" spans="1:93" outlineLevel="1">
      <c r="A216" s="1452" t="s">
        <v>926</v>
      </c>
      <c r="B216" s="1453"/>
      <c r="C216" s="1453"/>
      <c r="D216" s="1453"/>
      <c r="E216" s="1453"/>
      <c r="F216" s="1454"/>
      <c r="G216" s="1453"/>
      <c r="H216" s="1453"/>
      <c r="I216" s="1453"/>
      <c r="J216" s="1453"/>
      <c r="K216" s="1454"/>
      <c r="L216" s="1453"/>
      <c r="M216" s="1453"/>
      <c r="N216" s="1453"/>
      <c r="O216" s="1453"/>
      <c r="P216" s="1454"/>
      <c r="Q216" s="1453"/>
      <c r="R216" s="1453"/>
      <c r="S216" s="1453"/>
      <c r="T216" s="1453"/>
      <c r="U216" s="1454"/>
      <c r="V216" s="1453"/>
      <c r="W216" s="1453"/>
      <c r="X216" s="1453"/>
      <c r="Y216" s="1453"/>
      <c r="Z216" s="1454"/>
      <c r="AA216" s="1453"/>
      <c r="AB216" s="1453"/>
      <c r="AC216" s="1453"/>
      <c r="AD216" s="1453"/>
      <c r="AE216" s="1454"/>
      <c r="AF216" s="1446"/>
      <c r="AG216" s="1453"/>
      <c r="AH216" s="1453"/>
      <c r="AI216" s="1453"/>
      <c r="AJ216" s="1443"/>
      <c r="AK216" s="1442"/>
      <c r="AL216" s="1442"/>
      <c r="AM216" s="1442"/>
      <c r="AN216" s="1442"/>
      <c r="AO216" s="1443"/>
      <c r="AP216" s="1442" t="str">
        <f>IFERROR((AP215/AK215-1),"")</f>
        <v/>
      </c>
      <c r="AQ216" s="1442" t="str">
        <f>IFERROR((AQ215/AL215-1),"")</f>
        <v/>
      </c>
      <c r="AR216" s="1442" t="str">
        <f>IFERROR((AR215/AM215-1),"")</f>
        <v/>
      </c>
      <c r="AS216" s="1442" t="str">
        <f>IFERROR((AS215/AN215-1),"")</f>
        <v/>
      </c>
      <c r="AT216" s="1443"/>
      <c r="AU216" s="1442">
        <f>AU215/AP215-1</f>
        <v>-0.37634408602150549</v>
      </c>
      <c r="AV216" s="1442">
        <f>AV215/AQ215-1</f>
        <v>-0.5714285714285714</v>
      </c>
      <c r="AW216" s="1442">
        <f>AW215/AR215-1</f>
        <v>-0.73255813953488369</v>
      </c>
      <c r="AX216" s="1442">
        <v>-0.75</v>
      </c>
      <c r="AY216" s="1443">
        <f>IFERROR((AY215/AT215-1),"")</f>
        <v>-0.625</v>
      </c>
      <c r="AZ216" s="1442">
        <v>-0.9</v>
      </c>
      <c r="BA216" s="1442">
        <v>-0.91</v>
      </c>
      <c r="BB216" s="1455">
        <v>-0.9</v>
      </c>
      <c r="BC216" s="1455">
        <v>-0.9</v>
      </c>
      <c r="BD216" s="1443">
        <f>IFERROR((BD215/AY215-1),"")</f>
        <v>-0.90326086956521745</v>
      </c>
      <c r="BE216" s="2870"/>
      <c r="BF216" s="2870"/>
      <c r="BG216" s="2870"/>
      <c r="BH216" s="2870"/>
      <c r="BI216" s="2942"/>
      <c r="BJ216" s="2947"/>
      <c r="BK216" s="2947"/>
      <c r="BL216" s="2947"/>
      <c r="BM216" s="2947"/>
      <c r="BN216" s="2942"/>
      <c r="BO216" s="2947"/>
      <c r="BP216" s="2947"/>
      <c r="BQ216" s="2947"/>
      <c r="BR216" s="2947"/>
      <c r="BS216" s="2942"/>
      <c r="BT216" s="2548"/>
      <c r="BU216" s="2546"/>
      <c r="BV216" s="2546"/>
      <c r="BW216" s="2546"/>
      <c r="BX216" s="2546"/>
      <c r="BY216" s="2546"/>
      <c r="BZ216" s="2546"/>
      <c r="CA216" s="2546"/>
      <c r="CB216" s="2546"/>
      <c r="CC216" s="2548"/>
      <c r="CD216" s="2548"/>
      <c r="CE216" s="2548"/>
      <c r="CG216" s="2548"/>
      <c r="CH216" s="2548"/>
      <c r="CI216" s="2548"/>
      <c r="CJ216" s="2548"/>
      <c r="CK216" s="1175"/>
      <c r="CL216" s="1175"/>
      <c r="CM216" s="1175"/>
      <c r="CN216" s="1175"/>
      <c r="CO216" s="1175"/>
    </row>
    <row r="217" spans="1:93" outlineLevel="1">
      <c r="A217" s="2545" t="s">
        <v>1152</v>
      </c>
      <c r="B217" s="2545"/>
      <c r="C217" s="2545"/>
      <c r="D217" s="2545"/>
      <c r="E217" s="2545"/>
      <c r="F217" s="2546"/>
      <c r="G217" s="2545"/>
      <c r="H217" s="2545"/>
      <c r="I217" s="2545"/>
      <c r="J217" s="2545"/>
      <c r="K217" s="2546"/>
      <c r="L217" s="2545"/>
      <c r="M217" s="2545"/>
      <c r="N217" s="2545"/>
      <c r="O217" s="2545"/>
      <c r="P217" s="2546"/>
      <c r="Q217" s="2545"/>
      <c r="R217" s="2545"/>
      <c r="S217" s="2545"/>
      <c r="T217" s="2545"/>
      <c r="U217" s="2546"/>
      <c r="V217" s="2545"/>
      <c r="W217" s="2545"/>
      <c r="X217" s="2545"/>
      <c r="Y217" s="2545"/>
      <c r="Z217" s="2546"/>
      <c r="AA217" s="2545"/>
      <c r="AB217" s="2545"/>
      <c r="AC217" s="2545"/>
      <c r="AD217" s="2545"/>
      <c r="AE217" s="2546"/>
      <c r="AF217" s="2533"/>
      <c r="AG217" s="2545"/>
      <c r="AH217" s="2545"/>
      <c r="AI217" s="2545"/>
      <c r="AJ217" s="2546"/>
      <c r="AK217" s="2547"/>
      <c r="AL217" s="2545"/>
      <c r="AM217" s="2545"/>
      <c r="AN217" s="2545"/>
      <c r="AO217" s="2546"/>
      <c r="AP217" s="2547">
        <f>(AP225-AP212)/AP215</f>
        <v>179.05376344086019</v>
      </c>
      <c r="AQ217" s="2547">
        <f t="shared" ref="AQ217:AW217" si="152">(AQ225-AQ212)/AQ215</f>
        <v>138.12380952380951</v>
      </c>
      <c r="AR217" s="2547">
        <f t="shared" si="152"/>
        <v>110.74418604651164</v>
      </c>
      <c r="AS217" s="2547">
        <f t="shared" si="152"/>
        <v>105.11904761904763</v>
      </c>
      <c r="AT217" s="2549">
        <f>AT218/AT215</f>
        <v>134.53532608695653</v>
      </c>
      <c r="AU217" s="2547">
        <f t="shared" si="152"/>
        <v>79.83113793103449</v>
      </c>
      <c r="AV217" s="2547">
        <f t="shared" si="152"/>
        <v>109.36666666666669</v>
      </c>
      <c r="AW217" s="2547">
        <f t="shared" si="152"/>
        <v>189.35782608695655</v>
      </c>
      <c r="AX217" s="2547">
        <v>100</v>
      </c>
      <c r="AY217" s="2549">
        <f>AY218/AY215</f>
        <v>109.47055072463768</v>
      </c>
      <c r="AZ217" s="2547">
        <v>135</v>
      </c>
      <c r="BA217" s="2547">
        <f>AZ217</f>
        <v>135</v>
      </c>
      <c r="BB217" s="2547">
        <f>BA217</f>
        <v>135</v>
      </c>
      <c r="BC217" s="2547">
        <f>BB217</f>
        <v>135</v>
      </c>
      <c r="BD217" s="2549">
        <f>BD218/BD215</f>
        <v>135</v>
      </c>
      <c r="BE217" s="2888"/>
      <c r="BF217" s="2888"/>
      <c r="BG217" s="2888"/>
      <c r="BH217" s="2888"/>
      <c r="BI217" s="2918"/>
      <c r="BJ217" s="2979"/>
      <c r="BK217" s="2979"/>
      <c r="BL217" s="2979"/>
      <c r="BM217" s="2979"/>
      <c r="BN217" s="2918"/>
      <c r="BO217" s="2979"/>
      <c r="BP217" s="2979"/>
      <c r="BQ217" s="2979"/>
      <c r="BR217" s="2979"/>
      <c r="BS217" s="2918"/>
      <c r="BT217" s="2548"/>
      <c r="BU217" s="2546"/>
      <c r="BV217" s="2546"/>
      <c r="BW217" s="2546"/>
      <c r="BX217" s="2546"/>
      <c r="BY217" s="2546"/>
      <c r="BZ217" s="2546"/>
      <c r="CA217" s="2546"/>
      <c r="CB217" s="2546"/>
      <c r="CC217" s="2548"/>
      <c r="CD217" s="2548"/>
      <c r="CE217" s="2548"/>
      <c r="CG217" s="2548"/>
      <c r="CH217" s="2548"/>
      <c r="CI217" s="2548"/>
      <c r="CJ217" s="2548"/>
      <c r="CK217" s="1175"/>
      <c r="CL217" s="1175"/>
      <c r="CM217" s="1175"/>
      <c r="CN217" s="1175"/>
      <c r="CO217" s="1175"/>
    </row>
    <row r="218" spans="1:93" outlineLevel="1">
      <c r="A218" s="2545" t="s">
        <v>1154</v>
      </c>
      <c r="B218" s="2545"/>
      <c r="C218" s="2545"/>
      <c r="D218" s="2545"/>
      <c r="E218" s="2545"/>
      <c r="F218" s="2546"/>
      <c r="G218" s="2545"/>
      <c r="H218" s="2545"/>
      <c r="I218" s="2545"/>
      <c r="J218" s="2545"/>
      <c r="K218" s="2546"/>
      <c r="L218" s="2545"/>
      <c r="M218" s="2545"/>
      <c r="N218" s="2545"/>
      <c r="O218" s="2545"/>
      <c r="P218" s="2546"/>
      <c r="Q218" s="2545"/>
      <c r="R218" s="2545"/>
      <c r="S218" s="2545"/>
      <c r="T218" s="2545"/>
      <c r="U218" s="2546"/>
      <c r="V218" s="2545"/>
      <c r="W218" s="2545"/>
      <c r="X218" s="2545"/>
      <c r="Y218" s="2545"/>
      <c r="Z218" s="2546"/>
      <c r="AA218" s="2545"/>
      <c r="AB218" s="2545"/>
      <c r="AC218" s="2545"/>
      <c r="AD218" s="2545"/>
      <c r="AE218" s="2546"/>
      <c r="AF218" s="2533"/>
      <c r="AG218" s="2545"/>
      <c r="AH218" s="2545"/>
      <c r="AI218" s="2545"/>
      <c r="AJ218" s="2546"/>
      <c r="AK218" s="2547"/>
      <c r="AL218" s="2545"/>
      <c r="AM218" s="2545"/>
      <c r="AN218" s="2545"/>
      <c r="AO218" s="2546"/>
      <c r="AP218" s="2547">
        <f>AP215*AP217</f>
        <v>1665.2</v>
      </c>
      <c r="AQ218" s="2547">
        <f>AQ215*AQ217</f>
        <v>1450.3</v>
      </c>
      <c r="AR218" s="2547">
        <f>AR215*AR217</f>
        <v>952.40000000000009</v>
      </c>
      <c r="AS218" s="2547">
        <f>AS215*AS217</f>
        <v>883</v>
      </c>
      <c r="AT218" s="2549">
        <f>SUM(AP218:AS218)</f>
        <v>4950.8999999999996</v>
      </c>
      <c r="AU218" s="2547">
        <f>AU215*AU217</f>
        <v>463.02060000000006</v>
      </c>
      <c r="AV218" s="2547">
        <f>AV215*AV217</f>
        <v>492.15000000000009</v>
      </c>
      <c r="AW218" s="2547">
        <f>AW215*AW217</f>
        <v>435.52300000000002</v>
      </c>
      <c r="AX218" s="2547">
        <f>AX215*AX217</f>
        <v>120.00000000000001</v>
      </c>
      <c r="AY218" s="2549">
        <f>SUM(AU218:AX218)</f>
        <v>1510.6936000000001</v>
      </c>
      <c r="AZ218" s="2547">
        <f>AZ215*AZ217</f>
        <v>78.299999999999983</v>
      </c>
      <c r="BA218" s="2547">
        <f>BA215*BA217</f>
        <v>54.674999999999983</v>
      </c>
      <c r="BB218" s="2547">
        <f>BB215*BB217</f>
        <v>31.04999999999999</v>
      </c>
      <c r="BC218" s="2547">
        <f>BC215*BC217</f>
        <v>16.2</v>
      </c>
      <c r="BD218" s="2549">
        <f>SUM(AZ218:BC218)</f>
        <v>180.22499999999994</v>
      </c>
      <c r="BE218" s="2888"/>
      <c r="BF218" s="2888"/>
      <c r="BG218" s="2888"/>
      <c r="BH218" s="2888"/>
      <c r="BI218" s="2918"/>
      <c r="BJ218" s="2979"/>
      <c r="BK218" s="2979"/>
      <c r="BL218" s="2979"/>
      <c r="BM218" s="2979"/>
      <c r="BN218" s="2918"/>
      <c r="BO218" s="2979"/>
      <c r="BP218" s="2979"/>
      <c r="BQ218" s="2979"/>
      <c r="BR218" s="2979"/>
      <c r="BS218" s="2918"/>
      <c r="BT218" s="2548"/>
      <c r="BU218" s="2546"/>
      <c r="BV218" s="2546"/>
      <c r="BW218" s="2546"/>
      <c r="BX218" s="2546"/>
      <c r="BY218" s="2546"/>
      <c r="BZ218" s="2546"/>
      <c r="CA218" s="2546"/>
      <c r="CB218" s="2546"/>
      <c r="CC218" s="2548"/>
      <c r="CD218" s="2548"/>
      <c r="CE218" s="2548"/>
      <c r="CG218" s="2548"/>
      <c r="CH218" s="2548"/>
      <c r="CI218" s="2548"/>
      <c r="CJ218" s="2548"/>
      <c r="CK218" s="1175"/>
      <c r="CL218" s="1175"/>
      <c r="CM218" s="1175"/>
      <c r="CN218" s="1175"/>
      <c r="CO218" s="1175"/>
    </row>
    <row r="219" spans="1:93" outlineLevel="1">
      <c r="A219" s="1452" t="s">
        <v>926</v>
      </c>
      <c r="B219" s="1453"/>
      <c r="C219" s="1453"/>
      <c r="D219" s="1453"/>
      <c r="E219" s="1453"/>
      <c r="F219" s="1454"/>
      <c r="G219" s="1453"/>
      <c r="H219" s="1453"/>
      <c r="I219" s="1453"/>
      <c r="J219" s="1453"/>
      <c r="K219" s="1454"/>
      <c r="L219" s="1453"/>
      <c r="M219" s="1453"/>
      <c r="N219" s="1453"/>
      <c r="O219" s="1453"/>
      <c r="P219" s="1454"/>
      <c r="Q219" s="1453"/>
      <c r="R219" s="1453"/>
      <c r="S219" s="1453"/>
      <c r="T219" s="1453"/>
      <c r="U219" s="1454"/>
      <c r="V219" s="1453"/>
      <c r="W219" s="1453"/>
      <c r="X219" s="1453"/>
      <c r="Y219" s="1453"/>
      <c r="Z219" s="1454"/>
      <c r="AA219" s="1453"/>
      <c r="AB219" s="1453"/>
      <c r="AC219" s="1453"/>
      <c r="AD219" s="1453"/>
      <c r="AE219" s="1454"/>
      <c r="AF219" s="1446"/>
      <c r="AG219" s="1453"/>
      <c r="AH219" s="1453"/>
      <c r="AI219" s="1453"/>
      <c r="AJ219" s="1443"/>
      <c r="AK219" s="1442"/>
      <c r="AL219" s="1442"/>
      <c r="AM219" s="1442"/>
      <c r="AN219" s="1442"/>
      <c r="AO219" s="1443"/>
      <c r="AP219" s="1442" t="str">
        <f>IFERROR((AP218/AK218-1),"")</f>
        <v/>
      </c>
      <c r="AQ219" s="1442" t="str">
        <f>IFERROR((AQ218/AL218-1),"")</f>
        <v/>
      </c>
      <c r="AR219" s="1442" t="str">
        <f>IFERROR((AR218/AM218-1),"")</f>
        <v/>
      </c>
      <c r="AS219" s="1442" t="str">
        <f>IFERROR((AS218/AN218-1),"")</f>
        <v/>
      </c>
      <c r="AT219" s="1443"/>
      <c r="AU219" s="1442">
        <f>AU218/AP218-1</f>
        <v>-0.7219429497958203</v>
      </c>
      <c r="AV219" s="1442">
        <f>AV218/AQ218-1</f>
        <v>-0.66065641591394875</v>
      </c>
      <c r="AW219" s="1442">
        <f>AW218/AR218-1</f>
        <v>-0.54270999580008406</v>
      </c>
      <c r="AX219" s="1442">
        <f>AX218/AS218-1</f>
        <v>-0.86409966024915064</v>
      </c>
      <c r="AY219" s="1443">
        <f>IFERROR((AY218/AT218-1),"")</f>
        <v>-0.69486485285503641</v>
      </c>
      <c r="AZ219" s="1442">
        <f>AZ218/AU218-1</f>
        <v>-0.83089305313845652</v>
      </c>
      <c r="BA219" s="1442">
        <f>BA218/AV218-1</f>
        <v>-0.8889058213959159</v>
      </c>
      <c r="BB219" s="1442">
        <f>BB218/AW218-1</f>
        <v>-0.92870640586145858</v>
      </c>
      <c r="BC219" s="1442">
        <f>BC218/AX218-1</f>
        <v>-0.86499999999999999</v>
      </c>
      <c r="BD219" s="1443">
        <f>IFERROR((BD218/AY218-1),"")</f>
        <v>-0.88070049413064311</v>
      </c>
      <c r="BE219" s="2866"/>
      <c r="BF219" s="2866"/>
      <c r="BG219" s="2866"/>
      <c r="BH219" s="2866"/>
      <c r="BI219" s="2942"/>
      <c r="BJ219" s="2943"/>
      <c r="BK219" s="2943"/>
      <c r="BL219" s="2943"/>
      <c r="BM219" s="2943"/>
      <c r="BN219" s="2942"/>
      <c r="BO219" s="2943"/>
      <c r="BP219" s="2943"/>
      <c r="BQ219" s="2943"/>
      <c r="BR219" s="2943"/>
      <c r="BS219" s="2942"/>
      <c r="BT219" s="2548"/>
      <c r="BU219" s="2546"/>
      <c r="BV219" s="2546"/>
      <c r="BW219" s="2546"/>
      <c r="BX219" s="2546"/>
      <c r="BY219" s="2546"/>
      <c r="BZ219" s="2546"/>
      <c r="CA219" s="2546"/>
      <c r="CB219" s="2546"/>
      <c r="CC219" s="2548"/>
      <c r="CD219" s="2548"/>
      <c r="CE219" s="2548"/>
      <c r="CG219" s="2548"/>
      <c r="CH219" s="2548"/>
      <c r="CI219" s="2548"/>
      <c r="CJ219" s="2548"/>
      <c r="CK219" s="1175"/>
      <c r="CL219" s="1175"/>
      <c r="CM219" s="1175"/>
      <c r="CN219" s="1175"/>
      <c r="CO219" s="1175"/>
    </row>
    <row r="220" spans="1:93" outlineLevel="1">
      <c r="A220" s="2545"/>
      <c r="B220" s="2545"/>
      <c r="C220" s="2545"/>
      <c r="D220" s="2545"/>
      <c r="E220" s="2545"/>
      <c r="F220" s="2546"/>
      <c r="G220" s="2545"/>
      <c r="H220" s="2545"/>
      <c r="I220" s="2545"/>
      <c r="J220" s="2545"/>
      <c r="K220" s="2546"/>
      <c r="L220" s="2545"/>
      <c r="M220" s="2545"/>
      <c r="N220" s="2545"/>
      <c r="O220" s="2545"/>
      <c r="P220" s="2546"/>
      <c r="Q220" s="2545"/>
      <c r="R220" s="2545"/>
      <c r="S220" s="2545"/>
      <c r="T220" s="2545"/>
      <c r="U220" s="2546"/>
      <c r="V220" s="2545"/>
      <c r="W220" s="2545"/>
      <c r="X220" s="2545"/>
      <c r="Y220" s="2545"/>
      <c r="Z220" s="2546"/>
      <c r="AA220" s="2545"/>
      <c r="AB220" s="2545"/>
      <c r="AC220" s="2545"/>
      <c r="AD220" s="2545"/>
      <c r="AE220" s="2546"/>
      <c r="AF220" s="2533"/>
      <c r="AG220" s="2545"/>
      <c r="AH220" s="2545"/>
      <c r="AI220" s="2545"/>
      <c r="AJ220" s="2546"/>
      <c r="AK220" s="2547"/>
      <c r="AL220" s="2545"/>
      <c r="AM220" s="2545"/>
      <c r="AN220" s="2545"/>
      <c r="AO220" s="2546"/>
      <c r="AP220" s="2547"/>
      <c r="AQ220" s="2547"/>
      <c r="AR220" s="2547"/>
      <c r="AS220" s="2547"/>
      <c r="AT220" s="2549"/>
      <c r="AU220" s="2547"/>
      <c r="AV220" s="2547"/>
      <c r="AW220" s="2547"/>
      <c r="AX220" s="2547"/>
      <c r="AY220" s="2549"/>
      <c r="AZ220" s="2547"/>
      <c r="BA220" s="2547"/>
      <c r="BB220" s="2545"/>
      <c r="BC220" s="2545"/>
      <c r="BD220" s="2546"/>
      <c r="BE220" s="2888"/>
      <c r="BF220" s="2889"/>
      <c r="BG220" s="2889"/>
      <c r="BH220" s="2889"/>
      <c r="BI220" s="2977"/>
      <c r="BJ220" s="2979"/>
      <c r="BK220" s="2980"/>
      <c r="BL220" s="2980"/>
      <c r="BM220" s="2980"/>
      <c r="BN220" s="2977"/>
      <c r="BO220" s="2979"/>
      <c r="BP220" s="2980"/>
      <c r="BQ220" s="2980"/>
      <c r="BR220" s="2980"/>
      <c r="BS220" s="2977"/>
      <c r="BT220" s="2548"/>
      <c r="BU220" s="2546"/>
      <c r="BV220" s="2546"/>
      <c r="BW220" s="2546"/>
      <c r="BX220" s="2546"/>
      <c r="BY220" s="2546"/>
      <c r="BZ220" s="2546"/>
      <c r="CA220" s="2546"/>
      <c r="CB220" s="2546"/>
      <c r="CC220" s="2548"/>
      <c r="CD220" s="2548"/>
      <c r="CE220" s="2548"/>
      <c r="CG220" s="2548"/>
      <c r="CH220" s="2548"/>
      <c r="CI220" s="2548"/>
      <c r="CJ220" s="2548"/>
      <c r="CK220" s="1175"/>
      <c r="CL220" s="1175"/>
      <c r="CM220" s="1175"/>
      <c r="CN220" s="1175"/>
      <c r="CO220" s="1175"/>
    </row>
    <row r="221" spans="1:93" s="1021" customFormat="1" outlineLevel="1">
      <c r="A221" s="1020" t="s">
        <v>986</v>
      </c>
      <c r="B221" s="1025"/>
      <c r="C221" s="1025"/>
      <c r="D221" s="1025"/>
      <c r="E221" s="1025"/>
      <c r="F221" s="1024"/>
      <c r="G221" s="1025"/>
      <c r="H221" s="1025"/>
      <c r="I221" s="1025"/>
      <c r="J221" s="1025"/>
      <c r="K221" s="1024"/>
      <c r="L221" s="1025"/>
      <c r="M221" s="1025"/>
      <c r="N221" s="1025"/>
      <c r="O221" s="1025"/>
      <c r="P221" s="1024"/>
      <c r="Q221" s="1025"/>
      <c r="R221" s="1025"/>
      <c r="S221" s="1025"/>
      <c r="T221" s="1025"/>
      <c r="U221" s="1024"/>
      <c r="V221" s="1025"/>
      <c r="W221" s="1025"/>
      <c r="X221" s="1025"/>
      <c r="Y221" s="1025"/>
      <c r="Z221" s="1024"/>
      <c r="AA221" s="1025"/>
      <c r="AB221" s="1025"/>
      <c r="AC221" s="1025"/>
      <c r="AD221" s="1025"/>
      <c r="AE221" s="1024"/>
      <c r="AF221" s="1025"/>
      <c r="AG221" s="1025"/>
      <c r="AH221" s="1025"/>
      <c r="AI221" s="1025"/>
      <c r="AJ221" s="1024"/>
      <c r="AK221" s="1025"/>
      <c r="AL221" s="1025"/>
      <c r="AM221" s="1025"/>
      <c r="AN221" s="1025">
        <f>30.3+5.8</f>
        <v>36.1</v>
      </c>
      <c r="AO221" s="1024"/>
      <c r="AP221" s="1025">
        <f>AP209+AP215</f>
        <v>52.2</v>
      </c>
      <c r="AQ221" s="1025">
        <f>AQ209+AQ215</f>
        <v>50.2</v>
      </c>
      <c r="AR221" s="1025">
        <f>AR209+AR215</f>
        <v>33.299999999999997</v>
      </c>
      <c r="AS221" s="1025">
        <f>AS209+AS215</f>
        <v>27.9</v>
      </c>
      <c r="AT221" s="1024">
        <f>SUM(AP221:AS221)</f>
        <v>163.6</v>
      </c>
      <c r="AU221" s="1025">
        <f>AU209+AU215</f>
        <v>31.3</v>
      </c>
      <c r="AV221" s="1025">
        <f>AV209+AV215</f>
        <v>27</v>
      </c>
      <c r="AW221" s="1025">
        <f>AW209+AW215</f>
        <v>18</v>
      </c>
      <c r="AX221" s="1025">
        <f>AX209+AX215</f>
        <v>12.999999999999996</v>
      </c>
      <c r="AY221" s="1024">
        <f>SUM(AU221:AX221)</f>
        <v>89.3</v>
      </c>
      <c r="AZ221" s="1025">
        <f>AZ209+AZ215</f>
        <v>9.76</v>
      </c>
      <c r="BA221" s="1025">
        <f>BA209+BA215</f>
        <v>6.660000000000001</v>
      </c>
      <c r="BB221" s="1025">
        <f>BB209+BB215</f>
        <v>0.22999999999999993</v>
      </c>
      <c r="BC221" s="1025">
        <f>BC209+BC215</f>
        <v>0.12</v>
      </c>
      <c r="BD221" s="1024">
        <f>SUM(AZ221:BC221)</f>
        <v>16.770000000000003</v>
      </c>
      <c r="BE221" s="2887"/>
      <c r="BF221" s="2887"/>
      <c r="BG221" s="2887"/>
      <c r="BH221" s="2887"/>
      <c r="BI221" s="2963"/>
      <c r="BJ221" s="2978"/>
      <c r="BK221" s="2978"/>
      <c r="BL221" s="2978"/>
      <c r="BM221" s="2978"/>
      <c r="BN221" s="2963"/>
      <c r="BO221" s="2978"/>
      <c r="BP221" s="2978"/>
      <c r="BQ221" s="2978"/>
      <c r="BR221" s="2978"/>
      <c r="BS221" s="2963"/>
      <c r="BT221" s="1521"/>
      <c r="BU221" s="1193"/>
      <c r="BV221" s="1193"/>
      <c r="BW221" s="1193"/>
      <c r="BX221" s="1193"/>
      <c r="BY221" s="1193"/>
      <c r="BZ221" s="1193"/>
      <c r="CA221" s="1193"/>
      <c r="CB221" s="1193"/>
    </row>
    <row r="222" spans="1:93" s="1022" customFormat="1" outlineLevel="1">
      <c r="A222" s="1452" t="s">
        <v>926</v>
      </c>
      <c r="B222" s="1453"/>
      <c r="C222" s="1453"/>
      <c r="D222" s="1453"/>
      <c r="E222" s="1453"/>
      <c r="F222" s="1454"/>
      <c r="G222" s="1453"/>
      <c r="H222" s="1453"/>
      <c r="I222" s="1453"/>
      <c r="J222" s="1453"/>
      <c r="K222" s="1454"/>
      <c r="L222" s="1453"/>
      <c r="M222" s="1453"/>
      <c r="N222" s="1453"/>
      <c r="O222" s="1453"/>
      <c r="P222" s="1454"/>
      <c r="Q222" s="1453"/>
      <c r="R222" s="1453"/>
      <c r="S222" s="1453"/>
      <c r="T222" s="1453"/>
      <c r="U222" s="1454"/>
      <c r="V222" s="1453"/>
      <c r="W222" s="1453"/>
      <c r="X222" s="1453"/>
      <c r="Y222" s="1453"/>
      <c r="Z222" s="1454"/>
      <c r="AA222" s="1453"/>
      <c r="AB222" s="1453"/>
      <c r="AC222" s="1453"/>
      <c r="AD222" s="1453"/>
      <c r="AE222" s="1454"/>
      <c r="AF222" s="1446"/>
      <c r="AG222" s="1453"/>
      <c r="AH222" s="1453"/>
      <c r="AI222" s="1453"/>
      <c r="AJ222" s="1443"/>
      <c r="AK222" s="1442"/>
      <c r="AL222" s="1442"/>
      <c r="AM222" s="1442"/>
      <c r="AN222" s="1442"/>
      <c r="AO222" s="1443"/>
      <c r="AP222" s="1442" t="str">
        <f>IFERROR((AP221/AK221-1),"")</f>
        <v/>
      </c>
      <c r="AQ222" s="1442" t="str">
        <f>IFERROR((AQ221/AL221-1),"")</f>
        <v/>
      </c>
      <c r="AR222" s="1442" t="str">
        <f>IFERROR((AR221/AM221-1),"")</f>
        <v/>
      </c>
      <c r="AS222" s="1442">
        <f>AS221/AN221-1</f>
        <v>-0.22714681440443218</v>
      </c>
      <c r="AT222" s="1443" t="str">
        <f>IFERROR((AT221/AO221-1),"")</f>
        <v/>
      </c>
      <c r="AU222" s="1442">
        <f>AU221/AP221-1</f>
        <v>-0.40038314176245215</v>
      </c>
      <c r="AV222" s="1442">
        <f>AV221/AQ221-1</f>
        <v>-0.46215139442231079</v>
      </c>
      <c r="AW222" s="1442">
        <f>AW221/AR221-1</f>
        <v>-0.45945945945945943</v>
      </c>
      <c r="AX222" s="1442">
        <f>AX221/AS221-1</f>
        <v>-0.53405017921146958</v>
      </c>
      <c r="AY222" s="1443">
        <f>IFERROR((AY221/AT221-1),"")</f>
        <v>-0.45415647921760394</v>
      </c>
      <c r="AZ222" s="1442">
        <f>AZ221/AU221-1</f>
        <v>-0.6881789137380192</v>
      </c>
      <c r="BA222" s="1442">
        <f>BA221/AV221-1</f>
        <v>-0.7533333333333333</v>
      </c>
      <c r="BB222" s="1442">
        <f>BB221/AW221-1</f>
        <v>-0.98722222222222222</v>
      </c>
      <c r="BC222" s="1442">
        <f>BC221/AX221-1</f>
        <v>-0.99076923076923074</v>
      </c>
      <c r="BD222" s="1443">
        <f>IFERROR((BD221/AY221-1),"")</f>
        <v>-0.81220604703247479</v>
      </c>
      <c r="BE222" s="2866"/>
      <c r="BF222" s="2866"/>
      <c r="BG222" s="2866"/>
      <c r="BH222" s="2866"/>
      <c r="BI222" s="2942"/>
      <c r="BJ222" s="2943"/>
      <c r="BK222" s="2943"/>
      <c r="BL222" s="2943"/>
      <c r="BM222" s="2943"/>
      <c r="BN222" s="2942"/>
      <c r="BO222" s="2943"/>
      <c r="BP222" s="2943"/>
      <c r="BQ222" s="2943"/>
      <c r="BR222" s="2943"/>
      <c r="BS222" s="2942"/>
      <c r="BT222" s="1438"/>
      <c r="BU222" s="1443"/>
      <c r="BV222" s="1443"/>
      <c r="BW222" s="1443"/>
      <c r="BX222" s="1443"/>
      <c r="BY222" s="1443"/>
      <c r="BZ222" s="1443"/>
      <c r="CA222" s="1443"/>
      <c r="CB222" s="1443"/>
    </row>
    <row r="223" spans="1:93" s="1021" customFormat="1" outlineLevel="1">
      <c r="A223" s="1020" t="s">
        <v>928</v>
      </c>
      <c r="B223" s="1025"/>
      <c r="C223" s="1025"/>
      <c r="D223" s="1025"/>
      <c r="E223" s="1025"/>
      <c r="F223" s="1024"/>
      <c r="G223" s="1025"/>
      <c r="H223" s="1025"/>
      <c r="I223" s="1025"/>
      <c r="J223" s="1025"/>
      <c r="K223" s="1024"/>
      <c r="L223" s="1025"/>
      <c r="M223" s="1025"/>
      <c r="N223" s="1025"/>
      <c r="O223" s="1025"/>
      <c r="P223" s="1024"/>
      <c r="Q223" s="1025"/>
      <c r="R223" s="1025"/>
      <c r="S223" s="1025"/>
      <c r="T223" s="1025"/>
      <c r="U223" s="1024"/>
      <c r="V223" s="1025"/>
      <c r="W223" s="1025"/>
      <c r="X223" s="1025"/>
      <c r="Y223" s="1025"/>
      <c r="Z223" s="1024"/>
      <c r="AA223" s="1025"/>
      <c r="AB223" s="1025"/>
      <c r="AC223" s="1025"/>
      <c r="AD223" s="1025"/>
      <c r="AE223" s="1024"/>
      <c r="AF223" s="1025"/>
      <c r="AG223" s="1025"/>
      <c r="AH223" s="1025"/>
      <c r="AI223" s="1025"/>
      <c r="AJ223" s="1024"/>
      <c r="AK223" s="1025"/>
      <c r="AL223" s="1025"/>
      <c r="AM223" s="1025"/>
      <c r="AN223" s="1025">
        <v>54.995383194829174</v>
      </c>
      <c r="AO223" s="1012"/>
      <c r="AP223" s="1025">
        <v>49.980842911877389</v>
      </c>
      <c r="AQ223" s="1025">
        <v>45.498007968127489</v>
      </c>
      <c r="AR223" s="1025">
        <v>41.951951951951955</v>
      </c>
      <c r="AS223" s="1025">
        <f>AN223*(1+AS224)</f>
        <v>44.229390681003586</v>
      </c>
      <c r="AT223" s="1024">
        <f>AT225/AT221</f>
        <v>45.990220048899758</v>
      </c>
      <c r="AU223" s="1025">
        <f>AP223*(1+AU224)</f>
        <v>29.457527156549521</v>
      </c>
      <c r="AV223" s="1025">
        <f>AQ223*(1+AV224)</f>
        <v>34.894444444444446</v>
      </c>
      <c r="AW223" s="1025">
        <f>AR223*(1+AW224)</f>
        <v>43.384611111111113</v>
      </c>
      <c r="AX223" s="1025">
        <f t="shared" ref="AX223:BD223" si="153">AX225/AX221</f>
        <v>27.203076923076928</v>
      </c>
      <c r="AY223" s="1024">
        <f t="shared" si="153"/>
        <v>33.580443449048154</v>
      </c>
      <c r="AZ223" s="1025">
        <f t="shared" si="153"/>
        <v>26.834016393442621</v>
      </c>
      <c r="BA223" s="1025">
        <f t="shared" si="153"/>
        <v>26.993243243243239</v>
      </c>
      <c r="BB223" s="1025">
        <f t="shared" si="153"/>
        <v>135</v>
      </c>
      <c r="BC223" s="1025">
        <f t="shared" si="153"/>
        <v>135</v>
      </c>
      <c r="BD223" s="1024">
        <f t="shared" si="153"/>
        <v>29.154740608228973</v>
      </c>
      <c r="BE223" s="2887"/>
      <c r="BF223" s="2887"/>
      <c r="BG223" s="2887"/>
      <c r="BH223" s="2887"/>
      <c r="BI223" s="2969"/>
      <c r="BJ223" s="2964"/>
      <c r="BK223" s="2964"/>
      <c r="BL223" s="2964"/>
      <c r="BM223" s="2964"/>
      <c r="BN223" s="2969"/>
      <c r="BO223" s="2964"/>
      <c r="BP223" s="2964"/>
      <c r="BQ223" s="2964"/>
      <c r="BR223" s="2964"/>
      <c r="BS223" s="2969"/>
      <c r="BT223" s="1521"/>
      <c r="BU223" s="1193"/>
      <c r="BV223" s="1193"/>
      <c r="BW223" s="1193"/>
      <c r="BX223" s="1193"/>
      <c r="BY223" s="1193"/>
      <c r="BZ223" s="1193"/>
      <c r="CA223" s="1193"/>
      <c r="CB223" s="1193"/>
    </row>
    <row r="224" spans="1:93" s="1022" customFormat="1" outlineLevel="1">
      <c r="A224" s="1452" t="s">
        <v>926</v>
      </c>
      <c r="B224" s="1453"/>
      <c r="C224" s="1453"/>
      <c r="D224" s="1453"/>
      <c r="E224" s="1453"/>
      <c r="F224" s="1454"/>
      <c r="G224" s="1453"/>
      <c r="H224" s="1453"/>
      <c r="I224" s="1453"/>
      <c r="J224" s="1453"/>
      <c r="K224" s="1454"/>
      <c r="L224" s="1453"/>
      <c r="M224" s="1453"/>
      <c r="N224" s="1453"/>
      <c r="O224" s="1453"/>
      <c r="P224" s="1454"/>
      <c r="Q224" s="1453"/>
      <c r="R224" s="1453"/>
      <c r="S224" s="1453"/>
      <c r="T224" s="1453"/>
      <c r="U224" s="1454"/>
      <c r="V224" s="1453"/>
      <c r="W224" s="1453"/>
      <c r="X224" s="1453"/>
      <c r="Y224" s="1453"/>
      <c r="Z224" s="1454"/>
      <c r="AA224" s="1453"/>
      <c r="AB224" s="1453"/>
      <c r="AC224" s="1453"/>
      <c r="AD224" s="1453"/>
      <c r="AE224" s="1454"/>
      <c r="AF224" s="1446"/>
      <c r="AG224" s="1453"/>
      <c r="AH224" s="1453"/>
      <c r="AI224" s="1453"/>
      <c r="AJ224" s="1443"/>
      <c r="AK224" s="1442"/>
      <c r="AL224" s="1442"/>
      <c r="AM224" s="1442"/>
      <c r="AN224" s="1442"/>
      <c r="AO224" s="1443"/>
      <c r="AP224" s="1442"/>
      <c r="AQ224" s="1442" t="str">
        <f>IFERROR((AQ223/AL223-1),"")</f>
        <v/>
      </c>
      <c r="AR224" s="1442" t="str">
        <f>IFERROR((AR223/AM223-1),"")</f>
        <v/>
      </c>
      <c r="AS224" s="1442">
        <v>-0.19576175104891058</v>
      </c>
      <c r="AT224" s="1443" t="s">
        <v>834</v>
      </c>
      <c r="AU224" s="1442">
        <v>-0.41062364217252389</v>
      </c>
      <c r="AV224" s="1442">
        <v>-0.23305555555555546</v>
      </c>
      <c r="AW224" s="1442">
        <v>3.4149999999999903E-2</v>
      </c>
      <c r="AX224" s="1442">
        <f>AX223/AS223-1</f>
        <v>-0.38495474379753136</v>
      </c>
      <c r="AY224" s="1443">
        <f>IFERROR((AY223/AT223-1),"")</f>
        <v>-0.2698351211769966</v>
      </c>
      <c r="AZ224" s="1442">
        <f>AZ223/AU223-1</f>
        <v>-8.9060794178835057E-2</v>
      </c>
      <c r="BA224" s="1442">
        <f>BA223/AV223-1</f>
        <v>-0.2264314943824578</v>
      </c>
      <c r="BB224" s="1442">
        <f>BB223/AW223-1</f>
        <v>2.1117024341708466</v>
      </c>
      <c r="BC224" s="1442">
        <f>BC223/AX223-1</f>
        <v>3.9626739056667786</v>
      </c>
      <c r="BD224" s="1443">
        <f>IFERROR((BD223/AY223-1),"")</f>
        <v>-0.1317940558925117</v>
      </c>
      <c r="BE224" s="2870"/>
      <c r="BF224" s="2870"/>
      <c r="BG224" s="2870"/>
      <c r="BH224" s="2870"/>
      <c r="BI224" s="2942"/>
      <c r="BJ224" s="2947"/>
      <c r="BK224" s="2947"/>
      <c r="BL224" s="2947"/>
      <c r="BM224" s="2947"/>
      <c r="BN224" s="2942"/>
      <c r="BO224" s="2947"/>
      <c r="BP224" s="2947"/>
      <c r="BQ224" s="2947"/>
      <c r="BR224" s="2947"/>
      <c r="BS224" s="2942"/>
      <c r="BT224" s="1438"/>
      <c r="BU224" s="1443"/>
      <c r="BV224" s="1443"/>
      <c r="BW224" s="1443"/>
      <c r="BX224" s="1443"/>
      <c r="BY224" s="1443"/>
      <c r="BZ224" s="1443"/>
      <c r="CA224" s="1443"/>
      <c r="CB224" s="1443"/>
    </row>
    <row r="225" spans="1:83" s="1011" customFormat="1" outlineLevel="1">
      <c r="A225" s="1013" t="s">
        <v>1155</v>
      </c>
      <c r="B225" s="1015"/>
      <c r="C225" s="1015"/>
      <c r="D225" s="1015"/>
      <c r="E225" s="1015"/>
      <c r="F225" s="1014"/>
      <c r="G225" s="1015"/>
      <c r="H225" s="1015"/>
      <c r="I225" s="1015"/>
      <c r="J225" s="1015"/>
      <c r="K225" s="1014"/>
      <c r="L225" s="1015"/>
      <c r="M225" s="1015"/>
      <c r="N225" s="1015"/>
      <c r="O225" s="1015"/>
      <c r="P225" s="1014"/>
      <c r="Q225" s="1015"/>
      <c r="R225" s="1015"/>
      <c r="S225" s="1015"/>
      <c r="T225" s="1015"/>
      <c r="U225" s="1014"/>
      <c r="V225" s="1015"/>
      <c r="W225" s="1015"/>
      <c r="X225" s="1015"/>
      <c r="Y225" s="1015"/>
      <c r="Z225" s="1014"/>
      <c r="AA225" s="1015"/>
      <c r="AB225" s="1015"/>
      <c r="AC225" s="1015"/>
      <c r="AD225" s="1015"/>
      <c r="AE225" s="1014"/>
      <c r="AF225" s="1015"/>
      <c r="AG225" s="1015"/>
      <c r="AH225" s="1015"/>
      <c r="AI225" s="1015"/>
      <c r="AJ225" s="1014"/>
      <c r="AK225" s="1015"/>
      <c r="AL225" s="1015"/>
      <c r="AM225" s="1015"/>
      <c r="AN225" s="1015">
        <v>1985.3333333333333</v>
      </c>
      <c r="AO225" s="1014">
        <f>SUM(AK225:AN225)</f>
        <v>1985.3333333333333</v>
      </c>
      <c r="AP225" s="1015">
        <v>2609</v>
      </c>
      <c r="AQ225" s="1015">
        <f>AQ223*AQ221</f>
        <v>2284</v>
      </c>
      <c r="AR225" s="1015">
        <f>AR223*AR221</f>
        <v>1397</v>
      </c>
      <c r="AS225" s="1015">
        <f>AS223*AS221</f>
        <v>1234</v>
      </c>
      <c r="AT225" s="1014">
        <f>SUM(AP225:AS225)</f>
        <v>7524</v>
      </c>
      <c r="AU225" s="1015">
        <f>AU223*AU221</f>
        <v>922.02060000000006</v>
      </c>
      <c r="AV225" s="1015">
        <f>AV223*AV221</f>
        <v>942.15000000000009</v>
      </c>
      <c r="AW225" s="1015">
        <f>AW223*AW221</f>
        <v>780.923</v>
      </c>
      <c r="AX225" s="1015">
        <f>AX212+AX218</f>
        <v>353.64</v>
      </c>
      <c r="AY225" s="1014">
        <f>SUM(AU225:AX225)</f>
        <v>2998.7336</v>
      </c>
      <c r="AZ225" s="1015">
        <f>AZ212+AZ218</f>
        <v>261.89999999999998</v>
      </c>
      <c r="BA225" s="1015">
        <f>BA212+BA218</f>
        <v>179.77500000000001</v>
      </c>
      <c r="BB225" s="1015">
        <f>BB212+BB218</f>
        <v>31.04999999999999</v>
      </c>
      <c r="BC225" s="1015">
        <f>BC212+BC218</f>
        <v>16.2</v>
      </c>
      <c r="BD225" s="1014">
        <f>SUM(AZ225:BC225)</f>
        <v>488.92499999999995</v>
      </c>
      <c r="BE225" s="2883"/>
      <c r="BF225" s="2883"/>
      <c r="BG225" s="2883"/>
      <c r="BH225" s="2883"/>
      <c r="BI225" s="2967"/>
      <c r="BJ225" s="2968"/>
      <c r="BK225" s="2968"/>
      <c r="BL225" s="2968"/>
      <c r="BM225" s="2968"/>
      <c r="BN225" s="2967"/>
      <c r="BO225" s="2968"/>
      <c r="BP225" s="2968"/>
      <c r="BQ225" s="2968"/>
      <c r="BR225" s="2968"/>
      <c r="BS225" s="2967"/>
      <c r="BT225" s="1523"/>
      <c r="BU225" s="1014"/>
      <c r="BV225" s="1014"/>
      <c r="BW225" s="1014">
        <f>SUM(AM225:AN225,AP225:AQ225)</f>
        <v>6878.333333333333</v>
      </c>
      <c r="BX225" s="1014">
        <f>SUM(AR225:AS225,AU225:AV225)</f>
        <v>4495.1705999999995</v>
      </c>
      <c r="BY225" s="1014">
        <f>SUM(AW225:AX225,AZ225:BA225)</f>
        <v>1576.2380000000003</v>
      </c>
      <c r="BZ225" s="1014">
        <f>SUM(BB225:BC225,BE225:BF225)</f>
        <v>47.249999999999986</v>
      </c>
      <c r="CA225" s="1014"/>
      <c r="CB225" s="1014"/>
    </row>
    <row r="226" spans="1:83" s="1022" customFormat="1" outlineLevel="1">
      <c r="A226" s="1452" t="s">
        <v>926</v>
      </c>
      <c r="B226" s="1453"/>
      <c r="C226" s="1453"/>
      <c r="D226" s="1453"/>
      <c r="E226" s="1453"/>
      <c r="F226" s="1454"/>
      <c r="G226" s="1453"/>
      <c r="H226" s="1453"/>
      <c r="I226" s="1453"/>
      <c r="J226" s="1453"/>
      <c r="K226" s="1454"/>
      <c r="L226" s="1453"/>
      <c r="M226" s="1453"/>
      <c r="N226" s="1453"/>
      <c r="O226" s="1453"/>
      <c r="P226" s="1454"/>
      <c r="Q226" s="1453"/>
      <c r="R226" s="1453"/>
      <c r="S226" s="1453"/>
      <c r="T226" s="1453"/>
      <c r="U226" s="1454"/>
      <c r="V226" s="1453"/>
      <c r="W226" s="1453"/>
      <c r="X226" s="1453"/>
      <c r="Y226" s="1453"/>
      <c r="Z226" s="1454"/>
      <c r="AA226" s="1453"/>
      <c r="AB226" s="1453"/>
      <c r="AC226" s="1453"/>
      <c r="AD226" s="1453"/>
      <c r="AE226" s="1454"/>
      <c r="AF226" s="1446"/>
      <c r="AG226" s="1453"/>
      <c r="AH226" s="1453"/>
      <c r="AI226" s="1453"/>
      <c r="AJ226" s="1443"/>
      <c r="AK226" s="1442"/>
      <c r="AL226" s="1442"/>
      <c r="AM226" s="1442"/>
      <c r="AN226" s="1442"/>
      <c r="AO226" s="1443"/>
      <c r="AP226" s="1442"/>
      <c r="AQ226" s="1442"/>
      <c r="AR226" s="1442" t="str">
        <f t="shared" ref="AR226:BD226" si="154">IFERROR((AR225/AM225-1),"")</f>
        <v/>
      </c>
      <c r="AS226" s="1442">
        <f t="shared" si="154"/>
        <v>-0.37844190732034921</v>
      </c>
      <c r="AT226" s="1443">
        <f t="shared" si="154"/>
        <v>2.7897918065815985</v>
      </c>
      <c r="AU226" s="1442">
        <f t="shared" si="154"/>
        <v>-0.64659999999999995</v>
      </c>
      <c r="AV226" s="1442">
        <f t="shared" si="154"/>
        <v>-0.58749999999999991</v>
      </c>
      <c r="AW226" s="1442">
        <f t="shared" si="154"/>
        <v>-0.44099999999999995</v>
      </c>
      <c r="AX226" s="1442">
        <f t="shared" si="154"/>
        <v>-0.71341977309562399</v>
      </c>
      <c r="AY226" s="1443">
        <f t="shared" si="154"/>
        <v>-0.60144423179160023</v>
      </c>
      <c r="AZ226" s="1442">
        <f t="shared" si="154"/>
        <v>-0.71594994732221817</v>
      </c>
      <c r="BA226" s="1442">
        <f t="shared" si="154"/>
        <v>-0.8091864352810062</v>
      </c>
      <c r="BB226" s="1442">
        <f t="shared" si="154"/>
        <v>-0.96023935778559477</v>
      </c>
      <c r="BC226" s="1442">
        <f t="shared" si="154"/>
        <v>-0.95419070240922976</v>
      </c>
      <c r="BD226" s="1443">
        <f t="shared" si="154"/>
        <v>-0.8369561737661525</v>
      </c>
      <c r="BE226" s="2866"/>
      <c r="BF226" s="2866"/>
      <c r="BG226" s="2866"/>
      <c r="BH226" s="2866"/>
      <c r="BI226" s="2942"/>
      <c r="BJ226" s="2943"/>
      <c r="BK226" s="2943"/>
      <c r="BL226" s="2943"/>
      <c r="BM226" s="2943"/>
      <c r="BN226" s="2942"/>
      <c r="BO226" s="2943"/>
      <c r="BP226" s="2943"/>
      <c r="BQ226" s="2943"/>
      <c r="BR226" s="2943"/>
      <c r="BS226" s="2942"/>
      <c r="BT226" s="1438"/>
      <c r="BU226" s="1443"/>
      <c r="BV226" s="1443"/>
      <c r="BW226" s="1443"/>
      <c r="BX226" s="1443"/>
      <c r="BY226" s="1443"/>
      <c r="BZ226" s="1443"/>
      <c r="CA226" s="1443"/>
      <c r="CB226" s="1443"/>
    </row>
    <row r="227" spans="1:83" outlineLevel="1">
      <c r="B227" s="1037"/>
      <c r="C227" s="1037"/>
      <c r="D227" s="1037"/>
      <c r="E227" s="1037"/>
      <c r="F227" s="1037"/>
      <c r="G227" s="1037"/>
      <c r="H227" s="1037"/>
      <c r="I227" s="1037"/>
      <c r="J227" s="1037"/>
      <c r="K227" s="1037"/>
      <c r="L227" s="1037"/>
      <c r="M227" s="1037"/>
      <c r="N227" s="1037"/>
      <c r="O227" s="1037"/>
      <c r="P227" s="1037"/>
      <c r="Q227" s="1037"/>
      <c r="R227" s="1037"/>
      <c r="S227" s="1037"/>
      <c r="T227" s="1037"/>
      <c r="U227" s="1037"/>
      <c r="V227" s="1037"/>
      <c r="W227" s="1037"/>
      <c r="X227" s="1037"/>
      <c r="Y227" s="1037"/>
      <c r="Z227" s="1037"/>
      <c r="AA227" s="1037"/>
      <c r="AB227" s="1037"/>
      <c r="AC227" s="1037"/>
      <c r="AD227" s="1037"/>
      <c r="AE227" s="1037"/>
      <c r="AF227" s="1037"/>
      <c r="AG227" s="1037"/>
      <c r="AH227" s="1037"/>
      <c r="AI227" s="1037"/>
      <c r="AJ227" s="1532"/>
      <c r="AK227" s="1037"/>
      <c r="AL227" s="1037"/>
      <c r="AM227" s="1037"/>
      <c r="AN227" s="1037"/>
      <c r="AO227" s="1532"/>
      <c r="AP227" s="1037"/>
      <c r="AQ227" s="1037"/>
      <c r="AR227" s="1037"/>
      <c r="AS227" s="1037"/>
      <c r="AT227" s="1532"/>
      <c r="AU227" s="1037"/>
      <c r="AV227" s="1037"/>
      <c r="AW227" s="1037"/>
      <c r="AX227" s="1037"/>
      <c r="AY227" s="1532"/>
      <c r="AZ227" s="1037"/>
      <c r="BA227" s="1037"/>
      <c r="BB227" s="1037"/>
      <c r="BC227" s="1037"/>
      <c r="BD227" s="1532"/>
      <c r="BE227" s="2849"/>
      <c r="BF227" s="2849"/>
      <c r="BG227" s="2849"/>
      <c r="BH227" s="2849"/>
      <c r="BI227" s="2981"/>
      <c r="BJ227" s="2912"/>
      <c r="BK227" s="2912"/>
      <c r="BL227" s="2912"/>
      <c r="BM227" s="2912"/>
      <c r="BN227" s="2981"/>
      <c r="BO227" s="2912"/>
      <c r="BP227" s="2912"/>
      <c r="BQ227" s="2912"/>
      <c r="BR227" s="2912"/>
      <c r="BS227" s="2981"/>
      <c r="BT227" s="1343"/>
      <c r="BU227" s="1532"/>
      <c r="BV227" s="1532"/>
      <c r="BW227" s="1532"/>
      <c r="BX227" s="1532"/>
      <c r="BY227" s="1532"/>
      <c r="BZ227" s="1532"/>
      <c r="CA227" s="1532"/>
      <c r="CB227" s="1532"/>
    </row>
    <row r="228" spans="1:83" outlineLevel="1">
      <c r="B228" s="1037"/>
      <c r="C228" s="1037"/>
      <c r="D228" s="1037"/>
      <c r="E228" s="1037"/>
      <c r="F228" s="1037"/>
      <c r="G228" s="1037"/>
      <c r="H228" s="1037"/>
      <c r="I228" s="1037"/>
      <c r="J228" s="1037"/>
      <c r="K228" s="1037"/>
      <c r="L228" s="1037"/>
      <c r="M228" s="1037"/>
      <c r="N228" s="1037"/>
      <c r="O228" s="1037"/>
      <c r="P228" s="1037"/>
      <c r="Q228" s="1037"/>
      <c r="R228" s="1037"/>
      <c r="S228" s="1037"/>
      <c r="T228" s="1037"/>
      <c r="U228" s="1037"/>
      <c r="V228" s="1037"/>
      <c r="W228" s="1037"/>
      <c r="X228" s="1037"/>
      <c r="Y228" s="1037"/>
      <c r="Z228" s="1037"/>
      <c r="AA228" s="1037"/>
      <c r="AB228" s="1037"/>
      <c r="AC228" s="1037"/>
      <c r="AD228" s="1037"/>
      <c r="AE228" s="1037"/>
      <c r="AF228" s="1037"/>
      <c r="AG228" s="1037"/>
      <c r="AH228" s="1037"/>
      <c r="AI228" s="1037"/>
      <c r="AJ228" s="1532"/>
      <c r="AK228" s="1037"/>
      <c r="AL228" s="1037"/>
      <c r="AM228" s="1037"/>
      <c r="AN228" s="1037"/>
      <c r="AO228" s="1532"/>
      <c r="AP228" s="1037"/>
      <c r="AQ228" s="1037"/>
      <c r="AR228" s="1037"/>
      <c r="AS228" s="1037"/>
      <c r="AT228" s="1532"/>
      <c r="AU228" s="1037"/>
      <c r="AV228" s="1037"/>
      <c r="AW228" s="1037"/>
      <c r="AX228" s="1037"/>
      <c r="AY228" s="1532"/>
      <c r="AZ228" s="1037"/>
      <c r="BA228" s="1037"/>
      <c r="BB228" s="1037"/>
      <c r="BC228" s="1037"/>
      <c r="BD228" s="1532"/>
      <c r="BE228" s="2849"/>
      <c r="BF228" s="2849"/>
      <c r="BG228" s="2849"/>
      <c r="BH228" s="2849"/>
      <c r="BI228" s="2981"/>
      <c r="BJ228" s="2912"/>
      <c r="BK228" s="2912"/>
      <c r="BL228" s="2912"/>
      <c r="BM228" s="2912"/>
      <c r="BN228" s="2981"/>
      <c r="BO228" s="2912"/>
      <c r="BP228" s="2912"/>
      <c r="BQ228" s="2912"/>
      <c r="BR228" s="2912"/>
      <c r="BS228" s="2981"/>
      <c r="BT228" s="1343"/>
      <c r="BU228" s="1532"/>
      <c r="BV228" s="1532"/>
      <c r="BW228" s="1532"/>
      <c r="BX228" s="1532"/>
      <c r="BY228" s="1532"/>
      <c r="BZ228" s="1532"/>
      <c r="CA228" s="1532"/>
      <c r="CB228" s="1532"/>
    </row>
    <row r="229" spans="1:83" s="1039" customFormat="1" outlineLevel="1">
      <c r="A229" s="1050" t="s">
        <v>970</v>
      </c>
      <c r="B229" s="1051"/>
      <c r="C229" s="1051"/>
      <c r="D229" s="1051"/>
      <c r="E229" s="1051"/>
      <c r="F229" s="1052"/>
      <c r="G229" s="1051"/>
      <c r="H229" s="1051"/>
      <c r="I229" s="1051"/>
      <c r="J229" s="1051"/>
      <c r="K229" s="1052"/>
      <c r="L229" s="1051"/>
      <c r="M229" s="1051"/>
      <c r="N229" s="1051"/>
      <c r="O229" s="1051"/>
      <c r="P229" s="1052"/>
      <c r="Q229" s="1051"/>
      <c r="R229" s="1051"/>
      <c r="S229" s="1051"/>
      <c r="T229" s="1051"/>
      <c r="U229" s="1052"/>
      <c r="V229" s="1051"/>
      <c r="W229" s="1051"/>
      <c r="X229" s="1051"/>
      <c r="Y229" s="1051"/>
      <c r="Z229" s="1052"/>
      <c r="AA229" s="1051"/>
      <c r="AB229" s="1051"/>
      <c r="AC229" s="1051"/>
      <c r="AD229" s="1051"/>
      <c r="AE229" s="1052"/>
      <c r="AF229" s="1053"/>
      <c r="AG229" s="1051"/>
      <c r="AH229" s="1051"/>
      <c r="AI229" s="1051"/>
      <c r="AJ229" s="1052"/>
      <c r="AK229" s="1054"/>
      <c r="AL229" s="1051"/>
      <c r="AM229" s="1051"/>
      <c r="AN229" s="1051"/>
      <c r="AO229" s="1052"/>
      <c r="AP229" s="1054"/>
      <c r="AQ229" s="1051"/>
      <c r="AR229" s="1051"/>
      <c r="AS229" s="1051"/>
      <c r="AT229" s="1052"/>
      <c r="AU229" s="1054"/>
      <c r="AV229" s="1051"/>
      <c r="AW229" s="1051"/>
      <c r="AX229" s="1051"/>
      <c r="AY229" s="1052"/>
      <c r="AZ229" s="1054"/>
      <c r="BA229" s="1051"/>
      <c r="BB229" s="1051"/>
      <c r="BC229" s="1051"/>
      <c r="BD229" s="1052"/>
      <c r="BE229" s="2851"/>
      <c r="BF229" s="2852"/>
      <c r="BG229" s="2852"/>
      <c r="BH229" s="2852"/>
      <c r="BI229" s="2915"/>
      <c r="BJ229" s="2916"/>
      <c r="BK229" s="2917"/>
      <c r="BL229" s="2917"/>
      <c r="BM229" s="2917"/>
      <c r="BN229" s="2915"/>
      <c r="BO229" s="2916"/>
      <c r="BP229" s="2917"/>
      <c r="BQ229" s="2917"/>
      <c r="BR229" s="2917"/>
      <c r="BS229" s="2915"/>
      <c r="BT229" s="1343"/>
      <c r="BU229" s="1052"/>
      <c r="BV229" s="1052"/>
      <c r="BW229" s="1052"/>
      <c r="BX229" s="1052"/>
      <c r="BY229" s="1052"/>
      <c r="BZ229" s="1052"/>
      <c r="CA229" s="1052"/>
      <c r="CB229" s="1052"/>
      <c r="CC229" s="986"/>
      <c r="CD229" s="986"/>
      <c r="CE229" s="986"/>
    </row>
    <row r="230" spans="1:83" outlineLevel="1">
      <c r="B230" s="1037">
        <v>38990</v>
      </c>
      <c r="C230" s="1037">
        <v>39082</v>
      </c>
      <c r="D230" s="1037">
        <v>39172</v>
      </c>
      <c r="E230" s="1037">
        <v>39263</v>
      </c>
      <c r="F230" s="1018" t="s">
        <v>142</v>
      </c>
      <c r="G230" s="1037">
        <v>39355</v>
      </c>
      <c r="H230" s="1037">
        <v>39447</v>
      </c>
      <c r="I230" s="1037">
        <v>39538</v>
      </c>
      <c r="J230" s="1037">
        <v>39607</v>
      </c>
      <c r="K230" s="1018" t="s">
        <v>830</v>
      </c>
      <c r="L230" s="1037">
        <v>39699</v>
      </c>
      <c r="M230" s="1037">
        <v>39790</v>
      </c>
      <c r="N230" s="1037">
        <v>39881</v>
      </c>
      <c r="O230" s="1037">
        <v>39973</v>
      </c>
      <c r="P230" s="1018" t="s">
        <v>311</v>
      </c>
      <c r="Q230" s="1037">
        <v>40065</v>
      </c>
      <c r="R230" s="1037" t="s">
        <v>837</v>
      </c>
      <c r="S230" s="1037" t="s">
        <v>546</v>
      </c>
      <c r="T230" s="1037" t="s">
        <v>591</v>
      </c>
      <c r="U230" s="1018" t="s">
        <v>592</v>
      </c>
      <c r="V230" s="1037" t="s">
        <v>679</v>
      </c>
      <c r="W230" s="1037" t="s">
        <v>208</v>
      </c>
      <c r="X230" s="1037" t="s">
        <v>470</v>
      </c>
      <c r="Y230" s="1037" t="s">
        <v>67</v>
      </c>
      <c r="Z230" s="1018" t="s">
        <v>68</v>
      </c>
      <c r="AA230" s="1037" t="s">
        <v>478</v>
      </c>
      <c r="AB230" s="1037" t="s">
        <v>184</v>
      </c>
      <c r="AC230" s="1037" t="s">
        <v>172</v>
      </c>
      <c r="AD230" s="1037" t="s">
        <v>179</v>
      </c>
      <c r="AE230" s="1018" t="s">
        <v>180</v>
      </c>
      <c r="AF230" s="1018" t="s">
        <v>159</v>
      </c>
      <c r="AG230" s="1018" t="s">
        <v>894</v>
      </c>
      <c r="AH230" s="1018" t="s">
        <v>464</v>
      </c>
      <c r="AI230" s="1018" t="s">
        <v>26</v>
      </c>
      <c r="AJ230" s="1102" t="s">
        <v>27</v>
      </c>
      <c r="AK230" s="1018" t="s">
        <v>758</v>
      </c>
      <c r="AL230" s="1018" t="s">
        <v>905</v>
      </c>
      <c r="AM230" s="1018" t="s">
        <v>984</v>
      </c>
      <c r="AN230" s="1018" t="s">
        <v>1005</v>
      </c>
      <c r="AO230" s="1534" t="s">
        <v>1006</v>
      </c>
      <c r="AP230" s="1018" t="s">
        <v>1016</v>
      </c>
      <c r="AQ230" s="1018" t="s">
        <v>1025</v>
      </c>
      <c r="AR230" s="1018" t="s">
        <v>1026</v>
      </c>
      <c r="AS230" s="1018" t="s">
        <v>1029</v>
      </c>
      <c r="AT230" s="1102" t="s">
        <v>1030</v>
      </c>
      <c r="AU230" s="1018" t="s">
        <v>1086</v>
      </c>
      <c r="AV230" s="1018" t="s">
        <v>1117</v>
      </c>
      <c r="AW230" s="1018" t="s">
        <v>1125</v>
      </c>
      <c r="AX230" s="1018" t="s">
        <v>1411</v>
      </c>
      <c r="AY230" s="1102" t="s">
        <v>641</v>
      </c>
      <c r="AZ230" s="1018" t="s">
        <v>1413</v>
      </c>
      <c r="BA230" s="1018" t="s">
        <v>1421</v>
      </c>
      <c r="BB230" s="1018" t="s">
        <v>655</v>
      </c>
      <c r="BC230" s="1018" t="s">
        <v>656</v>
      </c>
      <c r="BD230" s="1102" t="s">
        <v>887</v>
      </c>
      <c r="BE230" s="2890"/>
      <c r="BF230" s="2890"/>
      <c r="BG230" s="2890"/>
      <c r="BH230" s="2890"/>
      <c r="BI230" s="2982"/>
      <c r="BJ230" s="2983"/>
      <c r="BK230" s="2983"/>
      <c r="BL230" s="2983"/>
      <c r="BM230" s="2983"/>
      <c r="BN230" s="2982"/>
      <c r="BO230" s="2983"/>
      <c r="BP230" s="2983"/>
      <c r="BQ230" s="2983"/>
      <c r="BR230" s="2983"/>
      <c r="BS230" s="2982"/>
      <c r="BT230" s="1343"/>
      <c r="BU230" s="1102"/>
      <c r="BV230" s="1102"/>
      <c r="BW230" s="1102"/>
      <c r="BX230" s="1102"/>
      <c r="BY230" s="1102"/>
      <c r="BZ230" s="1102"/>
      <c r="CA230" s="1102"/>
      <c r="CB230" s="1102"/>
    </row>
    <row r="231" spans="1:83" s="1089" customFormat="1" outlineLevel="1">
      <c r="A231" s="1028" t="s">
        <v>971</v>
      </c>
      <c r="B231" s="1083"/>
      <c r="C231" s="1083"/>
      <c r="D231" s="1083"/>
      <c r="E231" s="1083"/>
      <c r="F231" s="1084"/>
      <c r="G231" s="1083"/>
      <c r="H231" s="1083"/>
      <c r="I231" s="1083"/>
      <c r="J231" s="1083"/>
      <c r="K231" s="1084"/>
      <c r="L231" s="1083"/>
      <c r="M231" s="1083"/>
      <c r="N231" s="1083"/>
      <c r="O231" s="1083"/>
      <c r="P231" s="1084"/>
      <c r="Q231" s="1083"/>
      <c r="R231" s="1083"/>
      <c r="S231" s="1083"/>
      <c r="T231" s="1083"/>
      <c r="U231" s="1084"/>
      <c r="V231" s="1083"/>
      <c r="W231" s="1083"/>
      <c r="X231" s="1083"/>
      <c r="Y231" s="1083"/>
      <c r="Z231" s="1084"/>
      <c r="AA231" s="1083"/>
      <c r="AB231" s="1083"/>
      <c r="AC231" s="1083"/>
      <c r="AD231" s="1083"/>
      <c r="AE231" s="1088">
        <f>AE255+Z255+U255+P255+K255+F255</f>
        <v>118.51176470588236</v>
      </c>
      <c r="AF231" s="1087">
        <v>119.5</v>
      </c>
      <c r="AG231" s="1087">
        <f>AH231</f>
        <v>119.7198202614379</v>
      </c>
      <c r="AH231" s="1087">
        <f>AI231</f>
        <v>119.7198202614379</v>
      </c>
      <c r="AI231" s="1087">
        <f>AJ231</f>
        <v>119.7198202614379</v>
      </c>
      <c r="AJ231" s="1088">
        <f>AJ255+AE255+Z255+U255+P255+K255</f>
        <v>119.7198202614379</v>
      </c>
      <c r="AK231" s="1087">
        <f>AK255+SUM(AF255:AI255,AA255:AD255,V255:Y255,Q255:T255,L255:O255,H255:J255)</f>
        <v>120.26215359477123</v>
      </c>
      <c r="AL231" s="1087">
        <f>AK255:AL255+SUM(AF255:AI255,AA255:AD255,V255:Y255,Q255:T255,L255:O255,I255:J255)</f>
        <v>115.75516470588234</v>
      </c>
      <c r="AM231" s="1087">
        <f>AK255:AM255+SUM(AF255:AI255,AA255:AD255,V255:Y255,Q255:T255,L255:O255,J255)</f>
        <v>110.57009803921568</v>
      </c>
      <c r="AN231" s="1087">
        <f>AK255:AN255+SUM(AF255:AI255,AA255:AD255,V255:Y255,Q255:T255,L255:O255)</f>
        <v>105.39884803921568</v>
      </c>
      <c r="AO231" s="1088">
        <f>AN231</f>
        <v>105.39884803921568</v>
      </c>
      <c r="AP231" s="1087">
        <f>AP255+SUM(AK255:AN255,AF255:AI255,AA255:AD255,V255:Y255,Q255:T255,M255:O255)</f>
        <v>118.54924248366014</v>
      </c>
      <c r="AQ231" s="1087">
        <f>AP255:AQ255+SUM(AK255:AN255,AF255:AI255,AA255:AD255,V255:Y255,Q255:T255,N255:O255)</f>
        <v>113.49775637254902</v>
      </c>
      <c r="AR231" s="1087">
        <f>AP255:AR255+SUM(AK255:AN255,AF255:AI255,AA255:AD255,V255:Y255,Q255:T255,O255)</f>
        <v>109.05207859477125</v>
      </c>
      <c r="AS231" s="1087">
        <f>AP255:AS255+SUM(AK255:AN255,AF255:AI255,AA255:AD255,V255:Y255,Q255:T255)</f>
        <v>105.56041748366013</v>
      </c>
      <c r="AT231" s="1088">
        <f>AS231</f>
        <v>105.56041748366013</v>
      </c>
      <c r="AU231" s="1087">
        <f>AU255+SUM(AP255:AS255,AK255:AN255,AF255:AI255,AA255:AD255,V255:Y255,R255:T255)</f>
        <v>115.06293640849674</v>
      </c>
      <c r="AV231" s="1087">
        <f>AU255:AV255+SUM(AP255:AS255,AK255:AN255,AF255:AI255,AA255:AD255,V255:Y255,S255:T255)</f>
        <v>109.48511150571896</v>
      </c>
      <c r="AW231" s="1087">
        <f>AU255:AW255+SUM(AP255:AS255,AK255:AN255,AF255:AI255,AA255:AD255,V255:Y255,T255)</f>
        <v>107.3247831862745</v>
      </c>
      <c r="AX231" s="1087">
        <f>AU255:AX255+SUM(AP255:AS255,AK255:AN255,AF255:AI255,AA255:AD255,V255:Y255)</f>
        <v>102.76237124183007</v>
      </c>
      <c r="AY231" s="1088">
        <f>AX231</f>
        <v>102.76237124183007</v>
      </c>
      <c r="AZ231" s="1087">
        <f>AZ255+SUM(AU255:AX255,AP255:AS255,AK255:AN255,AF255:AI255,AA255:AD255,W255:Y255)</f>
        <v>106.01292773763888</v>
      </c>
      <c r="BA231" s="1087">
        <f>AZ255:BA255+SUM(AU255:AX255,AP255:AS255,AK255:AN255,AF255:AI255,AA255:AD255,X255:Y255)</f>
        <v>98.295275692777764</v>
      </c>
      <c r="BB231" s="1087">
        <f>AZ255:BB255+SUM(AU255:AX255,AP255:AS255,AK255:AN255,AF255:AI255,AA255:AD255,Y255)</f>
        <v>93.139289693749987</v>
      </c>
      <c r="BC231" s="1087">
        <f>AZ255:BC255+SUM(AU255:AX255,AP255:AS255,AK255:AN255,AF255:AI255,AA255:AD255)</f>
        <v>89.062657048611101</v>
      </c>
      <c r="BD231" s="1088">
        <f>BC231</f>
        <v>89.062657048611101</v>
      </c>
      <c r="BE231" s="2891"/>
      <c r="BF231" s="2891"/>
      <c r="BG231" s="2891"/>
      <c r="BH231" s="2891"/>
      <c r="BI231" s="2984"/>
      <c r="BJ231" s="2985"/>
      <c r="BK231" s="2985"/>
      <c r="BL231" s="2985"/>
      <c r="BM231" s="2985"/>
      <c r="BN231" s="2984"/>
      <c r="BO231" s="2985"/>
      <c r="BP231" s="2985"/>
      <c r="BQ231" s="2985"/>
      <c r="BR231" s="2985"/>
      <c r="BS231" s="2984"/>
      <c r="BT231" s="1528"/>
      <c r="BU231" s="1088"/>
      <c r="BV231" s="1088"/>
      <c r="BW231" s="1088"/>
      <c r="BX231" s="1088"/>
      <c r="BY231" s="1088"/>
      <c r="BZ231" s="1088"/>
      <c r="CA231" s="1088"/>
      <c r="CB231" s="1088"/>
    </row>
    <row r="232" spans="1:83" s="1042" customFormat="1" outlineLevel="1">
      <c r="A232" s="1077" t="s">
        <v>934</v>
      </c>
      <c r="B232" s="1071"/>
      <c r="C232" s="1071"/>
      <c r="D232" s="1071"/>
      <c r="E232" s="1071"/>
      <c r="F232" s="1078"/>
      <c r="G232" s="1071"/>
      <c r="H232" s="1071"/>
      <c r="I232" s="1071"/>
      <c r="J232" s="1071"/>
      <c r="K232" s="1078"/>
      <c r="L232" s="1071"/>
      <c r="M232" s="1071"/>
      <c r="N232" s="1071"/>
      <c r="O232" s="1071"/>
      <c r="P232" s="1078"/>
      <c r="Q232" s="1071"/>
      <c r="R232" s="1071"/>
      <c r="S232" s="1071"/>
      <c r="T232" s="1071"/>
      <c r="U232" s="1078"/>
      <c r="V232" s="1071"/>
      <c r="W232" s="1071"/>
      <c r="X232" s="1071"/>
      <c r="Y232" s="1071"/>
      <c r="Z232" s="1078"/>
      <c r="AA232" s="1071"/>
      <c r="AB232" s="1071"/>
      <c r="AC232" s="1071"/>
      <c r="AD232" s="1071"/>
      <c r="AE232" s="1078">
        <f t="shared" ref="AE232:BD232" si="155">AE231/AE236</f>
        <v>0.98997592255908795</v>
      </c>
      <c r="AF232" s="1071">
        <f t="shared" si="155"/>
        <v>0.98760330578512401</v>
      </c>
      <c r="AG232" s="1071">
        <f t="shared" si="155"/>
        <v>0.98559312925438192</v>
      </c>
      <c r="AH232" s="1071">
        <f t="shared" si="155"/>
        <v>0.98356882226983022</v>
      </c>
      <c r="AI232" s="1071">
        <f t="shared" si="155"/>
        <v>0.98195535397540412</v>
      </c>
      <c r="AJ232" s="1078">
        <f t="shared" si="155"/>
        <v>0.98195535397540412</v>
      </c>
      <c r="AK232" s="1071">
        <f t="shared" si="155"/>
        <v>0.98043406275150946</v>
      </c>
      <c r="AL232" s="1071">
        <f t="shared" si="155"/>
        <v>0.97065116627332648</v>
      </c>
      <c r="AM232" s="1071">
        <f t="shared" si="155"/>
        <v>0.96172917936888958</v>
      </c>
      <c r="AN232" s="1071">
        <f t="shared" si="155"/>
        <v>0.94954902596807556</v>
      </c>
      <c r="AO232" s="1078">
        <f t="shared" si="155"/>
        <v>0.94954902596807556</v>
      </c>
      <c r="AP232" s="1071">
        <f t="shared" si="155"/>
        <v>0.94386908821590088</v>
      </c>
      <c r="AQ232" s="1071">
        <f t="shared" si="155"/>
        <v>0.9250190038351972</v>
      </c>
      <c r="AR232" s="1071">
        <f t="shared" si="155"/>
        <v>0.89790211790962426</v>
      </c>
      <c r="AS232" s="1071">
        <f t="shared" si="155"/>
        <v>0.87413094193669305</v>
      </c>
      <c r="AT232" s="1078">
        <f t="shared" si="155"/>
        <v>0.87413094193669305</v>
      </c>
      <c r="AU232" s="1071">
        <f t="shared" si="155"/>
        <v>0.86342789307740653</v>
      </c>
      <c r="AV232" s="1071">
        <f t="shared" si="155"/>
        <v>0.84164213904606322</v>
      </c>
      <c r="AW232" s="1071">
        <f t="shared" si="155"/>
        <v>0.82860422960080671</v>
      </c>
      <c r="AX232" s="1071">
        <f t="shared" si="155"/>
        <v>0.81646619420814814</v>
      </c>
      <c r="AY232" s="1078">
        <f t="shared" si="155"/>
        <v>0.81646619420814814</v>
      </c>
      <c r="AZ232" s="1071">
        <f>AZ231/AZ236</f>
        <v>0.8154029724764672</v>
      </c>
      <c r="BA232" s="1071">
        <f t="shared" si="155"/>
        <v>0.7978818598361257</v>
      </c>
      <c r="BB232" s="1071">
        <f t="shared" si="155"/>
        <v>0.78045788551922202</v>
      </c>
      <c r="BC232" s="1071">
        <f t="shared" si="155"/>
        <v>0.7673670353015315</v>
      </c>
      <c r="BD232" s="1078">
        <f t="shared" si="155"/>
        <v>0.7673670353015315</v>
      </c>
      <c r="BE232" s="2892"/>
      <c r="BF232" s="2892"/>
      <c r="BG232" s="2892"/>
      <c r="BH232" s="2892"/>
      <c r="BI232" s="2986"/>
      <c r="BJ232" s="2987"/>
      <c r="BK232" s="2987"/>
      <c r="BL232" s="2987"/>
      <c r="BM232" s="2987"/>
      <c r="BN232" s="2986"/>
      <c r="BO232" s="2987"/>
      <c r="BP232" s="2987"/>
      <c r="BQ232" s="2987"/>
      <c r="BR232" s="2987"/>
      <c r="BS232" s="2986"/>
      <c r="BT232" s="1529"/>
      <c r="BU232" s="1078"/>
      <c r="BV232" s="1078"/>
      <c r="BW232" s="1078"/>
      <c r="BX232" s="1078"/>
      <c r="BY232" s="1078"/>
      <c r="BZ232" s="1078"/>
      <c r="CA232" s="1078"/>
      <c r="CB232" s="1078"/>
    </row>
    <row r="233" spans="1:83" s="1089" customFormat="1" outlineLevel="1">
      <c r="A233" s="1028" t="s">
        <v>933</v>
      </c>
      <c r="B233" s="1083"/>
      <c r="C233" s="1083"/>
      <c r="D233" s="1083"/>
      <c r="E233" s="1083"/>
      <c r="F233" s="1084"/>
      <c r="G233" s="1083"/>
      <c r="H233" s="1083"/>
      <c r="I233" s="1083"/>
      <c r="J233" s="1083"/>
      <c r="K233" s="1084"/>
      <c r="L233" s="1083"/>
      <c r="M233" s="1083"/>
      <c r="N233" s="1083"/>
      <c r="O233" s="1083"/>
      <c r="P233" s="1084"/>
      <c r="Q233" s="1083"/>
      <c r="R233" s="1083"/>
      <c r="S233" s="1083"/>
      <c r="T233" s="1083"/>
      <c r="U233" s="1084"/>
      <c r="V233" s="1083"/>
      <c r="W233" s="1083"/>
      <c r="X233" s="1083"/>
      <c r="Y233" s="1083"/>
      <c r="Z233" s="1084"/>
      <c r="AA233" s="1083"/>
      <c r="AB233" s="1083"/>
      <c r="AC233" s="1083"/>
      <c r="AD233" s="1083"/>
      <c r="AE233" s="1085">
        <v>1.2</v>
      </c>
      <c r="AF233" s="1086">
        <v>1.5</v>
      </c>
      <c r="AG233" s="1086">
        <v>1.75</v>
      </c>
      <c r="AH233" s="1086">
        <v>2</v>
      </c>
      <c r="AI233" s="1087">
        <f>AJ233</f>
        <v>2.2000000000000002</v>
      </c>
      <c r="AJ233" s="1088">
        <v>2.2000000000000002</v>
      </c>
      <c r="AK233" s="1087">
        <v>2.4</v>
      </c>
      <c r="AL233" s="1087">
        <v>3.5</v>
      </c>
      <c r="AM233" s="1087">
        <v>4.4000000000000004</v>
      </c>
      <c r="AN233" s="1087">
        <f>AM233+AN234</f>
        <v>5.6</v>
      </c>
      <c r="AO233" s="1088">
        <f>AN233</f>
        <v>5.6</v>
      </c>
      <c r="AP233" s="1087">
        <v>7.05</v>
      </c>
      <c r="AQ233" s="1087">
        <v>9.1999999999999993</v>
      </c>
      <c r="AR233" s="1087">
        <f>AQ233+AR234</f>
        <v>12.4</v>
      </c>
      <c r="AS233" s="1087">
        <f>AR233+AS234</f>
        <v>15.2</v>
      </c>
      <c r="AT233" s="1088">
        <f>AS233</f>
        <v>15.2</v>
      </c>
      <c r="AU233" s="1087">
        <f>AT233+AU234</f>
        <v>18.2</v>
      </c>
      <c r="AV233" s="1087">
        <f>AU233+AV234</f>
        <v>20.599999999999998</v>
      </c>
      <c r="AW233" s="1087">
        <f>AV233+AW234</f>
        <v>22.2</v>
      </c>
      <c r="AX233" s="1087">
        <f>AW233+AX234</f>
        <v>23.099999999999998</v>
      </c>
      <c r="AY233" s="1088">
        <f>AX233</f>
        <v>23.099999999999998</v>
      </c>
      <c r="AZ233" s="1087">
        <f>AY233+AZ234</f>
        <v>23.999999999999996</v>
      </c>
      <c r="BA233" s="1087">
        <f>AZ233+BA234</f>
        <v>24.899999999999995</v>
      </c>
      <c r="BB233" s="1087">
        <f>BA233+BB234</f>
        <v>26.199999999999996</v>
      </c>
      <c r="BC233" s="1087">
        <f>BB233+BC234</f>
        <v>26.999999999999996</v>
      </c>
      <c r="BD233" s="1088">
        <f>BC233</f>
        <v>26.999999999999996</v>
      </c>
      <c r="BE233" s="2891"/>
      <c r="BF233" s="2891"/>
      <c r="BG233" s="2891"/>
      <c r="BH233" s="2891"/>
      <c r="BI233" s="2984"/>
      <c r="BJ233" s="2985"/>
      <c r="BK233" s="2985"/>
      <c r="BL233" s="2985"/>
      <c r="BM233" s="2985"/>
      <c r="BN233" s="2984"/>
      <c r="BO233" s="2985"/>
      <c r="BP233" s="2985"/>
      <c r="BQ233" s="2985"/>
      <c r="BR233" s="2985"/>
      <c r="BS233" s="2984"/>
      <c r="BT233" s="1528"/>
      <c r="BU233" s="1088"/>
      <c r="BV233" s="1088"/>
      <c r="BW233" s="1088"/>
      <c r="BX233" s="1088"/>
      <c r="BY233" s="1088"/>
      <c r="BZ233" s="1088"/>
      <c r="CA233" s="1088"/>
      <c r="CB233" s="1088"/>
    </row>
    <row r="234" spans="1:83" s="1039" customFormat="1" outlineLevel="1">
      <c r="A234" s="1077" t="s">
        <v>958</v>
      </c>
      <c r="B234" s="1073"/>
      <c r="C234" s="1073"/>
      <c r="D234" s="1073"/>
      <c r="E234" s="1073"/>
      <c r="F234" s="1074"/>
      <c r="G234" s="1073"/>
      <c r="H234" s="1073"/>
      <c r="I234" s="1073"/>
      <c r="J234" s="1073"/>
      <c r="K234" s="1074"/>
      <c r="L234" s="1073"/>
      <c r="M234" s="1073"/>
      <c r="N234" s="1073"/>
      <c r="O234" s="1073"/>
      <c r="P234" s="1074"/>
      <c r="Q234" s="1073"/>
      <c r="R234" s="1073"/>
      <c r="S234" s="1073"/>
      <c r="T234" s="1073"/>
      <c r="U234" s="1074"/>
      <c r="V234" s="1073"/>
      <c r="W234" s="1073"/>
      <c r="X234" s="1073"/>
      <c r="Y234" s="1073"/>
      <c r="Z234" s="1074"/>
      <c r="AA234" s="1073"/>
      <c r="AB234" s="1073"/>
      <c r="AC234" s="1073"/>
      <c r="AD234" s="1100"/>
      <c r="AE234" s="1082">
        <v>1.1000000000000001</v>
      </c>
      <c r="AF234" s="1076">
        <f>AF233-AE233</f>
        <v>0.30000000000000004</v>
      </c>
      <c r="AG234" s="1076">
        <f>AG233-AF233</f>
        <v>0.25</v>
      </c>
      <c r="AH234" s="1076">
        <f>AH233-AG233</f>
        <v>0.25</v>
      </c>
      <c r="AI234" s="1076">
        <f>AI233-AH233</f>
        <v>0.20000000000000018</v>
      </c>
      <c r="AJ234" s="1075">
        <f>AJ233-AE233</f>
        <v>1.0000000000000002</v>
      </c>
      <c r="AK234" s="1076">
        <f>AK233-AI233</f>
        <v>0.19999999999999973</v>
      </c>
      <c r="AL234" s="1076">
        <f>AL233-AK233</f>
        <v>1.1000000000000001</v>
      </c>
      <c r="AM234" s="1076">
        <f>AM233-AL233</f>
        <v>0.90000000000000036</v>
      </c>
      <c r="AN234" s="1076">
        <f>5.6-AM233</f>
        <v>1.1999999999999993</v>
      </c>
      <c r="AO234" s="1075">
        <f>SUM(AK234:AN234)</f>
        <v>3.3999999999999995</v>
      </c>
      <c r="AP234" s="1076">
        <f>AP233-AN233</f>
        <v>1.4500000000000002</v>
      </c>
      <c r="AQ234" s="1076">
        <f>AQ233-AP233</f>
        <v>2.1499999999999995</v>
      </c>
      <c r="AR234" s="1076">
        <f>12.4-AQ233</f>
        <v>3.2000000000000011</v>
      </c>
      <c r="AS234" s="1076">
        <v>2.8</v>
      </c>
      <c r="AT234" s="1075">
        <f>SUM(AP234:AS234)</f>
        <v>9.6000000000000014</v>
      </c>
      <c r="AU234" s="1076">
        <v>3</v>
      </c>
      <c r="AV234" s="1076">
        <v>2.4</v>
      </c>
      <c r="AW234" s="1076">
        <v>1.6</v>
      </c>
      <c r="AX234" s="1076">
        <v>0.9</v>
      </c>
      <c r="AY234" s="1075">
        <f>SUM(AU234:AX234)</f>
        <v>7.9</v>
      </c>
      <c r="AZ234" s="1076">
        <v>0.9</v>
      </c>
      <c r="BA234" s="1076">
        <v>0.9</v>
      </c>
      <c r="BB234" s="1076">
        <v>1.3</v>
      </c>
      <c r="BC234" s="1076">
        <v>0.8</v>
      </c>
      <c r="BD234" s="1075">
        <f>SUM(AZ234:BC234)</f>
        <v>3.9000000000000004</v>
      </c>
      <c r="BE234" s="2893"/>
      <c r="BF234" s="2893"/>
      <c r="BG234" s="2893"/>
      <c r="BH234" s="2893"/>
      <c r="BI234" s="2988"/>
      <c r="BJ234" s="2989"/>
      <c r="BK234" s="2989"/>
      <c r="BL234" s="2989"/>
      <c r="BM234" s="2989"/>
      <c r="BN234" s="2988"/>
      <c r="BO234" s="2989"/>
      <c r="BP234" s="2989"/>
      <c r="BQ234" s="2989"/>
      <c r="BR234" s="2989"/>
      <c r="BS234" s="2988"/>
      <c r="BT234" s="1527"/>
      <c r="BU234" s="1075"/>
      <c r="BV234" s="1075"/>
      <c r="BW234" s="1075"/>
      <c r="BX234" s="1075"/>
      <c r="BY234" s="1075"/>
      <c r="BZ234" s="1075"/>
      <c r="CA234" s="1075"/>
      <c r="CB234" s="1075"/>
    </row>
    <row r="235" spans="1:83" s="1042" customFormat="1" outlineLevel="1">
      <c r="A235" s="1077" t="s">
        <v>934</v>
      </c>
      <c r="B235" s="1071"/>
      <c r="C235" s="1071"/>
      <c r="D235" s="1071"/>
      <c r="E235" s="1071"/>
      <c r="F235" s="1078"/>
      <c r="G235" s="1071"/>
      <c r="H235" s="1071"/>
      <c r="I235" s="1071"/>
      <c r="J235" s="1071"/>
      <c r="K235" s="1078"/>
      <c r="L235" s="1071"/>
      <c r="M235" s="1071"/>
      <c r="N235" s="1071"/>
      <c r="O235" s="1071"/>
      <c r="P235" s="1078"/>
      <c r="Q235" s="1071"/>
      <c r="R235" s="1071"/>
      <c r="S235" s="1071"/>
      <c r="T235" s="1071"/>
      <c r="U235" s="1078"/>
      <c r="V235" s="1071"/>
      <c r="W235" s="1071"/>
      <c r="X235" s="1071"/>
      <c r="Y235" s="1071"/>
      <c r="Z235" s="1078"/>
      <c r="AA235" s="1071"/>
      <c r="AB235" s="1071"/>
      <c r="AC235" s="1071"/>
      <c r="AD235" s="1071"/>
      <c r="AE235" s="1078">
        <f>1-AE232</f>
        <v>1.0024077440912049E-2</v>
      </c>
      <c r="AF235" s="1071">
        <f t="shared" ref="AF235:BC235" si="156">1-AF232</f>
        <v>1.2396694214875992E-2</v>
      </c>
      <c r="AG235" s="1071">
        <f t="shared" si="156"/>
        <v>1.4406870745618083E-2</v>
      </c>
      <c r="AH235" s="1071">
        <f t="shared" si="156"/>
        <v>1.6431177730169777E-2</v>
      </c>
      <c r="AI235" s="1071">
        <f>1-AI232</f>
        <v>1.8044646024595878E-2</v>
      </c>
      <c r="AJ235" s="1078">
        <f>1-AJ232</f>
        <v>1.8044646024595878E-2</v>
      </c>
      <c r="AK235" s="1071">
        <f t="shared" si="156"/>
        <v>1.9565937248490539E-2</v>
      </c>
      <c r="AL235" s="1071">
        <f t="shared" si="156"/>
        <v>2.9348833726673518E-2</v>
      </c>
      <c r="AM235" s="1071">
        <f t="shared" si="156"/>
        <v>3.8270820631110425E-2</v>
      </c>
      <c r="AN235" s="1071">
        <f t="shared" si="156"/>
        <v>5.0450974031924445E-2</v>
      </c>
      <c r="AO235" s="1078">
        <f>1-AO232</f>
        <v>5.0450974031924445E-2</v>
      </c>
      <c r="AP235" s="1071">
        <f t="shared" si="156"/>
        <v>5.6130911784099125E-2</v>
      </c>
      <c r="AQ235" s="1071">
        <f t="shared" si="156"/>
        <v>7.4980996164802804E-2</v>
      </c>
      <c r="AR235" s="1071">
        <f t="shared" si="156"/>
        <v>0.10209788209037574</v>
      </c>
      <c r="AS235" s="1071">
        <f t="shared" si="156"/>
        <v>0.12586905806330695</v>
      </c>
      <c r="AT235" s="1078">
        <f>1-AT232</f>
        <v>0.12586905806330695</v>
      </c>
      <c r="AU235" s="1071">
        <f t="shared" si="156"/>
        <v>0.13657210692259347</v>
      </c>
      <c r="AV235" s="1071">
        <f t="shared" si="156"/>
        <v>0.15835786095393678</v>
      </c>
      <c r="AW235" s="1071">
        <f t="shared" si="156"/>
        <v>0.17139577039919329</v>
      </c>
      <c r="AX235" s="1071">
        <f t="shared" si="156"/>
        <v>0.18353380579185186</v>
      </c>
      <c r="AY235" s="1078">
        <f>1-AY232</f>
        <v>0.18353380579185186</v>
      </c>
      <c r="AZ235" s="1071">
        <f>1-AZ232</f>
        <v>0.1845970275235328</v>
      </c>
      <c r="BA235" s="1071">
        <f t="shared" si="156"/>
        <v>0.2021181401638743</v>
      </c>
      <c r="BB235" s="1071">
        <f t="shared" si="156"/>
        <v>0.21954211448077798</v>
      </c>
      <c r="BC235" s="1071">
        <f t="shared" si="156"/>
        <v>0.2326329646984685</v>
      </c>
      <c r="BD235" s="1078">
        <f t="shared" ref="BD235" si="157">1-BD232</f>
        <v>0.2326329646984685</v>
      </c>
      <c r="BE235" s="2892"/>
      <c r="BF235" s="2892"/>
      <c r="BG235" s="2892"/>
      <c r="BH235" s="2892"/>
      <c r="BI235" s="2986"/>
      <c r="BJ235" s="2987"/>
      <c r="BK235" s="2987"/>
      <c r="BL235" s="2987"/>
      <c r="BM235" s="2987"/>
      <c r="BN235" s="2986"/>
      <c r="BO235" s="2987"/>
      <c r="BP235" s="2987"/>
      <c r="BQ235" s="2987"/>
      <c r="BR235" s="2987"/>
      <c r="BS235" s="2986"/>
      <c r="BT235" s="1529"/>
      <c r="BU235" s="1078"/>
      <c r="BV235" s="1078"/>
      <c r="BW235" s="1078"/>
      <c r="BX235" s="1078"/>
      <c r="BY235" s="1078"/>
      <c r="BZ235" s="1078"/>
      <c r="CA235" s="1078"/>
      <c r="CB235" s="1078"/>
    </row>
    <row r="236" spans="1:83" s="1027" customFormat="1" outlineLevel="1">
      <c r="A236" s="1098" t="s">
        <v>972</v>
      </c>
      <c r="B236" s="1091"/>
      <c r="C236" s="1091"/>
      <c r="D236" s="1091"/>
      <c r="E236" s="1091"/>
      <c r="F236" s="1092"/>
      <c r="G236" s="1091"/>
      <c r="H236" s="1091"/>
      <c r="I236" s="1091"/>
      <c r="J236" s="1091"/>
      <c r="K236" s="1092"/>
      <c r="L236" s="1091"/>
      <c r="M236" s="1091"/>
      <c r="N236" s="1091"/>
      <c r="O236" s="1091"/>
      <c r="P236" s="1092"/>
      <c r="Q236" s="1091"/>
      <c r="R236" s="1091"/>
      <c r="S236" s="1091"/>
      <c r="T236" s="1091"/>
      <c r="U236" s="1092"/>
      <c r="V236" s="1091"/>
      <c r="W236" s="1091"/>
      <c r="X236" s="1091"/>
      <c r="Y236" s="1091"/>
      <c r="Z236" s="1092"/>
      <c r="AA236" s="1091"/>
      <c r="AB236" s="1091"/>
      <c r="AC236" s="1091"/>
      <c r="AD236" s="1091"/>
      <c r="AE236" s="1092">
        <f t="shared" ref="AE236:AL236" si="158">AE231+AE233</f>
        <v>119.71176470588236</v>
      </c>
      <c r="AF236" s="1091">
        <f t="shared" si="158"/>
        <v>121</v>
      </c>
      <c r="AG236" s="1091">
        <f t="shared" si="158"/>
        <v>121.4698202614379</v>
      </c>
      <c r="AH236" s="1091">
        <f t="shared" si="158"/>
        <v>121.7198202614379</v>
      </c>
      <c r="AI236" s="1091">
        <f t="shared" si="158"/>
        <v>121.91982026143791</v>
      </c>
      <c r="AJ236" s="1092">
        <f t="shared" si="158"/>
        <v>121.91982026143791</v>
      </c>
      <c r="AK236" s="1099">
        <f t="shared" si="158"/>
        <v>122.66215359477124</v>
      </c>
      <c r="AL236" s="1091">
        <f t="shared" si="158"/>
        <v>119.25516470588234</v>
      </c>
      <c r="AM236" s="1091">
        <f>AM233+AM231</f>
        <v>114.97009803921569</v>
      </c>
      <c r="AN236" s="1091">
        <f>AN233+AN231</f>
        <v>110.99884803921567</v>
      </c>
      <c r="AO236" s="1092">
        <f>AO231+AO233</f>
        <v>110.99884803921567</v>
      </c>
      <c r="AP236" s="1091">
        <f>AP233+AP231</f>
        <v>125.59924248366013</v>
      </c>
      <c r="AQ236" s="1091">
        <f>AQ233+AQ231</f>
        <v>122.69775637254902</v>
      </c>
      <c r="AR236" s="1091">
        <f>AR233+AR231</f>
        <v>121.45207859477125</v>
      </c>
      <c r="AS236" s="1091">
        <f>AS233+AS231</f>
        <v>120.76041748366013</v>
      </c>
      <c r="AT236" s="1092">
        <f>AT231+AT233</f>
        <v>120.76041748366013</v>
      </c>
      <c r="AU236" s="1091">
        <f>AU233+AU231</f>
        <v>133.26293640849673</v>
      </c>
      <c r="AV236" s="1091">
        <f>AV233+AV231</f>
        <v>130.08511150571897</v>
      </c>
      <c r="AW236" s="1091">
        <f>AW233+AW231</f>
        <v>129.5247831862745</v>
      </c>
      <c r="AX236" s="1091">
        <f>AX233+AX231</f>
        <v>125.86237124183006</v>
      </c>
      <c r="AY236" s="1092">
        <f>AY231+AY233</f>
        <v>125.86237124183006</v>
      </c>
      <c r="AZ236" s="1091">
        <f>AZ233+AZ231</f>
        <v>130.01292773763888</v>
      </c>
      <c r="BA236" s="1091">
        <f>BA233+BA231</f>
        <v>123.19527569277776</v>
      </c>
      <c r="BB236" s="1091">
        <f>BB233+BB231</f>
        <v>119.33928969374998</v>
      </c>
      <c r="BC236" s="1091">
        <f>BC233+BC231</f>
        <v>116.0626570486111</v>
      </c>
      <c r="BD236" s="1092">
        <f>BD231+BD233</f>
        <v>116.0626570486111</v>
      </c>
      <c r="BE236" s="2894"/>
      <c r="BF236" s="2894"/>
      <c r="BG236" s="2894"/>
      <c r="BH236" s="2894"/>
      <c r="BI236" s="2990"/>
      <c r="BJ236" s="2991"/>
      <c r="BK236" s="2991"/>
      <c r="BL236" s="2991"/>
      <c r="BM236" s="2991"/>
      <c r="BN236" s="2990"/>
      <c r="BO236" s="2991"/>
      <c r="BP236" s="2991"/>
      <c r="BQ236" s="2991"/>
      <c r="BR236" s="2991"/>
      <c r="BS236" s="2990"/>
      <c r="BT236" s="1530"/>
      <c r="BU236" s="1092"/>
      <c r="BV236" s="1092"/>
      <c r="BW236" s="1092">
        <f>SUM(AM236:AN236,AP236:AQ236)</f>
        <v>474.26594493464052</v>
      </c>
      <c r="BX236" s="1092">
        <f>SUM(AR236:AS236,AU236:AV236)</f>
        <v>505.56054399264713</v>
      </c>
      <c r="BY236" s="1092">
        <f>SUM(AW236:AX236,AZ236:BA236)</f>
        <v>508.5953578585212</v>
      </c>
      <c r="BZ236" s="1092">
        <f>SUM(BB236:BC236,BE236:BF236)</f>
        <v>235.40194674236108</v>
      </c>
      <c r="CA236" s="1092"/>
      <c r="CB236" s="1092"/>
    </row>
    <row r="237" spans="1:83" s="1022" customFormat="1" outlineLevel="1">
      <c r="A237" s="1032" t="s">
        <v>926</v>
      </c>
      <c r="B237" s="1034"/>
      <c r="C237" s="1034"/>
      <c r="D237" s="1034"/>
      <c r="E237" s="1034"/>
      <c r="F237" s="1033"/>
      <c r="G237" s="1034"/>
      <c r="H237" s="1034"/>
      <c r="I237" s="1034"/>
      <c r="J237" s="1034"/>
      <c r="K237" s="1033"/>
      <c r="L237" s="1034"/>
      <c r="M237" s="1034"/>
      <c r="N237" s="1034"/>
      <c r="O237" s="1034"/>
      <c r="P237" s="1033"/>
      <c r="Q237" s="1034"/>
      <c r="R237" s="1034"/>
      <c r="S237" s="1034"/>
      <c r="T237" s="1034"/>
      <c r="U237" s="1033"/>
      <c r="V237" s="1034"/>
      <c r="W237" s="1034"/>
      <c r="X237" s="1034"/>
      <c r="Y237" s="1034"/>
      <c r="Z237" s="1033"/>
      <c r="AA237" s="1034"/>
      <c r="AB237" s="1034"/>
      <c r="AC237" s="1034"/>
      <c r="AD237" s="1034"/>
      <c r="AE237" s="1033"/>
      <c r="AF237" s="1017"/>
      <c r="AG237" s="1034"/>
      <c r="AH237" s="1034"/>
      <c r="AI237" s="1034"/>
      <c r="AJ237" s="1035">
        <f t="shared" ref="AJ237:BD237" si="159">IF(ISERROR(AJ236/AE236-1),,(AJ236/AE236-1))</f>
        <v>1.8444766568937343E-2</v>
      </c>
      <c r="AK237" s="1036">
        <f t="shared" si="159"/>
        <v>1.3736806568357407E-2</v>
      </c>
      <c r="AL237" s="1036">
        <f t="shared" si="159"/>
        <v>-1.8232146477116684E-2</v>
      </c>
      <c r="AM237" s="1036">
        <f t="shared" si="159"/>
        <v>-5.5452942731304744E-2</v>
      </c>
      <c r="AN237" s="1036">
        <f t="shared" si="159"/>
        <v>-8.9575035452020169E-2</v>
      </c>
      <c r="AO237" s="1035">
        <f t="shared" si="159"/>
        <v>-8.9575035452020169E-2</v>
      </c>
      <c r="AP237" s="1036">
        <f t="shared" si="159"/>
        <v>2.3944540372182743E-2</v>
      </c>
      <c r="AQ237" s="1036">
        <f t="shared" si="159"/>
        <v>2.8867442975380575E-2</v>
      </c>
      <c r="AR237" s="1036">
        <f t="shared" si="159"/>
        <v>5.6379707994548278E-2</v>
      </c>
      <c r="AS237" s="1036">
        <f t="shared" si="159"/>
        <v>8.7942979741516991E-2</v>
      </c>
      <c r="AT237" s="1035">
        <f t="shared" si="159"/>
        <v>8.7942979741516991E-2</v>
      </c>
      <c r="AU237" s="1036">
        <f t="shared" si="159"/>
        <v>6.1017039380899085E-2</v>
      </c>
      <c r="AV237" s="1036">
        <f t="shared" si="159"/>
        <v>6.0207744229157756E-2</v>
      </c>
      <c r="AW237" s="1036">
        <f t="shared" si="159"/>
        <v>6.646822915594619E-2</v>
      </c>
      <c r="AX237" s="1036">
        <f t="shared" si="159"/>
        <v>4.2248560119960255E-2</v>
      </c>
      <c r="AY237" s="1035">
        <f t="shared" si="159"/>
        <v>4.2248560119960255E-2</v>
      </c>
      <c r="AZ237" s="1036">
        <f t="shared" si="159"/>
        <v>-2.4387941301964533E-2</v>
      </c>
      <c r="BA237" s="1036">
        <f t="shared" si="159"/>
        <v>-5.2964061245689198E-2</v>
      </c>
      <c r="BB237" s="1036">
        <f t="shared" si="159"/>
        <v>-7.8637410092216697E-2</v>
      </c>
      <c r="BC237" s="1036">
        <f t="shared" si="159"/>
        <v>-7.7860555911424378E-2</v>
      </c>
      <c r="BD237" s="1035">
        <f t="shared" si="159"/>
        <v>-7.7860555911424378E-2</v>
      </c>
      <c r="BE237" s="2866"/>
      <c r="BF237" s="2866"/>
      <c r="BG237" s="2866"/>
      <c r="BH237" s="2866"/>
      <c r="BI237" s="2942"/>
      <c r="BJ237" s="2943"/>
      <c r="BK237" s="2943"/>
      <c r="BL237" s="2943"/>
      <c r="BM237" s="2943"/>
      <c r="BN237" s="2942"/>
      <c r="BO237" s="2943"/>
      <c r="BP237" s="2943"/>
      <c r="BQ237" s="2943"/>
      <c r="BR237" s="2943"/>
      <c r="BS237" s="2942"/>
      <c r="BT237" s="1438"/>
      <c r="BU237" s="1035"/>
      <c r="BV237" s="1035"/>
      <c r="BW237" s="1035"/>
      <c r="BX237" s="1035"/>
      <c r="BY237" s="1035"/>
      <c r="BZ237" s="1035"/>
      <c r="CA237" s="1035"/>
      <c r="CB237" s="1035"/>
    </row>
    <row r="238" spans="1:83" s="1021" customFormat="1" ht="7.5" customHeight="1" outlineLevel="1">
      <c r="A238" s="1020"/>
      <c r="B238" s="1025"/>
      <c r="C238" s="1025"/>
      <c r="D238" s="1025"/>
      <c r="E238" s="1025"/>
      <c r="F238" s="1024"/>
      <c r="G238" s="1025"/>
      <c r="H238" s="1025"/>
      <c r="I238" s="1025"/>
      <c r="J238" s="1025"/>
      <c r="K238" s="1024"/>
      <c r="L238" s="1025"/>
      <c r="M238" s="1025"/>
      <c r="N238" s="1025"/>
      <c r="O238" s="1025"/>
      <c r="P238" s="1024"/>
      <c r="Q238" s="1025"/>
      <c r="R238" s="1025"/>
      <c r="S238" s="1025"/>
      <c r="T238" s="1025"/>
      <c r="U238" s="1024"/>
      <c r="V238" s="1025"/>
      <c r="W238" s="1025"/>
      <c r="X238" s="1025"/>
      <c r="Y238" s="1025"/>
      <c r="Z238" s="1024"/>
      <c r="AA238" s="1025"/>
      <c r="AB238" s="1025"/>
      <c r="AC238" s="1025"/>
      <c r="AD238" s="1025"/>
      <c r="AE238" s="1024"/>
      <c r="AF238" s="1025"/>
      <c r="AG238" s="1025"/>
      <c r="AH238" s="1025"/>
      <c r="AI238" s="1025"/>
      <c r="AJ238" s="1024"/>
      <c r="AK238" s="1026"/>
      <c r="AL238" s="1025"/>
      <c r="AM238" s="1025"/>
      <c r="AN238" s="1025"/>
      <c r="AO238" s="1029"/>
      <c r="AP238" s="1025"/>
      <c r="AQ238" s="1025"/>
      <c r="AR238" s="1025"/>
      <c r="AS238" s="1025"/>
      <c r="AT238" s="1024"/>
      <c r="AU238" s="1025"/>
      <c r="AV238" s="1025"/>
      <c r="AW238" s="1025"/>
      <c r="AX238" s="1025"/>
      <c r="AY238" s="1024"/>
      <c r="AZ238" s="1025"/>
      <c r="BA238" s="1025"/>
      <c r="BB238" s="1025"/>
      <c r="BC238" s="1025"/>
      <c r="BD238" s="1024"/>
      <c r="BE238" s="2881"/>
      <c r="BF238" s="2881"/>
      <c r="BG238" s="2881"/>
      <c r="BH238" s="2881"/>
      <c r="BI238" s="2963"/>
      <c r="BJ238" s="2964"/>
      <c r="BK238" s="2964"/>
      <c r="BL238" s="2964"/>
      <c r="BM238" s="2964"/>
      <c r="BN238" s="2963"/>
      <c r="BO238" s="2964"/>
      <c r="BP238" s="2964"/>
      <c r="BQ238" s="2964"/>
      <c r="BR238" s="2964"/>
      <c r="BS238" s="2963"/>
      <c r="BT238" s="1521"/>
      <c r="BU238" s="1193"/>
      <c r="BV238" s="1193"/>
      <c r="BW238" s="1193"/>
      <c r="BX238" s="1193"/>
      <c r="BY238" s="1193"/>
      <c r="BZ238" s="1193"/>
      <c r="CA238" s="1193"/>
      <c r="CB238" s="1193"/>
    </row>
    <row r="239" spans="1:83" s="1021" customFormat="1" outlineLevel="1">
      <c r="A239" s="1020" t="s">
        <v>959</v>
      </c>
      <c r="B239" s="1025"/>
      <c r="C239" s="1025"/>
      <c r="D239" s="1025"/>
      <c r="E239" s="1025"/>
      <c r="F239" s="1024"/>
      <c r="G239" s="1025"/>
      <c r="H239" s="1025"/>
      <c r="I239" s="1025"/>
      <c r="J239" s="1025"/>
      <c r="K239" s="1024"/>
      <c r="L239" s="1025"/>
      <c r="M239" s="1025"/>
      <c r="N239" s="1025"/>
      <c r="O239" s="1025"/>
      <c r="P239" s="1024"/>
      <c r="Q239" s="1025"/>
      <c r="R239" s="1025"/>
      <c r="S239" s="1025"/>
      <c r="T239" s="1025"/>
      <c r="U239" s="1024"/>
      <c r="V239" s="1025"/>
      <c r="W239" s="1025"/>
      <c r="X239" s="1025"/>
      <c r="Y239" s="1025"/>
      <c r="Z239" s="1024"/>
      <c r="AA239" s="1025"/>
      <c r="AB239" s="1025"/>
      <c r="AC239" s="1025"/>
      <c r="AD239" s="1025"/>
      <c r="AE239" s="1024">
        <v>0.5</v>
      </c>
      <c r="AF239" s="1025">
        <v>0.1771875</v>
      </c>
      <c r="AG239" s="1025">
        <v>0.23625000000000002</v>
      </c>
      <c r="AH239" s="1025">
        <v>0.315</v>
      </c>
      <c r="AI239" s="1025">
        <v>0.42</v>
      </c>
      <c r="AJ239" s="1024">
        <f>AE234</f>
        <v>1.1000000000000001</v>
      </c>
      <c r="AK239" s="1026">
        <f>AF243+AF241</f>
        <v>0.47718750000000004</v>
      </c>
      <c r="AL239" s="1026">
        <f>AG243+AG241</f>
        <v>0.48625000000000002</v>
      </c>
      <c r="AM239" s="1026">
        <f>AH243+AH241</f>
        <v>0.56499999999999995</v>
      </c>
      <c r="AN239" s="1026">
        <f>AI243+AI241</f>
        <v>0.62000000000000011</v>
      </c>
      <c r="AO239" s="1029">
        <f>SUM(AK239:AN239)</f>
        <v>2.1484375</v>
      </c>
      <c r="AP239" s="1026">
        <f>AK243+AK241</f>
        <v>0.67718749999999983</v>
      </c>
      <c r="AQ239" s="1026">
        <f>AL243+AL241</f>
        <v>1.5862500000000002</v>
      </c>
      <c r="AR239" s="1026">
        <f>AM243+AM241</f>
        <v>1.4650000000000003</v>
      </c>
      <c r="AS239" s="1026">
        <f>AN243+AN241</f>
        <v>1.8199999999999994</v>
      </c>
      <c r="AT239" s="1029">
        <f>SUM(AP239:AS239)</f>
        <v>5.5484375000000004</v>
      </c>
      <c r="AU239" s="1026">
        <f>AP243+AP241</f>
        <v>2.1271874999999998</v>
      </c>
      <c r="AV239" s="1026">
        <f>AQ243+AQ241</f>
        <v>3.7362499999999996</v>
      </c>
      <c r="AW239" s="1026">
        <f>AR243+AR241</f>
        <v>4.6650000000000009</v>
      </c>
      <c r="AX239" s="1026">
        <f>AS243+AS241</f>
        <v>4.6199999999999992</v>
      </c>
      <c r="AY239" s="1029">
        <f>SUM(AU239:AX239)</f>
        <v>15.1484375</v>
      </c>
      <c r="AZ239" s="1026">
        <f>AU243+AU241</f>
        <v>5.1271874999999998</v>
      </c>
      <c r="BA239" s="1026">
        <f>AV243+AV241</f>
        <v>6.1362499999999995</v>
      </c>
      <c r="BB239" s="1026">
        <f>AW243+AW241</f>
        <v>6.2650000000000006</v>
      </c>
      <c r="BC239" s="1026">
        <f>AX243+AX241</f>
        <v>5.52</v>
      </c>
      <c r="BD239" s="1029">
        <f>SUM(AZ239:BC239)</f>
        <v>23.048437499999999</v>
      </c>
      <c r="BE239" s="2895"/>
      <c r="BF239" s="2895"/>
      <c r="BG239" s="2895"/>
      <c r="BH239" s="2895"/>
      <c r="BI239" s="2992"/>
      <c r="BJ239" s="2993"/>
      <c r="BK239" s="2993"/>
      <c r="BL239" s="2993"/>
      <c r="BM239" s="2993"/>
      <c r="BN239" s="2992"/>
      <c r="BO239" s="2993"/>
      <c r="BP239" s="2993"/>
      <c r="BQ239" s="2993"/>
      <c r="BR239" s="2993"/>
      <c r="BS239" s="2992"/>
      <c r="BT239" s="1521"/>
      <c r="BU239" s="1029"/>
      <c r="BV239" s="1029"/>
      <c r="BW239" s="1029"/>
      <c r="BX239" s="1029"/>
      <c r="BY239" s="1029"/>
      <c r="BZ239" s="1029"/>
      <c r="CA239" s="1029"/>
      <c r="CB239" s="1029"/>
    </row>
    <row r="240" spans="1:83" s="1042" customFormat="1" outlineLevel="1">
      <c r="A240" s="1077" t="s">
        <v>960</v>
      </c>
      <c r="B240" s="1071"/>
      <c r="C240" s="1071"/>
      <c r="D240" s="1071"/>
      <c r="E240" s="1071"/>
      <c r="F240" s="1078"/>
      <c r="G240" s="1071"/>
      <c r="H240" s="1071"/>
      <c r="I240" s="1071"/>
      <c r="J240" s="1071"/>
      <c r="K240" s="1078"/>
      <c r="L240" s="1071"/>
      <c r="M240" s="1071"/>
      <c r="N240" s="1071"/>
      <c r="O240" s="1071"/>
      <c r="P240" s="1078"/>
      <c r="Q240" s="1071"/>
      <c r="R240" s="1071"/>
      <c r="S240" s="1071"/>
      <c r="T240" s="1071"/>
      <c r="U240" s="1078"/>
      <c r="V240" s="1071"/>
      <c r="W240" s="1071"/>
      <c r="X240" s="1071"/>
      <c r="Y240" s="1071"/>
      <c r="Z240" s="1078"/>
      <c r="AA240" s="1071"/>
      <c r="AB240" s="1071"/>
      <c r="AC240" s="1071"/>
      <c r="AD240" s="1071"/>
      <c r="AE240" s="1080">
        <v>0.6</v>
      </c>
      <c r="AF240" s="1081">
        <v>0.7</v>
      </c>
      <c r="AG240" s="1081">
        <v>0.7</v>
      </c>
      <c r="AH240" s="1081">
        <f>AG240</f>
        <v>0.7</v>
      </c>
      <c r="AI240" s="1081">
        <f>AH240</f>
        <v>0.7</v>
      </c>
      <c r="AJ240" s="1080">
        <v>0.7</v>
      </c>
      <c r="AK240" s="1081">
        <v>0.7</v>
      </c>
      <c r="AL240" s="1081">
        <v>0.7</v>
      </c>
      <c r="AM240" s="1081">
        <v>0.7</v>
      </c>
      <c r="AN240" s="1081">
        <v>0.7</v>
      </c>
      <c r="AO240" s="1078">
        <f>AO241/AO239</f>
        <v>0.7</v>
      </c>
      <c r="AP240" s="1081">
        <v>0.75</v>
      </c>
      <c r="AQ240" s="1081">
        <f>AP240</f>
        <v>0.75</v>
      </c>
      <c r="AR240" s="1081">
        <f>AQ240</f>
        <v>0.75</v>
      </c>
      <c r="AS240" s="1081">
        <f>AR240</f>
        <v>0.75</v>
      </c>
      <c r="AT240" s="1078">
        <f>AT241/AT239</f>
        <v>0.74999999999999989</v>
      </c>
      <c r="AU240" s="1081">
        <v>0.8</v>
      </c>
      <c r="AV240" s="1081">
        <f>AU240</f>
        <v>0.8</v>
      </c>
      <c r="AW240" s="1081">
        <f>AV240</f>
        <v>0.8</v>
      </c>
      <c r="AX240" s="1081">
        <f>AW240</f>
        <v>0.8</v>
      </c>
      <c r="AY240" s="1078">
        <f>AY241/AY239</f>
        <v>0.8</v>
      </c>
      <c r="AZ240" s="1081">
        <v>0.8</v>
      </c>
      <c r="BA240" s="1081">
        <f>AZ240</f>
        <v>0.8</v>
      </c>
      <c r="BB240" s="1081">
        <f>BA240</f>
        <v>0.8</v>
      </c>
      <c r="BC240" s="1081">
        <f>BB240</f>
        <v>0.8</v>
      </c>
      <c r="BD240" s="1078">
        <f>BD241/BD239</f>
        <v>0.8</v>
      </c>
      <c r="BE240" s="2896"/>
      <c r="BF240" s="2896"/>
      <c r="BG240" s="2896"/>
      <c r="BH240" s="2896"/>
      <c r="BI240" s="2986"/>
      <c r="BJ240" s="2994"/>
      <c r="BK240" s="2994"/>
      <c r="BL240" s="2994"/>
      <c r="BM240" s="2994"/>
      <c r="BN240" s="2986"/>
      <c r="BO240" s="2994"/>
      <c r="BP240" s="2994"/>
      <c r="BQ240" s="2994"/>
      <c r="BR240" s="2994"/>
      <c r="BS240" s="2986"/>
      <c r="BT240" s="1529"/>
      <c r="BU240" s="1078"/>
      <c r="BV240" s="1078"/>
      <c r="BW240" s="1078"/>
      <c r="BX240" s="1078"/>
      <c r="BY240" s="1078"/>
      <c r="BZ240" s="1078"/>
      <c r="CA240" s="1078"/>
      <c r="CB240" s="1078"/>
    </row>
    <row r="241" spans="1:80" s="1027" customFormat="1" outlineLevel="1">
      <c r="A241" s="1028" t="s">
        <v>961</v>
      </c>
      <c r="B241" s="1030"/>
      <c r="C241" s="1030"/>
      <c r="D241" s="1030"/>
      <c r="E241" s="1030"/>
      <c r="F241" s="1029"/>
      <c r="G241" s="1030"/>
      <c r="H241" s="1030"/>
      <c r="I241" s="1030"/>
      <c r="J241" s="1030"/>
      <c r="K241" s="1029"/>
      <c r="L241" s="1030"/>
      <c r="M241" s="1030"/>
      <c r="N241" s="1030"/>
      <c r="O241" s="1030"/>
      <c r="P241" s="1029"/>
      <c r="Q241" s="1030"/>
      <c r="R241" s="1030"/>
      <c r="S241" s="1030"/>
      <c r="T241" s="1030"/>
      <c r="U241" s="1029"/>
      <c r="V241" s="1030"/>
      <c r="W241" s="1030"/>
      <c r="X241" s="1030"/>
      <c r="Y241" s="1030"/>
      <c r="Z241" s="1029"/>
      <c r="AA241" s="1030"/>
      <c r="AB241" s="1030"/>
      <c r="AC241" s="1030"/>
      <c r="AD241" s="1030"/>
      <c r="AE241" s="1029">
        <f t="shared" ref="AE241:AM241" si="160">AE240*AE239</f>
        <v>0.3</v>
      </c>
      <c r="AF241" s="1030">
        <f t="shared" si="160"/>
        <v>0.12403125</v>
      </c>
      <c r="AG241" s="1030">
        <f t="shared" si="160"/>
        <v>0.16537499999999999</v>
      </c>
      <c r="AH241" s="1030">
        <f t="shared" si="160"/>
        <v>0.22049999999999997</v>
      </c>
      <c r="AI241" s="1030">
        <f t="shared" si="160"/>
        <v>0.29399999999999998</v>
      </c>
      <c r="AJ241" s="1029">
        <f t="shared" si="160"/>
        <v>0.77</v>
      </c>
      <c r="AK241" s="1031">
        <f t="shared" si="160"/>
        <v>0.33403125</v>
      </c>
      <c r="AL241" s="1030">
        <f t="shared" si="160"/>
        <v>0.34037499999999998</v>
      </c>
      <c r="AM241" s="1030">
        <f t="shared" si="160"/>
        <v>0.39549999999999996</v>
      </c>
      <c r="AN241" s="1030">
        <f>AN240*AN239</f>
        <v>0.43400000000000005</v>
      </c>
      <c r="AO241" s="1029">
        <f>SUM(AK241:AN241)</f>
        <v>1.50390625</v>
      </c>
      <c r="AP241" s="1031">
        <f>AP240*AP239</f>
        <v>0.50789062499999993</v>
      </c>
      <c r="AQ241" s="1030">
        <f>AQ240*AQ239</f>
        <v>1.1896875000000002</v>
      </c>
      <c r="AR241" s="1030">
        <f>AR240*AR239</f>
        <v>1.0987500000000003</v>
      </c>
      <c r="AS241" s="1030">
        <f>AS240*AS239</f>
        <v>1.3649999999999995</v>
      </c>
      <c r="AT241" s="1029">
        <f>SUM(AP241:AS241)</f>
        <v>4.1613281249999998</v>
      </c>
      <c r="AU241" s="1031">
        <f>AU240*AU239</f>
        <v>1.7017499999999999</v>
      </c>
      <c r="AV241" s="1030">
        <f>AV240*AV239</f>
        <v>2.9889999999999999</v>
      </c>
      <c r="AW241" s="1030">
        <f>AW240*AW239</f>
        <v>3.7320000000000011</v>
      </c>
      <c r="AX241" s="1030">
        <f>AX240*AX239</f>
        <v>3.6959999999999997</v>
      </c>
      <c r="AY241" s="1029">
        <f>SUM(AU241:AX241)</f>
        <v>12.11875</v>
      </c>
      <c r="AZ241" s="1031">
        <f>AZ240*AZ239</f>
        <v>4.10175</v>
      </c>
      <c r="BA241" s="1030">
        <f>BA240*BA239</f>
        <v>4.9089999999999998</v>
      </c>
      <c r="BB241" s="1030">
        <f>BB240*BB239</f>
        <v>5.0120000000000005</v>
      </c>
      <c r="BC241" s="1030">
        <f>BC240*BC239</f>
        <v>4.4159999999999995</v>
      </c>
      <c r="BD241" s="1029">
        <f>SUM(AZ241:BC241)</f>
        <v>18.438749999999999</v>
      </c>
      <c r="BE241" s="2897"/>
      <c r="BF241" s="2898"/>
      <c r="BG241" s="2898"/>
      <c r="BH241" s="2898"/>
      <c r="BI241" s="2992"/>
      <c r="BJ241" s="2995"/>
      <c r="BK241" s="2996"/>
      <c r="BL241" s="2996"/>
      <c r="BM241" s="2996"/>
      <c r="BN241" s="2992"/>
      <c r="BO241" s="2995"/>
      <c r="BP241" s="2996"/>
      <c r="BQ241" s="2996"/>
      <c r="BR241" s="2996"/>
      <c r="BS241" s="2992"/>
      <c r="BT241" s="1530"/>
      <c r="BU241" s="1029"/>
      <c r="BV241" s="1029"/>
      <c r="BW241" s="1029">
        <f>SUM(AM241:AN241,AP241:AQ241)</f>
        <v>2.5270781250000001</v>
      </c>
      <c r="BX241" s="1029">
        <f>SUM(AR241:AS241,AU241:AV241)</f>
        <v>7.1544999999999996</v>
      </c>
      <c r="BY241" s="1029">
        <f>SUM(AW241:AX241,AZ241:BA241)</f>
        <v>16.438749999999999</v>
      </c>
      <c r="BZ241" s="1029">
        <f>SUM(BB241:BC241,BE241:BF241)</f>
        <v>9.4280000000000008</v>
      </c>
      <c r="CA241" s="1029"/>
      <c r="CB241" s="1029"/>
    </row>
    <row r="242" spans="1:80" s="1022" customFormat="1" outlineLevel="1">
      <c r="A242" s="1032" t="s">
        <v>926</v>
      </c>
      <c r="B242" s="1034"/>
      <c r="C242" s="1034"/>
      <c r="D242" s="1034"/>
      <c r="E242" s="1034"/>
      <c r="F242" s="1033"/>
      <c r="G242" s="1034"/>
      <c r="H242" s="1034"/>
      <c r="I242" s="1034"/>
      <c r="J242" s="1034"/>
      <c r="K242" s="1033"/>
      <c r="L242" s="1034"/>
      <c r="M242" s="1034"/>
      <c r="N242" s="1034"/>
      <c r="O242" s="1034"/>
      <c r="P242" s="1033"/>
      <c r="Q242" s="1034"/>
      <c r="R242" s="1034"/>
      <c r="S242" s="1034"/>
      <c r="T242" s="1034"/>
      <c r="U242" s="1033"/>
      <c r="V242" s="1034"/>
      <c r="W242" s="1034"/>
      <c r="X242" s="1034"/>
      <c r="Y242" s="1034"/>
      <c r="Z242" s="1033"/>
      <c r="AA242" s="1034"/>
      <c r="AB242" s="1034"/>
      <c r="AC242" s="1034"/>
      <c r="AD242" s="1034"/>
      <c r="AE242" s="1033"/>
      <c r="AF242" s="1017"/>
      <c r="AG242" s="1034"/>
      <c r="AH242" s="1034"/>
      <c r="AI242" s="1034"/>
      <c r="AJ242" s="1035">
        <f t="shared" ref="AJ242:BD242" si="161">IF(ISERROR(AJ241/AE241-1),,(AJ241/AE241-1))</f>
        <v>1.5666666666666669</v>
      </c>
      <c r="AK242" s="1036">
        <f t="shared" si="161"/>
        <v>1.693121693121693</v>
      </c>
      <c r="AL242" s="1036">
        <f t="shared" si="161"/>
        <v>1.0582010582010581</v>
      </c>
      <c r="AM242" s="1036">
        <f t="shared" si="161"/>
        <v>0.79365079365079372</v>
      </c>
      <c r="AN242" s="1036">
        <f t="shared" si="161"/>
        <v>0.4761904761904765</v>
      </c>
      <c r="AO242" s="1035">
        <f t="shared" si="161"/>
        <v>0.953125</v>
      </c>
      <c r="AP242" s="1036">
        <f t="shared" si="161"/>
        <v>0.52048835251192793</v>
      </c>
      <c r="AQ242" s="1036">
        <f t="shared" si="161"/>
        <v>2.4952258538376797</v>
      </c>
      <c r="AR242" s="1036">
        <f t="shared" si="161"/>
        <v>1.7781289506953235</v>
      </c>
      <c r="AS242" s="1036">
        <f t="shared" si="161"/>
        <v>2.1451612903225792</v>
      </c>
      <c r="AT242" s="1035">
        <f t="shared" si="161"/>
        <v>1.7670129870129867</v>
      </c>
      <c r="AU242" s="1036">
        <f t="shared" si="161"/>
        <v>2.3506229810798343</v>
      </c>
      <c r="AV242" s="1036">
        <f t="shared" si="161"/>
        <v>1.5124244812188068</v>
      </c>
      <c r="AW242" s="1036">
        <f t="shared" si="161"/>
        <v>2.3965870307167236</v>
      </c>
      <c r="AX242" s="1036">
        <f t="shared" si="161"/>
        <v>1.7076923076923083</v>
      </c>
      <c r="AY242" s="1035">
        <f t="shared" si="161"/>
        <v>1.9122312963484465</v>
      </c>
      <c r="AZ242" s="1036">
        <f t="shared" si="161"/>
        <v>1.4103129131776115</v>
      </c>
      <c r="BA242" s="1036">
        <f t="shared" si="161"/>
        <v>0.64235530277684849</v>
      </c>
      <c r="BB242" s="1036">
        <f t="shared" si="161"/>
        <v>0.34297963558413702</v>
      </c>
      <c r="BC242" s="1036">
        <f t="shared" si="161"/>
        <v>0.19480519480519476</v>
      </c>
      <c r="BD242" s="1035">
        <f t="shared" si="161"/>
        <v>0.52150593089221231</v>
      </c>
      <c r="BE242" s="2866"/>
      <c r="BF242" s="2866"/>
      <c r="BG242" s="2866"/>
      <c r="BH242" s="2866"/>
      <c r="BI242" s="2942"/>
      <c r="BJ242" s="2943"/>
      <c r="BK242" s="2943"/>
      <c r="BL242" s="2943"/>
      <c r="BM242" s="2943"/>
      <c r="BN242" s="2942"/>
      <c r="BO242" s="2943"/>
      <c r="BP242" s="2943"/>
      <c r="BQ242" s="2943"/>
      <c r="BR242" s="2943"/>
      <c r="BS242" s="2942"/>
      <c r="BT242" s="1438"/>
      <c r="BU242" s="1035"/>
      <c r="BV242" s="1035"/>
      <c r="BW242" s="1035"/>
      <c r="BX242" s="1035"/>
      <c r="BY242" s="1035"/>
      <c r="BZ242" s="1035"/>
      <c r="CA242" s="1035"/>
      <c r="CB242" s="1035"/>
    </row>
    <row r="243" spans="1:80" s="1027" customFormat="1" outlineLevel="1">
      <c r="A243" s="1028" t="s">
        <v>962</v>
      </c>
      <c r="B243" s="1030"/>
      <c r="C243" s="1030"/>
      <c r="D243" s="1030"/>
      <c r="E243" s="1030"/>
      <c r="F243" s="1029"/>
      <c r="G243" s="1030"/>
      <c r="H243" s="1030"/>
      <c r="I243" s="1030"/>
      <c r="J243" s="1030"/>
      <c r="K243" s="1029"/>
      <c r="L243" s="1030"/>
      <c r="M243" s="1030"/>
      <c r="N243" s="1030"/>
      <c r="O243" s="1030"/>
      <c r="P243" s="1029"/>
      <c r="Q243" s="1030"/>
      <c r="R243" s="1030"/>
      <c r="S243" s="1030"/>
      <c r="T243" s="1030"/>
      <c r="U243" s="1029"/>
      <c r="V243" s="1030"/>
      <c r="W243" s="1030"/>
      <c r="X243" s="1030"/>
      <c r="Y243" s="1030"/>
      <c r="Z243" s="1029"/>
      <c r="AA243" s="1030"/>
      <c r="AB243" s="1030"/>
      <c r="AC243" s="1030"/>
      <c r="AD243" s="1030"/>
      <c r="AE243" s="1029">
        <f>AE234+AE239-AE241</f>
        <v>1.3</v>
      </c>
      <c r="AF243" s="1030">
        <f>AF234+AF239-AF241</f>
        <v>0.35315625000000006</v>
      </c>
      <c r="AG243" s="1030">
        <f>AG234+AG239-AG241</f>
        <v>0.32087500000000002</v>
      </c>
      <c r="AH243" s="1030">
        <f>AH234+AH239-AH241</f>
        <v>0.34449999999999997</v>
      </c>
      <c r="AI243" s="1030">
        <f>AI234+AI239-AI241</f>
        <v>0.32600000000000012</v>
      </c>
      <c r="AJ243" s="1029">
        <f>SUM(AF243:AI243)</f>
        <v>1.3445312500000002</v>
      </c>
      <c r="AK243" s="1030">
        <f>AK234+AK239-AK241</f>
        <v>0.34315624999999983</v>
      </c>
      <c r="AL243" s="1030">
        <f>AL234+AL239-AL241</f>
        <v>1.2458750000000003</v>
      </c>
      <c r="AM243" s="1030">
        <f>AM234+AM239-AM241</f>
        <v>1.0695000000000003</v>
      </c>
      <c r="AN243" s="1030">
        <f>AN234+AN239-AN241</f>
        <v>1.3859999999999992</v>
      </c>
      <c r="AO243" s="1029">
        <f>SUM(AK243:AN243)</f>
        <v>4.0445312499999995</v>
      </c>
      <c r="AP243" s="1030">
        <f>AP234+AP239-AP241</f>
        <v>1.6192968749999999</v>
      </c>
      <c r="AQ243" s="1030">
        <f>AQ234+AQ239-AQ241</f>
        <v>2.5465624999999994</v>
      </c>
      <c r="AR243" s="1030">
        <f>AR234+AR239-AR241</f>
        <v>3.5662500000000006</v>
      </c>
      <c r="AS243" s="1030">
        <f>AS234+AS239-AS241</f>
        <v>3.2549999999999999</v>
      </c>
      <c r="AT243" s="1029">
        <f>SUM(AP243:AS243)</f>
        <v>10.987109374999999</v>
      </c>
      <c r="AU243" s="1030">
        <f>AU234+AU239-AU241</f>
        <v>3.4254375000000001</v>
      </c>
      <c r="AV243" s="1030">
        <f>AV234+AV239-AV241</f>
        <v>3.1472499999999997</v>
      </c>
      <c r="AW243" s="1030">
        <f>AW234+AW239-AW241</f>
        <v>2.5329999999999995</v>
      </c>
      <c r="AX243" s="1030">
        <f>AX234+AX239-AX241</f>
        <v>1.8239999999999998</v>
      </c>
      <c r="AY243" s="1029">
        <f>SUM(AU243:AX243)</f>
        <v>10.929687499999998</v>
      </c>
      <c r="AZ243" s="1030">
        <f>AZ234+AZ239-AZ241</f>
        <v>1.9254375000000001</v>
      </c>
      <c r="BA243" s="1030">
        <f>BA234+BA239-BA241</f>
        <v>2.1272500000000001</v>
      </c>
      <c r="BB243" s="1030">
        <f>BB234+BB239-BB241</f>
        <v>2.5529999999999999</v>
      </c>
      <c r="BC243" s="1030">
        <f>BC234+BC239-BC241</f>
        <v>1.9039999999999999</v>
      </c>
      <c r="BD243" s="1029">
        <f>SUM(AZ243:BC243)</f>
        <v>8.5096875000000001</v>
      </c>
      <c r="BE243" s="2898"/>
      <c r="BF243" s="2898"/>
      <c r="BG243" s="2898"/>
      <c r="BH243" s="2898"/>
      <c r="BI243" s="2992"/>
      <c r="BJ243" s="2996"/>
      <c r="BK243" s="2996"/>
      <c r="BL243" s="2996"/>
      <c r="BM243" s="2996"/>
      <c r="BN243" s="2992"/>
      <c r="BO243" s="2996"/>
      <c r="BP243" s="2996"/>
      <c r="BQ243" s="2996"/>
      <c r="BR243" s="2996"/>
      <c r="BS243" s="2992"/>
      <c r="BT243" s="1530"/>
      <c r="BU243" s="1029"/>
      <c r="BV243" s="1029"/>
      <c r="BW243" s="1029">
        <f>SUM(AM243:AN243,AP243:AQ243)</f>
        <v>6.621359374999999</v>
      </c>
      <c r="BX243" s="1029">
        <f>SUM(AR243:AS243,AU243:AV243)</f>
        <v>13.3939375</v>
      </c>
      <c r="BY243" s="1029">
        <f>SUM(AW243:AX243,AZ243:BA243)</f>
        <v>8.4096875000000004</v>
      </c>
      <c r="BZ243" s="1029">
        <f>SUM(BB243:BC243,BE243:BF243)</f>
        <v>4.4569999999999999</v>
      </c>
      <c r="CA243" s="1029"/>
      <c r="CB243" s="1029"/>
    </row>
    <row r="244" spans="1:80" s="1022" customFormat="1" outlineLevel="1">
      <c r="A244" s="1032" t="s">
        <v>926</v>
      </c>
      <c r="B244" s="1034"/>
      <c r="C244" s="1034"/>
      <c r="D244" s="1034"/>
      <c r="E244" s="1034"/>
      <c r="F244" s="1033"/>
      <c r="G244" s="1034"/>
      <c r="H244" s="1034"/>
      <c r="I244" s="1034"/>
      <c r="J244" s="1034"/>
      <c r="K244" s="1033"/>
      <c r="L244" s="1034"/>
      <c r="M244" s="1034"/>
      <c r="N244" s="1034"/>
      <c r="O244" s="1034"/>
      <c r="P244" s="1033"/>
      <c r="Q244" s="1034"/>
      <c r="R244" s="1034"/>
      <c r="S244" s="1034"/>
      <c r="T244" s="1034"/>
      <c r="U244" s="1033"/>
      <c r="V244" s="1034"/>
      <c r="W244" s="1034"/>
      <c r="X244" s="1034"/>
      <c r="Y244" s="1034"/>
      <c r="Z244" s="1033"/>
      <c r="AA244" s="1034"/>
      <c r="AB244" s="1034"/>
      <c r="AC244" s="1034"/>
      <c r="AD244" s="1034"/>
      <c r="AE244" s="1033"/>
      <c r="AF244" s="1017"/>
      <c r="AG244" s="1034"/>
      <c r="AH244" s="1034"/>
      <c r="AI244" s="1034"/>
      <c r="AJ244" s="1035">
        <f t="shared" ref="AJ244:BD244" si="162">IF(ISERROR(AJ243/AE243-1),,(AJ243/AE243-1))</f>
        <v>3.4254807692307709E-2</v>
      </c>
      <c r="AK244" s="1036">
        <f t="shared" si="162"/>
        <v>-2.831607822316673E-2</v>
      </c>
      <c r="AL244" s="1036">
        <f t="shared" si="162"/>
        <v>2.8827425009739001</v>
      </c>
      <c r="AM244" s="1036">
        <f t="shared" si="162"/>
        <v>2.1044992743105961</v>
      </c>
      <c r="AN244" s="1036">
        <f t="shared" si="162"/>
        <v>3.2515337423312847</v>
      </c>
      <c r="AO244" s="1035">
        <f t="shared" si="162"/>
        <v>2.0081348053457284</v>
      </c>
      <c r="AP244" s="1036">
        <f t="shared" si="162"/>
        <v>3.7188325289135795</v>
      </c>
      <c r="AQ244" s="1036">
        <f t="shared" si="162"/>
        <v>1.0439951841075539</v>
      </c>
      <c r="AR244" s="1036">
        <f t="shared" si="162"/>
        <v>2.3345021037868157</v>
      </c>
      <c r="AS244" s="1036">
        <f t="shared" si="162"/>
        <v>1.3484848484848495</v>
      </c>
      <c r="AT244" s="1035">
        <f t="shared" si="162"/>
        <v>1.7165346725903032</v>
      </c>
      <c r="AU244" s="1036">
        <f t="shared" si="162"/>
        <v>1.1153857287595894</v>
      </c>
      <c r="AV244" s="1036">
        <f t="shared" si="162"/>
        <v>0.23588170327647573</v>
      </c>
      <c r="AW244" s="1036">
        <f t="shared" si="162"/>
        <v>-0.28973010865755366</v>
      </c>
      <c r="AX244" s="1036">
        <f t="shared" si="162"/>
        <v>-0.43963133640552998</v>
      </c>
      <c r="AY244" s="1035">
        <f t="shared" si="162"/>
        <v>-5.2262950190209434E-3</v>
      </c>
      <c r="AZ244" s="1036">
        <f t="shared" si="162"/>
        <v>-0.43790026821391426</v>
      </c>
      <c r="BA244" s="1036">
        <f t="shared" si="162"/>
        <v>-0.32409246167288897</v>
      </c>
      <c r="BB244" s="1036">
        <f t="shared" si="162"/>
        <v>7.8957757599686929E-3</v>
      </c>
      <c r="BC244" s="1036">
        <f t="shared" si="162"/>
        <v>4.3859649122807154E-2</v>
      </c>
      <c r="BD244" s="1035">
        <f t="shared" si="162"/>
        <v>-0.22141529664045734</v>
      </c>
      <c r="BE244" s="2866"/>
      <c r="BF244" s="2866"/>
      <c r="BG244" s="2866"/>
      <c r="BH244" s="2866"/>
      <c r="BI244" s="2942"/>
      <c r="BJ244" s="2943"/>
      <c r="BK244" s="2943"/>
      <c r="BL244" s="2943"/>
      <c r="BM244" s="2943"/>
      <c r="BN244" s="2942"/>
      <c r="BO244" s="2943"/>
      <c r="BP244" s="2943"/>
      <c r="BQ244" s="2943"/>
      <c r="BR244" s="2943"/>
      <c r="BS244" s="2942"/>
      <c r="BT244" s="1438"/>
      <c r="BU244" s="1035"/>
      <c r="BV244" s="1035"/>
      <c r="BW244" s="1035"/>
      <c r="BX244" s="1035"/>
      <c r="BY244" s="1035"/>
      <c r="BZ244" s="1035"/>
      <c r="CA244" s="1035"/>
      <c r="CB244" s="1035"/>
    </row>
    <row r="245" spans="1:80" s="1027" customFormat="1" outlineLevel="1">
      <c r="A245" s="1028" t="s">
        <v>967</v>
      </c>
      <c r="B245" s="1030"/>
      <c r="C245" s="1030"/>
      <c r="D245" s="1030"/>
      <c r="E245" s="1030"/>
      <c r="F245" s="1029"/>
      <c r="G245" s="1030"/>
      <c r="H245" s="1030"/>
      <c r="I245" s="1030"/>
      <c r="J245" s="1030"/>
      <c r="K245" s="1029"/>
      <c r="L245" s="1030"/>
      <c r="M245" s="1030"/>
      <c r="N245" s="1030"/>
      <c r="O245" s="1030"/>
      <c r="P245" s="1029"/>
      <c r="Q245" s="1030"/>
      <c r="R245" s="1030"/>
      <c r="S245" s="1030"/>
      <c r="T245" s="1030"/>
      <c r="U245" s="1029"/>
      <c r="V245" s="1030"/>
      <c r="W245" s="1030"/>
      <c r="X245" s="1030"/>
      <c r="Y245" s="1030"/>
      <c r="Z245" s="1029"/>
      <c r="AA245" s="1030"/>
      <c r="AB245" s="1030"/>
      <c r="AC245" s="1030"/>
      <c r="AD245" s="1030"/>
      <c r="AE245" s="1029">
        <f>AE243+AE241</f>
        <v>1.6</v>
      </c>
      <c r="AF245" s="1030">
        <f t="shared" ref="AF245:BC245" si="163">AF243+AF241</f>
        <v>0.47718750000000004</v>
      </c>
      <c r="AG245" s="1030">
        <f t="shared" si="163"/>
        <v>0.48625000000000002</v>
      </c>
      <c r="AH245" s="1030">
        <f t="shared" si="163"/>
        <v>0.56499999999999995</v>
      </c>
      <c r="AI245" s="1030">
        <f t="shared" si="163"/>
        <v>0.62000000000000011</v>
      </c>
      <c r="AJ245" s="1029">
        <f>SUM(AF245:AI245)</f>
        <v>2.1484375</v>
      </c>
      <c r="AK245" s="1030">
        <f t="shared" si="163"/>
        <v>0.67718749999999983</v>
      </c>
      <c r="AL245" s="1030">
        <f t="shared" si="163"/>
        <v>1.5862500000000002</v>
      </c>
      <c r="AM245" s="1030">
        <f t="shared" si="163"/>
        <v>1.4650000000000003</v>
      </c>
      <c r="AN245" s="1030">
        <f>AN243+AN241</f>
        <v>1.8199999999999994</v>
      </c>
      <c r="AO245" s="1029">
        <f>SUM(AK245:AN245)</f>
        <v>5.5484375000000004</v>
      </c>
      <c r="AP245" s="1030">
        <f t="shared" si="163"/>
        <v>2.1271874999999998</v>
      </c>
      <c r="AQ245" s="1030">
        <f t="shared" si="163"/>
        <v>3.7362499999999996</v>
      </c>
      <c r="AR245" s="1030">
        <f t="shared" si="163"/>
        <v>4.6650000000000009</v>
      </c>
      <c r="AS245" s="1030">
        <f t="shared" si="163"/>
        <v>4.6199999999999992</v>
      </c>
      <c r="AT245" s="1029">
        <f>SUM(AP245:AS245)</f>
        <v>15.1484375</v>
      </c>
      <c r="AU245" s="1030">
        <f t="shared" si="163"/>
        <v>5.1271874999999998</v>
      </c>
      <c r="AV245" s="1030">
        <f t="shared" si="163"/>
        <v>6.1362499999999995</v>
      </c>
      <c r="AW245" s="1030">
        <f t="shared" si="163"/>
        <v>6.2650000000000006</v>
      </c>
      <c r="AX245" s="1030">
        <f t="shared" si="163"/>
        <v>5.52</v>
      </c>
      <c r="AY245" s="1029">
        <f>SUM(AU245:AX245)</f>
        <v>23.048437499999999</v>
      </c>
      <c r="AZ245" s="1030">
        <f>AZ243+AZ241</f>
        <v>6.0271875000000001</v>
      </c>
      <c r="BA245" s="1030">
        <f t="shared" si="163"/>
        <v>7.0362499999999999</v>
      </c>
      <c r="BB245" s="1030">
        <f t="shared" si="163"/>
        <v>7.5650000000000004</v>
      </c>
      <c r="BC245" s="1030">
        <f t="shared" si="163"/>
        <v>6.3199999999999994</v>
      </c>
      <c r="BD245" s="1029">
        <f>SUM(AZ245:BC245)</f>
        <v>26.948437500000001</v>
      </c>
      <c r="BE245" s="2898"/>
      <c r="BF245" s="2898"/>
      <c r="BG245" s="2898"/>
      <c r="BH245" s="2898"/>
      <c r="BI245" s="2992"/>
      <c r="BJ245" s="2996"/>
      <c r="BK245" s="2996"/>
      <c r="BL245" s="2996"/>
      <c r="BM245" s="2996"/>
      <c r="BN245" s="2992"/>
      <c r="BO245" s="2996"/>
      <c r="BP245" s="2996"/>
      <c r="BQ245" s="2996"/>
      <c r="BR245" s="2996"/>
      <c r="BS245" s="2992"/>
      <c r="BT245" s="1530"/>
      <c r="BU245" s="1029"/>
      <c r="BV245" s="1029"/>
      <c r="BW245" s="1029">
        <f>SUM(AM245:AN245,AP245:AQ245)</f>
        <v>9.1484375</v>
      </c>
      <c r="BX245" s="1029">
        <f>SUM(AR245:AS245,AU245:AV245)</f>
        <v>20.548437499999999</v>
      </c>
      <c r="BY245" s="1029">
        <f>SUM(AW245:AX245,AZ245:BA245)</f>
        <v>24.848437499999999</v>
      </c>
      <c r="BZ245" s="1029">
        <f>SUM(BB245:BC245,BE245:BF245)</f>
        <v>13.885</v>
      </c>
      <c r="CA245" s="1029"/>
      <c r="CB245" s="1029"/>
    </row>
    <row r="246" spans="1:80" s="1022" customFormat="1" outlineLevel="1">
      <c r="A246" s="1032" t="s">
        <v>926</v>
      </c>
      <c r="B246" s="1034"/>
      <c r="C246" s="1034"/>
      <c r="D246" s="1034"/>
      <c r="E246" s="1034"/>
      <c r="F246" s="1033"/>
      <c r="G246" s="1034"/>
      <c r="H246" s="1034"/>
      <c r="I246" s="1034"/>
      <c r="J246" s="1034"/>
      <c r="K246" s="1033"/>
      <c r="L246" s="1034"/>
      <c r="M246" s="1034"/>
      <c r="N246" s="1034"/>
      <c r="O246" s="1034"/>
      <c r="P246" s="1033"/>
      <c r="Q246" s="1034"/>
      <c r="R246" s="1034"/>
      <c r="S246" s="1034"/>
      <c r="T246" s="1034"/>
      <c r="U246" s="1033"/>
      <c r="V246" s="1034"/>
      <c r="W246" s="1034"/>
      <c r="X246" s="1034"/>
      <c r="Y246" s="1034"/>
      <c r="Z246" s="1033"/>
      <c r="AA246" s="1034"/>
      <c r="AB246" s="1034"/>
      <c r="AC246" s="1034"/>
      <c r="AD246" s="1034"/>
      <c r="AE246" s="1033"/>
      <c r="AF246" s="1017"/>
      <c r="AG246" s="1034"/>
      <c r="AH246" s="1034"/>
      <c r="AI246" s="1034"/>
      <c r="AJ246" s="1035">
        <f t="shared" ref="AJ246:BD246" si="164">IF(ISERROR(AJ245/AE245-1),,(AJ245/AE245-1))</f>
        <v>0.3427734375</v>
      </c>
      <c r="AK246" s="1036">
        <f t="shared" si="164"/>
        <v>0.41912246234446582</v>
      </c>
      <c r="AL246" s="1036">
        <f t="shared" si="164"/>
        <v>2.2622107969151672</v>
      </c>
      <c r="AM246" s="1036">
        <f t="shared" si="164"/>
        <v>1.5929203539823016</v>
      </c>
      <c r="AN246" s="1036">
        <f t="shared" si="164"/>
        <v>1.9354838709677407</v>
      </c>
      <c r="AO246" s="1035">
        <f t="shared" si="164"/>
        <v>1.5825454545454547</v>
      </c>
      <c r="AP246" s="1036">
        <f t="shared" si="164"/>
        <v>2.1412090447623449</v>
      </c>
      <c r="AQ246" s="1036">
        <f t="shared" si="164"/>
        <v>1.3553979511426317</v>
      </c>
      <c r="AR246" s="1036">
        <f t="shared" si="164"/>
        <v>2.1843003412969284</v>
      </c>
      <c r="AS246" s="1036">
        <f t="shared" si="164"/>
        <v>1.5384615384615388</v>
      </c>
      <c r="AT246" s="1035">
        <f t="shared" si="164"/>
        <v>1.7302168403266682</v>
      </c>
      <c r="AU246" s="1036">
        <f t="shared" si="164"/>
        <v>1.4103129131776115</v>
      </c>
      <c r="AV246" s="1036">
        <f t="shared" si="164"/>
        <v>0.64235530277684849</v>
      </c>
      <c r="AW246" s="1036">
        <f t="shared" si="164"/>
        <v>0.34297963558413702</v>
      </c>
      <c r="AX246" s="1036">
        <f t="shared" si="164"/>
        <v>0.19480519480519498</v>
      </c>
      <c r="AY246" s="1035">
        <f t="shared" si="164"/>
        <v>0.52150593089221231</v>
      </c>
      <c r="AZ246" s="1036">
        <f t="shared" si="164"/>
        <v>0.17553483269336256</v>
      </c>
      <c r="BA246" s="1036">
        <f t="shared" si="164"/>
        <v>0.14666938276634767</v>
      </c>
      <c r="BB246" s="1036">
        <f t="shared" si="164"/>
        <v>0.20750199521149226</v>
      </c>
      <c r="BC246" s="1036">
        <f t="shared" si="164"/>
        <v>0.14492753623188404</v>
      </c>
      <c r="BD246" s="1035">
        <f t="shared" si="164"/>
        <v>0.16920886719544459</v>
      </c>
      <c r="BE246" s="2866"/>
      <c r="BF246" s="2866"/>
      <c r="BG246" s="2866"/>
      <c r="BH246" s="2866"/>
      <c r="BI246" s="2942"/>
      <c r="BJ246" s="2943"/>
      <c r="BK246" s="2943"/>
      <c r="BL246" s="2943"/>
      <c r="BM246" s="2943"/>
      <c r="BN246" s="2942"/>
      <c r="BO246" s="2943"/>
      <c r="BP246" s="2943"/>
      <c r="BQ246" s="2943"/>
      <c r="BR246" s="2943"/>
      <c r="BS246" s="2942"/>
      <c r="BT246" s="1438"/>
      <c r="BU246" s="1035"/>
      <c r="BV246" s="1035"/>
      <c r="BW246" s="1035"/>
      <c r="BX246" s="1035"/>
      <c r="BY246" s="1035"/>
      <c r="BZ246" s="1035"/>
      <c r="CA246" s="1035"/>
      <c r="CB246" s="1035"/>
    </row>
    <row r="247" spans="1:80" ht="7.5" customHeight="1" outlineLevel="1">
      <c r="A247" s="1005"/>
      <c r="BE247" s="2249"/>
      <c r="BF247" s="2249"/>
      <c r="BG247" s="2249"/>
      <c r="BH247" s="2249"/>
      <c r="BI247" s="2997"/>
      <c r="BJ247" s="2998"/>
      <c r="BK247" s="2998"/>
      <c r="BL247" s="2998"/>
      <c r="BM247" s="2998"/>
      <c r="BN247" s="2997"/>
      <c r="BO247" s="2998"/>
      <c r="BP247" s="2998"/>
      <c r="BQ247" s="2998"/>
      <c r="BR247" s="2998"/>
      <c r="BS247" s="2997"/>
      <c r="BT247" s="1343"/>
      <c r="BZ247" s="1009"/>
      <c r="CA247" s="1009"/>
      <c r="CB247" s="1009"/>
    </row>
    <row r="248" spans="1:80" s="1059" customFormat="1" outlineLevel="1">
      <c r="A248" s="1055" t="s">
        <v>963</v>
      </c>
      <c r="B248" s="1060"/>
      <c r="C248" s="1060"/>
      <c r="D248" s="1060"/>
      <c r="E248" s="1060"/>
      <c r="F248" s="1058"/>
      <c r="G248" s="1060"/>
      <c r="H248" s="1060"/>
      <c r="I248" s="1060"/>
      <c r="J248" s="1060"/>
      <c r="K248" s="1058"/>
      <c r="L248" s="1060"/>
      <c r="M248" s="1060"/>
      <c r="N248" s="1060"/>
      <c r="O248" s="1060"/>
      <c r="P248" s="1058"/>
      <c r="Q248" s="1060"/>
      <c r="R248" s="1060"/>
      <c r="S248" s="1060"/>
      <c r="T248" s="1060"/>
      <c r="U248" s="1058"/>
      <c r="V248" s="1060"/>
      <c r="W248" s="1060"/>
      <c r="X248" s="1060"/>
      <c r="Y248" s="1060"/>
      <c r="Z248" s="1058"/>
      <c r="AA248" s="1060"/>
      <c r="AB248" s="1060"/>
      <c r="AC248" s="1060"/>
      <c r="AD248" s="1060"/>
      <c r="AE248" s="1057">
        <v>99.99</v>
      </c>
      <c r="AF248" s="1056">
        <f>AE248</f>
        <v>99.99</v>
      </c>
      <c r="AG248" s="1056">
        <f>AF248</f>
        <v>99.99</v>
      </c>
      <c r="AH248" s="1056">
        <f>AG248</f>
        <v>99.99</v>
      </c>
      <c r="AI248" s="1056">
        <f>AH248</f>
        <v>99.99</v>
      </c>
      <c r="AJ248" s="1058">
        <f>AJ249/AJ245</f>
        <v>99.99</v>
      </c>
      <c r="AK248" s="1056">
        <f>AI248</f>
        <v>99.99</v>
      </c>
      <c r="AL248" s="1056">
        <f>AK248</f>
        <v>99.99</v>
      </c>
      <c r="AM248" s="1056">
        <f>AL248</f>
        <v>99.99</v>
      </c>
      <c r="AN248" s="1056">
        <f>AM248</f>
        <v>99.99</v>
      </c>
      <c r="AO248" s="1058">
        <f>AO249/AO245</f>
        <v>99.989999999999981</v>
      </c>
      <c r="AP248" s="1056">
        <v>90</v>
      </c>
      <c r="AQ248" s="1056">
        <f>AP248</f>
        <v>90</v>
      </c>
      <c r="AR248" s="1056">
        <v>85</v>
      </c>
      <c r="AS248" s="1056">
        <f>AR248</f>
        <v>85</v>
      </c>
      <c r="AT248" s="1058">
        <f>AT249/AT245</f>
        <v>86.935327488396069</v>
      </c>
      <c r="AU248" s="1056">
        <f>AS248</f>
        <v>85</v>
      </c>
      <c r="AV248" s="1056">
        <f>AU248</f>
        <v>85</v>
      </c>
      <c r="AW248" s="1056">
        <f>AV248</f>
        <v>85</v>
      </c>
      <c r="AX248" s="1056">
        <f>AW248</f>
        <v>85</v>
      </c>
      <c r="AY248" s="1058">
        <f>AY249/AY245</f>
        <v>85</v>
      </c>
      <c r="AZ248" s="1056">
        <f>AX248</f>
        <v>85</v>
      </c>
      <c r="BA248" s="1056">
        <v>90</v>
      </c>
      <c r="BB248" s="1056">
        <v>90</v>
      </c>
      <c r="BC248" s="1056">
        <f>BB248</f>
        <v>90</v>
      </c>
      <c r="BD248" s="1058">
        <f>BD249/BD245</f>
        <v>88.881718559749515</v>
      </c>
      <c r="BE248" s="2882"/>
      <c r="BF248" s="2882"/>
      <c r="BG248" s="2882"/>
      <c r="BH248" s="2882"/>
      <c r="BI248" s="2965"/>
      <c r="BJ248" s="2966"/>
      <c r="BK248" s="2966"/>
      <c r="BL248" s="2966"/>
      <c r="BM248" s="2966"/>
      <c r="BN248" s="2965"/>
      <c r="BO248" s="2966"/>
      <c r="BP248" s="2966"/>
      <c r="BQ248" s="2966"/>
      <c r="BR248" s="2966"/>
      <c r="BS248" s="2965"/>
      <c r="BT248" s="1526"/>
      <c r="BU248" s="1194"/>
      <c r="BV248" s="1194"/>
      <c r="BW248" s="1194"/>
      <c r="BX248" s="1194"/>
      <c r="BY248" s="1194"/>
      <c r="BZ248" s="1194"/>
      <c r="CA248" s="1194"/>
      <c r="CB248" s="1194"/>
    </row>
    <row r="249" spans="1:80" s="1059" customFormat="1" outlineLevel="1">
      <c r="A249" s="1094" t="s">
        <v>964</v>
      </c>
      <c r="B249" s="1060"/>
      <c r="C249" s="1060"/>
      <c r="D249" s="1060"/>
      <c r="E249" s="1060"/>
      <c r="F249" s="1058"/>
      <c r="G249" s="1060"/>
      <c r="H249" s="1060"/>
      <c r="I249" s="1060"/>
      <c r="J249" s="1060"/>
      <c r="K249" s="1058"/>
      <c r="L249" s="1060"/>
      <c r="M249" s="1060"/>
      <c r="N249" s="1060"/>
      <c r="O249" s="1060"/>
      <c r="P249" s="1058"/>
      <c r="Q249" s="1060"/>
      <c r="R249" s="1060"/>
      <c r="S249" s="1060"/>
      <c r="T249" s="1060"/>
      <c r="U249" s="1058"/>
      <c r="V249" s="1060"/>
      <c r="W249" s="1060"/>
      <c r="X249" s="1060"/>
      <c r="Y249" s="1060"/>
      <c r="Z249" s="1058"/>
      <c r="AA249" s="1060"/>
      <c r="AB249" s="1060"/>
      <c r="AC249" s="1060"/>
      <c r="AD249" s="1060"/>
      <c r="AE249" s="1058">
        <f>AE245*AE248</f>
        <v>159.98400000000001</v>
      </c>
      <c r="AF249" s="1060">
        <f>AF245*AF248</f>
        <v>47.713978125000004</v>
      </c>
      <c r="AG249" s="1060">
        <f>AG245*AG248</f>
        <v>48.620137499999998</v>
      </c>
      <c r="AH249" s="1060">
        <f>AH245*AH248</f>
        <v>56.49434999999999</v>
      </c>
      <c r="AI249" s="1060">
        <f>AI245*AI248</f>
        <v>61.993800000000007</v>
      </c>
      <c r="AJ249" s="1058">
        <f>SUM(AF249:AI249)</f>
        <v>214.822265625</v>
      </c>
      <c r="AK249" s="1060">
        <f>AK245*AK248</f>
        <v>67.711978124999973</v>
      </c>
      <c r="AL249" s="1060">
        <f>AL245*AL248</f>
        <v>158.6091375</v>
      </c>
      <c r="AM249" s="1060">
        <f>AM245*AM248</f>
        <v>146.48535000000001</v>
      </c>
      <c r="AN249" s="1060">
        <f>AN245*AN248</f>
        <v>181.98179999999994</v>
      </c>
      <c r="AO249" s="1058">
        <f>SUM(AK249:AN249)</f>
        <v>554.78826562499989</v>
      </c>
      <c r="AP249" s="1060">
        <f>AP245*AP248</f>
        <v>191.44687499999998</v>
      </c>
      <c r="AQ249" s="1060">
        <f>AQ245*AQ248</f>
        <v>336.26249999999999</v>
      </c>
      <c r="AR249" s="1060">
        <f>AR245*AR248</f>
        <v>396.52500000000009</v>
      </c>
      <c r="AS249" s="1060">
        <f>AS245*AS248</f>
        <v>392.69999999999993</v>
      </c>
      <c r="AT249" s="1058">
        <f>SUM(AP249:AS249)</f>
        <v>1316.9343749999998</v>
      </c>
      <c r="AU249" s="1060">
        <f>AU245*AU248</f>
        <v>435.81093749999997</v>
      </c>
      <c r="AV249" s="1060">
        <f>AV245*AV248</f>
        <v>521.58124999999995</v>
      </c>
      <c r="AW249" s="1060">
        <f>AW245*AW248</f>
        <v>532.52500000000009</v>
      </c>
      <c r="AX249" s="1060">
        <f>AX245*AX248</f>
        <v>469.2</v>
      </c>
      <c r="AY249" s="1058">
        <f>SUM(AU249:AX249)</f>
        <v>1959.1171875</v>
      </c>
      <c r="AZ249" s="1060">
        <f>AZ245*AZ248</f>
        <v>512.31093750000002</v>
      </c>
      <c r="BA249" s="1060">
        <f>BA245*BA248</f>
        <v>633.26250000000005</v>
      </c>
      <c r="BB249" s="1060">
        <f>BB245*BB248</f>
        <v>680.85</v>
      </c>
      <c r="BC249" s="1060">
        <f>BC245*BC248</f>
        <v>568.79999999999995</v>
      </c>
      <c r="BD249" s="1058">
        <f>SUM(AZ249:BC249)</f>
        <v>2395.2234374999998</v>
      </c>
      <c r="BE249" s="2899"/>
      <c r="BF249" s="2899"/>
      <c r="BG249" s="2899"/>
      <c r="BH249" s="2899"/>
      <c r="BI249" s="2965"/>
      <c r="BJ249" s="2999"/>
      <c r="BK249" s="2999"/>
      <c r="BL249" s="2999"/>
      <c r="BM249" s="2999"/>
      <c r="BN249" s="2965"/>
      <c r="BO249" s="2999"/>
      <c r="BP249" s="2999"/>
      <c r="BQ249" s="2999"/>
      <c r="BR249" s="2999"/>
      <c r="BS249" s="2965"/>
      <c r="BT249" s="1526"/>
      <c r="BU249" s="1194"/>
      <c r="BV249" s="1194"/>
      <c r="BW249" s="1194"/>
      <c r="BX249" s="1194"/>
      <c r="BY249" s="1194"/>
      <c r="BZ249" s="1194"/>
      <c r="CA249" s="1194"/>
      <c r="CB249" s="1194"/>
    </row>
    <row r="250" spans="1:80" s="1022" customFormat="1" outlineLevel="1">
      <c r="A250" s="1032" t="s">
        <v>926</v>
      </c>
      <c r="B250" s="1034"/>
      <c r="C250" s="1034"/>
      <c r="D250" s="1034"/>
      <c r="E250" s="1034"/>
      <c r="F250" s="1033"/>
      <c r="G250" s="1034"/>
      <c r="H250" s="1034"/>
      <c r="I250" s="1034"/>
      <c r="J250" s="1034"/>
      <c r="K250" s="1033"/>
      <c r="L250" s="1034"/>
      <c r="M250" s="1034"/>
      <c r="N250" s="1034"/>
      <c r="O250" s="1034"/>
      <c r="P250" s="1033"/>
      <c r="Q250" s="1034"/>
      <c r="R250" s="1034"/>
      <c r="S250" s="1034"/>
      <c r="T250" s="1034"/>
      <c r="U250" s="1033"/>
      <c r="V250" s="1034"/>
      <c r="W250" s="1034"/>
      <c r="X250" s="1034"/>
      <c r="Y250" s="1034"/>
      <c r="Z250" s="1033"/>
      <c r="AA250" s="1034"/>
      <c r="AB250" s="1034"/>
      <c r="AC250" s="1034"/>
      <c r="AD250" s="1034"/>
      <c r="AE250" s="1033"/>
      <c r="AF250" s="1017"/>
      <c r="AG250" s="1034"/>
      <c r="AH250" s="1034"/>
      <c r="AI250" s="1034"/>
      <c r="AJ250" s="1035">
        <f t="shared" ref="AJ250:BD250" si="165">IF(ISERROR(AJ249/AE249-1),,(AJ249/AE249-1))</f>
        <v>0.3427734375</v>
      </c>
      <c r="AK250" s="1036">
        <f t="shared" si="165"/>
        <v>0.4191224623444656</v>
      </c>
      <c r="AL250" s="1036">
        <f t="shared" si="165"/>
        <v>2.2622107969151672</v>
      </c>
      <c r="AM250" s="1036">
        <f t="shared" si="165"/>
        <v>1.5929203539823016</v>
      </c>
      <c r="AN250" s="1036">
        <f t="shared" si="165"/>
        <v>1.9354838709677407</v>
      </c>
      <c r="AO250" s="1035">
        <f t="shared" si="165"/>
        <v>1.5825454545454543</v>
      </c>
      <c r="AP250" s="1036">
        <f t="shared" si="165"/>
        <v>1.827370877373848</v>
      </c>
      <c r="AQ250" s="1036">
        <f t="shared" si="165"/>
        <v>1.120070163044673</v>
      </c>
      <c r="AR250" s="1036">
        <f t="shared" si="165"/>
        <v>1.7069259827006595</v>
      </c>
      <c r="AS250" s="1036">
        <f t="shared" si="165"/>
        <v>1.1579080985021584</v>
      </c>
      <c r="AT250" s="1035">
        <f t="shared" si="165"/>
        <v>1.3737603273140606</v>
      </c>
      <c r="AU250" s="1036">
        <f t="shared" si="165"/>
        <v>1.2764066402232994</v>
      </c>
      <c r="AV250" s="1036">
        <f t="shared" si="165"/>
        <v>0.55111334151146796</v>
      </c>
      <c r="AW250" s="1036">
        <f t="shared" si="165"/>
        <v>0.34297963558413702</v>
      </c>
      <c r="AX250" s="1036">
        <f t="shared" si="165"/>
        <v>0.19480519480519498</v>
      </c>
      <c r="AY250" s="1035">
        <f t="shared" si="165"/>
        <v>0.48763463441373101</v>
      </c>
      <c r="AZ250" s="1036">
        <f t="shared" si="165"/>
        <v>0.17553483269336279</v>
      </c>
      <c r="BA250" s="1036">
        <f t="shared" si="165"/>
        <v>0.21412052292907413</v>
      </c>
      <c r="BB250" s="1036">
        <f t="shared" si="165"/>
        <v>0.27853152434158002</v>
      </c>
      <c r="BC250" s="1036">
        <f t="shared" si="165"/>
        <v>0.21227621483375958</v>
      </c>
      <c r="BD250" s="1035">
        <f t="shared" si="165"/>
        <v>0.22260345260740033</v>
      </c>
      <c r="BE250" s="2866"/>
      <c r="BF250" s="2866"/>
      <c r="BG250" s="2866"/>
      <c r="BH250" s="2866"/>
      <c r="BI250" s="2942"/>
      <c r="BJ250" s="2943"/>
      <c r="BK250" s="2943"/>
      <c r="BL250" s="2943"/>
      <c r="BM250" s="2943"/>
      <c r="BN250" s="2942"/>
      <c r="BO250" s="2943"/>
      <c r="BP250" s="2943"/>
      <c r="BQ250" s="2943"/>
      <c r="BR250" s="2943"/>
      <c r="BS250" s="2942"/>
      <c r="BT250" s="1438"/>
      <c r="BU250" s="1035"/>
      <c r="BV250" s="1035"/>
      <c r="BW250" s="1035"/>
      <c r="BX250" s="1035"/>
      <c r="BY250" s="1035"/>
      <c r="BZ250" s="1035"/>
      <c r="CA250" s="1035"/>
      <c r="CB250" s="1035"/>
    </row>
    <row r="251" spans="1:80" s="1011" customFormat="1" outlineLevel="1">
      <c r="A251" s="1013" t="s">
        <v>966</v>
      </c>
      <c r="B251" s="1015"/>
      <c r="C251" s="1015"/>
      <c r="D251" s="1015"/>
      <c r="E251" s="1015"/>
      <c r="F251" s="1014"/>
      <c r="G251" s="1015"/>
      <c r="H251" s="1015"/>
      <c r="I251" s="1015"/>
      <c r="J251" s="1015"/>
      <c r="K251" s="1014"/>
      <c r="L251" s="1015"/>
      <c r="M251" s="1015"/>
      <c r="N251" s="1015"/>
      <c r="O251" s="1015"/>
      <c r="P251" s="1014"/>
      <c r="Q251" s="1015"/>
      <c r="R251" s="1015"/>
      <c r="S251" s="1015"/>
      <c r="T251" s="1015"/>
      <c r="U251" s="1014"/>
      <c r="V251" s="1015"/>
      <c r="W251" s="1015"/>
      <c r="X251" s="1015"/>
      <c r="Y251" s="1015"/>
      <c r="Z251" s="1014"/>
      <c r="AA251" s="1015"/>
      <c r="AB251" s="1015"/>
      <c r="AC251" s="1015"/>
      <c r="AD251" s="1015"/>
      <c r="AE251" s="1014">
        <v>151.89930000000001</v>
      </c>
      <c r="AF251" s="1015">
        <v>34.656300000000002</v>
      </c>
      <c r="AG251" s="1015">
        <v>35.853299999999997</v>
      </c>
      <c r="AH251" s="1015">
        <v>56.870999999999995</v>
      </c>
      <c r="AI251" s="1015">
        <v>66.720249999999993</v>
      </c>
      <c r="AJ251" s="1014">
        <v>194.10084999999998</v>
      </c>
      <c r="AK251" s="1015">
        <v>65</v>
      </c>
      <c r="AL251" s="1015">
        <v>75</v>
      </c>
      <c r="AM251" s="1015">
        <v>98</v>
      </c>
      <c r="AN251" s="1015">
        <f>AM249/4+AL249/4+AN249/4+AK249/4</f>
        <v>138.69706640624997</v>
      </c>
      <c r="AO251" s="1014">
        <f>SUM(AK251:AN251)</f>
        <v>376.69706640624997</v>
      </c>
      <c r="AP251" s="1015">
        <f>AN249/4+AM249/4+AP249/4+AL249/4</f>
        <v>169.63079062499997</v>
      </c>
      <c r="AQ251" s="1015">
        <f>AQ249/4+AP249/4+AN249/4+AM249/4</f>
        <v>214.04413124999996</v>
      </c>
      <c r="AR251" s="1015">
        <f>AR249/4+AQ249/4+AN249/4+AP249/4</f>
        <v>276.55404375000001</v>
      </c>
      <c r="AS251" s="1015">
        <f>AR249/4+AQ249/4+AS249/4+AP249/4</f>
        <v>329.23359375000007</v>
      </c>
      <c r="AT251" s="1014">
        <f>SUM(AP251:AS251)</f>
        <v>989.46255937500007</v>
      </c>
      <c r="AU251" s="1015">
        <f>AU249/4+AS249/4+AR249/4+AQ249/4</f>
        <v>390.32460937500002</v>
      </c>
      <c r="AV251" s="1015">
        <f>AV249/4+AU249/4+AS249/4+AR249/4</f>
        <v>436.654296875</v>
      </c>
      <c r="AW251" s="1015">
        <f>AW249/4+AV249/4+AS249/4+AU249/4</f>
        <v>470.654296875</v>
      </c>
      <c r="AX251" s="1015">
        <f>AW249/4+AV249/4+AX249/4+AU249/4</f>
        <v>489.779296875</v>
      </c>
      <c r="AY251" s="1014">
        <f>SUM(AU251:AX251)</f>
        <v>1787.4124999999999</v>
      </c>
      <c r="AZ251" s="1015">
        <f>AZ249/4+AX249/4+AW249/4+AV249/4</f>
        <v>508.904296875</v>
      </c>
      <c r="BA251" s="1015">
        <f>BA249/4+AZ249/4+AX249/4+AW249/4</f>
        <v>536.82460937500014</v>
      </c>
      <c r="BB251" s="1015">
        <f>BB249/4+BA249/4+AX249/4+AZ249/4</f>
        <v>573.90585937500009</v>
      </c>
      <c r="BC251" s="1015">
        <f>BB249/4+BA249/4+BC249/4+AZ249/4</f>
        <v>598.80585937500007</v>
      </c>
      <c r="BD251" s="1014">
        <f>SUM(AZ251:BC251)</f>
        <v>2218.4406250000002</v>
      </c>
      <c r="BE251" s="2883"/>
      <c r="BF251" s="2883"/>
      <c r="BG251" s="2883"/>
      <c r="BH251" s="2883"/>
      <c r="BI251" s="2967"/>
      <c r="BJ251" s="2968"/>
      <c r="BK251" s="2968"/>
      <c r="BL251" s="2968"/>
      <c r="BM251" s="2968"/>
      <c r="BN251" s="2967"/>
      <c r="BO251" s="2968"/>
      <c r="BP251" s="2968"/>
      <c r="BQ251" s="2968"/>
      <c r="BR251" s="2968"/>
      <c r="BS251" s="2967"/>
      <c r="BT251" s="1523"/>
      <c r="BU251" s="1014"/>
      <c r="BV251" s="1014"/>
      <c r="BW251" s="1014">
        <f>SUM(AM251:AN251,AP251:AQ251)</f>
        <v>620.37198828124997</v>
      </c>
      <c r="BX251" s="1014">
        <f>SUM(AR251:AS251,AU251:AV251)</f>
        <v>1432.76654375</v>
      </c>
      <c r="BY251" s="1014">
        <f>SUM(AW251:AX251,AZ251:BA251)</f>
        <v>2006.1625000000001</v>
      </c>
      <c r="BZ251" s="1014">
        <f>SUM(BB251:BC251,BE251:BF251)</f>
        <v>1172.7117187500003</v>
      </c>
      <c r="CA251" s="1014"/>
      <c r="CB251" s="1014"/>
    </row>
    <row r="252" spans="1:80" s="1022" customFormat="1" outlineLevel="1">
      <c r="A252" s="1032" t="s">
        <v>926</v>
      </c>
      <c r="B252" s="1034"/>
      <c r="C252" s="1034"/>
      <c r="D252" s="1034"/>
      <c r="E252" s="1034"/>
      <c r="F252" s="1033"/>
      <c r="G252" s="1034"/>
      <c r="H252" s="1034"/>
      <c r="I252" s="1034"/>
      <c r="J252" s="1034"/>
      <c r="K252" s="1033"/>
      <c r="L252" s="1034"/>
      <c r="M252" s="1034"/>
      <c r="N252" s="1034"/>
      <c r="O252" s="1034"/>
      <c r="P252" s="1033"/>
      <c r="Q252" s="1034"/>
      <c r="R252" s="1034"/>
      <c r="S252" s="1034"/>
      <c r="T252" s="1034"/>
      <c r="U252" s="1033"/>
      <c r="V252" s="1034"/>
      <c r="W252" s="1034"/>
      <c r="X252" s="1034"/>
      <c r="Y252" s="1034"/>
      <c r="Z252" s="1033"/>
      <c r="AA252" s="1034"/>
      <c r="AB252" s="1034"/>
      <c r="AC252" s="1034"/>
      <c r="AD252" s="1034"/>
      <c r="AE252" s="1033"/>
      <c r="AF252" s="1017"/>
      <c r="AG252" s="1034"/>
      <c r="AH252" s="1034"/>
      <c r="AI252" s="1034"/>
      <c r="AJ252" s="1035">
        <f t="shared" ref="AJ252:BD252" si="166">IF(ISERROR(AJ251/AE251-1),,(AJ251/AE251-1))</f>
        <v>0.2778258359320942</v>
      </c>
      <c r="AK252" s="1036">
        <f t="shared" si="166"/>
        <v>0.87556086483554219</v>
      </c>
      <c r="AL252" s="1036">
        <f t="shared" si="166"/>
        <v>1.0918576532704103</v>
      </c>
      <c r="AM252" s="1036">
        <f t="shared" si="166"/>
        <v>0.72319811503226616</v>
      </c>
      <c r="AN252" s="1036">
        <f t="shared" si="166"/>
        <v>1.0787851725113438</v>
      </c>
      <c r="AO252" s="1035">
        <f t="shared" si="166"/>
        <v>0.94072857695496959</v>
      </c>
      <c r="AP252" s="1036">
        <f t="shared" si="166"/>
        <v>1.609704471153846</v>
      </c>
      <c r="AQ252" s="1036">
        <f t="shared" si="166"/>
        <v>1.8539217499999996</v>
      </c>
      <c r="AR252" s="1036">
        <f t="shared" si="166"/>
        <v>1.821980038265306</v>
      </c>
      <c r="AS252" s="1036">
        <f t="shared" si="166"/>
        <v>1.3737603273140615</v>
      </c>
      <c r="AT252" s="1035">
        <f t="shared" si="166"/>
        <v>1.6266797583921493</v>
      </c>
      <c r="AU252" s="1036">
        <f t="shared" si="166"/>
        <v>1.3010245247154701</v>
      </c>
      <c r="AV252" s="1036">
        <f t="shared" si="166"/>
        <v>1.0400199450691554</v>
      </c>
      <c r="AW252" s="1036">
        <f t="shared" si="166"/>
        <v>0.70185288377292077</v>
      </c>
      <c r="AX252" s="1036">
        <f t="shared" si="166"/>
        <v>0.48763463441373034</v>
      </c>
      <c r="AY252" s="1035">
        <f t="shared" si="166"/>
        <v>0.8064478368226784</v>
      </c>
      <c r="AZ252" s="1036">
        <f t="shared" si="166"/>
        <v>0.30379762037006453</v>
      </c>
      <c r="BA252" s="1036">
        <f t="shared" si="166"/>
        <v>0.2294041607213948</v>
      </c>
      <c r="BB252" s="1036">
        <f t="shared" si="166"/>
        <v>0.21937877373171499</v>
      </c>
      <c r="BC252" s="1036">
        <f t="shared" si="166"/>
        <v>0.22260345260740055</v>
      </c>
      <c r="BD252" s="1035">
        <f t="shared" si="166"/>
        <v>0.24114641975481343</v>
      </c>
      <c r="BE252" s="2866"/>
      <c r="BF252" s="2866"/>
      <c r="BG252" s="2866"/>
      <c r="BH252" s="2866"/>
      <c r="BI252" s="2942"/>
      <c r="BJ252" s="2943"/>
      <c r="BK252" s="2943"/>
      <c r="BL252" s="2943"/>
      <c r="BM252" s="2943"/>
      <c r="BN252" s="2942"/>
      <c r="BO252" s="2943"/>
      <c r="BP252" s="2943"/>
      <c r="BQ252" s="2943"/>
      <c r="BR252" s="2943"/>
      <c r="BS252" s="2942"/>
      <c r="BT252" s="1438"/>
      <c r="BU252" s="1035"/>
      <c r="BV252" s="1035"/>
      <c r="BW252" s="1035"/>
      <c r="BX252" s="1035"/>
      <c r="BY252" s="1035"/>
      <c r="BZ252" s="1035"/>
      <c r="CA252" s="1035"/>
      <c r="CB252" s="1035"/>
    </row>
    <row r="253" spans="1:80" s="1022" customFormat="1" outlineLevel="1">
      <c r="A253" s="1032" t="s">
        <v>965</v>
      </c>
      <c r="B253" s="1034"/>
      <c r="C253" s="1034"/>
      <c r="D253" s="1034"/>
      <c r="E253" s="1034"/>
      <c r="F253" s="1033"/>
      <c r="G253" s="1034"/>
      <c r="H253" s="1034"/>
      <c r="I253" s="1034"/>
      <c r="J253" s="1034"/>
      <c r="K253" s="1033"/>
      <c r="L253" s="1034"/>
      <c r="M253" s="1034"/>
      <c r="N253" s="1034"/>
      <c r="O253" s="1034"/>
      <c r="P253" s="1033"/>
      <c r="Q253" s="1034"/>
      <c r="R253" s="1034"/>
      <c r="S253" s="1034"/>
      <c r="T253" s="1034"/>
      <c r="U253" s="1033"/>
      <c r="V253" s="1034"/>
      <c r="W253" s="1034"/>
      <c r="X253" s="1034"/>
      <c r="Y253" s="1034"/>
      <c r="Z253" s="1033"/>
      <c r="AA253" s="1034"/>
      <c r="AB253" s="1034"/>
      <c r="AC253" s="1034"/>
      <c r="AD253" s="1034"/>
      <c r="AE253" s="1041">
        <f>AE251/AE249</f>
        <v>0.94946557155715572</v>
      </c>
      <c r="AF253" s="1040">
        <f t="shared" ref="AF253:AM253" si="167">AF251/AF249</f>
        <v>0.72633432301972822</v>
      </c>
      <c r="AG253" s="1040">
        <f t="shared" si="167"/>
        <v>0.73741667225848551</v>
      </c>
      <c r="AH253" s="1040">
        <f t="shared" si="167"/>
        <v>1.0066670383852545</v>
      </c>
      <c r="AI253" s="1040">
        <f t="shared" si="167"/>
        <v>1.0762406885849873</v>
      </c>
      <c r="AJ253" s="1035">
        <f t="shared" si="167"/>
        <v>0.90354158324923395</v>
      </c>
      <c r="AK253" s="1040">
        <f t="shared" si="167"/>
        <v>0.9599483252432307</v>
      </c>
      <c r="AL253" s="1040">
        <f t="shared" si="167"/>
        <v>0.47286052482316787</v>
      </c>
      <c r="AM253" s="1040">
        <f t="shared" si="167"/>
        <v>0.66900888041022533</v>
      </c>
      <c r="AN253" s="1040">
        <f>AN251/AN249</f>
        <v>0.76214800824175832</v>
      </c>
      <c r="AO253" s="1035"/>
      <c r="AP253" s="1040">
        <f>AP251/AP249</f>
        <v>0.88604627589246365</v>
      </c>
      <c r="AQ253" s="1040">
        <f>AQ251/AQ249</f>
        <v>0.6365388089662094</v>
      </c>
      <c r="AR253" s="1040">
        <f>AR251/AR249</f>
        <v>0.69744415547569494</v>
      </c>
      <c r="AS253" s="1040">
        <f>AS251/AS249</f>
        <v>0.83838450152788424</v>
      </c>
      <c r="AT253" s="1035"/>
      <c r="AU253" s="1040">
        <f>AU251/AU249</f>
        <v>0.89562830068944754</v>
      </c>
      <c r="AV253" s="1040">
        <f>AV251/AV249</f>
        <v>0.83717406803829708</v>
      </c>
      <c r="AW253" s="1040">
        <f>AW251/AW249</f>
        <v>0.88381634078212279</v>
      </c>
      <c r="AX253" s="1040">
        <f>AX251/AX249</f>
        <v>1.0438603940217392</v>
      </c>
      <c r="AY253" s="1035"/>
      <c r="AZ253" s="1040">
        <f>AZ251/AZ249</f>
        <v>0.99335044330377975</v>
      </c>
      <c r="BA253" s="1040">
        <f>BA251/BA249</f>
        <v>0.84771261423975064</v>
      </c>
      <c r="BB253" s="1040">
        <f>BB251/BB249</f>
        <v>0.84292554802820019</v>
      </c>
      <c r="BC253" s="1040">
        <f>BC251/BC249</f>
        <v>1.0527529173259496</v>
      </c>
      <c r="BD253" s="1035"/>
      <c r="BE253" s="2892"/>
      <c r="BF253" s="2892"/>
      <c r="BG253" s="2892"/>
      <c r="BH253" s="2892"/>
      <c r="BI253" s="2942"/>
      <c r="BJ253" s="2987"/>
      <c r="BK253" s="2987"/>
      <c r="BL253" s="2987"/>
      <c r="BM253" s="2987"/>
      <c r="BN253" s="2942"/>
      <c r="BO253" s="2987"/>
      <c r="BP253" s="2987"/>
      <c r="BQ253" s="2987"/>
      <c r="BR253" s="2987"/>
      <c r="BS253" s="2942"/>
      <c r="BT253" s="1438"/>
      <c r="BU253" s="1035"/>
      <c r="BV253" s="1035"/>
      <c r="BW253" s="1035"/>
      <c r="BX253" s="1035"/>
      <c r="BY253" s="1035"/>
      <c r="BZ253" s="1035"/>
      <c r="CA253" s="1035"/>
      <c r="CB253" s="1035"/>
    </row>
    <row r="254" spans="1:80" s="1021" customFormat="1" ht="7.5" customHeight="1" outlineLevel="1">
      <c r="A254" s="1020"/>
      <c r="B254" s="1025"/>
      <c r="C254" s="1025"/>
      <c r="D254" s="1025"/>
      <c r="E254" s="1025"/>
      <c r="F254" s="1024"/>
      <c r="G254" s="1025"/>
      <c r="H254" s="1025"/>
      <c r="I254" s="1025"/>
      <c r="J254" s="1025"/>
      <c r="K254" s="1024"/>
      <c r="L254" s="1025"/>
      <c r="M254" s="1025"/>
      <c r="N254" s="1025"/>
      <c r="O254" s="1025"/>
      <c r="P254" s="1024"/>
      <c r="Q254" s="1025"/>
      <c r="R254" s="1025"/>
      <c r="S254" s="1025"/>
      <c r="T254" s="1025"/>
      <c r="U254" s="1024"/>
      <c r="V254" s="1025"/>
      <c r="W254" s="1025"/>
      <c r="X254" s="1025"/>
      <c r="Y254" s="1025"/>
      <c r="Z254" s="1024"/>
      <c r="AA254" s="1025"/>
      <c r="AB254" s="1025"/>
      <c r="AC254" s="1025"/>
      <c r="AD254" s="1025"/>
      <c r="AE254" s="1024"/>
      <c r="AF254" s="1025"/>
      <c r="AG254" s="1025"/>
      <c r="AH254" s="1025"/>
      <c r="AI254" s="1025"/>
      <c r="AJ254" s="1024"/>
      <c r="AK254" s="1025"/>
      <c r="AL254" s="1025"/>
      <c r="AM254" s="1025"/>
      <c r="AN254" s="1025"/>
      <c r="AO254" s="1024"/>
      <c r="AP254" s="1025"/>
      <c r="AQ254" s="1025"/>
      <c r="AR254" s="1025"/>
      <c r="AS254" s="1025"/>
      <c r="AT254" s="1024"/>
      <c r="AU254" s="1025"/>
      <c r="AV254" s="1025"/>
      <c r="AW254" s="1025"/>
      <c r="AX254" s="1025"/>
      <c r="AY254" s="1024"/>
      <c r="AZ254" s="1025"/>
      <c r="BA254" s="1025"/>
      <c r="BB254" s="1025"/>
      <c r="BC254" s="1025"/>
      <c r="BD254" s="1024"/>
      <c r="BE254" s="2881"/>
      <c r="BF254" s="2881"/>
      <c r="BG254" s="2881"/>
      <c r="BH254" s="2881"/>
      <c r="BI254" s="2963"/>
      <c r="BJ254" s="2964"/>
      <c r="BK254" s="2964"/>
      <c r="BL254" s="2964"/>
      <c r="BM254" s="2964"/>
      <c r="BN254" s="2963"/>
      <c r="BO254" s="2964"/>
      <c r="BP254" s="2964"/>
      <c r="BQ254" s="2964"/>
      <c r="BR254" s="2964"/>
      <c r="BS254" s="2963"/>
      <c r="BT254" s="1521"/>
      <c r="BU254" s="1193"/>
      <c r="BV254" s="1193"/>
      <c r="BW254" s="1193"/>
      <c r="BX254" s="1193"/>
      <c r="BY254" s="1193"/>
      <c r="BZ254" s="1193"/>
      <c r="CA254" s="1193"/>
      <c r="CB254" s="1193"/>
    </row>
    <row r="255" spans="1:80" s="1021" customFormat="1" outlineLevel="1">
      <c r="A255" s="1020" t="s">
        <v>932</v>
      </c>
      <c r="B255" s="1025">
        <f>B260/B258</f>
        <v>4.0277777777777777</v>
      </c>
      <c r="C255" s="1025">
        <f>C260/C258</f>
        <v>1.3</v>
      </c>
      <c r="D255" s="1025">
        <f>D260/D258</f>
        <v>9.0277777777777786</v>
      </c>
      <c r="E255" s="1025">
        <f>E260/E258</f>
        <v>5.4111111111111114</v>
      </c>
      <c r="F255" s="1024">
        <f>SUM(B255:E255)</f>
        <v>19.766666666666666</v>
      </c>
      <c r="G255" s="1025">
        <f>G260/G258</f>
        <v>4.1888888888888891</v>
      </c>
      <c r="H255" s="1025">
        <f>H260/H258</f>
        <v>4.5888888888888886</v>
      </c>
      <c r="I255" s="1025">
        <f>I260/I258</f>
        <v>5.5277777777777777</v>
      </c>
      <c r="J255" s="1025">
        <f>J260/J258</f>
        <v>4.8722222222222218</v>
      </c>
      <c r="K255" s="1024">
        <f>SUM(G255:J255)</f>
        <v>19.177777777777777</v>
      </c>
      <c r="L255" s="1025">
        <f>L260/L258</f>
        <v>6.0444444444444443</v>
      </c>
      <c r="M255" s="1025">
        <f>M260/M258</f>
        <v>4.166666666666667</v>
      </c>
      <c r="N255" s="1025">
        <f>N260/N258</f>
        <v>3.8777777777777778</v>
      </c>
      <c r="O255" s="1025">
        <f>O260/O258</f>
        <v>3.2666666666666666</v>
      </c>
      <c r="P255" s="1024">
        <f>SUM(L255:O255)</f>
        <v>17.355555555555558</v>
      </c>
      <c r="Q255" s="1025">
        <f>Q260/Q258</f>
        <v>4.2058823529411757</v>
      </c>
      <c r="R255" s="1025">
        <f>R260/R258</f>
        <v>4.6944444444444446</v>
      </c>
      <c r="S255" s="1025">
        <f>S260/S258</f>
        <v>2.6111111111111112</v>
      </c>
      <c r="T255" s="1025">
        <f>T260/T258</f>
        <v>5.25</v>
      </c>
      <c r="U255" s="1024">
        <f>SUM(Q255:T255)</f>
        <v>16.761437908496731</v>
      </c>
      <c r="V255" s="1025">
        <f>V260/V258</f>
        <v>5.4058823529411759</v>
      </c>
      <c r="W255" s="1025">
        <f>W260/W258</f>
        <v>7.3111111111111109</v>
      </c>
      <c r="X255" s="1025">
        <f>X260/X258</f>
        <v>5.5277777777777777</v>
      </c>
      <c r="Y255" s="1025">
        <f>Y260/Y258</f>
        <v>4.7333333333333334</v>
      </c>
      <c r="Z255" s="1024">
        <f>SUM(V255:Y255)</f>
        <v>22.9781045751634</v>
      </c>
      <c r="AA255" s="1025">
        <f>AA260/AA258</f>
        <v>5.5555555555555554</v>
      </c>
      <c r="AB255" s="1025">
        <f>AB260/AB258</f>
        <v>5.916666666666667</v>
      </c>
      <c r="AC255" s="1025">
        <f>AC260/AC258</f>
        <v>5.5555555555555554</v>
      </c>
      <c r="AD255" s="1025">
        <f>AD260/AD258</f>
        <v>5.4444444444444446</v>
      </c>
      <c r="AE255" s="1024">
        <f>SUM(AA255:AD255)</f>
        <v>22.472222222222221</v>
      </c>
      <c r="AF255" s="1025">
        <f>AF260/AF258</f>
        <v>6.1444444444444448</v>
      </c>
      <c r="AG255" s="1025">
        <f>AG260/AG258</f>
        <v>6.3330555555555543</v>
      </c>
      <c r="AH255" s="1025">
        <f>AH260/AH258</f>
        <v>4.4833333333333334</v>
      </c>
      <c r="AI255" s="1025">
        <f>AI260/AI258</f>
        <v>4.0138888888888893</v>
      </c>
      <c r="AJ255" s="1024">
        <f>SUM(AF255:AI255)</f>
        <v>20.974722222222223</v>
      </c>
      <c r="AK255" s="1025">
        <f>AK260/AK258</f>
        <v>4.7312222222222227</v>
      </c>
      <c r="AL255" s="1025">
        <f>AL260/AL258</f>
        <v>4.813122222222221</v>
      </c>
      <c r="AM255" s="1025">
        <f>AM260/AM258</f>
        <v>5.1558333333333328</v>
      </c>
      <c r="AN255" s="1025">
        <f>AN260/AN258</f>
        <v>4.8568055555555558</v>
      </c>
      <c r="AO255" s="1024">
        <f>SUM(AK255:AN255)</f>
        <v>19.556983333333335</v>
      </c>
      <c r="AP255" s="1417">
        <f>AP260/AP258</f>
        <v>4.4946611111111112</v>
      </c>
      <c r="AQ255" s="1417">
        <f>AQ260/AQ258</f>
        <v>3.6098416666666657</v>
      </c>
      <c r="AR255" s="1417">
        <f>AR260/AR258</f>
        <v>3.0419416666666672</v>
      </c>
      <c r="AS255" s="1417">
        <f>AS260/AS258</f>
        <v>2.8169472222222227</v>
      </c>
      <c r="AT255" s="1418">
        <f>SUM(AP255:AS255)</f>
        <v>13.963391666666666</v>
      </c>
      <c r="AU255" s="1417">
        <f>AP255*(1+AU256)</f>
        <v>2.5619568333333338</v>
      </c>
      <c r="AV255" s="1417">
        <f>AQ255*(1+AV256)</f>
        <v>1.6785763749999993</v>
      </c>
      <c r="AW255" s="1417">
        <f>AR255*(1+AW256)</f>
        <v>2.1293591666666667</v>
      </c>
      <c r="AX255" s="1417">
        <f>AS255*(1+AX256)</f>
        <v>2.8169472222222227</v>
      </c>
      <c r="AY255" s="1418">
        <f>SUM(AU255:AX255)</f>
        <v>9.186839597222221</v>
      </c>
      <c r="AZ255" s="1417">
        <f>AU255*(1+AZ256)</f>
        <v>2.2865464737500005</v>
      </c>
      <c r="BA255" s="1417">
        <f>AV255*(1+BA256)</f>
        <v>1.8800055399999995</v>
      </c>
      <c r="BB255" s="1417">
        <f>AW255*(1+BB256)</f>
        <v>2.2517973187500004</v>
      </c>
      <c r="BC255" s="1417">
        <f>AX255*(1+BC256)</f>
        <v>2.9084980069444448</v>
      </c>
      <c r="BD255" s="1418">
        <f>SUM(AZ255:BC255)</f>
        <v>9.3268473394444449</v>
      </c>
      <c r="BE255" s="2881"/>
      <c r="BF255" s="2881"/>
      <c r="BG255" s="2881"/>
      <c r="BH255" s="2881"/>
      <c r="BI255" s="2963"/>
      <c r="BJ255" s="2964"/>
      <c r="BK255" s="2964"/>
      <c r="BL255" s="2964"/>
      <c r="BM255" s="2964"/>
      <c r="BN255" s="2963"/>
      <c r="BO255" s="2964"/>
      <c r="BP255" s="2964"/>
      <c r="BQ255" s="2964"/>
      <c r="BR255" s="2964"/>
      <c r="BS255" s="2963"/>
      <c r="BT255" s="1521"/>
      <c r="BU255" s="1193"/>
      <c r="BV255" s="1193"/>
      <c r="BW255" s="1193"/>
      <c r="BX255" s="1193"/>
      <c r="BY255" s="1193"/>
      <c r="BZ255" s="1193"/>
      <c r="CA255" s="1193"/>
      <c r="CB255" s="1193"/>
    </row>
    <row r="256" spans="1:80" s="1022" customFormat="1" outlineLevel="1">
      <c r="A256" s="1032" t="s">
        <v>926</v>
      </c>
      <c r="B256" s="1034"/>
      <c r="C256" s="1034"/>
      <c r="D256" s="1034"/>
      <c r="E256" s="1034"/>
      <c r="F256" s="1033"/>
      <c r="G256" s="1034"/>
      <c r="H256" s="1034"/>
      <c r="I256" s="1034"/>
      <c r="J256" s="1034"/>
      <c r="K256" s="1033"/>
      <c r="L256" s="1034"/>
      <c r="M256" s="1034"/>
      <c r="N256" s="1034"/>
      <c r="O256" s="1034"/>
      <c r="P256" s="1033"/>
      <c r="Q256" s="1034"/>
      <c r="R256" s="1034"/>
      <c r="S256" s="1034"/>
      <c r="T256" s="1034"/>
      <c r="U256" s="1033"/>
      <c r="V256" s="1034"/>
      <c r="W256" s="1034"/>
      <c r="X256" s="1034"/>
      <c r="Y256" s="1034"/>
      <c r="Z256" s="1033"/>
      <c r="AA256" s="1034"/>
      <c r="AB256" s="1034"/>
      <c r="AC256" s="1034"/>
      <c r="AD256" s="1034"/>
      <c r="AE256" s="1033"/>
      <c r="AF256" s="1017"/>
      <c r="AG256" s="1034"/>
      <c r="AH256" s="1034"/>
      <c r="AI256" s="1034"/>
      <c r="AJ256" s="1035">
        <f t="shared" ref="AJ256:AO256" si="168">IF(ISERROR(AJ255/AE255-1),,(AJ255/AE255-1))</f>
        <v>-6.6637824474660046E-2</v>
      </c>
      <c r="AK256" s="1036">
        <f t="shared" si="168"/>
        <v>-0.22999999999999998</v>
      </c>
      <c r="AL256" s="1036">
        <f t="shared" si="168"/>
        <v>-0.2400000000000001</v>
      </c>
      <c r="AM256" s="1036">
        <f t="shared" si="168"/>
        <v>0.14999999999999991</v>
      </c>
      <c r="AN256" s="1036">
        <f t="shared" si="168"/>
        <v>0.20999999999999996</v>
      </c>
      <c r="AO256" s="1035">
        <f t="shared" si="168"/>
        <v>-6.7592737289594584E-2</v>
      </c>
      <c r="AP256" s="1036">
        <f>IF(ISERROR(AP255/AK255-1),,(AP255/AK255-1))</f>
        <v>-5.0000000000000044E-2</v>
      </c>
      <c r="AQ256" s="1036">
        <f t="shared" ref="AQ256:AS256" si="169">IF(ISERROR(AQ255/AL255-1),,(AQ255/AL255-1))</f>
        <v>-0.25</v>
      </c>
      <c r="AR256" s="1036">
        <f t="shared" si="169"/>
        <v>-0.40999999999999981</v>
      </c>
      <c r="AS256" s="1036">
        <f t="shared" si="169"/>
        <v>-0.41999999999999993</v>
      </c>
      <c r="AT256" s="1035">
        <f>IF(ISERROR(AT255/AO255-1),,(AT255/AO255-1))</f>
        <v>-0.28601505515080294</v>
      </c>
      <c r="AU256" s="1036">
        <v>-0.43</v>
      </c>
      <c r="AV256" s="1036">
        <v>-0.53500000000000003</v>
      </c>
      <c r="AW256" s="1036">
        <v>-0.3</v>
      </c>
      <c r="AX256" s="1036">
        <v>0</v>
      </c>
      <c r="AY256" s="1035">
        <f>IF(ISERROR(AY255/AT255-1),,(AY255/AT255-1))</f>
        <v>-0.34207678073279324</v>
      </c>
      <c r="AZ256" s="1036">
        <v>-0.1075</v>
      </c>
      <c r="BA256" s="1036">
        <v>0.12</v>
      </c>
      <c r="BB256" s="1061">
        <v>5.7500000000000002E-2</v>
      </c>
      <c r="BC256" s="1061">
        <v>3.2500000000000001E-2</v>
      </c>
      <c r="BD256" s="1035">
        <f>IF(ISERROR(BD255/AY255-1),,(BD255/AY255-1))</f>
        <v>1.5240033391304308E-2</v>
      </c>
      <c r="BE256" s="2870"/>
      <c r="BF256" s="2870"/>
      <c r="BG256" s="2870"/>
      <c r="BH256" s="2870"/>
      <c r="BI256" s="2942"/>
      <c r="BJ256" s="2947"/>
      <c r="BK256" s="2947"/>
      <c r="BL256" s="2947"/>
      <c r="BM256" s="2947"/>
      <c r="BN256" s="2942"/>
      <c r="BO256" s="2947"/>
      <c r="BP256" s="2947"/>
      <c r="BQ256" s="2947"/>
      <c r="BR256" s="2947"/>
      <c r="BS256" s="2942"/>
      <c r="BT256" s="1438"/>
      <c r="BU256" s="1035"/>
      <c r="BV256" s="1035"/>
      <c r="BW256" s="1035"/>
      <c r="BX256" s="1035"/>
      <c r="BY256" s="1035"/>
      <c r="BZ256" s="1035"/>
      <c r="CA256" s="1035"/>
      <c r="CB256" s="1035"/>
    </row>
    <row r="257" spans="1:80" s="1022" customFormat="1" outlineLevel="1">
      <c r="A257" s="1032" t="s">
        <v>978</v>
      </c>
      <c r="B257" s="1034"/>
      <c r="C257" s="1034"/>
      <c r="D257" s="1034"/>
      <c r="E257" s="1034"/>
      <c r="F257" s="1033"/>
      <c r="G257" s="1034"/>
      <c r="H257" s="1034"/>
      <c r="I257" s="1034"/>
      <c r="J257" s="1034"/>
      <c r="K257" s="1033"/>
      <c r="L257" s="1034"/>
      <c r="M257" s="1034"/>
      <c r="N257" s="1034"/>
      <c r="O257" s="1034"/>
      <c r="P257" s="1033"/>
      <c r="Q257" s="1034"/>
      <c r="R257" s="1034"/>
      <c r="S257" s="1034"/>
      <c r="T257" s="1034"/>
      <c r="U257" s="1033"/>
      <c r="V257" s="1034"/>
      <c r="W257" s="1034"/>
      <c r="X257" s="1034"/>
      <c r="Y257" s="1034"/>
      <c r="Z257" s="1033"/>
      <c r="AA257" s="1034"/>
      <c r="AB257" s="1034"/>
      <c r="AC257" s="1034"/>
      <c r="AD257" s="1034"/>
      <c r="AE257" s="1033"/>
      <c r="AF257" s="1017"/>
      <c r="AG257" s="1105"/>
      <c r="AH257" s="1034"/>
      <c r="AI257" s="1034"/>
      <c r="AJ257" s="1035">
        <f>AJ255/AJ263</f>
        <v>0.9397591298618766</v>
      </c>
      <c r="AK257" s="1036"/>
      <c r="AL257" s="1105"/>
      <c r="AM257" s="1040"/>
      <c r="AN257" s="1036"/>
      <c r="AO257" s="1035">
        <f>AO255/AO263</f>
        <v>0.82863255509643763</v>
      </c>
      <c r="AP257" s="1036"/>
      <c r="AQ257" s="1105"/>
      <c r="AR257" s="1105"/>
      <c r="AS257" s="1036"/>
      <c r="AT257" s="1035">
        <f>AT255/AT263</f>
        <v>0.55964373794931732</v>
      </c>
      <c r="AU257" s="1036"/>
      <c r="AV257" s="1105"/>
      <c r="AW257" s="1105"/>
      <c r="AX257" s="1036"/>
      <c r="AY257" s="1035">
        <f>AY255/AY263</f>
        <v>0.45668119317129946</v>
      </c>
      <c r="AZ257" s="1036"/>
      <c r="BA257" s="1105"/>
      <c r="BB257" s="1036"/>
      <c r="BC257" s="1036"/>
      <c r="BD257" s="1035">
        <f>BD255/BD263</f>
        <v>0.52290691120220678</v>
      </c>
      <c r="BE257" s="2866"/>
      <c r="BF257" s="2866"/>
      <c r="BG257" s="2866"/>
      <c r="BH257" s="2866"/>
      <c r="BI257" s="2942"/>
      <c r="BJ257" s="2943"/>
      <c r="BK257" s="2943"/>
      <c r="BL257" s="2943"/>
      <c r="BM257" s="2943"/>
      <c r="BN257" s="2942"/>
      <c r="BO257" s="2943"/>
      <c r="BP257" s="2943"/>
      <c r="BQ257" s="2943"/>
      <c r="BR257" s="2943"/>
      <c r="BS257" s="2942"/>
      <c r="BT257" s="1438"/>
      <c r="BU257" s="1035"/>
      <c r="BV257" s="1035"/>
      <c r="BW257" s="1035"/>
      <c r="BX257" s="1035"/>
      <c r="BY257" s="1035"/>
      <c r="BZ257" s="1035"/>
      <c r="CA257" s="1035"/>
      <c r="CB257" s="1035"/>
    </row>
    <row r="258" spans="1:80" s="1059" customFormat="1" outlineLevel="1">
      <c r="A258" s="1055" t="s">
        <v>299</v>
      </c>
      <c r="B258" s="1056">
        <v>180</v>
      </c>
      <c r="C258" s="1056">
        <v>180</v>
      </c>
      <c r="D258" s="1056">
        <v>180</v>
      </c>
      <c r="E258" s="1056">
        <v>180</v>
      </c>
      <c r="F258" s="1057">
        <f>F260/F255</f>
        <v>180</v>
      </c>
      <c r="G258" s="1056">
        <v>180</v>
      </c>
      <c r="H258" s="1056">
        <v>180</v>
      </c>
      <c r="I258" s="1056">
        <v>180</v>
      </c>
      <c r="J258" s="1056">
        <v>180</v>
      </c>
      <c r="K258" s="1057">
        <f>K260/K255</f>
        <v>180</v>
      </c>
      <c r="L258" s="1056">
        <v>180</v>
      </c>
      <c r="M258" s="1056">
        <v>180</v>
      </c>
      <c r="N258" s="1056">
        <v>180</v>
      </c>
      <c r="O258" s="1056">
        <v>180</v>
      </c>
      <c r="P258" s="1057">
        <f>P260/P255</f>
        <v>179.99999999999997</v>
      </c>
      <c r="Q258" s="1056">
        <v>180</v>
      </c>
      <c r="R258" s="1056">
        <v>180</v>
      </c>
      <c r="S258" s="1056">
        <v>180</v>
      </c>
      <c r="T258" s="1056">
        <v>180</v>
      </c>
      <c r="U258" s="1057">
        <f>U260/U255</f>
        <v>180</v>
      </c>
      <c r="V258" s="1056">
        <v>180</v>
      </c>
      <c r="W258" s="1056">
        <v>180</v>
      </c>
      <c r="X258" s="1056">
        <v>180</v>
      </c>
      <c r="Y258" s="1056">
        <v>180</v>
      </c>
      <c r="Z258" s="1057">
        <f>Z260/Z255</f>
        <v>180</v>
      </c>
      <c r="AA258" s="1056">
        <v>180</v>
      </c>
      <c r="AB258" s="1056">
        <v>180</v>
      </c>
      <c r="AC258" s="1056">
        <v>180</v>
      </c>
      <c r="AD258" s="1056">
        <v>180</v>
      </c>
      <c r="AE258" s="1058">
        <f>AE260/AE255</f>
        <v>188.56649814585907</v>
      </c>
      <c r="AF258" s="1056">
        <v>180</v>
      </c>
      <c r="AG258" s="1056">
        <v>180</v>
      </c>
      <c r="AH258" s="1056">
        <v>180</v>
      </c>
      <c r="AI258" s="1056">
        <v>180</v>
      </c>
      <c r="AJ258" s="1058">
        <f>AJ260/AJ255</f>
        <v>180</v>
      </c>
      <c r="AK258" s="1056">
        <v>180</v>
      </c>
      <c r="AL258" s="1056">
        <v>180</v>
      </c>
      <c r="AM258" s="1056">
        <v>180</v>
      </c>
      <c r="AN258" s="1056">
        <v>180</v>
      </c>
      <c r="AO258" s="1058">
        <f>AO260/AO255</f>
        <v>180</v>
      </c>
      <c r="AP258" s="1422">
        <v>180</v>
      </c>
      <c r="AQ258" s="1422">
        <v>180</v>
      </c>
      <c r="AR258" s="1422">
        <v>180</v>
      </c>
      <c r="AS258" s="1422">
        <v>180</v>
      </c>
      <c r="AT258" s="1421">
        <f>AT260/AT255</f>
        <v>180</v>
      </c>
      <c r="AU258" s="1422">
        <v>180</v>
      </c>
      <c r="AV258" s="1422">
        <v>180</v>
      </c>
      <c r="AW258" s="1422">
        <v>180</v>
      </c>
      <c r="AX258" s="1422">
        <v>180</v>
      </c>
      <c r="AY258" s="1421">
        <f>AY260/AY255</f>
        <v>180.00000000000003</v>
      </c>
      <c r="AZ258" s="1422">
        <v>180</v>
      </c>
      <c r="BA258" s="1422">
        <v>180</v>
      </c>
      <c r="BB258" s="1422">
        <v>180</v>
      </c>
      <c r="BC258" s="1422">
        <v>180</v>
      </c>
      <c r="BD258" s="1421">
        <f>BD260/BD255</f>
        <v>180</v>
      </c>
      <c r="BE258" s="2882"/>
      <c r="BF258" s="2882"/>
      <c r="BG258" s="2882"/>
      <c r="BH258" s="2882"/>
      <c r="BI258" s="2965"/>
      <c r="BJ258" s="2966"/>
      <c r="BK258" s="2966"/>
      <c r="BL258" s="2966"/>
      <c r="BM258" s="2966"/>
      <c r="BN258" s="2965"/>
      <c r="BO258" s="2966"/>
      <c r="BP258" s="2966"/>
      <c r="BQ258" s="2966"/>
      <c r="BR258" s="2966"/>
      <c r="BS258" s="2965"/>
      <c r="BT258" s="1526"/>
      <c r="BU258" s="1194"/>
      <c r="BV258" s="1194"/>
      <c r="BW258" s="1194"/>
      <c r="BX258" s="1194"/>
      <c r="BY258" s="1194"/>
      <c r="BZ258" s="1194"/>
      <c r="CA258" s="1194"/>
      <c r="CB258" s="1194"/>
    </row>
    <row r="259" spans="1:80" s="1022" customFormat="1" outlineLevel="1">
      <c r="A259" s="1032" t="s">
        <v>926</v>
      </c>
      <c r="B259" s="1034"/>
      <c r="C259" s="1034"/>
      <c r="D259" s="1034"/>
      <c r="E259" s="1034"/>
      <c r="F259" s="1033"/>
      <c r="G259" s="1034"/>
      <c r="H259" s="1034"/>
      <c r="I259" s="1034"/>
      <c r="J259" s="1034"/>
      <c r="K259" s="1033"/>
      <c r="L259" s="1034"/>
      <c r="M259" s="1034"/>
      <c r="N259" s="1034"/>
      <c r="O259" s="1034"/>
      <c r="P259" s="1033"/>
      <c r="Q259" s="1034"/>
      <c r="R259" s="1034"/>
      <c r="S259" s="1034"/>
      <c r="T259" s="1034"/>
      <c r="U259" s="1033"/>
      <c r="V259" s="1034"/>
      <c r="W259" s="1034"/>
      <c r="X259" s="1034"/>
      <c r="Y259" s="1034"/>
      <c r="Z259" s="1033"/>
      <c r="AA259" s="1034"/>
      <c r="AB259" s="1034"/>
      <c r="AC259" s="1034"/>
      <c r="AD259" s="1034"/>
      <c r="AE259" s="1033"/>
      <c r="AF259" s="1017"/>
      <c r="AG259" s="1034"/>
      <c r="AH259" s="1034"/>
      <c r="AI259" s="1034"/>
      <c r="AJ259" s="1035">
        <f t="shared" ref="AJ259:BD259" si="170">IF(ISERROR(AJ258/AE258-1),,(AJ258/AE258-1))</f>
        <v>-4.5429587069240496E-2</v>
      </c>
      <c r="AK259" s="1036">
        <f t="shared" si="170"/>
        <v>0</v>
      </c>
      <c r="AL259" s="1036">
        <f t="shared" si="170"/>
        <v>0</v>
      </c>
      <c r="AM259" s="1036">
        <f t="shared" si="170"/>
        <v>0</v>
      </c>
      <c r="AN259" s="1036">
        <f t="shared" si="170"/>
        <v>0</v>
      </c>
      <c r="AO259" s="1035">
        <f t="shared" si="170"/>
        <v>0</v>
      </c>
      <c r="AP259" s="1036">
        <f t="shared" si="170"/>
        <v>0</v>
      </c>
      <c r="AQ259" s="1036">
        <f t="shared" si="170"/>
        <v>0</v>
      </c>
      <c r="AR259" s="1036">
        <f t="shared" si="170"/>
        <v>0</v>
      </c>
      <c r="AS259" s="1036">
        <f t="shared" si="170"/>
        <v>0</v>
      </c>
      <c r="AT259" s="1035">
        <f t="shared" si="170"/>
        <v>0</v>
      </c>
      <c r="AU259" s="1036">
        <f t="shared" si="170"/>
        <v>0</v>
      </c>
      <c r="AV259" s="1036">
        <f t="shared" si="170"/>
        <v>0</v>
      </c>
      <c r="AW259" s="1036">
        <f t="shared" si="170"/>
        <v>0</v>
      </c>
      <c r="AX259" s="1036">
        <f t="shared" si="170"/>
        <v>0</v>
      </c>
      <c r="AY259" s="1035">
        <f t="shared" si="170"/>
        <v>2.2204460492503131E-16</v>
      </c>
      <c r="AZ259" s="1036">
        <f t="shared" si="170"/>
        <v>0</v>
      </c>
      <c r="BA259" s="1036">
        <f t="shared" si="170"/>
        <v>0</v>
      </c>
      <c r="BB259" s="1036">
        <f t="shared" si="170"/>
        <v>0</v>
      </c>
      <c r="BC259" s="1036">
        <f t="shared" si="170"/>
        <v>0</v>
      </c>
      <c r="BD259" s="1035">
        <f t="shared" si="170"/>
        <v>-1.1102230246251565E-16</v>
      </c>
      <c r="BE259" s="2866"/>
      <c r="BF259" s="2866"/>
      <c r="BG259" s="2866"/>
      <c r="BH259" s="2866"/>
      <c r="BI259" s="2942"/>
      <c r="BJ259" s="2943"/>
      <c r="BK259" s="2943"/>
      <c r="BL259" s="2943"/>
      <c r="BM259" s="2943"/>
      <c r="BN259" s="2942"/>
      <c r="BO259" s="2943"/>
      <c r="BP259" s="2943"/>
      <c r="BQ259" s="2943"/>
      <c r="BR259" s="2943"/>
      <c r="BS259" s="2942"/>
      <c r="BT259" s="1438"/>
      <c r="BU259" s="1035"/>
      <c r="BV259" s="1035"/>
      <c r="BW259" s="1035"/>
      <c r="BX259" s="1035"/>
      <c r="BY259" s="1035"/>
      <c r="BZ259" s="1035"/>
      <c r="CA259" s="1035"/>
      <c r="CB259" s="1035"/>
    </row>
    <row r="260" spans="1:80" s="1011" customFormat="1" outlineLevel="1">
      <c r="A260" s="1013" t="s">
        <v>924</v>
      </c>
      <c r="B260" s="1015">
        <v>725</v>
      </c>
      <c r="C260" s="1015">
        <v>234</v>
      </c>
      <c r="D260" s="1015">
        <v>1625</v>
      </c>
      <c r="E260" s="1015">
        <v>974</v>
      </c>
      <c r="F260" s="1014">
        <v>3558</v>
      </c>
      <c r="G260" s="1015">
        <v>754</v>
      </c>
      <c r="H260" s="1015">
        <v>826</v>
      </c>
      <c r="I260" s="1015">
        <v>995</v>
      </c>
      <c r="J260" s="1015">
        <v>877</v>
      </c>
      <c r="K260" s="1014">
        <v>3452</v>
      </c>
      <c r="L260" s="1015">
        <v>1088</v>
      </c>
      <c r="M260" s="1015">
        <v>750</v>
      </c>
      <c r="N260" s="1015">
        <v>698</v>
      </c>
      <c r="O260" s="1015">
        <v>588</v>
      </c>
      <c r="P260" s="1014">
        <v>3124</v>
      </c>
      <c r="Q260" s="1015">
        <v>757.05882352941171</v>
      </c>
      <c r="R260" s="1015">
        <v>845</v>
      </c>
      <c r="S260" s="1015">
        <v>470</v>
      </c>
      <c r="T260" s="1015">
        <v>945</v>
      </c>
      <c r="U260" s="1014">
        <v>3017.0588235294117</v>
      </c>
      <c r="V260" s="1015">
        <v>973.05882352941171</v>
      </c>
      <c r="W260" s="1015">
        <v>1316</v>
      </c>
      <c r="X260" s="1015">
        <v>995</v>
      </c>
      <c r="Y260" s="1015">
        <v>852</v>
      </c>
      <c r="Z260" s="1014">
        <v>4136.0588235294117</v>
      </c>
      <c r="AA260" s="1015">
        <v>1000</v>
      </c>
      <c r="AB260" s="1015">
        <v>1065</v>
      </c>
      <c r="AC260" s="1015">
        <v>1000</v>
      </c>
      <c r="AD260" s="1015">
        <v>980</v>
      </c>
      <c r="AE260" s="1014">
        <v>4237.5082499999999</v>
      </c>
      <c r="AF260" s="1015">
        <v>1106</v>
      </c>
      <c r="AG260" s="1015">
        <v>1139.9499999999998</v>
      </c>
      <c r="AH260" s="1015">
        <v>807</v>
      </c>
      <c r="AI260" s="1015">
        <v>722.5</v>
      </c>
      <c r="AJ260" s="1014">
        <f>SUM(AF260:AI260)</f>
        <v>3775.45</v>
      </c>
      <c r="AK260" s="1015">
        <f>AF260*(1-0.23)</f>
        <v>851.62</v>
      </c>
      <c r="AL260" s="1015">
        <f>AG260*(1-0.24)</f>
        <v>866.36199999999985</v>
      </c>
      <c r="AM260" s="1015">
        <f>AH260*(1+0.15)</f>
        <v>928.05</v>
      </c>
      <c r="AN260" s="1015">
        <f>AI260*(1+0.21)</f>
        <v>874.22500000000002</v>
      </c>
      <c r="AO260" s="1014">
        <f>SUM(AK260:AN260)</f>
        <v>3520.2570000000001</v>
      </c>
      <c r="AP260" s="1419">
        <f>AK260*(1-0.05)</f>
        <v>809.03899999999999</v>
      </c>
      <c r="AQ260" s="1419">
        <f>AL260*0.75</f>
        <v>649.77149999999983</v>
      </c>
      <c r="AR260" s="1419">
        <f>AM260*(1-0.41)</f>
        <v>547.54950000000008</v>
      </c>
      <c r="AS260" s="1419">
        <f>AN260*(1-0.42)</f>
        <v>507.05050000000006</v>
      </c>
      <c r="AT260" s="1420">
        <f>SUM(AP260:AS260)</f>
        <v>2513.4105</v>
      </c>
      <c r="AU260" s="1419">
        <f>AU258*AU255</f>
        <v>461.15223000000009</v>
      </c>
      <c r="AV260" s="1419">
        <f>AV258*AV255</f>
        <v>302.1437474999999</v>
      </c>
      <c r="AW260" s="1419">
        <f>AW258*AW255</f>
        <v>383.28465</v>
      </c>
      <c r="AX260" s="1419">
        <f>AX258*AX255</f>
        <v>507.05050000000011</v>
      </c>
      <c r="AY260" s="1420">
        <f>SUM(AU260:AX260)</f>
        <v>1653.6311275</v>
      </c>
      <c r="AZ260" s="1419">
        <f>AZ258*AZ255</f>
        <v>411.57836527500012</v>
      </c>
      <c r="BA260" s="1419">
        <f>BA258*BA255</f>
        <v>338.40099719999989</v>
      </c>
      <c r="BB260" s="1419">
        <f>BB258*BB255</f>
        <v>405.32351737500005</v>
      </c>
      <c r="BC260" s="1419">
        <f>BC258*BC255</f>
        <v>523.52964125000005</v>
      </c>
      <c r="BD260" s="1420">
        <f>SUM(AZ260:BC260)</f>
        <v>1678.8325211000001</v>
      </c>
      <c r="BE260" s="2883"/>
      <c r="BF260" s="2883"/>
      <c r="BG260" s="2883"/>
      <c r="BH260" s="2883"/>
      <c r="BI260" s="2967"/>
      <c r="BJ260" s="2968"/>
      <c r="BK260" s="2968"/>
      <c r="BL260" s="2968"/>
      <c r="BM260" s="2968"/>
      <c r="BN260" s="2967"/>
      <c r="BO260" s="2968"/>
      <c r="BP260" s="2968"/>
      <c r="BQ260" s="2968"/>
      <c r="BR260" s="2968"/>
      <c r="BS260" s="2967"/>
      <c r="BT260" s="1523"/>
      <c r="BU260" s="1014"/>
      <c r="BV260" s="1014"/>
      <c r="BW260" s="1014">
        <f>SUM(AM260:AN260,AP260:AQ260)</f>
        <v>3261.0855000000001</v>
      </c>
      <c r="BX260" s="1014">
        <f>SUM(AR260:AS260,AU260:AV260)</f>
        <v>1817.8959775000003</v>
      </c>
      <c r="BY260" s="1014">
        <f>SUM(AW260:AX260,AZ260:BA260)</f>
        <v>1640.3145124750001</v>
      </c>
      <c r="BZ260" s="1014">
        <f>SUM(BB260:BC260,BE260:BF260)</f>
        <v>928.85315862500011</v>
      </c>
      <c r="CA260" s="1014"/>
      <c r="CB260" s="1014"/>
    </row>
    <row r="261" spans="1:80" s="1022" customFormat="1" outlineLevel="1">
      <c r="A261" s="1032" t="s">
        <v>926</v>
      </c>
      <c r="B261" s="1034"/>
      <c r="C261" s="1034"/>
      <c r="D261" s="1034"/>
      <c r="E261" s="1034"/>
      <c r="F261" s="1033"/>
      <c r="G261" s="1034"/>
      <c r="H261" s="1034"/>
      <c r="I261" s="1034"/>
      <c r="J261" s="1034"/>
      <c r="K261" s="1033"/>
      <c r="L261" s="1034"/>
      <c r="M261" s="1034"/>
      <c r="N261" s="1034"/>
      <c r="O261" s="1034"/>
      <c r="P261" s="1033"/>
      <c r="Q261" s="1034"/>
      <c r="R261" s="1034"/>
      <c r="S261" s="1034"/>
      <c r="T261" s="1034"/>
      <c r="U261" s="1033"/>
      <c r="V261" s="1034"/>
      <c r="W261" s="1034"/>
      <c r="X261" s="1034"/>
      <c r="Y261" s="1034"/>
      <c r="Z261" s="1033"/>
      <c r="AA261" s="1034"/>
      <c r="AB261" s="1034"/>
      <c r="AC261" s="1034"/>
      <c r="AD261" s="1034"/>
      <c r="AE261" s="1033"/>
      <c r="AF261" s="1036">
        <f t="shared" ref="AF261:BD261" si="171">IF(ISERROR(AF260/AA260-1),,(AF260/AA260-1))</f>
        <v>0.10600000000000009</v>
      </c>
      <c r="AG261" s="1036">
        <f t="shared" si="171"/>
        <v>7.0375586854459993E-2</v>
      </c>
      <c r="AH261" s="1036">
        <f t="shared" si="171"/>
        <v>-0.19299999999999995</v>
      </c>
      <c r="AI261" s="1036">
        <f t="shared" si="171"/>
        <v>-0.26275510204081631</v>
      </c>
      <c r="AJ261" s="1035">
        <f t="shared" si="171"/>
        <v>-0.10904008269482424</v>
      </c>
      <c r="AK261" s="1036">
        <f t="shared" si="171"/>
        <v>-0.22999999999999998</v>
      </c>
      <c r="AL261" s="1036">
        <f t="shared" si="171"/>
        <v>-0.24</v>
      </c>
      <c r="AM261" s="1036">
        <f t="shared" si="171"/>
        <v>0.14999999999999991</v>
      </c>
      <c r="AN261" s="1036">
        <f t="shared" si="171"/>
        <v>0.20999999999999996</v>
      </c>
      <c r="AO261" s="1035">
        <f t="shared" si="171"/>
        <v>-6.7592737289594584E-2</v>
      </c>
      <c r="AP261" s="1036">
        <f t="shared" si="171"/>
        <v>-5.0000000000000044E-2</v>
      </c>
      <c r="AQ261" s="1036">
        <f t="shared" si="171"/>
        <v>-0.25000000000000011</v>
      </c>
      <c r="AR261" s="1036">
        <f t="shared" si="171"/>
        <v>-0.40999999999999992</v>
      </c>
      <c r="AS261" s="1036">
        <f t="shared" si="171"/>
        <v>-0.41999999999999993</v>
      </c>
      <c r="AT261" s="1035">
        <f t="shared" si="171"/>
        <v>-0.28601505515080294</v>
      </c>
      <c r="AU261" s="1036">
        <f t="shared" si="171"/>
        <v>-0.42999999999999983</v>
      </c>
      <c r="AV261" s="1036">
        <f t="shared" si="171"/>
        <v>-0.53500000000000003</v>
      </c>
      <c r="AW261" s="1036">
        <f t="shared" si="171"/>
        <v>-0.30000000000000016</v>
      </c>
      <c r="AX261" s="1036">
        <f t="shared" si="171"/>
        <v>2.2204460492503131E-16</v>
      </c>
      <c r="AY261" s="1035">
        <f t="shared" si="171"/>
        <v>-0.34207678073279313</v>
      </c>
      <c r="AZ261" s="1036">
        <f t="shared" si="171"/>
        <v>-0.10749999999999993</v>
      </c>
      <c r="BA261" s="1036">
        <f t="shared" si="171"/>
        <v>0.12000000000000011</v>
      </c>
      <c r="BB261" s="1036">
        <f t="shared" si="171"/>
        <v>5.7500000000000107E-2</v>
      </c>
      <c r="BC261" s="1036">
        <f t="shared" si="171"/>
        <v>3.2499999999999973E-2</v>
      </c>
      <c r="BD261" s="1035">
        <f t="shared" si="171"/>
        <v>1.5240033391304308E-2</v>
      </c>
      <c r="BE261" s="2866"/>
      <c r="BF261" s="2866"/>
      <c r="BG261" s="2866"/>
      <c r="BH261" s="2866"/>
      <c r="BI261" s="2942"/>
      <c r="BJ261" s="2943"/>
      <c r="BK261" s="2943"/>
      <c r="BL261" s="2943"/>
      <c r="BM261" s="2943"/>
      <c r="BN261" s="2942"/>
      <c r="BO261" s="2943"/>
      <c r="BP261" s="2943"/>
      <c r="BQ261" s="2943"/>
      <c r="BR261" s="2943"/>
      <c r="BS261" s="2942"/>
      <c r="BT261" s="1438"/>
      <c r="BU261" s="1035"/>
      <c r="BV261" s="1035"/>
      <c r="BW261" s="1035"/>
      <c r="BX261" s="1035"/>
      <c r="BY261" s="1035"/>
      <c r="BZ261" s="1035"/>
      <c r="CA261" s="1035"/>
      <c r="CB261" s="1035"/>
    </row>
    <row r="262" spans="1:80" ht="7.5" customHeight="1" outlineLevel="1">
      <c r="BE262" s="2249"/>
      <c r="BF262" s="2249"/>
      <c r="BG262" s="2249"/>
      <c r="BH262" s="2249"/>
      <c r="BI262" s="2997"/>
      <c r="BJ262" s="2998"/>
      <c r="BK262" s="2998"/>
      <c r="BL262" s="2998"/>
      <c r="BM262" s="2998"/>
      <c r="BN262" s="2997"/>
      <c r="BO262" s="2998"/>
      <c r="BP262" s="2998"/>
      <c r="BQ262" s="2998"/>
      <c r="BR262" s="2998"/>
      <c r="BS262" s="2997"/>
      <c r="BT262" s="1343"/>
      <c r="BZ262" s="1009"/>
      <c r="CA262" s="1009"/>
      <c r="CB262" s="1009"/>
    </row>
    <row r="263" spans="1:80" s="1093" customFormat="1" outlineLevel="1">
      <c r="A263" s="1090" t="s">
        <v>979</v>
      </c>
      <c r="B263" s="1091">
        <f>B255+B245</f>
        <v>4.0277777777777777</v>
      </c>
      <c r="C263" s="1091">
        <f>C255+C245</f>
        <v>1.3</v>
      </c>
      <c r="D263" s="1091">
        <f>D255+D245</f>
        <v>9.0277777777777786</v>
      </c>
      <c r="E263" s="1091">
        <f>E255+E245</f>
        <v>5.4111111111111114</v>
      </c>
      <c r="F263" s="1092">
        <f>SUM(B263:E263)</f>
        <v>19.766666666666666</v>
      </c>
      <c r="G263" s="1091">
        <f>G255+G245</f>
        <v>4.1888888888888891</v>
      </c>
      <c r="H263" s="1091">
        <f>H255+H245</f>
        <v>4.5888888888888886</v>
      </c>
      <c r="I263" s="1091">
        <f>I255+I245</f>
        <v>5.5277777777777777</v>
      </c>
      <c r="J263" s="1091">
        <f>J255+J245</f>
        <v>4.8722222222222218</v>
      </c>
      <c r="K263" s="1092">
        <f>SUM(G263:J263)</f>
        <v>19.177777777777777</v>
      </c>
      <c r="L263" s="1091">
        <f>L255+L245</f>
        <v>6.0444444444444443</v>
      </c>
      <c r="M263" s="1091">
        <f>M255+M245</f>
        <v>4.166666666666667</v>
      </c>
      <c r="N263" s="1091">
        <f>N255+N245</f>
        <v>3.8777777777777778</v>
      </c>
      <c r="O263" s="1091">
        <f>O255+O245</f>
        <v>3.2666666666666666</v>
      </c>
      <c r="P263" s="1092">
        <f>SUM(L263:O263)</f>
        <v>17.355555555555558</v>
      </c>
      <c r="Q263" s="1091">
        <f>Q255+Q245</f>
        <v>4.2058823529411757</v>
      </c>
      <c r="R263" s="1091">
        <f>R255+R245</f>
        <v>4.6944444444444446</v>
      </c>
      <c r="S263" s="1091">
        <f>S255+S245</f>
        <v>2.6111111111111112</v>
      </c>
      <c r="T263" s="1091">
        <f>T255+T245</f>
        <v>5.25</v>
      </c>
      <c r="U263" s="1092">
        <f>SUM(Q263:T263)</f>
        <v>16.761437908496731</v>
      </c>
      <c r="V263" s="1091">
        <f>V255+V245</f>
        <v>5.4058823529411759</v>
      </c>
      <c r="W263" s="1091">
        <f>W255+W245</f>
        <v>7.3111111111111109</v>
      </c>
      <c r="X263" s="1091">
        <f>X255+X245</f>
        <v>5.5277777777777777</v>
      </c>
      <c r="Y263" s="1091">
        <f>Y255+Y245</f>
        <v>4.7333333333333334</v>
      </c>
      <c r="Z263" s="1092">
        <f>SUM(V263:Y263)</f>
        <v>22.9781045751634</v>
      </c>
      <c r="AA263" s="1091">
        <f>AA255+AA243</f>
        <v>5.5555555555555554</v>
      </c>
      <c r="AB263" s="1091">
        <f>AB255+AB243</f>
        <v>5.916666666666667</v>
      </c>
      <c r="AC263" s="1091">
        <f>AC255+AC243</f>
        <v>5.5555555555555554</v>
      </c>
      <c r="AD263" s="1091">
        <f>AD255+AD243</f>
        <v>5.4444444444444446</v>
      </c>
      <c r="AE263" s="1092">
        <f>SUM(AA263:AD263)</f>
        <v>22.472222222222221</v>
      </c>
      <c r="AF263" s="1091">
        <f>AF255+AF243</f>
        <v>6.4976006944444453</v>
      </c>
      <c r="AG263" s="1091">
        <f>AG255+AG243</f>
        <v>6.6539305555555543</v>
      </c>
      <c r="AH263" s="1091">
        <f>AH255+AH243</f>
        <v>4.8278333333333334</v>
      </c>
      <c r="AI263" s="1091">
        <f>AI255+AI243</f>
        <v>4.3398888888888898</v>
      </c>
      <c r="AJ263" s="1092">
        <f>SUM(AF263:AI263)</f>
        <v>22.319253472222222</v>
      </c>
      <c r="AK263" s="1091">
        <f>AK255+AK243</f>
        <v>5.0743784722222225</v>
      </c>
      <c r="AL263" s="1091">
        <f>AL255+AL243</f>
        <v>6.0589972222222208</v>
      </c>
      <c r="AM263" s="1091">
        <f>AM255+AM243</f>
        <v>6.2253333333333334</v>
      </c>
      <c r="AN263" s="1091">
        <f>AN255+AN243</f>
        <v>6.2428055555555551</v>
      </c>
      <c r="AO263" s="1092">
        <f>SUM(AK263:AN263)</f>
        <v>23.601514583333334</v>
      </c>
      <c r="AP263" s="1091">
        <f>AP255+AP243</f>
        <v>6.1139579861111111</v>
      </c>
      <c r="AQ263" s="1091">
        <f>AQ255+AQ243</f>
        <v>6.1564041666666647</v>
      </c>
      <c r="AR263" s="1091">
        <f>AR255+AR243</f>
        <v>6.6081916666666682</v>
      </c>
      <c r="AS263" s="1091">
        <f>AS255+AS243</f>
        <v>6.0719472222222226</v>
      </c>
      <c r="AT263" s="1092">
        <f>SUM(AP263:AS263)</f>
        <v>24.950501041666662</v>
      </c>
      <c r="AU263" s="1091">
        <f>AU255+AU243</f>
        <v>5.9873943333333344</v>
      </c>
      <c r="AV263" s="1091">
        <f>AV255+AV243</f>
        <v>4.8258263749999992</v>
      </c>
      <c r="AW263" s="1091">
        <f>AW255+AW243</f>
        <v>4.6623591666666666</v>
      </c>
      <c r="AX263" s="1091">
        <f>AX255+AX243</f>
        <v>4.6409472222222226</v>
      </c>
      <c r="AY263" s="1092">
        <f>SUM(AU263:AX263)</f>
        <v>20.116527097222221</v>
      </c>
      <c r="AZ263" s="1091">
        <f>AZ255+AZ243</f>
        <v>4.2119839737500007</v>
      </c>
      <c r="BA263" s="1091">
        <f>BA255+BA243</f>
        <v>4.0072555399999992</v>
      </c>
      <c r="BB263" s="1091">
        <f>BB255+BB243</f>
        <v>4.8047973187500004</v>
      </c>
      <c r="BC263" s="1091">
        <f>BC255+BC243</f>
        <v>4.8124980069444447</v>
      </c>
      <c r="BD263" s="1092">
        <f>SUM(AZ263:BC263)</f>
        <v>17.836534839444447</v>
      </c>
      <c r="BE263" s="2894"/>
      <c r="BF263" s="2894"/>
      <c r="BG263" s="2894"/>
      <c r="BH263" s="2894"/>
      <c r="BI263" s="2990"/>
      <c r="BJ263" s="2991"/>
      <c r="BK263" s="2991"/>
      <c r="BL263" s="2991"/>
      <c r="BM263" s="2991"/>
      <c r="BN263" s="2990"/>
      <c r="BO263" s="2991"/>
      <c r="BP263" s="2991"/>
      <c r="BQ263" s="2991"/>
      <c r="BR263" s="2991"/>
      <c r="BS263" s="2990"/>
      <c r="BT263" s="1531"/>
      <c r="BU263" s="1092"/>
      <c r="BV263" s="1092"/>
      <c r="BW263" s="1092">
        <f>SUM(AM263:AN263,AP263:AQ263)</f>
        <v>24.738501041666662</v>
      </c>
      <c r="BX263" s="1092">
        <f>SUM(AR263:AS263,AU263:AV263)</f>
        <v>23.493359597222224</v>
      </c>
      <c r="BY263" s="1092">
        <f>SUM(AW263:AX263,AZ263:BA263)</f>
        <v>17.522545902638889</v>
      </c>
      <c r="BZ263" s="1092">
        <f>SUM(BB263:BC263,BE263:BF263)</f>
        <v>9.617295325694446</v>
      </c>
      <c r="CA263" s="1092"/>
      <c r="CB263" s="1092"/>
    </row>
    <row r="264" spans="1:80" s="1022" customFormat="1" outlineLevel="1">
      <c r="A264" s="1032" t="s">
        <v>926</v>
      </c>
      <c r="B264" s="1034"/>
      <c r="C264" s="1034"/>
      <c r="D264" s="1034"/>
      <c r="E264" s="1034"/>
      <c r="F264" s="1033"/>
      <c r="G264" s="1040">
        <f t="shared" ref="G264:AP264" si="172">IFERROR(G263/B263-1,"")</f>
        <v>4.0000000000000036E-2</v>
      </c>
      <c r="H264" s="1040">
        <f t="shared" si="172"/>
        <v>2.5299145299145294</v>
      </c>
      <c r="I264" s="1040">
        <f t="shared" si="172"/>
        <v>-0.38769230769230778</v>
      </c>
      <c r="J264" s="1040">
        <f t="shared" si="172"/>
        <v>-9.9589322381930301E-2</v>
      </c>
      <c r="K264" s="1041">
        <f t="shared" si="172"/>
        <v>-2.9792017987633534E-2</v>
      </c>
      <c r="L264" s="1040">
        <f t="shared" si="172"/>
        <v>0.44297082228116702</v>
      </c>
      <c r="M264" s="1040">
        <f t="shared" si="172"/>
        <v>-9.2009685230024063E-2</v>
      </c>
      <c r="N264" s="1040">
        <f t="shared" si="172"/>
        <v>-0.29849246231155779</v>
      </c>
      <c r="O264" s="1040">
        <f t="shared" si="172"/>
        <v>-0.32953249714937283</v>
      </c>
      <c r="P264" s="1041">
        <f t="shared" si="172"/>
        <v>-9.5017381228273301E-2</v>
      </c>
      <c r="Q264" s="1040">
        <f t="shared" si="172"/>
        <v>-0.30417387543252605</v>
      </c>
      <c r="R264" s="1040">
        <f t="shared" si="172"/>
        <v>0.12666666666666671</v>
      </c>
      <c r="S264" s="1040">
        <f t="shared" si="172"/>
        <v>-0.32664756446991405</v>
      </c>
      <c r="T264" s="1040">
        <f t="shared" si="172"/>
        <v>0.60714285714285721</v>
      </c>
      <c r="U264" s="1041">
        <f t="shared" si="172"/>
        <v>-3.4232130752429146E-2</v>
      </c>
      <c r="V264" s="1040">
        <f t="shared" si="172"/>
        <v>0.28531468531468551</v>
      </c>
      <c r="W264" s="1040">
        <f t="shared" si="172"/>
        <v>0.55739644970414193</v>
      </c>
      <c r="X264" s="1040">
        <f t="shared" si="172"/>
        <v>1.1170212765957448</v>
      </c>
      <c r="Y264" s="1040">
        <f t="shared" si="172"/>
        <v>-9.8412698412698396E-2</v>
      </c>
      <c r="Z264" s="1041">
        <f t="shared" si="172"/>
        <v>0.37089101189315676</v>
      </c>
      <c r="AA264" s="1040">
        <f t="shared" si="172"/>
        <v>2.7687099504292156E-2</v>
      </c>
      <c r="AB264" s="1040">
        <f t="shared" si="172"/>
        <v>-0.19072948328267469</v>
      </c>
      <c r="AC264" s="1040">
        <f t="shared" si="172"/>
        <v>5.0251256281406143E-3</v>
      </c>
      <c r="AD264" s="1040">
        <f t="shared" si="172"/>
        <v>0.15023474178403751</v>
      </c>
      <c r="AE264" s="1041">
        <f t="shared" si="172"/>
        <v>-2.2015843442891203E-2</v>
      </c>
      <c r="AF264" s="1040">
        <f t="shared" si="172"/>
        <v>0.16956812500000029</v>
      </c>
      <c r="AG264" s="1040">
        <f t="shared" si="172"/>
        <v>0.12460798122065708</v>
      </c>
      <c r="AH264" s="1040">
        <f t="shared" si="172"/>
        <v>-0.13098999999999994</v>
      </c>
      <c r="AI264" s="1040">
        <f t="shared" si="172"/>
        <v>-0.20287755102040805</v>
      </c>
      <c r="AJ264" s="1041">
        <f t="shared" si="172"/>
        <v>-6.8070148331272895E-3</v>
      </c>
      <c r="AK264" s="1040">
        <f t="shared" si="172"/>
        <v>-0.21903811716824972</v>
      </c>
      <c r="AL264" s="1040">
        <f t="shared" si="172"/>
        <v>-8.9410811905244025E-2</v>
      </c>
      <c r="AM264" s="1040">
        <f t="shared" si="172"/>
        <v>0.28946732488694038</v>
      </c>
      <c r="AN264" s="1040">
        <f t="shared" si="172"/>
        <v>0.4384712870273173</v>
      </c>
      <c r="AO264" s="1035">
        <f t="shared" ref="AO264:BD264" si="173">IF(ISERROR(AO263/AJ263-1),,(AO263/AJ263-1))</f>
        <v>5.7450896048426126E-2</v>
      </c>
      <c r="AP264" s="1040">
        <f t="shared" si="172"/>
        <v>0.2048683438926906</v>
      </c>
      <c r="AQ264" s="1036">
        <f t="shared" si="173"/>
        <v>1.6076413451253879E-2</v>
      </c>
      <c r="AR264" s="1036">
        <f t="shared" si="173"/>
        <v>6.1500053544656597E-2</v>
      </c>
      <c r="AS264" s="1036">
        <f t="shared" si="173"/>
        <v>-2.7368837906745824E-2</v>
      </c>
      <c r="AT264" s="1035">
        <f t="shared" si="173"/>
        <v>5.7156774984514769E-2</v>
      </c>
      <c r="AU264" s="1040">
        <f t="shared" si="173"/>
        <v>-2.0700772407217571E-2</v>
      </c>
      <c r="AV264" s="1036">
        <f t="shared" si="173"/>
        <v>-0.21612905125218507</v>
      </c>
      <c r="AW264" s="1036">
        <f t="shared" si="173"/>
        <v>-0.29445763654454149</v>
      </c>
      <c r="AX264" s="1036">
        <f t="shared" si="173"/>
        <v>-0.23567398523537886</v>
      </c>
      <c r="AY264" s="1035">
        <f t="shared" si="173"/>
        <v>-0.19374255997391943</v>
      </c>
      <c r="AZ264" s="1040">
        <f t="shared" si="173"/>
        <v>-0.296524708536262</v>
      </c>
      <c r="BA264" s="1036">
        <f t="shared" si="173"/>
        <v>-0.16962293530504402</v>
      </c>
      <c r="BB264" s="1036">
        <f t="shared" si="173"/>
        <v>3.0550660511461381E-2</v>
      </c>
      <c r="BC264" s="1036">
        <f t="shared" si="173"/>
        <v>3.6964605824601149E-2</v>
      </c>
      <c r="BD264" s="1035">
        <f t="shared" si="173"/>
        <v>-0.11333925815120471</v>
      </c>
      <c r="BE264" s="2866"/>
      <c r="BF264" s="2866"/>
      <c r="BG264" s="2866"/>
      <c r="BH264" s="2866"/>
      <c r="BI264" s="2942"/>
      <c r="BJ264" s="2943"/>
      <c r="BK264" s="2943"/>
      <c r="BL264" s="2943"/>
      <c r="BM264" s="2943"/>
      <c r="BN264" s="2942"/>
      <c r="BO264" s="2943"/>
      <c r="BP264" s="2943"/>
      <c r="BQ264" s="2943"/>
      <c r="BR264" s="2943"/>
      <c r="BS264" s="2942"/>
      <c r="BT264" s="1438"/>
      <c r="BU264" s="1035"/>
      <c r="BV264" s="1035"/>
      <c r="BW264" s="1035"/>
      <c r="BX264" s="1035"/>
      <c r="BY264" s="1035"/>
      <c r="BZ264" s="1035"/>
      <c r="CA264" s="1035"/>
      <c r="CB264" s="1035"/>
    </row>
    <row r="265" spans="1:80" s="1022" customFormat="1" outlineLevel="1">
      <c r="A265" s="1032" t="s">
        <v>968</v>
      </c>
      <c r="B265" s="1034"/>
      <c r="C265" s="1034"/>
      <c r="D265" s="1034"/>
      <c r="E265" s="1034"/>
      <c r="F265" s="1033"/>
      <c r="G265" s="1040"/>
      <c r="H265" s="1040"/>
      <c r="I265" s="1040"/>
      <c r="J265" s="1040"/>
      <c r="K265" s="1041"/>
      <c r="L265" s="1040"/>
      <c r="M265" s="1040"/>
      <c r="N265" s="1040"/>
      <c r="O265" s="1040"/>
      <c r="P265" s="1041"/>
      <c r="Q265" s="1040"/>
      <c r="R265" s="1040"/>
      <c r="S265" s="1040"/>
      <c r="T265" s="1040"/>
      <c r="U265" s="1041"/>
      <c r="V265" s="1040"/>
      <c r="W265" s="1040"/>
      <c r="X265" s="1040"/>
      <c r="Y265" s="1040"/>
      <c r="Z265" s="1041"/>
      <c r="AA265" s="1040"/>
      <c r="AB265" s="1040"/>
      <c r="AC265" s="1040"/>
      <c r="AD265" s="1040"/>
      <c r="AE265" s="1041"/>
      <c r="AF265" s="1040">
        <f>AF243/AF263</f>
        <v>5.4351793316870706E-2</v>
      </c>
      <c r="AG265" s="1040">
        <f t="shared" ref="AG265:BD265" si="174">AG243/AG263</f>
        <v>4.8223376742652119E-2</v>
      </c>
      <c r="AH265" s="1040">
        <f t="shared" si="174"/>
        <v>7.1357061483757367E-2</v>
      </c>
      <c r="AI265" s="1040">
        <f t="shared" si="174"/>
        <v>7.5117130494892353E-2</v>
      </c>
      <c r="AJ265" s="1041">
        <f t="shared" si="174"/>
        <v>6.0240870138123466E-2</v>
      </c>
      <c r="AK265" s="1040">
        <f t="shared" si="174"/>
        <v>6.7625277042002233E-2</v>
      </c>
      <c r="AL265" s="1040">
        <f t="shared" si="174"/>
        <v>0.20562395959360721</v>
      </c>
      <c r="AM265" s="1040">
        <f t="shared" si="174"/>
        <v>0.1717980295566503</v>
      </c>
      <c r="AN265" s="1040">
        <f>AN243/AN263</f>
        <v>0.22201556458323127</v>
      </c>
      <c r="AO265" s="1041">
        <f t="shared" si="174"/>
        <v>0.1713674449035624</v>
      </c>
      <c r="AP265" s="1040">
        <f>AP243/AP263</f>
        <v>0.26485247014757157</v>
      </c>
      <c r="AQ265" s="1040">
        <f t="shared" si="174"/>
        <v>0.41364446372578151</v>
      </c>
      <c r="AR265" s="1040">
        <f t="shared" si="174"/>
        <v>0.5396710900485886</v>
      </c>
      <c r="AS265" s="1040">
        <f t="shared" si="174"/>
        <v>0.5360718532083566</v>
      </c>
      <c r="AT265" s="1041">
        <f t="shared" si="174"/>
        <v>0.44035626205068285</v>
      </c>
      <c r="AU265" s="1040">
        <f t="shared" si="174"/>
        <v>0.57210821758134844</v>
      </c>
      <c r="AV265" s="1040">
        <f t="shared" si="174"/>
        <v>0.65216809628796479</v>
      </c>
      <c r="AW265" s="1040">
        <f t="shared" si="174"/>
        <v>0.54328718776313345</v>
      </c>
      <c r="AX265" s="1040">
        <f t="shared" si="174"/>
        <v>0.39302321544751695</v>
      </c>
      <c r="AY265" s="1041">
        <f t="shared" si="174"/>
        <v>0.54331880682870048</v>
      </c>
      <c r="AZ265" s="1040">
        <f>AZ243/AZ263</f>
        <v>0.45713314960354667</v>
      </c>
      <c r="BA265" s="1040">
        <f t="shared" si="174"/>
        <v>0.53084959987353353</v>
      </c>
      <c r="BB265" s="1040">
        <f t="shared" si="174"/>
        <v>0.53134395285255853</v>
      </c>
      <c r="BC265" s="1040">
        <f t="shared" si="174"/>
        <v>0.39563652748583455</v>
      </c>
      <c r="BD265" s="1041">
        <f t="shared" si="174"/>
        <v>0.47709308879779311</v>
      </c>
      <c r="BE265" s="2892"/>
      <c r="BF265" s="2892"/>
      <c r="BG265" s="2892"/>
      <c r="BH265" s="2892"/>
      <c r="BI265" s="2986"/>
      <c r="BJ265" s="2987"/>
      <c r="BK265" s="2987"/>
      <c r="BL265" s="2987"/>
      <c r="BM265" s="2987"/>
      <c r="BN265" s="2986"/>
      <c r="BO265" s="2987"/>
      <c r="BP265" s="2987"/>
      <c r="BQ265" s="2987"/>
      <c r="BR265" s="2987"/>
      <c r="BS265" s="2986"/>
      <c r="BT265" s="1438"/>
      <c r="BU265" s="1041"/>
      <c r="BV265" s="1041"/>
      <c r="BW265" s="1041"/>
      <c r="BX265" s="1041"/>
      <c r="BY265" s="1041"/>
      <c r="BZ265" s="1041"/>
      <c r="CA265" s="1041"/>
      <c r="CB265" s="1041"/>
    </row>
    <row r="266" spans="1:80" ht="7.5" customHeight="1" outlineLevel="1">
      <c r="BE266" s="2249"/>
      <c r="BF266" s="2249"/>
      <c r="BG266" s="2249"/>
      <c r="BH266" s="2249"/>
      <c r="BI266" s="2997"/>
      <c r="BJ266" s="2998"/>
      <c r="BK266" s="2998"/>
      <c r="BL266" s="2998"/>
      <c r="BM266" s="2998"/>
      <c r="BN266" s="2997"/>
      <c r="BO266" s="2998"/>
      <c r="BP266" s="2998"/>
      <c r="BQ266" s="2998"/>
      <c r="BR266" s="2998"/>
      <c r="BS266" s="2997"/>
      <c r="BT266" s="1343"/>
      <c r="BZ266" s="1009"/>
      <c r="CA266" s="1009"/>
      <c r="CB266" s="1009"/>
    </row>
    <row r="267" spans="1:80" s="1011" customFormat="1" outlineLevel="1">
      <c r="A267" s="1013" t="s">
        <v>980</v>
      </c>
      <c r="B267" s="1015">
        <f>B260+B251</f>
        <v>725</v>
      </c>
      <c r="C267" s="1015">
        <f>C260+C251</f>
        <v>234</v>
      </c>
      <c r="D267" s="1015">
        <f>D260+D251</f>
        <v>1625</v>
      </c>
      <c r="E267" s="1015">
        <f>E260+E251</f>
        <v>974</v>
      </c>
      <c r="F267" s="1014">
        <f>SUM(B267:E267)</f>
        <v>3558</v>
      </c>
      <c r="G267" s="1015">
        <f>G260+G251</f>
        <v>754</v>
      </c>
      <c r="H267" s="1015">
        <f>H260+H251</f>
        <v>826</v>
      </c>
      <c r="I267" s="1015">
        <f>I260+I251</f>
        <v>995</v>
      </c>
      <c r="J267" s="1015">
        <f>J260+J251</f>
        <v>877</v>
      </c>
      <c r="K267" s="1014">
        <f>SUM(G267:J267)</f>
        <v>3452</v>
      </c>
      <c r="L267" s="1015">
        <f>L260+L251</f>
        <v>1088</v>
      </c>
      <c r="M267" s="1015">
        <f>M260+M251</f>
        <v>750</v>
      </c>
      <c r="N267" s="1015">
        <f>N260+N251</f>
        <v>698</v>
      </c>
      <c r="O267" s="1015">
        <f>O260+O251</f>
        <v>588</v>
      </c>
      <c r="P267" s="1014">
        <f>SUM(L267:O267)</f>
        <v>3124</v>
      </c>
      <c r="Q267" s="1015">
        <f>Q260+Q251</f>
        <v>757.05882352941171</v>
      </c>
      <c r="R267" s="1015">
        <f>R260+R251</f>
        <v>845</v>
      </c>
      <c r="S267" s="1015">
        <f>S260+S251</f>
        <v>470</v>
      </c>
      <c r="T267" s="1015">
        <f>T260+T251</f>
        <v>945</v>
      </c>
      <c r="U267" s="1014">
        <f>SUM(Q267:T267)</f>
        <v>3017.0588235294117</v>
      </c>
      <c r="V267" s="1015">
        <f>V260+V251</f>
        <v>973.05882352941171</v>
      </c>
      <c r="W267" s="1015">
        <f>W260+W251</f>
        <v>1316</v>
      </c>
      <c r="X267" s="1015">
        <f>X260+X251</f>
        <v>995</v>
      </c>
      <c r="Y267" s="1015">
        <f>Y260+Y251</f>
        <v>852</v>
      </c>
      <c r="Z267" s="1014">
        <f>SUM(V267:Y267)</f>
        <v>4136.0588235294117</v>
      </c>
      <c r="AA267" s="1015">
        <f>AA260+AA251</f>
        <v>1000</v>
      </c>
      <c r="AB267" s="1015">
        <f>AB260+AB251</f>
        <v>1065</v>
      </c>
      <c r="AC267" s="1015">
        <f>AC260+AC251</f>
        <v>1000</v>
      </c>
      <c r="AD267" s="1015">
        <f>AD260+AD251</f>
        <v>980</v>
      </c>
      <c r="AE267" s="1014">
        <f>SUM(AA267:AD267)</f>
        <v>4045</v>
      </c>
      <c r="AF267" s="1015">
        <f>AF260+AF251</f>
        <v>1140.6563000000001</v>
      </c>
      <c r="AG267" s="1015">
        <f>AG260+AG251</f>
        <v>1175.8032999999998</v>
      </c>
      <c r="AH267" s="1015">
        <f>AH260+AH251</f>
        <v>863.87099999999998</v>
      </c>
      <c r="AI267" s="1015">
        <f>AI260+AI251</f>
        <v>789.22024999999996</v>
      </c>
      <c r="AJ267" s="1014">
        <f>SUM(AF267:AI267)</f>
        <v>3969.5508500000001</v>
      </c>
      <c r="AK267" s="1015">
        <f>AK260+AK251</f>
        <v>916.62</v>
      </c>
      <c r="AL267" s="1015">
        <f>AL260+AL251</f>
        <v>941.36199999999985</v>
      </c>
      <c r="AM267" s="1015">
        <f>AM260+AM251</f>
        <v>1026.05</v>
      </c>
      <c r="AN267" s="1015">
        <f>AN260+AN251</f>
        <v>1012.92206640625</v>
      </c>
      <c r="AO267" s="1014">
        <f>SUM(AK267:AN267)</f>
        <v>3896.9540664062501</v>
      </c>
      <c r="AP267" s="1015">
        <f>AP260+AP251</f>
        <v>978.66979062499991</v>
      </c>
      <c r="AQ267" s="1015">
        <f>AQ260+AQ251</f>
        <v>863.8156312499998</v>
      </c>
      <c r="AR267" s="1015">
        <f>AR260+AR251</f>
        <v>824.10354375000009</v>
      </c>
      <c r="AS267" s="1015">
        <f>AS260+AS251</f>
        <v>836.28409375000012</v>
      </c>
      <c r="AT267" s="1014">
        <f>SUM(AP267:AS267)</f>
        <v>3502.8730593749997</v>
      </c>
      <c r="AU267" s="1015">
        <f>AU260+AU251</f>
        <v>851.47683937500005</v>
      </c>
      <c r="AV267" s="1015">
        <f>AV260+AV251</f>
        <v>738.7980443749999</v>
      </c>
      <c r="AW267" s="1015">
        <f>AW260+AW251</f>
        <v>853.93894687500006</v>
      </c>
      <c r="AX267" s="1015">
        <f>AX260+AX251</f>
        <v>996.82979687500006</v>
      </c>
      <c r="AY267" s="1014">
        <f>SUM(AU267:AX267)</f>
        <v>3441.0436275000002</v>
      </c>
      <c r="AZ267" s="1015">
        <f>AZ260+AZ251</f>
        <v>920.48266215000012</v>
      </c>
      <c r="BA267" s="1015">
        <f>BA260+BA251</f>
        <v>875.22560657500003</v>
      </c>
      <c r="BB267" s="1015">
        <f>BB260+BB251</f>
        <v>979.22937675000014</v>
      </c>
      <c r="BC267" s="1015">
        <f>BC260+BC251</f>
        <v>1122.3355006250001</v>
      </c>
      <c r="BD267" s="1014">
        <f>SUM(AZ267:BC267)</f>
        <v>3897.2731461000003</v>
      </c>
      <c r="BE267" s="2883"/>
      <c r="BF267" s="2883"/>
      <c r="BG267" s="2883"/>
      <c r="BH267" s="2883"/>
      <c r="BI267" s="2967"/>
      <c r="BJ267" s="2968"/>
      <c r="BK267" s="2968"/>
      <c r="BL267" s="2968"/>
      <c r="BM267" s="2968"/>
      <c r="BN267" s="2967"/>
      <c r="BO267" s="2968"/>
      <c r="BP267" s="2968"/>
      <c r="BQ267" s="2968"/>
      <c r="BR267" s="2968"/>
      <c r="BS267" s="2967"/>
      <c r="BT267" s="1523"/>
      <c r="BU267" s="1014"/>
      <c r="BV267" s="1014"/>
      <c r="BW267" s="1014">
        <f>SUM(AM267:AN267,AP267:AQ267)</f>
        <v>3881.4574882812494</v>
      </c>
      <c r="BX267" s="1014">
        <f>SUM(AR267:AS267,AU267:AV267)</f>
        <v>3250.6625212499998</v>
      </c>
      <c r="BY267" s="1014">
        <f>SUM(AW267:AX267,AZ267:BA267)</f>
        <v>3646.4770124750003</v>
      </c>
      <c r="BZ267" s="1014">
        <f>SUM(BB267:BC267,BE267:BF267)</f>
        <v>2101.5648773750004</v>
      </c>
      <c r="CA267" s="1014"/>
      <c r="CB267" s="1014"/>
    </row>
    <row r="268" spans="1:80" s="1022" customFormat="1" outlineLevel="1">
      <c r="A268" s="1032" t="s">
        <v>926</v>
      </c>
      <c r="B268" s="1034"/>
      <c r="C268" s="1034"/>
      <c r="D268" s="1034"/>
      <c r="E268" s="1034"/>
      <c r="F268" s="1033"/>
      <c r="G268" s="1040">
        <f t="shared" ref="G268:AL268" si="175">IFERROR(G267/B267-1,"")</f>
        <v>4.0000000000000036E-2</v>
      </c>
      <c r="H268" s="1040">
        <f t="shared" si="175"/>
        <v>2.5299145299145298</v>
      </c>
      <c r="I268" s="1040">
        <f t="shared" si="175"/>
        <v>-0.38769230769230767</v>
      </c>
      <c r="J268" s="1040">
        <f t="shared" si="175"/>
        <v>-9.958932238193019E-2</v>
      </c>
      <c r="K268" s="1041">
        <f t="shared" si="175"/>
        <v>-2.9792017987633534E-2</v>
      </c>
      <c r="L268" s="1040">
        <f t="shared" si="175"/>
        <v>0.44297082228116702</v>
      </c>
      <c r="M268" s="1040">
        <f t="shared" si="175"/>
        <v>-9.2009685230024174E-2</v>
      </c>
      <c r="N268" s="1040">
        <f t="shared" si="175"/>
        <v>-0.29849246231155779</v>
      </c>
      <c r="O268" s="1040">
        <f t="shared" si="175"/>
        <v>-0.32953249714937283</v>
      </c>
      <c r="P268" s="1041">
        <f t="shared" si="175"/>
        <v>-9.5017381228273412E-2</v>
      </c>
      <c r="Q268" s="1040">
        <f t="shared" si="175"/>
        <v>-0.30417387543252605</v>
      </c>
      <c r="R268" s="1040">
        <f t="shared" si="175"/>
        <v>0.12666666666666671</v>
      </c>
      <c r="S268" s="1040">
        <f t="shared" si="175"/>
        <v>-0.32664756446991405</v>
      </c>
      <c r="T268" s="1040">
        <f t="shared" si="175"/>
        <v>0.60714285714285721</v>
      </c>
      <c r="U268" s="1041">
        <f t="shared" si="175"/>
        <v>-3.4232130752429035E-2</v>
      </c>
      <c r="V268" s="1040">
        <f t="shared" si="175"/>
        <v>0.28531468531468529</v>
      </c>
      <c r="W268" s="1040">
        <f t="shared" si="175"/>
        <v>0.55739644970414193</v>
      </c>
      <c r="X268" s="1040">
        <f t="shared" si="175"/>
        <v>1.1170212765957448</v>
      </c>
      <c r="Y268" s="1040">
        <f t="shared" si="175"/>
        <v>-9.8412698412698396E-2</v>
      </c>
      <c r="Z268" s="1041">
        <f t="shared" si="175"/>
        <v>0.37089101189315654</v>
      </c>
      <c r="AA268" s="1040">
        <f t="shared" si="175"/>
        <v>2.7687099504292156E-2</v>
      </c>
      <c r="AB268" s="1040">
        <f t="shared" si="175"/>
        <v>-0.19072948328267481</v>
      </c>
      <c r="AC268" s="1040">
        <f t="shared" si="175"/>
        <v>5.0251256281406143E-3</v>
      </c>
      <c r="AD268" s="1040">
        <f t="shared" si="175"/>
        <v>0.15023474178403751</v>
      </c>
      <c r="AE268" s="1041">
        <f t="shared" si="175"/>
        <v>-2.2015843442891092E-2</v>
      </c>
      <c r="AF268" s="1040">
        <f t="shared" si="175"/>
        <v>0.14065630000000007</v>
      </c>
      <c r="AG268" s="1040">
        <f t="shared" si="175"/>
        <v>0.10404065727699519</v>
      </c>
      <c r="AH268" s="1040">
        <f t="shared" si="175"/>
        <v>-0.13612900000000006</v>
      </c>
      <c r="AI268" s="1040">
        <f t="shared" si="175"/>
        <v>-0.19467321428571427</v>
      </c>
      <c r="AJ268" s="1041">
        <f t="shared" si="175"/>
        <v>-1.865244746600736E-2</v>
      </c>
      <c r="AK268" s="1040">
        <f t="shared" si="175"/>
        <v>-0.19640999659581948</v>
      </c>
      <c r="AL268" s="1040">
        <f t="shared" si="175"/>
        <v>-0.19938819698839083</v>
      </c>
      <c r="AM268" s="1040">
        <f t="shared" ref="AM268:BD268" si="176">IFERROR(AM267/AH267-1,"")</f>
        <v>0.18773520583513048</v>
      </c>
      <c r="AN268" s="1040">
        <f t="shared" si="176"/>
        <v>0.28344662520538466</v>
      </c>
      <c r="AO268" s="1041">
        <f t="shared" si="176"/>
        <v>-1.82884125527073E-2</v>
      </c>
      <c r="AP268" s="1040">
        <f t="shared" si="176"/>
        <v>6.7694126928279807E-2</v>
      </c>
      <c r="AQ268" s="1040">
        <f t="shared" si="176"/>
        <v>-8.2376778274457774E-2</v>
      </c>
      <c r="AR268" s="1040">
        <f t="shared" si="176"/>
        <v>-0.19681931314263423</v>
      </c>
      <c r="AS268" s="1040">
        <f t="shared" si="176"/>
        <v>-0.17438456374333355</v>
      </c>
      <c r="AT268" s="1041">
        <f t="shared" si="176"/>
        <v>-0.10112539186141078</v>
      </c>
      <c r="AU268" s="1040">
        <f t="shared" si="176"/>
        <v>-0.12996513478644478</v>
      </c>
      <c r="AV268" s="1040">
        <f t="shared" si="176"/>
        <v>-0.14472716439975852</v>
      </c>
      <c r="AW268" s="1040">
        <f t="shared" si="176"/>
        <v>3.6203464177859246E-2</v>
      </c>
      <c r="AX268" s="1040">
        <f t="shared" si="176"/>
        <v>0.19197507680086723</v>
      </c>
      <c r="AY268" s="1041">
        <f t="shared" si="176"/>
        <v>-1.7651062663981198E-2</v>
      </c>
      <c r="AZ268" s="1040">
        <f t="shared" si="176"/>
        <v>8.1042512942162581E-2</v>
      </c>
      <c r="BA268" s="1040">
        <f t="shared" si="176"/>
        <v>0.18466150964897809</v>
      </c>
      <c r="BB268" s="1040">
        <f t="shared" si="176"/>
        <v>0.14672059440959084</v>
      </c>
      <c r="BC268" s="1040">
        <f t="shared" si="176"/>
        <v>0.1259048476916047</v>
      </c>
      <c r="BD268" s="1041">
        <f t="shared" si="176"/>
        <v>0.13258463651954955</v>
      </c>
      <c r="BE268" s="2892"/>
      <c r="BF268" s="2892"/>
      <c r="BG268" s="2892"/>
      <c r="BH268" s="2892"/>
      <c r="BI268" s="2986"/>
      <c r="BJ268" s="2987"/>
      <c r="BK268" s="2987"/>
      <c r="BL268" s="2987"/>
      <c r="BM268" s="2987"/>
      <c r="BN268" s="2986"/>
      <c r="BO268" s="2987"/>
      <c r="BP268" s="2987"/>
      <c r="BQ268" s="2987"/>
      <c r="BR268" s="2987"/>
      <c r="BS268" s="2986"/>
      <c r="BT268" s="1438"/>
      <c r="BU268" s="1041"/>
      <c r="BV268" s="1041"/>
      <c r="BW268" s="1041"/>
      <c r="BX268" s="1041"/>
      <c r="BY268" s="1041"/>
      <c r="BZ268" s="1041"/>
      <c r="CA268" s="1041"/>
      <c r="CB268" s="1041"/>
    </row>
    <row r="269" spans="1:80" s="1022" customFormat="1" outlineLevel="1">
      <c r="A269" s="1032" t="s">
        <v>968</v>
      </c>
      <c r="B269" s="1034"/>
      <c r="C269" s="1034"/>
      <c r="D269" s="1034"/>
      <c r="E269" s="1034"/>
      <c r="F269" s="1033"/>
      <c r="G269" s="1040"/>
      <c r="H269" s="1040"/>
      <c r="I269" s="1040"/>
      <c r="J269" s="1040"/>
      <c r="K269" s="1041"/>
      <c r="L269" s="1040"/>
      <c r="M269" s="1040"/>
      <c r="N269" s="1040"/>
      <c r="O269" s="1040"/>
      <c r="P269" s="1041"/>
      <c r="Q269" s="1040"/>
      <c r="R269" s="1040"/>
      <c r="S269" s="1040"/>
      <c r="T269" s="1040"/>
      <c r="U269" s="1041"/>
      <c r="V269" s="1040"/>
      <c r="W269" s="1040"/>
      <c r="X269" s="1040"/>
      <c r="Y269" s="1040"/>
      <c r="Z269" s="1041"/>
      <c r="AA269" s="1040"/>
      <c r="AB269" s="1040"/>
      <c r="AC269" s="1040"/>
      <c r="AD269" s="1040"/>
      <c r="AE269" s="1041"/>
      <c r="AF269" s="1040">
        <f>AF251/AF267</f>
        <v>3.0382771742899242E-2</v>
      </c>
      <c r="AG269" s="1040">
        <f t="shared" ref="AG269:BD269" si="177">AG251/AG267</f>
        <v>3.0492600250399026E-2</v>
      </c>
      <c r="AH269" s="1040">
        <f t="shared" si="177"/>
        <v>6.5832745861361244E-2</v>
      </c>
      <c r="AI269" s="1040">
        <f t="shared" si="177"/>
        <v>8.4539455240789874E-2</v>
      </c>
      <c r="AJ269" s="1041">
        <f t="shared" si="177"/>
        <v>4.889743382428266E-2</v>
      </c>
      <c r="AK269" s="1040">
        <f t="shared" si="177"/>
        <v>7.0912701010233253E-2</v>
      </c>
      <c r="AL269" s="1040">
        <f t="shared" si="177"/>
        <v>7.967179469747028E-2</v>
      </c>
      <c r="AM269" s="1040">
        <f t="shared" si="177"/>
        <v>9.5511914624043667E-2</v>
      </c>
      <c r="AN269" s="1040">
        <f>AN251/AN267</f>
        <v>0.1369276778600883</v>
      </c>
      <c r="AO269" s="1041">
        <f t="shared" si="177"/>
        <v>9.6664487183354963E-2</v>
      </c>
      <c r="AP269" s="1040">
        <f>AP251/AP267</f>
        <v>0.17332791126276623</v>
      </c>
      <c r="AQ269" s="1040">
        <f t="shared" si="177"/>
        <v>0.24778913868491079</v>
      </c>
      <c r="AR269" s="1040">
        <f t="shared" si="177"/>
        <v>0.33558167034638475</v>
      </c>
      <c r="AS269" s="1040">
        <f t="shared" si="177"/>
        <v>0.39368630374598707</v>
      </c>
      <c r="AT269" s="1041">
        <f t="shared" si="177"/>
        <v>0.28247171467627918</v>
      </c>
      <c r="AU269" s="1040">
        <f t="shared" si="177"/>
        <v>0.45840895644502272</v>
      </c>
      <c r="AV269" s="1040">
        <f t="shared" si="177"/>
        <v>0.59103336859045952</v>
      </c>
      <c r="AW269" s="1040">
        <f t="shared" si="177"/>
        <v>0.55115684627966099</v>
      </c>
      <c r="AX269" s="1040">
        <f t="shared" si="177"/>
        <v>0.49133693476100726</v>
      </c>
      <c r="AY269" s="1041">
        <f t="shared" si="177"/>
        <v>0.51943906950653729</v>
      </c>
      <c r="AZ269" s="1040">
        <f>AZ251/AZ267</f>
        <v>0.55286679239165282</v>
      </c>
      <c r="BA269" s="1040">
        <f t="shared" si="177"/>
        <v>0.61335569405440882</v>
      </c>
      <c r="BB269" s="1040">
        <f t="shared" si="177"/>
        <v>0.58607908729184277</v>
      </c>
      <c r="BC269" s="1040">
        <f t="shared" si="177"/>
        <v>0.5335355239512074</v>
      </c>
      <c r="BD269" s="1041">
        <f t="shared" si="177"/>
        <v>0.56922893054596213</v>
      </c>
      <c r="BE269" s="2892"/>
      <c r="BF269" s="2892"/>
      <c r="BG269" s="2892"/>
      <c r="BH269" s="2892"/>
      <c r="BI269" s="2986"/>
      <c r="BJ269" s="2987"/>
      <c r="BK269" s="2987"/>
      <c r="BL269" s="2987"/>
      <c r="BM269" s="2987"/>
      <c r="BN269" s="2986"/>
      <c r="BO269" s="2987"/>
      <c r="BP269" s="2987"/>
      <c r="BQ269" s="2987"/>
      <c r="BR269" s="2987"/>
      <c r="BS269" s="2986"/>
      <c r="BT269" s="1438"/>
      <c r="BU269" s="1041"/>
      <c r="BV269" s="1041"/>
      <c r="BW269" s="1041"/>
      <c r="BX269" s="1041"/>
      <c r="BY269" s="1041"/>
      <c r="BZ269" s="1041"/>
      <c r="CA269" s="1041"/>
      <c r="CB269" s="1041"/>
    </row>
    <row r="270" spans="1:80" ht="7.5" customHeight="1">
      <c r="BE270" s="2249"/>
      <c r="BF270" s="2249"/>
      <c r="BG270" s="2249"/>
      <c r="BH270" s="2249"/>
      <c r="BI270" s="2997"/>
      <c r="BJ270" s="2998"/>
      <c r="BK270" s="2998"/>
      <c r="BL270" s="2998"/>
      <c r="BM270" s="2998"/>
      <c r="BN270" s="2997"/>
      <c r="BO270" s="2998"/>
      <c r="BP270" s="2998"/>
      <c r="BQ270" s="2998"/>
      <c r="BR270" s="2998"/>
      <c r="BS270" s="2997"/>
      <c r="BT270" s="1343"/>
      <c r="BZ270" s="1009"/>
      <c r="CA270" s="1009"/>
      <c r="CB270" s="1009"/>
    </row>
    <row r="271" spans="1:80" s="1011" customFormat="1" outlineLevel="1">
      <c r="A271" s="1011" t="s">
        <v>973</v>
      </c>
      <c r="B271" s="1094"/>
      <c r="C271" s="1094"/>
      <c r="D271" s="1094"/>
      <c r="E271" s="1094"/>
      <c r="F271" s="1095"/>
      <c r="G271" s="1094"/>
      <c r="H271" s="1094"/>
      <c r="I271" s="1094"/>
      <c r="J271" s="1094"/>
      <c r="K271" s="1095"/>
      <c r="L271" s="1094"/>
      <c r="M271" s="1094"/>
      <c r="N271" s="1094"/>
      <c r="O271" s="1094"/>
      <c r="P271" s="1095"/>
      <c r="Q271" s="1094"/>
      <c r="R271" s="1094"/>
      <c r="S271" s="1094"/>
      <c r="T271" s="1094"/>
      <c r="U271" s="1095"/>
      <c r="V271" s="1094"/>
      <c r="W271" s="1094"/>
      <c r="X271" s="1094"/>
      <c r="Y271" s="1094"/>
      <c r="Z271" s="1095"/>
      <c r="AA271" s="1094"/>
      <c r="AB271" s="1094"/>
      <c r="AC271" s="1094"/>
      <c r="AD271" s="1094"/>
      <c r="AE271" s="1095"/>
      <c r="AF271" s="1101">
        <f>-AF245*AF258</f>
        <v>-85.893750000000011</v>
      </c>
      <c r="AG271" s="1101">
        <f>-AG245*AG258</f>
        <v>-87.525000000000006</v>
      </c>
      <c r="AH271" s="1101">
        <f>-AH245*AH258</f>
        <v>-101.69999999999999</v>
      </c>
      <c r="AI271" s="1101">
        <f>-AI245*AI258</f>
        <v>-111.60000000000002</v>
      </c>
      <c r="AJ271" s="1097">
        <f>SUM(AF271:AI271)</f>
        <v>-386.71875</v>
      </c>
      <c r="AK271" s="1101">
        <f>-AK245*AK258</f>
        <v>-121.89374999999997</v>
      </c>
      <c r="AL271" s="1101">
        <f>-AL245*AL258</f>
        <v>-285.52500000000003</v>
      </c>
      <c r="AM271" s="1101">
        <f>-AM245*AM258</f>
        <v>-263.70000000000005</v>
      </c>
      <c r="AN271" s="1101">
        <f>-AN245*AN258</f>
        <v>-327.59999999999991</v>
      </c>
      <c r="AO271" s="1097">
        <f>SUM(AK271:AN271)</f>
        <v>-998.71875</v>
      </c>
      <c r="AP271" s="1101">
        <f>-AP245*AP258</f>
        <v>-382.89374999999995</v>
      </c>
      <c r="AQ271" s="1101">
        <f>-AQ245*AQ258</f>
        <v>-672.52499999999998</v>
      </c>
      <c r="AR271" s="1101">
        <f>-AR245*AR258</f>
        <v>-839.70000000000016</v>
      </c>
      <c r="AS271" s="1101">
        <f>-AS245*AS258</f>
        <v>-831.59999999999991</v>
      </c>
      <c r="AT271" s="1097">
        <f>SUM(AP271:AS271)</f>
        <v>-2726.71875</v>
      </c>
      <c r="AU271" s="1101">
        <f>-AU245*AU258</f>
        <v>-922.89374999999995</v>
      </c>
      <c r="AV271" s="1101">
        <f>-AV245*AV258</f>
        <v>-1104.5249999999999</v>
      </c>
      <c r="AW271" s="1101">
        <f>-AW245*AW258</f>
        <v>-1127.7</v>
      </c>
      <c r="AX271" s="1101">
        <f>-AX245*AX258</f>
        <v>-993.59999999999991</v>
      </c>
      <c r="AY271" s="1097">
        <f>SUM(AU271:AX271)</f>
        <v>-4148.71875</v>
      </c>
      <c r="AZ271" s="1101">
        <f>-AZ245*AZ258</f>
        <v>-1084.89375</v>
      </c>
      <c r="BA271" s="1101">
        <f>-BA245*BA258</f>
        <v>-1266.5250000000001</v>
      </c>
      <c r="BB271" s="1101">
        <f>-BB245*BB258</f>
        <v>-1361.7</v>
      </c>
      <c r="BC271" s="1101">
        <f>-BC245*BC258</f>
        <v>-1137.5999999999999</v>
      </c>
      <c r="BD271" s="1097">
        <f>SUM(AZ271:BC271)</f>
        <v>-4850.71875</v>
      </c>
      <c r="BE271" s="2900"/>
      <c r="BF271" s="2900"/>
      <c r="BG271" s="2900"/>
      <c r="BH271" s="2900"/>
      <c r="BI271" s="3000"/>
      <c r="BJ271" s="3001"/>
      <c r="BK271" s="3001"/>
      <c r="BL271" s="3001"/>
      <c r="BM271" s="3001"/>
      <c r="BN271" s="3000"/>
      <c r="BO271" s="3001"/>
      <c r="BP271" s="3001"/>
      <c r="BQ271" s="3001"/>
      <c r="BR271" s="3001"/>
      <c r="BS271" s="3000"/>
      <c r="BT271" s="1523"/>
      <c r="BU271" s="1097"/>
      <c r="BV271" s="1097"/>
      <c r="BW271" s="1097">
        <f>SUM(AM271:AN271,AP271:AQ271)</f>
        <v>-1646.71875</v>
      </c>
      <c r="BX271" s="1097">
        <f>SUM(AR271:AS271,AU271:AV271)</f>
        <v>-3698.71875</v>
      </c>
      <c r="BY271" s="1097">
        <f>SUM(AW271:AX271,AZ271:BA271)</f>
        <v>-4472.71875</v>
      </c>
      <c r="BZ271" s="1097">
        <f>SUM(BB271:BC271,BE271:BF271)</f>
        <v>-2499.3000000000002</v>
      </c>
      <c r="CA271" s="1097"/>
      <c r="CB271" s="1097"/>
    </row>
    <row r="272" spans="1:80" s="1011" customFormat="1" outlineLevel="1">
      <c r="A272" s="1011" t="s">
        <v>969</v>
      </c>
      <c r="B272" s="1094"/>
      <c r="C272" s="1094"/>
      <c r="D272" s="1094"/>
      <c r="E272" s="1094"/>
      <c r="F272" s="1095"/>
      <c r="G272" s="1094"/>
      <c r="H272" s="1094"/>
      <c r="I272" s="1094"/>
      <c r="J272" s="1094"/>
      <c r="K272" s="1095"/>
      <c r="L272" s="1094"/>
      <c r="M272" s="1094"/>
      <c r="N272" s="1094"/>
      <c r="O272" s="1094"/>
      <c r="P272" s="1095"/>
      <c r="Q272" s="1094"/>
      <c r="R272" s="1094"/>
      <c r="S272" s="1094"/>
      <c r="T272" s="1094"/>
      <c r="U272" s="1095"/>
      <c r="V272" s="1094"/>
      <c r="W272" s="1094"/>
      <c r="X272" s="1094"/>
      <c r="Y272" s="1094"/>
      <c r="Z272" s="1095"/>
      <c r="AA272" s="1094"/>
      <c r="AB272" s="1094"/>
      <c r="AC272" s="1094"/>
      <c r="AD272" s="1094"/>
      <c r="AE272" s="1095"/>
      <c r="AF272" s="1096">
        <f>AF251-AF243*AF258</f>
        <v>-28.911825000000007</v>
      </c>
      <c r="AG272" s="1101">
        <f>AG251-AG243*AG258</f>
        <v>-21.90420000000001</v>
      </c>
      <c r="AH272" s="1101">
        <f>AH251-AH243*AH258</f>
        <v>-5.1390000000000029</v>
      </c>
      <c r="AI272" s="1101">
        <f>AI251-AI243*AI258</f>
        <v>8.0402499999999719</v>
      </c>
      <c r="AJ272" s="1097">
        <f>SUM(AF272:AI272)</f>
        <v>-47.914775000000049</v>
      </c>
      <c r="AK272" s="1101">
        <f>AK251-AK243*AK258</f>
        <v>3.2318750000000307</v>
      </c>
      <c r="AL272" s="1101">
        <f>AL251-AL243*AL258</f>
        <v>-149.25750000000005</v>
      </c>
      <c r="AM272" s="1101">
        <f>AM251-AM243*AM258</f>
        <v>-94.510000000000048</v>
      </c>
      <c r="AN272" s="1101">
        <f>AN251-AN243*AN258</f>
        <v>-110.78293359374987</v>
      </c>
      <c r="AO272" s="1097">
        <f>SUM(AK272:AN272)</f>
        <v>-351.31855859374991</v>
      </c>
      <c r="AP272" s="1101">
        <f>AP251-AP243*AP258</f>
        <v>-121.84264687500001</v>
      </c>
      <c r="AQ272" s="1101">
        <f>AQ251-AQ243*AQ258</f>
        <v>-244.33711874999995</v>
      </c>
      <c r="AR272" s="1101">
        <f>AR251-AR243*AR258</f>
        <v>-365.37095625000006</v>
      </c>
      <c r="AS272" s="1101">
        <f>AS251-AS243*AS258</f>
        <v>-256.66640624999991</v>
      </c>
      <c r="AT272" s="1097">
        <f>SUM(AP272:AS272)</f>
        <v>-988.21712812499993</v>
      </c>
      <c r="AU272" s="1101">
        <f>AU251-AU243*AU258</f>
        <v>-226.25414062499999</v>
      </c>
      <c r="AV272" s="1101">
        <f>AV251-AV243*AV258</f>
        <v>-129.85070312499988</v>
      </c>
      <c r="AW272" s="1101">
        <f>AW251-AW243*AW258</f>
        <v>14.714296875000116</v>
      </c>
      <c r="AX272" s="1101">
        <f>AX251-AX243*AX258</f>
        <v>161.45929687500001</v>
      </c>
      <c r="AY272" s="1097">
        <f>SUM(AU272:AX272)</f>
        <v>-179.93124999999975</v>
      </c>
      <c r="AZ272" s="1101">
        <f>AZ251-AZ243*AZ258</f>
        <v>162.32554687499999</v>
      </c>
      <c r="BA272" s="1101">
        <f>BA251-BA243*BA258</f>
        <v>153.91960937500011</v>
      </c>
      <c r="BB272" s="1101">
        <f>BB251-BB243*BB258</f>
        <v>114.36585937500013</v>
      </c>
      <c r="BC272" s="1101">
        <f>BC251-BC243*BC258</f>
        <v>256.0858593750001</v>
      </c>
      <c r="BD272" s="1097">
        <f>SUM(AZ272:BC272)</f>
        <v>686.69687500000032</v>
      </c>
      <c r="BE272" s="2900"/>
      <c r="BF272" s="2900"/>
      <c r="BG272" s="2900"/>
      <c r="BH272" s="2900"/>
      <c r="BI272" s="3000"/>
      <c r="BJ272" s="3001"/>
      <c r="BK272" s="3001"/>
      <c r="BL272" s="3001"/>
      <c r="BM272" s="3001"/>
      <c r="BN272" s="3000"/>
      <c r="BO272" s="3001"/>
      <c r="BP272" s="3001"/>
      <c r="BQ272" s="3001"/>
      <c r="BR272" s="3001"/>
      <c r="BS272" s="3000"/>
      <c r="BT272" s="1523"/>
      <c r="BU272" s="1097"/>
      <c r="BV272" s="1097"/>
      <c r="BW272" s="1097">
        <f>SUM(AM272:AN272,AP272:AQ272)</f>
        <v>-571.47269921874988</v>
      </c>
      <c r="BX272" s="1097">
        <f>SUM(AR272:AS272,AU272:AV272)</f>
        <v>-978.14220624999984</v>
      </c>
      <c r="BY272" s="1097">
        <f>SUM(AW272:AX272,AZ272:BA272)</f>
        <v>492.41875000000022</v>
      </c>
      <c r="BZ272" s="1097">
        <f>SUM(BB272:BC272,BE272:BF272)</f>
        <v>370.45171875000023</v>
      </c>
      <c r="CA272" s="1097"/>
      <c r="CB272" s="1097"/>
    </row>
    <row r="273" spans="1:90">
      <c r="B273" s="1037"/>
      <c r="C273" s="1037"/>
      <c r="D273" s="1037"/>
      <c r="E273" s="1037"/>
      <c r="F273" s="1037"/>
      <c r="G273" s="1037"/>
      <c r="H273" s="1037"/>
      <c r="I273" s="1037"/>
      <c r="J273" s="1037"/>
      <c r="K273" s="1037"/>
      <c r="L273" s="1037"/>
      <c r="M273" s="1037"/>
      <c r="N273" s="1037"/>
      <c r="O273" s="1037"/>
      <c r="P273" s="1037"/>
      <c r="Q273" s="1037"/>
      <c r="R273" s="1037"/>
      <c r="S273" s="1037"/>
      <c r="T273" s="1037"/>
      <c r="U273" s="1037"/>
      <c r="V273" s="1037"/>
      <c r="W273" s="1037"/>
      <c r="X273" s="1037"/>
      <c r="Y273" s="1037"/>
      <c r="Z273" s="1037"/>
      <c r="AA273" s="1037"/>
      <c r="AB273" s="1037"/>
      <c r="AC273" s="1037"/>
      <c r="AD273" s="1037"/>
      <c r="AE273" s="1024"/>
      <c r="AF273" s="1037"/>
      <c r="AG273" s="1037"/>
      <c r="AH273" s="1037"/>
      <c r="AI273" s="1037"/>
      <c r="AJ273" s="1532"/>
      <c r="AK273" s="1037"/>
      <c r="AL273" s="1037"/>
      <c r="AM273" s="1037"/>
      <c r="AN273" s="1037"/>
      <c r="AO273" s="1532"/>
      <c r="AP273" s="1037"/>
      <c r="AQ273" s="1037"/>
      <c r="AR273" s="1037"/>
      <c r="AS273" s="1037"/>
      <c r="AT273" s="1532"/>
      <c r="AU273" s="1037"/>
      <c r="AV273" s="1037"/>
      <c r="AW273" s="1037"/>
      <c r="AX273" s="1037"/>
      <c r="AY273" s="1532"/>
      <c r="AZ273" s="1037"/>
      <c r="BA273" s="1037"/>
      <c r="BB273" s="1037"/>
      <c r="BC273" s="1037"/>
      <c r="BD273" s="1532"/>
      <c r="BE273" s="1037"/>
      <c r="BF273" s="1037"/>
      <c r="BG273" s="1037"/>
      <c r="BH273" s="1037"/>
      <c r="BI273" s="2981"/>
      <c r="BJ273" s="2912"/>
      <c r="BK273" s="2912"/>
      <c r="BL273" s="2912"/>
      <c r="BM273" s="2912"/>
      <c r="BN273" s="2981"/>
      <c r="BO273" s="2912"/>
      <c r="BP273" s="2912"/>
      <c r="BQ273" s="2912"/>
      <c r="BR273" s="2912"/>
      <c r="BS273" s="2912"/>
      <c r="BT273" s="1343"/>
      <c r="BU273" s="1532"/>
      <c r="BV273" s="1532"/>
      <c r="BW273" s="1532"/>
      <c r="BX273" s="1532"/>
      <c r="BY273" s="1532"/>
      <c r="BZ273" s="1532"/>
      <c r="CA273" s="1532"/>
      <c r="CF273" s="1532"/>
    </row>
    <row r="274" spans="1:90">
      <c r="BU274" s="1004"/>
      <c r="BV274" s="1004"/>
      <c r="BW274" s="1004"/>
      <c r="BX274" s="1004"/>
      <c r="BY274" s="1004"/>
    </row>
    <row r="275" spans="1:90">
      <c r="BU275" s="1004"/>
      <c r="BV275" s="1004"/>
      <c r="BW275" s="1004"/>
      <c r="BX275" s="1004"/>
      <c r="BY275" s="1004"/>
    </row>
    <row r="276" spans="1:90">
      <c r="BU276" s="1004"/>
      <c r="BV276" s="1004"/>
      <c r="BW276" s="1004"/>
      <c r="BX276" s="1004"/>
      <c r="BY276" s="1004"/>
    </row>
    <row r="277" spans="1:90">
      <c r="BU277" s="1004"/>
      <c r="BV277" s="1004"/>
      <c r="BW277" s="1004"/>
      <c r="BX277" s="1004"/>
      <c r="BY277" s="1004"/>
    </row>
    <row r="278" spans="1:90">
      <c r="BU278" s="1004"/>
      <c r="BV278" s="1004"/>
      <c r="BW278" s="1004"/>
      <c r="BX278" s="1004"/>
      <c r="BY278" s="1004"/>
    </row>
    <row r="279" spans="1:90">
      <c r="BU279" s="1004"/>
      <c r="BV279" s="1004"/>
      <c r="BW279" s="1004"/>
      <c r="BX279" s="1004"/>
      <c r="BY279" s="1004"/>
    </row>
    <row r="280" spans="1:90">
      <c r="BU280" s="1004"/>
      <c r="BV280" s="1004"/>
      <c r="BW280" s="1004"/>
      <c r="BX280" s="1004"/>
      <c r="BY280" s="1004"/>
    </row>
    <row r="281" spans="1:90">
      <c r="BU281" s="1004"/>
      <c r="BV281" s="1004"/>
      <c r="BW281" s="1004"/>
      <c r="BX281" s="1004"/>
      <c r="BY281" s="1004"/>
    </row>
    <row r="282" spans="1:90">
      <c r="BU282" s="1004"/>
      <c r="BV282" s="1004"/>
      <c r="BW282" s="1004"/>
      <c r="BX282" s="1004"/>
      <c r="BY282" s="1004"/>
    </row>
    <row r="283" spans="1:90">
      <c r="BU283" s="1004"/>
      <c r="BV283" s="1004"/>
      <c r="BW283" s="1004"/>
      <c r="BX283" s="1004"/>
      <c r="BY283" s="1004"/>
    </row>
    <row r="284" spans="1:90">
      <c r="BU284" s="1004"/>
      <c r="BV284" s="1004"/>
      <c r="BW284" s="1004"/>
      <c r="BX284" s="1004"/>
      <c r="BY284" s="1004"/>
    </row>
    <row r="285" spans="1:90">
      <c r="BU285" s="1004"/>
      <c r="BV285" s="1004"/>
      <c r="BW285" s="1004"/>
      <c r="BX285" s="1004"/>
      <c r="BY285" s="1004"/>
    </row>
    <row r="286" spans="1:90" s="1022" customFormat="1">
      <c r="A286" s="1435"/>
      <c r="B286" s="1436"/>
      <c r="C286" s="1436"/>
      <c r="D286" s="1436"/>
      <c r="E286" s="1436"/>
      <c r="F286" s="1437"/>
      <c r="G286" s="1436"/>
      <c r="H286" s="1436"/>
      <c r="I286" s="1436"/>
      <c r="J286" s="1436"/>
      <c r="K286" s="1437"/>
      <c r="L286" s="1436"/>
      <c r="M286" s="1436"/>
      <c r="N286" s="1436"/>
      <c r="O286" s="1436"/>
      <c r="P286" s="1437"/>
      <c r="Q286" s="1436"/>
      <c r="R286" s="1436"/>
      <c r="S286" s="1436"/>
      <c r="T286" s="1436"/>
      <c r="U286" s="1437"/>
      <c r="V286" s="1436"/>
      <c r="W286" s="1436"/>
      <c r="X286" s="1436"/>
      <c r="Y286" s="1436"/>
      <c r="Z286" s="1437"/>
      <c r="AA286" s="1436"/>
      <c r="AB286" s="1436"/>
      <c r="AC286" s="1436"/>
      <c r="AD286" s="1436"/>
      <c r="AE286" s="1437"/>
      <c r="AF286" s="1432"/>
      <c r="AG286" s="1436"/>
      <c r="AH286" s="1436"/>
      <c r="AI286" s="1436"/>
      <c r="AJ286" s="1433"/>
      <c r="AK286" s="1430"/>
      <c r="AL286" s="1430"/>
      <c r="AM286" s="1430"/>
      <c r="AN286" s="1430"/>
      <c r="AO286" s="1433"/>
      <c r="AP286" s="1430"/>
      <c r="AQ286" s="1430"/>
      <c r="AR286" s="1430"/>
      <c r="AS286" s="1430"/>
      <c r="AT286" s="1433"/>
      <c r="AU286" s="1430"/>
      <c r="AV286" s="1430"/>
      <c r="AW286" s="1430"/>
      <c r="AX286" s="1430"/>
      <c r="AY286" s="1433"/>
      <c r="AZ286" s="1430"/>
      <c r="BA286" s="1430"/>
      <c r="BB286" s="1430"/>
      <c r="BC286" s="1430"/>
      <c r="BD286" s="1433"/>
      <c r="BE286" s="1430"/>
      <c r="BF286" s="1430"/>
      <c r="BG286" s="1430"/>
      <c r="BH286" s="1430"/>
      <c r="BI286" s="2942"/>
      <c r="BJ286" s="2943"/>
      <c r="BK286" s="2943"/>
      <c r="BL286" s="2943"/>
      <c r="BM286" s="2943"/>
      <c r="BN286" s="2942"/>
      <c r="BO286" s="2943"/>
      <c r="BP286" s="2943"/>
      <c r="BQ286" s="2943"/>
      <c r="BR286" s="2943"/>
      <c r="BS286" s="2943"/>
      <c r="BT286" s="1438"/>
      <c r="BU286" s="1433"/>
      <c r="BV286" s="1433"/>
      <c r="BW286" s="1433"/>
      <c r="BX286" s="1433"/>
      <c r="BY286" s="1433"/>
      <c r="BZ286" s="1433"/>
      <c r="CA286" s="1433"/>
      <c r="CB286" s="1438"/>
      <c r="CC286" s="1438"/>
      <c r="CD286" s="1438"/>
      <c r="CE286" s="1438"/>
      <c r="CF286" s="1438"/>
      <c r="CG286" s="1438"/>
      <c r="CH286" s="1438"/>
      <c r="CI286" s="1438"/>
      <c r="CJ286" s="1438"/>
      <c r="CK286" s="1438"/>
      <c r="CL286" s="1438"/>
    </row>
    <row r="287" spans="1:90" s="1022" customFormat="1">
      <c r="A287" s="1435"/>
      <c r="B287" s="1436"/>
      <c r="C287" s="1436"/>
      <c r="D287" s="1436"/>
      <c r="E287" s="1436"/>
      <c r="F287" s="1437"/>
      <c r="G287" s="1436"/>
      <c r="H287" s="1436"/>
      <c r="I287" s="1436"/>
      <c r="J287" s="1436"/>
      <c r="K287" s="1437"/>
      <c r="L287" s="1436"/>
      <c r="M287" s="1436"/>
      <c r="N287" s="1436"/>
      <c r="O287" s="1436"/>
      <c r="P287" s="1437"/>
      <c r="Q287" s="1436"/>
      <c r="R287" s="1436"/>
      <c r="S287" s="1436"/>
      <c r="T287" s="1436"/>
      <c r="U287" s="1437"/>
      <c r="V287" s="1436"/>
      <c r="W287" s="1436"/>
      <c r="X287" s="1436"/>
      <c r="Y287" s="1436"/>
      <c r="Z287" s="1437"/>
      <c r="AA287" s="1436"/>
      <c r="AB287" s="1436"/>
      <c r="AC287" s="1436"/>
      <c r="AD287" s="1436"/>
      <c r="AE287" s="1437"/>
      <c r="AF287" s="1432"/>
      <c r="AG287" s="1436"/>
      <c r="AH287" s="1436"/>
      <c r="AI287" s="1436"/>
      <c r="AJ287" s="1433"/>
      <c r="AK287" s="1430"/>
      <c r="AL287" s="1430"/>
      <c r="AM287" s="1430"/>
      <c r="AN287" s="1430"/>
      <c r="AO287" s="1433"/>
      <c r="AP287" s="1430"/>
      <c r="AQ287" s="1430"/>
      <c r="AR287" s="1430"/>
      <c r="AS287" s="1430"/>
      <c r="AT287" s="1433"/>
      <c r="AU287" s="1430"/>
      <c r="AV287" s="1430"/>
      <c r="AW287" s="1430"/>
      <c r="AX287" s="1430"/>
      <c r="AY287" s="1433"/>
      <c r="AZ287" s="1430"/>
      <c r="BA287" s="1430"/>
      <c r="BB287" s="1430"/>
      <c r="BC287" s="1430"/>
      <c r="BD287" s="1433"/>
      <c r="BE287" s="1430"/>
      <c r="BF287" s="1430"/>
      <c r="BG287" s="1430"/>
      <c r="BH287" s="1430"/>
      <c r="BI287" s="2942"/>
      <c r="BJ287" s="2943"/>
      <c r="BK287" s="2943"/>
      <c r="BL287" s="2943"/>
      <c r="BM287" s="2943"/>
      <c r="BN287" s="2942"/>
      <c r="BO287" s="2943"/>
      <c r="BP287" s="2943"/>
      <c r="BQ287" s="2943"/>
      <c r="BR287" s="2943"/>
      <c r="BS287" s="2943"/>
      <c r="BT287" s="1438"/>
      <c r="BU287" s="1433"/>
      <c r="BV287" s="1433"/>
      <c r="BW287" s="1433"/>
      <c r="BX287" s="1433"/>
      <c r="BY287" s="1433"/>
      <c r="BZ287" s="1433"/>
      <c r="CA287" s="1433"/>
      <c r="CB287" s="1438"/>
      <c r="CC287" s="1438"/>
      <c r="CD287" s="1438"/>
      <c r="CE287" s="1438"/>
      <c r="CF287" s="1438"/>
      <c r="CG287" s="1438"/>
      <c r="CH287" s="1438"/>
      <c r="CI287" s="1438"/>
      <c r="CJ287" s="1438"/>
      <c r="CK287" s="1438"/>
      <c r="CL287" s="1438"/>
    </row>
    <row r="288" spans="1:90" s="1022" customFormat="1">
      <c r="A288" s="1435"/>
      <c r="B288" s="1436"/>
      <c r="C288" s="1436"/>
      <c r="D288" s="1436"/>
      <c r="E288" s="1436"/>
      <c r="F288" s="1437"/>
      <c r="G288" s="1436"/>
      <c r="H288" s="1436"/>
      <c r="I288" s="1436"/>
      <c r="J288" s="1436"/>
      <c r="K288" s="1437"/>
      <c r="L288" s="1436"/>
      <c r="M288" s="1436"/>
      <c r="N288" s="1436"/>
      <c r="O288" s="1436"/>
      <c r="P288" s="1437"/>
      <c r="Q288" s="1436"/>
      <c r="R288" s="1436"/>
      <c r="S288" s="1436"/>
      <c r="T288" s="1436"/>
      <c r="U288" s="1437"/>
      <c r="V288" s="1436"/>
      <c r="W288" s="1436"/>
      <c r="X288" s="1436"/>
      <c r="Y288" s="1436"/>
      <c r="Z288" s="1437"/>
      <c r="AA288" s="1436"/>
      <c r="AB288" s="1436"/>
      <c r="AC288" s="1436"/>
      <c r="AD288" s="1436"/>
      <c r="AE288" s="1437"/>
      <c r="AF288" s="1432"/>
      <c r="AG288" s="1436"/>
      <c r="AH288" s="1436"/>
      <c r="AI288" s="1436"/>
      <c r="AJ288" s="1433"/>
      <c r="AK288" s="1430"/>
      <c r="AL288" s="1430"/>
      <c r="AM288" s="1430"/>
      <c r="AN288" s="1430"/>
      <c r="AO288" s="1433"/>
      <c r="AP288" s="1430"/>
      <c r="AQ288" s="1430"/>
      <c r="AR288" s="1430"/>
      <c r="AS288" s="1430"/>
      <c r="AT288" s="1433"/>
      <c r="AU288" s="1430"/>
      <c r="AV288" s="1430"/>
      <c r="AW288" s="1430"/>
      <c r="AX288" s="1430"/>
      <c r="AY288" s="1433"/>
      <c r="AZ288" s="1430"/>
      <c r="BA288" s="1430"/>
      <c r="BB288" s="1430"/>
      <c r="BC288" s="1430"/>
      <c r="BD288" s="1433"/>
      <c r="BE288" s="1430"/>
      <c r="BF288" s="1430"/>
      <c r="BG288" s="1430"/>
      <c r="BH288" s="1430"/>
      <c r="BI288" s="2942"/>
      <c r="BJ288" s="2943"/>
      <c r="BK288" s="2943"/>
      <c r="BL288" s="2943"/>
      <c r="BM288" s="2943"/>
      <c r="BN288" s="2942"/>
      <c r="BO288" s="2943"/>
      <c r="BP288" s="2943"/>
      <c r="BQ288" s="2943"/>
      <c r="BR288" s="2943"/>
      <c r="BS288" s="2943"/>
      <c r="BT288" s="1438"/>
      <c r="BU288" s="1433"/>
      <c r="BV288" s="1433"/>
      <c r="BW288" s="1433"/>
      <c r="BX288" s="1433"/>
      <c r="BY288" s="1433"/>
      <c r="BZ288" s="1433"/>
      <c r="CA288" s="1433"/>
      <c r="CB288" s="1438"/>
      <c r="CC288" s="1438"/>
      <c r="CD288" s="1438"/>
      <c r="CE288" s="1438"/>
      <c r="CF288" s="1438"/>
      <c r="CG288" s="1438"/>
      <c r="CH288" s="1438"/>
      <c r="CI288" s="1438"/>
      <c r="CJ288" s="1438"/>
      <c r="CK288" s="1438"/>
      <c r="CL288" s="1438"/>
    </row>
    <row r="289" spans="1:90" s="1022" customFormat="1" ht="13.5" thickBot="1">
      <c r="A289" s="1435"/>
      <c r="B289" s="1436"/>
      <c r="C289" s="1436"/>
      <c r="D289" s="1436"/>
      <c r="E289" s="1436"/>
      <c r="F289" s="1437"/>
      <c r="G289" s="1436"/>
      <c r="H289" s="1436"/>
      <c r="I289" s="1436"/>
      <c r="J289" s="1436"/>
      <c r="K289" s="1437"/>
      <c r="L289" s="1436"/>
      <c r="M289" s="1436"/>
      <c r="N289" s="1436"/>
      <c r="O289" s="1436"/>
      <c r="P289" s="1437"/>
      <c r="Q289" s="1436"/>
      <c r="R289" s="1436"/>
      <c r="S289" s="1436"/>
      <c r="T289" s="1436"/>
      <c r="U289" s="1437"/>
      <c r="V289" s="1436"/>
      <c r="W289" s="1436"/>
      <c r="X289" s="1436"/>
      <c r="Y289" s="1436"/>
      <c r="Z289" s="1437"/>
      <c r="AA289" s="1436"/>
      <c r="AB289" s="1436"/>
      <c r="AC289" s="1436"/>
      <c r="AD289" s="1436"/>
      <c r="AE289" s="1437"/>
      <c r="AF289" s="1432"/>
      <c r="AG289" s="1436"/>
      <c r="AH289" s="1436"/>
      <c r="AI289" s="1436"/>
      <c r="AJ289" s="1433"/>
      <c r="AK289" s="1430"/>
      <c r="AL289" s="1430"/>
      <c r="AM289" s="1430"/>
      <c r="AN289" s="1430"/>
      <c r="AO289" s="1433"/>
      <c r="AP289" s="1430"/>
      <c r="AQ289" s="1430"/>
      <c r="AR289" s="1430"/>
      <c r="AS289" s="1430"/>
      <c r="AT289" s="1433"/>
      <c r="AU289" s="1430"/>
      <c r="AV289" s="1430"/>
      <c r="AW289" s="1430"/>
      <c r="AX289" s="1430"/>
      <c r="AY289" s="1433"/>
      <c r="AZ289" s="1430"/>
      <c r="BA289" s="1430"/>
      <c r="BB289" s="1430"/>
      <c r="BC289" s="1430"/>
      <c r="BD289" s="1433"/>
      <c r="BE289" s="1430"/>
      <c r="BF289" s="1430"/>
      <c r="BG289" s="1430"/>
      <c r="BH289" s="1430"/>
      <c r="BI289" s="2942"/>
      <c r="BJ289" s="2943"/>
      <c r="BK289" s="2943"/>
      <c r="BL289" s="2943"/>
      <c r="BM289" s="2943"/>
      <c r="BN289" s="2942"/>
      <c r="BO289" s="2943"/>
      <c r="BP289" s="2943"/>
      <c r="BQ289" s="2943"/>
      <c r="BR289" s="2943"/>
      <c r="BS289" s="2943"/>
      <c r="BT289" s="1438"/>
      <c r="BU289" s="1433"/>
      <c r="BV289" s="1433"/>
      <c r="BW289" s="1433"/>
      <c r="BX289" s="1433"/>
      <c r="BY289" s="1433"/>
      <c r="BZ289" s="1433"/>
      <c r="CA289" s="1433"/>
      <c r="CB289" s="1438"/>
      <c r="CC289" s="1438"/>
      <c r="CD289" s="1438"/>
      <c r="CE289" s="1438"/>
      <c r="CF289" s="1438"/>
      <c r="CG289" s="1438"/>
      <c r="CH289" s="1438"/>
      <c r="CI289" s="1438"/>
      <c r="CJ289" s="1438"/>
      <c r="CK289" s="1438"/>
      <c r="CL289" s="1438"/>
    </row>
    <row r="290" spans="1:90" customFormat="1" ht="13.5" outlineLevel="1" thickBot="1">
      <c r="A290" s="2115" t="s">
        <v>921</v>
      </c>
      <c r="B290" s="2116"/>
      <c r="C290" s="2116"/>
      <c r="D290" s="2116"/>
      <c r="E290" s="2116"/>
      <c r="F290" s="2117"/>
      <c r="G290" s="2116"/>
      <c r="H290" s="2116"/>
      <c r="I290" s="2116"/>
      <c r="J290" s="2116"/>
      <c r="K290" s="2117"/>
      <c r="L290" s="2116"/>
      <c r="M290" s="2116"/>
      <c r="N290" s="2116"/>
      <c r="O290" s="2116"/>
      <c r="P290" s="2117"/>
      <c r="Q290" s="2116"/>
      <c r="R290" s="2116"/>
      <c r="S290" s="2116"/>
      <c r="T290" s="2116"/>
      <c r="U290" s="2117"/>
      <c r="V290" s="2116"/>
      <c r="W290" s="2116"/>
      <c r="X290" s="2116"/>
      <c r="Y290" s="2116"/>
      <c r="Z290" s="2117"/>
      <c r="AA290" s="2116"/>
      <c r="AB290" s="2116"/>
      <c r="AC290" s="2116"/>
      <c r="AD290" s="2116"/>
      <c r="AE290" s="2117"/>
      <c r="AF290" s="2118"/>
      <c r="AG290" s="2118"/>
      <c r="AH290" s="2118"/>
      <c r="AI290" s="2118"/>
      <c r="AJ290" s="2117"/>
      <c r="AK290" s="2118"/>
      <c r="AL290" s="2118"/>
      <c r="AM290" s="2118"/>
      <c r="AN290" s="2118"/>
      <c r="AO290" s="2119"/>
      <c r="AP290" s="2118"/>
      <c r="AQ290" s="2118"/>
      <c r="AR290" s="2118"/>
      <c r="AS290" s="2118"/>
      <c r="AT290" s="2119"/>
      <c r="AU290" s="2118"/>
      <c r="AV290" s="2118"/>
      <c r="AW290" s="2118"/>
      <c r="AX290" s="2118"/>
      <c r="AY290" s="2119"/>
      <c r="AZ290" s="2118"/>
      <c r="BA290" s="2118"/>
      <c r="BB290" s="2118"/>
      <c r="BC290" s="2118"/>
      <c r="BD290" s="2119"/>
      <c r="BE290" s="2118"/>
      <c r="BF290" s="2118"/>
      <c r="BG290" s="2118"/>
      <c r="BH290" s="2118"/>
      <c r="BI290" s="2940"/>
      <c r="BJ290" s="2941"/>
      <c r="BK290" s="2941"/>
      <c r="BL290" s="2941"/>
      <c r="BM290" s="2941"/>
      <c r="BN290" s="2940"/>
      <c r="BO290" s="2933"/>
      <c r="BP290" s="2933"/>
      <c r="BQ290" s="2933"/>
      <c r="BR290" s="2933"/>
      <c r="BS290" s="2933"/>
      <c r="BT290" s="2120"/>
      <c r="BU290" s="2119"/>
      <c r="BV290" s="2119"/>
      <c r="BW290" s="2119"/>
      <c r="BX290" s="2119"/>
      <c r="BY290" s="2119"/>
      <c r="BZ290" s="2119"/>
      <c r="CA290" s="2119"/>
    </row>
    <row r="291" spans="1:90" outlineLevel="1">
      <c r="A291" s="2121" t="s">
        <v>497</v>
      </c>
      <c r="B291" s="2122"/>
      <c r="C291" s="2122"/>
      <c r="D291" s="2122"/>
      <c r="E291" s="2122"/>
      <c r="F291" s="2123"/>
      <c r="G291" s="2122"/>
      <c r="H291" s="2122"/>
      <c r="I291" s="2122"/>
      <c r="J291" s="2122"/>
      <c r="K291" s="2123"/>
      <c r="L291" s="2122"/>
      <c r="M291" s="2122"/>
      <c r="N291" s="2122"/>
      <c r="O291" s="2122"/>
      <c r="P291" s="2123"/>
      <c r="Q291" s="2122"/>
      <c r="R291" s="2122"/>
      <c r="S291" s="2122"/>
      <c r="T291" s="2122"/>
      <c r="U291" s="2123"/>
      <c r="V291" s="2122"/>
      <c r="W291" s="2122"/>
      <c r="X291" s="2122"/>
      <c r="Y291" s="2122"/>
      <c r="Z291" s="2123"/>
      <c r="AA291" s="2122"/>
      <c r="AB291" s="2122"/>
      <c r="AC291" s="2122"/>
      <c r="AD291" s="2122"/>
      <c r="AE291" s="2123"/>
      <c r="AF291" s="2124"/>
      <c r="AG291" s="2122"/>
      <c r="AH291" s="2122"/>
      <c r="AI291" s="2122"/>
      <c r="AJ291" s="2123"/>
      <c r="AK291" s="2125"/>
      <c r="AL291" s="2122"/>
      <c r="AM291" s="2122"/>
      <c r="AN291" s="2122"/>
      <c r="AO291" s="2123"/>
      <c r="AP291" s="2122"/>
      <c r="AQ291" s="2122"/>
      <c r="AR291" s="2122"/>
      <c r="AS291" s="2122"/>
      <c r="AT291" s="2123"/>
      <c r="AU291" s="2122"/>
      <c r="AV291" s="2122"/>
      <c r="AW291" s="2122"/>
      <c r="AX291" s="2122"/>
      <c r="AY291" s="2123"/>
      <c r="AZ291" s="2122"/>
      <c r="BA291" s="2122"/>
      <c r="BB291" s="2122"/>
      <c r="BC291" s="2122"/>
      <c r="BD291" s="2123"/>
      <c r="BE291" s="2122"/>
      <c r="BF291" s="2122"/>
      <c r="BG291" s="2122"/>
      <c r="BH291" s="2122"/>
      <c r="BI291" s="2915"/>
      <c r="BJ291" s="2917"/>
      <c r="BK291" s="2917"/>
      <c r="BL291" s="2917"/>
      <c r="BM291" s="2917"/>
      <c r="BN291" s="2915"/>
      <c r="BO291" s="2955"/>
      <c r="BP291" s="2955"/>
      <c r="BQ291" s="2955"/>
      <c r="BR291" s="2955"/>
      <c r="BS291" s="2955"/>
      <c r="BT291" s="2120"/>
      <c r="BU291" s="2123"/>
      <c r="BV291" s="2123"/>
      <c r="BW291" s="2123"/>
      <c r="BX291" s="2123"/>
      <c r="BY291" s="2123"/>
      <c r="BZ291" s="2123"/>
      <c r="CA291" s="2123"/>
    </row>
    <row r="292" spans="1:90" outlineLevel="1">
      <c r="A292" s="2126" t="s">
        <v>940</v>
      </c>
      <c r="B292" s="2127"/>
      <c r="C292" s="2127"/>
      <c r="D292" s="2127"/>
      <c r="E292" s="2127"/>
      <c r="F292" s="2128"/>
      <c r="G292" s="2127"/>
      <c r="H292" s="2127"/>
      <c r="I292" s="2127"/>
      <c r="J292" s="2127"/>
      <c r="K292" s="2128"/>
      <c r="L292" s="2127"/>
      <c r="M292" s="2127"/>
      <c r="N292" s="2127"/>
      <c r="O292" s="2127"/>
      <c r="P292" s="2128"/>
      <c r="Q292" s="2127"/>
      <c r="R292" s="2127"/>
      <c r="S292" s="2127"/>
      <c r="T292" s="2127"/>
      <c r="U292" s="2128"/>
      <c r="V292" s="2127"/>
      <c r="W292" s="2127"/>
      <c r="X292" s="2127"/>
      <c r="Y292" s="2127"/>
      <c r="Z292" s="2128"/>
      <c r="AA292" s="2127"/>
      <c r="AB292" s="2127"/>
      <c r="AC292" s="2127"/>
      <c r="AD292" s="2127"/>
      <c r="AE292" s="2128">
        <f>'Client Unit Model'!CF169</f>
        <v>15410.795760646593</v>
      </c>
      <c r="AF292" s="2129">
        <f>'Client Unit Model'!AJ169</f>
        <v>3739.1813925605875</v>
      </c>
      <c r="AG292" s="2129">
        <f>'Client Unit Model'!AK169</f>
        <v>4148.5202465186912</v>
      </c>
      <c r="AH292" s="2129">
        <f>'Client Unit Model'!AL169</f>
        <v>3360.3563818799948</v>
      </c>
      <c r="AI292" s="2129">
        <f>'Client Unit Model'!AM169</f>
        <v>3166.3021418468479</v>
      </c>
      <c r="AJ292" s="2128">
        <f>'Client Unit Model'!CG169</f>
        <v>14414.360162806122</v>
      </c>
      <c r="AK292" s="2129">
        <f>'Client Unit Model'!AN169</f>
        <v>3459.0277056347263</v>
      </c>
      <c r="AL292" s="2129">
        <f>'Client Unit Model'!AO169</f>
        <v>4021.3897743683583</v>
      </c>
      <c r="AM292" s="2129">
        <f>'Client Unit Model'!AP169</f>
        <v>3473.4711806982673</v>
      </c>
      <c r="AN292" s="2129">
        <f>'Client Unit Model'!AQ169</f>
        <v>3228.577388695473</v>
      </c>
      <c r="AO292" s="2128">
        <f>SUM(AK292:AN292)</f>
        <v>14182.466049396826</v>
      </c>
      <c r="AP292" s="2129">
        <f>'Client Unit Model'!AR169</f>
        <v>3281.3607708458353</v>
      </c>
      <c r="AQ292" s="2129">
        <f>'Client Unit Model'!AS169</f>
        <v>3279.557083044635</v>
      </c>
      <c r="AR292" s="2129">
        <f>'Client Unit Model'!AT169</f>
        <v>2608.2217498027921</v>
      </c>
      <c r="AS292" s="2129">
        <f>'Client Unit Model'!AU169</f>
        <v>2341.3104243680928</v>
      </c>
      <c r="AT292" s="2128">
        <f>SUM(AP292:AS292)</f>
        <v>11510.450028061357</v>
      </c>
      <c r="AU292" s="2129">
        <f>'Client Unit Model'!AV169</f>
        <v>2929.3479879174051</v>
      </c>
      <c r="AV292" s="2129">
        <f>'Client Unit Model'!AW169</f>
        <v>2657.0209081876546</v>
      </c>
      <c r="AW292" s="2129">
        <f>'Client Unit Model'!AX169</f>
        <v>1974.0823997250041</v>
      </c>
      <c r="AX292" s="2129">
        <f>'Client Unit Model'!AY169</f>
        <v>2074.3244792154951</v>
      </c>
      <c r="AY292" s="2128">
        <f>SUM(AU292:AX292)</f>
        <v>9634.7757750455585</v>
      </c>
      <c r="AZ292" s="2129"/>
      <c r="BA292" s="2129"/>
      <c r="BB292" s="2129"/>
      <c r="BC292" s="2129"/>
      <c r="BD292" s="2128"/>
      <c r="BE292" s="2130"/>
      <c r="BF292" s="2130"/>
      <c r="BG292" s="2130"/>
      <c r="BH292" s="2130"/>
      <c r="BI292" s="2918"/>
      <c r="BJ292" s="2925"/>
      <c r="BK292" s="2925"/>
      <c r="BL292" s="2925"/>
      <c r="BM292" s="2925"/>
      <c r="BN292" s="2918"/>
      <c r="BO292" s="2974"/>
      <c r="BP292" s="2974"/>
      <c r="BQ292" s="2974"/>
      <c r="BR292" s="2974"/>
      <c r="BS292" s="2974"/>
      <c r="BT292" s="2120"/>
      <c r="BU292" s="2131"/>
      <c r="BV292" s="2131"/>
      <c r="BW292" s="2131">
        <f t="shared" ref="BW292:BW297" si="178">SUM(AM292:AN292,AP292:AQ292)</f>
        <v>13262.966423284211</v>
      </c>
      <c r="BX292" s="2131">
        <f t="shared" ref="BX292:BX297" si="179">SUM(AR292:AS292,AU292:AV292)</f>
        <v>10535.901070275944</v>
      </c>
      <c r="BY292" s="2131">
        <f t="shared" ref="BY292:BY297" si="180">SUM(AW292:AX292,AZ292:BA292)</f>
        <v>4048.4068789404992</v>
      </c>
      <c r="BZ292" s="2131">
        <f t="shared" ref="BZ292:BZ297" si="181">SUM(BB292:BC292,BE292:BF292)</f>
        <v>0</v>
      </c>
      <c r="CA292" s="2131"/>
    </row>
    <row r="293" spans="1:90" outlineLevel="1">
      <c r="A293" s="2126" t="s">
        <v>941</v>
      </c>
      <c r="B293" s="2127"/>
      <c r="C293" s="2127"/>
      <c r="D293" s="2127"/>
      <c r="E293" s="2127"/>
      <c r="F293" s="2128"/>
      <c r="G293" s="2127"/>
      <c r="H293" s="2127"/>
      <c r="I293" s="2127"/>
      <c r="J293" s="2127"/>
      <c r="K293" s="2128"/>
      <c r="L293" s="2127"/>
      <c r="M293" s="2127"/>
      <c r="N293" s="2127"/>
      <c r="O293" s="2127"/>
      <c r="P293" s="2128"/>
      <c r="Q293" s="2127"/>
      <c r="R293" s="2127"/>
      <c r="S293" s="2127"/>
      <c r="T293" s="2127"/>
      <c r="U293" s="2128"/>
      <c r="V293" s="2127"/>
      <c r="W293" s="2127"/>
      <c r="X293" s="2127"/>
      <c r="Y293" s="2127"/>
      <c r="Z293" s="2128"/>
      <c r="AA293" s="2127"/>
      <c r="AB293" s="2127"/>
      <c r="AC293" s="2127"/>
      <c r="AD293" s="2127"/>
      <c r="AE293" s="2128">
        <f>0.12*'Client Unit Model'!CF176</f>
        <v>440.15384721436976</v>
      </c>
      <c r="AF293" s="2129">
        <f>0.1*'Client Unit Model'!AJ176</f>
        <v>98.413726979282785</v>
      </c>
      <c r="AG293" s="2129">
        <f>0.09*'Client Unit Model'!AK176</f>
        <v>102.76256816142127</v>
      </c>
      <c r="AH293" s="2129">
        <f>0.09*'Client Unit Model'!AL176</f>
        <v>114.29402717374944</v>
      </c>
      <c r="AI293" s="2129">
        <f>0.09*'Client Unit Model'!AM176</f>
        <v>85.40357101087757</v>
      </c>
      <c r="AJ293" s="2128">
        <f>SUM(AF293:AI293)</f>
        <v>400.87389332533104</v>
      </c>
      <c r="AK293" s="2129">
        <f>AF293*1.1</f>
        <v>108.25509967721108</v>
      </c>
      <c r="AL293" s="2129">
        <f>0.15*'Client Unit Model'!AO176</f>
        <v>171.27094693570214</v>
      </c>
      <c r="AM293" s="2129">
        <f>0.1*'Client Unit Model'!AP176</f>
        <v>126.99336352638828</v>
      </c>
      <c r="AN293" s="2129">
        <v>122</v>
      </c>
      <c r="AO293" s="2128">
        <f>SUM(AK293:AN293)</f>
        <v>528.5194101393015</v>
      </c>
      <c r="AP293" s="2129">
        <f>AK293*0.9</f>
        <v>97.429589709489974</v>
      </c>
      <c r="AQ293" s="2129">
        <v>50</v>
      </c>
      <c r="AR293" s="2129">
        <v>100</v>
      </c>
      <c r="AS293" s="2129">
        <v>100</v>
      </c>
      <c r="AT293" s="2128">
        <f>SUM(AP293:AS293)</f>
        <v>347.42958970948996</v>
      </c>
      <c r="AU293" s="2129">
        <f>0.1*'Client Unit Model'!AV176</f>
        <v>74.352062801483029</v>
      </c>
      <c r="AV293" s="2129">
        <f>0.075*'Client Unit Model'!AW176</f>
        <v>83.794310788292265</v>
      </c>
      <c r="AW293" s="2129">
        <f>0.075*'Client Unit Model'!AX176</f>
        <v>93.197254657928184</v>
      </c>
      <c r="AX293" s="2129">
        <f>0.1*'Client Unit Model'!AY176</f>
        <v>92.852660260159681</v>
      </c>
      <c r="AY293" s="2128">
        <f>SUM(AU293:AX293)</f>
        <v>344.19628850786313</v>
      </c>
      <c r="AZ293" s="2129"/>
      <c r="BA293" s="2129"/>
      <c r="BB293" s="2129"/>
      <c r="BC293" s="2129"/>
      <c r="BD293" s="2128"/>
      <c r="BE293" s="2130"/>
      <c r="BF293" s="2130"/>
      <c r="BG293" s="2130"/>
      <c r="BH293" s="2130"/>
      <c r="BI293" s="2918"/>
      <c r="BJ293" s="2925"/>
      <c r="BK293" s="2925"/>
      <c r="BL293" s="2925"/>
      <c r="BM293" s="2925"/>
      <c r="BN293" s="2918"/>
      <c r="BO293" s="2974"/>
      <c r="BP293" s="2974"/>
      <c r="BQ293" s="2974"/>
      <c r="BR293" s="2974"/>
      <c r="BS293" s="2974"/>
      <c r="BT293" s="2120"/>
      <c r="BU293" s="2131"/>
      <c r="BV293" s="2131"/>
      <c r="BW293" s="2131">
        <f t="shared" si="178"/>
        <v>396.42295323587825</v>
      </c>
      <c r="BX293" s="2131">
        <f t="shared" si="179"/>
        <v>358.14637358977529</v>
      </c>
      <c r="BY293" s="2131">
        <f t="shared" si="180"/>
        <v>186.04991491808786</v>
      </c>
      <c r="BZ293" s="2131">
        <f t="shared" si="181"/>
        <v>0</v>
      </c>
      <c r="CA293" s="2131"/>
    </row>
    <row r="294" spans="1:90" outlineLevel="1">
      <c r="A294" s="2126" t="s">
        <v>946</v>
      </c>
      <c r="B294" s="2127"/>
      <c r="C294" s="2127"/>
      <c r="D294" s="2127"/>
      <c r="E294" s="2127"/>
      <c r="F294" s="2128"/>
      <c r="G294" s="2127"/>
      <c r="H294" s="2127"/>
      <c r="I294" s="2127"/>
      <c r="J294" s="2127"/>
      <c r="K294" s="2128"/>
      <c r="L294" s="2127"/>
      <c r="M294" s="2127"/>
      <c r="N294" s="2127"/>
      <c r="O294" s="2127"/>
      <c r="P294" s="2128"/>
      <c r="Q294" s="2127"/>
      <c r="R294" s="2127"/>
      <c r="S294" s="2127"/>
      <c r="T294" s="2127"/>
      <c r="U294" s="2128"/>
      <c r="V294" s="2127"/>
      <c r="W294" s="2127"/>
      <c r="X294" s="2127"/>
      <c r="Y294" s="2127"/>
      <c r="Z294" s="2128"/>
      <c r="AA294" s="2127"/>
      <c r="AB294" s="2127"/>
      <c r="AC294" s="2127"/>
      <c r="AD294" s="2127"/>
      <c r="AE294" s="2128">
        <f>'Client Unit Model'!CF176*0.095</f>
        <v>348.45512904470939</v>
      </c>
      <c r="AF294" s="2129">
        <f>0.075*'Client Unit Model'!AJ176</f>
        <v>73.810295234462089</v>
      </c>
      <c r="AG294" s="2129">
        <f>0.3*'Client Unit Model'!AK176</f>
        <v>342.54189387140428</v>
      </c>
      <c r="AH294" s="2129">
        <f>0.06*'Client Unit Model'!AL176</f>
        <v>76.196018115832956</v>
      </c>
      <c r="AI294" s="2129">
        <v>50</v>
      </c>
      <c r="AJ294" s="2128">
        <f>SUM(AF294:AI294)</f>
        <v>542.54820722169939</v>
      </c>
      <c r="AK294" s="2129">
        <f>AF294</f>
        <v>73.810295234462089</v>
      </c>
      <c r="AL294" s="2129">
        <v>50</v>
      </c>
      <c r="AM294" s="2129">
        <v>25</v>
      </c>
      <c r="AN294" s="2129">
        <v>40</v>
      </c>
      <c r="AO294" s="2128">
        <f>SUM(AK294:AN294)</f>
        <v>188.8102952344621</v>
      </c>
      <c r="AP294" s="2129">
        <v>100.77565642678557</v>
      </c>
      <c r="AQ294" s="2129">
        <v>65</v>
      </c>
      <c r="AR294" s="2129">
        <v>65</v>
      </c>
      <c r="AS294" s="2129">
        <v>65</v>
      </c>
      <c r="AT294" s="2128">
        <f>SUM(AP294:AS294)</f>
        <v>295.77565642678559</v>
      </c>
      <c r="AU294" s="2129">
        <f>AU348-AU293</f>
        <v>133.76344564160632</v>
      </c>
      <c r="AV294" s="2129">
        <f>AV348-AV293</f>
        <v>48.455689211707735</v>
      </c>
      <c r="AW294" s="2129">
        <f>AW348-AW293</f>
        <v>80.052745342071816</v>
      </c>
      <c r="AX294" s="2129">
        <f>AX348-AX293</f>
        <v>80.397339739840319</v>
      </c>
      <c r="AY294" s="2128">
        <f>SUM(AU294:AX294)</f>
        <v>342.66921993522624</v>
      </c>
      <c r="AZ294" s="2129"/>
      <c r="BA294" s="2129"/>
      <c r="BB294" s="2129"/>
      <c r="BC294" s="2129"/>
      <c r="BD294" s="2128"/>
      <c r="BE294" s="2130"/>
      <c r="BF294" s="2130"/>
      <c r="BG294" s="2130"/>
      <c r="BH294" s="2130"/>
      <c r="BI294" s="2918"/>
      <c r="BJ294" s="2925"/>
      <c r="BK294" s="2925"/>
      <c r="BL294" s="2925"/>
      <c r="BM294" s="2925"/>
      <c r="BN294" s="2918"/>
      <c r="BO294" s="2974"/>
      <c r="BP294" s="2974"/>
      <c r="BQ294" s="2974"/>
      <c r="BR294" s="2974"/>
      <c r="BS294" s="2974"/>
      <c r="BT294" s="2120"/>
      <c r="BU294" s="2131"/>
      <c r="BV294" s="2131"/>
      <c r="BW294" s="2131">
        <f t="shared" si="178"/>
        <v>230.77565642678559</v>
      </c>
      <c r="BX294" s="2131">
        <f t="shared" si="179"/>
        <v>312.21913485331407</v>
      </c>
      <c r="BY294" s="2131">
        <f t="shared" si="180"/>
        <v>160.45008508191214</v>
      </c>
      <c r="BZ294" s="2131">
        <f t="shared" si="181"/>
        <v>0</v>
      </c>
      <c r="CA294" s="2131"/>
    </row>
    <row r="295" spans="1:90" outlineLevel="1">
      <c r="A295" s="2126" t="s">
        <v>942</v>
      </c>
      <c r="B295" s="2127">
        <v>725</v>
      </c>
      <c r="C295" s="2127">
        <v>234</v>
      </c>
      <c r="D295" s="2127">
        <v>1625</v>
      </c>
      <c r="E295" s="2127">
        <v>974</v>
      </c>
      <c r="F295" s="2128">
        <f>SUM(B295:E295)</f>
        <v>3558</v>
      </c>
      <c r="G295" s="2127">
        <v>754</v>
      </c>
      <c r="H295" s="2127">
        <v>826</v>
      </c>
      <c r="I295" s="2127">
        <v>995</v>
      </c>
      <c r="J295" s="2127">
        <v>877</v>
      </c>
      <c r="K295" s="2128">
        <f>SUM(G295:J295)</f>
        <v>3452</v>
      </c>
      <c r="L295" s="2127">
        <v>1088</v>
      </c>
      <c r="M295" s="2127">
        <v>750</v>
      </c>
      <c r="N295" s="2127">
        <v>698</v>
      </c>
      <c r="O295" s="2127">
        <v>588</v>
      </c>
      <c r="P295" s="2128">
        <f>SUM(L295:O295)</f>
        <v>3124</v>
      </c>
      <c r="Q295" s="2127">
        <v>757.05882352941171</v>
      </c>
      <c r="R295" s="2127">
        <v>845</v>
      </c>
      <c r="S295" s="2127">
        <v>470</v>
      </c>
      <c r="T295" s="2127">
        <v>945</v>
      </c>
      <c r="U295" s="2128">
        <f>SUM(Q295:T295)</f>
        <v>3017.0588235294117</v>
      </c>
      <c r="V295" s="2127">
        <v>973.05882352941171</v>
      </c>
      <c r="W295" s="2127">
        <v>1316</v>
      </c>
      <c r="X295" s="2127">
        <v>995</v>
      </c>
      <c r="Y295" s="2127">
        <v>852</v>
      </c>
      <c r="Z295" s="2128">
        <f>SUM(V295:Y295)</f>
        <v>4136.0588235294117</v>
      </c>
      <c r="AA295" s="2127">
        <v>1000</v>
      </c>
      <c r="AB295" s="2127">
        <v>1065</v>
      </c>
      <c r="AC295" s="2127">
        <v>1000</v>
      </c>
      <c r="AD295" s="2127">
        <v>980</v>
      </c>
      <c r="AE295" s="2128">
        <f>'Rev Overview'!BE253*0.185*0.95</f>
        <v>4237.5082499999999</v>
      </c>
      <c r="AF295" s="2127">
        <v>1106</v>
      </c>
      <c r="AG295" s="2127">
        <v>1139.9499999999998</v>
      </c>
      <c r="AH295" s="2127">
        <v>807</v>
      </c>
      <c r="AI295" s="2127">
        <v>722.5</v>
      </c>
      <c r="AJ295" s="2128">
        <f>SUM(AF295:AI295)</f>
        <v>3775.45</v>
      </c>
      <c r="AK295" s="2129">
        <f>AF295*(1-0.23)</f>
        <v>851.62</v>
      </c>
      <c r="AL295" s="2129">
        <f>AG295*(1-0.24)</f>
        <v>866.36199999999985</v>
      </c>
      <c r="AM295" s="2129">
        <f>AH295*(1+0.15)</f>
        <v>928.05</v>
      </c>
      <c r="AN295" s="2129">
        <f>AI295*(1+0.21)</f>
        <v>874.22500000000002</v>
      </c>
      <c r="AO295" s="2128">
        <f>SUM(AK295:AN295)</f>
        <v>3520.2570000000001</v>
      </c>
      <c r="AP295" s="2129">
        <f>AK295*(1-0.05)</f>
        <v>809.03899999999999</v>
      </c>
      <c r="AQ295" s="2129">
        <f>AL295*0.75</f>
        <v>649.77149999999983</v>
      </c>
      <c r="AR295" s="2129">
        <f>AM295*(1-0.41)</f>
        <v>547.54950000000008</v>
      </c>
      <c r="AS295" s="2129">
        <f>AN295*(1-0.42)</f>
        <v>507.05050000000006</v>
      </c>
      <c r="AT295" s="2128">
        <f>SUM(AP295:AS295)</f>
        <v>2513.4105</v>
      </c>
      <c r="AU295" s="2129">
        <f t="shared" ref="AU295:AX295" si="182">AU351</f>
        <v>461.15223000000009</v>
      </c>
      <c r="AV295" s="2129">
        <f t="shared" si="182"/>
        <v>302.1437474999999</v>
      </c>
      <c r="AW295" s="2129">
        <f t="shared" si="182"/>
        <v>383.28465</v>
      </c>
      <c r="AX295" s="2129">
        <f t="shared" si="182"/>
        <v>507.05050000000011</v>
      </c>
      <c r="AY295" s="2128">
        <f>SUM(AU295:AX295)</f>
        <v>1653.6311275</v>
      </c>
      <c r="AZ295" s="2129"/>
      <c r="BA295" s="2129"/>
      <c r="BB295" s="2129"/>
      <c r="BC295" s="2129"/>
      <c r="BD295" s="2128"/>
      <c r="BE295" s="2130"/>
      <c r="BF295" s="2130"/>
      <c r="BG295" s="2130"/>
      <c r="BH295" s="2130"/>
      <c r="BI295" s="2918"/>
      <c r="BJ295" s="2925"/>
      <c r="BK295" s="2925"/>
      <c r="BL295" s="2925"/>
      <c r="BM295" s="2925"/>
      <c r="BN295" s="2918"/>
      <c r="BO295" s="2974"/>
      <c r="BP295" s="2974"/>
      <c r="BQ295" s="2974"/>
      <c r="BR295" s="2974"/>
      <c r="BS295" s="2974"/>
      <c r="BT295" s="2120"/>
      <c r="BU295" s="2131"/>
      <c r="BV295" s="2131"/>
      <c r="BW295" s="2131">
        <f t="shared" si="178"/>
        <v>3261.0855000000001</v>
      </c>
      <c r="BX295" s="2131">
        <f t="shared" si="179"/>
        <v>1817.8959775000003</v>
      </c>
      <c r="BY295" s="2131">
        <f t="shared" si="180"/>
        <v>890.33515000000011</v>
      </c>
      <c r="BZ295" s="2131">
        <f t="shared" si="181"/>
        <v>0</v>
      </c>
      <c r="CA295" s="2131"/>
    </row>
    <row r="296" spans="1:90" outlineLevel="1">
      <c r="A296" s="2132" t="s">
        <v>939</v>
      </c>
      <c r="B296" s="2133"/>
      <c r="C296" s="2133"/>
      <c r="D296" s="2133"/>
      <c r="E296" s="2133"/>
      <c r="F296" s="2134"/>
      <c r="G296" s="2133"/>
      <c r="H296" s="2133"/>
      <c r="I296" s="2133"/>
      <c r="J296" s="2133"/>
      <c r="K296" s="2134"/>
      <c r="L296" s="2133"/>
      <c r="M296" s="2133"/>
      <c r="N296" s="2133"/>
      <c r="O296" s="2133"/>
      <c r="P296" s="2134"/>
      <c r="Q296" s="2133"/>
      <c r="R296" s="2133"/>
      <c r="S296" s="2133"/>
      <c r="T296" s="2133"/>
      <c r="U296" s="2134"/>
      <c r="V296" s="2133"/>
      <c r="W296" s="2133"/>
      <c r="X296" s="2133"/>
      <c r="Y296" s="2133"/>
      <c r="Z296" s="2134"/>
      <c r="AA296" s="2133"/>
      <c r="AB296" s="2133"/>
      <c r="AC296" s="2133"/>
      <c r="AD296" s="2133"/>
      <c r="AE296" s="2134">
        <f t="shared" ref="AE296:AM296" si="183">AE297-SUM(AE292:AE295)</f>
        <v>-941.91298690567055</v>
      </c>
      <c r="AF296" s="2133">
        <f t="shared" si="183"/>
        <v>-339.4054147743318</v>
      </c>
      <c r="AG296" s="2133">
        <f t="shared" si="183"/>
        <v>-30.774708551516596</v>
      </c>
      <c r="AH296" s="2133">
        <f t="shared" si="183"/>
        <v>-5.8464271695775096</v>
      </c>
      <c r="AI296" s="2133">
        <f t="shared" si="183"/>
        <v>263.7942871422747</v>
      </c>
      <c r="AJ296" s="2134">
        <f>AJ297-SUM(AJ292:AJ295)</f>
        <v>-112.23226335315485</v>
      </c>
      <c r="AK296" s="2133">
        <f t="shared" si="183"/>
        <v>-8.7131005463998008</v>
      </c>
      <c r="AL296" s="2133">
        <f t="shared" si="183"/>
        <v>434.97727869593928</v>
      </c>
      <c r="AM296" s="2133">
        <f t="shared" si="183"/>
        <v>43.485455775344235</v>
      </c>
      <c r="AN296" s="2133">
        <f>AN297-SUM(AN292:AN295)</f>
        <v>638.19761130452662</v>
      </c>
      <c r="AO296" s="2134">
        <f>SUM(AK296:AN296)</f>
        <v>1107.9472452294103</v>
      </c>
      <c r="AP296" s="2133">
        <f>AP297-SUM(AP292:AP295)</f>
        <v>-195.60501698211101</v>
      </c>
      <c r="AQ296" s="2133">
        <f>AQ297-SUM(AQ292:AQ295)</f>
        <v>122.6714169553652</v>
      </c>
      <c r="AR296" s="2133">
        <f>AR297-SUM(AR292:AR295)</f>
        <v>155.22875019720777</v>
      </c>
      <c r="AS296" s="2133">
        <f>AS297-SUM(AS292:AS295)</f>
        <v>219.63907563190696</v>
      </c>
      <c r="AT296" s="2134">
        <f>SUM(AP296:AS296)</f>
        <v>301.93422580236893</v>
      </c>
      <c r="AU296" s="2133">
        <f>AU200</f>
        <v>191.73247393138527</v>
      </c>
      <c r="AV296" s="2133">
        <f>AV200</f>
        <v>351.66516968118179</v>
      </c>
      <c r="AW296" s="2133">
        <f>AW200</f>
        <v>401.39493615498895</v>
      </c>
      <c r="AX296" s="2133">
        <f>AX200</f>
        <v>215.08894606678206</v>
      </c>
      <c r="AY296" s="2134">
        <f>SUM(AU296:AX296)</f>
        <v>1159.8815258343382</v>
      </c>
      <c r="AZ296" s="2133"/>
      <c r="BA296" s="2133"/>
      <c r="BB296" s="2133"/>
      <c r="BC296" s="2133"/>
      <c r="BD296" s="2134"/>
      <c r="BE296" s="2135"/>
      <c r="BF296" s="2135"/>
      <c r="BG296" s="2135"/>
      <c r="BH296" s="2135"/>
      <c r="BI296" s="3003"/>
      <c r="BJ296" s="3004"/>
      <c r="BK296" s="3004"/>
      <c r="BL296" s="3004"/>
      <c r="BM296" s="3004"/>
      <c r="BN296" s="3003"/>
      <c r="BO296" s="2974"/>
      <c r="BP296" s="2974"/>
      <c r="BQ296" s="2974"/>
      <c r="BR296" s="2974"/>
      <c r="BS296" s="2974"/>
      <c r="BT296" s="2120"/>
      <c r="BU296" s="2136"/>
      <c r="BV296" s="2136"/>
      <c r="BW296" s="2136">
        <f t="shared" si="178"/>
        <v>608.74946705312504</v>
      </c>
      <c r="BX296" s="2136">
        <f t="shared" si="179"/>
        <v>918.26546944168172</v>
      </c>
      <c r="BY296" s="2136">
        <f t="shared" si="180"/>
        <v>616.48388222177095</v>
      </c>
      <c r="BZ296" s="2136">
        <f t="shared" si="181"/>
        <v>0</v>
      </c>
      <c r="CA296" s="2136"/>
    </row>
    <row r="297" spans="1:90" outlineLevel="1">
      <c r="A297" s="2137" t="s">
        <v>0</v>
      </c>
      <c r="B297" s="2138"/>
      <c r="C297" s="2138"/>
      <c r="D297" s="2138"/>
      <c r="E297" s="2138"/>
      <c r="F297" s="2139"/>
      <c r="G297" s="2138"/>
      <c r="H297" s="2138"/>
      <c r="I297" s="2138"/>
      <c r="J297" s="2138"/>
      <c r="K297" s="2139"/>
      <c r="L297" s="2138"/>
      <c r="M297" s="2138"/>
      <c r="N297" s="2138"/>
      <c r="O297" s="2138"/>
      <c r="P297" s="2139"/>
      <c r="Q297" s="2138"/>
      <c r="R297" s="2138"/>
      <c r="S297" s="2138"/>
      <c r="T297" s="2138"/>
      <c r="U297" s="2139"/>
      <c r="V297" s="2138"/>
      <c r="W297" s="2138"/>
      <c r="X297" s="2138"/>
      <c r="Y297" s="2138"/>
      <c r="Z297" s="2139"/>
      <c r="AA297" s="2138">
        <f>'Rev Overview'!BA96</f>
        <v>5093</v>
      </c>
      <c r="AB297" s="2138">
        <f>'Rev Overview'!BB96</f>
        <v>4956</v>
      </c>
      <c r="AC297" s="2138">
        <f>'Rev Overview'!BC96</f>
        <v>4763</v>
      </c>
      <c r="AD297" s="2138">
        <f>'Rev Overview'!BD96</f>
        <v>4683</v>
      </c>
      <c r="AE297" s="2139">
        <f>'Rev Overview'!BE96</f>
        <v>19495</v>
      </c>
      <c r="AF297" s="2140">
        <f>'Rev Overview'!BF96</f>
        <v>4678</v>
      </c>
      <c r="AG297" s="2140">
        <f>'Rev Overview'!BG96</f>
        <v>5703</v>
      </c>
      <c r="AH297" s="2140">
        <f>'Rev Overview'!BH96</f>
        <v>4352</v>
      </c>
      <c r="AI297" s="2140">
        <f>'Rev Overview'!BI96</f>
        <v>4288</v>
      </c>
      <c r="AJ297" s="2139">
        <f>'Rev Overview'!BJ96</f>
        <v>19021</v>
      </c>
      <c r="AK297" s="2140">
        <f>'Rev Overview'!BK96</f>
        <v>4484</v>
      </c>
      <c r="AL297" s="2140">
        <f>'Rev Overview'!BL96</f>
        <v>5544</v>
      </c>
      <c r="AM297" s="2140">
        <f>'Rev Overview'!BM96</f>
        <v>4597</v>
      </c>
      <c r="AN297" s="2140">
        <f>'Rev Overview'!BN96</f>
        <v>4903</v>
      </c>
      <c r="AO297" s="2139">
        <f>SUM(AO292:AO296)</f>
        <v>19528</v>
      </c>
      <c r="AP297" s="2140">
        <f>'Rev Overview'!BP96</f>
        <v>4093</v>
      </c>
      <c r="AQ297" s="2140">
        <f>'Rev Overview'!BQ96</f>
        <v>4167</v>
      </c>
      <c r="AR297" s="2140">
        <f>'Rev Overview'!BR96</f>
        <v>3476</v>
      </c>
      <c r="AS297" s="2140">
        <f>'Rev Overview'!BS96</f>
        <v>3233</v>
      </c>
      <c r="AT297" s="2139">
        <f>SUM(AT292:AT296)</f>
        <v>14969.000000000004</v>
      </c>
      <c r="AU297" s="2140">
        <f t="shared" ref="AU297:AY297" si="184">SUM(AU292:AU296)</f>
        <v>3790.3482002918799</v>
      </c>
      <c r="AV297" s="2140">
        <f t="shared" si="184"/>
        <v>3443.0798253688363</v>
      </c>
      <c r="AW297" s="2140">
        <f t="shared" si="184"/>
        <v>2932.0119858799931</v>
      </c>
      <c r="AX297" s="2140">
        <f t="shared" si="184"/>
        <v>2969.7139252822776</v>
      </c>
      <c r="AY297" s="2139">
        <f t="shared" si="184"/>
        <v>13135.153936822986</v>
      </c>
      <c r="AZ297" s="2140"/>
      <c r="BA297" s="2140"/>
      <c r="BB297" s="2140"/>
      <c r="BC297" s="2140"/>
      <c r="BD297" s="2139"/>
      <c r="BE297" s="2140"/>
      <c r="BF297" s="2140"/>
      <c r="BG297" s="2140"/>
      <c r="BH297" s="2140"/>
      <c r="BI297" s="3005"/>
      <c r="BJ297" s="3006"/>
      <c r="BK297" s="3006"/>
      <c r="BL297" s="3006"/>
      <c r="BM297" s="3006"/>
      <c r="BN297" s="3005"/>
      <c r="BO297" s="3007"/>
      <c r="BP297" s="3007"/>
      <c r="BQ297" s="3007"/>
      <c r="BR297" s="3007"/>
      <c r="BS297" s="3007"/>
      <c r="BT297" s="2120"/>
      <c r="BU297" s="2139"/>
      <c r="BV297" s="2139"/>
      <c r="BW297" s="2139">
        <f t="shared" si="178"/>
        <v>17760</v>
      </c>
      <c r="BX297" s="2139">
        <f t="shared" si="179"/>
        <v>13942.428025660716</v>
      </c>
      <c r="BY297" s="2139">
        <f t="shared" si="180"/>
        <v>5901.7259111622707</v>
      </c>
      <c r="BZ297" s="2139">
        <f t="shared" si="181"/>
        <v>0</v>
      </c>
      <c r="CA297" s="2139"/>
    </row>
    <row r="298" spans="1:90" ht="6.75" customHeight="1" outlineLevel="1">
      <c r="A298" s="2120"/>
      <c r="B298" s="2141"/>
      <c r="C298" s="2141"/>
      <c r="D298" s="2141"/>
      <c r="E298" s="2141"/>
      <c r="F298" s="2142"/>
      <c r="G298" s="2141"/>
      <c r="H298" s="2141"/>
      <c r="I298" s="2141"/>
      <c r="J298" s="2141"/>
      <c r="K298" s="2142"/>
      <c r="L298" s="2141"/>
      <c r="M298" s="2141"/>
      <c r="N298" s="2141"/>
      <c r="O298" s="2141"/>
      <c r="P298" s="2142"/>
      <c r="Q298" s="2141"/>
      <c r="R298" s="2141"/>
      <c r="S298" s="2141"/>
      <c r="T298" s="2141"/>
      <c r="U298" s="2142"/>
      <c r="V298" s="2141"/>
      <c r="W298" s="2141"/>
      <c r="X298" s="2141"/>
      <c r="Y298" s="2141"/>
      <c r="Z298" s="2142"/>
      <c r="AA298" s="2141"/>
      <c r="AB298" s="2141"/>
      <c r="AC298" s="2141"/>
      <c r="AD298" s="2141"/>
      <c r="AE298" s="2142"/>
      <c r="AF298" s="2143"/>
      <c r="AG298" s="2120"/>
      <c r="AH298" s="2120"/>
      <c r="AI298" s="2120"/>
      <c r="AJ298" s="2128"/>
      <c r="AK298" s="2120"/>
      <c r="AL298" s="2144"/>
      <c r="AM298" s="2120"/>
      <c r="AN298" s="2120"/>
      <c r="AO298" s="2142"/>
      <c r="AP298" s="2120"/>
      <c r="AQ298" s="2120"/>
      <c r="AR298" s="2120"/>
      <c r="AS298" s="2120"/>
      <c r="AT298" s="2142"/>
      <c r="AU298" s="2120"/>
      <c r="AV298" s="2120"/>
      <c r="AW298" s="2120"/>
      <c r="AX298" s="2120"/>
      <c r="AY298" s="2142"/>
      <c r="AZ298" s="2120"/>
      <c r="BA298" s="2120"/>
      <c r="BB298" s="2120"/>
      <c r="BC298" s="2120"/>
      <c r="BD298" s="2142"/>
      <c r="BE298" s="2120"/>
      <c r="BF298" s="2120"/>
      <c r="BG298" s="2120"/>
      <c r="BH298" s="2120"/>
      <c r="BI298" s="2977"/>
      <c r="BJ298" s="2998"/>
      <c r="BK298" s="2998"/>
      <c r="BL298" s="2998"/>
      <c r="BM298" s="2998"/>
      <c r="BN298" s="2977"/>
      <c r="BO298" s="2980"/>
      <c r="BP298" s="2980"/>
      <c r="BQ298" s="2980"/>
      <c r="BR298" s="2980"/>
      <c r="BS298" s="2980"/>
      <c r="BT298" s="2120"/>
      <c r="BU298" s="2145"/>
      <c r="BV298" s="2145"/>
      <c r="BW298" s="2145"/>
      <c r="BX298" s="2145"/>
      <c r="BY298" s="2145"/>
      <c r="BZ298" s="2145"/>
      <c r="CA298" s="2145"/>
    </row>
    <row r="299" spans="1:90" outlineLevel="1">
      <c r="A299" s="2121" t="s">
        <v>998</v>
      </c>
      <c r="B299" s="2122"/>
      <c r="C299" s="2122"/>
      <c r="D299" s="2122"/>
      <c r="E299" s="2122"/>
      <c r="F299" s="2123"/>
      <c r="G299" s="2122"/>
      <c r="H299" s="2122"/>
      <c r="I299" s="2122"/>
      <c r="J299" s="2122"/>
      <c r="K299" s="2123"/>
      <c r="L299" s="2122"/>
      <c r="M299" s="2122"/>
      <c r="N299" s="2122"/>
      <c r="O299" s="2122"/>
      <c r="P299" s="2123"/>
      <c r="Q299" s="2122"/>
      <c r="R299" s="2122"/>
      <c r="S299" s="2122"/>
      <c r="T299" s="2122"/>
      <c r="U299" s="2123"/>
      <c r="V299" s="2122"/>
      <c r="W299" s="2122"/>
      <c r="X299" s="2122"/>
      <c r="Y299" s="2122"/>
      <c r="Z299" s="2123"/>
      <c r="AA299" s="2122"/>
      <c r="AB299" s="2122"/>
      <c r="AC299" s="2122"/>
      <c r="AD299" s="2122"/>
      <c r="AE299" s="2123"/>
      <c r="AF299" s="2124"/>
      <c r="AG299" s="2122"/>
      <c r="AH299" s="2122"/>
      <c r="AI299" s="2122"/>
      <c r="AJ299" s="2123"/>
      <c r="AK299" s="2125"/>
      <c r="AL299" s="2122"/>
      <c r="AM299" s="2122"/>
      <c r="AN299" s="2122"/>
      <c r="AO299" s="2123"/>
      <c r="AP299" s="2122"/>
      <c r="AQ299" s="2122"/>
      <c r="AR299" s="2122"/>
      <c r="AS299" s="2122"/>
      <c r="AT299" s="2123"/>
      <c r="AU299" s="2122"/>
      <c r="AV299" s="2122"/>
      <c r="AW299" s="2122"/>
      <c r="AX299" s="2122"/>
      <c r="AY299" s="2123"/>
      <c r="AZ299" s="2122"/>
      <c r="BA299" s="2122"/>
      <c r="BB299" s="2122"/>
      <c r="BC299" s="2122"/>
      <c r="BD299" s="2123"/>
      <c r="BE299" s="2122"/>
      <c r="BF299" s="2122"/>
      <c r="BG299" s="2122"/>
      <c r="BH299" s="2122"/>
      <c r="BI299" s="2915"/>
      <c r="BJ299" s="2917"/>
      <c r="BK299" s="2917"/>
      <c r="BL299" s="2917"/>
      <c r="BM299" s="2917"/>
      <c r="BN299" s="2915"/>
      <c r="BO299" s="2955"/>
      <c r="BP299" s="2955"/>
      <c r="BQ299" s="2955"/>
      <c r="BR299" s="2955"/>
      <c r="BS299" s="2955"/>
      <c r="BT299" s="2120"/>
      <c r="BU299" s="2123"/>
      <c r="BV299" s="2123"/>
      <c r="BW299" s="2123"/>
      <c r="BX299" s="2123"/>
      <c r="BY299" s="2123"/>
      <c r="BZ299" s="2123"/>
      <c r="CA299" s="2123"/>
    </row>
    <row r="300" spans="1:90" outlineLevel="1">
      <c r="A300" s="2126" t="s">
        <v>943</v>
      </c>
      <c r="B300" s="2127"/>
      <c r="C300" s="2127"/>
      <c r="D300" s="2127"/>
      <c r="E300" s="2127"/>
      <c r="F300" s="2128"/>
      <c r="G300" s="2127"/>
      <c r="H300" s="2127"/>
      <c r="I300" s="2127"/>
      <c r="J300" s="2127"/>
      <c r="K300" s="2128"/>
      <c r="L300" s="2127"/>
      <c r="M300" s="2127"/>
      <c r="N300" s="2127"/>
      <c r="O300" s="2127"/>
      <c r="P300" s="2128"/>
      <c r="Q300" s="2127"/>
      <c r="R300" s="2127"/>
      <c r="S300" s="2127"/>
      <c r="T300" s="2127"/>
      <c r="U300" s="2128"/>
      <c r="V300" s="2127"/>
      <c r="W300" s="2127"/>
      <c r="X300" s="2127"/>
      <c r="Y300" s="2127"/>
      <c r="Z300" s="2128"/>
      <c r="AA300" s="2127"/>
      <c r="AB300" s="2127"/>
      <c r="AC300" s="2127"/>
      <c r="AD300" s="2146"/>
      <c r="AE300" s="2128">
        <f>'Client Unit Model'!CF177</f>
        <v>6.3765282141968083E-2</v>
      </c>
      <c r="AF300" s="2129">
        <f>'Client Unit Model'!AJ182</f>
        <v>0</v>
      </c>
      <c r="AG300" s="2129">
        <f>'Client Unit Model'!AK182</f>
        <v>165.56890636296777</v>
      </c>
      <c r="AH300" s="2129">
        <f>'Client Unit Model'!AL182</f>
        <v>212.77360002013958</v>
      </c>
      <c r="AI300" s="2129">
        <f>'Client Unit Model'!AM182</f>
        <v>160.00932453664399</v>
      </c>
      <c r="AJ300" s="2128">
        <f>SUM(AF300:AI300)</f>
        <v>538.35183091975136</v>
      </c>
      <c r="AK300" s="2129">
        <f>'Client Unit Model'!AN182</f>
        <v>372.98333333333329</v>
      </c>
      <c r="AL300" s="2129">
        <f>'Client Unit Model'!AO182</f>
        <v>553.00063766984226</v>
      </c>
      <c r="AM300" s="2129">
        <f>'Client Unit Model'!AP182</f>
        <v>428.93333333333339</v>
      </c>
      <c r="AN300" s="2129">
        <f>'Client Unit Model'!AQ182</f>
        <v>321.55</v>
      </c>
      <c r="AO300" s="2128">
        <f>SUM(AK300:AN300)</f>
        <v>1676.467304336509</v>
      </c>
      <c r="AP300" s="2129">
        <f>'Client Unit Model'!AR182</f>
        <v>857.44</v>
      </c>
      <c r="AQ300" s="2129">
        <f>'Client Unit Model'!AS182</f>
        <v>813.16</v>
      </c>
      <c r="AR300" s="2129">
        <f>'Client Unit Model'!AT182</f>
        <v>515.69166666666672</v>
      </c>
      <c r="AS300" s="2129">
        <f>'Client Unit Model'!AU182</f>
        <v>651.4</v>
      </c>
      <c r="AT300" s="2128">
        <f>SUM(AP300:AS300)</f>
        <v>2837.6916666666666</v>
      </c>
      <c r="AU300" s="2129">
        <f>AU158</f>
        <v>672</v>
      </c>
      <c r="AV300" s="2129">
        <f>AV158</f>
        <v>1352</v>
      </c>
      <c r="AW300" s="2129">
        <f>AW158</f>
        <v>1111</v>
      </c>
      <c r="AX300" s="2129">
        <f>AX158</f>
        <v>965</v>
      </c>
      <c r="AY300" s="2128">
        <f>SUM(AU300:AX300)</f>
        <v>4100</v>
      </c>
      <c r="AZ300" s="2129"/>
      <c r="BA300" s="2129"/>
      <c r="BB300" s="2129"/>
      <c r="BC300" s="2129"/>
      <c r="BD300" s="2128"/>
      <c r="BE300" s="2130"/>
      <c r="BF300" s="2130"/>
      <c r="BG300" s="2130"/>
      <c r="BH300" s="2130"/>
      <c r="BI300" s="2918"/>
      <c r="BJ300" s="2925"/>
      <c r="BK300" s="2925"/>
      <c r="BL300" s="2925"/>
      <c r="BM300" s="2925"/>
      <c r="BN300" s="2918"/>
      <c r="BO300" s="2974"/>
      <c r="BP300" s="2974"/>
      <c r="BQ300" s="2974"/>
      <c r="BR300" s="2974"/>
      <c r="BS300" s="2974"/>
      <c r="BT300" s="2120"/>
      <c r="BU300" s="2131"/>
      <c r="BV300" s="2131"/>
      <c r="BW300" s="2131">
        <f>SUM(AM300:AN300,AP300:AQ300)</f>
        <v>2421.0833333333335</v>
      </c>
      <c r="BX300" s="2131">
        <f>SUM(AR300:AS300,AU300:AV300)</f>
        <v>3191.0916666666667</v>
      </c>
      <c r="BY300" s="2131">
        <f>SUM(AW300:AX300,AZ300:BA300)</f>
        <v>2076</v>
      </c>
      <c r="BZ300" s="2131">
        <f>SUM(BB300:BC300,BE300:BF300)</f>
        <v>0</v>
      </c>
      <c r="CA300" s="2131"/>
    </row>
    <row r="301" spans="1:90" outlineLevel="1">
      <c r="A301" s="2120" t="s">
        <v>280</v>
      </c>
      <c r="B301" s="2127"/>
      <c r="C301" s="2127"/>
      <c r="D301" s="2127"/>
      <c r="E301" s="2127"/>
      <c r="F301" s="2128"/>
      <c r="G301" s="2127"/>
      <c r="H301" s="2127"/>
      <c r="I301" s="2127"/>
      <c r="J301" s="2127"/>
      <c r="K301" s="2128"/>
      <c r="L301" s="2127"/>
      <c r="M301" s="2127"/>
      <c r="N301" s="2127"/>
      <c r="O301" s="2127"/>
      <c r="P301" s="2128"/>
      <c r="Q301" s="2127"/>
      <c r="R301" s="2127"/>
      <c r="S301" s="2127"/>
      <c r="T301" s="2127"/>
      <c r="U301" s="2128"/>
      <c r="V301" s="2127"/>
      <c r="W301" s="2127"/>
      <c r="X301" s="2127"/>
      <c r="Y301" s="2127"/>
      <c r="Z301" s="2128"/>
      <c r="AA301" s="2127"/>
      <c r="AB301" s="2127"/>
      <c r="AC301" s="2127"/>
      <c r="AD301" s="2127"/>
      <c r="AE301" s="2128">
        <f>AE302+AE303</f>
        <v>6739.9362347178576</v>
      </c>
      <c r="AF301" s="2129">
        <f>SUM(AF302:AF303)</f>
        <v>1084</v>
      </c>
      <c r="AG301" s="2129">
        <f>SUM(AG302:AG303)</f>
        <v>2642.4310936370321</v>
      </c>
      <c r="AH301" s="2129">
        <f>SUM(AH302:AH303)</f>
        <v>1189.2263999798604</v>
      </c>
      <c r="AI301" s="2129">
        <f>SUM(AI302:AI303)</f>
        <v>1006.990675463356</v>
      </c>
      <c r="AJ301" s="2128">
        <f>SUM(AF301:AI301)</f>
        <v>5922.6481690802484</v>
      </c>
      <c r="AK301" s="2129">
        <f>AK304-AK300</f>
        <v>1036.0166666666667</v>
      </c>
      <c r="AL301" s="2129">
        <f>AL304-AL300</f>
        <v>3916.999362330158</v>
      </c>
      <c r="AM301" s="2129">
        <f>AM304-AM300</f>
        <v>1443.0666666666666</v>
      </c>
      <c r="AN301" s="2129">
        <f>AN304-AN300</f>
        <v>1020.45</v>
      </c>
      <c r="AO301" s="2128">
        <f>SUM(AK301:AN301)</f>
        <v>7416.5326956634908</v>
      </c>
      <c r="AP301" s="2129">
        <f>SUM(AP302:AP303)</f>
        <v>1595.56</v>
      </c>
      <c r="AQ301" s="2129">
        <f>SUM(AQ302:AQ303)</f>
        <v>3183.84</v>
      </c>
      <c r="AR301" s="2129">
        <f>SUM(AR302:AR303)</f>
        <v>1284.3083333333334</v>
      </c>
      <c r="AS301" s="2129">
        <f>SUM(AS302:AS303)</f>
        <v>1281.5999999999999</v>
      </c>
      <c r="AT301" s="2128">
        <f>SUM(AP301:AS301)</f>
        <v>7345.3083333333325</v>
      </c>
      <c r="AU301" s="2129">
        <f>SUM(AU302:AU303)</f>
        <v>872.01625000000001</v>
      </c>
      <c r="AV301" s="2129">
        <f>SUM(AV302:AV303)</f>
        <v>2523.8625000000002</v>
      </c>
      <c r="AW301" s="2129">
        <f>SUM(AW302:AW303)</f>
        <v>456.46226367187563</v>
      </c>
      <c r="AX301" s="2129">
        <f>SUM(AX302:AX303)</f>
        <v>247.90350683593775</v>
      </c>
      <c r="AY301" s="2128">
        <f>SUM(AU301:AX301)</f>
        <v>4100.2445205078138</v>
      </c>
      <c r="AZ301" s="2129"/>
      <c r="BA301" s="2129"/>
      <c r="BB301" s="2129"/>
      <c r="BC301" s="2129"/>
      <c r="BD301" s="2128"/>
      <c r="BE301" s="2130"/>
      <c r="BF301" s="2130"/>
      <c r="BG301" s="2130"/>
      <c r="BH301" s="2130"/>
      <c r="BI301" s="2918"/>
      <c r="BJ301" s="2925"/>
      <c r="BK301" s="2925"/>
      <c r="BL301" s="2925"/>
      <c r="BM301" s="2925"/>
      <c r="BN301" s="2918"/>
      <c r="BO301" s="2974"/>
      <c r="BP301" s="2974"/>
      <c r="BQ301" s="2974"/>
      <c r="BR301" s="2974"/>
      <c r="BS301" s="2974"/>
      <c r="BT301" s="2120"/>
      <c r="BU301" s="2131"/>
      <c r="BV301" s="2131"/>
      <c r="BW301" s="2131">
        <f>SUM(AM301:AN301,AP301:AQ301)</f>
        <v>7242.9166666666661</v>
      </c>
      <c r="BX301" s="2131">
        <f>SUM(AR301:AS301,AU301:AV301)</f>
        <v>5961.7870833333336</v>
      </c>
      <c r="BY301" s="2131">
        <f>SUM(AW301:AX301,AZ301:BA301)</f>
        <v>704.36577050781341</v>
      </c>
      <c r="BZ301" s="2131">
        <f>SUM(BB301:BC301,BE301:BF301)</f>
        <v>0</v>
      </c>
      <c r="CA301" s="2131"/>
    </row>
    <row r="302" spans="1:90" s="1006" customFormat="1" outlineLevel="1">
      <c r="A302" s="2147" t="s">
        <v>259</v>
      </c>
      <c r="B302" s="2148"/>
      <c r="C302" s="2148"/>
      <c r="D302" s="2148"/>
      <c r="E302" s="2148"/>
      <c r="F302" s="2149"/>
      <c r="G302" s="2148"/>
      <c r="H302" s="2148"/>
      <c r="I302" s="2148"/>
      <c r="J302" s="2148"/>
      <c r="K302" s="2149"/>
      <c r="L302" s="2148"/>
      <c r="M302" s="2148"/>
      <c r="N302" s="2148"/>
      <c r="O302" s="2148"/>
      <c r="P302" s="2149"/>
      <c r="Q302" s="2148"/>
      <c r="R302" s="2148"/>
      <c r="S302" s="2148"/>
      <c r="T302" s="2148"/>
      <c r="U302" s="2149"/>
      <c r="V302" s="2148"/>
      <c r="W302" s="2148"/>
      <c r="X302" s="2148"/>
      <c r="Y302" s="2148"/>
      <c r="Z302" s="2149"/>
      <c r="AA302" s="2148"/>
      <c r="AB302" s="2148"/>
      <c r="AC302" s="2148"/>
      <c r="AD302" s="2148"/>
      <c r="AE302" s="2149">
        <v>650</v>
      </c>
      <c r="AF302" s="2150">
        <v>150</v>
      </c>
      <c r="AG302" s="2150">
        <v>300</v>
      </c>
      <c r="AH302" s="2150">
        <v>50</v>
      </c>
      <c r="AI302" s="2150">
        <v>50</v>
      </c>
      <c r="AJ302" s="2149">
        <f>SUM(AF302:AI302)</f>
        <v>550</v>
      </c>
      <c r="AK302" s="2150">
        <v>225</v>
      </c>
      <c r="AL302" s="2150">
        <f>AL301-AL303</f>
        <v>374.5682686931259</v>
      </c>
      <c r="AM302" s="2150">
        <v>50</v>
      </c>
      <c r="AN302" s="2150">
        <v>50</v>
      </c>
      <c r="AO302" s="2149">
        <f>SUM(AK302:AN302)</f>
        <v>699.5682686931259</v>
      </c>
      <c r="AP302" s="2150">
        <v>191.25</v>
      </c>
      <c r="AQ302" s="2150">
        <v>158.74558613519366</v>
      </c>
      <c r="AR302" s="2150">
        <f>AM302*0.5</f>
        <v>25</v>
      </c>
      <c r="AS302" s="2150">
        <f>AN302*0.75</f>
        <v>37.5</v>
      </c>
      <c r="AT302" s="2128">
        <f>SUM(AP302:AS302)</f>
        <v>412.49558613519366</v>
      </c>
      <c r="AU302" s="2150">
        <f>AU178</f>
        <v>32.5</v>
      </c>
      <c r="AV302" s="2150">
        <f>AV178</f>
        <v>33</v>
      </c>
      <c r="AW302" s="2150">
        <f>AW178</f>
        <v>25.431013671875576</v>
      </c>
      <c r="AX302" s="2150">
        <f>AX178</f>
        <v>12.715506835937788</v>
      </c>
      <c r="AY302" s="2128">
        <f>SUM(AU302:AX302)</f>
        <v>103.64652050781336</v>
      </c>
      <c r="AZ302" s="2150"/>
      <c r="BA302" s="2150"/>
      <c r="BB302" s="2150"/>
      <c r="BC302" s="2150"/>
      <c r="BD302" s="2128"/>
      <c r="BE302" s="2150"/>
      <c r="BF302" s="2150"/>
      <c r="BG302" s="2150"/>
      <c r="BH302" s="2150"/>
      <c r="BI302" s="2918"/>
      <c r="BJ302" s="2921"/>
      <c r="BK302" s="2921"/>
      <c r="BL302" s="2921"/>
      <c r="BM302" s="2921"/>
      <c r="BN302" s="2918"/>
      <c r="BO302" s="2974"/>
      <c r="BP302" s="2974"/>
      <c r="BQ302" s="2974"/>
      <c r="BR302" s="2974"/>
      <c r="BS302" s="2974"/>
      <c r="BT302" s="2147"/>
      <c r="BU302" s="2131"/>
      <c r="BV302" s="2131"/>
      <c r="BW302" s="2131">
        <f>SUM(AM302:AN302,AP302:AQ302)</f>
        <v>449.99558613519366</v>
      </c>
      <c r="BX302" s="2131">
        <f>SUM(AR302:AS302,AU302:AV302)</f>
        <v>128</v>
      </c>
      <c r="BY302" s="2131">
        <f>SUM(AW302:AX302,AZ302:BA302)</f>
        <v>38.146520507813364</v>
      </c>
      <c r="BZ302" s="2131">
        <f>SUM(BB302:BC302,BE302:BF302)</f>
        <v>0</v>
      </c>
      <c r="CA302" s="2131"/>
    </row>
    <row r="303" spans="1:90" s="1006" customFormat="1" outlineLevel="1">
      <c r="A303" s="2151" t="s">
        <v>260</v>
      </c>
      <c r="B303" s="2152"/>
      <c r="C303" s="2152"/>
      <c r="D303" s="2152"/>
      <c r="E303" s="2152"/>
      <c r="F303" s="2153"/>
      <c r="G303" s="2152"/>
      <c r="H303" s="2152"/>
      <c r="I303" s="2152"/>
      <c r="J303" s="2152"/>
      <c r="K303" s="2153"/>
      <c r="L303" s="2152"/>
      <c r="M303" s="2152"/>
      <c r="N303" s="2152"/>
      <c r="O303" s="2152"/>
      <c r="P303" s="2153"/>
      <c r="Q303" s="2152"/>
      <c r="R303" s="2152"/>
      <c r="S303" s="2152"/>
      <c r="T303" s="2152"/>
      <c r="U303" s="2153"/>
      <c r="V303" s="2152"/>
      <c r="W303" s="2152"/>
      <c r="X303" s="2152"/>
      <c r="Y303" s="2152"/>
      <c r="Z303" s="2153"/>
      <c r="AA303" s="2152"/>
      <c r="AB303" s="2152"/>
      <c r="AC303" s="2152"/>
      <c r="AD303" s="2152"/>
      <c r="AE303" s="2153">
        <f>AE304-SUM(AE302,AE300)</f>
        <v>6089.9362347178576</v>
      </c>
      <c r="AF303" s="2152">
        <f>AF304-AF302-AF300</f>
        <v>934</v>
      </c>
      <c r="AG303" s="2152">
        <f>AG304-AG302-AG300</f>
        <v>2342.4310936370321</v>
      </c>
      <c r="AH303" s="2152">
        <f>AH304-AH302-AH300</f>
        <v>1139.2263999798604</v>
      </c>
      <c r="AI303" s="2152">
        <f>AI304-AI302-AI300</f>
        <v>956.99067546335596</v>
      </c>
      <c r="AJ303" s="2153">
        <f>SUM(AF303:AI303)</f>
        <v>5372.6481690802484</v>
      </c>
      <c r="AK303" s="2152">
        <f>AK304-AK302-AK300</f>
        <v>811.01666666666665</v>
      </c>
      <c r="AL303" s="2152">
        <f>AG303+1200</f>
        <v>3542.4310936370321</v>
      </c>
      <c r="AM303" s="2152">
        <f>AM304-AM302-AM300</f>
        <v>1393.0666666666666</v>
      </c>
      <c r="AN303" s="2152">
        <f>AN304-AN302-AN300</f>
        <v>970.45</v>
      </c>
      <c r="AO303" s="2153">
        <f>SUM(AK303:AN303)</f>
        <v>6716.9644269703649</v>
      </c>
      <c r="AP303" s="2152">
        <f>AP304-AP302-AP300</f>
        <v>1404.31</v>
      </c>
      <c r="AQ303" s="2152">
        <f>AQ304-AQ302-AQ300</f>
        <v>3025.0944138648065</v>
      </c>
      <c r="AR303" s="2152">
        <f>AR304-AR302-AR300</f>
        <v>1259.3083333333334</v>
      </c>
      <c r="AS303" s="2152">
        <f>AS304-AS302-AS300</f>
        <v>1244.0999999999999</v>
      </c>
      <c r="AT303" s="2153">
        <f>SUM(AP303:AS303)</f>
        <v>6932.8127471981388</v>
      </c>
      <c r="AU303" s="2152">
        <f>AU175</f>
        <v>839.51625000000001</v>
      </c>
      <c r="AV303" s="2152">
        <f>AV175</f>
        <v>2490.8625000000002</v>
      </c>
      <c r="AW303" s="2152">
        <f>AW175</f>
        <v>431.03125000000006</v>
      </c>
      <c r="AX303" s="2152">
        <f>AX175</f>
        <v>235.18799999999996</v>
      </c>
      <c r="AY303" s="2153">
        <f>SUM(AU303:AX303)</f>
        <v>3996.5980000000004</v>
      </c>
      <c r="AZ303" s="2152"/>
      <c r="BA303" s="2152"/>
      <c r="BB303" s="2152"/>
      <c r="BC303" s="2152"/>
      <c r="BD303" s="2153"/>
      <c r="BE303" s="2152"/>
      <c r="BF303" s="2152"/>
      <c r="BG303" s="2152"/>
      <c r="BH303" s="2152"/>
      <c r="BI303" s="2922"/>
      <c r="BJ303" s="2923"/>
      <c r="BK303" s="2923"/>
      <c r="BL303" s="2923"/>
      <c r="BM303" s="2923"/>
      <c r="BN303" s="2922"/>
      <c r="BO303" s="2944"/>
      <c r="BP303" s="2944"/>
      <c r="BQ303" s="2944"/>
      <c r="BR303" s="2944"/>
      <c r="BS303" s="2944"/>
      <c r="BT303" s="2147"/>
      <c r="BU303" s="2153"/>
      <c r="BV303" s="2153"/>
      <c r="BW303" s="2153">
        <f>SUM(AM303:AN303,AP303:AQ303)</f>
        <v>6792.9210805314724</v>
      </c>
      <c r="BX303" s="2153">
        <f>SUM(AR303:AS303,AU303:AV303)</f>
        <v>5833.7870833333336</v>
      </c>
      <c r="BY303" s="2153">
        <f>SUM(AW303:AX303,AZ303:BA303)</f>
        <v>666.21924999999999</v>
      </c>
      <c r="BZ303" s="2153">
        <f>SUM(BB303:BC303,BE303:BF303)</f>
        <v>0</v>
      </c>
      <c r="CA303" s="2153"/>
    </row>
    <row r="304" spans="1:90" outlineLevel="1">
      <c r="A304" s="2137" t="s">
        <v>0</v>
      </c>
      <c r="B304" s="2138"/>
      <c r="C304" s="2138"/>
      <c r="D304" s="2138"/>
      <c r="E304" s="2138"/>
      <c r="F304" s="2139"/>
      <c r="G304" s="2138"/>
      <c r="H304" s="2138"/>
      <c r="I304" s="2138"/>
      <c r="J304" s="2138"/>
      <c r="K304" s="2139"/>
      <c r="L304" s="2138"/>
      <c r="M304" s="2138"/>
      <c r="N304" s="2138"/>
      <c r="O304" s="2138"/>
      <c r="P304" s="2139"/>
      <c r="Q304" s="2138"/>
      <c r="R304" s="2138"/>
      <c r="S304" s="2138"/>
      <c r="T304" s="2138"/>
      <c r="U304" s="2139"/>
      <c r="V304" s="2138"/>
      <c r="W304" s="2138"/>
      <c r="X304" s="2138"/>
      <c r="Y304" s="2138"/>
      <c r="Z304" s="2139"/>
      <c r="AA304" s="2138">
        <f>'Rev Overview'!BA101</f>
        <v>1366</v>
      </c>
      <c r="AB304" s="2138">
        <f>'Rev Overview'!BB101</f>
        <v>3415</v>
      </c>
      <c r="AC304" s="2138">
        <f>'Rev Overview'!BC101</f>
        <v>953</v>
      </c>
      <c r="AD304" s="2138">
        <f>'Rev Overview'!BD101</f>
        <v>1006</v>
      </c>
      <c r="AE304" s="2139">
        <f>'Rev Overview'!BE101</f>
        <v>6740</v>
      </c>
      <c r="AF304" s="2140">
        <f>'Rev Overview'!BF101</f>
        <v>1084</v>
      </c>
      <c r="AG304" s="2140">
        <f>'Rev Overview'!BG101</f>
        <v>2808</v>
      </c>
      <c r="AH304" s="2140">
        <f>'Rev Overview'!BH101</f>
        <v>1402</v>
      </c>
      <c r="AI304" s="2140">
        <f>'Rev Overview'!BI101</f>
        <v>1167</v>
      </c>
      <c r="AJ304" s="2139">
        <f>'Rev Overview'!BJ101</f>
        <v>6461</v>
      </c>
      <c r="AK304" s="2140">
        <f>'Rev Overview'!BK101</f>
        <v>1409</v>
      </c>
      <c r="AL304" s="2140">
        <f>'Rev Overview'!BL101</f>
        <v>4470</v>
      </c>
      <c r="AM304" s="2140">
        <f>'Rev Overview'!BM101</f>
        <v>1872</v>
      </c>
      <c r="AN304" s="2140">
        <f>'Rev Overview'!BN101</f>
        <v>1342</v>
      </c>
      <c r="AO304" s="2139">
        <f t="shared" ref="AO304:AY304" si="185">SUM(AO300:AO301)</f>
        <v>9093</v>
      </c>
      <c r="AP304" s="2140">
        <f>'Rev Overview'!BP101</f>
        <v>2453</v>
      </c>
      <c r="AQ304" s="2140">
        <f>'Rev Overview'!BQ101</f>
        <v>3997</v>
      </c>
      <c r="AR304" s="2140">
        <f>'Rev Overview'!BR101</f>
        <v>1800</v>
      </c>
      <c r="AS304" s="2140">
        <f>'Rev Overview'!BS101</f>
        <v>1933</v>
      </c>
      <c r="AT304" s="2154">
        <f t="shared" si="185"/>
        <v>10183</v>
      </c>
      <c r="AU304" s="2140">
        <f t="shared" si="185"/>
        <v>1544.0162500000001</v>
      </c>
      <c r="AV304" s="2140">
        <f t="shared" si="185"/>
        <v>3875.8625000000002</v>
      </c>
      <c r="AW304" s="2140">
        <f t="shared" si="185"/>
        <v>1567.4622636718757</v>
      </c>
      <c r="AX304" s="2140">
        <f t="shared" si="185"/>
        <v>1212.9035068359378</v>
      </c>
      <c r="AY304" s="2154">
        <f t="shared" si="185"/>
        <v>8200.2445205078147</v>
      </c>
      <c r="AZ304" s="2140"/>
      <c r="BA304" s="2140"/>
      <c r="BB304" s="2140"/>
      <c r="BC304" s="2140"/>
      <c r="BD304" s="2154"/>
      <c r="BE304" s="2140"/>
      <c r="BF304" s="2140"/>
      <c r="BG304" s="2140"/>
      <c r="BH304" s="2140"/>
      <c r="BI304" s="3008"/>
      <c r="BJ304" s="3006"/>
      <c r="BK304" s="3006"/>
      <c r="BL304" s="3006"/>
      <c r="BM304" s="3006"/>
      <c r="BN304" s="3008"/>
      <c r="BO304" s="3007"/>
      <c r="BP304" s="3007"/>
      <c r="BQ304" s="3007"/>
      <c r="BR304" s="3007"/>
      <c r="BS304" s="3007"/>
      <c r="BT304" s="2120"/>
      <c r="BU304" s="2154"/>
      <c r="BV304" s="2154"/>
      <c r="BW304" s="2154">
        <f>SUM(AM304:AN304,AP304:AQ304)</f>
        <v>9664</v>
      </c>
      <c r="BX304" s="2154">
        <f>SUM(AR304:AS304,AU304:AV304)</f>
        <v>9152.8787499999999</v>
      </c>
      <c r="BY304" s="2154">
        <f>SUM(AW304:AX304,AZ304:BA304)</f>
        <v>2780.3657705078135</v>
      </c>
      <c r="BZ304" s="2154">
        <f>SUM(BB304:BC304,BE304:BF304)</f>
        <v>0</v>
      </c>
      <c r="CA304" s="2154"/>
    </row>
    <row r="305" spans="1:79" ht="6.75" customHeight="1" outlineLevel="1">
      <c r="A305" s="2120"/>
      <c r="B305" s="2127"/>
      <c r="C305" s="2127"/>
      <c r="D305" s="2127"/>
      <c r="E305" s="2127"/>
      <c r="F305" s="2128"/>
      <c r="G305" s="2127"/>
      <c r="H305" s="2127"/>
      <c r="I305" s="2127"/>
      <c r="J305" s="2127"/>
      <c r="K305" s="2128"/>
      <c r="L305" s="2127"/>
      <c r="M305" s="2127"/>
      <c r="N305" s="2127"/>
      <c r="O305" s="2127"/>
      <c r="P305" s="2128"/>
      <c r="Q305" s="2127"/>
      <c r="R305" s="2127"/>
      <c r="S305" s="2127"/>
      <c r="T305" s="2127"/>
      <c r="U305" s="2128"/>
      <c r="V305" s="2127"/>
      <c r="W305" s="2127"/>
      <c r="X305" s="2127"/>
      <c r="Y305" s="2127"/>
      <c r="Z305" s="2128"/>
      <c r="AA305" s="2127"/>
      <c r="AB305" s="2127"/>
      <c r="AC305" s="2127"/>
      <c r="AD305" s="2127"/>
      <c r="AE305" s="2128"/>
      <c r="AF305" s="2155"/>
      <c r="AG305" s="2156"/>
      <c r="AH305" s="2157"/>
      <c r="AI305" s="2156"/>
      <c r="AJ305" s="2128"/>
      <c r="AK305" s="2156"/>
      <c r="AL305" s="2157"/>
      <c r="AM305" s="2157"/>
      <c r="AN305" s="2156"/>
      <c r="AO305" s="2158"/>
      <c r="AP305" s="2156"/>
      <c r="AQ305" s="2156"/>
      <c r="AR305" s="2156"/>
      <c r="AS305" s="2156"/>
      <c r="AT305" s="2158"/>
      <c r="AU305" s="2156"/>
      <c r="AV305" s="2156"/>
      <c r="AW305" s="2156"/>
      <c r="AX305" s="2156"/>
      <c r="AY305" s="2158"/>
      <c r="AZ305" s="2156"/>
      <c r="BA305" s="2156"/>
      <c r="BB305" s="2156"/>
      <c r="BC305" s="2156"/>
      <c r="BD305" s="2158"/>
      <c r="BE305" s="2159"/>
      <c r="BF305" s="2159"/>
      <c r="BG305" s="2159"/>
      <c r="BH305" s="2159"/>
      <c r="BI305" s="3009"/>
      <c r="BJ305" s="3010"/>
      <c r="BK305" s="3010"/>
      <c r="BL305" s="3010"/>
      <c r="BM305" s="3010"/>
      <c r="BN305" s="3009"/>
      <c r="BO305" s="3011"/>
      <c r="BP305" s="3011"/>
      <c r="BQ305" s="3011"/>
      <c r="BR305" s="3011"/>
      <c r="BS305" s="3011"/>
      <c r="BT305" s="2120"/>
      <c r="BU305" s="2160"/>
      <c r="BV305" s="2160"/>
      <c r="BW305" s="2160"/>
      <c r="BX305" s="2160"/>
      <c r="BY305" s="2160"/>
      <c r="BZ305" s="2160"/>
      <c r="CA305" s="2160"/>
    </row>
    <row r="306" spans="1:79" outlineLevel="1">
      <c r="A306" s="2161" t="s">
        <v>996</v>
      </c>
      <c r="B306" s="2162"/>
      <c r="C306" s="2162"/>
      <c r="D306" s="2162"/>
      <c r="E306" s="2162"/>
      <c r="F306" s="2163"/>
      <c r="G306" s="2162"/>
      <c r="H306" s="2162"/>
      <c r="I306" s="2162"/>
      <c r="J306" s="2162"/>
      <c r="K306" s="2163"/>
      <c r="L306" s="2162"/>
      <c r="M306" s="2162"/>
      <c r="N306" s="2162"/>
      <c r="O306" s="2162"/>
      <c r="P306" s="2163"/>
      <c r="Q306" s="2162"/>
      <c r="R306" s="2162"/>
      <c r="S306" s="2162"/>
      <c r="T306" s="2162"/>
      <c r="U306" s="2163"/>
      <c r="V306" s="2162"/>
      <c r="W306" s="2162"/>
      <c r="X306" s="2162"/>
      <c r="Y306" s="2162"/>
      <c r="Z306" s="2163"/>
      <c r="AA306" s="2162"/>
      <c r="AB306" s="2162"/>
      <c r="AC306" s="2162"/>
      <c r="AD306" s="2162"/>
      <c r="AE306" s="2163"/>
      <c r="AF306" s="2164"/>
      <c r="AG306" s="2162"/>
      <c r="AH306" s="2162"/>
      <c r="AI306" s="2162"/>
      <c r="AJ306" s="2163"/>
      <c r="AK306" s="2165"/>
      <c r="AL306" s="2162"/>
      <c r="AM306" s="2162"/>
      <c r="AN306" s="2162"/>
      <c r="AO306" s="2163"/>
      <c r="AP306" s="2162"/>
      <c r="AQ306" s="2162"/>
      <c r="AR306" s="2162"/>
      <c r="AS306" s="2162"/>
      <c r="AT306" s="2163"/>
      <c r="AU306" s="2162"/>
      <c r="AV306" s="2162"/>
      <c r="AW306" s="2162"/>
      <c r="AX306" s="2162"/>
      <c r="AY306" s="2163"/>
      <c r="AZ306" s="2162"/>
      <c r="BA306" s="2162"/>
      <c r="BB306" s="2162"/>
      <c r="BC306" s="2162"/>
      <c r="BD306" s="2163"/>
      <c r="BE306" s="2162"/>
      <c r="BF306" s="2162"/>
      <c r="BG306" s="2162"/>
      <c r="BH306" s="2162"/>
      <c r="BI306" s="2953"/>
      <c r="BJ306" s="2955"/>
      <c r="BK306" s="2955"/>
      <c r="BL306" s="2955"/>
      <c r="BM306" s="2955"/>
      <c r="BN306" s="2953"/>
      <c r="BO306" s="2955"/>
      <c r="BP306" s="2955"/>
      <c r="BQ306" s="2955"/>
      <c r="BR306" s="2955"/>
      <c r="BS306" s="2955"/>
      <c r="BT306" s="2120"/>
      <c r="BU306" s="2163"/>
      <c r="BV306" s="2163"/>
      <c r="BW306" s="2163"/>
      <c r="BX306" s="2163"/>
      <c r="BY306" s="2163"/>
      <c r="BZ306" s="2163"/>
      <c r="CA306" s="2163"/>
    </row>
    <row r="307" spans="1:79" outlineLevel="1">
      <c r="A307" s="2132" t="s">
        <v>985</v>
      </c>
      <c r="B307" s="2133"/>
      <c r="C307" s="2133"/>
      <c r="D307" s="2133"/>
      <c r="E307" s="2133"/>
      <c r="F307" s="2134"/>
      <c r="G307" s="2133"/>
      <c r="H307" s="2133"/>
      <c r="I307" s="2133"/>
      <c r="J307" s="2133"/>
      <c r="K307" s="2134"/>
      <c r="L307" s="2133"/>
      <c r="M307" s="2133"/>
      <c r="N307" s="2133"/>
      <c r="O307" s="2133"/>
      <c r="P307" s="2134"/>
      <c r="Q307" s="2133"/>
      <c r="R307" s="2133"/>
      <c r="S307" s="2133"/>
      <c r="T307" s="2133"/>
      <c r="U307" s="2134"/>
      <c r="V307" s="2133"/>
      <c r="W307" s="2133"/>
      <c r="X307" s="2133"/>
      <c r="Y307" s="2133"/>
      <c r="Z307" s="2134"/>
      <c r="AA307" s="2133"/>
      <c r="AB307" s="2133"/>
      <c r="AC307" s="2133"/>
      <c r="AD307" s="2133"/>
      <c r="AE307" s="2134">
        <v>0</v>
      </c>
      <c r="AF307" s="2133">
        <f>AF225</f>
        <v>0</v>
      </c>
      <c r="AG307" s="2133">
        <f>AG225</f>
        <v>0</v>
      </c>
      <c r="AH307" s="2133">
        <f>AH225</f>
        <v>0</v>
      </c>
      <c r="AI307" s="2133">
        <f>AI225</f>
        <v>0</v>
      </c>
      <c r="AJ307" s="2134">
        <f>SUM(AF307:AI307)</f>
        <v>0</v>
      </c>
      <c r="AK307" s="2133">
        <f>AK225</f>
        <v>0</v>
      </c>
      <c r="AL307" s="2133">
        <f>AL225</f>
        <v>0</v>
      </c>
      <c r="AM307" s="2133">
        <f>AM225</f>
        <v>0</v>
      </c>
      <c r="AN307" s="2133">
        <f>AN308</f>
        <v>1982</v>
      </c>
      <c r="AO307" s="2134">
        <f>SUM(AK307:AN307)</f>
        <v>1982</v>
      </c>
      <c r="AP307" s="2133">
        <f>AP308</f>
        <v>2609</v>
      </c>
      <c r="AQ307" s="2133">
        <f>AQ308</f>
        <v>2284</v>
      </c>
      <c r="AR307" s="2133">
        <f>AR308</f>
        <v>1397</v>
      </c>
      <c r="AS307" s="2133">
        <f>AS308</f>
        <v>1234</v>
      </c>
      <c r="AT307" s="2134">
        <f>SUM(AP307:AS307)</f>
        <v>7524</v>
      </c>
      <c r="AU307" s="2133">
        <f>AU225</f>
        <v>922.02060000000006</v>
      </c>
      <c r="AV307" s="2133">
        <f>AV225</f>
        <v>942.15000000000009</v>
      </c>
      <c r="AW307" s="2133">
        <f>AW225</f>
        <v>780.923</v>
      </c>
      <c r="AX307" s="2133">
        <f>AX225</f>
        <v>353.64</v>
      </c>
      <c r="AY307" s="2134">
        <f>SUM(AU307:AX307)</f>
        <v>2998.7336</v>
      </c>
      <c r="AZ307" s="2133"/>
      <c r="BA307" s="2133"/>
      <c r="BB307" s="2133"/>
      <c r="BC307" s="2133"/>
      <c r="BD307" s="2134"/>
      <c r="BE307" s="2135"/>
      <c r="BF307" s="2135"/>
      <c r="BG307" s="2135"/>
      <c r="BH307" s="2135"/>
      <c r="BI307" s="3003"/>
      <c r="BJ307" s="3004"/>
      <c r="BK307" s="3004"/>
      <c r="BL307" s="3004"/>
      <c r="BM307" s="3004"/>
      <c r="BN307" s="3003"/>
      <c r="BO307" s="2974"/>
      <c r="BP307" s="2974"/>
      <c r="BQ307" s="2974"/>
      <c r="BR307" s="2974"/>
      <c r="BS307" s="2974"/>
      <c r="BT307" s="2120"/>
      <c r="BU307" s="2136"/>
      <c r="BV307" s="2136"/>
      <c r="BW307" s="2136"/>
      <c r="BX307" s="2136"/>
      <c r="BY307" s="2136"/>
      <c r="BZ307" s="2136"/>
      <c r="CA307" s="2136"/>
    </row>
    <row r="308" spans="1:79" outlineLevel="1">
      <c r="A308" s="2137" t="s">
        <v>0</v>
      </c>
      <c r="B308" s="2138"/>
      <c r="C308" s="2138"/>
      <c r="D308" s="2138"/>
      <c r="E308" s="2138"/>
      <c r="F308" s="2139"/>
      <c r="G308" s="2138"/>
      <c r="H308" s="2138"/>
      <c r="I308" s="2138"/>
      <c r="J308" s="2138"/>
      <c r="K308" s="2139"/>
      <c r="L308" s="2138"/>
      <c r="M308" s="2138"/>
      <c r="N308" s="2138"/>
      <c r="O308" s="2138"/>
      <c r="P308" s="2139"/>
      <c r="Q308" s="2138"/>
      <c r="R308" s="2138"/>
      <c r="S308" s="2138"/>
      <c r="T308" s="2138"/>
      <c r="U308" s="2139"/>
      <c r="V308" s="2138"/>
      <c r="W308" s="2138"/>
      <c r="X308" s="2138"/>
      <c r="Y308" s="2138"/>
      <c r="Z308" s="2139"/>
      <c r="AA308" s="2138">
        <f>'Rev Overview'!BA111</f>
        <v>0</v>
      </c>
      <c r="AB308" s="2138">
        <f>'Rev Overview'!BB111</f>
        <v>0</v>
      </c>
      <c r="AC308" s="2138">
        <f>'Rev Overview'!BC111</f>
        <v>0</v>
      </c>
      <c r="AD308" s="2138">
        <f>'Rev Overview'!BD111</f>
        <v>0</v>
      </c>
      <c r="AE308" s="2139">
        <f>'Rev Overview'!BE111</f>
        <v>0</v>
      </c>
      <c r="AF308" s="2140">
        <f>'Rev Overview'!BF111</f>
        <v>0</v>
      </c>
      <c r="AG308" s="2140">
        <f>'Rev Overview'!BG111</f>
        <v>0</v>
      </c>
      <c r="AH308" s="2140">
        <f>'Rev Overview'!BH111</f>
        <v>0</v>
      </c>
      <c r="AI308" s="2140">
        <f>'Rev Overview'!BI111</f>
        <v>0</v>
      </c>
      <c r="AJ308" s="2139">
        <f>'Rev Overview'!BJ111</f>
        <v>0</v>
      </c>
      <c r="AK308" s="2140">
        <f>'Rev Overview'!BK107</f>
        <v>0</v>
      </c>
      <c r="AL308" s="2140">
        <f>'Rev Overview'!BL107</f>
        <v>0</v>
      </c>
      <c r="AM308" s="2140">
        <f>'Rev Overview'!BM107</f>
        <v>0</v>
      </c>
      <c r="AN308" s="2140">
        <f>'Rev Overview'!BN107</f>
        <v>1982</v>
      </c>
      <c r="AO308" s="2139">
        <f t="shared" ref="AO308:AY308" si="186">SUM(AO307:AO307)</f>
        <v>1982</v>
      </c>
      <c r="AP308" s="2140">
        <f>'Rev Overview'!BP107</f>
        <v>2609</v>
      </c>
      <c r="AQ308" s="2140">
        <f>'Rev Overview'!BQ107</f>
        <v>2284</v>
      </c>
      <c r="AR308" s="2140">
        <f>'Rev Overview'!BR107</f>
        <v>1397</v>
      </c>
      <c r="AS308" s="2140">
        <f>'Rev Overview'!BS107</f>
        <v>1234</v>
      </c>
      <c r="AT308" s="2154">
        <f t="shared" si="186"/>
        <v>7524</v>
      </c>
      <c r="AU308" s="2140">
        <f t="shared" si="186"/>
        <v>922.02060000000006</v>
      </c>
      <c r="AV308" s="2140">
        <f t="shared" si="186"/>
        <v>942.15000000000009</v>
      </c>
      <c r="AW308" s="2140">
        <f t="shared" si="186"/>
        <v>780.923</v>
      </c>
      <c r="AX308" s="2140">
        <f t="shared" si="186"/>
        <v>353.64</v>
      </c>
      <c r="AY308" s="2154">
        <f t="shared" si="186"/>
        <v>2998.7336</v>
      </c>
      <c r="AZ308" s="2140"/>
      <c r="BA308" s="2140"/>
      <c r="BB308" s="2140"/>
      <c r="BC308" s="2140"/>
      <c r="BD308" s="2154"/>
      <c r="BE308" s="2140"/>
      <c r="BF308" s="2140"/>
      <c r="BG308" s="2140"/>
      <c r="BH308" s="2140"/>
      <c r="BI308" s="3008"/>
      <c r="BJ308" s="3006"/>
      <c r="BK308" s="3006"/>
      <c r="BL308" s="3006"/>
      <c r="BM308" s="3006"/>
      <c r="BN308" s="3008"/>
      <c r="BO308" s="3007"/>
      <c r="BP308" s="3007"/>
      <c r="BQ308" s="3007"/>
      <c r="BR308" s="3007"/>
      <c r="BS308" s="3007"/>
      <c r="BT308" s="2120"/>
      <c r="BU308" s="2154"/>
      <c r="BV308" s="2154"/>
      <c r="BW308" s="2154">
        <f>SUM(AM308:AN308,AP308:AQ308)</f>
        <v>6875</v>
      </c>
      <c r="BX308" s="2154">
        <f>SUM(AR308:AS308,AU308:AV308)</f>
        <v>4495.1705999999995</v>
      </c>
      <c r="BY308" s="2154">
        <f>SUM(AW308:AX308,AZ308:BA308)</f>
        <v>1134.5630000000001</v>
      </c>
      <c r="BZ308" s="2154">
        <f>SUM(BB308:BC308,BE308:BF308)</f>
        <v>0</v>
      </c>
      <c r="CA308" s="2154"/>
    </row>
    <row r="309" spans="1:79" ht="6.75" customHeight="1" outlineLevel="1">
      <c r="A309" s="2120"/>
      <c r="B309" s="2127"/>
      <c r="C309" s="2127"/>
      <c r="D309" s="2127"/>
      <c r="E309" s="2127"/>
      <c r="F309" s="2128"/>
      <c r="G309" s="2127"/>
      <c r="H309" s="2127"/>
      <c r="I309" s="2127"/>
      <c r="J309" s="2127"/>
      <c r="K309" s="2128"/>
      <c r="L309" s="2127"/>
      <c r="M309" s="2127"/>
      <c r="N309" s="2127"/>
      <c r="O309" s="2127"/>
      <c r="P309" s="2128"/>
      <c r="Q309" s="2127"/>
      <c r="R309" s="2127"/>
      <c r="S309" s="2127"/>
      <c r="T309" s="2127"/>
      <c r="U309" s="2128"/>
      <c r="V309" s="2127"/>
      <c r="W309" s="2127"/>
      <c r="X309" s="2127"/>
      <c r="Y309" s="2127"/>
      <c r="Z309" s="2128"/>
      <c r="AA309" s="2127"/>
      <c r="AB309" s="2127"/>
      <c r="AC309" s="2127"/>
      <c r="AD309" s="2127"/>
      <c r="AE309" s="2128"/>
      <c r="AF309" s="2155"/>
      <c r="AG309" s="2156"/>
      <c r="AH309" s="2157"/>
      <c r="AI309" s="2156"/>
      <c r="AJ309" s="2128"/>
      <c r="AK309" s="2156"/>
      <c r="AL309" s="2157"/>
      <c r="AM309" s="2157"/>
      <c r="AN309" s="2156"/>
      <c r="AO309" s="2158"/>
      <c r="AP309" s="2156"/>
      <c r="AQ309" s="2156"/>
      <c r="AR309" s="2156"/>
      <c r="AS309" s="2156"/>
      <c r="AT309" s="2158"/>
      <c r="AU309" s="2156"/>
      <c r="AV309" s="2156"/>
      <c r="AW309" s="2156"/>
      <c r="AX309" s="2156"/>
      <c r="AY309" s="2158"/>
      <c r="AZ309" s="2156"/>
      <c r="BA309" s="2156"/>
      <c r="BB309" s="2156"/>
      <c r="BC309" s="2156"/>
      <c r="BD309" s="2158"/>
      <c r="BE309" s="2159"/>
      <c r="BF309" s="2159"/>
      <c r="BG309" s="2159"/>
      <c r="BH309" s="2159"/>
      <c r="BI309" s="3009"/>
      <c r="BJ309" s="3010"/>
      <c r="BK309" s="3010"/>
      <c r="BL309" s="3010"/>
      <c r="BM309" s="3010"/>
      <c r="BN309" s="3009"/>
      <c r="BO309" s="3011"/>
      <c r="BP309" s="3011"/>
      <c r="BQ309" s="3011"/>
      <c r="BR309" s="3011"/>
      <c r="BS309" s="3011"/>
      <c r="BT309" s="2120"/>
      <c r="BU309" s="2160"/>
      <c r="BV309" s="2160"/>
      <c r="BW309" s="2160"/>
      <c r="BX309" s="2160"/>
      <c r="BY309" s="2160"/>
      <c r="BZ309" s="2160"/>
      <c r="CA309" s="2160"/>
    </row>
    <row r="310" spans="1:79" outlineLevel="1">
      <c r="A310" s="2121" t="s">
        <v>499</v>
      </c>
      <c r="B310" s="2122"/>
      <c r="C310" s="2122"/>
      <c r="D310" s="2122"/>
      <c r="E310" s="2122"/>
      <c r="F310" s="2123"/>
      <c r="G310" s="2122"/>
      <c r="H310" s="2122"/>
      <c r="I310" s="2122"/>
      <c r="J310" s="2122"/>
      <c r="K310" s="2123"/>
      <c r="L310" s="2122"/>
      <c r="M310" s="2122"/>
      <c r="N310" s="2122"/>
      <c r="O310" s="2122"/>
      <c r="P310" s="2123"/>
      <c r="Q310" s="2122"/>
      <c r="R310" s="2122"/>
      <c r="S310" s="2122"/>
      <c r="T310" s="2122"/>
      <c r="U310" s="2123"/>
      <c r="V310" s="2122"/>
      <c r="W310" s="2122"/>
      <c r="X310" s="2122"/>
      <c r="Y310" s="2122"/>
      <c r="Z310" s="2123"/>
      <c r="AA310" s="2122"/>
      <c r="AB310" s="2122"/>
      <c r="AC310" s="2122"/>
      <c r="AD310" s="2122"/>
      <c r="AE310" s="2123"/>
      <c r="AF310" s="2124"/>
      <c r="AG310" s="2122"/>
      <c r="AH310" s="2122"/>
      <c r="AI310" s="2122"/>
      <c r="AJ310" s="2123"/>
      <c r="AK310" s="2125"/>
      <c r="AL310" s="2122"/>
      <c r="AM310" s="2122"/>
      <c r="AN310" s="2122"/>
      <c r="AO310" s="2123"/>
      <c r="AP310" s="2122"/>
      <c r="AQ310" s="2122"/>
      <c r="AR310" s="2122"/>
      <c r="AS310" s="2122"/>
      <c r="AT310" s="2123"/>
      <c r="AU310" s="2122"/>
      <c r="AV310" s="2122"/>
      <c r="AW310" s="2122"/>
      <c r="AX310" s="2122"/>
      <c r="AY310" s="2123"/>
      <c r="AZ310" s="2122"/>
      <c r="BA310" s="2122"/>
      <c r="BB310" s="2122"/>
      <c r="BC310" s="2122"/>
      <c r="BD310" s="2123"/>
      <c r="BE310" s="2122"/>
      <c r="BF310" s="2122"/>
      <c r="BG310" s="2122"/>
      <c r="BH310" s="2122"/>
      <c r="BI310" s="2915"/>
      <c r="BJ310" s="2917"/>
      <c r="BK310" s="2917"/>
      <c r="BL310" s="2917"/>
      <c r="BM310" s="2917"/>
      <c r="BN310" s="2915"/>
      <c r="BO310" s="2955"/>
      <c r="BP310" s="2955"/>
      <c r="BQ310" s="2955"/>
      <c r="BR310" s="2955"/>
      <c r="BS310" s="2955"/>
      <c r="BT310" s="2120"/>
      <c r="BU310" s="2123"/>
      <c r="BV310" s="2123"/>
      <c r="BW310" s="2123"/>
      <c r="BX310" s="2123"/>
      <c r="BY310" s="2123"/>
      <c r="BZ310" s="2123"/>
      <c r="CA310" s="2123"/>
    </row>
    <row r="311" spans="1:79" outlineLevel="1">
      <c r="A311" s="2120" t="s">
        <v>1</v>
      </c>
      <c r="B311" s="2127"/>
      <c r="C311" s="2127"/>
      <c r="D311" s="2127"/>
      <c r="E311" s="2127"/>
      <c r="F311" s="2128"/>
      <c r="G311" s="2127"/>
      <c r="H311" s="2127"/>
      <c r="I311" s="2127"/>
      <c r="J311" s="2127"/>
      <c r="K311" s="2128"/>
      <c r="L311" s="2127"/>
      <c r="M311" s="2127"/>
      <c r="N311" s="2127"/>
      <c r="O311" s="2127"/>
      <c r="P311" s="2128"/>
      <c r="Q311" s="2127"/>
      <c r="R311" s="2127"/>
      <c r="S311" s="2127"/>
      <c r="T311" s="2127"/>
      <c r="U311" s="2128"/>
      <c r="V311" s="2127"/>
      <c r="W311" s="2127"/>
      <c r="X311" s="2127"/>
      <c r="Y311" s="2127"/>
      <c r="Z311" s="2128"/>
      <c r="AA311" s="2127"/>
      <c r="AB311" s="2127"/>
      <c r="AC311" s="2127"/>
      <c r="AD311" s="2127"/>
      <c r="AE311" s="2128">
        <f>(AE294/0.9)*0.1</f>
        <v>38.717236560523268</v>
      </c>
      <c r="AF311" s="2129">
        <f>(AF294/0.9)*0.1</f>
        <v>8.2011439149402321</v>
      </c>
      <c r="AG311" s="2129">
        <v>250</v>
      </c>
      <c r="AH311" s="2129">
        <f>(AH294/0.9)*0.1</f>
        <v>8.4662242350925521</v>
      </c>
      <c r="AI311" s="2129">
        <f>(AI294/0.9)*0.1</f>
        <v>5.5555555555555562</v>
      </c>
      <c r="AJ311" s="2128">
        <f t="shared" ref="AJ311:AJ317" si="187">SUM(AF311:AI311)</f>
        <v>272.22292370558836</v>
      </c>
      <c r="AK311" s="2129">
        <f>(AK294/0.9)*0.1</f>
        <v>8.2011439149402321</v>
      </c>
      <c r="AL311" s="2129">
        <f>AL318-SUM(AL312:AL315)</f>
        <v>248.51053137931035</v>
      </c>
      <c r="AM311" s="2129">
        <f>AM318-SUM(AM312:AM315)</f>
        <v>30.504951505620284</v>
      </c>
      <c r="AN311" s="2129">
        <f>AN318-SUM(AN312:AN315)</f>
        <v>7.2045294270833438</v>
      </c>
      <c r="AO311" s="2128">
        <f t="shared" ref="AO311:AO317" si="188">SUM(AK311:AN311)</f>
        <v>294.42115622695422</v>
      </c>
      <c r="AP311" s="2129">
        <f>AP318-SUM(AP312:AP315)</f>
        <v>62.162018573849309</v>
      </c>
      <c r="AQ311" s="2129">
        <f>AQ318-SUM(AQ312:AQ315)</f>
        <v>270.54693227413782</v>
      </c>
      <c r="AR311" s="2129">
        <f>AR318-SUM(AR312:AR315)</f>
        <v>35.378866778766678</v>
      </c>
      <c r="AS311" s="2129">
        <f>AS318-SUM(AS312:AS315)</f>
        <v>9.1900476666664872</v>
      </c>
      <c r="AT311" s="2128">
        <f t="shared" ref="AT311:AT317" si="189">SUM(AP311:AS311)</f>
        <v>377.27786529342029</v>
      </c>
      <c r="AU311" s="2129">
        <v>10</v>
      </c>
      <c r="AV311" s="2129">
        <v>10</v>
      </c>
      <c r="AW311" s="2129">
        <v>5</v>
      </c>
      <c r="AX311" s="2129">
        <v>5</v>
      </c>
      <c r="AY311" s="2128">
        <f t="shared" ref="AY311:AY317" si="190">SUM(AU311:AX311)</f>
        <v>30</v>
      </c>
      <c r="AZ311" s="2129"/>
      <c r="BA311" s="2129"/>
      <c r="BB311" s="2129"/>
      <c r="BC311" s="2129"/>
      <c r="BD311" s="2128"/>
      <c r="BE311" s="2130"/>
      <c r="BF311" s="2130"/>
      <c r="BG311" s="2130"/>
      <c r="BH311" s="2130"/>
      <c r="BI311" s="2918"/>
      <c r="BJ311" s="2925"/>
      <c r="BK311" s="2925"/>
      <c r="BL311" s="2925"/>
      <c r="BM311" s="2925"/>
      <c r="BN311" s="2918"/>
      <c r="BO311" s="2974"/>
      <c r="BP311" s="2974"/>
      <c r="BQ311" s="2974"/>
      <c r="BR311" s="2974"/>
      <c r="BS311" s="2974"/>
      <c r="BT311" s="2120"/>
      <c r="BU311" s="2131"/>
      <c r="BV311" s="2131"/>
      <c r="BW311" s="2131">
        <f t="shared" ref="BW311:BW318" si="191">SUM(AM311:AN311,AP311:AQ311)</f>
        <v>370.41843178069075</v>
      </c>
      <c r="BX311" s="2131">
        <f t="shared" ref="BX311:BX318" si="192">SUM(AR311:AS311,AU311:AV311)</f>
        <v>64.568914445433165</v>
      </c>
      <c r="BY311" s="2131">
        <f t="shared" ref="BY311:BY318" si="193">SUM(AW311:AX311,AZ311:BA311)</f>
        <v>10</v>
      </c>
      <c r="BZ311" s="2131">
        <f t="shared" ref="BZ311:BZ318" si="194">SUM(BB311:BC311,BE311:BF311)</f>
        <v>0</v>
      </c>
      <c r="CA311" s="2131"/>
    </row>
    <row r="312" spans="1:79" outlineLevel="1">
      <c r="A312" s="2126" t="s">
        <v>944</v>
      </c>
      <c r="B312" s="2127"/>
      <c r="C312" s="2127"/>
      <c r="D312" s="2127"/>
      <c r="E312" s="2127"/>
      <c r="F312" s="2128"/>
      <c r="G312" s="2127"/>
      <c r="H312" s="2127"/>
      <c r="I312" s="2127"/>
      <c r="J312" s="2127"/>
      <c r="K312" s="2128"/>
      <c r="L312" s="2127"/>
      <c r="M312" s="2127"/>
      <c r="N312" s="2127"/>
      <c r="O312" s="2127"/>
      <c r="P312" s="2128"/>
      <c r="Q312" s="2127"/>
      <c r="R312" s="2127"/>
      <c r="S312" s="2127"/>
      <c r="T312" s="2127"/>
      <c r="U312" s="2128"/>
      <c r="V312" s="2127"/>
      <c r="W312" s="2127"/>
      <c r="X312" s="2127"/>
      <c r="Y312" s="2127"/>
      <c r="Z312" s="2128"/>
      <c r="AA312" s="2127"/>
      <c r="AB312" s="2127"/>
      <c r="AC312" s="2127"/>
      <c r="AD312" s="2127"/>
      <c r="AE312" s="2128">
        <f>SUM('Client Unit Model'!AF180:AI180)</f>
        <v>308.49000000000007</v>
      </c>
      <c r="AF312" s="2129">
        <f>'Client Unit Model'!AJ180</f>
        <v>57.997500000000009</v>
      </c>
      <c r="AG312" s="2129">
        <v>100</v>
      </c>
      <c r="AH312" s="2129">
        <f>'Client Unit Model'!AL180</f>
        <v>64.512</v>
      </c>
      <c r="AI312" s="2129">
        <f>'Client Unit Model'!AM180</f>
        <v>85.12</v>
      </c>
      <c r="AJ312" s="2128">
        <f t="shared" si="187"/>
        <v>307.62950000000001</v>
      </c>
      <c r="AK312" s="2129">
        <f>'Client Unit Model'!AO180</f>
        <v>89.73360000000001</v>
      </c>
      <c r="AL312" s="2129">
        <f>AG312</f>
        <v>100</v>
      </c>
      <c r="AM312" s="2129">
        <f>AH312*1.17</f>
        <v>75.479039999999998</v>
      </c>
      <c r="AN312" s="2166">
        <f>AI312*0.95</f>
        <v>80.864000000000004</v>
      </c>
      <c r="AO312" s="2128">
        <f t="shared" si="188"/>
        <v>346.07664</v>
      </c>
      <c r="AP312" s="2129">
        <f>AK312*0.3</f>
        <v>26.920080000000002</v>
      </c>
      <c r="AQ312" s="2129">
        <v>105</v>
      </c>
      <c r="AR312" s="2129">
        <f>AM312</f>
        <v>75.479039999999998</v>
      </c>
      <c r="AS312" s="2129">
        <v>35</v>
      </c>
      <c r="AT312" s="2128">
        <f t="shared" si="189"/>
        <v>242.39912000000001</v>
      </c>
      <c r="AU312" s="2129">
        <f t="shared" ref="AU312:AX312" si="195">AU376</f>
        <v>26.920080000000002</v>
      </c>
      <c r="AV312" s="2129">
        <f t="shared" si="195"/>
        <v>105</v>
      </c>
      <c r="AW312" s="2129">
        <f t="shared" si="195"/>
        <v>75.479039999999998</v>
      </c>
      <c r="AX312" s="2129">
        <f t="shared" si="195"/>
        <v>35</v>
      </c>
      <c r="AY312" s="2128">
        <f t="shared" si="190"/>
        <v>242.39912000000001</v>
      </c>
      <c r="AZ312" s="2129"/>
      <c r="BA312" s="2129"/>
      <c r="BB312" s="2129"/>
      <c r="BC312" s="2129"/>
      <c r="BD312" s="2128"/>
      <c r="BE312" s="2130"/>
      <c r="BF312" s="2130"/>
      <c r="BG312" s="2130"/>
      <c r="BH312" s="2130"/>
      <c r="BI312" s="2918"/>
      <c r="BJ312" s="2925"/>
      <c r="BK312" s="2925"/>
      <c r="BL312" s="2925"/>
      <c r="BM312" s="2925"/>
      <c r="BN312" s="2918"/>
      <c r="BO312" s="2974"/>
      <c r="BP312" s="2974"/>
      <c r="BQ312" s="2974"/>
      <c r="BR312" s="2974"/>
      <c r="BS312" s="2974"/>
      <c r="BT312" s="2120"/>
      <c r="BU312" s="2131"/>
      <c r="BV312" s="2131"/>
      <c r="BW312" s="2131">
        <f t="shared" si="191"/>
        <v>288.26312000000001</v>
      </c>
      <c r="BX312" s="2131">
        <f t="shared" si="192"/>
        <v>242.39912000000001</v>
      </c>
      <c r="BY312" s="2131">
        <f t="shared" si="193"/>
        <v>110.47904</v>
      </c>
      <c r="BZ312" s="2131">
        <f t="shared" si="194"/>
        <v>0</v>
      </c>
      <c r="CA312" s="2131"/>
    </row>
    <row r="313" spans="1:79" outlineLevel="1">
      <c r="A313" s="2126" t="s">
        <v>351</v>
      </c>
      <c r="B313" s="2127"/>
      <c r="C313" s="2127"/>
      <c r="D313" s="2127"/>
      <c r="E313" s="2127"/>
      <c r="F313" s="2128"/>
      <c r="G313" s="2127"/>
      <c r="H313" s="2127"/>
      <c r="I313" s="2127"/>
      <c r="J313" s="2127"/>
      <c r="K313" s="2128"/>
      <c r="L313" s="2127"/>
      <c r="M313" s="2127"/>
      <c r="N313" s="2127"/>
      <c r="O313" s="2127"/>
      <c r="P313" s="2128"/>
      <c r="Q313" s="2127"/>
      <c r="R313" s="2127"/>
      <c r="S313" s="2127"/>
      <c r="T313" s="2127"/>
      <c r="U313" s="2128"/>
      <c r="V313" s="2127"/>
      <c r="W313" s="2127"/>
      <c r="X313" s="2127"/>
      <c r="Y313" s="2127"/>
      <c r="Z313" s="2128"/>
      <c r="AA313" s="2127"/>
      <c r="AB313" s="2127"/>
      <c r="AC313" s="2127"/>
      <c r="AD313" s="2127"/>
      <c r="AE313" s="2128">
        <f>'Rev Overview'!BE244</f>
        <v>2867</v>
      </c>
      <c r="AF313" s="2129">
        <f>'Rev Overview'!BF244</f>
        <v>697</v>
      </c>
      <c r="AG313" s="2129">
        <f>'Rev Overview'!BG244</f>
        <v>869</v>
      </c>
      <c r="AH313" s="2129">
        <f>'Rev Overview'!BH244</f>
        <v>832</v>
      </c>
      <c r="AI313" s="2129">
        <f>'Rev Overview'!BI244</f>
        <v>804</v>
      </c>
      <c r="AJ313" s="2128">
        <f t="shared" si="187"/>
        <v>3202</v>
      </c>
      <c r="AK313" s="2129">
        <f>'Rev Overview'!BK244</f>
        <v>872</v>
      </c>
      <c r="AL313" s="2129">
        <f>AG313*1.064</f>
        <v>924.6160000000001</v>
      </c>
      <c r="AM313" s="2129">
        <f>AH313*1.16</f>
        <v>965.11999999999989</v>
      </c>
      <c r="AN313" s="2129">
        <f>AI313*1.2</f>
        <v>964.8</v>
      </c>
      <c r="AO313" s="2128">
        <f t="shared" si="188"/>
        <v>3726.5360000000001</v>
      </c>
      <c r="AP313" s="2129">
        <f>AK313*1.135</f>
        <v>989.72</v>
      </c>
      <c r="AQ313" s="2129">
        <f>AL313*1.105</f>
        <v>1021.7006800000001</v>
      </c>
      <c r="AR313" s="2129">
        <f>AM313*1.075</f>
        <v>1037.5039999999999</v>
      </c>
      <c r="AS313" s="2129">
        <f>AN313*1.05</f>
        <v>1013.04</v>
      </c>
      <c r="AT313" s="2128">
        <f t="shared" si="189"/>
        <v>4061.96468</v>
      </c>
      <c r="AU313" s="2129">
        <f t="shared" ref="AU313:AX313" si="196">AU379</f>
        <v>1054.0518</v>
      </c>
      <c r="AV313" s="2129">
        <f t="shared" si="196"/>
        <v>1093.2197276000002</v>
      </c>
      <c r="AW313" s="2129">
        <f t="shared" si="196"/>
        <v>1115.3167999999998</v>
      </c>
      <c r="AX313" s="2129">
        <f t="shared" si="196"/>
        <v>1083.9528</v>
      </c>
      <c r="AY313" s="2128">
        <f t="shared" si="190"/>
        <v>4346.5411275999995</v>
      </c>
      <c r="AZ313" s="2129"/>
      <c r="BA313" s="2129"/>
      <c r="BB313" s="2129"/>
      <c r="BC313" s="2129"/>
      <c r="BD313" s="2128"/>
      <c r="BE313" s="2130"/>
      <c r="BF313" s="2130"/>
      <c r="BG313" s="2130"/>
      <c r="BH313" s="2130"/>
      <c r="BI313" s="2918"/>
      <c r="BJ313" s="2925"/>
      <c r="BK313" s="2925"/>
      <c r="BL313" s="2925"/>
      <c r="BM313" s="2925"/>
      <c r="BN313" s="2918"/>
      <c r="BO313" s="2974"/>
      <c r="BP313" s="2974"/>
      <c r="BQ313" s="2974"/>
      <c r="BR313" s="2974"/>
      <c r="BS313" s="2974"/>
      <c r="BT313" s="2120"/>
      <c r="BU313" s="2131"/>
      <c r="BV313" s="2131"/>
      <c r="BW313" s="2131">
        <f t="shared" si="191"/>
        <v>3941.3406800000002</v>
      </c>
      <c r="BX313" s="2131">
        <f t="shared" si="192"/>
        <v>4197.8155275999998</v>
      </c>
      <c r="BY313" s="2131">
        <f t="shared" si="193"/>
        <v>2199.2695999999996</v>
      </c>
      <c r="BZ313" s="2131">
        <f t="shared" si="194"/>
        <v>0</v>
      </c>
      <c r="CA313" s="2131"/>
    </row>
    <row r="314" spans="1:79" outlineLevel="1">
      <c r="A314" s="2126" t="s">
        <v>945</v>
      </c>
      <c r="B314" s="2127"/>
      <c r="C314" s="2127"/>
      <c r="D314" s="2127"/>
      <c r="E314" s="2127"/>
      <c r="F314" s="2128"/>
      <c r="G314" s="2127"/>
      <c r="H314" s="2127"/>
      <c r="I314" s="2127"/>
      <c r="J314" s="2127"/>
      <c r="K314" s="2128"/>
      <c r="L314" s="2127"/>
      <c r="M314" s="2127"/>
      <c r="N314" s="2127"/>
      <c r="O314" s="2127"/>
      <c r="P314" s="2128"/>
      <c r="Q314" s="2127"/>
      <c r="R314" s="2127"/>
      <c r="S314" s="2127"/>
      <c r="T314" s="2127"/>
      <c r="U314" s="2128"/>
      <c r="V314" s="2127"/>
      <c r="W314" s="2127"/>
      <c r="X314" s="2127"/>
      <c r="Y314" s="2127"/>
      <c r="Z314" s="2128"/>
      <c r="AA314" s="2127"/>
      <c r="AB314" s="2127"/>
      <c r="AC314" s="2127"/>
      <c r="AD314" s="2127"/>
      <c r="AE314" s="2128">
        <f>'Rev Overview'!BE253*0.18*0.035</f>
        <v>151.89930000000001</v>
      </c>
      <c r="AF314" s="2129">
        <f>0.18*0.035*'Rev Overview'!BF253</f>
        <v>34.656300000000002</v>
      </c>
      <c r="AG314" s="2129">
        <f>0.18*0.035*'Rev Overview'!BG253</f>
        <v>35.853299999999997</v>
      </c>
      <c r="AH314" s="2129">
        <f>0.18*0.05*'Rev Overview'!BH253</f>
        <v>56.870999999999995</v>
      </c>
      <c r="AI314" s="2129">
        <f>0.185*0.05*'Rev Overview'!BI253</f>
        <v>66.720249999999993</v>
      </c>
      <c r="AJ314" s="2128">
        <f t="shared" si="187"/>
        <v>194.10084999999998</v>
      </c>
      <c r="AK314" s="2129">
        <v>65</v>
      </c>
      <c r="AL314" s="2127">
        <v>75</v>
      </c>
      <c r="AM314" s="2127">
        <v>98</v>
      </c>
      <c r="AN314" s="2127">
        <f>AN251</f>
        <v>138.69706640624997</v>
      </c>
      <c r="AO314" s="2128">
        <f t="shared" si="188"/>
        <v>376.69706640624997</v>
      </c>
      <c r="AP314" s="2127">
        <f>AP251</f>
        <v>169.63079062499997</v>
      </c>
      <c r="AQ314" s="2127">
        <f>AQ251</f>
        <v>214.04413124999996</v>
      </c>
      <c r="AR314" s="2127">
        <f>AR251</f>
        <v>276.55404375000001</v>
      </c>
      <c r="AS314" s="2127">
        <f>AS251</f>
        <v>329.23359375000007</v>
      </c>
      <c r="AT314" s="2128">
        <f t="shared" si="189"/>
        <v>989.46255937500007</v>
      </c>
      <c r="AU314" s="2127">
        <f>AU251</f>
        <v>390.32460937500002</v>
      </c>
      <c r="AV314" s="2127">
        <f>AV251</f>
        <v>436.654296875</v>
      </c>
      <c r="AW314" s="2127">
        <f>AW251</f>
        <v>470.654296875</v>
      </c>
      <c r="AX314" s="2127">
        <f>AX251</f>
        <v>489.779296875</v>
      </c>
      <c r="AY314" s="2128">
        <f t="shared" si="190"/>
        <v>1787.4124999999999</v>
      </c>
      <c r="AZ314" s="2127"/>
      <c r="BA314" s="2127"/>
      <c r="BB314" s="2127"/>
      <c r="BC314" s="2127"/>
      <c r="BD314" s="2128"/>
      <c r="BE314" s="2167"/>
      <c r="BF314" s="2167"/>
      <c r="BG314" s="2167"/>
      <c r="BH314" s="2167"/>
      <c r="BI314" s="2918"/>
      <c r="BJ314" s="2974"/>
      <c r="BK314" s="2974"/>
      <c r="BL314" s="2974"/>
      <c r="BM314" s="2974"/>
      <c r="BN314" s="2918"/>
      <c r="BO314" s="2974"/>
      <c r="BP314" s="2974"/>
      <c r="BQ314" s="2974"/>
      <c r="BR314" s="2974"/>
      <c r="BS314" s="2974"/>
      <c r="BT314" s="2120"/>
      <c r="BU314" s="2131"/>
      <c r="BV314" s="2131"/>
      <c r="BW314" s="2131">
        <f t="shared" si="191"/>
        <v>620.37198828124997</v>
      </c>
      <c r="BX314" s="2131">
        <f t="shared" si="192"/>
        <v>1432.76654375</v>
      </c>
      <c r="BY314" s="2131">
        <f t="shared" si="193"/>
        <v>960.43359375</v>
      </c>
      <c r="BZ314" s="2131">
        <f t="shared" si="194"/>
        <v>0</v>
      </c>
      <c r="CA314" s="2131"/>
    </row>
    <row r="315" spans="1:79" s="1004" customFormat="1" outlineLevel="1">
      <c r="A315" s="2141" t="s">
        <v>2</v>
      </c>
      <c r="B315" s="2127"/>
      <c r="C315" s="2127"/>
      <c r="D315" s="2127"/>
      <c r="E315" s="2127"/>
      <c r="F315" s="2128"/>
      <c r="G315" s="2127"/>
      <c r="H315" s="2127"/>
      <c r="I315" s="2127"/>
      <c r="J315" s="2127"/>
      <c r="K315" s="2128"/>
      <c r="L315" s="2127"/>
      <c r="M315" s="2127"/>
      <c r="N315" s="2127"/>
      <c r="O315" s="2127"/>
      <c r="P315" s="2128"/>
      <c r="Q315" s="2127"/>
      <c r="R315" s="2127"/>
      <c r="S315" s="2127"/>
      <c r="T315" s="2127"/>
      <c r="U315" s="2128"/>
      <c r="V315" s="2127"/>
      <c r="W315" s="2127"/>
      <c r="X315" s="2127"/>
      <c r="Y315" s="2127"/>
      <c r="Z315" s="2128"/>
      <c r="AA315" s="2127"/>
      <c r="AB315" s="2127"/>
      <c r="AC315" s="2127"/>
      <c r="AD315" s="2127"/>
      <c r="AE315" s="2128">
        <f>AE318-SUM(AE311:AE314)</f>
        <v>2836.8934634394768</v>
      </c>
      <c r="AF315" s="2127">
        <f>AF318-SUM(AF311:AF314)</f>
        <v>602.14505608505976</v>
      </c>
      <c r="AG315" s="2127">
        <f>AG318-SUM(AG311:AG314)</f>
        <v>744.14670000000001</v>
      </c>
      <c r="AH315" s="2127">
        <f>AH318-SUM(AH311:AH314)</f>
        <v>694.15077576490751</v>
      </c>
      <c r="AI315" s="2127">
        <f>AI318-SUM(AI311:AI314)</f>
        <v>601.60419444444449</v>
      </c>
      <c r="AJ315" s="2128">
        <f t="shared" si="187"/>
        <v>2642.0467262944117</v>
      </c>
      <c r="AK315" s="2127">
        <f>AK318-SUM(AK311:AK314)</f>
        <v>519.0652560850599</v>
      </c>
      <c r="AL315" s="2127">
        <f>SUM(AL316:AL317)</f>
        <v>525.87346862068966</v>
      </c>
      <c r="AM315" s="2127">
        <f>SUM(AM316:AM317)</f>
        <v>654.89600849437977</v>
      </c>
      <c r="AN315" s="2127">
        <f>SUM(AN316:AN317)</f>
        <v>570.4344041666667</v>
      </c>
      <c r="AO315" s="2128">
        <f t="shared" si="188"/>
        <v>2270.2691373667963</v>
      </c>
      <c r="AP315" s="2127">
        <f>SUM(AP316:AP317)</f>
        <v>560.56711080115065</v>
      </c>
      <c r="AQ315" s="2127">
        <f>SUM(AQ316:AQ317)</f>
        <v>824.70825647586207</v>
      </c>
      <c r="AR315" s="2127">
        <f>SUM(AR316:AR317)</f>
        <v>855.08404947123358</v>
      </c>
      <c r="AS315" s="2127">
        <f>SUM(AS316:AS317)</f>
        <v>913.53635858333348</v>
      </c>
      <c r="AT315" s="2128">
        <f t="shared" si="189"/>
        <v>3153.8957753315794</v>
      </c>
      <c r="AU315" s="2127">
        <f>SUM(AU316:AU317)</f>
        <v>1114.8706896551726</v>
      </c>
      <c r="AV315" s="2127">
        <f>SUM(AV316:AV317)</f>
        <v>1388.5662724137933</v>
      </c>
      <c r="AW315" s="2127">
        <f>SUM(AW316:AW317)</f>
        <v>1358.6868749999999</v>
      </c>
      <c r="AX315" s="2127">
        <f>SUM(AX316:AX317)</f>
        <v>1362.5275000000001</v>
      </c>
      <c r="AY315" s="2128">
        <f t="shared" si="190"/>
        <v>5224.6513370689663</v>
      </c>
      <c r="AZ315" s="2127"/>
      <c r="BA315" s="2127"/>
      <c r="BB315" s="2127"/>
      <c r="BC315" s="2127"/>
      <c r="BD315" s="2128"/>
      <c r="BE315" s="2167"/>
      <c r="BF315" s="2167"/>
      <c r="BG315" s="2167"/>
      <c r="BH315" s="2167"/>
      <c r="BI315" s="2918"/>
      <c r="BJ315" s="2974"/>
      <c r="BK315" s="2974"/>
      <c r="BL315" s="2974"/>
      <c r="BM315" s="2974"/>
      <c r="BN315" s="2918"/>
      <c r="BO315" s="2974"/>
      <c r="BP315" s="2974"/>
      <c r="BQ315" s="2974"/>
      <c r="BR315" s="2974"/>
      <c r="BS315" s="2974"/>
      <c r="BT315" s="2168"/>
      <c r="BU315" s="2131"/>
      <c r="BV315" s="2131"/>
      <c r="BW315" s="2131">
        <f t="shared" si="191"/>
        <v>2610.6057799380592</v>
      </c>
      <c r="BX315" s="2131">
        <f t="shared" si="192"/>
        <v>4272.0573701235335</v>
      </c>
      <c r="BY315" s="2131">
        <f t="shared" si="193"/>
        <v>2721.214375</v>
      </c>
      <c r="BZ315" s="2131">
        <f t="shared" si="194"/>
        <v>0</v>
      </c>
      <c r="CA315" s="2131"/>
    </row>
    <row r="316" spans="1:79" s="1006" customFormat="1" outlineLevel="1">
      <c r="A316" s="2147" t="s">
        <v>916</v>
      </c>
      <c r="B316" s="2148"/>
      <c r="C316" s="2148"/>
      <c r="D316" s="2148"/>
      <c r="E316" s="2148"/>
      <c r="F316" s="2149"/>
      <c r="G316" s="2148"/>
      <c r="H316" s="2148"/>
      <c r="I316" s="2148"/>
      <c r="J316" s="2148"/>
      <c r="K316" s="2149"/>
      <c r="L316" s="2148"/>
      <c r="M316" s="2148"/>
      <c r="N316" s="2148"/>
      <c r="O316" s="2148"/>
      <c r="P316" s="2149"/>
      <c r="Q316" s="2148"/>
      <c r="R316" s="2148"/>
      <c r="S316" s="2148"/>
      <c r="T316" s="2148"/>
      <c r="U316" s="2149"/>
      <c r="V316" s="2148"/>
      <c r="W316" s="2148"/>
      <c r="X316" s="2148"/>
      <c r="Y316" s="2148"/>
      <c r="Z316" s="2149"/>
      <c r="AA316" s="2148"/>
      <c r="AB316" s="2148"/>
      <c r="AC316" s="2148"/>
      <c r="AD316" s="2148"/>
      <c r="AE316" s="2149">
        <f>AJ316*1.05</f>
        <v>1813.0603448275863</v>
      </c>
      <c r="AF316" s="2150">
        <v>425</v>
      </c>
      <c r="AG316" s="2150">
        <f>291/0.58</f>
        <v>501.72413793103453</v>
      </c>
      <c r="AH316" s="2150">
        <v>450</v>
      </c>
      <c r="AI316" s="2150">
        <v>350</v>
      </c>
      <c r="AJ316" s="2149">
        <f t="shared" si="187"/>
        <v>1726.7241379310344</v>
      </c>
      <c r="AK316" s="2150">
        <f>291/0.58</f>
        <v>501.72413793103453</v>
      </c>
      <c r="AL316" s="2150">
        <f>AG316*(1-0.58)</f>
        <v>210.72413793103453</v>
      </c>
      <c r="AM316" s="2150">
        <f>AH316*(1-0.25)</f>
        <v>337.5</v>
      </c>
      <c r="AN316" s="2150">
        <f>AI316*(1-0.125)</f>
        <v>306.25</v>
      </c>
      <c r="AO316" s="2149">
        <f t="shared" si="188"/>
        <v>1356.1982758620691</v>
      </c>
      <c r="AP316" s="2150">
        <f>AK316*1.1</f>
        <v>551.89655172413802</v>
      </c>
      <c r="AQ316" s="2150">
        <f>AL316*1.79</f>
        <v>377.19620689655181</v>
      </c>
      <c r="AR316" s="2150">
        <f>AM316*1.485</f>
        <v>501.18750000000006</v>
      </c>
      <c r="AS316" s="2150">
        <f>AN316*1.62</f>
        <v>496.12500000000006</v>
      </c>
      <c r="AT316" s="2149">
        <f t="shared" si="189"/>
        <v>1926.4052586206899</v>
      </c>
      <c r="AU316" s="2150">
        <f>AU187</f>
        <v>689.87068965517255</v>
      </c>
      <c r="AV316" s="2150">
        <f>AV187</f>
        <v>569.56627241379329</v>
      </c>
      <c r="AW316" s="2150">
        <f>AW187</f>
        <v>526.24687500000005</v>
      </c>
      <c r="AX316" s="2150">
        <f>AX187</f>
        <v>506.04750000000007</v>
      </c>
      <c r="AY316" s="2149">
        <f t="shared" si="190"/>
        <v>2291.7313370689658</v>
      </c>
      <c r="AZ316" s="2150"/>
      <c r="BA316" s="2150"/>
      <c r="BB316" s="2150"/>
      <c r="BC316" s="2150"/>
      <c r="BD316" s="2149"/>
      <c r="BE316" s="2150"/>
      <c r="BF316" s="2150"/>
      <c r="BG316" s="2150"/>
      <c r="BH316" s="2150"/>
      <c r="BI316" s="2920"/>
      <c r="BJ316" s="2921"/>
      <c r="BK316" s="2921"/>
      <c r="BL316" s="2921"/>
      <c r="BM316" s="2921"/>
      <c r="BN316" s="2920"/>
      <c r="BO316" s="2944"/>
      <c r="BP316" s="2944"/>
      <c r="BQ316" s="2944"/>
      <c r="BR316" s="2944"/>
      <c r="BS316" s="2944"/>
      <c r="BT316" s="2147"/>
      <c r="BU316" s="2149"/>
      <c r="BV316" s="2149"/>
      <c r="BW316" s="2149">
        <f t="shared" si="191"/>
        <v>1572.8427586206899</v>
      </c>
      <c r="BX316" s="2149">
        <f t="shared" si="192"/>
        <v>2256.7494620689658</v>
      </c>
      <c r="BY316" s="2149">
        <f t="shared" si="193"/>
        <v>1032.2943750000002</v>
      </c>
      <c r="BZ316" s="2149">
        <f t="shared" si="194"/>
        <v>0</v>
      </c>
      <c r="CA316" s="2149"/>
    </row>
    <row r="317" spans="1:79" s="1006" customFormat="1" outlineLevel="1">
      <c r="A317" s="2151" t="s">
        <v>917</v>
      </c>
      <c r="B317" s="2152"/>
      <c r="C317" s="2152"/>
      <c r="D317" s="2152"/>
      <c r="E317" s="2152"/>
      <c r="F317" s="2153"/>
      <c r="G317" s="2152"/>
      <c r="H317" s="2152"/>
      <c r="I317" s="2152"/>
      <c r="J317" s="2152"/>
      <c r="K317" s="2153"/>
      <c r="L317" s="2152"/>
      <c r="M317" s="2152"/>
      <c r="N317" s="2152"/>
      <c r="O317" s="2152"/>
      <c r="P317" s="2153"/>
      <c r="Q317" s="2152"/>
      <c r="R317" s="2152"/>
      <c r="S317" s="2152"/>
      <c r="T317" s="2152"/>
      <c r="U317" s="2153"/>
      <c r="V317" s="2152"/>
      <c r="W317" s="2152"/>
      <c r="X317" s="2152"/>
      <c r="Y317" s="2152"/>
      <c r="Z317" s="2153"/>
      <c r="AA317" s="2152"/>
      <c r="AB317" s="2152"/>
      <c r="AC317" s="2152"/>
      <c r="AD317" s="2152"/>
      <c r="AE317" s="2153">
        <f>AE315-AE316</f>
        <v>1023.8331186118905</v>
      </c>
      <c r="AF317" s="2152">
        <f>AF315-AF316</f>
        <v>177.14505608505976</v>
      </c>
      <c r="AG317" s="2152">
        <f>AG315-AG316</f>
        <v>242.42256206896548</v>
      </c>
      <c r="AH317" s="2152">
        <f>AH315-AH316</f>
        <v>244.15077576490751</v>
      </c>
      <c r="AI317" s="2152">
        <f>AI315-AI316</f>
        <v>251.60419444444449</v>
      </c>
      <c r="AJ317" s="2153">
        <f t="shared" si="187"/>
        <v>915.32258836337724</v>
      </c>
      <c r="AK317" s="2152">
        <f>AK315-AK316</f>
        <v>17.341118154025366</v>
      </c>
      <c r="AL317" s="2152">
        <f>AG317*1.3</f>
        <v>315.14933068965513</v>
      </c>
      <c r="AM317" s="2152">
        <f>AH317*1.3</f>
        <v>317.39600849437977</v>
      </c>
      <c r="AN317" s="2152">
        <f>AI317*1.05</f>
        <v>264.1844041666667</v>
      </c>
      <c r="AO317" s="2153">
        <f t="shared" si="188"/>
        <v>914.07086150472696</v>
      </c>
      <c r="AP317" s="2152">
        <f>AK317*0.5</f>
        <v>8.6705590770126832</v>
      </c>
      <c r="AQ317" s="2152">
        <f>AL317*1.42</f>
        <v>447.51204957931026</v>
      </c>
      <c r="AR317" s="2152">
        <f>AM317*1.115</f>
        <v>353.89654947123347</v>
      </c>
      <c r="AS317" s="2152">
        <f>AN317*1.58</f>
        <v>417.41135858333342</v>
      </c>
      <c r="AT317" s="2153">
        <f t="shared" si="189"/>
        <v>1227.4905167108898</v>
      </c>
      <c r="AU317" s="2152">
        <f>AU190</f>
        <v>425</v>
      </c>
      <c r="AV317" s="2152">
        <f>AV190</f>
        <v>819</v>
      </c>
      <c r="AW317" s="2152">
        <f>AW190</f>
        <v>832.43999999999994</v>
      </c>
      <c r="AX317" s="2152">
        <f>AX190</f>
        <v>856.48</v>
      </c>
      <c r="AY317" s="2153">
        <f t="shared" si="190"/>
        <v>2932.92</v>
      </c>
      <c r="AZ317" s="2152"/>
      <c r="BA317" s="2152"/>
      <c r="BB317" s="2152"/>
      <c r="BC317" s="2152"/>
      <c r="BD317" s="2153"/>
      <c r="BE317" s="2152"/>
      <c r="BF317" s="2152"/>
      <c r="BG317" s="2152"/>
      <c r="BH317" s="2152"/>
      <c r="BI317" s="2922"/>
      <c r="BJ317" s="2923"/>
      <c r="BK317" s="2923"/>
      <c r="BL317" s="2923"/>
      <c r="BM317" s="2923"/>
      <c r="BN317" s="2922"/>
      <c r="BO317" s="2944"/>
      <c r="BP317" s="2944"/>
      <c r="BQ317" s="2944"/>
      <c r="BR317" s="2944"/>
      <c r="BS317" s="2944"/>
      <c r="BT317" s="2147"/>
      <c r="BU317" s="2153"/>
      <c r="BV317" s="2153"/>
      <c r="BW317" s="2153">
        <f t="shared" si="191"/>
        <v>1037.7630213173695</v>
      </c>
      <c r="BX317" s="2153">
        <f t="shared" si="192"/>
        <v>2015.307908054567</v>
      </c>
      <c r="BY317" s="2153">
        <f t="shared" si="193"/>
        <v>1688.92</v>
      </c>
      <c r="BZ317" s="2153">
        <f t="shared" si="194"/>
        <v>0</v>
      </c>
      <c r="CA317" s="2153"/>
    </row>
    <row r="318" spans="1:79" outlineLevel="1">
      <c r="A318" s="2137" t="s">
        <v>0</v>
      </c>
      <c r="B318" s="2138"/>
      <c r="C318" s="2138"/>
      <c r="D318" s="2138"/>
      <c r="E318" s="2138"/>
      <c r="F318" s="2139"/>
      <c r="G318" s="2138"/>
      <c r="H318" s="2138"/>
      <c r="I318" s="2138"/>
      <c r="J318" s="2138"/>
      <c r="K318" s="2139"/>
      <c r="L318" s="2138"/>
      <c r="M318" s="2138"/>
      <c r="N318" s="2138"/>
      <c r="O318" s="2138"/>
      <c r="P318" s="2139"/>
      <c r="Q318" s="2138"/>
      <c r="R318" s="2138"/>
      <c r="S318" s="2138"/>
      <c r="T318" s="2138"/>
      <c r="U318" s="2139"/>
      <c r="V318" s="2138"/>
      <c r="W318" s="2138"/>
      <c r="X318" s="2138"/>
      <c r="Y318" s="2138"/>
      <c r="Z318" s="2139"/>
      <c r="AA318" s="2138">
        <f>'Rev Overview'!BA114</f>
        <v>1515</v>
      </c>
      <c r="AB318" s="2138">
        <f>'Rev Overview'!BB114</f>
        <v>1738</v>
      </c>
      <c r="AC318" s="2138">
        <f>'Rev Overview'!BC114</f>
        <v>1437</v>
      </c>
      <c r="AD318" s="2138">
        <f>'Rev Overview'!BD114</f>
        <v>1513</v>
      </c>
      <c r="AE318" s="2139">
        <f>'Rev Overview'!BE114</f>
        <v>6203</v>
      </c>
      <c r="AF318" s="2140">
        <f>'Rev Overview'!BF114</f>
        <v>1400</v>
      </c>
      <c r="AG318" s="2140">
        <f>'Rev Overview'!BG114</f>
        <v>1999</v>
      </c>
      <c r="AH318" s="2140">
        <f>'Rev Overview'!BH114</f>
        <v>1656</v>
      </c>
      <c r="AI318" s="2140">
        <f>'Rev Overview'!BI114</f>
        <v>1563</v>
      </c>
      <c r="AJ318" s="2139">
        <f>'Rev Overview'!BJ114</f>
        <v>6618</v>
      </c>
      <c r="AK318" s="2140">
        <f>'Rev Overview'!BK114</f>
        <v>1554</v>
      </c>
      <c r="AL318" s="2140">
        <f>'Rev Overview'!BL114</f>
        <v>1874</v>
      </c>
      <c r="AM318" s="2140">
        <f>'Rev Overview'!BM114</f>
        <v>1824</v>
      </c>
      <c r="AN318" s="2140">
        <f>'Rev Overview'!BN114</f>
        <v>1762</v>
      </c>
      <c r="AO318" s="2139">
        <f t="shared" ref="AO318:AY318" si="197">SUM(AO311:AO315)</f>
        <v>7014</v>
      </c>
      <c r="AP318" s="2140">
        <f>'Rev Overview'!BP114</f>
        <v>1809</v>
      </c>
      <c r="AQ318" s="2140">
        <f>'Rev Overview'!BQ114</f>
        <v>2436</v>
      </c>
      <c r="AR318" s="2140">
        <f>'Rev Overview'!BR114</f>
        <v>2280</v>
      </c>
      <c r="AS318" s="2140">
        <f>'Rev Overview'!BS114</f>
        <v>2300</v>
      </c>
      <c r="AT318" s="2154">
        <f t="shared" si="197"/>
        <v>8825</v>
      </c>
      <c r="AU318" s="2140">
        <f t="shared" si="197"/>
        <v>2596.1671790301725</v>
      </c>
      <c r="AV318" s="2140">
        <f t="shared" si="197"/>
        <v>3033.4402968887935</v>
      </c>
      <c r="AW318" s="2140">
        <f t="shared" si="197"/>
        <v>3025.1370118749996</v>
      </c>
      <c r="AX318" s="2140">
        <f t="shared" si="197"/>
        <v>2976.2595968750002</v>
      </c>
      <c r="AY318" s="2154">
        <f t="shared" si="197"/>
        <v>11631.004084668966</v>
      </c>
      <c r="AZ318" s="2140"/>
      <c r="BA318" s="2140"/>
      <c r="BB318" s="2140"/>
      <c r="BC318" s="2140"/>
      <c r="BD318" s="2154"/>
      <c r="BE318" s="2140"/>
      <c r="BF318" s="2140"/>
      <c r="BG318" s="2140"/>
      <c r="BH318" s="2140"/>
      <c r="BI318" s="3008"/>
      <c r="BJ318" s="3006"/>
      <c r="BK318" s="3006"/>
      <c r="BL318" s="3006"/>
      <c r="BM318" s="3006"/>
      <c r="BN318" s="3008"/>
      <c r="BO318" s="3007"/>
      <c r="BP318" s="3007"/>
      <c r="BQ318" s="3007"/>
      <c r="BR318" s="3007"/>
      <c r="BS318" s="3007"/>
      <c r="BT318" s="2120"/>
      <c r="BU318" s="2154"/>
      <c r="BV318" s="2154"/>
      <c r="BW318" s="2154">
        <f t="shared" si="191"/>
        <v>7831</v>
      </c>
      <c r="BX318" s="2154">
        <f t="shared" si="192"/>
        <v>10209.607475918965</v>
      </c>
      <c r="BY318" s="2154">
        <f t="shared" si="193"/>
        <v>6001.3966087499994</v>
      </c>
      <c r="BZ318" s="2154">
        <f t="shared" si="194"/>
        <v>0</v>
      </c>
      <c r="CA318" s="2154"/>
    </row>
    <row r="319" spans="1:79" ht="6.75" customHeight="1" outlineLevel="1">
      <c r="A319" s="2120"/>
      <c r="B319" s="2141"/>
      <c r="C319" s="2141"/>
      <c r="D319" s="2141"/>
      <c r="E319" s="2141"/>
      <c r="F319" s="2142"/>
      <c r="G319" s="2141"/>
      <c r="H319" s="2141"/>
      <c r="I319" s="2141"/>
      <c r="J319" s="2141"/>
      <c r="K319" s="2142"/>
      <c r="L319" s="2141"/>
      <c r="M319" s="2141"/>
      <c r="N319" s="2141"/>
      <c r="O319" s="2141"/>
      <c r="P319" s="2142"/>
      <c r="Q319" s="2141"/>
      <c r="R319" s="2141"/>
      <c r="S319" s="2141"/>
      <c r="T319" s="2141"/>
      <c r="U319" s="2142"/>
      <c r="V319" s="2141"/>
      <c r="W319" s="2141"/>
      <c r="X319" s="2141"/>
      <c r="Y319" s="2141"/>
      <c r="Z319" s="2142"/>
      <c r="AA319" s="2141"/>
      <c r="AB319" s="2141"/>
      <c r="AC319" s="2141"/>
      <c r="AD319" s="2141"/>
      <c r="AE319" s="2142"/>
      <c r="AF319" s="2156"/>
      <c r="AG319" s="2156"/>
      <c r="AH319" s="2157"/>
      <c r="AI319" s="2156"/>
      <c r="AJ319" s="2128"/>
      <c r="AK319" s="2156"/>
      <c r="AL319" s="2156"/>
      <c r="AM319" s="2155"/>
      <c r="AN319" s="2156"/>
      <c r="AO319" s="2158"/>
      <c r="AP319" s="2156"/>
      <c r="AQ319" s="2156"/>
      <c r="AR319" s="2156"/>
      <c r="AS319" s="2156"/>
      <c r="AT319" s="2158"/>
      <c r="AU319" s="2156"/>
      <c r="AV319" s="2156"/>
      <c r="AW319" s="2156"/>
      <c r="AX319" s="2156"/>
      <c r="AY319" s="2158"/>
      <c r="AZ319" s="2156"/>
      <c r="BA319" s="2156"/>
      <c r="BB319" s="2156"/>
      <c r="BC319" s="2156"/>
      <c r="BD319" s="2158"/>
      <c r="BE319" s="2159"/>
      <c r="BF319" s="2159"/>
      <c r="BG319" s="2159"/>
      <c r="BH319" s="2159"/>
      <c r="BI319" s="3009"/>
      <c r="BJ319" s="3010"/>
      <c r="BK319" s="3010"/>
      <c r="BL319" s="3010"/>
      <c r="BM319" s="3010"/>
      <c r="BN319" s="3009"/>
      <c r="BO319" s="3011"/>
      <c r="BP319" s="3011"/>
      <c r="BQ319" s="3011"/>
      <c r="BR319" s="3011"/>
      <c r="BS319" s="3011"/>
      <c r="BT319" s="2120"/>
      <c r="BU319" s="2160"/>
      <c r="BV319" s="2160"/>
      <c r="BW319" s="2160"/>
      <c r="BX319" s="2160"/>
      <c r="BY319" s="2160"/>
      <c r="BZ319" s="2160"/>
      <c r="CA319" s="2160"/>
    </row>
    <row r="320" spans="1:79" outlineLevel="1">
      <c r="A320" s="2121" t="s">
        <v>500</v>
      </c>
      <c r="B320" s="2122"/>
      <c r="C320" s="2122"/>
      <c r="D320" s="2122"/>
      <c r="E320" s="2122"/>
      <c r="F320" s="2123"/>
      <c r="G320" s="2122"/>
      <c r="H320" s="2122"/>
      <c r="I320" s="2122"/>
      <c r="J320" s="2122"/>
      <c r="K320" s="2123"/>
      <c r="L320" s="2122"/>
      <c r="M320" s="2122"/>
      <c r="N320" s="2122"/>
      <c r="O320" s="2122"/>
      <c r="P320" s="2123"/>
      <c r="Q320" s="2122"/>
      <c r="R320" s="2122"/>
      <c r="S320" s="2122"/>
      <c r="T320" s="2122"/>
      <c r="U320" s="2123"/>
      <c r="V320" s="2122"/>
      <c r="W320" s="2122"/>
      <c r="X320" s="2122"/>
      <c r="Y320" s="2122"/>
      <c r="Z320" s="2123"/>
      <c r="AA320" s="2122"/>
      <c r="AB320" s="2122"/>
      <c r="AC320" s="2122"/>
      <c r="AD320" s="2122"/>
      <c r="AE320" s="2123"/>
      <c r="AF320" s="2124"/>
      <c r="AG320" s="2122"/>
      <c r="AH320" s="2122"/>
      <c r="AI320" s="2122"/>
      <c r="AJ320" s="2123"/>
      <c r="AK320" s="2125"/>
      <c r="AL320" s="2122"/>
      <c r="AM320" s="2122"/>
      <c r="AN320" s="2122"/>
      <c r="AO320" s="2123"/>
      <c r="AP320" s="2122"/>
      <c r="AQ320" s="2122"/>
      <c r="AR320" s="2122"/>
      <c r="AS320" s="2122"/>
      <c r="AT320" s="2123"/>
      <c r="AU320" s="2122"/>
      <c r="AV320" s="2122"/>
      <c r="AW320" s="2122"/>
      <c r="AX320" s="2122"/>
      <c r="AY320" s="2123"/>
      <c r="AZ320" s="2122"/>
      <c r="BA320" s="2122"/>
      <c r="BB320" s="2122"/>
      <c r="BC320" s="2122"/>
      <c r="BD320" s="2123"/>
      <c r="BE320" s="2122"/>
      <c r="BF320" s="2122"/>
      <c r="BG320" s="2122"/>
      <c r="BH320" s="2122"/>
      <c r="BI320" s="2915"/>
      <c r="BJ320" s="2917"/>
      <c r="BK320" s="2917"/>
      <c r="BL320" s="2917"/>
      <c r="BM320" s="2917"/>
      <c r="BN320" s="2915"/>
      <c r="BO320" s="2955"/>
      <c r="BP320" s="2955"/>
      <c r="BQ320" s="2955"/>
      <c r="BR320" s="2955"/>
      <c r="BS320" s="2955"/>
      <c r="BT320" s="2120"/>
      <c r="BU320" s="2123"/>
      <c r="BV320" s="2123"/>
      <c r="BW320" s="2123"/>
      <c r="BX320" s="2123"/>
      <c r="BY320" s="2123"/>
      <c r="BZ320" s="2123"/>
      <c r="CA320" s="2123"/>
    </row>
    <row r="321" spans="1:80" outlineLevel="1">
      <c r="A321" s="2120" t="s">
        <v>913</v>
      </c>
      <c r="B321" s="2127"/>
      <c r="C321" s="2127"/>
      <c r="D321" s="2127"/>
      <c r="E321" s="2127"/>
      <c r="F321" s="2128"/>
      <c r="G321" s="2127"/>
      <c r="H321" s="2127"/>
      <c r="I321" s="2127"/>
      <c r="J321" s="2127"/>
      <c r="K321" s="2128"/>
      <c r="L321" s="2127"/>
      <c r="M321" s="2127"/>
      <c r="N321" s="2127"/>
      <c r="O321" s="2127"/>
      <c r="P321" s="2128"/>
      <c r="Q321" s="2127"/>
      <c r="R321" s="2127"/>
      <c r="S321" s="2127"/>
      <c r="T321" s="2127"/>
      <c r="U321" s="2128"/>
      <c r="V321" s="2127"/>
      <c r="W321" s="2127"/>
      <c r="X321" s="2127"/>
      <c r="Y321" s="2127"/>
      <c r="Z321" s="2128"/>
      <c r="AA321" s="2127"/>
      <c r="AB321" s="2127"/>
      <c r="AC321" s="2127"/>
      <c r="AD321" s="2127"/>
      <c r="AE321" s="2128">
        <f>SUM('Client Unit Model'!AF187:AI187)-AE292-AE293-AE294-AE302-AE311-AE312</f>
        <v>3084.1123415370744</v>
      </c>
      <c r="AF321" s="2129">
        <v>850</v>
      </c>
      <c r="AG321" s="2129">
        <v>350</v>
      </c>
      <c r="AH321" s="2129">
        <v>1050</v>
      </c>
      <c r="AI321" s="2129">
        <v>1000</v>
      </c>
      <c r="AJ321" s="2128">
        <f>SUM(AF321:AI321)</f>
        <v>3250</v>
      </c>
      <c r="AK321" s="2129">
        <v>900</v>
      </c>
      <c r="AL321" s="2129">
        <f>AL325-SUM(AL322:AL324)</f>
        <v>1266.3380528713496</v>
      </c>
      <c r="AM321" s="2129">
        <f>AM325-SUM(AM322:AM324)</f>
        <v>742.91295454545434</v>
      </c>
      <c r="AN321" s="2129">
        <f>AI321*(1.1)</f>
        <v>1100</v>
      </c>
      <c r="AO321" s="2128">
        <f>SUM(AK321:AN321)</f>
        <v>4009.251007416804</v>
      </c>
      <c r="AP321" s="2129">
        <f>AK321*1.1</f>
        <v>990.00000000000011</v>
      </c>
      <c r="AQ321" s="2129">
        <f>AL321*1.03</f>
        <v>1304.3281944574901</v>
      </c>
      <c r="AR321" s="2129">
        <f>AM321*0.98</f>
        <v>728.05469545454525</v>
      </c>
      <c r="AS321" s="2129">
        <f>AN321*0.92</f>
        <v>1012</v>
      </c>
      <c r="AT321" s="2128">
        <f>SUM(AP321:AS321)</f>
        <v>4034.3828899120354</v>
      </c>
      <c r="AU321" s="2129">
        <f>AU392</f>
        <v>960.30000000000007</v>
      </c>
      <c r="AV321" s="2129">
        <f>AV392</f>
        <v>1278.2416305683403</v>
      </c>
      <c r="AW321" s="2129">
        <f>AW392</f>
        <v>728.05469545454525</v>
      </c>
      <c r="AX321" s="2129">
        <f>AX392</f>
        <v>1042.3600000000001</v>
      </c>
      <c r="AY321" s="2128">
        <f>SUM(AU321:AX321)</f>
        <v>4008.9563260228856</v>
      </c>
      <c r="AZ321" s="2129"/>
      <c r="BA321" s="2129"/>
      <c r="BB321" s="2129"/>
      <c r="BC321" s="2129"/>
      <c r="BD321" s="2128"/>
      <c r="BE321" s="2130"/>
      <c r="BF321" s="2130"/>
      <c r="BG321" s="2130"/>
      <c r="BH321" s="2130"/>
      <c r="BI321" s="2918"/>
      <c r="BJ321" s="2925"/>
      <c r="BK321" s="2925"/>
      <c r="BL321" s="2925"/>
      <c r="BM321" s="2925"/>
      <c r="BN321" s="2918"/>
      <c r="BO321" s="2974"/>
      <c r="BP321" s="2974"/>
      <c r="BQ321" s="2974"/>
      <c r="BR321" s="2974"/>
      <c r="BS321" s="2974"/>
      <c r="BT321" s="2120"/>
      <c r="BU321" s="2131"/>
      <c r="BV321" s="2131"/>
      <c r="BW321" s="2131">
        <f>SUM(AM321:AN321,AP321:AQ321)</f>
        <v>4137.2411490029444</v>
      </c>
      <c r="BX321" s="2131">
        <f>SUM(AR321:AS321,AU321:AV321)</f>
        <v>3978.5963260228855</v>
      </c>
      <c r="BY321" s="2131">
        <f>SUM(AW321:AX321,AZ321:BA321)</f>
        <v>1770.4146954545454</v>
      </c>
      <c r="BZ321" s="2131">
        <f>SUM(BB321:BC321,BE321:BF321)</f>
        <v>0</v>
      </c>
      <c r="CA321" s="2131"/>
    </row>
    <row r="322" spans="1:80" outlineLevel="1">
      <c r="A322" s="2126" t="s">
        <v>915</v>
      </c>
      <c r="B322" s="2127"/>
      <c r="C322" s="2127"/>
      <c r="D322" s="2127"/>
      <c r="E322" s="2127"/>
      <c r="F322" s="2128"/>
      <c r="G322" s="2127"/>
      <c r="H322" s="2127"/>
      <c r="I322" s="2127"/>
      <c r="J322" s="2127"/>
      <c r="K322" s="2128"/>
      <c r="L322" s="2127"/>
      <c r="M322" s="2127"/>
      <c r="N322" s="2127"/>
      <c r="O322" s="2127"/>
      <c r="P322" s="2128"/>
      <c r="Q322" s="2127"/>
      <c r="R322" s="2127"/>
      <c r="S322" s="2127"/>
      <c r="T322" s="2127"/>
      <c r="U322" s="2128"/>
      <c r="V322" s="2127"/>
      <c r="W322" s="2127"/>
      <c r="X322" s="2127"/>
      <c r="Y322" s="2127"/>
      <c r="Z322" s="2128"/>
      <c r="AA322" s="2127"/>
      <c r="AB322" s="2127"/>
      <c r="AC322" s="2127"/>
      <c r="AD322" s="2127"/>
      <c r="AE322" s="2128">
        <v>13945</v>
      </c>
      <c r="AF322" s="2129">
        <v>3254.4196428571427</v>
      </c>
      <c r="AG322" s="2129">
        <v>3798.1696428571431</v>
      </c>
      <c r="AH322" s="2129">
        <v>3722.0454545454554</v>
      </c>
      <c r="AI322" s="2129">
        <v>4123.9210526315801</v>
      </c>
      <c r="AJ322" s="2128">
        <f>SUM(AF322:AI322)</f>
        <v>14898.555792891322</v>
      </c>
      <c r="AK322" s="2129">
        <v>3644.9500000000003</v>
      </c>
      <c r="AL322" s="2129">
        <v>4253.9500000000007</v>
      </c>
      <c r="AM322" s="2129">
        <v>4094.2500000000014</v>
      </c>
      <c r="AN322" s="2129">
        <v>4701.2700000000023</v>
      </c>
      <c r="AO322" s="2128">
        <f>SUM(AK322:AN322)</f>
        <v>16694.420000000006</v>
      </c>
      <c r="AP322" s="2129">
        <v>4045.8945000000008</v>
      </c>
      <c r="AQ322" s="2129">
        <v>4551.7265000000007</v>
      </c>
      <c r="AR322" s="2129">
        <v>4503.675000000002</v>
      </c>
      <c r="AS322" s="2129">
        <v>4701.2700000000023</v>
      </c>
      <c r="AT322" s="2128">
        <f>SUM(AP322:AS322)</f>
        <v>17802.566000000006</v>
      </c>
      <c r="AU322" s="2129">
        <f>AU396</f>
        <v>4045.8945000000008</v>
      </c>
      <c r="AV322" s="2129">
        <f>AV396</f>
        <v>4642.7610300000006</v>
      </c>
      <c r="AW322" s="2129">
        <f>AW396</f>
        <v>4638.7852500000026</v>
      </c>
      <c r="AX322" s="2129">
        <f>AX396</f>
        <v>5030.3589000000029</v>
      </c>
      <c r="AY322" s="2128">
        <f>SUM(AU322:AX322)</f>
        <v>18357.799680000007</v>
      </c>
      <c r="AZ322" s="2129"/>
      <c r="BA322" s="2129"/>
      <c r="BB322" s="2129"/>
      <c r="BC322" s="2129"/>
      <c r="BD322" s="2128"/>
      <c r="BE322" s="2130"/>
      <c r="BF322" s="2130"/>
      <c r="BG322" s="2130"/>
      <c r="BH322" s="2130"/>
      <c r="BI322" s="2918"/>
      <c r="BJ322" s="2925"/>
      <c r="BK322" s="2925"/>
      <c r="BL322" s="2925"/>
      <c r="BM322" s="2925"/>
      <c r="BN322" s="2918"/>
      <c r="BO322" s="2974"/>
      <c r="BP322" s="2974"/>
      <c r="BQ322" s="2974"/>
      <c r="BR322" s="2974"/>
      <c r="BS322" s="2974"/>
      <c r="BT322" s="2120"/>
      <c r="BU322" s="2131"/>
      <c r="BV322" s="2131"/>
      <c r="BW322" s="2131">
        <f>SUM(AM322:AN322,AP322:AQ322)</f>
        <v>17393.141000000003</v>
      </c>
      <c r="BX322" s="2131">
        <f>SUM(AR322:AS322,AU322:AV322)</f>
        <v>17893.600530000003</v>
      </c>
      <c r="BY322" s="2131">
        <f>SUM(AW322:AX322,AZ322:BA322)</f>
        <v>9669.1441500000055</v>
      </c>
      <c r="BZ322" s="2131">
        <f>SUM(BB322:BC322,BE322:BF322)</f>
        <v>0</v>
      </c>
      <c r="CA322" s="2131"/>
    </row>
    <row r="323" spans="1:80" outlineLevel="1">
      <c r="A323" s="2126" t="s">
        <v>501</v>
      </c>
      <c r="B323" s="2127"/>
      <c r="C323" s="2127"/>
      <c r="D323" s="2127"/>
      <c r="E323" s="2127"/>
      <c r="F323" s="2128"/>
      <c r="G323" s="2127"/>
      <c r="H323" s="2127"/>
      <c r="I323" s="2127"/>
      <c r="J323" s="2127"/>
      <c r="K323" s="2128"/>
      <c r="L323" s="2127"/>
      <c r="M323" s="2127"/>
      <c r="N323" s="2127"/>
      <c r="O323" s="2127"/>
      <c r="P323" s="2128"/>
      <c r="Q323" s="2127"/>
      <c r="R323" s="2127"/>
      <c r="S323" s="2127"/>
      <c r="T323" s="2127"/>
      <c r="U323" s="2128"/>
      <c r="V323" s="2127"/>
      <c r="W323" s="2127"/>
      <c r="X323" s="2127"/>
      <c r="Y323" s="2127"/>
      <c r="Z323" s="2128"/>
      <c r="AA323" s="2127"/>
      <c r="AB323" s="2127"/>
      <c r="AC323" s="2127"/>
      <c r="AD323" s="2127"/>
      <c r="AE323" s="2128">
        <f>'Rev Overview'!BE282-AE315-AE296-AE303</f>
        <v>1614.0832887483357</v>
      </c>
      <c r="AF323" s="2129">
        <f>'Rev Overview'!BF282-AF315-AF296-AF303</f>
        <v>750.26035868927192</v>
      </c>
      <c r="AG323" s="2129">
        <f>'Rev Overview'!BG282-AG315-AG296-AG303</f>
        <v>1096.1969149144843</v>
      </c>
      <c r="AH323" s="2129">
        <v>100</v>
      </c>
      <c r="AI323" s="2129">
        <v>350</v>
      </c>
      <c r="AJ323" s="2128">
        <f>SUM(AF323:AI323)</f>
        <v>2296.4572736037562</v>
      </c>
      <c r="AK323" s="2129">
        <v>100</v>
      </c>
      <c r="AL323" s="2129">
        <v>275</v>
      </c>
      <c r="AM323" s="2129">
        <v>110</v>
      </c>
      <c r="AN323" s="2129">
        <f>AN325-AN324-AN322-AN321</f>
        <v>98.293289473683217</v>
      </c>
      <c r="AO323" s="2128">
        <f>SUM(AK323:AN323)</f>
        <v>583.29328947368322</v>
      </c>
      <c r="AP323" s="2129">
        <f>AP325-AP324-AP322-AP321</f>
        <v>218.67899999999952</v>
      </c>
      <c r="AQ323" s="2129">
        <f>AQ325-AQ324-AQ322-AQ321</f>
        <v>351.07235180494172</v>
      </c>
      <c r="AR323" s="2129">
        <f>AR325-AR324-AR322-AR321</f>
        <v>278.48718636363628</v>
      </c>
      <c r="AS323" s="2129">
        <f>AS325-AS324-AS322-AS321</f>
        <v>364.31189736841952</v>
      </c>
      <c r="AT323" s="2128">
        <f>SUM(AP323:AS323)</f>
        <v>1212.5504355369972</v>
      </c>
      <c r="AU323" s="2129">
        <f>AU400</f>
        <v>214.30541999999951</v>
      </c>
      <c r="AV323" s="2129">
        <f>AV400</f>
        <v>345.80626652786759</v>
      </c>
      <c r="AW323" s="2129">
        <f>AW400</f>
        <v>278.48718636363628</v>
      </c>
      <c r="AX323" s="2129">
        <f>AX400</f>
        <v>371.59813531578794</v>
      </c>
      <c r="AY323" s="2128">
        <f>SUM(AU323:AX323)</f>
        <v>1210.1970082072912</v>
      </c>
      <c r="AZ323" s="2129"/>
      <c r="BA323" s="2129"/>
      <c r="BB323" s="2129"/>
      <c r="BC323" s="2129"/>
      <c r="BD323" s="2128"/>
      <c r="BE323" s="2130"/>
      <c r="BF323" s="2130"/>
      <c r="BG323" s="2130"/>
      <c r="BH323" s="2130"/>
      <c r="BI323" s="2918"/>
      <c r="BJ323" s="2925"/>
      <c r="BK323" s="2925"/>
      <c r="BL323" s="2925"/>
      <c r="BM323" s="2925"/>
      <c r="BN323" s="2918"/>
      <c r="BO323" s="2974"/>
      <c r="BP323" s="2974"/>
      <c r="BQ323" s="2974"/>
      <c r="BR323" s="2974"/>
      <c r="BS323" s="2974"/>
      <c r="BT323" s="2120"/>
      <c r="BU323" s="2131"/>
      <c r="BV323" s="2131"/>
      <c r="BW323" s="2131">
        <f>SUM(AM323:AN323,AP323:AQ323)</f>
        <v>778.04464127862445</v>
      </c>
      <c r="BX323" s="2131">
        <f>SUM(AR323:AS323,AU323:AV323)</f>
        <v>1202.9107702599229</v>
      </c>
      <c r="BY323" s="2131">
        <f>SUM(AW323:AX323,AZ323:BA323)</f>
        <v>650.08532167942417</v>
      </c>
      <c r="BZ323" s="2131">
        <f>SUM(BB323:BC323,BE323:BF323)</f>
        <v>0</v>
      </c>
      <c r="CA323" s="2131"/>
    </row>
    <row r="324" spans="1:80" outlineLevel="1">
      <c r="A324" s="2169" t="s">
        <v>914</v>
      </c>
      <c r="B324" s="2133"/>
      <c r="C324" s="2133"/>
      <c r="D324" s="2133"/>
      <c r="E324" s="2133"/>
      <c r="F324" s="2134"/>
      <c r="G324" s="2133"/>
      <c r="H324" s="2133"/>
      <c r="I324" s="2133"/>
      <c r="J324" s="2133"/>
      <c r="K324" s="2134"/>
      <c r="L324" s="2133"/>
      <c r="M324" s="2133"/>
      <c r="N324" s="2133"/>
      <c r="O324" s="2133"/>
      <c r="P324" s="2134"/>
      <c r="Q324" s="2133"/>
      <c r="R324" s="2133"/>
      <c r="S324" s="2133"/>
      <c r="T324" s="2133"/>
      <c r="U324" s="2134"/>
      <c r="V324" s="2133"/>
      <c r="W324" s="2133"/>
      <c r="X324" s="2133"/>
      <c r="Y324" s="2133"/>
      <c r="Z324" s="2134"/>
      <c r="AA324" s="2133"/>
      <c r="AB324" s="2133"/>
      <c r="AC324" s="2133"/>
      <c r="AD324" s="2133"/>
      <c r="AE324" s="2134">
        <f>AE325-SUM(AE321:AE323)</f>
        <v>18482.804369714591</v>
      </c>
      <c r="AF324" s="2133">
        <f t="shared" ref="AF324:AK324" si="198">AF325-SUM(AF321:AF323)</f>
        <v>4090.319998453585</v>
      </c>
      <c r="AG324" s="2133">
        <f t="shared" si="198"/>
        <v>4890.6334422283726</v>
      </c>
      <c r="AH324" s="2133">
        <f>AH325-SUM(AH321:AH323)</f>
        <v>5106.9545454545441</v>
      </c>
      <c r="AI324" s="2133">
        <f t="shared" si="198"/>
        <v>5153.0789473684199</v>
      </c>
      <c r="AJ324" s="2134">
        <f>SUM(AF324:AI324)</f>
        <v>19240.986933504922</v>
      </c>
      <c r="AK324" s="2133">
        <f t="shared" si="198"/>
        <v>4966.0499999999993</v>
      </c>
      <c r="AL324" s="2133">
        <f>AG324*1.045</f>
        <v>5110.7119471286487</v>
      </c>
      <c r="AM324" s="2133">
        <f>AH324*1.055</f>
        <v>5387.8370454545438</v>
      </c>
      <c r="AN324" s="2133">
        <f>AI324*1.035</f>
        <v>5333.4367105263145</v>
      </c>
      <c r="AO324" s="2134">
        <f>SUM(AK324:AN324)</f>
        <v>20798.035703109508</v>
      </c>
      <c r="AP324" s="2133">
        <f>AK324*0.93</f>
        <v>4618.4264999999996</v>
      </c>
      <c r="AQ324" s="2133">
        <f>AL324*(1-0.125)</f>
        <v>4471.8729537375675</v>
      </c>
      <c r="AR324" s="2133">
        <f>AM324*(1-0.16)</f>
        <v>4525.7831181818165</v>
      </c>
      <c r="AS324" s="2133">
        <f>AN324*(1-0.18)</f>
        <v>4373.4181026315782</v>
      </c>
      <c r="AT324" s="2134">
        <f>SUM(AP324:AS324)</f>
        <v>17989.50067455096</v>
      </c>
      <c r="AU324" s="2133">
        <f>AU404</f>
        <v>3925.6625249999997</v>
      </c>
      <c r="AV324" s="2133">
        <f>AV404</f>
        <v>3801.0920106769322</v>
      </c>
      <c r="AW324" s="2133">
        <f>AW404</f>
        <v>3982.6891439999986</v>
      </c>
      <c r="AX324" s="2133">
        <f>AX404</f>
        <v>3848.607930315789</v>
      </c>
      <c r="AY324" s="2134">
        <f>SUM(AU324:AX324)</f>
        <v>15558.051609992719</v>
      </c>
      <c r="AZ324" s="2133"/>
      <c r="BA324" s="2133"/>
      <c r="BB324" s="2133"/>
      <c r="BC324" s="2133"/>
      <c r="BD324" s="2134"/>
      <c r="BE324" s="2135"/>
      <c r="BF324" s="2135"/>
      <c r="BG324" s="2135"/>
      <c r="BH324" s="2135"/>
      <c r="BI324" s="3003"/>
      <c r="BJ324" s="3004"/>
      <c r="BK324" s="3004"/>
      <c r="BL324" s="3004"/>
      <c r="BM324" s="3004"/>
      <c r="BN324" s="3003"/>
      <c r="BO324" s="2974"/>
      <c r="BP324" s="2974"/>
      <c r="BQ324" s="2974"/>
      <c r="BR324" s="2974"/>
      <c r="BS324" s="2974"/>
      <c r="BT324" s="2120"/>
      <c r="BU324" s="2136"/>
      <c r="BV324" s="2136"/>
      <c r="BW324" s="2136">
        <f>SUM(AM324:AN324,AP324:AQ324)</f>
        <v>19811.573209718426</v>
      </c>
      <c r="BX324" s="2136">
        <f>SUM(AR324:AS324,AU324:AV324)</f>
        <v>16625.955756490326</v>
      </c>
      <c r="BY324" s="2136">
        <f>SUM(AW324:AX324,AZ324:BA324)</f>
        <v>7831.2970743157875</v>
      </c>
      <c r="BZ324" s="2136">
        <f>SUM(BB324:BC324,BE324:BF324)</f>
        <v>0</v>
      </c>
      <c r="CA324" s="2136"/>
    </row>
    <row r="325" spans="1:80" outlineLevel="1">
      <c r="A325" s="2137" t="s">
        <v>0</v>
      </c>
      <c r="B325" s="2138"/>
      <c r="C325" s="2138"/>
      <c r="D325" s="2138"/>
      <c r="E325" s="2138"/>
      <c r="F325" s="2139"/>
      <c r="G325" s="2138"/>
      <c r="H325" s="2138"/>
      <c r="I325" s="2138"/>
      <c r="J325" s="2138"/>
      <c r="K325" s="2139"/>
      <c r="L325" s="2138"/>
      <c r="M325" s="2138"/>
      <c r="N325" s="2138"/>
      <c r="O325" s="2138"/>
      <c r="P325" s="2139"/>
      <c r="Q325" s="2138"/>
      <c r="R325" s="2138"/>
      <c r="S325" s="2138"/>
      <c r="T325" s="2138"/>
      <c r="U325" s="2139"/>
      <c r="V325" s="2138"/>
      <c r="W325" s="2138"/>
      <c r="X325" s="2138"/>
      <c r="Y325" s="2138"/>
      <c r="Z325" s="2139"/>
      <c r="AA325" s="2138">
        <f>'Rev Overview'!BA125</f>
        <v>8332</v>
      </c>
      <c r="AB325" s="2138">
        <f>'Rev Overview'!BB125</f>
        <v>9585</v>
      </c>
      <c r="AC325" s="2138">
        <f>'Rev Overview'!BC125</f>
        <v>9090</v>
      </c>
      <c r="AD325" s="2138">
        <f>'Rev Overview'!BD125</f>
        <v>10119</v>
      </c>
      <c r="AE325" s="2139">
        <f>'Rev Overview'!BE125</f>
        <v>37126</v>
      </c>
      <c r="AF325" s="2140">
        <f>'Rev Overview'!BF125</f>
        <v>8945</v>
      </c>
      <c r="AG325" s="2140">
        <f>'Rev Overview'!BG125</f>
        <v>10135</v>
      </c>
      <c r="AH325" s="2140">
        <f>'Rev Overview'!BH125</f>
        <v>9979</v>
      </c>
      <c r="AI325" s="2140">
        <f>'Rev Overview'!BI125</f>
        <v>10627</v>
      </c>
      <c r="AJ325" s="2139">
        <f>'Rev Overview'!BJ125</f>
        <v>39686</v>
      </c>
      <c r="AK325" s="2140">
        <f>'Rev Overview'!BK125</f>
        <v>9611</v>
      </c>
      <c r="AL325" s="2140">
        <f>'Rev Overview'!BL125</f>
        <v>10906</v>
      </c>
      <c r="AM325" s="2140">
        <f>'Rev Overview'!BM125</f>
        <v>10335</v>
      </c>
      <c r="AN325" s="2140">
        <f>'Rev Overview'!BN125</f>
        <v>11233</v>
      </c>
      <c r="AO325" s="2139">
        <f>SUM(AK325:AN325)</f>
        <v>42085</v>
      </c>
      <c r="AP325" s="2140">
        <f>'Rev Overview'!BP125</f>
        <v>9873</v>
      </c>
      <c r="AQ325" s="2140">
        <f>'Rev Overview'!BQ125</f>
        <v>10679</v>
      </c>
      <c r="AR325" s="2140">
        <f>'Rev Overview'!BR125</f>
        <v>10036</v>
      </c>
      <c r="AS325" s="2140">
        <f>'Rev Overview'!BS125</f>
        <v>10451</v>
      </c>
      <c r="AT325" s="2139">
        <f>SUM(AP325:AS325)</f>
        <v>41039</v>
      </c>
      <c r="AU325" s="2140">
        <f>SUM(AU321:AU324)</f>
        <v>9146.1624449999999</v>
      </c>
      <c r="AV325" s="2140">
        <f>SUM(AV321:AV324)</f>
        <v>10067.90093777314</v>
      </c>
      <c r="AW325" s="2140">
        <f>SUM(AW321:AW324)</f>
        <v>9628.0162758181832</v>
      </c>
      <c r="AX325" s="2140">
        <f>SUM(AX321:AX324)</f>
        <v>10292.924965631581</v>
      </c>
      <c r="AY325" s="2139">
        <f>SUM(AU325:AX325)</f>
        <v>39135.0046242229</v>
      </c>
      <c r="AZ325" s="2140"/>
      <c r="BA325" s="2140"/>
      <c r="BB325" s="2140"/>
      <c r="BC325" s="2140"/>
      <c r="BD325" s="2139"/>
      <c r="BE325" s="2140"/>
      <c r="BF325" s="2140"/>
      <c r="BG325" s="2140"/>
      <c r="BH325" s="2140"/>
      <c r="BI325" s="3005"/>
      <c r="BJ325" s="3006"/>
      <c r="BK325" s="3006"/>
      <c r="BL325" s="3006"/>
      <c r="BM325" s="3006"/>
      <c r="BN325" s="3005"/>
      <c r="BO325" s="3007"/>
      <c r="BP325" s="3007"/>
      <c r="BQ325" s="3007"/>
      <c r="BR325" s="3007"/>
      <c r="BS325" s="3007"/>
      <c r="BT325" s="2120"/>
      <c r="BU325" s="2139"/>
      <c r="BV325" s="2139"/>
      <c r="BW325" s="2139">
        <f>SUM(AM325:AN325,AP325:AQ325)</f>
        <v>42120</v>
      </c>
      <c r="BX325" s="2139">
        <f>SUM(AR325:AS325,AU325:AV325)</f>
        <v>39701.063382773144</v>
      </c>
      <c r="BY325" s="2139">
        <f>SUM(AW325:AX325,AZ325:BA325)</f>
        <v>19920.941241449764</v>
      </c>
      <c r="BZ325" s="2139">
        <f>SUM(BB325:BC325,BE325:BF325)</f>
        <v>0</v>
      </c>
      <c r="CA325" s="2139"/>
    </row>
    <row r="326" spans="1:80" ht="6.75" customHeight="1" outlineLevel="1">
      <c r="A326" s="2120"/>
      <c r="B326" s="2141"/>
      <c r="C326" s="2141"/>
      <c r="D326" s="2141"/>
      <c r="E326" s="2141"/>
      <c r="F326" s="2142"/>
      <c r="G326" s="2141"/>
      <c r="H326" s="2141"/>
      <c r="I326" s="2141"/>
      <c r="J326" s="2141"/>
      <c r="K326" s="2142"/>
      <c r="L326" s="2141"/>
      <c r="M326" s="2141"/>
      <c r="N326" s="2141"/>
      <c r="O326" s="2141"/>
      <c r="P326" s="2142"/>
      <c r="Q326" s="2141"/>
      <c r="R326" s="2141"/>
      <c r="S326" s="2141"/>
      <c r="T326" s="2141"/>
      <c r="U326" s="2142"/>
      <c r="V326" s="2141"/>
      <c r="W326" s="2141"/>
      <c r="X326" s="2141"/>
      <c r="Y326" s="2141"/>
      <c r="Z326" s="2142"/>
      <c r="AA326" s="2141"/>
      <c r="AB326" s="2141"/>
      <c r="AC326" s="2141"/>
      <c r="AD326" s="2141"/>
      <c r="AE326" s="2142"/>
      <c r="AF326" s="2156"/>
      <c r="AG326" s="2156"/>
      <c r="AH326" s="2157"/>
      <c r="AI326" s="2156"/>
      <c r="AJ326" s="2142"/>
      <c r="AK326" s="2156"/>
      <c r="AL326" s="2156"/>
      <c r="AM326" s="2157"/>
      <c r="AN326" s="2156"/>
      <c r="AO326" s="2158"/>
      <c r="AP326" s="2156"/>
      <c r="AQ326" s="2156"/>
      <c r="AR326" s="2156"/>
      <c r="AS326" s="2156"/>
      <c r="AT326" s="2158"/>
      <c r="AU326" s="2156"/>
      <c r="AV326" s="2156"/>
      <c r="AW326" s="2156"/>
      <c r="AX326" s="2156"/>
      <c r="AY326" s="2158"/>
      <c r="AZ326" s="2156"/>
      <c r="BA326" s="2156"/>
      <c r="BB326" s="2156"/>
      <c r="BC326" s="2156"/>
      <c r="BD326" s="2158"/>
      <c r="BE326" s="2159"/>
      <c r="BF326" s="2159"/>
      <c r="BG326" s="2159"/>
      <c r="BH326" s="2159"/>
      <c r="BI326" s="3009"/>
      <c r="BJ326" s="3010"/>
      <c r="BK326" s="3010"/>
      <c r="BL326" s="3010"/>
      <c r="BM326" s="3010"/>
      <c r="BN326" s="3009"/>
      <c r="BO326" s="3011"/>
      <c r="BP326" s="3011"/>
      <c r="BQ326" s="3011"/>
      <c r="BR326" s="3011"/>
      <c r="BS326" s="3011"/>
      <c r="BT326" s="2120"/>
      <c r="BU326" s="2160"/>
      <c r="BV326" s="2160"/>
      <c r="BW326" s="2160"/>
      <c r="BX326" s="2160"/>
      <c r="BY326" s="2160"/>
      <c r="BZ326" s="2160"/>
      <c r="CA326" s="2160"/>
    </row>
    <row r="327" spans="1:80" outlineLevel="1">
      <c r="A327" s="2121" t="s">
        <v>502</v>
      </c>
      <c r="B327" s="2122"/>
      <c r="C327" s="2122"/>
      <c r="D327" s="2122"/>
      <c r="E327" s="2122"/>
      <c r="F327" s="2123"/>
      <c r="G327" s="2122"/>
      <c r="H327" s="2122"/>
      <c r="I327" s="2122"/>
      <c r="J327" s="2122"/>
      <c r="K327" s="2123"/>
      <c r="L327" s="2122"/>
      <c r="M327" s="2122"/>
      <c r="N327" s="2122"/>
      <c r="O327" s="2122"/>
      <c r="P327" s="2123"/>
      <c r="Q327" s="2122"/>
      <c r="R327" s="2122"/>
      <c r="S327" s="2122"/>
      <c r="T327" s="2122"/>
      <c r="U327" s="2123"/>
      <c r="V327" s="2122"/>
      <c r="W327" s="2122"/>
      <c r="X327" s="2122"/>
      <c r="Y327" s="2122"/>
      <c r="Z327" s="2123"/>
      <c r="AA327" s="2122"/>
      <c r="AB327" s="2122"/>
      <c r="AC327" s="2122"/>
      <c r="AD327" s="2122"/>
      <c r="AE327" s="2123"/>
      <c r="AF327" s="2124"/>
      <c r="AG327" s="2122"/>
      <c r="AH327" s="2122"/>
      <c r="AI327" s="2122"/>
      <c r="AJ327" s="2123"/>
      <c r="AK327" s="2125"/>
      <c r="AL327" s="2122"/>
      <c r="AM327" s="2122"/>
      <c r="AN327" s="2124"/>
      <c r="AO327" s="2123"/>
      <c r="AP327" s="2122"/>
      <c r="AQ327" s="2122"/>
      <c r="AR327" s="2122"/>
      <c r="AS327" s="2122"/>
      <c r="AT327" s="2123"/>
      <c r="AU327" s="2122"/>
      <c r="AV327" s="2122"/>
      <c r="AW327" s="2122"/>
      <c r="AX327" s="2122"/>
      <c r="AY327" s="2123"/>
      <c r="AZ327" s="2122"/>
      <c r="BA327" s="2122"/>
      <c r="BB327" s="2122"/>
      <c r="BC327" s="2122"/>
      <c r="BD327" s="2123"/>
      <c r="BE327" s="2122"/>
      <c r="BF327" s="2122"/>
      <c r="BG327" s="2122"/>
      <c r="BH327" s="2122"/>
      <c r="BI327" s="2915"/>
      <c r="BJ327" s="2917"/>
      <c r="BK327" s="2917"/>
      <c r="BL327" s="2917"/>
      <c r="BM327" s="2917"/>
      <c r="BN327" s="2915"/>
      <c r="BO327" s="2955"/>
      <c r="BP327" s="2955"/>
      <c r="BQ327" s="2955"/>
      <c r="BR327" s="2955"/>
      <c r="BS327" s="2955"/>
      <c r="BT327" s="2120"/>
      <c r="BU327" s="2123"/>
      <c r="BV327" s="2123"/>
      <c r="BW327" s="2123"/>
      <c r="BX327" s="2123"/>
      <c r="BY327" s="2123"/>
      <c r="BZ327" s="2123"/>
      <c r="CA327" s="2123"/>
    </row>
    <row r="328" spans="1:80" outlineLevel="1">
      <c r="A328" s="2120" t="s">
        <v>503</v>
      </c>
      <c r="B328" s="2127"/>
      <c r="C328" s="2127"/>
      <c r="D328" s="2127"/>
      <c r="E328" s="2127"/>
      <c r="F328" s="2128"/>
      <c r="G328" s="2127"/>
      <c r="H328" s="2127"/>
      <c r="I328" s="2127"/>
      <c r="J328" s="2127"/>
      <c r="K328" s="2128"/>
      <c r="L328" s="2127"/>
      <c r="M328" s="2127"/>
      <c r="N328" s="2127"/>
      <c r="O328" s="2127"/>
      <c r="P328" s="2128"/>
      <c r="Q328" s="2127"/>
      <c r="R328" s="2127"/>
      <c r="S328" s="2127"/>
      <c r="T328" s="2127"/>
      <c r="U328" s="2128"/>
      <c r="V328" s="2127"/>
      <c r="W328" s="2127"/>
      <c r="X328" s="2127"/>
      <c r="Y328" s="2127"/>
      <c r="Z328" s="2128"/>
      <c r="AA328" s="2127"/>
      <c r="AB328" s="2127"/>
      <c r="AC328" s="2127"/>
      <c r="AD328" s="2127"/>
      <c r="AE328" s="2128">
        <f>(595/0.18)*1.18</f>
        <v>3900.5555555555557</v>
      </c>
      <c r="AF328" s="2129">
        <v>1045</v>
      </c>
      <c r="AG328" s="2129">
        <v>1075</v>
      </c>
      <c r="AH328" s="2129">
        <v>1000</v>
      </c>
      <c r="AI328" s="2129">
        <v>1102</v>
      </c>
      <c r="AJ328" s="2128">
        <f>SUM(AF328:AI328)</f>
        <v>4222</v>
      </c>
      <c r="AK328" s="2129">
        <f>AF328*1.09</f>
        <v>1139.0500000000002</v>
      </c>
      <c r="AL328" s="2129">
        <f>AG328*1.074</f>
        <v>1154.5500000000002</v>
      </c>
      <c r="AM328" s="2129">
        <f>AH328*1.084</f>
        <v>1084</v>
      </c>
      <c r="AN328" s="2129">
        <f>AI328*1.115</f>
        <v>1228.73</v>
      </c>
      <c r="AO328" s="2128">
        <f>SUM(AK328:AN328)</f>
        <v>4606.33</v>
      </c>
      <c r="AP328" s="2129">
        <f>AK328*1.135</f>
        <v>1292.8217500000003</v>
      </c>
      <c r="AQ328" s="2129">
        <f>AL328*1.1</f>
        <v>1270.0050000000003</v>
      </c>
      <c r="AR328" s="2129">
        <f>AM328*1.074</f>
        <v>1164.2160000000001</v>
      </c>
      <c r="AS328" s="2129">
        <f>AN328*(1-0.0145)</f>
        <v>1210.913415</v>
      </c>
      <c r="AT328" s="2128">
        <f>SUM(AP328:AS328)</f>
        <v>4937.9561650000005</v>
      </c>
      <c r="AU328" s="2129">
        <f>AU414</f>
        <v>1318.6781850000002</v>
      </c>
      <c r="AV328" s="2129">
        <f>AV414</f>
        <v>1308.1051500000003</v>
      </c>
      <c r="AW328" s="2129">
        <f>AW414</f>
        <v>1222.4268000000002</v>
      </c>
      <c r="AX328" s="2129">
        <f>AX414</f>
        <v>1295.6773540500001</v>
      </c>
      <c r="AY328" s="2128">
        <f>SUM(AU328:AX328)</f>
        <v>5144.887489050001</v>
      </c>
      <c r="AZ328" s="2129"/>
      <c r="BA328" s="2129"/>
      <c r="BB328" s="2129"/>
      <c r="BC328" s="2129"/>
      <c r="BD328" s="2128"/>
      <c r="BE328" s="2130"/>
      <c r="BF328" s="2130"/>
      <c r="BG328" s="2130"/>
      <c r="BH328" s="2130"/>
      <c r="BI328" s="2918"/>
      <c r="BJ328" s="2925"/>
      <c r="BK328" s="2925"/>
      <c r="BL328" s="2925"/>
      <c r="BM328" s="2925"/>
      <c r="BN328" s="2918"/>
      <c r="BO328" s="2974"/>
      <c r="BP328" s="2974"/>
      <c r="BQ328" s="2974"/>
      <c r="BR328" s="2974"/>
      <c r="BS328" s="2974"/>
      <c r="BT328" s="2120"/>
      <c r="BU328" s="2131"/>
      <c r="BV328" s="2131"/>
      <c r="BW328" s="2131">
        <f>SUM(AM328:AN328,AP328:AQ328)</f>
        <v>4875.5567500000006</v>
      </c>
      <c r="BX328" s="2131">
        <f>SUM(AR328:AS328,AU328:AV328)</f>
        <v>5001.9127500000013</v>
      </c>
      <c r="BY328" s="2131">
        <f>SUM(AW328:AX328,AZ328:BA328)</f>
        <v>2518.10415405</v>
      </c>
      <c r="BZ328" s="2131">
        <f>SUM(BB328:BC328,BE328:BF328)</f>
        <v>0</v>
      </c>
      <c r="CA328" s="2131"/>
    </row>
    <row r="329" spans="1:80" outlineLevel="1">
      <c r="A329" s="2126" t="s">
        <v>918</v>
      </c>
      <c r="B329" s="2127"/>
      <c r="C329" s="2127"/>
      <c r="D329" s="2127"/>
      <c r="E329" s="2127"/>
      <c r="F329" s="2128"/>
      <c r="G329" s="2127"/>
      <c r="H329" s="2127"/>
      <c r="I329" s="2127"/>
      <c r="J329" s="2127"/>
      <c r="K329" s="2128"/>
      <c r="L329" s="2127"/>
      <c r="M329" s="2127"/>
      <c r="N329" s="2127"/>
      <c r="O329" s="2127"/>
      <c r="P329" s="2128"/>
      <c r="Q329" s="2127"/>
      <c r="R329" s="2127"/>
      <c r="S329" s="2127"/>
      <c r="T329" s="2127"/>
      <c r="U329" s="2128"/>
      <c r="V329" s="2127"/>
      <c r="W329" s="2127"/>
      <c r="X329" s="2127"/>
      <c r="Y329" s="2127"/>
      <c r="Z329" s="2128"/>
      <c r="AA329" s="2127"/>
      <c r="AB329" s="2127"/>
      <c r="AC329" s="2127"/>
      <c r="AD329" s="2127"/>
      <c r="AE329" s="2128">
        <f>SUM(AE330:AE331)</f>
        <v>743.44444444444434</v>
      </c>
      <c r="AF329" s="2129">
        <f>SUM(AF330:AF331)</f>
        <v>203</v>
      </c>
      <c r="AG329" s="2129">
        <f>SUM(AG330:AG331)</f>
        <v>314</v>
      </c>
      <c r="AH329" s="2129">
        <f>SUM(AH330:AH331)</f>
        <v>449</v>
      </c>
      <c r="AI329" s="2129">
        <f>SUM(AI330:AI331)</f>
        <v>472</v>
      </c>
      <c r="AJ329" s="2128">
        <f>SUM(AF329:AI329)</f>
        <v>1438</v>
      </c>
      <c r="AK329" s="2129">
        <f>SUM(AK330:AK331)</f>
        <v>462.94999999999982</v>
      </c>
      <c r="AL329" s="2129">
        <f>SUM(AL330:AL331)</f>
        <v>625.44999999999982</v>
      </c>
      <c r="AM329" s="2129">
        <f>SUM(AM330:AM331)</f>
        <v>818</v>
      </c>
      <c r="AN329" s="2129">
        <f>SUM(AN330:AN331)</f>
        <v>1033.27</v>
      </c>
      <c r="AO329" s="2128">
        <f>SUM(AK329:AN329)</f>
        <v>2939.6699999999996</v>
      </c>
      <c r="AP329" s="2129">
        <f>SUM(AP330:AP331)</f>
        <v>1114.1782499999997</v>
      </c>
      <c r="AQ329" s="2129">
        <f>SUM(AQ330:AQ331)</f>
        <v>1322.9949999999997</v>
      </c>
      <c r="AR329" s="2129">
        <f>SUM(AR330:AR331)</f>
        <v>1595.7839999999999</v>
      </c>
      <c r="AS329" s="2129">
        <f>SUM(AS330:AS331)</f>
        <v>1865.086585</v>
      </c>
      <c r="AT329" s="2128">
        <f>SUM(AP329:AS329)</f>
        <v>5898.0438349999995</v>
      </c>
      <c r="AU329" s="2129">
        <f>SUM(AU330:AU331)</f>
        <v>1867.8819599999997</v>
      </c>
      <c r="AV329" s="2129">
        <f>SUM(AV330:AV331)</f>
        <v>2182.941749999999</v>
      </c>
      <c r="AW329" s="2129">
        <f>SUM(AW330:AW331)</f>
        <v>2624.8873499999995</v>
      </c>
      <c r="AX329" s="2129">
        <f>SUM(AX330:AX331)</f>
        <v>2984.1385360000004</v>
      </c>
      <c r="AY329" s="2128">
        <f>SUM(AU329:AX329)</f>
        <v>9659.8495959999982</v>
      </c>
      <c r="AZ329" s="2129"/>
      <c r="BA329" s="2129"/>
      <c r="BB329" s="2129"/>
      <c r="BC329" s="2129"/>
      <c r="BD329" s="2128"/>
      <c r="BE329" s="2130"/>
      <c r="BF329" s="2130"/>
      <c r="BG329" s="2130"/>
      <c r="BH329" s="2130"/>
      <c r="BI329" s="2918"/>
      <c r="BJ329" s="2925"/>
      <c r="BK329" s="2925"/>
      <c r="BL329" s="2925"/>
      <c r="BM329" s="2925"/>
      <c r="BN329" s="2918"/>
      <c r="BO329" s="2974"/>
      <c r="BP329" s="2974"/>
      <c r="BQ329" s="2974"/>
      <c r="BR329" s="2974"/>
      <c r="BS329" s="2974"/>
      <c r="BT329" s="2120"/>
      <c r="BU329" s="2131"/>
      <c r="BV329" s="2131"/>
      <c r="BW329" s="2131">
        <f>SUM(AM329:AN329,AP329:AQ329)</f>
        <v>4288.4432499999994</v>
      </c>
      <c r="BX329" s="2131">
        <f>SUM(AR329:AS329,AU329:AV329)</f>
        <v>7511.6942949999984</v>
      </c>
      <c r="BY329" s="2131">
        <f>SUM(AW329:AX329,AZ329:BA329)</f>
        <v>5609.0258859999994</v>
      </c>
      <c r="BZ329" s="2131">
        <f>SUM(BB329:BC329,BE329:BF329)</f>
        <v>0</v>
      </c>
      <c r="CA329" s="2131"/>
      <c r="CB329" s="1003"/>
    </row>
    <row r="330" spans="1:80" s="1006" customFormat="1" outlineLevel="1">
      <c r="A330" s="2147" t="s">
        <v>919</v>
      </c>
      <c r="B330" s="2148"/>
      <c r="C330" s="2148"/>
      <c r="D330" s="2148"/>
      <c r="E330" s="2148"/>
      <c r="F330" s="2149"/>
      <c r="G330" s="2148"/>
      <c r="H330" s="2148"/>
      <c r="I330" s="2148"/>
      <c r="J330" s="2148"/>
      <c r="K330" s="2149"/>
      <c r="L330" s="2148"/>
      <c r="M330" s="2148"/>
      <c r="N330" s="2148"/>
      <c r="O330" s="2148"/>
      <c r="P330" s="2149"/>
      <c r="Q330" s="2148"/>
      <c r="R330" s="2148"/>
      <c r="S330" s="2148"/>
      <c r="T330" s="2148"/>
      <c r="U330" s="2149"/>
      <c r="V330" s="2148"/>
      <c r="W330" s="2148"/>
      <c r="X330" s="2148"/>
      <c r="Y330" s="2148"/>
      <c r="Z330" s="2149"/>
      <c r="AA330" s="2148"/>
      <c r="AB330" s="2148"/>
      <c r="AC330" s="2148"/>
      <c r="AD330" s="2148"/>
      <c r="AE330" s="2149">
        <v>100</v>
      </c>
      <c r="AF330" s="2150">
        <v>50</v>
      </c>
      <c r="AG330" s="2150">
        <v>75</v>
      </c>
      <c r="AH330" s="2150">
        <v>75</v>
      </c>
      <c r="AI330" s="2150">
        <v>90</v>
      </c>
      <c r="AJ330" s="2149">
        <f>SUM(AF330:AI330)</f>
        <v>290</v>
      </c>
      <c r="AK330" s="2150">
        <f>AF330*1.5</f>
        <v>75</v>
      </c>
      <c r="AL330" s="2150">
        <f>AG330*1.5</f>
        <v>112.5</v>
      </c>
      <c r="AM330" s="2150">
        <f>AH330*1.45</f>
        <v>108.75</v>
      </c>
      <c r="AN330" s="2150">
        <f>AI330*1.5</f>
        <v>135</v>
      </c>
      <c r="AO330" s="2149">
        <f>SUM(AK330:AN330)</f>
        <v>431.25</v>
      </c>
      <c r="AP330" s="2150">
        <f>AK330*1.75</f>
        <v>131.25</v>
      </c>
      <c r="AQ330" s="2150">
        <f>AL330*1.5</f>
        <v>168.75</v>
      </c>
      <c r="AR330" s="2150">
        <f>AM330*1.5</f>
        <v>163.125</v>
      </c>
      <c r="AS330" s="2150">
        <f>AN330*2</f>
        <v>270</v>
      </c>
      <c r="AT330" s="2149">
        <f>SUM(AP330:AS330)</f>
        <v>733.125</v>
      </c>
      <c r="AU330" s="2150">
        <f>AU418</f>
        <v>216.5625</v>
      </c>
      <c r="AV330" s="2150">
        <f>AV418</f>
        <v>278.4375</v>
      </c>
      <c r="AW330" s="2150">
        <f>AW418</f>
        <v>261</v>
      </c>
      <c r="AX330" s="2150">
        <f>AX418</f>
        <v>432</v>
      </c>
      <c r="AY330" s="2149">
        <f>SUM(AU330:AX330)</f>
        <v>1188</v>
      </c>
      <c r="AZ330" s="2150"/>
      <c r="BA330" s="2150"/>
      <c r="BB330" s="2150"/>
      <c r="BC330" s="2150"/>
      <c r="BD330" s="2149"/>
      <c r="BE330" s="2150"/>
      <c r="BF330" s="2150"/>
      <c r="BG330" s="2150"/>
      <c r="BH330" s="2150"/>
      <c r="BI330" s="2920"/>
      <c r="BJ330" s="2921"/>
      <c r="BK330" s="2921"/>
      <c r="BL330" s="2921"/>
      <c r="BM330" s="2921"/>
      <c r="BN330" s="2920"/>
      <c r="BO330" s="2944"/>
      <c r="BP330" s="2944"/>
      <c r="BQ330" s="2944"/>
      <c r="BR330" s="2944"/>
      <c r="BS330" s="2944"/>
      <c r="BT330" s="2147"/>
      <c r="BU330" s="2149"/>
      <c r="BV330" s="2149"/>
      <c r="BW330" s="2149">
        <f>SUM(AM330:AN330,AP330:AQ330)</f>
        <v>543.75</v>
      </c>
      <c r="BX330" s="2149">
        <f>SUM(AR330:AS330,AU330:AV330)</f>
        <v>928.125</v>
      </c>
      <c r="BY330" s="2149">
        <f>SUM(AW330:AX330,AZ330:BA330)</f>
        <v>693</v>
      </c>
      <c r="BZ330" s="2149">
        <f>SUM(BB330:BC330,BE330:BF330)</f>
        <v>0</v>
      </c>
      <c r="CA330" s="2149"/>
    </row>
    <row r="331" spans="1:80" s="1006" customFormat="1" outlineLevel="1">
      <c r="A331" s="2151" t="s">
        <v>920</v>
      </c>
      <c r="B331" s="2152"/>
      <c r="C331" s="2152"/>
      <c r="D331" s="2152"/>
      <c r="E331" s="2152"/>
      <c r="F331" s="2153"/>
      <c r="G331" s="2152"/>
      <c r="H331" s="2152"/>
      <c r="I331" s="2152"/>
      <c r="J331" s="2152"/>
      <c r="K331" s="2153"/>
      <c r="L331" s="2152"/>
      <c r="M331" s="2152"/>
      <c r="N331" s="2152"/>
      <c r="O331" s="2152"/>
      <c r="P331" s="2153"/>
      <c r="Q331" s="2152"/>
      <c r="R331" s="2152"/>
      <c r="S331" s="2152"/>
      <c r="T331" s="2152"/>
      <c r="U331" s="2153"/>
      <c r="V331" s="2152"/>
      <c r="W331" s="2152"/>
      <c r="X331" s="2152"/>
      <c r="Y331" s="2152"/>
      <c r="Z331" s="2153"/>
      <c r="AA331" s="2152"/>
      <c r="AB331" s="2152"/>
      <c r="AC331" s="2152"/>
      <c r="AD331" s="2152"/>
      <c r="AE331" s="2153">
        <f t="shared" ref="AE331:AM331" si="199">AE332-SUM(AE328,AE330)</f>
        <v>643.44444444444434</v>
      </c>
      <c r="AF331" s="2152">
        <f t="shared" si="199"/>
        <v>153</v>
      </c>
      <c r="AG331" s="2152">
        <f t="shared" si="199"/>
        <v>239</v>
      </c>
      <c r="AH331" s="2152">
        <f t="shared" si="199"/>
        <v>374</v>
      </c>
      <c r="AI331" s="2152">
        <f>AI332-SUM(AI328,AI330)</f>
        <v>382</v>
      </c>
      <c r="AJ331" s="2153">
        <f t="shared" si="199"/>
        <v>1148</v>
      </c>
      <c r="AK331" s="2152">
        <f t="shared" si="199"/>
        <v>387.94999999999982</v>
      </c>
      <c r="AL331" s="2152">
        <f t="shared" si="199"/>
        <v>512.94999999999982</v>
      </c>
      <c r="AM331" s="2152">
        <f t="shared" si="199"/>
        <v>709.25</v>
      </c>
      <c r="AN331" s="2152">
        <f>AN332-SUM(AN328,AN330)</f>
        <v>898.27</v>
      </c>
      <c r="AO331" s="2153">
        <f>SUM(AK331:AN331)</f>
        <v>2508.4199999999996</v>
      </c>
      <c r="AP331" s="2152">
        <f>AP332-SUM(AP328,AP330)</f>
        <v>982.92824999999971</v>
      </c>
      <c r="AQ331" s="2152">
        <f>AQ332-SUM(AQ328,AQ330)</f>
        <v>1154.2449999999997</v>
      </c>
      <c r="AR331" s="2152">
        <f>AR332-SUM(AR328,AR330)</f>
        <v>1432.6589999999999</v>
      </c>
      <c r="AS331" s="2152">
        <f>AS332-SUM(AS328,AS330)</f>
        <v>1595.086585</v>
      </c>
      <c r="AT331" s="2153">
        <f>SUM(AP331:AS331)</f>
        <v>5164.9188349999995</v>
      </c>
      <c r="AU331" s="2152">
        <f>AU422</f>
        <v>1651.3194599999997</v>
      </c>
      <c r="AV331" s="2152">
        <f>AV422</f>
        <v>1904.5042499999993</v>
      </c>
      <c r="AW331" s="2152">
        <f>AW422</f>
        <v>2363.8873499999995</v>
      </c>
      <c r="AX331" s="2152">
        <f>AX422</f>
        <v>2552.1385360000004</v>
      </c>
      <c r="AY331" s="2153">
        <f>SUM(AU331:AX331)</f>
        <v>8471.8495959999982</v>
      </c>
      <c r="AZ331" s="2152"/>
      <c r="BA331" s="2152"/>
      <c r="BB331" s="2152"/>
      <c r="BC331" s="2152"/>
      <c r="BD331" s="2153"/>
      <c r="BE331" s="2152"/>
      <c r="BF331" s="2152"/>
      <c r="BG331" s="2152"/>
      <c r="BH331" s="2152"/>
      <c r="BI331" s="2922"/>
      <c r="BJ331" s="2923"/>
      <c r="BK331" s="2923"/>
      <c r="BL331" s="2923"/>
      <c r="BM331" s="2923"/>
      <c r="BN331" s="2922"/>
      <c r="BO331" s="2944"/>
      <c r="BP331" s="2944"/>
      <c r="BQ331" s="2944"/>
      <c r="BR331" s="2944"/>
      <c r="BS331" s="2944"/>
      <c r="BT331" s="2147"/>
      <c r="BU331" s="2153"/>
      <c r="BV331" s="2153"/>
      <c r="BW331" s="2153">
        <f>SUM(AM331:AN331,AP331:AQ331)</f>
        <v>3744.6932499999994</v>
      </c>
      <c r="BX331" s="2153">
        <f>SUM(AR331:AS331,AU331:AV331)</f>
        <v>6583.5692949999984</v>
      </c>
      <c r="BY331" s="2153">
        <f>SUM(AW331:AX331,AZ331:BA331)</f>
        <v>4916.0258859999994</v>
      </c>
      <c r="BZ331" s="2153">
        <f>SUM(BB331:BC331,BE331:BF331)</f>
        <v>0</v>
      </c>
      <c r="CA331" s="2153"/>
    </row>
    <row r="332" spans="1:80" outlineLevel="1">
      <c r="A332" s="2137" t="s">
        <v>0</v>
      </c>
      <c r="B332" s="2138"/>
      <c r="C332" s="2138"/>
      <c r="D332" s="2138"/>
      <c r="E332" s="2138"/>
      <c r="F332" s="2139"/>
      <c r="G332" s="2138"/>
      <c r="H332" s="2138"/>
      <c r="I332" s="2138"/>
      <c r="J332" s="2138"/>
      <c r="K332" s="2139"/>
      <c r="L332" s="2138"/>
      <c r="M332" s="2138"/>
      <c r="N332" s="2138"/>
      <c r="O332" s="2138"/>
      <c r="P332" s="2139"/>
      <c r="Q332" s="2138"/>
      <c r="R332" s="2138"/>
      <c r="S332" s="2138"/>
      <c r="T332" s="2138"/>
      <c r="U332" s="2139"/>
      <c r="V332" s="2138"/>
      <c r="W332" s="2138"/>
      <c r="X332" s="2138"/>
      <c r="Y332" s="2138"/>
      <c r="Z332" s="2139"/>
      <c r="AA332" s="2138">
        <f>'Rev Overview'!BA130</f>
        <v>1039</v>
      </c>
      <c r="AB332" s="2138">
        <f>'Rev Overview'!BB130</f>
        <v>1166</v>
      </c>
      <c r="AC332" s="2138">
        <f>'Rev Overview'!BC130</f>
        <v>1157</v>
      </c>
      <c r="AD332" s="2138">
        <f>'Rev Overview'!BD130</f>
        <v>1282</v>
      </c>
      <c r="AE332" s="2139">
        <f>'Rev Overview'!BE130</f>
        <v>4644</v>
      </c>
      <c r="AF332" s="2140">
        <f>'Rev Overview'!BF130</f>
        <v>1248</v>
      </c>
      <c r="AG332" s="2140">
        <f>'Rev Overview'!BG130</f>
        <v>1389</v>
      </c>
      <c r="AH332" s="2140">
        <f>'Rev Overview'!BH130</f>
        <v>1449</v>
      </c>
      <c r="AI332" s="2140">
        <f>'Rev Overview'!BI130</f>
        <v>1574</v>
      </c>
      <c r="AJ332" s="2139">
        <f>'Rev Overview'!BJ130</f>
        <v>5660</v>
      </c>
      <c r="AK332" s="2140">
        <f>'Rev Overview'!BK130</f>
        <v>1602</v>
      </c>
      <c r="AL332" s="2140">
        <f>'Rev Overview'!BL130</f>
        <v>1780</v>
      </c>
      <c r="AM332" s="2140">
        <f>'Rev Overview'!BM130</f>
        <v>1902</v>
      </c>
      <c r="AN332" s="2140">
        <f>'Rev Overview'!BN130</f>
        <v>2262</v>
      </c>
      <c r="AO332" s="2139">
        <f>SUM(AK332:AN332)</f>
        <v>7546</v>
      </c>
      <c r="AP332" s="2140">
        <f>'Rev Overview'!BP130</f>
        <v>2407</v>
      </c>
      <c r="AQ332" s="2140">
        <f>'Rev Overview'!BQ130</f>
        <v>2593</v>
      </c>
      <c r="AR332" s="2140">
        <f>'Rev Overview'!BR130</f>
        <v>2760</v>
      </c>
      <c r="AS332" s="2140">
        <f>'Rev Overview'!BS130</f>
        <v>3076</v>
      </c>
      <c r="AT332" s="2139">
        <f>SUM(AP332:AS332)</f>
        <v>10836</v>
      </c>
      <c r="AU332" s="2140">
        <f>SUM(AU328:AU329)</f>
        <v>3186.5601449999999</v>
      </c>
      <c r="AV332" s="2140">
        <f>SUM(AV328:AV329)</f>
        <v>3491.0468999999994</v>
      </c>
      <c r="AW332" s="2140">
        <f>SUM(AW328:AW329)</f>
        <v>3847.3141499999997</v>
      </c>
      <c r="AX332" s="2140">
        <f>SUM(AX328:AX329)</f>
        <v>4279.8158900500002</v>
      </c>
      <c r="AY332" s="2139">
        <f>SUM(AU332:AX332)</f>
        <v>14804.737085049999</v>
      </c>
      <c r="AZ332" s="2140"/>
      <c r="BA332" s="2140"/>
      <c r="BB332" s="2140"/>
      <c r="BC332" s="2140"/>
      <c r="BD332" s="2139"/>
      <c r="BE332" s="2140"/>
      <c r="BF332" s="2140"/>
      <c r="BG332" s="2140"/>
      <c r="BH332" s="2140"/>
      <c r="BI332" s="3005"/>
      <c r="BJ332" s="3006"/>
      <c r="BK332" s="3006"/>
      <c r="BL332" s="3006"/>
      <c r="BM332" s="3006"/>
      <c r="BN332" s="3005"/>
      <c r="BO332" s="3007"/>
      <c r="BP332" s="3007"/>
      <c r="BQ332" s="3007"/>
      <c r="BR332" s="3007"/>
      <c r="BS332" s="3007"/>
      <c r="BT332" s="2120"/>
      <c r="BU332" s="2139"/>
      <c r="BV332" s="2139"/>
      <c r="BW332" s="2139">
        <f>SUM(AM332:AN332,AP332:AQ332)</f>
        <v>9164</v>
      </c>
      <c r="BX332" s="2139">
        <f>SUM(AR332:AS332,AU332:AV332)</f>
        <v>12513.607044999999</v>
      </c>
      <c r="BY332" s="2139">
        <f>SUM(AW332:AX332,AZ332:BA332)</f>
        <v>8127.1300400500004</v>
      </c>
      <c r="BZ332" s="2139">
        <f>SUM(BB332:BC332,BE332:BF332)</f>
        <v>0</v>
      </c>
      <c r="CA332" s="2139"/>
    </row>
    <row r="333" spans="1:80" ht="13.5" outlineLevel="1" thickBot="1">
      <c r="A333" s="2120"/>
      <c r="B333" s="2146"/>
      <c r="C333" s="2146"/>
      <c r="D333" s="2146"/>
      <c r="E333" s="2146"/>
      <c r="F333" s="2170"/>
      <c r="G333" s="2146"/>
      <c r="H333" s="2146"/>
      <c r="I333" s="2146"/>
      <c r="J333" s="2146"/>
      <c r="K333" s="2170"/>
      <c r="L333" s="2146"/>
      <c r="M333" s="2146"/>
      <c r="N333" s="2146"/>
      <c r="O333" s="2146"/>
      <c r="P333" s="2170"/>
      <c r="Q333" s="2146"/>
      <c r="R333" s="2146"/>
      <c r="S333" s="2146"/>
      <c r="T333" s="2146"/>
      <c r="U333" s="2170"/>
      <c r="V333" s="2146"/>
      <c r="W333" s="2146"/>
      <c r="X333" s="2146"/>
      <c r="Y333" s="2146"/>
      <c r="Z333" s="2170"/>
      <c r="AA333" s="2146"/>
      <c r="AB333" s="2146"/>
      <c r="AC333" s="2146"/>
      <c r="AD333" s="2146"/>
      <c r="AE333" s="2170"/>
      <c r="AF333" s="2157"/>
      <c r="AG333" s="2157"/>
      <c r="AH333" s="2157"/>
      <c r="AI333" s="2171"/>
      <c r="AJ333" s="2172"/>
      <c r="AK333" s="2171"/>
      <c r="AL333" s="2173"/>
      <c r="AM333" s="2174"/>
      <c r="AN333" s="2175"/>
      <c r="AO333" s="2142"/>
      <c r="AP333" s="2120"/>
      <c r="AQ333" s="2176"/>
      <c r="AR333" s="2120"/>
      <c r="AS333" s="2120"/>
      <c r="AT333" s="2142"/>
      <c r="AU333" s="2120"/>
      <c r="AV333" s="2176"/>
      <c r="AW333" s="2120"/>
      <c r="AX333" s="2120"/>
      <c r="AY333" s="2142"/>
      <c r="AZ333" s="2120"/>
      <c r="BA333" s="2120"/>
      <c r="BB333" s="2120"/>
      <c r="BC333" s="2120"/>
      <c r="BD333" s="2142"/>
      <c r="BE333" s="2120"/>
      <c r="BF333" s="2120"/>
      <c r="BG333" s="2120"/>
      <c r="BH333" s="2120"/>
      <c r="BI333" s="2977"/>
      <c r="BJ333" s="2998"/>
      <c r="BK333" s="2998"/>
      <c r="BL333" s="2998"/>
      <c r="BM333" s="2998"/>
      <c r="BN333" s="2977"/>
      <c r="BO333" s="2980"/>
      <c r="BP333" s="2980"/>
      <c r="BQ333" s="2980"/>
      <c r="BR333" s="2980"/>
      <c r="BS333" s="2980"/>
      <c r="BT333" s="2120"/>
      <c r="BU333" s="2145"/>
      <c r="BV333" s="2145"/>
      <c r="BW333" s="2145"/>
      <c r="BX333" s="2145"/>
      <c r="BY333" s="2145"/>
      <c r="BZ333" s="2145"/>
      <c r="CA333" s="2145"/>
    </row>
    <row r="334" spans="1:80" customFormat="1" ht="13.5" outlineLevel="1" thickBot="1">
      <c r="A334" s="2115" t="s">
        <v>977</v>
      </c>
      <c r="B334" s="2116"/>
      <c r="C334" s="2116"/>
      <c r="D334" s="2116"/>
      <c r="E334" s="2116"/>
      <c r="F334" s="2117"/>
      <c r="G334" s="2116"/>
      <c r="H334" s="2116"/>
      <c r="I334" s="2116"/>
      <c r="J334" s="2116"/>
      <c r="K334" s="2117"/>
      <c r="L334" s="2116"/>
      <c r="M334" s="2116"/>
      <c r="N334" s="2116"/>
      <c r="O334" s="2116"/>
      <c r="P334" s="2117"/>
      <c r="Q334" s="2116"/>
      <c r="R334" s="2116"/>
      <c r="S334" s="2116"/>
      <c r="T334" s="2116"/>
      <c r="U334" s="2117"/>
      <c r="V334" s="2116"/>
      <c r="W334" s="2116"/>
      <c r="X334" s="2116"/>
      <c r="Y334" s="2116"/>
      <c r="Z334" s="2117"/>
      <c r="AA334" s="2116"/>
      <c r="AB334" s="2116"/>
      <c r="AC334" s="2116"/>
      <c r="AD334" s="2116"/>
      <c r="AE334" s="2117"/>
      <c r="AF334" s="2118"/>
      <c r="AG334" s="2118"/>
      <c r="AH334" s="2118"/>
      <c r="AI334" s="2118"/>
      <c r="AJ334" s="2117"/>
      <c r="AK334" s="2118"/>
      <c r="AL334" s="2118"/>
      <c r="AM334" s="2118"/>
      <c r="AN334" s="2118"/>
      <c r="AO334" s="2119"/>
      <c r="AP334" s="2118"/>
      <c r="AQ334" s="2118"/>
      <c r="AR334" s="2118"/>
      <c r="AS334" s="2118"/>
      <c r="AT334" s="2119"/>
      <c r="AU334" s="2118"/>
      <c r="AV334" s="2118"/>
      <c r="AW334" s="2118"/>
      <c r="AX334" s="2118"/>
      <c r="AY334" s="2119"/>
      <c r="AZ334" s="2118"/>
      <c r="BA334" s="2118"/>
      <c r="BB334" s="2118"/>
      <c r="BC334" s="2118"/>
      <c r="BD334" s="2119"/>
      <c r="BE334" s="2118"/>
      <c r="BF334" s="2118"/>
      <c r="BG334" s="2118"/>
      <c r="BH334" s="2118"/>
      <c r="BI334" s="2940"/>
      <c r="BJ334" s="2941"/>
      <c r="BK334" s="2941"/>
      <c r="BL334" s="2941"/>
      <c r="BM334" s="2941"/>
      <c r="BN334" s="2940"/>
      <c r="BO334" s="2933"/>
      <c r="BP334" s="2933"/>
      <c r="BQ334" s="2933"/>
      <c r="BR334" s="2933"/>
      <c r="BS334" s="2933"/>
      <c r="BT334" s="2120"/>
      <c r="BU334" s="2119"/>
      <c r="BV334" s="2119"/>
      <c r="BW334" s="2119"/>
      <c r="BX334" s="2119"/>
      <c r="BY334" s="2119"/>
      <c r="BZ334" s="2119"/>
      <c r="CA334" s="2119"/>
    </row>
    <row r="335" spans="1:80" outlineLevel="1">
      <c r="A335" s="2121" t="str">
        <f>A291</f>
        <v>D&amp;C Licensing</v>
      </c>
      <c r="B335" s="2122"/>
      <c r="C335" s="2122"/>
      <c r="D335" s="2122"/>
      <c r="E335" s="2122"/>
      <c r="F335" s="2123"/>
      <c r="G335" s="2122"/>
      <c r="H335" s="2122"/>
      <c r="I335" s="2122"/>
      <c r="J335" s="2122"/>
      <c r="K335" s="2123"/>
      <c r="L335" s="2122"/>
      <c r="M335" s="2122"/>
      <c r="N335" s="2122"/>
      <c r="O335" s="2122"/>
      <c r="P335" s="2123"/>
      <c r="Q335" s="2122"/>
      <c r="R335" s="2122"/>
      <c r="S335" s="2122"/>
      <c r="T335" s="2122"/>
      <c r="U335" s="2123"/>
      <c r="V335" s="2122"/>
      <c r="W335" s="2122"/>
      <c r="X335" s="2122"/>
      <c r="Y335" s="2122"/>
      <c r="Z335" s="2123"/>
      <c r="AA335" s="2122"/>
      <c r="AB335" s="2122"/>
      <c r="AC335" s="2122"/>
      <c r="AD335" s="2122"/>
      <c r="AE335" s="2123"/>
      <c r="AF335" s="2124"/>
      <c r="AG335" s="2122"/>
      <c r="AH335" s="2122"/>
      <c r="AI335" s="2122"/>
      <c r="AJ335" s="2123"/>
      <c r="AK335" s="2125"/>
      <c r="AL335" s="2122"/>
      <c r="AM335" s="2122"/>
      <c r="AN335" s="2122"/>
      <c r="AO335" s="2123"/>
      <c r="AP335" s="2122"/>
      <c r="AQ335" s="2122"/>
      <c r="AR335" s="2122"/>
      <c r="AS335" s="2122"/>
      <c r="AT335" s="2123"/>
      <c r="AU335" s="2122"/>
      <c r="AV335" s="2122"/>
      <c r="AW335" s="2122"/>
      <c r="AX335" s="2122"/>
      <c r="AY335" s="2123"/>
      <c r="AZ335" s="2122"/>
      <c r="BA335" s="2122"/>
      <c r="BB335" s="2122"/>
      <c r="BC335" s="2122"/>
      <c r="BD335" s="2123"/>
      <c r="BE335" s="2122"/>
      <c r="BF335" s="2122"/>
      <c r="BG335" s="2122"/>
      <c r="BH335" s="2122"/>
      <c r="BI335" s="2915"/>
      <c r="BJ335" s="2917"/>
      <c r="BK335" s="2917"/>
      <c r="BL335" s="2917"/>
      <c r="BM335" s="2917"/>
      <c r="BN335" s="2915"/>
      <c r="BO335" s="2955"/>
      <c r="BP335" s="2955"/>
      <c r="BQ335" s="2955"/>
      <c r="BR335" s="2955"/>
      <c r="BS335" s="2955"/>
      <c r="BT335" s="2120"/>
      <c r="BU335" s="2123"/>
      <c r="BV335" s="2123"/>
      <c r="BW335" s="2123"/>
      <c r="BX335" s="2123"/>
      <c r="BY335" s="2123"/>
      <c r="BZ335" s="2123"/>
      <c r="CA335" s="2123"/>
    </row>
    <row r="336" spans="1:80" s="1021" customFormat="1" outlineLevel="1">
      <c r="A336" s="2177" t="s">
        <v>925</v>
      </c>
      <c r="B336" s="2178"/>
      <c r="C336" s="2178"/>
      <c r="D336" s="2178"/>
      <c r="E336" s="2178"/>
      <c r="F336" s="2179"/>
      <c r="G336" s="2178"/>
      <c r="H336" s="2178"/>
      <c r="I336" s="2178"/>
      <c r="J336" s="2178"/>
      <c r="K336" s="2179"/>
      <c r="L336" s="2178"/>
      <c r="M336" s="2178"/>
      <c r="N336" s="2178"/>
      <c r="O336" s="2178"/>
      <c r="P336" s="2179"/>
      <c r="Q336" s="2178"/>
      <c r="R336" s="2178"/>
      <c r="S336" s="2178"/>
      <c r="T336" s="2178"/>
      <c r="U336" s="2179"/>
      <c r="V336" s="2178"/>
      <c r="W336" s="2178"/>
      <c r="X336" s="2178"/>
      <c r="Y336" s="2178"/>
      <c r="Z336" s="2179"/>
      <c r="AA336" s="2178"/>
      <c r="AB336" s="2178"/>
      <c r="AC336" s="2178"/>
      <c r="AD336" s="2178"/>
      <c r="AE336" s="2179">
        <f>'Client Unit Model'!CF6</f>
        <v>365.97740877593503</v>
      </c>
      <c r="AF336" s="2178">
        <f>'Client Unit Model'!AJ6</f>
        <v>88.334624807289828</v>
      </c>
      <c r="AG336" s="2178">
        <f>'Client Unit Model'!AK6</f>
        <v>87.007889028205696</v>
      </c>
      <c r="AH336" s="2178">
        <f>'Client Unit Model'!AL6</f>
        <v>76.781185736557319</v>
      </c>
      <c r="AI336" s="2178">
        <f>'Client Unit Model'!AM6</f>
        <v>75.654177999999945</v>
      </c>
      <c r="AJ336" s="2179">
        <f>SUM(AF336:AI336)</f>
        <v>327.77787757205283</v>
      </c>
      <c r="AK336" s="2180">
        <f>'Client Unit Model'!AN6</f>
        <v>79.906725000000037</v>
      </c>
      <c r="AL336" s="2178">
        <f>'Client Unit Model'!AO6</f>
        <v>82.778473999999989</v>
      </c>
      <c r="AM336" s="2178">
        <f>'Client Unit Model'!AP6</f>
        <v>73.392348999999996</v>
      </c>
      <c r="AN336" s="2178">
        <f>'Client Unit Model'!AQ6</f>
        <v>74.979650499999991</v>
      </c>
      <c r="AO336" s="2179">
        <f>SUM(AK336:AN336)</f>
        <v>311.05719850000003</v>
      </c>
      <c r="AP336" s="2178">
        <f>'Client Unit Model'!AR6</f>
        <v>79.566054999999992</v>
      </c>
      <c r="AQ336" s="2178">
        <f>'Client Unit Model'!AS6</f>
        <v>80.434203999999966</v>
      </c>
      <c r="AR336" s="2178">
        <f>'Client Unit Model'!AT6</f>
        <v>68.464105147992626</v>
      </c>
      <c r="AS336" s="2178">
        <f>'Client Unit Model'!AU6</f>
        <v>65.295967063820484</v>
      </c>
      <c r="AT336" s="2179">
        <f>SUM(AP336:AS336)</f>
        <v>293.76033121181308</v>
      </c>
      <c r="AU336" s="2178">
        <f>'Client Unit Model'!AV6</f>
        <v>70.736629000000022</v>
      </c>
      <c r="AV336" s="2178">
        <f>'Client Unit Model'!AW6</f>
        <v>71.299229000000025</v>
      </c>
      <c r="AW336" s="2178">
        <f>'Client Unit Model'!AX6</f>
        <v>59.903067999999983</v>
      </c>
      <c r="AX336" s="2178">
        <f>'Client Unit Model'!AY6</f>
        <v>62.618832414203844</v>
      </c>
      <c r="AY336" s="2179">
        <f>SUM(AU336:AX336)</f>
        <v>264.55775841420387</v>
      </c>
      <c r="AZ336" s="2178"/>
      <c r="BA336" s="2178"/>
      <c r="BB336" s="2178"/>
      <c r="BC336" s="2178"/>
      <c r="BD336" s="2179"/>
      <c r="BE336" s="2181"/>
      <c r="BF336" s="2181"/>
      <c r="BG336" s="2181"/>
      <c r="BH336" s="2181"/>
      <c r="BI336" s="2963"/>
      <c r="BJ336" s="2964"/>
      <c r="BK336" s="2964"/>
      <c r="BL336" s="2964"/>
      <c r="BM336" s="2964"/>
      <c r="BN336" s="2963"/>
      <c r="BO336" s="2964"/>
      <c r="BP336" s="2964"/>
      <c r="BQ336" s="2964"/>
      <c r="BR336" s="2964"/>
      <c r="BS336" s="2964"/>
      <c r="BT336" s="2183"/>
      <c r="BU336" s="2182"/>
      <c r="BV336" s="2182"/>
      <c r="BW336" s="2182">
        <f>SUM(AM336:AN336,AP336:AQ336)</f>
        <v>308.37225849999993</v>
      </c>
      <c r="BX336" s="2182">
        <f>SUM(AR336:AS336,AU336:AV336)</f>
        <v>275.79593021181313</v>
      </c>
      <c r="BY336" s="2182">
        <f>SUM(AW336:AX336,AZ336:BA336)</f>
        <v>122.52190041420383</v>
      </c>
      <c r="BZ336" s="2182">
        <f>SUM(BB336:BC336,BE336:BF336)</f>
        <v>0</v>
      </c>
      <c r="CA336" s="2182"/>
    </row>
    <row r="337" spans="1:79" s="1022" customFormat="1" outlineLevel="1">
      <c r="A337" s="2184" t="s">
        <v>926</v>
      </c>
      <c r="B337" s="2185"/>
      <c r="C337" s="2185"/>
      <c r="D337" s="2185"/>
      <c r="E337" s="2185"/>
      <c r="F337" s="2186"/>
      <c r="G337" s="2185"/>
      <c r="H337" s="2185"/>
      <c r="I337" s="2185"/>
      <c r="J337" s="2185"/>
      <c r="K337" s="2186"/>
      <c r="L337" s="2185"/>
      <c r="M337" s="2185"/>
      <c r="N337" s="2185"/>
      <c r="O337" s="2185"/>
      <c r="P337" s="2186"/>
      <c r="Q337" s="2185"/>
      <c r="R337" s="2185"/>
      <c r="S337" s="2185"/>
      <c r="T337" s="2185"/>
      <c r="U337" s="2186"/>
      <c r="V337" s="2185"/>
      <c r="W337" s="2185"/>
      <c r="X337" s="2185"/>
      <c r="Y337" s="2185"/>
      <c r="Z337" s="2186"/>
      <c r="AA337" s="2185"/>
      <c r="AB337" s="2185"/>
      <c r="AC337" s="2185"/>
      <c r="AD337" s="2185"/>
      <c r="AE337" s="2186"/>
      <c r="AF337" s="2148"/>
      <c r="AG337" s="2185"/>
      <c r="AH337" s="2185"/>
      <c r="AI337" s="2185"/>
      <c r="AJ337" s="2187">
        <f>IF(ISERROR(AJ336/AE336-1),,(AJ336/AE336-1))</f>
        <v>-0.10437674645450412</v>
      </c>
      <c r="AK337" s="2188">
        <f t="shared" ref="AK337:AY337" si="200">IF(ISERROR(AK336/AF336-1),,(AK336/AF336-1))</f>
        <v>-9.5408791577210383E-2</v>
      </c>
      <c r="AL337" s="2188">
        <f t="shared" si="200"/>
        <v>-4.8609558000362929E-2</v>
      </c>
      <c r="AM337" s="2188">
        <f t="shared" si="200"/>
        <v>-4.4136290733835626E-2</v>
      </c>
      <c r="AN337" s="2188">
        <f t="shared" si="200"/>
        <v>-8.9159319132375847E-3</v>
      </c>
      <c r="AO337" s="2187">
        <f t="shared" si="200"/>
        <v>-5.101222570573638E-2</v>
      </c>
      <c r="AP337" s="2188">
        <f t="shared" si="200"/>
        <v>-4.2633457947380826E-3</v>
      </c>
      <c r="AQ337" s="2188">
        <f t="shared" si="200"/>
        <v>-2.8319802078013989E-2</v>
      </c>
      <c r="AR337" s="2188">
        <f t="shared" si="200"/>
        <v>-6.7149286256083296E-2</v>
      </c>
      <c r="AS337" s="2188">
        <f t="shared" si="200"/>
        <v>-0.12915082121087651</v>
      </c>
      <c r="AT337" s="2187">
        <f t="shared" si="200"/>
        <v>-5.5606709542801114E-2</v>
      </c>
      <c r="AU337" s="2188">
        <f t="shared" si="200"/>
        <v>-0.11096975965441502</v>
      </c>
      <c r="AV337" s="2188">
        <f>IF(ISERROR(AV336/AQ336-1),,(AV336/AQ336-1))</f>
        <v>-0.11357077643237379</v>
      </c>
      <c r="AW337" s="2188">
        <f t="shared" si="200"/>
        <v>-0.12504416919620909</v>
      </c>
      <c r="AX337" s="2188">
        <f t="shared" si="200"/>
        <v>-4.1000000000000036E-2</v>
      </c>
      <c r="AY337" s="2187">
        <f t="shared" si="200"/>
        <v>-9.9409517538135428E-2</v>
      </c>
      <c r="AZ337" s="2188"/>
      <c r="BA337" s="2188"/>
      <c r="BB337" s="2188"/>
      <c r="BC337" s="2188"/>
      <c r="BD337" s="2187"/>
      <c r="BE337" s="2188"/>
      <c r="BF337" s="2188"/>
      <c r="BG337" s="2188"/>
      <c r="BH337" s="2188"/>
      <c r="BI337" s="2942"/>
      <c r="BJ337" s="2943"/>
      <c r="BK337" s="2943"/>
      <c r="BL337" s="2943"/>
      <c r="BM337" s="2943"/>
      <c r="BN337" s="2942"/>
      <c r="BO337" s="2943"/>
      <c r="BP337" s="2943"/>
      <c r="BQ337" s="2943"/>
      <c r="BR337" s="2943"/>
      <c r="BS337" s="2943"/>
      <c r="BT337" s="2189"/>
      <c r="BU337" s="2187"/>
      <c r="BV337" s="2187"/>
      <c r="BW337" s="2187"/>
      <c r="BX337" s="2187"/>
      <c r="BY337" s="2187"/>
      <c r="BZ337" s="2187"/>
      <c r="CA337" s="2187"/>
    </row>
    <row r="338" spans="1:79" s="1021" customFormat="1" outlineLevel="1">
      <c r="A338" s="2177" t="s">
        <v>927</v>
      </c>
      <c r="B338" s="2178"/>
      <c r="C338" s="2178"/>
      <c r="D338" s="2178"/>
      <c r="E338" s="2178"/>
      <c r="F338" s="2179"/>
      <c r="G338" s="2178"/>
      <c r="H338" s="2178"/>
      <c r="I338" s="2178"/>
      <c r="J338" s="2178"/>
      <c r="K338" s="2179"/>
      <c r="L338" s="2178"/>
      <c r="M338" s="2178"/>
      <c r="N338" s="2178"/>
      <c r="O338" s="2178"/>
      <c r="P338" s="2179"/>
      <c r="Q338" s="2178"/>
      <c r="R338" s="2178"/>
      <c r="S338" s="2178"/>
      <c r="T338" s="2178"/>
      <c r="U338" s="2179"/>
      <c r="V338" s="2178"/>
      <c r="W338" s="2178"/>
      <c r="X338" s="2178"/>
      <c r="Y338" s="2178"/>
      <c r="Z338" s="2179"/>
      <c r="AA338" s="2178"/>
      <c r="AB338" s="2178"/>
      <c r="AC338" s="2178"/>
      <c r="AD338" s="2178"/>
      <c r="AE338" s="2179">
        <f>'Client Unit Model'!CF11</f>
        <v>255.98808029172932</v>
      </c>
      <c r="AF338" s="2178">
        <f>'Client Unit Model'!AJ11</f>
        <v>65.263623143298759</v>
      </c>
      <c r="AG338" s="2178">
        <f>'Client Unit Model'!AK11</f>
        <v>65.931704322951603</v>
      </c>
      <c r="AH338" s="2178">
        <f>'Client Unit Model'!AL11</f>
        <v>56.591423434753985</v>
      </c>
      <c r="AI338" s="2178">
        <f>'Client Unit Model'!AM11</f>
        <v>56.109099274358535</v>
      </c>
      <c r="AJ338" s="2179">
        <f>SUM(AF338:AI338)</f>
        <v>243.89585017536288</v>
      </c>
      <c r="AK338" s="2180">
        <f>'Client Unit Model'!AN11</f>
        <v>57.715633119970185</v>
      </c>
      <c r="AL338" s="2178">
        <f>'Client Unit Model'!AO11</f>
        <v>63.647748941791953</v>
      </c>
      <c r="AM338" s="2178">
        <f>'Client Unit Model'!AP11</f>
        <v>57.13208289579557</v>
      </c>
      <c r="AN338" s="2178">
        <f>'Client Unit Model'!AQ11</f>
        <v>56.285014491765551</v>
      </c>
      <c r="AO338" s="2179">
        <f>SUM(AK338:AN338)</f>
        <v>234.78047944932325</v>
      </c>
      <c r="AP338" s="2178">
        <f>'Client Unit Model'!AR11</f>
        <v>54.502747675000002</v>
      </c>
      <c r="AQ338" s="2178">
        <f>'Client Unit Model'!AT11</f>
        <v>46.555591500634989</v>
      </c>
      <c r="AR338" s="2178">
        <f>'Client Unit Model'!AT11</f>
        <v>46.555591500634989</v>
      </c>
      <c r="AS338" s="2178">
        <f>'Client Unit Model'!AU11</f>
        <v>44.40125760339793</v>
      </c>
      <c r="AT338" s="2179">
        <f>SUM(AP338:AS338)</f>
        <v>192.01518827966791</v>
      </c>
      <c r="AU338" s="2178">
        <f>'Client Unit Model'!AV11</f>
        <v>45.978808850000014</v>
      </c>
      <c r="AV338" s="2178">
        <f>'Client Unit Model'!AW11</f>
        <v>46.344498850000015</v>
      </c>
      <c r="AW338" s="2178">
        <f>'Client Unit Model'!AX11</f>
        <v>38.936994199999994</v>
      </c>
      <c r="AX338" s="2178">
        <f>'Client Unit Model'!AY11</f>
        <v>40.7022410692325</v>
      </c>
      <c r="AY338" s="2179">
        <f>SUM(AU338:AX338)</f>
        <v>171.96254296923252</v>
      </c>
      <c r="AZ338" s="2178"/>
      <c r="BA338" s="2178"/>
      <c r="BB338" s="2178"/>
      <c r="BC338" s="2178"/>
      <c r="BD338" s="2179"/>
      <c r="BE338" s="2181"/>
      <c r="BF338" s="2181"/>
      <c r="BG338" s="2181"/>
      <c r="BH338" s="2181"/>
      <c r="BI338" s="2963"/>
      <c r="BJ338" s="2964"/>
      <c r="BK338" s="2964"/>
      <c r="BL338" s="2964"/>
      <c r="BM338" s="2964"/>
      <c r="BN338" s="2963"/>
      <c r="BO338" s="2964"/>
      <c r="BP338" s="2964"/>
      <c r="BQ338" s="2964"/>
      <c r="BR338" s="2964"/>
      <c r="BS338" s="2964"/>
      <c r="BT338" s="2183"/>
      <c r="BU338" s="2182"/>
      <c r="BV338" s="2182"/>
      <c r="BW338" s="2182">
        <f>SUM(AM338:AN338,AP338:AQ338)</f>
        <v>214.4754365631961</v>
      </c>
      <c r="BX338" s="2182">
        <f>SUM(AR338:AS338,AU338:AV338)</f>
        <v>183.28015680403294</v>
      </c>
      <c r="BY338" s="2182">
        <f>SUM(AW338:AX338,AZ338:BA338)</f>
        <v>79.639235269232501</v>
      </c>
      <c r="BZ338" s="2182">
        <f>SUM(BB338:BC338,BE338:BF338)</f>
        <v>0</v>
      </c>
      <c r="CA338" s="2182"/>
    </row>
    <row r="339" spans="1:79" s="1022" customFormat="1" outlineLevel="1">
      <c r="A339" s="2184" t="s">
        <v>926</v>
      </c>
      <c r="B339" s="2185"/>
      <c r="C339" s="2185"/>
      <c r="D339" s="2185"/>
      <c r="E339" s="2185"/>
      <c r="F339" s="2186"/>
      <c r="G339" s="2185"/>
      <c r="H339" s="2185"/>
      <c r="I339" s="2185"/>
      <c r="J339" s="2185"/>
      <c r="K339" s="2186"/>
      <c r="L339" s="2185"/>
      <c r="M339" s="2185"/>
      <c r="N339" s="2185"/>
      <c r="O339" s="2185"/>
      <c r="P339" s="2186"/>
      <c r="Q339" s="2185"/>
      <c r="R339" s="2185"/>
      <c r="S339" s="2185"/>
      <c r="T339" s="2185"/>
      <c r="U339" s="2186"/>
      <c r="V339" s="2185"/>
      <c r="W339" s="2185"/>
      <c r="X339" s="2185"/>
      <c r="Y339" s="2185"/>
      <c r="Z339" s="2186"/>
      <c r="AA339" s="2185"/>
      <c r="AB339" s="2185"/>
      <c r="AC339" s="2185"/>
      <c r="AD339" s="2185"/>
      <c r="AE339" s="2186"/>
      <c r="AF339" s="2148"/>
      <c r="AG339" s="2185"/>
      <c r="AH339" s="2185"/>
      <c r="AI339" s="2185"/>
      <c r="AJ339" s="2187">
        <f t="shared" ref="AJ339:AY339" si="201">IF(ISERROR(AJ338/AE338-1),,(AJ338/AE338-1))</f>
        <v>-4.723747333307815E-2</v>
      </c>
      <c r="AK339" s="2188">
        <f t="shared" si="201"/>
        <v>-0.11565386136708222</v>
      </c>
      <c r="AL339" s="2188">
        <f t="shared" si="201"/>
        <v>-3.46412307191728E-2</v>
      </c>
      <c r="AM339" s="2188">
        <f t="shared" si="201"/>
        <v>9.5537349694858609E-3</v>
      </c>
      <c r="AN339" s="2188">
        <f t="shared" si="201"/>
        <v>3.1352350987998712E-3</v>
      </c>
      <c r="AO339" s="2187">
        <f t="shared" si="201"/>
        <v>-3.7374029609300918E-2</v>
      </c>
      <c r="AP339" s="2188">
        <f t="shared" si="201"/>
        <v>-5.5667507593510135E-2</v>
      </c>
      <c r="AQ339" s="2188">
        <f t="shared" si="201"/>
        <v>-0.26854299995414332</v>
      </c>
      <c r="AR339" s="2188">
        <f t="shared" si="201"/>
        <v>-0.18512350432682934</v>
      </c>
      <c r="AS339" s="2188">
        <f t="shared" si="201"/>
        <v>-0.21113536161754398</v>
      </c>
      <c r="AT339" s="2187">
        <f t="shared" si="201"/>
        <v>-0.18215011431087103</v>
      </c>
      <c r="AU339" s="2188">
        <f t="shared" si="201"/>
        <v>-0.15639466244579547</v>
      </c>
      <c r="AV339" s="2188">
        <f t="shared" si="201"/>
        <v>-4.5342061786949328E-3</v>
      </c>
      <c r="AW339" s="2188">
        <f t="shared" si="201"/>
        <v>-0.16364516173167043</v>
      </c>
      <c r="AX339" s="2188">
        <f t="shared" si="201"/>
        <v>-8.3308823529411713E-2</v>
      </c>
      <c r="AY339" s="2187">
        <f t="shared" si="201"/>
        <v>-0.1044325997859552</v>
      </c>
      <c r="AZ339" s="2188"/>
      <c r="BA339" s="2188"/>
      <c r="BB339" s="2188"/>
      <c r="BC339" s="2188"/>
      <c r="BD339" s="2187"/>
      <c r="BE339" s="2188"/>
      <c r="BF339" s="2188"/>
      <c r="BG339" s="2188"/>
      <c r="BH339" s="2188"/>
      <c r="BI339" s="2942"/>
      <c r="BJ339" s="2943"/>
      <c r="BK339" s="2943"/>
      <c r="BL339" s="2943"/>
      <c r="BM339" s="2943"/>
      <c r="BN339" s="2942"/>
      <c r="BO339" s="2943"/>
      <c r="BP339" s="2943"/>
      <c r="BQ339" s="2943"/>
      <c r="BR339" s="2943"/>
      <c r="BS339" s="2943"/>
      <c r="BT339" s="2189"/>
      <c r="BU339" s="2187"/>
      <c r="BV339" s="2187"/>
      <c r="BW339" s="2187"/>
      <c r="BX339" s="2187"/>
      <c r="BY339" s="2187"/>
      <c r="BZ339" s="2187"/>
      <c r="CA339" s="2187"/>
    </row>
    <row r="340" spans="1:79" s="1021" customFormat="1" outlineLevel="1">
      <c r="A340" s="2177" t="s">
        <v>788</v>
      </c>
      <c r="B340" s="2178"/>
      <c r="C340" s="2178"/>
      <c r="D340" s="2178"/>
      <c r="E340" s="2178"/>
      <c r="F340" s="2179"/>
      <c r="G340" s="2178"/>
      <c r="H340" s="2178"/>
      <c r="I340" s="2178"/>
      <c r="J340" s="2178"/>
      <c r="K340" s="2179"/>
      <c r="L340" s="2178"/>
      <c r="M340" s="2178"/>
      <c r="N340" s="2178"/>
      <c r="O340" s="2178"/>
      <c r="P340" s="2179"/>
      <c r="Q340" s="2178"/>
      <c r="R340" s="2178"/>
      <c r="S340" s="2178"/>
      <c r="T340" s="2178"/>
      <c r="U340" s="2179"/>
      <c r="V340" s="2178"/>
      <c r="W340" s="2178"/>
      <c r="X340" s="2178"/>
      <c r="Y340" s="2178"/>
      <c r="Z340" s="2179"/>
      <c r="AA340" s="2178"/>
      <c r="AB340" s="2178"/>
      <c r="AC340" s="2178"/>
      <c r="AD340" s="2178"/>
      <c r="AE340" s="2179">
        <f>'Client Unit Model'!CF19</f>
        <v>1.0150000000000001</v>
      </c>
      <c r="AF340" s="2178">
        <f>'Client Unit Model'!AJ19</f>
        <v>0.34899999999999998</v>
      </c>
      <c r="AG340" s="2178">
        <f>'Client Unit Model'!AK19</f>
        <v>3.3220000000000001</v>
      </c>
      <c r="AH340" s="2178">
        <f>'Client Unit Model'!AL19</f>
        <v>1.9418036000000001</v>
      </c>
      <c r="AI340" s="2178">
        <f>'Client Unit Model'!AM19</f>
        <v>1.350983215415881</v>
      </c>
      <c r="AJ340" s="2179">
        <f>SUM(AF340:AI340)</f>
        <v>6.9637868154158813</v>
      </c>
      <c r="AK340" s="2180">
        <f>'Client Unit Model'!AN19</f>
        <v>2.1318428250000001</v>
      </c>
      <c r="AL340" s="2178">
        <f>'Client Unit Model'!AO19</f>
        <v>6.2785056799999994</v>
      </c>
      <c r="AM340" s="2178">
        <f>'Client Unit Model'!AP19</f>
        <v>3.7560520499999992</v>
      </c>
      <c r="AN340" s="2178">
        <f>'Client Unit Model'!AQ19</f>
        <v>4.1111722200000003</v>
      </c>
      <c r="AO340" s="2179">
        <f>SUM(AK340:AN340)</f>
        <v>16.277572774999999</v>
      </c>
      <c r="AP340" s="2178">
        <f>'Client Unit Model'!AR19</f>
        <v>5.4480427750000002</v>
      </c>
      <c r="AQ340" s="2178">
        <f>'Client Unit Model'!AT19</f>
        <v>4.8466547848785133</v>
      </c>
      <c r="AR340" s="2178">
        <f>'Client Unit Model'!AT19</f>
        <v>4.8466547848785133</v>
      </c>
      <c r="AS340" s="2178">
        <f>'Client Unit Model'!AU19</f>
        <v>5.3453953310896516</v>
      </c>
      <c r="AT340" s="2179">
        <f>SUM(AP340:AS340)</f>
        <v>20.486747675846679</v>
      </c>
      <c r="AU340" s="2178">
        <f>'Client Unit Model'!AV19</f>
        <v>6.442068518412686</v>
      </c>
      <c r="AV340" s="2178">
        <f>'Client Unit Model'!AW19</f>
        <v>9.0101034039094614</v>
      </c>
      <c r="AW340" s="2178">
        <f>'Client Unit Model'!AX19</f>
        <v>5.485720837227495</v>
      </c>
      <c r="AX340" s="2178">
        <f>'Client Unit Model'!AY19</f>
        <v>5.5271387723467011</v>
      </c>
      <c r="AY340" s="2179">
        <f>SUM(AU340:AX340)</f>
        <v>26.465031531896344</v>
      </c>
      <c r="AZ340" s="2178"/>
      <c r="BA340" s="2178"/>
      <c r="BB340" s="2178"/>
      <c r="BC340" s="2178"/>
      <c r="BD340" s="2179"/>
      <c r="BE340" s="2181"/>
      <c r="BF340" s="2181"/>
      <c r="BG340" s="2181"/>
      <c r="BH340" s="2181"/>
      <c r="BI340" s="2963"/>
      <c r="BJ340" s="2964"/>
      <c r="BK340" s="2964"/>
      <c r="BL340" s="2964"/>
      <c r="BM340" s="2964"/>
      <c r="BN340" s="2963"/>
      <c r="BO340" s="2964"/>
      <c r="BP340" s="2964"/>
      <c r="BQ340" s="2964"/>
      <c r="BR340" s="2964"/>
      <c r="BS340" s="2964"/>
      <c r="BT340" s="2183"/>
      <c r="BU340" s="2182"/>
      <c r="BV340" s="2182"/>
      <c r="BW340" s="2182">
        <f>SUM(AM340:AN340,AP340:AQ340)</f>
        <v>18.161921829878512</v>
      </c>
      <c r="BX340" s="2182">
        <f>SUM(AR340:AS340,AU340:AV340)</f>
        <v>25.644222038290312</v>
      </c>
      <c r="BY340" s="2182">
        <f>SUM(AW340:AX340,AZ340:BA340)</f>
        <v>11.012859609574196</v>
      </c>
      <c r="BZ340" s="2182">
        <f>SUM(BB340:BC340,BE340:BF340)</f>
        <v>0</v>
      </c>
      <c r="CA340" s="2182"/>
    </row>
    <row r="341" spans="1:79" s="1022" customFormat="1" outlineLevel="1">
      <c r="A341" s="2184" t="s">
        <v>926</v>
      </c>
      <c r="B341" s="2185"/>
      <c r="C341" s="2185"/>
      <c r="D341" s="2185"/>
      <c r="E341" s="2185"/>
      <c r="F341" s="2186"/>
      <c r="G341" s="2185"/>
      <c r="H341" s="2185"/>
      <c r="I341" s="2185"/>
      <c r="J341" s="2185"/>
      <c r="K341" s="2186"/>
      <c r="L341" s="2185"/>
      <c r="M341" s="2185"/>
      <c r="N341" s="2185"/>
      <c r="O341" s="2185"/>
      <c r="P341" s="2186"/>
      <c r="Q341" s="2185"/>
      <c r="R341" s="2185"/>
      <c r="S341" s="2185"/>
      <c r="T341" s="2185"/>
      <c r="U341" s="2186"/>
      <c r="V341" s="2185"/>
      <c r="W341" s="2185"/>
      <c r="X341" s="2185"/>
      <c r="Y341" s="2185"/>
      <c r="Z341" s="2186"/>
      <c r="AA341" s="2185"/>
      <c r="AB341" s="2185"/>
      <c r="AC341" s="2185"/>
      <c r="AD341" s="2185"/>
      <c r="AE341" s="2186"/>
      <c r="AF341" s="2148"/>
      <c r="AG341" s="2185"/>
      <c r="AH341" s="2185"/>
      <c r="AI341" s="2185"/>
      <c r="AJ341" s="2187">
        <f t="shared" ref="AJ341:AY341" si="202">IF(ISERROR(AJ340/AE340-1),,(AJ340/AE340-1))</f>
        <v>5.86087370976934</v>
      </c>
      <c r="AK341" s="2188">
        <f t="shared" si="202"/>
        <v>5.1084321633237826</v>
      </c>
      <c r="AL341" s="2188">
        <f t="shared" si="202"/>
        <v>0.8899776279349787</v>
      </c>
      <c r="AM341" s="2188">
        <f t="shared" si="202"/>
        <v>0.93431099314060351</v>
      </c>
      <c r="AN341" s="2188">
        <f t="shared" si="202"/>
        <v>2.0430964449357978</v>
      </c>
      <c r="AO341" s="2187">
        <f t="shared" si="202"/>
        <v>1.3374599490848849</v>
      </c>
      <c r="AP341" s="2188">
        <f t="shared" si="202"/>
        <v>1.5555555555555554</v>
      </c>
      <c r="AQ341" s="2188">
        <f t="shared" si="202"/>
        <v>-0.22805600059941111</v>
      </c>
      <c r="AR341" s="2188">
        <f t="shared" si="202"/>
        <v>0.29035879172082146</v>
      </c>
      <c r="AS341" s="2188">
        <f t="shared" si="202"/>
        <v>0.30021196997912458</v>
      </c>
      <c r="AT341" s="2187">
        <f t="shared" si="202"/>
        <v>0.25858738025802985</v>
      </c>
      <c r="AU341" s="2188">
        <f t="shared" si="202"/>
        <v>0.18245556880978886</v>
      </c>
      <c r="AV341" s="2188">
        <f t="shared" si="202"/>
        <v>0.85903552116417337</v>
      </c>
      <c r="AW341" s="2188">
        <f t="shared" si="202"/>
        <v>0.13185714285714289</v>
      </c>
      <c r="AX341" s="2188">
        <f t="shared" si="202"/>
        <v>3.4000000000000252E-2</v>
      </c>
      <c r="AY341" s="2187">
        <f t="shared" si="202"/>
        <v>0.29181224617209001</v>
      </c>
      <c r="AZ341" s="2188"/>
      <c r="BA341" s="2188"/>
      <c r="BB341" s="2188"/>
      <c r="BC341" s="2188"/>
      <c r="BD341" s="2187"/>
      <c r="BE341" s="2188"/>
      <c r="BF341" s="2188"/>
      <c r="BG341" s="2188"/>
      <c r="BH341" s="2188"/>
      <c r="BI341" s="2942"/>
      <c r="BJ341" s="2943"/>
      <c r="BK341" s="2943"/>
      <c r="BL341" s="2943"/>
      <c r="BM341" s="2943"/>
      <c r="BN341" s="2942"/>
      <c r="BO341" s="2943"/>
      <c r="BP341" s="2943"/>
      <c r="BQ341" s="2943"/>
      <c r="BR341" s="2943"/>
      <c r="BS341" s="2943"/>
      <c r="BT341" s="2189"/>
      <c r="BU341" s="2187"/>
      <c r="BV341" s="2187"/>
      <c r="BW341" s="2187"/>
      <c r="BX341" s="2187"/>
      <c r="BY341" s="2187"/>
      <c r="BZ341" s="2187"/>
      <c r="CA341" s="2187"/>
    </row>
    <row r="342" spans="1:79" s="1022" customFormat="1" outlineLevel="1">
      <c r="A342" s="2184" t="s">
        <v>922</v>
      </c>
      <c r="B342" s="2190"/>
      <c r="C342" s="2190"/>
      <c r="D342" s="2190"/>
      <c r="E342" s="2190"/>
      <c r="F342" s="2191"/>
      <c r="G342" s="2190"/>
      <c r="H342" s="2190"/>
      <c r="I342" s="2190"/>
      <c r="J342" s="2190"/>
      <c r="K342" s="2191"/>
      <c r="L342" s="2190"/>
      <c r="M342" s="2190"/>
      <c r="N342" s="2190"/>
      <c r="O342" s="2190"/>
      <c r="P342" s="2191"/>
      <c r="Q342" s="2190"/>
      <c r="R342" s="2190"/>
      <c r="S342" s="2190"/>
      <c r="T342" s="2190"/>
      <c r="U342" s="2191"/>
      <c r="V342" s="2190"/>
      <c r="W342" s="2190"/>
      <c r="X342" s="2190"/>
      <c r="Y342" s="2190"/>
      <c r="Z342" s="2191"/>
      <c r="AA342" s="2190"/>
      <c r="AB342" s="2190"/>
      <c r="AC342" s="2190"/>
      <c r="AD342" s="2190"/>
      <c r="AE342" s="2191">
        <f>'Client Unit Model'!CF18</f>
        <v>1.0000000000000002E-2</v>
      </c>
      <c r="AF342" s="2190">
        <f>'Client Unit Model'!AJ18</f>
        <v>0.01</v>
      </c>
      <c r="AG342" s="2190">
        <f>'Client Unit Model'!AK18</f>
        <v>5.5E-2</v>
      </c>
      <c r="AH342" s="2190">
        <f>'Client Unit Model'!AL18</f>
        <v>0.04</v>
      </c>
      <c r="AI342" s="2190">
        <f>'Client Unit Model'!AM18</f>
        <v>3.040662137537499E-2</v>
      </c>
      <c r="AJ342" s="2191">
        <f>'Client Unit Model'!CG18</f>
        <v>3.6987187750598026E-2</v>
      </c>
      <c r="AK342" s="2190">
        <f>'Client Unit Model'!AN18</f>
        <v>4.4999999999999998E-2</v>
      </c>
      <c r="AL342" s="2190">
        <f>'Client Unit Model'!AO18</f>
        <v>0.08</v>
      </c>
      <c r="AM342" s="2190">
        <f>'Client Unit Model'!AP18</f>
        <v>7.4999999999999997E-2</v>
      </c>
      <c r="AN342" s="2190">
        <f>'Client Unit Model'!AR18</f>
        <v>0.1</v>
      </c>
      <c r="AO342" s="2191">
        <f>'Client Unit Model'!CH18</f>
        <v>7.2569561944218403E-2</v>
      </c>
      <c r="AP342" s="2190">
        <f>'Client Unit Model'!AR18</f>
        <v>0.1</v>
      </c>
      <c r="AQ342" s="2190">
        <f>'Client Unit Model'!AT18</f>
        <v>0.105</v>
      </c>
      <c r="AR342" s="2190">
        <f>'Client Unit Model'!AT18</f>
        <v>0.105</v>
      </c>
      <c r="AS342" s="2190">
        <f>'Client Unit Model'!AU18</f>
        <v>0.12</v>
      </c>
      <c r="AT342" s="2191">
        <f>'Client Unit Model'!CI18</f>
        <v>0.10505049086819303</v>
      </c>
      <c r="AU342" s="2190">
        <f>'Client Unit Model'!AV18</f>
        <v>0.13</v>
      </c>
      <c r="AV342" s="2190">
        <f>'Client Unit Model'!AW18</f>
        <v>0.13500000000000001</v>
      </c>
      <c r="AW342" s="2190">
        <f>'Client Unit Model'!AX18</f>
        <v>0.13900000000000001</v>
      </c>
      <c r="AX342" s="2190">
        <f>'Client Unit Model'!AY18</f>
        <v>0.14100000000000001</v>
      </c>
      <c r="AY342" s="2191">
        <f>'Client Unit Model'!CJ18</f>
        <v>0.13574521546107418</v>
      </c>
      <c r="AZ342" s="2190"/>
      <c r="BA342" s="2190"/>
      <c r="BB342" s="2190"/>
      <c r="BC342" s="2190"/>
      <c r="BD342" s="2191"/>
      <c r="BE342" s="2190"/>
      <c r="BF342" s="2190"/>
      <c r="BG342" s="2190"/>
      <c r="BH342" s="2190"/>
      <c r="BI342" s="3012"/>
      <c r="BJ342" s="3013"/>
      <c r="BK342" s="3013"/>
      <c r="BL342" s="3013"/>
      <c r="BM342" s="3013"/>
      <c r="BN342" s="3012"/>
      <c r="BO342" s="3013"/>
      <c r="BP342" s="3013"/>
      <c r="BQ342" s="3013"/>
      <c r="BR342" s="3013"/>
      <c r="BS342" s="3013"/>
      <c r="BT342" s="2189"/>
      <c r="BU342" s="2191"/>
      <c r="BV342" s="2191"/>
      <c r="BW342" s="2191"/>
      <c r="BX342" s="2191"/>
      <c r="BY342" s="2191"/>
      <c r="BZ342" s="2191"/>
      <c r="CA342" s="2191"/>
    </row>
    <row r="343" spans="1:79" s="1005" customFormat="1" outlineLevel="1">
      <c r="A343" s="2192" t="s">
        <v>931</v>
      </c>
      <c r="B343" s="2193"/>
      <c r="C343" s="2193"/>
      <c r="D343" s="2193"/>
      <c r="E343" s="2193"/>
      <c r="F343" s="2194"/>
      <c r="G343" s="2193"/>
      <c r="H343" s="2193"/>
      <c r="I343" s="2193"/>
      <c r="J343" s="2193"/>
      <c r="K343" s="2194"/>
      <c r="L343" s="2193"/>
      <c r="M343" s="2193"/>
      <c r="N343" s="2193"/>
      <c r="O343" s="2193"/>
      <c r="P343" s="2194"/>
      <c r="Q343" s="2193"/>
      <c r="R343" s="2193"/>
      <c r="S343" s="2193"/>
      <c r="T343" s="2193"/>
      <c r="U343" s="2194"/>
      <c r="V343" s="2193"/>
      <c r="W343" s="2193"/>
      <c r="X343" s="2193"/>
      <c r="Y343" s="2193"/>
      <c r="Z343" s="2194"/>
      <c r="AA343" s="2193"/>
      <c r="AB343" s="2193"/>
      <c r="AC343" s="2193"/>
      <c r="AD343" s="2193"/>
      <c r="AE343" s="2194">
        <f>'Client Unit Model'!CF172</f>
        <v>60.201223990914464</v>
      </c>
      <c r="AF343" s="2193">
        <f>'Client Unit Model'!AJ172</f>
        <v>57.293500000000002</v>
      </c>
      <c r="AG343" s="2193">
        <f>'Client Unit Model'!AK172</f>
        <v>59.90322520760548</v>
      </c>
      <c r="AH343" s="2193">
        <f>'Client Unit Model'!AL172</f>
        <v>57.409381852204895</v>
      </c>
      <c r="AI343" s="2193">
        <f>'Client Unit Model'!AM172</f>
        <v>55.104378633816303</v>
      </c>
      <c r="AJ343" s="2194">
        <f>'Client Unit Model'!CG172</f>
        <v>57.539912619904882</v>
      </c>
      <c r="AK343" s="2195">
        <f>'Client Unit Model'!AN172</f>
        <v>57.79738662354459</v>
      </c>
      <c r="AL343" s="2195">
        <f>'Client Unit Model'!AO172</f>
        <v>57.509011402351376</v>
      </c>
      <c r="AM343" s="2195">
        <f>'Client Unit Model'!AP172</f>
        <v>57.046765905877315</v>
      </c>
      <c r="AN343" s="2195">
        <f>'Client Unit Model'!AQ172</f>
        <v>53.456642951706854</v>
      </c>
      <c r="AO343" s="2194">
        <f>'Client Unit Model'!CH172</f>
        <v>56.49078340146059</v>
      </c>
      <c r="AP343" s="2195">
        <f>'Client Unit Model'!AR172</f>
        <v>54.734236966942852</v>
      </c>
      <c r="AQ343" s="2195">
        <f>'Client Unit Model'!AT172</f>
        <v>50.741396306212742</v>
      </c>
      <c r="AR343" s="2195">
        <f>'Client Unit Model'!AT172</f>
        <v>50.741396306212742</v>
      </c>
      <c r="AS343" s="2195">
        <f>'Client Unit Model'!AU172</f>
        <v>47.064682471229048</v>
      </c>
      <c r="AT343" s="2194">
        <f>'Client Unit Model'!CI172</f>
        <v>50.773149679997054</v>
      </c>
      <c r="AU343" s="2195">
        <f>'Client Unit Model'!AV172</f>
        <v>55.881323147836994</v>
      </c>
      <c r="AV343" s="2195">
        <f>'Client Unit Model'!AW172</f>
        <v>48</v>
      </c>
      <c r="AW343" s="2195">
        <f>'Client Unit Model'!AX172</f>
        <v>48</v>
      </c>
      <c r="AX343" s="2195">
        <f>'Client Unit Model'!AY172</f>
        <v>44.870264025255757</v>
      </c>
      <c r="AY343" s="2194">
        <f>'Client Unit Model'!CJ172</f>
        <v>48.555629424330569</v>
      </c>
      <c r="AZ343" s="2195"/>
      <c r="BA343" s="2195"/>
      <c r="BB343" s="2195"/>
      <c r="BC343" s="2195"/>
      <c r="BD343" s="2194"/>
      <c r="BE343" s="2196"/>
      <c r="BF343" s="2196"/>
      <c r="BG343" s="2196"/>
      <c r="BH343" s="2196"/>
      <c r="BI343" s="2918"/>
      <c r="BJ343" s="2979"/>
      <c r="BK343" s="2979"/>
      <c r="BL343" s="2979"/>
      <c r="BM343" s="2979"/>
      <c r="BN343" s="2918"/>
      <c r="BO343" s="2974"/>
      <c r="BP343" s="2974"/>
      <c r="BQ343" s="2974"/>
      <c r="BR343" s="2974"/>
      <c r="BS343" s="2974"/>
      <c r="BT343" s="2126"/>
      <c r="BU343" s="2131"/>
      <c r="BV343" s="2131"/>
      <c r="BW343" s="2131">
        <f>SUM(AM343:AN343,AP343:AQ343)</f>
        <v>215.97904213073977</v>
      </c>
      <c r="BX343" s="2131">
        <f>SUM(AR343:AS343,AU343:AV343)</f>
        <v>201.68740192527878</v>
      </c>
      <c r="BY343" s="2131">
        <f>SUM(AW343:AX343,AZ343:BA343)</f>
        <v>92.87026402525575</v>
      </c>
      <c r="BZ343" s="2131">
        <f>SUM(BB343:BC343,BE343:BF343)</f>
        <v>0</v>
      </c>
      <c r="CA343" s="2131"/>
    </row>
    <row r="344" spans="1:79" s="1022" customFormat="1" outlineLevel="1">
      <c r="A344" s="2184" t="s">
        <v>926</v>
      </c>
      <c r="B344" s="2185"/>
      <c r="C344" s="2185"/>
      <c r="D344" s="2185"/>
      <c r="E344" s="2185"/>
      <c r="F344" s="2186"/>
      <c r="G344" s="2185"/>
      <c r="H344" s="2185"/>
      <c r="I344" s="2185"/>
      <c r="J344" s="2185"/>
      <c r="K344" s="2186"/>
      <c r="L344" s="2185"/>
      <c r="M344" s="2185"/>
      <c r="N344" s="2185"/>
      <c r="O344" s="2185"/>
      <c r="P344" s="2186"/>
      <c r="Q344" s="2185"/>
      <c r="R344" s="2185"/>
      <c r="S344" s="2185"/>
      <c r="T344" s="2185"/>
      <c r="U344" s="2186"/>
      <c r="V344" s="2185"/>
      <c r="W344" s="2185"/>
      <c r="X344" s="2185"/>
      <c r="Y344" s="2185"/>
      <c r="Z344" s="2186"/>
      <c r="AA344" s="2185"/>
      <c r="AB344" s="2185"/>
      <c r="AC344" s="2185"/>
      <c r="AD344" s="2185"/>
      <c r="AE344" s="2186"/>
      <c r="AF344" s="2148"/>
      <c r="AG344" s="2185"/>
      <c r="AH344" s="2185"/>
      <c r="AI344" s="2185"/>
      <c r="AJ344" s="2187">
        <f t="shared" ref="AJ344:AY344" si="203">IF(ISERROR(AJ343/AE343-1),,(AJ343/AE343-1))</f>
        <v>-4.420693126457409E-2</v>
      </c>
      <c r="AK344" s="2188">
        <f t="shared" si="203"/>
        <v>8.7948305400191717E-3</v>
      </c>
      <c r="AL344" s="2188">
        <f t="shared" si="203"/>
        <v>-3.9968028381719423E-2</v>
      </c>
      <c r="AM344" s="2188">
        <f t="shared" si="203"/>
        <v>-6.3163185986063741E-3</v>
      </c>
      <c r="AN344" s="2188">
        <f t="shared" si="203"/>
        <v>-2.9902082610514524E-2</v>
      </c>
      <c r="AO344" s="2187">
        <f t="shared" si="203"/>
        <v>-1.8233069371769717E-2</v>
      </c>
      <c r="AP344" s="2188">
        <f t="shared" si="203"/>
        <v>-5.2998065060504307E-2</v>
      </c>
      <c r="AQ344" s="2188">
        <f t="shared" si="203"/>
        <v>-0.11767921115510471</v>
      </c>
      <c r="AR344" s="2188">
        <f t="shared" si="203"/>
        <v>-0.11052983459339194</v>
      </c>
      <c r="AS344" s="2188">
        <f t="shared" si="203"/>
        <v>-0.1195728000774825</v>
      </c>
      <c r="AT344" s="2187">
        <f t="shared" si="203"/>
        <v>-0.10121356754482014</v>
      </c>
      <c r="AU344" s="2188">
        <f t="shared" si="203"/>
        <v>2.0957379593816716E-2</v>
      </c>
      <c r="AV344" s="2188">
        <f t="shared" si="203"/>
        <v>-5.4026820422304556E-2</v>
      </c>
      <c r="AW344" s="2188">
        <f t="shared" si="203"/>
        <v>-5.4026820422304556E-2</v>
      </c>
      <c r="AX344" s="2188">
        <f t="shared" si="203"/>
        <v>-4.6625586974155309E-2</v>
      </c>
      <c r="AY344" s="2187">
        <f t="shared" si="203"/>
        <v>-4.3675057971440223E-2</v>
      </c>
      <c r="AZ344" s="2188"/>
      <c r="BA344" s="2188"/>
      <c r="BB344" s="2188"/>
      <c r="BC344" s="2188"/>
      <c r="BD344" s="2187"/>
      <c r="BE344" s="2188"/>
      <c r="BF344" s="2188"/>
      <c r="BG344" s="2188"/>
      <c r="BH344" s="2188"/>
      <c r="BI344" s="2942"/>
      <c r="BJ344" s="2943"/>
      <c r="BK344" s="2943"/>
      <c r="BL344" s="2943"/>
      <c r="BM344" s="2943"/>
      <c r="BN344" s="2942"/>
      <c r="BO344" s="2943"/>
      <c r="BP344" s="2943"/>
      <c r="BQ344" s="2943"/>
      <c r="BR344" s="2943"/>
      <c r="BS344" s="2943"/>
      <c r="BT344" s="2189"/>
      <c r="BU344" s="2187"/>
      <c r="BV344" s="2187"/>
      <c r="BW344" s="2187"/>
      <c r="BX344" s="2187"/>
      <c r="BY344" s="2187"/>
      <c r="BZ344" s="2187"/>
      <c r="CA344" s="2187"/>
    </row>
    <row r="345" spans="1:79" s="1011" customFormat="1" outlineLevel="1">
      <c r="A345" s="2197" t="s">
        <v>929</v>
      </c>
      <c r="B345" s="2198"/>
      <c r="C345" s="2198"/>
      <c r="D345" s="2198"/>
      <c r="E345" s="2198"/>
      <c r="F345" s="2199"/>
      <c r="G345" s="2198"/>
      <c r="H345" s="2198"/>
      <c r="I345" s="2198"/>
      <c r="J345" s="2198"/>
      <c r="K345" s="2199"/>
      <c r="L345" s="2198"/>
      <c r="M345" s="2198"/>
      <c r="N345" s="2198"/>
      <c r="O345" s="2198"/>
      <c r="P345" s="2199"/>
      <c r="Q345" s="2198"/>
      <c r="R345" s="2198"/>
      <c r="S345" s="2198"/>
      <c r="T345" s="2198"/>
      <c r="U345" s="2199"/>
      <c r="V345" s="2198"/>
      <c r="W345" s="2198"/>
      <c r="X345" s="2198"/>
      <c r="Y345" s="2198"/>
      <c r="Z345" s="2199"/>
      <c r="AA345" s="2198"/>
      <c r="AB345" s="2198"/>
      <c r="AC345" s="2198"/>
      <c r="AD345" s="2198"/>
      <c r="AE345" s="2199">
        <f t="shared" ref="AE345:AY345" si="204">AE292</f>
        <v>15410.795760646593</v>
      </c>
      <c r="AF345" s="2198">
        <f t="shared" si="204"/>
        <v>3739.1813925605875</v>
      </c>
      <c r="AG345" s="2198">
        <f t="shared" si="204"/>
        <v>4148.5202465186912</v>
      </c>
      <c r="AH345" s="2198">
        <f t="shared" si="204"/>
        <v>3360.3563818799948</v>
      </c>
      <c r="AI345" s="2198">
        <f t="shared" si="204"/>
        <v>3166.3021418468479</v>
      </c>
      <c r="AJ345" s="2199">
        <f t="shared" si="204"/>
        <v>14414.360162806122</v>
      </c>
      <c r="AK345" s="2198">
        <f t="shared" si="204"/>
        <v>3459.0277056347263</v>
      </c>
      <c r="AL345" s="2198">
        <f t="shared" si="204"/>
        <v>4021.3897743683583</v>
      </c>
      <c r="AM345" s="2198">
        <f t="shared" si="204"/>
        <v>3473.4711806982673</v>
      </c>
      <c r="AN345" s="2198">
        <f t="shared" si="204"/>
        <v>3228.577388695473</v>
      </c>
      <c r="AO345" s="2199">
        <f t="shared" si="204"/>
        <v>14182.466049396826</v>
      </c>
      <c r="AP345" s="2198">
        <f>AP292</f>
        <v>3281.3607708458353</v>
      </c>
      <c r="AQ345" s="2198">
        <f>AQ292</f>
        <v>3279.557083044635</v>
      </c>
      <c r="AR345" s="2198">
        <f t="shared" si="204"/>
        <v>2608.2217498027921</v>
      </c>
      <c r="AS345" s="2198">
        <f t="shared" si="204"/>
        <v>2341.3104243680928</v>
      </c>
      <c r="AT345" s="2199">
        <f t="shared" si="204"/>
        <v>11510.450028061357</v>
      </c>
      <c r="AU345" s="2198">
        <f t="shared" si="204"/>
        <v>2929.3479879174051</v>
      </c>
      <c r="AV345" s="2198">
        <f t="shared" si="204"/>
        <v>2657.0209081876546</v>
      </c>
      <c r="AW345" s="2198">
        <f t="shared" si="204"/>
        <v>1974.0823997250041</v>
      </c>
      <c r="AX345" s="2198">
        <f t="shared" si="204"/>
        <v>2074.3244792154951</v>
      </c>
      <c r="AY345" s="2199">
        <f t="shared" si="204"/>
        <v>9634.7757750455585</v>
      </c>
      <c r="AZ345" s="2198"/>
      <c r="BA345" s="2198"/>
      <c r="BB345" s="2198"/>
      <c r="BC345" s="2198"/>
      <c r="BD345" s="2199"/>
      <c r="BE345" s="2198"/>
      <c r="BF345" s="2198"/>
      <c r="BG345" s="2198"/>
      <c r="BH345" s="2198"/>
      <c r="BI345" s="2967"/>
      <c r="BJ345" s="2968"/>
      <c r="BK345" s="2968"/>
      <c r="BL345" s="2968"/>
      <c r="BM345" s="2968"/>
      <c r="BN345" s="2967"/>
      <c r="BO345" s="3007"/>
      <c r="BP345" s="3007"/>
      <c r="BQ345" s="3007"/>
      <c r="BR345" s="3007"/>
      <c r="BS345" s="3007"/>
      <c r="BT345" s="2200"/>
      <c r="BU345" s="2199"/>
      <c r="BV345" s="2199"/>
      <c r="BW345" s="2199">
        <f>SUM(AM345:AN345,AP345:AQ345)</f>
        <v>13262.966423284211</v>
      </c>
      <c r="BX345" s="2199">
        <f>SUM(AR345:AS345,AU345:AV345)</f>
        <v>10535.901070275944</v>
      </c>
      <c r="BY345" s="2199">
        <f>SUM(AW345:AX345,AZ345:BA345)</f>
        <v>4048.4068789404992</v>
      </c>
      <c r="BZ345" s="2199">
        <f>SUM(BB345:BC345,BE345:BF345)</f>
        <v>0</v>
      </c>
      <c r="CA345" s="2199"/>
    </row>
    <row r="346" spans="1:79" s="1022" customFormat="1" outlineLevel="1">
      <c r="A346" s="2184" t="s">
        <v>926</v>
      </c>
      <c r="B346" s="2185"/>
      <c r="C346" s="2185"/>
      <c r="D346" s="2185"/>
      <c r="E346" s="2185"/>
      <c r="F346" s="2186"/>
      <c r="G346" s="2185"/>
      <c r="H346" s="2185"/>
      <c r="I346" s="2185"/>
      <c r="J346" s="2185"/>
      <c r="K346" s="2186"/>
      <c r="L346" s="2185"/>
      <c r="M346" s="2185"/>
      <c r="N346" s="2185"/>
      <c r="O346" s="2185"/>
      <c r="P346" s="2186"/>
      <c r="Q346" s="2185"/>
      <c r="R346" s="2185"/>
      <c r="S346" s="2185"/>
      <c r="T346" s="2185"/>
      <c r="U346" s="2186"/>
      <c r="V346" s="2185"/>
      <c r="W346" s="2185"/>
      <c r="X346" s="2185"/>
      <c r="Y346" s="2185"/>
      <c r="Z346" s="2186"/>
      <c r="AA346" s="2185"/>
      <c r="AB346" s="2185"/>
      <c r="AC346" s="2185"/>
      <c r="AD346" s="2185"/>
      <c r="AE346" s="2186"/>
      <c r="AF346" s="2148"/>
      <c r="AG346" s="2185"/>
      <c r="AH346" s="2185"/>
      <c r="AI346" s="2185"/>
      <c r="AJ346" s="2187">
        <f t="shared" ref="AJ346:AY346" si="205">IF(ISERROR(AJ345/AE345-1),,(AJ345/AE345-1))</f>
        <v>-6.4658283278595796E-2</v>
      </c>
      <c r="AK346" s="2188">
        <f t="shared" si="205"/>
        <v>-7.4923802167835563E-2</v>
      </c>
      <c r="AL346" s="2188">
        <f t="shared" si="205"/>
        <v>-3.0644775629820487E-2</v>
      </c>
      <c r="AM346" s="2188">
        <f t="shared" si="205"/>
        <v>3.3661548348925097E-2</v>
      </c>
      <c r="AN346" s="2188">
        <f t="shared" si="205"/>
        <v>1.9668131485487628E-2</v>
      </c>
      <c r="AO346" s="2187">
        <f t="shared" si="205"/>
        <v>-1.6087714667187281E-2</v>
      </c>
      <c r="AP346" s="2188">
        <f t="shared" si="205"/>
        <v>-5.1363258669328671E-2</v>
      </c>
      <c r="AQ346" s="2188">
        <f t="shared" si="205"/>
        <v>-0.18447172071009788</v>
      </c>
      <c r="AR346" s="2188">
        <f t="shared" si="205"/>
        <v>-0.2491022340140836</v>
      </c>
      <c r="AS346" s="2188">
        <f t="shared" si="205"/>
        <v>-0.27481669401329922</v>
      </c>
      <c r="AT346" s="2187">
        <f t="shared" si="205"/>
        <v>-0.18840277932123861</v>
      </c>
      <c r="AU346" s="2188">
        <f t="shared" si="205"/>
        <v>-0.10727646470817409</v>
      </c>
      <c r="AV346" s="2188">
        <f t="shared" si="205"/>
        <v>-0.1898232471925867</v>
      </c>
      <c r="AW346" s="2188">
        <f t="shared" si="205"/>
        <v>-0.24313091865204151</v>
      </c>
      <c r="AX346" s="2188">
        <f t="shared" si="205"/>
        <v>-0.11403269825899132</v>
      </c>
      <c r="AY346" s="2187">
        <f t="shared" si="205"/>
        <v>-0.16295403293903254</v>
      </c>
      <c r="AZ346" s="2188"/>
      <c r="BA346" s="2188"/>
      <c r="BB346" s="2188"/>
      <c r="BC346" s="2188"/>
      <c r="BD346" s="2187"/>
      <c r="BE346" s="2188"/>
      <c r="BF346" s="2188"/>
      <c r="BG346" s="2188"/>
      <c r="BH346" s="2188"/>
      <c r="BI346" s="2942"/>
      <c r="BJ346" s="2943"/>
      <c r="BK346" s="2943"/>
      <c r="BL346" s="2943"/>
      <c r="BM346" s="2943"/>
      <c r="BN346" s="2942"/>
      <c r="BO346" s="2943"/>
      <c r="BP346" s="2943"/>
      <c r="BQ346" s="2943"/>
      <c r="BR346" s="2943"/>
      <c r="BS346" s="2943"/>
      <c r="BT346" s="2189"/>
      <c r="BU346" s="2187"/>
      <c r="BV346" s="2187"/>
      <c r="BW346" s="2187"/>
      <c r="BX346" s="2187"/>
      <c r="BY346" s="2187"/>
      <c r="BZ346" s="2187"/>
      <c r="CA346" s="2187"/>
    </row>
    <row r="347" spans="1:79" s="1005" customFormat="1" ht="7.5" customHeight="1" outlineLevel="1">
      <c r="A347" s="2201"/>
      <c r="B347" s="2193"/>
      <c r="C347" s="2193"/>
      <c r="D347" s="2193"/>
      <c r="E347" s="2193"/>
      <c r="F347" s="2194"/>
      <c r="G347" s="2193"/>
      <c r="H347" s="2193"/>
      <c r="I347" s="2193"/>
      <c r="J347" s="2193"/>
      <c r="K347" s="2194"/>
      <c r="L347" s="2193"/>
      <c r="M347" s="2193"/>
      <c r="N347" s="2193"/>
      <c r="O347" s="2193"/>
      <c r="P347" s="2194"/>
      <c r="Q347" s="2193"/>
      <c r="R347" s="2193"/>
      <c r="S347" s="2193"/>
      <c r="T347" s="2193"/>
      <c r="U347" s="2194"/>
      <c r="V347" s="2193"/>
      <c r="W347" s="2193"/>
      <c r="X347" s="2193"/>
      <c r="Y347" s="2193"/>
      <c r="Z347" s="2194"/>
      <c r="AA347" s="2193"/>
      <c r="AB347" s="2193"/>
      <c r="AC347" s="2193"/>
      <c r="AD347" s="2193"/>
      <c r="AE347" s="2194"/>
      <c r="AF347" s="2166"/>
      <c r="AG347" s="2166"/>
      <c r="AH347" s="2166"/>
      <c r="AI347" s="2166"/>
      <c r="AJ347" s="2194"/>
      <c r="AK347" s="2166"/>
      <c r="AL347" s="2166"/>
      <c r="AM347" s="2166"/>
      <c r="AN347" s="2166"/>
      <c r="AO347" s="2194"/>
      <c r="AP347" s="2166"/>
      <c r="AQ347" s="2166"/>
      <c r="AR347" s="2166"/>
      <c r="AS347" s="2166"/>
      <c r="AT347" s="2194"/>
      <c r="AU347" s="2166"/>
      <c r="AV347" s="2166"/>
      <c r="AW347" s="2166"/>
      <c r="AX347" s="2166"/>
      <c r="AY347" s="2194"/>
      <c r="AZ347" s="2166"/>
      <c r="BA347" s="2166"/>
      <c r="BB347" s="2166"/>
      <c r="BC347" s="2166"/>
      <c r="BD347" s="2194"/>
      <c r="BE347" s="2130"/>
      <c r="BF347" s="2130"/>
      <c r="BG347" s="2130"/>
      <c r="BH347" s="2130"/>
      <c r="BI347" s="2918"/>
      <c r="BJ347" s="2925"/>
      <c r="BK347" s="2925"/>
      <c r="BL347" s="2925"/>
      <c r="BM347" s="2925"/>
      <c r="BN347" s="2918"/>
      <c r="BO347" s="2974"/>
      <c r="BP347" s="2974"/>
      <c r="BQ347" s="2974"/>
      <c r="BR347" s="2974"/>
      <c r="BS347" s="2974"/>
      <c r="BT347" s="2126"/>
      <c r="BU347" s="2131"/>
      <c r="BV347" s="2131"/>
      <c r="BW347" s="2131"/>
      <c r="BX347" s="2131"/>
      <c r="BY347" s="2131"/>
      <c r="BZ347" s="2131"/>
      <c r="CA347" s="2131"/>
    </row>
    <row r="348" spans="1:79" s="1011" customFormat="1" outlineLevel="1">
      <c r="A348" s="2197" t="s">
        <v>923</v>
      </c>
      <c r="B348" s="2198"/>
      <c r="C348" s="2198"/>
      <c r="D348" s="2198"/>
      <c r="E348" s="2198"/>
      <c r="F348" s="2199"/>
      <c r="G348" s="2198"/>
      <c r="H348" s="2198"/>
      <c r="I348" s="2198"/>
      <c r="J348" s="2198"/>
      <c r="K348" s="2199"/>
      <c r="L348" s="2198"/>
      <c r="M348" s="2198"/>
      <c r="N348" s="2198"/>
      <c r="O348" s="2198"/>
      <c r="P348" s="2199"/>
      <c r="Q348" s="2198"/>
      <c r="R348" s="2198"/>
      <c r="S348" s="2198"/>
      <c r="T348" s="2198"/>
      <c r="U348" s="2199"/>
      <c r="V348" s="2198"/>
      <c r="W348" s="2198"/>
      <c r="X348" s="2198"/>
      <c r="Y348" s="2198"/>
      <c r="Z348" s="2199"/>
      <c r="AA348" s="2198"/>
      <c r="AB348" s="2198"/>
      <c r="AC348" s="2198"/>
      <c r="AD348" s="2198"/>
      <c r="AE348" s="2199">
        <f t="shared" ref="AE348:AO348" si="206">AE293+AE294</f>
        <v>788.6089762590791</v>
      </c>
      <c r="AF348" s="2198">
        <f t="shared" si="206"/>
        <v>172.22402221374489</v>
      </c>
      <c r="AG348" s="2198">
        <f>AG293+AG294</f>
        <v>445.30446203282554</v>
      </c>
      <c r="AH348" s="2198">
        <f t="shared" si="206"/>
        <v>190.49004528958238</v>
      </c>
      <c r="AI348" s="2198">
        <f t="shared" si="206"/>
        <v>135.40357101087756</v>
      </c>
      <c r="AJ348" s="2199">
        <f t="shared" si="206"/>
        <v>943.42210054703037</v>
      </c>
      <c r="AK348" s="2198">
        <f t="shared" si="206"/>
        <v>182.06539491167317</v>
      </c>
      <c r="AL348" s="2198">
        <f>AL293+AL294</f>
        <v>221.27094693570214</v>
      </c>
      <c r="AM348" s="2198">
        <f t="shared" si="206"/>
        <v>151.99336352638829</v>
      </c>
      <c r="AN348" s="2198">
        <f t="shared" si="206"/>
        <v>162</v>
      </c>
      <c r="AO348" s="2199">
        <f t="shared" si="206"/>
        <v>717.32970537376355</v>
      </c>
      <c r="AP348" s="2198">
        <f>AP293+AP294</f>
        <v>198.20524613627555</v>
      </c>
      <c r="AQ348" s="2198">
        <f>AQ293+AQ294</f>
        <v>115</v>
      </c>
      <c r="AR348" s="2198">
        <f>AR293+AR294</f>
        <v>165</v>
      </c>
      <c r="AS348" s="2198">
        <f>AS293+AS294</f>
        <v>165</v>
      </c>
      <c r="AT348" s="2199">
        <f>AT293+AT294</f>
        <v>643.20524613627549</v>
      </c>
      <c r="AU348" s="2198">
        <f>AP348*(1+AU349)</f>
        <v>208.11550844308934</v>
      </c>
      <c r="AV348" s="2198">
        <f>AQ348*(1+AV349)</f>
        <v>132.25</v>
      </c>
      <c r="AW348" s="2198">
        <f>AR348*(1+AW349)</f>
        <v>173.25</v>
      </c>
      <c r="AX348" s="2198">
        <f>AS348*(1+AX349)</f>
        <v>173.25</v>
      </c>
      <c r="AY348" s="2199">
        <f>AY293+AY294</f>
        <v>686.86550844308931</v>
      </c>
      <c r="AZ348" s="2198"/>
      <c r="BA348" s="2198"/>
      <c r="BB348" s="2198"/>
      <c r="BC348" s="2198"/>
      <c r="BD348" s="2199"/>
      <c r="BE348" s="2198"/>
      <c r="BF348" s="2198"/>
      <c r="BG348" s="2198"/>
      <c r="BH348" s="2198"/>
      <c r="BI348" s="2967"/>
      <c r="BJ348" s="2968"/>
      <c r="BK348" s="2968"/>
      <c r="BL348" s="2968"/>
      <c r="BM348" s="2968"/>
      <c r="BN348" s="2967"/>
      <c r="BO348" s="3007"/>
      <c r="BP348" s="3007"/>
      <c r="BQ348" s="3007"/>
      <c r="BR348" s="3007"/>
      <c r="BS348" s="3007"/>
      <c r="BT348" s="2200"/>
      <c r="BU348" s="2199"/>
      <c r="BV348" s="2199"/>
      <c r="BW348" s="2199">
        <f>SUM(AM348:AN348,AP348:AQ348)</f>
        <v>627.19860966266378</v>
      </c>
      <c r="BX348" s="2199">
        <f>SUM(AR348:AS348,AU348:AV348)</f>
        <v>670.36550844308931</v>
      </c>
      <c r="BY348" s="2199">
        <f>SUM(AW348:AX348,AZ348:BA348)</f>
        <v>346.5</v>
      </c>
      <c r="BZ348" s="2199">
        <f>SUM(BB348:BC348,BE348:BF348)</f>
        <v>0</v>
      </c>
      <c r="CA348" s="2199"/>
    </row>
    <row r="349" spans="1:79" s="1022" customFormat="1" outlineLevel="1">
      <c r="A349" s="2184" t="s">
        <v>926</v>
      </c>
      <c r="B349" s="2185"/>
      <c r="C349" s="2185"/>
      <c r="D349" s="2185"/>
      <c r="E349" s="2185"/>
      <c r="F349" s="2186"/>
      <c r="G349" s="2185"/>
      <c r="H349" s="2185"/>
      <c r="I349" s="2185"/>
      <c r="J349" s="2185"/>
      <c r="K349" s="2186"/>
      <c r="L349" s="2185"/>
      <c r="M349" s="2185"/>
      <c r="N349" s="2185"/>
      <c r="O349" s="2185"/>
      <c r="P349" s="2186"/>
      <c r="Q349" s="2185"/>
      <c r="R349" s="2185"/>
      <c r="S349" s="2185"/>
      <c r="T349" s="2185"/>
      <c r="U349" s="2186"/>
      <c r="V349" s="2185"/>
      <c r="W349" s="2185"/>
      <c r="X349" s="2185"/>
      <c r="Y349" s="2185"/>
      <c r="Z349" s="2186"/>
      <c r="AA349" s="2185"/>
      <c r="AB349" s="2185"/>
      <c r="AC349" s="2185"/>
      <c r="AD349" s="2185"/>
      <c r="AE349" s="2186"/>
      <c r="AF349" s="2148"/>
      <c r="AG349" s="2185"/>
      <c r="AH349" s="2185"/>
      <c r="AI349" s="2185"/>
      <c r="AJ349" s="2187">
        <f t="shared" ref="AJ349:AS349" si="207">IF(ISERROR(AJ348/AE348-1),,(AJ348/AE348-1))</f>
        <v>0.19631164360103726</v>
      </c>
      <c r="AK349" s="2188">
        <f t="shared" si="207"/>
        <v>5.7142857142857162E-2</v>
      </c>
      <c r="AL349" s="2188">
        <f t="shared" si="207"/>
        <v>-0.50310188690767887</v>
      </c>
      <c r="AM349" s="2188">
        <f t="shared" si="207"/>
        <v>-0.20209287947132115</v>
      </c>
      <c r="AN349" s="2188">
        <f t="shared" si="207"/>
        <v>0.19642339408453147</v>
      </c>
      <c r="AO349" s="2187">
        <f t="shared" si="207"/>
        <v>-0.23965136606633475</v>
      </c>
      <c r="AP349" s="2188">
        <f t="shared" si="207"/>
        <v>8.8648648648648631E-2</v>
      </c>
      <c r="AQ349" s="2188">
        <f t="shared" si="207"/>
        <v>-0.48027519386258521</v>
      </c>
      <c r="AR349" s="2188">
        <f t="shared" si="207"/>
        <v>8.557371303486927E-2</v>
      </c>
      <c r="AS349" s="2188">
        <f t="shared" si="207"/>
        <v>1.8518518518518601E-2</v>
      </c>
      <c r="AT349" s="2187">
        <f>IF(ISERROR(AT348/AO348-1),,(AT348/AO348-1))</f>
        <v>-0.10333387657334725</v>
      </c>
      <c r="AU349" s="2188">
        <v>0.05</v>
      </c>
      <c r="AV349" s="2188">
        <v>0.15</v>
      </c>
      <c r="AW349" s="2202">
        <v>0.05</v>
      </c>
      <c r="AX349" s="2188">
        <v>0.05</v>
      </c>
      <c r="AY349" s="2187">
        <f>IF(ISERROR(AY348/AT348-1),,(AY348/AT348-1))</f>
        <v>6.7879207405537212E-2</v>
      </c>
      <c r="AZ349" s="2202"/>
      <c r="BA349" s="2202"/>
      <c r="BB349" s="2202"/>
      <c r="BC349" s="2202"/>
      <c r="BD349" s="2187"/>
      <c r="BE349" s="2202"/>
      <c r="BF349" s="2202"/>
      <c r="BG349" s="2202"/>
      <c r="BH349" s="2202"/>
      <c r="BI349" s="2942"/>
      <c r="BJ349" s="2947"/>
      <c r="BK349" s="2947"/>
      <c r="BL349" s="2947"/>
      <c r="BM349" s="2947"/>
      <c r="BN349" s="2942"/>
      <c r="BO349" s="2943"/>
      <c r="BP349" s="2943"/>
      <c r="BQ349" s="2943"/>
      <c r="BR349" s="2943"/>
      <c r="BS349" s="2943"/>
      <c r="BT349" s="2189"/>
      <c r="BU349" s="2187"/>
      <c r="BV349" s="2187"/>
      <c r="BW349" s="2187"/>
      <c r="BX349" s="2187"/>
      <c r="BY349" s="2187"/>
      <c r="BZ349" s="2187"/>
      <c r="CA349" s="2187"/>
    </row>
    <row r="350" spans="1:79" s="1005" customFormat="1" ht="10.5" customHeight="1" outlineLevel="1">
      <c r="A350" s="2201"/>
      <c r="B350" s="2193"/>
      <c r="C350" s="2193"/>
      <c r="D350" s="2193"/>
      <c r="E350" s="2193"/>
      <c r="F350" s="2194"/>
      <c r="G350" s="2193"/>
      <c r="H350" s="2193"/>
      <c r="I350" s="2193"/>
      <c r="J350" s="2193"/>
      <c r="K350" s="2194"/>
      <c r="L350" s="2193"/>
      <c r="M350" s="2193"/>
      <c r="N350" s="2193"/>
      <c r="O350" s="2193"/>
      <c r="P350" s="2194"/>
      <c r="Q350" s="2193"/>
      <c r="R350" s="2193"/>
      <c r="S350" s="2193"/>
      <c r="T350" s="2193"/>
      <c r="U350" s="2194"/>
      <c r="V350" s="2193"/>
      <c r="W350" s="2193"/>
      <c r="X350" s="2193"/>
      <c r="Y350" s="2193"/>
      <c r="Z350" s="2194"/>
      <c r="AA350" s="2193"/>
      <c r="AB350" s="2193"/>
      <c r="AC350" s="2193"/>
      <c r="AD350" s="2193"/>
      <c r="AE350" s="2194"/>
      <c r="AF350" s="2166"/>
      <c r="AG350" s="2166"/>
      <c r="AH350" s="2166"/>
      <c r="AI350" s="2166"/>
      <c r="AJ350" s="2194"/>
      <c r="AK350" s="2166"/>
      <c r="AL350" s="2166"/>
      <c r="AM350" s="2166"/>
      <c r="AN350" s="2166"/>
      <c r="AO350" s="2194"/>
      <c r="AP350" s="2166"/>
      <c r="AQ350" s="2166"/>
      <c r="AR350" s="2166"/>
      <c r="AS350" s="2166"/>
      <c r="AT350" s="2194"/>
      <c r="AU350" s="2166"/>
      <c r="AV350" s="2166"/>
      <c r="AW350" s="2166"/>
      <c r="AX350" s="2166"/>
      <c r="AY350" s="2194"/>
      <c r="AZ350" s="2166"/>
      <c r="BA350" s="2166"/>
      <c r="BB350" s="2166"/>
      <c r="BC350" s="2166"/>
      <c r="BD350" s="2194"/>
      <c r="BE350" s="2130"/>
      <c r="BF350" s="2130"/>
      <c r="BG350" s="2130"/>
      <c r="BH350" s="2130"/>
      <c r="BI350" s="2918"/>
      <c r="BJ350" s="2925"/>
      <c r="BK350" s="2925"/>
      <c r="BL350" s="2925"/>
      <c r="BM350" s="2925"/>
      <c r="BN350" s="2918"/>
      <c r="BO350" s="2974"/>
      <c r="BP350" s="2974"/>
      <c r="BQ350" s="2974"/>
      <c r="BR350" s="2974"/>
      <c r="BS350" s="2974"/>
      <c r="BT350" s="2126"/>
      <c r="BU350" s="2131"/>
      <c r="BV350" s="2131"/>
      <c r="BW350" s="2131"/>
      <c r="BX350" s="2131"/>
      <c r="BY350" s="2131"/>
      <c r="BZ350" s="2131"/>
      <c r="CA350" s="2131"/>
    </row>
    <row r="351" spans="1:79" s="1011" customFormat="1" outlineLevel="1">
      <c r="A351" s="2197" t="s">
        <v>924</v>
      </c>
      <c r="B351" s="2198">
        <f>B260</f>
        <v>725</v>
      </c>
      <c r="C351" s="2198">
        <f>C260</f>
        <v>234</v>
      </c>
      <c r="D351" s="2198">
        <f>D260</f>
        <v>1625</v>
      </c>
      <c r="E351" s="2198">
        <f>E260</f>
        <v>974</v>
      </c>
      <c r="F351" s="2199">
        <f>SUM(B351:E351)</f>
        <v>3558</v>
      </c>
      <c r="G351" s="2198">
        <f>G260</f>
        <v>754</v>
      </c>
      <c r="H351" s="2198">
        <f>H260</f>
        <v>826</v>
      </c>
      <c r="I351" s="2198">
        <f>I260</f>
        <v>995</v>
      </c>
      <c r="J351" s="2198">
        <f>J260</f>
        <v>877</v>
      </c>
      <c r="K351" s="2199">
        <f>SUM(G351:J351)</f>
        <v>3452</v>
      </c>
      <c r="L351" s="2198">
        <f>L260</f>
        <v>1088</v>
      </c>
      <c r="M351" s="2198">
        <f>M260</f>
        <v>750</v>
      </c>
      <c r="N351" s="2198">
        <f>N260</f>
        <v>698</v>
      </c>
      <c r="O351" s="2198">
        <f>O260</f>
        <v>588</v>
      </c>
      <c r="P351" s="2199">
        <f>SUM(L351:O351)</f>
        <v>3124</v>
      </c>
      <c r="Q351" s="2198">
        <f>Q260</f>
        <v>757.05882352941171</v>
      </c>
      <c r="R351" s="2198">
        <f>R260</f>
        <v>845</v>
      </c>
      <c r="S351" s="2198">
        <f>S260</f>
        <v>470</v>
      </c>
      <c r="T351" s="2198">
        <f>T260</f>
        <v>945</v>
      </c>
      <c r="U351" s="2199">
        <f>SUM(Q351:T351)</f>
        <v>3017.0588235294117</v>
      </c>
      <c r="V351" s="2198">
        <f>V260</f>
        <v>973.05882352941171</v>
      </c>
      <c r="W351" s="2198">
        <f>W260</f>
        <v>1316</v>
      </c>
      <c r="X351" s="2198">
        <f>X260</f>
        <v>995</v>
      </c>
      <c r="Y351" s="2198">
        <f>Y260</f>
        <v>852</v>
      </c>
      <c r="Z351" s="2199">
        <f>SUM(V351:Y351)</f>
        <v>4136.0588235294117</v>
      </c>
      <c r="AA351" s="2198">
        <f t="shared" ref="AA351:AI351" si="208">AA260</f>
        <v>1000</v>
      </c>
      <c r="AB351" s="2198">
        <f t="shared" si="208"/>
        <v>1065</v>
      </c>
      <c r="AC351" s="2198">
        <f t="shared" si="208"/>
        <v>1000</v>
      </c>
      <c r="AD351" s="2198">
        <f t="shared" si="208"/>
        <v>980</v>
      </c>
      <c r="AE351" s="2199">
        <f t="shared" si="208"/>
        <v>4237.5082499999999</v>
      </c>
      <c r="AF351" s="2198">
        <f t="shared" si="208"/>
        <v>1106</v>
      </c>
      <c r="AG351" s="2198">
        <f t="shared" si="208"/>
        <v>1139.9499999999998</v>
      </c>
      <c r="AH351" s="2198">
        <f t="shared" si="208"/>
        <v>807</v>
      </c>
      <c r="AI351" s="2198">
        <f t="shared" si="208"/>
        <v>722.5</v>
      </c>
      <c r="AJ351" s="2199">
        <f>SUM(AF351:AI351)</f>
        <v>3775.45</v>
      </c>
      <c r="AK351" s="2198">
        <f>AK260</f>
        <v>851.62</v>
      </c>
      <c r="AL351" s="2198">
        <f>AL260</f>
        <v>866.36199999999985</v>
      </c>
      <c r="AM351" s="2198">
        <f>AM260</f>
        <v>928.05</v>
      </c>
      <c r="AN351" s="2198">
        <f>AN260</f>
        <v>874.22500000000002</v>
      </c>
      <c r="AO351" s="2199">
        <f>SUM(AK351:AN351)</f>
        <v>3520.2570000000001</v>
      </c>
      <c r="AP351" s="2198">
        <f>AP260</f>
        <v>809.03899999999999</v>
      </c>
      <c r="AQ351" s="2198">
        <f>AQ260</f>
        <v>649.77149999999983</v>
      </c>
      <c r="AR351" s="2198">
        <f>AR260</f>
        <v>547.54950000000008</v>
      </c>
      <c r="AS351" s="2198">
        <f>AS260</f>
        <v>507.05050000000006</v>
      </c>
      <c r="AT351" s="2199">
        <f>SUM(AP351:AS351)</f>
        <v>2513.4105</v>
      </c>
      <c r="AU351" s="2198">
        <f>AU260</f>
        <v>461.15223000000009</v>
      </c>
      <c r="AV351" s="2198">
        <f>AV260</f>
        <v>302.1437474999999</v>
      </c>
      <c r="AW351" s="2198">
        <f>AW260</f>
        <v>383.28465</v>
      </c>
      <c r="AX351" s="2198">
        <f>AX260</f>
        <v>507.05050000000011</v>
      </c>
      <c r="AY351" s="2199">
        <f>SUM(AU351:AX351)</f>
        <v>1653.6311275</v>
      </c>
      <c r="AZ351" s="2198"/>
      <c r="BA351" s="2198"/>
      <c r="BB351" s="2198"/>
      <c r="BC351" s="2198"/>
      <c r="BD351" s="2199"/>
      <c r="BE351" s="2198"/>
      <c r="BF351" s="2198"/>
      <c r="BG351" s="2198"/>
      <c r="BH351" s="2198"/>
      <c r="BI351" s="2967"/>
      <c r="BJ351" s="2968"/>
      <c r="BK351" s="2968"/>
      <c r="BL351" s="2968"/>
      <c r="BM351" s="2968"/>
      <c r="BN351" s="2967"/>
      <c r="BO351" s="3007"/>
      <c r="BP351" s="3007"/>
      <c r="BQ351" s="3007"/>
      <c r="BR351" s="3007"/>
      <c r="BS351" s="3007"/>
      <c r="BT351" s="2200"/>
      <c r="BU351" s="2199"/>
      <c r="BV351" s="2199"/>
      <c r="BW351" s="2199">
        <f>SUM(AM351:AN351,AP351:AQ351)</f>
        <v>3261.0855000000001</v>
      </c>
      <c r="BX351" s="2199">
        <f>SUM(AR351:AS351,AU351:AV351)</f>
        <v>1817.8959775000003</v>
      </c>
      <c r="BY351" s="2199">
        <f>SUM(AW351:AX351,AZ351:BA351)</f>
        <v>890.33515000000011</v>
      </c>
      <c r="BZ351" s="2199">
        <f>SUM(BB351:BC351,BE351:BF351)</f>
        <v>0</v>
      </c>
      <c r="CA351" s="2199"/>
    </row>
    <row r="352" spans="1:79" s="1022" customFormat="1" outlineLevel="1">
      <c r="A352" s="2184" t="s">
        <v>926</v>
      </c>
      <c r="B352" s="2185"/>
      <c r="C352" s="2185"/>
      <c r="D352" s="2185"/>
      <c r="E352" s="2185"/>
      <c r="F352" s="2186"/>
      <c r="G352" s="2185"/>
      <c r="H352" s="2185"/>
      <c r="I352" s="2185"/>
      <c r="J352" s="2185"/>
      <c r="K352" s="2186"/>
      <c r="L352" s="2185"/>
      <c r="M352" s="2185"/>
      <c r="N352" s="2185"/>
      <c r="O352" s="2185"/>
      <c r="P352" s="2186"/>
      <c r="Q352" s="2185"/>
      <c r="R352" s="2185"/>
      <c r="S352" s="2185"/>
      <c r="T352" s="2185"/>
      <c r="U352" s="2186"/>
      <c r="V352" s="2185"/>
      <c r="W352" s="2185"/>
      <c r="X352" s="2185"/>
      <c r="Y352" s="2185"/>
      <c r="Z352" s="2186"/>
      <c r="AA352" s="2188">
        <f t="shared" ref="AA352:AY352" si="209">IF(ISERROR(AA351/V351-1),,(AA351/V351-1))</f>
        <v>2.7687099504292156E-2</v>
      </c>
      <c r="AB352" s="2188">
        <f t="shared" si="209"/>
        <v>-0.19072948328267481</v>
      </c>
      <c r="AC352" s="2188">
        <f t="shared" si="209"/>
        <v>5.0251256281406143E-3</v>
      </c>
      <c r="AD352" s="2188">
        <f t="shared" si="209"/>
        <v>0.15023474178403751</v>
      </c>
      <c r="AE352" s="2187">
        <f t="shared" si="209"/>
        <v>2.4528042467253597E-2</v>
      </c>
      <c r="AF352" s="2188">
        <f t="shared" si="209"/>
        <v>0.10600000000000009</v>
      </c>
      <c r="AG352" s="2188">
        <f t="shared" si="209"/>
        <v>7.0375586854459993E-2</v>
      </c>
      <c r="AH352" s="2188">
        <f t="shared" si="209"/>
        <v>-0.19299999999999995</v>
      </c>
      <c r="AI352" s="2188">
        <f t="shared" si="209"/>
        <v>-0.26275510204081631</v>
      </c>
      <c r="AJ352" s="2187">
        <f t="shared" si="209"/>
        <v>-0.10904008269482424</v>
      </c>
      <c r="AK352" s="2188">
        <f t="shared" si="209"/>
        <v>-0.22999999999999998</v>
      </c>
      <c r="AL352" s="2188">
        <f t="shared" si="209"/>
        <v>-0.24</v>
      </c>
      <c r="AM352" s="2188">
        <f t="shared" si="209"/>
        <v>0.14999999999999991</v>
      </c>
      <c r="AN352" s="2188">
        <f t="shared" si="209"/>
        <v>0.20999999999999996</v>
      </c>
      <c r="AO352" s="2187">
        <f t="shared" si="209"/>
        <v>-6.7592737289594584E-2</v>
      </c>
      <c r="AP352" s="2188">
        <f t="shared" si="209"/>
        <v>-5.0000000000000044E-2</v>
      </c>
      <c r="AQ352" s="2188">
        <f t="shared" si="209"/>
        <v>-0.25000000000000011</v>
      </c>
      <c r="AR352" s="2188">
        <f t="shared" si="209"/>
        <v>-0.40999999999999992</v>
      </c>
      <c r="AS352" s="2188">
        <f t="shared" si="209"/>
        <v>-0.41999999999999993</v>
      </c>
      <c r="AT352" s="2187">
        <f t="shared" si="209"/>
        <v>-0.28601505515080294</v>
      </c>
      <c r="AU352" s="2188">
        <f t="shared" si="209"/>
        <v>-0.42999999999999983</v>
      </c>
      <c r="AV352" s="2188">
        <f t="shared" si="209"/>
        <v>-0.53500000000000003</v>
      </c>
      <c r="AW352" s="2188">
        <f t="shared" si="209"/>
        <v>-0.30000000000000016</v>
      </c>
      <c r="AX352" s="2188">
        <f t="shared" si="209"/>
        <v>2.2204460492503131E-16</v>
      </c>
      <c r="AY352" s="2187">
        <f t="shared" si="209"/>
        <v>-0.34207678073279313</v>
      </c>
      <c r="AZ352" s="2188"/>
      <c r="BA352" s="2188"/>
      <c r="BB352" s="2188"/>
      <c r="BC352" s="2188"/>
      <c r="BD352" s="2187"/>
      <c r="BE352" s="2188"/>
      <c r="BF352" s="2188"/>
      <c r="BG352" s="2188"/>
      <c r="BH352" s="2188"/>
      <c r="BI352" s="2942"/>
      <c r="BJ352" s="2943"/>
      <c r="BK352" s="2943"/>
      <c r="BL352" s="2943"/>
      <c r="BM352" s="2943"/>
      <c r="BN352" s="2942"/>
      <c r="BO352" s="2943"/>
      <c r="BP352" s="2943"/>
      <c r="BQ352" s="2943"/>
      <c r="BR352" s="2943"/>
      <c r="BS352" s="2943"/>
      <c r="BT352" s="2189"/>
      <c r="BU352" s="2187"/>
      <c r="BV352" s="2187"/>
      <c r="BW352" s="2187"/>
      <c r="BX352" s="2187"/>
      <c r="BY352" s="2187"/>
      <c r="BZ352" s="2187"/>
      <c r="CA352" s="2187"/>
    </row>
    <row r="353" spans="1:79" ht="7.5" customHeight="1" outlineLevel="1" thickBot="1">
      <c r="A353" s="2203"/>
      <c r="B353" s="2141"/>
      <c r="C353" s="2141"/>
      <c r="D353" s="2141"/>
      <c r="E353" s="2141"/>
      <c r="F353" s="2142"/>
      <c r="G353" s="2141"/>
      <c r="H353" s="2141"/>
      <c r="I353" s="2141"/>
      <c r="J353" s="2141"/>
      <c r="K353" s="2142"/>
      <c r="L353" s="2141"/>
      <c r="M353" s="2141"/>
      <c r="N353" s="2141"/>
      <c r="O353" s="2141"/>
      <c r="P353" s="2142"/>
      <c r="Q353" s="2141"/>
      <c r="R353" s="2141"/>
      <c r="S353" s="2141"/>
      <c r="T353" s="2141"/>
      <c r="U353" s="2142"/>
      <c r="V353" s="2141"/>
      <c r="W353" s="2141"/>
      <c r="X353" s="2141"/>
      <c r="Y353" s="2141"/>
      <c r="Z353" s="2142"/>
      <c r="AA353" s="2141"/>
      <c r="AB353" s="2141"/>
      <c r="AC353" s="2141"/>
      <c r="AD353" s="2141"/>
      <c r="AE353" s="2142"/>
      <c r="AF353" s="2127"/>
      <c r="AG353" s="2141"/>
      <c r="AH353" s="2141"/>
      <c r="AI353" s="2141"/>
      <c r="AJ353" s="2142"/>
      <c r="AK353" s="2204"/>
      <c r="AL353" s="2141"/>
      <c r="AM353" s="2141"/>
      <c r="AN353" s="2141"/>
      <c r="AO353" s="2142"/>
      <c r="AP353" s="2141"/>
      <c r="AQ353" s="2141"/>
      <c r="AR353" s="2141"/>
      <c r="AS353" s="2141"/>
      <c r="AT353" s="2142"/>
      <c r="AU353" s="2141"/>
      <c r="AV353" s="2141"/>
      <c r="AW353" s="2141"/>
      <c r="AX353" s="2141"/>
      <c r="AY353" s="2142"/>
      <c r="AZ353" s="2141"/>
      <c r="BA353" s="2141"/>
      <c r="BB353" s="2141"/>
      <c r="BC353" s="2141"/>
      <c r="BD353" s="2142"/>
      <c r="BE353" s="2205"/>
      <c r="BF353" s="2205"/>
      <c r="BG353" s="2205"/>
      <c r="BH353" s="2205"/>
      <c r="BI353" s="2977"/>
      <c r="BJ353" s="2980"/>
      <c r="BK353" s="2980"/>
      <c r="BL353" s="2980"/>
      <c r="BM353" s="2980"/>
      <c r="BN353" s="2977"/>
      <c r="BO353" s="2980"/>
      <c r="BP353" s="2980"/>
      <c r="BQ353" s="2980"/>
      <c r="BR353" s="2980"/>
      <c r="BS353" s="2980"/>
      <c r="BT353" s="2120"/>
      <c r="BU353" s="2145"/>
      <c r="BV353" s="2145"/>
      <c r="BW353" s="2145"/>
      <c r="BX353" s="2145"/>
      <c r="BY353" s="2145"/>
      <c r="BZ353" s="2145"/>
      <c r="CA353" s="2145"/>
    </row>
    <row r="354" spans="1:79" s="1011" customFormat="1" ht="13.5" outlineLevel="1" thickBot="1">
      <c r="A354" s="2206" t="s">
        <v>951</v>
      </c>
      <c r="B354" s="2207"/>
      <c r="C354" s="2207"/>
      <c r="D354" s="2207"/>
      <c r="E354" s="2207"/>
      <c r="F354" s="2208"/>
      <c r="G354" s="2207"/>
      <c r="H354" s="2207"/>
      <c r="I354" s="2207"/>
      <c r="J354" s="2207"/>
      <c r="K354" s="2208"/>
      <c r="L354" s="2207"/>
      <c r="M354" s="2207"/>
      <c r="N354" s="2207"/>
      <c r="O354" s="2207"/>
      <c r="P354" s="2208"/>
      <c r="Q354" s="2207"/>
      <c r="R354" s="2207"/>
      <c r="S354" s="2207"/>
      <c r="T354" s="2207"/>
      <c r="U354" s="2208"/>
      <c r="V354" s="2207"/>
      <c r="W354" s="2207"/>
      <c r="X354" s="2207"/>
      <c r="Y354" s="2207"/>
      <c r="Z354" s="2208"/>
      <c r="AA354" s="2207">
        <f>AA297</f>
        <v>5093</v>
      </c>
      <c r="AB354" s="2207">
        <f>AB297</f>
        <v>4956</v>
      </c>
      <c r="AC354" s="2207">
        <f>AC297</f>
        <v>4763</v>
      </c>
      <c r="AD354" s="2207">
        <f>AD297</f>
        <v>4683</v>
      </c>
      <c r="AE354" s="2208">
        <f t="shared" ref="AE354:AY354" si="210">AE200+AE351+AE348+AE345</f>
        <v>20436.912986905671</v>
      </c>
      <c r="AF354" s="2207">
        <f t="shared" si="210"/>
        <v>5017.4054147743318</v>
      </c>
      <c r="AG354" s="2207">
        <f t="shared" si="210"/>
        <v>5733.7747085515166</v>
      </c>
      <c r="AH354" s="2207">
        <f t="shared" si="210"/>
        <v>4357.8464271695775</v>
      </c>
      <c r="AI354" s="2207">
        <f t="shared" si="210"/>
        <v>4024.2057128577253</v>
      </c>
      <c r="AJ354" s="2208">
        <f t="shared" si="210"/>
        <v>19133.232263353151</v>
      </c>
      <c r="AK354" s="2207">
        <f t="shared" si="210"/>
        <v>4958.8617192790589</v>
      </c>
      <c r="AL354" s="2207">
        <f t="shared" si="210"/>
        <v>6092.2238158560031</v>
      </c>
      <c r="AM354" s="2207">
        <f t="shared" si="210"/>
        <v>5143.9648515901481</v>
      </c>
      <c r="AN354" s="2207">
        <f t="shared" si="210"/>
        <v>5131.760321677415</v>
      </c>
      <c r="AO354" s="2208">
        <f t="shared" si="210"/>
        <v>21326.810708402627</v>
      </c>
      <c r="AP354" s="2207">
        <f t="shared" si="210"/>
        <v>4462.9072660106431</v>
      </c>
      <c r="AQ354" s="2207">
        <f t="shared" si="210"/>
        <v>4427.267061826321</v>
      </c>
      <c r="AR354" s="2207">
        <f t="shared" si="210"/>
        <v>3780.8666967279873</v>
      </c>
      <c r="AS354" s="2207">
        <f t="shared" si="210"/>
        <v>3272.8807450719642</v>
      </c>
      <c r="AT354" s="2208">
        <f t="shared" si="210"/>
        <v>15943.921769636918</v>
      </c>
      <c r="AU354" s="2207">
        <f t="shared" si="210"/>
        <v>3790.3482002918799</v>
      </c>
      <c r="AV354" s="2207">
        <f t="shared" si="210"/>
        <v>3443.0798253688363</v>
      </c>
      <c r="AW354" s="2207">
        <f t="shared" si="210"/>
        <v>2932.0119858799931</v>
      </c>
      <c r="AX354" s="2207">
        <f t="shared" si="210"/>
        <v>2969.7139252822772</v>
      </c>
      <c r="AY354" s="2208">
        <f t="shared" si="210"/>
        <v>13135.153936822986</v>
      </c>
      <c r="AZ354" s="2207"/>
      <c r="BA354" s="2207"/>
      <c r="BB354" s="2207"/>
      <c r="BC354" s="2207"/>
      <c r="BD354" s="2208"/>
      <c r="BE354" s="2207"/>
      <c r="BF354" s="2207"/>
      <c r="BG354" s="2207"/>
      <c r="BH354" s="2207"/>
      <c r="BI354" s="3014"/>
      <c r="BJ354" s="3015"/>
      <c r="BK354" s="3015"/>
      <c r="BL354" s="3015"/>
      <c r="BM354" s="3015"/>
      <c r="BN354" s="3014"/>
      <c r="BO354" s="3007"/>
      <c r="BP354" s="3007"/>
      <c r="BQ354" s="3007"/>
      <c r="BR354" s="3007"/>
      <c r="BS354" s="3007"/>
      <c r="BT354" s="2200"/>
      <c r="BU354" s="2208"/>
      <c r="BV354" s="2208"/>
      <c r="BW354" s="2208">
        <f>SUM(AM354:AN354,AP354:AQ354)</f>
        <v>19165.899501104526</v>
      </c>
      <c r="BX354" s="2208">
        <f>SUM(AR354:AS354,AU354:AV354)</f>
        <v>14287.175467460667</v>
      </c>
      <c r="BY354" s="2208">
        <f>SUM(AW354:AX354,AZ354:BA354)</f>
        <v>5901.7259111622698</v>
      </c>
      <c r="BZ354" s="2208">
        <f>SUM(BB354:BC354,BE354:BF354)</f>
        <v>0</v>
      </c>
      <c r="CA354" s="2208"/>
    </row>
    <row r="355" spans="1:79" s="1022" customFormat="1" outlineLevel="1">
      <c r="A355" s="2184" t="s">
        <v>926</v>
      </c>
      <c r="B355" s="2185"/>
      <c r="C355" s="2185"/>
      <c r="D355" s="2185"/>
      <c r="E355" s="2185"/>
      <c r="F355" s="2186"/>
      <c r="G355" s="2185"/>
      <c r="H355" s="2185"/>
      <c r="I355" s="2185"/>
      <c r="J355" s="2185"/>
      <c r="K355" s="2186"/>
      <c r="L355" s="2185"/>
      <c r="M355" s="2185"/>
      <c r="N355" s="2185"/>
      <c r="O355" s="2185"/>
      <c r="P355" s="2186"/>
      <c r="Q355" s="2185"/>
      <c r="R355" s="2185"/>
      <c r="S355" s="2185"/>
      <c r="T355" s="2185"/>
      <c r="U355" s="2186"/>
      <c r="V355" s="2185"/>
      <c r="W355" s="2185"/>
      <c r="X355" s="2185"/>
      <c r="Y355" s="2185"/>
      <c r="Z355" s="2186"/>
      <c r="AA355" s="2188">
        <f>IF(ISERROR(AA354/V354-1),,(AA354/V354-1))</f>
        <v>0</v>
      </c>
      <c r="AB355" s="2188">
        <f>IF(ISERROR(AB354/W354-1),,(AB354/W354-1))</f>
        <v>0</v>
      </c>
      <c r="AC355" s="2188">
        <f>IF(ISERROR(AC354/X354-1),,(AC354/X354-1))</f>
        <v>0</v>
      </c>
      <c r="AD355" s="2188">
        <f>IF(ISERROR(AD354/Y354-1),,(AD354/Y354-1))</f>
        <v>0</v>
      </c>
      <c r="AE355" s="2186"/>
      <c r="AF355" s="2188">
        <f t="shared" ref="AF355:AY355" si="211">IF(ISERROR(AF354/AA354-1),,(AF354/AA354-1))</f>
        <v>-1.4842840217095699E-2</v>
      </c>
      <c r="AG355" s="2188">
        <f t="shared" si="211"/>
        <v>0.156935978319515</v>
      </c>
      <c r="AH355" s="2188">
        <f t="shared" si="211"/>
        <v>-8.5062685876637123E-2</v>
      </c>
      <c r="AI355" s="2188">
        <f t="shared" si="211"/>
        <v>-0.14067783197571526</v>
      </c>
      <c r="AJ355" s="2187">
        <f t="shared" si="211"/>
        <v>-6.3790491469421728E-2</v>
      </c>
      <c r="AK355" s="2188">
        <f t="shared" si="211"/>
        <v>-1.1668121400531861E-2</v>
      </c>
      <c r="AL355" s="2188">
        <f t="shared" si="211"/>
        <v>6.2515380447349056E-2</v>
      </c>
      <c r="AM355" s="2188">
        <f t="shared" si="211"/>
        <v>0.1803914932658961</v>
      </c>
      <c r="AN355" s="2188">
        <f t="shared" si="211"/>
        <v>0.27522315901519301</v>
      </c>
      <c r="AO355" s="2187">
        <f t="shared" si="211"/>
        <v>0.1146475626729806</v>
      </c>
      <c r="AP355" s="2188">
        <f t="shared" si="211"/>
        <v>-0.10001376955930119</v>
      </c>
      <c r="AQ355" s="2188">
        <f t="shared" si="211"/>
        <v>-0.27329211866713787</v>
      </c>
      <c r="AR355" s="2188">
        <f t="shared" si="211"/>
        <v>-0.2649897878755505</v>
      </c>
      <c r="AS355" s="2188">
        <f t="shared" si="211"/>
        <v>-0.36223039660547518</v>
      </c>
      <c r="AT355" s="2187">
        <f t="shared" si="211"/>
        <v>-0.25240008983832196</v>
      </c>
      <c r="AU355" s="2188">
        <f t="shared" si="211"/>
        <v>-0.15069976265044782</v>
      </c>
      <c r="AV355" s="2188">
        <f t="shared" si="211"/>
        <v>-0.22230130297391437</v>
      </c>
      <c r="AW355" s="2188">
        <f t="shared" si="211"/>
        <v>-0.22451326083054035</v>
      </c>
      <c r="AX355" s="2188">
        <f t="shared" si="211"/>
        <v>-9.2629962227059659E-2</v>
      </c>
      <c r="AY355" s="2187">
        <f t="shared" si="211"/>
        <v>-0.17616542989836148</v>
      </c>
      <c r="AZ355" s="2188"/>
      <c r="BA355" s="2188"/>
      <c r="BB355" s="2188"/>
      <c r="BC355" s="2188"/>
      <c r="BD355" s="2187"/>
      <c r="BE355" s="2188"/>
      <c r="BF355" s="2188"/>
      <c r="BG355" s="2188"/>
      <c r="BH355" s="2188"/>
      <c r="BI355" s="2942"/>
      <c r="BJ355" s="2943"/>
      <c r="BK355" s="2943"/>
      <c r="BL355" s="2943"/>
      <c r="BM355" s="2943"/>
      <c r="BN355" s="2942"/>
      <c r="BO355" s="2943"/>
      <c r="BP355" s="2943"/>
      <c r="BQ355" s="2943"/>
      <c r="BR355" s="2943"/>
      <c r="BS355" s="2943"/>
      <c r="BT355" s="2189"/>
      <c r="BU355" s="2187"/>
      <c r="BV355" s="2187"/>
      <c r="BW355" s="2187"/>
      <c r="BX355" s="2187"/>
      <c r="BY355" s="2187"/>
      <c r="BZ355" s="2187"/>
      <c r="CA355" s="2187"/>
    </row>
    <row r="356" spans="1:79" s="1022" customFormat="1" outlineLevel="1">
      <c r="A356" s="2184" t="s">
        <v>952</v>
      </c>
      <c r="B356" s="2185"/>
      <c r="C356" s="2185"/>
      <c r="D356" s="2185"/>
      <c r="E356" s="2185"/>
      <c r="F356" s="2186"/>
      <c r="G356" s="2185"/>
      <c r="H356" s="2185"/>
      <c r="I356" s="2185"/>
      <c r="J356" s="2185"/>
      <c r="K356" s="2186"/>
      <c r="L356" s="2185"/>
      <c r="M356" s="2185"/>
      <c r="N356" s="2185"/>
      <c r="O356" s="2185"/>
      <c r="P356" s="2186"/>
      <c r="Q356" s="2185"/>
      <c r="R356" s="2185"/>
      <c r="S356" s="2185"/>
      <c r="T356" s="2185"/>
      <c r="U356" s="2186"/>
      <c r="V356" s="2185"/>
      <c r="W356" s="2185"/>
      <c r="X356" s="2185"/>
      <c r="Y356" s="2185"/>
      <c r="Z356" s="2186"/>
      <c r="AA356" s="2209" t="s">
        <v>834</v>
      </c>
      <c r="AB356" s="2188">
        <f>IF(ISERROR(AA354/AB354-1),,(AA354/AB354-1))</f>
        <v>2.7643260694108163E-2</v>
      </c>
      <c r="AC356" s="2188">
        <f>IF(ISERROR(AB354/AC354-1),,(AB354/AC354-1))</f>
        <v>4.0520680243544049E-2</v>
      </c>
      <c r="AD356" s="2188">
        <f>IF(ISERROR(AC354/AD354-1),,(AC354/AD354-1))</f>
        <v>1.7083066410420678E-2</v>
      </c>
      <c r="AE356" s="2186"/>
      <c r="AF356" s="2188">
        <f>IF(ISERROR(AF354/AD354-1),,(AF354/AD354-1))</f>
        <v>7.1408373857427154E-2</v>
      </c>
      <c r="AG356" s="2188">
        <f>IF(ISERROR(AG354/AF354-1),,(AG354/AF354-1))</f>
        <v>0.14277684072882613</v>
      </c>
      <c r="AH356" s="2188">
        <f>IF(ISERROR(AH354/AG354-1),,(AH354/AG354-1))</f>
        <v>-0.2399690171519715</v>
      </c>
      <c r="AI356" s="2188">
        <f>IF(ISERROR(AI354/AH354-1),,(AI354/AH354-1))</f>
        <v>-7.6560916013865166E-2</v>
      </c>
      <c r="AJ356" s="2187"/>
      <c r="AK356" s="2188">
        <f>IF(ISERROR(AK354/AI354-1),,(AK354/AI354-1))</f>
        <v>0.23225850592950992</v>
      </c>
      <c r="AL356" s="2188">
        <f>IF(ISERROR(AL354/AK354-1),,(AL354/AK354-1))</f>
        <v>0.2285528737715472</v>
      </c>
      <c r="AM356" s="2188">
        <f>IF(ISERROR(AM354/AL354-1),,(AM354/AL354-1))</f>
        <v>-0.15565071030349487</v>
      </c>
      <c r="AN356" s="2188">
        <f>IF(ISERROR(AN354/AM354-1),,(AN354/AM354-1))</f>
        <v>-2.3725920111915544E-3</v>
      </c>
      <c r="AO356" s="2187"/>
      <c r="AP356" s="2188">
        <f>IF(ISERROR(AP354/AN354-1),,(AP354/AN354-1))</f>
        <v>-0.1303359887720057</v>
      </c>
      <c r="AQ356" s="2188">
        <f>IF(ISERROR(AQ354/AP354-1),,(AQ354/AP354-1))</f>
        <v>-7.9858715541227809E-3</v>
      </c>
      <c r="AR356" s="2188">
        <f>IF(ISERROR(AR354/AQ354-1),,(AR354/AQ354-1))</f>
        <v>-0.14600437607928773</v>
      </c>
      <c r="AS356" s="2188">
        <f>IF(ISERROR(AS354/AR354-1),,(AS354/AR354-1))</f>
        <v>-0.13435701187128368</v>
      </c>
      <c r="AT356" s="2187"/>
      <c r="AU356" s="2188">
        <f>IF(ISERROR(AU354/AS354-1),,(AU354/AS354-1))</f>
        <v>0.15810764141011724</v>
      </c>
      <c r="AV356" s="2188">
        <f>IF(ISERROR(AV354/AU354-1),,(AV354/AU354-1))</f>
        <v>-9.1619122194710689E-2</v>
      </c>
      <c r="AW356" s="2188">
        <f>IF(ISERROR(AW354/AV354-1),,(AW354/AV354-1))</f>
        <v>-0.14843334032608313</v>
      </c>
      <c r="AX356" s="2188">
        <f>IF(ISERROR(AX354/AW354-1),,(AX354/AW354-1))</f>
        <v>1.2858726220714489E-2</v>
      </c>
      <c r="AY356" s="2187"/>
      <c r="AZ356" s="2188"/>
      <c r="BA356" s="2188"/>
      <c r="BB356" s="2188"/>
      <c r="BC356" s="2188"/>
      <c r="BD356" s="2187"/>
      <c r="BE356" s="2188"/>
      <c r="BF356" s="2188"/>
      <c r="BG356" s="2188"/>
      <c r="BH356" s="2188"/>
      <c r="BI356" s="2942"/>
      <c r="BJ356" s="2943"/>
      <c r="BK356" s="2943"/>
      <c r="BL356" s="2943"/>
      <c r="BM356" s="2943"/>
      <c r="BN356" s="2942"/>
      <c r="BO356" s="2943"/>
      <c r="BP356" s="2943"/>
      <c r="BQ356" s="2943"/>
      <c r="BR356" s="2943"/>
      <c r="BS356" s="2943"/>
      <c r="BT356" s="2189"/>
      <c r="BU356" s="2187"/>
      <c r="BV356" s="2187"/>
      <c r="BW356" s="2187"/>
      <c r="BX356" s="2187"/>
      <c r="BY356" s="2187"/>
      <c r="BZ356" s="2187"/>
      <c r="CA356" s="2187"/>
    </row>
    <row r="357" spans="1:79" s="1022" customFormat="1" outlineLevel="1">
      <c r="A357" s="2184" t="s">
        <v>953</v>
      </c>
      <c r="B357" s="2185"/>
      <c r="C357" s="2185"/>
      <c r="D357" s="2185"/>
      <c r="E357" s="2185"/>
      <c r="F357" s="2186"/>
      <c r="G357" s="2185"/>
      <c r="H357" s="2185"/>
      <c r="I357" s="2185"/>
      <c r="J357" s="2185"/>
      <c r="K357" s="2186"/>
      <c r="L357" s="2185"/>
      <c r="M357" s="2185"/>
      <c r="N357" s="2185"/>
      <c r="O357" s="2185"/>
      <c r="P357" s="2186"/>
      <c r="Q357" s="2185"/>
      <c r="R357" s="2185"/>
      <c r="S357" s="2185"/>
      <c r="T357" s="2185"/>
      <c r="U357" s="2186"/>
      <c r="V357" s="2185"/>
      <c r="W357" s="2185"/>
      <c r="X357" s="2185"/>
      <c r="Y357" s="2185"/>
      <c r="Z357" s="2186"/>
      <c r="AA357" s="2185"/>
      <c r="AB357" s="2185"/>
      <c r="AC357" s="2185"/>
      <c r="AD357" s="2185"/>
      <c r="AE357" s="2186"/>
      <c r="AF357" s="2148"/>
      <c r="AG357" s="2188"/>
      <c r="AH357" s="2188"/>
      <c r="AI357" s="2188"/>
      <c r="AJ357" s="2187"/>
      <c r="AK357" s="2188">
        <f>AVERAGE(AF356,AA356)</f>
        <v>7.1408373857427154E-2</v>
      </c>
      <c r="AL357" s="2188">
        <f>AVERAGE(AG356,AB356)</f>
        <v>8.5210050711467145E-2</v>
      </c>
      <c r="AM357" s="2188">
        <f>AVERAGE(AH356,AC356)</f>
        <v>-9.9724168454213724E-2</v>
      </c>
      <c r="AN357" s="2188">
        <f>AVERAGE(AI356,AD356)</f>
        <v>-2.9738924801722244E-2</v>
      </c>
      <c r="AO357" s="2187"/>
      <c r="AP357" s="2188">
        <f>AVERAGE(AK356,AF356,AA356)</f>
        <v>0.15183343989346854</v>
      </c>
      <c r="AQ357" s="2188">
        <f>AVERAGE(AL356,AG356,AB356)</f>
        <v>0.13299099173149384</v>
      </c>
      <c r="AR357" s="2188">
        <f>AVERAGE(AM356,AH356,AC356)</f>
        <v>-0.11836634907064077</v>
      </c>
      <c r="AS357" s="2188">
        <f>AVERAGE(AN356,AI356,AD356)</f>
        <v>-2.0616813871545348E-2</v>
      </c>
      <c r="AT357" s="2187"/>
      <c r="AU357" s="2188">
        <f>AVERAGE(AP356,AK356,AF356)</f>
        <v>5.777696367164379E-2</v>
      </c>
      <c r="AV357" s="2188">
        <f>AVERAGE(AQ356,AL356,AG356)</f>
        <v>0.12111461431541685</v>
      </c>
      <c r="AW357" s="2188">
        <f>AVERAGE(AR356,AM356,AH356)</f>
        <v>-0.18054136784491803</v>
      </c>
      <c r="AX357" s="2188">
        <f>AVERAGE(AS356,AN356,AI356)</f>
        <v>-7.1096839965446801E-2</v>
      </c>
      <c r="AY357" s="2187"/>
      <c r="AZ357" s="2188"/>
      <c r="BA357" s="2188"/>
      <c r="BB357" s="2188"/>
      <c r="BC357" s="2188"/>
      <c r="BD357" s="2187"/>
      <c r="BE357" s="2188"/>
      <c r="BF357" s="2188"/>
      <c r="BG357" s="2188"/>
      <c r="BH357" s="2188"/>
      <c r="BI357" s="2942"/>
      <c r="BJ357" s="2943"/>
      <c r="BK357" s="2943"/>
      <c r="BL357" s="2943"/>
      <c r="BM357" s="2943"/>
      <c r="BN357" s="2942"/>
      <c r="BO357" s="2943"/>
      <c r="BP357" s="2943"/>
      <c r="BQ357" s="2943"/>
      <c r="BR357" s="2943"/>
      <c r="BS357" s="2943"/>
      <c r="BT357" s="2189"/>
      <c r="BU357" s="2187"/>
      <c r="BV357" s="2187"/>
      <c r="BW357" s="2187"/>
      <c r="BX357" s="2187"/>
      <c r="BY357" s="2187"/>
      <c r="BZ357" s="2187"/>
      <c r="CA357" s="2187"/>
    </row>
    <row r="358" spans="1:79" ht="7.5" customHeight="1" outlineLevel="1">
      <c r="A358" s="2203"/>
      <c r="B358" s="2141"/>
      <c r="C358" s="2141"/>
      <c r="D358" s="2141"/>
      <c r="E358" s="2141"/>
      <c r="F358" s="2142"/>
      <c r="G358" s="2141"/>
      <c r="H358" s="2141"/>
      <c r="I358" s="2141"/>
      <c r="J358" s="2141"/>
      <c r="K358" s="2142"/>
      <c r="L358" s="2141"/>
      <c r="M358" s="2141"/>
      <c r="N358" s="2141"/>
      <c r="O358" s="2141"/>
      <c r="P358" s="2142"/>
      <c r="Q358" s="2141"/>
      <c r="R358" s="2141"/>
      <c r="S358" s="2141"/>
      <c r="T358" s="2141"/>
      <c r="U358" s="2142"/>
      <c r="V358" s="2141"/>
      <c r="W358" s="2141"/>
      <c r="X358" s="2141"/>
      <c r="Y358" s="2141"/>
      <c r="Z358" s="2142"/>
      <c r="AA358" s="2141"/>
      <c r="AB358" s="2141"/>
      <c r="AC358" s="2141"/>
      <c r="AD358" s="2141"/>
      <c r="AE358" s="2142"/>
      <c r="AF358" s="2127"/>
      <c r="AG358" s="2141"/>
      <c r="AH358" s="2141"/>
      <c r="AI358" s="2141"/>
      <c r="AJ358" s="2142"/>
      <c r="AK358" s="2204"/>
      <c r="AL358" s="2141"/>
      <c r="AM358" s="2141"/>
      <c r="AN358" s="2141"/>
      <c r="AO358" s="2142"/>
      <c r="AP358" s="2141"/>
      <c r="AQ358" s="2141"/>
      <c r="AR358" s="2141"/>
      <c r="AS358" s="2141"/>
      <c r="AT358" s="2142"/>
      <c r="AU358" s="2141"/>
      <c r="AV358" s="2141"/>
      <c r="AW358" s="2141"/>
      <c r="AX358" s="2141"/>
      <c r="AY358" s="2142"/>
      <c r="AZ358" s="2141"/>
      <c r="BA358" s="2141"/>
      <c r="BB358" s="2141"/>
      <c r="BC358" s="2141"/>
      <c r="BD358" s="2142"/>
      <c r="BE358" s="2205"/>
      <c r="BF358" s="2205"/>
      <c r="BG358" s="2205"/>
      <c r="BH358" s="2205"/>
      <c r="BI358" s="2977"/>
      <c r="BJ358" s="2980"/>
      <c r="BK358" s="2980"/>
      <c r="BL358" s="2980"/>
      <c r="BM358" s="2980"/>
      <c r="BN358" s="2977"/>
      <c r="BO358" s="2980"/>
      <c r="BP358" s="2980"/>
      <c r="BQ358" s="2980"/>
      <c r="BR358" s="2980"/>
      <c r="BS358" s="2980"/>
      <c r="BT358" s="2120"/>
      <c r="BU358" s="2145"/>
      <c r="BV358" s="2145"/>
      <c r="BW358" s="2145"/>
      <c r="BX358" s="2145"/>
      <c r="BY358" s="2145"/>
      <c r="BZ358" s="2145"/>
      <c r="CA358" s="2145"/>
    </row>
    <row r="359" spans="1:79" ht="7.5" customHeight="1" outlineLevel="1" thickBot="1">
      <c r="A359" s="2203"/>
      <c r="B359" s="2141"/>
      <c r="C359" s="2141"/>
      <c r="D359" s="2141"/>
      <c r="E359" s="2141"/>
      <c r="F359" s="2142"/>
      <c r="G359" s="2141"/>
      <c r="H359" s="2141"/>
      <c r="I359" s="2141"/>
      <c r="J359" s="2141"/>
      <c r="K359" s="2142"/>
      <c r="L359" s="2141"/>
      <c r="M359" s="2141"/>
      <c r="N359" s="2141"/>
      <c r="O359" s="2141"/>
      <c r="P359" s="2142"/>
      <c r="Q359" s="2141"/>
      <c r="R359" s="2141"/>
      <c r="S359" s="2141"/>
      <c r="T359" s="2141"/>
      <c r="U359" s="2142"/>
      <c r="V359" s="2141"/>
      <c r="W359" s="2141"/>
      <c r="X359" s="2141"/>
      <c r="Y359" s="2141"/>
      <c r="Z359" s="2142"/>
      <c r="AA359" s="2141"/>
      <c r="AB359" s="2141"/>
      <c r="AC359" s="2141"/>
      <c r="AD359" s="2141"/>
      <c r="AE359" s="2142"/>
      <c r="AF359" s="2127"/>
      <c r="AG359" s="2141"/>
      <c r="AH359" s="2141"/>
      <c r="AI359" s="2141"/>
      <c r="AJ359" s="2142"/>
      <c r="AK359" s="2204"/>
      <c r="AL359" s="2141"/>
      <c r="AM359" s="2141"/>
      <c r="AN359" s="2141"/>
      <c r="AO359" s="2142"/>
      <c r="AP359" s="2141"/>
      <c r="AQ359" s="2141"/>
      <c r="AR359" s="2141"/>
      <c r="AS359" s="2141"/>
      <c r="AT359" s="2142"/>
      <c r="AU359" s="2141"/>
      <c r="AV359" s="2141"/>
      <c r="AW359" s="2141"/>
      <c r="AX359" s="2141"/>
      <c r="AY359" s="2142"/>
      <c r="AZ359" s="2141"/>
      <c r="BA359" s="2141"/>
      <c r="BB359" s="2141"/>
      <c r="BC359" s="2141"/>
      <c r="BD359" s="2142"/>
      <c r="BE359" s="2205"/>
      <c r="BF359" s="2205"/>
      <c r="BG359" s="2205"/>
      <c r="BH359" s="2205"/>
      <c r="BI359" s="2977"/>
      <c r="BJ359" s="2980"/>
      <c r="BK359" s="2980"/>
      <c r="BL359" s="2980"/>
      <c r="BM359" s="2980"/>
      <c r="BN359" s="2977"/>
      <c r="BO359" s="2980"/>
      <c r="BP359" s="2980"/>
      <c r="BQ359" s="2980"/>
      <c r="BR359" s="2980"/>
      <c r="BS359" s="2980"/>
      <c r="BT359" s="2120"/>
      <c r="BU359" s="2145"/>
      <c r="BV359" s="2145"/>
      <c r="BW359" s="2145"/>
      <c r="BX359" s="2145"/>
      <c r="BY359" s="2145"/>
      <c r="BZ359" s="2145"/>
      <c r="CA359" s="2145"/>
    </row>
    <row r="360" spans="1:79" s="1011" customFormat="1" ht="13.5" outlineLevel="1" thickBot="1">
      <c r="A360" s="2206" t="s">
        <v>1008</v>
      </c>
      <c r="B360" s="2207"/>
      <c r="C360" s="2207"/>
      <c r="D360" s="2207"/>
      <c r="E360" s="2207"/>
      <c r="F360" s="2208"/>
      <c r="G360" s="2207"/>
      <c r="H360" s="2207"/>
      <c r="I360" s="2207"/>
      <c r="J360" s="2207"/>
      <c r="K360" s="2208"/>
      <c r="L360" s="2207"/>
      <c r="M360" s="2207"/>
      <c r="N360" s="2207"/>
      <c r="O360" s="2207"/>
      <c r="P360" s="2208"/>
      <c r="Q360" s="2207"/>
      <c r="R360" s="2207"/>
      <c r="S360" s="2207"/>
      <c r="T360" s="2207"/>
      <c r="U360" s="2208"/>
      <c r="V360" s="2207"/>
      <c r="W360" s="2207"/>
      <c r="X360" s="2207"/>
      <c r="Y360" s="2207"/>
      <c r="Z360" s="2208"/>
      <c r="AA360" s="2207">
        <f>AA304</f>
        <v>1366</v>
      </c>
      <c r="AB360" s="2207">
        <f>AB304</f>
        <v>3415</v>
      </c>
      <c r="AC360" s="2207">
        <f>AC304</f>
        <v>953</v>
      </c>
      <c r="AD360" s="2207">
        <f>AD304</f>
        <v>1006</v>
      </c>
      <c r="AE360" s="2208">
        <f>AE178+AE175+AE158</f>
        <v>650</v>
      </c>
      <c r="AF360" s="2207">
        <f>AF178+AF175+AF158</f>
        <v>150</v>
      </c>
      <c r="AG360" s="2207">
        <f>AG178+AG175+AG158</f>
        <v>465.56890636296777</v>
      </c>
      <c r="AH360" s="2207">
        <f>AH178+AH175+AH158</f>
        <v>262.77360002013961</v>
      </c>
      <c r="AI360" s="2207">
        <f>AI178+AI175+AI158</f>
        <v>210.00932453664399</v>
      </c>
      <c r="AJ360" s="2208">
        <f>SUM(AF360:AI360)</f>
        <v>1088.3518309197514</v>
      </c>
      <c r="AK360" s="2207">
        <f>AK178+AK175+AK158+AK225</f>
        <v>725.66202734375111</v>
      </c>
      <c r="AL360" s="2207">
        <f>AL178+AL175+AL158+AL225</f>
        <v>3402.8620273437509</v>
      </c>
      <c r="AM360" s="2207">
        <f>AM178+AM175+AM158+AM225</f>
        <v>1238.0620273437512</v>
      </c>
      <c r="AN360" s="2207">
        <f>AN178+AN175+AN158</f>
        <v>878.36202734375115</v>
      </c>
      <c r="AO360" s="2208">
        <f>SUM(AK360:AN360)</f>
        <v>6244.9481093750046</v>
      </c>
      <c r="AP360" s="2207">
        <f>AP178+AP175+AP158</f>
        <v>1920.0620273437512</v>
      </c>
      <c r="AQ360" s="2207">
        <f>AQ178+AQ175+AQ158</f>
        <v>3746</v>
      </c>
      <c r="AR360" s="2207">
        <f>AR178+AR175+AR158</f>
        <v>1391.0370273437511</v>
      </c>
      <c r="AS360" s="2207">
        <f>AS178+AS175+AS158</f>
        <v>1516.0370273437511</v>
      </c>
      <c r="AT360" s="2208">
        <f>SUM(AP360:AS360)</f>
        <v>8573.136082031253</v>
      </c>
      <c r="AU360" s="2207">
        <f>AU178+AU175+AU158</f>
        <v>1544.0162500000001</v>
      </c>
      <c r="AV360" s="2207">
        <f>AV178+AV175+AV158</f>
        <v>3875.8625000000002</v>
      </c>
      <c r="AW360" s="2207">
        <f>AW178+AW175+AW158</f>
        <v>1567.4622636718757</v>
      </c>
      <c r="AX360" s="2207">
        <f>AX178+AX175+AX158</f>
        <v>1212.9035068359378</v>
      </c>
      <c r="AY360" s="2208">
        <f>SUM(AU360:AX360)</f>
        <v>8200.2445205078129</v>
      </c>
      <c r="AZ360" s="2207"/>
      <c r="BA360" s="2207"/>
      <c r="BB360" s="2207"/>
      <c r="BC360" s="2207"/>
      <c r="BD360" s="2208"/>
      <c r="BE360" s="2207"/>
      <c r="BF360" s="2207"/>
      <c r="BG360" s="2207"/>
      <c r="BH360" s="2207"/>
      <c r="BI360" s="3014"/>
      <c r="BJ360" s="3015"/>
      <c r="BK360" s="3015"/>
      <c r="BL360" s="3015"/>
      <c r="BM360" s="3015"/>
      <c r="BN360" s="3014"/>
      <c r="BO360" s="3007"/>
      <c r="BP360" s="3007"/>
      <c r="BQ360" s="3007"/>
      <c r="BR360" s="3007"/>
      <c r="BS360" s="3007"/>
      <c r="BT360" s="2200"/>
      <c r="BU360" s="2208"/>
      <c r="BV360" s="2208"/>
      <c r="BW360" s="2208">
        <f>SUM(AM360:AN360,AP360:AQ360)</f>
        <v>7782.4860820312533</v>
      </c>
      <c r="BX360" s="2208">
        <f>SUM(AR360:AS360,AU360:AV360)</f>
        <v>8326.9528046875021</v>
      </c>
      <c r="BY360" s="2208">
        <f>SUM(AW360:AX360,AZ360:BA360)</f>
        <v>2780.3657705078135</v>
      </c>
      <c r="BZ360" s="2208">
        <f>SUM(BB360:BC360,BE360:BF360)</f>
        <v>0</v>
      </c>
      <c r="CA360" s="2208"/>
    </row>
    <row r="361" spans="1:79" s="1022" customFormat="1" outlineLevel="1">
      <c r="A361" s="2184" t="s">
        <v>926</v>
      </c>
      <c r="B361" s="2185"/>
      <c r="C361" s="2185"/>
      <c r="D361" s="2185"/>
      <c r="E361" s="2185"/>
      <c r="F361" s="2186"/>
      <c r="G361" s="2185"/>
      <c r="H361" s="2185"/>
      <c r="I361" s="2185"/>
      <c r="J361" s="2185"/>
      <c r="K361" s="2186"/>
      <c r="L361" s="2185"/>
      <c r="M361" s="2185"/>
      <c r="N361" s="2185"/>
      <c r="O361" s="2185"/>
      <c r="P361" s="2186"/>
      <c r="Q361" s="2185"/>
      <c r="R361" s="2185"/>
      <c r="S361" s="2185"/>
      <c r="T361" s="2185"/>
      <c r="U361" s="2186"/>
      <c r="V361" s="2185"/>
      <c r="W361" s="2185"/>
      <c r="X361" s="2185"/>
      <c r="Y361" s="2185"/>
      <c r="Z361" s="2186"/>
      <c r="AA361" s="2188">
        <f>IF(ISERROR(AA360/V360-1),,(AA360/V360-1))</f>
        <v>0</v>
      </c>
      <c r="AB361" s="2188">
        <f>IF(ISERROR(AB360/W360-1),,(AB360/W360-1))</f>
        <v>0</v>
      </c>
      <c r="AC361" s="2188">
        <f>IF(ISERROR(AC360/X360-1),,(AC360/X360-1))</f>
        <v>0</v>
      </c>
      <c r="AD361" s="2188">
        <f>IF(ISERROR(AD360/Y360-1),,(AD360/Y360-1))</f>
        <v>0</v>
      </c>
      <c r="AE361" s="2186"/>
      <c r="AF361" s="2188">
        <f t="shared" ref="AF361:AY361" si="212">IF(ISERROR(AF360/AA360-1),,(AF360/AA360-1))</f>
        <v>-0.89019033674963399</v>
      </c>
      <c r="AG361" s="2188">
        <f t="shared" si="212"/>
        <v>-0.86366942712651018</v>
      </c>
      <c r="AH361" s="2188">
        <f t="shared" si="212"/>
        <v>-0.72426694646365197</v>
      </c>
      <c r="AI361" s="2188">
        <f t="shared" si="212"/>
        <v>-0.79124321616635784</v>
      </c>
      <c r="AJ361" s="2187">
        <f t="shared" si="212"/>
        <v>0.67438743218423292</v>
      </c>
      <c r="AK361" s="2188">
        <f t="shared" si="212"/>
        <v>3.8377468489583411</v>
      </c>
      <c r="AL361" s="2188">
        <f t="shared" si="212"/>
        <v>6.3090405755980719</v>
      </c>
      <c r="AM361" s="2188">
        <f t="shared" si="212"/>
        <v>3.7115160246267624</v>
      </c>
      <c r="AN361" s="2188">
        <f t="shared" si="212"/>
        <v>3.1824906074134249</v>
      </c>
      <c r="AO361" s="2187">
        <f t="shared" si="212"/>
        <v>4.7379864966069691</v>
      </c>
      <c r="AP361" s="2188">
        <f t="shared" si="212"/>
        <v>1.6459452954594309</v>
      </c>
      <c r="AQ361" s="2188">
        <f t="shared" si="212"/>
        <v>0.10083805041137683</v>
      </c>
      <c r="AR361" s="2188">
        <f t="shared" si="212"/>
        <v>0.12356004515234686</v>
      </c>
      <c r="AS361" s="2188">
        <f t="shared" si="212"/>
        <v>0.7259819757103898</v>
      </c>
      <c r="AT361" s="2187">
        <f t="shared" si="212"/>
        <v>0.37281142002783652</v>
      </c>
      <c r="AU361" s="2188">
        <f t="shared" si="212"/>
        <v>-0.19585084856033508</v>
      </c>
      <c r="AV361" s="2188">
        <f t="shared" si="212"/>
        <v>3.4666978109983981E-2</v>
      </c>
      <c r="AW361" s="2188">
        <f t="shared" si="212"/>
        <v>0.12683000729679828</v>
      </c>
      <c r="AX361" s="2188">
        <f t="shared" si="212"/>
        <v>-0.19995126440871536</v>
      </c>
      <c r="AY361" s="2187">
        <f t="shared" si="212"/>
        <v>-4.3495350820920375E-2</v>
      </c>
      <c r="AZ361" s="2188"/>
      <c r="BA361" s="2188"/>
      <c r="BB361" s="2188"/>
      <c r="BC361" s="2188"/>
      <c r="BD361" s="2187"/>
      <c r="BE361" s="2188"/>
      <c r="BF361" s="2188"/>
      <c r="BG361" s="2188"/>
      <c r="BH361" s="2188"/>
      <c r="BI361" s="2942"/>
      <c r="BJ361" s="2943"/>
      <c r="BK361" s="2943"/>
      <c r="BL361" s="2943"/>
      <c r="BM361" s="2943"/>
      <c r="BN361" s="2942"/>
      <c r="BO361" s="2943"/>
      <c r="BP361" s="2943"/>
      <c r="BQ361" s="2943"/>
      <c r="BR361" s="2943"/>
      <c r="BS361" s="2943"/>
      <c r="BT361" s="2189"/>
      <c r="BU361" s="2187"/>
      <c r="BV361" s="2187"/>
      <c r="BW361" s="2187"/>
      <c r="BX361" s="2187"/>
      <c r="BY361" s="2187"/>
      <c r="BZ361" s="2187"/>
      <c r="CA361" s="2187"/>
    </row>
    <row r="362" spans="1:79" s="1022" customFormat="1" outlineLevel="1">
      <c r="A362" s="2184" t="s">
        <v>952</v>
      </c>
      <c r="B362" s="2185"/>
      <c r="C362" s="2185"/>
      <c r="D362" s="2185"/>
      <c r="E362" s="2185"/>
      <c r="F362" s="2186"/>
      <c r="G362" s="2185"/>
      <c r="H362" s="2185"/>
      <c r="I362" s="2185"/>
      <c r="J362" s="2185"/>
      <c r="K362" s="2186"/>
      <c r="L362" s="2185"/>
      <c r="M362" s="2185"/>
      <c r="N362" s="2185"/>
      <c r="O362" s="2185"/>
      <c r="P362" s="2186"/>
      <c r="Q362" s="2185"/>
      <c r="R362" s="2185"/>
      <c r="S362" s="2185"/>
      <c r="T362" s="2185"/>
      <c r="U362" s="2186"/>
      <c r="V362" s="2185"/>
      <c r="W362" s="2185"/>
      <c r="X362" s="2185"/>
      <c r="Y362" s="2185"/>
      <c r="Z362" s="2186"/>
      <c r="AA362" s="2209"/>
      <c r="AB362" s="2188">
        <f>IF(ISERROR(AB360/AA360-1),,(AB360/AA360-1))</f>
        <v>1.5</v>
      </c>
      <c r="AC362" s="2188">
        <f>IF(ISERROR(AC360/AB360-1),,(AC360/AB360-1))</f>
        <v>-0.72093704245973644</v>
      </c>
      <c r="AD362" s="2188">
        <f>IF(ISERROR(AD360/AC360-1),,(AD360/AC360-1))</f>
        <v>5.561385099685201E-2</v>
      </c>
      <c r="AE362" s="2186"/>
      <c r="AF362" s="2188">
        <f>IF(ISERROR(AF360/AD360-1),,(AF360/AD360-1))</f>
        <v>-0.85089463220675943</v>
      </c>
      <c r="AG362" s="2188">
        <f>IF(ISERROR(AG360/AF360-1),,(AG360/AF360-1))</f>
        <v>2.1037927090864517</v>
      </c>
      <c r="AH362" s="2188">
        <f>IF(ISERROR(AH360/AG360-1),,(AH360/AG360-1))</f>
        <v>-0.43558601867781199</v>
      </c>
      <c r="AI362" s="2188">
        <f>IF(ISERROR(AI360/AH360-1),,(AI360/AH360-1))</f>
        <v>-0.20079747539117954</v>
      </c>
      <c r="AJ362" s="2187"/>
      <c r="AK362" s="2188">
        <f>IF(ISERROR(AK360/AI360-1),,(AK360/AI360-1))</f>
        <v>2.4553800358380382</v>
      </c>
      <c r="AL362" s="2188">
        <f>IF(ISERROR(AL360/AK360-1),,(AL360/AK360-1))</f>
        <v>3.6893207844976459</v>
      </c>
      <c r="AM362" s="2188">
        <f>IF(ISERROR(AM360/AL360-1),,(AM360/AL360-1))</f>
        <v>-0.63617037147104871</v>
      </c>
      <c r="AN362" s="2188">
        <f>IF(ISERROR(AN360/AM360-1),,(AN360/AM360-1))</f>
        <v>-0.29053471640006001</v>
      </c>
      <c r="AO362" s="2210">
        <f>(AO360+AO366)</f>
        <v>8230.2814427083376</v>
      </c>
      <c r="AP362" s="2188">
        <f>IF(ISERROR(AP360/AN360-1),,(AP360/AN360-1))</f>
        <v>1.1859574612420327</v>
      </c>
      <c r="AQ362" s="2188">
        <f>IF(ISERROR(AQ360/AP360-1),,(AQ360/AP360-1))</f>
        <v>0.95097863852986286</v>
      </c>
      <c r="AR362" s="2188">
        <f>IF(ISERROR(AR360/AQ360-1),,(AR360/AQ360-1))</f>
        <v>-0.62866069745228215</v>
      </c>
      <c r="AS362" s="2188">
        <f>IF(ISERROR(AS360/AR360-1),,(AS360/AR360-1))</f>
        <v>8.9861015589709492E-2</v>
      </c>
      <c r="AT362" s="2210">
        <f>(AT360+AT366)</f>
        <v>16097.136082031253</v>
      </c>
      <c r="AU362" s="2188">
        <f>IF(ISERROR(AU360/AS360-1),,(AU360/AS360-1))</f>
        <v>1.8455500856249918E-2</v>
      </c>
      <c r="AV362" s="2188">
        <f>IF(ISERROR(AV360/AU360-1),,(AV360/AU360-1))</f>
        <v>1.5102472205198616</v>
      </c>
      <c r="AW362" s="2188">
        <f>IF(ISERROR(AW360/AV360-1),,(AW360/AV360-1))</f>
        <v>-0.59558362463274284</v>
      </c>
      <c r="AX362" s="2188">
        <f>IF(ISERROR(AX360/AW360-1),,(AX360/AW360-1))</f>
        <v>-0.2261992298336819</v>
      </c>
      <c r="AY362" s="2210">
        <f>(AY360+AY366)</f>
        <v>11198.978120507812</v>
      </c>
      <c r="AZ362" s="2188"/>
      <c r="BA362" s="2188"/>
      <c r="BB362" s="2188"/>
      <c r="BC362" s="2188"/>
      <c r="BD362" s="2187"/>
      <c r="BE362" s="2188"/>
      <c r="BF362" s="2188"/>
      <c r="BG362" s="2188"/>
      <c r="BH362" s="2188"/>
      <c r="BI362" s="2942"/>
      <c r="BJ362" s="2943"/>
      <c r="BK362" s="2943"/>
      <c r="BL362" s="2943"/>
      <c r="BM362" s="2943"/>
      <c r="BN362" s="2942"/>
      <c r="BO362" s="2943"/>
      <c r="BP362" s="2943"/>
      <c r="BQ362" s="2943"/>
      <c r="BR362" s="2943"/>
      <c r="BS362" s="2943"/>
      <c r="BT362" s="2189"/>
      <c r="BU362" s="2187"/>
      <c r="BV362" s="2187"/>
      <c r="BW362" s="2187"/>
      <c r="BX362" s="2187"/>
      <c r="BY362" s="2187"/>
      <c r="BZ362" s="2187"/>
      <c r="CA362" s="2187"/>
    </row>
    <row r="363" spans="1:79" s="1022" customFormat="1" outlineLevel="1">
      <c r="A363" s="2184" t="s">
        <v>953</v>
      </c>
      <c r="B363" s="2185"/>
      <c r="C363" s="2185"/>
      <c r="D363" s="2185"/>
      <c r="E363" s="2185"/>
      <c r="F363" s="2186"/>
      <c r="G363" s="2185"/>
      <c r="H363" s="2185"/>
      <c r="I363" s="2185"/>
      <c r="J363" s="2185"/>
      <c r="K363" s="2186"/>
      <c r="L363" s="2185"/>
      <c r="M363" s="2185"/>
      <c r="N363" s="2185"/>
      <c r="O363" s="2185"/>
      <c r="P363" s="2186"/>
      <c r="Q363" s="2185"/>
      <c r="R363" s="2185"/>
      <c r="S363" s="2185"/>
      <c r="T363" s="2185"/>
      <c r="U363" s="2186"/>
      <c r="V363" s="2185"/>
      <c r="W363" s="2185"/>
      <c r="X363" s="2185"/>
      <c r="Y363" s="2185"/>
      <c r="Z363" s="2186"/>
      <c r="AA363" s="2185"/>
      <c r="AB363" s="2185"/>
      <c r="AC363" s="2185"/>
      <c r="AD363" s="2185"/>
      <c r="AE363" s="2186"/>
      <c r="AF363" s="2148"/>
      <c r="AG363" s="2188"/>
      <c r="AH363" s="2188"/>
      <c r="AI363" s="2188"/>
      <c r="AJ363" s="2187"/>
      <c r="AK363" s="2188"/>
      <c r="AL363" s="2188"/>
      <c r="AM363" s="2188"/>
      <c r="AN363" s="2188"/>
      <c r="AO363" s="2187"/>
      <c r="AP363" s="2188">
        <f>AVERAGE(AK362,AF362,AA362)</f>
        <v>0.80224270181563939</v>
      </c>
      <c r="AQ363" s="2188">
        <f>AVERAGE(AL362,AG362,AB362)</f>
        <v>2.4310378311946992</v>
      </c>
      <c r="AR363" s="2188">
        <f>AVERAGE(AM362,AH362,AC362)</f>
        <v>-0.59756447753619912</v>
      </c>
      <c r="AS363" s="2188">
        <f>AVERAGE(AN362,AI362,AD362)</f>
        <v>-0.14523944693146251</v>
      </c>
      <c r="AT363" s="2187"/>
      <c r="AU363" s="2188">
        <f>AVERAGE(AP362,AK362,AF362)</f>
        <v>0.93014762162443709</v>
      </c>
      <c r="AV363" s="2188">
        <f>AVERAGE(AQ362,AL362,AG362)</f>
        <v>2.2480307107046538</v>
      </c>
      <c r="AW363" s="2188">
        <f>AVERAGE(AR362,AM362,AH362)</f>
        <v>-0.56680569586704765</v>
      </c>
      <c r="AX363" s="2188">
        <f>AVERAGE(AS362,AN362,AI362)</f>
        <v>-0.13382372540051002</v>
      </c>
      <c r="AY363" s="2187"/>
      <c r="AZ363" s="2188"/>
      <c r="BA363" s="2188"/>
      <c r="BB363" s="2188"/>
      <c r="BC363" s="2188"/>
      <c r="BD363" s="2187"/>
      <c r="BE363" s="2188"/>
      <c r="BF363" s="2188"/>
      <c r="BG363" s="2188"/>
      <c r="BH363" s="2188"/>
      <c r="BI363" s="2942"/>
      <c r="BJ363" s="2943"/>
      <c r="BK363" s="2943"/>
      <c r="BL363" s="2943"/>
      <c r="BM363" s="2943"/>
      <c r="BN363" s="2942"/>
      <c r="BO363" s="2943"/>
      <c r="BP363" s="2943"/>
      <c r="BQ363" s="2943"/>
      <c r="BR363" s="2943"/>
      <c r="BS363" s="2943"/>
      <c r="BT363" s="2189"/>
      <c r="BU363" s="2187"/>
      <c r="BV363" s="2187"/>
      <c r="BW363" s="2187"/>
      <c r="BX363" s="2187"/>
      <c r="BY363" s="2187"/>
      <c r="BZ363" s="2187"/>
      <c r="CA363" s="2187"/>
    </row>
    <row r="364" spans="1:79" s="1049" customFormat="1" ht="7.5" customHeight="1" outlineLevel="1">
      <c r="A364" s="2192"/>
      <c r="B364" s="2211"/>
      <c r="C364" s="2211"/>
      <c r="D364" s="2211"/>
      <c r="E364" s="2211"/>
      <c r="F364" s="2212"/>
      <c r="G364" s="2211"/>
      <c r="H364" s="2211"/>
      <c r="I364" s="2211"/>
      <c r="J364" s="2211"/>
      <c r="K364" s="2212"/>
      <c r="L364" s="2211"/>
      <c r="M364" s="2211"/>
      <c r="N364" s="2211"/>
      <c r="O364" s="2211"/>
      <c r="P364" s="2212"/>
      <c r="Q364" s="2211"/>
      <c r="R364" s="2211"/>
      <c r="S364" s="2211"/>
      <c r="T364" s="2211"/>
      <c r="U364" s="2212"/>
      <c r="V364" s="2211"/>
      <c r="W364" s="2211"/>
      <c r="X364" s="2211"/>
      <c r="Y364" s="2211"/>
      <c r="Z364" s="2212"/>
      <c r="AA364" s="2211"/>
      <c r="AB364" s="2211"/>
      <c r="AC364" s="2211"/>
      <c r="AD364" s="2211"/>
      <c r="AE364" s="2194"/>
      <c r="AF364" s="2211"/>
      <c r="AG364" s="2211"/>
      <c r="AH364" s="2211"/>
      <c r="AI364" s="2211"/>
      <c r="AJ364" s="2194"/>
      <c r="AK364" s="2211"/>
      <c r="AL364" s="2211"/>
      <c r="AM364" s="2211"/>
      <c r="AN364" s="2211"/>
      <c r="AO364" s="2194"/>
      <c r="AP364" s="2211"/>
      <c r="AQ364" s="2211"/>
      <c r="AR364" s="2211"/>
      <c r="AS364" s="2211"/>
      <c r="AT364" s="2194"/>
      <c r="AU364" s="2211"/>
      <c r="AV364" s="2211"/>
      <c r="AW364" s="2211"/>
      <c r="AX364" s="2211"/>
      <c r="AY364" s="2194"/>
      <c r="AZ364" s="2211"/>
      <c r="BA364" s="2211"/>
      <c r="BB364" s="2211"/>
      <c r="BC364" s="2211"/>
      <c r="BD364" s="2194"/>
      <c r="BE364" s="2211"/>
      <c r="BF364" s="2211"/>
      <c r="BG364" s="2211"/>
      <c r="BH364" s="2211"/>
      <c r="BI364" s="2918"/>
      <c r="BJ364" s="2973"/>
      <c r="BK364" s="2973"/>
      <c r="BL364" s="2973"/>
      <c r="BM364" s="2973"/>
      <c r="BN364" s="2918"/>
      <c r="BO364" s="2974"/>
      <c r="BP364" s="2974"/>
      <c r="BQ364" s="2974"/>
      <c r="BR364" s="2974"/>
      <c r="BS364" s="2974"/>
      <c r="BT364" s="2213"/>
      <c r="BU364" s="2131"/>
      <c r="BV364" s="2131"/>
      <c r="BW364" s="2131"/>
      <c r="BX364" s="2131"/>
      <c r="BY364" s="2131"/>
      <c r="BZ364" s="2131"/>
      <c r="CA364" s="2131"/>
    </row>
    <row r="365" spans="1:79" ht="7.5" customHeight="1" outlineLevel="1" thickBot="1">
      <c r="A365" s="2203"/>
      <c r="B365" s="2141"/>
      <c r="C365" s="2141"/>
      <c r="D365" s="2141"/>
      <c r="E365" s="2141"/>
      <c r="F365" s="2142"/>
      <c r="G365" s="2141"/>
      <c r="H365" s="2141"/>
      <c r="I365" s="2141"/>
      <c r="J365" s="2141"/>
      <c r="K365" s="2142"/>
      <c r="L365" s="2141"/>
      <c r="M365" s="2141"/>
      <c r="N365" s="2141"/>
      <c r="O365" s="2141"/>
      <c r="P365" s="2142"/>
      <c r="Q365" s="2141"/>
      <c r="R365" s="2141"/>
      <c r="S365" s="2141"/>
      <c r="T365" s="2141"/>
      <c r="U365" s="2142"/>
      <c r="V365" s="2141"/>
      <c r="W365" s="2141"/>
      <c r="X365" s="2141"/>
      <c r="Y365" s="2141"/>
      <c r="Z365" s="2142"/>
      <c r="AA365" s="2141"/>
      <c r="AB365" s="2141"/>
      <c r="AC365" s="2141"/>
      <c r="AD365" s="2141"/>
      <c r="AE365" s="2142"/>
      <c r="AF365" s="2127"/>
      <c r="AG365" s="2141"/>
      <c r="AH365" s="2141"/>
      <c r="AI365" s="2141"/>
      <c r="AJ365" s="2142"/>
      <c r="AK365" s="2204"/>
      <c r="AL365" s="2141"/>
      <c r="AM365" s="2141"/>
      <c r="AN365" s="2141"/>
      <c r="AO365" s="2142"/>
      <c r="AP365" s="2141"/>
      <c r="AQ365" s="2141"/>
      <c r="AR365" s="2141"/>
      <c r="AS365" s="2141"/>
      <c r="AT365" s="2142"/>
      <c r="AU365" s="2141"/>
      <c r="AV365" s="2141"/>
      <c r="AW365" s="2141"/>
      <c r="AX365" s="2141"/>
      <c r="AY365" s="2142"/>
      <c r="AZ365" s="2141"/>
      <c r="BA365" s="2141"/>
      <c r="BB365" s="2141"/>
      <c r="BC365" s="2141"/>
      <c r="BD365" s="2142"/>
      <c r="BE365" s="2205"/>
      <c r="BF365" s="2205"/>
      <c r="BG365" s="2205"/>
      <c r="BH365" s="2205"/>
      <c r="BI365" s="2977"/>
      <c r="BJ365" s="2980"/>
      <c r="BK365" s="2980"/>
      <c r="BL365" s="2980"/>
      <c r="BM365" s="2980"/>
      <c r="BN365" s="2977"/>
      <c r="BO365" s="2980"/>
      <c r="BP365" s="2980"/>
      <c r="BQ365" s="2980"/>
      <c r="BR365" s="2980"/>
      <c r="BS365" s="2980"/>
      <c r="BT365" s="2120"/>
      <c r="BU365" s="2145"/>
      <c r="BV365" s="2145"/>
      <c r="BW365" s="2145"/>
      <c r="BX365" s="2145"/>
      <c r="BY365" s="2145"/>
      <c r="BZ365" s="2145"/>
      <c r="CA365" s="2145"/>
    </row>
    <row r="366" spans="1:79" s="1011" customFormat="1" ht="13.5" outlineLevel="1" thickBot="1">
      <c r="A366" s="2206" t="s">
        <v>1009</v>
      </c>
      <c r="B366" s="2207"/>
      <c r="C366" s="2207"/>
      <c r="D366" s="2207"/>
      <c r="E366" s="2207"/>
      <c r="F366" s="2208"/>
      <c r="G366" s="2207"/>
      <c r="H366" s="2207"/>
      <c r="I366" s="2207"/>
      <c r="J366" s="2207"/>
      <c r="K366" s="2208"/>
      <c r="L366" s="2207"/>
      <c r="M366" s="2207"/>
      <c r="N366" s="2207"/>
      <c r="O366" s="2207"/>
      <c r="P366" s="2208"/>
      <c r="Q366" s="2207"/>
      <c r="R366" s="2207"/>
      <c r="S366" s="2207"/>
      <c r="T366" s="2207"/>
      <c r="U366" s="2208"/>
      <c r="V366" s="2207"/>
      <c r="W366" s="2207"/>
      <c r="X366" s="2207"/>
      <c r="Y366" s="2207"/>
      <c r="Z366" s="2208"/>
      <c r="AA366" s="2207">
        <f>AA317</f>
        <v>0</v>
      </c>
      <c r="AB366" s="2207">
        <f>AB317</f>
        <v>0</v>
      </c>
      <c r="AC366" s="2207">
        <f>AC317</f>
        <v>0</v>
      </c>
      <c r="AD366" s="2207">
        <f>AD317</f>
        <v>0</v>
      </c>
      <c r="AE366" s="2208"/>
      <c r="AF366" s="2207"/>
      <c r="AG366" s="2207"/>
      <c r="AH366" s="2207"/>
      <c r="AI366" s="2207"/>
      <c r="AJ366" s="2208"/>
      <c r="AK366" s="2207"/>
      <c r="AL366" s="2207"/>
      <c r="AM366" s="2207"/>
      <c r="AN366" s="2207">
        <f>AN225</f>
        <v>1985.3333333333333</v>
      </c>
      <c r="AO366" s="2208">
        <f>SUM(AK366:AN366)</f>
        <v>1985.3333333333333</v>
      </c>
      <c r="AP366" s="2207">
        <f>AP225</f>
        <v>2609</v>
      </c>
      <c r="AQ366" s="2207">
        <f>AQ225</f>
        <v>2284</v>
      </c>
      <c r="AR366" s="2207">
        <f>AR225</f>
        <v>1397</v>
      </c>
      <c r="AS366" s="2207">
        <f>AS225</f>
        <v>1234</v>
      </c>
      <c r="AT366" s="2208">
        <f>SUM(AP366:AS366)</f>
        <v>7524</v>
      </c>
      <c r="AU366" s="2207">
        <f>AU225</f>
        <v>922.02060000000006</v>
      </c>
      <c r="AV366" s="2207">
        <f>AV225</f>
        <v>942.15000000000009</v>
      </c>
      <c r="AW366" s="2207">
        <f>AW225</f>
        <v>780.923</v>
      </c>
      <c r="AX366" s="2207">
        <f>AX225</f>
        <v>353.64</v>
      </c>
      <c r="AY366" s="2208">
        <f>SUM(AU366:AX366)</f>
        <v>2998.7336</v>
      </c>
      <c r="AZ366" s="2207"/>
      <c r="BA366" s="2207"/>
      <c r="BB366" s="2207"/>
      <c r="BC366" s="2207"/>
      <c r="BD366" s="2208"/>
      <c r="BE366" s="2207"/>
      <c r="BF366" s="2207"/>
      <c r="BG366" s="2207"/>
      <c r="BH366" s="2207"/>
      <c r="BI366" s="3014"/>
      <c r="BJ366" s="3015"/>
      <c r="BK366" s="3015"/>
      <c r="BL366" s="3015"/>
      <c r="BM366" s="3015"/>
      <c r="BN366" s="3014"/>
      <c r="BO366" s="3007"/>
      <c r="BP366" s="3007"/>
      <c r="BQ366" s="3007"/>
      <c r="BR366" s="3007"/>
      <c r="BS366" s="3007"/>
      <c r="BT366" s="2200"/>
      <c r="BU366" s="2208"/>
      <c r="BV366" s="2208"/>
      <c r="BW366" s="2208">
        <f>SUM(AM366:AN366,AP366:AQ366)</f>
        <v>6878.333333333333</v>
      </c>
      <c r="BX366" s="2208">
        <f>SUM(AR366:AS366,AU366:AV366)</f>
        <v>4495.1705999999995</v>
      </c>
      <c r="BY366" s="2208">
        <f>SUM(AW366:AX366,AZ366:BA366)</f>
        <v>1134.5630000000001</v>
      </c>
      <c r="BZ366" s="2208">
        <f>SUM(BB366:BC366,BE366:BF366)</f>
        <v>0</v>
      </c>
      <c r="CA366" s="2208"/>
    </row>
    <row r="367" spans="1:79" s="1022" customFormat="1" outlineLevel="1">
      <c r="A367" s="2184" t="s">
        <v>926</v>
      </c>
      <c r="B367" s="2185"/>
      <c r="C367" s="2185"/>
      <c r="D367" s="2185"/>
      <c r="E367" s="2185"/>
      <c r="F367" s="2186"/>
      <c r="G367" s="2185"/>
      <c r="H367" s="2185"/>
      <c r="I367" s="2185"/>
      <c r="J367" s="2185"/>
      <c r="K367" s="2186"/>
      <c r="L367" s="2185"/>
      <c r="M367" s="2185"/>
      <c r="N367" s="2185"/>
      <c r="O367" s="2185"/>
      <c r="P367" s="2186"/>
      <c r="Q367" s="2185"/>
      <c r="R367" s="2185"/>
      <c r="S367" s="2185"/>
      <c r="T367" s="2185"/>
      <c r="U367" s="2186"/>
      <c r="V367" s="2185"/>
      <c r="W367" s="2185"/>
      <c r="X367" s="2185"/>
      <c r="Y367" s="2185"/>
      <c r="Z367" s="2186"/>
      <c r="AA367" s="2188">
        <f>IF(ISERROR(AA366/V366-1),,(AA366/V366-1))</f>
        <v>0</v>
      </c>
      <c r="AB367" s="2188">
        <f>IF(ISERROR(AB366/W366-1),,(AB366/W366-1))</f>
        <v>0</v>
      </c>
      <c r="AC367" s="2188">
        <f>IF(ISERROR(AC366/X366-1),,(AC366/X366-1))</f>
        <v>0</v>
      </c>
      <c r="AD367" s="2188">
        <f>IF(ISERROR(AD366/Y366-1),,(AD366/Y366-1))</f>
        <v>0</v>
      </c>
      <c r="AE367" s="2186"/>
      <c r="AF367" s="2188"/>
      <c r="AG367" s="2188"/>
      <c r="AH367" s="2188"/>
      <c r="AI367" s="2188"/>
      <c r="AJ367" s="2187"/>
      <c r="AK367" s="2188"/>
      <c r="AL367" s="2188"/>
      <c r="AM367" s="2188"/>
      <c r="AN367" s="2188">
        <f t="shared" ref="AN367:AY367" si="213">IF(ISERROR(AN366/AI366-1),,(AN366/AI366-1))</f>
        <v>0</v>
      </c>
      <c r="AO367" s="2187">
        <f t="shared" si="213"/>
        <v>0</v>
      </c>
      <c r="AP367" s="2188">
        <f t="shared" si="213"/>
        <v>0</v>
      </c>
      <c r="AQ367" s="2188">
        <f t="shared" si="213"/>
        <v>0</v>
      </c>
      <c r="AR367" s="2188">
        <f t="shared" si="213"/>
        <v>0</v>
      </c>
      <c r="AS367" s="2188">
        <f t="shared" si="213"/>
        <v>-0.37844190732034921</v>
      </c>
      <c r="AT367" s="2187">
        <f t="shared" si="213"/>
        <v>2.7897918065815985</v>
      </c>
      <c r="AU367" s="2188">
        <f t="shared" si="213"/>
        <v>-0.64659999999999995</v>
      </c>
      <c r="AV367" s="2188">
        <f t="shared" si="213"/>
        <v>-0.58749999999999991</v>
      </c>
      <c r="AW367" s="2188">
        <f t="shared" si="213"/>
        <v>-0.44099999999999995</v>
      </c>
      <c r="AX367" s="2188">
        <f t="shared" si="213"/>
        <v>-0.71341977309562399</v>
      </c>
      <c r="AY367" s="2187">
        <f t="shared" si="213"/>
        <v>-0.60144423179160023</v>
      </c>
      <c r="AZ367" s="2188"/>
      <c r="BA367" s="2188"/>
      <c r="BB367" s="2188"/>
      <c r="BC367" s="2188"/>
      <c r="BD367" s="2187"/>
      <c r="BE367" s="2188"/>
      <c r="BF367" s="2188"/>
      <c r="BG367" s="2188"/>
      <c r="BH367" s="2188"/>
      <c r="BI367" s="2942"/>
      <c r="BJ367" s="2943"/>
      <c r="BK367" s="2943"/>
      <c r="BL367" s="2943"/>
      <c r="BM367" s="2943"/>
      <c r="BN367" s="2942"/>
      <c r="BO367" s="2943"/>
      <c r="BP367" s="2943"/>
      <c r="BQ367" s="2943"/>
      <c r="BR367" s="2943"/>
      <c r="BS367" s="2943"/>
      <c r="BT367" s="2189"/>
      <c r="BU367" s="2187"/>
      <c r="BV367" s="2187"/>
      <c r="BW367" s="2187"/>
      <c r="BX367" s="2187"/>
      <c r="BY367" s="2187"/>
      <c r="BZ367" s="2187"/>
      <c r="CA367" s="2187"/>
    </row>
    <row r="368" spans="1:79" s="1022" customFormat="1" outlineLevel="1">
      <c r="A368" s="2184" t="s">
        <v>952</v>
      </c>
      <c r="B368" s="2185"/>
      <c r="C368" s="2185"/>
      <c r="D368" s="2185"/>
      <c r="E368" s="2185"/>
      <c r="F368" s="2186"/>
      <c r="G368" s="2185"/>
      <c r="H368" s="2185"/>
      <c r="I368" s="2185"/>
      <c r="J368" s="2185"/>
      <c r="K368" s="2186"/>
      <c r="L368" s="2185"/>
      <c r="M368" s="2185"/>
      <c r="N368" s="2185"/>
      <c r="O368" s="2185"/>
      <c r="P368" s="2186"/>
      <c r="Q368" s="2185"/>
      <c r="R368" s="2185"/>
      <c r="S368" s="2185"/>
      <c r="T368" s="2185"/>
      <c r="U368" s="2186"/>
      <c r="V368" s="2185"/>
      <c r="W368" s="2185"/>
      <c r="X368" s="2185"/>
      <c r="Y368" s="2185"/>
      <c r="Z368" s="2186"/>
      <c r="AA368" s="2209"/>
      <c r="AB368" s="2188">
        <f>IF(ISERROR(AB366/AA366-1),,(AB366/AA366-1))</f>
        <v>0</v>
      </c>
      <c r="AC368" s="2188">
        <f>IF(ISERROR(AC366/AB366-1),,(AC366/AB366-1))</f>
        <v>0</v>
      </c>
      <c r="AD368" s="2188">
        <f>IF(ISERROR(AD366/AC366-1),,(AD366/AC366-1))</f>
        <v>0</v>
      </c>
      <c r="AE368" s="2186"/>
      <c r="AF368" s="2188"/>
      <c r="AG368" s="2188"/>
      <c r="AH368" s="2188"/>
      <c r="AI368" s="2188"/>
      <c r="AJ368" s="2187"/>
      <c r="AK368" s="2188"/>
      <c r="AL368" s="2188"/>
      <c r="AM368" s="2188"/>
      <c r="AN368" s="2188">
        <f>IF(ISERROR(AN366/AM366-1),,(AN366/AM366-1))</f>
        <v>0</v>
      </c>
      <c r="AO368" s="2187"/>
      <c r="AP368" s="2188">
        <f>IF(ISERROR(AP366/AN366-1),,(AP366/AN366-1))</f>
        <v>0.31413700470114181</v>
      </c>
      <c r="AQ368" s="2188">
        <f>IF(ISERROR(AQ366/AP366-1),,(AQ366/AP366-1))</f>
        <v>-0.12456880030663087</v>
      </c>
      <c r="AR368" s="2188">
        <f>IF(ISERROR(AR366/AQ366-1),,(AR366/AQ366-1))</f>
        <v>-0.38835376532399302</v>
      </c>
      <c r="AS368" s="2188">
        <f>IF(ISERROR(AS366/AR366-1),,(AS366/AR366-1))</f>
        <v>-0.11667859699355765</v>
      </c>
      <c r="AT368" s="2187"/>
      <c r="AU368" s="2188">
        <f>IF(ISERROR(AU366/AS366-1),,(AU366/AS366-1))</f>
        <v>-0.25281961102106965</v>
      </c>
      <c r="AV368" s="2188">
        <f>IF(ISERROR(AV366/AU366-1),,(AV366/AU366-1))</f>
        <v>2.1831833258389333E-2</v>
      </c>
      <c r="AW368" s="2188">
        <f>IF(ISERROR(AW366/AV366-1),,(AW366/AV366-1))</f>
        <v>-0.17112667834208994</v>
      </c>
      <c r="AX368" s="2188">
        <f>IF(ISERROR(AX366/AW366-1),,(AX366/AW366-1))</f>
        <v>-0.54715125562955635</v>
      </c>
      <c r="AY368" s="2187"/>
      <c r="AZ368" s="2188"/>
      <c r="BA368" s="2188"/>
      <c r="BB368" s="2188"/>
      <c r="BC368" s="2188"/>
      <c r="BD368" s="2187"/>
      <c r="BE368" s="2188"/>
      <c r="BF368" s="2188"/>
      <c r="BG368" s="2188"/>
      <c r="BH368" s="2188"/>
      <c r="BI368" s="2942"/>
      <c r="BJ368" s="2943"/>
      <c r="BK368" s="2943"/>
      <c r="BL368" s="2943"/>
      <c r="BM368" s="2943"/>
      <c r="BN368" s="2942"/>
      <c r="BO368" s="2943"/>
      <c r="BP368" s="2943"/>
      <c r="BQ368" s="2943"/>
      <c r="BR368" s="2943"/>
      <c r="BS368" s="2943"/>
      <c r="BT368" s="2189"/>
      <c r="BU368" s="2187"/>
      <c r="BV368" s="2187"/>
      <c r="BW368" s="2187"/>
      <c r="BX368" s="2187"/>
      <c r="BY368" s="2187"/>
      <c r="BZ368" s="2187"/>
      <c r="CA368" s="2187"/>
    </row>
    <row r="369" spans="1:79" s="1022" customFormat="1" outlineLevel="1">
      <c r="A369" s="2184" t="s">
        <v>953</v>
      </c>
      <c r="B369" s="2185"/>
      <c r="C369" s="2185"/>
      <c r="D369" s="2185"/>
      <c r="E369" s="2185"/>
      <c r="F369" s="2186"/>
      <c r="G369" s="2185"/>
      <c r="H369" s="2185"/>
      <c r="I369" s="2185"/>
      <c r="J369" s="2185"/>
      <c r="K369" s="2186"/>
      <c r="L369" s="2185"/>
      <c r="M369" s="2185"/>
      <c r="N369" s="2185"/>
      <c r="O369" s="2185"/>
      <c r="P369" s="2186"/>
      <c r="Q369" s="2185"/>
      <c r="R369" s="2185"/>
      <c r="S369" s="2185"/>
      <c r="T369" s="2185"/>
      <c r="U369" s="2186"/>
      <c r="V369" s="2185"/>
      <c r="W369" s="2185"/>
      <c r="X369" s="2185"/>
      <c r="Y369" s="2185"/>
      <c r="Z369" s="2186"/>
      <c r="AA369" s="2185"/>
      <c r="AB369" s="2185"/>
      <c r="AC369" s="2185"/>
      <c r="AD369" s="2185"/>
      <c r="AE369" s="2186"/>
      <c r="AF369" s="2148"/>
      <c r="AG369" s="2188"/>
      <c r="AH369" s="2188"/>
      <c r="AI369" s="2188"/>
      <c r="AJ369" s="2187"/>
      <c r="AK369" s="2188"/>
      <c r="AL369" s="2188"/>
      <c r="AM369" s="2188"/>
      <c r="AN369" s="2188"/>
      <c r="AO369" s="2187"/>
      <c r="AP369" s="2188"/>
      <c r="AQ369" s="2188"/>
      <c r="AR369" s="2188"/>
      <c r="AS369" s="2188"/>
      <c r="AT369" s="2187"/>
      <c r="AU369" s="2188">
        <f>AVERAGE(AP368,AK368,AF368)</f>
        <v>0.31413700470114181</v>
      </c>
      <c r="AV369" s="2188">
        <f>AVERAGE(AQ368,AL368,AG368)</f>
        <v>-0.12456880030663087</v>
      </c>
      <c r="AW369" s="2188">
        <f>AVERAGE(AR368,AM368,AH368)</f>
        <v>-0.38835376532399302</v>
      </c>
      <c r="AX369" s="2188">
        <f>AVERAGE(AS368,AN368,AI368)</f>
        <v>-5.8339298496778824E-2</v>
      </c>
      <c r="AY369" s="2187"/>
      <c r="AZ369" s="2188"/>
      <c r="BA369" s="2188"/>
      <c r="BB369" s="2188"/>
      <c r="BC369" s="2188"/>
      <c r="BD369" s="2187"/>
      <c r="BE369" s="2188"/>
      <c r="BF369" s="2188"/>
      <c r="BG369" s="2188"/>
      <c r="BH369" s="2188"/>
      <c r="BI369" s="2942"/>
      <c r="BJ369" s="2943"/>
      <c r="BK369" s="2943"/>
      <c r="BL369" s="2943"/>
      <c r="BM369" s="2943"/>
      <c r="BN369" s="2942"/>
      <c r="BO369" s="2943"/>
      <c r="BP369" s="2943"/>
      <c r="BQ369" s="2943"/>
      <c r="BR369" s="2943"/>
      <c r="BS369" s="2943"/>
      <c r="BT369" s="2189"/>
      <c r="BU369" s="2187"/>
      <c r="BV369" s="2187"/>
      <c r="BW369" s="2187"/>
      <c r="BX369" s="2187"/>
      <c r="BY369" s="2187"/>
      <c r="BZ369" s="2187"/>
      <c r="CA369" s="2187"/>
    </row>
    <row r="370" spans="1:79" s="1049" customFormat="1" ht="6.75" customHeight="1" outlineLevel="1">
      <c r="A370" s="2192"/>
      <c r="B370" s="2211"/>
      <c r="C370" s="2211"/>
      <c r="D370" s="2211"/>
      <c r="E370" s="2211"/>
      <c r="F370" s="2212"/>
      <c r="G370" s="2211"/>
      <c r="H370" s="2211"/>
      <c r="I370" s="2211"/>
      <c r="J370" s="2211"/>
      <c r="K370" s="2212"/>
      <c r="L370" s="2211"/>
      <c r="M370" s="2211"/>
      <c r="N370" s="2211"/>
      <c r="O370" s="2211"/>
      <c r="P370" s="2212"/>
      <c r="Q370" s="2211"/>
      <c r="R370" s="2211"/>
      <c r="S370" s="2211"/>
      <c r="T370" s="2211"/>
      <c r="U370" s="2212"/>
      <c r="V370" s="2211"/>
      <c r="W370" s="2211"/>
      <c r="X370" s="2211"/>
      <c r="Y370" s="2211"/>
      <c r="Z370" s="2212"/>
      <c r="AA370" s="2211"/>
      <c r="AB370" s="2211"/>
      <c r="AC370" s="2211"/>
      <c r="AD370" s="2211"/>
      <c r="AE370" s="2194"/>
      <c r="AF370" s="2211"/>
      <c r="AG370" s="2211"/>
      <c r="AH370" s="2211"/>
      <c r="AI370" s="2211"/>
      <c r="AJ370" s="2194"/>
      <c r="AK370" s="2211"/>
      <c r="AL370" s="2211"/>
      <c r="AM370" s="2211"/>
      <c r="AN370" s="2211"/>
      <c r="AO370" s="2194"/>
      <c r="AP370" s="2211"/>
      <c r="AQ370" s="2211"/>
      <c r="AR370" s="2211"/>
      <c r="AS370" s="2211"/>
      <c r="AT370" s="2194"/>
      <c r="AU370" s="2211"/>
      <c r="AV370" s="2211"/>
      <c r="AW370" s="2211"/>
      <c r="AX370" s="2211"/>
      <c r="AY370" s="2194"/>
      <c r="AZ370" s="2211"/>
      <c r="BA370" s="2211"/>
      <c r="BB370" s="2211"/>
      <c r="BC370" s="2211"/>
      <c r="BD370" s="2194"/>
      <c r="BE370" s="2211"/>
      <c r="BF370" s="2211"/>
      <c r="BG370" s="2211"/>
      <c r="BH370" s="2211"/>
      <c r="BI370" s="2918"/>
      <c r="BJ370" s="2973"/>
      <c r="BK370" s="2973"/>
      <c r="BL370" s="2973"/>
      <c r="BM370" s="2973"/>
      <c r="BN370" s="2918"/>
      <c r="BO370" s="2974"/>
      <c r="BP370" s="2974"/>
      <c r="BQ370" s="2974"/>
      <c r="BR370" s="2974"/>
      <c r="BS370" s="2974"/>
      <c r="BT370" s="2213"/>
      <c r="BU370" s="2131"/>
      <c r="BV370" s="2131"/>
      <c r="BW370" s="2131"/>
      <c r="BX370" s="2131"/>
      <c r="BY370" s="2131"/>
      <c r="BZ370" s="2131"/>
      <c r="CA370" s="2131"/>
    </row>
    <row r="371" spans="1:79" outlineLevel="1">
      <c r="A371" s="2121"/>
      <c r="B371" s="2122"/>
      <c r="C371" s="2122"/>
      <c r="D371" s="2122"/>
      <c r="E371" s="2122"/>
      <c r="F371" s="2123"/>
      <c r="G371" s="2122"/>
      <c r="H371" s="2122"/>
      <c r="I371" s="2122"/>
      <c r="J371" s="2122"/>
      <c r="K371" s="2123"/>
      <c r="L371" s="2122"/>
      <c r="M371" s="2122"/>
      <c r="N371" s="2122"/>
      <c r="O371" s="2122"/>
      <c r="P371" s="2123"/>
      <c r="Q371" s="2122"/>
      <c r="R371" s="2122"/>
      <c r="S371" s="2122"/>
      <c r="T371" s="2122"/>
      <c r="U371" s="2123"/>
      <c r="V371" s="2122"/>
      <c r="W371" s="2122"/>
      <c r="X371" s="2122"/>
      <c r="Y371" s="2122"/>
      <c r="Z371" s="2123"/>
      <c r="AA371" s="2122"/>
      <c r="AB371" s="2122"/>
      <c r="AC371" s="2122"/>
      <c r="AD371" s="2122"/>
      <c r="AE371" s="2123"/>
      <c r="AF371" s="2124"/>
      <c r="AG371" s="2122"/>
      <c r="AH371" s="2122"/>
      <c r="AI371" s="2122"/>
      <c r="AJ371" s="2123"/>
      <c r="AK371" s="2125"/>
      <c r="AL371" s="2122"/>
      <c r="AM371" s="2122"/>
      <c r="AN371" s="2122"/>
      <c r="AO371" s="2123"/>
      <c r="AP371" s="2122"/>
      <c r="AQ371" s="2122"/>
      <c r="AR371" s="2122"/>
      <c r="AS371" s="2122"/>
      <c r="AT371" s="2123"/>
      <c r="AU371" s="2122"/>
      <c r="AV371" s="2122"/>
      <c r="AW371" s="2122"/>
      <c r="AX371" s="2122"/>
      <c r="AY371" s="2123"/>
      <c r="AZ371" s="2122"/>
      <c r="BA371" s="2122"/>
      <c r="BB371" s="2122"/>
      <c r="BC371" s="2122"/>
      <c r="BD371" s="2123"/>
      <c r="BE371" s="2122"/>
      <c r="BF371" s="2122"/>
      <c r="BG371" s="2122"/>
      <c r="BH371" s="2122"/>
      <c r="BI371" s="2915"/>
      <c r="BJ371" s="2917"/>
      <c r="BK371" s="2917"/>
      <c r="BL371" s="2917"/>
      <c r="BM371" s="2917"/>
      <c r="BN371" s="2915"/>
      <c r="BO371" s="2955"/>
      <c r="BP371" s="2955"/>
      <c r="BQ371" s="2955"/>
      <c r="BR371" s="2955"/>
      <c r="BS371" s="2955"/>
      <c r="BT371" s="2120"/>
      <c r="BU371" s="2123"/>
      <c r="BV371" s="2123"/>
      <c r="BW371" s="2123"/>
      <c r="BX371" s="2123"/>
      <c r="BY371" s="2123"/>
      <c r="BZ371" s="2123"/>
      <c r="CA371" s="2123"/>
    </row>
    <row r="372" spans="1:79" s="1049" customFormat="1" ht="6.75" customHeight="1" outlineLevel="1">
      <c r="A372" s="2192"/>
      <c r="B372" s="2211"/>
      <c r="C372" s="2211"/>
      <c r="D372" s="2211"/>
      <c r="E372" s="2211"/>
      <c r="F372" s="2212"/>
      <c r="G372" s="2211"/>
      <c r="H372" s="2211"/>
      <c r="I372" s="2211"/>
      <c r="J372" s="2211"/>
      <c r="K372" s="2212"/>
      <c r="L372" s="2211"/>
      <c r="M372" s="2211"/>
      <c r="N372" s="2211"/>
      <c r="O372" s="2211"/>
      <c r="P372" s="2212"/>
      <c r="Q372" s="2211"/>
      <c r="R372" s="2211"/>
      <c r="S372" s="2211"/>
      <c r="T372" s="2211"/>
      <c r="U372" s="2212"/>
      <c r="V372" s="2211"/>
      <c r="W372" s="2211"/>
      <c r="X372" s="2211"/>
      <c r="Y372" s="2211"/>
      <c r="Z372" s="2212"/>
      <c r="AA372" s="2211"/>
      <c r="AB372" s="2211"/>
      <c r="AC372" s="2211"/>
      <c r="AD372" s="2211"/>
      <c r="AE372" s="2194"/>
      <c r="AF372" s="2211"/>
      <c r="AG372" s="2211"/>
      <c r="AH372" s="2211"/>
      <c r="AI372" s="2211"/>
      <c r="AJ372" s="2194"/>
      <c r="AK372" s="2211"/>
      <c r="AL372" s="2211"/>
      <c r="AM372" s="2211"/>
      <c r="AN372" s="2211"/>
      <c r="AO372" s="2194"/>
      <c r="AP372" s="2211"/>
      <c r="AQ372" s="2211"/>
      <c r="AR372" s="2211"/>
      <c r="AS372" s="2211"/>
      <c r="AT372" s="2194"/>
      <c r="AU372" s="2211"/>
      <c r="AV372" s="2211"/>
      <c r="AW372" s="2211"/>
      <c r="AX372" s="2211"/>
      <c r="AY372" s="2194"/>
      <c r="AZ372" s="2211"/>
      <c r="BA372" s="2211"/>
      <c r="BB372" s="2211"/>
      <c r="BC372" s="2211"/>
      <c r="BD372" s="2194"/>
      <c r="BE372" s="2211"/>
      <c r="BF372" s="2211"/>
      <c r="BG372" s="2211"/>
      <c r="BH372" s="2211"/>
      <c r="BI372" s="2918"/>
      <c r="BJ372" s="2973"/>
      <c r="BK372" s="2973"/>
      <c r="BL372" s="2973"/>
      <c r="BM372" s="2973"/>
      <c r="BN372" s="2918"/>
      <c r="BO372" s="2974"/>
      <c r="BP372" s="2974"/>
      <c r="BQ372" s="2974"/>
      <c r="BR372" s="2974"/>
      <c r="BS372" s="2974"/>
      <c r="BT372" s="2213"/>
      <c r="BU372" s="2131"/>
      <c r="BV372" s="2131"/>
      <c r="BW372" s="2131"/>
      <c r="BX372" s="2131"/>
      <c r="BY372" s="2131"/>
      <c r="BZ372" s="2131"/>
      <c r="CA372" s="2131"/>
    </row>
    <row r="373" spans="1:79" s="1011" customFormat="1" outlineLevel="1">
      <c r="A373" s="2197" t="s">
        <v>1</v>
      </c>
      <c r="B373" s="2198"/>
      <c r="C373" s="2198"/>
      <c r="D373" s="2198"/>
      <c r="E373" s="2198"/>
      <c r="F373" s="2199"/>
      <c r="G373" s="2198"/>
      <c r="H373" s="2198"/>
      <c r="I373" s="2198"/>
      <c r="J373" s="2198"/>
      <c r="K373" s="2199"/>
      <c r="L373" s="2198"/>
      <c r="M373" s="2198"/>
      <c r="N373" s="2198"/>
      <c r="O373" s="2198"/>
      <c r="P373" s="2199"/>
      <c r="Q373" s="2198"/>
      <c r="R373" s="2198"/>
      <c r="S373" s="2198"/>
      <c r="T373" s="2198"/>
      <c r="U373" s="2199"/>
      <c r="V373" s="2198"/>
      <c r="W373" s="2198"/>
      <c r="X373" s="2198"/>
      <c r="Y373" s="2198"/>
      <c r="Z373" s="2199"/>
      <c r="AA373" s="2198"/>
      <c r="AB373" s="2198"/>
      <c r="AC373" s="2198"/>
      <c r="AD373" s="2198"/>
      <c r="AE373" s="2199">
        <f>AE311</f>
        <v>38.717236560523268</v>
      </c>
      <c r="AF373" s="2198">
        <f>AF311</f>
        <v>8.2011439149402321</v>
      </c>
      <c r="AG373" s="2198">
        <f>AG311</f>
        <v>250</v>
      </c>
      <c r="AH373" s="2198">
        <f>AH311</f>
        <v>8.4662242350925521</v>
      </c>
      <c r="AI373" s="2198">
        <f>AI311</f>
        <v>5.5555555555555562</v>
      </c>
      <c r="AJ373" s="2199">
        <f>SUM(AF373:AI373)</f>
        <v>272.22292370558836</v>
      </c>
      <c r="AK373" s="2198">
        <f>AK311</f>
        <v>8.2011439149402321</v>
      </c>
      <c r="AL373" s="2198">
        <f>AL311</f>
        <v>248.51053137931035</v>
      </c>
      <c r="AM373" s="2198">
        <f>AM311</f>
        <v>30.504951505620284</v>
      </c>
      <c r="AN373" s="2198">
        <f>AN311</f>
        <v>7.2045294270833438</v>
      </c>
      <c r="AO373" s="2199">
        <f>SUM(AK373:AN373)</f>
        <v>294.42115622695422</v>
      </c>
      <c r="AP373" s="2198">
        <f>AP311</f>
        <v>62.162018573849309</v>
      </c>
      <c r="AQ373" s="2198">
        <f>AQ311</f>
        <v>270.54693227413782</v>
      </c>
      <c r="AR373" s="2198">
        <f>AR311</f>
        <v>35.378866778766678</v>
      </c>
      <c r="AS373" s="2198">
        <f>AS311</f>
        <v>9.1900476666664872</v>
      </c>
      <c r="AT373" s="2199">
        <f>SUM(AP373:AS373)</f>
        <v>377.27786529342029</v>
      </c>
      <c r="AU373" s="2198">
        <f>AP373*(1+AU374)</f>
        <v>62.162018573849309</v>
      </c>
      <c r="AV373" s="2198">
        <f>AQ373*(1+AV374)</f>
        <v>270.54693227413782</v>
      </c>
      <c r="AW373" s="2198">
        <f>AR373*(1+AW374)</f>
        <v>35.378866778766678</v>
      </c>
      <c r="AX373" s="2198">
        <f>AS373*(1+AX374)</f>
        <v>9.1900476666664872</v>
      </c>
      <c r="AY373" s="2199">
        <f>SUM(AU373:AX373)</f>
        <v>377.27786529342029</v>
      </c>
      <c r="AZ373" s="2198"/>
      <c r="BA373" s="2198"/>
      <c r="BB373" s="2198"/>
      <c r="BC373" s="2198"/>
      <c r="BD373" s="2199"/>
      <c r="BE373" s="2198"/>
      <c r="BF373" s="2198"/>
      <c r="BG373" s="2198"/>
      <c r="BH373" s="2198"/>
      <c r="BI373" s="2967"/>
      <c r="BJ373" s="2968"/>
      <c r="BK373" s="2968"/>
      <c r="BL373" s="2968"/>
      <c r="BM373" s="2968"/>
      <c r="BN373" s="2967"/>
      <c r="BO373" s="3007"/>
      <c r="BP373" s="3007"/>
      <c r="BQ373" s="3007"/>
      <c r="BR373" s="3007"/>
      <c r="BS373" s="3007"/>
      <c r="BT373" s="2200"/>
      <c r="BU373" s="2199"/>
      <c r="BV373" s="2199"/>
      <c r="BW373" s="2199">
        <f>SUM(AM373:AN373,AP373:AQ373)</f>
        <v>370.41843178069075</v>
      </c>
      <c r="BX373" s="2199">
        <f>SUM(AR373:AS373,AU373:AV373)</f>
        <v>377.27786529342029</v>
      </c>
      <c r="BY373" s="2199">
        <f>SUM(AW373:AX373,AZ373:BA373)</f>
        <v>44.568914445433165</v>
      </c>
      <c r="BZ373" s="2199">
        <f>SUM(BB373:BC373,BE373:BF373)</f>
        <v>0</v>
      </c>
      <c r="CA373" s="2199"/>
    </row>
    <row r="374" spans="1:79" s="1022" customFormat="1" outlineLevel="1">
      <c r="A374" s="2184" t="s">
        <v>926</v>
      </c>
      <c r="B374" s="2185"/>
      <c r="C374" s="2185"/>
      <c r="D374" s="2185"/>
      <c r="E374" s="2185"/>
      <c r="F374" s="2186"/>
      <c r="G374" s="2185"/>
      <c r="H374" s="2185"/>
      <c r="I374" s="2185"/>
      <c r="J374" s="2185"/>
      <c r="K374" s="2186"/>
      <c r="L374" s="2185"/>
      <c r="M374" s="2185"/>
      <c r="N374" s="2185"/>
      <c r="O374" s="2185"/>
      <c r="P374" s="2186"/>
      <c r="Q374" s="2185"/>
      <c r="R374" s="2185"/>
      <c r="S374" s="2185"/>
      <c r="T374" s="2185"/>
      <c r="U374" s="2186"/>
      <c r="V374" s="2185"/>
      <c r="W374" s="2185"/>
      <c r="X374" s="2185"/>
      <c r="Y374" s="2185"/>
      <c r="Z374" s="2186"/>
      <c r="AA374" s="2185"/>
      <c r="AB374" s="2185"/>
      <c r="AC374" s="2185"/>
      <c r="AD374" s="2185"/>
      <c r="AE374" s="2186"/>
      <c r="AF374" s="2148"/>
      <c r="AG374" s="2185"/>
      <c r="AH374" s="2185"/>
      <c r="AI374" s="2185"/>
      <c r="AJ374" s="2187">
        <f t="shared" ref="AJ374:AS374" si="214">IF(ISERROR(AJ373/AE373-1),,(AJ373/AE373-1))</f>
        <v>6.0310525204981014</v>
      </c>
      <c r="AK374" s="2188">
        <f t="shared" si="214"/>
        <v>0</v>
      </c>
      <c r="AL374" s="2188">
        <f t="shared" si="214"/>
        <v>-5.9578744827586405E-3</v>
      </c>
      <c r="AM374" s="2214">
        <f t="shared" si="214"/>
        <v>2.6031353125726424</v>
      </c>
      <c r="AN374" s="2214">
        <f t="shared" si="214"/>
        <v>0.29681529687500174</v>
      </c>
      <c r="AO374" s="2187">
        <f t="shared" si="214"/>
        <v>8.1544317499776309E-2</v>
      </c>
      <c r="AP374" s="2214">
        <f t="shared" si="214"/>
        <v>6.5796765937258073</v>
      </c>
      <c r="AQ374" s="2188">
        <f t="shared" si="214"/>
        <v>8.8673911614604917E-2</v>
      </c>
      <c r="AR374" s="2188">
        <f t="shared" si="214"/>
        <v>0.15977456224601494</v>
      </c>
      <c r="AS374" s="2188">
        <f t="shared" si="214"/>
        <v>0.27559305013304014</v>
      </c>
      <c r="AT374" s="2187">
        <f>IF(ISERROR(AT373/AO373-1),,(AT373/AO373-1))</f>
        <v>0.28142240227667625</v>
      </c>
      <c r="AU374" s="2214">
        <v>0</v>
      </c>
      <c r="AV374" s="2188">
        <v>0</v>
      </c>
      <c r="AW374" s="2202">
        <v>0</v>
      </c>
      <c r="AX374" s="2188">
        <v>0</v>
      </c>
      <c r="AY374" s="2187">
        <f>IF(ISERROR(AY373/AT373-1),,(AY373/AT373-1))</f>
        <v>0</v>
      </c>
      <c r="AZ374" s="2202"/>
      <c r="BA374" s="2202"/>
      <c r="BB374" s="2202"/>
      <c r="BC374" s="2202"/>
      <c r="BD374" s="2187"/>
      <c r="BE374" s="2202"/>
      <c r="BF374" s="2202"/>
      <c r="BG374" s="2202"/>
      <c r="BH374" s="2202"/>
      <c r="BI374" s="2942"/>
      <c r="BJ374" s="2947"/>
      <c r="BK374" s="2947"/>
      <c r="BL374" s="2947"/>
      <c r="BM374" s="2947"/>
      <c r="BN374" s="2942"/>
      <c r="BO374" s="2943"/>
      <c r="BP374" s="2943"/>
      <c r="BQ374" s="2943"/>
      <c r="BR374" s="2943"/>
      <c r="BS374" s="2943"/>
      <c r="BT374" s="2189"/>
      <c r="BU374" s="2187"/>
      <c r="BV374" s="2187"/>
      <c r="BW374" s="2187"/>
      <c r="BX374" s="2187"/>
      <c r="BY374" s="2187"/>
      <c r="BZ374" s="2187"/>
      <c r="CA374" s="2187"/>
    </row>
    <row r="375" spans="1:79" s="1049" customFormat="1" ht="7.5" customHeight="1" outlineLevel="1">
      <c r="A375" s="2192"/>
      <c r="B375" s="2211"/>
      <c r="C375" s="2211"/>
      <c r="D375" s="2211"/>
      <c r="E375" s="2211"/>
      <c r="F375" s="2212"/>
      <c r="G375" s="2211"/>
      <c r="H375" s="2211"/>
      <c r="I375" s="2211"/>
      <c r="J375" s="2211"/>
      <c r="K375" s="2212"/>
      <c r="L375" s="2211"/>
      <c r="M375" s="2211"/>
      <c r="N375" s="2211"/>
      <c r="O375" s="2211"/>
      <c r="P375" s="2212"/>
      <c r="Q375" s="2211"/>
      <c r="R375" s="2211"/>
      <c r="S375" s="2211"/>
      <c r="T375" s="2211"/>
      <c r="U375" s="2212"/>
      <c r="V375" s="2211"/>
      <c r="W375" s="2211"/>
      <c r="X375" s="2211"/>
      <c r="Y375" s="2211"/>
      <c r="Z375" s="2212"/>
      <c r="AA375" s="2211"/>
      <c r="AB375" s="2211"/>
      <c r="AC375" s="2211"/>
      <c r="AD375" s="2211"/>
      <c r="AE375" s="2194"/>
      <c r="AF375" s="2211"/>
      <c r="AG375" s="2211"/>
      <c r="AH375" s="2211"/>
      <c r="AI375" s="2211"/>
      <c r="AJ375" s="2194"/>
      <c r="AK375" s="2211"/>
      <c r="AL375" s="2211"/>
      <c r="AM375" s="2211"/>
      <c r="AN375" s="2211"/>
      <c r="AO375" s="2194"/>
      <c r="AP375" s="2211"/>
      <c r="AQ375" s="2211"/>
      <c r="AR375" s="2211"/>
      <c r="AS375" s="2211"/>
      <c r="AT375" s="2194"/>
      <c r="AU375" s="2211"/>
      <c r="AV375" s="2211"/>
      <c r="AW375" s="2211"/>
      <c r="AX375" s="2211"/>
      <c r="AY375" s="2194"/>
      <c r="AZ375" s="2211"/>
      <c r="BA375" s="2211"/>
      <c r="BB375" s="2211"/>
      <c r="BC375" s="2211"/>
      <c r="BD375" s="2194"/>
      <c r="BE375" s="2211"/>
      <c r="BF375" s="2211"/>
      <c r="BG375" s="2211"/>
      <c r="BH375" s="2211"/>
      <c r="BI375" s="2918"/>
      <c r="BJ375" s="2973"/>
      <c r="BK375" s="2973"/>
      <c r="BL375" s="2973"/>
      <c r="BM375" s="2973"/>
      <c r="BN375" s="2918"/>
      <c r="BO375" s="2974"/>
      <c r="BP375" s="2974"/>
      <c r="BQ375" s="2974"/>
      <c r="BR375" s="2974"/>
      <c r="BS375" s="2974"/>
      <c r="BT375" s="2213"/>
      <c r="BU375" s="2131"/>
      <c r="BV375" s="2131"/>
      <c r="BW375" s="2131"/>
      <c r="BX375" s="2131"/>
      <c r="BY375" s="2131"/>
      <c r="BZ375" s="2131"/>
      <c r="CA375" s="2131"/>
    </row>
    <row r="376" spans="1:79" s="1011" customFormat="1" outlineLevel="1">
      <c r="A376" s="2197" t="s">
        <v>944</v>
      </c>
      <c r="B376" s="2198"/>
      <c r="C376" s="2198"/>
      <c r="D376" s="2198"/>
      <c r="E376" s="2198"/>
      <c r="F376" s="2199"/>
      <c r="G376" s="2198"/>
      <c r="H376" s="2198"/>
      <c r="I376" s="2198"/>
      <c r="J376" s="2198"/>
      <c r="K376" s="2199"/>
      <c r="L376" s="2198"/>
      <c r="M376" s="2198"/>
      <c r="N376" s="2198"/>
      <c r="O376" s="2198"/>
      <c r="P376" s="2199"/>
      <c r="Q376" s="2198"/>
      <c r="R376" s="2198"/>
      <c r="S376" s="2198"/>
      <c r="T376" s="2198"/>
      <c r="U376" s="2199"/>
      <c r="V376" s="2198"/>
      <c r="W376" s="2198"/>
      <c r="X376" s="2198"/>
      <c r="Y376" s="2198"/>
      <c r="Z376" s="2199"/>
      <c r="AA376" s="2198"/>
      <c r="AB376" s="2198"/>
      <c r="AC376" s="2198"/>
      <c r="AD376" s="2198"/>
      <c r="AE376" s="2199">
        <f>AE312</f>
        <v>308.49000000000007</v>
      </c>
      <c r="AF376" s="2198">
        <f>AF312</f>
        <v>57.997500000000009</v>
      </c>
      <c r="AG376" s="2198">
        <f>AG312</f>
        <v>100</v>
      </c>
      <c r="AH376" s="2198">
        <f>AH312</f>
        <v>64.512</v>
      </c>
      <c r="AI376" s="2198">
        <f>AI312</f>
        <v>85.12</v>
      </c>
      <c r="AJ376" s="2199">
        <f>SUM(AF376:AI376)</f>
        <v>307.62950000000001</v>
      </c>
      <c r="AK376" s="2198">
        <f>AK312</f>
        <v>89.73360000000001</v>
      </c>
      <c r="AL376" s="2198">
        <f>AL312</f>
        <v>100</v>
      </c>
      <c r="AM376" s="2198">
        <f>AM312</f>
        <v>75.479039999999998</v>
      </c>
      <c r="AN376" s="2198">
        <f>AN312</f>
        <v>80.864000000000004</v>
      </c>
      <c r="AO376" s="2199">
        <f>SUM(AK376:AN376)</f>
        <v>346.07664</v>
      </c>
      <c r="AP376" s="2198">
        <f>AP312</f>
        <v>26.920080000000002</v>
      </c>
      <c r="AQ376" s="2198">
        <f>AQ312</f>
        <v>105</v>
      </c>
      <c r="AR376" s="2198">
        <f>AR312</f>
        <v>75.479039999999998</v>
      </c>
      <c r="AS376" s="2198">
        <f>AS312</f>
        <v>35</v>
      </c>
      <c r="AT376" s="2199">
        <f>SUM(AP376:AS376)</f>
        <v>242.39912000000001</v>
      </c>
      <c r="AU376" s="2198">
        <f>AP376*(1+AU377)</f>
        <v>26.920080000000002</v>
      </c>
      <c r="AV376" s="2198">
        <f>AQ376*(1+AV377)</f>
        <v>105</v>
      </c>
      <c r="AW376" s="2198">
        <f>AR376*(1+AW377)</f>
        <v>75.479039999999998</v>
      </c>
      <c r="AX376" s="2198">
        <f>AS376*(1+AX377)</f>
        <v>35</v>
      </c>
      <c r="AY376" s="2199">
        <f>SUM(AU376:AX376)</f>
        <v>242.39912000000001</v>
      </c>
      <c r="AZ376" s="2198"/>
      <c r="BA376" s="2198"/>
      <c r="BB376" s="2198"/>
      <c r="BC376" s="2198"/>
      <c r="BD376" s="2199"/>
      <c r="BE376" s="2198"/>
      <c r="BF376" s="2198"/>
      <c r="BG376" s="2198"/>
      <c r="BH376" s="2198"/>
      <c r="BI376" s="2967"/>
      <c r="BJ376" s="2968"/>
      <c r="BK376" s="2968"/>
      <c r="BL376" s="2968"/>
      <c r="BM376" s="2968"/>
      <c r="BN376" s="2967"/>
      <c r="BO376" s="3007"/>
      <c r="BP376" s="3007"/>
      <c r="BQ376" s="3007"/>
      <c r="BR376" s="3007"/>
      <c r="BS376" s="3007"/>
      <c r="BT376" s="2200"/>
      <c r="BU376" s="2199"/>
      <c r="BV376" s="2199"/>
      <c r="BW376" s="2199">
        <f>SUM(AM376:AN376,AP376:AQ376)</f>
        <v>288.26312000000001</v>
      </c>
      <c r="BX376" s="2199">
        <f>SUM(AR376:AS376,AU376:AV376)</f>
        <v>242.39912000000001</v>
      </c>
      <c r="BY376" s="2199">
        <f>SUM(AW376:AX376,AZ376:BA376)</f>
        <v>110.47904</v>
      </c>
      <c r="BZ376" s="2199">
        <f>SUM(BB376:BC376,BE376:BF376)</f>
        <v>0</v>
      </c>
      <c r="CA376" s="2199"/>
    </row>
    <row r="377" spans="1:79" s="1022" customFormat="1" outlineLevel="1">
      <c r="A377" s="2184" t="s">
        <v>926</v>
      </c>
      <c r="B377" s="2185"/>
      <c r="C377" s="2185"/>
      <c r="D377" s="2185"/>
      <c r="E377" s="2185"/>
      <c r="F377" s="2186"/>
      <c r="G377" s="2185"/>
      <c r="H377" s="2185"/>
      <c r="I377" s="2185"/>
      <c r="J377" s="2185"/>
      <c r="K377" s="2186"/>
      <c r="L377" s="2185"/>
      <c r="M377" s="2185"/>
      <c r="N377" s="2185"/>
      <c r="O377" s="2185"/>
      <c r="P377" s="2186"/>
      <c r="Q377" s="2185"/>
      <c r="R377" s="2185"/>
      <c r="S377" s="2185"/>
      <c r="T377" s="2185"/>
      <c r="U377" s="2186"/>
      <c r="V377" s="2185"/>
      <c r="W377" s="2185"/>
      <c r="X377" s="2185"/>
      <c r="Y377" s="2185"/>
      <c r="Z377" s="2186"/>
      <c r="AA377" s="2185"/>
      <c r="AB377" s="2185"/>
      <c r="AC377" s="2185"/>
      <c r="AD377" s="2185"/>
      <c r="AE377" s="2186"/>
      <c r="AF377" s="2148"/>
      <c r="AG377" s="2185"/>
      <c r="AH377" s="2185"/>
      <c r="AI377" s="2185"/>
      <c r="AJ377" s="2187">
        <f t="shared" ref="AJ377:AS377" si="215">IF(ISERROR(AJ376/AE376-1),,(AJ376/AE376-1))</f>
        <v>-2.7893934973582946E-3</v>
      </c>
      <c r="AK377" s="2188">
        <f t="shared" si="215"/>
        <v>0.54719772403982914</v>
      </c>
      <c r="AL377" s="2188">
        <f t="shared" si="215"/>
        <v>0</v>
      </c>
      <c r="AM377" s="2188">
        <f t="shared" si="215"/>
        <v>0.16999999999999993</v>
      </c>
      <c r="AN377" s="2188">
        <f t="shared" si="215"/>
        <v>-5.0000000000000044E-2</v>
      </c>
      <c r="AO377" s="2187">
        <f t="shared" si="215"/>
        <v>0.12497871628046076</v>
      </c>
      <c r="AP377" s="2188">
        <f t="shared" si="215"/>
        <v>-0.7</v>
      </c>
      <c r="AQ377" s="2188">
        <f t="shared" si="215"/>
        <v>5.0000000000000044E-2</v>
      </c>
      <c r="AR377" s="2188">
        <f t="shared" si="215"/>
        <v>0</v>
      </c>
      <c r="AS377" s="2188">
        <f t="shared" si="215"/>
        <v>-0.56717451523545703</v>
      </c>
      <c r="AT377" s="2187">
        <f>IF(ISERROR(AT376/AO376-1),,(AT376/AO376-1))</f>
        <v>-0.29957965380153939</v>
      </c>
      <c r="AU377" s="2188">
        <v>0</v>
      </c>
      <c r="AV377" s="2188">
        <v>0</v>
      </c>
      <c r="AW377" s="2202">
        <v>0</v>
      </c>
      <c r="AX377" s="2188">
        <v>0</v>
      </c>
      <c r="AY377" s="2187">
        <f>IF(ISERROR(AY376/AT376-1),,(AY376/AT376-1))</f>
        <v>0</v>
      </c>
      <c r="AZ377" s="2202"/>
      <c r="BA377" s="2202"/>
      <c r="BB377" s="2202"/>
      <c r="BC377" s="2202"/>
      <c r="BD377" s="2187"/>
      <c r="BE377" s="2202"/>
      <c r="BF377" s="2202"/>
      <c r="BG377" s="2202"/>
      <c r="BH377" s="2202"/>
      <c r="BI377" s="2942"/>
      <c r="BJ377" s="2947"/>
      <c r="BK377" s="2947"/>
      <c r="BL377" s="2947"/>
      <c r="BM377" s="2947"/>
      <c r="BN377" s="2942"/>
      <c r="BO377" s="2943"/>
      <c r="BP377" s="2943"/>
      <c r="BQ377" s="2943"/>
      <c r="BR377" s="2943"/>
      <c r="BS377" s="2943"/>
      <c r="BT377" s="2189"/>
      <c r="BU377" s="2187"/>
      <c r="BV377" s="2187"/>
      <c r="BW377" s="2187"/>
      <c r="BX377" s="2187"/>
      <c r="BY377" s="2187"/>
      <c r="BZ377" s="2187"/>
      <c r="CA377" s="2187"/>
    </row>
    <row r="378" spans="1:79" s="1049" customFormat="1" ht="7.5" customHeight="1" outlineLevel="1">
      <c r="A378" s="2192"/>
      <c r="B378" s="2211"/>
      <c r="C378" s="2211"/>
      <c r="D378" s="2211"/>
      <c r="E378" s="2211"/>
      <c r="F378" s="2212"/>
      <c r="G378" s="2211"/>
      <c r="H378" s="2211"/>
      <c r="I378" s="2211"/>
      <c r="J378" s="2211"/>
      <c r="K378" s="2212"/>
      <c r="L378" s="2211"/>
      <c r="M378" s="2211"/>
      <c r="N378" s="2211"/>
      <c r="O378" s="2211"/>
      <c r="P378" s="2212"/>
      <c r="Q378" s="2211"/>
      <c r="R378" s="2211"/>
      <c r="S378" s="2211"/>
      <c r="T378" s="2211"/>
      <c r="U378" s="2212"/>
      <c r="V378" s="2211"/>
      <c r="W378" s="2211"/>
      <c r="X378" s="2211"/>
      <c r="Y378" s="2211"/>
      <c r="Z378" s="2212"/>
      <c r="AA378" s="2211"/>
      <c r="AB378" s="2211"/>
      <c r="AC378" s="2211"/>
      <c r="AD378" s="2211"/>
      <c r="AE378" s="2194"/>
      <c r="AF378" s="2211"/>
      <c r="AG378" s="2211"/>
      <c r="AH378" s="2211"/>
      <c r="AI378" s="2211"/>
      <c r="AJ378" s="2194"/>
      <c r="AK378" s="2211"/>
      <c r="AL378" s="2211"/>
      <c r="AM378" s="2211"/>
      <c r="AN378" s="2211"/>
      <c r="AO378" s="2194"/>
      <c r="AP378" s="2211"/>
      <c r="AQ378" s="2211"/>
      <c r="AR378" s="2211"/>
      <c r="AS378" s="2211"/>
      <c r="AT378" s="2194"/>
      <c r="AU378" s="2211"/>
      <c r="AV378" s="2211"/>
      <c r="AW378" s="2211"/>
      <c r="AX378" s="2211"/>
      <c r="AY378" s="2194"/>
      <c r="AZ378" s="2211"/>
      <c r="BA378" s="2211"/>
      <c r="BB378" s="2211"/>
      <c r="BC378" s="2211"/>
      <c r="BD378" s="2194"/>
      <c r="BE378" s="2211"/>
      <c r="BF378" s="2211"/>
      <c r="BG378" s="2211"/>
      <c r="BH378" s="2211"/>
      <c r="BI378" s="2918"/>
      <c r="BJ378" s="2973"/>
      <c r="BK378" s="2973"/>
      <c r="BL378" s="2973"/>
      <c r="BM378" s="2973"/>
      <c r="BN378" s="2918"/>
      <c r="BO378" s="2974"/>
      <c r="BP378" s="2974"/>
      <c r="BQ378" s="2974"/>
      <c r="BR378" s="2974"/>
      <c r="BS378" s="2974"/>
      <c r="BT378" s="2213"/>
      <c r="BU378" s="2131"/>
      <c r="BV378" s="2131"/>
      <c r="BW378" s="2131"/>
      <c r="BX378" s="2131"/>
      <c r="BY378" s="2131"/>
      <c r="BZ378" s="2131"/>
      <c r="CA378" s="2131"/>
    </row>
    <row r="379" spans="1:79" s="1011" customFormat="1" outlineLevel="1">
      <c r="A379" s="2197" t="s">
        <v>351</v>
      </c>
      <c r="B379" s="2198"/>
      <c r="C379" s="2198"/>
      <c r="D379" s="2198"/>
      <c r="E379" s="2198"/>
      <c r="F379" s="2199"/>
      <c r="G379" s="2198"/>
      <c r="H379" s="2198"/>
      <c r="I379" s="2198"/>
      <c r="J379" s="2198"/>
      <c r="K379" s="2199"/>
      <c r="L379" s="2198"/>
      <c r="M379" s="2198"/>
      <c r="N379" s="2198"/>
      <c r="O379" s="2198"/>
      <c r="P379" s="2199"/>
      <c r="Q379" s="2198"/>
      <c r="R379" s="2198"/>
      <c r="S379" s="2198"/>
      <c r="T379" s="2198"/>
      <c r="U379" s="2199"/>
      <c r="V379" s="2198"/>
      <c r="W379" s="2198"/>
      <c r="X379" s="2198"/>
      <c r="Y379" s="2198"/>
      <c r="Z379" s="2199"/>
      <c r="AA379" s="2198"/>
      <c r="AB379" s="2198"/>
      <c r="AC379" s="2198"/>
      <c r="AD379" s="2198"/>
      <c r="AE379" s="2199">
        <f t="shared" ref="AE379:AN379" si="216">AE313</f>
        <v>2867</v>
      </c>
      <c r="AF379" s="2198">
        <f t="shared" si="216"/>
        <v>697</v>
      </c>
      <c r="AG379" s="2198">
        <f t="shared" si="216"/>
        <v>869</v>
      </c>
      <c r="AH379" s="2198">
        <f t="shared" si="216"/>
        <v>832</v>
      </c>
      <c r="AI379" s="2198">
        <f t="shared" si="216"/>
        <v>804</v>
      </c>
      <c r="AJ379" s="2199">
        <f t="shared" si="216"/>
        <v>3202</v>
      </c>
      <c r="AK379" s="2198">
        <f t="shared" si="216"/>
        <v>872</v>
      </c>
      <c r="AL379" s="2198">
        <f t="shared" si="216"/>
        <v>924.6160000000001</v>
      </c>
      <c r="AM379" s="2198">
        <f t="shared" si="216"/>
        <v>965.11999999999989</v>
      </c>
      <c r="AN379" s="2198">
        <f t="shared" si="216"/>
        <v>964.8</v>
      </c>
      <c r="AO379" s="2199">
        <f>SUM(AK379:AN379)</f>
        <v>3726.5360000000001</v>
      </c>
      <c r="AP379" s="2198">
        <f>AP313</f>
        <v>989.72</v>
      </c>
      <c r="AQ379" s="2198">
        <f>AQ313</f>
        <v>1021.7006800000001</v>
      </c>
      <c r="AR379" s="2198">
        <f>AR313</f>
        <v>1037.5039999999999</v>
      </c>
      <c r="AS379" s="2198">
        <f>AS313</f>
        <v>1013.04</v>
      </c>
      <c r="AT379" s="2199">
        <f>SUM(AP379:AS379)</f>
        <v>4061.96468</v>
      </c>
      <c r="AU379" s="2198">
        <f>AP379*(1+AU380)</f>
        <v>1054.0518</v>
      </c>
      <c r="AV379" s="2198">
        <f>AQ379*(1+AV380)</f>
        <v>1093.2197276000002</v>
      </c>
      <c r="AW379" s="2198">
        <f>AR379*(1+AW380)</f>
        <v>1115.3167999999998</v>
      </c>
      <c r="AX379" s="2198">
        <f>AS379*(1+AX380)</f>
        <v>1083.9528</v>
      </c>
      <c r="AY379" s="2199">
        <f>SUM(AU379:AX379)</f>
        <v>4346.5411275999995</v>
      </c>
      <c r="AZ379" s="2198"/>
      <c r="BA379" s="2198"/>
      <c r="BB379" s="2198"/>
      <c r="BC379" s="2198"/>
      <c r="BD379" s="2199"/>
      <c r="BE379" s="2198"/>
      <c r="BF379" s="2198"/>
      <c r="BG379" s="2198"/>
      <c r="BH379" s="2198"/>
      <c r="BI379" s="2967"/>
      <c r="BJ379" s="2968"/>
      <c r="BK379" s="2968"/>
      <c r="BL379" s="2968"/>
      <c r="BM379" s="2968"/>
      <c r="BN379" s="2967"/>
      <c r="BO379" s="3007"/>
      <c r="BP379" s="3007"/>
      <c r="BQ379" s="3007"/>
      <c r="BR379" s="3007"/>
      <c r="BS379" s="3007"/>
      <c r="BT379" s="2200"/>
      <c r="BU379" s="2199"/>
      <c r="BV379" s="2199"/>
      <c r="BW379" s="2199">
        <f>SUM(AM379:AN379,AP379:AQ379)</f>
        <v>3941.3406800000002</v>
      </c>
      <c r="BX379" s="2199">
        <f>SUM(AR379:AS379,AU379:AV379)</f>
        <v>4197.8155275999998</v>
      </c>
      <c r="BY379" s="2199">
        <f>SUM(AW379:AX379,AZ379:BA379)</f>
        <v>2199.2695999999996</v>
      </c>
      <c r="BZ379" s="2199">
        <f>SUM(BB379:BC379,BE379:BF379)</f>
        <v>0</v>
      </c>
      <c r="CA379" s="2199"/>
    </row>
    <row r="380" spans="1:79" s="1022" customFormat="1" outlineLevel="1">
      <c r="A380" s="2184" t="s">
        <v>926</v>
      </c>
      <c r="B380" s="2185"/>
      <c r="C380" s="2185"/>
      <c r="D380" s="2185"/>
      <c r="E380" s="2185"/>
      <c r="F380" s="2186"/>
      <c r="G380" s="2185"/>
      <c r="H380" s="2185"/>
      <c r="I380" s="2185"/>
      <c r="J380" s="2185"/>
      <c r="K380" s="2186"/>
      <c r="L380" s="2185"/>
      <c r="M380" s="2185"/>
      <c r="N380" s="2185"/>
      <c r="O380" s="2185"/>
      <c r="P380" s="2186"/>
      <c r="Q380" s="2185"/>
      <c r="R380" s="2185"/>
      <c r="S380" s="2185"/>
      <c r="T380" s="2185"/>
      <c r="U380" s="2186"/>
      <c r="V380" s="2185"/>
      <c r="W380" s="2185"/>
      <c r="X380" s="2185"/>
      <c r="Y380" s="2185"/>
      <c r="Z380" s="2186"/>
      <c r="AA380" s="2185"/>
      <c r="AB380" s="2185"/>
      <c r="AC380" s="2185"/>
      <c r="AD380" s="2185"/>
      <c r="AE380" s="2186"/>
      <c r="AF380" s="2148"/>
      <c r="AG380" s="2185"/>
      <c r="AH380" s="2185"/>
      <c r="AI380" s="2185"/>
      <c r="AJ380" s="2187">
        <f t="shared" ref="AJ380:AS380" si="217">IF(ISERROR(AJ379/AE379-1),,(AJ379/AE379-1))</f>
        <v>0.11684687826996853</v>
      </c>
      <c r="AK380" s="2188">
        <f t="shared" si="217"/>
        <v>0.25107604017216634</v>
      </c>
      <c r="AL380" s="2188">
        <f t="shared" si="217"/>
        <v>6.4000000000000057E-2</v>
      </c>
      <c r="AM380" s="2188">
        <f t="shared" si="217"/>
        <v>0.15999999999999992</v>
      </c>
      <c r="AN380" s="2188">
        <f t="shared" si="217"/>
        <v>0.19999999999999996</v>
      </c>
      <c r="AO380" s="2187">
        <f t="shared" si="217"/>
        <v>0.16381511555277961</v>
      </c>
      <c r="AP380" s="2188">
        <f t="shared" si="217"/>
        <v>0.13500000000000001</v>
      </c>
      <c r="AQ380" s="2188">
        <f t="shared" si="217"/>
        <v>0.10499999999999998</v>
      </c>
      <c r="AR380" s="2188">
        <f t="shared" si="217"/>
        <v>7.4999999999999956E-2</v>
      </c>
      <c r="AS380" s="2188">
        <f t="shared" si="217"/>
        <v>5.0000000000000044E-2</v>
      </c>
      <c r="AT380" s="2187">
        <f>IF(ISERROR(AT379/AO379-1),,(AT379/AO379-1))</f>
        <v>9.00108519010685E-2</v>
      </c>
      <c r="AU380" s="2188">
        <v>6.5000000000000002E-2</v>
      </c>
      <c r="AV380" s="2188">
        <v>7.0000000000000007E-2</v>
      </c>
      <c r="AW380" s="2202">
        <v>7.4999999999999997E-2</v>
      </c>
      <c r="AX380" s="2188">
        <v>7.0000000000000007E-2</v>
      </c>
      <c r="AY380" s="2187">
        <f>IF(ISERROR(AY379/AT379-1),,(AY379/AT379-1))</f>
        <v>7.0058818827543279E-2</v>
      </c>
      <c r="AZ380" s="2202"/>
      <c r="BA380" s="2202"/>
      <c r="BB380" s="2202"/>
      <c r="BC380" s="2202"/>
      <c r="BD380" s="2187"/>
      <c r="BE380" s="2202"/>
      <c r="BF380" s="2202"/>
      <c r="BG380" s="2202"/>
      <c r="BH380" s="2202"/>
      <c r="BI380" s="2942"/>
      <c r="BJ380" s="2947"/>
      <c r="BK380" s="2947"/>
      <c r="BL380" s="2947"/>
      <c r="BM380" s="2947"/>
      <c r="BN380" s="2942"/>
      <c r="BO380" s="2943"/>
      <c r="BP380" s="2943"/>
      <c r="BQ380" s="2943"/>
      <c r="BR380" s="2943"/>
      <c r="BS380" s="2943"/>
      <c r="BT380" s="2189"/>
      <c r="BU380" s="2187"/>
      <c r="BV380" s="2187"/>
      <c r="BW380" s="2187"/>
      <c r="BX380" s="2187"/>
      <c r="BY380" s="2187"/>
      <c r="BZ380" s="2187"/>
      <c r="CA380" s="2187"/>
    </row>
    <row r="381" spans="1:79" s="1049" customFormat="1" ht="7.5" customHeight="1" outlineLevel="1">
      <c r="A381" s="2192"/>
      <c r="B381" s="2211"/>
      <c r="C381" s="2211"/>
      <c r="D381" s="2211"/>
      <c r="E381" s="2211"/>
      <c r="F381" s="2212"/>
      <c r="G381" s="2211"/>
      <c r="H381" s="2211"/>
      <c r="I381" s="2211"/>
      <c r="J381" s="2211"/>
      <c r="K381" s="2212"/>
      <c r="L381" s="2211"/>
      <c r="M381" s="2211"/>
      <c r="N381" s="2211"/>
      <c r="O381" s="2211"/>
      <c r="P381" s="2212"/>
      <c r="Q381" s="2211"/>
      <c r="R381" s="2211"/>
      <c r="S381" s="2211"/>
      <c r="T381" s="2211"/>
      <c r="U381" s="2212"/>
      <c r="V381" s="2211"/>
      <c r="W381" s="2211"/>
      <c r="X381" s="2211"/>
      <c r="Y381" s="2211"/>
      <c r="Z381" s="2212"/>
      <c r="AA381" s="2211"/>
      <c r="AB381" s="2211"/>
      <c r="AC381" s="2211"/>
      <c r="AD381" s="2211"/>
      <c r="AE381" s="2194"/>
      <c r="AF381" s="2211"/>
      <c r="AG381" s="2211"/>
      <c r="AH381" s="2211"/>
      <c r="AI381" s="2211"/>
      <c r="AJ381" s="2194"/>
      <c r="AK381" s="2211"/>
      <c r="AL381" s="2211"/>
      <c r="AM381" s="2211"/>
      <c r="AN381" s="2211"/>
      <c r="AO381" s="2194"/>
      <c r="AP381" s="2211"/>
      <c r="AQ381" s="2211"/>
      <c r="AR381" s="2211"/>
      <c r="AS381" s="2211"/>
      <c r="AT381" s="2194"/>
      <c r="AU381" s="2211"/>
      <c r="AV381" s="2211"/>
      <c r="AW381" s="2211"/>
      <c r="AX381" s="2211"/>
      <c r="AY381" s="2194"/>
      <c r="AZ381" s="2211"/>
      <c r="BA381" s="2211"/>
      <c r="BB381" s="2211"/>
      <c r="BC381" s="2211"/>
      <c r="BD381" s="2194"/>
      <c r="BE381" s="2211"/>
      <c r="BF381" s="2211"/>
      <c r="BG381" s="2211"/>
      <c r="BH381" s="2211"/>
      <c r="BI381" s="2918"/>
      <c r="BJ381" s="2973"/>
      <c r="BK381" s="2973"/>
      <c r="BL381" s="2973"/>
      <c r="BM381" s="2973"/>
      <c r="BN381" s="2918"/>
      <c r="BO381" s="2974"/>
      <c r="BP381" s="2974"/>
      <c r="BQ381" s="2974"/>
      <c r="BR381" s="2974"/>
      <c r="BS381" s="2974"/>
      <c r="BT381" s="2213"/>
      <c r="BU381" s="2131"/>
      <c r="BV381" s="2131"/>
      <c r="BW381" s="2131"/>
      <c r="BX381" s="2131"/>
      <c r="BY381" s="2131"/>
      <c r="BZ381" s="2131"/>
      <c r="CA381" s="2131"/>
    </row>
    <row r="382" spans="1:79" s="1049" customFormat="1" ht="7.5" customHeight="1" outlineLevel="1">
      <c r="A382" s="2192"/>
      <c r="B382" s="2211"/>
      <c r="C382" s="2211"/>
      <c r="D382" s="2211"/>
      <c r="E382" s="2211"/>
      <c r="F382" s="2212"/>
      <c r="G382" s="2211"/>
      <c r="H382" s="2211"/>
      <c r="I382" s="2211"/>
      <c r="J382" s="2211"/>
      <c r="K382" s="2212"/>
      <c r="L382" s="2211"/>
      <c r="M382" s="2211"/>
      <c r="N382" s="2211"/>
      <c r="O382" s="2211"/>
      <c r="P382" s="2212"/>
      <c r="Q382" s="2211"/>
      <c r="R382" s="2211"/>
      <c r="S382" s="2211"/>
      <c r="T382" s="2211"/>
      <c r="U382" s="2212"/>
      <c r="V382" s="2211"/>
      <c r="W382" s="2211"/>
      <c r="X382" s="2211"/>
      <c r="Y382" s="2211"/>
      <c r="Z382" s="2212"/>
      <c r="AA382" s="2211"/>
      <c r="AB382" s="2211"/>
      <c r="AC382" s="2211"/>
      <c r="AD382" s="2211"/>
      <c r="AE382" s="2194"/>
      <c r="AF382" s="2211"/>
      <c r="AG382" s="2211"/>
      <c r="AH382" s="2211"/>
      <c r="AI382" s="2211"/>
      <c r="AJ382" s="2194"/>
      <c r="AK382" s="2211"/>
      <c r="AL382" s="2211"/>
      <c r="AM382" s="2211"/>
      <c r="AN382" s="2211"/>
      <c r="AO382" s="2194"/>
      <c r="AP382" s="2211"/>
      <c r="AQ382" s="2211"/>
      <c r="AR382" s="2211"/>
      <c r="AS382" s="2211"/>
      <c r="AT382" s="2194"/>
      <c r="AU382" s="2211"/>
      <c r="AV382" s="2211"/>
      <c r="AW382" s="2211"/>
      <c r="AX382" s="2211"/>
      <c r="AY382" s="2194"/>
      <c r="AZ382" s="2211"/>
      <c r="BA382" s="2211"/>
      <c r="BB382" s="2211"/>
      <c r="BC382" s="2211"/>
      <c r="BD382" s="2194"/>
      <c r="BE382" s="2211"/>
      <c r="BF382" s="2211"/>
      <c r="BG382" s="2211"/>
      <c r="BH382" s="2211"/>
      <c r="BI382" s="2918"/>
      <c r="BJ382" s="2973"/>
      <c r="BK382" s="2973"/>
      <c r="BL382" s="2973"/>
      <c r="BM382" s="2973"/>
      <c r="BN382" s="2918"/>
      <c r="BO382" s="2974"/>
      <c r="BP382" s="2974"/>
      <c r="BQ382" s="2974"/>
      <c r="BR382" s="2974"/>
      <c r="BS382" s="2974"/>
      <c r="BT382" s="2213"/>
      <c r="BU382" s="2131"/>
      <c r="BV382" s="2131"/>
      <c r="BW382" s="2131"/>
      <c r="BX382" s="2131"/>
      <c r="BY382" s="2131"/>
      <c r="BZ382" s="2131"/>
      <c r="CA382" s="2131"/>
    </row>
    <row r="383" spans="1:79" ht="7.5" customHeight="1" outlineLevel="1" thickBot="1">
      <c r="A383" s="2120"/>
      <c r="B383" s="2168"/>
      <c r="C383" s="2168"/>
      <c r="D383" s="2168"/>
      <c r="E383" s="2168"/>
      <c r="F383" s="2215"/>
      <c r="G383" s="2168"/>
      <c r="H383" s="2168"/>
      <c r="I383" s="2168"/>
      <c r="J383" s="2168"/>
      <c r="K383" s="2215"/>
      <c r="L383" s="2168"/>
      <c r="M383" s="2168"/>
      <c r="N383" s="2168"/>
      <c r="O383" s="2168"/>
      <c r="P383" s="2215"/>
      <c r="Q383" s="2168"/>
      <c r="R383" s="2168"/>
      <c r="S383" s="2168"/>
      <c r="T383" s="2168"/>
      <c r="U383" s="2215"/>
      <c r="V383" s="2168"/>
      <c r="W383" s="2168"/>
      <c r="X383" s="2168"/>
      <c r="Y383" s="2168"/>
      <c r="Z383" s="2215"/>
      <c r="AA383" s="2168"/>
      <c r="AB383" s="2168"/>
      <c r="AC383" s="2168"/>
      <c r="AD383" s="2168"/>
      <c r="AE383" s="2215"/>
      <c r="AF383" s="2120"/>
      <c r="AG383" s="2120"/>
      <c r="AH383" s="2120"/>
      <c r="AI383" s="2120"/>
      <c r="AJ383" s="2215"/>
      <c r="AK383" s="2120"/>
      <c r="AL383" s="2120"/>
      <c r="AM383" s="2120"/>
      <c r="AN383" s="2120"/>
      <c r="AO383" s="2215"/>
      <c r="AP383" s="2120"/>
      <c r="AQ383" s="2120"/>
      <c r="AR383" s="2120"/>
      <c r="AS383" s="2120"/>
      <c r="AT383" s="2215"/>
      <c r="AU383" s="2120"/>
      <c r="AV383" s="2120"/>
      <c r="AW383" s="2120"/>
      <c r="AX383" s="2120"/>
      <c r="AY383" s="2215"/>
      <c r="AZ383" s="2120"/>
      <c r="BA383" s="2120"/>
      <c r="BB383" s="2120"/>
      <c r="BC383" s="2120"/>
      <c r="BD383" s="2215"/>
      <c r="BE383" s="2120"/>
      <c r="BF383" s="2120"/>
      <c r="BG383" s="2120"/>
      <c r="BH383" s="2120"/>
      <c r="BI383" s="2997"/>
      <c r="BJ383" s="2998"/>
      <c r="BK383" s="2998"/>
      <c r="BL383" s="2998"/>
      <c r="BM383" s="2998"/>
      <c r="BN383" s="2997"/>
      <c r="BT383" s="2120"/>
      <c r="BU383" s="2215"/>
      <c r="BV383" s="2215"/>
      <c r="BW383" s="2215"/>
      <c r="BX383" s="2215"/>
      <c r="BY383" s="2215"/>
      <c r="BZ383" s="2215"/>
      <c r="CA383" s="2215"/>
    </row>
    <row r="384" spans="1:79" s="1011" customFormat="1" ht="13.5" outlineLevel="1" thickBot="1">
      <c r="A384" s="2206" t="s">
        <v>954</v>
      </c>
      <c r="B384" s="2207">
        <f>B373+B376+B379+B187+B190+B251</f>
        <v>0</v>
      </c>
      <c r="C384" s="2207">
        <f>C373+C376+C379+C187+C190+C251</f>
        <v>0</v>
      </c>
      <c r="D384" s="2207">
        <f>D373+D376+D379+D187+D190+D251</f>
        <v>0</v>
      </c>
      <c r="E384" s="2207">
        <f>E373+E376+E379+E187+E190+E251</f>
        <v>0</v>
      </c>
      <c r="F384" s="2208">
        <f>SUM(B384:E384)</f>
        <v>0</v>
      </c>
      <c r="G384" s="2207">
        <f>G373+G376+G379+G187+G190+G251</f>
        <v>0</v>
      </c>
      <c r="H384" s="2207">
        <f>H373+H376+H379+H187+H190+H251</f>
        <v>0</v>
      </c>
      <c r="I384" s="2207">
        <f>I373+I376+I379+I187+I190+I251</f>
        <v>0</v>
      </c>
      <c r="J384" s="2207">
        <f>J373+J376+J379+J187+J190+J251</f>
        <v>0</v>
      </c>
      <c r="K384" s="2208">
        <f>SUM(G384:J384)</f>
        <v>0</v>
      </c>
      <c r="L384" s="2207">
        <f>L373+L376+L379+L187+L190+L251</f>
        <v>0</v>
      </c>
      <c r="M384" s="2207">
        <f>M373+M376+M379+M187+M190+M251</f>
        <v>0</v>
      </c>
      <c r="N384" s="2207">
        <f>N373+N376+N379+N187+N190+N251</f>
        <v>0</v>
      </c>
      <c r="O384" s="2207">
        <f>O373+O376+O379+O187+O190+O251</f>
        <v>0</v>
      </c>
      <c r="P384" s="2208">
        <f>SUM(L384:O384)</f>
        <v>0</v>
      </c>
      <c r="Q384" s="2207">
        <f>Q373+Q376+Q379+Q187+Q190+Q251</f>
        <v>0</v>
      </c>
      <c r="R384" s="2207">
        <f>R373+R376+R379+R187+R190+R251</f>
        <v>0</v>
      </c>
      <c r="S384" s="2207">
        <f>S373+S376+S379+S187+S190+S251</f>
        <v>0</v>
      </c>
      <c r="T384" s="2207">
        <f>T373+T376+T379+T187+T190+T251</f>
        <v>0</v>
      </c>
      <c r="U384" s="2208">
        <f>SUM(Q384:T384)</f>
        <v>0</v>
      </c>
      <c r="V384" s="2207">
        <f>V373+V376+V379+V187+V190+V251</f>
        <v>0</v>
      </c>
      <c r="W384" s="2207">
        <f>W373+W376+W379+W187+W190+W251</f>
        <v>0</v>
      </c>
      <c r="X384" s="2207">
        <f>X373+X376+X379+X187+X190+X251</f>
        <v>0</v>
      </c>
      <c r="Y384" s="2207">
        <f>Y373+Y376+Y379+Y187+Y190+Y251</f>
        <v>0</v>
      </c>
      <c r="Z384" s="2208">
        <f>SUM(V384:Y384)</f>
        <v>0</v>
      </c>
      <c r="AA384" s="2207">
        <f t="shared" ref="AA384:AI384" si="218">AA373+AA376+AA379+AA187+AA190+AA251</f>
        <v>0</v>
      </c>
      <c r="AB384" s="2207">
        <f t="shared" si="218"/>
        <v>0</v>
      </c>
      <c r="AC384" s="2207">
        <f t="shared" si="218"/>
        <v>0</v>
      </c>
      <c r="AD384" s="2207">
        <f t="shared" si="218"/>
        <v>0</v>
      </c>
      <c r="AE384" s="2208">
        <f t="shared" si="218"/>
        <v>3366.1065365605232</v>
      </c>
      <c r="AF384" s="2207">
        <f t="shared" si="218"/>
        <v>797.85494391494024</v>
      </c>
      <c r="AG384" s="2207">
        <f t="shared" si="218"/>
        <v>1254.8533</v>
      </c>
      <c r="AH384" s="2207">
        <f t="shared" si="218"/>
        <v>961.84922423509249</v>
      </c>
      <c r="AI384" s="2207">
        <f t="shared" si="218"/>
        <v>961.39580555555551</v>
      </c>
      <c r="AJ384" s="2208">
        <f>SUM(AF384:AI384)</f>
        <v>3975.9532737055883</v>
      </c>
      <c r="AK384" s="2207">
        <f>AK373+AK376+AK379+AK187+AK190+AK251</f>
        <v>2063.158881845975</v>
      </c>
      <c r="AL384" s="2207">
        <f>AL373+AL376+AL379+AL187+AL190+AL251</f>
        <v>2833.2506693103451</v>
      </c>
      <c r="AM384" s="2207">
        <f>AM373+AM376+AM379+AM187+AM190+AM251</f>
        <v>2459.00399150562</v>
      </c>
      <c r="AN384" s="2207">
        <f>AN373+AN376+AN379+AN187+AN190+AN251</f>
        <v>2125.6155958333334</v>
      </c>
      <c r="AO384" s="2208">
        <f>SUM(AK384:AN384)</f>
        <v>9481.0291384952725</v>
      </c>
      <c r="AP384" s="2207">
        <f>AP373+AP376+AP379+AP187+AP190+AP251</f>
        <v>2201.7294409229876</v>
      </c>
      <c r="AQ384" s="2207">
        <f>AQ373+AQ376+AQ379+AQ187+AQ190+AQ251</f>
        <v>2568.4879504206892</v>
      </c>
      <c r="AR384" s="2207">
        <f>AR373+AR376+AR379+AR187+AR190+AR251</f>
        <v>2718.9034505287664</v>
      </c>
      <c r="AS384" s="2207">
        <f>AS373+AS376+AS379+AS187+AS190+AS251</f>
        <v>2730.5886414166666</v>
      </c>
      <c r="AT384" s="2208">
        <f>SUM(AP384:AS384)</f>
        <v>10219.709483289109</v>
      </c>
      <c r="AU384" s="2207">
        <f>AU373+AU376+AU379+AU187+AU190+AU251</f>
        <v>2648.3291976040218</v>
      </c>
      <c r="AV384" s="2207">
        <f>AV373+AV376+AV379+AV187+AV190+AV251</f>
        <v>3293.9872291629313</v>
      </c>
      <c r="AW384" s="2207">
        <f>AW373+AW376+AW379+AW187+AW190+AW251</f>
        <v>3055.5158786537663</v>
      </c>
      <c r="AX384" s="2207">
        <f>AX373+AX376+AX379+AX187+AX190+AX251</f>
        <v>2980.4496445416667</v>
      </c>
      <c r="AY384" s="2208">
        <f>SUM(AU384:AX384)</f>
        <v>11978.281949962386</v>
      </c>
      <c r="AZ384" s="2207"/>
      <c r="BA384" s="2207"/>
      <c r="BB384" s="2207"/>
      <c r="BC384" s="2207"/>
      <c r="BD384" s="2208"/>
      <c r="BE384" s="2207"/>
      <c r="BF384" s="2207"/>
      <c r="BG384" s="2207"/>
      <c r="BH384" s="2207"/>
      <c r="BI384" s="3014"/>
      <c r="BJ384" s="3015"/>
      <c r="BK384" s="3015"/>
      <c r="BL384" s="3015"/>
      <c r="BM384" s="3015"/>
      <c r="BN384" s="3014"/>
      <c r="BO384" s="3007"/>
      <c r="BP384" s="3007"/>
      <c r="BQ384" s="3007"/>
      <c r="BR384" s="3007"/>
      <c r="BS384" s="3007"/>
      <c r="BT384" s="2200"/>
      <c r="BU384" s="2208"/>
      <c r="BV384" s="2208"/>
      <c r="BW384" s="2208">
        <f>SUM(AM384:AN384,AP384:AQ384)</f>
        <v>9354.8369786826297</v>
      </c>
      <c r="BX384" s="2208">
        <f>SUM(AR384:AS384,AU384:AV384)</f>
        <v>11391.808518712385</v>
      </c>
      <c r="BY384" s="2208">
        <f>SUM(AW384:AX384,AZ384:BA384)</f>
        <v>6035.965523195433</v>
      </c>
      <c r="BZ384" s="2208">
        <f>SUM(BB384:BC384,BE384:BF384)</f>
        <v>0</v>
      </c>
      <c r="CA384" s="2208"/>
    </row>
    <row r="385" spans="1:79" s="1022" customFormat="1" outlineLevel="1">
      <c r="A385" s="2184" t="s">
        <v>926</v>
      </c>
      <c r="B385" s="2185"/>
      <c r="C385" s="2185"/>
      <c r="D385" s="2185"/>
      <c r="E385" s="2185"/>
      <c r="F385" s="2186"/>
      <c r="G385" s="2185"/>
      <c r="H385" s="2185"/>
      <c r="I385" s="2185"/>
      <c r="J385" s="2185"/>
      <c r="K385" s="2186"/>
      <c r="L385" s="2185"/>
      <c r="M385" s="2185"/>
      <c r="N385" s="2185"/>
      <c r="O385" s="2185"/>
      <c r="P385" s="2186"/>
      <c r="Q385" s="2185"/>
      <c r="R385" s="2185"/>
      <c r="S385" s="2185"/>
      <c r="T385" s="2185"/>
      <c r="U385" s="2186"/>
      <c r="V385" s="2185"/>
      <c r="W385" s="2185"/>
      <c r="X385" s="2185"/>
      <c r="Y385" s="2185"/>
      <c r="Z385" s="2186"/>
      <c r="AA385" s="2188">
        <f>IF(ISERROR(AA384/V384-1),,(AA384/V384-1))</f>
        <v>0</v>
      </c>
      <c r="AB385" s="2188">
        <f>IF(ISERROR(AB384/W384-1),,(AB384/W384-1))</f>
        <v>0</v>
      </c>
      <c r="AC385" s="2188">
        <f>IF(ISERROR(AC384/X384-1),,(AC384/X384-1))</f>
        <v>0</v>
      </c>
      <c r="AD385" s="2188">
        <f>IF(ISERROR(AD384/Y384-1),,(AD384/Y384-1))</f>
        <v>0</v>
      </c>
      <c r="AE385" s="2186"/>
      <c r="AF385" s="2188">
        <f t="shared" ref="AF385:AY385" si="219">IF(ISERROR(AF384/AA384-1),,(AF384/AA384-1))</f>
        <v>0</v>
      </c>
      <c r="AG385" s="2188">
        <f t="shared" si="219"/>
        <v>0</v>
      </c>
      <c r="AH385" s="2188">
        <f t="shared" si="219"/>
        <v>0</v>
      </c>
      <c r="AI385" s="2188">
        <f t="shared" si="219"/>
        <v>0</v>
      </c>
      <c r="AJ385" s="2187">
        <f t="shared" si="219"/>
        <v>0.18117273785642118</v>
      </c>
      <c r="AK385" s="2188">
        <f t="shared" si="219"/>
        <v>1.5858821801897984</v>
      </c>
      <c r="AL385" s="2188">
        <f t="shared" si="219"/>
        <v>1.257834178154805</v>
      </c>
      <c r="AM385" s="2188">
        <f t="shared" si="219"/>
        <v>1.556537895490985</v>
      </c>
      <c r="AN385" s="2188">
        <f t="shared" si="219"/>
        <v>1.2109682438285838</v>
      </c>
      <c r="AO385" s="2187">
        <f t="shared" si="219"/>
        <v>1.3845926965985074</v>
      </c>
      <c r="AP385" s="2188">
        <f t="shared" si="219"/>
        <v>6.7164269458990455E-2</v>
      </c>
      <c r="AQ385" s="2188">
        <f t="shared" si="219"/>
        <v>-9.3448391897531291E-2</v>
      </c>
      <c r="AR385" s="2188">
        <f t="shared" si="219"/>
        <v>0.10569297972713443</v>
      </c>
      <c r="AS385" s="2188">
        <f t="shared" si="219"/>
        <v>0.28461074841999245</v>
      </c>
      <c r="AT385" s="2187">
        <f t="shared" si="219"/>
        <v>7.7911409616348015E-2</v>
      </c>
      <c r="AU385" s="2188">
        <f t="shared" si="219"/>
        <v>0.20284043460572287</v>
      </c>
      <c r="AV385" s="2188">
        <f t="shared" si="219"/>
        <v>0.28246162440567946</v>
      </c>
      <c r="AW385" s="2188">
        <f t="shared" si="219"/>
        <v>0.123804480096392</v>
      </c>
      <c r="AX385" s="2188">
        <f t="shared" si="219"/>
        <v>9.1504446819704377E-2</v>
      </c>
      <c r="AY385" s="2187">
        <f t="shared" si="219"/>
        <v>0.17207656142758543</v>
      </c>
      <c r="AZ385" s="2188"/>
      <c r="BA385" s="2188"/>
      <c r="BB385" s="2188"/>
      <c r="BC385" s="2188"/>
      <c r="BD385" s="2187"/>
      <c r="BE385" s="2188"/>
      <c r="BF385" s="2188"/>
      <c r="BG385" s="2188"/>
      <c r="BH385" s="2188"/>
      <c r="BI385" s="2942"/>
      <c r="BJ385" s="2943"/>
      <c r="BK385" s="2943"/>
      <c r="BL385" s="2943"/>
      <c r="BM385" s="2943"/>
      <c r="BN385" s="2942"/>
      <c r="BO385" s="2943"/>
      <c r="BP385" s="2943"/>
      <c r="BQ385" s="2943"/>
      <c r="BR385" s="2943"/>
      <c r="BS385" s="2943"/>
      <c r="BT385" s="2189"/>
      <c r="BU385" s="2187"/>
      <c r="BV385" s="2187"/>
      <c r="BW385" s="2187"/>
      <c r="BX385" s="2187"/>
      <c r="BY385" s="2187"/>
      <c r="BZ385" s="2187"/>
      <c r="CA385" s="2187"/>
    </row>
    <row r="386" spans="1:79" s="1022" customFormat="1" outlineLevel="1">
      <c r="A386" s="2184" t="s">
        <v>952</v>
      </c>
      <c r="B386" s="2185"/>
      <c r="C386" s="2185"/>
      <c r="D386" s="2185"/>
      <c r="E386" s="2185"/>
      <c r="F386" s="2186"/>
      <c r="G386" s="2185"/>
      <c r="H386" s="2185"/>
      <c r="I386" s="2185"/>
      <c r="J386" s="2185"/>
      <c r="K386" s="2186"/>
      <c r="L386" s="2185"/>
      <c r="M386" s="2185"/>
      <c r="N386" s="2185"/>
      <c r="O386" s="2185"/>
      <c r="P386" s="2186"/>
      <c r="Q386" s="2185"/>
      <c r="R386" s="2185"/>
      <c r="S386" s="2185"/>
      <c r="T386" s="2185"/>
      <c r="U386" s="2186"/>
      <c r="V386" s="2185"/>
      <c r="W386" s="2185"/>
      <c r="X386" s="2185"/>
      <c r="Y386" s="2185"/>
      <c r="Z386" s="2186"/>
      <c r="AA386" s="2209"/>
      <c r="AB386" s="2188">
        <f>IF(ISERROR(AB384/AA384-1),,(AB384/AA384-1))</f>
        <v>0</v>
      </c>
      <c r="AC386" s="2188">
        <f>IF(ISERROR(AC384/AB384-1),,(AC384/AB384-1))</f>
        <v>0</v>
      </c>
      <c r="AD386" s="2188">
        <f>IF(ISERROR(AD384/AC384-1),,(AD384/AC384-1))</f>
        <v>0</v>
      </c>
      <c r="AE386" s="2186"/>
      <c r="AF386" s="2188">
        <f>IF(ISERROR(AF384/AD384-1),,(AF384/AD384-1))</f>
        <v>0</v>
      </c>
      <c r="AG386" s="2188">
        <f>IF(ISERROR(AG384/AF384-1),,(AG384/AF384-1))</f>
        <v>0.57278376172320944</v>
      </c>
      <c r="AH386" s="2188">
        <f>IF(ISERROR(AH384/AG384-1),,(AH384/AG384-1))</f>
        <v>-0.23349667707365274</v>
      </c>
      <c r="AI386" s="2188">
        <f>IF(ISERROR(AI384/AH384-1),,(AI384/AH384-1))</f>
        <v>-4.7140307244886159E-4</v>
      </c>
      <c r="AJ386" s="2187"/>
      <c r="AK386" s="2188">
        <f>IF(ISERROR(AK384/AI384-1),,(AK384/AI384-1))</f>
        <v>1.1460036229862172</v>
      </c>
      <c r="AL386" s="2188">
        <f>IF(ISERROR(AL384/AK384-1),,(AL384/AK384-1))</f>
        <v>0.37325859595231181</v>
      </c>
      <c r="AM386" s="2188">
        <f>IF(ISERROR(AM384/AL384-1),,(AM384/AL384-1))</f>
        <v>-0.13209091657810224</v>
      </c>
      <c r="AN386" s="2188">
        <f>IF(ISERROR(AN384/AM384-1),,(AN384/AM384-1))</f>
        <v>-0.13557863135803883</v>
      </c>
      <c r="AO386" s="2187"/>
      <c r="AP386" s="2188">
        <f>IF(ISERROR(AP384/AN384-1),,(AP384/AN384-1))</f>
        <v>3.5807906772444609E-2</v>
      </c>
      <c r="AQ386" s="2188">
        <f>IF(ISERROR(AQ384/AP384-1),,(AQ384/AP384-1))</f>
        <v>0.16657746527836448</v>
      </c>
      <c r="AR386" s="2188">
        <f>IF(ISERROR(AR384/AQ384-1),,(AR384/AQ384-1))</f>
        <v>5.8561886608594182E-2</v>
      </c>
      <c r="AS386" s="2188">
        <f>IF(ISERROR(AS384/AR384-1),,(AS384/AR384-1))</f>
        <v>4.2977586738608409E-3</v>
      </c>
      <c r="AT386" s="2187"/>
      <c r="AU386" s="2188">
        <f>IF(ISERROR(AU384/AS384-1),,(AU384/AS384-1))</f>
        <v>-3.0125168824392201E-2</v>
      </c>
      <c r="AV386" s="2188">
        <f>IF(ISERROR(AV384/AU384-1),,(AV384/AU384-1))</f>
        <v>0.24379825292982638</v>
      </c>
      <c r="AW386" s="2188">
        <f>IF(ISERROR(AW384/AV384-1),,(AW384/AV384-1))</f>
        <v>-7.239595478631089E-2</v>
      </c>
      <c r="AX386" s="2188">
        <f>IF(ISERROR(AX384/AW384-1),,(AX384/AW384-1))</f>
        <v>-2.4567450176424255E-2</v>
      </c>
      <c r="AY386" s="2187"/>
      <c r="AZ386" s="2188"/>
      <c r="BA386" s="2188"/>
      <c r="BB386" s="2188"/>
      <c r="BC386" s="2188"/>
      <c r="BD386" s="2187"/>
      <c r="BE386" s="2188"/>
      <c r="BF386" s="2188"/>
      <c r="BG386" s="2188"/>
      <c r="BH386" s="2188"/>
      <c r="BI386" s="2942"/>
      <c r="BJ386" s="2943"/>
      <c r="BK386" s="2943"/>
      <c r="BL386" s="2943"/>
      <c r="BM386" s="2943"/>
      <c r="BN386" s="2942"/>
      <c r="BO386" s="2943"/>
      <c r="BP386" s="2943"/>
      <c r="BQ386" s="2943"/>
      <c r="BR386" s="2943"/>
      <c r="BS386" s="2943"/>
      <c r="BT386" s="2189"/>
      <c r="BU386" s="2187"/>
      <c r="BV386" s="2187"/>
      <c r="BW386" s="2187"/>
      <c r="BX386" s="2187"/>
      <c r="BY386" s="2187"/>
      <c r="BZ386" s="2187"/>
      <c r="CA386" s="2187"/>
    </row>
    <row r="387" spans="1:79" s="1022" customFormat="1" outlineLevel="1">
      <c r="A387" s="2184" t="s">
        <v>953</v>
      </c>
      <c r="B387" s="2185"/>
      <c r="C387" s="2185"/>
      <c r="D387" s="2185"/>
      <c r="E387" s="2185"/>
      <c r="F387" s="2186"/>
      <c r="G387" s="2185"/>
      <c r="H387" s="2185"/>
      <c r="I387" s="2185"/>
      <c r="J387" s="2185"/>
      <c r="K387" s="2186"/>
      <c r="L387" s="2185"/>
      <c r="M387" s="2185"/>
      <c r="N387" s="2185"/>
      <c r="O387" s="2185"/>
      <c r="P387" s="2186"/>
      <c r="Q387" s="2185"/>
      <c r="R387" s="2185"/>
      <c r="S387" s="2185"/>
      <c r="T387" s="2185"/>
      <c r="U387" s="2186"/>
      <c r="V387" s="2185"/>
      <c r="W387" s="2185"/>
      <c r="X387" s="2185"/>
      <c r="Y387" s="2185"/>
      <c r="Z387" s="2186"/>
      <c r="AA387" s="2185"/>
      <c r="AB387" s="2185"/>
      <c r="AC387" s="2185"/>
      <c r="AD387" s="2185"/>
      <c r="AE387" s="2186"/>
      <c r="AF387" s="2148"/>
      <c r="AG387" s="2188"/>
      <c r="AH387" s="2188"/>
      <c r="AI387" s="2188"/>
      <c r="AJ387" s="2187"/>
      <c r="AK387" s="2188">
        <f>AVERAGE(AF386,AA386)</f>
        <v>0</v>
      </c>
      <c r="AL387" s="2188">
        <f>AVERAGE(AG386,AB386)</f>
        <v>0.28639188086160472</v>
      </c>
      <c r="AM387" s="2188">
        <f>AVERAGE(AH386,AC386)</f>
        <v>-0.11674833853682637</v>
      </c>
      <c r="AN387" s="2188">
        <f>AVERAGE(AI386,AD386)</f>
        <v>-2.357015362244308E-4</v>
      </c>
      <c r="AO387" s="2187"/>
      <c r="AP387" s="2188">
        <f>AVERAGE(AK386,AF386,AA386)</f>
        <v>0.57300181149310858</v>
      </c>
      <c r="AQ387" s="2188">
        <f>AVERAGE(AL386,AG386,AB386)</f>
        <v>0.3153474525585071</v>
      </c>
      <c r="AR387" s="2188">
        <f>AVERAGE(AM386,AH386,AC386)</f>
        <v>-0.12186253121725166</v>
      </c>
      <c r="AS387" s="2188">
        <f>AVERAGE(AN386,AI386,AD386)</f>
        <v>-4.5350011476829231E-2</v>
      </c>
      <c r="AT387" s="2187"/>
      <c r="AU387" s="2188">
        <f>AVERAGE(AP386,AK386,AF386)</f>
        <v>0.39393717658622057</v>
      </c>
      <c r="AV387" s="2188">
        <f>AVERAGE(AQ386,AL386,AG386)</f>
        <v>0.37087327431796191</v>
      </c>
      <c r="AW387" s="2188">
        <f>AVERAGE(AR386,AM386,AH386)</f>
        <v>-0.10234190234772027</v>
      </c>
      <c r="AX387" s="2188">
        <f>AVERAGE(AS386,AN386,AI386)</f>
        <v>-4.3917425252208951E-2</v>
      </c>
      <c r="AY387" s="2187"/>
      <c r="AZ387" s="2188"/>
      <c r="BA387" s="2188"/>
      <c r="BB387" s="2188"/>
      <c r="BC387" s="2188"/>
      <c r="BD387" s="2187"/>
      <c r="BE387" s="2188"/>
      <c r="BF387" s="2188"/>
      <c r="BG387" s="2188"/>
      <c r="BH387" s="2188"/>
      <c r="BI387" s="2942"/>
      <c r="BJ387" s="2943"/>
      <c r="BK387" s="2943"/>
      <c r="BL387" s="2943"/>
      <c r="BM387" s="2943"/>
      <c r="BN387" s="2942"/>
      <c r="BO387" s="2943"/>
      <c r="BP387" s="2943"/>
      <c r="BQ387" s="2943"/>
      <c r="BR387" s="2943"/>
      <c r="BS387" s="2943"/>
      <c r="BT387" s="2189"/>
      <c r="BU387" s="2187"/>
      <c r="BV387" s="2187"/>
      <c r="BW387" s="2187"/>
      <c r="BX387" s="2187"/>
      <c r="BY387" s="2187"/>
      <c r="BZ387" s="2187"/>
      <c r="CA387" s="2187"/>
    </row>
    <row r="388" spans="1:79" ht="8.25" customHeight="1" outlineLevel="1">
      <c r="A388" s="2120"/>
      <c r="B388" s="2168"/>
      <c r="C388" s="2168"/>
      <c r="D388" s="2168"/>
      <c r="E388" s="2168"/>
      <c r="F388" s="2215"/>
      <c r="G388" s="2168"/>
      <c r="H388" s="2168"/>
      <c r="I388" s="2168"/>
      <c r="J388" s="2168"/>
      <c r="K388" s="2215"/>
      <c r="L388" s="2168"/>
      <c r="M388" s="2168"/>
      <c r="N388" s="2168"/>
      <c r="O388" s="2168"/>
      <c r="P388" s="2215"/>
      <c r="Q388" s="2168"/>
      <c r="R388" s="2168"/>
      <c r="S388" s="2168"/>
      <c r="T388" s="2168"/>
      <c r="U388" s="2215"/>
      <c r="V388" s="2168"/>
      <c r="W388" s="2168"/>
      <c r="X388" s="2168"/>
      <c r="Y388" s="2168"/>
      <c r="Z388" s="2215"/>
      <c r="AA388" s="2168"/>
      <c r="AB388" s="2168"/>
      <c r="AC388" s="2168"/>
      <c r="AD388" s="2168"/>
      <c r="AE388" s="2215"/>
      <c r="AF388" s="2120"/>
      <c r="AG388" s="2120"/>
      <c r="AH388" s="2120"/>
      <c r="AI388" s="2120"/>
      <c r="AJ388" s="2215"/>
      <c r="AK388" s="2120"/>
      <c r="AL388" s="2120"/>
      <c r="AM388" s="2120"/>
      <c r="AN388" s="2120"/>
      <c r="AO388" s="2215"/>
      <c r="AP388" s="2120"/>
      <c r="AQ388" s="2120"/>
      <c r="AR388" s="2120"/>
      <c r="AS388" s="2120"/>
      <c r="AT388" s="2215"/>
      <c r="AU388" s="2120"/>
      <c r="AV388" s="2120"/>
      <c r="AW388" s="2120"/>
      <c r="AX388" s="2120"/>
      <c r="AY388" s="2215"/>
      <c r="AZ388" s="2120"/>
      <c r="BA388" s="2120"/>
      <c r="BB388" s="2120"/>
      <c r="BC388" s="2120"/>
      <c r="BD388" s="2215"/>
      <c r="BE388" s="2120"/>
      <c r="BF388" s="2120"/>
      <c r="BG388" s="2120"/>
      <c r="BH388" s="2120"/>
      <c r="BI388" s="2997"/>
      <c r="BJ388" s="2998"/>
      <c r="BK388" s="2998"/>
      <c r="BL388" s="2998"/>
      <c r="BM388" s="2998"/>
      <c r="BN388" s="2997"/>
      <c r="BT388" s="2120"/>
      <c r="BU388" s="2215"/>
      <c r="BV388" s="2215"/>
      <c r="BW388" s="2215"/>
      <c r="BX388" s="2215"/>
      <c r="BY388" s="2215"/>
      <c r="BZ388" s="2215"/>
      <c r="CA388" s="2215"/>
    </row>
    <row r="389" spans="1:79" outlineLevel="1">
      <c r="A389" s="2120"/>
      <c r="B389" s="2216"/>
      <c r="C389" s="2217"/>
      <c r="D389" s="2217"/>
      <c r="E389" s="2216"/>
      <c r="F389" s="2216" t="s">
        <v>109</v>
      </c>
      <c r="G389" s="2216"/>
      <c r="H389" s="2217"/>
      <c r="I389" s="2217"/>
      <c r="J389" s="2216"/>
      <c r="K389" s="2216" t="s">
        <v>109</v>
      </c>
      <c r="L389" s="2216"/>
      <c r="M389" s="2217"/>
      <c r="N389" s="2217"/>
      <c r="O389" s="2216"/>
      <c r="P389" s="2216" t="s">
        <v>109</v>
      </c>
      <c r="Q389" s="2216"/>
      <c r="R389" s="2217"/>
      <c r="S389" s="2217"/>
      <c r="T389" s="2216"/>
      <c r="U389" s="2216" t="s">
        <v>109</v>
      </c>
      <c r="V389" s="2216"/>
      <c r="W389" s="2217"/>
      <c r="X389" s="2217"/>
      <c r="Y389" s="2216"/>
      <c r="Z389" s="2216" t="s">
        <v>109</v>
      </c>
      <c r="AA389" s="2216"/>
      <c r="AB389" s="2217"/>
      <c r="AC389" s="2217"/>
      <c r="AD389" s="2216"/>
      <c r="AE389" s="2218" t="s">
        <v>109</v>
      </c>
      <c r="AF389" s="2216"/>
      <c r="AG389" s="2216"/>
      <c r="AH389" s="2216"/>
      <c r="AI389" s="2216"/>
      <c r="AJ389" s="2218" t="s">
        <v>109</v>
      </c>
      <c r="AK389" s="2216"/>
      <c r="AL389" s="2216"/>
      <c r="AM389" s="2216"/>
      <c r="AN389" s="2216"/>
      <c r="AO389" s="2218" t="s">
        <v>109</v>
      </c>
      <c r="AP389" s="2216"/>
      <c r="AQ389" s="2216"/>
      <c r="AR389" s="2216"/>
      <c r="AS389" s="2216"/>
      <c r="AT389" s="2218" t="s">
        <v>109</v>
      </c>
      <c r="AU389" s="2216"/>
      <c r="AV389" s="2216"/>
      <c r="AW389" s="2216"/>
      <c r="AX389" s="2216"/>
      <c r="AY389" s="2218" t="s">
        <v>109</v>
      </c>
      <c r="AZ389" s="2216"/>
      <c r="BA389" s="2216"/>
      <c r="BB389" s="2216"/>
      <c r="BC389" s="2216"/>
      <c r="BD389" s="2218"/>
      <c r="BE389" s="2216"/>
      <c r="BF389" s="2216"/>
      <c r="BG389" s="2216"/>
      <c r="BH389" s="2216"/>
      <c r="BI389" s="3016"/>
      <c r="BJ389" s="2911"/>
      <c r="BK389" s="2911"/>
      <c r="BL389" s="2911"/>
      <c r="BM389" s="2911"/>
      <c r="BN389" s="3016"/>
      <c r="BO389" s="3017"/>
      <c r="BP389" s="3017"/>
      <c r="BQ389" s="3017"/>
      <c r="BR389" s="3017"/>
      <c r="BS389" s="3017"/>
      <c r="BT389" s="2120"/>
      <c r="BU389" s="2218"/>
      <c r="BV389" s="2218"/>
      <c r="BW389" s="2218"/>
      <c r="BX389" s="2218"/>
      <c r="BY389" s="2218"/>
      <c r="BZ389" s="2218"/>
      <c r="CA389" s="2218"/>
    </row>
    <row r="390" spans="1:79" outlineLevel="1">
      <c r="A390" s="2120"/>
      <c r="B390" s="2219">
        <v>38990</v>
      </c>
      <c r="C390" s="2219">
        <v>39082</v>
      </c>
      <c r="D390" s="2219">
        <v>39172</v>
      </c>
      <c r="E390" s="2219">
        <v>39263</v>
      </c>
      <c r="F390" s="2220" t="s">
        <v>142</v>
      </c>
      <c r="G390" s="2219">
        <v>39355</v>
      </c>
      <c r="H390" s="2219">
        <v>39447</v>
      </c>
      <c r="I390" s="2219">
        <v>39538</v>
      </c>
      <c r="J390" s="2219">
        <v>39607</v>
      </c>
      <c r="K390" s="2220" t="s">
        <v>830</v>
      </c>
      <c r="L390" s="2219">
        <v>39699</v>
      </c>
      <c r="M390" s="2219">
        <v>39790</v>
      </c>
      <c r="N390" s="2219">
        <v>39881</v>
      </c>
      <c r="O390" s="2219">
        <v>39973</v>
      </c>
      <c r="P390" s="2220" t="s">
        <v>311</v>
      </c>
      <c r="Q390" s="2219">
        <v>40065</v>
      </c>
      <c r="R390" s="2219" t="s">
        <v>837</v>
      </c>
      <c r="S390" s="2219" t="s">
        <v>546</v>
      </c>
      <c r="T390" s="2219" t="s">
        <v>591</v>
      </c>
      <c r="U390" s="2220" t="s">
        <v>592</v>
      </c>
      <c r="V390" s="2219" t="s">
        <v>679</v>
      </c>
      <c r="W390" s="2219" t="s">
        <v>208</v>
      </c>
      <c r="X390" s="2219" t="s">
        <v>470</v>
      </c>
      <c r="Y390" s="2219" t="s">
        <v>67</v>
      </c>
      <c r="Z390" s="2220" t="s">
        <v>68</v>
      </c>
      <c r="AA390" s="2219" t="s">
        <v>478</v>
      </c>
      <c r="AB390" s="2219" t="s">
        <v>184</v>
      </c>
      <c r="AC390" s="2219" t="s">
        <v>172</v>
      </c>
      <c r="AD390" s="2219" t="s">
        <v>179</v>
      </c>
      <c r="AE390" s="2221" t="s">
        <v>180</v>
      </c>
      <c r="AF390" s="2220" t="s">
        <v>159</v>
      </c>
      <c r="AG390" s="2220" t="s">
        <v>894</v>
      </c>
      <c r="AH390" s="2220" t="s">
        <v>464</v>
      </c>
      <c r="AI390" s="2220" t="s">
        <v>26</v>
      </c>
      <c r="AJ390" s="2221" t="s">
        <v>27</v>
      </c>
      <c r="AK390" s="2220" t="s">
        <v>758</v>
      </c>
      <c r="AL390" s="2220" t="s">
        <v>905</v>
      </c>
      <c r="AM390" s="2220" t="s">
        <v>984</v>
      </c>
      <c r="AN390" s="2220" t="s">
        <v>1005</v>
      </c>
      <c r="AO390" s="2221" t="s">
        <v>1006</v>
      </c>
      <c r="AP390" s="2222" t="s">
        <v>1016</v>
      </c>
      <c r="AQ390" s="2220" t="s">
        <v>1025</v>
      </c>
      <c r="AR390" s="2222" t="s">
        <v>1026</v>
      </c>
      <c r="AS390" s="2220" t="s">
        <v>339</v>
      </c>
      <c r="AT390" s="2221" t="s">
        <v>45</v>
      </c>
      <c r="AU390" s="2222" t="s">
        <v>824</v>
      </c>
      <c r="AV390" s="2220" t="s">
        <v>825</v>
      </c>
      <c r="AW390" s="2220" t="s">
        <v>826</v>
      </c>
      <c r="AX390" s="2220" t="s">
        <v>827</v>
      </c>
      <c r="AY390" s="2221" t="s">
        <v>641</v>
      </c>
      <c r="AZ390" s="2220"/>
      <c r="BA390" s="2220"/>
      <c r="BB390" s="2220"/>
      <c r="BC390" s="2220"/>
      <c r="BD390" s="2221"/>
      <c r="BE390" s="2220"/>
      <c r="BF390" s="2220"/>
      <c r="BG390" s="2220"/>
      <c r="BH390" s="2220"/>
      <c r="BI390" s="2982"/>
      <c r="BJ390" s="2983"/>
      <c r="BK390" s="2983"/>
      <c r="BL390" s="2983"/>
      <c r="BM390" s="2983"/>
      <c r="BN390" s="2982"/>
      <c r="BO390" s="2912"/>
      <c r="BP390" s="2912"/>
      <c r="BQ390" s="2912"/>
      <c r="BR390" s="2912"/>
      <c r="BS390" s="2912"/>
      <c r="BT390" s="2120"/>
      <c r="BU390" s="2221"/>
      <c r="BV390" s="2221"/>
      <c r="BW390" s="2221"/>
      <c r="BX390" s="2221"/>
      <c r="BY390" s="2221"/>
      <c r="BZ390" s="2221"/>
      <c r="CA390" s="2221"/>
    </row>
    <row r="391" spans="1:79" outlineLevel="1">
      <c r="A391" s="2121" t="str">
        <f>A320</f>
        <v>Commercial Licensing</v>
      </c>
      <c r="B391" s="2122"/>
      <c r="C391" s="2122"/>
      <c r="D391" s="2122"/>
      <c r="E391" s="2122"/>
      <c r="F391" s="2123"/>
      <c r="G391" s="2122"/>
      <c r="H391" s="2122"/>
      <c r="I391" s="2122"/>
      <c r="J391" s="2122"/>
      <c r="K391" s="2123"/>
      <c r="L391" s="2122"/>
      <c r="M391" s="2122"/>
      <c r="N391" s="2122"/>
      <c r="O391" s="2122"/>
      <c r="P391" s="2123"/>
      <c r="Q391" s="2122"/>
      <c r="R391" s="2122"/>
      <c r="S391" s="2122"/>
      <c r="T391" s="2122"/>
      <c r="U391" s="2123"/>
      <c r="V391" s="2122"/>
      <c r="W391" s="2122"/>
      <c r="X391" s="2122"/>
      <c r="Y391" s="2122"/>
      <c r="Z391" s="2123"/>
      <c r="AA391" s="2122"/>
      <c r="AB391" s="2122"/>
      <c r="AC391" s="2122"/>
      <c r="AD391" s="2122"/>
      <c r="AE391" s="2123"/>
      <c r="AF391" s="2124"/>
      <c r="AG391" s="2122"/>
      <c r="AH391" s="2122"/>
      <c r="AI391" s="2122"/>
      <c r="AJ391" s="2123"/>
      <c r="AK391" s="2125"/>
      <c r="AL391" s="2122"/>
      <c r="AM391" s="2122"/>
      <c r="AN391" s="2122"/>
      <c r="AO391" s="2123"/>
      <c r="AP391" s="2122"/>
      <c r="AQ391" s="2122"/>
      <c r="AR391" s="2122"/>
      <c r="AS391" s="2122"/>
      <c r="AT391" s="2123"/>
      <c r="AU391" s="2122"/>
      <c r="AV391" s="2122"/>
      <c r="AW391" s="2122"/>
      <c r="AX391" s="2122"/>
      <c r="AY391" s="2123"/>
      <c r="AZ391" s="2122"/>
      <c r="BA391" s="2122"/>
      <c r="BB391" s="2122"/>
      <c r="BC391" s="2122"/>
      <c r="BD391" s="2123"/>
      <c r="BE391" s="2122"/>
      <c r="BF391" s="2122"/>
      <c r="BG391" s="2122"/>
      <c r="BH391" s="2122"/>
      <c r="BI391" s="2915"/>
      <c r="BJ391" s="2917"/>
      <c r="BK391" s="2917"/>
      <c r="BL391" s="2917"/>
      <c r="BM391" s="2917"/>
      <c r="BN391" s="2915"/>
      <c r="BO391" s="2955"/>
      <c r="BP391" s="2955"/>
      <c r="BQ391" s="2955"/>
      <c r="BR391" s="2955"/>
      <c r="BS391" s="2955"/>
      <c r="BT391" s="2120"/>
      <c r="BU391" s="2123"/>
      <c r="BV391" s="2123"/>
      <c r="BW391" s="2123"/>
      <c r="BX391" s="2123"/>
      <c r="BY391" s="2123"/>
      <c r="BZ391" s="2123"/>
      <c r="CA391" s="2123"/>
    </row>
    <row r="392" spans="1:79" outlineLevel="1">
      <c r="A392" s="2120" t="str">
        <f>A321</f>
        <v>Windows Enterprise</v>
      </c>
      <c r="B392" s="2168"/>
      <c r="C392" s="2168"/>
      <c r="D392" s="2168"/>
      <c r="E392" s="2168"/>
      <c r="F392" s="2215"/>
      <c r="G392" s="2168"/>
      <c r="H392" s="2168"/>
      <c r="I392" s="2168"/>
      <c r="J392" s="2168"/>
      <c r="K392" s="2215"/>
      <c r="L392" s="2168"/>
      <c r="M392" s="2168"/>
      <c r="N392" s="2168"/>
      <c r="O392" s="2168"/>
      <c r="P392" s="2215"/>
      <c r="Q392" s="2168"/>
      <c r="R392" s="2168"/>
      <c r="S392" s="2168"/>
      <c r="T392" s="2168"/>
      <c r="U392" s="2215"/>
      <c r="V392" s="2168"/>
      <c r="W392" s="2168"/>
      <c r="X392" s="2168"/>
      <c r="Y392" s="2168"/>
      <c r="Z392" s="2215"/>
      <c r="AA392" s="2168"/>
      <c r="AB392" s="2168"/>
      <c r="AC392" s="2168"/>
      <c r="AD392" s="2168"/>
      <c r="AE392" s="2223">
        <f t="shared" ref="AE392:AN392" si="220">AE321</f>
        <v>3084.1123415370744</v>
      </c>
      <c r="AF392" s="2144">
        <f t="shared" si="220"/>
        <v>850</v>
      </c>
      <c r="AG392" s="2144">
        <f t="shared" si="220"/>
        <v>350</v>
      </c>
      <c r="AH392" s="2144">
        <f t="shared" si="220"/>
        <v>1050</v>
      </c>
      <c r="AI392" s="2144">
        <f t="shared" si="220"/>
        <v>1000</v>
      </c>
      <c r="AJ392" s="2223">
        <f t="shared" si="220"/>
        <v>3250</v>
      </c>
      <c r="AK392" s="2144">
        <f t="shared" si="220"/>
        <v>900</v>
      </c>
      <c r="AL392" s="2144">
        <f t="shared" si="220"/>
        <v>1266.3380528713496</v>
      </c>
      <c r="AM392" s="2144">
        <f t="shared" si="220"/>
        <v>742.91295454545434</v>
      </c>
      <c r="AN392" s="2144">
        <f t="shared" si="220"/>
        <v>1100</v>
      </c>
      <c r="AO392" s="2223">
        <f>SUM(AK392:AN392)</f>
        <v>4009.251007416804</v>
      </c>
      <c r="AP392" s="2144">
        <f>AP321</f>
        <v>990.00000000000011</v>
      </c>
      <c r="AQ392" s="2144">
        <f>AQ321</f>
        <v>1304.3281944574901</v>
      </c>
      <c r="AR392" s="2144">
        <f>AR321</f>
        <v>728.05469545454525</v>
      </c>
      <c r="AS392" s="2144">
        <f>AS321</f>
        <v>1012</v>
      </c>
      <c r="AT392" s="2223">
        <f>SUM(AP392:AS392)</f>
        <v>4034.3828899120354</v>
      </c>
      <c r="AU392" s="2144">
        <f>AP392*(1+AU393)</f>
        <v>960.30000000000007</v>
      </c>
      <c r="AV392" s="2144">
        <f>AQ392*(1+AV393)</f>
        <v>1278.2416305683403</v>
      </c>
      <c r="AW392" s="2144">
        <f>AR392*(1+AW393)</f>
        <v>728.05469545454525</v>
      </c>
      <c r="AX392" s="2144">
        <f>AS392*(1+AX393)</f>
        <v>1042.3600000000001</v>
      </c>
      <c r="AY392" s="2223">
        <f>SUM(AU392:AX392)</f>
        <v>4008.9563260228856</v>
      </c>
      <c r="AZ392" s="2144"/>
      <c r="BA392" s="2144"/>
      <c r="BB392" s="2144"/>
      <c r="BC392" s="2144"/>
      <c r="BD392" s="2223"/>
      <c r="BE392" s="2144"/>
      <c r="BF392" s="2144"/>
      <c r="BG392" s="2144"/>
      <c r="BH392" s="2144"/>
      <c r="BI392" s="2958"/>
      <c r="BJ392" s="2959"/>
      <c r="BK392" s="2959"/>
      <c r="BL392" s="2959"/>
      <c r="BM392" s="2959"/>
      <c r="BN392" s="2958"/>
      <c r="BO392" s="2960"/>
      <c r="BP392" s="2960"/>
      <c r="BQ392" s="2960"/>
      <c r="BR392" s="2960"/>
      <c r="BS392" s="2960"/>
      <c r="BT392" s="2120"/>
      <c r="BU392" s="2223"/>
      <c r="BV392" s="2223"/>
      <c r="BW392" s="2223">
        <f>SUM(AM392:AN392,AP392:AQ392)</f>
        <v>4137.2411490029444</v>
      </c>
      <c r="BX392" s="2223">
        <f>SUM(AR392:AS392,AU392:AV392)</f>
        <v>3978.5963260228855</v>
      </c>
      <c r="BY392" s="2223">
        <f>SUM(AW392:AX392,AZ392:BA392)</f>
        <v>1770.4146954545454</v>
      </c>
      <c r="BZ392" s="2223">
        <f>SUM(BB392:BC392,BE392:BF392)</f>
        <v>0</v>
      </c>
      <c r="CA392" s="2223"/>
    </row>
    <row r="393" spans="1:79" s="1022" customFormat="1" outlineLevel="1">
      <c r="A393" s="2184" t="s">
        <v>926</v>
      </c>
      <c r="B393" s="2185"/>
      <c r="C393" s="2185"/>
      <c r="D393" s="2185"/>
      <c r="E393" s="2185"/>
      <c r="F393" s="2186"/>
      <c r="G393" s="2185"/>
      <c r="H393" s="2185"/>
      <c r="I393" s="2185"/>
      <c r="J393" s="2185"/>
      <c r="K393" s="2186"/>
      <c r="L393" s="2185"/>
      <c r="M393" s="2185"/>
      <c r="N393" s="2185"/>
      <c r="O393" s="2185"/>
      <c r="P393" s="2186"/>
      <c r="Q393" s="2185"/>
      <c r="R393" s="2185"/>
      <c r="S393" s="2185"/>
      <c r="T393" s="2185"/>
      <c r="U393" s="2186"/>
      <c r="V393" s="2185"/>
      <c r="W393" s="2185"/>
      <c r="X393" s="2185"/>
      <c r="Y393" s="2185"/>
      <c r="Z393" s="2186"/>
      <c r="AA393" s="2185"/>
      <c r="AB393" s="2185"/>
      <c r="AC393" s="2185"/>
      <c r="AD393" s="2185"/>
      <c r="AE393" s="2186"/>
      <c r="AF393" s="2148"/>
      <c r="AG393" s="2185"/>
      <c r="AH393" s="2185"/>
      <c r="AI393" s="2185"/>
      <c r="AJ393" s="2187">
        <f t="shared" ref="AJ393:AS393" si="221">IF(ISERROR(AJ392/AE392-1),,(AJ392/AE392-1))</f>
        <v>5.3787813183306277E-2</v>
      </c>
      <c r="AK393" s="2188">
        <f t="shared" si="221"/>
        <v>5.8823529411764719E-2</v>
      </c>
      <c r="AL393" s="2188">
        <f t="shared" si="221"/>
        <v>2.6181087224895703</v>
      </c>
      <c r="AM393" s="2188">
        <f t="shared" si="221"/>
        <v>-0.29246385281385301</v>
      </c>
      <c r="AN393" s="2188">
        <f t="shared" si="221"/>
        <v>0.10000000000000009</v>
      </c>
      <c r="AO393" s="2187">
        <f t="shared" si="221"/>
        <v>0.23361569458978582</v>
      </c>
      <c r="AP393" s="2188">
        <f t="shared" si="221"/>
        <v>0.10000000000000009</v>
      </c>
      <c r="AQ393" s="2188">
        <f t="shared" si="221"/>
        <v>3.0000000000000027E-2</v>
      </c>
      <c r="AR393" s="2188">
        <f t="shared" si="221"/>
        <v>-2.0000000000000018E-2</v>
      </c>
      <c r="AS393" s="2188">
        <f t="shared" si="221"/>
        <v>-7.999999999999996E-2</v>
      </c>
      <c r="AT393" s="2187">
        <f>IF(ISERROR(AT392/AO392-1),,(AT392/AO392-1))</f>
        <v>6.2684732007896038E-3</v>
      </c>
      <c r="AU393" s="2188">
        <v>-0.03</v>
      </c>
      <c r="AV393" s="2188">
        <v>-0.02</v>
      </c>
      <c r="AW393" s="2202">
        <v>0</v>
      </c>
      <c r="AX393" s="2188">
        <v>0.03</v>
      </c>
      <c r="AY393" s="2187">
        <f>IF(ISERROR(AY392/AT392-1),,(AY392/AT392-1))</f>
        <v>-6.3024667174572668E-3</v>
      </c>
      <c r="AZ393" s="2202"/>
      <c r="BA393" s="2202"/>
      <c r="BB393" s="2202"/>
      <c r="BC393" s="2202"/>
      <c r="BD393" s="2187"/>
      <c r="BE393" s="2202"/>
      <c r="BF393" s="2202"/>
      <c r="BG393" s="2202"/>
      <c r="BH393" s="2202"/>
      <c r="BI393" s="2942"/>
      <c r="BJ393" s="2947"/>
      <c r="BK393" s="2947"/>
      <c r="BL393" s="2947"/>
      <c r="BM393" s="2947"/>
      <c r="BN393" s="2942"/>
      <c r="BO393" s="2943"/>
      <c r="BP393" s="2943"/>
      <c r="BQ393" s="2943"/>
      <c r="BR393" s="2943"/>
      <c r="BS393" s="2943"/>
      <c r="BT393" s="2189"/>
      <c r="BU393" s="2187"/>
      <c r="BV393" s="2187"/>
      <c r="BW393" s="2187"/>
      <c r="BX393" s="2187"/>
      <c r="BY393" s="2187"/>
      <c r="BZ393" s="2187"/>
      <c r="CA393" s="2187"/>
    </row>
    <row r="394" spans="1:79" s="1022" customFormat="1" outlineLevel="1">
      <c r="A394" s="2184" t="s">
        <v>952</v>
      </c>
      <c r="B394" s="2185"/>
      <c r="C394" s="2185"/>
      <c r="D394" s="2185"/>
      <c r="E394" s="2185"/>
      <c r="F394" s="2186"/>
      <c r="G394" s="2185"/>
      <c r="H394" s="2185"/>
      <c r="I394" s="2185"/>
      <c r="J394" s="2185"/>
      <c r="K394" s="2186"/>
      <c r="L394" s="2185"/>
      <c r="M394" s="2185"/>
      <c r="N394" s="2185"/>
      <c r="O394" s="2185"/>
      <c r="P394" s="2186"/>
      <c r="Q394" s="2185"/>
      <c r="R394" s="2185"/>
      <c r="S394" s="2185"/>
      <c r="T394" s="2185"/>
      <c r="U394" s="2186"/>
      <c r="V394" s="2185"/>
      <c r="W394" s="2185"/>
      <c r="X394" s="2185"/>
      <c r="Y394" s="2185"/>
      <c r="Z394" s="2186"/>
      <c r="AA394" s="2185"/>
      <c r="AB394" s="2185"/>
      <c r="AC394" s="2185"/>
      <c r="AD394" s="2185"/>
      <c r="AE394" s="2186"/>
      <c r="AF394" s="2148"/>
      <c r="AG394" s="2188">
        <f>IF(ISERROR(AG392/AF392-1),,(AG392/AF392-1))</f>
        <v>-0.58823529411764708</v>
      </c>
      <c r="AH394" s="2188">
        <f>IF(ISERROR(AH392/AG392-1),,(AH392/AG392-1))</f>
        <v>2</v>
      </c>
      <c r="AI394" s="2188">
        <f>IF(ISERROR(AI392/AH392-1),,(AI392/AH392-1))</f>
        <v>-4.7619047619047672E-2</v>
      </c>
      <c r="AJ394" s="2187"/>
      <c r="AK394" s="2188">
        <f>IF(ISERROR(AK392/AI392-1),,(AK392/AI392-1))</f>
        <v>-9.9999999999999978E-2</v>
      </c>
      <c r="AL394" s="2188">
        <f>IF(ISERROR(AL392/AK392-1),,(AL392/AK392-1))</f>
        <v>0.40704228096816619</v>
      </c>
      <c r="AM394" s="2188">
        <f>IF(ISERROR(AM392/AL392-1),,(AM392/AL392-1))</f>
        <v>-0.41333757375375291</v>
      </c>
      <c r="AN394" s="2188">
        <f>IF(ISERROR(AN392/AM392-1),,(AN392/AM392-1))</f>
        <v>0.48065798727796682</v>
      </c>
      <c r="AO394" s="2187"/>
      <c r="AP394" s="2188">
        <f>IF(ISERROR(AP392/AN392-1),,(AP392/AN392-1))</f>
        <v>-9.9999999999999867E-2</v>
      </c>
      <c r="AQ394" s="2188">
        <f>IF(ISERROR(AQ392/AP392-1),,(AQ392/AP392-1))</f>
        <v>0.3175032267247373</v>
      </c>
      <c r="AR394" s="2188">
        <f>IF(ISERROR(AR392/AQ392-1),,(AR392/AQ392-1))</f>
        <v>-0.44181633230939599</v>
      </c>
      <c r="AS394" s="2188">
        <f>IF(ISERROR(AS392/AR392-1),,(AS392/AR392-1))</f>
        <v>0.39000545744462189</v>
      </c>
      <c r="AT394" s="2187"/>
      <c r="AU394" s="2188">
        <f>IF(ISERROR(AU392/AS392-1),,(AU392/AS392-1))</f>
        <v>-5.1086956521739113E-2</v>
      </c>
      <c r="AV394" s="2188">
        <f>IF(ISERROR(AV392/AU392-1),,(AV392/AU392-1))</f>
        <v>0.33108573421674503</v>
      </c>
      <c r="AW394" s="2188">
        <f>IF(ISERROR(AW392/AV392-1),,(AW392/AV392-1))</f>
        <v>-0.43042482888713873</v>
      </c>
      <c r="AX394" s="2188">
        <f>IF(ISERROR(AX392/AW392-1),,(AX392/AW392-1))</f>
        <v>0.43170562116796063</v>
      </c>
      <c r="AY394" s="2187"/>
      <c r="AZ394" s="2188"/>
      <c r="BA394" s="2188"/>
      <c r="BB394" s="2188"/>
      <c r="BC394" s="2188"/>
      <c r="BD394" s="2187"/>
      <c r="BE394" s="2188"/>
      <c r="BF394" s="2188"/>
      <c r="BG394" s="2188"/>
      <c r="BH394" s="2188"/>
      <c r="BI394" s="2942"/>
      <c r="BJ394" s="2943"/>
      <c r="BK394" s="2943"/>
      <c r="BL394" s="2943"/>
      <c r="BM394" s="2943"/>
      <c r="BN394" s="2942"/>
      <c r="BO394" s="2943"/>
      <c r="BP394" s="2943"/>
      <c r="BQ394" s="2943"/>
      <c r="BR394" s="2943"/>
      <c r="BS394" s="2943"/>
      <c r="BT394" s="2189"/>
      <c r="BU394" s="2187"/>
      <c r="BV394" s="2187"/>
      <c r="BW394" s="2187"/>
      <c r="BX394" s="2187"/>
      <c r="BY394" s="2187"/>
      <c r="BZ394" s="2187"/>
      <c r="CA394" s="2187"/>
    </row>
    <row r="395" spans="1:79" ht="8.25" customHeight="1" outlineLevel="1">
      <c r="A395" s="2120"/>
      <c r="B395" s="2168"/>
      <c r="C395" s="2168"/>
      <c r="D395" s="2168"/>
      <c r="E395" s="2168"/>
      <c r="F395" s="2215"/>
      <c r="G395" s="2168"/>
      <c r="H395" s="2168"/>
      <c r="I395" s="2168"/>
      <c r="J395" s="2168"/>
      <c r="K395" s="2215"/>
      <c r="L395" s="2168"/>
      <c r="M395" s="2168"/>
      <c r="N395" s="2168"/>
      <c r="O395" s="2168"/>
      <c r="P395" s="2215"/>
      <c r="Q395" s="2168"/>
      <c r="R395" s="2168"/>
      <c r="S395" s="2168"/>
      <c r="T395" s="2168"/>
      <c r="U395" s="2215"/>
      <c r="V395" s="2168"/>
      <c r="W395" s="2168"/>
      <c r="X395" s="2168"/>
      <c r="Y395" s="2168"/>
      <c r="Z395" s="2215"/>
      <c r="AA395" s="2168"/>
      <c r="AB395" s="2168"/>
      <c r="AC395" s="2168"/>
      <c r="AD395" s="2168"/>
      <c r="AE395" s="2215"/>
      <c r="AF395" s="2120"/>
      <c r="AG395" s="2120"/>
      <c r="AH395" s="2120"/>
      <c r="AI395" s="2120"/>
      <c r="AJ395" s="2215"/>
      <c r="AK395" s="2120"/>
      <c r="AL395" s="2120"/>
      <c r="AM395" s="2120"/>
      <c r="AN395" s="2120"/>
      <c r="AO395" s="2215"/>
      <c r="AP395" s="2120"/>
      <c r="AQ395" s="2120"/>
      <c r="AR395" s="2120"/>
      <c r="AS395" s="2120"/>
      <c r="AT395" s="2215"/>
      <c r="AU395" s="2120"/>
      <c r="AV395" s="2120"/>
      <c r="AW395" s="2120"/>
      <c r="AX395" s="2120"/>
      <c r="AY395" s="2215"/>
      <c r="AZ395" s="2120"/>
      <c r="BA395" s="2120"/>
      <c r="BB395" s="2120"/>
      <c r="BC395" s="2120"/>
      <c r="BD395" s="2215"/>
      <c r="BE395" s="2120"/>
      <c r="BF395" s="2120"/>
      <c r="BG395" s="2120"/>
      <c r="BH395" s="2120"/>
      <c r="BI395" s="2997"/>
      <c r="BJ395" s="2998"/>
      <c r="BK395" s="2998"/>
      <c r="BL395" s="2998"/>
      <c r="BM395" s="2998"/>
      <c r="BN395" s="2997"/>
      <c r="BT395" s="2120"/>
      <c r="BU395" s="2215"/>
      <c r="BV395" s="2215"/>
      <c r="BW395" s="2215"/>
      <c r="BX395" s="2215"/>
      <c r="BY395" s="2215"/>
      <c r="BZ395" s="2215"/>
      <c r="CA395" s="2215"/>
    </row>
    <row r="396" spans="1:79" outlineLevel="1">
      <c r="A396" s="2120" t="str">
        <f>A322</f>
        <v>Server Tools</v>
      </c>
      <c r="B396" s="2168"/>
      <c r="C396" s="2168"/>
      <c r="D396" s="2168"/>
      <c r="E396" s="2168"/>
      <c r="F396" s="2215"/>
      <c r="G396" s="2168"/>
      <c r="H396" s="2168"/>
      <c r="I396" s="2168"/>
      <c r="J396" s="2168"/>
      <c r="K396" s="2215"/>
      <c r="L396" s="2168"/>
      <c r="M396" s="2168"/>
      <c r="N396" s="2168"/>
      <c r="O396" s="2168"/>
      <c r="P396" s="2215"/>
      <c r="Q396" s="2168"/>
      <c r="R396" s="2168"/>
      <c r="S396" s="2168"/>
      <c r="T396" s="2168"/>
      <c r="U396" s="2215"/>
      <c r="V396" s="2168"/>
      <c r="W396" s="2168"/>
      <c r="X396" s="2168"/>
      <c r="Y396" s="2168"/>
      <c r="Z396" s="2215"/>
      <c r="AA396" s="2168"/>
      <c r="AB396" s="2168"/>
      <c r="AC396" s="2168"/>
      <c r="AD396" s="2168"/>
      <c r="AE396" s="2223">
        <f>AE322</f>
        <v>13945</v>
      </c>
      <c r="AF396" s="2144">
        <f>AF322</f>
        <v>3254.4196428571427</v>
      </c>
      <c r="AG396" s="2144">
        <f>AG322</f>
        <v>3798.1696428571431</v>
      </c>
      <c r="AH396" s="2144">
        <f>AH322</f>
        <v>3722.0454545454554</v>
      </c>
      <c r="AI396" s="2144">
        <f>AI322</f>
        <v>4123.9210526315801</v>
      </c>
      <c r="AJ396" s="2223">
        <f>SUM(AF396:AI396)</f>
        <v>14898.555792891322</v>
      </c>
      <c r="AK396" s="2144">
        <f>AK322</f>
        <v>3644.9500000000003</v>
      </c>
      <c r="AL396" s="2144">
        <f>AL322</f>
        <v>4253.9500000000007</v>
      </c>
      <c r="AM396" s="2144">
        <f>AM322</f>
        <v>4094.2500000000014</v>
      </c>
      <c r="AN396" s="2144">
        <f>AN322</f>
        <v>4701.2700000000023</v>
      </c>
      <c r="AO396" s="2223">
        <f>SUM(AK396:AN396)</f>
        <v>16694.420000000006</v>
      </c>
      <c r="AP396" s="2144">
        <f>AP322</f>
        <v>4045.8945000000008</v>
      </c>
      <c r="AQ396" s="2144">
        <f>AQ322</f>
        <v>4551.7265000000007</v>
      </c>
      <c r="AR396" s="2144">
        <f>AR322</f>
        <v>4503.675000000002</v>
      </c>
      <c r="AS396" s="2144">
        <f>AS322</f>
        <v>4701.2700000000023</v>
      </c>
      <c r="AT396" s="2223">
        <f>SUM(AP396:AS396)</f>
        <v>17802.566000000006</v>
      </c>
      <c r="AU396" s="2144">
        <f>AP396*(1+AU397)</f>
        <v>4045.8945000000008</v>
      </c>
      <c r="AV396" s="2144">
        <f>AQ396*(1+AV397)</f>
        <v>4642.7610300000006</v>
      </c>
      <c r="AW396" s="2144">
        <f>AR396*(1+AW397)</f>
        <v>4638.7852500000026</v>
      </c>
      <c r="AX396" s="2144">
        <f>AS396*(1+AX397)</f>
        <v>5030.3589000000029</v>
      </c>
      <c r="AY396" s="2223">
        <f>SUM(AU396:AX396)</f>
        <v>18357.799680000007</v>
      </c>
      <c r="AZ396" s="2144"/>
      <c r="BA396" s="2144"/>
      <c r="BB396" s="2144"/>
      <c r="BC396" s="2144"/>
      <c r="BD396" s="2223"/>
      <c r="BE396" s="2144"/>
      <c r="BF396" s="2144"/>
      <c r="BG396" s="2144"/>
      <c r="BH396" s="2144"/>
      <c r="BI396" s="2958"/>
      <c r="BJ396" s="2959"/>
      <c r="BK396" s="2959"/>
      <c r="BL396" s="2959"/>
      <c r="BM396" s="2959"/>
      <c r="BN396" s="2958"/>
      <c r="BO396" s="2960"/>
      <c r="BP396" s="2960"/>
      <c r="BQ396" s="2960"/>
      <c r="BR396" s="2960"/>
      <c r="BS396" s="2960"/>
      <c r="BT396" s="2120"/>
      <c r="BU396" s="2223"/>
      <c r="BV396" s="2223"/>
      <c r="BW396" s="2223">
        <f>SUM(AM396:AN396,AP396:AQ396)</f>
        <v>17393.141000000003</v>
      </c>
      <c r="BX396" s="2223">
        <f>SUM(AR396:AS396,AU396:AV396)</f>
        <v>17893.600530000003</v>
      </c>
      <c r="BY396" s="2223">
        <f>SUM(AW396:AX396,AZ396:BA396)</f>
        <v>9669.1441500000055</v>
      </c>
      <c r="BZ396" s="2223">
        <f>SUM(BB396:BC396,BE396:BF396)</f>
        <v>0</v>
      </c>
      <c r="CA396" s="2223"/>
    </row>
    <row r="397" spans="1:79" s="1022" customFormat="1" outlineLevel="1">
      <c r="A397" s="2184" t="s">
        <v>926</v>
      </c>
      <c r="B397" s="2185"/>
      <c r="C397" s="2185"/>
      <c r="D397" s="2185"/>
      <c r="E397" s="2185"/>
      <c r="F397" s="2186"/>
      <c r="G397" s="2185"/>
      <c r="H397" s="2185"/>
      <c r="I397" s="2185"/>
      <c r="J397" s="2185"/>
      <c r="K397" s="2186"/>
      <c r="L397" s="2185"/>
      <c r="M397" s="2185"/>
      <c r="N397" s="2185"/>
      <c r="O397" s="2185"/>
      <c r="P397" s="2186"/>
      <c r="Q397" s="2185"/>
      <c r="R397" s="2185"/>
      <c r="S397" s="2185"/>
      <c r="T397" s="2185"/>
      <c r="U397" s="2186"/>
      <c r="V397" s="2185"/>
      <c r="W397" s="2185"/>
      <c r="X397" s="2185"/>
      <c r="Y397" s="2185"/>
      <c r="Z397" s="2186"/>
      <c r="AA397" s="2185"/>
      <c r="AB397" s="2185"/>
      <c r="AC397" s="2185"/>
      <c r="AD397" s="2185"/>
      <c r="AE397" s="2186"/>
      <c r="AF397" s="2148"/>
      <c r="AG397" s="2185"/>
      <c r="AH397" s="2185"/>
      <c r="AI397" s="2185"/>
      <c r="AJ397" s="2187">
        <f t="shared" ref="AJ397:AS397" si="222">IF(ISERROR(AJ396/AE396-1),,(AJ396/AE396-1))</f>
        <v>6.8379762846276337E-2</v>
      </c>
      <c r="AK397" s="2188">
        <f t="shared" si="222"/>
        <v>0.12000000000000011</v>
      </c>
      <c r="AL397" s="2188">
        <f t="shared" si="222"/>
        <v>0.12000000000000011</v>
      </c>
      <c r="AM397" s="2188">
        <f t="shared" si="222"/>
        <v>0.10000000000000009</v>
      </c>
      <c r="AN397" s="2188">
        <f t="shared" si="222"/>
        <v>0.14000000000000012</v>
      </c>
      <c r="AO397" s="2187">
        <f t="shared" si="222"/>
        <v>0.12053948262324599</v>
      </c>
      <c r="AP397" s="2188">
        <f t="shared" si="222"/>
        <v>0.1100000000000001</v>
      </c>
      <c r="AQ397" s="2188">
        <f t="shared" si="222"/>
        <v>7.0000000000000062E-2</v>
      </c>
      <c r="AR397" s="2188">
        <f t="shared" si="222"/>
        <v>0.10000000000000009</v>
      </c>
      <c r="AS397" s="2188">
        <f t="shared" si="222"/>
        <v>0</v>
      </c>
      <c r="AT397" s="2187">
        <f>IF(ISERROR(AT396/AO396-1),,(AT396/AO396-1))</f>
        <v>6.6378226976438803E-2</v>
      </c>
      <c r="AU397" s="2188">
        <v>0</v>
      </c>
      <c r="AV397" s="2188">
        <v>0.02</v>
      </c>
      <c r="AW397" s="2202">
        <v>0.03</v>
      </c>
      <c r="AX397" s="2188">
        <v>7.0000000000000007E-2</v>
      </c>
      <c r="AY397" s="2187">
        <f>IF(ISERROR(AY396/AT396-1),,(AY396/AT396-1))</f>
        <v>3.1188407334088897E-2</v>
      </c>
      <c r="AZ397" s="2202"/>
      <c r="BA397" s="2202"/>
      <c r="BB397" s="2202"/>
      <c r="BC397" s="2202"/>
      <c r="BD397" s="2187"/>
      <c r="BE397" s="2202"/>
      <c r="BF397" s="2202"/>
      <c r="BG397" s="2202"/>
      <c r="BH397" s="2202"/>
      <c r="BI397" s="2942"/>
      <c r="BJ397" s="2947"/>
      <c r="BK397" s="2947"/>
      <c r="BL397" s="2947"/>
      <c r="BM397" s="2947"/>
      <c r="BN397" s="2942"/>
      <c r="BO397" s="2943"/>
      <c r="BP397" s="2943"/>
      <c r="BQ397" s="2943"/>
      <c r="BR397" s="2943"/>
      <c r="BS397" s="2943"/>
      <c r="BT397" s="2189"/>
      <c r="BU397" s="2187"/>
      <c r="BV397" s="2187"/>
      <c r="BW397" s="2187"/>
      <c r="BX397" s="2187"/>
      <c r="BY397" s="2187"/>
      <c r="BZ397" s="2187"/>
      <c r="CA397" s="2187"/>
    </row>
    <row r="398" spans="1:79" s="1022" customFormat="1" outlineLevel="1">
      <c r="A398" s="2184" t="s">
        <v>952</v>
      </c>
      <c r="B398" s="2185"/>
      <c r="C398" s="2185"/>
      <c r="D398" s="2185"/>
      <c r="E398" s="2185"/>
      <c r="F398" s="2186"/>
      <c r="G398" s="2185"/>
      <c r="H398" s="2185"/>
      <c r="I398" s="2185"/>
      <c r="J398" s="2185"/>
      <c r="K398" s="2186"/>
      <c r="L398" s="2185"/>
      <c r="M398" s="2185"/>
      <c r="N398" s="2185"/>
      <c r="O398" s="2185"/>
      <c r="P398" s="2186"/>
      <c r="Q398" s="2185"/>
      <c r="R398" s="2185"/>
      <c r="S398" s="2185"/>
      <c r="T398" s="2185"/>
      <c r="U398" s="2186"/>
      <c r="V398" s="2185"/>
      <c r="W398" s="2185"/>
      <c r="X398" s="2185"/>
      <c r="Y398" s="2185"/>
      <c r="Z398" s="2186"/>
      <c r="AA398" s="2185"/>
      <c r="AB398" s="2185"/>
      <c r="AC398" s="2185"/>
      <c r="AD398" s="2185"/>
      <c r="AE398" s="2186"/>
      <c r="AF398" s="2148"/>
      <c r="AG398" s="2188">
        <f>IF(ISERROR(AG396/AF396-1),,(AG396/AF396-1))</f>
        <v>0.16708048121373431</v>
      </c>
      <c r="AH398" s="2188">
        <f>IF(ISERROR(AH396/AG396-1),,(AH396/AG396-1))</f>
        <v>-2.0042334984917587E-2</v>
      </c>
      <c r="AI398" s="2188">
        <f>IF(ISERROR(AI396/AH396-1),,(AI396/AH396-1))</f>
        <v>0.10797170614758178</v>
      </c>
      <c r="AJ398" s="2187"/>
      <c r="AK398" s="2188">
        <f>IF(ISERROR(AK396/AI396-1),,(AK396/AI396-1))</f>
        <v>-0.11614457370029818</v>
      </c>
      <c r="AL398" s="2188">
        <f>IF(ISERROR(AL396/AK396-1),,(AL396/AK396-1))</f>
        <v>0.16708048121373409</v>
      </c>
      <c r="AM398" s="2188">
        <f>IF(ISERROR(AM396/AL396-1),,(AM396/AL396-1))</f>
        <v>-3.7541579003044112E-2</v>
      </c>
      <c r="AN398" s="2188">
        <f>IF(ISERROR(AN396/AM396-1),,(AN396/AM396-1))</f>
        <v>0.14826158637113052</v>
      </c>
      <c r="AO398" s="2187"/>
      <c r="AP398" s="2188">
        <f>IF(ISERROR(AP396/AN396-1),,(AP396/AN396-1))</f>
        <v>-0.13940392702397464</v>
      </c>
      <c r="AQ398" s="2188">
        <f>IF(ISERROR(AQ396/AP396-1),,(AQ396/AP396-1))</f>
        <v>0.12502352693576158</v>
      </c>
      <c r="AR398" s="2188">
        <f>IF(ISERROR(AR396/AQ396-1),,(AR396/AQ396-1))</f>
        <v>-1.055676346107326E-2</v>
      </c>
      <c r="AS398" s="2188">
        <f>IF(ISERROR(AS396/AR396-1),,(AS396/AR396-1))</f>
        <v>4.3874169428300247E-2</v>
      </c>
      <c r="AT398" s="2187"/>
      <c r="AU398" s="2188">
        <f>IF(ISERROR(AU396/AS396-1),,(AU396/AS396-1))</f>
        <v>-0.13940392702397464</v>
      </c>
      <c r="AV398" s="2188">
        <f>IF(ISERROR(AV396/AU396-1),,(AV396/AU396-1))</f>
        <v>0.14752399747447686</v>
      </c>
      <c r="AW398" s="2188">
        <f>IF(ISERROR(AW396/AV396-1),,(AW396/AV396-1))</f>
        <v>-8.5633957343655975E-4</v>
      </c>
      <c r="AX398" s="2188">
        <f>IF(ISERROR(AX396/AW396-1),,(AX396/AW396-1))</f>
        <v>8.4412972124544794E-2</v>
      </c>
      <c r="AY398" s="2187"/>
      <c r="AZ398" s="2188"/>
      <c r="BA398" s="2188"/>
      <c r="BB398" s="2188"/>
      <c r="BC398" s="2188"/>
      <c r="BD398" s="2187"/>
      <c r="BE398" s="2188"/>
      <c r="BF398" s="2188"/>
      <c r="BG398" s="2188"/>
      <c r="BH398" s="2188"/>
      <c r="BI398" s="2942"/>
      <c r="BJ398" s="2943"/>
      <c r="BK398" s="2943"/>
      <c r="BL398" s="2943"/>
      <c r="BM398" s="2943"/>
      <c r="BN398" s="2942"/>
      <c r="BO398" s="2943"/>
      <c r="BP398" s="2943"/>
      <c r="BQ398" s="2943"/>
      <c r="BR398" s="2943"/>
      <c r="BS398" s="2943"/>
      <c r="BT398" s="2189"/>
      <c r="BU398" s="2187"/>
      <c r="BV398" s="2187"/>
      <c r="BW398" s="2187"/>
      <c r="BX398" s="2187"/>
      <c r="BY398" s="2187"/>
      <c r="BZ398" s="2187"/>
      <c r="CA398" s="2187"/>
    </row>
    <row r="399" spans="1:79" ht="8.25" customHeight="1" outlineLevel="1">
      <c r="A399" s="2120"/>
      <c r="B399" s="2168"/>
      <c r="C399" s="2168"/>
      <c r="D399" s="2168"/>
      <c r="E399" s="2168"/>
      <c r="F399" s="2215"/>
      <c r="G399" s="2168"/>
      <c r="H399" s="2168"/>
      <c r="I399" s="2168"/>
      <c r="J399" s="2168"/>
      <c r="K399" s="2215"/>
      <c r="L399" s="2168"/>
      <c r="M399" s="2168"/>
      <c r="N399" s="2168"/>
      <c r="O399" s="2168"/>
      <c r="P399" s="2215"/>
      <c r="Q399" s="2168"/>
      <c r="R399" s="2168"/>
      <c r="S399" s="2168"/>
      <c r="T399" s="2168"/>
      <c r="U399" s="2215"/>
      <c r="V399" s="2168"/>
      <c r="W399" s="2168"/>
      <c r="X399" s="2168"/>
      <c r="Y399" s="2168"/>
      <c r="Z399" s="2215"/>
      <c r="AA399" s="2168"/>
      <c r="AB399" s="2168"/>
      <c r="AC399" s="2168"/>
      <c r="AD399" s="2168"/>
      <c r="AE399" s="2215"/>
      <c r="AF399" s="2120"/>
      <c r="AG399" s="2120"/>
      <c r="AH399" s="2120"/>
      <c r="AI399" s="2120"/>
      <c r="AJ399" s="2215"/>
      <c r="AK399" s="2120"/>
      <c r="AL399" s="2120"/>
      <c r="AM399" s="2120"/>
      <c r="AN399" s="2120"/>
      <c r="AO399" s="2215"/>
      <c r="AP399" s="2120"/>
      <c r="AQ399" s="2120"/>
      <c r="AR399" s="2120"/>
      <c r="AS399" s="2120"/>
      <c r="AT399" s="2215"/>
      <c r="AU399" s="2120"/>
      <c r="AV399" s="2120"/>
      <c r="AW399" s="2120"/>
      <c r="AX399" s="2120"/>
      <c r="AY399" s="2215"/>
      <c r="AZ399" s="2120"/>
      <c r="BA399" s="2120"/>
      <c r="BB399" s="2120"/>
      <c r="BC399" s="2120"/>
      <c r="BD399" s="2215"/>
      <c r="BE399" s="2120"/>
      <c r="BF399" s="2120"/>
      <c r="BG399" s="2120"/>
      <c r="BH399" s="2120"/>
      <c r="BI399" s="2997"/>
      <c r="BJ399" s="2998"/>
      <c r="BK399" s="2998"/>
      <c r="BL399" s="2998"/>
      <c r="BM399" s="2998"/>
      <c r="BN399" s="2997"/>
      <c r="BT399" s="2120"/>
      <c r="BU399" s="2215"/>
      <c r="BV399" s="2215"/>
      <c r="BW399" s="2215"/>
      <c r="BX399" s="2215"/>
      <c r="BY399" s="2215"/>
      <c r="BZ399" s="2215"/>
      <c r="CA399" s="2215"/>
    </row>
    <row r="400" spans="1:79" outlineLevel="1">
      <c r="A400" s="2120" t="str">
        <f>A323</f>
        <v>Skype</v>
      </c>
      <c r="B400" s="2168"/>
      <c r="C400" s="2168"/>
      <c r="D400" s="2168"/>
      <c r="E400" s="2168"/>
      <c r="F400" s="2215"/>
      <c r="G400" s="2168"/>
      <c r="H400" s="2168"/>
      <c r="I400" s="2168"/>
      <c r="J400" s="2168"/>
      <c r="K400" s="2215"/>
      <c r="L400" s="2168"/>
      <c r="M400" s="2168"/>
      <c r="N400" s="2168"/>
      <c r="O400" s="2168"/>
      <c r="P400" s="2215"/>
      <c r="Q400" s="2168"/>
      <c r="R400" s="2168"/>
      <c r="S400" s="2168"/>
      <c r="T400" s="2168"/>
      <c r="U400" s="2215"/>
      <c r="V400" s="2168"/>
      <c r="W400" s="2168"/>
      <c r="X400" s="2168"/>
      <c r="Y400" s="2168"/>
      <c r="Z400" s="2215"/>
      <c r="AA400" s="2168"/>
      <c r="AB400" s="2168"/>
      <c r="AC400" s="2168"/>
      <c r="AD400" s="2168"/>
      <c r="AE400" s="2223">
        <f>AE323</f>
        <v>1614.0832887483357</v>
      </c>
      <c r="AF400" s="2144">
        <f>AF323</f>
        <v>750.26035868927192</v>
      </c>
      <c r="AG400" s="2144">
        <f>AG323</f>
        <v>1096.1969149144843</v>
      </c>
      <c r="AH400" s="2144">
        <f>AH323</f>
        <v>100</v>
      </c>
      <c r="AI400" s="2144">
        <f>AI323</f>
        <v>350</v>
      </c>
      <c r="AJ400" s="2223">
        <f>SUM(AF400:AI400)</f>
        <v>2296.4572736037562</v>
      </c>
      <c r="AK400" s="2144">
        <f>AK323</f>
        <v>100</v>
      </c>
      <c r="AL400" s="2144">
        <f>AL323</f>
        <v>275</v>
      </c>
      <c r="AM400" s="2144">
        <f>AM323</f>
        <v>110</v>
      </c>
      <c r="AN400" s="2144">
        <f>AN323</f>
        <v>98.293289473683217</v>
      </c>
      <c r="AO400" s="2223">
        <f>SUM(AK400:AN400)</f>
        <v>583.29328947368322</v>
      </c>
      <c r="AP400" s="2144">
        <f>AP323</f>
        <v>218.67899999999952</v>
      </c>
      <c r="AQ400" s="2144">
        <f>AQ323</f>
        <v>351.07235180494172</v>
      </c>
      <c r="AR400" s="2144">
        <f>AR323</f>
        <v>278.48718636363628</v>
      </c>
      <c r="AS400" s="2144">
        <f>AS323</f>
        <v>364.31189736841952</v>
      </c>
      <c r="AT400" s="2223">
        <f>SUM(AP400:AS400)</f>
        <v>1212.5504355369972</v>
      </c>
      <c r="AU400" s="2144">
        <f>AP400*(1+AU401)</f>
        <v>214.30541999999951</v>
      </c>
      <c r="AV400" s="2144">
        <f>AQ400*(1+AV401)</f>
        <v>345.80626652786759</v>
      </c>
      <c r="AW400" s="2144">
        <f>AR400*(1+AW401)</f>
        <v>278.48718636363628</v>
      </c>
      <c r="AX400" s="2144">
        <f>AS400*(1+AX401)</f>
        <v>371.59813531578794</v>
      </c>
      <c r="AY400" s="2223">
        <f>SUM(AU400:AX400)</f>
        <v>1210.1970082072912</v>
      </c>
      <c r="AZ400" s="2144"/>
      <c r="BA400" s="2144"/>
      <c r="BB400" s="2144"/>
      <c r="BC400" s="2144"/>
      <c r="BD400" s="2223"/>
      <c r="BE400" s="2144"/>
      <c r="BF400" s="2144"/>
      <c r="BG400" s="2144"/>
      <c r="BH400" s="2144"/>
      <c r="BI400" s="2958"/>
      <c r="BJ400" s="2959"/>
      <c r="BK400" s="2959"/>
      <c r="BL400" s="2959"/>
      <c r="BM400" s="2959"/>
      <c r="BN400" s="2958"/>
      <c r="BO400" s="2960"/>
      <c r="BP400" s="2960"/>
      <c r="BQ400" s="2960"/>
      <c r="BR400" s="2960"/>
      <c r="BS400" s="2960"/>
      <c r="BT400" s="2120"/>
      <c r="BU400" s="2223"/>
      <c r="BV400" s="2223"/>
      <c r="BW400" s="2223">
        <f>SUM(AM400:AN400,AP400:AQ400)</f>
        <v>778.04464127862445</v>
      </c>
      <c r="BX400" s="2223">
        <f>SUM(AR400:AS400,AU400:AV400)</f>
        <v>1202.9107702599229</v>
      </c>
      <c r="BY400" s="2223">
        <f>SUM(AW400:AX400,AZ400:BA400)</f>
        <v>650.08532167942417</v>
      </c>
      <c r="BZ400" s="2223">
        <f>SUM(BB400:BC400,BE400:BF400)</f>
        <v>0</v>
      </c>
      <c r="CA400" s="2223"/>
    </row>
    <row r="401" spans="1:81" s="1022" customFormat="1" outlineLevel="1">
      <c r="A401" s="2184" t="s">
        <v>926</v>
      </c>
      <c r="B401" s="2185"/>
      <c r="C401" s="2185"/>
      <c r="D401" s="2185"/>
      <c r="E401" s="2185"/>
      <c r="F401" s="2186"/>
      <c r="G401" s="2185"/>
      <c r="H401" s="2185"/>
      <c r="I401" s="2185"/>
      <c r="J401" s="2185"/>
      <c r="K401" s="2186"/>
      <c r="L401" s="2185"/>
      <c r="M401" s="2185"/>
      <c r="N401" s="2185"/>
      <c r="O401" s="2185"/>
      <c r="P401" s="2186"/>
      <c r="Q401" s="2185"/>
      <c r="R401" s="2185"/>
      <c r="S401" s="2185"/>
      <c r="T401" s="2185"/>
      <c r="U401" s="2186"/>
      <c r="V401" s="2185"/>
      <c r="W401" s="2185"/>
      <c r="X401" s="2185"/>
      <c r="Y401" s="2185"/>
      <c r="Z401" s="2186"/>
      <c r="AA401" s="2185"/>
      <c r="AB401" s="2185"/>
      <c r="AC401" s="2185"/>
      <c r="AD401" s="2185"/>
      <c r="AE401" s="2186"/>
      <c r="AF401" s="2148"/>
      <c r="AG401" s="2185"/>
      <c r="AH401" s="2185"/>
      <c r="AI401" s="2185"/>
      <c r="AJ401" s="2187">
        <f t="shared" ref="AJ401:AS401" si="223">IF(ISERROR(AJ400/AE400-1),,(AJ400/AE400-1))</f>
        <v>0.42276256102284382</v>
      </c>
      <c r="AK401" s="2188">
        <f t="shared" si="223"/>
        <v>-0.86671293659350057</v>
      </c>
      <c r="AL401" s="2188">
        <f t="shared" si="223"/>
        <v>-0.74913266379567123</v>
      </c>
      <c r="AM401" s="2188">
        <f t="shared" si="223"/>
        <v>0.10000000000000009</v>
      </c>
      <c r="AN401" s="2188">
        <f t="shared" si="223"/>
        <v>-0.71916203007519086</v>
      </c>
      <c r="AO401" s="2187">
        <f t="shared" si="223"/>
        <v>-0.74600298634847229</v>
      </c>
      <c r="AP401" s="2188">
        <f t="shared" si="223"/>
        <v>1.1867899999999953</v>
      </c>
      <c r="AQ401" s="2188">
        <f t="shared" si="223"/>
        <v>0.27662673383615166</v>
      </c>
      <c r="AR401" s="2188">
        <f t="shared" si="223"/>
        <v>1.5317016942148753</v>
      </c>
      <c r="AS401" s="2188">
        <f t="shared" si="223"/>
        <v>2.7063760844626064</v>
      </c>
      <c r="AT401" s="2187">
        <f>IF(ISERROR(AT400/AO400-1),,(AT400/AO400-1))</f>
        <v>1.0788005921191117</v>
      </c>
      <c r="AU401" s="2188">
        <v>-0.02</v>
      </c>
      <c r="AV401" s="2188">
        <v>-1.4999999999999999E-2</v>
      </c>
      <c r="AW401" s="2202">
        <v>0</v>
      </c>
      <c r="AX401" s="2188">
        <v>0.02</v>
      </c>
      <c r="AY401" s="2187">
        <f>IF(ISERROR(AY400/AT400-1),,(AY400/AT400-1))</f>
        <v>-1.9408902596811384E-3</v>
      </c>
      <c r="AZ401" s="2202"/>
      <c r="BA401" s="2202"/>
      <c r="BB401" s="2202"/>
      <c r="BC401" s="2202"/>
      <c r="BD401" s="2187"/>
      <c r="BE401" s="2202"/>
      <c r="BF401" s="2202"/>
      <c r="BG401" s="2202"/>
      <c r="BH401" s="2202"/>
      <c r="BI401" s="2942"/>
      <c r="BJ401" s="2947"/>
      <c r="BK401" s="2947"/>
      <c r="BL401" s="2947"/>
      <c r="BM401" s="2947"/>
      <c r="BN401" s="2942"/>
      <c r="BO401" s="2943"/>
      <c r="BP401" s="2943"/>
      <c r="BQ401" s="2943"/>
      <c r="BR401" s="2943"/>
      <c r="BS401" s="2943"/>
      <c r="BT401" s="2189"/>
      <c r="BU401" s="2187"/>
      <c r="BV401" s="2187"/>
      <c r="BW401" s="2187"/>
      <c r="BX401" s="2187"/>
      <c r="BY401" s="2187"/>
      <c r="BZ401" s="2187"/>
      <c r="CA401" s="2187"/>
    </row>
    <row r="402" spans="1:81" s="1022" customFormat="1" outlineLevel="1">
      <c r="A402" s="2184" t="s">
        <v>952</v>
      </c>
      <c r="B402" s="2185"/>
      <c r="C402" s="2185"/>
      <c r="D402" s="2185"/>
      <c r="E402" s="2185"/>
      <c r="F402" s="2186"/>
      <c r="G402" s="2185"/>
      <c r="H402" s="2185"/>
      <c r="I402" s="2185"/>
      <c r="J402" s="2185"/>
      <c r="K402" s="2186"/>
      <c r="L402" s="2185"/>
      <c r="M402" s="2185"/>
      <c r="N402" s="2185"/>
      <c r="O402" s="2185"/>
      <c r="P402" s="2186"/>
      <c r="Q402" s="2185"/>
      <c r="R402" s="2185"/>
      <c r="S402" s="2185"/>
      <c r="T402" s="2185"/>
      <c r="U402" s="2186"/>
      <c r="V402" s="2185"/>
      <c r="W402" s="2185"/>
      <c r="X402" s="2185"/>
      <c r="Y402" s="2185"/>
      <c r="Z402" s="2186"/>
      <c r="AA402" s="2185"/>
      <c r="AB402" s="2185"/>
      <c r="AC402" s="2185"/>
      <c r="AD402" s="2185"/>
      <c r="AE402" s="2186"/>
      <c r="AF402" s="2148"/>
      <c r="AG402" s="2188">
        <f>IF(ISERROR(AG400/AF400-1),,(AG400/AF400-1))</f>
        <v>0.46108867704215939</v>
      </c>
      <c r="AH402" s="2188">
        <f>IF(ISERROR(AH400/AG400-1),,(AH400/AG400-1))</f>
        <v>-0.90877551410751678</v>
      </c>
      <c r="AI402" s="2188">
        <f>IF(ISERROR(AI400/AH400-1),,(AI400/AH400-1))</f>
        <v>2.5</v>
      </c>
      <c r="AJ402" s="2187"/>
      <c r="AK402" s="2188">
        <f>IF(ISERROR(AK400/AI400-1),,(AK400/AI400-1))</f>
        <v>-0.7142857142857143</v>
      </c>
      <c r="AL402" s="2188">
        <f>IF(ISERROR(AL400/AK400-1),,(AL400/AK400-1))</f>
        <v>1.75</v>
      </c>
      <c r="AM402" s="2188">
        <f>IF(ISERROR(AM400/AL400-1),,(AM400/AL400-1))</f>
        <v>-0.6</v>
      </c>
      <c r="AN402" s="2188">
        <f>IF(ISERROR(AN400/AM400-1),,(AN400/AM400-1))</f>
        <v>-0.10642464114833439</v>
      </c>
      <c r="AO402" s="2187"/>
      <c r="AP402" s="2188">
        <f>IF(ISERROR(AP400/AN400-1),,(AP400/AN400-1))</f>
        <v>1.2247602168055232</v>
      </c>
      <c r="AQ402" s="2188">
        <f>IF(ISERROR(AQ400/AP400-1),,(AQ400/AP400-1))</f>
        <v>0.60542325419881426</v>
      </c>
      <c r="AR402" s="2188">
        <f>IF(ISERROR(AR400/AQ400-1),,(AR400/AQ400-1))</f>
        <v>-0.20675272509535092</v>
      </c>
      <c r="AS402" s="2188">
        <f>IF(ISERROR(AS400/AR400-1),,(AS400/AR400-1))</f>
        <v>0.30818190282089719</v>
      </c>
      <c r="AT402" s="2187"/>
      <c r="AU402" s="2188">
        <f>IF(ISERROR(AU400/AS400-1),,(AU400/AS400-1))</f>
        <v>-0.41175289210146826</v>
      </c>
      <c r="AV402" s="2188">
        <f>IF(ISERROR(AV400/AU400-1),,(AV400/AU400-1))</f>
        <v>0.6136141891692164</v>
      </c>
      <c r="AW402" s="2188">
        <f>IF(ISERROR(AW400/AV400-1),,(AW400/AV400-1))</f>
        <v>-0.1946728173556862</v>
      </c>
      <c r="AX402" s="2188">
        <f>IF(ISERROR(AX400/AW400-1),,(AX400/AW400-1))</f>
        <v>0.33434554087731527</v>
      </c>
      <c r="AY402" s="2187"/>
      <c r="AZ402" s="2188"/>
      <c r="BA402" s="2188"/>
      <c r="BB402" s="2188"/>
      <c r="BC402" s="2188"/>
      <c r="BD402" s="2187"/>
      <c r="BE402" s="2188"/>
      <c r="BF402" s="2188"/>
      <c r="BG402" s="2188"/>
      <c r="BH402" s="2188"/>
      <c r="BI402" s="2942"/>
      <c r="BJ402" s="2943"/>
      <c r="BK402" s="2943"/>
      <c r="BL402" s="2943"/>
      <c r="BM402" s="2943"/>
      <c r="BN402" s="2942"/>
      <c r="BO402" s="2943"/>
      <c r="BP402" s="2943"/>
      <c r="BQ402" s="2943"/>
      <c r="BR402" s="2943"/>
      <c r="BS402" s="2943"/>
      <c r="BT402" s="2189"/>
      <c r="BU402" s="2187"/>
      <c r="BV402" s="2187"/>
      <c r="BW402" s="2187"/>
      <c r="BX402" s="2187"/>
      <c r="BY402" s="2187"/>
      <c r="BZ402" s="2187"/>
      <c r="CA402" s="2187"/>
    </row>
    <row r="403" spans="1:81" ht="8.25" customHeight="1" outlineLevel="1">
      <c r="A403" s="2120"/>
      <c r="B403" s="2168"/>
      <c r="C403" s="2168"/>
      <c r="D403" s="2168"/>
      <c r="E403" s="2168"/>
      <c r="F403" s="2215"/>
      <c r="G403" s="2168"/>
      <c r="H403" s="2168"/>
      <c r="I403" s="2168"/>
      <c r="J403" s="2168"/>
      <c r="K403" s="2215"/>
      <c r="L403" s="2168"/>
      <c r="M403" s="2168"/>
      <c r="N403" s="2168"/>
      <c r="O403" s="2168"/>
      <c r="P403" s="2215"/>
      <c r="Q403" s="2168"/>
      <c r="R403" s="2168"/>
      <c r="S403" s="2168"/>
      <c r="T403" s="2168"/>
      <c r="U403" s="2215"/>
      <c r="V403" s="2168"/>
      <c r="W403" s="2168"/>
      <c r="X403" s="2168"/>
      <c r="Y403" s="2168"/>
      <c r="Z403" s="2215"/>
      <c r="AA403" s="2168"/>
      <c r="AB403" s="2168"/>
      <c r="AC403" s="2168"/>
      <c r="AD403" s="2168"/>
      <c r="AE403" s="2215"/>
      <c r="AF403" s="2120"/>
      <c r="AG403" s="2120"/>
      <c r="AH403" s="2120"/>
      <c r="AI403" s="2120"/>
      <c r="AJ403" s="2215"/>
      <c r="AK403" s="2120"/>
      <c r="AL403" s="2120"/>
      <c r="AM403" s="2120"/>
      <c r="AN403" s="2120"/>
      <c r="AO403" s="2215"/>
      <c r="AP403" s="2120"/>
      <c r="AQ403" s="2120"/>
      <c r="AR403" s="2120"/>
      <c r="AS403" s="2120"/>
      <c r="AT403" s="2215"/>
      <c r="AU403" s="2120"/>
      <c r="AV403" s="2120"/>
      <c r="AW403" s="2120"/>
      <c r="AX403" s="2120"/>
      <c r="AY403" s="2215"/>
      <c r="AZ403" s="2120"/>
      <c r="BA403" s="2120"/>
      <c r="BB403" s="2120"/>
      <c r="BC403" s="2120"/>
      <c r="BD403" s="2215"/>
      <c r="BE403" s="2120"/>
      <c r="BF403" s="2120"/>
      <c r="BG403" s="2120"/>
      <c r="BH403" s="2120"/>
      <c r="BI403" s="2997"/>
      <c r="BJ403" s="2998"/>
      <c r="BK403" s="2998"/>
      <c r="BL403" s="2998"/>
      <c r="BM403" s="2998"/>
      <c r="BN403" s="2997"/>
      <c r="BT403" s="2120"/>
      <c r="BU403" s="2215"/>
      <c r="BV403" s="2215"/>
      <c r="BW403" s="2215"/>
      <c r="BX403" s="2215"/>
      <c r="BY403" s="2215"/>
      <c r="BZ403" s="2215"/>
      <c r="CA403" s="2215"/>
    </row>
    <row r="404" spans="1:81" outlineLevel="1">
      <c r="A404" s="2120" t="str">
        <f>A324</f>
        <v>Office Business (+ Dynamics and Unified Communications)</v>
      </c>
      <c r="B404" s="2168"/>
      <c r="C404" s="2168"/>
      <c r="D404" s="2168"/>
      <c r="E404" s="2168"/>
      <c r="F404" s="2215"/>
      <c r="G404" s="2168"/>
      <c r="H404" s="2168"/>
      <c r="I404" s="2168"/>
      <c r="J404" s="2168"/>
      <c r="K404" s="2215"/>
      <c r="L404" s="2168"/>
      <c r="M404" s="2168"/>
      <c r="N404" s="2168"/>
      <c r="O404" s="2168"/>
      <c r="P404" s="2215"/>
      <c r="Q404" s="2168"/>
      <c r="R404" s="2168"/>
      <c r="S404" s="2168"/>
      <c r="T404" s="2168"/>
      <c r="U404" s="2215"/>
      <c r="V404" s="2168"/>
      <c r="W404" s="2168"/>
      <c r="X404" s="2168"/>
      <c r="Y404" s="2168"/>
      <c r="Z404" s="2215"/>
      <c r="AA404" s="2168"/>
      <c r="AB404" s="2168"/>
      <c r="AC404" s="2168"/>
      <c r="AD404" s="2168"/>
      <c r="AE404" s="2223">
        <f>AE324</f>
        <v>18482.804369714591</v>
      </c>
      <c r="AF404" s="2144">
        <f>AF324</f>
        <v>4090.319998453585</v>
      </c>
      <c r="AG404" s="2144">
        <f>AG324</f>
        <v>4890.6334422283726</v>
      </c>
      <c r="AH404" s="2144">
        <f>AH324</f>
        <v>5106.9545454545441</v>
      </c>
      <c r="AI404" s="2144">
        <f>AI324</f>
        <v>5153.0789473684199</v>
      </c>
      <c r="AJ404" s="2223">
        <f>SUM(AF404:AI404)</f>
        <v>19240.986933504922</v>
      </c>
      <c r="AK404" s="2144">
        <f>AK324</f>
        <v>4966.0499999999993</v>
      </c>
      <c r="AL404" s="2144">
        <f>AL324</f>
        <v>5110.7119471286487</v>
      </c>
      <c r="AM404" s="2144">
        <f>AM324</f>
        <v>5387.8370454545438</v>
      </c>
      <c r="AN404" s="2144">
        <f>AN324</f>
        <v>5333.4367105263145</v>
      </c>
      <c r="AO404" s="2223">
        <f>SUM(AK404:AN404)</f>
        <v>20798.035703109508</v>
      </c>
      <c r="AP404" s="2144">
        <f>AP324</f>
        <v>4618.4264999999996</v>
      </c>
      <c r="AQ404" s="2144">
        <f>AQ324</f>
        <v>4471.8729537375675</v>
      </c>
      <c r="AR404" s="2144">
        <f>AR324</f>
        <v>4525.7831181818165</v>
      </c>
      <c r="AS404" s="2144">
        <f>AS324</f>
        <v>4373.4181026315782</v>
      </c>
      <c r="AT404" s="2223">
        <f>SUM(AP404:AS404)</f>
        <v>17989.50067455096</v>
      </c>
      <c r="AU404" s="2144">
        <f>AP404*(1+AU405)</f>
        <v>3925.6625249999997</v>
      </c>
      <c r="AV404" s="2144">
        <f>AQ404*(1+AV405)</f>
        <v>3801.0920106769322</v>
      </c>
      <c r="AW404" s="2144">
        <f>AR404*(1+AW405)</f>
        <v>3982.6891439999986</v>
      </c>
      <c r="AX404" s="2144">
        <f>AS404*(1+AX405)</f>
        <v>3848.607930315789</v>
      </c>
      <c r="AY404" s="2223">
        <f>SUM(AU404:AX404)</f>
        <v>15558.051609992719</v>
      </c>
      <c r="AZ404" s="2144"/>
      <c r="BA404" s="2144"/>
      <c r="BB404" s="2144"/>
      <c r="BC404" s="2144"/>
      <c r="BD404" s="2223"/>
      <c r="BE404" s="2144"/>
      <c r="BF404" s="2144"/>
      <c r="BG404" s="2144"/>
      <c r="BH404" s="2144"/>
      <c r="BI404" s="2958"/>
      <c r="BJ404" s="2959"/>
      <c r="BK404" s="2959"/>
      <c r="BL404" s="2959"/>
      <c r="BM404" s="2959"/>
      <c r="BN404" s="2958"/>
      <c r="BO404" s="2960"/>
      <c r="BP404" s="2960"/>
      <c r="BQ404" s="2960"/>
      <c r="BR404" s="2960"/>
      <c r="BS404" s="2960"/>
      <c r="BT404" s="2120"/>
      <c r="BU404" s="2223"/>
      <c r="BV404" s="2223"/>
      <c r="BW404" s="2223">
        <f>SUM(AM404:AN404,AP404:AQ404)</f>
        <v>19811.573209718426</v>
      </c>
      <c r="BX404" s="2223">
        <f>SUM(AR404:AS404,AU404:AV404)</f>
        <v>16625.955756490326</v>
      </c>
      <c r="BY404" s="2223">
        <f>SUM(AW404:AX404,AZ404:BA404)</f>
        <v>7831.2970743157875</v>
      </c>
      <c r="BZ404" s="2223">
        <f>SUM(BB404:BC404,BE404:BF404)</f>
        <v>0</v>
      </c>
      <c r="CA404" s="2223"/>
    </row>
    <row r="405" spans="1:81" s="1022" customFormat="1" outlineLevel="1">
      <c r="A405" s="2184" t="s">
        <v>926</v>
      </c>
      <c r="B405" s="2185"/>
      <c r="C405" s="2185"/>
      <c r="D405" s="2185"/>
      <c r="E405" s="2185"/>
      <c r="F405" s="2186"/>
      <c r="G405" s="2185"/>
      <c r="H405" s="2185"/>
      <c r="I405" s="2185"/>
      <c r="J405" s="2185"/>
      <c r="K405" s="2186"/>
      <c r="L405" s="2185"/>
      <c r="M405" s="2185"/>
      <c r="N405" s="2185"/>
      <c r="O405" s="2185"/>
      <c r="P405" s="2186"/>
      <c r="Q405" s="2185"/>
      <c r="R405" s="2185"/>
      <c r="S405" s="2185"/>
      <c r="T405" s="2185"/>
      <c r="U405" s="2186"/>
      <c r="V405" s="2185"/>
      <c r="W405" s="2185"/>
      <c r="X405" s="2185"/>
      <c r="Y405" s="2185"/>
      <c r="Z405" s="2186"/>
      <c r="AA405" s="2185"/>
      <c r="AB405" s="2185"/>
      <c r="AC405" s="2185"/>
      <c r="AD405" s="2185"/>
      <c r="AE405" s="2186"/>
      <c r="AF405" s="2148"/>
      <c r="AG405" s="2185"/>
      <c r="AH405" s="2185"/>
      <c r="AI405" s="2185"/>
      <c r="AJ405" s="2187">
        <f t="shared" ref="AJ405:AS405" si="224">IF(ISERROR(AJ404/AE404-1),,(AJ404/AE404-1))</f>
        <v>4.1020970012141111E-2</v>
      </c>
      <c r="AK405" s="2188">
        <f t="shared" si="224"/>
        <v>0.21409816392788317</v>
      </c>
      <c r="AL405" s="2188">
        <f t="shared" si="224"/>
        <v>4.4999999999999929E-2</v>
      </c>
      <c r="AM405" s="2188">
        <f t="shared" si="224"/>
        <v>5.4999999999999938E-2</v>
      </c>
      <c r="AN405" s="2188">
        <f t="shared" si="224"/>
        <v>3.499999999999992E-2</v>
      </c>
      <c r="AO405" s="2187">
        <f t="shared" si="224"/>
        <v>8.0923539680454182E-2</v>
      </c>
      <c r="AP405" s="2188">
        <f t="shared" si="224"/>
        <v>-6.9999999999999951E-2</v>
      </c>
      <c r="AQ405" s="2188">
        <f t="shared" si="224"/>
        <v>-0.125</v>
      </c>
      <c r="AR405" s="2188">
        <f t="shared" si="224"/>
        <v>-0.16000000000000003</v>
      </c>
      <c r="AS405" s="2188">
        <f t="shared" si="224"/>
        <v>-0.17999999999999994</v>
      </c>
      <c r="AT405" s="2187">
        <f>IF(ISERROR(AT404/AO404-1),,(AT404/AO404-1))</f>
        <v>-0.13503847520266754</v>
      </c>
      <c r="AU405" s="2188">
        <v>-0.15</v>
      </c>
      <c r="AV405" s="2188">
        <v>-0.15</v>
      </c>
      <c r="AW405" s="2202">
        <v>-0.12</v>
      </c>
      <c r="AX405" s="2188">
        <v>-0.12</v>
      </c>
      <c r="AY405" s="2187">
        <f>IF(ISERROR(AY404/AT404-1),,(AY404/AT404-1))</f>
        <v>-0.13515934147065667</v>
      </c>
      <c r="AZ405" s="2202"/>
      <c r="BA405" s="2202"/>
      <c r="BB405" s="2202"/>
      <c r="BC405" s="2202"/>
      <c r="BD405" s="2187"/>
      <c r="BE405" s="2202"/>
      <c r="BF405" s="2202"/>
      <c r="BG405" s="2202"/>
      <c r="BH405" s="2202"/>
      <c r="BI405" s="2942"/>
      <c r="BJ405" s="2947"/>
      <c r="BK405" s="2947"/>
      <c r="BL405" s="2947"/>
      <c r="BM405" s="2947"/>
      <c r="BN405" s="2942"/>
      <c r="BO405" s="2943"/>
      <c r="BP405" s="2943"/>
      <c r="BQ405" s="2943"/>
      <c r="BR405" s="2943"/>
      <c r="BS405" s="2943"/>
      <c r="BT405" s="2189"/>
      <c r="BU405" s="2187"/>
      <c r="BV405" s="2187"/>
      <c r="BW405" s="2187"/>
      <c r="BX405" s="2187"/>
      <c r="BY405" s="2187"/>
      <c r="BZ405" s="2187"/>
      <c r="CA405" s="2187"/>
    </row>
    <row r="406" spans="1:81" s="1022" customFormat="1" outlineLevel="1">
      <c r="A406" s="2184" t="s">
        <v>952</v>
      </c>
      <c r="B406" s="2185"/>
      <c r="C406" s="2185"/>
      <c r="D406" s="2185"/>
      <c r="E406" s="2185"/>
      <c r="F406" s="2186"/>
      <c r="G406" s="2185"/>
      <c r="H406" s="2185"/>
      <c r="I406" s="2185"/>
      <c r="J406" s="2185"/>
      <c r="K406" s="2186"/>
      <c r="L406" s="2185"/>
      <c r="M406" s="2185"/>
      <c r="N406" s="2185"/>
      <c r="O406" s="2185"/>
      <c r="P406" s="2186"/>
      <c r="Q406" s="2185"/>
      <c r="R406" s="2185"/>
      <c r="S406" s="2185"/>
      <c r="T406" s="2185"/>
      <c r="U406" s="2186"/>
      <c r="V406" s="2185"/>
      <c r="W406" s="2185"/>
      <c r="X406" s="2185"/>
      <c r="Y406" s="2185"/>
      <c r="Z406" s="2186"/>
      <c r="AA406" s="2185"/>
      <c r="AB406" s="2185"/>
      <c r="AC406" s="2185"/>
      <c r="AD406" s="2185"/>
      <c r="AE406" s="2186"/>
      <c r="AF406" s="2148"/>
      <c r="AG406" s="2188">
        <f>IF(ISERROR(AG404/AF404-1),,(AG404/AF404-1))</f>
        <v>0.1956603503093548</v>
      </c>
      <c r="AH406" s="2188">
        <f>IF(ISERROR(AH404/AG404-1),,(AH404/AG404-1))</f>
        <v>4.4231714721929105E-2</v>
      </c>
      <c r="AI406" s="2188">
        <f>IF(ISERROR(AI404/AH404-1),,(AI404/AH404-1))</f>
        <v>9.0316844419398024E-3</v>
      </c>
      <c r="AJ406" s="2187"/>
      <c r="AK406" s="2188">
        <f>IF(ISERROR(AK404/AI404-1),,(AK404/AI404-1))</f>
        <v>-3.6294601592302911E-2</v>
      </c>
      <c r="AL406" s="2188">
        <f>IF(ISERROR(AL404/AK404-1),,(AL404/AK404-1))</f>
        <v>2.9130183370817742E-2</v>
      </c>
      <c r="AM406" s="2188">
        <f>IF(ISERROR(AM404/AL404-1),,(AM404/AL404-1))</f>
        <v>5.422436270969877E-2</v>
      </c>
      <c r="AN406" s="2188">
        <f>IF(ISERROR(AN404/AM404-1),,(AN404/AM404-1))</f>
        <v>-1.0096878296295908E-2</v>
      </c>
      <c r="AO406" s="2187"/>
      <c r="AP406" s="2188">
        <f>IF(ISERROR(AP404/AN404-1),,(AP404/AN404-1))</f>
        <v>-0.13406181592351851</v>
      </c>
      <c r="AQ406" s="2188">
        <f>IF(ISERROR(AQ404/AP404-1),,(AQ404/AP404-1))</f>
        <v>-3.1732354355413439E-2</v>
      </c>
      <c r="AR406" s="2188">
        <f>IF(ISERROR(AR404/AQ404-1),,(AR404/AQ404-1))</f>
        <v>1.2055388201310802E-2</v>
      </c>
      <c r="AS406" s="2188">
        <f>IF(ISERROR(AS404/AR404-1),,(AS404/AR404-1))</f>
        <v>-3.366600024162214E-2</v>
      </c>
      <c r="AT406" s="2187"/>
      <c r="AU406" s="2188">
        <f>IF(ISERROR(AU404/AS404-1),,(AU404/AS404-1))</f>
        <v>-0.10238115065242781</v>
      </c>
      <c r="AV406" s="2188">
        <f>IF(ISERROR(AV404/AU404-1),,(AV404/AU404-1))</f>
        <v>-3.173235435541355E-2</v>
      </c>
      <c r="AW406" s="2188">
        <f>IF(ISERROR(AW404/AV404-1),,(AW404/AV404-1))</f>
        <v>4.7774990137827711E-2</v>
      </c>
      <c r="AX406" s="2188">
        <f>IF(ISERROR(AX404/AW404-1),,(AX404/AW404-1))</f>
        <v>-3.366600024162214E-2</v>
      </c>
      <c r="AY406" s="2187"/>
      <c r="AZ406" s="2188"/>
      <c r="BA406" s="2188"/>
      <c r="BB406" s="2188"/>
      <c r="BC406" s="2188"/>
      <c r="BD406" s="2187"/>
      <c r="BE406" s="2188"/>
      <c r="BF406" s="2188"/>
      <c r="BG406" s="2188"/>
      <c r="BH406" s="2188"/>
      <c r="BI406" s="2942"/>
      <c r="BJ406" s="2943"/>
      <c r="BK406" s="2943"/>
      <c r="BL406" s="2943"/>
      <c r="BM406" s="2943"/>
      <c r="BN406" s="2942"/>
      <c r="BO406" s="2943"/>
      <c r="BP406" s="2943"/>
      <c r="BQ406" s="2943"/>
      <c r="BR406" s="2943"/>
      <c r="BS406" s="2943"/>
      <c r="BT406" s="2189"/>
      <c r="BU406" s="2187"/>
      <c r="BV406" s="2187"/>
      <c r="BW406" s="2187"/>
      <c r="BX406" s="2187"/>
      <c r="BY406" s="2187"/>
      <c r="BZ406" s="2187"/>
      <c r="CA406" s="2187"/>
    </row>
    <row r="407" spans="1:81" ht="8.25" customHeight="1" outlineLevel="1" thickBot="1">
      <c r="A407" s="2120"/>
      <c r="B407" s="2168"/>
      <c r="C407" s="2168"/>
      <c r="D407" s="2168"/>
      <c r="E407" s="2168"/>
      <c r="F407" s="2215"/>
      <c r="G407" s="2168"/>
      <c r="H407" s="2168"/>
      <c r="I407" s="2168"/>
      <c r="J407" s="2168"/>
      <c r="K407" s="2215"/>
      <c r="L407" s="2168"/>
      <c r="M407" s="2168"/>
      <c r="N407" s="2168"/>
      <c r="O407" s="2168"/>
      <c r="P407" s="2215"/>
      <c r="Q407" s="2168"/>
      <c r="R407" s="2168"/>
      <c r="S407" s="2168"/>
      <c r="T407" s="2168"/>
      <c r="U407" s="2215"/>
      <c r="V407" s="2168"/>
      <c r="W407" s="2168"/>
      <c r="X407" s="2168"/>
      <c r="Y407" s="2168"/>
      <c r="Z407" s="2215"/>
      <c r="AA407" s="2168"/>
      <c r="AB407" s="2168"/>
      <c r="AC407" s="2168"/>
      <c r="AD407" s="2168"/>
      <c r="AE407" s="2215"/>
      <c r="AF407" s="2120"/>
      <c r="AG407" s="2120"/>
      <c r="AH407" s="2120"/>
      <c r="AI407" s="2120"/>
      <c r="AJ407" s="2215"/>
      <c r="AK407" s="2120"/>
      <c r="AL407" s="2120"/>
      <c r="AM407" s="2120"/>
      <c r="AN407" s="2120"/>
      <c r="AO407" s="2215"/>
      <c r="AP407" s="2120"/>
      <c r="AQ407" s="2120"/>
      <c r="AR407" s="2120"/>
      <c r="AS407" s="2120"/>
      <c r="AT407" s="2215"/>
      <c r="AU407" s="2120"/>
      <c r="AV407" s="2120"/>
      <c r="AW407" s="2120"/>
      <c r="AX407" s="2120"/>
      <c r="AY407" s="2215"/>
      <c r="AZ407" s="2120"/>
      <c r="BA407" s="2120"/>
      <c r="BB407" s="2120"/>
      <c r="BC407" s="2120"/>
      <c r="BD407" s="2215"/>
      <c r="BE407" s="2120"/>
      <c r="BF407" s="2120"/>
      <c r="BG407" s="2120"/>
      <c r="BH407" s="2120"/>
      <c r="BI407" s="2997"/>
      <c r="BJ407" s="2998"/>
      <c r="BK407" s="2998"/>
      <c r="BL407" s="2998"/>
      <c r="BM407" s="2998"/>
      <c r="BN407" s="2997"/>
      <c r="BT407" s="2120"/>
      <c r="BU407" s="2215"/>
      <c r="BV407" s="2215"/>
      <c r="BW407" s="2215"/>
      <c r="BX407" s="2215"/>
      <c r="BY407" s="2215"/>
      <c r="BZ407" s="2215"/>
      <c r="CA407" s="2215"/>
    </row>
    <row r="408" spans="1:81" s="1011" customFormat="1" ht="13.5" outlineLevel="1" thickBot="1">
      <c r="A408" s="2206" t="s">
        <v>974</v>
      </c>
      <c r="B408" s="2207">
        <f>B233+B236+B239+B246+B249+B383</f>
        <v>0</v>
      </c>
      <c r="C408" s="2207">
        <f>C233+C236+C239+C246+C249+C383</f>
        <v>0</v>
      </c>
      <c r="D408" s="2207">
        <f>D233+D236+D239+D246+D249+D383</f>
        <v>0</v>
      </c>
      <c r="E408" s="2207">
        <f>E233+E236+E239+E246+E249+E383</f>
        <v>0</v>
      </c>
      <c r="F408" s="2208">
        <f>SUM(B408:E408)</f>
        <v>0</v>
      </c>
      <c r="G408" s="2207">
        <f>G233+G236+G239+G246+G249+G383</f>
        <v>0</v>
      </c>
      <c r="H408" s="2207">
        <f>H233+H236+H239+H246+H249+H383</f>
        <v>0</v>
      </c>
      <c r="I408" s="2207">
        <f>I233+I236+I239+I246+I249+I383</f>
        <v>0</v>
      </c>
      <c r="J408" s="2207">
        <f>J233+J236+J239+J246+J249+J383</f>
        <v>0</v>
      </c>
      <c r="K408" s="2208">
        <f>SUM(G408:J408)</f>
        <v>0</v>
      </c>
      <c r="L408" s="2207">
        <f>L233+L236+L239+L246+L249+L383</f>
        <v>0</v>
      </c>
      <c r="M408" s="2207">
        <f>M233+M236+M239+M246+M249+M383</f>
        <v>0</v>
      </c>
      <c r="N408" s="2207">
        <f>N233+N236+N239+N246+N249+N383</f>
        <v>0</v>
      </c>
      <c r="O408" s="2207">
        <f>O233+O236+O239+O246+O249+O383</f>
        <v>0</v>
      </c>
      <c r="P408" s="2208">
        <f>SUM(L408:O408)</f>
        <v>0</v>
      </c>
      <c r="Q408" s="2207">
        <f>Q233+Q236+Q239+Q246+Q249+Q383</f>
        <v>0</v>
      </c>
      <c r="R408" s="2207">
        <f>R233+R236+R239+R246+R249+R383</f>
        <v>0</v>
      </c>
      <c r="S408" s="2207">
        <f>S233+S236+S239+S246+S249+S383</f>
        <v>0</v>
      </c>
      <c r="T408" s="2207">
        <f>T233+T236+T239+T246+T249+T383</f>
        <v>0</v>
      </c>
      <c r="U408" s="2208">
        <f>SUM(Q408:T408)</f>
        <v>0</v>
      </c>
      <c r="V408" s="2207">
        <f>V233+V236+V239+V246+V249+V383</f>
        <v>0</v>
      </c>
      <c r="W408" s="2207">
        <f>W233+W236+W239+W246+W249+W383</f>
        <v>0</v>
      </c>
      <c r="X408" s="2207">
        <f>X233+X236+X239+X246+X249+X383</f>
        <v>0</v>
      </c>
      <c r="Y408" s="2207">
        <f>Y233+Y236+Y239+Y246+Y249+Y383</f>
        <v>0</v>
      </c>
      <c r="Z408" s="2208">
        <f>SUM(V408:Y408)</f>
        <v>0</v>
      </c>
      <c r="AA408" s="2207">
        <f>AA233+AA236+AA239+AA246+AA249+AA383</f>
        <v>0</v>
      </c>
      <c r="AB408" s="2207">
        <f>AB233+AB236+AB239+AB246+AB249+AB383</f>
        <v>0</v>
      </c>
      <c r="AC408" s="2207">
        <f>AC233+AC236+AC239+AC246+AC249+AC383</f>
        <v>0</v>
      </c>
      <c r="AD408" s="2207">
        <f>AD233+AD236+AD239+AD246+AD249+AD383</f>
        <v>0</v>
      </c>
      <c r="AE408" s="2208">
        <f>AE404+AE400+AE396+AE392</f>
        <v>37126</v>
      </c>
      <c r="AF408" s="2207">
        <f t="shared" ref="AF408:AX408" si="225">AF404+AF400+AF396+AF392</f>
        <v>8945</v>
      </c>
      <c r="AG408" s="2207">
        <f t="shared" si="225"/>
        <v>10135</v>
      </c>
      <c r="AH408" s="2207">
        <f t="shared" si="225"/>
        <v>9979</v>
      </c>
      <c r="AI408" s="2207">
        <f t="shared" si="225"/>
        <v>10627</v>
      </c>
      <c r="AJ408" s="2208">
        <f>SUM(AF408:AI408)</f>
        <v>39686</v>
      </c>
      <c r="AK408" s="2207">
        <f t="shared" si="225"/>
        <v>9611</v>
      </c>
      <c r="AL408" s="2207">
        <f t="shared" si="225"/>
        <v>10906</v>
      </c>
      <c r="AM408" s="2207">
        <f t="shared" si="225"/>
        <v>10335</v>
      </c>
      <c r="AN408" s="2207">
        <f t="shared" si="225"/>
        <v>11233</v>
      </c>
      <c r="AO408" s="2208">
        <f>SUM(AK408:AN408)</f>
        <v>42085</v>
      </c>
      <c r="AP408" s="2207">
        <f t="shared" si="225"/>
        <v>9873</v>
      </c>
      <c r="AQ408" s="2207">
        <f>AQ404+AQ400+AQ396+AQ392</f>
        <v>10679</v>
      </c>
      <c r="AR408" s="2207">
        <f>AR404+AR400+AR396+AR392</f>
        <v>10036</v>
      </c>
      <c r="AS408" s="2207">
        <f t="shared" si="225"/>
        <v>10451</v>
      </c>
      <c r="AT408" s="2208">
        <f>SUM(AP408:AS408)</f>
        <v>41039</v>
      </c>
      <c r="AU408" s="2207">
        <f t="shared" si="225"/>
        <v>9146.1624449999999</v>
      </c>
      <c r="AV408" s="2207">
        <f t="shared" si="225"/>
        <v>10067.900937773142</v>
      </c>
      <c r="AW408" s="2207">
        <f t="shared" si="225"/>
        <v>9628.0162758181832</v>
      </c>
      <c r="AX408" s="2207">
        <f t="shared" si="225"/>
        <v>10292.924965631581</v>
      </c>
      <c r="AY408" s="2208">
        <f>SUM(AU408:AX408)</f>
        <v>39135.004624222907</v>
      </c>
      <c r="AZ408" s="2207"/>
      <c r="BA408" s="2207"/>
      <c r="BB408" s="2207"/>
      <c r="BC408" s="2207"/>
      <c r="BD408" s="2208"/>
      <c r="BE408" s="2207"/>
      <c r="BF408" s="2207"/>
      <c r="BG408" s="2207"/>
      <c r="BH408" s="2207"/>
      <c r="BI408" s="3014"/>
      <c r="BJ408" s="3015"/>
      <c r="BK408" s="3015"/>
      <c r="BL408" s="3015"/>
      <c r="BM408" s="3015"/>
      <c r="BN408" s="3014"/>
      <c r="BO408" s="3007"/>
      <c r="BP408" s="3007"/>
      <c r="BQ408" s="3007"/>
      <c r="BR408" s="3007"/>
      <c r="BS408" s="3007"/>
      <c r="BT408" s="2200"/>
      <c r="BU408" s="2208"/>
      <c r="BV408" s="2208"/>
      <c r="BW408" s="2208">
        <f>SUM(AM408:AN408,AP408:AQ408)</f>
        <v>42120</v>
      </c>
      <c r="BX408" s="2208">
        <f>SUM(AR408:AS408,AU408:AV408)</f>
        <v>39701.063382773144</v>
      </c>
      <c r="BY408" s="2208">
        <f>SUM(AW408:AX408,AZ408:BA408)</f>
        <v>19920.941241449764</v>
      </c>
      <c r="BZ408" s="2208">
        <f>SUM(BB408:BC408,BE408:BF408)</f>
        <v>0</v>
      </c>
      <c r="CA408" s="2208"/>
      <c r="CC408" s="1072"/>
    </row>
    <row r="409" spans="1:81" s="1022" customFormat="1" outlineLevel="1">
      <c r="A409" s="2184" t="s">
        <v>926</v>
      </c>
      <c r="B409" s="2185"/>
      <c r="C409" s="2185"/>
      <c r="D409" s="2185"/>
      <c r="E409" s="2185"/>
      <c r="F409" s="2186"/>
      <c r="G409" s="2185"/>
      <c r="H409" s="2185"/>
      <c r="I409" s="2185"/>
      <c r="J409" s="2185"/>
      <c r="K409" s="2186"/>
      <c r="L409" s="2185"/>
      <c r="M409" s="2185"/>
      <c r="N409" s="2185"/>
      <c r="O409" s="2185"/>
      <c r="P409" s="2186"/>
      <c r="Q409" s="2185"/>
      <c r="R409" s="2185"/>
      <c r="S409" s="2185"/>
      <c r="T409" s="2185"/>
      <c r="U409" s="2186"/>
      <c r="V409" s="2185"/>
      <c r="W409" s="2185"/>
      <c r="X409" s="2185"/>
      <c r="Y409" s="2185"/>
      <c r="Z409" s="2186"/>
      <c r="AA409" s="2188"/>
      <c r="AB409" s="2188"/>
      <c r="AC409" s="2188"/>
      <c r="AD409" s="2188"/>
      <c r="AE409" s="2186"/>
      <c r="AF409" s="2188">
        <f t="shared" ref="AF409:AY409" si="226">IF(ISERROR(AF408/AA408-1),,(AF408/AA408-1))</f>
        <v>0</v>
      </c>
      <c r="AG409" s="2188">
        <f t="shared" si="226"/>
        <v>0</v>
      </c>
      <c r="AH409" s="2188">
        <f t="shared" si="226"/>
        <v>0</v>
      </c>
      <c r="AI409" s="2188">
        <f t="shared" si="226"/>
        <v>0</v>
      </c>
      <c r="AJ409" s="2187">
        <f t="shared" si="226"/>
        <v>6.8954371599418307E-2</v>
      </c>
      <c r="AK409" s="2188">
        <f t="shared" si="226"/>
        <v>7.4455002794857394E-2</v>
      </c>
      <c r="AL409" s="2188">
        <f t="shared" si="226"/>
        <v>7.6073014306857534E-2</v>
      </c>
      <c r="AM409" s="2188">
        <f t="shared" si="226"/>
        <v>3.5674917326385502E-2</v>
      </c>
      <c r="AN409" s="2188">
        <f t="shared" si="226"/>
        <v>5.7024560082807874E-2</v>
      </c>
      <c r="AO409" s="2187">
        <f t="shared" si="226"/>
        <v>6.0449528801088448E-2</v>
      </c>
      <c r="AP409" s="2188">
        <f t="shared" si="226"/>
        <v>2.7260430756425036E-2</v>
      </c>
      <c r="AQ409" s="2188">
        <f t="shared" si="226"/>
        <v>-2.0814230698697922E-2</v>
      </c>
      <c r="AR409" s="2188">
        <f t="shared" si="226"/>
        <v>-2.8930817610062887E-2</v>
      </c>
      <c r="AS409" s="2188">
        <f t="shared" si="226"/>
        <v>-6.9616309089290507E-2</v>
      </c>
      <c r="AT409" s="2187">
        <f t="shared" si="226"/>
        <v>-2.4854461209457002E-2</v>
      </c>
      <c r="AU409" s="2188">
        <f t="shared" si="226"/>
        <v>-7.3618713157095117E-2</v>
      </c>
      <c r="AV409" s="2188">
        <f t="shared" si="226"/>
        <v>-5.7224371404331675E-2</v>
      </c>
      <c r="AW409" s="2188">
        <f t="shared" si="226"/>
        <v>-4.0652025127721925E-2</v>
      </c>
      <c r="AX409" s="2188">
        <f t="shared" si="226"/>
        <v>-1.5125350145289373E-2</v>
      </c>
      <c r="AY409" s="2187">
        <f t="shared" si="226"/>
        <v>-4.6394779984334278E-2</v>
      </c>
      <c r="AZ409" s="2188"/>
      <c r="BA409" s="2188"/>
      <c r="BB409" s="2188"/>
      <c r="BC409" s="2188"/>
      <c r="BD409" s="2187"/>
      <c r="BE409" s="2188"/>
      <c r="BF409" s="2188"/>
      <c r="BG409" s="2188"/>
      <c r="BH409" s="2188"/>
      <c r="BI409" s="2942"/>
      <c r="BJ409" s="2943"/>
      <c r="BK409" s="2943"/>
      <c r="BL409" s="2943"/>
      <c r="BM409" s="2943"/>
      <c r="BN409" s="2942"/>
      <c r="BO409" s="2943"/>
      <c r="BP409" s="2943"/>
      <c r="BQ409" s="2943"/>
      <c r="BR409" s="2943"/>
      <c r="BS409" s="2943"/>
      <c r="BT409" s="2189"/>
      <c r="BU409" s="2187"/>
      <c r="BV409" s="2187"/>
      <c r="BW409" s="2187"/>
      <c r="BX409" s="2187"/>
      <c r="BY409" s="2187"/>
      <c r="BZ409" s="2187"/>
      <c r="CA409" s="2187"/>
      <c r="CB409" s="1233"/>
    </row>
    <row r="410" spans="1:81" s="1022" customFormat="1" outlineLevel="1">
      <c r="A410" s="2184" t="s">
        <v>952</v>
      </c>
      <c r="B410" s="2185"/>
      <c r="C410" s="2185"/>
      <c r="D410" s="2185"/>
      <c r="E410" s="2185"/>
      <c r="F410" s="2186"/>
      <c r="G410" s="2185"/>
      <c r="H410" s="2185"/>
      <c r="I410" s="2185"/>
      <c r="J410" s="2185"/>
      <c r="K410" s="2186"/>
      <c r="L410" s="2185"/>
      <c r="M410" s="2185"/>
      <c r="N410" s="2185"/>
      <c r="O410" s="2185"/>
      <c r="P410" s="2186"/>
      <c r="Q410" s="2185"/>
      <c r="R410" s="2185"/>
      <c r="S410" s="2185"/>
      <c r="T410" s="2185"/>
      <c r="U410" s="2186"/>
      <c r="V410" s="2185"/>
      <c r="W410" s="2185"/>
      <c r="X410" s="2185"/>
      <c r="Y410" s="2185"/>
      <c r="Z410" s="2186"/>
      <c r="AA410" s="2209"/>
      <c r="AB410" s="2188"/>
      <c r="AC410" s="2188"/>
      <c r="AD410" s="2188"/>
      <c r="AE410" s="2186"/>
      <c r="AF410" s="2188">
        <f>IF(ISERROR(AF408/AD408-1),,(AF408/AD408-1))</f>
        <v>0</v>
      </c>
      <c r="AG410" s="2188">
        <f>IF(ISERROR(AG408/AF408-1),,(AG408/AF408-1))</f>
        <v>0.13303521520402461</v>
      </c>
      <c r="AH410" s="2188">
        <f>IF(ISERROR(AH408/AG408-1),,(AH408/AG408-1))</f>
        <v>-1.53922052294031E-2</v>
      </c>
      <c r="AI410" s="2188">
        <f>IF(ISERROR(AI408/AH408-1),,(AI408/AH408-1))</f>
        <v>6.4936366369375609E-2</v>
      </c>
      <c r="AJ410" s="2187"/>
      <c r="AK410" s="2188">
        <f>IF(ISERROR(AK408/AI408-1),,(AK408/AI408-1))</f>
        <v>-9.5605533076126847E-2</v>
      </c>
      <c r="AL410" s="2188">
        <f>IF(ISERROR(AL408/AK408-1),,(AL408/AK408-1))</f>
        <v>0.13474144209759653</v>
      </c>
      <c r="AM410" s="2188">
        <f>IF(ISERROR(AM408/AL408-1),,(AM408/AL408-1))</f>
        <v>-5.2356501008619105E-2</v>
      </c>
      <c r="AN410" s="2188">
        <f>IF(ISERROR(AN408/AM408-1),,(AN408/AM408-1))</f>
        <v>8.6889211417513268E-2</v>
      </c>
      <c r="AO410" s="2187"/>
      <c r="AP410" s="2188">
        <f>IF(ISERROR(AP408/AN408-1),,(AP408/AN408-1))</f>
        <v>-0.12107184189441822</v>
      </c>
      <c r="AQ410" s="2188">
        <f>IF(ISERROR(AQ408/AP408-1),,(AQ408/AP408-1))</f>
        <v>8.1636787197407079E-2</v>
      </c>
      <c r="AR410" s="2188">
        <f>IF(ISERROR(AR408/AQ408-1),,(AR408/AQ408-1))</f>
        <v>-6.0211630302462793E-2</v>
      </c>
      <c r="AS410" s="2188">
        <f>IF(ISERROR(AS408/AR408-1),,(AS408/AR408-1))</f>
        <v>4.1351135910721482E-2</v>
      </c>
      <c r="AT410" s="2187"/>
      <c r="AU410" s="2188">
        <f>IF(ISERROR(AU408/AS408-1),,(AU408/AS408-1))</f>
        <v>-0.12485289015405221</v>
      </c>
      <c r="AV410" s="2188">
        <f>IF(ISERROR(AV408/AU408-1),,(AV408/AU408-1))</f>
        <v>0.10077871438605768</v>
      </c>
      <c r="AW410" s="2188">
        <f>IF(ISERROR(AW408/AV408-1),,(AW408/AV408-1))</f>
        <v>-4.3691794811427154E-2</v>
      </c>
      <c r="AX410" s="2188">
        <f>IF(ISERROR(AX408/AW408-1),,(AX408/AW408-1))</f>
        <v>6.9059780412231708E-2</v>
      </c>
      <c r="AY410" s="2187"/>
      <c r="AZ410" s="2188"/>
      <c r="BA410" s="2188"/>
      <c r="BB410" s="2188"/>
      <c r="BC410" s="2188"/>
      <c r="BD410" s="2187"/>
      <c r="BE410" s="2188"/>
      <c r="BF410" s="2188"/>
      <c r="BG410" s="2188"/>
      <c r="BH410" s="2188"/>
      <c r="BI410" s="2942"/>
      <c r="BJ410" s="2943"/>
      <c r="BK410" s="2943"/>
      <c r="BL410" s="2943"/>
      <c r="BM410" s="2943"/>
      <c r="BN410" s="2942"/>
      <c r="BO410" s="2943"/>
      <c r="BP410" s="2943"/>
      <c r="BQ410" s="2943"/>
      <c r="BR410" s="2943"/>
      <c r="BS410" s="2943"/>
      <c r="BT410" s="2189"/>
      <c r="BU410" s="2187"/>
      <c r="BV410" s="2187"/>
      <c r="BW410" s="2187"/>
      <c r="BX410" s="2187"/>
      <c r="BY410" s="2187"/>
      <c r="BZ410" s="2187"/>
      <c r="CA410" s="2187"/>
    </row>
    <row r="411" spans="1:81" s="1022" customFormat="1" outlineLevel="1">
      <c r="A411" s="2184" t="s">
        <v>953</v>
      </c>
      <c r="B411" s="2185"/>
      <c r="C411" s="2185"/>
      <c r="D411" s="2185"/>
      <c r="E411" s="2185"/>
      <c r="F411" s="2186"/>
      <c r="G411" s="2185"/>
      <c r="H411" s="2185"/>
      <c r="I411" s="2185"/>
      <c r="J411" s="2185"/>
      <c r="K411" s="2186"/>
      <c r="L411" s="2185"/>
      <c r="M411" s="2185"/>
      <c r="N411" s="2185"/>
      <c r="O411" s="2185"/>
      <c r="P411" s="2186"/>
      <c r="Q411" s="2185"/>
      <c r="R411" s="2185"/>
      <c r="S411" s="2185"/>
      <c r="T411" s="2185"/>
      <c r="U411" s="2186"/>
      <c r="V411" s="2185"/>
      <c r="W411" s="2185"/>
      <c r="X411" s="2185"/>
      <c r="Y411" s="2185"/>
      <c r="Z411" s="2186"/>
      <c r="AA411" s="2185"/>
      <c r="AB411" s="2185"/>
      <c r="AC411" s="2185"/>
      <c r="AD411" s="2185"/>
      <c r="AE411" s="2186"/>
      <c r="AF411" s="2148"/>
      <c r="AG411" s="2188"/>
      <c r="AH411" s="2188"/>
      <c r="AI411" s="2188"/>
      <c r="AJ411" s="2187">
        <f>AJ404/AJ408</f>
        <v>0.48483059349657115</v>
      </c>
      <c r="AK411" s="2188">
        <f>AVERAGE(AF410,AA410)</f>
        <v>0</v>
      </c>
      <c r="AL411" s="2188">
        <f>AVERAGE(AG410,AB410)</f>
        <v>0.13303521520402461</v>
      </c>
      <c r="AM411" s="2188">
        <f>AVERAGE(AH410,AC410)</f>
        <v>-1.53922052294031E-2</v>
      </c>
      <c r="AN411" s="2188">
        <f>AVERAGE(AI410,AD410)</f>
        <v>6.4936366369375609E-2</v>
      </c>
      <c r="AO411" s="2187"/>
      <c r="AP411" s="2188">
        <f>AVERAGE(AK410,AF410,AA410)</f>
        <v>-4.7802766538063424E-2</v>
      </c>
      <c r="AQ411" s="2188">
        <f>AVERAGE(AL410,AG410)</f>
        <v>0.13388832865081057</v>
      </c>
      <c r="AR411" s="2188">
        <f>AVERAGE(AM410,AH410)</f>
        <v>-3.3874353119011102E-2</v>
      </c>
      <c r="AS411" s="2188">
        <f>AVERAGE(AN410,AI410,AD410)</f>
        <v>7.5912788893444438E-2</v>
      </c>
      <c r="AT411" s="2187"/>
      <c r="AU411" s="2188">
        <f>AVERAGE(AP410,AK410,AF410)</f>
        <v>-7.2225791656848351E-2</v>
      </c>
      <c r="AV411" s="2188">
        <f>AVERAGE(AQ410,AL410,AG410)</f>
        <v>0.11647114816634274</v>
      </c>
      <c r="AW411" s="2188">
        <f>AVERAGE(AR410,AM410,AH410)</f>
        <v>-4.2653445513495002E-2</v>
      </c>
      <c r="AX411" s="2188">
        <f>AVERAGE(AS410,AN410,AI410)</f>
        <v>6.4392237899203453E-2</v>
      </c>
      <c r="AY411" s="2187"/>
      <c r="AZ411" s="2188"/>
      <c r="BA411" s="2188"/>
      <c r="BB411" s="2188"/>
      <c r="BC411" s="2188"/>
      <c r="BD411" s="2187"/>
      <c r="BE411" s="2188"/>
      <c r="BF411" s="2188"/>
      <c r="BG411" s="2188"/>
      <c r="BH411" s="2188"/>
      <c r="BI411" s="2942"/>
      <c r="BJ411" s="2943"/>
      <c r="BK411" s="2943"/>
      <c r="BL411" s="2943"/>
      <c r="BM411" s="2943"/>
      <c r="BN411" s="2942"/>
      <c r="BO411" s="2943"/>
      <c r="BP411" s="2943"/>
      <c r="BQ411" s="2943"/>
      <c r="BR411" s="2943"/>
      <c r="BS411" s="2943"/>
      <c r="BT411" s="2189"/>
      <c r="BU411" s="2187"/>
      <c r="BV411" s="2187"/>
      <c r="BW411" s="2187"/>
      <c r="BX411" s="2187"/>
      <c r="BY411" s="2187"/>
      <c r="BZ411" s="2187"/>
      <c r="CA411" s="2187"/>
    </row>
    <row r="412" spans="1:81" s="1022" customFormat="1" ht="8.25" customHeight="1" outlineLevel="1">
      <c r="A412" s="2184"/>
      <c r="B412" s="2185"/>
      <c r="C412" s="2185"/>
      <c r="D412" s="2185"/>
      <c r="E412" s="2185"/>
      <c r="F412" s="2186"/>
      <c r="G412" s="2185"/>
      <c r="H412" s="2185"/>
      <c r="I412" s="2185"/>
      <c r="J412" s="2185"/>
      <c r="K412" s="2186"/>
      <c r="L412" s="2185"/>
      <c r="M412" s="2185"/>
      <c r="N412" s="2185"/>
      <c r="O412" s="2185"/>
      <c r="P412" s="2186"/>
      <c r="Q412" s="2185"/>
      <c r="R412" s="2185"/>
      <c r="S412" s="2185"/>
      <c r="T412" s="2185"/>
      <c r="U412" s="2186"/>
      <c r="V412" s="2185"/>
      <c r="W412" s="2185"/>
      <c r="X412" s="2185"/>
      <c r="Y412" s="2185"/>
      <c r="Z412" s="2186"/>
      <c r="AA412" s="2185"/>
      <c r="AB412" s="2185"/>
      <c r="AC412" s="2185"/>
      <c r="AD412" s="2185"/>
      <c r="AE412" s="2210"/>
      <c r="AF412" s="2224"/>
      <c r="AG412" s="2224"/>
      <c r="AH412" s="2224"/>
      <c r="AI412" s="2224"/>
      <c r="AJ412" s="2210"/>
      <c r="AK412" s="2224"/>
      <c r="AL412" s="2224"/>
      <c r="AM412" s="2188"/>
      <c r="AN412" s="2188"/>
      <c r="AO412" s="2187"/>
      <c r="AP412" s="2188"/>
      <c r="AQ412" s="2188"/>
      <c r="AR412" s="2188"/>
      <c r="AS412" s="2188"/>
      <c r="AT412" s="2187"/>
      <c r="AU412" s="2188"/>
      <c r="AV412" s="2188"/>
      <c r="AW412" s="2188"/>
      <c r="AX412" s="2188"/>
      <c r="AY412" s="2187"/>
      <c r="AZ412" s="2188"/>
      <c r="BA412" s="2188"/>
      <c r="BB412" s="2188"/>
      <c r="BC412" s="2188"/>
      <c r="BD412" s="2187"/>
      <c r="BE412" s="2188"/>
      <c r="BF412" s="2188"/>
      <c r="BG412" s="2188"/>
      <c r="BH412" s="2188"/>
      <c r="BI412" s="2942"/>
      <c r="BJ412" s="2943"/>
      <c r="BK412" s="2943"/>
      <c r="BL412" s="2943"/>
      <c r="BM412" s="2943"/>
      <c r="BN412" s="2942"/>
      <c r="BO412" s="2943"/>
      <c r="BP412" s="2943"/>
      <c r="BQ412" s="2943"/>
      <c r="BR412" s="2943"/>
      <c r="BS412" s="2943"/>
      <c r="BT412" s="2189"/>
      <c r="BU412" s="2187"/>
      <c r="BV412" s="2187"/>
      <c r="BW412" s="2187"/>
      <c r="BX412" s="2187"/>
      <c r="BY412" s="2187"/>
      <c r="BZ412" s="2187"/>
      <c r="CA412" s="2187"/>
    </row>
    <row r="413" spans="1:81" outlineLevel="1">
      <c r="A413" s="2121"/>
      <c r="B413" s="2122"/>
      <c r="C413" s="2122"/>
      <c r="D413" s="2122"/>
      <c r="E413" s="2122"/>
      <c r="F413" s="2123"/>
      <c r="G413" s="2122"/>
      <c r="H413" s="2122"/>
      <c r="I413" s="2122"/>
      <c r="J413" s="2122"/>
      <c r="K413" s="2123"/>
      <c r="L413" s="2122"/>
      <c r="M413" s="2122"/>
      <c r="N413" s="2122"/>
      <c r="O413" s="2122"/>
      <c r="P413" s="2123"/>
      <c r="Q413" s="2122"/>
      <c r="R413" s="2122"/>
      <c r="S413" s="2122"/>
      <c r="T413" s="2122"/>
      <c r="U413" s="2123"/>
      <c r="V413" s="2122"/>
      <c r="W413" s="2122"/>
      <c r="X413" s="2122"/>
      <c r="Y413" s="2122"/>
      <c r="Z413" s="2123"/>
      <c r="AA413" s="2122"/>
      <c r="AB413" s="2122"/>
      <c r="AC413" s="2122"/>
      <c r="AD413" s="2122"/>
      <c r="AE413" s="2123"/>
      <c r="AF413" s="2124"/>
      <c r="AG413" s="2122"/>
      <c r="AH413" s="2122"/>
      <c r="AI413" s="2122"/>
      <c r="AJ413" s="2123"/>
      <c r="AK413" s="2125"/>
      <c r="AL413" s="2122"/>
      <c r="AM413" s="2122"/>
      <c r="AN413" s="2122"/>
      <c r="AO413" s="2123"/>
      <c r="AP413" s="2122"/>
      <c r="AQ413" s="2122"/>
      <c r="AR413" s="2122"/>
      <c r="AS413" s="2122"/>
      <c r="AT413" s="2123"/>
      <c r="AU413" s="2122"/>
      <c r="AV413" s="2122"/>
      <c r="AW413" s="2122"/>
      <c r="AX413" s="2122"/>
      <c r="AY413" s="2123"/>
      <c r="AZ413" s="2122"/>
      <c r="BA413" s="2122"/>
      <c r="BB413" s="2122"/>
      <c r="BC413" s="2122"/>
      <c r="BD413" s="2123"/>
      <c r="BE413" s="2122"/>
      <c r="BF413" s="2122"/>
      <c r="BG413" s="2122"/>
      <c r="BH413" s="2122"/>
      <c r="BI413" s="2915"/>
      <c r="BJ413" s="2917"/>
      <c r="BK413" s="2917"/>
      <c r="BL413" s="2917"/>
      <c r="BM413" s="2917"/>
      <c r="BN413" s="2915"/>
      <c r="BO413" s="2955"/>
      <c r="BP413" s="2955"/>
      <c r="BQ413" s="2955"/>
      <c r="BR413" s="2955"/>
      <c r="BS413" s="2955"/>
      <c r="BT413" s="2120"/>
      <c r="BU413" s="2123"/>
      <c r="BV413" s="2123"/>
      <c r="BW413" s="2123"/>
      <c r="BX413" s="2123"/>
      <c r="BY413" s="2123"/>
      <c r="BZ413" s="2123"/>
      <c r="CA413" s="2123"/>
    </row>
    <row r="414" spans="1:81" outlineLevel="1">
      <c r="A414" s="2120" t="str">
        <f>A328</f>
        <v>Enterprise Services</v>
      </c>
      <c r="B414" s="2168"/>
      <c r="C414" s="2168"/>
      <c r="D414" s="2168"/>
      <c r="E414" s="2168"/>
      <c r="F414" s="2215"/>
      <c r="G414" s="2168"/>
      <c r="H414" s="2168"/>
      <c r="I414" s="2168"/>
      <c r="J414" s="2168"/>
      <c r="K414" s="2215"/>
      <c r="L414" s="2168"/>
      <c r="M414" s="2168"/>
      <c r="N414" s="2168"/>
      <c r="O414" s="2168"/>
      <c r="P414" s="2215"/>
      <c r="Q414" s="2168"/>
      <c r="R414" s="2168"/>
      <c r="S414" s="2168"/>
      <c r="T414" s="2168"/>
      <c r="U414" s="2215"/>
      <c r="V414" s="2168"/>
      <c r="W414" s="2168"/>
      <c r="X414" s="2168"/>
      <c r="Y414" s="2168"/>
      <c r="Z414" s="2215"/>
      <c r="AA414" s="2168"/>
      <c r="AB414" s="2168"/>
      <c r="AC414" s="2168"/>
      <c r="AD414" s="2168"/>
      <c r="AE414" s="2223">
        <f>AE328</f>
        <v>3900.5555555555557</v>
      </c>
      <c r="AF414" s="2144">
        <f>AF328</f>
        <v>1045</v>
      </c>
      <c r="AG414" s="2144">
        <f>AG328</f>
        <v>1075</v>
      </c>
      <c r="AH414" s="2144">
        <f>AH328</f>
        <v>1000</v>
      </c>
      <c r="AI414" s="2144">
        <f>AI328</f>
        <v>1102</v>
      </c>
      <c r="AJ414" s="2223">
        <f>SUM(AF414:AI414)</f>
        <v>4222</v>
      </c>
      <c r="AK414" s="2144">
        <f>AK328</f>
        <v>1139.0500000000002</v>
      </c>
      <c r="AL414" s="2144">
        <f>AL328</f>
        <v>1154.5500000000002</v>
      </c>
      <c r="AM414" s="2144">
        <f>AM328</f>
        <v>1084</v>
      </c>
      <c r="AN414" s="2144">
        <f>AN328</f>
        <v>1228.73</v>
      </c>
      <c r="AO414" s="2223">
        <f>SUM(AK414:AN414)</f>
        <v>4606.33</v>
      </c>
      <c r="AP414" s="2144">
        <f>AP328</f>
        <v>1292.8217500000003</v>
      </c>
      <c r="AQ414" s="2144">
        <f>AQ328</f>
        <v>1270.0050000000003</v>
      </c>
      <c r="AR414" s="2144">
        <f>AR328</f>
        <v>1164.2160000000001</v>
      </c>
      <c r="AS414" s="2144">
        <f>AS328</f>
        <v>1210.913415</v>
      </c>
      <c r="AT414" s="2223">
        <f>SUM(AP414:AS414)</f>
        <v>4937.9561650000005</v>
      </c>
      <c r="AU414" s="2144">
        <f>AP414*(1+AU415)</f>
        <v>1318.6781850000002</v>
      </c>
      <c r="AV414" s="2144">
        <f>AQ414*(1+AV415)</f>
        <v>1308.1051500000003</v>
      </c>
      <c r="AW414" s="2144">
        <f>AR414*(1+AW415)</f>
        <v>1222.4268000000002</v>
      </c>
      <c r="AX414" s="2144">
        <f>AS414*(1+AX415)</f>
        <v>1295.6773540500001</v>
      </c>
      <c r="AY414" s="2223">
        <f>SUM(AU414:AX414)</f>
        <v>5144.887489050001</v>
      </c>
      <c r="AZ414" s="2144"/>
      <c r="BA414" s="2144"/>
      <c r="BB414" s="2144"/>
      <c r="BC414" s="2144"/>
      <c r="BD414" s="2223"/>
      <c r="BE414" s="2144"/>
      <c r="BF414" s="2144"/>
      <c r="BG414" s="2144"/>
      <c r="BH414" s="2144"/>
      <c r="BI414" s="2958"/>
      <c r="BJ414" s="2959"/>
      <c r="BK414" s="2959"/>
      <c r="BL414" s="2959"/>
      <c r="BM414" s="2959"/>
      <c r="BN414" s="2958"/>
      <c r="BO414" s="2960"/>
      <c r="BP414" s="2960"/>
      <c r="BQ414" s="2960"/>
      <c r="BR414" s="2960"/>
      <c r="BS414" s="2960"/>
      <c r="BT414" s="2120"/>
      <c r="BU414" s="2223"/>
      <c r="BV414" s="2223"/>
      <c r="BW414" s="2223">
        <f>SUM(AM414:AN414,AP414:AQ414)</f>
        <v>4875.5567500000006</v>
      </c>
      <c r="BX414" s="2223">
        <f>SUM(AR414:AS414,AU414:AV414)</f>
        <v>5001.9127500000013</v>
      </c>
      <c r="BY414" s="2223">
        <f>SUM(AW414:AX414,AZ414:BA414)</f>
        <v>2518.10415405</v>
      </c>
      <c r="BZ414" s="2223">
        <f>SUM(BB414:BC414,BE414:BF414)</f>
        <v>0</v>
      </c>
      <c r="CA414" s="2223"/>
    </row>
    <row r="415" spans="1:81" s="1022" customFormat="1" outlineLevel="1">
      <c r="A415" s="2184" t="s">
        <v>926</v>
      </c>
      <c r="B415" s="2185"/>
      <c r="C415" s="2185"/>
      <c r="D415" s="2185"/>
      <c r="E415" s="2185"/>
      <c r="F415" s="2186"/>
      <c r="G415" s="2185"/>
      <c r="H415" s="2185"/>
      <c r="I415" s="2185"/>
      <c r="J415" s="2185"/>
      <c r="K415" s="2186"/>
      <c r="L415" s="2185"/>
      <c r="M415" s="2185"/>
      <c r="N415" s="2185"/>
      <c r="O415" s="2185"/>
      <c r="P415" s="2186"/>
      <c r="Q415" s="2185"/>
      <c r="R415" s="2185"/>
      <c r="S415" s="2185"/>
      <c r="T415" s="2185"/>
      <c r="U415" s="2186"/>
      <c r="V415" s="2185"/>
      <c r="W415" s="2185"/>
      <c r="X415" s="2185"/>
      <c r="Y415" s="2185"/>
      <c r="Z415" s="2186"/>
      <c r="AA415" s="2185"/>
      <c r="AB415" s="2185"/>
      <c r="AC415" s="2185"/>
      <c r="AD415" s="2185"/>
      <c r="AE415" s="2186"/>
      <c r="AF415" s="2148"/>
      <c r="AG415" s="2185"/>
      <c r="AH415" s="2185"/>
      <c r="AI415" s="2185"/>
      <c r="AJ415" s="2187">
        <f t="shared" ref="AJ415:AS415" si="227">IF(ISERROR(AJ414/AE414-1),,(AJ414/AE414-1))</f>
        <v>8.2409913117789557E-2</v>
      </c>
      <c r="AK415" s="2188">
        <f t="shared" si="227"/>
        <v>9.000000000000008E-2</v>
      </c>
      <c r="AL415" s="2188">
        <f t="shared" si="227"/>
        <v>7.4000000000000066E-2</v>
      </c>
      <c r="AM415" s="2188">
        <f t="shared" si="227"/>
        <v>8.4000000000000075E-2</v>
      </c>
      <c r="AN415" s="2188">
        <f t="shared" si="227"/>
        <v>0.11499999999999999</v>
      </c>
      <c r="AO415" s="2187">
        <f t="shared" si="227"/>
        <v>9.1030317385125459E-2</v>
      </c>
      <c r="AP415" s="2188">
        <f t="shared" si="227"/>
        <v>0.13500000000000001</v>
      </c>
      <c r="AQ415" s="2188">
        <f t="shared" si="227"/>
        <v>0.10000000000000009</v>
      </c>
      <c r="AR415" s="2188">
        <f t="shared" si="227"/>
        <v>7.4000000000000066E-2</v>
      </c>
      <c r="AS415" s="2188">
        <f t="shared" si="227"/>
        <v>-1.4500000000000068E-2</v>
      </c>
      <c r="AT415" s="2187">
        <f>IF(ISERROR(AT414/AO414-1),,(AT414/AO414-1))</f>
        <v>7.1993575145506528E-2</v>
      </c>
      <c r="AU415" s="2188">
        <v>0.02</v>
      </c>
      <c r="AV415" s="2188">
        <v>0.03</v>
      </c>
      <c r="AW415" s="2202">
        <v>0.05</v>
      </c>
      <c r="AX415" s="2188">
        <v>7.0000000000000007E-2</v>
      </c>
      <c r="AY415" s="2187">
        <f>IF(ISERROR(AY414/AT414-1),,(AY414/AT414-1))</f>
        <v>4.1906269949644415E-2</v>
      </c>
      <c r="AZ415" s="2202"/>
      <c r="BA415" s="2202"/>
      <c r="BB415" s="2202"/>
      <c r="BC415" s="2202"/>
      <c r="BD415" s="2187"/>
      <c r="BE415" s="2202"/>
      <c r="BF415" s="2202"/>
      <c r="BG415" s="2202"/>
      <c r="BH415" s="2202"/>
      <c r="BI415" s="2942"/>
      <c r="BJ415" s="2947"/>
      <c r="BK415" s="2947"/>
      <c r="BL415" s="2947"/>
      <c r="BM415" s="2947"/>
      <c r="BN415" s="2942"/>
      <c r="BO415" s="2943"/>
      <c r="BP415" s="2943"/>
      <c r="BQ415" s="2943"/>
      <c r="BR415" s="2943"/>
      <c r="BS415" s="2943"/>
      <c r="BT415" s="2225"/>
      <c r="BU415" s="2187"/>
      <c r="BV415" s="2187"/>
      <c r="BW415" s="2187"/>
      <c r="BX415" s="2187"/>
      <c r="BY415" s="2187"/>
      <c r="BZ415" s="2187"/>
      <c r="CA415" s="2187"/>
    </row>
    <row r="416" spans="1:81" s="1022" customFormat="1" outlineLevel="1">
      <c r="A416" s="2184" t="s">
        <v>952</v>
      </c>
      <c r="B416" s="2185"/>
      <c r="C416" s="2185"/>
      <c r="D416" s="2185"/>
      <c r="E416" s="2185"/>
      <c r="F416" s="2186"/>
      <c r="G416" s="2185"/>
      <c r="H416" s="2185"/>
      <c r="I416" s="2185"/>
      <c r="J416" s="2185"/>
      <c r="K416" s="2186"/>
      <c r="L416" s="2185"/>
      <c r="M416" s="2185"/>
      <c r="N416" s="2185"/>
      <c r="O416" s="2185"/>
      <c r="P416" s="2186"/>
      <c r="Q416" s="2185"/>
      <c r="R416" s="2185"/>
      <c r="S416" s="2185"/>
      <c r="T416" s="2185"/>
      <c r="U416" s="2186"/>
      <c r="V416" s="2185"/>
      <c r="W416" s="2185"/>
      <c r="X416" s="2185"/>
      <c r="Y416" s="2185"/>
      <c r="Z416" s="2186"/>
      <c r="AA416" s="2185"/>
      <c r="AB416" s="2185"/>
      <c r="AC416" s="2185"/>
      <c r="AD416" s="2185"/>
      <c r="AE416" s="2186"/>
      <c r="AF416" s="2148"/>
      <c r="AG416" s="2188">
        <f>IF(ISERROR(AG414/AF414-1),,(AG414/AF414-1))</f>
        <v>2.8708133971291794E-2</v>
      </c>
      <c r="AH416" s="2188">
        <f>IF(ISERROR(AH414/AG414-1),,(AH414/AG414-1))</f>
        <v>-6.9767441860465129E-2</v>
      </c>
      <c r="AI416" s="2188">
        <f>IF(ISERROR(AI414/AH414-1),,(AI414/AH414-1))</f>
        <v>0.10200000000000009</v>
      </c>
      <c r="AJ416" s="2187"/>
      <c r="AK416" s="2188">
        <f>IF(ISERROR(AK414/AI414-1),,(AK414/AI414-1))</f>
        <v>3.3620689655172509E-2</v>
      </c>
      <c r="AL416" s="2188">
        <f>IF(ISERROR(AL414/AK414-1),,(AL414/AK414-1))</f>
        <v>1.3607831087309563E-2</v>
      </c>
      <c r="AM416" s="2188">
        <f>IF(ISERROR(AM414/AL414-1),,(AM414/AL414-1))</f>
        <v>-6.1106058637564575E-2</v>
      </c>
      <c r="AN416" s="2188">
        <f>IF(ISERROR(AN414/AM414-1),,(AN414/AM414-1))</f>
        <v>0.13351476014760144</v>
      </c>
      <c r="AO416" s="2187"/>
      <c r="AP416" s="2188">
        <f>IF(ISERROR(AP414/AN414-1),,(AP414/AN414-1))</f>
        <v>5.2160971083965002E-2</v>
      </c>
      <c r="AQ416" s="2188">
        <f>IF(ISERROR(AQ414/AP414-1),,(AQ414/AP414-1))</f>
        <v>-1.7648798065162508E-2</v>
      </c>
      <c r="AR416" s="2188">
        <f>IF(ISERROR(AR414/AQ414-1),,(AR414/AQ414-1))</f>
        <v>-8.3298097251585768E-2</v>
      </c>
      <c r="AS416" s="2188">
        <f>IF(ISERROR(AS414/AR414-1),,(AS414/AR414-1))</f>
        <v>4.0110610917561518E-2</v>
      </c>
      <c r="AT416" s="2187"/>
      <c r="AU416" s="2188">
        <f>IF(ISERROR(AU414/AS414-1),,(AU414/AS414-1))</f>
        <v>8.8994612385230099E-2</v>
      </c>
      <c r="AV416" s="2188">
        <f>IF(ISERROR(AV414/AU414-1),,(AV414/AU414-1))</f>
        <v>-8.0179039285463993E-3</v>
      </c>
      <c r="AW416" s="2188">
        <f>IF(ISERROR(AW414/AV414-1),,(AW414/AV414-1))</f>
        <v>-6.5498060305014594E-2</v>
      </c>
      <c r="AX416" s="2188">
        <f>IF(ISERROR(AX414/AW414-1),,(AX414/AW414-1))</f>
        <v>5.9922241601705561E-2</v>
      </c>
      <c r="AY416" s="2187"/>
      <c r="AZ416" s="2188"/>
      <c r="BA416" s="2188"/>
      <c r="BB416" s="2188"/>
      <c r="BC416" s="2188"/>
      <c r="BD416" s="2187"/>
      <c r="BE416" s="2188"/>
      <c r="BF416" s="2188"/>
      <c r="BG416" s="2188"/>
      <c r="BH416" s="2188"/>
      <c r="BI416" s="2942"/>
      <c r="BJ416" s="2943"/>
      <c r="BK416" s="2943"/>
      <c r="BL416" s="2943"/>
      <c r="BM416" s="2943"/>
      <c r="BN416" s="2942"/>
      <c r="BO416" s="2943"/>
      <c r="BP416" s="2943"/>
      <c r="BQ416" s="2943"/>
      <c r="BR416" s="2943"/>
      <c r="BS416" s="2943"/>
      <c r="BT416" s="2189"/>
      <c r="BU416" s="2187"/>
      <c r="BV416" s="2187"/>
      <c r="BW416" s="2187"/>
      <c r="BX416" s="2187"/>
      <c r="BY416" s="2187"/>
      <c r="BZ416" s="2187"/>
      <c r="CA416" s="2187"/>
    </row>
    <row r="417" spans="1:79" ht="8.25" customHeight="1" outlineLevel="1">
      <c r="A417" s="2120"/>
      <c r="B417" s="2168"/>
      <c r="C417" s="2168"/>
      <c r="D417" s="2168"/>
      <c r="E417" s="2168"/>
      <c r="F417" s="2215"/>
      <c r="G417" s="2168"/>
      <c r="H417" s="2168"/>
      <c r="I417" s="2168"/>
      <c r="J417" s="2168"/>
      <c r="K417" s="2215"/>
      <c r="L417" s="2168"/>
      <c r="M417" s="2168"/>
      <c r="N417" s="2168"/>
      <c r="O417" s="2168"/>
      <c r="P417" s="2215"/>
      <c r="Q417" s="2168"/>
      <c r="R417" s="2168"/>
      <c r="S417" s="2168"/>
      <c r="T417" s="2168"/>
      <c r="U417" s="2215"/>
      <c r="V417" s="2168"/>
      <c r="W417" s="2168"/>
      <c r="X417" s="2168"/>
      <c r="Y417" s="2168"/>
      <c r="Z417" s="2215"/>
      <c r="AA417" s="2168"/>
      <c r="AB417" s="2168"/>
      <c r="AC417" s="2168"/>
      <c r="AD417" s="2168"/>
      <c r="AE417" s="2215"/>
      <c r="AF417" s="2120"/>
      <c r="AG417" s="2120"/>
      <c r="AH417" s="2120"/>
      <c r="AI417" s="2120"/>
      <c r="AJ417" s="2215"/>
      <c r="AK417" s="2120"/>
      <c r="AL417" s="2120"/>
      <c r="AM417" s="2120"/>
      <c r="AN417" s="2120"/>
      <c r="AO417" s="2215"/>
      <c r="AP417" s="2120"/>
      <c r="AQ417" s="2120"/>
      <c r="AR417" s="2120"/>
      <c r="AS417" s="2120"/>
      <c r="AT417" s="2215"/>
      <c r="AU417" s="2120"/>
      <c r="AV417" s="2120"/>
      <c r="AW417" s="2120"/>
      <c r="AX417" s="2120"/>
      <c r="AY417" s="2215"/>
      <c r="AZ417" s="2120"/>
      <c r="BA417" s="2120"/>
      <c r="BB417" s="2120"/>
      <c r="BC417" s="2120"/>
      <c r="BD417" s="2215"/>
      <c r="BE417" s="2120"/>
      <c r="BF417" s="2120"/>
      <c r="BG417" s="2120"/>
      <c r="BH417" s="2120"/>
      <c r="BI417" s="2997"/>
      <c r="BJ417" s="2998"/>
      <c r="BK417" s="2998"/>
      <c r="BL417" s="2998"/>
      <c r="BM417" s="2998"/>
      <c r="BN417" s="2997"/>
      <c r="BT417" s="2120"/>
      <c r="BU417" s="2215"/>
      <c r="BV417" s="2215"/>
      <c r="BW417" s="2215"/>
      <c r="BX417" s="2215"/>
      <c r="BY417" s="2215"/>
      <c r="BZ417" s="2215"/>
      <c r="CA417" s="2215"/>
    </row>
    <row r="418" spans="1:79" outlineLevel="1">
      <c r="A418" s="2120" t="str">
        <f>A330</f>
        <v xml:space="preserve">   Azure </v>
      </c>
      <c r="B418" s="2168"/>
      <c r="C418" s="2168"/>
      <c r="D418" s="2168"/>
      <c r="E418" s="2168"/>
      <c r="F418" s="2215"/>
      <c r="G418" s="2168"/>
      <c r="H418" s="2168"/>
      <c r="I418" s="2168"/>
      <c r="J418" s="2168"/>
      <c r="K418" s="2215"/>
      <c r="L418" s="2168"/>
      <c r="M418" s="2168"/>
      <c r="N418" s="2168"/>
      <c r="O418" s="2168"/>
      <c r="P418" s="2215"/>
      <c r="Q418" s="2168"/>
      <c r="R418" s="2168"/>
      <c r="S418" s="2168"/>
      <c r="T418" s="2168"/>
      <c r="U418" s="2215"/>
      <c r="V418" s="2168"/>
      <c r="W418" s="2168"/>
      <c r="X418" s="2168"/>
      <c r="Y418" s="2168"/>
      <c r="Z418" s="2215"/>
      <c r="AA418" s="2168"/>
      <c r="AB418" s="2168"/>
      <c r="AC418" s="2168"/>
      <c r="AD418" s="2168"/>
      <c r="AE418" s="2223">
        <f>AE330</f>
        <v>100</v>
      </c>
      <c r="AF418" s="2144">
        <f>AF330</f>
        <v>50</v>
      </c>
      <c r="AG418" s="2144">
        <f>AG330</f>
        <v>75</v>
      </c>
      <c r="AH418" s="2144">
        <f>AH330</f>
        <v>75</v>
      </c>
      <c r="AI418" s="2144">
        <f>AI330</f>
        <v>90</v>
      </c>
      <c r="AJ418" s="2223">
        <f>SUM(AF418:AI418)</f>
        <v>290</v>
      </c>
      <c r="AK418" s="2144">
        <f>AK330</f>
        <v>75</v>
      </c>
      <c r="AL418" s="2144">
        <f>AL330</f>
        <v>112.5</v>
      </c>
      <c r="AM418" s="2144">
        <f>AM330</f>
        <v>108.75</v>
      </c>
      <c r="AN418" s="2144">
        <f>AN330</f>
        <v>135</v>
      </c>
      <c r="AO418" s="2223">
        <f>SUM(AK418:AN418)</f>
        <v>431.25</v>
      </c>
      <c r="AP418" s="2144">
        <f>AP330</f>
        <v>131.25</v>
      </c>
      <c r="AQ418" s="2144">
        <f>AQ330</f>
        <v>168.75</v>
      </c>
      <c r="AR418" s="2144">
        <f>AR330</f>
        <v>163.125</v>
      </c>
      <c r="AS418" s="2144">
        <f>AS330</f>
        <v>270</v>
      </c>
      <c r="AT418" s="2223">
        <f>SUM(AP418:AS418)</f>
        <v>733.125</v>
      </c>
      <c r="AU418" s="2144">
        <f>AP418*(1+AU419)</f>
        <v>216.5625</v>
      </c>
      <c r="AV418" s="2144">
        <f>AQ418*(1+AV419)</f>
        <v>278.4375</v>
      </c>
      <c r="AW418" s="2144">
        <f>AR418*(1+AW419)</f>
        <v>261</v>
      </c>
      <c r="AX418" s="2144">
        <f>AS418*(1+AX419)</f>
        <v>432</v>
      </c>
      <c r="AY418" s="2223">
        <f>SUM(AU418:AX418)</f>
        <v>1188</v>
      </c>
      <c r="AZ418" s="2144"/>
      <c r="BA418" s="2144"/>
      <c r="BB418" s="2144"/>
      <c r="BC418" s="2144"/>
      <c r="BD418" s="2223"/>
      <c r="BE418" s="2144"/>
      <c r="BF418" s="2144"/>
      <c r="BG418" s="2144"/>
      <c r="BH418" s="2144"/>
      <c r="BI418" s="2958"/>
      <c r="BJ418" s="2959"/>
      <c r="BK418" s="2959"/>
      <c r="BL418" s="2959"/>
      <c r="BM418" s="2959"/>
      <c r="BN418" s="2958"/>
      <c r="BO418" s="2960"/>
      <c r="BP418" s="2960"/>
      <c r="BQ418" s="2960"/>
      <c r="BR418" s="2960"/>
      <c r="BS418" s="2960"/>
      <c r="BT418" s="2120"/>
      <c r="BU418" s="2223"/>
      <c r="BV418" s="2223"/>
      <c r="BW418" s="2223">
        <f>SUM(AM418:AN418,AP418:AQ418)</f>
        <v>543.75</v>
      </c>
      <c r="BX418" s="2223">
        <f>SUM(AR418:AS418,AU418:AV418)</f>
        <v>928.125</v>
      </c>
      <c r="BY418" s="2223">
        <f>SUM(AW418:AX418,AZ418:BA418)</f>
        <v>693</v>
      </c>
      <c r="BZ418" s="2223">
        <f>SUM(BB418:BC418,BE418:BF418)</f>
        <v>0</v>
      </c>
      <c r="CA418" s="2223"/>
    </row>
    <row r="419" spans="1:79" s="1022" customFormat="1" outlineLevel="1">
      <c r="A419" s="2184" t="s">
        <v>926</v>
      </c>
      <c r="B419" s="2185"/>
      <c r="C419" s="2185"/>
      <c r="D419" s="2185"/>
      <c r="E419" s="2185"/>
      <c r="F419" s="2186"/>
      <c r="G419" s="2185"/>
      <c r="H419" s="2185"/>
      <c r="I419" s="2185"/>
      <c r="J419" s="2185"/>
      <c r="K419" s="2186"/>
      <c r="L419" s="2185"/>
      <c r="M419" s="2185"/>
      <c r="N419" s="2185"/>
      <c r="O419" s="2185"/>
      <c r="P419" s="2186"/>
      <c r="Q419" s="2185"/>
      <c r="R419" s="2185"/>
      <c r="S419" s="2185"/>
      <c r="T419" s="2185"/>
      <c r="U419" s="2186"/>
      <c r="V419" s="2185"/>
      <c r="W419" s="2185"/>
      <c r="X419" s="2185"/>
      <c r="Y419" s="2185"/>
      <c r="Z419" s="2186"/>
      <c r="AA419" s="2185"/>
      <c r="AB419" s="2185"/>
      <c r="AC419" s="2185"/>
      <c r="AD419" s="2185"/>
      <c r="AE419" s="2186"/>
      <c r="AF419" s="2148"/>
      <c r="AG419" s="2185"/>
      <c r="AH419" s="2185"/>
      <c r="AI419" s="2185"/>
      <c r="AJ419" s="2187">
        <f t="shared" ref="AJ419:AS419" si="228">IF(ISERROR(AJ418/AE418-1),,(AJ418/AE418-1))</f>
        <v>1.9</v>
      </c>
      <c r="AK419" s="2188">
        <f t="shared" si="228"/>
        <v>0.5</v>
      </c>
      <c r="AL419" s="2188">
        <f t="shared" si="228"/>
        <v>0.5</v>
      </c>
      <c r="AM419" s="2188">
        <f t="shared" si="228"/>
        <v>0.44999999999999996</v>
      </c>
      <c r="AN419" s="2188">
        <f t="shared" si="228"/>
        <v>0.5</v>
      </c>
      <c r="AO419" s="2187">
        <f t="shared" si="228"/>
        <v>0.48706896551724133</v>
      </c>
      <c r="AP419" s="2188">
        <f t="shared" si="228"/>
        <v>0.75</v>
      </c>
      <c r="AQ419" s="2188">
        <f t="shared" si="228"/>
        <v>0.5</v>
      </c>
      <c r="AR419" s="2188">
        <f t="shared" si="228"/>
        <v>0.5</v>
      </c>
      <c r="AS419" s="2188">
        <f t="shared" si="228"/>
        <v>1</v>
      </c>
      <c r="AT419" s="2187">
        <f>IF(ISERROR(AT418/AO418-1),,(AT418/AO418-1))</f>
        <v>0.7</v>
      </c>
      <c r="AU419" s="2188">
        <v>0.65</v>
      </c>
      <c r="AV419" s="2188">
        <v>0.65</v>
      </c>
      <c r="AW419" s="2202">
        <v>0.6</v>
      </c>
      <c r="AX419" s="2188">
        <v>0.6</v>
      </c>
      <c r="AY419" s="2187">
        <f>IF(ISERROR(AY418/AT418-1),,(AY418/AT418-1))</f>
        <v>0.62046035805626598</v>
      </c>
      <c r="AZ419" s="2202"/>
      <c r="BA419" s="2202"/>
      <c r="BB419" s="2202"/>
      <c r="BC419" s="2202"/>
      <c r="BD419" s="2187"/>
      <c r="BE419" s="2202"/>
      <c r="BF419" s="2202"/>
      <c r="BG419" s="2202"/>
      <c r="BH419" s="2202"/>
      <c r="BI419" s="2942"/>
      <c r="BJ419" s="2947"/>
      <c r="BK419" s="2947"/>
      <c r="BL419" s="2947"/>
      <c r="BM419" s="2947"/>
      <c r="BN419" s="2942"/>
      <c r="BO419" s="2943"/>
      <c r="BP419" s="2943"/>
      <c r="BQ419" s="2943"/>
      <c r="BR419" s="2943"/>
      <c r="BS419" s="2943"/>
      <c r="BT419" s="2189"/>
      <c r="BU419" s="2187"/>
      <c r="BV419" s="2187"/>
      <c r="BW419" s="2187"/>
      <c r="BX419" s="2187"/>
      <c r="BY419" s="2187"/>
      <c r="BZ419" s="2187"/>
      <c r="CA419" s="2187"/>
    </row>
    <row r="420" spans="1:79" s="1022" customFormat="1" outlineLevel="1">
      <c r="A420" s="2184" t="s">
        <v>952</v>
      </c>
      <c r="B420" s="2185"/>
      <c r="C420" s="2185"/>
      <c r="D420" s="2185"/>
      <c r="E420" s="2185"/>
      <c r="F420" s="2186"/>
      <c r="G420" s="2185"/>
      <c r="H420" s="2185"/>
      <c r="I420" s="2185"/>
      <c r="J420" s="2185"/>
      <c r="K420" s="2186"/>
      <c r="L420" s="2185"/>
      <c r="M420" s="2185"/>
      <c r="N420" s="2185"/>
      <c r="O420" s="2185"/>
      <c r="P420" s="2186"/>
      <c r="Q420" s="2185"/>
      <c r="R420" s="2185"/>
      <c r="S420" s="2185"/>
      <c r="T420" s="2185"/>
      <c r="U420" s="2186"/>
      <c r="V420" s="2185"/>
      <c r="W420" s="2185"/>
      <c r="X420" s="2185"/>
      <c r="Y420" s="2185"/>
      <c r="Z420" s="2186"/>
      <c r="AA420" s="2185"/>
      <c r="AB420" s="2185"/>
      <c r="AC420" s="2185"/>
      <c r="AD420" s="2185"/>
      <c r="AE420" s="2186"/>
      <c r="AF420" s="2148"/>
      <c r="AG420" s="2188">
        <f>IF(ISERROR(AG418/AF418-1),,(AG418/AF418-1))</f>
        <v>0.5</v>
      </c>
      <c r="AH420" s="2188">
        <f>IF(ISERROR(AH418/AG418-1),,(AH418/AG418-1))</f>
        <v>0</v>
      </c>
      <c r="AI420" s="2188">
        <f>IF(ISERROR(AI418/AH418-1),,(AI418/AH418-1))</f>
        <v>0.19999999999999996</v>
      </c>
      <c r="AJ420" s="2187"/>
      <c r="AK420" s="2188">
        <f>IF(ISERROR(AK418/AI418-1),,(AK418/AI418-1))</f>
        <v>-0.16666666666666663</v>
      </c>
      <c r="AL420" s="2188">
        <f>IF(ISERROR(AL418/AK418-1),,(AL418/AK418-1))</f>
        <v>0.5</v>
      </c>
      <c r="AM420" s="2188">
        <f>IF(ISERROR(AM418/AL418-1),,(AM418/AL418-1))</f>
        <v>-3.3333333333333326E-2</v>
      </c>
      <c r="AN420" s="2188">
        <f>IF(ISERROR(AN418/AM418-1),,(AN418/AM418-1))</f>
        <v>0.24137931034482762</v>
      </c>
      <c r="AO420" s="2187"/>
      <c r="AP420" s="2188">
        <f>IF(ISERROR(AP418/AN418-1),,(AP418/AN418-1))</f>
        <v>-2.777777777777779E-2</v>
      </c>
      <c r="AQ420" s="2188">
        <f>IF(ISERROR(AQ418/AP418-1),,(AQ418/AP418-1))</f>
        <v>0.28571428571428581</v>
      </c>
      <c r="AR420" s="2188">
        <f>IF(ISERROR(AR418/AQ418-1),,(AR418/AQ418-1))</f>
        <v>-3.3333333333333326E-2</v>
      </c>
      <c r="AS420" s="2188">
        <f>IF(ISERROR(AS418/AR418-1),,(AS418/AR418-1))</f>
        <v>0.65517241379310343</v>
      </c>
      <c r="AT420" s="2187"/>
      <c r="AU420" s="2188">
        <f>IF(ISERROR(AU418/AS418-1),,(AU418/AS418-1))</f>
        <v>-0.19791666666666663</v>
      </c>
      <c r="AV420" s="2188">
        <f>IF(ISERROR(AV418/AU418-1),,(AV418/AU418-1))</f>
        <v>0.28571428571428581</v>
      </c>
      <c r="AW420" s="2188">
        <f>IF(ISERROR(AW418/AV418-1),,(AW418/AV418-1))</f>
        <v>-6.2626262626262585E-2</v>
      </c>
      <c r="AX420" s="2188">
        <f>IF(ISERROR(AX418/AW418-1),,(AX418/AW418-1))</f>
        <v>0.65517241379310343</v>
      </c>
      <c r="AY420" s="2187"/>
      <c r="AZ420" s="2188"/>
      <c r="BA420" s="2188"/>
      <c r="BB420" s="2188"/>
      <c r="BC420" s="2188"/>
      <c r="BD420" s="2187"/>
      <c r="BE420" s="2188"/>
      <c r="BF420" s="2188"/>
      <c r="BG420" s="2188"/>
      <c r="BH420" s="2188"/>
      <c r="BI420" s="2942"/>
      <c r="BJ420" s="2943"/>
      <c r="BK420" s="2943"/>
      <c r="BL420" s="2943"/>
      <c r="BM420" s="2943"/>
      <c r="BN420" s="2942"/>
      <c r="BO420" s="2943"/>
      <c r="BP420" s="2943"/>
      <c r="BQ420" s="2943"/>
      <c r="BR420" s="2943"/>
      <c r="BS420" s="2943"/>
      <c r="BT420" s="2189"/>
      <c r="BU420" s="2187"/>
      <c r="BV420" s="2187"/>
      <c r="BW420" s="2187"/>
      <c r="BX420" s="2187"/>
      <c r="BY420" s="2187"/>
      <c r="BZ420" s="2187"/>
      <c r="CA420" s="2187"/>
    </row>
    <row r="421" spans="1:79" ht="8.25" customHeight="1" outlineLevel="1">
      <c r="A421" s="2120"/>
      <c r="B421" s="2168"/>
      <c r="C421" s="2168"/>
      <c r="D421" s="2168"/>
      <c r="E421" s="2168"/>
      <c r="F421" s="2215"/>
      <c r="G421" s="2168"/>
      <c r="H421" s="2168"/>
      <c r="I421" s="2168"/>
      <c r="J421" s="2168"/>
      <c r="K421" s="2215"/>
      <c r="L421" s="2168"/>
      <c r="M421" s="2168"/>
      <c r="N421" s="2168"/>
      <c r="O421" s="2168"/>
      <c r="P421" s="2215"/>
      <c r="Q421" s="2168"/>
      <c r="R421" s="2168"/>
      <c r="S421" s="2168"/>
      <c r="T421" s="2168"/>
      <c r="U421" s="2215"/>
      <c r="V421" s="2168"/>
      <c r="W421" s="2168"/>
      <c r="X421" s="2168"/>
      <c r="Y421" s="2168"/>
      <c r="Z421" s="2215"/>
      <c r="AA421" s="2168"/>
      <c r="AB421" s="2168"/>
      <c r="AC421" s="2168"/>
      <c r="AD421" s="2168"/>
      <c r="AE421" s="2215"/>
      <c r="AF421" s="2120"/>
      <c r="AG421" s="2120"/>
      <c r="AH421" s="2120"/>
      <c r="AI421" s="2120"/>
      <c r="AJ421" s="2215"/>
      <c r="AK421" s="2120"/>
      <c r="AL421" s="2120"/>
      <c r="AM421" s="2120"/>
      <c r="AN421" s="2120"/>
      <c r="AO421" s="2215"/>
      <c r="AP421" s="2120"/>
      <c r="AQ421" s="2120"/>
      <c r="AR421" s="2120"/>
      <c r="AS421" s="2120"/>
      <c r="AT421" s="2215"/>
      <c r="AU421" s="2120"/>
      <c r="AV421" s="2120"/>
      <c r="AW421" s="2120"/>
      <c r="AX421" s="2120"/>
      <c r="AY421" s="2215"/>
      <c r="AZ421" s="2120"/>
      <c r="BA421" s="2120"/>
      <c r="BB421" s="2120"/>
      <c r="BC421" s="2120"/>
      <c r="BD421" s="2215"/>
      <c r="BE421" s="2120"/>
      <c r="BF421" s="2120"/>
      <c r="BG421" s="2120"/>
      <c r="BH421" s="2120"/>
      <c r="BI421" s="2997"/>
      <c r="BJ421" s="2998"/>
      <c r="BK421" s="2998"/>
      <c r="BL421" s="2998"/>
      <c r="BM421" s="2998"/>
      <c r="BN421" s="2997"/>
      <c r="BT421" s="2120"/>
      <c r="BU421" s="2215"/>
      <c r="BV421" s="2215"/>
      <c r="BW421" s="2215"/>
      <c r="BX421" s="2215"/>
      <c r="BY421" s="2215"/>
      <c r="BZ421" s="2215"/>
      <c r="CA421" s="2215"/>
    </row>
    <row r="422" spans="1:79" outlineLevel="1">
      <c r="A422" s="2120" t="str">
        <f>A331</f>
        <v xml:space="preserve">   Office 365 Pro + Dynamics CRM Online</v>
      </c>
      <c r="B422" s="2168"/>
      <c r="C422" s="2168"/>
      <c r="D422" s="2168"/>
      <c r="E422" s="2168"/>
      <c r="F422" s="2215"/>
      <c r="G422" s="2168"/>
      <c r="H422" s="2168"/>
      <c r="I422" s="2168"/>
      <c r="J422" s="2168"/>
      <c r="K422" s="2215"/>
      <c r="L422" s="2168"/>
      <c r="M422" s="2168"/>
      <c r="N422" s="2168"/>
      <c r="O422" s="2168"/>
      <c r="P422" s="2215"/>
      <c r="Q422" s="2168"/>
      <c r="R422" s="2168"/>
      <c r="S422" s="2168"/>
      <c r="T422" s="2168"/>
      <c r="U422" s="2215"/>
      <c r="V422" s="2168"/>
      <c r="W422" s="2168"/>
      <c r="X422" s="2168"/>
      <c r="Y422" s="2168"/>
      <c r="Z422" s="2215"/>
      <c r="AA422" s="2168"/>
      <c r="AB422" s="2168"/>
      <c r="AC422" s="2168"/>
      <c r="AD422" s="2168"/>
      <c r="AE422" s="2223">
        <f>AE331</f>
        <v>643.44444444444434</v>
      </c>
      <c r="AF422" s="2144">
        <f>AF331</f>
        <v>153</v>
      </c>
      <c r="AG422" s="2144">
        <f>AG331</f>
        <v>239</v>
      </c>
      <c r="AH422" s="2144">
        <f>AH331</f>
        <v>374</v>
      </c>
      <c r="AI422" s="2144">
        <f>AI331</f>
        <v>382</v>
      </c>
      <c r="AJ422" s="2223">
        <f>SUM(AF422:AI422)</f>
        <v>1148</v>
      </c>
      <c r="AK422" s="2144">
        <f>AK331</f>
        <v>387.94999999999982</v>
      </c>
      <c r="AL422" s="2144">
        <f>AL331</f>
        <v>512.94999999999982</v>
      </c>
      <c r="AM422" s="2144">
        <f>AM331</f>
        <v>709.25</v>
      </c>
      <c r="AN422" s="2144">
        <f>AN331</f>
        <v>898.27</v>
      </c>
      <c r="AO422" s="2223">
        <f>SUM(AK422:AN422)</f>
        <v>2508.4199999999996</v>
      </c>
      <c r="AP422" s="2144">
        <f>AP331</f>
        <v>982.92824999999971</v>
      </c>
      <c r="AQ422" s="2144">
        <f>AQ331</f>
        <v>1154.2449999999997</v>
      </c>
      <c r="AR422" s="2144">
        <f>AR331</f>
        <v>1432.6589999999999</v>
      </c>
      <c r="AS422" s="2144">
        <f>AS331</f>
        <v>1595.086585</v>
      </c>
      <c r="AT422" s="2223">
        <f>SUM(AP422:AS422)</f>
        <v>5164.9188349999995</v>
      </c>
      <c r="AU422" s="2144">
        <f>AP422*(1+AU423)</f>
        <v>1651.3194599999997</v>
      </c>
      <c r="AV422" s="2144">
        <f>AQ422*(1+AV423)</f>
        <v>1904.5042499999993</v>
      </c>
      <c r="AW422" s="2144">
        <f>AR422*(1+AW423)</f>
        <v>2363.8873499999995</v>
      </c>
      <c r="AX422" s="2144">
        <f>AS422*(1+AX423)</f>
        <v>2552.1385360000004</v>
      </c>
      <c r="AY422" s="2223">
        <f>SUM(AU422:AX422)</f>
        <v>8471.8495959999982</v>
      </c>
      <c r="AZ422" s="2144"/>
      <c r="BA422" s="2144"/>
      <c r="BB422" s="2144"/>
      <c r="BC422" s="2144"/>
      <c r="BD422" s="2223"/>
      <c r="BE422" s="2144"/>
      <c r="BF422" s="2144"/>
      <c r="BG422" s="2144"/>
      <c r="BH422" s="2144"/>
      <c r="BI422" s="2958"/>
      <c r="BJ422" s="2959"/>
      <c r="BK422" s="2959"/>
      <c r="BL422" s="2959"/>
      <c r="BM422" s="2959"/>
      <c r="BN422" s="2958"/>
      <c r="BO422" s="2960"/>
      <c r="BP422" s="2960"/>
      <c r="BQ422" s="2960"/>
      <c r="BR422" s="2960"/>
      <c r="BS422" s="2960"/>
      <c r="BT422" s="2120"/>
      <c r="BU422" s="2223"/>
      <c r="BV422" s="2223"/>
      <c r="BW422" s="2223">
        <f>SUM(AM422:AN422,AP422:AQ422)</f>
        <v>3744.6932499999994</v>
      </c>
      <c r="BX422" s="2223">
        <f>SUM(AR422:AS422,AU422:AV422)</f>
        <v>6583.5692949999984</v>
      </c>
      <c r="BY422" s="2223">
        <f>SUM(AW422:AX422,AZ422:BA422)</f>
        <v>4916.0258859999994</v>
      </c>
      <c r="BZ422" s="2223">
        <f>SUM(BB422:BC422,BE422:BF422)</f>
        <v>0</v>
      </c>
      <c r="CA422" s="2223"/>
    </row>
    <row r="423" spans="1:79" s="1022" customFormat="1" outlineLevel="1">
      <c r="A423" s="2184" t="s">
        <v>926</v>
      </c>
      <c r="B423" s="2185"/>
      <c r="C423" s="2185"/>
      <c r="D423" s="2185"/>
      <c r="E423" s="2185"/>
      <c r="F423" s="2186"/>
      <c r="G423" s="2185"/>
      <c r="H423" s="2185"/>
      <c r="I423" s="2185"/>
      <c r="J423" s="2185"/>
      <c r="K423" s="2186"/>
      <c r="L423" s="2185"/>
      <c r="M423" s="2185"/>
      <c r="N423" s="2185"/>
      <c r="O423" s="2185"/>
      <c r="P423" s="2186"/>
      <c r="Q423" s="2185"/>
      <c r="R423" s="2185"/>
      <c r="S423" s="2185"/>
      <c r="T423" s="2185"/>
      <c r="U423" s="2186"/>
      <c r="V423" s="2185"/>
      <c r="W423" s="2185"/>
      <c r="X423" s="2185"/>
      <c r="Y423" s="2185"/>
      <c r="Z423" s="2186"/>
      <c r="AA423" s="2185"/>
      <c r="AB423" s="2185"/>
      <c r="AC423" s="2185"/>
      <c r="AD423" s="2185"/>
      <c r="AE423" s="2186"/>
      <c r="AF423" s="2148"/>
      <c r="AG423" s="2185"/>
      <c r="AH423" s="2185"/>
      <c r="AI423" s="2185"/>
      <c r="AJ423" s="2187">
        <f t="shared" ref="AJ423:AS423" si="229">IF(ISERROR(AJ422/AE422-1),,(AJ422/AE422-1))</f>
        <v>0.78414781557589386</v>
      </c>
      <c r="AK423" s="2188">
        <f t="shared" si="229"/>
        <v>1.5356209150326787</v>
      </c>
      <c r="AL423" s="2188">
        <f t="shared" si="229"/>
        <v>1.1462343096234302</v>
      </c>
      <c r="AM423" s="2188">
        <f t="shared" si="229"/>
        <v>0.89639037433155089</v>
      </c>
      <c r="AN423" s="2188">
        <f t="shared" si="229"/>
        <v>1.3514921465968586</v>
      </c>
      <c r="AO423" s="2187">
        <f t="shared" si="229"/>
        <v>1.1850348432055746</v>
      </c>
      <c r="AP423" s="2188">
        <f t="shared" si="229"/>
        <v>1.5336467328263956</v>
      </c>
      <c r="AQ423" s="2188">
        <f t="shared" si="229"/>
        <v>1.2502095720830493</v>
      </c>
      <c r="AR423" s="2188">
        <f t="shared" si="229"/>
        <v>1.0199633415579834</v>
      </c>
      <c r="AS423" s="2188">
        <f t="shared" si="229"/>
        <v>0.77573177886381606</v>
      </c>
      <c r="AT423" s="2187">
        <f>IF(ISERROR(AT422/AO422-1),,(AT422/AO422-1))</f>
        <v>1.0590327118265681</v>
      </c>
      <c r="AU423" s="2188">
        <v>0.68</v>
      </c>
      <c r="AV423" s="2188">
        <v>0.65</v>
      </c>
      <c r="AW423" s="2202">
        <v>0.65</v>
      </c>
      <c r="AX423" s="2188">
        <v>0.6</v>
      </c>
      <c r="AY423" s="2187">
        <f>IF(ISERROR(AY422/AT422-1),,(AY422/AT422-1))</f>
        <v>0.64026771119627846</v>
      </c>
      <c r="AZ423" s="2202"/>
      <c r="BA423" s="2202"/>
      <c r="BB423" s="2202"/>
      <c r="BC423" s="2202"/>
      <c r="BD423" s="2187"/>
      <c r="BE423" s="2202"/>
      <c r="BF423" s="2202"/>
      <c r="BG423" s="2202"/>
      <c r="BH423" s="2202"/>
      <c r="BI423" s="2942"/>
      <c r="BJ423" s="2947"/>
      <c r="BK423" s="2947"/>
      <c r="BL423" s="2947"/>
      <c r="BM423" s="2947"/>
      <c r="BN423" s="2942"/>
      <c r="BO423" s="2943"/>
      <c r="BP423" s="2943"/>
      <c r="BQ423" s="2943"/>
      <c r="BR423" s="2943"/>
      <c r="BS423" s="2943"/>
      <c r="BT423" s="2189"/>
      <c r="BU423" s="2187"/>
      <c r="BV423" s="2187"/>
      <c r="BW423" s="2187"/>
      <c r="BX423" s="2187"/>
      <c r="BY423" s="2187"/>
      <c r="BZ423" s="2187"/>
      <c r="CA423" s="2187"/>
    </row>
    <row r="424" spans="1:79" s="1022" customFormat="1" outlineLevel="1">
      <c r="A424" s="2184" t="s">
        <v>952</v>
      </c>
      <c r="B424" s="2185"/>
      <c r="C424" s="2185"/>
      <c r="D424" s="2185"/>
      <c r="E424" s="2185"/>
      <c r="F424" s="2186"/>
      <c r="G424" s="2185"/>
      <c r="H424" s="2185"/>
      <c r="I424" s="2185"/>
      <c r="J424" s="2185"/>
      <c r="K424" s="2186"/>
      <c r="L424" s="2185"/>
      <c r="M424" s="2185"/>
      <c r="N424" s="2185"/>
      <c r="O424" s="2185"/>
      <c r="P424" s="2186"/>
      <c r="Q424" s="2185"/>
      <c r="R424" s="2185"/>
      <c r="S424" s="2185"/>
      <c r="T424" s="2185"/>
      <c r="U424" s="2186"/>
      <c r="V424" s="2185"/>
      <c r="W424" s="2185"/>
      <c r="X424" s="2185"/>
      <c r="Y424" s="2185"/>
      <c r="Z424" s="2186"/>
      <c r="AA424" s="2185"/>
      <c r="AB424" s="2185"/>
      <c r="AC424" s="2185"/>
      <c r="AD424" s="2185"/>
      <c r="AE424" s="2186"/>
      <c r="AF424" s="2148"/>
      <c r="AG424" s="2188">
        <f>IF(ISERROR(AG422/AF422-1),,(AG422/AF422-1))</f>
        <v>0.56209150326797386</v>
      </c>
      <c r="AH424" s="2188">
        <f>IF(ISERROR(AH422/AG422-1),,(AH422/AG422-1))</f>
        <v>0.56485355648535562</v>
      </c>
      <c r="AI424" s="2188">
        <f>IF(ISERROR(AI422/AH422-1),,(AI422/AH422-1))</f>
        <v>2.1390374331550888E-2</v>
      </c>
      <c r="AJ424" s="2187"/>
      <c r="AK424" s="2188">
        <f>IF(ISERROR(AK422/AI422-1),,(AK422/AI422-1))</f>
        <v>1.5575916230365916E-2</v>
      </c>
      <c r="AL424" s="2188">
        <f>IF(ISERROR(AL422/AK422-1),,(AL422/AK422-1))</f>
        <v>0.32220646990591595</v>
      </c>
      <c r="AM424" s="2188">
        <f>IF(ISERROR(AM422/AL422-1),,(AM422/AL422-1))</f>
        <v>0.38268837118627586</v>
      </c>
      <c r="AN424" s="2188">
        <f>IF(ISERROR(AN422/AM422-1),,(AN422/AM422-1))</f>
        <v>0.26650687345787794</v>
      </c>
      <c r="AO424" s="2187"/>
      <c r="AP424" s="2188">
        <f>IF(ISERROR(AP422/AN422-1),,(AP422/AN422-1))</f>
        <v>9.4245883754327409E-2</v>
      </c>
      <c r="AQ424" s="2188">
        <f>IF(ISERROR(AQ422/AP422-1),,(AQ422/AP422-1))</f>
        <v>0.17429222326248128</v>
      </c>
      <c r="AR424" s="2188">
        <f>IF(ISERROR(AR422/AQ422-1),,(AR422/AQ422-1))</f>
        <v>0.24120875550684673</v>
      </c>
      <c r="AS424" s="2188">
        <f>IF(ISERROR(AS422/AR422-1),,(AS422/AR422-1))</f>
        <v>0.11337490987038801</v>
      </c>
      <c r="AT424" s="2187"/>
      <c r="AU424" s="2188">
        <f>IF(ISERROR(AU422/AS422-1),,(AU422/AS422-1))</f>
        <v>3.5253807240814838E-2</v>
      </c>
      <c r="AV424" s="2188">
        <f>IF(ISERROR(AV422/AU422-1),,(AV422/AU422-1))</f>
        <v>0.153322719275651</v>
      </c>
      <c r="AW424" s="2188">
        <f>IF(ISERROR(AW422/AV422-1),,(AW422/AV422-1))</f>
        <v>0.24120875550684673</v>
      </c>
      <c r="AX424" s="2188">
        <f>IF(ISERROR(AX422/AW422-1),,(AX422/AW422-1))</f>
        <v>7.963627623795233E-2</v>
      </c>
      <c r="AY424" s="2187"/>
      <c r="AZ424" s="2188"/>
      <c r="BA424" s="2188"/>
      <c r="BB424" s="2188"/>
      <c r="BC424" s="2188"/>
      <c r="BD424" s="2187"/>
      <c r="BE424" s="2188"/>
      <c r="BF424" s="2188"/>
      <c r="BG424" s="2188"/>
      <c r="BH424" s="2188"/>
      <c r="BI424" s="2942"/>
      <c r="BJ424" s="2943"/>
      <c r="BK424" s="2943"/>
      <c r="BL424" s="2943"/>
      <c r="BM424" s="2943"/>
      <c r="BN424" s="2942"/>
      <c r="BO424" s="2943"/>
      <c r="BP424" s="2943"/>
      <c r="BQ424" s="2943"/>
      <c r="BR424" s="2943"/>
      <c r="BS424" s="2943"/>
      <c r="BT424" s="2189"/>
      <c r="BU424" s="2187"/>
      <c r="BV424" s="2187"/>
      <c r="BW424" s="2187"/>
      <c r="BX424" s="2187"/>
      <c r="BY424" s="2187"/>
      <c r="BZ424" s="2187"/>
      <c r="CA424" s="2187"/>
    </row>
    <row r="425" spans="1:79" ht="8.25" customHeight="1" outlineLevel="1" thickBot="1">
      <c r="A425" s="2120"/>
      <c r="B425" s="2168"/>
      <c r="C425" s="2168"/>
      <c r="D425" s="2168"/>
      <c r="E425" s="2168"/>
      <c r="F425" s="2215"/>
      <c r="G425" s="2168"/>
      <c r="H425" s="2168"/>
      <c r="I425" s="2168"/>
      <c r="J425" s="2168"/>
      <c r="K425" s="2215"/>
      <c r="L425" s="2168"/>
      <c r="M425" s="2168"/>
      <c r="N425" s="2168"/>
      <c r="O425" s="2168"/>
      <c r="P425" s="2215"/>
      <c r="Q425" s="2168"/>
      <c r="R425" s="2168"/>
      <c r="S425" s="2168"/>
      <c r="T425" s="2168"/>
      <c r="U425" s="2215"/>
      <c r="V425" s="2168"/>
      <c r="W425" s="2168"/>
      <c r="X425" s="2168"/>
      <c r="Y425" s="2168"/>
      <c r="Z425" s="2215"/>
      <c r="AA425" s="2168"/>
      <c r="AB425" s="2168"/>
      <c r="AC425" s="2168"/>
      <c r="AD425" s="2168"/>
      <c r="AE425" s="2215"/>
      <c r="AF425" s="2120"/>
      <c r="AG425" s="2120"/>
      <c r="AH425" s="2120"/>
      <c r="AI425" s="2120"/>
      <c r="AJ425" s="2215"/>
      <c r="AK425" s="2120"/>
      <c r="AL425" s="2120"/>
      <c r="AM425" s="2120"/>
      <c r="AN425" s="2120"/>
      <c r="AO425" s="2215"/>
      <c r="AP425" s="2120"/>
      <c r="AQ425" s="2120"/>
      <c r="AR425" s="2120"/>
      <c r="AS425" s="2120"/>
      <c r="AT425" s="2215"/>
      <c r="AU425" s="2120"/>
      <c r="AV425" s="2120"/>
      <c r="AW425" s="2120"/>
      <c r="AX425" s="2120"/>
      <c r="AY425" s="2215"/>
      <c r="AZ425" s="2120"/>
      <c r="BA425" s="2120"/>
      <c r="BB425" s="2120"/>
      <c r="BC425" s="2120"/>
      <c r="BD425" s="2215"/>
      <c r="BE425" s="2120"/>
      <c r="BF425" s="2120"/>
      <c r="BG425" s="2120"/>
      <c r="BH425" s="2120"/>
      <c r="BI425" s="2997"/>
      <c r="BJ425" s="2998"/>
      <c r="BK425" s="2998"/>
      <c r="BL425" s="2998"/>
      <c r="BM425" s="2998"/>
      <c r="BN425" s="2997"/>
      <c r="BT425" s="2120"/>
      <c r="BU425" s="2215"/>
      <c r="BV425" s="2215"/>
      <c r="BW425" s="2215"/>
      <c r="BX425" s="2215"/>
      <c r="BY425" s="2215"/>
      <c r="BZ425" s="2215"/>
      <c r="CA425" s="2215"/>
    </row>
    <row r="426" spans="1:79" s="1011" customFormat="1" ht="13.5" outlineLevel="1" thickBot="1">
      <c r="A426" s="2206" t="s">
        <v>975</v>
      </c>
      <c r="B426" s="2207">
        <f>B254+B257+B260+B267+B270+B406</f>
        <v>1450</v>
      </c>
      <c r="C426" s="2207">
        <f>C254+C257+C260+C267+C270+C406</f>
        <v>468</v>
      </c>
      <c r="D426" s="2207">
        <f>D254+D257+D260+D267+D270+D406</f>
        <v>3250</v>
      </c>
      <c r="E426" s="2207">
        <f>E254+E257+E260+E267+E270+E406</f>
        <v>1948</v>
      </c>
      <c r="F426" s="2208">
        <f>SUM(B426:E426)</f>
        <v>7116</v>
      </c>
      <c r="G426" s="2207">
        <f>G254+G257+G260+G267+G270+G406</f>
        <v>1508</v>
      </c>
      <c r="H426" s="2207">
        <f>H254+H257+H260+H267+H270+H406</f>
        <v>1652</v>
      </c>
      <c r="I426" s="2207">
        <f>I254+I257+I260+I267+I270+I406</f>
        <v>1990</v>
      </c>
      <c r="J426" s="2207">
        <f>J254+J257+J260+J267+J270+J406</f>
        <v>1754</v>
      </c>
      <c r="K426" s="2208">
        <f>SUM(G426:J426)</f>
        <v>6904</v>
      </c>
      <c r="L426" s="2207">
        <f>L254+L257+L260+L267+L270+L406</f>
        <v>2176</v>
      </c>
      <c r="M426" s="2207">
        <f>M254+M257+M260+M267+M270+M406</f>
        <v>1500</v>
      </c>
      <c r="N426" s="2207">
        <f>N254+N257+N260+N267+N270+N406</f>
        <v>1396</v>
      </c>
      <c r="O426" s="2207">
        <f>O254+O257+O260+O267+O270+O406</f>
        <v>1176</v>
      </c>
      <c r="P426" s="2208">
        <f>SUM(L426:O426)</f>
        <v>6248</v>
      </c>
      <c r="Q426" s="2207">
        <f>Q254+Q257+Q260+Q267+Q270+Q406</f>
        <v>1514.1176470588234</v>
      </c>
      <c r="R426" s="2207">
        <f>R254+R257+R260+R267+R270+R406</f>
        <v>1690</v>
      </c>
      <c r="S426" s="2207">
        <f>S254+S257+S260+S267+S270+S406</f>
        <v>940</v>
      </c>
      <c r="T426" s="2207">
        <f>T254+T257+T260+T267+T270+T406</f>
        <v>1890</v>
      </c>
      <c r="U426" s="2208">
        <f>SUM(Q426:T426)</f>
        <v>6034.1176470588234</v>
      </c>
      <c r="V426" s="2207">
        <f>V254+V257+V260+V267+V270+V406</f>
        <v>1946.1176470588234</v>
      </c>
      <c r="W426" s="2207">
        <f>W254+W257+W260+W267+W270+W406</f>
        <v>2632</v>
      </c>
      <c r="X426" s="2207">
        <f>X254+X257+X260+X267+X270+X406</f>
        <v>1990</v>
      </c>
      <c r="Y426" s="2207">
        <f>Y254+Y257+Y260+Y267+Y270+Y406</f>
        <v>1704</v>
      </c>
      <c r="Z426" s="2208">
        <f>SUM(V426:Y426)</f>
        <v>8272.1176470588234</v>
      </c>
      <c r="AA426" s="2207">
        <f>AA254+AA257+AA260+AA267+AA270+AA406</f>
        <v>2000</v>
      </c>
      <c r="AB426" s="2207">
        <f>AB254+AB257+AB260+AB267+AB270+AB406</f>
        <v>2130</v>
      </c>
      <c r="AC426" s="2207">
        <f>AC254+AC257+AC260+AC267+AC270+AC406</f>
        <v>2000</v>
      </c>
      <c r="AD426" s="2207">
        <f>AD254+AD257+AD260+AD267+AD270+AD406</f>
        <v>1960</v>
      </c>
      <c r="AE426" s="2208">
        <f>AE422+AE418+AE414</f>
        <v>4644</v>
      </c>
      <c r="AF426" s="2207">
        <f t="shared" ref="AF426:AX426" si="230">AF422+AF418+AF414</f>
        <v>1248</v>
      </c>
      <c r="AG426" s="2207">
        <f t="shared" si="230"/>
        <v>1389</v>
      </c>
      <c r="AH426" s="2207">
        <f t="shared" si="230"/>
        <v>1449</v>
      </c>
      <c r="AI426" s="2207">
        <f t="shared" si="230"/>
        <v>1574</v>
      </c>
      <c r="AJ426" s="2208">
        <f>SUM(AF426:AI426)</f>
        <v>5660</v>
      </c>
      <c r="AK426" s="2207">
        <f t="shared" si="230"/>
        <v>1602</v>
      </c>
      <c r="AL426" s="2207">
        <f t="shared" si="230"/>
        <v>1780</v>
      </c>
      <c r="AM426" s="2207">
        <f t="shared" si="230"/>
        <v>1902</v>
      </c>
      <c r="AN426" s="2207">
        <f t="shared" si="230"/>
        <v>2262</v>
      </c>
      <c r="AO426" s="2208">
        <f>SUM(AK426:AN426)</f>
        <v>7546</v>
      </c>
      <c r="AP426" s="2207">
        <f>AP422+AP418+AP414</f>
        <v>2407</v>
      </c>
      <c r="AQ426" s="2207">
        <f>AQ422+AQ418+AQ414</f>
        <v>2593</v>
      </c>
      <c r="AR426" s="2207">
        <f>AR422+AR418+AR414</f>
        <v>2760</v>
      </c>
      <c r="AS426" s="2207">
        <f t="shared" si="230"/>
        <v>3076</v>
      </c>
      <c r="AT426" s="2208">
        <f>SUM(AP426:AS426)</f>
        <v>10836</v>
      </c>
      <c r="AU426" s="2207">
        <f t="shared" si="230"/>
        <v>3186.5601449999999</v>
      </c>
      <c r="AV426" s="2207">
        <f t="shared" si="230"/>
        <v>3491.0468999999994</v>
      </c>
      <c r="AW426" s="2207">
        <f t="shared" si="230"/>
        <v>3847.3141499999997</v>
      </c>
      <c r="AX426" s="2207">
        <f t="shared" si="230"/>
        <v>4279.8158900500002</v>
      </c>
      <c r="AY426" s="2208">
        <f>SUM(AU426:AX426)</f>
        <v>14804.737085049999</v>
      </c>
      <c r="AZ426" s="2207"/>
      <c r="BA426" s="2207"/>
      <c r="BB426" s="2207"/>
      <c r="BC426" s="2207"/>
      <c r="BD426" s="2208"/>
      <c r="BE426" s="2207"/>
      <c r="BF426" s="2207"/>
      <c r="BG426" s="2207"/>
      <c r="BH426" s="2207"/>
      <c r="BI426" s="3014"/>
      <c r="BJ426" s="3015"/>
      <c r="BK426" s="3015"/>
      <c r="BL426" s="3015"/>
      <c r="BM426" s="3015"/>
      <c r="BN426" s="3014"/>
      <c r="BO426" s="3007"/>
      <c r="BP426" s="3007"/>
      <c r="BQ426" s="3007"/>
      <c r="BR426" s="3007"/>
      <c r="BS426" s="3007"/>
      <c r="BT426" s="2200"/>
      <c r="BU426" s="2208"/>
      <c r="BV426" s="2208"/>
      <c r="BW426" s="2208">
        <f>SUM(AM426:AN426,AP426:AQ426)</f>
        <v>9164</v>
      </c>
      <c r="BX426" s="2208">
        <f>SUM(AR426:AS426,AU426:AV426)</f>
        <v>12513.607044999999</v>
      </c>
      <c r="BY426" s="2208">
        <f>SUM(AW426:AX426,AZ426:BA426)</f>
        <v>8127.1300400500004</v>
      </c>
      <c r="BZ426" s="2208">
        <f>SUM(BB426:BC426,BE426:BF426)</f>
        <v>0</v>
      </c>
      <c r="CA426" s="2208"/>
    </row>
    <row r="427" spans="1:79" s="1022" customFormat="1" outlineLevel="1">
      <c r="A427" s="2184" t="s">
        <v>926</v>
      </c>
      <c r="B427" s="2185"/>
      <c r="C427" s="2185"/>
      <c r="D427" s="2185"/>
      <c r="E427" s="2185"/>
      <c r="F427" s="2186"/>
      <c r="G427" s="2185"/>
      <c r="H427" s="2185"/>
      <c r="I427" s="2185"/>
      <c r="J427" s="2185"/>
      <c r="K427" s="2186"/>
      <c r="L427" s="2185"/>
      <c r="M427" s="2185"/>
      <c r="N427" s="2185"/>
      <c r="O427" s="2185"/>
      <c r="P427" s="2186"/>
      <c r="Q427" s="2185"/>
      <c r="R427" s="2185"/>
      <c r="S427" s="2185"/>
      <c r="T427" s="2185"/>
      <c r="U427" s="2186"/>
      <c r="V427" s="2185"/>
      <c r="W427" s="2185"/>
      <c r="X427" s="2185"/>
      <c r="Y427" s="2185"/>
      <c r="Z427" s="2186"/>
      <c r="AA427" s="2188">
        <f>IF(ISERROR(AA426/V426-1),,(AA426/V426-1))</f>
        <v>2.7687099504292156E-2</v>
      </c>
      <c r="AB427" s="2188">
        <f>IF(ISERROR(AB426/W426-1),,(AB426/W426-1))</f>
        <v>-0.19072948328267481</v>
      </c>
      <c r="AC427" s="2188">
        <f>IF(ISERROR(AC426/X426-1),,(AC426/X426-1))</f>
        <v>5.0251256281406143E-3</v>
      </c>
      <c r="AD427" s="2188">
        <f>IF(ISERROR(AD426/Y426-1),,(AD426/Y426-1))</f>
        <v>0.15023474178403751</v>
      </c>
      <c r="AE427" s="2186"/>
      <c r="AF427" s="2188">
        <f t="shared" ref="AF427:AY427" si="231">IF(ISERROR(AF426/AA426-1),,(AF426/AA426-1))</f>
        <v>-0.376</v>
      </c>
      <c r="AG427" s="2188">
        <f t="shared" si="231"/>
        <v>-0.34788732394366195</v>
      </c>
      <c r="AH427" s="2188">
        <f t="shared" si="231"/>
        <v>-0.27549999999999997</v>
      </c>
      <c r="AI427" s="2188">
        <f t="shared" si="231"/>
        <v>-0.19693877551020411</v>
      </c>
      <c r="AJ427" s="2187">
        <f t="shared" si="231"/>
        <v>0.21877691645133512</v>
      </c>
      <c r="AK427" s="2188">
        <f t="shared" si="231"/>
        <v>0.28365384615384626</v>
      </c>
      <c r="AL427" s="2188">
        <f t="shared" si="231"/>
        <v>0.28149748020158394</v>
      </c>
      <c r="AM427" s="2188">
        <f t="shared" si="231"/>
        <v>0.31262939958592129</v>
      </c>
      <c r="AN427" s="2188">
        <f t="shared" si="231"/>
        <v>0.43710292249047011</v>
      </c>
      <c r="AO427" s="2187">
        <f t="shared" si="231"/>
        <v>0.33321554770318018</v>
      </c>
      <c r="AP427" s="2188">
        <f t="shared" si="231"/>
        <v>0.50249687890137329</v>
      </c>
      <c r="AQ427" s="2188">
        <f t="shared" si="231"/>
        <v>0.45674157303370788</v>
      </c>
      <c r="AR427" s="2188">
        <f t="shared" si="231"/>
        <v>0.45110410094637232</v>
      </c>
      <c r="AS427" s="2188">
        <f t="shared" si="231"/>
        <v>0.35985853227232534</v>
      </c>
      <c r="AT427" s="2187">
        <f t="shared" si="231"/>
        <v>0.43599257884972165</v>
      </c>
      <c r="AU427" s="2188">
        <f t="shared" si="231"/>
        <v>0.32387210012463652</v>
      </c>
      <c r="AV427" s="2188">
        <f t="shared" si="231"/>
        <v>0.34633509448515198</v>
      </c>
      <c r="AW427" s="2188">
        <f t="shared" si="231"/>
        <v>0.39395440217391298</v>
      </c>
      <c r="AX427" s="2188">
        <f t="shared" si="231"/>
        <v>0.39135757153771134</v>
      </c>
      <c r="AY427" s="2187">
        <f t="shared" si="231"/>
        <v>0.36625480666758947</v>
      </c>
      <c r="AZ427" s="2188"/>
      <c r="BA427" s="2188"/>
      <c r="BB427" s="2188"/>
      <c r="BC427" s="2188"/>
      <c r="BD427" s="2187"/>
      <c r="BE427" s="2188"/>
      <c r="BF427" s="2188"/>
      <c r="BG427" s="2188"/>
      <c r="BH427" s="2188"/>
      <c r="BI427" s="2942"/>
      <c r="BJ427" s="2943"/>
      <c r="BK427" s="2943"/>
      <c r="BL427" s="2943"/>
      <c r="BM427" s="2943"/>
      <c r="BN427" s="2942"/>
      <c r="BO427" s="2943"/>
      <c r="BP427" s="2943"/>
      <c r="BQ427" s="2943"/>
      <c r="BR427" s="2943"/>
      <c r="BS427" s="2943"/>
      <c r="BT427" s="2189"/>
      <c r="BU427" s="2187"/>
      <c r="BV427" s="2187"/>
      <c r="BW427" s="2187"/>
      <c r="BX427" s="2187"/>
      <c r="BY427" s="2187"/>
      <c r="BZ427" s="2187"/>
      <c r="CA427" s="2187"/>
    </row>
    <row r="428" spans="1:79" s="1022" customFormat="1" outlineLevel="1">
      <c r="A428" s="2184" t="s">
        <v>952</v>
      </c>
      <c r="B428" s="2185"/>
      <c r="C428" s="2185"/>
      <c r="D428" s="2185"/>
      <c r="E428" s="2185"/>
      <c r="F428" s="2186"/>
      <c r="G428" s="2185"/>
      <c r="H428" s="2185"/>
      <c r="I428" s="2185"/>
      <c r="J428" s="2185"/>
      <c r="K428" s="2186"/>
      <c r="L428" s="2185"/>
      <c r="M428" s="2185"/>
      <c r="N428" s="2185"/>
      <c r="O428" s="2185"/>
      <c r="P428" s="2186"/>
      <c r="Q428" s="2185"/>
      <c r="R428" s="2185"/>
      <c r="S428" s="2185"/>
      <c r="T428" s="2185"/>
      <c r="U428" s="2186"/>
      <c r="V428" s="2185"/>
      <c r="W428" s="2185"/>
      <c r="X428" s="2185"/>
      <c r="Y428" s="2185"/>
      <c r="Z428" s="2186"/>
      <c r="AA428" s="2209"/>
      <c r="AB428" s="2188">
        <f>IF(ISERROR(AB426/AA426-1),,(AB426/AA426-1))</f>
        <v>6.4999999999999947E-2</v>
      </c>
      <c r="AC428" s="2188">
        <f>IF(ISERROR(AC426/AB426-1),,(AC426/AB426-1))</f>
        <v>-6.1032863849765251E-2</v>
      </c>
      <c r="AD428" s="2188">
        <f>IF(ISERROR(AD426/AC426-1),,(AD426/AC426-1))</f>
        <v>-2.0000000000000018E-2</v>
      </c>
      <c r="AE428" s="2186"/>
      <c r="AF428" s="2188">
        <f>IF(ISERROR(AF426/AD426-1),,(AF426/AD426-1))</f>
        <v>-0.36326530612244901</v>
      </c>
      <c r="AG428" s="2188">
        <f>IF(ISERROR(AG426/AF426-1),,(AG426/AF426-1))</f>
        <v>0.11298076923076916</v>
      </c>
      <c r="AH428" s="2188">
        <f>IF(ISERROR(AH426/AG426-1),,(AH426/AG426-1))</f>
        <v>4.3196544276457916E-2</v>
      </c>
      <c r="AI428" s="2188">
        <f>IF(ISERROR(AI426/AH426-1),,(AI426/AH426-1))</f>
        <v>8.6266390614216704E-2</v>
      </c>
      <c r="AJ428" s="2187"/>
      <c r="AK428" s="2188">
        <f>IF(ISERROR(AK426/AI426-1),,(AK426/AI426-1))</f>
        <v>1.7789072426937835E-2</v>
      </c>
      <c r="AL428" s="2188">
        <f>IF(ISERROR(AL426/AK426-1),,(AL426/AK426-1))</f>
        <v>0.11111111111111116</v>
      </c>
      <c r="AM428" s="2188">
        <f>IF(ISERROR(AM426/AL426-1),,(AM426/AL426-1))</f>
        <v>6.853932584269673E-2</v>
      </c>
      <c r="AN428" s="2188">
        <f>IF(ISERROR(AN426/AM426-1),,(AN426/AM426-1))</f>
        <v>0.18927444794952675</v>
      </c>
      <c r="AO428" s="2187"/>
      <c r="AP428" s="2188">
        <f>IF(ISERROR(AP426/AN426-1),,(AP426/AN426-1))</f>
        <v>6.4102564102564097E-2</v>
      </c>
      <c r="AQ428" s="2188">
        <f>IF(ISERROR(AQ426/AP426-1),,(AQ426/AP426-1))</f>
        <v>7.7274615704196137E-2</v>
      </c>
      <c r="AR428" s="2188">
        <f>IF(ISERROR(AR426/AQ426-1),,(AR426/AQ426-1))</f>
        <v>6.4404165059776419E-2</v>
      </c>
      <c r="AS428" s="2188">
        <f>IF(ISERROR(AS426/AR426-1),,(AS426/AR426-1))</f>
        <v>0.11449275362318834</v>
      </c>
      <c r="AT428" s="2187"/>
      <c r="AU428" s="2188">
        <f>IF(ISERROR(AU426/AS426-1),,(AU426/AS426-1))</f>
        <v>3.5942829973992119E-2</v>
      </c>
      <c r="AV428" s="2188">
        <f>IF(ISERROR(AV426/AU426-1),,(AV426/AU426-1))</f>
        <v>9.5553431018010615E-2</v>
      </c>
      <c r="AW428" s="2188">
        <f>IF(ISERROR(AW426/AV426-1),,(AW426/AV426-1))</f>
        <v>0.10205169400617353</v>
      </c>
      <c r="AX428" s="2188">
        <f>IF(ISERROR(AX426/AW426-1),,(AX426/AW426-1))</f>
        <v>0.11241653870402035</v>
      </c>
      <c r="AY428" s="2187"/>
      <c r="AZ428" s="2188"/>
      <c r="BA428" s="2188"/>
      <c r="BB428" s="2188"/>
      <c r="BC428" s="2188"/>
      <c r="BD428" s="2187"/>
      <c r="BE428" s="2188"/>
      <c r="BF428" s="2188"/>
      <c r="BG428" s="2188"/>
      <c r="BH428" s="2188"/>
      <c r="BI428" s="2942"/>
      <c r="BJ428" s="2943"/>
      <c r="BK428" s="2943"/>
      <c r="BL428" s="2943"/>
      <c r="BM428" s="2943"/>
      <c r="BN428" s="2942"/>
      <c r="BO428" s="2943"/>
      <c r="BP428" s="2943"/>
      <c r="BQ428" s="2943"/>
      <c r="BR428" s="2943"/>
      <c r="BS428" s="2943"/>
      <c r="BT428" s="2189"/>
      <c r="BU428" s="2187"/>
      <c r="BV428" s="2187"/>
      <c r="BW428" s="2187"/>
      <c r="BX428" s="2187"/>
      <c r="BY428" s="2187"/>
      <c r="BZ428" s="2187"/>
      <c r="CA428" s="2187"/>
    </row>
    <row r="429" spans="1:79" s="1022" customFormat="1" outlineLevel="1">
      <c r="A429" s="2184" t="s">
        <v>953</v>
      </c>
      <c r="B429" s="2185"/>
      <c r="C429" s="2185"/>
      <c r="D429" s="2185"/>
      <c r="E429" s="2185"/>
      <c r="F429" s="2186"/>
      <c r="G429" s="2185"/>
      <c r="H429" s="2185"/>
      <c r="I429" s="2185"/>
      <c r="J429" s="2185"/>
      <c r="K429" s="2186"/>
      <c r="L429" s="2185"/>
      <c r="M429" s="2185"/>
      <c r="N429" s="2185"/>
      <c r="O429" s="2185"/>
      <c r="P429" s="2186"/>
      <c r="Q429" s="2185"/>
      <c r="R429" s="2185"/>
      <c r="S429" s="2185"/>
      <c r="T429" s="2185"/>
      <c r="U429" s="2186"/>
      <c r="V429" s="2185"/>
      <c r="W429" s="2185"/>
      <c r="X429" s="2185"/>
      <c r="Y429" s="2185"/>
      <c r="Z429" s="2186"/>
      <c r="AA429" s="2185"/>
      <c r="AB429" s="2185"/>
      <c r="AC429" s="2185"/>
      <c r="AD429" s="2185"/>
      <c r="AE429" s="2186"/>
      <c r="AF429" s="2148"/>
      <c r="AG429" s="2188"/>
      <c r="AH429" s="2188"/>
      <c r="AI429" s="2188"/>
      <c r="AJ429" s="2187"/>
      <c r="AK429" s="2188">
        <f>AVERAGE(AF428,AA428)</f>
        <v>-0.36326530612244901</v>
      </c>
      <c r="AL429" s="2188">
        <f>AVERAGE(AG428,AB428)</f>
        <v>8.8990384615384555E-2</v>
      </c>
      <c r="AM429" s="2188">
        <f>AVERAGE(AH428,AC428)</f>
        <v>-8.9181597866536677E-3</v>
      </c>
      <c r="AN429" s="2188">
        <f>AVERAGE(AI428,AD428)</f>
        <v>3.3133195307108343E-2</v>
      </c>
      <c r="AO429" s="2187"/>
      <c r="AP429" s="2188">
        <f>AVERAGE(AK428,AF428)</f>
        <v>-0.17273811684775559</v>
      </c>
      <c r="AQ429" s="2188">
        <f>AVERAGE(AL428,AG428)</f>
        <v>0.11204594017094016</v>
      </c>
      <c r="AR429" s="2188">
        <f>AVERAGE(AM428,AH428)</f>
        <v>5.5867935059577323E-2</v>
      </c>
      <c r="AS429" s="2188">
        <f>AVERAGE(AN428,AI428,AD428)</f>
        <v>8.5180279521247806E-2</v>
      </c>
      <c r="AT429" s="2187"/>
      <c r="AU429" s="2188">
        <f>AVERAGE(AP428,AK428,AF428)</f>
        <v>-9.3791223197649029E-2</v>
      </c>
      <c r="AV429" s="2188">
        <f>AVERAGE(AQ428,AL428,AG428)</f>
        <v>0.10045549868202548</v>
      </c>
      <c r="AW429" s="2188">
        <f>AVERAGE(AR428,AM428,AH428)</f>
        <v>5.8713345059643686E-2</v>
      </c>
      <c r="AX429" s="2188">
        <f>AVERAGE(AS428,AN428,AI428)</f>
        <v>0.13001119739564393</v>
      </c>
      <c r="AY429" s="2187"/>
      <c r="AZ429" s="2188"/>
      <c r="BA429" s="2188"/>
      <c r="BB429" s="2188"/>
      <c r="BC429" s="2188"/>
      <c r="BD429" s="2187"/>
      <c r="BE429" s="2188"/>
      <c r="BF429" s="2188"/>
      <c r="BG429" s="2188"/>
      <c r="BH429" s="2188"/>
      <c r="BI429" s="2942"/>
      <c r="BJ429" s="2943"/>
      <c r="BK429" s="2943"/>
      <c r="BL429" s="2943"/>
      <c r="BM429" s="2943"/>
      <c r="BN429" s="2942"/>
      <c r="BO429" s="2943"/>
      <c r="BP429" s="2943"/>
      <c r="BQ429" s="2943"/>
      <c r="BR429" s="2943"/>
      <c r="BS429" s="2943"/>
      <c r="BT429" s="2189"/>
      <c r="BU429" s="2187"/>
      <c r="BV429" s="2187"/>
      <c r="BW429" s="2187"/>
      <c r="BX429" s="2187"/>
      <c r="BY429" s="2187"/>
      <c r="BZ429" s="2187"/>
      <c r="CA429" s="2187"/>
    </row>
    <row r="430" spans="1:79" s="1022" customFormat="1" ht="8.25" customHeight="1" outlineLevel="1">
      <c r="A430" s="2184"/>
      <c r="B430" s="2185"/>
      <c r="C430" s="2185"/>
      <c r="D430" s="2185"/>
      <c r="E430" s="2185"/>
      <c r="F430" s="2186"/>
      <c r="G430" s="2185"/>
      <c r="H430" s="2185"/>
      <c r="I430" s="2185"/>
      <c r="J430" s="2185"/>
      <c r="K430" s="2186"/>
      <c r="L430" s="2185"/>
      <c r="M430" s="2185"/>
      <c r="N430" s="2185"/>
      <c r="O430" s="2185"/>
      <c r="P430" s="2186"/>
      <c r="Q430" s="2185"/>
      <c r="R430" s="2185"/>
      <c r="S430" s="2185"/>
      <c r="T430" s="2185"/>
      <c r="U430" s="2186"/>
      <c r="V430" s="2185"/>
      <c r="W430" s="2185"/>
      <c r="X430" s="2185"/>
      <c r="Y430" s="2185"/>
      <c r="Z430" s="2186"/>
      <c r="AA430" s="2185"/>
      <c r="AB430" s="2185"/>
      <c r="AC430" s="2185"/>
      <c r="AD430" s="2185"/>
      <c r="AE430" s="2186"/>
      <c r="AF430" s="2148"/>
      <c r="AG430" s="2188"/>
      <c r="AH430" s="2188"/>
      <c r="AI430" s="2188"/>
      <c r="AJ430" s="2187"/>
      <c r="AK430" s="2188"/>
      <c r="AL430" s="2188"/>
      <c r="AM430" s="2188"/>
      <c r="AN430" s="2188"/>
      <c r="AO430" s="2187"/>
      <c r="AP430" s="2188"/>
      <c r="AQ430" s="2188"/>
      <c r="AR430" s="2188"/>
      <c r="AS430" s="2188"/>
      <c r="AT430" s="2187"/>
      <c r="AU430" s="2188"/>
      <c r="AV430" s="2188"/>
      <c r="AW430" s="2188"/>
      <c r="AX430" s="2188"/>
      <c r="AY430" s="2187"/>
      <c r="AZ430" s="2188"/>
      <c r="BA430" s="2188"/>
      <c r="BB430" s="2188"/>
      <c r="BC430" s="2188"/>
      <c r="BD430" s="2187"/>
      <c r="BE430" s="2188"/>
      <c r="BF430" s="2188"/>
      <c r="BG430" s="2188"/>
      <c r="BH430" s="2188"/>
      <c r="BI430" s="2942"/>
      <c r="BJ430" s="2943"/>
      <c r="BK430" s="2943"/>
      <c r="BL430" s="2943"/>
      <c r="BM430" s="2943"/>
      <c r="BN430" s="2942"/>
      <c r="BO430" s="2943"/>
      <c r="BP430" s="2943"/>
      <c r="BQ430" s="2943"/>
      <c r="BR430" s="2943"/>
      <c r="BS430" s="2943"/>
      <c r="BT430" s="2189"/>
      <c r="BU430" s="2187"/>
      <c r="BV430" s="2187"/>
      <c r="BW430" s="2187"/>
      <c r="BX430" s="2187"/>
      <c r="BY430" s="2187"/>
      <c r="BZ430" s="2187"/>
      <c r="CA430" s="2187"/>
    </row>
    <row r="431" spans="1:79" s="1022" customFormat="1" outlineLevel="1">
      <c r="A431" s="2184" t="s">
        <v>976</v>
      </c>
      <c r="B431" s="2185"/>
      <c r="C431" s="2185"/>
      <c r="D431" s="2185"/>
      <c r="E431" s="2185"/>
      <c r="F431" s="2186"/>
      <c r="G431" s="2185"/>
      <c r="H431" s="2185"/>
      <c r="I431" s="2185"/>
      <c r="J431" s="2185"/>
      <c r="K431" s="2186"/>
      <c r="L431" s="2185"/>
      <c r="M431" s="2185"/>
      <c r="N431" s="2185"/>
      <c r="O431" s="2185"/>
      <c r="P431" s="2186"/>
      <c r="Q431" s="2185"/>
      <c r="R431" s="2185"/>
      <c r="S431" s="2185"/>
      <c r="T431" s="2185"/>
      <c r="U431" s="2186"/>
      <c r="V431" s="2185"/>
      <c r="W431" s="2185"/>
      <c r="X431" s="2185"/>
      <c r="Y431" s="2185"/>
      <c r="Z431" s="2186"/>
      <c r="AA431" s="2185"/>
      <c r="AB431" s="2185"/>
      <c r="AC431" s="2185"/>
      <c r="AD431" s="2185"/>
      <c r="AE431" s="2149">
        <f>'Rev Overview'!BE140</f>
        <v>-485</v>
      </c>
      <c r="AF431" s="2226">
        <f>'Rev Overview'!BF140</f>
        <v>-1347</v>
      </c>
      <c r="AG431" s="2226">
        <f>'Rev Overview'!BG140</f>
        <v>-578</v>
      </c>
      <c r="AH431" s="2226">
        <f>'Rev Overview'!BH140</f>
        <v>1651</v>
      </c>
      <c r="AI431" s="2226">
        <f>'Rev Overview'!BI140</f>
        <v>677</v>
      </c>
      <c r="AJ431" s="2149">
        <f>'Rev Overview'!BJ140</f>
        <v>403</v>
      </c>
      <c r="AK431" s="2226">
        <f>'Rev Overview'!BK140</f>
        <v>-131</v>
      </c>
      <c r="AL431" s="2226">
        <f>'Rev Overview'!BL140</f>
        <v>-55</v>
      </c>
      <c r="AM431" s="2226">
        <f>'Rev Overview'!BM140</f>
        <v>-127</v>
      </c>
      <c r="AN431" s="2226">
        <f>'Rev Overview'!BN140</f>
        <v>-102</v>
      </c>
      <c r="AO431" s="2149">
        <f>'Rev Overview'!BO140</f>
        <v>-415</v>
      </c>
      <c r="AP431" s="2226">
        <f>'Rev Overview'!BP140</f>
        <v>-43</v>
      </c>
      <c r="AQ431" s="2226">
        <f>'Rev Overview'!BQ140</f>
        <v>314</v>
      </c>
      <c r="AR431" s="2226">
        <f>'Rev Overview'!BR140</f>
        <v>-20</v>
      </c>
      <c r="AS431" s="2226">
        <f>'Rev Overview'!BS140</f>
        <v>-47</v>
      </c>
      <c r="AT431" s="2149">
        <f>'Rev Overview'!BT140</f>
        <v>204</v>
      </c>
      <c r="AU431" s="2226">
        <f>'Rev Overview'!BU140</f>
        <v>0</v>
      </c>
      <c r="AV431" s="2226">
        <f>'Rev Overview'!BV140</f>
        <v>0</v>
      </c>
      <c r="AW431" s="2226">
        <f>'Rev Overview'!BW140</f>
        <v>0</v>
      </c>
      <c r="AX431" s="2226">
        <f>'Rev Overview'!BX140</f>
        <v>0</v>
      </c>
      <c r="AY431" s="2149">
        <f>'Rev Overview'!BY140</f>
        <v>0</v>
      </c>
      <c r="AZ431" s="2226"/>
      <c r="BA431" s="2226"/>
      <c r="BB431" s="2226"/>
      <c r="BC431" s="2226"/>
      <c r="BD431" s="2149"/>
      <c r="BE431" s="2226"/>
      <c r="BF431" s="2226"/>
      <c r="BG431" s="2226"/>
      <c r="BH431" s="2226"/>
      <c r="BI431" s="2920"/>
      <c r="BJ431" s="3018"/>
      <c r="BK431" s="3018"/>
      <c r="BL431" s="3018"/>
      <c r="BM431" s="3018"/>
      <c r="BN431" s="2920"/>
      <c r="BO431" s="2944"/>
      <c r="BP431" s="2944"/>
      <c r="BQ431" s="2944"/>
      <c r="BR431" s="2944"/>
      <c r="BS431" s="2944"/>
      <c r="BT431" s="2189"/>
      <c r="BU431" s="2149"/>
      <c r="BV431" s="2149"/>
      <c r="BW431" s="2149"/>
      <c r="BX431" s="2149"/>
      <c r="BY431" s="2149"/>
      <c r="BZ431" s="2149"/>
      <c r="CA431" s="2149"/>
    </row>
    <row r="432" spans="1:79" ht="8.25" customHeight="1" outlineLevel="1" thickBot="1">
      <c r="A432" s="2120"/>
      <c r="B432" s="2168"/>
      <c r="C432" s="2168"/>
      <c r="D432" s="2168"/>
      <c r="E432" s="2168"/>
      <c r="F432" s="2215"/>
      <c r="G432" s="2168"/>
      <c r="H432" s="2168"/>
      <c r="I432" s="2168"/>
      <c r="J432" s="2168"/>
      <c r="K432" s="2215"/>
      <c r="L432" s="2168"/>
      <c r="M432" s="2168"/>
      <c r="N432" s="2168"/>
      <c r="O432" s="2168"/>
      <c r="P432" s="2215"/>
      <c r="Q432" s="2168"/>
      <c r="R432" s="2168"/>
      <c r="S432" s="2168"/>
      <c r="T432" s="2168"/>
      <c r="U432" s="2215"/>
      <c r="V432" s="2168"/>
      <c r="W432" s="2168"/>
      <c r="X432" s="2168"/>
      <c r="Y432" s="2168"/>
      <c r="Z432" s="2215"/>
      <c r="AA432" s="2168"/>
      <c r="AB432" s="2168"/>
      <c r="AC432" s="2168"/>
      <c r="AD432" s="2168"/>
      <c r="AE432" s="2215"/>
      <c r="AF432" s="2120"/>
      <c r="AG432" s="2120"/>
      <c r="AH432" s="2120"/>
      <c r="AI432" s="2120"/>
      <c r="AJ432" s="2215"/>
      <c r="AK432" s="2120"/>
      <c r="AL432" s="2120"/>
      <c r="AM432" s="2120"/>
      <c r="AN432" s="2120"/>
      <c r="AO432" s="2215"/>
      <c r="AP432" s="2120"/>
      <c r="AQ432" s="2120"/>
      <c r="AR432" s="2120"/>
      <c r="AS432" s="2120"/>
      <c r="AT432" s="2215"/>
      <c r="AU432" s="2120"/>
      <c r="AV432" s="2120"/>
      <c r="AW432" s="2120"/>
      <c r="AX432" s="2120"/>
      <c r="AY432" s="2215"/>
      <c r="AZ432" s="2120"/>
      <c r="BA432" s="2120"/>
      <c r="BB432" s="2120"/>
      <c r="BC432" s="2120"/>
      <c r="BD432" s="2215"/>
      <c r="BE432" s="2120"/>
      <c r="BF432" s="2120"/>
      <c r="BG432" s="2120"/>
      <c r="BH432" s="2120"/>
      <c r="BI432" s="2997"/>
      <c r="BJ432" s="2998"/>
      <c r="BK432" s="2998"/>
      <c r="BL432" s="2998"/>
      <c r="BM432" s="2998"/>
      <c r="BN432" s="2997"/>
      <c r="BT432" s="2120"/>
      <c r="BU432" s="2215"/>
      <c r="BV432" s="2215"/>
      <c r="BW432" s="2215"/>
      <c r="BX432" s="2215"/>
      <c r="BY432" s="2215"/>
      <c r="BZ432" s="2215"/>
      <c r="CA432" s="2215"/>
    </row>
    <row r="433" spans="1:79" s="1011" customFormat="1" ht="13.5" outlineLevel="1" thickBot="1">
      <c r="A433" s="2206" t="s">
        <v>743</v>
      </c>
      <c r="B433" s="2207">
        <f>B260+B263+B266+B383+B386+B412</f>
        <v>729.02777777777783</v>
      </c>
      <c r="C433" s="2207">
        <f>C260+C263+C266+C383+C386+C412</f>
        <v>235.3</v>
      </c>
      <c r="D433" s="2207">
        <f>D260+D263+D266+D383+D386+D412</f>
        <v>1634.0277777777778</v>
      </c>
      <c r="E433" s="2207">
        <f>E260+E263+E266+E383+E386+E412</f>
        <v>979.41111111111115</v>
      </c>
      <c r="F433" s="2208">
        <f>SUM(B433:E433)</f>
        <v>3577.7666666666669</v>
      </c>
      <c r="G433" s="2207">
        <f>G260+G263+G266+G383+G386+G412</f>
        <v>758.18888888888887</v>
      </c>
      <c r="H433" s="2207">
        <f>H260+H263+H266+H383+H386+H412</f>
        <v>830.58888888888885</v>
      </c>
      <c r="I433" s="2207">
        <f>I260+I263+I266+I383+I386+I412</f>
        <v>1000.5277777777778</v>
      </c>
      <c r="J433" s="2207">
        <f>J260+J263+J266+J383+J386+J412</f>
        <v>881.87222222222226</v>
      </c>
      <c r="K433" s="2208">
        <f>SUM(G433:J433)</f>
        <v>3471.1777777777779</v>
      </c>
      <c r="L433" s="2207">
        <f>L260+L263+L266+L383+L386+L412</f>
        <v>1094.0444444444445</v>
      </c>
      <c r="M433" s="2207">
        <f>M260+M263+M266+M383+M386+M412</f>
        <v>754.16666666666663</v>
      </c>
      <c r="N433" s="2207">
        <f>N260+N263+N266+N383+N386+N412</f>
        <v>701.87777777777774</v>
      </c>
      <c r="O433" s="2207">
        <f>O260+O263+O266+O383+O386+O412</f>
        <v>591.26666666666665</v>
      </c>
      <c r="P433" s="2208">
        <f>SUM(L433:O433)</f>
        <v>3141.3555555555558</v>
      </c>
      <c r="Q433" s="2207">
        <f>Q260+Q263+Q266+Q383+Q386+Q412</f>
        <v>761.26470588235293</v>
      </c>
      <c r="R433" s="2207">
        <f>R260+R263+R266+R383+R386+R412</f>
        <v>849.69444444444446</v>
      </c>
      <c r="S433" s="2207">
        <f>S260+S263+S266+S383+S386+S412</f>
        <v>472.61111111111109</v>
      </c>
      <c r="T433" s="2207">
        <f>T260+T263+T266+T383+T386+T412</f>
        <v>950.25</v>
      </c>
      <c r="U433" s="2208">
        <f>SUM(Q433:T433)</f>
        <v>3033.8202614379088</v>
      </c>
      <c r="V433" s="2207">
        <f>IS!DJ8</f>
        <v>16195</v>
      </c>
      <c r="W433" s="2207">
        <f>IS!DK8</f>
        <v>19953</v>
      </c>
      <c r="X433" s="2207">
        <f>IS!DL8</f>
        <v>16428</v>
      </c>
      <c r="Y433" s="2207">
        <f>IS!DM8</f>
        <v>17365.439999999999</v>
      </c>
      <c r="Z433" s="2208">
        <f>SUM(V433:Y433)</f>
        <v>69941.440000000002</v>
      </c>
      <c r="AA433" s="2207">
        <f>IS!DO8</f>
        <v>17372</v>
      </c>
      <c r="AB433" s="2207">
        <f>IS!DP8</f>
        <v>20885</v>
      </c>
      <c r="AC433" s="2207">
        <f>IS!DQ8</f>
        <v>17407</v>
      </c>
      <c r="AD433" s="2207">
        <f>IS!DR8</f>
        <v>18059</v>
      </c>
      <c r="AE433" s="2208">
        <f>AE426+AE408+AE384+AE360+AE354+AE431</f>
        <v>65738.019523466195</v>
      </c>
      <c r="AF433" s="2207">
        <f>AF426+AF408+AF384+AF360+AF354+AF431</f>
        <v>14811.260358689273</v>
      </c>
      <c r="AG433" s="2207">
        <f>AG426+AG408+AG384+AG360+AG354+AG431</f>
        <v>18400.196914914486</v>
      </c>
      <c r="AH433" s="2207">
        <f>AH426+AH408+AH384+AH360+AH354+AH431</f>
        <v>18661.469251424809</v>
      </c>
      <c r="AI433" s="2207">
        <f>AI426+AI408+AI384+AI360+AI354+AI431</f>
        <v>18073.610842949925</v>
      </c>
      <c r="AJ433" s="2208">
        <f>SUM(AF433:AI433)</f>
        <v>69946.537367978497</v>
      </c>
      <c r="AK433" s="2207">
        <f>AK426+AK408+AK384+AK360+AK354+AK431</f>
        <v>18829.682628468785</v>
      </c>
      <c r="AL433" s="2207">
        <f>AL426+AL408+AL384+AL360+AL354+AL431</f>
        <v>24959.336512510101</v>
      </c>
      <c r="AM433" s="2207">
        <f>AM426+AM408+AM384+AM360+AM354+AM431</f>
        <v>20951.030870439521</v>
      </c>
      <c r="AN433" s="2207">
        <f>AN426+AN408+AN384+AN360+AN354+AN431+AN366</f>
        <v>23514.071278187832</v>
      </c>
      <c r="AO433" s="2208">
        <f>SUM(AK433:AN433)</f>
        <v>88254.121289606235</v>
      </c>
      <c r="AP433" s="2207">
        <f>AP426+AP408+AP384+AP360+AP354+AP431+AP366</f>
        <v>23430.698734277383</v>
      </c>
      <c r="AQ433" s="2207">
        <f>AQ426+AQ408+AQ384+AQ360+AQ354+AQ431+AQ366</f>
        <v>26611.755012247013</v>
      </c>
      <c r="AR433" s="2207">
        <f>AR426+AR408+AR384+AR360+AR354+AR431+AR366</f>
        <v>22063.807174600504</v>
      </c>
      <c r="AS433" s="2207">
        <f>AS426+AS408+AS384+AS360+AS354+AS431+AS366</f>
        <v>22233.506413832383</v>
      </c>
      <c r="AT433" s="2208">
        <f>SUM(AP433:AS433)</f>
        <v>94339.767334957272</v>
      </c>
      <c r="AU433" s="2207">
        <f>AU426+AU408+AU384+AU360+AU354+AU431+AU366</f>
        <v>21237.436837895901</v>
      </c>
      <c r="AV433" s="2207">
        <f>AV426+AV408+AV384+AV360+AV354+AV431+AV366</f>
        <v>25114.02739230491</v>
      </c>
      <c r="AW433" s="2207">
        <f>AW426+AW408+AW384+AW360+AW354+AW431+AW366</f>
        <v>21811.243554023815</v>
      </c>
      <c r="AX433" s="2207">
        <f>AX426+AX408+AX384+AX360+AX354+AX431+AX366</f>
        <v>22089.447932341463</v>
      </c>
      <c r="AY433" s="2208">
        <f>SUM(AU433:AX433)</f>
        <v>90252.155716566078</v>
      </c>
      <c r="AZ433" s="2207"/>
      <c r="BA433" s="2207"/>
      <c r="BB433" s="2207"/>
      <c r="BC433" s="2207"/>
      <c r="BD433" s="2208"/>
      <c r="BE433" s="2207"/>
      <c r="BF433" s="2207"/>
      <c r="BG433" s="2207"/>
      <c r="BH433" s="2207"/>
      <c r="BI433" s="3014"/>
      <c r="BJ433" s="3015"/>
      <c r="BK433" s="3015"/>
      <c r="BL433" s="3015"/>
      <c r="BM433" s="3015"/>
      <c r="BN433" s="3014"/>
      <c r="BO433" s="3007"/>
      <c r="BP433" s="3007"/>
      <c r="BQ433" s="3007"/>
      <c r="BR433" s="3007"/>
      <c r="BS433" s="3007"/>
      <c r="BT433" s="2200"/>
      <c r="BU433" s="2208"/>
      <c r="BV433" s="2208"/>
      <c r="BW433" s="2208">
        <f>SUM(AM433:AN433,AP433:AQ433)</f>
        <v>94507.555895151745</v>
      </c>
      <c r="BX433" s="2208">
        <f>SUM(AR433:AS433,AU433:AV433)</f>
        <v>90648.777818633695</v>
      </c>
      <c r="BY433" s="2208">
        <f>SUM(AW433:AX433,AZ433:BA433)</f>
        <v>43900.691486365278</v>
      </c>
      <c r="BZ433" s="2208">
        <f>SUM(BB433:BC433,BE433:BF433)</f>
        <v>0</v>
      </c>
      <c r="CA433" s="2208"/>
    </row>
    <row r="434" spans="1:79" s="1022" customFormat="1" outlineLevel="1">
      <c r="A434" s="2184" t="s">
        <v>926</v>
      </c>
      <c r="B434" s="2185"/>
      <c r="C434" s="2185"/>
      <c r="D434" s="2185"/>
      <c r="E434" s="2185"/>
      <c r="F434" s="2186"/>
      <c r="G434" s="2185"/>
      <c r="H434" s="2185"/>
      <c r="I434" s="2185"/>
      <c r="J434" s="2185"/>
      <c r="K434" s="2186"/>
      <c r="L434" s="2185"/>
      <c r="M434" s="2185"/>
      <c r="N434" s="2185"/>
      <c r="O434" s="2185"/>
      <c r="P434" s="2186"/>
      <c r="Q434" s="2185"/>
      <c r="R434" s="2185"/>
      <c r="S434" s="2185"/>
      <c r="T434" s="2185"/>
      <c r="U434" s="2186"/>
      <c r="V434" s="2185"/>
      <c r="W434" s="2185"/>
      <c r="X434" s="2185"/>
      <c r="Y434" s="2185"/>
      <c r="Z434" s="2186"/>
      <c r="AA434" s="2188">
        <f>IF(ISERROR(AA433/V433-1),,(AA433/V433-1))</f>
        <v>7.2676752083976615E-2</v>
      </c>
      <c r="AB434" s="2188">
        <f>IF(ISERROR(AB433/W433-1),,(AB433/W433-1))</f>
        <v>4.6709767954693504E-2</v>
      </c>
      <c r="AC434" s="2188">
        <f>IF(ISERROR(AC433/X433-1),,(AC433/X433-1))</f>
        <v>5.9593377160944705E-2</v>
      </c>
      <c r="AD434" s="2188">
        <f>IF(ISERROR(AD433/Y433-1),,(AD433/Y433-1))</f>
        <v>3.9939097425691461E-2</v>
      </c>
      <c r="AE434" s="2186"/>
      <c r="AF434" s="2188">
        <f t="shared" ref="AF434:AY434" si="232">IF(ISERROR(AF433/AA433-1),,(AF433/AA433-1))</f>
        <v>-0.14740615020209114</v>
      </c>
      <c r="AG434" s="2188">
        <f t="shared" si="232"/>
        <v>-0.11897548887170284</v>
      </c>
      <c r="AH434" s="2188">
        <f t="shared" si="232"/>
        <v>7.2066941542184626E-2</v>
      </c>
      <c r="AI434" s="2188">
        <f t="shared" si="232"/>
        <v>8.0906157317262029E-4</v>
      </c>
      <c r="AJ434" s="2187">
        <f t="shared" si="232"/>
        <v>6.4019541127338098E-2</v>
      </c>
      <c r="AK434" s="2188">
        <f t="shared" si="232"/>
        <v>0.27130859713920552</v>
      </c>
      <c r="AL434" s="2188">
        <f t="shared" si="232"/>
        <v>0.35647116321233674</v>
      </c>
      <c r="AM434" s="2188">
        <f t="shared" si="232"/>
        <v>0.12268924746318688</v>
      </c>
      <c r="AN434" s="2188">
        <f t="shared" si="232"/>
        <v>0.3010167963951762</v>
      </c>
      <c r="AO434" s="2187">
        <f t="shared" si="232"/>
        <v>0.26173681515232428</v>
      </c>
      <c r="AP434" s="2188">
        <f t="shared" si="232"/>
        <v>0.2443491054306075</v>
      </c>
      <c r="AQ434" s="2188">
        <f t="shared" si="232"/>
        <v>6.6204424100323678E-2</v>
      </c>
      <c r="AR434" s="2188">
        <f t="shared" si="232"/>
        <v>5.3113200540935379E-2</v>
      </c>
      <c r="AS434" s="2188">
        <f t="shared" si="232"/>
        <v>-5.4459512740497984E-2</v>
      </c>
      <c r="AT434" s="2187">
        <f t="shared" si="232"/>
        <v>6.8955941733088721E-2</v>
      </c>
      <c r="AU434" s="2188">
        <f t="shared" si="232"/>
        <v>-9.360633761949666E-2</v>
      </c>
      <c r="AV434" s="2188">
        <f t="shared" si="232"/>
        <v>-5.6280678191003686E-2</v>
      </c>
      <c r="AW434" s="2188">
        <f t="shared" si="232"/>
        <v>-1.1446964641144808E-2</v>
      </c>
      <c r="AX434" s="2188">
        <f t="shared" si="232"/>
        <v>-6.4793415311807934E-3</v>
      </c>
      <c r="AY434" s="2187">
        <f t="shared" si="232"/>
        <v>-4.3328616699657041E-2</v>
      </c>
      <c r="AZ434" s="2188"/>
      <c r="BA434" s="2188"/>
      <c r="BB434" s="2188"/>
      <c r="BC434" s="2188"/>
      <c r="BD434" s="2187"/>
      <c r="BE434" s="2188"/>
      <c r="BF434" s="2188"/>
      <c r="BG434" s="2188"/>
      <c r="BH434" s="2188"/>
      <c r="BI434" s="2942"/>
      <c r="BJ434" s="2943"/>
      <c r="BK434" s="2943"/>
      <c r="BL434" s="2943"/>
      <c r="BM434" s="2943"/>
      <c r="BN434" s="2942"/>
      <c r="BO434" s="2943"/>
      <c r="BP434" s="2943"/>
      <c r="BQ434" s="2943"/>
      <c r="BR434" s="2943"/>
      <c r="BS434" s="2943"/>
      <c r="BT434" s="2189"/>
      <c r="BU434" s="2187"/>
      <c r="BV434" s="2187"/>
      <c r="BW434" s="2187"/>
      <c r="BX434" s="2187"/>
      <c r="BY434" s="2187"/>
      <c r="BZ434" s="2187"/>
      <c r="CA434" s="2187"/>
    </row>
    <row r="435" spans="1:79" s="1022" customFormat="1" outlineLevel="1">
      <c r="A435" s="2184" t="s">
        <v>952</v>
      </c>
      <c r="B435" s="2185"/>
      <c r="C435" s="2185"/>
      <c r="D435" s="2185"/>
      <c r="E435" s="2185"/>
      <c r="F435" s="2186"/>
      <c r="G435" s="2185"/>
      <c r="H435" s="2185"/>
      <c r="I435" s="2185"/>
      <c r="J435" s="2185"/>
      <c r="K435" s="2186"/>
      <c r="L435" s="2185"/>
      <c r="M435" s="2185"/>
      <c r="N435" s="2185"/>
      <c r="O435" s="2185"/>
      <c r="P435" s="2186"/>
      <c r="Q435" s="2185"/>
      <c r="R435" s="2185"/>
      <c r="S435" s="2185"/>
      <c r="T435" s="2185"/>
      <c r="U435" s="2186"/>
      <c r="V435" s="2185"/>
      <c r="W435" s="2185"/>
      <c r="X435" s="2185"/>
      <c r="Y435" s="2185"/>
      <c r="Z435" s="2186"/>
      <c r="AA435" s="2209"/>
      <c r="AB435" s="2188">
        <f>IF(ISERROR(AB433/AA433-1),,(AB433/AA433-1))</f>
        <v>0.20222196638268475</v>
      </c>
      <c r="AC435" s="2188">
        <f>IF(ISERROR(AC433/AB433-1),,(AC433/AB433-1))</f>
        <v>-0.16653100311228153</v>
      </c>
      <c r="AD435" s="2188">
        <f>IF(ISERROR(AD433/AC433-1),,(AD433/AC433-1))</f>
        <v>3.7456195783305501E-2</v>
      </c>
      <c r="AE435" s="2186"/>
      <c r="AF435" s="2188">
        <f>IF(ISERROR(AF433/AD433-1),,(AF433/AD433-1))</f>
        <v>-0.17984050286896991</v>
      </c>
      <c r="AG435" s="2188">
        <f>IF(ISERROR(AG433/AF433-1),,(AG433/AF433-1))</f>
        <v>0.2423113542879356</v>
      </c>
      <c r="AH435" s="2188">
        <f>IF(ISERROR(AH433/AG433-1),,(AH433/AG433-1))</f>
        <v>1.4199431545134589E-2</v>
      </c>
      <c r="AI435" s="2188">
        <f>IF(ISERROR(AI433/AH433-1),,(AI433/AH433-1))</f>
        <v>-3.1501185708086799E-2</v>
      </c>
      <c r="AJ435" s="2187"/>
      <c r="AK435" s="2188">
        <f>IF(ISERROR(AK433/AI433-1),,(AK433/AI433-1))</f>
        <v>4.1832912752671314E-2</v>
      </c>
      <c r="AL435" s="2188">
        <f>IF(ISERROR(AL433/AK433-1),,(AL433/AK433-1))</f>
        <v>0.32553144973212822</v>
      </c>
      <c r="AM435" s="2188">
        <f>IF(ISERROR(AM433/AL433-1),,(AM433/AL433-1))</f>
        <v>-0.16059343725188924</v>
      </c>
      <c r="AN435" s="2188">
        <f>IF(ISERROR(AN433/AM433-1),,(AN433/AM433-1))</f>
        <v>0.12233481128437385</v>
      </c>
      <c r="AO435" s="2187"/>
      <c r="AP435" s="2188">
        <f>IF(ISERROR(AP433/AN433-1),,(AP433/AN433-1))</f>
        <v>-3.5456447726169849E-3</v>
      </c>
      <c r="AQ435" s="2188">
        <f>IF(ISERROR(AQ433/AP433-1),,(AQ433/AP433-1))</f>
        <v>0.13576446498865957</v>
      </c>
      <c r="AR435" s="2188">
        <f>IF(ISERROR(AR433/AQ433-1),,(AR433/AQ433-1))</f>
        <v>-0.17089995889235765</v>
      </c>
      <c r="AS435" s="2188">
        <f>IF(ISERROR(AS433/AR433-1),,(AS433/AR433-1))</f>
        <v>7.6912945208855721E-3</v>
      </c>
      <c r="AT435" s="2187"/>
      <c r="AU435" s="2188">
        <f>IF(ISERROR(AU433/AS433-1),,(AU433/AS433-1))</f>
        <v>-4.4800381792985511E-2</v>
      </c>
      <c r="AV435" s="2188">
        <f>IF(ISERROR(AV433/AU433-1),,(AV433/AU433-1))</f>
        <v>0.18253570729833335</v>
      </c>
      <c r="AW435" s="2188">
        <f>IF(ISERROR(AW433/AV433-1),,(AW433/AV433-1))</f>
        <v>-0.13151151691795515</v>
      </c>
      <c r="AX435" s="2188">
        <f>IF(ISERROR(AX433/AW433-1),,(AX433/AW433-1))</f>
        <v>1.2755090173037109E-2</v>
      </c>
      <c r="AY435" s="2187"/>
      <c r="AZ435" s="2188"/>
      <c r="BA435" s="2188"/>
      <c r="BB435" s="2188"/>
      <c r="BC435" s="2188"/>
      <c r="BD435" s="2187"/>
      <c r="BE435" s="2188"/>
      <c r="BF435" s="2188"/>
      <c r="BG435" s="2188"/>
      <c r="BH435" s="2188"/>
      <c r="BI435" s="2942"/>
      <c r="BJ435" s="2943"/>
      <c r="BK435" s="2943"/>
      <c r="BL435" s="2943"/>
      <c r="BM435" s="2943"/>
      <c r="BN435" s="2942"/>
      <c r="BO435" s="2943"/>
      <c r="BP435" s="2943"/>
      <c r="BQ435" s="2943"/>
      <c r="BR435" s="2943"/>
      <c r="BS435" s="2943"/>
      <c r="BT435" s="2189"/>
      <c r="BU435" s="2187"/>
      <c r="BV435" s="2187"/>
      <c r="BW435" s="2187"/>
      <c r="BX435" s="2187"/>
      <c r="BY435" s="2187"/>
      <c r="BZ435" s="2187"/>
      <c r="CA435" s="2187"/>
    </row>
    <row r="436" spans="1:79" s="1022" customFormat="1" outlineLevel="1">
      <c r="A436" s="2184" t="s">
        <v>953</v>
      </c>
      <c r="B436" s="2185"/>
      <c r="C436" s="2185"/>
      <c r="D436" s="2185"/>
      <c r="E436" s="2185"/>
      <c r="F436" s="2186"/>
      <c r="G436" s="2185"/>
      <c r="H436" s="2185"/>
      <c r="I436" s="2185"/>
      <c r="J436" s="2185"/>
      <c r="K436" s="2186"/>
      <c r="L436" s="2185"/>
      <c r="M436" s="2185"/>
      <c r="N436" s="2185"/>
      <c r="O436" s="2185"/>
      <c r="P436" s="2186"/>
      <c r="Q436" s="2185"/>
      <c r="R436" s="2185"/>
      <c r="S436" s="2185"/>
      <c r="T436" s="2185"/>
      <c r="U436" s="2186"/>
      <c r="V436" s="2185"/>
      <c r="W436" s="2185"/>
      <c r="X436" s="2185"/>
      <c r="Y436" s="2185"/>
      <c r="Z436" s="2186"/>
      <c r="AA436" s="2185"/>
      <c r="AB436" s="2185"/>
      <c r="AC436" s="2185"/>
      <c r="AD436" s="2185"/>
      <c r="AE436" s="2186"/>
      <c r="AF436" s="2148"/>
      <c r="AG436" s="2188"/>
      <c r="AH436" s="2188"/>
      <c r="AI436" s="2188"/>
      <c r="AJ436" s="2187"/>
      <c r="AK436" s="2188">
        <f>AVERAGE(AF435,AA435)</f>
        <v>-0.17984050286896991</v>
      </c>
      <c r="AL436" s="2188">
        <f>AVERAGE(AG435,AB435)</f>
        <v>0.22226666033531017</v>
      </c>
      <c r="AM436" s="2188">
        <f>AVERAGE(AH435,AC435)</f>
        <v>-7.616578578357347E-2</v>
      </c>
      <c r="AN436" s="2188">
        <f>AVERAGE(AI435,AD435)</f>
        <v>2.9775050376093515E-3</v>
      </c>
      <c r="AO436" s="2187"/>
      <c r="AP436" s="2188">
        <f>AVERAGE(AK435,AF435,AA435)</f>
        <v>-6.9003795058149298E-2</v>
      </c>
      <c r="AQ436" s="2188">
        <f>AVERAGE(AL435,AG435,AB435)</f>
        <v>0.25668825680091617</v>
      </c>
      <c r="AR436" s="2188">
        <f>AVERAGE(AM435,AH435,AC435)</f>
        <v>-0.10430833627301206</v>
      </c>
      <c r="AS436" s="2188">
        <f>AVERAGE(AN435,AI435,AD435)</f>
        <v>4.2763273786530852E-2</v>
      </c>
      <c r="AT436" s="2187"/>
      <c r="AU436" s="2188">
        <f>AVERAGE(AP435,AK435,AF435)</f>
        <v>-4.7184411629638524E-2</v>
      </c>
      <c r="AV436" s="2188">
        <f>AVERAGE(AQ435,AL435,AG435)</f>
        <v>0.23453575633624113</v>
      </c>
      <c r="AW436" s="2188">
        <f>AVERAGE(AR435,AM435,AH435)</f>
        <v>-0.10576465486637077</v>
      </c>
      <c r="AX436" s="2188">
        <f>AVERAGE(AS435,AN435,AI435)</f>
        <v>3.2841640032390873E-2</v>
      </c>
      <c r="AY436" s="2187"/>
      <c r="AZ436" s="2188"/>
      <c r="BA436" s="2188"/>
      <c r="BB436" s="2188"/>
      <c r="BC436" s="2188"/>
      <c r="BD436" s="2187"/>
      <c r="BE436" s="2188"/>
      <c r="BF436" s="2188"/>
      <c r="BG436" s="2188"/>
      <c r="BH436" s="2188"/>
      <c r="BI436" s="2942"/>
      <c r="BJ436" s="2943"/>
      <c r="BK436" s="2943"/>
      <c r="BL436" s="2943"/>
      <c r="BM436" s="2943"/>
      <c r="BN436" s="2942"/>
      <c r="BO436" s="2943"/>
      <c r="BP436" s="2943"/>
      <c r="BQ436" s="2943"/>
      <c r="BR436" s="2943"/>
      <c r="BS436" s="2943"/>
      <c r="BT436" s="2189"/>
      <c r="BU436" s="2187"/>
      <c r="BV436" s="2187"/>
      <c r="BW436" s="2187"/>
      <c r="BX436" s="2187"/>
      <c r="BY436" s="2187"/>
      <c r="BZ436" s="2187"/>
      <c r="CA436" s="2187"/>
    </row>
    <row r="437" spans="1:79">
      <c r="BE437" s="986"/>
      <c r="BF437" s="986"/>
      <c r="BG437" s="986"/>
      <c r="BH437" s="986"/>
      <c r="BI437" s="2997"/>
      <c r="BJ437" s="2998"/>
      <c r="BK437" s="2998"/>
      <c r="BL437" s="2998"/>
      <c r="BM437" s="2998"/>
      <c r="BN437" s="2997"/>
      <c r="BT437" s="1343"/>
      <c r="BZ437" s="1009"/>
      <c r="CA437" s="1009"/>
    </row>
    <row r="438" spans="1:79">
      <c r="B438" s="986"/>
      <c r="C438" s="986"/>
      <c r="D438" s="986"/>
      <c r="E438" s="986"/>
      <c r="F438" s="986"/>
      <c r="G438" s="986"/>
      <c r="H438" s="986"/>
      <c r="I438" s="986"/>
      <c r="J438" s="986"/>
      <c r="K438" s="986"/>
      <c r="L438" s="986"/>
      <c r="M438" s="986"/>
      <c r="N438" s="986"/>
      <c r="O438" s="986"/>
      <c r="P438" s="986"/>
      <c r="Q438" s="986"/>
      <c r="R438" s="986"/>
      <c r="S438" s="986"/>
      <c r="T438" s="986"/>
      <c r="U438" s="986"/>
      <c r="V438" s="986"/>
      <c r="W438" s="986"/>
      <c r="X438" s="986"/>
      <c r="Y438" s="986"/>
      <c r="Z438" s="986"/>
      <c r="AA438" s="986"/>
      <c r="AB438" s="986"/>
      <c r="AC438" s="986"/>
      <c r="AD438" s="986"/>
      <c r="AE438" s="986"/>
      <c r="BE438" s="986"/>
      <c r="BF438" s="986"/>
      <c r="BG438" s="986"/>
      <c r="BH438" s="986"/>
      <c r="BI438" s="2997"/>
      <c r="BJ438" s="2998"/>
      <c r="BK438" s="2998"/>
      <c r="BL438" s="2998"/>
      <c r="BM438" s="2998"/>
      <c r="BN438" s="2997"/>
      <c r="BT438" s="1343"/>
      <c r="BZ438" s="1009"/>
      <c r="CA438" s="1009"/>
    </row>
    <row r="439" spans="1:79">
      <c r="B439" s="986"/>
      <c r="C439" s="986"/>
      <c r="D439" s="986"/>
      <c r="E439" s="986"/>
      <c r="F439" s="986"/>
      <c r="G439" s="986"/>
      <c r="H439" s="986"/>
      <c r="I439" s="986"/>
      <c r="J439" s="986"/>
      <c r="K439" s="986"/>
      <c r="L439" s="986"/>
      <c r="M439" s="986"/>
      <c r="N439" s="986"/>
      <c r="O439" s="986"/>
      <c r="P439" s="986"/>
      <c r="Q439" s="986"/>
      <c r="R439" s="986"/>
      <c r="S439" s="986"/>
      <c r="T439" s="986"/>
      <c r="U439" s="986"/>
      <c r="V439" s="986"/>
      <c r="W439" s="986"/>
      <c r="X439" s="986"/>
      <c r="Y439" s="986"/>
      <c r="Z439" s="986"/>
      <c r="AA439" s="986"/>
      <c r="AB439" s="986"/>
      <c r="AC439" s="986"/>
      <c r="AD439" s="986"/>
      <c r="AE439" s="986"/>
      <c r="BE439" s="986"/>
      <c r="BF439" s="986"/>
      <c r="BG439" s="986"/>
      <c r="BH439" s="986"/>
      <c r="BI439" s="2997"/>
      <c r="BJ439" s="2998"/>
      <c r="BK439" s="2998"/>
      <c r="BL439" s="2998"/>
      <c r="BM439" s="2998"/>
      <c r="BN439" s="2997"/>
      <c r="BT439" s="1343"/>
      <c r="BZ439" s="1009"/>
      <c r="CA439" s="1009"/>
    </row>
    <row r="440" spans="1:79">
      <c r="B440" s="986"/>
      <c r="C440" s="986"/>
      <c r="D440" s="986"/>
      <c r="E440" s="986"/>
      <c r="F440" s="986"/>
      <c r="G440" s="986"/>
      <c r="H440" s="986"/>
      <c r="I440" s="986"/>
      <c r="J440" s="986"/>
      <c r="K440" s="986"/>
      <c r="L440" s="986"/>
      <c r="M440" s="986"/>
      <c r="N440" s="986"/>
      <c r="O440" s="986"/>
      <c r="P440" s="986"/>
      <c r="Q440" s="986"/>
      <c r="R440" s="986"/>
      <c r="S440" s="986"/>
      <c r="T440" s="986"/>
      <c r="U440" s="986"/>
      <c r="V440" s="986"/>
      <c r="W440" s="986"/>
      <c r="X440" s="986"/>
      <c r="Y440" s="986"/>
      <c r="Z440" s="986"/>
      <c r="AA440" s="986"/>
      <c r="AB440" s="986"/>
      <c r="AC440" s="986"/>
      <c r="AD440" s="986"/>
      <c r="AE440" s="986"/>
      <c r="BE440" s="986"/>
      <c r="BF440" s="986"/>
      <c r="BG440" s="986"/>
      <c r="BH440" s="986"/>
      <c r="BI440" s="2997"/>
      <c r="BJ440" s="2998"/>
      <c r="BK440" s="2998"/>
      <c r="BL440" s="2998"/>
      <c r="BM440" s="2998"/>
      <c r="BN440" s="2997"/>
      <c r="BT440" s="1343"/>
      <c r="BZ440" s="1009"/>
      <c r="CA440" s="1009"/>
    </row>
    <row r="441" spans="1:79">
      <c r="B441" s="986"/>
      <c r="C441" s="986"/>
      <c r="D441" s="986"/>
      <c r="E441" s="986"/>
      <c r="F441" s="986"/>
      <c r="G441" s="986"/>
      <c r="H441" s="986"/>
      <c r="I441" s="986"/>
      <c r="J441" s="986"/>
      <c r="K441" s="986"/>
      <c r="L441" s="986"/>
      <c r="M441" s="986"/>
      <c r="N441" s="986"/>
      <c r="O441" s="986"/>
      <c r="P441" s="986"/>
      <c r="Q441" s="986"/>
      <c r="R441" s="986"/>
      <c r="S441" s="986"/>
      <c r="T441" s="986"/>
      <c r="U441" s="986"/>
      <c r="V441" s="986"/>
      <c r="W441" s="986"/>
      <c r="X441" s="986"/>
      <c r="Y441" s="986"/>
      <c r="Z441" s="986"/>
      <c r="AA441" s="986"/>
      <c r="AB441" s="986"/>
      <c r="AC441" s="986"/>
      <c r="AD441" s="986"/>
      <c r="AE441" s="986"/>
      <c r="BE441" s="986"/>
      <c r="BF441" s="986"/>
      <c r="BG441" s="986"/>
      <c r="BH441" s="986"/>
      <c r="BI441" s="2997"/>
      <c r="BJ441" s="2998"/>
      <c r="BK441" s="2998"/>
      <c r="BL441" s="2998"/>
      <c r="BM441" s="2998"/>
      <c r="BN441" s="2997"/>
      <c r="BT441" s="1343"/>
      <c r="BZ441" s="1009"/>
      <c r="CA441" s="1009"/>
    </row>
    <row r="442" spans="1:79">
      <c r="B442" s="986"/>
      <c r="C442" s="986"/>
      <c r="D442" s="986"/>
      <c r="E442" s="986"/>
      <c r="F442" s="986"/>
      <c r="G442" s="986"/>
      <c r="H442" s="986"/>
      <c r="I442" s="986"/>
      <c r="J442" s="986"/>
      <c r="K442" s="986"/>
      <c r="L442" s="986"/>
      <c r="M442" s="986"/>
      <c r="N442" s="986"/>
      <c r="O442" s="986"/>
      <c r="P442" s="986"/>
      <c r="Q442" s="986"/>
      <c r="R442" s="986"/>
      <c r="S442" s="986"/>
      <c r="T442" s="986"/>
      <c r="U442" s="986"/>
      <c r="V442" s="986"/>
      <c r="W442" s="986"/>
      <c r="X442" s="986"/>
      <c r="Y442" s="986"/>
      <c r="Z442" s="986"/>
      <c r="AA442" s="986"/>
      <c r="AB442" s="986"/>
      <c r="AC442" s="986"/>
      <c r="AD442" s="986"/>
      <c r="AE442" s="986"/>
      <c r="BE442" s="986"/>
      <c r="BF442" s="986"/>
      <c r="BG442" s="986"/>
      <c r="BH442" s="986"/>
      <c r="BI442" s="2997"/>
      <c r="BJ442" s="2998"/>
      <c r="BK442" s="2998"/>
      <c r="BL442" s="2998"/>
      <c r="BM442" s="2998"/>
      <c r="BN442" s="2997"/>
      <c r="BT442" s="1343"/>
      <c r="BZ442" s="1009"/>
      <c r="CA442" s="1009"/>
    </row>
    <row r="443" spans="1:79">
      <c r="B443" s="986"/>
      <c r="C443" s="986"/>
      <c r="D443" s="986"/>
      <c r="E443" s="986"/>
      <c r="F443" s="986"/>
      <c r="G443" s="986"/>
      <c r="H443" s="986"/>
      <c r="I443" s="986"/>
      <c r="J443" s="986"/>
      <c r="K443" s="986"/>
      <c r="L443" s="986"/>
      <c r="M443" s="986"/>
      <c r="N443" s="986"/>
      <c r="O443" s="986"/>
      <c r="P443" s="986"/>
      <c r="Q443" s="986"/>
      <c r="R443" s="986"/>
      <c r="S443" s="986"/>
      <c r="T443" s="986"/>
      <c r="U443" s="986"/>
      <c r="V443" s="986"/>
      <c r="W443" s="986"/>
      <c r="X443" s="986"/>
      <c r="Y443" s="986"/>
      <c r="Z443" s="986"/>
      <c r="AA443" s="986"/>
      <c r="AB443" s="986"/>
      <c r="AC443" s="986"/>
      <c r="AD443" s="986"/>
      <c r="AE443" s="986"/>
      <c r="BE443" s="986"/>
      <c r="BF443" s="986"/>
      <c r="BG443" s="986"/>
      <c r="BH443" s="986"/>
      <c r="BI443" s="2997"/>
      <c r="BJ443" s="2998"/>
      <c r="BK443" s="2998"/>
      <c r="BL443" s="2998"/>
      <c r="BM443" s="2998"/>
      <c r="BN443" s="2997"/>
      <c r="BT443" s="1343"/>
      <c r="BZ443" s="1009"/>
      <c r="CA443" s="1009"/>
    </row>
    <row r="444" spans="1:79">
      <c r="B444" s="986"/>
      <c r="C444" s="986"/>
      <c r="D444" s="986"/>
      <c r="E444" s="986"/>
      <c r="F444" s="986"/>
      <c r="G444" s="986"/>
      <c r="H444" s="986"/>
      <c r="I444" s="986"/>
      <c r="J444" s="986"/>
      <c r="K444" s="986"/>
      <c r="L444" s="986"/>
      <c r="M444" s="986"/>
      <c r="N444" s="986"/>
      <c r="O444" s="986"/>
      <c r="P444" s="986"/>
      <c r="Q444" s="986"/>
      <c r="R444" s="986"/>
      <c r="S444" s="986"/>
      <c r="T444" s="986"/>
      <c r="U444" s="986"/>
      <c r="V444" s="986"/>
      <c r="W444" s="986"/>
      <c r="X444" s="986"/>
      <c r="Y444" s="986"/>
      <c r="Z444" s="986"/>
      <c r="AA444" s="986"/>
      <c r="AB444" s="986"/>
      <c r="AC444" s="986"/>
      <c r="AD444" s="986"/>
      <c r="AE444" s="986"/>
      <c r="BE444" s="986"/>
      <c r="BF444" s="986"/>
      <c r="BG444" s="986"/>
      <c r="BH444" s="986"/>
      <c r="BI444" s="2997"/>
      <c r="BJ444" s="2998"/>
      <c r="BK444" s="2998"/>
      <c r="BL444" s="2998"/>
      <c r="BM444" s="2998"/>
      <c r="BN444" s="2997"/>
      <c r="BT444" s="1343"/>
      <c r="BZ444" s="1009"/>
      <c r="CA444" s="1009"/>
    </row>
    <row r="445" spans="1:79">
      <c r="B445" s="986"/>
      <c r="C445" s="986"/>
      <c r="D445" s="986"/>
      <c r="E445" s="986"/>
      <c r="F445" s="986"/>
      <c r="G445" s="986"/>
      <c r="H445" s="986"/>
      <c r="I445" s="986"/>
      <c r="J445" s="986"/>
      <c r="K445" s="986"/>
      <c r="L445" s="986"/>
      <c r="M445" s="986"/>
      <c r="N445" s="986"/>
      <c r="O445" s="986"/>
      <c r="P445" s="986"/>
      <c r="Q445" s="986"/>
      <c r="R445" s="986"/>
      <c r="S445" s="986"/>
      <c r="T445" s="986"/>
      <c r="U445" s="986"/>
      <c r="V445" s="986"/>
      <c r="W445" s="986"/>
      <c r="X445" s="986"/>
      <c r="Y445" s="986"/>
      <c r="Z445" s="986"/>
      <c r="AA445" s="986"/>
      <c r="AB445" s="986"/>
      <c r="AC445" s="986"/>
      <c r="AD445" s="986"/>
      <c r="AE445" s="986"/>
      <c r="BE445" s="986"/>
      <c r="BF445" s="986"/>
      <c r="BG445" s="986"/>
      <c r="BH445" s="986"/>
      <c r="BI445" s="2997"/>
      <c r="BJ445" s="2998"/>
      <c r="BK445" s="2998"/>
      <c r="BL445" s="2998"/>
      <c r="BM445" s="2998"/>
      <c r="BN445" s="2997"/>
      <c r="BT445" s="1343"/>
      <c r="BZ445" s="1009"/>
      <c r="CA445" s="1009"/>
    </row>
    <row r="446" spans="1:79">
      <c r="B446" s="986"/>
      <c r="C446" s="986"/>
      <c r="D446" s="986"/>
      <c r="E446" s="986"/>
      <c r="F446" s="986"/>
      <c r="G446" s="986"/>
      <c r="H446" s="986"/>
      <c r="I446" s="986"/>
      <c r="J446" s="986"/>
      <c r="K446" s="986"/>
      <c r="L446" s="986"/>
      <c r="M446" s="986"/>
      <c r="N446" s="986"/>
      <c r="O446" s="986"/>
      <c r="P446" s="986"/>
      <c r="Q446" s="986"/>
      <c r="R446" s="986"/>
      <c r="S446" s="986"/>
      <c r="T446" s="986"/>
      <c r="U446" s="986"/>
      <c r="V446" s="986"/>
      <c r="W446" s="986"/>
      <c r="X446" s="986"/>
      <c r="Y446" s="986"/>
      <c r="Z446" s="986"/>
      <c r="AA446" s="986"/>
      <c r="AB446" s="986"/>
      <c r="AC446" s="986"/>
      <c r="AD446" s="986"/>
      <c r="AE446" s="986"/>
      <c r="BE446" s="986"/>
      <c r="BF446" s="986"/>
      <c r="BG446" s="986"/>
      <c r="BH446" s="986"/>
      <c r="BI446" s="2997"/>
      <c r="BJ446" s="2998"/>
      <c r="BK446" s="2998"/>
      <c r="BL446" s="2998"/>
      <c r="BM446" s="2998"/>
      <c r="BN446" s="2997"/>
      <c r="BT446" s="1343"/>
      <c r="BZ446" s="1009"/>
      <c r="CA446" s="1009"/>
    </row>
    <row r="447" spans="1:79">
      <c r="B447" s="986"/>
      <c r="C447" s="986"/>
      <c r="D447" s="986"/>
      <c r="E447" s="986"/>
      <c r="F447" s="986"/>
      <c r="G447" s="986"/>
      <c r="H447" s="986"/>
      <c r="I447" s="986"/>
      <c r="J447" s="986"/>
      <c r="K447" s="986"/>
      <c r="L447" s="986"/>
      <c r="M447" s="986"/>
      <c r="N447" s="986"/>
      <c r="O447" s="986"/>
      <c r="P447" s="986"/>
      <c r="Q447" s="986"/>
      <c r="R447" s="986"/>
      <c r="S447" s="986"/>
      <c r="T447" s="986"/>
      <c r="U447" s="986"/>
      <c r="V447" s="986"/>
      <c r="W447" s="986"/>
      <c r="X447" s="986"/>
      <c r="Y447" s="986"/>
      <c r="Z447" s="986"/>
      <c r="AA447" s="986"/>
      <c r="AB447" s="986"/>
      <c r="AC447" s="986"/>
      <c r="AD447" s="986"/>
      <c r="AE447" s="986"/>
      <c r="BE447" s="986"/>
      <c r="BF447" s="986"/>
      <c r="BG447" s="986"/>
      <c r="BH447" s="986"/>
      <c r="BI447" s="2997"/>
      <c r="BJ447" s="2998"/>
      <c r="BK447" s="2998"/>
      <c r="BL447" s="2998"/>
      <c r="BM447" s="2998"/>
      <c r="BN447" s="2997"/>
      <c r="BT447" s="1343"/>
      <c r="BZ447" s="1009"/>
      <c r="CA447" s="1009"/>
    </row>
    <row r="448" spans="1:79">
      <c r="B448" s="986"/>
      <c r="C448" s="986"/>
      <c r="D448" s="986"/>
      <c r="E448" s="986"/>
      <c r="F448" s="986"/>
      <c r="G448" s="986"/>
      <c r="H448" s="986"/>
      <c r="I448" s="986"/>
      <c r="J448" s="986"/>
      <c r="K448" s="986"/>
      <c r="L448" s="986"/>
      <c r="M448" s="986"/>
      <c r="N448" s="986"/>
      <c r="O448" s="986"/>
      <c r="P448" s="986"/>
      <c r="Q448" s="986"/>
      <c r="R448" s="986"/>
      <c r="S448" s="986"/>
      <c r="T448" s="986"/>
      <c r="U448" s="986"/>
      <c r="V448" s="986"/>
      <c r="W448" s="986"/>
      <c r="X448" s="986"/>
      <c r="Y448" s="986"/>
      <c r="Z448" s="986"/>
      <c r="AA448" s="986"/>
      <c r="AB448" s="986"/>
      <c r="AC448" s="986"/>
      <c r="AD448" s="986"/>
      <c r="AE448" s="986"/>
      <c r="BE448" s="986"/>
      <c r="BF448" s="986"/>
      <c r="BG448" s="986"/>
      <c r="BH448" s="986"/>
      <c r="BI448" s="2997"/>
      <c r="BJ448" s="2998"/>
      <c r="BK448" s="2998"/>
      <c r="BL448" s="2998"/>
      <c r="BM448" s="2998"/>
      <c r="BN448" s="2997"/>
      <c r="BT448" s="1343"/>
      <c r="BZ448" s="1009"/>
      <c r="CA448" s="1009"/>
    </row>
    <row r="449" spans="2:79">
      <c r="B449" s="986"/>
      <c r="C449" s="986"/>
      <c r="D449" s="986"/>
      <c r="E449" s="986"/>
      <c r="F449" s="986"/>
      <c r="G449" s="986"/>
      <c r="H449" s="986"/>
      <c r="I449" s="986"/>
      <c r="J449" s="986"/>
      <c r="K449" s="986"/>
      <c r="L449" s="986"/>
      <c r="M449" s="986"/>
      <c r="N449" s="986"/>
      <c r="O449" s="986"/>
      <c r="P449" s="986"/>
      <c r="Q449" s="986"/>
      <c r="R449" s="986"/>
      <c r="S449" s="986"/>
      <c r="T449" s="986"/>
      <c r="U449" s="986"/>
      <c r="V449" s="986"/>
      <c r="W449" s="986"/>
      <c r="X449" s="986"/>
      <c r="Y449" s="986"/>
      <c r="Z449" s="986"/>
      <c r="AA449" s="986"/>
      <c r="AB449" s="986"/>
      <c r="AC449" s="986"/>
      <c r="AD449" s="986"/>
      <c r="AE449" s="986"/>
      <c r="BE449" s="986"/>
      <c r="BF449" s="986"/>
      <c r="BG449" s="986"/>
      <c r="BH449" s="986"/>
      <c r="BI449" s="2997"/>
      <c r="BJ449" s="2998"/>
      <c r="BK449" s="2998"/>
      <c r="BL449" s="2998"/>
      <c r="BM449" s="2998"/>
      <c r="BN449" s="2997"/>
      <c r="BT449" s="1343"/>
      <c r="BZ449" s="1009"/>
      <c r="CA449" s="1009"/>
    </row>
    <row r="450" spans="2:79">
      <c r="B450" s="986"/>
      <c r="C450" s="986"/>
      <c r="D450" s="986"/>
      <c r="E450" s="986"/>
      <c r="F450" s="986"/>
      <c r="G450" s="986"/>
      <c r="H450" s="986"/>
      <c r="I450" s="986"/>
      <c r="J450" s="986"/>
      <c r="K450" s="986"/>
      <c r="L450" s="986"/>
      <c r="M450" s="986"/>
      <c r="N450" s="986"/>
      <c r="O450" s="986"/>
      <c r="P450" s="986"/>
      <c r="Q450" s="986"/>
      <c r="R450" s="986"/>
      <c r="S450" s="986"/>
      <c r="T450" s="986"/>
      <c r="U450" s="986"/>
      <c r="V450" s="986"/>
      <c r="W450" s="986"/>
      <c r="X450" s="986"/>
      <c r="Y450" s="986"/>
      <c r="Z450" s="986"/>
      <c r="AA450" s="986"/>
      <c r="AB450" s="986"/>
      <c r="AC450" s="986"/>
      <c r="AD450" s="986"/>
      <c r="AE450" s="986"/>
      <c r="BE450" s="986"/>
      <c r="BF450" s="986"/>
      <c r="BG450" s="986"/>
      <c r="BH450" s="986"/>
      <c r="BI450" s="2997"/>
      <c r="BJ450" s="2998"/>
      <c r="BK450" s="2998"/>
      <c r="BL450" s="2998"/>
      <c r="BM450" s="2998"/>
      <c r="BN450" s="2997"/>
      <c r="BT450" s="1343"/>
      <c r="BZ450" s="1009"/>
      <c r="CA450" s="1009"/>
    </row>
    <row r="451" spans="2:79">
      <c r="B451" s="986"/>
      <c r="C451" s="986"/>
      <c r="D451" s="986"/>
      <c r="E451" s="986"/>
      <c r="F451" s="986"/>
      <c r="G451" s="986"/>
      <c r="H451" s="986"/>
      <c r="I451" s="986"/>
      <c r="J451" s="986"/>
      <c r="K451" s="986"/>
      <c r="L451" s="986"/>
      <c r="M451" s="986"/>
      <c r="N451" s="986"/>
      <c r="O451" s="986"/>
      <c r="P451" s="986"/>
      <c r="Q451" s="986"/>
      <c r="R451" s="986"/>
      <c r="S451" s="986"/>
      <c r="T451" s="986"/>
      <c r="U451" s="986"/>
      <c r="V451" s="986"/>
      <c r="W451" s="986"/>
      <c r="X451" s="986"/>
      <c r="Y451" s="986"/>
      <c r="Z451" s="986"/>
      <c r="AA451" s="986"/>
      <c r="AB451" s="986"/>
      <c r="AC451" s="986"/>
      <c r="AD451" s="986"/>
      <c r="AE451" s="986"/>
      <c r="BE451" s="986"/>
      <c r="BF451" s="986"/>
      <c r="BG451" s="986"/>
      <c r="BH451" s="986"/>
      <c r="BI451" s="2997"/>
      <c r="BJ451" s="2998"/>
      <c r="BK451" s="2998"/>
      <c r="BL451" s="2998"/>
      <c r="BM451" s="2998"/>
      <c r="BN451" s="2997"/>
      <c r="BT451" s="1343"/>
      <c r="BZ451" s="1009"/>
      <c r="CA451" s="1009"/>
    </row>
    <row r="452" spans="2:79">
      <c r="B452" s="986"/>
      <c r="C452" s="986"/>
      <c r="D452" s="986"/>
      <c r="E452" s="986"/>
      <c r="F452" s="986"/>
      <c r="G452" s="986"/>
      <c r="H452" s="986"/>
      <c r="I452" s="986"/>
      <c r="J452" s="986"/>
      <c r="K452" s="986"/>
      <c r="L452" s="986"/>
      <c r="M452" s="986"/>
      <c r="N452" s="986"/>
      <c r="O452" s="986"/>
      <c r="P452" s="986"/>
      <c r="Q452" s="986"/>
      <c r="R452" s="986"/>
      <c r="S452" s="986"/>
      <c r="T452" s="986"/>
      <c r="U452" s="986"/>
      <c r="V452" s="986"/>
      <c r="W452" s="986"/>
      <c r="X452" s="986"/>
      <c r="Y452" s="986"/>
      <c r="Z452" s="986"/>
      <c r="AA452" s="986"/>
      <c r="AB452" s="986"/>
      <c r="AC452" s="986"/>
      <c r="AD452" s="986"/>
      <c r="AE452" s="986"/>
      <c r="BE452" s="986"/>
      <c r="BF452" s="986"/>
      <c r="BG452" s="986"/>
      <c r="BH452" s="986"/>
      <c r="BI452" s="2997"/>
      <c r="BJ452" s="2998"/>
      <c r="BK452" s="2998"/>
      <c r="BL452" s="2998"/>
      <c r="BM452" s="2998"/>
      <c r="BN452" s="2997"/>
      <c r="BT452" s="1343"/>
      <c r="BZ452" s="1009"/>
      <c r="CA452" s="1009"/>
    </row>
    <row r="453" spans="2:79">
      <c r="B453" s="986"/>
      <c r="C453" s="986"/>
      <c r="D453" s="986"/>
      <c r="E453" s="986"/>
      <c r="F453" s="986"/>
      <c r="G453" s="986"/>
      <c r="H453" s="986"/>
      <c r="I453" s="986"/>
      <c r="J453" s="986"/>
      <c r="K453" s="986"/>
      <c r="L453" s="986"/>
      <c r="M453" s="986"/>
      <c r="N453" s="986"/>
      <c r="O453" s="986"/>
      <c r="P453" s="986"/>
      <c r="Q453" s="986"/>
      <c r="R453" s="986"/>
      <c r="S453" s="986"/>
      <c r="T453" s="986"/>
      <c r="U453" s="986"/>
      <c r="V453" s="986"/>
      <c r="W453" s="986"/>
      <c r="X453" s="986"/>
      <c r="Y453" s="986"/>
      <c r="Z453" s="986"/>
      <c r="AA453" s="986"/>
      <c r="AB453" s="986"/>
      <c r="AC453" s="986"/>
      <c r="AD453" s="986"/>
      <c r="AE453" s="986"/>
      <c r="BE453" s="986"/>
      <c r="BF453" s="986"/>
      <c r="BG453" s="986"/>
      <c r="BH453" s="986"/>
      <c r="BI453" s="2997"/>
      <c r="BJ453" s="2998"/>
      <c r="BK453" s="2998"/>
      <c r="BL453" s="2998"/>
      <c r="BM453" s="2998"/>
      <c r="BN453" s="2997"/>
      <c r="BT453" s="1343"/>
      <c r="BZ453" s="1009"/>
      <c r="CA453" s="1009"/>
    </row>
    <row r="454" spans="2:79">
      <c r="B454" s="986"/>
      <c r="C454" s="986"/>
      <c r="D454" s="986"/>
      <c r="E454" s="986"/>
      <c r="F454" s="986"/>
      <c r="G454" s="986"/>
      <c r="H454" s="986"/>
      <c r="I454" s="986"/>
      <c r="J454" s="986"/>
      <c r="K454" s="986"/>
      <c r="L454" s="986"/>
      <c r="M454" s="986"/>
      <c r="N454" s="986"/>
      <c r="O454" s="986"/>
      <c r="P454" s="986"/>
      <c r="Q454" s="986"/>
      <c r="R454" s="986"/>
      <c r="S454" s="986"/>
      <c r="T454" s="986"/>
      <c r="U454" s="986"/>
      <c r="V454" s="986"/>
      <c r="W454" s="986"/>
      <c r="X454" s="986"/>
      <c r="Y454" s="986"/>
      <c r="Z454" s="986"/>
      <c r="AA454" s="986"/>
      <c r="AB454" s="986"/>
      <c r="AC454" s="986"/>
      <c r="AD454" s="986"/>
      <c r="AE454" s="986"/>
      <c r="BE454" s="986"/>
      <c r="BF454" s="986"/>
      <c r="BG454" s="986"/>
      <c r="BH454" s="986"/>
      <c r="BI454" s="2997"/>
      <c r="BJ454" s="2998"/>
      <c r="BK454" s="2998"/>
      <c r="BL454" s="2998"/>
      <c r="BM454" s="2998"/>
      <c r="BN454" s="2997"/>
      <c r="BT454" s="1343"/>
      <c r="BZ454" s="1009"/>
      <c r="CA454" s="1009"/>
    </row>
    <row r="455" spans="2:79">
      <c r="B455" s="986"/>
      <c r="C455" s="986"/>
      <c r="D455" s="986"/>
      <c r="E455" s="986"/>
      <c r="F455" s="986"/>
      <c r="G455" s="986"/>
      <c r="H455" s="986"/>
      <c r="I455" s="986"/>
      <c r="J455" s="986"/>
      <c r="K455" s="986"/>
      <c r="L455" s="986"/>
      <c r="M455" s="986"/>
      <c r="N455" s="986"/>
      <c r="O455" s="986"/>
      <c r="P455" s="986"/>
      <c r="Q455" s="986"/>
      <c r="R455" s="986"/>
      <c r="S455" s="986"/>
      <c r="T455" s="986"/>
      <c r="U455" s="986"/>
      <c r="V455" s="986"/>
      <c r="W455" s="986"/>
      <c r="X455" s="986"/>
      <c r="Y455" s="986"/>
      <c r="Z455" s="986"/>
      <c r="AA455" s="986"/>
      <c r="AB455" s="986"/>
      <c r="AC455" s="986"/>
      <c r="AD455" s="986"/>
      <c r="AE455" s="986"/>
      <c r="BE455" s="986"/>
      <c r="BF455" s="986"/>
      <c r="BG455" s="986"/>
      <c r="BH455" s="986"/>
      <c r="BI455" s="2997"/>
      <c r="BJ455" s="2998"/>
      <c r="BK455" s="2998"/>
      <c r="BL455" s="2998"/>
      <c r="BM455" s="2998"/>
      <c r="BN455" s="2997"/>
      <c r="BT455" s="1343"/>
      <c r="BZ455" s="1009"/>
      <c r="CA455" s="1009"/>
    </row>
    <row r="456" spans="2:79">
      <c r="B456" s="986"/>
      <c r="C456" s="986"/>
      <c r="D456" s="986"/>
      <c r="E456" s="986"/>
      <c r="F456" s="986"/>
      <c r="G456" s="986"/>
      <c r="H456" s="986"/>
      <c r="I456" s="986"/>
      <c r="J456" s="986"/>
      <c r="K456" s="986"/>
      <c r="L456" s="986"/>
      <c r="M456" s="986"/>
      <c r="N456" s="986"/>
      <c r="O456" s="986"/>
      <c r="P456" s="986"/>
      <c r="Q456" s="986"/>
      <c r="R456" s="986"/>
      <c r="S456" s="986"/>
      <c r="T456" s="986"/>
      <c r="U456" s="986"/>
      <c r="V456" s="986"/>
      <c r="W456" s="986"/>
      <c r="X456" s="986"/>
      <c r="Y456" s="986"/>
      <c r="Z456" s="986"/>
      <c r="AA456" s="986"/>
      <c r="AB456" s="986"/>
      <c r="AC456" s="986"/>
      <c r="AD456" s="986"/>
      <c r="AE456" s="986"/>
      <c r="BE456" s="986"/>
      <c r="BF456" s="986"/>
      <c r="BG456" s="986"/>
      <c r="BH456" s="986"/>
      <c r="BI456" s="2997"/>
      <c r="BJ456" s="2998"/>
      <c r="BK456" s="2998"/>
      <c r="BL456" s="2998"/>
      <c r="BM456" s="2998"/>
      <c r="BN456" s="2997"/>
      <c r="BT456" s="1343"/>
      <c r="BZ456" s="1009"/>
      <c r="CA456" s="1009"/>
    </row>
    <row r="457" spans="2:79">
      <c r="B457" s="986"/>
      <c r="C457" s="986"/>
      <c r="D457" s="986"/>
      <c r="E457" s="986"/>
      <c r="F457" s="986"/>
      <c r="G457" s="986"/>
      <c r="H457" s="986"/>
      <c r="I457" s="986"/>
      <c r="J457" s="986"/>
      <c r="K457" s="986"/>
      <c r="L457" s="986"/>
      <c r="M457" s="986"/>
      <c r="N457" s="986"/>
      <c r="O457" s="986"/>
      <c r="P457" s="986"/>
      <c r="Q457" s="986"/>
      <c r="R457" s="986"/>
      <c r="S457" s="986"/>
      <c r="T457" s="986"/>
      <c r="U457" s="986"/>
      <c r="V457" s="986"/>
      <c r="W457" s="986"/>
      <c r="X457" s="986"/>
      <c r="Y457" s="986"/>
      <c r="Z457" s="986"/>
      <c r="AA457" s="986"/>
      <c r="AB457" s="986"/>
      <c r="AC457" s="986"/>
      <c r="AD457" s="986"/>
      <c r="AE457" s="986"/>
      <c r="BE457" s="986"/>
      <c r="BF457" s="986"/>
      <c r="BG457" s="986"/>
      <c r="BH457" s="986"/>
      <c r="BI457" s="2997"/>
      <c r="BJ457" s="2998"/>
      <c r="BK457" s="2998"/>
      <c r="BL457" s="2998"/>
      <c r="BM457" s="2998"/>
      <c r="BN457" s="2997"/>
      <c r="BT457" s="1343"/>
      <c r="BZ457" s="1009"/>
      <c r="CA457" s="1009"/>
    </row>
    <row r="458" spans="2:79">
      <c r="B458" s="986"/>
      <c r="C458" s="986"/>
      <c r="D458" s="986"/>
      <c r="E458" s="986"/>
      <c r="F458" s="986"/>
      <c r="G458" s="986"/>
      <c r="H458" s="986"/>
      <c r="I458" s="986"/>
      <c r="J458" s="986"/>
      <c r="K458" s="986"/>
      <c r="L458" s="986"/>
      <c r="M458" s="986"/>
      <c r="N458" s="986"/>
      <c r="O458" s="986"/>
      <c r="P458" s="986"/>
      <c r="Q458" s="986"/>
      <c r="R458" s="986"/>
      <c r="S458" s="986"/>
      <c r="T458" s="986"/>
      <c r="U458" s="986"/>
      <c r="V458" s="986"/>
      <c r="W458" s="986"/>
      <c r="X458" s="986"/>
      <c r="Y458" s="986"/>
      <c r="Z458" s="986"/>
      <c r="AA458" s="986"/>
      <c r="AB458" s="986"/>
      <c r="AC458" s="986"/>
      <c r="AD458" s="986"/>
      <c r="AE458" s="986"/>
      <c r="BE458" s="986"/>
      <c r="BF458" s="986"/>
      <c r="BG458" s="986"/>
      <c r="BH458" s="986"/>
      <c r="BI458" s="2997"/>
      <c r="BJ458" s="2998"/>
      <c r="BK458" s="2998"/>
      <c r="BL458" s="2998"/>
      <c r="BM458" s="2998"/>
      <c r="BN458" s="2997"/>
      <c r="BT458" s="1343"/>
      <c r="BZ458" s="1009"/>
      <c r="CA458" s="1009"/>
    </row>
    <row r="459" spans="2:79">
      <c r="B459" s="986"/>
      <c r="C459" s="986"/>
      <c r="D459" s="986"/>
      <c r="E459" s="986"/>
      <c r="F459" s="986"/>
      <c r="G459" s="986"/>
      <c r="H459" s="986"/>
      <c r="I459" s="986"/>
      <c r="J459" s="986"/>
      <c r="K459" s="986"/>
      <c r="L459" s="986"/>
      <c r="M459" s="986"/>
      <c r="N459" s="986"/>
      <c r="O459" s="986"/>
      <c r="P459" s="986"/>
      <c r="Q459" s="986"/>
      <c r="R459" s="986"/>
      <c r="S459" s="986"/>
      <c r="T459" s="986"/>
      <c r="U459" s="986"/>
      <c r="V459" s="986"/>
      <c r="W459" s="986"/>
      <c r="X459" s="986"/>
      <c r="Y459" s="986"/>
      <c r="Z459" s="986"/>
      <c r="AA459" s="986"/>
      <c r="AB459" s="986"/>
      <c r="AC459" s="986"/>
      <c r="AD459" s="986"/>
      <c r="AE459" s="986"/>
      <c r="BE459" s="986"/>
      <c r="BF459" s="986"/>
      <c r="BG459" s="986"/>
      <c r="BH459" s="986"/>
      <c r="BI459" s="2997"/>
      <c r="BJ459" s="2998"/>
      <c r="BK459" s="2998"/>
      <c r="BL459" s="2998"/>
      <c r="BM459" s="2998"/>
      <c r="BN459" s="2997"/>
      <c r="BT459" s="1343"/>
      <c r="BZ459" s="1009"/>
      <c r="CA459" s="1009"/>
    </row>
    <row r="460" spans="2:79">
      <c r="B460" s="986"/>
      <c r="C460" s="986"/>
      <c r="D460" s="986"/>
      <c r="E460" s="986"/>
      <c r="F460" s="986"/>
      <c r="G460" s="986"/>
      <c r="H460" s="986"/>
      <c r="I460" s="986"/>
      <c r="J460" s="986"/>
      <c r="K460" s="986"/>
      <c r="L460" s="986"/>
      <c r="M460" s="986"/>
      <c r="N460" s="986"/>
      <c r="O460" s="986"/>
      <c r="P460" s="986"/>
      <c r="Q460" s="986"/>
      <c r="R460" s="986"/>
      <c r="S460" s="986"/>
      <c r="T460" s="986"/>
      <c r="U460" s="986"/>
      <c r="V460" s="986"/>
      <c r="W460" s="986"/>
      <c r="X460" s="986"/>
      <c r="Y460" s="986"/>
      <c r="Z460" s="986"/>
      <c r="AA460" s="986"/>
      <c r="AB460" s="986"/>
      <c r="AC460" s="986"/>
      <c r="AD460" s="986"/>
      <c r="AE460" s="986"/>
      <c r="BE460" s="986"/>
      <c r="BF460" s="986"/>
      <c r="BG460" s="986"/>
      <c r="BH460" s="986"/>
      <c r="BI460" s="2997"/>
      <c r="BJ460" s="2998"/>
      <c r="BK460" s="2998"/>
      <c r="BL460" s="2998"/>
      <c r="BM460" s="2998"/>
      <c r="BN460" s="2997"/>
      <c r="BT460" s="1343"/>
      <c r="BZ460" s="1009"/>
      <c r="CA460" s="1009"/>
    </row>
    <row r="461" spans="2:79">
      <c r="B461" s="986"/>
      <c r="C461" s="986"/>
      <c r="D461" s="986"/>
      <c r="E461" s="986"/>
      <c r="F461" s="986"/>
      <c r="G461" s="986"/>
      <c r="H461" s="986"/>
      <c r="I461" s="986"/>
      <c r="J461" s="986"/>
      <c r="K461" s="986"/>
      <c r="L461" s="986"/>
      <c r="M461" s="986"/>
      <c r="N461" s="986"/>
      <c r="O461" s="986"/>
      <c r="P461" s="986"/>
      <c r="Q461" s="986"/>
      <c r="R461" s="986"/>
      <c r="S461" s="986"/>
      <c r="T461" s="986"/>
      <c r="U461" s="986"/>
      <c r="V461" s="986"/>
      <c r="W461" s="986"/>
      <c r="X461" s="986"/>
      <c r="Y461" s="986"/>
      <c r="Z461" s="986"/>
      <c r="AA461" s="986"/>
      <c r="AB461" s="986"/>
      <c r="AC461" s="986"/>
      <c r="AD461" s="986"/>
      <c r="AE461" s="986"/>
      <c r="BE461" s="986"/>
      <c r="BF461" s="986"/>
      <c r="BG461" s="986"/>
      <c r="BH461" s="986"/>
      <c r="BI461" s="2997"/>
      <c r="BJ461" s="2998"/>
      <c r="BK461" s="2998"/>
      <c r="BL461" s="2998"/>
      <c r="BM461" s="2998"/>
      <c r="BN461" s="2997"/>
      <c r="BT461" s="1343"/>
      <c r="BZ461" s="1009"/>
      <c r="CA461" s="1009"/>
    </row>
    <row r="462" spans="2:79">
      <c r="B462" s="986"/>
      <c r="C462" s="986"/>
      <c r="D462" s="986"/>
      <c r="E462" s="986"/>
      <c r="F462" s="986"/>
      <c r="G462" s="986"/>
      <c r="H462" s="986"/>
      <c r="I462" s="986"/>
      <c r="J462" s="986"/>
      <c r="K462" s="986"/>
      <c r="L462" s="986"/>
      <c r="M462" s="986"/>
      <c r="N462" s="986"/>
      <c r="O462" s="986"/>
      <c r="P462" s="986"/>
      <c r="Q462" s="986"/>
      <c r="R462" s="986"/>
      <c r="S462" s="986"/>
      <c r="T462" s="986"/>
      <c r="U462" s="986"/>
      <c r="V462" s="986"/>
      <c r="W462" s="986"/>
      <c r="X462" s="986"/>
      <c r="Y462" s="986"/>
      <c r="Z462" s="986"/>
      <c r="AA462" s="986"/>
      <c r="AB462" s="986"/>
      <c r="AC462" s="986"/>
      <c r="AD462" s="986"/>
      <c r="AE462" s="986"/>
      <c r="BE462" s="986"/>
      <c r="BF462" s="986"/>
      <c r="BG462" s="986"/>
      <c r="BH462" s="986"/>
      <c r="BI462" s="2997"/>
      <c r="BJ462" s="2998"/>
      <c r="BK462" s="2998"/>
      <c r="BL462" s="2998"/>
      <c r="BM462" s="2998"/>
      <c r="BN462" s="2997"/>
      <c r="BT462" s="1343"/>
      <c r="BZ462" s="1009"/>
      <c r="CA462" s="1009"/>
    </row>
    <row r="463" spans="2:79">
      <c r="B463" s="986"/>
      <c r="C463" s="986"/>
      <c r="D463" s="986"/>
      <c r="E463" s="986"/>
      <c r="F463" s="986"/>
      <c r="G463" s="986"/>
      <c r="H463" s="986"/>
      <c r="I463" s="986"/>
      <c r="J463" s="986"/>
      <c r="K463" s="986"/>
      <c r="L463" s="986"/>
      <c r="M463" s="986"/>
      <c r="N463" s="986"/>
      <c r="O463" s="986"/>
      <c r="P463" s="986"/>
      <c r="Q463" s="986"/>
      <c r="R463" s="986"/>
      <c r="S463" s="986"/>
      <c r="T463" s="986"/>
      <c r="U463" s="986"/>
      <c r="V463" s="986"/>
      <c r="W463" s="986"/>
      <c r="X463" s="986"/>
      <c r="Y463" s="986"/>
      <c r="Z463" s="986"/>
      <c r="AA463" s="986"/>
      <c r="AB463" s="986"/>
      <c r="AC463" s="986"/>
      <c r="AD463" s="986"/>
      <c r="AE463" s="986"/>
      <c r="BE463" s="986"/>
      <c r="BF463" s="986"/>
      <c r="BG463" s="986"/>
      <c r="BH463" s="986"/>
      <c r="BI463" s="2997"/>
      <c r="BJ463" s="2998"/>
      <c r="BK463" s="2998"/>
      <c r="BL463" s="2998"/>
      <c r="BM463" s="2998"/>
      <c r="BN463" s="2997"/>
      <c r="BT463" s="1343"/>
      <c r="BZ463" s="1009"/>
      <c r="CA463" s="1009"/>
    </row>
    <row r="464" spans="2:79">
      <c r="B464" s="986"/>
      <c r="C464" s="986"/>
      <c r="D464" s="986"/>
      <c r="E464" s="986"/>
      <c r="F464" s="986"/>
      <c r="G464" s="986"/>
      <c r="H464" s="986"/>
      <c r="I464" s="986"/>
      <c r="J464" s="986"/>
      <c r="K464" s="986"/>
      <c r="L464" s="986"/>
      <c r="M464" s="986"/>
      <c r="N464" s="986"/>
      <c r="O464" s="986"/>
      <c r="P464" s="986"/>
      <c r="Q464" s="986"/>
      <c r="R464" s="986"/>
      <c r="S464" s="986"/>
      <c r="T464" s="986"/>
      <c r="U464" s="986"/>
      <c r="V464" s="986"/>
      <c r="W464" s="986"/>
      <c r="X464" s="986"/>
      <c r="Y464" s="986"/>
      <c r="Z464" s="986"/>
      <c r="AA464" s="986"/>
      <c r="AB464" s="986"/>
      <c r="AC464" s="986"/>
      <c r="AD464" s="986"/>
      <c r="AE464" s="986"/>
      <c r="BE464" s="986"/>
      <c r="BF464" s="986"/>
      <c r="BG464" s="986"/>
      <c r="BH464" s="986"/>
      <c r="BI464" s="2997"/>
      <c r="BJ464" s="2998"/>
      <c r="BK464" s="2998"/>
      <c r="BL464" s="2998"/>
      <c r="BM464" s="2998"/>
      <c r="BN464" s="2997"/>
      <c r="BT464" s="1343"/>
      <c r="BZ464" s="1009"/>
      <c r="CA464" s="1009"/>
    </row>
    <row r="465" spans="2:79">
      <c r="B465" s="986"/>
      <c r="C465" s="986"/>
      <c r="D465" s="986"/>
      <c r="E465" s="986"/>
      <c r="F465" s="986"/>
      <c r="G465" s="986"/>
      <c r="H465" s="986"/>
      <c r="I465" s="986"/>
      <c r="J465" s="986"/>
      <c r="K465" s="986"/>
      <c r="L465" s="986"/>
      <c r="M465" s="986"/>
      <c r="N465" s="986"/>
      <c r="O465" s="986"/>
      <c r="P465" s="986"/>
      <c r="Q465" s="986"/>
      <c r="R465" s="986"/>
      <c r="S465" s="986"/>
      <c r="T465" s="986"/>
      <c r="U465" s="986"/>
      <c r="V465" s="986"/>
      <c r="W465" s="986"/>
      <c r="X465" s="986"/>
      <c r="Y465" s="986"/>
      <c r="Z465" s="986"/>
      <c r="AA465" s="986"/>
      <c r="AB465" s="986"/>
      <c r="AC465" s="986"/>
      <c r="AD465" s="986"/>
      <c r="AE465" s="986"/>
      <c r="BE465" s="986"/>
      <c r="BF465" s="986"/>
      <c r="BG465" s="986"/>
      <c r="BH465" s="986"/>
      <c r="BI465" s="2997"/>
      <c r="BJ465" s="2998"/>
      <c r="BK465" s="2998"/>
      <c r="BL465" s="2998"/>
      <c r="BM465" s="2998"/>
      <c r="BN465" s="2997"/>
      <c r="BT465" s="1343"/>
      <c r="BZ465" s="1009"/>
      <c r="CA465" s="1009"/>
    </row>
    <row r="466" spans="2:79">
      <c r="B466" s="986"/>
      <c r="C466" s="986"/>
      <c r="D466" s="986"/>
      <c r="E466" s="986"/>
      <c r="F466" s="986"/>
      <c r="G466" s="986"/>
      <c r="H466" s="986"/>
      <c r="I466" s="986"/>
      <c r="J466" s="986"/>
      <c r="K466" s="986"/>
      <c r="L466" s="986"/>
      <c r="M466" s="986"/>
      <c r="N466" s="986"/>
      <c r="O466" s="986"/>
      <c r="P466" s="986"/>
      <c r="Q466" s="986"/>
      <c r="R466" s="986"/>
      <c r="S466" s="986"/>
      <c r="T466" s="986"/>
      <c r="U466" s="986"/>
      <c r="V466" s="986"/>
      <c r="W466" s="986"/>
      <c r="X466" s="986"/>
      <c r="Y466" s="986"/>
      <c r="Z466" s="986"/>
      <c r="AA466" s="986"/>
      <c r="AB466" s="986"/>
      <c r="AC466" s="986"/>
      <c r="AD466" s="986"/>
      <c r="AE466" s="986"/>
      <c r="BE466" s="986"/>
      <c r="BF466" s="986"/>
      <c r="BG466" s="986"/>
      <c r="BH466" s="986"/>
      <c r="BI466" s="2997"/>
      <c r="BJ466" s="2998"/>
      <c r="BK466" s="2998"/>
      <c r="BL466" s="2998"/>
      <c r="BM466" s="2998"/>
      <c r="BN466" s="2997"/>
      <c r="BT466" s="1343"/>
      <c r="BZ466" s="1009"/>
      <c r="CA466" s="1009"/>
    </row>
    <row r="467" spans="2:79">
      <c r="B467" s="986"/>
      <c r="C467" s="986"/>
      <c r="D467" s="986"/>
      <c r="E467" s="986"/>
      <c r="F467" s="986"/>
      <c r="G467" s="986"/>
      <c r="H467" s="986"/>
      <c r="I467" s="986"/>
      <c r="J467" s="986"/>
      <c r="K467" s="986"/>
      <c r="L467" s="986"/>
      <c r="M467" s="986"/>
      <c r="N467" s="986"/>
      <c r="O467" s="986"/>
      <c r="P467" s="986"/>
      <c r="Q467" s="986"/>
      <c r="R467" s="986"/>
      <c r="S467" s="986"/>
      <c r="T467" s="986"/>
      <c r="U467" s="986"/>
      <c r="V467" s="986"/>
      <c r="W467" s="986"/>
      <c r="X467" s="986"/>
      <c r="Y467" s="986"/>
      <c r="Z467" s="986"/>
      <c r="AA467" s="986"/>
      <c r="AB467" s="986"/>
      <c r="AC467" s="986"/>
      <c r="AD467" s="986"/>
      <c r="AE467" s="986"/>
      <c r="BE467" s="986"/>
      <c r="BF467" s="986"/>
      <c r="BG467" s="986"/>
      <c r="BH467" s="986"/>
      <c r="BI467" s="2997"/>
      <c r="BJ467" s="2998"/>
      <c r="BK467" s="2998"/>
      <c r="BL467" s="2998"/>
      <c r="BM467" s="2998"/>
      <c r="BN467" s="2997"/>
      <c r="BT467" s="1343"/>
      <c r="BZ467" s="1009"/>
      <c r="CA467" s="1009"/>
    </row>
    <row r="468" spans="2:79">
      <c r="B468" s="986"/>
      <c r="C468" s="986"/>
      <c r="D468" s="986"/>
      <c r="E468" s="986"/>
      <c r="F468" s="986"/>
      <c r="G468" s="986"/>
      <c r="H468" s="986"/>
      <c r="I468" s="986"/>
      <c r="J468" s="986"/>
      <c r="K468" s="986"/>
      <c r="L468" s="986"/>
      <c r="M468" s="986"/>
      <c r="N468" s="986"/>
      <c r="O468" s="986"/>
      <c r="P468" s="986"/>
      <c r="Q468" s="986"/>
      <c r="R468" s="986"/>
      <c r="S468" s="986"/>
      <c r="T468" s="986"/>
      <c r="U468" s="986"/>
      <c r="V468" s="986"/>
      <c r="W468" s="986"/>
      <c r="X468" s="986"/>
      <c r="Y468" s="986"/>
      <c r="Z468" s="986"/>
      <c r="AA468" s="986"/>
      <c r="AB468" s="986"/>
      <c r="AC468" s="986"/>
      <c r="AD468" s="986"/>
      <c r="AE468" s="986"/>
      <c r="BE468" s="986"/>
      <c r="BF468" s="986"/>
      <c r="BG468" s="986"/>
      <c r="BH468" s="986"/>
      <c r="BI468" s="2997"/>
      <c r="BJ468" s="2998"/>
      <c r="BK468" s="2998"/>
      <c r="BL468" s="2998"/>
      <c r="BM468" s="2998"/>
      <c r="BN468" s="2997"/>
      <c r="BT468" s="1343"/>
      <c r="BW468" s="1533"/>
      <c r="BZ468" s="1009"/>
      <c r="CA468" s="1009"/>
    </row>
    <row r="469" spans="2:79">
      <c r="B469" s="986"/>
      <c r="C469" s="986"/>
      <c r="D469" s="986"/>
      <c r="E469" s="986"/>
      <c r="F469" s="986"/>
      <c r="G469" s="986"/>
      <c r="H469" s="986"/>
      <c r="I469" s="986"/>
      <c r="J469" s="986"/>
      <c r="K469" s="986"/>
      <c r="L469" s="986"/>
      <c r="M469" s="986"/>
      <c r="N469" s="986"/>
      <c r="O469" s="986"/>
      <c r="P469" s="986"/>
      <c r="Q469" s="986"/>
      <c r="R469" s="986"/>
      <c r="S469" s="986"/>
      <c r="T469" s="986"/>
      <c r="U469" s="986"/>
      <c r="V469" s="986"/>
      <c r="W469" s="986"/>
      <c r="X469" s="986"/>
      <c r="Y469" s="986"/>
      <c r="Z469" s="986"/>
      <c r="AA469" s="986"/>
      <c r="AB469" s="986"/>
      <c r="AC469" s="986"/>
      <c r="AD469" s="986"/>
      <c r="AE469" s="986"/>
      <c r="BE469" s="986"/>
      <c r="BF469" s="986"/>
      <c r="BG469" s="986"/>
      <c r="BH469" s="986"/>
      <c r="BI469" s="2997"/>
      <c r="BJ469" s="2998"/>
      <c r="BK469" s="2998"/>
      <c r="BL469" s="2998"/>
      <c r="BM469" s="2998"/>
      <c r="BN469" s="2997"/>
      <c r="BT469" s="1343"/>
      <c r="BW469" s="1535"/>
      <c r="BZ469" s="1009"/>
      <c r="CA469" s="1009"/>
    </row>
    <row r="470" spans="2:79">
      <c r="B470" s="986"/>
      <c r="C470" s="986"/>
      <c r="D470" s="986"/>
      <c r="E470" s="986"/>
      <c r="F470" s="986"/>
      <c r="G470" s="986"/>
      <c r="H470" s="986"/>
      <c r="I470" s="986"/>
      <c r="J470" s="986"/>
      <c r="K470" s="986"/>
      <c r="L470" s="986"/>
      <c r="M470" s="986"/>
      <c r="N470" s="986"/>
      <c r="O470" s="986"/>
      <c r="P470" s="986"/>
      <c r="Q470" s="986"/>
      <c r="R470" s="986"/>
      <c r="S470" s="986"/>
      <c r="T470" s="986"/>
      <c r="U470" s="986"/>
      <c r="V470" s="986"/>
      <c r="W470" s="986"/>
      <c r="X470" s="986"/>
      <c r="Y470" s="986"/>
      <c r="Z470" s="986"/>
      <c r="AA470" s="986"/>
      <c r="AB470" s="986"/>
      <c r="AC470" s="986"/>
      <c r="AD470" s="986"/>
      <c r="AE470" s="986"/>
      <c r="BE470" s="986"/>
      <c r="BF470" s="986"/>
      <c r="BG470" s="986"/>
      <c r="BH470" s="986"/>
      <c r="BI470" s="2997"/>
      <c r="BJ470" s="2998"/>
      <c r="BK470" s="2998"/>
      <c r="BL470" s="2998"/>
      <c r="BM470" s="2998"/>
      <c r="BN470" s="2997"/>
      <c r="BT470" s="1343"/>
      <c r="BW470" s="1535"/>
      <c r="BZ470" s="1009"/>
      <c r="CA470" s="1009"/>
    </row>
    <row r="471" spans="2:79">
      <c r="B471" s="986"/>
      <c r="C471" s="986"/>
      <c r="D471" s="986"/>
      <c r="E471" s="986"/>
      <c r="F471" s="986"/>
      <c r="G471" s="986"/>
      <c r="H471" s="986"/>
      <c r="I471" s="986"/>
      <c r="J471" s="986"/>
      <c r="K471" s="986"/>
      <c r="L471" s="986"/>
      <c r="M471" s="986"/>
      <c r="N471" s="986"/>
      <c r="O471" s="986"/>
      <c r="P471" s="986"/>
      <c r="Q471" s="986"/>
      <c r="R471" s="986"/>
      <c r="S471" s="986"/>
      <c r="T471" s="986"/>
      <c r="U471" s="986"/>
      <c r="V471" s="986"/>
      <c r="W471" s="986"/>
      <c r="X471" s="986"/>
      <c r="Y471" s="986"/>
      <c r="Z471" s="986"/>
      <c r="AA471" s="986"/>
      <c r="AB471" s="986"/>
      <c r="AC471" s="986"/>
      <c r="AD471" s="986"/>
      <c r="AE471" s="986"/>
      <c r="BE471" s="986"/>
      <c r="BF471" s="986"/>
      <c r="BG471" s="986"/>
      <c r="BH471" s="986"/>
      <c r="BI471" s="2997"/>
      <c r="BJ471" s="2998"/>
      <c r="BK471" s="2998"/>
      <c r="BL471" s="2998"/>
      <c r="BM471" s="2998"/>
      <c r="BN471" s="2997"/>
      <c r="BT471" s="1343"/>
      <c r="BW471" s="1535"/>
      <c r="BZ471" s="1009"/>
      <c r="CA471" s="1009"/>
    </row>
    <row r="472" spans="2:79">
      <c r="B472" s="986"/>
      <c r="C472" s="986"/>
      <c r="D472" s="986"/>
      <c r="E472" s="986"/>
      <c r="F472" s="986"/>
      <c r="G472" s="986"/>
      <c r="H472" s="986"/>
      <c r="I472" s="986"/>
      <c r="J472" s="986"/>
      <c r="K472" s="986"/>
      <c r="L472" s="986"/>
      <c r="M472" s="986"/>
      <c r="N472" s="986"/>
      <c r="O472" s="986"/>
      <c r="P472" s="986"/>
      <c r="Q472" s="986"/>
      <c r="R472" s="986"/>
      <c r="S472" s="986"/>
      <c r="T472" s="986"/>
      <c r="U472" s="986"/>
      <c r="V472" s="986"/>
      <c r="W472" s="986"/>
      <c r="X472" s="986"/>
      <c r="Y472" s="986"/>
      <c r="Z472" s="986"/>
      <c r="AA472" s="986"/>
      <c r="AB472" s="986"/>
      <c r="AC472" s="986"/>
      <c r="AD472" s="986"/>
      <c r="AE472" s="986"/>
      <c r="BE472" s="986"/>
      <c r="BF472" s="986"/>
      <c r="BG472" s="986"/>
      <c r="BH472" s="986"/>
      <c r="BI472" s="2997"/>
      <c r="BJ472" s="2998"/>
      <c r="BK472" s="2998"/>
      <c r="BL472" s="2998"/>
      <c r="BM472" s="2998"/>
      <c r="BN472" s="2997"/>
      <c r="BT472" s="1343"/>
      <c r="BW472" s="1535"/>
      <c r="BZ472" s="1009"/>
      <c r="CA472" s="1009"/>
    </row>
    <row r="473" spans="2:79">
      <c r="B473" s="986"/>
      <c r="C473" s="986"/>
      <c r="D473" s="986"/>
      <c r="E473" s="986"/>
      <c r="F473" s="986"/>
      <c r="G473" s="986"/>
      <c r="H473" s="986"/>
      <c r="I473" s="986"/>
      <c r="J473" s="986"/>
      <c r="K473" s="986"/>
      <c r="L473" s="986"/>
      <c r="M473" s="986"/>
      <c r="N473" s="986"/>
      <c r="O473" s="986"/>
      <c r="P473" s="986"/>
      <c r="Q473" s="986"/>
      <c r="R473" s="986"/>
      <c r="S473" s="986"/>
      <c r="T473" s="986"/>
      <c r="U473" s="986"/>
      <c r="V473" s="986"/>
      <c r="W473" s="986"/>
      <c r="X473" s="986"/>
      <c r="Y473" s="986"/>
      <c r="Z473" s="986"/>
      <c r="AA473" s="986"/>
      <c r="AB473" s="986"/>
      <c r="AC473" s="986"/>
      <c r="AD473" s="986"/>
      <c r="AE473" s="986"/>
      <c r="BE473" s="986"/>
      <c r="BF473" s="986"/>
      <c r="BG473" s="986"/>
      <c r="BH473" s="986"/>
      <c r="BI473" s="2997"/>
      <c r="BJ473" s="2998"/>
      <c r="BK473" s="2998"/>
      <c r="BL473" s="2998"/>
      <c r="BM473" s="2998"/>
      <c r="BN473" s="2997"/>
      <c r="BT473" s="1343"/>
      <c r="BW473" s="1535"/>
      <c r="BZ473" s="1009"/>
      <c r="CA473" s="1009"/>
    </row>
    <row r="474" spans="2:79">
      <c r="B474" s="986"/>
      <c r="C474" s="986"/>
      <c r="D474" s="986"/>
      <c r="E474" s="986"/>
      <c r="F474" s="986"/>
      <c r="G474" s="986"/>
      <c r="H474" s="986"/>
      <c r="I474" s="986"/>
      <c r="J474" s="986"/>
      <c r="K474" s="986"/>
      <c r="L474" s="986"/>
      <c r="M474" s="986"/>
      <c r="N474" s="986"/>
      <c r="O474" s="986"/>
      <c r="P474" s="986"/>
      <c r="Q474" s="986"/>
      <c r="R474" s="986"/>
      <c r="S474" s="986"/>
      <c r="T474" s="986"/>
      <c r="U474" s="986"/>
      <c r="V474" s="986"/>
      <c r="W474" s="986"/>
      <c r="X474" s="986"/>
      <c r="Y474" s="986"/>
      <c r="Z474" s="986"/>
      <c r="AA474" s="986"/>
      <c r="AB474" s="986"/>
      <c r="AC474" s="986"/>
      <c r="AD474" s="986"/>
      <c r="AE474" s="986"/>
      <c r="BE474" s="986"/>
      <c r="BF474" s="986"/>
      <c r="BG474" s="986"/>
      <c r="BH474" s="986"/>
      <c r="BI474" s="2997"/>
      <c r="BJ474" s="2998"/>
      <c r="BK474" s="2998"/>
      <c r="BL474" s="2998"/>
      <c r="BM474" s="2998"/>
      <c r="BN474" s="2997"/>
      <c r="BT474" s="1343"/>
      <c r="BW474" s="1535"/>
      <c r="BZ474" s="1009"/>
      <c r="CA474" s="1009"/>
    </row>
    <row r="475" spans="2:79">
      <c r="B475" s="986"/>
      <c r="C475" s="986"/>
      <c r="D475" s="986"/>
      <c r="E475" s="986"/>
      <c r="F475" s="986"/>
      <c r="G475" s="986"/>
      <c r="H475" s="986"/>
      <c r="I475" s="986"/>
      <c r="J475" s="986"/>
      <c r="K475" s="986"/>
      <c r="L475" s="986"/>
      <c r="M475" s="986"/>
      <c r="N475" s="986"/>
      <c r="O475" s="986"/>
      <c r="P475" s="986"/>
      <c r="Q475" s="986"/>
      <c r="R475" s="986"/>
      <c r="S475" s="986"/>
      <c r="T475" s="986"/>
      <c r="U475" s="986"/>
      <c r="V475" s="986"/>
      <c r="W475" s="986"/>
      <c r="X475" s="986"/>
      <c r="Y475" s="986"/>
      <c r="Z475" s="986"/>
      <c r="AA475" s="986"/>
      <c r="AB475" s="986"/>
      <c r="AC475" s="986"/>
      <c r="AD475" s="986"/>
      <c r="AE475" s="986"/>
      <c r="BE475" s="986"/>
      <c r="BF475" s="986"/>
      <c r="BG475" s="986"/>
      <c r="BH475" s="986"/>
      <c r="BI475" s="2997"/>
      <c r="BJ475" s="2998"/>
      <c r="BK475" s="2998"/>
      <c r="BL475" s="2998"/>
      <c r="BM475" s="2998"/>
      <c r="BN475" s="2997"/>
      <c r="BT475" s="1343"/>
      <c r="BW475" s="1535"/>
      <c r="BZ475" s="1009"/>
      <c r="CA475" s="1009"/>
    </row>
    <row r="476" spans="2:79">
      <c r="B476" s="986"/>
      <c r="C476" s="986"/>
      <c r="D476" s="986"/>
      <c r="E476" s="986"/>
      <c r="F476" s="986"/>
      <c r="G476" s="986"/>
      <c r="H476" s="986"/>
      <c r="I476" s="986"/>
      <c r="J476" s="986"/>
      <c r="K476" s="986"/>
      <c r="L476" s="986"/>
      <c r="M476" s="986"/>
      <c r="N476" s="986"/>
      <c r="O476" s="986"/>
      <c r="P476" s="986"/>
      <c r="Q476" s="986"/>
      <c r="R476" s="986"/>
      <c r="S476" s="986"/>
      <c r="T476" s="986"/>
      <c r="U476" s="986"/>
      <c r="V476" s="986"/>
      <c r="W476" s="986"/>
      <c r="X476" s="986"/>
      <c r="Y476" s="986"/>
      <c r="Z476" s="986"/>
      <c r="AA476" s="986"/>
      <c r="AB476" s="986"/>
      <c r="AC476" s="986"/>
      <c r="AD476" s="986"/>
      <c r="AE476" s="986"/>
      <c r="BE476" s="986"/>
      <c r="BF476" s="986"/>
      <c r="BG476" s="986"/>
      <c r="BH476" s="986"/>
      <c r="BI476" s="2997"/>
      <c r="BJ476" s="2998"/>
      <c r="BK476" s="2998"/>
      <c r="BL476" s="2998"/>
      <c r="BM476" s="2998"/>
      <c r="BN476" s="2997"/>
      <c r="BT476" s="1343"/>
      <c r="BW476" s="1535"/>
      <c r="BZ476" s="1009"/>
      <c r="CA476" s="1009"/>
    </row>
    <row r="477" spans="2:79">
      <c r="B477" s="986"/>
      <c r="C477" s="986"/>
      <c r="D477" s="986"/>
      <c r="E477" s="986"/>
      <c r="F477" s="986"/>
      <c r="G477" s="986"/>
      <c r="H477" s="986"/>
      <c r="I477" s="986"/>
      <c r="J477" s="986"/>
      <c r="K477" s="986"/>
      <c r="L477" s="986"/>
      <c r="M477" s="986"/>
      <c r="N477" s="986"/>
      <c r="O477" s="986"/>
      <c r="P477" s="986"/>
      <c r="Q477" s="986"/>
      <c r="R477" s="986"/>
      <c r="S477" s="986"/>
      <c r="T477" s="986"/>
      <c r="U477" s="986"/>
      <c r="V477" s="986"/>
      <c r="W477" s="986"/>
      <c r="X477" s="986"/>
      <c r="Y477" s="986"/>
      <c r="Z477" s="986"/>
      <c r="AA477" s="986"/>
      <c r="AB477" s="986"/>
      <c r="AC477" s="986"/>
      <c r="AD477" s="986"/>
      <c r="AE477" s="986"/>
      <c r="BE477" s="986"/>
      <c r="BF477" s="986"/>
      <c r="BG477" s="986"/>
      <c r="BH477" s="986"/>
      <c r="BI477" s="2997"/>
      <c r="BJ477" s="2998"/>
      <c r="BK477" s="2998"/>
      <c r="BL477" s="2998"/>
      <c r="BM477" s="2998"/>
      <c r="BN477" s="2997"/>
      <c r="BT477" s="1343"/>
      <c r="BW477" s="1535"/>
      <c r="BZ477" s="1009"/>
      <c r="CA477" s="1009"/>
    </row>
    <row r="478" spans="2:79">
      <c r="B478" s="986"/>
      <c r="C478" s="986"/>
      <c r="D478" s="986"/>
      <c r="E478" s="986"/>
      <c r="F478" s="986"/>
      <c r="G478" s="986"/>
      <c r="H478" s="986"/>
      <c r="I478" s="986"/>
      <c r="J478" s="986"/>
      <c r="K478" s="986"/>
      <c r="L478" s="986"/>
      <c r="M478" s="986"/>
      <c r="N478" s="986"/>
      <c r="O478" s="986"/>
      <c r="P478" s="986"/>
      <c r="Q478" s="986"/>
      <c r="R478" s="986"/>
      <c r="S478" s="986"/>
      <c r="T478" s="986"/>
      <c r="U478" s="986"/>
      <c r="V478" s="986"/>
      <c r="W478" s="986"/>
      <c r="X478" s="986"/>
      <c r="Y478" s="986"/>
      <c r="Z478" s="986"/>
      <c r="AA478" s="986"/>
      <c r="AB478" s="986"/>
      <c r="AC478" s="986"/>
      <c r="AD478" s="986"/>
      <c r="AE478" s="986"/>
      <c r="BE478" s="986"/>
      <c r="BF478" s="986"/>
      <c r="BG478" s="986"/>
      <c r="BH478" s="986"/>
      <c r="BI478" s="2997"/>
      <c r="BJ478" s="2998"/>
      <c r="BK478" s="2998"/>
      <c r="BL478" s="2998"/>
      <c r="BM478" s="2998"/>
      <c r="BN478" s="2997"/>
      <c r="BT478" s="1343"/>
      <c r="BW478" s="1535"/>
      <c r="BZ478" s="1009"/>
      <c r="CA478" s="1009"/>
    </row>
    <row r="479" spans="2:79">
      <c r="B479" s="986"/>
      <c r="C479" s="986"/>
      <c r="D479" s="986"/>
      <c r="E479" s="986"/>
      <c r="F479" s="986"/>
      <c r="G479" s="986"/>
      <c r="H479" s="986"/>
      <c r="I479" s="986"/>
      <c r="J479" s="986"/>
      <c r="K479" s="986"/>
      <c r="L479" s="986"/>
      <c r="M479" s="986"/>
      <c r="N479" s="986"/>
      <c r="O479" s="986"/>
      <c r="P479" s="986"/>
      <c r="Q479" s="986"/>
      <c r="R479" s="986"/>
      <c r="S479" s="986"/>
      <c r="T479" s="986"/>
      <c r="U479" s="986"/>
      <c r="V479" s="986"/>
      <c r="W479" s="986"/>
      <c r="X479" s="986"/>
      <c r="Y479" s="986"/>
      <c r="Z479" s="986"/>
      <c r="AA479" s="986"/>
      <c r="AB479" s="986"/>
      <c r="AC479" s="986"/>
      <c r="AD479" s="986"/>
      <c r="AE479" s="986"/>
      <c r="BE479" s="986"/>
      <c r="BF479" s="986"/>
      <c r="BG479" s="986"/>
      <c r="BH479" s="986"/>
      <c r="BI479" s="2997"/>
      <c r="BJ479" s="2998"/>
      <c r="BK479" s="2998"/>
      <c r="BL479" s="2998"/>
      <c r="BM479" s="2998"/>
      <c r="BN479" s="2997"/>
      <c r="BT479" s="1343"/>
      <c r="BW479" s="1535"/>
      <c r="BZ479" s="1009"/>
      <c r="CA479" s="1009"/>
    </row>
    <row r="480" spans="2:79">
      <c r="B480" s="986"/>
      <c r="C480" s="986"/>
      <c r="D480" s="986"/>
      <c r="E480" s="986"/>
      <c r="F480" s="986"/>
      <c r="G480" s="986"/>
      <c r="H480" s="986"/>
      <c r="I480" s="986"/>
      <c r="J480" s="986"/>
      <c r="K480" s="986"/>
      <c r="L480" s="986"/>
      <c r="M480" s="986"/>
      <c r="N480" s="986"/>
      <c r="O480" s="986"/>
      <c r="P480" s="986"/>
      <c r="Q480" s="986"/>
      <c r="R480" s="986"/>
      <c r="S480" s="986"/>
      <c r="T480" s="986"/>
      <c r="U480" s="986"/>
      <c r="V480" s="986"/>
      <c r="W480" s="986"/>
      <c r="X480" s="986"/>
      <c r="Y480" s="986"/>
      <c r="Z480" s="986"/>
      <c r="AA480" s="986"/>
      <c r="AB480" s="986"/>
      <c r="AC480" s="986"/>
      <c r="AD480" s="986"/>
      <c r="AE480" s="986"/>
      <c r="BE480" s="986"/>
      <c r="BF480" s="986"/>
      <c r="BG480" s="986"/>
      <c r="BH480" s="986"/>
      <c r="BI480" s="2997"/>
      <c r="BJ480" s="2998"/>
      <c r="BK480" s="2998"/>
      <c r="BL480" s="2998"/>
      <c r="BM480" s="2998"/>
      <c r="BN480" s="2997"/>
      <c r="BT480" s="1343"/>
      <c r="BW480" s="1535"/>
      <c r="BZ480" s="1009"/>
      <c r="CA480" s="1009"/>
    </row>
    <row r="481" spans="2:79">
      <c r="B481" s="986"/>
      <c r="C481" s="986"/>
      <c r="D481" s="986"/>
      <c r="E481" s="986"/>
      <c r="F481" s="986"/>
      <c r="G481" s="986"/>
      <c r="H481" s="986"/>
      <c r="I481" s="986"/>
      <c r="J481" s="986"/>
      <c r="K481" s="986"/>
      <c r="L481" s="986"/>
      <c r="M481" s="986"/>
      <c r="N481" s="986"/>
      <c r="O481" s="986"/>
      <c r="P481" s="986"/>
      <c r="Q481" s="986"/>
      <c r="R481" s="986"/>
      <c r="S481" s="986"/>
      <c r="T481" s="986"/>
      <c r="U481" s="986"/>
      <c r="V481" s="986"/>
      <c r="W481" s="986"/>
      <c r="X481" s="986"/>
      <c r="Y481" s="986"/>
      <c r="Z481" s="986"/>
      <c r="AA481" s="986"/>
      <c r="AB481" s="986"/>
      <c r="AC481" s="986"/>
      <c r="AD481" s="986"/>
      <c r="AE481" s="986"/>
      <c r="BH481" s="986"/>
      <c r="BI481" s="2997"/>
      <c r="BM481" s="2998"/>
      <c r="BN481" s="2997"/>
      <c r="BT481" s="1343"/>
      <c r="BW481" s="1535"/>
      <c r="BZ481" s="1009"/>
      <c r="CA481" s="1009"/>
    </row>
    <row r="482" spans="2:79">
      <c r="B482" s="986"/>
      <c r="C482" s="986"/>
      <c r="D482" s="986"/>
      <c r="E482" s="986"/>
      <c r="F482" s="986"/>
      <c r="G482" s="986"/>
      <c r="H482" s="986"/>
      <c r="I482" s="986"/>
      <c r="J482" s="986"/>
      <c r="K482" s="986"/>
      <c r="L482" s="986"/>
      <c r="M482" s="986"/>
      <c r="N482" s="986"/>
      <c r="O482" s="986"/>
      <c r="P482" s="986"/>
      <c r="Q482" s="986"/>
      <c r="R482" s="986"/>
      <c r="S482" s="986"/>
      <c r="T482" s="986"/>
      <c r="U482" s="986"/>
      <c r="V482" s="986"/>
      <c r="W482" s="986"/>
      <c r="X482" s="986"/>
      <c r="Y482" s="986"/>
      <c r="Z482" s="986"/>
      <c r="AA482" s="986"/>
      <c r="AB482" s="986"/>
      <c r="AC482" s="986"/>
      <c r="AD482" s="986"/>
      <c r="AE482" s="986"/>
      <c r="BH482" s="986"/>
      <c r="BI482" s="2997"/>
      <c r="BM482" s="2998"/>
      <c r="BN482" s="2997"/>
      <c r="BT482" s="1343"/>
      <c r="BW482" s="1535"/>
      <c r="BZ482" s="1009"/>
      <c r="CA482" s="1009"/>
    </row>
    <row r="483" spans="2:79">
      <c r="B483" s="986"/>
      <c r="C483" s="986"/>
      <c r="D483" s="986"/>
      <c r="E483" s="986"/>
      <c r="F483" s="986"/>
      <c r="G483" s="986"/>
      <c r="H483" s="986"/>
      <c r="I483" s="986"/>
      <c r="J483" s="986"/>
      <c r="K483" s="986"/>
      <c r="L483" s="986"/>
      <c r="M483" s="986"/>
      <c r="N483" s="986"/>
      <c r="O483" s="986"/>
      <c r="P483" s="986"/>
      <c r="Q483" s="986"/>
      <c r="R483" s="986"/>
      <c r="S483" s="986"/>
      <c r="T483" s="986"/>
      <c r="U483" s="986"/>
      <c r="V483" s="986"/>
      <c r="W483" s="986"/>
      <c r="X483" s="986"/>
      <c r="Y483" s="986"/>
      <c r="Z483" s="986"/>
      <c r="AA483" s="986"/>
      <c r="AB483" s="986"/>
      <c r="AC483" s="986"/>
      <c r="AD483" s="986"/>
      <c r="AE483" s="986"/>
      <c r="BH483" s="986"/>
      <c r="BI483" s="2997"/>
      <c r="BM483" s="2998"/>
      <c r="BN483" s="2997"/>
      <c r="BT483" s="1343"/>
      <c r="BW483" s="1535"/>
      <c r="BZ483" s="1009"/>
      <c r="CA483" s="1009"/>
    </row>
    <row r="484" spans="2:79">
      <c r="B484" s="986"/>
      <c r="C484" s="986"/>
      <c r="D484" s="986"/>
      <c r="E484" s="986"/>
      <c r="F484" s="986"/>
      <c r="G484" s="986"/>
      <c r="H484" s="986"/>
      <c r="I484" s="986"/>
      <c r="J484" s="986"/>
      <c r="K484" s="986"/>
      <c r="L484" s="986"/>
      <c r="M484" s="986"/>
      <c r="N484" s="986"/>
      <c r="O484" s="986"/>
      <c r="P484" s="986"/>
      <c r="Q484" s="986"/>
      <c r="R484" s="986"/>
      <c r="S484" s="986"/>
      <c r="T484" s="986"/>
      <c r="U484" s="986"/>
      <c r="V484" s="986"/>
      <c r="W484" s="986"/>
      <c r="X484" s="986"/>
      <c r="Y484" s="986"/>
      <c r="Z484" s="986"/>
      <c r="AA484" s="986"/>
      <c r="AB484" s="986"/>
      <c r="AC484" s="986"/>
      <c r="AD484" s="986"/>
      <c r="AE484" s="986"/>
      <c r="BE484" s="986"/>
      <c r="BF484" s="986"/>
      <c r="BG484" s="986"/>
      <c r="BH484" s="986"/>
      <c r="BI484" s="2997"/>
      <c r="BT484" s="1343"/>
      <c r="BW484" s="1535"/>
      <c r="BZ484" s="1009"/>
      <c r="CA484" s="1009"/>
    </row>
    <row r="485" spans="2:79">
      <c r="B485" s="986"/>
      <c r="C485" s="986"/>
      <c r="D485" s="986"/>
      <c r="E485" s="986"/>
      <c r="F485" s="986"/>
      <c r="G485" s="986"/>
      <c r="H485" s="986"/>
      <c r="I485" s="986"/>
      <c r="J485" s="986"/>
      <c r="K485" s="986"/>
      <c r="L485" s="986"/>
      <c r="M485" s="986"/>
      <c r="N485" s="986"/>
      <c r="O485" s="986"/>
      <c r="P485" s="986"/>
      <c r="Q485" s="986"/>
      <c r="R485" s="986"/>
      <c r="S485" s="986"/>
      <c r="T485" s="986"/>
      <c r="U485" s="986"/>
      <c r="V485" s="986"/>
      <c r="W485" s="986"/>
      <c r="X485" s="986"/>
      <c r="Y485" s="986"/>
      <c r="Z485" s="986"/>
      <c r="AA485" s="986"/>
      <c r="AB485" s="986"/>
      <c r="AC485" s="986"/>
      <c r="AD485" s="986"/>
      <c r="AE485" s="986"/>
      <c r="BE485" s="986"/>
      <c r="BF485" s="986"/>
      <c r="BG485" s="986"/>
      <c r="BH485" s="986"/>
      <c r="BI485" s="2997"/>
      <c r="BT485" s="1343"/>
      <c r="BW485" s="1535"/>
      <c r="BZ485" s="1009"/>
      <c r="CA485" s="1009"/>
    </row>
    <row r="486" spans="2:79">
      <c r="B486" s="986"/>
      <c r="C486" s="986"/>
      <c r="D486" s="986"/>
      <c r="E486" s="986"/>
      <c r="F486" s="986"/>
      <c r="G486" s="986"/>
      <c r="H486" s="986"/>
      <c r="I486" s="986"/>
      <c r="J486" s="986"/>
      <c r="K486" s="986"/>
      <c r="L486" s="986"/>
      <c r="M486" s="986"/>
      <c r="N486" s="986"/>
      <c r="O486" s="986"/>
      <c r="P486" s="986"/>
      <c r="Q486" s="986"/>
      <c r="R486" s="986"/>
      <c r="S486" s="986"/>
      <c r="T486" s="986"/>
      <c r="U486" s="986"/>
      <c r="V486" s="986"/>
      <c r="W486" s="986"/>
      <c r="X486" s="986"/>
      <c r="Y486" s="986"/>
      <c r="Z486" s="986"/>
      <c r="AA486" s="986"/>
      <c r="AB486" s="986"/>
      <c r="AC486" s="986"/>
      <c r="AD486" s="986"/>
      <c r="AE486" s="986"/>
      <c r="BE486" s="986"/>
      <c r="BF486" s="986"/>
      <c r="BG486" s="986"/>
      <c r="BH486" s="986"/>
      <c r="BI486" s="2997"/>
      <c r="BT486" s="1343"/>
      <c r="BW486" s="1535"/>
      <c r="BZ486" s="1009"/>
      <c r="CA486" s="1009"/>
    </row>
    <row r="487" spans="2:79">
      <c r="B487" s="986"/>
      <c r="C487" s="986"/>
      <c r="D487" s="986"/>
      <c r="E487" s="986"/>
      <c r="F487" s="986"/>
      <c r="G487" s="986"/>
      <c r="H487" s="986"/>
      <c r="I487" s="986"/>
      <c r="J487" s="986"/>
      <c r="K487" s="986"/>
      <c r="L487" s="986"/>
      <c r="M487" s="986"/>
      <c r="N487" s="986"/>
      <c r="O487" s="986"/>
      <c r="P487" s="986"/>
      <c r="Q487" s="986"/>
      <c r="R487" s="986"/>
      <c r="S487" s="986"/>
      <c r="T487" s="986"/>
      <c r="U487" s="986"/>
      <c r="V487" s="986"/>
      <c r="W487" s="986"/>
      <c r="X487" s="986"/>
      <c r="Y487" s="986"/>
      <c r="Z487" s="986"/>
      <c r="AA487" s="986"/>
      <c r="AB487" s="986"/>
      <c r="AC487" s="986"/>
      <c r="AD487" s="986"/>
      <c r="AE487" s="986"/>
      <c r="BE487" s="986"/>
      <c r="BF487" s="986"/>
      <c r="BG487" s="986"/>
      <c r="BH487" s="986"/>
      <c r="BI487" s="2997"/>
      <c r="BT487" s="1343"/>
      <c r="BW487" s="1535"/>
      <c r="BZ487" s="1009"/>
      <c r="CA487" s="1009"/>
    </row>
    <row r="488" spans="2:79">
      <c r="B488" s="986"/>
      <c r="C488" s="986"/>
      <c r="D488" s="986"/>
      <c r="E488" s="986"/>
      <c r="F488" s="986"/>
      <c r="G488" s="986"/>
      <c r="H488" s="986"/>
      <c r="I488" s="986"/>
      <c r="J488" s="986"/>
      <c r="K488" s="986"/>
      <c r="L488" s="986"/>
      <c r="M488" s="986"/>
      <c r="N488" s="986"/>
      <c r="O488" s="986"/>
      <c r="P488" s="986"/>
      <c r="Q488" s="986"/>
      <c r="R488" s="986"/>
      <c r="S488" s="986"/>
      <c r="T488" s="986"/>
      <c r="U488" s="986"/>
      <c r="V488" s="986"/>
      <c r="W488" s="986"/>
      <c r="X488" s="986"/>
      <c r="Y488" s="986"/>
      <c r="Z488" s="986"/>
      <c r="AA488" s="986"/>
      <c r="AB488" s="986"/>
      <c r="AC488" s="986"/>
      <c r="AD488" s="986"/>
      <c r="AE488" s="986"/>
      <c r="BE488" s="986"/>
      <c r="BF488" s="986"/>
      <c r="BG488" s="986"/>
      <c r="BH488" s="986"/>
      <c r="BI488" s="2997"/>
      <c r="BT488" s="1343"/>
      <c r="BW488" s="1535"/>
      <c r="BZ488" s="1009"/>
      <c r="CA488" s="1009"/>
    </row>
    <row r="489" spans="2:79">
      <c r="B489" s="986"/>
      <c r="C489" s="986"/>
      <c r="D489" s="986"/>
      <c r="E489" s="986"/>
      <c r="F489" s="986"/>
      <c r="G489" s="986"/>
      <c r="H489" s="986"/>
      <c r="I489" s="986"/>
      <c r="J489" s="986"/>
      <c r="K489" s="986"/>
      <c r="L489" s="986"/>
      <c r="M489" s="986"/>
      <c r="N489" s="986"/>
      <c r="O489" s="986"/>
      <c r="P489" s="986"/>
      <c r="Q489" s="986"/>
      <c r="R489" s="986"/>
      <c r="S489" s="986"/>
      <c r="T489" s="986"/>
      <c r="U489" s="986"/>
      <c r="V489" s="986"/>
      <c r="W489" s="986"/>
      <c r="X489" s="986"/>
      <c r="Y489" s="986"/>
      <c r="Z489" s="986"/>
      <c r="AA489" s="986"/>
      <c r="AB489" s="986"/>
      <c r="AC489" s="986"/>
      <c r="AD489" s="986"/>
      <c r="AE489" s="986"/>
      <c r="BE489" s="986"/>
      <c r="BF489" s="986"/>
      <c r="BG489" s="986"/>
      <c r="BH489" s="986"/>
      <c r="BI489" s="2997"/>
      <c r="BT489" s="1343"/>
      <c r="BW489" s="1535"/>
      <c r="BZ489" s="1009"/>
      <c r="CA489" s="1009"/>
    </row>
    <row r="490" spans="2:79">
      <c r="B490" s="986"/>
      <c r="C490" s="986"/>
      <c r="D490" s="986"/>
      <c r="E490" s="986"/>
      <c r="F490" s="986"/>
      <c r="G490" s="986"/>
      <c r="H490" s="986"/>
      <c r="I490" s="986"/>
      <c r="J490" s="986"/>
      <c r="K490" s="986"/>
      <c r="L490" s="986"/>
      <c r="M490" s="986"/>
      <c r="N490" s="986"/>
      <c r="O490" s="986"/>
      <c r="P490" s="986"/>
      <c r="Q490" s="986"/>
      <c r="R490" s="986"/>
      <c r="S490" s="986"/>
      <c r="T490" s="986"/>
      <c r="U490" s="986"/>
      <c r="V490" s="986"/>
      <c r="W490" s="986"/>
      <c r="X490" s="986"/>
      <c r="Y490" s="986"/>
      <c r="Z490" s="986"/>
      <c r="AA490" s="986"/>
      <c r="AB490" s="986"/>
      <c r="AC490" s="986"/>
      <c r="AD490" s="986"/>
      <c r="AE490" s="986"/>
      <c r="BE490" s="986"/>
      <c r="BF490" s="986"/>
      <c r="BG490" s="986"/>
      <c r="BH490" s="986"/>
      <c r="BI490" s="2997"/>
      <c r="BT490" s="1343"/>
      <c r="BW490" s="1535"/>
      <c r="BZ490" s="1009"/>
      <c r="CA490" s="1009"/>
    </row>
    <row r="491" spans="2:79">
      <c r="B491" s="986"/>
      <c r="C491" s="986"/>
      <c r="D491" s="986"/>
      <c r="E491" s="986"/>
      <c r="F491" s="986"/>
      <c r="G491" s="986"/>
      <c r="H491" s="986"/>
      <c r="I491" s="986"/>
      <c r="J491" s="986"/>
      <c r="K491" s="986"/>
      <c r="L491" s="986"/>
      <c r="M491" s="986"/>
      <c r="N491" s="986"/>
      <c r="O491" s="986"/>
      <c r="P491" s="986"/>
      <c r="Q491" s="986"/>
      <c r="R491" s="986"/>
      <c r="S491" s="986"/>
      <c r="T491" s="986"/>
      <c r="U491" s="986"/>
      <c r="V491" s="986"/>
      <c r="W491" s="986"/>
      <c r="X491" s="986"/>
      <c r="Y491" s="986"/>
      <c r="Z491" s="986"/>
      <c r="AA491" s="986"/>
      <c r="AB491" s="986"/>
      <c r="AC491" s="986"/>
      <c r="AD491" s="986"/>
      <c r="AE491" s="986"/>
      <c r="BE491" s="986"/>
      <c r="BF491" s="986"/>
      <c r="BG491" s="986"/>
      <c r="BH491" s="986"/>
      <c r="BI491" s="2997"/>
      <c r="BT491" s="1343"/>
      <c r="BW491" s="1535"/>
      <c r="BZ491" s="1009"/>
      <c r="CA491" s="1009"/>
    </row>
    <row r="492" spans="2:79">
      <c r="B492" s="986"/>
      <c r="C492" s="986"/>
      <c r="D492" s="986"/>
      <c r="E492" s="986"/>
      <c r="F492" s="986"/>
      <c r="G492" s="986"/>
      <c r="H492" s="986"/>
      <c r="I492" s="986"/>
      <c r="J492" s="986"/>
      <c r="K492" s="986"/>
      <c r="L492" s="986"/>
      <c r="M492" s="986"/>
      <c r="N492" s="986"/>
      <c r="O492" s="986"/>
      <c r="P492" s="986"/>
      <c r="Q492" s="986"/>
      <c r="R492" s="986"/>
      <c r="S492" s="986"/>
      <c r="T492" s="986"/>
      <c r="U492" s="986"/>
      <c r="V492" s="986"/>
      <c r="W492" s="986"/>
      <c r="X492" s="986"/>
      <c r="Y492" s="986"/>
      <c r="Z492" s="986"/>
      <c r="AA492" s="986"/>
      <c r="AB492" s="986"/>
      <c r="AC492" s="986"/>
      <c r="AD492" s="986"/>
      <c r="AE492" s="986"/>
      <c r="BE492" s="986"/>
      <c r="BF492" s="986"/>
      <c r="BG492" s="986"/>
      <c r="BH492" s="986"/>
      <c r="BI492" s="2997"/>
      <c r="BT492" s="1343"/>
      <c r="BW492" s="1535"/>
      <c r="BZ492" s="1009"/>
      <c r="CA492" s="1009"/>
    </row>
    <row r="493" spans="2:79">
      <c r="B493" s="986"/>
      <c r="C493" s="986"/>
      <c r="D493" s="986"/>
      <c r="E493" s="986"/>
      <c r="F493" s="986"/>
      <c r="G493" s="986"/>
      <c r="H493" s="986"/>
      <c r="I493" s="986"/>
      <c r="J493" s="986"/>
      <c r="K493" s="986"/>
      <c r="L493" s="986"/>
      <c r="M493" s="986"/>
      <c r="N493" s="986"/>
      <c r="O493" s="986"/>
      <c r="P493" s="986"/>
      <c r="Q493" s="986"/>
      <c r="R493" s="986"/>
      <c r="S493" s="986"/>
      <c r="T493" s="986"/>
      <c r="U493" s="986"/>
      <c r="V493" s="986"/>
      <c r="W493" s="986"/>
      <c r="X493" s="986"/>
      <c r="Y493" s="986"/>
      <c r="Z493" s="986"/>
      <c r="AA493" s="986"/>
      <c r="AB493" s="986"/>
      <c r="AC493" s="986"/>
      <c r="AD493" s="986"/>
      <c r="AE493" s="986"/>
      <c r="BE493" s="986"/>
      <c r="BF493" s="986"/>
      <c r="BG493" s="986"/>
      <c r="BH493" s="986"/>
      <c r="BI493" s="2997"/>
      <c r="BT493" s="1343"/>
      <c r="BW493" s="1535"/>
      <c r="BZ493" s="1009"/>
      <c r="CA493" s="1009"/>
    </row>
    <row r="494" spans="2:79">
      <c r="B494" s="986"/>
      <c r="C494" s="986"/>
      <c r="D494" s="986"/>
      <c r="E494" s="986"/>
      <c r="F494" s="986"/>
      <c r="G494" s="986"/>
      <c r="H494" s="986"/>
      <c r="I494" s="986"/>
      <c r="J494" s="986"/>
      <c r="K494" s="986"/>
      <c r="L494" s="986"/>
      <c r="M494" s="986"/>
      <c r="N494" s="986"/>
      <c r="O494" s="986"/>
      <c r="P494" s="986"/>
      <c r="Q494" s="986"/>
      <c r="R494" s="986"/>
      <c r="S494" s="986"/>
      <c r="T494" s="986"/>
      <c r="U494" s="986"/>
      <c r="V494" s="986"/>
      <c r="W494" s="986"/>
      <c r="X494" s="986"/>
      <c r="Y494" s="986"/>
      <c r="Z494" s="986"/>
      <c r="AA494" s="986"/>
      <c r="AB494" s="986"/>
      <c r="AC494" s="986"/>
      <c r="AD494" s="986"/>
      <c r="AE494" s="986"/>
      <c r="BE494" s="986"/>
      <c r="BF494" s="986"/>
      <c r="BG494" s="986"/>
      <c r="BH494" s="986"/>
      <c r="BI494" s="2997"/>
      <c r="BT494" s="1343"/>
      <c r="BW494" s="1535"/>
      <c r="BZ494" s="1009"/>
      <c r="CA494" s="1009"/>
    </row>
    <row r="495" spans="2:79">
      <c r="B495" s="986"/>
      <c r="C495" s="986"/>
      <c r="D495" s="986"/>
      <c r="E495" s="986"/>
      <c r="F495" s="986"/>
      <c r="G495" s="986"/>
      <c r="H495" s="986"/>
      <c r="I495" s="986"/>
      <c r="J495" s="986"/>
      <c r="K495" s="986"/>
      <c r="L495" s="986"/>
      <c r="M495" s="986"/>
      <c r="N495" s="986"/>
      <c r="O495" s="986"/>
      <c r="P495" s="986"/>
      <c r="Q495" s="986"/>
      <c r="R495" s="986"/>
      <c r="S495" s="986"/>
      <c r="T495" s="986"/>
      <c r="U495" s="986"/>
      <c r="V495" s="986"/>
      <c r="W495" s="986"/>
      <c r="X495" s="986"/>
      <c r="Y495" s="986"/>
      <c r="Z495" s="986"/>
      <c r="AA495" s="986"/>
      <c r="AB495" s="986"/>
      <c r="AC495" s="986"/>
      <c r="AD495" s="986"/>
      <c r="AE495" s="986"/>
      <c r="BE495" s="986"/>
      <c r="BF495" s="986"/>
      <c r="BG495" s="986"/>
      <c r="BH495" s="986"/>
      <c r="BI495" s="2997"/>
      <c r="BT495" s="1343"/>
      <c r="BW495" s="1535"/>
      <c r="BZ495" s="1009"/>
      <c r="CA495" s="1009"/>
    </row>
    <row r="496" spans="2:79">
      <c r="B496" s="986"/>
      <c r="C496" s="986"/>
      <c r="D496" s="986"/>
      <c r="E496" s="986"/>
      <c r="F496" s="986"/>
      <c r="G496" s="986"/>
      <c r="H496" s="986"/>
      <c r="I496" s="986"/>
      <c r="J496" s="986"/>
      <c r="K496" s="986"/>
      <c r="L496" s="986"/>
      <c r="M496" s="986"/>
      <c r="N496" s="986"/>
      <c r="O496" s="986"/>
      <c r="P496" s="986"/>
      <c r="Q496" s="986"/>
      <c r="R496" s="986"/>
      <c r="S496" s="986"/>
      <c r="T496" s="986"/>
      <c r="U496" s="986"/>
      <c r="V496" s="986"/>
      <c r="W496" s="986"/>
      <c r="X496" s="986"/>
      <c r="Y496" s="986"/>
      <c r="Z496" s="986"/>
      <c r="AA496" s="986"/>
      <c r="AB496" s="986"/>
      <c r="AC496" s="986"/>
      <c r="AD496" s="986"/>
      <c r="AE496" s="986"/>
      <c r="BE496" s="986"/>
      <c r="BF496" s="986"/>
      <c r="BG496" s="986"/>
      <c r="BH496" s="986"/>
      <c r="BI496" s="2997"/>
      <c r="BT496" s="1343"/>
      <c r="BW496" s="1535"/>
      <c r="BZ496" s="1009"/>
      <c r="CA496" s="1009"/>
    </row>
    <row r="497" spans="2:79">
      <c r="B497" s="986"/>
      <c r="C497" s="986"/>
      <c r="D497" s="986"/>
      <c r="E497" s="986"/>
      <c r="F497" s="986"/>
      <c r="G497" s="986"/>
      <c r="H497" s="986"/>
      <c r="I497" s="986"/>
      <c r="J497" s="986"/>
      <c r="K497" s="986"/>
      <c r="L497" s="986"/>
      <c r="M497" s="986"/>
      <c r="N497" s="986"/>
      <c r="O497" s="986"/>
      <c r="P497" s="986"/>
      <c r="Q497" s="986"/>
      <c r="R497" s="986"/>
      <c r="S497" s="986"/>
      <c r="T497" s="986"/>
      <c r="U497" s="986"/>
      <c r="V497" s="986"/>
      <c r="W497" s="986"/>
      <c r="X497" s="986"/>
      <c r="Y497" s="986"/>
      <c r="Z497" s="986"/>
      <c r="AA497" s="986"/>
      <c r="AB497" s="986"/>
      <c r="AC497" s="986"/>
      <c r="AD497" s="986"/>
      <c r="AE497" s="986"/>
      <c r="BE497" s="986"/>
      <c r="BF497" s="986"/>
      <c r="BG497" s="986"/>
      <c r="BH497" s="986"/>
      <c r="BI497" s="2997"/>
      <c r="BT497" s="1343"/>
      <c r="BW497" s="1535"/>
      <c r="BZ497" s="1009"/>
      <c r="CA497" s="1009"/>
    </row>
    <row r="498" spans="2:79">
      <c r="B498" s="986"/>
      <c r="C498" s="986"/>
      <c r="D498" s="986"/>
      <c r="E498" s="986"/>
      <c r="F498" s="986"/>
      <c r="G498" s="986"/>
      <c r="H498" s="986"/>
      <c r="I498" s="986"/>
      <c r="J498" s="986"/>
      <c r="K498" s="986"/>
      <c r="L498" s="986"/>
      <c r="M498" s="986"/>
      <c r="N498" s="986"/>
      <c r="O498" s="986"/>
      <c r="P498" s="986"/>
      <c r="Q498" s="986"/>
      <c r="R498" s="986"/>
      <c r="S498" s="986"/>
      <c r="T498" s="986"/>
      <c r="U498" s="986"/>
      <c r="V498" s="986"/>
      <c r="W498" s="986"/>
      <c r="X498" s="986"/>
      <c r="Y498" s="986"/>
      <c r="Z498" s="986"/>
      <c r="AA498" s="986"/>
      <c r="AB498" s="986"/>
      <c r="AC498" s="986"/>
      <c r="AD498" s="986"/>
      <c r="AE498" s="986"/>
      <c r="BE498" s="986"/>
      <c r="BF498" s="986"/>
      <c r="BG498" s="986"/>
      <c r="BH498" s="986"/>
      <c r="BI498" s="2997"/>
      <c r="BT498" s="1343"/>
      <c r="BW498" s="1535"/>
      <c r="BZ498" s="1009"/>
      <c r="CA498" s="1009"/>
    </row>
    <row r="499" spans="2:79">
      <c r="B499" s="986"/>
      <c r="C499" s="986"/>
      <c r="D499" s="986"/>
      <c r="E499" s="986"/>
      <c r="F499" s="986"/>
      <c r="G499" s="986"/>
      <c r="H499" s="986"/>
      <c r="I499" s="986"/>
      <c r="J499" s="986"/>
      <c r="K499" s="986"/>
      <c r="L499" s="986"/>
      <c r="M499" s="986"/>
      <c r="N499" s="986"/>
      <c r="O499" s="986"/>
      <c r="P499" s="986"/>
      <c r="Q499" s="986"/>
      <c r="R499" s="986"/>
      <c r="S499" s="986"/>
      <c r="T499" s="986"/>
      <c r="U499" s="986"/>
      <c r="V499" s="986"/>
      <c r="W499" s="986"/>
      <c r="X499" s="986"/>
      <c r="Y499" s="986"/>
      <c r="Z499" s="986"/>
      <c r="AA499" s="986"/>
      <c r="AB499" s="986"/>
      <c r="AC499" s="986"/>
      <c r="AD499" s="986"/>
      <c r="AE499" s="986"/>
      <c r="BE499" s="986"/>
      <c r="BF499" s="986"/>
      <c r="BG499" s="986"/>
      <c r="BH499" s="986"/>
      <c r="BI499" s="2997"/>
      <c r="BT499" s="1343"/>
      <c r="BW499" s="1535"/>
      <c r="BZ499" s="1009"/>
      <c r="CA499" s="1009"/>
    </row>
    <row r="500" spans="2:79">
      <c r="B500" s="986"/>
      <c r="C500" s="986"/>
      <c r="D500" s="986"/>
      <c r="E500" s="986"/>
      <c r="F500" s="986"/>
      <c r="G500" s="986"/>
      <c r="H500" s="986"/>
      <c r="I500" s="986"/>
      <c r="J500" s="986"/>
      <c r="K500" s="986"/>
      <c r="L500" s="986"/>
      <c r="M500" s="986"/>
      <c r="N500" s="986"/>
      <c r="O500" s="986"/>
      <c r="P500" s="986"/>
      <c r="Q500" s="986"/>
      <c r="R500" s="986"/>
      <c r="S500" s="986"/>
      <c r="T500" s="986"/>
      <c r="U500" s="986"/>
      <c r="V500" s="986"/>
      <c r="W500" s="986"/>
      <c r="X500" s="986"/>
      <c r="Y500" s="986"/>
      <c r="Z500" s="986"/>
      <c r="AA500" s="986"/>
      <c r="AB500" s="986"/>
      <c r="AC500" s="986"/>
      <c r="AD500" s="986"/>
      <c r="AE500" s="986"/>
      <c r="BE500" s="986"/>
      <c r="BF500" s="986"/>
      <c r="BG500" s="986"/>
      <c r="BH500" s="986"/>
      <c r="BI500" s="2997"/>
      <c r="BT500" s="1343"/>
      <c r="BW500" s="1535"/>
      <c r="BZ500" s="1009"/>
      <c r="CA500" s="1009"/>
    </row>
    <row r="501" spans="2:79">
      <c r="B501" s="986"/>
      <c r="C501" s="986"/>
      <c r="D501" s="986"/>
      <c r="E501" s="986"/>
      <c r="F501" s="986"/>
      <c r="G501" s="986"/>
      <c r="H501" s="986"/>
      <c r="I501" s="986"/>
      <c r="J501" s="986"/>
      <c r="K501" s="986"/>
      <c r="L501" s="986"/>
      <c r="M501" s="986"/>
      <c r="N501" s="986"/>
      <c r="O501" s="986"/>
      <c r="P501" s="986"/>
      <c r="Q501" s="986"/>
      <c r="R501" s="986"/>
      <c r="S501" s="986"/>
      <c r="T501" s="986"/>
      <c r="U501" s="986"/>
      <c r="V501" s="986"/>
      <c r="W501" s="986"/>
      <c r="X501" s="986"/>
      <c r="Y501" s="986"/>
      <c r="Z501" s="986"/>
      <c r="AA501" s="986"/>
      <c r="AB501" s="986"/>
      <c r="AC501" s="986"/>
      <c r="AD501" s="986"/>
      <c r="AE501" s="986"/>
      <c r="BE501" s="986"/>
      <c r="BF501" s="986"/>
      <c r="BG501" s="986"/>
      <c r="BH501" s="986"/>
      <c r="BI501" s="2997"/>
      <c r="BT501" s="1343"/>
      <c r="BW501" s="1535"/>
      <c r="BZ501" s="1009"/>
      <c r="CA501" s="1009"/>
    </row>
    <row r="502" spans="2:79">
      <c r="B502" s="986"/>
      <c r="C502" s="986"/>
      <c r="D502" s="986"/>
      <c r="E502" s="986"/>
      <c r="F502" s="986"/>
      <c r="G502" s="986"/>
      <c r="H502" s="986"/>
      <c r="I502" s="986"/>
      <c r="J502" s="986"/>
      <c r="K502" s="986"/>
      <c r="L502" s="986"/>
      <c r="M502" s="986"/>
      <c r="N502" s="986"/>
      <c r="O502" s="986"/>
      <c r="P502" s="986"/>
      <c r="Q502" s="986"/>
      <c r="R502" s="986"/>
      <c r="S502" s="986"/>
      <c r="T502" s="986"/>
      <c r="U502" s="986"/>
      <c r="V502" s="986"/>
      <c r="W502" s="986"/>
      <c r="X502" s="986"/>
      <c r="Y502" s="986"/>
      <c r="Z502" s="986"/>
      <c r="AA502" s="986"/>
      <c r="AB502" s="986"/>
      <c r="AC502" s="986"/>
      <c r="AD502" s="986"/>
      <c r="AE502" s="986"/>
      <c r="BE502" s="986"/>
      <c r="BF502" s="986"/>
      <c r="BG502" s="986"/>
      <c r="BH502" s="986"/>
      <c r="BI502" s="2997"/>
      <c r="BT502" s="1343"/>
      <c r="BW502" s="1535"/>
      <c r="BZ502" s="1009"/>
      <c r="CA502" s="1009"/>
    </row>
    <row r="503" spans="2:79">
      <c r="B503" s="986"/>
      <c r="C503" s="986"/>
      <c r="D503" s="986"/>
      <c r="E503" s="986"/>
      <c r="F503" s="986"/>
      <c r="G503" s="986"/>
      <c r="H503" s="986"/>
      <c r="I503" s="986"/>
      <c r="J503" s="986"/>
      <c r="K503" s="986"/>
      <c r="L503" s="986"/>
      <c r="M503" s="986"/>
      <c r="N503" s="986"/>
      <c r="O503" s="986"/>
      <c r="P503" s="986"/>
      <c r="Q503" s="986"/>
      <c r="R503" s="986"/>
      <c r="S503" s="986"/>
      <c r="T503" s="986"/>
      <c r="U503" s="986"/>
      <c r="V503" s="986"/>
      <c r="W503" s="986"/>
      <c r="X503" s="986"/>
      <c r="Y503" s="986"/>
      <c r="Z503" s="986"/>
      <c r="AA503" s="986"/>
      <c r="AB503" s="986"/>
      <c r="AC503" s="986"/>
      <c r="AD503" s="986"/>
      <c r="AE503" s="986"/>
      <c r="BE503" s="986"/>
      <c r="BF503" s="986"/>
      <c r="BG503" s="986"/>
      <c r="BH503" s="986"/>
      <c r="BI503" s="2997"/>
      <c r="BT503" s="1343"/>
      <c r="BW503" s="1535"/>
      <c r="BZ503" s="1009"/>
      <c r="CA503" s="1009"/>
    </row>
    <row r="504" spans="2:79">
      <c r="B504" s="986"/>
      <c r="C504" s="986"/>
      <c r="D504" s="986"/>
      <c r="E504" s="986"/>
      <c r="F504" s="986"/>
      <c r="G504" s="986"/>
      <c r="H504" s="986"/>
      <c r="I504" s="986"/>
      <c r="J504" s="986"/>
      <c r="K504" s="986"/>
      <c r="L504" s="986"/>
      <c r="M504" s="986"/>
      <c r="N504" s="986"/>
      <c r="O504" s="986"/>
      <c r="P504" s="986"/>
      <c r="Q504" s="986"/>
      <c r="R504" s="986"/>
      <c r="S504" s="986"/>
      <c r="T504" s="986"/>
      <c r="U504" s="986"/>
      <c r="V504" s="986"/>
      <c r="W504" s="986"/>
      <c r="X504" s="986"/>
      <c r="Y504" s="986"/>
      <c r="Z504" s="986"/>
      <c r="AA504" s="986"/>
      <c r="AB504" s="986"/>
      <c r="AC504" s="986"/>
      <c r="AD504" s="986"/>
      <c r="AE504" s="986"/>
      <c r="BE504" s="986"/>
      <c r="BF504" s="986"/>
      <c r="BG504" s="986"/>
      <c r="BH504" s="986"/>
      <c r="BI504" s="2997"/>
      <c r="BT504" s="1343"/>
      <c r="BW504" s="1535"/>
      <c r="BZ504" s="1009"/>
      <c r="CA504" s="1009"/>
    </row>
    <row r="505" spans="2:79">
      <c r="B505" s="986"/>
      <c r="C505" s="986"/>
      <c r="D505" s="986"/>
      <c r="E505" s="986"/>
      <c r="F505" s="986"/>
      <c r="G505" s="986"/>
      <c r="H505" s="986"/>
      <c r="I505" s="986"/>
      <c r="J505" s="986"/>
      <c r="K505" s="986"/>
      <c r="L505" s="986"/>
      <c r="M505" s="986"/>
      <c r="N505" s="986"/>
      <c r="O505" s="986"/>
      <c r="P505" s="986"/>
      <c r="Q505" s="986"/>
      <c r="R505" s="986"/>
      <c r="S505" s="986"/>
      <c r="T505" s="986"/>
      <c r="U505" s="986"/>
      <c r="V505" s="986"/>
      <c r="W505" s="986"/>
      <c r="X505" s="986"/>
      <c r="Y505" s="986"/>
      <c r="Z505" s="986"/>
      <c r="AA505" s="986"/>
      <c r="AB505" s="986"/>
      <c r="AC505" s="986"/>
      <c r="AD505" s="986"/>
      <c r="AE505" s="986"/>
      <c r="BE505" s="986"/>
      <c r="BF505" s="986"/>
      <c r="BG505" s="986"/>
      <c r="BH505" s="986"/>
      <c r="BI505" s="2997"/>
      <c r="BT505" s="1343"/>
      <c r="BW505" s="1535"/>
      <c r="BZ505" s="1009"/>
      <c r="CA505" s="1009"/>
    </row>
    <row r="506" spans="2:79">
      <c r="B506" s="986"/>
      <c r="C506" s="986"/>
      <c r="D506" s="986"/>
      <c r="E506" s="986"/>
      <c r="F506" s="986"/>
      <c r="G506" s="986"/>
      <c r="H506" s="986"/>
      <c r="I506" s="986"/>
      <c r="J506" s="986"/>
      <c r="K506" s="986"/>
      <c r="L506" s="986"/>
      <c r="M506" s="986"/>
      <c r="N506" s="986"/>
      <c r="O506" s="986"/>
      <c r="P506" s="986"/>
      <c r="Q506" s="986"/>
      <c r="R506" s="986"/>
      <c r="S506" s="986"/>
      <c r="T506" s="986"/>
      <c r="U506" s="986"/>
      <c r="V506" s="986"/>
      <c r="W506" s="986"/>
      <c r="X506" s="986"/>
      <c r="Y506" s="986"/>
      <c r="Z506" s="986"/>
      <c r="AA506" s="986"/>
      <c r="AB506" s="986"/>
      <c r="AC506" s="986"/>
      <c r="AD506" s="986"/>
      <c r="AE506" s="986"/>
      <c r="BE506" s="986"/>
      <c r="BF506" s="986"/>
      <c r="BG506" s="986"/>
      <c r="BH506" s="986"/>
      <c r="BI506" s="2997"/>
      <c r="BT506" s="1343"/>
      <c r="BW506" s="1535"/>
      <c r="BZ506" s="1009"/>
      <c r="CA506" s="1009"/>
    </row>
    <row r="507" spans="2:79">
      <c r="B507" s="986"/>
      <c r="C507" s="986"/>
      <c r="D507" s="986"/>
      <c r="E507" s="986"/>
      <c r="F507" s="986"/>
      <c r="G507" s="986"/>
      <c r="H507" s="986"/>
      <c r="I507" s="986"/>
      <c r="J507" s="986"/>
      <c r="K507" s="986"/>
      <c r="L507" s="986"/>
      <c r="M507" s="986"/>
      <c r="N507" s="986"/>
      <c r="O507" s="986"/>
      <c r="P507" s="986"/>
      <c r="Q507" s="986"/>
      <c r="R507" s="986"/>
      <c r="S507" s="986"/>
      <c r="T507" s="986"/>
      <c r="U507" s="986"/>
      <c r="V507" s="986"/>
      <c r="W507" s="986"/>
      <c r="X507" s="986"/>
      <c r="Y507" s="986"/>
      <c r="Z507" s="986"/>
      <c r="AA507" s="986"/>
      <c r="AB507" s="986"/>
      <c r="AC507" s="986"/>
      <c r="AD507" s="986"/>
      <c r="AE507" s="986"/>
      <c r="BE507" s="986"/>
      <c r="BF507" s="986"/>
      <c r="BG507" s="986"/>
      <c r="BH507" s="986"/>
      <c r="BI507" s="2997"/>
      <c r="BT507" s="1343"/>
      <c r="BW507" s="1535"/>
      <c r="BZ507" s="1009"/>
      <c r="CA507" s="1009"/>
    </row>
    <row r="508" spans="2:79">
      <c r="B508" s="986"/>
      <c r="C508" s="986"/>
      <c r="D508" s="986"/>
      <c r="E508" s="986"/>
      <c r="F508" s="986"/>
      <c r="G508" s="986"/>
      <c r="H508" s="986"/>
      <c r="I508" s="986"/>
      <c r="J508" s="986"/>
      <c r="K508" s="986"/>
      <c r="L508" s="986"/>
      <c r="M508" s="986"/>
      <c r="N508" s="986"/>
      <c r="O508" s="986"/>
      <c r="P508" s="986"/>
      <c r="Q508" s="986"/>
      <c r="R508" s="986"/>
      <c r="S508" s="986"/>
      <c r="T508" s="986"/>
      <c r="U508" s="986"/>
      <c r="V508" s="986"/>
      <c r="W508" s="986"/>
      <c r="X508" s="986"/>
      <c r="Y508" s="986"/>
      <c r="Z508" s="986"/>
      <c r="AA508" s="986"/>
      <c r="AB508" s="986"/>
      <c r="AC508" s="986"/>
      <c r="AD508" s="986"/>
      <c r="AE508" s="986"/>
      <c r="BE508" s="986"/>
      <c r="BF508" s="986"/>
      <c r="BG508" s="986"/>
      <c r="BH508" s="986"/>
      <c r="BI508" s="2997"/>
      <c r="BT508" s="1343"/>
      <c r="BW508" s="1535"/>
      <c r="BZ508" s="1009"/>
      <c r="CA508" s="1009"/>
    </row>
    <row r="509" spans="2:79">
      <c r="B509" s="986"/>
      <c r="C509" s="986"/>
      <c r="D509" s="986"/>
      <c r="E509" s="986"/>
      <c r="F509" s="986"/>
      <c r="G509" s="986"/>
      <c r="H509" s="986"/>
      <c r="I509" s="986"/>
      <c r="J509" s="986"/>
      <c r="K509" s="986"/>
      <c r="L509" s="986"/>
      <c r="M509" s="986"/>
      <c r="N509" s="986"/>
      <c r="O509" s="986"/>
      <c r="P509" s="986"/>
      <c r="Q509" s="986"/>
      <c r="R509" s="986"/>
      <c r="S509" s="986"/>
      <c r="T509" s="986"/>
      <c r="U509" s="986"/>
      <c r="V509" s="986"/>
      <c r="W509" s="986"/>
      <c r="X509" s="986"/>
      <c r="Y509" s="986"/>
      <c r="Z509" s="986"/>
      <c r="AA509" s="986"/>
      <c r="AB509" s="986"/>
      <c r="AC509" s="986"/>
      <c r="AD509" s="986"/>
      <c r="AE509" s="986"/>
      <c r="BE509" s="986"/>
      <c r="BF509" s="986"/>
      <c r="BG509" s="986"/>
      <c r="BH509" s="986"/>
      <c r="BI509" s="2997"/>
      <c r="BT509" s="1343"/>
      <c r="BW509" s="1535"/>
      <c r="BZ509" s="1009"/>
      <c r="CA509" s="1009"/>
    </row>
    <row r="510" spans="2:79">
      <c r="B510" s="986"/>
      <c r="C510" s="986"/>
      <c r="D510" s="986"/>
      <c r="E510" s="986"/>
      <c r="F510" s="986"/>
      <c r="G510" s="986"/>
      <c r="H510" s="986"/>
      <c r="I510" s="986"/>
      <c r="J510" s="986"/>
      <c r="K510" s="986"/>
      <c r="L510" s="986"/>
      <c r="M510" s="986"/>
      <c r="N510" s="986"/>
      <c r="O510" s="986"/>
      <c r="P510" s="986"/>
      <c r="Q510" s="986"/>
      <c r="R510" s="986"/>
      <c r="S510" s="986"/>
      <c r="T510" s="986"/>
      <c r="U510" s="986"/>
      <c r="V510" s="986"/>
      <c r="W510" s="986"/>
      <c r="X510" s="986"/>
      <c r="Y510" s="986"/>
      <c r="Z510" s="986"/>
      <c r="AA510" s="986"/>
      <c r="AB510" s="986"/>
      <c r="AC510" s="986"/>
      <c r="AD510" s="986"/>
      <c r="AE510" s="986"/>
      <c r="BE510" s="986"/>
      <c r="BF510" s="986"/>
      <c r="BG510" s="986"/>
      <c r="BH510" s="986"/>
      <c r="BI510" s="2997"/>
      <c r="BT510" s="1343"/>
      <c r="BW510" s="1535"/>
      <c r="BZ510" s="1009"/>
      <c r="CA510" s="1009"/>
    </row>
    <row r="511" spans="2:79">
      <c r="B511" s="986"/>
      <c r="C511" s="986"/>
      <c r="D511" s="986"/>
      <c r="E511" s="986"/>
      <c r="F511" s="986"/>
      <c r="G511" s="986"/>
      <c r="H511" s="986"/>
      <c r="I511" s="986"/>
      <c r="J511" s="986"/>
      <c r="K511" s="986"/>
      <c r="L511" s="986"/>
      <c r="M511" s="986"/>
      <c r="N511" s="986"/>
      <c r="O511" s="986"/>
      <c r="P511" s="986"/>
      <c r="Q511" s="986"/>
      <c r="R511" s="986"/>
      <c r="S511" s="986"/>
      <c r="T511" s="986"/>
      <c r="U511" s="986"/>
      <c r="V511" s="986"/>
      <c r="W511" s="986"/>
      <c r="X511" s="986"/>
      <c r="Y511" s="986"/>
      <c r="Z511" s="986"/>
      <c r="AA511" s="986"/>
      <c r="AB511" s="986"/>
      <c r="AC511" s="986"/>
      <c r="AD511" s="986"/>
      <c r="AE511" s="986"/>
      <c r="BE511" s="986"/>
      <c r="BF511" s="986"/>
      <c r="BG511" s="986"/>
      <c r="BH511" s="986"/>
      <c r="BI511" s="2997"/>
      <c r="BT511" s="1343"/>
      <c r="BW511" s="1535"/>
      <c r="BZ511" s="1009"/>
      <c r="CA511" s="1009"/>
    </row>
    <row r="512" spans="2:79">
      <c r="B512" s="986"/>
      <c r="C512" s="986"/>
      <c r="D512" s="986"/>
      <c r="E512" s="986"/>
      <c r="F512" s="986"/>
      <c r="G512" s="986"/>
      <c r="H512" s="986"/>
      <c r="I512" s="986"/>
      <c r="J512" s="986"/>
      <c r="K512" s="986"/>
      <c r="L512" s="986"/>
      <c r="M512" s="986"/>
      <c r="N512" s="986"/>
      <c r="O512" s="986"/>
      <c r="P512" s="986"/>
      <c r="Q512" s="986"/>
      <c r="R512" s="986"/>
      <c r="S512" s="986"/>
      <c r="T512" s="986"/>
      <c r="U512" s="986"/>
      <c r="V512" s="986"/>
      <c r="W512" s="986"/>
      <c r="X512" s="986"/>
      <c r="Y512" s="986"/>
      <c r="Z512" s="986"/>
      <c r="AA512" s="986"/>
      <c r="AB512" s="986"/>
      <c r="AC512" s="986"/>
      <c r="AD512" s="986"/>
      <c r="AE512" s="986"/>
      <c r="BE512" s="986"/>
      <c r="BF512" s="986"/>
      <c r="BG512" s="986"/>
      <c r="BH512" s="986"/>
      <c r="BI512" s="2997"/>
      <c r="BT512" s="1343"/>
      <c r="BW512" s="1535"/>
      <c r="BZ512" s="1009"/>
      <c r="CA512" s="1009"/>
    </row>
    <row r="513" spans="2:79">
      <c r="B513" s="986"/>
      <c r="C513" s="986"/>
      <c r="D513" s="986"/>
      <c r="E513" s="986"/>
      <c r="F513" s="986"/>
      <c r="G513" s="986"/>
      <c r="H513" s="986"/>
      <c r="I513" s="986"/>
      <c r="J513" s="986"/>
      <c r="K513" s="986"/>
      <c r="L513" s="986"/>
      <c r="M513" s="986"/>
      <c r="N513" s="986"/>
      <c r="O513" s="986"/>
      <c r="P513" s="986"/>
      <c r="Q513" s="986"/>
      <c r="R513" s="986"/>
      <c r="S513" s="986"/>
      <c r="T513" s="986"/>
      <c r="U513" s="986"/>
      <c r="V513" s="986"/>
      <c r="W513" s="986"/>
      <c r="X513" s="986"/>
      <c r="Y513" s="986"/>
      <c r="Z513" s="986"/>
      <c r="AA513" s="986"/>
      <c r="AB513" s="986"/>
      <c r="AC513" s="986"/>
      <c r="AD513" s="986"/>
      <c r="AE513" s="986"/>
      <c r="BE513" s="986"/>
      <c r="BF513" s="986"/>
      <c r="BG513" s="986"/>
      <c r="BH513" s="986"/>
      <c r="BI513" s="2997"/>
      <c r="BT513" s="1343"/>
      <c r="BW513" s="1535"/>
      <c r="BZ513" s="1009"/>
      <c r="CA513" s="1009"/>
    </row>
    <row r="514" spans="2:79">
      <c r="B514" s="986"/>
      <c r="C514" s="986"/>
      <c r="D514" s="986"/>
      <c r="E514" s="986"/>
      <c r="F514" s="986"/>
      <c r="G514" s="986"/>
      <c r="H514" s="986"/>
      <c r="I514" s="986"/>
      <c r="J514" s="986"/>
      <c r="K514" s="986"/>
      <c r="L514" s="986"/>
      <c r="M514" s="986"/>
      <c r="N514" s="986"/>
      <c r="O514" s="986"/>
      <c r="P514" s="986"/>
      <c r="Q514" s="986"/>
      <c r="R514" s="986"/>
      <c r="S514" s="986"/>
      <c r="T514" s="986"/>
      <c r="U514" s="986"/>
      <c r="V514" s="986"/>
      <c r="W514" s="986"/>
      <c r="X514" s="986"/>
      <c r="Y514" s="986"/>
      <c r="Z514" s="986"/>
      <c r="AA514" s="986"/>
      <c r="AB514" s="986"/>
      <c r="AC514" s="986"/>
      <c r="AD514" s="986"/>
      <c r="AE514" s="986"/>
      <c r="BE514" s="986"/>
      <c r="BF514" s="986"/>
      <c r="BG514" s="986"/>
      <c r="BH514" s="986"/>
      <c r="BI514" s="2997"/>
      <c r="BT514" s="1343"/>
      <c r="BW514" s="1535"/>
      <c r="BZ514" s="1009"/>
      <c r="CA514" s="1009"/>
    </row>
    <row r="515" spans="2:79">
      <c r="B515" s="986"/>
      <c r="C515" s="986"/>
      <c r="D515" s="986"/>
      <c r="E515" s="986"/>
      <c r="F515" s="986"/>
      <c r="G515" s="986"/>
      <c r="H515" s="986"/>
      <c r="I515" s="986"/>
      <c r="J515" s="986"/>
      <c r="K515" s="986"/>
      <c r="L515" s="986"/>
      <c r="M515" s="986"/>
      <c r="N515" s="986"/>
      <c r="O515" s="986"/>
      <c r="P515" s="986"/>
      <c r="Q515" s="986"/>
      <c r="R515" s="986"/>
      <c r="S515" s="986"/>
      <c r="T515" s="986"/>
      <c r="U515" s="986"/>
      <c r="V515" s="986"/>
      <c r="W515" s="986"/>
      <c r="X515" s="986"/>
      <c r="Y515" s="986"/>
      <c r="Z515" s="986"/>
      <c r="AA515" s="986"/>
      <c r="AB515" s="986"/>
      <c r="AC515" s="986"/>
      <c r="AD515" s="986"/>
      <c r="AE515" s="986"/>
      <c r="BE515" s="986"/>
      <c r="BF515" s="986"/>
      <c r="BG515" s="986"/>
      <c r="BH515" s="986"/>
      <c r="BI515" s="2997"/>
      <c r="BT515" s="1343"/>
      <c r="BW515" s="1535"/>
      <c r="BZ515" s="1009"/>
      <c r="CA515" s="1009"/>
    </row>
    <row r="516" spans="2:79">
      <c r="B516" s="986"/>
      <c r="C516" s="986"/>
      <c r="D516" s="986"/>
      <c r="E516" s="986"/>
      <c r="F516" s="986"/>
      <c r="G516" s="986"/>
      <c r="H516" s="986"/>
      <c r="I516" s="986"/>
      <c r="J516" s="986"/>
      <c r="K516" s="986"/>
      <c r="L516" s="986"/>
      <c r="M516" s="986"/>
      <c r="N516" s="986"/>
      <c r="O516" s="986"/>
      <c r="P516" s="986"/>
      <c r="Q516" s="986"/>
      <c r="R516" s="986"/>
      <c r="S516" s="986"/>
      <c r="T516" s="986"/>
      <c r="U516" s="986"/>
      <c r="V516" s="986"/>
      <c r="W516" s="986"/>
      <c r="X516" s="986"/>
      <c r="Y516" s="986"/>
      <c r="Z516" s="986"/>
      <c r="AA516" s="986"/>
      <c r="AB516" s="986"/>
      <c r="AC516" s="986"/>
      <c r="AD516" s="986"/>
      <c r="AE516" s="986"/>
      <c r="BE516" s="986"/>
      <c r="BF516" s="986"/>
      <c r="BG516" s="986"/>
      <c r="BH516" s="986"/>
      <c r="BI516" s="2997"/>
      <c r="BT516" s="1343"/>
      <c r="BW516" s="1535"/>
      <c r="BZ516" s="1009"/>
      <c r="CA516" s="1009"/>
    </row>
    <row r="517" spans="2:79">
      <c r="B517" s="986"/>
      <c r="C517" s="986"/>
      <c r="D517" s="986"/>
      <c r="E517" s="986"/>
      <c r="F517" s="986"/>
      <c r="G517" s="986"/>
      <c r="H517" s="986"/>
      <c r="I517" s="986"/>
      <c r="J517" s="986"/>
      <c r="K517" s="986"/>
      <c r="L517" s="986"/>
      <c r="M517" s="986"/>
      <c r="N517" s="986"/>
      <c r="O517" s="986"/>
      <c r="P517" s="986"/>
      <c r="Q517" s="986"/>
      <c r="R517" s="986"/>
      <c r="S517" s="986"/>
      <c r="T517" s="986"/>
      <c r="U517" s="986"/>
      <c r="V517" s="986"/>
      <c r="W517" s="986"/>
      <c r="X517" s="986"/>
      <c r="Y517" s="986"/>
      <c r="Z517" s="986"/>
      <c r="AA517" s="986"/>
      <c r="AB517" s="986"/>
      <c r="AC517" s="986"/>
      <c r="AD517" s="986"/>
      <c r="AE517" s="986"/>
      <c r="BE517" s="986"/>
      <c r="BF517" s="986"/>
      <c r="BG517" s="986"/>
      <c r="BH517" s="986"/>
      <c r="BI517" s="2997"/>
      <c r="BT517" s="1343"/>
      <c r="BW517" s="1535"/>
      <c r="BZ517" s="1009"/>
      <c r="CA517" s="1009"/>
    </row>
    <row r="518" spans="2:79">
      <c r="B518" s="986"/>
      <c r="C518" s="986"/>
      <c r="D518" s="986"/>
      <c r="E518" s="986"/>
      <c r="F518" s="986"/>
      <c r="G518" s="986"/>
      <c r="H518" s="986"/>
      <c r="I518" s="986"/>
      <c r="J518" s="986"/>
      <c r="K518" s="986"/>
      <c r="L518" s="986"/>
      <c r="M518" s="986"/>
      <c r="N518" s="986"/>
      <c r="O518" s="986"/>
      <c r="P518" s="986"/>
      <c r="Q518" s="986"/>
      <c r="R518" s="986"/>
      <c r="S518" s="986"/>
      <c r="T518" s="986"/>
      <c r="U518" s="986"/>
      <c r="V518" s="986"/>
      <c r="W518" s="986"/>
      <c r="X518" s="986"/>
      <c r="Y518" s="986"/>
      <c r="Z518" s="986"/>
      <c r="AA518" s="986"/>
      <c r="AB518" s="986"/>
      <c r="AC518" s="986"/>
      <c r="AD518" s="986"/>
      <c r="AE518" s="986"/>
      <c r="BE518" s="986"/>
      <c r="BF518" s="986"/>
      <c r="BG518" s="986"/>
      <c r="BH518" s="986"/>
      <c r="BI518" s="2997"/>
      <c r="BT518" s="1343"/>
      <c r="BW518" s="1535"/>
      <c r="BZ518" s="1009"/>
      <c r="CA518" s="1009"/>
    </row>
    <row r="519" spans="2:79">
      <c r="B519" s="986"/>
      <c r="C519" s="986"/>
      <c r="D519" s="986"/>
      <c r="E519" s="986"/>
      <c r="F519" s="986"/>
      <c r="G519" s="986"/>
      <c r="H519" s="986"/>
      <c r="I519" s="986"/>
      <c r="J519" s="986"/>
      <c r="K519" s="986"/>
      <c r="L519" s="986"/>
      <c r="M519" s="986"/>
      <c r="N519" s="986"/>
      <c r="O519" s="986"/>
      <c r="P519" s="986"/>
      <c r="Q519" s="986"/>
      <c r="R519" s="986"/>
      <c r="S519" s="986"/>
      <c r="T519" s="986"/>
      <c r="U519" s="986"/>
      <c r="V519" s="986"/>
      <c r="W519" s="986"/>
      <c r="X519" s="986"/>
      <c r="Y519" s="986"/>
      <c r="Z519" s="986"/>
      <c r="AA519" s="986"/>
      <c r="AB519" s="986"/>
      <c r="AC519" s="986"/>
      <c r="AD519" s="986"/>
      <c r="AE519" s="986"/>
      <c r="BE519" s="986"/>
      <c r="BF519" s="986"/>
      <c r="BG519" s="986"/>
      <c r="BH519" s="986"/>
      <c r="BI519" s="2997"/>
      <c r="BT519" s="1343"/>
      <c r="BW519" s="1535"/>
      <c r="BZ519" s="1009"/>
      <c r="CA519" s="1009"/>
    </row>
    <row r="520" spans="2:79">
      <c r="B520" s="986"/>
      <c r="C520" s="986"/>
      <c r="D520" s="986"/>
      <c r="E520" s="986"/>
      <c r="F520" s="986"/>
      <c r="G520" s="986"/>
      <c r="H520" s="986"/>
      <c r="I520" s="986"/>
      <c r="J520" s="986"/>
      <c r="K520" s="986"/>
      <c r="L520" s="986"/>
      <c r="M520" s="986"/>
      <c r="N520" s="986"/>
      <c r="O520" s="986"/>
      <c r="P520" s="986"/>
      <c r="Q520" s="986"/>
      <c r="R520" s="986"/>
      <c r="S520" s="986"/>
      <c r="T520" s="986"/>
      <c r="U520" s="986"/>
      <c r="V520" s="986"/>
      <c r="W520" s="986"/>
      <c r="X520" s="986"/>
      <c r="Y520" s="986"/>
      <c r="Z520" s="986"/>
      <c r="AA520" s="986"/>
      <c r="AB520" s="986"/>
      <c r="AC520" s="986"/>
      <c r="AD520" s="986"/>
      <c r="AE520" s="986"/>
      <c r="BE520" s="986"/>
      <c r="BF520" s="986"/>
      <c r="BG520" s="986"/>
      <c r="BH520" s="986"/>
      <c r="BI520" s="2997"/>
      <c r="BT520" s="1343"/>
      <c r="BW520" s="1535"/>
      <c r="BZ520" s="1009"/>
      <c r="CA520" s="1009"/>
    </row>
    <row r="521" spans="2:79">
      <c r="B521" s="986"/>
      <c r="C521" s="986"/>
      <c r="D521" s="986"/>
      <c r="E521" s="986"/>
      <c r="F521" s="986"/>
      <c r="G521" s="986"/>
      <c r="H521" s="986"/>
      <c r="I521" s="986"/>
      <c r="J521" s="986"/>
      <c r="K521" s="986"/>
      <c r="L521" s="986"/>
      <c r="M521" s="986"/>
      <c r="N521" s="986"/>
      <c r="O521" s="986"/>
      <c r="P521" s="986"/>
      <c r="Q521" s="986"/>
      <c r="R521" s="986"/>
      <c r="S521" s="986"/>
      <c r="T521" s="986"/>
      <c r="U521" s="986"/>
      <c r="V521" s="986"/>
      <c r="W521" s="986"/>
      <c r="X521" s="986"/>
      <c r="Y521" s="986"/>
      <c r="Z521" s="986"/>
      <c r="AA521" s="986"/>
      <c r="AB521" s="986"/>
      <c r="AC521" s="986"/>
      <c r="AD521" s="986"/>
      <c r="AE521" s="986"/>
      <c r="BE521" s="986"/>
      <c r="BF521" s="986"/>
      <c r="BG521" s="986"/>
      <c r="BH521" s="986"/>
      <c r="BI521" s="2997"/>
      <c r="BT521" s="1343"/>
      <c r="BW521" s="1535"/>
      <c r="BZ521" s="1009"/>
      <c r="CA521" s="1009"/>
    </row>
    <row r="522" spans="2:79">
      <c r="B522" s="986"/>
      <c r="C522" s="986"/>
      <c r="D522" s="986"/>
      <c r="E522" s="986"/>
      <c r="F522" s="986"/>
      <c r="G522" s="986"/>
      <c r="H522" s="986"/>
      <c r="I522" s="986"/>
      <c r="J522" s="986"/>
      <c r="K522" s="986"/>
      <c r="L522" s="986"/>
      <c r="M522" s="986"/>
      <c r="N522" s="986"/>
      <c r="O522" s="986"/>
      <c r="P522" s="986"/>
      <c r="Q522" s="986"/>
      <c r="R522" s="986"/>
      <c r="S522" s="986"/>
      <c r="T522" s="986"/>
      <c r="U522" s="986"/>
      <c r="V522" s="986"/>
      <c r="W522" s="986"/>
      <c r="X522" s="986"/>
      <c r="Y522" s="986"/>
      <c r="Z522" s="986"/>
      <c r="AA522" s="986"/>
      <c r="AB522" s="986"/>
      <c r="AC522" s="986"/>
      <c r="AD522" s="986"/>
      <c r="AE522" s="986"/>
      <c r="BE522" s="986"/>
      <c r="BF522" s="986"/>
      <c r="BG522" s="986"/>
      <c r="BH522" s="986"/>
      <c r="BI522" s="2997"/>
      <c r="BT522" s="1343"/>
      <c r="BW522" s="1535"/>
      <c r="BZ522" s="1009"/>
      <c r="CA522" s="1009"/>
    </row>
    <row r="523" spans="2:79">
      <c r="B523" s="986"/>
      <c r="C523" s="986"/>
      <c r="D523" s="986"/>
      <c r="E523" s="986"/>
      <c r="F523" s="986"/>
      <c r="G523" s="986"/>
      <c r="H523" s="986"/>
      <c r="I523" s="986"/>
      <c r="J523" s="986"/>
      <c r="K523" s="986"/>
      <c r="L523" s="986"/>
      <c r="M523" s="986"/>
      <c r="N523" s="986"/>
      <c r="O523" s="986"/>
      <c r="P523" s="986"/>
      <c r="Q523" s="986"/>
      <c r="R523" s="986"/>
      <c r="S523" s="986"/>
      <c r="T523" s="986"/>
      <c r="U523" s="986"/>
      <c r="V523" s="986"/>
      <c r="W523" s="986"/>
      <c r="X523" s="986"/>
      <c r="Y523" s="986"/>
      <c r="Z523" s="986"/>
      <c r="AA523" s="986"/>
      <c r="AB523" s="986"/>
      <c r="AC523" s="986"/>
      <c r="AD523" s="986"/>
      <c r="AE523" s="986"/>
      <c r="BE523" s="986"/>
      <c r="BF523" s="986"/>
      <c r="BG523" s="986"/>
      <c r="BH523" s="986"/>
      <c r="BI523" s="2997"/>
      <c r="BT523" s="1343"/>
      <c r="BW523" s="1535"/>
      <c r="BZ523" s="1009"/>
      <c r="CA523" s="1009"/>
    </row>
    <row r="524" spans="2:79">
      <c r="B524" s="986"/>
      <c r="C524" s="986"/>
      <c r="D524" s="986"/>
      <c r="E524" s="986"/>
      <c r="F524" s="986"/>
      <c r="G524" s="986"/>
      <c r="H524" s="986"/>
      <c r="I524" s="986"/>
      <c r="J524" s="986"/>
      <c r="K524" s="986"/>
      <c r="L524" s="986"/>
      <c r="M524" s="986"/>
      <c r="N524" s="986"/>
      <c r="O524" s="986"/>
      <c r="P524" s="986"/>
      <c r="Q524" s="986"/>
      <c r="R524" s="986"/>
      <c r="S524" s="986"/>
      <c r="T524" s="986"/>
      <c r="U524" s="986"/>
      <c r="V524" s="986"/>
      <c r="W524" s="986"/>
      <c r="X524" s="986"/>
      <c r="Y524" s="986"/>
      <c r="Z524" s="986"/>
      <c r="AA524" s="986"/>
      <c r="AB524" s="986"/>
      <c r="AC524" s="986"/>
      <c r="AD524" s="986"/>
      <c r="AE524" s="986"/>
      <c r="BE524" s="986"/>
      <c r="BF524" s="986"/>
      <c r="BG524" s="986"/>
      <c r="BH524" s="986"/>
      <c r="BI524" s="2997"/>
      <c r="BT524" s="1343"/>
      <c r="BW524" s="1535"/>
      <c r="BZ524" s="1009"/>
      <c r="CA524" s="1009"/>
    </row>
    <row r="525" spans="2:79">
      <c r="B525" s="986"/>
      <c r="C525" s="986"/>
      <c r="D525" s="986"/>
      <c r="E525" s="986"/>
      <c r="F525" s="986"/>
      <c r="G525" s="986"/>
      <c r="H525" s="986"/>
      <c r="I525" s="986"/>
      <c r="J525" s="986"/>
      <c r="K525" s="986"/>
      <c r="L525" s="986"/>
      <c r="M525" s="986"/>
      <c r="N525" s="986"/>
      <c r="O525" s="986"/>
      <c r="P525" s="986"/>
      <c r="Q525" s="986"/>
      <c r="R525" s="986"/>
      <c r="S525" s="986"/>
      <c r="T525" s="986"/>
      <c r="U525" s="986"/>
      <c r="V525" s="986"/>
      <c r="W525" s="986"/>
      <c r="X525" s="986"/>
      <c r="Y525" s="986"/>
      <c r="Z525" s="986"/>
      <c r="AA525" s="986"/>
      <c r="AB525" s="986"/>
      <c r="AC525" s="986"/>
      <c r="AD525" s="986"/>
      <c r="AE525" s="986"/>
      <c r="BE525" s="986"/>
      <c r="BF525" s="986"/>
      <c r="BG525" s="986"/>
      <c r="BH525" s="986"/>
      <c r="BI525" s="2997"/>
      <c r="BT525" s="1343"/>
      <c r="BW525" s="1535"/>
      <c r="BZ525" s="1009"/>
      <c r="CA525" s="1009"/>
    </row>
    <row r="526" spans="2:79">
      <c r="B526" s="986"/>
      <c r="C526" s="986"/>
      <c r="D526" s="986"/>
      <c r="E526" s="986"/>
      <c r="F526" s="986"/>
      <c r="G526" s="986"/>
      <c r="H526" s="986"/>
      <c r="I526" s="986"/>
      <c r="J526" s="986"/>
      <c r="K526" s="986"/>
      <c r="L526" s="986"/>
      <c r="M526" s="986"/>
      <c r="N526" s="986"/>
      <c r="O526" s="986"/>
      <c r="P526" s="986"/>
      <c r="Q526" s="986"/>
      <c r="R526" s="986"/>
      <c r="S526" s="986"/>
      <c r="T526" s="986"/>
      <c r="U526" s="986"/>
      <c r="V526" s="986"/>
      <c r="W526" s="986"/>
      <c r="X526" s="986"/>
      <c r="Y526" s="986"/>
      <c r="Z526" s="986"/>
      <c r="AA526" s="986"/>
      <c r="AB526" s="986"/>
      <c r="AC526" s="986"/>
      <c r="AD526" s="986"/>
      <c r="AE526" s="986"/>
      <c r="BE526" s="986"/>
      <c r="BF526" s="986"/>
      <c r="BG526" s="986"/>
      <c r="BH526" s="986"/>
      <c r="BI526" s="2997"/>
      <c r="BT526" s="1343"/>
      <c r="BW526" s="1535"/>
      <c r="BZ526" s="1009"/>
      <c r="CA526" s="1009"/>
    </row>
    <row r="527" spans="2:79">
      <c r="B527" s="986"/>
      <c r="C527" s="986"/>
      <c r="D527" s="986"/>
      <c r="E527" s="986"/>
      <c r="F527" s="986"/>
      <c r="G527" s="986"/>
      <c r="H527" s="986"/>
      <c r="I527" s="986"/>
      <c r="J527" s="986"/>
      <c r="K527" s="986"/>
      <c r="L527" s="986"/>
      <c r="M527" s="986"/>
      <c r="N527" s="986"/>
      <c r="O527" s="986"/>
      <c r="P527" s="986"/>
      <c r="Q527" s="986"/>
      <c r="R527" s="986"/>
      <c r="S527" s="986"/>
      <c r="T527" s="986"/>
      <c r="U527" s="986"/>
      <c r="V527" s="986"/>
      <c r="W527" s="986"/>
      <c r="X527" s="986"/>
      <c r="Y527" s="986"/>
      <c r="Z527" s="986"/>
      <c r="AA527" s="986"/>
      <c r="AB527" s="986"/>
      <c r="AC527" s="986"/>
      <c r="AD527" s="986"/>
      <c r="AE527" s="986"/>
      <c r="BE527" s="986"/>
      <c r="BF527" s="986"/>
      <c r="BG527" s="986"/>
      <c r="BH527" s="986"/>
      <c r="BI527" s="2997"/>
      <c r="BT527" s="1343"/>
      <c r="BW527" s="1535"/>
      <c r="BZ527" s="1009"/>
      <c r="CA527" s="1009"/>
    </row>
    <row r="528" spans="2:79">
      <c r="B528" s="986"/>
      <c r="C528" s="986"/>
      <c r="D528" s="986"/>
      <c r="E528" s="986"/>
      <c r="F528" s="986"/>
      <c r="G528" s="986"/>
      <c r="H528" s="986"/>
      <c r="I528" s="986"/>
      <c r="J528" s="986"/>
      <c r="K528" s="986"/>
      <c r="L528" s="986"/>
      <c r="M528" s="986"/>
      <c r="N528" s="986"/>
      <c r="O528" s="986"/>
      <c r="P528" s="986"/>
      <c r="Q528" s="986"/>
      <c r="R528" s="986"/>
      <c r="S528" s="986"/>
      <c r="T528" s="986"/>
      <c r="U528" s="986"/>
      <c r="V528" s="986"/>
      <c r="W528" s="986"/>
      <c r="X528" s="986"/>
      <c r="Y528" s="986"/>
      <c r="Z528" s="986"/>
      <c r="AA528" s="986"/>
      <c r="AB528" s="986"/>
      <c r="AC528" s="986"/>
      <c r="AD528" s="986"/>
      <c r="AE528" s="986"/>
      <c r="BE528" s="986"/>
      <c r="BF528" s="986"/>
      <c r="BG528" s="986"/>
      <c r="BH528" s="986"/>
      <c r="BI528" s="2997"/>
      <c r="BW528" s="1535"/>
      <c r="BZ528" s="1009"/>
      <c r="CA528" s="1009"/>
    </row>
    <row r="529" spans="2:79">
      <c r="B529" s="986"/>
      <c r="C529" s="986"/>
      <c r="D529" s="986"/>
      <c r="E529" s="986"/>
      <c r="F529" s="986"/>
      <c r="G529" s="986"/>
      <c r="H529" s="986"/>
      <c r="I529" s="986"/>
      <c r="J529" s="986"/>
      <c r="K529" s="986"/>
      <c r="L529" s="986"/>
      <c r="M529" s="986"/>
      <c r="N529" s="986"/>
      <c r="O529" s="986"/>
      <c r="P529" s="986"/>
      <c r="Q529" s="986"/>
      <c r="R529" s="986"/>
      <c r="S529" s="986"/>
      <c r="T529" s="986"/>
      <c r="U529" s="986"/>
      <c r="V529" s="986"/>
      <c r="W529" s="986"/>
      <c r="X529" s="986"/>
      <c r="Y529" s="986"/>
      <c r="Z529" s="986"/>
      <c r="AA529" s="986"/>
      <c r="AB529" s="986"/>
      <c r="AC529" s="986"/>
      <c r="AD529" s="986"/>
      <c r="AE529" s="986"/>
      <c r="BE529" s="986"/>
      <c r="BF529" s="986"/>
      <c r="BG529" s="986"/>
      <c r="BH529" s="986"/>
      <c r="BI529" s="2997"/>
      <c r="BW529" s="1535"/>
      <c r="BZ529" s="1009"/>
      <c r="CA529" s="1009"/>
    </row>
    <row r="530" spans="2:79">
      <c r="B530" s="986"/>
      <c r="C530" s="986"/>
      <c r="D530" s="986"/>
      <c r="E530" s="986"/>
      <c r="F530" s="986"/>
      <c r="G530" s="986"/>
      <c r="H530" s="986"/>
      <c r="I530" s="986"/>
      <c r="J530" s="986"/>
      <c r="K530" s="986"/>
      <c r="L530" s="986"/>
      <c r="M530" s="986"/>
      <c r="N530" s="986"/>
      <c r="O530" s="986"/>
      <c r="P530" s="986"/>
      <c r="Q530" s="986"/>
      <c r="R530" s="986"/>
      <c r="S530" s="986"/>
      <c r="T530" s="986"/>
      <c r="U530" s="986"/>
      <c r="V530" s="986"/>
      <c r="W530" s="986"/>
      <c r="X530" s="986"/>
      <c r="Y530" s="986"/>
      <c r="Z530" s="986"/>
      <c r="AA530" s="986"/>
      <c r="AB530" s="986"/>
      <c r="AC530" s="986"/>
      <c r="AD530" s="986"/>
      <c r="AE530" s="986"/>
      <c r="BE530" s="986"/>
      <c r="BF530" s="986"/>
      <c r="BG530" s="986"/>
      <c r="BH530" s="986"/>
      <c r="BI530" s="2997"/>
      <c r="BW530" s="1535"/>
      <c r="BZ530" s="1009"/>
      <c r="CA530" s="1009"/>
    </row>
    <row r="531" spans="2:79">
      <c r="B531" s="986"/>
      <c r="C531" s="986"/>
      <c r="D531" s="986"/>
      <c r="E531" s="986"/>
      <c r="F531" s="986"/>
      <c r="G531" s="986"/>
      <c r="H531" s="986"/>
      <c r="I531" s="986"/>
      <c r="J531" s="986"/>
      <c r="K531" s="986"/>
      <c r="L531" s="986"/>
      <c r="M531" s="986"/>
      <c r="N531" s="986"/>
      <c r="O531" s="986"/>
      <c r="P531" s="986"/>
      <c r="Q531" s="986"/>
      <c r="R531" s="986"/>
      <c r="S531" s="986"/>
      <c r="T531" s="986"/>
      <c r="U531" s="986"/>
      <c r="V531" s="986"/>
      <c r="W531" s="986"/>
      <c r="X531" s="986"/>
      <c r="Y531" s="986"/>
      <c r="Z531" s="986"/>
      <c r="AA531" s="986"/>
      <c r="AB531" s="986"/>
      <c r="AC531" s="986"/>
      <c r="AD531" s="986"/>
      <c r="AE531" s="986"/>
      <c r="BE531" s="986"/>
      <c r="BF531" s="986"/>
      <c r="BG531" s="986"/>
      <c r="BH531" s="986"/>
      <c r="BI531" s="2997"/>
      <c r="BW531" s="1535"/>
      <c r="BZ531" s="1009"/>
      <c r="CA531" s="1009"/>
    </row>
    <row r="532" spans="2:79">
      <c r="B532" s="986"/>
      <c r="C532" s="986"/>
      <c r="D532" s="986"/>
      <c r="E532" s="986"/>
      <c r="F532" s="986"/>
      <c r="G532" s="986"/>
      <c r="H532" s="986"/>
      <c r="I532" s="986"/>
      <c r="J532" s="986"/>
      <c r="K532" s="986"/>
      <c r="L532" s="986"/>
      <c r="M532" s="986"/>
      <c r="N532" s="986"/>
      <c r="O532" s="986"/>
      <c r="P532" s="986"/>
      <c r="Q532" s="986"/>
      <c r="R532" s="986"/>
      <c r="S532" s="986"/>
      <c r="T532" s="986"/>
      <c r="U532" s="986"/>
      <c r="V532" s="986"/>
      <c r="W532" s="986"/>
      <c r="X532" s="986"/>
      <c r="Y532" s="986"/>
      <c r="Z532" s="986"/>
      <c r="AA532" s="986"/>
      <c r="AB532" s="986"/>
      <c r="AC532" s="986"/>
      <c r="AD532" s="986"/>
      <c r="AE532" s="986"/>
      <c r="BE532" s="986"/>
      <c r="BF532" s="986"/>
      <c r="BG532" s="986"/>
      <c r="BH532" s="986"/>
      <c r="BI532" s="2997"/>
      <c r="BW532" s="1535"/>
      <c r="BZ532" s="1009"/>
      <c r="CA532" s="1009"/>
    </row>
    <row r="533" spans="2:79">
      <c r="B533" s="986"/>
      <c r="C533" s="986"/>
      <c r="D533" s="986"/>
      <c r="E533" s="986"/>
      <c r="F533" s="986"/>
      <c r="G533" s="986"/>
      <c r="H533" s="986"/>
      <c r="I533" s="986"/>
      <c r="J533" s="986"/>
      <c r="K533" s="986"/>
      <c r="L533" s="986"/>
      <c r="M533" s="986"/>
      <c r="N533" s="986"/>
      <c r="O533" s="986"/>
      <c r="P533" s="986"/>
      <c r="Q533" s="986"/>
      <c r="R533" s="986"/>
      <c r="S533" s="986"/>
      <c r="T533" s="986"/>
      <c r="U533" s="986"/>
      <c r="V533" s="986"/>
      <c r="W533" s="986"/>
      <c r="X533" s="986"/>
      <c r="Y533" s="986"/>
      <c r="Z533" s="986"/>
      <c r="AA533" s="986"/>
      <c r="AB533" s="986"/>
      <c r="AC533" s="986"/>
      <c r="AD533" s="986"/>
      <c r="AE533" s="986"/>
      <c r="BE533" s="986"/>
      <c r="BF533" s="986"/>
      <c r="BG533" s="986"/>
      <c r="BH533" s="986"/>
      <c r="BI533" s="2997"/>
      <c r="BW533" s="1535"/>
      <c r="BZ533" s="1009"/>
      <c r="CA533" s="1009"/>
    </row>
    <row r="534" spans="2:79">
      <c r="B534" s="986"/>
      <c r="C534" s="986"/>
      <c r="D534" s="986"/>
      <c r="E534" s="986"/>
      <c r="F534" s="986"/>
      <c r="G534" s="986"/>
      <c r="H534" s="986"/>
      <c r="I534" s="986"/>
      <c r="J534" s="986"/>
      <c r="K534" s="986"/>
      <c r="L534" s="986"/>
      <c r="M534" s="986"/>
      <c r="N534" s="986"/>
      <c r="O534" s="986"/>
      <c r="P534" s="986"/>
      <c r="Q534" s="986"/>
      <c r="R534" s="986"/>
      <c r="S534" s="986"/>
      <c r="T534" s="986"/>
      <c r="U534" s="986"/>
      <c r="V534" s="986"/>
      <c r="W534" s="986"/>
      <c r="X534" s="986"/>
      <c r="Y534" s="986"/>
      <c r="Z534" s="986"/>
      <c r="AA534" s="986"/>
      <c r="AB534" s="986"/>
      <c r="AC534" s="986"/>
      <c r="AD534" s="986"/>
      <c r="AE534" s="986"/>
      <c r="BE534" s="986"/>
      <c r="BF534" s="986"/>
      <c r="BG534" s="986"/>
      <c r="BH534" s="986"/>
      <c r="BI534" s="2997"/>
      <c r="BW534" s="1535"/>
      <c r="BZ534" s="1009"/>
      <c r="CA534" s="1009"/>
    </row>
    <row r="535" spans="2:79">
      <c r="B535" s="986"/>
      <c r="C535" s="986"/>
      <c r="D535" s="986"/>
      <c r="E535" s="986"/>
      <c r="F535" s="986"/>
      <c r="G535" s="986"/>
      <c r="H535" s="986"/>
      <c r="I535" s="986"/>
      <c r="J535" s="986"/>
      <c r="K535" s="986"/>
      <c r="L535" s="986"/>
      <c r="M535" s="986"/>
      <c r="N535" s="986"/>
      <c r="O535" s="986"/>
      <c r="P535" s="986"/>
      <c r="Q535" s="986"/>
      <c r="R535" s="986"/>
      <c r="S535" s="986"/>
      <c r="T535" s="986"/>
      <c r="U535" s="986"/>
      <c r="V535" s="986"/>
      <c r="W535" s="986"/>
      <c r="X535" s="986"/>
      <c r="Y535" s="986"/>
      <c r="Z535" s="986"/>
      <c r="AA535" s="986"/>
      <c r="AB535" s="986"/>
      <c r="AC535" s="986"/>
      <c r="AD535" s="986"/>
      <c r="AE535" s="986"/>
      <c r="BE535" s="986"/>
      <c r="BF535" s="986"/>
      <c r="BG535" s="986"/>
      <c r="BH535" s="986"/>
      <c r="BI535" s="2997"/>
      <c r="BW535" s="1535"/>
      <c r="BZ535" s="1009"/>
      <c r="CA535" s="1009"/>
    </row>
    <row r="536" spans="2:79">
      <c r="B536" s="986"/>
      <c r="C536" s="986"/>
      <c r="D536" s="986"/>
      <c r="E536" s="986"/>
      <c r="F536" s="986"/>
      <c r="G536" s="986"/>
      <c r="H536" s="986"/>
      <c r="I536" s="986"/>
      <c r="J536" s="986"/>
      <c r="K536" s="986"/>
      <c r="L536" s="986"/>
      <c r="M536" s="986"/>
      <c r="N536" s="986"/>
      <c r="O536" s="986"/>
      <c r="P536" s="986"/>
      <c r="Q536" s="986"/>
      <c r="R536" s="986"/>
      <c r="S536" s="986"/>
      <c r="T536" s="986"/>
      <c r="U536" s="986"/>
      <c r="V536" s="986"/>
      <c r="W536" s="986"/>
      <c r="X536" s="986"/>
      <c r="Y536" s="986"/>
      <c r="Z536" s="986"/>
      <c r="AA536" s="986"/>
      <c r="AB536" s="986"/>
      <c r="AC536" s="986"/>
      <c r="AD536" s="986"/>
      <c r="AE536" s="986"/>
      <c r="BE536" s="986"/>
      <c r="BF536" s="986"/>
      <c r="BG536" s="986"/>
      <c r="BH536" s="986"/>
      <c r="BI536" s="2997"/>
      <c r="BW536" s="1535"/>
      <c r="BZ536" s="1009"/>
      <c r="CA536" s="1009"/>
    </row>
    <row r="537" spans="2:79">
      <c r="B537" s="986"/>
      <c r="C537" s="986"/>
      <c r="D537" s="986"/>
      <c r="E537" s="986"/>
      <c r="F537" s="986"/>
      <c r="G537" s="986"/>
      <c r="H537" s="986"/>
      <c r="I537" s="986"/>
      <c r="J537" s="986"/>
      <c r="K537" s="986"/>
      <c r="L537" s="986"/>
      <c r="M537" s="986"/>
      <c r="N537" s="986"/>
      <c r="O537" s="986"/>
      <c r="P537" s="986"/>
      <c r="Q537" s="986"/>
      <c r="R537" s="986"/>
      <c r="S537" s="986"/>
      <c r="T537" s="986"/>
      <c r="U537" s="986"/>
      <c r="V537" s="986"/>
      <c r="W537" s="986"/>
      <c r="X537" s="986"/>
      <c r="Y537" s="986"/>
      <c r="Z537" s="986"/>
      <c r="AA537" s="986"/>
      <c r="AB537" s="986"/>
      <c r="AC537" s="986"/>
      <c r="AD537" s="986"/>
      <c r="AE537" s="986"/>
      <c r="BE537" s="986"/>
      <c r="BF537" s="986"/>
      <c r="BG537" s="986"/>
      <c r="BH537" s="986"/>
      <c r="BI537" s="2997"/>
      <c r="BW537" s="1535"/>
      <c r="BZ537" s="1009"/>
      <c r="CA537" s="1009"/>
    </row>
    <row r="538" spans="2:79">
      <c r="B538" s="986"/>
      <c r="C538" s="986"/>
      <c r="D538" s="986"/>
      <c r="E538" s="986"/>
      <c r="F538" s="986"/>
      <c r="G538" s="986"/>
      <c r="H538" s="986"/>
      <c r="I538" s="986"/>
      <c r="J538" s="986"/>
      <c r="K538" s="986"/>
      <c r="L538" s="986"/>
      <c r="M538" s="986"/>
      <c r="N538" s="986"/>
      <c r="O538" s="986"/>
      <c r="P538" s="986"/>
      <c r="Q538" s="986"/>
      <c r="R538" s="986"/>
      <c r="S538" s="986"/>
      <c r="T538" s="986"/>
      <c r="U538" s="986"/>
      <c r="V538" s="986"/>
      <c r="W538" s="986"/>
      <c r="X538" s="986"/>
      <c r="Y538" s="986"/>
      <c r="Z538" s="986"/>
      <c r="AA538" s="986"/>
      <c r="AB538" s="986"/>
      <c r="AC538" s="986"/>
      <c r="AD538" s="986"/>
      <c r="AE538" s="986"/>
      <c r="BE538" s="986"/>
      <c r="BF538" s="986"/>
      <c r="BG538" s="986"/>
      <c r="BH538" s="986"/>
      <c r="BI538" s="2997"/>
      <c r="BW538" s="1535"/>
      <c r="BZ538" s="1009"/>
      <c r="CA538" s="1009"/>
    </row>
    <row r="539" spans="2:79">
      <c r="B539" s="986"/>
      <c r="C539" s="986"/>
      <c r="D539" s="986"/>
      <c r="E539" s="986"/>
      <c r="F539" s="986"/>
      <c r="G539" s="986"/>
      <c r="H539" s="986"/>
      <c r="I539" s="986"/>
      <c r="J539" s="986"/>
      <c r="K539" s="986"/>
      <c r="L539" s="986"/>
      <c r="M539" s="986"/>
      <c r="N539" s="986"/>
      <c r="O539" s="986"/>
      <c r="P539" s="986"/>
      <c r="Q539" s="986"/>
      <c r="R539" s="986"/>
      <c r="S539" s="986"/>
      <c r="T539" s="986"/>
      <c r="U539" s="986"/>
      <c r="V539" s="986"/>
      <c r="W539" s="986"/>
      <c r="X539" s="986"/>
      <c r="Y539" s="986"/>
      <c r="Z539" s="986"/>
      <c r="AA539" s="986"/>
      <c r="AB539" s="986"/>
      <c r="AC539" s="986"/>
      <c r="AD539" s="986"/>
      <c r="AE539" s="986"/>
      <c r="BE539" s="986"/>
      <c r="BF539" s="986"/>
      <c r="BG539" s="986"/>
      <c r="BH539" s="986"/>
      <c r="BI539" s="2997"/>
      <c r="BW539" s="1535"/>
      <c r="BZ539" s="1009"/>
      <c r="CA539" s="1009"/>
    </row>
    <row r="540" spans="2:79">
      <c r="B540" s="986"/>
      <c r="C540" s="986"/>
      <c r="D540" s="986"/>
      <c r="E540" s="986"/>
      <c r="F540" s="986"/>
      <c r="G540" s="986"/>
      <c r="H540" s="986"/>
      <c r="I540" s="986"/>
      <c r="J540" s="986"/>
      <c r="K540" s="986"/>
      <c r="L540" s="986"/>
      <c r="M540" s="986"/>
      <c r="N540" s="986"/>
      <c r="O540" s="986"/>
      <c r="P540" s="986"/>
      <c r="Q540" s="986"/>
      <c r="R540" s="986"/>
      <c r="S540" s="986"/>
      <c r="T540" s="986"/>
      <c r="U540" s="986"/>
      <c r="V540" s="986"/>
      <c r="W540" s="986"/>
      <c r="X540" s="986"/>
      <c r="Y540" s="986"/>
      <c r="Z540" s="986"/>
      <c r="AA540" s="986"/>
      <c r="AB540" s="986"/>
      <c r="AC540" s="986"/>
      <c r="AD540" s="986"/>
      <c r="AE540" s="986"/>
      <c r="BE540" s="986"/>
      <c r="BF540" s="986"/>
      <c r="BG540" s="986"/>
      <c r="BH540" s="986"/>
      <c r="BI540" s="2997"/>
      <c r="BW540" s="1535"/>
      <c r="BZ540" s="1009"/>
      <c r="CA540" s="1009"/>
    </row>
    <row r="541" spans="2:79">
      <c r="B541" s="986"/>
      <c r="C541" s="986"/>
      <c r="D541" s="986"/>
      <c r="E541" s="986"/>
      <c r="F541" s="986"/>
      <c r="G541" s="986"/>
      <c r="H541" s="986"/>
      <c r="I541" s="986"/>
      <c r="J541" s="986"/>
      <c r="K541" s="986"/>
      <c r="L541" s="986"/>
      <c r="M541" s="986"/>
      <c r="N541" s="986"/>
      <c r="O541" s="986"/>
      <c r="P541" s="986"/>
      <c r="Q541" s="986"/>
      <c r="R541" s="986"/>
      <c r="S541" s="986"/>
      <c r="T541" s="986"/>
      <c r="U541" s="986"/>
      <c r="V541" s="986"/>
      <c r="W541" s="986"/>
      <c r="X541" s="986"/>
      <c r="Y541" s="986"/>
      <c r="Z541" s="986"/>
      <c r="AA541" s="986"/>
      <c r="AB541" s="986"/>
      <c r="AC541" s="986"/>
      <c r="AD541" s="986"/>
      <c r="AE541" s="986"/>
      <c r="BE541" s="986"/>
      <c r="BF541" s="986"/>
      <c r="BG541" s="986"/>
      <c r="BH541" s="986"/>
      <c r="BI541" s="2997"/>
      <c r="BW541" s="1535"/>
      <c r="BZ541" s="1009"/>
      <c r="CA541" s="1009"/>
    </row>
    <row r="542" spans="2:79">
      <c r="B542" s="986"/>
      <c r="C542" s="986"/>
      <c r="D542" s="986"/>
      <c r="E542" s="986"/>
      <c r="F542" s="986"/>
      <c r="G542" s="986"/>
      <c r="H542" s="986"/>
      <c r="I542" s="986"/>
      <c r="J542" s="986"/>
      <c r="K542" s="986"/>
      <c r="L542" s="986"/>
      <c r="M542" s="986"/>
      <c r="N542" s="986"/>
      <c r="O542" s="986"/>
      <c r="P542" s="986"/>
      <c r="Q542" s="986"/>
      <c r="R542" s="986"/>
      <c r="S542" s="986"/>
      <c r="T542" s="986"/>
      <c r="U542" s="986"/>
      <c r="V542" s="986"/>
      <c r="W542" s="986"/>
      <c r="X542" s="986"/>
      <c r="Y542" s="986"/>
      <c r="Z542" s="986"/>
      <c r="AA542" s="986"/>
      <c r="AB542" s="986"/>
      <c r="AC542" s="986"/>
      <c r="AD542" s="986"/>
      <c r="AE542" s="986"/>
      <c r="BE542" s="986"/>
      <c r="BF542" s="986"/>
      <c r="BG542" s="986"/>
      <c r="BH542" s="986"/>
      <c r="BI542" s="2997"/>
      <c r="BW542" s="1535"/>
      <c r="BZ542" s="1009"/>
      <c r="CA542" s="1009"/>
    </row>
    <row r="543" spans="2:79">
      <c r="B543" s="986"/>
      <c r="C543" s="986"/>
      <c r="D543" s="986"/>
      <c r="E543" s="986"/>
      <c r="F543" s="986"/>
      <c r="G543" s="986"/>
      <c r="H543" s="986"/>
      <c r="I543" s="986"/>
      <c r="J543" s="986"/>
      <c r="K543" s="986"/>
      <c r="L543" s="986"/>
      <c r="M543" s="986"/>
      <c r="N543" s="986"/>
      <c r="O543" s="986"/>
      <c r="P543" s="986"/>
      <c r="Q543" s="986"/>
      <c r="R543" s="986"/>
      <c r="S543" s="986"/>
      <c r="T543" s="986"/>
      <c r="U543" s="986"/>
      <c r="V543" s="986"/>
      <c r="W543" s="986"/>
      <c r="X543" s="986"/>
      <c r="Y543" s="986"/>
      <c r="Z543" s="986"/>
      <c r="AA543" s="986"/>
      <c r="AB543" s="986"/>
      <c r="AC543" s="986"/>
      <c r="AD543" s="986"/>
      <c r="AE543" s="986"/>
      <c r="BE543" s="986"/>
      <c r="BF543" s="986"/>
      <c r="BG543" s="986"/>
      <c r="BH543" s="986"/>
      <c r="BI543" s="2997"/>
      <c r="BW543" s="1535"/>
      <c r="BZ543" s="1009"/>
      <c r="CA543" s="1009"/>
    </row>
    <row r="544" spans="2:79">
      <c r="B544" s="986"/>
      <c r="C544" s="986"/>
      <c r="D544" s="986"/>
      <c r="E544" s="986"/>
      <c r="F544" s="986"/>
      <c r="G544" s="986"/>
      <c r="H544" s="986"/>
      <c r="I544" s="986"/>
      <c r="J544" s="986"/>
      <c r="K544" s="986"/>
      <c r="L544" s="986"/>
      <c r="M544" s="986"/>
      <c r="N544" s="986"/>
      <c r="O544" s="986"/>
      <c r="P544" s="986"/>
      <c r="Q544" s="986"/>
      <c r="R544" s="986"/>
      <c r="S544" s="986"/>
      <c r="T544" s="986"/>
      <c r="U544" s="986"/>
      <c r="V544" s="986"/>
      <c r="W544" s="986"/>
      <c r="X544" s="986"/>
      <c r="Y544" s="986"/>
      <c r="Z544" s="986"/>
      <c r="AA544" s="986"/>
      <c r="AB544" s="986"/>
      <c r="AC544" s="986"/>
      <c r="AD544" s="986"/>
      <c r="AE544" s="986"/>
      <c r="BE544" s="986"/>
      <c r="BF544" s="986"/>
      <c r="BG544" s="986"/>
      <c r="BH544" s="986"/>
      <c r="BI544" s="2997"/>
      <c r="BW544" s="1535"/>
      <c r="BZ544" s="1009"/>
      <c r="CA544" s="1009"/>
    </row>
    <row r="545" spans="2:79">
      <c r="B545" s="986"/>
      <c r="C545" s="986"/>
      <c r="D545" s="986"/>
      <c r="E545" s="986"/>
      <c r="F545" s="986"/>
      <c r="G545" s="986"/>
      <c r="H545" s="986"/>
      <c r="I545" s="986"/>
      <c r="J545" s="986"/>
      <c r="K545" s="986"/>
      <c r="L545" s="986"/>
      <c r="M545" s="986"/>
      <c r="N545" s="986"/>
      <c r="O545" s="986"/>
      <c r="P545" s="986"/>
      <c r="Q545" s="986"/>
      <c r="R545" s="986"/>
      <c r="S545" s="986"/>
      <c r="T545" s="986"/>
      <c r="U545" s="986"/>
      <c r="V545" s="986"/>
      <c r="W545" s="986"/>
      <c r="X545" s="986"/>
      <c r="Y545" s="986"/>
      <c r="Z545" s="986"/>
      <c r="AA545" s="986"/>
      <c r="AB545" s="986"/>
      <c r="AC545" s="986"/>
      <c r="AD545" s="986"/>
      <c r="AE545" s="986"/>
      <c r="BE545" s="986"/>
      <c r="BF545" s="986"/>
      <c r="BG545" s="986"/>
      <c r="BH545" s="986"/>
      <c r="BI545" s="2997"/>
      <c r="BW545" s="1535"/>
      <c r="BZ545" s="1009"/>
      <c r="CA545" s="1009"/>
    </row>
    <row r="546" spans="2:79">
      <c r="B546" s="986"/>
      <c r="C546" s="986"/>
      <c r="D546" s="986"/>
      <c r="E546" s="986"/>
      <c r="F546" s="986"/>
      <c r="G546" s="986"/>
      <c r="H546" s="986"/>
      <c r="I546" s="986"/>
      <c r="J546" s="986"/>
      <c r="K546" s="986"/>
      <c r="L546" s="986"/>
      <c r="M546" s="986"/>
      <c r="N546" s="986"/>
      <c r="O546" s="986"/>
      <c r="P546" s="986"/>
      <c r="Q546" s="986"/>
      <c r="R546" s="986"/>
      <c r="S546" s="986"/>
      <c r="T546" s="986"/>
      <c r="U546" s="986"/>
      <c r="V546" s="986"/>
      <c r="W546" s="986"/>
      <c r="X546" s="986"/>
      <c r="Y546" s="986"/>
      <c r="Z546" s="986"/>
      <c r="AA546" s="986"/>
      <c r="AB546" s="986"/>
      <c r="AC546" s="986"/>
      <c r="AD546" s="986"/>
      <c r="AE546" s="986"/>
      <c r="BE546" s="986"/>
      <c r="BF546" s="986"/>
      <c r="BG546" s="986"/>
      <c r="BH546" s="986"/>
      <c r="BI546" s="2997"/>
      <c r="BW546" s="1535"/>
      <c r="BZ546" s="1009"/>
      <c r="CA546" s="1009"/>
    </row>
    <row r="547" spans="2:79">
      <c r="B547" s="986"/>
      <c r="C547" s="986"/>
      <c r="D547" s="986"/>
      <c r="E547" s="986"/>
      <c r="F547" s="986"/>
      <c r="G547" s="986"/>
      <c r="H547" s="986"/>
      <c r="I547" s="986"/>
      <c r="J547" s="986"/>
      <c r="K547" s="986"/>
      <c r="L547" s="986"/>
      <c r="M547" s="986"/>
      <c r="N547" s="986"/>
      <c r="O547" s="986"/>
      <c r="P547" s="986"/>
      <c r="Q547" s="986"/>
      <c r="R547" s="986"/>
      <c r="S547" s="986"/>
      <c r="T547" s="986"/>
      <c r="U547" s="986"/>
      <c r="V547" s="986"/>
      <c r="W547" s="986"/>
      <c r="X547" s="986"/>
      <c r="Y547" s="986"/>
      <c r="Z547" s="986"/>
      <c r="AA547" s="986"/>
      <c r="AB547" s="986"/>
      <c r="AC547" s="986"/>
      <c r="AD547" s="986"/>
      <c r="AE547" s="986"/>
      <c r="BE547" s="986"/>
      <c r="BF547" s="986"/>
      <c r="BG547" s="986"/>
      <c r="BH547" s="986"/>
      <c r="BI547" s="2997"/>
      <c r="BW547" s="1535"/>
      <c r="BZ547" s="1009"/>
      <c r="CA547" s="1009"/>
    </row>
    <row r="548" spans="2:79">
      <c r="B548" s="986"/>
      <c r="C548" s="986"/>
      <c r="D548" s="986"/>
      <c r="E548" s="986"/>
      <c r="F548" s="986"/>
      <c r="G548" s="986"/>
      <c r="H548" s="986"/>
      <c r="I548" s="986"/>
      <c r="J548" s="986"/>
      <c r="K548" s="986"/>
      <c r="L548" s="986"/>
      <c r="M548" s="986"/>
      <c r="N548" s="986"/>
      <c r="O548" s="986"/>
      <c r="P548" s="986"/>
      <c r="Q548" s="986"/>
      <c r="R548" s="986"/>
      <c r="S548" s="986"/>
      <c r="T548" s="986"/>
      <c r="U548" s="986"/>
      <c r="V548" s="986"/>
      <c r="W548" s="986"/>
      <c r="X548" s="986"/>
      <c r="Y548" s="986"/>
      <c r="Z548" s="986"/>
      <c r="AA548" s="986"/>
      <c r="AB548" s="986"/>
      <c r="AC548" s="986"/>
      <c r="AD548" s="986"/>
      <c r="AE548" s="986"/>
      <c r="BE548" s="986"/>
      <c r="BF548" s="986"/>
      <c r="BG548" s="986"/>
      <c r="BH548" s="986"/>
      <c r="BI548" s="2997"/>
      <c r="BW548" s="1535"/>
      <c r="BZ548" s="1009"/>
      <c r="CA548" s="1009"/>
    </row>
    <row r="549" spans="2:79">
      <c r="B549" s="986"/>
      <c r="C549" s="986"/>
      <c r="D549" s="986"/>
      <c r="E549" s="986"/>
      <c r="F549" s="986"/>
      <c r="G549" s="986"/>
      <c r="H549" s="986"/>
      <c r="I549" s="986"/>
      <c r="J549" s="986"/>
      <c r="K549" s="986"/>
      <c r="L549" s="986"/>
      <c r="M549" s="986"/>
      <c r="N549" s="986"/>
      <c r="O549" s="986"/>
      <c r="P549" s="986"/>
      <c r="Q549" s="986"/>
      <c r="R549" s="986"/>
      <c r="S549" s="986"/>
      <c r="T549" s="986"/>
      <c r="U549" s="986"/>
      <c r="V549" s="986"/>
      <c r="W549" s="986"/>
      <c r="X549" s="986"/>
      <c r="Y549" s="986"/>
      <c r="Z549" s="986"/>
      <c r="AA549" s="986"/>
      <c r="AB549" s="986"/>
      <c r="AC549" s="986"/>
      <c r="AD549" s="986"/>
      <c r="AE549" s="986"/>
      <c r="BE549" s="986"/>
      <c r="BF549" s="986"/>
      <c r="BG549" s="986"/>
      <c r="BH549" s="986"/>
      <c r="BI549" s="2997"/>
      <c r="BW549" s="1535"/>
      <c r="BZ549" s="1009"/>
      <c r="CA549" s="1009"/>
    </row>
    <row r="550" spans="2:79">
      <c r="B550" s="986"/>
      <c r="C550" s="986"/>
      <c r="D550" s="986"/>
      <c r="E550" s="986"/>
      <c r="F550" s="986"/>
      <c r="G550" s="986"/>
      <c r="H550" s="986"/>
      <c r="I550" s="986"/>
      <c r="J550" s="986"/>
      <c r="K550" s="986"/>
      <c r="L550" s="986"/>
      <c r="M550" s="986"/>
      <c r="N550" s="986"/>
      <c r="O550" s="986"/>
      <c r="P550" s="986"/>
      <c r="Q550" s="986"/>
      <c r="R550" s="986"/>
      <c r="S550" s="986"/>
      <c r="T550" s="986"/>
      <c r="U550" s="986"/>
      <c r="V550" s="986"/>
      <c r="W550" s="986"/>
      <c r="X550" s="986"/>
      <c r="Y550" s="986"/>
      <c r="Z550" s="986"/>
      <c r="AA550" s="986"/>
      <c r="AB550" s="986"/>
      <c r="AC550" s="986"/>
      <c r="AD550" s="986"/>
      <c r="AE550" s="986"/>
      <c r="BE550" s="986"/>
      <c r="BF550" s="986"/>
      <c r="BG550" s="986"/>
      <c r="BH550" s="986"/>
      <c r="BI550" s="2997"/>
      <c r="BW550" s="1535"/>
      <c r="BZ550" s="1009"/>
      <c r="CA550" s="1009"/>
    </row>
    <row r="551" spans="2:79">
      <c r="B551" s="986"/>
      <c r="C551" s="986"/>
      <c r="D551" s="986"/>
      <c r="E551" s="986"/>
      <c r="F551" s="986"/>
      <c r="G551" s="986"/>
      <c r="H551" s="986"/>
      <c r="I551" s="986"/>
      <c r="J551" s="986"/>
      <c r="K551" s="986"/>
      <c r="L551" s="986"/>
      <c r="M551" s="986"/>
      <c r="N551" s="986"/>
      <c r="O551" s="986"/>
      <c r="P551" s="986"/>
      <c r="Q551" s="986"/>
      <c r="R551" s="986"/>
      <c r="S551" s="986"/>
      <c r="T551" s="986"/>
      <c r="U551" s="986"/>
      <c r="V551" s="986"/>
      <c r="W551" s="986"/>
      <c r="X551" s="986"/>
      <c r="Y551" s="986"/>
      <c r="Z551" s="986"/>
      <c r="AA551" s="986"/>
      <c r="AB551" s="986"/>
      <c r="AC551" s="986"/>
      <c r="AD551" s="986"/>
      <c r="AE551" s="986"/>
      <c r="BE551" s="986"/>
      <c r="BF551" s="986"/>
      <c r="BG551" s="986"/>
      <c r="BH551" s="986"/>
      <c r="BI551" s="2997"/>
      <c r="BW551" s="1535"/>
      <c r="BZ551" s="1009"/>
      <c r="CA551" s="1009"/>
    </row>
    <row r="552" spans="2:79">
      <c r="B552" s="986"/>
      <c r="C552" s="986"/>
      <c r="D552" s="986"/>
      <c r="E552" s="986"/>
      <c r="F552" s="986"/>
      <c r="G552" s="986"/>
      <c r="H552" s="986"/>
      <c r="I552" s="986"/>
      <c r="J552" s="986"/>
      <c r="K552" s="986"/>
      <c r="L552" s="986"/>
      <c r="M552" s="986"/>
      <c r="N552" s="986"/>
      <c r="O552" s="986"/>
      <c r="P552" s="986"/>
      <c r="Q552" s="986"/>
      <c r="R552" s="986"/>
      <c r="S552" s="986"/>
      <c r="T552" s="986"/>
      <c r="U552" s="986"/>
      <c r="V552" s="986"/>
      <c r="W552" s="986"/>
      <c r="X552" s="986"/>
      <c r="Y552" s="986"/>
      <c r="Z552" s="986"/>
      <c r="AA552" s="986"/>
      <c r="AB552" s="986"/>
      <c r="AC552" s="986"/>
      <c r="AD552" s="986"/>
      <c r="AE552" s="986"/>
      <c r="BE552" s="986"/>
      <c r="BF552" s="986"/>
      <c r="BG552" s="986"/>
      <c r="BH552" s="986"/>
      <c r="BI552" s="2997"/>
      <c r="BW552" s="1535"/>
      <c r="BZ552" s="1009"/>
      <c r="CA552" s="1009"/>
    </row>
    <row r="553" spans="2:79">
      <c r="B553" s="986"/>
      <c r="C553" s="986"/>
      <c r="D553" s="986"/>
      <c r="E553" s="986"/>
      <c r="F553" s="986"/>
      <c r="G553" s="986"/>
      <c r="H553" s="986"/>
      <c r="I553" s="986"/>
      <c r="J553" s="986"/>
      <c r="K553" s="986"/>
      <c r="L553" s="986"/>
      <c r="M553" s="986"/>
      <c r="N553" s="986"/>
      <c r="O553" s="986"/>
      <c r="P553" s="986"/>
      <c r="Q553" s="986"/>
      <c r="R553" s="986"/>
      <c r="S553" s="986"/>
      <c r="T553" s="986"/>
      <c r="U553" s="986"/>
      <c r="V553" s="986"/>
      <c r="W553" s="986"/>
      <c r="X553" s="986"/>
      <c r="Y553" s="986"/>
      <c r="Z553" s="986"/>
      <c r="AA553" s="986"/>
      <c r="AB553" s="986"/>
      <c r="AC553" s="986"/>
      <c r="AD553" s="986"/>
      <c r="AE553" s="986"/>
      <c r="BE553" s="986"/>
      <c r="BF553" s="986"/>
      <c r="BG553" s="986"/>
      <c r="BH553" s="986"/>
      <c r="BI553" s="2997"/>
      <c r="BW553" s="1535"/>
      <c r="BZ553" s="1009"/>
      <c r="CA553" s="1009"/>
    </row>
    <row r="554" spans="2:79">
      <c r="B554" s="986"/>
      <c r="C554" s="986"/>
      <c r="D554" s="986"/>
      <c r="E554" s="986"/>
      <c r="F554" s="986"/>
      <c r="G554" s="986"/>
      <c r="H554" s="986"/>
      <c r="I554" s="986"/>
      <c r="J554" s="986"/>
      <c r="K554" s="986"/>
      <c r="L554" s="986"/>
      <c r="M554" s="986"/>
      <c r="N554" s="986"/>
      <c r="O554" s="986"/>
      <c r="P554" s="986"/>
      <c r="Q554" s="986"/>
      <c r="R554" s="986"/>
      <c r="S554" s="986"/>
      <c r="T554" s="986"/>
      <c r="U554" s="986"/>
      <c r="V554" s="986"/>
      <c r="W554" s="986"/>
      <c r="X554" s="986"/>
      <c r="Y554" s="986"/>
      <c r="Z554" s="986"/>
      <c r="AA554" s="986"/>
      <c r="AB554" s="986"/>
      <c r="AC554" s="986"/>
      <c r="AD554" s="986"/>
      <c r="AE554" s="986"/>
      <c r="BE554" s="986"/>
      <c r="BF554" s="986"/>
      <c r="BG554" s="986"/>
      <c r="BH554" s="986"/>
      <c r="BI554" s="2997"/>
      <c r="BW554" s="1535"/>
      <c r="BZ554" s="1009"/>
      <c r="CA554" s="1009"/>
    </row>
    <row r="555" spans="2:79">
      <c r="B555" s="986"/>
      <c r="C555" s="986"/>
      <c r="D555" s="986"/>
      <c r="E555" s="986"/>
      <c r="F555" s="986"/>
      <c r="G555" s="986"/>
      <c r="H555" s="986"/>
      <c r="I555" s="986"/>
      <c r="J555" s="986"/>
      <c r="K555" s="986"/>
      <c r="L555" s="986"/>
      <c r="M555" s="986"/>
      <c r="N555" s="986"/>
      <c r="O555" s="986"/>
      <c r="P555" s="986"/>
      <c r="Q555" s="986"/>
      <c r="R555" s="986"/>
      <c r="S555" s="986"/>
      <c r="T555" s="986"/>
      <c r="U555" s="986"/>
      <c r="V555" s="986"/>
      <c r="W555" s="986"/>
      <c r="X555" s="986"/>
      <c r="Y555" s="986"/>
      <c r="Z555" s="986"/>
      <c r="AA555" s="986"/>
      <c r="AB555" s="986"/>
      <c r="AC555" s="986"/>
      <c r="AD555" s="986"/>
      <c r="AE555" s="986"/>
      <c r="BE555" s="986"/>
      <c r="BF555" s="986"/>
      <c r="BG555" s="986"/>
      <c r="BH555" s="986"/>
      <c r="BI555" s="2997"/>
      <c r="BW555" s="1535"/>
      <c r="BZ555" s="1009"/>
      <c r="CA555" s="1009"/>
    </row>
    <row r="556" spans="2:79">
      <c r="B556" s="986"/>
      <c r="C556" s="986"/>
      <c r="D556" s="986"/>
      <c r="E556" s="986"/>
      <c r="F556" s="986"/>
      <c r="G556" s="986"/>
      <c r="H556" s="986"/>
      <c r="I556" s="986"/>
      <c r="J556" s="986"/>
      <c r="K556" s="986"/>
      <c r="L556" s="986"/>
      <c r="M556" s="986"/>
      <c r="N556" s="986"/>
      <c r="O556" s="986"/>
      <c r="P556" s="986"/>
      <c r="Q556" s="986"/>
      <c r="R556" s="986"/>
      <c r="S556" s="986"/>
      <c r="T556" s="986"/>
      <c r="U556" s="986"/>
      <c r="V556" s="986"/>
      <c r="W556" s="986"/>
      <c r="X556" s="986"/>
      <c r="Y556" s="986"/>
      <c r="Z556" s="986"/>
      <c r="AA556" s="986"/>
      <c r="AB556" s="986"/>
      <c r="AC556" s="986"/>
      <c r="AD556" s="986"/>
      <c r="AE556" s="986"/>
      <c r="BE556" s="986"/>
      <c r="BF556" s="986"/>
      <c r="BG556" s="986"/>
      <c r="BH556" s="986"/>
      <c r="BI556" s="2997"/>
      <c r="BW556" s="1535"/>
      <c r="BZ556" s="1009"/>
      <c r="CA556" s="1009"/>
    </row>
    <row r="557" spans="2:79">
      <c r="B557" s="986"/>
      <c r="C557" s="986"/>
      <c r="D557" s="986"/>
      <c r="E557" s="986"/>
      <c r="F557" s="986"/>
      <c r="G557" s="986"/>
      <c r="H557" s="986"/>
      <c r="I557" s="986"/>
      <c r="J557" s="986"/>
      <c r="K557" s="986"/>
      <c r="L557" s="986"/>
      <c r="M557" s="986"/>
      <c r="N557" s="986"/>
      <c r="O557" s="986"/>
      <c r="P557" s="986"/>
      <c r="Q557" s="986"/>
      <c r="R557" s="986"/>
      <c r="S557" s="986"/>
      <c r="T557" s="986"/>
      <c r="U557" s="986"/>
      <c r="V557" s="986"/>
      <c r="W557" s="986"/>
      <c r="X557" s="986"/>
      <c r="Y557" s="986"/>
      <c r="Z557" s="986"/>
      <c r="AA557" s="986"/>
      <c r="AB557" s="986"/>
      <c r="AC557" s="986"/>
      <c r="AD557" s="986"/>
      <c r="AE557" s="986"/>
      <c r="BE557" s="986"/>
      <c r="BF557" s="986"/>
      <c r="BG557" s="986"/>
      <c r="BH557" s="986"/>
      <c r="BI557" s="2997"/>
      <c r="BW557" s="1535"/>
      <c r="BZ557" s="1009"/>
      <c r="CA557" s="1009"/>
    </row>
    <row r="558" spans="2:79">
      <c r="B558" s="986"/>
      <c r="C558" s="986"/>
      <c r="D558" s="986"/>
      <c r="E558" s="986"/>
      <c r="F558" s="986"/>
      <c r="G558" s="986"/>
      <c r="H558" s="986"/>
      <c r="I558" s="986"/>
      <c r="J558" s="986"/>
      <c r="K558" s="986"/>
      <c r="L558" s="986"/>
      <c r="M558" s="986"/>
      <c r="N558" s="986"/>
      <c r="O558" s="986"/>
      <c r="P558" s="986"/>
      <c r="Q558" s="986"/>
      <c r="R558" s="986"/>
      <c r="S558" s="986"/>
      <c r="T558" s="986"/>
      <c r="U558" s="986"/>
      <c r="V558" s="986"/>
      <c r="W558" s="986"/>
      <c r="X558" s="986"/>
      <c r="Y558" s="986"/>
      <c r="Z558" s="986"/>
      <c r="AA558" s="986"/>
      <c r="AB558" s="986"/>
      <c r="AC558" s="986"/>
      <c r="AD558" s="986"/>
      <c r="AE558" s="986"/>
      <c r="BE558" s="986"/>
      <c r="BF558" s="986"/>
      <c r="BG558" s="986"/>
      <c r="BH558" s="986"/>
      <c r="BI558" s="2997"/>
      <c r="BW558" s="1535"/>
      <c r="BZ558" s="1009"/>
      <c r="CA558" s="1009"/>
    </row>
    <row r="559" spans="2:79">
      <c r="B559" s="986"/>
      <c r="C559" s="986"/>
      <c r="D559" s="986"/>
      <c r="E559" s="986"/>
      <c r="F559" s="986"/>
      <c r="G559" s="986"/>
      <c r="H559" s="986"/>
      <c r="I559" s="986"/>
      <c r="J559" s="986"/>
      <c r="K559" s="986"/>
      <c r="L559" s="986"/>
      <c r="M559" s="986"/>
      <c r="N559" s="986"/>
      <c r="O559" s="986"/>
      <c r="P559" s="986"/>
      <c r="Q559" s="986"/>
      <c r="R559" s="986"/>
      <c r="S559" s="986"/>
      <c r="T559" s="986"/>
      <c r="U559" s="986"/>
      <c r="V559" s="986"/>
      <c r="W559" s="986"/>
      <c r="X559" s="986"/>
      <c r="Y559" s="986"/>
      <c r="Z559" s="986"/>
      <c r="AA559" s="986"/>
      <c r="AB559" s="986"/>
      <c r="AC559" s="986"/>
      <c r="AD559" s="986"/>
      <c r="AE559" s="986"/>
      <c r="BE559" s="986"/>
      <c r="BF559" s="986"/>
      <c r="BG559" s="986"/>
      <c r="BH559" s="986"/>
      <c r="BI559" s="2997"/>
      <c r="BW559" s="1535"/>
      <c r="BZ559" s="1009"/>
      <c r="CA559" s="1009"/>
    </row>
    <row r="560" spans="2:79">
      <c r="B560" s="986"/>
      <c r="C560" s="986"/>
      <c r="D560" s="986"/>
      <c r="E560" s="986"/>
      <c r="F560" s="986"/>
      <c r="G560" s="986"/>
      <c r="H560" s="986"/>
      <c r="I560" s="986"/>
      <c r="J560" s="986"/>
      <c r="K560" s="986"/>
      <c r="L560" s="986"/>
      <c r="M560" s="986"/>
      <c r="N560" s="986"/>
      <c r="O560" s="986"/>
      <c r="P560" s="986"/>
      <c r="Q560" s="986"/>
      <c r="R560" s="986"/>
      <c r="S560" s="986"/>
      <c r="T560" s="986"/>
      <c r="U560" s="986"/>
      <c r="V560" s="986"/>
      <c r="W560" s="986"/>
      <c r="X560" s="986"/>
      <c r="Y560" s="986"/>
      <c r="Z560" s="986"/>
      <c r="AA560" s="986"/>
      <c r="AB560" s="986"/>
      <c r="AC560" s="986"/>
      <c r="AD560" s="986"/>
      <c r="AE560" s="986"/>
      <c r="BE560" s="986"/>
      <c r="BF560" s="986"/>
      <c r="BG560" s="986"/>
      <c r="BH560" s="986"/>
      <c r="BI560" s="2997"/>
      <c r="BW560" s="1535"/>
      <c r="BZ560" s="1009"/>
      <c r="CA560" s="1009"/>
    </row>
    <row r="561" spans="2:79">
      <c r="B561" s="986"/>
      <c r="C561" s="986"/>
      <c r="D561" s="986"/>
      <c r="E561" s="986"/>
      <c r="F561" s="986"/>
      <c r="G561" s="986"/>
      <c r="H561" s="986"/>
      <c r="I561" s="986"/>
      <c r="J561" s="986"/>
      <c r="K561" s="986"/>
      <c r="L561" s="986"/>
      <c r="M561" s="986"/>
      <c r="N561" s="986"/>
      <c r="O561" s="986"/>
      <c r="P561" s="986"/>
      <c r="Q561" s="986"/>
      <c r="R561" s="986"/>
      <c r="S561" s="986"/>
      <c r="T561" s="986"/>
      <c r="U561" s="986"/>
      <c r="V561" s="986"/>
      <c r="W561" s="986"/>
      <c r="X561" s="986"/>
      <c r="Y561" s="986"/>
      <c r="Z561" s="986"/>
      <c r="AA561" s="986"/>
      <c r="AB561" s="986"/>
      <c r="AC561" s="986"/>
      <c r="AD561" s="986"/>
      <c r="AE561" s="986"/>
      <c r="BE561" s="986"/>
      <c r="BF561" s="986"/>
      <c r="BG561" s="986"/>
      <c r="BH561" s="986"/>
      <c r="BI561" s="2997"/>
      <c r="BW561" s="1535"/>
      <c r="BZ561" s="1009"/>
      <c r="CA561" s="1009"/>
    </row>
    <row r="562" spans="2:79">
      <c r="B562" s="986"/>
      <c r="C562" s="986"/>
      <c r="D562" s="986"/>
      <c r="E562" s="986"/>
      <c r="F562" s="986"/>
      <c r="G562" s="986"/>
      <c r="H562" s="986"/>
      <c r="I562" s="986"/>
      <c r="J562" s="986"/>
      <c r="K562" s="986"/>
      <c r="L562" s="986"/>
      <c r="M562" s="986"/>
      <c r="N562" s="986"/>
      <c r="O562" s="986"/>
      <c r="P562" s="986"/>
      <c r="Q562" s="986"/>
      <c r="R562" s="986"/>
      <c r="S562" s="986"/>
      <c r="T562" s="986"/>
      <c r="U562" s="986"/>
      <c r="V562" s="986"/>
      <c r="W562" s="986"/>
      <c r="X562" s="986"/>
      <c r="Y562" s="986"/>
      <c r="Z562" s="986"/>
      <c r="AA562" s="986"/>
      <c r="AB562" s="986"/>
      <c r="AC562" s="986"/>
      <c r="AD562" s="986"/>
      <c r="AE562" s="986"/>
      <c r="BE562" s="986"/>
      <c r="BF562" s="986"/>
      <c r="BG562" s="986"/>
      <c r="BH562" s="986"/>
      <c r="BI562" s="2997"/>
      <c r="BW562" s="1535"/>
      <c r="BZ562" s="1009"/>
      <c r="CA562" s="1009"/>
    </row>
    <row r="563" spans="2:79">
      <c r="B563" s="986"/>
      <c r="C563" s="986"/>
      <c r="D563" s="986"/>
      <c r="E563" s="986"/>
      <c r="F563" s="986"/>
      <c r="G563" s="986"/>
      <c r="H563" s="986"/>
      <c r="I563" s="986"/>
      <c r="J563" s="986"/>
      <c r="K563" s="986"/>
      <c r="L563" s="986"/>
      <c r="M563" s="986"/>
      <c r="N563" s="986"/>
      <c r="O563" s="986"/>
      <c r="P563" s="986"/>
      <c r="Q563" s="986"/>
      <c r="R563" s="986"/>
      <c r="S563" s="986"/>
      <c r="T563" s="986"/>
      <c r="U563" s="986"/>
      <c r="V563" s="986"/>
      <c r="W563" s="986"/>
      <c r="X563" s="986"/>
      <c r="Y563" s="986"/>
      <c r="Z563" s="986"/>
      <c r="AA563" s="986"/>
      <c r="AB563" s="986"/>
      <c r="AC563" s="986"/>
      <c r="AD563" s="986"/>
      <c r="AE563" s="986"/>
      <c r="BE563" s="986"/>
      <c r="BF563" s="986"/>
      <c r="BG563" s="986"/>
      <c r="BH563" s="986"/>
      <c r="BI563" s="2997"/>
      <c r="BW563" s="1535"/>
      <c r="BZ563" s="1009"/>
      <c r="CA563" s="1009"/>
    </row>
    <row r="564" spans="2:79">
      <c r="B564" s="986"/>
      <c r="C564" s="986"/>
      <c r="D564" s="986"/>
      <c r="E564" s="986"/>
      <c r="F564" s="986"/>
      <c r="G564" s="986"/>
      <c r="H564" s="986"/>
      <c r="I564" s="986"/>
      <c r="J564" s="986"/>
      <c r="K564" s="986"/>
      <c r="L564" s="986"/>
      <c r="M564" s="986"/>
      <c r="N564" s="986"/>
      <c r="O564" s="986"/>
      <c r="P564" s="986"/>
      <c r="Q564" s="986"/>
      <c r="R564" s="986"/>
      <c r="S564" s="986"/>
      <c r="T564" s="986"/>
      <c r="U564" s="986"/>
      <c r="V564" s="986"/>
      <c r="W564" s="986"/>
      <c r="X564" s="986"/>
      <c r="Y564" s="986"/>
      <c r="Z564" s="986"/>
      <c r="AA564" s="986"/>
      <c r="AB564" s="986"/>
      <c r="AC564" s="986"/>
      <c r="AD564" s="986"/>
      <c r="AE564" s="986"/>
      <c r="BE564" s="986"/>
      <c r="BF564" s="986"/>
      <c r="BG564" s="986"/>
      <c r="BH564" s="986"/>
      <c r="BI564" s="2997"/>
      <c r="BW564" s="1535"/>
      <c r="BZ564" s="1009"/>
      <c r="CA564" s="1009"/>
    </row>
    <row r="565" spans="2:79">
      <c r="B565" s="986"/>
      <c r="C565" s="986"/>
      <c r="D565" s="986"/>
      <c r="E565" s="986"/>
      <c r="F565" s="986"/>
      <c r="G565" s="986"/>
      <c r="H565" s="986"/>
      <c r="I565" s="986"/>
      <c r="J565" s="986"/>
      <c r="K565" s="986"/>
      <c r="L565" s="986"/>
      <c r="M565" s="986"/>
      <c r="N565" s="986"/>
      <c r="O565" s="986"/>
      <c r="P565" s="986"/>
      <c r="Q565" s="986"/>
      <c r="R565" s="986"/>
      <c r="S565" s="986"/>
      <c r="T565" s="986"/>
      <c r="U565" s="986"/>
      <c r="V565" s="986"/>
      <c r="W565" s="986"/>
      <c r="X565" s="986"/>
      <c r="Y565" s="986"/>
      <c r="Z565" s="986"/>
      <c r="AA565" s="986"/>
      <c r="AB565" s="986"/>
      <c r="AC565" s="986"/>
      <c r="AD565" s="986"/>
      <c r="AE565" s="986"/>
      <c r="BE565" s="986"/>
      <c r="BF565" s="986"/>
      <c r="BG565" s="986"/>
      <c r="BH565" s="986"/>
      <c r="BI565" s="2997"/>
      <c r="BW565" s="1535"/>
      <c r="BZ565" s="1009"/>
      <c r="CA565" s="1009"/>
    </row>
    <row r="566" spans="2:79">
      <c r="B566" s="986"/>
      <c r="C566" s="986"/>
      <c r="D566" s="986"/>
      <c r="E566" s="986"/>
      <c r="F566" s="986"/>
      <c r="G566" s="986"/>
      <c r="H566" s="986"/>
      <c r="I566" s="986"/>
      <c r="J566" s="986"/>
      <c r="K566" s="986"/>
      <c r="L566" s="986"/>
      <c r="M566" s="986"/>
      <c r="N566" s="986"/>
      <c r="O566" s="986"/>
      <c r="P566" s="986"/>
      <c r="Q566" s="986"/>
      <c r="R566" s="986"/>
      <c r="S566" s="986"/>
      <c r="T566" s="986"/>
      <c r="U566" s="986"/>
      <c r="V566" s="986"/>
      <c r="W566" s="986"/>
      <c r="X566" s="986"/>
      <c r="Y566" s="986"/>
      <c r="Z566" s="986"/>
      <c r="AA566" s="986"/>
      <c r="AB566" s="986"/>
      <c r="AC566" s="986"/>
      <c r="AD566" s="986"/>
      <c r="AE566" s="986"/>
      <c r="BE566" s="986"/>
      <c r="BF566" s="986"/>
      <c r="BG566" s="986"/>
      <c r="BH566" s="986"/>
      <c r="BI566" s="2997"/>
      <c r="BW566" s="1535"/>
      <c r="BZ566" s="1009"/>
      <c r="CA566" s="1009"/>
    </row>
    <row r="567" spans="2:79">
      <c r="B567" s="986"/>
      <c r="C567" s="986"/>
      <c r="D567" s="986"/>
      <c r="E567" s="986"/>
      <c r="F567" s="986"/>
      <c r="G567" s="986"/>
      <c r="H567" s="986"/>
      <c r="I567" s="986"/>
      <c r="J567" s="986"/>
      <c r="K567" s="986"/>
      <c r="L567" s="986"/>
      <c r="M567" s="986"/>
      <c r="N567" s="986"/>
      <c r="O567" s="986"/>
      <c r="P567" s="986"/>
      <c r="Q567" s="986"/>
      <c r="R567" s="986"/>
      <c r="S567" s="986"/>
      <c r="T567" s="986"/>
      <c r="U567" s="986"/>
      <c r="V567" s="986"/>
      <c r="W567" s="986"/>
      <c r="X567" s="986"/>
      <c r="Y567" s="986"/>
      <c r="Z567" s="986"/>
      <c r="AA567" s="986"/>
      <c r="AB567" s="986"/>
      <c r="AC567" s="986"/>
      <c r="AD567" s="986"/>
      <c r="AE567" s="986"/>
      <c r="BE567" s="986"/>
      <c r="BF567" s="986"/>
      <c r="BG567" s="986"/>
      <c r="BH567" s="986"/>
      <c r="BI567" s="2997"/>
      <c r="BW567" s="1535"/>
      <c r="BZ567" s="1009"/>
      <c r="CA567" s="1009"/>
    </row>
    <row r="568" spans="2:79">
      <c r="B568" s="986"/>
      <c r="C568" s="986"/>
      <c r="D568" s="986"/>
      <c r="E568" s="986"/>
      <c r="F568" s="986"/>
      <c r="G568" s="986"/>
      <c r="H568" s="986"/>
      <c r="I568" s="986"/>
      <c r="J568" s="986"/>
      <c r="K568" s="986"/>
      <c r="L568" s="986"/>
      <c r="M568" s="986"/>
      <c r="N568" s="986"/>
      <c r="O568" s="986"/>
      <c r="P568" s="986"/>
      <c r="Q568" s="986"/>
      <c r="R568" s="986"/>
      <c r="S568" s="986"/>
      <c r="T568" s="986"/>
      <c r="U568" s="986"/>
      <c r="V568" s="986"/>
      <c r="W568" s="986"/>
      <c r="X568" s="986"/>
      <c r="Y568" s="986"/>
      <c r="Z568" s="986"/>
      <c r="AA568" s="986"/>
      <c r="AB568" s="986"/>
      <c r="AC568" s="986"/>
      <c r="AD568" s="986"/>
      <c r="AE568" s="986"/>
      <c r="BE568" s="986"/>
      <c r="BF568" s="986"/>
      <c r="BG568" s="986"/>
      <c r="BH568" s="986"/>
      <c r="BI568" s="2997"/>
      <c r="BW568" s="1535"/>
      <c r="BZ568" s="1009"/>
      <c r="CA568" s="1009"/>
    </row>
    <row r="569" spans="2:79">
      <c r="B569" s="986"/>
      <c r="C569" s="986"/>
      <c r="D569" s="986"/>
      <c r="E569" s="986"/>
      <c r="F569" s="986"/>
      <c r="G569" s="986"/>
      <c r="H569" s="986"/>
      <c r="I569" s="986"/>
      <c r="J569" s="986"/>
      <c r="K569" s="986"/>
      <c r="L569" s="986"/>
      <c r="M569" s="986"/>
      <c r="N569" s="986"/>
      <c r="O569" s="986"/>
      <c r="P569" s="986"/>
      <c r="Q569" s="986"/>
      <c r="R569" s="986"/>
      <c r="S569" s="986"/>
      <c r="T569" s="986"/>
      <c r="U569" s="986"/>
      <c r="V569" s="986"/>
      <c r="W569" s="986"/>
      <c r="X569" s="986"/>
      <c r="Y569" s="986"/>
      <c r="Z569" s="986"/>
      <c r="AA569" s="986"/>
      <c r="AB569" s="986"/>
      <c r="AC569" s="986"/>
      <c r="AD569" s="986"/>
      <c r="AE569" s="986"/>
      <c r="BE569" s="986"/>
      <c r="BF569" s="986"/>
      <c r="BG569" s="986"/>
      <c r="BH569" s="986"/>
      <c r="BI569" s="2997"/>
      <c r="BW569" s="1535"/>
      <c r="BZ569" s="1009"/>
      <c r="CA569" s="1009"/>
    </row>
    <row r="570" spans="2:79">
      <c r="B570" s="986"/>
      <c r="C570" s="986"/>
      <c r="D570" s="986"/>
      <c r="E570" s="986"/>
      <c r="F570" s="986"/>
      <c r="G570" s="986"/>
      <c r="H570" s="986"/>
      <c r="I570" s="986"/>
      <c r="J570" s="986"/>
      <c r="K570" s="986"/>
      <c r="L570" s="986"/>
      <c r="M570" s="986"/>
      <c r="N570" s="986"/>
      <c r="O570" s="986"/>
      <c r="P570" s="986"/>
      <c r="Q570" s="986"/>
      <c r="R570" s="986"/>
      <c r="S570" s="986"/>
      <c r="T570" s="986"/>
      <c r="U570" s="986"/>
      <c r="V570" s="986"/>
      <c r="W570" s="986"/>
      <c r="X570" s="986"/>
      <c r="Y570" s="986"/>
      <c r="Z570" s="986"/>
      <c r="AA570" s="986"/>
      <c r="AB570" s="986"/>
      <c r="AC570" s="986"/>
      <c r="AD570" s="986"/>
      <c r="AE570" s="986"/>
      <c r="BE570" s="986"/>
      <c r="BF570" s="986"/>
      <c r="BG570" s="986"/>
      <c r="BH570" s="986"/>
      <c r="BI570" s="2997"/>
      <c r="BW570" s="1535"/>
      <c r="BZ570" s="1009"/>
      <c r="CA570" s="1009"/>
    </row>
    <row r="571" spans="2:79">
      <c r="B571" s="986"/>
      <c r="C571" s="986"/>
      <c r="D571" s="986"/>
      <c r="E571" s="986"/>
      <c r="F571" s="986"/>
      <c r="G571" s="986"/>
      <c r="H571" s="986"/>
      <c r="I571" s="986"/>
      <c r="J571" s="986"/>
      <c r="K571" s="986"/>
      <c r="L571" s="986"/>
      <c r="M571" s="986"/>
      <c r="N571" s="986"/>
      <c r="O571" s="986"/>
      <c r="P571" s="986"/>
      <c r="Q571" s="986"/>
      <c r="R571" s="986"/>
      <c r="S571" s="986"/>
      <c r="T571" s="986"/>
      <c r="U571" s="986"/>
      <c r="V571" s="986"/>
      <c r="W571" s="986"/>
      <c r="X571" s="986"/>
      <c r="Y571" s="986"/>
      <c r="Z571" s="986"/>
      <c r="AA571" s="986"/>
      <c r="AB571" s="986"/>
      <c r="AC571" s="986"/>
      <c r="AD571" s="986"/>
      <c r="AE571" s="986"/>
      <c r="BE571" s="986"/>
      <c r="BF571" s="986"/>
      <c r="BG571" s="986"/>
      <c r="BH571" s="986"/>
      <c r="BI571" s="2997"/>
      <c r="BW571" s="1535"/>
      <c r="BZ571" s="1009"/>
      <c r="CA571" s="1009"/>
    </row>
    <row r="572" spans="2:79">
      <c r="B572" s="986"/>
      <c r="C572" s="986"/>
      <c r="D572" s="986"/>
      <c r="E572" s="986"/>
      <c r="F572" s="986"/>
      <c r="G572" s="986"/>
      <c r="H572" s="986"/>
      <c r="I572" s="986"/>
      <c r="J572" s="986"/>
      <c r="K572" s="986"/>
      <c r="L572" s="986"/>
      <c r="M572" s="986"/>
      <c r="N572" s="986"/>
      <c r="O572" s="986"/>
      <c r="P572" s="986"/>
      <c r="Q572" s="986"/>
      <c r="R572" s="986"/>
      <c r="S572" s="986"/>
      <c r="T572" s="986"/>
      <c r="U572" s="986"/>
      <c r="V572" s="986"/>
      <c r="W572" s="986"/>
      <c r="X572" s="986"/>
      <c r="Y572" s="986"/>
      <c r="Z572" s="986"/>
      <c r="AA572" s="986"/>
      <c r="AB572" s="986"/>
      <c r="AC572" s="986"/>
      <c r="AD572" s="986"/>
      <c r="AE572" s="986"/>
      <c r="BE572" s="986"/>
      <c r="BF572" s="986"/>
      <c r="BG572" s="986"/>
      <c r="BH572" s="986"/>
      <c r="BI572" s="2997"/>
      <c r="BW572" s="1535"/>
      <c r="BZ572" s="1009"/>
      <c r="CA572" s="1009"/>
    </row>
    <row r="573" spans="2:79">
      <c r="B573" s="986"/>
      <c r="C573" s="986"/>
      <c r="D573" s="986"/>
      <c r="E573" s="986"/>
      <c r="F573" s="986"/>
      <c r="G573" s="986"/>
      <c r="H573" s="986"/>
      <c r="I573" s="986"/>
      <c r="J573" s="986"/>
      <c r="K573" s="986"/>
      <c r="L573" s="986"/>
      <c r="M573" s="986"/>
      <c r="N573" s="986"/>
      <c r="O573" s="986"/>
      <c r="P573" s="986"/>
      <c r="Q573" s="986"/>
      <c r="R573" s="986"/>
      <c r="S573" s="986"/>
      <c r="T573" s="986"/>
      <c r="U573" s="986"/>
      <c r="V573" s="986"/>
      <c r="W573" s="986"/>
      <c r="X573" s="986"/>
      <c r="Y573" s="986"/>
      <c r="Z573" s="986"/>
      <c r="AA573" s="986"/>
      <c r="AB573" s="986"/>
      <c r="AC573" s="986"/>
      <c r="AD573" s="986"/>
      <c r="AE573" s="986"/>
      <c r="BE573" s="986"/>
      <c r="BF573" s="986"/>
      <c r="BG573" s="986"/>
      <c r="BH573" s="986"/>
      <c r="BI573" s="2997"/>
      <c r="BW573" s="1535"/>
      <c r="BZ573" s="1009"/>
      <c r="CA573" s="1009"/>
    </row>
    <row r="574" spans="2:79">
      <c r="B574" s="986"/>
      <c r="C574" s="986"/>
      <c r="D574" s="986"/>
      <c r="E574" s="986"/>
      <c r="F574" s="986"/>
      <c r="G574" s="986"/>
      <c r="H574" s="986"/>
      <c r="I574" s="986"/>
      <c r="J574" s="986"/>
      <c r="K574" s="986"/>
      <c r="L574" s="986"/>
      <c r="M574" s="986"/>
      <c r="N574" s="986"/>
      <c r="O574" s="986"/>
      <c r="P574" s="986"/>
      <c r="Q574" s="986"/>
      <c r="R574" s="986"/>
      <c r="S574" s="986"/>
      <c r="T574" s="986"/>
      <c r="U574" s="986"/>
      <c r="V574" s="986"/>
      <c r="W574" s="986"/>
      <c r="X574" s="986"/>
      <c r="Y574" s="986"/>
      <c r="Z574" s="986"/>
      <c r="AA574" s="986"/>
      <c r="AB574" s="986"/>
      <c r="AC574" s="986"/>
      <c r="AD574" s="986"/>
      <c r="AE574" s="986"/>
      <c r="BE574" s="986"/>
      <c r="BF574" s="986"/>
      <c r="BG574" s="986"/>
      <c r="BH574" s="986"/>
      <c r="BI574" s="2997"/>
      <c r="BW574" s="1535"/>
      <c r="BZ574" s="1009"/>
      <c r="CA574" s="1009"/>
    </row>
    <row r="575" spans="2:79">
      <c r="B575" s="986"/>
      <c r="C575" s="986"/>
      <c r="D575" s="986"/>
      <c r="E575" s="986"/>
      <c r="F575" s="986"/>
      <c r="G575" s="986"/>
      <c r="H575" s="986"/>
      <c r="I575" s="986"/>
      <c r="J575" s="986"/>
      <c r="K575" s="986"/>
      <c r="L575" s="986"/>
      <c r="M575" s="986"/>
      <c r="N575" s="986"/>
      <c r="O575" s="986"/>
      <c r="P575" s="986"/>
      <c r="Q575" s="986"/>
      <c r="R575" s="986"/>
      <c r="S575" s="986"/>
      <c r="T575" s="986"/>
      <c r="U575" s="986"/>
      <c r="V575" s="986"/>
      <c r="W575" s="986"/>
      <c r="X575" s="986"/>
      <c r="Y575" s="986"/>
      <c r="Z575" s="986"/>
      <c r="AA575" s="986"/>
      <c r="AB575" s="986"/>
      <c r="AC575" s="986"/>
      <c r="AD575" s="986"/>
      <c r="AE575" s="986"/>
      <c r="BE575" s="986"/>
      <c r="BF575" s="986"/>
      <c r="BG575" s="986"/>
      <c r="BH575" s="986"/>
      <c r="BI575" s="2997"/>
      <c r="BW575" s="1535"/>
      <c r="BZ575" s="1009"/>
      <c r="CA575" s="1009"/>
    </row>
    <row r="576" spans="2:79">
      <c r="B576" s="986"/>
      <c r="C576" s="986"/>
      <c r="D576" s="986"/>
      <c r="E576" s="986"/>
      <c r="F576" s="986"/>
      <c r="G576" s="986"/>
      <c r="H576" s="986"/>
      <c r="I576" s="986"/>
      <c r="J576" s="986"/>
      <c r="K576" s="986"/>
      <c r="L576" s="986"/>
      <c r="M576" s="986"/>
      <c r="N576" s="986"/>
      <c r="O576" s="986"/>
      <c r="P576" s="986"/>
      <c r="Q576" s="986"/>
      <c r="R576" s="986"/>
      <c r="S576" s="986"/>
      <c r="T576" s="986"/>
      <c r="U576" s="986"/>
      <c r="V576" s="986"/>
      <c r="W576" s="986"/>
      <c r="X576" s="986"/>
      <c r="Y576" s="986"/>
      <c r="Z576" s="986"/>
      <c r="AA576" s="986"/>
      <c r="AB576" s="986"/>
      <c r="AC576" s="986"/>
      <c r="AD576" s="986"/>
      <c r="AE576" s="986"/>
      <c r="BE576" s="986"/>
      <c r="BF576" s="986"/>
      <c r="BG576" s="986"/>
      <c r="BH576" s="986"/>
      <c r="BI576" s="2997"/>
      <c r="BW576" s="1535"/>
      <c r="BZ576" s="1009"/>
      <c r="CA576" s="1009"/>
    </row>
    <row r="577" spans="2:79">
      <c r="B577" s="986"/>
      <c r="C577" s="986"/>
      <c r="D577" s="986"/>
      <c r="E577" s="986"/>
      <c r="F577" s="986"/>
      <c r="G577" s="986"/>
      <c r="H577" s="986"/>
      <c r="I577" s="986"/>
      <c r="J577" s="986"/>
      <c r="K577" s="986"/>
      <c r="L577" s="986"/>
      <c r="M577" s="986"/>
      <c r="N577" s="986"/>
      <c r="O577" s="986"/>
      <c r="P577" s="986"/>
      <c r="Q577" s="986"/>
      <c r="R577" s="986"/>
      <c r="S577" s="986"/>
      <c r="T577" s="986"/>
      <c r="U577" s="986"/>
      <c r="V577" s="986"/>
      <c r="W577" s="986"/>
      <c r="X577" s="986"/>
      <c r="Y577" s="986"/>
      <c r="Z577" s="986"/>
      <c r="AA577" s="986"/>
      <c r="AB577" s="986"/>
      <c r="AC577" s="986"/>
      <c r="AD577" s="986"/>
      <c r="AE577" s="986"/>
      <c r="BE577" s="986"/>
      <c r="BF577" s="986"/>
      <c r="BG577" s="986"/>
      <c r="BH577" s="986"/>
      <c r="BI577" s="2997"/>
      <c r="BW577" s="1535"/>
      <c r="BZ577" s="1009"/>
      <c r="CA577" s="1009"/>
    </row>
    <row r="578" spans="2:79">
      <c r="B578" s="986"/>
      <c r="C578" s="986"/>
      <c r="D578" s="986"/>
      <c r="E578" s="986"/>
      <c r="F578" s="986"/>
      <c r="G578" s="986"/>
      <c r="H578" s="986"/>
      <c r="I578" s="986"/>
      <c r="J578" s="986"/>
      <c r="K578" s="986"/>
      <c r="L578" s="986"/>
      <c r="M578" s="986"/>
      <c r="N578" s="986"/>
      <c r="O578" s="986"/>
      <c r="P578" s="986"/>
      <c r="Q578" s="986"/>
      <c r="R578" s="986"/>
      <c r="S578" s="986"/>
      <c r="T578" s="986"/>
      <c r="U578" s="986"/>
      <c r="V578" s="986"/>
      <c r="W578" s="986"/>
      <c r="X578" s="986"/>
      <c r="Y578" s="986"/>
      <c r="Z578" s="986"/>
      <c r="AA578" s="986"/>
      <c r="AB578" s="986"/>
      <c r="AC578" s="986"/>
      <c r="AD578" s="986"/>
      <c r="AE578" s="986"/>
      <c r="BE578" s="986"/>
      <c r="BF578" s="986"/>
      <c r="BG578" s="986"/>
      <c r="BH578" s="986"/>
      <c r="BI578" s="2997"/>
      <c r="BW578" s="1535"/>
      <c r="BZ578" s="1009"/>
      <c r="CA578" s="1009"/>
    </row>
    <row r="579" spans="2:79">
      <c r="B579" s="986"/>
      <c r="C579" s="986"/>
      <c r="D579" s="986"/>
      <c r="E579" s="986"/>
      <c r="F579" s="986"/>
      <c r="G579" s="986"/>
      <c r="H579" s="986"/>
      <c r="I579" s="986"/>
      <c r="J579" s="986"/>
      <c r="K579" s="986"/>
      <c r="L579" s="986"/>
      <c r="M579" s="986"/>
      <c r="N579" s="986"/>
      <c r="O579" s="986"/>
      <c r="P579" s="986"/>
      <c r="Q579" s="986"/>
      <c r="R579" s="986"/>
      <c r="S579" s="986"/>
      <c r="T579" s="986"/>
      <c r="U579" s="986"/>
      <c r="V579" s="986"/>
      <c r="W579" s="986"/>
      <c r="X579" s="986"/>
      <c r="Y579" s="986"/>
      <c r="Z579" s="986"/>
      <c r="AA579" s="986"/>
      <c r="AB579" s="986"/>
      <c r="AC579" s="986"/>
      <c r="AD579" s="986"/>
      <c r="AE579" s="986"/>
      <c r="BE579" s="986"/>
      <c r="BF579" s="986"/>
      <c r="BG579" s="986"/>
      <c r="BH579" s="986"/>
      <c r="BI579" s="2997"/>
      <c r="BW579" s="1535"/>
      <c r="BZ579" s="1009"/>
      <c r="CA579" s="1009"/>
    </row>
    <row r="580" spans="2:79">
      <c r="B580" s="986"/>
      <c r="C580" s="986"/>
      <c r="D580" s="986"/>
      <c r="E580" s="986"/>
      <c r="F580" s="986"/>
      <c r="G580" s="986"/>
      <c r="H580" s="986"/>
      <c r="I580" s="986"/>
      <c r="J580" s="986"/>
      <c r="K580" s="986"/>
      <c r="L580" s="986"/>
      <c r="M580" s="986"/>
      <c r="N580" s="986"/>
      <c r="O580" s="986"/>
      <c r="P580" s="986"/>
      <c r="Q580" s="986"/>
      <c r="R580" s="986"/>
      <c r="S580" s="986"/>
      <c r="T580" s="986"/>
      <c r="U580" s="986"/>
      <c r="V580" s="986"/>
      <c r="W580" s="986"/>
      <c r="X580" s="986"/>
      <c r="Y580" s="986"/>
      <c r="Z580" s="986"/>
      <c r="AA580" s="986"/>
      <c r="AB580" s="986"/>
      <c r="AC580" s="986"/>
      <c r="AD580" s="986"/>
      <c r="AE580" s="986"/>
      <c r="BE580" s="986"/>
      <c r="BF580" s="986"/>
      <c r="BG580" s="986"/>
      <c r="BH580" s="986"/>
      <c r="BI580" s="2997"/>
      <c r="BW580" s="1535"/>
      <c r="BZ580" s="1009"/>
      <c r="CA580" s="1009"/>
    </row>
    <row r="581" spans="2:79">
      <c r="B581" s="986"/>
      <c r="C581" s="986"/>
      <c r="D581" s="986"/>
      <c r="E581" s="986"/>
      <c r="F581" s="986"/>
      <c r="G581" s="986"/>
      <c r="H581" s="986"/>
      <c r="I581" s="986"/>
      <c r="J581" s="986"/>
      <c r="K581" s="986"/>
      <c r="L581" s="986"/>
      <c r="M581" s="986"/>
      <c r="N581" s="986"/>
      <c r="O581" s="986"/>
      <c r="P581" s="986"/>
      <c r="Q581" s="986"/>
      <c r="R581" s="986"/>
      <c r="S581" s="986"/>
      <c r="T581" s="986"/>
      <c r="U581" s="986"/>
      <c r="V581" s="986"/>
      <c r="W581" s="986"/>
      <c r="X581" s="986"/>
      <c r="Y581" s="986"/>
      <c r="Z581" s="986"/>
      <c r="AA581" s="986"/>
      <c r="AB581" s="986"/>
      <c r="AC581" s="986"/>
      <c r="AD581" s="986"/>
      <c r="AE581" s="986"/>
      <c r="BE581" s="986"/>
      <c r="BF581" s="986"/>
      <c r="BG581" s="986"/>
      <c r="BH581" s="986"/>
      <c r="BI581" s="2997"/>
      <c r="BW581" s="1535"/>
      <c r="BZ581" s="1009"/>
      <c r="CA581" s="1009"/>
    </row>
    <row r="582" spans="2:79">
      <c r="B582" s="986"/>
      <c r="C582" s="986"/>
      <c r="D582" s="986"/>
      <c r="E582" s="986"/>
      <c r="F582" s="986"/>
      <c r="G582" s="986"/>
      <c r="H582" s="986"/>
      <c r="I582" s="986"/>
      <c r="J582" s="986"/>
      <c r="K582" s="986"/>
      <c r="L582" s="986"/>
      <c r="M582" s="986"/>
      <c r="N582" s="986"/>
      <c r="O582" s="986"/>
      <c r="P582" s="986"/>
      <c r="Q582" s="986"/>
      <c r="R582" s="986"/>
      <c r="S582" s="986"/>
      <c r="T582" s="986"/>
      <c r="U582" s="986"/>
      <c r="V582" s="986"/>
      <c r="W582" s="986"/>
      <c r="X582" s="986"/>
      <c r="Y582" s="986"/>
      <c r="Z582" s="986"/>
      <c r="AA582" s="986"/>
      <c r="AB582" s="986"/>
      <c r="AC582" s="986"/>
      <c r="AD582" s="986"/>
      <c r="AE582" s="986"/>
      <c r="BE582" s="986"/>
      <c r="BF582" s="986"/>
      <c r="BG582" s="986"/>
      <c r="BH582" s="986"/>
      <c r="BI582" s="2997"/>
      <c r="BW582" s="1535"/>
      <c r="BZ582" s="1009"/>
      <c r="CA582" s="1009"/>
    </row>
    <row r="583" spans="2:79">
      <c r="B583" s="986"/>
      <c r="C583" s="986"/>
      <c r="D583" s="986"/>
      <c r="E583" s="986"/>
      <c r="F583" s="986"/>
      <c r="G583" s="986"/>
      <c r="H583" s="986"/>
      <c r="I583" s="986"/>
      <c r="J583" s="986"/>
      <c r="K583" s="986"/>
      <c r="L583" s="986"/>
      <c r="M583" s="986"/>
      <c r="N583" s="986"/>
      <c r="O583" s="986"/>
      <c r="P583" s="986"/>
      <c r="Q583" s="986"/>
      <c r="R583" s="986"/>
      <c r="S583" s="986"/>
      <c r="T583" s="986"/>
      <c r="U583" s="986"/>
      <c r="V583" s="986"/>
      <c r="W583" s="986"/>
      <c r="X583" s="986"/>
      <c r="Y583" s="986"/>
      <c r="Z583" s="986"/>
      <c r="AA583" s="986"/>
      <c r="AB583" s="986"/>
      <c r="AC583" s="986"/>
      <c r="AD583" s="986"/>
      <c r="AE583" s="986"/>
      <c r="BE583" s="986"/>
      <c r="BF583" s="986"/>
      <c r="BG583" s="986"/>
      <c r="BH583" s="986"/>
      <c r="BI583" s="2997"/>
      <c r="BW583" s="1535"/>
      <c r="BZ583" s="1009"/>
      <c r="CA583" s="1009"/>
    </row>
    <row r="584" spans="2:79">
      <c r="B584" s="986"/>
      <c r="C584" s="986"/>
      <c r="D584" s="986"/>
      <c r="E584" s="986"/>
      <c r="F584" s="986"/>
      <c r="G584" s="986"/>
      <c r="H584" s="986"/>
      <c r="I584" s="986"/>
      <c r="J584" s="986"/>
      <c r="K584" s="986"/>
      <c r="L584" s="986"/>
      <c r="M584" s="986"/>
      <c r="N584" s="986"/>
      <c r="O584" s="986"/>
      <c r="P584" s="986"/>
      <c r="Q584" s="986"/>
      <c r="R584" s="986"/>
      <c r="S584" s="986"/>
      <c r="T584" s="986"/>
      <c r="U584" s="986"/>
      <c r="V584" s="986"/>
      <c r="W584" s="986"/>
      <c r="X584" s="986"/>
      <c r="Y584" s="986"/>
      <c r="Z584" s="986"/>
      <c r="AA584" s="986"/>
      <c r="AB584" s="986"/>
      <c r="AC584" s="986"/>
      <c r="AD584" s="986"/>
      <c r="AE584" s="986"/>
      <c r="BE584" s="986"/>
      <c r="BF584" s="986"/>
      <c r="BG584" s="986"/>
      <c r="BH584" s="986"/>
      <c r="BI584" s="2997"/>
      <c r="BW584" s="1535"/>
      <c r="BZ584" s="1009"/>
      <c r="CA584" s="1009"/>
    </row>
    <row r="585" spans="2:79">
      <c r="B585" s="986"/>
      <c r="C585" s="986"/>
      <c r="D585" s="986"/>
      <c r="E585" s="986"/>
      <c r="F585" s="986"/>
      <c r="G585" s="986"/>
      <c r="H585" s="986"/>
      <c r="I585" s="986"/>
      <c r="J585" s="986"/>
      <c r="K585" s="986"/>
      <c r="L585" s="986"/>
      <c r="M585" s="986"/>
      <c r="N585" s="986"/>
      <c r="O585" s="986"/>
      <c r="P585" s="986"/>
      <c r="Q585" s="986"/>
      <c r="R585" s="986"/>
      <c r="S585" s="986"/>
      <c r="T585" s="986"/>
      <c r="U585" s="986"/>
      <c r="V585" s="986"/>
      <c r="W585" s="986"/>
      <c r="X585" s="986"/>
      <c r="Y585" s="986"/>
      <c r="Z585" s="986"/>
      <c r="AA585" s="986"/>
      <c r="AB585" s="986"/>
      <c r="AC585" s="986"/>
      <c r="AD585" s="986"/>
      <c r="AE585" s="986"/>
      <c r="BE585" s="986"/>
      <c r="BF585" s="986"/>
      <c r="BG585" s="986"/>
      <c r="BH585" s="986"/>
      <c r="BI585" s="2997"/>
      <c r="BW585" s="1535"/>
      <c r="BZ585" s="1009"/>
      <c r="CA585" s="1009"/>
    </row>
    <row r="586" spans="2:79">
      <c r="B586" s="986"/>
      <c r="C586" s="986"/>
      <c r="D586" s="986"/>
      <c r="E586" s="986"/>
      <c r="F586" s="986"/>
      <c r="G586" s="986"/>
      <c r="H586" s="986"/>
      <c r="I586" s="986"/>
      <c r="J586" s="986"/>
      <c r="K586" s="986"/>
      <c r="L586" s="986"/>
      <c r="M586" s="986"/>
      <c r="N586" s="986"/>
      <c r="O586" s="986"/>
      <c r="P586" s="986"/>
      <c r="Q586" s="986"/>
      <c r="R586" s="986"/>
      <c r="S586" s="986"/>
      <c r="T586" s="986"/>
      <c r="U586" s="986"/>
      <c r="V586" s="986"/>
      <c r="W586" s="986"/>
      <c r="X586" s="986"/>
      <c r="Y586" s="986"/>
      <c r="Z586" s="986"/>
      <c r="AA586" s="986"/>
      <c r="AB586" s="986"/>
      <c r="AC586" s="986"/>
      <c r="AD586" s="986"/>
      <c r="AE586" s="986"/>
      <c r="BE586" s="986"/>
      <c r="BF586" s="986"/>
      <c r="BG586" s="986"/>
      <c r="BH586" s="986"/>
      <c r="BI586" s="2997"/>
      <c r="BW586" s="1535"/>
      <c r="BZ586" s="1009"/>
      <c r="CA586" s="1009"/>
    </row>
    <row r="587" spans="2:79">
      <c r="B587" s="986"/>
      <c r="C587" s="986"/>
      <c r="D587" s="986"/>
      <c r="E587" s="986"/>
      <c r="F587" s="986"/>
      <c r="G587" s="986"/>
      <c r="H587" s="986"/>
      <c r="I587" s="986"/>
      <c r="J587" s="986"/>
      <c r="K587" s="986"/>
      <c r="L587" s="986"/>
      <c r="M587" s="986"/>
      <c r="N587" s="986"/>
      <c r="O587" s="986"/>
      <c r="P587" s="986"/>
      <c r="Q587" s="986"/>
      <c r="R587" s="986"/>
      <c r="S587" s="986"/>
      <c r="T587" s="986"/>
      <c r="U587" s="986"/>
      <c r="V587" s="986"/>
      <c r="W587" s="986"/>
      <c r="X587" s="986"/>
      <c r="Y587" s="986"/>
      <c r="Z587" s="986"/>
      <c r="AA587" s="986"/>
      <c r="AB587" s="986"/>
      <c r="AC587" s="986"/>
      <c r="AD587" s="986"/>
      <c r="AE587" s="986"/>
      <c r="BE587" s="986"/>
      <c r="BF587" s="986"/>
      <c r="BG587" s="986"/>
      <c r="BH587" s="986"/>
      <c r="BI587" s="2997"/>
      <c r="BW587" s="1535"/>
      <c r="BZ587" s="1009"/>
      <c r="CA587" s="1009"/>
    </row>
    <row r="588" spans="2:79">
      <c r="B588" s="986"/>
      <c r="C588" s="986"/>
      <c r="D588" s="986"/>
      <c r="E588" s="986"/>
      <c r="F588" s="986"/>
      <c r="G588" s="986"/>
      <c r="H588" s="986"/>
      <c r="I588" s="986"/>
      <c r="J588" s="986"/>
      <c r="K588" s="986"/>
      <c r="L588" s="986"/>
      <c r="M588" s="986"/>
      <c r="N588" s="986"/>
      <c r="O588" s="986"/>
      <c r="P588" s="986"/>
      <c r="Q588" s="986"/>
      <c r="R588" s="986"/>
      <c r="S588" s="986"/>
      <c r="T588" s="986"/>
      <c r="U588" s="986"/>
      <c r="V588" s="986"/>
      <c r="W588" s="986"/>
      <c r="X588" s="986"/>
      <c r="Y588" s="986"/>
      <c r="Z588" s="986"/>
      <c r="AA588" s="986"/>
      <c r="AB588" s="986"/>
      <c r="AC588" s="986"/>
      <c r="AD588" s="986"/>
      <c r="AE588" s="986"/>
      <c r="BE588" s="986"/>
      <c r="BF588" s="986"/>
      <c r="BG588" s="986"/>
      <c r="BH588" s="986"/>
      <c r="BI588" s="2997"/>
      <c r="BW588" s="1535"/>
      <c r="BZ588" s="1009"/>
      <c r="CA588" s="1009"/>
    </row>
    <row r="589" spans="2:79">
      <c r="B589" s="986"/>
      <c r="C589" s="986"/>
      <c r="D589" s="986"/>
      <c r="E589" s="986"/>
      <c r="F589" s="986"/>
      <c r="G589" s="986"/>
      <c r="H589" s="986"/>
      <c r="I589" s="986"/>
      <c r="J589" s="986"/>
      <c r="K589" s="986"/>
      <c r="L589" s="986"/>
      <c r="M589" s="986"/>
      <c r="N589" s="986"/>
      <c r="O589" s="986"/>
      <c r="P589" s="986"/>
      <c r="Q589" s="986"/>
      <c r="R589" s="986"/>
      <c r="S589" s="986"/>
      <c r="T589" s="986"/>
      <c r="U589" s="986"/>
      <c r="V589" s="986"/>
      <c r="W589" s="986"/>
      <c r="X589" s="986"/>
      <c r="Y589" s="986"/>
      <c r="Z589" s="986"/>
      <c r="AA589" s="986"/>
      <c r="AB589" s="986"/>
      <c r="AC589" s="986"/>
      <c r="AD589" s="986"/>
      <c r="AE589" s="986"/>
      <c r="BE589" s="986"/>
      <c r="BF589" s="986"/>
      <c r="BG589" s="986"/>
      <c r="BH589" s="986"/>
      <c r="BI589" s="2997"/>
      <c r="BW589" s="1535"/>
      <c r="BZ589" s="1009"/>
      <c r="CA589" s="1009"/>
    </row>
    <row r="590" spans="2:79">
      <c r="B590" s="986"/>
      <c r="C590" s="986"/>
      <c r="D590" s="986"/>
      <c r="E590" s="986"/>
      <c r="F590" s="986"/>
      <c r="G590" s="986"/>
      <c r="H590" s="986"/>
      <c r="I590" s="986"/>
      <c r="J590" s="986"/>
      <c r="K590" s="986"/>
      <c r="L590" s="986"/>
      <c r="M590" s="986"/>
      <c r="N590" s="986"/>
      <c r="O590" s="986"/>
      <c r="P590" s="986"/>
      <c r="Q590" s="986"/>
      <c r="R590" s="986"/>
      <c r="S590" s="986"/>
      <c r="T590" s="986"/>
      <c r="U590" s="986"/>
      <c r="V590" s="986"/>
      <c r="W590" s="986"/>
      <c r="X590" s="986"/>
      <c r="Y590" s="986"/>
      <c r="Z590" s="986"/>
      <c r="AA590" s="986"/>
      <c r="AB590" s="986"/>
      <c r="AC590" s="986"/>
      <c r="AD590" s="986"/>
      <c r="AE590" s="986"/>
      <c r="BE590" s="986"/>
      <c r="BF590" s="986"/>
      <c r="BG590" s="986"/>
      <c r="BH590" s="986"/>
      <c r="BI590" s="2997"/>
      <c r="BW590" s="1535"/>
      <c r="BZ590" s="1009"/>
      <c r="CA590" s="1009"/>
    </row>
    <row r="591" spans="2:79">
      <c r="B591" s="986"/>
      <c r="C591" s="986"/>
      <c r="D591" s="986"/>
      <c r="E591" s="986"/>
      <c r="F591" s="986"/>
      <c r="G591" s="986"/>
      <c r="H591" s="986"/>
      <c r="I591" s="986"/>
      <c r="J591" s="986"/>
      <c r="K591" s="986"/>
      <c r="L591" s="986"/>
      <c r="M591" s="986"/>
      <c r="N591" s="986"/>
      <c r="O591" s="986"/>
      <c r="P591" s="986"/>
      <c r="Q591" s="986"/>
      <c r="R591" s="986"/>
      <c r="S591" s="986"/>
      <c r="T591" s="986"/>
      <c r="U591" s="986"/>
      <c r="V591" s="986"/>
      <c r="W591" s="986"/>
      <c r="X591" s="986"/>
      <c r="Y591" s="986"/>
      <c r="Z591" s="986"/>
      <c r="AA591" s="986"/>
      <c r="AB591" s="986"/>
      <c r="AC591" s="986"/>
      <c r="AD591" s="986"/>
      <c r="AE591" s="986"/>
      <c r="BE591" s="986"/>
      <c r="BF591" s="986"/>
      <c r="BG591" s="986"/>
      <c r="BH591" s="986"/>
      <c r="BI591" s="2997"/>
      <c r="BW591" s="1535"/>
      <c r="BZ591" s="1009"/>
      <c r="CA591" s="1009"/>
    </row>
    <row r="592" spans="2:79">
      <c r="B592" s="986"/>
      <c r="C592" s="986"/>
      <c r="D592" s="986"/>
      <c r="E592" s="986"/>
      <c r="F592" s="986"/>
      <c r="G592" s="986"/>
      <c r="H592" s="986"/>
      <c r="I592" s="986"/>
      <c r="J592" s="986"/>
      <c r="K592" s="986"/>
      <c r="L592" s="986"/>
      <c r="M592" s="986"/>
      <c r="N592" s="986"/>
      <c r="O592" s="986"/>
      <c r="P592" s="986"/>
      <c r="Q592" s="986"/>
      <c r="R592" s="986"/>
      <c r="S592" s="986"/>
      <c r="T592" s="986"/>
      <c r="U592" s="986"/>
      <c r="V592" s="986"/>
      <c r="W592" s="986"/>
      <c r="X592" s="986"/>
      <c r="Y592" s="986"/>
      <c r="Z592" s="986"/>
      <c r="AA592" s="986"/>
      <c r="AB592" s="986"/>
      <c r="AC592" s="986"/>
      <c r="AD592" s="986"/>
      <c r="AE592" s="986"/>
      <c r="BE592" s="986"/>
      <c r="BF592" s="986"/>
      <c r="BG592" s="986"/>
      <c r="BH592" s="986"/>
      <c r="BI592" s="2997"/>
      <c r="BW592" s="1535"/>
      <c r="BZ592" s="1009"/>
      <c r="CA592" s="1009"/>
    </row>
    <row r="593" spans="2:79">
      <c r="B593" s="986"/>
      <c r="C593" s="986"/>
      <c r="D593" s="986"/>
      <c r="E593" s="986"/>
      <c r="F593" s="986"/>
      <c r="G593" s="986"/>
      <c r="H593" s="986"/>
      <c r="I593" s="986"/>
      <c r="J593" s="986"/>
      <c r="K593" s="986"/>
      <c r="L593" s="986"/>
      <c r="M593" s="986"/>
      <c r="N593" s="986"/>
      <c r="O593" s="986"/>
      <c r="P593" s="986"/>
      <c r="Q593" s="986"/>
      <c r="R593" s="986"/>
      <c r="S593" s="986"/>
      <c r="T593" s="986"/>
      <c r="U593" s="986"/>
      <c r="V593" s="986"/>
      <c r="W593" s="986"/>
      <c r="X593" s="986"/>
      <c r="Y593" s="986"/>
      <c r="Z593" s="986"/>
      <c r="AA593" s="986"/>
      <c r="AB593" s="986"/>
      <c r="AC593" s="986"/>
      <c r="AD593" s="986"/>
      <c r="AE593" s="986"/>
      <c r="BE593" s="986"/>
      <c r="BF593" s="986"/>
      <c r="BG593" s="986"/>
      <c r="BH593" s="986"/>
      <c r="BI593" s="2997"/>
      <c r="BW593" s="1535"/>
      <c r="BZ593" s="1009"/>
      <c r="CA593" s="1009"/>
    </row>
    <row r="594" spans="2:79">
      <c r="B594" s="986"/>
      <c r="C594" s="986"/>
      <c r="D594" s="986"/>
      <c r="E594" s="986"/>
      <c r="F594" s="986"/>
      <c r="G594" s="986"/>
      <c r="H594" s="986"/>
      <c r="I594" s="986"/>
      <c r="J594" s="986"/>
      <c r="K594" s="986"/>
      <c r="L594" s="986"/>
      <c r="M594" s="986"/>
      <c r="N594" s="986"/>
      <c r="O594" s="986"/>
      <c r="P594" s="986"/>
      <c r="Q594" s="986"/>
      <c r="R594" s="986"/>
      <c r="S594" s="986"/>
      <c r="T594" s="986"/>
      <c r="U594" s="986"/>
      <c r="V594" s="986"/>
      <c r="W594" s="986"/>
      <c r="X594" s="986"/>
      <c r="Y594" s="986"/>
      <c r="Z594" s="986"/>
      <c r="AA594" s="986"/>
      <c r="AB594" s="986"/>
      <c r="AC594" s="986"/>
      <c r="AD594" s="986"/>
      <c r="AE594" s="986"/>
      <c r="BE594" s="986"/>
      <c r="BF594" s="986"/>
      <c r="BG594" s="986"/>
      <c r="BH594" s="986"/>
      <c r="BI594" s="2997"/>
      <c r="BW594" s="1535"/>
      <c r="BZ594" s="1009"/>
      <c r="CA594" s="1009"/>
    </row>
    <row r="595" spans="2:79">
      <c r="B595" s="986"/>
      <c r="C595" s="986"/>
      <c r="D595" s="986"/>
      <c r="E595" s="986"/>
      <c r="F595" s="986"/>
      <c r="G595" s="986"/>
      <c r="H595" s="986"/>
      <c r="I595" s="986"/>
      <c r="J595" s="986"/>
      <c r="K595" s="986"/>
      <c r="L595" s="986"/>
      <c r="M595" s="986"/>
      <c r="N595" s="986"/>
      <c r="O595" s="986"/>
      <c r="P595" s="986"/>
      <c r="Q595" s="986"/>
      <c r="R595" s="986"/>
      <c r="S595" s="986"/>
      <c r="T595" s="986"/>
      <c r="U595" s="986"/>
      <c r="V595" s="986"/>
      <c r="W595" s="986"/>
      <c r="X595" s="986"/>
      <c r="Y595" s="986"/>
      <c r="Z595" s="986"/>
      <c r="AA595" s="986"/>
      <c r="AB595" s="986"/>
      <c r="AC595" s="986"/>
      <c r="AD595" s="986"/>
      <c r="AE595" s="986"/>
      <c r="BE595" s="986"/>
      <c r="BF595" s="986"/>
      <c r="BG595" s="986"/>
      <c r="BH595" s="986"/>
      <c r="BI595" s="2997"/>
      <c r="BW595" s="1535"/>
      <c r="BZ595" s="1009"/>
      <c r="CA595" s="1009"/>
    </row>
    <row r="596" spans="2:79">
      <c r="B596" s="986"/>
      <c r="C596" s="986"/>
      <c r="D596" s="986"/>
      <c r="E596" s="986"/>
      <c r="F596" s="986"/>
      <c r="G596" s="986"/>
      <c r="H596" s="986"/>
      <c r="I596" s="986"/>
      <c r="J596" s="986"/>
      <c r="K596" s="986"/>
      <c r="L596" s="986"/>
      <c r="M596" s="986"/>
      <c r="N596" s="986"/>
      <c r="O596" s="986"/>
      <c r="P596" s="986"/>
      <c r="Q596" s="986"/>
      <c r="R596" s="986"/>
      <c r="S596" s="986"/>
      <c r="T596" s="986"/>
      <c r="U596" s="986"/>
      <c r="V596" s="986"/>
      <c r="W596" s="986"/>
      <c r="X596" s="986"/>
      <c r="Y596" s="986"/>
      <c r="Z596" s="986"/>
      <c r="AA596" s="986"/>
      <c r="AB596" s="986"/>
      <c r="AC596" s="986"/>
      <c r="AD596" s="986"/>
      <c r="AE596" s="986"/>
      <c r="BE596" s="986"/>
      <c r="BF596" s="986"/>
      <c r="BG596" s="986"/>
      <c r="BH596" s="986"/>
      <c r="BI596" s="2997"/>
      <c r="BW596" s="1535"/>
      <c r="BZ596" s="1009"/>
      <c r="CA596" s="1009"/>
    </row>
    <row r="597" spans="2:79">
      <c r="B597" s="986"/>
      <c r="C597" s="986"/>
      <c r="D597" s="986"/>
      <c r="E597" s="986"/>
      <c r="F597" s="986"/>
      <c r="G597" s="986"/>
      <c r="H597" s="986"/>
      <c r="I597" s="986"/>
      <c r="J597" s="986"/>
      <c r="K597" s="986"/>
      <c r="L597" s="986"/>
      <c r="M597" s="986"/>
      <c r="N597" s="986"/>
      <c r="O597" s="986"/>
      <c r="P597" s="986"/>
      <c r="Q597" s="986"/>
      <c r="R597" s="986"/>
      <c r="S597" s="986"/>
      <c r="T597" s="986"/>
      <c r="U597" s="986"/>
      <c r="V597" s="986"/>
      <c r="W597" s="986"/>
      <c r="X597" s="986"/>
      <c r="Y597" s="986"/>
      <c r="Z597" s="986"/>
      <c r="AA597" s="986"/>
      <c r="AB597" s="986"/>
      <c r="AC597" s="986"/>
      <c r="AD597" s="986"/>
      <c r="AE597" s="986"/>
      <c r="BE597" s="986"/>
      <c r="BF597" s="986"/>
      <c r="BG597" s="986"/>
      <c r="BH597" s="986"/>
      <c r="BI597" s="2997"/>
      <c r="BW597" s="1535"/>
      <c r="BZ597" s="1009"/>
      <c r="CA597" s="1009"/>
    </row>
    <row r="598" spans="2:79">
      <c r="B598" s="986"/>
      <c r="C598" s="986"/>
      <c r="D598" s="986"/>
      <c r="E598" s="986"/>
      <c r="F598" s="986"/>
      <c r="G598" s="986"/>
      <c r="H598" s="986"/>
      <c r="I598" s="986"/>
      <c r="J598" s="986"/>
      <c r="K598" s="986"/>
      <c r="L598" s="986"/>
      <c r="M598" s="986"/>
      <c r="N598" s="986"/>
      <c r="O598" s="986"/>
      <c r="P598" s="986"/>
      <c r="Q598" s="986"/>
      <c r="R598" s="986"/>
      <c r="S598" s="986"/>
      <c r="T598" s="986"/>
      <c r="U598" s="986"/>
      <c r="V598" s="986"/>
      <c r="W598" s="986"/>
      <c r="X598" s="986"/>
      <c r="Y598" s="986"/>
      <c r="Z598" s="986"/>
      <c r="AA598" s="986"/>
      <c r="AB598" s="986"/>
      <c r="AC598" s="986"/>
      <c r="AD598" s="986"/>
      <c r="AE598" s="986"/>
      <c r="BE598" s="986"/>
      <c r="BF598" s="986"/>
      <c r="BG598" s="986"/>
      <c r="BH598" s="986"/>
      <c r="BI598" s="2997"/>
      <c r="BW598" s="1535"/>
      <c r="BZ598" s="1009"/>
      <c r="CA598" s="1009"/>
    </row>
    <row r="599" spans="2:79">
      <c r="B599" s="986"/>
      <c r="C599" s="986"/>
      <c r="D599" s="986"/>
      <c r="E599" s="986"/>
      <c r="F599" s="986"/>
      <c r="G599" s="986"/>
      <c r="H599" s="986"/>
      <c r="I599" s="986"/>
      <c r="J599" s="986"/>
      <c r="K599" s="986"/>
      <c r="L599" s="986"/>
      <c r="M599" s="986"/>
      <c r="N599" s="986"/>
      <c r="O599" s="986"/>
      <c r="P599" s="986"/>
      <c r="Q599" s="986"/>
      <c r="R599" s="986"/>
      <c r="S599" s="986"/>
      <c r="T599" s="986"/>
      <c r="U599" s="986"/>
      <c r="V599" s="986"/>
      <c r="W599" s="986"/>
      <c r="X599" s="986"/>
      <c r="Y599" s="986"/>
      <c r="Z599" s="986"/>
      <c r="AA599" s="986"/>
      <c r="AB599" s="986"/>
      <c r="AC599" s="986"/>
      <c r="AD599" s="986"/>
      <c r="AE599" s="986"/>
      <c r="BE599" s="986"/>
      <c r="BF599" s="986"/>
      <c r="BG599" s="986"/>
      <c r="BH599" s="986"/>
      <c r="BI599" s="2997"/>
      <c r="BW599" s="1535"/>
      <c r="BZ599" s="1009"/>
      <c r="CA599" s="1009"/>
    </row>
    <row r="600" spans="2:79">
      <c r="B600" s="986"/>
      <c r="C600" s="986"/>
      <c r="D600" s="986"/>
      <c r="E600" s="986"/>
      <c r="F600" s="986"/>
      <c r="G600" s="986"/>
      <c r="H600" s="986"/>
      <c r="I600" s="986"/>
      <c r="J600" s="986"/>
      <c r="K600" s="986"/>
      <c r="L600" s="986"/>
      <c r="M600" s="986"/>
      <c r="N600" s="986"/>
      <c r="O600" s="986"/>
      <c r="P600" s="986"/>
      <c r="Q600" s="986"/>
      <c r="R600" s="986"/>
      <c r="S600" s="986"/>
      <c r="T600" s="986"/>
      <c r="U600" s="986"/>
      <c r="V600" s="986"/>
      <c r="W600" s="986"/>
      <c r="X600" s="986"/>
      <c r="Y600" s="986"/>
      <c r="Z600" s="986"/>
      <c r="AA600" s="986"/>
      <c r="AB600" s="986"/>
      <c r="AC600" s="986"/>
      <c r="AD600" s="986"/>
      <c r="AE600" s="986"/>
      <c r="BE600" s="986"/>
      <c r="BF600" s="986"/>
      <c r="BG600" s="986"/>
      <c r="BH600" s="986"/>
      <c r="BI600" s="2997"/>
      <c r="BW600" s="1535"/>
      <c r="BZ600" s="1009"/>
      <c r="CA600" s="1009"/>
    </row>
    <row r="601" spans="2:79">
      <c r="B601" s="986"/>
      <c r="C601" s="986"/>
      <c r="D601" s="986"/>
      <c r="E601" s="986"/>
      <c r="F601" s="986"/>
      <c r="G601" s="986"/>
      <c r="H601" s="986"/>
      <c r="I601" s="986"/>
      <c r="J601" s="986"/>
      <c r="K601" s="986"/>
      <c r="L601" s="986"/>
      <c r="M601" s="986"/>
      <c r="N601" s="986"/>
      <c r="O601" s="986"/>
      <c r="P601" s="986"/>
      <c r="Q601" s="986"/>
      <c r="R601" s="986"/>
      <c r="S601" s="986"/>
      <c r="T601" s="986"/>
      <c r="U601" s="986"/>
      <c r="V601" s="986"/>
      <c r="W601" s="986"/>
      <c r="X601" s="986"/>
      <c r="Y601" s="986"/>
      <c r="Z601" s="986"/>
      <c r="AA601" s="986"/>
      <c r="AB601" s="986"/>
      <c r="AC601" s="986"/>
      <c r="AD601" s="986"/>
      <c r="AE601" s="986"/>
      <c r="BE601" s="986"/>
      <c r="BF601" s="986"/>
      <c r="BG601" s="986"/>
      <c r="BH601" s="986"/>
      <c r="BI601" s="2997"/>
      <c r="BW601" s="1535"/>
      <c r="BZ601" s="1009"/>
      <c r="CA601" s="1009"/>
    </row>
    <row r="602" spans="2:79">
      <c r="B602" s="986"/>
      <c r="C602" s="986"/>
      <c r="D602" s="986"/>
      <c r="E602" s="986"/>
      <c r="F602" s="986"/>
      <c r="G602" s="986"/>
      <c r="H602" s="986"/>
      <c r="I602" s="986"/>
      <c r="J602" s="986"/>
      <c r="K602" s="986"/>
      <c r="L602" s="986"/>
      <c r="M602" s="986"/>
      <c r="N602" s="986"/>
      <c r="O602" s="986"/>
      <c r="P602" s="986"/>
      <c r="Q602" s="986"/>
      <c r="R602" s="986"/>
      <c r="S602" s="986"/>
      <c r="T602" s="986"/>
      <c r="U602" s="986"/>
      <c r="V602" s="986"/>
      <c r="W602" s="986"/>
      <c r="X602" s="986"/>
      <c r="Y602" s="986"/>
      <c r="Z602" s="986"/>
      <c r="AA602" s="986"/>
      <c r="AB602" s="986"/>
      <c r="AC602" s="986"/>
      <c r="AD602" s="986"/>
      <c r="AE602" s="986"/>
      <c r="BE602" s="986"/>
      <c r="BF602" s="986"/>
      <c r="BG602" s="986"/>
      <c r="BH602" s="986"/>
      <c r="BI602" s="2997"/>
      <c r="BW602" s="1535"/>
      <c r="BZ602" s="1009"/>
      <c r="CA602" s="1009"/>
    </row>
    <row r="603" spans="2:79">
      <c r="B603" s="986"/>
      <c r="C603" s="986"/>
      <c r="D603" s="986"/>
      <c r="E603" s="986"/>
      <c r="F603" s="986"/>
      <c r="G603" s="986"/>
      <c r="H603" s="986"/>
      <c r="I603" s="986"/>
      <c r="J603" s="986"/>
      <c r="K603" s="986"/>
      <c r="L603" s="986"/>
      <c r="M603" s="986"/>
      <c r="N603" s="986"/>
      <c r="O603" s="986"/>
      <c r="P603" s="986"/>
      <c r="Q603" s="986"/>
      <c r="R603" s="986"/>
      <c r="S603" s="986"/>
      <c r="T603" s="986"/>
      <c r="U603" s="986"/>
      <c r="V603" s="986"/>
      <c r="W603" s="986"/>
      <c r="X603" s="986"/>
      <c r="Y603" s="986"/>
      <c r="Z603" s="986"/>
      <c r="AA603" s="986"/>
      <c r="AB603" s="986"/>
      <c r="AC603" s="986"/>
      <c r="AD603" s="986"/>
      <c r="AE603" s="986"/>
      <c r="BE603" s="986"/>
      <c r="BF603" s="986"/>
      <c r="BG603" s="986"/>
      <c r="BH603" s="986"/>
      <c r="BI603" s="2997"/>
      <c r="BW603" s="1535"/>
      <c r="BX603" s="1533"/>
      <c r="BY603" s="1533"/>
      <c r="BZ603" s="1533"/>
      <c r="CA603" s="1533"/>
    </row>
    <row r="604" spans="2:79">
      <c r="B604" s="986"/>
      <c r="C604" s="986"/>
      <c r="D604" s="986"/>
      <c r="E604" s="986"/>
      <c r="F604" s="986"/>
      <c r="G604" s="986"/>
      <c r="H604" s="986"/>
      <c r="I604" s="986"/>
      <c r="J604" s="986"/>
      <c r="K604" s="986"/>
      <c r="L604" s="986"/>
      <c r="M604" s="986"/>
      <c r="N604" s="986"/>
      <c r="O604" s="986"/>
      <c r="P604" s="986"/>
      <c r="Q604" s="986"/>
      <c r="R604" s="986"/>
      <c r="S604" s="986"/>
      <c r="T604" s="986"/>
      <c r="U604" s="986"/>
      <c r="V604" s="986"/>
      <c r="W604" s="986"/>
      <c r="X604" s="986"/>
      <c r="Y604" s="986"/>
      <c r="Z604" s="986"/>
      <c r="AA604" s="986"/>
      <c r="AB604" s="986"/>
      <c r="AC604" s="986"/>
      <c r="AD604" s="986"/>
      <c r="AE604" s="986"/>
      <c r="BE604" s="986"/>
      <c r="BF604" s="986"/>
      <c r="BG604" s="986"/>
      <c r="BH604" s="986"/>
      <c r="BI604" s="2997"/>
      <c r="BW604" s="1535"/>
      <c r="BZ604" s="1009"/>
      <c r="CA604" s="1009"/>
    </row>
    <row r="605" spans="2:79">
      <c r="B605" s="986"/>
      <c r="C605" s="986"/>
      <c r="D605" s="986"/>
      <c r="E605" s="986"/>
      <c r="F605" s="986"/>
      <c r="G605" s="986"/>
      <c r="H605" s="986"/>
      <c r="I605" s="986"/>
      <c r="J605" s="986"/>
      <c r="K605" s="986"/>
      <c r="L605" s="986"/>
      <c r="M605" s="986"/>
      <c r="N605" s="986"/>
      <c r="O605" s="986"/>
      <c r="P605" s="986"/>
      <c r="Q605" s="986"/>
      <c r="R605" s="986"/>
      <c r="S605" s="986"/>
      <c r="T605" s="986"/>
      <c r="U605" s="986"/>
      <c r="V605" s="986"/>
      <c r="W605" s="986"/>
      <c r="X605" s="986"/>
      <c r="Y605" s="986"/>
      <c r="Z605" s="986"/>
      <c r="AA605" s="986"/>
      <c r="AB605" s="986"/>
      <c r="AC605" s="986"/>
      <c r="AD605" s="986"/>
      <c r="AE605" s="986"/>
      <c r="BE605" s="986"/>
      <c r="BF605" s="986"/>
      <c r="BG605" s="986"/>
      <c r="BH605" s="986"/>
      <c r="BI605" s="2997"/>
      <c r="BW605" s="1535"/>
      <c r="BZ605" s="1009"/>
      <c r="CA605" s="1009"/>
    </row>
    <row r="606" spans="2:79">
      <c r="B606" s="986"/>
      <c r="C606" s="986"/>
      <c r="D606" s="986"/>
      <c r="E606" s="986"/>
      <c r="F606" s="986"/>
      <c r="G606" s="986"/>
      <c r="H606" s="986"/>
      <c r="I606" s="986"/>
      <c r="J606" s="986"/>
      <c r="K606" s="986"/>
      <c r="L606" s="986"/>
      <c r="M606" s="986"/>
      <c r="N606" s="986"/>
      <c r="O606" s="986"/>
      <c r="P606" s="986"/>
      <c r="Q606" s="986"/>
      <c r="R606" s="986"/>
      <c r="S606" s="986"/>
      <c r="T606" s="986"/>
      <c r="U606" s="986"/>
      <c r="V606" s="986"/>
      <c r="W606" s="986"/>
      <c r="X606" s="986"/>
      <c r="Y606" s="986"/>
      <c r="Z606" s="986"/>
      <c r="AA606" s="986"/>
      <c r="AB606" s="986"/>
      <c r="AC606" s="986"/>
      <c r="AD606" s="986"/>
      <c r="AE606" s="986"/>
      <c r="BE606" s="986"/>
      <c r="BF606" s="986"/>
      <c r="BG606" s="986"/>
      <c r="BH606" s="986"/>
      <c r="BI606" s="2997"/>
      <c r="BW606" s="1535"/>
      <c r="BZ606" s="1009"/>
      <c r="CA606" s="1009"/>
    </row>
    <row r="607" spans="2:79">
      <c r="B607" s="986"/>
      <c r="C607" s="986"/>
      <c r="D607" s="986"/>
      <c r="E607" s="986"/>
      <c r="F607" s="986"/>
      <c r="G607" s="986"/>
      <c r="H607" s="986"/>
      <c r="I607" s="986"/>
      <c r="J607" s="986"/>
      <c r="K607" s="986"/>
      <c r="L607" s="986"/>
      <c r="M607" s="986"/>
      <c r="N607" s="986"/>
      <c r="O607" s="986"/>
      <c r="P607" s="986"/>
      <c r="Q607" s="986"/>
      <c r="R607" s="986"/>
      <c r="S607" s="986"/>
      <c r="T607" s="986"/>
      <c r="U607" s="986"/>
      <c r="V607" s="986"/>
      <c r="W607" s="986"/>
      <c r="X607" s="986"/>
      <c r="Y607" s="986"/>
      <c r="Z607" s="986"/>
      <c r="AA607" s="986"/>
      <c r="AB607" s="986"/>
      <c r="AC607" s="986"/>
      <c r="AD607" s="986"/>
      <c r="AE607" s="986"/>
      <c r="BE607" s="986"/>
      <c r="BF607" s="986"/>
      <c r="BG607" s="986"/>
      <c r="BH607" s="986"/>
      <c r="BI607" s="2997"/>
      <c r="BW607" s="1535"/>
      <c r="BZ607" s="1009"/>
      <c r="CA607" s="1009"/>
    </row>
    <row r="608" spans="2:79">
      <c r="B608" s="986"/>
      <c r="C608" s="986"/>
      <c r="D608" s="986"/>
      <c r="E608" s="986"/>
      <c r="F608" s="986"/>
      <c r="G608" s="986"/>
      <c r="H608" s="986"/>
      <c r="I608" s="986"/>
      <c r="J608" s="986"/>
      <c r="K608" s="986"/>
      <c r="L608" s="986"/>
      <c r="M608" s="986"/>
      <c r="N608" s="986"/>
      <c r="O608" s="986"/>
      <c r="P608" s="986"/>
      <c r="Q608" s="986"/>
      <c r="R608" s="986"/>
      <c r="S608" s="986"/>
      <c r="T608" s="986"/>
      <c r="U608" s="986"/>
      <c r="V608" s="986"/>
      <c r="W608" s="986"/>
      <c r="X608" s="986"/>
      <c r="Y608" s="986"/>
      <c r="Z608" s="986"/>
      <c r="AA608" s="986"/>
      <c r="AB608" s="986"/>
      <c r="AC608" s="986"/>
      <c r="AD608" s="986"/>
      <c r="AE608" s="986"/>
      <c r="BE608" s="986"/>
      <c r="BF608" s="986"/>
      <c r="BG608" s="986"/>
      <c r="BH608" s="986"/>
      <c r="BI608" s="2997"/>
      <c r="BW608" s="1535"/>
      <c r="BZ608" s="1009"/>
      <c r="CA608" s="1009"/>
    </row>
    <row r="609" spans="2:79">
      <c r="B609" s="986"/>
      <c r="C609" s="986"/>
      <c r="D609" s="986"/>
      <c r="E609" s="986"/>
      <c r="F609" s="986"/>
      <c r="G609" s="986"/>
      <c r="H609" s="986"/>
      <c r="I609" s="986"/>
      <c r="J609" s="986"/>
      <c r="K609" s="986"/>
      <c r="L609" s="986"/>
      <c r="M609" s="986"/>
      <c r="N609" s="986"/>
      <c r="O609" s="986"/>
      <c r="P609" s="986"/>
      <c r="Q609" s="986"/>
      <c r="R609" s="986"/>
      <c r="S609" s="986"/>
      <c r="T609" s="986"/>
      <c r="U609" s="986"/>
      <c r="V609" s="986"/>
      <c r="W609" s="986"/>
      <c r="X609" s="986"/>
      <c r="Y609" s="986"/>
      <c r="Z609" s="986"/>
      <c r="AA609" s="986"/>
      <c r="AB609" s="986"/>
      <c r="AC609" s="986"/>
      <c r="AD609" s="986"/>
      <c r="AE609" s="986"/>
      <c r="BE609" s="986"/>
      <c r="BF609" s="986"/>
      <c r="BG609" s="986"/>
      <c r="BH609" s="986"/>
      <c r="BI609" s="2997"/>
      <c r="BW609" s="1535"/>
      <c r="BZ609" s="1009"/>
      <c r="CA609" s="1009"/>
    </row>
    <row r="610" spans="2:79">
      <c r="B610" s="986"/>
      <c r="C610" s="986"/>
      <c r="D610" s="986"/>
      <c r="E610" s="986"/>
      <c r="F610" s="986"/>
      <c r="G610" s="986"/>
      <c r="H610" s="986"/>
      <c r="I610" s="986"/>
      <c r="J610" s="986"/>
      <c r="K610" s="986"/>
      <c r="L610" s="986"/>
      <c r="M610" s="986"/>
      <c r="N610" s="986"/>
      <c r="O610" s="986"/>
      <c r="P610" s="986"/>
      <c r="Q610" s="986"/>
      <c r="R610" s="986"/>
      <c r="S610" s="986"/>
      <c r="T610" s="986"/>
      <c r="U610" s="986"/>
      <c r="V610" s="986"/>
      <c r="W610" s="986"/>
      <c r="X610" s="986"/>
      <c r="Y610" s="986"/>
      <c r="Z610" s="986"/>
      <c r="AA610" s="986"/>
      <c r="AB610" s="986"/>
      <c r="AC610" s="986"/>
      <c r="AD610" s="986"/>
      <c r="AE610" s="986"/>
      <c r="BE610" s="986"/>
      <c r="BF610" s="986"/>
      <c r="BG610" s="986"/>
      <c r="BH610" s="986"/>
      <c r="BI610" s="2997"/>
      <c r="BW610" s="1535"/>
      <c r="BZ610" s="1009"/>
      <c r="CA610" s="1009"/>
    </row>
    <row r="611" spans="2:79">
      <c r="B611" s="986"/>
      <c r="C611" s="986"/>
      <c r="D611" s="986"/>
      <c r="E611" s="986"/>
      <c r="F611" s="986"/>
      <c r="G611" s="986"/>
      <c r="H611" s="986"/>
      <c r="I611" s="986"/>
      <c r="J611" s="986"/>
      <c r="K611" s="986"/>
      <c r="L611" s="986"/>
      <c r="M611" s="986"/>
      <c r="N611" s="986"/>
      <c r="O611" s="986"/>
      <c r="P611" s="986"/>
      <c r="Q611" s="986"/>
      <c r="R611" s="986"/>
      <c r="S611" s="986"/>
      <c r="T611" s="986"/>
      <c r="U611" s="986"/>
      <c r="V611" s="986"/>
      <c r="W611" s="986"/>
      <c r="X611" s="986"/>
      <c r="Y611" s="986"/>
      <c r="Z611" s="986"/>
      <c r="AA611" s="986"/>
      <c r="AB611" s="986"/>
      <c r="AC611" s="986"/>
      <c r="AD611" s="986"/>
      <c r="AE611" s="986"/>
      <c r="BE611" s="986"/>
      <c r="BF611" s="986"/>
      <c r="BG611" s="986"/>
      <c r="BH611" s="986"/>
      <c r="BI611" s="2997"/>
      <c r="BW611" s="1535"/>
      <c r="BZ611" s="1009"/>
      <c r="CA611" s="1009"/>
    </row>
    <row r="612" spans="2:79">
      <c r="B612" s="986"/>
      <c r="C612" s="986"/>
      <c r="D612" s="986"/>
      <c r="E612" s="986"/>
      <c r="F612" s="986"/>
      <c r="G612" s="986"/>
      <c r="H612" s="986"/>
      <c r="I612" s="986"/>
      <c r="J612" s="986"/>
      <c r="K612" s="986"/>
      <c r="L612" s="986"/>
      <c r="M612" s="986"/>
      <c r="N612" s="986"/>
      <c r="O612" s="986"/>
      <c r="P612" s="986"/>
      <c r="Q612" s="986"/>
      <c r="R612" s="986"/>
      <c r="S612" s="986"/>
      <c r="T612" s="986"/>
      <c r="U612" s="986"/>
      <c r="V612" s="986"/>
      <c r="W612" s="986"/>
      <c r="X612" s="986"/>
      <c r="Y612" s="986"/>
      <c r="Z612" s="986"/>
      <c r="AA612" s="986"/>
      <c r="AB612" s="986"/>
      <c r="AC612" s="986"/>
      <c r="AD612" s="986"/>
      <c r="AE612" s="986"/>
      <c r="BE612" s="986"/>
      <c r="BF612" s="986"/>
      <c r="BG612" s="986"/>
      <c r="BH612" s="986"/>
      <c r="BI612" s="2997"/>
      <c r="BW612" s="1535"/>
      <c r="BZ612" s="1009"/>
      <c r="CA612" s="1009"/>
    </row>
    <row r="613" spans="2:79">
      <c r="B613" s="986"/>
      <c r="C613" s="986"/>
      <c r="D613" s="986"/>
      <c r="E613" s="986"/>
      <c r="F613" s="986"/>
      <c r="G613" s="986"/>
      <c r="H613" s="986"/>
      <c r="I613" s="986"/>
      <c r="J613" s="986"/>
      <c r="K613" s="986"/>
      <c r="L613" s="986"/>
      <c r="M613" s="986"/>
      <c r="N613" s="986"/>
      <c r="O613" s="986"/>
      <c r="P613" s="986"/>
      <c r="Q613" s="986"/>
      <c r="R613" s="986"/>
      <c r="S613" s="986"/>
      <c r="T613" s="986"/>
      <c r="U613" s="986"/>
      <c r="V613" s="986"/>
      <c r="W613" s="986"/>
      <c r="X613" s="986"/>
      <c r="Y613" s="986"/>
      <c r="Z613" s="986"/>
      <c r="AA613" s="986"/>
      <c r="AB613" s="986"/>
      <c r="AC613" s="986"/>
      <c r="AD613" s="986"/>
      <c r="AE613" s="986"/>
      <c r="BE613" s="986"/>
      <c r="BF613" s="986"/>
      <c r="BG613" s="986"/>
      <c r="BH613" s="986"/>
      <c r="BI613" s="2997"/>
      <c r="BW613" s="1535"/>
      <c r="BZ613" s="1009"/>
      <c r="CA613" s="1009"/>
    </row>
    <row r="614" spans="2:79">
      <c r="B614" s="986"/>
      <c r="C614" s="986"/>
      <c r="D614" s="986"/>
      <c r="E614" s="986"/>
      <c r="F614" s="986"/>
      <c r="G614" s="986"/>
      <c r="H614" s="986"/>
      <c r="I614" s="986"/>
      <c r="J614" s="986"/>
      <c r="K614" s="986"/>
      <c r="L614" s="986"/>
      <c r="M614" s="986"/>
      <c r="N614" s="986"/>
      <c r="O614" s="986"/>
      <c r="P614" s="986"/>
      <c r="Q614" s="986"/>
      <c r="R614" s="986"/>
      <c r="S614" s="986"/>
      <c r="T614" s="986"/>
      <c r="U614" s="986"/>
      <c r="V614" s="986"/>
      <c r="W614" s="986"/>
      <c r="X614" s="986"/>
      <c r="Y614" s="986"/>
      <c r="Z614" s="986"/>
      <c r="AA614" s="986"/>
      <c r="AB614" s="986"/>
      <c r="AC614" s="986"/>
      <c r="AD614" s="986"/>
      <c r="AE614" s="986"/>
      <c r="BE614" s="986"/>
      <c r="BF614" s="986"/>
      <c r="BG614" s="986"/>
      <c r="BH614" s="986"/>
      <c r="BI614" s="2997"/>
      <c r="BW614" s="1535"/>
      <c r="BZ614" s="1009"/>
      <c r="CA614" s="1009"/>
    </row>
    <row r="615" spans="2:79">
      <c r="B615" s="986"/>
      <c r="C615" s="986"/>
      <c r="D615" s="986"/>
      <c r="E615" s="986"/>
      <c r="F615" s="986"/>
      <c r="G615" s="986"/>
      <c r="H615" s="986"/>
      <c r="I615" s="986"/>
      <c r="J615" s="986"/>
      <c r="K615" s="986"/>
      <c r="L615" s="986"/>
      <c r="M615" s="986"/>
      <c r="N615" s="986"/>
      <c r="O615" s="986"/>
      <c r="P615" s="986"/>
      <c r="Q615" s="986"/>
      <c r="R615" s="986"/>
      <c r="S615" s="986"/>
      <c r="T615" s="986"/>
      <c r="U615" s="986"/>
      <c r="V615" s="986"/>
      <c r="W615" s="986"/>
      <c r="X615" s="986"/>
      <c r="Y615" s="986"/>
      <c r="Z615" s="986"/>
      <c r="AA615" s="986"/>
      <c r="AB615" s="986"/>
      <c r="AC615" s="986"/>
      <c r="AD615" s="986"/>
      <c r="AE615" s="986"/>
      <c r="BE615" s="986"/>
      <c r="BF615" s="986"/>
      <c r="BG615" s="986"/>
      <c r="BH615" s="986"/>
      <c r="BI615" s="2997"/>
      <c r="BW615" s="1535"/>
      <c r="BZ615" s="1009"/>
      <c r="CA615" s="1009"/>
    </row>
    <row r="616" spans="2:79">
      <c r="B616" s="986"/>
      <c r="C616" s="986"/>
      <c r="D616" s="986"/>
      <c r="E616" s="986"/>
      <c r="F616" s="986"/>
      <c r="G616" s="986"/>
      <c r="H616" s="986"/>
      <c r="I616" s="986"/>
      <c r="J616" s="986"/>
      <c r="K616" s="986"/>
      <c r="L616" s="986"/>
      <c r="M616" s="986"/>
      <c r="N616" s="986"/>
      <c r="O616" s="986"/>
      <c r="P616" s="986"/>
      <c r="Q616" s="986"/>
      <c r="R616" s="986"/>
      <c r="S616" s="986"/>
      <c r="T616" s="986"/>
      <c r="U616" s="986"/>
      <c r="V616" s="986"/>
      <c r="W616" s="986"/>
      <c r="X616" s="986"/>
      <c r="Y616" s="986"/>
      <c r="Z616" s="986"/>
      <c r="AA616" s="986"/>
      <c r="AB616" s="986"/>
      <c r="AC616" s="986"/>
      <c r="AD616" s="986"/>
      <c r="AE616" s="986"/>
      <c r="BE616" s="986"/>
      <c r="BF616" s="986"/>
      <c r="BG616" s="986"/>
      <c r="BH616" s="986"/>
      <c r="BI616" s="2997"/>
      <c r="BW616" s="1535"/>
      <c r="BZ616" s="1009"/>
      <c r="CA616" s="1009"/>
    </row>
    <row r="617" spans="2:79">
      <c r="B617" s="986"/>
      <c r="C617" s="986"/>
      <c r="D617" s="986"/>
      <c r="E617" s="986"/>
      <c r="F617" s="986"/>
      <c r="G617" s="986"/>
      <c r="H617" s="986"/>
      <c r="I617" s="986"/>
      <c r="J617" s="986"/>
      <c r="K617" s="986"/>
      <c r="L617" s="986"/>
      <c r="M617" s="986"/>
      <c r="N617" s="986"/>
      <c r="O617" s="986"/>
      <c r="P617" s="986"/>
      <c r="Q617" s="986"/>
      <c r="R617" s="986"/>
      <c r="S617" s="986"/>
      <c r="T617" s="986"/>
      <c r="U617" s="986"/>
      <c r="V617" s="986"/>
      <c r="W617" s="986"/>
      <c r="X617" s="986"/>
      <c r="Y617" s="986"/>
      <c r="Z617" s="986"/>
      <c r="AA617" s="986"/>
      <c r="AB617" s="986"/>
      <c r="AC617" s="986"/>
      <c r="AD617" s="986"/>
      <c r="AE617" s="986"/>
      <c r="BE617" s="986"/>
      <c r="BF617" s="986"/>
      <c r="BG617" s="986"/>
      <c r="BH617" s="986"/>
      <c r="BI617" s="2997"/>
      <c r="BW617" s="1535"/>
      <c r="BZ617" s="1009"/>
      <c r="CA617" s="1009"/>
    </row>
    <row r="618" spans="2:79">
      <c r="B618" s="986"/>
      <c r="C618" s="986"/>
      <c r="D618" s="986"/>
      <c r="E618" s="986"/>
      <c r="F618" s="986"/>
      <c r="G618" s="986"/>
      <c r="H618" s="986"/>
      <c r="I618" s="986"/>
      <c r="J618" s="986"/>
      <c r="K618" s="986"/>
      <c r="L618" s="986"/>
      <c r="M618" s="986"/>
      <c r="N618" s="986"/>
      <c r="O618" s="986"/>
      <c r="P618" s="986"/>
      <c r="Q618" s="986"/>
      <c r="R618" s="986"/>
      <c r="S618" s="986"/>
      <c r="T618" s="986"/>
      <c r="U618" s="986"/>
      <c r="V618" s="986"/>
      <c r="W618" s="986"/>
      <c r="X618" s="986"/>
      <c r="Y618" s="986"/>
      <c r="Z618" s="986"/>
      <c r="AA618" s="986"/>
      <c r="AB618" s="986"/>
      <c r="AC618" s="986"/>
      <c r="AD618" s="986"/>
      <c r="AE618" s="986"/>
      <c r="BE618" s="986"/>
      <c r="BF618" s="986"/>
      <c r="BG618" s="986"/>
      <c r="BH618" s="986"/>
      <c r="BI618" s="2997"/>
      <c r="BW618" s="1535"/>
      <c r="BZ618" s="1009"/>
      <c r="CA618" s="1009"/>
    </row>
    <row r="619" spans="2:79">
      <c r="B619" s="986"/>
      <c r="C619" s="986"/>
      <c r="D619" s="986"/>
      <c r="E619" s="986"/>
      <c r="F619" s="986"/>
      <c r="G619" s="986"/>
      <c r="H619" s="986"/>
      <c r="I619" s="986"/>
      <c r="J619" s="986"/>
      <c r="K619" s="986"/>
      <c r="L619" s="986"/>
      <c r="M619" s="986"/>
      <c r="N619" s="986"/>
      <c r="O619" s="986"/>
      <c r="P619" s="986"/>
      <c r="Q619" s="986"/>
      <c r="R619" s="986"/>
      <c r="S619" s="986"/>
      <c r="T619" s="986"/>
      <c r="U619" s="986"/>
      <c r="V619" s="986"/>
      <c r="W619" s="986"/>
      <c r="X619" s="986"/>
      <c r="Y619" s="986"/>
      <c r="Z619" s="986"/>
      <c r="AA619" s="986"/>
      <c r="AB619" s="986"/>
      <c r="AC619" s="986"/>
      <c r="AD619" s="986"/>
      <c r="AE619" s="986"/>
      <c r="BE619" s="986"/>
      <c r="BF619" s="986"/>
      <c r="BG619" s="986"/>
      <c r="BH619" s="986"/>
      <c r="BI619" s="2997"/>
      <c r="BW619" s="1535"/>
      <c r="BZ619" s="1009"/>
      <c r="CA619" s="1009"/>
    </row>
    <row r="620" spans="2:79">
      <c r="B620" s="986"/>
      <c r="C620" s="986"/>
      <c r="D620" s="986"/>
      <c r="E620" s="986"/>
      <c r="F620" s="986"/>
      <c r="G620" s="986"/>
      <c r="H620" s="986"/>
      <c r="I620" s="986"/>
      <c r="J620" s="986"/>
      <c r="K620" s="986"/>
      <c r="L620" s="986"/>
      <c r="M620" s="986"/>
      <c r="N620" s="986"/>
      <c r="O620" s="986"/>
      <c r="P620" s="986"/>
      <c r="Q620" s="986"/>
      <c r="R620" s="986"/>
      <c r="S620" s="986"/>
      <c r="T620" s="986"/>
      <c r="U620" s="986"/>
      <c r="V620" s="986"/>
      <c r="W620" s="986"/>
      <c r="X620" s="986"/>
      <c r="Y620" s="986"/>
      <c r="Z620" s="986"/>
      <c r="AA620" s="986"/>
      <c r="AB620" s="986"/>
      <c r="AC620" s="986"/>
      <c r="AD620" s="986"/>
      <c r="AE620" s="986"/>
      <c r="BE620" s="986"/>
      <c r="BF620" s="986"/>
      <c r="BG620" s="986"/>
      <c r="BH620" s="986"/>
      <c r="BI620" s="2997"/>
      <c r="BW620" s="1535"/>
      <c r="BZ620" s="1009"/>
      <c r="CA620" s="1009"/>
    </row>
    <row r="621" spans="2:79">
      <c r="B621" s="986"/>
      <c r="C621" s="986"/>
      <c r="D621" s="986"/>
      <c r="E621" s="986"/>
      <c r="F621" s="986"/>
      <c r="G621" s="986"/>
      <c r="H621" s="986"/>
      <c r="I621" s="986"/>
      <c r="J621" s="986"/>
      <c r="K621" s="986"/>
      <c r="L621" s="986"/>
      <c r="M621" s="986"/>
      <c r="N621" s="986"/>
      <c r="O621" s="986"/>
      <c r="P621" s="986"/>
      <c r="Q621" s="986"/>
      <c r="R621" s="986"/>
      <c r="S621" s="986"/>
      <c r="T621" s="986"/>
      <c r="U621" s="986"/>
      <c r="V621" s="986"/>
      <c r="W621" s="986"/>
      <c r="X621" s="986"/>
      <c r="Y621" s="986"/>
      <c r="Z621" s="986"/>
      <c r="AA621" s="986"/>
      <c r="AB621" s="986"/>
      <c r="AC621" s="986"/>
      <c r="AD621" s="986"/>
      <c r="AE621" s="986"/>
      <c r="BE621" s="986"/>
      <c r="BF621" s="986"/>
      <c r="BG621" s="986"/>
      <c r="BH621" s="986"/>
      <c r="BI621" s="2997"/>
      <c r="BW621" s="1535"/>
      <c r="BZ621" s="1009"/>
      <c r="CA621" s="1009"/>
    </row>
    <row r="622" spans="2:79">
      <c r="B622" s="986"/>
      <c r="C622" s="986"/>
      <c r="D622" s="986"/>
      <c r="E622" s="986"/>
      <c r="F622" s="986"/>
      <c r="G622" s="986"/>
      <c r="H622" s="986"/>
      <c r="I622" s="986"/>
      <c r="J622" s="986"/>
      <c r="K622" s="986"/>
      <c r="L622" s="986"/>
      <c r="M622" s="986"/>
      <c r="N622" s="986"/>
      <c r="O622" s="986"/>
      <c r="P622" s="986"/>
      <c r="Q622" s="986"/>
      <c r="R622" s="986"/>
      <c r="S622" s="986"/>
      <c r="T622" s="986"/>
      <c r="U622" s="986"/>
      <c r="V622" s="986"/>
      <c r="W622" s="986"/>
      <c r="X622" s="986"/>
      <c r="Y622" s="986"/>
      <c r="Z622" s="986"/>
      <c r="AA622" s="986"/>
      <c r="AB622" s="986"/>
      <c r="AC622" s="986"/>
      <c r="AD622" s="986"/>
      <c r="AE622" s="986"/>
      <c r="BE622" s="986"/>
      <c r="BF622" s="986"/>
      <c r="BG622" s="986"/>
      <c r="BH622" s="986"/>
      <c r="BI622" s="2997"/>
      <c r="BW622" s="1535"/>
      <c r="BZ622" s="1009"/>
      <c r="CA622" s="1009"/>
    </row>
    <row r="623" spans="2:79">
      <c r="B623" s="986"/>
      <c r="C623" s="986"/>
      <c r="D623" s="986"/>
      <c r="E623" s="986"/>
      <c r="F623" s="986"/>
      <c r="G623" s="986"/>
      <c r="H623" s="986"/>
      <c r="I623" s="986"/>
      <c r="J623" s="986"/>
      <c r="K623" s="986"/>
      <c r="L623" s="986"/>
      <c r="M623" s="986"/>
      <c r="N623" s="986"/>
      <c r="O623" s="986"/>
      <c r="P623" s="986"/>
      <c r="Q623" s="986"/>
      <c r="R623" s="986"/>
      <c r="S623" s="986"/>
      <c r="T623" s="986"/>
      <c r="U623" s="986"/>
      <c r="V623" s="986"/>
      <c r="W623" s="986"/>
      <c r="X623" s="986"/>
      <c r="Y623" s="986"/>
      <c r="Z623" s="986"/>
      <c r="AA623" s="986"/>
      <c r="AB623" s="986"/>
      <c r="AC623" s="986"/>
      <c r="AD623" s="986"/>
      <c r="AE623" s="986"/>
      <c r="BE623" s="986"/>
      <c r="BF623" s="986"/>
      <c r="BG623" s="986"/>
      <c r="BH623" s="986"/>
      <c r="BI623" s="2997"/>
      <c r="BW623" s="1535"/>
      <c r="BZ623" s="1009"/>
      <c r="CA623" s="1009"/>
    </row>
    <row r="624" spans="2:79">
      <c r="B624" s="986"/>
      <c r="C624" s="986"/>
      <c r="D624" s="986"/>
      <c r="E624" s="986"/>
      <c r="F624" s="986"/>
      <c r="G624" s="986"/>
      <c r="H624" s="986"/>
      <c r="I624" s="986"/>
      <c r="J624" s="986"/>
      <c r="K624" s="986"/>
      <c r="L624" s="986"/>
      <c r="M624" s="986"/>
      <c r="N624" s="986"/>
      <c r="O624" s="986"/>
      <c r="P624" s="986"/>
      <c r="Q624" s="986"/>
      <c r="R624" s="986"/>
      <c r="S624" s="986"/>
      <c r="T624" s="986"/>
      <c r="U624" s="986"/>
      <c r="V624" s="986"/>
      <c r="W624" s="986"/>
      <c r="X624" s="986"/>
      <c r="Y624" s="986"/>
      <c r="Z624" s="986"/>
      <c r="AA624" s="986"/>
      <c r="AB624" s="986"/>
      <c r="AC624" s="986"/>
      <c r="AD624" s="986"/>
      <c r="AE624" s="986"/>
      <c r="BE624" s="986"/>
      <c r="BF624" s="986"/>
      <c r="BG624" s="986"/>
      <c r="BH624" s="986"/>
      <c r="BI624" s="2997"/>
      <c r="BW624" s="1535"/>
      <c r="BZ624" s="1009"/>
      <c r="CA624" s="1009"/>
    </row>
    <row r="625" spans="2:79">
      <c r="B625" s="986"/>
      <c r="C625" s="986"/>
      <c r="D625" s="986"/>
      <c r="E625" s="986"/>
      <c r="F625" s="986"/>
      <c r="G625" s="986"/>
      <c r="H625" s="986"/>
      <c r="I625" s="986"/>
      <c r="J625" s="986"/>
      <c r="K625" s="986"/>
      <c r="L625" s="986"/>
      <c r="M625" s="986"/>
      <c r="N625" s="986"/>
      <c r="O625" s="986"/>
      <c r="P625" s="986"/>
      <c r="Q625" s="986"/>
      <c r="R625" s="986"/>
      <c r="S625" s="986"/>
      <c r="T625" s="986"/>
      <c r="U625" s="986"/>
      <c r="V625" s="986"/>
      <c r="W625" s="986"/>
      <c r="X625" s="986"/>
      <c r="Y625" s="986"/>
      <c r="Z625" s="986"/>
      <c r="AA625" s="986"/>
      <c r="AB625" s="986"/>
      <c r="AC625" s="986"/>
      <c r="AD625" s="986"/>
      <c r="AE625" s="986"/>
      <c r="BE625" s="986"/>
      <c r="BF625" s="986"/>
      <c r="BG625" s="986"/>
      <c r="BH625" s="986"/>
      <c r="BI625" s="2997"/>
      <c r="BW625" s="1535"/>
      <c r="BZ625" s="1009"/>
      <c r="CA625" s="1009"/>
    </row>
    <row r="626" spans="2:79">
      <c r="B626" s="986"/>
      <c r="C626" s="986"/>
      <c r="D626" s="986"/>
      <c r="E626" s="986"/>
      <c r="F626" s="986"/>
      <c r="G626" s="986"/>
      <c r="H626" s="986"/>
      <c r="I626" s="986"/>
      <c r="J626" s="986"/>
      <c r="K626" s="986"/>
      <c r="L626" s="986"/>
      <c r="M626" s="986"/>
      <c r="N626" s="986"/>
      <c r="O626" s="986"/>
      <c r="P626" s="986"/>
      <c r="Q626" s="986"/>
      <c r="R626" s="986"/>
      <c r="S626" s="986"/>
      <c r="T626" s="986"/>
      <c r="U626" s="986"/>
      <c r="V626" s="986"/>
      <c r="W626" s="986"/>
      <c r="X626" s="986"/>
      <c r="Y626" s="986"/>
      <c r="Z626" s="986"/>
      <c r="AA626" s="986"/>
      <c r="AB626" s="986"/>
      <c r="AC626" s="986"/>
      <c r="AD626" s="986"/>
      <c r="AE626" s="986"/>
      <c r="BE626" s="986"/>
      <c r="BF626" s="986"/>
      <c r="BG626" s="986"/>
      <c r="BH626" s="986"/>
      <c r="BI626" s="2997"/>
      <c r="BW626" s="1535"/>
      <c r="BZ626" s="1009"/>
      <c r="CA626" s="1009"/>
    </row>
    <row r="627" spans="2:79">
      <c r="B627" s="986"/>
      <c r="C627" s="986"/>
      <c r="D627" s="986"/>
      <c r="E627" s="986"/>
      <c r="F627" s="986"/>
      <c r="G627" s="986"/>
      <c r="H627" s="986"/>
      <c r="I627" s="986"/>
      <c r="J627" s="986"/>
      <c r="K627" s="986"/>
      <c r="L627" s="986"/>
      <c r="M627" s="986"/>
      <c r="N627" s="986"/>
      <c r="O627" s="986"/>
      <c r="P627" s="986"/>
      <c r="Q627" s="986"/>
      <c r="R627" s="986"/>
      <c r="S627" s="986"/>
      <c r="T627" s="986"/>
      <c r="U627" s="986"/>
      <c r="V627" s="986"/>
      <c r="W627" s="986"/>
      <c r="X627" s="986"/>
      <c r="Y627" s="986"/>
      <c r="Z627" s="986"/>
      <c r="AA627" s="986"/>
      <c r="AB627" s="986"/>
      <c r="AC627" s="986"/>
      <c r="AD627" s="986"/>
      <c r="AE627" s="986"/>
      <c r="BE627" s="986"/>
      <c r="BF627" s="986"/>
      <c r="BG627" s="986"/>
      <c r="BI627" s="2997"/>
      <c r="BW627" s="1535"/>
      <c r="BZ627" s="1009"/>
      <c r="CA627" s="1009"/>
    </row>
    <row r="628" spans="2:79">
      <c r="B628" s="986"/>
      <c r="C628" s="986"/>
      <c r="D628" s="986"/>
      <c r="E628" s="986"/>
      <c r="F628" s="986"/>
      <c r="G628" s="986"/>
      <c r="H628" s="986"/>
      <c r="I628" s="986"/>
      <c r="J628" s="986"/>
      <c r="K628" s="986"/>
      <c r="L628" s="986"/>
      <c r="M628" s="986"/>
      <c r="N628" s="986"/>
      <c r="O628" s="986"/>
      <c r="P628" s="986"/>
      <c r="Q628" s="986"/>
      <c r="R628" s="986"/>
      <c r="S628" s="986"/>
      <c r="T628" s="986"/>
      <c r="U628" s="986"/>
      <c r="V628" s="986"/>
      <c r="W628" s="986"/>
      <c r="X628" s="986"/>
      <c r="Y628" s="986"/>
      <c r="Z628" s="986"/>
      <c r="AA628" s="986"/>
      <c r="AB628" s="986"/>
      <c r="AC628" s="986"/>
      <c r="AD628" s="986"/>
      <c r="AE628" s="986"/>
      <c r="BE628" s="986"/>
      <c r="BF628" s="986"/>
      <c r="BG628" s="986"/>
      <c r="BH628" s="986"/>
      <c r="BI628" s="2997"/>
      <c r="BW628" s="986"/>
      <c r="BX628" s="986"/>
      <c r="BY628" s="986"/>
      <c r="BZ628" s="986"/>
      <c r="CA628" s="1009"/>
    </row>
    <row r="629" spans="2:79">
      <c r="B629" s="986"/>
      <c r="C629" s="986"/>
      <c r="D629" s="986"/>
      <c r="E629" s="986"/>
      <c r="F629" s="986"/>
      <c r="G629" s="986"/>
      <c r="H629" s="986"/>
      <c r="I629" s="986"/>
      <c r="J629" s="986"/>
      <c r="K629" s="986"/>
      <c r="L629" s="986"/>
      <c r="M629" s="986"/>
      <c r="N629" s="986"/>
      <c r="O629" s="986"/>
      <c r="P629" s="986"/>
      <c r="Q629" s="986"/>
      <c r="R629" s="986"/>
      <c r="S629" s="986"/>
      <c r="T629" s="986"/>
      <c r="U629" s="986"/>
      <c r="V629" s="986"/>
      <c r="W629" s="986"/>
      <c r="X629" s="986"/>
      <c r="Y629" s="986"/>
      <c r="Z629" s="986"/>
      <c r="AA629" s="986"/>
      <c r="AB629" s="986"/>
      <c r="AC629" s="986"/>
      <c r="AD629" s="986"/>
      <c r="AE629" s="986"/>
      <c r="BE629" s="986"/>
      <c r="BF629" s="986"/>
      <c r="BG629" s="986"/>
      <c r="BH629" s="986"/>
      <c r="BI629" s="2997"/>
      <c r="BW629" s="986"/>
      <c r="BX629" s="986"/>
      <c r="BY629" s="986"/>
      <c r="BZ629" s="986"/>
      <c r="CA629" s="1009"/>
    </row>
    <row r="630" spans="2:79">
      <c r="B630" s="986"/>
      <c r="C630" s="986"/>
      <c r="D630" s="986"/>
      <c r="E630" s="986"/>
      <c r="F630" s="986"/>
      <c r="G630" s="986"/>
      <c r="H630" s="986"/>
      <c r="I630" s="986"/>
      <c r="J630" s="986"/>
      <c r="K630" s="986"/>
      <c r="L630" s="986"/>
      <c r="M630" s="986"/>
      <c r="N630" s="986"/>
      <c r="O630" s="986"/>
      <c r="P630" s="986"/>
      <c r="Q630" s="986"/>
      <c r="R630" s="986"/>
      <c r="S630" s="986"/>
      <c r="T630" s="986"/>
      <c r="U630" s="986"/>
      <c r="V630" s="986"/>
      <c r="W630" s="986"/>
      <c r="X630" s="986"/>
      <c r="Y630" s="986"/>
      <c r="Z630" s="986"/>
      <c r="AA630" s="986"/>
      <c r="AB630" s="986"/>
      <c r="AC630" s="986"/>
      <c r="AD630" s="986"/>
      <c r="AE630" s="986"/>
      <c r="BE630" s="986"/>
      <c r="BF630" s="986"/>
      <c r="BG630" s="986"/>
      <c r="BH630" s="986"/>
      <c r="BI630" s="2997"/>
      <c r="BW630" s="986"/>
      <c r="BX630" s="986"/>
      <c r="BY630" s="986"/>
      <c r="BZ630" s="986"/>
      <c r="CA630" s="1009"/>
    </row>
    <row r="631" spans="2:79">
      <c r="B631" s="986"/>
      <c r="C631" s="986"/>
      <c r="D631" s="986"/>
      <c r="E631" s="986"/>
      <c r="F631" s="986"/>
      <c r="G631" s="986"/>
      <c r="H631" s="986"/>
      <c r="I631" s="986"/>
      <c r="J631" s="986"/>
      <c r="K631" s="986"/>
      <c r="L631" s="986"/>
      <c r="M631" s="986"/>
      <c r="N631" s="986"/>
      <c r="O631" s="986"/>
      <c r="P631" s="986"/>
      <c r="Q631" s="986"/>
      <c r="R631" s="986"/>
      <c r="S631" s="986"/>
      <c r="T631" s="986"/>
      <c r="U631" s="986"/>
      <c r="V631" s="986"/>
      <c r="W631" s="986"/>
      <c r="X631" s="986"/>
      <c r="Y631" s="986"/>
      <c r="Z631" s="986"/>
      <c r="AA631" s="986"/>
      <c r="AB631" s="986"/>
      <c r="AC631" s="986"/>
      <c r="AD631" s="986"/>
      <c r="AE631" s="986"/>
      <c r="BE631" s="986"/>
      <c r="BF631" s="986"/>
      <c r="BG631" s="986"/>
      <c r="BH631" s="986"/>
      <c r="BI631" s="2997"/>
      <c r="BW631" s="986"/>
      <c r="BX631" s="986"/>
      <c r="BY631" s="986"/>
      <c r="BZ631" s="986"/>
      <c r="CA631" s="1009"/>
    </row>
    <row r="632" spans="2:79">
      <c r="B632" s="986"/>
      <c r="C632" s="986"/>
      <c r="D632" s="986"/>
      <c r="E632" s="986"/>
      <c r="F632" s="986"/>
      <c r="G632" s="986"/>
      <c r="H632" s="986"/>
      <c r="I632" s="986"/>
      <c r="J632" s="986"/>
      <c r="K632" s="986"/>
      <c r="L632" s="986"/>
      <c r="M632" s="986"/>
      <c r="N632" s="986"/>
      <c r="O632" s="986"/>
      <c r="P632" s="986"/>
      <c r="Q632" s="986"/>
      <c r="R632" s="986"/>
      <c r="S632" s="986"/>
      <c r="T632" s="986"/>
      <c r="U632" s="986"/>
      <c r="V632" s="986"/>
      <c r="W632" s="986"/>
      <c r="X632" s="986"/>
      <c r="Y632" s="986"/>
      <c r="Z632" s="986"/>
      <c r="AA632" s="986"/>
      <c r="AB632" s="986"/>
      <c r="AC632" s="986"/>
      <c r="AD632" s="986"/>
      <c r="AE632" s="986"/>
      <c r="BE632" s="986"/>
      <c r="BF632" s="986"/>
      <c r="BG632" s="986"/>
      <c r="BH632" s="986"/>
      <c r="BI632" s="2997"/>
      <c r="BW632" s="986"/>
      <c r="BX632" s="986"/>
      <c r="BY632" s="986"/>
      <c r="BZ632" s="986"/>
      <c r="CA632" s="1009"/>
    </row>
    <row r="633" spans="2:79">
      <c r="B633" s="986"/>
      <c r="C633" s="986"/>
      <c r="D633" s="986"/>
      <c r="E633" s="986"/>
      <c r="F633" s="986"/>
      <c r="G633" s="986"/>
      <c r="H633" s="986"/>
      <c r="I633" s="986"/>
      <c r="J633" s="986"/>
      <c r="K633" s="986"/>
      <c r="L633" s="986"/>
      <c r="M633" s="986"/>
      <c r="N633" s="986"/>
      <c r="O633" s="986"/>
      <c r="P633" s="986"/>
      <c r="Q633" s="986"/>
      <c r="R633" s="986"/>
      <c r="S633" s="986"/>
      <c r="T633" s="986"/>
      <c r="U633" s="986"/>
      <c r="V633" s="986"/>
      <c r="W633" s="986"/>
      <c r="X633" s="986"/>
      <c r="Y633" s="986"/>
      <c r="Z633" s="986"/>
      <c r="AA633" s="986"/>
      <c r="AB633" s="986"/>
      <c r="AC633" s="986"/>
      <c r="AD633" s="986"/>
      <c r="AE633" s="986"/>
      <c r="BE633" s="986"/>
      <c r="BF633" s="986"/>
      <c r="BG633" s="986"/>
      <c r="BH633" s="986"/>
      <c r="BI633" s="2997"/>
      <c r="BW633" s="986"/>
      <c r="BX633" s="986"/>
      <c r="BY633" s="986"/>
      <c r="BZ633" s="986"/>
      <c r="CA633" s="1009"/>
    </row>
    <row r="634" spans="2:79">
      <c r="B634" s="986"/>
      <c r="C634" s="986"/>
      <c r="D634" s="986"/>
      <c r="E634" s="986"/>
      <c r="F634" s="986"/>
      <c r="G634" s="986"/>
      <c r="H634" s="986"/>
      <c r="I634" s="986"/>
      <c r="J634" s="986"/>
      <c r="K634" s="986"/>
      <c r="L634" s="986"/>
      <c r="M634" s="986"/>
      <c r="N634" s="986"/>
      <c r="O634" s="986"/>
      <c r="P634" s="986"/>
      <c r="Q634" s="986"/>
      <c r="R634" s="986"/>
      <c r="S634" s="986"/>
      <c r="T634" s="986"/>
      <c r="U634" s="986"/>
      <c r="V634" s="986"/>
      <c r="W634" s="986"/>
      <c r="X634" s="986"/>
      <c r="Y634" s="986"/>
      <c r="Z634" s="986"/>
      <c r="AA634" s="986"/>
      <c r="AB634" s="986"/>
      <c r="AC634" s="986"/>
      <c r="AD634" s="986"/>
      <c r="AE634" s="986"/>
      <c r="BE634" s="986"/>
      <c r="BF634" s="986"/>
      <c r="BG634" s="986"/>
      <c r="BH634" s="986"/>
      <c r="BI634" s="2997"/>
      <c r="BW634" s="986"/>
      <c r="BX634" s="986"/>
      <c r="BY634" s="986"/>
      <c r="BZ634" s="986"/>
      <c r="CA634" s="1009"/>
    </row>
    <row r="635" spans="2:79">
      <c r="B635" s="986"/>
      <c r="C635" s="986"/>
      <c r="D635" s="986"/>
      <c r="E635" s="986"/>
      <c r="F635" s="986"/>
      <c r="G635" s="986"/>
      <c r="H635" s="986"/>
      <c r="I635" s="986"/>
      <c r="J635" s="986"/>
      <c r="K635" s="986"/>
      <c r="L635" s="986"/>
      <c r="M635" s="986"/>
      <c r="N635" s="986"/>
      <c r="O635" s="986"/>
      <c r="P635" s="986"/>
      <c r="Q635" s="986"/>
      <c r="R635" s="986"/>
      <c r="S635" s="986"/>
      <c r="T635" s="986"/>
      <c r="U635" s="986"/>
      <c r="V635" s="986"/>
      <c r="W635" s="986"/>
      <c r="X635" s="986"/>
      <c r="Y635" s="986"/>
      <c r="Z635" s="986"/>
      <c r="AA635" s="986"/>
      <c r="AB635" s="986"/>
      <c r="AC635" s="986"/>
      <c r="AD635" s="986"/>
      <c r="AE635" s="986"/>
      <c r="BE635" s="986"/>
      <c r="BF635" s="986"/>
      <c r="BG635" s="986"/>
      <c r="BH635" s="986"/>
      <c r="BI635" s="2997"/>
      <c r="BW635" s="986"/>
      <c r="BX635" s="986"/>
      <c r="BY635" s="986"/>
      <c r="BZ635" s="986"/>
      <c r="CA635" s="1009"/>
    </row>
    <row r="636" spans="2:79">
      <c r="B636" s="986"/>
      <c r="C636" s="986"/>
      <c r="D636" s="986"/>
      <c r="E636" s="986"/>
      <c r="F636" s="986"/>
      <c r="G636" s="986"/>
      <c r="H636" s="986"/>
      <c r="I636" s="986"/>
      <c r="J636" s="986"/>
      <c r="K636" s="986"/>
      <c r="L636" s="986"/>
      <c r="M636" s="986"/>
      <c r="N636" s="986"/>
      <c r="O636" s="986"/>
      <c r="P636" s="986"/>
      <c r="Q636" s="986"/>
      <c r="R636" s="986"/>
      <c r="S636" s="986"/>
      <c r="T636" s="986"/>
      <c r="U636" s="986"/>
      <c r="V636" s="986"/>
      <c r="W636" s="986"/>
      <c r="X636" s="986"/>
      <c r="Y636" s="986"/>
      <c r="Z636" s="986"/>
      <c r="AA636" s="986"/>
      <c r="AB636" s="986"/>
      <c r="AC636" s="986"/>
      <c r="AD636" s="986"/>
      <c r="AE636" s="986"/>
      <c r="BE636" s="986"/>
      <c r="BF636" s="986"/>
      <c r="BG636" s="986"/>
      <c r="BH636" s="986"/>
      <c r="BI636" s="2997"/>
      <c r="BW636" s="986"/>
      <c r="BX636" s="986"/>
      <c r="BY636" s="986"/>
      <c r="BZ636" s="986"/>
      <c r="CA636" s="1009"/>
    </row>
    <row r="637" spans="2:79">
      <c r="B637" s="986"/>
      <c r="C637" s="986"/>
      <c r="D637" s="986"/>
      <c r="E637" s="986"/>
      <c r="F637" s="986"/>
      <c r="G637" s="986"/>
      <c r="H637" s="986"/>
      <c r="I637" s="986"/>
      <c r="J637" s="986"/>
      <c r="K637" s="986"/>
      <c r="L637" s="986"/>
      <c r="M637" s="986"/>
      <c r="N637" s="986"/>
      <c r="O637" s="986"/>
      <c r="P637" s="986"/>
      <c r="Q637" s="986"/>
      <c r="R637" s="986"/>
      <c r="S637" s="986"/>
      <c r="T637" s="986"/>
      <c r="U637" s="986"/>
      <c r="V637" s="986"/>
      <c r="W637" s="986"/>
      <c r="X637" s="986"/>
      <c r="Y637" s="986"/>
      <c r="Z637" s="986"/>
      <c r="AA637" s="986"/>
      <c r="AB637" s="986"/>
      <c r="AC637" s="986"/>
      <c r="AD637" s="986"/>
      <c r="AE637" s="986"/>
      <c r="BE637" s="986"/>
      <c r="BF637" s="986"/>
      <c r="BG637" s="986"/>
      <c r="BH637" s="986"/>
      <c r="BI637" s="2997"/>
      <c r="BW637" s="986"/>
      <c r="BX637" s="986"/>
      <c r="BY637" s="986"/>
      <c r="BZ637" s="986"/>
      <c r="CA637" s="1009"/>
    </row>
    <row r="638" spans="2:79">
      <c r="B638" s="986"/>
      <c r="C638" s="986"/>
      <c r="D638" s="986"/>
      <c r="E638" s="986"/>
      <c r="F638" s="986"/>
      <c r="G638" s="986"/>
      <c r="H638" s="986"/>
      <c r="I638" s="986"/>
      <c r="J638" s="986"/>
      <c r="K638" s="986"/>
      <c r="L638" s="986"/>
      <c r="M638" s="986"/>
      <c r="N638" s="986"/>
      <c r="O638" s="986"/>
      <c r="P638" s="986"/>
      <c r="Q638" s="986"/>
      <c r="R638" s="986"/>
      <c r="S638" s="986"/>
      <c r="T638" s="986"/>
      <c r="U638" s="986"/>
      <c r="V638" s="986"/>
      <c r="W638" s="986"/>
      <c r="X638" s="986"/>
      <c r="Y638" s="986"/>
      <c r="Z638" s="986"/>
      <c r="AA638" s="986"/>
      <c r="AB638" s="986"/>
      <c r="AC638" s="986"/>
      <c r="AD638" s="986"/>
      <c r="AE638" s="986"/>
      <c r="BE638" s="986"/>
      <c r="BF638" s="986"/>
      <c r="BG638" s="986"/>
      <c r="BH638" s="986"/>
      <c r="BI638" s="2997"/>
      <c r="BW638" s="986"/>
      <c r="BX638" s="986"/>
      <c r="BY638" s="986"/>
      <c r="BZ638" s="986"/>
      <c r="CA638" s="1009"/>
    </row>
    <row r="639" spans="2:79">
      <c r="B639" s="986"/>
      <c r="C639" s="986"/>
      <c r="D639" s="986"/>
      <c r="E639" s="986"/>
      <c r="F639" s="986"/>
      <c r="G639" s="986"/>
      <c r="H639" s="986"/>
      <c r="I639" s="986"/>
      <c r="J639" s="986"/>
      <c r="K639" s="986"/>
      <c r="L639" s="986"/>
      <c r="M639" s="986"/>
      <c r="N639" s="986"/>
      <c r="O639" s="986"/>
      <c r="P639" s="986"/>
      <c r="Q639" s="986"/>
      <c r="R639" s="986"/>
      <c r="S639" s="986"/>
      <c r="T639" s="986"/>
      <c r="U639" s="986"/>
      <c r="V639" s="986"/>
      <c r="W639" s="986"/>
      <c r="X639" s="986"/>
      <c r="Y639" s="986"/>
      <c r="Z639" s="986"/>
      <c r="AA639" s="986"/>
      <c r="AB639" s="986"/>
      <c r="AC639" s="986"/>
      <c r="AD639" s="986"/>
      <c r="AE639" s="986"/>
      <c r="BE639" s="986"/>
      <c r="BF639" s="986"/>
      <c r="BG639" s="986"/>
      <c r="BH639" s="986"/>
      <c r="BI639" s="2997"/>
      <c r="BW639" s="986"/>
      <c r="BX639" s="986"/>
      <c r="BY639" s="986"/>
      <c r="BZ639" s="986"/>
      <c r="CA639" s="1009"/>
    </row>
    <row r="640" spans="2:79">
      <c r="B640" s="986"/>
      <c r="C640" s="986"/>
      <c r="D640" s="986"/>
      <c r="E640" s="986"/>
      <c r="F640" s="986"/>
      <c r="G640" s="986"/>
      <c r="H640" s="986"/>
      <c r="I640" s="986"/>
      <c r="J640" s="986"/>
      <c r="K640" s="986"/>
      <c r="L640" s="986"/>
      <c r="M640" s="986"/>
      <c r="N640" s="986"/>
      <c r="O640" s="986"/>
      <c r="P640" s="986"/>
      <c r="Q640" s="986"/>
      <c r="R640" s="986"/>
      <c r="S640" s="986"/>
      <c r="T640" s="986"/>
      <c r="U640" s="986"/>
      <c r="V640" s="986"/>
      <c r="W640" s="986"/>
      <c r="X640" s="986"/>
      <c r="Y640" s="986"/>
      <c r="Z640" s="986"/>
      <c r="AA640" s="986"/>
      <c r="AB640" s="986"/>
      <c r="AC640" s="986"/>
      <c r="AD640" s="986"/>
      <c r="AE640" s="986"/>
      <c r="BE640" s="986"/>
      <c r="BF640" s="986"/>
      <c r="BG640" s="986"/>
      <c r="BH640" s="986"/>
      <c r="BI640" s="2997"/>
      <c r="BW640" s="986"/>
      <c r="BX640" s="986"/>
      <c r="BY640" s="986"/>
      <c r="BZ640" s="986"/>
      <c r="CA640" s="1009"/>
    </row>
    <row r="641" spans="2:79">
      <c r="B641" s="986"/>
      <c r="C641" s="986"/>
      <c r="D641" s="986"/>
      <c r="E641" s="986"/>
      <c r="F641" s="986"/>
      <c r="G641" s="986"/>
      <c r="H641" s="986"/>
      <c r="I641" s="986"/>
      <c r="J641" s="986"/>
      <c r="K641" s="986"/>
      <c r="L641" s="986"/>
      <c r="M641" s="986"/>
      <c r="N641" s="986"/>
      <c r="O641" s="986"/>
      <c r="P641" s="986"/>
      <c r="Q641" s="986"/>
      <c r="R641" s="986"/>
      <c r="S641" s="986"/>
      <c r="T641" s="986"/>
      <c r="U641" s="986"/>
      <c r="V641" s="986"/>
      <c r="W641" s="986"/>
      <c r="X641" s="986"/>
      <c r="Y641" s="986"/>
      <c r="Z641" s="986"/>
      <c r="AA641" s="986"/>
      <c r="AB641" s="986"/>
      <c r="AC641" s="986"/>
      <c r="AD641" s="986"/>
      <c r="AE641" s="986"/>
      <c r="BE641" s="986"/>
      <c r="BF641" s="986"/>
      <c r="BG641" s="986"/>
      <c r="BH641" s="986"/>
      <c r="BI641" s="2997"/>
      <c r="BW641" s="986"/>
      <c r="BX641" s="986"/>
      <c r="BY641" s="986"/>
      <c r="BZ641" s="986"/>
      <c r="CA641" s="1009"/>
    </row>
    <row r="642" spans="2:79">
      <c r="B642" s="986"/>
      <c r="C642" s="986"/>
      <c r="D642" s="986"/>
      <c r="E642" s="986"/>
      <c r="F642" s="986"/>
      <c r="G642" s="986"/>
      <c r="H642" s="986"/>
      <c r="I642" s="986"/>
      <c r="J642" s="986"/>
      <c r="K642" s="986"/>
      <c r="L642" s="986"/>
      <c r="M642" s="986"/>
      <c r="N642" s="986"/>
      <c r="O642" s="986"/>
      <c r="P642" s="986"/>
      <c r="Q642" s="986"/>
      <c r="R642" s="986"/>
      <c r="S642" s="986"/>
      <c r="T642" s="986"/>
      <c r="U642" s="986"/>
      <c r="V642" s="986"/>
      <c r="W642" s="986"/>
      <c r="X642" s="986"/>
      <c r="Y642" s="986"/>
      <c r="Z642" s="986"/>
      <c r="AA642" s="986"/>
      <c r="AB642" s="986"/>
      <c r="AC642" s="986"/>
      <c r="AD642" s="986"/>
      <c r="AE642" s="986"/>
      <c r="BE642" s="986"/>
      <c r="BF642" s="986"/>
      <c r="BG642" s="986"/>
      <c r="BH642" s="986"/>
      <c r="BI642" s="2997"/>
      <c r="BW642" s="986"/>
      <c r="BX642" s="986"/>
      <c r="BY642" s="986"/>
      <c r="BZ642" s="986"/>
      <c r="CA642" s="1009"/>
    </row>
    <row r="643" spans="2:79">
      <c r="B643" s="986"/>
      <c r="C643" s="986"/>
      <c r="D643" s="986"/>
      <c r="E643" s="986"/>
      <c r="F643" s="986"/>
      <c r="G643" s="986"/>
      <c r="H643" s="986"/>
      <c r="I643" s="986"/>
      <c r="J643" s="986"/>
      <c r="K643" s="986"/>
      <c r="L643" s="986"/>
      <c r="M643" s="986"/>
      <c r="N643" s="986"/>
      <c r="O643" s="986"/>
      <c r="P643" s="986"/>
      <c r="Q643" s="986"/>
      <c r="R643" s="986"/>
      <c r="S643" s="986"/>
      <c r="T643" s="986"/>
      <c r="U643" s="986"/>
      <c r="V643" s="986"/>
      <c r="W643" s="986"/>
      <c r="X643" s="986"/>
      <c r="Y643" s="986"/>
      <c r="Z643" s="986"/>
      <c r="AA643" s="986"/>
      <c r="AB643" s="986"/>
      <c r="AC643" s="986"/>
      <c r="AD643" s="986"/>
      <c r="AE643" s="986"/>
      <c r="BE643" s="986"/>
      <c r="BF643" s="986"/>
      <c r="BG643" s="986"/>
      <c r="BH643" s="986"/>
      <c r="BI643" s="2997"/>
      <c r="BW643" s="986"/>
      <c r="BX643" s="986"/>
      <c r="BY643" s="986"/>
      <c r="BZ643" s="986"/>
      <c r="CA643" s="1009"/>
    </row>
    <row r="644" spans="2:79">
      <c r="B644" s="986"/>
      <c r="C644" s="986"/>
      <c r="D644" s="986"/>
      <c r="E644" s="986"/>
      <c r="F644" s="986"/>
      <c r="G644" s="986"/>
      <c r="H644" s="986"/>
      <c r="I644" s="986"/>
      <c r="J644" s="986"/>
      <c r="K644" s="986"/>
      <c r="L644" s="986"/>
      <c r="M644" s="986"/>
      <c r="N644" s="986"/>
      <c r="O644" s="986"/>
      <c r="P644" s="986"/>
      <c r="Q644" s="986"/>
      <c r="R644" s="986"/>
      <c r="S644" s="986"/>
      <c r="T644" s="986"/>
      <c r="U644" s="986"/>
      <c r="V644" s="986"/>
      <c r="W644" s="986"/>
      <c r="X644" s="986"/>
      <c r="Y644" s="986"/>
      <c r="Z644" s="986"/>
      <c r="AA644" s="986"/>
      <c r="AB644" s="986"/>
      <c r="AC644" s="986"/>
      <c r="AD644" s="986"/>
      <c r="AE644" s="986"/>
      <c r="BE644" s="986"/>
      <c r="BF644" s="986"/>
      <c r="BG644" s="986"/>
      <c r="BH644" s="986"/>
      <c r="BI644" s="2997"/>
      <c r="BW644" s="986"/>
      <c r="BX644" s="986"/>
      <c r="BY644" s="986"/>
      <c r="BZ644" s="986"/>
      <c r="CA644" s="1009"/>
    </row>
    <row r="645" spans="2:79">
      <c r="B645" s="986"/>
      <c r="C645" s="986"/>
      <c r="D645" s="986"/>
      <c r="E645" s="986"/>
      <c r="F645" s="986"/>
      <c r="G645" s="986"/>
      <c r="H645" s="986"/>
      <c r="I645" s="986"/>
      <c r="J645" s="986"/>
      <c r="K645" s="986"/>
      <c r="L645" s="986"/>
      <c r="M645" s="986"/>
      <c r="N645" s="986"/>
      <c r="O645" s="986"/>
      <c r="P645" s="986"/>
      <c r="Q645" s="986"/>
      <c r="R645" s="986"/>
      <c r="S645" s="986"/>
      <c r="T645" s="986"/>
      <c r="U645" s="986"/>
      <c r="V645" s="986"/>
      <c r="W645" s="986"/>
      <c r="X645" s="986"/>
      <c r="Y645" s="986"/>
      <c r="Z645" s="986"/>
      <c r="AA645" s="986"/>
      <c r="AB645" s="986"/>
      <c r="AC645" s="986"/>
      <c r="AD645" s="986"/>
      <c r="AE645" s="986"/>
      <c r="BE645" s="986"/>
      <c r="BF645" s="986"/>
      <c r="BG645" s="986"/>
      <c r="BH645" s="986"/>
      <c r="BI645" s="2997"/>
      <c r="BW645" s="986"/>
      <c r="BX645" s="986"/>
      <c r="BY645" s="986"/>
      <c r="BZ645" s="986"/>
      <c r="CA645" s="1009"/>
    </row>
    <row r="646" spans="2:79">
      <c r="B646" s="986"/>
      <c r="C646" s="986"/>
      <c r="D646" s="986"/>
      <c r="E646" s="986"/>
      <c r="F646" s="986"/>
      <c r="G646" s="986"/>
      <c r="H646" s="986"/>
      <c r="I646" s="986"/>
      <c r="J646" s="986"/>
      <c r="K646" s="986"/>
      <c r="L646" s="986"/>
      <c r="M646" s="986"/>
      <c r="N646" s="986"/>
      <c r="O646" s="986"/>
      <c r="P646" s="986"/>
      <c r="Q646" s="986"/>
      <c r="R646" s="986"/>
      <c r="S646" s="986"/>
      <c r="T646" s="986"/>
      <c r="U646" s="986"/>
      <c r="V646" s="986"/>
      <c r="W646" s="986"/>
      <c r="X646" s="986"/>
      <c r="Y646" s="986"/>
      <c r="Z646" s="986"/>
      <c r="AA646" s="986"/>
      <c r="AB646" s="986"/>
      <c r="AC646" s="986"/>
      <c r="AD646" s="986"/>
      <c r="AE646" s="986"/>
      <c r="BE646" s="986"/>
      <c r="BF646" s="986"/>
      <c r="BG646" s="986"/>
      <c r="BH646" s="986"/>
      <c r="BI646" s="2997"/>
      <c r="BW646" s="986"/>
      <c r="BX646" s="986"/>
      <c r="BY646" s="986"/>
      <c r="BZ646" s="986"/>
      <c r="CA646" s="1009"/>
    </row>
    <row r="647" spans="2:79">
      <c r="B647" s="986"/>
      <c r="C647" s="986"/>
      <c r="D647" s="986"/>
      <c r="E647" s="986"/>
      <c r="F647" s="986"/>
      <c r="G647" s="986"/>
      <c r="H647" s="986"/>
      <c r="I647" s="986"/>
      <c r="J647" s="986"/>
      <c r="K647" s="986"/>
      <c r="L647" s="986"/>
      <c r="M647" s="986"/>
      <c r="N647" s="986"/>
      <c r="O647" s="986"/>
      <c r="P647" s="986"/>
      <c r="Q647" s="986"/>
      <c r="R647" s="986"/>
      <c r="S647" s="986"/>
      <c r="T647" s="986"/>
      <c r="U647" s="986"/>
      <c r="V647" s="986"/>
      <c r="W647" s="986"/>
      <c r="X647" s="986"/>
      <c r="Y647" s="986"/>
      <c r="Z647" s="986"/>
      <c r="AA647" s="986"/>
      <c r="AB647" s="986"/>
      <c r="AC647" s="986"/>
      <c r="AD647" s="986"/>
      <c r="AE647" s="986"/>
      <c r="BE647" s="986"/>
      <c r="BF647" s="986"/>
      <c r="BG647" s="986"/>
      <c r="BH647" s="986"/>
      <c r="BI647" s="2997"/>
      <c r="BW647" s="986"/>
      <c r="BX647" s="986"/>
      <c r="BY647" s="986"/>
      <c r="BZ647" s="986"/>
      <c r="CA647" s="1009"/>
    </row>
    <row r="648" spans="2:79">
      <c r="B648" s="986"/>
      <c r="C648" s="986"/>
      <c r="D648" s="986"/>
      <c r="E648" s="986"/>
      <c r="F648" s="986"/>
      <c r="G648" s="986"/>
      <c r="H648" s="986"/>
      <c r="I648" s="986"/>
      <c r="J648" s="986"/>
      <c r="K648" s="986"/>
      <c r="L648" s="986"/>
      <c r="M648" s="986"/>
      <c r="N648" s="986"/>
      <c r="O648" s="986"/>
      <c r="P648" s="986"/>
      <c r="Q648" s="986"/>
      <c r="R648" s="986"/>
      <c r="S648" s="986"/>
      <c r="T648" s="986"/>
      <c r="U648" s="986"/>
      <c r="V648" s="986"/>
      <c r="W648" s="986"/>
      <c r="X648" s="986"/>
      <c r="Y648" s="986"/>
      <c r="Z648" s="986"/>
      <c r="AA648" s="986"/>
      <c r="AB648" s="986"/>
      <c r="AC648" s="986"/>
      <c r="AD648" s="986"/>
      <c r="AE648" s="986"/>
      <c r="BE648" s="986"/>
      <c r="BF648" s="986"/>
      <c r="BG648" s="986"/>
      <c r="BH648" s="986"/>
      <c r="BI648" s="2997"/>
      <c r="BW648" s="986"/>
      <c r="BX648" s="986"/>
      <c r="BY648" s="986"/>
      <c r="BZ648" s="986"/>
      <c r="CA648" s="1009"/>
    </row>
    <row r="649" spans="2:79">
      <c r="B649" s="986"/>
      <c r="C649" s="986"/>
      <c r="D649" s="986"/>
      <c r="E649" s="986"/>
      <c r="F649" s="986"/>
      <c r="G649" s="986"/>
      <c r="H649" s="986"/>
      <c r="I649" s="986"/>
      <c r="J649" s="986"/>
      <c r="K649" s="986"/>
      <c r="L649" s="986"/>
      <c r="M649" s="986"/>
      <c r="N649" s="986"/>
      <c r="O649" s="986"/>
      <c r="P649" s="986"/>
      <c r="Q649" s="986"/>
      <c r="R649" s="986"/>
      <c r="S649" s="986"/>
      <c r="T649" s="986"/>
      <c r="U649" s="986"/>
      <c r="V649" s="986"/>
      <c r="W649" s="986"/>
      <c r="X649" s="986"/>
      <c r="Y649" s="986"/>
      <c r="Z649" s="986"/>
      <c r="AA649" s="986"/>
      <c r="AB649" s="986"/>
      <c r="AC649" s="986"/>
      <c r="AD649" s="986"/>
      <c r="AE649" s="986"/>
      <c r="BE649" s="986"/>
      <c r="BF649" s="986"/>
      <c r="BG649" s="986"/>
      <c r="BH649" s="986"/>
      <c r="BI649" s="2997"/>
      <c r="BW649" s="986"/>
      <c r="BX649" s="986"/>
      <c r="BY649" s="986"/>
      <c r="BZ649" s="986"/>
      <c r="CA649" s="1009"/>
    </row>
    <row r="650" spans="2:79">
      <c r="B650" s="986"/>
      <c r="C650" s="986"/>
      <c r="D650" s="986"/>
      <c r="E650" s="986"/>
      <c r="F650" s="986"/>
      <c r="G650" s="986"/>
      <c r="H650" s="986"/>
      <c r="I650" s="986"/>
      <c r="J650" s="986"/>
      <c r="K650" s="986"/>
      <c r="L650" s="986"/>
      <c r="M650" s="986"/>
      <c r="N650" s="986"/>
      <c r="O650" s="986"/>
      <c r="P650" s="986"/>
      <c r="Q650" s="986"/>
      <c r="R650" s="986"/>
      <c r="S650" s="986"/>
      <c r="T650" s="986"/>
      <c r="U650" s="986"/>
      <c r="V650" s="986"/>
      <c r="W650" s="986"/>
      <c r="X650" s="986"/>
      <c r="Y650" s="986"/>
      <c r="Z650" s="986"/>
      <c r="AA650" s="986"/>
      <c r="AB650" s="986"/>
      <c r="AC650" s="986"/>
      <c r="AD650" s="986"/>
      <c r="AE650" s="986"/>
      <c r="BE650" s="986"/>
      <c r="BF650" s="986"/>
      <c r="BG650" s="986"/>
      <c r="BH650" s="986"/>
      <c r="BI650" s="2997"/>
      <c r="BW650" s="986"/>
      <c r="BX650" s="986"/>
      <c r="BY650" s="986"/>
      <c r="BZ650" s="986"/>
      <c r="CA650" s="1009"/>
    </row>
    <row r="651" spans="2:79">
      <c r="B651" s="986"/>
      <c r="C651" s="986"/>
      <c r="D651" s="986"/>
      <c r="E651" s="986"/>
      <c r="F651" s="986"/>
      <c r="G651" s="986"/>
      <c r="H651" s="986"/>
      <c r="I651" s="986"/>
      <c r="J651" s="986"/>
      <c r="K651" s="986"/>
      <c r="L651" s="986"/>
      <c r="M651" s="986"/>
      <c r="N651" s="986"/>
      <c r="O651" s="986"/>
      <c r="P651" s="986"/>
      <c r="Q651" s="986"/>
      <c r="R651" s="986"/>
      <c r="S651" s="986"/>
      <c r="T651" s="986"/>
      <c r="U651" s="986"/>
      <c r="V651" s="986"/>
      <c r="W651" s="986"/>
      <c r="X651" s="986"/>
      <c r="Y651" s="986"/>
      <c r="Z651" s="986"/>
      <c r="AA651" s="986"/>
      <c r="AB651" s="986"/>
      <c r="AC651" s="986"/>
      <c r="AD651" s="986"/>
      <c r="AE651" s="986"/>
      <c r="BE651" s="986"/>
      <c r="BF651" s="986"/>
      <c r="BG651" s="986"/>
      <c r="BH651" s="986"/>
      <c r="BI651" s="2997"/>
      <c r="BW651" s="986"/>
      <c r="BX651" s="986"/>
      <c r="BY651" s="986"/>
      <c r="BZ651" s="986"/>
      <c r="CA651" s="1009"/>
    </row>
    <row r="652" spans="2:79">
      <c r="B652" s="986"/>
      <c r="C652" s="986"/>
      <c r="D652" s="986"/>
      <c r="E652" s="986"/>
      <c r="F652" s="986"/>
      <c r="G652" s="986"/>
      <c r="H652" s="986"/>
      <c r="I652" s="986"/>
      <c r="J652" s="986"/>
      <c r="K652" s="986"/>
      <c r="L652" s="986"/>
      <c r="M652" s="986"/>
      <c r="N652" s="986"/>
      <c r="O652" s="986"/>
      <c r="P652" s="986"/>
      <c r="Q652" s="986"/>
      <c r="R652" s="986"/>
      <c r="S652" s="986"/>
      <c r="T652" s="986"/>
      <c r="U652" s="986"/>
      <c r="V652" s="986"/>
      <c r="W652" s="986"/>
      <c r="X652" s="986"/>
      <c r="Y652" s="986"/>
      <c r="Z652" s="986"/>
      <c r="AA652" s="986"/>
      <c r="AB652" s="986"/>
      <c r="AC652" s="986"/>
      <c r="AD652" s="986"/>
      <c r="AE652" s="986"/>
      <c r="BE652" s="986"/>
      <c r="BF652" s="986"/>
      <c r="BG652" s="986"/>
      <c r="BH652" s="986"/>
      <c r="BI652" s="2997"/>
      <c r="BW652" s="986"/>
      <c r="BX652" s="986"/>
      <c r="BY652" s="986"/>
      <c r="BZ652" s="986"/>
      <c r="CA652" s="1009"/>
    </row>
    <row r="653" spans="2:79">
      <c r="B653" s="986"/>
      <c r="C653" s="986"/>
      <c r="D653" s="986"/>
      <c r="E653" s="986"/>
      <c r="F653" s="986"/>
      <c r="G653" s="986"/>
      <c r="H653" s="986"/>
      <c r="I653" s="986"/>
      <c r="J653" s="986"/>
      <c r="K653" s="986"/>
      <c r="L653" s="986"/>
      <c r="M653" s="986"/>
      <c r="N653" s="986"/>
      <c r="O653" s="986"/>
      <c r="P653" s="986"/>
      <c r="Q653" s="986"/>
      <c r="R653" s="986"/>
      <c r="S653" s="986"/>
      <c r="T653" s="986"/>
      <c r="U653" s="986"/>
      <c r="V653" s="986"/>
      <c r="W653" s="986"/>
      <c r="X653" s="986"/>
      <c r="Y653" s="986"/>
      <c r="Z653" s="986"/>
      <c r="AA653" s="986"/>
      <c r="AB653" s="986"/>
      <c r="AC653" s="986"/>
      <c r="AD653" s="986"/>
      <c r="AE653" s="986"/>
      <c r="BE653" s="986"/>
      <c r="BF653" s="986"/>
      <c r="BG653" s="986"/>
      <c r="BH653" s="986"/>
      <c r="BI653" s="2997"/>
      <c r="BW653" s="986"/>
      <c r="BX653" s="986"/>
      <c r="BY653" s="986"/>
      <c r="BZ653" s="986"/>
      <c r="CA653" s="1009"/>
    </row>
    <row r="654" spans="2:79">
      <c r="B654" s="986"/>
      <c r="C654" s="986"/>
      <c r="D654" s="986"/>
      <c r="E654" s="986"/>
      <c r="F654" s="986"/>
      <c r="G654" s="986"/>
      <c r="H654" s="986"/>
      <c r="I654" s="986"/>
      <c r="J654" s="986"/>
      <c r="K654" s="986"/>
      <c r="L654" s="986"/>
      <c r="M654" s="986"/>
      <c r="N654" s="986"/>
      <c r="O654" s="986"/>
      <c r="P654" s="986"/>
      <c r="Q654" s="986"/>
      <c r="R654" s="986"/>
      <c r="S654" s="986"/>
      <c r="T654" s="986"/>
      <c r="U654" s="986"/>
      <c r="V654" s="986"/>
      <c r="W654" s="986"/>
      <c r="X654" s="986"/>
      <c r="Y654" s="986"/>
      <c r="Z654" s="986"/>
      <c r="AA654" s="986"/>
      <c r="AB654" s="986"/>
      <c r="AC654" s="986"/>
      <c r="AD654" s="986"/>
      <c r="AE654" s="986"/>
      <c r="BE654" s="986"/>
      <c r="BF654" s="986"/>
      <c r="BG654" s="986"/>
      <c r="BH654" s="986"/>
      <c r="BI654" s="2997"/>
      <c r="BW654" s="986"/>
      <c r="BX654" s="986"/>
      <c r="BY654" s="986"/>
      <c r="BZ654" s="986"/>
      <c r="CA654" s="1009"/>
    </row>
    <row r="655" spans="2:79">
      <c r="B655" s="986"/>
      <c r="C655" s="986"/>
      <c r="D655" s="986"/>
      <c r="E655" s="986"/>
      <c r="F655" s="986"/>
      <c r="G655" s="986"/>
      <c r="H655" s="986"/>
      <c r="I655" s="986"/>
      <c r="J655" s="986"/>
      <c r="K655" s="986"/>
      <c r="L655" s="986"/>
      <c r="M655" s="986"/>
      <c r="N655" s="986"/>
      <c r="O655" s="986"/>
      <c r="P655" s="986"/>
      <c r="Q655" s="986"/>
      <c r="R655" s="986"/>
      <c r="S655" s="986"/>
      <c r="T655" s="986"/>
      <c r="U655" s="986"/>
      <c r="V655" s="986"/>
      <c r="W655" s="986"/>
      <c r="X655" s="986"/>
      <c r="Y655" s="986"/>
      <c r="Z655" s="986"/>
      <c r="AA655" s="986"/>
      <c r="AB655" s="986"/>
      <c r="AC655" s="986"/>
      <c r="AD655" s="986"/>
      <c r="AE655" s="986"/>
      <c r="BE655" s="986"/>
      <c r="BF655" s="986"/>
      <c r="BG655" s="986"/>
      <c r="BH655" s="986"/>
      <c r="BI655" s="2997"/>
      <c r="BW655" s="986"/>
      <c r="BX655" s="986"/>
      <c r="BY655" s="986"/>
      <c r="BZ655" s="986"/>
      <c r="CA655" s="1009"/>
    </row>
    <row r="656" spans="2:79">
      <c r="B656" s="986"/>
      <c r="C656" s="986"/>
      <c r="D656" s="986"/>
      <c r="E656" s="986"/>
      <c r="F656" s="986"/>
      <c r="G656" s="986"/>
      <c r="H656" s="986"/>
      <c r="I656" s="986"/>
      <c r="J656" s="986"/>
      <c r="K656" s="986"/>
      <c r="L656" s="986"/>
      <c r="M656" s="986"/>
      <c r="N656" s="986"/>
      <c r="O656" s="986"/>
      <c r="P656" s="986"/>
      <c r="Q656" s="986"/>
      <c r="R656" s="986"/>
      <c r="S656" s="986"/>
      <c r="T656" s="986"/>
      <c r="U656" s="986"/>
      <c r="V656" s="986"/>
      <c r="W656" s="986"/>
      <c r="X656" s="986"/>
      <c r="Y656" s="986"/>
      <c r="Z656" s="986"/>
      <c r="AA656" s="986"/>
      <c r="AB656" s="986"/>
      <c r="AC656" s="986"/>
      <c r="AD656" s="986"/>
      <c r="AE656" s="986"/>
      <c r="BE656" s="986"/>
      <c r="BF656" s="986"/>
      <c r="BG656" s="986"/>
      <c r="BH656" s="986"/>
      <c r="BI656" s="2997"/>
      <c r="BW656" s="986"/>
      <c r="BX656" s="986"/>
      <c r="BY656" s="986"/>
      <c r="BZ656" s="986"/>
      <c r="CA656" s="1009"/>
    </row>
    <row r="657" spans="2:79">
      <c r="B657" s="986"/>
      <c r="C657" s="986"/>
      <c r="D657" s="986"/>
      <c r="E657" s="986"/>
      <c r="F657" s="986"/>
      <c r="G657" s="986"/>
      <c r="H657" s="986"/>
      <c r="I657" s="986"/>
      <c r="J657" s="986"/>
      <c r="K657" s="986"/>
      <c r="L657" s="986"/>
      <c r="M657" s="986"/>
      <c r="N657" s="986"/>
      <c r="O657" s="986"/>
      <c r="P657" s="986"/>
      <c r="Q657" s="986"/>
      <c r="R657" s="986"/>
      <c r="S657" s="986"/>
      <c r="T657" s="986"/>
      <c r="U657" s="986"/>
      <c r="V657" s="986"/>
      <c r="W657" s="986"/>
      <c r="X657" s="986"/>
      <c r="Y657" s="986"/>
      <c r="Z657" s="986"/>
      <c r="AA657" s="986"/>
      <c r="AB657" s="986"/>
      <c r="AC657" s="986"/>
      <c r="AD657" s="986"/>
      <c r="AE657" s="986"/>
      <c r="BE657" s="986"/>
      <c r="BF657" s="986"/>
      <c r="BG657" s="986"/>
      <c r="BH657" s="986"/>
      <c r="BI657" s="2997"/>
      <c r="BW657" s="986"/>
      <c r="BX657" s="986"/>
      <c r="BY657" s="986"/>
      <c r="BZ657" s="986"/>
      <c r="CA657" s="1009"/>
    </row>
    <row r="658" spans="2:79">
      <c r="B658" s="986"/>
      <c r="C658" s="986"/>
      <c r="D658" s="986"/>
      <c r="E658" s="986"/>
      <c r="F658" s="986"/>
      <c r="G658" s="986"/>
      <c r="H658" s="986"/>
      <c r="I658" s="986"/>
      <c r="J658" s="986"/>
      <c r="K658" s="986"/>
      <c r="L658" s="986"/>
      <c r="M658" s="986"/>
      <c r="N658" s="986"/>
      <c r="O658" s="986"/>
      <c r="P658" s="986"/>
      <c r="Q658" s="986"/>
      <c r="R658" s="986"/>
      <c r="S658" s="986"/>
      <c r="T658" s="986"/>
      <c r="U658" s="986"/>
      <c r="V658" s="986"/>
      <c r="W658" s="986"/>
      <c r="X658" s="986"/>
      <c r="Y658" s="986"/>
      <c r="Z658" s="986"/>
      <c r="AA658" s="986"/>
      <c r="AB658" s="986"/>
      <c r="AC658" s="986"/>
      <c r="AD658" s="986"/>
      <c r="AE658" s="986"/>
      <c r="BE658" s="986"/>
      <c r="BF658" s="986"/>
      <c r="BG658" s="986"/>
      <c r="BH658" s="986"/>
      <c r="BI658" s="2997"/>
      <c r="BW658" s="986"/>
      <c r="BX658" s="986"/>
      <c r="BY658" s="986"/>
      <c r="BZ658" s="986"/>
      <c r="CA658" s="1009"/>
    </row>
    <row r="659" spans="2:79">
      <c r="B659" s="986"/>
      <c r="C659" s="986"/>
      <c r="D659" s="986"/>
      <c r="E659" s="986"/>
      <c r="F659" s="986"/>
      <c r="G659" s="986"/>
      <c r="H659" s="986"/>
      <c r="I659" s="986"/>
      <c r="J659" s="986"/>
      <c r="K659" s="986"/>
      <c r="L659" s="986"/>
      <c r="M659" s="986"/>
      <c r="N659" s="986"/>
      <c r="O659" s="986"/>
      <c r="P659" s="986"/>
      <c r="Q659" s="986"/>
      <c r="R659" s="986"/>
      <c r="S659" s="986"/>
      <c r="T659" s="986"/>
      <c r="U659" s="986"/>
      <c r="V659" s="986"/>
      <c r="W659" s="986"/>
      <c r="X659" s="986"/>
      <c r="Y659" s="986"/>
      <c r="Z659" s="986"/>
      <c r="AA659" s="986"/>
      <c r="AB659" s="986"/>
      <c r="AC659" s="986"/>
      <c r="AD659" s="986"/>
      <c r="AE659" s="986"/>
      <c r="BE659" s="986"/>
      <c r="BF659" s="986"/>
      <c r="BG659" s="986"/>
      <c r="BH659" s="986"/>
      <c r="BI659" s="2997"/>
      <c r="BW659" s="986"/>
      <c r="BX659" s="986"/>
      <c r="BY659" s="986"/>
      <c r="BZ659" s="986"/>
      <c r="CA659" s="1009"/>
    </row>
    <row r="660" spans="2:79">
      <c r="B660" s="986"/>
      <c r="C660" s="986"/>
      <c r="D660" s="986"/>
      <c r="E660" s="986"/>
      <c r="F660" s="986"/>
      <c r="G660" s="986"/>
      <c r="H660" s="986"/>
      <c r="I660" s="986"/>
      <c r="J660" s="986"/>
      <c r="K660" s="986"/>
      <c r="L660" s="986"/>
      <c r="M660" s="986"/>
      <c r="N660" s="986"/>
      <c r="O660" s="986"/>
      <c r="P660" s="986"/>
      <c r="Q660" s="986"/>
      <c r="R660" s="986"/>
      <c r="S660" s="986"/>
      <c r="T660" s="986"/>
      <c r="U660" s="986"/>
      <c r="V660" s="986"/>
      <c r="W660" s="986"/>
      <c r="X660" s="986"/>
      <c r="Y660" s="986"/>
      <c r="Z660" s="986"/>
      <c r="AA660" s="986"/>
      <c r="AB660" s="986"/>
      <c r="AC660" s="986"/>
      <c r="AD660" s="986"/>
      <c r="AE660" s="986"/>
      <c r="BE660" s="986"/>
      <c r="BF660" s="986"/>
      <c r="BG660" s="986"/>
      <c r="BH660" s="986"/>
      <c r="BI660" s="2997"/>
      <c r="BW660" s="986"/>
      <c r="BX660" s="986"/>
      <c r="BY660" s="986"/>
      <c r="BZ660" s="986"/>
      <c r="CA660" s="1009"/>
    </row>
    <row r="661" spans="2:79">
      <c r="B661" s="986"/>
      <c r="C661" s="986"/>
      <c r="D661" s="986"/>
      <c r="E661" s="986"/>
      <c r="F661" s="986"/>
      <c r="G661" s="986"/>
      <c r="H661" s="986"/>
      <c r="I661" s="986"/>
      <c r="J661" s="986"/>
      <c r="K661" s="986"/>
      <c r="L661" s="986"/>
      <c r="M661" s="986"/>
      <c r="N661" s="986"/>
      <c r="O661" s="986"/>
      <c r="P661" s="986"/>
      <c r="Q661" s="986"/>
      <c r="R661" s="986"/>
      <c r="S661" s="986"/>
      <c r="T661" s="986"/>
      <c r="U661" s="986"/>
      <c r="V661" s="986"/>
      <c r="W661" s="986"/>
      <c r="X661" s="986"/>
      <c r="Y661" s="986"/>
      <c r="Z661" s="986"/>
      <c r="AA661" s="986"/>
      <c r="AB661" s="986"/>
      <c r="AC661" s="986"/>
      <c r="AD661" s="986"/>
      <c r="AE661" s="986"/>
      <c r="BE661" s="986"/>
      <c r="BF661" s="986"/>
      <c r="BG661" s="986"/>
      <c r="BH661" s="986"/>
      <c r="BI661" s="2997"/>
      <c r="BW661" s="986"/>
      <c r="BX661" s="986"/>
      <c r="BY661" s="986"/>
      <c r="BZ661" s="986"/>
      <c r="CA661" s="1009"/>
    </row>
    <row r="662" spans="2:79">
      <c r="B662" s="986"/>
      <c r="C662" s="986"/>
      <c r="D662" s="986"/>
      <c r="E662" s="986"/>
      <c r="F662" s="986"/>
      <c r="G662" s="986"/>
      <c r="H662" s="986"/>
      <c r="I662" s="986"/>
      <c r="J662" s="986"/>
      <c r="K662" s="986"/>
      <c r="L662" s="986"/>
      <c r="M662" s="986"/>
      <c r="N662" s="986"/>
      <c r="O662" s="986"/>
      <c r="P662" s="986"/>
      <c r="Q662" s="986"/>
      <c r="R662" s="986"/>
      <c r="S662" s="986"/>
      <c r="T662" s="986"/>
      <c r="U662" s="986"/>
      <c r="V662" s="986"/>
      <c r="W662" s="986"/>
      <c r="X662" s="986"/>
      <c r="Y662" s="986"/>
      <c r="Z662" s="986"/>
      <c r="AA662" s="986"/>
      <c r="AB662" s="986"/>
      <c r="AC662" s="986"/>
      <c r="AD662" s="986"/>
      <c r="AE662" s="986"/>
      <c r="BE662" s="986"/>
      <c r="BF662" s="986"/>
      <c r="BG662" s="986"/>
      <c r="BH662" s="986"/>
      <c r="BI662" s="2997"/>
      <c r="BW662" s="986"/>
      <c r="BX662" s="986"/>
      <c r="BY662" s="986"/>
      <c r="BZ662" s="986"/>
      <c r="CA662" s="1009"/>
    </row>
    <row r="663" spans="2:79">
      <c r="B663" s="986"/>
      <c r="C663" s="986"/>
      <c r="D663" s="986"/>
      <c r="E663" s="986"/>
      <c r="F663" s="986"/>
      <c r="G663" s="986"/>
      <c r="H663" s="986"/>
      <c r="I663" s="986"/>
      <c r="J663" s="986"/>
      <c r="K663" s="986"/>
      <c r="L663" s="986"/>
      <c r="M663" s="986"/>
      <c r="N663" s="986"/>
      <c r="O663" s="986"/>
      <c r="P663" s="986"/>
      <c r="Q663" s="986"/>
      <c r="R663" s="986"/>
      <c r="S663" s="986"/>
      <c r="T663" s="986"/>
      <c r="U663" s="986"/>
      <c r="V663" s="986"/>
      <c r="W663" s="986"/>
      <c r="X663" s="986"/>
      <c r="Y663" s="986"/>
      <c r="Z663" s="986"/>
      <c r="AA663" s="986"/>
      <c r="AB663" s="986"/>
      <c r="AC663" s="986"/>
      <c r="AD663" s="986"/>
      <c r="AE663" s="986"/>
      <c r="BE663" s="986"/>
      <c r="BF663" s="986"/>
      <c r="BG663" s="986"/>
      <c r="BH663" s="986"/>
      <c r="BI663" s="2997"/>
      <c r="BW663" s="986"/>
      <c r="BX663" s="986"/>
      <c r="BY663" s="986"/>
      <c r="BZ663" s="986"/>
      <c r="CA663" s="1009"/>
    </row>
    <row r="664" spans="2:79">
      <c r="B664" s="986"/>
      <c r="C664" s="986"/>
      <c r="D664" s="986"/>
      <c r="E664" s="986"/>
      <c r="F664" s="986"/>
      <c r="G664" s="986"/>
      <c r="H664" s="986"/>
      <c r="I664" s="986"/>
      <c r="J664" s="986"/>
      <c r="K664" s="986"/>
      <c r="L664" s="986"/>
      <c r="M664" s="986"/>
      <c r="N664" s="986"/>
      <c r="O664" s="986"/>
      <c r="P664" s="986"/>
      <c r="Q664" s="986"/>
      <c r="R664" s="986"/>
      <c r="S664" s="986"/>
      <c r="T664" s="986"/>
      <c r="U664" s="986"/>
      <c r="V664" s="986"/>
      <c r="W664" s="986"/>
      <c r="X664" s="986"/>
      <c r="Y664" s="986"/>
      <c r="Z664" s="986"/>
      <c r="AA664" s="986"/>
      <c r="AB664" s="986"/>
      <c r="AC664" s="986"/>
      <c r="AD664" s="986"/>
      <c r="AE664" s="986"/>
      <c r="BE664" s="986"/>
      <c r="BF664" s="986"/>
      <c r="BG664" s="986"/>
      <c r="BH664" s="986"/>
      <c r="BI664" s="2997"/>
      <c r="BW664" s="986"/>
      <c r="BX664" s="986"/>
      <c r="BY664" s="986"/>
      <c r="BZ664" s="986"/>
      <c r="CA664" s="1009"/>
    </row>
    <row r="665" spans="2:79">
      <c r="B665" s="986"/>
      <c r="C665" s="986"/>
      <c r="D665" s="986"/>
      <c r="E665" s="986"/>
      <c r="F665" s="986"/>
      <c r="G665" s="986"/>
      <c r="H665" s="986"/>
      <c r="I665" s="986"/>
      <c r="J665" s="986"/>
      <c r="K665" s="986"/>
      <c r="L665" s="986"/>
      <c r="M665" s="986"/>
      <c r="N665" s="986"/>
      <c r="O665" s="986"/>
      <c r="P665" s="986"/>
      <c r="Q665" s="986"/>
      <c r="R665" s="986"/>
      <c r="S665" s="986"/>
      <c r="T665" s="986"/>
      <c r="U665" s="986"/>
      <c r="V665" s="986"/>
      <c r="W665" s="986"/>
      <c r="X665" s="986"/>
      <c r="Y665" s="986"/>
      <c r="Z665" s="986"/>
      <c r="AA665" s="986"/>
      <c r="AB665" s="986"/>
      <c r="AC665" s="986"/>
      <c r="AD665" s="986"/>
      <c r="AE665" s="986"/>
      <c r="BE665" s="986"/>
      <c r="BF665" s="986"/>
      <c r="BG665" s="986"/>
      <c r="BH665" s="986"/>
      <c r="BI665" s="2997"/>
      <c r="BW665" s="986"/>
      <c r="BX665" s="986"/>
      <c r="BY665" s="986"/>
      <c r="BZ665" s="986"/>
      <c r="CA665" s="1009"/>
    </row>
    <row r="666" spans="2:79">
      <c r="B666" s="986"/>
      <c r="C666" s="986"/>
      <c r="D666" s="986"/>
      <c r="E666" s="986"/>
      <c r="F666" s="986"/>
      <c r="G666" s="986"/>
      <c r="H666" s="986"/>
      <c r="I666" s="986"/>
      <c r="J666" s="986"/>
      <c r="K666" s="986"/>
      <c r="L666" s="986"/>
      <c r="M666" s="986"/>
      <c r="N666" s="986"/>
      <c r="O666" s="986"/>
      <c r="P666" s="986"/>
      <c r="Q666" s="986"/>
      <c r="R666" s="986"/>
      <c r="S666" s="986"/>
      <c r="T666" s="986"/>
      <c r="U666" s="986"/>
      <c r="V666" s="986"/>
      <c r="W666" s="986"/>
      <c r="X666" s="986"/>
      <c r="Y666" s="986"/>
      <c r="Z666" s="986"/>
      <c r="AA666" s="986"/>
      <c r="AB666" s="986"/>
      <c r="AC666" s="986"/>
      <c r="AD666" s="986"/>
      <c r="AE666" s="986"/>
      <c r="BE666" s="986"/>
      <c r="BF666" s="986"/>
      <c r="BG666" s="986"/>
      <c r="BH666" s="986"/>
      <c r="BI666" s="2997"/>
      <c r="BW666" s="986"/>
      <c r="BX666" s="986"/>
      <c r="BY666" s="986"/>
      <c r="BZ666" s="986"/>
      <c r="CA666" s="1009"/>
    </row>
    <row r="667" spans="2:79">
      <c r="B667" s="986"/>
      <c r="C667" s="986"/>
      <c r="D667" s="986"/>
      <c r="E667" s="986"/>
      <c r="F667" s="986"/>
      <c r="G667" s="986"/>
      <c r="H667" s="986"/>
      <c r="I667" s="986"/>
      <c r="J667" s="986"/>
      <c r="K667" s="986"/>
      <c r="L667" s="986"/>
      <c r="M667" s="986"/>
      <c r="N667" s="986"/>
      <c r="O667" s="986"/>
      <c r="P667" s="986"/>
      <c r="Q667" s="986"/>
      <c r="R667" s="986"/>
      <c r="S667" s="986"/>
      <c r="T667" s="986"/>
      <c r="U667" s="986"/>
      <c r="V667" s="986"/>
      <c r="W667" s="986"/>
      <c r="X667" s="986"/>
      <c r="Y667" s="986"/>
      <c r="Z667" s="986"/>
      <c r="AA667" s="986"/>
      <c r="AB667" s="986"/>
      <c r="AC667" s="986"/>
      <c r="AD667" s="986"/>
      <c r="AE667" s="986"/>
      <c r="BE667" s="986"/>
      <c r="BF667" s="986"/>
      <c r="BG667" s="986"/>
      <c r="BH667" s="986"/>
      <c r="BI667" s="2997"/>
      <c r="BW667" s="986"/>
      <c r="BX667" s="986"/>
      <c r="BY667" s="986"/>
      <c r="BZ667" s="986"/>
      <c r="CA667" s="1009"/>
    </row>
    <row r="668" spans="2:79">
      <c r="B668" s="986"/>
      <c r="C668" s="986"/>
      <c r="D668" s="986"/>
      <c r="E668" s="986"/>
      <c r="F668" s="986"/>
      <c r="G668" s="986"/>
      <c r="H668" s="986"/>
      <c r="I668" s="986"/>
      <c r="J668" s="986"/>
      <c r="K668" s="986"/>
      <c r="L668" s="986"/>
      <c r="M668" s="986"/>
      <c r="N668" s="986"/>
      <c r="O668" s="986"/>
      <c r="P668" s="986"/>
      <c r="Q668" s="986"/>
      <c r="R668" s="986"/>
      <c r="S668" s="986"/>
      <c r="T668" s="986"/>
      <c r="U668" s="986"/>
      <c r="V668" s="986"/>
      <c r="W668" s="986"/>
      <c r="X668" s="986"/>
      <c r="Y668" s="986"/>
      <c r="Z668" s="986"/>
      <c r="AA668" s="986"/>
      <c r="AB668" s="986"/>
      <c r="AC668" s="986"/>
      <c r="AD668" s="986"/>
      <c r="AE668" s="986"/>
      <c r="BE668" s="986"/>
      <c r="BF668" s="986"/>
      <c r="BG668" s="986"/>
      <c r="BH668" s="986"/>
      <c r="BI668" s="2997"/>
      <c r="BW668" s="986"/>
      <c r="BX668" s="986"/>
      <c r="BY668" s="986"/>
      <c r="BZ668" s="986"/>
      <c r="CA668" s="1009"/>
    </row>
    <row r="669" spans="2:79">
      <c r="B669" s="986"/>
      <c r="C669" s="986"/>
      <c r="D669" s="986"/>
      <c r="E669" s="986"/>
      <c r="F669" s="986"/>
      <c r="G669" s="986"/>
      <c r="H669" s="986"/>
      <c r="I669" s="986"/>
      <c r="J669" s="986"/>
      <c r="K669" s="986"/>
      <c r="L669" s="986"/>
      <c r="M669" s="986"/>
      <c r="N669" s="986"/>
      <c r="O669" s="986"/>
      <c r="P669" s="986"/>
      <c r="Q669" s="986"/>
      <c r="R669" s="986"/>
      <c r="S669" s="986"/>
      <c r="T669" s="986"/>
      <c r="U669" s="986"/>
      <c r="V669" s="986"/>
      <c r="W669" s="986"/>
      <c r="X669" s="986"/>
      <c r="Y669" s="986"/>
      <c r="Z669" s="986"/>
      <c r="AA669" s="986"/>
      <c r="AB669" s="986"/>
      <c r="AC669" s="986"/>
      <c r="AD669" s="986"/>
      <c r="AE669" s="986"/>
      <c r="BE669" s="986"/>
      <c r="BF669" s="986"/>
      <c r="BG669" s="986"/>
      <c r="BH669" s="986"/>
      <c r="BI669" s="2997"/>
      <c r="BW669" s="986"/>
      <c r="BX669" s="986"/>
      <c r="BY669" s="986"/>
      <c r="BZ669" s="986"/>
      <c r="CA669" s="1009"/>
    </row>
    <row r="670" spans="2:79">
      <c r="B670" s="986"/>
      <c r="C670" s="986"/>
      <c r="D670" s="986"/>
      <c r="E670" s="986"/>
      <c r="F670" s="986"/>
      <c r="G670" s="986"/>
      <c r="H670" s="986"/>
      <c r="I670" s="986"/>
      <c r="J670" s="986"/>
      <c r="K670" s="986"/>
      <c r="L670" s="986"/>
      <c r="M670" s="986"/>
      <c r="N670" s="986"/>
      <c r="O670" s="986"/>
      <c r="P670" s="986"/>
      <c r="Q670" s="986"/>
      <c r="R670" s="986"/>
      <c r="S670" s="986"/>
      <c r="T670" s="986"/>
      <c r="U670" s="986"/>
      <c r="V670" s="986"/>
      <c r="W670" s="986"/>
      <c r="X670" s="986"/>
      <c r="Y670" s="986"/>
      <c r="Z670" s="986"/>
      <c r="AA670" s="986"/>
      <c r="AB670" s="986"/>
      <c r="AC670" s="986"/>
      <c r="AD670" s="986"/>
      <c r="AE670" s="986"/>
      <c r="BE670" s="986"/>
      <c r="BF670" s="986"/>
      <c r="BG670" s="986"/>
      <c r="BH670" s="986"/>
      <c r="BI670" s="2997"/>
      <c r="BW670" s="986"/>
      <c r="BX670" s="986"/>
      <c r="BY670" s="986"/>
      <c r="BZ670" s="986"/>
      <c r="CA670" s="1009"/>
    </row>
    <row r="671" spans="2:79">
      <c r="B671" s="986"/>
      <c r="C671" s="986"/>
      <c r="D671" s="986"/>
      <c r="E671" s="986"/>
      <c r="F671" s="986"/>
      <c r="G671" s="986"/>
      <c r="H671" s="986"/>
      <c r="I671" s="986"/>
      <c r="J671" s="986"/>
      <c r="K671" s="986"/>
      <c r="L671" s="986"/>
      <c r="M671" s="986"/>
      <c r="N671" s="986"/>
      <c r="O671" s="986"/>
      <c r="P671" s="986"/>
      <c r="Q671" s="986"/>
      <c r="R671" s="986"/>
      <c r="S671" s="986"/>
      <c r="T671" s="986"/>
      <c r="U671" s="986"/>
      <c r="V671" s="986"/>
      <c r="W671" s="986"/>
      <c r="X671" s="986"/>
      <c r="Y671" s="986"/>
      <c r="Z671" s="986"/>
      <c r="AA671" s="986"/>
      <c r="AB671" s="986"/>
      <c r="AC671" s="986"/>
      <c r="AD671" s="986"/>
      <c r="AE671" s="986"/>
      <c r="BE671" s="986"/>
      <c r="BF671" s="986"/>
      <c r="BG671" s="986"/>
      <c r="BH671" s="986"/>
      <c r="BI671" s="2997"/>
      <c r="BW671" s="986"/>
      <c r="BX671" s="986"/>
      <c r="BY671" s="986"/>
      <c r="BZ671" s="986"/>
      <c r="CA671" s="1009"/>
    </row>
    <row r="672" spans="2:79">
      <c r="B672" s="986"/>
      <c r="C672" s="986"/>
      <c r="D672" s="986"/>
      <c r="E672" s="986"/>
      <c r="F672" s="986"/>
      <c r="G672" s="986"/>
      <c r="H672" s="986"/>
      <c r="I672" s="986"/>
      <c r="J672" s="986"/>
      <c r="K672" s="986"/>
      <c r="L672" s="986"/>
      <c r="M672" s="986"/>
      <c r="N672" s="986"/>
      <c r="O672" s="986"/>
      <c r="P672" s="986"/>
      <c r="Q672" s="986"/>
      <c r="R672" s="986"/>
      <c r="S672" s="986"/>
      <c r="T672" s="986"/>
      <c r="U672" s="986"/>
      <c r="V672" s="986"/>
      <c r="W672" s="986"/>
      <c r="X672" s="986"/>
      <c r="Y672" s="986"/>
      <c r="Z672" s="986"/>
      <c r="AA672" s="986"/>
      <c r="AB672" s="986"/>
      <c r="AC672" s="986"/>
      <c r="AD672" s="986"/>
      <c r="AE672" s="986"/>
      <c r="BE672" s="986"/>
      <c r="BF672" s="986"/>
      <c r="BG672" s="986"/>
      <c r="BH672" s="986"/>
      <c r="BI672" s="2997"/>
      <c r="BW672" s="986"/>
      <c r="BX672" s="986"/>
      <c r="BY672" s="986"/>
      <c r="BZ672" s="986"/>
      <c r="CA672" s="1009"/>
    </row>
    <row r="673" spans="2:79">
      <c r="B673" s="986"/>
      <c r="C673" s="986"/>
      <c r="D673" s="986"/>
      <c r="E673" s="986"/>
      <c r="F673" s="986"/>
      <c r="G673" s="986"/>
      <c r="H673" s="986"/>
      <c r="I673" s="986"/>
      <c r="J673" s="986"/>
      <c r="K673" s="986"/>
      <c r="L673" s="986"/>
      <c r="M673" s="986"/>
      <c r="N673" s="986"/>
      <c r="O673" s="986"/>
      <c r="P673" s="986"/>
      <c r="Q673" s="986"/>
      <c r="R673" s="986"/>
      <c r="S673" s="986"/>
      <c r="T673" s="986"/>
      <c r="U673" s="986"/>
      <c r="V673" s="986"/>
      <c r="W673" s="986"/>
      <c r="X673" s="986"/>
      <c r="Y673" s="986"/>
      <c r="Z673" s="986"/>
      <c r="AA673" s="986"/>
      <c r="AB673" s="986"/>
      <c r="AC673" s="986"/>
      <c r="AD673" s="986"/>
      <c r="AE673" s="986"/>
      <c r="BE673" s="986"/>
      <c r="BF673" s="986"/>
      <c r="BG673" s="986"/>
      <c r="BH673" s="986"/>
      <c r="BI673" s="2997"/>
      <c r="BW673" s="986"/>
      <c r="BX673" s="986"/>
      <c r="BY673" s="986"/>
      <c r="BZ673" s="986"/>
      <c r="CA673" s="1009"/>
    </row>
    <row r="674" spans="2:79">
      <c r="B674" s="986"/>
      <c r="C674" s="986"/>
      <c r="D674" s="986"/>
      <c r="E674" s="986"/>
      <c r="F674" s="986"/>
      <c r="G674" s="986"/>
      <c r="H674" s="986"/>
      <c r="I674" s="986"/>
      <c r="J674" s="986"/>
      <c r="K674" s="986"/>
      <c r="L674" s="986"/>
      <c r="M674" s="986"/>
      <c r="N674" s="986"/>
      <c r="O674" s="986"/>
      <c r="P674" s="986"/>
      <c r="Q674" s="986"/>
      <c r="R674" s="986"/>
      <c r="S674" s="986"/>
      <c r="T674" s="986"/>
      <c r="U674" s="986"/>
      <c r="V674" s="986"/>
      <c r="W674" s="986"/>
      <c r="X674" s="986"/>
      <c r="Y674" s="986"/>
      <c r="Z674" s="986"/>
      <c r="AA674" s="986"/>
      <c r="AB674" s="986"/>
      <c r="AC674" s="986"/>
      <c r="AD674" s="986"/>
      <c r="AE674" s="986"/>
      <c r="BE674" s="986"/>
      <c r="BF674" s="986"/>
      <c r="BG674" s="986"/>
      <c r="BH674" s="986"/>
      <c r="BI674" s="2997"/>
      <c r="BW674" s="986"/>
      <c r="BX674" s="986"/>
      <c r="BY674" s="986"/>
      <c r="BZ674" s="986"/>
      <c r="CA674" s="1009"/>
    </row>
    <row r="675" spans="2:79">
      <c r="B675" s="986"/>
      <c r="C675" s="986"/>
      <c r="D675" s="986"/>
      <c r="E675" s="986"/>
      <c r="F675" s="986"/>
      <c r="G675" s="986"/>
      <c r="H675" s="986"/>
      <c r="I675" s="986"/>
      <c r="J675" s="986"/>
      <c r="K675" s="986"/>
      <c r="L675" s="986"/>
      <c r="M675" s="986"/>
      <c r="N675" s="986"/>
      <c r="O675" s="986"/>
      <c r="P675" s="986"/>
      <c r="Q675" s="986"/>
      <c r="R675" s="986"/>
      <c r="S675" s="986"/>
      <c r="T675" s="986"/>
      <c r="U675" s="986"/>
      <c r="V675" s="986"/>
      <c r="W675" s="986"/>
      <c r="X675" s="986"/>
      <c r="Y675" s="986"/>
      <c r="Z675" s="986"/>
      <c r="AA675" s="986"/>
      <c r="AB675" s="986"/>
      <c r="AC675" s="986"/>
      <c r="AD675" s="986"/>
      <c r="AE675" s="986"/>
      <c r="BE675" s="986"/>
      <c r="BF675" s="986"/>
      <c r="BG675" s="986"/>
      <c r="BH675" s="986"/>
      <c r="BI675" s="2997"/>
      <c r="BW675" s="986"/>
      <c r="BX675" s="986"/>
      <c r="BY675" s="986"/>
      <c r="BZ675" s="986"/>
      <c r="CA675" s="1009"/>
    </row>
    <row r="676" spans="2:79">
      <c r="B676" s="986"/>
      <c r="C676" s="986"/>
      <c r="D676" s="986"/>
      <c r="E676" s="986"/>
      <c r="F676" s="986"/>
      <c r="G676" s="986"/>
      <c r="H676" s="986"/>
      <c r="I676" s="986"/>
      <c r="J676" s="986"/>
      <c r="K676" s="986"/>
      <c r="L676" s="986"/>
      <c r="M676" s="986"/>
      <c r="N676" s="986"/>
      <c r="O676" s="986"/>
      <c r="P676" s="986"/>
      <c r="Q676" s="986"/>
      <c r="R676" s="986"/>
      <c r="S676" s="986"/>
      <c r="T676" s="986"/>
      <c r="U676" s="986"/>
      <c r="V676" s="986"/>
      <c r="W676" s="986"/>
      <c r="X676" s="986"/>
      <c r="Y676" s="986"/>
      <c r="Z676" s="986"/>
      <c r="AA676" s="986"/>
      <c r="AB676" s="986"/>
      <c r="AC676" s="986"/>
      <c r="AD676" s="986"/>
      <c r="AE676" s="986"/>
      <c r="BE676" s="986"/>
      <c r="BF676" s="986"/>
      <c r="BG676" s="986"/>
      <c r="BH676" s="986"/>
      <c r="BI676" s="2997"/>
      <c r="BW676" s="986"/>
      <c r="BX676" s="986"/>
      <c r="BY676" s="986"/>
      <c r="BZ676" s="986"/>
      <c r="CA676" s="1009"/>
    </row>
    <row r="677" spans="2:79">
      <c r="B677" s="986"/>
      <c r="C677" s="986"/>
      <c r="D677" s="986"/>
      <c r="E677" s="986"/>
      <c r="F677" s="986"/>
      <c r="G677" s="986"/>
      <c r="H677" s="986"/>
      <c r="I677" s="986"/>
      <c r="J677" s="986"/>
      <c r="K677" s="986"/>
      <c r="L677" s="986"/>
      <c r="M677" s="986"/>
      <c r="N677" s="986"/>
      <c r="O677" s="986"/>
      <c r="P677" s="986"/>
      <c r="Q677" s="986"/>
      <c r="R677" s="986"/>
      <c r="S677" s="986"/>
      <c r="T677" s="986"/>
      <c r="U677" s="986"/>
      <c r="V677" s="986"/>
      <c r="W677" s="986"/>
      <c r="X677" s="986"/>
      <c r="Y677" s="986"/>
      <c r="Z677" s="986"/>
      <c r="AA677" s="986"/>
      <c r="AB677" s="986"/>
      <c r="AC677" s="986"/>
      <c r="AD677" s="986"/>
      <c r="AE677" s="986"/>
      <c r="BE677" s="986"/>
      <c r="BF677" s="986"/>
      <c r="BG677" s="986"/>
      <c r="BH677" s="986"/>
      <c r="BI677" s="2997"/>
      <c r="BW677" s="986"/>
      <c r="BX677" s="986"/>
      <c r="BY677" s="986"/>
      <c r="BZ677" s="986"/>
      <c r="CA677" s="1009"/>
    </row>
    <row r="678" spans="2:79">
      <c r="B678" s="986"/>
      <c r="C678" s="986"/>
      <c r="D678" s="986"/>
      <c r="E678" s="986"/>
      <c r="F678" s="986"/>
      <c r="G678" s="986"/>
      <c r="H678" s="986"/>
      <c r="I678" s="986"/>
      <c r="J678" s="986"/>
      <c r="K678" s="986"/>
      <c r="L678" s="986"/>
      <c r="M678" s="986"/>
      <c r="N678" s="986"/>
      <c r="O678" s="986"/>
      <c r="P678" s="986"/>
      <c r="Q678" s="986"/>
      <c r="R678" s="986"/>
      <c r="S678" s="986"/>
      <c r="T678" s="986"/>
      <c r="U678" s="986"/>
      <c r="V678" s="986"/>
      <c r="W678" s="986"/>
      <c r="X678" s="986"/>
      <c r="Y678" s="986"/>
      <c r="Z678" s="986"/>
      <c r="AA678" s="986"/>
      <c r="AB678" s="986"/>
      <c r="AC678" s="986"/>
      <c r="AD678" s="986"/>
      <c r="AE678" s="986"/>
      <c r="BE678" s="986"/>
      <c r="BF678" s="986"/>
      <c r="BG678" s="986"/>
      <c r="BH678" s="986"/>
      <c r="BI678" s="2997"/>
      <c r="BW678" s="986"/>
      <c r="BX678" s="986"/>
      <c r="BY678" s="986"/>
      <c r="BZ678" s="986"/>
      <c r="CA678" s="1009"/>
    </row>
    <row r="679" spans="2:79">
      <c r="B679" s="986"/>
      <c r="C679" s="986"/>
      <c r="D679" s="986"/>
      <c r="E679" s="986"/>
      <c r="F679" s="986"/>
      <c r="G679" s="986"/>
      <c r="H679" s="986"/>
      <c r="I679" s="986"/>
      <c r="J679" s="986"/>
      <c r="K679" s="986"/>
      <c r="L679" s="986"/>
      <c r="M679" s="986"/>
      <c r="N679" s="986"/>
      <c r="O679" s="986"/>
      <c r="P679" s="986"/>
      <c r="Q679" s="986"/>
      <c r="R679" s="986"/>
      <c r="S679" s="986"/>
      <c r="T679" s="986"/>
      <c r="U679" s="986"/>
      <c r="V679" s="986"/>
      <c r="W679" s="986"/>
      <c r="X679" s="986"/>
      <c r="Y679" s="986"/>
      <c r="Z679" s="986"/>
      <c r="AA679" s="986"/>
      <c r="AB679" s="986"/>
      <c r="AC679" s="986"/>
      <c r="AD679" s="986"/>
      <c r="AE679" s="986"/>
      <c r="BE679" s="986"/>
      <c r="BF679" s="986"/>
      <c r="BG679" s="986"/>
      <c r="BH679" s="986"/>
      <c r="BI679" s="2997"/>
      <c r="BW679" s="986"/>
      <c r="BX679" s="986"/>
      <c r="BY679" s="986"/>
      <c r="BZ679" s="986"/>
      <c r="CA679" s="1009"/>
    </row>
    <row r="680" spans="2:79">
      <c r="B680" s="986"/>
      <c r="C680" s="986"/>
      <c r="D680" s="986"/>
      <c r="E680" s="986"/>
      <c r="F680" s="986"/>
      <c r="G680" s="986"/>
      <c r="H680" s="986"/>
      <c r="I680" s="986"/>
      <c r="J680" s="986"/>
      <c r="K680" s="986"/>
      <c r="L680" s="986"/>
      <c r="M680" s="986"/>
      <c r="N680" s="986"/>
      <c r="O680" s="986"/>
      <c r="P680" s="986"/>
      <c r="Q680" s="986"/>
      <c r="R680" s="986"/>
      <c r="S680" s="986"/>
      <c r="T680" s="986"/>
      <c r="U680" s="986"/>
      <c r="V680" s="986"/>
      <c r="W680" s="986"/>
      <c r="X680" s="986"/>
      <c r="Y680" s="986"/>
      <c r="Z680" s="986"/>
      <c r="AA680" s="986"/>
      <c r="AB680" s="986"/>
      <c r="AC680" s="986"/>
      <c r="AD680" s="986"/>
      <c r="AE680" s="986"/>
      <c r="BE680" s="986"/>
      <c r="BF680" s="986"/>
      <c r="BG680" s="986"/>
      <c r="BH680" s="986"/>
      <c r="BI680" s="2997"/>
      <c r="BW680" s="986"/>
      <c r="BX680" s="986"/>
      <c r="BY680" s="986"/>
      <c r="BZ680" s="986"/>
      <c r="CA680" s="1009"/>
    </row>
    <row r="681" spans="2:79">
      <c r="B681" s="986"/>
      <c r="C681" s="986"/>
      <c r="D681" s="986"/>
      <c r="E681" s="986"/>
      <c r="F681" s="986"/>
      <c r="G681" s="986"/>
      <c r="H681" s="986"/>
      <c r="I681" s="986"/>
      <c r="J681" s="986"/>
      <c r="K681" s="986"/>
      <c r="L681" s="986"/>
      <c r="M681" s="986"/>
      <c r="N681" s="986"/>
      <c r="O681" s="986"/>
      <c r="P681" s="986"/>
      <c r="Q681" s="986"/>
      <c r="R681" s="986"/>
      <c r="S681" s="986"/>
      <c r="T681" s="986"/>
      <c r="U681" s="986"/>
      <c r="V681" s="986"/>
      <c r="W681" s="986"/>
      <c r="X681" s="986"/>
      <c r="Y681" s="986"/>
      <c r="Z681" s="986"/>
      <c r="AA681" s="986"/>
      <c r="AB681" s="986"/>
      <c r="AC681" s="986"/>
      <c r="AD681" s="986"/>
      <c r="AE681" s="986"/>
      <c r="BE681" s="986"/>
      <c r="BF681" s="986"/>
      <c r="BG681" s="986"/>
      <c r="BH681" s="986"/>
      <c r="BI681" s="2997"/>
      <c r="BW681" s="986"/>
      <c r="BX681" s="986"/>
      <c r="BY681" s="986"/>
      <c r="BZ681" s="986"/>
      <c r="CA681" s="1009"/>
    </row>
    <row r="682" spans="2:79">
      <c r="B682" s="986"/>
      <c r="C682" s="986"/>
      <c r="D682" s="986"/>
      <c r="E682" s="986"/>
      <c r="F682" s="986"/>
      <c r="G682" s="986"/>
      <c r="H682" s="986"/>
      <c r="I682" s="986"/>
      <c r="J682" s="986"/>
      <c r="K682" s="986"/>
      <c r="L682" s="986"/>
      <c r="M682" s="986"/>
      <c r="N682" s="986"/>
      <c r="O682" s="986"/>
      <c r="P682" s="986"/>
      <c r="Q682" s="986"/>
      <c r="R682" s="986"/>
      <c r="S682" s="986"/>
      <c r="T682" s="986"/>
      <c r="U682" s="986"/>
      <c r="V682" s="986"/>
      <c r="W682" s="986"/>
      <c r="X682" s="986"/>
      <c r="Y682" s="986"/>
      <c r="Z682" s="986"/>
      <c r="AA682" s="986"/>
      <c r="AB682" s="986"/>
      <c r="AC682" s="986"/>
      <c r="AD682" s="986"/>
      <c r="AE682" s="986"/>
      <c r="BE682" s="986"/>
      <c r="BF682" s="986"/>
      <c r="BG682" s="986"/>
      <c r="BH682" s="986"/>
      <c r="BI682" s="2997"/>
      <c r="BW682" s="986"/>
      <c r="BX682" s="986"/>
      <c r="BY682" s="986"/>
      <c r="BZ682" s="986"/>
      <c r="CA682" s="1009"/>
    </row>
    <row r="683" spans="2:79">
      <c r="B683" s="986"/>
      <c r="C683" s="986"/>
      <c r="D683" s="986"/>
      <c r="E683" s="986"/>
      <c r="F683" s="986"/>
      <c r="G683" s="986"/>
      <c r="H683" s="986"/>
      <c r="I683" s="986"/>
      <c r="J683" s="986"/>
      <c r="K683" s="986"/>
      <c r="L683" s="986"/>
      <c r="M683" s="986"/>
      <c r="N683" s="986"/>
      <c r="O683" s="986"/>
      <c r="P683" s="986"/>
      <c r="Q683" s="986"/>
      <c r="R683" s="986"/>
      <c r="S683" s="986"/>
      <c r="T683" s="986"/>
      <c r="U683" s="986"/>
      <c r="V683" s="986"/>
      <c r="W683" s="986"/>
      <c r="X683" s="986"/>
      <c r="Y683" s="986"/>
      <c r="Z683" s="986"/>
      <c r="AA683" s="986"/>
      <c r="AB683" s="986"/>
      <c r="AC683" s="986"/>
      <c r="AD683" s="986"/>
      <c r="AE683" s="986"/>
      <c r="BE683" s="986"/>
      <c r="BF683" s="986"/>
      <c r="BG683" s="986"/>
      <c r="BH683" s="986"/>
      <c r="BI683" s="2997"/>
      <c r="BW683" s="986"/>
      <c r="BX683" s="986"/>
      <c r="BY683" s="986"/>
      <c r="BZ683" s="986"/>
      <c r="CA683" s="1009"/>
    </row>
    <row r="684" spans="2:79">
      <c r="B684" s="986"/>
      <c r="C684" s="986"/>
      <c r="D684" s="986"/>
      <c r="E684" s="986"/>
      <c r="F684" s="986"/>
      <c r="G684" s="986"/>
      <c r="H684" s="986"/>
      <c r="I684" s="986"/>
      <c r="J684" s="986"/>
      <c r="K684" s="986"/>
      <c r="L684" s="986"/>
      <c r="M684" s="986"/>
      <c r="N684" s="986"/>
      <c r="O684" s="986"/>
      <c r="P684" s="986"/>
      <c r="Q684" s="986"/>
      <c r="R684" s="986"/>
      <c r="S684" s="986"/>
      <c r="T684" s="986"/>
      <c r="U684" s="986"/>
      <c r="V684" s="986"/>
      <c r="W684" s="986"/>
      <c r="X684" s="986"/>
      <c r="Y684" s="986"/>
      <c r="Z684" s="986"/>
      <c r="AA684" s="986"/>
      <c r="AB684" s="986"/>
      <c r="AC684" s="986"/>
      <c r="AD684" s="986"/>
      <c r="AE684" s="986"/>
      <c r="BE684" s="986"/>
      <c r="BF684" s="986"/>
      <c r="BG684" s="986"/>
      <c r="BH684" s="986"/>
      <c r="BI684" s="2997"/>
      <c r="BW684" s="986"/>
      <c r="BX684" s="986"/>
      <c r="BY684" s="986"/>
      <c r="BZ684" s="986"/>
      <c r="CA684" s="1009"/>
    </row>
    <row r="685" spans="2:79">
      <c r="B685" s="986"/>
      <c r="C685" s="986"/>
      <c r="D685" s="986"/>
      <c r="E685" s="986"/>
      <c r="F685" s="986"/>
      <c r="G685" s="986"/>
      <c r="H685" s="986"/>
      <c r="I685" s="986"/>
      <c r="J685" s="986"/>
      <c r="K685" s="986"/>
      <c r="L685" s="986"/>
      <c r="M685" s="986"/>
      <c r="N685" s="986"/>
      <c r="O685" s="986"/>
      <c r="P685" s="986"/>
      <c r="Q685" s="986"/>
      <c r="R685" s="986"/>
      <c r="S685" s="986"/>
      <c r="T685" s="986"/>
      <c r="U685" s="986"/>
      <c r="V685" s="986"/>
      <c r="W685" s="986"/>
      <c r="X685" s="986"/>
      <c r="Y685" s="986"/>
      <c r="Z685" s="986"/>
      <c r="AA685" s="986"/>
      <c r="AB685" s="986"/>
      <c r="AC685" s="986"/>
      <c r="AD685" s="986"/>
      <c r="AE685" s="986"/>
      <c r="BE685" s="986"/>
      <c r="BF685" s="986"/>
      <c r="BG685" s="986"/>
      <c r="BH685" s="986"/>
      <c r="BI685" s="2997"/>
      <c r="BW685" s="986"/>
      <c r="BX685" s="986"/>
      <c r="BY685" s="986"/>
      <c r="BZ685" s="986"/>
      <c r="CA685" s="1009"/>
    </row>
    <row r="686" spans="2:79">
      <c r="B686" s="986"/>
      <c r="C686" s="986"/>
      <c r="D686" s="986"/>
      <c r="E686" s="986"/>
      <c r="F686" s="986"/>
      <c r="G686" s="986"/>
      <c r="H686" s="986"/>
      <c r="I686" s="986"/>
      <c r="J686" s="986"/>
      <c r="K686" s="986"/>
      <c r="L686" s="986"/>
      <c r="M686" s="986"/>
      <c r="N686" s="986"/>
      <c r="O686" s="986"/>
      <c r="P686" s="986"/>
      <c r="Q686" s="986"/>
      <c r="R686" s="986"/>
      <c r="S686" s="986"/>
      <c r="T686" s="986"/>
      <c r="U686" s="986"/>
      <c r="V686" s="986"/>
      <c r="W686" s="986"/>
      <c r="X686" s="986"/>
      <c r="Y686" s="986"/>
      <c r="Z686" s="986"/>
      <c r="AA686" s="986"/>
      <c r="AB686" s="986"/>
      <c r="AC686" s="986"/>
      <c r="AD686" s="986"/>
      <c r="AE686" s="986"/>
      <c r="BE686" s="986"/>
      <c r="BF686" s="986"/>
      <c r="BG686" s="986"/>
      <c r="BH686" s="986"/>
      <c r="BI686" s="2997"/>
      <c r="BW686" s="986"/>
      <c r="BX686" s="986"/>
      <c r="BY686" s="986"/>
      <c r="BZ686" s="986"/>
      <c r="CA686" s="1009"/>
    </row>
    <row r="687" spans="2:79">
      <c r="B687" s="986"/>
      <c r="C687" s="986"/>
      <c r="D687" s="986"/>
      <c r="E687" s="986"/>
      <c r="F687" s="986"/>
      <c r="G687" s="986"/>
      <c r="H687" s="986"/>
      <c r="I687" s="986"/>
      <c r="J687" s="986"/>
      <c r="K687" s="986"/>
      <c r="L687" s="986"/>
      <c r="M687" s="986"/>
      <c r="N687" s="986"/>
      <c r="O687" s="986"/>
      <c r="P687" s="986"/>
      <c r="Q687" s="986"/>
      <c r="R687" s="986"/>
      <c r="S687" s="986"/>
      <c r="T687" s="986"/>
      <c r="U687" s="986"/>
      <c r="V687" s="986"/>
      <c r="W687" s="986"/>
      <c r="X687" s="986"/>
      <c r="Y687" s="986"/>
      <c r="Z687" s="986"/>
      <c r="AA687" s="986"/>
      <c r="AB687" s="986"/>
      <c r="AC687" s="986"/>
      <c r="AD687" s="986"/>
      <c r="AE687" s="986"/>
      <c r="BE687" s="986"/>
      <c r="BF687" s="986"/>
      <c r="BG687" s="986"/>
      <c r="BH687" s="986"/>
      <c r="BI687" s="2997"/>
      <c r="BW687" s="986"/>
      <c r="BX687" s="986"/>
      <c r="BY687" s="986"/>
      <c r="BZ687" s="986"/>
      <c r="CA687" s="1009"/>
    </row>
    <row r="688" spans="2:79">
      <c r="B688" s="986"/>
      <c r="C688" s="986"/>
      <c r="D688" s="986"/>
      <c r="E688" s="986"/>
      <c r="F688" s="986"/>
      <c r="G688" s="986"/>
      <c r="H688" s="986"/>
      <c r="I688" s="986"/>
      <c r="J688" s="986"/>
      <c r="K688" s="986"/>
      <c r="L688" s="986"/>
      <c r="M688" s="986"/>
      <c r="N688" s="986"/>
      <c r="O688" s="986"/>
      <c r="P688" s="986"/>
      <c r="Q688" s="986"/>
      <c r="R688" s="986"/>
      <c r="S688" s="986"/>
      <c r="T688" s="986"/>
      <c r="U688" s="986"/>
      <c r="V688" s="986"/>
      <c r="W688" s="986"/>
      <c r="X688" s="986"/>
      <c r="Y688" s="986"/>
      <c r="Z688" s="986"/>
      <c r="AA688" s="986"/>
      <c r="AB688" s="986"/>
      <c r="AC688" s="986"/>
      <c r="AD688" s="986"/>
      <c r="AE688" s="986"/>
      <c r="BE688" s="986"/>
      <c r="BF688" s="986"/>
      <c r="BG688" s="986"/>
      <c r="BH688" s="986"/>
      <c r="BI688" s="2997"/>
      <c r="BW688" s="986"/>
      <c r="BX688" s="986"/>
      <c r="BY688" s="986"/>
      <c r="BZ688" s="986"/>
      <c r="CA688" s="1009"/>
    </row>
    <row r="689" spans="2:79">
      <c r="B689" s="986"/>
      <c r="C689" s="986"/>
      <c r="D689" s="986"/>
      <c r="E689" s="986"/>
      <c r="F689" s="986"/>
      <c r="G689" s="986"/>
      <c r="H689" s="986"/>
      <c r="I689" s="986"/>
      <c r="J689" s="986"/>
      <c r="K689" s="986"/>
      <c r="L689" s="986"/>
      <c r="M689" s="986"/>
      <c r="N689" s="986"/>
      <c r="O689" s="986"/>
      <c r="P689" s="986"/>
      <c r="Q689" s="986"/>
      <c r="R689" s="986"/>
      <c r="S689" s="986"/>
      <c r="T689" s="986"/>
      <c r="U689" s="986"/>
      <c r="V689" s="986"/>
      <c r="W689" s="986"/>
      <c r="X689" s="986"/>
      <c r="Y689" s="986"/>
      <c r="Z689" s="986"/>
      <c r="AA689" s="986"/>
      <c r="AB689" s="986"/>
      <c r="AC689" s="986"/>
      <c r="AD689" s="986"/>
      <c r="AE689" s="986"/>
      <c r="BE689" s="986"/>
      <c r="BF689" s="986"/>
      <c r="BG689" s="986"/>
      <c r="BH689" s="986"/>
      <c r="BI689" s="2997"/>
      <c r="BW689" s="986"/>
      <c r="BX689" s="986"/>
      <c r="BY689" s="986"/>
      <c r="BZ689" s="986"/>
      <c r="CA689" s="1009"/>
    </row>
    <row r="690" spans="2:79">
      <c r="B690" s="986"/>
      <c r="C690" s="986"/>
      <c r="D690" s="986"/>
      <c r="E690" s="986"/>
      <c r="F690" s="986"/>
      <c r="G690" s="986"/>
      <c r="H690" s="986"/>
      <c r="I690" s="986"/>
      <c r="J690" s="986"/>
      <c r="K690" s="986"/>
      <c r="L690" s="986"/>
      <c r="M690" s="986"/>
      <c r="N690" s="986"/>
      <c r="O690" s="986"/>
      <c r="P690" s="986"/>
      <c r="Q690" s="986"/>
      <c r="R690" s="986"/>
      <c r="S690" s="986"/>
      <c r="T690" s="986"/>
      <c r="U690" s="986"/>
      <c r="V690" s="986"/>
      <c r="W690" s="986"/>
      <c r="X690" s="986"/>
      <c r="Y690" s="986"/>
      <c r="Z690" s="986"/>
      <c r="AA690" s="986"/>
      <c r="AB690" s="986"/>
      <c r="AC690" s="986"/>
      <c r="AD690" s="986"/>
      <c r="AE690" s="986"/>
      <c r="BE690" s="986"/>
      <c r="BF690" s="986"/>
      <c r="BG690" s="986"/>
      <c r="BH690" s="986"/>
      <c r="BI690" s="2997"/>
      <c r="BW690" s="986"/>
      <c r="BX690" s="986"/>
      <c r="BY690" s="986"/>
      <c r="BZ690" s="986"/>
      <c r="CA690" s="1009"/>
    </row>
    <row r="691" spans="2:79">
      <c r="B691" s="986"/>
      <c r="C691" s="986"/>
      <c r="D691" s="986"/>
      <c r="E691" s="986"/>
      <c r="F691" s="986"/>
      <c r="G691" s="986"/>
      <c r="H691" s="986"/>
      <c r="I691" s="986"/>
      <c r="J691" s="986"/>
      <c r="K691" s="986"/>
      <c r="L691" s="986"/>
      <c r="M691" s="986"/>
      <c r="N691" s="986"/>
      <c r="O691" s="986"/>
      <c r="P691" s="986"/>
      <c r="Q691" s="986"/>
      <c r="R691" s="986"/>
      <c r="S691" s="986"/>
      <c r="T691" s="986"/>
      <c r="U691" s="986"/>
      <c r="V691" s="986"/>
      <c r="W691" s="986"/>
      <c r="X691" s="986"/>
      <c r="Y691" s="986"/>
      <c r="Z691" s="986"/>
      <c r="AA691" s="986"/>
      <c r="AB691" s="986"/>
      <c r="AC691" s="986"/>
      <c r="AD691" s="986"/>
      <c r="AE691" s="986"/>
      <c r="BE691" s="986"/>
      <c r="BF691" s="986"/>
      <c r="BG691" s="986"/>
      <c r="BH691" s="986"/>
      <c r="BI691" s="2997"/>
      <c r="BW691" s="986"/>
      <c r="BX691" s="986"/>
      <c r="BY691" s="986"/>
      <c r="BZ691" s="986"/>
      <c r="CA691" s="1009"/>
    </row>
    <row r="692" spans="2:79">
      <c r="B692" s="986"/>
      <c r="C692" s="986"/>
      <c r="D692" s="986"/>
      <c r="E692" s="986"/>
      <c r="F692" s="986"/>
      <c r="G692" s="986"/>
      <c r="H692" s="986"/>
      <c r="I692" s="986"/>
      <c r="J692" s="986"/>
      <c r="K692" s="986"/>
      <c r="L692" s="986"/>
      <c r="M692" s="986"/>
      <c r="N692" s="986"/>
      <c r="O692" s="986"/>
      <c r="P692" s="986"/>
      <c r="Q692" s="986"/>
      <c r="R692" s="986"/>
      <c r="S692" s="986"/>
      <c r="T692" s="986"/>
      <c r="U692" s="986"/>
      <c r="V692" s="986"/>
      <c r="W692" s="986"/>
      <c r="X692" s="986"/>
      <c r="Y692" s="986"/>
      <c r="Z692" s="986"/>
      <c r="AA692" s="986"/>
      <c r="AB692" s="986"/>
      <c r="AC692" s="986"/>
      <c r="AD692" s="986"/>
      <c r="AE692" s="986"/>
      <c r="BE692" s="986"/>
      <c r="BF692" s="986"/>
      <c r="BG692" s="986"/>
      <c r="BH692" s="986"/>
      <c r="BI692" s="2997"/>
      <c r="BW692" s="986"/>
      <c r="BX692" s="986"/>
      <c r="BY692" s="986"/>
      <c r="BZ692" s="986"/>
      <c r="CA692" s="1009"/>
    </row>
    <row r="693" spans="2:79">
      <c r="B693" s="986"/>
      <c r="C693" s="986"/>
      <c r="D693" s="986"/>
      <c r="E693" s="986"/>
      <c r="F693" s="986"/>
      <c r="G693" s="986"/>
      <c r="H693" s="986"/>
      <c r="I693" s="986"/>
      <c r="J693" s="986"/>
      <c r="K693" s="986"/>
      <c r="L693" s="986"/>
      <c r="M693" s="986"/>
      <c r="N693" s="986"/>
      <c r="O693" s="986"/>
      <c r="P693" s="986"/>
      <c r="Q693" s="986"/>
      <c r="R693" s="986"/>
      <c r="S693" s="986"/>
      <c r="T693" s="986"/>
      <c r="U693" s="986"/>
      <c r="V693" s="986"/>
      <c r="W693" s="986"/>
      <c r="X693" s="986"/>
      <c r="Y693" s="986"/>
      <c r="Z693" s="986"/>
      <c r="AA693" s="986"/>
      <c r="AB693" s="986"/>
      <c r="AC693" s="986"/>
      <c r="AD693" s="986"/>
      <c r="AE693" s="986"/>
      <c r="BE693" s="986"/>
      <c r="BF693" s="986"/>
      <c r="BG693" s="986"/>
      <c r="BH693" s="986"/>
      <c r="BI693" s="2997"/>
      <c r="BW693" s="986"/>
      <c r="BX693" s="986"/>
      <c r="BY693" s="986"/>
      <c r="BZ693" s="986"/>
      <c r="CA693" s="1009"/>
    </row>
    <row r="694" spans="2:79">
      <c r="B694" s="986"/>
      <c r="C694" s="986"/>
      <c r="D694" s="986"/>
      <c r="E694" s="986"/>
      <c r="F694" s="986"/>
      <c r="G694" s="986"/>
      <c r="H694" s="986"/>
      <c r="I694" s="986"/>
      <c r="J694" s="986"/>
      <c r="K694" s="986"/>
      <c r="L694" s="986"/>
      <c r="M694" s="986"/>
      <c r="N694" s="986"/>
      <c r="O694" s="986"/>
      <c r="P694" s="986"/>
      <c r="Q694" s="986"/>
      <c r="R694" s="986"/>
      <c r="S694" s="986"/>
      <c r="T694" s="986"/>
      <c r="U694" s="986"/>
      <c r="V694" s="986"/>
      <c r="W694" s="986"/>
      <c r="X694" s="986"/>
      <c r="Y694" s="986"/>
      <c r="Z694" s="986"/>
      <c r="AA694" s="986"/>
      <c r="AB694" s="986"/>
      <c r="AC694" s="986"/>
      <c r="AD694" s="986"/>
      <c r="AE694" s="986"/>
      <c r="BE694" s="986"/>
      <c r="BF694" s="986"/>
      <c r="BG694" s="986"/>
      <c r="BH694" s="986"/>
      <c r="BI694" s="2997"/>
      <c r="BW694" s="986"/>
      <c r="BX694" s="986"/>
      <c r="BY694" s="986"/>
      <c r="BZ694" s="986"/>
      <c r="CA694" s="1009"/>
    </row>
    <row r="695" spans="2:79">
      <c r="B695" s="986"/>
      <c r="C695" s="986"/>
      <c r="D695" s="986"/>
      <c r="E695" s="986"/>
      <c r="F695" s="986"/>
      <c r="G695" s="986"/>
      <c r="H695" s="986"/>
      <c r="I695" s="986"/>
      <c r="J695" s="986"/>
      <c r="K695" s="986"/>
      <c r="L695" s="986"/>
      <c r="M695" s="986"/>
      <c r="N695" s="986"/>
      <c r="O695" s="986"/>
      <c r="P695" s="986"/>
      <c r="Q695" s="986"/>
      <c r="R695" s="986"/>
      <c r="S695" s="986"/>
      <c r="T695" s="986"/>
      <c r="U695" s="986"/>
      <c r="V695" s="986"/>
      <c r="W695" s="986"/>
      <c r="X695" s="986"/>
      <c r="Y695" s="986"/>
      <c r="Z695" s="986"/>
      <c r="AA695" s="986"/>
      <c r="AB695" s="986"/>
      <c r="AC695" s="986"/>
      <c r="AD695" s="986"/>
      <c r="AE695" s="986"/>
      <c r="BE695" s="986"/>
      <c r="BF695" s="986"/>
      <c r="BG695" s="986"/>
      <c r="BH695" s="986"/>
      <c r="BI695" s="2997"/>
      <c r="BW695" s="986"/>
      <c r="BX695" s="986"/>
      <c r="BY695" s="986"/>
      <c r="BZ695" s="986"/>
      <c r="CA695" s="1009"/>
    </row>
    <row r="696" spans="2:79">
      <c r="B696" s="986"/>
      <c r="C696" s="986"/>
      <c r="D696" s="986"/>
      <c r="E696" s="986"/>
      <c r="F696" s="986"/>
      <c r="G696" s="986"/>
      <c r="H696" s="986"/>
      <c r="I696" s="986"/>
      <c r="J696" s="986"/>
      <c r="K696" s="986"/>
      <c r="L696" s="986"/>
      <c r="M696" s="986"/>
      <c r="N696" s="986"/>
      <c r="O696" s="986"/>
      <c r="P696" s="986"/>
      <c r="Q696" s="986"/>
      <c r="R696" s="986"/>
      <c r="S696" s="986"/>
      <c r="T696" s="986"/>
      <c r="U696" s="986"/>
      <c r="V696" s="986"/>
      <c r="W696" s="986"/>
      <c r="X696" s="986"/>
      <c r="Y696" s="986"/>
      <c r="Z696" s="986"/>
      <c r="AA696" s="986"/>
      <c r="AB696" s="986"/>
      <c r="AC696" s="986"/>
      <c r="AD696" s="986"/>
      <c r="AE696" s="986"/>
      <c r="BE696" s="986"/>
      <c r="BF696" s="986"/>
      <c r="BG696" s="986"/>
      <c r="BH696" s="986"/>
      <c r="BI696" s="2997"/>
      <c r="BW696" s="986"/>
      <c r="BX696" s="986"/>
      <c r="BY696" s="986"/>
      <c r="BZ696" s="986"/>
      <c r="CA696" s="1009"/>
    </row>
    <row r="697" spans="2:79">
      <c r="B697" s="986"/>
      <c r="C697" s="986"/>
      <c r="D697" s="986"/>
      <c r="E697" s="986"/>
      <c r="F697" s="986"/>
      <c r="G697" s="986"/>
      <c r="H697" s="986"/>
      <c r="I697" s="986"/>
      <c r="J697" s="986"/>
      <c r="K697" s="986"/>
      <c r="L697" s="986"/>
      <c r="M697" s="986"/>
      <c r="N697" s="986"/>
      <c r="O697" s="986"/>
      <c r="P697" s="986"/>
      <c r="Q697" s="986"/>
      <c r="R697" s="986"/>
      <c r="S697" s="986"/>
      <c r="T697" s="986"/>
      <c r="U697" s="986"/>
      <c r="V697" s="986"/>
      <c r="W697" s="986"/>
      <c r="X697" s="986"/>
      <c r="Y697" s="986"/>
      <c r="Z697" s="986"/>
      <c r="AA697" s="986"/>
      <c r="AB697" s="986"/>
      <c r="AC697" s="986"/>
      <c r="AD697" s="986"/>
      <c r="AE697" s="986"/>
      <c r="BE697" s="986"/>
      <c r="BF697" s="986"/>
      <c r="BG697" s="986"/>
      <c r="BH697" s="986"/>
      <c r="BI697" s="2997"/>
      <c r="BW697" s="986"/>
      <c r="BX697" s="986"/>
      <c r="BY697" s="986"/>
      <c r="BZ697" s="986"/>
      <c r="CA697" s="1009"/>
    </row>
    <row r="698" spans="2:79">
      <c r="B698" s="986"/>
      <c r="C698" s="986"/>
      <c r="D698" s="986"/>
      <c r="E698" s="986"/>
      <c r="F698" s="986"/>
      <c r="G698" s="986"/>
      <c r="H698" s="986"/>
      <c r="I698" s="986"/>
      <c r="J698" s="986"/>
      <c r="K698" s="986"/>
      <c r="L698" s="986"/>
      <c r="M698" s="986"/>
      <c r="N698" s="986"/>
      <c r="O698" s="986"/>
      <c r="P698" s="986"/>
      <c r="Q698" s="986"/>
      <c r="R698" s="986"/>
      <c r="S698" s="986"/>
      <c r="T698" s="986"/>
      <c r="U698" s="986"/>
      <c r="V698" s="986"/>
      <c r="W698" s="986"/>
      <c r="X698" s="986"/>
      <c r="Y698" s="986"/>
      <c r="Z698" s="986"/>
      <c r="AA698" s="986"/>
      <c r="AB698" s="986"/>
      <c r="AC698" s="986"/>
      <c r="AD698" s="986"/>
      <c r="AE698" s="986"/>
      <c r="BE698" s="986"/>
      <c r="BF698" s="986"/>
      <c r="BG698" s="986"/>
      <c r="BH698" s="986"/>
      <c r="BI698" s="2997"/>
      <c r="BW698" s="986"/>
      <c r="BX698" s="986"/>
      <c r="BY698" s="986"/>
      <c r="BZ698" s="986"/>
      <c r="CA698" s="1009"/>
    </row>
    <row r="699" spans="2:79">
      <c r="B699" s="986"/>
      <c r="C699" s="986"/>
      <c r="D699" s="986"/>
      <c r="E699" s="986"/>
      <c r="F699" s="986"/>
      <c r="G699" s="986"/>
      <c r="H699" s="986"/>
      <c r="I699" s="986"/>
      <c r="J699" s="986"/>
      <c r="K699" s="986"/>
      <c r="L699" s="986"/>
      <c r="M699" s="986"/>
      <c r="N699" s="986"/>
      <c r="O699" s="986"/>
      <c r="P699" s="986"/>
      <c r="Q699" s="986"/>
      <c r="R699" s="986"/>
      <c r="S699" s="986"/>
      <c r="T699" s="986"/>
      <c r="U699" s="986"/>
      <c r="V699" s="986"/>
      <c r="W699" s="986"/>
      <c r="X699" s="986"/>
      <c r="Y699" s="986"/>
      <c r="Z699" s="986"/>
      <c r="AA699" s="986"/>
      <c r="AB699" s="986"/>
      <c r="AC699" s="986"/>
      <c r="AD699" s="986"/>
      <c r="AE699" s="986"/>
      <c r="BE699" s="986"/>
      <c r="BF699" s="986"/>
      <c r="BG699" s="986"/>
      <c r="BH699" s="986"/>
      <c r="BI699" s="2997"/>
      <c r="BW699" s="986"/>
      <c r="BX699" s="986"/>
      <c r="BY699" s="986"/>
      <c r="BZ699" s="986"/>
      <c r="CA699" s="1009"/>
    </row>
    <row r="700" spans="2:79">
      <c r="B700" s="986"/>
      <c r="C700" s="986"/>
      <c r="D700" s="986"/>
      <c r="E700" s="986"/>
      <c r="F700" s="986"/>
      <c r="G700" s="986"/>
      <c r="H700" s="986"/>
      <c r="I700" s="986"/>
      <c r="J700" s="986"/>
      <c r="K700" s="986"/>
      <c r="L700" s="986"/>
      <c r="M700" s="986"/>
      <c r="N700" s="986"/>
      <c r="O700" s="986"/>
      <c r="P700" s="986"/>
      <c r="Q700" s="986"/>
      <c r="R700" s="986"/>
      <c r="S700" s="986"/>
      <c r="T700" s="986"/>
      <c r="U700" s="986"/>
      <c r="V700" s="986"/>
      <c r="W700" s="986"/>
      <c r="X700" s="986"/>
      <c r="Y700" s="986"/>
      <c r="Z700" s="986"/>
      <c r="AA700" s="986"/>
      <c r="AB700" s="986"/>
      <c r="AC700" s="986"/>
      <c r="AD700" s="986"/>
      <c r="AE700" s="986"/>
      <c r="BE700" s="986"/>
      <c r="BF700" s="986"/>
      <c r="BG700" s="986"/>
      <c r="BH700" s="986"/>
      <c r="BI700" s="2997"/>
      <c r="BW700" s="986"/>
      <c r="BX700" s="986"/>
      <c r="BY700" s="986"/>
      <c r="BZ700" s="986"/>
      <c r="CA700" s="1009"/>
    </row>
    <row r="701" spans="2:79">
      <c r="B701" s="986"/>
      <c r="C701" s="986"/>
      <c r="D701" s="986"/>
      <c r="E701" s="986"/>
      <c r="F701" s="986"/>
      <c r="G701" s="986"/>
      <c r="H701" s="986"/>
      <c r="I701" s="986"/>
      <c r="J701" s="986"/>
      <c r="K701" s="986"/>
      <c r="L701" s="986"/>
      <c r="M701" s="986"/>
      <c r="N701" s="986"/>
      <c r="O701" s="986"/>
      <c r="P701" s="986"/>
      <c r="Q701" s="986"/>
      <c r="R701" s="986"/>
      <c r="S701" s="986"/>
      <c r="T701" s="986"/>
      <c r="U701" s="986"/>
      <c r="V701" s="986"/>
      <c r="W701" s="986"/>
      <c r="X701" s="986"/>
      <c r="Y701" s="986"/>
      <c r="Z701" s="986"/>
      <c r="AA701" s="986"/>
      <c r="AB701" s="986"/>
      <c r="AC701" s="986"/>
      <c r="AD701" s="986"/>
      <c r="AE701" s="986"/>
      <c r="BE701" s="986"/>
      <c r="BF701" s="986"/>
      <c r="BG701" s="986"/>
      <c r="BH701" s="986"/>
      <c r="BI701" s="2997"/>
      <c r="BW701" s="986"/>
      <c r="BX701" s="986"/>
      <c r="BY701" s="986"/>
      <c r="BZ701" s="986"/>
      <c r="CA701" s="1009"/>
    </row>
    <row r="702" spans="2:79">
      <c r="B702" s="986"/>
      <c r="C702" s="986"/>
      <c r="D702" s="986"/>
      <c r="E702" s="986"/>
      <c r="F702" s="986"/>
      <c r="G702" s="986"/>
      <c r="H702" s="986"/>
      <c r="I702" s="986"/>
      <c r="J702" s="986"/>
      <c r="K702" s="986"/>
      <c r="L702" s="986"/>
      <c r="M702" s="986"/>
      <c r="N702" s="986"/>
      <c r="O702" s="986"/>
      <c r="P702" s="986"/>
      <c r="Q702" s="986"/>
      <c r="R702" s="986"/>
      <c r="S702" s="986"/>
      <c r="T702" s="986"/>
      <c r="U702" s="986"/>
      <c r="V702" s="986"/>
      <c r="W702" s="986"/>
      <c r="X702" s="986"/>
      <c r="Y702" s="986"/>
      <c r="Z702" s="986"/>
      <c r="AA702" s="986"/>
      <c r="AB702" s="986"/>
      <c r="AC702" s="986"/>
      <c r="AD702" s="986"/>
      <c r="AE702" s="986"/>
      <c r="BE702" s="986"/>
      <c r="BF702" s="986"/>
      <c r="BG702" s="986"/>
      <c r="BH702" s="986"/>
      <c r="BI702" s="2997"/>
      <c r="BW702" s="986"/>
      <c r="BX702" s="986"/>
      <c r="BY702" s="986"/>
      <c r="BZ702" s="986"/>
      <c r="CA702" s="1009"/>
    </row>
    <row r="703" spans="2:79">
      <c r="B703" s="986"/>
      <c r="C703" s="986"/>
      <c r="D703" s="986"/>
      <c r="E703" s="986"/>
      <c r="F703" s="986"/>
      <c r="G703" s="986"/>
      <c r="H703" s="986"/>
      <c r="I703" s="986"/>
      <c r="J703" s="986"/>
      <c r="K703" s="986"/>
      <c r="L703" s="986"/>
      <c r="M703" s="986"/>
      <c r="N703" s="986"/>
      <c r="O703" s="986"/>
      <c r="P703" s="986"/>
      <c r="Q703" s="986"/>
      <c r="R703" s="986"/>
      <c r="S703" s="986"/>
      <c r="T703" s="986"/>
      <c r="U703" s="986"/>
      <c r="V703" s="986"/>
      <c r="W703" s="986"/>
      <c r="X703" s="986"/>
      <c r="Y703" s="986"/>
      <c r="Z703" s="986"/>
      <c r="AA703" s="986"/>
      <c r="AB703" s="986"/>
      <c r="AC703" s="986"/>
      <c r="AD703" s="986"/>
      <c r="AE703" s="986"/>
      <c r="BE703" s="986"/>
      <c r="BF703" s="986"/>
      <c r="BG703" s="986"/>
      <c r="BH703" s="986"/>
      <c r="BI703" s="2997"/>
      <c r="BW703" s="986"/>
      <c r="BX703" s="986"/>
      <c r="BY703" s="986"/>
      <c r="BZ703" s="986"/>
      <c r="CA703" s="1009"/>
    </row>
    <row r="704" spans="2:79">
      <c r="B704" s="986"/>
      <c r="C704" s="986"/>
      <c r="D704" s="986"/>
      <c r="E704" s="986"/>
      <c r="F704" s="986"/>
      <c r="G704" s="986"/>
      <c r="H704" s="986"/>
      <c r="I704" s="986"/>
      <c r="J704" s="986"/>
      <c r="K704" s="986"/>
      <c r="L704" s="986"/>
      <c r="M704" s="986"/>
      <c r="N704" s="986"/>
      <c r="O704" s="986"/>
      <c r="P704" s="986"/>
      <c r="Q704" s="986"/>
      <c r="R704" s="986"/>
      <c r="S704" s="986"/>
      <c r="T704" s="986"/>
      <c r="U704" s="986"/>
      <c r="V704" s="986"/>
      <c r="W704" s="986"/>
      <c r="X704" s="986"/>
      <c r="Y704" s="986"/>
      <c r="Z704" s="986"/>
      <c r="AA704" s="986"/>
      <c r="AB704" s="986"/>
      <c r="AC704" s="986"/>
      <c r="AD704" s="986"/>
      <c r="AE704" s="986"/>
      <c r="BE704" s="986"/>
      <c r="BF704" s="986"/>
      <c r="BG704" s="986"/>
      <c r="BH704" s="986"/>
      <c r="BI704" s="2997"/>
      <c r="BW704" s="986"/>
      <c r="BX704" s="986"/>
      <c r="BY704" s="986"/>
      <c r="BZ704" s="986"/>
      <c r="CA704" s="1009"/>
    </row>
    <row r="705" spans="2:79">
      <c r="B705" s="986"/>
      <c r="C705" s="986"/>
      <c r="D705" s="986"/>
      <c r="E705" s="986"/>
      <c r="F705" s="986"/>
      <c r="G705" s="986"/>
      <c r="H705" s="986"/>
      <c r="I705" s="986"/>
      <c r="J705" s="986"/>
      <c r="K705" s="986"/>
      <c r="L705" s="986"/>
      <c r="M705" s="986"/>
      <c r="N705" s="986"/>
      <c r="O705" s="986"/>
      <c r="P705" s="986"/>
      <c r="Q705" s="986"/>
      <c r="R705" s="986"/>
      <c r="S705" s="986"/>
      <c r="T705" s="986"/>
      <c r="U705" s="986"/>
      <c r="V705" s="986"/>
      <c r="W705" s="986"/>
      <c r="X705" s="986"/>
      <c r="Y705" s="986"/>
      <c r="Z705" s="986"/>
      <c r="AA705" s="986"/>
      <c r="AB705" s="986"/>
      <c r="AC705" s="986"/>
      <c r="AD705" s="986"/>
      <c r="AE705" s="986"/>
      <c r="BE705" s="986"/>
      <c r="BF705" s="986"/>
      <c r="BG705" s="986"/>
      <c r="BH705" s="986"/>
      <c r="BI705" s="2997"/>
      <c r="BW705" s="986"/>
      <c r="BX705" s="986"/>
      <c r="BY705" s="986"/>
      <c r="BZ705" s="986"/>
      <c r="CA705" s="1009"/>
    </row>
    <row r="706" spans="2:79">
      <c r="B706" s="986"/>
      <c r="C706" s="986"/>
      <c r="D706" s="986"/>
      <c r="E706" s="986"/>
      <c r="F706" s="986"/>
      <c r="G706" s="986"/>
      <c r="H706" s="986"/>
      <c r="I706" s="986"/>
      <c r="J706" s="986"/>
      <c r="K706" s="986"/>
      <c r="L706" s="986"/>
      <c r="M706" s="986"/>
      <c r="N706" s="986"/>
      <c r="O706" s="986"/>
      <c r="P706" s="986"/>
      <c r="Q706" s="986"/>
      <c r="R706" s="986"/>
      <c r="S706" s="986"/>
      <c r="T706" s="986"/>
      <c r="U706" s="986"/>
      <c r="V706" s="986"/>
      <c r="W706" s="986"/>
      <c r="X706" s="986"/>
      <c r="Y706" s="986"/>
      <c r="Z706" s="986"/>
      <c r="AA706" s="986"/>
      <c r="AB706" s="986"/>
      <c r="AC706" s="986"/>
      <c r="AD706" s="986"/>
      <c r="AE706" s="986"/>
      <c r="BE706" s="986"/>
      <c r="BF706" s="986"/>
      <c r="BG706" s="986"/>
      <c r="BH706" s="986"/>
      <c r="BI706" s="2997"/>
      <c r="BW706" s="986"/>
      <c r="BX706" s="986"/>
      <c r="BY706" s="986"/>
      <c r="BZ706" s="986"/>
      <c r="CA706" s="1009"/>
    </row>
    <row r="707" spans="2:79">
      <c r="B707" s="986"/>
      <c r="C707" s="986"/>
      <c r="D707" s="986"/>
      <c r="E707" s="986"/>
      <c r="F707" s="986"/>
      <c r="G707" s="986"/>
      <c r="H707" s="986"/>
      <c r="I707" s="986"/>
      <c r="J707" s="986"/>
      <c r="K707" s="986"/>
      <c r="L707" s="986"/>
      <c r="M707" s="986"/>
      <c r="N707" s="986"/>
      <c r="O707" s="986"/>
      <c r="P707" s="986"/>
      <c r="Q707" s="986"/>
      <c r="R707" s="986"/>
      <c r="S707" s="986"/>
      <c r="T707" s="986"/>
      <c r="U707" s="986"/>
      <c r="V707" s="986"/>
      <c r="W707" s="986"/>
      <c r="X707" s="986"/>
      <c r="Y707" s="986"/>
      <c r="Z707" s="986"/>
      <c r="AA707" s="986"/>
      <c r="AB707" s="986"/>
      <c r="AC707" s="986"/>
      <c r="AD707" s="986"/>
      <c r="AE707" s="986"/>
      <c r="BE707" s="986"/>
      <c r="BF707" s="986"/>
      <c r="BG707" s="986"/>
      <c r="BH707" s="986"/>
      <c r="BI707" s="2997"/>
      <c r="BW707" s="986"/>
      <c r="BX707" s="986"/>
      <c r="BY707" s="986"/>
      <c r="BZ707" s="986"/>
      <c r="CA707" s="1009"/>
    </row>
    <row r="708" spans="2:79">
      <c r="B708" s="986"/>
      <c r="C708" s="986"/>
      <c r="D708" s="986"/>
      <c r="E708" s="986"/>
      <c r="F708" s="986"/>
      <c r="G708" s="986"/>
      <c r="H708" s="986"/>
      <c r="I708" s="986"/>
      <c r="J708" s="986"/>
      <c r="K708" s="986"/>
      <c r="L708" s="986"/>
      <c r="M708" s="986"/>
      <c r="N708" s="986"/>
      <c r="O708" s="986"/>
      <c r="P708" s="986"/>
      <c r="Q708" s="986"/>
      <c r="R708" s="986"/>
      <c r="S708" s="986"/>
      <c r="T708" s="986"/>
      <c r="U708" s="986"/>
      <c r="V708" s="986"/>
      <c r="W708" s="986"/>
      <c r="X708" s="986"/>
      <c r="Y708" s="986"/>
      <c r="Z708" s="986"/>
      <c r="AA708" s="986"/>
      <c r="AB708" s="986"/>
      <c r="AC708" s="986"/>
      <c r="AD708" s="986"/>
      <c r="AE708" s="986"/>
      <c r="BE708" s="986"/>
      <c r="BF708" s="986"/>
      <c r="BG708" s="986"/>
      <c r="BH708" s="986"/>
      <c r="BI708" s="2997"/>
      <c r="BW708" s="986"/>
      <c r="BX708" s="986"/>
      <c r="BY708" s="986"/>
      <c r="BZ708" s="986"/>
      <c r="CA708" s="1009"/>
    </row>
    <row r="709" spans="2:79">
      <c r="B709" s="986"/>
      <c r="C709" s="986"/>
      <c r="D709" s="986"/>
      <c r="E709" s="986"/>
      <c r="F709" s="986"/>
      <c r="G709" s="986"/>
      <c r="H709" s="986"/>
      <c r="I709" s="986"/>
      <c r="J709" s="986"/>
      <c r="K709" s="986"/>
      <c r="L709" s="986"/>
      <c r="M709" s="986"/>
      <c r="N709" s="986"/>
      <c r="O709" s="986"/>
      <c r="P709" s="986"/>
      <c r="Q709" s="986"/>
      <c r="R709" s="986"/>
      <c r="S709" s="986"/>
      <c r="T709" s="986"/>
      <c r="U709" s="986"/>
      <c r="V709" s="986"/>
      <c r="W709" s="986"/>
      <c r="X709" s="986"/>
      <c r="Y709" s="986"/>
      <c r="Z709" s="986"/>
      <c r="AA709" s="986"/>
      <c r="AB709" s="986"/>
      <c r="AC709" s="986"/>
      <c r="AD709" s="986"/>
      <c r="AE709" s="986"/>
      <c r="BE709" s="986"/>
      <c r="BF709" s="986"/>
      <c r="BG709" s="986"/>
      <c r="BH709" s="986"/>
      <c r="BI709" s="2997"/>
      <c r="BW709" s="986"/>
      <c r="BX709" s="986"/>
      <c r="BY709" s="986"/>
      <c r="BZ709" s="986"/>
      <c r="CA709" s="1009"/>
    </row>
    <row r="710" spans="2:79">
      <c r="B710" s="986"/>
      <c r="C710" s="986"/>
      <c r="D710" s="986"/>
      <c r="E710" s="986"/>
      <c r="F710" s="986"/>
      <c r="G710" s="986"/>
      <c r="H710" s="986"/>
      <c r="I710" s="986"/>
      <c r="J710" s="986"/>
      <c r="K710" s="986"/>
      <c r="L710" s="986"/>
      <c r="M710" s="986"/>
      <c r="N710" s="986"/>
      <c r="O710" s="986"/>
      <c r="P710" s="986"/>
      <c r="Q710" s="986"/>
      <c r="R710" s="986"/>
      <c r="S710" s="986"/>
      <c r="T710" s="986"/>
      <c r="U710" s="986"/>
      <c r="V710" s="986"/>
      <c r="W710" s="986"/>
      <c r="X710" s="986"/>
      <c r="Y710" s="986"/>
      <c r="Z710" s="986"/>
      <c r="AA710" s="986"/>
      <c r="AB710" s="986"/>
      <c r="AC710" s="986"/>
      <c r="AD710" s="986"/>
      <c r="AE710" s="986"/>
      <c r="BE710" s="986"/>
      <c r="BF710" s="986"/>
      <c r="BG710" s="986"/>
      <c r="BH710" s="986"/>
      <c r="BI710" s="2997"/>
      <c r="BW710" s="986"/>
      <c r="BX710" s="986"/>
      <c r="BY710" s="986"/>
      <c r="BZ710" s="986"/>
      <c r="CA710" s="1009"/>
    </row>
    <row r="711" spans="2:79">
      <c r="B711" s="986"/>
      <c r="C711" s="986"/>
      <c r="D711" s="986"/>
      <c r="E711" s="986"/>
      <c r="F711" s="986"/>
      <c r="G711" s="986"/>
      <c r="H711" s="986"/>
      <c r="I711" s="986"/>
      <c r="J711" s="986"/>
      <c r="K711" s="986"/>
      <c r="L711" s="986"/>
      <c r="M711" s="986"/>
      <c r="N711" s="986"/>
      <c r="O711" s="986"/>
      <c r="P711" s="986"/>
      <c r="Q711" s="986"/>
      <c r="R711" s="986"/>
      <c r="S711" s="986"/>
      <c r="T711" s="986"/>
      <c r="U711" s="986"/>
      <c r="V711" s="986"/>
      <c r="W711" s="986"/>
      <c r="X711" s="986"/>
      <c r="Y711" s="986"/>
      <c r="Z711" s="986"/>
      <c r="AA711" s="986"/>
      <c r="AB711" s="986"/>
      <c r="AC711" s="986"/>
      <c r="AD711" s="986"/>
      <c r="AE711" s="986"/>
      <c r="BE711" s="986"/>
      <c r="BF711" s="986"/>
      <c r="BG711" s="986"/>
      <c r="BH711" s="986"/>
      <c r="BI711" s="2997"/>
      <c r="BW711" s="986"/>
      <c r="BX711" s="986"/>
      <c r="BY711" s="986"/>
      <c r="BZ711" s="986"/>
      <c r="CA711" s="1009"/>
    </row>
    <row r="712" spans="2:79">
      <c r="B712" s="986"/>
      <c r="C712" s="986"/>
      <c r="D712" s="986"/>
      <c r="E712" s="986"/>
      <c r="F712" s="986"/>
      <c r="G712" s="986"/>
      <c r="H712" s="986"/>
      <c r="I712" s="986"/>
      <c r="J712" s="986"/>
      <c r="K712" s="986"/>
      <c r="L712" s="986"/>
      <c r="M712" s="986"/>
      <c r="N712" s="986"/>
      <c r="O712" s="986"/>
      <c r="P712" s="986"/>
      <c r="Q712" s="986"/>
      <c r="R712" s="986"/>
      <c r="S712" s="986"/>
      <c r="T712" s="986"/>
      <c r="U712" s="986"/>
      <c r="V712" s="986"/>
      <c r="W712" s="986"/>
      <c r="X712" s="986"/>
      <c r="Y712" s="986"/>
      <c r="Z712" s="986"/>
      <c r="AA712" s="986"/>
      <c r="AB712" s="986"/>
      <c r="AC712" s="986"/>
      <c r="AD712" s="986"/>
      <c r="AE712" s="986"/>
      <c r="BE712" s="986"/>
      <c r="BF712" s="986"/>
      <c r="BG712" s="986"/>
      <c r="BH712" s="986"/>
      <c r="BI712" s="2997"/>
      <c r="BW712" s="986"/>
      <c r="BX712" s="986"/>
      <c r="BY712" s="986"/>
      <c r="BZ712" s="986"/>
      <c r="CA712" s="1009"/>
    </row>
    <row r="713" spans="2:79">
      <c r="B713" s="986"/>
      <c r="C713" s="986"/>
      <c r="D713" s="986"/>
      <c r="E713" s="986"/>
      <c r="F713" s="986"/>
      <c r="G713" s="986"/>
      <c r="H713" s="986"/>
      <c r="I713" s="986"/>
      <c r="J713" s="986"/>
      <c r="K713" s="986"/>
      <c r="L713" s="986"/>
      <c r="M713" s="986"/>
      <c r="N713" s="986"/>
      <c r="O713" s="986"/>
      <c r="P713" s="986"/>
      <c r="Q713" s="986"/>
      <c r="R713" s="986"/>
      <c r="S713" s="986"/>
      <c r="T713" s="986"/>
      <c r="U713" s="986"/>
      <c r="V713" s="986"/>
      <c r="W713" s="986"/>
      <c r="X713" s="986"/>
      <c r="Y713" s="986"/>
      <c r="Z713" s="986"/>
      <c r="AA713" s="986"/>
      <c r="AB713" s="986"/>
      <c r="AC713" s="986"/>
      <c r="AD713" s="986"/>
      <c r="AE713" s="986"/>
      <c r="BE713" s="986"/>
      <c r="BF713" s="986"/>
      <c r="BG713" s="986"/>
      <c r="BH713" s="986"/>
      <c r="BI713" s="2997"/>
      <c r="BW713" s="986"/>
      <c r="BX713" s="986"/>
      <c r="BY713" s="986"/>
      <c r="BZ713" s="986"/>
      <c r="CA713" s="1009"/>
    </row>
    <row r="714" spans="2:79">
      <c r="B714" s="986"/>
      <c r="C714" s="986"/>
      <c r="D714" s="986"/>
      <c r="E714" s="986"/>
      <c r="F714" s="986"/>
      <c r="G714" s="986"/>
      <c r="H714" s="986"/>
      <c r="I714" s="986"/>
      <c r="J714" s="986"/>
      <c r="K714" s="986"/>
      <c r="L714" s="986"/>
      <c r="M714" s="986"/>
      <c r="N714" s="986"/>
      <c r="O714" s="986"/>
      <c r="P714" s="986"/>
      <c r="Q714" s="986"/>
      <c r="R714" s="986"/>
      <c r="S714" s="986"/>
      <c r="T714" s="986"/>
      <c r="U714" s="986"/>
      <c r="V714" s="986"/>
      <c r="W714" s="986"/>
      <c r="X714" s="986"/>
      <c r="Y714" s="986"/>
      <c r="Z714" s="986"/>
      <c r="AA714" s="986"/>
      <c r="AB714" s="986"/>
      <c r="AC714" s="986"/>
      <c r="AD714" s="986"/>
      <c r="AE714" s="986"/>
      <c r="BE714" s="986"/>
      <c r="BF714" s="986"/>
      <c r="BG714" s="986"/>
      <c r="BH714" s="986"/>
      <c r="BI714" s="2997"/>
      <c r="BW714" s="986"/>
      <c r="BX714" s="986"/>
      <c r="BY714" s="986"/>
      <c r="BZ714" s="986"/>
      <c r="CA714" s="1009"/>
    </row>
    <row r="715" spans="2:79">
      <c r="B715" s="986"/>
      <c r="C715" s="986"/>
      <c r="D715" s="986"/>
      <c r="E715" s="986"/>
      <c r="F715" s="986"/>
      <c r="G715" s="986"/>
      <c r="H715" s="986"/>
      <c r="I715" s="986"/>
      <c r="J715" s="986"/>
      <c r="K715" s="986"/>
      <c r="L715" s="986"/>
      <c r="M715" s="986"/>
      <c r="N715" s="986"/>
      <c r="O715" s="986"/>
      <c r="P715" s="986"/>
      <c r="Q715" s="986"/>
      <c r="R715" s="986"/>
      <c r="S715" s="986"/>
      <c r="T715" s="986"/>
      <c r="U715" s="986"/>
      <c r="V715" s="986"/>
      <c r="W715" s="986"/>
      <c r="X715" s="986"/>
      <c r="Y715" s="986"/>
      <c r="Z715" s="986"/>
      <c r="AA715" s="986"/>
      <c r="AB715" s="986"/>
      <c r="AC715" s="986"/>
      <c r="AD715" s="986"/>
      <c r="AE715" s="986"/>
      <c r="BE715" s="986"/>
      <c r="BF715" s="986"/>
      <c r="BG715" s="986"/>
      <c r="BH715" s="986"/>
      <c r="BI715" s="2997"/>
      <c r="BW715" s="986"/>
      <c r="BX715" s="986"/>
      <c r="BY715" s="986"/>
      <c r="BZ715" s="986"/>
      <c r="CA715" s="1009"/>
    </row>
    <row r="716" spans="2:79">
      <c r="B716" s="986"/>
      <c r="C716" s="986"/>
      <c r="D716" s="986"/>
      <c r="E716" s="986"/>
      <c r="F716" s="986"/>
      <c r="G716" s="986"/>
      <c r="H716" s="986"/>
      <c r="I716" s="986"/>
      <c r="J716" s="986"/>
      <c r="K716" s="986"/>
      <c r="L716" s="986"/>
      <c r="M716" s="986"/>
      <c r="N716" s="986"/>
      <c r="O716" s="986"/>
      <c r="P716" s="986"/>
      <c r="Q716" s="986"/>
      <c r="R716" s="986"/>
      <c r="S716" s="986"/>
      <c r="T716" s="986"/>
      <c r="U716" s="986"/>
      <c r="V716" s="986"/>
      <c r="W716" s="986"/>
      <c r="X716" s="986"/>
      <c r="Y716" s="986"/>
      <c r="Z716" s="986"/>
      <c r="AA716" s="986"/>
      <c r="AB716" s="986"/>
      <c r="AC716" s="986"/>
      <c r="AD716" s="986"/>
      <c r="AE716" s="986"/>
      <c r="BE716" s="986"/>
      <c r="BF716" s="986"/>
      <c r="BG716" s="986"/>
      <c r="BH716" s="986"/>
      <c r="BI716" s="2997"/>
      <c r="BW716" s="986"/>
      <c r="BX716" s="986"/>
      <c r="BY716" s="986"/>
      <c r="BZ716" s="986"/>
      <c r="CA716" s="1009"/>
    </row>
    <row r="717" spans="2:79">
      <c r="B717" s="986"/>
      <c r="C717" s="986"/>
      <c r="D717" s="986"/>
      <c r="E717" s="986"/>
      <c r="F717" s="986"/>
      <c r="G717" s="986"/>
      <c r="H717" s="986"/>
      <c r="I717" s="986"/>
      <c r="J717" s="986"/>
      <c r="K717" s="986"/>
      <c r="L717" s="986"/>
      <c r="M717" s="986"/>
      <c r="N717" s="986"/>
      <c r="O717" s="986"/>
      <c r="P717" s="986"/>
      <c r="Q717" s="986"/>
      <c r="R717" s="986"/>
      <c r="S717" s="986"/>
      <c r="T717" s="986"/>
      <c r="U717" s="986"/>
      <c r="V717" s="986"/>
      <c r="W717" s="986"/>
      <c r="X717" s="986"/>
      <c r="Y717" s="986"/>
      <c r="Z717" s="986"/>
      <c r="AA717" s="986"/>
      <c r="AB717" s="986"/>
      <c r="AC717" s="986"/>
      <c r="AD717" s="986"/>
      <c r="AE717" s="986"/>
      <c r="BE717" s="986"/>
      <c r="BF717" s="986"/>
      <c r="BG717" s="986"/>
      <c r="BH717" s="986"/>
      <c r="BI717" s="2997"/>
      <c r="BW717" s="986"/>
      <c r="BX717" s="986"/>
      <c r="BY717" s="986"/>
      <c r="BZ717" s="986"/>
      <c r="CA717" s="1009"/>
    </row>
    <row r="718" spans="2:79">
      <c r="B718" s="986"/>
      <c r="C718" s="986"/>
      <c r="D718" s="986"/>
      <c r="E718" s="986"/>
      <c r="F718" s="986"/>
      <c r="G718" s="986"/>
      <c r="H718" s="986"/>
      <c r="I718" s="986"/>
      <c r="J718" s="986"/>
      <c r="K718" s="986"/>
      <c r="L718" s="986"/>
      <c r="M718" s="986"/>
      <c r="N718" s="986"/>
      <c r="O718" s="986"/>
      <c r="P718" s="986"/>
      <c r="Q718" s="986"/>
      <c r="R718" s="986"/>
      <c r="S718" s="986"/>
      <c r="T718" s="986"/>
      <c r="U718" s="986"/>
      <c r="V718" s="986"/>
      <c r="W718" s="986"/>
      <c r="X718" s="986"/>
      <c r="Y718" s="986"/>
      <c r="Z718" s="986"/>
      <c r="AA718" s="986"/>
      <c r="AB718" s="986"/>
      <c r="AC718" s="986"/>
      <c r="AD718" s="986"/>
      <c r="AE718" s="986"/>
      <c r="BE718" s="986"/>
      <c r="BF718" s="986"/>
      <c r="BG718" s="986"/>
      <c r="BH718" s="986"/>
      <c r="BI718" s="2997"/>
      <c r="BW718" s="986"/>
      <c r="BX718" s="986"/>
      <c r="BY718" s="986"/>
      <c r="BZ718" s="986"/>
      <c r="CA718" s="1009"/>
    </row>
    <row r="719" spans="2:79">
      <c r="B719" s="986"/>
      <c r="C719" s="986"/>
      <c r="D719" s="986"/>
      <c r="E719" s="986"/>
      <c r="F719" s="986"/>
      <c r="G719" s="986"/>
      <c r="H719" s="986"/>
      <c r="I719" s="986"/>
      <c r="J719" s="986"/>
      <c r="K719" s="986"/>
      <c r="L719" s="986"/>
      <c r="M719" s="986"/>
      <c r="N719" s="986"/>
      <c r="O719" s="986"/>
      <c r="P719" s="986"/>
      <c r="Q719" s="986"/>
      <c r="R719" s="986"/>
      <c r="S719" s="986"/>
      <c r="T719" s="986"/>
      <c r="U719" s="986"/>
      <c r="V719" s="986"/>
      <c r="W719" s="986"/>
      <c r="X719" s="986"/>
      <c r="Y719" s="986"/>
      <c r="Z719" s="986"/>
      <c r="AA719" s="986"/>
      <c r="AB719" s="986"/>
      <c r="AC719" s="986"/>
      <c r="AD719" s="986"/>
      <c r="AE719" s="986"/>
      <c r="BE719" s="986"/>
      <c r="BF719" s="986"/>
      <c r="BG719" s="986"/>
      <c r="BH719" s="986"/>
      <c r="BI719" s="2997"/>
      <c r="BW719" s="986"/>
      <c r="BX719" s="986"/>
      <c r="BY719" s="986"/>
      <c r="BZ719" s="986"/>
      <c r="CA719" s="1009"/>
    </row>
    <row r="720" spans="2:79">
      <c r="B720" s="986"/>
      <c r="C720" s="986"/>
      <c r="D720" s="986"/>
      <c r="E720" s="986"/>
      <c r="F720" s="986"/>
      <c r="G720" s="986"/>
      <c r="H720" s="986"/>
      <c r="I720" s="986"/>
      <c r="J720" s="986"/>
      <c r="K720" s="986"/>
      <c r="L720" s="986"/>
      <c r="M720" s="986"/>
      <c r="N720" s="986"/>
      <c r="O720" s="986"/>
      <c r="P720" s="986"/>
      <c r="Q720" s="986"/>
      <c r="R720" s="986"/>
      <c r="S720" s="986"/>
      <c r="T720" s="986"/>
      <c r="U720" s="986"/>
      <c r="V720" s="986"/>
      <c r="W720" s="986"/>
      <c r="X720" s="986"/>
      <c r="Y720" s="986"/>
      <c r="Z720" s="986"/>
      <c r="AA720" s="986"/>
      <c r="AB720" s="986"/>
      <c r="AC720" s="986"/>
      <c r="AD720" s="986"/>
      <c r="AE720" s="986"/>
      <c r="BE720" s="986"/>
      <c r="BF720" s="986"/>
      <c r="BG720" s="986"/>
      <c r="BH720" s="986"/>
      <c r="BI720" s="2997"/>
      <c r="BW720" s="986"/>
      <c r="BX720" s="986"/>
      <c r="BY720" s="986"/>
      <c r="BZ720" s="986"/>
      <c r="CA720" s="1009"/>
    </row>
    <row r="721" spans="2:79">
      <c r="B721" s="986"/>
      <c r="C721" s="986"/>
      <c r="D721" s="986"/>
      <c r="E721" s="986"/>
      <c r="F721" s="986"/>
      <c r="G721" s="986"/>
      <c r="H721" s="986"/>
      <c r="I721" s="986"/>
      <c r="J721" s="986"/>
      <c r="K721" s="986"/>
      <c r="L721" s="986"/>
      <c r="M721" s="986"/>
      <c r="N721" s="986"/>
      <c r="O721" s="986"/>
      <c r="P721" s="986"/>
      <c r="Q721" s="986"/>
      <c r="R721" s="986"/>
      <c r="S721" s="986"/>
      <c r="T721" s="986"/>
      <c r="U721" s="986"/>
      <c r="V721" s="986"/>
      <c r="W721" s="986"/>
      <c r="X721" s="986"/>
      <c r="Y721" s="986"/>
      <c r="Z721" s="986"/>
      <c r="AA721" s="986"/>
      <c r="AB721" s="986"/>
      <c r="AC721" s="986"/>
      <c r="AD721" s="986"/>
      <c r="AE721" s="986"/>
      <c r="BE721" s="986"/>
      <c r="BF721" s="986"/>
      <c r="BG721" s="986"/>
      <c r="BH721" s="986"/>
      <c r="BI721" s="2997"/>
      <c r="BW721" s="986"/>
      <c r="BX721" s="986"/>
      <c r="BY721" s="986"/>
      <c r="BZ721" s="986"/>
      <c r="CA721" s="1009"/>
    </row>
    <row r="722" spans="2:79">
      <c r="B722" s="986"/>
      <c r="C722" s="986"/>
      <c r="D722" s="986"/>
      <c r="E722" s="986"/>
      <c r="F722" s="986"/>
      <c r="G722" s="986"/>
      <c r="H722" s="986"/>
      <c r="I722" s="986"/>
      <c r="J722" s="986"/>
      <c r="K722" s="986"/>
      <c r="L722" s="986"/>
      <c r="M722" s="986"/>
      <c r="N722" s="986"/>
      <c r="O722" s="986"/>
      <c r="P722" s="986"/>
      <c r="Q722" s="986"/>
      <c r="R722" s="986"/>
      <c r="S722" s="986"/>
      <c r="T722" s="986"/>
      <c r="U722" s="986"/>
      <c r="V722" s="986"/>
      <c r="W722" s="986"/>
      <c r="X722" s="986"/>
      <c r="Y722" s="986"/>
      <c r="Z722" s="986"/>
      <c r="AA722" s="986"/>
      <c r="AB722" s="986"/>
      <c r="AC722" s="986"/>
      <c r="AD722" s="986"/>
      <c r="AE722" s="986"/>
      <c r="BE722" s="986"/>
      <c r="BF722" s="986"/>
      <c r="BG722" s="986"/>
      <c r="BH722" s="986"/>
      <c r="BI722" s="2997"/>
      <c r="BW722" s="986"/>
      <c r="BX722" s="986"/>
      <c r="BY722" s="986"/>
      <c r="BZ722" s="986"/>
      <c r="CA722" s="1009"/>
    </row>
    <row r="723" spans="2:79">
      <c r="B723" s="986"/>
      <c r="C723" s="986"/>
      <c r="D723" s="986"/>
      <c r="E723" s="986"/>
      <c r="F723" s="986"/>
      <c r="G723" s="986"/>
      <c r="H723" s="986"/>
      <c r="I723" s="986"/>
      <c r="J723" s="986"/>
      <c r="K723" s="986"/>
      <c r="L723" s="986"/>
      <c r="M723" s="986"/>
      <c r="N723" s="986"/>
      <c r="O723" s="986"/>
      <c r="P723" s="986"/>
      <c r="Q723" s="986"/>
      <c r="R723" s="986"/>
      <c r="S723" s="986"/>
      <c r="T723" s="986"/>
      <c r="U723" s="986"/>
      <c r="V723" s="986"/>
      <c r="W723" s="986"/>
      <c r="X723" s="986"/>
      <c r="Y723" s="986"/>
      <c r="Z723" s="986"/>
      <c r="AA723" s="986"/>
      <c r="AB723" s="986"/>
      <c r="AC723" s="986"/>
      <c r="AD723" s="986"/>
      <c r="AE723" s="986"/>
      <c r="BE723" s="986"/>
      <c r="BF723" s="986"/>
      <c r="BG723" s="986"/>
      <c r="BH723" s="986"/>
      <c r="BI723" s="2997"/>
      <c r="BW723" s="986"/>
      <c r="BX723" s="986"/>
      <c r="BY723" s="986"/>
      <c r="BZ723" s="986"/>
      <c r="CA723" s="1009"/>
    </row>
    <row r="724" spans="2:79">
      <c r="B724" s="986"/>
      <c r="C724" s="986"/>
      <c r="D724" s="986"/>
      <c r="E724" s="986"/>
      <c r="F724" s="986"/>
      <c r="G724" s="986"/>
      <c r="H724" s="986"/>
      <c r="I724" s="986"/>
      <c r="J724" s="986"/>
      <c r="K724" s="986"/>
      <c r="L724" s="986"/>
      <c r="M724" s="986"/>
      <c r="N724" s="986"/>
      <c r="O724" s="986"/>
      <c r="P724" s="986"/>
      <c r="Q724" s="986"/>
      <c r="R724" s="986"/>
      <c r="S724" s="986"/>
      <c r="T724" s="986"/>
      <c r="U724" s="986"/>
      <c r="V724" s="986"/>
      <c r="W724" s="986"/>
      <c r="X724" s="986"/>
      <c r="Y724" s="986"/>
      <c r="Z724" s="986"/>
      <c r="AA724" s="986"/>
      <c r="AB724" s="986"/>
      <c r="AC724" s="986"/>
      <c r="AD724" s="986"/>
      <c r="AE724" s="986"/>
      <c r="BE724" s="986"/>
      <c r="BF724" s="986"/>
      <c r="BG724" s="986"/>
      <c r="BH724" s="986"/>
      <c r="BI724" s="2997"/>
      <c r="BW724" s="986"/>
      <c r="BX724" s="986"/>
      <c r="BY724" s="986"/>
      <c r="BZ724" s="986"/>
      <c r="CA724" s="1009"/>
    </row>
    <row r="725" spans="2:79">
      <c r="B725" s="986"/>
      <c r="C725" s="986"/>
      <c r="D725" s="986"/>
      <c r="E725" s="986"/>
      <c r="F725" s="986"/>
      <c r="G725" s="986"/>
      <c r="H725" s="986"/>
      <c r="I725" s="986"/>
      <c r="J725" s="986"/>
      <c r="K725" s="986"/>
      <c r="L725" s="986"/>
      <c r="M725" s="986"/>
      <c r="N725" s="986"/>
      <c r="O725" s="986"/>
      <c r="P725" s="986"/>
      <c r="Q725" s="986"/>
      <c r="R725" s="986"/>
      <c r="S725" s="986"/>
      <c r="T725" s="986"/>
      <c r="U725" s="986"/>
      <c r="V725" s="986"/>
      <c r="W725" s="986"/>
      <c r="X725" s="986"/>
      <c r="Y725" s="986"/>
      <c r="Z725" s="986"/>
      <c r="AA725" s="986"/>
      <c r="AB725" s="986"/>
      <c r="AC725" s="986"/>
      <c r="AD725" s="986"/>
      <c r="AE725" s="986"/>
      <c r="BE725" s="986"/>
      <c r="BF725" s="986"/>
      <c r="BG725" s="986"/>
      <c r="BH725" s="986"/>
      <c r="BI725" s="2997"/>
      <c r="BW725" s="986"/>
      <c r="BX725" s="986"/>
      <c r="BY725" s="986"/>
      <c r="BZ725" s="986"/>
      <c r="CA725" s="1009"/>
    </row>
    <row r="726" spans="2:79">
      <c r="BI726" s="2997"/>
      <c r="BW726" s="1535"/>
      <c r="BZ726" s="1009"/>
    </row>
    <row r="727" spans="2:79">
      <c r="BI727" s="2997"/>
      <c r="BW727" s="1535"/>
      <c r="BZ727" s="1009"/>
    </row>
    <row r="728" spans="2:79">
      <c r="BI728" s="2997"/>
      <c r="BW728" s="1535"/>
      <c r="BZ728" s="1009"/>
    </row>
    <row r="729" spans="2:79">
      <c r="BI729" s="2997"/>
      <c r="BW729" s="1535"/>
      <c r="BZ729" s="1009"/>
    </row>
    <row r="730" spans="2:79">
      <c r="BI730" s="2997"/>
      <c r="BW730" s="1535"/>
      <c r="BZ730" s="1009"/>
    </row>
    <row r="731" spans="2:79">
      <c r="BI731" s="2997"/>
      <c r="BW731" s="1535"/>
      <c r="BZ731" s="1009"/>
    </row>
    <row r="732" spans="2:79">
      <c r="BI732" s="2997"/>
      <c r="BW732" s="1535"/>
      <c r="BZ732" s="1009"/>
    </row>
    <row r="733" spans="2:79">
      <c r="BI733" s="2997"/>
      <c r="BW733" s="1535"/>
      <c r="BZ733" s="1009"/>
    </row>
    <row r="734" spans="2:79">
      <c r="BI734" s="2997"/>
      <c r="BW734" s="1535"/>
      <c r="BZ734" s="1009"/>
    </row>
    <row r="735" spans="2:79">
      <c r="BI735" s="2997"/>
      <c r="BW735" s="1535"/>
      <c r="BZ735" s="1009"/>
    </row>
    <row r="736" spans="2:79">
      <c r="BI736" s="2997"/>
      <c r="BW736" s="1535"/>
      <c r="BZ736" s="1009"/>
    </row>
    <row r="737" spans="36:78">
      <c r="BI737" s="2997"/>
      <c r="BW737" s="1535"/>
      <c r="BZ737" s="1009"/>
    </row>
    <row r="738" spans="36:78">
      <c r="AJ738" s="1533"/>
      <c r="BI738" s="2997"/>
      <c r="BU738" s="1533"/>
      <c r="BV738" s="1533"/>
      <c r="BW738" s="1535"/>
      <c r="BZ738" s="1009"/>
    </row>
    <row r="739" spans="36:78">
      <c r="BI739" s="2997"/>
      <c r="BZ739" s="1009"/>
    </row>
    <row r="740" spans="36:78">
      <c r="BI740" s="2997"/>
      <c r="BZ740" s="1009"/>
    </row>
    <row r="741" spans="36:78">
      <c r="BI741" s="2997"/>
      <c r="BZ741" s="1009"/>
    </row>
    <row r="742" spans="36:78">
      <c r="BI742" s="2997"/>
      <c r="BZ742" s="1009"/>
    </row>
    <row r="743" spans="36:78">
      <c r="BI743" s="2997"/>
      <c r="BZ743" s="1009"/>
    </row>
    <row r="744" spans="36:78">
      <c r="BI744" s="2997"/>
      <c r="BZ744" s="1009"/>
    </row>
    <row r="745" spans="36:78">
      <c r="BI745" s="2997"/>
      <c r="BZ745" s="1009"/>
    </row>
    <row r="746" spans="36:78">
      <c r="BI746" s="2997"/>
      <c r="BZ746" s="1009"/>
    </row>
    <row r="747" spans="36:78">
      <c r="BI747" s="2997"/>
      <c r="BZ747" s="1009"/>
    </row>
    <row r="748" spans="36:78">
      <c r="BI748" s="2997"/>
      <c r="BZ748" s="1009"/>
    </row>
    <row r="749" spans="36:78">
      <c r="BI749" s="2997"/>
      <c r="BZ749" s="1009"/>
    </row>
    <row r="750" spans="36:78">
      <c r="BI750" s="2997"/>
      <c r="BZ750" s="1009"/>
    </row>
    <row r="751" spans="36:78">
      <c r="BI751" s="2997"/>
      <c r="BZ751" s="1009"/>
    </row>
    <row r="752" spans="36:78">
      <c r="BI752" s="2997"/>
      <c r="BZ752" s="1009"/>
    </row>
    <row r="753" spans="61:78">
      <c r="BI753" s="2997"/>
      <c r="BZ753" s="1009"/>
    </row>
    <row r="754" spans="61:78">
      <c r="BI754" s="2997"/>
      <c r="BZ754" s="1009"/>
    </row>
    <row r="755" spans="61:78">
      <c r="BI755" s="2997"/>
      <c r="BZ755" s="1009"/>
    </row>
    <row r="756" spans="61:78">
      <c r="BI756" s="2997"/>
      <c r="BZ756" s="1009"/>
    </row>
    <row r="757" spans="61:78">
      <c r="BI757" s="2997"/>
      <c r="BZ757" s="1009"/>
    </row>
    <row r="758" spans="61:78">
      <c r="BI758" s="2997"/>
      <c r="BZ758" s="1009"/>
    </row>
    <row r="759" spans="61:78">
      <c r="BI759" s="2997"/>
      <c r="BZ759" s="1009"/>
    </row>
    <row r="760" spans="61:78">
      <c r="BI760" s="2997"/>
      <c r="BZ760" s="1009"/>
    </row>
    <row r="761" spans="61:78">
      <c r="BI761" s="2997"/>
      <c r="BZ761" s="1009"/>
    </row>
    <row r="762" spans="61:78">
      <c r="BI762" s="2997"/>
      <c r="BZ762" s="1009"/>
    </row>
    <row r="763" spans="61:78">
      <c r="BI763" s="2997"/>
      <c r="BZ763" s="1009"/>
    </row>
    <row r="764" spans="61:78">
      <c r="BI764" s="2997"/>
      <c r="BZ764" s="1009"/>
    </row>
    <row r="765" spans="61:78">
      <c r="BI765" s="2997"/>
      <c r="BZ765" s="1009"/>
    </row>
    <row r="766" spans="61:78">
      <c r="BI766" s="2997"/>
      <c r="BZ766" s="1009"/>
    </row>
    <row r="767" spans="61:78">
      <c r="BI767" s="2997"/>
      <c r="BZ767" s="1009"/>
    </row>
    <row r="768" spans="61:78">
      <c r="BI768" s="2997"/>
      <c r="BZ768" s="1009"/>
    </row>
    <row r="769" spans="46:78">
      <c r="BI769" s="2997"/>
      <c r="BZ769" s="1009"/>
    </row>
    <row r="770" spans="46:78">
      <c r="BI770" s="2997"/>
      <c r="BZ770" s="1009"/>
    </row>
    <row r="771" spans="46:78">
      <c r="BI771" s="2997"/>
      <c r="BZ771" s="1009"/>
    </row>
    <row r="772" spans="46:78">
      <c r="BI772" s="2997"/>
      <c r="BZ772" s="1009"/>
    </row>
    <row r="773" spans="46:78">
      <c r="BI773" s="2997"/>
      <c r="BZ773" s="1009"/>
    </row>
    <row r="774" spans="46:78">
      <c r="BI774" s="2997"/>
      <c r="BZ774" s="1009"/>
    </row>
    <row r="775" spans="46:78">
      <c r="BI775" s="2997"/>
      <c r="BZ775" s="1009"/>
    </row>
    <row r="776" spans="46:78">
      <c r="BI776" s="2997"/>
      <c r="BZ776" s="1009"/>
    </row>
    <row r="777" spans="46:78">
      <c r="BI777" s="2997"/>
      <c r="BZ777" s="1009"/>
    </row>
    <row r="778" spans="46:78">
      <c r="BI778" s="2997"/>
      <c r="BZ778" s="1009"/>
    </row>
    <row r="779" spans="46:78">
      <c r="BI779" s="2997"/>
      <c r="BZ779" s="1009"/>
    </row>
    <row r="780" spans="46:78">
      <c r="BI780" s="2997"/>
      <c r="BZ780" s="1009"/>
    </row>
    <row r="781" spans="46:78">
      <c r="BI781" s="2997"/>
      <c r="BZ781" s="1009"/>
    </row>
    <row r="782" spans="46:78">
      <c r="BI782" s="2997"/>
      <c r="BZ782" s="1009"/>
    </row>
    <row r="783" spans="46:78">
      <c r="AT783" s="1533"/>
      <c r="BI783" s="2997"/>
      <c r="BZ783" s="1009"/>
    </row>
    <row r="784" spans="46:78">
      <c r="BI784" s="2997"/>
      <c r="BZ784" s="1009"/>
    </row>
    <row r="785" spans="61:78">
      <c r="BI785" s="2997"/>
      <c r="BZ785" s="1009"/>
    </row>
    <row r="786" spans="61:78">
      <c r="BI786" s="2997"/>
      <c r="BZ786" s="1009"/>
    </row>
    <row r="787" spans="61:78">
      <c r="BI787" s="2997"/>
      <c r="BZ787" s="1009"/>
    </row>
    <row r="788" spans="61:78">
      <c r="BI788" s="2997"/>
      <c r="BZ788" s="1009"/>
    </row>
    <row r="789" spans="61:78">
      <c r="BI789" s="2997"/>
      <c r="BZ789" s="1009"/>
    </row>
    <row r="790" spans="61:78">
      <c r="BI790" s="2997"/>
      <c r="BZ790" s="1009"/>
    </row>
    <row r="791" spans="61:78">
      <c r="BI791" s="2997"/>
      <c r="BZ791" s="1009"/>
    </row>
    <row r="792" spans="61:78">
      <c r="BI792" s="2997"/>
      <c r="BZ792" s="1009"/>
    </row>
    <row r="793" spans="61:78">
      <c r="BI793" s="2997"/>
      <c r="BZ793" s="1009"/>
    </row>
    <row r="794" spans="61:78">
      <c r="BI794" s="2997"/>
      <c r="BZ794" s="1009"/>
    </row>
    <row r="795" spans="61:78">
      <c r="BI795" s="2997"/>
      <c r="BZ795" s="1009"/>
    </row>
    <row r="796" spans="61:78">
      <c r="BI796" s="2997"/>
      <c r="BZ796" s="1009"/>
    </row>
    <row r="797" spans="61:78">
      <c r="BI797" s="2997"/>
      <c r="BZ797" s="1009"/>
    </row>
    <row r="798" spans="61:78">
      <c r="BI798" s="2997"/>
      <c r="BZ798" s="1009"/>
    </row>
    <row r="799" spans="61:78">
      <c r="BI799" s="2997"/>
      <c r="BZ799" s="1009"/>
    </row>
    <row r="800" spans="61:78">
      <c r="BI800" s="2997"/>
      <c r="BZ800" s="1009"/>
    </row>
    <row r="801" spans="61:78">
      <c r="BI801" s="2997"/>
      <c r="BZ801" s="1009"/>
    </row>
    <row r="802" spans="61:78">
      <c r="BI802" s="2997"/>
      <c r="BZ802" s="1009"/>
    </row>
    <row r="803" spans="61:78">
      <c r="BI803" s="2997"/>
      <c r="BZ803" s="1009"/>
    </row>
    <row r="804" spans="61:78">
      <c r="BI804" s="2997"/>
      <c r="BZ804" s="1009"/>
    </row>
    <row r="805" spans="61:78">
      <c r="BI805" s="2997"/>
      <c r="BZ805" s="1009"/>
    </row>
    <row r="806" spans="61:78">
      <c r="BI806" s="2997"/>
      <c r="BZ806" s="1009"/>
    </row>
    <row r="807" spans="61:78">
      <c r="BI807" s="2997"/>
      <c r="BZ807" s="1009"/>
    </row>
    <row r="808" spans="61:78">
      <c r="BI808" s="2997"/>
      <c r="BZ808" s="1009"/>
    </row>
    <row r="809" spans="61:78">
      <c r="BI809" s="2997"/>
      <c r="BZ809" s="1009"/>
    </row>
    <row r="810" spans="61:78">
      <c r="BI810" s="2997"/>
      <c r="BZ810" s="1009"/>
    </row>
    <row r="811" spans="61:78">
      <c r="BI811" s="2997"/>
      <c r="BZ811" s="1009"/>
    </row>
    <row r="812" spans="61:78">
      <c r="BI812" s="2997"/>
      <c r="BZ812" s="1009"/>
    </row>
    <row r="813" spans="61:78">
      <c r="BI813" s="2997"/>
      <c r="BZ813" s="1009"/>
    </row>
    <row r="814" spans="61:78">
      <c r="BI814" s="2997"/>
      <c r="BZ814" s="1009"/>
    </row>
    <row r="815" spans="61:78">
      <c r="BI815" s="2997"/>
      <c r="BZ815" s="1009"/>
    </row>
    <row r="816" spans="61:78">
      <c r="BI816" s="2997"/>
      <c r="BZ816" s="1009"/>
    </row>
    <row r="817" spans="61:78">
      <c r="BI817" s="2997"/>
      <c r="BZ817" s="1009"/>
    </row>
    <row r="818" spans="61:78">
      <c r="BI818" s="2997"/>
      <c r="BZ818" s="1009"/>
    </row>
    <row r="819" spans="61:78">
      <c r="BI819" s="2997"/>
      <c r="BZ819" s="1009"/>
    </row>
    <row r="820" spans="61:78">
      <c r="BI820" s="2997"/>
      <c r="BZ820" s="1009"/>
    </row>
    <row r="821" spans="61:78">
      <c r="BI821" s="2997"/>
      <c r="BZ821" s="1009"/>
    </row>
    <row r="822" spans="61:78">
      <c r="BI822" s="2997"/>
      <c r="BZ822" s="1009"/>
    </row>
    <row r="823" spans="61:78">
      <c r="BI823" s="2997"/>
      <c r="BZ823" s="1009"/>
    </row>
    <row r="824" spans="61:78">
      <c r="BI824" s="2997"/>
      <c r="BZ824" s="1009"/>
    </row>
    <row r="825" spans="61:78">
      <c r="BI825" s="2997"/>
      <c r="BZ825" s="1009"/>
    </row>
    <row r="826" spans="61:78">
      <c r="BI826" s="2997"/>
      <c r="BZ826" s="1009"/>
    </row>
    <row r="827" spans="61:78">
      <c r="BI827" s="2997"/>
      <c r="BZ827" s="1009"/>
    </row>
    <row r="828" spans="61:78">
      <c r="BI828" s="2997"/>
      <c r="BZ828" s="1009"/>
    </row>
    <row r="829" spans="61:78">
      <c r="BI829" s="2997"/>
      <c r="BZ829" s="1009"/>
    </row>
    <row r="830" spans="61:78">
      <c r="BI830" s="2997"/>
      <c r="BZ830" s="1009"/>
    </row>
    <row r="831" spans="61:78">
      <c r="BI831" s="2997"/>
      <c r="BZ831" s="1009"/>
    </row>
    <row r="832" spans="61:78">
      <c r="BI832" s="2997"/>
      <c r="BZ832" s="1009"/>
    </row>
    <row r="833" spans="61:78">
      <c r="BI833" s="2997"/>
      <c r="BZ833" s="1009"/>
    </row>
    <row r="834" spans="61:78">
      <c r="BI834" s="2997"/>
      <c r="BZ834" s="1009"/>
    </row>
    <row r="835" spans="61:78">
      <c r="BI835" s="2997"/>
      <c r="BZ835" s="1009"/>
    </row>
    <row r="836" spans="61:78">
      <c r="BI836" s="2997"/>
      <c r="BZ836" s="1009"/>
    </row>
    <row r="837" spans="61:78">
      <c r="BI837" s="2997"/>
      <c r="BZ837" s="1009"/>
    </row>
    <row r="838" spans="61:78">
      <c r="BI838" s="2997"/>
      <c r="BZ838" s="1009"/>
    </row>
    <row r="839" spans="61:78">
      <c r="BI839" s="2997"/>
      <c r="BZ839" s="1009"/>
    </row>
    <row r="840" spans="61:78">
      <c r="BI840" s="2997"/>
      <c r="BZ840" s="1009"/>
    </row>
    <row r="841" spans="61:78">
      <c r="BI841" s="2997"/>
      <c r="BZ841" s="1009"/>
    </row>
    <row r="842" spans="61:78">
      <c r="BI842" s="2997"/>
      <c r="BZ842" s="1009"/>
    </row>
    <row r="843" spans="61:78">
      <c r="BI843" s="2997"/>
      <c r="BZ843" s="1009"/>
    </row>
    <row r="844" spans="61:78">
      <c r="BI844" s="2997"/>
      <c r="BZ844" s="1009"/>
    </row>
    <row r="845" spans="61:78">
      <c r="BI845" s="2997"/>
      <c r="BZ845" s="1009"/>
    </row>
    <row r="846" spans="61:78">
      <c r="BI846" s="2997"/>
      <c r="BZ846" s="1009"/>
    </row>
    <row r="847" spans="61:78">
      <c r="BI847" s="2997"/>
      <c r="BZ847" s="1009"/>
    </row>
    <row r="848" spans="61:78">
      <c r="BI848" s="2997"/>
      <c r="BZ848" s="1009"/>
    </row>
    <row r="849" spans="61:78">
      <c r="BI849" s="2997"/>
      <c r="BZ849" s="1009"/>
    </row>
    <row r="850" spans="61:78">
      <c r="BI850" s="2997"/>
      <c r="BZ850" s="1009"/>
    </row>
    <row r="851" spans="61:78">
      <c r="BI851" s="2997"/>
      <c r="BZ851" s="1009"/>
    </row>
    <row r="852" spans="61:78">
      <c r="BI852" s="2997"/>
      <c r="BZ852" s="1009"/>
    </row>
    <row r="853" spans="61:78">
      <c r="BI853" s="2997"/>
      <c r="BZ853" s="1009"/>
    </row>
    <row r="854" spans="61:78">
      <c r="BI854" s="2997"/>
      <c r="BZ854" s="1009"/>
    </row>
    <row r="855" spans="61:78">
      <c r="BI855" s="2997"/>
      <c r="BZ855" s="1009"/>
    </row>
    <row r="856" spans="61:78">
      <c r="BI856" s="2997"/>
      <c r="BZ856" s="1009"/>
    </row>
    <row r="857" spans="61:78">
      <c r="BI857" s="2997"/>
      <c r="BZ857" s="1009"/>
    </row>
    <row r="858" spans="61:78">
      <c r="BI858" s="2997"/>
      <c r="BZ858" s="1009"/>
    </row>
    <row r="859" spans="61:78">
      <c r="BI859" s="2997"/>
      <c r="BZ859" s="1009"/>
    </row>
    <row r="860" spans="61:78">
      <c r="BI860" s="2997"/>
      <c r="BZ860" s="1009"/>
    </row>
    <row r="861" spans="61:78">
      <c r="BI861" s="2997"/>
      <c r="BZ861" s="1009"/>
    </row>
    <row r="862" spans="61:78">
      <c r="BI862" s="2997"/>
      <c r="BZ862" s="1009"/>
    </row>
    <row r="863" spans="61:78">
      <c r="BI863" s="2997"/>
      <c r="BZ863" s="1009"/>
    </row>
    <row r="864" spans="61:78">
      <c r="BI864" s="2997"/>
      <c r="BZ864" s="1009"/>
    </row>
    <row r="865" spans="61:78">
      <c r="BI865" s="2997"/>
      <c r="BZ865" s="1009"/>
    </row>
    <row r="866" spans="61:78">
      <c r="BI866" s="2997"/>
      <c r="BZ866" s="1009"/>
    </row>
    <row r="867" spans="61:78">
      <c r="BI867" s="2997"/>
      <c r="BZ867" s="1009"/>
    </row>
    <row r="868" spans="61:78">
      <c r="BI868" s="2997"/>
      <c r="BZ868" s="1009"/>
    </row>
    <row r="869" spans="61:78">
      <c r="BI869" s="2997"/>
      <c r="BZ869" s="1009"/>
    </row>
    <row r="870" spans="61:78">
      <c r="BI870" s="2997"/>
      <c r="BZ870" s="1009"/>
    </row>
    <row r="871" spans="61:78">
      <c r="BI871" s="2997"/>
      <c r="BZ871" s="1009"/>
    </row>
    <row r="872" spans="61:78">
      <c r="BI872" s="2997"/>
      <c r="BZ872" s="1009"/>
    </row>
    <row r="873" spans="61:78">
      <c r="BI873" s="2997"/>
      <c r="BZ873" s="1009"/>
    </row>
    <row r="874" spans="61:78">
      <c r="BI874" s="2997"/>
      <c r="BZ874" s="1009"/>
    </row>
    <row r="875" spans="61:78">
      <c r="BI875" s="2997"/>
      <c r="BZ875" s="1009"/>
    </row>
    <row r="876" spans="61:78">
      <c r="BI876" s="2997"/>
      <c r="BZ876" s="1009"/>
    </row>
    <row r="877" spans="61:78">
      <c r="BI877" s="2997"/>
      <c r="BZ877" s="1009"/>
    </row>
    <row r="878" spans="61:78">
      <c r="BI878" s="2997"/>
      <c r="BZ878" s="1009"/>
    </row>
    <row r="879" spans="61:78">
      <c r="BI879" s="2997"/>
      <c r="BZ879" s="1009"/>
    </row>
    <row r="880" spans="61:78">
      <c r="BI880" s="2997"/>
      <c r="BZ880" s="1009"/>
    </row>
    <row r="881" spans="61:78">
      <c r="BI881" s="2997"/>
      <c r="BZ881" s="1009"/>
    </row>
    <row r="882" spans="61:78">
      <c r="BI882" s="2997"/>
      <c r="BZ882" s="1009"/>
    </row>
    <row r="883" spans="61:78">
      <c r="BI883" s="2997"/>
      <c r="BZ883" s="1009"/>
    </row>
    <row r="884" spans="61:78">
      <c r="BI884" s="2997"/>
      <c r="BZ884" s="1009"/>
    </row>
    <row r="885" spans="61:78">
      <c r="BI885" s="2997"/>
      <c r="BZ885" s="1009"/>
    </row>
    <row r="886" spans="61:78">
      <c r="BI886" s="2997"/>
      <c r="BZ886" s="1009"/>
    </row>
    <row r="887" spans="61:78">
      <c r="BI887" s="2997"/>
      <c r="BZ887" s="1009"/>
    </row>
    <row r="888" spans="61:78">
      <c r="BI888" s="2997"/>
      <c r="BZ888" s="1009"/>
    </row>
    <row r="889" spans="61:78">
      <c r="BI889" s="2997"/>
      <c r="BZ889" s="1009"/>
    </row>
    <row r="890" spans="61:78">
      <c r="BI890" s="2997"/>
      <c r="BZ890" s="1009"/>
    </row>
    <row r="891" spans="61:78">
      <c r="BI891" s="2997"/>
      <c r="BZ891" s="1009"/>
    </row>
    <row r="892" spans="61:78">
      <c r="BI892" s="2997"/>
      <c r="BZ892" s="1009"/>
    </row>
    <row r="893" spans="61:78">
      <c r="BI893" s="2997"/>
      <c r="BZ893" s="1009"/>
    </row>
    <row r="894" spans="61:78">
      <c r="BI894" s="2997"/>
      <c r="BZ894" s="1009"/>
    </row>
    <row r="895" spans="61:78">
      <c r="BI895" s="2997"/>
      <c r="BZ895" s="1009"/>
    </row>
    <row r="896" spans="61:78">
      <c r="BI896" s="2997"/>
      <c r="BZ896" s="1009"/>
    </row>
    <row r="897" spans="61:78">
      <c r="BI897" s="2997"/>
      <c r="BZ897" s="1009"/>
    </row>
    <row r="898" spans="61:78">
      <c r="BI898" s="2997"/>
      <c r="BZ898" s="1009"/>
    </row>
    <row r="899" spans="61:78">
      <c r="BI899" s="2997"/>
      <c r="BZ899" s="1009"/>
    </row>
    <row r="900" spans="61:78">
      <c r="BI900" s="2997"/>
      <c r="BZ900" s="1009"/>
    </row>
    <row r="901" spans="61:78">
      <c r="BI901" s="2997"/>
      <c r="BZ901" s="1009"/>
    </row>
    <row r="902" spans="61:78">
      <c r="BI902" s="2997"/>
      <c r="BZ902" s="1009"/>
    </row>
    <row r="903" spans="61:78">
      <c r="BI903" s="2997"/>
      <c r="BZ903" s="1009"/>
    </row>
    <row r="904" spans="61:78">
      <c r="BI904" s="2997"/>
      <c r="BZ904" s="1009"/>
    </row>
    <row r="905" spans="61:78">
      <c r="BI905" s="2997"/>
      <c r="BZ905" s="1009"/>
    </row>
    <row r="906" spans="61:78">
      <c r="BI906" s="2997"/>
      <c r="BZ906" s="1009"/>
    </row>
    <row r="907" spans="61:78">
      <c r="BI907" s="2997"/>
      <c r="BZ907" s="1009"/>
    </row>
    <row r="908" spans="61:78">
      <c r="BI908" s="2997"/>
      <c r="BZ908" s="1009"/>
    </row>
    <row r="909" spans="61:78">
      <c r="BI909" s="2997"/>
      <c r="BZ909" s="1009"/>
    </row>
    <row r="910" spans="61:78">
      <c r="BI910" s="2997"/>
      <c r="BZ910" s="1009"/>
    </row>
    <row r="911" spans="61:78">
      <c r="BI911" s="2997"/>
      <c r="BZ911" s="1009"/>
    </row>
    <row r="912" spans="61:78">
      <c r="BI912" s="2997"/>
      <c r="BZ912" s="1009"/>
    </row>
    <row r="913" spans="61:78">
      <c r="BI913" s="2997"/>
      <c r="BZ913" s="1009"/>
    </row>
    <row r="914" spans="61:78">
      <c r="BI914" s="2997"/>
      <c r="BZ914" s="1009"/>
    </row>
    <row r="915" spans="61:78">
      <c r="BI915" s="2997"/>
      <c r="BZ915" s="1009"/>
    </row>
    <row r="916" spans="61:78">
      <c r="BI916" s="2997"/>
      <c r="BZ916" s="1009"/>
    </row>
    <row r="917" spans="61:78">
      <c r="BI917" s="2997"/>
      <c r="BZ917" s="1009"/>
    </row>
    <row r="918" spans="61:78">
      <c r="BI918" s="2997"/>
      <c r="BZ918" s="1009"/>
    </row>
    <row r="919" spans="61:78">
      <c r="BI919" s="2997"/>
      <c r="BZ919" s="1009"/>
    </row>
    <row r="920" spans="61:78">
      <c r="BI920" s="2997"/>
      <c r="BZ920" s="1009"/>
    </row>
    <row r="921" spans="61:78">
      <c r="BI921" s="2997"/>
      <c r="BZ921" s="1009"/>
    </row>
    <row r="922" spans="61:78">
      <c r="BI922" s="2997"/>
      <c r="BZ922" s="1009"/>
    </row>
    <row r="923" spans="61:78">
      <c r="BI923" s="2997"/>
      <c r="BZ923" s="1009"/>
    </row>
    <row r="924" spans="61:78">
      <c r="BI924" s="2997"/>
      <c r="BZ924" s="1009"/>
    </row>
    <row r="925" spans="61:78">
      <c r="BI925" s="2997"/>
      <c r="BZ925" s="1009"/>
    </row>
    <row r="926" spans="61:78">
      <c r="BI926" s="2997"/>
      <c r="BZ926" s="1009"/>
    </row>
    <row r="927" spans="61:78">
      <c r="BI927" s="2997"/>
      <c r="BZ927" s="1009"/>
    </row>
    <row r="928" spans="61:78">
      <c r="BI928" s="2997"/>
      <c r="BZ928" s="1009"/>
    </row>
    <row r="929" spans="61:78">
      <c r="BI929" s="2997"/>
      <c r="BZ929" s="1009"/>
    </row>
    <row r="930" spans="61:78">
      <c r="BI930" s="2997"/>
      <c r="BZ930" s="1009"/>
    </row>
    <row r="931" spans="61:78">
      <c r="BI931" s="2997"/>
      <c r="BZ931" s="1009"/>
    </row>
    <row r="932" spans="61:78">
      <c r="BI932" s="2997"/>
      <c r="BZ932" s="1009"/>
    </row>
    <row r="933" spans="61:78">
      <c r="BI933" s="2997"/>
      <c r="BZ933" s="1009"/>
    </row>
    <row r="934" spans="61:78">
      <c r="BI934" s="2997"/>
      <c r="BZ934" s="1009"/>
    </row>
    <row r="935" spans="61:78">
      <c r="BI935" s="2997"/>
      <c r="BZ935" s="1009"/>
    </row>
    <row r="936" spans="61:78">
      <c r="BI936" s="2997"/>
      <c r="BZ936" s="1009"/>
    </row>
    <row r="937" spans="61:78">
      <c r="BI937" s="2997"/>
      <c r="BZ937" s="1009"/>
    </row>
    <row r="938" spans="61:78">
      <c r="BI938" s="2997"/>
      <c r="BZ938" s="1009"/>
    </row>
    <row r="939" spans="61:78">
      <c r="BI939" s="2997"/>
      <c r="BZ939" s="1009"/>
    </row>
    <row r="940" spans="61:78">
      <c r="BI940" s="2997"/>
      <c r="BZ940" s="1009"/>
    </row>
    <row r="941" spans="61:78">
      <c r="BI941" s="2997"/>
      <c r="BZ941" s="1009"/>
    </row>
    <row r="942" spans="61:78">
      <c r="BI942" s="2997"/>
      <c r="BZ942" s="1009"/>
    </row>
    <row r="943" spans="61:78">
      <c r="BI943" s="2997"/>
      <c r="BZ943" s="1009"/>
    </row>
    <row r="944" spans="61:78">
      <c r="BI944" s="2997"/>
      <c r="BZ944" s="1009"/>
    </row>
    <row r="945" spans="61:78">
      <c r="BI945" s="2997"/>
      <c r="BZ945" s="1009"/>
    </row>
    <row r="946" spans="61:78">
      <c r="BI946" s="2997"/>
      <c r="BZ946" s="1009"/>
    </row>
    <row r="947" spans="61:78">
      <c r="BI947" s="2997"/>
      <c r="BZ947" s="1009"/>
    </row>
    <row r="948" spans="61:78">
      <c r="BI948" s="2997"/>
      <c r="BZ948" s="1009"/>
    </row>
    <row r="949" spans="61:78">
      <c r="BI949" s="2997"/>
      <c r="BZ949" s="1009"/>
    </row>
    <row r="950" spans="61:78">
      <c r="BI950" s="2997"/>
      <c r="BZ950" s="1009"/>
    </row>
    <row r="951" spans="61:78">
      <c r="BI951" s="2997"/>
      <c r="BZ951" s="1009"/>
    </row>
    <row r="952" spans="61:78">
      <c r="BI952" s="2997"/>
      <c r="BZ952" s="1009"/>
    </row>
    <row r="953" spans="61:78">
      <c r="BI953" s="2997"/>
      <c r="BZ953" s="1009"/>
    </row>
    <row r="954" spans="61:78">
      <c r="BI954" s="2997"/>
      <c r="BZ954" s="1009"/>
    </row>
    <row r="955" spans="61:78">
      <c r="BI955" s="2997"/>
      <c r="BZ955" s="1009"/>
    </row>
    <row r="956" spans="61:78">
      <c r="BI956" s="2997"/>
      <c r="BZ956" s="1009"/>
    </row>
    <row r="957" spans="61:78">
      <c r="BI957" s="2997"/>
      <c r="BZ957" s="1009"/>
    </row>
    <row r="958" spans="61:78">
      <c r="BI958" s="2997"/>
      <c r="BZ958" s="1009"/>
    </row>
    <row r="959" spans="61:78">
      <c r="BI959" s="2997"/>
      <c r="BZ959" s="1009"/>
    </row>
    <row r="960" spans="61:78">
      <c r="BI960" s="2997"/>
      <c r="BZ960" s="1009"/>
    </row>
    <row r="961" spans="41:78">
      <c r="BI961" s="2997"/>
      <c r="BZ961" s="1009"/>
    </row>
    <row r="962" spans="41:78">
      <c r="BI962" s="2997"/>
      <c r="BZ962" s="1009"/>
    </row>
    <row r="963" spans="41:78">
      <c r="AO963" s="1533"/>
      <c r="BI963" s="2997"/>
      <c r="BZ963" s="1009"/>
    </row>
    <row r="964" spans="41:78">
      <c r="BI964" s="2997"/>
      <c r="BZ964" s="1009"/>
    </row>
    <row r="965" spans="41:78">
      <c r="BI965" s="2997"/>
      <c r="BZ965" s="1009"/>
    </row>
    <row r="966" spans="41:78">
      <c r="BI966" s="2997"/>
      <c r="BZ966" s="1009"/>
    </row>
    <row r="967" spans="41:78">
      <c r="BI967" s="2997"/>
      <c r="BZ967" s="1009"/>
    </row>
    <row r="968" spans="41:78">
      <c r="BI968" s="2997"/>
      <c r="BZ968" s="1009"/>
    </row>
    <row r="969" spans="41:78">
      <c r="BI969" s="2997"/>
      <c r="BZ969" s="1009"/>
    </row>
    <row r="970" spans="41:78">
      <c r="BI970" s="2997"/>
      <c r="BZ970" s="1009"/>
    </row>
    <row r="971" spans="41:78">
      <c r="BI971" s="2997"/>
      <c r="BZ971" s="1009"/>
    </row>
    <row r="972" spans="41:78">
      <c r="BI972" s="2997"/>
      <c r="BZ972" s="1009"/>
    </row>
    <row r="973" spans="41:78">
      <c r="BI973" s="2997"/>
      <c r="BZ973" s="1009"/>
    </row>
    <row r="974" spans="41:78">
      <c r="BI974" s="2997"/>
      <c r="BZ974" s="1009"/>
    </row>
    <row r="975" spans="41:78">
      <c r="BI975" s="2997"/>
      <c r="BZ975" s="1009"/>
    </row>
    <row r="976" spans="41:78">
      <c r="BI976" s="2997"/>
      <c r="BZ976" s="1009"/>
    </row>
    <row r="977" spans="61:78">
      <c r="BI977" s="2997"/>
      <c r="BZ977" s="1009"/>
    </row>
    <row r="978" spans="61:78">
      <c r="BI978" s="2997"/>
      <c r="BZ978" s="1009"/>
    </row>
    <row r="979" spans="61:78">
      <c r="BI979" s="2997"/>
      <c r="BZ979" s="1009"/>
    </row>
    <row r="980" spans="61:78">
      <c r="BI980" s="2997"/>
      <c r="BZ980" s="1009"/>
    </row>
    <row r="981" spans="61:78">
      <c r="BI981" s="2997"/>
      <c r="BZ981" s="1009"/>
    </row>
    <row r="982" spans="61:78">
      <c r="BI982" s="2997"/>
      <c r="BZ982" s="1009"/>
    </row>
    <row r="983" spans="61:78">
      <c r="BI983" s="2997"/>
      <c r="BZ983" s="1009"/>
    </row>
    <row r="984" spans="61:78">
      <c r="BI984" s="2997"/>
      <c r="BZ984" s="1009"/>
    </row>
    <row r="985" spans="61:78">
      <c r="BI985" s="2997"/>
      <c r="BZ985" s="1009"/>
    </row>
    <row r="986" spans="61:78">
      <c r="BI986" s="2997"/>
      <c r="BZ986" s="1009"/>
    </row>
    <row r="987" spans="61:78">
      <c r="BI987" s="2997"/>
      <c r="BZ987" s="1009"/>
    </row>
    <row r="988" spans="61:78">
      <c r="BI988" s="2997"/>
      <c r="BZ988" s="1009"/>
    </row>
    <row r="989" spans="61:78">
      <c r="BI989" s="2997"/>
      <c r="BZ989" s="1009"/>
    </row>
    <row r="990" spans="61:78">
      <c r="BI990" s="2997"/>
      <c r="BZ990" s="1009"/>
    </row>
    <row r="991" spans="61:78">
      <c r="BI991" s="2997"/>
      <c r="BZ991" s="1009"/>
    </row>
    <row r="992" spans="61:78">
      <c r="BI992" s="2997"/>
      <c r="BZ992" s="1009"/>
    </row>
    <row r="993" spans="61:78">
      <c r="BI993" s="2997"/>
      <c r="BZ993" s="1009"/>
    </row>
    <row r="994" spans="61:78">
      <c r="BI994" s="2997"/>
      <c r="BZ994" s="1009"/>
    </row>
    <row r="995" spans="61:78">
      <c r="BI995" s="2997"/>
      <c r="BZ995" s="1009"/>
    </row>
    <row r="996" spans="61:78">
      <c r="BI996" s="2997"/>
      <c r="BZ996" s="1009"/>
    </row>
    <row r="997" spans="61:78">
      <c r="BI997" s="2997"/>
      <c r="BZ997" s="1009"/>
    </row>
    <row r="998" spans="61:78">
      <c r="BI998" s="2997"/>
      <c r="BZ998" s="1009"/>
    </row>
    <row r="999" spans="61:78">
      <c r="BI999" s="2997"/>
      <c r="BZ999" s="1009"/>
    </row>
    <row r="1000" spans="61:78">
      <c r="BI1000" s="2997"/>
      <c r="BZ1000" s="1009"/>
    </row>
    <row r="1001" spans="61:78">
      <c r="BI1001" s="2997"/>
      <c r="BZ1001" s="1009"/>
    </row>
    <row r="1002" spans="61:78">
      <c r="BI1002" s="2997"/>
    </row>
    <row r="1003" spans="61:78">
      <c r="BI1003" s="2997"/>
    </row>
    <row r="1004" spans="61:78">
      <c r="BI1004" s="2997"/>
    </row>
    <row r="1005" spans="61:78">
      <c r="BI1005" s="2997"/>
    </row>
    <row r="1006" spans="61:78">
      <c r="BI1006" s="2997"/>
    </row>
    <row r="1007" spans="61:78">
      <c r="BI1007" s="2997"/>
    </row>
    <row r="1008" spans="61:78">
      <c r="BI1008" s="2997"/>
    </row>
    <row r="1009" spans="61:61">
      <c r="BI1009" s="2997"/>
    </row>
    <row r="1010" spans="61:61">
      <c r="BI1010" s="2997"/>
    </row>
    <row r="1011" spans="61:61">
      <c r="BI1011" s="2997"/>
    </row>
    <row r="1012" spans="61:61">
      <c r="BI1012" s="2997"/>
    </row>
    <row r="1013" spans="61:61">
      <c r="BI1013" s="2997"/>
    </row>
    <row r="1014" spans="61:61">
      <c r="BI1014" s="2997"/>
    </row>
    <row r="1015" spans="61:61">
      <c r="BI1015" s="2997"/>
    </row>
    <row r="1016" spans="61:61">
      <c r="BI1016" s="2997"/>
    </row>
    <row r="1017" spans="61:61">
      <c r="BI1017" s="2997"/>
    </row>
    <row r="1018" spans="61:61">
      <c r="BI1018" s="2997"/>
    </row>
    <row r="1019" spans="61:61">
      <c r="BI1019" s="2997"/>
    </row>
    <row r="1020" spans="61:61">
      <c r="BI1020" s="2997"/>
    </row>
    <row r="1021" spans="61:61">
      <c r="BI1021" s="2997"/>
    </row>
    <row r="1022" spans="61:61">
      <c r="BI1022" s="2997"/>
    </row>
    <row r="1023" spans="61:61">
      <c r="BI1023" s="2997"/>
    </row>
    <row r="1024" spans="61:61">
      <c r="BI1024" s="2997"/>
    </row>
    <row r="1025" spans="61:61">
      <c r="BI1025" s="2997"/>
    </row>
    <row r="1026" spans="61:61">
      <c r="BI1026" s="2997"/>
    </row>
    <row r="1027" spans="61:61">
      <c r="BI1027" s="2997"/>
    </row>
    <row r="1028" spans="61:61">
      <c r="BI1028" s="2997"/>
    </row>
    <row r="1029" spans="61:61">
      <c r="BI1029" s="2997"/>
    </row>
    <row r="1030" spans="61:61">
      <c r="BI1030" s="2997"/>
    </row>
    <row r="1031" spans="61:61">
      <c r="BI1031" s="2997"/>
    </row>
    <row r="1032" spans="61:61">
      <c r="BI1032" s="2997"/>
    </row>
    <row r="1033" spans="61:61">
      <c r="BI1033" s="2997"/>
    </row>
    <row r="1034" spans="61:61">
      <c r="BI1034" s="2997"/>
    </row>
    <row r="1035" spans="61:61">
      <c r="BI1035" s="2997"/>
    </row>
    <row r="1036" spans="61:61">
      <c r="BI1036" s="2997"/>
    </row>
    <row r="1037" spans="61:61">
      <c r="BI1037" s="2997"/>
    </row>
    <row r="1038" spans="61:61">
      <c r="BI1038" s="2997"/>
    </row>
    <row r="1039" spans="61:61">
      <c r="BI1039" s="2997"/>
    </row>
    <row r="1040" spans="61:61">
      <c r="BI1040" s="2997"/>
    </row>
    <row r="1041" spans="51:61">
      <c r="BI1041" s="2997"/>
    </row>
    <row r="1042" spans="51:61">
      <c r="BI1042" s="2997"/>
    </row>
    <row r="1043" spans="51:61">
      <c r="BI1043" s="2997"/>
    </row>
    <row r="1044" spans="51:61">
      <c r="BI1044" s="2997"/>
    </row>
    <row r="1045" spans="51:61">
      <c r="BI1045" s="2997"/>
    </row>
    <row r="1046" spans="51:61">
      <c r="BI1046" s="2997"/>
    </row>
    <row r="1047" spans="51:61">
      <c r="BI1047" s="2997"/>
    </row>
    <row r="1048" spans="51:61">
      <c r="BI1048" s="2997"/>
    </row>
    <row r="1049" spans="51:61">
      <c r="BI1049" s="2997"/>
    </row>
    <row r="1050" spans="51:61">
      <c r="BI1050" s="2997"/>
    </row>
    <row r="1051" spans="51:61">
      <c r="BI1051" s="2997"/>
    </row>
    <row r="1052" spans="51:61">
      <c r="BI1052" s="2997"/>
    </row>
    <row r="1053" spans="51:61">
      <c r="AY1053" s="1533"/>
      <c r="BI1053" s="2997"/>
    </row>
    <row r="1054" spans="51:61">
      <c r="BI1054" s="2997"/>
    </row>
    <row r="1055" spans="51:61">
      <c r="BI1055" s="2997"/>
    </row>
    <row r="1056" spans="51:61">
      <c r="BI1056" s="2997"/>
    </row>
    <row r="1057" spans="61:61">
      <c r="BI1057" s="2997"/>
    </row>
    <row r="1058" spans="61:61">
      <c r="BI1058" s="2997"/>
    </row>
    <row r="1059" spans="61:61">
      <c r="BI1059" s="2997"/>
    </row>
    <row r="1060" spans="61:61">
      <c r="BI1060" s="2997"/>
    </row>
    <row r="1061" spans="61:61">
      <c r="BI1061" s="2997"/>
    </row>
    <row r="1062" spans="61:61">
      <c r="BI1062" s="2997"/>
    </row>
    <row r="1063" spans="61:61">
      <c r="BI1063" s="2997"/>
    </row>
    <row r="1064" spans="61:61">
      <c r="BI1064" s="2997"/>
    </row>
    <row r="1065" spans="61:61">
      <c r="BI1065" s="2997"/>
    </row>
    <row r="1066" spans="61:61">
      <c r="BI1066" s="2997"/>
    </row>
    <row r="1067" spans="61:61">
      <c r="BI1067" s="2997"/>
    </row>
    <row r="1068" spans="61:61">
      <c r="BI1068" s="2997"/>
    </row>
    <row r="1069" spans="61:61">
      <c r="BI1069" s="2997"/>
    </row>
    <row r="1070" spans="61:61">
      <c r="BI1070" s="2997"/>
    </row>
    <row r="1071" spans="61:61">
      <c r="BI1071" s="2997"/>
    </row>
    <row r="1072" spans="61:61">
      <c r="BI1072" s="2997"/>
    </row>
    <row r="1073" spans="61:61">
      <c r="BI1073" s="2997"/>
    </row>
    <row r="1074" spans="61:61">
      <c r="BI1074" s="2997"/>
    </row>
    <row r="1075" spans="61:61">
      <c r="BI1075" s="2997"/>
    </row>
    <row r="1076" spans="61:61">
      <c r="BI1076" s="2997"/>
    </row>
    <row r="1077" spans="61:61">
      <c r="BI1077" s="2997"/>
    </row>
    <row r="1078" spans="61:61">
      <c r="BI1078" s="2997"/>
    </row>
    <row r="1079" spans="61:61">
      <c r="BI1079" s="2997"/>
    </row>
    <row r="1080" spans="61:61">
      <c r="BI1080" s="2997"/>
    </row>
    <row r="1081" spans="61:61">
      <c r="BI1081" s="2997"/>
    </row>
    <row r="1082" spans="61:61">
      <c r="BI1082" s="2997"/>
    </row>
    <row r="1083" spans="61:61">
      <c r="BI1083" s="2997"/>
    </row>
    <row r="1084" spans="61:61">
      <c r="BI1084" s="2997"/>
    </row>
    <row r="1085" spans="61:61">
      <c r="BI1085" s="2997"/>
    </row>
    <row r="1086" spans="61:61">
      <c r="BI1086" s="2997"/>
    </row>
    <row r="1087" spans="61:61">
      <c r="BI1087" s="2997"/>
    </row>
    <row r="1088" spans="61:61">
      <c r="BI1088" s="2997"/>
    </row>
    <row r="1089" spans="61:61">
      <c r="BI1089" s="2997"/>
    </row>
    <row r="1090" spans="61:61">
      <c r="BI1090" s="2997"/>
    </row>
    <row r="1091" spans="61:61">
      <c r="BI1091" s="2997"/>
    </row>
    <row r="1092" spans="61:61">
      <c r="BI1092" s="2997"/>
    </row>
    <row r="1093" spans="61:61">
      <c r="BI1093" s="2997"/>
    </row>
    <row r="1094" spans="61:61">
      <c r="BI1094" s="2997"/>
    </row>
    <row r="1095" spans="61:61">
      <c r="BI1095" s="2997"/>
    </row>
    <row r="1096" spans="61:61">
      <c r="BI1096" s="2997"/>
    </row>
    <row r="1097" spans="61:61">
      <c r="BI1097" s="2997"/>
    </row>
    <row r="1098" spans="61:61">
      <c r="BI1098" s="2997"/>
    </row>
    <row r="1099" spans="61:61">
      <c r="BI1099" s="2997"/>
    </row>
    <row r="1100" spans="61:61">
      <c r="BI1100" s="2997"/>
    </row>
    <row r="1101" spans="61:61">
      <c r="BI1101" s="2997"/>
    </row>
    <row r="1102" spans="61:61">
      <c r="BI1102" s="2997"/>
    </row>
    <row r="1103" spans="61:61">
      <c r="BI1103" s="2997"/>
    </row>
    <row r="1104" spans="61:61">
      <c r="BI1104" s="2997"/>
    </row>
    <row r="1105" spans="61:61">
      <c r="BI1105" s="2997"/>
    </row>
    <row r="1106" spans="61:61">
      <c r="BI1106" s="2997"/>
    </row>
    <row r="1107" spans="61:61">
      <c r="BI1107" s="2997"/>
    </row>
    <row r="1108" spans="61:61">
      <c r="BI1108" s="2997"/>
    </row>
    <row r="1109" spans="61:61">
      <c r="BI1109" s="2997"/>
    </row>
    <row r="1110" spans="61:61">
      <c r="BI1110" s="2997"/>
    </row>
    <row r="1111" spans="61:61">
      <c r="BI1111" s="2997"/>
    </row>
    <row r="1112" spans="61:61">
      <c r="BI1112" s="2997"/>
    </row>
    <row r="1113" spans="61:61">
      <c r="BI1113" s="2997"/>
    </row>
    <row r="1114" spans="61:61">
      <c r="BI1114" s="2997"/>
    </row>
    <row r="1115" spans="61:61">
      <c r="BI1115" s="2997"/>
    </row>
    <row r="1116" spans="61:61">
      <c r="BI1116" s="2997"/>
    </row>
    <row r="1117" spans="61:61">
      <c r="BI1117" s="2997"/>
    </row>
    <row r="1118" spans="61:61">
      <c r="BI1118" s="2997"/>
    </row>
    <row r="1119" spans="61:61">
      <c r="BI1119" s="2997"/>
    </row>
    <row r="1120" spans="61:61">
      <c r="BI1120" s="2997"/>
    </row>
    <row r="1121" spans="61:61">
      <c r="BI1121" s="2997"/>
    </row>
    <row r="1122" spans="61:61">
      <c r="BI1122" s="2997"/>
    </row>
    <row r="1123" spans="61:61">
      <c r="BI1123" s="2997"/>
    </row>
    <row r="1124" spans="61:61">
      <c r="BI1124" s="2997"/>
    </row>
    <row r="1125" spans="61:61">
      <c r="BI1125" s="2997"/>
    </row>
    <row r="1126" spans="61:61">
      <c r="BI1126" s="2997"/>
    </row>
    <row r="1127" spans="61:61">
      <c r="BI1127" s="2997"/>
    </row>
    <row r="1128" spans="61:61">
      <c r="BI1128" s="2997"/>
    </row>
    <row r="1129" spans="61:61">
      <c r="BI1129" s="2997"/>
    </row>
    <row r="1130" spans="61:61">
      <c r="BI1130" s="2997"/>
    </row>
    <row r="1131" spans="61:61">
      <c r="BI1131" s="2997"/>
    </row>
    <row r="1132" spans="61:61">
      <c r="BI1132" s="2997"/>
    </row>
    <row r="1133" spans="61:61">
      <c r="BI1133" s="2997"/>
    </row>
    <row r="1134" spans="61:61">
      <c r="BI1134" s="2997"/>
    </row>
    <row r="1135" spans="61:61">
      <c r="BI1135" s="2997"/>
    </row>
    <row r="1136" spans="61:61">
      <c r="BI1136" s="2997"/>
    </row>
    <row r="1137" spans="56:61">
      <c r="BI1137" s="2997"/>
    </row>
    <row r="1138" spans="56:61">
      <c r="BI1138" s="2997"/>
    </row>
    <row r="1139" spans="56:61">
      <c r="BI1139" s="2997"/>
    </row>
    <row r="1140" spans="56:61">
      <c r="BI1140" s="2997"/>
    </row>
    <row r="1141" spans="56:61">
      <c r="BI1141" s="2997"/>
    </row>
    <row r="1142" spans="56:61">
      <c r="BI1142" s="2997"/>
    </row>
    <row r="1143" spans="56:61">
      <c r="BD1143" s="1533"/>
      <c r="BI1143" s="2997"/>
    </row>
    <row r="1144" spans="56:61">
      <c r="BI1144" s="2997"/>
    </row>
    <row r="1145" spans="56:61">
      <c r="BI1145" s="2997"/>
    </row>
    <row r="1146" spans="56:61">
      <c r="BI1146" s="2997"/>
    </row>
    <row r="1147" spans="56:61">
      <c r="BI1147" s="2997"/>
    </row>
    <row r="1148" spans="56:61">
      <c r="BI1148" s="2997"/>
    </row>
    <row r="1149" spans="56:61">
      <c r="BI1149" s="2997"/>
    </row>
    <row r="1150" spans="56:61">
      <c r="BI1150" s="2997"/>
    </row>
    <row r="1151" spans="56:61">
      <c r="BI1151" s="2997"/>
    </row>
    <row r="1152" spans="56:61">
      <c r="BI1152" s="2997"/>
    </row>
    <row r="1153" spans="61:61">
      <c r="BI1153" s="2997"/>
    </row>
    <row r="1154" spans="61:61">
      <c r="BI1154" s="2997"/>
    </row>
    <row r="1155" spans="61:61">
      <c r="BI1155" s="2997"/>
    </row>
    <row r="1156" spans="61:61">
      <c r="BI1156" s="2997"/>
    </row>
    <row r="1157" spans="61:61">
      <c r="BI1157" s="2997"/>
    </row>
    <row r="1158" spans="61:61">
      <c r="BI1158" s="2997"/>
    </row>
    <row r="1159" spans="61:61">
      <c r="BI1159" s="2997"/>
    </row>
    <row r="1160" spans="61:61">
      <c r="BI1160" s="2997"/>
    </row>
    <row r="1161" spans="61:61">
      <c r="BI1161" s="2997"/>
    </row>
    <row r="1162" spans="61:61">
      <c r="BI1162" s="2997"/>
    </row>
    <row r="1163" spans="61:61">
      <c r="BI1163" s="2997"/>
    </row>
    <row r="1164" spans="61:61">
      <c r="BI1164" s="2997"/>
    </row>
    <row r="1165" spans="61:61">
      <c r="BI1165" s="2997"/>
    </row>
    <row r="1166" spans="61:61">
      <c r="BI1166" s="2997"/>
    </row>
    <row r="1167" spans="61:61">
      <c r="BI1167" s="2997"/>
    </row>
    <row r="1168" spans="61:61">
      <c r="BI1168" s="2997"/>
    </row>
    <row r="1169" spans="61:61">
      <c r="BI1169" s="2997"/>
    </row>
    <row r="1170" spans="61:61">
      <c r="BI1170" s="2997"/>
    </row>
    <row r="1171" spans="61:61">
      <c r="BI1171" s="2997"/>
    </row>
    <row r="1172" spans="61:61">
      <c r="BI1172" s="2997"/>
    </row>
    <row r="1173" spans="61:61">
      <c r="BI1173" s="2997"/>
    </row>
    <row r="1174" spans="61:61">
      <c r="BI1174" s="2997"/>
    </row>
    <row r="1175" spans="61:61">
      <c r="BI1175" s="2997"/>
    </row>
    <row r="1176" spans="61:61">
      <c r="BI1176" s="2997"/>
    </row>
    <row r="1177" spans="61:61">
      <c r="BI1177" s="2997"/>
    </row>
    <row r="1178" spans="61:61">
      <c r="BI1178" s="2997"/>
    </row>
    <row r="1179" spans="61:61">
      <c r="BI1179" s="2997"/>
    </row>
    <row r="1180" spans="61:61">
      <c r="BI1180" s="2997"/>
    </row>
    <row r="1181" spans="61:61">
      <c r="BI1181" s="2997"/>
    </row>
    <row r="1182" spans="61:61">
      <c r="BI1182" s="2997"/>
    </row>
    <row r="1183" spans="61:61">
      <c r="BI1183" s="2997"/>
    </row>
    <row r="1184" spans="61:61">
      <c r="BI1184" s="2997"/>
    </row>
    <row r="1185" spans="61:61">
      <c r="BI1185" s="2997"/>
    </row>
    <row r="1186" spans="61:61">
      <c r="BI1186" s="2997"/>
    </row>
    <row r="1187" spans="61:61">
      <c r="BI1187" s="2997"/>
    </row>
    <row r="1188" spans="61:61">
      <c r="BI1188" s="2997"/>
    </row>
    <row r="1189" spans="61:61">
      <c r="BI1189" s="2997"/>
    </row>
    <row r="1190" spans="61:61">
      <c r="BI1190" s="2997"/>
    </row>
    <row r="1191" spans="61:61">
      <c r="BI1191" s="2997"/>
    </row>
    <row r="1192" spans="61:61">
      <c r="BI1192" s="2997"/>
    </row>
    <row r="1193" spans="61:61">
      <c r="BI1193" s="2997"/>
    </row>
    <row r="1194" spans="61:61">
      <c r="BI1194" s="2997"/>
    </row>
    <row r="1195" spans="61:61">
      <c r="BI1195" s="2997"/>
    </row>
    <row r="1196" spans="61:61">
      <c r="BI1196" s="2997"/>
    </row>
    <row r="1197" spans="61:61">
      <c r="BI1197" s="2997"/>
    </row>
    <row r="1198" spans="61:61">
      <c r="BI1198" s="2997"/>
    </row>
    <row r="1199" spans="61:61">
      <c r="BI1199" s="2997"/>
    </row>
    <row r="1200" spans="61:61">
      <c r="BI1200" s="2997"/>
    </row>
    <row r="1201" spans="61:61">
      <c r="BI1201" s="2997"/>
    </row>
    <row r="1202" spans="61:61">
      <c r="BI1202" s="2997"/>
    </row>
    <row r="1203" spans="61:61">
      <c r="BI1203" s="2997"/>
    </row>
    <row r="1204" spans="61:61">
      <c r="BI1204" s="2997"/>
    </row>
    <row r="1205" spans="61:61">
      <c r="BI1205" s="2997"/>
    </row>
    <row r="1206" spans="61:61">
      <c r="BI1206" s="2997"/>
    </row>
    <row r="1207" spans="61:61">
      <c r="BI1207" s="2997"/>
    </row>
    <row r="1208" spans="61:61">
      <c r="BI1208" s="2997"/>
    </row>
    <row r="1209" spans="61:61">
      <c r="BI1209" s="2997"/>
    </row>
    <row r="1210" spans="61:61">
      <c r="BI1210" s="2997"/>
    </row>
    <row r="1211" spans="61:61">
      <c r="BI1211" s="2997"/>
    </row>
    <row r="1212" spans="61:61">
      <c r="BI1212" s="2997"/>
    </row>
    <row r="1213" spans="61:61">
      <c r="BI1213" s="2997"/>
    </row>
    <row r="1214" spans="61:61">
      <c r="BI1214" s="2997"/>
    </row>
    <row r="1215" spans="61:61">
      <c r="BI1215" s="2997"/>
    </row>
    <row r="1216" spans="61:61">
      <c r="BI1216" s="2997"/>
    </row>
    <row r="1217" spans="61:61">
      <c r="BI1217" s="2997"/>
    </row>
    <row r="1218" spans="61:61">
      <c r="BI1218" s="2997"/>
    </row>
    <row r="1219" spans="61:61">
      <c r="BI1219" s="2997"/>
    </row>
    <row r="1220" spans="61:61">
      <c r="BI1220" s="2997"/>
    </row>
    <row r="1221" spans="61:61">
      <c r="BI1221" s="2997"/>
    </row>
    <row r="1222" spans="61:61">
      <c r="BI1222" s="2997"/>
    </row>
    <row r="1223" spans="61:61">
      <c r="BI1223" s="2997"/>
    </row>
    <row r="1224" spans="61:61">
      <c r="BI1224" s="2997"/>
    </row>
    <row r="1225" spans="61:61">
      <c r="BI1225" s="2997"/>
    </row>
    <row r="1226" spans="61:61">
      <c r="BI1226" s="2997"/>
    </row>
    <row r="1227" spans="61:61">
      <c r="BI1227" s="2997"/>
    </row>
    <row r="1228" spans="61:61">
      <c r="BI1228" s="2997"/>
    </row>
    <row r="1229" spans="61:61">
      <c r="BI1229" s="2997"/>
    </row>
    <row r="1230" spans="61:61">
      <c r="BI1230" s="2997"/>
    </row>
    <row r="1231" spans="61:61">
      <c r="BI1231" s="2997"/>
    </row>
    <row r="1232" spans="61:61">
      <c r="BI1232" s="2997"/>
    </row>
    <row r="1233" spans="61:61">
      <c r="BI1233" s="2997"/>
    </row>
    <row r="1234" spans="61:61">
      <c r="BI1234" s="2997"/>
    </row>
    <row r="1235" spans="61:61">
      <c r="BI1235" s="2997"/>
    </row>
    <row r="1236" spans="61:61">
      <c r="BI1236" s="2997"/>
    </row>
    <row r="1237" spans="61:61">
      <c r="BI1237" s="2997"/>
    </row>
    <row r="1238" spans="61:61">
      <c r="BI1238" s="2997"/>
    </row>
    <row r="1239" spans="61:61">
      <c r="BI1239" s="2997"/>
    </row>
    <row r="1240" spans="61:61">
      <c r="BI1240" s="2997"/>
    </row>
    <row r="1241" spans="61:61">
      <c r="BI1241" s="2997"/>
    </row>
    <row r="1242" spans="61:61">
      <c r="BI1242" s="2997"/>
    </row>
    <row r="1243" spans="61:61">
      <c r="BI1243" s="2997"/>
    </row>
    <row r="1244" spans="61:61">
      <c r="BI1244" s="2997"/>
    </row>
    <row r="1245" spans="61:61">
      <c r="BI1245" s="2997"/>
    </row>
    <row r="1246" spans="61:61">
      <c r="BI1246" s="2997"/>
    </row>
    <row r="1247" spans="61:61">
      <c r="BI1247" s="2997"/>
    </row>
    <row r="1248" spans="61:61">
      <c r="BI1248" s="2997"/>
    </row>
    <row r="1249" spans="61:61">
      <c r="BI1249" s="2997"/>
    </row>
    <row r="1250" spans="61:61">
      <c r="BI1250" s="2997"/>
    </row>
    <row r="1251" spans="61:61">
      <c r="BI1251" s="2997"/>
    </row>
    <row r="1252" spans="61:61">
      <c r="BI1252" s="2997"/>
    </row>
    <row r="1253" spans="61:61">
      <c r="BI1253" s="2997"/>
    </row>
    <row r="1254" spans="61:61">
      <c r="BI1254" s="2997"/>
    </row>
    <row r="1255" spans="61:61">
      <c r="BI1255" s="2997"/>
    </row>
    <row r="1256" spans="61:61">
      <c r="BI1256" s="2997"/>
    </row>
    <row r="1257" spans="61:61">
      <c r="BI1257" s="2997"/>
    </row>
    <row r="1258" spans="61:61">
      <c r="BI1258" s="2997"/>
    </row>
    <row r="1259" spans="61:61">
      <c r="BI1259" s="2997"/>
    </row>
    <row r="1260" spans="61:61">
      <c r="BI1260" s="2997"/>
    </row>
    <row r="1261" spans="61:61">
      <c r="BI1261" s="2997"/>
    </row>
    <row r="1262" spans="61:61">
      <c r="BI1262" s="2997"/>
    </row>
    <row r="1263" spans="61:61">
      <c r="BI1263" s="2997"/>
    </row>
    <row r="1264" spans="61:61">
      <c r="BI1264" s="2997"/>
    </row>
    <row r="1265" spans="61:61">
      <c r="BI1265" s="2997"/>
    </row>
    <row r="1266" spans="61:61">
      <c r="BI1266" s="2997"/>
    </row>
    <row r="1267" spans="61:61">
      <c r="BI1267" s="2997"/>
    </row>
    <row r="1268" spans="61:61">
      <c r="BI1268" s="2997"/>
    </row>
    <row r="1269" spans="61:61">
      <c r="BI1269" s="2997"/>
    </row>
    <row r="1270" spans="61:61">
      <c r="BI1270" s="2997"/>
    </row>
    <row r="1271" spans="61:61">
      <c r="BI1271" s="2997"/>
    </row>
    <row r="1272" spans="61:61">
      <c r="BI1272" s="2997"/>
    </row>
    <row r="1273" spans="61:61">
      <c r="BI1273" s="2997"/>
    </row>
    <row r="1274" spans="61:61">
      <c r="BI1274" s="2997"/>
    </row>
    <row r="1275" spans="61:61">
      <c r="BI1275" s="2997"/>
    </row>
    <row r="1276" spans="61:61">
      <c r="BI1276" s="2997"/>
    </row>
    <row r="1277" spans="61:61">
      <c r="BI1277" s="2997"/>
    </row>
    <row r="1278" spans="61:61">
      <c r="BI1278" s="3019"/>
    </row>
  </sheetData>
  <phoneticPr fontId="4" type="noConversion"/>
  <pageMargins left="0" right="0" top="0" bottom="0" header="0" footer="0"/>
  <pageSetup paperSize="5" scale="10" orientation="landscape" horizontalDpi="1200" verticalDpi="12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 tint="0.39997558519241921"/>
  </sheetPr>
  <dimension ref="A1:DP300"/>
  <sheetViews>
    <sheetView showGridLines="0" zoomScale="85" zoomScaleNormal="85" workbookViewId="0">
      <pane xSplit="1" ySplit="5" topLeftCell="AV6" activePane="bottomRight" state="frozen"/>
      <selection activeCell="EF49" sqref="EF49"/>
      <selection pane="topRight" activeCell="EF49" sqref="EF49"/>
      <selection pane="bottomLeft" activeCell="EF49" sqref="EF49"/>
      <selection pane="bottomRight" activeCell="AV6" sqref="AV6"/>
    </sheetView>
  </sheetViews>
  <sheetFormatPr defaultRowHeight="12.75" outlineLevelRow="3" outlineLevelCol="1"/>
  <cols>
    <col min="1" max="1" width="38.5703125" customWidth="1"/>
    <col min="2" max="2" width="9.28515625" hidden="1" customWidth="1"/>
    <col min="3" max="5" width="10.5703125" hidden="1" customWidth="1"/>
    <col min="6" max="6" width="9.140625" hidden="1" customWidth="1" collapsed="1"/>
    <col min="7" max="7" width="9.140625" hidden="1" customWidth="1"/>
    <col min="8" max="8" width="9.5703125" hidden="1" customWidth="1"/>
    <col min="9" max="10" width="9.7109375" hidden="1" customWidth="1"/>
    <col min="11" max="11" width="9.5703125" hidden="1" customWidth="1"/>
    <col min="12" max="12" width="9.7109375" hidden="1" customWidth="1"/>
    <col min="13" max="13" width="11.28515625" hidden="1" customWidth="1"/>
    <col min="14" max="14" width="10.7109375" hidden="1" customWidth="1"/>
    <col min="15" max="15" width="9.5703125" hidden="1" customWidth="1"/>
    <col min="16" max="16" width="9.7109375" hidden="1" customWidth="1" collapsed="1"/>
    <col min="17" max="17" width="10.5703125" hidden="1" customWidth="1"/>
    <col min="18" max="18" width="10.28515625" hidden="1" customWidth="1"/>
    <col min="19" max="19" width="9.7109375" hidden="1" customWidth="1"/>
    <col min="20" max="27" width="9.42578125" hidden="1" customWidth="1"/>
    <col min="28" max="35" width="11.28515625" hidden="1" customWidth="1"/>
    <col min="36" max="36" width="11.28515625" hidden="1" customWidth="1" outlineLevel="1" collapsed="1"/>
    <col min="37" max="47" width="11.28515625" hidden="1" customWidth="1" outlineLevel="1"/>
    <col min="48" max="48" width="11.28515625" customWidth="1" collapsed="1"/>
    <col min="49" max="51" width="11.28515625" customWidth="1"/>
    <col min="52" max="52" width="1.7109375" hidden="1" customWidth="1" outlineLevel="1"/>
    <col min="53" max="53" width="11.28515625" customWidth="1" collapsed="1"/>
    <col min="54" max="56" width="11.28515625" customWidth="1"/>
    <col min="57" max="57" width="1.7109375" hidden="1" customWidth="1" outlineLevel="1"/>
    <col min="58" max="58" width="11.28515625" customWidth="1" collapsed="1"/>
    <col min="59" max="61" width="11.28515625" customWidth="1"/>
    <col min="62" max="62" width="1.7109375" hidden="1" customWidth="1" outlineLevel="1"/>
    <col min="63" max="63" width="11.28515625" customWidth="1" collapsed="1"/>
    <col min="64" max="66" width="11.28515625" customWidth="1"/>
    <col min="67" max="67" width="1.7109375" hidden="1" customWidth="1" outlineLevel="1"/>
    <col min="68" max="68" width="11.28515625" customWidth="1" collapsed="1"/>
    <col min="69" max="71" width="11.28515625" customWidth="1"/>
    <col min="72" max="72" width="1.7109375" hidden="1" customWidth="1" outlineLevel="1"/>
    <col min="73" max="73" width="11.28515625" customWidth="1" collapsed="1"/>
    <col min="74" max="76" width="11.28515625" customWidth="1"/>
    <col min="77" max="77" width="8.7109375" customWidth="1"/>
    <col min="78" max="81" width="9.140625" customWidth="1"/>
    <col min="82" max="83" width="11.28515625" customWidth="1"/>
    <col min="84" max="84" width="11.28515625" customWidth="1" collapsed="1"/>
    <col min="85" max="93" width="11.28515625" customWidth="1"/>
    <col min="94" max="94" width="3.42578125" customWidth="1"/>
    <col min="95" max="102" width="9.140625" hidden="1" customWidth="1"/>
    <col min="103" max="103" width="0" hidden="1" customWidth="1" collapsed="1"/>
    <col min="104" max="104" width="10.28515625" hidden="1" customWidth="1"/>
    <col min="105" max="110" width="9.5703125" customWidth="1"/>
    <col min="118" max="118" width="6.85546875" customWidth="1"/>
    <col min="119" max="119" width="9.85546875" customWidth="1"/>
  </cols>
  <sheetData>
    <row r="1" spans="1:110" ht="20.25">
      <c r="A1" s="130" t="str">
        <f>IS!A2</f>
        <v>Microsoft</v>
      </c>
      <c r="B1" s="107"/>
      <c r="C1" s="107"/>
      <c r="D1" s="107"/>
      <c r="E1" s="107"/>
      <c r="F1" s="107"/>
      <c r="G1" s="107"/>
      <c r="H1" s="239"/>
      <c r="I1" s="239"/>
      <c r="J1" s="239"/>
      <c r="K1" s="239"/>
      <c r="L1" s="151"/>
      <c r="M1" s="151"/>
      <c r="N1" s="151"/>
      <c r="O1" s="151"/>
      <c r="P1" s="151"/>
      <c r="Q1" s="151"/>
      <c r="R1" s="151"/>
      <c r="S1" s="151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237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  <c r="BD1" s="189"/>
      <c r="BE1" s="189"/>
      <c r="BF1" s="189"/>
      <c r="BG1" s="189"/>
      <c r="BH1" s="189"/>
      <c r="BI1" s="189"/>
      <c r="BJ1" s="189"/>
      <c r="BK1" s="189"/>
      <c r="BL1" s="189"/>
      <c r="BM1" s="189"/>
      <c r="BN1" s="189"/>
      <c r="BO1" s="189"/>
      <c r="BP1" s="189"/>
      <c r="BQ1" s="189"/>
      <c r="BR1" s="189"/>
      <c r="BS1" s="189"/>
      <c r="BT1" s="189"/>
      <c r="BU1" s="189"/>
      <c r="BV1" s="189"/>
      <c r="BW1" s="189"/>
      <c r="BX1" s="189"/>
      <c r="BY1" s="107"/>
      <c r="BZ1" s="107"/>
      <c r="CA1" s="107"/>
      <c r="CB1" s="107"/>
      <c r="CC1" s="107"/>
      <c r="CD1" s="107"/>
      <c r="CE1" s="107"/>
      <c r="CF1" s="109"/>
      <c r="CG1" s="109"/>
      <c r="CH1" s="109"/>
      <c r="CI1" s="107"/>
      <c r="CJ1" s="109"/>
      <c r="CK1" s="107"/>
      <c r="CL1" s="107"/>
      <c r="CM1" s="107"/>
      <c r="CN1" s="107"/>
      <c r="CO1" s="107"/>
      <c r="CP1" s="107"/>
      <c r="CQ1" s="107"/>
      <c r="CR1" s="107"/>
      <c r="CS1" s="107"/>
      <c r="CT1" s="107"/>
      <c r="CU1" s="107"/>
      <c r="CV1" s="107"/>
      <c r="CW1" s="107"/>
      <c r="CX1" s="107"/>
      <c r="CY1" s="107"/>
      <c r="CZ1" s="107"/>
      <c r="DA1" s="107"/>
      <c r="DB1" s="107"/>
      <c r="DC1" s="107"/>
      <c r="DD1" s="107"/>
      <c r="DE1" s="107"/>
      <c r="DF1" s="107"/>
    </row>
    <row r="2" spans="1:110">
      <c r="A2" s="6" t="s">
        <v>544</v>
      </c>
      <c r="B2" s="107"/>
      <c r="C2" s="155"/>
      <c r="D2" s="107"/>
      <c r="E2" s="107"/>
      <c r="F2" s="107"/>
      <c r="G2" s="155"/>
      <c r="H2" s="107"/>
      <c r="I2" s="107"/>
      <c r="J2" s="107"/>
      <c r="K2" s="155"/>
      <c r="L2" s="107"/>
      <c r="M2" s="107"/>
      <c r="N2" s="107"/>
      <c r="O2" s="155"/>
      <c r="P2" s="107"/>
      <c r="Q2" s="107"/>
      <c r="R2" s="107"/>
      <c r="S2" s="155"/>
      <c r="T2" s="155"/>
      <c r="U2" s="155"/>
      <c r="V2" s="155"/>
      <c r="W2" s="155"/>
      <c r="X2" s="155"/>
      <c r="Y2" s="155"/>
      <c r="Z2" s="155"/>
      <c r="AA2" s="155"/>
      <c r="AB2" s="107"/>
      <c r="AC2" s="107"/>
      <c r="AD2" s="234"/>
      <c r="AE2" s="107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4"/>
      <c r="BM2" s="134"/>
      <c r="BN2" s="134"/>
      <c r="BO2" s="134"/>
      <c r="BP2" s="134"/>
      <c r="BQ2" s="134"/>
      <c r="BR2" s="134"/>
      <c r="BS2" s="134"/>
      <c r="BT2" s="134"/>
      <c r="BU2" s="134"/>
      <c r="BV2" s="134"/>
      <c r="BW2" s="134"/>
      <c r="BX2" s="134"/>
      <c r="BY2" s="155"/>
      <c r="BZ2" s="107"/>
      <c r="CA2" s="107"/>
      <c r="CB2" s="155"/>
      <c r="CC2" s="155"/>
      <c r="CD2" s="155"/>
      <c r="CE2" s="155"/>
      <c r="CF2" s="155"/>
      <c r="CG2" s="194"/>
      <c r="CH2" s="155"/>
      <c r="CI2" s="168"/>
      <c r="CJ2" s="168"/>
      <c r="CK2" s="168"/>
      <c r="CL2" s="168"/>
      <c r="CM2" s="168"/>
      <c r="CN2" s="168"/>
      <c r="CO2" s="168"/>
      <c r="CP2" s="155"/>
      <c r="CQ2" s="107"/>
      <c r="CR2" s="107"/>
      <c r="CS2" s="107"/>
      <c r="CT2" s="107"/>
      <c r="CU2" s="155"/>
      <c r="CV2" s="155"/>
      <c r="CW2" s="155"/>
      <c r="CX2" s="107"/>
      <c r="CY2" s="107"/>
      <c r="CZ2" s="107"/>
      <c r="DA2" s="107"/>
      <c r="DB2" s="107"/>
      <c r="DC2" s="107"/>
      <c r="DD2" s="107"/>
      <c r="DE2" s="107"/>
      <c r="DF2" s="107"/>
    </row>
    <row r="3" spans="1:110">
      <c r="A3" s="106" t="s">
        <v>545</v>
      </c>
      <c r="B3" s="107"/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55"/>
      <c r="Q3" s="155"/>
      <c r="R3" s="155"/>
      <c r="S3" s="155"/>
      <c r="T3" s="155"/>
      <c r="U3" s="155"/>
      <c r="V3" s="155"/>
      <c r="W3" s="155"/>
      <c r="X3" s="196"/>
      <c r="Y3" s="196"/>
      <c r="Z3" s="155"/>
      <c r="AA3" s="155"/>
      <c r="AB3" s="194"/>
      <c r="AC3" s="155"/>
      <c r="AD3" s="155"/>
      <c r="AE3" s="155"/>
      <c r="AF3" s="2537"/>
      <c r="AG3" s="2537"/>
      <c r="AH3" s="2537"/>
      <c r="AI3" s="2537"/>
      <c r="AJ3" s="2537"/>
      <c r="AK3" s="2537"/>
      <c r="AL3" s="2537"/>
      <c r="AM3" s="2537"/>
      <c r="AN3" s="2537"/>
      <c r="AO3" s="2537"/>
      <c r="AP3" s="2537"/>
      <c r="AQ3" s="2537"/>
      <c r="AR3" s="2537"/>
      <c r="AS3" s="2537"/>
      <c r="AT3" s="2537"/>
      <c r="AU3" s="2537"/>
      <c r="AV3" s="2537"/>
      <c r="AW3" s="2537"/>
      <c r="AX3" s="2537"/>
      <c r="AY3" s="2537"/>
      <c r="AZ3" s="2537"/>
      <c r="BA3" s="2537"/>
      <c r="BB3" s="2537"/>
      <c r="BC3" s="2537"/>
      <c r="BD3" s="2537"/>
      <c r="BE3" s="2537"/>
      <c r="BF3" s="107"/>
      <c r="BG3" s="107"/>
      <c r="BH3" s="107"/>
      <c r="BI3" s="107"/>
      <c r="BJ3" s="107"/>
      <c r="BK3" s="107"/>
      <c r="BL3" s="107"/>
      <c r="BM3" s="107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55"/>
      <c r="BZ3" s="107"/>
      <c r="CA3" s="107"/>
      <c r="CB3" s="155"/>
      <c r="CC3" s="155"/>
      <c r="CD3" s="155"/>
      <c r="CE3" s="155"/>
      <c r="CF3" s="155"/>
      <c r="CG3" s="155"/>
      <c r="CH3" s="155"/>
      <c r="CI3" s="155"/>
      <c r="CJ3" s="155"/>
      <c r="CK3" s="155"/>
      <c r="CL3" s="155"/>
      <c r="CM3" s="155"/>
      <c r="CN3" s="155"/>
      <c r="CO3" s="155"/>
      <c r="CP3" s="155"/>
      <c r="CQ3" s="107"/>
      <c r="CR3" s="107"/>
      <c r="CS3" s="107"/>
      <c r="CT3" s="155"/>
      <c r="CU3" s="155"/>
      <c r="CV3" s="155"/>
      <c r="CW3" s="155"/>
      <c r="CX3" s="107"/>
      <c r="CY3" s="107"/>
      <c r="CZ3" s="107"/>
      <c r="DA3" s="107"/>
      <c r="DB3" s="107"/>
      <c r="DC3" s="107"/>
      <c r="DD3" s="107"/>
      <c r="DE3" s="107"/>
      <c r="DF3" s="107"/>
    </row>
    <row r="4" spans="1:110">
      <c r="A4" s="156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3095" t="s">
        <v>175</v>
      </c>
      <c r="M4" s="3096"/>
      <c r="N4" s="3096"/>
      <c r="O4" s="3097"/>
      <c r="P4" s="3095" t="s">
        <v>176</v>
      </c>
      <c r="Q4" s="3096"/>
      <c r="R4" s="3096"/>
      <c r="S4" s="3097"/>
      <c r="T4" s="3095" t="s">
        <v>177</v>
      </c>
      <c r="U4" s="3096"/>
      <c r="V4" s="3096"/>
      <c r="W4" s="3097"/>
      <c r="X4" s="3095" t="s">
        <v>178</v>
      </c>
      <c r="Y4" s="3096"/>
      <c r="Z4" s="3096"/>
      <c r="AA4" s="3097"/>
      <c r="AB4" s="3095"/>
      <c r="AC4" s="3096"/>
      <c r="AD4" s="3096"/>
      <c r="AE4" s="3097"/>
      <c r="AF4" s="3095"/>
      <c r="AG4" s="3096"/>
      <c r="AH4" s="3096"/>
      <c r="AI4" s="3096"/>
      <c r="AJ4" s="3095"/>
      <c r="AK4" s="3096"/>
      <c r="AL4" s="3096"/>
      <c r="AM4" s="3096"/>
      <c r="AN4" s="3095"/>
      <c r="AO4" s="3096"/>
      <c r="AP4" s="3096"/>
      <c r="AQ4" s="3097"/>
      <c r="AR4" s="3096"/>
      <c r="AS4" s="3096"/>
      <c r="AT4" s="3096"/>
      <c r="AU4" s="3097"/>
      <c r="AV4" s="3095"/>
      <c r="AW4" s="3096"/>
      <c r="AX4" s="3096"/>
      <c r="AY4" s="3097"/>
      <c r="AZ4" s="2591"/>
      <c r="BA4" s="3095"/>
      <c r="BB4" s="3096"/>
      <c r="BC4" s="3096"/>
      <c r="BD4" s="3097"/>
      <c r="BE4" s="2591"/>
      <c r="BF4" s="3095"/>
      <c r="BG4" s="3096"/>
      <c r="BH4" s="3096"/>
      <c r="BI4" s="3097"/>
      <c r="BJ4" s="2591"/>
      <c r="BK4" s="3095"/>
      <c r="BL4" s="3096"/>
      <c r="BM4" s="3096"/>
      <c r="BN4" s="3097"/>
      <c r="BO4" s="2691"/>
      <c r="BP4" s="3095"/>
      <c r="BQ4" s="3096"/>
      <c r="BR4" s="3096"/>
      <c r="BS4" s="3097"/>
      <c r="BT4" s="3055"/>
      <c r="BU4" s="3095"/>
      <c r="BV4" s="3096"/>
      <c r="BW4" s="3096"/>
      <c r="BX4" s="3097"/>
      <c r="BY4" s="155"/>
      <c r="BZ4" s="147"/>
      <c r="CA4" s="147"/>
      <c r="CB4" s="147"/>
      <c r="CC4" s="147"/>
      <c r="CD4" s="148"/>
      <c r="CE4" s="148"/>
      <c r="CF4" s="148"/>
      <c r="CG4" s="148"/>
      <c r="CH4" s="148"/>
      <c r="CI4" s="147"/>
      <c r="CJ4" s="148"/>
      <c r="CK4" s="148"/>
      <c r="CL4" s="1188"/>
      <c r="CM4" s="1188"/>
      <c r="CN4" s="1188"/>
      <c r="CO4" s="1188"/>
      <c r="CP4" s="155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188"/>
      <c r="DF4" s="1188"/>
    </row>
    <row r="5" spans="1:110">
      <c r="A5" s="143"/>
      <c r="B5" s="142" t="s">
        <v>843</v>
      </c>
      <c r="C5" s="142" t="s">
        <v>844</v>
      </c>
      <c r="D5" s="142" t="s">
        <v>845</v>
      </c>
      <c r="E5" s="142" t="s">
        <v>846</v>
      </c>
      <c r="F5" s="142" t="s">
        <v>848</v>
      </c>
      <c r="G5" s="142" t="s">
        <v>849</v>
      </c>
      <c r="H5" s="142" t="s">
        <v>850</v>
      </c>
      <c r="I5" s="142" t="s">
        <v>851</v>
      </c>
      <c r="J5" s="142" t="s">
        <v>852</v>
      </c>
      <c r="K5" s="142" t="s">
        <v>853</v>
      </c>
      <c r="L5" s="144" t="s">
        <v>854</v>
      </c>
      <c r="M5" s="145" t="s">
        <v>855</v>
      </c>
      <c r="N5" s="145" t="s">
        <v>856</v>
      </c>
      <c r="O5" s="146" t="s">
        <v>857</v>
      </c>
      <c r="P5" s="144" t="s">
        <v>858</v>
      </c>
      <c r="Q5" s="145" t="s">
        <v>859</v>
      </c>
      <c r="R5" s="145" t="s">
        <v>860</v>
      </c>
      <c r="S5" s="146" t="s">
        <v>861</v>
      </c>
      <c r="T5" s="144" t="s">
        <v>862</v>
      </c>
      <c r="U5" s="145" t="s">
        <v>77</v>
      </c>
      <c r="V5" s="145" t="s">
        <v>615</v>
      </c>
      <c r="W5" s="146" t="s">
        <v>313</v>
      </c>
      <c r="X5" s="144" t="s">
        <v>257</v>
      </c>
      <c r="Y5" s="200" t="s">
        <v>837</v>
      </c>
      <c r="Z5" s="145" t="s">
        <v>546</v>
      </c>
      <c r="AA5" s="204" t="s">
        <v>591</v>
      </c>
      <c r="AB5" s="207" t="s">
        <v>679</v>
      </c>
      <c r="AC5" s="200" t="s">
        <v>208</v>
      </c>
      <c r="AD5" s="200" t="s">
        <v>470</v>
      </c>
      <c r="AE5" s="204" t="s">
        <v>67</v>
      </c>
      <c r="AF5" s="207" t="s">
        <v>478</v>
      </c>
      <c r="AG5" s="145" t="s">
        <v>184</v>
      </c>
      <c r="AH5" s="145" t="s">
        <v>172</v>
      </c>
      <c r="AI5" s="200" t="s">
        <v>179</v>
      </c>
      <c r="AJ5" s="207" t="s">
        <v>159</v>
      </c>
      <c r="AK5" s="200" t="s">
        <v>894</v>
      </c>
      <c r="AL5" s="200" t="s">
        <v>464</v>
      </c>
      <c r="AM5" s="200" t="s">
        <v>26</v>
      </c>
      <c r="AN5" s="144" t="s">
        <v>758</v>
      </c>
      <c r="AO5" s="200" t="s">
        <v>905</v>
      </c>
      <c r="AP5" s="145" t="s">
        <v>984</v>
      </c>
      <c r="AQ5" s="204" t="s">
        <v>1005</v>
      </c>
      <c r="AR5" s="200" t="s">
        <v>1016</v>
      </c>
      <c r="AS5" s="200" t="s">
        <v>1025</v>
      </c>
      <c r="AT5" s="200" t="s">
        <v>1026</v>
      </c>
      <c r="AU5" s="146" t="s">
        <v>1029</v>
      </c>
      <c r="AV5" s="144" t="s">
        <v>1086</v>
      </c>
      <c r="AW5" s="145" t="s">
        <v>1117</v>
      </c>
      <c r="AX5" s="145" t="s">
        <v>1125</v>
      </c>
      <c r="AY5" s="146" t="s">
        <v>1411</v>
      </c>
      <c r="AZ5" s="145"/>
      <c r="BA5" s="144" t="s">
        <v>1413</v>
      </c>
      <c r="BB5" s="200" t="s">
        <v>1421</v>
      </c>
      <c r="BC5" s="145" t="s">
        <v>1435</v>
      </c>
      <c r="BD5" s="146" t="s">
        <v>1442</v>
      </c>
      <c r="BE5" s="145"/>
      <c r="BF5" s="144" t="s">
        <v>1466</v>
      </c>
      <c r="BG5" s="145" t="s">
        <v>1469</v>
      </c>
      <c r="BH5" s="145" t="s">
        <v>1018</v>
      </c>
      <c r="BI5" s="146" t="s">
        <v>1019</v>
      </c>
      <c r="BJ5" s="145"/>
      <c r="BK5" s="144" t="s">
        <v>1136</v>
      </c>
      <c r="BL5" s="145" t="s">
        <v>1137</v>
      </c>
      <c r="BM5" s="145" t="s">
        <v>1138</v>
      </c>
      <c r="BN5" s="146" t="s">
        <v>1139</v>
      </c>
      <c r="BO5" s="145"/>
      <c r="BP5" s="144" t="s">
        <v>1436</v>
      </c>
      <c r="BQ5" s="145" t="s">
        <v>1437</v>
      </c>
      <c r="BR5" s="145" t="s">
        <v>1438</v>
      </c>
      <c r="BS5" s="146" t="s">
        <v>1439</v>
      </c>
      <c r="BT5" s="145"/>
      <c r="BU5" s="144" t="s">
        <v>1473</v>
      </c>
      <c r="BV5" s="145" t="s">
        <v>1474</v>
      </c>
      <c r="BW5" s="145" t="s">
        <v>1475</v>
      </c>
      <c r="BX5" s="146" t="s">
        <v>1476</v>
      </c>
      <c r="BY5" s="111"/>
      <c r="BZ5" s="149" t="s">
        <v>174</v>
      </c>
      <c r="CA5" s="149" t="s">
        <v>175</v>
      </c>
      <c r="CB5" s="149" t="s">
        <v>176</v>
      </c>
      <c r="CC5" s="149" t="s">
        <v>177</v>
      </c>
      <c r="CD5" s="150" t="s">
        <v>178</v>
      </c>
      <c r="CE5" s="238" t="s">
        <v>69</v>
      </c>
      <c r="CF5" s="238" t="s">
        <v>182</v>
      </c>
      <c r="CG5" s="1023" t="s">
        <v>715</v>
      </c>
      <c r="CH5" s="1023" t="s">
        <v>990</v>
      </c>
      <c r="CI5" s="149" t="s">
        <v>991</v>
      </c>
      <c r="CJ5" s="1023" t="s">
        <v>992</v>
      </c>
      <c r="CK5" s="1023" t="s">
        <v>993</v>
      </c>
      <c r="CL5" s="1023" t="s">
        <v>1022</v>
      </c>
      <c r="CM5" s="1023" t="s">
        <v>1140</v>
      </c>
      <c r="CN5" s="2639"/>
      <c r="CO5" s="2639"/>
      <c r="CP5" s="111"/>
      <c r="CQ5" s="149" t="s">
        <v>307</v>
      </c>
      <c r="CR5" s="149" t="s">
        <v>308</v>
      </c>
      <c r="CS5" s="149" t="s">
        <v>309</v>
      </c>
      <c r="CT5" s="149" t="s">
        <v>310</v>
      </c>
      <c r="CU5" s="149" t="s">
        <v>847</v>
      </c>
      <c r="CV5" s="149" t="s">
        <v>816</v>
      </c>
      <c r="CW5" s="233" t="s">
        <v>817</v>
      </c>
      <c r="CX5" s="149" t="s">
        <v>818</v>
      </c>
      <c r="CY5" s="233" t="s">
        <v>819</v>
      </c>
      <c r="CZ5" s="1103" t="s">
        <v>288</v>
      </c>
      <c r="DA5" s="1222" t="s">
        <v>433</v>
      </c>
      <c r="DB5" s="1222" t="s">
        <v>3</v>
      </c>
      <c r="DC5" s="1222" t="s">
        <v>1015</v>
      </c>
      <c r="DD5" s="1222" t="s">
        <v>1023</v>
      </c>
      <c r="DE5" s="1222" t="s">
        <v>1144</v>
      </c>
      <c r="DF5" s="2639"/>
    </row>
    <row r="6" spans="1:110">
      <c r="A6" s="123" t="s">
        <v>73</v>
      </c>
      <c r="B6" s="124">
        <v>41.348869845729432</v>
      </c>
      <c r="C6" s="124">
        <v>39.560111174530718</v>
      </c>
      <c r="D6" s="124">
        <v>44.567810766764666</v>
      </c>
      <c r="E6" s="124">
        <v>52.32289118361544</v>
      </c>
      <c r="F6" s="113">
        <v>46.949683330835953</v>
      </c>
      <c r="G6" s="113">
        <v>47.711596220480793</v>
      </c>
      <c r="H6" s="113">
        <v>53.154015371551026</v>
      </c>
      <c r="I6" s="113">
        <v>60.999500251290627</v>
      </c>
      <c r="J6" s="113">
        <v>53.903659758410029</v>
      </c>
      <c r="K6" s="113">
        <v>52.906639541375327</v>
      </c>
      <c r="L6" s="112">
        <v>58.930602233395383</v>
      </c>
      <c r="M6" s="113">
        <v>66.047442959114164</v>
      </c>
      <c r="N6" s="113">
        <v>62.158518531826942</v>
      </c>
      <c r="O6" s="114">
        <v>61.049536957060567</v>
      </c>
      <c r="P6" s="112">
        <v>69.548622011295151</v>
      </c>
      <c r="Q6" s="113">
        <v>77.774562242263784</v>
      </c>
      <c r="R6" s="113">
        <v>71.64570882432696</v>
      </c>
      <c r="S6" s="114">
        <v>70.617347534164651</v>
      </c>
      <c r="T6" s="112">
        <v>79.397160002289979</v>
      </c>
      <c r="U6" s="113">
        <v>77.955532103500516</v>
      </c>
      <c r="V6" s="113">
        <v>68.306979525209982</v>
      </c>
      <c r="W6" s="114">
        <v>70.618685592093783</v>
      </c>
      <c r="X6" s="112">
        <v>83.311776585321525</v>
      </c>
      <c r="Y6" s="113">
        <v>92.609777750775706</v>
      </c>
      <c r="Z6" s="113">
        <v>85.96419411730453</v>
      </c>
      <c r="AA6" s="114">
        <v>84.924271687094432</v>
      </c>
      <c r="AB6" s="201">
        <v>91.2145637756241</v>
      </c>
      <c r="AC6" s="202">
        <v>95.788750833630644</v>
      </c>
      <c r="AD6" s="202">
        <v>85.009516028434518</v>
      </c>
      <c r="AE6" s="203">
        <v>86.878832693285631</v>
      </c>
      <c r="AF6" s="201">
        <v>96.117765811707457</v>
      </c>
      <c r="AG6" s="202">
        <v>95.822259681374078</v>
      </c>
      <c r="AH6" s="202">
        <v>88.602154266335958</v>
      </c>
      <c r="AI6" s="202">
        <v>85.435229016517553</v>
      </c>
      <c r="AJ6" s="201">
        <v>88.334624807289828</v>
      </c>
      <c r="AK6" s="202">
        <v>87.007889028205696</v>
      </c>
      <c r="AL6" s="202">
        <v>76.781185736557319</v>
      </c>
      <c r="AM6" s="202">
        <v>75.654177999999945</v>
      </c>
      <c r="AN6" s="201">
        <v>79.906725000000037</v>
      </c>
      <c r="AO6" s="202">
        <v>82.778473999999989</v>
      </c>
      <c r="AP6" s="202">
        <v>73.392348999999996</v>
      </c>
      <c r="AQ6" s="203">
        <v>74.979650499999991</v>
      </c>
      <c r="AR6" s="202">
        <v>79.566054999999992</v>
      </c>
      <c r="AS6" s="202">
        <v>80.434203999999966</v>
      </c>
      <c r="AT6" s="202">
        <v>68.464105147992626</v>
      </c>
      <c r="AU6" s="203">
        <v>65.295967063820484</v>
      </c>
      <c r="AV6" s="201">
        <v>70.736629000000022</v>
      </c>
      <c r="AW6" s="202">
        <v>71.299229000000025</v>
      </c>
      <c r="AX6" s="202">
        <v>59.903067999999983</v>
      </c>
      <c r="AY6" s="203">
        <f>AU6*(1+AY7)</f>
        <v>62.618832414203844</v>
      </c>
      <c r="AZ6" s="202"/>
      <c r="BA6" s="201">
        <f>AV6*(1+BA7)</f>
        <v>67.977900469000019</v>
      </c>
      <c r="BB6" s="202">
        <f>AW6*(1+BB7)</f>
        <v>68.447259840000015</v>
      </c>
      <c r="BC6" s="202">
        <f>AX6*(1+BC7)</f>
        <v>58.105975959999981</v>
      </c>
      <c r="BD6" s="203">
        <f>AY6*(1+BD7)</f>
        <v>60.740267441777725</v>
      </c>
      <c r="BE6" s="202"/>
      <c r="BF6" s="201">
        <f>BA6*(1+BF7)</f>
        <v>66.958231961965012</v>
      </c>
      <c r="BG6" s="202">
        <f>BB6*(1+BG7)</f>
        <v>68.447259840000015</v>
      </c>
      <c r="BH6" s="202">
        <f>BC6*(1+BH7)</f>
        <v>58.105975959999981</v>
      </c>
      <c r="BI6" s="203">
        <f>BD6*(1+BI7)</f>
        <v>60.740267441777725</v>
      </c>
      <c r="BJ6" s="202"/>
      <c r="BK6" s="201">
        <f>BF6*(1+BK7)</f>
        <v>66.288649642345362</v>
      </c>
      <c r="BL6" s="202">
        <f>BG6*(1+BL7)</f>
        <v>67.762787241600009</v>
      </c>
      <c r="BM6" s="202">
        <f>BH6*(1+BM7)</f>
        <v>57.524916200399979</v>
      </c>
      <c r="BN6" s="203">
        <f>BI6*(1+BN7)</f>
        <v>60.132864767359948</v>
      </c>
      <c r="BO6" s="202"/>
      <c r="BP6" s="201">
        <f>BK6*(1+BP7)</f>
        <v>64.962876649498455</v>
      </c>
      <c r="BQ6" s="202">
        <f>BL6*(1+BQ7)</f>
        <v>66.407531496768001</v>
      </c>
      <c r="BR6" s="202">
        <f>BM6*(1+BR7)</f>
        <v>56.374417876391981</v>
      </c>
      <c r="BS6" s="203">
        <f>BN6*(1+BS7)</f>
        <v>58.930207472012746</v>
      </c>
      <c r="BT6" s="202"/>
      <c r="BU6" s="201">
        <f>BP6*(1+BU7)</f>
        <v>63.663619116508485</v>
      </c>
      <c r="BV6" s="202">
        <f>BQ6*(1+BV7)</f>
        <v>65.079380866832636</v>
      </c>
      <c r="BW6" s="202">
        <f>BR6*(1+BW7)</f>
        <v>55.246929518864142</v>
      </c>
      <c r="BX6" s="203">
        <f>BS6*(1+BX7)</f>
        <v>57.751603322572493</v>
      </c>
      <c r="BY6" s="108"/>
      <c r="BZ6" s="140">
        <f>H6+I6+J6+K6</f>
        <v>220.96381492262702</v>
      </c>
      <c r="CA6" s="140">
        <f>L6+M6+N6+O6</f>
        <v>248.18610068139708</v>
      </c>
      <c r="CB6" s="140">
        <f>P6+Q6+R6+S6</f>
        <v>289.58624061205057</v>
      </c>
      <c r="CC6" s="140">
        <f>T6+U6+V6+W6</f>
        <v>296.27835722309425</v>
      </c>
      <c r="CD6" s="114">
        <f>X6+Y6+Z6+AA6</f>
        <v>346.81002014049625</v>
      </c>
      <c r="CE6" s="113">
        <f>AB6+AC6+AD6+AE6</f>
        <v>358.89166333097489</v>
      </c>
      <c r="CF6" s="1733">
        <f>SUM(AF6:AI6)</f>
        <v>365.97740877593503</v>
      </c>
      <c r="CG6" s="114">
        <f>SUM(AJ6:AM6)</f>
        <v>327.77787757205283</v>
      </c>
      <c r="CH6" s="114">
        <f>SUM(AN6:AQ6)</f>
        <v>311.05719850000003</v>
      </c>
      <c r="CI6" s="140">
        <f>SUM(AR6:AU6)</f>
        <v>293.76033121181308</v>
      </c>
      <c r="CJ6" s="114">
        <f>SUM(AV6:AY6)</f>
        <v>264.55775841420387</v>
      </c>
      <c r="CK6" s="114">
        <f>SUM(BA6:BD6)</f>
        <v>255.27140371077772</v>
      </c>
      <c r="CL6" s="114">
        <f>SUM(BF6:BI6)</f>
        <v>254.2517352037427</v>
      </c>
      <c r="CM6" s="114">
        <f>SUM(BK6:BN6)</f>
        <v>251.70921785170532</v>
      </c>
      <c r="CN6" s="113"/>
      <c r="CO6" s="113"/>
      <c r="CP6" s="110"/>
      <c r="CQ6" s="140">
        <f>B6+C6+D6+E6</f>
        <v>177.79968297064025</v>
      </c>
      <c r="CR6" s="140">
        <f>F6+G6+H6+I6</f>
        <v>208.81479517415841</v>
      </c>
      <c r="CS6" s="140">
        <f>J6+K6+L6+M6</f>
        <v>231.7883444922949</v>
      </c>
      <c r="CT6" s="140">
        <f>N6+O6+P6+Q6</f>
        <v>270.53123974244647</v>
      </c>
      <c r="CU6" s="140">
        <f>R6+S6+T6+U6</f>
        <v>299.61574846428209</v>
      </c>
      <c r="CV6" s="140">
        <f>V6+W6+X6+Y6</f>
        <v>314.84721945340101</v>
      </c>
      <c r="CW6" s="140">
        <f>Z6+AA6+AB6+AC6</f>
        <v>357.89178041365369</v>
      </c>
      <c r="CX6" s="140">
        <f>SUM(AD6:AG6)</f>
        <v>363.82837421480167</v>
      </c>
      <c r="CY6" s="140">
        <f>SUM(AH6:AK6)</f>
        <v>349.37989711834905</v>
      </c>
      <c r="CZ6" s="140">
        <f>SUM(AL6:AO6)</f>
        <v>315.1205627365573</v>
      </c>
      <c r="DA6" s="140">
        <f>SUM(AP6:AS6)</f>
        <v>308.37225849999993</v>
      </c>
      <c r="DB6" s="140">
        <f>SUM(AT6:AW6)</f>
        <v>275.79593021181313</v>
      </c>
      <c r="DC6" s="140">
        <f>SUM(AX6:BB6)</f>
        <v>258.94706072320389</v>
      </c>
      <c r="DD6" s="140">
        <f>SUM(BC6:BG6)</f>
        <v>254.25173520374273</v>
      </c>
      <c r="DE6" s="140">
        <f>SUM(BH6:BL6)</f>
        <v>252.89768028572308</v>
      </c>
      <c r="DF6" s="113"/>
    </row>
    <row r="7" spans="1:110">
      <c r="A7" s="157" t="s">
        <v>300</v>
      </c>
      <c r="B7" s="115"/>
      <c r="C7" s="115"/>
      <c r="D7" s="115"/>
      <c r="E7" s="115"/>
      <c r="F7" s="823">
        <f t="shared" ref="F7:AX7" si="0">F6/B6-1</f>
        <v>0.13545263766586313</v>
      </c>
      <c r="G7" s="823">
        <f t="shared" si="0"/>
        <v>0.20605313796989777</v>
      </c>
      <c r="H7" s="823">
        <f t="shared" si="0"/>
        <v>0.19265484341872385</v>
      </c>
      <c r="I7" s="823">
        <f t="shared" si="0"/>
        <v>0.16582816567277558</v>
      </c>
      <c r="J7" s="823">
        <f t="shared" si="0"/>
        <v>0.14811551291138936</v>
      </c>
      <c r="K7" s="823">
        <f t="shared" si="0"/>
        <v>0.10888429087317975</v>
      </c>
      <c r="L7" s="824">
        <f t="shared" si="0"/>
        <v>0.10867639672121721</v>
      </c>
      <c r="M7" s="825">
        <f t="shared" si="0"/>
        <v>8.2753837113882511E-2</v>
      </c>
      <c r="N7" s="825">
        <f t="shared" si="0"/>
        <v>0.15314097058370879</v>
      </c>
      <c r="O7" s="826">
        <f t="shared" si="0"/>
        <v>0.15391069034571991</v>
      </c>
      <c r="P7" s="158">
        <f t="shared" si="0"/>
        <v>0.18017836871659587</v>
      </c>
      <c r="Q7" s="159">
        <f t="shared" si="0"/>
        <v>0.17755599244635634</v>
      </c>
      <c r="R7" s="159">
        <f t="shared" si="0"/>
        <v>0.15262896408385762</v>
      </c>
      <c r="S7" s="160">
        <f t="shared" si="0"/>
        <v>0.15672208265614929</v>
      </c>
      <c r="T7" s="158">
        <f t="shared" si="0"/>
        <v>0.14160651507078548</v>
      </c>
      <c r="U7" s="159">
        <f t="shared" si="0"/>
        <v>2.3268515568499737E-3</v>
      </c>
      <c r="V7" s="181">
        <f t="shared" si="0"/>
        <v>-4.660054808451175E-2</v>
      </c>
      <c r="W7" s="182">
        <f t="shared" si="0"/>
        <v>1.8948006061503264E-5</v>
      </c>
      <c r="X7" s="183">
        <f t="shared" si="0"/>
        <v>4.9304239382348625E-2</v>
      </c>
      <c r="Y7" s="181">
        <f t="shared" si="0"/>
        <v>0.18798211303104106</v>
      </c>
      <c r="Z7" s="181">
        <f t="shared" si="0"/>
        <v>0.25849795606286197</v>
      </c>
      <c r="AA7" s="182">
        <f t="shared" si="0"/>
        <v>0.20257508299761184</v>
      </c>
      <c r="AB7" s="205">
        <f t="shared" si="0"/>
        <v>9.4857984239588911E-2</v>
      </c>
      <c r="AC7" s="205">
        <f t="shared" si="0"/>
        <v>3.4326538299335407E-2</v>
      </c>
      <c r="AD7" s="205">
        <f t="shared" si="0"/>
        <v>-1.1105531770207566E-2</v>
      </c>
      <c r="AE7" s="206">
        <f t="shared" si="0"/>
        <v>2.3015340224439296E-2</v>
      </c>
      <c r="AF7" s="205">
        <f t="shared" si="0"/>
        <v>5.3754596120687337E-2</v>
      </c>
      <c r="AG7" s="205">
        <f t="shared" si="0"/>
        <v>3.4982028110630559E-4</v>
      </c>
      <c r="AH7" s="181">
        <f t="shared" si="0"/>
        <v>4.2261600885949768E-2</v>
      </c>
      <c r="AI7" s="181">
        <f t="shared" si="0"/>
        <v>-1.6616287673483554E-2</v>
      </c>
      <c r="AJ7" s="2542">
        <f t="shared" si="0"/>
        <v>-8.097505116447079E-2</v>
      </c>
      <c r="AK7" s="2543">
        <f t="shared" si="0"/>
        <v>-9.1986670763951062E-2</v>
      </c>
      <c r="AL7" s="2543">
        <f t="shared" si="0"/>
        <v>-0.13341626541319851</v>
      </c>
      <c r="AM7" s="2543">
        <f t="shared" si="0"/>
        <v>-0.11448498621835024</v>
      </c>
      <c r="AN7" s="2542">
        <f t="shared" si="0"/>
        <v>-9.5408791577210383E-2</v>
      </c>
      <c r="AO7" s="2543">
        <f t="shared" si="0"/>
        <v>-4.8609558000362929E-2</v>
      </c>
      <c r="AP7" s="2543">
        <f t="shared" si="0"/>
        <v>-4.4136290733835626E-2</v>
      </c>
      <c r="AQ7" s="2544">
        <f t="shared" si="0"/>
        <v>-8.9159319132375847E-3</v>
      </c>
      <c r="AR7" s="2543">
        <f t="shared" si="0"/>
        <v>-4.2633457947380826E-3</v>
      </c>
      <c r="AS7" s="2543">
        <f t="shared" si="0"/>
        <v>-2.8319802078013989E-2</v>
      </c>
      <c r="AT7" s="2543">
        <f t="shared" si="0"/>
        <v>-6.7149286256083296E-2</v>
      </c>
      <c r="AU7" s="2544">
        <f t="shared" si="0"/>
        <v>-0.12915082121087651</v>
      </c>
      <c r="AV7" s="2542">
        <f t="shared" si="0"/>
        <v>-0.11096975965441502</v>
      </c>
      <c r="AW7" s="2543">
        <f t="shared" si="0"/>
        <v>-0.11357077643237379</v>
      </c>
      <c r="AX7" s="2543">
        <f t="shared" si="0"/>
        <v>-0.12504416919620909</v>
      </c>
      <c r="AY7" s="2543">
        <v>-4.1000000000000002E-2</v>
      </c>
      <c r="AZ7" s="2543"/>
      <c r="BA7" s="2542">
        <v>-3.9E-2</v>
      </c>
      <c r="BB7" s="2543">
        <v>-0.04</v>
      </c>
      <c r="BC7" s="2543">
        <v>-0.03</v>
      </c>
      <c r="BD7" s="2544">
        <v>-0.03</v>
      </c>
      <c r="BE7" s="2543"/>
      <c r="BF7" s="2542">
        <v>-1.4999999999999999E-2</v>
      </c>
      <c r="BG7" s="2543">
        <v>0</v>
      </c>
      <c r="BH7" s="2543">
        <v>0</v>
      </c>
      <c r="BI7" s="2544">
        <v>0</v>
      </c>
      <c r="BJ7" s="2543"/>
      <c r="BK7" s="2542">
        <v>-0.01</v>
      </c>
      <c r="BL7" s="2543">
        <v>-0.01</v>
      </c>
      <c r="BM7" s="2543">
        <v>-0.01</v>
      </c>
      <c r="BN7" s="2544">
        <v>-0.01</v>
      </c>
      <c r="BO7" s="2543"/>
      <c r="BP7" s="2542">
        <v>-0.02</v>
      </c>
      <c r="BQ7" s="2543">
        <v>-0.02</v>
      </c>
      <c r="BR7" s="2543">
        <v>-0.02</v>
      </c>
      <c r="BS7" s="2544">
        <v>-0.02</v>
      </c>
      <c r="BT7" s="2543"/>
      <c r="BU7" s="2542">
        <v>-0.02</v>
      </c>
      <c r="BV7" s="2543">
        <v>-0.02</v>
      </c>
      <c r="BW7" s="2543">
        <v>-0.02</v>
      </c>
      <c r="BX7" s="2544">
        <v>-0.02</v>
      </c>
      <c r="BY7" s="155"/>
      <c r="BZ7" s="827"/>
      <c r="CA7" s="828">
        <f t="shared" ref="CA7:CM7" si="1">IF(OR(BZ6=0,CA6=0),"NM",CA6/BZ6-1)</f>
        <v>0.12319793522890721</v>
      </c>
      <c r="CB7" s="161">
        <f t="shared" si="1"/>
        <v>0.16681087223252655</v>
      </c>
      <c r="CC7" s="161">
        <f t="shared" si="1"/>
        <v>2.3109235428104835E-2</v>
      </c>
      <c r="CD7" s="160">
        <f t="shared" si="1"/>
        <v>0.17055468847274668</v>
      </c>
      <c r="CE7" s="159">
        <f t="shared" si="1"/>
        <v>3.4836488246747344E-2</v>
      </c>
      <c r="CF7" s="161">
        <f t="shared" si="1"/>
        <v>1.9743410530061789E-2</v>
      </c>
      <c r="CG7" s="160">
        <f t="shared" si="1"/>
        <v>-0.10437674645450412</v>
      </c>
      <c r="CH7" s="160">
        <f t="shared" si="1"/>
        <v>-5.101222570573638E-2</v>
      </c>
      <c r="CI7" s="161">
        <f t="shared" si="1"/>
        <v>-5.5606709542801114E-2</v>
      </c>
      <c r="CJ7" s="160">
        <f t="shared" si="1"/>
        <v>-9.9409517538135428E-2</v>
      </c>
      <c r="CK7" s="160">
        <f t="shared" si="1"/>
        <v>-3.5101426467663899E-2</v>
      </c>
      <c r="CL7" s="160">
        <f t="shared" si="1"/>
        <v>-3.9944486229656073E-3</v>
      </c>
      <c r="CM7" s="160">
        <f t="shared" si="1"/>
        <v>-9.9999999999997868E-3</v>
      </c>
      <c r="CN7" s="159"/>
      <c r="CO7" s="159"/>
      <c r="CP7" s="179"/>
      <c r="CQ7" s="827"/>
      <c r="CR7" s="828">
        <f t="shared" ref="CR7:CX7" si="2">CR6/CQ6-1</f>
        <v>0.17443851240521968</v>
      </c>
      <c r="CS7" s="828">
        <f t="shared" si="2"/>
        <v>0.11001878147080424</v>
      </c>
      <c r="CT7" s="161">
        <f t="shared" si="2"/>
        <v>0.16714772839425263</v>
      </c>
      <c r="CU7" s="161">
        <f t="shared" si="2"/>
        <v>0.10750887309548762</v>
      </c>
      <c r="CV7" s="161">
        <f t="shared" si="2"/>
        <v>5.0836683542803573E-2</v>
      </c>
      <c r="CW7" s="161">
        <f t="shared" si="2"/>
        <v>0.13671570940020161</v>
      </c>
      <c r="CX7" s="161">
        <f t="shared" si="2"/>
        <v>1.6587678527532512E-2</v>
      </c>
      <c r="CY7" s="829">
        <f t="shared" ref="CY7:DE7" si="3">CY6/CX6-1</f>
        <v>-3.9712342743016382E-2</v>
      </c>
      <c r="CZ7" s="829">
        <f t="shared" si="3"/>
        <v>-9.8057543276986903E-2</v>
      </c>
      <c r="DA7" s="829">
        <f t="shared" si="3"/>
        <v>-2.1414991703346931E-2</v>
      </c>
      <c r="DB7" s="1245">
        <f t="shared" si="3"/>
        <v>-0.10563962026495588</v>
      </c>
      <c r="DC7" s="1245">
        <f t="shared" si="3"/>
        <v>-6.1091798837166311E-2</v>
      </c>
      <c r="DD7" s="1245">
        <f t="shared" si="3"/>
        <v>-1.8132376194376354E-2</v>
      </c>
      <c r="DE7" s="1245">
        <f t="shared" si="3"/>
        <v>-5.3256467136185703E-3</v>
      </c>
      <c r="DF7" s="2543"/>
    </row>
    <row r="8" spans="1:110">
      <c r="A8" s="157" t="s">
        <v>680</v>
      </c>
      <c r="B8" s="115"/>
      <c r="C8" s="183">
        <f t="shared" ref="C8:AI8" si="4">C6/B6-1</f>
        <v>-4.3260158690491046E-2</v>
      </c>
      <c r="D8" s="183">
        <f t="shared" si="4"/>
        <v>0.12658456823190045</v>
      </c>
      <c r="E8" s="181">
        <f t="shared" si="4"/>
        <v>0.17400631270481726</v>
      </c>
      <c r="F8" s="181">
        <f t="shared" si="4"/>
        <v>-0.10269325205909241</v>
      </c>
      <c r="G8" s="181">
        <f t="shared" si="4"/>
        <v>1.6228286020076865E-2</v>
      </c>
      <c r="H8" s="183">
        <f t="shared" si="4"/>
        <v>0.11406910651071467</v>
      </c>
      <c r="I8" s="181">
        <f t="shared" si="4"/>
        <v>0.14759910093149142</v>
      </c>
      <c r="J8" s="181">
        <f t="shared" si="4"/>
        <v>-0.11632620699594109</v>
      </c>
      <c r="K8" s="181">
        <f t="shared" si="4"/>
        <v>-1.8496336269248403E-2</v>
      </c>
      <c r="L8" s="183">
        <f t="shared" si="4"/>
        <v>0.11386024030706121</v>
      </c>
      <c r="M8" s="181">
        <f t="shared" si="4"/>
        <v>0.12076646862579898</v>
      </c>
      <c r="N8" s="181">
        <f t="shared" si="4"/>
        <v>-5.8880771958039535E-2</v>
      </c>
      <c r="O8" s="181">
        <f t="shared" si="4"/>
        <v>-1.7841184136306976E-2</v>
      </c>
      <c r="P8" s="183">
        <f t="shared" si="4"/>
        <v>0.13921620830985915</v>
      </c>
      <c r="Q8" s="181">
        <f t="shared" si="4"/>
        <v>0.11827610660111554</v>
      </c>
      <c r="R8" s="181">
        <f t="shared" si="4"/>
        <v>-7.8802801857576044E-2</v>
      </c>
      <c r="S8" s="181">
        <f t="shared" si="4"/>
        <v>-1.4353424748491439E-2</v>
      </c>
      <c r="T8" s="183">
        <f t="shared" si="4"/>
        <v>0.12432940027771022</v>
      </c>
      <c r="U8" s="181">
        <f t="shared" si="4"/>
        <v>-1.8157172104743879E-2</v>
      </c>
      <c r="V8" s="181">
        <f t="shared" si="4"/>
        <v>-0.12376995343294273</v>
      </c>
      <c r="W8" s="181">
        <f t="shared" si="4"/>
        <v>3.3842896918471199E-2</v>
      </c>
      <c r="X8" s="183">
        <f t="shared" si="4"/>
        <v>0.17974125242921279</v>
      </c>
      <c r="Y8" s="181">
        <f t="shared" si="4"/>
        <v>0.11160488404579727</v>
      </c>
      <c r="Z8" s="181">
        <f t="shared" si="4"/>
        <v>-7.1758984794837333E-2</v>
      </c>
      <c r="AA8" s="181">
        <f t="shared" si="4"/>
        <v>-1.2097157902638433E-2</v>
      </c>
      <c r="AB8" s="183">
        <f t="shared" si="4"/>
        <v>7.4069426367368907E-2</v>
      </c>
      <c r="AC8" s="181">
        <f t="shared" si="4"/>
        <v>5.0147551757836029E-2</v>
      </c>
      <c r="AD8" s="181">
        <f t="shared" si="4"/>
        <v>-0.11253132242968578</v>
      </c>
      <c r="AE8" s="181">
        <f t="shared" si="4"/>
        <v>2.1989498966513921E-2</v>
      </c>
      <c r="AF8" s="183">
        <f t="shared" si="4"/>
        <v>0.1063427400209056</v>
      </c>
      <c r="AG8" s="181">
        <f t="shared" si="4"/>
        <v>-3.0744173861912971E-3</v>
      </c>
      <c r="AH8" s="181">
        <f t="shared" si="4"/>
        <v>-7.5348937074185551E-2</v>
      </c>
      <c r="AI8" s="181">
        <f t="shared" si="4"/>
        <v>-3.574320823282362E-2</v>
      </c>
      <c r="AJ8" s="2542">
        <f>AJ6/AE6-1</f>
        <v>1.6756580042271985E-2</v>
      </c>
      <c r="AK8" s="2543">
        <f>AK6/AJ6-1</f>
        <v>-1.5019430738269723E-2</v>
      </c>
      <c r="AL8" s="2543">
        <f>AL6/AK6-1</f>
        <v>-0.11753765556055662</v>
      </c>
      <c r="AM8" s="2543">
        <f>AM6/AL6-1</f>
        <v>-1.4678175724248788E-2</v>
      </c>
      <c r="AN8" s="2542">
        <f>AN6/AI6-1</f>
        <v>-6.4709887012167622E-2</v>
      </c>
      <c r="AO8" s="2543">
        <f>AO6/AN6-1</f>
        <v>3.5938764853645999E-2</v>
      </c>
      <c r="AP8" s="2543">
        <f>AP6/AO6-1</f>
        <v>-0.11338847584940981</v>
      </c>
      <c r="AQ8" s="2544">
        <f>AQ6/AP6-1</f>
        <v>2.1627615434409941E-2</v>
      </c>
      <c r="AR8" s="2543">
        <f>AR6/AM6-1</f>
        <v>5.1707349196234098E-2</v>
      </c>
      <c r="AS8" s="2543">
        <f>AS6/AR6-1</f>
        <v>1.0911047430967491E-2</v>
      </c>
      <c r="AT8" s="2543">
        <f>AT6/AS6-1</f>
        <v>-0.14881851571512217</v>
      </c>
      <c r="AU8" s="2544">
        <f>AU6/AT6-1</f>
        <v>-4.6274439391617905E-2</v>
      </c>
      <c r="AV8" s="2542">
        <f>AV6/AQ6-1</f>
        <v>-5.6588974097711575E-2</v>
      </c>
      <c r="AW8" s="2543">
        <f>AW6/AV6-1</f>
        <v>7.9534465799890874E-3</v>
      </c>
      <c r="AX8" s="2543">
        <f>AX6/AW6-1</f>
        <v>-0.15983568349666222</v>
      </c>
      <c r="AY8" s="2544">
        <f>AY6/AX6-1</f>
        <v>4.5335982026894817E-2</v>
      </c>
      <c r="AZ8" s="2543"/>
      <c r="BA8" s="2542">
        <f>BA6/AU6-1</f>
        <v>4.1073492372939446E-2</v>
      </c>
      <c r="BB8" s="2543">
        <f>BB6/BA6-1</f>
        <v>6.9045876345363855E-3</v>
      </c>
      <c r="BC8" s="2543">
        <f>BC6/BB6-1</f>
        <v>-0.15108397186641898</v>
      </c>
      <c r="BD8" s="2544">
        <f>BD6/BC6-1</f>
        <v>4.5335982026894817E-2</v>
      </c>
      <c r="BE8" s="2543"/>
      <c r="BF8" s="2542">
        <f>BF6/AY6-1</f>
        <v>6.9298633980547697E-2</v>
      </c>
      <c r="BG8" s="2543">
        <f>BG6/BF6-1</f>
        <v>2.2238160035062293E-2</v>
      </c>
      <c r="BH8" s="2543">
        <f>BH6/BG6-1</f>
        <v>-0.15108397186641898</v>
      </c>
      <c r="BI8" s="2544">
        <f>BI6/BH6-1</f>
        <v>4.5335982026894817E-2</v>
      </c>
      <c r="BJ8" s="2543"/>
      <c r="BK8" s="2542">
        <f>BK6/BD6-1</f>
        <v>9.1346028495610687E-2</v>
      </c>
      <c r="BL8" s="2543">
        <f>BL6/BK6-1</f>
        <v>2.2238160035062293E-2</v>
      </c>
      <c r="BM8" s="2543">
        <f>BM6/BL6-1</f>
        <v>-0.15108397186641898</v>
      </c>
      <c r="BN8" s="2544">
        <f>BN6/BM6-1</f>
        <v>4.5335982026894817E-2</v>
      </c>
      <c r="BO8" s="2543"/>
      <c r="BP8" s="2542">
        <f>BP6/BI6-1</f>
        <v>6.9519107925698487E-2</v>
      </c>
      <c r="BQ8" s="2543">
        <f>BQ6/BP6-1</f>
        <v>2.2238160035062071E-2</v>
      </c>
      <c r="BR8" s="2543">
        <f>BR6/BQ6-1</f>
        <v>-0.15108397186641886</v>
      </c>
      <c r="BS8" s="2544">
        <f>BS6/BR6-1</f>
        <v>4.5335982026894817E-2</v>
      </c>
      <c r="BT8" s="2543"/>
      <c r="BU8" s="2542">
        <f>BU6/BN6-1</f>
        <v>5.8715884613317559E-2</v>
      </c>
      <c r="BV8" s="2543">
        <f>BV6/BU6-1</f>
        <v>2.2238160035062071E-2</v>
      </c>
      <c r="BW8" s="2543">
        <f>BW6/BV6-1</f>
        <v>-0.15108397186641875</v>
      </c>
      <c r="BX8" s="2544">
        <f>BX6/BW6-1</f>
        <v>4.5335982026894817E-2</v>
      </c>
      <c r="BY8" s="155"/>
      <c r="BZ8" s="827"/>
      <c r="CA8" s="828"/>
      <c r="CB8" s="161"/>
      <c r="CC8" s="161"/>
      <c r="CD8" s="160"/>
      <c r="CE8" s="159"/>
      <c r="CF8" s="161"/>
      <c r="CG8" s="160"/>
      <c r="CH8" s="160"/>
      <c r="CI8" s="161"/>
      <c r="CJ8" s="160"/>
      <c r="CK8" s="160"/>
      <c r="CL8" s="160"/>
      <c r="CM8" s="160"/>
      <c r="CN8" s="159"/>
      <c r="CO8" s="159"/>
      <c r="CP8" s="179"/>
      <c r="CQ8" s="827"/>
      <c r="CR8" s="828"/>
      <c r="CS8" s="828"/>
      <c r="CT8" s="161"/>
      <c r="CU8" s="161"/>
      <c r="CV8" s="161"/>
      <c r="CW8" s="161"/>
      <c r="CX8" s="161"/>
      <c r="CY8" s="161"/>
      <c r="CZ8" s="161"/>
      <c r="DA8" s="161"/>
      <c r="DB8" s="161"/>
      <c r="DC8" s="161"/>
      <c r="DD8" s="161"/>
      <c r="DE8" s="161"/>
      <c r="DF8" s="159"/>
    </row>
    <row r="9" spans="1:110">
      <c r="A9" s="157"/>
      <c r="B9" s="115"/>
      <c r="C9" s="181"/>
      <c r="D9" s="181"/>
      <c r="E9" s="181"/>
      <c r="F9" s="181"/>
      <c r="G9" s="181"/>
      <c r="H9" s="181"/>
      <c r="I9" s="181"/>
      <c r="J9" s="181"/>
      <c r="K9" s="181"/>
      <c r="L9" s="183"/>
      <c r="M9" s="181"/>
      <c r="N9" s="181"/>
      <c r="O9" s="181"/>
      <c r="P9" s="183"/>
      <c r="Q9" s="181"/>
      <c r="R9" s="181"/>
      <c r="S9" s="181"/>
      <c r="T9" s="183"/>
      <c r="U9" s="181"/>
      <c r="V9" s="181"/>
      <c r="W9" s="181"/>
      <c r="X9" s="183"/>
      <c r="Y9" s="181"/>
      <c r="Z9" s="181"/>
      <c r="AA9" s="181"/>
      <c r="AB9" s="183"/>
      <c r="AC9" s="181"/>
      <c r="AD9" s="181"/>
      <c r="AE9" s="181"/>
      <c r="AF9" s="183"/>
      <c r="AG9" s="181"/>
      <c r="AH9" s="181"/>
      <c r="AI9" s="181"/>
      <c r="AJ9" s="183"/>
      <c r="AK9" s="181"/>
      <c r="AL9" s="181"/>
      <c r="AM9" s="181"/>
      <c r="AN9" s="183"/>
      <c r="AO9" s="181"/>
      <c r="AP9" s="181"/>
      <c r="AQ9" s="182"/>
      <c r="AR9" s="181"/>
      <c r="AS9" s="181"/>
      <c r="AT9" s="181"/>
      <c r="AU9" s="182"/>
      <c r="AV9" s="183"/>
      <c r="AW9" s="181"/>
      <c r="AX9" s="181"/>
      <c r="AY9" s="182"/>
      <c r="AZ9" s="181"/>
      <c r="BA9" s="181"/>
      <c r="BB9" s="181"/>
      <c r="BC9" s="181"/>
      <c r="BD9" s="182"/>
      <c r="BE9" s="181"/>
      <c r="BF9" s="181"/>
      <c r="BG9" s="181"/>
      <c r="BH9" s="181"/>
      <c r="BI9" s="182"/>
      <c r="BJ9" s="181"/>
      <c r="BK9" s="181"/>
      <c r="BL9" s="181"/>
      <c r="BM9" s="181"/>
      <c r="BN9" s="182"/>
      <c r="BO9" s="181"/>
      <c r="BP9" s="181"/>
      <c r="BQ9" s="181"/>
      <c r="BR9" s="181"/>
      <c r="BS9" s="182"/>
      <c r="BT9" s="181"/>
      <c r="BU9" s="181"/>
      <c r="BV9" s="181"/>
      <c r="BW9" s="181"/>
      <c r="BX9" s="182"/>
      <c r="BY9" s="155"/>
      <c r="BZ9" s="827"/>
      <c r="CA9" s="828"/>
      <c r="CB9" s="161"/>
      <c r="CC9" s="161"/>
      <c r="CD9" s="160"/>
      <c r="CE9" s="159"/>
      <c r="CF9" s="161"/>
      <c r="CG9" s="160"/>
      <c r="CH9" s="160"/>
      <c r="CI9" s="161"/>
      <c r="CJ9" s="160"/>
      <c r="CK9" s="160"/>
      <c r="CL9" s="160"/>
      <c r="CM9" s="160"/>
      <c r="CN9" s="159"/>
      <c r="CO9" s="159"/>
      <c r="CP9" s="179"/>
      <c r="CQ9" s="827"/>
      <c r="CR9" s="828"/>
      <c r="CS9" s="828"/>
      <c r="CT9" s="161"/>
      <c r="CU9" s="161"/>
      <c r="CV9" s="161"/>
      <c r="CW9" s="161"/>
      <c r="CX9" s="161"/>
      <c r="CY9" s="161"/>
      <c r="CZ9" s="161"/>
      <c r="DA9" s="161"/>
      <c r="DB9" s="161"/>
      <c r="DC9" s="161"/>
      <c r="DD9" s="161"/>
      <c r="DE9" s="161"/>
      <c r="DF9" s="159"/>
    </row>
    <row r="10" spans="1:110">
      <c r="A10" s="162" t="s">
        <v>1105</v>
      </c>
      <c r="B10" s="117">
        <v>0.71367564584604637</v>
      </c>
      <c r="C10" s="117">
        <v>0.7398665553531294</v>
      </c>
      <c r="D10" s="117">
        <v>0.7</v>
      </c>
      <c r="E10" s="117">
        <v>0.70499999999999996</v>
      </c>
      <c r="F10" s="117">
        <v>0.68</v>
      </c>
      <c r="G10" s="117">
        <v>0.66500000000000004</v>
      </c>
      <c r="H10" s="117">
        <v>0.69673981067871216</v>
      </c>
      <c r="I10" s="117">
        <v>0.6960052053760154</v>
      </c>
      <c r="J10" s="117">
        <v>0.68979145828625266</v>
      </c>
      <c r="K10" s="117">
        <v>0.71743920928900939</v>
      </c>
      <c r="L10" s="116">
        <v>0.7044852968974592</v>
      </c>
      <c r="M10" s="117">
        <v>0.70680341821395665</v>
      </c>
      <c r="N10" s="117">
        <v>0.73749563440616561</v>
      </c>
      <c r="O10" s="118">
        <v>0.69434077218058621</v>
      </c>
      <c r="P10" s="116">
        <v>0.72076962645129172</v>
      </c>
      <c r="Q10" s="117">
        <v>0.71208506667404248</v>
      </c>
      <c r="R10" s="117">
        <v>0.67061750450287838</v>
      </c>
      <c r="S10" s="118">
        <v>0.7344372724525835</v>
      </c>
      <c r="T10" s="116">
        <v>0.6830899482273507</v>
      </c>
      <c r="U10" s="117">
        <v>0.71750021192975444</v>
      </c>
      <c r="V10" s="188">
        <v>0.67897594353312873</v>
      </c>
      <c r="W10" s="187">
        <v>0.7</v>
      </c>
      <c r="X10" s="185">
        <v>0.71499999999999997</v>
      </c>
      <c r="Y10" s="186">
        <v>0.752</v>
      </c>
      <c r="Z10" s="186">
        <v>0.70499999999999996</v>
      </c>
      <c r="AA10" s="187">
        <v>0.73168026914360074</v>
      </c>
      <c r="AB10" s="185">
        <v>0.6825</v>
      </c>
      <c r="AC10" s="186">
        <v>0.69400668505523055</v>
      </c>
      <c r="AD10" s="186">
        <v>0.69799999999999995</v>
      </c>
      <c r="AE10" s="187">
        <v>0.71733359719960821</v>
      </c>
      <c r="AF10" s="185">
        <v>0.6958823529411764</v>
      </c>
      <c r="AG10" s="186">
        <v>0.67254256077517183</v>
      </c>
      <c r="AH10" s="186">
        <v>0.69799999999999962</v>
      </c>
      <c r="AI10" s="186">
        <v>0.73520692106775154</v>
      </c>
      <c r="AJ10" s="185">
        <v>0.73882266761960447</v>
      </c>
      <c r="AK10" s="186">
        <v>0.75776696871220783</v>
      </c>
      <c r="AL10" s="186">
        <v>0.73704805274724328</v>
      </c>
      <c r="AM10" s="186">
        <v>0.74165235493482695</v>
      </c>
      <c r="AN10" s="185">
        <v>0.72228755614712226</v>
      </c>
      <c r="AO10" s="186">
        <v>0.76889251355119159</v>
      </c>
      <c r="AP10" s="186">
        <v>0.77844739505197702</v>
      </c>
      <c r="AQ10" s="187">
        <v>0.75067053682472895</v>
      </c>
      <c r="AR10" s="186">
        <v>0.68500000000000005</v>
      </c>
      <c r="AS10" s="1225">
        <v>0.72</v>
      </c>
      <c r="AT10" s="186">
        <v>0.68</v>
      </c>
      <c r="AU10" s="187">
        <v>0.68</v>
      </c>
      <c r="AV10" s="185">
        <v>0.65</v>
      </c>
      <c r="AW10" s="186">
        <v>0.65</v>
      </c>
      <c r="AX10" s="186">
        <v>0.65</v>
      </c>
      <c r="AY10" s="187">
        <v>0.65</v>
      </c>
      <c r="AZ10" s="186"/>
      <c r="BA10" s="185">
        <v>0.64296224393172319</v>
      </c>
      <c r="BB10" s="186">
        <v>0.6557757995829735</v>
      </c>
      <c r="BC10" s="186">
        <v>0.65570845200176531</v>
      </c>
      <c r="BD10" s="187">
        <v>0.66450890911819083</v>
      </c>
      <c r="BE10" s="186"/>
      <c r="BF10" s="185">
        <v>0.67702645145864249</v>
      </c>
      <c r="BG10" s="186">
        <f>BB10+0.0175</f>
        <v>0.67327579958297346</v>
      </c>
      <c r="BH10" s="186">
        <f>BC10+0.021</f>
        <v>0.67670845200176533</v>
      </c>
      <c r="BI10" s="186">
        <f>BD10+0.01</f>
        <v>0.67450890911819084</v>
      </c>
      <c r="BJ10" s="186"/>
      <c r="BK10" s="185">
        <f>BF10</f>
        <v>0.67702645145864249</v>
      </c>
      <c r="BL10" s="186">
        <f t="shared" ref="BL10:BN10" si="5">BG10</f>
        <v>0.67327579958297346</v>
      </c>
      <c r="BM10" s="186">
        <f t="shared" si="5"/>
        <v>0.67670845200176533</v>
      </c>
      <c r="BN10" s="186">
        <f t="shared" si="5"/>
        <v>0.67450890911819084</v>
      </c>
      <c r="BO10" s="186"/>
      <c r="BP10" s="185">
        <f>BK10</f>
        <v>0.67702645145864249</v>
      </c>
      <c r="BQ10" s="186">
        <f t="shared" ref="BQ10" si="6">BL10</f>
        <v>0.67327579958297346</v>
      </c>
      <c r="BR10" s="186">
        <f t="shared" ref="BR10" si="7">BM10</f>
        <v>0.67670845200176533</v>
      </c>
      <c r="BS10" s="187">
        <f t="shared" ref="BS10" si="8">BN10</f>
        <v>0.67450890911819084</v>
      </c>
      <c r="BT10" s="186"/>
      <c r="BU10" s="185">
        <f>BP10</f>
        <v>0.67702645145864249</v>
      </c>
      <c r="BV10" s="186">
        <f t="shared" ref="BV10" si="9">BQ10</f>
        <v>0.67327579958297346</v>
      </c>
      <c r="BW10" s="186">
        <f t="shared" ref="BW10" si="10">BR10</f>
        <v>0.67670845200176533</v>
      </c>
      <c r="BX10" s="187">
        <f t="shared" ref="BX10" si="11">BS10</f>
        <v>0.67450890911819084</v>
      </c>
      <c r="BY10" s="186"/>
      <c r="BZ10" s="185">
        <f t="shared" ref="BZ10:CL10" si="12">BZ11/BZ6</f>
        <v>0.69979815505805665</v>
      </c>
      <c r="CA10" s="827">
        <f t="shared" si="12"/>
        <v>0.71087429741051156</v>
      </c>
      <c r="CB10" s="827">
        <f t="shared" si="12"/>
        <v>0.70936214643307194</v>
      </c>
      <c r="CC10" s="827">
        <f t="shared" si="12"/>
        <v>0.69522590323097289</v>
      </c>
      <c r="CD10" s="830">
        <f t="shared" si="12"/>
        <v>0.72648605666744248</v>
      </c>
      <c r="CE10" s="823">
        <f t="shared" si="12"/>
        <v>0.697674943599358</v>
      </c>
      <c r="CF10" s="827">
        <f t="shared" si="12"/>
        <v>0.69946415858814592</v>
      </c>
      <c r="CG10" s="830">
        <f t="shared" si="12"/>
        <v>0.74408880789018217</v>
      </c>
      <c r="CH10" s="830">
        <f t="shared" si="12"/>
        <v>0.75478233772276204</v>
      </c>
      <c r="CI10" s="827">
        <f t="shared" si="12"/>
        <v>0.69230662567708401</v>
      </c>
      <c r="CJ10" s="830">
        <f t="shared" si="12"/>
        <v>0.65</v>
      </c>
      <c r="CK10" s="830">
        <f t="shared" si="12"/>
        <v>0.65442625359437467</v>
      </c>
      <c r="CL10" s="830">
        <f t="shared" si="12"/>
        <v>0.67534262536002465</v>
      </c>
      <c r="CM10" s="830">
        <f>CM11/CM6</f>
        <v>0.67534262536002454</v>
      </c>
      <c r="CN10" s="823"/>
      <c r="CO10" s="823"/>
      <c r="CP10" s="831"/>
      <c r="CQ10" s="827">
        <f>127.185/174.147</f>
        <v>0.73033127185653501</v>
      </c>
      <c r="CR10" s="827">
        <f t="shared" ref="CR10:CX10" si="13">CR11/CR6</f>
        <v>0.68550930186351322</v>
      </c>
      <c r="CS10" s="827">
        <f t="shared" si="13"/>
        <v>0.70468548937060593</v>
      </c>
      <c r="CT10" s="827">
        <f t="shared" si="13"/>
        <v>0.71615188516478678</v>
      </c>
      <c r="CU10" s="827">
        <f t="shared" si="13"/>
        <v>0.70116271380408923</v>
      </c>
      <c r="CV10" s="827">
        <f t="shared" si="13"/>
        <v>0.71470330690941952</v>
      </c>
      <c r="CW10" s="827">
        <f t="shared" si="13"/>
        <v>0.70265414795325731</v>
      </c>
      <c r="CX10" s="827">
        <f t="shared" si="13"/>
        <v>0.6953524536069764</v>
      </c>
      <c r="CY10" s="827">
        <f>SUM(AH11:AK11)/SUM(AH6:AK6)</f>
        <v>0.73230373278585481</v>
      </c>
      <c r="CZ10" s="827">
        <f>SUM(AL11:AO11)/SUM(AL6:AO6)</f>
        <v>0.74277572602126085</v>
      </c>
      <c r="DA10" s="827">
        <f>SUM(AP11:AS11)/SUM(AP6:AS6)</f>
        <v>0.73233718571530049</v>
      </c>
      <c r="DB10" s="827">
        <f>DB11/DB6</f>
        <v>0.66454989623404725</v>
      </c>
      <c r="DC10" s="827">
        <f>DC11/DC6</f>
        <v>0.64967918451569651</v>
      </c>
      <c r="DD10" s="827">
        <f>DD11/DD6</f>
        <v>0.6681543630336606</v>
      </c>
      <c r="DE10" s="827">
        <f>DE11/DE6</f>
        <v>0.67534376109770633</v>
      </c>
      <c r="DF10" s="823"/>
    </row>
    <row r="11" spans="1:110">
      <c r="A11" s="123" t="s">
        <v>1106</v>
      </c>
      <c r="B11" s="113">
        <f t="shared" ref="B11:S11" si="14">B6*B10</f>
        <v>29.509681392155063</v>
      </c>
      <c r="C11" s="113">
        <f t="shared" si="14"/>
        <v>29.269203184086884</v>
      </c>
      <c r="D11" s="113">
        <f t="shared" si="14"/>
        <v>31.197467536735264</v>
      </c>
      <c r="E11" s="113">
        <f t="shared" si="14"/>
        <v>36.887638284448883</v>
      </c>
      <c r="F11" s="113">
        <f t="shared" si="14"/>
        <v>31.92578466496845</v>
      </c>
      <c r="G11" s="113">
        <f t="shared" si="14"/>
        <v>31.728211486619728</v>
      </c>
      <c r="H11" s="113">
        <f t="shared" si="14"/>
        <v>37.03451860678782</v>
      </c>
      <c r="I11" s="113">
        <f t="shared" si="14"/>
        <v>42.455969700233837</v>
      </c>
      <c r="J11" s="113">
        <f t="shared" si="14"/>
        <v>37.18228407171965</v>
      </c>
      <c r="K11" s="113">
        <f t="shared" si="14"/>
        <v>37.957297638702954</v>
      </c>
      <c r="L11" s="112">
        <f t="shared" si="14"/>
        <v>41.515742810739617</v>
      </c>
      <c r="M11" s="113">
        <f t="shared" si="14"/>
        <v>46.682558447793213</v>
      </c>
      <c r="N11" s="113">
        <f t="shared" si="14"/>
        <v>45.841636058377112</v>
      </c>
      <c r="O11" s="114">
        <f t="shared" si="14"/>
        <v>42.389182632032671</v>
      </c>
      <c r="P11" s="112">
        <f t="shared" si="14"/>
        <v>50.128534307283289</v>
      </c>
      <c r="Q11" s="113">
        <f t="shared" si="14"/>
        <v>55.382104339826874</v>
      </c>
      <c r="R11" s="113">
        <f t="shared" si="14"/>
        <v>48.046866460109996</v>
      </c>
      <c r="S11" s="114">
        <f t="shared" si="14"/>
        <v>51.864012110828057</v>
      </c>
      <c r="T11" s="112">
        <f t="shared" ref="T11:BI11" si="15">(T6)*T10</f>
        <v>54.235401915362942</v>
      </c>
      <c r="U11" s="113">
        <f t="shared" si="15"/>
        <v>55.933110805358396</v>
      </c>
      <c r="V11" s="189">
        <f t="shared" si="15"/>
        <v>46.378795873027556</v>
      </c>
      <c r="W11" s="190">
        <f t="shared" si="15"/>
        <v>49.433079914465644</v>
      </c>
      <c r="X11" s="191">
        <f t="shared" si="15"/>
        <v>59.567920258504884</v>
      </c>
      <c r="Y11" s="189">
        <f t="shared" si="15"/>
        <v>69.642552868583337</v>
      </c>
      <c r="Z11" s="189">
        <f t="shared" si="15"/>
        <v>60.604756852699687</v>
      </c>
      <c r="AA11" s="189">
        <f t="shared" si="15"/>
        <v>62.137413964837528</v>
      </c>
      <c r="AB11" s="191">
        <f t="shared" si="15"/>
        <v>62.253939776863447</v>
      </c>
      <c r="AC11" s="189">
        <f t="shared" si="15"/>
        <v>66.478033431629456</v>
      </c>
      <c r="AD11" s="189">
        <f t="shared" si="15"/>
        <v>59.336642187847289</v>
      </c>
      <c r="AE11" s="190">
        <f t="shared" si="15"/>
        <v>62.321105576377505</v>
      </c>
      <c r="AF11" s="191">
        <f t="shared" si="15"/>
        <v>66.88665703249994</v>
      </c>
      <c r="AG11" s="189">
        <f t="shared" si="15"/>
        <v>64.444547905374819</v>
      </c>
      <c r="AH11" s="189">
        <f t="shared" si="15"/>
        <v>61.844303677902467</v>
      </c>
      <c r="AI11" s="189">
        <f t="shared" si="15"/>
        <v>62.8125716759521</v>
      </c>
      <c r="AJ11" s="191">
        <f t="shared" si="15"/>
        <v>65.263623143298759</v>
      </c>
      <c r="AK11" s="189">
        <f t="shared" si="15"/>
        <v>65.931704322951603</v>
      </c>
      <c r="AL11" s="189">
        <f t="shared" si="15"/>
        <v>56.591423434753985</v>
      </c>
      <c r="AM11" s="189">
        <f t="shared" si="15"/>
        <v>56.109099274358535</v>
      </c>
      <c r="AN11" s="191">
        <f t="shared" si="15"/>
        <v>57.715633119970185</v>
      </c>
      <c r="AO11" s="189">
        <f t="shared" si="15"/>
        <v>63.647748941791953</v>
      </c>
      <c r="AP11" s="189">
        <f t="shared" si="15"/>
        <v>57.13208289579557</v>
      </c>
      <c r="AQ11" s="190">
        <f t="shared" si="15"/>
        <v>56.285014491765551</v>
      </c>
      <c r="AR11" s="189">
        <f t="shared" si="15"/>
        <v>54.502747675000002</v>
      </c>
      <c r="AS11" s="189">
        <f t="shared" si="15"/>
        <v>57.912626879999976</v>
      </c>
      <c r="AT11" s="189">
        <f t="shared" si="15"/>
        <v>46.555591500634989</v>
      </c>
      <c r="AU11" s="190">
        <f t="shared" si="15"/>
        <v>44.40125760339793</v>
      </c>
      <c r="AV11" s="191">
        <f t="shared" si="15"/>
        <v>45.978808850000014</v>
      </c>
      <c r="AW11" s="189">
        <f t="shared" si="15"/>
        <v>46.344498850000015</v>
      </c>
      <c r="AX11" s="189">
        <f t="shared" si="15"/>
        <v>38.936994199999994</v>
      </c>
      <c r="AY11" s="190">
        <f t="shared" si="15"/>
        <v>40.7022410692325</v>
      </c>
      <c r="AZ11" s="189"/>
      <c r="BA11" s="191">
        <f t="shared" si="15"/>
        <v>43.70722342331559</v>
      </c>
      <c r="BB11" s="189">
        <f t="shared" si="15"/>
        <v>44.886056550839562</v>
      </c>
      <c r="BC11" s="189">
        <f t="shared" ref="BC11" si="16">(BC6)*BC10</f>
        <v>38.100579548783379</v>
      </c>
      <c r="BD11" s="190">
        <f t="shared" si="15"/>
        <v>40.362448857282878</v>
      </c>
      <c r="BE11" s="189"/>
      <c r="BF11" s="191">
        <f t="shared" si="15"/>
        <v>45.332494181153827</v>
      </c>
      <c r="BG11" s="189">
        <f>(BG6)*BG10</f>
        <v>46.083883598039556</v>
      </c>
      <c r="BH11" s="189">
        <f t="shared" si="15"/>
        <v>39.320805043943373</v>
      </c>
      <c r="BI11" s="190">
        <f t="shared" si="15"/>
        <v>40.969851531700655</v>
      </c>
      <c r="BJ11" s="189"/>
      <c r="BK11" s="191">
        <f>(BK6)*BK10</f>
        <v>44.879169239342289</v>
      </c>
      <c r="BL11" s="189">
        <f>(BL6)*BL10</f>
        <v>45.623044762059159</v>
      </c>
      <c r="BM11" s="189">
        <f>(BM6)*BM10</f>
        <v>38.92759699350394</v>
      </c>
      <c r="BN11" s="190">
        <f>(BN6)*BN10</f>
        <v>40.560153016383651</v>
      </c>
      <c r="BO11" s="189"/>
      <c r="BP11" s="191">
        <f>(BP6)*BP10</f>
        <v>43.981585854555448</v>
      </c>
      <c r="BQ11" s="189">
        <f>(BQ6)*BQ10</f>
        <v>44.71058386681797</v>
      </c>
      <c r="BR11" s="189">
        <f>(BR6)*BR10</f>
        <v>38.149045053633863</v>
      </c>
      <c r="BS11" s="190">
        <f>(BS6)*BS10</f>
        <v>39.748949956055974</v>
      </c>
      <c r="BT11" s="189"/>
      <c r="BU11" s="191">
        <f>(BU6)*BU10</f>
        <v>43.101954137464332</v>
      </c>
      <c r="BV11" s="189">
        <f>(BV6)*BV10</f>
        <v>43.816372189481605</v>
      </c>
      <c r="BW11" s="189">
        <f>(BW6)*BW10</f>
        <v>37.38606415256119</v>
      </c>
      <c r="BX11" s="190">
        <f>(BX6)*BX10</f>
        <v>38.95397095693486</v>
      </c>
      <c r="BY11" s="108"/>
      <c r="BZ11" s="140">
        <f>H11+I11+J11+K11</f>
        <v>154.63007001744427</v>
      </c>
      <c r="CA11" s="140">
        <f>L11+M11+N11+O11</f>
        <v>176.42911994894263</v>
      </c>
      <c r="CB11" s="140">
        <f>P11+Q11+R11+S11</f>
        <v>205.42151721804822</v>
      </c>
      <c r="CC11" s="140">
        <f>T11+U11+V11+W11</f>
        <v>205.98038850821453</v>
      </c>
      <c r="CD11" s="114">
        <f>X11+Y11+Z11+AA11</f>
        <v>251.95264394462544</v>
      </c>
      <c r="CE11" s="113">
        <f>AB11+AC11+AD11+AE11</f>
        <v>250.3897209727177</v>
      </c>
      <c r="CF11" s="140">
        <f>SUM(AF11:AI11)</f>
        <v>255.98808029172932</v>
      </c>
      <c r="CG11" s="114">
        <f>SUM(AJ11:AM11)</f>
        <v>243.89585017536288</v>
      </c>
      <c r="CH11" s="114">
        <f>SUM(AN11:AQ11)</f>
        <v>234.78047944932325</v>
      </c>
      <c r="CI11" s="140">
        <f>SUM(AR11:AU11)</f>
        <v>203.3722236590329</v>
      </c>
      <c r="CJ11" s="114">
        <f>SUM(AV11:AY11)</f>
        <v>171.96254296923252</v>
      </c>
      <c r="CK11" s="114">
        <f>SUM(BA11:BD11)</f>
        <v>167.05630838022142</v>
      </c>
      <c r="CL11" s="114">
        <f>SUM(BF11:BI11)</f>
        <v>171.70703435483739</v>
      </c>
      <c r="CM11" s="114">
        <f>SUM(BK11:BN11)</f>
        <v>169.98996401128903</v>
      </c>
      <c r="CN11" s="113"/>
      <c r="CO11" s="113"/>
      <c r="CP11" s="110"/>
      <c r="CQ11" s="140">
        <f>CQ10*CQ6</f>
        <v>129.85266859963639</v>
      </c>
      <c r="CR11" s="140">
        <f>F11+G11+H11+I11</f>
        <v>143.14448445860984</v>
      </c>
      <c r="CS11" s="140">
        <f>J11+K11+L11+M11</f>
        <v>163.33788296895543</v>
      </c>
      <c r="CT11" s="140">
        <f>N11+O11+P11+Q11</f>
        <v>193.74145733751993</v>
      </c>
      <c r="CU11" s="140">
        <f>R11+S11+T11+U11</f>
        <v>210.07939129165942</v>
      </c>
      <c r="CV11" s="140">
        <f>V11+W11+X11+Y11</f>
        <v>225.02234891458141</v>
      </c>
      <c r="CW11" s="140">
        <f>Z11+AA11+AB11+AC11</f>
        <v>251.4741440260301</v>
      </c>
      <c r="CX11" s="140">
        <f>AD11+AE11+AF11+AG11</f>
        <v>252.98895270209954</v>
      </c>
      <c r="CY11" s="140">
        <f>SUM(AH11:AK11)</f>
        <v>255.85220282010494</v>
      </c>
      <c r="CZ11" s="140">
        <f>SUM(AL11:AO11)</f>
        <v>234.06390477087464</v>
      </c>
      <c r="DA11" s="140">
        <f>SUM(AP11:AS11)</f>
        <v>225.83247194256109</v>
      </c>
      <c r="DB11" s="140">
        <f>SUM(AT11:AW11)</f>
        <v>183.28015680403294</v>
      </c>
      <c r="DC11" s="140">
        <f>SUM(AX11:BB11)</f>
        <v>168.23251524338764</v>
      </c>
      <c r="DD11" s="140">
        <f>SUM(BC11:BG11)</f>
        <v>169.87940618525965</v>
      </c>
      <c r="DE11" s="140">
        <f>SUM(BH11:BL11)</f>
        <v>170.79287057704548</v>
      </c>
      <c r="DF11" s="113"/>
    </row>
    <row r="12" spans="1:110">
      <c r="A12" s="125" t="s">
        <v>300</v>
      </c>
      <c r="B12" s="115"/>
      <c r="C12" s="115"/>
      <c r="D12" s="115"/>
      <c r="E12" s="115"/>
      <c r="F12" s="823"/>
      <c r="G12" s="823"/>
      <c r="H12" s="824">
        <f t="shared" ref="H12:AS12" si="17">H11/D11-1</f>
        <v>0.18710015686944415</v>
      </c>
      <c r="I12" s="825">
        <f t="shared" si="17"/>
        <v>0.15095386082584894</v>
      </c>
      <c r="J12" s="825">
        <f t="shared" si="17"/>
        <v>0.16464746166502375</v>
      </c>
      <c r="K12" s="826">
        <f t="shared" si="17"/>
        <v>0.19632641930384653</v>
      </c>
      <c r="L12" s="824">
        <f t="shared" si="17"/>
        <v>0.1210012813054484</v>
      </c>
      <c r="M12" s="825">
        <f t="shared" si="17"/>
        <v>9.9552283869660307E-2</v>
      </c>
      <c r="N12" s="825">
        <f t="shared" si="17"/>
        <v>0.23288918910830581</v>
      </c>
      <c r="O12" s="826">
        <f t="shared" si="17"/>
        <v>0.11675976081107442</v>
      </c>
      <c r="P12" s="824">
        <f t="shared" si="17"/>
        <v>0.2074584462045479</v>
      </c>
      <c r="Q12" s="825">
        <f t="shared" si="17"/>
        <v>0.18635537942425917</v>
      </c>
      <c r="R12" s="825">
        <f t="shared" si="17"/>
        <v>4.8105403544599357E-2</v>
      </c>
      <c r="S12" s="826">
        <f t="shared" si="17"/>
        <v>0.22351998530010442</v>
      </c>
      <c r="T12" s="824">
        <f t="shared" si="17"/>
        <v>8.1926744215279346E-2</v>
      </c>
      <c r="U12" s="825">
        <f t="shared" si="17"/>
        <v>9.9491789288201904E-3</v>
      </c>
      <c r="V12" s="825">
        <f t="shared" si="17"/>
        <v>-3.4717572861225454E-2</v>
      </c>
      <c r="W12" s="826">
        <f t="shared" si="17"/>
        <v>-4.6871271570116058E-2</v>
      </c>
      <c r="X12" s="824">
        <f t="shared" si="17"/>
        <v>9.832172630459346E-2</v>
      </c>
      <c r="Y12" s="825">
        <f t="shared" si="17"/>
        <v>0.24510423013896765</v>
      </c>
      <c r="Z12" s="825">
        <f t="shared" si="17"/>
        <v>0.30673415969269491</v>
      </c>
      <c r="AA12" s="826">
        <f t="shared" si="17"/>
        <v>0.25700065770440106</v>
      </c>
      <c r="AB12" s="824">
        <f t="shared" si="17"/>
        <v>4.5091712228698455E-2</v>
      </c>
      <c r="AC12" s="825">
        <f t="shared" si="17"/>
        <v>-4.5439451981683976E-2</v>
      </c>
      <c r="AD12" s="825">
        <f t="shared" si="17"/>
        <v>-2.0924342093056492E-2</v>
      </c>
      <c r="AE12" s="826">
        <f t="shared" si="17"/>
        <v>2.9562159063125648E-3</v>
      </c>
      <c r="AF12" s="824">
        <f t="shared" si="17"/>
        <v>7.4416450946583002E-2</v>
      </c>
      <c r="AG12" s="825">
        <f t="shared" si="17"/>
        <v>-3.0588833954392047E-2</v>
      </c>
      <c r="AH12" s="825">
        <f t="shared" si="17"/>
        <v>4.2261600885949102E-2</v>
      </c>
      <c r="AI12" s="825">
        <f t="shared" si="17"/>
        <v>7.8860298614613633E-3</v>
      </c>
      <c r="AJ12" s="824">
        <f t="shared" si="17"/>
        <v>-2.4265435906186128E-2</v>
      </c>
      <c r="AK12" s="825">
        <f t="shared" si="17"/>
        <v>2.3076528052619727E-2</v>
      </c>
      <c r="AL12" s="825">
        <f t="shared" si="17"/>
        <v>-8.493717174837212E-2</v>
      </c>
      <c r="AM12" s="825">
        <f t="shared" si="17"/>
        <v>-0.10672182690077636</v>
      </c>
      <c r="AN12" s="824">
        <f t="shared" si="17"/>
        <v>-0.11565386136708222</v>
      </c>
      <c r="AO12" s="825">
        <f t="shared" si="17"/>
        <v>-3.46412307191728E-2</v>
      </c>
      <c r="AP12" s="825">
        <f t="shared" si="17"/>
        <v>9.5537349694858609E-3</v>
      </c>
      <c r="AQ12" s="826">
        <f t="shared" si="17"/>
        <v>3.1352350987998712E-3</v>
      </c>
      <c r="AR12" s="825">
        <f t="shared" si="17"/>
        <v>-5.5667507593510135E-2</v>
      </c>
      <c r="AS12" s="825">
        <f t="shared" si="17"/>
        <v>-9.0107225426573123E-2</v>
      </c>
      <c r="AT12" s="825">
        <f>AT11/AP11-1</f>
        <v>-0.18512350432682934</v>
      </c>
      <c r="AU12" s="825">
        <f>AU11/AQ11-1</f>
        <v>-0.21113536161754398</v>
      </c>
      <c r="AV12" s="824">
        <f t="shared" ref="AV12:AY12" si="18">AV11/AR11-1</f>
        <v>-0.15639466244579547</v>
      </c>
      <c r="AW12" s="825">
        <f t="shared" si="18"/>
        <v>-0.19975139539033748</v>
      </c>
      <c r="AX12" s="825">
        <f t="shared" si="18"/>
        <v>-0.16364516173167043</v>
      </c>
      <c r="AY12" s="826">
        <f t="shared" si="18"/>
        <v>-8.3308823529411713E-2</v>
      </c>
      <c r="AZ12" s="825"/>
      <c r="BA12" s="824">
        <f>BA11/AV11-1</f>
        <v>-4.9405051664021649E-2</v>
      </c>
      <c r="BB12" s="825">
        <f>BB11/AW11-1</f>
        <v>-3.1469588308223773E-2</v>
      </c>
      <c r="BC12" s="825">
        <f>BC11/AX11-1</f>
        <v>-2.1481233166596447E-2</v>
      </c>
      <c r="BD12" s="826">
        <f>BD11/AY11-1</f>
        <v>-8.348243315930759E-3</v>
      </c>
      <c r="BE12" s="825"/>
      <c r="BF12" s="824">
        <f>BF11/BA11-1</f>
        <v>3.7185403934198114E-2</v>
      </c>
      <c r="BG12" s="825">
        <f>BG11/BB11-1</f>
        <v>2.6685949696723554E-2</v>
      </c>
      <c r="BH12" s="825">
        <f>BH11/BC11-1</f>
        <v>3.2026428721317446E-2</v>
      </c>
      <c r="BI12" s="826">
        <f>BI11/BD11-1</f>
        <v>1.5048707192308441E-2</v>
      </c>
      <c r="BJ12" s="825"/>
      <c r="BK12" s="824">
        <f>BK11/BF11-1</f>
        <v>-1.0000000000000009E-2</v>
      </c>
      <c r="BL12" s="825">
        <f>BL11/BG11-1</f>
        <v>-1.0000000000000009E-2</v>
      </c>
      <c r="BM12" s="825">
        <f>BM11/BH11-1</f>
        <v>-1.0000000000000009E-2</v>
      </c>
      <c r="BN12" s="826">
        <f>BN11/BI11-1</f>
        <v>-9.9999999999998979E-3</v>
      </c>
      <c r="BO12" s="825"/>
      <c r="BP12" s="824">
        <f>BP11/BK11-1</f>
        <v>-1.9999999999999907E-2</v>
      </c>
      <c r="BQ12" s="825">
        <f>BQ11/BL11-1</f>
        <v>-2.0000000000000129E-2</v>
      </c>
      <c r="BR12" s="825">
        <f>BR11/BM11-1</f>
        <v>-1.9999999999999907E-2</v>
      </c>
      <c r="BS12" s="826">
        <f>BS11/BN11-1</f>
        <v>-2.0000000000000129E-2</v>
      </c>
      <c r="BT12" s="825"/>
      <c r="BU12" s="824">
        <f>BU11/BP11-1</f>
        <v>-2.0000000000000129E-2</v>
      </c>
      <c r="BV12" s="825">
        <f>BV11/BQ11-1</f>
        <v>-2.0000000000000129E-2</v>
      </c>
      <c r="BW12" s="825">
        <f>BW11/BR11-1</f>
        <v>-1.9999999999999907E-2</v>
      </c>
      <c r="BX12" s="826">
        <f>BX11/BS11-1</f>
        <v>-1.9999999999999796E-2</v>
      </c>
      <c r="BY12" s="107"/>
      <c r="BZ12" s="827"/>
      <c r="CA12" s="828">
        <f t="shared" ref="CA12:CM12" si="19">CA11/BZ11-1</f>
        <v>0.14097549027197065</v>
      </c>
      <c r="CB12" s="828">
        <f t="shared" si="19"/>
        <v>0.16432886633167931</v>
      </c>
      <c r="CC12" s="828">
        <f t="shared" si="19"/>
        <v>2.720607352797888E-3</v>
      </c>
      <c r="CD12" s="826">
        <f t="shared" si="19"/>
        <v>0.22318753629585242</v>
      </c>
      <c r="CE12" s="825">
        <f t="shared" si="19"/>
        <v>-6.2032410036992891E-3</v>
      </c>
      <c r="CF12" s="828">
        <f t="shared" si="19"/>
        <v>2.2358582841432328E-2</v>
      </c>
      <c r="CG12" s="826">
        <f t="shared" si="19"/>
        <v>-4.723747333307815E-2</v>
      </c>
      <c r="CH12" s="826">
        <f t="shared" si="19"/>
        <v>-3.7374029609300918E-2</v>
      </c>
      <c r="CI12" s="828">
        <f t="shared" si="19"/>
        <v>-0.13377711751828048</v>
      </c>
      <c r="CJ12" s="826">
        <f t="shared" si="19"/>
        <v>-0.154444299839396</v>
      </c>
      <c r="CK12" s="826">
        <f t="shared" si="19"/>
        <v>-2.853083296104153E-2</v>
      </c>
      <c r="CL12" s="826">
        <f t="shared" si="19"/>
        <v>2.7839271798290266E-2</v>
      </c>
      <c r="CM12" s="826">
        <f t="shared" si="19"/>
        <v>-9.9999999999998979E-3</v>
      </c>
      <c r="CN12" s="825"/>
      <c r="CO12" s="825"/>
      <c r="CP12" s="832"/>
      <c r="CQ12" s="827"/>
      <c r="CR12" s="827"/>
      <c r="CS12" s="827"/>
      <c r="CT12" s="828">
        <f t="shared" ref="CT12:DE12" si="20">CT11/CS11-1</f>
        <v>0.18613914797918074</v>
      </c>
      <c r="CU12" s="828">
        <f t="shared" si="20"/>
        <v>8.4328538551647902E-2</v>
      </c>
      <c r="CV12" s="828">
        <f t="shared" si="20"/>
        <v>7.1130050077954809E-2</v>
      </c>
      <c r="CW12" s="828">
        <f t="shared" si="20"/>
        <v>0.117551857577888</v>
      </c>
      <c r="CX12" s="828">
        <f t="shared" si="20"/>
        <v>6.0237154079452182E-3</v>
      </c>
      <c r="CY12" s="828">
        <f t="shared" si="20"/>
        <v>1.1317688331541342E-2</v>
      </c>
      <c r="CZ12" s="828">
        <f t="shared" si="20"/>
        <v>-8.5159704739967035E-2</v>
      </c>
      <c r="DA12" s="828">
        <f t="shared" si="20"/>
        <v>-3.5167459230295739E-2</v>
      </c>
      <c r="DB12" s="828">
        <f t="shared" si="20"/>
        <v>-0.18842425437096144</v>
      </c>
      <c r="DC12" s="828">
        <f t="shared" si="20"/>
        <v>-8.2101858832075103E-2</v>
      </c>
      <c r="DD12" s="828">
        <f t="shared" si="20"/>
        <v>9.7893735910052904E-3</v>
      </c>
      <c r="DE12" s="828">
        <f t="shared" si="20"/>
        <v>5.3771343584145814E-3</v>
      </c>
      <c r="DF12" s="825"/>
    </row>
    <row r="13" spans="1:110">
      <c r="A13" s="125"/>
      <c r="B13" s="115"/>
      <c r="C13" s="115"/>
      <c r="D13" s="115"/>
      <c r="E13" s="115"/>
      <c r="F13" s="823"/>
      <c r="G13" s="823"/>
      <c r="H13" s="825"/>
      <c r="I13" s="825"/>
      <c r="J13" s="825"/>
      <c r="K13" s="825"/>
      <c r="L13" s="824"/>
      <c r="M13" s="825"/>
      <c r="N13" s="825"/>
      <c r="O13" s="825"/>
      <c r="P13" s="824"/>
      <c r="Q13" s="825"/>
      <c r="R13" s="825"/>
      <c r="S13" s="825"/>
      <c r="T13" s="824"/>
      <c r="U13" s="825"/>
      <c r="V13" s="825"/>
      <c r="W13" s="825"/>
      <c r="X13" s="824"/>
      <c r="Y13" s="825"/>
      <c r="Z13" s="825"/>
      <c r="AA13" s="825"/>
      <c r="AB13" s="824"/>
      <c r="AC13" s="825"/>
      <c r="AD13" s="825"/>
      <c r="AE13" s="825"/>
      <c r="AF13" s="824"/>
      <c r="AG13" s="825"/>
      <c r="AH13" s="825"/>
      <c r="AI13" s="825"/>
      <c r="AJ13" s="824"/>
      <c r="AK13" s="825"/>
      <c r="AL13" s="825"/>
      <c r="AM13" s="825"/>
      <c r="AN13" s="824"/>
      <c r="AO13" s="825"/>
      <c r="AP13" s="825"/>
      <c r="AQ13" s="826"/>
      <c r="AR13" s="825"/>
      <c r="AS13" s="825"/>
      <c r="AT13" s="825"/>
      <c r="AU13" s="825"/>
      <c r="AV13" s="824"/>
      <c r="AW13" s="825"/>
      <c r="AX13" s="825"/>
      <c r="AY13" s="826"/>
      <c r="AZ13" s="825"/>
      <c r="BA13" s="825"/>
      <c r="BB13" s="825"/>
      <c r="BC13" s="2594"/>
      <c r="BD13" s="826"/>
      <c r="BE13" s="825"/>
      <c r="BF13" s="825"/>
      <c r="BG13" s="825"/>
      <c r="BH13" s="825"/>
      <c r="BI13" s="826"/>
      <c r="BJ13" s="825"/>
      <c r="BK13" s="825"/>
      <c r="BL13" s="825"/>
      <c r="BM13" s="825"/>
      <c r="BN13" s="826"/>
      <c r="BO13" s="825"/>
      <c r="BP13" s="825"/>
      <c r="BQ13" s="825"/>
      <c r="BR13" s="825"/>
      <c r="BS13" s="826"/>
      <c r="BT13" s="825"/>
      <c r="BU13" s="825"/>
      <c r="BV13" s="825"/>
      <c r="BW13" s="825"/>
      <c r="BX13" s="826"/>
      <c r="BY13" s="107"/>
      <c r="BZ13" s="827"/>
      <c r="CA13" s="828"/>
      <c r="CB13" s="828"/>
      <c r="CC13" s="828"/>
      <c r="CD13" s="826"/>
      <c r="CE13" s="825"/>
      <c r="CF13" s="828"/>
      <c r="CG13" s="826"/>
      <c r="CH13" s="826"/>
      <c r="CI13" s="828"/>
      <c r="CJ13" s="826"/>
      <c r="CK13" s="826"/>
      <c r="CL13" s="826"/>
      <c r="CM13" s="826"/>
      <c r="CN13" s="825"/>
      <c r="CO13" s="825"/>
      <c r="CP13" s="832"/>
      <c r="CQ13" s="827"/>
      <c r="CR13" s="827"/>
      <c r="CS13" s="827"/>
      <c r="CT13" s="828"/>
      <c r="CU13" s="828"/>
      <c r="CV13" s="828"/>
      <c r="CW13" s="828"/>
      <c r="CX13" s="828"/>
      <c r="CY13" s="828"/>
      <c r="CZ13" s="828"/>
      <c r="DA13" s="828"/>
      <c r="DB13" s="828"/>
      <c r="DC13" s="828"/>
      <c r="DD13" s="828"/>
      <c r="DE13" s="828"/>
      <c r="DF13" s="825"/>
    </row>
    <row r="14" spans="1:110">
      <c r="A14" s="123" t="s">
        <v>1118</v>
      </c>
      <c r="B14" s="124"/>
      <c r="C14" s="124"/>
      <c r="D14" s="124"/>
      <c r="E14" s="124"/>
      <c r="F14" s="113"/>
      <c r="G14" s="113"/>
      <c r="H14" s="113"/>
      <c r="I14" s="113"/>
      <c r="J14" s="113"/>
      <c r="K14" s="113"/>
      <c r="L14" s="112"/>
      <c r="M14" s="113"/>
      <c r="N14" s="113"/>
      <c r="O14" s="114"/>
      <c r="P14" s="112"/>
      <c r="Q14" s="113"/>
      <c r="R14" s="113"/>
      <c r="S14" s="114"/>
      <c r="T14" s="112"/>
      <c r="U14" s="113"/>
      <c r="V14" s="113"/>
      <c r="W14" s="114"/>
      <c r="X14" s="112"/>
      <c r="Y14" s="113"/>
      <c r="Z14" s="113"/>
      <c r="AA14" s="114"/>
      <c r="AB14" s="112"/>
      <c r="AC14" s="113"/>
      <c r="AD14" s="113">
        <v>7.9927020000000004</v>
      </c>
      <c r="AE14" s="114">
        <v>15.6</v>
      </c>
      <c r="AF14" s="112">
        <v>20.5</v>
      </c>
      <c r="AG14" s="113">
        <v>31.8</v>
      </c>
      <c r="AH14" s="113">
        <v>20.9</v>
      </c>
      <c r="AI14" s="113">
        <v>28.3</v>
      </c>
      <c r="AJ14" s="112">
        <v>34.9</v>
      </c>
      <c r="AK14" s="113">
        <v>60.4</v>
      </c>
      <c r="AL14" s="113">
        <v>48.545090000000002</v>
      </c>
      <c r="AM14" s="113">
        <v>44.43056</v>
      </c>
      <c r="AN14" s="112">
        <v>47.374285</v>
      </c>
      <c r="AO14" s="113">
        <v>78.481320999999994</v>
      </c>
      <c r="AP14" s="113">
        <f t="shared" ref="AP14:AW14" si="21">AL14*(1+AP15)</f>
        <v>50.080693999999994</v>
      </c>
      <c r="AQ14" s="114">
        <f t="shared" si="21"/>
        <v>48.366731999999999</v>
      </c>
      <c r="AR14" s="113">
        <f t="shared" si="21"/>
        <v>54.480427749999997</v>
      </c>
      <c r="AS14" s="113">
        <f t="shared" si="21"/>
        <v>76.911694579999988</v>
      </c>
      <c r="AT14" s="113">
        <f t="shared" si="21"/>
        <v>46.158616998842987</v>
      </c>
      <c r="AU14" s="114">
        <f t="shared" si="21"/>
        <v>44.544961092413764</v>
      </c>
      <c r="AV14" s="112">
        <f t="shared" si="21"/>
        <v>49.554373218559121</v>
      </c>
      <c r="AW14" s="113">
        <f t="shared" si="21"/>
        <v>66.741506695625631</v>
      </c>
      <c r="AX14" s="113">
        <f t="shared" ref="AX14:AY14" si="22">AT14*(1+AX15)</f>
        <v>39.465617534010754</v>
      </c>
      <c r="AY14" s="114">
        <f t="shared" si="22"/>
        <v>39.199565761324116</v>
      </c>
      <c r="AZ14" s="113"/>
      <c r="BA14" s="112">
        <f>AV14*(1+BA15)</f>
        <v>45.590023361074394</v>
      </c>
      <c r="BB14" s="113">
        <f>AW14*(1+BB15)</f>
        <v>64.071846427800608</v>
      </c>
      <c r="BC14" s="189">
        <f t="shared" ref="BC14" si="23">AY14*(1+BC15)</f>
        <v>38.023578788484393</v>
      </c>
      <c r="BD14" s="114">
        <f>AY14*(1+BD15)</f>
        <v>37.435585302064531</v>
      </c>
      <c r="BE14" s="113"/>
      <c r="BF14" s="112">
        <f>BA14*(1+BF15)</f>
        <v>43.538472309826041</v>
      </c>
      <c r="BG14" s="113">
        <f>BB14*(1+BG15)</f>
        <v>64.071846427800608</v>
      </c>
      <c r="BH14" s="113">
        <f>BC14*(1+BH15)</f>
        <v>38.023578788484393</v>
      </c>
      <c r="BI14" s="114">
        <f>BD14*(1+BI15)</f>
        <v>37.435585302064531</v>
      </c>
      <c r="BJ14" s="113"/>
      <c r="BK14" s="112">
        <f>BF14*(1+BK15)</f>
        <v>42.885395225178648</v>
      </c>
      <c r="BL14" s="113">
        <f>BG14*(1+BL15)</f>
        <v>63.110768731383601</v>
      </c>
      <c r="BM14" s="113">
        <f>BH14*(1+BM15)</f>
        <v>37.453225106657129</v>
      </c>
      <c r="BN14" s="114">
        <f>BI14*(1+BN15)</f>
        <v>36.874051522533563</v>
      </c>
      <c r="BO14" s="113"/>
      <c r="BP14" s="112">
        <f>BK14*(1+BP15)</f>
        <v>42.24211429680097</v>
      </c>
      <c r="BQ14" s="113">
        <f>BL14*(1+BQ15)</f>
        <v>62.164107200412843</v>
      </c>
      <c r="BR14" s="113">
        <f>BM14*(1+BR15)</f>
        <v>36.891426730057269</v>
      </c>
      <c r="BS14" s="114">
        <f>BN14*(1+BS15)</f>
        <v>36.320940749695559</v>
      </c>
      <c r="BT14" s="113"/>
      <c r="BU14" s="112">
        <f>BP14*(1+BU15)</f>
        <v>41.608482582348955</v>
      </c>
      <c r="BV14" s="113">
        <f>BQ14*(1+BV15)</f>
        <v>61.23164559240665</v>
      </c>
      <c r="BW14" s="113">
        <f>BR14*(1+BW15)</f>
        <v>36.33805532910641</v>
      </c>
      <c r="BX14" s="114">
        <f>BS14*(1+BX15)</f>
        <v>35.776126638450123</v>
      </c>
      <c r="BY14" s="108"/>
      <c r="BZ14" s="140"/>
      <c r="CA14" s="140"/>
      <c r="CB14" s="140">
        <f>P14+Q14+R14+S14</f>
        <v>0</v>
      </c>
      <c r="CC14" s="140">
        <f>T14+U14+V14+W14</f>
        <v>0</v>
      </c>
      <c r="CD14" s="114">
        <f>X14+Y14+Z14+AA14</f>
        <v>0</v>
      </c>
      <c r="CE14" s="113">
        <f>AB14+AC14+AD14+AE14</f>
        <v>23.592701999999999</v>
      </c>
      <c r="CF14" s="140">
        <f>SUM(AF14:AI14)</f>
        <v>101.49999999999999</v>
      </c>
      <c r="CG14" s="114">
        <f>SUM(AJ14:AM14)</f>
        <v>188.27564999999998</v>
      </c>
      <c r="CH14" s="114">
        <f>SUM(AN14:AQ14)</f>
        <v>224.30303199999997</v>
      </c>
      <c r="CI14" s="140">
        <f>SUM(AR14:AU14)</f>
        <v>222.09570042125671</v>
      </c>
      <c r="CJ14" s="114">
        <f>SUM(AV14:AY14)</f>
        <v>194.96106320951964</v>
      </c>
      <c r="CK14" s="114">
        <f>SUM(BA14:BD14)</f>
        <v>185.12103387942395</v>
      </c>
      <c r="CL14" s="114">
        <f>SUM(BF14:BI14)</f>
        <v>183.06948282817558</v>
      </c>
      <c r="CM14" s="114">
        <f>SUM(BK14:BN14)</f>
        <v>180.32344058575293</v>
      </c>
      <c r="CN14" s="113"/>
      <c r="CO14" s="113"/>
      <c r="CP14" s="110"/>
      <c r="CQ14" s="140">
        <f>B14+C14+D14+E14</f>
        <v>0</v>
      </c>
      <c r="CR14" s="140">
        <f>F14+G14+H14+I14</f>
        <v>0</v>
      </c>
      <c r="CS14" s="140">
        <f>J14+K14+L14+M14</f>
        <v>0</v>
      </c>
      <c r="CT14" s="140">
        <f>N14+O14+P14+Q14</f>
        <v>0</v>
      </c>
      <c r="CU14" s="140"/>
      <c r="CV14" s="140"/>
      <c r="CW14" s="140">
        <v>19.433684</v>
      </c>
      <c r="CX14" s="140">
        <f>SUM(AD14:AG14)</f>
        <v>75.892702</v>
      </c>
      <c r="CY14" s="140">
        <f>SUM(AH14:AK14)</f>
        <v>144.5</v>
      </c>
      <c r="CZ14" s="140">
        <f>SUM(AL14:AO14)</f>
        <v>218.831256</v>
      </c>
      <c r="DA14" s="140">
        <f>SUM(AP14:AS14)</f>
        <v>229.83954832999999</v>
      </c>
      <c r="DB14" s="140">
        <f>SUM(AT14:AW14)</f>
        <v>206.99945800544151</v>
      </c>
      <c r="DC14" s="140">
        <f>SUM(AX14:BB14)</f>
        <v>188.32705308420987</v>
      </c>
      <c r="DD14" s="140">
        <f>SUM(BC14:BG14)</f>
        <v>183.06948282817558</v>
      </c>
      <c r="DE14" s="140">
        <f>SUM(BH14:BL14)</f>
        <v>181.45532804711115</v>
      </c>
      <c r="DF14" s="113"/>
    </row>
    <row r="15" spans="1:110">
      <c r="A15" s="157" t="s">
        <v>300</v>
      </c>
      <c r="B15" s="115"/>
      <c r="C15" s="181"/>
      <c r="D15" s="181"/>
      <c r="E15" s="181"/>
      <c r="F15" s="181"/>
      <c r="G15" s="181"/>
      <c r="H15" s="181"/>
      <c r="I15" s="181"/>
      <c r="J15" s="181"/>
      <c r="K15" s="181"/>
      <c r="L15" s="183"/>
      <c r="M15" s="181"/>
      <c r="N15" s="181"/>
      <c r="O15" s="181"/>
      <c r="P15" s="183"/>
      <c r="Q15" s="181"/>
      <c r="R15" s="181"/>
      <c r="S15" s="181"/>
      <c r="T15" s="183"/>
      <c r="U15" s="181"/>
      <c r="V15" s="181"/>
      <c r="W15" s="181"/>
      <c r="X15" s="183"/>
      <c r="Y15" s="181"/>
      <c r="Z15" s="181"/>
      <c r="AA15" s="181"/>
      <c r="AB15" s="183"/>
      <c r="AC15" s="181"/>
      <c r="AD15" s="181" t="str">
        <f t="shared" ref="AD15:AK15" si="24">IF(OR(AD14=0,Z14=0),"NM",AD14/Z14-1)</f>
        <v>NM</v>
      </c>
      <c r="AE15" s="181" t="str">
        <f t="shared" si="24"/>
        <v>NM</v>
      </c>
      <c r="AF15" s="183" t="str">
        <f t="shared" si="24"/>
        <v>NM</v>
      </c>
      <c r="AG15" s="181" t="str">
        <f t="shared" si="24"/>
        <v>NM</v>
      </c>
      <c r="AH15" s="181">
        <f t="shared" si="24"/>
        <v>1.6148854292328174</v>
      </c>
      <c r="AI15" s="181">
        <f t="shared" si="24"/>
        <v>0.8141025641025641</v>
      </c>
      <c r="AJ15" s="183">
        <f t="shared" si="24"/>
        <v>0.70243902439024386</v>
      </c>
      <c r="AK15" s="181">
        <f t="shared" si="24"/>
        <v>0.89937106918238996</v>
      </c>
      <c r="AL15" s="181">
        <f>AL14/AH14-1</f>
        <v>1.3227315789473688</v>
      </c>
      <c r="AM15" s="181">
        <f>AM14/AI14-1</f>
        <v>0.56998445229681982</v>
      </c>
      <c r="AN15" s="183">
        <f>AN14/AJ14-1</f>
        <v>0.35742936962750727</v>
      </c>
      <c r="AO15" s="181">
        <f>AO14/AK14-1</f>
        <v>0.29935961920529786</v>
      </c>
      <c r="AP15" s="181">
        <v>3.1632529674988641E-2</v>
      </c>
      <c r="AQ15" s="182">
        <v>8.8591545998970123E-2</v>
      </c>
      <c r="AR15" s="181">
        <v>0.15</v>
      </c>
      <c r="AS15" s="181">
        <v>-0.02</v>
      </c>
      <c r="AT15" s="181">
        <v>-7.8315148770841891E-2</v>
      </c>
      <c r="AU15" s="184">
        <v>-7.9016521264786532E-2</v>
      </c>
      <c r="AV15" s="183">
        <v>-9.0418793223239202E-2</v>
      </c>
      <c r="AW15" s="181">
        <v>-0.13223200892805453</v>
      </c>
      <c r="AX15" s="181">
        <v>-0.14499999999999999</v>
      </c>
      <c r="AY15" s="184">
        <v>-0.12</v>
      </c>
      <c r="AZ15" s="2592"/>
      <c r="BA15" s="183">
        <v>-0.08</v>
      </c>
      <c r="BB15" s="181">
        <v>-0.04</v>
      </c>
      <c r="BC15" s="181">
        <v>-0.03</v>
      </c>
      <c r="BD15" s="184">
        <v>-4.4999999999999998E-2</v>
      </c>
      <c r="BE15" s="2592"/>
      <c r="BF15" s="183">
        <v>-4.4999999999999998E-2</v>
      </c>
      <c r="BG15" s="181">
        <v>0</v>
      </c>
      <c r="BH15" s="181">
        <v>0</v>
      </c>
      <c r="BI15" s="184">
        <v>0</v>
      </c>
      <c r="BJ15" s="2592"/>
      <c r="BK15" s="183">
        <v>-1.4999999999999999E-2</v>
      </c>
      <c r="BL15" s="181">
        <v>-1.4999999999999999E-2</v>
      </c>
      <c r="BM15" s="181">
        <v>-1.4999999999999999E-2</v>
      </c>
      <c r="BN15" s="184">
        <v>-1.4999999999999999E-2</v>
      </c>
      <c r="BO15" s="2592"/>
      <c r="BP15" s="183">
        <v>-1.4999999999999999E-2</v>
      </c>
      <c r="BQ15" s="181">
        <v>-1.4999999999999999E-2</v>
      </c>
      <c r="BR15" s="181">
        <v>-1.4999999999999999E-2</v>
      </c>
      <c r="BS15" s="184">
        <v>-1.4999999999999999E-2</v>
      </c>
      <c r="BT15" s="2592"/>
      <c r="BU15" s="183">
        <v>-1.4999999999999999E-2</v>
      </c>
      <c r="BV15" s="181">
        <v>-1.4999999999999999E-2</v>
      </c>
      <c r="BW15" s="181">
        <v>-1.4999999999999999E-2</v>
      </c>
      <c r="BX15" s="184">
        <v>-1.4999999999999999E-2</v>
      </c>
      <c r="BY15" s="155"/>
      <c r="BZ15" s="827"/>
      <c r="CA15" s="828"/>
      <c r="CB15" s="161" t="str">
        <f t="shared" ref="CB15:CM15" si="25">IF(OR(CA14=0,CB14=0),"NM",CB14/CA14-1)</f>
        <v>NM</v>
      </c>
      <c r="CC15" s="161" t="str">
        <f t="shared" si="25"/>
        <v>NM</v>
      </c>
      <c r="CD15" s="160" t="str">
        <f t="shared" si="25"/>
        <v>NM</v>
      </c>
      <c r="CE15" s="159" t="str">
        <f t="shared" si="25"/>
        <v>NM</v>
      </c>
      <c r="CF15" s="161">
        <f t="shared" si="25"/>
        <v>3.3021778514389739</v>
      </c>
      <c r="CG15" s="160">
        <f t="shared" si="25"/>
        <v>0.85493251231527112</v>
      </c>
      <c r="CH15" s="160">
        <f t="shared" si="25"/>
        <v>0.19135444227652387</v>
      </c>
      <c r="CI15" s="161">
        <f t="shared" si="25"/>
        <v>-9.8408459264307524E-3</v>
      </c>
      <c r="CJ15" s="160">
        <f t="shared" si="25"/>
        <v>-0.12217542780103285</v>
      </c>
      <c r="CK15" s="160">
        <f t="shared" si="25"/>
        <v>-5.0471766865165635E-2</v>
      </c>
      <c r="CL15" s="160">
        <f t="shared" si="25"/>
        <v>-1.1082214744892904E-2</v>
      </c>
      <c r="CM15" s="160">
        <f t="shared" si="25"/>
        <v>-1.5000000000000124E-2</v>
      </c>
      <c r="CN15" s="159"/>
      <c r="CO15" s="159"/>
      <c r="CP15" s="179"/>
      <c r="CQ15" s="827"/>
      <c r="CR15" s="828"/>
      <c r="CS15" s="828"/>
      <c r="CT15" s="161"/>
      <c r="CU15" s="161"/>
      <c r="CV15" s="161"/>
      <c r="CW15" s="161"/>
      <c r="CX15" s="161">
        <f t="shared" ref="CX15:DE15" si="26">CX14/CW14-1</f>
        <v>2.9052143690305967</v>
      </c>
      <c r="CY15" s="829">
        <f t="shared" si="26"/>
        <v>0.90400389223195665</v>
      </c>
      <c r="CZ15" s="829">
        <f t="shared" si="26"/>
        <v>0.51440315570934247</v>
      </c>
      <c r="DA15" s="829">
        <f t="shared" si="26"/>
        <v>5.0304936009689438E-2</v>
      </c>
      <c r="DB15" s="1245">
        <f t="shared" si="26"/>
        <v>-9.937406547529859E-2</v>
      </c>
      <c r="DC15" s="1245">
        <f t="shared" si="26"/>
        <v>-9.0205090878744176E-2</v>
      </c>
      <c r="DD15" s="1245">
        <f t="shared" si="26"/>
        <v>-2.791723318520456E-2</v>
      </c>
      <c r="DE15" s="1245">
        <f t="shared" si="26"/>
        <v>-8.8171701592637541E-3</v>
      </c>
      <c r="DF15" s="2543"/>
    </row>
    <row r="16" spans="1:110">
      <c r="A16" s="157" t="s">
        <v>680</v>
      </c>
      <c r="B16" s="115"/>
      <c r="C16" s="181"/>
      <c r="D16" s="181"/>
      <c r="E16" s="181"/>
      <c r="F16" s="181"/>
      <c r="G16" s="181"/>
      <c r="H16" s="181"/>
      <c r="I16" s="181"/>
      <c r="J16" s="181"/>
      <c r="K16" s="181"/>
      <c r="L16" s="183"/>
      <c r="M16" s="181"/>
      <c r="N16" s="181"/>
      <c r="O16" s="181"/>
      <c r="P16" s="183"/>
      <c r="Q16" s="181"/>
      <c r="R16" s="181"/>
      <c r="S16" s="181"/>
      <c r="T16" s="183"/>
      <c r="U16" s="181"/>
      <c r="V16" s="181"/>
      <c r="W16" s="181"/>
      <c r="X16" s="183"/>
      <c r="Y16" s="181"/>
      <c r="Z16" s="181"/>
      <c r="AA16" s="181"/>
      <c r="AB16" s="183"/>
      <c r="AC16" s="181"/>
      <c r="AD16" s="181" t="str">
        <f t="shared" ref="AD16:AU16" si="27">IF(OR(AD14=0,AC14=0),"NM",AD14/AC14-1)</f>
        <v>NM</v>
      </c>
      <c r="AE16" s="181">
        <f t="shared" si="27"/>
        <v>0.95178051177186385</v>
      </c>
      <c r="AF16" s="183">
        <f t="shared" si="27"/>
        <v>0.3141025641025641</v>
      </c>
      <c r="AG16" s="181">
        <f t="shared" si="27"/>
        <v>0.551219512195122</v>
      </c>
      <c r="AH16" s="181">
        <f t="shared" si="27"/>
        <v>-0.34276729559748431</v>
      </c>
      <c r="AI16" s="181">
        <f t="shared" si="27"/>
        <v>0.35406698564593309</v>
      </c>
      <c r="AJ16" s="183">
        <f t="shared" si="27"/>
        <v>0.23321554770318009</v>
      </c>
      <c r="AK16" s="181">
        <f t="shared" si="27"/>
        <v>0.73065902578796571</v>
      </c>
      <c r="AL16" s="181">
        <f t="shared" si="27"/>
        <v>-0.19627334437086086</v>
      </c>
      <c r="AM16" s="181">
        <f t="shared" si="27"/>
        <v>-8.4756872425203134E-2</v>
      </c>
      <c r="AN16" s="183">
        <f t="shared" si="27"/>
        <v>6.6254510409051726E-2</v>
      </c>
      <c r="AO16" s="181">
        <f t="shared" si="27"/>
        <v>0.65662280707772136</v>
      </c>
      <c r="AP16" s="181">
        <f t="shared" si="27"/>
        <v>-0.36187753516534216</v>
      </c>
      <c r="AQ16" s="182">
        <f t="shared" si="27"/>
        <v>-3.4224006560292342E-2</v>
      </c>
      <c r="AR16" s="181">
        <f t="shared" si="27"/>
        <v>0.12640291161288286</v>
      </c>
      <c r="AS16" s="181">
        <f t="shared" si="27"/>
        <v>0.41173073994449294</v>
      </c>
      <c r="AT16" s="181">
        <f t="shared" si="27"/>
        <v>-0.39984917442131085</v>
      </c>
      <c r="AU16" s="182">
        <f t="shared" si="27"/>
        <v>-3.4958930993744253E-2</v>
      </c>
      <c r="AV16" s="183">
        <f t="shared" ref="AV16:BI16" si="28">IF(OR(AV14=0,AU14=0),"NM",AV14/AU14-1)</f>
        <v>0.11245743633612659</v>
      </c>
      <c r="AW16" s="181">
        <f t="shared" si="28"/>
        <v>0.34683383848409921</v>
      </c>
      <c r="AX16" s="181">
        <f t="shared" si="28"/>
        <v>-0.40867955357985042</v>
      </c>
      <c r="AY16" s="182">
        <f t="shared" si="28"/>
        <v>-6.7413558766021842E-3</v>
      </c>
      <c r="AZ16" s="181"/>
      <c r="BA16" s="183">
        <f>IF(OR(BA14=0,AY14=0),"NM",BA14/AY14-1)</f>
        <v>0.16302368344231422</v>
      </c>
      <c r="BB16" s="181">
        <f t="shared" si="28"/>
        <v>0.40539183146166891</v>
      </c>
      <c r="BC16" s="181">
        <f t="shared" si="28"/>
        <v>-0.40654779113738693</v>
      </c>
      <c r="BD16" s="182">
        <f t="shared" si="28"/>
        <v>-1.5463917525773141E-2</v>
      </c>
      <c r="BE16" s="181"/>
      <c r="BF16" s="183">
        <f>IF(OR(BF14=0,BD14=0),"NM",BF14/BD14-1)</f>
        <v>0.16302368344231399</v>
      </c>
      <c r="BG16" s="181">
        <f t="shared" si="28"/>
        <v>0.47161448320593613</v>
      </c>
      <c r="BH16" s="181">
        <f t="shared" si="28"/>
        <v>-0.40654779113738693</v>
      </c>
      <c r="BI16" s="182">
        <f t="shared" si="28"/>
        <v>-1.5463917525773141E-2</v>
      </c>
      <c r="BJ16" s="181"/>
      <c r="BK16" s="183">
        <f>IF(OR(BK14=0,BI14=0),"NM",BK14/BI14-1)</f>
        <v>0.14557832819067928</v>
      </c>
      <c r="BL16" s="181">
        <f>IF(OR(BL14=0,BK14=0),"NM",BL14/BK14-1)</f>
        <v>0.47161448320593613</v>
      </c>
      <c r="BM16" s="181">
        <f>IF(OR(BM14=0,BL14=0),"NM",BM14/BL14-1)</f>
        <v>-0.40654779113738693</v>
      </c>
      <c r="BN16" s="182">
        <f>IF(OR(BN14=0,BM14=0),"NM",BN14/BM14-1)</f>
        <v>-1.5463917525773252E-2</v>
      </c>
      <c r="BO16" s="181"/>
      <c r="BP16" s="183">
        <f>IF(OR(BP14=0,BN14=0),"NM",BP14/BN14-1)</f>
        <v>0.14557832819067928</v>
      </c>
      <c r="BQ16" s="181">
        <f>IF(OR(BQ14=0,BP14=0),"NM",BQ14/BP14-1)</f>
        <v>0.47161448320593613</v>
      </c>
      <c r="BR16" s="181">
        <f>IF(OR(BR14=0,BQ14=0),"NM",BR14/BQ14-1)</f>
        <v>-0.40654779113738693</v>
      </c>
      <c r="BS16" s="182">
        <f>IF(OR(BS14=0,BR14=0),"NM",BS14/BR14-1)</f>
        <v>-1.5463917525773141E-2</v>
      </c>
      <c r="BT16" s="181"/>
      <c r="BU16" s="183">
        <f>IF(OR(BU14=0,BS14=0),"NM",BU14/BS14-1)</f>
        <v>0.14557832819067928</v>
      </c>
      <c r="BV16" s="181">
        <f>IF(OR(BV14=0,BU14=0),"NM",BV14/BU14-1)</f>
        <v>0.47161448320593613</v>
      </c>
      <c r="BW16" s="181">
        <f>IF(OR(BW14=0,BV14=0),"NM",BW14/BV14-1)</f>
        <v>-0.40654779113738693</v>
      </c>
      <c r="BX16" s="182">
        <f>IF(OR(BX14=0,BW14=0),"NM",BX14/BW14-1)</f>
        <v>-1.5463917525773252E-2</v>
      </c>
      <c r="BY16" s="155"/>
      <c r="BZ16" s="827"/>
      <c r="CA16" s="828"/>
      <c r="CB16" s="161"/>
      <c r="CC16" s="161"/>
      <c r="CD16" s="160"/>
      <c r="CE16" s="159"/>
      <c r="CF16" s="161"/>
      <c r="CG16" s="160"/>
      <c r="CH16" s="160"/>
      <c r="CI16" s="161"/>
      <c r="CJ16" s="160"/>
      <c r="CK16" s="160"/>
      <c r="CL16" s="160"/>
      <c r="CM16" s="160"/>
      <c r="CN16" s="159"/>
      <c r="CO16" s="159"/>
      <c r="CP16" s="179"/>
      <c r="CQ16" s="827"/>
      <c r="CR16" s="828"/>
      <c r="CS16" s="828"/>
      <c r="CT16" s="161"/>
      <c r="CU16" s="161"/>
      <c r="CV16" s="161"/>
      <c r="CW16" s="161"/>
      <c r="CX16" s="161"/>
      <c r="CY16" s="161"/>
      <c r="CZ16" s="161"/>
      <c r="DA16" s="161"/>
      <c r="DB16" s="161"/>
      <c r="DC16" s="161"/>
      <c r="DD16" s="161"/>
      <c r="DE16" s="161"/>
      <c r="DF16" s="159"/>
    </row>
    <row r="17" spans="1:110">
      <c r="A17" s="157"/>
      <c r="B17" s="115"/>
      <c r="C17" s="181"/>
      <c r="D17" s="181"/>
      <c r="E17" s="181"/>
      <c r="F17" s="181"/>
      <c r="G17" s="181"/>
      <c r="H17" s="181"/>
      <c r="I17" s="181"/>
      <c r="J17" s="181"/>
      <c r="K17" s="181"/>
      <c r="L17" s="183"/>
      <c r="M17" s="181"/>
      <c r="N17" s="181"/>
      <c r="O17" s="181"/>
      <c r="P17" s="183"/>
      <c r="Q17" s="181"/>
      <c r="R17" s="181"/>
      <c r="S17" s="181"/>
      <c r="T17" s="183"/>
      <c r="U17" s="181"/>
      <c r="V17" s="181"/>
      <c r="W17" s="181"/>
      <c r="X17" s="183"/>
      <c r="Y17" s="181"/>
      <c r="Z17" s="181"/>
      <c r="AA17" s="181"/>
      <c r="AB17" s="183"/>
      <c r="AC17" s="181"/>
      <c r="AD17" s="181"/>
      <c r="AE17" s="181"/>
      <c r="AF17" s="183"/>
      <c r="AG17" s="181"/>
      <c r="AH17" s="181"/>
      <c r="AI17" s="181"/>
      <c r="AJ17" s="183"/>
      <c r="AK17" s="181"/>
      <c r="AL17" s="181"/>
      <c r="AM17" s="181"/>
      <c r="AN17" s="183"/>
      <c r="AO17" s="181"/>
      <c r="AP17" s="181"/>
      <c r="AQ17" s="182"/>
      <c r="AR17" s="181"/>
      <c r="AS17" s="181"/>
      <c r="AT17" s="181"/>
      <c r="AU17" s="182"/>
      <c r="AV17" s="183"/>
      <c r="AW17" s="181"/>
      <c r="AX17" s="181"/>
      <c r="AY17" s="182"/>
      <c r="AZ17" s="181"/>
      <c r="BA17" s="183"/>
      <c r="BB17" s="181"/>
      <c r="BC17" s="181"/>
      <c r="BD17" s="182"/>
      <c r="BE17" s="181"/>
      <c r="BF17" s="183"/>
      <c r="BG17" s="181"/>
      <c r="BH17" s="181"/>
      <c r="BI17" s="182"/>
      <c r="BJ17" s="181"/>
      <c r="BK17" s="183"/>
      <c r="BL17" s="181"/>
      <c r="BM17" s="181"/>
      <c r="BN17" s="182"/>
      <c r="BO17" s="181"/>
      <c r="BP17" s="183"/>
      <c r="BQ17" s="181"/>
      <c r="BR17" s="181"/>
      <c r="BS17" s="182"/>
      <c r="BT17" s="181"/>
      <c r="BU17" s="183"/>
      <c r="BV17" s="181"/>
      <c r="BW17" s="181"/>
      <c r="BX17" s="182"/>
      <c r="BY17" s="155"/>
      <c r="BZ17" s="827"/>
      <c r="CA17" s="828"/>
      <c r="CB17" s="161"/>
      <c r="CC17" s="161"/>
      <c r="CD17" s="160"/>
      <c r="CE17" s="159"/>
      <c r="CF17" s="161"/>
      <c r="CG17" s="160"/>
      <c r="CH17" s="160"/>
      <c r="CI17" s="161"/>
      <c r="CJ17" s="160"/>
      <c r="CK17" s="160"/>
      <c r="CL17" s="160"/>
      <c r="CM17" s="160"/>
      <c r="CN17" s="159"/>
      <c r="CO17" s="159"/>
      <c r="CP17" s="179"/>
      <c r="CQ17" s="827"/>
      <c r="CR17" s="828"/>
      <c r="CS17" s="828"/>
      <c r="CT17" s="161"/>
      <c r="CU17" s="161"/>
      <c r="CV17" s="161"/>
      <c r="CW17" s="161"/>
      <c r="CX17" s="161"/>
      <c r="CY17" s="161"/>
      <c r="CZ17" s="161"/>
      <c r="DA17" s="161"/>
      <c r="DB17" s="161"/>
      <c r="DC17" s="161"/>
      <c r="DD17" s="161"/>
      <c r="DE17" s="161"/>
      <c r="DF17" s="159"/>
    </row>
    <row r="18" spans="1:110">
      <c r="A18" s="157" t="s">
        <v>1107</v>
      </c>
      <c r="B18" s="115"/>
      <c r="C18" s="181"/>
      <c r="D18" s="181"/>
      <c r="E18" s="181"/>
      <c r="F18" s="181"/>
      <c r="G18" s="181"/>
      <c r="H18" s="181"/>
      <c r="I18" s="181"/>
      <c r="J18" s="181"/>
      <c r="K18" s="181"/>
      <c r="L18" s="183"/>
      <c r="M18" s="181"/>
      <c r="N18" s="181"/>
      <c r="O18" s="181"/>
      <c r="P18" s="183"/>
      <c r="Q18" s="181"/>
      <c r="R18" s="181"/>
      <c r="S18" s="181"/>
      <c r="T18" s="183"/>
      <c r="U18" s="181"/>
      <c r="V18" s="181"/>
      <c r="W18" s="181"/>
      <c r="X18" s="183"/>
      <c r="Y18" s="181"/>
      <c r="Z18" s="181"/>
      <c r="AA18" s="181"/>
      <c r="AB18" s="183"/>
      <c r="AC18" s="181"/>
      <c r="AD18" s="181">
        <v>0.01</v>
      </c>
      <c r="AE18" s="181">
        <v>0.01</v>
      </c>
      <c r="AF18" s="183">
        <v>0.01</v>
      </c>
      <c r="AG18" s="181">
        <v>0.01</v>
      </c>
      <c r="AH18" s="181">
        <v>0.01</v>
      </c>
      <c r="AI18" s="181">
        <v>0.01</v>
      </c>
      <c r="AJ18" s="183">
        <v>0.01</v>
      </c>
      <c r="AK18" s="181">
        <v>5.5E-2</v>
      </c>
      <c r="AL18" s="181">
        <v>0.04</v>
      </c>
      <c r="AM18" s="181">
        <v>3.040662137537499E-2</v>
      </c>
      <c r="AN18" s="183">
        <v>4.4999999999999998E-2</v>
      </c>
      <c r="AO18" s="181">
        <v>0.08</v>
      </c>
      <c r="AP18" s="181">
        <v>7.4999999999999997E-2</v>
      </c>
      <c r="AQ18" s="182">
        <v>8.5000000000000006E-2</v>
      </c>
      <c r="AR18" s="181">
        <v>0.1</v>
      </c>
      <c r="AS18" s="181">
        <v>0.1</v>
      </c>
      <c r="AT18" s="181">
        <v>0.105</v>
      </c>
      <c r="AU18" s="182">
        <v>0.12</v>
      </c>
      <c r="AV18" s="183">
        <v>0.13</v>
      </c>
      <c r="AW18" s="181">
        <v>0.13500000000000001</v>
      </c>
      <c r="AX18" s="181">
        <f>AW18+0.4%</f>
        <v>0.13900000000000001</v>
      </c>
      <c r="AY18" s="182">
        <f>AX18+0.2%</f>
        <v>0.14100000000000001</v>
      </c>
      <c r="AZ18" s="181"/>
      <c r="BA18" s="183">
        <f>AY18+0.25%</f>
        <v>0.14350000000000002</v>
      </c>
      <c r="BB18" s="181">
        <f>BA18+0.25%</f>
        <v>0.14600000000000002</v>
      </c>
      <c r="BC18" s="181">
        <f>BB18+0.25%</f>
        <v>0.14850000000000002</v>
      </c>
      <c r="BD18" s="182">
        <f>BC18+0.25%</f>
        <v>0.15100000000000002</v>
      </c>
      <c r="BE18" s="181"/>
      <c r="BF18" s="183">
        <f>BD18+0.1%</f>
        <v>0.15200000000000002</v>
      </c>
      <c r="BG18" s="181">
        <f>BF18+0.25%</f>
        <v>0.15450000000000003</v>
      </c>
      <c r="BH18" s="181">
        <f>BG18</f>
        <v>0.15450000000000003</v>
      </c>
      <c r="BI18" s="182">
        <f t="shared" ref="BH18:BI18" si="29">BH18+0.1%</f>
        <v>0.15550000000000003</v>
      </c>
      <c r="BJ18" s="181"/>
      <c r="BK18" s="183">
        <f>BI18+0.1%</f>
        <v>0.15650000000000003</v>
      </c>
      <c r="BL18" s="181">
        <f>BK18+0.1%</f>
        <v>0.15750000000000003</v>
      </c>
      <c r="BM18" s="181">
        <f t="shared" ref="BM18:BN18" si="30">BL18+0.1%</f>
        <v>0.15850000000000003</v>
      </c>
      <c r="BN18" s="182">
        <f t="shared" si="30"/>
        <v>0.15950000000000003</v>
      </c>
      <c r="BO18" s="181"/>
      <c r="BP18" s="183">
        <f>BN18+0.2%</f>
        <v>0.16150000000000003</v>
      </c>
      <c r="BQ18" s="181">
        <f t="shared" ref="BQ18" si="31">BP18+0.2%</f>
        <v>0.16350000000000003</v>
      </c>
      <c r="BR18" s="181">
        <f t="shared" ref="BR18" si="32">BQ18+0.2%</f>
        <v>0.16550000000000004</v>
      </c>
      <c r="BS18" s="182">
        <f t="shared" ref="BS18" si="33">BR18+0.2%</f>
        <v>0.16750000000000004</v>
      </c>
      <c r="BT18" s="181"/>
      <c r="BU18" s="183">
        <f>BS18+0.2%</f>
        <v>0.16950000000000004</v>
      </c>
      <c r="BV18" s="181">
        <f t="shared" ref="BV18" si="34">BU18+0.2%</f>
        <v>0.17150000000000004</v>
      </c>
      <c r="BW18" s="181">
        <f t="shared" ref="BW18" si="35">BV18+0.2%</f>
        <v>0.17350000000000004</v>
      </c>
      <c r="BX18" s="182">
        <f t="shared" ref="BX18" si="36">BW18+0.2%</f>
        <v>0.17550000000000004</v>
      </c>
      <c r="BY18" s="155"/>
      <c r="BZ18" s="827"/>
      <c r="CA18" s="828"/>
      <c r="CB18" s="161"/>
      <c r="CC18" s="161"/>
      <c r="CD18" s="160"/>
      <c r="CE18" s="159"/>
      <c r="CF18" s="161">
        <f t="shared" ref="CF18:CL18" si="37">CF19/CF14</f>
        <v>1.0000000000000002E-2</v>
      </c>
      <c r="CG18" s="160">
        <f t="shared" si="37"/>
        <v>3.6987187750598026E-2</v>
      </c>
      <c r="CH18" s="160">
        <f t="shared" si="37"/>
        <v>7.2569561944218403E-2</v>
      </c>
      <c r="CI18" s="161">
        <f t="shared" si="37"/>
        <v>0.10505049086819303</v>
      </c>
      <c r="CJ18" s="160">
        <f t="shared" si="37"/>
        <v>0.13574521546107418</v>
      </c>
      <c r="CK18" s="160">
        <f t="shared" si="37"/>
        <v>0.14690892866981525</v>
      </c>
      <c r="CL18" s="160">
        <f t="shared" si="37"/>
        <v>0.1541099262729686</v>
      </c>
      <c r="CM18" s="160">
        <f>CM19/CM14</f>
        <v>0.15787885220415404</v>
      </c>
      <c r="CN18" s="159"/>
      <c r="CO18" s="159"/>
      <c r="CP18" s="179"/>
      <c r="CQ18" s="827"/>
      <c r="CR18" s="828"/>
      <c r="CS18" s="828"/>
      <c r="CT18" s="161"/>
      <c r="CU18" s="161"/>
      <c r="CV18" s="161"/>
      <c r="CW18" s="161"/>
      <c r="CX18" s="161">
        <f t="shared" ref="CX18:DD18" si="38">CX19/CX14</f>
        <v>0.01</v>
      </c>
      <c r="CY18" s="829">
        <f t="shared" si="38"/>
        <v>2.8809688581314882E-2</v>
      </c>
      <c r="CZ18" s="829">
        <f t="shared" si="38"/>
        <v>5.3480181644691024E-2</v>
      </c>
      <c r="DA18" s="829">
        <f t="shared" si="38"/>
        <v>9.1396091993877784E-2</v>
      </c>
      <c r="DB18" s="829">
        <f t="shared" si="38"/>
        <v>0.12388545499291205</v>
      </c>
      <c r="DC18" s="829">
        <f t="shared" si="38"/>
        <v>0.14288715879982866</v>
      </c>
      <c r="DD18" s="829">
        <f t="shared" si="38"/>
        <v>0.15194352693396768</v>
      </c>
      <c r="DE18" s="829">
        <f>DE19/DE14</f>
        <v>0.15622240013732436</v>
      </c>
      <c r="DF18" s="181"/>
    </row>
    <row r="19" spans="1:110">
      <c r="A19" s="123" t="s">
        <v>788</v>
      </c>
      <c r="B19" s="124"/>
      <c r="C19" s="124"/>
      <c r="D19" s="124"/>
      <c r="E19" s="124"/>
      <c r="F19" s="113"/>
      <c r="G19" s="113"/>
      <c r="H19" s="113"/>
      <c r="I19" s="113"/>
      <c r="J19" s="113"/>
      <c r="K19" s="113"/>
      <c r="L19" s="112"/>
      <c r="M19" s="113"/>
      <c r="N19" s="113"/>
      <c r="O19" s="114"/>
      <c r="P19" s="112"/>
      <c r="Q19" s="113"/>
      <c r="R19" s="113"/>
      <c r="S19" s="114"/>
      <c r="T19" s="112"/>
      <c r="U19" s="113"/>
      <c r="V19" s="113"/>
      <c r="W19" s="114"/>
      <c r="X19" s="112"/>
      <c r="Y19" s="113"/>
      <c r="Z19" s="113"/>
      <c r="AA19" s="114"/>
      <c r="AB19" s="112"/>
      <c r="AC19" s="113"/>
      <c r="AD19" s="113">
        <f t="shared" ref="AD19:BI19" si="39">AD18*AD14</f>
        <v>7.9927020000000001E-2</v>
      </c>
      <c r="AE19" s="114">
        <f t="shared" si="39"/>
        <v>0.156</v>
      </c>
      <c r="AF19" s="112">
        <f t="shared" si="39"/>
        <v>0.20500000000000002</v>
      </c>
      <c r="AG19" s="113">
        <f t="shared" si="39"/>
        <v>0.318</v>
      </c>
      <c r="AH19" s="113">
        <f t="shared" si="39"/>
        <v>0.20899999999999999</v>
      </c>
      <c r="AI19" s="113">
        <f t="shared" si="39"/>
        <v>0.28300000000000003</v>
      </c>
      <c r="AJ19" s="112">
        <f t="shared" si="39"/>
        <v>0.34899999999999998</v>
      </c>
      <c r="AK19" s="113">
        <f t="shared" si="39"/>
        <v>3.3220000000000001</v>
      </c>
      <c r="AL19" s="113">
        <f t="shared" si="39"/>
        <v>1.9418036000000001</v>
      </c>
      <c r="AM19" s="113">
        <f t="shared" si="39"/>
        <v>1.350983215415881</v>
      </c>
      <c r="AN19" s="112">
        <f t="shared" si="39"/>
        <v>2.1318428250000001</v>
      </c>
      <c r="AO19" s="113">
        <f t="shared" si="39"/>
        <v>6.2785056799999994</v>
      </c>
      <c r="AP19" s="113">
        <f t="shared" si="39"/>
        <v>3.7560520499999992</v>
      </c>
      <c r="AQ19" s="114">
        <f t="shared" si="39"/>
        <v>4.1111722200000003</v>
      </c>
      <c r="AR19" s="113">
        <f t="shared" si="39"/>
        <v>5.4480427750000002</v>
      </c>
      <c r="AS19" s="113">
        <f t="shared" si="39"/>
        <v>7.6911694579999992</v>
      </c>
      <c r="AT19" s="113">
        <f t="shared" si="39"/>
        <v>4.8466547848785133</v>
      </c>
      <c r="AU19" s="114">
        <f t="shared" si="39"/>
        <v>5.3453953310896516</v>
      </c>
      <c r="AV19" s="112">
        <f t="shared" si="39"/>
        <v>6.442068518412686</v>
      </c>
      <c r="AW19" s="113">
        <f t="shared" si="39"/>
        <v>9.0101034039094614</v>
      </c>
      <c r="AX19" s="113">
        <f t="shared" si="39"/>
        <v>5.485720837227495</v>
      </c>
      <c r="AY19" s="114">
        <f t="shared" si="39"/>
        <v>5.5271387723467011</v>
      </c>
      <c r="AZ19" s="113"/>
      <c r="BA19" s="112">
        <f t="shared" si="39"/>
        <v>6.5421683523141763</v>
      </c>
      <c r="BB19" s="113">
        <f t="shared" si="39"/>
        <v>9.3544895784588906</v>
      </c>
      <c r="BC19" s="189">
        <f t="shared" ref="BC19" si="40">BC18*BC14</f>
        <v>5.6465014500899331</v>
      </c>
      <c r="BD19" s="114">
        <f t="shared" si="39"/>
        <v>5.6527733806117455</v>
      </c>
      <c r="BE19" s="113"/>
      <c r="BF19" s="112">
        <f t="shared" si="39"/>
        <v>6.6178477910935589</v>
      </c>
      <c r="BG19" s="113">
        <f t="shared" ref="BG19" si="41">BG18*BG14</f>
        <v>9.8991002730951951</v>
      </c>
      <c r="BH19" s="113">
        <f t="shared" si="39"/>
        <v>5.8746429228208399</v>
      </c>
      <c r="BI19" s="114">
        <f t="shared" si="39"/>
        <v>5.8212335144710359</v>
      </c>
      <c r="BJ19" s="113"/>
      <c r="BK19" s="112">
        <f>BK18*BK14</f>
        <v>6.71156435274046</v>
      </c>
      <c r="BL19" s="113">
        <f>BL18*BL14</f>
        <v>9.9399460751929194</v>
      </c>
      <c r="BM19" s="113">
        <f>BM18*BM14</f>
        <v>5.9363361794051563</v>
      </c>
      <c r="BN19" s="114">
        <f>BN18*BN14</f>
        <v>5.8814112178441045</v>
      </c>
      <c r="BO19" s="113"/>
      <c r="BP19" s="112">
        <f>BP18*BP14</f>
        <v>6.822101458933358</v>
      </c>
      <c r="BQ19" s="113">
        <f>BQ18*BQ14</f>
        <v>10.163831527267503</v>
      </c>
      <c r="BR19" s="113">
        <f>BR18*BR14</f>
        <v>6.1055311238244796</v>
      </c>
      <c r="BS19" s="114">
        <f>BS18*BS14</f>
        <v>6.0837575755740074</v>
      </c>
      <c r="BT19" s="113"/>
      <c r="BU19" s="112">
        <f>BU18*BU14</f>
        <v>7.0526377977081491</v>
      </c>
      <c r="BV19" s="113">
        <f>BV18*BV14</f>
        <v>10.501227219097743</v>
      </c>
      <c r="BW19" s="113">
        <f>BW18*BW14</f>
        <v>6.3046525995999634</v>
      </c>
      <c r="BX19" s="114">
        <f>BX18*BX14</f>
        <v>6.2787102250479983</v>
      </c>
      <c r="BY19" s="108"/>
      <c r="BZ19" s="140"/>
      <c r="CA19" s="140"/>
      <c r="CB19" s="140">
        <f>P19+Q19+R19+S19</f>
        <v>0</v>
      </c>
      <c r="CC19" s="140">
        <f>T19+U19+V19+W19</f>
        <v>0</v>
      </c>
      <c r="CD19" s="114">
        <f>X19+Y19+Z19+AA19</f>
        <v>0</v>
      </c>
      <c r="CE19" s="113">
        <f>AB19+AC19+AD19+AE19</f>
        <v>0.23592701999999999</v>
      </c>
      <c r="CF19" s="140">
        <f>SUM(AF19:AI19)</f>
        <v>1.0150000000000001</v>
      </c>
      <c r="CG19" s="114">
        <f>SUM(AJ19:AM19)</f>
        <v>6.9637868154158813</v>
      </c>
      <c r="CH19" s="114">
        <f>SUM(AN19:AQ19)</f>
        <v>16.277572774999999</v>
      </c>
      <c r="CI19" s="140">
        <f>SUM(AR19:AU19)</f>
        <v>23.331262348968163</v>
      </c>
      <c r="CJ19" s="114">
        <f>SUM(AV19:AY19)</f>
        <v>26.465031531896344</v>
      </c>
      <c r="CK19" s="114">
        <f>SUM(BA19:BD19)</f>
        <v>27.195932761474744</v>
      </c>
      <c r="CL19" s="114">
        <f>SUM(BF19:BI19)</f>
        <v>28.212824501480629</v>
      </c>
      <c r="CM19" s="114">
        <f>SUM(BK19:BN19)</f>
        <v>28.469257825182641</v>
      </c>
      <c r="CN19" s="113"/>
      <c r="CO19" s="113"/>
      <c r="CP19" s="110"/>
      <c r="CQ19" s="140">
        <f>B19+C19+D19+E19</f>
        <v>0</v>
      </c>
      <c r="CR19" s="140">
        <f>F19+G19+H19+I19</f>
        <v>0</v>
      </c>
      <c r="CS19" s="140">
        <f>J19+K19+L19+M19</f>
        <v>0</v>
      </c>
      <c r="CT19" s="140">
        <f>N19+O19+P19+Q19</f>
        <v>0</v>
      </c>
      <c r="CU19" s="140"/>
      <c r="CV19" s="140"/>
      <c r="CW19" s="140"/>
      <c r="CX19" s="140">
        <f>SUM(AD19:AG19)</f>
        <v>0.75892702000000001</v>
      </c>
      <c r="CY19" s="140">
        <f>SUM(AH19:AK19)</f>
        <v>4.1630000000000003</v>
      </c>
      <c r="CZ19" s="140">
        <f>SUM(AL19:AO19)</f>
        <v>11.703135320415882</v>
      </c>
      <c r="DA19" s="140">
        <f>SUM(AP19:AS19)</f>
        <v>21.006436502999996</v>
      </c>
      <c r="DB19" s="140">
        <f>SUM(AT19:AW19)</f>
        <v>25.644222038290312</v>
      </c>
      <c r="DC19" s="140">
        <f>SUM(AX19:BB19)</f>
        <v>26.90951754034726</v>
      </c>
      <c r="DD19" s="140">
        <f>SUM(BC19:BG19)</f>
        <v>27.81622289489043</v>
      </c>
      <c r="DE19" s="140">
        <f>SUM(BH19:BL19)</f>
        <v>28.347386865225253</v>
      </c>
      <c r="DF19" s="113"/>
    </row>
    <row r="20" spans="1:110">
      <c r="A20" s="157" t="s">
        <v>300</v>
      </c>
      <c r="B20" s="115"/>
      <c r="C20" s="181"/>
      <c r="D20" s="181"/>
      <c r="E20" s="181"/>
      <c r="F20" s="181"/>
      <c r="G20" s="181"/>
      <c r="H20" s="181"/>
      <c r="I20" s="181"/>
      <c r="J20" s="181"/>
      <c r="K20" s="181"/>
      <c r="L20" s="183"/>
      <c r="M20" s="181"/>
      <c r="N20" s="181"/>
      <c r="O20" s="181"/>
      <c r="P20" s="183"/>
      <c r="Q20" s="181"/>
      <c r="R20" s="181"/>
      <c r="S20" s="181"/>
      <c r="T20" s="183"/>
      <c r="U20" s="181"/>
      <c r="V20" s="181"/>
      <c r="W20" s="181"/>
      <c r="X20" s="183"/>
      <c r="Y20" s="181"/>
      <c r="Z20" s="181"/>
      <c r="AA20" s="181"/>
      <c r="AB20" s="183"/>
      <c r="AC20" s="181"/>
      <c r="AD20" s="181" t="str">
        <f t="shared" ref="AD20:AO20" si="42">IF(OR(AD19=0,Z19=0),"NM",AD19/Z19-1)</f>
        <v>NM</v>
      </c>
      <c r="AE20" s="181" t="str">
        <f t="shared" si="42"/>
        <v>NM</v>
      </c>
      <c r="AF20" s="183" t="str">
        <f t="shared" si="42"/>
        <v>NM</v>
      </c>
      <c r="AG20" s="181" t="str">
        <f t="shared" si="42"/>
        <v>NM</v>
      </c>
      <c r="AH20" s="181">
        <f t="shared" si="42"/>
        <v>1.6148854292328174</v>
      </c>
      <c r="AI20" s="181">
        <f t="shared" si="42"/>
        <v>0.81410256410256432</v>
      </c>
      <c r="AJ20" s="183">
        <f t="shared" si="42"/>
        <v>0.70243902439024364</v>
      </c>
      <c r="AK20" s="181">
        <f t="shared" si="42"/>
        <v>9.4465408805031448</v>
      </c>
      <c r="AL20" s="181">
        <f t="shared" si="42"/>
        <v>8.2909263157894753</v>
      </c>
      <c r="AM20" s="181">
        <f t="shared" si="42"/>
        <v>3.7737922806214872</v>
      </c>
      <c r="AN20" s="183">
        <f t="shared" si="42"/>
        <v>5.1084321633237826</v>
      </c>
      <c r="AO20" s="181">
        <f t="shared" si="42"/>
        <v>0.8899776279349787</v>
      </c>
      <c r="AP20" s="181">
        <f t="shared" ref="AP20:AY20" si="43">IF(OR(AP19=0,AL19=0),"NM",AP19/AL19-1)</f>
        <v>0.93431099314060351</v>
      </c>
      <c r="AQ20" s="182">
        <f t="shared" si="43"/>
        <v>2.0430964449357978</v>
      </c>
      <c r="AR20" s="181">
        <f t="shared" si="43"/>
        <v>1.5555555555555554</v>
      </c>
      <c r="AS20" s="181">
        <f t="shared" si="43"/>
        <v>0.22500000000000009</v>
      </c>
      <c r="AT20" s="181">
        <f t="shared" si="43"/>
        <v>0.29035879172082146</v>
      </c>
      <c r="AU20" s="184">
        <f t="shared" si="43"/>
        <v>0.30021196997912458</v>
      </c>
      <c r="AV20" s="183">
        <f t="shared" si="43"/>
        <v>0.18245556880978886</v>
      </c>
      <c r="AW20" s="181">
        <f t="shared" si="43"/>
        <v>0.17148678794712646</v>
      </c>
      <c r="AX20" s="181">
        <f t="shared" si="43"/>
        <v>0.13185714285714289</v>
      </c>
      <c r="AY20" s="184">
        <f t="shared" si="43"/>
        <v>3.4000000000000252E-2</v>
      </c>
      <c r="AZ20" s="2592"/>
      <c r="BA20" s="183">
        <f>IF(OR(BA19=0,AV19=0),"NM",BA19/AV19-1)</f>
        <v>1.5538461538461723E-2</v>
      </c>
      <c r="BB20" s="181">
        <f>IF(OR(BB19=0,AW19=0),"NM",BB19/AW19-1)</f>
        <v>3.822222222222238E-2</v>
      </c>
      <c r="BC20" s="181">
        <f>IF(OR(BC19=0,AX19=0),"NM",BC19/AX19-1)</f>
        <v>2.930893088312847E-2</v>
      </c>
      <c r="BD20" s="184">
        <f>IF(OR(BD19=0,AY19=0),"NM",BD19/AY19-1)</f>
        <v>2.2730496453900795E-2</v>
      </c>
      <c r="BE20" s="2592"/>
      <c r="BF20" s="183">
        <f>IF(OR(BF19=0,BA19=0),"NM",BF19/BA19-1)</f>
        <v>1.1567944250870932E-2</v>
      </c>
      <c r="BG20" s="181">
        <f>IF(OR(BG19=0,BB19=0),"NM",BG19/BB19-1)</f>
        <v>5.821917808219168E-2</v>
      </c>
      <c r="BH20" s="181">
        <f>IF(OR(BH19=0,BC19=0),"NM",BH19/BC19-1)</f>
        <v>4.0404040404040442E-2</v>
      </c>
      <c r="BI20" s="184">
        <f>IF(OR(BI19=0,BD19=0),"NM",BI19/BD19-1)</f>
        <v>2.9801324503311299E-2</v>
      </c>
      <c r="BJ20" s="2592"/>
      <c r="BK20" s="183">
        <f>IF(OR(BK19=0,BF19=0),"NM",BK19/BF19-1)</f>
        <v>1.4161184210526478E-2</v>
      </c>
      <c r="BL20" s="181">
        <f>IF(OR(BL19=0,BG19=0),"NM",BL19/BG19-1)</f>
        <v>4.1262135922330856E-3</v>
      </c>
      <c r="BM20" s="181">
        <f>IF(OR(BM19=0,BH19=0),"NM",BM19/BH19-1)</f>
        <v>1.0501618122977341E-2</v>
      </c>
      <c r="BN20" s="184">
        <f>IF(OR(BN19=0,BI19=0),"NM",BN19/BI19-1)</f>
        <v>1.0337620578778184E-2</v>
      </c>
      <c r="BO20" s="2592"/>
      <c r="BP20" s="183">
        <f>IF(OR(BP19=0,BK19=0),"NM",BP19/BK19-1)</f>
        <v>1.6469648562300376E-2</v>
      </c>
      <c r="BQ20" s="181">
        <f>IF(OR(BQ19=0,BL19=0),"NM",BQ19/BL19-1)</f>
        <v>2.2523809523809613E-2</v>
      </c>
      <c r="BR20" s="181">
        <f>IF(OR(BR19=0,BM19=0),"NM",BR19/BM19-1)</f>
        <v>2.850157728706626E-2</v>
      </c>
      <c r="BS20" s="184">
        <f>IF(OR(BS19=0,BN19=0),"NM",BS19/BN19-1)</f>
        <v>3.4404388714733614E-2</v>
      </c>
      <c r="BT20" s="2592"/>
      <c r="BU20" s="183">
        <f>IF(OR(BU19=0,BP19=0),"NM",BU19/BP19-1)</f>
        <v>3.3792569659442773E-2</v>
      </c>
      <c r="BV20" s="181">
        <f>IF(OR(BV19=0,BQ19=0),"NM",BV19/BQ19-1)</f>
        <v>3.319571865443427E-2</v>
      </c>
      <c r="BW20" s="181">
        <f>IF(OR(BW19=0,BR19=0),"NM",BW19/BR19-1)</f>
        <v>3.2613293051359404E-2</v>
      </c>
      <c r="BX20" s="184">
        <f>IF(OR(BX19=0,BS19=0),"NM",BX19/BS19-1)</f>
        <v>3.2044776119402929E-2</v>
      </c>
      <c r="BY20" s="155"/>
      <c r="BZ20" s="827"/>
      <c r="CA20" s="828"/>
      <c r="CB20" s="161" t="str">
        <f t="shared" ref="CB20:CM20" si="44">IF(OR(CA19=0,CB19=0),"NM",CB19/CA19-1)</f>
        <v>NM</v>
      </c>
      <c r="CC20" s="161" t="str">
        <f t="shared" si="44"/>
        <v>NM</v>
      </c>
      <c r="CD20" s="160" t="str">
        <f t="shared" si="44"/>
        <v>NM</v>
      </c>
      <c r="CE20" s="159" t="str">
        <f t="shared" si="44"/>
        <v>NM</v>
      </c>
      <c r="CF20" s="161">
        <f t="shared" si="44"/>
        <v>3.3021778514389757</v>
      </c>
      <c r="CG20" s="160">
        <f t="shared" si="44"/>
        <v>5.86087370976934</v>
      </c>
      <c r="CH20" s="160">
        <f t="shared" si="44"/>
        <v>1.3374599490848849</v>
      </c>
      <c r="CI20" s="161">
        <f t="shared" si="44"/>
        <v>0.4333379227646037</v>
      </c>
      <c r="CJ20" s="160">
        <f t="shared" si="44"/>
        <v>0.1343163149964226</v>
      </c>
      <c r="CK20" s="160">
        <f t="shared" si="44"/>
        <v>2.7617621717076046E-2</v>
      </c>
      <c r="CL20" s="160">
        <f t="shared" si="44"/>
        <v>3.739131689009012E-2</v>
      </c>
      <c r="CM20" s="160">
        <f t="shared" si="44"/>
        <v>9.0892467604068994E-3</v>
      </c>
      <c r="CN20" s="159"/>
      <c r="CO20" s="159"/>
      <c r="CP20" s="179"/>
      <c r="CQ20" s="827"/>
      <c r="CR20" s="828"/>
      <c r="CS20" s="828"/>
      <c r="CT20" s="161"/>
      <c r="CU20" s="161"/>
      <c r="CV20" s="161"/>
      <c r="CW20" s="161"/>
      <c r="CX20" s="161"/>
      <c r="CY20" s="161">
        <f t="shared" ref="CY20:DE20" si="45">CY19/CX19-1</f>
        <v>4.4853759192814087</v>
      </c>
      <c r="CZ20" s="161">
        <f t="shared" si="45"/>
        <v>1.8112263560931736</v>
      </c>
      <c r="DA20" s="161">
        <f t="shared" si="45"/>
        <v>0.7949409220582706</v>
      </c>
      <c r="DB20" s="161">
        <f t="shared" si="45"/>
        <v>0.22077926137676807</v>
      </c>
      <c r="DC20" s="161">
        <f t="shared" si="45"/>
        <v>4.9340373834218409E-2</v>
      </c>
      <c r="DD20" s="161">
        <f t="shared" si="45"/>
        <v>3.3694597206497034E-2</v>
      </c>
      <c r="DE20" s="161">
        <f t="shared" si="45"/>
        <v>1.9095474333159501E-2</v>
      </c>
      <c r="DF20" s="159"/>
    </row>
    <row r="21" spans="1:110">
      <c r="A21" s="157"/>
      <c r="B21" s="115"/>
      <c r="C21" s="181"/>
      <c r="D21" s="181"/>
      <c r="E21" s="181"/>
      <c r="F21" s="181"/>
      <c r="G21" s="181"/>
      <c r="H21" s="181"/>
      <c r="I21" s="181"/>
      <c r="J21" s="181"/>
      <c r="K21" s="181"/>
      <c r="L21" s="183"/>
      <c r="M21" s="181"/>
      <c r="N21" s="181"/>
      <c r="O21" s="181"/>
      <c r="P21" s="183"/>
      <c r="Q21" s="181"/>
      <c r="R21" s="181"/>
      <c r="S21" s="181"/>
      <c r="T21" s="183"/>
      <c r="U21" s="181"/>
      <c r="V21" s="181"/>
      <c r="W21" s="181"/>
      <c r="X21" s="183"/>
      <c r="Y21" s="181"/>
      <c r="Z21" s="181"/>
      <c r="AA21" s="181"/>
      <c r="AB21" s="183"/>
      <c r="AC21" s="181"/>
      <c r="AD21" s="181"/>
      <c r="AE21" s="181"/>
      <c r="AF21" s="183"/>
      <c r="AG21" s="181"/>
      <c r="AH21" s="181"/>
      <c r="AI21" s="181"/>
      <c r="AJ21" s="183"/>
      <c r="AK21" s="181"/>
      <c r="AL21" s="181"/>
      <c r="AM21" s="181"/>
      <c r="AN21" s="183"/>
      <c r="AO21" s="181"/>
      <c r="AP21" s="181"/>
      <c r="AQ21" s="182"/>
      <c r="AR21" s="181"/>
      <c r="AS21" s="181"/>
      <c r="AT21" s="181"/>
      <c r="AU21" s="184"/>
      <c r="AV21" s="183"/>
      <c r="AW21" s="181"/>
      <c r="AX21" s="181"/>
      <c r="AY21" s="184"/>
      <c r="AZ21" s="2592"/>
      <c r="BA21" s="183"/>
      <c r="BB21" s="181"/>
      <c r="BC21" s="181"/>
      <c r="BD21" s="184"/>
      <c r="BE21" s="2592"/>
      <c r="BF21" s="183"/>
      <c r="BG21" s="181"/>
      <c r="BH21" s="181"/>
      <c r="BI21" s="184"/>
      <c r="BJ21" s="2592"/>
      <c r="BK21" s="183"/>
      <c r="BL21" s="181"/>
      <c r="BM21" s="181"/>
      <c r="BN21" s="184"/>
      <c r="BO21" s="2592"/>
      <c r="BP21" s="183"/>
      <c r="BQ21" s="181"/>
      <c r="BR21" s="181"/>
      <c r="BS21" s="184"/>
      <c r="BT21" s="2592"/>
      <c r="BU21" s="183"/>
      <c r="BV21" s="181"/>
      <c r="BW21" s="181"/>
      <c r="BX21" s="184"/>
      <c r="BY21" s="155"/>
      <c r="BZ21" s="827"/>
      <c r="CA21" s="828"/>
      <c r="CB21" s="161"/>
      <c r="CC21" s="161"/>
      <c r="CD21" s="160"/>
      <c r="CE21" s="159"/>
      <c r="CF21" s="161"/>
      <c r="CG21" s="160"/>
      <c r="CH21" s="160"/>
      <c r="CI21" s="161"/>
      <c r="CJ21" s="160"/>
      <c r="CK21" s="160"/>
      <c r="CL21" s="160"/>
      <c r="CM21" s="160"/>
      <c r="CN21" s="159"/>
      <c r="CO21" s="159"/>
      <c r="CP21" s="179"/>
      <c r="CQ21" s="827"/>
      <c r="CR21" s="828"/>
      <c r="CS21" s="828"/>
      <c r="CT21" s="161"/>
      <c r="CU21" s="161"/>
      <c r="CV21" s="161"/>
      <c r="CW21" s="161"/>
      <c r="CX21" s="161"/>
      <c r="CY21" s="161"/>
      <c r="CZ21" s="161"/>
      <c r="DA21" s="161"/>
      <c r="DB21" s="161"/>
      <c r="DC21" s="161"/>
      <c r="DD21" s="161"/>
      <c r="DE21" s="161"/>
      <c r="DF21" s="159"/>
    </row>
    <row r="22" spans="1:110">
      <c r="A22" s="123" t="s">
        <v>791</v>
      </c>
      <c r="B22" s="124"/>
      <c r="C22" s="124"/>
      <c r="D22" s="124"/>
      <c r="E22" s="124"/>
      <c r="F22" s="113"/>
      <c r="G22" s="113"/>
      <c r="H22" s="113"/>
      <c r="I22" s="113"/>
      <c r="J22" s="113"/>
      <c r="K22" s="113"/>
      <c r="L22" s="112"/>
      <c r="M22" s="113"/>
      <c r="N22" s="113"/>
      <c r="O22" s="114"/>
      <c r="P22" s="112"/>
      <c r="Q22" s="113"/>
      <c r="R22" s="113"/>
      <c r="S22" s="114"/>
      <c r="T22" s="112"/>
      <c r="U22" s="113"/>
      <c r="V22" s="113"/>
      <c r="W22" s="114"/>
      <c r="X22" s="112"/>
      <c r="Y22" s="113"/>
      <c r="Z22" s="113"/>
      <c r="AA22" s="114"/>
      <c r="AB22" s="112"/>
      <c r="AC22" s="113"/>
      <c r="AD22" s="113">
        <v>0</v>
      </c>
      <c r="AE22" s="114">
        <v>0</v>
      </c>
      <c r="AF22" s="112">
        <v>0</v>
      </c>
      <c r="AG22" s="113">
        <v>0</v>
      </c>
      <c r="AH22" s="113">
        <v>0</v>
      </c>
      <c r="AI22" s="113">
        <v>0</v>
      </c>
      <c r="AJ22" s="112">
        <v>0</v>
      </c>
      <c r="AK22" s="113">
        <v>0.4</v>
      </c>
      <c r="AL22" s="113">
        <v>0.4</v>
      </c>
      <c r="AM22" s="113">
        <v>0.3</v>
      </c>
      <c r="AN22" s="112">
        <v>0.7</v>
      </c>
      <c r="AO22" s="113">
        <v>1.0313968996018195</v>
      </c>
      <c r="AP22" s="113">
        <v>0.8</v>
      </c>
      <c r="AQ22" s="114">
        <v>0.6</v>
      </c>
      <c r="AR22" s="113">
        <v>1.6</v>
      </c>
      <c r="AS22" s="113">
        <v>1.5</v>
      </c>
      <c r="AT22" s="113">
        <v>0.95</v>
      </c>
      <c r="AU22" s="114">
        <v>1.2</v>
      </c>
      <c r="AV22" s="112">
        <v>1</v>
      </c>
      <c r="AW22" s="113">
        <v>1.9</v>
      </c>
      <c r="AX22" s="113">
        <v>1.2050000000000001</v>
      </c>
      <c r="AY22" s="114">
        <v>1.2</v>
      </c>
      <c r="AZ22" s="113"/>
      <c r="BA22" s="112">
        <v>1.1499999999999999</v>
      </c>
      <c r="BB22" s="113">
        <f>BB19*0.16</f>
        <v>1.4967183325534226</v>
      </c>
      <c r="BC22" s="189">
        <v>1.1000000000000001</v>
      </c>
      <c r="BD22" s="114">
        <f>BD19*0.21</f>
        <v>1.1870824099284665</v>
      </c>
      <c r="BE22" s="113"/>
      <c r="BF22" s="113">
        <f>BF19*0.2</f>
        <v>1.3235695582187119</v>
      </c>
      <c r="BG22" s="3042">
        <f>BG19*0.18</f>
        <v>1.7818380491571351</v>
      </c>
      <c r="BH22" s="3042">
        <f>BH19*0.22</f>
        <v>1.2924214430205847</v>
      </c>
      <c r="BI22" s="3042">
        <f>BI19*0.24</f>
        <v>1.3970960434730486</v>
      </c>
      <c r="BJ22" s="3042"/>
      <c r="BK22" s="112">
        <f>BK19*0.22</f>
        <v>1.4765441576029013</v>
      </c>
      <c r="BL22" s="113">
        <f t="shared" ref="BL22:BN22" si="46">BL19*0.22</f>
        <v>2.1867881365424422</v>
      </c>
      <c r="BM22" s="113">
        <f t="shared" si="46"/>
        <v>1.3059939594691343</v>
      </c>
      <c r="BN22" s="114">
        <f t="shared" si="46"/>
        <v>1.293910467925703</v>
      </c>
      <c r="BO22" s="3042"/>
      <c r="BP22" s="112">
        <f>BP19*0.23</f>
        <v>1.5690833355546725</v>
      </c>
      <c r="BQ22" s="113">
        <f t="shared" ref="BQ22:BS22" si="47">BQ19*0.23</f>
        <v>2.3376812512715257</v>
      </c>
      <c r="BR22" s="113">
        <f t="shared" si="47"/>
        <v>1.4042721584796303</v>
      </c>
      <c r="BS22" s="114">
        <f t="shared" si="47"/>
        <v>1.3992642423820219</v>
      </c>
      <c r="BT22" s="3042"/>
      <c r="BU22" s="112">
        <f>BU19*0.23</f>
        <v>1.6221066934728743</v>
      </c>
      <c r="BV22" s="113">
        <f t="shared" ref="BV22:BX22" si="48">BV19*0.23</f>
        <v>2.4152822603924808</v>
      </c>
      <c r="BW22" s="113">
        <f t="shared" si="48"/>
        <v>1.4500700979079917</v>
      </c>
      <c r="BX22" s="114">
        <f t="shared" si="48"/>
        <v>1.4441033517610398</v>
      </c>
      <c r="BY22" s="110"/>
      <c r="BZ22" s="140"/>
      <c r="CA22" s="140"/>
      <c r="CB22" s="140">
        <f>P22+Q22+R22+S22</f>
        <v>0</v>
      </c>
      <c r="CC22" s="140">
        <f>T22+U22+V22+W22</f>
        <v>0</v>
      </c>
      <c r="CD22" s="114">
        <f>X22+Y22+Z22+AA22</f>
        <v>0</v>
      </c>
      <c r="CE22" s="113">
        <f>AB22+AC22+AD22+AE22</f>
        <v>0</v>
      </c>
      <c r="CF22" s="140">
        <f>SUM(AF22:AI22)</f>
        <v>0</v>
      </c>
      <c r="CG22" s="114">
        <f>SUM(AJ22:AM22)</f>
        <v>1.1000000000000001</v>
      </c>
      <c r="CH22" s="114">
        <f>SUM(AN22:AQ22)</f>
        <v>3.1313968996018198</v>
      </c>
      <c r="CI22" s="140">
        <f>SUM(AR22:AU22)</f>
        <v>5.25</v>
      </c>
      <c r="CJ22" s="114">
        <f>SUM(AV22:AY22)</f>
        <v>5.3050000000000006</v>
      </c>
      <c r="CK22" s="114">
        <f>SUM(BA22:BD22)</f>
        <v>4.933800742481889</v>
      </c>
      <c r="CL22" s="114">
        <f>SUM(BF22:BI22)</f>
        <v>5.7949250938694803</v>
      </c>
      <c r="CM22" s="114">
        <f>SUM(BK22:BN22)</f>
        <v>6.2632367215401805</v>
      </c>
      <c r="CN22" s="113"/>
      <c r="CO22" s="113"/>
      <c r="CP22" s="110"/>
      <c r="CQ22" s="140">
        <f>B22+C22+D22+E22</f>
        <v>0</v>
      </c>
      <c r="CR22" s="140">
        <f>F22+G22+H22+I22</f>
        <v>0</v>
      </c>
      <c r="CS22" s="140">
        <f>J22+K22+L22+M22</f>
        <v>0</v>
      </c>
      <c r="CT22" s="140">
        <f>N22+O22+P22+Q22</f>
        <v>0</v>
      </c>
      <c r="CU22" s="140"/>
      <c r="CV22" s="140"/>
      <c r="CW22" s="140"/>
      <c r="CX22" s="140">
        <f>SUM(AD22:AG22)</f>
        <v>0</v>
      </c>
      <c r="CY22" s="140">
        <f>SUM(AH22:AK22)</f>
        <v>0.4</v>
      </c>
      <c r="CZ22" s="140">
        <f>SUM(AL22:AO22)</f>
        <v>2.4313968996018192</v>
      </c>
      <c r="DA22" s="140">
        <f>SUM(AP22:AS22)</f>
        <v>4.5</v>
      </c>
      <c r="DB22" s="140">
        <f>SUM(AT22:AW22)</f>
        <v>5.05</v>
      </c>
      <c r="DC22" s="140">
        <f>SUM(AX22:BB22)</f>
        <v>5.0517183325534223</v>
      </c>
      <c r="DD22" s="140">
        <f>SUM(BC22:BG22)</f>
        <v>5.3924900173043131</v>
      </c>
      <c r="DE22" s="140">
        <f>SUM(BH22:BL22)</f>
        <v>6.3528497806389765</v>
      </c>
      <c r="DF22" s="113"/>
    </row>
    <row r="23" spans="1:110">
      <c r="A23" s="157" t="s">
        <v>300</v>
      </c>
      <c r="B23" s="115"/>
      <c r="C23" s="181"/>
      <c r="D23" s="181"/>
      <c r="E23" s="181"/>
      <c r="F23" s="181"/>
      <c r="G23" s="181"/>
      <c r="H23" s="181"/>
      <c r="I23" s="181"/>
      <c r="J23" s="181"/>
      <c r="K23" s="181"/>
      <c r="L23" s="183"/>
      <c r="M23" s="181"/>
      <c r="N23" s="181"/>
      <c r="O23" s="181"/>
      <c r="P23" s="183"/>
      <c r="Q23" s="181"/>
      <c r="R23" s="181"/>
      <c r="S23" s="181"/>
      <c r="T23" s="183"/>
      <c r="U23" s="181"/>
      <c r="V23" s="181"/>
      <c r="W23" s="181"/>
      <c r="X23" s="183"/>
      <c r="Y23" s="181"/>
      <c r="Z23" s="181"/>
      <c r="AA23" s="181"/>
      <c r="AB23" s="183"/>
      <c r="AC23" s="181"/>
      <c r="AD23" s="181" t="str">
        <f t="shared" ref="AD23:AO23" si="49">IF(OR(AD22=0,Z22=0),"NM",AD22/Z22-1)</f>
        <v>NM</v>
      </c>
      <c r="AE23" s="181" t="str">
        <f t="shared" si="49"/>
        <v>NM</v>
      </c>
      <c r="AF23" s="183" t="str">
        <f t="shared" si="49"/>
        <v>NM</v>
      </c>
      <c r="AG23" s="181" t="str">
        <f t="shared" si="49"/>
        <v>NM</v>
      </c>
      <c r="AH23" s="181" t="str">
        <f t="shared" si="49"/>
        <v>NM</v>
      </c>
      <c r="AI23" s="181" t="str">
        <f t="shared" si="49"/>
        <v>NM</v>
      </c>
      <c r="AJ23" s="183" t="str">
        <f t="shared" si="49"/>
        <v>NM</v>
      </c>
      <c r="AK23" s="181" t="str">
        <f t="shared" si="49"/>
        <v>NM</v>
      </c>
      <c r="AL23" s="181" t="str">
        <f t="shared" si="49"/>
        <v>NM</v>
      </c>
      <c r="AM23" s="181" t="str">
        <f t="shared" si="49"/>
        <v>NM</v>
      </c>
      <c r="AN23" s="183" t="str">
        <f t="shared" si="49"/>
        <v>NM</v>
      </c>
      <c r="AO23" s="181">
        <f t="shared" si="49"/>
        <v>1.5784922490045483</v>
      </c>
      <c r="AP23" s="181">
        <f t="shared" ref="AP23:AY23" si="50">IF(OR(AP22=0,AL22=0),"NM",AP22/AL22-1)</f>
        <v>1</v>
      </c>
      <c r="AQ23" s="182">
        <f t="shared" si="50"/>
        <v>1</v>
      </c>
      <c r="AR23" s="183">
        <f t="shared" si="50"/>
        <v>1.285714285714286</v>
      </c>
      <c r="AS23" s="181">
        <f t="shared" si="50"/>
        <v>0.45433828682158062</v>
      </c>
      <c r="AT23" s="181">
        <f t="shared" si="50"/>
        <v>0.18749999999999978</v>
      </c>
      <c r="AU23" s="184">
        <f t="shared" si="50"/>
        <v>1</v>
      </c>
      <c r="AV23" s="183">
        <f t="shared" si="50"/>
        <v>-0.375</v>
      </c>
      <c r="AW23" s="181">
        <f t="shared" si="50"/>
        <v>0.26666666666666661</v>
      </c>
      <c r="AX23" s="181">
        <f t="shared" si="50"/>
        <v>0.26842105263157912</v>
      </c>
      <c r="AY23" s="184">
        <f t="shared" si="50"/>
        <v>0</v>
      </c>
      <c r="AZ23" s="2592"/>
      <c r="BA23" s="183">
        <f>IF(OR(BA22=0,AV22=0),"NM",BA22/AV22-1)</f>
        <v>0.14999999999999991</v>
      </c>
      <c r="BB23" s="181">
        <f>IF(OR(BB22=0,AW22=0),"NM",BB22/AW22-1)</f>
        <v>-0.21225350918240915</v>
      </c>
      <c r="BC23" s="181">
        <f>IF(OR(BC22=0,AX22=0),"NM",BC22/AX22-1)</f>
        <v>-8.7136929460580936E-2</v>
      </c>
      <c r="BD23" s="184">
        <f>IF(OR(BD22=0,AY22=0),"NM",BD22/AY22-1)</f>
        <v>-1.0764658392944604E-2</v>
      </c>
      <c r="BE23" s="2592"/>
      <c r="BF23" s="183">
        <f>IF(OR(BF22=0,BA22=0),"NM",BF22/BA22-1)</f>
        <v>0.15093005062496689</v>
      </c>
      <c r="BG23" s="181">
        <f>IF(OR(BG22=0,BB22=0),"NM",BG22/BB22-1)</f>
        <v>0.19049657534246567</v>
      </c>
      <c r="BH23" s="181">
        <f>IF(OR(BH22=0,BC22=0),"NM",BH22/BC22-1)</f>
        <v>0.17492858456416771</v>
      </c>
      <c r="BI23" s="184">
        <f>IF(OR(BI22=0,BD22=0),"NM",BI22/BD22-1)</f>
        <v>0.1769157994323558</v>
      </c>
      <c r="BJ23" s="2592"/>
      <c r="BK23" s="183">
        <f>IF(OR(BK22=0,BF22=0),"NM",BK22/BF22-1)</f>
        <v>0.11557730263157895</v>
      </c>
      <c r="BL23" s="181">
        <f>IF(OR(BL22=0,BG22=0),"NM",BL22/BG22-1)</f>
        <v>0.22726537216828491</v>
      </c>
      <c r="BM23" s="181">
        <f>IF(OR(BM22=0,BH22=0),"NM",BM22/BH22-1)</f>
        <v>1.0501618122977341E-2</v>
      </c>
      <c r="BN23" s="184">
        <f>IF(OR(BN22=0,BI22=0),"NM",BN22/BI22-1)</f>
        <v>-7.3857181136120054E-2</v>
      </c>
      <c r="BO23" s="2592"/>
      <c r="BP23" s="183">
        <f>IF(OR(BP22=0,BK22=0),"NM",BP22/BK22-1)</f>
        <v>6.2672814406041333E-2</v>
      </c>
      <c r="BQ23" s="181">
        <f>IF(OR(BQ22=0,BL22=0),"NM",BQ22/BL22-1)</f>
        <v>6.9002164502164565E-2</v>
      </c>
      <c r="BR23" s="181">
        <f>IF(OR(BR22=0,BM22=0),"NM",BR22/BM22-1)</f>
        <v>7.5251648981932817E-2</v>
      </c>
      <c r="BS23" s="184">
        <f>IF(OR(BS22=0,BN22=0),"NM",BS22/BN22-1)</f>
        <v>8.1422770019948798E-2</v>
      </c>
      <c r="BT23" s="2592"/>
      <c r="BU23" s="183">
        <f>IF(OR(BU22=0,BP22=0),"NM",BU22/BP22-1)</f>
        <v>3.3792569659442551E-2</v>
      </c>
      <c r="BV23" s="181">
        <f>IF(OR(BV22=0,BQ22=0),"NM",BV22/BQ22-1)</f>
        <v>3.3195718654434048E-2</v>
      </c>
      <c r="BW23" s="181">
        <f>IF(OR(BW22=0,BR22=0),"NM",BW22/BR22-1)</f>
        <v>3.2613293051359626E-2</v>
      </c>
      <c r="BX23" s="184">
        <f>IF(OR(BX22=0,BS22=0),"NM",BX22/BS22-1)</f>
        <v>3.2044776119402929E-2</v>
      </c>
      <c r="BY23" s="155"/>
      <c r="BZ23" s="827"/>
      <c r="CA23" s="828"/>
      <c r="CB23" s="161" t="str">
        <f t="shared" ref="CB23:CM23" si="51">IF(OR(CA22=0,CB22=0),"NM",CB22/CA22-1)</f>
        <v>NM</v>
      </c>
      <c r="CC23" s="161" t="str">
        <f t="shared" si="51"/>
        <v>NM</v>
      </c>
      <c r="CD23" s="160" t="str">
        <f t="shared" si="51"/>
        <v>NM</v>
      </c>
      <c r="CE23" s="159" t="str">
        <f t="shared" si="51"/>
        <v>NM</v>
      </c>
      <c r="CF23" s="161" t="str">
        <f t="shared" si="51"/>
        <v>NM</v>
      </c>
      <c r="CG23" s="160" t="str">
        <f t="shared" si="51"/>
        <v>NM</v>
      </c>
      <c r="CH23" s="160">
        <f t="shared" si="51"/>
        <v>1.8467244541834722</v>
      </c>
      <c r="CI23" s="161">
        <f t="shared" si="51"/>
        <v>0.67656805199863879</v>
      </c>
      <c r="CJ23" s="160">
        <f t="shared" si="51"/>
        <v>1.0476190476190528E-2</v>
      </c>
      <c r="CK23" s="160">
        <f t="shared" si="51"/>
        <v>-6.9971584829050193E-2</v>
      </c>
      <c r="CL23" s="160">
        <f t="shared" si="51"/>
        <v>0.17453569698771676</v>
      </c>
      <c r="CM23" s="160">
        <f t="shared" si="51"/>
        <v>8.0814095106446215E-2</v>
      </c>
      <c r="CN23" s="159"/>
      <c r="CO23" s="159"/>
      <c r="CP23" s="179"/>
      <c r="CQ23" s="827"/>
      <c r="CR23" s="828"/>
      <c r="CS23" s="828"/>
      <c r="CT23" s="161"/>
      <c r="CU23" s="161"/>
      <c r="CV23" s="161"/>
      <c r="CW23" s="161"/>
      <c r="CX23" s="161"/>
      <c r="CY23" s="161"/>
      <c r="CZ23" s="161">
        <f t="shared" ref="CZ23:DE23" si="52">CZ22/CY22-1</f>
        <v>5.0784922490045474</v>
      </c>
      <c r="DA23" s="161">
        <f t="shared" si="52"/>
        <v>0.85078791567799916</v>
      </c>
      <c r="DB23" s="161">
        <f t="shared" si="52"/>
        <v>0.12222222222222223</v>
      </c>
      <c r="DC23" s="161">
        <f t="shared" si="52"/>
        <v>3.40263871964952E-4</v>
      </c>
      <c r="DD23" s="161">
        <f t="shared" si="52"/>
        <v>6.7456588494839043E-2</v>
      </c>
      <c r="DE23" s="161">
        <f t="shared" si="52"/>
        <v>0.17809207995803455</v>
      </c>
      <c r="DF23" s="159"/>
    </row>
    <row r="24" spans="1:110">
      <c r="A24" s="1689"/>
      <c r="B24" s="115"/>
      <c r="C24" s="181"/>
      <c r="D24" s="181"/>
      <c r="E24" s="181"/>
      <c r="F24" s="181"/>
      <c r="G24" s="181"/>
      <c r="H24" s="181"/>
      <c r="I24" s="181"/>
      <c r="J24" s="181"/>
      <c r="K24" s="181"/>
      <c r="L24" s="183"/>
      <c r="M24" s="181"/>
      <c r="N24" s="181"/>
      <c r="O24" s="181"/>
      <c r="P24" s="183"/>
      <c r="Q24" s="181"/>
      <c r="R24" s="181"/>
      <c r="S24" s="181"/>
      <c r="T24" s="183"/>
      <c r="U24" s="181"/>
      <c r="V24" s="181"/>
      <c r="W24" s="181"/>
      <c r="X24" s="183"/>
      <c r="Y24" s="181"/>
      <c r="Z24" s="181"/>
      <c r="AA24" s="181"/>
      <c r="AB24" s="183"/>
      <c r="AC24" s="181"/>
      <c r="AD24" s="181"/>
      <c r="AE24" s="181"/>
      <c r="AF24" s="183"/>
      <c r="AG24" s="181"/>
      <c r="AH24" s="181"/>
      <c r="AI24" s="181"/>
      <c r="AJ24" s="183"/>
      <c r="AK24" s="181"/>
      <c r="AL24" s="181"/>
      <c r="AM24" s="181"/>
      <c r="AN24" s="183"/>
      <c r="AO24" s="181"/>
      <c r="AP24" s="181"/>
      <c r="AQ24" s="182"/>
      <c r="AR24" s="181"/>
      <c r="AS24" s="181"/>
      <c r="AT24" s="181"/>
      <c r="AU24" s="184"/>
      <c r="AV24" s="183"/>
      <c r="AW24" s="181"/>
      <c r="AX24" s="181"/>
      <c r="AY24" s="184"/>
      <c r="AZ24" s="2592"/>
      <c r="BA24" s="183"/>
      <c r="BB24" s="181"/>
      <c r="BC24" s="181"/>
      <c r="BD24" s="184"/>
      <c r="BE24" s="2592"/>
      <c r="BF24" s="183"/>
      <c r="BG24" s="181"/>
      <c r="BH24" s="181"/>
      <c r="BI24" s="184"/>
      <c r="BJ24" s="2592"/>
      <c r="BK24" s="183"/>
      <c r="BL24" s="181"/>
      <c r="BM24" s="181"/>
      <c r="BN24" s="184"/>
      <c r="BO24" s="2592"/>
      <c r="BP24" s="183"/>
      <c r="BQ24" s="181"/>
      <c r="BR24" s="181"/>
      <c r="BS24" s="184"/>
      <c r="BT24" s="2592"/>
      <c r="BU24" s="183"/>
      <c r="BV24" s="181"/>
      <c r="BW24" s="181"/>
      <c r="BX24" s="184"/>
      <c r="BY24" s="155"/>
      <c r="BZ24" s="827"/>
      <c r="CA24" s="828"/>
      <c r="CB24" s="161"/>
      <c r="CC24" s="161"/>
      <c r="CD24" s="160"/>
      <c r="CE24" s="159"/>
      <c r="CF24" s="161"/>
      <c r="CG24" s="160"/>
      <c r="CH24" s="160"/>
      <c r="CI24" s="161"/>
      <c r="CJ24" s="160"/>
      <c r="CK24" s="160"/>
      <c r="CL24" s="160"/>
      <c r="CM24" s="160"/>
      <c r="CN24" s="159"/>
      <c r="CO24" s="159"/>
      <c r="CP24" s="179"/>
      <c r="CQ24" s="827"/>
      <c r="CR24" s="828"/>
      <c r="CS24" s="828"/>
      <c r="CT24" s="161"/>
      <c r="CU24" s="161"/>
      <c r="CV24" s="161"/>
      <c r="CW24" s="161"/>
      <c r="CX24" s="161"/>
      <c r="CY24" s="161"/>
      <c r="CZ24" s="161"/>
      <c r="DA24" s="161"/>
      <c r="DB24" s="161"/>
      <c r="DC24" s="161"/>
      <c r="DD24" s="161"/>
      <c r="DE24" s="161"/>
      <c r="DF24" s="159"/>
    </row>
    <row r="25" spans="1:110">
      <c r="A25" s="1689"/>
      <c r="B25" s="115"/>
      <c r="C25" s="181"/>
      <c r="D25" s="181"/>
      <c r="E25" s="181"/>
      <c r="F25" s="181"/>
      <c r="G25" s="181"/>
      <c r="H25" s="181"/>
      <c r="I25" s="181"/>
      <c r="J25" s="181"/>
      <c r="K25" s="181"/>
      <c r="L25" s="183"/>
      <c r="M25" s="181"/>
      <c r="N25" s="181"/>
      <c r="O25" s="181"/>
      <c r="P25" s="183"/>
      <c r="Q25" s="181"/>
      <c r="R25" s="181"/>
      <c r="S25" s="181"/>
      <c r="T25" s="183"/>
      <c r="U25" s="181"/>
      <c r="V25" s="181"/>
      <c r="W25" s="181"/>
      <c r="X25" s="183"/>
      <c r="Y25" s="181"/>
      <c r="Z25" s="181"/>
      <c r="AA25" s="181"/>
      <c r="AB25" s="183"/>
      <c r="AC25" s="181"/>
      <c r="AD25" s="181"/>
      <c r="AE25" s="181"/>
      <c r="AF25" s="183"/>
      <c r="AG25" s="181"/>
      <c r="AH25" s="181"/>
      <c r="AI25" s="181"/>
      <c r="AJ25" s="183"/>
      <c r="AK25" s="181"/>
      <c r="AL25" s="181"/>
      <c r="AM25" s="181"/>
      <c r="AN25" s="183"/>
      <c r="AO25" s="181"/>
      <c r="AP25" s="181"/>
      <c r="AQ25" s="182"/>
      <c r="AR25" s="181"/>
      <c r="AS25" s="181"/>
      <c r="AT25" s="181"/>
      <c r="AU25" s="184"/>
      <c r="AV25" s="183"/>
      <c r="AW25" s="181"/>
      <c r="AX25" s="181"/>
      <c r="AY25" s="184"/>
      <c r="AZ25" s="2592"/>
      <c r="BA25" s="183"/>
      <c r="BB25" s="181"/>
      <c r="BC25" s="181"/>
      <c r="BD25" s="184"/>
      <c r="BE25" s="2592"/>
      <c r="BF25" s="183"/>
      <c r="BG25" s="181"/>
      <c r="BH25" s="181"/>
      <c r="BI25" s="184"/>
      <c r="BJ25" s="2592"/>
      <c r="BK25" s="183"/>
      <c r="BL25" s="181"/>
      <c r="BM25" s="181"/>
      <c r="BN25" s="184"/>
      <c r="BO25" s="2592"/>
      <c r="BP25" s="183"/>
      <c r="BQ25" s="181"/>
      <c r="BR25" s="181"/>
      <c r="BS25" s="184"/>
      <c r="BT25" s="2592"/>
      <c r="BU25" s="183"/>
      <c r="BV25" s="181"/>
      <c r="BW25" s="181"/>
      <c r="BX25" s="184"/>
      <c r="BY25" s="155"/>
      <c r="BZ25" s="827"/>
      <c r="CA25" s="828"/>
      <c r="CB25" s="161"/>
      <c r="CC25" s="161"/>
      <c r="CD25" s="160"/>
      <c r="CE25" s="159"/>
      <c r="CF25" s="161"/>
      <c r="CG25" s="160"/>
      <c r="CH25" s="160"/>
      <c r="CI25" s="161"/>
      <c r="CJ25" s="160"/>
      <c r="CK25" s="160"/>
      <c r="CL25" s="160"/>
      <c r="CM25" s="160"/>
      <c r="CN25" s="159"/>
      <c r="CO25" s="159"/>
      <c r="CP25" s="179"/>
      <c r="CQ25" s="827"/>
      <c r="CR25" s="828"/>
      <c r="CS25" s="828"/>
      <c r="CT25" s="161"/>
      <c r="CU25" s="161"/>
      <c r="CV25" s="161"/>
      <c r="CW25" s="161"/>
      <c r="CX25" s="161"/>
      <c r="CY25" s="161"/>
      <c r="CZ25" s="161"/>
      <c r="DA25" s="161"/>
      <c r="DB25" s="161"/>
      <c r="DC25" s="161"/>
      <c r="DD25" s="161"/>
      <c r="DE25" s="161"/>
      <c r="DF25" s="159"/>
    </row>
    <row r="26" spans="1:110">
      <c r="A26" s="1689" t="s">
        <v>296</v>
      </c>
      <c r="B26" s="115"/>
      <c r="C26" s="181"/>
      <c r="D26" s="181"/>
      <c r="E26" s="181"/>
      <c r="F26" s="181"/>
      <c r="G26" s="181"/>
      <c r="H26" s="181"/>
      <c r="I26" s="181"/>
      <c r="J26" s="181"/>
      <c r="K26" s="181"/>
      <c r="L26" s="183"/>
      <c r="M26" s="181"/>
      <c r="N26" s="181"/>
      <c r="O26" s="181"/>
      <c r="P26" s="183"/>
      <c r="Q26" s="181"/>
      <c r="R26" s="181"/>
      <c r="S26" s="181"/>
      <c r="T26" s="183"/>
      <c r="U26" s="181"/>
      <c r="V26" s="181"/>
      <c r="W26" s="181"/>
      <c r="X26" s="183"/>
      <c r="Y26" s="181"/>
      <c r="Z26" s="181"/>
      <c r="AA26" s="181"/>
      <c r="AB26" s="112"/>
      <c r="AC26" s="113"/>
      <c r="AD26" s="113">
        <f t="shared" ref="AD26:AI26" si="53">AD19+AD11</f>
        <v>59.416569207847289</v>
      </c>
      <c r="AE26" s="113">
        <f t="shared" si="53"/>
        <v>62.477105576377504</v>
      </c>
      <c r="AF26" s="112">
        <f t="shared" si="53"/>
        <v>67.091657032499938</v>
      </c>
      <c r="AG26" s="113">
        <f t="shared" si="53"/>
        <v>64.762547905374817</v>
      </c>
      <c r="AH26" s="113">
        <f t="shared" si="53"/>
        <v>62.05330367790247</v>
      </c>
      <c r="AI26" s="113">
        <f t="shared" si="53"/>
        <v>63.095571675952101</v>
      </c>
      <c r="AJ26" s="112">
        <f>AJ19+AJ11-AJ22</f>
        <v>65.612623143298762</v>
      </c>
      <c r="AK26" s="113">
        <f t="shared" ref="AK26:BI26" si="54">AK19+AK11-AK22</f>
        <v>68.8537043229516</v>
      </c>
      <c r="AL26" s="113">
        <f t="shared" si="54"/>
        <v>58.133227034753986</v>
      </c>
      <c r="AM26" s="113">
        <f t="shared" si="54"/>
        <v>57.160082489774418</v>
      </c>
      <c r="AN26" s="112">
        <f t="shared" si="54"/>
        <v>59.147475944970182</v>
      </c>
      <c r="AO26" s="113">
        <f t="shared" si="54"/>
        <v>68.894857722190139</v>
      </c>
      <c r="AP26" s="113">
        <f t="shared" si="54"/>
        <v>60.088134945795574</v>
      </c>
      <c r="AQ26" s="114">
        <f t="shared" si="54"/>
        <v>59.79618671176555</v>
      </c>
      <c r="AR26" s="113">
        <f t="shared" si="54"/>
        <v>58.350790449999998</v>
      </c>
      <c r="AS26" s="113">
        <f t="shared" si="54"/>
        <v>64.103796337999981</v>
      </c>
      <c r="AT26" s="113">
        <f t="shared" si="54"/>
        <v>50.452246285513496</v>
      </c>
      <c r="AU26" s="114">
        <f t="shared" si="54"/>
        <v>48.546652934487582</v>
      </c>
      <c r="AV26" s="112">
        <f t="shared" si="54"/>
        <v>51.420877368412704</v>
      </c>
      <c r="AW26" s="113">
        <f t="shared" si="54"/>
        <v>53.454602253909478</v>
      </c>
      <c r="AX26" s="113">
        <f t="shared" si="54"/>
        <v>43.217715037227492</v>
      </c>
      <c r="AY26" s="114">
        <f t="shared" si="54"/>
        <v>45.0293798415792</v>
      </c>
      <c r="AZ26" s="113"/>
      <c r="BA26" s="112">
        <f t="shared" si="54"/>
        <v>49.099391775629769</v>
      </c>
      <c r="BB26" s="113">
        <f t="shared" si="54"/>
        <v>52.74382779674503</v>
      </c>
      <c r="BC26" s="189">
        <f t="shared" ref="BC26" si="55">BC19+BC11-BC22</f>
        <v>42.647080998873314</v>
      </c>
      <c r="BD26" s="114">
        <f t="shared" si="54"/>
        <v>44.828139827966162</v>
      </c>
      <c r="BE26" s="113"/>
      <c r="BF26" s="112">
        <f t="shared" si="54"/>
        <v>50.626772414028672</v>
      </c>
      <c r="BG26" s="113">
        <f t="shared" ref="BG26" si="56">BG19+BG11-BG22</f>
        <v>54.201145821977612</v>
      </c>
      <c r="BH26" s="113">
        <f t="shared" si="54"/>
        <v>43.903026523743627</v>
      </c>
      <c r="BI26" s="114">
        <f t="shared" si="54"/>
        <v>45.393989002698639</v>
      </c>
      <c r="BJ26" s="113"/>
      <c r="BK26" s="112">
        <f>BK19+BK11-BK22</f>
        <v>50.114189434479847</v>
      </c>
      <c r="BL26" s="113">
        <f>BL19+BL11-BL22</f>
        <v>53.376202700709641</v>
      </c>
      <c r="BM26" s="113">
        <f>BM19+BM11-BM22</f>
        <v>43.557939213439965</v>
      </c>
      <c r="BN26" s="114">
        <f>BN19+BN11-BN22</f>
        <v>45.147653766302049</v>
      </c>
      <c r="BO26" s="113"/>
      <c r="BP26" s="112">
        <f>BP19+BP11-BP22</f>
        <v>49.234603977934135</v>
      </c>
      <c r="BQ26" s="113">
        <f>BQ19+BQ11-BQ22</f>
        <v>52.536734142813948</v>
      </c>
      <c r="BR26" s="113">
        <f>BR19+BR11-BR22</f>
        <v>42.850304018978711</v>
      </c>
      <c r="BS26" s="114">
        <f>BS19+BS11-BS22</f>
        <v>44.433443289247954</v>
      </c>
      <c r="BT26" s="113"/>
      <c r="BU26" s="112">
        <f>BU19+BU11-BU22</f>
        <v>48.532485241699611</v>
      </c>
      <c r="BV26" s="113">
        <f>BV19+BV11-BV22</f>
        <v>51.902317148186867</v>
      </c>
      <c r="BW26" s="113">
        <f>BW19+BW11-BW22</f>
        <v>42.240646654253162</v>
      </c>
      <c r="BX26" s="114">
        <f>BX19+BX11-BX22</f>
        <v>43.788577830221818</v>
      </c>
      <c r="BY26" s="155"/>
      <c r="BZ26" s="827"/>
      <c r="CA26" s="828"/>
      <c r="CB26" s="161"/>
      <c r="CC26" s="161"/>
      <c r="CD26" s="160"/>
      <c r="CE26" s="159"/>
      <c r="CF26" s="140">
        <f>SUM(AF26:AI26)</f>
        <v>257.00308029172936</v>
      </c>
      <c r="CG26" s="114">
        <f>SUM(AJ26:AM26)</f>
        <v>249.75963699077877</v>
      </c>
      <c r="CH26" s="114">
        <f>SUM(AN26:AQ26)</f>
        <v>247.92665532472145</v>
      </c>
      <c r="CI26" s="140">
        <f>SUM(AR26:AU26)</f>
        <v>221.45348600800105</v>
      </c>
      <c r="CJ26" s="114">
        <f>SUM(AV26:AY26)</f>
        <v>193.1225745011289</v>
      </c>
      <c r="CK26" s="114">
        <f>SUM(BA26:BD26)</f>
        <v>189.3184403992143</v>
      </c>
      <c r="CL26" s="114">
        <f>SUM(BF26:BI26)</f>
        <v>194.12493376244856</v>
      </c>
      <c r="CM26" s="114">
        <f>SUM(BK26:BN26)</f>
        <v>192.19598511493152</v>
      </c>
      <c r="CN26" s="113"/>
      <c r="CO26" s="113"/>
      <c r="CP26" s="179"/>
      <c r="CQ26" s="827"/>
      <c r="CR26" s="828"/>
      <c r="CS26" s="828"/>
      <c r="CT26" s="161"/>
      <c r="CU26" s="161"/>
      <c r="CV26" s="161"/>
      <c r="CW26" s="161"/>
      <c r="CX26" s="161"/>
      <c r="CY26" s="161"/>
      <c r="CZ26" s="140">
        <f>SUM(AL26:AO26)</f>
        <v>243.33564319168875</v>
      </c>
      <c r="DA26" s="140">
        <f>SUM(AP26:AS26)</f>
        <v>242.33890844556112</v>
      </c>
      <c r="DB26" s="140">
        <f>SUM(AT26:AW26)</f>
        <v>203.87437884232327</v>
      </c>
      <c r="DC26" s="140">
        <f>SUM(AX26:BB26)</f>
        <v>190.09031445118148</v>
      </c>
      <c r="DD26" s="140">
        <f>SUM(BC26:BG26)</f>
        <v>192.30313906284576</v>
      </c>
      <c r="DE26" s="140">
        <f>SUM(BH26:BL26)</f>
        <v>192.78740766163173</v>
      </c>
      <c r="DF26" s="113"/>
    </row>
    <row r="27" spans="1:110">
      <c r="A27" s="125" t="s">
        <v>300</v>
      </c>
      <c r="B27" s="115"/>
      <c r="C27" s="181"/>
      <c r="D27" s="181"/>
      <c r="E27" s="181"/>
      <c r="F27" s="181"/>
      <c r="G27" s="181"/>
      <c r="H27" s="181"/>
      <c r="I27" s="181"/>
      <c r="J27" s="181"/>
      <c r="K27" s="181"/>
      <c r="L27" s="183"/>
      <c r="M27" s="181"/>
      <c r="N27" s="181"/>
      <c r="O27" s="181"/>
      <c r="P27" s="183"/>
      <c r="Q27" s="181"/>
      <c r="R27" s="181"/>
      <c r="S27" s="181"/>
      <c r="T27" s="183"/>
      <c r="U27" s="181"/>
      <c r="V27" s="181"/>
      <c r="W27" s="181"/>
      <c r="X27" s="183"/>
      <c r="Y27" s="181"/>
      <c r="Z27" s="181"/>
      <c r="AA27" s="181"/>
      <c r="AB27" s="132"/>
      <c r="AC27" s="131"/>
      <c r="AD27" s="131"/>
      <c r="AE27" s="131"/>
      <c r="AF27" s="132"/>
      <c r="AG27" s="131"/>
      <c r="AH27" s="131"/>
      <c r="AI27" s="131"/>
      <c r="AJ27" s="183">
        <f t="shared" ref="AJ27:AY27" si="57">IF(OR(AJ26=0,AF26=0),"NM",AJ26/AF26-1)</f>
        <v>-2.2044974809382278E-2</v>
      </c>
      <c r="AK27" s="181">
        <f t="shared" si="57"/>
        <v>6.3171640861851452E-2</v>
      </c>
      <c r="AL27" s="181">
        <f t="shared" si="57"/>
        <v>-6.3172730713843439E-2</v>
      </c>
      <c r="AM27" s="182">
        <f t="shared" si="57"/>
        <v>-9.4071406732968876E-2</v>
      </c>
      <c r="AN27" s="183">
        <f t="shared" si="57"/>
        <v>-9.853511243116464E-2</v>
      </c>
      <c r="AO27" s="181">
        <f t="shared" si="57"/>
        <v>5.976933215605662E-4</v>
      </c>
      <c r="AP27" s="181">
        <f t="shared" si="57"/>
        <v>3.3628064546853409E-2</v>
      </c>
      <c r="AQ27" s="182">
        <f t="shared" si="57"/>
        <v>4.6117921933767514E-2</v>
      </c>
      <c r="AR27" s="181">
        <f t="shared" si="57"/>
        <v>-1.3469475784755547E-2</v>
      </c>
      <c r="AS27" s="181">
        <f t="shared" si="57"/>
        <v>-6.9541639863885174E-2</v>
      </c>
      <c r="AT27" s="181">
        <f t="shared" si="57"/>
        <v>-0.16036258520878444</v>
      </c>
      <c r="AU27" s="184">
        <f t="shared" si="57"/>
        <v>-0.18813129057048217</v>
      </c>
      <c r="AV27" s="183">
        <f t="shared" si="57"/>
        <v>-0.11876296838729961</v>
      </c>
      <c r="AW27" s="181">
        <f t="shared" si="57"/>
        <v>-0.16612423432678647</v>
      </c>
      <c r="AX27" s="181">
        <f t="shared" si="57"/>
        <v>-0.14339364014329881</v>
      </c>
      <c r="AY27" s="184">
        <f t="shared" si="57"/>
        <v>-7.2451402523153297E-2</v>
      </c>
      <c r="AZ27" s="2592"/>
      <c r="BA27" s="183">
        <f>IF(OR(BA26=0,AV26=0),"NM",BA26/AV26-1)</f>
        <v>-4.5146751895155268E-2</v>
      </c>
      <c r="BB27" s="181">
        <f>IF(OR(BB26=0,AW26=0),"NM",BB26/AW26-1)</f>
        <v>-1.329678694059433E-2</v>
      </c>
      <c r="BC27" s="181">
        <f t="shared" ref="BC27" si="58">IF(OR(BC26=0,AY26=0),"NM",BC26/AY26-1)</f>
        <v>-5.2905433099172283E-2</v>
      </c>
      <c r="BD27" s="184">
        <f>IF(OR(BD26=0,AY26=0),"NM",BD26/AY26-1)</f>
        <v>-4.4690825039348514E-3</v>
      </c>
      <c r="BE27" s="2592"/>
      <c r="BF27" s="183">
        <f>IF(OR(BF26=0,BA26=0),"NM",BF26/BA26-1)</f>
        <v>3.1107933991903591E-2</v>
      </c>
      <c r="BG27" s="181">
        <f>IF(OR(BG26=0,BB26=0),"NM",BG26/BB26-1)</f>
        <v>2.7630114955792262E-2</v>
      </c>
      <c r="BH27" s="181">
        <f>IF(OR(BH26=0,BC26=0),"NM",BH26/BC26-1)</f>
        <v>2.9449741821802489E-2</v>
      </c>
      <c r="BI27" s="184">
        <f>IF(OR(BI26=0,BD26=0),"NM",BI26/BD26-1)</f>
        <v>1.2622633392864291E-2</v>
      </c>
      <c r="BJ27" s="2592"/>
      <c r="BK27" s="183">
        <f>IF(OR(BK26=0,BF26=0),"NM",BK26/BF26-1)</f>
        <v>-1.0124741418569783E-2</v>
      </c>
      <c r="BL27" s="181">
        <f>IF(OR(BL26=0,BG26=0),"NM",BL26/BG26-1)</f>
        <v>-1.5220031029924641E-2</v>
      </c>
      <c r="BM27" s="181">
        <f>IF(OR(BM26=0,BH26=0),"NM",BM26/BH26-1)</f>
        <v>-7.8602168831579666E-3</v>
      </c>
      <c r="BN27" s="184">
        <f>IF(OR(BN26=0,BI26=0),"NM",BN26/BI26-1)</f>
        <v>-5.4266047511697391E-3</v>
      </c>
      <c r="BO27" s="2592"/>
      <c r="BP27" s="183">
        <f>IF(OR(BP26=0,BK26=0),"NM",BP26/BK26-1)</f>
        <v>-1.7551624928418663E-2</v>
      </c>
      <c r="BQ27" s="181">
        <f>IF(OR(BQ26=0,BL26=0),"NM",BQ26/BL26-1)</f>
        <v>-1.5727393771391873E-2</v>
      </c>
      <c r="BR27" s="181">
        <f>IF(OR(BR26=0,BM26=0),"NM",BR26/BM26-1)</f>
        <v>-1.6245837320120748E-2</v>
      </c>
      <c r="BS27" s="184">
        <f>IF(OR(BS26=0,BN26=0),"NM",BS26/BN26-1)</f>
        <v>-1.5819437279090187E-2</v>
      </c>
      <c r="BT27" s="2592"/>
      <c r="BU27" s="183">
        <f>IF(OR(BU26=0,BP26=0),"NM",BU26/BP26-1)</f>
        <v>-1.426067601862302E-2</v>
      </c>
      <c r="BV27" s="181">
        <f>IF(OR(BV26=0,BQ26=0),"NM",BV26/BQ26-1)</f>
        <v>-1.2075683899621659E-2</v>
      </c>
      <c r="BW27" s="181">
        <f>IF(OR(BW26=0,BR26=0),"NM",BW26/BR26-1)</f>
        <v>-1.4227608850931994E-2</v>
      </c>
      <c r="BX27" s="184">
        <f>IF(OR(BX26=0,BS26=0),"NM",BX26/BS26-1)</f>
        <v>-1.4513065188944796E-2</v>
      </c>
      <c r="BY27" s="155"/>
      <c r="BZ27" s="827"/>
      <c r="CA27" s="828"/>
      <c r="CB27" s="161"/>
      <c r="CC27" s="161"/>
      <c r="CD27" s="160"/>
      <c r="CE27" s="159"/>
      <c r="CF27" s="161" t="str">
        <f t="shared" ref="CF27:CM27" si="59">IF(OR(CE26=0,CF26=0),"NM",CF26/CE26-1)</f>
        <v>NM</v>
      </c>
      <c r="CG27" s="160">
        <f t="shared" si="59"/>
        <v>-2.8184266479329367E-2</v>
      </c>
      <c r="CH27" s="160">
        <f t="shared" si="59"/>
        <v>-7.3389827441372457E-3</v>
      </c>
      <c r="CI27" s="161">
        <f t="shared" si="59"/>
        <v>-0.10677822956167105</v>
      </c>
      <c r="CJ27" s="160">
        <f t="shared" si="59"/>
        <v>-0.1279316574219499</v>
      </c>
      <c r="CK27" s="160">
        <f t="shared" si="59"/>
        <v>-1.9698029149318175E-2</v>
      </c>
      <c r="CL27" s="160">
        <f t="shared" si="59"/>
        <v>2.5388405657150281E-2</v>
      </c>
      <c r="CM27" s="160">
        <f t="shared" si="59"/>
        <v>-9.9366351870981973E-3</v>
      </c>
      <c r="CN27" s="159"/>
      <c r="CO27" s="159"/>
      <c r="CP27" s="179"/>
      <c r="CQ27" s="827"/>
      <c r="CR27" s="828"/>
      <c r="CS27" s="828"/>
      <c r="CT27" s="161"/>
      <c r="CU27" s="161"/>
      <c r="CV27" s="161"/>
      <c r="CW27" s="161"/>
      <c r="CX27" s="161"/>
      <c r="CY27" s="161"/>
      <c r="CZ27" s="161"/>
      <c r="DA27" s="161">
        <f>DA26/CZ26-1</f>
        <v>-4.0961313067582328E-3</v>
      </c>
      <c r="DB27" s="161">
        <f>DB26/DA26-1</f>
        <v>-0.15872205519931404</v>
      </c>
      <c r="DC27" s="161">
        <f>DC26/DB26-1</f>
        <v>-6.7610577010279393E-2</v>
      </c>
      <c r="DD27" s="161">
        <f>DD26/DC26-1</f>
        <v>1.1640911942583765E-2</v>
      </c>
      <c r="DE27" s="161">
        <f>DE26/DD26-1</f>
        <v>2.5182563381229706E-3</v>
      </c>
      <c r="DF27" s="159"/>
    </row>
    <row r="28" spans="1:110">
      <c r="A28" s="1689"/>
      <c r="B28" s="115"/>
      <c r="C28" s="181"/>
      <c r="D28" s="181"/>
      <c r="E28" s="181"/>
      <c r="F28" s="181"/>
      <c r="G28" s="181"/>
      <c r="H28" s="181"/>
      <c r="I28" s="181"/>
      <c r="J28" s="181"/>
      <c r="K28" s="181"/>
      <c r="L28" s="183"/>
      <c r="M28" s="181"/>
      <c r="N28" s="181"/>
      <c r="O28" s="181"/>
      <c r="P28" s="183"/>
      <c r="Q28" s="181"/>
      <c r="R28" s="181"/>
      <c r="S28" s="181"/>
      <c r="T28" s="183"/>
      <c r="U28" s="181"/>
      <c r="V28" s="181"/>
      <c r="W28" s="181"/>
      <c r="X28" s="183"/>
      <c r="Y28" s="181"/>
      <c r="Z28" s="181"/>
      <c r="AA28" s="181"/>
      <c r="AB28" s="183"/>
      <c r="AC28" s="181"/>
      <c r="AD28" s="181"/>
      <c r="AE28" s="181"/>
      <c r="AF28" s="183"/>
      <c r="AG28" s="181"/>
      <c r="AH28" s="181"/>
      <c r="AI28" s="181"/>
      <c r="AJ28" s="183"/>
      <c r="AK28" s="181"/>
      <c r="AL28" s="181"/>
      <c r="AM28" s="181"/>
      <c r="AN28" s="183"/>
      <c r="AO28" s="181"/>
      <c r="AP28" s="181"/>
      <c r="AQ28" s="182"/>
      <c r="AR28" s="181"/>
      <c r="AS28" s="181"/>
      <c r="AT28" s="181"/>
      <c r="AU28" s="184"/>
      <c r="AV28" s="183"/>
      <c r="AW28" s="181"/>
      <c r="AX28" s="181"/>
      <c r="AY28" s="184"/>
      <c r="AZ28" s="2592"/>
      <c r="BA28" s="183"/>
      <c r="BB28" s="181"/>
      <c r="BC28" s="181"/>
      <c r="BD28" s="184"/>
      <c r="BE28" s="2592"/>
      <c r="BF28" s="183"/>
      <c r="BG28" s="181"/>
      <c r="BH28" s="181"/>
      <c r="BI28" s="184"/>
      <c r="BJ28" s="2592"/>
      <c r="BK28" s="183"/>
      <c r="BL28" s="181"/>
      <c r="BM28" s="181"/>
      <c r="BN28" s="184"/>
      <c r="BO28" s="2592"/>
      <c r="BP28" s="183"/>
      <c r="BQ28" s="181"/>
      <c r="BR28" s="181"/>
      <c r="BS28" s="184"/>
      <c r="BT28" s="2592"/>
      <c r="BU28" s="183"/>
      <c r="BV28" s="181"/>
      <c r="BW28" s="181"/>
      <c r="BX28" s="184"/>
      <c r="BY28" s="155"/>
      <c r="BZ28" s="827"/>
      <c r="CA28" s="828"/>
      <c r="CB28" s="161"/>
      <c r="CC28" s="161"/>
      <c r="CD28" s="160"/>
      <c r="CE28" s="159"/>
      <c r="CF28" s="161"/>
      <c r="CG28" s="160"/>
      <c r="CH28" s="160"/>
      <c r="CI28" s="161"/>
      <c r="CJ28" s="160"/>
      <c r="CK28" s="160"/>
      <c r="CL28" s="160"/>
      <c r="CM28" s="160"/>
      <c r="CN28" s="159"/>
      <c r="CO28" s="159"/>
      <c r="CP28" s="179"/>
      <c r="CQ28" s="827"/>
      <c r="CR28" s="828"/>
      <c r="CS28" s="828"/>
      <c r="CT28" s="161"/>
      <c r="CU28" s="161"/>
      <c r="CV28" s="161"/>
      <c r="CW28" s="161"/>
      <c r="CX28" s="161"/>
      <c r="CY28" s="161"/>
      <c r="CZ28" s="161"/>
      <c r="DA28" s="161"/>
      <c r="DB28" s="161"/>
      <c r="DC28" s="161"/>
      <c r="DD28" s="161"/>
      <c r="DE28" s="161"/>
      <c r="DF28" s="159"/>
    </row>
    <row r="29" spans="1:110">
      <c r="A29" s="1689" t="s">
        <v>299</v>
      </c>
      <c r="B29" s="115"/>
      <c r="C29" s="181"/>
      <c r="D29" s="181"/>
      <c r="E29" s="181"/>
      <c r="F29" s="181"/>
      <c r="G29" s="181"/>
      <c r="H29" s="181"/>
      <c r="I29" s="181"/>
      <c r="J29" s="181"/>
      <c r="K29" s="181"/>
      <c r="L29" s="183"/>
      <c r="M29" s="181"/>
      <c r="N29" s="181"/>
      <c r="O29" s="181"/>
      <c r="P29" s="183"/>
      <c r="Q29" s="181"/>
      <c r="R29" s="181"/>
      <c r="S29" s="181"/>
      <c r="T29" s="183"/>
      <c r="U29" s="181"/>
      <c r="V29" s="181"/>
      <c r="W29" s="181"/>
      <c r="X29" s="183"/>
      <c r="Y29" s="181"/>
      <c r="Z29" s="181"/>
      <c r="AA29" s="181"/>
      <c r="AB29" s="132"/>
      <c r="AC29" s="131"/>
      <c r="AD29" s="131">
        <f t="shared" ref="AD29:AI29" si="60">AD32/AD26</f>
        <v>0</v>
      </c>
      <c r="AE29" s="131">
        <f t="shared" si="60"/>
        <v>0</v>
      </c>
      <c r="AF29" s="132">
        <f t="shared" si="60"/>
        <v>53.602304545227284</v>
      </c>
      <c r="AG29" s="131">
        <f t="shared" si="60"/>
        <v>55.636432280649259</v>
      </c>
      <c r="AH29" s="131">
        <f t="shared" si="60"/>
        <v>54.592530958025343</v>
      </c>
      <c r="AI29" s="131">
        <f t="shared" si="60"/>
        <v>55.201972301449018</v>
      </c>
      <c r="AJ29" s="132">
        <f>AJ32/AJ26</f>
        <v>50.904838733629006</v>
      </c>
      <c r="AK29" s="131">
        <f t="shared" ref="AK29:AU29" si="61">AK32/AK26</f>
        <v>54.913530610721942</v>
      </c>
      <c r="AL29" s="131">
        <f t="shared" si="61"/>
        <v>52.121654939068925</v>
      </c>
      <c r="AM29" s="131">
        <f t="shared" si="61"/>
        <v>52.659126244936225</v>
      </c>
      <c r="AN29" s="132">
        <f t="shared" si="61"/>
        <v>52.512807188759311</v>
      </c>
      <c r="AO29" s="131">
        <f t="shared" si="61"/>
        <v>53.226033425988334</v>
      </c>
      <c r="AP29" s="131">
        <f t="shared" si="61"/>
        <v>52.43963725688036</v>
      </c>
      <c r="AQ29" s="133">
        <f t="shared" si="61"/>
        <v>51.84277075966186</v>
      </c>
      <c r="AR29" s="131">
        <f t="shared" si="61"/>
        <v>53.075544926058541</v>
      </c>
      <c r="AS29" s="131">
        <f t="shared" si="61"/>
        <v>50.667826018825416</v>
      </c>
      <c r="AT29" s="131">
        <f t="shared" si="61"/>
        <v>49.829297704071713</v>
      </c>
      <c r="AU29" s="133">
        <f t="shared" si="61"/>
        <v>49.457580592426915</v>
      </c>
      <c r="AV29" s="132">
        <v>56.853145977889682</v>
      </c>
      <c r="AW29" s="1710">
        <v>57.892546990431399</v>
      </c>
      <c r="AX29" s="1710">
        <v>58.029311066647374</v>
      </c>
      <c r="AY29" s="1710">
        <v>60.772867894690094</v>
      </c>
      <c r="AZ29" s="1710"/>
      <c r="BA29" s="132">
        <v>59</v>
      </c>
      <c r="BB29" s="131">
        <v>62.406406019908545</v>
      </c>
      <c r="BC29" s="1710">
        <v>62.233499198349179</v>
      </c>
      <c r="BD29" s="1710">
        <v>63.1407885727523</v>
      </c>
      <c r="BE29" s="1710"/>
      <c r="BF29" s="132">
        <v>60</v>
      </c>
      <c r="BG29" s="1710">
        <f>BB29*(1+BG30)</f>
        <v>63.654534140306716</v>
      </c>
      <c r="BH29" s="1710">
        <f>BC29*(1+BH30)</f>
        <v>63.167001686324411</v>
      </c>
      <c r="BI29" s="1711">
        <f>BD29*(1+BI30)</f>
        <v>65.035012229934864</v>
      </c>
      <c r="BJ29" s="1710"/>
      <c r="BK29" s="1224">
        <f>BF29*(1+BK30)</f>
        <v>59.4</v>
      </c>
      <c r="BL29" s="1710">
        <f>BG29*(1+BL30)</f>
        <v>63.017988798903644</v>
      </c>
      <c r="BM29" s="1710">
        <f>BH29*(1+BM30)</f>
        <v>62.535331669461165</v>
      </c>
      <c r="BN29" s="1711">
        <f>BI29*(1+BN30)</f>
        <v>64.384662107635521</v>
      </c>
      <c r="BO29" s="1710"/>
      <c r="BP29" s="1224">
        <f>BK29*(1+BP30)</f>
        <v>58.211999999999996</v>
      </c>
      <c r="BQ29" s="1710">
        <f>BL29*(1+BQ30)</f>
        <v>61.75762902292557</v>
      </c>
      <c r="BR29" s="1710">
        <f>BM29*(1+BR30)</f>
        <v>61.597301694419244</v>
      </c>
      <c r="BS29" s="1711">
        <f>BN29*(1+BS30)</f>
        <v>63.418892176020989</v>
      </c>
      <c r="BT29" s="1710"/>
      <c r="BU29" s="1224">
        <f>BP29*(1+BU30)</f>
        <v>57.047759999999997</v>
      </c>
      <c r="BV29" s="1710">
        <f>BQ29*(1+BV30)</f>
        <v>60.52247644246706</v>
      </c>
      <c r="BW29" s="1710">
        <f>BR29*(1+BW30)</f>
        <v>60.673342169002957</v>
      </c>
      <c r="BX29" s="1711">
        <f>BS29*(1+BX30)</f>
        <v>62.467608793380677</v>
      </c>
      <c r="BY29" s="155"/>
      <c r="BZ29" s="827"/>
      <c r="CA29" s="828"/>
      <c r="CB29" s="161"/>
      <c r="CC29" s="161"/>
      <c r="CD29" s="160"/>
      <c r="CE29" s="159"/>
      <c r="CF29" s="161"/>
      <c r="CG29" s="160"/>
      <c r="CH29" s="1723">
        <f t="shared" ref="CH29:CM29" si="62">CH32/CH26</f>
        <v>52.531664991575191</v>
      </c>
      <c r="CI29" s="1723">
        <f t="shared" si="62"/>
        <v>50.845891852852475</v>
      </c>
      <c r="CJ29" s="1723">
        <f t="shared" si="62"/>
        <v>58.317990691906829</v>
      </c>
      <c r="CK29" s="1723">
        <f t="shared" si="62"/>
        <v>61.657902964011079</v>
      </c>
      <c r="CL29" s="1723">
        <f t="shared" si="62"/>
        <v>62.914000668105537</v>
      </c>
      <c r="CM29" s="1723">
        <f t="shared" si="62"/>
        <v>62.286266788649876</v>
      </c>
      <c r="CN29" s="2660"/>
      <c r="CO29" s="2660"/>
      <c r="CP29" s="179"/>
      <c r="CQ29" s="827"/>
      <c r="CR29" s="828"/>
      <c r="CS29" s="828"/>
      <c r="CT29" s="161"/>
      <c r="CU29" s="161"/>
      <c r="CV29" s="161"/>
      <c r="CW29" s="161"/>
      <c r="CX29" s="161"/>
      <c r="CY29" s="161"/>
      <c r="CZ29" s="1723">
        <f t="shared" ref="CZ29:DE29" si="63">CZ32/CZ26</f>
        <v>52.655664546054609</v>
      </c>
      <c r="DA29" s="1723">
        <f t="shared" si="63"/>
        <v>51.976795970547002</v>
      </c>
      <c r="DB29" s="1723">
        <f t="shared" si="63"/>
        <v>53.626462443485593</v>
      </c>
      <c r="DC29" s="1723">
        <f t="shared" si="63"/>
        <v>60.144440616427296</v>
      </c>
      <c r="DD29" s="1723">
        <f t="shared" si="63"/>
        <v>62.257518366565087</v>
      </c>
      <c r="DE29" s="1723">
        <f t="shared" si="63"/>
        <v>62.586374925082097</v>
      </c>
      <c r="DF29" s="2660"/>
    </row>
    <row r="30" spans="1:110">
      <c r="A30" s="125" t="s">
        <v>300</v>
      </c>
      <c r="B30" s="115"/>
      <c r="C30" s="181"/>
      <c r="D30" s="181"/>
      <c r="E30" s="181"/>
      <c r="F30" s="181"/>
      <c r="G30" s="181"/>
      <c r="H30" s="181"/>
      <c r="I30" s="181"/>
      <c r="J30" s="181"/>
      <c r="K30" s="181"/>
      <c r="L30" s="183"/>
      <c r="M30" s="181"/>
      <c r="N30" s="181"/>
      <c r="O30" s="181"/>
      <c r="P30" s="183"/>
      <c r="Q30" s="181"/>
      <c r="R30" s="181"/>
      <c r="S30" s="181"/>
      <c r="T30" s="183"/>
      <c r="U30" s="181"/>
      <c r="V30" s="181"/>
      <c r="W30" s="181"/>
      <c r="X30" s="183"/>
      <c r="Y30" s="181"/>
      <c r="Z30" s="181"/>
      <c r="AA30" s="181"/>
      <c r="AB30" s="132"/>
      <c r="AC30" s="131"/>
      <c r="AD30" s="131"/>
      <c r="AE30" s="131"/>
      <c r="AF30" s="132"/>
      <c r="AG30" s="131"/>
      <c r="AH30" s="131"/>
      <c r="AI30" s="131"/>
      <c r="AJ30" s="183">
        <f t="shared" ref="AJ30:AY30" si="64">IF(OR(AJ29=0,AF29=0),"NM",AJ29/AF29-1)</f>
        <v>-5.0323691014483751E-2</v>
      </c>
      <c r="AK30" s="181">
        <f t="shared" si="64"/>
        <v>-1.2993314637443909E-2</v>
      </c>
      <c r="AL30" s="181">
        <f t="shared" si="64"/>
        <v>-4.526033095729165E-2</v>
      </c>
      <c r="AM30" s="182">
        <f t="shared" si="64"/>
        <v>-4.6064405862651481E-2</v>
      </c>
      <c r="AN30" s="183">
        <f t="shared" si="64"/>
        <v>3.1587733015801422E-2</v>
      </c>
      <c r="AO30" s="181">
        <f t="shared" si="64"/>
        <v>-3.0730079926860943E-2</v>
      </c>
      <c r="AP30" s="181">
        <f t="shared" si="64"/>
        <v>6.1007717077126156E-3</v>
      </c>
      <c r="AQ30" s="182">
        <f t="shared" si="64"/>
        <v>-1.5502640159223424E-2</v>
      </c>
      <c r="AR30" s="181">
        <f t="shared" si="64"/>
        <v>1.0716199864852838E-2</v>
      </c>
      <c r="AS30" s="181">
        <f t="shared" si="64"/>
        <v>-4.8063085721391285E-2</v>
      </c>
      <c r="AT30" s="181">
        <f t="shared" si="64"/>
        <v>-4.9777986449861533E-2</v>
      </c>
      <c r="AU30" s="184">
        <f t="shared" si="64"/>
        <v>-4.6008153736467161E-2</v>
      </c>
      <c r="AV30" s="183">
        <f t="shared" si="64"/>
        <v>7.1174041775621033E-2</v>
      </c>
      <c r="AW30" s="181">
        <f t="shared" si="64"/>
        <v>0.14258991433580892</v>
      </c>
      <c r="AX30" s="181">
        <f t="shared" si="64"/>
        <v>0.16456208978248577</v>
      </c>
      <c r="AY30" s="184">
        <f t="shared" si="64"/>
        <v>0.22878772408037706</v>
      </c>
      <c r="AZ30" s="2592"/>
      <c r="BA30" s="183">
        <f>IF(OR(BA29=0,AV29=0),"NM",BA29/AV29-1)</f>
        <v>3.7761393590167058E-2</v>
      </c>
      <c r="BB30" s="181">
        <f>IF(OR(BB29=0,AW29=0),"NM",BB29/AW29-1)</f>
        <v>7.7969605141456455E-2</v>
      </c>
      <c r="BC30" s="181">
        <f>IF(OR(BC29=0,AX29=0),"NM",BC29/AX29-1)</f>
        <v>7.2449389014342058E-2</v>
      </c>
      <c r="BD30" s="181">
        <f>IF(OR(BD29=0,AY29=0),"NM",BD29/AY29-1)</f>
        <v>3.8963451291544215E-2</v>
      </c>
      <c r="BE30" s="2593"/>
      <c r="BF30" s="183">
        <f>IF(OR(BF29=0,BA29=0),"NM",BF29/BA29-1)</f>
        <v>1.6949152542372836E-2</v>
      </c>
      <c r="BG30" s="1712">
        <v>0.02</v>
      </c>
      <c r="BH30" s="1712">
        <v>1.4999999999999999E-2</v>
      </c>
      <c r="BI30" s="1713">
        <v>0.03</v>
      </c>
      <c r="BJ30" s="2593"/>
      <c r="BK30" s="1714">
        <v>-0.01</v>
      </c>
      <c r="BL30" s="1712">
        <v>-0.01</v>
      </c>
      <c r="BM30" s="1712">
        <v>-0.01</v>
      </c>
      <c r="BN30" s="1713">
        <v>-0.01</v>
      </c>
      <c r="BO30" s="2593"/>
      <c r="BP30" s="1714">
        <v>-0.02</v>
      </c>
      <c r="BQ30" s="1712">
        <v>-0.02</v>
      </c>
      <c r="BR30" s="1712">
        <v>-1.4999999999999999E-2</v>
      </c>
      <c r="BS30" s="1713">
        <v>-1.4999999999999999E-2</v>
      </c>
      <c r="BT30" s="2593"/>
      <c r="BU30" s="1714">
        <v>-0.02</v>
      </c>
      <c r="BV30" s="1712">
        <v>-0.02</v>
      </c>
      <c r="BW30" s="1712">
        <v>-1.4999999999999999E-2</v>
      </c>
      <c r="BX30" s="1713">
        <v>-1.4999999999999999E-2</v>
      </c>
      <c r="BY30" s="155"/>
      <c r="BZ30" s="827"/>
      <c r="CA30" s="828"/>
      <c r="CB30" s="161"/>
      <c r="CC30" s="161"/>
      <c r="CD30" s="160"/>
      <c r="CE30" s="159"/>
      <c r="CF30" s="161"/>
      <c r="CG30" s="160"/>
      <c r="CH30" s="161"/>
      <c r="CI30" s="161">
        <f>CI29/CH29-1</f>
        <v>-3.2090609330450048E-2</v>
      </c>
      <c r="CJ30" s="161">
        <f>CJ29/CI29-1</f>
        <v>0.14695580246047291</v>
      </c>
      <c r="CK30" s="161">
        <f>CK29/CJ29-1</f>
        <v>5.7270702102014459E-2</v>
      </c>
      <c r="CL30" s="161">
        <f>CL29/CK29-1</f>
        <v>2.0372047113370373E-2</v>
      </c>
      <c r="CM30" s="161">
        <f>CM29/CL29-1</f>
        <v>-9.9776500109599597E-3</v>
      </c>
      <c r="CN30" s="159"/>
      <c r="CO30" s="159"/>
      <c r="CP30" s="179"/>
      <c r="CQ30" s="827"/>
      <c r="CR30" s="828"/>
      <c r="CS30" s="828"/>
      <c r="CT30" s="161"/>
      <c r="CU30" s="161"/>
      <c r="CV30" s="161"/>
      <c r="CW30" s="161"/>
      <c r="CX30" s="161"/>
      <c r="CY30" s="161"/>
      <c r="CZ30" s="161"/>
      <c r="DA30" s="161">
        <f>DA29/CZ29-1</f>
        <v>-1.2892602939496567E-2</v>
      </c>
      <c r="DB30" s="161">
        <f>DB29/DA29-1</f>
        <v>3.1738517970083979E-2</v>
      </c>
      <c r="DC30" s="161">
        <f>DC29/DB29-1</f>
        <v>0.12154406380638472</v>
      </c>
      <c r="DD30" s="161">
        <f>DD29/DC29-1</f>
        <v>3.5133384374027132E-2</v>
      </c>
      <c r="DE30" s="161">
        <f>DE29/DD29-1</f>
        <v>5.2821983134749839E-3</v>
      </c>
      <c r="DF30" s="159"/>
    </row>
    <row r="31" spans="1:110">
      <c r="A31" s="1689"/>
      <c r="B31" s="115"/>
      <c r="C31" s="181"/>
      <c r="D31" s="181"/>
      <c r="E31" s="181"/>
      <c r="F31" s="181"/>
      <c r="G31" s="181"/>
      <c r="H31" s="181"/>
      <c r="I31" s="181"/>
      <c r="J31" s="181"/>
      <c r="K31" s="181"/>
      <c r="L31" s="183"/>
      <c r="M31" s="181"/>
      <c r="N31" s="181"/>
      <c r="O31" s="181"/>
      <c r="P31" s="183"/>
      <c r="Q31" s="181"/>
      <c r="R31" s="181"/>
      <c r="S31" s="181"/>
      <c r="T31" s="183"/>
      <c r="U31" s="181"/>
      <c r="V31" s="181"/>
      <c r="W31" s="181"/>
      <c r="X31" s="183"/>
      <c r="Y31" s="181"/>
      <c r="Z31" s="181"/>
      <c r="AA31" s="181"/>
      <c r="AB31" s="183"/>
      <c r="AC31" s="181"/>
      <c r="AD31" s="181"/>
      <c r="AE31" s="181"/>
      <c r="AF31" s="183"/>
      <c r="AG31" s="181"/>
      <c r="AH31" s="181"/>
      <c r="AI31" s="181"/>
      <c r="AJ31" s="183"/>
      <c r="AK31" s="181"/>
      <c r="AL31" s="181"/>
      <c r="AM31" s="181"/>
      <c r="AN31" s="183"/>
      <c r="AO31" s="181"/>
      <c r="AP31" s="181"/>
      <c r="AQ31" s="182"/>
      <c r="AR31" s="181"/>
      <c r="AS31" s="181"/>
      <c r="AT31" s="181"/>
      <c r="AU31" s="184"/>
      <c r="AV31" s="183"/>
      <c r="AW31" s="181"/>
      <c r="AX31" s="181"/>
      <c r="AY31" s="184"/>
      <c r="AZ31" s="2592"/>
      <c r="BA31" s="183"/>
      <c r="BB31" s="181"/>
      <c r="BC31" s="181"/>
      <c r="BD31" s="181"/>
      <c r="BE31" s="2592"/>
      <c r="BF31" s="183"/>
      <c r="BG31" s="181"/>
      <c r="BH31" s="181"/>
      <c r="BI31" s="184"/>
      <c r="BJ31" s="2592"/>
      <c r="BK31" s="183"/>
      <c r="BL31" s="181"/>
      <c r="BM31" s="181"/>
      <c r="BN31" s="184"/>
      <c r="BO31" s="2592"/>
      <c r="BP31" s="183"/>
      <c r="BQ31" s="181"/>
      <c r="BR31" s="181"/>
      <c r="BS31" s="184"/>
      <c r="BT31" s="2592"/>
      <c r="BU31" s="183"/>
      <c r="BV31" s="181"/>
      <c r="BW31" s="181"/>
      <c r="BX31" s="184"/>
      <c r="BY31" s="155"/>
      <c r="BZ31" s="827"/>
      <c r="CA31" s="828"/>
      <c r="CB31" s="161"/>
      <c r="CC31" s="161"/>
      <c r="CD31" s="160"/>
      <c r="CE31" s="159"/>
      <c r="CF31" s="161"/>
      <c r="CG31" s="160"/>
      <c r="CH31" s="160"/>
      <c r="CI31" s="161"/>
      <c r="CJ31" s="160"/>
      <c r="CK31" s="160"/>
      <c r="CL31" s="160"/>
      <c r="CM31" s="160"/>
      <c r="CN31" s="159"/>
      <c r="CO31" s="159"/>
      <c r="CP31" s="179"/>
      <c r="CQ31" s="827"/>
      <c r="CR31" s="828"/>
      <c r="CS31" s="828"/>
      <c r="CT31" s="161"/>
      <c r="CU31" s="161"/>
      <c r="CV31" s="161"/>
      <c r="CW31" s="161"/>
      <c r="CX31" s="161"/>
      <c r="CY31" s="161"/>
      <c r="CZ31" s="161"/>
      <c r="DA31" s="161"/>
      <c r="DB31" s="161"/>
      <c r="DC31" s="161"/>
      <c r="DD31" s="161"/>
      <c r="DE31" s="161"/>
      <c r="DF31" s="159"/>
    </row>
    <row r="32" spans="1:110">
      <c r="A32" s="198" t="s">
        <v>1451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38"/>
      <c r="M32" s="137"/>
      <c r="N32" s="137"/>
      <c r="O32" s="139"/>
      <c r="P32" s="138"/>
      <c r="Q32" s="137"/>
      <c r="R32" s="137"/>
      <c r="S32" s="139"/>
      <c r="T32" s="138"/>
      <c r="U32" s="137"/>
      <c r="V32" s="137"/>
      <c r="W32" s="139"/>
      <c r="X32" s="138"/>
      <c r="Y32" s="137"/>
      <c r="Z32" s="137"/>
      <c r="AA32" s="139"/>
      <c r="AB32" s="138"/>
      <c r="AC32" s="137"/>
      <c r="AD32" s="137">
        <f t="shared" ref="AD32:AI32" si="65">AD38+AD40</f>
        <v>0</v>
      </c>
      <c r="AE32" s="137">
        <f t="shared" si="65"/>
        <v>0</v>
      </c>
      <c r="AF32" s="138">
        <f t="shared" si="65"/>
        <v>3596.2674327000013</v>
      </c>
      <c r="AG32" s="137">
        <f t="shared" si="65"/>
        <v>3603.1571108596895</v>
      </c>
      <c r="AH32" s="137">
        <f t="shared" si="65"/>
        <v>3387.6469020836385</v>
      </c>
      <c r="AI32" s="137">
        <f t="shared" si="65"/>
        <v>3482.9999999999991</v>
      </c>
      <c r="AJ32" s="138">
        <f>AJ38+AJ40</f>
        <v>3339.9999999999977</v>
      </c>
      <c r="AK32" s="137">
        <f t="shared" ref="AK32:AU32" si="66">AK38+AK40</f>
        <v>3781.0000000000005</v>
      </c>
      <c r="AL32" s="137">
        <f t="shared" si="66"/>
        <v>3030.0000000000005</v>
      </c>
      <c r="AM32" s="137">
        <f t="shared" si="66"/>
        <v>3009.9999999999995</v>
      </c>
      <c r="AN32" s="138">
        <f t="shared" si="66"/>
        <v>3105.9999999999986</v>
      </c>
      <c r="AO32" s="137">
        <f t="shared" si="66"/>
        <v>3667.0000000000027</v>
      </c>
      <c r="AP32" s="137">
        <f t="shared" si="66"/>
        <v>3150.9999999999964</v>
      </c>
      <c r="AQ32" s="139">
        <f t="shared" si="66"/>
        <v>3100</v>
      </c>
      <c r="AR32" s="137">
        <f t="shared" si="66"/>
        <v>3097.0000000000027</v>
      </c>
      <c r="AS32" s="137">
        <f t="shared" si="66"/>
        <v>3248.0000000000009</v>
      </c>
      <c r="AT32" s="137">
        <f t="shared" si="66"/>
        <v>2513.9999999999982</v>
      </c>
      <c r="AU32" s="139">
        <f t="shared" si="66"/>
        <v>2400.9999999999982</v>
      </c>
      <c r="AV32" s="138">
        <f t="shared" ref="AV32:BD32" si="67">AV29*AV26</f>
        <v>2923.4386473375312</v>
      </c>
      <c r="AW32" s="137">
        <f t="shared" si="67"/>
        <v>3094.6230728392748</v>
      </c>
      <c r="AX32" s="137">
        <f t="shared" si="67"/>
        <v>2507.894229484998</v>
      </c>
      <c r="AY32" s="139">
        <f t="shared" si="67"/>
        <v>2736.5645524921138</v>
      </c>
      <c r="AZ32" s="137"/>
      <c r="BA32" s="138">
        <f t="shared" si="67"/>
        <v>2896.8641147621565</v>
      </c>
      <c r="BB32" s="137">
        <f t="shared" si="67"/>
        <v>3291.5527325278085</v>
      </c>
      <c r="BC32" s="137">
        <f t="shared" si="67"/>
        <v>2654.0770811553148</v>
      </c>
      <c r="BD32" s="139">
        <f t="shared" si="67"/>
        <v>2830.4840989873878</v>
      </c>
      <c r="BE32" s="137"/>
      <c r="BF32" s="138">
        <f t="shared" ref="BF32:BG32" si="68">BF29*BF26</f>
        <v>3037.6063448417203</v>
      </c>
      <c r="BG32" s="137">
        <f t="shared" si="68"/>
        <v>3450.1486871688167</v>
      </c>
      <c r="BH32" s="137">
        <f t="shared" ref="BH32:BI32" si="69">BH29*BH26</f>
        <v>2773.2225504600592</v>
      </c>
      <c r="BI32" s="139">
        <f t="shared" si="69"/>
        <v>2952.1986299560349</v>
      </c>
      <c r="BJ32" s="137"/>
      <c r="BK32" s="138">
        <f>BK29*BK26</f>
        <v>2976.7828524081028</v>
      </c>
      <c r="BL32" s="137">
        <f>BL29*BL26</f>
        <v>3363.6609439213307</v>
      </c>
      <c r="BM32" s="137">
        <f>BM29*BM26</f>
        <v>2723.9101755506967</v>
      </c>
      <c r="BN32" s="139">
        <f>BN29*BN26</f>
        <v>2906.8164326958758</v>
      </c>
      <c r="BO32" s="137"/>
      <c r="BP32" s="138">
        <f>BP29*BP26</f>
        <v>2866.0447667635017</v>
      </c>
      <c r="BQ32" s="137">
        <f>BQ29*BQ26</f>
        <v>3244.5441372679716</v>
      </c>
      <c r="BR32" s="137">
        <f>BR29*BR26</f>
        <v>2639.4631043546169</v>
      </c>
      <c r="BS32" s="139">
        <f>BS29*BS26</f>
        <v>2817.9197489701596</v>
      </c>
      <c r="BT32" s="137"/>
      <c r="BU32" s="138">
        <f>BU29*BU26</f>
        <v>2768.6695702720212</v>
      </c>
      <c r="BV32" s="137">
        <f>BV29*BV26</f>
        <v>3141.2567669105938</v>
      </c>
      <c r="BW32" s="137">
        <f>BW29*BW26</f>
        <v>2562.881207893452</v>
      </c>
      <c r="BX32" s="139">
        <f>BX29*BX26</f>
        <v>2735.3677495167985</v>
      </c>
      <c r="BY32" s="155"/>
      <c r="BZ32" s="827"/>
      <c r="CA32" s="828"/>
      <c r="CB32" s="161"/>
      <c r="CC32" s="161"/>
      <c r="CD32" s="160"/>
      <c r="CE32" s="159"/>
      <c r="CF32" s="1722">
        <f>SUM(AF32:AI32)</f>
        <v>14070.071445643331</v>
      </c>
      <c r="CG32" s="1726">
        <f>SUM(AJ32:AM32)</f>
        <v>13160.999999999998</v>
      </c>
      <c r="CH32" s="1726">
        <f>SUM(AN32:AQ32)</f>
        <v>13023.999999999998</v>
      </c>
      <c r="CI32" s="1722">
        <f>SUM(AR32:AU32)</f>
        <v>11260</v>
      </c>
      <c r="CJ32" s="1726">
        <f>SUM(AV32:AY32)</f>
        <v>11262.520502153919</v>
      </c>
      <c r="CK32" s="1726">
        <f>SUM(BA32:BD32)</f>
        <v>11672.978027432669</v>
      </c>
      <c r="CL32" s="1726">
        <f>SUM(BF32:BI32)</f>
        <v>12213.176212426632</v>
      </c>
      <c r="CM32" s="1726">
        <f>SUM(BK32:BN32)</f>
        <v>11971.170404576005</v>
      </c>
      <c r="CN32" s="2661"/>
      <c r="CO32" s="2661"/>
      <c r="CP32" s="179"/>
      <c r="CQ32" s="827"/>
      <c r="CR32" s="828"/>
      <c r="CS32" s="828"/>
      <c r="CT32" s="161"/>
      <c r="CU32" s="161"/>
      <c r="CV32" s="161"/>
      <c r="CW32" s="161"/>
      <c r="CX32" s="161"/>
      <c r="CY32" s="161"/>
      <c r="CZ32" s="1722">
        <f>SUM(AL32:AO32)</f>
        <v>12813</v>
      </c>
      <c r="DA32" s="1722">
        <f>SUM(AP32:AS32)</f>
        <v>12596</v>
      </c>
      <c r="DB32" s="1722">
        <f>SUM(AT32:AW32)</f>
        <v>10933.061720176802</v>
      </c>
      <c r="DC32" s="1722">
        <f>SUM(AX32:BB32)</f>
        <v>11432.875629267077</v>
      </c>
      <c r="DD32" s="1722">
        <f>SUM(BC32:BG32)</f>
        <v>11972.31621215324</v>
      </c>
      <c r="DE32" s="1722">
        <f>SUM(BH32:BL32)</f>
        <v>12065.864976745528</v>
      </c>
      <c r="DF32" s="2661"/>
    </row>
    <row r="33" spans="1:110">
      <c r="A33" s="125" t="s">
        <v>300</v>
      </c>
      <c r="B33" s="134"/>
      <c r="C33" s="134"/>
      <c r="D33" s="134"/>
      <c r="E33" s="134"/>
      <c r="F33" s="134"/>
      <c r="G33" s="134"/>
      <c r="H33" s="134"/>
      <c r="I33" s="134"/>
      <c r="J33" s="134"/>
      <c r="K33" s="134"/>
      <c r="L33" s="135"/>
      <c r="M33" s="134"/>
      <c r="N33" s="134"/>
      <c r="O33" s="134"/>
      <c r="P33" s="135"/>
      <c r="Q33" s="134"/>
      <c r="R33" s="134"/>
      <c r="S33" s="134"/>
      <c r="T33" s="135"/>
      <c r="U33" s="134"/>
      <c r="V33" s="134"/>
      <c r="W33" s="134"/>
      <c r="X33" s="135"/>
      <c r="Y33" s="134"/>
      <c r="Z33" s="134"/>
      <c r="AA33" s="134"/>
      <c r="AB33" s="134"/>
      <c r="AC33" s="134"/>
      <c r="AD33" s="134"/>
      <c r="AE33" s="134"/>
      <c r="AF33" s="135"/>
      <c r="AG33" s="134"/>
      <c r="AH33" s="134"/>
      <c r="AI33" s="134"/>
      <c r="AJ33" s="183">
        <f t="shared" ref="AJ33:AY33" si="70">IF(OR(AJ32=0,AF32=0),"NM",AJ32/AF32-1)</f>
        <v>-7.1259281323136636E-2</v>
      </c>
      <c r="AK33" s="181">
        <f t="shared" si="70"/>
        <v>4.9357517218525881E-2</v>
      </c>
      <c r="AL33" s="181">
        <f t="shared" si="70"/>
        <v>-0.10557384297155059</v>
      </c>
      <c r="AM33" s="182">
        <f t="shared" si="70"/>
        <v>-0.13580246913580241</v>
      </c>
      <c r="AN33" s="183">
        <f t="shared" si="70"/>
        <v>-7.00598802395207E-2</v>
      </c>
      <c r="AO33" s="181">
        <f t="shared" si="70"/>
        <v>-3.0150753768843574E-2</v>
      </c>
      <c r="AP33" s="181">
        <f t="shared" si="70"/>
        <v>3.9933993399338563E-2</v>
      </c>
      <c r="AQ33" s="182">
        <f t="shared" si="70"/>
        <v>2.9900332225913706E-2</v>
      </c>
      <c r="AR33" s="181">
        <f t="shared" si="70"/>
        <v>-2.8976175144868055E-3</v>
      </c>
      <c r="AS33" s="181">
        <f t="shared" si="70"/>
        <v>-0.1142623397872925</v>
      </c>
      <c r="AT33" s="181">
        <f t="shared" si="70"/>
        <v>-0.20215804506505841</v>
      </c>
      <c r="AU33" s="184">
        <f t="shared" si="70"/>
        <v>-0.22548387096774247</v>
      </c>
      <c r="AV33" s="183">
        <f t="shared" si="70"/>
        <v>-5.6041767085073135E-2</v>
      </c>
      <c r="AW33" s="181">
        <f t="shared" si="70"/>
        <v>-4.7221960332735846E-2</v>
      </c>
      <c r="AX33" s="181">
        <f t="shared" si="70"/>
        <v>-2.428707444311895E-3</v>
      </c>
      <c r="AY33" s="184">
        <f t="shared" si="70"/>
        <v>0.13976033006752009</v>
      </c>
      <c r="AZ33" s="2592"/>
      <c r="BA33" s="183">
        <f>IF(OR(BA32=0,AV32=0),"NM",BA32/AV32-1)</f>
        <v>-9.0901625726187429E-3</v>
      </c>
      <c r="BB33" s="181">
        <f>IF(OR(BB32=0,AW32=0),"NM",BB32/AW32-1)</f>
        <v>6.363607297345375E-2</v>
      </c>
      <c r="BC33" s="181">
        <f>IF(OR(BC32=0,AX32=0),"NM",BC32/AX32-1)</f>
        <v>5.8289081713121416E-2</v>
      </c>
      <c r="BD33" s="181">
        <f>IF(OR(BD32=0,AY32=0),"NM",BD32/AY32-1)</f>
        <v>3.4320237909149398E-2</v>
      </c>
      <c r="BE33" s="2592"/>
      <c r="BF33" s="183">
        <f>IF(OR(BF32=0,BA32=0),"NM",BF32/BA32-1)</f>
        <v>4.8584339652783193E-2</v>
      </c>
      <c r="BG33" s="181">
        <f>IF(OR(BG32=0,BB32=0),"NM",BG32/BB32-1)</f>
        <v>4.8182717254908303E-2</v>
      </c>
      <c r="BH33" s="181">
        <f>IF(OR(BH32=0,BC32=0),"NM",BH32/BC32-1)</f>
        <v>4.4891487949129338E-2</v>
      </c>
      <c r="BI33" s="184">
        <f>IF(OR(BI32=0,BD32=0),"NM",BI32/BD32-1)</f>
        <v>4.3001312394650437E-2</v>
      </c>
      <c r="BJ33" s="2592"/>
      <c r="BK33" s="183">
        <f>IF(OR(BK32=0,BF32=0),"NM",BK32/BF32-1)</f>
        <v>-2.002349400438419E-2</v>
      </c>
      <c r="BL33" s="181">
        <f>IF(OR(BL32=0,BG32=0),"NM",BL32/BG32-1)</f>
        <v>-2.5067830719625483E-2</v>
      </c>
      <c r="BM33" s="181">
        <f>IF(OR(BM32=0,BH32=0),"NM",BM32/BH32-1)</f>
        <v>-1.7781614714326377E-2</v>
      </c>
      <c r="BN33" s="184">
        <f>IF(OR(BN32=0,BI32=0),"NM",BN32/BI32-1)</f>
        <v>-1.5372338703657951E-2</v>
      </c>
      <c r="BO33" s="2592"/>
      <c r="BP33" s="183">
        <f>IF(OR(BP32=0,BK32=0),"NM",BP32/BK32-1)</f>
        <v>-3.7200592429850299E-2</v>
      </c>
      <c r="BQ33" s="181">
        <f>IF(OR(BQ32=0,BL32=0),"NM",BQ32/BL32-1)</f>
        <v>-3.5412845895964051E-2</v>
      </c>
      <c r="BR33" s="181">
        <f>IF(OR(BR32=0,BM32=0),"NM",BR32/BM32-1)</f>
        <v>-3.100214976031912E-2</v>
      </c>
      <c r="BS33" s="184">
        <f>IF(OR(BS32=0,BN32=0),"NM",BS32/BN32-1)</f>
        <v>-3.0582145719903808E-2</v>
      </c>
      <c r="BT33" s="2592"/>
      <c r="BU33" s="183">
        <f>IF(OR(BU32=0,BP32=0),"NM",BU32/BP32-1)</f>
        <v>-3.3975462498250453E-2</v>
      </c>
      <c r="BV33" s="181">
        <f>IF(OR(BV32=0,BQ32=0),"NM",BV32/BQ32-1)</f>
        <v>-3.1834170221629265E-2</v>
      </c>
      <c r="BW33" s="181">
        <f>IF(OR(BW32=0,BR32=0),"NM",BW32/BR32-1)</f>
        <v>-2.9014194718167907E-2</v>
      </c>
      <c r="BX33" s="184">
        <f>IF(OR(BX32=0,BS32=0),"NM",BX32/BS32-1)</f>
        <v>-2.9295369211110645E-2</v>
      </c>
      <c r="BY33" s="155"/>
      <c r="BZ33" s="827"/>
      <c r="CA33" s="828"/>
      <c r="CB33" s="161"/>
      <c r="CC33" s="161"/>
      <c r="CD33" s="160"/>
      <c r="CE33" s="159"/>
      <c r="CF33" s="161" t="str">
        <f t="shared" ref="CF33:CM33" si="71">IF(OR(CE32=0,CF32=0),"NM",CF32/CE32-1)</f>
        <v>NM</v>
      </c>
      <c r="CG33" s="160">
        <f t="shared" si="71"/>
        <v>-6.4610293498176818E-2</v>
      </c>
      <c r="CH33" s="160">
        <f t="shared" si="71"/>
        <v>-1.040954334776989E-2</v>
      </c>
      <c r="CI33" s="161">
        <f t="shared" si="71"/>
        <v>-0.13544226044226038</v>
      </c>
      <c r="CJ33" s="160">
        <f t="shared" si="71"/>
        <v>2.2384566198208056E-4</v>
      </c>
      <c r="CK33" s="160">
        <f t="shared" si="71"/>
        <v>3.6444552993288859E-2</v>
      </c>
      <c r="CL33" s="160">
        <f t="shared" si="71"/>
        <v>4.6277666566701514E-2</v>
      </c>
      <c r="CM33" s="160">
        <f t="shared" si="71"/>
        <v>-1.9815140929874686E-2</v>
      </c>
      <c r="CN33" s="159"/>
      <c r="CO33" s="159"/>
      <c r="CP33" s="179"/>
      <c r="CQ33" s="827"/>
      <c r="CR33" s="828"/>
      <c r="CS33" s="828"/>
      <c r="CT33" s="161"/>
      <c r="CU33" s="161"/>
      <c r="CV33" s="161"/>
      <c r="CW33" s="161"/>
      <c r="CX33" s="161"/>
      <c r="CY33" s="161"/>
      <c r="CZ33" s="161"/>
      <c r="DA33" s="161">
        <f>DA32/CZ32-1</f>
        <v>-1.6935924451728757E-2</v>
      </c>
      <c r="DB33" s="161">
        <f>DB32/DA32-1</f>
        <v>-0.1320211400304222</v>
      </c>
      <c r="DC33" s="161">
        <f>DC32/DB32-1</f>
        <v>4.5715822509981408E-2</v>
      </c>
      <c r="DD33" s="161">
        <f>DD32/DC32-1</f>
        <v>4.7183280950354067E-2</v>
      </c>
      <c r="DE33" s="161">
        <f>DE32/DD32-1</f>
        <v>7.8137565809801579E-3</v>
      </c>
      <c r="DF33" s="159"/>
    </row>
    <row r="34" spans="1:110">
      <c r="A34" s="125"/>
      <c r="B34" s="134"/>
      <c r="C34" s="134"/>
      <c r="D34" s="134"/>
      <c r="E34" s="134"/>
      <c r="F34" s="134"/>
      <c r="G34" s="134"/>
      <c r="H34" s="134"/>
      <c r="I34" s="134"/>
      <c r="J34" s="134"/>
      <c r="K34" s="134"/>
      <c r="L34" s="135"/>
      <c r="M34" s="134"/>
      <c r="N34" s="134"/>
      <c r="O34" s="134"/>
      <c r="P34" s="135"/>
      <c r="Q34" s="134"/>
      <c r="R34" s="134"/>
      <c r="S34" s="134"/>
      <c r="T34" s="135"/>
      <c r="U34" s="134"/>
      <c r="V34" s="134"/>
      <c r="W34" s="134"/>
      <c r="X34" s="135"/>
      <c r="Y34" s="134"/>
      <c r="Z34" s="134"/>
      <c r="AA34" s="134"/>
      <c r="AB34" s="134"/>
      <c r="AC34" s="134"/>
      <c r="AD34" s="134"/>
      <c r="AE34" s="134"/>
      <c r="AF34" s="135"/>
      <c r="AG34" s="134"/>
      <c r="AH34" s="134"/>
      <c r="AI34" s="134"/>
      <c r="AJ34" s="183"/>
      <c r="AK34" s="181"/>
      <c r="AL34" s="181"/>
      <c r="AM34" s="181"/>
      <c r="AN34" s="183"/>
      <c r="AO34" s="181"/>
      <c r="AP34" s="181"/>
      <c r="AQ34" s="182"/>
      <c r="AR34" s="181"/>
      <c r="AS34" s="181"/>
      <c r="AT34" s="181"/>
      <c r="AU34" s="184"/>
      <c r="AV34" s="183"/>
      <c r="AW34" s="181"/>
      <c r="AX34" s="181"/>
      <c r="AY34" s="184"/>
      <c r="AZ34" s="2592"/>
      <c r="BA34" s="183"/>
      <c r="BB34" s="181"/>
      <c r="BC34" s="181"/>
      <c r="BD34" s="181"/>
      <c r="BE34" s="2592"/>
      <c r="BF34" s="183"/>
      <c r="BG34" s="181"/>
      <c r="BH34" s="181"/>
      <c r="BI34" s="184"/>
      <c r="BJ34" s="2592"/>
      <c r="BK34" s="183"/>
      <c r="BL34" s="181"/>
      <c r="BM34" s="181"/>
      <c r="BN34" s="184"/>
      <c r="BO34" s="2592"/>
      <c r="BP34" s="183"/>
      <c r="BQ34" s="181"/>
      <c r="BR34" s="181"/>
      <c r="BS34" s="184"/>
      <c r="BT34" s="2592"/>
      <c r="BU34" s="183"/>
      <c r="BV34" s="181"/>
      <c r="BW34" s="181"/>
      <c r="BX34" s="184"/>
      <c r="BY34" s="155"/>
      <c r="BZ34" s="827"/>
      <c r="CA34" s="828"/>
      <c r="CB34" s="161"/>
      <c r="CC34" s="161"/>
      <c r="CD34" s="160"/>
      <c r="CE34" s="159"/>
      <c r="CF34" s="161"/>
      <c r="CG34" s="160"/>
      <c r="CH34" s="160"/>
      <c r="CI34" s="161"/>
      <c r="CJ34" s="160"/>
      <c r="CK34" s="160"/>
      <c r="CL34" s="160"/>
      <c r="CM34" s="160"/>
      <c r="CN34" s="159"/>
      <c r="CO34" s="159"/>
      <c r="CP34" s="179"/>
      <c r="CQ34" s="827"/>
      <c r="CR34" s="828"/>
      <c r="CS34" s="828"/>
      <c r="CT34" s="161"/>
      <c r="CU34" s="161"/>
      <c r="CV34" s="161"/>
      <c r="CW34" s="161"/>
      <c r="CX34" s="161"/>
      <c r="CY34" s="161"/>
      <c r="CZ34" s="161"/>
      <c r="DA34" s="161"/>
      <c r="DB34" s="161"/>
      <c r="DC34" s="161"/>
      <c r="DD34" s="161"/>
      <c r="DE34" s="161"/>
      <c r="DF34" s="159"/>
    </row>
    <row r="35" spans="1:110">
      <c r="A35" s="198" t="s">
        <v>297</v>
      </c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38"/>
      <c r="M35" s="137"/>
      <c r="N35" s="137"/>
      <c r="O35" s="139"/>
      <c r="P35" s="138"/>
      <c r="Q35" s="137"/>
      <c r="R35" s="137"/>
      <c r="S35" s="139"/>
      <c r="T35" s="138"/>
      <c r="U35" s="137"/>
      <c r="V35" s="137"/>
      <c r="W35" s="139"/>
      <c r="X35" s="138"/>
      <c r="Y35" s="137"/>
      <c r="Z35" s="137"/>
      <c r="AA35" s="139"/>
      <c r="AB35" s="138"/>
      <c r="AC35" s="137"/>
      <c r="AD35" s="137"/>
      <c r="AE35" s="137"/>
      <c r="AF35" s="138"/>
      <c r="AG35" s="137"/>
      <c r="AH35" s="137"/>
      <c r="AI35" s="137"/>
      <c r="AJ35" s="138"/>
      <c r="AK35" s="137"/>
      <c r="AL35" s="137"/>
      <c r="AM35" s="137"/>
      <c r="AN35" s="138"/>
      <c r="AO35" s="137"/>
      <c r="AP35" s="137"/>
      <c r="AQ35" s="139"/>
      <c r="AR35" s="137"/>
      <c r="AS35" s="137"/>
      <c r="AT35" s="137"/>
      <c r="AU35" s="139"/>
      <c r="AV35" s="138">
        <f>+AV45</f>
        <v>2929.3479879174051</v>
      </c>
      <c r="AW35" s="137">
        <f t="shared" ref="AW35:BS35" si="72">+AW45</f>
        <v>3094.3554772724401</v>
      </c>
      <c r="AX35" s="137">
        <f t="shared" si="72"/>
        <v>2523.5125569008901</v>
      </c>
      <c r="AY35" s="137">
        <f t="shared" si="72"/>
        <v>2744.0175057915048</v>
      </c>
      <c r="AZ35" s="137">
        <f t="shared" si="72"/>
        <v>0</v>
      </c>
      <c r="BA35" s="138">
        <f t="shared" si="72"/>
        <v>2891.0594925746768</v>
      </c>
      <c r="BB35" s="137">
        <f t="shared" si="72"/>
        <v>3271.9821120942643</v>
      </c>
      <c r="BC35" s="137">
        <f t="shared" si="72"/>
        <v>2653.9821120942652</v>
      </c>
      <c r="BD35" s="137">
        <f t="shared" si="72"/>
        <v>2823.9821120942638</v>
      </c>
      <c r="BE35" s="137">
        <f t="shared" si="72"/>
        <v>87.761139126705103</v>
      </c>
      <c r="BF35" s="138">
        <f t="shared" si="72"/>
        <v>3016.1044008204349</v>
      </c>
      <c r="BG35" s="137">
        <f t="shared" ref="BG35" si="73">+BG45</f>
        <v>3417.5794887398229</v>
      </c>
      <c r="BH35" s="137">
        <f t="shared" si="72"/>
        <v>2763.5840078502501</v>
      </c>
      <c r="BI35" s="139">
        <f t="shared" si="72"/>
        <v>2936.8152647191532</v>
      </c>
      <c r="BJ35" s="137">
        <f t="shared" si="72"/>
        <v>91.755698675849118</v>
      </c>
      <c r="BK35" s="138">
        <f t="shared" si="72"/>
        <v>2954.0361638167383</v>
      </c>
      <c r="BL35" s="137">
        <f t="shared" si="72"/>
        <v>3329.9084583343592</v>
      </c>
      <c r="BM35" s="137">
        <f t="shared" si="72"/>
        <v>2717.7593653746476</v>
      </c>
      <c r="BN35" s="139">
        <f t="shared" si="72"/>
        <v>2894.7460499574427</v>
      </c>
      <c r="BO35" s="137">
        <f t="shared" si="72"/>
        <v>0</v>
      </c>
      <c r="BP35" s="138">
        <f t="shared" si="72"/>
        <v>2847.6005005505713</v>
      </c>
      <c r="BQ35" s="137">
        <f t="shared" si="72"/>
        <v>3214.8337916093478</v>
      </c>
      <c r="BR35" s="137">
        <f t="shared" si="72"/>
        <v>2636.0165500265639</v>
      </c>
      <c r="BS35" s="139">
        <f t="shared" si="72"/>
        <v>2808.1241372024224</v>
      </c>
      <c r="BT35" s="137">
        <f t="shared" ref="BT35:BX35" si="74">+BT45</f>
        <v>0</v>
      </c>
      <c r="BU35" s="138">
        <f t="shared" si="74"/>
        <v>2751.8378351435813</v>
      </c>
      <c r="BV35" s="137">
        <f t="shared" si="74"/>
        <v>3112.7885932337863</v>
      </c>
      <c r="BW35" s="137">
        <f t="shared" si="74"/>
        <v>2559.6174429044358</v>
      </c>
      <c r="BX35" s="139">
        <f t="shared" si="74"/>
        <v>2725.8946341677947</v>
      </c>
      <c r="BY35" s="155"/>
      <c r="BZ35" s="827"/>
      <c r="CA35" s="828"/>
      <c r="CB35" s="161"/>
      <c r="CC35" s="161"/>
      <c r="CD35" s="160"/>
      <c r="CE35" s="159"/>
      <c r="CF35" s="1722">
        <f>SUM(AF35:AI35)</f>
        <v>0</v>
      </c>
      <c r="CG35" s="1726">
        <f>SUM(AJ35:AM35)</f>
        <v>0</v>
      </c>
      <c r="CH35" s="1726">
        <f>SUM(AN35:AQ35)</f>
        <v>0</v>
      </c>
      <c r="CI35" s="1722">
        <f>SUM(AR35:AU35)</f>
        <v>0</v>
      </c>
      <c r="CJ35" s="1726">
        <f>SUM(AV35:AY35)</f>
        <v>11291.233527882239</v>
      </c>
      <c r="CK35" s="1726">
        <f>SUM(BA35:BD35)</f>
        <v>11641.005828857469</v>
      </c>
      <c r="CL35" s="1726">
        <f>SUM(BF35:BI35)</f>
        <v>12134.08316212966</v>
      </c>
      <c r="CM35" s="1726">
        <f>SUM(BK35:BN35)</f>
        <v>11896.450037483188</v>
      </c>
      <c r="CN35" s="2661"/>
      <c r="CO35" s="2661"/>
      <c r="CP35" s="179"/>
      <c r="CQ35" s="827"/>
      <c r="CR35" s="828"/>
      <c r="CS35" s="828"/>
      <c r="CT35" s="161"/>
      <c r="CU35" s="161"/>
      <c r="CV35" s="161"/>
      <c r="CW35" s="161"/>
      <c r="CX35" s="161"/>
      <c r="CY35" s="161"/>
      <c r="CZ35" s="1722">
        <f>SUM(AL35:AO35)</f>
        <v>0</v>
      </c>
      <c r="DA35" s="1722">
        <f>SUM(AP35:AS35)</f>
        <v>0</v>
      </c>
      <c r="DB35" s="1722">
        <f>SUM(AT35:AW35)</f>
        <v>6023.7034651898448</v>
      </c>
      <c r="DC35" s="1722">
        <f>SUM(AX35:BB35)</f>
        <v>11430.571667361335</v>
      </c>
      <c r="DD35" s="1722">
        <f>SUM(BC35:BG35)</f>
        <v>11999.409252875492</v>
      </c>
      <c r="DE35" s="1722">
        <f>SUM(BH35:BL35)</f>
        <v>12076.09959339635</v>
      </c>
      <c r="DF35" s="2661"/>
    </row>
    <row r="36" spans="1:110">
      <c r="A36" s="125" t="s">
        <v>300</v>
      </c>
      <c r="B36" s="134"/>
      <c r="C36" s="134"/>
      <c r="D36" s="134"/>
      <c r="E36" s="134"/>
      <c r="F36" s="134"/>
      <c r="G36" s="134"/>
      <c r="H36" s="134"/>
      <c r="I36" s="134"/>
      <c r="J36" s="134"/>
      <c r="K36" s="134"/>
      <c r="L36" s="135"/>
      <c r="M36" s="134"/>
      <c r="N36" s="134"/>
      <c r="O36" s="134"/>
      <c r="P36" s="135"/>
      <c r="Q36" s="134"/>
      <c r="R36" s="134"/>
      <c r="S36" s="134"/>
      <c r="T36" s="135"/>
      <c r="U36" s="134"/>
      <c r="V36" s="134"/>
      <c r="W36" s="134"/>
      <c r="X36" s="135"/>
      <c r="Y36" s="134"/>
      <c r="Z36" s="134"/>
      <c r="AA36" s="134"/>
      <c r="AB36" s="134"/>
      <c r="AC36" s="134"/>
      <c r="AD36" s="134"/>
      <c r="AE36" s="134"/>
      <c r="AF36" s="135"/>
      <c r="AG36" s="134"/>
      <c r="AH36" s="134"/>
      <c r="AI36" s="134"/>
      <c r="AJ36" s="183"/>
      <c r="AK36" s="181"/>
      <c r="AL36" s="181"/>
      <c r="AM36" s="182"/>
      <c r="AN36" s="183"/>
      <c r="AO36" s="181"/>
      <c r="AP36" s="181"/>
      <c r="AQ36" s="182"/>
      <c r="AR36" s="181"/>
      <c r="AS36" s="181"/>
      <c r="AT36" s="181"/>
      <c r="AU36" s="184"/>
      <c r="AV36" s="183"/>
      <c r="AW36" s="181"/>
      <c r="AX36" s="181"/>
      <c r="AY36" s="184"/>
      <c r="AZ36" s="2592"/>
      <c r="BA36" s="183">
        <f>IF(OR(BA35=0,AV35=0),"NM",BA35/AV35-1)</f>
        <v>-1.3070654459851005E-2</v>
      </c>
      <c r="BB36" s="181">
        <f>IF(OR(BB35=0,AW35=0),"NM",BB35/AW35-1)</f>
        <v>5.7403435425071203E-2</v>
      </c>
      <c r="BC36" s="181">
        <f>IF(OR(BC35=0,AX35=0),"NM",BC35/AX35-1)</f>
        <v>5.1701567656791791E-2</v>
      </c>
      <c r="BD36" s="181">
        <f>IF(OR(BD35=0,AY35=0),"NM",BD35/AY35-1)</f>
        <v>2.9141434460234317E-2</v>
      </c>
      <c r="BE36" s="2592"/>
      <c r="BF36" s="183">
        <f>IF(OR(BF35=0,BA35=0),"NM",BF35/BA35-1)</f>
        <v>4.3252277778067283E-2</v>
      </c>
      <c r="BG36" s="181">
        <f>IF(OR(BG35=0,BB35=0),"NM",BG35/BB35-1)</f>
        <v>4.4498219017575114E-2</v>
      </c>
      <c r="BH36" s="181">
        <f>IF(OR(BH35=0,BC35=0),"NM",BH35/BC35-1)</f>
        <v>4.1297149387905074E-2</v>
      </c>
      <c r="BI36" s="184">
        <f>IF(OR(BI35=0,BD35=0),"NM",BI35/BD35-1)</f>
        <v>3.9955335461106189E-2</v>
      </c>
      <c r="BJ36" s="2592"/>
      <c r="BK36" s="183">
        <f>IF(OR(BK35=0,BF35=0),"NM",BK35/BF35-1)</f>
        <v>-2.0578941825360242E-2</v>
      </c>
      <c r="BL36" s="181">
        <f>IF(OR(BL35=0,BG35=0),"NM",BL35/BG35-1)</f>
        <v>-2.5652960141620884E-2</v>
      </c>
      <c r="BM36" s="181">
        <f>IF(OR(BM35=0,BH35=0),"NM",BM35/BH35-1)</f>
        <v>-1.6581599236872413E-2</v>
      </c>
      <c r="BN36" s="184">
        <f>IF(OR(BN35=0,BI35=0),"NM",BN35/BI35-1)</f>
        <v>-1.4324773936958413E-2</v>
      </c>
      <c r="BO36" s="2592"/>
      <c r="BP36" s="183">
        <f>IF(OR(BP35=0,BK35=0),"NM",BP35/BK35-1)</f>
        <v>-3.6030589120699119E-2</v>
      </c>
      <c r="BQ36" s="181">
        <f>IF(OR(BQ35=0,BL35=0),"NM",BQ35/BL35-1)</f>
        <v>-3.4557906970983931E-2</v>
      </c>
      <c r="BR36" s="181">
        <f>IF(OR(BR35=0,BM35=0),"NM",BR35/BM35-1)</f>
        <v>-3.0077282186760201E-2</v>
      </c>
      <c r="BS36" s="184">
        <f>IF(OR(BS35=0,BN35=0),"NM",BS35/BN35-1)</f>
        <v>-2.9923838312619466E-2</v>
      </c>
      <c r="BT36" s="2592"/>
      <c r="BU36" s="183">
        <f>IF(OR(BU35=0,BP35=0),"NM",BU35/BP35-1)</f>
        <v>-3.3629248691477098E-2</v>
      </c>
      <c r="BV36" s="181">
        <f>IF(OR(BV35=0,BQ35=0),"NM",BV35/BQ35-1)</f>
        <v>-3.1741982631231958E-2</v>
      </c>
      <c r="BW36" s="181">
        <f>IF(OR(BW35=0,BR35=0),"NM",BW35/BR35-1)</f>
        <v>-2.8982787350617434E-2</v>
      </c>
      <c r="BX36" s="184">
        <f>IF(OR(BX35=0,BS35=0),"NM",BX35/BS35-1)</f>
        <v>-2.9282716510014573E-2</v>
      </c>
      <c r="BY36" s="155"/>
      <c r="BZ36" s="827"/>
      <c r="CA36" s="828"/>
      <c r="CB36" s="161"/>
      <c r="CC36" s="161"/>
      <c r="CD36" s="160"/>
      <c r="CE36" s="159"/>
      <c r="CF36" s="161" t="str">
        <f t="shared" ref="CF36" si="75">IF(OR(CE35=0,CF35=0),"NM",CF35/CE35-1)</f>
        <v>NM</v>
      </c>
      <c r="CG36" s="160" t="str">
        <f t="shared" ref="CG36" si="76">IF(OR(CF35=0,CG35=0),"NM",CG35/CF35-1)</f>
        <v>NM</v>
      </c>
      <c r="CH36" s="160" t="str">
        <f t="shared" ref="CH36" si="77">IF(OR(CG35=0,CH35=0),"NM",CH35/CG35-1)</f>
        <v>NM</v>
      </c>
      <c r="CI36" s="161" t="str">
        <f t="shared" ref="CI36" si="78">IF(OR(CH35=0,CI35=0),"NM",CI35/CH35-1)</f>
        <v>NM</v>
      </c>
      <c r="CJ36" s="160" t="str">
        <f t="shared" ref="CJ36" si="79">IF(OR(CI35=0,CJ35=0),"NM",CJ35/CI35-1)</f>
        <v>NM</v>
      </c>
      <c r="CK36" s="160">
        <f t="shared" ref="CK36" si="80">IF(OR(CJ35=0,CK35=0),"NM",CK35/CJ35-1)</f>
        <v>3.0977333000111296E-2</v>
      </c>
      <c r="CL36" s="160">
        <f t="shared" ref="CL36" si="81">IF(OR(CK35=0,CL35=0),"NM",CL35/CK35-1)</f>
        <v>4.2356935519255234E-2</v>
      </c>
      <c r="CM36" s="160">
        <f t="shared" ref="CM36" si="82">IF(OR(CL35=0,CM35=0),"NM",CM35/CL35-1)</f>
        <v>-1.9583937366452475E-2</v>
      </c>
      <c r="CN36" s="159"/>
      <c r="CO36" s="159"/>
      <c r="CP36" s="179"/>
      <c r="CQ36" s="827"/>
      <c r="CR36" s="828"/>
      <c r="CS36" s="828"/>
      <c r="CT36" s="161"/>
      <c r="CU36" s="161"/>
      <c r="CV36" s="161"/>
      <c r="CW36" s="161"/>
      <c r="CX36" s="161"/>
      <c r="CY36" s="161"/>
      <c r="CZ36" s="161"/>
      <c r="DA36" s="161"/>
      <c r="DB36" s="161"/>
      <c r="DC36" s="161">
        <f>DC35/DB35-1</f>
        <v>0.89759866723470694</v>
      </c>
      <c r="DD36" s="161">
        <f>DD35/DC35-1</f>
        <v>4.976457889139585E-2</v>
      </c>
      <c r="DE36" s="161">
        <f>DE35/DD35-1</f>
        <v>6.3911763408253108E-3</v>
      </c>
      <c r="DF36" s="159"/>
    </row>
    <row r="37" spans="1:110">
      <c r="A37" s="1690"/>
      <c r="B37" s="134"/>
      <c r="C37" s="134"/>
      <c r="D37" s="134"/>
      <c r="E37" s="134"/>
      <c r="F37" s="134"/>
      <c r="G37" s="134"/>
      <c r="H37" s="134"/>
      <c r="I37" s="134"/>
      <c r="J37" s="134"/>
      <c r="K37" s="134"/>
      <c r="L37" s="135"/>
      <c r="M37" s="134"/>
      <c r="N37" s="134"/>
      <c r="O37" s="134"/>
      <c r="P37" s="135"/>
      <c r="Q37" s="134"/>
      <c r="R37" s="134"/>
      <c r="S37" s="134"/>
      <c r="T37" s="135"/>
      <c r="U37" s="134"/>
      <c r="V37" s="134"/>
      <c r="W37" s="134"/>
      <c r="X37" s="135"/>
      <c r="Y37" s="134"/>
      <c r="Z37" s="134"/>
      <c r="AA37" s="134"/>
      <c r="AB37" s="134"/>
      <c r="AC37" s="134"/>
      <c r="AD37" s="134"/>
      <c r="AE37" s="134"/>
      <c r="AF37" s="135"/>
      <c r="AG37" s="134"/>
      <c r="AH37" s="134"/>
      <c r="AI37" s="134"/>
      <c r="AJ37" s="135"/>
      <c r="AK37" s="134"/>
      <c r="AL37" s="134"/>
      <c r="AM37" s="134"/>
      <c r="AN37" s="135"/>
      <c r="AO37" s="134"/>
      <c r="AP37" s="134"/>
      <c r="AQ37" s="136"/>
      <c r="AR37" s="134"/>
      <c r="AS37" s="134"/>
      <c r="AT37" s="134"/>
      <c r="AU37" s="136"/>
      <c r="AV37" s="135"/>
      <c r="AW37" s="134"/>
      <c r="AX37" s="134"/>
      <c r="AY37" s="136"/>
      <c r="AZ37" s="134"/>
      <c r="BA37" s="135"/>
      <c r="BB37" s="134"/>
      <c r="BC37" s="2596"/>
      <c r="BD37" s="2596"/>
      <c r="BE37" s="134"/>
      <c r="BF37" s="135"/>
      <c r="BG37" s="134"/>
      <c r="BH37" s="134"/>
      <c r="BI37" s="136"/>
      <c r="BJ37" s="134"/>
      <c r="BK37" s="135"/>
      <c r="BL37" s="134"/>
      <c r="BM37" s="134"/>
      <c r="BN37" s="136"/>
      <c r="BO37" s="134"/>
      <c r="BP37" s="135"/>
      <c r="BQ37" s="134"/>
      <c r="BR37" s="134"/>
      <c r="BS37" s="136"/>
      <c r="BT37" s="134"/>
      <c r="BU37" s="135"/>
      <c r="BV37" s="134"/>
      <c r="BW37" s="134"/>
      <c r="BX37" s="136"/>
      <c r="BY37" s="155"/>
      <c r="BZ37" s="827"/>
      <c r="CA37" s="828"/>
      <c r="CB37" s="161"/>
      <c r="CC37" s="161"/>
      <c r="CD37" s="160"/>
      <c r="CE37" s="159"/>
      <c r="CF37" s="161"/>
      <c r="CG37" s="160"/>
      <c r="CH37" s="160"/>
      <c r="CI37" s="161"/>
      <c r="CJ37" s="160"/>
      <c r="CK37" s="160"/>
      <c r="CL37" s="160"/>
      <c r="CM37" s="160"/>
      <c r="CN37" s="159"/>
      <c r="CO37" s="159"/>
      <c r="CP37" s="179"/>
      <c r="CQ37" s="827"/>
      <c r="CR37" s="828"/>
      <c r="CS37" s="828"/>
      <c r="CT37" s="161"/>
      <c r="CU37" s="161"/>
      <c r="CV37" s="161"/>
      <c r="CW37" s="161"/>
      <c r="CX37" s="161"/>
      <c r="CY37" s="161"/>
      <c r="CZ37" s="161"/>
      <c r="DA37" s="161"/>
      <c r="DB37" s="161"/>
      <c r="DC37" s="161"/>
      <c r="DD37" s="161"/>
      <c r="DE37" s="161"/>
      <c r="DF37" s="159"/>
    </row>
    <row r="38" spans="1:110">
      <c r="A38" s="156" t="s">
        <v>1452</v>
      </c>
      <c r="B38" s="122"/>
      <c r="C38" s="122"/>
      <c r="D38" s="122"/>
      <c r="E38" s="122"/>
      <c r="F38" s="126"/>
      <c r="G38" s="126"/>
      <c r="H38" s="126"/>
      <c r="I38" s="126"/>
      <c r="J38" s="126"/>
      <c r="K38" s="126"/>
      <c r="L38" s="129"/>
      <c r="M38" s="126"/>
      <c r="N38" s="126"/>
      <c r="O38" s="127"/>
      <c r="P38" s="171"/>
      <c r="Q38" s="172"/>
      <c r="R38" s="172"/>
      <c r="S38" s="173"/>
      <c r="T38" s="171"/>
      <c r="U38" s="172"/>
      <c r="V38" s="172"/>
      <c r="W38" s="173"/>
      <c r="X38" s="171"/>
      <c r="Y38" s="172"/>
      <c r="Z38" s="172"/>
      <c r="AA38" s="173"/>
      <c r="AB38" s="129"/>
      <c r="AC38" s="126"/>
      <c r="AD38" s="126"/>
      <c r="AE38" s="127"/>
      <c r="AF38" s="129">
        <v>1658.3923303826743</v>
      </c>
      <c r="AG38" s="126">
        <v>1653.4131576703492</v>
      </c>
      <c r="AH38" s="126">
        <v>1569.0814350277303</v>
      </c>
      <c r="AI38" s="126">
        <v>1635.6969663442508</v>
      </c>
      <c r="AJ38" s="129">
        <v>1579.2472095438388</v>
      </c>
      <c r="AK38" s="126">
        <v>1854.3973829630945</v>
      </c>
      <c r="AL38" s="126">
        <v>1437.9820830624067</v>
      </c>
      <c r="AM38" s="126">
        <v>1363.9015563249106</v>
      </c>
      <c r="AN38" s="129">
        <v>1678.4514763437064</v>
      </c>
      <c r="AO38" s="126">
        <v>2098.8150280344034</v>
      </c>
      <c r="AP38" s="126">
        <v>1760.0184467009785</v>
      </c>
      <c r="AQ38" s="127">
        <v>1563.5141770382136</v>
      </c>
      <c r="AR38" s="129">
        <v>1656.0450887490447</v>
      </c>
      <c r="AS38" s="126">
        <v>1864.5642386908592</v>
      </c>
      <c r="AT38" s="126">
        <v>1473.8683481346147</v>
      </c>
      <c r="AU38" s="127">
        <v>1250.8217900315369</v>
      </c>
      <c r="AV38" s="1706">
        <f>AV35*AV42</f>
        <v>1757.6087927504429</v>
      </c>
      <c r="AW38" s="1693">
        <f t="shared" ref="AW38:AY38" si="83">AW35*AW42</f>
        <v>1752.53882724408</v>
      </c>
      <c r="AX38" s="2600">
        <f t="shared" si="83"/>
        <v>1539.3426597095429</v>
      </c>
      <c r="AY38" s="1694">
        <f t="shared" si="83"/>
        <v>1279.3129338218057</v>
      </c>
      <c r="AZ38" s="126"/>
      <c r="BA38" s="1706">
        <f>AV38*(1+BA39)</f>
        <v>1722.4566168954341</v>
      </c>
      <c r="BB38" s="1693">
        <f>AW38*(1+BB39)</f>
        <v>1822.6403803338433</v>
      </c>
      <c r="BC38" s="2600">
        <f>AX38*(1+BC39)</f>
        <v>1677.8834990834018</v>
      </c>
      <c r="BD38" s="1694">
        <f>AY38*(1+BD39)</f>
        <v>1330.485451174678</v>
      </c>
      <c r="BE38" s="126"/>
      <c r="BF38" s="1706">
        <f>BA38*(1+BF39)</f>
        <v>1843.0285800781146</v>
      </c>
      <c r="BG38" s="1693">
        <f>BB38*(1+BG39)</f>
        <v>2023.1308221705663</v>
      </c>
      <c r="BH38" s="1693">
        <f>BC38*(1+BH39)</f>
        <v>1866.6453927302846</v>
      </c>
      <c r="BI38" s="1694">
        <f t="shared" ref="BH38:BI38" si="84">BI32*BI42</f>
        <v>1476.0993149780174</v>
      </c>
      <c r="BJ38" s="126"/>
      <c r="BK38" s="1706">
        <f>BK32*BK42</f>
        <v>1835.8925368790929</v>
      </c>
      <c r="BL38" s="1693">
        <f>BL32*BL42</f>
        <v>2006.0519306359511</v>
      </c>
      <c r="BM38" s="2600">
        <f>BM32*BM42</f>
        <v>1860.6925253039892</v>
      </c>
      <c r="BN38" s="1694">
        <f>BN32*BN42</f>
        <v>1482.4763806748967</v>
      </c>
      <c r="BO38" s="126"/>
      <c r="BP38" s="1706">
        <f>BP32*BP42</f>
        <v>1796.2566945372846</v>
      </c>
      <c r="BQ38" s="1693">
        <f>BQ32*BQ42</f>
        <v>1967.4573641297186</v>
      </c>
      <c r="BR38" s="2600">
        <f>BR32*BR42</f>
        <v>1829.4016880201548</v>
      </c>
      <c r="BS38" s="1694">
        <f>BS32*BS42</f>
        <v>1465.3182694644831</v>
      </c>
      <c r="BT38" s="126"/>
      <c r="BU38" s="1706">
        <f>BU32*BU42</f>
        <v>1762.914738277522</v>
      </c>
      <c r="BV38" s="1693">
        <f>BV32*BV42</f>
        <v>1936.2375591653213</v>
      </c>
      <c r="BW38" s="2600">
        <f>BW32*BW42</f>
        <v>1801.9518833051272</v>
      </c>
      <c r="BX38" s="1694">
        <f>BX32*BX42</f>
        <v>1449.7449072439033</v>
      </c>
      <c r="BY38" s="155"/>
      <c r="BZ38" s="129"/>
      <c r="CA38" s="126"/>
      <c r="CB38" s="171"/>
      <c r="CC38" s="197"/>
      <c r="CD38" s="197"/>
      <c r="CE38" s="172"/>
      <c r="CF38" s="1734">
        <f>SUM(AF38:AI38)</f>
        <v>6516.5838894250046</v>
      </c>
      <c r="CG38" s="1727">
        <f>SUM(AJ38:AM38)</f>
        <v>6235.52823189425</v>
      </c>
      <c r="CH38" s="1727">
        <f>SUM(AN38:AQ38)</f>
        <v>7100.7991281173017</v>
      </c>
      <c r="CI38" s="2540">
        <f>SUM(AR38:AU38)</f>
        <v>6245.2994656060555</v>
      </c>
      <c r="CJ38" s="2541">
        <f>SUM(AV38:AY38)</f>
        <v>6328.8032135258718</v>
      </c>
      <c r="CK38" s="2541">
        <f>SUM(BA38:BD38)</f>
        <v>6553.465947487357</v>
      </c>
      <c r="CL38" s="2541">
        <f>SUM(BF38:BI38)</f>
        <v>7208.9041099569822</v>
      </c>
      <c r="CM38" s="2541">
        <f>SUM(BK38:BN38)</f>
        <v>7185.1133734939303</v>
      </c>
      <c r="CN38" s="2662"/>
      <c r="CO38" s="2662"/>
      <c r="CP38" s="155"/>
      <c r="CQ38" s="107"/>
      <c r="CR38" s="171"/>
      <c r="CS38" s="171"/>
      <c r="CT38" s="167"/>
      <c r="CU38" s="171"/>
      <c r="CV38" s="197"/>
      <c r="CW38" s="173"/>
      <c r="CX38" s="172"/>
      <c r="CY38" s="197"/>
      <c r="CZ38" s="1724">
        <f>SUM(AL38:AO38)</f>
        <v>6579.1501437654269</v>
      </c>
      <c r="DA38" s="1724">
        <f>SUM(AP38:AS38)</f>
        <v>6844.1419511790964</v>
      </c>
      <c r="DB38" s="1724">
        <f>SUM(AT38:AW38)</f>
        <v>6234.8377581606746</v>
      </c>
      <c r="DC38" s="1724">
        <f>SUM(AX38:BB38)</f>
        <v>6363.7525907606259</v>
      </c>
      <c r="DD38" s="1724">
        <f>SUM(BC38:BG38)</f>
        <v>6874.5283525067607</v>
      </c>
      <c r="DE38" s="1724">
        <f>SUM(BH38:BL38)</f>
        <v>7184.689175223346</v>
      </c>
      <c r="DF38" s="3070"/>
    </row>
    <row r="39" spans="1:110">
      <c r="A39" s="157" t="s">
        <v>169</v>
      </c>
      <c r="B39" s="115"/>
      <c r="C39" s="115"/>
      <c r="D39" s="115"/>
      <c r="E39" s="115"/>
      <c r="F39" s="115"/>
      <c r="G39" s="115"/>
      <c r="H39" s="115"/>
      <c r="I39" s="115"/>
      <c r="J39" s="115"/>
      <c r="K39" s="115"/>
      <c r="L39" s="824"/>
      <c r="M39" s="825"/>
      <c r="N39" s="825"/>
      <c r="O39" s="826"/>
      <c r="P39" s="158"/>
      <c r="Q39" s="159"/>
      <c r="R39" s="159"/>
      <c r="S39" s="160"/>
      <c r="T39" s="158"/>
      <c r="U39" s="159"/>
      <c r="V39" s="159"/>
      <c r="W39" s="160"/>
      <c r="X39" s="158"/>
      <c r="Y39" s="159"/>
      <c r="Z39" s="159"/>
      <c r="AA39" s="160"/>
      <c r="AB39" s="824"/>
      <c r="AC39" s="825"/>
      <c r="AD39" s="825"/>
      <c r="AE39" s="826"/>
      <c r="AF39" s="824"/>
      <c r="AG39" s="825"/>
      <c r="AH39" s="825"/>
      <c r="AI39" s="825"/>
      <c r="AJ39" s="824">
        <f>AJ38/AF38-1</f>
        <v>-4.7724003173949092E-2</v>
      </c>
      <c r="AK39" s="825">
        <f t="shared" ref="AK39:AU39" si="85">AK38/AG38-1</f>
        <v>0.12155717060818061</v>
      </c>
      <c r="AL39" s="825">
        <f t="shared" si="85"/>
        <v>-8.3551655789622425E-2</v>
      </c>
      <c r="AM39" s="825">
        <f t="shared" si="85"/>
        <v>-0.16616489216018859</v>
      </c>
      <c r="AN39" s="824">
        <f t="shared" si="85"/>
        <v>6.2817439980484391E-2</v>
      </c>
      <c r="AO39" s="825">
        <f t="shared" si="85"/>
        <v>0.13180435181630812</v>
      </c>
      <c r="AP39" s="825">
        <f t="shared" si="85"/>
        <v>0.22395019203072764</v>
      </c>
      <c r="AQ39" s="826">
        <f t="shared" si="85"/>
        <v>0.14635412635730649</v>
      </c>
      <c r="AR39" s="824">
        <f t="shared" si="85"/>
        <v>-1.3349440189639128E-2</v>
      </c>
      <c r="AS39" s="825">
        <f t="shared" si="85"/>
        <v>-0.11161097391365948</v>
      </c>
      <c r="AT39" s="825">
        <f t="shared" si="85"/>
        <v>-0.16258357922482602</v>
      </c>
      <c r="AU39" s="826">
        <f t="shared" si="85"/>
        <v>-0.19999331736090431</v>
      </c>
      <c r="AV39" s="824"/>
      <c r="AW39" s="825"/>
      <c r="AX39" s="825"/>
      <c r="AY39" s="826"/>
      <c r="AZ39" s="825"/>
      <c r="BA39" s="2904">
        <v>-0.02</v>
      </c>
      <c r="BB39" s="2905">
        <v>0.04</v>
      </c>
      <c r="BC39" s="2905">
        <v>0.09</v>
      </c>
      <c r="BD39" s="2906">
        <v>0.04</v>
      </c>
      <c r="BE39" s="825"/>
      <c r="BF39" s="2904">
        <v>7.0000000000000007E-2</v>
      </c>
      <c r="BG39" s="2905">
        <v>0.11</v>
      </c>
      <c r="BH39" s="2905">
        <v>0.1125</v>
      </c>
      <c r="BI39" s="826">
        <f>BI38/BD38-1</f>
        <v>0.10944416090741749</v>
      </c>
      <c r="BJ39" s="825"/>
      <c r="BK39" s="824">
        <f>BK38/BF38-1</f>
        <v>-3.8719113073760747E-3</v>
      </c>
      <c r="BL39" s="825">
        <f>BL38/BG38-1</f>
        <v>-8.441812732748355E-3</v>
      </c>
      <c r="BM39" s="825">
        <f>BM38/BH38-1</f>
        <v>-3.1890724662965164E-3</v>
      </c>
      <c r="BN39" s="826">
        <f>BN38/BI38-1</f>
        <v>4.3202145222689392E-3</v>
      </c>
      <c r="BO39" s="825"/>
      <c r="BP39" s="824">
        <f>BP38/BK38-1</f>
        <v>-2.158941307598905E-2</v>
      </c>
      <c r="BQ39" s="825">
        <f>BQ38/BL38-1</f>
        <v>-1.9239066505121527E-2</v>
      </c>
      <c r="BR39" s="825">
        <f>BR38/BM38-1</f>
        <v>-1.6816769486792227E-2</v>
      </c>
      <c r="BS39" s="826">
        <f>BS38/BN38-1</f>
        <v>-1.1573952498725393E-2</v>
      </c>
      <c r="BT39" s="825"/>
      <c r="BU39" s="824">
        <f>BU38/BP38-1</f>
        <v>-1.8561910645155E-2</v>
      </c>
      <c r="BV39" s="825">
        <f>BV38/BQ38-1</f>
        <v>-1.586809733902772E-2</v>
      </c>
      <c r="BW39" s="825">
        <f>BW38/BR38-1</f>
        <v>-1.5004799052489526E-2</v>
      </c>
      <c r="BX39" s="826">
        <f>BX38/BS38-1</f>
        <v>-1.0627972465170554E-2</v>
      </c>
      <c r="BY39" s="155"/>
      <c r="BZ39" s="824"/>
      <c r="CA39" s="825"/>
      <c r="CB39" s="158"/>
      <c r="CC39" s="161"/>
      <c r="CD39" s="161"/>
      <c r="CE39" s="159"/>
      <c r="CF39" s="161" t="str">
        <f t="shared" ref="CF39:CM39" si="86">IF(OR(CE38=0,CF38=0),"NM",CF38/CE38-1)</f>
        <v>NM</v>
      </c>
      <c r="CG39" s="160">
        <f t="shared" si="86"/>
        <v>-4.312929324624315E-2</v>
      </c>
      <c r="CH39" s="160">
        <f t="shared" si="86"/>
        <v>0.13876465057078202</v>
      </c>
      <c r="CI39" s="161">
        <f t="shared" si="86"/>
        <v>-0.12047934986974806</v>
      </c>
      <c r="CJ39" s="160">
        <f t="shared" si="86"/>
        <v>1.3370655543370802E-2</v>
      </c>
      <c r="CK39" s="160">
        <f t="shared" si="86"/>
        <v>3.5498454665384038E-2</v>
      </c>
      <c r="CL39" s="160">
        <f t="shared" si="86"/>
        <v>0.10001397241118259</v>
      </c>
      <c r="CM39" s="160">
        <f t="shared" si="86"/>
        <v>-3.3001876707157152E-3</v>
      </c>
      <c r="CN39" s="159"/>
      <c r="CO39" s="159"/>
      <c r="CP39" s="155"/>
      <c r="CQ39" s="107"/>
      <c r="CR39" s="107"/>
      <c r="CS39" s="179"/>
      <c r="CT39" s="179"/>
      <c r="CU39" s="158"/>
      <c r="CV39" s="161"/>
      <c r="CW39" s="160"/>
      <c r="CX39" s="159"/>
      <c r="CY39" s="161"/>
      <c r="CZ39" s="161"/>
      <c r="DA39" s="161">
        <f>DA38/CZ38-1</f>
        <v>4.0277513299310064E-2</v>
      </c>
      <c r="DB39" s="161">
        <f>DB38/DA38-1</f>
        <v>-8.9025651040661402E-2</v>
      </c>
      <c r="DC39" s="161">
        <f>DC38/DB38-1</f>
        <v>2.0676533632525862E-2</v>
      </c>
      <c r="DD39" s="161">
        <f>DD38/DC38-1</f>
        <v>8.026329661019771E-2</v>
      </c>
      <c r="DE39" s="161">
        <f>DE38/DD38-1</f>
        <v>4.5117396687074152E-2</v>
      </c>
      <c r="DF39" s="159"/>
    </row>
    <row r="40" spans="1:110">
      <c r="A40" s="162" t="s">
        <v>759</v>
      </c>
      <c r="B40" s="115"/>
      <c r="C40" s="115"/>
      <c r="D40" s="115"/>
      <c r="E40" s="115"/>
      <c r="F40" s="120"/>
      <c r="G40" s="120"/>
      <c r="H40" s="120"/>
      <c r="I40" s="120"/>
      <c r="J40" s="120"/>
      <c r="K40" s="120"/>
      <c r="L40" s="119"/>
      <c r="M40" s="120"/>
      <c r="N40" s="120"/>
      <c r="O40" s="121"/>
      <c r="P40" s="164"/>
      <c r="Q40" s="165"/>
      <c r="R40" s="165"/>
      <c r="S40" s="166"/>
      <c r="T40" s="164"/>
      <c r="U40" s="165"/>
      <c r="V40" s="165"/>
      <c r="W40" s="165"/>
      <c r="X40" s="164"/>
      <c r="Y40" s="165"/>
      <c r="Z40" s="165"/>
      <c r="AA40" s="166"/>
      <c r="AB40" s="119"/>
      <c r="AC40" s="120"/>
      <c r="AD40" s="120"/>
      <c r="AE40" s="121"/>
      <c r="AF40" s="119">
        <v>1937.875102317327</v>
      </c>
      <c r="AG40" s="120">
        <v>1949.7439531893403</v>
      </c>
      <c r="AH40" s="120">
        <v>1818.5654670559081</v>
      </c>
      <c r="AI40" s="120">
        <v>1847.3030336557483</v>
      </c>
      <c r="AJ40" s="119">
        <v>1760.7527904561589</v>
      </c>
      <c r="AK40" s="120">
        <v>1926.6026170369059</v>
      </c>
      <c r="AL40" s="120">
        <v>1592.0179169375938</v>
      </c>
      <c r="AM40" s="120">
        <v>1646.0984436750889</v>
      </c>
      <c r="AN40" s="119">
        <v>1427.5485236562922</v>
      </c>
      <c r="AO40" s="120">
        <v>1568.1849719655993</v>
      </c>
      <c r="AP40" s="120">
        <v>1390.9815532990178</v>
      </c>
      <c r="AQ40" s="121">
        <v>1536.4858229617864</v>
      </c>
      <c r="AR40" s="119">
        <v>1440.954911250958</v>
      </c>
      <c r="AS40" s="120">
        <v>1383.4357613091418</v>
      </c>
      <c r="AT40" s="120">
        <v>1040.1316518653834</v>
      </c>
      <c r="AU40" s="121">
        <v>1150.1782099684613</v>
      </c>
      <c r="AV40" s="1708">
        <f>AV35-AV38</f>
        <v>1171.7391951669622</v>
      </c>
      <c r="AW40" s="1696">
        <f t="shared" ref="AW40:AY40" si="87">AW35-AW38</f>
        <v>1341.8166500283601</v>
      </c>
      <c r="AX40" s="2601">
        <f t="shared" si="87"/>
        <v>984.16989719134722</v>
      </c>
      <c r="AY40" s="1697">
        <f t="shared" si="87"/>
        <v>1464.7045719696991</v>
      </c>
      <c r="AZ40" s="120"/>
      <c r="BA40" s="1708">
        <f>+BA35-BA38</f>
        <v>1168.6028756792427</v>
      </c>
      <c r="BB40" s="1708">
        <f>+BB35-BB38</f>
        <v>1449.341731760421</v>
      </c>
      <c r="BC40" s="1708">
        <f>+BC35-BC38</f>
        <v>976.09861301086335</v>
      </c>
      <c r="BD40" s="1708">
        <f>+BD35-BD38</f>
        <v>1493.4966609195858</v>
      </c>
      <c r="BE40" s="120"/>
      <c r="BF40" s="1708">
        <f>+BF35-BF38</f>
        <v>1173.0758207423203</v>
      </c>
      <c r="BG40" s="1708">
        <f>+BG35-BG38</f>
        <v>1394.4486665692566</v>
      </c>
      <c r="BH40" s="1708">
        <f>+BH35-BH38</f>
        <v>896.93861511996556</v>
      </c>
      <c r="BI40" s="1697">
        <f t="shared" ref="BH40:BS40" si="88">BI35-BI38</f>
        <v>1460.7159497411358</v>
      </c>
      <c r="BJ40" s="120">
        <f t="shared" si="88"/>
        <v>91.755698675849118</v>
      </c>
      <c r="BK40" s="1708">
        <f t="shared" si="88"/>
        <v>1118.1436269376454</v>
      </c>
      <c r="BL40" s="1696">
        <f t="shared" si="88"/>
        <v>1323.8565276984082</v>
      </c>
      <c r="BM40" s="2601">
        <f t="shared" si="88"/>
        <v>857.06684007065837</v>
      </c>
      <c r="BN40" s="1697">
        <f t="shared" si="88"/>
        <v>1412.2696692825459</v>
      </c>
      <c r="BO40" s="120">
        <f t="shared" si="88"/>
        <v>0</v>
      </c>
      <c r="BP40" s="1708">
        <f t="shared" si="88"/>
        <v>1051.3438060132867</v>
      </c>
      <c r="BQ40" s="1696">
        <f t="shared" si="88"/>
        <v>1247.3764274796292</v>
      </c>
      <c r="BR40" s="2601">
        <f t="shared" si="88"/>
        <v>806.61486200640911</v>
      </c>
      <c r="BS40" s="1697">
        <f t="shared" si="88"/>
        <v>1342.8058677379393</v>
      </c>
      <c r="BT40" s="120">
        <f t="shared" ref="BT40:BX40" si="89">BT35-BT38</f>
        <v>0</v>
      </c>
      <c r="BU40" s="1708">
        <f t="shared" si="89"/>
        <v>988.92309686605927</v>
      </c>
      <c r="BV40" s="1696">
        <f t="shared" si="89"/>
        <v>1176.551034068465</v>
      </c>
      <c r="BW40" s="2601">
        <f t="shared" si="89"/>
        <v>757.66555959930861</v>
      </c>
      <c r="BX40" s="1697">
        <f t="shared" si="89"/>
        <v>1276.1497269238914</v>
      </c>
      <c r="BY40" s="155"/>
      <c r="BZ40" s="119"/>
      <c r="CA40" s="120"/>
      <c r="CB40" s="164"/>
      <c r="CC40" s="167"/>
      <c r="CD40" s="167"/>
      <c r="CE40" s="165"/>
      <c r="CF40" s="1734">
        <f>SUM(AF40:AI40)</f>
        <v>7553.4875562183242</v>
      </c>
      <c r="CG40" s="1727">
        <f>SUM(AJ40:AM40)</f>
        <v>6925.4717681057473</v>
      </c>
      <c r="CH40" s="1727">
        <f>SUM(AN40:AQ40)</f>
        <v>5923.2008718826955</v>
      </c>
      <c r="CI40" s="1734">
        <f>SUM(AR40:AU40)</f>
        <v>5014.7005343939445</v>
      </c>
      <c r="CJ40" s="1727">
        <f>SUM(AV40:AY40)</f>
        <v>4962.4303143563684</v>
      </c>
      <c r="CK40" s="1727">
        <f>SUM(BA40:BD40)</f>
        <v>5087.5398813701122</v>
      </c>
      <c r="CL40" s="1727">
        <f>SUM(BF40:BI40)</f>
        <v>4925.179052172678</v>
      </c>
      <c r="CM40" s="1727">
        <f>SUM(BK40:BN40)</f>
        <v>4711.3366639892574</v>
      </c>
      <c r="CN40" s="2662"/>
      <c r="CO40" s="2662"/>
      <c r="CP40" s="155"/>
      <c r="CQ40" s="107"/>
      <c r="CR40" s="195"/>
      <c r="CS40" s="195"/>
      <c r="CT40" s="167"/>
      <c r="CU40" s="164"/>
      <c r="CV40" s="167"/>
      <c r="CW40" s="166"/>
      <c r="CX40" s="165"/>
      <c r="CY40" s="167"/>
      <c r="CZ40" s="1725">
        <f>SUM(AL40:AO40)</f>
        <v>6233.8498562345749</v>
      </c>
      <c r="DA40" s="1725">
        <f>SUM(AP40:AS40)</f>
        <v>5751.8580488209045</v>
      </c>
      <c r="DB40" s="1725">
        <f>SUM(AT40:AW40)</f>
        <v>4703.8657070291665</v>
      </c>
      <c r="DC40" s="1725">
        <f>SUM(AX40:BB40)</f>
        <v>5066.8190766007101</v>
      </c>
      <c r="DD40" s="1725">
        <f>SUM(BC40:BG40)</f>
        <v>5037.1197612420265</v>
      </c>
      <c r="DE40" s="1725">
        <f>SUM(BH40:BL40)</f>
        <v>4891.4104181730036</v>
      </c>
      <c r="DF40" s="3070"/>
    </row>
    <row r="41" spans="1:110">
      <c r="A41" s="174" t="s">
        <v>169</v>
      </c>
      <c r="B41" s="128"/>
      <c r="C41" s="128"/>
      <c r="D41" s="128"/>
      <c r="E41" s="128"/>
      <c r="F41" s="128"/>
      <c r="G41" s="128"/>
      <c r="H41" s="128"/>
      <c r="I41" s="128"/>
      <c r="J41" s="128"/>
      <c r="K41" s="128"/>
      <c r="L41" s="833"/>
      <c r="M41" s="834"/>
      <c r="N41" s="834"/>
      <c r="O41" s="835"/>
      <c r="P41" s="175"/>
      <c r="Q41" s="176"/>
      <c r="R41" s="176"/>
      <c r="S41" s="170"/>
      <c r="T41" s="175"/>
      <c r="U41" s="176"/>
      <c r="V41" s="176"/>
      <c r="W41" s="176"/>
      <c r="X41" s="175"/>
      <c r="Y41" s="176"/>
      <c r="Z41" s="176"/>
      <c r="AA41" s="170"/>
      <c r="AB41" s="833"/>
      <c r="AC41" s="834"/>
      <c r="AD41" s="834"/>
      <c r="AE41" s="835"/>
      <c r="AF41" s="833"/>
      <c r="AG41" s="834"/>
      <c r="AH41" s="834"/>
      <c r="AI41" s="834"/>
      <c r="AJ41" s="833">
        <f t="shared" ref="AJ41:AU41" si="90">AJ40/AF40-1</f>
        <v>-9.1400272210197531E-2</v>
      </c>
      <c r="AK41" s="834">
        <f t="shared" si="90"/>
        <v>-1.1868910332856974E-2</v>
      </c>
      <c r="AL41" s="834">
        <f t="shared" si="90"/>
        <v>-0.12457486641109172</v>
      </c>
      <c r="AM41" s="834">
        <f t="shared" si="90"/>
        <v>-0.10891802065765166</v>
      </c>
      <c r="AN41" s="833">
        <f t="shared" si="90"/>
        <v>-0.18923966419700711</v>
      </c>
      <c r="AO41" s="834">
        <f t="shared" si="90"/>
        <v>-0.18603610412537963</v>
      </c>
      <c r="AP41" s="834">
        <f t="shared" si="90"/>
        <v>-0.12627770171411734</v>
      </c>
      <c r="AQ41" s="835">
        <f t="shared" si="90"/>
        <v>-6.6589347152640976E-2</v>
      </c>
      <c r="AR41" s="833">
        <f t="shared" si="90"/>
        <v>9.3911957264534163E-3</v>
      </c>
      <c r="AS41" s="834">
        <f t="shared" si="90"/>
        <v>-0.11781085392298374</v>
      </c>
      <c r="AT41" s="834">
        <f t="shared" si="90"/>
        <v>-0.2522318866138209</v>
      </c>
      <c r="AU41" s="835">
        <f t="shared" si="90"/>
        <v>-0.25142282943337835</v>
      </c>
      <c r="AV41" s="833"/>
      <c r="AW41" s="834"/>
      <c r="AX41" s="834"/>
      <c r="AY41" s="835"/>
      <c r="AZ41" s="834"/>
      <c r="BA41" s="2901">
        <v>0</v>
      </c>
      <c r="BB41" s="2902">
        <v>0.08</v>
      </c>
      <c r="BC41" s="2902">
        <v>0.01</v>
      </c>
      <c r="BD41" s="2903">
        <v>0.02</v>
      </c>
      <c r="BE41" s="834"/>
      <c r="BF41" s="833">
        <f>BF40/BA40-1</f>
        <v>3.8276005956923154E-3</v>
      </c>
      <c r="BG41" s="834">
        <f>BG40/BB40-1</f>
        <v>-3.7874480523298892E-2</v>
      </c>
      <c r="BH41" s="834">
        <f>BH40/BC40-1</f>
        <v>-8.1098361206273673E-2</v>
      </c>
      <c r="BI41" s="835">
        <f>BI40/BD40-1</f>
        <v>-2.1948968508751832E-2</v>
      </c>
      <c r="BJ41" s="834"/>
      <c r="BK41" s="833">
        <f>BK40/BF40-1</f>
        <v>-4.6827487902626697E-2</v>
      </c>
      <c r="BL41" s="834">
        <f>BL40/BG40-1</f>
        <v>-5.0623691329222842E-2</v>
      </c>
      <c r="BM41" s="834">
        <f>BM40/BH40-1</f>
        <v>-4.4453181496678429E-2</v>
      </c>
      <c r="BN41" s="835">
        <f>BN40/BI40-1</f>
        <v>-3.316611998874619E-2</v>
      </c>
      <c r="BO41" s="834"/>
      <c r="BP41" s="833">
        <f>BP40/BK40-1</f>
        <v>-5.9741717714126841E-2</v>
      </c>
      <c r="BQ41" s="834">
        <f>BQ40/BL40-1</f>
        <v>-5.7770686338453503E-2</v>
      </c>
      <c r="BR41" s="834">
        <f>BR40/BM40-1</f>
        <v>-5.886586168715835E-2</v>
      </c>
      <c r="BS41" s="835">
        <f>BS40/BN40-1</f>
        <v>-4.9185933151064121E-2</v>
      </c>
      <c r="BT41" s="834"/>
      <c r="BU41" s="833">
        <f>BU40/BP40-1</f>
        <v>-5.9372308839605759E-2</v>
      </c>
      <c r="BV41" s="834">
        <f>BV40/BQ40-1</f>
        <v>-5.6779486809983681E-2</v>
      </c>
      <c r="BW41" s="834">
        <f>BW40/BR40-1</f>
        <v>-6.0684850617978792E-2</v>
      </c>
      <c r="BX41" s="835">
        <f>BX40/BS40-1</f>
        <v>-4.9639447082797772E-2</v>
      </c>
      <c r="BY41" s="155"/>
      <c r="BZ41" s="833"/>
      <c r="CA41" s="834"/>
      <c r="CB41" s="175"/>
      <c r="CC41" s="169"/>
      <c r="CD41" s="169"/>
      <c r="CE41" s="176"/>
      <c r="CF41" s="161" t="str">
        <f t="shared" ref="CF41:CM41" si="91">IF(OR(CE40=0,CF40=0),"NM",CF40/CE40-1)</f>
        <v>NM</v>
      </c>
      <c r="CG41" s="160">
        <f t="shared" si="91"/>
        <v>-8.3142493244139914E-2</v>
      </c>
      <c r="CH41" s="160">
        <f t="shared" si="91"/>
        <v>-0.14472240011703819</v>
      </c>
      <c r="CI41" s="169">
        <f t="shared" si="91"/>
        <v>-0.15337996416791844</v>
      </c>
      <c r="CJ41" s="170">
        <f t="shared" si="91"/>
        <v>-1.042339810305204E-2</v>
      </c>
      <c r="CK41" s="170">
        <f t="shared" si="91"/>
        <v>2.5211349900833957E-2</v>
      </c>
      <c r="CL41" s="170">
        <f t="shared" si="91"/>
        <v>-3.1913426328504579E-2</v>
      </c>
      <c r="CM41" s="170">
        <f t="shared" si="91"/>
        <v>-4.3418195748454402E-2</v>
      </c>
      <c r="CN41" s="159"/>
      <c r="CO41" s="159"/>
      <c r="CP41" s="155"/>
      <c r="CQ41" s="107"/>
      <c r="CR41" s="107"/>
      <c r="CS41" s="194"/>
      <c r="CT41" s="194"/>
      <c r="CU41" s="175"/>
      <c r="CV41" s="169"/>
      <c r="CW41" s="170"/>
      <c r="CX41" s="176"/>
      <c r="CY41" s="169"/>
      <c r="CZ41" s="169"/>
      <c r="DA41" s="169">
        <f>DA40/CZ40-1</f>
        <v>-7.7318481921989535E-2</v>
      </c>
      <c r="DB41" s="169">
        <f>DB40/DA40-1</f>
        <v>-0.18220066157692638</v>
      </c>
      <c r="DC41" s="169">
        <f>DC40/DB40-1</f>
        <v>7.7160657250305631E-2</v>
      </c>
      <c r="DD41" s="169">
        <f>DD40/DC40-1</f>
        <v>-5.8615306585229066E-3</v>
      </c>
      <c r="DE41" s="169">
        <f>DE40/DD40-1</f>
        <v>-2.8927115092672429E-2</v>
      </c>
      <c r="DF41" s="159"/>
    </row>
    <row r="42" spans="1:110">
      <c r="A42" s="157" t="s">
        <v>1108</v>
      </c>
      <c r="B42" s="115"/>
      <c r="C42" s="115"/>
      <c r="D42" s="115"/>
      <c r="E42" s="115"/>
      <c r="F42" s="115"/>
      <c r="G42" s="115"/>
      <c r="H42" s="115"/>
      <c r="I42" s="115"/>
      <c r="J42" s="115"/>
      <c r="K42" s="115"/>
      <c r="L42" s="824"/>
      <c r="M42" s="825"/>
      <c r="N42" s="825"/>
      <c r="O42" s="825"/>
      <c r="P42" s="158"/>
      <c r="Q42" s="159"/>
      <c r="R42" s="159"/>
      <c r="S42" s="159"/>
      <c r="T42" s="158"/>
      <c r="U42" s="159"/>
      <c r="V42" s="159"/>
      <c r="W42" s="159"/>
      <c r="X42" s="158"/>
      <c r="Y42" s="159"/>
      <c r="Z42" s="159"/>
      <c r="AA42" s="159"/>
      <c r="AB42" s="824"/>
      <c r="AC42" s="825"/>
      <c r="AD42" s="825"/>
      <c r="AE42" s="825"/>
      <c r="AF42" s="824"/>
      <c r="AG42" s="825"/>
      <c r="AH42" s="825"/>
      <c r="AI42" s="825"/>
      <c r="AJ42" s="824">
        <f>AJ38/AJ32</f>
        <v>0.47282850585144909</v>
      </c>
      <c r="AK42" s="825">
        <f t="shared" ref="AK42:AU42" si="92">AK38/AK32</f>
        <v>0.49045156915183663</v>
      </c>
      <c r="AL42" s="825">
        <f t="shared" si="92"/>
        <v>0.47458154556515064</v>
      </c>
      <c r="AM42" s="825">
        <f t="shared" si="92"/>
        <v>0.45312344063950527</v>
      </c>
      <c r="AN42" s="824">
        <f t="shared" si="92"/>
        <v>0.54039004389687928</v>
      </c>
      <c r="AO42" s="825">
        <f t="shared" si="92"/>
        <v>0.57235206654878701</v>
      </c>
      <c r="AP42" s="825">
        <f t="shared" si="92"/>
        <v>0.55855869460519858</v>
      </c>
      <c r="AQ42" s="826">
        <f t="shared" si="92"/>
        <v>0.50435941194781087</v>
      </c>
      <c r="AR42" s="824">
        <f t="shared" si="92"/>
        <v>0.53472556950243566</v>
      </c>
      <c r="AS42" s="825">
        <f t="shared" si="92"/>
        <v>0.57406534442452539</v>
      </c>
      <c r="AT42" s="825">
        <f t="shared" si="92"/>
        <v>0.58626425940119964</v>
      </c>
      <c r="AU42" s="826">
        <f t="shared" si="92"/>
        <v>0.52095867972991994</v>
      </c>
      <c r="AV42" s="825">
        <v>0.6</v>
      </c>
      <c r="AW42" s="825">
        <v>0.5663663532248332</v>
      </c>
      <c r="AX42" s="825">
        <v>0.61</v>
      </c>
      <c r="AY42" s="826">
        <v>0.46621894033900896</v>
      </c>
      <c r="AZ42" s="1707"/>
      <c r="BA42" s="825">
        <f>BA38/BA32</f>
        <v>0.59459351514555048</v>
      </c>
      <c r="BB42" s="825">
        <f>BB38/BB32</f>
        <v>0.55373269956216475</v>
      </c>
      <c r="BC42" s="825">
        <f>BC38/BC32</f>
        <v>0.632190945393727</v>
      </c>
      <c r="BD42" s="826">
        <f>BD38/BD32</f>
        <v>0.47005579421932181</v>
      </c>
      <c r="BE42" s="825"/>
      <c r="BF42" s="825">
        <f>BF38/BF32</f>
        <v>0.60673713801257834</v>
      </c>
      <c r="BG42" s="825">
        <f>BG38/BG32</f>
        <v>0.58638945900929917</v>
      </c>
      <c r="BH42" s="825">
        <f>BH38/BH32</f>
        <v>0.67309613951488334</v>
      </c>
      <c r="BI42" s="826">
        <v>0.5</v>
      </c>
      <c r="BJ42" s="825"/>
      <c r="BK42" s="825">
        <f>BF42+0.01</f>
        <v>0.61673713801257835</v>
      </c>
      <c r="BL42" s="825">
        <f>BG42+0.01</f>
        <v>0.59638945900929918</v>
      </c>
      <c r="BM42" s="825">
        <f>BH42+0.01</f>
        <v>0.68309613951488335</v>
      </c>
      <c r="BN42" s="826">
        <f>BI42+0.01</f>
        <v>0.51</v>
      </c>
      <c r="BO42" s="825"/>
      <c r="BP42" s="825">
        <f>BK42+0.01</f>
        <v>0.62673713801257835</v>
      </c>
      <c r="BQ42" s="825">
        <f>BL42+0.01</f>
        <v>0.60638945900929919</v>
      </c>
      <c r="BR42" s="825">
        <f>BM42+0.01</f>
        <v>0.69309613951488336</v>
      </c>
      <c r="BS42" s="826">
        <f>BN42+0.01</f>
        <v>0.52</v>
      </c>
      <c r="BT42" s="825"/>
      <c r="BU42" s="825">
        <f>BP42+0.01</f>
        <v>0.63673713801257836</v>
      </c>
      <c r="BV42" s="825">
        <f>BQ42+0.01</f>
        <v>0.6163894590092992</v>
      </c>
      <c r="BW42" s="825">
        <f>BR42+0.01</f>
        <v>0.70309613951488337</v>
      </c>
      <c r="BX42" s="826">
        <f>BS42+0.01</f>
        <v>0.53</v>
      </c>
      <c r="BY42" s="155"/>
      <c r="BZ42" s="824"/>
      <c r="CA42" s="825"/>
      <c r="CB42" s="158"/>
      <c r="CC42" s="161"/>
      <c r="CD42" s="160"/>
      <c r="CE42" s="159"/>
      <c r="CF42" s="161"/>
      <c r="CG42" s="160"/>
      <c r="CH42" s="160"/>
      <c r="CI42" s="161"/>
      <c r="CJ42" s="160"/>
      <c r="CK42" s="160"/>
      <c r="CL42" s="160"/>
      <c r="CM42" s="160"/>
      <c r="CN42" s="159"/>
      <c r="CO42" s="159"/>
      <c r="CP42" s="155"/>
      <c r="CQ42" s="107"/>
      <c r="CR42" s="107"/>
      <c r="CS42" s="194"/>
      <c r="CT42" s="194"/>
      <c r="CU42" s="158"/>
      <c r="CV42" s="161"/>
      <c r="CW42" s="160"/>
      <c r="CX42" s="159"/>
      <c r="CY42" s="161"/>
      <c r="CZ42" s="161"/>
      <c r="DA42" s="161"/>
      <c r="DB42" s="161"/>
      <c r="DC42" s="161"/>
      <c r="DD42" s="161"/>
      <c r="DE42" s="161"/>
      <c r="DF42" s="159"/>
    </row>
    <row r="43" spans="1:110">
      <c r="A43" s="157"/>
      <c r="B43" s="115"/>
      <c r="C43" s="115"/>
      <c r="D43" s="115"/>
      <c r="E43" s="115"/>
      <c r="F43" s="115"/>
      <c r="G43" s="115"/>
      <c r="H43" s="115"/>
      <c r="I43" s="115"/>
      <c r="J43" s="115"/>
      <c r="K43" s="115"/>
      <c r="L43" s="824"/>
      <c r="M43" s="825"/>
      <c r="N43" s="825"/>
      <c r="O43" s="825"/>
      <c r="P43" s="158"/>
      <c r="Q43" s="159"/>
      <c r="R43" s="159"/>
      <c r="S43" s="159"/>
      <c r="T43" s="158"/>
      <c r="U43" s="159"/>
      <c r="V43" s="159"/>
      <c r="W43" s="159"/>
      <c r="X43" s="158"/>
      <c r="Y43" s="159"/>
      <c r="Z43" s="159"/>
      <c r="AA43" s="159"/>
      <c r="AB43" s="824"/>
      <c r="AC43" s="825"/>
      <c r="AD43" s="825"/>
      <c r="AE43" s="825"/>
      <c r="AF43" s="824"/>
      <c r="AG43" s="825"/>
      <c r="AH43" s="825"/>
      <c r="AI43" s="825"/>
      <c r="AJ43" s="824"/>
      <c r="AK43" s="825"/>
      <c r="AL43" s="825"/>
      <c r="AM43" s="825"/>
      <c r="AN43" s="824"/>
      <c r="AO43" s="825"/>
      <c r="AP43" s="825"/>
      <c r="AQ43" s="826"/>
      <c r="AR43" s="824"/>
      <c r="AS43" s="825"/>
      <c r="AT43" s="825"/>
      <c r="AU43" s="826"/>
      <c r="AV43" s="825"/>
      <c r="AW43" s="825"/>
      <c r="AX43" s="825"/>
      <c r="AY43" s="826"/>
      <c r="AZ43" s="825"/>
      <c r="BA43" s="3045"/>
      <c r="BB43" s="3045"/>
      <c r="BC43" s="3045"/>
      <c r="BD43" s="3045"/>
      <c r="BE43" s="825"/>
      <c r="BF43" s="3045"/>
      <c r="BG43" s="3045"/>
      <c r="BH43" s="825"/>
      <c r="BI43" s="826"/>
      <c r="BJ43" s="825"/>
      <c r="BK43" s="825"/>
      <c r="BL43" s="825"/>
      <c r="BM43" s="825"/>
      <c r="BN43" s="826"/>
      <c r="BO43" s="825"/>
      <c r="BP43" s="825"/>
      <c r="BQ43" s="825"/>
      <c r="BR43" s="825"/>
      <c r="BS43" s="826"/>
      <c r="BT43" s="825"/>
      <c r="BU43" s="825"/>
      <c r="BV43" s="825"/>
      <c r="BW43" s="825"/>
      <c r="BX43" s="826"/>
      <c r="BY43" s="155"/>
      <c r="BZ43" s="824"/>
      <c r="CA43" s="825"/>
      <c r="CB43" s="158"/>
      <c r="CC43" s="161"/>
      <c r="CD43" s="160"/>
      <c r="CE43" s="159"/>
      <c r="CF43" s="161"/>
      <c r="CG43" s="160"/>
      <c r="CH43" s="160"/>
      <c r="CI43" s="161"/>
      <c r="CJ43" s="160"/>
      <c r="CK43" s="160"/>
      <c r="CL43" s="160"/>
      <c r="CM43" s="160"/>
      <c r="CN43" s="159"/>
      <c r="CO43" s="159"/>
      <c r="CP43" s="155"/>
      <c r="CQ43" s="107"/>
      <c r="CR43" s="107"/>
      <c r="CS43" s="194"/>
      <c r="CT43" s="194"/>
      <c r="CU43" s="158"/>
      <c r="CV43" s="161"/>
      <c r="CW43" s="160"/>
      <c r="CX43" s="159"/>
      <c r="CY43" s="161"/>
      <c r="CZ43" s="161"/>
      <c r="DA43" s="161"/>
      <c r="DB43" s="161"/>
      <c r="DC43" s="161"/>
      <c r="DD43" s="161"/>
      <c r="DE43" s="161"/>
      <c r="DF43" s="159"/>
    </row>
    <row r="44" spans="1:110">
      <c r="A44" s="1691" t="s">
        <v>1037</v>
      </c>
      <c r="B44" s="1692"/>
      <c r="C44" s="1692"/>
      <c r="D44" s="1692"/>
      <c r="E44" s="1692"/>
      <c r="F44" s="1692"/>
      <c r="G44" s="1692"/>
      <c r="H44" s="1692"/>
      <c r="I44" s="1692"/>
      <c r="J44" s="1692"/>
      <c r="K44" s="1692"/>
      <c r="L44" s="1692"/>
      <c r="M44" s="1692"/>
      <c r="N44" s="1692"/>
      <c r="O44" s="1692"/>
      <c r="P44" s="1692"/>
      <c r="Q44" s="1692"/>
      <c r="R44" s="1692"/>
      <c r="S44" s="1692"/>
      <c r="T44" s="1692"/>
      <c r="U44" s="1692"/>
      <c r="V44" s="1692"/>
      <c r="W44" s="1692"/>
      <c r="X44" s="1692"/>
      <c r="Y44" s="1692"/>
      <c r="Z44" s="1692"/>
      <c r="AA44" s="1692"/>
      <c r="AB44" s="1692"/>
      <c r="AC44" s="1692"/>
      <c r="AD44" s="1692"/>
      <c r="AE44" s="1692"/>
      <c r="AF44" s="1692"/>
      <c r="AG44" s="1692"/>
      <c r="AH44" s="1692"/>
      <c r="AI44" s="1692"/>
      <c r="AJ44" s="1706">
        <f t="shared" ref="AJ44:AM44" si="93">AJ32</f>
        <v>3339.9999999999977</v>
      </c>
      <c r="AK44" s="1693">
        <f t="shared" si="93"/>
        <v>3781.0000000000005</v>
      </c>
      <c r="AL44" s="1693">
        <f t="shared" si="93"/>
        <v>3030.0000000000005</v>
      </c>
      <c r="AM44" s="1694">
        <f t="shared" si="93"/>
        <v>3009.9999999999995</v>
      </c>
      <c r="AN44" s="1706">
        <f t="shared" ref="AN44:AQ44" si="94">AN32</f>
        <v>3105.9999999999986</v>
      </c>
      <c r="AO44" s="1693">
        <f t="shared" si="94"/>
        <v>3667.0000000000027</v>
      </c>
      <c r="AP44" s="1693">
        <f t="shared" si="94"/>
        <v>3150.9999999999964</v>
      </c>
      <c r="AQ44" s="1694">
        <f t="shared" si="94"/>
        <v>3100</v>
      </c>
      <c r="AR44" s="1706">
        <f t="shared" ref="AR44:BI44" si="95">AR32</f>
        <v>3097.0000000000027</v>
      </c>
      <c r="AS44" s="1693">
        <f t="shared" si="95"/>
        <v>3248.0000000000009</v>
      </c>
      <c r="AT44" s="1693">
        <f t="shared" si="95"/>
        <v>2513.9999999999982</v>
      </c>
      <c r="AU44" s="1694">
        <f t="shared" si="95"/>
        <v>2400.9999999999982</v>
      </c>
      <c r="AV44" s="1706">
        <f t="shared" si="95"/>
        <v>2923.4386473375312</v>
      </c>
      <c r="AW44" s="1693">
        <f t="shared" si="95"/>
        <v>3094.6230728392748</v>
      </c>
      <c r="AX44" s="1693">
        <f t="shared" si="95"/>
        <v>2507.894229484998</v>
      </c>
      <c r="AY44" s="1694">
        <f t="shared" si="95"/>
        <v>2736.5645524921138</v>
      </c>
      <c r="AZ44" s="1693"/>
      <c r="BA44" s="1706">
        <f t="shared" si="95"/>
        <v>2896.8641147621565</v>
      </c>
      <c r="BB44" s="1693">
        <f t="shared" si="95"/>
        <v>3291.5527325278085</v>
      </c>
      <c r="BC44" s="2600">
        <f t="shared" ref="BC44" si="96">BC32</f>
        <v>2654.0770811553148</v>
      </c>
      <c r="BD44" s="1694">
        <f t="shared" si="95"/>
        <v>2830.4840989873878</v>
      </c>
      <c r="BE44" s="1693"/>
      <c r="BF44" s="1693">
        <f t="shared" si="95"/>
        <v>3037.6063448417203</v>
      </c>
      <c r="BG44" s="1693">
        <f t="shared" si="95"/>
        <v>3450.1486871688167</v>
      </c>
      <c r="BH44" s="1693">
        <f t="shared" si="95"/>
        <v>2773.2225504600592</v>
      </c>
      <c r="BI44" s="1694">
        <f t="shared" si="95"/>
        <v>2952.1986299560349</v>
      </c>
      <c r="BJ44" s="1693"/>
      <c r="BK44" s="1693">
        <f>BK32</f>
        <v>2976.7828524081028</v>
      </c>
      <c r="BL44" s="1693">
        <f>BL32</f>
        <v>3363.6609439213307</v>
      </c>
      <c r="BM44" s="1693">
        <f>BM32</f>
        <v>2723.9101755506967</v>
      </c>
      <c r="BN44" s="1694">
        <f>BN32</f>
        <v>2906.8164326958758</v>
      </c>
      <c r="BO44" s="1693"/>
      <c r="BP44" s="1693">
        <f>BP32</f>
        <v>2866.0447667635017</v>
      </c>
      <c r="BQ44" s="1693">
        <f>BQ32</f>
        <v>3244.5441372679716</v>
      </c>
      <c r="BR44" s="1693">
        <f>BR32</f>
        <v>2639.4631043546169</v>
      </c>
      <c r="BS44" s="1694">
        <f>BS32</f>
        <v>2817.9197489701596</v>
      </c>
      <c r="BT44" s="1693"/>
      <c r="BU44" s="1693">
        <f>BU32</f>
        <v>2768.6695702720212</v>
      </c>
      <c r="BV44" s="1693">
        <f>BV32</f>
        <v>3141.2567669105938</v>
      </c>
      <c r="BW44" s="1693">
        <f>BW32</f>
        <v>2562.881207893452</v>
      </c>
      <c r="BX44" s="1694">
        <f>BX32</f>
        <v>2735.3677495167985</v>
      </c>
      <c r="BY44" s="1693"/>
      <c r="BZ44" s="1693"/>
      <c r="CA44" s="1693"/>
      <c r="CB44" s="1692"/>
      <c r="CC44" s="1692"/>
      <c r="CD44" s="1692"/>
      <c r="CE44" s="1692"/>
      <c r="CF44" s="1731"/>
      <c r="CG44" s="1731"/>
      <c r="CH44" s="1731"/>
      <c r="CI44" s="1731"/>
      <c r="CJ44" s="1731"/>
      <c r="CK44" s="1731"/>
      <c r="CL44" s="1731"/>
      <c r="CM44" s="1731"/>
      <c r="CN44" s="1692"/>
      <c r="CO44" s="1692"/>
      <c r="CP44" s="1692"/>
      <c r="CQ44" s="1692"/>
      <c r="CR44" s="1692"/>
      <c r="CS44" s="1692"/>
      <c r="CT44" s="1692"/>
      <c r="CU44" s="1692"/>
      <c r="CV44" s="1692"/>
      <c r="CW44" s="1692"/>
      <c r="CX44" s="1692"/>
      <c r="CY44" s="1731"/>
      <c r="CZ44" s="1731"/>
      <c r="DA44" s="1728">
        <f>SUM(AP44:AS44)</f>
        <v>12596</v>
      </c>
      <c r="DB44" s="1728">
        <f>SUM(AT44:AW44)</f>
        <v>10933.061720176802</v>
      </c>
      <c r="DC44" s="1728">
        <f>SUM(AX44:BB44)</f>
        <v>11432.875629267077</v>
      </c>
      <c r="DD44" s="1728">
        <f>SUM(BC44:BG44)</f>
        <v>11972.31621215324</v>
      </c>
      <c r="DE44" s="1728">
        <f>SUM(BH44:BL44)</f>
        <v>12065.864976745528</v>
      </c>
      <c r="DF44" s="1546"/>
    </row>
    <row r="45" spans="1:110">
      <c r="A45" s="1695" t="s">
        <v>1450</v>
      </c>
      <c r="B45" s="1415"/>
      <c r="C45" s="1415"/>
      <c r="D45" s="1415"/>
      <c r="E45" s="1415"/>
      <c r="F45" s="1415"/>
      <c r="G45" s="1415"/>
      <c r="H45" s="1415"/>
      <c r="I45" s="1415"/>
      <c r="J45" s="1415"/>
      <c r="K45" s="1415"/>
      <c r="L45" s="1415"/>
      <c r="M45" s="1415"/>
      <c r="N45" s="1415"/>
      <c r="O45" s="1415"/>
      <c r="P45" s="1415"/>
      <c r="Q45" s="1415"/>
      <c r="R45" s="1415"/>
      <c r="S45" s="1415"/>
      <c r="T45" s="1415"/>
      <c r="U45" s="1415"/>
      <c r="V45" s="1415"/>
      <c r="W45" s="1415"/>
      <c r="X45" s="1415"/>
      <c r="Y45" s="1415"/>
      <c r="Z45" s="1415"/>
      <c r="AA45" s="1415"/>
      <c r="AB45" s="1415"/>
      <c r="AC45" s="1415"/>
      <c r="AD45" s="1415"/>
      <c r="AE45" s="1415"/>
      <c r="AF45" s="1415"/>
      <c r="AG45" s="1415"/>
      <c r="AH45" s="1415"/>
      <c r="AI45" s="1415"/>
      <c r="AJ45" s="1698"/>
      <c r="AK45" s="1415"/>
      <c r="AL45" s="1415"/>
      <c r="AM45" s="1415"/>
      <c r="AN45" s="1698"/>
      <c r="AO45" s="1415"/>
      <c r="AP45" s="1415"/>
      <c r="AQ45" s="1699"/>
      <c r="AR45" s="1698"/>
      <c r="AS45" s="1415"/>
      <c r="AT45" s="1415"/>
      <c r="AU45" s="1699"/>
      <c r="AV45" s="1696">
        <f>AV44*0.97+(0.03*(1/12))*SUM(AJ44:AU44)</f>
        <v>2929.3479879174051</v>
      </c>
      <c r="AW45" s="1696">
        <f>AW44*0.97+(0.03*(1/12))*SUM(AK44:AV44)</f>
        <v>3094.3554772724401</v>
      </c>
      <c r="AX45" s="1696">
        <f>AX44*0.97+(0.03*(1/12))*SUM(AL44:AW44)</f>
        <v>2523.5125569008901</v>
      </c>
      <c r="AY45" s="1697">
        <f>AY44*0.97+(0.03*(1/12))*SUM(AM44:AX44)</f>
        <v>2744.0175057915048</v>
      </c>
      <c r="AZ45" s="1696">
        <f t="shared" ref="AZ45" si="97">AZ44*0.97</f>
        <v>0</v>
      </c>
      <c r="BA45" s="1696">
        <f>BA44*0.97+(0.03*(1/12))*SUM(AO44:AZ44)</f>
        <v>2891.0594925746768</v>
      </c>
      <c r="BB45" s="1696">
        <f>BB44*0.97+(0.03*(1/12))*SUM(AP44:BA44)</f>
        <v>3271.9821120942643</v>
      </c>
      <c r="BC45" s="1696">
        <f>BC44*0.97+(0.03*(1/12))*SUM(AQ44:BB44)</f>
        <v>2653.9821120942652</v>
      </c>
      <c r="BD45" s="1697">
        <f>BD44*0.97+(0.03*(1/12))*SUM(AR44:BC44)</f>
        <v>2823.9821120942638</v>
      </c>
      <c r="BE45" s="1696">
        <f t="shared" ref="BE45:BJ45" si="98">BE44*0.97+0.01*BD44+0.01*BC44+0.01*BB44</f>
        <v>87.761139126705103</v>
      </c>
      <c r="BF45" s="1696">
        <f>BF44*0.97+(0.03*(1/12))*SUM(AT44:BE44)</f>
        <v>3016.1044008204349</v>
      </c>
      <c r="BG45" s="1696">
        <f>BG44*0.97+(0.03*(1/12))*SUM(AU44:BF44)</f>
        <v>3417.5794887398229</v>
      </c>
      <c r="BH45" s="1696">
        <f>BH44*0.97+(0.03*(1/12))*SUM(AV44:BG44)</f>
        <v>2763.5840078502501</v>
      </c>
      <c r="BI45" s="1697">
        <f>BI44*0.97+(0.03*(1/12))*SUM(AW44:BH44)</f>
        <v>2936.8152647191532</v>
      </c>
      <c r="BJ45" s="1696">
        <f t="shared" si="98"/>
        <v>91.755698675849118</v>
      </c>
      <c r="BK45" s="1696">
        <f>BK44*0.97+(0.03*(1/12))*SUM(AY44:BJ44)</f>
        <v>2954.0361638167383</v>
      </c>
      <c r="BL45" s="1696">
        <f>BL44*0.97+(0.03*(1/12))*SUM(AZ44:BK44)</f>
        <v>3329.9084583343592</v>
      </c>
      <c r="BM45" s="1696">
        <f>BM44*0.97+(0.03*(1/12))*SUM(BA44:BL44)</f>
        <v>2717.7593653746476</v>
      </c>
      <c r="BN45" s="1697">
        <f>BN44*0.97+(0.03*(1/12))*SUM(BB44:BM44)</f>
        <v>2894.7460499574427</v>
      </c>
      <c r="BO45" s="1696"/>
      <c r="BP45" s="1696">
        <f>BP44*0.97+(0.03*(1/12))*SUM(BD44:BO44)</f>
        <v>2847.6005005505713</v>
      </c>
      <c r="BQ45" s="1696">
        <f>BQ44*0.97+(0.03*(1/12))*SUM(BE44:BP44)</f>
        <v>3214.8337916093478</v>
      </c>
      <c r="BR45" s="1696">
        <f>BR44*0.97+(0.03*(1/12))*SUM(BF44:BQ44)</f>
        <v>2636.0165500265639</v>
      </c>
      <c r="BS45" s="1697">
        <f>BS44*0.97+(0.03*(1/12))*SUM(BG44:BR44)</f>
        <v>2808.1241372024224</v>
      </c>
      <c r="BT45" s="1696"/>
      <c r="BU45" s="1696">
        <f>BU44*0.97+(0.03*(1/12))*SUM(BI44:BT44)</f>
        <v>2751.8378351435813</v>
      </c>
      <c r="BV45" s="1696">
        <f>BV44*0.97+(0.03*(1/12))*SUM(BJ44:BU44)</f>
        <v>3112.7885932337863</v>
      </c>
      <c r="BW45" s="1696">
        <f>BW44*0.97+(0.03*(1/12))*SUM(BK44:BV44)</f>
        <v>2559.6174429044358</v>
      </c>
      <c r="BX45" s="1697">
        <f>BX44*0.97+(0.03*(1/12))*SUM(BL44:BW44)</f>
        <v>2725.8946341677947</v>
      </c>
      <c r="BY45" s="1415"/>
      <c r="BZ45" s="1415"/>
      <c r="CA45" s="1415"/>
      <c r="CB45" s="1415"/>
      <c r="CC45" s="1415"/>
      <c r="CD45" s="1415"/>
      <c r="CE45" s="1415"/>
      <c r="CF45" s="1621"/>
      <c r="CG45" s="1621"/>
      <c r="CH45" s="1621"/>
      <c r="CI45" s="1621"/>
      <c r="CJ45" s="1621"/>
      <c r="CK45" s="1621"/>
      <c r="CL45" s="1621"/>
      <c r="CM45" s="1621"/>
      <c r="CN45" s="1415"/>
      <c r="CO45" s="1415"/>
      <c r="CP45" s="1415"/>
      <c r="CQ45" s="1415"/>
      <c r="CR45" s="1415"/>
      <c r="CS45" s="1415"/>
      <c r="CT45" s="1415"/>
      <c r="CU45" s="1415"/>
      <c r="CV45" s="1415"/>
      <c r="CW45" s="1415"/>
      <c r="CX45" s="1415"/>
      <c r="CY45" s="1621"/>
      <c r="CZ45" s="1621"/>
      <c r="DA45" s="1729">
        <f>SUM(AP45:AS45)</f>
        <v>0</v>
      </c>
      <c r="DB45" s="1729">
        <f>SUM(AT45:AW45)</f>
        <v>6023.7034651898448</v>
      </c>
      <c r="DC45" s="1729">
        <f>SUM(AX45:BB45)</f>
        <v>11430.571667361335</v>
      </c>
      <c r="DD45" s="1729">
        <f>SUM(BC45:BG45)</f>
        <v>11999.409252875492</v>
      </c>
      <c r="DE45" s="1729">
        <f>SUM(BH45:BL45)</f>
        <v>12076.09959339635</v>
      </c>
      <c r="DF45" s="1546"/>
    </row>
    <row r="46" spans="1:110">
      <c r="A46" s="1695" t="s">
        <v>1038</v>
      </c>
      <c r="B46" s="1415"/>
      <c r="C46" s="1415"/>
      <c r="D46" s="1415"/>
      <c r="E46" s="1415"/>
      <c r="F46" s="1415"/>
      <c r="G46" s="1415"/>
      <c r="H46" s="1415"/>
      <c r="I46" s="1415"/>
      <c r="J46" s="1415"/>
      <c r="K46" s="1415"/>
      <c r="L46" s="1415"/>
      <c r="M46" s="1415"/>
      <c r="N46" s="1415"/>
      <c r="O46" s="1415"/>
      <c r="P46" s="1415"/>
      <c r="Q46" s="1415"/>
      <c r="R46" s="1415"/>
      <c r="S46" s="1415"/>
      <c r="T46" s="1415"/>
      <c r="U46" s="1415"/>
      <c r="V46" s="1415"/>
      <c r="W46" s="1415"/>
      <c r="X46" s="1415"/>
      <c r="Y46" s="1415"/>
      <c r="Z46" s="1415"/>
      <c r="AA46" s="1415"/>
      <c r="AB46" s="1415"/>
      <c r="AC46" s="1415"/>
      <c r="AD46" s="1415"/>
      <c r="AE46" s="1415"/>
      <c r="AF46" s="1415"/>
      <c r="AG46" s="1415"/>
      <c r="AH46" s="1415"/>
      <c r="AI46" s="1415"/>
      <c r="AJ46" s="1698"/>
      <c r="AK46" s="1415"/>
      <c r="AL46" s="1415"/>
      <c r="AM46" s="1415"/>
      <c r="AN46" s="1698"/>
      <c r="AO46" s="1415"/>
      <c r="AP46" s="1415"/>
      <c r="AQ46" s="1699"/>
      <c r="AR46" s="1698"/>
      <c r="AS46" s="1415"/>
      <c r="AT46" s="1415"/>
      <c r="AU46" s="1699"/>
      <c r="AV46" s="1708">
        <f t="shared" ref="AV46:BE46" si="99">AV44-AV45</f>
        <v>-5.9093405798739695</v>
      </c>
      <c r="AW46" s="1696">
        <f t="shared" si="99"/>
        <v>0.26759556683464325</v>
      </c>
      <c r="AX46" s="1696">
        <f t="shared" si="99"/>
        <v>-15.618327415892054</v>
      </c>
      <c r="AY46" s="1697">
        <f t="shared" si="99"/>
        <v>-7.4529532993910834</v>
      </c>
      <c r="AZ46" s="2528">
        <f t="shared" si="99"/>
        <v>0</v>
      </c>
      <c r="BA46" s="1708">
        <f t="shared" si="99"/>
        <v>5.8046221874797084</v>
      </c>
      <c r="BB46" s="1696">
        <f t="shared" si="99"/>
        <v>19.570620433544264</v>
      </c>
      <c r="BC46" s="1696">
        <f t="shared" si="99"/>
        <v>9.4969061049596348E-2</v>
      </c>
      <c r="BD46" s="1697">
        <f t="shared" si="99"/>
        <v>6.5019868931240126</v>
      </c>
      <c r="BE46" s="1696">
        <f t="shared" si="99"/>
        <v>-87.761139126705103</v>
      </c>
      <c r="BF46" s="1708">
        <f t="shared" ref="BF46:BI46" si="100">BF44-BF45</f>
        <v>21.501944021285453</v>
      </c>
      <c r="BG46" s="1696">
        <f t="shared" si="100"/>
        <v>32.569198428993786</v>
      </c>
      <c r="BH46" s="1696">
        <f t="shared" si="100"/>
        <v>9.6385426098090647</v>
      </c>
      <c r="BI46" s="1697">
        <f t="shared" si="100"/>
        <v>15.383365236881673</v>
      </c>
      <c r="BJ46" s="1696"/>
      <c r="BK46" s="1708">
        <f>BK44-BK45</f>
        <v>22.746688591364546</v>
      </c>
      <c r="BL46" s="1696">
        <f>BL44-BL45</f>
        <v>33.752485586971488</v>
      </c>
      <c r="BM46" s="1696">
        <f>BM44-BM45</f>
        <v>6.1508101760491627</v>
      </c>
      <c r="BN46" s="1697">
        <f>BN44-BN45</f>
        <v>12.070382738433182</v>
      </c>
      <c r="BO46" s="1696"/>
      <c r="BP46" s="1708">
        <f>BP44-BP45</f>
        <v>18.444266212930415</v>
      </c>
      <c r="BQ46" s="1696">
        <f>BQ44-BQ45</f>
        <v>29.710345658623737</v>
      </c>
      <c r="BR46" s="1696">
        <f>BR44-BR45</f>
        <v>3.4465543280530255</v>
      </c>
      <c r="BS46" s="1697">
        <f>BS44-BS45</f>
        <v>9.7956117677372276</v>
      </c>
      <c r="BT46" s="1696"/>
      <c r="BU46" s="1708">
        <f>BU44-BU45</f>
        <v>16.831735128439959</v>
      </c>
      <c r="BV46" s="1696">
        <f>BV44-BV45</f>
        <v>28.46817367680751</v>
      </c>
      <c r="BW46" s="1696">
        <f>BW44-BW45</f>
        <v>3.2637649890161811</v>
      </c>
      <c r="BX46" s="1697">
        <f>BX44-BX45</f>
        <v>9.4731153490038196</v>
      </c>
      <c r="BY46" s="1415"/>
      <c r="BZ46" s="1415"/>
      <c r="CA46" s="1415"/>
      <c r="CB46" s="1415"/>
      <c r="CC46" s="1415"/>
      <c r="CD46" s="1415"/>
      <c r="CE46" s="1415"/>
      <c r="CF46" s="1621"/>
      <c r="CG46" s="1621"/>
      <c r="CH46" s="1621"/>
      <c r="CI46" s="1621"/>
      <c r="CJ46" s="1621"/>
      <c r="CK46" s="1621"/>
      <c r="CL46" s="1621"/>
      <c r="CM46" s="1621"/>
      <c r="CN46" s="1415"/>
      <c r="CO46" s="1415"/>
      <c r="CP46" s="1415"/>
      <c r="CQ46" s="1415"/>
      <c r="CR46" s="1415"/>
      <c r="CS46" s="1415"/>
      <c r="CT46" s="1415"/>
      <c r="CU46" s="1415"/>
      <c r="CV46" s="1415"/>
      <c r="CW46" s="1415"/>
      <c r="CX46" s="1415"/>
      <c r="CY46" s="1621"/>
      <c r="CZ46" s="1621"/>
      <c r="DA46" s="1729">
        <f>SUM(AP46:AS46)</f>
        <v>0</v>
      </c>
      <c r="DB46" s="1729">
        <f>SUM(AT46:AW46)</f>
        <v>-5.6417450130393263</v>
      </c>
      <c r="DC46" s="1729">
        <f>SUM(AX46:BB46)</f>
        <v>2.3039619057408345</v>
      </c>
      <c r="DD46" s="1729">
        <f>SUM(BC46:BG46)</f>
        <v>-27.093040722252255</v>
      </c>
      <c r="DE46" s="1729">
        <f>SUM(BH46:BL46)</f>
        <v>81.521082025026772</v>
      </c>
      <c r="DF46" s="1546"/>
    </row>
    <row r="47" spans="1:110">
      <c r="A47" s="1695" t="s">
        <v>1453</v>
      </c>
      <c r="B47" s="1415"/>
      <c r="C47" s="1415"/>
      <c r="D47" s="1415"/>
      <c r="E47" s="1415"/>
      <c r="F47" s="1415"/>
      <c r="G47" s="1415"/>
      <c r="H47" s="1415"/>
      <c r="I47" s="1415"/>
      <c r="J47" s="1415"/>
      <c r="K47" s="1415"/>
      <c r="L47" s="1415"/>
      <c r="M47" s="1415"/>
      <c r="N47" s="1415"/>
      <c r="O47" s="1415"/>
      <c r="P47" s="1415"/>
      <c r="Q47" s="1415"/>
      <c r="R47" s="1415"/>
      <c r="S47" s="1415"/>
      <c r="T47" s="1415"/>
      <c r="U47" s="1415"/>
      <c r="V47" s="1415"/>
      <c r="W47" s="1415"/>
      <c r="X47" s="1415"/>
      <c r="Y47" s="1415"/>
      <c r="Z47" s="1415"/>
      <c r="AA47" s="1415"/>
      <c r="AB47" s="1415"/>
      <c r="AC47" s="1415"/>
      <c r="AD47" s="1415"/>
      <c r="AE47" s="1415"/>
      <c r="AF47" s="1415"/>
      <c r="AG47" s="1415"/>
      <c r="AH47" s="1415"/>
      <c r="AI47" s="1415"/>
      <c r="AJ47" s="1698"/>
      <c r="AK47" s="1415"/>
      <c r="AL47" s="1415"/>
      <c r="AM47" s="1415"/>
      <c r="AN47" s="1698"/>
      <c r="AO47" s="1415"/>
      <c r="AP47" s="1415"/>
      <c r="AQ47" s="1699"/>
      <c r="AR47" s="1698"/>
      <c r="AS47" s="1415"/>
      <c r="AT47" s="1415"/>
      <c r="AU47" s="1699"/>
      <c r="AV47" s="1698"/>
      <c r="AW47" s="1415"/>
      <c r="AX47" s="1415"/>
      <c r="AY47" s="1699"/>
      <c r="AZ47" s="1415"/>
      <c r="BA47" s="1698"/>
      <c r="BB47" s="1415"/>
      <c r="BC47" s="1235"/>
      <c r="BD47" s="1699"/>
      <c r="BE47" s="1415"/>
      <c r="BF47" s="1415"/>
      <c r="BG47" s="1415"/>
      <c r="BH47" s="1415"/>
      <c r="BI47" s="1699"/>
      <c r="BJ47" s="1415"/>
      <c r="BK47" s="1415"/>
      <c r="BL47" s="1415"/>
      <c r="BM47" s="1415"/>
      <c r="BN47" s="1699"/>
      <c r="BO47" s="1415"/>
      <c r="BP47" s="1415"/>
      <c r="BQ47" s="1415"/>
      <c r="BR47" s="1415"/>
      <c r="BS47" s="1699"/>
      <c r="BT47" s="1415"/>
      <c r="BU47" s="1415"/>
      <c r="BV47" s="1415"/>
      <c r="BW47" s="1415"/>
      <c r="BX47" s="1699"/>
      <c r="BY47" s="1415"/>
      <c r="BZ47" s="1415"/>
      <c r="CA47" s="1415"/>
      <c r="CB47" s="1415"/>
      <c r="CC47" s="1415"/>
      <c r="CD47" s="1415"/>
      <c r="CE47" s="1415"/>
      <c r="CF47" s="1621"/>
      <c r="CG47" s="1621"/>
      <c r="CH47" s="1621"/>
      <c r="CI47" s="1621"/>
      <c r="CJ47" s="1621"/>
      <c r="CK47" s="1621"/>
      <c r="CL47" s="1621"/>
      <c r="CM47" s="1621"/>
      <c r="CN47" s="1415"/>
      <c r="CO47" s="1415"/>
      <c r="CP47" s="1415"/>
      <c r="CQ47" s="1415"/>
      <c r="CR47" s="1415"/>
      <c r="CS47" s="1415"/>
      <c r="CT47" s="1415"/>
      <c r="CU47" s="1415"/>
      <c r="CV47" s="1415"/>
      <c r="CW47" s="1415"/>
      <c r="CX47" s="1415"/>
      <c r="CY47" s="1621"/>
      <c r="CZ47" s="1621"/>
      <c r="DA47" s="1729"/>
      <c r="DB47" s="1729"/>
      <c r="DC47" s="1729"/>
      <c r="DD47" s="1729"/>
      <c r="DE47" s="1729"/>
      <c r="DF47" s="1546"/>
    </row>
    <row r="48" spans="1:110">
      <c r="A48" s="1695" t="s">
        <v>1039</v>
      </c>
      <c r="B48" s="1415"/>
      <c r="C48" s="1415"/>
      <c r="D48" s="1415"/>
      <c r="E48" s="1415"/>
      <c r="F48" s="1415"/>
      <c r="G48" s="1415"/>
      <c r="H48" s="1415"/>
      <c r="I48" s="1415"/>
      <c r="J48" s="1415"/>
      <c r="K48" s="1415"/>
      <c r="L48" s="1415"/>
      <c r="M48" s="1415"/>
      <c r="N48" s="1415"/>
      <c r="O48" s="1415"/>
      <c r="P48" s="1415"/>
      <c r="Q48" s="1415"/>
      <c r="R48" s="1415"/>
      <c r="S48" s="1415"/>
      <c r="T48" s="1415"/>
      <c r="U48" s="1415"/>
      <c r="V48" s="1415"/>
      <c r="W48" s="1415"/>
      <c r="X48" s="1415"/>
      <c r="Y48" s="1415"/>
      <c r="Z48" s="1415"/>
      <c r="AA48" s="1415"/>
      <c r="AB48" s="1415"/>
      <c r="AC48" s="1415"/>
      <c r="AD48" s="1415"/>
      <c r="AE48" s="1415"/>
      <c r="AF48" s="1415"/>
      <c r="AG48" s="1415"/>
      <c r="AH48" s="1415"/>
      <c r="AI48" s="1415"/>
      <c r="AJ48" s="1698"/>
      <c r="AK48" s="1415"/>
      <c r="AL48" s="1415"/>
      <c r="AM48" s="1415"/>
      <c r="AN48" s="1698"/>
      <c r="AO48" s="1415"/>
      <c r="AP48" s="1415"/>
      <c r="AQ48" s="1699"/>
      <c r="AR48" s="1698"/>
      <c r="AS48" s="1415"/>
      <c r="AT48" s="1415"/>
      <c r="AU48" s="1697"/>
      <c r="AV48" s="1708">
        <f>AU49</f>
        <v>0</v>
      </c>
      <c r="AW48" s="1696">
        <f>AV49</f>
        <v>-5.9093405798739695</v>
      </c>
      <c r="AX48" s="1696">
        <f>AW49</f>
        <v>-5.6417450130393263</v>
      </c>
      <c r="AY48" s="1697">
        <f t="shared" ref="AY48:BI48" si="101">AX49</f>
        <v>-21.26007242893138</v>
      </c>
      <c r="AZ48" s="1696"/>
      <c r="BA48" s="1708">
        <f>AY49</f>
        <v>-28.713025728322464</v>
      </c>
      <c r="BB48" s="1696">
        <f t="shared" si="101"/>
        <v>-22.908403540842755</v>
      </c>
      <c r="BC48" s="2601">
        <f>BB49</f>
        <v>-3.3377831072984918</v>
      </c>
      <c r="BD48" s="1697">
        <f t="shared" si="101"/>
        <v>-3.2428140462488955</v>
      </c>
      <c r="BE48" s="1696"/>
      <c r="BF48" s="1696">
        <f>BD49</f>
        <v>3.2591728468751171</v>
      </c>
      <c r="BG48" s="1696">
        <f t="shared" si="101"/>
        <v>24.76111686816057</v>
      </c>
      <c r="BH48" s="1696">
        <f t="shared" si="101"/>
        <v>57.330315297154357</v>
      </c>
      <c r="BI48" s="1697">
        <f t="shared" si="101"/>
        <v>66.968857906963422</v>
      </c>
      <c r="BJ48" s="1696"/>
      <c r="BK48" s="1696">
        <f>BI49</f>
        <v>82.352223143845094</v>
      </c>
      <c r="BL48" s="1696">
        <f>BK49</f>
        <v>105.09891173520964</v>
      </c>
      <c r="BM48" s="1696">
        <f>BL49</f>
        <v>138.85139732218113</v>
      </c>
      <c r="BN48" s="1697">
        <f>BM49</f>
        <v>145.00220749823029</v>
      </c>
      <c r="BO48" s="1696"/>
      <c r="BP48" s="1696">
        <f>BM49</f>
        <v>145.00220749823029</v>
      </c>
      <c r="BQ48" s="1696">
        <f>BP49</f>
        <v>163.44647371116071</v>
      </c>
      <c r="BR48" s="1696">
        <f>BQ49</f>
        <v>193.15681936978444</v>
      </c>
      <c r="BS48" s="1697">
        <f>BR49</f>
        <v>196.60337369783747</v>
      </c>
      <c r="BT48" s="1696"/>
      <c r="BU48" s="1696">
        <f>BR49</f>
        <v>196.60337369783747</v>
      </c>
      <c r="BV48" s="1696">
        <f>BU49</f>
        <v>213.43510882627743</v>
      </c>
      <c r="BW48" s="1696">
        <f>BV49</f>
        <v>241.90328250308494</v>
      </c>
      <c r="BX48" s="1697">
        <f>BW49</f>
        <v>245.16704749210112</v>
      </c>
      <c r="BY48" s="1415"/>
      <c r="BZ48" s="1415"/>
      <c r="CA48" s="1415"/>
      <c r="CB48" s="1415"/>
      <c r="CC48" s="1415"/>
      <c r="CD48" s="1415"/>
      <c r="CE48" s="1415"/>
      <c r="CF48" s="1621"/>
      <c r="CG48" s="1621"/>
      <c r="CH48" s="1621"/>
      <c r="CI48" s="1621"/>
      <c r="CJ48" s="1621"/>
      <c r="CK48" s="1621"/>
      <c r="CL48" s="1621"/>
      <c r="CM48" s="1621"/>
      <c r="CN48" s="1415"/>
      <c r="CO48" s="1415"/>
      <c r="CP48" s="1415"/>
      <c r="CQ48" s="1415"/>
      <c r="CR48" s="1415"/>
      <c r="CS48" s="1415"/>
      <c r="CT48" s="1415"/>
      <c r="CU48" s="1415"/>
      <c r="CV48" s="1415"/>
      <c r="CW48" s="1415"/>
      <c r="CX48" s="1415"/>
      <c r="CY48" s="1621"/>
      <c r="CZ48" s="1621"/>
      <c r="DA48" s="1729">
        <f>SUM(AP48:AS48)</f>
        <v>0</v>
      </c>
      <c r="DB48" s="1729">
        <f>SUM(AT48:AW48)</f>
        <v>-5.9093405798739695</v>
      </c>
      <c r="DC48" s="1729">
        <f>SUM(AX48:BB48)</f>
        <v>-78.523246711135926</v>
      </c>
      <c r="DD48" s="1729">
        <f>SUM(BC48:BG48)</f>
        <v>21.4396925614883</v>
      </c>
      <c r="DE48" s="1729">
        <f>SUM(BH48:BL48)</f>
        <v>311.75030808317251</v>
      </c>
      <c r="DF48" s="1546"/>
    </row>
    <row r="49" spans="1:110">
      <c r="A49" s="1700" t="s">
        <v>1040</v>
      </c>
      <c r="B49" s="1701"/>
      <c r="C49" s="1701"/>
      <c r="D49" s="1701"/>
      <c r="E49" s="1701"/>
      <c r="F49" s="1701"/>
      <c r="G49" s="1701"/>
      <c r="H49" s="1701"/>
      <c r="I49" s="1701"/>
      <c r="J49" s="1701"/>
      <c r="K49" s="1701"/>
      <c r="L49" s="1701"/>
      <c r="M49" s="1701"/>
      <c r="N49" s="1701"/>
      <c r="O49" s="1701"/>
      <c r="P49" s="1701"/>
      <c r="Q49" s="1701"/>
      <c r="R49" s="1701"/>
      <c r="S49" s="1701"/>
      <c r="T49" s="1701"/>
      <c r="U49" s="1701"/>
      <c r="V49" s="1701"/>
      <c r="W49" s="1701"/>
      <c r="X49" s="1701"/>
      <c r="Y49" s="1701"/>
      <c r="Z49" s="1701"/>
      <c r="AA49" s="1701"/>
      <c r="AB49" s="1701"/>
      <c r="AC49" s="1701"/>
      <c r="AD49" s="1701"/>
      <c r="AE49" s="1701"/>
      <c r="AF49" s="1701"/>
      <c r="AG49" s="1701"/>
      <c r="AH49" s="1701"/>
      <c r="AI49" s="1701"/>
      <c r="AJ49" s="1704"/>
      <c r="AK49" s="1701"/>
      <c r="AL49" s="1701"/>
      <c r="AM49" s="1701"/>
      <c r="AN49" s="1704"/>
      <c r="AO49" s="1701"/>
      <c r="AP49" s="1701"/>
      <c r="AQ49" s="1705"/>
      <c r="AR49" s="1704"/>
      <c r="AS49" s="1701"/>
      <c r="AT49" s="1701"/>
      <c r="AU49" s="1703">
        <v>0</v>
      </c>
      <c r="AV49" s="1709">
        <f>AV48+AV46</f>
        <v>-5.9093405798739695</v>
      </c>
      <c r="AW49" s="1702">
        <f>AW48+AW46</f>
        <v>-5.6417450130393263</v>
      </c>
      <c r="AX49" s="1702">
        <f>AX48+AX46</f>
        <v>-21.26007242893138</v>
      </c>
      <c r="AY49" s="1703">
        <f t="shared" ref="AY49:BI49" si="102">AY48+AY46</f>
        <v>-28.713025728322464</v>
      </c>
      <c r="AZ49" s="1702"/>
      <c r="BA49" s="1709">
        <f t="shared" si="102"/>
        <v>-22.908403540842755</v>
      </c>
      <c r="BB49" s="1702">
        <f t="shared" si="102"/>
        <v>-3.3377831072984918</v>
      </c>
      <c r="BC49" s="2602">
        <f>BC48+BC46</f>
        <v>-3.2428140462488955</v>
      </c>
      <c r="BD49" s="1703">
        <f t="shared" si="102"/>
        <v>3.2591728468751171</v>
      </c>
      <c r="BE49" s="1702"/>
      <c r="BF49" s="1702">
        <f t="shared" si="102"/>
        <v>24.76111686816057</v>
      </c>
      <c r="BG49" s="1702">
        <f t="shared" si="102"/>
        <v>57.330315297154357</v>
      </c>
      <c r="BH49" s="1702">
        <f t="shared" si="102"/>
        <v>66.968857906963422</v>
      </c>
      <c r="BI49" s="1703">
        <f t="shared" si="102"/>
        <v>82.352223143845094</v>
      </c>
      <c r="BJ49" s="1702"/>
      <c r="BK49" s="1702">
        <f>BK48+BK46</f>
        <v>105.09891173520964</v>
      </c>
      <c r="BL49" s="1702">
        <f>BL48+BL46</f>
        <v>138.85139732218113</v>
      </c>
      <c r="BM49" s="1702">
        <f>BM48+BM46</f>
        <v>145.00220749823029</v>
      </c>
      <c r="BN49" s="1703">
        <f>BN48+BN46</f>
        <v>157.07259023666347</v>
      </c>
      <c r="BO49" s="1702"/>
      <c r="BP49" s="1702">
        <f>BP48+BP46</f>
        <v>163.44647371116071</v>
      </c>
      <c r="BQ49" s="1702">
        <f>BQ48+BQ46</f>
        <v>193.15681936978444</v>
      </c>
      <c r="BR49" s="1702">
        <f>BR48+BR46</f>
        <v>196.60337369783747</v>
      </c>
      <c r="BS49" s="1703">
        <f>BS48+BS46</f>
        <v>206.3989854655747</v>
      </c>
      <c r="BT49" s="1702"/>
      <c r="BU49" s="1702">
        <f>BU48+BU46</f>
        <v>213.43510882627743</v>
      </c>
      <c r="BV49" s="1702">
        <f>BV48+BV46</f>
        <v>241.90328250308494</v>
      </c>
      <c r="BW49" s="1702">
        <f>BW48+BW46</f>
        <v>245.16704749210112</v>
      </c>
      <c r="BX49" s="1703">
        <f>BX48+BX46</f>
        <v>254.64016284110494</v>
      </c>
      <c r="BY49" s="1701"/>
      <c r="BZ49" s="1701"/>
      <c r="CA49" s="1701"/>
      <c r="CB49" s="1701"/>
      <c r="CC49" s="1701"/>
      <c r="CD49" s="1701"/>
      <c r="CE49" s="1701"/>
      <c r="CF49" s="1732"/>
      <c r="CG49" s="1732"/>
      <c r="CH49" s="1732"/>
      <c r="CI49" s="1732"/>
      <c r="CJ49" s="1732"/>
      <c r="CK49" s="1732"/>
      <c r="CL49" s="1732"/>
      <c r="CM49" s="1732"/>
      <c r="CN49" s="1701"/>
      <c r="CO49" s="1701"/>
      <c r="CP49" s="1701"/>
      <c r="CQ49" s="1701"/>
      <c r="CR49" s="1701"/>
      <c r="CS49" s="1701"/>
      <c r="CT49" s="1701"/>
      <c r="CU49" s="1701"/>
      <c r="CV49" s="1701"/>
      <c r="CW49" s="1701"/>
      <c r="CX49" s="1701"/>
      <c r="CY49" s="1732"/>
      <c r="CZ49" s="1732"/>
      <c r="DA49" s="1730">
        <f>SUM(AP49:AS49)</f>
        <v>0</v>
      </c>
      <c r="DB49" s="1730">
        <f>SUM(AT49:AW49)</f>
        <v>-11.551085592913296</v>
      </c>
      <c r="DC49" s="1730">
        <f>SUM(AX49:BB49)</f>
        <v>-76.219284805395091</v>
      </c>
      <c r="DD49" s="1730">
        <f>SUM(BC49:BG49)</f>
        <v>82.107790965941149</v>
      </c>
      <c r="DE49" s="1730">
        <f>SUM(BH49:BL49)</f>
        <v>393.27139010819928</v>
      </c>
      <c r="DF49" s="1546"/>
    </row>
    <row r="50" spans="1:110">
      <c r="A50" s="1242"/>
      <c r="AJ50" s="1698"/>
      <c r="AK50" s="1415"/>
      <c r="AL50" s="1415"/>
      <c r="AM50" s="1415"/>
      <c r="AN50" s="1415"/>
      <c r="AO50" s="1415"/>
      <c r="AP50" s="1415"/>
      <c r="AQ50" s="1415"/>
      <c r="AR50" s="1415"/>
      <c r="AS50" s="1415"/>
      <c r="AT50" s="1415"/>
      <c r="AU50" s="1696"/>
      <c r="AV50" s="1696"/>
      <c r="AW50" s="1696"/>
      <c r="AX50" s="1696"/>
      <c r="AY50" s="1696"/>
      <c r="AZ50" s="1696"/>
      <c r="BA50" s="1696"/>
      <c r="BB50" s="1696"/>
      <c r="BC50" s="2601"/>
      <c r="BD50" s="1696"/>
      <c r="BE50" s="1696"/>
      <c r="BF50" s="1696"/>
      <c r="BG50" s="1696"/>
      <c r="BH50" s="1696"/>
      <c r="BI50" s="1696"/>
      <c r="BJ50" s="1696"/>
      <c r="BK50" s="1696"/>
      <c r="BL50" s="1696"/>
      <c r="BM50" s="1696"/>
      <c r="BN50" s="1696"/>
      <c r="BO50" s="1696"/>
      <c r="BP50" s="1696"/>
      <c r="BQ50" s="1696"/>
      <c r="BR50" s="1696"/>
      <c r="BS50" s="1696"/>
      <c r="BT50" s="1696"/>
      <c r="BU50" s="1696"/>
      <c r="BV50" s="1696"/>
      <c r="BW50" s="1696"/>
      <c r="BX50" s="1696"/>
      <c r="BY50" s="1415"/>
      <c r="BZ50" s="1415"/>
      <c r="CA50" s="1415"/>
      <c r="CB50" s="1415"/>
      <c r="CC50" s="1415"/>
      <c r="CD50" s="1415"/>
      <c r="CE50" s="1415"/>
      <c r="CF50" s="1415"/>
      <c r="CG50" s="1415"/>
      <c r="DA50" s="893"/>
      <c r="DB50" s="893"/>
      <c r="DC50" s="893"/>
      <c r="DD50" s="893"/>
      <c r="DE50" s="893"/>
      <c r="DF50" s="893"/>
    </row>
    <row r="51" spans="1:110">
      <c r="A51" s="2538"/>
      <c r="B51" s="115"/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2539"/>
      <c r="AG51" s="2539"/>
      <c r="AH51" s="2539"/>
      <c r="AI51" s="2539"/>
      <c r="AJ51" s="2539"/>
      <c r="AK51" s="2539"/>
      <c r="AL51" s="2539"/>
      <c r="AM51" s="2539"/>
      <c r="AN51" s="2539"/>
      <c r="AO51" s="2539"/>
      <c r="AP51" s="2539"/>
      <c r="AQ51" s="2539"/>
      <c r="AR51" s="2539"/>
      <c r="AS51" s="2539"/>
      <c r="AT51" s="2539"/>
      <c r="AU51" s="2539"/>
      <c r="AV51" s="2539"/>
      <c r="AW51" s="2539"/>
      <c r="AX51" s="2539"/>
      <c r="AY51" s="2539"/>
      <c r="AZ51" s="2539"/>
      <c r="BA51" s="2539"/>
      <c r="BB51" s="2539"/>
      <c r="BC51" s="2539"/>
      <c r="BD51" s="2539"/>
      <c r="BE51" s="2539"/>
      <c r="BF51" s="2539"/>
      <c r="BG51" s="2539"/>
      <c r="BH51" s="2539"/>
      <c r="BI51" s="2539"/>
      <c r="BJ51" s="2539"/>
      <c r="BK51" s="2539"/>
      <c r="BL51" s="2539"/>
      <c r="BM51" s="2539"/>
      <c r="BN51" s="2539"/>
      <c r="BO51" s="2539"/>
      <c r="BP51" s="2539"/>
      <c r="BQ51" s="2539"/>
      <c r="BR51" s="2539"/>
      <c r="BS51" s="2539"/>
      <c r="BT51" s="2539"/>
      <c r="BU51" s="2539"/>
      <c r="BV51" s="2539"/>
      <c r="BW51" s="2539"/>
      <c r="BX51" s="2539"/>
      <c r="BY51" s="163"/>
      <c r="BZ51" s="823"/>
      <c r="CA51" s="825"/>
      <c r="CB51" s="159"/>
      <c r="CC51" s="159"/>
      <c r="CD51" s="159"/>
      <c r="CE51" s="159"/>
      <c r="CF51" s="159"/>
      <c r="CG51" s="159"/>
      <c r="CH51" s="159"/>
      <c r="CI51" s="159"/>
      <c r="CJ51" s="159"/>
      <c r="CK51" s="159"/>
      <c r="CL51" s="159"/>
      <c r="CM51" s="159"/>
      <c r="CN51" s="159"/>
      <c r="CO51" s="159"/>
      <c r="CP51" s="159"/>
      <c r="CQ51" s="823"/>
      <c r="CR51" s="825"/>
      <c r="CS51" s="825"/>
      <c r="CT51" s="159"/>
      <c r="CU51" s="159"/>
      <c r="CV51" s="159"/>
      <c r="CW51" s="159"/>
      <c r="CX51" s="159"/>
      <c r="CY51" s="159"/>
      <c r="CZ51" s="159"/>
      <c r="DA51" s="159"/>
      <c r="DB51" s="159"/>
      <c r="DC51" s="159"/>
      <c r="DD51" s="159"/>
      <c r="DE51" s="159"/>
      <c r="DF51" s="159"/>
    </row>
    <row r="52" spans="1:110" s="1715" customFormat="1" hidden="1" outlineLevel="1">
      <c r="A52" s="2238" t="s">
        <v>789</v>
      </c>
      <c r="B52" s="2239"/>
      <c r="C52" s="2240"/>
      <c r="D52" s="2240"/>
      <c r="E52" s="2240"/>
      <c r="F52" s="2240"/>
      <c r="G52" s="2240"/>
      <c r="H52" s="2240"/>
      <c r="I52" s="2240"/>
      <c r="J52" s="2240"/>
      <c r="K52" s="2240"/>
      <c r="L52" s="2241"/>
      <c r="M52" s="2240"/>
      <c r="N52" s="2240"/>
      <c r="O52" s="2240"/>
      <c r="P52" s="2241"/>
      <c r="Q52" s="2240"/>
      <c r="R52" s="2240"/>
      <c r="S52" s="2240"/>
      <c r="T52" s="2241"/>
      <c r="U52" s="2240"/>
      <c r="V52" s="2240"/>
      <c r="W52" s="2240"/>
      <c r="X52" s="2241"/>
      <c r="Y52" s="2240"/>
      <c r="Z52" s="2240"/>
      <c r="AA52" s="2240"/>
      <c r="AB52" s="2241"/>
      <c r="AC52" s="2240"/>
      <c r="AD52" s="2240">
        <v>1</v>
      </c>
      <c r="AE52" s="2240">
        <v>1</v>
      </c>
      <c r="AF52" s="2241">
        <v>1</v>
      </c>
      <c r="AG52" s="2240">
        <v>1</v>
      </c>
      <c r="AH52" s="2240">
        <v>1</v>
      </c>
      <c r="AI52" s="2240">
        <v>1</v>
      </c>
      <c r="AJ52" s="2241">
        <v>1</v>
      </c>
      <c r="AK52" s="2240">
        <v>0</v>
      </c>
      <c r="AL52" s="2240">
        <v>0.5</v>
      </c>
      <c r="AM52" s="2240">
        <v>0.5</v>
      </c>
      <c r="AN52" s="2241">
        <v>0.5</v>
      </c>
      <c r="AO52" s="2240">
        <v>0.5</v>
      </c>
      <c r="AP52" s="2240">
        <v>0.5</v>
      </c>
      <c r="AQ52" s="2242">
        <v>0.5</v>
      </c>
      <c r="AR52" s="2241">
        <v>0.5</v>
      </c>
      <c r="AS52" s="2240">
        <v>0.5</v>
      </c>
      <c r="AT52" s="2240">
        <v>0.5</v>
      </c>
      <c r="AU52" s="2243">
        <v>0.5</v>
      </c>
      <c r="AV52" s="2241">
        <v>0.5</v>
      </c>
      <c r="AW52" s="2240">
        <v>0.5</v>
      </c>
      <c r="AX52" s="2240">
        <v>0.5</v>
      </c>
      <c r="AY52" s="2243">
        <v>0.5</v>
      </c>
      <c r="AZ52" s="2270"/>
      <c r="BA52" s="2241">
        <v>0.5</v>
      </c>
      <c r="BB52" s="2240">
        <v>0.5</v>
      </c>
      <c r="BC52" s="181">
        <v>0.5</v>
      </c>
      <c r="BD52" s="2243">
        <v>0.5</v>
      </c>
      <c r="BE52" s="2270"/>
      <c r="BF52" s="2241">
        <v>0.5</v>
      </c>
      <c r="BG52" s="2240">
        <v>0.5</v>
      </c>
      <c r="BH52" s="2240">
        <v>0.5</v>
      </c>
      <c r="BI52" s="2243">
        <v>0.5</v>
      </c>
      <c r="BJ52" s="2270"/>
      <c r="BK52" s="2241">
        <v>0.5</v>
      </c>
      <c r="BL52" s="2240">
        <v>0.5</v>
      </c>
      <c r="BM52" s="2240">
        <v>0.5</v>
      </c>
      <c r="BN52" s="2243">
        <v>0.5</v>
      </c>
      <c r="BO52" s="2270"/>
      <c r="BP52" s="2241">
        <v>0.5</v>
      </c>
      <c r="BQ52" s="2240">
        <v>0.5</v>
      </c>
      <c r="BR52" s="2240">
        <v>0.5</v>
      </c>
      <c r="BS52" s="2243">
        <v>0.5</v>
      </c>
      <c r="BT52" s="2270"/>
      <c r="BU52" s="2241">
        <v>0.5</v>
      </c>
      <c r="BV52" s="2240">
        <v>0.5</v>
      </c>
      <c r="BW52" s="2240">
        <v>0.5</v>
      </c>
      <c r="BX52" s="2243">
        <v>0.5</v>
      </c>
      <c r="BY52" s="2244"/>
      <c r="BZ52" s="2245"/>
      <c r="CA52" s="2246"/>
      <c r="CB52" s="2247"/>
      <c r="CC52" s="2247"/>
      <c r="CD52" s="2242"/>
      <c r="CE52" s="2242"/>
      <c r="CF52" s="2242"/>
      <c r="CG52" s="2242"/>
      <c r="CH52" s="2242"/>
      <c r="CI52" s="2242"/>
      <c r="CJ52" s="2242"/>
      <c r="CK52" s="2242"/>
      <c r="CL52" s="2242"/>
      <c r="CM52" s="2242"/>
      <c r="CN52" s="2240"/>
      <c r="CO52" s="2240"/>
      <c r="CP52" s="2248"/>
      <c r="CQ52" s="2245"/>
      <c r="CR52" s="2246"/>
      <c r="CS52" s="2246"/>
      <c r="CT52" s="2247"/>
      <c r="CU52" s="2247"/>
      <c r="CV52" s="2247"/>
      <c r="CW52" s="2247"/>
      <c r="CX52" s="2247"/>
      <c r="CY52" s="2247">
        <f>((AH52*AH19)+(AI52*AI19)+(AJ52*AJ19)+(AK52*AK19))/SUM(AH19:AK19)</f>
        <v>0.20201777564256543</v>
      </c>
      <c r="CZ52" s="2247">
        <f>((AL52*AL19)+(AM52*AM19)+(AN52*AN19)+(AO52*AO19))/SUM(AL19:AO19)</f>
        <v>0.5</v>
      </c>
      <c r="DA52" s="2247">
        <f>((AP52*AP19)+(AQ52*AQ19)+(AR52*AR19)+(AS52*AS19))/SUM(AP19:AS19)</f>
        <v>0.5</v>
      </c>
      <c r="DB52" s="2247">
        <f>((AT52*AT19)+(AU52*AU19)+(AV52*AV19)+(AW52*AW19))/SUM(AT19:AW19)</f>
        <v>0.5</v>
      </c>
      <c r="DC52" s="2247">
        <f>((AT52*AT19)+(AU52*AU19)+(AV52*AV19)+(AW52*AW19))/SUM(AT19:AW19)</f>
        <v>0.5</v>
      </c>
      <c r="DD52" s="2247">
        <f>((AX52*AX19)+(AY52*AY19)+(BA52*BA19)+(BB52*BB19))/SUM(AX19:BB19)</f>
        <v>0.5</v>
      </c>
      <c r="DE52" s="2247">
        <f>((AY52*AY19)+(BA52*BA19)+(BB52*BB19)+(BC52*BC19))/SUM(AY19:BC19)</f>
        <v>0.5</v>
      </c>
      <c r="DF52" s="2240"/>
    </row>
    <row r="53" spans="1:110" s="1715" customFormat="1" hidden="1" outlineLevel="1">
      <c r="A53" s="2238" t="s">
        <v>790</v>
      </c>
      <c r="B53" s="2239"/>
      <c r="C53" s="2240"/>
      <c r="D53" s="2240"/>
      <c r="E53" s="2240"/>
      <c r="F53" s="2240"/>
      <c r="G53" s="2240"/>
      <c r="H53" s="2240"/>
      <c r="I53" s="2240"/>
      <c r="J53" s="2240"/>
      <c r="K53" s="2240"/>
      <c r="L53" s="2241"/>
      <c r="M53" s="2240"/>
      <c r="N53" s="2240"/>
      <c r="O53" s="2240"/>
      <c r="P53" s="2241"/>
      <c r="Q53" s="2240"/>
      <c r="R53" s="2240"/>
      <c r="S53" s="2240"/>
      <c r="T53" s="2241"/>
      <c r="U53" s="2240"/>
      <c r="V53" s="2240"/>
      <c r="W53" s="2240"/>
      <c r="X53" s="2241"/>
      <c r="Y53" s="2240"/>
      <c r="Z53" s="2240"/>
      <c r="AA53" s="2240"/>
      <c r="AB53" s="2241"/>
      <c r="AC53" s="2240"/>
      <c r="AD53" s="2240">
        <f t="shared" ref="AD53:AU53" si="103">1-AD52</f>
        <v>0</v>
      </c>
      <c r="AE53" s="2240">
        <f t="shared" si="103"/>
        <v>0</v>
      </c>
      <c r="AF53" s="2241">
        <f t="shared" si="103"/>
        <v>0</v>
      </c>
      <c r="AG53" s="2240">
        <f t="shared" si="103"/>
        <v>0</v>
      </c>
      <c r="AH53" s="2240">
        <f t="shared" si="103"/>
        <v>0</v>
      </c>
      <c r="AI53" s="2240">
        <f t="shared" si="103"/>
        <v>0</v>
      </c>
      <c r="AJ53" s="2241">
        <f t="shared" si="103"/>
        <v>0</v>
      </c>
      <c r="AK53" s="2240">
        <f t="shared" si="103"/>
        <v>1</v>
      </c>
      <c r="AL53" s="2240">
        <f t="shared" si="103"/>
        <v>0.5</v>
      </c>
      <c r="AM53" s="2240">
        <f t="shared" si="103"/>
        <v>0.5</v>
      </c>
      <c r="AN53" s="2241">
        <f t="shared" si="103"/>
        <v>0.5</v>
      </c>
      <c r="AO53" s="2240">
        <f t="shared" si="103"/>
        <v>0.5</v>
      </c>
      <c r="AP53" s="2240">
        <f t="shared" si="103"/>
        <v>0.5</v>
      </c>
      <c r="AQ53" s="2242">
        <f t="shared" si="103"/>
        <v>0.5</v>
      </c>
      <c r="AR53" s="2241">
        <f t="shared" si="103"/>
        <v>0.5</v>
      </c>
      <c r="AS53" s="2240">
        <f t="shared" si="103"/>
        <v>0.5</v>
      </c>
      <c r="AT53" s="2240">
        <f t="shared" si="103"/>
        <v>0.5</v>
      </c>
      <c r="AU53" s="2243">
        <f t="shared" si="103"/>
        <v>0.5</v>
      </c>
      <c r="AV53" s="2241">
        <f t="shared" ref="AV53:BI53" si="104">1-AV52</f>
        <v>0.5</v>
      </c>
      <c r="AW53" s="2240">
        <f t="shared" si="104"/>
        <v>0.5</v>
      </c>
      <c r="AX53" s="2240">
        <f t="shared" si="104"/>
        <v>0.5</v>
      </c>
      <c r="AY53" s="2243">
        <f t="shared" si="104"/>
        <v>0.5</v>
      </c>
      <c r="AZ53" s="2270"/>
      <c r="BA53" s="2241">
        <f t="shared" si="104"/>
        <v>0.5</v>
      </c>
      <c r="BB53" s="2240">
        <f t="shared" si="104"/>
        <v>0.5</v>
      </c>
      <c r="BC53" s="181">
        <f t="shared" si="104"/>
        <v>0.5</v>
      </c>
      <c r="BD53" s="2243">
        <f t="shared" si="104"/>
        <v>0.5</v>
      </c>
      <c r="BE53" s="2270"/>
      <c r="BF53" s="2241">
        <f t="shared" si="104"/>
        <v>0.5</v>
      </c>
      <c r="BG53" s="2240">
        <f t="shared" si="104"/>
        <v>0.5</v>
      </c>
      <c r="BH53" s="2240">
        <f t="shared" si="104"/>
        <v>0.5</v>
      </c>
      <c r="BI53" s="2243">
        <f t="shared" si="104"/>
        <v>0.5</v>
      </c>
      <c r="BJ53" s="2270"/>
      <c r="BK53" s="2241">
        <f>1-BK52</f>
        <v>0.5</v>
      </c>
      <c r="BL53" s="2240">
        <f>1-BL52</f>
        <v>0.5</v>
      </c>
      <c r="BM53" s="2240">
        <f>1-BM52</f>
        <v>0.5</v>
      </c>
      <c r="BN53" s="2243">
        <f>1-BN52</f>
        <v>0.5</v>
      </c>
      <c r="BO53" s="2270"/>
      <c r="BP53" s="2241">
        <f>1-BP52</f>
        <v>0.5</v>
      </c>
      <c r="BQ53" s="2240">
        <f>1-BQ52</f>
        <v>0.5</v>
      </c>
      <c r="BR53" s="2240">
        <f>1-BR52</f>
        <v>0.5</v>
      </c>
      <c r="BS53" s="2243">
        <f>1-BS52</f>
        <v>0.5</v>
      </c>
      <c r="BT53" s="2270"/>
      <c r="BU53" s="2241">
        <f>1-BU52</f>
        <v>0.5</v>
      </c>
      <c r="BV53" s="2240">
        <f>1-BV52</f>
        <v>0.5</v>
      </c>
      <c r="BW53" s="2240">
        <f>1-BW52</f>
        <v>0.5</v>
      </c>
      <c r="BX53" s="2243">
        <f>1-BX52</f>
        <v>0.5</v>
      </c>
      <c r="BY53" s="2244"/>
      <c r="BZ53" s="2245"/>
      <c r="CA53" s="2246"/>
      <c r="CB53" s="2247"/>
      <c r="CC53" s="2247"/>
      <c r="CD53" s="2242"/>
      <c r="CE53" s="2242"/>
      <c r="CF53" s="2242"/>
      <c r="CG53" s="2242"/>
      <c r="CH53" s="2242"/>
      <c r="CI53" s="2242"/>
      <c r="CJ53" s="2242"/>
      <c r="CK53" s="2242"/>
      <c r="CL53" s="2242"/>
      <c r="CM53" s="2242"/>
      <c r="CN53" s="2240"/>
      <c r="CO53" s="2240"/>
      <c r="CP53" s="2248"/>
      <c r="CQ53" s="2245"/>
      <c r="CR53" s="2246"/>
      <c r="CS53" s="2246"/>
      <c r="CT53" s="2247"/>
      <c r="CU53" s="2247"/>
      <c r="CV53" s="2247"/>
      <c r="CW53" s="2247"/>
      <c r="CX53" s="2247"/>
      <c r="CY53" s="2247">
        <f t="shared" ref="CY53:DD53" si="105">1-CY52</f>
        <v>0.7979822243574346</v>
      </c>
      <c r="CZ53" s="2247">
        <f t="shared" si="105"/>
        <v>0.5</v>
      </c>
      <c r="DA53" s="2247">
        <f t="shared" si="105"/>
        <v>0.5</v>
      </c>
      <c r="DB53" s="2247">
        <f t="shared" si="105"/>
        <v>0.5</v>
      </c>
      <c r="DC53" s="2247">
        <f t="shared" si="105"/>
        <v>0.5</v>
      </c>
      <c r="DD53" s="2247">
        <f t="shared" si="105"/>
        <v>0.5</v>
      </c>
      <c r="DE53" s="2247">
        <f>1-DE52</f>
        <v>0.5</v>
      </c>
      <c r="DF53" s="2240"/>
    </row>
    <row r="54" spans="1:110" s="1715" customFormat="1" hidden="1" outlineLevel="1">
      <c r="A54" s="2249"/>
      <c r="B54" s="2249"/>
      <c r="C54" s="2249"/>
      <c r="D54" s="2249"/>
      <c r="E54" s="2249"/>
      <c r="F54" s="2249"/>
      <c r="G54" s="2249"/>
      <c r="H54" s="2249"/>
      <c r="I54" s="2249"/>
      <c r="J54" s="2249"/>
      <c r="K54" s="2249"/>
      <c r="L54" s="2249"/>
      <c r="M54" s="2249"/>
      <c r="N54" s="2249"/>
      <c r="O54" s="2249"/>
      <c r="P54" s="2249"/>
      <c r="Q54" s="2249"/>
      <c r="R54" s="2249"/>
      <c r="S54" s="2249"/>
      <c r="T54" s="2249"/>
      <c r="U54" s="2249"/>
      <c r="V54" s="2249"/>
      <c r="W54" s="2249"/>
      <c r="X54" s="2249"/>
      <c r="Y54" s="2249"/>
      <c r="Z54" s="2249"/>
      <c r="AA54" s="2249"/>
      <c r="AB54" s="2249"/>
      <c r="AC54" s="2249"/>
      <c r="AD54" s="2249"/>
      <c r="AE54" s="2249"/>
      <c r="AF54" s="2249"/>
      <c r="AG54" s="2249"/>
      <c r="AH54" s="2249"/>
      <c r="AI54" s="2249"/>
      <c r="AJ54" s="2249"/>
      <c r="AK54" s="2249"/>
      <c r="AL54" s="2249"/>
      <c r="AM54" s="2249"/>
      <c r="AN54" s="2249"/>
      <c r="AO54" s="2249"/>
      <c r="AP54" s="2249"/>
      <c r="AQ54" s="2249"/>
      <c r="AR54" s="2249"/>
      <c r="AS54" s="2249"/>
      <c r="AT54" s="2249"/>
      <c r="AU54" s="2249"/>
      <c r="AV54" s="2249"/>
      <c r="AW54" s="2249"/>
      <c r="AX54" s="2249"/>
      <c r="AY54" s="2249"/>
      <c r="AZ54" s="2249"/>
      <c r="BA54" s="2249"/>
      <c r="BB54" s="2249"/>
      <c r="BC54" s="1343"/>
      <c r="BD54" s="2249"/>
      <c r="BE54" s="2249"/>
      <c r="BF54" s="2249"/>
      <c r="BG54" s="2249"/>
      <c r="BH54" s="2249"/>
      <c r="BI54" s="2249"/>
      <c r="BJ54" s="2249"/>
      <c r="BK54" s="2249"/>
      <c r="BL54" s="2249"/>
      <c r="BM54" s="2249"/>
      <c r="BN54" s="2249"/>
      <c r="BO54" s="2249"/>
      <c r="BP54" s="2249"/>
      <c r="BQ54" s="2249"/>
      <c r="BR54" s="2249"/>
      <c r="BS54" s="2249"/>
      <c r="BT54" s="2249"/>
      <c r="BU54" s="2249"/>
      <c r="BV54" s="2249"/>
      <c r="BW54" s="2249"/>
      <c r="BX54" s="2249"/>
      <c r="BY54" s="2249"/>
      <c r="BZ54" s="2249"/>
      <c r="CA54" s="2249"/>
      <c r="CB54" s="2249"/>
      <c r="CC54" s="2249"/>
      <c r="CD54" s="2249"/>
      <c r="CE54" s="2249"/>
      <c r="CF54" s="2249"/>
      <c r="CG54" s="2249"/>
      <c r="CH54" s="2249"/>
      <c r="CI54" s="2249"/>
      <c r="CJ54" s="2249"/>
      <c r="CK54" s="2249"/>
      <c r="CL54" s="2249"/>
      <c r="CM54" s="2249"/>
      <c r="CN54" s="2249"/>
      <c r="CO54" s="2249"/>
      <c r="CP54" s="2249"/>
      <c r="CQ54" s="2249"/>
      <c r="CR54" s="2249"/>
      <c r="CS54" s="2249"/>
      <c r="CT54" s="2249"/>
      <c r="CU54" s="2249"/>
      <c r="CV54" s="2249"/>
      <c r="CW54" s="2249"/>
      <c r="CX54" s="2249"/>
      <c r="CY54" s="2249"/>
      <c r="CZ54" s="2249"/>
      <c r="DA54" s="2249"/>
      <c r="DB54" s="2249"/>
      <c r="DC54" s="2249"/>
      <c r="DD54" s="2249"/>
      <c r="DE54" s="2249"/>
      <c r="DF54" s="2249"/>
    </row>
    <row r="55" spans="1:110" s="1715" customFormat="1" hidden="1" outlineLevel="2">
      <c r="A55" s="2238"/>
      <c r="B55" s="2239"/>
      <c r="C55" s="2239"/>
      <c r="D55" s="2239"/>
      <c r="E55" s="2239"/>
      <c r="F55" s="2250"/>
      <c r="G55" s="2250"/>
      <c r="H55" s="2250"/>
      <c r="I55" s="2250"/>
      <c r="J55" s="2250"/>
      <c r="K55" s="2250"/>
      <c r="L55" s="2251"/>
      <c r="M55" s="2240"/>
      <c r="N55" s="2252"/>
      <c r="O55" s="2253"/>
      <c r="P55" s="2241"/>
      <c r="Q55" s="2240"/>
      <c r="R55" s="2240"/>
      <c r="S55" s="2242"/>
      <c r="T55" s="2241"/>
      <c r="U55" s="2240"/>
      <c r="V55" s="2240"/>
      <c r="W55" s="2240"/>
      <c r="X55" s="2241"/>
      <c r="Y55" s="2240"/>
      <c r="Z55" s="2240"/>
      <c r="AA55" s="2240"/>
      <c r="AB55" s="2241"/>
      <c r="AC55" s="2240"/>
      <c r="AD55" s="2240"/>
      <c r="AE55" s="2240"/>
      <c r="AF55" s="2241"/>
      <c r="AG55" s="2240"/>
      <c r="AH55" s="2240"/>
      <c r="AI55" s="2240"/>
      <c r="AJ55" s="2241"/>
      <c r="AK55" s="2240"/>
      <c r="AL55" s="2240"/>
      <c r="AM55" s="2240"/>
      <c r="AN55" s="2241"/>
      <c r="AO55" s="2240"/>
      <c r="AP55" s="2240"/>
      <c r="AQ55" s="2242"/>
      <c r="AR55" s="2241"/>
      <c r="AS55" s="2240"/>
      <c r="AT55" s="2240"/>
      <c r="AU55" s="2242"/>
      <c r="AV55" s="2241"/>
      <c r="AW55" s="2240"/>
      <c r="AX55" s="2240"/>
      <c r="AY55" s="2242"/>
      <c r="AZ55" s="2240"/>
      <c r="BA55" s="2241"/>
      <c r="BB55" s="2240"/>
      <c r="BC55" s="181"/>
      <c r="BD55" s="2242"/>
      <c r="BE55" s="2240"/>
      <c r="BF55" s="2241"/>
      <c r="BG55" s="2240"/>
      <c r="BH55" s="2240"/>
      <c r="BI55" s="2242"/>
      <c r="BJ55" s="2240"/>
      <c r="BK55" s="2241"/>
      <c r="BL55" s="2240"/>
      <c r="BM55" s="2240"/>
      <c r="BN55" s="2242"/>
      <c r="BO55" s="2240"/>
      <c r="BP55" s="2241"/>
      <c r="BQ55" s="2240"/>
      <c r="BR55" s="2240"/>
      <c r="BS55" s="2242"/>
      <c r="BT55" s="2240"/>
      <c r="BU55" s="2241"/>
      <c r="BV55" s="2240"/>
      <c r="BW55" s="2240"/>
      <c r="BX55" s="2242"/>
      <c r="BY55" s="2244"/>
      <c r="BZ55" s="2245"/>
      <c r="CA55" s="2246"/>
      <c r="CB55" s="2247"/>
      <c r="CC55" s="2247"/>
      <c r="CD55" s="2242"/>
      <c r="CE55" s="2242"/>
      <c r="CF55" s="2242"/>
      <c r="CG55" s="2242"/>
      <c r="CH55" s="2242"/>
      <c r="CI55" s="2242"/>
      <c r="CJ55" s="2242"/>
      <c r="CK55" s="2242"/>
      <c r="CL55" s="2242"/>
      <c r="CM55" s="2242"/>
      <c r="CN55" s="2240"/>
      <c r="CO55" s="2240"/>
      <c r="CP55" s="2248"/>
      <c r="CQ55" s="2245"/>
      <c r="CR55" s="2246"/>
      <c r="CS55" s="2246"/>
      <c r="CT55" s="2247"/>
      <c r="CU55" s="2247"/>
      <c r="CV55" s="2247"/>
      <c r="CW55" s="2247"/>
      <c r="CX55" s="2247"/>
      <c r="CY55" s="2247"/>
      <c r="CZ55" s="2247"/>
      <c r="DA55" s="2254"/>
      <c r="DB55" s="2247"/>
      <c r="DC55" s="2247"/>
      <c r="DD55" s="2247"/>
      <c r="DE55" s="2247"/>
      <c r="DF55" s="2240"/>
    </row>
    <row r="56" spans="1:110" s="1715" customFormat="1" hidden="1" outlineLevel="2">
      <c r="A56" s="2255" t="s">
        <v>306</v>
      </c>
      <c r="B56" s="2250"/>
      <c r="C56" s="2250"/>
      <c r="D56" s="2256">
        <f>D6/SUM(D6:G6)</f>
        <v>0.23266692632135397</v>
      </c>
      <c r="E56" s="2250">
        <f>E6/SUM(D6:G6)</f>
        <v>0.27315244025889618</v>
      </c>
      <c r="F56" s="2250">
        <f>F6/SUM(D6:G6)</f>
        <v>0.24510152786083314</v>
      </c>
      <c r="G56" s="2257">
        <f>G6/SUM(D6:G6)</f>
        <v>0.24907910555891657</v>
      </c>
      <c r="H56" s="2256">
        <f>H6/SUM(H6:K6)</f>
        <v>0.24055529359032612</v>
      </c>
      <c r="I56" s="2250">
        <f>I6/SUM(H6:K6)</f>
        <v>0.27606103864856918</v>
      </c>
      <c r="J56" s="2250">
        <f>J6/SUM(H6:K6)</f>
        <v>0.2439479051232212</v>
      </c>
      <c r="K56" s="2257">
        <f>K6/SUM(H6:K6)</f>
        <v>0.23943576263788344</v>
      </c>
      <c r="L56" s="2256">
        <f>L6/SUM(L6:O6)</f>
        <v>0.23744521579411945</v>
      </c>
      <c r="M56" s="2250">
        <f>M6/SUM(L6:O6)</f>
        <v>0.266120635997666</v>
      </c>
      <c r="N56" s="2250">
        <f>N6/SUM(L6:O6)</f>
        <v>0.25045124751615899</v>
      </c>
      <c r="O56" s="2257">
        <f>O6/SUM(L6:O6)</f>
        <v>0.24598290069205542</v>
      </c>
      <c r="P56" s="2256">
        <f>P6/SUM(P6:S6)</f>
        <v>0.2401654922012238</v>
      </c>
      <c r="Q56" s="2250">
        <f>Q6/SUM(P6:S6)</f>
        <v>0.26857133155872509</v>
      </c>
      <c r="R56" s="2250">
        <f>R6/SUM(P6:S6)</f>
        <v>0.24740715813327754</v>
      </c>
      <c r="S56" s="2257">
        <f>S6/SUM(P6:S6)</f>
        <v>0.24385601810677343</v>
      </c>
      <c r="T56" s="2256">
        <f>T6/SUM(T6:W6)</f>
        <v>0.2679816397878324</v>
      </c>
      <c r="U56" s="2250">
        <f>U6/SUM(T6:W6)</f>
        <v>0.26311585103329327</v>
      </c>
      <c r="V56" s="2250">
        <f>V6/SUM(T6:W6)</f>
        <v>0.23055001440343345</v>
      </c>
      <c r="W56" s="2257">
        <f>W6/SUM(T6:W6)</f>
        <v>0.2383524947754409</v>
      </c>
      <c r="X56" s="2256">
        <f>X6/SUM(X6:AA6)</f>
        <v>0.24022309549064091</v>
      </c>
      <c r="Y56" s="2250">
        <f>Y6/SUM(X6:AA6)</f>
        <v>0.26703316620799639</v>
      </c>
      <c r="Z56" s="2250">
        <f>Z6/SUM(X6:AA6)</f>
        <v>0.2478711372943595</v>
      </c>
      <c r="AA56" s="2257">
        <f>AA6/SUM(X6:AA6)</f>
        <v>0.24487260100700306</v>
      </c>
      <c r="AB56" s="2256">
        <f>AB6/SUM(AB6:AE6)</f>
        <v>0.25415626244710166</v>
      </c>
      <c r="AC56" s="2250">
        <f>AC6/SUM(AB6:AE6)</f>
        <v>0.26690157677274584</v>
      </c>
      <c r="AD56" s="2250">
        <f>AD6/SUM(AB6:AE6)</f>
        <v>0.23686678937994043</v>
      </c>
      <c r="AE56" s="2257">
        <f>AE6/SUM(AB6:AE6)</f>
        <v>0.2420753714002121</v>
      </c>
      <c r="AF56" s="2256">
        <f>AF6/SUM(AF6:AI6)</f>
        <v>0.26263305741517595</v>
      </c>
      <c r="AG56" s="2250">
        <f>AG6/SUM(AF6:AI6)</f>
        <v>0.26182561377727015</v>
      </c>
      <c r="AH56" s="2250">
        <f>AH6/SUM(AF6:AI6)</f>
        <v>0.24209733208035661</v>
      </c>
      <c r="AI56" s="2257">
        <f>AI6/SUM(AF6:AI6)</f>
        <v>0.23344399672719737</v>
      </c>
      <c r="AJ56" s="2256">
        <f>AJ6/SUM(AJ6:AM6)</f>
        <v>0.26949538346397989</v>
      </c>
      <c r="AK56" s="2250">
        <f>AK6/SUM(AJ6:AM6)</f>
        <v>0.2654477162177592</v>
      </c>
      <c r="AL56" s="2250">
        <f>AL6/SUM(AJ6:AM6)</f>
        <v>0.23424761397961982</v>
      </c>
      <c r="AM56" s="2250">
        <f>AM6/SUM(AJ6:AM6)</f>
        <v>0.23080928633864098</v>
      </c>
      <c r="AN56" s="2256">
        <f>AN6/SUM(AN6:AQ6)</f>
        <v>0.25688756082589109</v>
      </c>
      <c r="AO56" s="2250">
        <f>AO6/SUM(AN6:AQ6)</f>
        <v>0.26611978246823947</v>
      </c>
      <c r="AP56" s="2250">
        <f>AP6/SUM(AN6:AQ6)</f>
        <v>0.23594486594078931</v>
      </c>
      <c r="AQ56" s="2257">
        <f>AQ6/SUM(AN6:AQ6)</f>
        <v>0.24104779076508009</v>
      </c>
      <c r="AR56" s="2256">
        <f>AR6/SUM(AR6:AU6)</f>
        <v>0.27085364001250956</v>
      </c>
      <c r="AS56" s="2250">
        <f>AS6/SUM(AR6:AU6)</f>
        <v>0.27380893692553626</v>
      </c>
      <c r="AT56" s="2250">
        <f>AT6/SUM(AR6:AU6)</f>
        <v>0.23306109734274244</v>
      </c>
      <c r="AU56" s="2257">
        <f>AU6/SUM(AR6:AU6)</f>
        <v>0.22227632571921174</v>
      </c>
      <c r="AV56" s="2256">
        <f>AV6/SUM(AV6:AY6)</f>
        <v>0.26737688368696971</v>
      </c>
      <c r="AW56" s="2250">
        <f>AW6/SUM(AV6:AY6)</f>
        <v>0.26950345144809795</v>
      </c>
      <c r="AX56" s="2250">
        <f>AX6/SUM(AV6:AY6)</f>
        <v>0.2264271830811817</v>
      </c>
      <c r="AY56" s="2257">
        <f>AY6/SUM(AV6:AY6)</f>
        <v>0.2366924817837506</v>
      </c>
      <c r="AZ56" s="2250"/>
      <c r="BA56" s="2256">
        <f>BA6/SUM(BA6:BD6)</f>
        <v>0.26629657486437031</v>
      </c>
      <c r="BB56" s="2250">
        <f>BB6/SUM(BA6:BD6)</f>
        <v>0.26813524290229823</v>
      </c>
      <c r="BC56" s="2603">
        <f>BC6/SUM(BA6:BD6)</f>
        <v>0.22762430540725198</v>
      </c>
      <c r="BD56" s="2257">
        <f>BD6/SUM(BA6:BD6)</f>
        <v>0.23794387682607956</v>
      </c>
      <c r="BE56" s="2250"/>
      <c r="BF56" s="2256">
        <f>BF6/SUM(BF6:BI6)</f>
        <v>0.26335408058595366</v>
      </c>
      <c r="BG56" s="2250">
        <f>BG6/SUM(BF6:BI6)</f>
        <v>0.26921059077591081</v>
      </c>
      <c r="BH56" s="2250">
        <f>BH6/SUM(BF6:BI6)</f>
        <v>0.22853718545298107</v>
      </c>
      <c r="BI56" s="2257">
        <f>BI6/SUM(BF6:BI6)</f>
        <v>0.23889814318515457</v>
      </c>
      <c r="BJ56" s="2250"/>
      <c r="BK56" s="2256">
        <f>BK6/SUM(BK6:BN6)</f>
        <v>0.26335408058595361</v>
      </c>
      <c r="BL56" s="2250">
        <f>BL6/SUM(BK6:BN6)</f>
        <v>0.26921059077591075</v>
      </c>
      <c r="BM56" s="2250">
        <f>BM6/SUM(BK6:BN6)</f>
        <v>0.22853718545298102</v>
      </c>
      <c r="BN56" s="2257">
        <f>BN6/SUM(BK6:BN6)</f>
        <v>0.23889814318515451</v>
      </c>
      <c r="BO56" s="2250"/>
      <c r="BP56" s="2256">
        <f>BP6/SUM(BP6:BS6)</f>
        <v>0.26335408058595366</v>
      </c>
      <c r="BQ56" s="2250">
        <f>BQ6/SUM(BP6:BS6)</f>
        <v>0.26921059077591075</v>
      </c>
      <c r="BR56" s="2250">
        <f>BR6/SUM(BP6:BS6)</f>
        <v>0.22853718545298105</v>
      </c>
      <c r="BS56" s="2257">
        <f>BS6/SUM(BP6:BS6)</f>
        <v>0.23889814318515451</v>
      </c>
      <c r="BT56" s="2250"/>
      <c r="BU56" s="2256">
        <f>BU6/SUM(BU6:BX6)</f>
        <v>0.26335408058595366</v>
      </c>
      <c r="BV56" s="2250">
        <f>BV6/SUM(BU6:BX6)</f>
        <v>0.26921059077591075</v>
      </c>
      <c r="BW56" s="2250">
        <f>BW6/SUM(BU6:BX6)</f>
        <v>0.22853718545298107</v>
      </c>
      <c r="BX56" s="2257">
        <f>BX6/SUM(BU6:BX6)</f>
        <v>0.23889814318515454</v>
      </c>
      <c r="BY56" s="2258"/>
      <c r="BZ56" s="2259"/>
      <c r="CA56" s="2259"/>
      <c r="CB56" s="2259"/>
      <c r="CC56" s="2259"/>
      <c r="CD56" s="2260"/>
      <c r="CE56" s="2260"/>
      <c r="CF56" s="2260"/>
      <c r="CG56" s="2260"/>
      <c r="CH56" s="2260"/>
      <c r="CI56" s="2260"/>
      <c r="CJ56" s="2260"/>
      <c r="CK56" s="2260"/>
      <c r="CL56" s="2260"/>
      <c r="CM56" s="2260"/>
      <c r="CN56" s="2239"/>
      <c r="CO56" s="2239"/>
      <c r="CP56" s="2258"/>
      <c r="CQ56" s="2259"/>
      <c r="CR56" s="2259"/>
      <c r="CS56" s="2259"/>
      <c r="CT56" s="2259"/>
      <c r="CU56" s="2259"/>
      <c r="CV56" s="2259"/>
      <c r="CW56" s="2259"/>
      <c r="CX56" s="2261"/>
      <c r="CY56" s="2259"/>
      <c r="CZ56" s="2259"/>
      <c r="DA56" s="2262"/>
      <c r="DB56" s="2262"/>
      <c r="DC56" s="2263"/>
      <c r="DD56" s="2263"/>
      <c r="DE56" s="2263"/>
      <c r="DF56" s="2330"/>
    </row>
    <row r="57" spans="1:110" s="1715" customFormat="1" hidden="1" outlineLevel="1">
      <c r="A57" s="2255"/>
      <c r="B57" s="2239"/>
      <c r="C57" s="2239"/>
      <c r="D57" s="2239"/>
      <c r="E57" s="2239"/>
      <c r="F57" s="2239"/>
      <c r="G57" s="2239"/>
      <c r="H57" s="2239"/>
      <c r="I57" s="2239"/>
      <c r="J57" s="2239"/>
      <c r="K57" s="2239"/>
      <c r="L57" s="2264"/>
      <c r="M57" s="2239"/>
      <c r="N57" s="2239"/>
      <c r="O57" s="2260"/>
      <c r="P57" s="2264"/>
      <c r="Q57" s="2239"/>
      <c r="R57" s="2239"/>
      <c r="S57" s="2260"/>
      <c r="T57" s="2264"/>
      <c r="U57" s="2239"/>
      <c r="V57" s="2239"/>
      <c r="W57" s="2260"/>
      <c r="X57" s="2265"/>
      <c r="Y57" s="2266"/>
      <c r="Z57" s="2266"/>
      <c r="AA57" s="2267"/>
      <c r="AB57" s="2265"/>
      <c r="AC57" s="2266"/>
      <c r="AD57" s="2266"/>
      <c r="AE57" s="2267"/>
      <c r="AF57" s="2265"/>
      <c r="AG57" s="2266"/>
      <c r="AH57" s="2266"/>
      <c r="AI57" s="2267"/>
      <c r="AJ57" s="2268"/>
      <c r="AK57" s="2266"/>
      <c r="AL57" s="2266"/>
      <c r="AM57" s="2266"/>
      <c r="AN57" s="2265"/>
      <c r="AO57" s="2266"/>
      <c r="AP57" s="2266"/>
      <c r="AQ57" s="2267"/>
      <c r="AR57" s="2265"/>
      <c r="AS57" s="2266"/>
      <c r="AT57" s="2266"/>
      <c r="AU57" s="2267"/>
      <c r="AV57" s="2265"/>
      <c r="AW57" s="2266"/>
      <c r="AX57" s="2266"/>
      <c r="AY57" s="2267"/>
      <c r="AZ57" s="2266"/>
      <c r="BA57" s="2265"/>
      <c r="BB57" s="2266"/>
      <c r="BC57" s="186"/>
      <c r="BD57" s="2267"/>
      <c r="BE57" s="2266"/>
      <c r="BF57" s="2265"/>
      <c r="BG57" s="2266"/>
      <c r="BH57" s="2266"/>
      <c r="BI57" s="2267"/>
      <c r="BJ57" s="2266"/>
      <c r="BK57" s="2265"/>
      <c r="BL57" s="2266"/>
      <c r="BM57" s="2266"/>
      <c r="BN57" s="2267"/>
      <c r="BO57" s="2266"/>
      <c r="BP57" s="2265"/>
      <c r="BQ57" s="2266"/>
      <c r="BR57" s="2266"/>
      <c r="BS57" s="2267"/>
      <c r="BT57" s="2266"/>
      <c r="BU57" s="2265"/>
      <c r="BV57" s="2266"/>
      <c r="BW57" s="2266"/>
      <c r="BX57" s="2267"/>
      <c r="BY57" s="2258"/>
      <c r="BZ57" s="2259"/>
      <c r="CA57" s="2259"/>
      <c r="CB57" s="2259"/>
      <c r="CC57" s="2259"/>
      <c r="CD57" s="2260"/>
      <c r="CE57" s="2260"/>
      <c r="CF57" s="2260"/>
      <c r="CG57" s="2260"/>
      <c r="CH57" s="2260"/>
      <c r="CI57" s="2260"/>
      <c r="CJ57" s="2260"/>
      <c r="CK57" s="2260"/>
      <c r="CL57" s="2260"/>
      <c r="CM57" s="2260"/>
      <c r="CN57" s="2239"/>
      <c r="CO57" s="2239"/>
      <c r="CP57" s="2258"/>
      <c r="CQ57" s="2259"/>
      <c r="CR57" s="2259"/>
      <c r="CS57" s="2259"/>
      <c r="CT57" s="2259"/>
      <c r="CU57" s="2259"/>
      <c r="CV57" s="2259"/>
      <c r="CW57" s="2259"/>
      <c r="CX57" s="2259"/>
      <c r="CY57" s="2259"/>
      <c r="CZ57" s="2259"/>
      <c r="DA57" s="2259"/>
      <c r="DB57" s="2259"/>
      <c r="DC57" s="2259"/>
      <c r="DD57" s="2259"/>
      <c r="DE57" s="2259"/>
      <c r="DF57" s="2239"/>
    </row>
    <row r="58" spans="1:110" s="1715" customFormat="1" hidden="1" outlineLevel="1">
      <c r="A58" s="2269"/>
      <c r="B58" s="2239"/>
      <c r="C58" s="2239"/>
      <c r="D58" s="2252"/>
      <c r="E58" s="2252"/>
      <c r="F58" s="2250"/>
      <c r="G58" s="2250"/>
      <c r="H58" s="2252"/>
      <c r="I58" s="2252"/>
      <c r="J58" s="2250"/>
      <c r="K58" s="2250"/>
      <c r="L58" s="2252"/>
      <c r="M58" s="2252"/>
      <c r="N58" s="2252"/>
      <c r="O58" s="2252"/>
      <c r="P58" s="2252"/>
      <c r="Q58" s="2252"/>
      <c r="R58" s="2252"/>
      <c r="S58" s="2252"/>
      <c r="T58" s="2252"/>
      <c r="U58" s="2252"/>
      <c r="V58" s="2252"/>
      <c r="W58" s="2252"/>
      <c r="X58" s="2252"/>
      <c r="Y58" s="2270"/>
      <c r="Z58" s="2271"/>
      <c r="AA58" s="2252"/>
      <c r="AB58" s="2252"/>
      <c r="AC58" s="2252"/>
      <c r="AD58" s="2252"/>
      <c r="AE58" s="2253"/>
      <c r="AF58" s="2251"/>
      <c r="AG58" s="2252"/>
      <c r="AH58" s="2252"/>
      <c r="AI58" s="2253"/>
      <c r="AJ58" s="2251"/>
      <c r="AK58" s="2252"/>
      <c r="AL58" s="2252"/>
      <c r="AM58" s="2252"/>
      <c r="AN58" s="2251"/>
      <c r="AO58" s="2252"/>
      <c r="AP58" s="2252"/>
      <c r="AQ58" s="2253"/>
      <c r="AR58" s="2251"/>
      <c r="AS58" s="2252"/>
      <c r="AT58" s="2252"/>
      <c r="AU58" s="2253"/>
      <c r="AV58" s="2251"/>
      <c r="AW58" s="2252"/>
      <c r="AX58" s="2252"/>
      <c r="AY58" s="2253"/>
      <c r="AZ58" s="2252"/>
      <c r="BA58" s="2251"/>
      <c r="BB58" s="2252"/>
      <c r="BC58" s="2594"/>
      <c r="BD58" s="2253"/>
      <c r="BE58" s="2252"/>
      <c r="BF58" s="2251"/>
      <c r="BG58" s="2252"/>
      <c r="BH58" s="2252"/>
      <c r="BI58" s="2253"/>
      <c r="BJ58" s="2252"/>
      <c r="BK58" s="2251"/>
      <c r="BL58" s="2252"/>
      <c r="BM58" s="2252"/>
      <c r="BN58" s="2253"/>
      <c r="BO58" s="2252"/>
      <c r="BP58" s="2251"/>
      <c r="BQ58" s="2252"/>
      <c r="BR58" s="2252"/>
      <c r="BS58" s="2253"/>
      <c r="BT58" s="2252"/>
      <c r="BU58" s="2251"/>
      <c r="BV58" s="2252"/>
      <c r="BW58" s="2252"/>
      <c r="BX58" s="2253"/>
      <c r="BY58" s="2258"/>
      <c r="BZ58" s="2245"/>
      <c r="CA58" s="2246"/>
      <c r="CB58" s="2246"/>
      <c r="CC58" s="2246"/>
      <c r="CD58" s="2253"/>
      <c r="CE58" s="2253"/>
      <c r="CF58" s="2253"/>
      <c r="CG58" s="2253"/>
      <c r="CH58" s="2253"/>
      <c r="CI58" s="2253"/>
      <c r="CJ58" s="2253"/>
      <c r="CK58" s="2253"/>
      <c r="CL58" s="2253"/>
      <c r="CM58" s="2253"/>
      <c r="CN58" s="2252"/>
      <c r="CO58" s="2252"/>
      <c r="CP58" s="2272"/>
      <c r="CQ58" s="2245"/>
      <c r="CR58" s="2245"/>
      <c r="CS58" s="2245"/>
      <c r="CT58" s="2245"/>
      <c r="CU58" s="2245"/>
      <c r="CV58" s="2245"/>
      <c r="CW58" s="2245"/>
      <c r="CX58" s="2245"/>
      <c r="CY58" s="2245"/>
      <c r="CZ58" s="2245"/>
      <c r="DA58" s="2245"/>
      <c r="DB58" s="2245"/>
      <c r="DC58" s="2245"/>
      <c r="DD58" s="2245"/>
      <c r="DE58" s="2245"/>
      <c r="DF58" s="2250"/>
    </row>
    <row r="59" spans="1:110" s="1715" customFormat="1" hidden="1" outlineLevel="1">
      <c r="A59" s="2255" t="s">
        <v>539</v>
      </c>
      <c r="B59" s="2273"/>
      <c r="C59" s="2273"/>
      <c r="D59" s="2273"/>
      <c r="E59" s="2273"/>
      <c r="F59" s="2273"/>
      <c r="G59" s="2273"/>
      <c r="H59" s="2273"/>
      <c r="I59" s="2273"/>
      <c r="J59" s="2273"/>
      <c r="K59" s="2273"/>
      <c r="L59" s="2273"/>
      <c r="M59" s="2273"/>
      <c r="N59" s="2273"/>
      <c r="O59" s="2273"/>
      <c r="P59" s="2273"/>
      <c r="Q59" s="2273"/>
      <c r="R59" s="2273"/>
      <c r="S59" s="2273"/>
      <c r="T59" s="2273"/>
      <c r="U59" s="2273"/>
      <c r="V59" s="2273"/>
      <c r="W59" s="2266"/>
      <c r="X59" s="2266"/>
      <c r="Y59" s="2266"/>
      <c r="Z59" s="2266"/>
      <c r="AA59" s="2266"/>
      <c r="AB59" s="2266"/>
      <c r="AC59" s="2266"/>
      <c r="AD59" s="2266">
        <v>1</v>
      </c>
      <c r="AE59" s="2267">
        <v>1</v>
      </c>
      <c r="AF59" s="2265">
        <v>1</v>
      </c>
      <c r="AG59" s="2266">
        <v>1</v>
      </c>
      <c r="AH59" s="2266">
        <v>1</v>
      </c>
      <c r="AI59" s="2267">
        <v>1</v>
      </c>
      <c r="AJ59" s="2265">
        <v>1</v>
      </c>
      <c r="AK59" s="2266">
        <f t="shared" ref="AK59:AS59" si="106">AJ59</f>
        <v>1</v>
      </c>
      <c r="AL59" s="2266">
        <f t="shared" si="106"/>
        <v>1</v>
      </c>
      <c r="AM59" s="2266">
        <f t="shared" si="106"/>
        <v>1</v>
      </c>
      <c r="AN59" s="2265">
        <f t="shared" si="106"/>
        <v>1</v>
      </c>
      <c r="AO59" s="2266">
        <f t="shared" si="106"/>
        <v>1</v>
      </c>
      <c r="AP59" s="2266">
        <f t="shared" si="106"/>
        <v>1</v>
      </c>
      <c r="AQ59" s="2267">
        <f t="shared" si="106"/>
        <v>1</v>
      </c>
      <c r="AR59" s="2265">
        <f t="shared" si="106"/>
        <v>1</v>
      </c>
      <c r="AS59" s="2266">
        <f t="shared" si="106"/>
        <v>1</v>
      </c>
      <c r="AT59" s="2266">
        <f>AS59</f>
        <v>1</v>
      </c>
      <c r="AU59" s="2267">
        <f>AT59</f>
        <v>1</v>
      </c>
      <c r="AV59" s="2265">
        <f t="shared" ref="AV59:BI59" si="107">AU59</f>
        <v>1</v>
      </c>
      <c r="AW59" s="2266">
        <f t="shared" si="107"/>
        <v>1</v>
      </c>
      <c r="AX59" s="2266">
        <f t="shared" si="107"/>
        <v>1</v>
      </c>
      <c r="AY59" s="2267">
        <f t="shared" si="107"/>
        <v>1</v>
      </c>
      <c r="AZ59" s="2266"/>
      <c r="BA59" s="2265">
        <f>AY59</f>
        <v>1</v>
      </c>
      <c r="BB59" s="2266">
        <f t="shared" si="107"/>
        <v>1</v>
      </c>
      <c r="BC59" s="186">
        <f t="shared" si="107"/>
        <v>1</v>
      </c>
      <c r="BD59" s="2267">
        <f t="shared" si="107"/>
        <v>1</v>
      </c>
      <c r="BE59" s="2266"/>
      <c r="BF59" s="2265">
        <f>BD59</f>
        <v>1</v>
      </c>
      <c r="BG59" s="2266">
        <f t="shared" si="107"/>
        <v>1</v>
      </c>
      <c r="BH59" s="2266">
        <f t="shared" si="107"/>
        <v>1</v>
      </c>
      <c r="BI59" s="2267">
        <f t="shared" si="107"/>
        <v>1</v>
      </c>
      <c r="BJ59" s="2266"/>
      <c r="BK59" s="2265">
        <f>BI59</f>
        <v>1</v>
      </c>
      <c r="BL59" s="2266">
        <f>BK59</f>
        <v>1</v>
      </c>
      <c r="BM59" s="2266">
        <f>BL59</f>
        <v>1</v>
      </c>
      <c r="BN59" s="2267">
        <f>BM59</f>
        <v>1</v>
      </c>
      <c r="BO59" s="2266"/>
      <c r="BP59" s="2265">
        <f>BN59</f>
        <v>1</v>
      </c>
      <c r="BQ59" s="2266">
        <f>BP59</f>
        <v>1</v>
      </c>
      <c r="BR59" s="2266">
        <f>BQ59</f>
        <v>1</v>
      </c>
      <c r="BS59" s="2267">
        <f>BR59</f>
        <v>1</v>
      </c>
      <c r="BT59" s="2266"/>
      <c r="BU59" s="2265">
        <f>BS59</f>
        <v>1</v>
      </c>
      <c r="BV59" s="2266">
        <f>BU59</f>
        <v>1</v>
      </c>
      <c r="BW59" s="2266">
        <f>BV59</f>
        <v>1</v>
      </c>
      <c r="BX59" s="2267">
        <f>BW59</f>
        <v>1</v>
      </c>
      <c r="BY59" s="2258"/>
      <c r="BZ59" s="2245"/>
      <c r="CA59" s="2245"/>
      <c r="CB59" s="2245"/>
      <c r="CC59" s="2245"/>
      <c r="CD59" s="2257"/>
      <c r="CE59" s="2257"/>
      <c r="CF59" s="2257"/>
      <c r="CG59" s="2257"/>
      <c r="CH59" s="2257"/>
      <c r="CI59" s="2257"/>
      <c r="CJ59" s="2257"/>
      <c r="CK59" s="2257"/>
      <c r="CL59" s="2257"/>
      <c r="CM59" s="2257"/>
      <c r="CN59" s="2250"/>
      <c r="CO59" s="2250"/>
      <c r="CP59" s="2274"/>
      <c r="CQ59" s="2245"/>
      <c r="CR59" s="2245"/>
      <c r="CS59" s="2245"/>
      <c r="CT59" s="2245"/>
      <c r="CU59" s="2245"/>
      <c r="CV59" s="2245"/>
      <c r="CW59" s="2245"/>
      <c r="CX59" s="2245">
        <v>1</v>
      </c>
      <c r="CY59" s="2245">
        <v>1</v>
      </c>
      <c r="CZ59" s="2245">
        <v>1</v>
      </c>
      <c r="DA59" s="2245">
        <v>1</v>
      </c>
      <c r="DB59" s="2245">
        <v>1</v>
      </c>
      <c r="DC59" s="2245">
        <v>1</v>
      </c>
      <c r="DD59" s="2245">
        <v>1</v>
      </c>
      <c r="DE59" s="2245">
        <v>1</v>
      </c>
      <c r="DF59" s="2250"/>
    </row>
    <row r="60" spans="1:110" s="1715" customFormat="1" hidden="1" outlineLevel="1">
      <c r="A60" s="2275" t="s">
        <v>792</v>
      </c>
      <c r="B60" s="2276"/>
      <c r="C60" s="2276"/>
      <c r="D60" s="2276"/>
      <c r="E60" s="2276"/>
      <c r="F60" s="2276"/>
      <c r="G60" s="2276"/>
      <c r="H60" s="2276"/>
      <c r="I60" s="2276"/>
      <c r="J60" s="2276"/>
      <c r="K60" s="2276"/>
      <c r="L60" s="2276"/>
      <c r="M60" s="2276"/>
      <c r="N60" s="2276"/>
      <c r="O60" s="2276"/>
      <c r="P60" s="2276"/>
      <c r="Q60" s="2276"/>
      <c r="R60" s="2276"/>
      <c r="S60" s="2276"/>
      <c r="T60" s="2276"/>
      <c r="U60" s="2276"/>
      <c r="V60" s="2276"/>
      <c r="W60" s="2276"/>
      <c r="X60" s="2276"/>
      <c r="Y60" s="2276"/>
      <c r="Z60" s="2276"/>
      <c r="AA60" s="2276"/>
      <c r="AB60" s="2276"/>
      <c r="AC60" s="2276"/>
      <c r="AD60" s="2276">
        <f t="shared" ref="AD60:AI60" si="108">(AD19)*AD59</f>
        <v>7.9927020000000001E-2</v>
      </c>
      <c r="AE60" s="2277">
        <f t="shared" si="108"/>
        <v>0.156</v>
      </c>
      <c r="AF60" s="2278">
        <f t="shared" si="108"/>
        <v>0.20500000000000002</v>
      </c>
      <c r="AG60" s="2276">
        <f t="shared" si="108"/>
        <v>0.318</v>
      </c>
      <c r="AH60" s="2276">
        <f t="shared" si="108"/>
        <v>0.20899999999999999</v>
      </c>
      <c r="AI60" s="2277">
        <f t="shared" si="108"/>
        <v>0.28300000000000003</v>
      </c>
      <c r="AJ60" s="2278">
        <f t="shared" ref="AJ60:BI60" si="109">(AJ19-AJ22)*AJ59+AJ22</f>
        <v>0.34899999999999998</v>
      </c>
      <c r="AK60" s="2276">
        <f t="shared" si="109"/>
        <v>3.3220000000000001</v>
      </c>
      <c r="AL60" s="2276">
        <f t="shared" si="109"/>
        <v>1.9418036000000001</v>
      </c>
      <c r="AM60" s="2276">
        <f t="shared" si="109"/>
        <v>1.350983215415881</v>
      </c>
      <c r="AN60" s="2278">
        <f t="shared" si="109"/>
        <v>2.1318428250000001</v>
      </c>
      <c r="AO60" s="2276">
        <f t="shared" si="109"/>
        <v>6.2785056799999994</v>
      </c>
      <c r="AP60" s="2276">
        <f t="shared" si="109"/>
        <v>3.7560520499999992</v>
      </c>
      <c r="AQ60" s="2277">
        <f t="shared" si="109"/>
        <v>4.1111722200000003</v>
      </c>
      <c r="AR60" s="2278">
        <f t="shared" si="109"/>
        <v>5.4480427750000002</v>
      </c>
      <c r="AS60" s="2276">
        <f t="shared" si="109"/>
        <v>7.6911694579999992</v>
      </c>
      <c r="AT60" s="2276">
        <f t="shared" si="109"/>
        <v>4.8466547848785133</v>
      </c>
      <c r="AU60" s="2277">
        <f t="shared" si="109"/>
        <v>5.3453953310896516</v>
      </c>
      <c r="AV60" s="2278">
        <f t="shared" si="109"/>
        <v>6.442068518412686</v>
      </c>
      <c r="AW60" s="2276">
        <f t="shared" si="109"/>
        <v>9.0101034039094614</v>
      </c>
      <c r="AX60" s="2276">
        <f t="shared" si="109"/>
        <v>5.485720837227495</v>
      </c>
      <c r="AY60" s="2277">
        <f t="shared" si="109"/>
        <v>5.5271387723467011</v>
      </c>
      <c r="AZ60" s="2276"/>
      <c r="BA60" s="2278">
        <f t="shared" si="109"/>
        <v>6.5421683523141763</v>
      </c>
      <c r="BB60" s="2276">
        <f t="shared" si="109"/>
        <v>9.3544895784588906</v>
      </c>
      <c r="BC60" s="189">
        <f t="shared" si="109"/>
        <v>5.6465014500899322</v>
      </c>
      <c r="BD60" s="2277">
        <f t="shared" si="109"/>
        <v>5.6527733806117455</v>
      </c>
      <c r="BE60" s="2276"/>
      <c r="BF60" s="2278">
        <f t="shared" si="109"/>
        <v>6.6178477910935589</v>
      </c>
      <c r="BG60" s="2276">
        <f t="shared" si="109"/>
        <v>9.8991002730951951</v>
      </c>
      <c r="BH60" s="2276">
        <f t="shared" si="109"/>
        <v>5.8746429228208399</v>
      </c>
      <c r="BI60" s="2277">
        <f t="shared" si="109"/>
        <v>5.8212335144710359</v>
      </c>
      <c r="BJ60" s="2276"/>
      <c r="BK60" s="2278">
        <f>(BK19-BK22)*BK59+BK22</f>
        <v>6.71156435274046</v>
      </c>
      <c r="BL60" s="2276">
        <f>(BL19-BL22)*BL59+BL22</f>
        <v>9.9399460751929194</v>
      </c>
      <c r="BM60" s="2276">
        <f>(BM19-BM22)*BM59+BM22</f>
        <v>5.9363361794051563</v>
      </c>
      <c r="BN60" s="2277">
        <f>(BN19-BN22)*BN59+BN22</f>
        <v>5.8814112178441045</v>
      </c>
      <c r="BO60" s="2276"/>
      <c r="BP60" s="2278">
        <f>(BP19-BP22)*BP59+BP22</f>
        <v>6.8221014589333588</v>
      </c>
      <c r="BQ60" s="2276">
        <f>(BQ19-BQ22)*BQ59+BQ22</f>
        <v>10.163831527267503</v>
      </c>
      <c r="BR60" s="2276">
        <f>(BR19-BR22)*BR59+BR22</f>
        <v>6.1055311238244796</v>
      </c>
      <c r="BS60" s="2277">
        <f>(BS19-BS22)*BS59+BS22</f>
        <v>6.0837575755740074</v>
      </c>
      <c r="BT60" s="2276"/>
      <c r="BU60" s="2278">
        <f>(BU19-BU22)*BU59+BU22</f>
        <v>7.0526377977081491</v>
      </c>
      <c r="BV60" s="2276">
        <f>(BV19-BV22)*BV59+BV22</f>
        <v>10.501227219097743</v>
      </c>
      <c r="BW60" s="2276">
        <f>(BW19-BW22)*BW59+BW22</f>
        <v>6.3046525995999634</v>
      </c>
      <c r="BX60" s="2277">
        <f>(BX19-BX22)*BX59+BX22</f>
        <v>6.2787102250479983</v>
      </c>
      <c r="BY60" s="2279"/>
      <c r="BZ60" s="2280">
        <f>H60+I60+J60+K60</f>
        <v>0</v>
      </c>
      <c r="CA60" s="2280">
        <f>L60+M60+N60+O60</f>
        <v>0</v>
      </c>
      <c r="CB60" s="2280"/>
      <c r="CC60" s="2280"/>
      <c r="CD60" s="2277"/>
      <c r="CE60" s="2277">
        <f>AB60+AC60+AD60+AE60</f>
        <v>0.23592701999999999</v>
      </c>
      <c r="CF60" s="2277">
        <f>SUM(AF60:AI60)</f>
        <v>1.0150000000000001</v>
      </c>
      <c r="CG60" s="2277">
        <f>SUM(AJ60:AM60)</f>
        <v>6.9637868154158813</v>
      </c>
      <c r="CH60" s="2277">
        <f>SUM(AN60:AQ60)</f>
        <v>16.277572774999999</v>
      </c>
      <c r="CI60" s="2277">
        <f>SUM(AR60:AU60)</f>
        <v>23.331262348968163</v>
      </c>
      <c r="CJ60" s="2277">
        <f>SUM(AV60:AY60)</f>
        <v>26.465031531896344</v>
      </c>
      <c r="CK60" s="2277">
        <f>SUM(BA60:BD60)</f>
        <v>27.195932761474744</v>
      </c>
      <c r="CL60" s="2277">
        <f>SUM(BF60:BI60)</f>
        <v>28.212824501480629</v>
      </c>
      <c r="CM60" s="2277">
        <f>SUM(BG60:BK60)</f>
        <v>28.306541063127533</v>
      </c>
      <c r="CN60" s="2276"/>
      <c r="CO60" s="2276"/>
      <c r="CP60" s="2281"/>
      <c r="CQ60" s="2280"/>
      <c r="CR60" s="2280"/>
      <c r="CS60" s="2280"/>
      <c r="CT60" s="2280"/>
      <c r="CU60" s="2280"/>
      <c r="CV60" s="2280"/>
      <c r="CW60" s="2280"/>
      <c r="CX60" s="2280">
        <f>(CX59*(CX19-CX22))+CX22</f>
        <v>0.75892702000000001</v>
      </c>
      <c r="CY60" s="2280">
        <f>SUM(AH60:AK60)</f>
        <v>4.1630000000000003</v>
      </c>
      <c r="CZ60" s="2280">
        <f>SUM(AL60:AO60)</f>
        <v>11.703135320415882</v>
      </c>
      <c r="DA60" s="2280">
        <f>SUM(AP60:AS60)</f>
        <v>21.006436502999996</v>
      </c>
      <c r="DB60" s="2280">
        <f>SUM(AT60:AW60)</f>
        <v>25.644222038290312</v>
      </c>
      <c r="DC60" s="2280">
        <f>SUM(AX60:BB60)</f>
        <v>26.90951754034726</v>
      </c>
      <c r="DD60" s="2280">
        <f>SUM(BC60:BG60)</f>
        <v>27.81622289489043</v>
      </c>
      <c r="DE60" s="2280">
        <f>SUM(BD60:BH60)</f>
        <v>28.044364367621341</v>
      </c>
      <c r="DF60" s="2276"/>
    </row>
    <row r="61" spans="1:110" s="1715" customFormat="1" hidden="1" outlineLevel="1">
      <c r="A61" s="2269" t="s">
        <v>300</v>
      </c>
      <c r="B61" s="2239"/>
      <c r="C61" s="2239"/>
      <c r="D61" s="2239"/>
      <c r="E61" s="2239"/>
      <c r="F61" s="2250"/>
      <c r="G61" s="2250"/>
      <c r="H61" s="2252"/>
      <c r="I61" s="2252"/>
      <c r="J61" s="2252"/>
      <c r="K61" s="2252"/>
      <c r="L61" s="2252"/>
      <c r="M61" s="2252"/>
      <c r="N61" s="2252"/>
      <c r="O61" s="2252"/>
      <c r="P61" s="2252"/>
      <c r="Q61" s="2252"/>
      <c r="R61" s="2252"/>
      <c r="S61" s="2252"/>
      <c r="T61" s="2252"/>
      <c r="U61" s="2252"/>
      <c r="V61" s="2252"/>
      <c r="W61" s="2252"/>
      <c r="X61" s="2252"/>
      <c r="Y61" s="2252"/>
      <c r="Z61" s="2252"/>
      <c r="AA61" s="2252"/>
      <c r="AB61" s="2252"/>
      <c r="AC61" s="2252"/>
      <c r="AD61" s="2252"/>
      <c r="AE61" s="2253"/>
      <c r="AF61" s="2251"/>
      <c r="AG61" s="2252"/>
      <c r="AH61" s="2252">
        <f t="shared" ref="AH61:AS61" si="110">AH60/AD60-1</f>
        <v>1.6148854292328174</v>
      </c>
      <c r="AI61" s="2253">
        <f t="shared" si="110"/>
        <v>0.81410256410256432</v>
      </c>
      <c r="AJ61" s="2251">
        <f t="shared" si="110"/>
        <v>0.70243902439024364</v>
      </c>
      <c r="AK61" s="2252">
        <f t="shared" si="110"/>
        <v>9.4465408805031448</v>
      </c>
      <c r="AL61" s="2252">
        <f t="shared" si="110"/>
        <v>8.2909263157894753</v>
      </c>
      <c r="AM61" s="2252">
        <f t="shared" si="110"/>
        <v>3.7737922806214872</v>
      </c>
      <c r="AN61" s="2251">
        <f t="shared" si="110"/>
        <v>5.1084321633237826</v>
      </c>
      <c r="AO61" s="2252">
        <f t="shared" si="110"/>
        <v>0.8899776279349787</v>
      </c>
      <c r="AP61" s="2252">
        <f t="shared" si="110"/>
        <v>0.93431099314060351</v>
      </c>
      <c r="AQ61" s="2253">
        <f t="shared" si="110"/>
        <v>2.0430964449357978</v>
      </c>
      <c r="AR61" s="2251">
        <f t="shared" si="110"/>
        <v>1.5555555555555554</v>
      </c>
      <c r="AS61" s="2252">
        <f t="shared" si="110"/>
        <v>0.22500000000000009</v>
      </c>
      <c r="AT61" s="2252">
        <f>AT60/AP60-1</f>
        <v>0.29035879172082146</v>
      </c>
      <c r="AU61" s="2253">
        <f>AU60/AQ60-1</f>
        <v>0.30021196997912458</v>
      </c>
      <c r="AV61" s="2251">
        <f t="shared" ref="AV61:AY61" si="111">AV60/AR60-1</f>
        <v>0.18245556880978886</v>
      </c>
      <c r="AW61" s="2252">
        <f t="shared" si="111"/>
        <v>0.17148678794712646</v>
      </c>
      <c r="AX61" s="2252">
        <f t="shared" si="111"/>
        <v>0.13185714285714289</v>
      </c>
      <c r="AY61" s="2253">
        <f t="shared" si="111"/>
        <v>3.4000000000000252E-2</v>
      </c>
      <c r="AZ61" s="2252"/>
      <c r="BA61" s="2251">
        <f>BA60/AV60-1</f>
        <v>1.5538461538461723E-2</v>
      </c>
      <c r="BB61" s="2252">
        <f>BB60/AW60-1</f>
        <v>3.822222222222238E-2</v>
      </c>
      <c r="BC61" s="2594">
        <f>BC60/AX60-1</f>
        <v>2.9308930883128248E-2</v>
      </c>
      <c r="BD61" s="2253">
        <f>BD60/AY60-1</f>
        <v>2.2730496453900795E-2</v>
      </c>
      <c r="BE61" s="2252"/>
      <c r="BF61" s="2251">
        <f>BF60/BA60-1</f>
        <v>1.1567944250870932E-2</v>
      </c>
      <c r="BG61" s="2252">
        <f>BG60/BB60-1</f>
        <v>5.821917808219168E-2</v>
      </c>
      <c r="BH61" s="2252">
        <f>BH60/BC60-1</f>
        <v>4.0404040404040664E-2</v>
      </c>
      <c r="BI61" s="2253">
        <f>BI60/BD60-1</f>
        <v>2.9801324503311299E-2</v>
      </c>
      <c r="BJ61" s="2252"/>
      <c r="BK61" s="2251">
        <f>BK60/BF60-1</f>
        <v>1.4161184210526478E-2</v>
      </c>
      <c r="BL61" s="2252">
        <f>BL60/BG60-1</f>
        <v>4.1262135922330856E-3</v>
      </c>
      <c r="BM61" s="2252">
        <f>BM60/BH60-1</f>
        <v>1.0501618122977341E-2</v>
      </c>
      <c r="BN61" s="2253">
        <f>BN60/BI60-1</f>
        <v>1.0337620578778184E-2</v>
      </c>
      <c r="BO61" s="2252"/>
      <c r="BP61" s="2251">
        <f>BP60/BK60-1</f>
        <v>1.6469648562300376E-2</v>
      </c>
      <c r="BQ61" s="2252">
        <f>BQ60/BL60-1</f>
        <v>2.2523809523809613E-2</v>
      </c>
      <c r="BR61" s="2252">
        <f>BR60/BM60-1</f>
        <v>2.850157728706626E-2</v>
      </c>
      <c r="BS61" s="2253">
        <f>BS60/BN60-1</f>
        <v>3.4404388714733614E-2</v>
      </c>
      <c r="BT61" s="2252"/>
      <c r="BU61" s="2251">
        <f>BU60/BP60-1</f>
        <v>3.3792569659442551E-2</v>
      </c>
      <c r="BV61" s="2252">
        <f>BV60/BQ60-1</f>
        <v>3.319571865443427E-2</v>
      </c>
      <c r="BW61" s="2252">
        <f>BW60/BR60-1</f>
        <v>3.2613293051359404E-2</v>
      </c>
      <c r="BX61" s="2253">
        <f>BX60/BS60-1</f>
        <v>3.2044776119402929E-2</v>
      </c>
      <c r="BY61" s="2258"/>
      <c r="BZ61" s="2245"/>
      <c r="CA61" s="2246"/>
      <c r="CB61" s="2246"/>
      <c r="CC61" s="2246"/>
      <c r="CD61" s="2253"/>
      <c r="CE61" s="2253"/>
      <c r="CF61" s="2253">
        <f t="shared" ref="CF61:CM61" si="112">CF60/CE60-1</f>
        <v>3.3021778514389757</v>
      </c>
      <c r="CG61" s="2253">
        <f t="shared" si="112"/>
        <v>5.86087370976934</v>
      </c>
      <c r="CH61" s="2253">
        <f t="shared" si="112"/>
        <v>1.3374599490848849</v>
      </c>
      <c r="CI61" s="2253">
        <f t="shared" si="112"/>
        <v>0.4333379227646037</v>
      </c>
      <c r="CJ61" s="2253">
        <f t="shared" si="112"/>
        <v>0.1343163149964226</v>
      </c>
      <c r="CK61" s="2253">
        <f t="shared" si="112"/>
        <v>2.7617621717076046E-2</v>
      </c>
      <c r="CL61" s="2253">
        <f t="shared" si="112"/>
        <v>3.739131689009012E-2</v>
      </c>
      <c r="CM61" s="2253">
        <f t="shared" si="112"/>
        <v>3.3217716872688818E-3</v>
      </c>
      <c r="CN61" s="2252"/>
      <c r="CO61" s="2252"/>
      <c r="CP61" s="2272"/>
      <c r="CQ61" s="2245"/>
      <c r="CR61" s="2245"/>
      <c r="CS61" s="2245"/>
      <c r="CT61" s="2246"/>
      <c r="CU61" s="2246"/>
      <c r="CV61" s="2246"/>
      <c r="CW61" s="2246"/>
      <c r="CX61" s="2246"/>
      <c r="CY61" s="2246">
        <f t="shared" ref="CY61:DE61" si="113">CY60/CX60-1</f>
        <v>4.4853759192814087</v>
      </c>
      <c r="CZ61" s="2246">
        <f t="shared" si="113"/>
        <v>1.8112263560931736</v>
      </c>
      <c r="DA61" s="2246">
        <f t="shared" si="113"/>
        <v>0.7949409220582706</v>
      </c>
      <c r="DB61" s="2246">
        <f t="shared" si="113"/>
        <v>0.22077926137676807</v>
      </c>
      <c r="DC61" s="2246">
        <f t="shared" si="113"/>
        <v>4.9340373834218409E-2</v>
      </c>
      <c r="DD61" s="2246">
        <f t="shared" si="113"/>
        <v>3.3694597206497034E-2</v>
      </c>
      <c r="DE61" s="2246">
        <f t="shared" si="113"/>
        <v>8.2017416093116413E-3</v>
      </c>
      <c r="DF61" s="2252"/>
    </row>
    <row r="62" spans="1:110" s="1715" customFormat="1" hidden="1" outlineLevel="2">
      <c r="A62" s="2269"/>
      <c r="B62" s="2239"/>
      <c r="C62" s="2239"/>
      <c r="D62" s="2252"/>
      <c r="E62" s="2252"/>
      <c r="F62" s="2250"/>
      <c r="G62" s="2250"/>
      <c r="H62" s="2252"/>
      <c r="I62" s="2252"/>
      <c r="J62" s="2250"/>
      <c r="K62" s="2250"/>
      <c r="L62" s="2252"/>
      <c r="M62" s="2252"/>
      <c r="N62" s="2252"/>
      <c r="O62" s="2252"/>
      <c r="P62" s="2252"/>
      <c r="Q62" s="2252"/>
      <c r="R62" s="2252"/>
      <c r="S62" s="2252"/>
      <c r="T62" s="2252"/>
      <c r="U62" s="2252"/>
      <c r="V62" s="2252"/>
      <c r="W62" s="2252"/>
      <c r="X62" s="2252"/>
      <c r="Y62" s="2270"/>
      <c r="Z62" s="2271"/>
      <c r="AA62" s="2252"/>
      <c r="AB62" s="2252"/>
      <c r="AC62" s="2252"/>
      <c r="AD62" s="2252"/>
      <c r="AE62" s="2253"/>
      <c r="AF62" s="2251"/>
      <c r="AG62" s="2252"/>
      <c r="AH62" s="2252"/>
      <c r="AI62" s="2253"/>
      <c r="AJ62" s="2251"/>
      <c r="AK62" s="2252"/>
      <c r="AL62" s="2252"/>
      <c r="AM62" s="2252"/>
      <c r="AN62" s="2251"/>
      <c r="AO62" s="2252"/>
      <c r="AP62" s="2252"/>
      <c r="AQ62" s="2253"/>
      <c r="AR62" s="2252"/>
      <c r="AS62" s="2252"/>
      <c r="AT62" s="2252"/>
      <c r="AU62" s="2253"/>
      <c r="AV62" s="2251"/>
      <c r="AW62" s="2252"/>
      <c r="AX62" s="2252"/>
      <c r="AY62" s="2253"/>
      <c r="AZ62" s="2252"/>
      <c r="BA62" s="2251"/>
      <c r="BB62" s="2252"/>
      <c r="BC62" s="2594"/>
      <c r="BD62" s="2253"/>
      <c r="BE62" s="2252"/>
      <c r="BF62" s="2251"/>
      <c r="BG62" s="2252"/>
      <c r="BH62" s="2252"/>
      <c r="BI62" s="2253"/>
      <c r="BJ62" s="2252"/>
      <c r="BK62" s="2251"/>
      <c r="BL62" s="2252"/>
      <c r="BM62" s="2252"/>
      <c r="BN62" s="2253"/>
      <c r="BO62" s="2252"/>
      <c r="BP62" s="2251"/>
      <c r="BQ62" s="2252"/>
      <c r="BR62" s="2252"/>
      <c r="BS62" s="2253"/>
      <c r="BT62" s="2252"/>
      <c r="BU62" s="2251"/>
      <c r="BV62" s="2252"/>
      <c r="BW62" s="2252"/>
      <c r="BX62" s="2253"/>
      <c r="BY62" s="2258"/>
      <c r="BZ62" s="2245"/>
      <c r="CA62" s="2246"/>
      <c r="CB62" s="2246"/>
      <c r="CC62" s="2246"/>
      <c r="CD62" s="2253"/>
      <c r="CE62" s="2253"/>
      <c r="CF62" s="2253"/>
      <c r="CG62" s="2253"/>
      <c r="CH62" s="2253"/>
      <c r="CI62" s="2253"/>
      <c r="CJ62" s="2253"/>
      <c r="CK62" s="2253"/>
      <c r="CL62" s="2253"/>
      <c r="CM62" s="2253"/>
      <c r="CN62" s="2252"/>
      <c r="CO62" s="2252"/>
      <c r="CP62" s="2272"/>
      <c r="CQ62" s="2245"/>
      <c r="CR62" s="2245"/>
      <c r="CS62" s="2245"/>
      <c r="CT62" s="2245"/>
      <c r="CU62" s="2245"/>
      <c r="CV62" s="2245"/>
      <c r="CW62" s="2245"/>
      <c r="CX62" s="2245"/>
      <c r="CY62" s="2245"/>
      <c r="CZ62" s="2245"/>
      <c r="DA62" s="2245"/>
      <c r="DB62" s="2245"/>
      <c r="DC62" s="2245"/>
      <c r="DD62" s="2245"/>
      <c r="DE62" s="2245"/>
      <c r="DF62" s="2250"/>
    </row>
    <row r="63" spans="1:110" s="1715" customFormat="1" hidden="1" outlineLevel="2">
      <c r="A63" s="2275" t="s">
        <v>793</v>
      </c>
      <c r="B63" s="2276"/>
      <c r="C63" s="2276"/>
      <c r="D63" s="2276"/>
      <c r="E63" s="2276"/>
      <c r="F63" s="2276"/>
      <c r="G63" s="2276"/>
      <c r="H63" s="2276"/>
      <c r="I63" s="2276"/>
      <c r="J63" s="2276"/>
      <c r="K63" s="2276"/>
      <c r="L63" s="2276"/>
      <c r="M63" s="2276"/>
      <c r="N63" s="2276"/>
      <c r="O63" s="2276"/>
      <c r="P63" s="2276"/>
      <c r="Q63" s="2276"/>
      <c r="R63" s="2276"/>
      <c r="S63" s="2276"/>
      <c r="T63" s="2276"/>
      <c r="U63" s="2276"/>
      <c r="V63" s="2276"/>
      <c r="W63" s="2276"/>
      <c r="X63" s="2276"/>
      <c r="Y63" s="2276"/>
      <c r="Z63" s="2276"/>
      <c r="AA63" s="2276"/>
      <c r="AB63" s="2276"/>
      <c r="AC63" s="2276"/>
      <c r="AD63" s="2276">
        <f t="shared" ref="AD63:BI63" si="114">AD60*AD52</f>
        <v>7.9927020000000001E-2</v>
      </c>
      <c r="AE63" s="2277">
        <f t="shared" si="114"/>
        <v>0.156</v>
      </c>
      <c r="AF63" s="2278">
        <f t="shared" si="114"/>
        <v>0.20500000000000002</v>
      </c>
      <c r="AG63" s="2276">
        <f t="shared" si="114"/>
        <v>0.318</v>
      </c>
      <c r="AH63" s="2276">
        <f t="shared" si="114"/>
        <v>0.20899999999999999</v>
      </c>
      <c r="AI63" s="2277">
        <f t="shared" si="114"/>
        <v>0.28300000000000003</v>
      </c>
      <c r="AJ63" s="2278">
        <f t="shared" si="114"/>
        <v>0.34899999999999998</v>
      </c>
      <c r="AK63" s="2276">
        <f t="shared" si="114"/>
        <v>0</v>
      </c>
      <c r="AL63" s="2276">
        <f t="shared" si="114"/>
        <v>0.97090180000000004</v>
      </c>
      <c r="AM63" s="2276">
        <f t="shared" si="114"/>
        <v>0.67549160770794048</v>
      </c>
      <c r="AN63" s="2278">
        <f t="shared" si="114"/>
        <v>1.0659214125000001</v>
      </c>
      <c r="AO63" s="2276">
        <f t="shared" si="114"/>
        <v>3.1392528399999997</v>
      </c>
      <c r="AP63" s="2276">
        <f t="shared" si="114"/>
        <v>1.8780260249999996</v>
      </c>
      <c r="AQ63" s="2277">
        <f t="shared" si="114"/>
        <v>2.0555861100000001</v>
      </c>
      <c r="AR63" s="2276">
        <f t="shared" si="114"/>
        <v>2.7240213875000001</v>
      </c>
      <c r="AS63" s="2276">
        <f t="shared" si="114"/>
        <v>3.8455847289999996</v>
      </c>
      <c r="AT63" s="2276">
        <f t="shared" si="114"/>
        <v>2.4233273924392567</v>
      </c>
      <c r="AU63" s="2277">
        <f t="shared" si="114"/>
        <v>2.6726976655448258</v>
      </c>
      <c r="AV63" s="2278">
        <f t="shared" si="114"/>
        <v>3.221034259206343</v>
      </c>
      <c r="AW63" s="2276">
        <f t="shared" si="114"/>
        <v>4.5050517019547307</v>
      </c>
      <c r="AX63" s="2276">
        <f t="shared" si="114"/>
        <v>2.7428604186137475</v>
      </c>
      <c r="AY63" s="2277">
        <f t="shared" si="114"/>
        <v>2.7635693861733506</v>
      </c>
      <c r="AZ63" s="2276"/>
      <c r="BA63" s="2278">
        <f t="shared" si="114"/>
        <v>3.2710841761570881</v>
      </c>
      <c r="BB63" s="2276">
        <f t="shared" si="114"/>
        <v>4.6772447892294453</v>
      </c>
      <c r="BC63" s="189">
        <f t="shared" si="114"/>
        <v>2.8232507250449661</v>
      </c>
      <c r="BD63" s="2277">
        <f t="shared" si="114"/>
        <v>2.8263866903058728</v>
      </c>
      <c r="BE63" s="2276"/>
      <c r="BF63" s="2278">
        <f t="shared" si="114"/>
        <v>3.3089238955467795</v>
      </c>
      <c r="BG63" s="2276">
        <f t="shared" si="114"/>
        <v>4.9495501365475976</v>
      </c>
      <c r="BH63" s="2276">
        <f t="shared" si="114"/>
        <v>2.9373214614104199</v>
      </c>
      <c r="BI63" s="2277">
        <f t="shared" si="114"/>
        <v>2.9106167572355179</v>
      </c>
      <c r="BJ63" s="2276"/>
      <c r="BK63" s="2278">
        <f>BK60*BK52</f>
        <v>3.35578217637023</v>
      </c>
      <c r="BL63" s="2276">
        <f>BL60*BL52</f>
        <v>4.9699730375964597</v>
      </c>
      <c r="BM63" s="2276">
        <f>BM60*BM52</f>
        <v>2.9681680897025782</v>
      </c>
      <c r="BN63" s="2277">
        <f>BN60*BN52</f>
        <v>2.9407056089220522</v>
      </c>
      <c r="BO63" s="2276"/>
      <c r="BP63" s="2278">
        <f>BP60*BP52</f>
        <v>3.4110507294666794</v>
      </c>
      <c r="BQ63" s="2276">
        <f>BQ60*BQ52</f>
        <v>5.0819157636337513</v>
      </c>
      <c r="BR63" s="2276">
        <f>BR60*BR52</f>
        <v>3.0527655619122398</v>
      </c>
      <c r="BS63" s="2277">
        <f>BS60*BS52</f>
        <v>3.0418787877870037</v>
      </c>
      <c r="BT63" s="2276"/>
      <c r="BU63" s="2278">
        <f>BU60*BU52</f>
        <v>3.5263188988540746</v>
      </c>
      <c r="BV63" s="2276">
        <f>BV60*BV52</f>
        <v>5.2506136095488714</v>
      </c>
      <c r="BW63" s="2276">
        <f>BW60*BW52</f>
        <v>3.1523262997999817</v>
      </c>
      <c r="BX63" s="2277">
        <f>BX60*BX52</f>
        <v>3.1393551125239991</v>
      </c>
      <c r="BY63" s="2279"/>
      <c r="BZ63" s="2280">
        <f>H63+I63+J63+K63</f>
        <v>0</v>
      </c>
      <c r="CA63" s="2280">
        <f>L63+M63+N63+O63</f>
        <v>0</v>
      </c>
      <c r="CB63" s="2280"/>
      <c r="CC63" s="2280"/>
      <c r="CD63" s="2277"/>
      <c r="CE63" s="2277">
        <f>AB63+AC63+AD63+AE63</f>
        <v>0.23592701999999999</v>
      </c>
      <c r="CF63" s="2277">
        <f>SUM(AF63:AI63)</f>
        <v>1.0150000000000001</v>
      </c>
      <c r="CG63" s="2277">
        <f>SUM(AJ63:AM63)</f>
        <v>1.9953934077079405</v>
      </c>
      <c r="CH63" s="2277">
        <f>SUM(AN63:AQ63)</f>
        <v>8.1387863874999997</v>
      </c>
      <c r="CI63" s="2277">
        <f>SUM(AR63:AU63)</f>
        <v>11.665631174484082</v>
      </c>
      <c r="CJ63" s="2277">
        <f>SUM(AV63:AY63)</f>
        <v>13.232515765948172</v>
      </c>
      <c r="CK63" s="2277">
        <f>SUM(BA63:BD63)</f>
        <v>13.597966380737372</v>
      </c>
      <c r="CL63" s="2277">
        <f>SUM(BF63:BI63)</f>
        <v>14.106412250740314</v>
      </c>
      <c r="CM63" s="2277">
        <f>SUM(BG63:BK63)</f>
        <v>14.153270531563766</v>
      </c>
      <c r="CN63" s="2276"/>
      <c r="CO63" s="2276"/>
      <c r="CP63" s="2281"/>
      <c r="CQ63" s="2280"/>
      <c r="CR63" s="2280"/>
      <c r="CS63" s="2280"/>
      <c r="CT63" s="2280"/>
      <c r="CU63" s="2280"/>
      <c r="CV63" s="2280"/>
      <c r="CW63" s="2280"/>
      <c r="CX63" s="2280">
        <f>AD63+AE63+AF63+AG63</f>
        <v>0.75892702000000001</v>
      </c>
      <c r="CY63" s="2280">
        <f>SUM(AH63:AK63)</f>
        <v>0.84099999999999997</v>
      </c>
      <c r="CZ63" s="2280">
        <f>SUM(AL63:AO63)</f>
        <v>5.8515676602079409</v>
      </c>
      <c r="DA63" s="2280">
        <f>SUM(AP63:AS63)</f>
        <v>10.503218251499998</v>
      </c>
      <c r="DB63" s="2280">
        <f>SUM(AT63:AW63)</f>
        <v>12.822111019145156</v>
      </c>
      <c r="DC63" s="2280">
        <f>SUM(AX63:BB63)</f>
        <v>13.45475877017363</v>
      </c>
      <c r="DD63" s="2280">
        <f>SUM(BC63:BG63)</f>
        <v>13.908111447445215</v>
      </c>
      <c r="DE63" s="2280">
        <f>SUM(BD63:BH63)</f>
        <v>14.022182183810671</v>
      </c>
      <c r="DF63" s="2276"/>
    </row>
    <row r="64" spans="1:110" s="1715" customFormat="1" hidden="1" outlineLevel="2">
      <c r="A64" s="2269" t="s">
        <v>794</v>
      </c>
      <c r="B64" s="2239"/>
      <c r="C64" s="2239"/>
      <c r="D64" s="2239"/>
      <c r="E64" s="2239"/>
      <c r="F64" s="2250"/>
      <c r="G64" s="2250"/>
      <c r="H64" s="2252"/>
      <c r="I64" s="2252"/>
      <c r="J64" s="2252"/>
      <c r="K64" s="2252"/>
      <c r="L64" s="2252"/>
      <c r="M64" s="2252"/>
      <c r="N64" s="2252"/>
      <c r="O64" s="2252"/>
      <c r="P64" s="2252"/>
      <c r="Q64" s="2252"/>
      <c r="R64" s="2252"/>
      <c r="S64" s="2252"/>
      <c r="T64" s="2252"/>
      <c r="U64" s="2252"/>
      <c r="V64" s="2252"/>
      <c r="W64" s="2252"/>
      <c r="X64" s="2252"/>
      <c r="Y64" s="2252"/>
      <c r="Z64" s="2252"/>
      <c r="AA64" s="2252"/>
      <c r="AB64" s="2252"/>
      <c r="AC64" s="2252"/>
      <c r="AD64" s="2252"/>
      <c r="AE64" s="2253"/>
      <c r="AF64" s="2251"/>
      <c r="AG64" s="2252"/>
      <c r="AH64" s="2252">
        <f t="shared" ref="AH64:AS64" si="115">AH63/AD63-1</f>
        <v>1.6148854292328174</v>
      </c>
      <c r="AI64" s="2253">
        <f t="shared" si="115"/>
        <v>0.81410256410256432</v>
      </c>
      <c r="AJ64" s="2251">
        <f t="shared" si="115"/>
        <v>0.70243902439024364</v>
      </c>
      <c r="AK64" s="2252">
        <f t="shared" si="115"/>
        <v>-1</v>
      </c>
      <c r="AL64" s="2252">
        <f t="shared" si="115"/>
        <v>3.6454631578947376</v>
      </c>
      <c r="AM64" s="2252">
        <f t="shared" si="115"/>
        <v>1.3868961403107436</v>
      </c>
      <c r="AN64" s="2251">
        <f t="shared" si="115"/>
        <v>2.0542160816618913</v>
      </c>
      <c r="AO64" s="2252"/>
      <c r="AP64" s="2252">
        <f t="shared" si="115"/>
        <v>0.93431099314060351</v>
      </c>
      <c r="AQ64" s="2253">
        <f t="shared" si="115"/>
        <v>2.0430964449357978</v>
      </c>
      <c r="AR64" s="2252">
        <f t="shared" si="115"/>
        <v>1.5555555555555554</v>
      </c>
      <c r="AS64" s="2252">
        <f t="shared" si="115"/>
        <v>0.22500000000000009</v>
      </c>
      <c r="AT64" s="2252">
        <f>AT63/AP63-1</f>
        <v>0.29035879172082146</v>
      </c>
      <c r="AU64" s="2253">
        <f>AU63/AQ63-1</f>
        <v>0.30021196997912458</v>
      </c>
      <c r="AV64" s="2251">
        <f t="shared" ref="AV64:AY64" si="116">AV63/AR63-1</f>
        <v>0.18245556880978886</v>
      </c>
      <c r="AW64" s="2252">
        <f t="shared" si="116"/>
        <v>0.17148678794712646</v>
      </c>
      <c r="AX64" s="2252">
        <f t="shared" si="116"/>
        <v>0.13185714285714289</v>
      </c>
      <c r="AY64" s="2253">
        <f t="shared" si="116"/>
        <v>3.4000000000000252E-2</v>
      </c>
      <c r="AZ64" s="2252"/>
      <c r="BA64" s="2251">
        <f>BA63/AV63-1</f>
        <v>1.5538461538461723E-2</v>
      </c>
      <c r="BB64" s="2252">
        <f>BB63/AW63-1</f>
        <v>3.822222222222238E-2</v>
      </c>
      <c r="BC64" s="2594">
        <f>BC63/AX63-1</f>
        <v>2.9308930883128248E-2</v>
      </c>
      <c r="BD64" s="2253">
        <f>BD63/AY63-1</f>
        <v>2.2730496453900795E-2</v>
      </c>
      <c r="BE64" s="2252"/>
      <c r="BF64" s="2251">
        <f>BF63/BA63-1</f>
        <v>1.1567944250870932E-2</v>
      </c>
      <c r="BG64" s="2252">
        <f>BG63/BB63-1</f>
        <v>5.821917808219168E-2</v>
      </c>
      <c r="BH64" s="2252">
        <f>BH63/BC63-1</f>
        <v>4.0404040404040664E-2</v>
      </c>
      <c r="BI64" s="2253">
        <f>BI63/BD63-1</f>
        <v>2.9801324503311299E-2</v>
      </c>
      <c r="BJ64" s="2252"/>
      <c r="BK64" s="2251">
        <f>BK63/BF63-1</f>
        <v>1.4161184210526478E-2</v>
      </c>
      <c r="BL64" s="2252">
        <f>BL63/BG63-1</f>
        <v>4.1262135922330856E-3</v>
      </c>
      <c r="BM64" s="2252">
        <f>BM63/BH63-1</f>
        <v>1.0501618122977341E-2</v>
      </c>
      <c r="BN64" s="2253">
        <f>BN63/BI63-1</f>
        <v>1.0337620578778184E-2</v>
      </c>
      <c r="BO64" s="2252"/>
      <c r="BP64" s="2251">
        <f>BP63/BK63-1</f>
        <v>1.6469648562300376E-2</v>
      </c>
      <c r="BQ64" s="2252">
        <f>BQ63/BL63-1</f>
        <v>2.2523809523809613E-2</v>
      </c>
      <c r="BR64" s="2252">
        <f>BR63/BM63-1</f>
        <v>2.850157728706626E-2</v>
      </c>
      <c r="BS64" s="2253">
        <f>BS63/BN63-1</f>
        <v>3.4404388714733614E-2</v>
      </c>
      <c r="BT64" s="2252"/>
      <c r="BU64" s="2251">
        <f>BU63/BP63-1</f>
        <v>3.3792569659442551E-2</v>
      </c>
      <c r="BV64" s="2252">
        <f>BV63/BQ63-1</f>
        <v>3.319571865443427E-2</v>
      </c>
      <c r="BW64" s="2252">
        <f>BW63/BR63-1</f>
        <v>3.2613293051359404E-2</v>
      </c>
      <c r="BX64" s="2253">
        <f>BX63/BS63-1</f>
        <v>3.2044776119402929E-2</v>
      </c>
      <c r="BY64" s="2258"/>
      <c r="BZ64" s="2245"/>
      <c r="CA64" s="2246"/>
      <c r="CB64" s="2246"/>
      <c r="CC64" s="2246"/>
      <c r="CD64" s="2253"/>
      <c r="CE64" s="2253"/>
      <c r="CF64" s="2253">
        <f t="shared" ref="CF64:CM64" si="117">CF63/CE63-1</f>
        <v>3.3021778514389757</v>
      </c>
      <c r="CG64" s="2253">
        <f t="shared" si="117"/>
        <v>0.96590483518023662</v>
      </c>
      <c r="CH64" s="2253">
        <f t="shared" si="117"/>
        <v>3.0787878500855745</v>
      </c>
      <c r="CI64" s="2253">
        <f t="shared" si="117"/>
        <v>0.4333379227646037</v>
      </c>
      <c r="CJ64" s="2253">
        <f t="shared" si="117"/>
        <v>0.1343163149964226</v>
      </c>
      <c r="CK64" s="2253">
        <f t="shared" si="117"/>
        <v>2.7617621717076046E-2</v>
      </c>
      <c r="CL64" s="2253">
        <f t="shared" si="117"/>
        <v>3.739131689009012E-2</v>
      </c>
      <c r="CM64" s="2253">
        <f t="shared" si="117"/>
        <v>3.3217716872688818E-3</v>
      </c>
      <c r="CN64" s="2252"/>
      <c r="CO64" s="2252"/>
      <c r="CP64" s="2272"/>
      <c r="CQ64" s="2245"/>
      <c r="CR64" s="2245"/>
      <c r="CS64" s="2245"/>
      <c r="CT64" s="2246"/>
      <c r="CU64" s="2246"/>
      <c r="CV64" s="2246"/>
      <c r="CW64" s="2246"/>
      <c r="CX64" s="2246"/>
      <c r="CY64" s="2246">
        <f t="shared" ref="CY64:DE64" si="118">CY63/CX63-1</f>
        <v>0.1081434417765228</v>
      </c>
      <c r="CZ64" s="2246">
        <f t="shared" si="118"/>
        <v>5.9578687992960058</v>
      </c>
      <c r="DA64" s="2246">
        <f t="shared" si="118"/>
        <v>0.7949409220582706</v>
      </c>
      <c r="DB64" s="2246">
        <f t="shared" si="118"/>
        <v>0.22077926137676807</v>
      </c>
      <c r="DC64" s="2246">
        <f t="shared" si="118"/>
        <v>4.9340373834218409E-2</v>
      </c>
      <c r="DD64" s="2246">
        <f t="shared" si="118"/>
        <v>3.3694597206497034E-2</v>
      </c>
      <c r="DE64" s="2246">
        <f t="shared" si="118"/>
        <v>8.2017416093116413E-3</v>
      </c>
      <c r="DF64" s="2252"/>
    </row>
    <row r="65" spans="1:120" s="1715" customFormat="1" hidden="1" outlineLevel="2">
      <c r="A65" s="2269"/>
      <c r="B65" s="2239"/>
      <c r="C65" s="2239"/>
      <c r="D65" s="2252"/>
      <c r="E65" s="2252"/>
      <c r="F65" s="2250"/>
      <c r="G65" s="2250"/>
      <c r="H65" s="2252"/>
      <c r="I65" s="2252"/>
      <c r="J65" s="2250"/>
      <c r="K65" s="2250"/>
      <c r="L65" s="2252"/>
      <c r="M65" s="2252"/>
      <c r="N65" s="2252"/>
      <c r="O65" s="2252"/>
      <c r="P65" s="2252"/>
      <c r="Q65" s="2252"/>
      <c r="R65" s="2252"/>
      <c r="S65" s="2252"/>
      <c r="T65" s="2252"/>
      <c r="U65" s="2252"/>
      <c r="V65" s="2252"/>
      <c r="W65" s="2252"/>
      <c r="X65" s="2252"/>
      <c r="Y65" s="2270"/>
      <c r="Z65" s="2271"/>
      <c r="AA65" s="2252"/>
      <c r="AB65" s="2252"/>
      <c r="AC65" s="2252"/>
      <c r="AD65" s="2252"/>
      <c r="AE65" s="2253"/>
      <c r="AF65" s="2251"/>
      <c r="AG65" s="2252"/>
      <c r="AH65" s="2252"/>
      <c r="AI65" s="2253"/>
      <c r="AJ65" s="2251"/>
      <c r="AK65" s="2252"/>
      <c r="AL65" s="2252"/>
      <c r="AM65" s="2252"/>
      <c r="AN65" s="2251"/>
      <c r="AO65" s="2252"/>
      <c r="AP65" s="2252"/>
      <c r="AQ65" s="2253"/>
      <c r="AR65" s="2252"/>
      <c r="AS65" s="2252"/>
      <c r="AT65" s="2252"/>
      <c r="AU65" s="2253"/>
      <c r="AV65" s="2251"/>
      <c r="AW65" s="2252"/>
      <c r="AX65" s="2252"/>
      <c r="AY65" s="2253"/>
      <c r="AZ65" s="2252"/>
      <c r="BA65" s="2251"/>
      <c r="BB65" s="2252"/>
      <c r="BC65" s="2594"/>
      <c r="BD65" s="2253"/>
      <c r="BE65" s="2252"/>
      <c r="BF65" s="2251"/>
      <c r="BG65" s="2252"/>
      <c r="BH65" s="2252"/>
      <c r="BI65" s="2253"/>
      <c r="BJ65" s="2252"/>
      <c r="BK65" s="2251"/>
      <c r="BL65" s="2252"/>
      <c r="BM65" s="2252"/>
      <c r="BN65" s="2253"/>
      <c r="BO65" s="2252"/>
      <c r="BP65" s="2251"/>
      <c r="BQ65" s="2252"/>
      <c r="BR65" s="2252"/>
      <c r="BS65" s="2253"/>
      <c r="BT65" s="2252"/>
      <c r="BU65" s="2251"/>
      <c r="BV65" s="2252"/>
      <c r="BW65" s="2252"/>
      <c r="BX65" s="2253"/>
      <c r="BY65" s="2258"/>
      <c r="BZ65" s="2245"/>
      <c r="CA65" s="2246"/>
      <c r="CB65" s="2246"/>
      <c r="CC65" s="2246"/>
      <c r="CD65" s="2253"/>
      <c r="CE65" s="2253"/>
      <c r="CF65" s="2253"/>
      <c r="CG65" s="2253"/>
      <c r="CH65" s="2253"/>
      <c r="CI65" s="2253"/>
      <c r="CJ65" s="2253"/>
      <c r="CK65" s="2253"/>
      <c r="CL65" s="2253"/>
      <c r="CM65" s="2253"/>
      <c r="CN65" s="2252"/>
      <c r="CO65" s="2252"/>
      <c r="CP65" s="2272"/>
      <c r="CQ65" s="2245"/>
      <c r="CR65" s="2245"/>
      <c r="CS65" s="2245"/>
      <c r="CT65" s="2245"/>
      <c r="CU65" s="2245"/>
      <c r="CV65" s="2245"/>
      <c r="CW65" s="2245"/>
      <c r="CX65" s="2245"/>
      <c r="CY65" s="2245"/>
      <c r="CZ65" s="2245"/>
      <c r="DA65" s="2245"/>
      <c r="DB65" s="2245"/>
      <c r="DC65" s="2245"/>
      <c r="DD65" s="2245"/>
      <c r="DE65" s="2245"/>
      <c r="DF65" s="2250"/>
      <c r="DI65" s="1715" t="s">
        <v>158</v>
      </c>
      <c r="DJ65" s="1715" t="s">
        <v>154</v>
      </c>
      <c r="DK65" s="1715" t="s">
        <v>155</v>
      </c>
      <c r="DL65" s="1715" t="s">
        <v>156</v>
      </c>
      <c r="DM65" s="1715" t="s">
        <v>157</v>
      </c>
    </row>
    <row r="66" spans="1:120" s="1715" customFormat="1" hidden="1" outlineLevel="2">
      <c r="A66" s="2275" t="s">
        <v>795</v>
      </c>
      <c r="B66" s="2276"/>
      <c r="C66" s="2276"/>
      <c r="D66" s="2276"/>
      <c r="E66" s="2276"/>
      <c r="F66" s="2276"/>
      <c r="G66" s="2276"/>
      <c r="H66" s="2276"/>
      <c r="I66" s="2276"/>
      <c r="J66" s="2276"/>
      <c r="K66" s="2276"/>
      <c r="L66" s="2276"/>
      <c r="M66" s="2276"/>
      <c r="N66" s="2276"/>
      <c r="O66" s="2276"/>
      <c r="P66" s="2276"/>
      <c r="Q66" s="2276"/>
      <c r="R66" s="2276"/>
      <c r="S66" s="2276"/>
      <c r="T66" s="2276"/>
      <c r="U66" s="2276"/>
      <c r="V66" s="2276"/>
      <c r="W66" s="2276"/>
      <c r="X66" s="2276"/>
      <c r="Y66" s="2276"/>
      <c r="Z66" s="2276"/>
      <c r="AA66" s="2276"/>
      <c r="AB66" s="2276"/>
      <c r="AC66" s="2276"/>
      <c r="AD66" s="2276">
        <f t="shared" ref="AD66:AS66" si="119">AD60-AD63</f>
        <v>0</v>
      </c>
      <c r="AE66" s="2277">
        <f t="shared" si="119"/>
        <v>0</v>
      </c>
      <c r="AF66" s="2278">
        <f t="shared" si="119"/>
        <v>0</v>
      </c>
      <c r="AG66" s="2276">
        <f t="shared" si="119"/>
        <v>0</v>
      </c>
      <c r="AH66" s="2276">
        <f t="shared" si="119"/>
        <v>0</v>
      </c>
      <c r="AI66" s="2277">
        <f t="shared" si="119"/>
        <v>0</v>
      </c>
      <c r="AJ66" s="2278">
        <f t="shared" si="119"/>
        <v>0</v>
      </c>
      <c r="AK66" s="2276">
        <f>AK60-AK63</f>
        <v>3.3220000000000001</v>
      </c>
      <c r="AL66" s="2276">
        <f t="shared" si="119"/>
        <v>0.97090180000000004</v>
      </c>
      <c r="AM66" s="2276">
        <f t="shared" si="119"/>
        <v>0.67549160770794048</v>
      </c>
      <c r="AN66" s="2278">
        <f t="shared" si="119"/>
        <v>1.0659214125000001</v>
      </c>
      <c r="AO66" s="2276">
        <f t="shared" si="119"/>
        <v>3.1392528399999997</v>
      </c>
      <c r="AP66" s="2276">
        <f t="shared" si="119"/>
        <v>1.8780260249999996</v>
      </c>
      <c r="AQ66" s="2277">
        <f t="shared" si="119"/>
        <v>2.0555861100000001</v>
      </c>
      <c r="AR66" s="2276">
        <f t="shared" si="119"/>
        <v>2.7240213875000001</v>
      </c>
      <c r="AS66" s="2276">
        <f t="shared" si="119"/>
        <v>3.8455847289999996</v>
      </c>
      <c r="AT66" s="2276">
        <f>AT60-AT63</f>
        <v>2.4233273924392567</v>
      </c>
      <c r="AU66" s="2277">
        <f>AU60-AU63</f>
        <v>2.6726976655448258</v>
      </c>
      <c r="AV66" s="2278">
        <f t="shared" ref="AV66:BI66" si="120">AV60-AV63</f>
        <v>3.221034259206343</v>
      </c>
      <c r="AW66" s="2276">
        <f t="shared" si="120"/>
        <v>4.5050517019547307</v>
      </c>
      <c r="AX66" s="2276">
        <f t="shared" si="120"/>
        <v>2.7428604186137475</v>
      </c>
      <c r="AY66" s="2277">
        <f t="shared" si="120"/>
        <v>2.7635693861733506</v>
      </c>
      <c r="AZ66" s="2276"/>
      <c r="BA66" s="2278">
        <f t="shared" si="120"/>
        <v>3.2710841761570881</v>
      </c>
      <c r="BB66" s="2276">
        <f t="shared" si="120"/>
        <v>4.6772447892294453</v>
      </c>
      <c r="BC66" s="189">
        <f t="shared" si="120"/>
        <v>2.8232507250449661</v>
      </c>
      <c r="BD66" s="2277">
        <f t="shared" si="120"/>
        <v>2.8263866903058728</v>
      </c>
      <c r="BE66" s="2276"/>
      <c r="BF66" s="2278">
        <f t="shared" si="120"/>
        <v>3.3089238955467795</v>
      </c>
      <c r="BG66" s="2276">
        <f t="shared" si="120"/>
        <v>4.9495501365475976</v>
      </c>
      <c r="BH66" s="2276">
        <f t="shared" si="120"/>
        <v>2.9373214614104199</v>
      </c>
      <c r="BI66" s="2277">
        <f t="shared" si="120"/>
        <v>2.9106167572355179</v>
      </c>
      <c r="BJ66" s="2276"/>
      <c r="BK66" s="2278">
        <f>BK60-BK63</f>
        <v>3.35578217637023</v>
      </c>
      <c r="BL66" s="2276">
        <f>BL60-BL63</f>
        <v>4.9699730375964597</v>
      </c>
      <c r="BM66" s="2276">
        <f>BM60-BM63</f>
        <v>2.9681680897025782</v>
      </c>
      <c r="BN66" s="2277">
        <f>BN60-BN63</f>
        <v>2.9407056089220522</v>
      </c>
      <c r="BO66" s="2276"/>
      <c r="BP66" s="2278">
        <f>BP60-BP63</f>
        <v>3.4110507294666794</v>
      </c>
      <c r="BQ66" s="2276">
        <f>BQ60-BQ63</f>
        <v>5.0819157636337513</v>
      </c>
      <c r="BR66" s="2276">
        <f>BR60-BR63</f>
        <v>3.0527655619122398</v>
      </c>
      <c r="BS66" s="2277">
        <f>BS60-BS63</f>
        <v>3.0418787877870037</v>
      </c>
      <c r="BT66" s="2276"/>
      <c r="BU66" s="2278">
        <f>BU60-BU63</f>
        <v>3.5263188988540746</v>
      </c>
      <c r="BV66" s="2276">
        <f>BV60-BV63</f>
        <v>5.2506136095488714</v>
      </c>
      <c r="BW66" s="2276">
        <f>BW60-BW63</f>
        <v>3.1523262997999817</v>
      </c>
      <c r="BX66" s="2277">
        <f>BX60-BX63</f>
        <v>3.1393551125239991</v>
      </c>
      <c r="BY66" s="2279"/>
      <c r="BZ66" s="2280">
        <f>H66+I66+J66+K66</f>
        <v>0</v>
      </c>
      <c r="CA66" s="2280">
        <f>L66+M66+N66+O66</f>
        <v>0</v>
      </c>
      <c r="CB66" s="2280"/>
      <c r="CC66" s="2280"/>
      <c r="CD66" s="2277"/>
      <c r="CE66" s="2277">
        <f>AB66+AC66+AD66+AE66</f>
        <v>0</v>
      </c>
      <c r="CF66" s="2277">
        <f>SUM(AF66:AI66)</f>
        <v>0</v>
      </c>
      <c r="CG66" s="2277">
        <f>SUM(AJ66:AM66)</f>
        <v>4.968393407707941</v>
      </c>
      <c r="CH66" s="2277">
        <f>SUM(AN66:AQ66)</f>
        <v>8.1387863874999997</v>
      </c>
      <c r="CI66" s="2277">
        <f>SUM(AR66:AU66)</f>
        <v>11.665631174484082</v>
      </c>
      <c r="CJ66" s="2277">
        <f>SUM(AV66:AY66)</f>
        <v>13.232515765948172</v>
      </c>
      <c r="CK66" s="2277">
        <f>SUM(BA66:BD66)</f>
        <v>13.597966380737372</v>
      </c>
      <c r="CL66" s="2277">
        <f>SUM(BF66:BI66)</f>
        <v>14.106412250740314</v>
      </c>
      <c r="CM66" s="2277">
        <f>SUM(BG66:BK66)</f>
        <v>14.153270531563766</v>
      </c>
      <c r="CN66" s="2276"/>
      <c r="CO66" s="2276"/>
      <c r="CP66" s="2281"/>
      <c r="CQ66" s="2280"/>
      <c r="CR66" s="2280"/>
      <c r="CS66" s="2280"/>
      <c r="CT66" s="2280"/>
      <c r="CU66" s="2280"/>
      <c r="CV66" s="2280"/>
      <c r="CW66" s="2280"/>
      <c r="CX66" s="2280">
        <f>AD66+AE66+AF66+AG66</f>
        <v>0</v>
      </c>
      <c r="CY66" s="2280">
        <f>SUM(AH66:AK66)</f>
        <v>3.3220000000000001</v>
      </c>
      <c r="CZ66" s="2280">
        <f>SUM(AL66:AO66)</f>
        <v>5.8515676602079409</v>
      </c>
      <c r="DA66" s="2280">
        <f>SUM(AP66:AS66)</f>
        <v>10.503218251499998</v>
      </c>
      <c r="DB66" s="2280">
        <f>SUM(AT66:AW66)</f>
        <v>12.822111019145156</v>
      </c>
      <c r="DC66" s="2280">
        <f>SUM(AX66:BB66)</f>
        <v>13.45475877017363</v>
      </c>
      <c r="DD66" s="2280">
        <f>SUM(BC66:BG66)</f>
        <v>13.908111447445215</v>
      </c>
      <c r="DE66" s="2280">
        <f>SUM(BD66:BH66)</f>
        <v>14.022182183810671</v>
      </c>
      <c r="DF66" s="2276"/>
      <c r="DI66" s="1716">
        <f>M7</f>
        <v>8.2753837113882511E-2</v>
      </c>
      <c r="DJ66" s="1716">
        <f>N7</f>
        <v>0.15314097058370879</v>
      </c>
      <c r="DK66" s="1716">
        <f>O7</f>
        <v>0.15391069034571991</v>
      </c>
      <c r="DL66" s="1716">
        <f>P7</f>
        <v>0.18017836871659587</v>
      </c>
      <c r="DM66" s="1716">
        <f>Q7</f>
        <v>0.17755599244635634</v>
      </c>
      <c r="DN66" s="1716">
        <f>AVERAGE(DJ66:DM66)</f>
        <v>0.16619650552309523</v>
      </c>
      <c r="DP66" s="1717">
        <f>DJ66/DI66-1</f>
        <v>0.85056035979289191</v>
      </c>
    </row>
    <row r="67" spans="1:120" s="1715" customFormat="1" hidden="1" outlineLevel="2">
      <c r="A67" s="2269" t="s">
        <v>794</v>
      </c>
      <c r="B67" s="2239"/>
      <c r="C67" s="2239"/>
      <c r="D67" s="2239"/>
      <c r="E67" s="2239"/>
      <c r="F67" s="2250"/>
      <c r="G67" s="2250"/>
      <c r="H67" s="2252"/>
      <c r="I67" s="2252"/>
      <c r="J67" s="2252"/>
      <c r="K67" s="2252"/>
      <c r="L67" s="2252"/>
      <c r="M67" s="2252"/>
      <c r="N67" s="2252"/>
      <c r="O67" s="2252"/>
      <c r="P67" s="2252"/>
      <c r="Q67" s="2252"/>
      <c r="R67" s="2252"/>
      <c r="S67" s="2252"/>
      <c r="T67" s="2252"/>
      <c r="U67" s="2252"/>
      <c r="V67" s="2252"/>
      <c r="W67" s="2252"/>
      <c r="X67" s="2252"/>
      <c r="Y67" s="2252"/>
      <c r="Z67" s="2252"/>
      <c r="AA67" s="2252"/>
      <c r="AB67" s="2252"/>
      <c r="AC67" s="2252"/>
      <c r="AD67" s="2252"/>
      <c r="AE67" s="2253"/>
      <c r="AF67" s="2251"/>
      <c r="AG67" s="2252"/>
      <c r="AH67" s="2252"/>
      <c r="AI67" s="2253"/>
      <c r="AJ67" s="2251"/>
      <c r="AK67" s="2252"/>
      <c r="AL67" s="2252"/>
      <c r="AM67" s="2252"/>
      <c r="AN67" s="2251"/>
      <c r="AO67" s="2252">
        <f t="shared" ref="AO67:AU67" si="121">AO66/AK66-1</f>
        <v>-5.5011186032510651E-2</v>
      </c>
      <c r="AP67" s="2252">
        <f t="shared" si="121"/>
        <v>0.93431099314060351</v>
      </c>
      <c r="AQ67" s="2253">
        <f t="shared" si="121"/>
        <v>2.0430964449357978</v>
      </c>
      <c r="AR67" s="2252">
        <f t="shared" si="121"/>
        <v>1.5555555555555554</v>
      </c>
      <c r="AS67" s="2252">
        <f t="shared" si="121"/>
        <v>0.22500000000000009</v>
      </c>
      <c r="AT67" s="2252">
        <f t="shared" si="121"/>
        <v>0.29035879172082146</v>
      </c>
      <c r="AU67" s="2253">
        <f t="shared" si="121"/>
        <v>0.30021196997912458</v>
      </c>
      <c r="AV67" s="2251">
        <f t="shared" ref="AV67:AY67" si="122">AV66/AR66-1</f>
        <v>0.18245556880978886</v>
      </c>
      <c r="AW67" s="2252">
        <f t="shared" si="122"/>
        <v>0.17148678794712646</v>
      </c>
      <c r="AX67" s="2252">
        <f t="shared" si="122"/>
        <v>0.13185714285714289</v>
      </c>
      <c r="AY67" s="2253">
        <f t="shared" si="122"/>
        <v>3.4000000000000252E-2</v>
      </c>
      <c r="AZ67" s="2252"/>
      <c r="BA67" s="2251">
        <f>BA66/AV66-1</f>
        <v>1.5538461538461723E-2</v>
      </c>
      <c r="BB67" s="2252">
        <f>BB66/AW66-1</f>
        <v>3.822222222222238E-2</v>
      </c>
      <c r="BC67" s="2594">
        <f>BC66/AX66-1</f>
        <v>2.9308930883128248E-2</v>
      </c>
      <c r="BD67" s="2253">
        <f>BD66/AY66-1</f>
        <v>2.2730496453900795E-2</v>
      </c>
      <c r="BE67" s="2252"/>
      <c r="BF67" s="2251">
        <f>BF66/BA66-1</f>
        <v>1.1567944250870932E-2</v>
      </c>
      <c r="BG67" s="2252">
        <f>BG66/BB66-1</f>
        <v>5.821917808219168E-2</v>
      </c>
      <c r="BH67" s="2252">
        <f>BH66/BC66-1</f>
        <v>4.0404040404040664E-2</v>
      </c>
      <c r="BI67" s="2253">
        <f>BI66/BD66-1</f>
        <v>2.9801324503311299E-2</v>
      </c>
      <c r="BJ67" s="2252"/>
      <c r="BK67" s="2251">
        <f>BK66/BF66-1</f>
        <v>1.4161184210526478E-2</v>
      </c>
      <c r="BL67" s="2252">
        <f>BL66/BG66-1</f>
        <v>4.1262135922330856E-3</v>
      </c>
      <c r="BM67" s="2252">
        <f>BM66/BH66-1</f>
        <v>1.0501618122977341E-2</v>
      </c>
      <c r="BN67" s="2253">
        <f>BN66/BI66-1</f>
        <v>1.0337620578778184E-2</v>
      </c>
      <c r="BO67" s="2252"/>
      <c r="BP67" s="2251">
        <f>BP66/BK66-1</f>
        <v>1.6469648562300376E-2</v>
      </c>
      <c r="BQ67" s="2252">
        <f>BQ66/BL66-1</f>
        <v>2.2523809523809613E-2</v>
      </c>
      <c r="BR67" s="2252">
        <f>BR66/BM66-1</f>
        <v>2.850157728706626E-2</v>
      </c>
      <c r="BS67" s="2253">
        <f>BS66/BN66-1</f>
        <v>3.4404388714733614E-2</v>
      </c>
      <c r="BT67" s="2252"/>
      <c r="BU67" s="2251">
        <f>BU66/BP66-1</f>
        <v>3.3792569659442551E-2</v>
      </c>
      <c r="BV67" s="2252">
        <f>BV66/BQ66-1</f>
        <v>3.319571865443427E-2</v>
      </c>
      <c r="BW67" s="2252">
        <f>BW66/BR66-1</f>
        <v>3.2613293051359404E-2</v>
      </c>
      <c r="BX67" s="2253">
        <f>BX66/BS66-1</f>
        <v>3.2044776119402929E-2</v>
      </c>
      <c r="BY67" s="2258"/>
      <c r="BZ67" s="2245"/>
      <c r="CA67" s="2246"/>
      <c r="CB67" s="2246"/>
      <c r="CC67" s="2246"/>
      <c r="CD67" s="2253"/>
      <c r="CE67" s="2253"/>
      <c r="CF67" s="2253"/>
      <c r="CG67" s="2253"/>
      <c r="CH67" s="2253">
        <f t="shared" ref="CH67:CM67" si="123">CH66/CG66-1</f>
        <v>0.63811230706359257</v>
      </c>
      <c r="CI67" s="2253">
        <f t="shared" si="123"/>
        <v>0.4333379227646037</v>
      </c>
      <c r="CJ67" s="2253">
        <f t="shared" si="123"/>
        <v>0.1343163149964226</v>
      </c>
      <c r="CK67" s="2253">
        <f t="shared" si="123"/>
        <v>2.7617621717076046E-2</v>
      </c>
      <c r="CL67" s="2253">
        <f t="shared" si="123"/>
        <v>3.739131689009012E-2</v>
      </c>
      <c r="CM67" s="2253">
        <f t="shared" si="123"/>
        <v>3.3217716872688818E-3</v>
      </c>
      <c r="CN67" s="2252"/>
      <c r="CO67" s="2252"/>
      <c r="CP67" s="2272"/>
      <c r="CQ67" s="2245"/>
      <c r="CR67" s="2245"/>
      <c r="CS67" s="2245"/>
      <c r="CT67" s="2246"/>
      <c r="CU67" s="2246"/>
      <c r="CV67" s="2246"/>
      <c r="CW67" s="2246"/>
      <c r="CX67" s="2246"/>
      <c r="CY67" s="2246"/>
      <c r="CZ67" s="2246">
        <f t="shared" ref="CZ67:DE67" si="124">CZ66/CY66-1</f>
        <v>0.76145925954483462</v>
      </c>
      <c r="DA67" s="2246">
        <f t="shared" si="124"/>
        <v>0.7949409220582706</v>
      </c>
      <c r="DB67" s="2246">
        <f t="shared" si="124"/>
        <v>0.22077926137676807</v>
      </c>
      <c r="DC67" s="2246">
        <f t="shared" si="124"/>
        <v>4.9340373834218409E-2</v>
      </c>
      <c r="DD67" s="2246">
        <f t="shared" si="124"/>
        <v>3.3694597206497034E-2</v>
      </c>
      <c r="DE67" s="2246">
        <f t="shared" si="124"/>
        <v>8.2017416093116413E-3</v>
      </c>
      <c r="DF67" s="2252"/>
      <c r="DI67" s="1716">
        <f>X7</f>
        <v>4.9304239382348625E-2</v>
      </c>
      <c r="DJ67" s="1716">
        <f>Y7</f>
        <v>0.18798211303104106</v>
      </c>
      <c r="DK67" s="1716">
        <f>Z7</f>
        <v>0.25849795606286197</v>
      </c>
      <c r="DL67" s="1716">
        <f>AA7</f>
        <v>0.20257508299761184</v>
      </c>
      <c r="DM67" s="1716">
        <f>AB7</f>
        <v>9.4857984239588911E-2</v>
      </c>
      <c r="DN67" s="1716">
        <f>AVERAGE(DJ67:DM67)</f>
        <v>0.18597828408277595</v>
      </c>
      <c r="DP67" s="1717">
        <f>DJ67/DI67-1</f>
        <v>2.8126967454717575</v>
      </c>
    </row>
    <row r="68" spans="1:120" s="1715" customFormat="1" hidden="1" outlineLevel="2">
      <c r="A68" s="2269"/>
      <c r="B68" s="2239"/>
      <c r="C68" s="2239"/>
      <c r="D68" s="2252"/>
      <c r="E68" s="2252"/>
      <c r="F68" s="2250"/>
      <c r="G68" s="2250"/>
      <c r="H68" s="2252"/>
      <c r="I68" s="2252"/>
      <c r="J68" s="2250"/>
      <c r="K68" s="2250"/>
      <c r="L68" s="2252"/>
      <c r="M68" s="2252"/>
      <c r="N68" s="2252"/>
      <c r="O68" s="2252"/>
      <c r="P68" s="2252"/>
      <c r="Q68" s="2252"/>
      <c r="R68" s="2252"/>
      <c r="S68" s="2252"/>
      <c r="T68" s="2252"/>
      <c r="U68" s="2252"/>
      <c r="V68" s="2252"/>
      <c r="W68" s="2252"/>
      <c r="X68" s="2252"/>
      <c r="Y68" s="2270"/>
      <c r="Z68" s="2271"/>
      <c r="AA68" s="2252"/>
      <c r="AB68" s="2252"/>
      <c r="AC68" s="2252"/>
      <c r="AD68" s="2252"/>
      <c r="AE68" s="2253"/>
      <c r="AF68" s="2251"/>
      <c r="AG68" s="2252"/>
      <c r="AH68" s="2252"/>
      <c r="AI68" s="2253"/>
      <c r="AJ68" s="2251"/>
      <c r="AK68" s="2252"/>
      <c r="AL68" s="2252"/>
      <c r="AM68" s="2252"/>
      <c r="AN68" s="2251"/>
      <c r="AO68" s="2252"/>
      <c r="AP68" s="2252"/>
      <c r="AQ68" s="2253"/>
      <c r="AR68" s="2252"/>
      <c r="AS68" s="2252"/>
      <c r="AT68" s="2252"/>
      <c r="AU68" s="2253"/>
      <c r="AV68" s="2251"/>
      <c r="AW68" s="2252"/>
      <c r="AX68" s="2252"/>
      <c r="AY68" s="2253"/>
      <c r="AZ68" s="2252"/>
      <c r="BA68" s="2251"/>
      <c r="BB68" s="2252"/>
      <c r="BC68" s="2594"/>
      <c r="BD68" s="2253"/>
      <c r="BE68" s="2252"/>
      <c r="BF68" s="2251"/>
      <c r="BG68" s="2252"/>
      <c r="BH68" s="2252"/>
      <c r="BI68" s="2253"/>
      <c r="BJ68" s="2252"/>
      <c r="BK68" s="2251"/>
      <c r="BL68" s="2252"/>
      <c r="BM68" s="2252"/>
      <c r="BN68" s="2253"/>
      <c r="BO68" s="2252"/>
      <c r="BP68" s="2251"/>
      <c r="BQ68" s="2252"/>
      <c r="BR68" s="2252"/>
      <c r="BS68" s="2253"/>
      <c r="BT68" s="2252"/>
      <c r="BU68" s="2251"/>
      <c r="BV68" s="2252"/>
      <c r="BW68" s="2252"/>
      <c r="BX68" s="2253"/>
      <c r="BY68" s="2258"/>
      <c r="BZ68" s="2245"/>
      <c r="CA68" s="2246"/>
      <c r="CB68" s="2246"/>
      <c r="CC68" s="2246"/>
      <c r="CD68" s="2253"/>
      <c r="CE68" s="2253"/>
      <c r="CF68" s="2253"/>
      <c r="CG68" s="2253"/>
      <c r="CH68" s="2253"/>
      <c r="CI68" s="2253"/>
      <c r="CJ68" s="2253"/>
      <c r="CK68" s="2253"/>
      <c r="CL68" s="2253"/>
      <c r="CM68" s="2253"/>
      <c r="CN68" s="2252"/>
      <c r="CO68" s="2252"/>
      <c r="CP68" s="2272"/>
      <c r="CQ68" s="2245"/>
      <c r="CR68" s="2245"/>
      <c r="CS68" s="2245"/>
      <c r="CT68" s="2245"/>
      <c r="CU68" s="2245"/>
      <c r="CV68" s="2245"/>
      <c r="CW68" s="2245"/>
      <c r="CX68" s="2245"/>
      <c r="CY68" s="2245"/>
      <c r="CZ68" s="2245"/>
      <c r="DA68" s="2245"/>
      <c r="DB68" s="2245"/>
      <c r="DC68" s="2245"/>
      <c r="DD68" s="2245"/>
      <c r="DE68" s="2245"/>
      <c r="DF68" s="2250"/>
    </row>
    <row r="69" spans="1:120" s="1715" customFormat="1" hidden="1" outlineLevel="1">
      <c r="A69" s="2282" t="s">
        <v>706</v>
      </c>
      <c r="B69" s="2239"/>
      <c r="C69" s="2239"/>
      <c r="D69" s="2283"/>
      <c r="E69" s="2239"/>
      <c r="F69" s="2250"/>
      <c r="G69" s="2250"/>
      <c r="H69" s="2250"/>
      <c r="I69" s="2250"/>
      <c r="J69" s="2250"/>
      <c r="K69" s="2250"/>
      <c r="L69" s="2251">
        <f t="shared" ref="L69:BI69" si="125">1-L10</f>
        <v>0.2955147031025408</v>
      </c>
      <c r="M69" s="2252">
        <f t="shared" si="125"/>
        <v>0.29319658178604335</v>
      </c>
      <c r="N69" s="2252">
        <f t="shared" si="125"/>
        <v>0.26250436559383439</v>
      </c>
      <c r="O69" s="2253">
        <f t="shared" si="125"/>
        <v>0.30565922781941379</v>
      </c>
      <c r="P69" s="2241">
        <f t="shared" si="125"/>
        <v>0.27923037354870828</v>
      </c>
      <c r="Q69" s="2240">
        <f t="shared" si="125"/>
        <v>0.28791493332595752</v>
      </c>
      <c r="R69" s="2240">
        <f t="shared" si="125"/>
        <v>0.32938249549712162</v>
      </c>
      <c r="S69" s="2242">
        <f t="shared" si="125"/>
        <v>0.2655627275474165</v>
      </c>
      <c r="T69" s="2241">
        <f t="shared" si="125"/>
        <v>0.3169100517726493</v>
      </c>
      <c r="U69" s="2240">
        <f t="shared" si="125"/>
        <v>0.28249978807024556</v>
      </c>
      <c r="V69" s="2240">
        <f t="shared" si="125"/>
        <v>0.32102405646687127</v>
      </c>
      <c r="W69" s="2242">
        <f t="shared" si="125"/>
        <v>0.30000000000000004</v>
      </c>
      <c r="X69" s="2241">
        <f t="shared" si="125"/>
        <v>0.28500000000000003</v>
      </c>
      <c r="Y69" s="2240">
        <f t="shared" si="125"/>
        <v>0.248</v>
      </c>
      <c r="Z69" s="2240">
        <f t="shared" si="125"/>
        <v>0.29500000000000004</v>
      </c>
      <c r="AA69" s="2242">
        <f t="shared" si="125"/>
        <v>0.26831973085639926</v>
      </c>
      <c r="AB69" s="2251">
        <f t="shared" si="125"/>
        <v>0.3175</v>
      </c>
      <c r="AC69" s="2252">
        <f t="shared" si="125"/>
        <v>0.30599331494476945</v>
      </c>
      <c r="AD69" s="2252">
        <f t="shared" si="125"/>
        <v>0.30200000000000005</v>
      </c>
      <c r="AE69" s="2253">
        <f t="shared" si="125"/>
        <v>0.28266640280039179</v>
      </c>
      <c r="AF69" s="2251">
        <f t="shared" si="125"/>
        <v>0.3041176470588236</v>
      </c>
      <c r="AG69" s="2252">
        <f t="shared" si="125"/>
        <v>0.32745743922482817</v>
      </c>
      <c r="AH69" s="2252">
        <f t="shared" si="125"/>
        <v>0.30200000000000038</v>
      </c>
      <c r="AI69" s="2253">
        <f t="shared" si="125"/>
        <v>0.26479307893224846</v>
      </c>
      <c r="AJ69" s="2251">
        <f t="shared" si="125"/>
        <v>0.26117733238039553</v>
      </c>
      <c r="AK69" s="2252">
        <f t="shared" si="125"/>
        <v>0.24223303128779217</v>
      </c>
      <c r="AL69" s="2252">
        <f t="shared" si="125"/>
        <v>0.26295194725275672</v>
      </c>
      <c r="AM69" s="2252">
        <f t="shared" si="125"/>
        <v>0.25834764506517305</v>
      </c>
      <c r="AN69" s="2251">
        <f t="shared" si="125"/>
        <v>0.27771244385287774</v>
      </c>
      <c r="AO69" s="2252">
        <f t="shared" si="125"/>
        <v>0.23110748644880841</v>
      </c>
      <c r="AP69" s="2252">
        <f t="shared" si="125"/>
        <v>0.22155260494802298</v>
      </c>
      <c r="AQ69" s="2253">
        <f t="shared" si="125"/>
        <v>0.24932946317527105</v>
      </c>
      <c r="AR69" s="2252">
        <f t="shared" si="125"/>
        <v>0.31499999999999995</v>
      </c>
      <c r="AS69" s="2252">
        <f t="shared" si="125"/>
        <v>0.28000000000000003</v>
      </c>
      <c r="AT69" s="2252">
        <f t="shared" si="125"/>
        <v>0.31999999999999995</v>
      </c>
      <c r="AU69" s="2253">
        <f t="shared" si="125"/>
        <v>0.31999999999999995</v>
      </c>
      <c r="AV69" s="2251">
        <f t="shared" si="125"/>
        <v>0.35</v>
      </c>
      <c r="AW69" s="2252">
        <f t="shared" si="125"/>
        <v>0.35</v>
      </c>
      <c r="AX69" s="2252">
        <f t="shared" si="125"/>
        <v>0.35</v>
      </c>
      <c r="AY69" s="2253">
        <f t="shared" si="125"/>
        <v>0.35</v>
      </c>
      <c r="AZ69" s="2252"/>
      <c r="BA69" s="2251">
        <f t="shared" si="125"/>
        <v>0.35703775606827681</v>
      </c>
      <c r="BB69" s="2252">
        <f t="shared" si="125"/>
        <v>0.3442242004170265</v>
      </c>
      <c r="BC69" s="2594">
        <f t="shared" si="125"/>
        <v>0.34429154799823469</v>
      </c>
      <c r="BD69" s="2253">
        <f t="shared" si="125"/>
        <v>0.33549109088180917</v>
      </c>
      <c r="BE69" s="2252"/>
      <c r="BF69" s="2251">
        <f t="shared" si="125"/>
        <v>0.32297354854135751</v>
      </c>
      <c r="BG69" s="2252">
        <f t="shared" si="125"/>
        <v>0.32672420041702654</v>
      </c>
      <c r="BH69" s="2252">
        <f t="shared" si="125"/>
        <v>0.32329154799823467</v>
      </c>
      <c r="BI69" s="2253">
        <f t="shared" si="125"/>
        <v>0.32549109088180916</v>
      </c>
      <c r="BJ69" s="2252"/>
      <c r="BK69" s="2251">
        <f>1-BK10</f>
        <v>0.32297354854135751</v>
      </c>
      <c r="BL69" s="2252">
        <f>1-BL10</f>
        <v>0.32672420041702654</v>
      </c>
      <c r="BM69" s="2252">
        <f>1-BM10</f>
        <v>0.32329154799823467</v>
      </c>
      <c r="BN69" s="2253">
        <f>1-BN10</f>
        <v>0.32549109088180916</v>
      </c>
      <c r="BO69" s="2252"/>
      <c r="BP69" s="2251">
        <f>1-BP10</f>
        <v>0.32297354854135751</v>
      </c>
      <c r="BQ69" s="2252">
        <f>1-BQ10</f>
        <v>0.32672420041702654</v>
      </c>
      <c r="BR69" s="2252">
        <f>1-BR10</f>
        <v>0.32329154799823467</v>
      </c>
      <c r="BS69" s="2253">
        <f>1-BS10</f>
        <v>0.32549109088180916</v>
      </c>
      <c r="BT69" s="2252"/>
      <c r="BU69" s="2251">
        <f>1-BU10</f>
        <v>0.32297354854135751</v>
      </c>
      <c r="BV69" s="2252">
        <f>1-BV10</f>
        <v>0.32672420041702654</v>
      </c>
      <c r="BW69" s="2252">
        <f>1-BW10</f>
        <v>0.32329154799823467</v>
      </c>
      <c r="BX69" s="2253">
        <f>1-BX10</f>
        <v>0.32549109088180916</v>
      </c>
      <c r="BY69" s="2244"/>
      <c r="BZ69" s="2246">
        <f t="shared" ref="BZ69:CL69" si="126">1-BZ10</f>
        <v>0.30020184494194335</v>
      </c>
      <c r="CA69" s="2246">
        <f t="shared" si="126"/>
        <v>0.28912570258948844</v>
      </c>
      <c r="CB69" s="2247">
        <f t="shared" si="126"/>
        <v>0.29063785356692806</v>
      </c>
      <c r="CC69" s="2247">
        <f t="shared" si="126"/>
        <v>0.30477409676902711</v>
      </c>
      <c r="CD69" s="2242">
        <f t="shared" si="126"/>
        <v>0.27351394333255752</v>
      </c>
      <c r="CE69" s="2242">
        <f t="shared" si="126"/>
        <v>0.302325056400642</v>
      </c>
      <c r="CF69" s="2242">
        <f t="shared" si="126"/>
        <v>0.30053584141185408</v>
      </c>
      <c r="CG69" s="2242">
        <f t="shared" si="126"/>
        <v>0.25591119210981783</v>
      </c>
      <c r="CH69" s="2242">
        <f t="shared" si="126"/>
        <v>0.24521766227723796</v>
      </c>
      <c r="CI69" s="2242">
        <f t="shared" si="126"/>
        <v>0.30769337432291599</v>
      </c>
      <c r="CJ69" s="2242">
        <f t="shared" si="126"/>
        <v>0.35</v>
      </c>
      <c r="CK69" s="2242">
        <f t="shared" si="126"/>
        <v>0.34557374640562533</v>
      </c>
      <c r="CL69" s="2242">
        <f t="shared" si="126"/>
        <v>0.32465737463997535</v>
      </c>
      <c r="CM69" s="2242">
        <f>1-CM10</f>
        <v>0.32465737463997546</v>
      </c>
      <c r="CN69" s="2240"/>
      <c r="CO69" s="2240"/>
      <c r="CP69" s="2248"/>
      <c r="CQ69" s="2246"/>
      <c r="CR69" s="2246">
        <f t="shared" ref="CR69:DD69" si="127">1-CR10</f>
        <v>0.31449069813648678</v>
      </c>
      <c r="CS69" s="2246">
        <f t="shared" si="127"/>
        <v>0.29531451062939407</v>
      </c>
      <c r="CT69" s="2247">
        <f t="shared" si="127"/>
        <v>0.28384811483521322</v>
      </c>
      <c r="CU69" s="2247">
        <f t="shared" si="127"/>
        <v>0.29883728619591077</v>
      </c>
      <c r="CV69" s="2247">
        <f t="shared" si="127"/>
        <v>0.28529669309058048</v>
      </c>
      <c r="CW69" s="2247">
        <f t="shared" si="127"/>
        <v>0.29734585204674269</v>
      </c>
      <c r="CX69" s="2246">
        <f t="shared" si="127"/>
        <v>0.3046475463930236</v>
      </c>
      <c r="CY69" s="2246">
        <f t="shared" si="127"/>
        <v>0.26769626721414519</v>
      </c>
      <c r="CZ69" s="2246">
        <f t="shared" si="127"/>
        <v>0.25722427397873915</v>
      </c>
      <c r="DA69" s="2246">
        <f t="shared" si="127"/>
        <v>0.26766281428469951</v>
      </c>
      <c r="DB69" s="2246">
        <f t="shared" si="127"/>
        <v>0.33545010376595275</v>
      </c>
      <c r="DC69" s="2246">
        <f t="shared" si="127"/>
        <v>0.35032081548430349</v>
      </c>
      <c r="DD69" s="2246">
        <f t="shared" si="127"/>
        <v>0.3318456369663394</v>
      </c>
      <c r="DE69" s="2246">
        <f>1-DE10</f>
        <v>0.32465623890229367</v>
      </c>
      <c r="DF69" s="2252"/>
    </row>
    <row r="70" spans="1:120" s="1715" customFormat="1" hidden="1" outlineLevel="1">
      <c r="A70" s="2284"/>
      <c r="B70" s="2239"/>
      <c r="C70" s="2239"/>
      <c r="D70" s="2239"/>
      <c r="E70" s="2239"/>
      <c r="F70" s="2239"/>
      <c r="G70" s="2239"/>
      <c r="H70" s="2285"/>
      <c r="I70" s="2239"/>
      <c r="J70" s="2285"/>
      <c r="K70" s="2285"/>
      <c r="L70" s="2286"/>
      <c r="M70" s="2239"/>
      <c r="N70" s="2285"/>
      <c r="O70" s="2260"/>
      <c r="P70" s="2287"/>
      <c r="Q70" s="2288"/>
      <c r="R70" s="2288"/>
      <c r="S70" s="2289"/>
      <c r="T70" s="2287"/>
      <c r="U70" s="2288"/>
      <c r="V70" s="2288"/>
      <c r="W70" s="2289"/>
      <c r="X70" s="2290"/>
      <c r="Y70" s="2288"/>
      <c r="Z70" s="2288"/>
      <c r="AA70" s="2289"/>
      <c r="AB70" s="2264"/>
      <c r="AC70" s="2239"/>
      <c r="AD70" s="2239"/>
      <c r="AE70" s="2260"/>
      <c r="AF70" s="2264"/>
      <c r="AG70" s="2239"/>
      <c r="AH70" s="2239"/>
      <c r="AI70" s="2260"/>
      <c r="AJ70" s="2264"/>
      <c r="AK70" s="2239"/>
      <c r="AL70" s="2239"/>
      <c r="AM70" s="2239"/>
      <c r="AN70" s="2264"/>
      <c r="AO70" s="2239"/>
      <c r="AP70" s="2239"/>
      <c r="AQ70" s="2260"/>
      <c r="AR70" s="2239"/>
      <c r="AS70" s="2239"/>
      <c r="AT70" s="2239"/>
      <c r="AU70" s="2260"/>
      <c r="AV70" s="2264"/>
      <c r="AW70" s="2239"/>
      <c r="AX70" s="2239"/>
      <c r="AY70" s="2260"/>
      <c r="AZ70" s="2239"/>
      <c r="BA70" s="2264"/>
      <c r="BB70" s="2239"/>
      <c r="BC70" s="2604"/>
      <c r="BD70" s="2260"/>
      <c r="BE70" s="2239"/>
      <c r="BF70" s="2264"/>
      <c r="BG70" s="2239"/>
      <c r="BH70" s="2239"/>
      <c r="BI70" s="2260"/>
      <c r="BJ70" s="2239"/>
      <c r="BK70" s="2264"/>
      <c r="BL70" s="2239"/>
      <c r="BM70" s="2239"/>
      <c r="BN70" s="2260"/>
      <c r="BO70" s="2239"/>
      <c r="BP70" s="2264"/>
      <c r="BQ70" s="2239"/>
      <c r="BR70" s="2239"/>
      <c r="BS70" s="2260"/>
      <c r="BT70" s="2239"/>
      <c r="BU70" s="2264"/>
      <c r="BV70" s="2239"/>
      <c r="BW70" s="2239"/>
      <c r="BX70" s="2260"/>
      <c r="BY70" s="2244"/>
      <c r="BZ70" s="2259"/>
      <c r="CA70" s="2259"/>
      <c r="CB70" s="2291"/>
      <c r="CC70" s="2291"/>
      <c r="CD70" s="2292"/>
      <c r="CE70" s="2289"/>
      <c r="CF70" s="2289"/>
      <c r="CG70" s="2289"/>
      <c r="CH70" s="2289"/>
      <c r="CI70" s="2289"/>
      <c r="CJ70" s="2289"/>
      <c r="CK70" s="2289"/>
      <c r="CL70" s="2289"/>
      <c r="CM70" s="2289"/>
      <c r="CN70" s="2288"/>
      <c r="CO70" s="2288"/>
      <c r="CP70" s="2244"/>
      <c r="CQ70" s="2259"/>
      <c r="CR70" s="2259"/>
      <c r="CS70" s="2259"/>
      <c r="CT70" s="2291"/>
      <c r="CU70" s="2291"/>
      <c r="CV70" s="2291"/>
      <c r="CW70" s="2291"/>
      <c r="CX70" s="2259"/>
      <c r="CY70" s="2259"/>
      <c r="CZ70" s="2259"/>
      <c r="DA70" s="2259"/>
      <c r="DB70" s="2259"/>
      <c r="DC70" s="2259"/>
      <c r="DD70" s="2259"/>
      <c r="DE70" s="2259"/>
      <c r="DF70" s="2239"/>
    </row>
    <row r="71" spans="1:120" s="1715" customFormat="1" hidden="1" outlineLevel="2">
      <c r="A71" s="2275" t="s">
        <v>302</v>
      </c>
      <c r="B71" s="2239"/>
      <c r="C71" s="2239"/>
      <c r="D71" s="2239"/>
      <c r="E71" s="2239"/>
      <c r="F71" s="2239"/>
      <c r="G71" s="2239"/>
      <c r="H71" s="2239"/>
      <c r="I71" s="2285"/>
      <c r="J71" s="2239"/>
      <c r="K71" s="2239"/>
      <c r="L71" s="2264"/>
      <c r="M71" s="2239"/>
      <c r="N71" s="2239"/>
      <c r="O71" s="2260"/>
      <c r="P71" s="2287"/>
      <c r="Q71" s="2288"/>
      <c r="R71" s="2288"/>
      <c r="S71" s="2289"/>
      <c r="T71" s="2287"/>
      <c r="U71" s="2288"/>
      <c r="V71" s="2288"/>
      <c r="W71" s="2289"/>
      <c r="X71" s="2287"/>
      <c r="Y71" s="2288"/>
      <c r="Z71" s="2288"/>
      <c r="AA71" s="2289"/>
      <c r="AB71" s="2264"/>
      <c r="AC71" s="2239"/>
      <c r="AD71" s="2239"/>
      <c r="AE71" s="2260"/>
      <c r="AF71" s="2264"/>
      <c r="AG71" s="2239"/>
      <c r="AH71" s="2239"/>
      <c r="AI71" s="2260"/>
      <c r="AJ71" s="2264"/>
      <c r="AK71" s="2239"/>
      <c r="AL71" s="2239"/>
      <c r="AM71" s="2239"/>
      <c r="AN71" s="2264"/>
      <c r="AO71" s="2239"/>
      <c r="AP71" s="2239"/>
      <c r="AQ71" s="2260"/>
      <c r="AR71" s="2239"/>
      <c r="AS71" s="2239"/>
      <c r="AT71" s="2239"/>
      <c r="AU71" s="2260"/>
      <c r="AV71" s="2264"/>
      <c r="AW71" s="2239"/>
      <c r="AX71" s="2239"/>
      <c r="AY71" s="2260"/>
      <c r="AZ71" s="2239"/>
      <c r="BA71" s="2264"/>
      <c r="BB71" s="2239"/>
      <c r="BC71" s="2604"/>
      <c r="BD71" s="2260"/>
      <c r="BE71" s="2239"/>
      <c r="BF71" s="2264"/>
      <c r="BG71" s="2239"/>
      <c r="BH71" s="2239"/>
      <c r="BI71" s="2260"/>
      <c r="BJ71" s="2239"/>
      <c r="BK71" s="2264"/>
      <c r="BL71" s="2239"/>
      <c r="BM71" s="2239"/>
      <c r="BN71" s="2260"/>
      <c r="BO71" s="2239"/>
      <c r="BP71" s="2264"/>
      <c r="BQ71" s="2239"/>
      <c r="BR71" s="2239"/>
      <c r="BS71" s="2260"/>
      <c r="BT71" s="2239"/>
      <c r="BU71" s="2264"/>
      <c r="BV71" s="2239"/>
      <c r="BW71" s="2239"/>
      <c r="BX71" s="2260"/>
      <c r="BY71" s="2244"/>
      <c r="BZ71" s="2259"/>
      <c r="CA71" s="2259"/>
      <c r="CB71" s="2291"/>
      <c r="CC71" s="2291"/>
      <c r="CD71" s="2289"/>
      <c r="CE71" s="2289"/>
      <c r="CF71" s="2289"/>
      <c r="CG71" s="2289"/>
      <c r="CH71" s="2289"/>
      <c r="CI71" s="2289"/>
      <c r="CJ71" s="2289"/>
      <c r="CK71" s="2289"/>
      <c r="CL71" s="2289"/>
      <c r="CM71" s="2289"/>
      <c r="CN71" s="2288"/>
      <c r="CO71" s="2288"/>
      <c r="CP71" s="2244"/>
      <c r="CQ71" s="2259"/>
      <c r="CR71" s="2259"/>
      <c r="CS71" s="2259"/>
      <c r="CT71" s="2291"/>
      <c r="CU71" s="2291"/>
      <c r="CV71" s="2291"/>
      <c r="CW71" s="2291"/>
      <c r="CX71" s="2259"/>
      <c r="CY71" s="2259"/>
      <c r="CZ71" s="2259"/>
      <c r="DA71" s="2259"/>
      <c r="DB71" s="2259"/>
      <c r="DC71" s="2259"/>
      <c r="DD71" s="2259"/>
      <c r="DE71" s="2259"/>
      <c r="DF71" s="2239"/>
    </row>
    <row r="72" spans="1:120" s="1715" customFormat="1" hidden="1" outlineLevel="2">
      <c r="A72" s="2293" t="s">
        <v>289</v>
      </c>
      <c r="B72" s="2239"/>
      <c r="C72" s="2239"/>
      <c r="D72" s="2239"/>
      <c r="E72" s="2239"/>
      <c r="F72" s="2294">
        <f t="shared" ref="F72:AK72" si="128">F73*F$11</f>
        <v>15.962892332484225</v>
      </c>
      <c r="G72" s="2294">
        <f t="shared" si="128"/>
        <v>15.864105743309864</v>
      </c>
      <c r="H72" s="2294">
        <f t="shared" si="128"/>
        <v>18.51725930339391</v>
      </c>
      <c r="I72" s="2294">
        <f t="shared" si="128"/>
        <v>21.652544547119255</v>
      </c>
      <c r="J72" s="2294">
        <f t="shared" si="128"/>
        <v>17.475673513708234</v>
      </c>
      <c r="K72" s="2294">
        <f t="shared" si="128"/>
        <v>17.080783937416331</v>
      </c>
      <c r="L72" s="2295">
        <f t="shared" si="128"/>
        <v>17.021454552403242</v>
      </c>
      <c r="M72" s="2294">
        <f t="shared" si="128"/>
        <v>15.405244287771762</v>
      </c>
      <c r="N72" s="2294">
        <f t="shared" si="128"/>
        <v>5.5009963270052529</v>
      </c>
      <c r="O72" s="2296">
        <f t="shared" si="128"/>
        <v>4.7899776374196916</v>
      </c>
      <c r="P72" s="2297">
        <f t="shared" si="128"/>
        <v>5.1632390336501786</v>
      </c>
      <c r="Q72" s="2298">
        <f t="shared" si="128"/>
        <v>5.1505357036038992</v>
      </c>
      <c r="R72" s="2298">
        <f t="shared" si="128"/>
        <v>0.57656239752131999</v>
      </c>
      <c r="S72" s="2299">
        <f t="shared" si="128"/>
        <v>0.41491209688662445</v>
      </c>
      <c r="T72" s="2297">
        <f t="shared" si="128"/>
        <v>0</v>
      </c>
      <c r="U72" s="2298">
        <f t="shared" si="128"/>
        <v>0</v>
      </c>
      <c r="V72" s="2298">
        <f t="shared" si="128"/>
        <v>0</v>
      </c>
      <c r="W72" s="2298">
        <f t="shared" si="128"/>
        <v>0</v>
      </c>
      <c r="X72" s="2297">
        <f t="shared" si="128"/>
        <v>0</v>
      </c>
      <c r="Y72" s="2298">
        <f t="shared" si="128"/>
        <v>0</v>
      </c>
      <c r="Z72" s="2298">
        <f t="shared" si="128"/>
        <v>0</v>
      </c>
      <c r="AA72" s="2299">
        <f t="shared" si="128"/>
        <v>0</v>
      </c>
      <c r="AB72" s="2295">
        <f t="shared" si="128"/>
        <v>0</v>
      </c>
      <c r="AC72" s="2294">
        <f t="shared" si="128"/>
        <v>0</v>
      </c>
      <c r="AD72" s="2294">
        <f t="shared" si="128"/>
        <v>0</v>
      </c>
      <c r="AE72" s="2296">
        <f t="shared" si="128"/>
        <v>0</v>
      </c>
      <c r="AF72" s="2295">
        <f t="shared" si="128"/>
        <v>0</v>
      </c>
      <c r="AG72" s="2294">
        <f t="shared" si="128"/>
        <v>0</v>
      </c>
      <c r="AH72" s="2294">
        <f t="shared" si="128"/>
        <v>0</v>
      </c>
      <c r="AI72" s="2296">
        <f t="shared" si="128"/>
        <v>0</v>
      </c>
      <c r="AJ72" s="2295">
        <f t="shared" si="128"/>
        <v>0</v>
      </c>
      <c r="AK72" s="2294">
        <f t="shared" si="128"/>
        <v>0</v>
      </c>
      <c r="AL72" s="2294">
        <f t="shared" ref="AL72:BX72" si="129">AL73*AL$11</f>
        <v>0</v>
      </c>
      <c r="AM72" s="2294">
        <f t="shared" si="129"/>
        <v>0</v>
      </c>
      <c r="AN72" s="2295">
        <f t="shared" si="129"/>
        <v>0</v>
      </c>
      <c r="AO72" s="2294">
        <f t="shared" si="129"/>
        <v>0</v>
      </c>
      <c r="AP72" s="2294">
        <f t="shared" si="129"/>
        <v>0</v>
      </c>
      <c r="AQ72" s="2296">
        <f t="shared" si="129"/>
        <v>0</v>
      </c>
      <c r="AR72" s="2294">
        <f t="shared" si="129"/>
        <v>0</v>
      </c>
      <c r="AS72" s="2294">
        <f t="shared" si="129"/>
        <v>0</v>
      </c>
      <c r="AT72" s="2294">
        <f t="shared" si="129"/>
        <v>0</v>
      </c>
      <c r="AU72" s="2296">
        <f t="shared" si="129"/>
        <v>0</v>
      </c>
      <c r="AV72" s="2295">
        <f t="shared" si="129"/>
        <v>0</v>
      </c>
      <c r="AW72" s="2294">
        <f t="shared" si="129"/>
        <v>0</v>
      </c>
      <c r="AX72" s="2294">
        <f t="shared" si="129"/>
        <v>0</v>
      </c>
      <c r="AY72" s="2296">
        <f t="shared" si="129"/>
        <v>0</v>
      </c>
      <c r="AZ72" s="2294"/>
      <c r="BA72" s="2295">
        <f t="shared" si="129"/>
        <v>0</v>
      </c>
      <c r="BB72" s="2294">
        <f t="shared" si="129"/>
        <v>0</v>
      </c>
      <c r="BC72" s="2598">
        <f t="shared" si="129"/>
        <v>0</v>
      </c>
      <c r="BD72" s="2296">
        <f t="shared" si="129"/>
        <v>0</v>
      </c>
      <c r="BE72" s="2294"/>
      <c r="BF72" s="2295">
        <f t="shared" si="129"/>
        <v>0</v>
      </c>
      <c r="BG72" s="2294">
        <f t="shared" si="129"/>
        <v>0</v>
      </c>
      <c r="BH72" s="2294">
        <f t="shared" si="129"/>
        <v>0</v>
      </c>
      <c r="BI72" s="2296">
        <f t="shared" si="129"/>
        <v>0</v>
      </c>
      <c r="BJ72" s="2294"/>
      <c r="BK72" s="2295">
        <f t="shared" si="129"/>
        <v>0</v>
      </c>
      <c r="BL72" s="2294">
        <f t="shared" si="129"/>
        <v>0</v>
      </c>
      <c r="BM72" s="2294">
        <f t="shared" si="129"/>
        <v>0</v>
      </c>
      <c r="BN72" s="2296">
        <f t="shared" si="129"/>
        <v>0</v>
      </c>
      <c r="BO72" s="2294"/>
      <c r="BP72" s="2295">
        <f t="shared" si="129"/>
        <v>0</v>
      </c>
      <c r="BQ72" s="2294">
        <f t="shared" si="129"/>
        <v>0</v>
      </c>
      <c r="BR72" s="2294">
        <f t="shared" si="129"/>
        <v>0</v>
      </c>
      <c r="BS72" s="2296">
        <f t="shared" si="129"/>
        <v>0</v>
      </c>
      <c r="BT72" s="2294"/>
      <c r="BU72" s="2295">
        <f t="shared" si="129"/>
        <v>0</v>
      </c>
      <c r="BV72" s="2294">
        <f t="shared" si="129"/>
        <v>0</v>
      </c>
      <c r="BW72" s="2294">
        <f t="shared" si="129"/>
        <v>0</v>
      </c>
      <c r="BX72" s="2296">
        <f t="shared" si="129"/>
        <v>0</v>
      </c>
      <c r="BY72" s="2244"/>
      <c r="BZ72" s="2261">
        <f>H72+I72+J72+K72</f>
        <v>74.72626130163772</v>
      </c>
      <c r="CA72" s="2261">
        <f>L72+M72+N72+O72</f>
        <v>42.71767280459995</v>
      </c>
      <c r="CB72" s="2300">
        <f>P72+Q72+R72+S72</f>
        <v>11.305249231662023</v>
      </c>
      <c r="CC72" s="2300">
        <f>T72+U72+V72+W72</f>
        <v>0</v>
      </c>
      <c r="CD72" s="2299">
        <f>X72+Y72+Z72+AA72</f>
        <v>0</v>
      </c>
      <c r="CE72" s="2299">
        <f>AB72+AC72+AD72+AE72</f>
        <v>0</v>
      </c>
      <c r="CF72" s="2299">
        <f>SUM(AF72:AI72)</f>
        <v>0</v>
      </c>
      <c r="CG72" s="2299">
        <f>SUM(AJ72:AM72)</f>
        <v>0</v>
      </c>
      <c r="CH72" s="2299">
        <f>SUM(AN72:AQ72)</f>
        <v>0</v>
      </c>
      <c r="CI72" s="2299">
        <f>SUM(AO72:AR72)</f>
        <v>0</v>
      </c>
      <c r="CJ72" s="2299">
        <f>SUM(AV72:AY72)</f>
        <v>0</v>
      </c>
      <c r="CK72" s="2299">
        <f>SUM(BA72:BD72)</f>
        <v>0</v>
      </c>
      <c r="CL72" s="2277">
        <f>SUM(BF72:BI72)</f>
        <v>0</v>
      </c>
      <c r="CM72" s="2277">
        <f>SUM(BG72:BK72)</f>
        <v>0</v>
      </c>
      <c r="CN72" s="2276"/>
      <c r="CO72" s="2276"/>
      <c r="CP72" s="2301"/>
      <c r="CQ72" s="2261"/>
      <c r="CR72" s="2261">
        <f>F72+G72+H72+I72</f>
        <v>71.996801926307256</v>
      </c>
      <c r="CS72" s="2261">
        <f>J72+K72+L72+M72</f>
        <v>66.983156291299565</v>
      </c>
      <c r="CT72" s="2300">
        <f>N72+O72+P72+Q72</f>
        <v>20.604748701679021</v>
      </c>
      <c r="CU72" s="2300">
        <f>R72+S72+T72+U72</f>
        <v>0.99147449440794444</v>
      </c>
      <c r="CV72" s="2300">
        <f>V72+W72+X72+Y72</f>
        <v>0</v>
      </c>
      <c r="CW72" s="2300">
        <f>Z72+AA72+AB72+AC72</f>
        <v>0</v>
      </c>
      <c r="CX72" s="2302">
        <f>AD72+AE72+AF72+AG72</f>
        <v>0</v>
      </c>
      <c r="CY72" s="2302">
        <f>AK72+AJ72+AI72+AH72</f>
        <v>0</v>
      </c>
      <c r="CZ72" s="2302">
        <f>AO72+AN72+AM72+AL72</f>
        <v>0</v>
      </c>
      <c r="DA72" s="2302">
        <f>AS72+AR72+AQ72+AP72</f>
        <v>0</v>
      </c>
      <c r="DB72" s="2302">
        <f>SUM(AT72:AW72)</f>
        <v>0</v>
      </c>
      <c r="DC72" s="2302">
        <f>SUM(AX72:BB72)</f>
        <v>0</v>
      </c>
      <c r="DD72" s="2300">
        <f>SUM(BC72:BG72)</f>
        <v>0</v>
      </c>
      <c r="DE72" s="2300">
        <f>SUM(BD72:BH72)</f>
        <v>0</v>
      </c>
      <c r="DF72" s="2298"/>
    </row>
    <row r="73" spans="1:120" s="1715" customFormat="1" hidden="1" outlineLevel="3">
      <c r="A73" s="2303" t="s">
        <v>15</v>
      </c>
      <c r="B73" s="2239"/>
      <c r="C73" s="2239"/>
      <c r="D73" s="2239"/>
      <c r="E73" s="2239"/>
      <c r="F73" s="2273">
        <v>0.5</v>
      </c>
      <c r="G73" s="2273">
        <v>0.5</v>
      </c>
      <c r="H73" s="2273">
        <v>0.5</v>
      </c>
      <c r="I73" s="2273">
        <v>0.51</v>
      </c>
      <c r="J73" s="2273">
        <v>0.47</v>
      </c>
      <c r="K73" s="2273">
        <v>0.45</v>
      </c>
      <c r="L73" s="2304">
        <v>0.41</v>
      </c>
      <c r="M73" s="2273">
        <v>0.33</v>
      </c>
      <c r="N73" s="2273">
        <v>0.12</v>
      </c>
      <c r="O73" s="2305">
        <v>0.113</v>
      </c>
      <c r="P73" s="2265">
        <v>0.10299999999999999</v>
      </c>
      <c r="Q73" s="2266">
        <v>9.2999999999999999E-2</v>
      </c>
      <c r="R73" s="2266">
        <v>1.2E-2</v>
      </c>
      <c r="S73" s="2267">
        <v>8.0000000000000002E-3</v>
      </c>
      <c r="T73" s="2265">
        <v>0</v>
      </c>
      <c r="U73" s="2266">
        <v>0</v>
      </c>
      <c r="V73" s="2266">
        <v>0</v>
      </c>
      <c r="W73" s="2267">
        <v>0</v>
      </c>
      <c r="X73" s="2265">
        <v>0</v>
      </c>
      <c r="Y73" s="2266">
        <v>0</v>
      </c>
      <c r="Z73" s="2266">
        <v>0</v>
      </c>
      <c r="AA73" s="2267">
        <v>0</v>
      </c>
      <c r="AB73" s="2304">
        <v>0</v>
      </c>
      <c r="AC73" s="2273">
        <v>0</v>
      </c>
      <c r="AD73" s="2273">
        <v>0</v>
      </c>
      <c r="AE73" s="2305">
        <v>0</v>
      </c>
      <c r="AF73" s="2304">
        <v>0</v>
      </c>
      <c r="AG73" s="2273">
        <v>0</v>
      </c>
      <c r="AH73" s="2273">
        <v>0</v>
      </c>
      <c r="AI73" s="2305">
        <v>0</v>
      </c>
      <c r="AJ73" s="2304">
        <v>0</v>
      </c>
      <c r="AK73" s="2273">
        <v>0</v>
      </c>
      <c r="AL73" s="2273">
        <v>0</v>
      </c>
      <c r="AM73" s="2273">
        <v>0</v>
      </c>
      <c r="AN73" s="2304">
        <v>0</v>
      </c>
      <c r="AO73" s="2273">
        <v>0</v>
      </c>
      <c r="AP73" s="2273">
        <v>0</v>
      </c>
      <c r="AQ73" s="2305">
        <v>0</v>
      </c>
      <c r="AR73" s="2273">
        <v>0</v>
      </c>
      <c r="AS73" s="2273">
        <v>0</v>
      </c>
      <c r="AT73" s="2273">
        <v>0</v>
      </c>
      <c r="AU73" s="2305">
        <v>0</v>
      </c>
      <c r="AV73" s="2304">
        <v>0</v>
      </c>
      <c r="AW73" s="2273">
        <v>0</v>
      </c>
      <c r="AX73" s="2273">
        <v>0</v>
      </c>
      <c r="AY73" s="2305">
        <v>0</v>
      </c>
      <c r="AZ73" s="2273"/>
      <c r="BA73" s="2304">
        <v>0</v>
      </c>
      <c r="BB73" s="2273">
        <v>0</v>
      </c>
      <c r="BC73" s="188">
        <v>0</v>
      </c>
      <c r="BD73" s="2305">
        <v>0</v>
      </c>
      <c r="BE73" s="2273"/>
      <c r="BF73" s="2304">
        <v>0</v>
      </c>
      <c r="BG73" s="2273">
        <v>0</v>
      </c>
      <c r="BH73" s="2273">
        <v>0</v>
      </c>
      <c r="BI73" s="2305">
        <v>0</v>
      </c>
      <c r="BJ73" s="2273"/>
      <c r="BK73" s="2304">
        <v>0</v>
      </c>
      <c r="BL73" s="2273">
        <v>0</v>
      </c>
      <c r="BM73" s="2273">
        <v>0</v>
      </c>
      <c r="BN73" s="2305">
        <v>0</v>
      </c>
      <c r="BO73" s="2273"/>
      <c r="BP73" s="2304">
        <v>0</v>
      </c>
      <c r="BQ73" s="2273">
        <v>0</v>
      </c>
      <c r="BR73" s="2273">
        <v>0</v>
      </c>
      <c r="BS73" s="2305">
        <v>0</v>
      </c>
      <c r="BT73" s="2273"/>
      <c r="BU73" s="2304">
        <v>0</v>
      </c>
      <c r="BV73" s="2273">
        <v>0</v>
      </c>
      <c r="BW73" s="2273">
        <v>0</v>
      </c>
      <c r="BX73" s="2305">
        <v>0</v>
      </c>
      <c r="BY73" s="2306"/>
      <c r="BZ73" s="2307">
        <f t="shared" ref="BZ73:CI73" si="130">BZ72/BZ$167</f>
        <v>0.48325827759896667</v>
      </c>
      <c r="CA73" s="2307">
        <f t="shared" si="130"/>
        <v>0.24212370847262712</v>
      </c>
      <c r="CB73" s="2308">
        <f t="shared" si="130"/>
        <v>5.5034396516806326E-2</v>
      </c>
      <c r="CC73" s="2308">
        <f t="shared" si="130"/>
        <v>0</v>
      </c>
      <c r="CD73" s="2267">
        <f t="shared" si="130"/>
        <v>0</v>
      </c>
      <c r="CE73" s="2267">
        <f t="shared" si="130"/>
        <v>0</v>
      </c>
      <c r="CF73" s="2267">
        <f t="shared" si="130"/>
        <v>0</v>
      </c>
      <c r="CG73" s="2267">
        <f t="shared" si="130"/>
        <v>0</v>
      </c>
      <c r="CH73" s="2267">
        <f t="shared" si="130"/>
        <v>0</v>
      </c>
      <c r="CI73" s="2267">
        <f t="shared" si="130"/>
        <v>0</v>
      </c>
      <c r="CJ73" s="2267">
        <f>CJ72/CJ$167</f>
        <v>0</v>
      </c>
      <c r="CK73" s="2267">
        <f>CK72/CK$167</f>
        <v>0</v>
      </c>
      <c r="CL73" s="2267">
        <f>CL72/CL$167</f>
        <v>0</v>
      </c>
      <c r="CM73" s="2267">
        <f>CM72/CM$167</f>
        <v>0</v>
      </c>
      <c r="CN73" s="2266"/>
      <c r="CO73" s="2266"/>
      <c r="CP73" s="2306"/>
      <c r="CQ73" s="2307"/>
      <c r="CR73" s="2307">
        <f t="shared" ref="CR73:DD73" si="131">CR72/CR$167</f>
        <v>0.50521254923984549</v>
      </c>
      <c r="CS73" s="2307">
        <f t="shared" si="131"/>
        <v>0.41008953387764074</v>
      </c>
      <c r="CT73" s="2308">
        <f t="shared" si="131"/>
        <v>0.10635177924662338</v>
      </c>
      <c r="CU73" s="2308">
        <f t="shared" si="131"/>
        <v>4.719522882810771E-3</v>
      </c>
      <c r="CV73" s="2308">
        <f t="shared" si="131"/>
        <v>0</v>
      </c>
      <c r="CW73" s="2308">
        <f t="shared" si="131"/>
        <v>0</v>
      </c>
      <c r="CX73" s="2308">
        <f t="shared" si="131"/>
        <v>0</v>
      </c>
      <c r="CY73" s="2308">
        <f t="shared" si="131"/>
        <v>0</v>
      </c>
      <c r="CZ73" s="2308">
        <f t="shared" si="131"/>
        <v>0</v>
      </c>
      <c r="DA73" s="2308">
        <f t="shared" si="131"/>
        <v>0</v>
      </c>
      <c r="DB73" s="2308">
        <f t="shared" si="131"/>
        <v>0</v>
      </c>
      <c r="DC73" s="2308">
        <f t="shared" si="131"/>
        <v>0</v>
      </c>
      <c r="DD73" s="2308">
        <f t="shared" si="131"/>
        <v>0</v>
      </c>
      <c r="DE73" s="2308">
        <f>DE72/DE$167</f>
        <v>0</v>
      </c>
      <c r="DF73" s="2266"/>
    </row>
    <row r="74" spans="1:120" s="1715" customFormat="1" hidden="1" outlineLevel="3">
      <c r="A74" s="2238" t="s">
        <v>121</v>
      </c>
      <c r="B74" s="2239"/>
      <c r="C74" s="2239"/>
      <c r="D74" s="2239"/>
      <c r="E74" s="2239"/>
      <c r="F74" s="2239"/>
      <c r="G74" s="2239"/>
      <c r="H74" s="2239"/>
      <c r="I74" s="2239"/>
      <c r="J74" s="2252">
        <f t="shared" ref="J74:AS74" si="132">IF(OR(J72=0,F72=0),"NM",J72/F72-1)</f>
        <v>9.4768613965122261E-2</v>
      </c>
      <c r="K74" s="2252">
        <f t="shared" si="132"/>
        <v>7.6693777373462169E-2</v>
      </c>
      <c r="L74" s="2251">
        <f t="shared" si="132"/>
        <v>-8.0778949329532335E-2</v>
      </c>
      <c r="M74" s="2252">
        <f t="shared" si="132"/>
        <v>-0.2885249927902197</v>
      </c>
      <c r="N74" s="2252">
        <f t="shared" si="132"/>
        <v>-0.68521978150426244</v>
      </c>
      <c r="O74" s="2253">
        <f t="shared" si="132"/>
        <v>-0.71956921561855247</v>
      </c>
      <c r="P74" s="2241">
        <f t="shared" si="132"/>
        <v>-0.6966628781486135</v>
      </c>
      <c r="Q74" s="2240">
        <f t="shared" si="132"/>
        <v>-0.66566348398043607</v>
      </c>
      <c r="R74" s="2240">
        <f t="shared" si="132"/>
        <v>-0.89518945964554009</v>
      </c>
      <c r="S74" s="2242">
        <f t="shared" si="132"/>
        <v>-0.91337911608494837</v>
      </c>
      <c r="T74" s="2241" t="str">
        <f t="shared" si="132"/>
        <v>NM</v>
      </c>
      <c r="U74" s="2271" t="str">
        <f t="shared" si="132"/>
        <v>NM</v>
      </c>
      <c r="V74" s="2271" t="str">
        <f t="shared" si="132"/>
        <v>NM</v>
      </c>
      <c r="W74" s="2309" t="str">
        <f t="shared" si="132"/>
        <v>NM</v>
      </c>
      <c r="X74" s="2310" t="str">
        <f t="shared" si="132"/>
        <v>NM</v>
      </c>
      <c r="Y74" s="2271" t="str">
        <f t="shared" si="132"/>
        <v>NM</v>
      </c>
      <c r="Z74" s="2271" t="str">
        <f t="shared" si="132"/>
        <v>NM</v>
      </c>
      <c r="AA74" s="2309" t="str">
        <f t="shared" si="132"/>
        <v>NM</v>
      </c>
      <c r="AB74" s="2256" t="str">
        <f t="shared" si="132"/>
        <v>NM</v>
      </c>
      <c r="AC74" s="2250" t="str">
        <f t="shared" si="132"/>
        <v>NM</v>
      </c>
      <c r="AD74" s="2250" t="str">
        <f t="shared" si="132"/>
        <v>NM</v>
      </c>
      <c r="AE74" s="2257" t="str">
        <f t="shared" si="132"/>
        <v>NM</v>
      </c>
      <c r="AF74" s="2256" t="str">
        <f t="shared" si="132"/>
        <v>NM</v>
      </c>
      <c r="AG74" s="2250" t="str">
        <f t="shared" si="132"/>
        <v>NM</v>
      </c>
      <c r="AH74" s="2250" t="str">
        <f t="shared" si="132"/>
        <v>NM</v>
      </c>
      <c r="AI74" s="2257" t="str">
        <f t="shared" si="132"/>
        <v>NM</v>
      </c>
      <c r="AJ74" s="2256" t="str">
        <f t="shared" si="132"/>
        <v>NM</v>
      </c>
      <c r="AK74" s="2250" t="str">
        <f t="shared" si="132"/>
        <v>NM</v>
      </c>
      <c r="AL74" s="2250" t="str">
        <f t="shared" si="132"/>
        <v>NM</v>
      </c>
      <c r="AM74" s="2250" t="str">
        <f t="shared" si="132"/>
        <v>NM</v>
      </c>
      <c r="AN74" s="2256" t="str">
        <f t="shared" si="132"/>
        <v>NM</v>
      </c>
      <c r="AO74" s="2250" t="str">
        <f t="shared" si="132"/>
        <v>NM</v>
      </c>
      <c r="AP74" s="2250" t="str">
        <f t="shared" si="132"/>
        <v>NM</v>
      </c>
      <c r="AQ74" s="2257" t="str">
        <f t="shared" si="132"/>
        <v>NM</v>
      </c>
      <c r="AR74" s="2250" t="str">
        <f t="shared" si="132"/>
        <v>NM</v>
      </c>
      <c r="AS74" s="2250" t="str">
        <f t="shared" si="132"/>
        <v>NM</v>
      </c>
      <c r="AT74" s="2250" t="str">
        <f>IF(OR(AT72=0,AP72=0),"NM",AT72/AP72-1)</f>
        <v>NM</v>
      </c>
      <c r="AU74" s="2257" t="str">
        <f>IF(OR(AU72=0,AQ72=0),"NM",AU72/AQ72-1)</f>
        <v>NM</v>
      </c>
      <c r="AV74" s="2256" t="str">
        <f t="shared" ref="AV74:AY74" si="133">IF(OR(AV72=0,AR72=0),"NM",AV72/AR72-1)</f>
        <v>NM</v>
      </c>
      <c r="AW74" s="2250" t="str">
        <f t="shared" si="133"/>
        <v>NM</v>
      </c>
      <c r="AX74" s="2250" t="str">
        <f t="shared" si="133"/>
        <v>NM</v>
      </c>
      <c r="AY74" s="2257" t="str">
        <f t="shared" si="133"/>
        <v>NM</v>
      </c>
      <c r="AZ74" s="2250"/>
      <c r="BA74" s="2256" t="str">
        <f>IF(OR(BA72=0,AV72=0),"NM",BA72/AV72-1)</f>
        <v>NM</v>
      </c>
      <c r="BB74" s="2250" t="str">
        <f>IF(OR(BB72=0,AW72=0),"NM",BB72/AW72-1)</f>
        <v>NM</v>
      </c>
      <c r="BC74" s="2603" t="str">
        <f>IF(OR(BC72=0,AX72=0),"NM",BC72/AX72-1)</f>
        <v>NM</v>
      </c>
      <c r="BD74" s="2257" t="str">
        <f>IF(OR(BD72=0,AY72=0),"NM",BD72/AY72-1)</f>
        <v>NM</v>
      </c>
      <c r="BE74" s="2250"/>
      <c r="BF74" s="2256" t="str">
        <f>IF(OR(BF72=0,BA72=0),"NM",BF72/BA72-1)</f>
        <v>NM</v>
      </c>
      <c r="BG74" s="2250" t="str">
        <f>IF(OR(BG72=0,BB72=0),"NM",BG72/BB72-1)</f>
        <v>NM</v>
      </c>
      <c r="BH74" s="2250" t="str">
        <f>IF(OR(BH72=0,BC72=0),"NM",BH72/BC72-1)</f>
        <v>NM</v>
      </c>
      <c r="BI74" s="2257" t="str">
        <f>IF(OR(BI72=0,BD72=0),"NM",BI72/BD72-1)</f>
        <v>NM</v>
      </c>
      <c r="BJ74" s="2250"/>
      <c r="BK74" s="2256" t="str">
        <f>IF(OR(BK72=0,BF72=0),"NM",BK72/BF72-1)</f>
        <v>NM</v>
      </c>
      <c r="BL74" s="2250" t="str">
        <f>IF(OR(BL72=0,BG72=0),"NM",BL72/BG72-1)</f>
        <v>NM</v>
      </c>
      <c r="BM74" s="2250" t="str">
        <f>IF(OR(BM72=0,BH72=0),"NM",BM72/BH72-1)</f>
        <v>NM</v>
      </c>
      <c r="BN74" s="2257" t="str">
        <f>IF(OR(BN72=0,BI72=0),"NM",BN72/BI72-1)</f>
        <v>NM</v>
      </c>
      <c r="BO74" s="2250"/>
      <c r="BP74" s="2256" t="str">
        <f>IF(OR(BP72=0,BK72=0),"NM",BP72/BK72-1)</f>
        <v>NM</v>
      </c>
      <c r="BQ74" s="2250" t="str">
        <f>IF(OR(BQ72=0,BL72=0),"NM",BQ72/BL72-1)</f>
        <v>NM</v>
      </c>
      <c r="BR74" s="2250" t="str">
        <f>IF(OR(BR72=0,BM72=0),"NM",BR72/BM72-1)</f>
        <v>NM</v>
      </c>
      <c r="BS74" s="2257" t="str">
        <f>IF(OR(BS72=0,BN72=0),"NM",BS72/BN72-1)</f>
        <v>NM</v>
      </c>
      <c r="BT74" s="2250"/>
      <c r="BU74" s="2256" t="str">
        <f>IF(OR(BU72=0,BP72=0),"NM",BU72/BP72-1)</f>
        <v>NM</v>
      </c>
      <c r="BV74" s="2250" t="str">
        <f>IF(OR(BV72=0,BQ72=0),"NM",BV72/BQ72-1)</f>
        <v>NM</v>
      </c>
      <c r="BW74" s="2250" t="str">
        <f>IF(OR(BW72=0,BR72=0),"NM",BW72/BR72-1)</f>
        <v>NM</v>
      </c>
      <c r="BX74" s="2257" t="str">
        <f>IF(OR(BX72=0,BS72=0),"NM",BX72/BS72-1)</f>
        <v>NM</v>
      </c>
      <c r="BY74" s="2244"/>
      <c r="BZ74" s="2246"/>
      <c r="CA74" s="2246">
        <f t="shared" ref="CA74:CM74" si="134">IF(OR(BZ72=0,CA72=0),"NM",CA72/BZ72-1)</f>
        <v>-0.42834457310573704</v>
      </c>
      <c r="CB74" s="2247">
        <f t="shared" si="134"/>
        <v>-0.73534959913723008</v>
      </c>
      <c r="CC74" s="2247" t="str">
        <f t="shared" si="134"/>
        <v>NM</v>
      </c>
      <c r="CD74" s="2242" t="str">
        <f t="shared" si="134"/>
        <v>NM</v>
      </c>
      <c r="CE74" s="2242" t="str">
        <f t="shared" si="134"/>
        <v>NM</v>
      </c>
      <c r="CF74" s="2242" t="str">
        <f t="shared" si="134"/>
        <v>NM</v>
      </c>
      <c r="CG74" s="2242" t="str">
        <f t="shared" si="134"/>
        <v>NM</v>
      </c>
      <c r="CH74" s="2242" t="str">
        <f t="shared" si="134"/>
        <v>NM</v>
      </c>
      <c r="CI74" s="2242" t="str">
        <f t="shared" si="134"/>
        <v>NM</v>
      </c>
      <c r="CJ74" s="2242" t="str">
        <f t="shared" si="134"/>
        <v>NM</v>
      </c>
      <c r="CK74" s="2242" t="str">
        <f t="shared" si="134"/>
        <v>NM</v>
      </c>
      <c r="CL74" s="2242" t="str">
        <f t="shared" si="134"/>
        <v>NM</v>
      </c>
      <c r="CM74" s="2242" t="str">
        <f t="shared" si="134"/>
        <v>NM</v>
      </c>
      <c r="CN74" s="2240"/>
      <c r="CO74" s="2240"/>
      <c r="CP74" s="2248"/>
      <c r="CQ74" s="2246"/>
      <c r="CR74" s="2246"/>
      <c r="CS74" s="2246">
        <f t="shared" ref="CS74:DC74" si="135">IF(OR(CR72=0,CS72=0),"NM",CS72/CR72-1)</f>
        <v>-6.9637060270252515E-2</v>
      </c>
      <c r="CT74" s="2247">
        <f t="shared" si="135"/>
        <v>-0.69238910432837619</v>
      </c>
      <c r="CU74" s="2247">
        <f t="shared" si="135"/>
        <v>-0.95188126248163596</v>
      </c>
      <c r="CV74" s="2247" t="str">
        <f t="shared" si="135"/>
        <v>NM</v>
      </c>
      <c r="CW74" s="2247" t="str">
        <f t="shared" si="135"/>
        <v>NM</v>
      </c>
      <c r="CX74" s="2247" t="str">
        <f t="shared" si="135"/>
        <v>NM</v>
      </c>
      <c r="CY74" s="2247" t="str">
        <f t="shared" si="135"/>
        <v>NM</v>
      </c>
      <c r="CZ74" s="2247" t="str">
        <f t="shared" si="135"/>
        <v>NM</v>
      </c>
      <c r="DA74" s="2247" t="str">
        <f t="shared" si="135"/>
        <v>NM</v>
      </c>
      <c r="DB74" s="2247" t="str">
        <f t="shared" si="135"/>
        <v>NM</v>
      </c>
      <c r="DC74" s="2247" t="str">
        <f t="shared" si="135"/>
        <v>NM</v>
      </c>
      <c r="DD74" s="2247" t="str">
        <f>IF(OR(DB72=0,DD72=0),"NM",DD72/DB72-1)</f>
        <v>NM</v>
      </c>
      <c r="DE74" s="2247" t="str">
        <f>IF(OR(DC72=0,DE72=0),"NM",DE72/DC72-1)</f>
        <v>NM</v>
      </c>
      <c r="DF74" s="2240"/>
    </row>
    <row r="75" spans="1:120" s="1715" customFormat="1" hidden="1" outlineLevel="2">
      <c r="A75" s="2311" t="s">
        <v>290</v>
      </c>
      <c r="B75" s="2312"/>
      <c r="C75" s="2312"/>
      <c r="D75" s="2312"/>
      <c r="E75" s="2312"/>
      <c r="F75" s="2312">
        <f t="shared" ref="F75:AS75" si="136">F72*F210</f>
        <v>798.14461662421127</v>
      </c>
      <c r="G75" s="2312">
        <f t="shared" si="136"/>
        <v>793.20528716549325</v>
      </c>
      <c r="H75" s="2312">
        <f t="shared" si="136"/>
        <v>929.50549524726614</v>
      </c>
      <c r="I75" s="2312">
        <f t="shared" si="136"/>
        <v>1080.6061788479346</v>
      </c>
      <c r="J75" s="2312">
        <f t="shared" si="136"/>
        <v>858.74673241054143</v>
      </c>
      <c r="K75" s="2312">
        <f t="shared" si="136"/>
        <v>856.62778967653207</v>
      </c>
      <c r="L75" s="2313">
        <f t="shared" si="136"/>
        <v>811.92338214963468</v>
      </c>
      <c r="M75" s="2312">
        <f t="shared" si="136"/>
        <v>724.04648152527284</v>
      </c>
      <c r="N75" s="2312">
        <f t="shared" si="136"/>
        <v>264.04782369625212</v>
      </c>
      <c r="O75" s="2314">
        <f t="shared" si="136"/>
        <v>239.69407345970944</v>
      </c>
      <c r="P75" s="2290">
        <f t="shared" si="136"/>
        <v>243.96180516260287</v>
      </c>
      <c r="Q75" s="2315">
        <f t="shared" si="136"/>
        <v>236.39599138116145</v>
      </c>
      <c r="R75" s="2315">
        <f t="shared" si="136"/>
        <v>27.286657243796849</v>
      </c>
      <c r="S75" s="2316">
        <f t="shared" si="136"/>
        <v>20.235557552749466</v>
      </c>
      <c r="T75" s="2290">
        <f t="shared" si="136"/>
        <v>0</v>
      </c>
      <c r="U75" s="2315">
        <f t="shared" si="136"/>
        <v>0</v>
      </c>
      <c r="V75" s="2315">
        <f t="shared" si="136"/>
        <v>0</v>
      </c>
      <c r="W75" s="2316">
        <f t="shared" si="136"/>
        <v>0</v>
      </c>
      <c r="X75" s="2290">
        <f t="shared" si="136"/>
        <v>0</v>
      </c>
      <c r="Y75" s="2315">
        <f t="shared" si="136"/>
        <v>0</v>
      </c>
      <c r="Z75" s="2315">
        <f t="shared" si="136"/>
        <v>0</v>
      </c>
      <c r="AA75" s="2316">
        <f t="shared" si="136"/>
        <v>0</v>
      </c>
      <c r="AB75" s="2313">
        <f t="shared" si="136"/>
        <v>0</v>
      </c>
      <c r="AC75" s="2312">
        <f t="shared" si="136"/>
        <v>0</v>
      </c>
      <c r="AD75" s="2312">
        <f t="shared" si="136"/>
        <v>0</v>
      </c>
      <c r="AE75" s="2314">
        <f t="shared" si="136"/>
        <v>0</v>
      </c>
      <c r="AF75" s="2313">
        <f t="shared" si="136"/>
        <v>0</v>
      </c>
      <c r="AG75" s="2312">
        <f t="shared" si="136"/>
        <v>0</v>
      </c>
      <c r="AH75" s="2312">
        <f t="shared" si="136"/>
        <v>0</v>
      </c>
      <c r="AI75" s="2314">
        <f t="shared" si="136"/>
        <v>0</v>
      </c>
      <c r="AJ75" s="2313">
        <f t="shared" si="136"/>
        <v>0</v>
      </c>
      <c r="AK75" s="2312">
        <f t="shared" si="136"/>
        <v>0</v>
      </c>
      <c r="AL75" s="2312">
        <f t="shared" si="136"/>
        <v>0</v>
      </c>
      <c r="AM75" s="2312">
        <f t="shared" si="136"/>
        <v>0</v>
      </c>
      <c r="AN75" s="2313">
        <f t="shared" si="136"/>
        <v>0</v>
      </c>
      <c r="AO75" s="2312">
        <f t="shared" si="136"/>
        <v>0</v>
      </c>
      <c r="AP75" s="2312">
        <f t="shared" si="136"/>
        <v>0</v>
      </c>
      <c r="AQ75" s="2314">
        <f t="shared" si="136"/>
        <v>0</v>
      </c>
      <c r="AR75" s="2312">
        <f t="shared" si="136"/>
        <v>0</v>
      </c>
      <c r="AS75" s="2312">
        <f t="shared" si="136"/>
        <v>0</v>
      </c>
      <c r="AT75" s="2312">
        <f>AT72*AT210</f>
        <v>0</v>
      </c>
      <c r="AU75" s="2314">
        <f>AU72*AU210</f>
        <v>0</v>
      </c>
      <c r="AV75" s="2313">
        <f t="shared" ref="AV75:BI75" si="137">AV72*AV210</f>
        <v>0</v>
      </c>
      <c r="AW75" s="2312">
        <f t="shared" si="137"/>
        <v>0</v>
      </c>
      <c r="AX75" s="2312">
        <f t="shared" si="137"/>
        <v>0</v>
      </c>
      <c r="AY75" s="2314">
        <f t="shared" si="137"/>
        <v>0</v>
      </c>
      <c r="AZ75" s="2312"/>
      <c r="BA75" s="2313">
        <f t="shared" si="137"/>
        <v>0</v>
      </c>
      <c r="BB75" s="2312">
        <f t="shared" si="137"/>
        <v>0</v>
      </c>
      <c r="BC75" s="1710">
        <f t="shared" si="137"/>
        <v>0</v>
      </c>
      <c r="BD75" s="2314">
        <f t="shared" si="137"/>
        <v>0</v>
      </c>
      <c r="BE75" s="2312"/>
      <c r="BF75" s="2313">
        <f t="shared" si="137"/>
        <v>0</v>
      </c>
      <c r="BG75" s="2312">
        <f t="shared" si="137"/>
        <v>0</v>
      </c>
      <c r="BH75" s="2312">
        <f t="shared" si="137"/>
        <v>0</v>
      </c>
      <c r="BI75" s="2314">
        <f t="shared" si="137"/>
        <v>0</v>
      </c>
      <c r="BJ75" s="2312"/>
      <c r="BK75" s="2313">
        <f>BK72*BK210</f>
        <v>0</v>
      </c>
      <c r="BL75" s="2312">
        <f>BL72*BL210</f>
        <v>0</v>
      </c>
      <c r="BM75" s="2312">
        <f>BM72*BM210</f>
        <v>0</v>
      </c>
      <c r="BN75" s="2314">
        <f>BN72*BN210</f>
        <v>0</v>
      </c>
      <c r="BO75" s="2312"/>
      <c r="BP75" s="2313">
        <f>BP72*BP210</f>
        <v>0</v>
      </c>
      <c r="BQ75" s="2312">
        <f>BQ72*BQ210</f>
        <v>0</v>
      </c>
      <c r="BR75" s="2312">
        <f>BR72*BR210</f>
        <v>0</v>
      </c>
      <c r="BS75" s="2314">
        <f>BS72*BS210</f>
        <v>0</v>
      </c>
      <c r="BT75" s="2312"/>
      <c r="BU75" s="2313">
        <f>BU72*BU210</f>
        <v>0</v>
      </c>
      <c r="BV75" s="2312">
        <f>BV72*BV210</f>
        <v>0</v>
      </c>
      <c r="BW75" s="2312">
        <f>BW72*BW210</f>
        <v>0</v>
      </c>
      <c r="BX75" s="2314">
        <f>BX72*BX210</f>
        <v>0</v>
      </c>
      <c r="BY75" s="2317"/>
      <c r="BZ75" s="2318">
        <f>H75+I75+J75+K75</f>
        <v>3725.4861961822744</v>
      </c>
      <c r="CA75" s="2318">
        <f>L75+M75+N75+O75</f>
        <v>2039.7117608308693</v>
      </c>
      <c r="CB75" s="2319">
        <f>P75+Q75+R75+S75</f>
        <v>527.8800113403106</v>
      </c>
      <c r="CC75" s="2319">
        <f>T75+U75+V75+W75</f>
        <v>0</v>
      </c>
      <c r="CD75" s="2316">
        <f>X75+Y75+Z75+AA75</f>
        <v>0</v>
      </c>
      <c r="CE75" s="2316">
        <f>AB75+AC75+AD75+AE75</f>
        <v>0</v>
      </c>
      <c r="CF75" s="2316">
        <f>SUM(AF75:AI75)</f>
        <v>0</v>
      </c>
      <c r="CG75" s="2316">
        <f>SUM(AJ75:AM75)</f>
        <v>0</v>
      </c>
      <c r="CH75" s="2316">
        <f>SUM(AK75:AN75)</f>
        <v>0</v>
      </c>
      <c r="CI75" s="2316">
        <f>SUM(AL75:AO75)</f>
        <v>0</v>
      </c>
      <c r="CJ75" s="2316">
        <f>SUM(AV75:AY75)</f>
        <v>0</v>
      </c>
      <c r="CK75" s="2316">
        <f>SUM(BA75:BD75)</f>
        <v>0</v>
      </c>
      <c r="CL75" s="2277">
        <f>SUM(BF75:BI75)</f>
        <v>0</v>
      </c>
      <c r="CM75" s="2277">
        <f>SUM(BG75:BK75)</f>
        <v>0</v>
      </c>
      <c r="CN75" s="2276"/>
      <c r="CO75" s="2276"/>
      <c r="CP75" s="2317"/>
      <c r="CQ75" s="2318"/>
      <c r="CR75" s="2318">
        <f>F75+G75+H75+I75</f>
        <v>3601.4615778849052</v>
      </c>
      <c r="CS75" s="2318">
        <f>J75+K75+L75+M75</f>
        <v>3251.3443857619814</v>
      </c>
      <c r="CT75" s="2319">
        <f>N75+O75+P75+Q75</f>
        <v>984.09969369972589</v>
      </c>
      <c r="CU75" s="2319">
        <f>R75+S75+T75+U75</f>
        <v>47.522214796546315</v>
      </c>
      <c r="CV75" s="2319">
        <f>V75+W75+X75+Y75</f>
        <v>0</v>
      </c>
      <c r="CW75" s="2319">
        <f>Z75+AA75+AB75+AC75</f>
        <v>0</v>
      </c>
      <c r="CX75" s="2318">
        <f>SUM(AD75:AG75)</f>
        <v>0</v>
      </c>
      <c r="CY75" s="2318">
        <f>AK75+AJ75+AI75+AH75</f>
        <v>0</v>
      </c>
      <c r="CZ75" s="2318">
        <f>SUM(AI75:AP75)</f>
        <v>0</v>
      </c>
      <c r="DA75" s="2318">
        <f>AS75+AR75+AQ75+AP75</f>
        <v>0</v>
      </c>
      <c r="DB75" s="2318">
        <f>SUM(AT75:AW75)</f>
        <v>0</v>
      </c>
      <c r="DC75" s="2318">
        <f>SUM(AX75:BB75)</f>
        <v>0</v>
      </c>
      <c r="DD75" s="2318">
        <f>SUM(BC75:BG75)</f>
        <v>0</v>
      </c>
      <c r="DE75" s="2318">
        <f>SUM(BD75:BH75)</f>
        <v>0</v>
      </c>
      <c r="DF75" s="2312"/>
    </row>
    <row r="76" spans="1:120" s="1715" customFormat="1" hidden="1" outlineLevel="2">
      <c r="A76" s="2311"/>
      <c r="B76" s="2312"/>
      <c r="C76" s="2312"/>
      <c r="D76" s="2312"/>
      <c r="E76" s="2312"/>
      <c r="F76" s="2312"/>
      <c r="G76" s="2312"/>
      <c r="H76" s="2312"/>
      <c r="I76" s="2312"/>
      <c r="J76" s="2312"/>
      <c r="K76" s="2312"/>
      <c r="L76" s="2313"/>
      <c r="M76" s="2312"/>
      <c r="N76" s="2312"/>
      <c r="O76" s="2314"/>
      <c r="P76" s="2290"/>
      <c r="Q76" s="2315"/>
      <c r="R76" s="2315"/>
      <c r="S76" s="2316"/>
      <c r="T76" s="2290"/>
      <c r="U76" s="2315"/>
      <c r="V76" s="2315"/>
      <c r="W76" s="2316"/>
      <c r="X76" s="2290"/>
      <c r="Y76" s="2315"/>
      <c r="Z76" s="2315"/>
      <c r="AA76" s="2316"/>
      <c r="AB76" s="2313"/>
      <c r="AC76" s="2312"/>
      <c r="AD76" s="2312"/>
      <c r="AE76" s="2314"/>
      <c r="AF76" s="2313"/>
      <c r="AG76" s="2312"/>
      <c r="AH76" s="2312"/>
      <c r="AI76" s="2314"/>
      <c r="AJ76" s="2313"/>
      <c r="AK76" s="2312"/>
      <c r="AL76" s="2312"/>
      <c r="AM76" s="2312"/>
      <c r="AN76" s="2313"/>
      <c r="AO76" s="2312"/>
      <c r="AP76" s="2312"/>
      <c r="AQ76" s="2314"/>
      <c r="AR76" s="2312"/>
      <c r="AS76" s="2312"/>
      <c r="AT76" s="2312"/>
      <c r="AU76" s="2314"/>
      <c r="AV76" s="2313"/>
      <c r="AW76" s="2312"/>
      <c r="AX76" s="2312"/>
      <c r="AY76" s="2314"/>
      <c r="AZ76" s="2312"/>
      <c r="BA76" s="2313"/>
      <c r="BB76" s="2312"/>
      <c r="BC76" s="1710"/>
      <c r="BD76" s="2314"/>
      <c r="BE76" s="2312"/>
      <c r="BF76" s="2313"/>
      <c r="BG76" s="2312"/>
      <c r="BH76" s="2312"/>
      <c r="BI76" s="2314"/>
      <c r="BJ76" s="2312"/>
      <c r="BK76" s="2313"/>
      <c r="BL76" s="2312"/>
      <c r="BM76" s="2312"/>
      <c r="BN76" s="2314"/>
      <c r="BO76" s="2312"/>
      <c r="BP76" s="2313"/>
      <c r="BQ76" s="2312"/>
      <c r="BR76" s="2312"/>
      <c r="BS76" s="2314"/>
      <c r="BT76" s="2312"/>
      <c r="BU76" s="2313"/>
      <c r="BV76" s="2312"/>
      <c r="BW76" s="2312"/>
      <c r="BX76" s="2314"/>
      <c r="BY76" s="2317"/>
      <c r="BZ76" s="2318"/>
      <c r="CA76" s="2318"/>
      <c r="CB76" s="2319"/>
      <c r="CC76" s="2319"/>
      <c r="CD76" s="2316"/>
      <c r="CE76" s="2316"/>
      <c r="CF76" s="2316"/>
      <c r="CG76" s="2316"/>
      <c r="CH76" s="2316"/>
      <c r="CI76" s="2316"/>
      <c r="CJ76" s="2316"/>
      <c r="CK76" s="2316"/>
      <c r="CL76" s="2316"/>
      <c r="CM76" s="2316"/>
      <c r="CN76" s="2315"/>
      <c r="CO76" s="2315"/>
      <c r="CP76" s="2317"/>
      <c r="CQ76" s="2318"/>
      <c r="CR76" s="2318"/>
      <c r="CS76" s="2318"/>
      <c r="CT76" s="2319"/>
      <c r="CU76" s="2319"/>
      <c r="CV76" s="2319"/>
      <c r="CW76" s="2319"/>
      <c r="CX76" s="2318"/>
      <c r="CY76" s="2318"/>
      <c r="CZ76" s="2318"/>
      <c r="DA76" s="2318"/>
      <c r="DB76" s="2318"/>
      <c r="DC76" s="2318"/>
      <c r="DD76" s="2318"/>
      <c r="DE76" s="2318"/>
      <c r="DF76" s="2312"/>
    </row>
    <row r="77" spans="1:120" s="1715" customFormat="1" hidden="1" outlineLevel="2">
      <c r="A77" s="2275" t="s">
        <v>616</v>
      </c>
      <c r="B77" s="2239"/>
      <c r="C77" s="2239"/>
      <c r="D77" s="2239"/>
      <c r="E77" s="2239"/>
      <c r="F77" s="2239"/>
      <c r="G77" s="2239"/>
      <c r="H77" s="2239"/>
      <c r="I77" s="2285"/>
      <c r="J77" s="2239"/>
      <c r="K77" s="2239"/>
      <c r="L77" s="2264"/>
      <c r="M77" s="2239"/>
      <c r="N77" s="2239"/>
      <c r="O77" s="2260"/>
      <c r="P77" s="2287"/>
      <c r="Q77" s="2288"/>
      <c r="R77" s="2288"/>
      <c r="S77" s="2289"/>
      <c r="T77" s="2287"/>
      <c r="U77" s="2288"/>
      <c r="V77" s="2288"/>
      <c r="W77" s="2289"/>
      <c r="X77" s="2287"/>
      <c r="Y77" s="2288"/>
      <c r="Z77" s="2288"/>
      <c r="AA77" s="2289"/>
      <c r="AB77" s="2264"/>
      <c r="AC77" s="2239"/>
      <c r="AD77" s="2239"/>
      <c r="AE77" s="2260"/>
      <c r="AF77" s="2264"/>
      <c r="AG77" s="2239"/>
      <c r="AH77" s="2239"/>
      <c r="AI77" s="2260"/>
      <c r="AJ77" s="2264"/>
      <c r="AK77" s="2239"/>
      <c r="AL77" s="2239"/>
      <c r="AM77" s="2239"/>
      <c r="AN77" s="2264"/>
      <c r="AO77" s="2239"/>
      <c r="AP77" s="2239"/>
      <c r="AQ77" s="2260"/>
      <c r="AR77" s="2239"/>
      <c r="AS77" s="2239"/>
      <c r="AT77" s="2239"/>
      <c r="AU77" s="2260"/>
      <c r="AV77" s="2264"/>
      <c r="AW77" s="2239"/>
      <c r="AX77" s="2239"/>
      <c r="AY77" s="2260"/>
      <c r="AZ77" s="2239"/>
      <c r="BA77" s="2264"/>
      <c r="BB77" s="2239"/>
      <c r="BC77" s="2604"/>
      <c r="BD77" s="2260"/>
      <c r="BE77" s="2239"/>
      <c r="BF77" s="2264"/>
      <c r="BG77" s="2239"/>
      <c r="BH77" s="2239"/>
      <c r="BI77" s="2260"/>
      <c r="BJ77" s="2239"/>
      <c r="BK77" s="2264"/>
      <c r="BL77" s="2239"/>
      <c r="BM77" s="2239"/>
      <c r="BN77" s="2260"/>
      <c r="BO77" s="2239"/>
      <c r="BP77" s="2264"/>
      <c r="BQ77" s="2239"/>
      <c r="BR77" s="2239"/>
      <c r="BS77" s="2260"/>
      <c r="BT77" s="2239"/>
      <c r="BU77" s="2264"/>
      <c r="BV77" s="2239"/>
      <c r="BW77" s="2239"/>
      <c r="BX77" s="2260"/>
      <c r="BY77" s="2244"/>
      <c r="BZ77" s="2259"/>
      <c r="CA77" s="2259"/>
      <c r="CB77" s="2291"/>
      <c r="CC77" s="2291"/>
      <c r="CD77" s="2289"/>
      <c r="CE77" s="2289"/>
      <c r="CF77" s="2289"/>
      <c r="CG77" s="2289"/>
      <c r="CH77" s="2289"/>
      <c r="CI77" s="2289"/>
      <c r="CJ77" s="2289"/>
      <c r="CK77" s="2289"/>
      <c r="CL77" s="2289"/>
      <c r="CM77" s="2289"/>
      <c r="CN77" s="2288"/>
      <c r="CO77" s="2288"/>
      <c r="CP77" s="2244"/>
      <c r="CQ77" s="2259"/>
      <c r="CR77" s="2259"/>
      <c r="CS77" s="2259"/>
      <c r="CT77" s="2291"/>
      <c r="CU77" s="2291"/>
      <c r="CV77" s="2291"/>
      <c r="CW77" s="2291"/>
      <c r="CX77" s="2259"/>
      <c r="CY77" s="2259"/>
      <c r="CZ77" s="2259"/>
      <c r="DA77" s="2259"/>
      <c r="DB77" s="2259"/>
      <c r="DC77" s="2259"/>
      <c r="DD77" s="2259"/>
      <c r="DE77" s="2259"/>
      <c r="DF77" s="2239"/>
    </row>
    <row r="78" spans="1:120" s="1715" customFormat="1" hidden="1" outlineLevel="2">
      <c r="A78" s="2293" t="s">
        <v>289</v>
      </c>
      <c r="B78" s="2239"/>
      <c r="C78" s="2239"/>
      <c r="D78" s="2239"/>
      <c r="E78" s="2239"/>
      <c r="F78" s="2294">
        <f t="shared" ref="F78:AK78" si="138">F79*F$11</f>
        <v>0.95777353994905345</v>
      </c>
      <c r="G78" s="2294">
        <f t="shared" si="138"/>
        <v>0.95184634459859174</v>
      </c>
      <c r="H78" s="2294">
        <f t="shared" si="138"/>
        <v>1.4813807442715128</v>
      </c>
      <c r="I78" s="2294">
        <f t="shared" si="138"/>
        <v>1.273679091007015</v>
      </c>
      <c r="J78" s="2294">
        <f t="shared" si="138"/>
        <v>1.8591142035859827</v>
      </c>
      <c r="K78" s="2294">
        <f t="shared" si="138"/>
        <v>1.8978648819351478</v>
      </c>
      <c r="L78" s="2295">
        <f t="shared" si="138"/>
        <v>6.2273614216109427</v>
      </c>
      <c r="M78" s="2294">
        <f t="shared" si="138"/>
        <v>10.270162858514507</v>
      </c>
      <c r="N78" s="2294">
        <f t="shared" si="138"/>
        <v>1.8336654423350844</v>
      </c>
      <c r="O78" s="2296">
        <f t="shared" si="138"/>
        <v>0</v>
      </c>
      <c r="P78" s="2297">
        <f t="shared" si="138"/>
        <v>0</v>
      </c>
      <c r="Q78" s="2298">
        <f t="shared" si="138"/>
        <v>0</v>
      </c>
      <c r="R78" s="2298">
        <f t="shared" si="138"/>
        <v>0</v>
      </c>
      <c r="S78" s="2298">
        <f t="shared" si="138"/>
        <v>0</v>
      </c>
      <c r="T78" s="2297">
        <f t="shared" si="138"/>
        <v>0</v>
      </c>
      <c r="U78" s="2298">
        <f t="shared" si="138"/>
        <v>0</v>
      </c>
      <c r="V78" s="2298">
        <f t="shared" si="138"/>
        <v>0</v>
      </c>
      <c r="W78" s="2298">
        <f t="shared" si="138"/>
        <v>0</v>
      </c>
      <c r="X78" s="2297">
        <f t="shared" si="138"/>
        <v>0</v>
      </c>
      <c r="Y78" s="2298">
        <f t="shared" si="138"/>
        <v>0</v>
      </c>
      <c r="Z78" s="2298">
        <f t="shared" si="138"/>
        <v>0</v>
      </c>
      <c r="AA78" s="2299">
        <f t="shared" si="138"/>
        <v>0</v>
      </c>
      <c r="AB78" s="2295">
        <f t="shared" si="138"/>
        <v>0</v>
      </c>
      <c r="AC78" s="2294">
        <f t="shared" si="138"/>
        <v>0</v>
      </c>
      <c r="AD78" s="2294">
        <f t="shared" si="138"/>
        <v>0</v>
      </c>
      <c r="AE78" s="2296">
        <f t="shared" si="138"/>
        <v>0</v>
      </c>
      <c r="AF78" s="2295">
        <f t="shared" si="138"/>
        <v>0</v>
      </c>
      <c r="AG78" s="2294">
        <f t="shared" si="138"/>
        <v>0</v>
      </c>
      <c r="AH78" s="2294">
        <f t="shared" si="138"/>
        <v>0</v>
      </c>
      <c r="AI78" s="2296">
        <f t="shared" si="138"/>
        <v>0</v>
      </c>
      <c r="AJ78" s="2295">
        <f t="shared" si="138"/>
        <v>0</v>
      </c>
      <c r="AK78" s="2294">
        <f t="shared" si="138"/>
        <v>0</v>
      </c>
      <c r="AL78" s="2294">
        <f t="shared" ref="AL78:BX78" si="139">AL79*AL$11</f>
        <v>0</v>
      </c>
      <c r="AM78" s="2294">
        <f t="shared" si="139"/>
        <v>0</v>
      </c>
      <c r="AN78" s="2295">
        <f t="shared" si="139"/>
        <v>0</v>
      </c>
      <c r="AO78" s="2294">
        <f t="shared" si="139"/>
        <v>0</v>
      </c>
      <c r="AP78" s="2294">
        <f t="shared" si="139"/>
        <v>0</v>
      </c>
      <c r="AQ78" s="2296">
        <f t="shared" si="139"/>
        <v>0</v>
      </c>
      <c r="AR78" s="2294">
        <f t="shared" si="139"/>
        <v>0</v>
      </c>
      <c r="AS78" s="2294">
        <f t="shared" si="139"/>
        <v>0</v>
      </c>
      <c r="AT78" s="2294">
        <f t="shared" si="139"/>
        <v>0</v>
      </c>
      <c r="AU78" s="2296">
        <f t="shared" si="139"/>
        <v>0</v>
      </c>
      <c r="AV78" s="2295">
        <f t="shared" si="139"/>
        <v>0</v>
      </c>
      <c r="AW78" s="2294">
        <f t="shared" si="139"/>
        <v>0</v>
      </c>
      <c r="AX78" s="2294">
        <f t="shared" si="139"/>
        <v>0</v>
      </c>
      <c r="AY78" s="2296">
        <f t="shared" si="139"/>
        <v>0</v>
      </c>
      <c r="AZ78" s="2294"/>
      <c r="BA78" s="2295">
        <f t="shared" si="139"/>
        <v>0</v>
      </c>
      <c r="BB78" s="2294">
        <f t="shared" si="139"/>
        <v>0</v>
      </c>
      <c r="BC78" s="2598">
        <f t="shared" si="139"/>
        <v>0</v>
      </c>
      <c r="BD78" s="2296">
        <f t="shared" si="139"/>
        <v>0</v>
      </c>
      <c r="BE78" s="2294"/>
      <c r="BF78" s="2295">
        <f t="shared" si="139"/>
        <v>0</v>
      </c>
      <c r="BG78" s="2294">
        <f t="shared" si="139"/>
        <v>0</v>
      </c>
      <c r="BH78" s="2294">
        <f t="shared" si="139"/>
        <v>0</v>
      </c>
      <c r="BI78" s="2296">
        <f t="shared" si="139"/>
        <v>0</v>
      </c>
      <c r="BJ78" s="2294"/>
      <c r="BK78" s="2295">
        <f t="shared" si="139"/>
        <v>0</v>
      </c>
      <c r="BL78" s="2294">
        <f t="shared" si="139"/>
        <v>0</v>
      </c>
      <c r="BM78" s="2294">
        <f t="shared" si="139"/>
        <v>0</v>
      </c>
      <c r="BN78" s="2296">
        <f t="shared" si="139"/>
        <v>0</v>
      </c>
      <c r="BO78" s="2294"/>
      <c r="BP78" s="2295">
        <f t="shared" si="139"/>
        <v>0</v>
      </c>
      <c r="BQ78" s="2294">
        <f t="shared" si="139"/>
        <v>0</v>
      </c>
      <c r="BR78" s="2294">
        <f t="shared" si="139"/>
        <v>0</v>
      </c>
      <c r="BS78" s="2296">
        <f t="shared" si="139"/>
        <v>0</v>
      </c>
      <c r="BT78" s="2294"/>
      <c r="BU78" s="2295">
        <f t="shared" si="139"/>
        <v>0</v>
      </c>
      <c r="BV78" s="2294">
        <f t="shared" si="139"/>
        <v>0</v>
      </c>
      <c r="BW78" s="2294">
        <f t="shared" si="139"/>
        <v>0</v>
      </c>
      <c r="BX78" s="2296">
        <f t="shared" si="139"/>
        <v>0</v>
      </c>
      <c r="BY78" s="2244"/>
      <c r="BZ78" s="2261">
        <f>H78+I78+J78+K78</f>
        <v>6.5120389207996574</v>
      </c>
      <c r="CA78" s="2261">
        <f>L78+M78+N78+O78</f>
        <v>18.331189722460536</v>
      </c>
      <c r="CB78" s="2300">
        <f>P78+Q78+R78+S78</f>
        <v>0</v>
      </c>
      <c r="CC78" s="2300">
        <f>T78+U78+V78+W78</f>
        <v>0</v>
      </c>
      <c r="CD78" s="2299">
        <f>X78+Y78+Z78+AA78</f>
        <v>0</v>
      </c>
      <c r="CE78" s="2299">
        <f>AB78+AC78+AD78+AE78</f>
        <v>0</v>
      </c>
      <c r="CF78" s="2299">
        <f>SUM(AF78:AI78)</f>
        <v>0</v>
      </c>
      <c r="CG78" s="2299">
        <f>SUM(AJ78:AM78)</f>
        <v>0</v>
      </c>
      <c r="CH78" s="2299">
        <f>SUM(AN78:AQ78)</f>
        <v>0</v>
      </c>
      <c r="CI78" s="2299">
        <f>SUM(AO78:AR78)</f>
        <v>0</v>
      </c>
      <c r="CJ78" s="2299">
        <f>SUM(AV78:AY78)</f>
        <v>0</v>
      </c>
      <c r="CK78" s="2299">
        <f>SUM(BA78:BD78)</f>
        <v>0</v>
      </c>
      <c r="CL78" s="2299">
        <f>SUM(BF78:BI78)</f>
        <v>0</v>
      </c>
      <c r="CM78" s="2299">
        <f>SUM(BG78:BK78)</f>
        <v>0</v>
      </c>
      <c r="CN78" s="2298"/>
      <c r="CO78" s="2298"/>
      <c r="CP78" s="2301"/>
      <c r="CQ78" s="2261"/>
      <c r="CR78" s="2261">
        <f>F78+G78+H78+I78</f>
        <v>4.6646797198261725</v>
      </c>
      <c r="CS78" s="2261">
        <f>J78+K78+L78+M78</f>
        <v>20.254503365646578</v>
      </c>
      <c r="CT78" s="2300">
        <f>N78+O78+P78+Q78</f>
        <v>1.8336654423350844</v>
      </c>
      <c r="CU78" s="2300">
        <f>R78+S78+T78+U78</f>
        <v>0</v>
      </c>
      <c r="CV78" s="2300">
        <f>V78+W78+X78+Y78</f>
        <v>0</v>
      </c>
      <c r="CW78" s="2300">
        <f>Z78+AA78+AB78+AC78</f>
        <v>0</v>
      </c>
      <c r="CX78" s="2302">
        <f>AD78+AE78+AF78+AG78</f>
        <v>0</v>
      </c>
      <c r="CY78" s="2302">
        <f>AK78+AJ78+AI78+AH78</f>
        <v>0</v>
      </c>
      <c r="CZ78" s="2302">
        <f>AO78+AN78+AM78+AL78</f>
        <v>0</v>
      </c>
      <c r="DA78" s="2302">
        <f>AS78+AR78+AQ78+AP78</f>
        <v>0</v>
      </c>
      <c r="DB78" s="2302">
        <f>SUM(AT78:AW78)</f>
        <v>0</v>
      </c>
      <c r="DC78" s="2302">
        <f>SUM(AX78:BB78)</f>
        <v>0</v>
      </c>
      <c r="DD78" s="2300">
        <f>SUM(BC78:BG78)</f>
        <v>0</v>
      </c>
      <c r="DE78" s="2300">
        <f>SUM(BD78:BH78)</f>
        <v>0</v>
      </c>
      <c r="DF78" s="2298"/>
    </row>
    <row r="79" spans="1:120" s="1715" customFormat="1" hidden="1" outlineLevel="3">
      <c r="A79" s="2303" t="s">
        <v>15</v>
      </c>
      <c r="B79" s="2239"/>
      <c r="C79" s="2239"/>
      <c r="D79" s="2239"/>
      <c r="E79" s="2239"/>
      <c r="F79" s="2273">
        <v>0.03</v>
      </c>
      <c r="G79" s="2273">
        <v>0.03</v>
      </c>
      <c r="H79" s="2273">
        <v>0.04</v>
      </c>
      <c r="I79" s="2273">
        <v>0.03</v>
      </c>
      <c r="J79" s="2273">
        <v>0.05</v>
      </c>
      <c r="K79" s="2273">
        <v>0.05</v>
      </c>
      <c r="L79" s="2304">
        <v>0.15</v>
      </c>
      <c r="M79" s="2273">
        <v>0.22</v>
      </c>
      <c r="N79" s="2273">
        <v>0.04</v>
      </c>
      <c r="O79" s="2305">
        <v>0</v>
      </c>
      <c r="P79" s="2265">
        <v>0</v>
      </c>
      <c r="Q79" s="2266">
        <v>0</v>
      </c>
      <c r="R79" s="2266">
        <v>0</v>
      </c>
      <c r="S79" s="2267">
        <v>0</v>
      </c>
      <c r="T79" s="2265">
        <v>0</v>
      </c>
      <c r="U79" s="2266">
        <v>0</v>
      </c>
      <c r="V79" s="2266">
        <v>0</v>
      </c>
      <c r="W79" s="2267">
        <v>0</v>
      </c>
      <c r="X79" s="2265">
        <v>0</v>
      </c>
      <c r="Y79" s="2266">
        <v>0</v>
      </c>
      <c r="Z79" s="2266">
        <v>0</v>
      </c>
      <c r="AA79" s="2267">
        <v>0</v>
      </c>
      <c r="AB79" s="2304">
        <v>0</v>
      </c>
      <c r="AC79" s="2273">
        <v>0</v>
      </c>
      <c r="AD79" s="2273">
        <v>0</v>
      </c>
      <c r="AE79" s="2305">
        <v>0</v>
      </c>
      <c r="AF79" s="2304">
        <v>0</v>
      </c>
      <c r="AG79" s="2273">
        <v>0</v>
      </c>
      <c r="AH79" s="2273">
        <v>0</v>
      </c>
      <c r="AI79" s="2305">
        <v>0</v>
      </c>
      <c r="AJ79" s="2304">
        <v>0</v>
      </c>
      <c r="AK79" s="2273">
        <v>0</v>
      </c>
      <c r="AL79" s="2273">
        <v>0</v>
      </c>
      <c r="AM79" s="2273">
        <v>0</v>
      </c>
      <c r="AN79" s="2304">
        <v>0</v>
      </c>
      <c r="AO79" s="2273">
        <v>0</v>
      </c>
      <c r="AP79" s="2273">
        <v>0</v>
      </c>
      <c r="AQ79" s="2305">
        <v>0</v>
      </c>
      <c r="AR79" s="2273">
        <v>0</v>
      </c>
      <c r="AS79" s="2273">
        <v>0</v>
      </c>
      <c r="AT79" s="2273">
        <v>0</v>
      </c>
      <c r="AU79" s="2305">
        <v>0</v>
      </c>
      <c r="AV79" s="2304">
        <v>0</v>
      </c>
      <c r="AW79" s="2273">
        <v>0</v>
      </c>
      <c r="AX79" s="2273">
        <v>0</v>
      </c>
      <c r="AY79" s="2305">
        <v>0</v>
      </c>
      <c r="AZ79" s="2273"/>
      <c r="BA79" s="2304">
        <v>0</v>
      </c>
      <c r="BB79" s="2273">
        <v>0</v>
      </c>
      <c r="BC79" s="188">
        <v>0</v>
      </c>
      <c r="BD79" s="2305">
        <v>0</v>
      </c>
      <c r="BE79" s="2273"/>
      <c r="BF79" s="2304">
        <v>0</v>
      </c>
      <c r="BG79" s="2273">
        <v>0</v>
      </c>
      <c r="BH79" s="2273">
        <v>0</v>
      </c>
      <c r="BI79" s="2305">
        <v>0</v>
      </c>
      <c r="BJ79" s="2273"/>
      <c r="BK79" s="2304">
        <v>0</v>
      </c>
      <c r="BL79" s="2273">
        <v>0</v>
      </c>
      <c r="BM79" s="2273">
        <v>0</v>
      </c>
      <c r="BN79" s="2305">
        <v>0</v>
      </c>
      <c r="BO79" s="2273"/>
      <c r="BP79" s="2304">
        <v>0</v>
      </c>
      <c r="BQ79" s="2273">
        <v>0</v>
      </c>
      <c r="BR79" s="2273">
        <v>0</v>
      </c>
      <c r="BS79" s="2305">
        <v>0</v>
      </c>
      <c r="BT79" s="2273"/>
      <c r="BU79" s="2304">
        <v>0</v>
      </c>
      <c r="BV79" s="2273">
        <v>0</v>
      </c>
      <c r="BW79" s="2273">
        <v>0</v>
      </c>
      <c r="BX79" s="2305">
        <v>0</v>
      </c>
      <c r="BY79" s="2306"/>
      <c r="BZ79" s="2307">
        <f t="shared" ref="BZ79:CI79" si="140">BZ78/BZ$167</f>
        <v>4.2113664697073581E-2</v>
      </c>
      <c r="CA79" s="2307">
        <f t="shared" si="140"/>
        <v>0.10390115717725881</v>
      </c>
      <c r="CB79" s="2308">
        <f t="shared" si="140"/>
        <v>0</v>
      </c>
      <c r="CC79" s="2308">
        <f t="shared" si="140"/>
        <v>0</v>
      </c>
      <c r="CD79" s="2267">
        <f t="shared" si="140"/>
        <v>0</v>
      </c>
      <c r="CE79" s="2267">
        <f t="shared" si="140"/>
        <v>0</v>
      </c>
      <c r="CF79" s="2267">
        <f t="shared" si="140"/>
        <v>0</v>
      </c>
      <c r="CG79" s="2267">
        <f t="shared" si="140"/>
        <v>0</v>
      </c>
      <c r="CH79" s="2267">
        <f t="shared" si="140"/>
        <v>0</v>
      </c>
      <c r="CI79" s="2267">
        <f t="shared" si="140"/>
        <v>0</v>
      </c>
      <c r="CJ79" s="2267">
        <f>CJ78/CJ$167</f>
        <v>0</v>
      </c>
      <c r="CK79" s="2267">
        <f>CK78/CK$167</f>
        <v>0</v>
      </c>
      <c r="CL79" s="2267">
        <f>CL78/CL$167</f>
        <v>0</v>
      </c>
      <c r="CM79" s="2267">
        <f>CM78/CM$167</f>
        <v>0</v>
      </c>
      <c r="CN79" s="2266"/>
      <c r="CO79" s="2266"/>
      <c r="CP79" s="2306"/>
      <c r="CQ79" s="2307"/>
      <c r="CR79" s="2307">
        <f t="shared" ref="CR79:DA79" si="141">CR78/CR$167</f>
        <v>3.2732769645142802E-2</v>
      </c>
      <c r="CS79" s="2307">
        <f t="shared" si="141"/>
        <v>0.12400370935073414</v>
      </c>
      <c r="CT79" s="2308">
        <f t="shared" si="141"/>
        <v>9.4644970030375482E-3</v>
      </c>
      <c r="CU79" s="2308">
        <f t="shared" si="141"/>
        <v>0</v>
      </c>
      <c r="CV79" s="2308">
        <f t="shared" si="141"/>
        <v>0</v>
      </c>
      <c r="CW79" s="2308">
        <f t="shared" si="141"/>
        <v>0</v>
      </c>
      <c r="CX79" s="2308">
        <f t="shared" si="141"/>
        <v>0</v>
      </c>
      <c r="CY79" s="2308">
        <f t="shared" si="141"/>
        <v>0</v>
      </c>
      <c r="CZ79" s="2308">
        <f t="shared" si="141"/>
        <v>0</v>
      </c>
      <c r="DA79" s="2308">
        <f t="shared" si="141"/>
        <v>0</v>
      </c>
      <c r="DB79" s="2308">
        <f>DB78/DB$167</f>
        <v>0</v>
      </c>
      <c r="DC79" s="2308">
        <f>DC78/DC$167</f>
        <v>0</v>
      </c>
      <c r="DD79" s="2308">
        <f>DD78/DD$167</f>
        <v>0</v>
      </c>
      <c r="DE79" s="2308">
        <f>DE78/DE$167</f>
        <v>0</v>
      </c>
      <c r="DF79" s="2266"/>
    </row>
    <row r="80" spans="1:120" s="1715" customFormat="1" hidden="1" outlineLevel="3">
      <c r="A80" s="2238" t="s">
        <v>121</v>
      </c>
      <c r="B80" s="2239"/>
      <c r="C80" s="2239"/>
      <c r="D80" s="2239"/>
      <c r="E80" s="2239"/>
      <c r="F80" s="2239"/>
      <c r="G80" s="2239"/>
      <c r="H80" s="2239"/>
      <c r="I80" s="2239"/>
      <c r="J80" s="2252">
        <f t="shared" ref="J80:AS80" si="142">IF(OR(J78=0,F78=0),"NM",J78/F78-1)</f>
        <v>0.94107910277504003</v>
      </c>
      <c r="K80" s="2252">
        <f t="shared" si="142"/>
        <v>0.99387736550641126</v>
      </c>
      <c r="L80" s="2251">
        <f t="shared" si="142"/>
        <v>3.2037548048954321</v>
      </c>
      <c r="M80" s="2252">
        <f t="shared" si="142"/>
        <v>7.063383415044175</v>
      </c>
      <c r="N80" s="2252">
        <f t="shared" si="142"/>
        <v>-1.3688648713355511E-2</v>
      </c>
      <c r="O80" s="2253" t="str">
        <f t="shared" si="142"/>
        <v>NM</v>
      </c>
      <c r="P80" s="2241" t="str">
        <f t="shared" si="142"/>
        <v>NM</v>
      </c>
      <c r="Q80" s="2240" t="str">
        <f t="shared" si="142"/>
        <v>NM</v>
      </c>
      <c r="R80" s="2240" t="str">
        <f t="shared" si="142"/>
        <v>NM</v>
      </c>
      <c r="S80" s="2242" t="str">
        <f t="shared" si="142"/>
        <v>NM</v>
      </c>
      <c r="T80" s="2241" t="str">
        <f t="shared" si="142"/>
        <v>NM</v>
      </c>
      <c r="U80" s="2271" t="str">
        <f t="shared" si="142"/>
        <v>NM</v>
      </c>
      <c r="V80" s="2271" t="str">
        <f t="shared" si="142"/>
        <v>NM</v>
      </c>
      <c r="W80" s="2309" t="str">
        <f t="shared" si="142"/>
        <v>NM</v>
      </c>
      <c r="X80" s="2310" t="str">
        <f t="shared" si="142"/>
        <v>NM</v>
      </c>
      <c r="Y80" s="2271" t="str">
        <f t="shared" si="142"/>
        <v>NM</v>
      </c>
      <c r="Z80" s="2271" t="str">
        <f t="shared" si="142"/>
        <v>NM</v>
      </c>
      <c r="AA80" s="2309" t="str">
        <f t="shared" si="142"/>
        <v>NM</v>
      </c>
      <c r="AB80" s="2256" t="str">
        <f t="shared" si="142"/>
        <v>NM</v>
      </c>
      <c r="AC80" s="2250" t="str">
        <f t="shared" si="142"/>
        <v>NM</v>
      </c>
      <c r="AD80" s="2250" t="str">
        <f t="shared" si="142"/>
        <v>NM</v>
      </c>
      <c r="AE80" s="2257" t="str">
        <f t="shared" si="142"/>
        <v>NM</v>
      </c>
      <c r="AF80" s="2256" t="str">
        <f t="shared" si="142"/>
        <v>NM</v>
      </c>
      <c r="AG80" s="2250" t="str">
        <f t="shared" si="142"/>
        <v>NM</v>
      </c>
      <c r="AH80" s="2250" t="str">
        <f t="shared" si="142"/>
        <v>NM</v>
      </c>
      <c r="AI80" s="2257" t="str">
        <f t="shared" si="142"/>
        <v>NM</v>
      </c>
      <c r="AJ80" s="2256" t="str">
        <f t="shared" si="142"/>
        <v>NM</v>
      </c>
      <c r="AK80" s="2250" t="str">
        <f t="shared" si="142"/>
        <v>NM</v>
      </c>
      <c r="AL80" s="2250" t="str">
        <f t="shared" si="142"/>
        <v>NM</v>
      </c>
      <c r="AM80" s="2250" t="str">
        <f t="shared" si="142"/>
        <v>NM</v>
      </c>
      <c r="AN80" s="2256" t="str">
        <f t="shared" si="142"/>
        <v>NM</v>
      </c>
      <c r="AO80" s="2250" t="str">
        <f t="shared" si="142"/>
        <v>NM</v>
      </c>
      <c r="AP80" s="2250" t="str">
        <f t="shared" si="142"/>
        <v>NM</v>
      </c>
      <c r="AQ80" s="2257" t="str">
        <f t="shared" si="142"/>
        <v>NM</v>
      </c>
      <c r="AR80" s="2250" t="str">
        <f t="shared" si="142"/>
        <v>NM</v>
      </c>
      <c r="AS80" s="2250" t="str">
        <f t="shared" si="142"/>
        <v>NM</v>
      </c>
      <c r="AT80" s="2250" t="str">
        <f>IF(OR(AT78=0,AP78=0),"NM",AT78/AP78-1)</f>
        <v>NM</v>
      </c>
      <c r="AU80" s="2257" t="str">
        <f>IF(OR(AU78=0,AQ78=0),"NM",AU78/AQ78-1)</f>
        <v>NM</v>
      </c>
      <c r="AV80" s="2256" t="str">
        <f t="shared" ref="AV80:AY80" si="143">IF(OR(AV78=0,AR78=0),"NM",AV78/AR78-1)</f>
        <v>NM</v>
      </c>
      <c r="AW80" s="2250" t="str">
        <f t="shared" si="143"/>
        <v>NM</v>
      </c>
      <c r="AX80" s="2250" t="str">
        <f t="shared" si="143"/>
        <v>NM</v>
      </c>
      <c r="AY80" s="2257" t="str">
        <f t="shared" si="143"/>
        <v>NM</v>
      </c>
      <c r="AZ80" s="2250"/>
      <c r="BA80" s="2256" t="str">
        <f>IF(OR(BA78=0,AV78=0),"NM",BA78/AV78-1)</f>
        <v>NM</v>
      </c>
      <c r="BB80" s="2250" t="str">
        <f>IF(OR(BB78=0,AW78=0),"NM",BB78/AW78-1)</f>
        <v>NM</v>
      </c>
      <c r="BC80" s="2603" t="str">
        <f>IF(OR(BC78=0,AX78=0),"NM",BC78/AX78-1)</f>
        <v>NM</v>
      </c>
      <c r="BD80" s="2257" t="str">
        <f>IF(OR(BD78=0,AY78=0),"NM",BD78/AY78-1)</f>
        <v>NM</v>
      </c>
      <c r="BE80" s="2250"/>
      <c r="BF80" s="2256" t="str">
        <f>IF(OR(BF78=0,BA78=0),"NM",BF78/BA78-1)</f>
        <v>NM</v>
      </c>
      <c r="BG80" s="2250" t="str">
        <f>IF(OR(BG78=0,BB78=0),"NM",BG78/BB78-1)</f>
        <v>NM</v>
      </c>
      <c r="BH80" s="2250" t="str">
        <f>IF(OR(BH78=0,BC78=0),"NM",BH78/BC78-1)</f>
        <v>NM</v>
      </c>
      <c r="BI80" s="2257" t="str">
        <f>IF(OR(BI78=0,BD78=0),"NM",BI78/BD78-1)</f>
        <v>NM</v>
      </c>
      <c r="BJ80" s="2250"/>
      <c r="BK80" s="2256" t="str">
        <f>IF(OR(BK78=0,BF78=0),"NM",BK78/BF78-1)</f>
        <v>NM</v>
      </c>
      <c r="BL80" s="2250" t="str">
        <f>IF(OR(BL78=0,BG78=0),"NM",BL78/BG78-1)</f>
        <v>NM</v>
      </c>
      <c r="BM80" s="2250" t="str">
        <f>IF(OR(BM78=0,BH78=0),"NM",BM78/BH78-1)</f>
        <v>NM</v>
      </c>
      <c r="BN80" s="2257" t="str">
        <f>IF(OR(BN78=0,BI78=0),"NM",BN78/BI78-1)</f>
        <v>NM</v>
      </c>
      <c r="BO80" s="2250"/>
      <c r="BP80" s="2256" t="str">
        <f>IF(OR(BP78=0,BK78=0),"NM",BP78/BK78-1)</f>
        <v>NM</v>
      </c>
      <c r="BQ80" s="2250" t="str">
        <f>IF(OR(BQ78=0,BL78=0),"NM",BQ78/BL78-1)</f>
        <v>NM</v>
      </c>
      <c r="BR80" s="2250" t="str">
        <f>IF(OR(BR78=0,BM78=0),"NM",BR78/BM78-1)</f>
        <v>NM</v>
      </c>
      <c r="BS80" s="2257" t="str">
        <f>IF(OR(BS78=0,BN78=0),"NM",BS78/BN78-1)</f>
        <v>NM</v>
      </c>
      <c r="BT80" s="2250"/>
      <c r="BU80" s="2256" t="str">
        <f>IF(OR(BU78=0,BP78=0),"NM",BU78/BP78-1)</f>
        <v>NM</v>
      </c>
      <c r="BV80" s="2250" t="str">
        <f>IF(OR(BV78=0,BQ78=0),"NM",BV78/BQ78-1)</f>
        <v>NM</v>
      </c>
      <c r="BW80" s="2250" t="str">
        <f>IF(OR(BW78=0,BR78=0),"NM",BW78/BR78-1)</f>
        <v>NM</v>
      </c>
      <c r="BX80" s="2257" t="str">
        <f>IF(OR(BX78=0,BS78=0),"NM",BX78/BS78-1)</f>
        <v>NM</v>
      </c>
      <c r="BY80" s="2244"/>
      <c r="BZ80" s="2246"/>
      <c r="CA80" s="2246">
        <f t="shared" ref="CA80:CM80" si="144">IF(OR(BZ78=0,CA78=0),"NM",CA78/BZ78-1)</f>
        <v>1.8149693122856099</v>
      </c>
      <c r="CB80" s="2247" t="str">
        <f t="shared" si="144"/>
        <v>NM</v>
      </c>
      <c r="CC80" s="2247" t="str">
        <f t="shared" si="144"/>
        <v>NM</v>
      </c>
      <c r="CD80" s="2242" t="str">
        <f t="shared" si="144"/>
        <v>NM</v>
      </c>
      <c r="CE80" s="2242" t="str">
        <f t="shared" si="144"/>
        <v>NM</v>
      </c>
      <c r="CF80" s="2242" t="str">
        <f t="shared" si="144"/>
        <v>NM</v>
      </c>
      <c r="CG80" s="2242" t="str">
        <f t="shared" si="144"/>
        <v>NM</v>
      </c>
      <c r="CH80" s="2242" t="str">
        <f t="shared" si="144"/>
        <v>NM</v>
      </c>
      <c r="CI80" s="2242" t="str">
        <f t="shared" si="144"/>
        <v>NM</v>
      </c>
      <c r="CJ80" s="2242" t="str">
        <f t="shared" si="144"/>
        <v>NM</v>
      </c>
      <c r="CK80" s="2242" t="str">
        <f t="shared" si="144"/>
        <v>NM</v>
      </c>
      <c r="CL80" s="2242" t="str">
        <f t="shared" si="144"/>
        <v>NM</v>
      </c>
      <c r="CM80" s="2242" t="str">
        <f t="shared" si="144"/>
        <v>NM</v>
      </c>
      <c r="CN80" s="2240"/>
      <c r="CO80" s="2240"/>
      <c r="CP80" s="2248"/>
      <c r="CQ80" s="2246"/>
      <c r="CR80" s="2246"/>
      <c r="CS80" s="2246">
        <f t="shared" ref="CS80:DA80" si="145">IF(OR(CR78=0,CS78=0),"NM",CS78/CR78-1)</f>
        <v>3.3420994756744742</v>
      </c>
      <c r="CT80" s="2247">
        <f t="shared" si="145"/>
        <v>-0.90946875323316279</v>
      </c>
      <c r="CU80" s="2247" t="str">
        <f t="shared" si="145"/>
        <v>NM</v>
      </c>
      <c r="CV80" s="2247" t="str">
        <f t="shared" si="145"/>
        <v>NM</v>
      </c>
      <c r="CW80" s="2247" t="str">
        <f t="shared" si="145"/>
        <v>NM</v>
      </c>
      <c r="CX80" s="2247" t="str">
        <f t="shared" si="145"/>
        <v>NM</v>
      </c>
      <c r="CY80" s="2247" t="str">
        <f t="shared" si="145"/>
        <v>NM</v>
      </c>
      <c r="CZ80" s="2247" t="str">
        <f t="shared" si="145"/>
        <v>NM</v>
      </c>
      <c r="DA80" s="2247" t="str">
        <f t="shared" si="145"/>
        <v>NM</v>
      </c>
      <c r="DB80" s="2247" t="str">
        <f>IF(OR(DA78=0,DB78=0),"NM",DB78/DA78-1)</f>
        <v>NM</v>
      </c>
      <c r="DC80" s="2247" t="str">
        <f>IF(OR(DB78=0,DC78=0),"NM",DC78/DB78-1)</f>
        <v>NM</v>
      </c>
      <c r="DD80" s="2247" t="str">
        <f>IF(OR(DB78=0,DD78=0),"NM",DD78/DB78-1)</f>
        <v>NM</v>
      </c>
      <c r="DE80" s="2247" t="str">
        <f>IF(OR(DC78=0,DE78=0),"NM",DE78/DC78-1)</f>
        <v>NM</v>
      </c>
      <c r="DF80" s="2240"/>
    </row>
    <row r="81" spans="1:110" s="1715" customFormat="1" hidden="1" outlineLevel="2">
      <c r="A81" s="2311" t="s">
        <v>290</v>
      </c>
      <c r="B81" s="2312"/>
      <c r="C81" s="2312"/>
      <c r="D81" s="2312"/>
      <c r="E81" s="2312"/>
      <c r="F81" s="2312">
        <f t="shared" ref="F81:P81" si="146">F78*F211</f>
        <v>57.466412396943205</v>
      </c>
      <c r="G81" s="2312">
        <f t="shared" si="146"/>
        <v>57.110780675915507</v>
      </c>
      <c r="H81" s="2312">
        <f t="shared" si="146"/>
        <v>89.232527543737547</v>
      </c>
      <c r="I81" s="2312">
        <f t="shared" si="146"/>
        <v>76.27808321279538</v>
      </c>
      <c r="J81" s="2312">
        <f t="shared" si="146"/>
        <v>109.62724243538828</v>
      </c>
      <c r="K81" s="2312">
        <f t="shared" si="146"/>
        <v>114.21703862353759</v>
      </c>
      <c r="L81" s="2313">
        <f t="shared" si="146"/>
        <v>356.4541677730104</v>
      </c>
      <c r="M81" s="2312">
        <f t="shared" si="146"/>
        <v>579.23718522021818</v>
      </c>
      <c r="N81" s="2312">
        <f t="shared" si="146"/>
        <v>105.61912947850085</v>
      </c>
      <c r="O81" s="2314">
        <f t="shared" si="146"/>
        <v>0</v>
      </c>
      <c r="P81" s="2290">
        <f t="shared" si="146"/>
        <v>0</v>
      </c>
      <c r="Q81" s="2315">
        <f t="shared" ref="Q81:AS81" si="147">Q78*Q217</f>
        <v>0</v>
      </c>
      <c r="R81" s="2315">
        <f t="shared" si="147"/>
        <v>0</v>
      </c>
      <c r="S81" s="2316">
        <f t="shared" si="147"/>
        <v>0</v>
      </c>
      <c r="T81" s="2290">
        <f t="shared" si="147"/>
        <v>0</v>
      </c>
      <c r="U81" s="2315">
        <f t="shared" si="147"/>
        <v>0</v>
      </c>
      <c r="V81" s="2315">
        <f t="shared" si="147"/>
        <v>0</v>
      </c>
      <c r="W81" s="2316">
        <f t="shared" si="147"/>
        <v>0</v>
      </c>
      <c r="X81" s="2290">
        <f t="shared" si="147"/>
        <v>0</v>
      </c>
      <c r="Y81" s="2315">
        <f t="shared" si="147"/>
        <v>0</v>
      </c>
      <c r="Z81" s="2315">
        <f t="shared" si="147"/>
        <v>0</v>
      </c>
      <c r="AA81" s="2316">
        <f t="shared" si="147"/>
        <v>0</v>
      </c>
      <c r="AB81" s="2313">
        <f t="shared" si="147"/>
        <v>0</v>
      </c>
      <c r="AC81" s="2312">
        <f t="shared" si="147"/>
        <v>0</v>
      </c>
      <c r="AD81" s="2312">
        <f t="shared" si="147"/>
        <v>0</v>
      </c>
      <c r="AE81" s="2314">
        <f t="shared" si="147"/>
        <v>0</v>
      </c>
      <c r="AF81" s="2313">
        <f t="shared" si="147"/>
        <v>0</v>
      </c>
      <c r="AG81" s="2312">
        <f t="shared" si="147"/>
        <v>0</v>
      </c>
      <c r="AH81" s="2312">
        <f t="shared" si="147"/>
        <v>0</v>
      </c>
      <c r="AI81" s="2314">
        <f t="shared" si="147"/>
        <v>0</v>
      </c>
      <c r="AJ81" s="2313">
        <f t="shared" si="147"/>
        <v>0</v>
      </c>
      <c r="AK81" s="2312">
        <f t="shared" si="147"/>
        <v>0</v>
      </c>
      <c r="AL81" s="2312">
        <f t="shared" si="147"/>
        <v>0</v>
      </c>
      <c r="AM81" s="2312">
        <f t="shared" si="147"/>
        <v>0</v>
      </c>
      <c r="AN81" s="2313">
        <f t="shared" si="147"/>
        <v>0</v>
      </c>
      <c r="AO81" s="2312">
        <f t="shared" si="147"/>
        <v>0</v>
      </c>
      <c r="AP81" s="2312">
        <f t="shared" si="147"/>
        <v>0</v>
      </c>
      <c r="AQ81" s="2314">
        <f t="shared" si="147"/>
        <v>0</v>
      </c>
      <c r="AR81" s="2312">
        <f t="shared" si="147"/>
        <v>0</v>
      </c>
      <c r="AS81" s="2312">
        <f t="shared" si="147"/>
        <v>0</v>
      </c>
      <c r="AT81" s="2312">
        <f>AT78*AT217</f>
        <v>0</v>
      </c>
      <c r="AU81" s="2314">
        <f>AU78*AU217</f>
        <v>0</v>
      </c>
      <c r="AV81" s="2313">
        <f t="shared" ref="AV81:BI81" si="148">AV78*AV217</f>
        <v>0</v>
      </c>
      <c r="AW81" s="2312">
        <f t="shared" si="148"/>
        <v>0</v>
      </c>
      <c r="AX81" s="2312">
        <f t="shared" si="148"/>
        <v>0</v>
      </c>
      <c r="AY81" s="2314">
        <f t="shared" si="148"/>
        <v>0</v>
      </c>
      <c r="AZ81" s="2312"/>
      <c r="BA81" s="2313">
        <f t="shared" si="148"/>
        <v>0</v>
      </c>
      <c r="BB81" s="2312">
        <f t="shared" si="148"/>
        <v>0</v>
      </c>
      <c r="BC81" s="1710">
        <f t="shared" si="148"/>
        <v>0</v>
      </c>
      <c r="BD81" s="2314">
        <f t="shared" si="148"/>
        <v>0</v>
      </c>
      <c r="BE81" s="2312"/>
      <c r="BF81" s="2313">
        <f t="shared" si="148"/>
        <v>0</v>
      </c>
      <c r="BG81" s="2312">
        <f t="shared" si="148"/>
        <v>0</v>
      </c>
      <c r="BH81" s="2312">
        <f t="shared" si="148"/>
        <v>0</v>
      </c>
      <c r="BI81" s="2314">
        <f t="shared" si="148"/>
        <v>0</v>
      </c>
      <c r="BJ81" s="2312"/>
      <c r="BK81" s="2313">
        <f>BK78*BK217</f>
        <v>0</v>
      </c>
      <c r="BL81" s="2312">
        <f>BL78*BL217</f>
        <v>0</v>
      </c>
      <c r="BM81" s="2312">
        <f>BM78*BM217</f>
        <v>0</v>
      </c>
      <c r="BN81" s="2314">
        <f>BN78*BN217</f>
        <v>0</v>
      </c>
      <c r="BO81" s="2312"/>
      <c r="BP81" s="2313">
        <f>BP78*BP217</f>
        <v>0</v>
      </c>
      <c r="BQ81" s="2312">
        <f>BQ78*BQ217</f>
        <v>0</v>
      </c>
      <c r="BR81" s="2312">
        <f>BR78*BR217</f>
        <v>0</v>
      </c>
      <c r="BS81" s="2314">
        <f>BS78*BS217</f>
        <v>0</v>
      </c>
      <c r="BT81" s="2312"/>
      <c r="BU81" s="2313">
        <f>BU78*BU217</f>
        <v>0</v>
      </c>
      <c r="BV81" s="2312">
        <f>BV78*BV217</f>
        <v>0</v>
      </c>
      <c r="BW81" s="2312">
        <f>BW78*BW217</f>
        <v>0</v>
      </c>
      <c r="BX81" s="2314">
        <f>BX78*BX217</f>
        <v>0</v>
      </c>
      <c r="BY81" s="2317"/>
      <c r="BZ81" s="2318">
        <f>H81+I81+J81+K81</f>
        <v>389.35489181545876</v>
      </c>
      <c r="CA81" s="2318">
        <f>L81+M81+N81+O81</f>
        <v>1041.3104824717293</v>
      </c>
      <c r="CB81" s="2319">
        <f>P81+Q81+R81+S81</f>
        <v>0</v>
      </c>
      <c r="CC81" s="2319">
        <f>T81+U81+V81+W81</f>
        <v>0</v>
      </c>
      <c r="CD81" s="2316">
        <f>X81+Y81+Z81+AA81</f>
        <v>0</v>
      </c>
      <c r="CE81" s="2316">
        <f>AB81+AC81+AD81+AE81</f>
        <v>0</v>
      </c>
      <c r="CF81" s="2316">
        <f>SUM(AF81:AI81)</f>
        <v>0</v>
      </c>
      <c r="CG81" s="2316">
        <f>SUM(AJ81:AM81)</f>
        <v>0</v>
      </c>
      <c r="CH81" s="2316">
        <f>SUM(AN81:AQ81)</f>
        <v>0</v>
      </c>
      <c r="CI81" s="2316">
        <f>SUM(AO81:AR81)</f>
        <v>0</v>
      </c>
      <c r="CJ81" s="2316">
        <f>SUM(AV81:AY81)</f>
        <v>0</v>
      </c>
      <c r="CK81" s="2316">
        <f>SUM(BA81:BD81)</f>
        <v>0</v>
      </c>
      <c r="CL81" s="2316">
        <f>SUM(BF81:BI81)</f>
        <v>0</v>
      </c>
      <c r="CM81" s="2316">
        <f>SUM(BG81:BK81)</f>
        <v>0</v>
      </c>
      <c r="CN81" s="2315"/>
      <c r="CO81" s="2315"/>
      <c r="CP81" s="2317"/>
      <c r="CQ81" s="2318"/>
      <c r="CR81" s="2318">
        <f>F81+G81+H81+I81</f>
        <v>280.08780382939165</v>
      </c>
      <c r="CS81" s="2318">
        <f>J81+K81+L81+M81</f>
        <v>1159.5356340521544</v>
      </c>
      <c r="CT81" s="2319">
        <f>N81+O81+P81+Q81</f>
        <v>105.61912947850085</v>
      </c>
      <c r="CU81" s="2319">
        <f>R81+S81+T81+U81</f>
        <v>0</v>
      </c>
      <c r="CV81" s="2319">
        <f>V81+W81+X81+Y81</f>
        <v>0</v>
      </c>
      <c r="CW81" s="2319">
        <f>Z81+AA81+AB81+AC81</f>
        <v>0</v>
      </c>
      <c r="CX81" s="2318">
        <f>SUM(AD81:AG81)</f>
        <v>0</v>
      </c>
      <c r="CY81" s="2318">
        <f>AK81+AJ81+AI81+AH81</f>
        <v>0</v>
      </c>
      <c r="CZ81" s="2318">
        <f>AO81+AN81+AM81+AL81</f>
        <v>0</v>
      </c>
      <c r="DA81" s="2318">
        <f>AS81+AR81+AQ81+AP81</f>
        <v>0</v>
      </c>
      <c r="DB81" s="2318">
        <f>SUM(AT81:AW81)</f>
        <v>0</v>
      </c>
      <c r="DC81" s="2318">
        <f>SUM(AX81:BB81)</f>
        <v>0</v>
      </c>
      <c r="DD81" s="2318">
        <f>SUM(BC81:BG81)</f>
        <v>0</v>
      </c>
      <c r="DE81" s="2318">
        <f>SUM(BD81:BH81)</f>
        <v>0</v>
      </c>
      <c r="DF81" s="2312"/>
    </row>
    <row r="82" spans="1:110" s="1715" customFormat="1" hidden="1" outlineLevel="2">
      <c r="A82" s="2311"/>
      <c r="B82" s="2312"/>
      <c r="C82" s="2312"/>
      <c r="D82" s="2312"/>
      <c r="E82" s="2312"/>
      <c r="F82" s="2312"/>
      <c r="G82" s="2312"/>
      <c r="H82" s="2312"/>
      <c r="I82" s="2312"/>
      <c r="J82" s="2312"/>
      <c r="K82" s="2312"/>
      <c r="L82" s="2313"/>
      <c r="M82" s="2312"/>
      <c r="N82" s="2312"/>
      <c r="O82" s="2314"/>
      <c r="P82" s="2290"/>
      <c r="Q82" s="2315"/>
      <c r="R82" s="2315"/>
      <c r="S82" s="2316"/>
      <c r="T82" s="2290"/>
      <c r="U82" s="2315"/>
      <c r="V82" s="2315"/>
      <c r="W82" s="2316"/>
      <c r="X82" s="2290"/>
      <c r="Y82" s="2315"/>
      <c r="Z82" s="2315"/>
      <c r="AA82" s="2316"/>
      <c r="AB82" s="2313"/>
      <c r="AC82" s="2312"/>
      <c r="AD82" s="2312"/>
      <c r="AE82" s="2314"/>
      <c r="AF82" s="2313"/>
      <c r="AG82" s="2312"/>
      <c r="AH82" s="2312"/>
      <c r="AI82" s="2314"/>
      <c r="AJ82" s="2313"/>
      <c r="AK82" s="2312"/>
      <c r="AL82" s="2312"/>
      <c r="AM82" s="2312"/>
      <c r="AN82" s="2313"/>
      <c r="AO82" s="2312"/>
      <c r="AP82" s="2312"/>
      <c r="AQ82" s="2314"/>
      <c r="AR82" s="2312"/>
      <c r="AS82" s="2312"/>
      <c r="AT82" s="2312"/>
      <c r="AU82" s="2314"/>
      <c r="AV82" s="2313"/>
      <c r="AW82" s="2312"/>
      <c r="AX82" s="2312"/>
      <c r="AY82" s="2314"/>
      <c r="AZ82" s="2312"/>
      <c r="BA82" s="2313"/>
      <c r="BB82" s="2312"/>
      <c r="BC82" s="1710"/>
      <c r="BD82" s="2314"/>
      <c r="BE82" s="2312"/>
      <c r="BF82" s="2313"/>
      <c r="BG82" s="2312"/>
      <c r="BH82" s="2312"/>
      <c r="BI82" s="2314"/>
      <c r="BJ82" s="2312"/>
      <c r="BK82" s="2313"/>
      <c r="BL82" s="2312"/>
      <c r="BM82" s="2312"/>
      <c r="BN82" s="2314"/>
      <c r="BO82" s="2312"/>
      <c r="BP82" s="2313"/>
      <c r="BQ82" s="2312"/>
      <c r="BR82" s="2312"/>
      <c r="BS82" s="2314"/>
      <c r="BT82" s="2312"/>
      <c r="BU82" s="2313"/>
      <c r="BV82" s="2312"/>
      <c r="BW82" s="2312"/>
      <c r="BX82" s="2314"/>
      <c r="BY82" s="2317"/>
      <c r="BZ82" s="2318"/>
      <c r="CA82" s="2318"/>
      <c r="CB82" s="2319"/>
      <c r="CC82" s="2319"/>
      <c r="CD82" s="2316"/>
      <c r="CE82" s="2316"/>
      <c r="CF82" s="2316"/>
      <c r="CG82" s="2316"/>
      <c r="CH82" s="2316"/>
      <c r="CI82" s="2316"/>
      <c r="CJ82" s="2316"/>
      <c r="CK82" s="2316"/>
      <c r="CL82" s="2316"/>
      <c r="CM82" s="2316"/>
      <c r="CN82" s="2315"/>
      <c r="CO82" s="2315"/>
      <c r="CP82" s="2317"/>
      <c r="CQ82" s="2318"/>
      <c r="CR82" s="2318"/>
      <c r="CS82" s="2318"/>
      <c r="CT82" s="2319"/>
      <c r="CU82" s="2319"/>
      <c r="CV82" s="2319"/>
      <c r="CW82" s="2319"/>
      <c r="CX82" s="2318"/>
      <c r="CY82" s="2318"/>
      <c r="CZ82" s="2318"/>
      <c r="DA82" s="2318"/>
      <c r="DB82" s="2318"/>
      <c r="DC82" s="2318"/>
      <c r="DD82" s="2318"/>
      <c r="DE82" s="2318"/>
      <c r="DF82" s="2312"/>
    </row>
    <row r="83" spans="1:110" s="1715" customFormat="1" hidden="1" outlineLevel="2">
      <c r="A83" s="2275" t="s">
        <v>292</v>
      </c>
      <c r="B83" s="2239"/>
      <c r="C83" s="2239"/>
      <c r="D83" s="2239"/>
      <c r="E83" s="2239"/>
      <c r="F83" s="2239"/>
      <c r="G83" s="2239"/>
      <c r="H83" s="2239"/>
      <c r="I83" s="2239"/>
      <c r="J83" s="2239"/>
      <c r="K83" s="2239"/>
      <c r="L83" s="2264"/>
      <c r="M83" s="2239"/>
      <c r="N83" s="2239"/>
      <c r="O83" s="2260"/>
      <c r="P83" s="2287"/>
      <c r="Q83" s="2288"/>
      <c r="R83" s="2288"/>
      <c r="S83" s="2289"/>
      <c r="T83" s="2287"/>
      <c r="U83" s="2288"/>
      <c r="V83" s="2288"/>
      <c r="W83" s="2289"/>
      <c r="X83" s="2320"/>
      <c r="Y83" s="2321"/>
      <c r="Z83" s="2321"/>
      <c r="AA83" s="2322"/>
      <c r="AB83" s="2323"/>
      <c r="AC83" s="2324"/>
      <c r="AD83" s="2324"/>
      <c r="AE83" s="2325"/>
      <c r="AF83" s="2323"/>
      <c r="AG83" s="2324"/>
      <c r="AH83" s="2324"/>
      <c r="AI83" s="2325"/>
      <c r="AJ83" s="2323"/>
      <c r="AK83" s="2324"/>
      <c r="AL83" s="2324"/>
      <c r="AM83" s="2324"/>
      <c r="AN83" s="2323"/>
      <c r="AO83" s="2324"/>
      <c r="AP83" s="2324"/>
      <c r="AQ83" s="2325"/>
      <c r="AR83" s="2324"/>
      <c r="AS83" s="2324"/>
      <c r="AT83" s="2324"/>
      <c r="AU83" s="2325"/>
      <c r="AV83" s="2323"/>
      <c r="AW83" s="2324"/>
      <c r="AX83" s="2324"/>
      <c r="AY83" s="2325"/>
      <c r="AZ83" s="2324"/>
      <c r="BA83" s="2323"/>
      <c r="BB83" s="2324"/>
      <c r="BC83" s="2605"/>
      <c r="BD83" s="2325"/>
      <c r="BE83" s="2324"/>
      <c r="BF83" s="2323"/>
      <c r="BG83" s="2324"/>
      <c r="BH83" s="2324"/>
      <c r="BI83" s="2325"/>
      <c r="BJ83" s="2324"/>
      <c r="BK83" s="2323"/>
      <c r="BL83" s="2324"/>
      <c r="BM83" s="2324"/>
      <c r="BN83" s="2325"/>
      <c r="BO83" s="2324"/>
      <c r="BP83" s="2323"/>
      <c r="BQ83" s="2324"/>
      <c r="BR83" s="2324"/>
      <c r="BS83" s="2325"/>
      <c r="BT83" s="2324"/>
      <c r="BU83" s="2323"/>
      <c r="BV83" s="2324"/>
      <c r="BW83" s="2324"/>
      <c r="BX83" s="2325"/>
      <c r="BY83" s="2244"/>
      <c r="BZ83" s="2259"/>
      <c r="CA83" s="2259"/>
      <c r="CB83" s="2291"/>
      <c r="CC83" s="2291"/>
      <c r="CD83" s="2289"/>
      <c r="CE83" s="2289"/>
      <c r="CF83" s="2289"/>
      <c r="CG83" s="2289"/>
      <c r="CH83" s="2289"/>
      <c r="CI83" s="2289"/>
      <c r="CJ83" s="2289"/>
      <c r="CK83" s="2289"/>
      <c r="CL83" s="2289"/>
      <c r="CM83" s="2289"/>
      <c r="CN83" s="2288"/>
      <c r="CO83" s="2288"/>
      <c r="CP83" s="2244"/>
      <c r="CQ83" s="2259"/>
      <c r="CR83" s="2259"/>
      <c r="CS83" s="2259"/>
      <c r="CT83" s="2291"/>
      <c r="CU83" s="2291"/>
      <c r="CV83" s="2291"/>
      <c r="CW83" s="2291"/>
      <c r="CX83" s="2259"/>
      <c r="CY83" s="2259"/>
      <c r="CZ83" s="2259"/>
      <c r="DA83" s="2259"/>
      <c r="DB83" s="2259"/>
      <c r="DC83" s="2259"/>
      <c r="DD83" s="2259"/>
      <c r="DE83" s="2259"/>
      <c r="DF83" s="2239"/>
    </row>
    <row r="84" spans="1:110" s="1715" customFormat="1" hidden="1" outlineLevel="2">
      <c r="A84" s="2293" t="s">
        <v>289</v>
      </c>
      <c r="B84" s="2239"/>
      <c r="C84" s="2239"/>
      <c r="D84" s="2239"/>
      <c r="E84" s="2239"/>
      <c r="F84" s="2294">
        <f t="shared" ref="F84:AK84" si="149">F85*F$11</f>
        <v>0</v>
      </c>
      <c r="G84" s="2294">
        <f t="shared" si="149"/>
        <v>0</v>
      </c>
      <c r="H84" s="2294">
        <f t="shared" si="149"/>
        <v>0</v>
      </c>
      <c r="I84" s="2294">
        <f t="shared" si="149"/>
        <v>0</v>
      </c>
      <c r="J84" s="2294">
        <f t="shared" si="149"/>
        <v>0</v>
      </c>
      <c r="K84" s="2294">
        <f t="shared" si="149"/>
        <v>0</v>
      </c>
      <c r="L84" s="2295">
        <f t="shared" si="149"/>
        <v>0</v>
      </c>
      <c r="M84" s="2294">
        <f t="shared" si="149"/>
        <v>0</v>
      </c>
      <c r="N84" s="2294">
        <f t="shared" si="149"/>
        <v>7.7930781299241101</v>
      </c>
      <c r="O84" s="2296">
        <f t="shared" si="149"/>
        <v>6.9942151342853913</v>
      </c>
      <c r="P84" s="2297">
        <f t="shared" si="149"/>
        <v>7.3688945431706427</v>
      </c>
      <c r="Q84" s="2298">
        <f t="shared" si="149"/>
        <v>8.6949903813528184</v>
      </c>
      <c r="R84" s="2298">
        <f t="shared" si="149"/>
        <v>10.37812315538376</v>
      </c>
      <c r="S84" s="2299">
        <f t="shared" si="149"/>
        <v>12.55109093082039</v>
      </c>
      <c r="T84" s="2297">
        <f t="shared" si="149"/>
        <v>11.389434402226218</v>
      </c>
      <c r="U84" s="2298">
        <f t="shared" si="149"/>
        <v>14.542608809393183</v>
      </c>
      <c r="V84" s="2298">
        <f t="shared" si="149"/>
        <v>12.986062844447718</v>
      </c>
      <c r="W84" s="2299">
        <f t="shared" si="149"/>
        <v>14.829923974339692</v>
      </c>
      <c r="X84" s="2326">
        <f t="shared" si="149"/>
        <v>14.891980064626221</v>
      </c>
      <c r="Y84" s="2327">
        <f t="shared" si="149"/>
        <v>6.9642552868583332</v>
      </c>
      <c r="Z84" s="2327">
        <f t="shared" si="149"/>
        <v>3.3332616268984823</v>
      </c>
      <c r="AA84" s="2328">
        <f t="shared" si="149"/>
        <v>4.9709931171870068</v>
      </c>
      <c r="AB84" s="2329">
        <f t="shared" si="149"/>
        <v>0</v>
      </c>
      <c r="AC84" s="2330">
        <f t="shared" si="149"/>
        <v>0</v>
      </c>
      <c r="AD84" s="2330">
        <f t="shared" si="149"/>
        <v>0</v>
      </c>
      <c r="AE84" s="2331">
        <f t="shared" si="149"/>
        <v>0</v>
      </c>
      <c r="AF84" s="2329">
        <f t="shared" si="149"/>
        <v>0</v>
      </c>
      <c r="AG84" s="2330">
        <f t="shared" si="149"/>
        <v>0</v>
      </c>
      <c r="AH84" s="2330">
        <f t="shared" si="149"/>
        <v>0</v>
      </c>
      <c r="AI84" s="2331">
        <f t="shared" si="149"/>
        <v>0</v>
      </c>
      <c r="AJ84" s="2329">
        <f t="shared" si="149"/>
        <v>0</v>
      </c>
      <c r="AK84" s="2330">
        <f t="shared" si="149"/>
        <v>0</v>
      </c>
      <c r="AL84" s="2330">
        <f t="shared" ref="AL84:BX84" si="150">AL85*AL$11</f>
        <v>0</v>
      </c>
      <c r="AM84" s="2330">
        <f t="shared" si="150"/>
        <v>0</v>
      </c>
      <c r="AN84" s="2329">
        <f t="shared" si="150"/>
        <v>0</v>
      </c>
      <c r="AO84" s="2330">
        <f t="shared" si="150"/>
        <v>0</v>
      </c>
      <c r="AP84" s="2330">
        <f t="shared" si="150"/>
        <v>0</v>
      </c>
      <c r="AQ84" s="2331">
        <f t="shared" si="150"/>
        <v>0</v>
      </c>
      <c r="AR84" s="2330">
        <f t="shared" si="150"/>
        <v>0</v>
      </c>
      <c r="AS84" s="2330">
        <f t="shared" si="150"/>
        <v>0</v>
      </c>
      <c r="AT84" s="2330">
        <f t="shared" si="150"/>
        <v>0</v>
      </c>
      <c r="AU84" s="2331">
        <f t="shared" si="150"/>
        <v>0</v>
      </c>
      <c r="AV84" s="2329">
        <f t="shared" si="150"/>
        <v>0</v>
      </c>
      <c r="AW84" s="2330">
        <f t="shared" si="150"/>
        <v>0</v>
      </c>
      <c r="AX84" s="2330">
        <f t="shared" si="150"/>
        <v>0</v>
      </c>
      <c r="AY84" s="2331">
        <f t="shared" si="150"/>
        <v>0</v>
      </c>
      <c r="AZ84" s="2330"/>
      <c r="BA84" s="2329">
        <f t="shared" si="150"/>
        <v>0</v>
      </c>
      <c r="BB84" s="2330">
        <f t="shared" si="150"/>
        <v>0</v>
      </c>
      <c r="BC84" s="2606">
        <f t="shared" si="150"/>
        <v>0</v>
      </c>
      <c r="BD84" s="2331">
        <f t="shared" si="150"/>
        <v>0</v>
      </c>
      <c r="BE84" s="2330"/>
      <c r="BF84" s="2329">
        <f t="shared" si="150"/>
        <v>0</v>
      </c>
      <c r="BG84" s="2330">
        <f t="shared" si="150"/>
        <v>0</v>
      </c>
      <c r="BH84" s="2330">
        <f t="shared" si="150"/>
        <v>0</v>
      </c>
      <c r="BI84" s="2331">
        <f t="shared" si="150"/>
        <v>0</v>
      </c>
      <c r="BJ84" s="2330"/>
      <c r="BK84" s="2329">
        <f t="shared" si="150"/>
        <v>0</v>
      </c>
      <c r="BL84" s="2330">
        <f t="shared" si="150"/>
        <v>0</v>
      </c>
      <c r="BM84" s="2330">
        <f t="shared" si="150"/>
        <v>0</v>
      </c>
      <c r="BN84" s="2331">
        <f t="shared" si="150"/>
        <v>0</v>
      </c>
      <c r="BO84" s="2330"/>
      <c r="BP84" s="2329">
        <f t="shared" si="150"/>
        <v>0</v>
      </c>
      <c r="BQ84" s="2330">
        <f t="shared" si="150"/>
        <v>0</v>
      </c>
      <c r="BR84" s="2330">
        <f t="shared" si="150"/>
        <v>0</v>
      </c>
      <c r="BS84" s="2331">
        <f t="shared" si="150"/>
        <v>0</v>
      </c>
      <c r="BT84" s="2330"/>
      <c r="BU84" s="2329">
        <f t="shared" si="150"/>
        <v>0</v>
      </c>
      <c r="BV84" s="2330">
        <f t="shared" si="150"/>
        <v>0</v>
      </c>
      <c r="BW84" s="2330">
        <f t="shared" si="150"/>
        <v>0</v>
      </c>
      <c r="BX84" s="2331">
        <f t="shared" si="150"/>
        <v>0</v>
      </c>
      <c r="BY84" s="2244"/>
      <c r="BZ84" s="2261">
        <f>H84+I84+J84+K84</f>
        <v>0</v>
      </c>
      <c r="CA84" s="2261">
        <f>L84+M84+N84+O84</f>
        <v>14.787293264209502</v>
      </c>
      <c r="CB84" s="2300">
        <f>P84+Q84+R84+S84</f>
        <v>38.993099010727605</v>
      </c>
      <c r="CC84" s="2300">
        <f>T84+U84+V84+W84</f>
        <v>53.748030030406809</v>
      </c>
      <c r="CD84" s="2299">
        <f>X84+Y84+Z84+AA84</f>
        <v>30.160490095570044</v>
      </c>
      <c r="CE84" s="2299">
        <f>AB84+AC84+AD84+AE84</f>
        <v>0</v>
      </c>
      <c r="CF84" s="2299">
        <f>SUM(AF84:AI84)</f>
        <v>0</v>
      </c>
      <c r="CG84" s="2299">
        <f>SUM(AJ84:AM84)</f>
        <v>0</v>
      </c>
      <c r="CH84" s="2299">
        <f>SUM(AN84:AQ84)</f>
        <v>0</v>
      </c>
      <c r="CI84" s="2299">
        <f>SUM(AO84:AR84)</f>
        <v>0</v>
      </c>
      <c r="CJ84" s="2299">
        <f>SUM(AV84:AY84)</f>
        <v>0</v>
      </c>
      <c r="CK84" s="2299">
        <f>SUM(BA84:BD84)</f>
        <v>0</v>
      </c>
      <c r="CL84" s="2299">
        <f>SUM(BF84:BI84)</f>
        <v>0</v>
      </c>
      <c r="CM84" s="2299">
        <f>SUM(BG84:BK84)</f>
        <v>0</v>
      </c>
      <c r="CN84" s="2298"/>
      <c r="CO84" s="2298"/>
      <c r="CP84" s="2301"/>
      <c r="CQ84" s="2261"/>
      <c r="CR84" s="2261">
        <f>F84+G84+H84+I84</f>
        <v>0</v>
      </c>
      <c r="CS84" s="2261">
        <f>J84+K84+L84+M84</f>
        <v>0</v>
      </c>
      <c r="CT84" s="2300">
        <f>N84+O84+P84+Q84</f>
        <v>30.851178188732966</v>
      </c>
      <c r="CU84" s="2300">
        <f>R84+S84+T84+U84</f>
        <v>48.861257297823556</v>
      </c>
      <c r="CV84" s="2300">
        <f>V84+W84+X84+Y84</f>
        <v>49.672222170271965</v>
      </c>
      <c r="CW84" s="2300">
        <f>Z84+AA84+AB84+AC84</f>
        <v>8.3042547440854886</v>
      </c>
      <c r="CX84" s="2302">
        <f>AD84+AE84+AF84+AG84</f>
        <v>0</v>
      </c>
      <c r="CY84" s="2302">
        <f>AK84+AJ84+AI84+AH84</f>
        <v>0</v>
      </c>
      <c r="CZ84" s="2302">
        <f>AO84+AN84+AM84+AL84</f>
        <v>0</v>
      </c>
      <c r="DA84" s="2302">
        <f>AS84+AR84+AQ84+AP84</f>
        <v>0</v>
      </c>
      <c r="DB84" s="2302">
        <f>SUM(AT84:AW84)</f>
        <v>0</v>
      </c>
      <c r="DC84" s="2302">
        <f>SUM(AX84:BB84)</f>
        <v>0</v>
      </c>
      <c r="DD84" s="2300">
        <f>SUM(BC84:BG84)</f>
        <v>0</v>
      </c>
      <c r="DE84" s="2300">
        <f>SUM(BD84:BH84)</f>
        <v>0</v>
      </c>
      <c r="DF84" s="2298"/>
    </row>
    <row r="85" spans="1:110" s="1715" customFormat="1" hidden="1" outlineLevel="3">
      <c r="A85" s="2303" t="s">
        <v>15</v>
      </c>
      <c r="B85" s="2239"/>
      <c r="C85" s="2239"/>
      <c r="D85" s="2239"/>
      <c r="E85" s="2239"/>
      <c r="F85" s="2273">
        <v>0</v>
      </c>
      <c r="G85" s="2273">
        <v>0</v>
      </c>
      <c r="H85" s="2273">
        <v>0</v>
      </c>
      <c r="I85" s="2273">
        <v>0</v>
      </c>
      <c r="J85" s="2273">
        <v>0</v>
      </c>
      <c r="K85" s="2273">
        <v>0</v>
      </c>
      <c r="L85" s="2304">
        <v>0</v>
      </c>
      <c r="M85" s="2273">
        <v>0</v>
      </c>
      <c r="N85" s="2273">
        <v>0.17</v>
      </c>
      <c r="O85" s="2305">
        <v>0.16500000000000001</v>
      </c>
      <c r="P85" s="2265">
        <v>0.14699999999999999</v>
      </c>
      <c r="Q85" s="2266">
        <v>0.157</v>
      </c>
      <c r="R85" s="2266">
        <v>0.216</v>
      </c>
      <c r="S85" s="2267">
        <v>0.24199999999999999</v>
      </c>
      <c r="T85" s="2265">
        <v>0.21</v>
      </c>
      <c r="U85" s="2266">
        <v>0.26</v>
      </c>
      <c r="V85" s="2266">
        <v>0.28000000000000003</v>
      </c>
      <c r="W85" s="2267">
        <v>0.3</v>
      </c>
      <c r="X85" s="2265">
        <f>1-0.63-X115</f>
        <v>0.25</v>
      </c>
      <c r="Y85" s="2266">
        <f>1-0.11-0.44-0.27-Y127</f>
        <v>9.9999999999999992E-2</v>
      </c>
      <c r="Z85" s="2266">
        <f>1-0.1-0.44-0.28-Z127</f>
        <v>5.4999999999999993E-2</v>
      </c>
      <c r="AA85" s="2266">
        <f>1-0.1-0.41-0.29-AA127</f>
        <v>8.0000000000000071E-2</v>
      </c>
      <c r="AB85" s="2304">
        <v>0</v>
      </c>
      <c r="AC85" s="2273">
        <v>0</v>
      </c>
      <c r="AD85" s="2273">
        <v>0</v>
      </c>
      <c r="AE85" s="2305">
        <v>0</v>
      </c>
      <c r="AF85" s="2304">
        <v>0</v>
      </c>
      <c r="AG85" s="2273">
        <v>0</v>
      </c>
      <c r="AH85" s="2273">
        <v>0</v>
      </c>
      <c r="AI85" s="2305">
        <v>0</v>
      </c>
      <c r="AJ85" s="2304">
        <v>0</v>
      </c>
      <c r="AK85" s="2273">
        <v>0</v>
      </c>
      <c r="AL85" s="2273">
        <v>0</v>
      </c>
      <c r="AM85" s="2273">
        <v>0</v>
      </c>
      <c r="AN85" s="2304">
        <v>0</v>
      </c>
      <c r="AO85" s="2273">
        <v>0</v>
      </c>
      <c r="AP85" s="2273">
        <v>0</v>
      </c>
      <c r="AQ85" s="2305">
        <v>0</v>
      </c>
      <c r="AR85" s="2273">
        <v>0</v>
      </c>
      <c r="AS85" s="2273">
        <v>0</v>
      </c>
      <c r="AT85" s="2273">
        <v>0</v>
      </c>
      <c r="AU85" s="2305">
        <v>0</v>
      </c>
      <c r="AV85" s="2304">
        <v>0</v>
      </c>
      <c r="AW85" s="2273">
        <v>0</v>
      </c>
      <c r="AX85" s="2273">
        <v>0</v>
      </c>
      <c r="AY85" s="2305">
        <v>0</v>
      </c>
      <c r="AZ85" s="2273"/>
      <c r="BA85" s="2304">
        <v>0</v>
      </c>
      <c r="BB85" s="2273">
        <v>0</v>
      </c>
      <c r="BC85" s="188">
        <v>0</v>
      </c>
      <c r="BD85" s="2305">
        <v>0</v>
      </c>
      <c r="BE85" s="2273"/>
      <c r="BF85" s="2304">
        <v>0</v>
      </c>
      <c r="BG85" s="2273">
        <v>0</v>
      </c>
      <c r="BH85" s="2273">
        <v>0</v>
      </c>
      <c r="BI85" s="2305">
        <v>0</v>
      </c>
      <c r="BJ85" s="2273"/>
      <c r="BK85" s="2304">
        <v>0</v>
      </c>
      <c r="BL85" s="2273">
        <v>0</v>
      </c>
      <c r="BM85" s="2273">
        <v>0</v>
      </c>
      <c r="BN85" s="2305">
        <v>0</v>
      </c>
      <c r="BO85" s="2273"/>
      <c r="BP85" s="2304">
        <v>0</v>
      </c>
      <c r="BQ85" s="2273">
        <v>0</v>
      </c>
      <c r="BR85" s="2273">
        <v>0</v>
      </c>
      <c r="BS85" s="2305">
        <v>0</v>
      </c>
      <c r="BT85" s="2273"/>
      <c r="BU85" s="2304">
        <v>0</v>
      </c>
      <c r="BV85" s="2273">
        <v>0</v>
      </c>
      <c r="BW85" s="2273">
        <v>0</v>
      </c>
      <c r="BX85" s="2305">
        <v>0</v>
      </c>
      <c r="BY85" s="2306"/>
      <c r="BZ85" s="2307">
        <f t="shared" ref="BZ85:CI85" si="151">BZ84/BZ$167</f>
        <v>0</v>
      </c>
      <c r="CA85" s="2307">
        <f t="shared" si="151"/>
        <v>8.3814357111166471E-2</v>
      </c>
      <c r="CB85" s="2308">
        <f t="shared" si="151"/>
        <v>0.18981993482862708</v>
      </c>
      <c r="CC85" s="2308">
        <f t="shared" si="151"/>
        <v>0.26093760876785282</v>
      </c>
      <c r="CD85" s="2267">
        <f t="shared" si="151"/>
        <v>0.11970697994421034</v>
      </c>
      <c r="CE85" s="2267">
        <f t="shared" si="151"/>
        <v>0</v>
      </c>
      <c r="CF85" s="2267">
        <f t="shared" si="151"/>
        <v>0</v>
      </c>
      <c r="CG85" s="2267">
        <f t="shared" si="151"/>
        <v>0</v>
      </c>
      <c r="CH85" s="2267">
        <f t="shared" si="151"/>
        <v>0</v>
      </c>
      <c r="CI85" s="2267">
        <f t="shared" si="151"/>
        <v>0</v>
      </c>
      <c r="CJ85" s="2267">
        <f>CJ84/CJ$167</f>
        <v>0</v>
      </c>
      <c r="CK85" s="2267">
        <f>CK84/CK$167</f>
        <v>0</v>
      </c>
      <c r="CL85" s="2267">
        <f>CL84/CL$167</f>
        <v>0</v>
      </c>
      <c r="CM85" s="2267">
        <f>CM84/CM$167</f>
        <v>0</v>
      </c>
      <c r="CN85" s="2266"/>
      <c r="CO85" s="2266"/>
      <c r="CP85" s="2306"/>
      <c r="CQ85" s="2307"/>
      <c r="CR85" s="2307">
        <f t="shared" ref="CR85:DA85" si="152">CR84/CR$167</f>
        <v>0</v>
      </c>
      <c r="CS85" s="2307">
        <f t="shared" si="152"/>
        <v>0</v>
      </c>
      <c r="CT85" s="2308">
        <f t="shared" si="152"/>
        <v>0.15923890845409849</v>
      </c>
      <c r="CU85" s="2308">
        <f t="shared" si="152"/>
        <v>0.23258472426735105</v>
      </c>
      <c r="CV85" s="2308">
        <f t="shared" si="152"/>
        <v>0.22074350574452301</v>
      </c>
      <c r="CW85" s="2308">
        <f t="shared" si="152"/>
        <v>3.3022300468496329E-2</v>
      </c>
      <c r="CX85" s="2308">
        <f t="shared" si="152"/>
        <v>0</v>
      </c>
      <c r="CY85" s="2308">
        <f t="shared" si="152"/>
        <v>0</v>
      </c>
      <c r="CZ85" s="2308">
        <f t="shared" si="152"/>
        <v>0</v>
      </c>
      <c r="DA85" s="2308">
        <f t="shared" si="152"/>
        <v>0</v>
      </c>
      <c r="DB85" s="2308">
        <f>DB84/DB$167</f>
        <v>0</v>
      </c>
      <c r="DC85" s="2308">
        <f>DC84/DC$167</f>
        <v>0</v>
      </c>
      <c r="DD85" s="2308">
        <f>DD84/DD$167</f>
        <v>0</v>
      </c>
      <c r="DE85" s="2308">
        <f>DE84/DE$167</f>
        <v>0</v>
      </c>
      <c r="DF85" s="2266"/>
    </row>
    <row r="86" spans="1:110" s="1715" customFormat="1" hidden="1" outlineLevel="3">
      <c r="A86" s="2238" t="s">
        <v>121</v>
      </c>
      <c r="B86" s="2239"/>
      <c r="C86" s="2239"/>
      <c r="D86" s="2239"/>
      <c r="E86" s="2239"/>
      <c r="F86" s="2239"/>
      <c r="G86" s="2239"/>
      <c r="H86" s="2239"/>
      <c r="I86" s="2239"/>
      <c r="J86" s="2250" t="str">
        <f t="shared" ref="J86:AS86" si="153">IF(OR(J84=0,F84=0),"NM",J84/F84-1)</f>
        <v>NM</v>
      </c>
      <c r="K86" s="2250" t="str">
        <f t="shared" si="153"/>
        <v>NM</v>
      </c>
      <c r="L86" s="2256" t="str">
        <f t="shared" si="153"/>
        <v>NM</v>
      </c>
      <c r="M86" s="2250" t="str">
        <f t="shared" si="153"/>
        <v>NM</v>
      </c>
      <c r="N86" s="2250" t="str">
        <f t="shared" si="153"/>
        <v>NM</v>
      </c>
      <c r="O86" s="2257" t="str">
        <f t="shared" si="153"/>
        <v>NM</v>
      </c>
      <c r="P86" s="2310" t="str">
        <f t="shared" si="153"/>
        <v>NM</v>
      </c>
      <c r="Q86" s="2271" t="str">
        <f t="shared" si="153"/>
        <v>NM</v>
      </c>
      <c r="R86" s="2271">
        <f t="shared" si="153"/>
        <v>0.33171039509196132</v>
      </c>
      <c r="S86" s="2309">
        <f t="shared" si="153"/>
        <v>0.79449597844015307</v>
      </c>
      <c r="T86" s="2310">
        <f t="shared" si="153"/>
        <v>0.5456096345932564</v>
      </c>
      <c r="U86" s="2271">
        <f t="shared" si="153"/>
        <v>0.67252730268467031</v>
      </c>
      <c r="V86" s="2271">
        <f t="shared" si="153"/>
        <v>0.25129203517989307</v>
      </c>
      <c r="W86" s="2309">
        <f t="shared" si="153"/>
        <v>0.18156453937588912</v>
      </c>
      <c r="X86" s="2310">
        <f t="shared" si="153"/>
        <v>0.30752586464832565</v>
      </c>
      <c r="Y86" s="2271">
        <f t="shared" si="153"/>
        <v>-0.5211137576388587</v>
      </c>
      <c r="Z86" s="2271">
        <f t="shared" si="153"/>
        <v>-0.74332007577464931</v>
      </c>
      <c r="AA86" s="2309">
        <f t="shared" si="153"/>
        <v>-0.66479982461215936</v>
      </c>
      <c r="AB86" s="2310" t="str">
        <f t="shared" si="153"/>
        <v>NM</v>
      </c>
      <c r="AC86" s="2271" t="str">
        <f t="shared" si="153"/>
        <v>NM</v>
      </c>
      <c r="AD86" s="2271" t="str">
        <f t="shared" si="153"/>
        <v>NM</v>
      </c>
      <c r="AE86" s="2309" t="str">
        <f t="shared" si="153"/>
        <v>NM</v>
      </c>
      <c r="AF86" s="2310" t="str">
        <f t="shared" si="153"/>
        <v>NM</v>
      </c>
      <c r="AG86" s="2271" t="str">
        <f t="shared" si="153"/>
        <v>NM</v>
      </c>
      <c r="AH86" s="2271" t="str">
        <f t="shared" si="153"/>
        <v>NM</v>
      </c>
      <c r="AI86" s="2309" t="str">
        <f t="shared" si="153"/>
        <v>NM</v>
      </c>
      <c r="AJ86" s="2256" t="str">
        <f t="shared" si="153"/>
        <v>NM</v>
      </c>
      <c r="AK86" s="2250" t="str">
        <f t="shared" si="153"/>
        <v>NM</v>
      </c>
      <c r="AL86" s="2250" t="str">
        <f t="shared" si="153"/>
        <v>NM</v>
      </c>
      <c r="AM86" s="2250" t="str">
        <f t="shared" si="153"/>
        <v>NM</v>
      </c>
      <c r="AN86" s="2256" t="str">
        <f t="shared" si="153"/>
        <v>NM</v>
      </c>
      <c r="AO86" s="2250" t="str">
        <f t="shared" si="153"/>
        <v>NM</v>
      </c>
      <c r="AP86" s="2250" t="str">
        <f t="shared" si="153"/>
        <v>NM</v>
      </c>
      <c r="AQ86" s="2257" t="str">
        <f t="shared" si="153"/>
        <v>NM</v>
      </c>
      <c r="AR86" s="2250" t="str">
        <f t="shared" si="153"/>
        <v>NM</v>
      </c>
      <c r="AS86" s="2250" t="str">
        <f t="shared" si="153"/>
        <v>NM</v>
      </c>
      <c r="AT86" s="2250" t="str">
        <f>IF(OR(AT84=0,AP84=0),"NM",AT84/AP84-1)</f>
        <v>NM</v>
      </c>
      <c r="AU86" s="2257" t="str">
        <f>IF(OR(AU84=0,AQ84=0),"NM",AU84/AQ84-1)</f>
        <v>NM</v>
      </c>
      <c r="AV86" s="2256" t="str">
        <f t="shared" ref="AV86:AY86" si="154">IF(OR(AV84=0,AR84=0),"NM",AV84/AR84-1)</f>
        <v>NM</v>
      </c>
      <c r="AW86" s="2250" t="str">
        <f t="shared" si="154"/>
        <v>NM</v>
      </c>
      <c r="AX86" s="2250" t="str">
        <f t="shared" si="154"/>
        <v>NM</v>
      </c>
      <c r="AY86" s="2257" t="str">
        <f t="shared" si="154"/>
        <v>NM</v>
      </c>
      <c r="AZ86" s="2250"/>
      <c r="BA86" s="2256" t="str">
        <f>IF(OR(BA84=0,AV84=0),"NM",BA84/AV84-1)</f>
        <v>NM</v>
      </c>
      <c r="BB86" s="2250" t="str">
        <f>IF(OR(BB84=0,AW84=0),"NM",BB84/AW84-1)</f>
        <v>NM</v>
      </c>
      <c r="BC86" s="2603" t="str">
        <f>IF(OR(BC84=0,AX84=0),"NM",BC84/AX84-1)</f>
        <v>NM</v>
      </c>
      <c r="BD86" s="2257" t="str">
        <f>IF(OR(BD84=0,AY84=0),"NM",BD84/AY84-1)</f>
        <v>NM</v>
      </c>
      <c r="BE86" s="2250"/>
      <c r="BF86" s="2256" t="str">
        <f>IF(OR(BF84=0,BA84=0),"NM",BF84/BA84-1)</f>
        <v>NM</v>
      </c>
      <c r="BG86" s="2250" t="str">
        <f>IF(OR(BG84=0,BB84=0),"NM",BG84/BB84-1)</f>
        <v>NM</v>
      </c>
      <c r="BH86" s="2250" t="str">
        <f>IF(OR(BH84=0,BC84=0),"NM",BH84/BC84-1)</f>
        <v>NM</v>
      </c>
      <c r="BI86" s="2257" t="str">
        <f>IF(OR(BI84=0,BD84=0),"NM",BI84/BD84-1)</f>
        <v>NM</v>
      </c>
      <c r="BJ86" s="2250"/>
      <c r="BK86" s="2256" t="str">
        <f>IF(OR(BK84=0,BF84=0),"NM",BK84/BF84-1)</f>
        <v>NM</v>
      </c>
      <c r="BL86" s="2250" t="str">
        <f>IF(OR(BL84=0,BG84=0),"NM",BL84/BG84-1)</f>
        <v>NM</v>
      </c>
      <c r="BM86" s="2250" t="str">
        <f>IF(OR(BM84=0,BH84=0),"NM",BM84/BH84-1)</f>
        <v>NM</v>
      </c>
      <c r="BN86" s="2257" t="str">
        <f>IF(OR(BN84=0,BI84=0),"NM",BN84/BI84-1)</f>
        <v>NM</v>
      </c>
      <c r="BO86" s="2250"/>
      <c r="BP86" s="2256" t="str">
        <f>IF(OR(BP84=0,BK84=0),"NM",BP84/BK84-1)</f>
        <v>NM</v>
      </c>
      <c r="BQ86" s="2250" t="str">
        <f>IF(OR(BQ84=0,BL84=0),"NM",BQ84/BL84-1)</f>
        <v>NM</v>
      </c>
      <c r="BR86" s="2250" t="str">
        <f>IF(OR(BR84=0,BM84=0),"NM",BR84/BM84-1)</f>
        <v>NM</v>
      </c>
      <c r="BS86" s="2257" t="str">
        <f>IF(OR(BS84=0,BN84=0),"NM",BS84/BN84-1)</f>
        <v>NM</v>
      </c>
      <c r="BT86" s="2250"/>
      <c r="BU86" s="2256" t="str">
        <f>IF(OR(BU84=0,BP84=0),"NM",BU84/BP84-1)</f>
        <v>NM</v>
      </c>
      <c r="BV86" s="2250" t="str">
        <f>IF(OR(BV84=0,BQ84=0),"NM",BV84/BQ84-1)</f>
        <v>NM</v>
      </c>
      <c r="BW86" s="2250" t="str">
        <f>IF(OR(BW84=0,BR84=0),"NM",BW84/BR84-1)</f>
        <v>NM</v>
      </c>
      <c r="BX86" s="2257" t="str">
        <f>IF(OR(BX84=0,BS84=0),"NM",BX84/BS84-1)</f>
        <v>NM</v>
      </c>
      <c r="BY86" s="2244"/>
      <c r="BZ86" s="2246"/>
      <c r="CA86" s="2246" t="str">
        <f t="shared" ref="CA86:CM86" si="155">IF(OR(BZ84=0,CA84=0),"NM",CA84/BZ84-1)</f>
        <v>NM</v>
      </c>
      <c r="CB86" s="2247">
        <f t="shared" si="155"/>
        <v>1.6369328256378566</v>
      </c>
      <c r="CC86" s="2247">
        <f t="shared" si="155"/>
        <v>0.37839852163635146</v>
      </c>
      <c r="CD86" s="2242">
        <f t="shared" si="155"/>
        <v>-0.43885403653850408</v>
      </c>
      <c r="CE86" s="2242" t="str">
        <f t="shared" si="155"/>
        <v>NM</v>
      </c>
      <c r="CF86" s="2242" t="str">
        <f t="shared" si="155"/>
        <v>NM</v>
      </c>
      <c r="CG86" s="2242" t="str">
        <f t="shared" si="155"/>
        <v>NM</v>
      </c>
      <c r="CH86" s="2242" t="str">
        <f t="shared" si="155"/>
        <v>NM</v>
      </c>
      <c r="CI86" s="2242" t="str">
        <f t="shared" si="155"/>
        <v>NM</v>
      </c>
      <c r="CJ86" s="2242" t="str">
        <f t="shared" si="155"/>
        <v>NM</v>
      </c>
      <c r="CK86" s="2242" t="str">
        <f t="shared" si="155"/>
        <v>NM</v>
      </c>
      <c r="CL86" s="2242" t="str">
        <f t="shared" si="155"/>
        <v>NM</v>
      </c>
      <c r="CM86" s="2242" t="str">
        <f t="shared" si="155"/>
        <v>NM</v>
      </c>
      <c r="CN86" s="2240"/>
      <c r="CO86" s="2240"/>
      <c r="CP86" s="2248"/>
      <c r="CQ86" s="2246"/>
      <c r="CR86" s="2246"/>
      <c r="CS86" s="2246" t="str">
        <f t="shared" ref="CS86:DA86" si="156">IF(OR(CR84=0,CS84=0),"NM",CS84/CR84-1)</f>
        <v>NM</v>
      </c>
      <c r="CT86" s="2247" t="str">
        <f t="shared" si="156"/>
        <v>NM</v>
      </c>
      <c r="CU86" s="2247">
        <f t="shared" si="156"/>
        <v>0.58377281408552428</v>
      </c>
      <c r="CV86" s="2247">
        <f t="shared" si="156"/>
        <v>1.6597298499818391E-2</v>
      </c>
      <c r="CW86" s="2247">
        <f t="shared" si="156"/>
        <v>-0.83281894021935954</v>
      </c>
      <c r="CX86" s="2247" t="str">
        <f t="shared" si="156"/>
        <v>NM</v>
      </c>
      <c r="CY86" s="2247" t="str">
        <f t="shared" si="156"/>
        <v>NM</v>
      </c>
      <c r="CZ86" s="2247" t="str">
        <f t="shared" si="156"/>
        <v>NM</v>
      </c>
      <c r="DA86" s="2247" t="str">
        <f t="shared" si="156"/>
        <v>NM</v>
      </c>
      <c r="DB86" s="2247" t="str">
        <f>IF(OR(DA84=0,DB84=0),"NM",DB84/DA84-1)</f>
        <v>NM</v>
      </c>
      <c r="DC86" s="2247" t="str">
        <f>IF(OR(DB84=0,DC84=0),"NM",DC84/DB84-1)</f>
        <v>NM</v>
      </c>
      <c r="DD86" s="2247" t="str">
        <f>IF(OR(DB84=0,DD84=0),"NM",DD84/DB84-1)</f>
        <v>NM</v>
      </c>
      <c r="DE86" s="2247" t="str">
        <f>IF(OR(DC84=0,DE84=0),"NM",DE84/DC84-1)</f>
        <v>NM</v>
      </c>
      <c r="DF86" s="2240"/>
    </row>
    <row r="87" spans="1:110" s="1715" customFormat="1" hidden="1" outlineLevel="2">
      <c r="A87" s="2311" t="s">
        <v>290</v>
      </c>
      <c r="B87" s="2312"/>
      <c r="C87" s="2312"/>
      <c r="D87" s="2312"/>
      <c r="E87" s="2312"/>
      <c r="F87" s="2312">
        <f t="shared" ref="F87:AS87" si="157">F84*F214</f>
        <v>0</v>
      </c>
      <c r="G87" s="2312">
        <f t="shared" si="157"/>
        <v>0</v>
      </c>
      <c r="H87" s="2312">
        <f t="shared" si="157"/>
        <v>0</v>
      </c>
      <c r="I87" s="2312">
        <f t="shared" si="157"/>
        <v>0</v>
      </c>
      <c r="J87" s="2312">
        <f t="shared" si="157"/>
        <v>0</v>
      </c>
      <c r="K87" s="2312">
        <f t="shared" si="157"/>
        <v>0</v>
      </c>
      <c r="L87" s="2313">
        <f t="shared" si="157"/>
        <v>0</v>
      </c>
      <c r="M87" s="2312">
        <f t="shared" si="157"/>
        <v>0</v>
      </c>
      <c r="N87" s="2312">
        <f t="shared" si="157"/>
        <v>374.06775023635726</v>
      </c>
      <c r="O87" s="2314">
        <f t="shared" si="157"/>
        <v>349.99577098099172</v>
      </c>
      <c r="P87" s="2290">
        <f t="shared" si="157"/>
        <v>348.17849863012253</v>
      </c>
      <c r="Q87" s="2315">
        <f t="shared" si="157"/>
        <v>399.07710372948759</v>
      </c>
      <c r="R87" s="2315">
        <f t="shared" si="157"/>
        <v>491.15983038834327</v>
      </c>
      <c r="S87" s="2316">
        <f t="shared" si="157"/>
        <v>612.12561597067133</v>
      </c>
      <c r="T87" s="2290">
        <f t="shared" si="157"/>
        <v>516.61620240917966</v>
      </c>
      <c r="U87" s="2315">
        <f t="shared" si="157"/>
        <v>635.56639432742929</v>
      </c>
      <c r="V87" s="2315">
        <f t="shared" si="157"/>
        <v>585.68753700251909</v>
      </c>
      <c r="W87" s="2316">
        <f t="shared" si="157"/>
        <v>643.91529896582949</v>
      </c>
      <c r="X87" s="2290">
        <f t="shared" si="157"/>
        <v>640.35514277892753</v>
      </c>
      <c r="Y87" s="2315">
        <f t="shared" si="157"/>
        <v>296.46834756155926</v>
      </c>
      <c r="Z87" s="2315">
        <f t="shared" si="157"/>
        <v>140.47797798249772</v>
      </c>
      <c r="AA87" s="2316">
        <f t="shared" si="157"/>
        <v>207.40403497637772</v>
      </c>
      <c r="AB87" s="2290">
        <f t="shared" si="157"/>
        <v>0</v>
      </c>
      <c r="AC87" s="2315">
        <f t="shared" si="157"/>
        <v>0</v>
      </c>
      <c r="AD87" s="2315">
        <f t="shared" si="157"/>
        <v>0</v>
      </c>
      <c r="AE87" s="2316">
        <f t="shared" si="157"/>
        <v>0</v>
      </c>
      <c r="AF87" s="2290">
        <f t="shared" si="157"/>
        <v>0</v>
      </c>
      <c r="AG87" s="2315">
        <f t="shared" si="157"/>
        <v>0</v>
      </c>
      <c r="AH87" s="2315">
        <f t="shared" si="157"/>
        <v>0</v>
      </c>
      <c r="AI87" s="2316">
        <f t="shared" si="157"/>
        <v>0</v>
      </c>
      <c r="AJ87" s="2290">
        <f t="shared" si="157"/>
        <v>0</v>
      </c>
      <c r="AK87" s="2315">
        <f t="shared" si="157"/>
        <v>0</v>
      </c>
      <c r="AL87" s="2315">
        <f t="shared" si="157"/>
        <v>0</v>
      </c>
      <c r="AM87" s="2316">
        <f t="shared" si="157"/>
        <v>0</v>
      </c>
      <c r="AN87" s="2290">
        <f t="shared" si="157"/>
        <v>0</v>
      </c>
      <c r="AO87" s="2315">
        <f t="shared" si="157"/>
        <v>0</v>
      </c>
      <c r="AP87" s="2315">
        <f t="shared" si="157"/>
        <v>0</v>
      </c>
      <c r="AQ87" s="2316">
        <f t="shared" si="157"/>
        <v>0</v>
      </c>
      <c r="AR87" s="2290">
        <f t="shared" si="157"/>
        <v>0</v>
      </c>
      <c r="AS87" s="2315">
        <f t="shared" si="157"/>
        <v>0</v>
      </c>
      <c r="AT87" s="2315">
        <f>AT84*AT214</f>
        <v>0</v>
      </c>
      <c r="AU87" s="2316">
        <f>AU84*AU214</f>
        <v>0</v>
      </c>
      <c r="AV87" s="2290">
        <f t="shared" ref="AV87:BI87" si="158">AV84*AV214</f>
        <v>0</v>
      </c>
      <c r="AW87" s="2315">
        <f t="shared" si="158"/>
        <v>0</v>
      </c>
      <c r="AX87" s="2315">
        <f t="shared" si="158"/>
        <v>0</v>
      </c>
      <c r="AY87" s="2316">
        <f t="shared" si="158"/>
        <v>0</v>
      </c>
      <c r="AZ87" s="2315"/>
      <c r="BA87" s="2290">
        <f t="shared" si="158"/>
        <v>0</v>
      </c>
      <c r="BB87" s="2315">
        <f t="shared" si="158"/>
        <v>0</v>
      </c>
      <c r="BC87" s="2607">
        <f t="shared" si="158"/>
        <v>0</v>
      </c>
      <c r="BD87" s="2316">
        <f t="shared" si="158"/>
        <v>0</v>
      </c>
      <c r="BE87" s="2315"/>
      <c r="BF87" s="2290">
        <f t="shared" si="158"/>
        <v>0</v>
      </c>
      <c r="BG87" s="2315">
        <f t="shared" si="158"/>
        <v>0</v>
      </c>
      <c r="BH87" s="2315">
        <f t="shared" si="158"/>
        <v>0</v>
      </c>
      <c r="BI87" s="2316">
        <f t="shared" si="158"/>
        <v>0</v>
      </c>
      <c r="BJ87" s="2315"/>
      <c r="BK87" s="2290">
        <f>BK84*BK214</f>
        <v>0</v>
      </c>
      <c r="BL87" s="2315">
        <f>BL84*BL214</f>
        <v>0</v>
      </c>
      <c r="BM87" s="2315">
        <f>BM84*BM214</f>
        <v>0</v>
      </c>
      <c r="BN87" s="2316">
        <f>BN84*BN214</f>
        <v>0</v>
      </c>
      <c r="BO87" s="2315"/>
      <c r="BP87" s="2290">
        <f>BP84*BP214</f>
        <v>0</v>
      </c>
      <c r="BQ87" s="2315">
        <f>BQ84*BQ214</f>
        <v>0</v>
      </c>
      <c r="BR87" s="2315">
        <f>BR84*BR214</f>
        <v>0</v>
      </c>
      <c r="BS87" s="2316">
        <f>BS84*BS214</f>
        <v>0</v>
      </c>
      <c r="BT87" s="2315"/>
      <c r="BU87" s="2290">
        <f>BU84*BU214</f>
        <v>0</v>
      </c>
      <c r="BV87" s="2315">
        <f>BV84*BV214</f>
        <v>0</v>
      </c>
      <c r="BW87" s="2315">
        <f>BW84*BW214</f>
        <v>0</v>
      </c>
      <c r="BX87" s="2316">
        <f>BX84*BX214</f>
        <v>0</v>
      </c>
      <c r="BY87" s="2317"/>
      <c r="BZ87" s="2318">
        <f>H87+I87+J87+K87</f>
        <v>0</v>
      </c>
      <c r="CA87" s="2318">
        <f>L87+M87+N87+O87</f>
        <v>724.06352121734903</v>
      </c>
      <c r="CB87" s="2319">
        <f>P87+Q87+R87+S87</f>
        <v>1850.5410487186246</v>
      </c>
      <c r="CC87" s="2319">
        <f>T87+U87+V87+W87</f>
        <v>2381.7854327049577</v>
      </c>
      <c r="CD87" s="2316">
        <f>X87+Y87+Z87+AA87</f>
        <v>1284.7055032993624</v>
      </c>
      <c r="CE87" s="2316">
        <f>AB87+AC87+AD87+AE87</f>
        <v>0</v>
      </c>
      <c r="CF87" s="2316">
        <f>SUM(AF87:AI87)</f>
        <v>0</v>
      </c>
      <c r="CG87" s="2316">
        <f>SUM(AJ87:AM87)</f>
        <v>0</v>
      </c>
      <c r="CH87" s="2316">
        <f>SUM(AN87:AQ87)</f>
        <v>0</v>
      </c>
      <c r="CI87" s="2316">
        <f>SUM(AO87:AR87)</f>
        <v>0</v>
      </c>
      <c r="CJ87" s="2316">
        <f>SUM(AV87:AY87)</f>
        <v>0</v>
      </c>
      <c r="CK87" s="2316">
        <f>SUM(BA87:BD87)</f>
        <v>0</v>
      </c>
      <c r="CL87" s="2316">
        <f>SUM(BF87:BI87)</f>
        <v>0</v>
      </c>
      <c r="CM87" s="2316">
        <f>SUM(BG87:BK87)</f>
        <v>0</v>
      </c>
      <c r="CN87" s="2315"/>
      <c r="CO87" s="2315"/>
      <c r="CP87" s="2332"/>
      <c r="CQ87" s="2333"/>
      <c r="CR87" s="2333">
        <f>F87+G87+H87+I87</f>
        <v>0</v>
      </c>
      <c r="CS87" s="2333">
        <f>J87+K87+L87+M87</f>
        <v>0</v>
      </c>
      <c r="CT87" s="2334">
        <f>N87+O87+P87+Q87</f>
        <v>1471.3191235769591</v>
      </c>
      <c r="CU87" s="2334">
        <f>R87+S87+T87+U87</f>
        <v>2255.4680430956237</v>
      </c>
      <c r="CV87" s="2334">
        <f>V87+W87+X87+Y87</f>
        <v>2166.4263263088355</v>
      </c>
      <c r="CW87" s="2334">
        <f>Z87+AA87+AB87+AC87</f>
        <v>347.88201295887541</v>
      </c>
      <c r="CX87" s="2318">
        <f>SUM(AD87:AG87)</f>
        <v>0</v>
      </c>
      <c r="CY87" s="2318">
        <f>AK87+AJ87+AI87+AH87</f>
        <v>0</v>
      </c>
      <c r="CZ87" s="2318">
        <f>AO87+AN87+AM87+AL87</f>
        <v>0</v>
      </c>
      <c r="DA87" s="2318">
        <f>AS87+AR87+AQ87+AP87</f>
        <v>0</v>
      </c>
      <c r="DB87" s="2318">
        <f>SUM(AT87:AW87)</f>
        <v>0</v>
      </c>
      <c r="DC87" s="2318">
        <f>SUM(AX87:BB87)</f>
        <v>0</v>
      </c>
      <c r="DD87" s="2318">
        <f>SUM(BC87:BG87)</f>
        <v>0</v>
      </c>
      <c r="DE87" s="2318">
        <f>SUM(BD87:BH87)</f>
        <v>0</v>
      </c>
      <c r="DF87" s="2312"/>
    </row>
    <row r="88" spans="1:110" s="1715" customFormat="1" hidden="1" outlineLevel="2">
      <c r="A88" s="2284"/>
      <c r="B88" s="2239"/>
      <c r="C88" s="2239"/>
      <c r="D88" s="2239"/>
      <c r="E88" s="2239"/>
      <c r="F88" s="2239"/>
      <c r="G88" s="2239"/>
      <c r="H88" s="2239"/>
      <c r="I88" s="2239"/>
      <c r="J88" s="2239"/>
      <c r="K88" s="2239"/>
      <c r="L88" s="2264"/>
      <c r="M88" s="2239"/>
      <c r="N88" s="2239"/>
      <c r="O88" s="2260"/>
      <c r="P88" s="2287"/>
      <c r="Q88" s="2288"/>
      <c r="R88" s="2288"/>
      <c r="S88" s="2289"/>
      <c r="T88" s="2287"/>
      <c r="U88" s="2288"/>
      <c r="V88" s="2288"/>
      <c r="W88" s="2289"/>
      <c r="X88" s="2287"/>
      <c r="Y88" s="2288"/>
      <c r="Z88" s="2288"/>
      <c r="AA88" s="2289"/>
      <c r="AB88" s="2264"/>
      <c r="AC88" s="2239"/>
      <c r="AD88" s="2239"/>
      <c r="AE88" s="2260"/>
      <c r="AF88" s="2264"/>
      <c r="AG88" s="2239"/>
      <c r="AH88" s="2239"/>
      <c r="AI88" s="2260"/>
      <c r="AJ88" s="2264"/>
      <c r="AK88" s="2239"/>
      <c r="AL88" s="2239"/>
      <c r="AM88" s="2260"/>
      <c r="AN88" s="2264"/>
      <c r="AO88" s="2239"/>
      <c r="AP88" s="2239"/>
      <c r="AQ88" s="2260"/>
      <c r="AR88" s="2264"/>
      <c r="AS88" s="2239"/>
      <c r="AT88" s="2239"/>
      <c r="AU88" s="2260"/>
      <c r="AV88" s="2264"/>
      <c r="AW88" s="2239"/>
      <c r="AX88" s="2239"/>
      <c r="AY88" s="2260"/>
      <c r="AZ88" s="2239"/>
      <c r="BA88" s="2264"/>
      <c r="BB88" s="2239"/>
      <c r="BC88" s="2604"/>
      <c r="BD88" s="2260"/>
      <c r="BE88" s="2239"/>
      <c r="BF88" s="2264"/>
      <c r="BG88" s="2239"/>
      <c r="BH88" s="2239"/>
      <c r="BI88" s="2260"/>
      <c r="BJ88" s="2239"/>
      <c r="BK88" s="2264"/>
      <c r="BL88" s="2239"/>
      <c r="BM88" s="2239"/>
      <c r="BN88" s="2260"/>
      <c r="BO88" s="2239"/>
      <c r="BP88" s="2264"/>
      <c r="BQ88" s="2239"/>
      <c r="BR88" s="2239"/>
      <c r="BS88" s="2260"/>
      <c r="BT88" s="2239"/>
      <c r="BU88" s="2264"/>
      <c r="BV88" s="2239"/>
      <c r="BW88" s="2239"/>
      <c r="BX88" s="2260"/>
      <c r="BY88" s="2244"/>
      <c r="BZ88" s="2259"/>
      <c r="CA88" s="2259"/>
      <c r="CB88" s="2291"/>
      <c r="CC88" s="2291"/>
      <c r="CD88" s="2289"/>
      <c r="CE88" s="2289"/>
      <c r="CF88" s="2289"/>
      <c r="CG88" s="2289"/>
      <c r="CH88" s="2289"/>
      <c r="CI88" s="2289"/>
      <c r="CJ88" s="2289"/>
      <c r="CK88" s="2289"/>
      <c r="CL88" s="2289"/>
      <c r="CM88" s="2289"/>
      <c r="CN88" s="2288"/>
      <c r="CO88" s="2288"/>
      <c r="CP88" s="2244"/>
      <c r="CQ88" s="2259"/>
      <c r="CR88" s="2259"/>
      <c r="CS88" s="2259"/>
      <c r="CT88" s="2291"/>
      <c r="CU88" s="2291"/>
      <c r="CV88" s="2291"/>
      <c r="CW88" s="2291"/>
      <c r="CX88" s="2259"/>
      <c r="CY88" s="2259"/>
      <c r="CZ88" s="2259"/>
      <c r="DA88" s="2259"/>
      <c r="DB88" s="2259"/>
      <c r="DC88" s="2259"/>
      <c r="DD88" s="2259"/>
      <c r="DE88" s="2259"/>
      <c r="DF88" s="2239"/>
    </row>
    <row r="89" spans="1:110" s="1715" customFormat="1" hidden="1" outlineLevel="2">
      <c r="A89" s="2275" t="s">
        <v>293</v>
      </c>
      <c r="B89" s="2239"/>
      <c r="C89" s="2239"/>
      <c r="D89" s="2239"/>
      <c r="E89" s="2239"/>
      <c r="F89" s="2239"/>
      <c r="G89" s="2239"/>
      <c r="H89" s="2239"/>
      <c r="I89" s="2239"/>
      <c r="J89" s="2239"/>
      <c r="K89" s="2239"/>
      <c r="L89" s="2264"/>
      <c r="M89" s="2239"/>
      <c r="N89" s="2239"/>
      <c r="O89" s="2260"/>
      <c r="P89" s="2287"/>
      <c r="Q89" s="2288"/>
      <c r="R89" s="2288"/>
      <c r="S89" s="2289"/>
      <c r="T89" s="2287"/>
      <c r="U89" s="2288"/>
      <c r="V89" s="2288"/>
      <c r="W89" s="2289"/>
      <c r="X89" s="2268"/>
      <c r="Y89" s="2335"/>
      <c r="Z89" s="2335"/>
      <c r="AA89" s="2336"/>
      <c r="AB89" s="2337"/>
      <c r="AC89" s="2338"/>
      <c r="AD89" s="2338"/>
      <c r="AE89" s="2339"/>
      <c r="AF89" s="2337"/>
      <c r="AG89" s="2338"/>
      <c r="AH89" s="2338"/>
      <c r="AI89" s="2339"/>
      <c r="AJ89" s="2337"/>
      <c r="AK89" s="2338"/>
      <c r="AL89" s="2338"/>
      <c r="AM89" s="2339"/>
      <c r="AN89" s="2337"/>
      <c r="AO89" s="2338"/>
      <c r="AP89" s="2338"/>
      <c r="AQ89" s="2339"/>
      <c r="AR89" s="2337"/>
      <c r="AS89" s="2338"/>
      <c r="AT89" s="2338"/>
      <c r="AU89" s="2339"/>
      <c r="AV89" s="2337"/>
      <c r="AW89" s="2338"/>
      <c r="AX89" s="2338"/>
      <c r="AY89" s="2339"/>
      <c r="AZ89" s="2338"/>
      <c r="BA89" s="2337"/>
      <c r="BB89" s="2338"/>
      <c r="BC89" s="2608"/>
      <c r="BD89" s="2339"/>
      <c r="BE89" s="2338"/>
      <c r="BF89" s="2337"/>
      <c r="BG89" s="2338"/>
      <c r="BH89" s="2338"/>
      <c r="BI89" s="2339"/>
      <c r="BJ89" s="2338"/>
      <c r="BK89" s="2337"/>
      <c r="BL89" s="2338"/>
      <c r="BM89" s="2338"/>
      <c r="BN89" s="2339"/>
      <c r="BO89" s="2338"/>
      <c r="BP89" s="2337"/>
      <c r="BQ89" s="2338"/>
      <c r="BR89" s="2338"/>
      <c r="BS89" s="2339"/>
      <c r="BT89" s="2338"/>
      <c r="BU89" s="2337"/>
      <c r="BV89" s="2338"/>
      <c r="BW89" s="2338"/>
      <c r="BX89" s="2339"/>
      <c r="BY89" s="2244"/>
      <c r="BZ89" s="2259"/>
      <c r="CA89" s="2259"/>
      <c r="CB89" s="2291"/>
      <c r="CC89" s="2291"/>
      <c r="CD89" s="2289"/>
      <c r="CE89" s="2289"/>
      <c r="CF89" s="2289"/>
      <c r="CG89" s="2289"/>
      <c r="CH89" s="2289"/>
      <c r="CI89" s="2289"/>
      <c r="CJ89" s="2289"/>
      <c r="CK89" s="2289"/>
      <c r="CL89" s="2289"/>
      <c r="CM89" s="2289"/>
      <c r="CN89" s="2288"/>
      <c r="CO89" s="2288"/>
      <c r="CP89" s="2244"/>
      <c r="CQ89" s="2259"/>
      <c r="CR89" s="2259"/>
      <c r="CS89" s="2259"/>
      <c r="CT89" s="2291"/>
      <c r="CU89" s="2291"/>
      <c r="CV89" s="2291"/>
      <c r="CW89" s="2291"/>
      <c r="CX89" s="2259"/>
      <c r="CY89" s="2259"/>
      <c r="CZ89" s="2259"/>
      <c r="DA89" s="2259"/>
      <c r="DB89" s="2259"/>
      <c r="DC89" s="2259"/>
      <c r="DD89" s="2259"/>
      <c r="DE89" s="2259"/>
      <c r="DF89" s="2239"/>
    </row>
    <row r="90" spans="1:110" s="1715" customFormat="1" hidden="1" outlineLevel="2">
      <c r="A90" s="2340" t="s">
        <v>289</v>
      </c>
      <c r="B90" s="2259"/>
      <c r="C90" s="2259"/>
      <c r="D90" s="2259"/>
      <c r="E90" s="2259"/>
      <c r="F90" s="2261">
        <f t="shared" ref="F90:AK90" si="159">F91*F$11</f>
        <v>0</v>
      </c>
      <c r="G90" s="2261">
        <f t="shared" si="159"/>
        <v>0</v>
      </c>
      <c r="H90" s="2261">
        <f t="shared" si="159"/>
        <v>0</v>
      </c>
      <c r="I90" s="2261">
        <f t="shared" si="159"/>
        <v>0</v>
      </c>
      <c r="J90" s="2261">
        <f t="shared" si="159"/>
        <v>0</v>
      </c>
      <c r="K90" s="2261">
        <f t="shared" si="159"/>
        <v>0</v>
      </c>
      <c r="L90" s="2295">
        <f t="shared" si="159"/>
        <v>0</v>
      </c>
      <c r="M90" s="2294">
        <f t="shared" si="159"/>
        <v>0</v>
      </c>
      <c r="N90" s="2294">
        <f t="shared" si="159"/>
        <v>9.1683272116754235</v>
      </c>
      <c r="O90" s="2296">
        <f t="shared" si="159"/>
        <v>10.894019936432397</v>
      </c>
      <c r="P90" s="2297">
        <f t="shared" si="159"/>
        <v>17.294344336012735</v>
      </c>
      <c r="Q90" s="2298">
        <f t="shared" si="159"/>
        <v>20.768289127435079</v>
      </c>
      <c r="R90" s="2298">
        <f t="shared" si="159"/>
        <v>16.624215795198058</v>
      </c>
      <c r="S90" s="2299">
        <f t="shared" si="159"/>
        <v>16.907667948129948</v>
      </c>
      <c r="T90" s="2297">
        <f t="shared" si="159"/>
        <v>18.223095043561948</v>
      </c>
      <c r="U90" s="2298">
        <f t="shared" si="159"/>
        <v>17.618929903687896</v>
      </c>
      <c r="V90" s="2298">
        <f t="shared" si="159"/>
        <v>13.681744782543129</v>
      </c>
      <c r="W90" s="2299">
        <f t="shared" si="159"/>
        <v>14.582758574767364</v>
      </c>
      <c r="X90" s="2297">
        <f t="shared" si="159"/>
        <v>21.146611691769234</v>
      </c>
      <c r="Y90" s="2298">
        <f t="shared" si="159"/>
        <v>12.883872280687918</v>
      </c>
      <c r="Z90" s="2298">
        <f t="shared" si="159"/>
        <v>11.211880017749442</v>
      </c>
      <c r="AA90" s="2299">
        <f t="shared" si="159"/>
        <v>3.417557768066064</v>
      </c>
      <c r="AB90" s="2295">
        <f t="shared" si="159"/>
        <v>0</v>
      </c>
      <c r="AC90" s="2294">
        <f t="shared" si="159"/>
        <v>0</v>
      </c>
      <c r="AD90" s="2294">
        <f t="shared" si="159"/>
        <v>0</v>
      </c>
      <c r="AE90" s="2296">
        <f t="shared" si="159"/>
        <v>0</v>
      </c>
      <c r="AF90" s="2295">
        <f t="shared" si="159"/>
        <v>0</v>
      </c>
      <c r="AG90" s="2294">
        <f t="shared" si="159"/>
        <v>0</v>
      </c>
      <c r="AH90" s="2294">
        <f t="shared" si="159"/>
        <v>0</v>
      </c>
      <c r="AI90" s="2296">
        <f t="shared" si="159"/>
        <v>0</v>
      </c>
      <c r="AJ90" s="2295">
        <f t="shared" si="159"/>
        <v>0</v>
      </c>
      <c r="AK90" s="2294">
        <f t="shared" si="159"/>
        <v>0</v>
      </c>
      <c r="AL90" s="2294">
        <f t="shared" ref="AL90:BX90" si="160">AL91*AL$11</f>
        <v>0</v>
      </c>
      <c r="AM90" s="2296">
        <f t="shared" si="160"/>
        <v>0</v>
      </c>
      <c r="AN90" s="2295">
        <f t="shared" si="160"/>
        <v>0</v>
      </c>
      <c r="AO90" s="2294">
        <f t="shared" si="160"/>
        <v>0</v>
      </c>
      <c r="AP90" s="2294">
        <f t="shared" si="160"/>
        <v>0</v>
      </c>
      <c r="AQ90" s="2296">
        <f t="shared" si="160"/>
        <v>0</v>
      </c>
      <c r="AR90" s="2295">
        <f t="shared" si="160"/>
        <v>0</v>
      </c>
      <c r="AS90" s="2294">
        <f t="shared" si="160"/>
        <v>0</v>
      </c>
      <c r="AT90" s="2294">
        <f t="shared" si="160"/>
        <v>0</v>
      </c>
      <c r="AU90" s="2296">
        <f t="shared" si="160"/>
        <v>0</v>
      </c>
      <c r="AV90" s="2295">
        <f t="shared" si="160"/>
        <v>0</v>
      </c>
      <c r="AW90" s="2294">
        <f t="shared" si="160"/>
        <v>0</v>
      </c>
      <c r="AX90" s="2294">
        <f t="shared" si="160"/>
        <v>0</v>
      </c>
      <c r="AY90" s="2296">
        <f t="shared" si="160"/>
        <v>0</v>
      </c>
      <c r="AZ90" s="2294"/>
      <c r="BA90" s="2295">
        <f t="shared" si="160"/>
        <v>0</v>
      </c>
      <c r="BB90" s="2294">
        <f t="shared" si="160"/>
        <v>0</v>
      </c>
      <c r="BC90" s="2598">
        <f t="shared" si="160"/>
        <v>0</v>
      </c>
      <c r="BD90" s="2296">
        <f t="shared" si="160"/>
        <v>0</v>
      </c>
      <c r="BE90" s="2294"/>
      <c r="BF90" s="2295">
        <f t="shared" si="160"/>
        <v>0</v>
      </c>
      <c r="BG90" s="2294">
        <f t="shared" si="160"/>
        <v>0</v>
      </c>
      <c r="BH90" s="2294">
        <f t="shared" si="160"/>
        <v>0</v>
      </c>
      <c r="BI90" s="2296">
        <f t="shared" si="160"/>
        <v>0</v>
      </c>
      <c r="BJ90" s="2294"/>
      <c r="BK90" s="2295">
        <f t="shared" si="160"/>
        <v>0</v>
      </c>
      <c r="BL90" s="2294">
        <f t="shared" si="160"/>
        <v>0</v>
      </c>
      <c r="BM90" s="2294">
        <f t="shared" si="160"/>
        <v>0</v>
      </c>
      <c r="BN90" s="2296">
        <f t="shared" si="160"/>
        <v>0</v>
      </c>
      <c r="BO90" s="2294"/>
      <c r="BP90" s="2295">
        <f t="shared" si="160"/>
        <v>0</v>
      </c>
      <c r="BQ90" s="2294">
        <f t="shared" si="160"/>
        <v>0</v>
      </c>
      <c r="BR90" s="2294">
        <f t="shared" si="160"/>
        <v>0</v>
      </c>
      <c r="BS90" s="2296">
        <f t="shared" si="160"/>
        <v>0</v>
      </c>
      <c r="BT90" s="2294"/>
      <c r="BU90" s="2295">
        <f t="shared" si="160"/>
        <v>0</v>
      </c>
      <c r="BV90" s="2294">
        <f t="shared" si="160"/>
        <v>0</v>
      </c>
      <c r="BW90" s="2294">
        <f t="shared" si="160"/>
        <v>0</v>
      </c>
      <c r="BX90" s="2296">
        <f t="shared" si="160"/>
        <v>0</v>
      </c>
      <c r="BY90" s="2244"/>
      <c r="BZ90" s="2261">
        <f>H90+I90+J90+K90</f>
        <v>0</v>
      </c>
      <c r="CA90" s="2261">
        <f>L90+M90+N90+O90</f>
        <v>20.062347148107818</v>
      </c>
      <c r="CB90" s="2300">
        <f>P90+Q90+R90+S90</f>
        <v>71.594517206775805</v>
      </c>
      <c r="CC90" s="2300">
        <f>T90+U90+V90+W90</f>
        <v>64.106528304560328</v>
      </c>
      <c r="CD90" s="2299">
        <f>X90+Y90+Z90+AA90</f>
        <v>48.659921758272652</v>
      </c>
      <c r="CE90" s="2299">
        <f>AB90+AC90+AD90+AE90</f>
        <v>0</v>
      </c>
      <c r="CF90" s="2299">
        <f>SUM(AF90:AI90)</f>
        <v>0</v>
      </c>
      <c r="CG90" s="2299">
        <f>SUM(AJ90:AM90)</f>
        <v>0</v>
      </c>
      <c r="CH90" s="2299">
        <f>SUM(AN90:AQ90)</f>
        <v>0</v>
      </c>
      <c r="CI90" s="2299">
        <f>SUM(AO90:AR90)</f>
        <v>0</v>
      </c>
      <c r="CJ90" s="2299">
        <f>SUM(AV90:AY90)</f>
        <v>0</v>
      </c>
      <c r="CK90" s="2299">
        <f>SUM(BA90:BD90)</f>
        <v>0</v>
      </c>
      <c r="CL90" s="2299">
        <f>SUM(BF90:BI90)</f>
        <v>0</v>
      </c>
      <c r="CM90" s="2299">
        <f>SUM(BG90:BK90)</f>
        <v>0</v>
      </c>
      <c r="CN90" s="2298"/>
      <c r="CO90" s="2298"/>
      <c r="CP90" s="2301"/>
      <c r="CQ90" s="2261"/>
      <c r="CR90" s="2261">
        <f>F90+G90+H90+I90</f>
        <v>0</v>
      </c>
      <c r="CS90" s="2261">
        <f>J90+K90+L90+M90</f>
        <v>0</v>
      </c>
      <c r="CT90" s="2300">
        <f>N90+O90+P90+Q90</f>
        <v>58.124980611555628</v>
      </c>
      <c r="CU90" s="2300">
        <f>R90+S90+T90+U90</f>
        <v>69.373908690577849</v>
      </c>
      <c r="CV90" s="2300">
        <f>V90+W90+X90+Y90</f>
        <v>62.294987329767643</v>
      </c>
      <c r="CW90" s="2300">
        <f>Z90+AA90+AB90+AC90</f>
        <v>14.629437785815506</v>
      </c>
      <c r="CX90" s="2302">
        <f>AD90+AE90+AF90+AG90</f>
        <v>0</v>
      </c>
      <c r="CY90" s="2302">
        <f>AK90+AJ90+AI90+AH90</f>
        <v>0</v>
      </c>
      <c r="CZ90" s="2302">
        <f>AO90+AN90+AM90+AL90</f>
        <v>0</v>
      </c>
      <c r="DA90" s="2302">
        <f>AS90+AR90+AQ90+AP90</f>
        <v>0</v>
      </c>
      <c r="DB90" s="2302">
        <f>SUM(AT90:AW90)</f>
        <v>0</v>
      </c>
      <c r="DC90" s="2302">
        <f>SUM(AX90:BB90)</f>
        <v>0</v>
      </c>
      <c r="DD90" s="2300">
        <f>SUM(BC90:BG90)</f>
        <v>0</v>
      </c>
      <c r="DE90" s="2300">
        <f>SUM(BD90:BH90)</f>
        <v>0</v>
      </c>
      <c r="DF90" s="2298"/>
    </row>
    <row r="91" spans="1:110" s="1715" customFormat="1" hidden="1" outlineLevel="3">
      <c r="A91" s="2341" t="s">
        <v>15</v>
      </c>
      <c r="B91" s="2259"/>
      <c r="C91" s="2259"/>
      <c r="D91" s="2259"/>
      <c r="E91" s="2259"/>
      <c r="F91" s="2307">
        <v>0</v>
      </c>
      <c r="G91" s="2307">
        <v>0</v>
      </c>
      <c r="H91" s="2307">
        <v>0</v>
      </c>
      <c r="I91" s="2307">
        <v>0</v>
      </c>
      <c r="J91" s="2307">
        <v>0</v>
      </c>
      <c r="K91" s="2307">
        <v>0</v>
      </c>
      <c r="L91" s="2304">
        <v>0</v>
      </c>
      <c r="M91" s="2273">
        <v>0</v>
      </c>
      <c r="N91" s="2273">
        <v>0.2</v>
      </c>
      <c r="O91" s="2305">
        <v>0.25700000000000001</v>
      </c>
      <c r="P91" s="2265">
        <f>0.35-P97</f>
        <v>0.34499999999999997</v>
      </c>
      <c r="Q91" s="2266">
        <f>0.38-Q97</f>
        <v>0.375</v>
      </c>
      <c r="R91" s="2266">
        <f>36%-R97</f>
        <v>0.34599999999999997</v>
      </c>
      <c r="S91" s="2267">
        <f>0.34-S97</f>
        <v>0.32600000000000001</v>
      </c>
      <c r="T91" s="2265">
        <f>0.35-T97</f>
        <v>0.33599999999999997</v>
      </c>
      <c r="U91" s="2266">
        <f>0.32-U97</f>
        <v>0.315</v>
      </c>
      <c r="V91" s="2266">
        <f>0.3-V97</f>
        <v>0.29499999999999998</v>
      </c>
      <c r="W91" s="2267">
        <v>0.29499999999999998</v>
      </c>
      <c r="X91" s="2265">
        <v>0.35499999999999998</v>
      </c>
      <c r="Y91" s="2266">
        <f>0.44-Y133-Y97-Y139</f>
        <v>0.185</v>
      </c>
      <c r="Z91" s="2266">
        <f>0.44-Z133-Z97-Z139</f>
        <v>0.185</v>
      </c>
      <c r="AA91" s="2266">
        <f>0.41-AA133-AA97-AA139</f>
        <v>5.5E-2</v>
      </c>
      <c r="AB91" s="2304">
        <v>0</v>
      </c>
      <c r="AC91" s="2273">
        <v>0</v>
      </c>
      <c r="AD91" s="2273">
        <v>0</v>
      </c>
      <c r="AE91" s="2305">
        <v>0</v>
      </c>
      <c r="AF91" s="2304">
        <v>0</v>
      </c>
      <c r="AG91" s="2273">
        <v>0</v>
      </c>
      <c r="AH91" s="2273">
        <v>0</v>
      </c>
      <c r="AI91" s="2305">
        <v>0</v>
      </c>
      <c r="AJ91" s="2304">
        <v>0</v>
      </c>
      <c r="AK91" s="2273">
        <v>0</v>
      </c>
      <c r="AL91" s="2273">
        <v>0</v>
      </c>
      <c r="AM91" s="2305">
        <v>0</v>
      </c>
      <c r="AN91" s="2304">
        <v>0</v>
      </c>
      <c r="AO91" s="2273">
        <v>0</v>
      </c>
      <c r="AP91" s="2273">
        <v>0</v>
      </c>
      <c r="AQ91" s="2305">
        <v>0</v>
      </c>
      <c r="AR91" s="2304">
        <v>0</v>
      </c>
      <c r="AS91" s="2273">
        <v>0</v>
      </c>
      <c r="AT91" s="2273">
        <v>0</v>
      </c>
      <c r="AU91" s="2305">
        <v>0</v>
      </c>
      <c r="AV91" s="2304">
        <v>0</v>
      </c>
      <c r="AW91" s="2273">
        <v>0</v>
      </c>
      <c r="AX91" s="2273">
        <v>0</v>
      </c>
      <c r="AY91" s="2305">
        <v>0</v>
      </c>
      <c r="AZ91" s="2273"/>
      <c r="BA91" s="2304">
        <v>0</v>
      </c>
      <c r="BB91" s="2273">
        <v>0</v>
      </c>
      <c r="BC91" s="188">
        <v>0</v>
      </c>
      <c r="BD91" s="2305">
        <v>0</v>
      </c>
      <c r="BE91" s="2273"/>
      <c r="BF91" s="2304">
        <v>0</v>
      </c>
      <c r="BG91" s="2273">
        <v>0</v>
      </c>
      <c r="BH91" s="2273">
        <v>0</v>
      </c>
      <c r="BI91" s="2305">
        <v>0</v>
      </c>
      <c r="BJ91" s="2273"/>
      <c r="BK91" s="2304">
        <v>0</v>
      </c>
      <c r="BL91" s="2273">
        <v>0</v>
      </c>
      <c r="BM91" s="2273">
        <v>0</v>
      </c>
      <c r="BN91" s="2305">
        <v>0</v>
      </c>
      <c r="BO91" s="2273"/>
      <c r="BP91" s="2304">
        <v>0</v>
      </c>
      <c r="BQ91" s="2273">
        <v>0</v>
      </c>
      <c r="BR91" s="2273">
        <v>0</v>
      </c>
      <c r="BS91" s="2305">
        <v>0</v>
      </c>
      <c r="BT91" s="2273"/>
      <c r="BU91" s="2304">
        <v>0</v>
      </c>
      <c r="BV91" s="2273">
        <v>0</v>
      </c>
      <c r="BW91" s="2273">
        <v>0</v>
      </c>
      <c r="BX91" s="2305">
        <v>0</v>
      </c>
      <c r="BY91" s="2306"/>
      <c r="BZ91" s="2307">
        <f t="shared" ref="BZ91:CI91" si="161">BZ90/BZ$167</f>
        <v>0</v>
      </c>
      <c r="CA91" s="2307">
        <f t="shared" si="161"/>
        <v>0.11371335499442339</v>
      </c>
      <c r="CB91" s="2308">
        <f t="shared" si="161"/>
        <v>0.3485249168458851</v>
      </c>
      <c r="CC91" s="2308">
        <f t="shared" si="161"/>
        <v>0.31122636853364199</v>
      </c>
      <c r="CD91" s="2267">
        <f t="shared" si="161"/>
        <v>0.19313122099630442</v>
      </c>
      <c r="CE91" s="2267">
        <f t="shared" si="161"/>
        <v>0</v>
      </c>
      <c r="CF91" s="2267">
        <f t="shared" si="161"/>
        <v>0</v>
      </c>
      <c r="CG91" s="2267">
        <f t="shared" si="161"/>
        <v>0</v>
      </c>
      <c r="CH91" s="2267">
        <f t="shared" si="161"/>
        <v>0</v>
      </c>
      <c r="CI91" s="2267">
        <f t="shared" si="161"/>
        <v>0</v>
      </c>
      <c r="CJ91" s="2267">
        <f>CJ90/CJ$167</f>
        <v>0</v>
      </c>
      <c r="CK91" s="2267">
        <f>CK90/CK$167</f>
        <v>0</v>
      </c>
      <c r="CL91" s="2267">
        <f>CL90/CL$167</f>
        <v>0</v>
      </c>
      <c r="CM91" s="2267">
        <f>CM90/CM$167</f>
        <v>0</v>
      </c>
      <c r="CN91" s="2266"/>
      <c r="CO91" s="2266"/>
      <c r="CP91" s="2306"/>
      <c r="CQ91" s="2307"/>
      <c r="CR91" s="2307">
        <f t="shared" ref="CR91:DA91" si="162">CR90/CR$167</f>
        <v>0</v>
      </c>
      <c r="CS91" s="2307">
        <f t="shared" si="162"/>
        <v>0</v>
      </c>
      <c r="CT91" s="2308">
        <f t="shared" si="162"/>
        <v>0.30001312785778844</v>
      </c>
      <c r="CU91" s="2308">
        <f t="shared" si="162"/>
        <v>0.33022710254459947</v>
      </c>
      <c r="CV91" s="2308">
        <f t="shared" si="162"/>
        <v>0.27683911233819203</v>
      </c>
      <c r="CW91" s="2308">
        <f t="shared" si="162"/>
        <v>5.8174719482497618E-2</v>
      </c>
      <c r="CX91" s="2308">
        <f t="shared" si="162"/>
        <v>0</v>
      </c>
      <c r="CY91" s="2308">
        <f t="shared" si="162"/>
        <v>0</v>
      </c>
      <c r="CZ91" s="2308">
        <f t="shared" si="162"/>
        <v>0</v>
      </c>
      <c r="DA91" s="2308">
        <f t="shared" si="162"/>
        <v>0</v>
      </c>
      <c r="DB91" s="2308">
        <f>DB90/DB$167</f>
        <v>0</v>
      </c>
      <c r="DC91" s="2308">
        <f>DC90/DC$167</f>
        <v>0</v>
      </c>
      <c r="DD91" s="2308">
        <f>DD90/DD$167</f>
        <v>0</v>
      </c>
      <c r="DE91" s="2308">
        <f>DE90/DE$167</f>
        <v>0</v>
      </c>
      <c r="DF91" s="2266"/>
    </row>
    <row r="92" spans="1:110" s="1715" customFormat="1" hidden="1" outlineLevel="3">
      <c r="A92" s="2342" t="s">
        <v>121</v>
      </c>
      <c r="B92" s="2259"/>
      <c r="C92" s="2259"/>
      <c r="D92" s="2259"/>
      <c r="E92" s="2259"/>
      <c r="F92" s="2259"/>
      <c r="G92" s="2259"/>
      <c r="H92" s="2259"/>
      <c r="I92" s="2259"/>
      <c r="J92" s="2245" t="str">
        <f t="shared" ref="J92:AS92" si="163">IF(OR(J90=0,F90=0),"NM",J90/F90-1)</f>
        <v>NM</v>
      </c>
      <c r="K92" s="2245" t="str">
        <f t="shared" si="163"/>
        <v>NM</v>
      </c>
      <c r="L92" s="2256" t="str">
        <f t="shared" si="163"/>
        <v>NM</v>
      </c>
      <c r="M92" s="2250" t="str">
        <f t="shared" si="163"/>
        <v>NM</v>
      </c>
      <c r="N92" s="2250" t="str">
        <f t="shared" si="163"/>
        <v>NM</v>
      </c>
      <c r="O92" s="2257" t="str">
        <f t="shared" si="163"/>
        <v>NM</v>
      </c>
      <c r="P92" s="2310" t="str">
        <f t="shared" si="163"/>
        <v>NM</v>
      </c>
      <c r="Q92" s="2271" t="str">
        <f t="shared" si="163"/>
        <v>NM</v>
      </c>
      <c r="R92" s="2271">
        <f t="shared" si="163"/>
        <v>0.81322234813215655</v>
      </c>
      <c r="S92" s="2309">
        <f t="shared" si="163"/>
        <v>0.55201367785149458</v>
      </c>
      <c r="T92" s="2310">
        <f t="shared" si="163"/>
        <v>5.370256827922848E-2</v>
      </c>
      <c r="U92" s="2271">
        <f t="shared" si="163"/>
        <v>-0.15164268969979111</v>
      </c>
      <c r="V92" s="2271">
        <f t="shared" si="163"/>
        <v>-0.17699908668803899</v>
      </c>
      <c r="W92" s="2309">
        <f t="shared" si="163"/>
        <v>-0.13750621200363278</v>
      </c>
      <c r="X92" s="2310">
        <f t="shared" si="163"/>
        <v>0.16042920487538903</v>
      </c>
      <c r="Y92" s="2271">
        <f t="shared" si="163"/>
        <v>-0.26874830928346349</v>
      </c>
      <c r="Z92" s="2271">
        <f t="shared" si="163"/>
        <v>-0.1805226456164456</v>
      </c>
      <c r="AA92" s="2309">
        <f t="shared" si="163"/>
        <v>-0.76564394517375578</v>
      </c>
      <c r="AB92" s="2256" t="str">
        <f t="shared" si="163"/>
        <v>NM</v>
      </c>
      <c r="AC92" s="2250" t="str">
        <f t="shared" si="163"/>
        <v>NM</v>
      </c>
      <c r="AD92" s="2250" t="str">
        <f t="shared" si="163"/>
        <v>NM</v>
      </c>
      <c r="AE92" s="2257" t="str">
        <f t="shared" si="163"/>
        <v>NM</v>
      </c>
      <c r="AF92" s="2256" t="str">
        <f t="shared" si="163"/>
        <v>NM</v>
      </c>
      <c r="AG92" s="2250" t="str">
        <f t="shared" si="163"/>
        <v>NM</v>
      </c>
      <c r="AH92" s="2250" t="str">
        <f t="shared" si="163"/>
        <v>NM</v>
      </c>
      <c r="AI92" s="2257" t="str">
        <f t="shared" si="163"/>
        <v>NM</v>
      </c>
      <c r="AJ92" s="2256" t="str">
        <f t="shared" si="163"/>
        <v>NM</v>
      </c>
      <c r="AK92" s="2250" t="str">
        <f t="shared" si="163"/>
        <v>NM</v>
      </c>
      <c r="AL92" s="2250" t="str">
        <f t="shared" si="163"/>
        <v>NM</v>
      </c>
      <c r="AM92" s="2257" t="str">
        <f t="shared" si="163"/>
        <v>NM</v>
      </c>
      <c r="AN92" s="2256" t="str">
        <f t="shared" si="163"/>
        <v>NM</v>
      </c>
      <c r="AO92" s="2250" t="str">
        <f t="shared" si="163"/>
        <v>NM</v>
      </c>
      <c r="AP92" s="2250" t="str">
        <f t="shared" si="163"/>
        <v>NM</v>
      </c>
      <c r="AQ92" s="2257" t="str">
        <f t="shared" si="163"/>
        <v>NM</v>
      </c>
      <c r="AR92" s="2256" t="str">
        <f t="shared" si="163"/>
        <v>NM</v>
      </c>
      <c r="AS92" s="2250" t="str">
        <f t="shared" si="163"/>
        <v>NM</v>
      </c>
      <c r="AT92" s="2250" t="str">
        <f>IF(OR(AT90=0,AP90=0),"NM",AT90/AP90-1)</f>
        <v>NM</v>
      </c>
      <c r="AU92" s="2257" t="str">
        <f>IF(OR(AU90=0,AQ90=0),"NM",AU90/AQ90-1)</f>
        <v>NM</v>
      </c>
      <c r="AV92" s="2256" t="str">
        <f t="shared" ref="AV92:AY92" si="164">IF(OR(AV90=0,AR90=0),"NM",AV90/AR90-1)</f>
        <v>NM</v>
      </c>
      <c r="AW92" s="2250" t="str">
        <f t="shared" si="164"/>
        <v>NM</v>
      </c>
      <c r="AX92" s="2250" t="str">
        <f t="shared" si="164"/>
        <v>NM</v>
      </c>
      <c r="AY92" s="2257" t="str">
        <f t="shared" si="164"/>
        <v>NM</v>
      </c>
      <c r="AZ92" s="2250"/>
      <c r="BA92" s="2256" t="str">
        <f>IF(OR(BA90=0,AV90=0),"NM",BA90/AV90-1)</f>
        <v>NM</v>
      </c>
      <c r="BB92" s="2250" t="str">
        <f>IF(OR(BB90=0,AW90=0),"NM",BB90/AW90-1)</f>
        <v>NM</v>
      </c>
      <c r="BC92" s="2603" t="str">
        <f>IF(OR(BC90=0,AX90=0),"NM",BC90/AX90-1)</f>
        <v>NM</v>
      </c>
      <c r="BD92" s="2257" t="str">
        <f>IF(OR(BD90=0,AY90=0),"NM",BD90/AY90-1)</f>
        <v>NM</v>
      </c>
      <c r="BE92" s="2250"/>
      <c r="BF92" s="2256" t="str">
        <f>IF(OR(BF90=0,BA90=0),"NM",BF90/BA90-1)</f>
        <v>NM</v>
      </c>
      <c r="BG92" s="2250" t="str">
        <f>IF(OR(BG90=0,BB90=0),"NM",BG90/BB90-1)</f>
        <v>NM</v>
      </c>
      <c r="BH92" s="2250" t="str">
        <f>IF(OR(BH90=0,BC90=0),"NM",BH90/BC90-1)</f>
        <v>NM</v>
      </c>
      <c r="BI92" s="2257" t="str">
        <f>IF(OR(BI90=0,BD90=0),"NM",BI90/BD90-1)</f>
        <v>NM</v>
      </c>
      <c r="BJ92" s="2250"/>
      <c r="BK92" s="2256" t="str">
        <f>IF(OR(BK90=0,BF90=0),"NM",BK90/BF90-1)</f>
        <v>NM</v>
      </c>
      <c r="BL92" s="2250" t="str">
        <f>IF(OR(BL90=0,BG90=0),"NM",BL90/BG90-1)</f>
        <v>NM</v>
      </c>
      <c r="BM92" s="2250" t="str">
        <f>IF(OR(BM90=0,BH90=0),"NM",BM90/BH90-1)</f>
        <v>NM</v>
      </c>
      <c r="BN92" s="2257" t="str">
        <f>IF(OR(BN90=0,BI90=0),"NM",BN90/BI90-1)</f>
        <v>NM</v>
      </c>
      <c r="BO92" s="2250"/>
      <c r="BP92" s="2256" t="str">
        <f>IF(OR(BP90=0,BK90=0),"NM",BP90/BK90-1)</f>
        <v>NM</v>
      </c>
      <c r="BQ92" s="2250" t="str">
        <f>IF(OR(BQ90=0,BL90=0),"NM",BQ90/BL90-1)</f>
        <v>NM</v>
      </c>
      <c r="BR92" s="2250" t="str">
        <f>IF(OR(BR90=0,BM90=0),"NM",BR90/BM90-1)</f>
        <v>NM</v>
      </c>
      <c r="BS92" s="2257" t="str">
        <f>IF(OR(BS90=0,BN90=0),"NM",BS90/BN90-1)</f>
        <v>NM</v>
      </c>
      <c r="BT92" s="2250"/>
      <c r="BU92" s="2256" t="str">
        <f>IF(OR(BU90=0,BP90=0),"NM",BU90/BP90-1)</f>
        <v>NM</v>
      </c>
      <c r="BV92" s="2250" t="str">
        <f>IF(OR(BV90=0,BQ90=0),"NM",BV90/BQ90-1)</f>
        <v>NM</v>
      </c>
      <c r="BW92" s="2250" t="str">
        <f>IF(OR(BW90=0,BR90=0),"NM",BW90/BR90-1)</f>
        <v>NM</v>
      </c>
      <c r="BX92" s="2257" t="str">
        <f>IF(OR(BX90=0,BS90=0),"NM",BX90/BS90-1)</f>
        <v>NM</v>
      </c>
      <c r="BY92" s="2244"/>
      <c r="BZ92" s="2246"/>
      <c r="CA92" s="2246" t="str">
        <f t="shared" ref="CA92:CM92" si="165">IF(OR(BZ90=0,CA90=0),"NM",CA90/BZ90-1)</f>
        <v>NM</v>
      </c>
      <c r="CB92" s="2247">
        <f t="shared" si="165"/>
        <v>2.5686012547902823</v>
      </c>
      <c r="CC92" s="2247">
        <f t="shared" si="165"/>
        <v>-0.1045888595154435</v>
      </c>
      <c r="CD92" s="2242">
        <f t="shared" si="165"/>
        <v>-0.24095216126668417</v>
      </c>
      <c r="CE92" s="2242" t="str">
        <f t="shared" si="165"/>
        <v>NM</v>
      </c>
      <c r="CF92" s="2242" t="str">
        <f t="shared" si="165"/>
        <v>NM</v>
      </c>
      <c r="CG92" s="2242" t="str">
        <f t="shared" si="165"/>
        <v>NM</v>
      </c>
      <c r="CH92" s="2242" t="str">
        <f t="shared" si="165"/>
        <v>NM</v>
      </c>
      <c r="CI92" s="2242" t="str">
        <f t="shared" si="165"/>
        <v>NM</v>
      </c>
      <c r="CJ92" s="2242" t="str">
        <f t="shared" si="165"/>
        <v>NM</v>
      </c>
      <c r="CK92" s="2242" t="str">
        <f t="shared" si="165"/>
        <v>NM</v>
      </c>
      <c r="CL92" s="2242" t="str">
        <f t="shared" si="165"/>
        <v>NM</v>
      </c>
      <c r="CM92" s="2242" t="str">
        <f t="shared" si="165"/>
        <v>NM</v>
      </c>
      <c r="CN92" s="2240"/>
      <c r="CO92" s="2240"/>
      <c r="CP92" s="2248"/>
      <c r="CQ92" s="2246"/>
      <c r="CR92" s="2246"/>
      <c r="CS92" s="2246" t="str">
        <f t="shared" ref="CS92:DA92" si="166">IF(OR(CR90=0,CS90=0),"NM",CS90/CR90-1)</f>
        <v>NM</v>
      </c>
      <c r="CT92" s="2247" t="str">
        <f t="shared" si="166"/>
        <v>NM</v>
      </c>
      <c r="CU92" s="2247">
        <f t="shared" si="166"/>
        <v>0.19353001000031056</v>
      </c>
      <c r="CV92" s="2247">
        <f t="shared" si="166"/>
        <v>-0.10204011125254131</v>
      </c>
      <c r="CW92" s="2247">
        <f t="shared" si="166"/>
        <v>-0.76515866825090706</v>
      </c>
      <c r="CX92" s="2247" t="str">
        <f t="shared" si="166"/>
        <v>NM</v>
      </c>
      <c r="CY92" s="2247" t="str">
        <f t="shared" si="166"/>
        <v>NM</v>
      </c>
      <c r="CZ92" s="2247" t="str">
        <f t="shared" si="166"/>
        <v>NM</v>
      </c>
      <c r="DA92" s="2247" t="str">
        <f t="shared" si="166"/>
        <v>NM</v>
      </c>
      <c r="DB92" s="2247" t="str">
        <f>IF(OR(DA90=0,DB90=0),"NM",DB90/DA90-1)</f>
        <v>NM</v>
      </c>
      <c r="DC92" s="2247" t="str">
        <f>IF(OR(DB90=0,DC90=0),"NM",DC90/DB90-1)</f>
        <v>NM</v>
      </c>
      <c r="DD92" s="2247" t="str">
        <f>IF(OR(DB90=0,DD90=0),"NM",DD90/DB90-1)</f>
        <v>NM</v>
      </c>
      <c r="DE92" s="2247" t="str">
        <f>IF(OR(DC90=0,DE90=0),"NM",DE90/DC90-1)</f>
        <v>NM</v>
      </c>
      <c r="DF92" s="2240"/>
    </row>
    <row r="93" spans="1:110" s="1715" customFormat="1" hidden="1" outlineLevel="2">
      <c r="A93" s="2343" t="s">
        <v>290</v>
      </c>
      <c r="B93" s="2318"/>
      <c r="C93" s="2318"/>
      <c r="D93" s="2318"/>
      <c r="E93" s="2318"/>
      <c r="F93" s="2318">
        <f t="shared" ref="F93:AS93" si="167">F90*F215</f>
        <v>0</v>
      </c>
      <c r="G93" s="2318">
        <f t="shared" si="167"/>
        <v>0</v>
      </c>
      <c r="H93" s="2318">
        <f t="shared" si="167"/>
        <v>0</v>
      </c>
      <c r="I93" s="2318">
        <f t="shared" si="167"/>
        <v>0</v>
      </c>
      <c r="J93" s="2318">
        <f t="shared" si="167"/>
        <v>0</v>
      </c>
      <c r="K93" s="2318">
        <f t="shared" si="167"/>
        <v>0</v>
      </c>
      <c r="L93" s="2313">
        <f t="shared" si="167"/>
        <v>0</v>
      </c>
      <c r="M93" s="2312">
        <f t="shared" si="167"/>
        <v>0</v>
      </c>
      <c r="N93" s="2312">
        <f t="shared" si="167"/>
        <v>528.09564739250436</v>
      </c>
      <c r="O93" s="2314">
        <f t="shared" si="167"/>
        <v>654.17391376083538</v>
      </c>
      <c r="P93" s="2290">
        <f t="shared" si="167"/>
        <v>980.58434308075323</v>
      </c>
      <c r="Q93" s="2315">
        <f t="shared" si="167"/>
        <v>1143.8515711991683</v>
      </c>
      <c r="R93" s="2315">
        <f t="shared" si="167"/>
        <v>944.11834063537083</v>
      </c>
      <c r="S93" s="2316">
        <f t="shared" si="167"/>
        <v>989.5187643294488</v>
      </c>
      <c r="T93" s="2290">
        <f t="shared" si="167"/>
        <v>991.90310862562478</v>
      </c>
      <c r="U93" s="2315">
        <f t="shared" si="167"/>
        <v>924.01575790680101</v>
      </c>
      <c r="V93" s="2315">
        <f t="shared" si="167"/>
        <v>740.47638606747046</v>
      </c>
      <c r="W93" s="2316">
        <f t="shared" si="167"/>
        <v>759.8200527796788</v>
      </c>
      <c r="X93" s="2290">
        <f t="shared" si="167"/>
        <v>1127.6543685025681</v>
      </c>
      <c r="Y93" s="2315">
        <f t="shared" si="167"/>
        <v>696.05119996416477</v>
      </c>
      <c r="Z93" s="2315">
        <f t="shared" si="167"/>
        <v>616.65340097621925</v>
      </c>
      <c r="AA93" s="2316">
        <f t="shared" si="167"/>
        <v>184.54811947556746</v>
      </c>
      <c r="AB93" s="2313">
        <f t="shared" si="167"/>
        <v>0</v>
      </c>
      <c r="AC93" s="2312">
        <f t="shared" si="167"/>
        <v>0</v>
      </c>
      <c r="AD93" s="2312">
        <f t="shared" si="167"/>
        <v>0</v>
      </c>
      <c r="AE93" s="2314">
        <f t="shared" si="167"/>
        <v>0</v>
      </c>
      <c r="AF93" s="2313">
        <f t="shared" si="167"/>
        <v>0</v>
      </c>
      <c r="AG93" s="2312">
        <f t="shared" si="167"/>
        <v>0</v>
      </c>
      <c r="AH93" s="2312">
        <f t="shared" si="167"/>
        <v>0</v>
      </c>
      <c r="AI93" s="2314">
        <f t="shared" si="167"/>
        <v>0</v>
      </c>
      <c r="AJ93" s="2313">
        <f t="shared" si="167"/>
        <v>0</v>
      </c>
      <c r="AK93" s="2312">
        <f t="shared" si="167"/>
        <v>0</v>
      </c>
      <c r="AL93" s="2312">
        <f t="shared" si="167"/>
        <v>0</v>
      </c>
      <c r="AM93" s="2314">
        <f t="shared" si="167"/>
        <v>0</v>
      </c>
      <c r="AN93" s="2313">
        <f t="shared" si="167"/>
        <v>0</v>
      </c>
      <c r="AO93" s="2312">
        <f t="shared" si="167"/>
        <v>0</v>
      </c>
      <c r="AP93" s="2312">
        <f t="shared" si="167"/>
        <v>0</v>
      </c>
      <c r="AQ93" s="2314">
        <f t="shared" si="167"/>
        <v>0</v>
      </c>
      <c r="AR93" s="2313">
        <f t="shared" si="167"/>
        <v>0</v>
      </c>
      <c r="AS93" s="2312">
        <f t="shared" si="167"/>
        <v>0</v>
      </c>
      <c r="AT93" s="2312">
        <f>AT90*AT215</f>
        <v>0</v>
      </c>
      <c r="AU93" s="2314">
        <f>AU90*AU215</f>
        <v>0</v>
      </c>
      <c r="AV93" s="2313">
        <f t="shared" ref="AV93:BI93" si="168">AV90*AV215</f>
        <v>0</v>
      </c>
      <c r="AW93" s="2312">
        <f t="shared" si="168"/>
        <v>0</v>
      </c>
      <c r="AX93" s="2312">
        <f t="shared" si="168"/>
        <v>0</v>
      </c>
      <c r="AY93" s="2314">
        <f t="shared" si="168"/>
        <v>0</v>
      </c>
      <c r="AZ93" s="2312"/>
      <c r="BA93" s="2313">
        <f t="shared" si="168"/>
        <v>0</v>
      </c>
      <c r="BB93" s="2312">
        <f t="shared" si="168"/>
        <v>0</v>
      </c>
      <c r="BC93" s="1710">
        <f t="shared" si="168"/>
        <v>0</v>
      </c>
      <c r="BD93" s="2314">
        <f t="shared" si="168"/>
        <v>0</v>
      </c>
      <c r="BE93" s="2312"/>
      <c r="BF93" s="2313">
        <f t="shared" si="168"/>
        <v>0</v>
      </c>
      <c r="BG93" s="2312">
        <f t="shared" si="168"/>
        <v>0</v>
      </c>
      <c r="BH93" s="2312">
        <f t="shared" si="168"/>
        <v>0</v>
      </c>
      <c r="BI93" s="2314">
        <f t="shared" si="168"/>
        <v>0</v>
      </c>
      <c r="BJ93" s="2312"/>
      <c r="BK93" s="2313">
        <f>BK90*BK215</f>
        <v>0</v>
      </c>
      <c r="BL93" s="2312">
        <f>BL90*BL215</f>
        <v>0</v>
      </c>
      <c r="BM93" s="2312">
        <f>BM90*BM215</f>
        <v>0</v>
      </c>
      <c r="BN93" s="2314">
        <f>BN90*BN215</f>
        <v>0</v>
      </c>
      <c r="BO93" s="2312"/>
      <c r="BP93" s="2313">
        <f>BP90*BP215</f>
        <v>0</v>
      </c>
      <c r="BQ93" s="2312">
        <f>BQ90*BQ215</f>
        <v>0</v>
      </c>
      <c r="BR93" s="2312">
        <f>BR90*BR215</f>
        <v>0</v>
      </c>
      <c r="BS93" s="2314">
        <f>BS90*BS215</f>
        <v>0</v>
      </c>
      <c r="BT93" s="2312"/>
      <c r="BU93" s="2313">
        <f>BU90*BU215</f>
        <v>0</v>
      </c>
      <c r="BV93" s="2312">
        <f>BV90*BV215</f>
        <v>0</v>
      </c>
      <c r="BW93" s="2312">
        <f>BW90*BW215</f>
        <v>0</v>
      </c>
      <c r="BX93" s="2314">
        <f>BX90*BX215</f>
        <v>0</v>
      </c>
      <c r="BY93" s="2317"/>
      <c r="BZ93" s="2318">
        <f>H93+I93+J93+K93</f>
        <v>0</v>
      </c>
      <c r="CA93" s="2318">
        <f>L93+M93+N93+O93</f>
        <v>1182.2695611533397</v>
      </c>
      <c r="CB93" s="2319">
        <f>P93+Q93+R93+S93</f>
        <v>4058.0730192447413</v>
      </c>
      <c r="CC93" s="2319">
        <f>T93+U93+V93+W93</f>
        <v>3416.2153053795755</v>
      </c>
      <c r="CD93" s="2316">
        <f>X93+Y93+Z93+AA93</f>
        <v>2624.9070889185195</v>
      </c>
      <c r="CE93" s="2316">
        <f>AB93+AC93+AD93+AE93</f>
        <v>0</v>
      </c>
      <c r="CF93" s="2316">
        <f>SUM(AF93:AI93)</f>
        <v>0</v>
      </c>
      <c r="CG93" s="2316">
        <f>SUM(AJ93:AM93)</f>
        <v>0</v>
      </c>
      <c r="CH93" s="2316">
        <f>SUM(AN93:AQ93)</f>
        <v>0</v>
      </c>
      <c r="CI93" s="2316">
        <f>SUM(AO93:AR93)</f>
        <v>0</v>
      </c>
      <c r="CJ93" s="2316">
        <f>SUM(AV93:AY93)</f>
        <v>0</v>
      </c>
      <c r="CK93" s="2316">
        <f>SUM(BA93:BD93)</f>
        <v>0</v>
      </c>
      <c r="CL93" s="2316">
        <f>SUM(BF93:BI93)</f>
        <v>0</v>
      </c>
      <c r="CM93" s="2316">
        <f>SUM(BG93:BK93)</f>
        <v>0</v>
      </c>
      <c r="CN93" s="2315"/>
      <c r="CO93" s="2315"/>
      <c r="CP93" s="2317"/>
      <c r="CQ93" s="2318"/>
      <c r="CR93" s="2318">
        <f>F93+G93+H93+I93</f>
        <v>0</v>
      </c>
      <c r="CS93" s="2318">
        <f>J93+K93+L93+M93</f>
        <v>0</v>
      </c>
      <c r="CT93" s="2319">
        <f>N93+O93+P93+Q93</f>
        <v>3306.7054754332612</v>
      </c>
      <c r="CU93" s="2319">
        <f>R93+S93+T93+U93</f>
        <v>3849.5559714972451</v>
      </c>
      <c r="CV93" s="2319">
        <f>V93+W93+X93+Y93</f>
        <v>3324.0020073138821</v>
      </c>
      <c r="CW93" s="2319">
        <f>Z93+AA93+AB93+AC93</f>
        <v>801.20152045178668</v>
      </c>
      <c r="CX93" s="2318">
        <f>SUM(AD93:AG93)</f>
        <v>0</v>
      </c>
      <c r="CY93" s="2318">
        <f>AK93+AJ93+AI93+AH93</f>
        <v>0</v>
      </c>
      <c r="CZ93" s="2318">
        <f>AO93+AN93+AM93+AL93</f>
        <v>0</v>
      </c>
      <c r="DA93" s="2318">
        <f>AS93+AR93+AQ93+AP93</f>
        <v>0</v>
      </c>
      <c r="DB93" s="2318">
        <f>SUM(AT93:AW93)</f>
        <v>0</v>
      </c>
      <c r="DC93" s="2318">
        <f>SUM(AX93:BB93)</f>
        <v>0</v>
      </c>
      <c r="DD93" s="2318">
        <f>SUM(BC93:BG93)</f>
        <v>0</v>
      </c>
      <c r="DE93" s="2318">
        <f>SUM(BD93:BH93)</f>
        <v>0</v>
      </c>
      <c r="DF93" s="2312"/>
    </row>
    <row r="94" spans="1:110" s="1715" customFormat="1" hidden="1" outlineLevel="2">
      <c r="A94" s="2344"/>
      <c r="B94" s="2259"/>
      <c r="C94" s="2259"/>
      <c r="D94" s="2259"/>
      <c r="E94" s="2259"/>
      <c r="F94" s="2259"/>
      <c r="G94" s="2259"/>
      <c r="H94" s="2259"/>
      <c r="I94" s="2259"/>
      <c r="J94" s="2259"/>
      <c r="K94" s="2259"/>
      <c r="L94" s="2264"/>
      <c r="M94" s="2239"/>
      <c r="N94" s="2239"/>
      <c r="O94" s="2260"/>
      <c r="P94" s="2287"/>
      <c r="Q94" s="2288"/>
      <c r="R94" s="2288"/>
      <c r="S94" s="2289"/>
      <c r="T94" s="2287"/>
      <c r="U94" s="2288"/>
      <c r="V94" s="2288"/>
      <c r="W94" s="2289"/>
      <c r="X94" s="2287"/>
      <c r="Y94" s="2288"/>
      <c r="Z94" s="2288"/>
      <c r="AA94" s="2289"/>
      <c r="AB94" s="2264"/>
      <c r="AC94" s="2239"/>
      <c r="AD94" s="2239"/>
      <c r="AE94" s="2260"/>
      <c r="AF94" s="2264"/>
      <c r="AG94" s="2239"/>
      <c r="AH94" s="2239"/>
      <c r="AI94" s="2260"/>
      <c r="AJ94" s="2264"/>
      <c r="AK94" s="2239"/>
      <c r="AL94" s="2239"/>
      <c r="AM94" s="2260"/>
      <c r="AN94" s="2264"/>
      <c r="AO94" s="2239"/>
      <c r="AP94" s="2239"/>
      <c r="AQ94" s="2260"/>
      <c r="AR94" s="2264"/>
      <c r="AS94" s="2239"/>
      <c r="AT94" s="2239"/>
      <c r="AU94" s="2260"/>
      <c r="AV94" s="2264"/>
      <c r="AW94" s="2239"/>
      <c r="AX94" s="2239"/>
      <c r="AY94" s="2260"/>
      <c r="AZ94" s="2239"/>
      <c r="BA94" s="2264"/>
      <c r="BB94" s="2239"/>
      <c r="BC94" s="2604"/>
      <c r="BD94" s="2260"/>
      <c r="BE94" s="2239"/>
      <c r="BF94" s="2264"/>
      <c r="BG94" s="2239"/>
      <c r="BH94" s="2239"/>
      <c r="BI94" s="2260"/>
      <c r="BJ94" s="2239"/>
      <c r="BK94" s="2264"/>
      <c r="BL94" s="2239"/>
      <c r="BM94" s="2239"/>
      <c r="BN94" s="2260"/>
      <c r="BO94" s="2239"/>
      <c r="BP94" s="2264"/>
      <c r="BQ94" s="2239"/>
      <c r="BR94" s="2239"/>
      <c r="BS94" s="2260"/>
      <c r="BT94" s="2239"/>
      <c r="BU94" s="2264"/>
      <c r="BV94" s="2239"/>
      <c r="BW94" s="2239"/>
      <c r="BX94" s="2260"/>
      <c r="BY94" s="2244"/>
      <c r="BZ94" s="2259"/>
      <c r="CA94" s="2259"/>
      <c r="CB94" s="2291"/>
      <c r="CC94" s="2291"/>
      <c r="CD94" s="2289"/>
      <c r="CE94" s="2289"/>
      <c r="CF94" s="2289"/>
      <c r="CG94" s="2289"/>
      <c r="CH94" s="2289"/>
      <c r="CI94" s="2289"/>
      <c r="CJ94" s="2289"/>
      <c r="CK94" s="2289"/>
      <c r="CL94" s="2289"/>
      <c r="CM94" s="2289"/>
      <c r="CN94" s="2288"/>
      <c r="CO94" s="2288"/>
      <c r="CP94" s="2244"/>
      <c r="CQ94" s="2259"/>
      <c r="CR94" s="2259"/>
      <c r="CS94" s="2259"/>
      <c r="CT94" s="2291"/>
      <c r="CU94" s="2291"/>
      <c r="CV94" s="2291"/>
      <c r="CW94" s="2291"/>
      <c r="CX94" s="2259"/>
      <c r="CY94" s="2259"/>
      <c r="CZ94" s="2259"/>
      <c r="DA94" s="2259"/>
      <c r="DB94" s="2259"/>
      <c r="DC94" s="2259"/>
      <c r="DD94" s="2259"/>
      <c r="DE94" s="2259"/>
      <c r="DF94" s="2239"/>
    </row>
    <row r="95" spans="1:110" s="1715" customFormat="1" hidden="1" outlineLevel="2">
      <c r="A95" s="2345" t="s">
        <v>294</v>
      </c>
      <c r="B95" s="2259"/>
      <c r="C95" s="2259"/>
      <c r="D95" s="2259"/>
      <c r="E95" s="2259"/>
      <c r="F95" s="2259"/>
      <c r="G95" s="2259"/>
      <c r="H95" s="2259"/>
      <c r="I95" s="2259"/>
      <c r="J95" s="2259"/>
      <c r="K95" s="2259"/>
      <c r="L95" s="2264"/>
      <c r="M95" s="2239"/>
      <c r="N95" s="2239"/>
      <c r="O95" s="2260"/>
      <c r="P95" s="2287"/>
      <c r="Q95" s="2288"/>
      <c r="R95" s="2288"/>
      <c r="S95" s="2289"/>
      <c r="T95" s="2287"/>
      <c r="U95" s="2288"/>
      <c r="V95" s="2288"/>
      <c r="W95" s="2289"/>
      <c r="X95" s="2268"/>
      <c r="Y95" s="2335"/>
      <c r="Z95" s="2335"/>
      <c r="AA95" s="2336"/>
      <c r="AB95" s="2337"/>
      <c r="AC95" s="2338"/>
      <c r="AD95" s="2338"/>
      <c r="AE95" s="2339"/>
      <c r="AF95" s="2337"/>
      <c r="AG95" s="2338"/>
      <c r="AH95" s="2338"/>
      <c r="AI95" s="2339"/>
      <c r="AJ95" s="2337"/>
      <c r="AK95" s="2338"/>
      <c r="AL95" s="2338"/>
      <c r="AM95" s="2339"/>
      <c r="AN95" s="2337"/>
      <c r="AO95" s="2338"/>
      <c r="AP95" s="2338"/>
      <c r="AQ95" s="2339"/>
      <c r="AR95" s="2337"/>
      <c r="AS95" s="2338"/>
      <c r="AT95" s="2338"/>
      <c r="AU95" s="2339"/>
      <c r="AV95" s="2337"/>
      <c r="AW95" s="2338"/>
      <c r="AX95" s="2338"/>
      <c r="AY95" s="2339"/>
      <c r="AZ95" s="2338"/>
      <c r="BA95" s="2337"/>
      <c r="BB95" s="2338"/>
      <c r="BC95" s="2608"/>
      <c r="BD95" s="2339"/>
      <c r="BE95" s="2338"/>
      <c r="BF95" s="2337"/>
      <c r="BG95" s="2338"/>
      <c r="BH95" s="2338"/>
      <c r="BI95" s="2339"/>
      <c r="BJ95" s="2338"/>
      <c r="BK95" s="2337"/>
      <c r="BL95" s="2338"/>
      <c r="BM95" s="2338"/>
      <c r="BN95" s="2339"/>
      <c r="BO95" s="2338"/>
      <c r="BP95" s="2337"/>
      <c r="BQ95" s="2338"/>
      <c r="BR95" s="2338"/>
      <c r="BS95" s="2339"/>
      <c r="BT95" s="2338"/>
      <c r="BU95" s="2337"/>
      <c r="BV95" s="2338"/>
      <c r="BW95" s="2338"/>
      <c r="BX95" s="2339"/>
      <c r="BY95" s="2244"/>
      <c r="BZ95" s="2259"/>
      <c r="CA95" s="2259"/>
      <c r="CB95" s="2291"/>
      <c r="CC95" s="2291"/>
      <c r="CD95" s="2289"/>
      <c r="CE95" s="2289"/>
      <c r="CF95" s="2289"/>
      <c r="CG95" s="2289"/>
      <c r="CH95" s="2289"/>
      <c r="CI95" s="2289"/>
      <c r="CJ95" s="2289"/>
      <c r="CK95" s="2289"/>
      <c r="CL95" s="2289"/>
      <c r="CM95" s="2289"/>
      <c r="CN95" s="2288"/>
      <c r="CO95" s="2288"/>
      <c r="CP95" s="2244"/>
      <c r="CQ95" s="2259"/>
      <c r="CR95" s="2259"/>
      <c r="CS95" s="2259"/>
      <c r="CT95" s="2291"/>
      <c r="CU95" s="2291"/>
      <c r="CV95" s="2291"/>
      <c r="CW95" s="2291"/>
      <c r="CX95" s="2259"/>
      <c r="CY95" s="2259"/>
      <c r="CZ95" s="2259"/>
      <c r="DA95" s="2259"/>
      <c r="DB95" s="2259"/>
      <c r="DC95" s="2259"/>
      <c r="DD95" s="2259"/>
      <c r="DE95" s="2259"/>
      <c r="DF95" s="2239"/>
    </row>
    <row r="96" spans="1:110" s="1715" customFormat="1" hidden="1" outlineLevel="2">
      <c r="A96" s="2340" t="s">
        <v>289</v>
      </c>
      <c r="B96" s="2259"/>
      <c r="C96" s="2259"/>
      <c r="D96" s="2259"/>
      <c r="E96" s="2259"/>
      <c r="F96" s="2261">
        <f t="shared" ref="F96:AK96" si="169">F97*F$11</f>
        <v>0</v>
      </c>
      <c r="G96" s="2261">
        <f t="shared" si="169"/>
        <v>0</v>
      </c>
      <c r="H96" s="2261">
        <f t="shared" si="169"/>
        <v>0</v>
      </c>
      <c r="I96" s="2261">
        <f t="shared" si="169"/>
        <v>0</v>
      </c>
      <c r="J96" s="2261">
        <f t="shared" si="169"/>
        <v>0</v>
      </c>
      <c r="K96" s="2261">
        <f t="shared" si="169"/>
        <v>0</v>
      </c>
      <c r="L96" s="2295">
        <f t="shared" si="169"/>
        <v>0</v>
      </c>
      <c r="M96" s="2294">
        <f t="shared" si="169"/>
        <v>0</v>
      </c>
      <c r="N96" s="2294">
        <f t="shared" si="169"/>
        <v>0.50425799664214821</v>
      </c>
      <c r="O96" s="2296">
        <f t="shared" si="169"/>
        <v>0.21194591316016337</v>
      </c>
      <c r="P96" s="2297">
        <f t="shared" si="169"/>
        <v>0.25064267153641645</v>
      </c>
      <c r="Q96" s="2298">
        <f t="shared" si="169"/>
        <v>0.27691052169913438</v>
      </c>
      <c r="R96" s="2298">
        <f t="shared" si="169"/>
        <v>0.67265613044153993</v>
      </c>
      <c r="S96" s="2299">
        <f t="shared" si="169"/>
        <v>0.72609616955159284</v>
      </c>
      <c r="T96" s="2297">
        <f t="shared" si="169"/>
        <v>0.75929562681508123</v>
      </c>
      <c r="U96" s="2298">
        <f t="shared" si="169"/>
        <v>0.279665554026792</v>
      </c>
      <c r="V96" s="2298">
        <f t="shared" si="169"/>
        <v>0.23189397936513778</v>
      </c>
      <c r="W96" s="2299">
        <f t="shared" si="169"/>
        <v>0.24716539957232822</v>
      </c>
      <c r="X96" s="2297">
        <f t="shared" si="169"/>
        <v>0.2978396012925244</v>
      </c>
      <c r="Y96" s="2298">
        <f t="shared" si="169"/>
        <v>0.20892765860575002</v>
      </c>
      <c r="Z96" s="2298">
        <f t="shared" si="169"/>
        <v>6.0604756852699691E-2</v>
      </c>
      <c r="AA96" s="2299">
        <f t="shared" si="169"/>
        <v>0</v>
      </c>
      <c r="AB96" s="2295">
        <f t="shared" si="169"/>
        <v>0</v>
      </c>
      <c r="AC96" s="2294">
        <f t="shared" si="169"/>
        <v>0</v>
      </c>
      <c r="AD96" s="2294">
        <f t="shared" si="169"/>
        <v>0</v>
      </c>
      <c r="AE96" s="2296">
        <f t="shared" si="169"/>
        <v>0</v>
      </c>
      <c r="AF96" s="2295">
        <f t="shared" si="169"/>
        <v>0</v>
      </c>
      <c r="AG96" s="2294">
        <f t="shared" si="169"/>
        <v>0</v>
      </c>
      <c r="AH96" s="2294">
        <f t="shared" si="169"/>
        <v>0</v>
      </c>
      <c r="AI96" s="2296">
        <f t="shared" si="169"/>
        <v>0</v>
      </c>
      <c r="AJ96" s="2295">
        <f t="shared" si="169"/>
        <v>0</v>
      </c>
      <c r="AK96" s="2294">
        <f t="shared" si="169"/>
        <v>0</v>
      </c>
      <c r="AL96" s="2294">
        <f t="shared" ref="AL96:BX96" si="170">AL97*AL$11</f>
        <v>0</v>
      </c>
      <c r="AM96" s="2296">
        <f t="shared" si="170"/>
        <v>0</v>
      </c>
      <c r="AN96" s="2295">
        <f t="shared" si="170"/>
        <v>0</v>
      </c>
      <c r="AO96" s="2294">
        <f t="shared" si="170"/>
        <v>0</v>
      </c>
      <c r="AP96" s="2294">
        <f t="shared" si="170"/>
        <v>0</v>
      </c>
      <c r="AQ96" s="2296">
        <f t="shared" si="170"/>
        <v>0</v>
      </c>
      <c r="AR96" s="2295">
        <f t="shared" si="170"/>
        <v>0</v>
      </c>
      <c r="AS96" s="2294">
        <f t="shared" si="170"/>
        <v>0</v>
      </c>
      <c r="AT96" s="2294">
        <f t="shared" si="170"/>
        <v>0</v>
      </c>
      <c r="AU96" s="2296">
        <f t="shared" si="170"/>
        <v>0</v>
      </c>
      <c r="AV96" s="2295">
        <f t="shared" si="170"/>
        <v>0</v>
      </c>
      <c r="AW96" s="2294">
        <f t="shared" si="170"/>
        <v>0</v>
      </c>
      <c r="AX96" s="2294">
        <f t="shared" si="170"/>
        <v>0</v>
      </c>
      <c r="AY96" s="2296">
        <f t="shared" si="170"/>
        <v>0</v>
      </c>
      <c r="AZ96" s="2294"/>
      <c r="BA96" s="2295">
        <f t="shared" si="170"/>
        <v>0</v>
      </c>
      <c r="BB96" s="2294">
        <f t="shared" si="170"/>
        <v>0</v>
      </c>
      <c r="BC96" s="2598">
        <f t="shared" si="170"/>
        <v>0</v>
      </c>
      <c r="BD96" s="2296">
        <f t="shared" si="170"/>
        <v>0</v>
      </c>
      <c r="BE96" s="2294"/>
      <c r="BF96" s="2295">
        <f t="shared" si="170"/>
        <v>0</v>
      </c>
      <c r="BG96" s="2294">
        <f t="shared" si="170"/>
        <v>0</v>
      </c>
      <c r="BH96" s="2294">
        <f t="shared" si="170"/>
        <v>0</v>
      </c>
      <c r="BI96" s="2296">
        <f t="shared" si="170"/>
        <v>0</v>
      </c>
      <c r="BJ96" s="2294"/>
      <c r="BK96" s="2295">
        <f t="shared" si="170"/>
        <v>0</v>
      </c>
      <c r="BL96" s="2294">
        <f t="shared" si="170"/>
        <v>0</v>
      </c>
      <c r="BM96" s="2294">
        <f t="shared" si="170"/>
        <v>0</v>
      </c>
      <c r="BN96" s="2296">
        <f t="shared" si="170"/>
        <v>0</v>
      </c>
      <c r="BO96" s="2294"/>
      <c r="BP96" s="2295">
        <f t="shared" si="170"/>
        <v>0</v>
      </c>
      <c r="BQ96" s="2294">
        <f t="shared" si="170"/>
        <v>0</v>
      </c>
      <c r="BR96" s="2294">
        <f t="shared" si="170"/>
        <v>0</v>
      </c>
      <c r="BS96" s="2296">
        <f t="shared" si="170"/>
        <v>0</v>
      </c>
      <c r="BT96" s="2294"/>
      <c r="BU96" s="2295">
        <f t="shared" si="170"/>
        <v>0</v>
      </c>
      <c r="BV96" s="2294">
        <f t="shared" si="170"/>
        <v>0</v>
      </c>
      <c r="BW96" s="2294">
        <f t="shared" si="170"/>
        <v>0</v>
      </c>
      <c r="BX96" s="2296">
        <f t="shared" si="170"/>
        <v>0</v>
      </c>
      <c r="BY96" s="2244"/>
      <c r="BZ96" s="2261">
        <f>H96+I96+J96+K96</f>
        <v>0</v>
      </c>
      <c r="CA96" s="2261">
        <f>L96+M96+N96+O96</f>
        <v>0.71620390980231163</v>
      </c>
      <c r="CB96" s="2300">
        <f>P96+Q96+R96+S96</f>
        <v>1.9263054932286836</v>
      </c>
      <c r="CC96" s="2300">
        <f>T96+U96+V96+W96</f>
        <v>1.5180205597793393</v>
      </c>
      <c r="CD96" s="2299">
        <f>X96+Y96+Z96+AA96</f>
        <v>0.56737201675097415</v>
      </c>
      <c r="CE96" s="2299">
        <f>AB96+AC96+AD96+AE96</f>
        <v>0</v>
      </c>
      <c r="CF96" s="2299">
        <f>SUM(AF96:AI96)</f>
        <v>0</v>
      </c>
      <c r="CG96" s="2299">
        <f>SUM(AJ96:AM96)</f>
        <v>0</v>
      </c>
      <c r="CH96" s="2299">
        <f>SUM(AN96:AQ96)</f>
        <v>0</v>
      </c>
      <c r="CI96" s="2299">
        <f>SUM(AO96:AR96)</f>
        <v>0</v>
      </c>
      <c r="CJ96" s="2299">
        <f>SUM(AV96:AY96)</f>
        <v>0</v>
      </c>
      <c r="CK96" s="2299">
        <f>SUM(BA96:BD96)</f>
        <v>0</v>
      </c>
      <c r="CL96" s="2299">
        <f>SUM(BF96:BI96)</f>
        <v>0</v>
      </c>
      <c r="CM96" s="2299">
        <f>SUM(BG96:BK96)</f>
        <v>0</v>
      </c>
      <c r="CN96" s="2298"/>
      <c r="CO96" s="2298"/>
      <c r="CP96" s="2301"/>
      <c r="CQ96" s="2261"/>
      <c r="CR96" s="2261">
        <f>F96+G96+H96+I96</f>
        <v>0</v>
      </c>
      <c r="CS96" s="2261">
        <f>J96+K96+L96+M96</f>
        <v>0</v>
      </c>
      <c r="CT96" s="2300">
        <f>N96+O96+P96+Q96</f>
        <v>1.2437571030378625</v>
      </c>
      <c r="CU96" s="2300">
        <f>R96+S96+T96+U96</f>
        <v>2.4377134808350061</v>
      </c>
      <c r="CV96" s="2300">
        <f>V96+W96+X96+Y96</f>
        <v>0.9858266388357404</v>
      </c>
      <c r="CW96" s="2300">
        <f>Z96+AA96+AB96+AC96</f>
        <v>6.0604756852699691E-2</v>
      </c>
      <c r="CX96" s="2302">
        <f>AD96+AE96+AF96+AG96</f>
        <v>0</v>
      </c>
      <c r="CY96" s="2302">
        <f>AK96+AJ96+AI96+AH96</f>
        <v>0</v>
      </c>
      <c r="CZ96" s="2302">
        <f>AO96+AN96+AM96+AL96</f>
        <v>0</v>
      </c>
      <c r="DA96" s="2302">
        <f>AS96+AR96+AQ96+AP96</f>
        <v>0</v>
      </c>
      <c r="DB96" s="2302">
        <f>SUM(AT96:AW96)</f>
        <v>0</v>
      </c>
      <c r="DC96" s="2302">
        <f>SUM(AX96:BB96)</f>
        <v>0</v>
      </c>
      <c r="DD96" s="2300">
        <f>SUM(BC96:BG96)</f>
        <v>0</v>
      </c>
      <c r="DE96" s="2300">
        <f>SUM(BD96:BH96)</f>
        <v>0</v>
      </c>
      <c r="DF96" s="2298"/>
    </row>
    <row r="97" spans="1:110" s="1715" customFormat="1" hidden="1" outlineLevel="3">
      <c r="A97" s="2341" t="s">
        <v>15</v>
      </c>
      <c r="B97" s="2259"/>
      <c r="C97" s="2259"/>
      <c r="D97" s="2259"/>
      <c r="E97" s="2259"/>
      <c r="F97" s="2307">
        <v>0</v>
      </c>
      <c r="G97" s="2307">
        <v>0</v>
      </c>
      <c r="H97" s="2307">
        <v>0</v>
      </c>
      <c r="I97" s="2307">
        <v>0</v>
      </c>
      <c r="J97" s="2307">
        <v>0</v>
      </c>
      <c r="K97" s="2307">
        <v>0</v>
      </c>
      <c r="L97" s="2304">
        <v>0</v>
      </c>
      <c r="M97" s="2273">
        <v>0</v>
      </c>
      <c r="N97" s="2273">
        <v>1.0999999999999999E-2</v>
      </c>
      <c r="O97" s="2305">
        <v>5.0000000000000001E-3</v>
      </c>
      <c r="P97" s="2265">
        <v>5.0000000000000001E-3</v>
      </c>
      <c r="Q97" s="2266">
        <v>5.0000000000000001E-3</v>
      </c>
      <c r="R97" s="2266">
        <v>1.4E-2</v>
      </c>
      <c r="S97" s="2267">
        <v>1.4E-2</v>
      </c>
      <c r="T97" s="2265">
        <v>1.4E-2</v>
      </c>
      <c r="U97" s="2266">
        <v>5.0000000000000001E-3</v>
      </c>
      <c r="V97" s="2266">
        <v>5.0000000000000001E-3</v>
      </c>
      <c r="W97" s="2267">
        <v>5.0000000000000001E-3</v>
      </c>
      <c r="X97" s="2265">
        <v>5.0000000000000001E-3</v>
      </c>
      <c r="Y97" s="2266">
        <f>0.5%-Y139</f>
        <v>3.0000000000000001E-3</v>
      </c>
      <c r="Z97" s="2266">
        <f>0.5%-Z139</f>
        <v>1E-3</v>
      </c>
      <c r="AA97" s="2266">
        <f>0.5%-AA139</f>
        <v>0</v>
      </c>
      <c r="AB97" s="2304">
        <v>0</v>
      </c>
      <c r="AC97" s="2273">
        <v>0</v>
      </c>
      <c r="AD97" s="2273">
        <v>0</v>
      </c>
      <c r="AE97" s="2305">
        <v>0</v>
      </c>
      <c r="AF97" s="2304">
        <v>0</v>
      </c>
      <c r="AG97" s="2273">
        <v>0</v>
      </c>
      <c r="AH97" s="2273">
        <v>0</v>
      </c>
      <c r="AI97" s="2305">
        <v>0</v>
      </c>
      <c r="AJ97" s="2304">
        <v>0</v>
      </c>
      <c r="AK97" s="2273">
        <v>0</v>
      </c>
      <c r="AL97" s="2273">
        <v>0</v>
      </c>
      <c r="AM97" s="2305">
        <v>0</v>
      </c>
      <c r="AN97" s="2304">
        <v>0</v>
      </c>
      <c r="AO97" s="2273">
        <v>0</v>
      </c>
      <c r="AP97" s="2273">
        <v>0</v>
      </c>
      <c r="AQ97" s="2305">
        <v>0</v>
      </c>
      <c r="AR97" s="2304">
        <v>0</v>
      </c>
      <c r="AS97" s="2273">
        <v>0</v>
      </c>
      <c r="AT97" s="2273">
        <v>0</v>
      </c>
      <c r="AU97" s="2305">
        <v>0</v>
      </c>
      <c r="AV97" s="2304">
        <v>0</v>
      </c>
      <c r="AW97" s="2273">
        <v>0</v>
      </c>
      <c r="AX97" s="2273">
        <v>0</v>
      </c>
      <c r="AY97" s="2305">
        <v>0</v>
      </c>
      <c r="AZ97" s="2273"/>
      <c r="BA97" s="2304">
        <v>0</v>
      </c>
      <c r="BB97" s="2273">
        <v>0</v>
      </c>
      <c r="BC97" s="188">
        <v>0</v>
      </c>
      <c r="BD97" s="2305">
        <v>0</v>
      </c>
      <c r="BE97" s="2273"/>
      <c r="BF97" s="2304">
        <v>0</v>
      </c>
      <c r="BG97" s="2273">
        <v>0</v>
      </c>
      <c r="BH97" s="2273">
        <v>0</v>
      </c>
      <c r="BI97" s="2305">
        <v>0</v>
      </c>
      <c r="BJ97" s="2273"/>
      <c r="BK97" s="2304">
        <v>0</v>
      </c>
      <c r="BL97" s="2273">
        <v>0</v>
      </c>
      <c r="BM97" s="2273">
        <v>0</v>
      </c>
      <c r="BN97" s="2305">
        <v>0</v>
      </c>
      <c r="BO97" s="2273"/>
      <c r="BP97" s="2304">
        <v>0</v>
      </c>
      <c r="BQ97" s="2273">
        <v>0</v>
      </c>
      <c r="BR97" s="2273">
        <v>0</v>
      </c>
      <c r="BS97" s="2305">
        <v>0</v>
      </c>
      <c r="BT97" s="2273"/>
      <c r="BU97" s="2304">
        <v>0</v>
      </c>
      <c r="BV97" s="2273">
        <v>0</v>
      </c>
      <c r="BW97" s="2273">
        <v>0</v>
      </c>
      <c r="BX97" s="2305">
        <v>0</v>
      </c>
      <c r="BY97" s="2306"/>
      <c r="BZ97" s="2307">
        <f t="shared" ref="BZ97:CI97" si="171">BZ96/BZ$167</f>
        <v>0</v>
      </c>
      <c r="CA97" s="2307">
        <f t="shared" si="171"/>
        <v>4.0594427383051964E-3</v>
      </c>
      <c r="CB97" s="2308">
        <f t="shared" si="171"/>
        <v>9.3773306677701809E-3</v>
      </c>
      <c r="CC97" s="2308">
        <f t="shared" si="171"/>
        <v>7.3697334526524614E-3</v>
      </c>
      <c r="CD97" s="2267">
        <f t="shared" si="171"/>
        <v>2.2518994358148993E-3</v>
      </c>
      <c r="CE97" s="2267">
        <f t="shared" si="171"/>
        <v>0</v>
      </c>
      <c r="CF97" s="2267">
        <f t="shared" si="171"/>
        <v>0</v>
      </c>
      <c r="CG97" s="2267">
        <f t="shared" si="171"/>
        <v>0</v>
      </c>
      <c r="CH97" s="2267">
        <f t="shared" si="171"/>
        <v>0</v>
      </c>
      <c r="CI97" s="2267">
        <f t="shared" si="171"/>
        <v>0</v>
      </c>
      <c r="CJ97" s="2267">
        <f>CJ96/CJ$167</f>
        <v>0</v>
      </c>
      <c r="CK97" s="2267">
        <f>CK96/CK$167</f>
        <v>0</v>
      </c>
      <c r="CL97" s="2267">
        <f>CL96/CL$167</f>
        <v>0</v>
      </c>
      <c r="CM97" s="2267">
        <f>CM96/CM$167</f>
        <v>0</v>
      </c>
      <c r="CN97" s="2266"/>
      <c r="CO97" s="2266"/>
      <c r="CP97" s="2306"/>
      <c r="CQ97" s="2307"/>
      <c r="CR97" s="2307">
        <f t="shared" ref="CR97:DA97" si="172">CR96/CR$167</f>
        <v>0</v>
      </c>
      <c r="CS97" s="2307">
        <f t="shared" si="172"/>
        <v>0</v>
      </c>
      <c r="CT97" s="2308">
        <f t="shared" si="172"/>
        <v>6.4196745504556327E-3</v>
      </c>
      <c r="CU97" s="2308">
        <f t="shared" si="172"/>
        <v>1.1603772582578824E-2</v>
      </c>
      <c r="CV97" s="2308">
        <f t="shared" si="172"/>
        <v>4.3810165683141125E-3</v>
      </c>
      <c r="CW97" s="2308">
        <f t="shared" si="172"/>
        <v>2.4099796457176321E-4</v>
      </c>
      <c r="CX97" s="2308">
        <f t="shared" si="172"/>
        <v>0</v>
      </c>
      <c r="CY97" s="2308">
        <f t="shared" si="172"/>
        <v>0</v>
      </c>
      <c r="CZ97" s="2308">
        <f t="shared" si="172"/>
        <v>0</v>
      </c>
      <c r="DA97" s="2308">
        <f t="shared" si="172"/>
        <v>0</v>
      </c>
      <c r="DB97" s="2308">
        <f>DB96/DB$167</f>
        <v>0</v>
      </c>
      <c r="DC97" s="2308">
        <f>DC96/DC$167</f>
        <v>0</v>
      </c>
      <c r="DD97" s="2308">
        <f>DD96/DD$167</f>
        <v>0</v>
      </c>
      <c r="DE97" s="2308">
        <f>DE96/DE$167</f>
        <v>0</v>
      </c>
      <c r="DF97" s="2266"/>
    </row>
    <row r="98" spans="1:110" s="1715" customFormat="1" hidden="1" outlineLevel="3">
      <c r="A98" s="2342" t="s">
        <v>121</v>
      </c>
      <c r="B98" s="2259"/>
      <c r="C98" s="2259"/>
      <c r="D98" s="2259"/>
      <c r="E98" s="2259"/>
      <c r="F98" s="2259"/>
      <c r="G98" s="2259"/>
      <c r="H98" s="2259"/>
      <c r="I98" s="2259"/>
      <c r="J98" s="2245" t="str">
        <f t="shared" ref="J98:AS98" si="173">IF(OR(J96=0,F96=0),"NM",J96/F96-1)</f>
        <v>NM</v>
      </c>
      <c r="K98" s="2245" t="str">
        <f t="shared" si="173"/>
        <v>NM</v>
      </c>
      <c r="L98" s="2256" t="str">
        <f t="shared" si="173"/>
        <v>NM</v>
      </c>
      <c r="M98" s="2250" t="str">
        <f t="shared" si="173"/>
        <v>NM</v>
      </c>
      <c r="N98" s="2250" t="str">
        <f t="shared" si="173"/>
        <v>NM</v>
      </c>
      <c r="O98" s="2257" t="str">
        <f t="shared" si="173"/>
        <v>NM</v>
      </c>
      <c r="P98" s="2310" t="str">
        <f t="shared" si="173"/>
        <v>NM</v>
      </c>
      <c r="Q98" s="2271" t="str">
        <f t="shared" si="173"/>
        <v>NM</v>
      </c>
      <c r="R98" s="2271">
        <f t="shared" si="173"/>
        <v>0.33395233178403538</v>
      </c>
      <c r="S98" s="2309">
        <f t="shared" si="173"/>
        <v>2.4258559588402924</v>
      </c>
      <c r="T98" s="2310">
        <f t="shared" si="173"/>
        <v>2.0293948838027824</v>
      </c>
      <c r="U98" s="2271">
        <f t="shared" si="173"/>
        <v>9.9491789288201904E-3</v>
      </c>
      <c r="V98" s="2271">
        <f t="shared" si="173"/>
        <v>-0.65525627602186631</v>
      </c>
      <c r="W98" s="2309">
        <f t="shared" si="173"/>
        <v>-0.65959688270361294</v>
      </c>
      <c r="X98" s="2310">
        <f t="shared" si="173"/>
        <v>-0.60774224060550242</v>
      </c>
      <c r="Y98" s="2271">
        <f t="shared" si="173"/>
        <v>-0.25293746191661948</v>
      </c>
      <c r="Z98" s="2271">
        <f t="shared" si="173"/>
        <v>-0.73865316806146097</v>
      </c>
      <c r="AA98" s="2309" t="str">
        <f t="shared" si="173"/>
        <v>NM</v>
      </c>
      <c r="AB98" s="2256" t="str">
        <f t="shared" si="173"/>
        <v>NM</v>
      </c>
      <c r="AC98" s="2250" t="str">
        <f t="shared" si="173"/>
        <v>NM</v>
      </c>
      <c r="AD98" s="2250" t="str">
        <f t="shared" si="173"/>
        <v>NM</v>
      </c>
      <c r="AE98" s="2257" t="str">
        <f t="shared" si="173"/>
        <v>NM</v>
      </c>
      <c r="AF98" s="2256" t="str">
        <f t="shared" si="173"/>
        <v>NM</v>
      </c>
      <c r="AG98" s="2250" t="str">
        <f t="shared" si="173"/>
        <v>NM</v>
      </c>
      <c r="AH98" s="2250" t="str">
        <f t="shared" si="173"/>
        <v>NM</v>
      </c>
      <c r="AI98" s="2257" t="str">
        <f t="shared" si="173"/>
        <v>NM</v>
      </c>
      <c r="AJ98" s="2256" t="str">
        <f t="shared" si="173"/>
        <v>NM</v>
      </c>
      <c r="AK98" s="2250" t="str">
        <f t="shared" si="173"/>
        <v>NM</v>
      </c>
      <c r="AL98" s="2250" t="str">
        <f t="shared" si="173"/>
        <v>NM</v>
      </c>
      <c r="AM98" s="2257" t="str">
        <f t="shared" si="173"/>
        <v>NM</v>
      </c>
      <c r="AN98" s="2256" t="str">
        <f t="shared" si="173"/>
        <v>NM</v>
      </c>
      <c r="AO98" s="2250" t="str">
        <f t="shared" si="173"/>
        <v>NM</v>
      </c>
      <c r="AP98" s="2250" t="str">
        <f t="shared" si="173"/>
        <v>NM</v>
      </c>
      <c r="AQ98" s="2257" t="str">
        <f t="shared" si="173"/>
        <v>NM</v>
      </c>
      <c r="AR98" s="2256" t="str">
        <f t="shared" si="173"/>
        <v>NM</v>
      </c>
      <c r="AS98" s="2250" t="str">
        <f t="shared" si="173"/>
        <v>NM</v>
      </c>
      <c r="AT98" s="2250" t="str">
        <f>IF(OR(AT96=0,AP96=0),"NM",AT96/AP96-1)</f>
        <v>NM</v>
      </c>
      <c r="AU98" s="2257" t="str">
        <f>IF(OR(AU96=0,AQ96=0),"NM",AU96/AQ96-1)</f>
        <v>NM</v>
      </c>
      <c r="AV98" s="2256" t="str">
        <f t="shared" ref="AV98:AY98" si="174">IF(OR(AV96=0,AR96=0),"NM",AV96/AR96-1)</f>
        <v>NM</v>
      </c>
      <c r="AW98" s="2250" t="str">
        <f t="shared" si="174"/>
        <v>NM</v>
      </c>
      <c r="AX98" s="2250" t="str">
        <f t="shared" si="174"/>
        <v>NM</v>
      </c>
      <c r="AY98" s="2257" t="str">
        <f t="shared" si="174"/>
        <v>NM</v>
      </c>
      <c r="AZ98" s="2250"/>
      <c r="BA98" s="2256" t="str">
        <f>IF(OR(BA96=0,AV96=0),"NM",BA96/AV96-1)</f>
        <v>NM</v>
      </c>
      <c r="BB98" s="2250" t="str">
        <f>IF(OR(BB96=0,AW96=0),"NM",BB96/AW96-1)</f>
        <v>NM</v>
      </c>
      <c r="BC98" s="2603" t="str">
        <f>IF(OR(BC96=0,AX96=0),"NM",BC96/AX96-1)</f>
        <v>NM</v>
      </c>
      <c r="BD98" s="2257" t="str">
        <f>IF(OR(BD96=0,AY96=0),"NM",BD96/AY96-1)</f>
        <v>NM</v>
      </c>
      <c r="BE98" s="2250"/>
      <c r="BF98" s="2256" t="str">
        <f>IF(OR(BF96=0,BA96=0),"NM",BF96/BA96-1)</f>
        <v>NM</v>
      </c>
      <c r="BG98" s="2250" t="str">
        <f>IF(OR(BG96=0,BB96=0),"NM",BG96/BB96-1)</f>
        <v>NM</v>
      </c>
      <c r="BH98" s="2250" t="str">
        <f>IF(OR(BH96=0,BC96=0),"NM",BH96/BC96-1)</f>
        <v>NM</v>
      </c>
      <c r="BI98" s="2257" t="str">
        <f>IF(OR(BI96=0,BD96=0),"NM",BI96/BD96-1)</f>
        <v>NM</v>
      </c>
      <c r="BJ98" s="2250"/>
      <c r="BK98" s="2256" t="str">
        <f>IF(OR(BK96=0,BF96=0),"NM",BK96/BF96-1)</f>
        <v>NM</v>
      </c>
      <c r="BL98" s="2250" t="str">
        <f>IF(OR(BL96=0,BG96=0),"NM",BL96/BG96-1)</f>
        <v>NM</v>
      </c>
      <c r="BM98" s="2250" t="str">
        <f>IF(OR(BM96=0,BH96=0),"NM",BM96/BH96-1)</f>
        <v>NM</v>
      </c>
      <c r="BN98" s="2257" t="str">
        <f>IF(OR(BN96=0,BI96=0),"NM",BN96/BI96-1)</f>
        <v>NM</v>
      </c>
      <c r="BO98" s="2250"/>
      <c r="BP98" s="2256" t="str">
        <f>IF(OR(BP96=0,BK96=0),"NM",BP96/BK96-1)</f>
        <v>NM</v>
      </c>
      <c r="BQ98" s="2250" t="str">
        <f>IF(OR(BQ96=0,BL96=0),"NM",BQ96/BL96-1)</f>
        <v>NM</v>
      </c>
      <c r="BR98" s="2250" t="str">
        <f>IF(OR(BR96=0,BM96=0),"NM",BR96/BM96-1)</f>
        <v>NM</v>
      </c>
      <c r="BS98" s="2257" t="str">
        <f>IF(OR(BS96=0,BN96=0),"NM",BS96/BN96-1)</f>
        <v>NM</v>
      </c>
      <c r="BT98" s="2250"/>
      <c r="BU98" s="2256" t="str">
        <f>IF(OR(BU96=0,BP96=0),"NM",BU96/BP96-1)</f>
        <v>NM</v>
      </c>
      <c r="BV98" s="2250" t="str">
        <f>IF(OR(BV96=0,BQ96=0),"NM",BV96/BQ96-1)</f>
        <v>NM</v>
      </c>
      <c r="BW98" s="2250" t="str">
        <f>IF(OR(BW96=0,BR96=0),"NM",BW96/BR96-1)</f>
        <v>NM</v>
      </c>
      <c r="BX98" s="2257" t="str">
        <f>IF(OR(BX96=0,BS96=0),"NM",BX96/BS96-1)</f>
        <v>NM</v>
      </c>
      <c r="BY98" s="2244"/>
      <c r="BZ98" s="2246"/>
      <c r="CA98" s="2246" t="str">
        <f t="shared" ref="CA98:CM98" si="175">IF(OR(BZ96=0,CA96=0),"NM",CA96/BZ96-1)</f>
        <v>NM</v>
      </c>
      <c r="CB98" s="2247">
        <f t="shared" si="175"/>
        <v>1.6896048274302036</v>
      </c>
      <c r="CC98" s="2247">
        <f t="shared" si="175"/>
        <v>-0.21195232785481877</v>
      </c>
      <c r="CD98" s="2242">
        <f t="shared" si="175"/>
        <v>-0.62624220528775454</v>
      </c>
      <c r="CE98" s="2242" t="str">
        <f t="shared" si="175"/>
        <v>NM</v>
      </c>
      <c r="CF98" s="2242" t="str">
        <f t="shared" si="175"/>
        <v>NM</v>
      </c>
      <c r="CG98" s="2242" t="str">
        <f t="shared" si="175"/>
        <v>NM</v>
      </c>
      <c r="CH98" s="2242" t="str">
        <f t="shared" si="175"/>
        <v>NM</v>
      </c>
      <c r="CI98" s="2242" t="str">
        <f t="shared" si="175"/>
        <v>NM</v>
      </c>
      <c r="CJ98" s="2242" t="str">
        <f t="shared" si="175"/>
        <v>NM</v>
      </c>
      <c r="CK98" s="2242" t="str">
        <f t="shared" si="175"/>
        <v>NM</v>
      </c>
      <c r="CL98" s="2242" t="str">
        <f t="shared" si="175"/>
        <v>NM</v>
      </c>
      <c r="CM98" s="2242" t="str">
        <f t="shared" si="175"/>
        <v>NM</v>
      </c>
      <c r="CN98" s="2240"/>
      <c r="CO98" s="2240"/>
      <c r="CP98" s="2248"/>
      <c r="CQ98" s="2246"/>
      <c r="CR98" s="2246"/>
      <c r="CS98" s="2246" t="str">
        <f t="shared" ref="CS98:DA98" si="176">IF(OR(CR96=0,CS96=0),"NM",CS96/CR96-1)</f>
        <v>NM</v>
      </c>
      <c r="CT98" s="2247" t="str">
        <f t="shared" si="176"/>
        <v>NM</v>
      </c>
      <c r="CU98" s="2247">
        <f t="shared" si="176"/>
        <v>0.9599594445578794</v>
      </c>
      <c r="CV98" s="2247">
        <f t="shared" si="176"/>
        <v>-0.59559372067874905</v>
      </c>
      <c r="CW98" s="2247">
        <f t="shared" si="176"/>
        <v>-0.93852392046914679</v>
      </c>
      <c r="CX98" s="2247" t="str">
        <f t="shared" si="176"/>
        <v>NM</v>
      </c>
      <c r="CY98" s="2247" t="str">
        <f t="shared" si="176"/>
        <v>NM</v>
      </c>
      <c r="CZ98" s="2247" t="str">
        <f t="shared" si="176"/>
        <v>NM</v>
      </c>
      <c r="DA98" s="2247" t="str">
        <f t="shared" si="176"/>
        <v>NM</v>
      </c>
      <c r="DB98" s="2247" t="str">
        <f>IF(OR(DA96=0,DB96=0),"NM",DB96/DA96-1)</f>
        <v>NM</v>
      </c>
      <c r="DC98" s="2247" t="str">
        <f>IF(OR(DB96=0,DC96=0),"NM",DC96/DB96-1)</f>
        <v>NM</v>
      </c>
      <c r="DD98" s="2247" t="str">
        <f>IF(OR(DB96=0,DD96=0),"NM",DD96/DB96-1)</f>
        <v>NM</v>
      </c>
      <c r="DE98" s="2247" t="str">
        <f>IF(OR(DC96=0,DE96=0),"NM",DE96/DC96-1)</f>
        <v>NM</v>
      </c>
      <c r="DF98" s="2240"/>
    </row>
    <row r="99" spans="1:110" s="1715" customFormat="1" hidden="1" outlineLevel="2">
      <c r="A99" s="2343" t="s">
        <v>290</v>
      </c>
      <c r="B99" s="2318"/>
      <c r="C99" s="2318"/>
      <c r="D99" s="2318"/>
      <c r="E99" s="2318"/>
      <c r="F99" s="2318">
        <f t="shared" ref="F99:AS99" si="177">F96*F216</f>
        <v>0</v>
      </c>
      <c r="G99" s="2318">
        <f t="shared" si="177"/>
        <v>0</v>
      </c>
      <c r="H99" s="2318">
        <f t="shared" si="177"/>
        <v>0</v>
      </c>
      <c r="I99" s="2318">
        <f t="shared" si="177"/>
        <v>0</v>
      </c>
      <c r="J99" s="2318">
        <f t="shared" si="177"/>
        <v>0</v>
      </c>
      <c r="K99" s="2318">
        <f t="shared" si="177"/>
        <v>0</v>
      </c>
      <c r="L99" s="2313">
        <f t="shared" si="177"/>
        <v>0</v>
      </c>
      <c r="M99" s="2312">
        <f t="shared" si="177"/>
        <v>0</v>
      </c>
      <c r="N99" s="2312">
        <f t="shared" si="177"/>
        <v>60.510959597057784</v>
      </c>
      <c r="O99" s="2314">
        <f t="shared" si="177"/>
        <v>26.514831134923615</v>
      </c>
      <c r="P99" s="2290">
        <f t="shared" si="177"/>
        <v>29.607015189636275</v>
      </c>
      <c r="Q99" s="2315">
        <f t="shared" si="177"/>
        <v>31.773654755532455</v>
      </c>
      <c r="R99" s="2315">
        <f t="shared" si="177"/>
        <v>79.586083627740805</v>
      </c>
      <c r="S99" s="2316">
        <f t="shared" si="177"/>
        <v>88.530564293278914</v>
      </c>
      <c r="T99" s="2290">
        <f t="shared" si="177"/>
        <v>86.102700401529944</v>
      </c>
      <c r="U99" s="2315">
        <f t="shared" si="177"/>
        <v>30.556076650357181</v>
      </c>
      <c r="V99" s="2315">
        <f t="shared" si="177"/>
        <v>26.146765044755313</v>
      </c>
      <c r="W99" s="2316">
        <f t="shared" si="177"/>
        <v>26.829804123576231</v>
      </c>
      <c r="X99" s="2290">
        <f t="shared" si="177"/>
        <v>33.088449780004936</v>
      </c>
      <c r="Y99" s="2315">
        <f t="shared" si="177"/>
        <v>23.515243242032597</v>
      </c>
      <c r="Z99" s="2315">
        <f t="shared" si="177"/>
        <v>6.9442950560385066</v>
      </c>
      <c r="AA99" s="2316">
        <f t="shared" si="177"/>
        <v>0</v>
      </c>
      <c r="AB99" s="2313">
        <f t="shared" si="177"/>
        <v>0</v>
      </c>
      <c r="AC99" s="2312">
        <f t="shared" si="177"/>
        <v>0</v>
      </c>
      <c r="AD99" s="2312">
        <f t="shared" si="177"/>
        <v>0</v>
      </c>
      <c r="AE99" s="2314">
        <f t="shared" si="177"/>
        <v>0</v>
      </c>
      <c r="AF99" s="2313">
        <f t="shared" si="177"/>
        <v>0</v>
      </c>
      <c r="AG99" s="2312">
        <f t="shared" si="177"/>
        <v>0</v>
      </c>
      <c r="AH99" s="2312">
        <f t="shared" si="177"/>
        <v>0</v>
      </c>
      <c r="AI99" s="2314">
        <f t="shared" si="177"/>
        <v>0</v>
      </c>
      <c r="AJ99" s="2313">
        <f t="shared" si="177"/>
        <v>0</v>
      </c>
      <c r="AK99" s="2312">
        <f t="shared" si="177"/>
        <v>0</v>
      </c>
      <c r="AL99" s="2312">
        <f t="shared" si="177"/>
        <v>0</v>
      </c>
      <c r="AM99" s="2314">
        <f t="shared" si="177"/>
        <v>0</v>
      </c>
      <c r="AN99" s="2313">
        <f t="shared" si="177"/>
        <v>0</v>
      </c>
      <c r="AO99" s="2312">
        <f t="shared" si="177"/>
        <v>0</v>
      </c>
      <c r="AP99" s="2312">
        <f t="shared" si="177"/>
        <v>0</v>
      </c>
      <c r="AQ99" s="2314">
        <f t="shared" si="177"/>
        <v>0</v>
      </c>
      <c r="AR99" s="2313">
        <f t="shared" si="177"/>
        <v>0</v>
      </c>
      <c r="AS99" s="2312">
        <f t="shared" si="177"/>
        <v>0</v>
      </c>
      <c r="AT99" s="2312">
        <f>AT96*AT216</f>
        <v>0</v>
      </c>
      <c r="AU99" s="2314">
        <f>AU96*AU216</f>
        <v>0</v>
      </c>
      <c r="AV99" s="2313">
        <f t="shared" ref="AV99:BI99" si="178">AV96*AV216</f>
        <v>0</v>
      </c>
      <c r="AW99" s="2312">
        <f t="shared" si="178"/>
        <v>0</v>
      </c>
      <c r="AX99" s="2312">
        <f t="shared" si="178"/>
        <v>0</v>
      </c>
      <c r="AY99" s="2314">
        <f t="shared" si="178"/>
        <v>0</v>
      </c>
      <c r="AZ99" s="2312"/>
      <c r="BA99" s="2313">
        <f t="shared" si="178"/>
        <v>0</v>
      </c>
      <c r="BB99" s="2312">
        <f t="shared" si="178"/>
        <v>0</v>
      </c>
      <c r="BC99" s="1710">
        <f t="shared" si="178"/>
        <v>0</v>
      </c>
      <c r="BD99" s="2314">
        <f t="shared" si="178"/>
        <v>0</v>
      </c>
      <c r="BE99" s="2312"/>
      <c r="BF99" s="2313">
        <f t="shared" si="178"/>
        <v>0</v>
      </c>
      <c r="BG99" s="2312">
        <f t="shared" si="178"/>
        <v>0</v>
      </c>
      <c r="BH99" s="2312">
        <f t="shared" si="178"/>
        <v>0</v>
      </c>
      <c r="BI99" s="2314">
        <f t="shared" si="178"/>
        <v>0</v>
      </c>
      <c r="BJ99" s="2312"/>
      <c r="BK99" s="2313">
        <f>BK96*BK216</f>
        <v>0</v>
      </c>
      <c r="BL99" s="2312">
        <f>BL96*BL216</f>
        <v>0</v>
      </c>
      <c r="BM99" s="2312">
        <f>BM96*BM216</f>
        <v>0</v>
      </c>
      <c r="BN99" s="2314">
        <f>BN96*BN216</f>
        <v>0</v>
      </c>
      <c r="BO99" s="2312"/>
      <c r="BP99" s="2313">
        <f>BP96*BP216</f>
        <v>0</v>
      </c>
      <c r="BQ99" s="2312">
        <f>BQ96*BQ216</f>
        <v>0</v>
      </c>
      <c r="BR99" s="2312">
        <f>BR96*BR216</f>
        <v>0</v>
      </c>
      <c r="BS99" s="2314">
        <f>BS96*BS216</f>
        <v>0</v>
      </c>
      <c r="BT99" s="2312"/>
      <c r="BU99" s="2313">
        <f>BU96*BU216</f>
        <v>0</v>
      </c>
      <c r="BV99" s="2312">
        <f>BV96*BV216</f>
        <v>0</v>
      </c>
      <c r="BW99" s="2312">
        <f>BW96*BW216</f>
        <v>0</v>
      </c>
      <c r="BX99" s="2314">
        <f>BX96*BX216</f>
        <v>0</v>
      </c>
      <c r="BY99" s="2317"/>
      <c r="BZ99" s="2318">
        <f>H99+I99+J99+K99</f>
        <v>0</v>
      </c>
      <c r="CA99" s="2318">
        <f>L99+M99+N99+O99</f>
        <v>87.025790731981402</v>
      </c>
      <c r="CB99" s="2319">
        <f>P99+Q99+R99+S99</f>
        <v>229.49731786618844</v>
      </c>
      <c r="CC99" s="2319">
        <f>T99+U99+V99+W99</f>
        <v>169.63534622021868</v>
      </c>
      <c r="CD99" s="2316">
        <f>X99+Y99+Z99+AA99</f>
        <v>63.547988078076038</v>
      </c>
      <c r="CE99" s="2316">
        <f>AB99+AC99+AD99+AE99</f>
        <v>0</v>
      </c>
      <c r="CF99" s="2316">
        <f>SUM(AF99:AI99)</f>
        <v>0</v>
      </c>
      <c r="CG99" s="2316">
        <f>SUM(AJ99:AM99)</f>
        <v>0</v>
      </c>
      <c r="CH99" s="2316">
        <f>SUM(AN99:AQ99)</f>
        <v>0</v>
      </c>
      <c r="CI99" s="2316">
        <f>SUM(AO99:AR99)</f>
        <v>0</v>
      </c>
      <c r="CJ99" s="2316">
        <f>SUM(AV99:AY99)</f>
        <v>0</v>
      </c>
      <c r="CK99" s="2316">
        <f>SUM(BA99:BD99)</f>
        <v>0</v>
      </c>
      <c r="CL99" s="2316">
        <f>SUM(BF99:BI99)</f>
        <v>0</v>
      </c>
      <c r="CM99" s="2316">
        <f>SUM(BG99:BK99)</f>
        <v>0</v>
      </c>
      <c r="CN99" s="2315"/>
      <c r="CO99" s="2315"/>
      <c r="CP99" s="2317"/>
      <c r="CQ99" s="2318"/>
      <c r="CR99" s="2318">
        <f>F99+G99+H99+I99</f>
        <v>0</v>
      </c>
      <c r="CS99" s="2318">
        <f>J99+K99+L99+M99</f>
        <v>0</v>
      </c>
      <c r="CT99" s="2319">
        <f>N99+O99+P99+Q99</f>
        <v>148.40646067715014</v>
      </c>
      <c r="CU99" s="2319">
        <f>R99+S99+T99+U99</f>
        <v>284.77542497290682</v>
      </c>
      <c r="CV99" s="2319">
        <f>V99+W99+X99+Y99</f>
        <v>109.58026219036907</v>
      </c>
      <c r="CW99" s="2319">
        <f>Z99+AA99+AB99+AC99</f>
        <v>6.9442950560385066</v>
      </c>
      <c r="CX99" s="2318">
        <f>SUM(AD99:AG99)</f>
        <v>0</v>
      </c>
      <c r="CY99" s="2318">
        <f>AK99+AJ99+AI99+AH99</f>
        <v>0</v>
      </c>
      <c r="CZ99" s="2318">
        <f>AO99+AN99+AM99+AL99</f>
        <v>0</v>
      </c>
      <c r="DA99" s="2318">
        <f>AS99+AR99+AQ99+AP99</f>
        <v>0</v>
      </c>
      <c r="DB99" s="2318">
        <f>SUM(AT99:AW99)</f>
        <v>0</v>
      </c>
      <c r="DC99" s="2318">
        <f>SUM(AX99:BB99)</f>
        <v>0</v>
      </c>
      <c r="DD99" s="2318">
        <f>SUM(BC99:BG99)</f>
        <v>0</v>
      </c>
      <c r="DE99" s="2318">
        <f>SUM(BD99:BH99)</f>
        <v>0</v>
      </c>
      <c r="DF99" s="2312"/>
    </row>
    <row r="100" spans="1:110" s="1715" customFormat="1" hidden="1" outlineLevel="2">
      <c r="A100" s="2344"/>
      <c r="B100" s="2259"/>
      <c r="C100" s="2259"/>
      <c r="D100" s="2259"/>
      <c r="E100" s="2259"/>
      <c r="F100" s="2259"/>
      <c r="G100" s="2259"/>
      <c r="H100" s="2259"/>
      <c r="I100" s="2259"/>
      <c r="J100" s="2259"/>
      <c r="K100" s="2259"/>
      <c r="L100" s="2264"/>
      <c r="M100" s="2239"/>
      <c r="N100" s="2239"/>
      <c r="O100" s="2260"/>
      <c r="P100" s="2287"/>
      <c r="Q100" s="2288"/>
      <c r="R100" s="2288"/>
      <c r="S100" s="2289"/>
      <c r="T100" s="2287"/>
      <c r="U100" s="2288"/>
      <c r="V100" s="2288"/>
      <c r="W100" s="2289"/>
      <c r="X100" s="2287"/>
      <c r="Y100" s="2288"/>
      <c r="Z100" s="2288"/>
      <c r="AA100" s="2289"/>
      <c r="AB100" s="2264"/>
      <c r="AC100" s="2239"/>
      <c r="AD100" s="2239"/>
      <c r="AE100" s="2260"/>
      <c r="AF100" s="2264"/>
      <c r="AG100" s="2239"/>
      <c r="AH100" s="2239"/>
      <c r="AI100" s="2260"/>
      <c r="AJ100" s="2264"/>
      <c r="AK100" s="2239"/>
      <c r="AL100" s="2239"/>
      <c r="AM100" s="2260"/>
      <c r="AN100" s="2264"/>
      <c r="AO100" s="2239"/>
      <c r="AP100" s="2239"/>
      <c r="AQ100" s="2260"/>
      <c r="AR100" s="2264"/>
      <c r="AS100" s="2239"/>
      <c r="AT100" s="2239"/>
      <c r="AU100" s="2260"/>
      <c r="AV100" s="2264"/>
      <c r="AW100" s="2239"/>
      <c r="AX100" s="2239"/>
      <c r="AY100" s="2260"/>
      <c r="AZ100" s="2239"/>
      <c r="BA100" s="2264"/>
      <c r="BB100" s="2239"/>
      <c r="BC100" s="2604"/>
      <c r="BD100" s="2260"/>
      <c r="BE100" s="2239"/>
      <c r="BF100" s="2264"/>
      <c r="BG100" s="2239"/>
      <c r="BH100" s="2239"/>
      <c r="BI100" s="2260"/>
      <c r="BJ100" s="2239"/>
      <c r="BK100" s="2264"/>
      <c r="BL100" s="2239"/>
      <c r="BM100" s="2239"/>
      <c r="BN100" s="2260"/>
      <c r="BO100" s="2239"/>
      <c r="BP100" s="2264"/>
      <c r="BQ100" s="2239"/>
      <c r="BR100" s="2239"/>
      <c r="BS100" s="2260"/>
      <c r="BT100" s="2239"/>
      <c r="BU100" s="2264"/>
      <c r="BV100" s="2239"/>
      <c r="BW100" s="2239"/>
      <c r="BX100" s="2260"/>
      <c r="BY100" s="2244"/>
      <c r="BZ100" s="2259"/>
      <c r="CA100" s="2259"/>
      <c r="CB100" s="2291"/>
      <c r="CC100" s="2291"/>
      <c r="CD100" s="2289"/>
      <c r="CE100" s="2289"/>
      <c r="CF100" s="2289"/>
      <c r="CG100" s="2289"/>
      <c r="CH100" s="2289"/>
      <c r="CI100" s="2289"/>
      <c r="CJ100" s="2289"/>
      <c r="CK100" s="2289"/>
      <c r="CL100" s="2289"/>
      <c r="CM100" s="2289"/>
      <c r="CN100" s="2288"/>
      <c r="CO100" s="2288"/>
      <c r="CP100" s="2244"/>
      <c r="CQ100" s="2259"/>
      <c r="CR100" s="2259"/>
      <c r="CS100" s="2259"/>
      <c r="CT100" s="2291"/>
      <c r="CU100" s="2291"/>
      <c r="CV100" s="2291"/>
      <c r="CW100" s="2291"/>
      <c r="CX100" s="2259"/>
      <c r="CY100" s="2259"/>
      <c r="CZ100" s="2259"/>
      <c r="DA100" s="2259"/>
      <c r="DB100" s="2259"/>
      <c r="DC100" s="2259"/>
      <c r="DD100" s="2259"/>
      <c r="DE100" s="2259"/>
      <c r="DF100" s="2239"/>
    </row>
    <row r="101" spans="1:110" s="1715" customFormat="1" hidden="1" outlineLevel="2">
      <c r="A101" s="2345" t="s">
        <v>291</v>
      </c>
      <c r="B101" s="2259"/>
      <c r="C101" s="2259"/>
      <c r="D101" s="2259"/>
      <c r="E101" s="2259"/>
      <c r="F101" s="2259"/>
      <c r="G101" s="2259"/>
      <c r="H101" s="2259"/>
      <c r="I101" s="2259"/>
      <c r="J101" s="2259"/>
      <c r="K101" s="2259"/>
      <c r="L101" s="2264"/>
      <c r="M101" s="2239"/>
      <c r="N101" s="2239"/>
      <c r="O101" s="2260"/>
      <c r="P101" s="2287"/>
      <c r="Q101" s="2288"/>
      <c r="R101" s="2288"/>
      <c r="S101" s="2289"/>
      <c r="T101" s="2287"/>
      <c r="U101" s="2288"/>
      <c r="V101" s="2288"/>
      <c r="W101" s="2289"/>
      <c r="X101" s="2268"/>
      <c r="Y101" s="2335"/>
      <c r="Z101" s="2335"/>
      <c r="AA101" s="2336"/>
      <c r="AB101" s="2337"/>
      <c r="AC101" s="2338"/>
      <c r="AD101" s="2338"/>
      <c r="AE101" s="2339"/>
      <c r="AF101" s="2337"/>
      <c r="AG101" s="2338"/>
      <c r="AH101" s="2338"/>
      <c r="AI101" s="2339"/>
      <c r="AJ101" s="2337"/>
      <c r="AK101" s="2338"/>
      <c r="AL101" s="2338"/>
      <c r="AM101" s="2339"/>
      <c r="AN101" s="2337"/>
      <c r="AO101" s="2338"/>
      <c r="AP101" s="2338"/>
      <c r="AQ101" s="2339"/>
      <c r="AR101" s="2337"/>
      <c r="AS101" s="2338"/>
      <c r="AT101" s="2338"/>
      <c r="AU101" s="2339"/>
      <c r="AV101" s="2337"/>
      <c r="AW101" s="2338"/>
      <c r="AX101" s="2338"/>
      <c r="AY101" s="2339"/>
      <c r="AZ101" s="2338"/>
      <c r="BA101" s="2337"/>
      <c r="BB101" s="2338"/>
      <c r="BC101" s="2608"/>
      <c r="BD101" s="2339"/>
      <c r="BE101" s="2338"/>
      <c r="BF101" s="2337"/>
      <c r="BG101" s="2338"/>
      <c r="BH101" s="2338"/>
      <c r="BI101" s="2339"/>
      <c r="BJ101" s="2338"/>
      <c r="BK101" s="2337"/>
      <c r="BL101" s="2338"/>
      <c r="BM101" s="2338"/>
      <c r="BN101" s="2339"/>
      <c r="BO101" s="2338"/>
      <c r="BP101" s="2337"/>
      <c r="BQ101" s="2338"/>
      <c r="BR101" s="2338"/>
      <c r="BS101" s="2339"/>
      <c r="BT101" s="2338"/>
      <c r="BU101" s="2337"/>
      <c r="BV101" s="2338"/>
      <c r="BW101" s="2338"/>
      <c r="BX101" s="2339"/>
      <c r="BY101" s="2244"/>
      <c r="BZ101" s="2259"/>
      <c r="CA101" s="2259"/>
      <c r="CB101" s="2291"/>
      <c r="CC101" s="2291"/>
      <c r="CD101" s="2289"/>
      <c r="CE101" s="2289"/>
      <c r="CF101" s="2289"/>
      <c r="CG101" s="2289"/>
      <c r="CH101" s="2289"/>
      <c r="CI101" s="2289"/>
      <c r="CJ101" s="2289"/>
      <c r="CK101" s="2289"/>
      <c r="CL101" s="2289"/>
      <c r="CM101" s="2289"/>
      <c r="CN101" s="2288"/>
      <c r="CO101" s="2288"/>
      <c r="CP101" s="2244"/>
      <c r="CQ101" s="2259"/>
      <c r="CR101" s="2259"/>
      <c r="CS101" s="2259"/>
      <c r="CT101" s="2291"/>
      <c r="CU101" s="2291"/>
      <c r="CV101" s="2291"/>
      <c r="CW101" s="2291"/>
      <c r="CX101" s="2259"/>
      <c r="CY101" s="2259"/>
      <c r="CZ101" s="2259"/>
      <c r="DA101" s="2259"/>
      <c r="DB101" s="2259"/>
      <c r="DC101" s="2259"/>
      <c r="DD101" s="2259"/>
      <c r="DE101" s="2259"/>
      <c r="DF101" s="2239"/>
    </row>
    <row r="102" spans="1:110" s="1715" customFormat="1" hidden="1" outlineLevel="2">
      <c r="A102" s="2340" t="s">
        <v>289</v>
      </c>
      <c r="B102" s="2259"/>
      <c r="C102" s="2259"/>
      <c r="D102" s="2259"/>
      <c r="E102" s="2259"/>
      <c r="F102" s="2261">
        <f t="shared" ref="F102:AK102" si="179">F103*F$11</f>
        <v>14.685860945885487</v>
      </c>
      <c r="G102" s="2261">
        <f t="shared" si="179"/>
        <v>14.594977283845076</v>
      </c>
      <c r="H102" s="2261">
        <f t="shared" si="179"/>
        <v>17.035878559122398</v>
      </c>
      <c r="I102" s="2261">
        <f t="shared" si="179"/>
        <v>19.529746062107566</v>
      </c>
      <c r="J102" s="2261">
        <f t="shared" si="179"/>
        <v>17.847496354425431</v>
      </c>
      <c r="K102" s="2261">
        <f t="shared" si="179"/>
        <v>18.978648819351477</v>
      </c>
      <c r="L102" s="2295">
        <f t="shared" si="179"/>
        <v>18.266926836725432</v>
      </c>
      <c r="M102" s="2294">
        <f t="shared" si="179"/>
        <v>21.007151301506948</v>
      </c>
      <c r="N102" s="2294">
        <f t="shared" si="179"/>
        <v>15.127739899264448</v>
      </c>
      <c r="O102" s="2296">
        <f t="shared" si="179"/>
        <v>12.292862963289474</v>
      </c>
      <c r="P102" s="2297">
        <f t="shared" si="179"/>
        <v>12.030848233747989</v>
      </c>
      <c r="Q102" s="2298">
        <f t="shared" si="179"/>
        <v>11.076420867965375</v>
      </c>
      <c r="R102" s="2298">
        <f t="shared" si="179"/>
        <v>6.7265613044153998</v>
      </c>
      <c r="S102" s="2299">
        <f t="shared" si="179"/>
        <v>7.2609616955159284</v>
      </c>
      <c r="T102" s="2297">
        <f t="shared" si="179"/>
        <v>7.5929562681508127</v>
      </c>
      <c r="U102" s="2298">
        <f t="shared" si="179"/>
        <v>7.2713044046965916</v>
      </c>
      <c r="V102" s="2298">
        <f t="shared" si="179"/>
        <v>4.1740916285724801</v>
      </c>
      <c r="W102" s="2299">
        <f t="shared" si="179"/>
        <v>2.965984794867937</v>
      </c>
      <c r="X102" s="2297">
        <f t="shared" si="179"/>
        <v>0</v>
      </c>
      <c r="Y102" s="2298">
        <f t="shared" si="179"/>
        <v>0</v>
      </c>
      <c r="Z102" s="2298">
        <f t="shared" si="179"/>
        <v>0</v>
      </c>
      <c r="AA102" s="2299">
        <f t="shared" si="179"/>
        <v>0</v>
      </c>
      <c r="AB102" s="2295">
        <f t="shared" si="179"/>
        <v>0</v>
      </c>
      <c r="AC102" s="2294">
        <f t="shared" si="179"/>
        <v>0</v>
      </c>
      <c r="AD102" s="2294">
        <f t="shared" si="179"/>
        <v>0</v>
      </c>
      <c r="AE102" s="2296">
        <f t="shared" si="179"/>
        <v>0</v>
      </c>
      <c r="AF102" s="2295">
        <f t="shared" si="179"/>
        <v>0</v>
      </c>
      <c r="AG102" s="2294">
        <f t="shared" si="179"/>
        <v>0</v>
      </c>
      <c r="AH102" s="2294">
        <f t="shared" si="179"/>
        <v>0</v>
      </c>
      <c r="AI102" s="2296">
        <f t="shared" si="179"/>
        <v>0</v>
      </c>
      <c r="AJ102" s="2295">
        <f t="shared" si="179"/>
        <v>0</v>
      </c>
      <c r="AK102" s="2294">
        <f t="shared" si="179"/>
        <v>0</v>
      </c>
      <c r="AL102" s="2294">
        <f t="shared" ref="AL102:BX102" si="180">AL103*AL$11</f>
        <v>0</v>
      </c>
      <c r="AM102" s="2296">
        <f t="shared" si="180"/>
        <v>0</v>
      </c>
      <c r="AN102" s="2295">
        <f t="shared" si="180"/>
        <v>0</v>
      </c>
      <c r="AO102" s="2294">
        <f t="shared" si="180"/>
        <v>0</v>
      </c>
      <c r="AP102" s="2294">
        <f t="shared" si="180"/>
        <v>0</v>
      </c>
      <c r="AQ102" s="2296">
        <f t="shared" si="180"/>
        <v>0</v>
      </c>
      <c r="AR102" s="2295">
        <f t="shared" si="180"/>
        <v>0</v>
      </c>
      <c r="AS102" s="2294">
        <f t="shared" si="180"/>
        <v>0</v>
      </c>
      <c r="AT102" s="2294">
        <f t="shared" si="180"/>
        <v>0</v>
      </c>
      <c r="AU102" s="2296">
        <f t="shared" si="180"/>
        <v>0</v>
      </c>
      <c r="AV102" s="2295">
        <f t="shared" si="180"/>
        <v>0</v>
      </c>
      <c r="AW102" s="2294">
        <f t="shared" si="180"/>
        <v>0</v>
      </c>
      <c r="AX102" s="2294">
        <f t="shared" si="180"/>
        <v>0</v>
      </c>
      <c r="AY102" s="2296">
        <f t="shared" si="180"/>
        <v>0</v>
      </c>
      <c r="AZ102" s="2294"/>
      <c r="BA102" s="2295">
        <f t="shared" si="180"/>
        <v>0</v>
      </c>
      <c r="BB102" s="2294">
        <f t="shared" si="180"/>
        <v>0</v>
      </c>
      <c r="BC102" s="2598">
        <f t="shared" si="180"/>
        <v>0</v>
      </c>
      <c r="BD102" s="2296">
        <f t="shared" si="180"/>
        <v>0</v>
      </c>
      <c r="BE102" s="2294"/>
      <c r="BF102" s="2295">
        <f t="shared" si="180"/>
        <v>0</v>
      </c>
      <c r="BG102" s="2294">
        <f t="shared" si="180"/>
        <v>0</v>
      </c>
      <c r="BH102" s="2294">
        <f t="shared" si="180"/>
        <v>0</v>
      </c>
      <c r="BI102" s="2296">
        <f t="shared" si="180"/>
        <v>0</v>
      </c>
      <c r="BJ102" s="2294"/>
      <c r="BK102" s="2295">
        <f t="shared" si="180"/>
        <v>0</v>
      </c>
      <c r="BL102" s="2294">
        <f t="shared" si="180"/>
        <v>0</v>
      </c>
      <c r="BM102" s="2294">
        <f t="shared" si="180"/>
        <v>0</v>
      </c>
      <c r="BN102" s="2296">
        <f t="shared" si="180"/>
        <v>0</v>
      </c>
      <c r="BO102" s="2294"/>
      <c r="BP102" s="2295">
        <f t="shared" si="180"/>
        <v>0</v>
      </c>
      <c r="BQ102" s="2294">
        <f t="shared" si="180"/>
        <v>0</v>
      </c>
      <c r="BR102" s="2294">
        <f t="shared" si="180"/>
        <v>0</v>
      </c>
      <c r="BS102" s="2296">
        <f t="shared" si="180"/>
        <v>0</v>
      </c>
      <c r="BT102" s="2294"/>
      <c r="BU102" s="2295">
        <f t="shared" si="180"/>
        <v>0</v>
      </c>
      <c r="BV102" s="2294">
        <f t="shared" si="180"/>
        <v>0</v>
      </c>
      <c r="BW102" s="2294">
        <f t="shared" si="180"/>
        <v>0</v>
      </c>
      <c r="BX102" s="2296">
        <f t="shared" si="180"/>
        <v>0</v>
      </c>
      <c r="BY102" s="2244"/>
      <c r="BZ102" s="2261">
        <f>H102+I102+J102+K102</f>
        <v>73.391769795006866</v>
      </c>
      <c r="CA102" s="2261">
        <f>L102+M102+N102+O102</f>
        <v>66.694681000786304</v>
      </c>
      <c r="CB102" s="2300">
        <f>P102+Q102+R102+S102</f>
        <v>37.094792101644693</v>
      </c>
      <c r="CC102" s="2300">
        <f>T102+U102+V102+W102</f>
        <v>22.00433709628782</v>
      </c>
      <c r="CD102" s="2299">
        <f>X102+Y102+Z102+AA102</f>
        <v>0</v>
      </c>
      <c r="CE102" s="2299">
        <f>AB102+AC102+AD102+AE102</f>
        <v>0</v>
      </c>
      <c r="CF102" s="2299">
        <f>SUM(AF102:AI102)</f>
        <v>0</v>
      </c>
      <c r="CG102" s="2299">
        <f>SUM(AJ102:AM102)</f>
        <v>0</v>
      </c>
      <c r="CH102" s="2299">
        <f>SUM(AN102:AQ102)</f>
        <v>0</v>
      </c>
      <c r="CI102" s="2299">
        <f>SUM(AO102:AR102)</f>
        <v>0</v>
      </c>
      <c r="CJ102" s="2299">
        <f>SUM(AV102:AY102)</f>
        <v>0</v>
      </c>
      <c r="CK102" s="2299">
        <f>SUM(BA102:BD102)</f>
        <v>0</v>
      </c>
      <c r="CL102" s="2299">
        <f>SUM(BF102:BI102)</f>
        <v>0</v>
      </c>
      <c r="CM102" s="2299">
        <f>SUM(BG102:BK102)</f>
        <v>0</v>
      </c>
      <c r="CN102" s="2298"/>
      <c r="CO102" s="2298"/>
      <c r="CP102" s="2301"/>
      <c r="CQ102" s="2261"/>
      <c r="CR102" s="2261">
        <f>F102+G102+H102+I102</f>
        <v>65.846462850960521</v>
      </c>
      <c r="CS102" s="2261">
        <f>J102+K102+L102+M102</f>
        <v>76.100223312009291</v>
      </c>
      <c r="CT102" s="2300">
        <f>N102+O102+P102+Q102</f>
        <v>50.527871964267284</v>
      </c>
      <c r="CU102" s="2300">
        <f>R102+S102+T102+U102</f>
        <v>28.851783672778737</v>
      </c>
      <c r="CV102" s="2300">
        <f>V102+W102+X102+Y102</f>
        <v>7.1400764234404175</v>
      </c>
      <c r="CW102" s="2300">
        <f>Z102+AA102+AB102+AC102</f>
        <v>0</v>
      </c>
      <c r="CX102" s="2302">
        <f>AD102+AE102+AF102+AG102</f>
        <v>0</v>
      </c>
      <c r="CY102" s="2302">
        <f>AK102+AJ102+AI102+AH102</f>
        <v>0</v>
      </c>
      <c r="CZ102" s="2302">
        <f>AO102+AN102+AM102+AL102</f>
        <v>0</v>
      </c>
      <c r="DA102" s="2302">
        <f>AS102+AR102+AQ102+AP102</f>
        <v>0</v>
      </c>
      <c r="DB102" s="2302">
        <f>SUM(AT102:AW102)</f>
        <v>0</v>
      </c>
      <c r="DC102" s="2302">
        <f>SUM(AX102:BB102)</f>
        <v>0</v>
      </c>
      <c r="DD102" s="2300">
        <f>SUM(BC102:BG102)</f>
        <v>0</v>
      </c>
      <c r="DE102" s="2300">
        <f>SUM(BD102:BH102)</f>
        <v>0</v>
      </c>
      <c r="DF102" s="2298"/>
    </row>
    <row r="103" spans="1:110" s="1715" customFormat="1" hidden="1" outlineLevel="3">
      <c r="A103" s="2341" t="s">
        <v>15</v>
      </c>
      <c r="B103" s="2259"/>
      <c r="C103" s="2259"/>
      <c r="D103" s="2259"/>
      <c r="E103" s="2259"/>
      <c r="F103" s="2307">
        <v>0.46</v>
      </c>
      <c r="G103" s="2307">
        <v>0.46</v>
      </c>
      <c r="H103" s="2307">
        <v>0.46</v>
      </c>
      <c r="I103" s="2307">
        <v>0.46</v>
      </c>
      <c r="J103" s="2307">
        <v>0.48</v>
      </c>
      <c r="K103" s="2307">
        <v>0.5</v>
      </c>
      <c r="L103" s="2304">
        <v>0.44</v>
      </c>
      <c r="M103" s="2273">
        <v>0.45</v>
      </c>
      <c r="N103" s="2273">
        <v>0.33</v>
      </c>
      <c r="O103" s="2305">
        <v>0.28999999999999998</v>
      </c>
      <c r="P103" s="2265">
        <v>0.24</v>
      </c>
      <c r="Q103" s="2266">
        <v>0.2</v>
      </c>
      <c r="R103" s="2266">
        <v>0.14000000000000001</v>
      </c>
      <c r="S103" s="2267">
        <v>0.14000000000000001</v>
      </c>
      <c r="T103" s="2265">
        <v>0.14000000000000001</v>
      </c>
      <c r="U103" s="2266">
        <v>0.13</v>
      </c>
      <c r="V103" s="2266">
        <v>0.09</v>
      </c>
      <c r="W103" s="2267">
        <f>0.29-W109</f>
        <v>5.999999999999997E-2</v>
      </c>
      <c r="X103" s="2265">
        <v>0</v>
      </c>
      <c r="Y103" s="2266">
        <v>0</v>
      </c>
      <c r="Z103" s="2266">
        <v>0</v>
      </c>
      <c r="AA103" s="2267">
        <v>0</v>
      </c>
      <c r="AB103" s="2304">
        <v>0</v>
      </c>
      <c r="AC103" s="2273">
        <v>0</v>
      </c>
      <c r="AD103" s="2273">
        <v>0</v>
      </c>
      <c r="AE103" s="2305">
        <v>0</v>
      </c>
      <c r="AF103" s="2304">
        <v>0</v>
      </c>
      <c r="AG103" s="2273">
        <v>0</v>
      </c>
      <c r="AH103" s="2273">
        <v>0</v>
      </c>
      <c r="AI103" s="2305">
        <v>0</v>
      </c>
      <c r="AJ103" s="2304">
        <v>0</v>
      </c>
      <c r="AK103" s="2273">
        <v>0</v>
      </c>
      <c r="AL103" s="2273">
        <v>0</v>
      </c>
      <c r="AM103" s="2305">
        <v>0</v>
      </c>
      <c r="AN103" s="2304">
        <v>0</v>
      </c>
      <c r="AO103" s="2273">
        <v>0</v>
      </c>
      <c r="AP103" s="2273">
        <v>0</v>
      </c>
      <c r="AQ103" s="2305">
        <v>0</v>
      </c>
      <c r="AR103" s="2304">
        <v>0</v>
      </c>
      <c r="AS103" s="2273">
        <v>0</v>
      </c>
      <c r="AT103" s="2273">
        <v>0</v>
      </c>
      <c r="AU103" s="2305">
        <v>0</v>
      </c>
      <c r="AV103" s="2304">
        <v>0</v>
      </c>
      <c r="AW103" s="2273">
        <v>0</v>
      </c>
      <c r="AX103" s="2273">
        <v>0</v>
      </c>
      <c r="AY103" s="2305">
        <v>0</v>
      </c>
      <c r="AZ103" s="2273"/>
      <c r="BA103" s="2304">
        <v>0</v>
      </c>
      <c r="BB103" s="2273">
        <v>0</v>
      </c>
      <c r="BC103" s="188">
        <v>0</v>
      </c>
      <c r="BD103" s="2305">
        <v>0</v>
      </c>
      <c r="BE103" s="2273"/>
      <c r="BF103" s="2304">
        <v>0</v>
      </c>
      <c r="BG103" s="2273">
        <v>0</v>
      </c>
      <c r="BH103" s="2273">
        <v>0</v>
      </c>
      <c r="BI103" s="2305">
        <v>0</v>
      </c>
      <c r="BJ103" s="2273"/>
      <c r="BK103" s="2304">
        <v>0</v>
      </c>
      <c r="BL103" s="2273">
        <v>0</v>
      </c>
      <c r="BM103" s="2273">
        <v>0</v>
      </c>
      <c r="BN103" s="2305">
        <v>0</v>
      </c>
      <c r="BO103" s="2273"/>
      <c r="BP103" s="2304">
        <v>0</v>
      </c>
      <c r="BQ103" s="2273">
        <v>0</v>
      </c>
      <c r="BR103" s="2273">
        <v>0</v>
      </c>
      <c r="BS103" s="2305">
        <v>0</v>
      </c>
      <c r="BT103" s="2273"/>
      <c r="BU103" s="2304">
        <v>0</v>
      </c>
      <c r="BV103" s="2273">
        <v>0</v>
      </c>
      <c r="BW103" s="2273">
        <v>0</v>
      </c>
      <c r="BX103" s="2305">
        <v>0</v>
      </c>
      <c r="BY103" s="2306"/>
      <c r="BZ103" s="2307">
        <f t="shared" ref="BZ103:CI103" si="181">BZ102/BZ$167</f>
        <v>0.47462805770395977</v>
      </c>
      <c r="CA103" s="2307">
        <f t="shared" si="181"/>
        <v>0.3780253566989808</v>
      </c>
      <c r="CB103" s="2308">
        <f t="shared" si="181"/>
        <v>0.18057890236624916</v>
      </c>
      <c r="CC103" s="2308">
        <f t="shared" si="181"/>
        <v>0.10682734048445726</v>
      </c>
      <c r="CD103" s="2267">
        <f t="shared" si="181"/>
        <v>0</v>
      </c>
      <c r="CE103" s="2267">
        <f t="shared" si="181"/>
        <v>0</v>
      </c>
      <c r="CF103" s="2267">
        <f t="shared" si="181"/>
        <v>0</v>
      </c>
      <c r="CG103" s="2267">
        <f t="shared" si="181"/>
        <v>0</v>
      </c>
      <c r="CH103" s="2267">
        <f t="shared" si="181"/>
        <v>0</v>
      </c>
      <c r="CI103" s="2267">
        <f t="shared" si="181"/>
        <v>0</v>
      </c>
      <c r="CJ103" s="2267">
        <f>CJ102/CJ$167</f>
        <v>0</v>
      </c>
      <c r="CK103" s="2267">
        <f>CK102/CK$167</f>
        <v>0</v>
      </c>
      <c r="CL103" s="2267">
        <f>CL102/CL$167</f>
        <v>0</v>
      </c>
      <c r="CM103" s="2267">
        <f>CM102/CM$167</f>
        <v>0</v>
      </c>
      <c r="CN103" s="2266"/>
      <c r="CO103" s="2266"/>
      <c r="CP103" s="2306"/>
      <c r="CQ103" s="2307"/>
      <c r="CR103" s="2307">
        <f t="shared" ref="CR103:DA103" si="182">CR102/CR$167</f>
        <v>0.46205468111501152</v>
      </c>
      <c r="CS103" s="2307">
        <f t="shared" si="182"/>
        <v>0.46590675677162513</v>
      </c>
      <c r="CT103" s="2308">
        <f t="shared" si="182"/>
        <v>0.26080051558733713</v>
      </c>
      <c r="CU103" s="2308">
        <f t="shared" si="182"/>
        <v>0.13733752509175426</v>
      </c>
      <c r="CV103" s="2308">
        <f t="shared" si="182"/>
        <v>3.1730521247695237E-2</v>
      </c>
      <c r="CW103" s="2308">
        <f t="shared" si="182"/>
        <v>0</v>
      </c>
      <c r="CX103" s="2308">
        <f t="shared" si="182"/>
        <v>0</v>
      </c>
      <c r="CY103" s="2308">
        <f t="shared" si="182"/>
        <v>0</v>
      </c>
      <c r="CZ103" s="2308">
        <f t="shared" si="182"/>
        <v>0</v>
      </c>
      <c r="DA103" s="2308">
        <f t="shared" si="182"/>
        <v>0</v>
      </c>
      <c r="DB103" s="2308">
        <f>DB102/DB$167</f>
        <v>0</v>
      </c>
      <c r="DC103" s="2308">
        <f>DC102/DC$167</f>
        <v>0</v>
      </c>
      <c r="DD103" s="2308">
        <f>DD102/DD$167</f>
        <v>0</v>
      </c>
      <c r="DE103" s="2308">
        <f>DE102/DE$167</f>
        <v>0</v>
      </c>
      <c r="DF103" s="2266"/>
    </row>
    <row r="104" spans="1:110" s="1715" customFormat="1" hidden="1" outlineLevel="3">
      <c r="A104" s="2342" t="s">
        <v>121</v>
      </c>
      <c r="B104" s="2259"/>
      <c r="C104" s="2259"/>
      <c r="D104" s="2259"/>
      <c r="E104" s="2259"/>
      <c r="F104" s="2259"/>
      <c r="G104" s="2259"/>
      <c r="H104" s="2259"/>
      <c r="I104" s="2259"/>
      <c r="J104" s="2246">
        <f t="shared" ref="J104:AS104" si="183">IF(OR(J102=0,F102=0),"NM",J102/F102-1)</f>
        <v>0.21528430782437269</v>
      </c>
      <c r="K104" s="2246">
        <f t="shared" si="183"/>
        <v>0.30035480359113742</v>
      </c>
      <c r="L104" s="2251">
        <f t="shared" si="183"/>
        <v>7.2262095161733209E-2</v>
      </c>
      <c r="M104" s="2252">
        <f t="shared" si="183"/>
        <v>7.56489733507546E-2</v>
      </c>
      <c r="N104" s="2252">
        <f t="shared" si="183"/>
        <v>-0.15238868248803972</v>
      </c>
      <c r="O104" s="2253">
        <f t="shared" si="183"/>
        <v>-0.35227933872957684</v>
      </c>
      <c r="P104" s="2241">
        <f t="shared" si="183"/>
        <v>-0.34138630207024667</v>
      </c>
      <c r="Q104" s="2240">
        <f t="shared" si="183"/>
        <v>-0.4727309424781071</v>
      </c>
      <c r="R104" s="2240">
        <f t="shared" si="183"/>
        <v>-0.55534922273865484</v>
      </c>
      <c r="S104" s="2242">
        <f t="shared" si="183"/>
        <v>-0.4093351795102943</v>
      </c>
      <c r="T104" s="2241">
        <f t="shared" si="183"/>
        <v>-0.36887606587442023</v>
      </c>
      <c r="U104" s="2271">
        <f t="shared" si="183"/>
        <v>-0.34353303369626698</v>
      </c>
      <c r="V104" s="2271">
        <f t="shared" si="183"/>
        <v>-0.37946129683935925</v>
      </c>
      <c r="W104" s="2309">
        <f t="shared" si="183"/>
        <v>-0.59151625924433571</v>
      </c>
      <c r="X104" s="2310" t="str">
        <f t="shared" si="183"/>
        <v>NM</v>
      </c>
      <c r="Y104" s="2271" t="str">
        <f t="shared" si="183"/>
        <v>NM</v>
      </c>
      <c r="Z104" s="2271" t="str">
        <f t="shared" si="183"/>
        <v>NM</v>
      </c>
      <c r="AA104" s="2309" t="str">
        <f t="shared" si="183"/>
        <v>NM</v>
      </c>
      <c r="AB104" s="2256" t="str">
        <f t="shared" si="183"/>
        <v>NM</v>
      </c>
      <c r="AC104" s="2250" t="str">
        <f t="shared" si="183"/>
        <v>NM</v>
      </c>
      <c r="AD104" s="2250" t="str">
        <f t="shared" si="183"/>
        <v>NM</v>
      </c>
      <c r="AE104" s="2257" t="str">
        <f t="shared" si="183"/>
        <v>NM</v>
      </c>
      <c r="AF104" s="2256" t="str">
        <f t="shared" si="183"/>
        <v>NM</v>
      </c>
      <c r="AG104" s="2250" t="str">
        <f t="shared" si="183"/>
        <v>NM</v>
      </c>
      <c r="AH104" s="2250" t="str">
        <f t="shared" si="183"/>
        <v>NM</v>
      </c>
      <c r="AI104" s="2257" t="str">
        <f t="shared" si="183"/>
        <v>NM</v>
      </c>
      <c r="AJ104" s="2256" t="str">
        <f t="shared" si="183"/>
        <v>NM</v>
      </c>
      <c r="AK104" s="2250" t="str">
        <f t="shared" si="183"/>
        <v>NM</v>
      </c>
      <c r="AL104" s="2250" t="str">
        <f t="shared" si="183"/>
        <v>NM</v>
      </c>
      <c r="AM104" s="2257" t="str">
        <f t="shared" si="183"/>
        <v>NM</v>
      </c>
      <c r="AN104" s="2256" t="str">
        <f t="shared" si="183"/>
        <v>NM</v>
      </c>
      <c r="AO104" s="2250" t="str">
        <f t="shared" si="183"/>
        <v>NM</v>
      </c>
      <c r="AP104" s="2250" t="str">
        <f t="shared" si="183"/>
        <v>NM</v>
      </c>
      <c r="AQ104" s="2257" t="str">
        <f t="shared" si="183"/>
        <v>NM</v>
      </c>
      <c r="AR104" s="2256" t="str">
        <f t="shared" si="183"/>
        <v>NM</v>
      </c>
      <c r="AS104" s="2250" t="str">
        <f t="shared" si="183"/>
        <v>NM</v>
      </c>
      <c r="AT104" s="2250" t="str">
        <f>IF(OR(AT102=0,AP102=0),"NM",AT102/AP102-1)</f>
        <v>NM</v>
      </c>
      <c r="AU104" s="2257" t="str">
        <f>IF(OR(AU102=0,AQ102=0),"NM",AU102/AQ102-1)</f>
        <v>NM</v>
      </c>
      <c r="AV104" s="2256" t="str">
        <f t="shared" ref="AV104:AY104" si="184">IF(OR(AV102=0,AR102=0),"NM",AV102/AR102-1)</f>
        <v>NM</v>
      </c>
      <c r="AW104" s="2250" t="str">
        <f t="shared" si="184"/>
        <v>NM</v>
      </c>
      <c r="AX104" s="2250" t="str">
        <f t="shared" si="184"/>
        <v>NM</v>
      </c>
      <c r="AY104" s="2257" t="str">
        <f t="shared" si="184"/>
        <v>NM</v>
      </c>
      <c r="AZ104" s="2250"/>
      <c r="BA104" s="2256" t="str">
        <f>IF(OR(BA102=0,AV102=0),"NM",BA102/AV102-1)</f>
        <v>NM</v>
      </c>
      <c r="BB104" s="2250" t="str">
        <f>IF(OR(BB102=0,AW102=0),"NM",BB102/AW102-1)</f>
        <v>NM</v>
      </c>
      <c r="BC104" s="2603" t="str">
        <f>IF(OR(BC102=0,AX102=0),"NM",BC102/AX102-1)</f>
        <v>NM</v>
      </c>
      <c r="BD104" s="2257" t="str">
        <f>IF(OR(BD102=0,AY102=0),"NM",BD102/AY102-1)</f>
        <v>NM</v>
      </c>
      <c r="BE104" s="2250"/>
      <c r="BF104" s="2256" t="str">
        <f>IF(OR(BF102=0,BA102=0),"NM",BF102/BA102-1)</f>
        <v>NM</v>
      </c>
      <c r="BG104" s="2250" t="str">
        <f>IF(OR(BG102=0,BB102=0),"NM",BG102/BB102-1)</f>
        <v>NM</v>
      </c>
      <c r="BH104" s="2250" t="str">
        <f>IF(OR(BH102=0,BC102=0),"NM",BH102/BC102-1)</f>
        <v>NM</v>
      </c>
      <c r="BI104" s="2257" t="str">
        <f>IF(OR(BI102=0,BD102=0),"NM",BI102/BD102-1)</f>
        <v>NM</v>
      </c>
      <c r="BJ104" s="2250"/>
      <c r="BK104" s="2256" t="str">
        <f>IF(OR(BK102=0,BF102=0),"NM",BK102/BF102-1)</f>
        <v>NM</v>
      </c>
      <c r="BL104" s="2250" t="str">
        <f>IF(OR(BL102=0,BG102=0),"NM",BL102/BG102-1)</f>
        <v>NM</v>
      </c>
      <c r="BM104" s="2250" t="str">
        <f>IF(OR(BM102=0,BH102=0),"NM",BM102/BH102-1)</f>
        <v>NM</v>
      </c>
      <c r="BN104" s="2257" t="str">
        <f>IF(OR(BN102=0,BI102=0),"NM",BN102/BI102-1)</f>
        <v>NM</v>
      </c>
      <c r="BO104" s="2250"/>
      <c r="BP104" s="2256" t="str">
        <f>IF(OR(BP102=0,BK102=0),"NM",BP102/BK102-1)</f>
        <v>NM</v>
      </c>
      <c r="BQ104" s="2250" t="str">
        <f>IF(OR(BQ102=0,BL102=0),"NM",BQ102/BL102-1)</f>
        <v>NM</v>
      </c>
      <c r="BR104" s="2250" t="str">
        <f>IF(OR(BR102=0,BM102=0),"NM",BR102/BM102-1)</f>
        <v>NM</v>
      </c>
      <c r="BS104" s="2257" t="str">
        <f>IF(OR(BS102=0,BN102=0),"NM",BS102/BN102-1)</f>
        <v>NM</v>
      </c>
      <c r="BT104" s="2250"/>
      <c r="BU104" s="2256" t="str">
        <f>IF(OR(BU102=0,BP102=0),"NM",BU102/BP102-1)</f>
        <v>NM</v>
      </c>
      <c r="BV104" s="2250" t="str">
        <f>IF(OR(BV102=0,BQ102=0),"NM",BV102/BQ102-1)</f>
        <v>NM</v>
      </c>
      <c r="BW104" s="2250" t="str">
        <f>IF(OR(BW102=0,BR102=0),"NM",BW102/BR102-1)</f>
        <v>NM</v>
      </c>
      <c r="BX104" s="2257" t="str">
        <f>IF(OR(BX102=0,BS102=0),"NM",BX102/BS102-1)</f>
        <v>NM</v>
      </c>
      <c r="BY104" s="2244"/>
      <c r="BZ104" s="2246"/>
      <c r="CA104" s="2246">
        <f t="shared" ref="CA104:CM104" si="185">IF(OR(BZ102=0,CA102=0),"NM",CA102/BZ102-1)</f>
        <v>-9.1251223576246154E-2</v>
      </c>
      <c r="CB104" s="2247">
        <f t="shared" si="185"/>
        <v>-0.44381183709076655</v>
      </c>
      <c r="CC104" s="2247">
        <f t="shared" si="185"/>
        <v>-0.40680791427559448</v>
      </c>
      <c r="CD104" s="2242" t="str">
        <f t="shared" si="185"/>
        <v>NM</v>
      </c>
      <c r="CE104" s="2242" t="str">
        <f t="shared" si="185"/>
        <v>NM</v>
      </c>
      <c r="CF104" s="2242" t="str">
        <f t="shared" si="185"/>
        <v>NM</v>
      </c>
      <c r="CG104" s="2242" t="str">
        <f t="shared" si="185"/>
        <v>NM</v>
      </c>
      <c r="CH104" s="2242" t="str">
        <f t="shared" si="185"/>
        <v>NM</v>
      </c>
      <c r="CI104" s="2242" t="str">
        <f t="shared" si="185"/>
        <v>NM</v>
      </c>
      <c r="CJ104" s="2242" t="str">
        <f t="shared" si="185"/>
        <v>NM</v>
      </c>
      <c r="CK104" s="2242" t="str">
        <f t="shared" si="185"/>
        <v>NM</v>
      </c>
      <c r="CL104" s="2242" t="str">
        <f t="shared" si="185"/>
        <v>NM</v>
      </c>
      <c r="CM104" s="2242" t="str">
        <f t="shared" si="185"/>
        <v>NM</v>
      </c>
      <c r="CN104" s="2240"/>
      <c r="CO104" s="2240"/>
      <c r="CP104" s="2248"/>
      <c r="CQ104" s="2246"/>
      <c r="CR104" s="2246"/>
      <c r="CS104" s="2246">
        <f t="shared" ref="CS104:DA104" si="186">IF(OR(CR102=0,CS102=0),"NM",CS102/CR102-1)</f>
        <v>0.15572226687798763</v>
      </c>
      <c r="CT104" s="2247">
        <f t="shared" si="186"/>
        <v>-0.33603516829242286</v>
      </c>
      <c r="CU104" s="2247">
        <f t="shared" si="186"/>
        <v>-0.42899270143056134</v>
      </c>
      <c r="CV104" s="2247">
        <f t="shared" si="186"/>
        <v>-0.75252564956055101</v>
      </c>
      <c r="CW104" s="2247" t="str">
        <f t="shared" si="186"/>
        <v>NM</v>
      </c>
      <c r="CX104" s="2247" t="str">
        <f t="shared" si="186"/>
        <v>NM</v>
      </c>
      <c r="CY104" s="2247" t="str">
        <f t="shared" si="186"/>
        <v>NM</v>
      </c>
      <c r="CZ104" s="2247" t="str">
        <f t="shared" si="186"/>
        <v>NM</v>
      </c>
      <c r="DA104" s="2247" t="str">
        <f t="shared" si="186"/>
        <v>NM</v>
      </c>
      <c r="DB104" s="2247" t="str">
        <f>IF(OR(DA102=0,DB102=0),"NM",DB102/DA102-1)</f>
        <v>NM</v>
      </c>
      <c r="DC104" s="2247" t="str">
        <f>IF(OR(DB102=0,DC102=0),"NM",DC102/DB102-1)</f>
        <v>NM</v>
      </c>
      <c r="DD104" s="2247" t="str">
        <f>IF(OR(DB102=0,DD102=0),"NM",DD102/DB102-1)</f>
        <v>NM</v>
      </c>
      <c r="DE104" s="2247" t="str">
        <f>IF(OR(DC102=0,DE102=0),"NM",DE102/DC102-1)</f>
        <v>NM</v>
      </c>
      <c r="DF104" s="2240"/>
    </row>
    <row r="105" spans="1:110" s="1715" customFormat="1" hidden="1" outlineLevel="2">
      <c r="A105" s="2343" t="s">
        <v>290</v>
      </c>
      <c r="B105" s="2259"/>
      <c r="C105" s="2259"/>
      <c r="D105" s="2259"/>
      <c r="E105" s="2259"/>
      <c r="F105" s="2333">
        <f t="shared" ref="F105:AS105" si="187">F102*F213</f>
        <v>1395.1567898591213</v>
      </c>
      <c r="G105" s="2333">
        <f t="shared" si="187"/>
        <v>1386.5228419652822</v>
      </c>
      <c r="H105" s="2333">
        <f t="shared" si="187"/>
        <v>1710.2901112549698</v>
      </c>
      <c r="I105" s="2333">
        <f t="shared" si="187"/>
        <v>1949.3287932158826</v>
      </c>
      <c r="J105" s="2333">
        <f t="shared" si="187"/>
        <v>1754.0358789662123</v>
      </c>
      <c r="K105" s="2333">
        <f t="shared" si="187"/>
        <v>1903.6173103922931</v>
      </c>
      <c r="L105" s="2346">
        <f t="shared" si="187"/>
        <v>1742.6648202236063</v>
      </c>
      <c r="M105" s="2347">
        <f t="shared" si="187"/>
        <v>1974.6722223416532</v>
      </c>
      <c r="N105" s="2347">
        <f t="shared" si="187"/>
        <v>1452.263030329387</v>
      </c>
      <c r="O105" s="2348">
        <f t="shared" si="187"/>
        <v>1230.2881646604555</v>
      </c>
      <c r="P105" s="2349">
        <f t="shared" si="187"/>
        <v>1136.9093832820329</v>
      </c>
      <c r="Q105" s="2350">
        <f t="shared" si="187"/>
        <v>1016.7569521770386</v>
      </c>
      <c r="R105" s="2350">
        <f t="shared" si="187"/>
        <v>636.68866902192644</v>
      </c>
      <c r="S105" s="2351">
        <f t="shared" si="187"/>
        <v>708.24451434623131</v>
      </c>
      <c r="T105" s="2349">
        <f t="shared" si="187"/>
        <v>688.82160321223955</v>
      </c>
      <c r="U105" s="2350">
        <f t="shared" si="187"/>
        <v>635.56639432742929</v>
      </c>
      <c r="V105" s="2350">
        <f t="shared" si="187"/>
        <v>376.51341664447654</v>
      </c>
      <c r="W105" s="2351">
        <f t="shared" si="187"/>
        <v>257.56611958633164</v>
      </c>
      <c r="X105" s="2349">
        <f t="shared" si="187"/>
        <v>0</v>
      </c>
      <c r="Y105" s="2350">
        <f t="shared" si="187"/>
        <v>0</v>
      </c>
      <c r="Z105" s="2350">
        <f t="shared" si="187"/>
        <v>0</v>
      </c>
      <c r="AA105" s="2351">
        <f t="shared" si="187"/>
        <v>0</v>
      </c>
      <c r="AB105" s="2346">
        <f t="shared" si="187"/>
        <v>0</v>
      </c>
      <c r="AC105" s="2347">
        <f t="shared" si="187"/>
        <v>0</v>
      </c>
      <c r="AD105" s="2347">
        <f t="shared" si="187"/>
        <v>0</v>
      </c>
      <c r="AE105" s="2348">
        <f t="shared" si="187"/>
        <v>0</v>
      </c>
      <c r="AF105" s="2346">
        <f t="shared" si="187"/>
        <v>0</v>
      </c>
      <c r="AG105" s="2347">
        <f t="shared" si="187"/>
        <v>0</v>
      </c>
      <c r="AH105" s="2347">
        <f t="shared" si="187"/>
        <v>0</v>
      </c>
      <c r="AI105" s="2348">
        <f t="shared" si="187"/>
        <v>0</v>
      </c>
      <c r="AJ105" s="2346">
        <f t="shared" si="187"/>
        <v>0</v>
      </c>
      <c r="AK105" s="2347">
        <f t="shared" si="187"/>
        <v>0</v>
      </c>
      <c r="AL105" s="2347">
        <f t="shared" si="187"/>
        <v>0</v>
      </c>
      <c r="AM105" s="2348">
        <f t="shared" si="187"/>
        <v>0</v>
      </c>
      <c r="AN105" s="2346">
        <f t="shared" si="187"/>
        <v>0</v>
      </c>
      <c r="AO105" s="2347">
        <f t="shared" si="187"/>
        <v>0</v>
      </c>
      <c r="AP105" s="2347">
        <f t="shared" si="187"/>
        <v>0</v>
      </c>
      <c r="AQ105" s="2348">
        <f t="shared" si="187"/>
        <v>0</v>
      </c>
      <c r="AR105" s="2346">
        <f t="shared" si="187"/>
        <v>0</v>
      </c>
      <c r="AS105" s="2347">
        <f t="shared" si="187"/>
        <v>0</v>
      </c>
      <c r="AT105" s="2347">
        <f>AT102*AT213</f>
        <v>0</v>
      </c>
      <c r="AU105" s="2348">
        <f>AU102*AU213</f>
        <v>0</v>
      </c>
      <c r="AV105" s="2346">
        <f t="shared" ref="AV105:BI105" si="188">AV102*AV213</f>
        <v>0</v>
      </c>
      <c r="AW105" s="2347">
        <f t="shared" si="188"/>
        <v>0</v>
      </c>
      <c r="AX105" s="2347">
        <f t="shared" si="188"/>
        <v>0</v>
      </c>
      <c r="AY105" s="2348">
        <f t="shared" si="188"/>
        <v>0</v>
      </c>
      <c r="AZ105" s="2347"/>
      <c r="BA105" s="2346">
        <f t="shared" si="188"/>
        <v>0</v>
      </c>
      <c r="BB105" s="2347">
        <f t="shared" si="188"/>
        <v>0</v>
      </c>
      <c r="BC105" s="2609">
        <f t="shared" si="188"/>
        <v>0</v>
      </c>
      <c r="BD105" s="2348">
        <f t="shared" si="188"/>
        <v>0</v>
      </c>
      <c r="BE105" s="2347"/>
      <c r="BF105" s="2346">
        <f t="shared" si="188"/>
        <v>0</v>
      </c>
      <c r="BG105" s="2347">
        <f t="shared" si="188"/>
        <v>0</v>
      </c>
      <c r="BH105" s="2347">
        <f t="shared" si="188"/>
        <v>0</v>
      </c>
      <c r="BI105" s="2348">
        <f t="shared" si="188"/>
        <v>0</v>
      </c>
      <c r="BJ105" s="2347"/>
      <c r="BK105" s="2346">
        <f>BK102*BK213</f>
        <v>0</v>
      </c>
      <c r="BL105" s="2347">
        <f>BL102*BL213</f>
        <v>0</v>
      </c>
      <c r="BM105" s="2347">
        <f>BM102*BM213</f>
        <v>0</v>
      </c>
      <c r="BN105" s="2348">
        <f>BN102*BN213</f>
        <v>0</v>
      </c>
      <c r="BO105" s="2347"/>
      <c r="BP105" s="2346">
        <f>BP102*BP213</f>
        <v>0</v>
      </c>
      <c r="BQ105" s="2347">
        <f>BQ102*BQ213</f>
        <v>0</v>
      </c>
      <c r="BR105" s="2347">
        <f>BR102*BR213</f>
        <v>0</v>
      </c>
      <c r="BS105" s="2348">
        <f>BS102*BS213</f>
        <v>0</v>
      </c>
      <c r="BT105" s="2347"/>
      <c r="BU105" s="2346">
        <f>BU102*BU213</f>
        <v>0</v>
      </c>
      <c r="BV105" s="2347">
        <f>BV102*BV213</f>
        <v>0</v>
      </c>
      <c r="BW105" s="2347">
        <f>BW102*BW213</f>
        <v>0</v>
      </c>
      <c r="BX105" s="2348">
        <f>BX102*BX213</f>
        <v>0</v>
      </c>
      <c r="BY105" s="2244"/>
      <c r="BZ105" s="2333">
        <f>H105+I105+J105+K105</f>
        <v>7317.2720938293578</v>
      </c>
      <c r="CA105" s="2333">
        <f>L105+M105+N105+O105</f>
        <v>6399.888237555102</v>
      </c>
      <c r="CB105" s="2319">
        <f>P105+Q105+R105+S105</f>
        <v>3498.5995188272295</v>
      </c>
      <c r="CC105" s="2319">
        <f>T105+U105+V105+W105</f>
        <v>1958.4675337704771</v>
      </c>
      <c r="CD105" s="2316">
        <f>X105+Y105+Z105+AA105</f>
        <v>0</v>
      </c>
      <c r="CE105" s="2316">
        <f>AB105+AC105+AD105+AE105</f>
        <v>0</v>
      </c>
      <c r="CF105" s="2316">
        <f>SUM(AF105:AI105)</f>
        <v>0</v>
      </c>
      <c r="CG105" s="2316">
        <f>SUM(AJ105:AM105)</f>
        <v>0</v>
      </c>
      <c r="CH105" s="2316">
        <f>SUM(AN105:AQ105)</f>
        <v>0</v>
      </c>
      <c r="CI105" s="2316">
        <f>SUM(AO105:AR105)</f>
        <v>0</v>
      </c>
      <c r="CJ105" s="2316">
        <f>SUM(AV105:AY105)</f>
        <v>0</v>
      </c>
      <c r="CK105" s="2316">
        <f>SUM(BA105:BD105)</f>
        <v>0</v>
      </c>
      <c r="CL105" s="2316">
        <f>SUM(BF105:BI105)</f>
        <v>0</v>
      </c>
      <c r="CM105" s="2316">
        <f>SUM(BG105:BK105)</f>
        <v>0</v>
      </c>
      <c r="CN105" s="2315"/>
      <c r="CO105" s="2315"/>
      <c r="CP105" s="2332"/>
      <c r="CQ105" s="2333"/>
      <c r="CR105" s="2333">
        <f>F105+G105+H105+I105</f>
        <v>6441.2985362952559</v>
      </c>
      <c r="CS105" s="2333">
        <f>J105+K105+L105+M105</f>
        <v>7374.9902319237644</v>
      </c>
      <c r="CT105" s="2334">
        <f>N105+O105+P105+Q105</f>
        <v>4836.2175304489137</v>
      </c>
      <c r="CU105" s="2334">
        <f>R105+S105+T105+U105</f>
        <v>2669.3211809078266</v>
      </c>
      <c r="CV105" s="2334">
        <f>V105+W105+X105+Y105</f>
        <v>634.07953623080812</v>
      </c>
      <c r="CW105" s="2334">
        <f>Z105+AA105+AB105+AC105</f>
        <v>0</v>
      </c>
      <c r="CX105" s="2318">
        <f>SUM(AD105:AG105)</f>
        <v>0</v>
      </c>
      <c r="CY105" s="2318">
        <f>AK105+AJ105+AI105+AH105</f>
        <v>0</v>
      </c>
      <c r="CZ105" s="2318">
        <f>AO105+AN105+AM105+AL105</f>
        <v>0</v>
      </c>
      <c r="DA105" s="2318">
        <f>AS105+AR105+AQ105+AP105</f>
        <v>0</v>
      </c>
      <c r="DB105" s="2318">
        <f>SUM(AT105:AW105)</f>
        <v>0</v>
      </c>
      <c r="DC105" s="2318">
        <f>SUM(AX105:BB105)</f>
        <v>0</v>
      </c>
      <c r="DD105" s="2318">
        <f>SUM(BC105:BG105)</f>
        <v>0</v>
      </c>
      <c r="DE105" s="2318">
        <f>SUM(BD105:BH105)</f>
        <v>0</v>
      </c>
      <c r="DF105" s="2312"/>
    </row>
    <row r="106" spans="1:110" s="1715" customFormat="1" hidden="1" outlineLevel="2">
      <c r="A106" s="2344"/>
      <c r="B106" s="2259"/>
      <c r="C106" s="2259"/>
      <c r="D106" s="2259"/>
      <c r="E106" s="2259"/>
      <c r="F106" s="2259"/>
      <c r="G106" s="2259"/>
      <c r="H106" s="2259"/>
      <c r="I106" s="2259"/>
      <c r="J106" s="2259"/>
      <c r="K106" s="2259"/>
      <c r="L106" s="2264"/>
      <c r="M106" s="2239"/>
      <c r="N106" s="2239"/>
      <c r="O106" s="2260"/>
      <c r="P106" s="2287"/>
      <c r="Q106" s="2288"/>
      <c r="R106" s="2288"/>
      <c r="S106" s="2289"/>
      <c r="T106" s="2287"/>
      <c r="U106" s="2288"/>
      <c r="V106" s="2288"/>
      <c r="W106" s="2289"/>
      <c r="X106" s="2287"/>
      <c r="Y106" s="2288"/>
      <c r="Z106" s="2288"/>
      <c r="AA106" s="2289"/>
      <c r="AB106" s="2264"/>
      <c r="AC106" s="2239"/>
      <c r="AD106" s="2239"/>
      <c r="AE106" s="2260"/>
      <c r="AF106" s="2264"/>
      <c r="AG106" s="2239"/>
      <c r="AH106" s="2239"/>
      <c r="AI106" s="2260"/>
      <c r="AJ106" s="2264"/>
      <c r="AK106" s="2239"/>
      <c r="AL106" s="2239"/>
      <c r="AM106" s="2260"/>
      <c r="AN106" s="2264"/>
      <c r="AO106" s="2239"/>
      <c r="AP106" s="2239"/>
      <c r="AQ106" s="2260"/>
      <c r="AR106" s="2264"/>
      <c r="AS106" s="2239"/>
      <c r="AT106" s="2239"/>
      <c r="AU106" s="2260"/>
      <c r="AV106" s="2264"/>
      <c r="AW106" s="2239"/>
      <c r="AX106" s="2239"/>
      <c r="AY106" s="2260"/>
      <c r="AZ106" s="2239"/>
      <c r="BA106" s="2264"/>
      <c r="BB106" s="2239"/>
      <c r="BC106" s="2604"/>
      <c r="BD106" s="2260"/>
      <c r="BE106" s="2239"/>
      <c r="BF106" s="2264"/>
      <c r="BG106" s="2239"/>
      <c r="BH106" s="2239"/>
      <c r="BI106" s="2260"/>
      <c r="BJ106" s="2239"/>
      <c r="BK106" s="2264"/>
      <c r="BL106" s="2239"/>
      <c r="BM106" s="2239"/>
      <c r="BN106" s="2260"/>
      <c r="BO106" s="2239"/>
      <c r="BP106" s="2264"/>
      <c r="BQ106" s="2239"/>
      <c r="BR106" s="2239"/>
      <c r="BS106" s="2260"/>
      <c r="BT106" s="2239"/>
      <c r="BU106" s="2264"/>
      <c r="BV106" s="2239"/>
      <c r="BW106" s="2239"/>
      <c r="BX106" s="2260"/>
      <c r="BY106" s="2244"/>
      <c r="BZ106" s="2259"/>
      <c r="CA106" s="2259"/>
      <c r="CB106" s="2291"/>
      <c r="CC106" s="2291"/>
      <c r="CD106" s="2289"/>
      <c r="CE106" s="2289"/>
      <c r="CF106" s="2289"/>
      <c r="CG106" s="2289"/>
      <c r="CH106" s="2289"/>
      <c r="CI106" s="2289"/>
      <c r="CJ106" s="2289"/>
      <c r="CK106" s="2289"/>
      <c r="CL106" s="2289"/>
      <c r="CM106" s="2289"/>
      <c r="CN106" s="2288"/>
      <c r="CO106" s="2288"/>
      <c r="CP106" s="2244"/>
      <c r="CQ106" s="2259"/>
      <c r="CR106" s="2259"/>
      <c r="CS106" s="2259"/>
      <c r="CT106" s="2291"/>
      <c r="CU106" s="2291"/>
      <c r="CV106" s="2291"/>
      <c r="CW106" s="2291"/>
      <c r="CX106" s="2259"/>
      <c r="CY106" s="2259"/>
      <c r="CZ106" s="2259"/>
      <c r="DA106" s="2259"/>
      <c r="DB106" s="2259"/>
      <c r="DC106" s="2259"/>
      <c r="DD106" s="2259"/>
      <c r="DE106" s="2259"/>
      <c r="DF106" s="2239"/>
    </row>
    <row r="107" spans="1:110" s="1715" customFormat="1" hidden="1" outlineLevel="2">
      <c r="A107" s="2345" t="s">
        <v>295</v>
      </c>
      <c r="B107" s="2259"/>
      <c r="C107" s="2259"/>
      <c r="D107" s="2259"/>
      <c r="E107" s="2259"/>
      <c r="F107" s="2259"/>
      <c r="G107" s="2259"/>
      <c r="H107" s="2259"/>
      <c r="I107" s="2259"/>
      <c r="J107" s="2259"/>
      <c r="K107" s="2259"/>
      <c r="L107" s="2264"/>
      <c r="M107" s="2239"/>
      <c r="N107" s="2239"/>
      <c r="O107" s="2260"/>
      <c r="P107" s="2287"/>
      <c r="Q107" s="2288"/>
      <c r="R107" s="2288"/>
      <c r="S107" s="2289"/>
      <c r="T107" s="2287"/>
      <c r="U107" s="2288"/>
      <c r="V107" s="2288"/>
      <c r="W107" s="2289"/>
      <c r="X107" s="2268"/>
      <c r="Y107" s="2335"/>
      <c r="Z107" s="2335"/>
      <c r="AA107" s="2336"/>
      <c r="AB107" s="2337"/>
      <c r="AC107" s="2338"/>
      <c r="AD107" s="2338"/>
      <c r="AE107" s="2339"/>
      <c r="AF107" s="2337"/>
      <c r="AG107" s="2338"/>
      <c r="AH107" s="2338"/>
      <c r="AI107" s="2339"/>
      <c r="AJ107" s="2337"/>
      <c r="AK107" s="2338"/>
      <c r="AL107" s="2338"/>
      <c r="AM107" s="2339"/>
      <c r="AN107" s="2337"/>
      <c r="AO107" s="2338"/>
      <c r="AP107" s="2338"/>
      <c r="AQ107" s="2339"/>
      <c r="AR107" s="2337"/>
      <c r="AS107" s="2338"/>
      <c r="AT107" s="2338"/>
      <c r="AU107" s="2339"/>
      <c r="AV107" s="2337"/>
      <c r="AW107" s="2338"/>
      <c r="AX107" s="2338"/>
      <c r="AY107" s="2339"/>
      <c r="AZ107" s="2338"/>
      <c r="BA107" s="2337"/>
      <c r="BB107" s="2338"/>
      <c r="BC107" s="2608"/>
      <c r="BD107" s="2339"/>
      <c r="BE107" s="2338"/>
      <c r="BF107" s="2337"/>
      <c r="BG107" s="2338"/>
      <c r="BH107" s="2338"/>
      <c r="BI107" s="2339"/>
      <c r="BJ107" s="2338"/>
      <c r="BK107" s="2337"/>
      <c r="BL107" s="2338"/>
      <c r="BM107" s="2338"/>
      <c r="BN107" s="2339"/>
      <c r="BO107" s="2338"/>
      <c r="BP107" s="2337"/>
      <c r="BQ107" s="2338"/>
      <c r="BR107" s="2338"/>
      <c r="BS107" s="2339"/>
      <c r="BT107" s="2338"/>
      <c r="BU107" s="2337"/>
      <c r="BV107" s="2338"/>
      <c r="BW107" s="2338"/>
      <c r="BX107" s="2339"/>
      <c r="BY107" s="2244"/>
      <c r="BZ107" s="2259"/>
      <c r="CA107" s="2259"/>
      <c r="CB107" s="2291"/>
      <c r="CC107" s="2291"/>
      <c r="CD107" s="2289"/>
      <c r="CE107" s="2289"/>
      <c r="CF107" s="2289"/>
      <c r="CG107" s="2289"/>
      <c r="CH107" s="2289"/>
      <c r="CI107" s="2289"/>
      <c r="CJ107" s="2289"/>
      <c r="CK107" s="2289"/>
      <c r="CL107" s="2289"/>
      <c r="CM107" s="2289"/>
      <c r="CN107" s="2288"/>
      <c r="CO107" s="2288"/>
      <c r="CP107" s="2244"/>
      <c r="CQ107" s="2259"/>
      <c r="CR107" s="2259"/>
      <c r="CS107" s="2259"/>
      <c r="CT107" s="2291"/>
      <c r="CU107" s="2291"/>
      <c r="CV107" s="2291"/>
      <c r="CW107" s="2291"/>
      <c r="CX107" s="2259"/>
      <c r="CY107" s="2259"/>
      <c r="CZ107" s="2259"/>
      <c r="DA107" s="2259"/>
      <c r="DB107" s="2259"/>
      <c r="DC107" s="2259"/>
      <c r="DD107" s="2259"/>
      <c r="DE107" s="2259"/>
      <c r="DF107" s="2239"/>
    </row>
    <row r="108" spans="1:110" s="1715" customFormat="1" hidden="1" outlineLevel="2">
      <c r="A108" s="2340" t="s">
        <v>289</v>
      </c>
      <c r="B108" s="2259"/>
      <c r="C108" s="2259"/>
      <c r="D108" s="2259"/>
      <c r="E108" s="2259"/>
      <c r="F108" s="2261">
        <f t="shared" ref="F108:AK108" si="189">F109*F$11</f>
        <v>0</v>
      </c>
      <c r="G108" s="2261">
        <f t="shared" si="189"/>
        <v>0</v>
      </c>
      <c r="H108" s="2261">
        <f t="shared" si="189"/>
        <v>0</v>
      </c>
      <c r="I108" s="2261">
        <f t="shared" si="189"/>
        <v>0</v>
      </c>
      <c r="J108" s="2261">
        <f t="shared" si="189"/>
        <v>0</v>
      </c>
      <c r="K108" s="2261">
        <f t="shared" si="189"/>
        <v>0</v>
      </c>
      <c r="L108" s="2295">
        <f t="shared" si="189"/>
        <v>0</v>
      </c>
      <c r="M108" s="2294">
        <f t="shared" si="189"/>
        <v>0</v>
      </c>
      <c r="N108" s="2294">
        <f t="shared" si="189"/>
        <v>5.9135710515306474</v>
      </c>
      <c r="O108" s="2296">
        <f t="shared" si="189"/>
        <v>7.2061610474455549</v>
      </c>
      <c r="P108" s="2297">
        <f t="shared" si="189"/>
        <v>8.0205654891653282</v>
      </c>
      <c r="Q108" s="2298">
        <f t="shared" si="189"/>
        <v>9.4149577377705675</v>
      </c>
      <c r="R108" s="2298">
        <f t="shared" si="189"/>
        <v>12.492185279628599</v>
      </c>
      <c r="S108" s="2299">
        <f t="shared" si="189"/>
        <v>12.447362906598734</v>
      </c>
      <c r="T108" s="2297">
        <f t="shared" si="189"/>
        <v>11.931788421379846</v>
      </c>
      <c r="U108" s="2298">
        <f t="shared" si="189"/>
        <v>10.627291053018096</v>
      </c>
      <c r="V108" s="2298">
        <f t="shared" si="189"/>
        <v>10.667123050796338</v>
      </c>
      <c r="W108" s="2298">
        <f t="shared" si="189"/>
        <v>11.369608380327099</v>
      </c>
      <c r="X108" s="2297">
        <f t="shared" si="189"/>
        <v>16.08333846979632</v>
      </c>
      <c r="Y108" s="2298">
        <f t="shared" si="189"/>
        <v>11.839233987659169</v>
      </c>
      <c r="Z108" s="2298">
        <f t="shared" si="189"/>
        <v>7.8786183908509608</v>
      </c>
      <c r="AA108" s="2299">
        <f t="shared" si="189"/>
        <v>5.5923672568353755</v>
      </c>
      <c r="AB108" s="2295">
        <f t="shared" si="189"/>
        <v>3.7352363866118066</v>
      </c>
      <c r="AC108" s="2294">
        <f t="shared" si="189"/>
        <v>1.3295606686325867</v>
      </c>
      <c r="AD108" s="2294">
        <f t="shared" si="189"/>
        <v>1.7800992656354202</v>
      </c>
      <c r="AE108" s="2296">
        <f t="shared" si="189"/>
        <v>0.31160552788188778</v>
      </c>
      <c r="AF108" s="2295">
        <f t="shared" si="189"/>
        <v>0.66886657032499997</v>
      </c>
      <c r="AG108" s="2294">
        <f t="shared" si="189"/>
        <v>0.64444547905374872</v>
      </c>
      <c r="AH108" s="2294">
        <f t="shared" si="189"/>
        <v>0.92766455516853785</v>
      </c>
      <c r="AI108" s="2296">
        <f t="shared" si="189"/>
        <v>-0.62812571675952156</v>
      </c>
      <c r="AJ108" s="2295">
        <f t="shared" si="189"/>
        <v>0</v>
      </c>
      <c r="AK108" s="2294">
        <f t="shared" si="189"/>
        <v>0</v>
      </c>
      <c r="AL108" s="2294">
        <f t="shared" ref="AL108:BX108" si="190">AL109*AL$11</f>
        <v>0</v>
      </c>
      <c r="AM108" s="2296">
        <f t="shared" si="190"/>
        <v>0</v>
      </c>
      <c r="AN108" s="2295">
        <f t="shared" si="190"/>
        <v>0</v>
      </c>
      <c r="AO108" s="2294">
        <f t="shared" si="190"/>
        <v>0</v>
      </c>
      <c r="AP108" s="2294">
        <f t="shared" si="190"/>
        <v>0</v>
      </c>
      <c r="AQ108" s="2296">
        <f t="shared" si="190"/>
        <v>0</v>
      </c>
      <c r="AR108" s="2295">
        <f t="shared" si="190"/>
        <v>0</v>
      </c>
      <c r="AS108" s="2294">
        <f t="shared" si="190"/>
        <v>0</v>
      </c>
      <c r="AT108" s="2294">
        <f t="shared" si="190"/>
        <v>0</v>
      </c>
      <c r="AU108" s="2296">
        <f t="shared" si="190"/>
        <v>0</v>
      </c>
      <c r="AV108" s="2295">
        <f t="shared" si="190"/>
        <v>0</v>
      </c>
      <c r="AW108" s="2294">
        <f t="shared" si="190"/>
        <v>0</v>
      </c>
      <c r="AX108" s="2294">
        <f t="shared" si="190"/>
        <v>0</v>
      </c>
      <c r="AY108" s="2296">
        <f t="shared" si="190"/>
        <v>0</v>
      </c>
      <c r="AZ108" s="2294"/>
      <c r="BA108" s="2295">
        <f t="shared" si="190"/>
        <v>0</v>
      </c>
      <c r="BB108" s="2294">
        <f t="shared" si="190"/>
        <v>0</v>
      </c>
      <c r="BC108" s="2598">
        <f t="shared" si="190"/>
        <v>0</v>
      </c>
      <c r="BD108" s="2296">
        <f t="shared" si="190"/>
        <v>0</v>
      </c>
      <c r="BE108" s="2294"/>
      <c r="BF108" s="2295">
        <f t="shared" si="190"/>
        <v>0</v>
      </c>
      <c r="BG108" s="2294">
        <f t="shared" si="190"/>
        <v>0</v>
      </c>
      <c r="BH108" s="2294">
        <f t="shared" si="190"/>
        <v>0</v>
      </c>
      <c r="BI108" s="2296">
        <f t="shared" si="190"/>
        <v>0</v>
      </c>
      <c r="BJ108" s="2294"/>
      <c r="BK108" s="2295">
        <f t="shared" si="190"/>
        <v>0</v>
      </c>
      <c r="BL108" s="2294">
        <f t="shared" si="190"/>
        <v>0</v>
      </c>
      <c r="BM108" s="2294">
        <f t="shared" si="190"/>
        <v>0</v>
      </c>
      <c r="BN108" s="2296">
        <f t="shared" si="190"/>
        <v>0</v>
      </c>
      <c r="BO108" s="2294"/>
      <c r="BP108" s="2295">
        <f t="shared" si="190"/>
        <v>0</v>
      </c>
      <c r="BQ108" s="2294">
        <f t="shared" si="190"/>
        <v>0</v>
      </c>
      <c r="BR108" s="2294">
        <f t="shared" si="190"/>
        <v>0</v>
      </c>
      <c r="BS108" s="2296">
        <f t="shared" si="190"/>
        <v>0</v>
      </c>
      <c r="BT108" s="2294"/>
      <c r="BU108" s="2295">
        <f t="shared" si="190"/>
        <v>0</v>
      </c>
      <c r="BV108" s="2294">
        <f t="shared" si="190"/>
        <v>0</v>
      </c>
      <c r="BW108" s="2294">
        <f t="shared" si="190"/>
        <v>0</v>
      </c>
      <c r="BX108" s="2296">
        <f t="shared" si="190"/>
        <v>0</v>
      </c>
      <c r="BY108" s="2244"/>
      <c r="BZ108" s="2261">
        <f>H108+I108+J108+K108</f>
        <v>0</v>
      </c>
      <c r="CA108" s="2261">
        <f>L108+M108+N108+O108</f>
        <v>13.119732098976202</v>
      </c>
      <c r="CB108" s="2300">
        <f>P108+Q108+R108+S108</f>
        <v>42.375071413163226</v>
      </c>
      <c r="CC108" s="2300">
        <f>T108+U108+V108+W108</f>
        <v>44.595810905521382</v>
      </c>
      <c r="CD108" s="2299">
        <f>X108+Y108+Z108+AA108</f>
        <v>41.393558105141821</v>
      </c>
      <c r="CE108" s="2299">
        <f>AB108+AC108+AD108+AE108</f>
        <v>7.1565018487617014</v>
      </c>
      <c r="CF108" s="2299">
        <f>SUM(AF108:AI108)</f>
        <v>1.6128508877877652</v>
      </c>
      <c r="CG108" s="2299">
        <f>SUM(AJ108:AM108)</f>
        <v>0</v>
      </c>
      <c r="CH108" s="2299">
        <f>SUM(AN108:AQ108)</f>
        <v>0</v>
      </c>
      <c r="CI108" s="2299">
        <f>SUM(AO108:AR108)</f>
        <v>0</v>
      </c>
      <c r="CJ108" s="2299">
        <f>SUM(AV108:AY108)</f>
        <v>0</v>
      </c>
      <c r="CK108" s="2299">
        <f>SUM(BA108:BD108)</f>
        <v>0</v>
      </c>
      <c r="CL108" s="2299">
        <f>SUM(BF108:BI108)</f>
        <v>0</v>
      </c>
      <c r="CM108" s="2299">
        <f>SUM(BG108:BK108)</f>
        <v>0</v>
      </c>
      <c r="CN108" s="2298"/>
      <c r="CO108" s="2298"/>
      <c r="CP108" s="2301"/>
      <c r="CQ108" s="2261"/>
      <c r="CR108" s="2261">
        <f>F108+G108+H108+I108</f>
        <v>0</v>
      </c>
      <c r="CS108" s="2261">
        <f>J108+K108+L108+M108</f>
        <v>0</v>
      </c>
      <c r="CT108" s="2300">
        <f>N108+O108+P108+Q108</f>
        <v>30.555255325912096</v>
      </c>
      <c r="CU108" s="2300">
        <f>R108+S108+T108+U108</f>
        <v>47.498627660625274</v>
      </c>
      <c r="CV108" s="2300">
        <f>V108+W108+X108+Y108</f>
        <v>49.95930388857893</v>
      </c>
      <c r="CW108" s="2300">
        <f>Z108+AA108+AB108+AC108</f>
        <v>18.535782702930732</v>
      </c>
      <c r="CX108" s="2302">
        <f>AD108+AE108+AF108+AG108</f>
        <v>3.4050168428960568</v>
      </c>
      <c r="CY108" s="2302">
        <f>SUM(AH108:AK108)</f>
        <v>0.29953883840901629</v>
      </c>
      <c r="CZ108" s="2302">
        <f>SUM(AL108:AO108)</f>
        <v>0</v>
      </c>
      <c r="DA108" s="2302">
        <f>SUM(AP108:AS108)</f>
        <v>0</v>
      </c>
      <c r="DB108" s="2302">
        <f>SUM(AT108:AW108)</f>
        <v>0</v>
      </c>
      <c r="DC108" s="2302">
        <f>SUM(AX108:BB108)</f>
        <v>0</v>
      </c>
      <c r="DD108" s="2300">
        <f>SUM(BC108:BG108)</f>
        <v>0</v>
      </c>
      <c r="DE108" s="2300">
        <f>SUM(BD108:BH108)</f>
        <v>0</v>
      </c>
      <c r="DF108" s="2298"/>
    </row>
    <row r="109" spans="1:110" s="1715" customFormat="1" hidden="1" outlineLevel="3">
      <c r="A109" s="2341" t="s">
        <v>15</v>
      </c>
      <c r="B109" s="2259"/>
      <c r="C109" s="2259"/>
      <c r="D109" s="2259"/>
      <c r="E109" s="2259"/>
      <c r="F109" s="2307">
        <v>0</v>
      </c>
      <c r="G109" s="2307">
        <v>0</v>
      </c>
      <c r="H109" s="2307">
        <v>0</v>
      </c>
      <c r="I109" s="2307">
        <v>0</v>
      </c>
      <c r="J109" s="2307">
        <v>0</v>
      </c>
      <c r="K109" s="2307">
        <v>0</v>
      </c>
      <c r="L109" s="2304">
        <v>0</v>
      </c>
      <c r="M109" s="2273">
        <v>0</v>
      </c>
      <c r="N109" s="2273">
        <v>0.129</v>
      </c>
      <c r="O109" s="2305">
        <v>0.17</v>
      </c>
      <c r="P109" s="2265">
        <f>0.4-P103</f>
        <v>0.16000000000000003</v>
      </c>
      <c r="Q109" s="2266">
        <f>0.37-Q103</f>
        <v>0.16999999999999998</v>
      </c>
      <c r="R109" s="2266">
        <f>0.4-R103</f>
        <v>0.26</v>
      </c>
      <c r="S109" s="2267">
        <f>0.38-S103</f>
        <v>0.24</v>
      </c>
      <c r="T109" s="2265">
        <f>0.36-T103</f>
        <v>0.21999999999999997</v>
      </c>
      <c r="U109" s="2266">
        <f>0.32-U103</f>
        <v>0.19</v>
      </c>
      <c r="V109" s="2266">
        <f>0.32-V103</f>
        <v>0.23</v>
      </c>
      <c r="W109" s="2267">
        <v>0.23</v>
      </c>
      <c r="X109" s="2265">
        <v>0.27</v>
      </c>
      <c r="Y109" s="2266">
        <f>0.27-Y157</f>
        <v>0.17</v>
      </c>
      <c r="Z109" s="2266">
        <f>0.28-Z157</f>
        <v>0.13000000000000003</v>
      </c>
      <c r="AA109" s="2266">
        <f>0.29-AA157</f>
        <v>8.9999999999999969E-2</v>
      </c>
      <c r="AB109" s="2304">
        <f>31%-AB157</f>
        <v>0.06</v>
      </c>
      <c r="AC109" s="2273">
        <f>30%-AC157</f>
        <v>1.9999999999999962E-2</v>
      </c>
      <c r="AD109" s="2273">
        <f>32%-AD157</f>
        <v>3.0000000000000027E-2</v>
      </c>
      <c r="AE109" s="2305">
        <f>30%-AE157</f>
        <v>5.0000000000000044E-3</v>
      </c>
      <c r="AF109" s="2304">
        <f>32%-AF157</f>
        <v>1.0000000000000009E-2</v>
      </c>
      <c r="AG109" s="2273">
        <f>32%-AG157</f>
        <v>1.0000000000000009E-2</v>
      </c>
      <c r="AH109" s="2273">
        <f>33%-AH157</f>
        <v>1.5000000000000013E-2</v>
      </c>
      <c r="AI109" s="2273">
        <f>30%-AI157</f>
        <v>-1.0000000000000009E-2</v>
      </c>
      <c r="AJ109" s="2304">
        <v>0</v>
      </c>
      <c r="AK109" s="2273">
        <v>0</v>
      </c>
      <c r="AL109" s="2273">
        <v>0</v>
      </c>
      <c r="AM109" s="2305">
        <v>0</v>
      </c>
      <c r="AN109" s="2304">
        <v>0</v>
      </c>
      <c r="AO109" s="2273">
        <v>0</v>
      </c>
      <c r="AP109" s="2273">
        <v>0</v>
      </c>
      <c r="AQ109" s="2305">
        <v>0</v>
      </c>
      <c r="AR109" s="2304">
        <v>0</v>
      </c>
      <c r="AS109" s="2273">
        <v>0</v>
      </c>
      <c r="AT109" s="2273">
        <v>0</v>
      </c>
      <c r="AU109" s="2305">
        <v>0</v>
      </c>
      <c r="AV109" s="2304">
        <v>0</v>
      </c>
      <c r="AW109" s="2273">
        <v>0</v>
      </c>
      <c r="AX109" s="2273">
        <v>0</v>
      </c>
      <c r="AY109" s="2305">
        <v>0</v>
      </c>
      <c r="AZ109" s="2273"/>
      <c r="BA109" s="2304">
        <v>0</v>
      </c>
      <c r="BB109" s="2273">
        <v>0</v>
      </c>
      <c r="BC109" s="188">
        <v>0</v>
      </c>
      <c r="BD109" s="2305">
        <v>0</v>
      </c>
      <c r="BE109" s="2273"/>
      <c r="BF109" s="2304">
        <v>0</v>
      </c>
      <c r="BG109" s="2273">
        <v>0</v>
      </c>
      <c r="BH109" s="2273">
        <v>0</v>
      </c>
      <c r="BI109" s="2305">
        <v>0</v>
      </c>
      <c r="BJ109" s="2273"/>
      <c r="BK109" s="2304">
        <v>0</v>
      </c>
      <c r="BL109" s="2273">
        <v>0</v>
      </c>
      <c r="BM109" s="2273">
        <v>0</v>
      </c>
      <c r="BN109" s="2305">
        <v>0</v>
      </c>
      <c r="BO109" s="2273"/>
      <c r="BP109" s="2304">
        <v>0</v>
      </c>
      <c r="BQ109" s="2273">
        <v>0</v>
      </c>
      <c r="BR109" s="2273">
        <v>0</v>
      </c>
      <c r="BS109" s="2305">
        <v>0</v>
      </c>
      <c r="BT109" s="2273"/>
      <c r="BU109" s="2304">
        <v>0</v>
      </c>
      <c r="BV109" s="2273">
        <v>0</v>
      </c>
      <c r="BW109" s="2273">
        <v>0</v>
      </c>
      <c r="BX109" s="2305">
        <v>0</v>
      </c>
      <c r="BY109" s="2306"/>
      <c r="BZ109" s="2307">
        <f t="shared" ref="BZ109:CI109" si="191">BZ108/BZ$167</f>
        <v>0</v>
      </c>
      <c r="CA109" s="2307">
        <f t="shared" si="191"/>
        <v>7.4362622807238182E-2</v>
      </c>
      <c r="CB109" s="2308">
        <f t="shared" si="191"/>
        <v>0.20628350908431603</v>
      </c>
      <c r="CC109" s="2308">
        <f t="shared" si="191"/>
        <v>0.21650513055393569</v>
      </c>
      <c r="CD109" s="2267">
        <f t="shared" si="191"/>
        <v>0.16429102492069647</v>
      </c>
      <c r="CE109" s="2267">
        <f t="shared" si="191"/>
        <v>2.8581452229588411E-2</v>
      </c>
      <c r="CF109" s="2267">
        <f t="shared" si="191"/>
        <v>6.3004921399063855E-3</v>
      </c>
      <c r="CG109" s="2267">
        <f t="shared" si="191"/>
        <v>0</v>
      </c>
      <c r="CH109" s="2267">
        <f t="shared" si="191"/>
        <v>0</v>
      </c>
      <c r="CI109" s="2267">
        <f t="shared" si="191"/>
        <v>0</v>
      </c>
      <c r="CJ109" s="2267">
        <f>CJ108/CJ$167</f>
        <v>0</v>
      </c>
      <c r="CK109" s="2267">
        <f>CK108/CK$167</f>
        <v>0</v>
      </c>
      <c r="CL109" s="2267">
        <f>CL108/CL$167</f>
        <v>0</v>
      </c>
      <c r="CM109" s="2267">
        <f>CM108/CM$167</f>
        <v>0</v>
      </c>
      <c r="CN109" s="2266"/>
      <c r="CO109" s="2266"/>
      <c r="CP109" s="2306"/>
      <c r="CQ109" s="2307"/>
      <c r="CR109" s="2307">
        <f t="shared" ref="CR109:CX109" si="192">CR108/CR$167</f>
        <v>0</v>
      </c>
      <c r="CS109" s="2307">
        <f t="shared" si="192"/>
        <v>0</v>
      </c>
      <c r="CT109" s="2308">
        <f t="shared" si="192"/>
        <v>0.15771149730065942</v>
      </c>
      <c r="CU109" s="2308">
        <f t="shared" si="192"/>
        <v>0.22609846386446125</v>
      </c>
      <c r="CV109" s="2308">
        <f t="shared" si="192"/>
        <v>0.22201929777003396</v>
      </c>
      <c r="CW109" s="2308">
        <f t="shared" si="192"/>
        <v>7.3708503014179028E-2</v>
      </c>
      <c r="CX109" s="2308">
        <f t="shared" si="192"/>
        <v>1.3459152293126192E-2</v>
      </c>
      <c r="CY109" s="2308">
        <f>SUM(AH108:AK108)/SUM(AH$11:AK$11)</f>
        <v>1.1707494995445802E-3</v>
      </c>
      <c r="CZ109" s="2308">
        <f>SUM(AL108:AO108)/SUM(AL$11:AO$11)</f>
        <v>0</v>
      </c>
      <c r="DA109" s="2308">
        <f>SUM(AP108:AS108)/SUM(AP$11:AS$11)</f>
        <v>0</v>
      </c>
      <c r="DB109" s="2308">
        <f>DB108/DB$167</f>
        <v>0</v>
      </c>
      <c r="DC109" s="2308">
        <f>DC108/DC$167</f>
        <v>0</v>
      </c>
      <c r="DD109" s="2308">
        <f>DD108/DD$167</f>
        <v>0</v>
      </c>
      <c r="DE109" s="2308">
        <f>DE108/DE$167</f>
        <v>0</v>
      </c>
      <c r="DF109" s="2266"/>
    </row>
    <row r="110" spans="1:110" s="1715" customFormat="1" hidden="1" outlineLevel="3">
      <c r="A110" s="2342" t="s">
        <v>121</v>
      </c>
      <c r="B110" s="2259"/>
      <c r="C110" s="2259"/>
      <c r="D110" s="2259"/>
      <c r="E110" s="2259"/>
      <c r="F110" s="2259"/>
      <c r="G110" s="2259"/>
      <c r="H110" s="2259"/>
      <c r="I110" s="2259"/>
      <c r="J110" s="2245" t="str">
        <f t="shared" ref="J110:W110" si="193">IF(OR(J108=0,F108=0),"NM",J108/F108-1)</f>
        <v>NM</v>
      </c>
      <c r="K110" s="2245" t="str">
        <f t="shared" si="193"/>
        <v>NM</v>
      </c>
      <c r="L110" s="2256" t="str">
        <f t="shared" si="193"/>
        <v>NM</v>
      </c>
      <c r="M110" s="2250" t="str">
        <f t="shared" si="193"/>
        <v>NM</v>
      </c>
      <c r="N110" s="2250" t="str">
        <f t="shared" si="193"/>
        <v>NM</v>
      </c>
      <c r="O110" s="2257" t="str">
        <f t="shared" si="193"/>
        <v>NM</v>
      </c>
      <c r="P110" s="2310" t="str">
        <f t="shared" si="193"/>
        <v>NM</v>
      </c>
      <c r="Q110" s="2271" t="str">
        <f t="shared" si="193"/>
        <v>NM</v>
      </c>
      <c r="R110" s="2271">
        <f t="shared" si="193"/>
        <v>1.1124605032681845</v>
      </c>
      <c r="S110" s="2309">
        <f t="shared" si="193"/>
        <v>0.7273223321883826</v>
      </c>
      <c r="T110" s="2310">
        <f t="shared" si="193"/>
        <v>0.48764927329600849</v>
      </c>
      <c r="U110" s="2271">
        <f t="shared" si="193"/>
        <v>0.1287667293910344</v>
      </c>
      <c r="V110" s="2271">
        <f t="shared" si="193"/>
        <v>-0.14609631445416094</v>
      </c>
      <c r="W110" s="2309">
        <f t="shared" si="193"/>
        <v>-8.6584968588027889E-2</v>
      </c>
      <c r="X110" s="2310">
        <v>0.14699999999999999</v>
      </c>
      <c r="Y110" s="2271">
        <v>0.17499999999999999</v>
      </c>
      <c r="Z110" s="2271">
        <f t="shared" ref="Z110:AS110" si="194">IF(OR(Z108=0,V108=0),"NM",Z108/V108-1)</f>
        <v>-0.26141112713021586</v>
      </c>
      <c r="AA110" s="2309">
        <f t="shared" si="194"/>
        <v>-0.5081301774200172</v>
      </c>
      <c r="AB110" s="2256">
        <f t="shared" si="194"/>
        <v>-0.76775739728251147</v>
      </c>
      <c r="AC110" s="2250">
        <f t="shared" si="194"/>
        <v>-0.88769875905666895</v>
      </c>
      <c r="AD110" s="2250">
        <f t="shared" si="194"/>
        <v>-0.77405946355993593</v>
      </c>
      <c r="AE110" s="2257">
        <f t="shared" si="194"/>
        <v>-0.94428021022742703</v>
      </c>
      <c r="AF110" s="2256">
        <f t="shared" si="194"/>
        <v>-0.82093059150890269</v>
      </c>
      <c r="AG110" s="2250">
        <f t="shared" si="194"/>
        <v>-0.51529441697719469</v>
      </c>
      <c r="AH110" s="2250">
        <f t="shared" si="194"/>
        <v>-0.47886919955702534</v>
      </c>
      <c r="AI110" s="2257">
        <f t="shared" si="194"/>
        <v>-3.0157720597229227</v>
      </c>
      <c r="AJ110" s="2256" t="str">
        <f t="shared" si="194"/>
        <v>NM</v>
      </c>
      <c r="AK110" s="2250" t="str">
        <f t="shared" si="194"/>
        <v>NM</v>
      </c>
      <c r="AL110" s="2250" t="str">
        <f t="shared" si="194"/>
        <v>NM</v>
      </c>
      <c r="AM110" s="2257" t="str">
        <f t="shared" si="194"/>
        <v>NM</v>
      </c>
      <c r="AN110" s="2256" t="str">
        <f t="shared" si="194"/>
        <v>NM</v>
      </c>
      <c r="AO110" s="2250" t="str">
        <f t="shared" si="194"/>
        <v>NM</v>
      </c>
      <c r="AP110" s="2250" t="str">
        <f t="shared" si="194"/>
        <v>NM</v>
      </c>
      <c r="AQ110" s="2257" t="str">
        <f t="shared" si="194"/>
        <v>NM</v>
      </c>
      <c r="AR110" s="2256" t="str">
        <f t="shared" si="194"/>
        <v>NM</v>
      </c>
      <c r="AS110" s="2250" t="str">
        <f t="shared" si="194"/>
        <v>NM</v>
      </c>
      <c r="AT110" s="2250" t="str">
        <f>IF(OR(AT108=0,AP108=0),"NM",AT108/AP108-1)</f>
        <v>NM</v>
      </c>
      <c r="AU110" s="2257" t="str">
        <f>IF(OR(AU108=0,AQ108=0),"NM",AU108/AQ108-1)</f>
        <v>NM</v>
      </c>
      <c r="AV110" s="2256" t="str">
        <f t="shared" ref="AV110:AY110" si="195">IF(OR(AV108=0,AR108=0),"NM",AV108/AR108-1)</f>
        <v>NM</v>
      </c>
      <c r="AW110" s="2250" t="str">
        <f t="shared" si="195"/>
        <v>NM</v>
      </c>
      <c r="AX110" s="2250" t="str">
        <f t="shared" si="195"/>
        <v>NM</v>
      </c>
      <c r="AY110" s="2257" t="str">
        <f t="shared" si="195"/>
        <v>NM</v>
      </c>
      <c r="AZ110" s="2250"/>
      <c r="BA110" s="2256" t="str">
        <f>IF(OR(BA108=0,AV108=0),"NM",BA108/AV108-1)</f>
        <v>NM</v>
      </c>
      <c r="BB110" s="2250" t="str">
        <f>IF(OR(BB108=0,AW108=0),"NM",BB108/AW108-1)</f>
        <v>NM</v>
      </c>
      <c r="BC110" s="2603" t="str">
        <f>IF(OR(BC108=0,AX108=0),"NM",BC108/AX108-1)</f>
        <v>NM</v>
      </c>
      <c r="BD110" s="2257" t="str">
        <f>IF(OR(BD108=0,AY108=0),"NM",BD108/AY108-1)</f>
        <v>NM</v>
      </c>
      <c r="BE110" s="2250"/>
      <c r="BF110" s="2256" t="str">
        <f>IF(OR(BF108=0,BA108=0),"NM",BF108/BA108-1)</f>
        <v>NM</v>
      </c>
      <c r="BG110" s="2250" t="str">
        <f>IF(OR(BG108=0,BB108=0),"NM",BG108/BB108-1)</f>
        <v>NM</v>
      </c>
      <c r="BH110" s="2250" t="str">
        <f>IF(OR(BH108=0,BC108=0),"NM",BH108/BC108-1)</f>
        <v>NM</v>
      </c>
      <c r="BI110" s="2257" t="str">
        <f>IF(OR(BI108=0,BD108=0),"NM",BI108/BD108-1)</f>
        <v>NM</v>
      </c>
      <c r="BJ110" s="2250"/>
      <c r="BK110" s="2256" t="str">
        <f>IF(OR(BK108=0,BF108=0),"NM",BK108/BF108-1)</f>
        <v>NM</v>
      </c>
      <c r="BL110" s="2250" t="str">
        <f>IF(OR(BL108=0,BG108=0),"NM",BL108/BG108-1)</f>
        <v>NM</v>
      </c>
      <c r="BM110" s="2250" t="str">
        <f>IF(OR(BM108=0,BH108=0),"NM",BM108/BH108-1)</f>
        <v>NM</v>
      </c>
      <c r="BN110" s="2257" t="str">
        <f>IF(OR(BN108=0,BI108=0),"NM",BN108/BI108-1)</f>
        <v>NM</v>
      </c>
      <c r="BO110" s="2250"/>
      <c r="BP110" s="2256" t="str">
        <f>IF(OR(BP108=0,BK108=0),"NM",BP108/BK108-1)</f>
        <v>NM</v>
      </c>
      <c r="BQ110" s="2250" t="str">
        <f>IF(OR(BQ108=0,BL108=0),"NM",BQ108/BL108-1)</f>
        <v>NM</v>
      </c>
      <c r="BR110" s="2250" t="str">
        <f>IF(OR(BR108=0,BM108=0),"NM",BR108/BM108-1)</f>
        <v>NM</v>
      </c>
      <c r="BS110" s="2257" t="str">
        <f>IF(OR(BS108=0,BN108=0),"NM",BS108/BN108-1)</f>
        <v>NM</v>
      </c>
      <c r="BT110" s="2250"/>
      <c r="BU110" s="2256" t="str">
        <f>IF(OR(BU108=0,BP108=0),"NM",BU108/BP108-1)</f>
        <v>NM</v>
      </c>
      <c r="BV110" s="2250" t="str">
        <f>IF(OR(BV108=0,BQ108=0),"NM",BV108/BQ108-1)</f>
        <v>NM</v>
      </c>
      <c r="BW110" s="2250" t="str">
        <f>IF(OR(BW108=0,BR108=0),"NM",BW108/BR108-1)</f>
        <v>NM</v>
      </c>
      <c r="BX110" s="2257" t="str">
        <f>IF(OR(BX108=0,BS108=0),"NM",BX108/BS108-1)</f>
        <v>NM</v>
      </c>
      <c r="BY110" s="2244"/>
      <c r="BZ110" s="2246"/>
      <c r="CA110" s="2246" t="str">
        <f t="shared" ref="CA110:CM110" si="196">IF(OR(BZ108=0,CA108=0),"NM",CA108/BZ108-1)</f>
        <v>NM</v>
      </c>
      <c r="CB110" s="2247">
        <f t="shared" si="196"/>
        <v>2.2298732240477657</v>
      </c>
      <c r="CC110" s="2247">
        <f t="shared" si="196"/>
        <v>5.24067433587454E-2</v>
      </c>
      <c r="CD110" s="2242">
        <f t="shared" si="196"/>
        <v>-7.1806134597792282E-2</v>
      </c>
      <c r="CE110" s="2242">
        <f t="shared" si="196"/>
        <v>-0.82711073470456897</v>
      </c>
      <c r="CF110" s="2242">
        <f t="shared" si="196"/>
        <v>-0.77463138808986143</v>
      </c>
      <c r="CG110" s="2242" t="str">
        <f t="shared" si="196"/>
        <v>NM</v>
      </c>
      <c r="CH110" s="2242" t="str">
        <f t="shared" si="196"/>
        <v>NM</v>
      </c>
      <c r="CI110" s="2242" t="str">
        <f t="shared" si="196"/>
        <v>NM</v>
      </c>
      <c r="CJ110" s="2242" t="str">
        <f t="shared" si="196"/>
        <v>NM</v>
      </c>
      <c r="CK110" s="2242" t="str">
        <f t="shared" si="196"/>
        <v>NM</v>
      </c>
      <c r="CL110" s="2242" t="str">
        <f t="shared" si="196"/>
        <v>NM</v>
      </c>
      <c r="CM110" s="2242" t="str">
        <f t="shared" si="196"/>
        <v>NM</v>
      </c>
      <c r="CN110" s="2240"/>
      <c r="CO110" s="2240"/>
      <c r="CP110" s="2248"/>
      <c r="CQ110" s="2246"/>
      <c r="CR110" s="2246"/>
      <c r="CS110" s="2246" t="str">
        <f t="shared" ref="CS110:DA110" si="197">IF(OR(CR108=0,CS108=0),"NM",CS108/CR108-1)</f>
        <v>NM</v>
      </c>
      <c r="CT110" s="2247" t="str">
        <f t="shared" si="197"/>
        <v>NM</v>
      </c>
      <c r="CU110" s="2247">
        <f t="shared" si="197"/>
        <v>0.55451581582250808</v>
      </c>
      <c r="CV110" s="2247">
        <f t="shared" si="197"/>
        <v>5.1805206784815594E-2</v>
      </c>
      <c r="CW110" s="2247">
        <f t="shared" si="197"/>
        <v>-0.62898236644229644</v>
      </c>
      <c r="CX110" s="2247">
        <f t="shared" si="197"/>
        <v>-0.8163003474162609</v>
      </c>
      <c r="CY110" s="2247">
        <f t="shared" si="197"/>
        <v>-0.91203014486288103</v>
      </c>
      <c r="CZ110" s="2247" t="str">
        <f t="shared" si="197"/>
        <v>NM</v>
      </c>
      <c r="DA110" s="2247" t="str">
        <f t="shared" si="197"/>
        <v>NM</v>
      </c>
      <c r="DB110" s="2247" t="str">
        <f>IF(OR(DA108=0,DB108=0),"NM",DB108/DA108-1)</f>
        <v>NM</v>
      </c>
      <c r="DC110" s="2247" t="str">
        <f>IF(OR(DB108=0,DC108=0),"NM",DC108/DB108-1)</f>
        <v>NM</v>
      </c>
      <c r="DD110" s="2247" t="str">
        <f>IF(OR(DB108=0,DD108=0),"NM",DD108/DB108-1)</f>
        <v>NM</v>
      </c>
      <c r="DE110" s="2247" t="str">
        <f>IF(OR(DC108=0,DE108=0),"NM",DE108/DC108-1)</f>
        <v>NM</v>
      </c>
      <c r="DF110" s="2240"/>
    </row>
    <row r="111" spans="1:110" s="1715" customFormat="1" hidden="1" outlineLevel="2">
      <c r="A111" s="2343" t="s">
        <v>290</v>
      </c>
      <c r="B111" s="2318"/>
      <c r="C111" s="2318"/>
      <c r="D111" s="2318"/>
      <c r="E111" s="2318"/>
      <c r="F111" s="2318">
        <f t="shared" ref="F111:AS111" si="198">F108*F217</f>
        <v>0</v>
      </c>
      <c r="G111" s="2318">
        <f t="shared" si="198"/>
        <v>0</v>
      </c>
      <c r="H111" s="2318">
        <f t="shared" si="198"/>
        <v>0</v>
      </c>
      <c r="I111" s="2318">
        <f t="shared" si="198"/>
        <v>0</v>
      </c>
      <c r="J111" s="2318">
        <f t="shared" si="198"/>
        <v>0</v>
      </c>
      <c r="K111" s="2318">
        <f t="shared" si="198"/>
        <v>0</v>
      </c>
      <c r="L111" s="2313">
        <f t="shared" si="198"/>
        <v>0</v>
      </c>
      <c r="M111" s="2312">
        <f t="shared" si="198"/>
        <v>0</v>
      </c>
      <c r="N111" s="2312">
        <f t="shared" si="198"/>
        <v>567.70282094694221</v>
      </c>
      <c r="O111" s="2314">
        <f t="shared" si="198"/>
        <v>721.20340686992233</v>
      </c>
      <c r="P111" s="2290">
        <f t="shared" si="198"/>
        <v>757.93958885468874</v>
      </c>
      <c r="Q111" s="2315">
        <f t="shared" si="198"/>
        <v>864.24340935048269</v>
      </c>
      <c r="R111" s="2315">
        <f t="shared" si="198"/>
        <v>1182.4218138978633</v>
      </c>
      <c r="S111" s="2316">
        <f t="shared" si="198"/>
        <v>1214.1334531649679</v>
      </c>
      <c r="T111" s="2290">
        <f t="shared" si="198"/>
        <v>1082.4339479049477</v>
      </c>
      <c r="U111" s="2315">
        <f t="shared" si="198"/>
        <v>928.90473017085822</v>
      </c>
      <c r="V111" s="2315">
        <f t="shared" si="198"/>
        <v>962.20095364699557</v>
      </c>
      <c r="W111" s="2316">
        <f t="shared" si="198"/>
        <v>987.33679174760528</v>
      </c>
      <c r="X111" s="2290">
        <f t="shared" si="198"/>
        <v>1429.4210304962135</v>
      </c>
      <c r="Y111" s="2315">
        <f t="shared" si="198"/>
        <v>1066.0243603054778</v>
      </c>
      <c r="Z111" s="2315">
        <f t="shared" si="198"/>
        <v>722.20668582800477</v>
      </c>
      <c r="AA111" s="2316">
        <f t="shared" si="198"/>
        <v>503.31305311518378</v>
      </c>
      <c r="AB111" s="2313">
        <f t="shared" si="198"/>
        <v>341.33833539741403</v>
      </c>
      <c r="AC111" s="2312">
        <f t="shared" si="198"/>
        <v>126.41661552688171</v>
      </c>
      <c r="AD111" s="2312">
        <f t="shared" si="198"/>
        <v>159.91225069624858</v>
      </c>
      <c r="AE111" s="2314">
        <f t="shared" si="198"/>
        <v>27.74948137898372</v>
      </c>
      <c r="AF111" s="2313">
        <f t="shared" si="198"/>
        <v>59.041386827996355</v>
      </c>
      <c r="AG111" s="2312">
        <f t="shared" si="198"/>
        <v>59.270829927414241</v>
      </c>
      <c r="AH111" s="2312">
        <f t="shared" si="198"/>
        <v>82.654911865516738</v>
      </c>
      <c r="AI111" s="2314">
        <f t="shared" si="198"/>
        <v>-55.903188791597415</v>
      </c>
      <c r="AJ111" s="2313">
        <f t="shared" si="198"/>
        <v>0</v>
      </c>
      <c r="AK111" s="2312">
        <f t="shared" si="198"/>
        <v>0</v>
      </c>
      <c r="AL111" s="2312">
        <f t="shared" si="198"/>
        <v>0</v>
      </c>
      <c r="AM111" s="2314">
        <f t="shared" si="198"/>
        <v>0</v>
      </c>
      <c r="AN111" s="2313">
        <f t="shared" si="198"/>
        <v>0</v>
      </c>
      <c r="AO111" s="2312">
        <f t="shared" si="198"/>
        <v>0</v>
      </c>
      <c r="AP111" s="2312">
        <f t="shared" si="198"/>
        <v>0</v>
      </c>
      <c r="AQ111" s="2314">
        <f t="shared" si="198"/>
        <v>0</v>
      </c>
      <c r="AR111" s="2313">
        <f t="shared" si="198"/>
        <v>0</v>
      </c>
      <c r="AS111" s="2312">
        <f t="shared" si="198"/>
        <v>0</v>
      </c>
      <c r="AT111" s="2312">
        <f>AT108*AT217</f>
        <v>0</v>
      </c>
      <c r="AU111" s="2314">
        <f>AU108*AU217</f>
        <v>0</v>
      </c>
      <c r="AV111" s="2313">
        <f t="shared" ref="AV111:BI111" si="199">AV108*AV217</f>
        <v>0</v>
      </c>
      <c r="AW111" s="2312">
        <f t="shared" si="199"/>
        <v>0</v>
      </c>
      <c r="AX111" s="2312">
        <f t="shared" si="199"/>
        <v>0</v>
      </c>
      <c r="AY111" s="2314">
        <f t="shared" si="199"/>
        <v>0</v>
      </c>
      <c r="AZ111" s="2312"/>
      <c r="BA111" s="2313">
        <f t="shared" si="199"/>
        <v>0</v>
      </c>
      <c r="BB111" s="2312">
        <f t="shared" si="199"/>
        <v>0</v>
      </c>
      <c r="BC111" s="1710">
        <f t="shared" si="199"/>
        <v>0</v>
      </c>
      <c r="BD111" s="2314">
        <f t="shared" si="199"/>
        <v>0</v>
      </c>
      <c r="BE111" s="2312"/>
      <c r="BF111" s="2313">
        <f t="shared" si="199"/>
        <v>0</v>
      </c>
      <c r="BG111" s="2312">
        <f t="shared" si="199"/>
        <v>0</v>
      </c>
      <c r="BH111" s="2312">
        <f t="shared" si="199"/>
        <v>0</v>
      </c>
      <c r="BI111" s="2314">
        <f t="shared" si="199"/>
        <v>0</v>
      </c>
      <c r="BJ111" s="2312"/>
      <c r="BK111" s="2313">
        <f>BK108*BK217</f>
        <v>0</v>
      </c>
      <c r="BL111" s="2312">
        <f>BL108*BL217</f>
        <v>0</v>
      </c>
      <c r="BM111" s="2312">
        <f>BM108*BM217</f>
        <v>0</v>
      </c>
      <c r="BN111" s="2314">
        <f>BN108*BN217</f>
        <v>0</v>
      </c>
      <c r="BO111" s="2312"/>
      <c r="BP111" s="2313">
        <f>BP108*BP217</f>
        <v>0</v>
      </c>
      <c r="BQ111" s="2312">
        <f>BQ108*BQ217</f>
        <v>0</v>
      </c>
      <c r="BR111" s="2312">
        <f>BR108*BR217</f>
        <v>0</v>
      </c>
      <c r="BS111" s="2314">
        <f>BS108*BS217</f>
        <v>0</v>
      </c>
      <c r="BT111" s="2312"/>
      <c r="BU111" s="2313">
        <f>BU108*BU217</f>
        <v>0</v>
      </c>
      <c r="BV111" s="2312">
        <f>BV108*BV217</f>
        <v>0</v>
      </c>
      <c r="BW111" s="2312">
        <f>BW108*BW217</f>
        <v>0</v>
      </c>
      <c r="BX111" s="2314">
        <f>BX108*BX217</f>
        <v>0</v>
      </c>
      <c r="BY111" s="2317"/>
      <c r="BZ111" s="2318">
        <f>H111+I111+J111+K111</f>
        <v>0</v>
      </c>
      <c r="CA111" s="2318">
        <f>L111+M111+N111+O111</f>
        <v>1288.9062278168644</v>
      </c>
      <c r="CB111" s="2319">
        <f>P111+Q111+R111+S111</f>
        <v>4018.7382652680026</v>
      </c>
      <c r="CC111" s="2319">
        <f>T111+U111+V111+W111</f>
        <v>3960.8764234704067</v>
      </c>
      <c r="CD111" s="2316">
        <f>X111+Y111+Z111+AA111</f>
        <v>3720.96512974488</v>
      </c>
      <c r="CE111" s="2316">
        <f>AB111+AC111+AD111+AE111</f>
        <v>655.41668299952812</v>
      </c>
      <c r="CF111" s="2316">
        <f>SUM(AF111:AI111)</f>
        <v>145.06393982932991</v>
      </c>
      <c r="CG111" s="2316">
        <f>SUM(AJ111:AM111)</f>
        <v>0</v>
      </c>
      <c r="CH111" s="2316">
        <f>SUM(AN111:AQ111)</f>
        <v>0</v>
      </c>
      <c r="CI111" s="2316">
        <f>SUM(AO111:AR111)</f>
        <v>0</v>
      </c>
      <c r="CJ111" s="2316">
        <f>SUM(AV111:AY111)</f>
        <v>0</v>
      </c>
      <c r="CK111" s="2316">
        <f>SUM(BA111:BD111)</f>
        <v>0</v>
      </c>
      <c r="CL111" s="2316">
        <f>SUM(BF111:BI111)</f>
        <v>0</v>
      </c>
      <c r="CM111" s="2316">
        <f>SUM(BG111:BK111)</f>
        <v>0</v>
      </c>
      <c r="CN111" s="2315"/>
      <c r="CO111" s="2315"/>
      <c r="CP111" s="2317"/>
      <c r="CQ111" s="2318"/>
      <c r="CR111" s="2318">
        <f>F111+G111+H111+I111</f>
        <v>0</v>
      </c>
      <c r="CS111" s="2318">
        <f>J111+K111+L111+M111</f>
        <v>0</v>
      </c>
      <c r="CT111" s="2319">
        <f>N111+O111+P111+Q111</f>
        <v>2911.0892260220357</v>
      </c>
      <c r="CU111" s="2319">
        <f>R111+S111+T111+U111</f>
        <v>4407.8939451386368</v>
      </c>
      <c r="CV111" s="2319">
        <f>V111+W111+X111+Y111</f>
        <v>4444.9831361962915</v>
      </c>
      <c r="CW111" s="2319">
        <f>Z111+AA111+AB111+AC111</f>
        <v>1693.2746898674843</v>
      </c>
      <c r="CX111" s="2318">
        <f>SUM(AD111:AG111)</f>
        <v>305.97394883064288</v>
      </c>
      <c r="CY111" s="2318">
        <f>(SUM(AH111:AK111)/SUM(AH108:AK108))*CY108</f>
        <v>26.751723073919322</v>
      </c>
      <c r="CZ111" s="2318">
        <f>AO111+AN111+AM111+AL111</f>
        <v>0</v>
      </c>
      <c r="DA111" s="2318">
        <f>AS111+AR111+AQ111+AP111</f>
        <v>0</v>
      </c>
      <c r="DB111" s="2318">
        <f>SUM(AT111:AW111)</f>
        <v>0</v>
      </c>
      <c r="DC111" s="2318">
        <f>SUM(AX111:BB111)</f>
        <v>0</v>
      </c>
      <c r="DD111" s="2318">
        <f>SUM(BC111:BG111)</f>
        <v>0</v>
      </c>
      <c r="DE111" s="2318">
        <f>SUM(BD111:BH111)</f>
        <v>0</v>
      </c>
      <c r="DF111" s="2312"/>
    </row>
    <row r="112" spans="1:110" s="1715" customFormat="1" hidden="1" outlineLevel="2">
      <c r="A112" s="2344"/>
      <c r="B112" s="2259"/>
      <c r="C112" s="2259"/>
      <c r="D112" s="2259"/>
      <c r="E112" s="2259"/>
      <c r="F112" s="2259"/>
      <c r="G112" s="2259"/>
      <c r="H112" s="2259"/>
      <c r="I112" s="2259"/>
      <c r="J112" s="2259"/>
      <c r="K112" s="2259"/>
      <c r="L112" s="2264"/>
      <c r="M112" s="2239"/>
      <c r="N112" s="2239"/>
      <c r="O112" s="2260"/>
      <c r="P112" s="2287"/>
      <c r="Q112" s="2288"/>
      <c r="R112" s="2288"/>
      <c r="S112" s="2289"/>
      <c r="T112" s="2287"/>
      <c r="U112" s="2288"/>
      <c r="V112" s="2288"/>
      <c r="W112" s="2289"/>
      <c r="X112" s="2287"/>
      <c r="Y112" s="2288"/>
      <c r="Z112" s="2288"/>
      <c r="AA112" s="2289"/>
      <c r="AB112" s="2264"/>
      <c r="AC112" s="2239"/>
      <c r="AD112" s="2239"/>
      <c r="AE112" s="2314"/>
      <c r="AF112" s="2264"/>
      <c r="AG112" s="2239"/>
      <c r="AH112" s="2239"/>
      <c r="AI112" s="2260"/>
      <c r="AJ112" s="2264"/>
      <c r="AK112" s="2239"/>
      <c r="AL112" s="2239"/>
      <c r="AM112" s="2260"/>
      <c r="AN112" s="2264"/>
      <c r="AO112" s="2239"/>
      <c r="AP112" s="2239"/>
      <c r="AQ112" s="2260"/>
      <c r="AR112" s="2264"/>
      <c r="AS112" s="2239"/>
      <c r="AT112" s="2239"/>
      <c r="AU112" s="2260"/>
      <c r="AV112" s="2264"/>
      <c r="AW112" s="2239"/>
      <c r="AX112" s="2239"/>
      <c r="AY112" s="2260"/>
      <c r="AZ112" s="2239"/>
      <c r="BA112" s="2264"/>
      <c r="BB112" s="2239"/>
      <c r="BC112" s="2604"/>
      <c r="BD112" s="2260"/>
      <c r="BE112" s="2239"/>
      <c r="BF112" s="2264"/>
      <c r="BG112" s="2239"/>
      <c r="BH112" s="2239"/>
      <c r="BI112" s="2260"/>
      <c r="BJ112" s="2239"/>
      <c r="BK112" s="2264"/>
      <c r="BL112" s="2239"/>
      <c r="BM112" s="2239"/>
      <c r="BN112" s="2260"/>
      <c r="BO112" s="2239"/>
      <c r="BP112" s="2264"/>
      <c r="BQ112" s="2239"/>
      <c r="BR112" s="2239"/>
      <c r="BS112" s="2260"/>
      <c r="BT112" s="2239"/>
      <c r="BU112" s="2264"/>
      <c r="BV112" s="2239"/>
      <c r="BW112" s="2239"/>
      <c r="BX112" s="2260"/>
      <c r="BY112" s="2244"/>
      <c r="BZ112" s="2259"/>
      <c r="CA112" s="2259"/>
      <c r="CB112" s="2291"/>
      <c r="CC112" s="2291"/>
      <c r="CD112" s="2289"/>
      <c r="CE112" s="2289"/>
      <c r="CF112" s="2289"/>
      <c r="CG112" s="2289"/>
      <c r="CH112" s="2289"/>
      <c r="CI112" s="2289"/>
      <c r="CJ112" s="2289"/>
      <c r="CK112" s="2289"/>
      <c r="CL112" s="2289"/>
      <c r="CM112" s="2289"/>
      <c r="CN112" s="2288"/>
      <c r="CO112" s="2288"/>
      <c r="CP112" s="2244"/>
      <c r="CQ112" s="2259"/>
      <c r="CR112" s="2259"/>
      <c r="CS112" s="2259"/>
      <c r="CT112" s="2291"/>
      <c r="CU112" s="2291"/>
      <c r="CV112" s="2291"/>
      <c r="CW112" s="2291"/>
      <c r="CX112" s="2259"/>
      <c r="CY112" s="2318"/>
      <c r="CZ112" s="2259"/>
      <c r="DA112" s="2259"/>
      <c r="DB112" s="2259"/>
      <c r="DC112" s="2259"/>
      <c r="DD112" s="2259"/>
      <c r="DE112" s="2259"/>
      <c r="DF112" s="2239"/>
    </row>
    <row r="113" spans="1:110" s="1715" customFormat="1" hidden="1" outlineLevel="2">
      <c r="A113" s="2275" t="s">
        <v>590</v>
      </c>
      <c r="B113" s="2239"/>
      <c r="C113" s="2239"/>
      <c r="D113" s="2239"/>
      <c r="E113" s="2239"/>
      <c r="F113" s="2239"/>
      <c r="G113" s="2239"/>
      <c r="H113" s="2239"/>
      <c r="I113" s="2285"/>
      <c r="J113" s="2239"/>
      <c r="K113" s="2239"/>
      <c r="L113" s="2264"/>
      <c r="M113" s="2239"/>
      <c r="N113" s="2239"/>
      <c r="O113" s="2260"/>
      <c r="P113" s="2287"/>
      <c r="Q113" s="2288"/>
      <c r="R113" s="2288"/>
      <c r="S113" s="2289"/>
      <c r="T113" s="2287"/>
      <c r="U113" s="2288"/>
      <c r="V113" s="2352"/>
      <c r="W113" s="2353"/>
      <c r="X113" s="2320"/>
      <c r="Y113" s="2321"/>
      <c r="Z113" s="2321"/>
      <c r="AA113" s="2322"/>
      <c r="AB113" s="2323"/>
      <c r="AC113" s="2324"/>
      <c r="AD113" s="2324"/>
      <c r="AE113" s="2325"/>
      <c r="AF113" s="2323"/>
      <c r="AG113" s="2324"/>
      <c r="AH113" s="2324"/>
      <c r="AI113" s="2325"/>
      <c r="AJ113" s="2323"/>
      <c r="AK113" s="2324"/>
      <c r="AL113" s="2324"/>
      <c r="AM113" s="2325"/>
      <c r="AN113" s="2323"/>
      <c r="AO113" s="2324"/>
      <c r="AP113" s="2324"/>
      <c r="AQ113" s="2325"/>
      <c r="AR113" s="2323"/>
      <c r="AS113" s="2324"/>
      <c r="AT113" s="2324"/>
      <c r="AU113" s="2325"/>
      <c r="AV113" s="2323"/>
      <c r="AW113" s="2324"/>
      <c r="AX113" s="2324"/>
      <c r="AY113" s="2325"/>
      <c r="AZ113" s="2324"/>
      <c r="BA113" s="2323"/>
      <c r="BB113" s="2324"/>
      <c r="BC113" s="2605"/>
      <c r="BD113" s="2325"/>
      <c r="BE113" s="2324"/>
      <c r="BF113" s="2323"/>
      <c r="BG113" s="2324"/>
      <c r="BH113" s="2324"/>
      <c r="BI113" s="2325"/>
      <c r="BJ113" s="2324"/>
      <c r="BK113" s="2323"/>
      <c r="BL113" s="2324"/>
      <c r="BM113" s="2324"/>
      <c r="BN113" s="2325"/>
      <c r="BO113" s="2324"/>
      <c r="BP113" s="2323"/>
      <c r="BQ113" s="2324"/>
      <c r="BR113" s="2324"/>
      <c r="BS113" s="2325"/>
      <c r="BT113" s="2324"/>
      <c r="BU113" s="2323"/>
      <c r="BV113" s="2324"/>
      <c r="BW113" s="2324"/>
      <c r="BX113" s="2325"/>
      <c r="BY113" s="2244"/>
      <c r="BZ113" s="2259"/>
      <c r="CA113" s="2259"/>
      <c r="CB113" s="2291"/>
      <c r="CC113" s="2291"/>
      <c r="CD113" s="2289"/>
      <c r="CE113" s="2289"/>
      <c r="CF113" s="2289"/>
      <c r="CG113" s="2289"/>
      <c r="CH113" s="2289"/>
      <c r="CI113" s="2289"/>
      <c r="CJ113" s="2289"/>
      <c r="CK113" s="2289"/>
      <c r="CL113" s="2289"/>
      <c r="CM113" s="2289"/>
      <c r="CN113" s="2288"/>
      <c r="CO113" s="2288"/>
      <c r="CP113" s="2244"/>
      <c r="CQ113" s="2259"/>
      <c r="CR113" s="2259"/>
      <c r="CS113" s="2259"/>
      <c r="CT113" s="2291"/>
      <c r="CU113" s="2291"/>
      <c r="CV113" s="2291"/>
      <c r="CW113" s="2291"/>
      <c r="CX113" s="2259"/>
      <c r="CY113" s="2259"/>
      <c r="CZ113" s="2259"/>
      <c r="DA113" s="2259"/>
      <c r="DB113" s="2259"/>
      <c r="DC113" s="2259"/>
      <c r="DD113" s="2259"/>
      <c r="DE113" s="2259"/>
      <c r="DF113" s="2239"/>
    </row>
    <row r="114" spans="1:110" s="1715" customFormat="1" hidden="1" outlineLevel="2">
      <c r="A114" s="2293" t="s">
        <v>289</v>
      </c>
      <c r="B114" s="2239"/>
      <c r="C114" s="2239"/>
      <c r="D114" s="2239"/>
      <c r="E114" s="2239"/>
      <c r="F114" s="2294">
        <f t="shared" ref="F114:AK114" si="200">F115*F$11</f>
        <v>0</v>
      </c>
      <c r="G114" s="2294">
        <f t="shared" si="200"/>
        <v>0</v>
      </c>
      <c r="H114" s="2294">
        <f t="shared" si="200"/>
        <v>0</v>
      </c>
      <c r="I114" s="2294">
        <f t="shared" si="200"/>
        <v>0</v>
      </c>
      <c r="J114" s="2294">
        <f t="shared" si="200"/>
        <v>0</v>
      </c>
      <c r="K114" s="2294">
        <f t="shared" si="200"/>
        <v>0</v>
      </c>
      <c r="L114" s="2295">
        <f t="shared" si="200"/>
        <v>0</v>
      </c>
      <c r="M114" s="2294">
        <f t="shared" si="200"/>
        <v>0</v>
      </c>
      <c r="N114" s="2294">
        <f t="shared" si="200"/>
        <v>0</v>
      </c>
      <c r="O114" s="2296">
        <f t="shared" si="200"/>
        <v>0</v>
      </c>
      <c r="P114" s="2297">
        <f t="shared" si="200"/>
        <v>0</v>
      </c>
      <c r="Q114" s="2298">
        <f t="shared" si="200"/>
        <v>0</v>
      </c>
      <c r="R114" s="2298">
        <f t="shared" si="200"/>
        <v>0.57656239752131999</v>
      </c>
      <c r="S114" s="2299">
        <f t="shared" si="200"/>
        <v>1.5559203633248417</v>
      </c>
      <c r="T114" s="2297">
        <f t="shared" si="200"/>
        <v>4.3388321532290357</v>
      </c>
      <c r="U114" s="2298">
        <f t="shared" si="200"/>
        <v>5.5933110805358401</v>
      </c>
      <c r="V114" s="2298">
        <f t="shared" si="200"/>
        <v>4.6378795873027556</v>
      </c>
      <c r="W114" s="2298">
        <f t="shared" si="200"/>
        <v>5.4376387905912207</v>
      </c>
      <c r="X114" s="2326">
        <f t="shared" si="200"/>
        <v>7.1481504310205857</v>
      </c>
      <c r="Y114" s="2327">
        <f t="shared" si="200"/>
        <v>3.482127643429167</v>
      </c>
      <c r="Z114" s="2327">
        <f t="shared" si="200"/>
        <v>1.2120951370539939</v>
      </c>
      <c r="AA114" s="2328">
        <f t="shared" si="200"/>
        <v>0.62137413964837529</v>
      </c>
      <c r="AB114" s="2329">
        <f t="shared" si="200"/>
        <v>0</v>
      </c>
      <c r="AC114" s="2330">
        <f t="shared" si="200"/>
        <v>0</v>
      </c>
      <c r="AD114" s="2330">
        <f t="shared" si="200"/>
        <v>0</v>
      </c>
      <c r="AE114" s="2331">
        <f t="shared" si="200"/>
        <v>0</v>
      </c>
      <c r="AF114" s="2329">
        <f t="shared" si="200"/>
        <v>0</v>
      </c>
      <c r="AG114" s="2330">
        <f t="shared" si="200"/>
        <v>0</v>
      </c>
      <c r="AH114" s="2330">
        <f t="shared" si="200"/>
        <v>0</v>
      </c>
      <c r="AI114" s="2331">
        <f t="shared" si="200"/>
        <v>0</v>
      </c>
      <c r="AJ114" s="2329">
        <f t="shared" si="200"/>
        <v>0</v>
      </c>
      <c r="AK114" s="2330">
        <f t="shared" si="200"/>
        <v>0</v>
      </c>
      <c r="AL114" s="2330">
        <f t="shared" ref="AL114:BX114" si="201">AL115*AL$11</f>
        <v>0</v>
      </c>
      <c r="AM114" s="2331">
        <f t="shared" si="201"/>
        <v>0</v>
      </c>
      <c r="AN114" s="2329">
        <f t="shared" si="201"/>
        <v>0</v>
      </c>
      <c r="AO114" s="2330">
        <f t="shared" si="201"/>
        <v>0</v>
      </c>
      <c r="AP114" s="2330">
        <f t="shared" si="201"/>
        <v>0</v>
      </c>
      <c r="AQ114" s="2331">
        <f t="shared" si="201"/>
        <v>0</v>
      </c>
      <c r="AR114" s="2329">
        <f t="shared" si="201"/>
        <v>0</v>
      </c>
      <c r="AS114" s="2330">
        <f t="shared" si="201"/>
        <v>0</v>
      </c>
      <c r="AT114" s="2330">
        <f t="shared" si="201"/>
        <v>0</v>
      </c>
      <c r="AU114" s="2331">
        <f t="shared" si="201"/>
        <v>0</v>
      </c>
      <c r="AV114" s="2329">
        <f t="shared" si="201"/>
        <v>0</v>
      </c>
      <c r="AW114" s="2330">
        <f t="shared" si="201"/>
        <v>0</v>
      </c>
      <c r="AX114" s="2330">
        <f t="shared" si="201"/>
        <v>0</v>
      </c>
      <c r="AY114" s="2331">
        <f t="shared" si="201"/>
        <v>0</v>
      </c>
      <c r="AZ114" s="2330"/>
      <c r="BA114" s="2329">
        <f t="shared" si="201"/>
        <v>0</v>
      </c>
      <c r="BB114" s="2330">
        <f t="shared" si="201"/>
        <v>0</v>
      </c>
      <c r="BC114" s="2606">
        <f t="shared" si="201"/>
        <v>0</v>
      </c>
      <c r="BD114" s="2331">
        <f t="shared" si="201"/>
        <v>0</v>
      </c>
      <c r="BE114" s="2330"/>
      <c r="BF114" s="2329">
        <f t="shared" si="201"/>
        <v>0</v>
      </c>
      <c r="BG114" s="2330">
        <f t="shared" si="201"/>
        <v>0</v>
      </c>
      <c r="BH114" s="2330">
        <f t="shared" si="201"/>
        <v>0</v>
      </c>
      <c r="BI114" s="2331">
        <f t="shared" si="201"/>
        <v>0</v>
      </c>
      <c r="BJ114" s="2330"/>
      <c r="BK114" s="2329">
        <f t="shared" si="201"/>
        <v>0</v>
      </c>
      <c r="BL114" s="2330">
        <f t="shared" si="201"/>
        <v>0</v>
      </c>
      <c r="BM114" s="2330">
        <f t="shared" si="201"/>
        <v>0</v>
      </c>
      <c r="BN114" s="2331">
        <f t="shared" si="201"/>
        <v>0</v>
      </c>
      <c r="BO114" s="2330"/>
      <c r="BP114" s="2329">
        <f t="shared" si="201"/>
        <v>0</v>
      </c>
      <c r="BQ114" s="2330">
        <f t="shared" si="201"/>
        <v>0</v>
      </c>
      <c r="BR114" s="2330">
        <f t="shared" si="201"/>
        <v>0</v>
      </c>
      <c r="BS114" s="2331">
        <f t="shared" si="201"/>
        <v>0</v>
      </c>
      <c r="BT114" s="2330"/>
      <c r="BU114" s="2329">
        <f t="shared" si="201"/>
        <v>0</v>
      </c>
      <c r="BV114" s="2330">
        <f t="shared" si="201"/>
        <v>0</v>
      </c>
      <c r="BW114" s="2330">
        <f t="shared" si="201"/>
        <v>0</v>
      </c>
      <c r="BX114" s="2331">
        <f t="shared" si="201"/>
        <v>0</v>
      </c>
      <c r="BY114" s="2244"/>
      <c r="BZ114" s="2261">
        <f>H114+I114+J114+K114</f>
        <v>0</v>
      </c>
      <c r="CA114" s="2261">
        <f>L114+M114+N114+O114</f>
        <v>0</v>
      </c>
      <c r="CB114" s="2300">
        <f>P114+Q114+R114+S114</f>
        <v>2.1324827608461616</v>
      </c>
      <c r="CC114" s="2300">
        <f>T114+U114+V114+W114</f>
        <v>20.007661611658854</v>
      </c>
      <c r="CD114" s="2299">
        <f>X114+Y114+Z114+AA114</f>
        <v>12.463747351152122</v>
      </c>
      <c r="CE114" s="2299">
        <f>AB114+AC114+AD114+AE114</f>
        <v>0</v>
      </c>
      <c r="CF114" s="2299">
        <f>SUM(AF114:AI114)</f>
        <v>0</v>
      </c>
      <c r="CG114" s="2299">
        <f>SUM(AJ114:AM114)</f>
        <v>0</v>
      </c>
      <c r="CH114" s="2299">
        <f>SUM(AN114:AQ114)</f>
        <v>0</v>
      </c>
      <c r="CI114" s="2299">
        <f>SUM(AO114:AR114)</f>
        <v>0</v>
      </c>
      <c r="CJ114" s="2299">
        <f>SUM(AV114:AY114)</f>
        <v>0</v>
      </c>
      <c r="CK114" s="2299">
        <f>SUM(BA114:BD114)</f>
        <v>0</v>
      </c>
      <c r="CL114" s="2299">
        <f>SUM(BF114:BI114)</f>
        <v>0</v>
      </c>
      <c r="CM114" s="2299">
        <f>SUM(BG114:BK114)</f>
        <v>0</v>
      </c>
      <c r="CN114" s="2298"/>
      <c r="CO114" s="2298"/>
      <c r="CP114" s="2301"/>
      <c r="CQ114" s="2261"/>
      <c r="CR114" s="2261">
        <f>F114+G114+H114+I114</f>
        <v>0</v>
      </c>
      <c r="CS114" s="2261">
        <f>J114+K114+L114+M114</f>
        <v>0</v>
      </c>
      <c r="CT114" s="2300">
        <f>N114+O114+P114+Q114</f>
        <v>0</v>
      </c>
      <c r="CU114" s="2300">
        <f>R114+S114+T114+U114</f>
        <v>12.064625994611038</v>
      </c>
      <c r="CV114" s="2300">
        <f>V114+W114+X114+Y114</f>
        <v>20.705796452343726</v>
      </c>
      <c r="CW114" s="2300">
        <f>Z114+AA114+AB114+AC114</f>
        <v>1.833469276702369</v>
      </c>
      <c r="CX114" s="2302">
        <f>AD114+AE114+AF114+AG114</f>
        <v>0</v>
      </c>
      <c r="CY114" s="2302">
        <f>CY115*CY$11</f>
        <v>0</v>
      </c>
      <c r="CZ114" s="2302">
        <f>CZ115*CZ$11</f>
        <v>0</v>
      </c>
      <c r="DA114" s="2302">
        <f>DA115*DA$11</f>
        <v>0</v>
      </c>
      <c r="DB114" s="2302">
        <f>SUM(AT114:AW114)</f>
        <v>0</v>
      </c>
      <c r="DC114" s="2302">
        <f>SUM(AX114:BB114)</f>
        <v>0</v>
      </c>
      <c r="DD114" s="2300">
        <f>SUM(BC114:BG114)</f>
        <v>0</v>
      </c>
      <c r="DE114" s="2300">
        <f>SUM(BD114:BH114)</f>
        <v>0</v>
      </c>
      <c r="DF114" s="2298"/>
    </row>
    <row r="115" spans="1:110" s="1715" customFormat="1" hidden="1" outlineLevel="3">
      <c r="A115" s="2303" t="s">
        <v>15</v>
      </c>
      <c r="B115" s="2239"/>
      <c r="C115" s="2239"/>
      <c r="D115" s="2239"/>
      <c r="E115" s="2239"/>
      <c r="F115" s="2273">
        <v>0</v>
      </c>
      <c r="G115" s="2273">
        <v>0</v>
      </c>
      <c r="H115" s="2273">
        <v>0</v>
      </c>
      <c r="I115" s="2273">
        <v>0</v>
      </c>
      <c r="J115" s="2273">
        <v>0</v>
      </c>
      <c r="K115" s="2273">
        <v>0</v>
      </c>
      <c r="L115" s="2304">
        <v>0</v>
      </c>
      <c r="M115" s="2273">
        <v>0</v>
      </c>
      <c r="N115" s="2273">
        <v>0</v>
      </c>
      <c r="O115" s="2305">
        <v>0</v>
      </c>
      <c r="P115" s="2265">
        <v>0</v>
      </c>
      <c r="Q115" s="2266">
        <v>0</v>
      </c>
      <c r="R115" s="2266">
        <v>1.2E-2</v>
      </c>
      <c r="S115" s="2267">
        <v>0.03</v>
      </c>
      <c r="T115" s="2265">
        <v>0.08</v>
      </c>
      <c r="U115" s="2266">
        <v>0.1</v>
      </c>
      <c r="V115" s="2266">
        <v>0.1</v>
      </c>
      <c r="W115" s="2267">
        <v>0.11</v>
      </c>
      <c r="X115" s="2265">
        <v>0.12</v>
      </c>
      <c r="Y115" s="2266">
        <v>0.05</v>
      </c>
      <c r="Z115" s="2266">
        <v>0.02</v>
      </c>
      <c r="AA115" s="2267">
        <v>0.01</v>
      </c>
      <c r="AB115" s="2304">
        <v>0</v>
      </c>
      <c r="AC115" s="2273">
        <v>0</v>
      </c>
      <c r="AD115" s="2273">
        <v>0</v>
      </c>
      <c r="AE115" s="2305">
        <v>0</v>
      </c>
      <c r="AF115" s="2304">
        <v>0</v>
      </c>
      <c r="AG115" s="2273">
        <v>0</v>
      </c>
      <c r="AH115" s="2273">
        <v>0</v>
      </c>
      <c r="AI115" s="2305">
        <v>0</v>
      </c>
      <c r="AJ115" s="2304">
        <v>0</v>
      </c>
      <c r="AK115" s="2273">
        <v>0</v>
      </c>
      <c r="AL115" s="2273">
        <v>0</v>
      </c>
      <c r="AM115" s="2305">
        <v>0</v>
      </c>
      <c r="AN115" s="2304">
        <v>0</v>
      </c>
      <c r="AO115" s="2273">
        <v>0</v>
      </c>
      <c r="AP115" s="2273">
        <v>0</v>
      </c>
      <c r="AQ115" s="2305">
        <v>0</v>
      </c>
      <c r="AR115" s="2304">
        <v>0</v>
      </c>
      <c r="AS115" s="2273">
        <v>0</v>
      </c>
      <c r="AT115" s="2273">
        <v>0</v>
      </c>
      <c r="AU115" s="2305">
        <v>0</v>
      </c>
      <c r="AV115" s="2304">
        <v>0</v>
      </c>
      <c r="AW115" s="2273">
        <v>0</v>
      </c>
      <c r="AX115" s="2273">
        <v>0</v>
      </c>
      <c r="AY115" s="2305">
        <v>0</v>
      </c>
      <c r="AZ115" s="2273"/>
      <c r="BA115" s="2304">
        <v>0</v>
      </c>
      <c r="BB115" s="2273">
        <v>0</v>
      </c>
      <c r="BC115" s="188">
        <v>0</v>
      </c>
      <c r="BD115" s="2305">
        <v>0</v>
      </c>
      <c r="BE115" s="2273"/>
      <c r="BF115" s="2304">
        <v>0</v>
      </c>
      <c r="BG115" s="2273">
        <v>0</v>
      </c>
      <c r="BH115" s="2273">
        <v>0</v>
      </c>
      <c r="BI115" s="2305">
        <v>0</v>
      </c>
      <c r="BJ115" s="2273"/>
      <c r="BK115" s="2304">
        <v>0</v>
      </c>
      <c r="BL115" s="2273">
        <v>0</v>
      </c>
      <c r="BM115" s="2273">
        <v>0</v>
      </c>
      <c r="BN115" s="2305">
        <v>0</v>
      </c>
      <c r="BO115" s="2273"/>
      <c r="BP115" s="2304">
        <v>0</v>
      </c>
      <c r="BQ115" s="2273">
        <v>0</v>
      </c>
      <c r="BR115" s="2273">
        <v>0</v>
      </c>
      <c r="BS115" s="2305">
        <v>0</v>
      </c>
      <c r="BT115" s="2273"/>
      <c r="BU115" s="2304">
        <v>0</v>
      </c>
      <c r="BV115" s="2273">
        <v>0</v>
      </c>
      <c r="BW115" s="2273">
        <v>0</v>
      </c>
      <c r="BX115" s="2305">
        <v>0</v>
      </c>
      <c r="BY115" s="2306"/>
      <c r="BZ115" s="2307">
        <f t="shared" ref="BZ115:CI115" si="202">BZ114/BZ$167</f>
        <v>0</v>
      </c>
      <c r="CA115" s="2307">
        <f t="shared" si="202"/>
        <v>0</v>
      </c>
      <c r="CB115" s="2308">
        <f t="shared" si="202"/>
        <v>1.0381009690346124E-2</v>
      </c>
      <c r="CC115" s="2308">
        <f t="shared" si="202"/>
        <v>9.713381820745981E-2</v>
      </c>
      <c r="CD115" s="2267">
        <f t="shared" si="202"/>
        <v>4.9468611069195312E-2</v>
      </c>
      <c r="CE115" s="2267">
        <f t="shared" si="202"/>
        <v>0</v>
      </c>
      <c r="CF115" s="2267">
        <f t="shared" si="202"/>
        <v>0</v>
      </c>
      <c r="CG115" s="2267">
        <f t="shared" si="202"/>
        <v>0</v>
      </c>
      <c r="CH115" s="2267">
        <f t="shared" si="202"/>
        <v>0</v>
      </c>
      <c r="CI115" s="2267">
        <f t="shared" si="202"/>
        <v>0</v>
      </c>
      <c r="CJ115" s="2267">
        <f>CJ114/CJ$167</f>
        <v>0</v>
      </c>
      <c r="CK115" s="2267">
        <f>CK114/CK$167</f>
        <v>0</v>
      </c>
      <c r="CL115" s="2267">
        <f>CL114/CL$167</f>
        <v>0</v>
      </c>
      <c r="CM115" s="2267">
        <f>CM114/CM$167</f>
        <v>0</v>
      </c>
      <c r="CN115" s="2266"/>
      <c r="CO115" s="2266"/>
      <c r="CP115" s="2306"/>
      <c r="CQ115" s="2307"/>
      <c r="CR115" s="2307">
        <f t="shared" ref="CR115:CX115" si="203">CR114/CR$167</f>
        <v>0</v>
      </c>
      <c r="CS115" s="2307">
        <f t="shared" si="203"/>
        <v>0</v>
      </c>
      <c r="CT115" s="2308">
        <f t="shared" si="203"/>
        <v>0</v>
      </c>
      <c r="CU115" s="2308">
        <f t="shared" si="203"/>
        <v>5.7428888766444308E-2</v>
      </c>
      <c r="CV115" s="2308">
        <f t="shared" si="203"/>
        <v>9.201662213651346E-2</v>
      </c>
      <c r="CW115" s="2308">
        <f t="shared" si="203"/>
        <v>7.2908858435664315E-3</v>
      </c>
      <c r="CX115" s="2308">
        <f t="shared" si="203"/>
        <v>0</v>
      </c>
      <c r="CY115" s="2308">
        <f>SUM(AH114:AK114)/SUM(AH$11:AK$11)</f>
        <v>0</v>
      </c>
      <c r="CZ115" s="2308">
        <f>SUM(AL114:AO114)/SUM(AL$11:AO$11)</f>
        <v>0</v>
      </c>
      <c r="DA115" s="2308">
        <f>SUM(AP114:AS114)/SUM(AP$11:AS$11)</f>
        <v>0</v>
      </c>
      <c r="DB115" s="2308">
        <f>DB114/DB$167</f>
        <v>0</v>
      </c>
      <c r="DC115" s="2308">
        <f>DC114/DC$167</f>
        <v>0</v>
      </c>
      <c r="DD115" s="2308">
        <f>DD114/DD$167</f>
        <v>0</v>
      </c>
      <c r="DE115" s="2308">
        <f>DE114/DE$167</f>
        <v>0</v>
      </c>
      <c r="DF115" s="2266"/>
    </row>
    <row r="116" spans="1:110" s="1715" customFormat="1" hidden="1" outlineLevel="3">
      <c r="A116" s="2238" t="s">
        <v>121</v>
      </c>
      <c r="B116" s="2239"/>
      <c r="C116" s="2239"/>
      <c r="D116" s="2239"/>
      <c r="E116" s="2239"/>
      <c r="F116" s="2239"/>
      <c r="G116" s="2239"/>
      <c r="H116" s="2239"/>
      <c r="I116" s="2239"/>
      <c r="J116" s="2252" t="str">
        <f t="shared" ref="J116:AS116" si="204">IF(OR(J114=0,F114=0),"NM",J114/F114-1)</f>
        <v>NM</v>
      </c>
      <c r="K116" s="2252" t="str">
        <f t="shared" si="204"/>
        <v>NM</v>
      </c>
      <c r="L116" s="2251" t="str">
        <f t="shared" si="204"/>
        <v>NM</v>
      </c>
      <c r="M116" s="2252" t="str">
        <f t="shared" si="204"/>
        <v>NM</v>
      </c>
      <c r="N116" s="2252" t="str">
        <f t="shared" si="204"/>
        <v>NM</v>
      </c>
      <c r="O116" s="2253" t="str">
        <f t="shared" si="204"/>
        <v>NM</v>
      </c>
      <c r="P116" s="2241" t="str">
        <f t="shared" si="204"/>
        <v>NM</v>
      </c>
      <c r="Q116" s="2240" t="str">
        <f t="shared" si="204"/>
        <v>NM</v>
      </c>
      <c r="R116" s="2240" t="str">
        <f t="shared" si="204"/>
        <v>NM</v>
      </c>
      <c r="S116" s="2242" t="str">
        <f t="shared" si="204"/>
        <v>NM</v>
      </c>
      <c r="T116" s="2241" t="str">
        <f t="shared" si="204"/>
        <v>NM</v>
      </c>
      <c r="U116" s="2271" t="str">
        <f t="shared" si="204"/>
        <v>NM</v>
      </c>
      <c r="V116" s="2271">
        <f t="shared" si="204"/>
        <v>7.0440202261564533</v>
      </c>
      <c r="W116" s="2309">
        <f t="shared" si="204"/>
        <v>2.4948053375762407</v>
      </c>
      <c r="X116" s="2310">
        <f t="shared" si="204"/>
        <v>0.64748258945689008</v>
      </c>
      <c r="Y116" s="2271">
        <f t="shared" si="204"/>
        <v>-0.37744788493051618</v>
      </c>
      <c r="Z116" s="2271">
        <f t="shared" si="204"/>
        <v>-0.73865316806146097</v>
      </c>
      <c r="AA116" s="2309">
        <f t="shared" si="204"/>
        <v>-0.88572721293596357</v>
      </c>
      <c r="AB116" s="2256" t="str">
        <f t="shared" si="204"/>
        <v>NM</v>
      </c>
      <c r="AC116" s="2250" t="str">
        <f t="shared" si="204"/>
        <v>NM</v>
      </c>
      <c r="AD116" s="2250" t="str">
        <f t="shared" si="204"/>
        <v>NM</v>
      </c>
      <c r="AE116" s="2257" t="str">
        <f t="shared" si="204"/>
        <v>NM</v>
      </c>
      <c r="AF116" s="2256" t="str">
        <f t="shared" si="204"/>
        <v>NM</v>
      </c>
      <c r="AG116" s="2250" t="str">
        <f t="shared" si="204"/>
        <v>NM</v>
      </c>
      <c r="AH116" s="2250" t="str">
        <f t="shared" si="204"/>
        <v>NM</v>
      </c>
      <c r="AI116" s="2257" t="str">
        <f t="shared" si="204"/>
        <v>NM</v>
      </c>
      <c r="AJ116" s="2256" t="str">
        <f t="shared" si="204"/>
        <v>NM</v>
      </c>
      <c r="AK116" s="2250" t="str">
        <f t="shared" si="204"/>
        <v>NM</v>
      </c>
      <c r="AL116" s="2250" t="str">
        <f t="shared" si="204"/>
        <v>NM</v>
      </c>
      <c r="AM116" s="2257" t="str">
        <f t="shared" si="204"/>
        <v>NM</v>
      </c>
      <c r="AN116" s="2256" t="str">
        <f t="shared" si="204"/>
        <v>NM</v>
      </c>
      <c r="AO116" s="2250" t="str">
        <f t="shared" si="204"/>
        <v>NM</v>
      </c>
      <c r="AP116" s="2250" t="str">
        <f t="shared" si="204"/>
        <v>NM</v>
      </c>
      <c r="AQ116" s="2257" t="str">
        <f t="shared" si="204"/>
        <v>NM</v>
      </c>
      <c r="AR116" s="2256" t="str">
        <f t="shared" si="204"/>
        <v>NM</v>
      </c>
      <c r="AS116" s="2250" t="str">
        <f t="shared" si="204"/>
        <v>NM</v>
      </c>
      <c r="AT116" s="2250" t="str">
        <f>IF(OR(AT114=0,AP114=0),"NM",AT114/AP114-1)</f>
        <v>NM</v>
      </c>
      <c r="AU116" s="2257" t="str">
        <f>IF(OR(AU114=0,AQ114=0),"NM",AU114/AQ114-1)</f>
        <v>NM</v>
      </c>
      <c r="AV116" s="2256" t="str">
        <f t="shared" ref="AV116:AY116" si="205">IF(OR(AV114=0,AR114=0),"NM",AV114/AR114-1)</f>
        <v>NM</v>
      </c>
      <c r="AW116" s="2250" t="str">
        <f t="shared" si="205"/>
        <v>NM</v>
      </c>
      <c r="AX116" s="2250" t="str">
        <f t="shared" si="205"/>
        <v>NM</v>
      </c>
      <c r="AY116" s="2257" t="str">
        <f t="shared" si="205"/>
        <v>NM</v>
      </c>
      <c r="AZ116" s="2250"/>
      <c r="BA116" s="2256" t="str">
        <f>IF(OR(BA114=0,AV114=0),"NM",BA114/AV114-1)</f>
        <v>NM</v>
      </c>
      <c r="BB116" s="2250" t="str">
        <f>IF(OR(BB114=0,AW114=0),"NM",BB114/AW114-1)</f>
        <v>NM</v>
      </c>
      <c r="BC116" s="2603" t="str">
        <f>IF(OR(BC114=0,AX114=0),"NM",BC114/AX114-1)</f>
        <v>NM</v>
      </c>
      <c r="BD116" s="2257" t="str">
        <f>IF(OR(BD114=0,AY114=0),"NM",BD114/AY114-1)</f>
        <v>NM</v>
      </c>
      <c r="BE116" s="2250"/>
      <c r="BF116" s="2256" t="str">
        <f>IF(OR(BF114=0,BA114=0),"NM",BF114/BA114-1)</f>
        <v>NM</v>
      </c>
      <c r="BG116" s="2250" t="str">
        <f>IF(OR(BG114=0,BB114=0),"NM",BG114/BB114-1)</f>
        <v>NM</v>
      </c>
      <c r="BH116" s="2250" t="str">
        <f>IF(OR(BH114=0,BC114=0),"NM",BH114/BC114-1)</f>
        <v>NM</v>
      </c>
      <c r="BI116" s="2257" t="str">
        <f>IF(OR(BI114=0,BD114=0),"NM",BI114/BD114-1)</f>
        <v>NM</v>
      </c>
      <c r="BJ116" s="2250"/>
      <c r="BK116" s="2256" t="str">
        <f>IF(OR(BK114=0,BF114=0),"NM",BK114/BF114-1)</f>
        <v>NM</v>
      </c>
      <c r="BL116" s="2250" t="str">
        <f>IF(OR(BL114=0,BG114=0),"NM",BL114/BG114-1)</f>
        <v>NM</v>
      </c>
      <c r="BM116" s="2250" t="str">
        <f>IF(OR(BM114=0,BH114=0),"NM",BM114/BH114-1)</f>
        <v>NM</v>
      </c>
      <c r="BN116" s="2257" t="str">
        <f>IF(OR(BN114=0,BI114=0),"NM",BN114/BI114-1)</f>
        <v>NM</v>
      </c>
      <c r="BO116" s="2250"/>
      <c r="BP116" s="2256" t="str">
        <f>IF(OR(BP114=0,BK114=0),"NM",BP114/BK114-1)</f>
        <v>NM</v>
      </c>
      <c r="BQ116" s="2250" t="str">
        <f>IF(OR(BQ114=0,BL114=0),"NM",BQ114/BL114-1)</f>
        <v>NM</v>
      </c>
      <c r="BR116" s="2250" t="str">
        <f>IF(OR(BR114=0,BM114=0),"NM",BR114/BM114-1)</f>
        <v>NM</v>
      </c>
      <c r="BS116" s="2257" t="str">
        <f>IF(OR(BS114=0,BN114=0),"NM",BS114/BN114-1)</f>
        <v>NM</v>
      </c>
      <c r="BT116" s="2250"/>
      <c r="BU116" s="2256" t="str">
        <f>IF(OR(BU114=0,BP114=0),"NM",BU114/BP114-1)</f>
        <v>NM</v>
      </c>
      <c r="BV116" s="2250" t="str">
        <f>IF(OR(BV114=0,BQ114=0),"NM",BV114/BQ114-1)</f>
        <v>NM</v>
      </c>
      <c r="BW116" s="2250" t="str">
        <f>IF(OR(BW114=0,BR114=0),"NM",BW114/BR114-1)</f>
        <v>NM</v>
      </c>
      <c r="BX116" s="2257" t="str">
        <f>IF(OR(BX114=0,BS114=0),"NM",BX114/BS114-1)</f>
        <v>NM</v>
      </c>
      <c r="BY116" s="2244"/>
      <c r="BZ116" s="2246"/>
      <c r="CA116" s="2246" t="str">
        <f t="shared" ref="CA116:CM116" si="206">IF(OR(BZ114=0,CA114=0),"NM",CA114/BZ114-1)</f>
        <v>NM</v>
      </c>
      <c r="CB116" s="2247" t="str">
        <f t="shared" si="206"/>
        <v>NM</v>
      </c>
      <c r="CC116" s="2247">
        <f t="shared" si="206"/>
        <v>8.3823321712199377</v>
      </c>
      <c r="CD116" s="2242">
        <f t="shared" si="206"/>
        <v>-0.37705127200425792</v>
      </c>
      <c r="CE116" s="2242" t="str">
        <f t="shared" si="206"/>
        <v>NM</v>
      </c>
      <c r="CF116" s="2242" t="str">
        <f t="shared" si="206"/>
        <v>NM</v>
      </c>
      <c r="CG116" s="2242" t="str">
        <f t="shared" si="206"/>
        <v>NM</v>
      </c>
      <c r="CH116" s="2242" t="str">
        <f t="shared" si="206"/>
        <v>NM</v>
      </c>
      <c r="CI116" s="2242" t="str">
        <f t="shared" si="206"/>
        <v>NM</v>
      </c>
      <c r="CJ116" s="2242" t="str">
        <f t="shared" si="206"/>
        <v>NM</v>
      </c>
      <c r="CK116" s="2242" t="str">
        <f t="shared" si="206"/>
        <v>NM</v>
      </c>
      <c r="CL116" s="2242" t="str">
        <f t="shared" si="206"/>
        <v>NM</v>
      </c>
      <c r="CM116" s="2242" t="str">
        <f t="shared" si="206"/>
        <v>NM</v>
      </c>
      <c r="CN116" s="2240"/>
      <c r="CO116" s="2240"/>
      <c r="CP116" s="2248"/>
      <c r="CQ116" s="2246"/>
      <c r="CR116" s="2246"/>
      <c r="CS116" s="2246" t="str">
        <f t="shared" ref="CS116:DA116" si="207">IF(OR(CR114=0,CS114=0),"NM",CS114/CR114-1)</f>
        <v>NM</v>
      </c>
      <c r="CT116" s="2247" t="str">
        <f t="shared" si="207"/>
        <v>NM</v>
      </c>
      <c r="CU116" s="2247" t="str">
        <f t="shared" si="207"/>
        <v>NM</v>
      </c>
      <c r="CV116" s="2247">
        <f t="shared" si="207"/>
        <v>0.71624022672501231</v>
      </c>
      <c r="CW116" s="2247">
        <f t="shared" si="207"/>
        <v>-0.91145140053306983</v>
      </c>
      <c r="CX116" s="2247" t="str">
        <f t="shared" si="207"/>
        <v>NM</v>
      </c>
      <c r="CY116" s="2247" t="str">
        <f t="shared" si="207"/>
        <v>NM</v>
      </c>
      <c r="CZ116" s="2247" t="str">
        <f t="shared" si="207"/>
        <v>NM</v>
      </c>
      <c r="DA116" s="2247" t="str">
        <f t="shared" si="207"/>
        <v>NM</v>
      </c>
      <c r="DB116" s="2247" t="str">
        <f>IF(OR(DA114=0,DB114=0),"NM",DB114/DA114-1)</f>
        <v>NM</v>
      </c>
      <c r="DC116" s="2247" t="str">
        <f>IF(OR(DB114=0,DC114=0),"NM",DC114/DB114-1)</f>
        <v>NM</v>
      </c>
      <c r="DD116" s="2247" t="str">
        <f>IF(OR(DB114=0,DD114=0),"NM",DD114/DB114-1)</f>
        <v>NM</v>
      </c>
      <c r="DE116" s="2247" t="str">
        <f>IF(OR(DC114=0,DE114=0),"NM",DE114/DC114-1)</f>
        <v>NM</v>
      </c>
      <c r="DF116" s="2240"/>
    </row>
    <row r="117" spans="1:110" s="1715" customFormat="1" hidden="1" outlineLevel="2">
      <c r="A117" s="2311" t="s">
        <v>290</v>
      </c>
      <c r="B117" s="2312"/>
      <c r="C117" s="2312"/>
      <c r="D117" s="2312"/>
      <c r="E117" s="2312"/>
      <c r="F117" s="2312">
        <f t="shared" ref="F117:AS117" si="208">F114*F212</f>
        <v>0</v>
      </c>
      <c r="G117" s="2312">
        <f t="shared" si="208"/>
        <v>0</v>
      </c>
      <c r="H117" s="2312">
        <f t="shared" si="208"/>
        <v>0</v>
      </c>
      <c r="I117" s="2312">
        <f t="shared" si="208"/>
        <v>0</v>
      </c>
      <c r="J117" s="2312">
        <f t="shared" si="208"/>
        <v>0</v>
      </c>
      <c r="K117" s="2312">
        <f t="shared" si="208"/>
        <v>0</v>
      </c>
      <c r="L117" s="2313">
        <f t="shared" si="208"/>
        <v>0</v>
      </c>
      <c r="M117" s="2312">
        <f t="shared" si="208"/>
        <v>0</v>
      </c>
      <c r="N117" s="2312">
        <f t="shared" si="208"/>
        <v>0</v>
      </c>
      <c r="O117" s="2314">
        <f t="shared" si="208"/>
        <v>0</v>
      </c>
      <c r="P117" s="2290">
        <f t="shared" si="208"/>
        <v>0</v>
      </c>
      <c r="Q117" s="2315">
        <f t="shared" si="208"/>
        <v>0</v>
      </c>
      <c r="R117" s="2315">
        <f t="shared" si="208"/>
        <v>14.414059938033001</v>
      </c>
      <c r="S117" s="2316">
        <f t="shared" si="208"/>
        <v>38.898009083121046</v>
      </c>
      <c r="T117" s="2290">
        <f t="shared" si="208"/>
        <v>108.4708038307259</v>
      </c>
      <c r="U117" s="2315">
        <f t="shared" si="208"/>
        <v>139.832777013396</v>
      </c>
      <c r="V117" s="2315">
        <f t="shared" si="208"/>
        <v>115.9469896825689</v>
      </c>
      <c r="W117" s="2316">
        <f t="shared" si="208"/>
        <v>135.9409697647805</v>
      </c>
      <c r="X117" s="2290">
        <f t="shared" si="208"/>
        <v>178.70376077551464</v>
      </c>
      <c r="Y117" s="2315">
        <f t="shared" si="208"/>
        <v>94.017446372587514</v>
      </c>
      <c r="Z117" s="2315">
        <f t="shared" si="208"/>
        <v>33.938663837511825</v>
      </c>
      <c r="AA117" s="2316">
        <f t="shared" si="208"/>
        <v>18.019850049802884</v>
      </c>
      <c r="AB117" s="2313">
        <f t="shared" si="208"/>
        <v>0</v>
      </c>
      <c r="AC117" s="2312">
        <f t="shared" si="208"/>
        <v>0</v>
      </c>
      <c r="AD117" s="2312">
        <f t="shared" si="208"/>
        <v>0</v>
      </c>
      <c r="AE117" s="2314">
        <f t="shared" si="208"/>
        <v>0</v>
      </c>
      <c r="AF117" s="2313">
        <f t="shared" si="208"/>
        <v>0</v>
      </c>
      <c r="AG117" s="2312">
        <f t="shared" si="208"/>
        <v>0</v>
      </c>
      <c r="AH117" s="2312">
        <f t="shared" si="208"/>
        <v>0</v>
      </c>
      <c r="AI117" s="2314">
        <f t="shared" si="208"/>
        <v>0</v>
      </c>
      <c r="AJ117" s="2313">
        <f t="shared" si="208"/>
        <v>0</v>
      </c>
      <c r="AK117" s="2312">
        <f t="shared" si="208"/>
        <v>0</v>
      </c>
      <c r="AL117" s="2312">
        <f t="shared" si="208"/>
        <v>0</v>
      </c>
      <c r="AM117" s="2314">
        <f t="shared" si="208"/>
        <v>0</v>
      </c>
      <c r="AN117" s="2313">
        <f t="shared" si="208"/>
        <v>0</v>
      </c>
      <c r="AO117" s="2312">
        <f t="shared" si="208"/>
        <v>0</v>
      </c>
      <c r="AP117" s="2312">
        <f t="shared" si="208"/>
        <v>0</v>
      </c>
      <c r="AQ117" s="2314">
        <f t="shared" si="208"/>
        <v>0</v>
      </c>
      <c r="AR117" s="2313">
        <f t="shared" si="208"/>
        <v>0</v>
      </c>
      <c r="AS117" s="2312">
        <f t="shared" si="208"/>
        <v>0</v>
      </c>
      <c r="AT117" s="2312">
        <f>AT114*AT212</f>
        <v>0</v>
      </c>
      <c r="AU117" s="2314">
        <f>AU114*AU212</f>
        <v>0</v>
      </c>
      <c r="AV117" s="2313">
        <f t="shared" ref="AV117:BI117" si="209">AV114*AV212</f>
        <v>0</v>
      </c>
      <c r="AW117" s="2312">
        <f t="shared" si="209"/>
        <v>0</v>
      </c>
      <c r="AX117" s="2312">
        <f t="shared" si="209"/>
        <v>0</v>
      </c>
      <c r="AY117" s="2314">
        <f t="shared" si="209"/>
        <v>0</v>
      </c>
      <c r="AZ117" s="2312"/>
      <c r="BA117" s="2313">
        <f t="shared" si="209"/>
        <v>0</v>
      </c>
      <c r="BB117" s="2312">
        <f t="shared" si="209"/>
        <v>0</v>
      </c>
      <c r="BC117" s="1710">
        <f t="shared" si="209"/>
        <v>0</v>
      </c>
      <c r="BD117" s="2314">
        <f t="shared" si="209"/>
        <v>0</v>
      </c>
      <c r="BE117" s="2312"/>
      <c r="BF117" s="2313">
        <f t="shared" si="209"/>
        <v>0</v>
      </c>
      <c r="BG117" s="2312">
        <f t="shared" si="209"/>
        <v>0</v>
      </c>
      <c r="BH117" s="2312">
        <f t="shared" si="209"/>
        <v>0</v>
      </c>
      <c r="BI117" s="2314">
        <f t="shared" si="209"/>
        <v>0</v>
      </c>
      <c r="BJ117" s="2312"/>
      <c r="BK117" s="2313">
        <f>BK114*BK212</f>
        <v>0</v>
      </c>
      <c r="BL117" s="2312">
        <f>BL114*BL212</f>
        <v>0</v>
      </c>
      <c r="BM117" s="2312">
        <f>BM114*BM212</f>
        <v>0</v>
      </c>
      <c r="BN117" s="2314">
        <f>BN114*BN212</f>
        <v>0</v>
      </c>
      <c r="BO117" s="2312"/>
      <c r="BP117" s="2313">
        <f>BP114*BP212</f>
        <v>0</v>
      </c>
      <c r="BQ117" s="2312">
        <f>BQ114*BQ212</f>
        <v>0</v>
      </c>
      <c r="BR117" s="2312">
        <f>BR114*BR212</f>
        <v>0</v>
      </c>
      <c r="BS117" s="2314">
        <f>BS114*BS212</f>
        <v>0</v>
      </c>
      <c r="BT117" s="2312"/>
      <c r="BU117" s="2313">
        <f>BU114*BU212</f>
        <v>0</v>
      </c>
      <c r="BV117" s="2312">
        <f>BV114*BV212</f>
        <v>0</v>
      </c>
      <c r="BW117" s="2312">
        <f>BW114*BW212</f>
        <v>0</v>
      </c>
      <c r="BX117" s="2314">
        <f>BX114*BX212</f>
        <v>0</v>
      </c>
      <c r="BY117" s="2317"/>
      <c r="BZ117" s="2318">
        <f>H117+I117+J117+K117</f>
        <v>0</v>
      </c>
      <c r="CA117" s="2318">
        <f>L117+M117+N117+O117</f>
        <v>0</v>
      </c>
      <c r="CB117" s="2319">
        <f>P117+Q117+R117+S117</f>
        <v>53.312069021154045</v>
      </c>
      <c r="CC117" s="2319">
        <f>T117+U117+V117+W117</f>
        <v>500.19154029147131</v>
      </c>
      <c r="CD117" s="2316">
        <f>X117+Y117+Z117+AA117</f>
        <v>324.67972103541689</v>
      </c>
      <c r="CE117" s="2316">
        <f>AB117+AC117+AD117+AE117</f>
        <v>0</v>
      </c>
      <c r="CF117" s="2316">
        <f>SUM(AF117:AI117)</f>
        <v>0</v>
      </c>
      <c r="CG117" s="2316">
        <f>SUM(AJ117:AM117)</f>
        <v>0</v>
      </c>
      <c r="CH117" s="2316">
        <f>SUM(AN117:AQ117)</f>
        <v>0</v>
      </c>
      <c r="CI117" s="2316">
        <f>SUM(AO117:AR117)</f>
        <v>0</v>
      </c>
      <c r="CJ117" s="2316">
        <f>SUM(AV117:AY117)</f>
        <v>0</v>
      </c>
      <c r="CK117" s="2316">
        <f>SUM(BA117:BD117)</f>
        <v>0</v>
      </c>
      <c r="CL117" s="2316">
        <f>SUM(BF117:BI117)</f>
        <v>0</v>
      </c>
      <c r="CM117" s="2316">
        <f>SUM(BG117:BK117)</f>
        <v>0</v>
      </c>
      <c r="CN117" s="2315"/>
      <c r="CO117" s="2315"/>
      <c r="CP117" s="2317"/>
      <c r="CQ117" s="2318"/>
      <c r="CR117" s="2318">
        <f>F117+G117+H117+I117</f>
        <v>0</v>
      </c>
      <c r="CS117" s="2318">
        <f>J117+K117+L117+M117</f>
        <v>0</v>
      </c>
      <c r="CT117" s="2319">
        <f>N117+O117+P117+Q117</f>
        <v>0</v>
      </c>
      <c r="CU117" s="2319">
        <f>R117+S117+T117+U117</f>
        <v>301.61564986527594</v>
      </c>
      <c r="CV117" s="2319">
        <f>V117+W117+X117+Y117</f>
        <v>524.6091665954516</v>
      </c>
      <c r="CW117" s="2319">
        <f>Z117+AA117+AB117+AC117</f>
        <v>51.958513887314709</v>
      </c>
      <c r="CX117" s="2318">
        <f>SUM(AD117:AG117)</f>
        <v>0</v>
      </c>
      <c r="CY117" s="2318">
        <v>0</v>
      </c>
      <c r="CZ117" s="2318">
        <f>AO117+AN117+AM117+AL117</f>
        <v>0</v>
      </c>
      <c r="DA117" s="2318">
        <f>AS117+AR117+AQ117+AP117</f>
        <v>0</v>
      </c>
      <c r="DB117" s="2318">
        <f>SUM(AT117:AW117)</f>
        <v>0</v>
      </c>
      <c r="DC117" s="2318">
        <f>SUM(AX117:BB117)</f>
        <v>0</v>
      </c>
      <c r="DD117" s="2318">
        <f>SUM(BC117:BG117)</f>
        <v>0</v>
      </c>
      <c r="DE117" s="2318">
        <f>SUM(BD117:BH117)</f>
        <v>0</v>
      </c>
      <c r="DF117" s="2312"/>
    </row>
    <row r="118" spans="1:110" s="1715" customFormat="1" hidden="1" outlineLevel="2">
      <c r="A118" s="2284"/>
      <c r="B118" s="2239"/>
      <c r="C118" s="2239"/>
      <c r="D118" s="2239"/>
      <c r="E118" s="2239"/>
      <c r="F118" s="2239"/>
      <c r="G118" s="2239"/>
      <c r="H118" s="2239"/>
      <c r="I118" s="2239"/>
      <c r="J118" s="2239"/>
      <c r="K118" s="2239"/>
      <c r="L118" s="2264"/>
      <c r="M118" s="2239"/>
      <c r="N118" s="2239"/>
      <c r="O118" s="2260"/>
      <c r="P118" s="2287"/>
      <c r="Q118" s="2288"/>
      <c r="R118" s="2288"/>
      <c r="S118" s="2289"/>
      <c r="T118" s="2287"/>
      <c r="U118" s="2288"/>
      <c r="V118" s="2288"/>
      <c r="W118" s="2289"/>
      <c r="X118" s="2287"/>
      <c r="Y118" s="2288"/>
      <c r="Z118" s="2288"/>
      <c r="AA118" s="2289"/>
      <c r="AB118" s="2264"/>
      <c r="AC118" s="2239"/>
      <c r="AD118" s="2239"/>
      <c r="AE118" s="2260"/>
      <c r="AF118" s="2264"/>
      <c r="AG118" s="2239"/>
      <c r="AH118" s="2239"/>
      <c r="AI118" s="2260"/>
      <c r="AJ118" s="2264"/>
      <c r="AK118" s="2239"/>
      <c r="AL118" s="2239"/>
      <c r="AM118" s="2260"/>
      <c r="AN118" s="2264"/>
      <c r="AO118" s="2239"/>
      <c r="AP118" s="2239"/>
      <c r="AQ118" s="2260"/>
      <c r="AR118" s="2264"/>
      <c r="AS118" s="2239"/>
      <c r="AT118" s="2239"/>
      <c r="AU118" s="2260"/>
      <c r="AV118" s="2264"/>
      <c r="AW118" s="2239"/>
      <c r="AX118" s="2239"/>
      <c r="AY118" s="2260"/>
      <c r="AZ118" s="2239"/>
      <c r="BA118" s="2264"/>
      <c r="BB118" s="2239"/>
      <c r="BC118" s="2604"/>
      <c r="BD118" s="2260"/>
      <c r="BE118" s="2239"/>
      <c r="BF118" s="2264"/>
      <c r="BG118" s="2239"/>
      <c r="BH118" s="2239"/>
      <c r="BI118" s="2260"/>
      <c r="BJ118" s="2239"/>
      <c r="BK118" s="2264"/>
      <c r="BL118" s="2239"/>
      <c r="BM118" s="2239"/>
      <c r="BN118" s="2260"/>
      <c r="BO118" s="2239"/>
      <c r="BP118" s="2264"/>
      <c r="BQ118" s="2239"/>
      <c r="BR118" s="2239"/>
      <c r="BS118" s="2260"/>
      <c r="BT118" s="2239"/>
      <c r="BU118" s="2264"/>
      <c r="BV118" s="2239"/>
      <c r="BW118" s="2239"/>
      <c r="BX118" s="2260"/>
      <c r="BY118" s="2244"/>
      <c r="BZ118" s="2259"/>
      <c r="CA118" s="2259"/>
      <c r="CB118" s="2291"/>
      <c r="CC118" s="2291"/>
      <c r="CD118" s="2289"/>
      <c r="CE118" s="2289"/>
      <c r="CF118" s="2289"/>
      <c r="CG118" s="2289"/>
      <c r="CH118" s="2289"/>
      <c r="CI118" s="2289"/>
      <c r="CJ118" s="2289"/>
      <c r="CK118" s="2289"/>
      <c r="CL118" s="2289"/>
      <c r="CM118" s="2289"/>
      <c r="CN118" s="2288"/>
      <c r="CO118" s="2288"/>
      <c r="CP118" s="2244"/>
      <c r="CQ118" s="2259"/>
      <c r="CR118" s="2259"/>
      <c r="CS118" s="2259"/>
      <c r="CT118" s="2291"/>
      <c r="CU118" s="2291"/>
      <c r="CV118" s="2291"/>
      <c r="CW118" s="2291"/>
      <c r="CX118" s="2259"/>
      <c r="CY118" s="2259"/>
      <c r="CZ118" s="2259"/>
      <c r="DA118" s="2259"/>
      <c r="DB118" s="2259"/>
      <c r="DC118" s="2259"/>
      <c r="DD118" s="2259"/>
      <c r="DE118" s="2259"/>
      <c r="DF118" s="2239"/>
    </row>
    <row r="119" spans="1:110" s="1715" customFormat="1" hidden="1" outlineLevel="1">
      <c r="A119" s="2275" t="s">
        <v>320</v>
      </c>
      <c r="B119" s="2239"/>
      <c r="C119" s="2239"/>
      <c r="D119" s="2239"/>
      <c r="E119" s="2239"/>
      <c r="F119" s="2239"/>
      <c r="G119" s="2239"/>
      <c r="H119" s="2239"/>
      <c r="I119" s="2239"/>
      <c r="J119" s="2239"/>
      <c r="K119" s="2239"/>
      <c r="L119" s="2264"/>
      <c r="M119" s="2239"/>
      <c r="N119" s="2239"/>
      <c r="O119" s="2260"/>
      <c r="P119" s="2287"/>
      <c r="Q119" s="2288"/>
      <c r="R119" s="2288"/>
      <c r="S119" s="2289"/>
      <c r="T119" s="2287"/>
      <c r="U119" s="2288"/>
      <c r="V119" s="2288"/>
      <c r="W119" s="2289"/>
      <c r="X119" s="2287"/>
      <c r="Y119" s="2288"/>
      <c r="Z119" s="2288"/>
      <c r="AA119" s="2289"/>
      <c r="AB119" s="2264"/>
      <c r="AC119" s="2239"/>
      <c r="AD119" s="2239"/>
      <c r="AE119" s="2260"/>
      <c r="AF119" s="2264"/>
      <c r="AG119" s="2239"/>
      <c r="AH119" s="2239"/>
      <c r="AI119" s="2260"/>
      <c r="AJ119" s="2264"/>
      <c r="AK119" s="2239"/>
      <c r="AL119" s="2239"/>
      <c r="AM119" s="2260"/>
      <c r="AN119" s="2264"/>
      <c r="AO119" s="2239"/>
      <c r="AP119" s="2239"/>
      <c r="AQ119" s="2260"/>
      <c r="AR119" s="2264"/>
      <c r="AS119" s="2239"/>
      <c r="AT119" s="2239"/>
      <c r="AU119" s="2260"/>
      <c r="AV119" s="2264"/>
      <c r="AW119" s="2239"/>
      <c r="AX119" s="2239"/>
      <c r="AY119" s="2260"/>
      <c r="AZ119" s="2239"/>
      <c r="BA119" s="2264"/>
      <c r="BB119" s="2239"/>
      <c r="BC119" s="2604"/>
      <c r="BD119" s="2260"/>
      <c r="BE119" s="2239"/>
      <c r="BF119" s="2264"/>
      <c r="BG119" s="2239"/>
      <c r="BH119" s="2239"/>
      <c r="BI119" s="2260"/>
      <c r="BJ119" s="2239"/>
      <c r="BK119" s="2264"/>
      <c r="BL119" s="2239"/>
      <c r="BM119" s="2239"/>
      <c r="BN119" s="2260"/>
      <c r="BO119" s="2239"/>
      <c r="BP119" s="2264"/>
      <c r="BQ119" s="2239"/>
      <c r="BR119" s="2239"/>
      <c r="BS119" s="2260"/>
      <c r="BT119" s="2239"/>
      <c r="BU119" s="2264"/>
      <c r="BV119" s="2239"/>
      <c r="BW119" s="2239"/>
      <c r="BX119" s="2260"/>
      <c r="BY119" s="2244"/>
      <c r="BZ119" s="2259"/>
      <c r="CA119" s="2259"/>
      <c r="CB119" s="2291"/>
      <c r="CC119" s="2291"/>
      <c r="CD119" s="2289"/>
      <c r="CE119" s="2289"/>
      <c r="CF119" s="2289"/>
      <c r="CG119" s="2289"/>
      <c r="CH119" s="2289"/>
      <c r="CI119" s="2289"/>
      <c r="CJ119" s="2289"/>
      <c r="CK119" s="2289"/>
      <c r="CL119" s="2289"/>
      <c r="CM119" s="2289"/>
      <c r="CN119" s="2288"/>
      <c r="CO119" s="2288"/>
      <c r="CP119" s="2244"/>
      <c r="CQ119" s="2259"/>
      <c r="CR119" s="2259"/>
      <c r="CS119" s="2259"/>
      <c r="CT119" s="2291"/>
      <c r="CU119" s="2291"/>
      <c r="CV119" s="2291"/>
      <c r="CW119" s="2291"/>
      <c r="CX119" s="2259"/>
      <c r="CY119" s="2259"/>
      <c r="CZ119" s="2259"/>
      <c r="DA119" s="2259"/>
      <c r="DB119" s="2259"/>
      <c r="DC119" s="2259"/>
      <c r="DD119" s="2259"/>
      <c r="DE119" s="2259"/>
      <c r="DF119" s="2239"/>
    </row>
    <row r="120" spans="1:110" s="1715" customFormat="1" hidden="1" outlineLevel="1">
      <c r="A120" s="2293" t="s">
        <v>289</v>
      </c>
      <c r="B120" s="2239"/>
      <c r="C120" s="2239"/>
      <c r="D120" s="2239"/>
      <c r="E120" s="2239"/>
      <c r="F120" s="2239"/>
      <c r="G120" s="2239"/>
      <c r="H120" s="2239"/>
      <c r="I120" s="2239"/>
      <c r="J120" s="2239"/>
      <c r="K120" s="2239"/>
      <c r="L120" s="2264"/>
      <c r="M120" s="2239"/>
      <c r="N120" s="2239"/>
      <c r="O120" s="2260"/>
      <c r="P120" s="2287"/>
      <c r="Q120" s="2288"/>
      <c r="R120" s="2288"/>
      <c r="S120" s="2289"/>
      <c r="T120" s="2287"/>
      <c r="U120" s="2288"/>
      <c r="V120" s="2288"/>
      <c r="W120" s="2289"/>
      <c r="X120" s="2287"/>
      <c r="Y120" s="2298">
        <f t="shared" ref="Y120:BI120" si="210">Y121*Y11</f>
        <v>4.1785531721150004</v>
      </c>
      <c r="Z120" s="2298">
        <f t="shared" si="210"/>
        <v>4.8483805482159754</v>
      </c>
      <c r="AA120" s="2299">
        <f t="shared" si="210"/>
        <v>5.5923672568353782</v>
      </c>
      <c r="AB120" s="2295">
        <f t="shared" si="210"/>
        <v>6.2253939776863447</v>
      </c>
      <c r="AC120" s="2294">
        <f t="shared" si="210"/>
        <v>5.3182426745303566</v>
      </c>
      <c r="AD120" s="2294">
        <f t="shared" si="210"/>
        <v>2.9668321093923646</v>
      </c>
      <c r="AE120" s="2296">
        <f t="shared" si="210"/>
        <v>3.3030185955480076</v>
      </c>
      <c r="AF120" s="2295">
        <f t="shared" si="210"/>
        <v>3.3443328516249973</v>
      </c>
      <c r="AG120" s="2294">
        <f t="shared" si="210"/>
        <v>3.222227395268741</v>
      </c>
      <c r="AH120" s="2294">
        <f t="shared" si="210"/>
        <v>3.0922151838951235</v>
      </c>
      <c r="AI120" s="2296">
        <f t="shared" si="210"/>
        <v>3.1406285837976053</v>
      </c>
      <c r="AJ120" s="2295">
        <f t="shared" si="210"/>
        <v>2.6105449257319502</v>
      </c>
      <c r="AK120" s="2294">
        <f t="shared" si="210"/>
        <v>1.9779511296885479</v>
      </c>
      <c r="AL120" s="2294">
        <f t="shared" si="210"/>
        <v>1.6977427030426195</v>
      </c>
      <c r="AM120" s="2296">
        <f t="shared" si="210"/>
        <v>1.6832729782307561</v>
      </c>
      <c r="AN120" s="2295">
        <f t="shared" si="210"/>
        <v>1.1543126623994038</v>
      </c>
      <c r="AO120" s="2294">
        <f t="shared" si="210"/>
        <v>0.6364774894179196</v>
      </c>
      <c r="AP120" s="2294">
        <f t="shared" si="210"/>
        <v>0</v>
      </c>
      <c r="AQ120" s="2296">
        <f t="shared" si="210"/>
        <v>0</v>
      </c>
      <c r="AR120" s="2295">
        <f t="shared" si="210"/>
        <v>0</v>
      </c>
      <c r="AS120" s="2294">
        <f t="shared" si="210"/>
        <v>0</v>
      </c>
      <c r="AT120" s="2294">
        <f t="shared" si="210"/>
        <v>0</v>
      </c>
      <c r="AU120" s="2296">
        <f t="shared" si="210"/>
        <v>0</v>
      </c>
      <c r="AV120" s="2295">
        <f t="shared" si="210"/>
        <v>0</v>
      </c>
      <c r="AW120" s="2294">
        <f t="shared" si="210"/>
        <v>0</v>
      </c>
      <c r="AX120" s="2294">
        <f t="shared" si="210"/>
        <v>0</v>
      </c>
      <c r="AY120" s="2296">
        <f t="shared" si="210"/>
        <v>0</v>
      </c>
      <c r="AZ120" s="2294"/>
      <c r="BA120" s="2295">
        <f t="shared" si="210"/>
        <v>0</v>
      </c>
      <c r="BB120" s="2294">
        <f t="shared" si="210"/>
        <v>0</v>
      </c>
      <c r="BC120" s="2598">
        <f t="shared" si="210"/>
        <v>0</v>
      </c>
      <c r="BD120" s="2296">
        <f t="shared" si="210"/>
        <v>0</v>
      </c>
      <c r="BE120" s="2294"/>
      <c r="BF120" s="2295">
        <f t="shared" si="210"/>
        <v>0</v>
      </c>
      <c r="BG120" s="2294">
        <f t="shared" si="210"/>
        <v>0</v>
      </c>
      <c r="BH120" s="2294">
        <f t="shared" si="210"/>
        <v>0</v>
      </c>
      <c r="BI120" s="2296">
        <f t="shared" si="210"/>
        <v>0</v>
      </c>
      <c r="BJ120" s="2294"/>
      <c r="BK120" s="2295">
        <f>BK121*BK11</f>
        <v>0</v>
      </c>
      <c r="BL120" s="2294">
        <f>BL121*BL11</f>
        <v>0</v>
      </c>
      <c r="BM120" s="2294">
        <f>BM121*BM11</f>
        <v>0</v>
      </c>
      <c r="BN120" s="2296">
        <f>BN121*BN11</f>
        <v>0</v>
      </c>
      <c r="BO120" s="2294"/>
      <c r="BP120" s="2295">
        <f>BP121*BP11</f>
        <v>0</v>
      </c>
      <c r="BQ120" s="2294">
        <f>BQ121*BQ11</f>
        <v>0</v>
      </c>
      <c r="BR120" s="2294">
        <f>BR121*BR11</f>
        <v>0</v>
      </c>
      <c r="BS120" s="2296">
        <f>BS121*BS11</f>
        <v>0</v>
      </c>
      <c r="BT120" s="2294"/>
      <c r="BU120" s="2295">
        <f>BU121*BU11</f>
        <v>0</v>
      </c>
      <c r="BV120" s="2294">
        <f>BV121*BV11</f>
        <v>0</v>
      </c>
      <c r="BW120" s="2294">
        <f>BW121*BW11</f>
        <v>0</v>
      </c>
      <c r="BX120" s="2296">
        <f>BX121*BX11</f>
        <v>0</v>
      </c>
      <c r="BY120" s="2244"/>
      <c r="BZ120" s="2259"/>
      <c r="CA120" s="2259"/>
      <c r="CB120" s="2300">
        <f>P120+Q120+R120+S120</f>
        <v>0</v>
      </c>
      <c r="CC120" s="2300">
        <f>T120+U120+V120+W120</f>
        <v>0</v>
      </c>
      <c r="CD120" s="2299">
        <f>X120+Y120+Z120+AA120</f>
        <v>14.619300977166354</v>
      </c>
      <c r="CE120" s="2299">
        <f>AB120+AC120+AD120+AE120</f>
        <v>17.813487357157072</v>
      </c>
      <c r="CF120" s="2299">
        <f>SUM(AF120:AI120)</f>
        <v>12.799404014586466</v>
      </c>
      <c r="CG120" s="2299">
        <f>SUM(AJ120:AM120)</f>
        <v>7.9695117366938728</v>
      </c>
      <c r="CH120" s="2299">
        <f>SUM(AN120:AQ120)</f>
        <v>1.7907901518173235</v>
      </c>
      <c r="CI120" s="2277">
        <f>SUM(AR120:AU120)</f>
        <v>0</v>
      </c>
      <c r="CJ120" s="2299">
        <f>SUM(AV120:AY120)</f>
        <v>0</v>
      </c>
      <c r="CK120" s="2277">
        <f>SUM(BA120:BD120)</f>
        <v>0</v>
      </c>
      <c r="CL120" s="2277">
        <f>SUM(BF120:BI120)</f>
        <v>0</v>
      </c>
      <c r="CM120" s="2277">
        <f>SUM(BG120:BK120)</f>
        <v>0</v>
      </c>
      <c r="CN120" s="2276"/>
      <c r="CO120" s="2276"/>
      <c r="CP120" s="2244"/>
      <c r="CQ120" s="2259"/>
      <c r="CR120" s="2261">
        <f>F120+G120+H120+I120</f>
        <v>0</v>
      </c>
      <c r="CS120" s="2261">
        <f>J120+K120+L120+M120</f>
        <v>0</v>
      </c>
      <c r="CT120" s="2300">
        <f>N120+O120+P120+Q120</f>
        <v>0</v>
      </c>
      <c r="CU120" s="2300">
        <f>R120+S120+T120+U120</f>
        <v>0</v>
      </c>
      <c r="CV120" s="2300">
        <f>V120+W120+X120+Y120</f>
        <v>4.1785531721150004</v>
      </c>
      <c r="CW120" s="2300">
        <f>Z120+AA120+AB120+AC120</f>
        <v>21.984384457268053</v>
      </c>
      <c r="CX120" s="2302">
        <f>AD120+AE120+AF120+AG120</f>
        <v>12.836410951834111</v>
      </c>
      <c r="CY120" s="2302">
        <f>SUM(AH120:AK120)</f>
        <v>10.821339823113227</v>
      </c>
      <c r="CZ120" s="2302">
        <f>SUM(AL120:AO120)</f>
        <v>5.1718058330906986</v>
      </c>
      <c r="DA120" s="2302">
        <f>SUM(AP120:AS120)</f>
        <v>0</v>
      </c>
      <c r="DB120" s="2302">
        <f>SUM(AT120:AW120)</f>
        <v>0</v>
      </c>
      <c r="DC120" s="2302">
        <f>SUM(AX120:BB120)</f>
        <v>0</v>
      </c>
      <c r="DD120" s="2300">
        <f>SUM(BC120:BG120)</f>
        <v>0</v>
      </c>
      <c r="DE120" s="2300">
        <f>SUM(BD120:BH120)</f>
        <v>0</v>
      </c>
      <c r="DF120" s="2298"/>
    </row>
    <row r="121" spans="1:110" s="1715" customFormat="1" hidden="1" outlineLevel="2">
      <c r="A121" s="2303" t="s">
        <v>15</v>
      </c>
      <c r="B121" s="2239"/>
      <c r="C121" s="2239"/>
      <c r="D121" s="2239"/>
      <c r="E121" s="2239"/>
      <c r="F121" s="2239"/>
      <c r="G121" s="2239"/>
      <c r="H121" s="2239"/>
      <c r="I121" s="2239"/>
      <c r="J121" s="2239"/>
      <c r="K121" s="2239"/>
      <c r="L121" s="2264"/>
      <c r="M121" s="2239"/>
      <c r="N121" s="2239"/>
      <c r="O121" s="2260"/>
      <c r="P121" s="2287"/>
      <c r="Q121" s="2288"/>
      <c r="R121" s="2288"/>
      <c r="S121" s="2289"/>
      <c r="T121" s="2287"/>
      <c r="U121" s="2288"/>
      <c r="V121" s="2288"/>
      <c r="W121" s="2289"/>
      <c r="X121" s="2287"/>
      <c r="Y121" s="2266">
        <f>11%-Y115</f>
        <v>0.06</v>
      </c>
      <c r="Z121" s="2266">
        <f>10%-Z115</f>
        <v>0.08</v>
      </c>
      <c r="AA121" s="2266">
        <f>10%-AA115</f>
        <v>9.0000000000000011E-2</v>
      </c>
      <c r="AB121" s="2304">
        <v>0.1</v>
      </c>
      <c r="AC121" s="2273">
        <v>0.08</v>
      </c>
      <c r="AD121" s="2273">
        <v>0.05</v>
      </c>
      <c r="AE121" s="2305">
        <v>5.2999999999999999E-2</v>
      </c>
      <c r="AF121" s="2304">
        <v>0.05</v>
      </c>
      <c r="AG121" s="2273">
        <v>0.05</v>
      </c>
      <c r="AH121" s="2273">
        <v>0.05</v>
      </c>
      <c r="AI121" s="2305">
        <v>0.05</v>
      </c>
      <c r="AJ121" s="2304">
        <v>0.04</v>
      </c>
      <c r="AK121" s="2273">
        <v>0.03</v>
      </c>
      <c r="AL121" s="2273">
        <v>0.03</v>
      </c>
      <c r="AM121" s="2305">
        <v>0.03</v>
      </c>
      <c r="AN121" s="2304">
        <v>0.02</v>
      </c>
      <c r="AO121" s="2273">
        <v>0.01</v>
      </c>
      <c r="AP121" s="2273">
        <v>0</v>
      </c>
      <c r="AQ121" s="2305">
        <v>0</v>
      </c>
      <c r="AR121" s="2304">
        <v>0</v>
      </c>
      <c r="AS121" s="2273">
        <v>0</v>
      </c>
      <c r="AT121" s="2273">
        <v>0</v>
      </c>
      <c r="AU121" s="2305">
        <v>0</v>
      </c>
      <c r="AV121" s="2304">
        <v>0</v>
      </c>
      <c r="AW121" s="2273">
        <v>0</v>
      </c>
      <c r="AX121" s="2273">
        <v>0</v>
      </c>
      <c r="AY121" s="2305">
        <v>0</v>
      </c>
      <c r="AZ121" s="2273"/>
      <c r="BA121" s="2304">
        <v>0</v>
      </c>
      <c r="BB121" s="2273">
        <v>0</v>
      </c>
      <c r="BC121" s="188">
        <v>0</v>
      </c>
      <c r="BD121" s="2305">
        <v>0</v>
      </c>
      <c r="BE121" s="2273"/>
      <c r="BF121" s="2304">
        <v>0</v>
      </c>
      <c r="BG121" s="2273">
        <v>0</v>
      </c>
      <c r="BH121" s="2273">
        <v>0</v>
      </c>
      <c r="BI121" s="2305">
        <v>0</v>
      </c>
      <c r="BJ121" s="2273"/>
      <c r="BK121" s="2304">
        <v>0</v>
      </c>
      <c r="BL121" s="2273">
        <v>0</v>
      </c>
      <c r="BM121" s="2273">
        <v>0</v>
      </c>
      <c r="BN121" s="2305">
        <v>0</v>
      </c>
      <c r="BO121" s="2273"/>
      <c r="BP121" s="2304">
        <v>0</v>
      </c>
      <c r="BQ121" s="2273">
        <v>0</v>
      </c>
      <c r="BR121" s="2273">
        <v>0</v>
      </c>
      <c r="BS121" s="2305">
        <v>0</v>
      </c>
      <c r="BT121" s="2273"/>
      <c r="BU121" s="2304">
        <v>0</v>
      </c>
      <c r="BV121" s="2273">
        <v>0</v>
      </c>
      <c r="BW121" s="2273">
        <v>0</v>
      </c>
      <c r="BX121" s="2305">
        <v>0</v>
      </c>
      <c r="BY121" s="2244"/>
      <c r="BZ121" s="2259"/>
      <c r="CA121" s="2259"/>
      <c r="CB121" s="2308">
        <f t="shared" ref="CB121:CI121" si="211">CB120/CB$167</f>
        <v>0</v>
      </c>
      <c r="CC121" s="2308">
        <f t="shared" si="211"/>
        <v>0</v>
      </c>
      <c r="CD121" s="2267">
        <f t="shared" si="211"/>
        <v>5.8024003035980876E-2</v>
      </c>
      <c r="CE121" s="2267">
        <f t="shared" si="211"/>
        <v>7.1143045680769068E-2</v>
      </c>
      <c r="CF121" s="2267">
        <f t="shared" si="211"/>
        <v>0.05</v>
      </c>
      <c r="CG121" s="2267">
        <f t="shared" si="211"/>
        <v>3.1813067231102159E-2</v>
      </c>
      <c r="CH121" s="2267">
        <f t="shared" si="211"/>
        <v>7.1329723781065257E-3</v>
      </c>
      <c r="CI121" s="2267">
        <f t="shared" si="211"/>
        <v>0</v>
      </c>
      <c r="CJ121" s="2267">
        <f>CJ120/CJ$167</f>
        <v>0</v>
      </c>
      <c r="CK121" s="2267">
        <f>CK120/CK$167</f>
        <v>0</v>
      </c>
      <c r="CL121" s="2267">
        <f>CL120/CL$167</f>
        <v>0</v>
      </c>
      <c r="CM121" s="2267">
        <f>CM120/CM$167</f>
        <v>0</v>
      </c>
      <c r="CN121" s="2266"/>
      <c r="CO121" s="2266"/>
      <c r="CP121" s="2244"/>
      <c r="CQ121" s="2259"/>
      <c r="CR121" s="2307">
        <f t="shared" ref="CR121:CX121" si="212">CR120/CR$167</f>
        <v>0</v>
      </c>
      <c r="CS121" s="2307">
        <f t="shared" si="212"/>
        <v>0</v>
      </c>
      <c r="CT121" s="2308">
        <f t="shared" si="212"/>
        <v>0</v>
      </c>
      <c r="CU121" s="2308">
        <f t="shared" si="212"/>
        <v>0</v>
      </c>
      <c r="CV121" s="2308">
        <f t="shared" si="212"/>
        <v>1.8569502950576616E-2</v>
      </c>
      <c r="CW121" s="2308">
        <f t="shared" si="212"/>
        <v>8.7422047075314618E-2</v>
      </c>
      <c r="CX121" s="2308">
        <f t="shared" si="212"/>
        <v>5.0739017710980001E-2</v>
      </c>
      <c r="CY121" s="2308">
        <f>SUM(AH120:AK120)/SUM(AH$11:AK$11)</f>
        <v>4.229527713201648E-2</v>
      </c>
      <c r="CZ121" s="2308">
        <f>SUM(AL120:AO120)/SUM(AL$11:AO$11)</f>
        <v>2.2095700053168743E-2</v>
      </c>
      <c r="DA121" s="2308">
        <f>SUM(AP120:AS120)/SUM(AP$11:AS$11)</f>
        <v>0</v>
      </c>
      <c r="DB121" s="2308">
        <f>DB120/DB$167</f>
        <v>0</v>
      </c>
      <c r="DC121" s="2308">
        <f>DC120/DC$167</f>
        <v>0</v>
      </c>
      <c r="DD121" s="2308">
        <f>DD120/DD$167</f>
        <v>0</v>
      </c>
      <c r="DE121" s="2308">
        <f>DE120/DE$167</f>
        <v>0</v>
      </c>
      <c r="DF121" s="2266"/>
    </row>
    <row r="122" spans="1:110" s="1715" customFormat="1" hidden="1" outlineLevel="2">
      <c r="A122" s="2238" t="s">
        <v>121</v>
      </c>
      <c r="B122" s="2239"/>
      <c r="C122" s="2239"/>
      <c r="D122" s="2239"/>
      <c r="E122" s="2239"/>
      <c r="F122" s="2239"/>
      <c r="G122" s="2239"/>
      <c r="H122" s="2239"/>
      <c r="I122" s="2239"/>
      <c r="J122" s="2239"/>
      <c r="K122" s="2239"/>
      <c r="L122" s="2264"/>
      <c r="M122" s="2239"/>
      <c r="N122" s="2239"/>
      <c r="O122" s="2260"/>
      <c r="P122" s="2287"/>
      <c r="Q122" s="2288"/>
      <c r="R122" s="2288"/>
      <c r="S122" s="2289"/>
      <c r="T122" s="2287"/>
      <c r="U122" s="2288"/>
      <c r="V122" s="2288"/>
      <c r="W122" s="2289"/>
      <c r="X122" s="2287"/>
      <c r="Y122" s="2288" t="s">
        <v>106</v>
      </c>
      <c r="Z122" s="2288" t="s">
        <v>106</v>
      </c>
      <c r="AA122" s="2289" t="s">
        <v>106</v>
      </c>
      <c r="AB122" s="2264" t="s">
        <v>106</v>
      </c>
      <c r="AC122" s="2250">
        <f t="shared" ref="AC122:AI122" si="213">AC120/Y120-1</f>
        <v>0.27274739735775455</v>
      </c>
      <c r="AD122" s="2250">
        <f t="shared" si="213"/>
        <v>-0.38807771380816036</v>
      </c>
      <c r="AE122" s="2257">
        <f t="shared" si="213"/>
        <v>-0.40937022841072723</v>
      </c>
      <c r="AF122" s="2256">
        <f t="shared" si="213"/>
        <v>-0.46279177452670839</v>
      </c>
      <c r="AG122" s="2250">
        <f t="shared" si="213"/>
        <v>-0.39411802122149509</v>
      </c>
      <c r="AH122" s="2250">
        <f t="shared" si="213"/>
        <v>4.2261600885949102E-2</v>
      </c>
      <c r="AI122" s="2257">
        <f t="shared" si="213"/>
        <v>-4.9164122772206165E-2</v>
      </c>
      <c r="AJ122" s="2256">
        <f t="shared" ref="AJ122:AS122" si="214">IF(OR(AJ120=0,AF120=0),"NM",AJ120/AF120-1)</f>
        <v>-0.21941234872494897</v>
      </c>
      <c r="AK122" s="2250">
        <f t="shared" si="214"/>
        <v>-0.38615408316842814</v>
      </c>
      <c r="AL122" s="2250">
        <f t="shared" si="214"/>
        <v>-0.45096230304902329</v>
      </c>
      <c r="AM122" s="2257">
        <f t="shared" si="214"/>
        <v>-0.46403309614046584</v>
      </c>
      <c r="AN122" s="2256">
        <f t="shared" si="214"/>
        <v>-0.55782693068354106</v>
      </c>
      <c r="AO122" s="2250">
        <f t="shared" si="214"/>
        <v>-0.67821374357305753</v>
      </c>
      <c r="AP122" s="2250" t="str">
        <f t="shared" si="214"/>
        <v>NM</v>
      </c>
      <c r="AQ122" s="2257" t="str">
        <f t="shared" si="214"/>
        <v>NM</v>
      </c>
      <c r="AR122" s="2256" t="str">
        <f t="shared" si="214"/>
        <v>NM</v>
      </c>
      <c r="AS122" s="2250" t="str">
        <f t="shared" si="214"/>
        <v>NM</v>
      </c>
      <c r="AT122" s="2250" t="str">
        <f>IF(OR(AT120=0,AP120=0),"NM",AT120/AP120-1)</f>
        <v>NM</v>
      </c>
      <c r="AU122" s="2257" t="str">
        <f>IF(OR(AU120=0,AQ120=0),"NM",AU120/AQ120-1)</f>
        <v>NM</v>
      </c>
      <c r="AV122" s="2256" t="str">
        <f t="shared" ref="AV122:AY122" si="215">IF(OR(AV120=0,AR120=0),"NM",AV120/AR120-1)</f>
        <v>NM</v>
      </c>
      <c r="AW122" s="2250" t="str">
        <f t="shared" si="215"/>
        <v>NM</v>
      </c>
      <c r="AX122" s="2250" t="str">
        <f t="shared" si="215"/>
        <v>NM</v>
      </c>
      <c r="AY122" s="2257" t="str">
        <f t="shared" si="215"/>
        <v>NM</v>
      </c>
      <c r="AZ122" s="2250"/>
      <c r="BA122" s="2256" t="str">
        <f>IF(OR(BA120=0,AV120=0),"NM",BA120/AV120-1)</f>
        <v>NM</v>
      </c>
      <c r="BB122" s="2250" t="str">
        <f>IF(OR(BB120=0,AW120=0),"NM",BB120/AW120-1)</f>
        <v>NM</v>
      </c>
      <c r="BC122" s="2603" t="str">
        <f>IF(OR(BC120=0,AX120=0),"NM",BC120/AX120-1)</f>
        <v>NM</v>
      </c>
      <c r="BD122" s="2257" t="str">
        <f>IF(OR(BD120=0,AY120=0),"NM",BD120/AY120-1)</f>
        <v>NM</v>
      </c>
      <c r="BE122" s="2250"/>
      <c r="BF122" s="2256" t="str">
        <f>IF(OR(BF120=0,BA120=0),"NM",BF120/BA120-1)</f>
        <v>NM</v>
      </c>
      <c r="BG122" s="2250" t="str">
        <f>IF(OR(BG120=0,BB120=0),"NM",BG120/BB120-1)</f>
        <v>NM</v>
      </c>
      <c r="BH122" s="2250" t="str">
        <f>IF(OR(BH120=0,BC120=0),"NM",BH120/BC120-1)</f>
        <v>NM</v>
      </c>
      <c r="BI122" s="2257" t="str">
        <f>IF(OR(BI120=0,BD120=0),"NM",BI120/BD120-1)</f>
        <v>NM</v>
      </c>
      <c r="BJ122" s="2250"/>
      <c r="BK122" s="2256" t="str">
        <f>IF(OR(BK120=0,BF120=0),"NM",BK120/BF120-1)</f>
        <v>NM</v>
      </c>
      <c r="BL122" s="2250" t="str">
        <f>IF(OR(BL120=0,BG120=0),"NM",BL120/BG120-1)</f>
        <v>NM</v>
      </c>
      <c r="BM122" s="2250" t="str">
        <f>IF(OR(BM120=0,BH120=0),"NM",BM120/BH120-1)</f>
        <v>NM</v>
      </c>
      <c r="BN122" s="2257" t="str">
        <f>IF(OR(BN120=0,BI120=0),"NM",BN120/BI120-1)</f>
        <v>NM</v>
      </c>
      <c r="BO122" s="2250"/>
      <c r="BP122" s="2256" t="str">
        <f>IF(OR(BP120=0,BK120=0),"NM",BP120/BK120-1)</f>
        <v>NM</v>
      </c>
      <c r="BQ122" s="2250" t="str">
        <f>IF(OR(BQ120=0,BL120=0),"NM",BQ120/BL120-1)</f>
        <v>NM</v>
      </c>
      <c r="BR122" s="2250" t="str">
        <f>IF(OR(BR120=0,BM120=0),"NM",BR120/BM120-1)</f>
        <v>NM</v>
      </c>
      <c r="BS122" s="2257" t="str">
        <f>IF(OR(BS120=0,BN120=0),"NM",BS120/BN120-1)</f>
        <v>NM</v>
      </c>
      <c r="BT122" s="2250"/>
      <c r="BU122" s="2256" t="str">
        <f>IF(OR(BU120=0,BP120=0),"NM",BU120/BP120-1)</f>
        <v>NM</v>
      </c>
      <c r="BV122" s="2250" t="str">
        <f>IF(OR(BV120=0,BQ120=0),"NM",BV120/BQ120-1)</f>
        <v>NM</v>
      </c>
      <c r="BW122" s="2250" t="str">
        <f>IF(OR(BW120=0,BR120=0),"NM",BW120/BR120-1)</f>
        <v>NM</v>
      </c>
      <c r="BX122" s="2257" t="str">
        <f>IF(OR(BX120=0,BS120=0),"NM",BX120/BS120-1)</f>
        <v>NM</v>
      </c>
      <c r="BY122" s="2244"/>
      <c r="BZ122" s="2259"/>
      <c r="CA122" s="2259"/>
      <c r="CB122" s="2247" t="str">
        <f t="shared" ref="CB122:CM122" si="216">IF(OR(CA120=0,CB120=0),"NM",CB120/CA120-1)</f>
        <v>NM</v>
      </c>
      <c r="CC122" s="2247" t="str">
        <f t="shared" si="216"/>
        <v>NM</v>
      </c>
      <c r="CD122" s="2242" t="str">
        <f t="shared" si="216"/>
        <v>NM</v>
      </c>
      <c r="CE122" s="2242">
        <f t="shared" si="216"/>
        <v>0.21849104721078416</v>
      </c>
      <c r="CF122" s="2242">
        <f t="shared" si="216"/>
        <v>-0.28147679575813411</v>
      </c>
      <c r="CG122" s="2242">
        <f t="shared" si="216"/>
        <v>-0.37735290427494494</v>
      </c>
      <c r="CH122" s="2242">
        <f t="shared" si="216"/>
        <v>-0.77529487238571693</v>
      </c>
      <c r="CI122" s="2242" t="str">
        <f t="shared" si="216"/>
        <v>NM</v>
      </c>
      <c r="CJ122" s="2242" t="str">
        <f t="shared" si="216"/>
        <v>NM</v>
      </c>
      <c r="CK122" s="2242" t="str">
        <f t="shared" si="216"/>
        <v>NM</v>
      </c>
      <c r="CL122" s="2242" t="str">
        <f t="shared" si="216"/>
        <v>NM</v>
      </c>
      <c r="CM122" s="2242" t="str">
        <f t="shared" si="216"/>
        <v>NM</v>
      </c>
      <c r="CN122" s="2240"/>
      <c r="CO122" s="2240"/>
      <c r="CP122" s="2244"/>
      <c r="CQ122" s="2259"/>
      <c r="CR122" s="2246"/>
      <c r="CS122" s="2246" t="str">
        <f t="shared" ref="CS122:DA122" si="217">IF(OR(CR120=0,CS120=0),"NM",CS120/CR120-1)</f>
        <v>NM</v>
      </c>
      <c r="CT122" s="2247" t="str">
        <f t="shared" si="217"/>
        <v>NM</v>
      </c>
      <c r="CU122" s="2247" t="str">
        <f t="shared" si="217"/>
        <v>NM</v>
      </c>
      <c r="CV122" s="2247" t="str">
        <f t="shared" si="217"/>
        <v>NM</v>
      </c>
      <c r="CW122" s="2247">
        <f t="shared" si="217"/>
        <v>4.2612431987171586</v>
      </c>
      <c r="CX122" s="2247">
        <f t="shared" si="217"/>
        <v>-0.41611233297048789</v>
      </c>
      <c r="CY122" s="2247">
        <f t="shared" si="217"/>
        <v>-0.15698088322990023</v>
      </c>
      <c r="CZ122" s="2247">
        <f t="shared" si="217"/>
        <v>-0.52207342920289102</v>
      </c>
      <c r="DA122" s="2247" t="str">
        <f t="shared" si="217"/>
        <v>NM</v>
      </c>
      <c r="DB122" s="2247" t="str">
        <f>IF(OR(DA120=0,DB120=0),"NM",DB120/DA120-1)</f>
        <v>NM</v>
      </c>
      <c r="DC122" s="2247" t="str">
        <f>IF(OR(DB120=0,DC120=0),"NM",DC120/DB120-1)</f>
        <v>NM</v>
      </c>
      <c r="DD122" s="2247" t="str">
        <f>IF(OR(DB120=0,DD120=0),"NM",DD120/DB120-1)</f>
        <v>NM</v>
      </c>
      <c r="DE122" s="2247" t="str">
        <f>IF(OR(DC120=0,DE120=0),"NM",DE120/DC120-1)</f>
        <v>NM</v>
      </c>
      <c r="DF122" s="2240"/>
    </row>
    <row r="123" spans="1:110" s="1715" customFormat="1" hidden="1" outlineLevel="1">
      <c r="A123" s="2311" t="s">
        <v>290</v>
      </c>
      <c r="B123" s="2312"/>
      <c r="C123" s="2312"/>
      <c r="D123" s="2312"/>
      <c r="E123" s="2312"/>
      <c r="F123" s="2312"/>
      <c r="G123" s="2312"/>
      <c r="H123" s="2312"/>
      <c r="I123" s="2312"/>
      <c r="J123" s="2312"/>
      <c r="K123" s="2312"/>
      <c r="L123" s="2313"/>
      <c r="M123" s="2312"/>
      <c r="N123" s="2312"/>
      <c r="O123" s="2314"/>
      <c r="P123" s="2290"/>
      <c r="Q123" s="2315"/>
      <c r="R123" s="2315"/>
      <c r="S123" s="2316"/>
      <c r="T123" s="2290"/>
      <c r="U123" s="2315"/>
      <c r="V123" s="2315"/>
      <c r="W123" s="2316"/>
      <c r="X123" s="2290"/>
      <c r="Y123" s="2315">
        <f t="shared" ref="Y123:AS123" si="218">Y120*Y218</f>
        <v>125.35659516345001</v>
      </c>
      <c r="Z123" s="2315">
        <f t="shared" si="218"/>
        <v>145.45141644647927</v>
      </c>
      <c r="AA123" s="2316">
        <f t="shared" si="218"/>
        <v>167.77101770506135</v>
      </c>
      <c r="AB123" s="2313">
        <f t="shared" si="218"/>
        <v>186.76181933059036</v>
      </c>
      <c r="AC123" s="2312">
        <f t="shared" si="218"/>
        <v>159.5472802359107</v>
      </c>
      <c r="AD123" s="2312">
        <f t="shared" si="218"/>
        <v>89.004963281770941</v>
      </c>
      <c r="AE123" s="2314">
        <f t="shared" si="218"/>
        <v>99.090557866440221</v>
      </c>
      <c r="AF123" s="2313">
        <f t="shared" si="218"/>
        <v>100.32998554874992</v>
      </c>
      <c r="AG123" s="2312">
        <f t="shared" si="218"/>
        <v>96.666821858062235</v>
      </c>
      <c r="AH123" s="2312">
        <f t="shared" si="218"/>
        <v>92.766455516853711</v>
      </c>
      <c r="AI123" s="2314">
        <f t="shared" si="218"/>
        <v>94.218857513928157</v>
      </c>
      <c r="AJ123" s="2313">
        <f t="shared" si="218"/>
        <v>78.316347771958505</v>
      </c>
      <c r="AK123" s="2312">
        <f t="shared" si="218"/>
        <v>59.338533890656436</v>
      </c>
      <c r="AL123" s="2312">
        <f t="shared" si="218"/>
        <v>50.932281091278583</v>
      </c>
      <c r="AM123" s="2314">
        <f t="shared" si="218"/>
        <v>50.498189346922679</v>
      </c>
      <c r="AN123" s="2313">
        <f t="shared" si="218"/>
        <v>34.62937987198211</v>
      </c>
      <c r="AO123" s="2312">
        <f t="shared" si="218"/>
        <v>19.094324682537589</v>
      </c>
      <c r="AP123" s="2312">
        <f t="shared" si="218"/>
        <v>0</v>
      </c>
      <c r="AQ123" s="2314">
        <f t="shared" si="218"/>
        <v>0</v>
      </c>
      <c r="AR123" s="2313">
        <f t="shared" si="218"/>
        <v>0</v>
      </c>
      <c r="AS123" s="2312">
        <f t="shared" si="218"/>
        <v>0</v>
      </c>
      <c r="AT123" s="2312">
        <f>AT120*AT218</f>
        <v>0</v>
      </c>
      <c r="AU123" s="2314">
        <f>AU120*AU218</f>
        <v>0</v>
      </c>
      <c r="AV123" s="2313">
        <f t="shared" ref="AV123:BI123" si="219">AV120*AV218</f>
        <v>0</v>
      </c>
      <c r="AW123" s="2312">
        <f t="shared" si="219"/>
        <v>0</v>
      </c>
      <c r="AX123" s="2312">
        <f t="shared" si="219"/>
        <v>0</v>
      </c>
      <c r="AY123" s="2314">
        <f t="shared" si="219"/>
        <v>0</v>
      </c>
      <c r="AZ123" s="2312"/>
      <c r="BA123" s="2313">
        <f t="shared" si="219"/>
        <v>0</v>
      </c>
      <c r="BB123" s="2312">
        <f t="shared" si="219"/>
        <v>0</v>
      </c>
      <c r="BC123" s="1710">
        <f t="shared" si="219"/>
        <v>0</v>
      </c>
      <c r="BD123" s="2314">
        <f t="shared" si="219"/>
        <v>0</v>
      </c>
      <c r="BE123" s="2312"/>
      <c r="BF123" s="2313">
        <f t="shared" si="219"/>
        <v>0</v>
      </c>
      <c r="BG123" s="2312">
        <f t="shared" si="219"/>
        <v>0</v>
      </c>
      <c r="BH123" s="2312">
        <f t="shared" si="219"/>
        <v>0</v>
      </c>
      <c r="BI123" s="2314">
        <f t="shared" si="219"/>
        <v>0</v>
      </c>
      <c r="BJ123" s="2312"/>
      <c r="BK123" s="2313">
        <f>BK120*BK218</f>
        <v>0</v>
      </c>
      <c r="BL123" s="2312">
        <f>BL120*BL218</f>
        <v>0</v>
      </c>
      <c r="BM123" s="2312">
        <f>BM120*BM218</f>
        <v>0</v>
      </c>
      <c r="BN123" s="2314">
        <f>BN120*BN218</f>
        <v>0</v>
      </c>
      <c r="BO123" s="2312"/>
      <c r="BP123" s="2313">
        <f>BP120*BP218</f>
        <v>0</v>
      </c>
      <c r="BQ123" s="2312">
        <f>BQ120*BQ218</f>
        <v>0</v>
      </c>
      <c r="BR123" s="2312">
        <f>BR120*BR218</f>
        <v>0</v>
      </c>
      <c r="BS123" s="2314">
        <f>BS120*BS218</f>
        <v>0</v>
      </c>
      <c r="BT123" s="2312"/>
      <c r="BU123" s="2313">
        <f>BU120*BU218</f>
        <v>0</v>
      </c>
      <c r="BV123" s="2312">
        <f>BV120*BV218</f>
        <v>0</v>
      </c>
      <c r="BW123" s="2312">
        <f>BW120*BW218</f>
        <v>0</v>
      </c>
      <c r="BX123" s="2314">
        <f>BX120*BX218</f>
        <v>0</v>
      </c>
      <c r="BY123" s="2317"/>
      <c r="BZ123" s="2318"/>
      <c r="CA123" s="2318"/>
      <c r="CB123" s="2319">
        <f>P123+Q123+R123+S123</f>
        <v>0</v>
      </c>
      <c r="CC123" s="2319">
        <f>T123+U123+V123+W123</f>
        <v>0</v>
      </c>
      <c r="CD123" s="2316">
        <f>X123+Y123+Z123+AA123</f>
        <v>438.57902931499063</v>
      </c>
      <c r="CE123" s="2316">
        <f>AB123+AC123+AD123+AE123</f>
        <v>534.40462071471222</v>
      </c>
      <c r="CF123" s="2316">
        <f>SUM(AF123:AI123)</f>
        <v>383.98212043759395</v>
      </c>
      <c r="CG123" s="2316">
        <f>SUM(AJ123:AM123)</f>
        <v>239.08535210081621</v>
      </c>
      <c r="CH123" s="2316">
        <f>SUM(AN123:AQ123)</f>
        <v>53.723704554519699</v>
      </c>
      <c r="CI123" s="2316">
        <f>SUM(AR123:AU123)</f>
        <v>0</v>
      </c>
      <c r="CJ123" s="2316">
        <f>SUM(AV123:AY123)</f>
        <v>0</v>
      </c>
      <c r="CK123" s="2316">
        <f>SUM(BA123:BD123)</f>
        <v>0</v>
      </c>
      <c r="CL123" s="2316">
        <f>SUM(BF123:BI123)</f>
        <v>0</v>
      </c>
      <c r="CM123" s="2316">
        <f>SUM(BG123:BK123)</f>
        <v>0</v>
      </c>
      <c r="CN123" s="2315"/>
      <c r="CO123" s="2315"/>
      <c r="CP123" s="2317"/>
      <c r="CQ123" s="2318"/>
      <c r="CR123" s="2318">
        <f>F123+G123+H123+I123</f>
        <v>0</v>
      </c>
      <c r="CS123" s="2318">
        <f>J123+K123+L123+M123</f>
        <v>0</v>
      </c>
      <c r="CT123" s="2319">
        <f>N123+O123+P123+Q123</f>
        <v>0</v>
      </c>
      <c r="CU123" s="2319">
        <f>R123+S123+T123+U123</f>
        <v>0</v>
      </c>
      <c r="CV123" s="2319">
        <f>V123+W123+X123+Y123</f>
        <v>125.35659516345001</v>
      </c>
      <c r="CW123" s="2319">
        <f>Z123+AA123+AB123+AC123</f>
        <v>659.5315337180416</v>
      </c>
      <c r="CX123" s="2318">
        <f>SUM(AD123:AG123)</f>
        <v>385.0923285550233</v>
      </c>
      <c r="CY123" s="2318">
        <f>AK123+AJ123+AI123+AH123</f>
        <v>324.64019469339678</v>
      </c>
      <c r="CZ123" s="2318">
        <f>(SUM(AL123:AO123)/SUM(AL120:AO120))*CZ120</f>
        <v>155.15417499272098</v>
      </c>
      <c r="DA123" s="2318">
        <f>AS123+AR123+AQ123+AP123</f>
        <v>0</v>
      </c>
      <c r="DB123" s="2318">
        <f>SUM(AT123:AW123)</f>
        <v>0</v>
      </c>
      <c r="DC123" s="2318">
        <f>SUM(AX123:BB123)</f>
        <v>0</v>
      </c>
      <c r="DD123" s="2318">
        <f>SUM(BC123:BG123)</f>
        <v>0</v>
      </c>
      <c r="DE123" s="2318">
        <f>SUM(BD123:BH123)</f>
        <v>0</v>
      </c>
      <c r="DF123" s="2312"/>
    </row>
    <row r="124" spans="1:110" s="1715" customFormat="1" hidden="1" outlineLevel="1">
      <c r="A124" s="2284"/>
      <c r="B124" s="2239"/>
      <c r="C124" s="2239"/>
      <c r="D124" s="2239"/>
      <c r="E124" s="2239"/>
      <c r="F124" s="2239"/>
      <c r="G124" s="2239"/>
      <c r="H124" s="2239"/>
      <c r="I124" s="2239"/>
      <c r="J124" s="2239"/>
      <c r="K124" s="2239"/>
      <c r="L124" s="2264"/>
      <c r="M124" s="2239"/>
      <c r="N124" s="2239"/>
      <c r="O124" s="2260"/>
      <c r="P124" s="2287"/>
      <c r="Q124" s="2288"/>
      <c r="R124" s="2288"/>
      <c r="S124" s="2289"/>
      <c r="T124" s="2287"/>
      <c r="U124" s="2288"/>
      <c r="V124" s="2288"/>
      <c r="W124" s="2289"/>
      <c r="X124" s="2287"/>
      <c r="Y124" s="2288"/>
      <c r="Z124" s="2288"/>
      <c r="AA124" s="2289"/>
      <c r="AB124" s="2264"/>
      <c r="AC124" s="2239"/>
      <c r="AD124" s="2239"/>
      <c r="AE124" s="2260"/>
      <c r="AF124" s="2264"/>
      <c r="AG124" s="2239"/>
      <c r="AH124" s="2239"/>
      <c r="AI124" s="2260"/>
      <c r="AJ124" s="2264"/>
      <c r="AK124" s="2239"/>
      <c r="AL124" s="2239"/>
      <c r="AM124" s="2260"/>
      <c r="AN124" s="2264"/>
      <c r="AO124" s="2239"/>
      <c r="AP124" s="2239"/>
      <c r="AQ124" s="2260"/>
      <c r="AR124" s="2264"/>
      <c r="AS124" s="2239"/>
      <c r="AT124" s="2239"/>
      <c r="AU124" s="2260"/>
      <c r="AV124" s="2264"/>
      <c r="AW124" s="2239"/>
      <c r="AX124" s="2239"/>
      <c r="AY124" s="2260"/>
      <c r="AZ124" s="2239"/>
      <c r="BA124" s="2264"/>
      <c r="BB124" s="2239"/>
      <c r="BC124" s="2604"/>
      <c r="BD124" s="2260"/>
      <c r="BE124" s="2239"/>
      <c r="BF124" s="2264"/>
      <c r="BG124" s="2239"/>
      <c r="BH124" s="2239"/>
      <c r="BI124" s="2260"/>
      <c r="BJ124" s="2239"/>
      <c r="BK124" s="2264"/>
      <c r="BL124" s="2239"/>
      <c r="BM124" s="2239"/>
      <c r="BN124" s="2260"/>
      <c r="BO124" s="2239"/>
      <c r="BP124" s="2264"/>
      <c r="BQ124" s="2239"/>
      <c r="BR124" s="2239"/>
      <c r="BS124" s="2260"/>
      <c r="BT124" s="2239"/>
      <c r="BU124" s="2264"/>
      <c r="BV124" s="2239"/>
      <c r="BW124" s="2239"/>
      <c r="BX124" s="2260"/>
      <c r="BY124" s="2244"/>
      <c r="BZ124" s="2259"/>
      <c r="CA124" s="2259"/>
      <c r="CB124" s="2291"/>
      <c r="CC124" s="2291"/>
      <c r="CD124" s="2289"/>
      <c r="CE124" s="2289"/>
      <c r="CF124" s="2289"/>
      <c r="CG124" s="2289"/>
      <c r="CH124" s="2289"/>
      <c r="CI124" s="2289"/>
      <c r="CJ124" s="2289"/>
      <c r="CK124" s="2289"/>
      <c r="CL124" s="2289"/>
      <c r="CM124" s="2289"/>
      <c r="CN124" s="2288"/>
      <c r="CO124" s="2288"/>
      <c r="CP124" s="2244"/>
      <c r="CQ124" s="2259"/>
      <c r="CR124" s="2259"/>
      <c r="CS124" s="2259"/>
      <c r="CT124" s="2291"/>
      <c r="CU124" s="2291"/>
      <c r="CV124" s="2291"/>
      <c r="CW124" s="2291"/>
      <c r="CX124" s="2259"/>
      <c r="CY124" s="2259"/>
      <c r="CZ124" s="2261"/>
      <c r="DA124" s="2259"/>
      <c r="DB124" s="2259"/>
      <c r="DC124" s="2259"/>
      <c r="DD124" s="2259"/>
      <c r="DE124" s="2259"/>
      <c r="DF124" s="2239"/>
    </row>
    <row r="125" spans="1:110" s="1715" customFormat="1" hidden="1" outlineLevel="1">
      <c r="A125" s="2275" t="s">
        <v>776</v>
      </c>
      <c r="B125" s="2239"/>
      <c r="C125" s="2239"/>
      <c r="D125" s="2239"/>
      <c r="E125" s="2239"/>
      <c r="F125" s="2239"/>
      <c r="G125" s="2239"/>
      <c r="H125" s="2239"/>
      <c r="I125" s="2239"/>
      <c r="J125" s="2239"/>
      <c r="K125" s="2239"/>
      <c r="L125" s="2264"/>
      <c r="M125" s="2239"/>
      <c r="N125" s="2239"/>
      <c r="O125" s="2260"/>
      <c r="P125" s="2287"/>
      <c r="Q125" s="2288"/>
      <c r="R125" s="2288"/>
      <c r="S125" s="2289"/>
      <c r="T125" s="2287"/>
      <c r="U125" s="2288"/>
      <c r="V125" s="2288"/>
      <c r="W125" s="2289"/>
      <c r="X125" s="2320"/>
      <c r="Y125" s="2321"/>
      <c r="Z125" s="2321"/>
      <c r="AA125" s="2322"/>
      <c r="AB125" s="2323"/>
      <c r="AC125" s="2324"/>
      <c r="AD125" s="2324"/>
      <c r="AE125" s="2325"/>
      <c r="AF125" s="2323"/>
      <c r="AG125" s="2324"/>
      <c r="AH125" s="2324"/>
      <c r="AI125" s="2325"/>
      <c r="AJ125" s="2323"/>
      <c r="AK125" s="2324"/>
      <c r="AL125" s="2324"/>
      <c r="AM125" s="2325"/>
      <c r="AN125" s="2323"/>
      <c r="AO125" s="2324"/>
      <c r="AP125" s="2324"/>
      <c r="AQ125" s="2325"/>
      <c r="AR125" s="2323"/>
      <c r="AS125" s="2324"/>
      <c r="AT125" s="2324"/>
      <c r="AU125" s="2325"/>
      <c r="AV125" s="2323"/>
      <c r="AW125" s="2324"/>
      <c r="AX125" s="2324"/>
      <c r="AY125" s="2325"/>
      <c r="AZ125" s="2324"/>
      <c r="BA125" s="2323"/>
      <c r="BB125" s="2324"/>
      <c r="BC125" s="2605"/>
      <c r="BD125" s="2325"/>
      <c r="BE125" s="2324"/>
      <c r="BF125" s="2323"/>
      <c r="BG125" s="2324"/>
      <c r="BH125" s="2324"/>
      <c r="BI125" s="2325"/>
      <c r="BJ125" s="2324"/>
      <c r="BK125" s="2323"/>
      <c r="BL125" s="2324"/>
      <c r="BM125" s="2324"/>
      <c r="BN125" s="2325"/>
      <c r="BO125" s="2324"/>
      <c r="BP125" s="2323"/>
      <c r="BQ125" s="2324"/>
      <c r="BR125" s="2324"/>
      <c r="BS125" s="2325"/>
      <c r="BT125" s="2324"/>
      <c r="BU125" s="2323"/>
      <c r="BV125" s="2324"/>
      <c r="BW125" s="2324"/>
      <c r="BX125" s="2325"/>
      <c r="BY125" s="2244"/>
      <c r="BZ125" s="2259"/>
      <c r="CA125" s="2259"/>
      <c r="CB125" s="2291"/>
      <c r="CC125" s="2291"/>
      <c r="CD125" s="2289"/>
      <c r="CE125" s="2289"/>
      <c r="CF125" s="2289"/>
      <c r="CG125" s="2289"/>
      <c r="CH125" s="2289"/>
      <c r="CI125" s="2289"/>
      <c r="CJ125" s="2289"/>
      <c r="CK125" s="2289"/>
      <c r="CL125" s="2289"/>
      <c r="CM125" s="2289"/>
      <c r="CN125" s="2288"/>
      <c r="CO125" s="2288"/>
      <c r="CP125" s="2244"/>
      <c r="CQ125" s="2259"/>
      <c r="CR125" s="2259"/>
      <c r="CS125" s="2259"/>
      <c r="CT125" s="2291"/>
      <c r="CU125" s="2291"/>
      <c r="CV125" s="2291"/>
      <c r="CW125" s="2291"/>
      <c r="CX125" s="2259"/>
      <c r="CY125" s="2259"/>
      <c r="CZ125" s="2259"/>
      <c r="DA125" s="2259"/>
      <c r="DB125" s="2259"/>
      <c r="DC125" s="2259"/>
      <c r="DD125" s="2259"/>
      <c r="DE125" s="2259"/>
      <c r="DF125" s="2239"/>
    </row>
    <row r="126" spans="1:110" s="1715" customFormat="1" hidden="1" outlineLevel="1">
      <c r="A126" s="2293" t="s">
        <v>289</v>
      </c>
      <c r="B126" s="2239"/>
      <c r="C126" s="2239"/>
      <c r="D126" s="2239"/>
      <c r="E126" s="2239"/>
      <c r="F126" s="2294"/>
      <c r="G126" s="2294"/>
      <c r="H126" s="2294"/>
      <c r="I126" s="2294"/>
      <c r="J126" s="2294"/>
      <c r="K126" s="2294"/>
      <c r="L126" s="2295"/>
      <c r="M126" s="2294"/>
      <c r="N126" s="2294"/>
      <c r="O126" s="2296"/>
      <c r="P126" s="2297"/>
      <c r="Q126" s="2298"/>
      <c r="R126" s="2298"/>
      <c r="S126" s="2299"/>
      <c r="T126" s="2297"/>
      <c r="U126" s="2298"/>
      <c r="V126" s="2298"/>
      <c r="W126" s="2299"/>
      <c r="X126" s="2326"/>
      <c r="Y126" s="2327">
        <f t="shared" ref="Y126:BX126" si="220">Y127*Y$11</f>
        <v>5.5714042294866672</v>
      </c>
      <c r="Z126" s="2327">
        <f t="shared" si="220"/>
        <v>7.5755946065874609</v>
      </c>
      <c r="AA126" s="2328">
        <f t="shared" si="220"/>
        <v>7.456489675780503</v>
      </c>
      <c r="AB126" s="2329">
        <f t="shared" si="220"/>
        <v>11.828248557604052</v>
      </c>
      <c r="AC126" s="2330">
        <f t="shared" si="220"/>
        <v>13.295606686325888</v>
      </c>
      <c r="AD126" s="2330">
        <f t="shared" si="220"/>
        <v>14.834160546961822</v>
      </c>
      <c r="AE126" s="2331">
        <f t="shared" si="220"/>
        <v>16.016524133129018</v>
      </c>
      <c r="AF126" s="2329">
        <f t="shared" si="220"/>
        <v>15.383931117474985</v>
      </c>
      <c r="AG126" s="2330">
        <f t="shared" si="220"/>
        <v>13.533355060128709</v>
      </c>
      <c r="AH126" s="2330">
        <f t="shared" si="220"/>
        <v>12.987303772359516</v>
      </c>
      <c r="AI126" s="2331">
        <f t="shared" si="220"/>
        <v>15.703142918988025</v>
      </c>
      <c r="AJ126" s="2329">
        <f t="shared" si="220"/>
        <v>17.294860132974172</v>
      </c>
      <c r="AK126" s="2330">
        <f t="shared" si="220"/>
        <v>12.988545751621469</v>
      </c>
      <c r="AL126" s="2330">
        <f t="shared" si="220"/>
        <v>13.298984507167193</v>
      </c>
      <c r="AM126" s="2331">
        <f t="shared" si="220"/>
        <v>15.149456804076806</v>
      </c>
      <c r="AN126" s="2329">
        <f t="shared" si="220"/>
        <v>16.218092906711618</v>
      </c>
      <c r="AO126" s="2330">
        <f t="shared" si="220"/>
        <v>15.084516499204693</v>
      </c>
      <c r="AP126" s="2330">
        <f t="shared" si="220"/>
        <v>15.425662381864806</v>
      </c>
      <c r="AQ126" s="2331">
        <f t="shared" si="220"/>
        <v>17.166929419988488</v>
      </c>
      <c r="AR126" s="2329">
        <f t="shared" si="220"/>
        <v>15.5605344612125</v>
      </c>
      <c r="AS126" s="2330">
        <f t="shared" si="220"/>
        <v>20.964370930559998</v>
      </c>
      <c r="AT126" s="2330">
        <f t="shared" si="220"/>
        <v>16.760012940228595</v>
      </c>
      <c r="AU126" s="2331">
        <f t="shared" si="220"/>
        <v>16.872477889291215</v>
      </c>
      <c r="AV126" s="2329">
        <f t="shared" si="220"/>
        <v>18.621417584250008</v>
      </c>
      <c r="AW126" s="2330">
        <f t="shared" si="220"/>
        <v>19.464689517000004</v>
      </c>
      <c r="AX126" s="2330">
        <f t="shared" si="220"/>
        <v>16.742907505999995</v>
      </c>
      <c r="AY126" s="2331">
        <f t="shared" si="220"/>
        <v>17.705474865116141</v>
      </c>
      <c r="AZ126" s="2330"/>
      <c r="BA126" s="2329">
        <f t="shared" si="220"/>
        <v>20.10532277472517</v>
      </c>
      <c r="BB126" s="2330">
        <f t="shared" si="220"/>
        <v>20.198725447877802</v>
      </c>
      <c r="BC126" s="2606">
        <f t="shared" si="220"/>
        <v>17.14526079695252</v>
      </c>
      <c r="BD126" s="2331">
        <f t="shared" si="220"/>
        <v>18.163101985777292</v>
      </c>
      <c r="BE126" s="2330"/>
      <c r="BF126" s="2329">
        <f t="shared" si="220"/>
        <v>21.759597206953835</v>
      </c>
      <c r="BG126" s="2330">
        <f t="shared" si="220"/>
        <v>22.120264127058984</v>
      </c>
      <c r="BH126" s="2330">
        <f t="shared" si="220"/>
        <v>18.87398642109282</v>
      </c>
      <c r="BI126" s="2331">
        <f t="shared" si="220"/>
        <v>19.665528735216313</v>
      </c>
      <c r="BJ126" s="2330"/>
      <c r="BK126" s="2329">
        <f t="shared" si="220"/>
        <v>21.5420012348843</v>
      </c>
      <c r="BL126" s="2330">
        <f t="shared" si="220"/>
        <v>21.899061485788394</v>
      </c>
      <c r="BM126" s="2330">
        <f t="shared" si="220"/>
        <v>18.685246556881889</v>
      </c>
      <c r="BN126" s="2331">
        <f t="shared" si="220"/>
        <v>19.468873447864151</v>
      </c>
      <c r="BO126" s="2330"/>
      <c r="BP126" s="2329">
        <f t="shared" si="220"/>
        <v>21.111161210186616</v>
      </c>
      <c r="BQ126" s="2330">
        <f t="shared" si="220"/>
        <v>21.461080256072623</v>
      </c>
      <c r="BR126" s="2330">
        <f t="shared" si="220"/>
        <v>18.311541625744255</v>
      </c>
      <c r="BS126" s="2331">
        <f t="shared" si="220"/>
        <v>19.079495978906866</v>
      </c>
      <c r="BT126" s="2330"/>
      <c r="BU126" s="2329">
        <f t="shared" si="220"/>
        <v>20.688937985982879</v>
      </c>
      <c r="BV126" s="2330">
        <f t="shared" si="220"/>
        <v>21.031858650951168</v>
      </c>
      <c r="BW126" s="2330">
        <f t="shared" si="220"/>
        <v>17.945310793229371</v>
      </c>
      <c r="BX126" s="2331">
        <f t="shared" si="220"/>
        <v>18.697906059328734</v>
      </c>
      <c r="BY126" s="2244"/>
      <c r="BZ126" s="2261"/>
      <c r="CA126" s="2261"/>
      <c r="CB126" s="2300">
        <f>P126+Q126+R126+S126</f>
        <v>0</v>
      </c>
      <c r="CC126" s="2300">
        <f>T126+U126+V126+W126</f>
        <v>0</v>
      </c>
      <c r="CD126" s="2299">
        <f>X126+Y126+Z126+AA126</f>
        <v>20.603488511854632</v>
      </c>
      <c r="CE126" s="2299">
        <f>AB126+AC126+AD126+AE126</f>
        <v>55.974539924020782</v>
      </c>
      <c r="CF126" s="2299">
        <f>SUM(AF126:AI126)</f>
        <v>57.607732868951231</v>
      </c>
      <c r="CG126" s="2299">
        <f>SUM(AJ126:AM126)</f>
        <v>58.731847195839642</v>
      </c>
      <c r="CH126" s="2299">
        <f>SUM(AN126:AQ126)</f>
        <v>63.895201207769603</v>
      </c>
      <c r="CI126" s="2299">
        <f>SUM(AR126:AU126)</f>
        <v>70.157396221292316</v>
      </c>
      <c r="CJ126" s="2299">
        <f>SUM(AV126:AY126)</f>
        <v>72.534489472366147</v>
      </c>
      <c r="CK126" s="2299">
        <f>SUM(BA126:BD126)</f>
        <v>75.612411005332788</v>
      </c>
      <c r="CL126" s="2299">
        <f>SUM(BF126:BI126)</f>
        <v>82.419376490321952</v>
      </c>
      <c r="CM126" s="2299">
        <f>SUM(BG126:BK126)</f>
        <v>82.20178051825242</v>
      </c>
      <c r="CN126" s="2298"/>
      <c r="CO126" s="2298"/>
      <c r="CP126" s="2301"/>
      <c r="CQ126" s="2261"/>
      <c r="CR126" s="2261">
        <f>F126+G126+H126+I126</f>
        <v>0</v>
      </c>
      <c r="CS126" s="2261">
        <f>J126+K126+L126+M126</f>
        <v>0</v>
      </c>
      <c r="CT126" s="2300">
        <f>N126+O126+P126+Q126</f>
        <v>0</v>
      </c>
      <c r="CU126" s="2300">
        <f>R126+S126+T126+U126</f>
        <v>0</v>
      </c>
      <c r="CV126" s="2300">
        <f>V126+W126+X126+Y126</f>
        <v>5.5714042294866672</v>
      </c>
      <c r="CW126" s="2300">
        <f>Z126+AA126+AB126+AC126</f>
        <v>40.155939526297907</v>
      </c>
      <c r="CX126" s="2302">
        <f>AD126+AE126+AF126+AG126</f>
        <v>59.767970857694536</v>
      </c>
      <c r="CY126" s="2302">
        <f>SUM(AH126:AK126)</f>
        <v>58.973852575943184</v>
      </c>
      <c r="CZ126" s="2302">
        <f>SUM(AL126:AO126)</f>
        <v>59.751050717160311</v>
      </c>
      <c r="DA126" s="2302">
        <f>SUM(AP126:AS126)</f>
        <v>69.117497193625795</v>
      </c>
      <c r="DB126" s="2302">
        <f>SUM(AT126:AW126)</f>
        <v>71.718597930769818</v>
      </c>
      <c r="DC126" s="2302">
        <f>SUM(AX126:BB126)</f>
        <v>74.752430593719112</v>
      </c>
      <c r="DD126" s="2300">
        <f>SUM(BC126:BG126)</f>
        <v>79.188224116742632</v>
      </c>
      <c r="DE126" s="2300">
        <f>SUM(BD126:BH126)</f>
        <v>80.916949740882941</v>
      </c>
      <c r="DF126" s="2298"/>
    </row>
    <row r="127" spans="1:110" s="1715" customFormat="1" hidden="1" outlineLevel="2">
      <c r="A127" s="2303" t="s">
        <v>15</v>
      </c>
      <c r="B127" s="2239"/>
      <c r="C127" s="2239"/>
      <c r="D127" s="2239"/>
      <c r="E127" s="2239"/>
      <c r="F127" s="2273"/>
      <c r="G127" s="2273"/>
      <c r="H127" s="2273"/>
      <c r="I127" s="2273"/>
      <c r="J127" s="2273"/>
      <c r="K127" s="2273"/>
      <c r="L127" s="2304"/>
      <c r="M127" s="2273"/>
      <c r="N127" s="2273"/>
      <c r="O127" s="2305"/>
      <c r="P127" s="2265"/>
      <c r="Q127" s="2266"/>
      <c r="R127" s="2266"/>
      <c r="S127" s="2267"/>
      <c r="T127" s="2265"/>
      <c r="U127" s="2266"/>
      <c r="V127" s="2266"/>
      <c r="W127" s="2267"/>
      <c r="X127" s="2265"/>
      <c r="Y127" s="2273">
        <v>0.08</v>
      </c>
      <c r="Z127" s="2273">
        <v>0.125</v>
      </c>
      <c r="AA127" s="2305">
        <v>0.12</v>
      </c>
      <c r="AB127" s="2304">
        <f t="shared" ref="AB127:AI127" si="221">1-(AB115+AB121+AB85+AB91+AB133+AB97+AB139+AB103+AB109+AB157)</f>
        <v>0.18999999999999995</v>
      </c>
      <c r="AC127" s="2273">
        <f t="shared" si="221"/>
        <v>0.19999999999999996</v>
      </c>
      <c r="AD127" s="2273">
        <f t="shared" si="221"/>
        <v>0.25</v>
      </c>
      <c r="AE127" s="2273">
        <f t="shared" si="221"/>
        <v>0.25700000000000001</v>
      </c>
      <c r="AF127" s="2304">
        <f t="shared" si="221"/>
        <v>0.22999999999999998</v>
      </c>
      <c r="AG127" s="2273">
        <f t="shared" si="221"/>
        <v>0.20999999999999996</v>
      </c>
      <c r="AH127" s="2273">
        <f t="shared" si="221"/>
        <v>0.20999999999999996</v>
      </c>
      <c r="AI127" s="2305">
        <f t="shared" si="221"/>
        <v>0.25</v>
      </c>
      <c r="AJ127" s="2304">
        <f t="shared" ref="AJ127:AS127" si="222">1-(AJ115+AJ121+AJ85+AJ91+AJ133+AJ97+AJ139+AJ103+AJ109+AJ157+AJ163+AJ151+AJ145)</f>
        <v>0.26500000000000001</v>
      </c>
      <c r="AK127" s="2273">
        <f t="shared" si="222"/>
        <v>0.19700000000000006</v>
      </c>
      <c r="AL127" s="2273">
        <f>1-(AL115+AL121+AL85+AL91+AL133+AL97+AL139+AL103+AL109+AL157+AL163+AL151+AL145)</f>
        <v>0.2350000000000001</v>
      </c>
      <c r="AM127" s="2305">
        <f>1-(AM115+AM121+AM85+AM91+AM133+AM97+AM139+AM103+AM109+AM157+AM163+AM151+AM145)</f>
        <v>0.27</v>
      </c>
      <c r="AN127" s="2304">
        <f t="shared" si="222"/>
        <v>0.28099999999999992</v>
      </c>
      <c r="AO127" s="2273">
        <f t="shared" si="222"/>
        <v>0.23699999999999999</v>
      </c>
      <c r="AP127" s="2273">
        <f t="shared" si="222"/>
        <v>0.27</v>
      </c>
      <c r="AQ127" s="2305">
        <f t="shared" si="222"/>
        <v>0.30499999999999994</v>
      </c>
      <c r="AR127" s="2304">
        <f t="shared" si="222"/>
        <v>0.28549999999999998</v>
      </c>
      <c r="AS127" s="2273">
        <f t="shared" si="222"/>
        <v>0.3620000000000001</v>
      </c>
      <c r="AT127" s="2273">
        <f>1-(AT115+AT121+AT85+AT91+AT133+AT97+AT139+AT103+AT109+AT157+AT163+AT151+AT145)</f>
        <v>0.36</v>
      </c>
      <c r="AU127" s="2305">
        <f>1-(AU115+AU121+AU85+AU91+AU133+AU97+AU139+AU103+AU109+AU157+AU163+AU151+AU145)</f>
        <v>0.38</v>
      </c>
      <c r="AV127" s="2304">
        <f t="shared" ref="AV127:BI127" si="223">1-(AV115+AV121+AV85+AV91+AV133+AV97+AV139+AV103+AV109+AV157+AV163+AV151+AV145)</f>
        <v>0.40500000000000003</v>
      </c>
      <c r="AW127" s="2273">
        <f t="shared" si="223"/>
        <v>0.41999999999999993</v>
      </c>
      <c r="AX127" s="2273">
        <f t="shared" si="223"/>
        <v>0.42999999999999994</v>
      </c>
      <c r="AY127" s="2305">
        <f t="shared" si="223"/>
        <v>0.43500000000000005</v>
      </c>
      <c r="AZ127" s="2273"/>
      <c r="BA127" s="2304">
        <f t="shared" si="223"/>
        <v>0.45999999999999996</v>
      </c>
      <c r="BB127" s="2273">
        <f t="shared" si="223"/>
        <v>0.44999999999999996</v>
      </c>
      <c r="BC127" s="188">
        <f t="shared" si="223"/>
        <v>0.44999999999999996</v>
      </c>
      <c r="BD127" s="2305">
        <f t="shared" si="223"/>
        <v>0.44999999999999996</v>
      </c>
      <c r="BE127" s="2273"/>
      <c r="BF127" s="2304">
        <f t="shared" si="223"/>
        <v>0.48</v>
      </c>
      <c r="BG127" s="2273">
        <f t="shared" si="223"/>
        <v>0.48</v>
      </c>
      <c r="BH127" s="2273">
        <f t="shared" si="223"/>
        <v>0.48</v>
      </c>
      <c r="BI127" s="2305">
        <f t="shared" si="223"/>
        <v>0.48</v>
      </c>
      <c r="BJ127" s="2273"/>
      <c r="BK127" s="2304">
        <f>1-(BK115+BK121+BK85+BK91+BK133+BK97+BK139+BK103+BK109+BK157+BK163+BK151+BK145)</f>
        <v>0.48</v>
      </c>
      <c r="BL127" s="2273">
        <f>1-(BL115+BL121+BL85+BL91+BL133+BL97+BL139+BL103+BL109+BL157+BL163+BL151+BL145)</f>
        <v>0.48</v>
      </c>
      <c r="BM127" s="2273">
        <f>1-(BM115+BM121+BM85+BM91+BM133+BM97+BM139+BM103+BM109+BM157+BM163+BM151+BM145)</f>
        <v>0.48</v>
      </c>
      <c r="BN127" s="2305">
        <f>1-(BN115+BN121+BN85+BN91+BN133+BN97+BN139+BN103+BN109+BN157+BN163+BN151+BN145)</f>
        <v>0.48</v>
      </c>
      <c r="BO127" s="2273"/>
      <c r="BP127" s="2304">
        <f>1-(BP115+BP121+BP85+BP91+BP133+BP97+BP139+BP103+BP109+BP157+BP163+BP151+BP145)</f>
        <v>0.48</v>
      </c>
      <c r="BQ127" s="2273">
        <f>1-(BQ115+BQ121+BQ85+BQ91+BQ133+BQ97+BQ139+BQ103+BQ109+BQ157+BQ163+BQ151+BQ145)</f>
        <v>0.48</v>
      </c>
      <c r="BR127" s="2273">
        <f>1-(BR115+BR121+BR85+BR91+BR133+BR97+BR139+BR103+BR109+BR157+BR163+BR151+BR145)</f>
        <v>0.48</v>
      </c>
      <c r="BS127" s="2305">
        <f>1-(BS115+BS121+BS85+BS91+BS133+BS97+BS139+BS103+BS109+BS157+BS163+BS151+BS145)</f>
        <v>0.48</v>
      </c>
      <c r="BT127" s="2273"/>
      <c r="BU127" s="2304">
        <f>1-(BU115+BU121+BU85+BU91+BU133+BU97+BU139+BU103+BU109+BU157+BU163+BU151+BU145)</f>
        <v>0.48</v>
      </c>
      <c r="BV127" s="2273">
        <f>1-(BV115+BV121+BV85+BV91+BV133+BV97+BV139+BV103+BV109+BV157+BV163+BV151+BV145)</f>
        <v>0.48</v>
      </c>
      <c r="BW127" s="2273">
        <f>1-(BW115+BW121+BW85+BW91+BW133+BW97+BW139+BW103+BW109+BW157+BW163+BW151+BW145)</f>
        <v>0.48</v>
      </c>
      <c r="BX127" s="2305">
        <f>1-(BX115+BX121+BX85+BX91+BX133+BX97+BX139+BX103+BX109+BX157+BX163+BX151+BX145)</f>
        <v>0.48</v>
      </c>
      <c r="BY127" s="2306"/>
      <c r="BZ127" s="2307"/>
      <c r="CA127" s="2307"/>
      <c r="CB127" s="2308">
        <f t="shared" ref="CB127:CI127" si="224">CB126/CB$167</f>
        <v>0</v>
      </c>
      <c r="CC127" s="2308">
        <f t="shared" si="224"/>
        <v>0</v>
      </c>
      <c r="CD127" s="2267">
        <f t="shared" si="224"/>
        <v>8.1775242320469177E-2</v>
      </c>
      <c r="CE127" s="2267">
        <f t="shared" si="224"/>
        <v>0.22354967171403869</v>
      </c>
      <c r="CF127" s="2267">
        <f t="shared" si="224"/>
        <v>0.22504068471977393</v>
      </c>
      <c r="CG127" s="2267">
        <f t="shared" si="224"/>
        <v>0.23444851644364126</v>
      </c>
      <c r="CH127" s="2267">
        <f t="shared" si="224"/>
        <v>0.25450369204122758</v>
      </c>
      <c r="CI127" s="2267">
        <f t="shared" si="224"/>
        <v>0.30946765511500007</v>
      </c>
      <c r="CJ127" s="2267">
        <f>CJ126/CJ$167</f>
        <v>0.36554641992034986</v>
      </c>
      <c r="CK127" s="2267">
        <f>CK126/CK$167</f>
        <v>0.38924859018835084</v>
      </c>
      <c r="CL127" s="2267">
        <f>CL126/CL$167</f>
        <v>0.41226207822383754</v>
      </c>
      <c r="CM127" s="2267">
        <f>CM126/CM$167</f>
        <v>0.41191459883477732</v>
      </c>
      <c r="CN127" s="2266"/>
      <c r="CO127" s="2266"/>
      <c r="CP127" s="2306"/>
      <c r="CQ127" s="2307"/>
      <c r="CR127" s="2307">
        <f t="shared" ref="CR127:CX127" si="225">CR126/CR$167</f>
        <v>0</v>
      </c>
      <c r="CS127" s="2307">
        <f t="shared" si="225"/>
        <v>0</v>
      </c>
      <c r="CT127" s="2308">
        <f t="shared" si="225"/>
        <v>0</v>
      </c>
      <c r="CU127" s="2308">
        <f t="shared" si="225"/>
        <v>0</v>
      </c>
      <c r="CV127" s="2308">
        <f t="shared" si="225"/>
        <v>2.475933726743549E-2</v>
      </c>
      <c r="CW127" s="2308">
        <f t="shared" si="225"/>
        <v>0.15968217997847667</v>
      </c>
      <c r="CX127" s="2308">
        <f t="shared" si="225"/>
        <v>0.23624735475336242</v>
      </c>
      <c r="CY127" s="2308">
        <f>SUM(AH126:AK126)/SUM(AH$11:AK$11)</f>
        <v>0.23049968663904347</v>
      </c>
      <c r="CZ127" s="2308">
        <f>SUM(AL126:AO126)/SUM(AL$11:AO$11)</f>
        <v>0.25527665521794429</v>
      </c>
      <c r="DA127" s="2308">
        <f>SUM(AP126:AS126)/SUM(AP$11:AS$11)</f>
        <v>0.30605650551088748</v>
      </c>
      <c r="DB127" s="2308">
        <f>DB126/DB$167</f>
        <v>0.34327539145106833</v>
      </c>
      <c r="DC127" s="2308">
        <f>DC126/DC$167</f>
        <v>0.38306678231933289</v>
      </c>
      <c r="DD127" s="2308">
        <f>DD126/DD$167</f>
        <v>0.40055627170511704</v>
      </c>
      <c r="DE127" s="2308">
        <f>DE126/DE$167</f>
        <v>0.40632382269442224</v>
      </c>
      <c r="DF127" s="2266"/>
    </row>
    <row r="128" spans="1:110" s="1715" customFormat="1" hidden="1" outlineLevel="2">
      <c r="A128" s="2238" t="s">
        <v>121</v>
      </c>
      <c r="B128" s="2239"/>
      <c r="C128" s="2239"/>
      <c r="D128" s="2239"/>
      <c r="E128" s="2239"/>
      <c r="F128" s="2239"/>
      <c r="G128" s="2239"/>
      <c r="H128" s="2239"/>
      <c r="I128" s="2239"/>
      <c r="J128" s="2250"/>
      <c r="K128" s="2250"/>
      <c r="L128" s="2256"/>
      <c r="M128" s="2250"/>
      <c r="N128" s="2250"/>
      <c r="O128" s="2257"/>
      <c r="P128" s="2310"/>
      <c r="Q128" s="2271"/>
      <c r="R128" s="2271"/>
      <c r="S128" s="2309"/>
      <c r="T128" s="2310"/>
      <c r="U128" s="2271"/>
      <c r="V128" s="2271"/>
      <c r="W128" s="2309"/>
      <c r="X128" s="2310"/>
      <c r="Y128" s="2271" t="str">
        <f t="shared" ref="Y128:AS128" si="226">IF(OR(Y126=0,U126=0),"NM",Y126/U126-1)</f>
        <v>NM</v>
      </c>
      <c r="Z128" s="2271" t="str">
        <f t="shared" si="226"/>
        <v>NM</v>
      </c>
      <c r="AA128" s="2309" t="str">
        <f t="shared" si="226"/>
        <v>NM</v>
      </c>
      <c r="AB128" s="2310" t="str">
        <f t="shared" si="226"/>
        <v>NM</v>
      </c>
      <c r="AC128" s="2271">
        <f t="shared" si="226"/>
        <v>1.3864013700457893</v>
      </c>
      <c r="AD128" s="2271">
        <f t="shared" si="226"/>
        <v>0.95815131581388702</v>
      </c>
      <c r="AE128" s="2309">
        <f t="shared" si="226"/>
        <v>1.147997895732686</v>
      </c>
      <c r="AF128" s="2310">
        <f t="shared" si="226"/>
        <v>0.30060938798796921</v>
      </c>
      <c r="AG128" s="2271">
        <f t="shared" si="226"/>
        <v>1.7881724347888373E-2</v>
      </c>
      <c r="AH128" s="2271">
        <f t="shared" si="226"/>
        <v>-0.12450025525580288</v>
      </c>
      <c r="AI128" s="2309">
        <f t="shared" si="226"/>
        <v>-1.9566118811808031E-2</v>
      </c>
      <c r="AJ128" s="2256">
        <f t="shared" si="226"/>
        <v>0.12421591080374217</v>
      </c>
      <c r="AK128" s="2250">
        <f t="shared" si="226"/>
        <v>-4.0256780826827598E-2</v>
      </c>
      <c r="AL128" s="2250">
        <f t="shared" si="226"/>
        <v>2.3998879233965154E-2</v>
      </c>
      <c r="AM128" s="2257">
        <f t="shared" si="226"/>
        <v>-3.5259573052838333E-2</v>
      </c>
      <c r="AN128" s="2256">
        <f t="shared" si="226"/>
        <v>-6.2259377525095028E-2</v>
      </c>
      <c r="AO128" s="2250">
        <f t="shared" si="226"/>
        <v>0.16137070212972571</v>
      </c>
      <c r="AP128" s="2250">
        <f t="shared" si="226"/>
        <v>0.15991280187983437</v>
      </c>
      <c r="AQ128" s="2257">
        <f t="shared" si="226"/>
        <v>0.13317128409308832</v>
      </c>
      <c r="AR128" s="2256">
        <f t="shared" si="226"/>
        <v>-4.0544745259598169E-2</v>
      </c>
      <c r="AS128" s="2250">
        <f t="shared" si="226"/>
        <v>0.38979402698557242</v>
      </c>
      <c r="AT128" s="2250">
        <f>IF(OR(AT126=0,AP126=0),"NM",AT126/AP126-1)</f>
        <v>8.6501994230893997E-2</v>
      </c>
      <c r="AU128" s="2257">
        <f>IF(OR(AU126=0,AQ126=0),"NM",AU126/AQ126-1)</f>
        <v>-1.7152253818578989E-2</v>
      </c>
      <c r="AV128" s="2256">
        <f t="shared" ref="AV128:AY128" si="227">IF(OR(AV126=0,AR126=0),"NM",AV126/AR126-1)</f>
        <v>0.196708097055877</v>
      </c>
      <c r="AW128" s="2250">
        <f t="shared" si="227"/>
        <v>-7.1534768132436199E-2</v>
      </c>
      <c r="AX128" s="2250">
        <f t="shared" si="227"/>
        <v>-1.020609846162035E-3</v>
      </c>
      <c r="AY128" s="2257">
        <f t="shared" si="227"/>
        <v>4.9370162538699747E-2</v>
      </c>
      <c r="AZ128" s="2250"/>
      <c r="BA128" s="2256">
        <f>IF(OR(BA126=0,AV126=0),"NM",BA126/AV126-1)</f>
        <v>7.9688089468024748E-2</v>
      </c>
      <c r="BB128" s="2250">
        <f>IF(OR(BB126=0,AW126=0),"NM",BB126/AW126-1)</f>
        <v>3.7711155384045902E-2</v>
      </c>
      <c r="BC128" s="2603">
        <f>IF(OR(BC126=0,AX126=0),"NM",BC126/AX126-1)</f>
        <v>2.4031267616352769E-2</v>
      </c>
      <c r="BD128" s="2257">
        <f>IF(OR(BD126=0,AY126=0),"NM",BD126/AY126-1)</f>
        <v>2.5846644845588518E-2</v>
      </c>
      <c r="BE128" s="2250"/>
      <c r="BF128" s="2256">
        <f>IF(OR(BF126=0,BA126=0),"NM",BF126/BA126-1)</f>
        <v>8.2280421496554457E-2</v>
      </c>
      <c r="BG128" s="2250">
        <f>IF(OR(BG126=0,BB126=0),"NM",BG126/BB126-1)</f>
        <v>9.5131679676505154E-2</v>
      </c>
      <c r="BH128" s="2250">
        <f>IF(OR(BH126=0,BC126=0),"NM",BH126/BC126-1)</f>
        <v>0.10082819063607196</v>
      </c>
      <c r="BI128" s="2257">
        <f>IF(OR(BI126=0,BD126=0),"NM",BI126/BD126-1)</f>
        <v>8.2718621005129167E-2</v>
      </c>
      <c r="BJ128" s="2250"/>
      <c r="BK128" s="2256">
        <f>IF(OR(BK126=0,BF126=0),"NM",BK126/BF126-1)</f>
        <v>-9.9999999999998979E-3</v>
      </c>
      <c r="BL128" s="2250">
        <f>IF(OR(BL126=0,BG126=0),"NM",BL126/BG126-1)</f>
        <v>-1.0000000000000009E-2</v>
      </c>
      <c r="BM128" s="2250">
        <f>IF(OR(BM126=0,BH126=0),"NM",BM126/BH126-1)</f>
        <v>-1.000000000000012E-2</v>
      </c>
      <c r="BN128" s="2257">
        <f>IF(OR(BN126=0,BI126=0),"NM",BN126/BI126-1)</f>
        <v>-9.9999999999998979E-3</v>
      </c>
      <c r="BO128" s="2250"/>
      <c r="BP128" s="2256">
        <f>IF(OR(BP126=0,BK126=0),"NM",BP126/BK126-1)</f>
        <v>-1.9999999999999907E-2</v>
      </c>
      <c r="BQ128" s="2250">
        <f>IF(OR(BQ126=0,BL126=0),"NM",BQ126/BL126-1)</f>
        <v>-2.0000000000000129E-2</v>
      </c>
      <c r="BR128" s="2250">
        <f>IF(OR(BR126=0,BM126=0),"NM",BR126/BM126-1)</f>
        <v>-1.9999999999999796E-2</v>
      </c>
      <c r="BS128" s="2257">
        <f>IF(OR(BS126=0,BN126=0),"NM",BS126/BN126-1)</f>
        <v>-2.0000000000000129E-2</v>
      </c>
      <c r="BT128" s="2250"/>
      <c r="BU128" s="2256">
        <f>IF(OR(BU126=0,BP126=0),"NM",BU126/BP126-1)</f>
        <v>-2.000000000000024E-2</v>
      </c>
      <c r="BV128" s="2250">
        <f>IF(OR(BV126=0,BQ126=0),"NM",BV126/BQ126-1)</f>
        <v>-2.0000000000000129E-2</v>
      </c>
      <c r="BW128" s="2250">
        <f>IF(OR(BW126=0,BR126=0),"NM",BW126/BR126-1)</f>
        <v>-1.9999999999999907E-2</v>
      </c>
      <c r="BX128" s="2257">
        <f>IF(OR(BX126=0,BS126=0),"NM",BX126/BS126-1)</f>
        <v>-1.9999999999999796E-2</v>
      </c>
      <c r="BY128" s="2244"/>
      <c r="BZ128" s="2246"/>
      <c r="CA128" s="2246"/>
      <c r="CB128" s="2247" t="str">
        <f t="shared" ref="CB128:CM128" si="228">IF(OR(CA126=0,CB126=0),"NM",CB126/CA126-1)</f>
        <v>NM</v>
      </c>
      <c r="CC128" s="2247" t="str">
        <f t="shared" si="228"/>
        <v>NM</v>
      </c>
      <c r="CD128" s="2242" t="str">
        <f t="shared" si="228"/>
        <v>NM</v>
      </c>
      <c r="CE128" s="2242">
        <f t="shared" si="228"/>
        <v>1.7167506071515368</v>
      </c>
      <c r="CF128" s="2242">
        <f t="shared" si="228"/>
        <v>2.9177425078389607E-2</v>
      </c>
      <c r="CG128" s="2242">
        <f t="shared" si="228"/>
        <v>1.9513254052986317E-2</v>
      </c>
      <c r="CH128" s="2242">
        <f t="shared" si="228"/>
        <v>8.791404082205867E-2</v>
      </c>
      <c r="CI128" s="2242">
        <f t="shared" si="228"/>
        <v>9.8007282161296949E-2</v>
      </c>
      <c r="CJ128" s="2242">
        <f t="shared" si="228"/>
        <v>3.3882290094916501E-2</v>
      </c>
      <c r="CK128" s="2242">
        <f t="shared" si="228"/>
        <v>4.2433903586503563E-2</v>
      </c>
      <c r="CL128" s="2242">
        <f t="shared" si="228"/>
        <v>9.0024446972192029E-2</v>
      </c>
      <c r="CM128" s="2242">
        <f t="shared" si="228"/>
        <v>-2.6401069910433339E-3</v>
      </c>
      <c r="CN128" s="2240"/>
      <c r="CO128" s="2240"/>
      <c r="CP128" s="2248"/>
      <c r="CQ128" s="2246"/>
      <c r="CR128" s="2246"/>
      <c r="CS128" s="2246" t="str">
        <f t="shared" ref="CS128:DA128" si="229">IF(OR(CR126=0,CS126=0),"NM",CS126/CR126-1)</f>
        <v>NM</v>
      </c>
      <c r="CT128" s="2247" t="str">
        <f t="shared" si="229"/>
        <v>NM</v>
      </c>
      <c r="CU128" s="2247" t="str">
        <f t="shared" si="229"/>
        <v>NM</v>
      </c>
      <c r="CV128" s="2247" t="str">
        <f t="shared" si="229"/>
        <v>NM</v>
      </c>
      <c r="CW128" s="2247">
        <f t="shared" si="229"/>
        <v>6.2075078153138703</v>
      </c>
      <c r="CX128" s="2247">
        <f t="shared" si="229"/>
        <v>0.48839677424438843</v>
      </c>
      <c r="CY128" s="2247">
        <f t="shared" si="229"/>
        <v>-1.3286686336434594E-2</v>
      </c>
      <c r="CZ128" s="2247">
        <f t="shared" si="229"/>
        <v>1.3178690339354926E-2</v>
      </c>
      <c r="DA128" s="2247">
        <f t="shared" si="229"/>
        <v>0.156757853862735</v>
      </c>
      <c r="DB128" s="2247">
        <f>IF(OR(DA126=0,DB126=0),"NM",DB126/DA126-1)</f>
        <v>3.7633028433557092E-2</v>
      </c>
      <c r="DC128" s="2247">
        <f>IF(OR(DB126=0,DC126=0),"NM",DC126/DB126-1)</f>
        <v>4.2301895888676722E-2</v>
      </c>
      <c r="DD128" s="2247">
        <f>IF(OR(DC126=0,DD126=0),"NM",DD126/DC126-1)</f>
        <v>5.9339789860909598E-2</v>
      </c>
      <c r="DE128" s="2247">
        <f>IF(OR(DD126=0,DE126=0),"NM",DE126/DD126-1)</f>
        <v>2.1830589628980102E-2</v>
      </c>
      <c r="DF128" s="2240"/>
    </row>
    <row r="129" spans="1:110" s="1715" customFormat="1" hidden="1" outlineLevel="1">
      <c r="A129" s="2311" t="s">
        <v>290</v>
      </c>
      <c r="B129" s="2312"/>
      <c r="C129" s="2312"/>
      <c r="D129" s="2312"/>
      <c r="E129" s="2312"/>
      <c r="F129" s="2312"/>
      <c r="G129" s="2312"/>
      <c r="H129" s="2312"/>
      <c r="I129" s="2312"/>
      <c r="J129" s="2312"/>
      <c r="K129" s="2312"/>
      <c r="L129" s="2313"/>
      <c r="M129" s="2312"/>
      <c r="N129" s="2312"/>
      <c r="O129" s="2314"/>
      <c r="P129" s="2290"/>
      <c r="Q129" s="2315"/>
      <c r="R129" s="2315"/>
      <c r="S129" s="2316"/>
      <c r="T129" s="2290"/>
      <c r="U129" s="2315"/>
      <c r="V129" s="2315"/>
      <c r="W129" s="2316"/>
      <c r="X129" s="2290"/>
      <c r="Y129" s="2315">
        <f t="shared" ref="Y129:AS129" si="230">Y126*Y219</f>
        <v>200.66340899867814</v>
      </c>
      <c r="Z129" s="2315">
        <f t="shared" si="230"/>
        <v>277.77180224154023</v>
      </c>
      <c r="AA129" s="2316">
        <f t="shared" si="230"/>
        <v>268.43362832809811</v>
      </c>
      <c r="AB129" s="2313">
        <f t="shared" si="230"/>
        <v>432.36189150339101</v>
      </c>
      <c r="AC129" s="2312">
        <f t="shared" si="230"/>
        <v>505.66646210752759</v>
      </c>
      <c r="AD129" s="2312">
        <f t="shared" si="230"/>
        <v>533.04083565416147</v>
      </c>
      <c r="AE129" s="2314">
        <f t="shared" si="230"/>
        <v>570.52933715190477</v>
      </c>
      <c r="AF129" s="2313">
        <f t="shared" si="230"/>
        <v>543.1807588175659</v>
      </c>
      <c r="AG129" s="2312">
        <f t="shared" si="230"/>
        <v>497.87497139027909</v>
      </c>
      <c r="AH129" s="2312">
        <f t="shared" si="230"/>
        <v>462.86750644689317</v>
      </c>
      <c r="AI129" s="2314">
        <f t="shared" si="230"/>
        <v>559.0318879159737</v>
      </c>
      <c r="AJ129" s="2313">
        <f t="shared" si="230"/>
        <v>594.94318857431153</v>
      </c>
      <c r="AK129" s="2312">
        <f t="shared" si="230"/>
        <v>446.80597385577852</v>
      </c>
      <c r="AL129" s="2312">
        <f t="shared" si="230"/>
        <v>457.48506704655142</v>
      </c>
      <c r="AM129" s="2314">
        <f t="shared" si="230"/>
        <v>521.14131406024205</v>
      </c>
      <c r="AN129" s="2313">
        <f t="shared" si="230"/>
        <v>557.90239599087965</v>
      </c>
      <c r="AO129" s="2312">
        <f t="shared" si="230"/>
        <v>518.90736757264142</v>
      </c>
      <c r="AP129" s="2312">
        <f t="shared" si="230"/>
        <v>530.64278593614927</v>
      </c>
      <c r="AQ129" s="2314">
        <f t="shared" si="230"/>
        <v>590.54237204760398</v>
      </c>
      <c r="AR129" s="2313">
        <f t="shared" si="230"/>
        <v>535.28238546570992</v>
      </c>
      <c r="AS129" s="2312">
        <f t="shared" si="230"/>
        <v>721.17436001126384</v>
      </c>
      <c r="AT129" s="2312">
        <f>AT126*AT219</f>
        <v>576.54444514386364</v>
      </c>
      <c r="AU129" s="2314">
        <f>AU126*AU219</f>
        <v>600.42748902581161</v>
      </c>
      <c r="AV129" s="2313">
        <f>AV126*AV219</f>
        <v>640.57676489820028</v>
      </c>
      <c r="AW129" s="2312">
        <f t="shared" ref="AW129:BI129" si="231">AW126*AW219</f>
        <v>647.98579295303239</v>
      </c>
      <c r="AX129" s="2312">
        <f t="shared" si="231"/>
        <v>557.37679181264491</v>
      </c>
      <c r="AY129" s="2314">
        <f t="shared" si="231"/>
        <v>589.4209697032212</v>
      </c>
      <c r="AZ129" s="2312"/>
      <c r="BA129" s="2313">
        <f t="shared" si="231"/>
        <v>669.31268075859271</v>
      </c>
      <c r="BB129" s="2312">
        <f t="shared" si="231"/>
        <v>672.42208587773837</v>
      </c>
      <c r="BC129" s="1710">
        <f t="shared" si="231"/>
        <v>570.77126265983873</v>
      </c>
      <c r="BD129" s="2314">
        <f t="shared" si="231"/>
        <v>604.65552417168271</v>
      </c>
      <c r="BE129" s="2312"/>
      <c r="BF129" s="2313">
        <f t="shared" si="231"/>
        <v>680.48194901746547</v>
      </c>
      <c r="BG129" s="2312">
        <f t="shared" si="231"/>
        <v>691.76098724620829</v>
      </c>
      <c r="BH129" s="2312">
        <f t="shared" si="231"/>
        <v>590.24102989599373</v>
      </c>
      <c r="BI129" s="2314">
        <f t="shared" si="231"/>
        <v>614.99471681040109</v>
      </c>
      <c r="BJ129" s="2312"/>
      <c r="BK129" s="2313">
        <f>BK126*BK219</f>
        <v>673.67712952729096</v>
      </c>
      <c r="BL129" s="2312">
        <f>BL126*BL219</f>
        <v>684.84337737374619</v>
      </c>
      <c r="BM129" s="2312">
        <f>BM126*BM219</f>
        <v>584.3386195970337</v>
      </c>
      <c r="BN129" s="2314">
        <f>BN126*BN219</f>
        <v>608.84476964229714</v>
      </c>
      <c r="BO129" s="2312"/>
      <c r="BP129" s="2313">
        <f>BP126*BP219</f>
        <v>660.20358693674518</v>
      </c>
      <c r="BQ129" s="2312">
        <f>BQ126*BQ219</f>
        <v>671.1465098262712</v>
      </c>
      <c r="BR129" s="2312">
        <f>BR126*BR219</f>
        <v>572.65184720509308</v>
      </c>
      <c r="BS129" s="2314">
        <f>BS126*BS219</f>
        <v>596.66787424945119</v>
      </c>
      <c r="BT129" s="2312"/>
      <c r="BU129" s="2313">
        <f>BU126*BU219</f>
        <v>646.99951519801016</v>
      </c>
      <c r="BV129" s="2312">
        <f>BV126*BV219</f>
        <v>657.7235796297457</v>
      </c>
      <c r="BW129" s="2312">
        <f>BW126*BW219</f>
        <v>561.19881026099131</v>
      </c>
      <c r="BX129" s="2314">
        <f>BX126*BX219</f>
        <v>584.73451676446234</v>
      </c>
      <c r="BY129" s="2317"/>
      <c r="BZ129" s="2318"/>
      <c r="CA129" s="2318"/>
      <c r="CB129" s="2319">
        <f>P129+Q129+R129+S129</f>
        <v>0</v>
      </c>
      <c r="CC129" s="2319">
        <f>T129+U129+V129+W129</f>
        <v>0</v>
      </c>
      <c r="CD129" s="2316">
        <f>X129+Y129+Z129+AA129</f>
        <v>746.86883956831639</v>
      </c>
      <c r="CE129" s="2316">
        <f>AB129+AC129+AD129+AE129</f>
        <v>2041.5985264169849</v>
      </c>
      <c r="CF129" s="2316">
        <f>SUM(AF129:AI129)</f>
        <v>2062.9551245707121</v>
      </c>
      <c r="CG129" s="2316">
        <f>SUM(AJ129:AM129)</f>
        <v>2020.3755435368835</v>
      </c>
      <c r="CH129" s="2316">
        <f>SUM(AN129:AQ129)</f>
        <v>2197.9949215472743</v>
      </c>
      <c r="CI129" s="2316">
        <f>SUM(AR129:AU129)</f>
        <v>2433.428679646649</v>
      </c>
      <c r="CJ129" s="2316">
        <f>SUM(AV129:AY129)</f>
        <v>2435.3603193670988</v>
      </c>
      <c r="CK129" s="2316">
        <f>SUM(BA129:BD129)</f>
        <v>2517.1615534678526</v>
      </c>
      <c r="CL129" s="2316">
        <f>SUM(BF129:BI129)</f>
        <v>2577.4786829700688</v>
      </c>
      <c r="CM129" s="2316">
        <f>SUM(BG129:BK129)</f>
        <v>2570.673863479894</v>
      </c>
      <c r="CN129" s="2315"/>
      <c r="CO129" s="2315"/>
      <c r="CP129" s="2332"/>
      <c r="CQ129" s="2333"/>
      <c r="CR129" s="2333">
        <f>F129+G129+H129+I129</f>
        <v>0</v>
      </c>
      <c r="CS129" s="2333">
        <f>J129+K129+L129+M129</f>
        <v>0</v>
      </c>
      <c r="CT129" s="2334">
        <f>N129+O129+P129+Q129</f>
        <v>0</v>
      </c>
      <c r="CU129" s="2334">
        <f>R129+S129+T129+U129</f>
        <v>0</v>
      </c>
      <c r="CV129" s="2334">
        <f>V129+W129+X129+Y129</f>
        <v>200.66340899867814</v>
      </c>
      <c r="CW129" s="2334">
        <f>Z129+AA129+AB129+AC129</f>
        <v>1484.233784180557</v>
      </c>
      <c r="CX129" s="2318">
        <f>SUM(AD129:AG129)</f>
        <v>2144.6259030139113</v>
      </c>
      <c r="CY129" s="2318">
        <f>(SUM(AH129:AK129)/SUM(AH126:AK126))*CY126</f>
        <v>2063.6485567929567</v>
      </c>
      <c r="CZ129" s="2318">
        <f>(SUM(AL129:AO129)/SUM(AL126:AO126))*CZ126</f>
        <v>2055.4361446703147</v>
      </c>
      <c r="DA129" s="2318">
        <f>(SUM(AP129:AS129)/SUM(AP126:AS126))*DA126</f>
        <v>2377.6419034607275</v>
      </c>
      <c r="DB129" s="2318">
        <f>SUM(AT129:AW129)</f>
        <v>2465.5344920209081</v>
      </c>
      <c r="DC129" s="2318">
        <f>SUM(AX129:BB129)</f>
        <v>2488.5325281521973</v>
      </c>
      <c r="DD129" s="2318">
        <f>SUM(BC129:BG129)</f>
        <v>2547.669723095195</v>
      </c>
      <c r="DE129" s="2318">
        <f>SUM(BD129:BH129)</f>
        <v>2567.1394903313503</v>
      </c>
      <c r="DF129" s="2312"/>
    </row>
    <row r="130" spans="1:110" s="1715" customFormat="1" hidden="1" outlineLevel="1">
      <c r="A130" s="2284"/>
      <c r="B130" s="2239"/>
      <c r="C130" s="2239"/>
      <c r="D130" s="2239"/>
      <c r="E130" s="2239"/>
      <c r="F130" s="2239"/>
      <c r="G130" s="2239"/>
      <c r="H130" s="2239"/>
      <c r="I130" s="2239"/>
      <c r="J130" s="2239"/>
      <c r="K130" s="2239"/>
      <c r="L130" s="2264"/>
      <c r="M130" s="2239"/>
      <c r="N130" s="2239"/>
      <c r="O130" s="2260"/>
      <c r="P130" s="2287"/>
      <c r="Q130" s="2288"/>
      <c r="R130" s="2288"/>
      <c r="S130" s="2289"/>
      <c r="T130" s="2287"/>
      <c r="U130" s="2288"/>
      <c r="V130" s="2288"/>
      <c r="W130" s="2289"/>
      <c r="X130" s="2287"/>
      <c r="Y130" s="2288"/>
      <c r="Z130" s="2288"/>
      <c r="AA130" s="2289"/>
      <c r="AB130" s="2264"/>
      <c r="AC130" s="2239"/>
      <c r="AD130" s="2239"/>
      <c r="AE130" s="2260"/>
      <c r="AF130" s="2264"/>
      <c r="AG130" s="2239"/>
      <c r="AH130" s="2239"/>
      <c r="AI130" s="2260"/>
      <c r="AJ130" s="2264"/>
      <c r="AK130" s="2239"/>
      <c r="AL130" s="2239"/>
      <c r="AM130" s="2260"/>
      <c r="AN130" s="2264"/>
      <c r="AO130" s="2239"/>
      <c r="AP130" s="2239"/>
      <c r="AQ130" s="2260"/>
      <c r="AR130" s="2264"/>
      <c r="AS130" s="2239"/>
      <c r="AT130" s="2239"/>
      <c r="AU130" s="2260"/>
      <c r="AV130" s="2264"/>
      <c r="AW130" s="2239"/>
      <c r="AX130" s="2239"/>
      <c r="AY130" s="2260"/>
      <c r="AZ130" s="2239"/>
      <c r="BA130" s="2264"/>
      <c r="BB130" s="2239"/>
      <c r="BC130" s="2604"/>
      <c r="BD130" s="2260"/>
      <c r="BE130" s="2239"/>
      <c r="BF130" s="2264"/>
      <c r="BG130" s="2239"/>
      <c r="BH130" s="2239"/>
      <c r="BI130" s="2260"/>
      <c r="BJ130" s="2239"/>
      <c r="BK130" s="2264"/>
      <c r="BL130" s="2239"/>
      <c r="BM130" s="2239"/>
      <c r="BN130" s="2260"/>
      <c r="BO130" s="2239"/>
      <c r="BP130" s="2264"/>
      <c r="BQ130" s="2239"/>
      <c r="BR130" s="2239"/>
      <c r="BS130" s="2260"/>
      <c r="BT130" s="2239"/>
      <c r="BU130" s="2264"/>
      <c r="BV130" s="2239"/>
      <c r="BW130" s="2239"/>
      <c r="BX130" s="2260"/>
      <c r="BY130" s="2244"/>
      <c r="BZ130" s="2259"/>
      <c r="CA130" s="2259"/>
      <c r="CB130" s="2291"/>
      <c r="CC130" s="2291"/>
      <c r="CD130" s="2289"/>
      <c r="CE130" s="2289"/>
      <c r="CF130" s="2289"/>
      <c r="CG130" s="2289"/>
      <c r="CH130" s="2289"/>
      <c r="CI130" s="2289"/>
      <c r="CJ130" s="2289"/>
      <c r="CK130" s="2289"/>
      <c r="CL130" s="2289"/>
      <c r="CM130" s="2289"/>
      <c r="CN130" s="2288"/>
      <c r="CO130" s="2288"/>
      <c r="CP130" s="2244"/>
      <c r="CQ130" s="2259"/>
      <c r="CR130" s="2259"/>
      <c r="CS130" s="2259"/>
      <c r="CT130" s="2291"/>
      <c r="CU130" s="2291"/>
      <c r="CV130" s="2291"/>
      <c r="CW130" s="2291"/>
      <c r="CX130" s="2259"/>
      <c r="CY130" s="2259"/>
      <c r="CZ130" s="2261"/>
      <c r="DA130" s="2259"/>
      <c r="DB130" s="2259"/>
      <c r="DC130" s="2259"/>
      <c r="DD130" s="2259"/>
      <c r="DE130" s="2259"/>
      <c r="DF130" s="2239"/>
    </row>
    <row r="131" spans="1:110" s="1715" customFormat="1" hidden="1" outlineLevel="1">
      <c r="A131" s="2345" t="s">
        <v>317</v>
      </c>
      <c r="B131" s="2259"/>
      <c r="C131" s="2259"/>
      <c r="D131" s="2259"/>
      <c r="E131" s="2259"/>
      <c r="F131" s="2259"/>
      <c r="G131" s="2259"/>
      <c r="H131" s="2259"/>
      <c r="I131" s="2259"/>
      <c r="J131" s="2259"/>
      <c r="K131" s="2259"/>
      <c r="L131" s="2264"/>
      <c r="M131" s="2239"/>
      <c r="N131" s="2239"/>
      <c r="O131" s="2260"/>
      <c r="P131" s="2287"/>
      <c r="Q131" s="2288"/>
      <c r="R131" s="2288"/>
      <c r="S131" s="2289"/>
      <c r="T131" s="2287"/>
      <c r="U131" s="2288"/>
      <c r="V131" s="2288"/>
      <c r="W131" s="2289"/>
      <c r="X131" s="2268"/>
      <c r="Y131" s="2335"/>
      <c r="Z131" s="2335"/>
      <c r="AA131" s="2336"/>
      <c r="AB131" s="2337"/>
      <c r="AC131" s="2338"/>
      <c r="AD131" s="2338"/>
      <c r="AE131" s="2339"/>
      <c r="AF131" s="2337"/>
      <c r="AG131" s="2338"/>
      <c r="AH131" s="2338"/>
      <c r="AI131" s="2339"/>
      <c r="AJ131" s="2337"/>
      <c r="AK131" s="2338"/>
      <c r="AL131" s="2338"/>
      <c r="AM131" s="2339"/>
      <c r="AN131" s="2337"/>
      <c r="AO131" s="2338"/>
      <c r="AP131" s="2338"/>
      <c r="AQ131" s="2339"/>
      <c r="AR131" s="2337"/>
      <c r="AS131" s="2338"/>
      <c r="AT131" s="2338"/>
      <c r="AU131" s="2339"/>
      <c r="AV131" s="2337"/>
      <c r="AW131" s="2338"/>
      <c r="AX131" s="2338"/>
      <c r="AY131" s="2339"/>
      <c r="AZ131" s="2338"/>
      <c r="BA131" s="2337"/>
      <c r="BB131" s="2338"/>
      <c r="BC131" s="2608"/>
      <c r="BD131" s="2339"/>
      <c r="BE131" s="2338"/>
      <c r="BF131" s="2337"/>
      <c r="BG131" s="2338"/>
      <c r="BH131" s="2338"/>
      <c r="BI131" s="2339"/>
      <c r="BJ131" s="2338"/>
      <c r="BK131" s="2337"/>
      <c r="BL131" s="2338"/>
      <c r="BM131" s="2338"/>
      <c r="BN131" s="2339"/>
      <c r="BO131" s="2338"/>
      <c r="BP131" s="2337"/>
      <c r="BQ131" s="2338"/>
      <c r="BR131" s="2338"/>
      <c r="BS131" s="2339"/>
      <c r="BT131" s="2338"/>
      <c r="BU131" s="2337"/>
      <c r="BV131" s="2338"/>
      <c r="BW131" s="2338"/>
      <c r="BX131" s="2339"/>
      <c r="BY131" s="2244"/>
      <c r="BZ131" s="2259"/>
      <c r="CA131" s="2259"/>
      <c r="CB131" s="2291"/>
      <c r="CC131" s="2291"/>
      <c r="CD131" s="2289"/>
      <c r="CE131" s="2289"/>
      <c r="CF131" s="2289"/>
      <c r="CG131" s="2289"/>
      <c r="CH131" s="2289"/>
      <c r="CI131" s="2289"/>
      <c r="CJ131" s="2289"/>
      <c r="CK131" s="2289"/>
      <c r="CL131" s="2289"/>
      <c r="CM131" s="2289"/>
      <c r="CN131" s="2288"/>
      <c r="CO131" s="2288"/>
      <c r="CP131" s="2244"/>
      <c r="CQ131" s="2259"/>
      <c r="CR131" s="2259"/>
      <c r="CS131" s="2259"/>
      <c r="CT131" s="2291"/>
      <c r="CU131" s="2291"/>
      <c r="CV131" s="2291"/>
      <c r="CW131" s="2291"/>
      <c r="CX131" s="2259"/>
      <c r="CY131" s="2259"/>
      <c r="CZ131" s="2259"/>
      <c r="DA131" s="2259"/>
      <c r="DB131" s="2259"/>
      <c r="DC131" s="2259"/>
      <c r="DD131" s="2259"/>
      <c r="DE131" s="2259"/>
      <c r="DF131" s="2239"/>
    </row>
    <row r="132" spans="1:110" s="1715" customFormat="1" hidden="1" outlineLevel="1">
      <c r="A132" s="2340" t="s">
        <v>289</v>
      </c>
      <c r="B132" s="2259"/>
      <c r="C132" s="2259"/>
      <c r="D132" s="2259"/>
      <c r="E132" s="2259"/>
      <c r="F132" s="2261"/>
      <c r="G132" s="2261"/>
      <c r="H132" s="2261"/>
      <c r="I132" s="2261"/>
      <c r="J132" s="2261"/>
      <c r="K132" s="2261"/>
      <c r="L132" s="2295"/>
      <c r="M132" s="2294"/>
      <c r="N132" s="2294"/>
      <c r="O132" s="2296"/>
      <c r="P132" s="2297"/>
      <c r="Q132" s="2298"/>
      <c r="R132" s="2298"/>
      <c r="S132" s="2299"/>
      <c r="T132" s="2297"/>
      <c r="U132" s="2298"/>
      <c r="V132" s="2298"/>
      <c r="W132" s="2299"/>
      <c r="X132" s="2297"/>
      <c r="Y132" s="2298">
        <f t="shared" ref="Y132:BX132" si="232">Y133*Y$11</f>
        <v>17.410638217145834</v>
      </c>
      <c r="Z132" s="2298">
        <f t="shared" si="232"/>
        <v>15.151189213174922</v>
      </c>
      <c r="AA132" s="2299">
        <f t="shared" si="232"/>
        <v>21.748094887693135</v>
      </c>
      <c r="AB132" s="2295">
        <f t="shared" si="232"/>
        <v>24.590306211861062</v>
      </c>
      <c r="AC132" s="2294">
        <f t="shared" si="232"/>
        <v>27.588383874126222</v>
      </c>
      <c r="AD132" s="2294">
        <f t="shared" si="232"/>
        <v>22.251240820442732</v>
      </c>
      <c r="AE132" s="2296">
        <f t="shared" si="232"/>
        <v>23.99362564690534</v>
      </c>
      <c r="AF132" s="2295">
        <f t="shared" si="232"/>
        <v>26.420229527837478</v>
      </c>
      <c r="AG132" s="2294">
        <f t="shared" si="232"/>
        <v>26.744487380730547</v>
      </c>
      <c r="AH132" s="2294">
        <f t="shared" si="232"/>
        <v>25.046942989550498</v>
      </c>
      <c r="AI132" s="2296">
        <f t="shared" si="232"/>
        <v>24.810965812001079</v>
      </c>
      <c r="AJ132" s="2295">
        <f t="shared" si="232"/>
        <v>24.473858678737034</v>
      </c>
      <c r="AK132" s="2294">
        <f t="shared" si="232"/>
        <v>10.746867804641109</v>
      </c>
      <c r="AL132" s="2294">
        <f t="shared" si="232"/>
        <v>5.6591423434753976</v>
      </c>
      <c r="AM132" s="2296">
        <f t="shared" si="232"/>
        <v>4.4887279419486834</v>
      </c>
      <c r="AN132" s="2295">
        <f t="shared" si="232"/>
        <v>0.8657344967995535</v>
      </c>
      <c r="AO132" s="2294">
        <f t="shared" si="232"/>
        <v>1.5911937235448002</v>
      </c>
      <c r="AP132" s="2294">
        <f t="shared" si="232"/>
        <v>1.4283020723948905</v>
      </c>
      <c r="AQ132" s="2296">
        <f t="shared" si="232"/>
        <v>1.40712536229414</v>
      </c>
      <c r="AR132" s="2295">
        <f t="shared" si="232"/>
        <v>1.6350824302500016</v>
      </c>
      <c r="AS132" s="2294">
        <f t="shared" si="232"/>
        <v>0</v>
      </c>
      <c r="AT132" s="2294">
        <f t="shared" si="232"/>
        <v>0</v>
      </c>
      <c r="AU132" s="2296">
        <f t="shared" si="232"/>
        <v>0</v>
      </c>
      <c r="AV132" s="2295">
        <f t="shared" si="232"/>
        <v>0</v>
      </c>
      <c r="AW132" s="2294">
        <f t="shared" si="232"/>
        <v>0</v>
      </c>
      <c r="AX132" s="2294">
        <f t="shared" si="232"/>
        <v>0</v>
      </c>
      <c r="AY132" s="2296">
        <f t="shared" si="232"/>
        <v>0</v>
      </c>
      <c r="AZ132" s="2294"/>
      <c r="BA132" s="2295">
        <f t="shared" si="232"/>
        <v>0</v>
      </c>
      <c r="BB132" s="2294">
        <f t="shared" si="232"/>
        <v>0</v>
      </c>
      <c r="BC132" s="2598">
        <f t="shared" si="232"/>
        <v>0</v>
      </c>
      <c r="BD132" s="2296">
        <f t="shared" si="232"/>
        <v>0</v>
      </c>
      <c r="BE132" s="2294"/>
      <c r="BF132" s="2295">
        <f t="shared" si="232"/>
        <v>0</v>
      </c>
      <c r="BG132" s="2294">
        <f t="shared" si="232"/>
        <v>0</v>
      </c>
      <c r="BH132" s="2294">
        <f t="shared" si="232"/>
        <v>0</v>
      </c>
      <c r="BI132" s="2296">
        <f t="shared" si="232"/>
        <v>0</v>
      </c>
      <c r="BJ132" s="2294"/>
      <c r="BK132" s="2295">
        <f t="shared" si="232"/>
        <v>0</v>
      </c>
      <c r="BL132" s="2294">
        <f t="shared" si="232"/>
        <v>0</v>
      </c>
      <c r="BM132" s="2294">
        <f t="shared" si="232"/>
        <v>0</v>
      </c>
      <c r="BN132" s="2296">
        <f t="shared" si="232"/>
        <v>0</v>
      </c>
      <c r="BO132" s="2294"/>
      <c r="BP132" s="2295">
        <f t="shared" si="232"/>
        <v>0</v>
      </c>
      <c r="BQ132" s="2294">
        <f t="shared" si="232"/>
        <v>0</v>
      </c>
      <c r="BR132" s="2294">
        <f t="shared" si="232"/>
        <v>0</v>
      </c>
      <c r="BS132" s="2296">
        <f t="shared" si="232"/>
        <v>0</v>
      </c>
      <c r="BT132" s="2294"/>
      <c r="BU132" s="2295">
        <f t="shared" si="232"/>
        <v>0</v>
      </c>
      <c r="BV132" s="2294">
        <f t="shared" si="232"/>
        <v>0</v>
      </c>
      <c r="BW132" s="2294">
        <f t="shared" si="232"/>
        <v>0</v>
      </c>
      <c r="BX132" s="2296">
        <f t="shared" si="232"/>
        <v>0</v>
      </c>
      <c r="BY132" s="2244"/>
      <c r="BZ132" s="2261"/>
      <c r="CA132" s="2261"/>
      <c r="CB132" s="2300">
        <f>P132+Q132+R132+S132</f>
        <v>0</v>
      </c>
      <c r="CC132" s="2300">
        <f>T132+U132+V132+W132</f>
        <v>0</v>
      </c>
      <c r="CD132" s="2299">
        <f>X132+Y132+Z132+AA132</f>
        <v>54.309922318013889</v>
      </c>
      <c r="CE132" s="2299">
        <f>AB132+AC132+AD132+AE132</f>
        <v>98.423556553335359</v>
      </c>
      <c r="CF132" s="2299">
        <f>SUM(AF132:AI132)</f>
        <v>103.0226257101196</v>
      </c>
      <c r="CG132" s="2299">
        <f>SUM(AJ132:AM132)</f>
        <v>45.36859676880222</v>
      </c>
      <c r="CH132" s="2299">
        <f>SUM(AN132:AQ132)</f>
        <v>5.2923556550333846</v>
      </c>
      <c r="CI132" s="2299">
        <f>SUM(AR132:AU132)</f>
        <v>1.6350824302500016</v>
      </c>
      <c r="CJ132" s="2299">
        <f>SUM(AV132:AY132)</f>
        <v>0</v>
      </c>
      <c r="CK132" s="2299">
        <f>SUM(BA132:BD132)</f>
        <v>0</v>
      </c>
      <c r="CL132" s="2299">
        <f>SUM(BF132:BI132)</f>
        <v>0</v>
      </c>
      <c r="CM132" s="2299">
        <f>SUM(BG132:BK132)</f>
        <v>0</v>
      </c>
      <c r="CN132" s="2298"/>
      <c r="CO132" s="2298"/>
      <c r="CP132" s="2301"/>
      <c r="CQ132" s="2261"/>
      <c r="CR132" s="2261">
        <f>F132+G132+H132+I132</f>
        <v>0</v>
      </c>
      <c r="CS132" s="2261">
        <f>J132+K132+L132+M132</f>
        <v>0</v>
      </c>
      <c r="CT132" s="2300">
        <f>N132+O132+P132+Q132</f>
        <v>0</v>
      </c>
      <c r="CU132" s="2300">
        <f>R132+S132+T132+U132</f>
        <v>0</v>
      </c>
      <c r="CV132" s="2300">
        <f>V132+W132+X132+Y132</f>
        <v>17.410638217145834</v>
      </c>
      <c r="CW132" s="2300">
        <f>Z132+AA132+AB132+AC132</f>
        <v>89.077974186855343</v>
      </c>
      <c r="CX132" s="2302">
        <f>AD132+AE132+AF132+AG132</f>
        <v>99.4095833759161</v>
      </c>
      <c r="CY132" s="2302">
        <f>SUM(AH132:AK132)</f>
        <v>85.078635284929717</v>
      </c>
      <c r="CZ132" s="2302">
        <f>SUM(AL132:AO132)</f>
        <v>12.604798505768434</v>
      </c>
      <c r="DA132" s="2302">
        <f>SUM(AP132:AS132)</f>
        <v>4.4705098649390322</v>
      </c>
      <c r="DB132" s="2302">
        <f>SUM(AT132:AW132)</f>
        <v>0</v>
      </c>
      <c r="DC132" s="2302">
        <f>SUM(AX132:BB132)</f>
        <v>0</v>
      </c>
      <c r="DD132" s="2300">
        <f>SUM(BC132:BG132)</f>
        <v>0</v>
      </c>
      <c r="DE132" s="2300">
        <f>SUM(BD132:BH132)</f>
        <v>0</v>
      </c>
      <c r="DF132" s="2298"/>
    </row>
    <row r="133" spans="1:110" s="1715" customFormat="1" hidden="1" outlineLevel="2">
      <c r="A133" s="2341" t="s">
        <v>796</v>
      </c>
      <c r="B133" s="2259"/>
      <c r="C133" s="2259"/>
      <c r="D133" s="2259"/>
      <c r="E133" s="2259"/>
      <c r="F133" s="2307"/>
      <c r="G133" s="2307"/>
      <c r="H133" s="2307"/>
      <c r="I133" s="2307"/>
      <c r="J133" s="2307"/>
      <c r="K133" s="2307"/>
      <c r="L133" s="2304"/>
      <c r="M133" s="2273"/>
      <c r="N133" s="2273"/>
      <c r="O133" s="2305"/>
      <c r="P133" s="2265"/>
      <c r="Q133" s="2266"/>
      <c r="R133" s="2266"/>
      <c r="S133" s="2267"/>
      <c r="T133" s="2265"/>
      <c r="U133" s="2266"/>
      <c r="V133" s="2266"/>
      <c r="W133" s="2267"/>
      <c r="X133" s="2265"/>
      <c r="Y133" s="2266">
        <v>0.25</v>
      </c>
      <c r="Z133" s="2266">
        <v>0.25</v>
      </c>
      <c r="AA133" s="2267">
        <v>0.35</v>
      </c>
      <c r="AB133" s="2304">
        <f>40%-AB139</f>
        <v>0.39500000000000002</v>
      </c>
      <c r="AC133" s="2273">
        <f>42%-AC139</f>
        <v>0.41499999999999998</v>
      </c>
      <c r="AD133" s="2273">
        <f>38%-AD139</f>
        <v>0.375</v>
      </c>
      <c r="AE133" s="2305">
        <f>39%-AE139</f>
        <v>0.38500000000000001</v>
      </c>
      <c r="AF133" s="2304">
        <f>40%-AF139</f>
        <v>0.39500000000000002</v>
      </c>
      <c r="AG133" s="2273">
        <f>42%-AG139</f>
        <v>0.41499999999999998</v>
      </c>
      <c r="AH133" s="2273">
        <f>41%-AH139</f>
        <v>0.40499999999999997</v>
      </c>
      <c r="AI133" s="2273">
        <f>40%-AI139</f>
        <v>0.39500000000000002</v>
      </c>
      <c r="AJ133" s="2304">
        <f>38%-AJ139</f>
        <v>0.375</v>
      </c>
      <c r="AK133" s="2273">
        <f>41.3%-AK145</f>
        <v>0.16299999999999998</v>
      </c>
      <c r="AL133" s="2273">
        <f>41%-AL145</f>
        <v>9.9999999999999978E-2</v>
      </c>
      <c r="AM133" s="2305">
        <f>40%-AM145</f>
        <v>8.0000000000000016E-2</v>
      </c>
      <c r="AN133" s="2273">
        <f>32%-AN145</f>
        <v>1.5000000000000013E-2</v>
      </c>
      <c r="AO133" s="2273">
        <f>33%-AO145</f>
        <v>2.5000000000000022E-2</v>
      </c>
      <c r="AP133" s="2273">
        <f>33%-AP145</f>
        <v>2.5000000000000022E-2</v>
      </c>
      <c r="AQ133" s="2305">
        <f>33%-AQ145</f>
        <v>2.5000000000000022E-2</v>
      </c>
      <c r="AR133" s="2273">
        <f>33%-AR145</f>
        <v>3.0000000000000027E-2</v>
      </c>
      <c r="AS133" s="2273">
        <v>0</v>
      </c>
      <c r="AT133" s="2273">
        <v>0</v>
      </c>
      <c r="AU133" s="2273">
        <v>0</v>
      </c>
      <c r="AV133" s="2273">
        <v>0</v>
      </c>
      <c r="AW133" s="2273">
        <v>0</v>
      </c>
      <c r="AX133" s="2273">
        <v>0</v>
      </c>
      <c r="AY133" s="2273">
        <v>0</v>
      </c>
      <c r="AZ133" s="2273"/>
      <c r="BA133" s="2273">
        <v>0</v>
      </c>
      <c r="BB133" s="2273">
        <v>0</v>
      </c>
      <c r="BC133" s="188">
        <v>0</v>
      </c>
      <c r="BD133" s="2273">
        <v>0</v>
      </c>
      <c r="BE133" s="2273"/>
      <c r="BF133" s="2273">
        <v>0</v>
      </c>
      <c r="BG133" s="2273">
        <v>0</v>
      </c>
      <c r="BH133" s="2273">
        <v>0</v>
      </c>
      <c r="BI133" s="2273">
        <v>0</v>
      </c>
      <c r="BJ133" s="2273"/>
      <c r="BK133" s="2273">
        <v>0</v>
      </c>
      <c r="BL133" s="2273">
        <v>0</v>
      </c>
      <c r="BM133" s="2273">
        <v>0</v>
      </c>
      <c r="BN133" s="2273">
        <v>0</v>
      </c>
      <c r="BO133" s="2273"/>
      <c r="BP133" s="2273">
        <v>0</v>
      </c>
      <c r="BQ133" s="2273">
        <v>0</v>
      </c>
      <c r="BR133" s="2273">
        <v>0</v>
      </c>
      <c r="BS133" s="2273">
        <v>0</v>
      </c>
      <c r="BT133" s="2273"/>
      <c r="BU133" s="2273">
        <v>0</v>
      </c>
      <c r="BV133" s="2273">
        <v>0</v>
      </c>
      <c r="BW133" s="2273">
        <v>0</v>
      </c>
      <c r="BX133" s="2273">
        <v>0</v>
      </c>
      <c r="BY133" s="2306"/>
      <c r="BZ133" s="2307"/>
      <c r="CA133" s="2307"/>
      <c r="CB133" s="2308">
        <f t="shared" ref="CB133:CI133" si="233">CB132/CB$167</f>
        <v>0</v>
      </c>
      <c r="CC133" s="2308">
        <f t="shared" si="233"/>
        <v>0</v>
      </c>
      <c r="CD133" s="2267">
        <f t="shared" si="233"/>
        <v>0.21555607223534523</v>
      </c>
      <c r="CE133" s="2267">
        <f t="shared" si="233"/>
        <v>0.39308145786088217</v>
      </c>
      <c r="CF133" s="2267">
        <f t="shared" si="233"/>
        <v>0.4024508703401849</v>
      </c>
      <c r="CG133" s="2267">
        <f t="shared" si="233"/>
        <v>0.18110447250378522</v>
      </c>
      <c r="CH133" s="2267">
        <f t="shared" si="233"/>
        <v>2.1080206781436368E-2</v>
      </c>
      <c r="CI133" s="2267">
        <f t="shared" si="233"/>
        <v>7.2124273827544692E-3</v>
      </c>
      <c r="CJ133" s="2267">
        <f>CJ132/CJ$167</f>
        <v>0</v>
      </c>
      <c r="CK133" s="2267">
        <f>CK132/CK$167</f>
        <v>0</v>
      </c>
      <c r="CL133" s="2267">
        <f>CL132/CL$167</f>
        <v>0</v>
      </c>
      <c r="CM133" s="2267">
        <f>CM132/CM$167</f>
        <v>0</v>
      </c>
      <c r="CN133" s="2266"/>
      <c r="CO133" s="2266"/>
      <c r="CP133" s="2306"/>
      <c r="CQ133" s="2307"/>
      <c r="CR133" s="2307">
        <f t="shared" ref="CR133:CX133" si="234">CR132/CR$167</f>
        <v>0</v>
      </c>
      <c r="CS133" s="2307">
        <f t="shared" si="234"/>
        <v>0</v>
      </c>
      <c r="CT133" s="2308">
        <f t="shared" si="234"/>
        <v>0</v>
      </c>
      <c r="CU133" s="2308">
        <f t="shared" si="234"/>
        <v>0</v>
      </c>
      <c r="CV133" s="2308">
        <f t="shared" si="234"/>
        <v>7.7372928960735901E-2</v>
      </c>
      <c r="CW133" s="2308">
        <f t="shared" si="234"/>
        <v>0.35422319273362302</v>
      </c>
      <c r="CX133" s="2308">
        <f t="shared" si="234"/>
        <v>0.39294041227552423</v>
      </c>
      <c r="CY133" s="2308">
        <f>SUM(AH132:AK132)/SUM(AH$11:AK$11)</f>
        <v>0.33253039976658044</v>
      </c>
      <c r="CZ133" s="2308">
        <f>SUM(AL132:AO132)/SUM(AL$11:AO$11)</f>
        <v>5.3851953457357223E-2</v>
      </c>
      <c r="DA133" s="2308">
        <f>SUM(AP132:AS132)/SUM(AP$11:AS$11)</f>
        <v>1.9795691144345599E-2</v>
      </c>
      <c r="DB133" s="2308">
        <f>DB132/DB$167</f>
        <v>0</v>
      </c>
      <c r="DC133" s="2308">
        <f>DC132/DC$167</f>
        <v>0</v>
      </c>
      <c r="DD133" s="2308">
        <f>DD132/DD$167</f>
        <v>0</v>
      </c>
      <c r="DE133" s="2308">
        <f>DE132/DE$167</f>
        <v>0</v>
      </c>
      <c r="DF133" s="2266"/>
    </row>
    <row r="134" spans="1:110" s="1715" customFormat="1" hidden="1" outlineLevel="2">
      <c r="A134" s="2342" t="s">
        <v>121</v>
      </c>
      <c r="B134" s="2259"/>
      <c r="C134" s="2259"/>
      <c r="D134" s="2259"/>
      <c r="E134" s="2259"/>
      <c r="F134" s="2259"/>
      <c r="G134" s="2259"/>
      <c r="H134" s="2259"/>
      <c r="I134" s="2259"/>
      <c r="J134" s="2245"/>
      <c r="K134" s="2245"/>
      <c r="L134" s="2256"/>
      <c r="M134" s="2250"/>
      <c r="N134" s="2250"/>
      <c r="O134" s="2257"/>
      <c r="P134" s="2310"/>
      <c r="Q134" s="2271"/>
      <c r="R134" s="2271"/>
      <c r="S134" s="2309"/>
      <c r="T134" s="2310"/>
      <c r="U134" s="2271"/>
      <c r="V134" s="2271"/>
      <c r="W134" s="2309"/>
      <c r="X134" s="2310"/>
      <c r="Y134" s="2271" t="str">
        <f t="shared" ref="Y134:AS134" si="235">IF(OR(Y132=0,U132=0),"NM",Y132/U132-1)</f>
        <v>NM</v>
      </c>
      <c r="Z134" s="2271" t="str">
        <f t="shared" si="235"/>
        <v>NM</v>
      </c>
      <c r="AA134" s="2309" t="str">
        <f t="shared" si="235"/>
        <v>NM</v>
      </c>
      <c r="AB134" s="2256" t="str">
        <f t="shared" si="235"/>
        <v>NM</v>
      </c>
      <c r="AC134" s="2250">
        <f t="shared" si="235"/>
        <v>0.58457050971040436</v>
      </c>
      <c r="AD134" s="2250">
        <f t="shared" si="235"/>
        <v>0.46861348686041504</v>
      </c>
      <c r="AE134" s="2257">
        <f t="shared" si="235"/>
        <v>0.10325183749694378</v>
      </c>
      <c r="AF134" s="2250">
        <f t="shared" si="235"/>
        <v>7.4416450946583002E-2</v>
      </c>
      <c r="AG134" s="2250">
        <f t="shared" si="235"/>
        <v>-3.0588833954392047E-2</v>
      </c>
      <c r="AH134" s="2250">
        <f t="shared" si="235"/>
        <v>0.12564252895682526</v>
      </c>
      <c r="AI134" s="2257">
        <f t="shared" si="235"/>
        <v>3.4064887779940767E-2</v>
      </c>
      <c r="AJ134" s="2256">
        <f t="shared" si="235"/>
        <v>-7.3669717632455223E-2</v>
      </c>
      <c r="AK134" s="2250">
        <f t="shared" si="235"/>
        <v>-0.59816512271668187</v>
      </c>
      <c r="AL134" s="2250">
        <f t="shared" si="235"/>
        <v>-0.77405856092552394</v>
      </c>
      <c r="AM134" s="2257">
        <f t="shared" si="235"/>
        <v>-0.81908290165079012</v>
      </c>
      <c r="AN134" s="2256">
        <f t="shared" si="235"/>
        <v>-0.96462615445468325</v>
      </c>
      <c r="AO134" s="2250">
        <f t="shared" si="235"/>
        <v>-0.85193883906735768</v>
      </c>
      <c r="AP134" s="2250">
        <f t="shared" si="235"/>
        <v>-0.74761156625762837</v>
      </c>
      <c r="AQ134" s="2257">
        <f t="shared" si="235"/>
        <v>-0.68652023903162473</v>
      </c>
      <c r="AR134" s="2256">
        <f t="shared" si="235"/>
        <v>0.88866498481297995</v>
      </c>
      <c r="AS134" s="2250" t="str">
        <f t="shared" si="235"/>
        <v>NM</v>
      </c>
      <c r="AT134" s="2250" t="str">
        <f>IF(OR(AT132=0,AP132=0),"NM",AT132/AP132-1)</f>
        <v>NM</v>
      </c>
      <c r="AU134" s="2257" t="str">
        <f>IF(OR(AU132=0,AQ132=0),"NM",AU132/AQ132-1)</f>
        <v>NM</v>
      </c>
      <c r="AV134" s="2256" t="str">
        <f t="shared" ref="AV134:AY134" si="236">IF(OR(AV132=0,AR132=0),"NM",AV132/AR132-1)</f>
        <v>NM</v>
      </c>
      <c r="AW134" s="2250" t="str">
        <f t="shared" si="236"/>
        <v>NM</v>
      </c>
      <c r="AX134" s="2250" t="str">
        <f t="shared" si="236"/>
        <v>NM</v>
      </c>
      <c r="AY134" s="2257" t="str">
        <f t="shared" si="236"/>
        <v>NM</v>
      </c>
      <c r="AZ134" s="2250"/>
      <c r="BA134" s="2256" t="str">
        <f>IF(OR(BA132=0,AV132=0),"NM",BA132/AV132-1)</f>
        <v>NM</v>
      </c>
      <c r="BB134" s="2250" t="str">
        <f>IF(OR(BB132=0,AW132=0),"NM",BB132/AW132-1)</f>
        <v>NM</v>
      </c>
      <c r="BC134" s="2603" t="str">
        <f>IF(OR(BC132=0,AX132=0),"NM",BC132/AX132-1)</f>
        <v>NM</v>
      </c>
      <c r="BD134" s="2257" t="str">
        <f>IF(OR(BD132=0,AY132=0),"NM",BD132/AY132-1)</f>
        <v>NM</v>
      </c>
      <c r="BE134" s="2250"/>
      <c r="BF134" s="2256" t="str">
        <f>IF(OR(BF132=0,BA132=0),"NM",BF132/BA132-1)</f>
        <v>NM</v>
      </c>
      <c r="BG134" s="2250" t="str">
        <f>IF(OR(BG132=0,BB132=0),"NM",BG132/BB132-1)</f>
        <v>NM</v>
      </c>
      <c r="BH134" s="2250" t="str">
        <f>IF(OR(BH132=0,BC132=0),"NM",BH132/BC132-1)</f>
        <v>NM</v>
      </c>
      <c r="BI134" s="2257" t="str">
        <f>IF(OR(BI132=0,BD132=0),"NM",BI132/BD132-1)</f>
        <v>NM</v>
      </c>
      <c r="BJ134" s="2250"/>
      <c r="BK134" s="2256" t="str">
        <f>IF(OR(BK132=0,BF132=0),"NM",BK132/BF132-1)</f>
        <v>NM</v>
      </c>
      <c r="BL134" s="2250" t="str">
        <f>IF(OR(BL132=0,BG132=0),"NM",BL132/BG132-1)</f>
        <v>NM</v>
      </c>
      <c r="BM134" s="2250" t="str">
        <f>IF(OR(BM132=0,BH132=0),"NM",BM132/BH132-1)</f>
        <v>NM</v>
      </c>
      <c r="BN134" s="2257" t="str">
        <f>IF(OR(BN132=0,BI132=0),"NM",BN132/BI132-1)</f>
        <v>NM</v>
      </c>
      <c r="BO134" s="2250"/>
      <c r="BP134" s="2256" t="str">
        <f>IF(OR(BP132=0,BK132=0),"NM",BP132/BK132-1)</f>
        <v>NM</v>
      </c>
      <c r="BQ134" s="2250" t="str">
        <f>IF(OR(BQ132=0,BL132=0),"NM",BQ132/BL132-1)</f>
        <v>NM</v>
      </c>
      <c r="BR134" s="2250" t="str">
        <f>IF(OR(BR132=0,BM132=0),"NM",BR132/BM132-1)</f>
        <v>NM</v>
      </c>
      <c r="BS134" s="2257" t="str">
        <f>IF(OR(BS132=0,BN132=0),"NM",BS132/BN132-1)</f>
        <v>NM</v>
      </c>
      <c r="BT134" s="2250"/>
      <c r="BU134" s="2256" t="str">
        <f>IF(OR(BU132=0,BP132=0),"NM",BU132/BP132-1)</f>
        <v>NM</v>
      </c>
      <c r="BV134" s="2250" t="str">
        <f>IF(OR(BV132=0,BQ132=0),"NM",BV132/BQ132-1)</f>
        <v>NM</v>
      </c>
      <c r="BW134" s="2250" t="str">
        <f>IF(OR(BW132=0,BR132=0),"NM",BW132/BR132-1)</f>
        <v>NM</v>
      </c>
      <c r="BX134" s="2257" t="str">
        <f>IF(OR(BX132=0,BS132=0),"NM",BX132/BS132-1)</f>
        <v>NM</v>
      </c>
      <c r="BY134" s="2244"/>
      <c r="BZ134" s="2246"/>
      <c r="CA134" s="2246"/>
      <c r="CB134" s="2247" t="str">
        <f t="shared" ref="CB134:CM134" si="237">IF(OR(CA132=0,CB132=0),"NM",CB132/CA132-1)</f>
        <v>NM</v>
      </c>
      <c r="CC134" s="2247" t="str">
        <f t="shared" si="237"/>
        <v>NM</v>
      </c>
      <c r="CD134" s="2242" t="str">
        <f t="shared" si="237"/>
        <v>NM</v>
      </c>
      <c r="CE134" s="2242">
        <f t="shared" si="237"/>
        <v>0.81225736205278198</v>
      </c>
      <c r="CF134" s="2242">
        <f t="shared" si="237"/>
        <v>4.6727321363275731E-2</v>
      </c>
      <c r="CG134" s="2242">
        <f t="shared" si="237"/>
        <v>-0.55962492262177121</v>
      </c>
      <c r="CH134" s="2242">
        <f t="shared" si="237"/>
        <v>-0.88334760094073084</v>
      </c>
      <c r="CI134" s="2242">
        <f t="shared" si="237"/>
        <v>-0.69104827097269461</v>
      </c>
      <c r="CJ134" s="2242" t="str">
        <f t="shared" si="237"/>
        <v>NM</v>
      </c>
      <c r="CK134" s="2242" t="str">
        <f t="shared" si="237"/>
        <v>NM</v>
      </c>
      <c r="CL134" s="2242" t="str">
        <f t="shared" si="237"/>
        <v>NM</v>
      </c>
      <c r="CM134" s="2242" t="str">
        <f t="shared" si="237"/>
        <v>NM</v>
      </c>
      <c r="CN134" s="2240"/>
      <c r="CO134" s="2240"/>
      <c r="CP134" s="2248"/>
      <c r="CQ134" s="2246"/>
      <c r="CR134" s="2246"/>
      <c r="CS134" s="2246" t="str">
        <f t="shared" ref="CS134:DA134" si="238">IF(OR(CR132=0,CS132=0),"NM",CS132/CR132-1)</f>
        <v>NM</v>
      </c>
      <c r="CT134" s="2247" t="str">
        <f t="shared" si="238"/>
        <v>NM</v>
      </c>
      <c r="CU134" s="2247" t="str">
        <f t="shared" si="238"/>
        <v>NM</v>
      </c>
      <c r="CV134" s="2247" t="str">
        <f t="shared" si="238"/>
        <v>NM</v>
      </c>
      <c r="CW134" s="2247">
        <f t="shared" si="238"/>
        <v>4.1162957426300535</v>
      </c>
      <c r="CX134" s="2247">
        <f t="shared" si="238"/>
        <v>0.11598388135083249</v>
      </c>
      <c r="CY134" s="2247">
        <f t="shared" si="238"/>
        <v>-0.14416062923022299</v>
      </c>
      <c r="CZ134" s="2247">
        <f t="shared" si="238"/>
        <v>-0.85184531388456386</v>
      </c>
      <c r="DA134" s="2247">
        <f t="shared" si="238"/>
        <v>-0.64533269905955604</v>
      </c>
      <c r="DB134" s="2247" t="str">
        <f>IF(OR(DA132=0,DB132=0),"NM",DB132/DA132-1)</f>
        <v>NM</v>
      </c>
      <c r="DC134" s="2247" t="str">
        <f>IF(OR(DB132=0,DC132=0),"NM",DC132/DB132-1)</f>
        <v>NM</v>
      </c>
      <c r="DD134" s="2247" t="str">
        <f>IF(OR(DC132=0,DD132=0),"NM",DD132/DC132-1)</f>
        <v>NM</v>
      </c>
      <c r="DE134" s="2247" t="str">
        <f>IF(OR(DD132=0,DE132=0),"NM",DE132/DD132-1)</f>
        <v>NM</v>
      </c>
      <c r="DF134" s="2240"/>
    </row>
    <row r="135" spans="1:110" s="1715" customFormat="1" hidden="1" outlineLevel="1">
      <c r="A135" s="2343" t="s">
        <v>290</v>
      </c>
      <c r="B135" s="2318"/>
      <c r="C135" s="2318"/>
      <c r="D135" s="2318"/>
      <c r="E135" s="2318"/>
      <c r="F135" s="2318"/>
      <c r="G135" s="2318"/>
      <c r="H135" s="2318"/>
      <c r="I135" s="2318"/>
      <c r="J135" s="2318"/>
      <c r="K135" s="2318"/>
      <c r="L135" s="2313"/>
      <c r="M135" s="2312"/>
      <c r="N135" s="2312"/>
      <c r="O135" s="2314"/>
      <c r="P135" s="2290"/>
      <c r="Q135" s="2315"/>
      <c r="R135" s="2315"/>
      <c r="S135" s="2316"/>
      <c r="T135" s="2290"/>
      <c r="U135" s="2315"/>
      <c r="V135" s="2315"/>
      <c r="W135" s="2316"/>
      <c r="X135" s="2290"/>
      <c r="Y135" s="2315">
        <f t="shared" ref="Y135:AS135" si="239">Y132*Y220</f>
        <v>940.60972968130363</v>
      </c>
      <c r="Z135" s="2315">
        <f t="shared" si="239"/>
        <v>833.31540672462074</v>
      </c>
      <c r="AA135" s="2316">
        <f t="shared" si="239"/>
        <v>1174.3971239354294</v>
      </c>
      <c r="AB135" s="2313">
        <f t="shared" si="239"/>
        <v>1348.2864248197855</v>
      </c>
      <c r="AC135" s="2312">
        <f t="shared" si="239"/>
        <v>1573.8868633096799</v>
      </c>
      <c r="AD135" s="2312">
        <f t="shared" si="239"/>
        <v>1199.3418802218632</v>
      </c>
      <c r="AE135" s="2314">
        <f t="shared" si="239"/>
        <v>1282.0260397090467</v>
      </c>
      <c r="AF135" s="2313">
        <f t="shared" si="239"/>
        <v>1399.2808678235124</v>
      </c>
      <c r="AG135" s="2312">
        <f t="shared" si="239"/>
        <v>1475.8436651926131</v>
      </c>
      <c r="AH135" s="2312">
        <f t="shared" si="239"/>
        <v>1339.0095722213696</v>
      </c>
      <c r="AI135" s="2314">
        <f t="shared" si="239"/>
        <v>1324.9055743608576</v>
      </c>
      <c r="AJ135" s="2313">
        <f t="shared" si="239"/>
        <v>1262.851107822831</v>
      </c>
      <c r="AK135" s="2312">
        <f t="shared" si="239"/>
        <v>554.53837871948122</v>
      </c>
      <c r="AL135" s="2312">
        <f t="shared" si="239"/>
        <v>292.01174492333053</v>
      </c>
      <c r="AM135" s="2314">
        <f t="shared" si="239"/>
        <v>231.61836180455208</v>
      </c>
      <c r="AN135" s="2313">
        <f t="shared" si="239"/>
        <v>44.671900034856961</v>
      </c>
      <c r="AO135" s="2312">
        <f t="shared" si="239"/>
        <v>82.105596134911693</v>
      </c>
      <c r="AP135" s="2312">
        <f t="shared" si="239"/>
        <v>73.700386935576347</v>
      </c>
      <c r="AQ135" s="2314">
        <f t="shared" si="239"/>
        <v>72.607668694377622</v>
      </c>
      <c r="AR135" s="2313">
        <f t="shared" si="239"/>
        <v>84.370253400900083</v>
      </c>
      <c r="AS135" s="2312">
        <f t="shared" si="239"/>
        <v>0</v>
      </c>
      <c r="AT135" s="2312">
        <f>AT132*AT220</f>
        <v>0</v>
      </c>
      <c r="AU135" s="2314">
        <f>AU132*AU220</f>
        <v>0</v>
      </c>
      <c r="AV135" s="2313">
        <f t="shared" ref="AV135:BI135" si="240">AV132*AV220</f>
        <v>0</v>
      </c>
      <c r="AW135" s="2312">
        <f t="shared" si="240"/>
        <v>0</v>
      </c>
      <c r="AX135" s="2312">
        <f t="shared" si="240"/>
        <v>0</v>
      </c>
      <c r="AY135" s="2314">
        <f t="shared" si="240"/>
        <v>0</v>
      </c>
      <c r="AZ135" s="2312"/>
      <c r="BA135" s="2313">
        <f t="shared" si="240"/>
        <v>0</v>
      </c>
      <c r="BB135" s="2312">
        <f t="shared" si="240"/>
        <v>0</v>
      </c>
      <c r="BC135" s="1710">
        <f t="shared" si="240"/>
        <v>0</v>
      </c>
      <c r="BD135" s="2314">
        <f t="shared" si="240"/>
        <v>0</v>
      </c>
      <c r="BE135" s="2312"/>
      <c r="BF135" s="2313">
        <f t="shared" si="240"/>
        <v>0</v>
      </c>
      <c r="BG135" s="2312">
        <f t="shared" si="240"/>
        <v>0</v>
      </c>
      <c r="BH135" s="2312">
        <f t="shared" si="240"/>
        <v>0</v>
      </c>
      <c r="BI135" s="2314">
        <f t="shared" si="240"/>
        <v>0</v>
      </c>
      <c r="BJ135" s="2312"/>
      <c r="BK135" s="2313">
        <f>BK132*BK220</f>
        <v>0</v>
      </c>
      <c r="BL135" s="2312">
        <f>BL132*BL220</f>
        <v>0</v>
      </c>
      <c r="BM135" s="2312">
        <f>BM132*BM220</f>
        <v>0</v>
      </c>
      <c r="BN135" s="2314">
        <f>BN132*BN220</f>
        <v>0</v>
      </c>
      <c r="BO135" s="2312"/>
      <c r="BP135" s="2313">
        <f>BP132*BP220</f>
        <v>0</v>
      </c>
      <c r="BQ135" s="2312">
        <f>BQ132*BQ220</f>
        <v>0</v>
      </c>
      <c r="BR135" s="2312">
        <f>BR132*BR220</f>
        <v>0</v>
      </c>
      <c r="BS135" s="2314">
        <f>BS132*BS220</f>
        <v>0</v>
      </c>
      <c r="BT135" s="2312"/>
      <c r="BU135" s="2313">
        <f>BU132*BU220</f>
        <v>0</v>
      </c>
      <c r="BV135" s="2312">
        <f>BV132*BV220</f>
        <v>0</v>
      </c>
      <c r="BW135" s="2312">
        <f>BW132*BW220</f>
        <v>0</v>
      </c>
      <c r="BX135" s="2314">
        <f>BX132*BX220</f>
        <v>0</v>
      </c>
      <c r="BY135" s="2317"/>
      <c r="BZ135" s="2318"/>
      <c r="CA135" s="2318"/>
      <c r="CB135" s="2319">
        <f>P135+Q135+R135+S135</f>
        <v>0</v>
      </c>
      <c r="CC135" s="2319">
        <f>T135+U135+V135+W135</f>
        <v>0</v>
      </c>
      <c r="CD135" s="2316">
        <f>X135+Y135+Z135+AA135</f>
        <v>2948.3222603413537</v>
      </c>
      <c r="CE135" s="2316">
        <f>AB135+AC135+AD135+AE135</f>
        <v>5403.5412080603755</v>
      </c>
      <c r="CF135" s="2316">
        <f>SUM(AF135:AI135)</f>
        <v>5539.0396795983534</v>
      </c>
      <c r="CG135" s="2316">
        <f>SUM(AJ135:AM135)</f>
        <v>2341.0195932701949</v>
      </c>
      <c r="CH135" s="2316">
        <f>SUM(AN135:AQ135)</f>
        <v>273.08555179972262</v>
      </c>
      <c r="CI135" s="2316">
        <f>SUM(AR135:AU135)</f>
        <v>84.370253400900083</v>
      </c>
      <c r="CJ135" s="2316">
        <f>SUM(AV135:AY135)</f>
        <v>0</v>
      </c>
      <c r="CK135" s="2316">
        <f>SUM(BA135:BD135)</f>
        <v>0</v>
      </c>
      <c r="CL135" s="2316">
        <f>SUM(BF135:BI135)</f>
        <v>0</v>
      </c>
      <c r="CM135" s="2316">
        <f>SUM(BG135:BK135)</f>
        <v>0</v>
      </c>
      <c r="CN135" s="2315"/>
      <c r="CO135" s="2315"/>
      <c r="CP135" s="2317"/>
      <c r="CQ135" s="2318"/>
      <c r="CR135" s="2318">
        <f>F135+G135+H135+I135</f>
        <v>0</v>
      </c>
      <c r="CS135" s="2318">
        <f>J135+K135+L135+M135</f>
        <v>0</v>
      </c>
      <c r="CT135" s="2319">
        <f>N135+O135+P135+Q135</f>
        <v>0</v>
      </c>
      <c r="CU135" s="2319">
        <f>R135+S135+T135+U135</f>
        <v>0</v>
      </c>
      <c r="CV135" s="2319">
        <f>V135+W135+X135+Y135</f>
        <v>940.60972968130363</v>
      </c>
      <c r="CW135" s="2319">
        <f>Z135+AA135+AB135+AC135</f>
        <v>4929.8858187895157</v>
      </c>
      <c r="CX135" s="2318">
        <f>SUM(AD135:AG135)</f>
        <v>5356.4924529470354</v>
      </c>
      <c r="CY135" s="2318">
        <f>(SUM(AH135:AK135)/SUM(AH132:AK132))*CY132</f>
        <v>4481.3046331245396</v>
      </c>
      <c r="CZ135" s="2318">
        <f>(SUM(AL135:AO135)/SUM(AL132:AO132))*CZ132</f>
        <v>650.40760289765126</v>
      </c>
      <c r="DA135" s="2318">
        <f>AS135+AR135+AQ135+AP135</f>
        <v>230.67830903085405</v>
      </c>
      <c r="DB135" s="2318">
        <f>SUM(AT135:AW135)</f>
        <v>0</v>
      </c>
      <c r="DC135" s="2318">
        <f>SUM(AX135:BB135)</f>
        <v>0</v>
      </c>
      <c r="DD135" s="2318">
        <f>SUM(BC135:BG135)</f>
        <v>0</v>
      </c>
      <c r="DE135" s="2318">
        <f>SUM(BD135:BH135)</f>
        <v>0</v>
      </c>
      <c r="DF135" s="2312"/>
    </row>
    <row r="136" spans="1:110" s="1715" customFormat="1" hidden="1" outlineLevel="1">
      <c r="A136" s="2344"/>
      <c r="B136" s="2259"/>
      <c r="C136" s="2259"/>
      <c r="D136" s="2259"/>
      <c r="E136" s="2259"/>
      <c r="F136" s="2259"/>
      <c r="G136" s="2259"/>
      <c r="H136" s="2259"/>
      <c r="I136" s="2259"/>
      <c r="J136" s="2259"/>
      <c r="K136" s="2259"/>
      <c r="L136" s="2264"/>
      <c r="M136" s="2239"/>
      <c r="N136" s="2239"/>
      <c r="O136" s="2260"/>
      <c r="P136" s="2287"/>
      <c r="Q136" s="2288"/>
      <c r="R136" s="2288"/>
      <c r="S136" s="2289"/>
      <c r="T136" s="2287"/>
      <c r="U136" s="2288"/>
      <c r="V136" s="2288"/>
      <c r="W136" s="2289"/>
      <c r="X136" s="2287"/>
      <c r="Y136" s="2288"/>
      <c r="Z136" s="2288"/>
      <c r="AA136" s="2289"/>
      <c r="AB136" s="2264"/>
      <c r="AC136" s="2239"/>
      <c r="AD136" s="2239"/>
      <c r="AE136" s="2260"/>
      <c r="AF136" s="2264"/>
      <c r="AG136" s="2239"/>
      <c r="AH136" s="2239"/>
      <c r="AI136" s="2260"/>
      <c r="AJ136" s="2264"/>
      <c r="AK136" s="2239"/>
      <c r="AL136" s="2239"/>
      <c r="AM136" s="2260"/>
      <c r="AN136" s="2264"/>
      <c r="AO136" s="2239"/>
      <c r="AP136" s="2239"/>
      <c r="AQ136" s="2260"/>
      <c r="AR136" s="2264"/>
      <c r="AS136" s="2239"/>
      <c r="AT136" s="2239"/>
      <c r="AU136" s="2260"/>
      <c r="AV136" s="2264"/>
      <c r="AW136" s="2239"/>
      <c r="AX136" s="2239"/>
      <c r="AY136" s="2260"/>
      <c r="AZ136" s="2239"/>
      <c r="BA136" s="2264"/>
      <c r="BB136" s="2239"/>
      <c r="BC136" s="2604"/>
      <c r="BD136" s="2260"/>
      <c r="BE136" s="2239"/>
      <c r="BF136" s="2264"/>
      <c r="BG136" s="2239"/>
      <c r="BH136" s="2239"/>
      <c r="BI136" s="2260"/>
      <c r="BJ136" s="2239"/>
      <c r="BK136" s="2264"/>
      <c r="BL136" s="2239"/>
      <c r="BM136" s="2239"/>
      <c r="BN136" s="2260"/>
      <c r="BO136" s="2239"/>
      <c r="BP136" s="2264"/>
      <c r="BQ136" s="2239"/>
      <c r="BR136" s="2239"/>
      <c r="BS136" s="2260"/>
      <c r="BT136" s="2239"/>
      <c r="BU136" s="2264"/>
      <c r="BV136" s="2239"/>
      <c r="BW136" s="2239"/>
      <c r="BX136" s="2260"/>
      <c r="BY136" s="2244"/>
      <c r="BZ136" s="2259"/>
      <c r="CA136" s="2259"/>
      <c r="CB136" s="2291"/>
      <c r="CC136" s="2291"/>
      <c r="CD136" s="2289"/>
      <c r="CE136" s="2289"/>
      <c r="CF136" s="2289"/>
      <c r="CG136" s="2289"/>
      <c r="CH136" s="2289"/>
      <c r="CI136" s="2289"/>
      <c r="CJ136" s="2289"/>
      <c r="CK136" s="2289"/>
      <c r="CL136" s="2289"/>
      <c r="CM136" s="2289"/>
      <c r="CN136" s="2288"/>
      <c r="CO136" s="2288"/>
      <c r="CP136" s="2244"/>
      <c r="CQ136" s="2259"/>
      <c r="CR136" s="2259"/>
      <c r="CS136" s="2259"/>
      <c r="CT136" s="2291"/>
      <c r="CU136" s="2291"/>
      <c r="CV136" s="2291"/>
      <c r="CW136" s="2291"/>
      <c r="CX136" s="2259"/>
      <c r="CY136" s="2259"/>
      <c r="CZ136" s="2261"/>
      <c r="DA136" s="2259"/>
      <c r="DB136" s="2259"/>
      <c r="DC136" s="2259"/>
      <c r="DD136" s="2259"/>
      <c r="DE136" s="2259"/>
      <c r="DF136" s="2239"/>
    </row>
    <row r="137" spans="1:110" s="1715" customFormat="1" hidden="1" outlineLevel="1">
      <c r="A137" s="2345" t="s">
        <v>316</v>
      </c>
      <c r="B137" s="2259"/>
      <c r="C137" s="2259"/>
      <c r="D137" s="2259"/>
      <c r="E137" s="2259"/>
      <c r="F137" s="2259"/>
      <c r="G137" s="2259"/>
      <c r="H137" s="2259"/>
      <c r="I137" s="2259"/>
      <c r="J137" s="2259"/>
      <c r="K137" s="2259"/>
      <c r="L137" s="2264"/>
      <c r="M137" s="2239"/>
      <c r="N137" s="2239"/>
      <c r="O137" s="2260"/>
      <c r="P137" s="2287"/>
      <c r="Q137" s="2288"/>
      <c r="R137" s="2288"/>
      <c r="S137" s="2289"/>
      <c r="T137" s="2287"/>
      <c r="U137" s="2288"/>
      <c r="V137" s="2288"/>
      <c r="W137" s="2289"/>
      <c r="X137" s="2268"/>
      <c r="Y137" s="2335"/>
      <c r="Z137" s="2335"/>
      <c r="AA137" s="2336"/>
      <c r="AB137" s="2337"/>
      <c r="AC137" s="2338"/>
      <c r="AD137" s="2338"/>
      <c r="AE137" s="2339"/>
      <c r="AF137" s="2337"/>
      <c r="AG137" s="2338"/>
      <c r="AH137" s="2338"/>
      <c r="AI137" s="2339"/>
      <c r="AJ137" s="2337"/>
      <c r="AK137" s="2338"/>
      <c r="AL137" s="2338"/>
      <c r="AM137" s="2339"/>
      <c r="AN137" s="2337"/>
      <c r="AO137" s="2338"/>
      <c r="AP137" s="2338"/>
      <c r="AQ137" s="2339"/>
      <c r="AR137" s="2337"/>
      <c r="AS137" s="2338"/>
      <c r="AT137" s="2338"/>
      <c r="AU137" s="2339"/>
      <c r="AV137" s="2337"/>
      <c r="AW137" s="2338"/>
      <c r="AX137" s="2338"/>
      <c r="AY137" s="2339"/>
      <c r="AZ137" s="2338"/>
      <c r="BA137" s="2337"/>
      <c r="BB137" s="2338"/>
      <c r="BC137" s="2608"/>
      <c r="BD137" s="2339"/>
      <c r="BE137" s="2338"/>
      <c r="BF137" s="2337"/>
      <c r="BG137" s="2338"/>
      <c r="BH137" s="2338"/>
      <c r="BI137" s="2339"/>
      <c r="BJ137" s="2338"/>
      <c r="BK137" s="2337"/>
      <c r="BL137" s="2338"/>
      <c r="BM137" s="2338"/>
      <c r="BN137" s="2339"/>
      <c r="BO137" s="2338"/>
      <c r="BP137" s="2337"/>
      <c r="BQ137" s="2338"/>
      <c r="BR137" s="2338"/>
      <c r="BS137" s="2339"/>
      <c r="BT137" s="2338"/>
      <c r="BU137" s="2337"/>
      <c r="BV137" s="2338"/>
      <c r="BW137" s="2338"/>
      <c r="BX137" s="2339"/>
      <c r="BY137" s="2244"/>
      <c r="BZ137" s="2259"/>
      <c r="CA137" s="2259"/>
      <c r="CB137" s="2291"/>
      <c r="CC137" s="2291"/>
      <c r="CD137" s="2289"/>
      <c r="CE137" s="2289"/>
      <c r="CF137" s="2289"/>
      <c r="CG137" s="2289"/>
      <c r="CH137" s="2289"/>
      <c r="CI137" s="2289"/>
      <c r="CJ137" s="2289"/>
      <c r="CK137" s="2289"/>
      <c r="CL137" s="2289"/>
      <c r="CM137" s="2289"/>
      <c r="CN137" s="2288"/>
      <c r="CO137" s="2288"/>
      <c r="CP137" s="2244"/>
      <c r="CQ137" s="2259"/>
      <c r="CR137" s="2259"/>
      <c r="CS137" s="2259"/>
      <c r="CT137" s="2291"/>
      <c r="CU137" s="2291"/>
      <c r="CV137" s="2291"/>
      <c r="CW137" s="2291"/>
      <c r="CX137" s="2259"/>
      <c r="CY137" s="2259"/>
      <c r="CZ137" s="2259"/>
      <c r="DA137" s="2259"/>
      <c r="DB137" s="2259"/>
      <c r="DC137" s="2259"/>
      <c r="DD137" s="2259"/>
      <c r="DE137" s="2259"/>
      <c r="DF137" s="2239"/>
    </row>
    <row r="138" spans="1:110" s="1715" customFormat="1" hidden="1" outlineLevel="1">
      <c r="A138" s="2340" t="s">
        <v>289</v>
      </c>
      <c r="B138" s="2259"/>
      <c r="C138" s="2259"/>
      <c r="D138" s="2259"/>
      <c r="E138" s="2259"/>
      <c r="F138" s="2261"/>
      <c r="G138" s="2261"/>
      <c r="H138" s="2261"/>
      <c r="I138" s="2261"/>
      <c r="J138" s="2261"/>
      <c r="K138" s="2261"/>
      <c r="L138" s="2295"/>
      <c r="M138" s="2294"/>
      <c r="N138" s="2294"/>
      <c r="O138" s="2296"/>
      <c r="P138" s="2297"/>
      <c r="Q138" s="2298"/>
      <c r="R138" s="2298"/>
      <c r="S138" s="2299"/>
      <c r="T138" s="2297"/>
      <c r="U138" s="2298"/>
      <c r="V138" s="2298"/>
      <c r="W138" s="2299"/>
      <c r="X138" s="2297"/>
      <c r="Y138" s="2298">
        <f t="shared" ref="Y138:BX138" si="241">Y139*Y$11</f>
        <v>0.13928510573716668</v>
      </c>
      <c r="Z138" s="2298">
        <f t="shared" si="241"/>
        <v>0.24241902741079877</v>
      </c>
      <c r="AA138" s="2299">
        <f t="shared" si="241"/>
        <v>0.31068706982418764</v>
      </c>
      <c r="AB138" s="2295">
        <f t="shared" si="241"/>
        <v>0.31126969888431727</v>
      </c>
      <c r="AC138" s="2294">
        <f t="shared" si="241"/>
        <v>0.33239016715814729</v>
      </c>
      <c r="AD138" s="2294">
        <f t="shared" si="241"/>
        <v>0.29668321093923644</v>
      </c>
      <c r="AE138" s="2296">
        <f t="shared" si="241"/>
        <v>0.31160552788188756</v>
      </c>
      <c r="AF138" s="2295">
        <f t="shared" si="241"/>
        <v>0.3344332851624997</v>
      </c>
      <c r="AG138" s="2294">
        <f t="shared" si="241"/>
        <v>0.32222273952687408</v>
      </c>
      <c r="AH138" s="2294">
        <f t="shared" si="241"/>
        <v>0.30922151838951234</v>
      </c>
      <c r="AI138" s="2296">
        <f t="shared" si="241"/>
        <v>0.3140628583797605</v>
      </c>
      <c r="AJ138" s="2295">
        <f t="shared" si="241"/>
        <v>0.32631811571649377</v>
      </c>
      <c r="AK138" s="2294">
        <f t="shared" si="241"/>
        <v>0.329658521614758</v>
      </c>
      <c r="AL138" s="2294">
        <f t="shared" si="241"/>
        <v>0</v>
      </c>
      <c r="AM138" s="2296">
        <f t="shared" si="241"/>
        <v>0</v>
      </c>
      <c r="AN138" s="2295">
        <f t="shared" si="241"/>
        <v>0</v>
      </c>
      <c r="AO138" s="2294">
        <f t="shared" si="241"/>
        <v>0</v>
      </c>
      <c r="AP138" s="2294">
        <f t="shared" si="241"/>
        <v>0</v>
      </c>
      <c r="AQ138" s="2296">
        <f t="shared" si="241"/>
        <v>0</v>
      </c>
      <c r="AR138" s="2295">
        <f t="shared" si="241"/>
        <v>0</v>
      </c>
      <c r="AS138" s="2294">
        <f t="shared" si="241"/>
        <v>0</v>
      </c>
      <c r="AT138" s="2294">
        <f t="shared" si="241"/>
        <v>0</v>
      </c>
      <c r="AU138" s="2296">
        <f t="shared" si="241"/>
        <v>0</v>
      </c>
      <c r="AV138" s="2295">
        <f t="shared" si="241"/>
        <v>0</v>
      </c>
      <c r="AW138" s="2294">
        <f t="shared" si="241"/>
        <v>0</v>
      </c>
      <c r="AX138" s="2294">
        <f t="shared" si="241"/>
        <v>0</v>
      </c>
      <c r="AY138" s="2296">
        <f t="shared" si="241"/>
        <v>0</v>
      </c>
      <c r="AZ138" s="2294"/>
      <c r="BA138" s="2295">
        <f t="shared" si="241"/>
        <v>0</v>
      </c>
      <c r="BB138" s="2294">
        <f t="shared" si="241"/>
        <v>0</v>
      </c>
      <c r="BC138" s="2598">
        <f t="shared" si="241"/>
        <v>0</v>
      </c>
      <c r="BD138" s="2296">
        <f t="shared" si="241"/>
        <v>0</v>
      </c>
      <c r="BE138" s="2294"/>
      <c r="BF138" s="2295">
        <f t="shared" si="241"/>
        <v>0</v>
      </c>
      <c r="BG138" s="2294">
        <f t="shared" si="241"/>
        <v>0</v>
      </c>
      <c r="BH138" s="2294">
        <f t="shared" si="241"/>
        <v>0</v>
      </c>
      <c r="BI138" s="2296">
        <f t="shared" si="241"/>
        <v>0</v>
      </c>
      <c r="BJ138" s="2294"/>
      <c r="BK138" s="2295">
        <f t="shared" si="241"/>
        <v>0</v>
      </c>
      <c r="BL138" s="2294">
        <f t="shared" si="241"/>
        <v>0</v>
      </c>
      <c r="BM138" s="2294">
        <f t="shared" si="241"/>
        <v>0</v>
      </c>
      <c r="BN138" s="2296">
        <f t="shared" si="241"/>
        <v>0</v>
      </c>
      <c r="BO138" s="2294"/>
      <c r="BP138" s="2295">
        <f t="shared" si="241"/>
        <v>0</v>
      </c>
      <c r="BQ138" s="2294">
        <f t="shared" si="241"/>
        <v>0</v>
      </c>
      <c r="BR138" s="2294">
        <f t="shared" si="241"/>
        <v>0</v>
      </c>
      <c r="BS138" s="2296">
        <f t="shared" si="241"/>
        <v>0</v>
      </c>
      <c r="BT138" s="2294"/>
      <c r="BU138" s="2295">
        <f t="shared" si="241"/>
        <v>0</v>
      </c>
      <c r="BV138" s="2294">
        <f t="shared" si="241"/>
        <v>0</v>
      </c>
      <c r="BW138" s="2294">
        <f t="shared" si="241"/>
        <v>0</v>
      </c>
      <c r="BX138" s="2296">
        <f t="shared" si="241"/>
        <v>0</v>
      </c>
      <c r="BY138" s="2244"/>
      <c r="BZ138" s="2261"/>
      <c r="CA138" s="2261"/>
      <c r="CB138" s="2300">
        <f>P138+Q138+R138+S138</f>
        <v>0</v>
      </c>
      <c r="CC138" s="2300">
        <f>T138+U138+V138+W138</f>
        <v>0</v>
      </c>
      <c r="CD138" s="2299">
        <f>X138+Y138+Z138+AA138</f>
        <v>0.69239120297215306</v>
      </c>
      <c r="CE138" s="2299">
        <f>AB138+AC138+AD138+AE138</f>
        <v>1.2519486048635886</v>
      </c>
      <c r="CF138" s="2299">
        <f>SUM(AF138:AI138)</f>
        <v>1.2799404014586466</v>
      </c>
      <c r="CG138" s="2299">
        <f>SUM(AJ138:AM138)</f>
        <v>0.65597663733125178</v>
      </c>
      <c r="CH138" s="2299">
        <f>SUM(AN138:AQ138)</f>
        <v>0</v>
      </c>
      <c r="CI138" s="2299">
        <f>SUM(AR138:AU138)</f>
        <v>0</v>
      </c>
      <c r="CJ138" s="2299">
        <f>SUM(AV138:AY138)</f>
        <v>0</v>
      </c>
      <c r="CK138" s="2299">
        <f>SUM(BA138:BD138)</f>
        <v>0</v>
      </c>
      <c r="CL138" s="2299">
        <f>SUM(BF138:BI138)</f>
        <v>0</v>
      </c>
      <c r="CM138" s="2299">
        <f>SUM(BG138:BK138)</f>
        <v>0</v>
      </c>
      <c r="CN138" s="2298"/>
      <c r="CO138" s="2298"/>
      <c r="CP138" s="2301"/>
      <c r="CQ138" s="2261"/>
      <c r="CR138" s="2261">
        <f>F138+G138+H138+I138</f>
        <v>0</v>
      </c>
      <c r="CS138" s="2261">
        <f>J138+K138+L138+M138</f>
        <v>0</v>
      </c>
      <c r="CT138" s="2300">
        <f>N138+O138+P138+Q138</f>
        <v>0</v>
      </c>
      <c r="CU138" s="2300">
        <f>R138+S138+T138+U138</f>
        <v>0</v>
      </c>
      <c r="CV138" s="2300">
        <f>V138+W138+X138+Y138</f>
        <v>0.13928510573716668</v>
      </c>
      <c r="CW138" s="2300">
        <f>Z138+AA138+AB138+AC138</f>
        <v>1.196765963277451</v>
      </c>
      <c r="CX138" s="2302">
        <f>AD138+AE138+AF138+AG138</f>
        <v>1.2649447635104978</v>
      </c>
      <c r="CY138" s="2302">
        <f>SUM(AH138:AK138)</f>
        <v>1.2792610141005247</v>
      </c>
      <c r="CZ138" s="2302">
        <f>SUM(AL138:AO138)</f>
        <v>0</v>
      </c>
      <c r="DA138" s="2302">
        <f>SUM(AP138:AS138)</f>
        <v>0</v>
      </c>
      <c r="DB138" s="2302">
        <f>SUM(AT138:AW138)</f>
        <v>0</v>
      </c>
      <c r="DC138" s="2302">
        <f>SUM(AX138:BB138)</f>
        <v>0</v>
      </c>
      <c r="DD138" s="2300">
        <f>SUM(BC138:BG138)</f>
        <v>0</v>
      </c>
      <c r="DE138" s="2300">
        <f>SUM(BD138:BH138)</f>
        <v>0</v>
      </c>
      <c r="DF138" s="2298"/>
    </row>
    <row r="139" spans="1:110" s="1715" customFormat="1" hidden="1" outlineLevel="2">
      <c r="A139" s="2341" t="s">
        <v>796</v>
      </c>
      <c r="B139" s="2259"/>
      <c r="C139" s="2259"/>
      <c r="D139" s="2259"/>
      <c r="E139" s="2259"/>
      <c r="F139" s="2307"/>
      <c r="G139" s="2307"/>
      <c r="H139" s="2307"/>
      <c r="I139" s="2307"/>
      <c r="J139" s="2307"/>
      <c r="K139" s="2307"/>
      <c r="L139" s="2304"/>
      <c r="M139" s="2273"/>
      <c r="N139" s="2273"/>
      <c r="O139" s="2305"/>
      <c r="P139" s="2265"/>
      <c r="Q139" s="2266"/>
      <c r="R139" s="2266"/>
      <c r="S139" s="2267"/>
      <c r="T139" s="2265"/>
      <c r="U139" s="2266"/>
      <c r="V139" s="2266"/>
      <c r="W139" s="2267"/>
      <c r="X139" s="2265"/>
      <c r="Y139" s="2266">
        <v>2E-3</v>
      </c>
      <c r="Z139" s="2266">
        <v>4.0000000000000001E-3</v>
      </c>
      <c r="AA139" s="2267">
        <v>5.0000000000000001E-3</v>
      </c>
      <c r="AB139" s="2304">
        <v>5.0000000000000001E-3</v>
      </c>
      <c r="AC139" s="2273">
        <v>5.0000000000000001E-3</v>
      </c>
      <c r="AD139" s="2273">
        <v>5.0000000000000001E-3</v>
      </c>
      <c r="AE139" s="2305">
        <v>5.0000000000000001E-3</v>
      </c>
      <c r="AF139" s="2304">
        <v>5.0000000000000001E-3</v>
      </c>
      <c r="AG139" s="2273">
        <v>5.0000000000000001E-3</v>
      </c>
      <c r="AH139" s="2273">
        <v>5.0000000000000001E-3</v>
      </c>
      <c r="AI139" s="2305">
        <v>5.0000000000000001E-3</v>
      </c>
      <c r="AJ139" s="2304">
        <v>5.0000000000000001E-3</v>
      </c>
      <c r="AK139" s="2273">
        <v>5.0000000000000001E-3</v>
      </c>
      <c r="AL139" s="2273">
        <v>0</v>
      </c>
      <c r="AM139" s="2305">
        <v>0</v>
      </c>
      <c r="AN139" s="2304">
        <v>0</v>
      </c>
      <c r="AO139" s="2273">
        <v>0</v>
      </c>
      <c r="AP139" s="2273">
        <v>0</v>
      </c>
      <c r="AQ139" s="2305">
        <v>0</v>
      </c>
      <c r="AR139" s="2304">
        <v>0</v>
      </c>
      <c r="AS139" s="2273">
        <v>0</v>
      </c>
      <c r="AT139" s="2273">
        <v>0</v>
      </c>
      <c r="AU139" s="2305">
        <v>0</v>
      </c>
      <c r="AV139" s="2304">
        <v>0</v>
      </c>
      <c r="AW139" s="2273">
        <v>0</v>
      </c>
      <c r="AX139" s="2273">
        <v>0</v>
      </c>
      <c r="AY139" s="2305">
        <v>0</v>
      </c>
      <c r="AZ139" s="2273"/>
      <c r="BA139" s="2304">
        <v>0</v>
      </c>
      <c r="BB139" s="2273">
        <v>0</v>
      </c>
      <c r="BC139" s="188">
        <v>0</v>
      </c>
      <c r="BD139" s="2305">
        <v>0</v>
      </c>
      <c r="BE139" s="2273"/>
      <c r="BF139" s="2304">
        <v>0</v>
      </c>
      <c r="BG139" s="2273">
        <v>0</v>
      </c>
      <c r="BH139" s="2273">
        <v>0</v>
      </c>
      <c r="BI139" s="2305">
        <v>0</v>
      </c>
      <c r="BJ139" s="2273"/>
      <c r="BK139" s="2304">
        <v>0</v>
      </c>
      <c r="BL139" s="2273">
        <v>0</v>
      </c>
      <c r="BM139" s="2273">
        <v>0</v>
      </c>
      <c r="BN139" s="2305">
        <v>0</v>
      </c>
      <c r="BO139" s="2273"/>
      <c r="BP139" s="2304">
        <v>0</v>
      </c>
      <c r="BQ139" s="2273">
        <v>0</v>
      </c>
      <c r="BR139" s="2273">
        <v>0</v>
      </c>
      <c r="BS139" s="2305">
        <v>0</v>
      </c>
      <c r="BT139" s="2273"/>
      <c r="BU139" s="2304">
        <v>0</v>
      </c>
      <c r="BV139" s="2273">
        <v>0</v>
      </c>
      <c r="BW139" s="2273">
        <v>0</v>
      </c>
      <c r="BX139" s="2305">
        <v>0</v>
      </c>
      <c r="BY139" s="2306"/>
      <c r="BZ139" s="2307"/>
      <c r="CA139" s="2307"/>
      <c r="CB139" s="2308">
        <f t="shared" ref="CB139:CI139" si="242">CB138/CB$167</f>
        <v>0</v>
      </c>
      <c r="CC139" s="2308">
        <f t="shared" si="242"/>
        <v>0</v>
      </c>
      <c r="CD139" s="2267">
        <f t="shared" si="242"/>
        <v>2.7481005641851013E-3</v>
      </c>
      <c r="CE139" s="2267">
        <f t="shared" si="242"/>
        <v>5.000000000000001E-3</v>
      </c>
      <c r="CF139" s="2267">
        <f t="shared" si="242"/>
        <v>5.0000000000000001E-3</v>
      </c>
      <c r="CG139" s="2267">
        <f t="shared" si="242"/>
        <v>2.6185580189770469E-3</v>
      </c>
      <c r="CH139" s="2267">
        <f t="shared" si="242"/>
        <v>0</v>
      </c>
      <c r="CI139" s="2267">
        <f t="shared" si="242"/>
        <v>0</v>
      </c>
      <c r="CJ139" s="2267">
        <f>CJ138/CJ$167</f>
        <v>0</v>
      </c>
      <c r="CK139" s="2267">
        <f>CK138/CK$167</f>
        <v>0</v>
      </c>
      <c r="CL139" s="2267">
        <f>CL138/CL$167</f>
        <v>0</v>
      </c>
      <c r="CM139" s="2267">
        <f>CM138/CM$167</f>
        <v>0</v>
      </c>
      <c r="CN139" s="2266"/>
      <c r="CO139" s="2266"/>
      <c r="CP139" s="2306"/>
      <c r="CQ139" s="2307"/>
      <c r="CR139" s="2307">
        <f t="shared" ref="CR139:CX139" si="243">CR138/CR$167</f>
        <v>0</v>
      </c>
      <c r="CS139" s="2307">
        <f t="shared" si="243"/>
        <v>0</v>
      </c>
      <c r="CT139" s="2308">
        <f t="shared" si="243"/>
        <v>0</v>
      </c>
      <c r="CU139" s="2308">
        <f t="shared" si="243"/>
        <v>0</v>
      </c>
      <c r="CV139" s="2308">
        <f t="shared" si="243"/>
        <v>6.1898343168588727E-4</v>
      </c>
      <c r="CW139" s="2308">
        <f t="shared" si="243"/>
        <v>4.7590020354282368E-3</v>
      </c>
      <c r="CX139" s="2308">
        <f t="shared" si="243"/>
        <v>5.0000000000000001E-3</v>
      </c>
      <c r="CY139" s="2308">
        <f>SUM(AH138:AK138)/SUM(AH$11:AK$11)</f>
        <v>5.0000000000000001E-3</v>
      </c>
      <c r="CZ139" s="2308">
        <f>SUM(AL138:AO138)/SUM(AL$11:AO$11)</f>
        <v>0</v>
      </c>
      <c r="DA139" s="2308">
        <f>SUM(AP138:AS138)/SUM(AP$11:AS$11)</f>
        <v>0</v>
      </c>
      <c r="DB139" s="2308">
        <f>DB138/DB$167</f>
        <v>0</v>
      </c>
      <c r="DC139" s="2308">
        <f>DC138/DC$167</f>
        <v>0</v>
      </c>
      <c r="DD139" s="2308">
        <f>DD138/DD$167</f>
        <v>0</v>
      </c>
      <c r="DE139" s="2308">
        <f>DE138/DE$167</f>
        <v>0</v>
      </c>
      <c r="DF139" s="2266"/>
    </row>
    <row r="140" spans="1:110" s="1715" customFormat="1" hidden="1" outlineLevel="2">
      <c r="A140" s="2342" t="s">
        <v>121</v>
      </c>
      <c r="B140" s="2259"/>
      <c r="C140" s="2259"/>
      <c r="D140" s="2259"/>
      <c r="E140" s="2259"/>
      <c r="F140" s="2259"/>
      <c r="G140" s="2259"/>
      <c r="H140" s="2259"/>
      <c r="I140" s="2259"/>
      <c r="J140" s="2245"/>
      <c r="K140" s="2245"/>
      <c r="L140" s="2256"/>
      <c r="M140" s="2250"/>
      <c r="N140" s="2250"/>
      <c r="O140" s="2257"/>
      <c r="P140" s="2310"/>
      <c r="Q140" s="2271"/>
      <c r="R140" s="2271"/>
      <c r="S140" s="2309"/>
      <c r="T140" s="2310"/>
      <c r="U140" s="2271"/>
      <c r="V140" s="2271"/>
      <c r="W140" s="2309"/>
      <c r="X140" s="2310"/>
      <c r="Y140" s="2250" t="str">
        <f t="shared" ref="Y140:AS140" si="244">IF(OR(Y138=0,U138=0),"NM",Y138/U138-1)</f>
        <v>NM</v>
      </c>
      <c r="Z140" s="2250" t="str">
        <f t="shared" si="244"/>
        <v>NM</v>
      </c>
      <c r="AA140" s="2257" t="str">
        <f t="shared" si="244"/>
        <v>NM</v>
      </c>
      <c r="AB140" s="2256" t="str">
        <f t="shared" si="244"/>
        <v>NM</v>
      </c>
      <c r="AC140" s="2250">
        <f t="shared" si="244"/>
        <v>1.3864013700457898</v>
      </c>
      <c r="AD140" s="2250">
        <f t="shared" si="244"/>
        <v>0.22384457238367927</v>
      </c>
      <c r="AE140" s="2257">
        <f t="shared" si="244"/>
        <v>2.9562159063125648E-3</v>
      </c>
      <c r="AF140" s="2256">
        <f t="shared" si="244"/>
        <v>7.4416450946583002E-2</v>
      </c>
      <c r="AG140" s="2250">
        <f t="shared" si="244"/>
        <v>-3.0588833954392158E-2</v>
      </c>
      <c r="AH140" s="2250">
        <f t="shared" si="244"/>
        <v>4.2261600885949324E-2</v>
      </c>
      <c r="AI140" s="2257">
        <f t="shared" si="244"/>
        <v>7.8860298614611413E-3</v>
      </c>
      <c r="AJ140" s="2256">
        <f t="shared" si="244"/>
        <v>-2.4265435906186239E-2</v>
      </c>
      <c r="AK140" s="2250">
        <f t="shared" si="244"/>
        <v>2.3076528052619727E-2</v>
      </c>
      <c r="AL140" s="2250" t="str">
        <f t="shared" si="244"/>
        <v>NM</v>
      </c>
      <c r="AM140" s="2257" t="str">
        <f t="shared" si="244"/>
        <v>NM</v>
      </c>
      <c r="AN140" s="2256" t="str">
        <f t="shared" si="244"/>
        <v>NM</v>
      </c>
      <c r="AO140" s="2250" t="str">
        <f t="shared" si="244"/>
        <v>NM</v>
      </c>
      <c r="AP140" s="2250" t="str">
        <f t="shared" si="244"/>
        <v>NM</v>
      </c>
      <c r="AQ140" s="2257" t="str">
        <f t="shared" si="244"/>
        <v>NM</v>
      </c>
      <c r="AR140" s="2256" t="str">
        <f t="shared" si="244"/>
        <v>NM</v>
      </c>
      <c r="AS140" s="2250" t="str">
        <f t="shared" si="244"/>
        <v>NM</v>
      </c>
      <c r="AT140" s="2250" t="str">
        <f>IF(OR(AT138=0,AP138=0),"NM",AT138/AP138-1)</f>
        <v>NM</v>
      </c>
      <c r="AU140" s="2257" t="str">
        <f>IF(OR(AU138=0,AQ138=0),"NM",AU138/AQ138-1)</f>
        <v>NM</v>
      </c>
      <c r="AV140" s="2256" t="str">
        <f t="shared" ref="AV140:AY140" si="245">IF(OR(AV138=0,AR138=0),"NM",AV138/AR138-1)</f>
        <v>NM</v>
      </c>
      <c r="AW140" s="2250" t="str">
        <f t="shared" si="245"/>
        <v>NM</v>
      </c>
      <c r="AX140" s="2250" t="str">
        <f t="shared" si="245"/>
        <v>NM</v>
      </c>
      <c r="AY140" s="2257" t="str">
        <f t="shared" si="245"/>
        <v>NM</v>
      </c>
      <c r="AZ140" s="2250"/>
      <c r="BA140" s="2256" t="str">
        <f>IF(OR(BA138=0,AV138=0),"NM",BA138/AV138-1)</f>
        <v>NM</v>
      </c>
      <c r="BB140" s="2250" t="str">
        <f>IF(OR(BB138=0,AW138=0),"NM",BB138/AW138-1)</f>
        <v>NM</v>
      </c>
      <c r="BC140" s="2603" t="str">
        <f>IF(OR(BC138=0,AX138=0),"NM",BC138/AX138-1)</f>
        <v>NM</v>
      </c>
      <c r="BD140" s="2257" t="str">
        <f>IF(OR(BD138=0,AY138=0),"NM",BD138/AY138-1)</f>
        <v>NM</v>
      </c>
      <c r="BE140" s="2250"/>
      <c r="BF140" s="2256" t="str">
        <f>IF(OR(BF138=0,BA138=0),"NM",BF138/BA138-1)</f>
        <v>NM</v>
      </c>
      <c r="BG140" s="2250" t="str">
        <f>IF(OR(BG138=0,BB138=0),"NM",BG138/BB138-1)</f>
        <v>NM</v>
      </c>
      <c r="BH140" s="2250" t="str">
        <f>IF(OR(BH138=0,BC138=0),"NM",BH138/BC138-1)</f>
        <v>NM</v>
      </c>
      <c r="BI140" s="2257" t="str">
        <f>IF(OR(BI138=0,BD138=0),"NM",BI138/BD138-1)</f>
        <v>NM</v>
      </c>
      <c r="BJ140" s="2250"/>
      <c r="BK140" s="2256" t="str">
        <f>IF(OR(BK138=0,BF138=0),"NM",BK138/BF138-1)</f>
        <v>NM</v>
      </c>
      <c r="BL140" s="2250" t="str">
        <f>IF(OR(BL138=0,BG138=0),"NM",BL138/BG138-1)</f>
        <v>NM</v>
      </c>
      <c r="BM140" s="2250" t="str">
        <f>IF(OR(BM138=0,BH138=0),"NM",BM138/BH138-1)</f>
        <v>NM</v>
      </c>
      <c r="BN140" s="2257" t="str">
        <f>IF(OR(BN138=0,BI138=0),"NM",BN138/BI138-1)</f>
        <v>NM</v>
      </c>
      <c r="BO140" s="2250"/>
      <c r="BP140" s="2256" t="str">
        <f>IF(OR(BP138=0,BK138=0),"NM",BP138/BK138-1)</f>
        <v>NM</v>
      </c>
      <c r="BQ140" s="2250" t="str">
        <f>IF(OR(BQ138=0,BL138=0),"NM",BQ138/BL138-1)</f>
        <v>NM</v>
      </c>
      <c r="BR140" s="2250" t="str">
        <f>IF(OR(BR138=0,BM138=0),"NM",BR138/BM138-1)</f>
        <v>NM</v>
      </c>
      <c r="BS140" s="2257" t="str">
        <f>IF(OR(BS138=0,BN138=0),"NM",BS138/BN138-1)</f>
        <v>NM</v>
      </c>
      <c r="BT140" s="2250"/>
      <c r="BU140" s="2256" t="str">
        <f>IF(OR(BU138=0,BP138=0),"NM",BU138/BP138-1)</f>
        <v>NM</v>
      </c>
      <c r="BV140" s="2250" t="str">
        <f>IF(OR(BV138=0,BQ138=0),"NM",BV138/BQ138-1)</f>
        <v>NM</v>
      </c>
      <c r="BW140" s="2250" t="str">
        <f>IF(OR(BW138=0,BR138=0),"NM",BW138/BR138-1)</f>
        <v>NM</v>
      </c>
      <c r="BX140" s="2257" t="str">
        <f>IF(OR(BX138=0,BS138=0),"NM",BX138/BS138-1)</f>
        <v>NM</v>
      </c>
      <c r="BY140" s="2244"/>
      <c r="BZ140" s="2246"/>
      <c r="CA140" s="2246"/>
      <c r="CB140" s="2247" t="str">
        <f t="shared" ref="CB140:CM140" si="246">IF(OR(CA138=0,CB138=0),"NM",CB138/CA138-1)</f>
        <v>NM</v>
      </c>
      <c r="CC140" s="2247" t="str">
        <f t="shared" si="246"/>
        <v>NM</v>
      </c>
      <c r="CD140" s="2242" t="str">
        <f t="shared" si="246"/>
        <v>NM</v>
      </c>
      <c r="CE140" s="2242">
        <f t="shared" si="246"/>
        <v>0.80815209593865989</v>
      </c>
      <c r="CF140" s="2242">
        <f t="shared" si="246"/>
        <v>2.2358582841432106E-2</v>
      </c>
      <c r="CG140" s="2242">
        <f t="shared" si="246"/>
        <v>-0.48749438912648813</v>
      </c>
      <c r="CH140" s="2242" t="str">
        <f t="shared" si="246"/>
        <v>NM</v>
      </c>
      <c r="CI140" s="2242" t="str">
        <f t="shared" si="246"/>
        <v>NM</v>
      </c>
      <c r="CJ140" s="2242" t="str">
        <f t="shared" si="246"/>
        <v>NM</v>
      </c>
      <c r="CK140" s="2242" t="str">
        <f t="shared" si="246"/>
        <v>NM</v>
      </c>
      <c r="CL140" s="2242" t="str">
        <f t="shared" si="246"/>
        <v>NM</v>
      </c>
      <c r="CM140" s="2242" t="str">
        <f t="shared" si="246"/>
        <v>NM</v>
      </c>
      <c r="CN140" s="2240"/>
      <c r="CO140" s="2240"/>
      <c r="CP140" s="2248"/>
      <c r="CQ140" s="2246"/>
      <c r="CR140" s="2246"/>
      <c r="CS140" s="2246" t="str">
        <f t="shared" ref="CS140:DA140" si="247">IF(OR(CR138=0,CS138=0),"NM",CS138/CR138-1)</f>
        <v>NM</v>
      </c>
      <c r="CT140" s="2247" t="str">
        <f t="shared" si="247"/>
        <v>NM</v>
      </c>
      <c r="CU140" s="2247" t="str">
        <f t="shared" si="247"/>
        <v>NM</v>
      </c>
      <c r="CV140" s="2247" t="str">
        <f t="shared" si="247"/>
        <v>NM</v>
      </c>
      <c r="CW140" s="2247">
        <f t="shared" si="247"/>
        <v>7.5922034301052133</v>
      </c>
      <c r="CX140" s="2247">
        <f t="shared" si="247"/>
        <v>5.6969200599867431E-2</v>
      </c>
      <c r="CY140" s="2247">
        <f t="shared" si="247"/>
        <v>1.1317688331541342E-2</v>
      </c>
      <c r="CZ140" s="2247" t="str">
        <f t="shared" si="247"/>
        <v>NM</v>
      </c>
      <c r="DA140" s="2247" t="str">
        <f t="shared" si="247"/>
        <v>NM</v>
      </c>
      <c r="DB140" s="2247" t="str">
        <f>IF(OR(DA138=0,DB138=0),"NM",DB138/DA138-1)</f>
        <v>NM</v>
      </c>
      <c r="DC140" s="2247" t="str">
        <f>IF(OR(DB138=0,DC138=0),"NM",DC138/DB138-1)</f>
        <v>NM</v>
      </c>
      <c r="DD140" s="2247" t="str">
        <f>IF(OR(DB138=0,DD138=0),"NM",DD138/DB138-1)</f>
        <v>NM</v>
      </c>
      <c r="DE140" s="2247" t="str">
        <f>IF(OR(DC138=0,DE138=0),"NM",DE138/DC138-1)</f>
        <v>NM</v>
      </c>
      <c r="DF140" s="2240"/>
    </row>
    <row r="141" spans="1:110" s="1715" customFormat="1" hidden="1" outlineLevel="1">
      <c r="A141" s="2343" t="s">
        <v>290</v>
      </c>
      <c r="B141" s="2318"/>
      <c r="C141" s="2318"/>
      <c r="D141" s="2318"/>
      <c r="E141" s="2318"/>
      <c r="F141" s="2318"/>
      <c r="G141" s="2318"/>
      <c r="H141" s="2318"/>
      <c r="I141" s="2318"/>
      <c r="J141" s="2318"/>
      <c r="K141" s="2318"/>
      <c r="L141" s="2313"/>
      <c r="M141" s="2312"/>
      <c r="N141" s="2312"/>
      <c r="O141" s="2314"/>
      <c r="P141" s="2290"/>
      <c r="Q141" s="2315"/>
      <c r="R141" s="2315"/>
      <c r="S141" s="2316"/>
      <c r="T141" s="2290"/>
      <c r="U141" s="2315"/>
      <c r="V141" s="2315"/>
      <c r="W141" s="2316"/>
      <c r="X141" s="2290"/>
      <c r="Y141" s="2315">
        <f t="shared" ref="Y141:AS141" si="248">Y138*Y221</f>
        <v>15.67682882802173</v>
      </c>
      <c r="Z141" s="2315">
        <f t="shared" si="248"/>
        <v>27.777180224154026</v>
      </c>
      <c r="AA141" s="2316">
        <f t="shared" si="248"/>
        <v>34.952295355221118</v>
      </c>
      <c r="AB141" s="2313">
        <f t="shared" si="248"/>
        <v>35.556076603897303</v>
      </c>
      <c r="AC141" s="2312">
        <f t="shared" si="248"/>
        <v>39.505192352150608</v>
      </c>
      <c r="AD141" s="2312">
        <f t="shared" si="248"/>
        <v>33.315052228385092</v>
      </c>
      <c r="AE141" s="2314">
        <f t="shared" si="248"/>
        <v>34.686851723729625</v>
      </c>
      <c r="AF141" s="2313">
        <f t="shared" si="248"/>
        <v>36.900866767497689</v>
      </c>
      <c r="AG141" s="2312">
        <f t="shared" si="248"/>
        <v>37.044268704633872</v>
      </c>
      <c r="AH141" s="2312">
        <f t="shared" si="248"/>
        <v>34.439546610631943</v>
      </c>
      <c r="AI141" s="2314">
        <f t="shared" si="248"/>
        <v>34.939492994748356</v>
      </c>
      <c r="AJ141" s="2313">
        <f t="shared" si="248"/>
        <v>35.079197439523085</v>
      </c>
      <c r="AK141" s="2312">
        <f t="shared" si="248"/>
        <v>35.438291073586491</v>
      </c>
      <c r="AL141" s="2312">
        <f t="shared" si="248"/>
        <v>0</v>
      </c>
      <c r="AM141" s="2314">
        <f t="shared" si="248"/>
        <v>0</v>
      </c>
      <c r="AN141" s="2313">
        <f t="shared" si="248"/>
        <v>0</v>
      </c>
      <c r="AO141" s="2312">
        <f t="shared" si="248"/>
        <v>0</v>
      </c>
      <c r="AP141" s="2312">
        <f t="shared" si="248"/>
        <v>0</v>
      </c>
      <c r="AQ141" s="2314">
        <f t="shared" si="248"/>
        <v>0</v>
      </c>
      <c r="AR141" s="2313">
        <f t="shared" si="248"/>
        <v>0</v>
      </c>
      <c r="AS141" s="2312">
        <f t="shared" si="248"/>
        <v>0</v>
      </c>
      <c r="AT141" s="2312">
        <f>AT138*AT221</f>
        <v>0</v>
      </c>
      <c r="AU141" s="2314">
        <f>AU138*AU221</f>
        <v>0</v>
      </c>
      <c r="AV141" s="2313">
        <f t="shared" ref="AV141:BI141" si="249">AV138*AV221</f>
        <v>0</v>
      </c>
      <c r="AW141" s="2312">
        <f t="shared" si="249"/>
        <v>0</v>
      </c>
      <c r="AX141" s="2312">
        <f t="shared" si="249"/>
        <v>0</v>
      </c>
      <c r="AY141" s="2314">
        <f t="shared" si="249"/>
        <v>0</v>
      </c>
      <c r="AZ141" s="2312"/>
      <c r="BA141" s="2313">
        <f t="shared" si="249"/>
        <v>0</v>
      </c>
      <c r="BB141" s="2312">
        <f t="shared" si="249"/>
        <v>0</v>
      </c>
      <c r="BC141" s="1710">
        <f t="shared" si="249"/>
        <v>0</v>
      </c>
      <c r="BD141" s="2314">
        <f t="shared" si="249"/>
        <v>0</v>
      </c>
      <c r="BE141" s="2312"/>
      <c r="BF141" s="2313">
        <f t="shared" si="249"/>
        <v>0</v>
      </c>
      <c r="BG141" s="2312">
        <f t="shared" si="249"/>
        <v>0</v>
      </c>
      <c r="BH141" s="2312">
        <f t="shared" si="249"/>
        <v>0</v>
      </c>
      <c r="BI141" s="2314">
        <f t="shared" si="249"/>
        <v>0</v>
      </c>
      <c r="BJ141" s="2312"/>
      <c r="BK141" s="2313">
        <f>BK138*BK221</f>
        <v>0</v>
      </c>
      <c r="BL141" s="2312">
        <f>BL138*BL221</f>
        <v>0</v>
      </c>
      <c r="BM141" s="2312">
        <f>BM138*BM221</f>
        <v>0</v>
      </c>
      <c r="BN141" s="2314">
        <f>BN138*BN221</f>
        <v>0</v>
      </c>
      <c r="BO141" s="2312"/>
      <c r="BP141" s="2313">
        <f>BP138*BP221</f>
        <v>0</v>
      </c>
      <c r="BQ141" s="2312">
        <f>BQ138*BQ221</f>
        <v>0</v>
      </c>
      <c r="BR141" s="2312">
        <f>BR138*BR221</f>
        <v>0</v>
      </c>
      <c r="BS141" s="2314">
        <f>BS138*BS221</f>
        <v>0</v>
      </c>
      <c r="BT141" s="2312"/>
      <c r="BU141" s="2313">
        <f>BU138*BU221</f>
        <v>0</v>
      </c>
      <c r="BV141" s="2312">
        <f>BV138*BV221</f>
        <v>0</v>
      </c>
      <c r="BW141" s="2312">
        <f>BW138*BW221</f>
        <v>0</v>
      </c>
      <c r="BX141" s="2314">
        <f>BX138*BX221</f>
        <v>0</v>
      </c>
      <c r="BY141" s="2317"/>
      <c r="BZ141" s="2318"/>
      <c r="CA141" s="2318"/>
      <c r="CB141" s="2319">
        <f>P141+Q141+R141+S141</f>
        <v>0</v>
      </c>
      <c r="CC141" s="2319">
        <f>T141+U141+V141+W141</f>
        <v>0</v>
      </c>
      <c r="CD141" s="2316">
        <f>X141+Y141+Z141+AA141</f>
        <v>78.406304407396874</v>
      </c>
      <c r="CE141" s="2316">
        <f>AB141+AC141+AD141+AE141</f>
        <v>143.06317290816264</v>
      </c>
      <c r="CF141" s="2316">
        <f>SUM(AF141:AI141)</f>
        <v>143.32417507751185</v>
      </c>
      <c r="CG141" s="2316">
        <f>SUM(AJ141:AM141)</f>
        <v>70.517488513109583</v>
      </c>
      <c r="CH141" s="2316">
        <f>SUM(AN141:AQ141)</f>
        <v>0</v>
      </c>
      <c r="CI141" s="2316">
        <f>SUM(AR141:AU141)</f>
        <v>0</v>
      </c>
      <c r="CJ141" s="2316">
        <f>SUM(AV141:AY141)</f>
        <v>0</v>
      </c>
      <c r="CK141" s="2316">
        <f>SUM(BA141:BD141)</f>
        <v>0</v>
      </c>
      <c r="CL141" s="2316">
        <f>SUM(BF141:BI141)</f>
        <v>0</v>
      </c>
      <c r="CM141" s="2316">
        <f>SUM(BG141:BK141)</f>
        <v>0</v>
      </c>
      <c r="CN141" s="2315"/>
      <c r="CO141" s="2315"/>
      <c r="CP141" s="2317"/>
      <c r="CQ141" s="2318"/>
      <c r="CR141" s="2318">
        <f>F141+G141+H141+I141</f>
        <v>0</v>
      </c>
      <c r="CS141" s="2318">
        <f>J141+K141+L141+M141</f>
        <v>0</v>
      </c>
      <c r="CT141" s="2319">
        <f>N141+O141+P141+Q141</f>
        <v>0</v>
      </c>
      <c r="CU141" s="2319">
        <f>R141+S141+T141+U141</f>
        <v>0</v>
      </c>
      <c r="CV141" s="2319">
        <f>V141+W141+X141+Y141</f>
        <v>15.67682882802173</v>
      </c>
      <c r="CW141" s="2319">
        <f>Z141+AA141+AB141+AC141</f>
        <v>137.79074453542304</v>
      </c>
      <c r="CX141" s="2318">
        <f>SUM(AD141:AG141)</f>
        <v>141.94703942424627</v>
      </c>
      <c r="CY141" s="2318">
        <f>(SUM(AH141:AK141)/SUM(AH138:AK138))*CY138</f>
        <v>139.89652811848987</v>
      </c>
      <c r="CZ141" s="2302">
        <f>SUM(AL141:AO141)</f>
        <v>0</v>
      </c>
      <c r="DA141" s="2318">
        <f>AS141+AR141+AQ141+AP141</f>
        <v>0</v>
      </c>
      <c r="DB141" s="2318">
        <f>SUM(AT141:AW141)</f>
        <v>0</v>
      </c>
      <c r="DC141" s="2318">
        <f>SUM(AX141:BB141)</f>
        <v>0</v>
      </c>
      <c r="DD141" s="2318">
        <f>SUM(BC141:BG141)</f>
        <v>0</v>
      </c>
      <c r="DE141" s="2318">
        <f>SUM(BD141:BH141)</f>
        <v>0</v>
      </c>
      <c r="DF141" s="2312"/>
    </row>
    <row r="142" spans="1:110" s="1715" customFormat="1" hidden="1" outlineLevel="1">
      <c r="A142" s="2344"/>
      <c r="B142" s="2259"/>
      <c r="C142" s="2259"/>
      <c r="D142" s="2259"/>
      <c r="E142" s="2259"/>
      <c r="F142" s="2259"/>
      <c r="G142" s="2259"/>
      <c r="H142" s="2259"/>
      <c r="I142" s="2259"/>
      <c r="J142" s="2259"/>
      <c r="K142" s="2259"/>
      <c r="L142" s="2264"/>
      <c r="M142" s="2239"/>
      <c r="N142" s="2239"/>
      <c r="O142" s="2260"/>
      <c r="P142" s="2287"/>
      <c r="Q142" s="2288"/>
      <c r="R142" s="2288"/>
      <c r="S142" s="2289"/>
      <c r="T142" s="2287"/>
      <c r="U142" s="2288"/>
      <c r="V142" s="2288"/>
      <c r="W142" s="2289"/>
      <c r="X142" s="2287"/>
      <c r="Y142" s="2288"/>
      <c r="Z142" s="2288"/>
      <c r="AA142" s="2289"/>
      <c r="AB142" s="2264"/>
      <c r="AC142" s="2239"/>
      <c r="AD142" s="2239"/>
      <c r="AE142" s="2260"/>
      <c r="AF142" s="2264"/>
      <c r="AG142" s="2239"/>
      <c r="AH142" s="2239"/>
      <c r="AI142" s="2260"/>
      <c r="AJ142" s="2264"/>
      <c r="AK142" s="2239"/>
      <c r="AL142" s="2330"/>
      <c r="AM142" s="2260"/>
      <c r="AN142" s="2264"/>
      <c r="AO142" s="2239"/>
      <c r="AP142" s="2239"/>
      <c r="AQ142" s="2260"/>
      <c r="AR142" s="2264"/>
      <c r="AS142" s="2239"/>
      <c r="AT142" s="2239"/>
      <c r="AU142" s="2260"/>
      <c r="AV142" s="2264"/>
      <c r="AW142" s="2239"/>
      <c r="AX142" s="2239"/>
      <c r="AY142" s="2260"/>
      <c r="AZ142" s="2239"/>
      <c r="BA142" s="2264"/>
      <c r="BB142" s="2239"/>
      <c r="BC142" s="2604"/>
      <c r="BD142" s="2260"/>
      <c r="BE142" s="2239"/>
      <c r="BF142" s="2264"/>
      <c r="BG142" s="2239"/>
      <c r="BH142" s="2239"/>
      <c r="BI142" s="2260"/>
      <c r="BJ142" s="2239"/>
      <c r="BK142" s="2264"/>
      <c r="BL142" s="2239"/>
      <c r="BM142" s="2239"/>
      <c r="BN142" s="2260"/>
      <c r="BO142" s="2239"/>
      <c r="BP142" s="2264"/>
      <c r="BQ142" s="2239"/>
      <c r="BR142" s="2239"/>
      <c r="BS142" s="2260"/>
      <c r="BT142" s="2239"/>
      <c r="BU142" s="2264"/>
      <c r="BV142" s="2239"/>
      <c r="BW142" s="2239"/>
      <c r="BX142" s="2260"/>
      <c r="BY142" s="2244"/>
      <c r="BZ142" s="2259"/>
      <c r="CA142" s="2259"/>
      <c r="CB142" s="2291"/>
      <c r="CC142" s="2291"/>
      <c r="CD142" s="2289"/>
      <c r="CE142" s="2289"/>
      <c r="CF142" s="2289"/>
      <c r="CG142" s="2289"/>
      <c r="CH142" s="2289"/>
      <c r="CI142" s="2289"/>
      <c r="CJ142" s="2289"/>
      <c r="CK142" s="2289"/>
      <c r="CL142" s="2289"/>
      <c r="CM142" s="2289"/>
      <c r="CN142" s="2288"/>
      <c r="CO142" s="2288"/>
      <c r="CP142" s="2244"/>
      <c r="CQ142" s="2259"/>
      <c r="CR142" s="2259"/>
      <c r="CS142" s="2259"/>
      <c r="CT142" s="2291"/>
      <c r="CU142" s="2291"/>
      <c r="CV142" s="2291"/>
      <c r="CW142" s="2291"/>
      <c r="CX142" s="2259"/>
      <c r="CY142" s="2259"/>
      <c r="CZ142" s="2261"/>
      <c r="DA142" s="2259"/>
      <c r="DB142" s="2259"/>
      <c r="DC142" s="2259"/>
      <c r="DD142" s="2259"/>
      <c r="DE142" s="2259"/>
      <c r="DF142" s="2239"/>
    </row>
    <row r="143" spans="1:110" s="1715" customFormat="1" hidden="1" outlineLevel="1">
      <c r="A143" s="2345" t="s">
        <v>797</v>
      </c>
      <c r="B143" s="2259"/>
      <c r="C143" s="2259"/>
      <c r="D143" s="2259"/>
      <c r="E143" s="2259"/>
      <c r="F143" s="2259"/>
      <c r="G143" s="2259"/>
      <c r="H143" s="2259"/>
      <c r="I143" s="2259"/>
      <c r="J143" s="2259"/>
      <c r="K143" s="2259"/>
      <c r="L143" s="2264"/>
      <c r="M143" s="2239"/>
      <c r="N143" s="2239"/>
      <c r="O143" s="2260"/>
      <c r="P143" s="2287"/>
      <c r="Q143" s="2288"/>
      <c r="R143" s="2288"/>
      <c r="S143" s="2289"/>
      <c r="T143" s="2287"/>
      <c r="U143" s="2288"/>
      <c r="V143" s="2288"/>
      <c r="W143" s="2289"/>
      <c r="X143" s="2268"/>
      <c r="Y143" s="2335"/>
      <c r="Z143" s="2335"/>
      <c r="AA143" s="2336"/>
      <c r="AB143" s="2337"/>
      <c r="AC143" s="2338"/>
      <c r="AD143" s="2338"/>
      <c r="AE143" s="2339"/>
      <c r="AF143" s="2337"/>
      <c r="AG143" s="2338"/>
      <c r="AH143" s="2338"/>
      <c r="AI143" s="2339"/>
      <c r="AJ143" s="2337"/>
      <c r="AK143" s="2338"/>
      <c r="AL143" s="2338"/>
      <c r="AM143" s="2339"/>
      <c r="AN143" s="2337"/>
      <c r="AO143" s="2338"/>
      <c r="AP143" s="2338"/>
      <c r="AQ143" s="2339"/>
      <c r="AR143" s="2337"/>
      <c r="AS143" s="2338"/>
      <c r="AT143" s="2338"/>
      <c r="AU143" s="2339"/>
      <c r="AV143" s="2337"/>
      <c r="AW143" s="2338"/>
      <c r="AX143" s="2338"/>
      <c r="AY143" s="2339"/>
      <c r="AZ143" s="2338"/>
      <c r="BA143" s="2337"/>
      <c r="BB143" s="2338"/>
      <c r="BC143" s="2608"/>
      <c r="BD143" s="2339"/>
      <c r="BE143" s="2338"/>
      <c r="BF143" s="2337"/>
      <c r="BG143" s="2338"/>
      <c r="BH143" s="2338"/>
      <c r="BI143" s="2339"/>
      <c r="BJ143" s="2338"/>
      <c r="BK143" s="2337"/>
      <c r="BL143" s="2338"/>
      <c r="BM143" s="2338"/>
      <c r="BN143" s="2339"/>
      <c r="BO143" s="2338"/>
      <c r="BP143" s="2337"/>
      <c r="BQ143" s="2338"/>
      <c r="BR143" s="2338"/>
      <c r="BS143" s="2339"/>
      <c r="BT143" s="2338"/>
      <c r="BU143" s="2337"/>
      <c r="BV143" s="2338"/>
      <c r="BW143" s="2338"/>
      <c r="BX143" s="2339"/>
      <c r="BY143" s="2244"/>
      <c r="BZ143" s="2259"/>
      <c r="CA143" s="2259"/>
      <c r="CB143" s="2291"/>
      <c r="CC143" s="2291"/>
      <c r="CD143" s="2289"/>
      <c r="CE143" s="2289"/>
      <c r="CF143" s="2289"/>
      <c r="CG143" s="2289"/>
      <c r="CH143" s="2289"/>
      <c r="CI143" s="2289"/>
      <c r="CJ143" s="2289"/>
      <c r="CK143" s="2289"/>
      <c r="CL143" s="2289"/>
      <c r="CM143" s="2289"/>
      <c r="CN143" s="2288"/>
      <c r="CO143" s="2288"/>
      <c r="CP143" s="2244"/>
      <c r="CQ143" s="2259"/>
      <c r="CR143" s="2259"/>
      <c r="CS143" s="2259"/>
      <c r="CT143" s="2291"/>
      <c r="CU143" s="2291"/>
      <c r="CV143" s="2291"/>
      <c r="CW143" s="2291"/>
      <c r="CX143" s="2259"/>
      <c r="CY143" s="2259"/>
      <c r="CZ143" s="2259"/>
      <c r="DA143" s="2259"/>
      <c r="DB143" s="2259"/>
      <c r="DC143" s="2259"/>
      <c r="DD143" s="2259"/>
      <c r="DE143" s="2259"/>
      <c r="DF143" s="2239"/>
    </row>
    <row r="144" spans="1:110" s="1715" customFormat="1" hidden="1" outlineLevel="1">
      <c r="A144" s="2340" t="s">
        <v>289</v>
      </c>
      <c r="B144" s="2259"/>
      <c r="C144" s="2259"/>
      <c r="D144" s="2259"/>
      <c r="E144" s="2259"/>
      <c r="F144" s="2261"/>
      <c r="G144" s="2261"/>
      <c r="H144" s="2261"/>
      <c r="I144" s="2261"/>
      <c r="J144" s="2261"/>
      <c r="K144" s="2261"/>
      <c r="L144" s="2295"/>
      <c r="M144" s="2294"/>
      <c r="N144" s="2294"/>
      <c r="O144" s="2296"/>
      <c r="P144" s="2297"/>
      <c r="Q144" s="2298"/>
      <c r="R144" s="2298"/>
      <c r="S144" s="2299"/>
      <c r="T144" s="2297"/>
      <c r="U144" s="2298"/>
      <c r="V144" s="2298"/>
      <c r="W144" s="2298"/>
      <c r="X144" s="2297"/>
      <c r="Y144" s="2298"/>
      <c r="Z144" s="2298"/>
      <c r="AA144" s="2299"/>
      <c r="AB144" s="2295"/>
      <c r="AC144" s="2294"/>
      <c r="AD144" s="2294"/>
      <c r="AE144" s="2296"/>
      <c r="AF144" s="2295"/>
      <c r="AG144" s="2294"/>
      <c r="AH144" s="2294"/>
      <c r="AI144" s="2296"/>
      <c r="AJ144" s="2295"/>
      <c r="AK144" s="2294">
        <f t="shared" ref="AK144:BI144" si="250">AK145*AK$11+(AK63-(AK22*AK52))</f>
        <v>16.482926080737901</v>
      </c>
      <c r="AL144" s="2294">
        <f t="shared" si="250"/>
        <v>18.314243064773734</v>
      </c>
      <c r="AM144" s="2296">
        <f t="shared" si="250"/>
        <v>18.480403375502672</v>
      </c>
      <c r="AN144" s="2295">
        <f t="shared" si="250"/>
        <v>18.319189514090905</v>
      </c>
      <c r="AO144" s="2294">
        <f t="shared" si="250"/>
        <v>22.036117817445636</v>
      </c>
      <c r="AP144" s="2294">
        <f t="shared" si="250"/>
        <v>18.903311308217646</v>
      </c>
      <c r="AQ144" s="2296">
        <f t="shared" si="250"/>
        <v>18.922515529988491</v>
      </c>
      <c r="AR144" s="2295">
        <f t="shared" si="250"/>
        <v>18.274845690000003</v>
      </c>
      <c r="AS144" s="2294">
        <f t="shared" si="250"/>
        <v>14.678110104999995</v>
      </c>
      <c r="AT144" s="2294">
        <f t="shared" si="250"/>
        <v>11.259445692566254</v>
      </c>
      <c r="AU144" s="2296">
        <f t="shared" si="250"/>
        <v>11.840974338292371</v>
      </c>
      <c r="AV144" s="2295">
        <f t="shared" si="250"/>
        <v>10.997219852206346</v>
      </c>
      <c r="AW144" s="2294">
        <f t="shared" si="250"/>
        <v>11.897061494954734</v>
      </c>
      <c r="AX144" s="2294">
        <f t="shared" si="250"/>
        <v>9.1490193746137471</v>
      </c>
      <c r="AY144" s="2296">
        <f t="shared" si="250"/>
        <v>9.4899727786352006</v>
      </c>
      <c r="AZ144" s="2294"/>
      <c r="BA144" s="2295">
        <f t="shared" si="250"/>
        <v>9.6892399238875822</v>
      </c>
      <c r="BB144" s="2294">
        <f t="shared" si="250"/>
        <v>11.110654671087065</v>
      </c>
      <c r="BC144" s="2598">
        <f t="shared" si="250"/>
        <v>8.3693434528503072</v>
      </c>
      <c r="BD144" s="2296">
        <f t="shared" si="250"/>
        <v>8.6908373025068997</v>
      </c>
      <c r="BE144" s="2294"/>
      <c r="BF144" s="2295">
        <f t="shared" si="250"/>
        <v>8.9936883017989597</v>
      </c>
      <c r="BG144" s="2294">
        <f t="shared" si="250"/>
        <v>10.510374815694568</v>
      </c>
      <c r="BH144" s="2294">
        <f t="shared" si="250"/>
        <v>7.7960234460522004</v>
      </c>
      <c r="BI144" s="2296">
        <f t="shared" si="250"/>
        <v>7.9478479499370858</v>
      </c>
      <c r="BJ144" s="2294"/>
      <c r="BK144" s="2295">
        <f>BK145*BK$11+(BK63-(BK22*BK52))</f>
        <v>8.9005937910766999</v>
      </c>
      <c r="BL144" s="2294">
        <f>BL145*BL$11+(BL63-(BL22*BL52))</f>
        <v>10.263805236013521</v>
      </c>
      <c r="BM144" s="2294">
        <f>BM145*BM$11+(BM63-(BM22*BM52))</f>
        <v>7.7650346890585631</v>
      </c>
      <c r="BN144" s="2296">
        <f>BN145*BN$11+(BN63-(BN22*BN52))</f>
        <v>7.9721717972529129</v>
      </c>
      <c r="BO144" s="2294"/>
      <c r="BP144" s="2295">
        <f>BP145*BP$11+(BP63-(BP22*BP52))</f>
        <v>8.7839310813271059</v>
      </c>
      <c r="BQ144" s="2294">
        <f>BQ145*BQ$11+(BQ63-(BQ22*BQ52))</f>
        <v>10.172556879352506</v>
      </c>
      <c r="BR144" s="2294">
        <f>BR145*BR$11+(BR63-(BR22*BR52))</f>
        <v>7.6914957901811665</v>
      </c>
      <c r="BS144" s="2296">
        <f>BS145*BS$11+(BS63-(BS22*BS52))</f>
        <v>7.9070996604438299</v>
      </c>
      <c r="BT144" s="2294"/>
      <c r="BU144" s="2295">
        <f>BU145*BU$11+(BU63-(BU22*BU52))</f>
        <v>8.7495391313626456</v>
      </c>
      <c r="BV144" s="2294">
        <f>BV145*BV$11+(BV63-(BV22*BV52))</f>
        <v>10.177264585880057</v>
      </c>
      <c r="BW144" s="2294">
        <f>BW145*BW$11+(BW63-(BW22*BW52))</f>
        <v>7.6613402322045534</v>
      </c>
      <c r="BX144" s="2296">
        <f>BX145*BX$11+(BX63-(BX22*BX52))</f>
        <v>7.8708593706143599</v>
      </c>
      <c r="BY144" s="2244"/>
      <c r="BZ144" s="2261"/>
      <c r="CA144" s="2261"/>
      <c r="CB144" s="2300">
        <f>P144+Q144+R144+S144</f>
        <v>0</v>
      </c>
      <c r="CC144" s="2300">
        <f>T144+U144+V144+W144</f>
        <v>0</v>
      </c>
      <c r="CD144" s="2299">
        <f>X144+Y144+Z144+AA144</f>
        <v>0</v>
      </c>
      <c r="CE144" s="2299">
        <f>AB144+AC144+AD144+AE144</f>
        <v>0</v>
      </c>
      <c r="CF144" s="2299">
        <f>SUM(AF144:AI144)</f>
        <v>0</v>
      </c>
      <c r="CG144" s="2299">
        <f>SUM(AJ144:AM144)</f>
        <v>53.277572521014307</v>
      </c>
      <c r="CH144" s="2299">
        <f>SUM(AN144:AQ144)</f>
        <v>78.181134169742677</v>
      </c>
      <c r="CI144" s="2299">
        <f>SUM(AR144:AU144)</f>
        <v>56.053375825858616</v>
      </c>
      <c r="CJ144" s="2299">
        <f>SUM(AV144:AY144)</f>
        <v>41.533273500410026</v>
      </c>
      <c r="CK144" s="2299">
        <f>SUM(BA144:BD144)</f>
        <v>37.860075350331854</v>
      </c>
      <c r="CL144" s="2299">
        <f>SUM(BF144:BI144)</f>
        <v>35.247934513482818</v>
      </c>
      <c r="CM144" s="2299">
        <f>SUM(BG144:BK144)</f>
        <v>35.154840002760551</v>
      </c>
      <c r="CN144" s="2298"/>
      <c r="CO144" s="2298"/>
      <c r="CP144" s="2301"/>
      <c r="CQ144" s="2261"/>
      <c r="CR144" s="2261">
        <f>F144+G144+H144+I144</f>
        <v>0</v>
      </c>
      <c r="CS144" s="2261">
        <f>J144+K144+L144+M144</f>
        <v>0</v>
      </c>
      <c r="CT144" s="2300">
        <f>N144+O144+P144+Q144</f>
        <v>0</v>
      </c>
      <c r="CU144" s="2300">
        <f>R144+S144+T144+U144</f>
        <v>0</v>
      </c>
      <c r="CV144" s="2300">
        <f>V144+W144+X144+Y144</f>
        <v>0</v>
      </c>
      <c r="CW144" s="2300">
        <f>Z144+AA144+AB144+AC144</f>
        <v>0</v>
      </c>
      <c r="CX144" s="2302">
        <f>AD144+AE144+AF144+AG144</f>
        <v>0</v>
      </c>
      <c r="CY144" s="2302">
        <f>SUM(AH144:AK144)</f>
        <v>16.482926080737901</v>
      </c>
      <c r="CZ144" s="2302">
        <f>SUM(AL144:AO144)</f>
        <v>77.14995377181296</v>
      </c>
      <c r="DA144" s="2302">
        <f>SUM(AP144:AS144)</f>
        <v>70.778782633206134</v>
      </c>
      <c r="DB144" s="2302">
        <f>SUM(AT144:AW144)</f>
        <v>45.994701378019705</v>
      </c>
      <c r="DC144" s="2302">
        <f>SUM(AX144:BB144)</f>
        <v>39.438886748223595</v>
      </c>
      <c r="DD144" s="2300">
        <f>SUM(BC144:BG144)</f>
        <v>36.564243872850739</v>
      </c>
      <c r="DE144" s="2300">
        <f>SUM(BD144:BH144)</f>
        <v>35.990923866052633</v>
      </c>
      <c r="DF144" s="2298"/>
    </row>
    <row r="145" spans="1:110" s="1715" customFormat="1" hidden="1" outlineLevel="2">
      <c r="A145" s="2341" t="s">
        <v>796</v>
      </c>
      <c r="B145" s="2259"/>
      <c r="C145" s="2259"/>
      <c r="D145" s="2259"/>
      <c r="E145" s="2259"/>
      <c r="F145" s="2307"/>
      <c r="G145" s="2307"/>
      <c r="H145" s="2307"/>
      <c r="I145" s="2307"/>
      <c r="J145" s="2307"/>
      <c r="K145" s="2307"/>
      <c r="L145" s="2304"/>
      <c r="M145" s="2273"/>
      <c r="N145" s="2273"/>
      <c r="O145" s="2305"/>
      <c r="P145" s="2265"/>
      <c r="Q145" s="2266"/>
      <c r="R145" s="2266"/>
      <c r="S145" s="2267"/>
      <c r="T145" s="2265"/>
      <c r="U145" s="2266"/>
      <c r="V145" s="2266"/>
      <c r="W145" s="2267"/>
      <c r="X145" s="2265"/>
      <c r="Y145" s="2266"/>
      <c r="Z145" s="2266"/>
      <c r="AA145" s="2267"/>
      <c r="AB145" s="2304"/>
      <c r="AC145" s="2273"/>
      <c r="AD145" s="2273"/>
      <c r="AE145" s="2305"/>
      <c r="AF145" s="2304"/>
      <c r="AG145" s="2273"/>
      <c r="AH145" s="2273"/>
      <c r="AI145" s="2305"/>
      <c r="AJ145" s="2304"/>
      <c r="AK145" s="2273">
        <v>0.25</v>
      </c>
      <c r="AL145" s="2273">
        <v>0.31</v>
      </c>
      <c r="AM145" s="2305">
        <v>0.32</v>
      </c>
      <c r="AN145" s="2304">
        <v>0.30499999999999999</v>
      </c>
      <c r="AO145" s="2273">
        <f t="shared" ref="AO145:AT145" si="251">AN145</f>
        <v>0.30499999999999999</v>
      </c>
      <c r="AP145" s="2273">
        <f t="shared" si="251"/>
        <v>0.30499999999999999</v>
      </c>
      <c r="AQ145" s="2305">
        <f t="shared" si="251"/>
        <v>0.30499999999999999</v>
      </c>
      <c r="AR145" s="2304">
        <v>0.3</v>
      </c>
      <c r="AS145" s="2273">
        <v>0.2</v>
      </c>
      <c r="AT145" s="2273">
        <f t="shared" si="251"/>
        <v>0.2</v>
      </c>
      <c r="AU145" s="2305">
        <v>0.22</v>
      </c>
      <c r="AV145" s="2304">
        <v>0.18</v>
      </c>
      <c r="AW145" s="2273">
        <f t="shared" ref="AW145:BI145" si="252">AV145</f>
        <v>0.18</v>
      </c>
      <c r="AX145" s="2273">
        <f t="shared" si="252"/>
        <v>0.18</v>
      </c>
      <c r="AY145" s="2305">
        <f t="shared" si="252"/>
        <v>0.18</v>
      </c>
      <c r="AZ145" s="2273"/>
      <c r="BA145" s="2304">
        <v>0.16</v>
      </c>
      <c r="BB145" s="2273">
        <f>BA145</f>
        <v>0.16</v>
      </c>
      <c r="BC145" s="188">
        <f t="shared" si="252"/>
        <v>0.16</v>
      </c>
      <c r="BD145" s="2305">
        <f t="shared" si="252"/>
        <v>0.16</v>
      </c>
      <c r="BE145" s="2273"/>
      <c r="BF145" s="2304">
        <v>0.14000000000000001</v>
      </c>
      <c r="BG145" s="2273">
        <f t="shared" si="252"/>
        <v>0.14000000000000001</v>
      </c>
      <c r="BH145" s="2273">
        <f t="shared" si="252"/>
        <v>0.14000000000000001</v>
      </c>
      <c r="BI145" s="2305">
        <f t="shared" si="252"/>
        <v>0.14000000000000001</v>
      </c>
      <c r="BJ145" s="2273"/>
      <c r="BK145" s="2304">
        <v>0.14000000000000001</v>
      </c>
      <c r="BL145" s="2273">
        <f>BK145</f>
        <v>0.14000000000000001</v>
      </c>
      <c r="BM145" s="2273">
        <f>BL145</f>
        <v>0.14000000000000001</v>
      </c>
      <c r="BN145" s="2305">
        <f>BM145</f>
        <v>0.14000000000000001</v>
      </c>
      <c r="BO145" s="2273"/>
      <c r="BP145" s="2304">
        <v>0.14000000000000001</v>
      </c>
      <c r="BQ145" s="2273">
        <f>BP145</f>
        <v>0.14000000000000001</v>
      </c>
      <c r="BR145" s="2273">
        <f>BQ145</f>
        <v>0.14000000000000001</v>
      </c>
      <c r="BS145" s="2305">
        <f>BR145</f>
        <v>0.14000000000000001</v>
      </c>
      <c r="BT145" s="2273"/>
      <c r="BU145" s="2304">
        <v>0.14000000000000001</v>
      </c>
      <c r="BV145" s="2273">
        <f>BU145</f>
        <v>0.14000000000000001</v>
      </c>
      <c r="BW145" s="2273">
        <f>BV145</f>
        <v>0.14000000000000001</v>
      </c>
      <c r="BX145" s="2305">
        <f>BW145</f>
        <v>0.14000000000000001</v>
      </c>
      <c r="BY145" s="2306"/>
      <c r="BZ145" s="2307"/>
      <c r="CA145" s="2307"/>
      <c r="CB145" s="2308">
        <f t="shared" ref="CB145:CI145" si="253">CB144/CB$167</f>
        <v>0</v>
      </c>
      <c r="CC145" s="2308">
        <f t="shared" si="253"/>
        <v>0</v>
      </c>
      <c r="CD145" s="2267">
        <f t="shared" si="253"/>
        <v>0</v>
      </c>
      <c r="CE145" s="2267">
        <f t="shared" si="253"/>
        <v>0</v>
      </c>
      <c r="CF145" s="2267">
        <f t="shared" si="253"/>
        <v>0</v>
      </c>
      <c r="CG145" s="2267">
        <f t="shared" si="253"/>
        <v>0.21267588937940163</v>
      </c>
      <c r="CH145" s="2267">
        <f t="shared" si="253"/>
        <v>0.31140659890042854</v>
      </c>
      <c r="CI145" s="2267">
        <f t="shared" si="253"/>
        <v>0.24725414157892708</v>
      </c>
      <c r="CJ145" s="2267">
        <f>CJ144/CJ$167</f>
        <v>0.20931200517281809</v>
      </c>
      <c r="CK145" s="2267">
        <f>CK144/CK$167</f>
        <v>0.19490161414773613</v>
      </c>
      <c r="CL145" s="2267">
        <f>CL144/CL$167</f>
        <v>0.17631032112130204</v>
      </c>
      <c r="CM145" s="2267">
        <f>CM144/CM$167</f>
        <v>0.17616153476897645</v>
      </c>
      <c r="CN145" s="2266"/>
      <c r="CO145" s="2266"/>
      <c r="CP145" s="2306"/>
      <c r="CQ145" s="2307"/>
      <c r="CR145" s="2307">
        <f t="shared" ref="CR145:CX145" si="254">CR144/CR$167</f>
        <v>0</v>
      </c>
      <c r="CS145" s="2307">
        <f t="shared" si="254"/>
        <v>0</v>
      </c>
      <c r="CT145" s="2308">
        <f t="shared" si="254"/>
        <v>0</v>
      </c>
      <c r="CU145" s="2308">
        <f t="shared" si="254"/>
        <v>0</v>
      </c>
      <c r="CV145" s="2308">
        <f t="shared" si="254"/>
        <v>0</v>
      </c>
      <c r="CW145" s="2308">
        <f t="shared" si="254"/>
        <v>0</v>
      </c>
      <c r="CX145" s="2308">
        <f t="shared" si="254"/>
        <v>0</v>
      </c>
      <c r="CY145" s="2308">
        <f>(SUM(AH144:AK144)-SUM(AH63:AK63))/SUM(AH$11:AK$11)</f>
        <v>6.113656989592569E-2</v>
      </c>
      <c r="CZ145" s="2308">
        <f>(SUM(AL144:AO144)-SUM(AL63:AO63))/SUM(AL$11:AO$11)</f>
        <v>0.30461076935975701</v>
      </c>
      <c r="DA145" s="2308">
        <f>(SUM(AP144:AS144)-SUM(AP63:AS63))/SUM(AP$11:AS$11)</f>
        <v>0.26690388615609184</v>
      </c>
      <c r="DB145" s="2308">
        <f>DB144/DB$167</f>
        <v>0.22014999701270976</v>
      </c>
      <c r="DC145" s="2308">
        <f>DC144/DC$167</f>
        <v>0.2021034944938363</v>
      </c>
      <c r="DD145" s="2308">
        <f>DD144/DD$167</f>
        <v>0.18495221185708061</v>
      </c>
      <c r="DE145" s="2308">
        <f>DE144/DE$167</f>
        <v>0.18072813933777984</v>
      </c>
      <c r="DF145" s="2266"/>
    </row>
    <row r="146" spans="1:110" s="1715" customFormat="1" hidden="1" outlineLevel="2">
      <c r="A146" s="2342" t="s">
        <v>121</v>
      </c>
      <c r="B146" s="2259"/>
      <c r="C146" s="2259"/>
      <c r="D146" s="2259"/>
      <c r="E146" s="2259"/>
      <c r="F146" s="2259"/>
      <c r="G146" s="2259"/>
      <c r="H146" s="2259"/>
      <c r="I146" s="2259"/>
      <c r="J146" s="2245"/>
      <c r="K146" s="2245"/>
      <c r="L146" s="2256"/>
      <c r="M146" s="2250"/>
      <c r="N146" s="2250"/>
      <c r="O146" s="2257"/>
      <c r="P146" s="2310"/>
      <c r="Q146" s="2271"/>
      <c r="R146" s="2271"/>
      <c r="S146" s="2309"/>
      <c r="T146" s="2310"/>
      <c r="U146" s="2271"/>
      <c r="V146" s="2271"/>
      <c r="W146" s="2309"/>
      <c r="X146" s="2310"/>
      <c r="Y146" s="2271"/>
      <c r="Z146" s="2271"/>
      <c r="AA146" s="2309"/>
      <c r="AB146" s="2256"/>
      <c r="AC146" s="2250"/>
      <c r="AD146" s="2250"/>
      <c r="AE146" s="2257"/>
      <c r="AF146" s="2256"/>
      <c r="AG146" s="2250"/>
      <c r="AH146" s="2250"/>
      <c r="AI146" s="2257"/>
      <c r="AJ146" s="2256"/>
      <c r="AK146" s="2250" t="str">
        <f t="shared" ref="AK146:AS146" si="255">IF(OR(AK144=0,AG144=0),"NM",AK144/AG144-1)</f>
        <v>NM</v>
      </c>
      <c r="AL146" s="2250" t="str">
        <f t="shared" si="255"/>
        <v>NM</v>
      </c>
      <c r="AM146" s="2257" t="str">
        <f t="shared" si="255"/>
        <v>NM</v>
      </c>
      <c r="AN146" s="2256" t="str">
        <f t="shared" si="255"/>
        <v>NM</v>
      </c>
      <c r="AO146" s="2250">
        <f t="shared" si="255"/>
        <v>0.33690569923730029</v>
      </c>
      <c r="AP146" s="2250">
        <f t="shared" si="255"/>
        <v>3.2164487571803901E-2</v>
      </c>
      <c r="AQ146" s="2257">
        <f t="shared" si="255"/>
        <v>2.3923295693419666E-2</v>
      </c>
      <c r="AR146" s="2256">
        <f t="shared" si="255"/>
        <v>-2.4206215049411561E-3</v>
      </c>
      <c r="AS146" s="2250">
        <f t="shared" si="255"/>
        <v>-0.33390671503037739</v>
      </c>
      <c r="AT146" s="2250">
        <f>IF(OR(AT144=0,AP144=0),"NM",AT144/AP144-1)</f>
        <v>-0.40436648854893753</v>
      </c>
      <c r="AU146" s="2257">
        <f>IF(OR(AU144=0,AQ144=0),"NM",AU144/AQ144-1)</f>
        <v>-0.37423888914099501</v>
      </c>
      <c r="AV146" s="2256">
        <f t="shared" ref="AV146:AY146" si="256">IF(OR(AV144=0,AR144=0),"NM",AV144/AR144-1)</f>
        <v>-0.39823186259657306</v>
      </c>
      <c r="AW146" s="2250">
        <f t="shared" si="256"/>
        <v>-0.1894691203534381</v>
      </c>
      <c r="AX146" s="2250">
        <f t="shared" si="256"/>
        <v>-0.18743607594695888</v>
      </c>
      <c r="AY146" s="2257">
        <f t="shared" si="256"/>
        <v>-0.1985479819894802</v>
      </c>
      <c r="AZ146" s="2250"/>
      <c r="BA146" s="2256">
        <f>IF(OR(BA144=0,AV144=0),"NM",BA144/AV144-1)</f>
        <v>-0.1189373265149688</v>
      </c>
      <c r="BB146" s="2250">
        <f>IF(OR(BB144=0,AW144=0),"NM",BB144/AW144-1)</f>
        <v>-6.6100929561569877E-2</v>
      </c>
      <c r="BC146" s="2603">
        <f>IF(OR(BC144=0,AX144=0),"NM",BC144/AX144-1)</f>
        <v>-8.5219616424340172E-2</v>
      </c>
      <c r="BD146" s="2257">
        <f>IF(OR(BD144=0,AY144=0),"NM",BD144/AY144-1)</f>
        <v>-8.4208405521183027E-2</v>
      </c>
      <c r="BE146" s="2250"/>
      <c r="BF146" s="2256">
        <f>IF(OR(BF144=0,BA144=0),"NM",BF144/BA144-1)</f>
        <v>-7.1785983993835178E-2</v>
      </c>
      <c r="BG146" s="2250">
        <f>IF(OR(BG144=0,BB144=0),"NM",BG144/BB144-1)</f>
        <v>-5.4027406409685952E-2</v>
      </c>
      <c r="BH146" s="2250">
        <f>IF(OR(BH144=0,BC144=0),"NM",BH144/BC144-1)</f>
        <v>-6.8502387317233793E-2</v>
      </c>
      <c r="BI146" s="2257">
        <f>IF(OR(BI144=0,BD144=0),"NM",BI144/BD144-1)</f>
        <v>-8.5491112847722595E-2</v>
      </c>
      <c r="BJ146" s="2250"/>
      <c r="BK146" s="2256">
        <f>IF(OR(BK144=0,BF144=0),"NM",BK144/BF144-1)</f>
        <v>-1.0351093744669693E-2</v>
      </c>
      <c r="BL146" s="2250">
        <f>IF(OR(BL144=0,BG144=0),"NM",BL144/BG144-1)</f>
        <v>-2.3459637168491643E-2</v>
      </c>
      <c r="BM146" s="2250">
        <f>IF(OR(BM144=0,BH144=0),"NM",BM144/BH144-1)</f>
        <v>-3.9749440478311637E-3</v>
      </c>
      <c r="BN146" s="2257">
        <f>IF(OR(BN144=0,BI144=0),"NM",BN144/BI144-1)</f>
        <v>3.0604318891152005E-3</v>
      </c>
      <c r="BO146" s="2250"/>
      <c r="BP146" s="2256">
        <f>IF(OR(BP144=0,BK144=0),"NM",BP144/BK144-1)</f>
        <v>-1.3107295140977526E-2</v>
      </c>
      <c r="BQ146" s="2250">
        <f>IF(OR(BQ144=0,BL144=0),"NM",BQ144/BL144-1)</f>
        <v>-8.8903047712600713E-3</v>
      </c>
      <c r="BR146" s="2250">
        <f>IF(OR(BR144=0,BM144=0),"NM",BR144/BM144-1)</f>
        <v>-9.4705177532584672E-3</v>
      </c>
      <c r="BS146" s="2257">
        <f>IF(OR(BS144=0,BN144=0),"NM",BS144/BN144-1)</f>
        <v>-8.1624102520603259E-3</v>
      </c>
      <c r="BT146" s="2250"/>
      <c r="BU146" s="2256">
        <f>IF(OR(BU144=0,BP144=0),"NM",BU144/BP144-1)</f>
        <v>-3.9153255696154909E-3</v>
      </c>
      <c r="BV146" s="2250">
        <f>IF(OR(BV144=0,BQ144=0),"NM",BV144/BQ144-1)</f>
        <v>4.6278497956664388E-4</v>
      </c>
      <c r="BW146" s="2250">
        <f>IF(OR(BW144=0,BR144=0),"NM",BW144/BR144-1)</f>
        <v>-3.920636349448281E-3</v>
      </c>
      <c r="BX146" s="2257">
        <f>IF(OR(BX144=0,BS144=0),"NM",BX144/BS144-1)</f>
        <v>-4.5832595244456042E-3</v>
      </c>
      <c r="BY146" s="2244"/>
      <c r="BZ146" s="2246"/>
      <c r="CA146" s="2246"/>
      <c r="CB146" s="2247" t="str">
        <f t="shared" ref="CB146:CM146" si="257">IF(OR(CA144=0,CB144=0),"NM",CB144/CA144-1)</f>
        <v>NM</v>
      </c>
      <c r="CC146" s="2247" t="str">
        <f t="shared" si="257"/>
        <v>NM</v>
      </c>
      <c r="CD146" s="2242" t="str">
        <f t="shared" si="257"/>
        <v>NM</v>
      </c>
      <c r="CE146" s="2242" t="str">
        <f t="shared" si="257"/>
        <v>NM</v>
      </c>
      <c r="CF146" s="2242" t="str">
        <f t="shared" si="257"/>
        <v>NM</v>
      </c>
      <c r="CG146" s="2242" t="str">
        <f t="shared" si="257"/>
        <v>NM</v>
      </c>
      <c r="CH146" s="2242">
        <f t="shared" si="257"/>
        <v>0.46743048660682951</v>
      </c>
      <c r="CI146" s="2242">
        <f t="shared" si="257"/>
        <v>-0.28303194343332827</v>
      </c>
      <c r="CJ146" s="2242">
        <f t="shared" si="257"/>
        <v>-0.25904063959605728</v>
      </c>
      <c r="CK146" s="2242">
        <f t="shared" si="257"/>
        <v>-8.8439890249486619E-2</v>
      </c>
      <c r="CL146" s="2242">
        <f t="shared" si="257"/>
        <v>-6.8994602168063079E-2</v>
      </c>
      <c r="CM146" s="2242">
        <f t="shared" si="257"/>
        <v>-2.6411337857727979E-3</v>
      </c>
      <c r="CN146" s="2240"/>
      <c r="CO146" s="2240"/>
      <c r="CP146" s="2248"/>
      <c r="CQ146" s="2246"/>
      <c r="CR146" s="2246"/>
      <c r="CS146" s="2246" t="str">
        <f t="shared" ref="CS146:DA146" si="258">IF(OR(CR144=0,CS144=0),"NM",CS144/CR144-1)</f>
        <v>NM</v>
      </c>
      <c r="CT146" s="2247" t="str">
        <f t="shared" si="258"/>
        <v>NM</v>
      </c>
      <c r="CU146" s="2247" t="str">
        <f t="shared" si="258"/>
        <v>NM</v>
      </c>
      <c r="CV146" s="2247" t="str">
        <f t="shared" si="258"/>
        <v>NM</v>
      </c>
      <c r="CW146" s="2247" t="str">
        <f t="shared" si="258"/>
        <v>NM</v>
      </c>
      <c r="CX146" s="2247" t="str">
        <f t="shared" si="258"/>
        <v>NM</v>
      </c>
      <c r="CY146" s="2247" t="str">
        <f t="shared" si="258"/>
        <v>NM</v>
      </c>
      <c r="CZ146" s="2247">
        <f t="shared" si="258"/>
        <v>3.6805981774055949</v>
      </c>
      <c r="DA146" s="2247">
        <f t="shared" si="258"/>
        <v>-8.2581658538006253E-2</v>
      </c>
      <c r="DB146" s="2247">
        <f>IF(OR(DA144=0,DB144=0),"NM",DB144/DA144-1)</f>
        <v>-0.35016258168247838</v>
      </c>
      <c r="DC146" s="2247">
        <f>IF(OR(DB144=0,DC144=0),"NM",DC144/DB144-1)</f>
        <v>-0.14253412748384653</v>
      </c>
      <c r="DD146" s="2247">
        <f>IF(OR(DC144=0,DD144=0),"NM",DD144/DC144-1)</f>
        <v>-7.2888540027117643E-2</v>
      </c>
      <c r="DE146" s="2247">
        <f>IF(OR(DD144=0,DE144=0),"NM",DE144/DD144-1)</f>
        <v>-1.5679799335979183E-2</v>
      </c>
      <c r="DF146" s="2240"/>
    </row>
    <row r="147" spans="1:110" s="1715" customFormat="1" hidden="1" outlineLevel="1">
      <c r="A147" s="2343" t="s">
        <v>290</v>
      </c>
      <c r="B147" s="2318"/>
      <c r="C147" s="2318"/>
      <c r="D147" s="2318"/>
      <c r="E147" s="2318"/>
      <c r="F147" s="2318"/>
      <c r="G147" s="2318"/>
      <c r="H147" s="2318"/>
      <c r="I147" s="2318"/>
      <c r="J147" s="2318"/>
      <c r="K147" s="2318"/>
      <c r="L147" s="2313"/>
      <c r="M147" s="2312"/>
      <c r="N147" s="2312"/>
      <c r="O147" s="2314"/>
      <c r="P147" s="2290"/>
      <c r="Q147" s="2315"/>
      <c r="R147" s="2315"/>
      <c r="S147" s="2316"/>
      <c r="T147" s="2290"/>
      <c r="U147" s="2315"/>
      <c r="V147" s="2315"/>
      <c r="W147" s="2316"/>
      <c r="X147" s="2290"/>
      <c r="Y147" s="2315"/>
      <c r="Z147" s="2315"/>
      <c r="AA147" s="2316"/>
      <c r="AB147" s="2313"/>
      <c r="AC147" s="2312"/>
      <c r="AD147" s="2312"/>
      <c r="AE147" s="2314"/>
      <c r="AF147" s="2313"/>
      <c r="AG147" s="2312"/>
      <c r="AH147" s="2312"/>
      <c r="AI147" s="2314"/>
      <c r="AJ147" s="2313"/>
      <c r="AK147" s="2312">
        <f t="shared" ref="AK147:AS147" si="259">AK144*AK223</f>
        <v>891.99993631278471</v>
      </c>
      <c r="AL147" s="2312">
        <f t="shared" si="259"/>
        <v>935.47688324766739</v>
      </c>
      <c r="AM147" s="2314">
        <f t="shared" si="259"/>
        <v>912.24264195594935</v>
      </c>
      <c r="AN147" s="2313">
        <f t="shared" si="259"/>
        <v>915.95947570454518</v>
      </c>
      <c r="AO147" s="2312">
        <f t="shared" si="259"/>
        <v>1013.6614196024992</v>
      </c>
      <c r="AP147" s="2312">
        <f t="shared" si="259"/>
        <v>869.55232017801166</v>
      </c>
      <c r="AQ147" s="2314">
        <f t="shared" si="259"/>
        <v>876.11246903846711</v>
      </c>
      <c r="AR147" s="2313">
        <f t="shared" si="259"/>
        <v>826.02302518800013</v>
      </c>
      <c r="AS147" s="2312">
        <f t="shared" si="259"/>
        <v>570.56749600155979</v>
      </c>
      <c r="AT147" s="2312">
        <f>AT144*AT223</f>
        <v>427.85893631751765</v>
      </c>
      <c r="AU147" s="2314">
        <f>AU144*AU223</f>
        <v>449.95702485511009</v>
      </c>
      <c r="AV147" s="2313">
        <f t="shared" ref="AV147:BI147" si="260">AV144*AV223</f>
        <v>412.39574445773798</v>
      </c>
      <c r="AW147" s="2312">
        <f t="shared" si="260"/>
        <v>446.13980606080253</v>
      </c>
      <c r="AX147" s="2312">
        <f t="shared" si="260"/>
        <v>343.08822654801554</v>
      </c>
      <c r="AY147" s="2314">
        <f t="shared" si="260"/>
        <v>355.87397919882</v>
      </c>
      <c r="AZ147" s="2312"/>
      <c r="BA147" s="2313">
        <f t="shared" si="260"/>
        <v>351.23494724092484</v>
      </c>
      <c r="BB147" s="2312">
        <f t="shared" si="260"/>
        <v>402.76123182690611</v>
      </c>
      <c r="BC147" s="1710">
        <f t="shared" si="260"/>
        <v>303.38870016582365</v>
      </c>
      <c r="BD147" s="2314">
        <f t="shared" si="260"/>
        <v>315.04285221587509</v>
      </c>
      <c r="BE147" s="2312"/>
      <c r="BF147" s="2313">
        <f t="shared" si="260"/>
        <v>317.02751263841333</v>
      </c>
      <c r="BG147" s="2312">
        <f t="shared" si="260"/>
        <v>370.49071225323354</v>
      </c>
      <c r="BH147" s="2312">
        <f t="shared" si="260"/>
        <v>274.80982647334008</v>
      </c>
      <c r="BI147" s="2314">
        <f t="shared" si="260"/>
        <v>280.16164023528228</v>
      </c>
      <c r="BJ147" s="2312"/>
      <c r="BK147" s="2313">
        <f>BK144*BK223</f>
        <v>304.84533734437696</v>
      </c>
      <c r="BL147" s="2312">
        <f>BL144*BL223</f>
        <v>351.5353293334631</v>
      </c>
      <c r="BM147" s="2312">
        <f>BM144*BM223</f>
        <v>265.95243810025579</v>
      </c>
      <c r="BN147" s="2314">
        <f>BN144*BN223</f>
        <v>273.04688405591224</v>
      </c>
      <c r="BO147" s="2312"/>
      <c r="BP147" s="2313">
        <f>BP144*BP223</f>
        <v>292.06570845412625</v>
      </c>
      <c r="BQ147" s="2312">
        <f>BQ144*BQ223</f>
        <v>338.23751623847079</v>
      </c>
      <c r="BR147" s="2312">
        <f>BR144*BR223</f>
        <v>255.74223502352379</v>
      </c>
      <c r="BS147" s="2314">
        <f>BS144*BS223</f>
        <v>262.91106370975734</v>
      </c>
      <c r="BT147" s="2312"/>
      <c r="BU147" s="2313">
        <f>BU144*BU223</f>
        <v>282.1726369864453</v>
      </c>
      <c r="BV147" s="2312">
        <f>BV144*BV223</f>
        <v>328.21678289463182</v>
      </c>
      <c r="BW147" s="2312">
        <f>BW144*BW223</f>
        <v>247.07822248859685</v>
      </c>
      <c r="BX147" s="2314">
        <f>BX144*BX223</f>
        <v>253.8352147023131</v>
      </c>
      <c r="BY147" s="2317"/>
      <c r="BZ147" s="2318"/>
      <c r="CA147" s="2318"/>
      <c r="CB147" s="2319">
        <f>P147+Q147+R147+S147</f>
        <v>0</v>
      </c>
      <c r="CC147" s="2319">
        <f>T147+U147+V147+W147</f>
        <v>0</v>
      </c>
      <c r="CD147" s="2316">
        <f>X147+Y147+Z147+AA147</f>
        <v>0</v>
      </c>
      <c r="CE147" s="2316">
        <f>AB147+AC147+AD147+AE147</f>
        <v>0</v>
      </c>
      <c r="CF147" s="2316">
        <f>SUM(AF147:AI147)</f>
        <v>0</v>
      </c>
      <c r="CG147" s="2316">
        <f>SUM(AJ147:AM147)</f>
        <v>2739.7194615164012</v>
      </c>
      <c r="CH147" s="2316">
        <f>SUM(AN147:AQ147)</f>
        <v>3675.2856845235233</v>
      </c>
      <c r="CI147" s="2316">
        <f>SUM(AR147:AU147)</f>
        <v>2274.4064823621875</v>
      </c>
      <c r="CJ147" s="2316">
        <f>SUM(AV147:AY147)</f>
        <v>1557.4977562653762</v>
      </c>
      <c r="CK147" s="2316">
        <f>SUM(BA147:BD147)</f>
        <v>1372.4277314495298</v>
      </c>
      <c r="CL147" s="2316">
        <f>SUM(BF147:BI147)</f>
        <v>1242.4896916002692</v>
      </c>
      <c r="CM147" s="2316">
        <f>SUM(BG147:BK147)</f>
        <v>1230.3075163062329</v>
      </c>
      <c r="CN147" s="2315"/>
      <c r="CO147" s="2315"/>
      <c r="CP147" s="2317"/>
      <c r="CQ147" s="2318"/>
      <c r="CR147" s="2318">
        <f>F147+G147+H147+I147</f>
        <v>0</v>
      </c>
      <c r="CS147" s="2318">
        <f>J147+K147+L147+M147</f>
        <v>0</v>
      </c>
      <c r="CT147" s="2319">
        <f>N147+O147+P147+Q147</f>
        <v>0</v>
      </c>
      <c r="CU147" s="2319">
        <f>R147+S147+T147+U147</f>
        <v>0</v>
      </c>
      <c r="CV147" s="2319">
        <f>V147+W147+X147+Y147</f>
        <v>0</v>
      </c>
      <c r="CW147" s="2319">
        <f>Z147+AA147+AB147+AC147</f>
        <v>0</v>
      </c>
      <c r="CX147" s="2318">
        <f>SUM(AD147:AG147)</f>
        <v>0</v>
      </c>
      <c r="CY147" s="2318">
        <f>(SUM(AH147:AK147)/SUM(AH144:AK144))*CY144</f>
        <v>891.99993631278471</v>
      </c>
      <c r="CZ147" s="2318">
        <f>(SUM(AL147:AO147)/SUM(AL144:AO144))*CZ144</f>
        <v>3777.3404205106613</v>
      </c>
      <c r="DA147" s="2318">
        <f>(SUM(AP147:AS147)/SUM(AP144:AS144))*DA144</f>
        <v>3142.2553104060389</v>
      </c>
      <c r="DB147" s="2318">
        <f>SUM(AT147:AW147)</f>
        <v>1736.3515116911683</v>
      </c>
      <c r="DC147" s="2318">
        <f>SUM(AX147:BB147)</f>
        <v>1452.9583848146665</v>
      </c>
      <c r="DD147" s="2318">
        <f>SUM(BC147:BG147)</f>
        <v>1305.9497772733457</v>
      </c>
      <c r="DE147" s="2318">
        <f>SUM(BD147:BH147)</f>
        <v>1277.370903580862</v>
      </c>
      <c r="DF147" s="2312"/>
    </row>
    <row r="148" spans="1:110" s="1715" customFormat="1" hidden="1" outlineLevel="1">
      <c r="A148" s="2343"/>
      <c r="B148" s="2318"/>
      <c r="C148" s="2318"/>
      <c r="D148" s="2318"/>
      <c r="E148" s="2318"/>
      <c r="F148" s="2318"/>
      <c r="G148" s="2318"/>
      <c r="H148" s="2318"/>
      <c r="I148" s="2318"/>
      <c r="J148" s="2318"/>
      <c r="K148" s="2318"/>
      <c r="L148" s="2313"/>
      <c r="M148" s="2312"/>
      <c r="N148" s="2312"/>
      <c r="O148" s="2314"/>
      <c r="P148" s="2290"/>
      <c r="Q148" s="2315"/>
      <c r="R148" s="2315"/>
      <c r="S148" s="2316"/>
      <c r="T148" s="2290"/>
      <c r="U148" s="2315"/>
      <c r="V148" s="2315"/>
      <c r="W148" s="2316"/>
      <c r="X148" s="2290"/>
      <c r="Y148" s="2315"/>
      <c r="Z148" s="2315"/>
      <c r="AA148" s="2316"/>
      <c r="AB148" s="2313"/>
      <c r="AC148" s="2312"/>
      <c r="AD148" s="2312"/>
      <c r="AE148" s="2314"/>
      <c r="AF148" s="2313"/>
      <c r="AG148" s="2312"/>
      <c r="AH148" s="2312"/>
      <c r="AI148" s="2314"/>
      <c r="AJ148" s="2313"/>
      <c r="AK148" s="2312"/>
      <c r="AL148" s="2312"/>
      <c r="AM148" s="2314"/>
      <c r="AN148" s="2313"/>
      <c r="AO148" s="2312"/>
      <c r="AP148" s="2312"/>
      <c r="AQ148" s="2314"/>
      <c r="AR148" s="2313"/>
      <c r="AS148" s="2312"/>
      <c r="AT148" s="2312"/>
      <c r="AU148" s="2314"/>
      <c r="AV148" s="2313"/>
      <c r="AW148" s="2312"/>
      <c r="AX148" s="2312"/>
      <c r="AY148" s="2314"/>
      <c r="AZ148" s="2312"/>
      <c r="BA148" s="2313"/>
      <c r="BB148" s="2312"/>
      <c r="BC148" s="1710"/>
      <c r="BD148" s="2314"/>
      <c r="BE148" s="2312"/>
      <c r="BF148" s="2313"/>
      <c r="BG148" s="2312"/>
      <c r="BH148" s="2312"/>
      <c r="BI148" s="2314"/>
      <c r="BJ148" s="2312"/>
      <c r="BK148" s="2313"/>
      <c r="BL148" s="2312"/>
      <c r="BM148" s="2312"/>
      <c r="BN148" s="2314"/>
      <c r="BO148" s="2312"/>
      <c r="BP148" s="2313"/>
      <c r="BQ148" s="2312"/>
      <c r="BR148" s="2312"/>
      <c r="BS148" s="2314"/>
      <c r="BT148" s="2312"/>
      <c r="BU148" s="2313"/>
      <c r="BV148" s="2312"/>
      <c r="BW148" s="2312"/>
      <c r="BX148" s="2314"/>
      <c r="BY148" s="2317"/>
      <c r="BZ148" s="2318"/>
      <c r="CA148" s="2318"/>
      <c r="CB148" s="2319"/>
      <c r="CC148" s="2319"/>
      <c r="CD148" s="2316"/>
      <c r="CE148" s="2316"/>
      <c r="CF148" s="2316"/>
      <c r="CG148" s="2316"/>
      <c r="CH148" s="2316"/>
      <c r="CI148" s="2316"/>
      <c r="CJ148" s="2316"/>
      <c r="CK148" s="2316"/>
      <c r="CL148" s="2316"/>
      <c r="CM148" s="2316"/>
      <c r="CN148" s="2315"/>
      <c r="CO148" s="2315"/>
      <c r="CP148" s="2317"/>
      <c r="CQ148" s="2318"/>
      <c r="CR148" s="2318"/>
      <c r="CS148" s="2318"/>
      <c r="CT148" s="2319"/>
      <c r="CU148" s="2319"/>
      <c r="CV148" s="2319"/>
      <c r="CW148" s="2319"/>
      <c r="CX148" s="2318"/>
      <c r="CY148" s="2302"/>
      <c r="CZ148" s="2261"/>
      <c r="DA148" s="2302"/>
      <c r="DB148" s="2302"/>
      <c r="DC148" s="2302"/>
      <c r="DD148" s="2300"/>
      <c r="DE148" s="2300"/>
      <c r="DF148" s="2298"/>
    </row>
    <row r="149" spans="1:110" s="1715" customFormat="1" hidden="1" outlineLevel="1">
      <c r="A149" s="2345" t="s">
        <v>798</v>
      </c>
      <c r="B149" s="2259"/>
      <c r="C149" s="2259"/>
      <c r="D149" s="2259"/>
      <c r="E149" s="2259"/>
      <c r="F149" s="2259"/>
      <c r="G149" s="2259"/>
      <c r="H149" s="2259"/>
      <c r="I149" s="2259"/>
      <c r="J149" s="2259"/>
      <c r="K149" s="2259"/>
      <c r="L149" s="2264"/>
      <c r="M149" s="2239"/>
      <c r="N149" s="2239"/>
      <c r="O149" s="2260"/>
      <c r="P149" s="2287"/>
      <c r="Q149" s="2288"/>
      <c r="R149" s="2288"/>
      <c r="S149" s="2289"/>
      <c r="T149" s="2287"/>
      <c r="U149" s="2288"/>
      <c r="V149" s="2288"/>
      <c r="W149" s="2289"/>
      <c r="X149" s="2268"/>
      <c r="Y149" s="2335"/>
      <c r="Z149" s="2335"/>
      <c r="AA149" s="2336"/>
      <c r="AB149" s="2337"/>
      <c r="AC149" s="2338"/>
      <c r="AD149" s="2338"/>
      <c r="AE149" s="2339"/>
      <c r="AF149" s="2337"/>
      <c r="AG149" s="2338"/>
      <c r="AH149" s="2338"/>
      <c r="AI149" s="2339"/>
      <c r="AJ149" s="2337"/>
      <c r="AK149" s="2338"/>
      <c r="AL149" s="2338"/>
      <c r="AM149" s="2339"/>
      <c r="AN149" s="2337"/>
      <c r="AO149" s="2338"/>
      <c r="AP149" s="2338"/>
      <c r="AQ149" s="2339"/>
      <c r="AR149" s="2337"/>
      <c r="AS149" s="2338"/>
      <c r="AT149" s="2338"/>
      <c r="AU149" s="2339"/>
      <c r="AV149" s="2337"/>
      <c r="AW149" s="2338"/>
      <c r="AX149" s="2338"/>
      <c r="AY149" s="2339"/>
      <c r="AZ149" s="2338"/>
      <c r="BA149" s="2337"/>
      <c r="BB149" s="2338"/>
      <c r="BC149" s="2608"/>
      <c r="BD149" s="2339"/>
      <c r="BE149" s="2338"/>
      <c r="BF149" s="2337"/>
      <c r="BG149" s="2338"/>
      <c r="BH149" s="2338"/>
      <c r="BI149" s="2339"/>
      <c r="BJ149" s="2338"/>
      <c r="BK149" s="2337"/>
      <c r="BL149" s="2338"/>
      <c r="BM149" s="2338"/>
      <c r="BN149" s="2339"/>
      <c r="BO149" s="2338"/>
      <c r="BP149" s="2337"/>
      <c r="BQ149" s="2338"/>
      <c r="BR149" s="2338"/>
      <c r="BS149" s="2339"/>
      <c r="BT149" s="2338"/>
      <c r="BU149" s="2337"/>
      <c r="BV149" s="2338"/>
      <c r="BW149" s="2338"/>
      <c r="BX149" s="2339"/>
      <c r="BY149" s="2244"/>
      <c r="BZ149" s="2259"/>
      <c r="CA149" s="2259"/>
      <c r="CB149" s="2291"/>
      <c r="CC149" s="2291"/>
      <c r="CD149" s="2289"/>
      <c r="CE149" s="2289"/>
      <c r="CF149" s="2289"/>
      <c r="CG149" s="2289"/>
      <c r="CH149" s="2289"/>
      <c r="CI149" s="2289"/>
      <c r="CJ149" s="2289"/>
      <c r="CK149" s="2289"/>
      <c r="CL149" s="2289"/>
      <c r="CM149" s="2289"/>
      <c r="CN149" s="2288"/>
      <c r="CO149" s="2288"/>
      <c r="CP149" s="2244"/>
      <c r="CQ149" s="2259"/>
      <c r="CR149" s="2259"/>
      <c r="CS149" s="2259"/>
      <c r="CT149" s="2291"/>
      <c r="CU149" s="2291"/>
      <c r="CV149" s="2291"/>
      <c r="CW149" s="2291"/>
      <c r="CX149" s="2259"/>
      <c r="CY149" s="2259"/>
      <c r="CZ149" s="2259"/>
      <c r="DA149" s="2259"/>
      <c r="DB149" s="2259"/>
      <c r="DC149" s="2259"/>
      <c r="DD149" s="2259"/>
      <c r="DE149" s="2259"/>
      <c r="DF149" s="2239"/>
    </row>
    <row r="150" spans="1:110" s="1715" customFormat="1" hidden="1" outlineLevel="1">
      <c r="A150" s="2340" t="s">
        <v>289</v>
      </c>
      <c r="B150" s="2259"/>
      <c r="C150" s="2259"/>
      <c r="D150" s="2259"/>
      <c r="E150" s="2259"/>
      <c r="F150" s="2261"/>
      <c r="G150" s="2261"/>
      <c r="H150" s="2261"/>
      <c r="I150" s="2261"/>
      <c r="J150" s="2261"/>
      <c r="K150" s="2261"/>
      <c r="L150" s="2295"/>
      <c r="M150" s="2294"/>
      <c r="N150" s="2294"/>
      <c r="O150" s="2296"/>
      <c r="P150" s="2297"/>
      <c r="Q150" s="2298"/>
      <c r="R150" s="2298"/>
      <c r="S150" s="2299"/>
      <c r="T150" s="2297"/>
      <c r="U150" s="2298"/>
      <c r="V150" s="2298"/>
      <c r="W150" s="2298"/>
      <c r="X150" s="2297"/>
      <c r="Y150" s="2298"/>
      <c r="Z150" s="2298"/>
      <c r="AA150" s="2299"/>
      <c r="AB150" s="2295"/>
      <c r="AC150" s="2294"/>
      <c r="AD150" s="2294"/>
      <c r="AE150" s="2296"/>
      <c r="AF150" s="2295"/>
      <c r="AG150" s="2294"/>
      <c r="AH150" s="2294"/>
      <c r="AI150" s="2296"/>
      <c r="AJ150" s="2295"/>
      <c r="AK150" s="2294">
        <f t="shared" ref="AK150:BI150" si="261">AK151*AK$11+AK66</f>
        <v>3.3220000000000001</v>
      </c>
      <c r="AL150" s="2294">
        <f t="shared" si="261"/>
        <v>0.97090180000000004</v>
      </c>
      <c r="AM150" s="2296">
        <f t="shared" si="261"/>
        <v>0.67549160770794048</v>
      </c>
      <c r="AN150" s="2295">
        <f t="shared" si="261"/>
        <v>1.0659214125000001</v>
      </c>
      <c r="AO150" s="2294">
        <f t="shared" si="261"/>
        <v>3.1392528399999997</v>
      </c>
      <c r="AP150" s="2294">
        <f t="shared" si="261"/>
        <v>1.8780260249999996</v>
      </c>
      <c r="AQ150" s="2296">
        <f t="shared" si="261"/>
        <v>2.0555861100000001</v>
      </c>
      <c r="AR150" s="2295">
        <f t="shared" si="261"/>
        <v>2.7240213875000001</v>
      </c>
      <c r="AS150" s="2294">
        <f t="shared" si="261"/>
        <v>3.8455847289999996</v>
      </c>
      <c r="AT150" s="2294">
        <f t="shared" si="261"/>
        <v>2.4233273924392567</v>
      </c>
      <c r="AU150" s="2296">
        <f t="shared" si="261"/>
        <v>2.6726976655448258</v>
      </c>
      <c r="AV150" s="2295">
        <f t="shared" si="261"/>
        <v>3.221034259206343</v>
      </c>
      <c r="AW150" s="2294">
        <f t="shared" si="261"/>
        <v>4.5050517019547307</v>
      </c>
      <c r="AX150" s="2294">
        <f t="shared" si="261"/>
        <v>2.7428604186137475</v>
      </c>
      <c r="AY150" s="2296">
        <f t="shared" si="261"/>
        <v>2.7635693861733506</v>
      </c>
      <c r="AZ150" s="2294"/>
      <c r="BA150" s="2295">
        <f t="shared" si="261"/>
        <v>3.2710841761570881</v>
      </c>
      <c r="BB150" s="2294">
        <f t="shared" si="261"/>
        <v>4.6772447892294453</v>
      </c>
      <c r="BC150" s="2598">
        <f t="shared" si="261"/>
        <v>2.8232507250449661</v>
      </c>
      <c r="BD150" s="2296">
        <f t="shared" si="261"/>
        <v>2.8263866903058728</v>
      </c>
      <c r="BE150" s="2294"/>
      <c r="BF150" s="2295">
        <f t="shared" si="261"/>
        <v>3.3089238955467795</v>
      </c>
      <c r="BG150" s="2294">
        <f t="shared" si="261"/>
        <v>4.9495501365475976</v>
      </c>
      <c r="BH150" s="2294">
        <f t="shared" si="261"/>
        <v>2.9373214614104199</v>
      </c>
      <c r="BI150" s="2296">
        <f t="shared" si="261"/>
        <v>2.9106167572355179</v>
      </c>
      <c r="BJ150" s="2294"/>
      <c r="BK150" s="2295">
        <f>BK151*BK$11+BK66</f>
        <v>3.35578217637023</v>
      </c>
      <c r="BL150" s="2294">
        <f>BL151*BL$11+BL66</f>
        <v>4.9699730375964597</v>
      </c>
      <c r="BM150" s="2294">
        <f>BM151*BM$11+BM66</f>
        <v>2.9681680897025782</v>
      </c>
      <c r="BN150" s="2296">
        <f>BN151*BN$11+BN66</f>
        <v>2.9407056089220522</v>
      </c>
      <c r="BO150" s="2294"/>
      <c r="BP150" s="2295">
        <f>BP151*BP$11+BP66</f>
        <v>3.4110507294666794</v>
      </c>
      <c r="BQ150" s="2294">
        <f>BQ151*BQ$11+BQ66</f>
        <v>5.0819157636337513</v>
      </c>
      <c r="BR150" s="2294">
        <f>BR151*BR$11+BR66</f>
        <v>3.0527655619122398</v>
      </c>
      <c r="BS150" s="2296">
        <f>BS151*BS$11+BS66</f>
        <v>3.0418787877870037</v>
      </c>
      <c r="BT150" s="2294"/>
      <c r="BU150" s="2295">
        <f>BU151*BU$11+BU66</f>
        <v>3.5263188988540746</v>
      </c>
      <c r="BV150" s="2294">
        <f>BV151*BV$11+BV66</f>
        <v>5.2506136095488714</v>
      </c>
      <c r="BW150" s="2294">
        <f>BW151*BW$11+BW66</f>
        <v>3.1523262997999817</v>
      </c>
      <c r="BX150" s="2296">
        <f>BX151*BX$11+BX66</f>
        <v>3.1393551125239991</v>
      </c>
      <c r="BY150" s="2244"/>
      <c r="BZ150" s="2261"/>
      <c r="CA150" s="2261"/>
      <c r="CB150" s="2300">
        <f>P150+Q150+R150+S150</f>
        <v>0</v>
      </c>
      <c r="CC150" s="2300">
        <f>T150+U150+V150+W150</f>
        <v>0</v>
      </c>
      <c r="CD150" s="2299">
        <f>X150+Y150+Z150+AA150</f>
        <v>0</v>
      </c>
      <c r="CE150" s="2299">
        <f>AB150+AC150+AD150+AE150</f>
        <v>0</v>
      </c>
      <c r="CF150" s="2299">
        <f>SUM(AF150:AI150)</f>
        <v>0</v>
      </c>
      <c r="CG150" s="2299">
        <f>SUM(AJ150:AM150)</f>
        <v>4.968393407707941</v>
      </c>
      <c r="CH150" s="2299">
        <f>SUM(AN150:AQ150)</f>
        <v>8.1387863874999997</v>
      </c>
      <c r="CI150" s="2299">
        <f>SUM(AR150:AU150)</f>
        <v>11.665631174484082</v>
      </c>
      <c r="CJ150" s="2299">
        <f>SUM(AV150:AY150)</f>
        <v>13.232515765948172</v>
      </c>
      <c r="CK150" s="2299">
        <f>SUM(BA150:BD150)</f>
        <v>13.597966380737372</v>
      </c>
      <c r="CL150" s="2299">
        <f>SUM(BF150:BI150)</f>
        <v>14.106412250740314</v>
      </c>
      <c r="CM150" s="2299">
        <f>SUM(BG150:BK150)</f>
        <v>14.153270531563766</v>
      </c>
      <c r="CN150" s="2298"/>
      <c r="CO150" s="2298"/>
      <c r="CP150" s="2301"/>
      <c r="CQ150" s="2261"/>
      <c r="CR150" s="2261">
        <f>F150+G150+H150+I150</f>
        <v>0</v>
      </c>
      <c r="CS150" s="2261">
        <f>J150+K150+L150+M150</f>
        <v>0</v>
      </c>
      <c r="CT150" s="2300">
        <f>N150+O150+P150+Q150</f>
        <v>0</v>
      </c>
      <c r="CU150" s="2300">
        <f>R150+S150+T150+U150</f>
        <v>0</v>
      </c>
      <c r="CV150" s="2300">
        <f>V150+W150+X150+Y150</f>
        <v>0</v>
      </c>
      <c r="CW150" s="2300">
        <f>Z150+AA150+AB150+AC150</f>
        <v>0</v>
      </c>
      <c r="CX150" s="2302">
        <f>AD150+AE150+AF150+AG150</f>
        <v>0</v>
      </c>
      <c r="CY150" s="2302">
        <f>SUM(AH150:AK150)</f>
        <v>3.3220000000000001</v>
      </c>
      <c r="CZ150" s="2302">
        <f>SUM(AL150:AO150)</f>
        <v>5.8515676602079409</v>
      </c>
      <c r="DA150" s="2302">
        <f>SUM(AP150:AS150)</f>
        <v>10.503218251499998</v>
      </c>
      <c r="DB150" s="2302">
        <f>SUM(AT150:AW150)</f>
        <v>12.822111019145156</v>
      </c>
      <c r="DC150" s="2302">
        <f>SUM(AX150:BB150)</f>
        <v>13.45475877017363</v>
      </c>
      <c r="DD150" s="2300">
        <f>SUM(BC150:BG150)</f>
        <v>13.908111447445215</v>
      </c>
      <c r="DE150" s="2300">
        <f>SUM(BD150:BH150)</f>
        <v>14.022182183810671</v>
      </c>
      <c r="DF150" s="2298"/>
    </row>
    <row r="151" spans="1:110" s="1715" customFormat="1" hidden="1" outlineLevel="2">
      <c r="A151" s="2341" t="s">
        <v>15</v>
      </c>
      <c r="B151" s="2259"/>
      <c r="C151" s="2259"/>
      <c r="D151" s="2259"/>
      <c r="E151" s="2259"/>
      <c r="F151" s="2307"/>
      <c r="G151" s="2307"/>
      <c r="H151" s="2307"/>
      <c r="I151" s="2307"/>
      <c r="J151" s="2307"/>
      <c r="K151" s="2307"/>
      <c r="L151" s="2304"/>
      <c r="M151" s="2273"/>
      <c r="N151" s="2273"/>
      <c r="O151" s="2305"/>
      <c r="P151" s="2265"/>
      <c r="Q151" s="2266"/>
      <c r="R151" s="2266"/>
      <c r="S151" s="2267"/>
      <c r="T151" s="2265"/>
      <c r="U151" s="2266"/>
      <c r="V151" s="2266"/>
      <c r="W151" s="2267"/>
      <c r="X151" s="2265"/>
      <c r="Y151" s="2266"/>
      <c r="Z151" s="2266"/>
      <c r="AA151" s="2267"/>
      <c r="AB151" s="2304"/>
      <c r="AC151" s="2273"/>
      <c r="AD151" s="2273"/>
      <c r="AE151" s="2305"/>
      <c r="AF151" s="2304"/>
      <c r="AG151" s="2273"/>
      <c r="AH151" s="2273"/>
      <c r="AI151" s="2305"/>
      <c r="AJ151" s="2304"/>
      <c r="AK151" s="2273">
        <v>0</v>
      </c>
      <c r="AL151" s="2273">
        <v>0</v>
      </c>
      <c r="AM151" s="2305">
        <v>0</v>
      </c>
      <c r="AN151" s="2304">
        <v>0</v>
      </c>
      <c r="AO151" s="2273">
        <v>0</v>
      </c>
      <c r="AP151" s="2273">
        <v>0</v>
      </c>
      <c r="AQ151" s="2305">
        <v>0</v>
      </c>
      <c r="AR151" s="2304">
        <v>0</v>
      </c>
      <c r="AS151" s="2273">
        <v>0</v>
      </c>
      <c r="AT151" s="2273">
        <v>0</v>
      </c>
      <c r="AU151" s="2305">
        <v>0</v>
      </c>
      <c r="AV151" s="2304">
        <v>0</v>
      </c>
      <c r="AW151" s="2273">
        <v>0</v>
      </c>
      <c r="AX151" s="2273">
        <v>0</v>
      </c>
      <c r="AY151" s="2305">
        <v>0</v>
      </c>
      <c r="AZ151" s="2273"/>
      <c r="BA151" s="2304">
        <v>0</v>
      </c>
      <c r="BB151" s="2273">
        <v>0</v>
      </c>
      <c r="BC151" s="188">
        <v>0</v>
      </c>
      <c r="BD151" s="2305">
        <v>0</v>
      </c>
      <c r="BE151" s="2273"/>
      <c r="BF151" s="2304">
        <v>0</v>
      </c>
      <c r="BG151" s="2273">
        <v>0</v>
      </c>
      <c r="BH151" s="2273">
        <v>0</v>
      </c>
      <c r="BI151" s="2305">
        <v>0</v>
      </c>
      <c r="BJ151" s="2273"/>
      <c r="BK151" s="2304">
        <v>0</v>
      </c>
      <c r="BL151" s="2273">
        <v>0</v>
      </c>
      <c r="BM151" s="2273">
        <v>0</v>
      </c>
      <c r="BN151" s="2305">
        <v>0</v>
      </c>
      <c r="BO151" s="2273"/>
      <c r="BP151" s="2304">
        <v>0</v>
      </c>
      <c r="BQ151" s="2273">
        <v>0</v>
      </c>
      <c r="BR151" s="2273">
        <v>0</v>
      </c>
      <c r="BS151" s="2305">
        <v>0</v>
      </c>
      <c r="BT151" s="2273"/>
      <c r="BU151" s="2304">
        <v>0</v>
      </c>
      <c r="BV151" s="2273">
        <v>0</v>
      </c>
      <c r="BW151" s="2273">
        <v>0</v>
      </c>
      <c r="BX151" s="2305">
        <v>0</v>
      </c>
      <c r="BY151" s="2306"/>
      <c r="BZ151" s="2307"/>
      <c r="CA151" s="2307"/>
      <c r="CB151" s="2308">
        <f t="shared" ref="CB151:CI151" si="262">CB150/CB$167</f>
        <v>0</v>
      </c>
      <c r="CC151" s="2308">
        <f t="shared" si="262"/>
        <v>0</v>
      </c>
      <c r="CD151" s="2267">
        <f t="shared" si="262"/>
        <v>0</v>
      </c>
      <c r="CE151" s="2267">
        <f t="shared" si="262"/>
        <v>0</v>
      </c>
      <c r="CF151" s="2267">
        <f t="shared" si="262"/>
        <v>0</v>
      </c>
      <c r="CG151" s="2267">
        <f t="shared" si="262"/>
        <v>1.9833063647077095E-2</v>
      </c>
      <c r="CH151" s="2267">
        <f t="shared" si="262"/>
        <v>3.2417946030378265E-2</v>
      </c>
      <c r="CI151" s="2267">
        <f t="shared" si="262"/>
        <v>5.1457661193936667E-2</v>
      </c>
      <c r="CJ151" s="2267">
        <f>CJ150/CJ$167</f>
        <v>6.6686879579193226E-2</v>
      </c>
      <c r="CK151" s="2267">
        <f>CK150/CK$167</f>
        <v>7.0001593293425202E-2</v>
      </c>
      <c r="CL151" s="2267">
        <f>CL150/CL$167</f>
        <v>7.0560335183502507E-2</v>
      </c>
      <c r="CM151" s="2267">
        <f>CM150/CM$167</f>
        <v>7.0922292880440232E-2</v>
      </c>
      <c r="CN151" s="2266"/>
      <c r="CO151" s="2266"/>
      <c r="CP151" s="2306"/>
      <c r="CQ151" s="2307"/>
      <c r="CR151" s="2307">
        <f t="shared" ref="CR151:CX151" si="263">CR150/CR$167</f>
        <v>0</v>
      </c>
      <c r="CS151" s="2307">
        <f t="shared" si="263"/>
        <v>0</v>
      </c>
      <c r="CT151" s="2308">
        <f t="shared" si="263"/>
        <v>0</v>
      </c>
      <c r="CU151" s="2308">
        <f t="shared" si="263"/>
        <v>0</v>
      </c>
      <c r="CV151" s="2308">
        <f t="shared" si="263"/>
        <v>0</v>
      </c>
      <c r="CW151" s="2308">
        <f t="shared" si="263"/>
        <v>0</v>
      </c>
      <c r="CX151" s="2308">
        <f t="shared" si="263"/>
        <v>0</v>
      </c>
      <c r="CY151" s="2308">
        <f>SUM(AH150:AK150)/SUM(AH$11:AK$11)</f>
        <v>1.2984058622062238E-2</v>
      </c>
      <c r="CZ151" s="2308">
        <f>SUM(AL150:AO150)/SUM(AL$11:AO$11)</f>
        <v>2.4999872004767439E-2</v>
      </c>
      <c r="DA151" s="2308">
        <f>SUM(AP150:AS150)/SUM(AP$11:AS$11)</f>
        <v>4.6508892902573457E-2</v>
      </c>
      <c r="DB151" s="2308">
        <f>DB150/DB$167</f>
        <v>6.1372019341132497E-2</v>
      </c>
      <c r="DC151" s="2308">
        <f>DC150/DC$167</f>
        <v>6.8948542649880012E-2</v>
      </c>
      <c r="DD151" s="2308">
        <f>DD150/DD$167</f>
        <v>7.0351132759776724E-2</v>
      </c>
      <c r="DE151" s="2308">
        <f>DE150/DE$167</f>
        <v>7.0412276855326306E-2</v>
      </c>
      <c r="DF151" s="2266"/>
    </row>
    <row r="152" spans="1:110" s="1715" customFormat="1" hidden="1" outlineLevel="2">
      <c r="A152" s="2342" t="s">
        <v>121</v>
      </c>
      <c r="B152" s="2259"/>
      <c r="C152" s="2259"/>
      <c r="D152" s="2259"/>
      <c r="E152" s="2259"/>
      <c r="F152" s="2259"/>
      <c r="G152" s="2259"/>
      <c r="H152" s="2259"/>
      <c r="I152" s="2259"/>
      <c r="J152" s="2245"/>
      <c r="K152" s="2245"/>
      <c r="L152" s="2256"/>
      <c r="M152" s="2250"/>
      <c r="N152" s="2250"/>
      <c r="O152" s="2257"/>
      <c r="P152" s="2310"/>
      <c r="Q152" s="2271"/>
      <c r="R152" s="2271"/>
      <c r="S152" s="2309"/>
      <c r="T152" s="2310"/>
      <c r="U152" s="2271"/>
      <c r="V152" s="2271"/>
      <c r="W152" s="2309"/>
      <c r="X152" s="2310"/>
      <c r="Y152" s="2271"/>
      <c r="Z152" s="2271"/>
      <c r="AA152" s="2309"/>
      <c r="AB152" s="2256"/>
      <c r="AC152" s="2250"/>
      <c r="AD152" s="2250"/>
      <c r="AE152" s="2257"/>
      <c r="AF152" s="2256"/>
      <c r="AG152" s="2250"/>
      <c r="AH152" s="2250"/>
      <c r="AI152" s="2257"/>
      <c r="AJ152" s="2256"/>
      <c r="AK152" s="2250" t="str">
        <f t="shared" ref="AK152:AS152" si="264">IF(OR(AK150=0,AG150=0),"NM",AK150/AG150-1)</f>
        <v>NM</v>
      </c>
      <c r="AL152" s="2250" t="str">
        <f t="shared" si="264"/>
        <v>NM</v>
      </c>
      <c r="AM152" s="2257" t="str">
        <f t="shared" si="264"/>
        <v>NM</v>
      </c>
      <c r="AN152" s="2256" t="str">
        <f t="shared" si="264"/>
        <v>NM</v>
      </c>
      <c r="AO152" s="2250">
        <f t="shared" si="264"/>
        <v>-5.5011186032510651E-2</v>
      </c>
      <c r="AP152" s="2250">
        <f t="shared" si="264"/>
        <v>0.93431099314060351</v>
      </c>
      <c r="AQ152" s="2257">
        <f t="shared" si="264"/>
        <v>2.0430964449357978</v>
      </c>
      <c r="AR152" s="2256">
        <f t="shared" si="264"/>
        <v>1.5555555555555554</v>
      </c>
      <c r="AS152" s="2250">
        <f t="shared" si="264"/>
        <v>0.22500000000000009</v>
      </c>
      <c r="AT152" s="2250">
        <f>IF(OR(AT150=0,AP150=0),"NM",AT150/AP150-1)</f>
        <v>0.29035879172082146</v>
      </c>
      <c r="AU152" s="2257">
        <f>IF(OR(AU150=0,AQ150=0),"NM",AU150/AQ150-1)</f>
        <v>0.30021196997912458</v>
      </c>
      <c r="AV152" s="2256">
        <f t="shared" ref="AV152:AY152" si="265">IF(OR(AV150=0,AR150=0),"NM",AV150/AR150-1)</f>
        <v>0.18245556880978886</v>
      </c>
      <c r="AW152" s="2250">
        <f t="shared" si="265"/>
        <v>0.17148678794712646</v>
      </c>
      <c r="AX152" s="2250">
        <f t="shared" si="265"/>
        <v>0.13185714285714289</v>
      </c>
      <c r="AY152" s="2257">
        <f t="shared" si="265"/>
        <v>3.4000000000000252E-2</v>
      </c>
      <c r="AZ152" s="2250"/>
      <c r="BA152" s="2256">
        <f>IF(OR(BA150=0,AV150=0),"NM",BA150/AV150-1)</f>
        <v>1.5538461538461723E-2</v>
      </c>
      <c r="BB152" s="2250">
        <f>IF(OR(BB150=0,AW150=0),"NM",BB150/AW150-1)</f>
        <v>3.822222222222238E-2</v>
      </c>
      <c r="BC152" s="2603">
        <f>IF(OR(BC150=0,AX150=0),"NM",BC150/AX150-1)</f>
        <v>2.9308930883128248E-2</v>
      </c>
      <c r="BD152" s="2257">
        <f>IF(OR(BD150=0,AY150=0),"NM",BD150/AY150-1)</f>
        <v>2.2730496453900795E-2</v>
      </c>
      <c r="BE152" s="2250"/>
      <c r="BF152" s="2256">
        <f>IF(OR(BF150=0,BA150=0),"NM",BF150/BA150-1)</f>
        <v>1.1567944250870932E-2</v>
      </c>
      <c r="BG152" s="2250">
        <f>IF(OR(BG150=0,BB150=0),"NM",BG150/BB150-1)</f>
        <v>5.821917808219168E-2</v>
      </c>
      <c r="BH152" s="2250">
        <f>IF(OR(BH150=0,BC150=0),"NM",BH150/BC150-1)</f>
        <v>4.0404040404040664E-2</v>
      </c>
      <c r="BI152" s="2257">
        <f>IF(OR(BI150=0,BD150=0),"NM",BI150/BD150-1)</f>
        <v>2.9801324503311299E-2</v>
      </c>
      <c r="BJ152" s="2250"/>
      <c r="BK152" s="2256">
        <f>IF(OR(BK150=0,BF150=0),"NM",BK150/BF150-1)</f>
        <v>1.4161184210526478E-2</v>
      </c>
      <c r="BL152" s="2250">
        <f>IF(OR(BL150=0,BG150=0),"NM",BL150/BG150-1)</f>
        <v>4.1262135922330856E-3</v>
      </c>
      <c r="BM152" s="2250">
        <f>IF(OR(BM150=0,BH150=0),"NM",BM150/BH150-1)</f>
        <v>1.0501618122977341E-2</v>
      </c>
      <c r="BN152" s="2257">
        <f>IF(OR(BN150=0,BI150=0),"NM",BN150/BI150-1)</f>
        <v>1.0337620578778184E-2</v>
      </c>
      <c r="BO152" s="2250"/>
      <c r="BP152" s="2256">
        <f>IF(OR(BP150=0,BK150=0),"NM",BP150/BK150-1)</f>
        <v>1.6469648562300376E-2</v>
      </c>
      <c r="BQ152" s="2250">
        <f>IF(OR(BQ150=0,BL150=0),"NM",BQ150/BL150-1)</f>
        <v>2.2523809523809613E-2</v>
      </c>
      <c r="BR152" s="2250">
        <f>IF(OR(BR150=0,BM150=0),"NM",BR150/BM150-1)</f>
        <v>2.850157728706626E-2</v>
      </c>
      <c r="BS152" s="2257">
        <f>IF(OR(BS150=0,BN150=0),"NM",BS150/BN150-1)</f>
        <v>3.4404388714733614E-2</v>
      </c>
      <c r="BT152" s="2250"/>
      <c r="BU152" s="2256">
        <f>IF(OR(BU150=0,BP150=0),"NM",BU150/BP150-1)</f>
        <v>3.3792569659442551E-2</v>
      </c>
      <c r="BV152" s="2250">
        <f>IF(OR(BV150=0,BQ150=0),"NM",BV150/BQ150-1)</f>
        <v>3.319571865443427E-2</v>
      </c>
      <c r="BW152" s="2250">
        <f>IF(OR(BW150=0,BR150=0),"NM",BW150/BR150-1)</f>
        <v>3.2613293051359404E-2</v>
      </c>
      <c r="BX152" s="2257">
        <f>IF(OR(BX150=0,BS150=0),"NM",BX150/BS150-1)</f>
        <v>3.2044776119402929E-2</v>
      </c>
      <c r="BY152" s="2244"/>
      <c r="BZ152" s="2246"/>
      <c r="CA152" s="2246"/>
      <c r="CB152" s="2247" t="str">
        <f t="shared" ref="CB152:CM152" si="266">IF(OR(CA150=0,CB150=0),"NM",CB150/CA150-1)</f>
        <v>NM</v>
      </c>
      <c r="CC152" s="2247" t="str">
        <f t="shared" si="266"/>
        <v>NM</v>
      </c>
      <c r="CD152" s="2242" t="str">
        <f t="shared" si="266"/>
        <v>NM</v>
      </c>
      <c r="CE152" s="2242" t="str">
        <f t="shared" si="266"/>
        <v>NM</v>
      </c>
      <c r="CF152" s="2242" t="str">
        <f t="shared" si="266"/>
        <v>NM</v>
      </c>
      <c r="CG152" s="2242" t="str">
        <f t="shared" si="266"/>
        <v>NM</v>
      </c>
      <c r="CH152" s="2242">
        <f t="shared" si="266"/>
        <v>0.63811230706359257</v>
      </c>
      <c r="CI152" s="2242">
        <f t="shared" si="266"/>
        <v>0.4333379227646037</v>
      </c>
      <c r="CJ152" s="2242">
        <f t="shared" si="266"/>
        <v>0.1343163149964226</v>
      </c>
      <c r="CK152" s="2242">
        <f t="shared" si="266"/>
        <v>2.7617621717076046E-2</v>
      </c>
      <c r="CL152" s="2242">
        <f t="shared" si="266"/>
        <v>3.739131689009012E-2</v>
      </c>
      <c r="CM152" s="2242">
        <f t="shared" si="266"/>
        <v>3.3217716872688818E-3</v>
      </c>
      <c r="CN152" s="2240"/>
      <c r="CO152" s="2240"/>
      <c r="CP152" s="2248"/>
      <c r="CQ152" s="2246"/>
      <c r="CR152" s="2246"/>
      <c r="CS152" s="2246" t="str">
        <f t="shared" ref="CS152:DA152" si="267">IF(OR(CR150=0,CS150=0),"NM",CS150/CR150-1)</f>
        <v>NM</v>
      </c>
      <c r="CT152" s="2247" t="str">
        <f t="shared" si="267"/>
        <v>NM</v>
      </c>
      <c r="CU152" s="2247" t="str">
        <f t="shared" si="267"/>
        <v>NM</v>
      </c>
      <c r="CV152" s="2247" t="str">
        <f t="shared" si="267"/>
        <v>NM</v>
      </c>
      <c r="CW152" s="2247" t="str">
        <f t="shared" si="267"/>
        <v>NM</v>
      </c>
      <c r="CX152" s="2247" t="str">
        <f t="shared" si="267"/>
        <v>NM</v>
      </c>
      <c r="CY152" s="2247" t="str">
        <f t="shared" si="267"/>
        <v>NM</v>
      </c>
      <c r="CZ152" s="2247">
        <f t="shared" si="267"/>
        <v>0.76145925954483462</v>
      </c>
      <c r="DA152" s="2247">
        <f t="shared" si="267"/>
        <v>0.7949409220582706</v>
      </c>
      <c r="DB152" s="2247">
        <f>IF(OR(DA150=0,DB150=0),"NM",DB150/DA150-1)</f>
        <v>0.22077926137676807</v>
      </c>
      <c r="DC152" s="2247">
        <f>IF(OR(DB150=0,DC150=0),"NM",DC150/DB150-1)</f>
        <v>4.9340373834218409E-2</v>
      </c>
      <c r="DD152" s="2247">
        <f>IF(OR(DC150=0,DD150=0),"NM",DD150/DC150-1)</f>
        <v>3.3694597206497034E-2</v>
      </c>
      <c r="DE152" s="2247">
        <f>IF(OR(DD150=0,DE150=0),"NM",DE150/DD150-1)</f>
        <v>8.2017416093116413E-3</v>
      </c>
      <c r="DF152" s="2240"/>
    </row>
    <row r="153" spans="1:110" s="1715" customFormat="1" hidden="1" outlineLevel="1">
      <c r="A153" s="2343" t="s">
        <v>290</v>
      </c>
      <c r="B153" s="2318"/>
      <c r="C153" s="2318"/>
      <c r="D153" s="2318"/>
      <c r="E153" s="2318"/>
      <c r="F153" s="2318"/>
      <c r="G153" s="2318"/>
      <c r="H153" s="2318"/>
      <c r="I153" s="2318"/>
      <c r="J153" s="2318"/>
      <c r="K153" s="2318"/>
      <c r="L153" s="2313"/>
      <c r="M153" s="2312"/>
      <c r="N153" s="2312"/>
      <c r="O153" s="2314"/>
      <c r="P153" s="2290"/>
      <c r="Q153" s="2315"/>
      <c r="R153" s="2315"/>
      <c r="S153" s="2316"/>
      <c r="T153" s="2290"/>
      <c r="U153" s="2315"/>
      <c r="V153" s="2315"/>
      <c r="W153" s="2316"/>
      <c r="X153" s="2290"/>
      <c r="Y153" s="2315"/>
      <c r="Z153" s="2315"/>
      <c r="AA153" s="2316"/>
      <c r="AB153" s="2313"/>
      <c r="AC153" s="2312"/>
      <c r="AD153" s="2312"/>
      <c r="AE153" s="2314"/>
      <c r="AF153" s="2313"/>
      <c r="AG153" s="2312"/>
      <c r="AH153" s="2312"/>
      <c r="AI153" s="2314"/>
      <c r="AJ153" s="2313"/>
      <c r="AK153" s="2312">
        <f t="shared" ref="AK153:AS153" si="268">AK150*AK225</f>
        <v>119.85023265555263</v>
      </c>
      <c r="AL153" s="2312">
        <f t="shared" si="268"/>
        <v>33.061924775932901</v>
      </c>
      <c r="AM153" s="2314">
        <f t="shared" si="268"/>
        <v>22.229393890518089</v>
      </c>
      <c r="AN153" s="2313">
        <f t="shared" si="268"/>
        <v>35.530713750000004</v>
      </c>
      <c r="AO153" s="2312">
        <f t="shared" si="268"/>
        <v>96.270420426666661</v>
      </c>
      <c r="AP153" s="2312">
        <f t="shared" si="268"/>
        <v>57.592798099999989</v>
      </c>
      <c r="AQ153" s="2314">
        <f t="shared" si="268"/>
        <v>63.449091261999996</v>
      </c>
      <c r="AR153" s="2313">
        <f t="shared" si="268"/>
        <v>87.168684400000004</v>
      </c>
      <c r="AS153" s="2312">
        <f t="shared" si="268"/>
        <v>99.657046390458646</v>
      </c>
      <c r="AT153" s="2312">
        <f>AT150*AT225</f>
        <v>61.390960608461164</v>
      </c>
      <c r="AU153" s="2314">
        <f>AU150*AU225</f>
        <v>67.708340860468923</v>
      </c>
      <c r="AV153" s="2313">
        <f t="shared" ref="AV153:BI153" si="269">AV150*AV225</f>
        <v>80.525856480158581</v>
      </c>
      <c r="AW153" s="2312">
        <f t="shared" si="269"/>
        <v>112.62629254886826</v>
      </c>
      <c r="AX153" s="2312">
        <f t="shared" si="269"/>
        <v>68.571510465343692</v>
      </c>
      <c r="AY153" s="2314">
        <f t="shared" si="269"/>
        <v>69.089234654333765</v>
      </c>
      <c r="AZ153" s="2312"/>
      <c r="BA153" s="2313">
        <f t="shared" si="269"/>
        <v>79.051200923796301</v>
      </c>
      <c r="BB153" s="2312">
        <f t="shared" si="269"/>
        <v>113.0334157397116</v>
      </c>
      <c r="BC153" s="1710">
        <f t="shared" si="269"/>
        <v>68.228559188586686</v>
      </c>
      <c r="BD153" s="2314">
        <f t="shared" si="269"/>
        <v>68.304345015725261</v>
      </c>
      <c r="BE153" s="2312"/>
      <c r="BF153" s="2313">
        <f t="shared" si="269"/>
        <v>77.759711545349319</v>
      </c>
      <c r="BG153" s="2312">
        <f t="shared" si="269"/>
        <v>116.31442820886855</v>
      </c>
      <c r="BH153" s="2312">
        <f t="shared" si="269"/>
        <v>69.027054343144869</v>
      </c>
      <c r="BI153" s="2314">
        <f t="shared" si="269"/>
        <v>68.399493795034672</v>
      </c>
      <c r="BJ153" s="2312"/>
      <c r="BK153" s="2313">
        <f>BK150*BK225</f>
        <v>76.623693027120254</v>
      </c>
      <c r="BL153" s="2312">
        <f>BL150*BL225</f>
        <v>113.48105102511916</v>
      </c>
      <c r="BM153" s="2312">
        <f>BM150*BM225</f>
        <v>67.773171381542198</v>
      </c>
      <c r="BN153" s="2314">
        <f>BN150*BN225</f>
        <v>67.146111403720184</v>
      </c>
      <c r="BO153" s="2312"/>
      <c r="BP153" s="2313">
        <f>BP150*BP225</f>
        <v>75.611624503178064</v>
      </c>
      <c r="BQ153" s="2312">
        <f>BQ150*BQ225</f>
        <v>112.64913276054816</v>
      </c>
      <c r="BR153" s="2312">
        <f>BR150*BR225</f>
        <v>67.669636622387983</v>
      </c>
      <c r="BS153" s="2314">
        <f>BS150*BS225</f>
        <v>67.428313129278592</v>
      </c>
      <c r="BT153" s="2312"/>
      <c r="BU153" s="2313">
        <f>BU150*BU225</f>
        <v>75.815856325362603</v>
      </c>
      <c r="BV153" s="2312">
        <f>BV150*BV225</f>
        <v>112.88819260530073</v>
      </c>
      <c r="BW153" s="2312">
        <f>BW150*BW225</f>
        <v>67.775015445699609</v>
      </c>
      <c r="BX153" s="2314">
        <f>BX150*BX225</f>
        <v>67.496134919265984</v>
      </c>
      <c r="BY153" s="2317"/>
      <c r="BZ153" s="2318"/>
      <c r="CA153" s="2318"/>
      <c r="CB153" s="2319">
        <f>P153+Q153+R153+S153</f>
        <v>0</v>
      </c>
      <c r="CC153" s="2319">
        <f>T153+U153+V153+W153</f>
        <v>0</v>
      </c>
      <c r="CD153" s="2316">
        <f>X153+Y153+Z153+AA153</f>
        <v>0</v>
      </c>
      <c r="CE153" s="2316">
        <f>AB153+AC153+AD153+AE153</f>
        <v>0</v>
      </c>
      <c r="CF153" s="2316">
        <f>SUM(AF153:AI153)</f>
        <v>0</v>
      </c>
      <c r="CG153" s="2316">
        <f>SUM(AJ153:AM153)</f>
        <v>175.14155132200361</v>
      </c>
      <c r="CH153" s="2316">
        <f>SUM(AN153:AQ153)</f>
        <v>252.84302353866664</v>
      </c>
      <c r="CI153" s="2316">
        <f>SUM(AR153:AU153)</f>
        <v>315.92503225938873</v>
      </c>
      <c r="CJ153" s="2316">
        <f>SUM(AV153:AY153)</f>
        <v>330.81289414870429</v>
      </c>
      <c r="CK153" s="2316">
        <f>SUM(BA153:BD153)</f>
        <v>328.61752086781985</v>
      </c>
      <c r="CL153" s="2316">
        <f>SUM(BF153:BI153)</f>
        <v>331.50068789239742</v>
      </c>
      <c r="CM153" s="2316">
        <f>SUM(BG153:BK153)</f>
        <v>330.36466937416833</v>
      </c>
      <c r="CN153" s="2315"/>
      <c r="CO153" s="2315"/>
      <c r="CP153" s="2317"/>
      <c r="CQ153" s="2318"/>
      <c r="CR153" s="2318">
        <f>F153+G153+H153+I153</f>
        <v>0</v>
      </c>
      <c r="CS153" s="2318">
        <f>J153+K153+L153+M153</f>
        <v>0</v>
      </c>
      <c r="CT153" s="2319">
        <f>N153+O153+P153+Q153</f>
        <v>0</v>
      </c>
      <c r="CU153" s="2319">
        <f>R153+S153+T153+U153</f>
        <v>0</v>
      </c>
      <c r="CV153" s="2319">
        <f>V153+W153+X153+Y153</f>
        <v>0</v>
      </c>
      <c r="CW153" s="2319">
        <f>Z153+AA153+AB153+AC153</f>
        <v>0</v>
      </c>
      <c r="CX153" s="2318">
        <f>SUM(AD153:AG153)</f>
        <v>0</v>
      </c>
      <c r="CY153" s="2318">
        <f>(SUM(AH153:AK153)/SUM(AH150:AK150))*CY150</f>
        <v>119.85023265555263</v>
      </c>
      <c r="CZ153" s="2318">
        <f>(SUM(AL153:AO153)/SUM(AL150:AO150))*CZ150</f>
        <v>187.09245284311766</v>
      </c>
      <c r="DA153" s="2318">
        <f>(SUM(AP153:AS153)/SUM(AP150:AS150))*DA150</f>
        <v>307.86762015245858</v>
      </c>
      <c r="DB153" s="2318">
        <f>SUM(AT153:AW153)</f>
        <v>322.25145049795697</v>
      </c>
      <c r="DC153" s="2318">
        <f>SUM(AX153:BB153)</f>
        <v>329.74536178318539</v>
      </c>
      <c r="DD153" s="2318">
        <f>SUM(BC153:BG153)</f>
        <v>330.6070439585298</v>
      </c>
      <c r="DE153" s="2318">
        <f>SUM(BD153:BH153)</f>
        <v>331.40553911308803</v>
      </c>
      <c r="DF153" s="2312"/>
    </row>
    <row r="154" spans="1:110" s="1715" customFormat="1" hidden="1" outlineLevel="1">
      <c r="A154" s="2343"/>
      <c r="B154" s="2318"/>
      <c r="C154" s="2318"/>
      <c r="D154" s="2318"/>
      <c r="E154" s="2318"/>
      <c r="F154" s="2318"/>
      <c r="G154" s="2318"/>
      <c r="H154" s="2318"/>
      <c r="I154" s="2318"/>
      <c r="J154" s="2318"/>
      <c r="K154" s="2318"/>
      <c r="L154" s="2313"/>
      <c r="M154" s="2312"/>
      <c r="N154" s="2312"/>
      <c r="O154" s="2314"/>
      <c r="P154" s="2290"/>
      <c r="Q154" s="2315"/>
      <c r="R154" s="2315"/>
      <c r="S154" s="2316"/>
      <c r="T154" s="2290"/>
      <c r="U154" s="2315"/>
      <c r="V154" s="2315"/>
      <c r="W154" s="2316"/>
      <c r="X154" s="2290"/>
      <c r="Y154" s="2315"/>
      <c r="Z154" s="2315"/>
      <c r="AA154" s="2315"/>
      <c r="AB154" s="2313"/>
      <c r="AC154" s="2312"/>
      <c r="AD154" s="2312"/>
      <c r="AE154" s="2314"/>
      <c r="AF154" s="2313"/>
      <c r="AG154" s="2312"/>
      <c r="AH154" s="2312"/>
      <c r="AI154" s="2314"/>
      <c r="AJ154" s="2313"/>
      <c r="AK154" s="2312"/>
      <c r="AL154" s="2312"/>
      <c r="AM154" s="2314"/>
      <c r="AN154" s="2313"/>
      <c r="AO154" s="2312"/>
      <c r="AP154" s="2312"/>
      <c r="AQ154" s="2314"/>
      <c r="AR154" s="2313"/>
      <c r="AS154" s="2312"/>
      <c r="AT154" s="2312"/>
      <c r="AU154" s="2314"/>
      <c r="AV154" s="2313"/>
      <c r="AW154" s="2312"/>
      <c r="AX154" s="2312"/>
      <c r="AY154" s="2314"/>
      <c r="AZ154" s="2312"/>
      <c r="BA154" s="2313"/>
      <c r="BB154" s="2312"/>
      <c r="BC154" s="1710"/>
      <c r="BD154" s="2314"/>
      <c r="BE154" s="2312"/>
      <c r="BF154" s="2313"/>
      <c r="BG154" s="2312"/>
      <c r="BH154" s="2312"/>
      <c r="BI154" s="2314"/>
      <c r="BJ154" s="2312"/>
      <c r="BK154" s="2313"/>
      <c r="BL154" s="2312"/>
      <c r="BM154" s="2312"/>
      <c r="BN154" s="2314"/>
      <c r="BO154" s="2312"/>
      <c r="BP154" s="2313"/>
      <c r="BQ154" s="2312"/>
      <c r="BR154" s="2312"/>
      <c r="BS154" s="2314"/>
      <c r="BT154" s="2312"/>
      <c r="BU154" s="2313"/>
      <c r="BV154" s="2312"/>
      <c r="BW154" s="2312"/>
      <c r="BX154" s="2314"/>
      <c r="BY154" s="2317"/>
      <c r="BZ154" s="2318"/>
      <c r="CA154" s="2318"/>
      <c r="CB154" s="2319"/>
      <c r="CC154" s="2319"/>
      <c r="CD154" s="2316"/>
      <c r="CE154" s="2316"/>
      <c r="CF154" s="2316"/>
      <c r="CG154" s="2316"/>
      <c r="CH154" s="2316"/>
      <c r="CI154" s="2316"/>
      <c r="CJ154" s="2316"/>
      <c r="CK154" s="2316"/>
      <c r="CL154" s="2316"/>
      <c r="CM154" s="2316"/>
      <c r="CN154" s="2315"/>
      <c r="CO154" s="2315"/>
      <c r="CP154" s="2317"/>
      <c r="CQ154" s="2318"/>
      <c r="CR154" s="2318"/>
      <c r="CS154" s="2318"/>
      <c r="CT154" s="2319"/>
      <c r="CU154" s="2319"/>
      <c r="CV154" s="2319"/>
      <c r="CW154" s="2319"/>
      <c r="CX154" s="2318"/>
      <c r="CY154" s="2302"/>
      <c r="CZ154" s="2261"/>
      <c r="DA154" s="2302"/>
      <c r="DB154" s="2302"/>
      <c r="DC154" s="2302"/>
      <c r="DD154" s="2300"/>
      <c r="DE154" s="2300"/>
      <c r="DF154" s="2298"/>
    </row>
    <row r="155" spans="1:110" s="1715" customFormat="1" hidden="1" outlineLevel="1">
      <c r="A155" s="2345" t="s">
        <v>315</v>
      </c>
      <c r="B155" s="2259"/>
      <c r="C155" s="2259"/>
      <c r="D155" s="2259"/>
      <c r="E155" s="2259"/>
      <c r="F155" s="2259"/>
      <c r="G155" s="2259"/>
      <c r="H155" s="2259"/>
      <c r="I155" s="2259"/>
      <c r="J155" s="2259"/>
      <c r="K155" s="2259"/>
      <c r="L155" s="2264"/>
      <c r="M155" s="2239"/>
      <c r="N155" s="2239"/>
      <c r="O155" s="2260"/>
      <c r="P155" s="2287"/>
      <c r="Q155" s="2288"/>
      <c r="R155" s="2288"/>
      <c r="S155" s="2289"/>
      <c r="T155" s="2287"/>
      <c r="U155" s="2288"/>
      <c r="V155" s="2288"/>
      <c r="W155" s="2289"/>
      <c r="X155" s="2268"/>
      <c r="Y155" s="2335"/>
      <c r="Z155" s="2335"/>
      <c r="AA155" s="2336"/>
      <c r="AB155" s="2337"/>
      <c r="AC155" s="2338"/>
      <c r="AD155" s="2338"/>
      <c r="AE155" s="2339"/>
      <c r="AF155" s="2337"/>
      <c r="AG155" s="2338"/>
      <c r="AH155" s="2338"/>
      <c r="AI155" s="2339"/>
      <c r="AJ155" s="2337"/>
      <c r="AK155" s="2338"/>
      <c r="AL155" s="2338"/>
      <c r="AM155" s="2339"/>
      <c r="AN155" s="2337"/>
      <c r="AO155" s="2338"/>
      <c r="AP155" s="2338"/>
      <c r="AQ155" s="2339"/>
      <c r="AR155" s="2337"/>
      <c r="AS155" s="2338"/>
      <c r="AT155" s="2338"/>
      <c r="AU155" s="2339"/>
      <c r="AV155" s="2337"/>
      <c r="AW155" s="2338"/>
      <c r="AX155" s="2338"/>
      <c r="AY155" s="2339"/>
      <c r="AZ155" s="2338"/>
      <c r="BA155" s="2337"/>
      <c r="BB155" s="2338"/>
      <c r="BC155" s="2608"/>
      <c r="BD155" s="2339"/>
      <c r="BE155" s="2338"/>
      <c r="BF155" s="2337"/>
      <c r="BG155" s="2338"/>
      <c r="BH155" s="2338"/>
      <c r="BI155" s="2339"/>
      <c r="BJ155" s="2338"/>
      <c r="BK155" s="2337"/>
      <c r="BL155" s="2338"/>
      <c r="BM155" s="2338"/>
      <c r="BN155" s="2339"/>
      <c r="BO155" s="2338"/>
      <c r="BP155" s="2337"/>
      <c r="BQ155" s="2338"/>
      <c r="BR155" s="2338"/>
      <c r="BS155" s="2339"/>
      <c r="BT155" s="2338"/>
      <c r="BU155" s="2337"/>
      <c r="BV155" s="2338"/>
      <c r="BW155" s="2338"/>
      <c r="BX155" s="2339"/>
      <c r="BY155" s="2244"/>
      <c r="BZ155" s="2259"/>
      <c r="CA155" s="2259"/>
      <c r="CB155" s="2291"/>
      <c r="CC155" s="2291"/>
      <c r="CD155" s="2289"/>
      <c r="CE155" s="2289"/>
      <c r="CF155" s="2289"/>
      <c r="CG155" s="2289"/>
      <c r="CH155" s="2289"/>
      <c r="CI155" s="2289"/>
      <c r="CJ155" s="2289"/>
      <c r="CK155" s="2289"/>
      <c r="CL155" s="2289"/>
      <c r="CM155" s="2289"/>
      <c r="CN155" s="2288"/>
      <c r="CO155" s="2288"/>
      <c r="CP155" s="2244"/>
      <c r="CQ155" s="2259"/>
      <c r="CR155" s="2259"/>
      <c r="CS155" s="2259"/>
      <c r="CT155" s="2291"/>
      <c r="CU155" s="2291"/>
      <c r="CV155" s="2291"/>
      <c r="CW155" s="2291"/>
      <c r="CX155" s="2259"/>
      <c r="CY155" s="2259"/>
      <c r="CZ155" s="2259"/>
      <c r="DA155" s="2259"/>
      <c r="DB155" s="2259"/>
      <c r="DC155" s="2259"/>
      <c r="DD155" s="2259"/>
      <c r="DE155" s="2259"/>
      <c r="DF155" s="2239"/>
    </row>
    <row r="156" spans="1:110" s="1715" customFormat="1" hidden="1" outlineLevel="1">
      <c r="A156" s="2340" t="s">
        <v>289</v>
      </c>
      <c r="B156" s="2259"/>
      <c r="C156" s="2259"/>
      <c r="D156" s="2259"/>
      <c r="E156" s="2259"/>
      <c r="F156" s="2261"/>
      <c r="G156" s="2261"/>
      <c r="H156" s="2261"/>
      <c r="I156" s="2261"/>
      <c r="J156" s="2261"/>
      <c r="K156" s="2261"/>
      <c r="L156" s="2295"/>
      <c r="M156" s="2294"/>
      <c r="N156" s="2294"/>
      <c r="O156" s="2296"/>
      <c r="P156" s="2297"/>
      <c r="Q156" s="2298"/>
      <c r="R156" s="2298"/>
      <c r="S156" s="2299"/>
      <c r="T156" s="2297"/>
      <c r="U156" s="2298"/>
      <c r="V156" s="2298"/>
      <c r="W156" s="2298"/>
      <c r="X156" s="2297"/>
      <c r="Y156" s="2298">
        <f t="shared" ref="Y156:BD156" si="270">Y157*Y$11</f>
        <v>6.9642552868583341</v>
      </c>
      <c r="Z156" s="2298">
        <f t="shared" si="270"/>
        <v>9.0907135279049527</v>
      </c>
      <c r="AA156" s="2299">
        <f t="shared" si="270"/>
        <v>12.427482792967506</v>
      </c>
      <c r="AB156" s="2295">
        <f t="shared" si="270"/>
        <v>15.563484944215862</v>
      </c>
      <c r="AC156" s="2294">
        <f t="shared" si="270"/>
        <v>18.61384936085625</v>
      </c>
      <c r="AD156" s="2294">
        <f t="shared" si="270"/>
        <v>17.207626234475711</v>
      </c>
      <c r="AE156" s="2296">
        <f t="shared" si="270"/>
        <v>18.384726145031362</v>
      </c>
      <c r="AF156" s="2295">
        <f t="shared" si="270"/>
        <v>20.73486368007498</v>
      </c>
      <c r="AG156" s="2294">
        <f t="shared" si="270"/>
        <v>19.977809850666194</v>
      </c>
      <c r="AH156" s="2294">
        <f t="shared" si="270"/>
        <v>19.480955658539276</v>
      </c>
      <c r="AI156" s="2296">
        <f t="shared" si="270"/>
        <v>19.471897219545152</v>
      </c>
      <c r="AJ156" s="2295">
        <f t="shared" si="270"/>
        <v>20.558041290139109</v>
      </c>
      <c r="AK156" s="2294">
        <f t="shared" si="270"/>
        <v>16.812584602352658</v>
      </c>
      <c r="AL156" s="2294">
        <f t="shared" si="270"/>
        <v>9.9034991010819482</v>
      </c>
      <c r="AM156" s="2296">
        <f t="shared" si="270"/>
        <v>8.4163648911537798</v>
      </c>
      <c r="AN156" s="2295">
        <f t="shared" si="270"/>
        <v>6.868160341276452</v>
      </c>
      <c r="AO156" s="2294">
        <f t="shared" si="270"/>
        <v>4.6462856727508131</v>
      </c>
      <c r="AP156" s="2294">
        <f t="shared" si="270"/>
        <v>3.9992458027056901</v>
      </c>
      <c r="AQ156" s="2296">
        <f t="shared" si="270"/>
        <v>1.9699755072117928</v>
      </c>
      <c r="AR156" s="2295">
        <f t="shared" si="270"/>
        <v>1.3353173180375013</v>
      </c>
      <c r="AS156" s="2294">
        <f t="shared" si="270"/>
        <v>3.3589323590399953</v>
      </c>
      <c r="AT156" s="2294">
        <f t="shared" si="270"/>
        <v>1.8622236600253987</v>
      </c>
      <c r="AU156" s="2296">
        <f t="shared" si="270"/>
        <v>2.6640754562038755</v>
      </c>
      <c r="AV156" s="2295">
        <f t="shared" si="270"/>
        <v>1.6092583097499993</v>
      </c>
      <c r="AW156" s="2294">
        <f t="shared" si="270"/>
        <v>1.8537799540000022</v>
      </c>
      <c r="AX156" s="2294">
        <f t="shared" si="270"/>
        <v>0.7787398840000006</v>
      </c>
      <c r="AY156" s="2296">
        <f t="shared" si="270"/>
        <v>1.8316008481154618</v>
      </c>
      <c r="AZ156" s="2294"/>
      <c r="BA156" s="2295">
        <f t="shared" si="270"/>
        <v>0</v>
      </c>
      <c r="BB156" s="2294">
        <f t="shared" si="270"/>
        <v>0</v>
      </c>
      <c r="BC156" s="2598">
        <f t="shared" si="270"/>
        <v>0</v>
      </c>
      <c r="BD156" s="2296">
        <f t="shared" si="270"/>
        <v>0</v>
      </c>
      <c r="BE156" s="2294"/>
      <c r="BF156" s="2295">
        <v>0</v>
      </c>
      <c r="BG156" s="2294">
        <v>0</v>
      </c>
      <c r="BH156" s="2294">
        <v>0</v>
      </c>
      <c r="BI156" s="2296">
        <v>0</v>
      </c>
      <c r="BJ156" s="2294"/>
      <c r="BK156" s="2295">
        <v>0</v>
      </c>
      <c r="BL156" s="2294">
        <v>0</v>
      </c>
      <c r="BM156" s="2294">
        <v>0</v>
      </c>
      <c r="BN156" s="2296">
        <v>0</v>
      </c>
      <c r="BO156" s="2294"/>
      <c r="BP156" s="2295">
        <v>0</v>
      </c>
      <c r="BQ156" s="2294">
        <v>0</v>
      </c>
      <c r="BR156" s="2294">
        <v>0</v>
      </c>
      <c r="BS156" s="2296">
        <v>0</v>
      </c>
      <c r="BT156" s="2294"/>
      <c r="BU156" s="2295">
        <v>0</v>
      </c>
      <c r="BV156" s="2294">
        <v>0</v>
      </c>
      <c r="BW156" s="2294">
        <v>0</v>
      </c>
      <c r="BX156" s="2296">
        <v>0</v>
      </c>
      <c r="BY156" s="2244"/>
      <c r="BZ156" s="2261"/>
      <c r="CA156" s="2261"/>
      <c r="CB156" s="2300">
        <f>P156+Q156+R156+S156</f>
        <v>0</v>
      </c>
      <c r="CC156" s="2300">
        <f>T156+U156+V156+W156</f>
        <v>0</v>
      </c>
      <c r="CD156" s="2299">
        <f>X156+Y156+Z156+AA156</f>
        <v>28.482451607730791</v>
      </c>
      <c r="CE156" s="2299">
        <f>AB156+AC156+AD156+AE156</f>
        <v>69.769686684579185</v>
      </c>
      <c r="CF156" s="2299">
        <f>SUM(AF156:AI156)</f>
        <v>79.665526408825599</v>
      </c>
      <c r="CG156" s="2299">
        <f>SUM(AJ156:AM156)</f>
        <v>55.690489884727498</v>
      </c>
      <c r="CH156" s="2299">
        <f>SUM(AN156:AQ156)</f>
        <v>17.483667323944747</v>
      </c>
      <c r="CI156" s="2299">
        <f>SUM(AR156:AU156)</f>
        <v>9.2205487933067705</v>
      </c>
      <c r="CJ156" s="2299">
        <f>SUM(AV156:AY156)</f>
        <v>6.0733789958654647</v>
      </c>
      <c r="CK156" s="2299">
        <f>SUM(BA156:BD156)</f>
        <v>0</v>
      </c>
      <c r="CL156" s="2299">
        <f>SUM(BF156:BI156)</f>
        <v>0</v>
      </c>
      <c r="CM156" s="2299">
        <f>SUM(BG156:BK156)</f>
        <v>0</v>
      </c>
      <c r="CN156" s="2298"/>
      <c r="CO156" s="2298"/>
      <c r="CP156" s="2301"/>
      <c r="CQ156" s="2261"/>
      <c r="CR156" s="2261">
        <f>F156+G156+H156+I156</f>
        <v>0</v>
      </c>
      <c r="CS156" s="2261">
        <f>J156+K156+L156+M156</f>
        <v>0</v>
      </c>
      <c r="CT156" s="2300">
        <f>N156+O156+P156+Q156</f>
        <v>0</v>
      </c>
      <c r="CU156" s="2300">
        <f>R156+S156+T156+U156</f>
        <v>0</v>
      </c>
      <c r="CV156" s="2300">
        <f>V156+W156+X156+Y156</f>
        <v>6.9642552868583341</v>
      </c>
      <c r="CW156" s="2300">
        <f>Z156+AA156+AB156+AC156</f>
        <v>55.695530625944571</v>
      </c>
      <c r="CX156" s="2302">
        <f>AD156+AE156+AF156+AG156</f>
        <v>76.305025910248247</v>
      </c>
      <c r="CY156" s="2302">
        <f>SUM(AH156:AK156)</f>
        <v>76.323478770576202</v>
      </c>
      <c r="CZ156" s="2302">
        <f>SUM(AL156:AO156)</f>
        <v>29.834310006262996</v>
      </c>
      <c r="DA156" s="2302">
        <f>SUM(AP156:AS156)</f>
        <v>10.66347098699498</v>
      </c>
      <c r="DB156" s="2302">
        <f>SUM(AT156:AW156)</f>
        <v>7.9893373799792755</v>
      </c>
      <c r="DC156" s="2302">
        <f>SUM(AX156:BB156)</f>
        <v>2.6103407321154624</v>
      </c>
      <c r="DD156" s="2300">
        <f>SUM(BC156:BG156)</f>
        <v>0</v>
      </c>
      <c r="DE156" s="2300">
        <f>SUM(BD156:BH156)</f>
        <v>0</v>
      </c>
      <c r="DF156" s="2298"/>
    </row>
    <row r="157" spans="1:110" s="1715" customFormat="1" hidden="1" outlineLevel="2">
      <c r="A157" s="2341" t="s">
        <v>15</v>
      </c>
      <c r="B157" s="2259"/>
      <c r="C157" s="2259"/>
      <c r="D157" s="2259"/>
      <c r="E157" s="2259"/>
      <c r="F157" s="2307"/>
      <c r="G157" s="2307"/>
      <c r="H157" s="2307"/>
      <c r="I157" s="2307"/>
      <c r="J157" s="2307"/>
      <c r="K157" s="2307"/>
      <c r="L157" s="2304"/>
      <c r="M157" s="2273"/>
      <c r="N157" s="2273"/>
      <c r="O157" s="2305"/>
      <c r="P157" s="2265"/>
      <c r="Q157" s="2266"/>
      <c r="R157" s="2266"/>
      <c r="S157" s="2267"/>
      <c r="T157" s="2265"/>
      <c r="U157" s="2266"/>
      <c r="V157" s="2266"/>
      <c r="W157" s="2267"/>
      <c r="X157" s="2265"/>
      <c r="Y157" s="2266">
        <v>0.1</v>
      </c>
      <c r="Z157" s="2266">
        <v>0.15</v>
      </c>
      <c r="AA157" s="2267">
        <v>0.2</v>
      </c>
      <c r="AB157" s="2304">
        <v>0.25</v>
      </c>
      <c r="AC157" s="2273">
        <v>0.28000000000000003</v>
      </c>
      <c r="AD157" s="2273">
        <v>0.28999999999999998</v>
      </c>
      <c r="AE157" s="2305">
        <v>0.29499999999999998</v>
      </c>
      <c r="AF157" s="2304">
        <v>0.31</v>
      </c>
      <c r="AG157" s="2273">
        <v>0.31</v>
      </c>
      <c r="AH157" s="2273">
        <v>0.315</v>
      </c>
      <c r="AI157" s="2305">
        <v>0.31</v>
      </c>
      <c r="AJ157" s="2304">
        <f>31.5%-AJ163</f>
        <v>0.315</v>
      </c>
      <c r="AK157" s="2273">
        <f>35.5%-AK163</f>
        <v>0.255</v>
      </c>
      <c r="AL157" s="2273">
        <f>32.5%-AL163</f>
        <v>0.17500000000000002</v>
      </c>
      <c r="AM157" s="2305">
        <f>30%-AM163</f>
        <v>0.15</v>
      </c>
      <c r="AN157" s="2304">
        <f>37.9%-AN163</f>
        <v>0.11899999999999999</v>
      </c>
      <c r="AO157" s="2273">
        <f>42.3%-AO163</f>
        <v>7.3000000000000009E-2</v>
      </c>
      <c r="AP157" s="2273">
        <f>40%-AP163</f>
        <v>7.0000000000000007E-2</v>
      </c>
      <c r="AQ157" s="2273">
        <f>36.5%-AQ163</f>
        <v>3.4999999999999976E-2</v>
      </c>
      <c r="AR157" s="2304">
        <f>38.45%-AR163</f>
        <v>2.4500000000000022E-2</v>
      </c>
      <c r="AS157" s="2354">
        <f>43.8%-AS163</f>
        <v>5.799999999999994E-2</v>
      </c>
      <c r="AT157" s="2354">
        <f>44%-AT163</f>
        <v>3.999999999999998E-2</v>
      </c>
      <c r="AU157" s="2355">
        <f>40%-AU163</f>
        <v>0.06</v>
      </c>
      <c r="AV157" s="2356">
        <f>41.5%-AV163</f>
        <v>3.4999999999999976E-2</v>
      </c>
      <c r="AW157" s="2357">
        <f>40%-AW163</f>
        <v>4.0000000000000036E-2</v>
      </c>
      <c r="AX157" s="2357">
        <f>39%-AX163</f>
        <v>2.0000000000000018E-2</v>
      </c>
      <c r="AY157" s="2358">
        <f>38.5%-AY163</f>
        <v>4.4999999999999984E-2</v>
      </c>
      <c r="AZ157" s="2357"/>
      <c r="BA157" s="2304">
        <v>0</v>
      </c>
      <c r="BB157" s="2273">
        <v>0</v>
      </c>
      <c r="BC157" s="188">
        <v>0</v>
      </c>
      <c r="BD157" s="2305">
        <v>0</v>
      </c>
      <c r="BE157" s="2273"/>
      <c r="BF157" s="2273">
        <v>0</v>
      </c>
      <c r="BG157" s="2273">
        <v>0</v>
      </c>
      <c r="BH157" s="2273">
        <v>0</v>
      </c>
      <c r="BI157" s="2273">
        <v>0</v>
      </c>
      <c r="BJ157" s="2273"/>
      <c r="BK157" s="2273">
        <v>0</v>
      </c>
      <c r="BL157" s="2273">
        <v>0</v>
      </c>
      <c r="BM157" s="2273">
        <v>0</v>
      </c>
      <c r="BN157" s="2273">
        <v>0</v>
      </c>
      <c r="BO157" s="2273"/>
      <c r="BP157" s="2273">
        <v>0</v>
      </c>
      <c r="BQ157" s="2273">
        <v>0</v>
      </c>
      <c r="BR157" s="2273">
        <v>0</v>
      </c>
      <c r="BS157" s="2273">
        <v>0</v>
      </c>
      <c r="BT157" s="2273"/>
      <c r="BU157" s="2273">
        <v>0</v>
      </c>
      <c r="BV157" s="2273">
        <v>0</v>
      </c>
      <c r="BW157" s="2273">
        <v>0</v>
      </c>
      <c r="BX157" s="2273">
        <v>0</v>
      </c>
      <c r="BY157" s="2306"/>
      <c r="BZ157" s="2307"/>
      <c r="CA157" s="2307"/>
      <c r="CB157" s="2308">
        <f t="shared" ref="CB157:CI157" si="271">CB156/CB$167</f>
        <v>0</v>
      </c>
      <c r="CC157" s="2308">
        <f t="shared" si="271"/>
        <v>0</v>
      </c>
      <c r="CD157" s="2267">
        <f t="shared" si="271"/>
        <v>0.11304684547779825</v>
      </c>
      <c r="CE157" s="2267">
        <f t="shared" si="271"/>
        <v>0.27864437251472179</v>
      </c>
      <c r="CF157" s="2267">
        <f t="shared" si="271"/>
        <v>0.31120795280013475</v>
      </c>
      <c r="CG157" s="2267">
        <f t="shared" si="271"/>
        <v>0.22230788502117557</v>
      </c>
      <c r="CH157" s="2267">
        <f t="shared" si="271"/>
        <v>6.9639938528332446E-2</v>
      </c>
      <c r="CI157" s="2267">
        <f t="shared" si="271"/>
        <v>4.0672284999540537E-2</v>
      </c>
      <c r="CJ157" s="2267">
        <f>CJ156/CJ$167</f>
        <v>3.0607535324335244E-2</v>
      </c>
      <c r="CK157" s="2267">
        <f>CK156/CK$167</f>
        <v>0</v>
      </c>
      <c r="CL157" s="2267">
        <f>CL156/CL$167</f>
        <v>0</v>
      </c>
      <c r="CM157" s="2267">
        <f>CM156/CM$167</f>
        <v>0</v>
      </c>
      <c r="CN157" s="2266"/>
      <c r="CO157" s="2266"/>
      <c r="CP157" s="2306"/>
      <c r="CQ157" s="2307"/>
      <c r="CR157" s="2307">
        <f t="shared" ref="CR157:CX157" si="272">CR156/CR$167</f>
        <v>0</v>
      </c>
      <c r="CS157" s="2307">
        <f t="shared" si="272"/>
        <v>0</v>
      </c>
      <c r="CT157" s="2308">
        <f t="shared" si="272"/>
        <v>0</v>
      </c>
      <c r="CU157" s="2308">
        <f t="shared" si="272"/>
        <v>0</v>
      </c>
      <c r="CV157" s="2308">
        <f t="shared" si="272"/>
        <v>3.094917158429436E-2</v>
      </c>
      <c r="CW157" s="2308">
        <f t="shared" si="272"/>
        <v>0.22147617140384626</v>
      </c>
      <c r="CX157" s="2308">
        <f t="shared" si="272"/>
        <v>0.30161406296700716</v>
      </c>
      <c r="CY157" s="2308">
        <f>SUM(AH156:AK156)/SUM(AH$11:AK$11)</f>
        <v>0.29831081354511862</v>
      </c>
      <c r="CZ157" s="2308">
        <f>SUM(AL156:AO156)/SUM(AL$11:AO$11)</f>
        <v>0.12746224171329545</v>
      </c>
      <c r="DA157" s="2308">
        <f>SUM(AP156:AS156)/SUM(AP$11:AS$11)</f>
        <v>4.7218501818051921E-2</v>
      </c>
      <c r="DB157" s="2308">
        <f>DB156/DB$167</f>
        <v>3.8240330899865387E-2</v>
      </c>
      <c r="DC157" s="2308">
        <f>DC156/DC$167</f>
        <v>1.3376619556937577E-2</v>
      </c>
      <c r="DD157" s="2308">
        <f>DD156/DD$167</f>
        <v>0</v>
      </c>
      <c r="DE157" s="2308">
        <f>DE156/DE$167</f>
        <v>0</v>
      </c>
      <c r="DF157" s="2266"/>
    </row>
    <row r="158" spans="1:110" s="1715" customFormat="1" hidden="1" outlineLevel="2">
      <c r="A158" s="2342" t="s">
        <v>121</v>
      </c>
      <c r="B158" s="2259"/>
      <c r="C158" s="2259"/>
      <c r="D158" s="2259"/>
      <c r="E158" s="2259"/>
      <c r="F158" s="2259"/>
      <c r="G158" s="2259"/>
      <c r="H158" s="2259"/>
      <c r="I158" s="2259"/>
      <c r="J158" s="2245"/>
      <c r="K158" s="2245"/>
      <c r="L158" s="2256"/>
      <c r="M158" s="2250"/>
      <c r="N158" s="2250"/>
      <c r="O158" s="2257"/>
      <c r="P158" s="2310"/>
      <c r="Q158" s="2271"/>
      <c r="R158" s="2271"/>
      <c r="S158" s="2309"/>
      <c r="T158" s="2310"/>
      <c r="U158" s="2271"/>
      <c r="V158" s="2271"/>
      <c r="W158" s="2309"/>
      <c r="X158" s="2310"/>
      <c r="Y158" s="2271" t="str">
        <f t="shared" ref="Y158:AS158" si="273">IF(OR(Y156=0,U156=0),"NM",Y156/U156-1)</f>
        <v>NM</v>
      </c>
      <c r="Z158" s="2271" t="str">
        <f t="shared" si="273"/>
        <v>NM</v>
      </c>
      <c r="AA158" s="2309" t="str">
        <f t="shared" si="273"/>
        <v>NM</v>
      </c>
      <c r="AB158" s="2256" t="str">
        <f t="shared" si="273"/>
        <v>NM</v>
      </c>
      <c r="AC158" s="2250">
        <f t="shared" si="273"/>
        <v>1.6727695344512852</v>
      </c>
      <c r="AD158" s="2250">
        <f t="shared" si="273"/>
        <v>0.89287960528675714</v>
      </c>
      <c r="AE158" s="2257">
        <f t="shared" si="273"/>
        <v>0.47936041846181077</v>
      </c>
      <c r="AF158" s="2256">
        <f t="shared" si="273"/>
        <v>0.33227639917376295</v>
      </c>
      <c r="AG158" s="2250">
        <f t="shared" si="273"/>
        <v>7.3276648121922916E-2</v>
      </c>
      <c r="AH158" s="2250">
        <f t="shared" si="273"/>
        <v>0.13211173889335881</v>
      </c>
      <c r="AI158" s="2257">
        <f t="shared" si="273"/>
        <v>5.9134472057806864E-2</v>
      </c>
      <c r="AJ158" s="2256">
        <f t="shared" si="273"/>
        <v>-8.527781646608501E-3</v>
      </c>
      <c r="AK158" s="2250">
        <f t="shared" si="273"/>
        <v>-0.15843704950510307</v>
      </c>
      <c r="AL158" s="2250">
        <f t="shared" si="273"/>
        <v>-0.49163176208242887</v>
      </c>
      <c r="AM158" s="2257">
        <f t="shared" si="273"/>
        <v>-0.56776862591973054</v>
      </c>
      <c r="AN158" s="2256">
        <f t="shared" si="273"/>
        <v>-0.66591368096089765</v>
      </c>
      <c r="AO158" s="2250">
        <f t="shared" si="273"/>
        <v>-0.72364239153921406</v>
      </c>
      <c r="AP158" s="2250">
        <f t="shared" si="273"/>
        <v>-0.59617850601220579</v>
      </c>
      <c r="AQ158" s="2257">
        <f t="shared" si="273"/>
        <v>-0.76593511181028018</v>
      </c>
      <c r="AR158" s="2256">
        <f t="shared" si="273"/>
        <v>-0.80557860450454599</v>
      </c>
      <c r="AS158" s="2250">
        <f t="shared" si="273"/>
        <v>-0.27707149417453836</v>
      </c>
      <c r="AT158" s="2250">
        <f>IF(OR(AT156=0,AP156=0),"NM",AT156/AP156-1)</f>
        <v>-0.53435628818675984</v>
      </c>
      <c r="AU158" s="2257" t="s">
        <v>836</v>
      </c>
      <c r="AV158" s="2256">
        <f t="shared" ref="AV158:AY158" si="274">IF(OR(AV156=0,AR156=0),"NM",AV156/AR156-1)</f>
        <v>0.20515048222029009</v>
      </c>
      <c r="AW158" s="2250">
        <f t="shared" si="274"/>
        <v>-0.44810441061402484</v>
      </c>
      <c r="AX158" s="2250">
        <f t="shared" si="274"/>
        <v>-0.5818225808658346</v>
      </c>
      <c r="AY158" s="2257">
        <f t="shared" si="274"/>
        <v>-0.31248161764705906</v>
      </c>
      <c r="AZ158" s="2250"/>
      <c r="BA158" s="2256" t="str">
        <f>IF(OR(BA156=0,AV156=0),"NM",BA156/AV156-1)</f>
        <v>NM</v>
      </c>
      <c r="BB158" s="2250" t="str">
        <f>IF(OR(BB156=0,AW156=0),"NM",BB156/AW156-1)</f>
        <v>NM</v>
      </c>
      <c r="BC158" s="2603" t="str">
        <f>IF(OR(BC156=0,AX156=0),"NM",BC156/AX156-1)</f>
        <v>NM</v>
      </c>
      <c r="BD158" s="2257" t="str">
        <f>IF(OR(BD156=0,AY156=0),"NM",BD156/AY156-1)</f>
        <v>NM</v>
      </c>
      <c r="BE158" s="2250"/>
      <c r="BF158" s="2256" t="str">
        <f>IF(OR(BF156=0,BA156=0),"NM",BF156/BA156-1)</f>
        <v>NM</v>
      </c>
      <c r="BG158" s="2250" t="str">
        <f>IF(OR(BG156=0,BB156=0),"NM",BG156/BB156-1)</f>
        <v>NM</v>
      </c>
      <c r="BH158" s="2250" t="str">
        <f>IF(OR(BH156=0,BC156=0),"NM",BH156/BC156-1)</f>
        <v>NM</v>
      </c>
      <c r="BI158" s="2257" t="str">
        <f>IF(OR(BI156=0,BD156=0),"NM",BI156/BD156-1)</f>
        <v>NM</v>
      </c>
      <c r="BJ158" s="2250"/>
      <c r="BK158" s="2256" t="str">
        <f>IF(OR(BK156=0,BF156=0),"NM",BK156/BF156-1)</f>
        <v>NM</v>
      </c>
      <c r="BL158" s="2250" t="str">
        <f>IF(OR(BL156=0,BG156=0),"NM",BL156/BG156-1)</f>
        <v>NM</v>
      </c>
      <c r="BM158" s="2250" t="str">
        <f>IF(OR(BM156=0,BH156=0),"NM",BM156/BH156-1)</f>
        <v>NM</v>
      </c>
      <c r="BN158" s="2257" t="str">
        <f>IF(OR(BN156=0,BI156=0),"NM",BN156/BI156-1)</f>
        <v>NM</v>
      </c>
      <c r="BO158" s="2250"/>
      <c r="BP158" s="2256" t="str">
        <f>IF(OR(BP156=0,BK156=0),"NM",BP156/BK156-1)</f>
        <v>NM</v>
      </c>
      <c r="BQ158" s="2250" t="str">
        <f>IF(OR(BQ156=0,BL156=0),"NM",BQ156/BL156-1)</f>
        <v>NM</v>
      </c>
      <c r="BR158" s="2250" t="str">
        <f>IF(OR(BR156=0,BM156=0),"NM",BR156/BM156-1)</f>
        <v>NM</v>
      </c>
      <c r="BS158" s="2257" t="str">
        <f>IF(OR(BS156=0,BN156=0),"NM",BS156/BN156-1)</f>
        <v>NM</v>
      </c>
      <c r="BT158" s="2250"/>
      <c r="BU158" s="2256" t="str">
        <f>IF(OR(BU156=0,BP156=0),"NM",BU156/BP156-1)</f>
        <v>NM</v>
      </c>
      <c r="BV158" s="2250" t="str">
        <f>IF(OR(BV156=0,BQ156=0),"NM",BV156/BQ156-1)</f>
        <v>NM</v>
      </c>
      <c r="BW158" s="2250" t="str">
        <f>IF(OR(BW156=0,BR156=0),"NM",BW156/BR156-1)</f>
        <v>NM</v>
      </c>
      <c r="BX158" s="2257" t="str">
        <f>IF(OR(BX156=0,BS156=0),"NM",BX156/BS156-1)</f>
        <v>NM</v>
      </c>
      <c r="BY158" s="2244"/>
      <c r="BZ158" s="2246"/>
      <c r="CA158" s="2246"/>
      <c r="CB158" s="2247" t="str">
        <f t="shared" ref="CB158:CM158" si="275">IF(OR(CA156=0,CB156=0),"NM",CB156/CA156-1)</f>
        <v>NM</v>
      </c>
      <c r="CC158" s="2247" t="str">
        <f t="shared" si="275"/>
        <v>NM</v>
      </c>
      <c r="CD158" s="2242" t="str">
        <f t="shared" si="275"/>
        <v>NM</v>
      </c>
      <c r="CE158" s="2242">
        <f t="shared" si="275"/>
        <v>1.4495674615889489</v>
      </c>
      <c r="CF158" s="2242">
        <f t="shared" si="275"/>
        <v>0.14183580569860355</v>
      </c>
      <c r="CG158" s="2242">
        <f t="shared" si="275"/>
        <v>-0.30094618845626642</v>
      </c>
      <c r="CH158" s="2242">
        <f t="shared" si="275"/>
        <v>-0.68605649976982064</v>
      </c>
      <c r="CI158" s="2242">
        <f t="shared" si="275"/>
        <v>-0.47261929534207203</v>
      </c>
      <c r="CJ158" s="2242">
        <f t="shared" si="275"/>
        <v>-0.34132131047621028</v>
      </c>
      <c r="CK158" s="2242" t="str">
        <f t="shared" si="275"/>
        <v>NM</v>
      </c>
      <c r="CL158" s="2242" t="str">
        <f t="shared" si="275"/>
        <v>NM</v>
      </c>
      <c r="CM158" s="2242" t="str">
        <f t="shared" si="275"/>
        <v>NM</v>
      </c>
      <c r="CN158" s="2240"/>
      <c r="CO158" s="2240"/>
      <c r="CP158" s="2248"/>
      <c r="CQ158" s="2246"/>
      <c r="CR158" s="2246"/>
      <c r="CS158" s="2246" t="str">
        <f t="shared" ref="CS158:DA158" si="276">IF(OR(CR156=0,CS156=0),"NM",CS156/CR156-1)</f>
        <v>NM</v>
      </c>
      <c r="CT158" s="2247" t="str">
        <f t="shared" si="276"/>
        <v>NM</v>
      </c>
      <c r="CU158" s="2247" t="str">
        <f t="shared" si="276"/>
        <v>NM</v>
      </c>
      <c r="CV158" s="2247" t="str">
        <f t="shared" si="276"/>
        <v>NM</v>
      </c>
      <c r="CW158" s="2247">
        <f t="shared" si="276"/>
        <v>6.9973419025926527</v>
      </c>
      <c r="CX158" s="2247">
        <f t="shared" si="276"/>
        <v>0.37003858393447442</v>
      </c>
      <c r="CY158" s="2247">
        <f t="shared" si="276"/>
        <v>2.4183020853252302E-4</v>
      </c>
      <c r="CZ158" s="2247">
        <f t="shared" si="276"/>
        <v>-0.60910704691615092</v>
      </c>
      <c r="DA158" s="2247">
        <f t="shared" si="276"/>
        <v>-0.64257691950119034</v>
      </c>
      <c r="DB158" s="2247">
        <f>IF(OR(DA156=0,DB156=0),"NM",DB156/DA156-1)</f>
        <v>-0.25077515663305505</v>
      </c>
      <c r="DC158" s="2247">
        <f>IF(OR(DB156=0,DC156=0),"NM",DC156/DB156-1)</f>
        <v>-0.67327193633644833</v>
      </c>
      <c r="DD158" s="2247" t="str">
        <f>IF(OR(DC156=0,DD156=0),"NM",DD156/DC156-1)</f>
        <v>NM</v>
      </c>
      <c r="DE158" s="2247" t="str">
        <f>IF(OR(DD156=0,DE156=0),"NM",DE156/DD156-1)</f>
        <v>NM</v>
      </c>
      <c r="DF158" s="2240"/>
    </row>
    <row r="159" spans="1:110" s="1715" customFormat="1" hidden="1" outlineLevel="1">
      <c r="A159" s="2343" t="s">
        <v>290</v>
      </c>
      <c r="B159" s="2318"/>
      <c r="C159" s="2318"/>
      <c r="D159" s="2318"/>
      <c r="E159" s="2318"/>
      <c r="F159" s="2318"/>
      <c r="G159" s="2318"/>
      <c r="H159" s="2318"/>
      <c r="I159" s="2318"/>
      <c r="J159" s="2318"/>
      <c r="K159" s="2318"/>
      <c r="L159" s="2313"/>
      <c r="M159" s="2312"/>
      <c r="N159" s="2312"/>
      <c r="O159" s="2314"/>
      <c r="P159" s="2290"/>
      <c r="Q159" s="2315"/>
      <c r="R159" s="2315"/>
      <c r="S159" s="2316"/>
      <c r="T159" s="2290"/>
      <c r="U159" s="2315"/>
      <c r="V159" s="2315"/>
      <c r="W159" s="2316"/>
      <c r="X159" s="2290"/>
      <c r="Y159" s="2315">
        <f t="shared" ref="Y159:AS159" si="277">Y156*Y222</f>
        <v>627.07315312086916</v>
      </c>
      <c r="Z159" s="2315">
        <f t="shared" si="277"/>
        <v>833.31540672462074</v>
      </c>
      <c r="AA159" s="2316">
        <f t="shared" si="277"/>
        <v>1118.4734513670755</v>
      </c>
      <c r="AB159" s="2313">
        <f t="shared" si="277"/>
        <v>1422.2430641558919</v>
      </c>
      <c r="AC159" s="2312">
        <f t="shared" si="277"/>
        <v>1769.8326173763473</v>
      </c>
      <c r="AD159" s="2312">
        <f t="shared" si="277"/>
        <v>1545.818423397068</v>
      </c>
      <c r="AE159" s="2314">
        <f t="shared" si="277"/>
        <v>1637.2194013600381</v>
      </c>
      <c r="AF159" s="2313">
        <f t="shared" si="277"/>
        <v>1830.2829916678854</v>
      </c>
      <c r="AG159" s="2312">
        <f t="shared" si="277"/>
        <v>1837.3957277498398</v>
      </c>
      <c r="AH159" s="2312">
        <f t="shared" si="277"/>
        <v>1735.7531491758498</v>
      </c>
      <c r="AI159" s="2314">
        <f t="shared" si="277"/>
        <v>1732.9988525395186</v>
      </c>
      <c r="AJ159" s="2313">
        <f t="shared" si="277"/>
        <v>1767.9915509519633</v>
      </c>
      <c r="AK159" s="2312">
        <f t="shared" si="277"/>
        <v>1445.8822758023286</v>
      </c>
      <c r="AL159" s="2312">
        <f t="shared" si="277"/>
        <v>851.70092269304757</v>
      </c>
      <c r="AM159" s="2314">
        <f t="shared" si="277"/>
        <v>723.80738063922502</v>
      </c>
      <c r="AN159" s="2313">
        <f t="shared" si="277"/>
        <v>590.66178934977484</v>
      </c>
      <c r="AO159" s="2312">
        <f t="shared" si="277"/>
        <v>399.58056785656993</v>
      </c>
      <c r="AP159" s="2312">
        <f t="shared" si="277"/>
        <v>343.93513903268934</v>
      </c>
      <c r="AQ159" s="2314">
        <f t="shared" si="277"/>
        <v>169.41789362021419</v>
      </c>
      <c r="AR159" s="2313">
        <f t="shared" si="277"/>
        <v>114.83728935122511</v>
      </c>
      <c r="AS159" s="2312">
        <f t="shared" si="277"/>
        <v>301.42766908950222</v>
      </c>
      <c r="AT159" s="2312">
        <f>AT156*AT222</f>
        <v>160.15123476218429</v>
      </c>
      <c r="AU159" s="2314">
        <f>AU156*AU222</f>
        <v>229.11048923353329</v>
      </c>
      <c r="AV159" s="2313">
        <f t="shared" ref="AV159:BI159" si="278">AV156*AV222</f>
        <v>138.39621463849994</v>
      </c>
      <c r="AW159" s="2312">
        <f t="shared" si="278"/>
        <v>159.42507604400018</v>
      </c>
      <c r="AX159" s="2312">
        <f t="shared" si="278"/>
        <v>66.971630024000049</v>
      </c>
      <c r="AY159" s="2314">
        <f t="shared" si="278"/>
        <v>157.51767293792972</v>
      </c>
      <c r="AZ159" s="2312"/>
      <c r="BA159" s="2313">
        <f t="shared" si="278"/>
        <v>0</v>
      </c>
      <c r="BB159" s="2312">
        <f t="shared" si="278"/>
        <v>0</v>
      </c>
      <c r="BC159" s="1710">
        <f t="shared" si="278"/>
        <v>0</v>
      </c>
      <c r="BD159" s="2314">
        <f t="shared" si="278"/>
        <v>0</v>
      </c>
      <c r="BE159" s="2312"/>
      <c r="BF159" s="2313">
        <f t="shared" si="278"/>
        <v>0</v>
      </c>
      <c r="BG159" s="2312">
        <f t="shared" si="278"/>
        <v>0</v>
      </c>
      <c r="BH159" s="2312">
        <f t="shared" si="278"/>
        <v>0</v>
      </c>
      <c r="BI159" s="2314">
        <f t="shared" si="278"/>
        <v>0</v>
      </c>
      <c r="BJ159" s="2312"/>
      <c r="BK159" s="2313">
        <f>BK156*BK222</f>
        <v>0</v>
      </c>
      <c r="BL159" s="2312">
        <f>BL156*BL222</f>
        <v>0</v>
      </c>
      <c r="BM159" s="2312">
        <f>BM156*BM222</f>
        <v>0</v>
      </c>
      <c r="BN159" s="2314">
        <f>BN156*BN222</f>
        <v>0</v>
      </c>
      <c r="BO159" s="2312"/>
      <c r="BP159" s="2313">
        <f>BP156*BP222</f>
        <v>0</v>
      </c>
      <c r="BQ159" s="2312">
        <f>BQ156*BQ222</f>
        <v>0</v>
      </c>
      <c r="BR159" s="2312">
        <f>BR156*BR222</f>
        <v>0</v>
      </c>
      <c r="BS159" s="2314">
        <f>BS156*BS222</f>
        <v>0</v>
      </c>
      <c r="BT159" s="2312"/>
      <c r="BU159" s="2313">
        <f>BU156*BU222</f>
        <v>0</v>
      </c>
      <c r="BV159" s="2312">
        <f>BV156*BV222</f>
        <v>0</v>
      </c>
      <c r="BW159" s="2312">
        <f>BW156*BW222</f>
        <v>0</v>
      </c>
      <c r="BX159" s="2314">
        <f>BX156*BX222</f>
        <v>0</v>
      </c>
      <c r="BY159" s="2317"/>
      <c r="BZ159" s="2318"/>
      <c r="CA159" s="2318"/>
      <c r="CB159" s="2319">
        <f>P159+Q159+R159+S159</f>
        <v>0</v>
      </c>
      <c r="CC159" s="2319">
        <f>T159+U159+V159+W159</f>
        <v>0</v>
      </c>
      <c r="CD159" s="2316">
        <f>X159+Y159+Z159+AA159</f>
        <v>2578.8620112125654</v>
      </c>
      <c r="CE159" s="2316">
        <f>AB159+AC159+AD159+AE159</f>
        <v>6375.1135062893454</v>
      </c>
      <c r="CF159" s="2316">
        <f>SUM(AF159:AI159)</f>
        <v>7136.4307211330934</v>
      </c>
      <c r="CG159" s="2316">
        <f>SUM(AJ159:AM159)</f>
        <v>4789.3821300865648</v>
      </c>
      <c r="CH159" s="2316">
        <f>SUM(AN159:AQ159)</f>
        <v>1503.5953898592484</v>
      </c>
      <c r="CI159" s="2316">
        <f>SUM(AR159:AU159)</f>
        <v>805.52668243644496</v>
      </c>
      <c r="CJ159" s="2316">
        <f>SUM(AV159:AY159)</f>
        <v>522.3105936444299</v>
      </c>
      <c r="CK159" s="2316">
        <f>SUM(BA159:BD159)</f>
        <v>0</v>
      </c>
      <c r="CL159" s="2316">
        <f>SUM(BF159:BI159)</f>
        <v>0</v>
      </c>
      <c r="CM159" s="2316">
        <f>SUM(BG159:BK159)</f>
        <v>0</v>
      </c>
      <c r="CN159" s="2315"/>
      <c r="CO159" s="2315"/>
      <c r="CP159" s="2317"/>
      <c r="CQ159" s="2318"/>
      <c r="CR159" s="2318">
        <f>F159+G159+H159+I159</f>
        <v>0</v>
      </c>
      <c r="CS159" s="2318">
        <f>J159+K159+L159+M159</f>
        <v>0</v>
      </c>
      <c r="CT159" s="2319">
        <f>N159+O159+P159+Q159</f>
        <v>0</v>
      </c>
      <c r="CU159" s="2319">
        <f>R159+S159+T159+U159</f>
        <v>0</v>
      </c>
      <c r="CV159" s="2319">
        <f>V159+W159+X159+Y159</f>
        <v>627.07315312086916</v>
      </c>
      <c r="CW159" s="2319">
        <f>Z159+AA159+AB159+AC159</f>
        <v>5143.8645396239353</v>
      </c>
      <c r="CX159" s="2318">
        <f>SUM(AD159:AG159)</f>
        <v>6850.7165441748311</v>
      </c>
      <c r="CY159" s="2318">
        <f>(SUM(AH159:AK159)/SUM(AH156:AK156))*CY156</f>
        <v>6682.6258284696605</v>
      </c>
      <c r="CZ159" s="2318">
        <f>(SUM(AL159:AO159)/SUM(AL156:AO156))*CZ156</f>
        <v>2565.7506605386175</v>
      </c>
      <c r="DA159" s="2318">
        <f>(SUM(AP159:AS159)/SUM(AP156:AS156))*DA156</f>
        <v>929.61799109363074</v>
      </c>
      <c r="DB159" s="2318">
        <f>SUM(AT159:AW159)</f>
        <v>687.08301467821775</v>
      </c>
      <c r="DC159" s="2318">
        <f>SUM(AX159:BB159)</f>
        <v>224.48930296192975</v>
      </c>
      <c r="DD159" s="2318">
        <f>SUM(BC159:BG159)</f>
        <v>0</v>
      </c>
      <c r="DE159" s="2318">
        <f>SUM(BD159:BH159)</f>
        <v>0</v>
      </c>
      <c r="DF159" s="2312"/>
    </row>
    <row r="160" spans="1:110" s="1715" customFormat="1" hidden="1" outlineLevel="1">
      <c r="A160" s="2344"/>
      <c r="B160" s="2259"/>
      <c r="C160" s="2259"/>
      <c r="D160" s="2259"/>
      <c r="E160" s="2259"/>
      <c r="F160" s="2259"/>
      <c r="G160" s="2259"/>
      <c r="H160" s="2259"/>
      <c r="I160" s="2259"/>
      <c r="J160" s="2259"/>
      <c r="K160" s="2259"/>
      <c r="L160" s="2264"/>
      <c r="M160" s="2239"/>
      <c r="N160" s="2239"/>
      <c r="O160" s="2260"/>
      <c r="P160" s="2287"/>
      <c r="Q160" s="2288"/>
      <c r="R160" s="2288"/>
      <c r="S160" s="2289"/>
      <c r="T160" s="2287"/>
      <c r="U160" s="2288"/>
      <c r="V160" s="2288"/>
      <c r="W160" s="2289"/>
      <c r="X160" s="2290"/>
      <c r="Y160" s="2315"/>
      <c r="Z160" s="2288"/>
      <c r="AA160" s="2289"/>
      <c r="AB160" s="2264"/>
      <c r="AC160" s="2239"/>
      <c r="AD160" s="2239"/>
      <c r="AE160" s="2314"/>
      <c r="AF160" s="2264"/>
      <c r="AG160" s="2239"/>
      <c r="AH160" s="2239"/>
      <c r="AI160" s="2260"/>
      <c r="AJ160" s="2264"/>
      <c r="AK160" s="2359"/>
      <c r="AL160" s="2360"/>
      <c r="AM160" s="2361"/>
      <c r="AN160" s="2362"/>
      <c r="AO160" s="2359"/>
      <c r="AP160" s="2359"/>
      <c r="AQ160" s="2361"/>
      <c r="AR160" s="2362"/>
      <c r="AS160" s="2359"/>
      <c r="AT160" s="2359"/>
      <c r="AU160" s="2243" t="s">
        <v>836</v>
      </c>
      <c r="AV160" s="2362"/>
      <c r="AW160" s="2359"/>
      <c r="AX160" s="2359"/>
      <c r="AY160" s="2361"/>
      <c r="AZ160" s="2359"/>
      <c r="BA160" s="2362"/>
      <c r="BB160" s="2359"/>
      <c r="BC160" s="2610"/>
      <c r="BD160" s="2361"/>
      <c r="BE160" s="2359"/>
      <c r="BF160" s="2362"/>
      <c r="BG160" s="2359"/>
      <c r="BH160" s="2359"/>
      <c r="BI160" s="2361"/>
      <c r="BJ160" s="2359"/>
      <c r="BK160" s="2362"/>
      <c r="BL160" s="2359"/>
      <c r="BM160" s="2359"/>
      <c r="BN160" s="2361"/>
      <c r="BO160" s="2359"/>
      <c r="BP160" s="2362"/>
      <c r="BQ160" s="2359"/>
      <c r="BR160" s="2359"/>
      <c r="BS160" s="2361"/>
      <c r="BT160" s="2359"/>
      <c r="BU160" s="2362"/>
      <c r="BV160" s="2359"/>
      <c r="BW160" s="2359"/>
      <c r="BX160" s="2361"/>
      <c r="BY160" s="2244"/>
      <c r="BZ160" s="2259"/>
      <c r="CA160" s="2259"/>
      <c r="CB160" s="2291"/>
      <c r="CC160" s="2291"/>
      <c r="CD160" s="2289"/>
      <c r="CE160" s="2289"/>
      <c r="CF160" s="2289"/>
      <c r="CG160" s="2289"/>
      <c r="CH160" s="2289"/>
      <c r="CI160" s="2289"/>
      <c r="CJ160" s="2289"/>
      <c r="CK160" s="2289"/>
      <c r="CL160" s="2289"/>
      <c r="CM160" s="2289"/>
      <c r="CN160" s="2288"/>
      <c r="CO160" s="2288"/>
      <c r="CP160" s="2244"/>
      <c r="CQ160" s="2259"/>
      <c r="CR160" s="2259"/>
      <c r="CS160" s="2259"/>
      <c r="CT160" s="2291"/>
      <c r="CU160" s="2291"/>
      <c r="CV160" s="2291"/>
      <c r="CW160" s="2291"/>
      <c r="CX160" s="2259"/>
      <c r="CY160" s="2259"/>
      <c r="CZ160" s="2261"/>
      <c r="DA160" s="2259"/>
      <c r="DB160" s="2259"/>
      <c r="DC160" s="2259"/>
      <c r="DD160" s="2259"/>
      <c r="DE160" s="2259"/>
      <c r="DF160" s="2239"/>
    </row>
    <row r="161" spans="1:110" s="1715" customFormat="1" hidden="1" outlineLevel="1">
      <c r="A161" s="2345" t="s">
        <v>799</v>
      </c>
      <c r="B161" s="2259"/>
      <c r="C161" s="2259"/>
      <c r="D161" s="2259"/>
      <c r="E161" s="2259"/>
      <c r="F161" s="2259"/>
      <c r="G161" s="2259"/>
      <c r="H161" s="2259"/>
      <c r="I161" s="2259"/>
      <c r="J161" s="2259"/>
      <c r="K161" s="2259"/>
      <c r="L161" s="2264"/>
      <c r="M161" s="2239"/>
      <c r="N161" s="2239"/>
      <c r="O161" s="2260"/>
      <c r="P161" s="2287"/>
      <c r="Q161" s="2288"/>
      <c r="R161" s="2288"/>
      <c r="S161" s="2289"/>
      <c r="T161" s="2287"/>
      <c r="U161" s="2288"/>
      <c r="V161" s="2288"/>
      <c r="W161" s="2289"/>
      <c r="X161" s="2268"/>
      <c r="Y161" s="2335"/>
      <c r="Z161" s="2335"/>
      <c r="AA161" s="2336"/>
      <c r="AB161" s="2337"/>
      <c r="AC161" s="2338"/>
      <c r="AD161" s="2338"/>
      <c r="AE161" s="2339"/>
      <c r="AF161" s="2337"/>
      <c r="AG161" s="2338"/>
      <c r="AH161" s="2338"/>
      <c r="AI161" s="2339"/>
      <c r="AJ161" s="2337"/>
      <c r="AK161" s="2338"/>
      <c r="AL161" s="2338"/>
      <c r="AM161" s="2339"/>
      <c r="AN161" s="2337"/>
      <c r="AO161" s="2338"/>
      <c r="AP161" s="2338"/>
      <c r="AQ161" s="2339"/>
      <c r="AR161" s="2337"/>
      <c r="AS161" s="2338"/>
      <c r="AT161" s="2338"/>
      <c r="AU161" s="2339"/>
      <c r="AV161" s="2337"/>
      <c r="AW161" s="2338"/>
      <c r="AX161" s="2338"/>
      <c r="AY161" s="2339"/>
      <c r="AZ161" s="2338"/>
      <c r="BA161" s="2337"/>
      <c r="BB161" s="2338"/>
      <c r="BC161" s="2608"/>
      <c r="BD161" s="2339"/>
      <c r="BE161" s="2338"/>
      <c r="BF161" s="2337"/>
      <c r="BG161" s="2338"/>
      <c r="BH161" s="2338"/>
      <c r="BI161" s="2339"/>
      <c r="BJ161" s="2338"/>
      <c r="BK161" s="2337"/>
      <c r="BL161" s="2338"/>
      <c r="BM161" s="2338"/>
      <c r="BN161" s="2339"/>
      <c r="BO161" s="2338"/>
      <c r="BP161" s="2337"/>
      <c r="BQ161" s="2338"/>
      <c r="BR161" s="2338"/>
      <c r="BS161" s="2339"/>
      <c r="BT161" s="2338"/>
      <c r="BU161" s="2337"/>
      <c r="BV161" s="2338"/>
      <c r="BW161" s="2338"/>
      <c r="BX161" s="2339"/>
      <c r="BY161" s="2244"/>
      <c r="BZ161" s="2259"/>
      <c r="CA161" s="2259"/>
      <c r="CB161" s="2291"/>
      <c r="CC161" s="2291"/>
      <c r="CD161" s="2289"/>
      <c r="CE161" s="2289"/>
      <c r="CF161" s="2289"/>
      <c r="CG161" s="2289"/>
      <c r="CH161" s="2289"/>
      <c r="CI161" s="2289"/>
      <c r="CJ161" s="2289"/>
      <c r="CK161" s="2289"/>
      <c r="CL161" s="2289"/>
      <c r="CM161" s="2289"/>
      <c r="CN161" s="2288"/>
      <c r="CO161" s="2288"/>
      <c r="CP161" s="2244"/>
      <c r="CQ161" s="2259"/>
      <c r="CR161" s="2259"/>
      <c r="CS161" s="2259"/>
      <c r="CT161" s="2291"/>
      <c r="CU161" s="2291"/>
      <c r="CV161" s="2291"/>
      <c r="CW161" s="2291"/>
      <c r="CX161" s="2259"/>
      <c r="CY161" s="2259"/>
      <c r="CZ161" s="2259"/>
      <c r="DA161" s="2259"/>
      <c r="DB161" s="2259"/>
      <c r="DC161" s="2259"/>
      <c r="DD161" s="2259"/>
      <c r="DE161" s="2259"/>
      <c r="DF161" s="2239"/>
    </row>
    <row r="162" spans="1:110" s="1715" customFormat="1" hidden="1" outlineLevel="1">
      <c r="A162" s="2340" t="s">
        <v>289</v>
      </c>
      <c r="B162" s="2259"/>
      <c r="C162" s="2259"/>
      <c r="D162" s="2259"/>
      <c r="E162" s="2259"/>
      <c r="F162" s="2261"/>
      <c r="G162" s="2261"/>
      <c r="H162" s="2261"/>
      <c r="I162" s="2261"/>
      <c r="J162" s="2261"/>
      <c r="K162" s="2261"/>
      <c r="L162" s="2295"/>
      <c r="M162" s="2294"/>
      <c r="N162" s="2294"/>
      <c r="O162" s="2296"/>
      <c r="P162" s="2297"/>
      <c r="Q162" s="2298"/>
      <c r="R162" s="2298"/>
      <c r="S162" s="2299"/>
      <c r="T162" s="2297"/>
      <c r="U162" s="2298"/>
      <c r="V162" s="2298"/>
      <c r="W162" s="2298"/>
      <c r="X162" s="2297"/>
      <c r="Y162" s="2298"/>
      <c r="Z162" s="2298"/>
      <c r="AA162" s="2299"/>
      <c r="AB162" s="2295"/>
      <c r="AC162" s="2294"/>
      <c r="AD162" s="2294"/>
      <c r="AE162" s="2296"/>
      <c r="AF162" s="2295"/>
      <c r="AG162" s="2294"/>
      <c r="AH162" s="2294"/>
      <c r="AI162" s="2296"/>
      <c r="AJ162" s="2295"/>
      <c r="AK162" s="2294">
        <f t="shared" ref="AK162:BI162" si="279">AK163*AK$11+(AK22*AK52)</f>
        <v>6.5931704322951603</v>
      </c>
      <c r="AL162" s="2294">
        <f t="shared" si="279"/>
        <v>8.688713515213097</v>
      </c>
      <c r="AM162" s="2296">
        <f t="shared" si="279"/>
        <v>8.5663648911537802</v>
      </c>
      <c r="AN162" s="2295">
        <f t="shared" si="279"/>
        <v>15.356064611192249</v>
      </c>
      <c r="AO162" s="2294">
        <f t="shared" si="279"/>
        <v>22.79241057942809</v>
      </c>
      <c r="AP162" s="2294">
        <f t="shared" si="279"/>
        <v>19.253587355612538</v>
      </c>
      <c r="AQ162" s="2296">
        <f t="shared" si="279"/>
        <v>18.874054782282634</v>
      </c>
      <c r="AR162" s="2295">
        <f t="shared" si="279"/>
        <v>20.420989163000002</v>
      </c>
      <c r="AS162" s="2294">
        <f t="shared" si="279"/>
        <v>22.756798214399993</v>
      </c>
      <c r="AT162" s="2294">
        <f t="shared" si="279"/>
        <v>19.097236600253996</v>
      </c>
      <c r="AU162" s="2296">
        <f t="shared" si="279"/>
        <v>15.696427585155297</v>
      </c>
      <c r="AV162" s="2295">
        <f t="shared" si="279"/>
        <v>17.971947363000005</v>
      </c>
      <c r="AW162" s="2294">
        <f t="shared" si="279"/>
        <v>17.634019586000004</v>
      </c>
      <c r="AX162" s="2294">
        <f t="shared" si="279"/>
        <v>15.009187853999997</v>
      </c>
      <c r="AY162" s="2296">
        <f t="shared" si="279"/>
        <v>14.438761963539051</v>
      </c>
      <c r="AZ162" s="2294"/>
      <c r="BA162" s="2295">
        <f t="shared" si="279"/>
        <v>17.183744900859924</v>
      </c>
      <c r="BB162" s="2294">
        <f t="shared" si="279"/>
        <v>18.25392122110414</v>
      </c>
      <c r="BC162" s="2598">
        <f t="shared" si="279"/>
        <v>15.40922602402552</v>
      </c>
      <c r="BD162" s="2296">
        <f t="shared" si="279"/>
        <v>16.334896259304557</v>
      </c>
      <c r="BE162" s="2294"/>
      <c r="BF162" s="2295">
        <f t="shared" si="279"/>
        <v>17.88813256794781</v>
      </c>
      <c r="BG162" s="2294">
        <f t="shared" si="279"/>
        <v>18.4027947918336</v>
      </c>
      <c r="BH162" s="2294">
        <f t="shared" si="279"/>
        <v>15.588116638208774</v>
      </c>
      <c r="BI162" s="2296">
        <f t="shared" si="279"/>
        <v>16.267091603782774</v>
      </c>
      <c r="BJ162" s="2294"/>
      <c r="BK162" s="2295">
        <f>BK163*BK$11+(BK22*BK52)</f>
        <v>17.792356389751522</v>
      </c>
      <c r="BL162" s="2294">
        <f>BL163*BL$11+(BL22*BL52)</f>
        <v>18.430151077853701</v>
      </c>
      <c r="BM162" s="2294">
        <f>BM163*BM$11+(BM22*BM52)</f>
        <v>15.445483837266064</v>
      </c>
      <c r="BN162" s="2296">
        <f>BN163*BN$11+(BN22*BN52)</f>
        <v>16.05981338018864</v>
      </c>
      <c r="BO162" s="2294"/>
      <c r="BP162" s="2295">
        <f>BP163*BP$11+(BP22*BP52)</f>
        <v>17.497544292508408</v>
      </c>
      <c r="BQ162" s="2294">
        <f>BQ163*BQ$11+(BQ22*BQ52)</f>
        <v>18.158862495026593</v>
      </c>
      <c r="BR162" s="2294">
        <f>BR163*BR$11+(BR22*BR52)</f>
        <v>15.198773199620684</v>
      </c>
      <c r="BS162" s="2296">
        <f>BS163*BS$11+(BS22*BS52)</f>
        <v>15.80423310449228</v>
      </c>
      <c r="BT162" s="2294"/>
      <c r="BU162" s="2295">
        <f>BU163*BU$11+(BU22*BU52)</f>
        <v>17.189795918972884</v>
      </c>
      <c r="BV162" s="2294">
        <f>BV163*BV$11+(BV22*BV52)</f>
        <v>17.857862562199251</v>
      </c>
      <c r="BW162" s="2294">
        <f>BW163*BW$11+(BW22*BW52)</f>
        <v>14.931739426927249</v>
      </c>
      <c r="BX162" s="2296">
        <f>BX163*BX$11+(BX22*BX52)</f>
        <v>15.524560639515768</v>
      </c>
      <c r="BY162" s="2244"/>
      <c r="BZ162" s="2261"/>
      <c r="CA162" s="2261"/>
      <c r="CB162" s="2300">
        <f>P162+Q162+R162+S162</f>
        <v>0</v>
      </c>
      <c r="CC162" s="2300">
        <f>T162+U162+V162+W162</f>
        <v>0</v>
      </c>
      <c r="CD162" s="2299">
        <f>X162+Y162+Z162+AA162</f>
        <v>0</v>
      </c>
      <c r="CE162" s="2299">
        <f>AB162+AC162+AD162+AE162</f>
        <v>0</v>
      </c>
      <c r="CF162" s="2299">
        <f>SUM(AF162:AI162)</f>
        <v>0</v>
      </c>
      <c r="CG162" s="2299">
        <f>SUM(AJ162:AM162)</f>
        <v>23.848248838662037</v>
      </c>
      <c r="CH162" s="2299">
        <f>SUM(AN162:AQ162)</f>
        <v>76.276117328515511</v>
      </c>
      <c r="CI162" s="2299">
        <f>SUM(AR162:AU162)</f>
        <v>77.971451562809278</v>
      </c>
      <c r="CJ162" s="2299">
        <f>SUM(AV162:AY162)</f>
        <v>65.053916766539061</v>
      </c>
      <c r="CK162" s="2299">
        <f>SUM(BA162:BD162)</f>
        <v>67.181788405294142</v>
      </c>
      <c r="CL162" s="2299">
        <f>SUM(BF162:BI162)</f>
        <v>68.146135601772954</v>
      </c>
      <c r="CM162" s="2299">
        <f>SUM(BG162:BK162)</f>
        <v>68.050359423576666</v>
      </c>
      <c r="CN162" s="2298"/>
      <c r="CO162" s="2298"/>
      <c r="CP162" s="2301"/>
      <c r="CQ162" s="2261"/>
      <c r="CR162" s="2261">
        <f>F162+G162+H162+I162</f>
        <v>0</v>
      </c>
      <c r="CS162" s="2261">
        <f>J162+K162+L162+M162</f>
        <v>0</v>
      </c>
      <c r="CT162" s="2300">
        <f>N162+O162+P162+Q162</f>
        <v>0</v>
      </c>
      <c r="CU162" s="2300">
        <f>R162+S162+T162+U162</f>
        <v>0</v>
      </c>
      <c r="CV162" s="2300">
        <f>V162+W162+X162+Y162</f>
        <v>0</v>
      </c>
      <c r="CW162" s="2300">
        <f>Z162+AA162+AB162+AC162</f>
        <v>0</v>
      </c>
      <c r="CX162" s="2302">
        <f>AD162+AE162+AF162+AG162</f>
        <v>0</v>
      </c>
      <c r="CY162" s="2302">
        <f>SUM(AH162:AK162)</f>
        <v>6.5931704322951603</v>
      </c>
      <c r="CZ162" s="2302">
        <f>SUM(AL162:AO162)</f>
        <v>55.403553596987223</v>
      </c>
      <c r="DA162" s="2302">
        <f>SUM(AP162:AS162)</f>
        <v>81.305429515295174</v>
      </c>
      <c r="DB162" s="2302">
        <f>SUM(AT162:AW162)</f>
        <v>70.399631134409304</v>
      </c>
      <c r="DC162" s="2302">
        <f>SUM(AX162:BB162)</f>
        <v>64.885615939503111</v>
      </c>
      <c r="DD162" s="2300">
        <f>SUM(BC162:BG162)</f>
        <v>68.035049643111492</v>
      </c>
      <c r="DE162" s="2300">
        <f>SUM(BD162:BH162)</f>
        <v>68.213940257294738</v>
      </c>
      <c r="DF162" s="2298"/>
    </row>
    <row r="163" spans="1:110" s="1715" customFormat="1" hidden="1" outlineLevel="2">
      <c r="A163" s="2341" t="s">
        <v>15</v>
      </c>
      <c r="B163" s="2259"/>
      <c r="C163" s="2259"/>
      <c r="D163" s="2259"/>
      <c r="E163" s="2259"/>
      <c r="F163" s="2307"/>
      <c r="G163" s="2307"/>
      <c r="H163" s="2307"/>
      <c r="I163" s="2307"/>
      <c r="J163" s="2307"/>
      <c r="K163" s="2307"/>
      <c r="L163" s="2304"/>
      <c r="M163" s="2273"/>
      <c r="N163" s="2273"/>
      <c r="O163" s="2305"/>
      <c r="P163" s="2265"/>
      <c r="Q163" s="2266"/>
      <c r="R163" s="2266"/>
      <c r="S163" s="2267"/>
      <c r="T163" s="2265"/>
      <c r="U163" s="2266"/>
      <c r="V163" s="2266"/>
      <c r="W163" s="2267"/>
      <c r="X163" s="2265"/>
      <c r="Y163" s="2266"/>
      <c r="Z163" s="2266"/>
      <c r="AA163" s="2267"/>
      <c r="AB163" s="2304"/>
      <c r="AC163" s="2273"/>
      <c r="AD163" s="2273"/>
      <c r="AE163" s="2305"/>
      <c r="AF163" s="2304"/>
      <c r="AG163" s="2273"/>
      <c r="AH163" s="2273"/>
      <c r="AI163" s="2305"/>
      <c r="AJ163" s="2304"/>
      <c r="AK163" s="2273">
        <v>0.1</v>
      </c>
      <c r="AL163" s="2273">
        <v>0.15</v>
      </c>
      <c r="AM163" s="2305">
        <v>0.15</v>
      </c>
      <c r="AN163" s="2304">
        <v>0.26</v>
      </c>
      <c r="AO163" s="2273">
        <v>0.35</v>
      </c>
      <c r="AP163" s="2273">
        <v>0.33</v>
      </c>
      <c r="AQ163" s="2305">
        <v>0.33</v>
      </c>
      <c r="AR163" s="2304">
        <v>0.36</v>
      </c>
      <c r="AS163" s="2273">
        <v>0.38</v>
      </c>
      <c r="AT163" s="2273">
        <v>0.4</v>
      </c>
      <c r="AU163" s="2305">
        <v>0.34</v>
      </c>
      <c r="AV163" s="2304">
        <v>0.38</v>
      </c>
      <c r="AW163" s="2273">
        <v>0.36</v>
      </c>
      <c r="AX163" s="2273">
        <v>0.37</v>
      </c>
      <c r="AY163" s="2305">
        <v>0.34</v>
      </c>
      <c r="AZ163" s="2273"/>
      <c r="BA163" s="2304">
        <v>0.38</v>
      </c>
      <c r="BB163" s="2273">
        <v>0.39</v>
      </c>
      <c r="BC163" s="188">
        <f>BB163</f>
        <v>0.39</v>
      </c>
      <c r="BD163" s="2273">
        <f>BC163</f>
        <v>0.39</v>
      </c>
      <c r="BE163" s="2273"/>
      <c r="BF163" s="2304">
        <v>0.38</v>
      </c>
      <c r="BG163" s="2273">
        <f>BF163</f>
        <v>0.38</v>
      </c>
      <c r="BH163" s="2273">
        <f>BG163</f>
        <v>0.38</v>
      </c>
      <c r="BI163" s="2273">
        <f>BH163</f>
        <v>0.38</v>
      </c>
      <c r="BJ163" s="2273"/>
      <c r="BK163" s="2304">
        <v>0.38</v>
      </c>
      <c r="BL163" s="2273">
        <f>BK163</f>
        <v>0.38</v>
      </c>
      <c r="BM163" s="2273">
        <f>BL163</f>
        <v>0.38</v>
      </c>
      <c r="BN163" s="2273">
        <f>BM163</f>
        <v>0.38</v>
      </c>
      <c r="BO163" s="2273"/>
      <c r="BP163" s="2304">
        <v>0.38</v>
      </c>
      <c r="BQ163" s="2273">
        <f>BP163</f>
        <v>0.38</v>
      </c>
      <c r="BR163" s="2273">
        <f>BQ163</f>
        <v>0.38</v>
      </c>
      <c r="BS163" s="2273">
        <f>BR163</f>
        <v>0.38</v>
      </c>
      <c r="BT163" s="2273"/>
      <c r="BU163" s="2304">
        <v>0.38</v>
      </c>
      <c r="BV163" s="2273">
        <f>BU163</f>
        <v>0.38</v>
      </c>
      <c r="BW163" s="2273">
        <f>BV163</f>
        <v>0.38</v>
      </c>
      <c r="BX163" s="2273">
        <f>BW163</f>
        <v>0.38</v>
      </c>
      <c r="BY163" s="2306"/>
      <c r="BZ163" s="2307"/>
      <c r="CA163" s="2307"/>
      <c r="CB163" s="2308">
        <f t="shared" ref="CB163:CI163" si="280">CB162/CB$167</f>
        <v>0</v>
      </c>
      <c r="CC163" s="2308">
        <f t="shared" si="280"/>
        <v>0</v>
      </c>
      <c r="CD163" s="2267">
        <f t="shared" si="280"/>
        <v>0</v>
      </c>
      <c r="CE163" s="2267">
        <f t="shared" si="280"/>
        <v>0</v>
      </c>
      <c r="CF163" s="2267">
        <f t="shared" si="280"/>
        <v>0</v>
      </c>
      <c r="CG163" s="2267">
        <f t="shared" si="280"/>
        <v>9.5198547754839991E-2</v>
      </c>
      <c r="CH163" s="2267">
        <f t="shared" si="280"/>
        <v>0.30381864534009018</v>
      </c>
      <c r="CI163" s="2267">
        <f t="shared" si="280"/>
        <v>0.3439358297298411</v>
      </c>
      <c r="CJ163" s="2267">
        <f>CJ162/CJ$167</f>
        <v>0.32784716000330372</v>
      </c>
      <c r="CK163" s="2267">
        <f>CK162/CK$167</f>
        <v>0.34584820237048791</v>
      </c>
      <c r="CL163" s="2267">
        <f>CL162/CL$167</f>
        <v>0.34086726547135782</v>
      </c>
      <c r="CM163" s="2267">
        <f>CM162/CM$167</f>
        <v>0.34100157351580584</v>
      </c>
      <c r="CN163" s="2266"/>
      <c r="CO163" s="2266"/>
      <c r="CP163" s="2306"/>
      <c r="CQ163" s="2307"/>
      <c r="CR163" s="2307">
        <f t="shared" ref="CR163:CX163" si="281">CR162/CR$167</f>
        <v>0</v>
      </c>
      <c r="CS163" s="2307">
        <f t="shared" si="281"/>
        <v>0</v>
      </c>
      <c r="CT163" s="2308">
        <f t="shared" si="281"/>
        <v>0</v>
      </c>
      <c r="CU163" s="2308">
        <f t="shared" si="281"/>
        <v>0</v>
      </c>
      <c r="CV163" s="2308">
        <f t="shared" si="281"/>
        <v>0</v>
      </c>
      <c r="CW163" s="2308">
        <f t="shared" si="281"/>
        <v>0</v>
      </c>
      <c r="CX163" s="2308">
        <f t="shared" si="281"/>
        <v>0</v>
      </c>
      <c r="CY163" s="2308">
        <f>SUM(AH162:AK162)/SUM(AH$11:AK$11)</f>
        <v>2.5769449547913242E-2</v>
      </c>
      <c r="CZ163" s="2308">
        <f>SUM(AL162:AO162)/SUM(AL$11:AO$11)</f>
        <v>0.23670268019847746</v>
      </c>
      <c r="DA163" s="2308">
        <f>SUM(AP162:AS162)/SUM(AP$11:AS$11)</f>
        <v>0.36002541537062327</v>
      </c>
      <c r="DB163" s="2308">
        <f>DB162/DB$167</f>
        <v>0.33696226129522405</v>
      </c>
      <c r="DC163" s="2308">
        <f>DC162/DC$167</f>
        <v>0.33250456098001313</v>
      </c>
      <c r="DD163" s="2308">
        <f>DD162/DD$167</f>
        <v>0.34414038367802569</v>
      </c>
      <c r="DE163" s="2308">
        <f>DE162/DE$167</f>
        <v>0.34253576111247147</v>
      </c>
      <c r="DF163" s="2266"/>
    </row>
    <row r="164" spans="1:110" s="1715" customFormat="1" hidden="1" outlineLevel="2">
      <c r="A164" s="2342" t="s">
        <v>121</v>
      </c>
      <c r="B164" s="2259"/>
      <c r="C164" s="2259"/>
      <c r="D164" s="2259"/>
      <c r="E164" s="2259"/>
      <c r="F164" s="2259"/>
      <c r="G164" s="2259"/>
      <c r="H164" s="2259"/>
      <c r="I164" s="2259"/>
      <c r="J164" s="2245"/>
      <c r="K164" s="2245"/>
      <c r="L164" s="2256"/>
      <c r="M164" s="2250"/>
      <c r="N164" s="2250"/>
      <c r="O164" s="2257"/>
      <c r="P164" s="2310"/>
      <c r="Q164" s="2271"/>
      <c r="R164" s="2271"/>
      <c r="S164" s="2309"/>
      <c r="T164" s="2310"/>
      <c r="U164" s="2271"/>
      <c r="V164" s="2271"/>
      <c r="W164" s="2309"/>
      <c r="X164" s="2310"/>
      <c r="Y164" s="2271"/>
      <c r="Z164" s="2271"/>
      <c r="AA164" s="2309"/>
      <c r="AB164" s="2256"/>
      <c r="AC164" s="2250"/>
      <c r="AD164" s="2250"/>
      <c r="AE164" s="2257"/>
      <c r="AF164" s="2256"/>
      <c r="AG164" s="2250"/>
      <c r="AH164" s="2250"/>
      <c r="AI164" s="2257"/>
      <c r="AJ164" s="2256"/>
      <c r="AK164" s="2250" t="str">
        <f t="shared" ref="AK164:AS164" si="282">IF(OR(AK162=0,AG162=0),"NM",AK162/AG162-1)</f>
        <v>NM</v>
      </c>
      <c r="AL164" s="2250" t="str">
        <f t="shared" si="282"/>
        <v>NM</v>
      </c>
      <c r="AM164" s="2257" t="str">
        <f t="shared" si="282"/>
        <v>NM</v>
      </c>
      <c r="AN164" s="2256" t="str">
        <f t="shared" si="282"/>
        <v>NM</v>
      </c>
      <c r="AO164" s="2250">
        <f t="shared" si="282"/>
        <v>2.4569727589301498</v>
      </c>
      <c r="AP164" s="2250">
        <f t="shared" si="282"/>
        <v>1.2159307384115459</v>
      </c>
      <c r="AQ164" s="2257">
        <f t="shared" si="282"/>
        <v>1.203274670423307</v>
      </c>
      <c r="AR164" s="2256">
        <f t="shared" si="282"/>
        <v>0.32983219855145629</v>
      </c>
      <c r="AS164" s="2250">
        <f t="shared" si="282"/>
        <v>-1.5624659315429668E-3</v>
      </c>
      <c r="AT164" s="2250">
        <f>IF(OR(AT162=0,AP162=0),"NM",AT162/AP162-1)</f>
        <v>-8.1206038371318678E-3</v>
      </c>
      <c r="AU164" s="2257">
        <f>IF(OR(AU162=0,AQ162=0),"NM",AU162/AQ162-1)</f>
        <v>-0.16835954085023774</v>
      </c>
      <c r="AV164" s="2256">
        <f t="shared" ref="AV164:AY164" si="283">IF(OR(AV162=0,AR162=0),"NM",AV162/AR162-1)</f>
        <v>-0.11992767737408727</v>
      </c>
      <c r="AW164" s="2250">
        <f t="shared" si="283"/>
        <v>-0.22510981466445523</v>
      </c>
      <c r="AX164" s="2250">
        <f t="shared" si="283"/>
        <v>-0.21406493681916405</v>
      </c>
      <c r="AY164" s="2257">
        <f t="shared" si="283"/>
        <v>-8.0124322225120004E-2</v>
      </c>
      <c r="AZ164" s="2250"/>
      <c r="BA164" s="2256">
        <f>IF(OR(BA162=0,AV162=0),"NM",BA162/AV162-1)</f>
        <v>-4.3857376511284629E-2</v>
      </c>
      <c r="BB164" s="2250">
        <f>IF(OR(BB162=0,AW162=0),"NM",BB162/AW162-1)</f>
        <v>3.5153734069587106E-2</v>
      </c>
      <c r="BC164" s="2603">
        <f>IF(OR(BC162=0,AX162=0),"NM",BC162/AX162-1)</f>
        <v>2.6652885813466032E-2</v>
      </c>
      <c r="BD164" s="2257">
        <f>IF(OR(BD162=0,AY162=0),"NM",BD162/AY162-1)</f>
        <v>0.13132249846307098</v>
      </c>
      <c r="BE164" s="2250"/>
      <c r="BF164" s="2256">
        <f>IF(OR(BF162=0,BA162=0),"NM",BF162/BA162-1)</f>
        <v>4.0991510939657694E-2</v>
      </c>
      <c r="BG164" s="2250">
        <f>IF(OR(BG162=0,BB162=0),"NM",BG162/BB162-1)</f>
        <v>8.1557035842436676E-3</v>
      </c>
      <c r="BH164" s="2250">
        <f>IF(OR(BH162=0,BC162=0),"NM",BH162/BC162-1)</f>
        <v>1.1609318592921802E-2</v>
      </c>
      <c r="BI164" s="2257">
        <f>IF(OR(BI162=0,BD162=0),"NM",BI162/BD162-1)</f>
        <v>-4.1509082424175947E-3</v>
      </c>
      <c r="BJ164" s="2250"/>
      <c r="BK164" s="2256">
        <f>IF(OR(BK162=0,BF162=0),"NM",BK162/BF162-1)</f>
        <v>-5.3541742175984286E-3</v>
      </c>
      <c r="BL164" s="2250">
        <f>IF(OR(BL162=0,BG162=0),"NM",BL162/BG162-1)</f>
        <v>1.4865288848540104E-3</v>
      </c>
      <c r="BM164" s="2250">
        <f>IF(OR(BM162=0,BH162=0),"NM",BM162/BH162-1)</f>
        <v>-9.1500983892496279E-3</v>
      </c>
      <c r="BN164" s="2257">
        <f>IF(OR(BN162=0,BI162=0),"NM",BN162/BI162-1)</f>
        <v>-1.2742180879213416E-2</v>
      </c>
      <c r="BO164" s="2250"/>
      <c r="BP164" s="2256">
        <f>IF(OR(BP162=0,BK162=0),"NM",BP162/BK162-1)</f>
        <v>-1.6569592626467733E-2</v>
      </c>
      <c r="BQ164" s="2250">
        <f>IF(OR(BQ162=0,BL162=0),"NM",BQ162/BL162-1)</f>
        <v>-1.4719824144746041E-2</v>
      </c>
      <c r="BR164" s="2250">
        <f>IF(OR(BR162=0,BM162=0),"NM",BR162/BM162-1)</f>
        <v>-1.597299509971517E-2</v>
      </c>
      <c r="BS164" s="2257">
        <f>IF(OR(BS162=0,BN162=0),"NM",BS162/BN162-1)</f>
        <v>-1.5914274322243571E-2</v>
      </c>
      <c r="BT164" s="2250"/>
      <c r="BU164" s="2256">
        <f>IF(OR(BU162=0,BP162=0),"NM",BU162/BP162-1)</f>
        <v>-1.7588089413626329E-2</v>
      </c>
      <c r="BV164" s="2250">
        <f>IF(OR(BV162=0,BQ162=0),"NM",BV162/BQ162-1)</f>
        <v>-1.6575924450652146E-2</v>
      </c>
      <c r="BW164" s="2250">
        <f>IF(OR(BW162=0,BR162=0),"NM",BW162/BR162-1)</f>
        <v>-1.7569429399742487E-2</v>
      </c>
      <c r="BX164" s="2257">
        <f>IF(OR(BX162=0,BS162=0),"NM",BX162/BS162-1)</f>
        <v>-1.7696047832717499E-2</v>
      </c>
      <c r="BY164" s="2244"/>
      <c r="BZ164" s="2246"/>
      <c r="CA164" s="2246"/>
      <c r="CB164" s="2247" t="str">
        <f t="shared" ref="CB164:CM164" si="284">IF(OR(CA162=0,CB162=0),"NM",CB162/CA162-1)</f>
        <v>NM</v>
      </c>
      <c r="CC164" s="2247" t="str">
        <f t="shared" si="284"/>
        <v>NM</v>
      </c>
      <c r="CD164" s="2242" t="str">
        <f t="shared" si="284"/>
        <v>NM</v>
      </c>
      <c r="CE164" s="2242" t="str">
        <f t="shared" si="284"/>
        <v>NM</v>
      </c>
      <c r="CF164" s="2242" t="str">
        <f t="shared" si="284"/>
        <v>NM</v>
      </c>
      <c r="CG164" s="2242" t="str">
        <f t="shared" si="284"/>
        <v>NM</v>
      </c>
      <c r="CH164" s="2242">
        <f t="shared" si="284"/>
        <v>2.1983948945072664</v>
      </c>
      <c r="CI164" s="2242">
        <f t="shared" si="284"/>
        <v>2.2226278600313343E-2</v>
      </c>
      <c r="CJ164" s="2242">
        <f t="shared" si="284"/>
        <v>-0.16567005663431311</v>
      </c>
      <c r="CK164" s="2242">
        <f t="shared" si="284"/>
        <v>3.2709354709439475E-2</v>
      </c>
      <c r="CL164" s="2242">
        <f t="shared" si="284"/>
        <v>1.4354294807710444E-2</v>
      </c>
      <c r="CM164" s="2242">
        <f t="shared" si="284"/>
        <v>-1.405452816223951E-3</v>
      </c>
      <c r="CN164" s="2240"/>
      <c r="CO164" s="2240"/>
      <c r="CP164" s="2248"/>
      <c r="CQ164" s="2246"/>
      <c r="CR164" s="2246"/>
      <c r="CS164" s="2246" t="str">
        <f t="shared" ref="CS164:DA164" si="285">IF(OR(CR162=0,CS162=0),"NM",CS162/CR162-1)</f>
        <v>NM</v>
      </c>
      <c r="CT164" s="2247" t="str">
        <f t="shared" si="285"/>
        <v>NM</v>
      </c>
      <c r="CU164" s="2247" t="str">
        <f t="shared" si="285"/>
        <v>NM</v>
      </c>
      <c r="CV164" s="2247" t="str">
        <f t="shared" si="285"/>
        <v>NM</v>
      </c>
      <c r="CW164" s="2247" t="str">
        <f t="shared" si="285"/>
        <v>NM</v>
      </c>
      <c r="CX164" s="2247" t="str">
        <f t="shared" si="285"/>
        <v>NM</v>
      </c>
      <c r="CY164" s="2247" t="str">
        <f t="shared" si="285"/>
        <v>NM</v>
      </c>
      <c r="CZ164" s="2247">
        <f t="shared" si="285"/>
        <v>7.403173278458782</v>
      </c>
      <c r="DA164" s="2247">
        <f t="shared" si="285"/>
        <v>0.4675128983011021</v>
      </c>
      <c r="DB164" s="2247">
        <f>IF(OR(DA162=0,DB162=0),"NM",DB162/DA162-1)</f>
        <v>-0.13413370356569199</v>
      </c>
      <c r="DC164" s="2247">
        <f>IF(OR(DB162=0,DC162=0),"NM",DC162/DB162-1)</f>
        <v>-7.8324489859593949E-2</v>
      </c>
      <c r="DD164" s="2247">
        <f>IF(OR(DC162=0,DD162=0),"NM",DD162/DC162-1)</f>
        <v>4.8538241611897348E-2</v>
      </c>
      <c r="DE164" s="2247">
        <f>IF(OR(DD162=0,DE162=0),"NM",DE162/DD162-1)</f>
        <v>2.6293890446416057E-3</v>
      </c>
      <c r="DF164" s="2240"/>
    </row>
    <row r="165" spans="1:110" s="1715" customFormat="1" hidden="1" outlineLevel="1">
      <c r="A165" s="2343" t="s">
        <v>290</v>
      </c>
      <c r="B165" s="2318"/>
      <c r="C165" s="2318"/>
      <c r="D165" s="2318"/>
      <c r="E165" s="2318"/>
      <c r="F165" s="2318"/>
      <c r="G165" s="2318"/>
      <c r="H165" s="2318"/>
      <c r="I165" s="2318"/>
      <c r="J165" s="2318"/>
      <c r="K165" s="2318"/>
      <c r="L165" s="2313"/>
      <c r="M165" s="2312"/>
      <c r="N165" s="2312"/>
      <c r="O165" s="2314"/>
      <c r="P165" s="2290"/>
      <c r="Q165" s="2315"/>
      <c r="R165" s="2315"/>
      <c r="S165" s="2316"/>
      <c r="T165" s="2290"/>
      <c r="U165" s="2315"/>
      <c r="V165" s="2315"/>
      <c r="W165" s="2316"/>
      <c r="X165" s="2290"/>
      <c r="Y165" s="2315"/>
      <c r="Z165" s="2315"/>
      <c r="AA165" s="2316"/>
      <c r="AB165" s="2313"/>
      <c r="AC165" s="2312"/>
      <c r="AD165" s="2312"/>
      <c r="AE165" s="2314"/>
      <c r="AF165" s="2313"/>
      <c r="AG165" s="2312"/>
      <c r="AH165" s="2312"/>
      <c r="AI165" s="2314"/>
      <c r="AJ165" s="2313"/>
      <c r="AK165" s="2312">
        <f t="shared" ref="AK165:AS165" si="286">AK162*AK224</f>
        <v>594.6666242085231</v>
      </c>
      <c r="AL165" s="2312">
        <f t="shared" si="286"/>
        <v>739.68755810218647</v>
      </c>
      <c r="AM165" s="2314">
        <f t="shared" si="286"/>
        <v>704.76486014943885</v>
      </c>
      <c r="AN165" s="2313">
        <f t="shared" si="286"/>
        <v>1279.6720509326876</v>
      </c>
      <c r="AO165" s="2312">
        <f>AO162*AO224</f>
        <v>1891.7700780925315</v>
      </c>
      <c r="AP165" s="2312">
        <f t="shared" si="286"/>
        <v>1598.0477505158406</v>
      </c>
      <c r="AQ165" s="2314">
        <f t="shared" si="286"/>
        <v>1456.4478940328099</v>
      </c>
      <c r="AR165" s="2313">
        <f t="shared" si="286"/>
        <v>1633.6791330400001</v>
      </c>
      <c r="AS165" s="2312">
        <f t="shared" si="286"/>
        <v>1586.7305115518504</v>
      </c>
      <c r="AT165" s="2312">
        <f>AT162*AT224</f>
        <v>1382.2761729707654</v>
      </c>
      <c r="AU165" s="2314">
        <f>AU162*AU224</f>
        <v>994.10708039316887</v>
      </c>
      <c r="AV165" s="2313">
        <f>AV162*AV224</f>
        <v>1123.2467101875004</v>
      </c>
      <c r="AW165" s="2312">
        <f t="shared" ref="AW165:BI165" si="287">AW162*AW224</f>
        <v>1102.1262241250004</v>
      </c>
      <c r="AX165" s="2312">
        <f t="shared" si="287"/>
        <v>938.07424087499976</v>
      </c>
      <c r="AY165" s="2314">
        <f t="shared" si="287"/>
        <v>902.42262272119069</v>
      </c>
      <c r="AZ165" s="2312"/>
      <c r="BA165" s="2313">
        <f>BA162*BA224</f>
        <v>1055.7809367053767</v>
      </c>
      <c r="BB165" s="2312">
        <f t="shared" si="287"/>
        <v>1121.5332953644493</v>
      </c>
      <c r="BC165" s="1710">
        <f t="shared" si="287"/>
        <v>946.75329384902557</v>
      </c>
      <c r="BD165" s="2314">
        <f t="shared" si="287"/>
        <v>1003.6271006776105</v>
      </c>
      <c r="BE165" s="2312"/>
      <c r="BF165" s="2313">
        <f t="shared" si="287"/>
        <v>1096.6203009046267</v>
      </c>
      <c r="BG165" s="2312">
        <f t="shared" si="287"/>
        <v>1128.1713328906685</v>
      </c>
      <c r="BH165" s="2312">
        <f t="shared" si="287"/>
        <v>955.61932434236405</v>
      </c>
      <c r="BI165" s="2314">
        <f t="shared" si="287"/>
        <v>997.24344179711795</v>
      </c>
      <c r="BJ165" s="2312"/>
      <c r="BK165" s="2313">
        <f>BK162*BK224</f>
        <v>1059.8055762591125</v>
      </c>
      <c r="BL165" s="2312">
        <f>BL162*BL224</f>
        <v>1097.7959555069378</v>
      </c>
      <c r="BM165" s="2312">
        <f>BM162*BM224</f>
        <v>920.01360248063077</v>
      </c>
      <c r="BN165" s="2314">
        <f>BN162*BN224</f>
        <v>956.60627525471466</v>
      </c>
      <c r="BO165" s="2312"/>
      <c r="BP165" s="2313">
        <f>BP162*BP224</f>
        <v>1011.8145177841819</v>
      </c>
      <c r="BQ165" s="2312">
        <f>BQ162*BQ224</f>
        <v>1050.0559616689291</v>
      </c>
      <c r="BR165" s="2312">
        <f>BR162*BR224</f>
        <v>878.88558067371787</v>
      </c>
      <c r="BS165" s="2314">
        <f>BS162*BS224</f>
        <v>913.89695778151008</v>
      </c>
      <c r="BT165" s="2312"/>
      <c r="BU165" s="2313">
        <f>BU162*BU224</f>
        <v>964.12333632500088</v>
      </c>
      <c r="BV165" s="2312">
        <f>BV162*BV224</f>
        <v>1001.5931610972624</v>
      </c>
      <c r="BW165" s="2312">
        <f>BW162*BW224</f>
        <v>837.4758200320066</v>
      </c>
      <c r="BX165" s="2314">
        <f>BX162*BX224</f>
        <v>870.72535760762355</v>
      </c>
      <c r="BY165" s="2317"/>
      <c r="BZ165" s="2318"/>
      <c r="CA165" s="2318"/>
      <c r="CB165" s="2319">
        <f>P165+Q165+R165+S165</f>
        <v>0</v>
      </c>
      <c r="CC165" s="2319">
        <f>T165+U165+V165+W165</f>
        <v>0</v>
      </c>
      <c r="CD165" s="2316">
        <f>X165+Y165+Z165+AA165</f>
        <v>0</v>
      </c>
      <c r="CE165" s="2316">
        <f>AB165+AC165+AD165+AE165</f>
        <v>0</v>
      </c>
      <c r="CF165" s="2316">
        <f>SUM(AF165:AI165)</f>
        <v>0</v>
      </c>
      <c r="CG165" s="2316">
        <f>SUM(AJ165:AM165)</f>
        <v>2039.1190424601484</v>
      </c>
      <c r="CH165" s="2316">
        <f>SUM(AN165:AQ165)</f>
        <v>6225.9377735738699</v>
      </c>
      <c r="CI165" s="2316">
        <f>SUM(AR165:AU165)</f>
        <v>5596.7928979557846</v>
      </c>
      <c r="CJ165" s="2316">
        <f>SUM(AV165:AY165)</f>
        <v>4065.869797908691</v>
      </c>
      <c r="CK165" s="2316">
        <f>SUM(BA165:BD165)</f>
        <v>4127.6946265964625</v>
      </c>
      <c r="CL165" s="2316">
        <f>SUM(BF165:BI165)</f>
        <v>4177.6543999347768</v>
      </c>
      <c r="CM165" s="2316">
        <f>SUM(BG165:BK165)</f>
        <v>4140.8396752892631</v>
      </c>
      <c r="CN165" s="2315"/>
      <c r="CO165" s="2315"/>
      <c r="CP165" s="2317"/>
      <c r="CQ165" s="2318"/>
      <c r="CR165" s="2318">
        <f>F165+G165+H165+I165</f>
        <v>0</v>
      </c>
      <c r="CS165" s="2318">
        <f>J165+K165+L165+M165</f>
        <v>0</v>
      </c>
      <c r="CT165" s="2319">
        <f>N165+O165+P165+Q165</f>
        <v>0</v>
      </c>
      <c r="CU165" s="2319">
        <f>R165+S165+T165+U165</f>
        <v>0</v>
      </c>
      <c r="CV165" s="2319">
        <f>V165+W165+X165+Y165</f>
        <v>0</v>
      </c>
      <c r="CW165" s="2319">
        <f>Z165+AA165+AB165+AC165</f>
        <v>0</v>
      </c>
      <c r="CX165" s="2318">
        <f>SUM(AD165:AG165)</f>
        <v>0</v>
      </c>
      <c r="CY165" s="2318">
        <f>(SUM(AH165:AK165)/SUM(AH162:AK162))*CY162</f>
        <v>594.6666242085231</v>
      </c>
      <c r="CZ165" s="2318">
        <f>(SUM(AL165:AO165)/SUM(AL162:AO162))*CZ162</f>
        <v>4615.8945472768446</v>
      </c>
      <c r="DA165" s="2318">
        <f>(SUM(AP165:AS165)/SUM(AP162:AS162))*DA162</f>
        <v>6274.9052891405008</v>
      </c>
      <c r="DB165" s="2318">
        <f>SUM(AT165:AW165)</f>
        <v>4601.7561876764348</v>
      </c>
      <c r="DC165" s="2318">
        <f>SUM(AX165:BB165)</f>
        <v>4017.8110956660166</v>
      </c>
      <c r="DD165" s="2318">
        <f>SUM(BC165:BG165)</f>
        <v>4175.1720283219311</v>
      </c>
      <c r="DE165" s="2318">
        <f>SUM(BD165:BH165)</f>
        <v>4184.0380588152693</v>
      </c>
      <c r="DF165" s="2312"/>
    </row>
    <row r="166" spans="1:110" s="1715" customFormat="1" hidden="1" outlineLevel="1">
      <c r="A166" s="2343"/>
      <c r="B166" s="2318"/>
      <c r="C166" s="2318"/>
      <c r="D166" s="2318"/>
      <c r="E166" s="2318"/>
      <c r="F166" s="2318"/>
      <c r="G166" s="2318"/>
      <c r="H166" s="2318"/>
      <c r="I166" s="2318"/>
      <c r="J166" s="2318"/>
      <c r="K166" s="2318"/>
      <c r="L166" s="2313"/>
      <c r="M166" s="2312"/>
      <c r="N166" s="2312"/>
      <c r="O166" s="2314"/>
      <c r="P166" s="2290"/>
      <c r="Q166" s="2315"/>
      <c r="R166" s="2315"/>
      <c r="S166" s="2316"/>
      <c r="T166" s="2290"/>
      <c r="U166" s="2315"/>
      <c r="V166" s="2315"/>
      <c r="W166" s="2316"/>
      <c r="X166" s="2290"/>
      <c r="Y166" s="2315"/>
      <c r="Z166" s="2315"/>
      <c r="AA166" s="2316"/>
      <c r="AB166" s="2313"/>
      <c r="AC166" s="2312"/>
      <c r="AD166" s="2312"/>
      <c r="AE166" s="2314"/>
      <c r="AF166" s="2313"/>
      <c r="AG166" s="2312"/>
      <c r="AH166" s="2359"/>
      <c r="AI166" s="2314"/>
      <c r="AJ166" s="2313"/>
      <c r="AK166" s="2312"/>
      <c r="AL166" s="2359"/>
      <c r="AM166" s="2314"/>
      <c r="AN166" s="2313"/>
      <c r="AO166" s="2312"/>
      <c r="AP166" s="2312"/>
      <c r="AQ166" s="2314"/>
      <c r="AR166" s="2313"/>
      <c r="AS166" s="2312"/>
      <c r="AT166" s="2312"/>
      <c r="AU166" s="2314"/>
      <c r="AV166" s="2313"/>
      <c r="AW166" s="2312"/>
      <c r="AX166" s="2312"/>
      <c r="AY166" s="2314"/>
      <c r="AZ166" s="2312"/>
      <c r="BA166" s="2313"/>
      <c r="BB166" s="2312"/>
      <c r="BC166" s="1710"/>
      <c r="BD166" s="2314"/>
      <c r="BE166" s="2312"/>
      <c r="BF166" s="2313"/>
      <c r="BG166" s="2312"/>
      <c r="BH166" s="2312"/>
      <c r="BI166" s="2314"/>
      <c r="BJ166" s="2312"/>
      <c r="BK166" s="2313"/>
      <c r="BL166" s="2312"/>
      <c r="BM166" s="2312"/>
      <c r="BN166" s="2314"/>
      <c r="BO166" s="2312"/>
      <c r="BP166" s="2313"/>
      <c r="BQ166" s="2312"/>
      <c r="BR166" s="2312"/>
      <c r="BS166" s="2314"/>
      <c r="BT166" s="2312"/>
      <c r="BU166" s="2313"/>
      <c r="BV166" s="2312"/>
      <c r="BW166" s="2312"/>
      <c r="BX166" s="2314"/>
      <c r="BY166" s="2317"/>
      <c r="BZ166" s="2318"/>
      <c r="CA166" s="2318"/>
      <c r="CB166" s="2319"/>
      <c r="CC166" s="2319"/>
      <c r="CD166" s="2316"/>
      <c r="CE166" s="2316"/>
      <c r="CF166" s="2316"/>
      <c r="CG166" s="2316"/>
      <c r="CH166" s="2316"/>
      <c r="CI166" s="2316"/>
      <c r="CJ166" s="2316"/>
      <c r="CK166" s="2316"/>
      <c r="CL166" s="2316"/>
      <c r="CM166" s="2316"/>
      <c r="CN166" s="2315"/>
      <c r="CO166" s="2315"/>
      <c r="CP166" s="2317"/>
      <c r="CQ166" s="2318"/>
      <c r="CR166" s="2318"/>
      <c r="CS166" s="2318"/>
      <c r="CT166" s="2319"/>
      <c r="CU166" s="2319"/>
      <c r="CV166" s="2319"/>
      <c r="CW166" s="2319"/>
      <c r="CX166" s="2318"/>
      <c r="CY166" s="2302"/>
      <c r="CZ166" s="2261"/>
      <c r="DA166" s="2302"/>
      <c r="DB166" s="2302"/>
      <c r="DC166" s="2302"/>
      <c r="DD166" s="2300"/>
      <c r="DE166" s="2300"/>
      <c r="DF166" s="2298"/>
    </row>
    <row r="167" spans="1:110" s="1715" customFormat="1" hidden="1" outlineLevel="1">
      <c r="A167" s="2363" t="s">
        <v>296</v>
      </c>
      <c r="B167" s="2364"/>
      <c r="C167" s="2364"/>
      <c r="D167" s="2364"/>
      <c r="E167" s="2364"/>
      <c r="F167" s="2280">
        <f t="shared" ref="F167:V167" si="288">F72+F78+F114+F102+F84+F90+F96+F108</f>
        <v>31.606526818318766</v>
      </c>
      <c r="G167" s="2280">
        <f t="shared" si="288"/>
        <v>31.410929371753532</v>
      </c>
      <c r="H167" s="2280">
        <f t="shared" si="288"/>
        <v>37.03451860678782</v>
      </c>
      <c r="I167" s="2280">
        <f t="shared" si="288"/>
        <v>42.455969700233837</v>
      </c>
      <c r="J167" s="2280">
        <f t="shared" si="288"/>
        <v>37.18228407171965</v>
      </c>
      <c r="K167" s="2280">
        <f t="shared" si="288"/>
        <v>37.957297638702954</v>
      </c>
      <c r="L167" s="2278">
        <f t="shared" si="288"/>
        <v>41.515742810739617</v>
      </c>
      <c r="M167" s="2276">
        <f t="shared" si="288"/>
        <v>46.682558447793213</v>
      </c>
      <c r="N167" s="2276">
        <f t="shared" si="288"/>
        <v>45.841636058377112</v>
      </c>
      <c r="O167" s="2277">
        <f t="shared" si="288"/>
        <v>42.389182632032671</v>
      </c>
      <c r="P167" s="2278">
        <f t="shared" si="288"/>
        <v>50.128534307283289</v>
      </c>
      <c r="Q167" s="2276">
        <f t="shared" si="288"/>
        <v>55.382104339826867</v>
      </c>
      <c r="R167" s="2276">
        <f t="shared" si="288"/>
        <v>48.046866460109996</v>
      </c>
      <c r="S167" s="2277">
        <f t="shared" si="288"/>
        <v>51.864012110828064</v>
      </c>
      <c r="T167" s="2278">
        <f t="shared" si="288"/>
        <v>54.235401915362942</v>
      </c>
      <c r="U167" s="2276">
        <f t="shared" si="288"/>
        <v>55.933110805358396</v>
      </c>
      <c r="V167" s="2276">
        <f t="shared" si="288"/>
        <v>46.378795873027556</v>
      </c>
      <c r="W167" s="2277">
        <f>W72+W114+W102+W84+W90+W96+W108</f>
        <v>49.433079914465651</v>
      </c>
      <c r="X167" s="2278">
        <f>X72+X114+X102+X84+X90+X96+X108</f>
        <v>59.567920258504884</v>
      </c>
      <c r="Y167" s="2276">
        <f t="shared" ref="Y167:AI167" si="289">Y72+Y114+Y102+Y84+Y90+Y96+Y108+Y78+Y120+Y126+Y132+Y138+Y156</f>
        <v>69.642552868583337</v>
      </c>
      <c r="Z167" s="2276">
        <f t="shared" si="289"/>
        <v>60.604756852699687</v>
      </c>
      <c r="AA167" s="2276">
        <f t="shared" si="289"/>
        <v>62.137413964837535</v>
      </c>
      <c r="AB167" s="2278">
        <f t="shared" si="289"/>
        <v>62.253939776863447</v>
      </c>
      <c r="AC167" s="2276">
        <f t="shared" si="289"/>
        <v>66.478033431629456</v>
      </c>
      <c r="AD167" s="2276">
        <f t="shared" si="289"/>
        <v>59.336642187847289</v>
      </c>
      <c r="AE167" s="2277">
        <f t="shared" si="289"/>
        <v>62.321105576377505</v>
      </c>
      <c r="AF167" s="2278">
        <f t="shared" si="289"/>
        <v>66.886657032499926</v>
      </c>
      <c r="AG167" s="2276">
        <f t="shared" si="289"/>
        <v>64.444547905374819</v>
      </c>
      <c r="AH167" s="2276">
        <f t="shared" si="289"/>
        <v>61.844303677902474</v>
      </c>
      <c r="AI167" s="2277">
        <f t="shared" si="289"/>
        <v>62.8125716759521</v>
      </c>
      <c r="AJ167" s="2276">
        <f t="shared" ref="AJ167:AO167" si="290">AJ72+AJ114+AJ102+AJ84+AJ90+AJ96+AJ108+AJ78+AJ120+AJ126+AJ132+AJ138+AJ156+AJ162+AJ150+AJ144</f>
        <v>65.263623143298759</v>
      </c>
      <c r="AK167" s="2276">
        <f t="shared" si="290"/>
        <v>69.253704322951606</v>
      </c>
      <c r="AL167" s="2276">
        <f t="shared" si="290"/>
        <v>58.533227034753992</v>
      </c>
      <c r="AM167" s="2277">
        <f t="shared" si="290"/>
        <v>57.460082489774422</v>
      </c>
      <c r="AN167" s="2278">
        <f t="shared" si="290"/>
        <v>59.847475944970185</v>
      </c>
      <c r="AO167" s="2276">
        <f t="shared" si="290"/>
        <v>69.926254621791941</v>
      </c>
      <c r="AP167" s="2276">
        <f t="shared" ref="AP167:AU167" si="291">AP72+AP114+AP102+AP84+AP90+AP96+AP108+AP78+AP120+AP126+AP132+AP138+AP156+AP162+AP150+AP144</f>
        <v>60.888134945795564</v>
      </c>
      <c r="AQ167" s="2277">
        <f>AQ72+AQ114+AQ102+AQ84+AQ90+AQ96+AQ108+AQ78+AQ120+AQ126+AQ132+AQ138+AQ156+AQ162+AQ150+AQ144</f>
        <v>60.396186711765552</v>
      </c>
      <c r="AR167" s="2278">
        <f t="shared" si="291"/>
        <v>59.950790450000014</v>
      </c>
      <c r="AS167" s="2276">
        <f>AS72+AS114+AS102+AS84+AS90+AS96+AS108+AS78+AS120+AS126+AS132+AS138+AS156+AS162+AS150+AS144</f>
        <v>65.603796337999981</v>
      </c>
      <c r="AT167" s="2276">
        <f t="shared" si="291"/>
        <v>51.402246285513499</v>
      </c>
      <c r="AU167" s="2277">
        <f t="shared" si="291"/>
        <v>49.746652934487578</v>
      </c>
      <c r="AV167" s="2278">
        <f t="shared" ref="AV167:BI167" si="292">AV72+AV114+AV102+AV84+AV90+AV96+AV108+AV78+AV120+AV126+AV132+AV138+AV156+AV162+AV150+AV144</f>
        <v>52.420877368412704</v>
      </c>
      <c r="AW167" s="2276">
        <f t="shared" si="292"/>
        <v>55.354602253909469</v>
      </c>
      <c r="AX167" s="2276">
        <f t="shared" si="292"/>
        <v>44.422715037227476</v>
      </c>
      <c r="AY167" s="2277">
        <f t="shared" si="292"/>
        <v>46.229379841579203</v>
      </c>
      <c r="AZ167" s="2276"/>
      <c r="BA167" s="2278">
        <f t="shared" si="292"/>
        <v>50.249391775629768</v>
      </c>
      <c r="BB167" s="2276">
        <f t="shared" si="292"/>
        <v>54.240546129298451</v>
      </c>
      <c r="BC167" s="189">
        <f t="shared" si="292"/>
        <v>43.747080998873315</v>
      </c>
      <c r="BD167" s="2277">
        <f t="shared" si="292"/>
        <v>46.015222237894619</v>
      </c>
      <c r="BE167" s="2276"/>
      <c r="BF167" s="2278">
        <f t="shared" si="292"/>
        <v>51.950341972247386</v>
      </c>
      <c r="BG167" s="2276">
        <f t="shared" si="292"/>
        <v>55.982983871134756</v>
      </c>
      <c r="BH167" s="2276">
        <f t="shared" si="292"/>
        <v>45.19544796676422</v>
      </c>
      <c r="BI167" s="2277">
        <f t="shared" si="292"/>
        <v>46.791085046171688</v>
      </c>
      <c r="BJ167" s="2276"/>
      <c r="BK167" s="2278">
        <f>BK72+BK114+BK102+BK84+BK90+BK96+BK108+BK78+BK120+BK126+BK132+BK138+BK156+BK162+BK150+BK144</f>
        <v>51.590733592082756</v>
      </c>
      <c r="BL167" s="2276">
        <f>BL72+BL114+BL102+BL84+BL90+BL96+BL108+BL78+BL120+BL126+BL132+BL138+BL156+BL162+BL150+BL144</f>
        <v>55.562990837252073</v>
      </c>
      <c r="BM167" s="2276">
        <f>BM72+BM114+BM102+BM84+BM90+BM96+BM108+BM78+BM120+BM126+BM132+BM138+BM156+BM162+BM150+BM144</f>
        <v>44.8639331729091</v>
      </c>
      <c r="BN167" s="2277">
        <f>BN72+BN114+BN102+BN84+BN90+BN96+BN108+BN78+BN120+BN126+BN132+BN138+BN156+BN162+BN150+BN144</f>
        <v>46.441564234227755</v>
      </c>
      <c r="BO167" s="2276"/>
      <c r="BP167" s="2278">
        <f>BP72+BP114+BP102+BP84+BP90+BP96+BP108+BP78+BP120+BP126+BP132+BP138+BP156+BP162+BP150+BP144</f>
        <v>50.803687313488808</v>
      </c>
      <c r="BQ167" s="2276">
        <f>BQ72+BQ114+BQ102+BQ84+BQ90+BQ96+BQ108+BQ78+BQ120+BQ126+BQ132+BQ138+BQ156+BQ162+BQ150+BQ144</f>
        <v>54.874415394085474</v>
      </c>
      <c r="BR167" s="2276">
        <f>BR72+BR114+BR102+BR84+BR90+BR96+BR108+BR78+BR120+BR126+BR132+BR138+BR156+BR162+BR150+BR144</f>
        <v>44.25457617745834</v>
      </c>
      <c r="BS167" s="2277">
        <f>BS72+BS114+BS102+BS84+BS90+BS96+BS108+BS78+BS120+BS126+BS132+BS138+BS156+BS162+BS150+BS144</f>
        <v>45.832707531629978</v>
      </c>
      <c r="BT167" s="2276"/>
      <c r="BU167" s="2278">
        <f>BU72+BU114+BU102+BU84+BU90+BU96+BU108+BU78+BU120+BU126+BU132+BU138+BU156+BU162+BU150+BU144</f>
        <v>50.154591935172483</v>
      </c>
      <c r="BV167" s="2276">
        <f>BV72+BV114+BV102+BV84+BV90+BV96+BV108+BV78+BV120+BV126+BV132+BV138+BV156+BV162+BV150+BV144</f>
        <v>54.317599408579355</v>
      </c>
      <c r="BW167" s="2276">
        <f>BW72+BW114+BW102+BW84+BW90+BW96+BW108+BW78+BW120+BW126+BW132+BW138+BW156+BW162+BW150+BW144</f>
        <v>43.690716752161151</v>
      </c>
      <c r="BX167" s="2277">
        <f>BX72+BX114+BX102+BX84+BX90+BX96+BX108+BX78+BX120+BX126+BX132+BX138+BX156+BX162+BX150+BX144</f>
        <v>45.232681181982862</v>
      </c>
      <c r="BY167" s="2279"/>
      <c r="BZ167" s="2280">
        <f>BZ72+BZ114+BZ102+BZ84+BZ90+BZ96+BZ108+BZ78</f>
        <v>154.63007001744424</v>
      </c>
      <c r="CA167" s="2280">
        <f>CA72+CA114+CA102+CA84+CA90+CA96+CA108+CA78</f>
        <v>176.42911994894263</v>
      </c>
      <c r="CB167" s="2280">
        <f>CB72+CB114+CB102+CB84+CB90+CB96+CB108+CB78</f>
        <v>205.42151721804819</v>
      </c>
      <c r="CC167" s="2280">
        <f>CC72+CC114+CC102+CC84+CC90+CC96+CC108+CC156+CC138+CC132+CC126+CC120+CC78</f>
        <v>205.98038850821453</v>
      </c>
      <c r="CD167" s="2280">
        <f>CD72+CD114+CD102+CD84+CD90+CD96+CD108+CD156+CD138+CD132+CD126+CD120+CD78</f>
        <v>251.95264394462541</v>
      </c>
      <c r="CE167" s="2280">
        <f>CE72+CE114+CE102+CE84+CE90+CE96+CE108+CE156+CE138+CE132+CE126+CE120+CE78</f>
        <v>250.38972097271767</v>
      </c>
      <c r="CF167" s="2280">
        <f>SUM(AF167:AI167)</f>
        <v>255.98808029172932</v>
      </c>
      <c r="CG167" s="2280">
        <f>SUM(AJ167:AM167)</f>
        <v>250.51063699077878</v>
      </c>
      <c r="CH167" s="2280">
        <f>SUM(AN167:AQ167)</f>
        <v>251.05805222432326</v>
      </c>
      <c r="CI167" s="2280">
        <f>SUM(AR167:AU167)</f>
        <v>226.70348600800108</v>
      </c>
      <c r="CJ167" s="2280">
        <f>SUM(AV167:AY167)</f>
        <v>198.42757450112884</v>
      </c>
      <c r="CK167" s="2280">
        <f>SUM(BA167:BD167)</f>
        <v>194.25224114169615</v>
      </c>
      <c r="CL167" s="2280">
        <f>SUM(BF167:BI167)</f>
        <v>199.91985885631806</v>
      </c>
      <c r="CM167" s="2280">
        <f>SUM(BG167:BK167)</f>
        <v>199.56025047615344</v>
      </c>
      <c r="CN167" s="2276"/>
      <c r="CO167" s="2276"/>
      <c r="CP167" s="2281"/>
      <c r="CQ167" s="2280"/>
      <c r="CR167" s="2280">
        <f>CR72+CR114+CR102+CR84+CR90+CR96+CR108+CR78</f>
        <v>142.50794449709397</v>
      </c>
      <c r="CS167" s="2280">
        <f>CS72+CS114+CS102+CS84+CS90+CS96+CS108+CS78</f>
        <v>163.33788296895543</v>
      </c>
      <c r="CT167" s="2280">
        <f>CT72+CT114+CT102+CT84+CT90+CT96+CT108+CT78</f>
        <v>193.74145733751993</v>
      </c>
      <c r="CU167" s="2280">
        <f>CU72+CU114+CU102+CU84+CU90+CU96+CU108+CU156+CU138+CU132+CU126+CU120+CU78</f>
        <v>210.07939129165942</v>
      </c>
      <c r="CV167" s="2280">
        <f>CV72+CV114+CV102+CV84+CV90+CV96+CV108+CV156+CV138+CV132+CV126+CV120+CV78</f>
        <v>225.02234891458141</v>
      </c>
      <c r="CW167" s="2280">
        <f>CW72+CW114+CW102+CW84+CW90+CW96+CW108+CW156+CW138+CW132+CW126+CW120+CW78</f>
        <v>251.47414402603013</v>
      </c>
      <c r="CX167" s="2280">
        <f>AD167+AE167+AF167+AG167</f>
        <v>252.98895270209954</v>
      </c>
      <c r="CY167" s="2280">
        <f t="shared" ref="CY167:DD167" si="293">CY72+CY114+CY102+CY84+CY90+CY96+CY108+CY78+CY120+CY126+CY132+CY138+CY156+CY162+CY150+CY144</f>
        <v>259.17420282010494</v>
      </c>
      <c r="CZ167" s="2280">
        <f t="shared" si="293"/>
        <v>245.76704009129057</v>
      </c>
      <c r="DA167" s="2280">
        <f t="shared" si="293"/>
        <v>246.83890844556112</v>
      </c>
      <c r="DB167" s="2280">
        <f t="shared" si="293"/>
        <v>208.92437884232325</v>
      </c>
      <c r="DC167" s="2280">
        <f t="shared" si="293"/>
        <v>195.14203278373492</v>
      </c>
      <c r="DD167" s="2280">
        <f t="shared" si="293"/>
        <v>197.69562908015007</v>
      </c>
      <c r="DE167" s="2280">
        <f>DE72+DE114+DE102+DE84+DE90+DE96+DE108+DE78+DE120+DE126+DE132+DE138+DE156+DE162+DE150+DE144</f>
        <v>199.143996048041</v>
      </c>
      <c r="DF167" s="2276"/>
    </row>
    <row r="168" spans="1:110" s="1715" customFormat="1" hidden="1" outlineLevel="1">
      <c r="A168" s="2365" t="s">
        <v>121</v>
      </c>
      <c r="B168" s="2366"/>
      <c r="C168" s="2366"/>
      <c r="D168" s="2366"/>
      <c r="E168" s="2366"/>
      <c r="F168" s="2366"/>
      <c r="G168" s="2366"/>
      <c r="H168" s="2366"/>
      <c r="I168" s="2366"/>
      <c r="J168" s="2367"/>
      <c r="K168" s="2367"/>
      <c r="L168" s="2368">
        <f t="shared" ref="L168:AS168" si="294">L167/H167-1</f>
        <v>0.1210012813054484</v>
      </c>
      <c r="M168" s="2369">
        <f t="shared" si="294"/>
        <v>9.9552283869660307E-2</v>
      </c>
      <c r="N168" s="2369">
        <f t="shared" si="294"/>
        <v>0.23288918910830581</v>
      </c>
      <c r="O168" s="2370">
        <f t="shared" si="294"/>
        <v>0.11675976081107442</v>
      </c>
      <c r="P168" s="2368">
        <f t="shared" si="294"/>
        <v>0.2074584462045479</v>
      </c>
      <c r="Q168" s="2369">
        <f t="shared" si="294"/>
        <v>0.18635537942425917</v>
      </c>
      <c r="R168" s="2369">
        <f t="shared" si="294"/>
        <v>4.8105403544599357E-2</v>
      </c>
      <c r="S168" s="2370">
        <f t="shared" si="294"/>
        <v>0.22351998530010464</v>
      </c>
      <c r="T168" s="2368">
        <f t="shared" si="294"/>
        <v>8.1926744215279346E-2</v>
      </c>
      <c r="U168" s="2369">
        <f t="shared" si="294"/>
        <v>9.9491789288201904E-3</v>
      </c>
      <c r="V168" s="2369">
        <f t="shared" si="294"/>
        <v>-3.4717572861225454E-2</v>
      </c>
      <c r="W168" s="2370">
        <f t="shared" si="294"/>
        <v>-4.6871271570116058E-2</v>
      </c>
      <c r="X168" s="2368">
        <f t="shared" si="294"/>
        <v>9.832172630459346E-2</v>
      </c>
      <c r="Y168" s="2369">
        <f t="shared" si="294"/>
        <v>0.24510423013896765</v>
      </c>
      <c r="Z168" s="2369">
        <f t="shared" si="294"/>
        <v>0.30673415969269491</v>
      </c>
      <c r="AA168" s="2369">
        <f t="shared" si="294"/>
        <v>0.25700065770440084</v>
      </c>
      <c r="AB168" s="2368">
        <f t="shared" si="294"/>
        <v>4.5091712228698455E-2</v>
      </c>
      <c r="AC168" s="2369">
        <f t="shared" si="294"/>
        <v>-4.5439451981683976E-2</v>
      </c>
      <c r="AD168" s="2369">
        <f t="shared" si="294"/>
        <v>-2.0924342093056492E-2</v>
      </c>
      <c r="AE168" s="2370">
        <f t="shared" si="294"/>
        <v>2.9562159063123428E-3</v>
      </c>
      <c r="AF168" s="2371">
        <f t="shared" si="294"/>
        <v>7.4416450946582779E-2</v>
      </c>
      <c r="AG168" s="2369">
        <f t="shared" si="294"/>
        <v>-3.0588833954392047E-2</v>
      </c>
      <c r="AH168" s="2369">
        <f t="shared" si="294"/>
        <v>4.2261600885949324E-2</v>
      </c>
      <c r="AI168" s="2370">
        <f t="shared" si="294"/>
        <v>7.8860298614613633E-3</v>
      </c>
      <c r="AJ168" s="2368">
        <f t="shared" si="294"/>
        <v>-2.4265435906185906E-2</v>
      </c>
      <c r="AK168" s="2369">
        <f t="shared" si="294"/>
        <v>7.4624721157764418E-2</v>
      </c>
      <c r="AL168" s="2369">
        <f t="shared" si="294"/>
        <v>-5.3538910558250108E-2</v>
      </c>
      <c r="AM168" s="2370">
        <f t="shared" si="294"/>
        <v>-8.5213660949769565E-2</v>
      </c>
      <c r="AN168" s="2368">
        <f t="shared" si="294"/>
        <v>-8.2988760621462654E-2</v>
      </c>
      <c r="AO168" s="2369">
        <f>AO167/AK167-1</f>
        <v>9.7113981903989011E-3</v>
      </c>
      <c r="AP168" s="2369">
        <f t="shared" si="294"/>
        <v>4.0231984982535662E-2</v>
      </c>
      <c r="AQ168" s="2370">
        <f t="shared" si="294"/>
        <v>5.1098155358785702E-2</v>
      </c>
      <c r="AR168" s="2368">
        <f t="shared" si="294"/>
        <v>1.7262967802489371E-3</v>
      </c>
      <c r="AS168" s="2369">
        <f t="shared" si="294"/>
        <v>-6.1814525991284897E-2</v>
      </c>
      <c r="AT168" s="2369">
        <f>AT167/AP167-1</f>
        <v>-0.15579207129150341</v>
      </c>
      <c r="AU168" s="2370">
        <f>AU167/AQ167-1</f>
        <v>-0.17632791666304615</v>
      </c>
      <c r="AV168" s="2368">
        <f t="shared" ref="AV168:AY168" si="295">AV167/AR167-1</f>
        <v>-0.125601564634371</v>
      </c>
      <c r="AW168" s="2369">
        <f t="shared" si="295"/>
        <v>-0.15622867358598003</v>
      </c>
      <c r="AX168" s="2369">
        <f t="shared" si="295"/>
        <v>-0.13578261170763339</v>
      </c>
      <c r="AY168" s="2370">
        <f t="shared" si="295"/>
        <v>-7.0703713424506098E-2</v>
      </c>
      <c r="AZ168" s="2369"/>
      <c r="BA168" s="2368">
        <f>BA167/AV167-1</f>
        <v>-4.1424060446790811E-2</v>
      </c>
      <c r="BB168" s="2369">
        <f>BB167/AW167-1</f>
        <v>-2.0125808500996656E-2</v>
      </c>
      <c r="BC168" s="2611">
        <f>BC167/AX167-1</f>
        <v>-1.520920181911356E-2</v>
      </c>
      <c r="BD168" s="2370">
        <f>BD167/AY167-1</f>
        <v>-4.6325000339278999E-3</v>
      </c>
      <c r="BE168" s="2369"/>
      <c r="BF168" s="2241">
        <f>BF167/BA167-1</f>
        <v>3.3850164877867295E-2</v>
      </c>
      <c r="BG168" s="2240">
        <f>BG167/BB167-1</f>
        <v>3.2124266184243133E-2</v>
      </c>
      <c r="BH168" s="2240">
        <f>BH167/BC167-1</f>
        <v>3.3107739643891021E-2</v>
      </c>
      <c r="BI168" s="2242">
        <f>BI167/BD167-1</f>
        <v>1.6861003175556277E-2</v>
      </c>
      <c r="BJ168" s="2240"/>
      <c r="BK168" s="2241">
        <f>BK167/BF167-1</f>
        <v>-6.922156168995719E-3</v>
      </c>
      <c r="BL168" s="2240">
        <f>BL167/BG167-1</f>
        <v>-7.502155205757699E-3</v>
      </c>
      <c r="BM168" s="2240">
        <f>BM167/BH167-1</f>
        <v>-7.3351368062312128E-3</v>
      </c>
      <c r="BN168" s="2242">
        <f>BN167/BI167-1</f>
        <v>-7.4698163464053113E-3</v>
      </c>
      <c r="BO168" s="2240"/>
      <c r="BP168" s="2241">
        <f>BP167/BK167-1</f>
        <v>-1.525557447616388E-2</v>
      </c>
      <c r="BQ168" s="2240">
        <f>BQ167/BL167-1</f>
        <v>-1.2392699399200513E-2</v>
      </c>
      <c r="BR168" s="2240">
        <f>BR167/BM167-1</f>
        <v>-1.358233557236832E-2</v>
      </c>
      <c r="BS168" s="2242">
        <f>BS167/BN167-1</f>
        <v>-1.3110167855824417E-2</v>
      </c>
      <c r="BT168" s="2240"/>
      <c r="BU168" s="2241">
        <f>BU167/BP167-1</f>
        <v>-1.2776540693021365E-2</v>
      </c>
      <c r="BV168" s="2240">
        <f>BV167/BQ167-1</f>
        <v>-1.0147096447539306E-2</v>
      </c>
      <c r="BW168" s="2240">
        <f>BW167/BR167-1</f>
        <v>-1.2741268225824665E-2</v>
      </c>
      <c r="BX168" s="2242">
        <f>BX167/BS167-1</f>
        <v>-1.3091662743970112E-2</v>
      </c>
      <c r="BY168" s="2372"/>
      <c r="BZ168" s="2373"/>
      <c r="CA168" s="2373">
        <f t="shared" ref="CA168:CM168" si="296">IF(OR(BZ167=0,CA167=0),"NM",CA167/BZ167-1)</f>
        <v>0.14097549027197087</v>
      </c>
      <c r="CB168" s="2373">
        <f t="shared" si="296"/>
        <v>0.16432886633167909</v>
      </c>
      <c r="CC168" s="2373">
        <f t="shared" si="296"/>
        <v>2.720607352797888E-3</v>
      </c>
      <c r="CD168" s="2370">
        <f t="shared" si="296"/>
        <v>0.2231875362958522</v>
      </c>
      <c r="CE168" s="2370">
        <f t="shared" si="296"/>
        <v>-6.2032410036992891E-3</v>
      </c>
      <c r="CF168" s="2370">
        <f t="shared" si="296"/>
        <v>2.2358582841432328E-2</v>
      </c>
      <c r="CG168" s="2370">
        <f t="shared" si="296"/>
        <v>-2.1397259179835038E-2</v>
      </c>
      <c r="CH168" s="2370">
        <f t="shared" si="296"/>
        <v>2.1851975633460086E-3</v>
      </c>
      <c r="CI168" s="2370">
        <f t="shared" si="296"/>
        <v>-9.7007707980467761E-2</v>
      </c>
      <c r="CJ168" s="2370">
        <f t="shared" si="296"/>
        <v>-0.12472640807064739</v>
      </c>
      <c r="CK168" s="2370">
        <f t="shared" si="296"/>
        <v>-2.1042102489686743E-2</v>
      </c>
      <c r="CL168" s="2370">
        <f t="shared" si="296"/>
        <v>2.9176588549563842E-2</v>
      </c>
      <c r="CM168" s="2370">
        <f t="shared" si="296"/>
        <v>-1.7987626753130925E-3</v>
      </c>
      <c r="CN168" s="2369"/>
      <c r="CO168" s="2369"/>
      <c r="CP168" s="2374"/>
      <c r="CQ168" s="2373"/>
      <c r="CR168" s="2373"/>
      <c r="CS168" s="2373">
        <f t="shared" ref="CS168:DE168" si="297">IF(OR(CR167=0,CS167=0),"NM",CS167/CR167-1)</f>
        <v>0.14616685789251704</v>
      </c>
      <c r="CT168" s="2373">
        <f t="shared" si="297"/>
        <v>0.18613914797918074</v>
      </c>
      <c r="CU168" s="2373">
        <f t="shared" si="297"/>
        <v>8.4328538551647902E-2</v>
      </c>
      <c r="CV168" s="2373">
        <f t="shared" si="297"/>
        <v>7.1130050077954809E-2</v>
      </c>
      <c r="CW168" s="2373">
        <f t="shared" si="297"/>
        <v>0.117551857577888</v>
      </c>
      <c r="CX168" s="2373">
        <f t="shared" si="297"/>
        <v>6.0237154079452182E-3</v>
      </c>
      <c r="CY168" s="2373">
        <f t="shared" si="297"/>
        <v>2.4448696482366472E-2</v>
      </c>
      <c r="CZ168" s="2373">
        <f t="shared" si="297"/>
        <v>-5.1730313368110958E-2</v>
      </c>
      <c r="DA168" s="2373">
        <f t="shared" si="297"/>
        <v>4.3613185635975604E-3</v>
      </c>
      <c r="DB168" s="2373">
        <f t="shared" si="297"/>
        <v>-0.15360029681706233</v>
      </c>
      <c r="DC168" s="2373">
        <f t="shared" si="297"/>
        <v>-6.5968108341200149E-2</v>
      </c>
      <c r="DD168" s="2373">
        <f t="shared" si="297"/>
        <v>1.3085834251020501E-2</v>
      </c>
      <c r="DE168" s="2373">
        <f t="shared" si="297"/>
        <v>7.3262467897241557E-3</v>
      </c>
      <c r="DF168" s="2369"/>
    </row>
    <row r="169" spans="1:110" s="1715" customFormat="1" hidden="1" outlineLevel="1">
      <c r="A169" s="2375" t="s">
        <v>297</v>
      </c>
      <c r="B169" s="2376"/>
      <c r="C169" s="2376"/>
      <c r="D169" s="2376"/>
      <c r="E169" s="2376"/>
      <c r="F169" s="2376">
        <f t="shared" ref="F169:O169" si="298">F75+F117+F105+F87+F93+F99+F111+F81</f>
        <v>2250.7678188802756</v>
      </c>
      <c r="G169" s="2376">
        <f t="shared" si="298"/>
        <v>2236.8389098066909</v>
      </c>
      <c r="H169" s="2376">
        <f t="shared" si="298"/>
        <v>2729.0281340459733</v>
      </c>
      <c r="I169" s="2376">
        <f t="shared" si="298"/>
        <v>3106.213055276613</v>
      </c>
      <c r="J169" s="2376">
        <f t="shared" si="298"/>
        <v>2722.409853812142</v>
      </c>
      <c r="K169" s="2376">
        <f t="shared" si="298"/>
        <v>2874.4621386923627</v>
      </c>
      <c r="L169" s="2377">
        <f t="shared" si="298"/>
        <v>2911.0423701462514</v>
      </c>
      <c r="M169" s="2378">
        <f t="shared" si="298"/>
        <v>3277.9558890871444</v>
      </c>
      <c r="N169" s="2378">
        <f t="shared" si="298"/>
        <v>3352.3071616770017</v>
      </c>
      <c r="O169" s="2379">
        <f t="shared" si="298"/>
        <v>3221.8701608668375</v>
      </c>
      <c r="P169" s="2377">
        <f t="shared" ref="P169:X169" si="299">P75+P117+P105+P87+P93+P99+P111</f>
        <v>3497.1806341998363</v>
      </c>
      <c r="Q169" s="2378">
        <f t="shared" si="299"/>
        <v>3692.0986825928708</v>
      </c>
      <c r="R169" s="2378">
        <f t="shared" si="299"/>
        <v>3375.6754547530745</v>
      </c>
      <c r="S169" s="2379">
        <f t="shared" si="299"/>
        <v>3671.6864787404693</v>
      </c>
      <c r="T169" s="2377">
        <f t="shared" si="299"/>
        <v>3474.3483663842476</v>
      </c>
      <c r="U169" s="2378">
        <f t="shared" si="299"/>
        <v>3294.4421303962713</v>
      </c>
      <c r="V169" s="2378">
        <f t="shared" si="299"/>
        <v>2806.9720480887859</v>
      </c>
      <c r="W169" s="2379">
        <f t="shared" si="299"/>
        <v>2811.409036967802</v>
      </c>
      <c r="X169" s="2377">
        <f t="shared" si="299"/>
        <v>3409.2227523332285</v>
      </c>
      <c r="Y169" s="2378">
        <f t="shared" ref="Y169:AH169" si="300">Y75+Y117+Y105+Y87+Y93+Y99+Y111+Y159+Y141+Y135+Y129+Y123+Y81</f>
        <v>4085.456313238145</v>
      </c>
      <c r="Z169" s="2378">
        <f t="shared" si="300"/>
        <v>3637.8522360416869</v>
      </c>
      <c r="AA169" s="2379">
        <f t="shared" si="300"/>
        <v>3677.3125743078172</v>
      </c>
      <c r="AB169" s="2377">
        <f t="shared" si="300"/>
        <v>3766.5476118109705</v>
      </c>
      <c r="AC169" s="2378">
        <f t="shared" si="300"/>
        <v>4174.8550309084976</v>
      </c>
      <c r="AD169" s="2378">
        <f t="shared" si="300"/>
        <v>3560.4334054794977</v>
      </c>
      <c r="AE169" s="2379">
        <f t="shared" si="300"/>
        <v>3651.301669190143</v>
      </c>
      <c r="AF169" s="2377">
        <f t="shared" si="300"/>
        <v>3969.0168574532076</v>
      </c>
      <c r="AG169" s="2378">
        <f t="shared" si="300"/>
        <v>4004.0962848228423</v>
      </c>
      <c r="AH169" s="2378">
        <f t="shared" si="300"/>
        <v>3747.4911418371148</v>
      </c>
      <c r="AI169" s="2379">
        <f t="shared" ref="AI169:AS169" si="301">AI75+AI117+AI105+AI87+AI93+AI99+AI111+AI159+AI141+AI135+AI129+AI123+AI81+AI165+AI153+AI147</f>
        <v>3690.1914765334291</v>
      </c>
      <c r="AJ169" s="2377">
        <f>AJ75+AJ117+AJ105+AJ87+AJ93+AJ99+AJ111+AJ159+AJ141+AJ135+AJ129+AJ123+AJ81+AJ165+AJ153+AJ147</f>
        <v>3739.1813925605875</v>
      </c>
      <c r="AK169" s="2378">
        <f>AK75+AK117+AK105+AK87+AK93+AK99+AK111+AK159+AK141+AK135+AK129+AK123+AK81+AK165+AK153+AK147</f>
        <v>4148.5202465186912</v>
      </c>
      <c r="AL169" s="2378">
        <f t="shared" si="301"/>
        <v>3360.3563818799948</v>
      </c>
      <c r="AM169" s="2379">
        <f t="shared" si="301"/>
        <v>3166.3021418468479</v>
      </c>
      <c r="AN169" s="2377">
        <f>AN75+AN117+AN105+AN87+AN93+AN99+AN111+AN159+AN141+AN135+AN129+AN123+AN81+AN165+AN153+AN147</f>
        <v>3459.0277056347263</v>
      </c>
      <c r="AO169" s="2378">
        <f t="shared" si="301"/>
        <v>4021.3897743683583</v>
      </c>
      <c r="AP169" s="2378">
        <f t="shared" si="301"/>
        <v>3473.4711806982673</v>
      </c>
      <c r="AQ169" s="2379">
        <f t="shared" si="301"/>
        <v>3228.577388695473</v>
      </c>
      <c r="AR169" s="2377">
        <f>AR75+AR117+AR105+AR87+AR93+AR99+AR111+AR159+AR141+AR135+AR129+AR123+AR81+AR165+AR153+AR147</f>
        <v>3281.3607708458353</v>
      </c>
      <c r="AS169" s="2378">
        <f t="shared" si="301"/>
        <v>3279.557083044635</v>
      </c>
      <c r="AT169" s="2378">
        <f>AT75+AT117+AT105+AT87+AT93+AT99+AT111+AT159+AT141+AT135+AT129+AT123+AT81+AT165+AT153+AT147</f>
        <v>2608.2217498027921</v>
      </c>
      <c r="AU169" s="2379">
        <f>AU75+AU117+AU105+AU87+AU93+AU99+AU111+AU159+AU141+AU135+AU129+AU123+AU81+AU165+AU153+AU147</f>
        <v>2341.3104243680928</v>
      </c>
      <c r="AV169" s="2377">
        <f>AV38+AV40</f>
        <v>2929.3479879174051</v>
      </c>
      <c r="AW169" s="2378">
        <f>AW167*AW172</f>
        <v>2657.0209081876546</v>
      </c>
      <c r="AX169" s="2378">
        <f>AX75+AX117+AX105+AX87+AX93+AX99+AX111+AX159+AX141+AX135+AX129+AX123+AX81+AX165+AX153+AX147</f>
        <v>1974.0823997250041</v>
      </c>
      <c r="AY169" s="2379">
        <f t="shared" ref="AY169:BH169" si="302">AY75+AY117+AY105+AY87+AY93+AY99+AY111+AY159+AY141+AY135+AY129+AY123+AY81+AY165+AY153+AY147</f>
        <v>2074.3244792154951</v>
      </c>
      <c r="AZ169" s="2378"/>
      <c r="BA169" s="2377">
        <f t="shared" si="302"/>
        <v>2155.3797656286906</v>
      </c>
      <c r="BB169" s="2378">
        <f t="shared" si="302"/>
        <v>2309.7500288088054</v>
      </c>
      <c r="BC169" s="2596">
        <f t="shared" si="302"/>
        <v>1889.1418158632746</v>
      </c>
      <c r="BD169" s="2379">
        <f t="shared" si="302"/>
        <v>1991.6298220808935</v>
      </c>
      <c r="BE169" s="2378"/>
      <c r="BF169" s="2377">
        <f t="shared" si="302"/>
        <v>2171.8894741058548</v>
      </c>
      <c r="BG169" s="2378">
        <f t="shared" si="302"/>
        <v>2306.7374605989789</v>
      </c>
      <c r="BH169" s="2378">
        <f t="shared" si="302"/>
        <v>1889.6972350548428</v>
      </c>
      <c r="BI169" s="2379">
        <f>BI75+BI117+BI105+BI87+BI93+BI99+BI111+BI159+BI141+BI135+BI129+BI123+BI81+BI165+BI153+BI147</f>
        <v>1960.7992926378358</v>
      </c>
      <c r="BJ169" s="2378"/>
      <c r="BK169" s="2377">
        <f>BK75+BK117+BK105+BK87+BK93+BK99+BK111+BK159+BK141+BK135+BK129+BK123+BK81+BK165+BK153+BK147</f>
        <v>2114.951736157901</v>
      </c>
      <c r="BL169" s="2378">
        <f>BL75+BL117+BL105+BL87+BL93+BL99+BL111+BL159+BL141+BL135+BL129+BL123+BL81+BL165+BL153+BL147</f>
        <v>2247.6557132392663</v>
      </c>
      <c r="BM169" s="2378">
        <f>BM75+BM117+BM105+BM87+BM93+BM99+BM111+BM159+BM141+BM135+BM129+BM123+BM81+BM165+BM153+BM147</f>
        <v>1838.0778315594625</v>
      </c>
      <c r="BN169" s="2379">
        <f>BN75+BN117+BN105+BN87+BN93+BN99+BN111+BN159+BN141+BN135+BN129+BN123+BN81+BN165+BN153+BN147</f>
        <v>1905.6440403566442</v>
      </c>
      <c r="BO169" s="2378"/>
      <c r="BP169" s="2377">
        <f>BP75+BP117+BP105+BP87+BP93+BP99+BP111+BP159+BP141+BP135+BP129+BP123+BP81+BP165+BP153+BP147</f>
        <v>2039.6954376782314</v>
      </c>
      <c r="BQ169" s="2378">
        <f>BQ75+BQ117+BQ105+BQ87+BQ93+BQ99+BQ111+BQ159+BQ141+BQ135+BQ129+BQ123+BQ81+BQ165+BQ153+BQ147</f>
        <v>2172.0891204942191</v>
      </c>
      <c r="BR169" s="2378">
        <f>BR75+BR117+BR105+BR87+BR93+BR99+BR111+BR159+BR141+BR135+BR129+BR123+BR81+BR165+BR153+BR147</f>
        <v>1774.9492995247226</v>
      </c>
      <c r="BS169" s="2379">
        <f>BS75+BS117+BS105+BS87+BS93+BS99+BS111+BS159+BS141+BS135+BS129+BS123+BS81+BS165+BS153+BS147</f>
        <v>1840.9042088699973</v>
      </c>
      <c r="BT169" s="2378"/>
      <c r="BU169" s="2377">
        <f>BU75+BU117+BU105+BU87+BU93+BU99+BU111+BU159+BU141+BU135+BU129+BU123+BU81+BU165+BU153+BU147</f>
        <v>1969.1113448348187</v>
      </c>
      <c r="BV169" s="2378">
        <f>BV75+BV117+BV105+BV87+BV93+BV99+BV111+BV159+BV141+BV135+BV129+BV123+BV81+BV165+BV153+BV147</f>
        <v>2100.4217162269406</v>
      </c>
      <c r="BW169" s="2378">
        <f>BW75+BW117+BW105+BW87+BW93+BW99+BW111+BW159+BW141+BW135+BW129+BW123+BW81+BW165+BW153+BW147</f>
        <v>1713.5278682272942</v>
      </c>
      <c r="BX169" s="2379">
        <f>BX75+BX117+BX105+BX87+BX93+BX99+BX111+BX159+BX141+BX135+BX129+BX123+BX81+BX165+BX153+BX147</f>
        <v>1776.791223993665</v>
      </c>
      <c r="BY169" s="2380"/>
      <c r="BZ169" s="2376">
        <f>BZ75+BZ117+BZ105+BZ87+BZ93+BZ99+BZ111+BZ81</f>
        <v>11432.113181827091</v>
      </c>
      <c r="CA169" s="2376">
        <f>CA75+CA117+CA105+CA87+CA93+CA99+CA111+CA81</f>
        <v>12763.175581777235</v>
      </c>
      <c r="CB169" s="2376">
        <f>CB75+CB117+CB105+CB87+CB93+CB99+CB111+CB159+CB141+CB135+CB129+CB123+CB81</f>
        <v>14236.641250286249</v>
      </c>
      <c r="CC169" s="2376">
        <f>CC75+CC117+CC105+CC87+CC93+CC99+CC111+CC159+CC141+CC135+CC129+CC123+CC81</f>
        <v>12387.171581837107</v>
      </c>
      <c r="CD169" s="2379">
        <f>CD75+CD117+CD105+CD87+CD93+CD99+CD111+CD159+CD141+CD135+CD129+CD123+CD81</f>
        <v>14809.84387592088</v>
      </c>
      <c r="CE169" s="2379">
        <f>CE75+CE117+CE105+CE87+CE93+CE99+CE111+CE159+CE141+CE135+CE129+CE123+CE81</f>
        <v>15153.137717389109</v>
      </c>
      <c r="CF169" s="2379">
        <f>SUM(AF169:AI169)</f>
        <v>15410.795760646593</v>
      </c>
      <c r="CG169" s="2379">
        <f>SUM(AJ169:AM169)</f>
        <v>14414.360162806122</v>
      </c>
      <c r="CH169" s="2379">
        <f>SUM(AN169:AQ169)</f>
        <v>14182.466049396826</v>
      </c>
      <c r="CI169" s="2379">
        <f>SUM(AR169:AU169)</f>
        <v>11510.450028061357</v>
      </c>
      <c r="CJ169" s="2379">
        <f>SUM(AV169:AY169)</f>
        <v>9634.7757750455585</v>
      </c>
      <c r="CK169" s="2379">
        <f>SUM(BA169:BD169)</f>
        <v>8345.9014323816646</v>
      </c>
      <c r="CL169" s="2379">
        <f>SUM(BF169:BI169)</f>
        <v>8329.1234623975124</v>
      </c>
      <c r="CM169" s="2379">
        <f>SUM(BG169:BK169)</f>
        <v>8272.1857244495586</v>
      </c>
      <c r="CN169" s="2378"/>
      <c r="CO169" s="2378"/>
      <c r="CP169" s="2380"/>
      <c r="CQ169" s="2376"/>
      <c r="CR169" s="2376">
        <f>CR75+CR117+CR105+CR87+CR93+CR99+CR111+CR81</f>
        <v>10322.847918009553</v>
      </c>
      <c r="CS169" s="2376">
        <f>CS75+CS117+CS105+CS87+CS93+CS99+CS111+CS81</f>
        <v>11785.870251737899</v>
      </c>
      <c r="CT169" s="2376">
        <f>CT75+CT117+CT105+CT87+CT93+CT99+CT111+CT81</f>
        <v>13763.456639336546</v>
      </c>
      <c r="CU169" s="2376">
        <f>CU75+CU117+CU105+CU87+CU93+CU99+CU111+CU135+CU129+CU123+CU81+CU141+CU159</f>
        <v>13816.152430274062</v>
      </c>
      <c r="CV169" s="2376">
        <f>CV75+CV117+CV105+CV87+CV93+CV99+CV111+CV135+CV129+CV123+CV81+CV141+CV159</f>
        <v>13113.060150627962</v>
      </c>
      <c r="CW169" s="2376">
        <f>CW75+CW117+CW105+CW87+CW93+CW99+CW111+CW135+CW129+CW123+CW81+CW141+CW159</f>
        <v>15256.567453068972</v>
      </c>
      <c r="CX169" s="2376">
        <f>CX75+CX117+CX105+CX87+CX93+CX99+CX111+CX135+CX129+CX123+CX81+CX141+CX159</f>
        <v>15184.848216945691</v>
      </c>
      <c r="CY169" s="2376">
        <f t="shared" ref="CY169:DD169" si="303">CY75+CY117+CY105+CY87+CY93+CY99+CY111+CY159+CY141+CY135+CY129+CY123+CY81+CY165+CY153+CY147</f>
        <v>15325.384257449821</v>
      </c>
      <c r="CZ169" s="2376">
        <f t="shared" si="303"/>
        <v>14007.076003729928</v>
      </c>
      <c r="DA169" s="2376">
        <f t="shared" si="303"/>
        <v>13262.966423284211</v>
      </c>
      <c r="DB169" s="2376">
        <f t="shared" si="303"/>
        <v>9812.976656564686</v>
      </c>
      <c r="DC169" s="2376">
        <f t="shared" si="303"/>
        <v>8513.5366733779956</v>
      </c>
      <c r="DD169" s="2376">
        <f t="shared" si="303"/>
        <v>8359.3985726490027</v>
      </c>
      <c r="DE169" s="2376">
        <f>DE75+DE117+DE105+DE87+DE93+DE99+DE111+DE159+DE141+DE135+DE129+DE123+DE81+DE165+DE153+DE147</f>
        <v>8359.9539918405699</v>
      </c>
      <c r="DF169" s="2378"/>
    </row>
    <row r="170" spans="1:110" s="1715" customFormat="1" hidden="1" outlineLevel="1">
      <c r="A170" s="2381" t="s">
        <v>90</v>
      </c>
      <c r="B170" s="2376"/>
      <c r="C170" s="2376"/>
      <c r="D170" s="2376"/>
      <c r="E170" s="2376"/>
      <c r="F170" s="2376"/>
      <c r="G170" s="2376"/>
      <c r="H170" s="2376"/>
      <c r="I170" s="2376"/>
      <c r="J170" s="2376"/>
      <c r="K170" s="2376"/>
      <c r="L170" s="2241">
        <f t="shared" ref="L170:AS170" si="304">L169/H169-1</f>
        <v>6.6695624654638186E-2</v>
      </c>
      <c r="M170" s="2240">
        <f t="shared" si="304"/>
        <v>5.5290101082662968E-2</v>
      </c>
      <c r="N170" s="2240">
        <f t="shared" si="304"/>
        <v>0.23137490006614025</v>
      </c>
      <c r="O170" s="2242">
        <f t="shared" si="304"/>
        <v>0.12086018371858476</v>
      </c>
      <c r="P170" s="2241">
        <f t="shared" si="304"/>
        <v>0.20134995974797065</v>
      </c>
      <c r="Q170" s="2240">
        <f t="shared" si="304"/>
        <v>0.12634178357447579</v>
      </c>
      <c r="R170" s="2240">
        <f t="shared" si="304"/>
        <v>6.9708090425648628E-3</v>
      </c>
      <c r="S170" s="2242">
        <f t="shared" si="304"/>
        <v>0.1396134218371512</v>
      </c>
      <c r="T170" s="2241">
        <f t="shared" si="304"/>
        <v>-6.5287642257612077E-3</v>
      </c>
      <c r="U170" s="2240">
        <f t="shared" si="304"/>
        <v>-0.10770474637404193</v>
      </c>
      <c r="V170" s="2240">
        <f t="shared" si="304"/>
        <v>-0.16847099618641759</v>
      </c>
      <c r="W170" s="2242">
        <f t="shared" si="304"/>
        <v>-0.23430035400728877</v>
      </c>
      <c r="X170" s="2241">
        <f t="shared" si="304"/>
        <v>-1.8744698914229807E-2</v>
      </c>
      <c r="Y170" s="2240">
        <f t="shared" si="304"/>
        <v>0.24010565416935292</v>
      </c>
      <c r="Z170" s="2240">
        <f t="shared" si="304"/>
        <v>0.29600586458231093</v>
      </c>
      <c r="AA170" s="2242">
        <f t="shared" si="304"/>
        <v>0.30799628440901672</v>
      </c>
      <c r="AB170" s="2241">
        <f t="shared" si="304"/>
        <v>0.10481123864176767</v>
      </c>
      <c r="AC170" s="2240">
        <f t="shared" si="304"/>
        <v>2.1882186668028547E-2</v>
      </c>
      <c r="AD170" s="2240">
        <f t="shared" si="304"/>
        <v>-2.1281466518944692E-2</v>
      </c>
      <c r="AE170" s="2242">
        <f t="shared" si="304"/>
        <v>-7.0733462527509117E-3</v>
      </c>
      <c r="AF170" s="2241">
        <f t="shared" si="304"/>
        <v>5.3754596120687115E-2</v>
      </c>
      <c r="AG170" s="2240">
        <f t="shared" si="304"/>
        <v>-4.0901718699558387E-2</v>
      </c>
      <c r="AH170" s="2240">
        <f t="shared" si="304"/>
        <v>5.2537911836726403E-2</v>
      </c>
      <c r="AI170" s="2242">
        <f t="shared" si="304"/>
        <v>1.0650943380394962E-2</v>
      </c>
      <c r="AJ170" s="2241">
        <f t="shared" si="304"/>
        <v>-5.7907404565698539E-2</v>
      </c>
      <c r="AK170" s="2240">
        <f t="shared" si="304"/>
        <v>3.6069053145219021E-2</v>
      </c>
      <c r="AL170" s="2240">
        <f t="shared" si="304"/>
        <v>-0.10330505004671919</v>
      </c>
      <c r="AM170" s="2242">
        <f t="shared" si="304"/>
        <v>-0.14196806263796469</v>
      </c>
      <c r="AN170" s="2241">
        <f t="shared" si="304"/>
        <v>-7.4923802167835563E-2</v>
      </c>
      <c r="AO170" s="2240">
        <f>AO169/AK169-1</f>
        <v>-3.0644775629820487E-2</v>
      </c>
      <c r="AP170" s="2240">
        <f t="shared" si="304"/>
        <v>3.3661548348925097E-2</v>
      </c>
      <c r="AQ170" s="2242">
        <f t="shared" si="304"/>
        <v>1.9668131485487628E-2</v>
      </c>
      <c r="AR170" s="2241">
        <f t="shared" si="304"/>
        <v>-5.1363258669328671E-2</v>
      </c>
      <c r="AS170" s="2240">
        <f t="shared" si="304"/>
        <v>-0.18447172071009788</v>
      </c>
      <c r="AT170" s="2240">
        <f>AT169/AP169-1</f>
        <v>-0.2491022340140836</v>
      </c>
      <c r="AU170" s="2242">
        <f>AU169/AQ169-1</f>
        <v>-0.27481669401329922</v>
      </c>
      <c r="AV170" s="2241">
        <f t="shared" ref="AV170:AY170" si="305">AV169/AR169-1</f>
        <v>-0.10727646470817409</v>
      </c>
      <c r="AW170" s="2240">
        <f t="shared" si="305"/>
        <v>-0.1898232471925867</v>
      </c>
      <c r="AX170" s="2240">
        <f t="shared" si="305"/>
        <v>-0.24313091865204151</v>
      </c>
      <c r="AY170" s="2242">
        <f t="shared" si="305"/>
        <v>-0.11403269825899132</v>
      </c>
      <c r="AZ170" s="2240"/>
      <c r="BA170" s="2241">
        <f>BA169/AV169-1</f>
        <v>-0.26421177186222955</v>
      </c>
      <c r="BB170" s="2240">
        <f>BB169/AW169-1</f>
        <v>-0.1306993401176213</v>
      </c>
      <c r="BC170" s="181">
        <f>BC169/AX169-1</f>
        <v>-4.3027881649500554E-2</v>
      </c>
      <c r="BD170" s="2242">
        <f>BD169/AY169-1</f>
        <v>-3.9865825218375006E-2</v>
      </c>
      <c r="BE170" s="2240"/>
      <c r="BF170" s="2241">
        <f>BF169/BA169-1</f>
        <v>7.6597677775585016E-3</v>
      </c>
      <c r="BG170" s="2240">
        <f>BG169/BB169-1</f>
        <v>-1.3042832221026313E-3</v>
      </c>
      <c r="BH170" s="2240">
        <f>BH169/BC169-1</f>
        <v>2.9400608620511193E-4</v>
      </c>
      <c r="BI170" s="2242">
        <f>BI169/BD169-1</f>
        <v>-1.5480050108330534E-2</v>
      </c>
      <c r="BJ170" s="2240"/>
      <c r="BK170" s="2241">
        <f>BK169/BF169-1</f>
        <v>-2.6215762186238556E-2</v>
      </c>
      <c r="BL170" s="2240">
        <f>BL169/BG169-1</f>
        <v>-2.561268820959417E-2</v>
      </c>
      <c r="BM170" s="2240">
        <f>BM169/BH169-1</f>
        <v>-2.7316229572554862E-2</v>
      </c>
      <c r="BN170" s="2242">
        <f>BN169/BI169-1</f>
        <v>-2.8128963779353477E-2</v>
      </c>
      <c r="BO170" s="2240"/>
      <c r="BP170" s="2241">
        <f>BP169/BK169-1</f>
        <v>-3.5582986218107737E-2</v>
      </c>
      <c r="BQ170" s="2240">
        <f>BQ169/BL169-1</f>
        <v>-3.3620181373837932E-2</v>
      </c>
      <c r="BR170" s="2240">
        <f>BR169/BM169-1</f>
        <v>-3.4344863395246117E-2</v>
      </c>
      <c r="BS170" s="2242">
        <f>BS169/BN169-1</f>
        <v>-3.3972678063491135E-2</v>
      </c>
      <c r="BT170" s="2240"/>
      <c r="BU170" s="2241">
        <f>BU169/BP169-1</f>
        <v>-3.4605211905439193E-2</v>
      </c>
      <c r="BV170" s="2240">
        <f>BV169/BQ169-1</f>
        <v>-3.2994688657605242E-2</v>
      </c>
      <c r="BW170" s="2240">
        <f>BW169/BR169-1</f>
        <v>-3.4604611700106092E-2</v>
      </c>
      <c r="BX170" s="2242">
        <f>BX169/BS169-1</f>
        <v>-3.4826898959444907E-2</v>
      </c>
      <c r="BY170" s="2380"/>
      <c r="BZ170" s="2376"/>
      <c r="CA170" s="2376"/>
      <c r="CB170" s="2376"/>
      <c r="CC170" s="2376"/>
      <c r="CD170" s="2379"/>
      <c r="CE170" s="2382"/>
      <c r="CF170" s="2382"/>
      <c r="CG170" s="2382">
        <f t="shared" ref="CG170:CM170" si="306">CG169/CF169-1</f>
        <v>-6.4658283278595796E-2</v>
      </c>
      <c r="CH170" s="2382">
        <f t="shared" si="306"/>
        <v>-1.6087714667187281E-2</v>
      </c>
      <c r="CI170" s="2382">
        <f t="shared" si="306"/>
        <v>-0.18840277932123861</v>
      </c>
      <c r="CJ170" s="2382">
        <f t="shared" si="306"/>
        <v>-0.16295403293903254</v>
      </c>
      <c r="CK170" s="2382">
        <f t="shared" si="306"/>
        <v>-0.13377315391211575</v>
      </c>
      <c r="CL170" s="2382">
        <f t="shared" si="306"/>
        <v>-2.0103244832313516E-3</v>
      </c>
      <c r="CM170" s="2382">
        <f t="shared" si="306"/>
        <v>-6.8359819859801219E-3</v>
      </c>
      <c r="CN170" s="2663"/>
      <c r="CO170" s="2663"/>
      <c r="CP170" s="2380"/>
      <c r="CQ170" s="2376"/>
      <c r="CR170" s="2376"/>
      <c r="CS170" s="2376"/>
      <c r="CT170" s="2376"/>
      <c r="CU170" s="2376"/>
      <c r="CV170" s="2376"/>
      <c r="CW170" s="2376"/>
      <c r="CX170" s="2376"/>
      <c r="CY170" s="2376"/>
      <c r="CZ170" s="2383">
        <f t="shared" ref="CZ170:DE170" si="307">CZ169/CY169-1</f>
        <v>-8.6021220190877101E-2</v>
      </c>
      <c r="DA170" s="2383">
        <f t="shared" si="307"/>
        <v>-5.3123833999870418E-2</v>
      </c>
      <c r="DB170" s="2383">
        <f t="shared" si="307"/>
        <v>-0.2601220312721888</v>
      </c>
      <c r="DC170" s="2383">
        <f t="shared" si="307"/>
        <v>-0.13242057213265568</v>
      </c>
      <c r="DD170" s="2383">
        <f t="shared" si="307"/>
        <v>-1.8105060991983057E-2</v>
      </c>
      <c r="DE170" s="2383">
        <f t="shared" si="307"/>
        <v>6.6442482283823878E-5</v>
      </c>
      <c r="DF170" s="2663"/>
    </row>
    <row r="171" spans="1:110" s="1715" customFormat="1" hidden="1" outlineLevel="2">
      <c r="A171" s="2384" t="s">
        <v>298</v>
      </c>
      <c r="B171" s="2366"/>
      <c r="C171" s="2366"/>
      <c r="D171" s="2366"/>
      <c r="E171" s="2366"/>
      <c r="F171" s="2373">
        <f t="shared" ref="F171:U171" si="308">(F102+F90+F96+F108+F78)/F167</f>
        <v>0.49494949494949497</v>
      </c>
      <c r="G171" s="2373">
        <f t="shared" si="308"/>
        <v>0.49494949494949492</v>
      </c>
      <c r="H171" s="2373">
        <f t="shared" si="308"/>
        <v>0.5</v>
      </c>
      <c r="I171" s="2373">
        <f t="shared" si="308"/>
        <v>0.49000000000000005</v>
      </c>
      <c r="J171" s="2373">
        <f t="shared" si="308"/>
        <v>0.52999999999999992</v>
      </c>
      <c r="K171" s="2373">
        <f t="shared" si="308"/>
        <v>0.55000000000000004</v>
      </c>
      <c r="L171" s="2368">
        <f t="shared" si="308"/>
        <v>0.59000000000000008</v>
      </c>
      <c r="M171" s="2369">
        <f t="shared" si="308"/>
        <v>0.67</v>
      </c>
      <c r="N171" s="2369">
        <f t="shared" si="308"/>
        <v>0.71000000000000008</v>
      </c>
      <c r="O171" s="2370">
        <f t="shared" si="308"/>
        <v>0.72200000000000009</v>
      </c>
      <c r="P171" s="2368">
        <f t="shared" si="308"/>
        <v>0.74999999999999989</v>
      </c>
      <c r="Q171" s="2369">
        <f t="shared" si="308"/>
        <v>0.75</v>
      </c>
      <c r="R171" s="2369">
        <f t="shared" si="308"/>
        <v>0.76</v>
      </c>
      <c r="S171" s="2370">
        <f t="shared" si="308"/>
        <v>0.71999999999999986</v>
      </c>
      <c r="T171" s="2368">
        <f t="shared" si="308"/>
        <v>0.71000000000000008</v>
      </c>
      <c r="U171" s="2369">
        <f t="shared" si="308"/>
        <v>0.64</v>
      </c>
      <c r="V171" s="2369">
        <f>(V102+V90+V96+V108)/V167</f>
        <v>0.62000000000000011</v>
      </c>
      <c r="W171" s="2370">
        <f>(W102+W90+W96+W108)/W167</f>
        <v>0.58999999999999986</v>
      </c>
      <c r="X171" s="2368">
        <f>(X102+X90+X96+X108)/X167</f>
        <v>0.63</v>
      </c>
      <c r="Y171" s="2369">
        <f t="shared" ref="Y171:AH171" si="309">(Y102+Y90+Y96+Y108+Y156+Y138+Y132+Y78)/Y167</f>
        <v>0.71000000000000008</v>
      </c>
      <c r="Z171" s="2369">
        <f t="shared" si="309"/>
        <v>0.72</v>
      </c>
      <c r="AA171" s="2370">
        <f t="shared" si="309"/>
        <v>0.7</v>
      </c>
      <c r="AB171" s="2368">
        <f t="shared" si="309"/>
        <v>0.71</v>
      </c>
      <c r="AC171" s="2369">
        <f t="shared" si="309"/>
        <v>0.72</v>
      </c>
      <c r="AD171" s="2369">
        <f t="shared" si="309"/>
        <v>0.7</v>
      </c>
      <c r="AE171" s="2370">
        <f t="shared" si="309"/>
        <v>0.69</v>
      </c>
      <c r="AF171" s="2368">
        <f t="shared" si="309"/>
        <v>0.72000000000000008</v>
      </c>
      <c r="AG171" s="2369">
        <f t="shared" si="309"/>
        <v>0.73999999999999988</v>
      </c>
      <c r="AH171" s="2369">
        <f t="shared" si="309"/>
        <v>0.74</v>
      </c>
      <c r="AI171" s="2370">
        <f>(AI102+AI90+AI96+AI108+AI156+AI138+AI132+AI78)/AI167</f>
        <v>0.70000000000000007</v>
      </c>
      <c r="AJ171" s="2368">
        <f>(AJ102+AJ90+AJ96+AJ108+AJ156+AJ138+AJ132+AJ78+AJ162)/AJ167</f>
        <v>0.69499999999999995</v>
      </c>
      <c r="AK171" s="2369">
        <f t="shared" ref="AK171:AS171" si="310">(AK102+AK90+AK96+AK108+AK156+AK138+AK132+AK78+AK162)/AK167</f>
        <v>0.4979124466772501</v>
      </c>
      <c r="AL171" s="2369">
        <f t="shared" si="310"/>
        <v>0.41431775058927212</v>
      </c>
      <c r="AM171" s="2370">
        <f t="shared" si="310"/>
        <v>0.37367606856598751</v>
      </c>
      <c r="AN171" s="2368">
        <f t="shared" si="310"/>
        <v>0.38581342127944535</v>
      </c>
      <c r="AO171" s="2369">
        <f t="shared" si="310"/>
        <v>0.41515007678785043</v>
      </c>
      <c r="AP171" s="2369">
        <f t="shared" si="310"/>
        <v>0.40535213063571418</v>
      </c>
      <c r="AQ171" s="2370">
        <f t="shared" si="310"/>
        <v>0.36841987653922365</v>
      </c>
      <c r="AR171" s="2368">
        <f t="shared" si="310"/>
        <v>0.39017648867859922</v>
      </c>
      <c r="AS171" s="2369">
        <f t="shared" si="310"/>
        <v>0.39808261154412583</v>
      </c>
      <c r="AT171" s="2369">
        <f>(AT102+AT90+AT96+AT108+AT156+AT138+AT132+AT78+AT162)/AT167</f>
        <v>0.40775378071728979</v>
      </c>
      <c r="AU171" s="2370">
        <f>(AU102+AU90+AU96+AU108+AU156+AU138+AU132+AU78+AU162)/AU167</f>
        <v>0.36908016837913715</v>
      </c>
      <c r="AV171" s="2368">
        <f t="shared" ref="AV171:BI171" si="311">(AV102+AV90+AV96+AV108+AV156+AV138+AV132+AV78+AV162)/AV167</f>
        <v>0.37353830488440226</v>
      </c>
      <c r="AW171" s="2369">
        <f t="shared" si="311"/>
        <v>0.35205382653840067</v>
      </c>
      <c r="AX171" s="2369">
        <f t="shared" si="311"/>
        <v>0.35540213435332063</v>
      </c>
      <c r="AY171" s="2370">
        <f t="shared" si="311"/>
        <v>0.35194854154242344</v>
      </c>
      <c r="AZ171" s="2369"/>
      <c r="BA171" s="2368">
        <f t="shared" si="311"/>
        <v>0.3419692118381778</v>
      </c>
      <c r="BB171" s="2369">
        <f t="shared" si="311"/>
        <v>0.33653645701852813</v>
      </c>
      <c r="BC171" s="2611">
        <f t="shared" si="311"/>
        <v>0.35223438163616855</v>
      </c>
      <c r="BD171" s="2370">
        <f t="shared" si="311"/>
        <v>0.35498896810395897</v>
      </c>
      <c r="BE171" s="2369"/>
      <c r="BF171" s="2241">
        <f t="shared" si="311"/>
        <v>0.34433137278487802</v>
      </c>
      <c r="BG171" s="2240">
        <f t="shared" si="311"/>
        <v>0.32872122061579173</v>
      </c>
      <c r="BH171" s="2240">
        <f t="shared" si="311"/>
        <v>0.34490457201955266</v>
      </c>
      <c r="BI171" s="2242">
        <f t="shared" si="311"/>
        <v>0.34765365213760308</v>
      </c>
      <c r="BJ171" s="2240"/>
      <c r="BK171" s="2241">
        <f>(BK102+BK90+BK96+BK108+BK156+BK138+BK132+BK78+BK162)/BK167</f>
        <v>0.34487504152261139</v>
      </c>
      <c r="BL171" s="2240">
        <f>(BL102+BL90+BL96+BL108+BL156+BL138+BL132+BL78+BL162)/BL167</f>
        <v>0.33169832653243803</v>
      </c>
      <c r="BM171" s="2240">
        <f>(BM102+BM90+BM96+BM108+BM156+BM138+BM132+BM78+BM162)/BM167</f>
        <v>0.34427395783017872</v>
      </c>
      <c r="BN171" s="2242">
        <f>(BN102+BN90+BN96+BN108+BN156+BN138+BN132+BN78+BN162)/BN167</f>
        <v>0.34580690045647616</v>
      </c>
      <c r="BO171" s="2240"/>
      <c r="BP171" s="2241">
        <f>(BP102+BP90+BP96+BP108+BP156+BP138+BP132+BP78+BP162)/BP167</f>
        <v>0.34441484895649815</v>
      </c>
      <c r="BQ171" s="2240">
        <f>(BQ102+BQ90+BQ96+BQ108+BQ156+BQ138+BQ132+BQ78+BQ162)/BQ167</f>
        <v>0.33091673714639352</v>
      </c>
      <c r="BR171" s="2240">
        <f>(BR102+BR90+BR96+BR108+BR156+BR138+BR132+BR78+BR162)/BR167</f>
        <v>0.34343958325743457</v>
      </c>
      <c r="BS171" s="2242">
        <f>(BS102+BS90+BS96+BS108+BS156+BS138+BS132+BS78+BS162)/BS167</f>
        <v>0.34482433955239267</v>
      </c>
      <c r="BT171" s="2240"/>
      <c r="BU171" s="2241">
        <f>(BU102+BU90+BU96+BU108+BU156+BU138+BU132+BU78+BU162)/BU167</f>
        <v>0.34273623322848729</v>
      </c>
      <c r="BV171" s="2240">
        <f>(BV102+BV90+BV96+BV108+BV156+BV138+BV132+BV78+BV162)/BV167</f>
        <v>0.32876752206723331</v>
      </c>
      <c r="BW171" s="2240">
        <f>(BW102+BW90+BW96+BW108+BW156+BW138+BW132+BW78+BW162)/BW167</f>
        <v>0.34176000159550263</v>
      </c>
      <c r="BX171" s="2242">
        <f>(BX102+BX90+BX96+BX108+BX156+BX138+BX132+BX78+BX162)/BX167</f>
        <v>0.34321557409025599</v>
      </c>
      <c r="BY171" s="2372"/>
      <c r="BZ171" s="2373">
        <f>(BZ102+BZ90+BZ96+BZ108)/BZ167</f>
        <v>0.47462805770395977</v>
      </c>
      <c r="CA171" s="2373">
        <f>(CA102+CA90+CA96+CA108)/CA167</f>
        <v>0.57016077723894754</v>
      </c>
      <c r="CB171" s="2373">
        <f t="shared" ref="CB171:CH171" si="312">(CB102+CB90+CB96+CB108+CB156+CB138+CB132)/CB167</f>
        <v>0.74476465896422039</v>
      </c>
      <c r="CC171" s="2373">
        <f t="shared" si="312"/>
        <v>0.64192857302468753</v>
      </c>
      <c r="CD171" s="2373">
        <f t="shared" si="312"/>
        <v>0.69102516363014443</v>
      </c>
      <c r="CE171" s="2373">
        <f t="shared" si="312"/>
        <v>0.70530728260519227</v>
      </c>
      <c r="CF171" s="2373">
        <f t="shared" si="312"/>
        <v>0.72495931528022606</v>
      </c>
      <c r="CG171" s="2373">
        <f t="shared" si="312"/>
        <v>0.40603091554393783</v>
      </c>
      <c r="CH171" s="2373">
        <f t="shared" si="312"/>
        <v>9.072014530976881E-2</v>
      </c>
      <c r="CI171" s="2373">
        <f>(CI102+CI90+CI96+CI108+CI156+CI138+CI132)/CI167</f>
        <v>4.7884712382295004E-2</v>
      </c>
      <c r="CJ171" s="2373">
        <f>(CJ102+CJ90+CJ96+CJ108+CJ156+CJ138+CJ132)/CJ167</f>
        <v>3.0607535324335244E-2</v>
      </c>
      <c r="CK171" s="2373">
        <f>(CK102+CK90+CK96+CK108+CK156+CK138+CK132)/CK167</f>
        <v>0</v>
      </c>
      <c r="CL171" s="2373">
        <f>(CL102+CL90+CL96+CL108+CL156+CL138+CL132)/CL167</f>
        <v>0</v>
      </c>
      <c r="CM171" s="2373">
        <f>(CM102+CM90+CM96+CM108+CM156+CM138+CM132)/CM167</f>
        <v>0</v>
      </c>
      <c r="CN171" s="2369"/>
      <c r="CO171" s="2369"/>
      <c r="CP171" s="2374"/>
      <c r="CQ171" s="2373"/>
      <c r="CR171" s="2373">
        <f>(CR102+CR90+CR96+CR108)/CR167</f>
        <v>0.46205468111501152</v>
      </c>
      <c r="CS171" s="2373">
        <f>(CS102+CS90+CS96+CS108)/CS167</f>
        <v>0.46590675677162513</v>
      </c>
      <c r="CT171" s="2373">
        <f>(CT102+CT90+CT96+CT108)/CT167</f>
        <v>0.72494481529624066</v>
      </c>
      <c r="CU171" s="2373">
        <f>(CU102+CU90+CU96+CU108)/CU167</f>
        <v>0.70526686408339379</v>
      </c>
      <c r="CV171" s="2373">
        <f t="shared" ref="CV171:DA171" si="313">(CV102+CV90+CV96+CV108+CV156+CV138+CV132)/CV167</f>
        <v>0.64391103190095156</v>
      </c>
      <c r="CW171" s="2373">
        <f t="shared" si="313"/>
        <v>0.71258258663414598</v>
      </c>
      <c r="CX171" s="2373">
        <f t="shared" si="313"/>
        <v>0.71301362753565767</v>
      </c>
      <c r="CY171" s="2373">
        <f t="shared" si="313"/>
        <v>0.62884697680016366</v>
      </c>
      <c r="CZ171" s="2373">
        <f t="shared" si="313"/>
        <v>0.17268022797632812</v>
      </c>
      <c r="DA171" s="2373">
        <f t="shared" si="313"/>
        <v>6.1311164221388235E-2</v>
      </c>
      <c r="DB171" s="2373">
        <f>(DB102+DB90+DB96+DB108+DB156+DB138+DB132)/DB167</f>
        <v>3.8240330899865387E-2</v>
      </c>
      <c r="DC171" s="2373">
        <f>(DC102+DC90+DC96+DC108+DC156+DC138+DC132)/DC167</f>
        <v>1.3376619556937577E-2</v>
      </c>
      <c r="DD171" s="2247">
        <f>(DD102+DD90+DD96+DD108+DD156+DD138+DD132)/DD167</f>
        <v>0</v>
      </c>
      <c r="DE171" s="2247">
        <f>(DE102+DE90+DE96+DE108+DE156+DE138+DE132)/DE167</f>
        <v>0</v>
      </c>
      <c r="DF171" s="2240"/>
    </row>
    <row r="172" spans="1:110" s="1715" customFormat="1" hidden="1" outlineLevel="1">
      <c r="A172" s="2375" t="s">
        <v>299</v>
      </c>
      <c r="B172" s="2318"/>
      <c r="C172" s="2318"/>
      <c r="D172" s="2318"/>
      <c r="E172" s="2318"/>
      <c r="F172" s="2318">
        <f t="shared" ref="F172:L172" si="314">F169/F167</f>
        <v>71.212121212121204</v>
      </c>
      <c r="G172" s="2318">
        <f t="shared" si="314"/>
        <v>71.212121212121218</v>
      </c>
      <c r="H172" s="2318">
        <f t="shared" si="314"/>
        <v>73.68877028</v>
      </c>
      <c r="I172" s="2318">
        <f t="shared" si="314"/>
        <v>73.163163560000015</v>
      </c>
      <c r="J172" s="2318">
        <f t="shared" si="314"/>
        <v>73.217929499999997</v>
      </c>
      <c r="K172" s="2318">
        <f t="shared" si="314"/>
        <v>75.728840500000004</v>
      </c>
      <c r="L172" s="2313">
        <f t="shared" si="314"/>
        <v>70.119</v>
      </c>
      <c r="M172" s="2312">
        <f>(M169+1090)/M167</f>
        <v>93.567191566246038</v>
      </c>
      <c r="N172" s="2312">
        <f>(N169-1131)/N167</f>
        <v>48.456105686286463</v>
      </c>
      <c r="O172" s="2314">
        <f t="shared" ref="O172:AS172" si="315">O169/O167</f>
        <v>76.006895174999997</v>
      </c>
      <c r="P172" s="2290">
        <f t="shared" si="315"/>
        <v>69.764270640000007</v>
      </c>
      <c r="Q172" s="2315">
        <f t="shared" si="315"/>
        <v>66.665915400000003</v>
      </c>
      <c r="R172" s="2315">
        <f t="shared" si="315"/>
        <v>70.257973171999993</v>
      </c>
      <c r="S172" s="2316">
        <f t="shared" si="315"/>
        <v>70.794493701999997</v>
      </c>
      <c r="T172" s="2290">
        <f t="shared" si="315"/>
        <v>64.060525850000005</v>
      </c>
      <c r="U172" s="2315">
        <f t="shared" si="315"/>
        <v>58.89967647000001</v>
      </c>
      <c r="V172" s="2315">
        <f t="shared" si="315"/>
        <v>60.522745259999994</v>
      </c>
      <c r="W172" s="2316">
        <f t="shared" si="315"/>
        <v>56.873029999999993</v>
      </c>
      <c r="X172" s="2290">
        <f t="shared" si="315"/>
        <v>57.232529481276835</v>
      </c>
      <c r="Y172" s="2315">
        <f t="shared" si="315"/>
        <v>58.663218750000013</v>
      </c>
      <c r="Z172" s="2385">
        <f t="shared" si="315"/>
        <v>60.025853166666664</v>
      </c>
      <c r="AA172" s="2316">
        <f t="shared" si="315"/>
        <v>59.180328559999992</v>
      </c>
      <c r="AB172" s="2313">
        <f t="shared" si="315"/>
        <v>60.502959737349833</v>
      </c>
      <c r="AC172" s="2312">
        <f t="shared" si="315"/>
        <v>62.800519440789465</v>
      </c>
      <c r="AD172" s="2386">
        <f t="shared" si="315"/>
        <v>60.003958333333337</v>
      </c>
      <c r="AE172" s="2314">
        <f t="shared" si="315"/>
        <v>58.588525274399977</v>
      </c>
      <c r="AF172" s="2313">
        <f t="shared" si="315"/>
        <v>59.339441280862346</v>
      </c>
      <c r="AG172" s="2312">
        <f t="shared" si="315"/>
        <v>62.132428808440622</v>
      </c>
      <c r="AH172" s="2312">
        <f t="shared" si="315"/>
        <v>60.595574999999997</v>
      </c>
      <c r="AI172" s="2314">
        <f t="shared" si="315"/>
        <v>58.749250000000004</v>
      </c>
      <c r="AJ172" s="2313">
        <f t="shared" si="315"/>
        <v>57.293500000000002</v>
      </c>
      <c r="AK172" s="2312">
        <f t="shared" si="315"/>
        <v>59.90322520760548</v>
      </c>
      <c r="AL172" s="2312">
        <f t="shared" si="315"/>
        <v>57.409381852204895</v>
      </c>
      <c r="AM172" s="2314">
        <f t="shared" si="315"/>
        <v>55.104378633816303</v>
      </c>
      <c r="AN172" s="2313">
        <f>AN169/AN167</f>
        <v>57.79738662354459</v>
      </c>
      <c r="AO172" s="2312">
        <f t="shared" si="315"/>
        <v>57.509011402351376</v>
      </c>
      <c r="AP172" s="2312">
        <f t="shared" si="315"/>
        <v>57.046765905877315</v>
      </c>
      <c r="AQ172" s="2314">
        <f t="shared" si="315"/>
        <v>53.456642951706854</v>
      </c>
      <c r="AR172" s="2313">
        <f t="shared" si="315"/>
        <v>54.734236966942852</v>
      </c>
      <c r="AS172" s="2312">
        <f t="shared" si="315"/>
        <v>49.990355224991795</v>
      </c>
      <c r="AT172" s="2312">
        <f>AT169/AT167</f>
        <v>50.741396306212742</v>
      </c>
      <c r="AU172" s="2314">
        <f>AU169/AU167</f>
        <v>47.064682471229048</v>
      </c>
      <c r="AV172" s="2313">
        <f t="shared" ref="AV172:BI172" si="316">AV169/AV167</f>
        <v>55.881323147836994</v>
      </c>
      <c r="AW172" s="2312">
        <v>48</v>
      </c>
      <c r="AX172" s="2312">
        <f>AW172</f>
        <v>48</v>
      </c>
      <c r="AY172" s="2314">
        <f t="shared" si="316"/>
        <v>44.870264025255757</v>
      </c>
      <c r="AZ172" s="2312"/>
      <c r="BA172" s="2313">
        <f t="shared" si="316"/>
        <v>42.893648847587023</v>
      </c>
      <c r="BB172" s="2312">
        <f t="shared" si="316"/>
        <v>42.583458199385198</v>
      </c>
      <c r="BC172" s="1710">
        <f t="shared" si="316"/>
        <v>43.183265551178799</v>
      </c>
      <c r="BD172" s="2314">
        <f t="shared" si="316"/>
        <v>43.281977685217818</v>
      </c>
      <c r="BE172" s="2312"/>
      <c r="BF172" s="2313">
        <f t="shared" si="316"/>
        <v>41.807029398692102</v>
      </c>
      <c r="BG172" s="2312">
        <f t="shared" si="316"/>
        <v>41.20426067157792</v>
      </c>
      <c r="BH172" s="2312">
        <f t="shared" si="316"/>
        <v>41.8116717516438</v>
      </c>
      <c r="BI172" s="2314">
        <f t="shared" si="316"/>
        <v>41.905403362691686</v>
      </c>
      <c r="BJ172" s="2312"/>
      <c r="BK172" s="2313">
        <f>BK169/BK167</f>
        <v>40.994798656680992</v>
      </c>
      <c r="BL172" s="2312">
        <f>BL169/BL167</f>
        <v>40.452388889986302</v>
      </c>
      <c r="BM172" s="2312">
        <f>BM169/BM167</f>
        <v>40.970055489236024</v>
      </c>
      <c r="BN172" s="2314">
        <f>BN169/BN167</f>
        <v>41.033157943292771</v>
      </c>
      <c r="BO172" s="2312"/>
      <c r="BP172" s="2313">
        <f>BP169/BP167</f>
        <v>40.148570813218811</v>
      </c>
      <c r="BQ172" s="2312">
        <f>BQ169/BQ167</f>
        <v>39.582911360333746</v>
      </c>
      <c r="BR172" s="2312">
        <f>BR169/BR167</f>
        <v>40.107700781209083</v>
      </c>
      <c r="BS172" s="2314">
        <f>BS169/BS167</f>
        <v>40.16573115606483</v>
      </c>
      <c r="BT172" s="2312"/>
      <c r="BU172" s="2313">
        <f>BU169/BU167</f>
        <v>39.260838716024274</v>
      </c>
      <c r="BV172" s="2312">
        <f>BV169/BV167</f>
        <v>38.669266298524661</v>
      </c>
      <c r="BW172" s="2312">
        <f>BW169/BW167</f>
        <v>39.219495481097482</v>
      </c>
      <c r="BX172" s="2314">
        <f>BX169/BX167</f>
        <v>39.281138715725717</v>
      </c>
      <c r="BY172" s="2317"/>
      <c r="BZ172" s="2318">
        <f t="shared" ref="BZ172:CH172" si="317">BZ169/BZ167</f>
        <v>73.932018400673314</v>
      </c>
      <c r="CA172" s="2318">
        <f t="shared" si="317"/>
        <v>72.341660976775316</v>
      </c>
      <c r="CB172" s="2319">
        <f t="shared" si="317"/>
        <v>69.304527797711287</v>
      </c>
      <c r="CC172" s="2319">
        <f t="shared" si="317"/>
        <v>60.137626069887254</v>
      </c>
      <c r="CD172" s="2316">
        <f t="shared" si="317"/>
        <v>58.780267768000932</v>
      </c>
      <c r="CE172" s="2316">
        <f t="shared" si="317"/>
        <v>60.518210006872394</v>
      </c>
      <c r="CF172" s="2316">
        <f t="shared" si="317"/>
        <v>60.201223990914464</v>
      </c>
      <c r="CG172" s="2316">
        <f t="shared" si="317"/>
        <v>57.539912619904882</v>
      </c>
      <c r="CH172" s="2316">
        <f t="shared" si="317"/>
        <v>56.49078340146059</v>
      </c>
      <c r="CI172" s="2316">
        <f>CI169/CI167</f>
        <v>50.773149679997054</v>
      </c>
      <c r="CJ172" s="2316">
        <f>CJ169/CJ167</f>
        <v>48.555629424330569</v>
      </c>
      <c r="CK172" s="2316">
        <f>CK169/CK167</f>
        <v>42.964247842545078</v>
      </c>
      <c r="CL172" s="2316">
        <f>CL169/CL167</f>
        <v>41.662311638503276</v>
      </c>
      <c r="CM172" s="2316">
        <f>CM169/CM167</f>
        <v>41.452071265254538</v>
      </c>
      <c r="CN172" s="2315"/>
      <c r="CO172" s="2315"/>
      <c r="CP172" s="2317"/>
      <c r="CQ172" s="2318"/>
      <c r="CR172" s="2318">
        <f t="shared" ref="CR172:DA172" si="318">CR169/CR167</f>
        <v>72.436999596328164</v>
      </c>
      <c r="CS172" s="2318">
        <f t="shared" si="318"/>
        <v>72.156379386758445</v>
      </c>
      <c r="CT172" s="2319">
        <f t="shared" si="318"/>
        <v>71.040327808410254</v>
      </c>
      <c r="CU172" s="2319">
        <f t="shared" si="318"/>
        <v>65.766338836600539</v>
      </c>
      <c r="CV172" s="2319">
        <f t="shared" si="318"/>
        <v>58.274479018995955</v>
      </c>
      <c r="CW172" s="2319">
        <f t="shared" si="318"/>
        <v>60.668533189200403</v>
      </c>
      <c r="CX172" s="2319">
        <f t="shared" si="318"/>
        <v>60.021783776567538</v>
      </c>
      <c r="CY172" s="2319">
        <f t="shared" si="318"/>
        <v>59.131596010299312</v>
      </c>
      <c r="CZ172" s="2319">
        <f t="shared" si="318"/>
        <v>56.993305524316753</v>
      </c>
      <c r="DA172" s="2319">
        <f t="shared" si="318"/>
        <v>53.731263465740376</v>
      </c>
      <c r="DB172" s="2319">
        <f>DB169/DB167</f>
        <v>46.96903593031913</v>
      </c>
      <c r="DC172" s="2319">
        <f>DC169/DC167</f>
        <v>43.62738540708488</v>
      </c>
      <c r="DD172" s="2319">
        <f>DD169/DD167</f>
        <v>42.28418509576619</v>
      </c>
      <c r="DE172" s="2319">
        <f>DE169/DE167</f>
        <v>41.979442803908761</v>
      </c>
      <c r="DF172" s="2315"/>
    </row>
    <row r="173" spans="1:110" s="1715" customFormat="1" hidden="1" outlineLevel="1">
      <c r="A173" s="2343" t="s">
        <v>300</v>
      </c>
      <c r="B173" s="2318"/>
      <c r="C173" s="2318"/>
      <c r="D173" s="2318"/>
      <c r="E173" s="2318"/>
      <c r="F173" s="2318"/>
      <c r="G173" s="2318"/>
      <c r="H173" s="2318"/>
      <c r="I173" s="2318"/>
      <c r="J173" s="2245">
        <f t="shared" ref="J173:AS173" si="319">J172/F172-1</f>
        <v>2.8166669574468228E-2</v>
      </c>
      <c r="K173" s="2245">
        <f t="shared" si="319"/>
        <v>6.3426270851063782E-2</v>
      </c>
      <c r="L173" s="2256">
        <f t="shared" si="319"/>
        <v>-4.8443884548971416E-2</v>
      </c>
      <c r="M173" s="2250">
        <f t="shared" si="319"/>
        <v>0.27888389475549369</v>
      </c>
      <c r="N173" s="2250">
        <f t="shared" si="319"/>
        <v>-0.33819344500466286</v>
      </c>
      <c r="O173" s="2257">
        <f t="shared" si="319"/>
        <v>3.6717144111033662E-3</v>
      </c>
      <c r="P173" s="2310">
        <f t="shared" si="319"/>
        <v>-5.0589620502288213E-3</v>
      </c>
      <c r="Q173" s="2271">
        <f t="shared" si="319"/>
        <v>-0.28750757307062913</v>
      </c>
      <c r="R173" s="2271">
        <f t="shared" si="319"/>
        <v>0.44993024463960718</v>
      </c>
      <c r="S173" s="2309">
        <f t="shared" si="319"/>
        <v>-6.8578008100434129E-2</v>
      </c>
      <c r="T173" s="2310">
        <f t="shared" si="319"/>
        <v>-8.1757391536889434E-2</v>
      </c>
      <c r="U173" s="2271">
        <f t="shared" si="319"/>
        <v>-0.11649489673099112</v>
      </c>
      <c r="V173" s="2271">
        <f t="shared" si="319"/>
        <v>-0.13856403013743346</v>
      </c>
      <c r="W173" s="2309">
        <f t="shared" si="319"/>
        <v>-0.196646136924159</v>
      </c>
      <c r="X173" s="2310">
        <f t="shared" si="319"/>
        <v>-0.10658664252477679</v>
      </c>
      <c r="Y173" s="2271">
        <f t="shared" si="319"/>
        <v>-4.0145843605853271E-3</v>
      </c>
      <c r="Z173" s="2271">
        <f t="shared" si="319"/>
        <v>-8.2100058614117399E-3</v>
      </c>
      <c r="AA173" s="2309">
        <f t="shared" si="319"/>
        <v>4.0569291982509137E-2</v>
      </c>
      <c r="AB173" s="2310">
        <f t="shared" si="319"/>
        <v>5.7142857142857828E-2</v>
      </c>
      <c r="AC173" s="2271">
        <f t="shared" si="319"/>
        <v>7.0526315789473326E-2</v>
      </c>
      <c r="AD173" s="2271">
        <f t="shared" si="319"/>
        <v>-3.6475672028413175E-4</v>
      </c>
      <c r="AE173" s="2309">
        <f t="shared" si="319"/>
        <v>-1.0000000000000231E-2</v>
      </c>
      <c r="AF173" s="2310">
        <f t="shared" si="319"/>
        <v>-1.9230769230769051E-2</v>
      </c>
      <c r="AG173" s="2271">
        <f t="shared" si="319"/>
        <v>-1.0638297872340718E-2</v>
      </c>
      <c r="AH173" s="2271">
        <f t="shared" si="319"/>
        <v>9.8596273162532277E-3</v>
      </c>
      <c r="AI173" s="2309">
        <f t="shared" si="319"/>
        <v>2.7432799314759393E-3</v>
      </c>
      <c r="AJ173" s="2310">
        <f t="shared" si="319"/>
        <v>-3.4478607089989288E-2</v>
      </c>
      <c r="AK173" s="2271">
        <f t="shared" si="319"/>
        <v>-3.5878262665506866E-2</v>
      </c>
      <c r="AL173" s="2271">
        <f t="shared" si="319"/>
        <v>-5.2581284158044528E-2</v>
      </c>
      <c r="AM173" s="2309">
        <f t="shared" si="319"/>
        <v>-6.2041155694476102E-2</v>
      </c>
      <c r="AN173" s="2310">
        <f t="shared" si="319"/>
        <v>8.7948305400191717E-3</v>
      </c>
      <c r="AO173" s="2271">
        <f t="shared" si="319"/>
        <v>-3.9968028381719423E-2</v>
      </c>
      <c r="AP173" s="2271">
        <f t="shared" si="319"/>
        <v>-6.3163185986063741E-3</v>
      </c>
      <c r="AQ173" s="2309">
        <f t="shared" si="319"/>
        <v>-2.9902082610514524E-2</v>
      </c>
      <c r="AR173" s="2310">
        <f t="shared" si="319"/>
        <v>-5.2998065060504307E-2</v>
      </c>
      <c r="AS173" s="2271">
        <f t="shared" si="319"/>
        <v>-0.13073874848511424</v>
      </c>
      <c r="AT173" s="2271">
        <f>AT172/AP172-1</f>
        <v>-0.11052983459339194</v>
      </c>
      <c r="AU173" s="2309">
        <f>AU172/AQ172-1</f>
        <v>-0.1195728000774825</v>
      </c>
      <c r="AV173" s="2310">
        <f t="shared" ref="AV173:AY173" si="320">AV172/AR172-1</f>
        <v>2.0957379593816716E-2</v>
      </c>
      <c r="AW173" s="2271">
        <f t="shared" si="320"/>
        <v>-3.9814784592623775E-2</v>
      </c>
      <c r="AX173" s="2271">
        <f t="shared" si="320"/>
        <v>-5.4026820422304556E-2</v>
      </c>
      <c r="AY173" s="2309">
        <f t="shared" si="320"/>
        <v>-4.6625586974155309E-2</v>
      </c>
      <c r="AZ173" s="2271"/>
      <c r="BA173" s="2310">
        <f>BA172/AV172-1</f>
        <v>-0.23241529671533356</v>
      </c>
      <c r="BB173" s="2271">
        <f>BB172/AW172-1</f>
        <v>-0.11284462084614166</v>
      </c>
      <c r="BC173" s="2543">
        <f>BC172/AX172-1</f>
        <v>-0.10034863435044172</v>
      </c>
      <c r="BD173" s="2309">
        <f>BD172/AY172-1</f>
        <v>-3.5397303192687968E-2</v>
      </c>
      <c r="BE173" s="2271"/>
      <c r="BF173" s="2310">
        <f>BF172/BA172-1</f>
        <v>-2.5332875101299557E-2</v>
      </c>
      <c r="BG173" s="2271">
        <f>BG172/BB172-1</f>
        <v>-3.2388105290781399E-2</v>
      </c>
      <c r="BH173" s="2271">
        <f>BH172/BC172-1</f>
        <v>-3.176216022638334E-2</v>
      </c>
      <c r="BI173" s="2309">
        <f>BI172/BD172-1</f>
        <v>-3.1804792575277241E-2</v>
      </c>
      <c r="BJ173" s="2271"/>
      <c r="BK173" s="2310">
        <f>BK172/BF172-1</f>
        <v>-1.9428090292311406E-2</v>
      </c>
      <c r="BL173" s="2271">
        <f>BL172/BG172-1</f>
        <v>-1.8247428041106573E-2</v>
      </c>
      <c r="BM173" s="2271">
        <f>BM172/BH172-1</f>
        <v>-2.012873982668939E-2</v>
      </c>
      <c r="BN173" s="2309">
        <f>BN172/BI172-1</f>
        <v>-2.0814628888060627E-2</v>
      </c>
      <c r="BO173" s="2271"/>
      <c r="BP173" s="2310">
        <f>BP172/BK172-1</f>
        <v>-2.0642322226023913E-2</v>
      </c>
      <c r="BQ173" s="2271">
        <f>BQ172/BL172-1</f>
        <v>-2.1493848781518832E-2</v>
      </c>
      <c r="BR173" s="2271">
        <f>BR172/BM172-1</f>
        <v>-2.1048414451220521E-2</v>
      </c>
      <c r="BS173" s="2309">
        <f>BS172/BN172-1</f>
        <v>-2.1139654628257287E-2</v>
      </c>
      <c r="BT173" s="2271"/>
      <c r="BU173" s="2310">
        <f>BU172/BP172-1</f>
        <v>-2.2111175546559059E-2</v>
      </c>
      <c r="BV173" s="2271">
        <f>BV172/BQ172-1</f>
        <v>-2.308180551682848E-2</v>
      </c>
      <c r="BW173" s="2271">
        <f>BW172/BR172-1</f>
        <v>-2.2145505297270329E-2</v>
      </c>
      <c r="BX173" s="2309">
        <f>BX172/BS172-1</f>
        <v>-2.2023561251804602E-2</v>
      </c>
      <c r="BY173" s="2317"/>
      <c r="BZ173" s="2318"/>
      <c r="CA173" s="2318"/>
      <c r="CB173" s="2319"/>
      <c r="CC173" s="2387">
        <f t="shared" ref="CC173:CM173" si="321">CC172/CB172-1</f>
        <v>-0.13226988220135827</v>
      </c>
      <c r="CD173" s="2387">
        <f t="shared" si="321"/>
        <v>-2.2570866038325255E-2</v>
      </c>
      <c r="CE173" s="2387">
        <f t="shared" si="321"/>
        <v>2.9566762875782082E-2</v>
      </c>
      <c r="CF173" s="2387">
        <f t="shared" si="321"/>
        <v>-5.2378617266097827E-3</v>
      </c>
      <c r="CG173" s="2387">
        <f t="shared" si="321"/>
        <v>-4.420693126457409E-2</v>
      </c>
      <c r="CH173" s="2387">
        <f t="shared" si="321"/>
        <v>-1.8233069371769717E-2</v>
      </c>
      <c r="CI173" s="2387">
        <f t="shared" si="321"/>
        <v>-0.10121356754482014</v>
      </c>
      <c r="CJ173" s="2387">
        <f t="shared" si="321"/>
        <v>-4.3675057971440223E-2</v>
      </c>
      <c r="CK173" s="2387">
        <f t="shared" si="321"/>
        <v>-0.11515413656616558</v>
      </c>
      <c r="CL173" s="2387">
        <f t="shared" si="321"/>
        <v>-3.030278125228969E-2</v>
      </c>
      <c r="CM173" s="2387">
        <f t="shared" si="321"/>
        <v>-5.0462964002803146E-3</v>
      </c>
      <c r="CN173" s="2271"/>
      <c r="CO173" s="2271"/>
      <c r="CP173" s="2317"/>
      <c r="CQ173" s="2318"/>
      <c r="CR173" s="2318"/>
      <c r="CS173" s="2318"/>
      <c r="CT173" s="2319"/>
      <c r="CU173" s="2387">
        <f t="shared" ref="CU173:DE173" si="322">CU172/CT172-1</f>
        <v>-7.4239367054065641E-2</v>
      </c>
      <c r="CV173" s="2387">
        <f t="shared" si="322"/>
        <v>-0.11391632786824957</v>
      </c>
      <c r="CW173" s="2387">
        <f t="shared" si="322"/>
        <v>4.1082377920942825E-2</v>
      </c>
      <c r="CX173" s="2387">
        <f t="shared" si="322"/>
        <v>-1.066037661757735E-2</v>
      </c>
      <c r="CY173" s="2387">
        <f t="shared" si="322"/>
        <v>-1.4831078156256949E-2</v>
      </c>
      <c r="CZ173" s="2387">
        <f t="shared" si="322"/>
        <v>-3.616155541633137E-2</v>
      </c>
      <c r="DA173" s="2387">
        <f t="shared" si="322"/>
        <v>-5.7235530183182504E-2</v>
      </c>
      <c r="DB173" s="2387">
        <f t="shared" si="322"/>
        <v>-0.12585275497444637</v>
      </c>
      <c r="DC173" s="2387">
        <f t="shared" si="322"/>
        <v>-7.1145818879309153E-2</v>
      </c>
      <c r="DD173" s="2387">
        <f t="shared" si="322"/>
        <v>-3.0788008467281691E-2</v>
      </c>
      <c r="DE173" s="2387">
        <f t="shared" si="322"/>
        <v>-7.2070040173942695E-3</v>
      </c>
      <c r="DF173" s="2271"/>
    </row>
    <row r="174" spans="1:110" s="1715" customFormat="1" hidden="1" outlineLevel="2">
      <c r="A174" s="2388"/>
      <c r="B174" s="2259"/>
      <c r="C174" s="2259"/>
      <c r="D174" s="2259"/>
      <c r="E174" s="2259"/>
      <c r="F174" s="2389">
        <f t="shared" ref="F174:W174" si="323">F73+F115+F103+F85+F91+F97+F109+F79</f>
        <v>0.99</v>
      </c>
      <c r="G174" s="2389">
        <f t="shared" si="323"/>
        <v>0.99</v>
      </c>
      <c r="H174" s="2389">
        <f t="shared" si="323"/>
        <v>1</v>
      </c>
      <c r="I174" s="2389">
        <f t="shared" si="323"/>
        <v>1</v>
      </c>
      <c r="J174" s="2389">
        <f t="shared" si="323"/>
        <v>1</v>
      </c>
      <c r="K174" s="2389">
        <f t="shared" si="323"/>
        <v>1</v>
      </c>
      <c r="L174" s="2390">
        <f t="shared" si="323"/>
        <v>1</v>
      </c>
      <c r="M174" s="2391">
        <f t="shared" si="323"/>
        <v>1</v>
      </c>
      <c r="N174" s="2250">
        <f t="shared" si="323"/>
        <v>1</v>
      </c>
      <c r="O174" s="2257">
        <f t="shared" si="323"/>
        <v>1</v>
      </c>
      <c r="P174" s="2256">
        <f t="shared" si="323"/>
        <v>1</v>
      </c>
      <c r="Q174" s="2250">
        <f t="shared" si="323"/>
        <v>1</v>
      </c>
      <c r="R174" s="2250">
        <f t="shared" si="323"/>
        <v>1</v>
      </c>
      <c r="S174" s="2257">
        <f t="shared" si="323"/>
        <v>1</v>
      </c>
      <c r="T174" s="2256">
        <f t="shared" si="323"/>
        <v>1</v>
      </c>
      <c r="U174" s="2250">
        <f t="shared" si="323"/>
        <v>1</v>
      </c>
      <c r="V174" s="2250">
        <f t="shared" si="323"/>
        <v>1</v>
      </c>
      <c r="W174" s="2257">
        <f t="shared" si="323"/>
        <v>0.99999999999999989</v>
      </c>
      <c r="X174" s="2256">
        <f>X73+X115+X103+X85+X91+X97+X109+X79+X139+X133+X127+X121</f>
        <v>1</v>
      </c>
      <c r="Y174" s="2250">
        <f t="shared" ref="Y174:AJ174" si="324">Y73+Y115+Y103+Y85+Y91+Y97+Y109+Y79+Y157+Y139+Y133+Y127+Y121</f>
        <v>1</v>
      </c>
      <c r="Z174" s="2250">
        <f t="shared" si="324"/>
        <v>1</v>
      </c>
      <c r="AA174" s="2257">
        <f t="shared" si="324"/>
        <v>1</v>
      </c>
      <c r="AB174" s="2256">
        <f t="shared" si="324"/>
        <v>0.99999999999999989</v>
      </c>
      <c r="AC174" s="2250">
        <f t="shared" si="324"/>
        <v>0.99999999999999989</v>
      </c>
      <c r="AD174" s="2250">
        <f t="shared" si="324"/>
        <v>1</v>
      </c>
      <c r="AE174" s="2257">
        <f t="shared" si="324"/>
        <v>1</v>
      </c>
      <c r="AF174" s="2256">
        <f t="shared" si="324"/>
        <v>1</v>
      </c>
      <c r="AG174" s="2250">
        <f t="shared" si="324"/>
        <v>1</v>
      </c>
      <c r="AH174" s="2250">
        <f t="shared" si="324"/>
        <v>1</v>
      </c>
      <c r="AI174" s="2257">
        <f t="shared" si="324"/>
        <v>1</v>
      </c>
      <c r="AJ174" s="2256">
        <f t="shared" si="324"/>
        <v>1</v>
      </c>
      <c r="AK174" s="2250">
        <f t="shared" ref="AK174:AS174" si="325">AK73+AK115+AK103+AK85+AK91+AK97+AK109+AK79+AK157+AK139+AK133+AK127+AK121+AK145+AK151+AK163</f>
        <v>1.0000000000000002</v>
      </c>
      <c r="AL174" s="2250">
        <f t="shared" si="325"/>
        <v>1</v>
      </c>
      <c r="AM174" s="2257">
        <f t="shared" si="325"/>
        <v>1</v>
      </c>
      <c r="AN174" s="2256">
        <f t="shared" si="325"/>
        <v>1</v>
      </c>
      <c r="AO174" s="2250">
        <f t="shared" si="325"/>
        <v>1</v>
      </c>
      <c r="AP174" s="2250">
        <f t="shared" si="325"/>
        <v>1</v>
      </c>
      <c r="AQ174" s="2257">
        <f t="shared" si="325"/>
        <v>1</v>
      </c>
      <c r="AR174" s="2256">
        <f t="shared" si="325"/>
        <v>1</v>
      </c>
      <c r="AS174" s="2250">
        <f t="shared" si="325"/>
        <v>1</v>
      </c>
      <c r="AT174" s="2250">
        <f>AT73+AT115+AT103+AT85+AT91+AT97+AT109+AT79+AT157+AT139+AT133+AT127+AT121+AT145+AT151+AT163</f>
        <v>1</v>
      </c>
      <c r="AU174" s="2257">
        <f>AU73+AU115+AU103+AU85+AU91+AU97+AU109+AU79+AU157+AU139+AU133+AU127+AU121+AU145+AU151+AU163</f>
        <v>1</v>
      </c>
      <c r="AV174" s="2256">
        <f t="shared" ref="AV174:BI174" si="326">AV73+AV115+AV103+AV85+AV91+AV97+AV109+AV79+AV157+AV139+AV133+AV127+AV121+AV145+AV151+AV163</f>
        <v>1</v>
      </c>
      <c r="AW174" s="2250">
        <f t="shared" si="326"/>
        <v>0.99999999999999989</v>
      </c>
      <c r="AX174" s="2250">
        <f>AX73+AX115+AX103+AX85+AX91+AX97+AX109+AX79+AX157+AX139+AX133+AX127+AX121+AX145+AX151+AX163</f>
        <v>0.99999999999999989</v>
      </c>
      <c r="AY174" s="2257">
        <f t="shared" si="326"/>
        <v>1</v>
      </c>
      <c r="AZ174" s="2250"/>
      <c r="BA174" s="2256">
        <f t="shared" si="326"/>
        <v>1</v>
      </c>
      <c r="BB174" s="2250">
        <f t="shared" si="326"/>
        <v>1</v>
      </c>
      <c r="BC174" s="2603">
        <f t="shared" si="326"/>
        <v>1</v>
      </c>
      <c r="BD174" s="2257">
        <f t="shared" si="326"/>
        <v>1</v>
      </c>
      <c r="BE174" s="2250"/>
      <c r="BF174" s="2256">
        <f t="shared" si="326"/>
        <v>1</v>
      </c>
      <c r="BG174" s="2250">
        <f t="shared" si="326"/>
        <v>1</v>
      </c>
      <c r="BH174" s="2250">
        <f t="shared" si="326"/>
        <v>1</v>
      </c>
      <c r="BI174" s="2257">
        <f t="shared" si="326"/>
        <v>1</v>
      </c>
      <c r="BJ174" s="2250"/>
      <c r="BK174" s="2256">
        <f>BK73+BK115+BK103+BK85+BK91+BK97+BK109+BK79+BK157+BK139+BK133+BK127+BK121+BK145+BK151+BK163</f>
        <v>1</v>
      </c>
      <c r="BL174" s="2250">
        <f>BL73+BL115+BL103+BL85+BL91+BL97+BL109+BL79+BL157+BL139+BL133+BL127+BL121+BL145+BL151+BL163</f>
        <v>1</v>
      </c>
      <c r="BM174" s="2250">
        <f>BM73+BM115+BM103+BM85+BM91+BM97+BM109+BM79+BM157+BM139+BM133+BM127+BM121+BM145+BM151+BM163</f>
        <v>1</v>
      </c>
      <c r="BN174" s="2257">
        <f>BN73+BN115+BN103+BN85+BN91+BN97+BN109+BN79+BN157+BN139+BN133+BN127+BN121+BN145+BN151+BN163</f>
        <v>1</v>
      </c>
      <c r="BO174" s="2250"/>
      <c r="BP174" s="2256">
        <f>BP73+BP115+BP103+BP85+BP91+BP97+BP109+BP79+BP157+BP139+BP133+BP127+BP121+BP145+BP151+BP163</f>
        <v>1</v>
      </c>
      <c r="BQ174" s="2250">
        <f>BQ73+BQ115+BQ103+BQ85+BQ91+BQ97+BQ109+BQ79+BQ157+BQ139+BQ133+BQ127+BQ121+BQ145+BQ151+BQ163</f>
        <v>1</v>
      </c>
      <c r="BR174" s="2250">
        <f>BR73+BR115+BR103+BR85+BR91+BR97+BR109+BR79+BR157+BR139+BR133+BR127+BR121+BR145+BR151+BR163</f>
        <v>1</v>
      </c>
      <c r="BS174" s="2257">
        <f>BS73+BS115+BS103+BS85+BS91+BS97+BS109+BS79+BS157+BS139+BS133+BS127+BS121+BS145+BS151+BS163</f>
        <v>1</v>
      </c>
      <c r="BT174" s="2250"/>
      <c r="BU174" s="2256">
        <f>BU73+BU115+BU103+BU85+BU91+BU97+BU109+BU79+BU157+BU139+BU133+BU127+BU121+BU145+BU151+BU163</f>
        <v>1</v>
      </c>
      <c r="BV174" s="2250">
        <f>BV73+BV115+BV103+BV85+BV91+BV97+BV109+BV79+BV157+BV139+BV133+BV127+BV121+BV145+BV151+BV163</f>
        <v>1</v>
      </c>
      <c r="BW174" s="2250">
        <f>BW73+BW115+BW103+BW85+BW91+BW97+BW109+BW79+BW157+BW139+BW133+BW127+BW121+BW145+BW151+BW163</f>
        <v>1</v>
      </c>
      <c r="BX174" s="2257">
        <f>BX73+BX115+BX103+BX85+BX91+BX97+BX109+BX79+BX157+BX139+BX133+BX127+BX121+BX145+BX151+BX163</f>
        <v>1</v>
      </c>
      <c r="BY174" s="2258"/>
      <c r="BZ174" s="2333"/>
      <c r="CA174" s="2333"/>
      <c r="CB174" s="2333"/>
      <c r="CC174" s="2333"/>
      <c r="CD174" s="2257">
        <f>CD73+CD115+CD103+CD85+CD91+CD97+CD109+CD79+CD157+CD139+CD133+CD127+CD121</f>
        <v>1</v>
      </c>
      <c r="CE174" s="2257">
        <f>CE73+CE115+CE103+CE85+CE91+CE97+CE109+CE79+CE157+CE139+CE133+CE127+CE121</f>
        <v>1.0000000000000002</v>
      </c>
      <c r="CF174" s="2257">
        <f>CF73+CF115+CF103+CF85+CF91+CF97+CF109+CF79+CF157+CF139+CF133+CF127+CF121</f>
        <v>1</v>
      </c>
      <c r="CG174" s="2257"/>
      <c r="CH174" s="2257"/>
      <c r="CI174" s="2257"/>
      <c r="CJ174" s="2257"/>
      <c r="CK174" s="2257"/>
      <c r="CL174" s="2257"/>
      <c r="CM174" s="2257"/>
      <c r="CN174" s="2250"/>
      <c r="CO174" s="2250"/>
      <c r="CP174" s="2392"/>
      <c r="CQ174" s="2333"/>
      <c r="CR174" s="2333"/>
      <c r="CS174" s="2333"/>
      <c r="CT174" s="2333"/>
      <c r="CU174" s="2333"/>
      <c r="CV174" s="2333"/>
      <c r="CW174" s="2245"/>
      <c r="CX174" s="2257"/>
      <c r="CY174" s="2245"/>
      <c r="CZ174" s="2245"/>
      <c r="DA174" s="2245"/>
      <c r="DB174" s="2245"/>
      <c r="DC174" s="2245"/>
      <c r="DD174" s="2245"/>
      <c r="DE174" s="2245"/>
      <c r="DF174" s="2250"/>
    </row>
    <row r="175" spans="1:110" s="1715" customFormat="1" hidden="1" outlineLevel="1">
      <c r="A175" s="2344"/>
      <c r="B175" s="2259"/>
      <c r="C175" s="2259"/>
      <c r="D175" s="2259"/>
      <c r="E175" s="2259"/>
      <c r="F175" s="2259"/>
      <c r="G175" s="2259"/>
      <c r="H175" s="2259"/>
      <c r="I175" s="2259"/>
      <c r="J175" s="2259"/>
      <c r="K175" s="2259"/>
      <c r="L175" s="2264"/>
      <c r="M175" s="2239"/>
      <c r="N175" s="2312"/>
      <c r="O175" s="2260"/>
      <c r="P175" s="2287"/>
      <c r="Q175" s="2288"/>
      <c r="R175" s="2288"/>
      <c r="S175" s="2289"/>
      <c r="T175" s="2287"/>
      <c r="U175" s="2288"/>
      <c r="V175" s="2315"/>
      <c r="W175" s="2289"/>
      <c r="X175" s="2315"/>
      <c r="Y175" s="2315"/>
      <c r="Z175" s="2315"/>
      <c r="AA175" s="2316"/>
      <c r="AB175" s="2315"/>
      <c r="AC175" s="2315"/>
      <c r="AD175" s="2315"/>
      <c r="AE175" s="2315"/>
      <c r="AF175" s="2315"/>
      <c r="AG175" s="2315"/>
      <c r="AH175" s="2315"/>
      <c r="AI175" s="2316"/>
      <c r="AJ175" s="2315"/>
      <c r="AK175" s="2315"/>
      <c r="AL175" s="2315"/>
      <c r="AM175" s="2315"/>
      <c r="AN175" s="2264"/>
      <c r="AO175" s="2239"/>
      <c r="AP175" s="2239"/>
      <c r="AQ175" s="2260"/>
      <c r="AR175" s="2264"/>
      <c r="AS175" s="2239"/>
      <c r="AT175" s="2239"/>
      <c r="AU175" s="2260"/>
      <c r="AV175" s="2264"/>
      <c r="AW175" s="2239"/>
      <c r="AX175" s="2239"/>
      <c r="AY175" s="2260"/>
      <c r="AZ175" s="2239"/>
      <c r="BA175" s="2264"/>
      <c r="BB175" s="2239"/>
      <c r="BC175" s="2604"/>
      <c r="BD175" s="2260"/>
      <c r="BE175" s="2239"/>
      <c r="BF175" s="2264"/>
      <c r="BG175" s="2239"/>
      <c r="BH175" s="2239"/>
      <c r="BI175" s="2260"/>
      <c r="BJ175" s="2239"/>
      <c r="BK175" s="2264"/>
      <c r="BL175" s="2239"/>
      <c r="BM175" s="2239"/>
      <c r="BN175" s="2260"/>
      <c r="BO175" s="2239"/>
      <c r="BP175" s="2264"/>
      <c r="BQ175" s="2239"/>
      <c r="BR175" s="2239"/>
      <c r="BS175" s="2260"/>
      <c r="BT175" s="2239"/>
      <c r="BU175" s="2264"/>
      <c r="BV175" s="2239"/>
      <c r="BW175" s="2239"/>
      <c r="BX175" s="2260"/>
      <c r="BY175" s="2244"/>
      <c r="BZ175" s="2259"/>
      <c r="CA175" s="2259"/>
      <c r="CB175" s="2291"/>
      <c r="CC175" s="2291"/>
      <c r="CD175" s="2289"/>
      <c r="CE175" s="2289"/>
      <c r="CF175" s="2289"/>
      <c r="CG175" s="2316"/>
      <c r="CH175" s="2316"/>
      <c r="CI175" s="2316"/>
      <c r="CJ175" s="2316"/>
      <c r="CK175" s="2316"/>
      <c r="CL175" s="2316"/>
      <c r="CM175" s="2316"/>
      <c r="CN175" s="2315"/>
      <c r="CO175" s="2315"/>
      <c r="CP175" s="2244"/>
      <c r="CQ175" s="2259"/>
      <c r="CR175" s="2259"/>
      <c r="CS175" s="2259"/>
      <c r="CT175" s="2291"/>
      <c r="CU175" s="2291"/>
      <c r="CV175" s="2291"/>
      <c r="CW175" s="2291"/>
      <c r="CX175" s="2259"/>
      <c r="CY175" s="2259"/>
      <c r="CZ175" s="2259"/>
      <c r="DA175" s="2259"/>
      <c r="DB175" s="2259"/>
      <c r="DC175" s="2259"/>
      <c r="DD175" s="2259"/>
      <c r="DE175" s="2259"/>
      <c r="DF175" s="2239"/>
    </row>
    <row r="176" spans="1:110" s="1715" customFormat="1" hidden="1" outlineLevel="2">
      <c r="A176" s="2375" t="s">
        <v>540</v>
      </c>
      <c r="B176" s="2376"/>
      <c r="C176" s="2376"/>
      <c r="D176" s="2376"/>
      <c r="E176" s="2376">
        <v>400</v>
      </c>
      <c r="F176" s="2376">
        <v>517</v>
      </c>
      <c r="G176" s="2376"/>
      <c r="H176" s="2376">
        <v>480</v>
      </c>
      <c r="I176" s="2376">
        <v>392</v>
      </c>
      <c r="J176" s="2376">
        <v>486</v>
      </c>
      <c r="K176" s="2376">
        <v>529</v>
      </c>
      <c r="L176" s="2377">
        <v>504</v>
      </c>
      <c r="M176" s="2378">
        <f>439</f>
        <v>439</v>
      </c>
      <c r="N176" s="2378">
        <v>790</v>
      </c>
      <c r="O176" s="2379">
        <v>566</v>
      </c>
      <c r="P176" s="2377">
        <v>620</v>
      </c>
      <c r="Q176" s="2378">
        <v>610</v>
      </c>
      <c r="R176" s="2378">
        <v>674</v>
      </c>
      <c r="S176" s="2379">
        <f>O176*(1+S177)</f>
        <v>690.52</v>
      </c>
      <c r="T176" s="2377">
        <v>745</v>
      </c>
      <c r="U176" s="2378">
        <f t="shared" ref="U176:AS176" si="327">Q176*(1+U177)</f>
        <v>725.9</v>
      </c>
      <c r="V176" s="2378">
        <f t="shared" si="327"/>
        <v>683.43600000000004</v>
      </c>
      <c r="W176" s="2379">
        <f t="shared" si="327"/>
        <v>704.33039999999994</v>
      </c>
      <c r="X176" s="2377">
        <v>800</v>
      </c>
      <c r="Y176" s="2378">
        <v>1257</v>
      </c>
      <c r="Z176" s="2378">
        <v>900</v>
      </c>
      <c r="AA176" s="2379">
        <v>960</v>
      </c>
      <c r="AB176" s="2377">
        <v>882.16934445122615</v>
      </c>
      <c r="AC176" s="2378">
        <v>778.92827619015054</v>
      </c>
      <c r="AD176" s="2378">
        <v>825.97162378420023</v>
      </c>
      <c r="AE176" s="2379">
        <v>961.01163240162668</v>
      </c>
      <c r="AF176" s="2377">
        <f t="shared" si="327"/>
        <v>966.41995086098007</v>
      </c>
      <c r="AG176" s="2378">
        <f t="shared" si="327"/>
        <v>799.95549792872407</v>
      </c>
      <c r="AH176" s="2378">
        <f t="shared" si="327"/>
        <v>1000.781382491145</v>
      </c>
      <c r="AI176" s="2379">
        <f t="shared" si="327"/>
        <v>900.79189550556555</v>
      </c>
      <c r="AJ176" s="2377">
        <f>AF176*(1+AJ177)</f>
        <v>984.13726979282785</v>
      </c>
      <c r="AK176" s="2378">
        <f t="shared" si="327"/>
        <v>1141.8063129046809</v>
      </c>
      <c r="AL176" s="2378">
        <f t="shared" si="327"/>
        <v>1269.9336352638827</v>
      </c>
      <c r="AM176" s="2379">
        <f t="shared" si="327"/>
        <v>948.92856678752867</v>
      </c>
      <c r="AN176" s="2377">
        <f t="shared" si="327"/>
        <v>802.0718748811546</v>
      </c>
      <c r="AO176" s="2378">
        <f t="shared" si="327"/>
        <v>1141.8063129046809</v>
      </c>
      <c r="AP176" s="2378">
        <f t="shared" si="327"/>
        <v>1269.9336352638827</v>
      </c>
      <c r="AQ176" s="2379">
        <f t="shared" si="327"/>
        <v>948.92856678752867</v>
      </c>
      <c r="AR176" s="2377">
        <f t="shared" si="327"/>
        <v>721.86468739303916</v>
      </c>
      <c r="AS176" s="2378">
        <f t="shared" si="327"/>
        <v>1084.7159972594468</v>
      </c>
      <c r="AT176" s="2378">
        <f>AP176*(1+AT177)</f>
        <v>1206.4369535006886</v>
      </c>
      <c r="AU176" s="2379">
        <f>AQ176*(1+AU177)</f>
        <v>901.48213844815223</v>
      </c>
      <c r="AV176" s="2377">
        <f t="shared" ref="AV176:AY176" si="328">AR176*(1+AV177)</f>
        <v>743.52062801483032</v>
      </c>
      <c r="AW176" s="2378">
        <f t="shared" si="328"/>
        <v>1117.2574771772302</v>
      </c>
      <c r="AX176" s="2378">
        <f t="shared" si="328"/>
        <v>1242.6300621057092</v>
      </c>
      <c r="AY176" s="2379">
        <f t="shared" si="328"/>
        <v>928.52660260159678</v>
      </c>
      <c r="AZ176" s="2378"/>
      <c r="BA176" s="2377">
        <f>AV176*(1+BA177)</f>
        <v>765.82624685527526</v>
      </c>
      <c r="BB176" s="2378">
        <f>AW176*(1+BB177)</f>
        <v>1150.775201492547</v>
      </c>
      <c r="BC176" s="2596">
        <f>AX176*(1+BC177)</f>
        <v>1279.9089639688805</v>
      </c>
      <c r="BD176" s="2379">
        <f>AY176*(1+BD177)</f>
        <v>956.38240067964466</v>
      </c>
      <c r="BE176" s="2378"/>
      <c r="BF176" s="2377">
        <f>BA176*(1+BF177)</f>
        <v>788.80103426093353</v>
      </c>
      <c r="BG176" s="2378">
        <f>BB176*(1+BG177)</f>
        <v>1185.2984575373234</v>
      </c>
      <c r="BH176" s="2378">
        <f>BC176*(1+BH177)</f>
        <v>1318.3062328879469</v>
      </c>
      <c r="BI176" s="2379">
        <f>BD176*(1+BI177)</f>
        <v>985.07387270003403</v>
      </c>
      <c r="BJ176" s="2378"/>
      <c r="BK176" s="2377">
        <f>BF176*(1+BK177)</f>
        <v>812.46506528876159</v>
      </c>
      <c r="BL176" s="2378">
        <f>BG176*(1+BL177)</f>
        <v>1220.8574112634431</v>
      </c>
      <c r="BM176" s="2378">
        <f>BH176*(1+BM177)</f>
        <v>1357.8554198745853</v>
      </c>
      <c r="BN176" s="2379">
        <f>BI176*(1+BN177)</f>
        <v>1014.6260888810351</v>
      </c>
      <c r="BO176" s="2378"/>
      <c r="BP176" s="2377">
        <f>BK176*(1+BP177)</f>
        <v>836.83901724742441</v>
      </c>
      <c r="BQ176" s="2378">
        <f>BL176*(1+BQ177)</f>
        <v>1257.4831336013465</v>
      </c>
      <c r="BR176" s="2378">
        <f>BM176*(1+BR177)</f>
        <v>1398.5910824708228</v>
      </c>
      <c r="BS176" s="2379">
        <f>BN176*(1+BS177)</f>
        <v>1045.0648715474663</v>
      </c>
      <c r="BT176" s="2378"/>
      <c r="BU176" s="2377">
        <f>BP176*(1+BU177)</f>
        <v>861.94418776484713</v>
      </c>
      <c r="BV176" s="2378">
        <f>BQ176*(1+BV177)</f>
        <v>1295.2076276093869</v>
      </c>
      <c r="BW176" s="2378">
        <f>BR176*(1+BW177)</f>
        <v>1440.5488149449475</v>
      </c>
      <c r="BX176" s="2379">
        <f>BS176*(1+BX177)</f>
        <v>1076.4168176938904</v>
      </c>
      <c r="BY176" s="2380"/>
      <c r="BZ176" s="2376">
        <f>H176+I176+J176+K176</f>
        <v>1887</v>
      </c>
      <c r="CA176" s="2376">
        <f>L176+M176+N176+O176</f>
        <v>2299</v>
      </c>
      <c r="CB176" s="2376">
        <f>P176+Q176+R176+S176</f>
        <v>2594.52</v>
      </c>
      <c r="CC176" s="2376">
        <f>T176+U176+V176+W176</f>
        <v>2858.6664000000001</v>
      </c>
      <c r="CD176" s="2379">
        <f>X176+Y176+Z176+AA176</f>
        <v>3917</v>
      </c>
      <c r="CE176" s="2379">
        <f>AB176+AC176+AD176+AE176</f>
        <v>3448.0808768272036</v>
      </c>
      <c r="CF176" s="2379">
        <f>SUM(AF176:AI176)</f>
        <v>3667.9487267864147</v>
      </c>
      <c r="CG176" s="2379">
        <f>SUM(AJ176:AM176)</f>
        <v>4344.8057847489199</v>
      </c>
      <c r="CH176" s="2379">
        <f>SUM(AN176:AQ176)</f>
        <v>4162.7403898372468</v>
      </c>
      <c r="CI176" s="2379">
        <f>SUM(AR176:AU176)</f>
        <v>3914.4997766013266</v>
      </c>
      <c r="CJ176" s="2379">
        <f>SUM(AV176:AY176)</f>
        <v>4031.934769899367</v>
      </c>
      <c r="CK176" s="2379">
        <f>SUM(BA176:BD176)</f>
        <v>4152.8928129963479</v>
      </c>
      <c r="CL176" s="2379">
        <f>SUM(BF176:BI176)</f>
        <v>4277.4795973862383</v>
      </c>
      <c r="CM176" s="2379">
        <f>SUM(BG176:BK176)</f>
        <v>4301.1436284140655</v>
      </c>
      <c r="CN176" s="2378"/>
      <c r="CO176" s="2378"/>
      <c r="CP176" s="2380"/>
      <c r="CQ176" s="2376"/>
      <c r="CR176" s="2376"/>
      <c r="CS176" s="2376">
        <f>J176+K176+L176+M176</f>
        <v>1958</v>
      </c>
      <c r="CT176" s="2376">
        <f>N176+O176+P176+Q176</f>
        <v>2586</v>
      </c>
      <c r="CU176" s="2376">
        <f>R176+S176+T176+U176</f>
        <v>2835.42</v>
      </c>
      <c r="CV176" s="2376">
        <f>V176+W176+X176+Y176</f>
        <v>3444.7664</v>
      </c>
      <c r="CW176" s="2376">
        <f>Z176+AA176+AB176+AC176</f>
        <v>3521.0976206413766</v>
      </c>
      <c r="CX176" s="2376">
        <f>SUM(AD176:AG176)</f>
        <v>3553.3587049755311</v>
      </c>
      <c r="CY176" s="2376">
        <f>SUM(AH176:AK176)</f>
        <v>4027.5168606942193</v>
      </c>
      <c r="CZ176" s="2376">
        <f>SUM(AL176:AO176)</f>
        <v>4162.7403898372468</v>
      </c>
      <c r="DA176" s="2376">
        <f>SUM(AP176:AS176)</f>
        <v>4025.4428867038973</v>
      </c>
      <c r="DB176" s="2376">
        <f>SUM(AT176:AW176)</f>
        <v>3968.6971971409016</v>
      </c>
      <c r="DC176" s="2376">
        <f>SUM(AX176:BB176)</f>
        <v>4087.758113055128</v>
      </c>
      <c r="DD176" s="2376">
        <f>SUM(BC176:BG176)</f>
        <v>4210.390856446782</v>
      </c>
      <c r="DE176" s="2376">
        <f>SUM(BD176:BH176)</f>
        <v>4248.7881253658488</v>
      </c>
      <c r="DF176" s="2378"/>
    </row>
    <row r="177" spans="1:110" s="1715" customFormat="1" hidden="1" outlineLevel="2">
      <c r="A177" s="2342" t="s">
        <v>300</v>
      </c>
      <c r="B177" s="2259"/>
      <c r="C177" s="2259"/>
      <c r="D177" s="2259"/>
      <c r="E177" s="2259"/>
      <c r="F177" s="2259"/>
      <c r="G177" s="2259"/>
      <c r="H177" s="2259"/>
      <c r="I177" s="2259"/>
      <c r="J177" s="2259"/>
      <c r="K177" s="2259"/>
      <c r="L177" s="2390">
        <f t="shared" ref="L177:R177" si="329">L176/H176-1</f>
        <v>5.0000000000000044E-2</v>
      </c>
      <c r="M177" s="2391">
        <f t="shared" si="329"/>
        <v>0.11989795918367352</v>
      </c>
      <c r="N177" s="2391">
        <f t="shared" si="329"/>
        <v>0.62551440329218111</v>
      </c>
      <c r="O177" s="2393">
        <f t="shared" si="329"/>
        <v>6.9943289224952743E-2</v>
      </c>
      <c r="P177" s="2394">
        <f t="shared" si="329"/>
        <v>0.23015873015873023</v>
      </c>
      <c r="Q177" s="2270">
        <f t="shared" si="329"/>
        <v>0.38952164009111612</v>
      </c>
      <c r="R177" s="2270">
        <f t="shared" si="329"/>
        <v>-0.14683544303797469</v>
      </c>
      <c r="S177" s="2243">
        <v>0.22</v>
      </c>
      <c r="T177" s="2395">
        <f>T176/P176-1</f>
        <v>0.20161290322580649</v>
      </c>
      <c r="U177" s="2352">
        <v>0.19</v>
      </c>
      <c r="V177" s="2352">
        <v>1.4E-2</v>
      </c>
      <c r="W177" s="2353">
        <v>0.02</v>
      </c>
      <c r="X177" s="2352">
        <f t="shared" ref="X177:AE177" si="330">X176/T176-1</f>
        <v>7.3825503355704702E-2</v>
      </c>
      <c r="Y177" s="2352">
        <f t="shared" si="330"/>
        <v>0.73164347706295629</v>
      </c>
      <c r="Z177" s="2352">
        <f t="shared" si="330"/>
        <v>0.31687531824486848</v>
      </c>
      <c r="AA177" s="2352">
        <f t="shared" si="330"/>
        <v>0.36299668451056499</v>
      </c>
      <c r="AB177" s="2352">
        <f t="shared" si="330"/>
        <v>0.10271168056403268</v>
      </c>
      <c r="AC177" s="2352">
        <f t="shared" si="330"/>
        <v>-0.38032754479701625</v>
      </c>
      <c r="AD177" s="2352">
        <f t="shared" si="330"/>
        <v>-8.2253751350888638E-2</v>
      </c>
      <c r="AE177" s="2352">
        <f t="shared" si="330"/>
        <v>1.0537837516944037E-3</v>
      </c>
      <c r="AF177" s="2396">
        <v>9.5503892693260581E-2</v>
      </c>
      <c r="AG177" s="2283">
        <v>2.6995067943123847E-2</v>
      </c>
      <c r="AH177" s="2283">
        <v>0.21164136112334161</v>
      </c>
      <c r="AI177" s="2397">
        <v>-6.2662859496891113E-2</v>
      </c>
      <c r="AJ177" s="2396">
        <v>1.8332939956448056E-2</v>
      </c>
      <c r="AK177" s="2283">
        <v>0.42733729046314478</v>
      </c>
      <c r="AL177" s="2283">
        <v>0.26894210611988389</v>
      </c>
      <c r="AM177" s="2397">
        <v>5.3438170927311388E-2</v>
      </c>
      <c r="AN177" s="2396">
        <v>-0.185</v>
      </c>
      <c r="AO177" s="2283">
        <v>0</v>
      </c>
      <c r="AP177" s="2283">
        <v>0</v>
      </c>
      <c r="AQ177" s="2397">
        <v>0</v>
      </c>
      <c r="AR177" s="2396">
        <v>-0.1</v>
      </c>
      <c r="AS177" s="2283">
        <v>-0.05</v>
      </c>
      <c r="AT177" s="2283">
        <v>-0.05</v>
      </c>
      <c r="AU177" s="2397">
        <v>-0.05</v>
      </c>
      <c r="AV177" s="2396">
        <v>0.03</v>
      </c>
      <c r="AW177" s="2283">
        <v>0.03</v>
      </c>
      <c r="AX177" s="2283">
        <v>0.03</v>
      </c>
      <c r="AY177" s="2397">
        <v>0.03</v>
      </c>
      <c r="AZ177" s="2283"/>
      <c r="BA177" s="2396">
        <v>0.03</v>
      </c>
      <c r="BB177" s="2283">
        <v>0.03</v>
      </c>
      <c r="BC177" s="2612">
        <v>0.03</v>
      </c>
      <c r="BD177" s="2397">
        <v>0.03</v>
      </c>
      <c r="BE177" s="2283"/>
      <c r="BF177" s="2396">
        <v>0.03</v>
      </c>
      <c r="BG177" s="2283">
        <v>0.03</v>
      </c>
      <c r="BH177" s="2283">
        <v>0.03</v>
      </c>
      <c r="BI177" s="2397">
        <v>0.03</v>
      </c>
      <c r="BJ177" s="2283"/>
      <c r="BK177" s="2396">
        <v>0.03</v>
      </c>
      <c r="BL177" s="2283">
        <v>0.03</v>
      </c>
      <c r="BM177" s="2283">
        <v>0.03</v>
      </c>
      <c r="BN177" s="2397">
        <v>0.03</v>
      </c>
      <c r="BO177" s="2283"/>
      <c r="BP177" s="2396">
        <v>0.03</v>
      </c>
      <c r="BQ177" s="2283">
        <v>0.03</v>
      </c>
      <c r="BR177" s="2283">
        <v>0.03</v>
      </c>
      <c r="BS177" s="2397">
        <v>0.03</v>
      </c>
      <c r="BT177" s="2283"/>
      <c r="BU177" s="2396">
        <v>0.03</v>
      </c>
      <c r="BV177" s="2283">
        <v>0.03</v>
      </c>
      <c r="BW177" s="2283">
        <v>0.03</v>
      </c>
      <c r="BX177" s="2397">
        <v>0.03</v>
      </c>
      <c r="BY177" s="2244"/>
      <c r="BZ177" s="2246"/>
      <c r="CA177" s="2246">
        <f t="shared" ref="CA177:CM177" si="331">IF(OR(BZ176=0,CA176=0),"NM",CA176/BZ176-1)</f>
        <v>0.21833598304186541</v>
      </c>
      <c r="CB177" s="2247">
        <f t="shared" si="331"/>
        <v>0.12854284471509358</v>
      </c>
      <c r="CC177" s="2247">
        <f t="shared" si="331"/>
        <v>0.10180935201887054</v>
      </c>
      <c r="CD177" s="2242">
        <f t="shared" si="331"/>
        <v>0.37021934423687908</v>
      </c>
      <c r="CE177" s="2242">
        <f t="shared" si="331"/>
        <v>-0.11971384303620025</v>
      </c>
      <c r="CF177" s="2242">
        <f t="shared" si="331"/>
        <v>6.3765282141968083E-2</v>
      </c>
      <c r="CG177" s="2242">
        <f t="shared" si="331"/>
        <v>0.18453285702156408</v>
      </c>
      <c r="CH177" s="2242">
        <f t="shared" si="331"/>
        <v>-4.1904150365191573E-2</v>
      </c>
      <c r="CI177" s="2242">
        <f t="shared" si="331"/>
        <v>-5.9633940622856318E-2</v>
      </c>
      <c r="CJ177" s="2242">
        <f t="shared" si="331"/>
        <v>3.0000000000000249E-2</v>
      </c>
      <c r="CK177" s="2242">
        <f t="shared" si="331"/>
        <v>3.0000000000000027E-2</v>
      </c>
      <c r="CL177" s="2242">
        <f t="shared" si="331"/>
        <v>3.0000000000000027E-2</v>
      </c>
      <c r="CM177" s="2242">
        <f t="shared" si="331"/>
        <v>5.5322370309578428E-3</v>
      </c>
      <c r="CN177" s="2240"/>
      <c r="CO177" s="2240"/>
      <c r="CP177" s="2244"/>
      <c r="CQ177" s="2246"/>
      <c r="CR177" s="2246"/>
      <c r="CS177" s="2246"/>
      <c r="CT177" s="2247">
        <f t="shared" ref="CT177:DE177" si="332">IF(OR(CS176=0,CT176=0),"NM",CT176/CS176-1)</f>
        <v>0.32073544433095003</v>
      </c>
      <c r="CU177" s="2247">
        <f t="shared" si="332"/>
        <v>9.6450116009280773E-2</v>
      </c>
      <c r="CV177" s="2247">
        <f t="shared" si="332"/>
        <v>0.21490516396159998</v>
      </c>
      <c r="CW177" s="2247">
        <f t="shared" si="332"/>
        <v>2.2158605774074136E-2</v>
      </c>
      <c r="CX177" s="2247">
        <f t="shared" si="332"/>
        <v>9.1622237750619284E-3</v>
      </c>
      <c r="CY177" s="2247">
        <f t="shared" si="332"/>
        <v>0.13343942874519144</v>
      </c>
      <c r="CZ177" s="2247">
        <f t="shared" si="332"/>
        <v>3.3574913233192394E-2</v>
      </c>
      <c r="DA177" s="2247">
        <f t="shared" si="332"/>
        <v>-3.2982480355619126E-2</v>
      </c>
      <c r="DB177" s="2247">
        <f t="shared" si="332"/>
        <v>-1.4096756843930747E-2</v>
      </c>
      <c r="DC177" s="2247">
        <f t="shared" si="332"/>
        <v>2.9999999999999805E-2</v>
      </c>
      <c r="DD177" s="2247">
        <f t="shared" si="332"/>
        <v>3.0000000000000027E-2</v>
      </c>
      <c r="DE177" s="2247">
        <f t="shared" si="332"/>
        <v>9.119644761786061E-3</v>
      </c>
      <c r="DF177" s="2240"/>
    </row>
    <row r="178" spans="1:110" s="1715" customFormat="1" hidden="1" outlineLevel="2">
      <c r="A178" s="2375" t="s">
        <v>800</v>
      </c>
      <c r="B178" s="2376"/>
      <c r="C178" s="2376"/>
      <c r="D178" s="2376"/>
      <c r="E178" s="2376"/>
      <c r="F178" s="2376"/>
      <c r="G178" s="2376"/>
      <c r="H178" s="2376"/>
      <c r="I178" s="2376"/>
      <c r="J178" s="2376"/>
      <c r="K178" s="2376"/>
      <c r="L178" s="2377"/>
      <c r="M178" s="2378"/>
      <c r="N178" s="2378"/>
      <c r="O178" s="2379"/>
      <c r="P178" s="2377"/>
      <c r="Q178" s="2378"/>
      <c r="R178" s="2378"/>
      <c r="S178" s="2379"/>
      <c r="T178" s="2377"/>
      <c r="U178" s="2378"/>
      <c r="V178" s="2378"/>
      <c r="W178" s="2379"/>
      <c r="X178" s="2378">
        <v>199.64649999999983</v>
      </c>
      <c r="Y178" s="2378">
        <v>215.40070324939416</v>
      </c>
      <c r="Z178" s="2378">
        <v>206.11389274455178</v>
      </c>
      <c r="AA178" s="2379">
        <v>258.88934399999971</v>
      </c>
      <c r="AB178" s="2377">
        <v>219.07827054877316</v>
      </c>
      <c r="AC178" s="2378">
        <v>215.30923901448452</v>
      </c>
      <c r="AD178" s="2378">
        <v>203.16228723362281</v>
      </c>
      <c r="AE178" s="2378">
        <v>264.8108059925795</v>
      </c>
      <c r="AF178" s="2377">
        <f t="shared" ref="AF178:AM178" si="333">AB178*(1+AF179)</f>
        <v>175.26261643901853</v>
      </c>
      <c r="AG178" s="2378">
        <f t="shared" si="333"/>
        <v>172.24739121158763</v>
      </c>
      <c r="AH178" s="2378">
        <f t="shared" si="333"/>
        <v>152.3717154252171</v>
      </c>
      <c r="AI178" s="2378">
        <f t="shared" si="333"/>
        <v>198.60810449443463</v>
      </c>
      <c r="AJ178" s="2377">
        <f t="shared" si="333"/>
        <v>131.4469623292639</v>
      </c>
      <c r="AK178" s="2378">
        <f t="shared" si="333"/>
        <v>129.18554340869071</v>
      </c>
      <c r="AL178" s="2378">
        <f t="shared" si="333"/>
        <v>114.27878656891284</v>
      </c>
      <c r="AM178" s="2378">
        <f t="shared" si="333"/>
        <v>148.95607837082596</v>
      </c>
      <c r="AN178" s="2377">
        <f t="shared" ref="AN178:AS178" si="334">AJ178*(1+AN179)</f>
        <v>98.585221746947923</v>
      </c>
      <c r="AO178" s="2378">
        <f t="shared" si="334"/>
        <v>129.18554340869071</v>
      </c>
      <c r="AP178" s="2378">
        <f t="shared" si="334"/>
        <v>116.56436230029109</v>
      </c>
      <c r="AQ178" s="2379">
        <f t="shared" si="334"/>
        <v>151.93519993824248</v>
      </c>
      <c r="AR178" s="2377">
        <f t="shared" si="334"/>
        <v>93.655960659600524</v>
      </c>
      <c r="AS178" s="2378">
        <f t="shared" si="334"/>
        <v>122.72626623825616</v>
      </c>
      <c r="AT178" s="2378">
        <f>AP178*(1+AT179)</f>
        <v>110.73614418527653</v>
      </c>
      <c r="AU178" s="2379">
        <f>AQ178*(1+AU179)</f>
        <v>144.33843994133034</v>
      </c>
      <c r="AV178" s="2377">
        <f t="shared" ref="AV178:AY178" si="335">AR178*(1+AV179)</f>
        <v>94.59252026619653</v>
      </c>
      <c r="AW178" s="2378">
        <f t="shared" si="335"/>
        <v>123.95352890063872</v>
      </c>
      <c r="AX178" s="2378">
        <f t="shared" si="335"/>
        <v>111.84350562712929</v>
      </c>
      <c r="AY178" s="2379">
        <f t="shared" si="335"/>
        <v>145.78182434074364</v>
      </c>
      <c r="AZ178" s="2378"/>
      <c r="BA178" s="2377">
        <f>AV178*(1+BA179)</f>
        <v>95.538445468858498</v>
      </c>
      <c r="BB178" s="2378">
        <f>AW178*(1+BB179)</f>
        <v>125.1930641896451</v>
      </c>
      <c r="BC178" s="2596">
        <f>AX178*(1+BC179)</f>
        <v>112.96194068340058</v>
      </c>
      <c r="BD178" s="2379">
        <f>AY178*(1+BD179)</f>
        <v>147.23964258415108</v>
      </c>
      <c r="BE178" s="2378"/>
      <c r="BF178" s="2377">
        <f>BA178*(1+BF179)</f>
        <v>96.493829923547082</v>
      </c>
      <c r="BG178" s="2378">
        <f>BB178*(1+BG179)</f>
        <v>126.44499483154155</v>
      </c>
      <c r="BH178" s="2378">
        <f>BC178*(1+BH179)</f>
        <v>114.09156009023459</v>
      </c>
      <c r="BI178" s="2379">
        <f>BD178*(1+BI179)</f>
        <v>148.71203900999259</v>
      </c>
      <c r="BJ178" s="2378"/>
      <c r="BK178" s="2377">
        <f>BF178*(1+BK179)</f>
        <v>97.458768222782552</v>
      </c>
      <c r="BL178" s="2378">
        <f>BG178*(1+BL179)</f>
        <v>127.70944477985697</v>
      </c>
      <c r="BM178" s="2378">
        <f>BH178*(1+BM179)</f>
        <v>115.23247569113694</v>
      </c>
      <c r="BN178" s="2379">
        <f>BI178*(1+BN179)</f>
        <v>150.19915940009253</v>
      </c>
      <c r="BO178" s="2378"/>
      <c r="BP178" s="2377">
        <f>BK178*(1+BP179)</f>
        <v>98.433355905010373</v>
      </c>
      <c r="BQ178" s="2378">
        <f>BL178*(1+BQ179)</f>
        <v>128.98653922765553</v>
      </c>
      <c r="BR178" s="2378">
        <f>BM178*(1+BR179)</f>
        <v>116.38480044804831</v>
      </c>
      <c r="BS178" s="2379">
        <f>BN178*(1+BS179)</f>
        <v>151.70115099409344</v>
      </c>
      <c r="BT178" s="2378"/>
      <c r="BU178" s="2377">
        <f>BP178*(1+BU179)</f>
        <v>99.417689464060473</v>
      </c>
      <c r="BV178" s="2378">
        <f>BQ178*(1+BV179)</f>
        <v>130.27640461993209</v>
      </c>
      <c r="BW178" s="2378">
        <f>BR178*(1+BW179)</f>
        <v>117.54864845252879</v>
      </c>
      <c r="BX178" s="2379">
        <f>BS178*(1+BX179)</f>
        <v>153.21816250403438</v>
      </c>
      <c r="BY178" s="2380"/>
      <c r="BZ178" s="2376"/>
      <c r="CA178" s="2376"/>
      <c r="CB178" s="2376"/>
      <c r="CC178" s="2376"/>
      <c r="CD178" s="2379"/>
      <c r="CE178" s="2379">
        <f>AB178+AC178+AD178+AE178</f>
        <v>902.36060278946002</v>
      </c>
      <c r="CF178" s="2379">
        <f>SUM(AF178:AI178)</f>
        <v>698.48982757025794</v>
      </c>
      <c r="CG178" s="2379">
        <f>SUM(AJ178:AM178)</f>
        <v>523.86737067769343</v>
      </c>
      <c r="CH178" s="2379">
        <f>SUM(AN178:AQ178)</f>
        <v>496.27032739417223</v>
      </c>
      <c r="CI178" s="2379">
        <f>SUM(AR178:AU178)</f>
        <v>471.4568110244636</v>
      </c>
      <c r="CJ178" s="2379">
        <f>SUM(AV178:AY178)</f>
        <v>476.17137913470816</v>
      </c>
      <c r="CK178" s="2379">
        <f>SUM(BA178:BD178)</f>
        <v>480.93309292605522</v>
      </c>
      <c r="CL178" s="2379">
        <f>SUM(BF178:BI178)</f>
        <v>485.74242385531579</v>
      </c>
      <c r="CM178" s="2379">
        <f>SUM(BG178:BK178)</f>
        <v>486.70736215455128</v>
      </c>
      <c r="CN178" s="2378"/>
      <c r="CO178" s="2378"/>
      <c r="CP178" s="2380"/>
      <c r="CQ178" s="2376"/>
      <c r="CR178" s="2376"/>
      <c r="CS178" s="2376"/>
      <c r="CT178" s="2376"/>
      <c r="CU178" s="2376"/>
      <c r="CV178" s="2376"/>
      <c r="CW178" s="2376">
        <f>Z178+AA178+AB178+AC178</f>
        <v>899.3907463078092</v>
      </c>
      <c r="CX178" s="2376">
        <f>SUM(AD178:AG178)</f>
        <v>815.48310087680852</v>
      </c>
      <c r="CY178" s="2376">
        <f>SUM(AH178:AK178)</f>
        <v>611.61232565760633</v>
      </c>
      <c r="CZ178" s="2376">
        <f>SUM(AL178:AO178)</f>
        <v>491.00563009537746</v>
      </c>
      <c r="DA178" s="2376">
        <f>SUM(AP178:AS178)</f>
        <v>484.88178913639024</v>
      </c>
      <c r="DB178" s="2376">
        <f>SUM(AT178:AW178)</f>
        <v>473.6206332934421</v>
      </c>
      <c r="DC178" s="2376">
        <f>SUM(AX178:BB178)</f>
        <v>478.35683962637648</v>
      </c>
      <c r="DD178" s="2376">
        <f>SUM(BC178:BG178)</f>
        <v>483.14040802264026</v>
      </c>
      <c r="DE178" s="2376">
        <f>SUM(BD178:BH178)</f>
        <v>484.27002742947434</v>
      </c>
      <c r="DF178" s="2378"/>
    </row>
    <row r="179" spans="1:110" s="1715" customFormat="1" hidden="1" outlineLevel="2">
      <c r="A179" s="2342" t="s">
        <v>300</v>
      </c>
      <c r="B179" s="2259"/>
      <c r="C179" s="2259"/>
      <c r="D179" s="2259"/>
      <c r="E179" s="2259"/>
      <c r="F179" s="2259"/>
      <c r="G179" s="2259"/>
      <c r="H179" s="2259"/>
      <c r="I179" s="2259"/>
      <c r="J179" s="2259"/>
      <c r="K179" s="2259"/>
      <c r="L179" s="2390"/>
      <c r="M179" s="2391"/>
      <c r="N179" s="2391"/>
      <c r="O179" s="2393"/>
      <c r="P179" s="2394"/>
      <c r="Q179" s="2270"/>
      <c r="R179" s="2270"/>
      <c r="S179" s="2243"/>
      <c r="T179" s="2395"/>
      <c r="U179" s="2352"/>
      <c r="V179" s="2352"/>
      <c r="W179" s="2353"/>
      <c r="X179" s="2395"/>
      <c r="Y179" s="2352"/>
      <c r="Z179" s="2352"/>
      <c r="AA179" s="2353"/>
      <c r="AB179" s="2396">
        <f>AB178/X178-1</f>
        <v>9.7330885083251273E-2</v>
      </c>
      <c r="AC179" s="2283">
        <v>0</v>
      </c>
      <c r="AD179" s="2283">
        <v>-0.05</v>
      </c>
      <c r="AE179" s="2283">
        <v>8.1219654959376383E-3</v>
      </c>
      <c r="AF179" s="2396">
        <v>-0.2</v>
      </c>
      <c r="AG179" s="2283">
        <v>-0.2</v>
      </c>
      <c r="AH179" s="2283">
        <v>-0.25</v>
      </c>
      <c r="AI179" s="2397">
        <v>-0.25</v>
      </c>
      <c r="AJ179" s="2396">
        <v>-0.25</v>
      </c>
      <c r="AK179" s="2283">
        <v>-0.25</v>
      </c>
      <c r="AL179" s="2283">
        <v>-0.25</v>
      </c>
      <c r="AM179" s="2397">
        <v>-0.25</v>
      </c>
      <c r="AN179" s="2396">
        <v>-0.25</v>
      </c>
      <c r="AO179" s="2283">
        <v>0</v>
      </c>
      <c r="AP179" s="2283">
        <v>0.02</v>
      </c>
      <c r="AQ179" s="2397">
        <v>0.02</v>
      </c>
      <c r="AR179" s="2396">
        <v>-0.05</v>
      </c>
      <c r="AS179" s="2283">
        <v>-0.05</v>
      </c>
      <c r="AT179" s="2283">
        <v>-0.05</v>
      </c>
      <c r="AU179" s="2397">
        <v>-0.05</v>
      </c>
      <c r="AV179" s="2396">
        <v>0.01</v>
      </c>
      <c r="AW179" s="2283">
        <v>0.01</v>
      </c>
      <c r="AX179" s="2283">
        <v>0.01</v>
      </c>
      <c r="AY179" s="2397">
        <v>0.01</v>
      </c>
      <c r="AZ179" s="2283"/>
      <c r="BA179" s="2396">
        <v>0.01</v>
      </c>
      <c r="BB179" s="2283">
        <v>0.01</v>
      </c>
      <c r="BC179" s="2612">
        <v>0.01</v>
      </c>
      <c r="BD179" s="2397">
        <v>0.01</v>
      </c>
      <c r="BE179" s="2283"/>
      <c r="BF179" s="2396">
        <v>0.01</v>
      </c>
      <c r="BG179" s="2283">
        <v>0.01</v>
      </c>
      <c r="BH179" s="2283">
        <v>0.01</v>
      </c>
      <c r="BI179" s="2397">
        <v>0.01</v>
      </c>
      <c r="BJ179" s="2283"/>
      <c r="BK179" s="2396">
        <v>0.01</v>
      </c>
      <c r="BL179" s="2283">
        <v>0.01</v>
      </c>
      <c r="BM179" s="2283">
        <v>0.01</v>
      </c>
      <c r="BN179" s="2397">
        <v>0.01</v>
      </c>
      <c r="BO179" s="2283"/>
      <c r="BP179" s="2396">
        <v>0.01</v>
      </c>
      <c r="BQ179" s="2283">
        <v>0.01</v>
      </c>
      <c r="BR179" s="2283">
        <v>0.01</v>
      </c>
      <c r="BS179" s="2397">
        <v>0.01</v>
      </c>
      <c r="BT179" s="2283"/>
      <c r="BU179" s="2396">
        <v>0.01</v>
      </c>
      <c r="BV179" s="2283">
        <v>0.01</v>
      </c>
      <c r="BW179" s="2283">
        <v>0.01</v>
      </c>
      <c r="BX179" s="2397">
        <v>0.01</v>
      </c>
      <c r="BY179" s="2244"/>
      <c r="BZ179" s="2246"/>
      <c r="CA179" s="2246"/>
      <c r="CB179" s="2247"/>
      <c r="CC179" s="2247"/>
      <c r="CD179" s="2242"/>
      <c r="CE179" s="2242" t="str">
        <f t="shared" ref="CE179:CM179" si="336">IF(OR(CD178=0,CE178=0),"NM",CE178/CD178-1)</f>
        <v>NM</v>
      </c>
      <c r="CF179" s="2242">
        <f t="shared" si="336"/>
        <v>-0.22593049229873063</v>
      </c>
      <c r="CG179" s="2242">
        <f t="shared" si="336"/>
        <v>-0.25</v>
      </c>
      <c r="CH179" s="2242">
        <f t="shared" si="336"/>
        <v>-5.2679446799331453E-2</v>
      </c>
      <c r="CI179" s="2242">
        <f t="shared" si="336"/>
        <v>-5.0000000000000044E-2</v>
      </c>
      <c r="CJ179" s="2242">
        <f t="shared" si="336"/>
        <v>9.9999999999997868E-3</v>
      </c>
      <c r="CK179" s="2242">
        <f t="shared" si="336"/>
        <v>1.0000000000000009E-2</v>
      </c>
      <c r="CL179" s="2242">
        <f t="shared" si="336"/>
        <v>1.0000000000000009E-2</v>
      </c>
      <c r="CM179" s="2242">
        <f t="shared" si="336"/>
        <v>1.9865225927289121E-3</v>
      </c>
      <c r="CN179" s="2240"/>
      <c r="CO179" s="2240"/>
      <c r="CP179" s="2244"/>
      <c r="CQ179" s="2246"/>
      <c r="CR179" s="2246"/>
      <c r="CS179" s="2246"/>
      <c r="CT179" s="2247"/>
      <c r="CU179" s="2247"/>
      <c r="CV179" s="2247"/>
      <c r="CW179" s="2247" t="str">
        <f t="shared" ref="CW179:DE179" si="337">IF(OR(CV178=0,CW178=0),"NM",CW178/CV178-1)</f>
        <v>NM</v>
      </c>
      <c r="CX179" s="2247">
        <f t="shared" si="337"/>
        <v>-9.3293872296840386E-2</v>
      </c>
      <c r="CY179" s="2247">
        <f t="shared" si="337"/>
        <v>-0.25000000000000011</v>
      </c>
      <c r="CZ179" s="2247">
        <f t="shared" si="337"/>
        <v>-0.19719467790736955</v>
      </c>
      <c r="DA179" s="2247">
        <f t="shared" si="337"/>
        <v>-1.2472038167459787E-2</v>
      </c>
      <c r="DB179" s="2247">
        <f t="shared" si="337"/>
        <v>-2.3224538630343461E-2</v>
      </c>
      <c r="DC179" s="2247">
        <f t="shared" si="337"/>
        <v>1.0000000000000009E-2</v>
      </c>
      <c r="DD179" s="2247">
        <f t="shared" si="337"/>
        <v>1.0000000000000009E-2</v>
      </c>
      <c r="DE179" s="2247">
        <f t="shared" si="337"/>
        <v>2.3380768573204591E-3</v>
      </c>
      <c r="DF179" s="2240"/>
    </row>
    <row r="180" spans="1:110" s="1715" customFormat="1" hidden="1" outlineLevel="2">
      <c r="A180" s="2375" t="s">
        <v>323</v>
      </c>
      <c r="B180" s="2259"/>
      <c r="C180" s="2259"/>
      <c r="D180" s="2259"/>
      <c r="E180" s="2259"/>
      <c r="F180" s="2259"/>
      <c r="G180" s="2259"/>
      <c r="H180" s="2259"/>
      <c r="I180" s="2259"/>
      <c r="J180" s="2259"/>
      <c r="K180" s="2259"/>
      <c r="L180" s="2390"/>
      <c r="M180" s="2391"/>
      <c r="N180" s="2391"/>
      <c r="O180" s="2393"/>
      <c r="P180" s="2394"/>
      <c r="Q180" s="2270"/>
      <c r="R180" s="2270"/>
      <c r="S180" s="2243"/>
      <c r="T180" s="2377">
        <v>55</v>
      </c>
      <c r="U180" s="2378">
        <v>82</v>
      </c>
      <c r="V180" s="2378">
        <v>36</v>
      </c>
      <c r="W180" s="2379">
        <v>61</v>
      </c>
      <c r="X180" s="2377">
        <v>50</v>
      </c>
      <c r="Y180" s="2378">
        <v>80</v>
      </c>
      <c r="Z180" s="2378">
        <v>50</v>
      </c>
      <c r="AA180" s="2379">
        <v>80</v>
      </c>
      <c r="AB180" s="2377">
        <f t="shared" ref="AB180:AS180" si="338">X180*(1+AB181)</f>
        <v>55.000000000000007</v>
      </c>
      <c r="AC180" s="2378">
        <f t="shared" si="338"/>
        <v>82.4</v>
      </c>
      <c r="AD180" s="2378">
        <f t="shared" si="338"/>
        <v>56.000000000000007</v>
      </c>
      <c r="AE180" s="2379">
        <f t="shared" si="338"/>
        <v>89.600000000000009</v>
      </c>
      <c r="AF180" s="2377">
        <f t="shared" si="338"/>
        <v>61.050000000000011</v>
      </c>
      <c r="AG180" s="2378">
        <f t="shared" si="338"/>
        <v>90.640000000000015</v>
      </c>
      <c r="AH180" s="2378">
        <f t="shared" si="338"/>
        <v>67.2</v>
      </c>
      <c r="AI180" s="2379">
        <f t="shared" si="338"/>
        <v>89.600000000000009</v>
      </c>
      <c r="AJ180" s="2377">
        <f t="shared" si="338"/>
        <v>57.997500000000009</v>
      </c>
      <c r="AK180" s="2378">
        <f t="shared" si="338"/>
        <v>89.73360000000001</v>
      </c>
      <c r="AL180" s="2378">
        <f t="shared" si="338"/>
        <v>64.512</v>
      </c>
      <c r="AM180" s="2379">
        <f t="shared" si="338"/>
        <v>85.12</v>
      </c>
      <c r="AN180" s="2377">
        <f t="shared" si="338"/>
        <v>52.197750000000006</v>
      </c>
      <c r="AO180" s="2378">
        <f t="shared" si="338"/>
        <v>89.73360000000001</v>
      </c>
      <c r="AP180" s="2378">
        <f t="shared" si="338"/>
        <v>64.512</v>
      </c>
      <c r="AQ180" s="2379">
        <f t="shared" si="338"/>
        <v>85.12</v>
      </c>
      <c r="AR180" s="2377">
        <f t="shared" si="338"/>
        <v>52.197750000000006</v>
      </c>
      <c r="AS180" s="2378">
        <f t="shared" si="338"/>
        <v>89.73360000000001</v>
      </c>
      <c r="AT180" s="2378">
        <f>AP180*(1+AT181)</f>
        <v>64.512</v>
      </c>
      <c r="AU180" s="2379">
        <f>AQ180*(1+AU181)</f>
        <v>85.12</v>
      </c>
      <c r="AV180" s="2377">
        <f t="shared" ref="AV180:AY180" si="339">AR180*(1+AV181)</f>
        <v>52.197750000000006</v>
      </c>
      <c r="AW180" s="2378">
        <f t="shared" si="339"/>
        <v>89.73360000000001</v>
      </c>
      <c r="AX180" s="2378">
        <f t="shared" si="339"/>
        <v>64.512</v>
      </c>
      <c r="AY180" s="2379">
        <f t="shared" si="339"/>
        <v>85.12</v>
      </c>
      <c r="AZ180" s="2378"/>
      <c r="BA180" s="2377">
        <f>AV180*(1+BA181)</f>
        <v>52.197750000000006</v>
      </c>
      <c r="BB180" s="2378">
        <f>AW180*(1+BB181)</f>
        <v>89.73360000000001</v>
      </c>
      <c r="BC180" s="2596">
        <f>AX180*(1+BC181)</f>
        <v>64.512</v>
      </c>
      <c r="BD180" s="2379">
        <f>AY180*(1+BD181)</f>
        <v>85.12</v>
      </c>
      <c r="BE180" s="2378"/>
      <c r="BF180" s="2377">
        <f>BA180*(1+BF181)</f>
        <v>52.197750000000006</v>
      </c>
      <c r="BG180" s="2378">
        <f>BB180*(1+BG181)</f>
        <v>89.73360000000001</v>
      </c>
      <c r="BH180" s="2378">
        <f>BC180*(1+BH181)</f>
        <v>64.512</v>
      </c>
      <c r="BI180" s="2379">
        <f>BD180*(1+BI181)</f>
        <v>85.12</v>
      </c>
      <c r="BJ180" s="2378"/>
      <c r="BK180" s="2377">
        <f>BF180*(1+BK181)</f>
        <v>52.197750000000006</v>
      </c>
      <c r="BL180" s="2378">
        <f>BG180*(1+BL181)</f>
        <v>89.73360000000001</v>
      </c>
      <c r="BM180" s="2378">
        <f>BH180*(1+BM181)</f>
        <v>64.512</v>
      </c>
      <c r="BN180" s="2379">
        <f>BI180*(1+BN181)</f>
        <v>85.12</v>
      </c>
      <c r="BO180" s="2378"/>
      <c r="BP180" s="2377">
        <f>BK180*(1+BP181)</f>
        <v>52.197750000000006</v>
      </c>
      <c r="BQ180" s="2378">
        <f>BL180*(1+BQ181)</f>
        <v>89.73360000000001</v>
      </c>
      <c r="BR180" s="2378">
        <f>BM180*(1+BR181)</f>
        <v>64.512</v>
      </c>
      <c r="BS180" s="2379">
        <f>BN180*(1+BS181)</f>
        <v>85.12</v>
      </c>
      <c r="BT180" s="2378"/>
      <c r="BU180" s="2377">
        <f>BP180*(1+BU181)</f>
        <v>52.197750000000006</v>
      </c>
      <c r="BV180" s="2378">
        <f>BQ180*(1+BV181)</f>
        <v>89.73360000000001</v>
      </c>
      <c r="BW180" s="2378">
        <f>BR180*(1+BW181)</f>
        <v>64.512</v>
      </c>
      <c r="BX180" s="2379">
        <f>BS180*(1+BX181)</f>
        <v>85.12</v>
      </c>
      <c r="BY180" s="2244"/>
      <c r="BZ180" s="2246"/>
      <c r="CA180" s="2246"/>
      <c r="CB180" s="2376">
        <f>P180+Q180+R180+S180</f>
        <v>0</v>
      </c>
      <c r="CC180" s="2376">
        <f>T180+U180+V180+W180</f>
        <v>234</v>
      </c>
      <c r="CD180" s="2379">
        <f>X180+Y180+Z180+AA180</f>
        <v>260</v>
      </c>
      <c r="CE180" s="2379">
        <f>AB180+AC180+AD180+AE180</f>
        <v>283</v>
      </c>
      <c r="CF180" s="2379">
        <f>SUM(AF180:AI180)</f>
        <v>308.49000000000007</v>
      </c>
      <c r="CG180" s="2379">
        <f>SUM(AJ180:AM180)</f>
        <v>297.36310000000003</v>
      </c>
      <c r="CH180" s="2379">
        <f>SUM(AN180:AQ180)</f>
        <v>291.56335000000001</v>
      </c>
      <c r="CI180" s="2379">
        <f>SUM(AR180:AU180)</f>
        <v>291.56335000000001</v>
      </c>
      <c r="CJ180" s="2379">
        <f>SUM(AV180:AY180)</f>
        <v>291.56335000000001</v>
      </c>
      <c r="CK180" s="2379">
        <f>SUM(BA180:BD180)</f>
        <v>291.56335000000001</v>
      </c>
      <c r="CL180" s="2379">
        <f>SUM(BF180:BI180)</f>
        <v>291.56335000000001</v>
      </c>
      <c r="CM180" s="2379">
        <f>SUM(BG180:BK180)</f>
        <v>291.56335000000001</v>
      </c>
      <c r="CN180" s="2378"/>
      <c r="CO180" s="2378"/>
      <c r="CP180" s="2244"/>
      <c r="CQ180" s="2246"/>
      <c r="CR180" s="2246"/>
      <c r="CS180" s="2246"/>
      <c r="CT180" s="2247"/>
      <c r="CU180" s="2376">
        <f>R180+S180+T180+U180</f>
        <v>137</v>
      </c>
      <c r="CV180" s="2376">
        <f>V180+W180+X180+Y180</f>
        <v>227</v>
      </c>
      <c r="CW180" s="2376">
        <f>Z180+AA180+AB180+AC180</f>
        <v>267.39999999999998</v>
      </c>
      <c r="CX180" s="2376">
        <f>SUM(AD180:AG180)</f>
        <v>297.29000000000008</v>
      </c>
      <c r="CY180" s="2376">
        <f>SUM(AH180:AK180)</f>
        <v>304.53110000000004</v>
      </c>
      <c r="CZ180" s="2376">
        <f>SUM(AL180:AO180)</f>
        <v>291.56335000000001</v>
      </c>
      <c r="DA180" s="2376">
        <f>SUM(AP180:AS180)</f>
        <v>291.56335000000001</v>
      </c>
      <c r="DB180" s="2376">
        <f>SUM(AT180:AW180)</f>
        <v>291.56335000000001</v>
      </c>
      <c r="DC180" s="2376">
        <f>SUM(AX180:BB180)</f>
        <v>291.56335000000001</v>
      </c>
      <c r="DD180" s="2376">
        <f>SUM(BC180:BG180)</f>
        <v>291.56335000000001</v>
      </c>
      <c r="DE180" s="2376">
        <f>SUM(BD180:BH180)</f>
        <v>291.56335000000001</v>
      </c>
      <c r="DF180" s="2378"/>
    </row>
    <row r="181" spans="1:110" s="1715" customFormat="1" hidden="1" outlineLevel="3">
      <c r="A181" s="2342" t="s">
        <v>300</v>
      </c>
      <c r="B181" s="2259"/>
      <c r="C181" s="2259"/>
      <c r="D181" s="2259"/>
      <c r="E181" s="2259"/>
      <c r="F181" s="2259"/>
      <c r="G181" s="2259"/>
      <c r="H181" s="2259"/>
      <c r="I181" s="2259"/>
      <c r="J181" s="2259"/>
      <c r="K181" s="2259"/>
      <c r="L181" s="2390"/>
      <c r="M181" s="2391"/>
      <c r="N181" s="2391"/>
      <c r="O181" s="2393"/>
      <c r="P181" s="2394"/>
      <c r="Q181" s="2270"/>
      <c r="R181" s="2270"/>
      <c r="S181" s="2243"/>
      <c r="T181" s="2395"/>
      <c r="U181" s="2352"/>
      <c r="V181" s="2352"/>
      <c r="W181" s="2353"/>
      <c r="X181" s="2398"/>
      <c r="Y181" s="2399"/>
      <c r="Z181" s="2400"/>
      <c r="AA181" s="2401"/>
      <c r="AB181" s="2398">
        <v>0.1</v>
      </c>
      <c r="AC181" s="2400">
        <v>0.03</v>
      </c>
      <c r="AD181" s="2400">
        <v>0.12</v>
      </c>
      <c r="AE181" s="2401">
        <v>0.12</v>
      </c>
      <c r="AF181" s="2398">
        <v>0.11</v>
      </c>
      <c r="AG181" s="2400">
        <v>0.1</v>
      </c>
      <c r="AH181" s="2400">
        <v>0.2</v>
      </c>
      <c r="AI181" s="2401">
        <v>0</v>
      </c>
      <c r="AJ181" s="2398">
        <v>-0.05</v>
      </c>
      <c r="AK181" s="2400">
        <v>-0.01</v>
      </c>
      <c r="AL181" s="2400">
        <v>-0.04</v>
      </c>
      <c r="AM181" s="2401">
        <v>-0.05</v>
      </c>
      <c r="AN181" s="2398">
        <v>-0.1</v>
      </c>
      <c r="AO181" s="2400">
        <v>0</v>
      </c>
      <c r="AP181" s="2400">
        <v>0</v>
      </c>
      <c r="AQ181" s="2401">
        <v>0</v>
      </c>
      <c r="AR181" s="2398">
        <v>0</v>
      </c>
      <c r="AS181" s="2400">
        <v>0</v>
      </c>
      <c r="AT181" s="2400">
        <v>0</v>
      </c>
      <c r="AU181" s="2401">
        <v>0</v>
      </c>
      <c r="AV181" s="2398">
        <v>0</v>
      </c>
      <c r="AW181" s="2400">
        <v>0</v>
      </c>
      <c r="AX181" s="2400">
        <v>0</v>
      </c>
      <c r="AY181" s="2401">
        <v>0</v>
      </c>
      <c r="AZ181" s="2400"/>
      <c r="BA181" s="2398">
        <v>0</v>
      </c>
      <c r="BB181" s="2400">
        <v>0</v>
      </c>
      <c r="BC181" s="2613">
        <v>0</v>
      </c>
      <c r="BD181" s="2401">
        <v>0</v>
      </c>
      <c r="BE181" s="2400"/>
      <c r="BF181" s="2398">
        <v>0</v>
      </c>
      <c r="BG181" s="2400">
        <v>0</v>
      </c>
      <c r="BH181" s="2400">
        <v>0</v>
      </c>
      <c r="BI181" s="2401">
        <v>0</v>
      </c>
      <c r="BJ181" s="2400"/>
      <c r="BK181" s="2398">
        <v>0</v>
      </c>
      <c r="BL181" s="2400">
        <v>0</v>
      </c>
      <c r="BM181" s="2400">
        <v>0</v>
      </c>
      <c r="BN181" s="2401">
        <v>0</v>
      </c>
      <c r="BO181" s="2400"/>
      <c r="BP181" s="2398">
        <v>0</v>
      </c>
      <c r="BQ181" s="2400">
        <v>0</v>
      </c>
      <c r="BR181" s="2400">
        <v>0</v>
      </c>
      <c r="BS181" s="2401">
        <v>0</v>
      </c>
      <c r="BT181" s="2400"/>
      <c r="BU181" s="2398">
        <v>0</v>
      </c>
      <c r="BV181" s="2400">
        <v>0</v>
      </c>
      <c r="BW181" s="2400">
        <v>0</v>
      </c>
      <c r="BX181" s="2401">
        <v>0</v>
      </c>
      <c r="BY181" s="2244"/>
      <c r="BZ181" s="2246"/>
      <c r="CA181" s="2246"/>
      <c r="CB181" s="2247"/>
      <c r="CC181" s="2247" t="str">
        <f t="shared" ref="CC181:CM181" si="340">IF(OR(CB180=0,CC180=0),"NM",CC180/CB180-1)</f>
        <v>NM</v>
      </c>
      <c r="CD181" s="2242">
        <f t="shared" si="340"/>
        <v>0.11111111111111116</v>
      </c>
      <c r="CE181" s="2242">
        <f t="shared" si="340"/>
        <v>8.8461538461538369E-2</v>
      </c>
      <c r="CF181" s="2242">
        <f t="shared" si="340"/>
        <v>9.0070671378092104E-2</v>
      </c>
      <c r="CG181" s="2242">
        <f t="shared" si="340"/>
        <v>-3.6068916334403123E-2</v>
      </c>
      <c r="CH181" s="2242">
        <f t="shared" si="340"/>
        <v>-1.9503933070377677E-2</v>
      </c>
      <c r="CI181" s="2242">
        <f t="shared" si="340"/>
        <v>0</v>
      </c>
      <c r="CJ181" s="2242">
        <f t="shared" si="340"/>
        <v>0</v>
      </c>
      <c r="CK181" s="2242">
        <f t="shared" si="340"/>
        <v>0</v>
      </c>
      <c r="CL181" s="2242">
        <f t="shared" si="340"/>
        <v>0</v>
      </c>
      <c r="CM181" s="2242">
        <f t="shared" si="340"/>
        <v>0</v>
      </c>
      <c r="CN181" s="2240"/>
      <c r="CO181" s="2240"/>
      <c r="CP181" s="2244"/>
      <c r="CQ181" s="2246"/>
      <c r="CR181" s="2246"/>
      <c r="CS181" s="2246"/>
      <c r="CT181" s="2247"/>
      <c r="CU181" s="2247"/>
      <c r="CV181" s="2247">
        <f t="shared" ref="CV181:DE181" si="341">IF(OR(CU180=0,CV180=0),"NM",CV180/CU180-1)</f>
        <v>0.65693430656934315</v>
      </c>
      <c r="CW181" s="2247">
        <f t="shared" si="341"/>
        <v>0.17797356828193833</v>
      </c>
      <c r="CX181" s="2247">
        <f t="shared" si="341"/>
        <v>0.11178010471204236</v>
      </c>
      <c r="CY181" s="2247">
        <f t="shared" si="341"/>
        <v>2.4357025126980236E-2</v>
      </c>
      <c r="CZ181" s="2247">
        <f t="shared" si="341"/>
        <v>-4.2582678747753566E-2</v>
      </c>
      <c r="DA181" s="2247">
        <f t="shared" si="341"/>
        <v>0</v>
      </c>
      <c r="DB181" s="2247">
        <f t="shared" si="341"/>
        <v>0</v>
      </c>
      <c r="DC181" s="2247">
        <f t="shared" si="341"/>
        <v>0</v>
      </c>
      <c r="DD181" s="2247">
        <f t="shared" si="341"/>
        <v>0</v>
      </c>
      <c r="DE181" s="2247">
        <f t="shared" si="341"/>
        <v>0</v>
      </c>
      <c r="DF181" s="2240"/>
    </row>
    <row r="182" spans="1:110" s="1715" customFormat="1" hidden="1" outlineLevel="1">
      <c r="A182" s="2375" t="s">
        <v>801</v>
      </c>
      <c r="B182" s="2259"/>
      <c r="C182" s="2259"/>
      <c r="D182" s="2259"/>
      <c r="E182" s="2259"/>
      <c r="F182" s="2259"/>
      <c r="G182" s="2259"/>
      <c r="H182" s="2259"/>
      <c r="I182" s="2259"/>
      <c r="J182" s="2259"/>
      <c r="K182" s="2259"/>
      <c r="L182" s="2390"/>
      <c r="M182" s="2391"/>
      <c r="N182" s="2391"/>
      <c r="O182" s="2393"/>
      <c r="P182" s="2394"/>
      <c r="Q182" s="2270"/>
      <c r="R182" s="2270"/>
      <c r="S182" s="2243"/>
      <c r="T182" s="2377"/>
      <c r="U182" s="2378"/>
      <c r="V182" s="2378"/>
      <c r="W182" s="2379"/>
      <c r="X182" s="2377"/>
      <c r="Y182" s="2378"/>
      <c r="Z182" s="2378"/>
      <c r="AA182" s="2379"/>
      <c r="AB182" s="2377"/>
      <c r="AC182" s="2378"/>
      <c r="AD182" s="2378"/>
      <c r="AE182" s="2379"/>
      <c r="AF182" s="2377"/>
      <c r="AG182" s="2378"/>
      <c r="AH182" s="2378"/>
      <c r="AI182" s="2379"/>
      <c r="AJ182" s="2377"/>
      <c r="AK182" s="2378">
        <f t="shared" ref="AK182:AU182" si="342">(AK227*(AK22*AK53)+(AK22*AK52)*AK228)-(AK22*AK52*AK223)-(AK22*AK53*AK225)-AK231</f>
        <v>165.56890636296777</v>
      </c>
      <c r="AL182" s="2378">
        <f t="shared" si="342"/>
        <v>212.77360002013958</v>
      </c>
      <c r="AM182" s="2379">
        <f t="shared" si="342"/>
        <v>160.00932453664399</v>
      </c>
      <c r="AN182" s="2378">
        <f t="shared" si="342"/>
        <v>372.98333333333329</v>
      </c>
      <c r="AO182" s="2378">
        <f t="shared" si="342"/>
        <v>553.00063766984226</v>
      </c>
      <c r="AP182" s="2378">
        <f t="shared" si="342"/>
        <v>428.93333333333339</v>
      </c>
      <c r="AQ182" s="2379">
        <f t="shared" si="342"/>
        <v>321.55</v>
      </c>
      <c r="AR182" s="2378">
        <f t="shared" si="342"/>
        <v>857.44</v>
      </c>
      <c r="AS182" s="2378">
        <f t="shared" si="342"/>
        <v>813.16</v>
      </c>
      <c r="AT182" s="2378">
        <f t="shared" si="342"/>
        <v>515.69166666666672</v>
      </c>
      <c r="AU182" s="2379">
        <f t="shared" si="342"/>
        <v>651.4</v>
      </c>
      <c r="AV182" s="2378">
        <v>672</v>
      </c>
      <c r="AW182" s="2378">
        <f t="shared" ref="AW182:BI182" si="343">(AW227*(AW22*AW53)+(AW22*AW52)*AW228)-(AW22*AW52*AW223)-(AW22*AW53*AW225)-AW231</f>
        <v>1032.175</v>
      </c>
      <c r="AX182" s="2378">
        <f t="shared" si="343"/>
        <v>654.61625000000004</v>
      </c>
      <c r="AY182" s="2379">
        <f t="shared" si="343"/>
        <v>651.9</v>
      </c>
      <c r="AZ182" s="2378"/>
      <c r="BA182" s="2378">
        <f t="shared" si="343"/>
        <v>625.93541666666658</v>
      </c>
      <c r="BB182" s="2378">
        <f t="shared" si="343"/>
        <v>814.65131575605665</v>
      </c>
      <c r="BC182" s="2596">
        <f t="shared" si="343"/>
        <v>598.72083333333342</v>
      </c>
      <c r="BD182" s="2379">
        <f t="shared" si="343"/>
        <v>646.11906337064818</v>
      </c>
      <c r="BE182" s="2378"/>
      <c r="BF182" s="2378">
        <f t="shared" si="343"/>
        <v>721.51085542397539</v>
      </c>
      <c r="BG182" s="2378">
        <f t="shared" si="343"/>
        <v>971.32446654678324</v>
      </c>
      <c r="BH182" s="2378">
        <f t="shared" si="343"/>
        <v>704.53123912659623</v>
      </c>
      <c r="BI182" s="2379">
        <f t="shared" si="343"/>
        <v>761.59198069824561</v>
      </c>
      <c r="BJ182" s="2378"/>
      <c r="BK182" s="2378">
        <f>(BK227*(BK22*BK53)+(BK22*BK52)*BK228)-(BK22*BK52*BK223)-(BK22*BK53*BK225)-BK231</f>
        <v>806.13158737795061</v>
      </c>
      <c r="BL182" s="2378">
        <f>(BL227*(BL22*BL53)+(BL22*BL52)*BL228)-(BL22*BL52*BL223)-(BL22*BL53*BL225)-BL231</f>
        <v>1193.8952063798176</v>
      </c>
      <c r="BM182" s="2378">
        <f>(BM227*(BM22*BM53)+(BM22*BM52)*BM228)-(BM22*BM52*BM223)-(BM22*BM53*BM225)-BM231</f>
        <v>713.01828545516946</v>
      </c>
      <c r="BN182" s="2379">
        <f>(BN227*(BN22*BN53)+(BN22*BN52)*BN228)-(BN22*BN52*BN223)-(BN22*BN53*BN225)-BN231</f>
        <v>706.42120255127031</v>
      </c>
      <c r="BO182" s="2378"/>
      <c r="BP182" s="2378">
        <f>(BP227*(BP22*BP53)+(BP22*BP52)*BP228)-(BP22*BP52*BP223)-(BP22*BP53*BP225)-BP231</f>
        <v>857.96169218683201</v>
      </c>
      <c r="BQ182" s="2378">
        <f>(BQ227*(BQ22*BQ53)+(BQ22*BQ52)*BQ228)-(BQ22*BQ52*BQ223)-(BQ22*BQ53*BQ225)-BQ231</f>
        <v>1278.2246275181762</v>
      </c>
      <c r="BR182" s="2378">
        <f>(BR227*(BR22*BR53)+(BR22*BR52)*BR228)-(BR22*BR52*BR223)-(BR22*BR53*BR225)-BR231</f>
        <v>767.84431398867446</v>
      </c>
      <c r="BS182" s="2379">
        <f>(BS227*(BS22*BS53)+(BS22*BS52)*BS228)-(BS22*BS52*BS223)-(BS22*BS53*BS225)-BS231</f>
        <v>765.10602719913641</v>
      </c>
      <c r="BT182" s="2378"/>
      <c r="BU182" s="2378">
        <f>(BU227*(BU22*BU53)+(BU22*BU52)*BU228)-(BU22*BU52*BU223)-(BU22*BU53*BU225)-BU231</f>
        <v>888.30617801308267</v>
      </c>
      <c r="BV182" s="2378">
        <f>(BV227*(BV22*BV53)+(BV22*BV52)*BV228)-(BV22*BV52*BV223)-(BV22*BV53*BV225)-BV231</f>
        <v>1322.6689478474323</v>
      </c>
      <c r="BW182" s="2378">
        <f>(BW227*(BW22*BW53)+(BW22*BW52)*BW228)-(BW22*BW52*BW223)-(BW22*BW53*BW225)-BW231</f>
        <v>794.09463736686405</v>
      </c>
      <c r="BX182" s="2379">
        <f>(BX227*(BX22*BX53)+(BX22*BX52)*BX228)-(BX22*BX52*BX223)-(BX22*BX53*BX225)-BX231</f>
        <v>790.8270980081395</v>
      </c>
      <c r="BY182" s="2244"/>
      <c r="BZ182" s="2246"/>
      <c r="CA182" s="2246"/>
      <c r="CB182" s="2376"/>
      <c r="CC182" s="2376"/>
      <c r="CD182" s="2379"/>
      <c r="CE182" s="2379"/>
      <c r="CF182" s="2379">
        <f>SUM(AF182:AI182)</f>
        <v>0</v>
      </c>
      <c r="CG182" s="2379">
        <f>SUM(AJ182:AM182)</f>
        <v>538.35183091975136</v>
      </c>
      <c r="CH182" s="2379">
        <f>SUM(AN182:AQ182)</f>
        <v>1676.467304336509</v>
      </c>
      <c r="CI182" s="2379">
        <f>SUM(AR182:AU182)</f>
        <v>2837.6916666666666</v>
      </c>
      <c r="CJ182" s="2379">
        <f>SUM(AV182:AY182)</f>
        <v>3010.6912500000003</v>
      </c>
      <c r="CK182" s="2379">
        <f>SUM(BA182:BD182)</f>
        <v>2685.4266291267049</v>
      </c>
      <c r="CL182" s="2379">
        <f>SUM(BF182:BI182)</f>
        <v>3158.9585417956005</v>
      </c>
      <c r="CM182" s="2379">
        <f>SUM(BG182:BK182)</f>
        <v>3243.5792737495758</v>
      </c>
      <c r="CN182" s="2378"/>
      <c r="CO182" s="2378"/>
      <c r="CP182" s="2244"/>
      <c r="CQ182" s="2246"/>
      <c r="CR182" s="2246"/>
      <c r="CS182" s="2246"/>
      <c r="CT182" s="2247"/>
      <c r="CU182" s="2376"/>
      <c r="CV182" s="2376"/>
      <c r="CW182" s="2376">
        <f>Z182+AA182+AB182+AC182</f>
        <v>0</v>
      </c>
      <c r="CX182" s="2376">
        <f>SUM(AD182:AG182)</f>
        <v>0</v>
      </c>
      <c r="CY182" s="2376">
        <f>SUM(AH182:AK182)</f>
        <v>165.56890636296777</v>
      </c>
      <c r="CZ182" s="2376">
        <f>SUM(AL182:AO182)</f>
        <v>1298.766895559959</v>
      </c>
      <c r="DA182" s="2376">
        <f>SUM(AP182:AS182)</f>
        <v>2421.0833333333335</v>
      </c>
      <c r="DB182" s="2376">
        <f>SUM(AT182:AW182)</f>
        <v>2871.2666666666664</v>
      </c>
      <c r="DC182" s="2376">
        <f>SUM(AX182:BB182)</f>
        <v>2747.1029824227235</v>
      </c>
      <c r="DD182" s="2376">
        <f>SUM(BC182:BG182)</f>
        <v>2937.6752186747403</v>
      </c>
      <c r="DE182" s="2376">
        <f>SUM(BD182:BH182)</f>
        <v>3043.4856244680032</v>
      </c>
      <c r="DF182" s="2378"/>
    </row>
    <row r="183" spans="1:110" s="1715" customFormat="1" hidden="1" outlineLevel="2">
      <c r="A183" s="2342" t="s">
        <v>300</v>
      </c>
      <c r="B183" s="2259"/>
      <c r="C183" s="2259"/>
      <c r="D183" s="2259"/>
      <c r="E183" s="2259"/>
      <c r="F183" s="2259"/>
      <c r="G183" s="2259"/>
      <c r="H183" s="2259"/>
      <c r="I183" s="2259"/>
      <c r="J183" s="2259"/>
      <c r="K183" s="2259"/>
      <c r="L183" s="2390"/>
      <c r="M183" s="2391"/>
      <c r="N183" s="2391"/>
      <c r="O183" s="2393"/>
      <c r="P183" s="2394"/>
      <c r="Q183" s="2270"/>
      <c r="R183" s="2270"/>
      <c r="S183" s="2243"/>
      <c r="T183" s="2395"/>
      <c r="U183" s="2352"/>
      <c r="V183" s="2352"/>
      <c r="W183" s="2353"/>
      <c r="X183" s="2398"/>
      <c r="Y183" s="2399"/>
      <c r="Z183" s="2400"/>
      <c r="AA183" s="2401"/>
      <c r="AB183" s="2398"/>
      <c r="AC183" s="2400"/>
      <c r="AD183" s="2400"/>
      <c r="AE183" s="2401"/>
      <c r="AF183" s="2398"/>
      <c r="AG183" s="2400"/>
      <c r="AH183" s="2400"/>
      <c r="AI183" s="2401"/>
      <c r="AJ183" s="2398"/>
      <c r="AK183" s="2400"/>
      <c r="AL183" s="2400"/>
      <c r="AM183" s="2401"/>
      <c r="AN183" s="2398"/>
      <c r="AO183" s="2352">
        <f t="shared" ref="AO183:AU183" si="344">AO182/AK182-1</f>
        <v>2.3400029620146725</v>
      </c>
      <c r="AP183" s="2352">
        <f t="shared" si="344"/>
        <v>1.0159142548358147</v>
      </c>
      <c r="AQ183" s="2353">
        <f t="shared" si="344"/>
        <v>1.0095703855456333</v>
      </c>
      <c r="AR183" s="2395">
        <f t="shared" si="344"/>
        <v>1.2988694758478934</v>
      </c>
      <c r="AS183" s="2352">
        <f t="shared" si="344"/>
        <v>0.47045038397492878</v>
      </c>
      <c r="AT183" s="2352">
        <f t="shared" si="344"/>
        <v>0.20226530929437359</v>
      </c>
      <c r="AU183" s="2353">
        <f t="shared" si="344"/>
        <v>1.0258124708443477</v>
      </c>
      <c r="AV183" s="2395">
        <f t="shared" ref="AV183:AY183" si="345">AV182/AR182-1</f>
        <v>-0.21627169247994038</v>
      </c>
      <c r="AW183" s="2352">
        <f t="shared" si="345"/>
        <v>0.26933813763588965</v>
      </c>
      <c r="AX183" s="2352">
        <f t="shared" si="345"/>
        <v>0.26939466412423441</v>
      </c>
      <c r="AY183" s="2353">
        <f t="shared" si="345"/>
        <v>7.6757752532996548E-4</v>
      </c>
      <c r="AZ183" s="2352"/>
      <c r="BA183" s="2395">
        <f>BA182/AV182-1</f>
        <v>-6.8548487103174738E-2</v>
      </c>
      <c r="BB183" s="2352">
        <f>BB182/AW182-1</f>
        <v>-0.21074302733930128</v>
      </c>
      <c r="BC183" s="2614">
        <f>BC182/AX182-1</f>
        <v>-8.5386540078506434E-2</v>
      </c>
      <c r="BD183" s="2353">
        <f>BD182/AY182-1</f>
        <v>-8.8678273191468149E-3</v>
      </c>
      <c r="BE183" s="2352"/>
      <c r="BF183" s="2395">
        <f>BF182/BA182-1</f>
        <v>0.15269217272651336</v>
      </c>
      <c r="BG183" s="2352">
        <f>BG182/BB182-1</f>
        <v>0.19231927545016281</v>
      </c>
      <c r="BH183" s="2352">
        <f>BH182/BC182-1</f>
        <v>0.17672744942608953</v>
      </c>
      <c r="BI183" s="2353">
        <f>BI182/BD182-1</f>
        <v>0.17871770680345334</v>
      </c>
      <c r="BJ183" s="2352"/>
      <c r="BK183" s="2395">
        <f>BK182/BF182-1</f>
        <v>0.11728268718043089</v>
      </c>
      <c r="BL183" s="2352">
        <f>BL182/BG182-1</f>
        <v>0.22914149442184817</v>
      </c>
      <c r="BM183" s="2352">
        <f>BM182/BH182-1</f>
        <v>1.2046373329158033E-2</v>
      </c>
      <c r="BN183" s="2353">
        <f>BN182/BI182-1</f>
        <v>-7.2441385341785569E-2</v>
      </c>
      <c r="BO183" s="2352"/>
      <c r="BP183" s="2395">
        <f>BP182/BK182-1</f>
        <v>6.4294844192206435E-2</v>
      </c>
      <c r="BQ183" s="2352">
        <f>BQ182/BL182-1</f>
        <v>7.0633855205823437E-2</v>
      </c>
      <c r="BR183" s="2352">
        <f>BR182/BM182-1</f>
        <v>7.6892878698763933E-2</v>
      </c>
      <c r="BS183" s="2353">
        <f>BS182/BN182-1</f>
        <v>8.3073419138501636E-2</v>
      </c>
      <c r="BT183" s="2352"/>
      <c r="BU183" s="2395">
        <f>BU182/BP182-1</f>
        <v>3.536811270548279E-2</v>
      </c>
      <c r="BV183" s="2352">
        <f>BV182/BQ182-1</f>
        <v>3.4770352074619204E-2</v>
      </c>
      <c r="BW183" s="2352">
        <f>BW182/BR182-1</f>
        <v>3.4187038830604477E-2</v>
      </c>
      <c r="BX183" s="2353">
        <f>BX182/BS182-1</f>
        <v>3.3617655455102868E-2</v>
      </c>
      <c r="BY183" s="2244"/>
      <c r="BZ183" s="2246"/>
      <c r="CA183" s="2246"/>
      <c r="CB183" s="2247"/>
      <c r="CC183" s="2247" t="str">
        <f t="shared" ref="CC183:CM183" si="346">IF(OR(CB182=0,CC182=0),"NM",CC182/CB182-1)</f>
        <v>NM</v>
      </c>
      <c r="CD183" s="2242" t="str">
        <f t="shared" si="346"/>
        <v>NM</v>
      </c>
      <c r="CE183" s="2242" t="str">
        <f t="shared" si="346"/>
        <v>NM</v>
      </c>
      <c r="CF183" s="2242" t="str">
        <f t="shared" si="346"/>
        <v>NM</v>
      </c>
      <c r="CG183" s="2242" t="str">
        <f t="shared" si="346"/>
        <v>NM</v>
      </c>
      <c r="CH183" s="2242">
        <f t="shared" si="346"/>
        <v>2.1140737488945387</v>
      </c>
      <c r="CI183" s="2242">
        <f t="shared" si="346"/>
        <v>0.69266150274832361</v>
      </c>
      <c r="CJ183" s="2242">
        <f t="shared" si="346"/>
        <v>6.0964898112609189E-2</v>
      </c>
      <c r="CK183" s="2242">
        <f t="shared" si="346"/>
        <v>-0.10803652512468531</v>
      </c>
      <c r="CL183" s="2242">
        <f t="shared" si="346"/>
        <v>0.17633396032230708</v>
      </c>
      <c r="CM183" s="2242">
        <f t="shared" si="346"/>
        <v>2.6787541157749839E-2</v>
      </c>
      <c r="CN183" s="2240"/>
      <c r="CO183" s="2240"/>
      <c r="CP183" s="2244"/>
      <c r="CQ183" s="2246"/>
      <c r="CR183" s="2246"/>
      <c r="CS183" s="2246"/>
      <c r="CT183" s="2247"/>
      <c r="CU183" s="2247"/>
      <c r="CV183" s="2247" t="str">
        <f t="shared" ref="CV183:DE183" si="347">IF(OR(CU182=0,CV182=0),"NM",CV182/CU182-1)</f>
        <v>NM</v>
      </c>
      <c r="CW183" s="2247" t="str">
        <f t="shared" si="347"/>
        <v>NM</v>
      </c>
      <c r="CX183" s="2247" t="str">
        <f t="shared" si="347"/>
        <v>NM</v>
      </c>
      <c r="CY183" s="2247" t="str">
        <f t="shared" si="347"/>
        <v>NM</v>
      </c>
      <c r="CZ183" s="2247">
        <f t="shared" si="347"/>
        <v>6.8442681303501667</v>
      </c>
      <c r="DA183" s="2247">
        <f t="shared" si="347"/>
        <v>0.86414000973553562</v>
      </c>
      <c r="DB183" s="2247">
        <f t="shared" si="347"/>
        <v>0.18594293188311006</v>
      </c>
      <c r="DC183" s="2247">
        <f t="shared" si="347"/>
        <v>-4.3243522339946217E-2</v>
      </c>
      <c r="DD183" s="2247">
        <f t="shared" si="347"/>
        <v>6.9372075772691888E-2</v>
      </c>
      <c r="DE183" s="2247">
        <f t="shared" si="347"/>
        <v>3.6018415215074873E-2</v>
      </c>
      <c r="DF183" s="2240"/>
    </row>
    <row r="184" spans="1:110" s="1715" customFormat="1" hidden="1" outlineLevel="1">
      <c r="A184" s="2342" t="s">
        <v>802</v>
      </c>
      <c r="B184" s="2376"/>
      <c r="C184" s="2376"/>
      <c r="D184" s="2376"/>
      <c r="E184" s="2376"/>
      <c r="F184" s="2376"/>
      <c r="G184" s="2376"/>
      <c r="H184" s="2376"/>
      <c r="I184" s="2376"/>
      <c r="J184" s="2376"/>
      <c r="K184" s="2376"/>
      <c r="L184" s="2377"/>
      <c r="M184" s="2378"/>
      <c r="N184" s="2378"/>
      <c r="O184" s="2379"/>
      <c r="P184" s="2377"/>
      <c r="Q184" s="2378"/>
      <c r="R184" s="2378"/>
      <c r="S184" s="2379"/>
      <c r="T184" s="2377"/>
      <c r="U184" s="2378"/>
      <c r="V184" s="2378"/>
      <c r="W184" s="2379"/>
      <c r="X184" s="2377"/>
      <c r="Y184" s="2378"/>
      <c r="Z184" s="2378"/>
      <c r="AA184" s="2379"/>
      <c r="AB184" s="2378"/>
      <c r="AC184" s="2378"/>
      <c r="AD184" s="2378"/>
      <c r="AE184" s="2379"/>
      <c r="AF184" s="2377"/>
      <c r="AG184" s="2378"/>
      <c r="AH184" s="2378"/>
      <c r="AI184" s="2379"/>
      <c r="AJ184" s="2377"/>
      <c r="AK184" s="2378">
        <f t="shared" ref="AK184:BI184" si="348">AK182/AK22</f>
        <v>413.92226590741939</v>
      </c>
      <c r="AL184" s="2378">
        <f t="shared" si="348"/>
        <v>531.93400005034891</v>
      </c>
      <c r="AM184" s="2379">
        <f t="shared" si="348"/>
        <v>533.36441512214662</v>
      </c>
      <c r="AN184" s="2377">
        <f t="shared" si="348"/>
        <v>532.83333333333326</v>
      </c>
      <c r="AO184" s="2378">
        <f t="shared" si="348"/>
        <v>536.16666666666674</v>
      </c>
      <c r="AP184" s="2378">
        <f t="shared" si="348"/>
        <v>536.16666666666674</v>
      </c>
      <c r="AQ184" s="2379">
        <f t="shared" si="348"/>
        <v>535.91666666666674</v>
      </c>
      <c r="AR184" s="2378">
        <f t="shared" si="348"/>
        <v>535.9</v>
      </c>
      <c r="AS184" s="2378">
        <f t="shared" si="348"/>
        <v>542.10666666666668</v>
      </c>
      <c r="AT184" s="2378">
        <f t="shared" si="348"/>
        <v>542.83333333333337</v>
      </c>
      <c r="AU184" s="2379">
        <f t="shared" si="348"/>
        <v>542.83333333333337</v>
      </c>
      <c r="AV184" s="2378">
        <f t="shared" si="348"/>
        <v>672</v>
      </c>
      <c r="AW184" s="2378">
        <f t="shared" si="348"/>
        <v>543.25</v>
      </c>
      <c r="AX184" s="2378">
        <f t="shared" si="348"/>
        <v>543.25</v>
      </c>
      <c r="AY184" s="2379">
        <f t="shared" si="348"/>
        <v>543.25</v>
      </c>
      <c r="AZ184" s="2378"/>
      <c r="BA184" s="2378">
        <f t="shared" si="348"/>
        <v>544.29166666666663</v>
      </c>
      <c r="BB184" s="2378">
        <f t="shared" si="348"/>
        <v>544.29166666666663</v>
      </c>
      <c r="BC184" s="2596">
        <f t="shared" si="348"/>
        <v>544.29166666666674</v>
      </c>
      <c r="BD184" s="2379">
        <f t="shared" si="348"/>
        <v>544.29166666666663</v>
      </c>
      <c r="BE184" s="2378"/>
      <c r="BF184" s="2378">
        <f t="shared" si="348"/>
        <v>545.125</v>
      </c>
      <c r="BG184" s="2378">
        <f t="shared" si="348"/>
        <v>545.125</v>
      </c>
      <c r="BH184" s="2378">
        <f t="shared" si="348"/>
        <v>545.125</v>
      </c>
      <c r="BI184" s="2379">
        <f t="shared" si="348"/>
        <v>545.125</v>
      </c>
      <c r="BJ184" s="2378"/>
      <c r="BK184" s="2378">
        <f>BK182/BK22</f>
        <v>545.95833333333337</v>
      </c>
      <c r="BL184" s="2378">
        <f>BL182/BL22</f>
        <v>545.95833333333337</v>
      </c>
      <c r="BM184" s="2378">
        <f>BM182/BM22</f>
        <v>545.95833333333337</v>
      </c>
      <c r="BN184" s="2379">
        <f>BN182/BN22</f>
        <v>545.95833333333337</v>
      </c>
      <c r="BO184" s="2378"/>
      <c r="BP184" s="2378">
        <f>BP182/BP22</f>
        <v>546.79166666666674</v>
      </c>
      <c r="BQ184" s="2378">
        <f>BQ182/BQ22</f>
        <v>546.79166666666663</v>
      </c>
      <c r="BR184" s="2378">
        <f>BR182/BR22</f>
        <v>546.79166666666663</v>
      </c>
      <c r="BS184" s="2379">
        <f>BS182/BS22</f>
        <v>546.79166666666674</v>
      </c>
      <c r="BT184" s="2378"/>
      <c r="BU184" s="2378">
        <f>BU182/BU22</f>
        <v>547.62499999999989</v>
      </c>
      <c r="BV184" s="2378">
        <f>BV182/BV22</f>
        <v>547.625</v>
      </c>
      <c r="BW184" s="2378">
        <f>BW182/BW22</f>
        <v>547.62500000000011</v>
      </c>
      <c r="BX184" s="2379">
        <f>BX182/BX22</f>
        <v>547.62500000000011</v>
      </c>
      <c r="BY184" s="2379"/>
      <c r="BZ184" s="2376"/>
      <c r="CA184" s="2376"/>
      <c r="CB184" s="2379"/>
      <c r="CC184" s="2379"/>
      <c r="CD184" s="2379"/>
      <c r="CE184" s="2379"/>
      <c r="CF184" s="2379"/>
      <c r="CG184" s="2379"/>
      <c r="CH184" s="2379"/>
      <c r="CI184" s="2379"/>
      <c r="CJ184" s="2379"/>
      <c r="CK184" s="2379"/>
      <c r="CL184" s="2379"/>
      <c r="CM184" s="2379"/>
      <c r="CN184" s="2378"/>
      <c r="CO184" s="2378"/>
      <c r="CP184" s="2380"/>
      <c r="CQ184" s="2376"/>
      <c r="CR184" s="2376"/>
      <c r="CS184" s="2376"/>
      <c r="CT184" s="2376"/>
      <c r="CU184" s="2379"/>
      <c r="CV184" s="2379"/>
      <c r="CW184" s="2379"/>
      <c r="CX184" s="2379"/>
      <c r="CY184" s="2379">
        <f t="shared" ref="CY184:DD184" si="349">CY182/CY22</f>
        <v>413.92226590741939</v>
      </c>
      <c r="CZ184" s="2379">
        <f t="shared" si="349"/>
        <v>534.16490568555605</v>
      </c>
      <c r="DA184" s="2379">
        <f t="shared" si="349"/>
        <v>538.01851851851859</v>
      </c>
      <c r="DB184" s="2379">
        <f t="shared" si="349"/>
        <v>568.56765676567659</v>
      </c>
      <c r="DC184" s="2379">
        <f t="shared" si="349"/>
        <v>543.79575454955807</v>
      </c>
      <c r="DD184" s="2379">
        <f t="shared" si="349"/>
        <v>544.77156364644952</v>
      </c>
      <c r="DE184" s="2379">
        <f>DE182/DE22</f>
        <v>479.07407377132819</v>
      </c>
      <c r="DF184" s="2378"/>
    </row>
    <row r="185" spans="1:110" s="1715" customFormat="1" hidden="1" outlineLevel="1">
      <c r="A185" s="2342" t="s">
        <v>803</v>
      </c>
      <c r="B185" s="2376"/>
      <c r="C185" s="2376"/>
      <c r="D185" s="2376"/>
      <c r="E185" s="2376"/>
      <c r="F185" s="2376"/>
      <c r="G185" s="2376"/>
      <c r="H185" s="2376"/>
      <c r="I185" s="2376"/>
      <c r="J185" s="2376"/>
      <c r="K185" s="2376"/>
      <c r="L185" s="2377"/>
      <c r="M185" s="2378"/>
      <c r="N185" s="2378"/>
      <c r="O185" s="2379"/>
      <c r="P185" s="2377"/>
      <c r="Q185" s="2378"/>
      <c r="R185" s="2378"/>
      <c r="S185" s="2379"/>
      <c r="T185" s="2377"/>
      <c r="U185" s="2378"/>
      <c r="V185" s="2378"/>
      <c r="W185" s="2379"/>
      <c r="X185" s="2377"/>
      <c r="Y185" s="2378"/>
      <c r="Z185" s="2378"/>
      <c r="AA185" s="2379"/>
      <c r="AB185" s="2378"/>
      <c r="AC185" s="2378"/>
      <c r="AD185" s="2378"/>
      <c r="AE185" s="2379"/>
      <c r="AF185" s="2377"/>
      <c r="AG185" s="2378"/>
      <c r="AH185" s="2378"/>
      <c r="AI185" s="2379"/>
      <c r="AJ185" s="2377"/>
      <c r="AK185" s="2378">
        <f t="shared" ref="AK185:BI185" si="350">((AK182+(AK22*AK52*AK224)+(AK225*AK53*AK22)+AK231))/AK22</f>
        <v>500</v>
      </c>
      <c r="AL185" s="2378">
        <f t="shared" si="350"/>
        <v>641.52639997986034</v>
      </c>
      <c r="AM185" s="2379">
        <f t="shared" si="350"/>
        <v>640.95423395114142</v>
      </c>
      <c r="AN185" s="2378">
        <f t="shared" si="350"/>
        <v>641.16666666666674</v>
      </c>
      <c r="AO185" s="2378">
        <f t="shared" si="350"/>
        <v>643</v>
      </c>
      <c r="AP185" s="2378">
        <f t="shared" si="350"/>
        <v>643.00000000000011</v>
      </c>
      <c r="AQ185" s="2379">
        <f t="shared" si="350"/>
        <v>639.93333333333328</v>
      </c>
      <c r="AR185" s="2378">
        <f t="shared" si="350"/>
        <v>641.9</v>
      </c>
      <c r="AS185" s="2378">
        <f t="shared" si="350"/>
        <v>639.92678026905833</v>
      </c>
      <c r="AT185" s="2378">
        <f t="shared" si="350"/>
        <v>641.69047619047626</v>
      </c>
      <c r="AU185" s="2379">
        <f t="shared" si="350"/>
        <v>637.16666666666674</v>
      </c>
      <c r="AV185" s="2378">
        <f t="shared" si="350"/>
        <v>765.75</v>
      </c>
      <c r="AW185" s="2378">
        <f t="shared" si="350"/>
        <v>637</v>
      </c>
      <c r="AX185" s="2378">
        <f t="shared" si="350"/>
        <v>637</v>
      </c>
      <c r="AY185" s="2379">
        <f t="shared" si="350"/>
        <v>637</v>
      </c>
      <c r="AZ185" s="2378"/>
      <c r="BA185" s="2378">
        <f t="shared" si="350"/>
        <v>637.09533898305085</v>
      </c>
      <c r="BB185" s="2378">
        <f t="shared" si="350"/>
        <v>637.09533898305085</v>
      </c>
      <c r="BC185" s="2596">
        <f t="shared" si="350"/>
        <v>637.09533898305085</v>
      </c>
      <c r="BD185" s="2379">
        <f t="shared" si="350"/>
        <v>637.09533898305085</v>
      </c>
      <c r="BE185" s="2378"/>
      <c r="BF185" s="2378">
        <f t="shared" si="350"/>
        <v>637.5271739130435</v>
      </c>
      <c r="BG185" s="2378">
        <f t="shared" si="350"/>
        <v>637.5271739130435</v>
      </c>
      <c r="BH185" s="2378">
        <f t="shared" si="350"/>
        <v>637.5271739130435</v>
      </c>
      <c r="BI185" s="2379">
        <f t="shared" si="350"/>
        <v>637.52717391304338</v>
      </c>
      <c r="BJ185" s="2378"/>
      <c r="BK185" s="2378">
        <f>((BK182+(BK22*BK52*BK224)+(BK225*BK53*BK22)+BK231))/BK22</f>
        <v>637.15760869565213</v>
      </c>
      <c r="BL185" s="2378">
        <f>((BL182+(BL22*BL52*BL224)+(BL225*BL53*BL22)+BL231))/BL22</f>
        <v>637.15760869565224</v>
      </c>
      <c r="BM185" s="2378">
        <f>((BM182+(BM22*BM52*BM224)+(BM225*BM53*BM22)+BM231))/BM22</f>
        <v>637.15760869565213</v>
      </c>
      <c r="BN185" s="2379">
        <f>((BN182+(BN22*BN52*BN224)+(BN225*BN53*BN22)+BN231))/BN22</f>
        <v>637.15760869565224</v>
      </c>
      <c r="BO185" s="2378"/>
      <c r="BP185" s="2378">
        <f>((BP182+(BP22*BP52*BP224)+(BP225*BP53*BP22)+BP231))/BP22</f>
        <v>636.78804347826087</v>
      </c>
      <c r="BQ185" s="2378">
        <f>((BQ182+(BQ22*BQ52*BQ224)+(BQ225*BQ53*BQ22)+BQ231))/BQ22</f>
        <v>636.78804347826087</v>
      </c>
      <c r="BR185" s="2378">
        <f>((BR182+(BR22*BR52*BR224)+(BR225*BR53*BR22)+BR231))/BR22</f>
        <v>636.78804347826087</v>
      </c>
      <c r="BS185" s="2379">
        <f>((BS182+(BS22*BS52*BS224)+(BS225*BS53*BS22)+BS231))/BS22</f>
        <v>636.78804347826087</v>
      </c>
      <c r="BT185" s="2378"/>
      <c r="BU185" s="2378">
        <f>((BU182+(BU22*BU52*BU224)+(BU225*BU53*BU22)+BU231))/BU22</f>
        <v>636.41847826086951</v>
      </c>
      <c r="BV185" s="2378">
        <f>((BV182+(BV22*BV52*BV224)+(BV225*BV53*BV22)+BV231))/BV22</f>
        <v>636.41847826086962</v>
      </c>
      <c r="BW185" s="2378">
        <f>((BW182+(BW22*BW52*BW224)+(BW225*BW53*BW22)+BW231))/BW22</f>
        <v>636.41847826086962</v>
      </c>
      <c r="BX185" s="2379">
        <f>((BX182+(BX22*BX52*BX224)+(BX225*BX53*BX22)+BX231))/BX22</f>
        <v>636.41847826086962</v>
      </c>
      <c r="BY185" s="2376"/>
      <c r="BZ185" s="2376"/>
      <c r="CA185" s="2376"/>
      <c r="CB185" s="2379"/>
      <c r="CC185" s="2379"/>
      <c r="CD185" s="2379"/>
      <c r="CE185" s="2379"/>
      <c r="CF185" s="2379"/>
      <c r="CG185" s="2379"/>
      <c r="CH185" s="2379"/>
      <c r="CI185" s="2379"/>
      <c r="CJ185" s="2379"/>
      <c r="CK185" s="2379"/>
      <c r="CL185" s="2379"/>
      <c r="CM185" s="2379"/>
      <c r="CN185" s="2378"/>
      <c r="CO185" s="2378"/>
      <c r="CP185" s="2380"/>
      <c r="CQ185" s="2376"/>
      <c r="CR185" s="2376"/>
      <c r="CS185" s="2376"/>
      <c r="CT185" s="2376"/>
      <c r="CU185" s="2379"/>
      <c r="CV185" s="2379"/>
      <c r="CW185" s="2379"/>
      <c r="CX185" s="2379"/>
      <c r="CY185" s="2379"/>
      <c r="CZ185" s="2379"/>
      <c r="DA185" s="2379"/>
      <c r="DB185" s="2379"/>
      <c r="DC185" s="2379"/>
      <c r="DD185" s="2379"/>
      <c r="DE185" s="2379"/>
      <c r="DF185" s="2378"/>
    </row>
    <row r="186" spans="1:110" s="1715" customFormat="1" hidden="1" outlineLevel="1">
      <c r="A186" s="2375" t="s">
        <v>541</v>
      </c>
      <c r="B186" s="2376"/>
      <c r="C186" s="2376"/>
      <c r="D186" s="2376"/>
      <c r="E186" s="2376"/>
      <c r="F186" s="2376"/>
      <c r="G186" s="2376"/>
      <c r="H186" s="2376">
        <v>0</v>
      </c>
      <c r="I186" s="2376">
        <v>0</v>
      </c>
      <c r="J186" s="2376">
        <v>0</v>
      </c>
      <c r="K186" s="2376">
        <v>0</v>
      </c>
      <c r="L186" s="2377">
        <v>0</v>
      </c>
      <c r="M186" s="2378">
        <v>0</v>
      </c>
      <c r="N186" s="2378">
        <v>85</v>
      </c>
      <c r="O186" s="2379">
        <v>105</v>
      </c>
      <c r="P186" s="2377">
        <v>135</v>
      </c>
      <c r="Q186" s="2378">
        <v>135</v>
      </c>
      <c r="R186" s="2378">
        <v>135</v>
      </c>
      <c r="S186" s="2379">
        <v>120</v>
      </c>
      <c r="T186" s="2377">
        <v>120</v>
      </c>
      <c r="U186" s="2378">
        <v>120</v>
      </c>
      <c r="V186" s="2378">
        <v>120</v>
      </c>
      <c r="W186" s="2379">
        <v>120</v>
      </c>
      <c r="X186" s="2377">
        <v>120</v>
      </c>
      <c r="Y186" s="2378">
        <v>120</v>
      </c>
      <c r="Z186" s="2378">
        <v>120</v>
      </c>
      <c r="AA186" s="2379">
        <v>120</v>
      </c>
      <c r="AB186" s="2377">
        <v>105</v>
      </c>
      <c r="AC186" s="2378">
        <v>105</v>
      </c>
      <c r="AD186" s="2378">
        <v>105</v>
      </c>
      <c r="AE186" s="2379">
        <v>105</v>
      </c>
      <c r="AF186" s="2377">
        <v>75</v>
      </c>
      <c r="AG186" s="2378">
        <v>75</v>
      </c>
      <c r="AH186" s="2378">
        <v>25</v>
      </c>
      <c r="AI186" s="2379">
        <v>20</v>
      </c>
      <c r="AJ186" s="2377">
        <v>15</v>
      </c>
      <c r="AK186" s="2378">
        <v>10</v>
      </c>
      <c r="AL186" s="2378">
        <v>5</v>
      </c>
      <c r="AM186" s="2379">
        <v>0</v>
      </c>
      <c r="AN186" s="2377">
        <v>0</v>
      </c>
      <c r="AO186" s="2378">
        <v>0</v>
      </c>
      <c r="AP186" s="2378">
        <v>0</v>
      </c>
      <c r="AQ186" s="2379">
        <v>0</v>
      </c>
      <c r="AR186" s="2377">
        <v>0</v>
      </c>
      <c r="AS186" s="2378">
        <v>0</v>
      </c>
      <c r="AT186" s="2378">
        <v>0</v>
      </c>
      <c r="AU186" s="2379">
        <v>0</v>
      </c>
      <c r="AV186" s="2377">
        <v>0</v>
      </c>
      <c r="AW186" s="2378">
        <v>0</v>
      </c>
      <c r="AX186" s="2378">
        <v>0</v>
      </c>
      <c r="AY186" s="2379">
        <v>0</v>
      </c>
      <c r="AZ186" s="2378"/>
      <c r="BA186" s="2377">
        <v>0</v>
      </c>
      <c r="BB186" s="2378">
        <v>0</v>
      </c>
      <c r="BC186" s="2596">
        <v>0</v>
      </c>
      <c r="BD186" s="2379">
        <v>0</v>
      </c>
      <c r="BE186" s="2378"/>
      <c r="BF186" s="2377">
        <v>0</v>
      </c>
      <c r="BG186" s="2378">
        <v>0</v>
      </c>
      <c r="BH186" s="2378">
        <v>0</v>
      </c>
      <c r="BI186" s="2379">
        <v>0</v>
      </c>
      <c r="BJ186" s="2378"/>
      <c r="BK186" s="2377">
        <v>0</v>
      </c>
      <c r="BL186" s="2378">
        <v>0</v>
      </c>
      <c r="BM186" s="2378">
        <v>0</v>
      </c>
      <c r="BN186" s="2379">
        <v>0</v>
      </c>
      <c r="BO186" s="2378"/>
      <c r="BP186" s="2377">
        <v>0</v>
      </c>
      <c r="BQ186" s="2378">
        <v>0</v>
      </c>
      <c r="BR186" s="2378">
        <v>0</v>
      </c>
      <c r="BS186" s="2379">
        <v>0</v>
      </c>
      <c r="BT186" s="2378"/>
      <c r="BU186" s="2377">
        <v>0</v>
      </c>
      <c r="BV186" s="2378">
        <v>0</v>
      </c>
      <c r="BW186" s="2378">
        <v>0</v>
      </c>
      <c r="BX186" s="2379">
        <v>0</v>
      </c>
      <c r="BY186" s="2380"/>
      <c r="BZ186" s="2376">
        <f>H186+I186+J186+K186</f>
        <v>0</v>
      </c>
      <c r="CA186" s="2376">
        <f>L186+M186+N186+O186</f>
        <v>190</v>
      </c>
      <c r="CB186" s="2376">
        <f>P186+Q186+R186+S186</f>
        <v>525</v>
      </c>
      <c r="CC186" s="2376">
        <f>T186+U186+V186+W186</f>
        <v>480</v>
      </c>
      <c r="CD186" s="2379">
        <f>X186+Y186+Z186+AA186</f>
        <v>480</v>
      </c>
      <c r="CE186" s="2379">
        <f>AB186+AC186+AD186+AE186</f>
        <v>420</v>
      </c>
      <c r="CF186" s="2379">
        <f>SUM(AF186:AI186)</f>
        <v>195</v>
      </c>
      <c r="CG186" s="2379">
        <f>SUM(AJ186:AM186)</f>
        <v>30</v>
      </c>
      <c r="CH186" s="2379">
        <f>SUM(AN186:AQ186)</f>
        <v>0</v>
      </c>
      <c r="CI186" s="2379">
        <f>SUM(AR186:AU186)</f>
        <v>0</v>
      </c>
      <c r="CJ186" s="2379">
        <f>SUM(AV186:AY186)</f>
        <v>0</v>
      </c>
      <c r="CK186" s="2379">
        <f>SUM(BA186:BD186)</f>
        <v>0</v>
      </c>
      <c r="CL186" s="2379">
        <f>SUM(BF186:BI186)</f>
        <v>0</v>
      </c>
      <c r="CM186" s="2379">
        <f>SUM(BG186:BK186)</f>
        <v>0</v>
      </c>
      <c r="CN186" s="2378"/>
      <c r="CO186" s="2378"/>
      <c r="CP186" s="2380"/>
      <c r="CQ186" s="2376"/>
      <c r="CR186" s="2376"/>
      <c r="CS186" s="2376">
        <f>J186+K186+L186+M186</f>
        <v>0</v>
      </c>
      <c r="CT186" s="2376">
        <f>N186+O186+P186+Q186</f>
        <v>460</v>
      </c>
      <c r="CU186" s="2376">
        <f>R186+S186+T186+U186</f>
        <v>495</v>
      </c>
      <c r="CV186" s="2376">
        <f>V186+W186+X186+Y186</f>
        <v>480</v>
      </c>
      <c r="CW186" s="2376">
        <f>Z186+AA186+AB186+AC186</f>
        <v>450</v>
      </c>
      <c r="CX186" s="2376">
        <f>SUM(AD186:AG186)</f>
        <v>360</v>
      </c>
      <c r="CY186" s="2376">
        <f>AK186+AJ186+AI186+AH186</f>
        <v>70</v>
      </c>
      <c r="CZ186" s="2376">
        <f>AO186+AL186+AM186+AN186</f>
        <v>5</v>
      </c>
      <c r="DA186" s="2376">
        <f>AS186+AR186+AQ186+AP186</f>
        <v>0</v>
      </c>
      <c r="DB186" s="2376">
        <f>AT186+AS186+AR186+AQ186</f>
        <v>0</v>
      </c>
      <c r="DC186" s="2376">
        <f>AU186+AT186+AS186+AR186</f>
        <v>0</v>
      </c>
      <c r="DD186" s="2376">
        <f>AV186+AU186+AT186+AS186</f>
        <v>0</v>
      </c>
      <c r="DE186" s="2376">
        <f>AW186+AV186+AU186+AT186</f>
        <v>0</v>
      </c>
      <c r="DF186" s="2378"/>
    </row>
    <row r="187" spans="1:110" s="1715" customFormat="1" hidden="1" outlineLevel="1">
      <c r="A187" s="2402" t="s">
        <v>821</v>
      </c>
      <c r="B187" s="2403"/>
      <c r="C187" s="2403"/>
      <c r="D187" s="2403"/>
      <c r="E187" s="2403"/>
      <c r="F187" s="2403"/>
      <c r="G187" s="2403"/>
      <c r="H187" s="2403">
        <f t="shared" ref="H187:S187" si="351">H169+H176+H186</f>
        <v>3209.0281340459733</v>
      </c>
      <c r="I187" s="2403">
        <f t="shared" si="351"/>
        <v>3498.213055276613</v>
      </c>
      <c r="J187" s="2403">
        <f t="shared" si="351"/>
        <v>3208.409853812142</v>
      </c>
      <c r="K187" s="2403">
        <f t="shared" si="351"/>
        <v>3403.4621386923627</v>
      </c>
      <c r="L187" s="2404">
        <f t="shared" si="351"/>
        <v>3415.0423701462514</v>
      </c>
      <c r="M187" s="2405">
        <f t="shared" si="351"/>
        <v>3716.9558890871444</v>
      </c>
      <c r="N187" s="2405">
        <f t="shared" si="351"/>
        <v>4227.3071616770012</v>
      </c>
      <c r="O187" s="2406">
        <f t="shared" si="351"/>
        <v>3892.8701608668375</v>
      </c>
      <c r="P187" s="2404">
        <f t="shared" si="351"/>
        <v>4252.1806341998363</v>
      </c>
      <c r="Q187" s="2405">
        <f t="shared" si="351"/>
        <v>4437.0986825928703</v>
      </c>
      <c r="R187" s="2405">
        <f t="shared" si="351"/>
        <v>4184.6754547530745</v>
      </c>
      <c r="S187" s="2406">
        <f t="shared" si="351"/>
        <v>4482.2064787404688</v>
      </c>
      <c r="T187" s="2404">
        <f>T169+T176+T186+T180</f>
        <v>4394.3483663842471</v>
      </c>
      <c r="U187" s="2405">
        <f>U169+U176+U186+U180</f>
        <v>4222.3421303962714</v>
      </c>
      <c r="V187" s="2405">
        <f>V169+V176+V186+V180</f>
        <v>3646.408048088786</v>
      </c>
      <c r="W187" s="2406">
        <f>W169+W176+W186+W180</f>
        <v>3696.7394369678018</v>
      </c>
      <c r="X187" s="2404">
        <f t="shared" ref="X187:AI187" si="352">X169+X176+X186+X180+X178</f>
        <v>4578.8692523332284</v>
      </c>
      <c r="Y187" s="2405">
        <f t="shared" si="352"/>
        <v>5757.8570164875382</v>
      </c>
      <c r="Z187" s="2405">
        <f t="shared" si="352"/>
        <v>4913.9661287862382</v>
      </c>
      <c r="AA187" s="2406">
        <f t="shared" si="352"/>
        <v>5096.2019183078173</v>
      </c>
      <c r="AB187" s="2405">
        <f t="shared" si="352"/>
        <v>5027.7952268109693</v>
      </c>
      <c r="AC187" s="2405">
        <f t="shared" si="352"/>
        <v>5356.4925461131324</v>
      </c>
      <c r="AD187" s="2405">
        <f t="shared" si="352"/>
        <v>4750.5673164973205</v>
      </c>
      <c r="AE187" s="2406">
        <f t="shared" si="352"/>
        <v>5071.7241075843503</v>
      </c>
      <c r="AF187" s="2404">
        <f t="shared" si="352"/>
        <v>5246.7494247532068</v>
      </c>
      <c r="AG187" s="2405">
        <f t="shared" si="352"/>
        <v>5141.9391739631546</v>
      </c>
      <c r="AH187" s="2405">
        <f t="shared" si="352"/>
        <v>4992.8442397534773</v>
      </c>
      <c r="AI187" s="2406">
        <f t="shared" si="352"/>
        <v>4899.1914765334295</v>
      </c>
      <c r="AJ187" s="2404">
        <f>AJ169+AJ176+AJ186+AJ180+AJ178+AJ182</f>
        <v>4927.7631246826804</v>
      </c>
      <c r="AK187" s="2405">
        <f t="shared" ref="AK187:AS187" si="353">AK169+AK176+AK186+AK180+AK178+AK182</f>
        <v>5684.8146091950312</v>
      </c>
      <c r="AL187" s="2405">
        <f t="shared" si="353"/>
        <v>5026.8544037329293</v>
      </c>
      <c r="AM187" s="2406">
        <f t="shared" si="353"/>
        <v>4509.3161115418461</v>
      </c>
      <c r="AN187" s="2404">
        <f t="shared" si="353"/>
        <v>4784.865885596163</v>
      </c>
      <c r="AO187" s="2405">
        <f t="shared" si="353"/>
        <v>5935.1158683515723</v>
      </c>
      <c r="AP187" s="2405">
        <f t="shared" si="353"/>
        <v>5353.4145115957735</v>
      </c>
      <c r="AQ187" s="2406">
        <f t="shared" si="353"/>
        <v>4736.1111554212439</v>
      </c>
      <c r="AR187" s="2404">
        <f t="shared" si="353"/>
        <v>5006.5191688984742</v>
      </c>
      <c r="AS187" s="2405">
        <f t="shared" si="353"/>
        <v>5389.8929465423371</v>
      </c>
      <c r="AT187" s="2405">
        <f>AT169+AT176+AT186+AT180+AT178+AT182</f>
        <v>4505.5985141554238</v>
      </c>
      <c r="AU187" s="2406">
        <f>AU169+AU176+AU186+AU180+AU178+AU182</f>
        <v>4123.651002757575</v>
      </c>
      <c r="AV187" s="2404">
        <f t="shared" ref="AV187:BI187" si="354">AV169+AV176+AV186+AV180+AV178+AV182</f>
        <v>4491.6588861984319</v>
      </c>
      <c r="AW187" s="2405">
        <f t="shared" si="354"/>
        <v>5020.1405142655231</v>
      </c>
      <c r="AX187" s="2405">
        <f t="shared" si="354"/>
        <v>4047.6842174578428</v>
      </c>
      <c r="AY187" s="2406">
        <f t="shared" si="354"/>
        <v>3885.6529061578353</v>
      </c>
      <c r="AZ187" s="2405"/>
      <c r="BA187" s="2404">
        <f t="shared" si="354"/>
        <v>3694.8776246194907</v>
      </c>
      <c r="BB187" s="2405">
        <f t="shared" si="354"/>
        <v>4490.1032102470544</v>
      </c>
      <c r="BC187" s="2595">
        <f t="shared" si="354"/>
        <v>3945.2455538488889</v>
      </c>
      <c r="BD187" s="2406">
        <f t="shared" si="354"/>
        <v>3826.4909287153373</v>
      </c>
      <c r="BE187" s="2405"/>
      <c r="BF187" s="2404">
        <f t="shared" si="354"/>
        <v>3830.8929437143111</v>
      </c>
      <c r="BG187" s="2405">
        <f t="shared" si="354"/>
        <v>4679.5389795146275</v>
      </c>
      <c r="BH187" s="2405">
        <f t="shared" si="354"/>
        <v>4091.1382671596207</v>
      </c>
      <c r="BI187" s="2406">
        <f t="shared" si="354"/>
        <v>3941.2971850461081</v>
      </c>
      <c r="BJ187" s="2405"/>
      <c r="BK187" s="2404">
        <f>BK169+BK176+BK186+BK180+BK178+BK182</f>
        <v>3883.2049070473959</v>
      </c>
      <c r="BL187" s="2405">
        <f>BL169+BL176+BL186+BL180+BL178+BL182</f>
        <v>4879.8513756623843</v>
      </c>
      <c r="BM187" s="2405">
        <f>BM169+BM176+BM186+BM180+BM178+BM182</f>
        <v>4088.6960125803544</v>
      </c>
      <c r="BN187" s="2406">
        <f>BN169+BN176+BN186+BN180+BN178+BN182</f>
        <v>3862.0104911890417</v>
      </c>
      <c r="BO187" s="2405"/>
      <c r="BP187" s="2404">
        <f>BP169+BP176+BP186+BP180+BP178+BP182</f>
        <v>3885.1272530174983</v>
      </c>
      <c r="BQ187" s="2405">
        <f>BQ169+BQ176+BQ186+BQ180+BQ178+BQ182</f>
        <v>4926.5170208413974</v>
      </c>
      <c r="BR187" s="2405">
        <f>BR169+BR176+BR186+BR180+BR178+BR182</f>
        <v>4122.2814964322679</v>
      </c>
      <c r="BS187" s="2406">
        <f>BS169+BS176+BS186+BS180+BS178+BS182</f>
        <v>3887.8962586106932</v>
      </c>
      <c r="BT187" s="2405"/>
      <c r="BU187" s="2404">
        <f>BU169+BU176+BU186+BU180+BU178+BU182</f>
        <v>3870.9771500768084</v>
      </c>
      <c r="BV187" s="2405">
        <f>BV169+BV176+BV186+BV180+BV178+BV182</f>
        <v>4938.3082963036923</v>
      </c>
      <c r="BW187" s="2405">
        <f>BW169+BW176+BW186+BW180+BW178+BW182</f>
        <v>4130.2319689916349</v>
      </c>
      <c r="BX187" s="2406">
        <f>BX169+BX176+BX186+BX180+BX178+BX182</f>
        <v>3882.3733021997286</v>
      </c>
      <c r="BY187" s="2380"/>
      <c r="BZ187" s="2403">
        <f>BZ169+BZ176+BZ186</f>
        <v>13319.113181827091</v>
      </c>
      <c r="CA187" s="2403">
        <f>CA169+CA176+CA186</f>
        <v>15252.175581777235</v>
      </c>
      <c r="CB187" s="2406">
        <f>CB169+CB176+CB186+CB180</f>
        <v>17356.161250286248</v>
      </c>
      <c r="CC187" s="2406">
        <f>CC169+CC176+CC186+CC180</f>
        <v>15959.837981837107</v>
      </c>
      <c r="CD187" s="2406">
        <f>CD169+CD176+CD186+CD180</f>
        <v>19466.84387592088</v>
      </c>
      <c r="CE187" s="2406">
        <f>CE169+CE176+CE186+CE180+CE178</f>
        <v>20206.579197005773</v>
      </c>
      <c r="CF187" s="2406">
        <f>CF169+CF176+CF186+CF180+CF178</f>
        <v>20280.724315003266</v>
      </c>
      <c r="CG187" s="2406">
        <f t="shared" ref="CG187:CL187" si="355">CG169+CG176+CG186+CG180+CG178+CG182</f>
        <v>20148.748249152482</v>
      </c>
      <c r="CH187" s="2406">
        <f t="shared" si="355"/>
        <v>20809.507420964754</v>
      </c>
      <c r="CI187" s="2406">
        <f t="shared" si="355"/>
        <v>19025.661632353815</v>
      </c>
      <c r="CJ187" s="2406">
        <f t="shared" si="355"/>
        <v>17445.136524079637</v>
      </c>
      <c r="CK187" s="2406">
        <f t="shared" si="355"/>
        <v>15956.717317430774</v>
      </c>
      <c r="CL187" s="2406">
        <f t="shared" si="355"/>
        <v>16542.867375434667</v>
      </c>
      <c r="CM187" s="2406">
        <f>CM169+CM176+CM186+CM180+CM178+CM182</f>
        <v>16595.179338767754</v>
      </c>
      <c r="CN187" s="2378"/>
      <c r="CO187" s="2378"/>
      <c r="CP187" s="2380"/>
      <c r="CQ187" s="2403"/>
      <c r="CR187" s="2403"/>
      <c r="CS187" s="2403">
        <f>CS169+CS176+CS186</f>
        <v>13743.870251737899</v>
      </c>
      <c r="CT187" s="2403">
        <f>CT169+CT176+CT186</f>
        <v>16809.456639336546</v>
      </c>
      <c r="CU187" s="2406">
        <f>CU169+CU176+CU186+CU180</f>
        <v>17283.572430274064</v>
      </c>
      <c r="CV187" s="2406">
        <f>CV169+CV176+CV186+CV180+CV178</f>
        <v>17264.82655062796</v>
      </c>
      <c r="CW187" s="2406">
        <f>CW169+CW176+CW186+CW180+CW178</f>
        <v>20394.45582001816</v>
      </c>
      <c r="CX187" s="2406">
        <f>CX169+CX176+CX186+CX180+CX178</f>
        <v>20210.98002279803</v>
      </c>
      <c r="CY187" s="2406">
        <f t="shared" ref="CY187:DD187" si="356">CY169+CY176+CY186+CY180+CY178+CY182</f>
        <v>20504.613450164616</v>
      </c>
      <c r="CZ187" s="2406">
        <f t="shared" si="356"/>
        <v>20256.152269222512</v>
      </c>
      <c r="DA187" s="2406">
        <f t="shared" si="356"/>
        <v>20485.937782457833</v>
      </c>
      <c r="DB187" s="2406">
        <f t="shared" si="356"/>
        <v>17418.124503665698</v>
      </c>
      <c r="DC187" s="2406">
        <f t="shared" si="356"/>
        <v>16118.317958482225</v>
      </c>
      <c r="DD187" s="2406">
        <f t="shared" si="356"/>
        <v>16282.168405793165</v>
      </c>
      <c r="DE187" s="2406">
        <f>DE169+DE176+DE186+DE180+DE178+DE182</f>
        <v>16428.061119103899</v>
      </c>
      <c r="DF187" s="2378"/>
    </row>
    <row r="188" spans="1:110" s="1715" customFormat="1" hidden="1" outlineLevel="1">
      <c r="A188" s="2407" t="s">
        <v>300</v>
      </c>
      <c r="B188" s="2408"/>
      <c r="C188" s="2408"/>
      <c r="D188" s="2408"/>
      <c r="E188" s="2408"/>
      <c r="F188" s="2408"/>
      <c r="G188" s="2408"/>
      <c r="H188" s="2408"/>
      <c r="I188" s="2408"/>
      <c r="J188" s="2408"/>
      <c r="K188" s="2408"/>
      <c r="L188" s="2409">
        <f t="shared" ref="L188:AS188" si="357">L187/H187-1</f>
        <v>6.4198326563293051E-2</v>
      </c>
      <c r="M188" s="2410">
        <f t="shared" si="357"/>
        <v>6.2529877498623376E-2</v>
      </c>
      <c r="N188" s="2410">
        <f t="shared" si="357"/>
        <v>0.31757080743728361</v>
      </c>
      <c r="O188" s="2411">
        <f t="shared" si="357"/>
        <v>0.14379711077453305</v>
      </c>
      <c r="P188" s="2412">
        <f t="shared" si="357"/>
        <v>0.24513261427492439</v>
      </c>
      <c r="Q188" s="2413">
        <f t="shared" si="357"/>
        <v>0.19374531605824008</v>
      </c>
      <c r="R188" s="2413">
        <f t="shared" si="357"/>
        <v>-1.0084837768688293E-2</v>
      </c>
      <c r="S188" s="2414">
        <f t="shared" si="357"/>
        <v>0.15138863962069626</v>
      </c>
      <c r="T188" s="2415">
        <f t="shared" si="357"/>
        <v>3.3434076398582535E-2</v>
      </c>
      <c r="U188" s="2416">
        <f t="shared" si="357"/>
        <v>-4.8400219954338186E-2</v>
      </c>
      <c r="V188" s="2416">
        <f t="shared" si="357"/>
        <v>-0.12862823234067267</v>
      </c>
      <c r="W188" s="2414">
        <f t="shared" si="357"/>
        <v>-0.17524115533235962</v>
      </c>
      <c r="X188" s="2415">
        <f t="shared" si="357"/>
        <v>4.199050019805517E-2</v>
      </c>
      <c r="Y188" s="2416">
        <f t="shared" si="357"/>
        <v>0.3636642504730323</v>
      </c>
      <c r="Z188" s="2416">
        <f t="shared" si="357"/>
        <v>0.34761827639170151</v>
      </c>
      <c r="AA188" s="2414">
        <f t="shared" si="357"/>
        <v>0.37856670863659914</v>
      </c>
      <c r="AB188" s="2415">
        <f t="shared" si="357"/>
        <v>9.8042977368044459E-2</v>
      </c>
      <c r="AC188" s="2416">
        <f t="shared" si="357"/>
        <v>-6.9707265954174313E-2</v>
      </c>
      <c r="AD188" s="2416">
        <f t="shared" si="357"/>
        <v>-3.325192075128891E-2</v>
      </c>
      <c r="AE188" s="2414">
        <f t="shared" si="357"/>
        <v>-4.8031477394040456E-3</v>
      </c>
      <c r="AF188" s="2415">
        <f t="shared" si="357"/>
        <v>4.3548750111112922E-2</v>
      </c>
      <c r="AG188" s="2416">
        <f t="shared" si="357"/>
        <v>-4.0054825112314507E-2</v>
      </c>
      <c r="AH188" s="2416">
        <f t="shared" si="357"/>
        <v>5.0999576916803235E-2</v>
      </c>
      <c r="AI188" s="2414">
        <f t="shared" si="357"/>
        <v>-3.4018536377582564E-2</v>
      </c>
      <c r="AJ188" s="2415">
        <f t="shared" si="357"/>
        <v>-6.0796938112883225E-2</v>
      </c>
      <c r="AK188" s="2416">
        <f t="shared" si="357"/>
        <v>0.10557795743302312</v>
      </c>
      <c r="AL188" s="2416">
        <f t="shared" si="357"/>
        <v>6.8117814909305352E-3</v>
      </c>
      <c r="AM188" s="2414">
        <f t="shared" si="357"/>
        <v>-7.9579532022588273E-2</v>
      </c>
      <c r="AN188" s="2415">
        <f>AN187/AJ187-1</f>
        <v>-2.8998398557503524E-2</v>
      </c>
      <c r="AO188" s="2416">
        <f t="shared" si="357"/>
        <v>4.4029801561459081E-2</v>
      </c>
      <c r="AP188" s="2416">
        <f t="shared" si="357"/>
        <v>6.4963112442711912E-2</v>
      </c>
      <c r="AQ188" s="2414">
        <f t="shared" si="357"/>
        <v>5.0294776030206378E-2</v>
      </c>
      <c r="AR188" s="2415">
        <f t="shared" si="357"/>
        <v>4.6323823614273563E-2</v>
      </c>
      <c r="AS188" s="2416">
        <f t="shared" si="357"/>
        <v>-9.1863905255259337E-2</v>
      </c>
      <c r="AT188" s="2416">
        <f>AT187/AP187-1</f>
        <v>-0.15836920447761638</v>
      </c>
      <c r="AU188" s="2414">
        <f>AU187/AQ187-1</f>
        <v>-0.12931709847278594</v>
      </c>
      <c r="AV188" s="2415">
        <f t="shared" ref="AV188:AY188" si="358">AV187/AR187-1</f>
        <v>-0.10283797291708385</v>
      </c>
      <c r="AW188" s="2416">
        <f t="shared" si="358"/>
        <v>-6.8601071662102941E-2</v>
      </c>
      <c r="AX188" s="2416">
        <f t="shared" si="358"/>
        <v>-0.10163229041800614</v>
      </c>
      <c r="AY188" s="2414">
        <f t="shared" si="358"/>
        <v>-5.7715382907182256E-2</v>
      </c>
      <c r="AZ188" s="2416"/>
      <c r="BA188" s="2415">
        <f>BA187/AV187-1</f>
        <v>-0.17739131171051736</v>
      </c>
      <c r="BB188" s="2416">
        <f>BB187/AW187-1</f>
        <v>-0.105582164983686</v>
      </c>
      <c r="BC188" s="2615">
        <f>BC187/AX187-1</f>
        <v>-2.5307968237030742E-2</v>
      </c>
      <c r="BD188" s="2414">
        <f>BD187/AY187-1</f>
        <v>-1.5225749409768508E-2</v>
      </c>
      <c r="BE188" s="2416"/>
      <c r="BF188" s="2415">
        <f>BF187/BA187-1</f>
        <v>3.6811860341065428E-2</v>
      </c>
      <c r="BG188" s="2416">
        <f>BG187/BB187-1</f>
        <v>4.2189624691756134E-2</v>
      </c>
      <c r="BH188" s="2416">
        <f>BH187/BC187-1</f>
        <v>3.6979374621790573E-2</v>
      </c>
      <c r="BI188" s="2414">
        <f>BI187/BD187-1</f>
        <v>3.000301280455786E-2</v>
      </c>
      <c r="BJ188" s="2416"/>
      <c r="BK188" s="2415">
        <f>BK187/BF187-1</f>
        <v>1.3655292408762731E-2</v>
      </c>
      <c r="BL188" s="2416">
        <f>BL187/BG187-1</f>
        <v>4.2806010811033746E-2</v>
      </c>
      <c r="BM188" s="2416">
        <f>BM187/BH187-1</f>
        <v>-5.9696212148852013E-4</v>
      </c>
      <c r="BN188" s="2414">
        <f>BN187/BI187-1</f>
        <v>-2.0116903175404377E-2</v>
      </c>
      <c r="BO188" s="2416"/>
      <c r="BP188" s="2415">
        <f>BP187/BK187-1</f>
        <v>4.950410849073883E-4</v>
      </c>
      <c r="BQ188" s="2416">
        <f>BQ187/BL187-1</f>
        <v>9.5629234553642473E-3</v>
      </c>
      <c r="BR188" s="2416">
        <f>BR187/BM187-1</f>
        <v>8.2142286314696999E-3</v>
      </c>
      <c r="BS188" s="2414">
        <f>BS187/BN187-1</f>
        <v>6.7026662617071242E-3</v>
      </c>
      <c r="BT188" s="2416"/>
      <c r="BU188" s="2415">
        <f>BU187/BP187-1</f>
        <v>-3.6421208416532735E-3</v>
      </c>
      <c r="BV188" s="2416">
        <f>BV187/BQ187-1</f>
        <v>2.3934303712769278E-3</v>
      </c>
      <c r="BW188" s="2416">
        <f>BW187/BR187-1</f>
        <v>1.9286583330730966E-3</v>
      </c>
      <c r="BX188" s="2414">
        <f>BX187/BS187-1</f>
        <v>-1.4205513839863348E-3</v>
      </c>
      <c r="BY188" s="2279"/>
      <c r="BZ188" s="2417"/>
      <c r="CA188" s="2417">
        <f t="shared" ref="CA188:CM188" si="359">IF(OR(BZ187=0,CA187=0),"NM",CA187/BZ187-1)</f>
        <v>0.14513446755506654</v>
      </c>
      <c r="CB188" s="2418">
        <f t="shared" si="359"/>
        <v>0.13794659373203011</v>
      </c>
      <c r="CC188" s="2418">
        <f t="shared" si="359"/>
        <v>-8.0451157851861521E-2</v>
      </c>
      <c r="CD188" s="2419">
        <f t="shared" si="359"/>
        <v>0.2197394420967731</v>
      </c>
      <c r="CE188" s="2419">
        <f t="shared" si="359"/>
        <v>3.7999756190570499E-2</v>
      </c>
      <c r="CF188" s="2419">
        <f t="shared" si="359"/>
        <v>3.6693552765467707E-3</v>
      </c>
      <c r="CG188" s="2419">
        <f t="shared" si="359"/>
        <v>-6.5074631359763879E-3</v>
      </c>
      <c r="CH188" s="2419">
        <f t="shared" si="359"/>
        <v>3.2794055672419553E-2</v>
      </c>
      <c r="CI188" s="2419">
        <f t="shared" si="359"/>
        <v>-8.5722634011691445E-2</v>
      </c>
      <c r="CJ188" s="2419">
        <f t="shared" si="359"/>
        <v>-8.3073332156104351E-2</v>
      </c>
      <c r="CK188" s="2419">
        <f t="shared" si="359"/>
        <v>-8.532000908071935E-2</v>
      </c>
      <c r="CL188" s="2419">
        <f t="shared" si="359"/>
        <v>3.6733749576649766E-2</v>
      </c>
      <c r="CM188" s="2419">
        <f t="shared" si="359"/>
        <v>3.1622065356557982E-3</v>
      </c>
      <c r="CN188" s="2240"/>
      <c r="CO188" s="2240"/>
      <c r="CP188" s="2279"/>
      <c r="CQ188" s="2417"/>
      <c r="CR188" s="2417"/>
      <c r="CS188" s="2417"/>
      <c r="CT188" s="2418">
        <f t="shared" ref="CT188:DE188" si="360">IF(OR(CS187=0,CT187=0),"NM",CT187/CS187-1)</f>
        <v>0.22305117346484016</v>
      </c>
      <c r="CU188" s="2418">
        <f t="shared" si="360"/>
        <v>2.8205301403259941E-2</v>
      </c>
      <c r="CV188" s="2418">
        <f t="shared" si="360"/>
        <v>-1.0846067687527716E-3</v>
      </c>
      <c r="CW188" s="2418">
        <f t="shared" si="360"/>
        <v>0.18127197862154998</v>
      </c>
      <c r="CX188" s="2418">
        <f t="shared" si="360"/>
        <v>-8.9963566000147432E-3</v>
      </c>
      <c r="CY188" s="2418">
        <f t="shared" si="360"/>
        <v>1.4528411142624709E-2</v>
      </c>
      <c r="CZ188" s="2418">
        <f t="shared" si="360"/>
        <v>-1.2117330645904478E-2</v>
      </c>
      <c r="DA188" s="2418">
        <f t="shared" si="360"/>
        <v>1.1343986270505146E-2</v>
      </c>
      <c r="DB188" s="2418">
        <f t="shared" si="360"/>
        <v>-0.14975215249453278</v>
      </c>
      <c r="DC188" s="2418">
        <f t="shared" si="360"/>
        <v>-7.4623794594528503E-2</v>
      </c>
      <c r="DD188" s="2418">
        <f t="shared" si="360"/>
        <v>1.0165480525510695E-2</v>
      </c>
      <c r="DE188" s="2418">
        <f t="shared" si="360"/>
        <v>8.9602754175435173E-3</v>
      </c>
      <c r="DF188" s="2240"/>
    </row>
    <row r="189" spans="1:110" s="1715" customFormat="1" hidden="1" outlineLevel="1">
      <c r="A189" s="2381" t="s">
        <v>823</v>
      </c>
      <c r="B189" s="2376"/>
      <c r="C189" s="2376"/>
      <c r="D189" s="2376"/>
      <c r="E189" s="2376"/>
      <c r="F189" s="2376"/>
      <c r="G189" s="2376"/>
      <c r="H189" s="2376"/>
      <c r="I189" s="2376"/>
      <c r="J189" s="2376"/>
      <c r="K189" s="2376"/>
      <c r="L189" s="2377"/>
      <c r="M189" s="2378"/>
      <c r="N189" s="2378"/>
      <c r="O189" s="2379"/>
      <c r="P189" s="2377"/>
      <c r="Q189" s="2378"/>
      <c r="R189" s="2378"/>
      <c r="S189" s="2379"/>
      <c r="T189" s="2377"/>
      <c r="U189" s="2378"/>
      <c r="V189" s="2378"/>
      <c r="W189" s="2420">
        <f>W193</f>
        <v>-527.73943696780179</v>
      </c>
      <c r="X189" s="2421">
        <f>X193</f>
        <v>-1698.8692523332284</v>
      </c>
      <c r="Y189" s="2422">
        <f>Y193</f>
        <v>1435.1429835124618</v>
      </c>
      <c r="Z189" s="2422">
        <f>Z193</f>
        <v>791.46570578856836</v>
      </c>
      <c r="AA189" s="2422">
        <f>AA193</f>
        <v>-321.20191830781732</v>
      </c>
      <c r="AB189" s="2377"/>
      <c r="AC189" s="2378"/>
      <c r="AD189" s="2378"/>
      <c r="AE189" s="2379"/>
      <c r="AF189" s="2377"/>
      <c r="AG189" s="2378"/>
      <c r="AH189" s="2378"/>
      <c r="AI189" s="2420">
        <f>AI193</f>
        <v>-747.19147653342952</v>
      </c>
      <c r="AJ189" s="2422">
        <f>AJ193</f>
        <v>-1683.7631246826804</v>
      </c>
      <c r="AK189" s="2422">
        <f>AK193</f>
        <v>196.18539080496885</v>
      </c>
      <c r="AL189" s="2422">
        <f>AL193</f>
        <v>676.14559626707069</v>
      </c>
      <c r="AM189" s="2423">
        <f>AM193</f>
        <v>-98.316111541846112</v>
      </c>
      <c r="AN189" s="2377"/>
      <c r="AO189" s="2378"/>
      <c r="AP189" s="2378"/>
      <c r="AQ189" s="2379"/>
      <c r="AR189" s="2377"/>
      <c r="AS189" s="2378"/>
      <c r="AT189" s="2378"/>
      <c r="AU189" s="2379"/>
      <c r="AV189" s="2377"/>
      <c r="AW189" s="2378"/>
      <c r="AX189" s="2378"/>
      <c r="AY189" s="2379"/>
      <c r="AZ189" s="2378"/>
      <c r="BA189" s="2377"/>
      <c r="BB189" s="2378"/>
      <c r="BC189" s="2596"/>
      <c r="BD189" s="2379"/>
      <c r="BE189" s="2378"/>
      <c r="BF189" s="2377"/>
      <c r="BG189" s="2378"/>
      <c r="BH189" s="2378"/>
      <c r="BI189" s="2379"/>
      <c r="BJ189" s="2378"/>
      <c r="BK189" s="2377"/>
      <c r="BL189" s="2378"/>
      <c r="BM189" s="2378"/>
      <c r="BN189" s="2379"/>
      <c r="BO189" s="2378"/>
      <c r="BP189" s="2377"/>
      <c r="BQ189" s="2378"/>
      <c r="BR189" s="2378"/>
      <c r="BS189" s="2379"/>
      <c r="BT189" s="2378"/>
      <c r="BU189" s="2377"/>
      <c r="BV189" s="2378"/>
      <c r="BW189" s="2378"/>
      <c r="BX189" s="2379"/>
      <c r="BY189" s="2380"/>
      <c r="BZ189" s="2376"/>
      <c r="CA189" s="2376"/>
      <c r="CB189" s="2376"/>
      <c r="CC189" s="2376">
        <f>W189</f>
        <v>-527.73943696780179</v>
      </c>
      <c r="CD189" s="2379">
        <f>SUM(X189:AA189)</f>
        <v>206.53751865998447</v>
      </c>
      <c r="CE189" s="2379">
        <f>SUM(AB189:AE189)</f>
        <v>0</v>
      </c>
      <c r="CF189" s="2379">
        <f>SUM(AF189:AI189)</f>
        <v>-747.19147653342952</v>
      </c>
      <c r="CG189" s="2379">
        <f>SUM(AJ189:AM189)</f>
        <v>-909.74824915248701</v>
      </c>
      <c r="CH189" s="2379">
        <f>SUM(AN189:AQ189)</f>
        <v>0</v>
      </c>
      <c r="CI189" s="2379">
        <f>SUM(AR189:AU189)</f>
        <v>0</v>
      </c>
      <c r="CJ189" s="2379">
        <f>SUM(AV189:AY189)</f>
        <v>0</v>
      </c>
      <c r="CK189" s="2379">
        <f>SUM(BA189:BD189)</f>
        <v>0</v>
      </c>
      <c r="CL189" s="2379">
        <f>SUM(BF189:BI189)</f>
        <v>0</v>
      </c>
      <c r="CM189" s="2379">
        <f>SUM(BG189:BK189)</f>
        <v>0</v>
      </c>
      <c r="CN189" s="2378"/>
      <c r="CO189" s="2378"/>
      <c r="CP189" s="2380"/>
      <c r="CQ189" s="2376"/>
      <c r="CR189" s="2376"/>
      <c r="CS189" s="2376"/>
      <c r="CT189" s="2376"/>
      <c r="CU189" s="2376"/>
      <c r="CV189" s="2376">
        <f>Y189+X189+W189</f>
        <v>-791.46570578856836</v>
      </c>
      <c r="CW189" s="2376">
        <f>Z189</f>
        <v>791.46570578856836</v>
      </c>
      <c r="CX189" s="2424"/>
      <c r="CY189" s="2376">
        <f>SUM(AH189:AK189)</f>
        <v>-2234.7692104111411</v>
      </c>
      <c r="CZ189" s="2376">
        <f>SUM(AL189:AO189)</f>
        <v>577.82948472522457</v>
      </c>
      <c r="DA189" s="2376">
        <f>SUM(AP189:AS189)</f>
        <v>0</v>
      </c>
      <c r="DB189" s="2376">
        <f>SUM(AT189:AW189)</f>
        <v>0</v>
      </c>
      <c r="DC189" s="2376">
        <f>SUM(AX189:BB189)</f>
        <v>0</v>
      </c>
      <c r="DD189" s="2376">
        <f>SUM(BC189:BG189)</f>
        <v>0</v>
      </c>
      <c r="DE189" s="2376">
        <f>SUM(BD189:BH189)</f>
        <v>0</v>
      </c>
      <c r="DF189" s="2378"/>
    </row>
    <row r="190" spans="1:110" s="1715" customFormat="1" hidden="1" outlineLevel="1">
      <c r="A190" s="2402" t="s">
        <v>822</v>
      </c>
      <c r="B190" s="2403"/>
      <c r="C190" s="2403"/>
      <c r="D190" s="2403"/>
      <c r="E190" s="2403"/>
      <c r="F190" s="2403"/>
      <c r="G190" s="2403"/>
      <c r="H190" s="2403"/>
      <c r="I190" s="2403"/>
      <c r="J190" s="2403"/>
      <c r="K190" s="2403"/>
      <c r="L190" s="2404"/>
      <c r="M190" s="2405"/>
      <c r="N190" s="2405"/>
      <c r="O190" s="2406"/>
      <c r="P190" s="2404">
        <f t="shared" ref="P190:AE190" si="361">P187+P193</f>
        <v>4138</v>
      </c>
      <c r="Q190" s="2405">
        <f t="shared" si="361"/>
        <v>4334</v>
      </c>
      <c r="R190" s="2405">
        <f t="shared" si="361"/>
        <v>4025</v>
      </c>
      <c r="S190" s="2406">
        <f t="shared" si="361"/>
        <v>4367</v>
      </c>
      <c r="T190" s="2404">
        <f t="shared" si="361"/>
        <v>4283</v>
      </c>
      <c r="U190" s="2405">
        <f t="shared" si="361"/>
        <v>4074</v>
      </c>
      <c r="V190" s="2405">
        <f t="shared" si="361"/>
        <v>3448</v>
      </c>
      <c r="W190" s="2406">
        <f t="shared" si="361"/>
        <v>3169</v>
      </c>
      <c r="X190" s="2404">
        <f t="shared" si="361"/>
        <v>2880</v>
      </c>
      <c r="Y190" s="2405">
        <f t="shared" si="361"/>
        <v>7193</v>
      </c>
      <c r="Z190" s="2405">
        <f t="shared" si="361"/>
        <v>5705.431834574807</v>
      </c>
      <c r="AA190" s="2405">
        <f t="shared" si="361"/>
        <v>4775</v>
      </c>
      <c r="AB190" s="2404">
        <f t="shared" si="361"/>
        <v>4787</v>
      </c>
      <c r="AC190" s="2405">
        <f t="shared" si="361"/>
        <v>5056</v>
      </c>
      <c r="AD190" s="2405">
        <f t="shared" si="361"/>
        <v>4447</v>
      </c>
      <c r="AE190" s="2405">
        <f t="shared" si="361"/>
        <v>4743</v>
      </c>
      <c r="AF190" s="2404"/>
      <c r="AG190" s="2405"/>
      <c r="AH190" s="2405">
        <f t="shared" ref="AH190:AM190" si="362">AH187+AH193</f>
        <v>4633</v>
      </c>
      <c r="AI190" s="2406">
        <f t="shared" si="362"/>
        <v>4152</v>
      </c>
      <c r="AJ190" s="2404">
        <f t="shared" si="362"/>
        <v>3244</v>
      </c>
      <c r="AK190" s="2405">
        <f t="shared" si="362"/>
        <v>5881</v>
      </c>
      <c r="AL190" s="2405">
        <f t="shared" si="362"/>
        <v>5703</v>
      </c>
      <c r="AM190" s="2406">
        <f t="shared" si="362"/>
        <v>4411</v>
      </c>
      <c r="AN190" s="2404"/>
      <c r="AO190" s="2405"/>
      <c r="AP190" s="2405"/>
      <c r="AQ190" s="2406"/>
      <c r="AR190" s="2404"/>
      <c r="AS190" s="2405"/>
      <c r="AT190" s="2405"/>
      <c r="AU190" s="2406"/>
      <c r="AV190" s="2404"/>
      <c r="AW190" s="2405"/>
      <c r="AX190" s="2405"/>
      <c r="AY190" s="2406"/>
      <c r="AZ190" s="2405"/>
      <c r="BA190" s="2404"/>
      <c r="BB190" s="2405"/>
      <c r="BC190" s="2595"/>
      <c r="BD190" s="2406"/>
      <c r="BE190" s="2405"/>
      <c r="BF190" s="2404"/>
      <c r="BG190" s="2405"/>
      <c r="BH190" s="2405"/>
      <c r="BI190" s="2406"/>
      <c r="BJ190" s="2405"/>
      <c r="BK190" s="2404"/>
      <c r="BL190" s="2405"/>
      <c r="BM190" s="2405"/>
      <c r="BN190" s="2406"/>
      <c r="BO190" s="2405"/>
      <c r="BP190" s="2404"/>
      <c r="BQ190" s="2405"/>
      <c r="BR190" s="2405"/>
      <c r="BS190" s="2406"/>
      <c r="BT190" s="2405"/>
      <c r="BU190" s="2404"/>
      <c r="BV190" s="2405"/>
      <c r="BW190" s="2405"/>
      <c r="BX190" s="2406"/>
      <c r="BY190" s="2380"/>
      <c r="BZ190" s="2403"/>
      <c r="CA190" s="2403"/>
      <c r="CB190" s="2403"/>
      <c r="CC190" s="2403">
        <f t="shared" ref="CC190:CI190" si="363">CC187+CC189</f>
        <v>15432.098544869305</v>
      </c>
      <c r="CD190" s="2406">
        <f t="shared" si="363"/>
        <v>19673.381394580865</v>
      </c>
      <c r="CE190" s="2406">
        <f t="shared" si="363"/>
        <v>20206.579197005773</v>
      </c>
      <c r="CF190" s="2406">
        <f t="shared" si="363"/>
        <v>19533.532838469837</v>
      </c>
      <c r="CG190" s="2406">
        <f t="shared" si="363"/>
        <v>19238.999999999996</v>
      </c>
      <c r="CH190" s="2406">
        <f t="shared" si="363"/>
        <v>20809.507420964754</v>
      </c>
      <c r="CI190" s="2406">
        <f t="shared" si="363"/>
        <v>19025.661632353815</v>
      </c>
      <c r="CJ190" s="2406">
        <f>CJ187+CJ189</f>
        <v>17445.136524079637</v>
      </c>
      <c r="CK190" s="2406">
        <f>CK187+CK189</f>
        <v>15956.717317430774</v>
      </c>
      <c r="CL190" s="2406">
        <f>CL187+CL189</f>
        <v>16542.867375434667</v>
      </c>
      <c r="CM190" s="2406">
        <f>CM187+CM189</f>
        <v>16595.179338767754</v>
      </c>
      <c r="CN190" s="2378"/>
      <c r="CO190" s="2378"/>
      <c r="CP190" s="2380"/>
      <c r="CQ190" s="2403"/>
      <c r="CR190" s="2403"/>
      <c r="CS190" s="2403"/>
      <c r="CT190" s="2403"/>
      <c r="CU190" s="2403"/>
      <c r="CV190" s="2403">
        <f t="shared" ref="CV190:DD190" si="364">CV187+CV189</f>
        <v>16473.360844839393</v>
      </c>
      <c r="CW190" s="2403">
        <f t="shared" si="364"/>
        <v>21185.921525806727</v>
      </c>
      <c r="CX190" s="2403">
        <f t="shared" si="364"/>
        <v>20210.98002279803</v>
      </c>
      <c r="CY190" s="2403">
        <f t="shared" si="364"/>
        <v>18269.844239753475</v>
      </c>
      <c r="CZ190" s="2403">
        <f t="shared" si="364"/>
        <v>20833.981753947737</v>
      </c>
      <c r="DA190" s="2403">
        <f t="shared" si="364"/>
        <v>20485.937782457833</v>
      </c>
      <c r="DB190" s="2403">
        <f t="shared" si="364"/>
        <v>17418.124503665698</v>
      </c>
      <c r="DC190" s="2403">
        <f t="shared" si="364"/>
        <v>16118.317958482225</v>
      </c>
      <c r="DD190" s="2403">
        <f t="shared" si="364"/>
        <v>16282.168405793165</v>
      </c>
      <c r="DE190" s="2403">
        <f>DE187+DE189</f>
        <v>16428.061119103899</v>
      </c>
      <c r="DF190" s="2378"/>
    </row>
    <row r="191" spans="1:110" s="1715" customFormat="1" hidden="1" outlineLevel="1">
      <c r="A191" s="2425"/>
      <c r="B191" s="2426"/>
      <c r="C191" s="2426"/>
      <c r="D191" s="2426"/>
      <c r="E191" s="2426"/>
      <c r="F191" s="2426"/>
      <c r="G191" s="2426"/>
      <c r="H191" s="2426"/>
      <c r="I191" s="2426"/>
      <c r="J191" s="2426"/>
      <c r="K191" s="2426"/>
      <c r="L191" s="2409"/>
      <c r="M191" s="2410"/>
      <c r="N191" s="2410"/>
      <c r="O191" s="2411"/>
      <c r="P191" s="2412"/>
      <c r="Q191" s="2413"/>
      <c r="R191" s="2413"/>
      <c r="S191" s="2414"/>
      <c r="T191" s="2415"/>
      <c r="U191" s="2416"/>
      <c r="V191" s="2416"/>
      <c r="W191" s="2414"/>
      <c r="X191" s="2415"/>
      <c r="Y191" s="2416"/>
      <c r="Z191" s="2416"/>
      <c r="AA191" s="2414"/>
      <c r="AB191" s="2415"/>
      <c r="AC191" s="2416"/>
      <c r="AD191" s="2416"/>
      <c r="AE191" s="2414"/>
      <c r="AF191" s="2415"/>
      <c r="AG191" s="2416"/>
      <c r="AH191" s="2427"/>
      <c r="AI191" s="2427"/>
      <c r="AJ191" s="2416"/>
      <c r="AK191" s="2416"/>
      <c r="AL191" s="2427"/>
      <c r="AM191" s="2427"/>
      <c r="AN191" s="2416"/>
      <c r="AO191" s="2416"/>
      <c r="AP191" s="2416"/>
      <c r="AQ191" s="2414"/>
      <c r="AR191" s="2415"/>
      <c r="AS191" s="2416"/>
      <c r="AT191" s="2416"/>
      <c r="AU191" s="2414"/>
      <c r="AV191" s="2415"/>
      <c r="AW191" s="2416"/>
      <c r="AX191" s="2416"/>
      <c r="AY191" s="2414"/>
      <c r="AZ191" s="2416"/>
      <c r="BA191" s="2415"/>
      <c r="BB191" s="2416"/>
      <c r="BC191" s="2615"/>
      <c r="BD191" s="2414"/>
      <c r="BE191" s="2416"/>
      <c r="BF191" s="2415"/>
      <c r="BG191" s="2416"/>
      <c r="BH191" s="2416"/>
      <c r="BI191" s="2414"/>
      <c r="BJ191" s="2416"/>
      <c r="BK191" s="2415"/>
      <c r="BL191" s="2416"/>
      <c r="BM191" s="2416"/>
      <c r="BN191" s="2414"/>
      <c r="BO191" s="2416"/>
      <c r="BP191" s="2415"/>
      <c r="BQ191" s="2416"/>
      <c r="BR191" s="2416"/>
      <c r="BS191" s="2414"/>
      <c r="BT191" s="2416"/>
      <c r="BU191" s="2415"/>
      <c r="BV191" s="2416"/>
      <c r="BW191" s="2416"/>
      <c r="BX191" s="2414"/>
      <c r="BY191" s="2279"/>
      <c r="BZ191" s="2417"/>
      <c r="CA191" s="2417"/>
      <c r="CB191" s="2428"/>
      <c r="CC191" s="2429"/>
      <c r="CD191" s="2429"/>
      <c r="CE191" s="2430"/>
      <c r="CF191" s="2430"/>
      <c r="CG191" s="2430"/>
      <c r="CH191" s="2430"/>
      <c r="CI191" s="2430"/>
      <c r="CJ191" s="2430"/>
      <c r="CK191" s="2430"/>
      <c r="CL191" s="2430"/>
      <c r="CM191" s="2430"/>
      <c r="CN191" s="2240"/>
      <c r="CO191" s="2240"/>
      <c r="CP191" s="2279"/>
      <c r="CQ191" s="2417"/>
      <c r="CR191" s="2417"/>
      <c r="CS191" s="2417"/>
      <c r="CT191" s="2418"/>
      <c r="CU191" s="2428"/>
      <c r="CV191" s="2429"/>
      <c r="CW191" s="2430"/>
      <c r="CX191" s="2418"/>
      <c r="CY191" s="2418"/>
      <c r="CZ191" s="2418"/>
      <c r="DA191" s="2418"/>
      <c r="DB191" s="2418"/>
      <c r="DC191" s="2418"/>
      <c r="DD191" s="2418"/>
      <c r="DE191" s="2418"/>
      <c r="DF191" s="2240"/>
    </row>
    <row r="192" spans="1:110" s="1715" customFormat="1" hidden="1" outlineLevel="2">
      <c r="A192" s="2431"/>
      <c r="B192" s="2279"/>
      <c r="C192" s="2279"/>
      <c r="D192" s="2279"/>
      <c r="E192" s="2279"/>
      <c r="F192" s="2279"/>
      <c r="G192" s="2279"/>
      <c r="H192" s="2380">
        <f>'Rev Overview'!W210</f>
        <v>3161</v>
      </c>
      <c r="I192" s="2380">
        <f>'Rev Overview'!X210</f>
        <v>3430</v>
      </c>
      <c r="J192" s="2380">
        <f>'Rev Overview'!Y210</f>
        <v>3152</v>
      </c>
      <c r="K192" s="2380">
        <f>'Rev Overview'!Z210</f>
        <v>3347</v>
      </c>
      <c r="L192" s="2380">
        <f>'Rev Overview'!AB210</f>
        <v>3303</v>
      </c>
      <c r="M192" s="2380">
        <f>'Rev Overview'!AC210</f>
        <v>2589</v>
      </c>
      <c r="N192" s="2380">
        <f>'Rev Overview'!AD210</f>
        <v>5272</v>
      </c>
      <c r="O192" s="2380">
        <f>'Rev Overview'!AE210</f>
        <v>3808</v>
      </c>
      <c r="P192" s="2380">
        <f>'Rev Overview'!AG210</f>
        <v>4138</v>
      </c>
      <c r="Q192" s="2380">
        <f>'Rev Overview'!AH210</f>
        <v>4334</v>
      </c>
      <c r="R192" s="2380">
        <f>'Rev Overview'!AI210</f>
        <v>4025</v>
      </c>
      <c r="S192" s="2380">
        <f>'Rev Overview'!AJ210</f>
        <v>4367</v>
      </c>
      <c r="T192" s="2380">
        <f>'Rev Overview'!AL210</f>
        <v>4283</v>
      </c>
      <c r="U192" s="2380">
        <f>'Rev Overview'!AM210</f>
        <v>4074</v>
      </c>
      <c r="V192" s="2380">
        <f>'Rev Overview'!AN210</f>
        <v>3448</v>
      </c>
      <c r="W192" s="2380">
        <f>'Rev Overview'!AO210</f>
        <v>3169</v>
      </c>
      <c r="X192" s="2380">
        <f>'Rev Overview'!AQ210</f>
        <v>2880</v>
      </c>
      <c r="Y192" s="2380">
        <f>'Rev Overview'!AR210</f>
        <v>7193</v>
      </c>
      <c r="Z192" s="2380">
        <f>'Rev Overview'!AS210</f>
        <v>4661</v>
      </c>
      <c r="AA192" s="2432">
        <f>'Rev Overview'!AT210</f>
        <v>4775</v>
      </c>
      <c r="AB192" s="2380">
        <f>'Rev Overview'!AV210</f>
        <v>4787</v>
      </c>
      <c r="AC192" s="2380">
        <f>'Rev Overview'!AW210</f>
        <v>5056</v>
      </c>
      <c r="AD192" s="2380">
        <f>'Rev Overview'!AX210</f>
        <v>4447</v>
      </c>
      <c r="AE192" s="2432">
        <f>'Rev Overview'!AY210</f>
        <v>4743</v>
      </c>
      <c r="AF192" s="2380">
        <f>'Rev Overview'!BA210</f>
        <v>4874</v>
      </c>
      <c r="AG192" s="2380">
        <f>'Rev Overview'!BB210</f>
        <v>4741</v>
      </c>
      <c r="AH192" s="2380">
        <f>'Rev Overview'!BC210</f>
        <v>4633</v>
      </c>
      <c r="AI192" s="2432">
        <f>'Rev Overview'!BD210</f>
        <v>4152</v>
      </c>
      <c r="AJ192" s="2380">
        <f>'Rev Overview'!BF210</f>
        <v>3244</v>
      </c>
      <c r="AK192" s="2380">
        <f>'Rev Overview'!BG210</f>
        <v>5881</v>
      </c>
      <c r="AL192" s="2380">
        <f>'Rev Overview'!BH210</f>
        <v>5703</v>
      </c>
      <c r="AM192" s="2379">
        <f>'Rev Overview'!BI210</f>
        <v>4411</v>
      </c>
      <c r="AN192" s="2380"/>
      <c r="AO192" s="2380"/>
      <c r="AP192" s="2380"/>
      <c r="AQ192" s="2432"/>
      <c r="AR192" s="2380"/>
      <c r="AS192" s="2380"/>
      <c r="AT192" s="2380"/>
      <c r="AU192" s="2432"/>
      <c r="AV192" s="2380"/>
      <c r="AW192" s="2380"/>
      <c r="AX192" s="2380"/>
      <c r="AY192" s="2432"/>
      <c r="AZ192" s="2378"/>
      <c r="BA192" s="2380"/>
      <c r="BB192" s="2380"/>
      <c r="BC192" s="2616"/>
      <c r="BD192" s="2380"/>
      <c r="BE192" s="2380"/>
      <c r="BF192" s="2380"/>
      <c r="BG192" s="2380"/>
      <c r="BH192" s="2380"/>
      <c r="BI192" s="2380"/>
      <c r="BJ192" s="2380"/>
      <c r="BK192" s="2380"/>
      <c r="BL192" s="2380"/>
      <c r="BM192" s="2380"/>
      <c r="BN192" s="2380"/>
      <c r="BO192" s="2380"/>
      <c r="BP192" s="2380"/>
      <c r="BQ192" s="2380"/>
      <c r="BR192" s="2380"/>
      <c r="BS192" s="2380"/>
      <c r="BT192" s="2380"/>
      <c r="BU192" s="2380"/>
      <c r="BV192" s="2380"/>
      <c r="BW192" s="2380"/>
      <c r="BX192" s="2380"/>
      <c r="BY192" s="2364"/>
      <c r="BZ192" s="2279"/>
      <c r="CA192" s="2279"/>
      <c r="CB192" s="2380">
        <f>'Rev Overview'!AK210</f>
        <v>16864</v>
      </c>
      <c r="CC192" s="2376">
        <f>'Rev Overview'!AP210</f>
        <v>14974</v>
      </c>
      <c r="CD192" s="2376">
        <f>'Rev Overview'!AU210</f>
        <v>19509</v>
      </c>
      <c r="CE192" s="2380">
        <f>'Rev Overview'!AZ210</f>
        <v>19033</v>
      </c>
      <c r="CF192" s="2380"/>
      <c r="CG192" s="2433"/>
      <c r="CH192" s="2380"/>
      <c r="CI192" s="2380"/>
      <c r="CJ192" s="2380"/>
      <c r="CK192" s="2380"/>
      <c r="CL192" s="2380"/>
      <c r="CM192" s="2380"/>
      <c r="CN192" s="2380"/>
      <c r="CO192" s="2380"/>
      <c r="CP192" s="2279"/>
      <c r="CQ192" s="2279"/>
      <c r="CR192" s="2279"/>
      <c r="CS192" s="2279"/>
      <c r="CT192" s="2279"/>
      <c r="CU192" s="2279"/>
      <c r="CV192" s="2364"/>
      <c r="CW192" s="2279"/>
      <c r="CX192" s="2279"/>
      <c r="CY192" s="2279"/>
      <c r="CZ192" s="2279"/>
      <c r="DA192" s="2279"/>
      <c r="DB192" s="2279"/>
      <c r="DC192" s="2279"/>
      <c r="DD192" s="2279"/>
      <c r="DE192" s="2279"/>
      <c r="DF192" s="2279"/>
    </row>
    <row r="193" spans="1:110" s="1715" customFormat="1" hidden="1" outlineLevel="2">
      <c r="A193" s="2249"/>
      <c r="B193" s="2258"/>
      <c r="C193" s="2258"/>
      <c r="D193" s="2258"/>
      <c r="E193" s="2258"/>
      <c r="F193" s="2258"/>
      <c r="G193" s="2258"/>
      <c r="H193" s="2434">
        <f t="shared" ref="H193:Y193" si="365">H192-H187</f>
        <v>-48.028134045973275</v>
      </c>
      <c r="I193" s="2434">
        <f t="shared" si="365"/>
        <v>-68.213055276612977</v>
      </c>
      <c r="J193" s="2434">
        <f t="shared" si="365"/>
        <v>-56.409853812142046</v>
      </c>
      <c r="K193" s="2434">
        <f t="shared" si="365"/>
        <v>-56.462138692362714</v>
      </c>
      <c r="L193" s="2435">
        <f t="shared" si="365"/>
        <v>-112.04237014625141</v>
      </c>
      <c r="M193" s="2435">
        <f t="shared" si="365"/>
        <v>-1127.9558890871444</v>
      </c>
      <c r="N193" s="2435">
        <f t="shared" si="365"/>
        <v>1044.6928383229988</v>
      </c>
      <c r="O193" s="2435">
        <f t="shared" si="365"/>
        <v>-84.870160866837523</v>
      </c>
      <c r="P193" s="2435">
        <f t="shared" si="365"/>
        <v>-114.18063419983628</v>
      </c>
      <c r="Q193" s="2435">
        <f t="shared" si="365"/>
        <v>-103.09868259287032</v>
      </c>
      <c r="R193" s="2435">
        <f t="shared" si="365"/>
        <v>-159.67545475307452</v>
      </c>
      <c r="S193" s="2435">
        <f t="shared" si="365"/>
        <v>-115.20647874046881</v>
      </c>
      <c r="T193" s="2434">
        <f t="shared" si="365"/>
        <v>-111.34836638424713</v>
      </c>
      <c r="U193" s="2434">
        <f t="shared" si="365"/>
        <v>-148.34213039627139</v>
      </c>
      <c r="V193" s="2434">
        <f t="shared" si="365"/>
        <v>-198.40804808878602</v>
      </c>
      <c r="W193" s="2436">
        <f t="shared" si="365"/>
        <v>-527.73943696780179</v>
      </c>
      <c r="X193" s="2437">
        <f t="shared" si="365"/>
        <v>-1698.8692523332284</v>
      </c>
      <c r="Y193" s="2437">
        <f t="shared" si="365"/>
        <v>1435.1429835124618</v>
      </c>
      <c r="Z193" s="2437">
        <f>-SUM(W193:Y193)</f>
        <v>791.46570578856836</v>
      </c>
      <c r="AA193" s="2438">
        <f t="shared" ref="AA193:AI193" si="366">AA192-AA187</f>
        <v>-321.20191830781732</v>
      </c>
      <c r="AB193" s="2434">
        <f t="shared" si="366"/>
        <v>-240.79522681096933</v>
      </c>
      <c r="AC193" s="2434">
        <f t="shared" si="366"/>
        <v>-300.49254611313245</v>
      </c>
      <c r="AD193" s="2434">
        <f t="shared" si="366"/>
        <v>-303.56731649732046</v>
      </c>
      <c r="AE193" s="2439">
        <f t="shared" si="366"/>
        <v>-328.72410758435035</v>
      </c>
      <c r="AF193" s="2434">
        <f t="shared" si="366"/>
        <v>-372.74942475320677</v>
      </c>
      <c r="AG193" s="2434">
        <f t="shared" si="366"/>
        <v>-400.93917396315464</v>
      </c>
      <c r="AH193" s="2434">
        <f t="shared" si="366"/>
        <v>-359.84423975347727</v>
      </c>
      <c r="AI193" s="2439">
        <f t="shared" si="366"/>
        <v>-747.19147653342952</v>
      </c>
      <c r="AJ193" s="2437">
        <f>AJ192-AJ187</f>
        <v>-1683.7631246826804</v>
      </c>
      <c r="AK193" s="2440">
        <f>AK192-AK187</f>
        <v>196.18539080496885</v>
      </c>
      <c r="AL193" s="2440">
        <f>AL192-AL187</f>
        <v>676.14559626707069</v>
      </c>
      <c r="AM193" s="2441">
        <f>AM192-AM187</f>
        <v>-98.316111541846112</v>
      </c>
      <c r="AN193" s="2434"/>
      <c r="AO193" s="2434"/>
      <c r="AP193" s="2434"/>
      <c r="AQ193" s="2441"/>
      <c r="AR193" s="2442"/>
      <c r="AS193" s="2434"/>
      <c r="AT193" s="2434"/>
      <c r="AU193" s="2441"/>
      <c r="AV193" s="2442"/>
      <c r="AW193" s="2434"/>
      <c r="AX193" s="2434"/>
      <c r="AY193" s="2441"/>
      <c r="AZ193" s="2285"/>
      <c r="BA193" s="2443"/>
      <c r="BB193" s="2434"/>
      <c r="BC193" s="2617"/>
      <c r="BD193" s="2441"/>
      <c r="BE193" s="2285"/>
      <c r="BF193" s="2443"/>
      <c r="BG193" s="2434"/>
      <c r="BH193" s="2434"/>
      <c r="BI193" s="2441"/>
      <c r="BJ193" s="2285"/>
      <c r="BK193" s="2443"/>
      <c r="BL193" s="2434"/>
      <c r="BM193" s="2434"/>
      <c r="BN193" s="2441"/>
      <c r="BO193" s="2285"/>
      <c r="BP193" s="2443"/>
      <c r="BQ193" s="2434"/>
      <c r="BR193" s="2434"/>
      <c r="BS193" s="2441"/>
      <c r="BT193" s="2285"/>
      <c r="BU193" s="2443"/>
      <c r="BV193" s="2434"/>
      <c r="BW193" s="2434"/>
      <c r="BX193" s="2441"/>
      <c r="BY193" s="2259"/>
      <c r="BZ193" s="2258"/>
      <c r="CA193" s="2258"/>
      <c r="CB193" s="2434"/>
      <c r="CC193" s="2318">
        <f>CC192-CC187</f>
        <v>-985.83798183710678</v>
      </c>
      <c r="CD193" s="2318">
        <f>CD192-CD187</f>
        <v>42.156124079119763</v>
      </c>
      <c r="CE193" s="2437">
        <f>CE192-CE187</f>
        <v>-1173.5791970057726</v>
      </c>
      <c r="CF193" s="2437"/>
      <c r="CG193" s="2437"/>
      <c r="CH193" s="2437"/>
      <c r="CI193" s="2437"/>
      <c r="CJ193" s="2437"/>
      <c r="CK193" s="2437"/>
      <c r="CL193" s="2437"/>
      <c r="CM193" s="2437"/>
      <c r="CN193" s="2437"/>
      <c r="CO193" s="2437"/>
      <c r="CP193" s="2258"/>
      <c r="CQ193" s="2258"/>
      <c r="CR193" s="2258"/>
      <c r="CS193" s="2258"/>
      <c r="CT193" s="2258"/>
      <c r="CU193" s="2258"/>
      <c r="CV193" s="2259"/>
      <c r="CW193" s="2258"/>
      <c r="CX193" s="2258"/>
      <c r="CY193" s="2258"/>
      <c r="CZ193" s="2258"/>
      <c r="DA193" s="2258"/>
      <c r="DB193" s="2258"/>
      <c r="DC193" s="2258"/>
      <c r="DD193" s="2258"/>
      <c r="DE193" s="2258"/>
      <c r="DF193" s="2258"/>
    </row>
    <row r="194" spans="1:110" s="1715" customFormat="1" hidden="1" outlineLevel="2">
      <c r="A194" s="2444" t="s">
        <v>542</v>
      </c>
      <c r="B194" s="2445"/>
      <c r="C194" s="2445"/>
      <c r="D194" s="2445"/>
      <c r="E194" s="2445"/>
      <c r="F194" s="2446">
        <f t="shared" ref="F194:Q194" si="367">F72+F114+F84+F90+F96+F78</f>
        <v>16.920665872433279</v>
      </c>
      <c r="G194" s="2446">
        <f t="shared" si="367"/>
        <v>16.815952087908457</v>
      </c>
      <c r="H194" s="2446">
        <f t="shared" si="367"/>
        <v>19.998640047665422</v>
      </c>
      <c r="I194" s="2446">
        <f t="shared" si="367"/>
        <v>22.92622363812627</v>
      </c>
      <c r="J194" s="2446">
        <f t="shared" si="367"/>
        <v>19.334787717294216</v>
      </c>
      <c r="K194" s="2446">
        <f t="shared" si="367"/>
        <v>18.978648819351481</v>
      </c>
      <c r="L194" s="2447">
        <f t="shared" si="367"/>
        <v>23.248815974014185</v>
      </c>
      <c r="M194" s="2446">
        <f t="shared" si="367"/>
        <v>25.675407146286268</v>
      </c>
      <c r="N194" s="2446">
        <f t="shared" si="367"/>
        <v>24.800325107582019</v>
      </c>
      <c r="O194" s="2448">
        <f t="shared" si="367"/>
        <v>22.890158621297644</v>
      </c>
      <c r="P194" s="2449">
        <f t="shared" si="367"/>
        <v>30.077120584369972</v>
      </c>
      <c r="Q194" s="2450">
        <f t="shared" si="367"/>
        <v>34.890725734090935</v>
      </c>
      <c r="R194" s="2450">
        <f t="shared" ref="R194:X194" si="368">R72+R114+R84+R90+R96</f>
        <v>28.828119876065998</v>
      </c>
      <c r="S194" s="2451">
        <f t="shared" si="368"/>
        <v>32.155687508713399</v>
      </c>
      <c r="T194" s="2449">
        <f t="shared" si="368"/>
        <v>34.710657225832286</v>
      </c>
      <c r="U194" s="2450">
        <f t="shared" si="368"/>
        <v>38.034515347643712</v>
      </c>
      <c r="V194" s="2450">
        <f t="shared" si="368"/>
        <v>31.537581193658738</v>
      </c>
      <c r="W194" s="2451">
        <f t="shared" si="368"/>
        <v>35.097486739270614</v>
      </c>
      <c r="X194" s="2449">
        <f t="shared" si="368"/>
        <v>43.484581788708567</v>
      </c>
      <c r="Y194" s="2450">
        <f t="shared" ref="Y194:AH194" si="369">Y72+Y114+Y84+Y90+Y96+Y78+Y120+Y126+Y132+Y138</f>
        <v>50.839063594065827</v>
      </c>
      <c r="Z194" s="2450">
        <f t="shared" si="369"/>
        <v>43.635424933943774</v>
      </c>
      <c r="AA194" s="2451">
        <f t="shared" si="369"/>
        <v>44.117563915034651</v>
      </c>
      <c r="AB194" s="2447">
        <f t="shared" si="369"/>
        <v>42.955218446035772</v>
      </c>
      <c r="AC194" s="2446">
        <f t="shared" si="369"/>
        <v>46.53462340214061</v>
      </c>
      <c r="AD194" s="2446">
        <f t="shared" si="369"/>
        <v>40.34891668773615</v>
      </c>
      <c r="AE194" s="2448">
        <f t="shared" si="369"/>
        <v>43.624773903464252</v>
      </c>
      <c r="AF194" s="2447">
        <f t="shared" si="369"/>
        <v>45.482926782099959</v>
      </c>
      <c r="AG194" s="2446">
        <f t="shared" si="369"/>
        <v>43.82229257565487</v>
      </c>
      <c r="AH194" s="2446">
        <f t="shared" si="369"/>
        <v>41.435683464194646</v>
      </c>
      <c r="AI194" s="2448">
        <f t="shared" ref="AI194:AU194" si="370">AI72+AI114+AI84+AI90+AI96+AI78+AI120+AI126+AI132+AI138+AI144+AI150</f>
        <v>43.968800173166471</v>
      </c>
      <c r="AJ194" s="2447">
        <f t="shared" si="370"/>
        <v>44.70558185315965</v>
      </c>
      <c r="AK194" s="2446">
        <f t="shared" si="370"/>
        <v>45.847949288303788</v>
      </c>
      <c r="AL194" s="2446">
        <f t="shared" si="370"/>
        <v>39.941014418458941</v>
      </c>
      <c r="AM194" s="2448">
        <f t="shared" si="370"/>
        <v>40.477352707466864</v>
      </c>
      <c r="AN194" s="2447">
        <f t="shared" si="370"/>
        <v>37.623250992501482</v>
      </c>
      <c r="AO194" s="2446">
        <f t="shared" si="370"/>
        <v>42.487558369613041</v>
      </c>
      <c r="AP194" s="2446">
        <f t="shared" si="370"/>
        <v>37.635301787477339</v>
      </c>
      <c r="AQ194" s="2448">
        <f t="shared" si="370"/>
        <v>39.552156422271118</v>
      </c>
      <c r="AR194" s="2447">
        <f t="shared" si="370"/>
        <v>38.194483968962501</v>
      </c>
      <c r="AS194" s="2446">
        <f t="shared" si="370"/>
        <v>39.488065764559998</v>
      </c>
      <c r="AT194" s="2446">
        <f t="shared" si="370"/>
        <v>30.442786025234106</v>
      </c>
      <c r="AU194" s="2448">
        <f t="shared" si="370"/>
        <v>31.386149893128412</v>
      </c>
      <c r="AV194" s="2447">
        <f t="shared" ref="AV194:BC194" si="371">AV72+AV114+AV84+AV90+AV96+AV78+AV120+AV126+AV132+AV138+AV144+AV150</f>
        <v>32.839671695662695</v>
      </c>
      <c r="AW194" s="2446">
        <f t="shared" si="371"/>
        <v>35.866802713909465</v>
      </c>
      <c r="AX194" s="2446">
        <f t="shared" si="371"/>
        <v>28.63478729922749</v>
      </c>
      <c r="AY194" s="2448">
        <f t="shared" si="371"/>
        <v>29.959017029924695</v>
      </c>
      <c r="AZ194" s="2446"/>
      <c r="BA194" s="2447">
        <f t="shared" si="371"/>
        <v>33.06564687476984</v>
      </c>
      <c r="BB194" s="2446">
        <f t="shared" si="371"/>
        <v>35.986624908194315</v>
      </c>
      <c r="BC194" s="2597">
        <f t="shared" si="371"/>
        <v>28.337854974847794</v>
      </c>
      <c r="BD194" s="2448">
        <f t="shared" ref="BD194:BN194" si="372">BD72+BD114+BD84+BD90+BD96+BD78+BD120+BD126+BD132+BD138+BD144+BD150</f>
        <v>29.680325978590066</v>
      </c>
      <c r="BE194" s="2446"/>
      <c r="BF194" s="2447">
        <f t="shared" si="372"/>
        <v>34.062209404299573</v>
      </c>
      <c r="BG194" s="2446">
        <f t="shared" si="372"/>
        <v>37.580189079301149</v>
      </c>
      <c r="BH194" s="2446">
        <f t="shared" si="372"/>
        <v>29.607331328555439</v>
      </c>
      <c r="BI194" s="2448">
        <f t="shared" si="372"/>
        <v>30.523993442388914</v>
      </c>
      <c r="BJ194" s="2446"/>
      <c r="BK194" s="2447">
        <f t="shared" si="372"/>
        <v>33.798377202331224</v>
      </c>
      <c r="BL194" s="2446">
        <f t="shared" si="372"/>
        <v>37.132839759398379</v>
      </c>
      <c r="BM194" s="2446">
        <f t="shared" si="372"/>
        <v>29.418449335643032</v>
      </c>
      <c r="BN194" s="2448">
        <f t="shared" si="372"/>
        <v>30.381750854039115</v>
      </c>
      <c r="BO194" s="2446"/>
      <c r="BP194" s="2447">
        <f t="shared" ref="BP194:BS194" si="373">BP72+BP114+BP84+BP90+BP96+BP78+BP120+BP126+BP132+BP138+BP144+BP150</f>
        <v>33.3061430209804</v>
      </c>
      <c r="BQ194" s="2446">
        <f t="shared" si="373"/>
        <v>36.715552899058878</v>
      </c>
      <c r="BR194" s="2446">
        <f t="shared" si="373"/>
        <v>29.055802977837658</v>
      </c>
      <c r="BS194" s="2448">
        <f t="shared" si="373"/>
        <v>30.028474427137699</v>
      </c>
      <c r="BT194" s="2446"/>
      <c r="BU194" s="2447">
        <f t="shared" ref="BU194:BX194" si="374">BU72+BU114+BU84+BU90+BU96+BU78+BU120+BU126+BU132+BU138+BU144+BU150</f>
        <v>32.9647960161996</v>
      </c>
      <c r="BV194" s="2446">
        <f t="shared" si="374"/>
        <v>36.459736846380096</v>
      </c>
      <c r="BW194" s="2446">
        <f t="shared" si="374"/>
        <v>28.758977325233907</v>
      </c>
      <c r="BX194" s="2448">
        <f t="shared" si="374"/>
        <v>29.708120542467093</v>
      </c>
      <c r="BY194" s="2244"/>
      <c r="BZ194" s="2447">
        <f>BZ72+BZ114+BZ84+BZ90+BZ96+BZ78</f>
        <v>81.238300222437374</v>
      </c>
      <c r="CA194" s="2446">
        <f>CA72+CA114+CA84+CA90+CA96+CA78</f>
        <v>96.614706849180124</v>
      </c>
      <c r="CB194" s="2449">
        <f t="shared" ref="CB194:CH194" si="375">CB72+CB114+CB84+CB90+CB96+CB78+CB120+CB126+CB132+CB138+CB150+CB144</f>
        <v>125.95165370324028</v>
      </c>
      <c r="CC194" s="2452">
        <f t="shared" si="375"/>
        <v>139.38024050640533</v>
      </c>
      <c r="CD194" s="2452">
        <f t="shared" si="375"/>
        <v>182.07663423175282</v>
      </c>
      <c r="CE194" s="2451">
        <f t="shared" si="375"/>
        <v>173.46353243937679</v>
      </c>
      <c r="CF194" s="2451">
        <f t="shared" si="375"/>
        <v>174.70970299511595</v>
      </c>
      <c r="CG194" s="2451">
        <f t="shared" si="375"/>
        <v>170.97189826738924</v>
      </c>
      <c r="CH194" s="2451">
        <f t="shared" si="375"/>
        <v>157.29826757186299</v>
      </c>
      <c r="CI194" s="2451">
        <f>CI72+CI114+CI84+CI90+CI96+CI78+CI120+CI126+CI132+CI138+CI150+CI144</f>
        <v>139.51148565188501</v>
      </c>
      <c r="CJ194" s="2451">
        <f>CJ72+CJ114+CJ84+CJ90+CJ96+CJ78+CJ120+CJ126+CJ132+CJ138+CJ150+CJ144</f>
        <v>127.30027873872433</v>
      </c>
      <c r="CK194" s="2451">
        <f>CK72+CK114+CK84+CK90+CK96+CK78+CK120+CK126+CK132+CK138+CK150+CK144</f>
        <v>127.07045273640202</v>
      </c>
      <c r="CL194" s="2451">
        <f>CL72+CL114+CL84+CL90+CL96+CL78+CL120+CL126+CL132+CL138+CL150+CL144</f>
        <v>131.77372325454508</v>
      </c>
      <c r="CM194" s="2451">
        <f>CM72+CM114+CM84+CM90+CM96+CM78+CM120+CM126+CM132+CM138+CM150+CM144</f>
        <v>131.50989105257673</v>
      </c>
      <c r="CN194" s="2298"/>
      <c r="CO194" s="2298"/>
      <c r="CP194" s="2244"/>
      <c r="CQ194" s="2258">
        <f>CQ72+CQ114+CQ84+CQ90+CQ96+CQ78+CQ120+CQ126+CQ132+CQ138</f>
        <v>0</v>
      </c>
      <c r="CR194" s="2449">
        <f>CR72+CR114+CR84+CR90+CR96+CR78+CR120+CR126+CR132+CR138</f>
        <v>76.661481646133424</v>
      </c>
      <c r="CS194" s="2449">
        <f>CS72+CS114+CS84+CS90+CS96+CS78+CS120+CS126+CS132+CS138</f>
        <v>87.237659656946136</v>
      </c>
      <c r="CT194" s="2300">
        <f>CT72+CT114+CT84+CT90+CT96+CT78+CT120+CT126+CT132+CT138</f>
        <v>112.65833004734057</v>
      </c>
      <c r="CU194" s="2449">
        <f t="shared" ref="CU194:DD194" si="376">CU72+CU114+CU84+CU90+CU96+CU78+CU120+CU126+CU132+CU138+CU150+CU144</f>
        <v>133.72897995825539</v>
      </c>
      <c r="CV194" s="2452">
        <f t="shared" si="376"/>
        <v>160.95871331570373</v>
      </c>
      <c r="CW194" s="2451">
        <f t="shared" si="376"/>
        <v>177.2428306971548</v>
      </c>
      <c r="CX194" s="2451">
        <f t="shared" si="376"/>
        <v>173.27890994895526</v>
      </c>
      <c r="CY194" s="2451">
        <f t="shared" si="376"/>
        <v>175.95801477882455</v>
      </c>
      <c r="CZ194" s="2451">
        <f t="shared" si="376"/>
        <v>160.52917648804035</v>
      </c>
      <c r="DA194" s="2451">
        <f>DA72+DA114+DA84+DA90+DA96+DA78+DA120+DA126+DA132+DA138+DA150+DA144</f>
        <v>154.87000794327096</v>
      </c>
      <c r="DB194" s="2451">
        <f t="shared" si="376"/>
        <v>130.53541032793467</v>
      </c>
      <c r="DC194" s="2451">
        <f t="shared" si="376"/>
        <v>127.64607611211633</v>
      </c>
      <c r="DD194" s="2451">
        <f t="shared" si="376"/>
        <v>129.66057943703859</v>
      </c>
      <c r="DE194" s="2451">
        <f>DE72+DE114+DE84+DE90+DE96+DE78+DE120+DE126+DE132+DE138+DE150+DE144</f>
        <v>130.93005579074625</v>
      </c>
      <c r="DF194" s="2298"/>
    </row>
    <row r="195" spans="1:110" s="1715" customFormat="1" hidden="1" outlineLevel="2">
      <c r="A195" s="2238" t="s">
        <v>300</v>
      </c>
      <c r="B195" s="2239"/>
      <c r="C195" s="2239"/>
      <c r="D195" s="2239"/>
      <c r="E195" s="2239"/>
      <c r="F195" s="2239"/>
      <c r="G195" s="2239"/>
      <c r="H195" s="2239"/>
      <c r="I195" s="2239"/>
      <c r="J195" s="2239"/>
      <c r="K195" s="2239"/>
      <c r="L195" s="2251">
        <f t="shared" ref="L195:AI195" si="377">L194/H194-1</f>
        <v>0.16251984727972424</v>
      </c>
      <c r="M195" s="2252">
        <f t="shared" si="377"/>
        <v>0.11991436320058013</v>
      </c>
      <c r="N195" s="2252">
        <f t="shared" si="377"/>
        <v>0.28267894482229527</v>
      </c>
      <c r="O195" s="2253">
        <f t="shared" si="377"/>
        <v>0.20610054167596026</v>
      </c>
      <c r="P195" s="2241">
        <f t="shared" si="377"/>
        <v>0.29370547807630132</v>
      </c>
      <c r="Q195" s="2240">
        <f t="shared" si="377"/>
        <v>0.35891616188596975</v>
      </c>
      <c r="R195" s="2240">
        <f t="shared" si="377"/>
        <v>0.16240895032672742</v>
      </c>
      <c r="S195" s="2242">
        <f t="shared" si="377"/>
        <v>0.40478220534456444</v>
      </c>
      <c r="T195" s="2241">
        <f t="shared" si="377"/>
        <v>0.15405519382963151</v>
      </c>
      <c r="U195" s="2240">
        <f t="shared" si="377"/>
        <v>9.0103875669202527E-2</v>
      </c>
      <c r="V195" s="2240">
        <f t="shared" si="377"/>
        <v>9.3986750757277804E-2</v>
      </c>
      <c r="W195" s="2242">
        <f t="shared" si="377"/>
        <v>9.1486124492286436E-2</v>
      </c>
      <c r="X195" s="2241">
        <f t="shared" si="377"/>
        <v>0.25277321906617689</v>
      </c>
      <c r="Y195" s="2240">
        <f t="shared" si="377"/>
        <v>0.33665601176683246</v>
      </c>
      <c r="Z195" s="2240">
        <f t="shared" si="377"/>
        <v>0.38360087496873563</v>
      </c>
      <c r="AA195" s="2242">
        <f t="shared" si="377"/>
        <v>0.25700065770440084</v>
      </c>
      <c r="AB195" s="2251">
        <f t="shared" si="377"/>
        <v>-1.2173587071504288E-2</v>
      </c>
      <c r="AC195" s="2252">
        <f t="shared" si="377"/>
        <v>-8.4667967653669574E-2</v>
      </c>
      <c r="AD195" s="2252">
        <f t="shared" si="377"/>
        <v>-7.5317434198997946E-2</v>
      </c>
      <c r="AE195" s="2253">
        <f t="shared" si="377"/>
        <v>-1.1169927979692074E-2</v>
      </c>
      <c r="AF195" s="2251">
        <f t="shared" si="377"/>
        <v>5.8845198034313873E-2</v>
      </c>
      <c r="AG195" s="2252">
        <f t="shared" si="377"/>
        <v>-5.828629584140943E-2</v>
      </c>
      <c r="AH195" s="2252">
        <f t="shared" si="377"/>
        <v>2.6934224402332285E-2</v>
      </c>
      <c r="AI195" s="2253">
        <f t="shared" si="377"/>
        <v>7.8860298614613633E-3</v>
      </c>
      <c r="AJ195" s="2251">
        <f t="shared" ref="AJ195:AU195" si="378">AJ194/AB194-1</f>
        <v>4.0748562583213133E-2</v>
      </c>
      <c r="AK195" s="2252">
        <f t="shared" si="378"/>
        <v>-1.475619793680838E-2</v>
      </c>
      <c r="AL195" s="2252">
        <f t="shared" si="378"/>
        <v>-1.0109373503977781E-2</v>
      </c>
      <c r="AM195" s="2253">
        <f t="shared" si="378"/>
        <v>-7.214756466044292E-2</v>
      </c>
      <c r="AN195" s="2251">
        <f t="shared" si="378"/>
        <v>-0.17280496981323756</v>
      </c>
      <c r="AO195" s="2252">
        <f t="shared" si="378"/>
        <v>-3.0457881767311568E-2</v>
      </c>
      <c r="AP195" s="2252">
        <f t="shared" si="378"/>
        <v>-9.1717605671963631E-2</v>
      </c>
      <c r="AQ195" s="2253">
        <f t="shared" si="378"/>
        <v>-0.10044949449384266</v>
      </c>
      <c r="AR195" s="2251">
        <f t="shared" si="378"/>
        <v>-0.14564395796443408</v>
      </c>
      <c r="AS195" s="2252">
        <f t="shared" si="378"/>
        <v>-0.13871685915003951</v>
      </c>
      <c r="AT195" s="2252">
        <f t="shared" si="378"/>
        <v>-0.23780638853366676</v>
      </c>
      <c r="AU195" s="2253">
        <f t="shared" si="378"/>
        <v>-0.22459973803230948</v>
      </c>
      <c r="AV195" s="2251">
        <f t="shared" ref="AV195:AY195" si="379">AV194/AN194-1</f>
        <v>-0.12714423051299262</v>
      </c>
      <c r="AW195" s="2252">
        <f t="shared" si="379"/>
        <v>-0.15582810379705692</v>
      </c>
      <c r="AX195" s="2252">
        <f t="shared" si="379"/>
        <v>-0.23915085201321951</v>
      </c>
      <c r="AY195" s="2253">
        <f t="shared" si="379"/>
        <v>-0.24254402945637366</v>
      </c>
      <c r="AZ195" s="2252"/>
      <c r="BA195" s="2251">
        <f>BA194/AR194-1</f>
        <v>-0.1342821413259685</v>
      </c>
      <c r="BB195" s="2252">
        <f>BB194/AS194-1</f>
        <v>-8.8670862666263561E-2</v>
      </c>
      <c r="BC195" s="2594">
        <f>BC194/AT194-1</f>
        <v>-6.9143837513476303E-2</v>
      </c>
      <c r="BD195" s="2253">
        <f>BD194/AU194-1</f>
        <v>-5.434957522177053E-2</v>
      </c>
      <c r="BE195" s="2252"/>
      <c r="BF195" s="2251">
        <f>BF194/AV194-1</f>
        <v>3.7227464390222398E-2</v>
      </c>
      <c r="BG195" s="2252">
        <f>BG194/AW194-1</f>
        <v>4.7770814116286475E-2</v>
      </c>
      <c r="BH195" s="2252">
        <f>BH194/AX194-1</f>
        <v>3.3963724583146782E-2</v>
      </c>
      <c r="BI195" s="2253">
        <f>BI194/AY194-1</f>
        <v>1.885830939980071E-2</v>
      </c>
      <c r="BJ195" s="2252"/>
      <c r="BK195" s="2251">
        <f>BK194/BA194-1</f>
        <v>2.2159866714129839E-2</v>
      </c>
      <c r="BL195" s="2252">
        <f>BL194/BB194-1</f>
        <v>3.1851135084998372E-2</v>
      </c>
      <c r="BM195" s="2252">
        <f>BM194/BC194-1</f>
        <v>3.8132539027895929E-2</v>
      </c>
      <c r="BN195" s="2253">
        <f>BN194/BD194-1</f>
        <v>2.3632654033349354E-2</v>
      </c>
      <c r="BO195" s="2252"/>
      <c r="BP195" s="2251">
        <f>BP194/BF194-1</f>
        <v>-2.2196633645958919E-2</v>
      </c>
      <c r="BQ195" s="2252">
        <f>BQ194/BG194-1</f>
        <v>-2.3007765565461358E-2</v>
      </c>
      <c r="BR195" s="2252">
        <f>BR194/BH194-1</f>
        <v>-1.8628100742934861E-2</v>
      </c>
      <c r="BS195" s="2253">
        <f>BS194/BI194-1</f>
        <v>-1.6233754478635287E-2</v>
      </c>
      <c r="BT195" s="2252"/>
      <c r="BU195" s="2251">
        <f>BU194/BK194-1</f>
        <v>-2.466334940111059E-2</v>
      </c>
      <c r="BV195" s="2252">
        <f>BV194/BL194-1</f>
        <v>-1.81268903046371E-2</v>
      </c>
      <c r="BW195" s="2252">
        <f>BW194/BM194-1</f>
        <v>-2.2416953486739888E-2</v>
      </c>
      <c r="BX195" s="2253">
        <f>BX194/BN194-1</f>
        <v>-2.2172201819714021E-2</v>
      </c>
      <c r="BY195" s="2244"/>
      <c r="BZ195" s="2251"/>
      <c r="CA195" s="2252">
        <f>IF(OR(BZ194=0,CA194=0),"NM",CA194/BZ194-1)</f>
        <v>0.1892753366902169</v>
      </c>
      <c r="CB195" s="2241">
        <f>IF(OR(CA194=0,CB194=0),"NM",CB194/CA194-1)</f>
        <v>0.30364887304224242</v>
      </c>
      <c r="CC195" s="2247">
        <f>IF(OR(CB194=0,CC194=0),"NM",CC194/CB194-1)</f>
        <v>0.10661699476217024</v>
      </c>
      <c r="CD195" s="2247">
        <f>IF(OR(CC194=0,CD194=0),"NM",CD194/CC194-1)</f>
        <v>0.30633032035401997</v>
      </c>
      <c r="CE195" s="2242">
        <f>IF(OR(CD194=0,CE194=0),"NM",CE194/CD194-1)</f>
        <v>-4.7304816615914569E-2</v>
      </c>
      <c r="CF195" s="2242">
        <f t="shared" ref="CF195:CM195" si="380">CF194/CE194-1</f>
        <v>7.184049224725042E-3</v>
      </c>
      <c r="CG195" s="2242">
        <f t="shared" si="380"/>
        <v>-2.1394374002405625E-2</v>
      </c>
      <c r="CH195" s="2242">
        <f t="shared" si="380"/>
        <v>-7.9975895653574325E-2</v>
      </c>
      <c r="CI195" s="2242">
        <f t="shared" si="380"/>
        <v>-0.11307678205579696</v>
      </c>
      <c r="CJ195" s="2242">
        <f t="shared" si="380"/>
        <v>-8.7528326833466674E-2</v>
      </c>
      <c r="CK195" s="2242">
        <f t="shared" si="380"/>
        <v>-1.8053849103819575E-3</v>
      </c>
      <c r="CL195" s="2242">
        <f t="shared" si="380"/>
        <v>3.7013093263306818E-2</v>
      </c>
      <c r="CM195" s="2242">
        <f t="shared" si="380"/>
        <v>-2.00216094265393E-3</v>
      </c>
      <c r="CN195" s="2240"/>
      <c r="CO195" s="2240"/>
      <c r="CP195" s="2244"/>
      <c r="CQ195" s="2258"/>
      <c r="CR195" s="2258"/>
      <c r="CS195" s="2248">
        <f>CS194/CR194-1</f>
        <v>0.13795947826356869</v>
      </c>
      <c r="CT195" s="2248">
        <f>CT194/CS194-1</f>
        <v>0.29139560243086327</v>
      </c>
      <c r="CU195" s="2241">
        <f>CU194/CT194-1</f>
        <v>0.1870314419010175</v>
      </c>
      <c r="CV195" s="2247">
        <f t="shared" ref="CV195:DE195" si="381">IF(OR(CU194=0,CV194=0),"NM",CV194/CU194-1)</f>
        <v>0.20361879202210553</v>
      </c>
      <c r="CW195" s="2242">
        <f t="shared" si="381"/>
        <v>0.1011695300366342</v>
      </c>
      <c r="CX195" s="2242">
        <f t="shared" si="381"/>
        <v>-2.2364350267980559E-2</v>
      </c>
      <c r="CY195" s="2242">
        <f t="shared" si="381"/>
        <v>1.5461228551463702E-2</v>
      </c>
      <c r="CZ195" s="2242">
        <f t="shared" si="381"/>
        <v>-8.7684771336946077E-2</v>
      </c>
      <c r="DA195" s="2242">
        <f t="shared" si="381"/>
        <v>-3.5253208597821439E-2</v>
      </c>
      <c r="DB195" s="2242">
        <f t="shared" si="381"/>
        <v>-0.15712918168280898</v>
      </c>
      <c r="DC195" s="2242">
        <f t="shared" si="381"/>
        <v>-2.2134486026126332E-2</v>
      </c>
      <c r="DD195" s="2242">
        <f t="shared" si="381"/>
        <v>1.5781944782641277E-2</v>
      </c>
      <c r="DE195" s="2242">
        <f t="shared" si="381"/>
        <v>9.7907656993319048E-3</v>
      </c>
      <c r="DF195" s="2240"/>
    </row>
    <row r="196" spans="1:110" s="1715" customFormat="1" ht="15.75" hidden="1" customHeight="1" outlineLevel="2">
      <c r="A196" s="2284" t="s">
        <v>543</v>
      </c>
      <c r="B196" s="2239"/>
      <c r="C196" s="2239"/>
      <c r="D196" s="2239"/>
      <c r="E196" s="2239"/>
      <c r="F196" s="2294">
        <f t="shared" ref="F196:X196" si="382">F102+F108</f>
        <v>14.685860945885487</v>
      </c>
      <c r="G196" s="2294">
        <f t="shared" si="382"/>
        <v>14.594977283845076</v>
      </c>
      <c r="H196" s="2294">
        <f t="shared" si="382"/>
        <v>17.035878559122398</v>
      </c>
      <c r="I196" s="2294">
        <f t="shared" si="382"/>
        <v>19.529746062107566</v>
      </c>
      <c r="J196" s="2294">
        <f t="shared" si="382"/>
        <v>17.847496354425431</v>
      </c>
      <c r="K196" s="2294">
        <f t="shared" si="382"/>
        <v>18.978648819351477</v>
      </c>
      <c r="L196" s="2295">
        <f t="shared" si="382"/>
        <v>18.266926836725432</v>
      </c>
      <c r="M196" s="2294">
        <f t="shared" si="382"/>
        <v>21.007151301506948</v>
      </c>
      <c r="N196" s="2294">
        <f t="shared" si="382"/>
        <v>21.041310950795094</v>
      </c>
      <c r="O196" s="2296">
        <f t="shared" si="382"/>
        <v>19.499024010735027</v>
      </c>
      <c r="P196" s="2297">
        <f t="shared" si="382"/>
        <v>20.051413722913317</v>
      </c>
      <c r="Q196" s="2298">
        <f t="shared" si="382"/>
        <v>20.491378605735942</v>
      </c>
      <c r="R196" s="2298">
        <f t="shared" si="382"/>
        <v>19.218746584043998</v>
      </c>
      <c r="S196" s="2299">
        <f t="shared" si="382"/>
        <v>19.708324602114661</v>
      </c>
      <c r="T196" s="2297">
        <f t="shared" si="382"/>
        <v>19.524744689530657</v>
      </c>
      <c r="U196" s="2298">
        <f t="shared" si="382"/>
        <v>17.898595457714688</v>
      </c>
      <c r="V196" s="2298">
        <f t="shared" si="382"/>
        <v>14.841214679368818</v>
      </c>
      <c r="W196" s="2298">
        <f t="shared" si="382"/>
        <v>14.335593175195037</v>
      </c>
      <c r="X196" s="2297">
        <f t="shared" si="382"/>
        <v>16.08333846979632</v>
      </c>
      <c r="Y196" s="2298">
        <f>Y102+Y108+Y156</f>
        <v>18.803489274517503</v>
      </c>
      <c r="Z196" s="2298">
        <f>Z102+Z108+Z156</f>
        <v>16.969331918755913</v>
      </c>
      <c r="AA196" s="2299">
        <f t="shared" ref="AA196:AU196" si="383">AA102+AA108+AA156+AA162</f>
        <v>18.019850049802884</v>
      </c>
      <c r="AB196" s="2295">
        <f t="shared" si="383"/>
        <v>19.298721330827668</v>
      </c>
      <c r="AC196" s="2294">
        <f t="shared" si="383"/>
        <v>19.943410029488838</v>
      </c>
      <c r="AD196" s="2294">
        <f t="shared" si="383"/>
        <v>18.987725500111132</v>
      </c>
      <c r="AE196" s="2296">
        <f t="shared" si="383"/>
        <v>18.696331672913249</v>
      </c>
      <c r="AF196" s="2295">
        <f t="shared" si="383"/>
        <v>21.403730250399981</v>
      </c>
      <c r="AG196" s="2294">
        <f t="shared" si="383"/>
        <v>20.622255329719941</v>
      </c>
      <c r="AH196" s="2294">
        <f t="shared" si="383"/>
        <v>20.408620213707813</v>
      </c>
      <c r="AI196" s="2296">
        <f t="shared" si="383"/>
        <v>18.843771502785632</v>
      </c>
      <c r="AJ196" s="2295">
        <f t="shared" si="383"/>
        <v>20.558041290139109</v>
      </c>
      <c r="AK196" s="2294">
        <f t="shared" si="383"/>
        <v>23.405755034647818</v>
      </c>
      <c r="AL196" s="2294">
        <f t="shared" si="383"/>
        <v>18.592212616295043</v>
      </c>
      <c r="AM196" s="2296">
        <f t="shared" si="383"/>
        <v>16.982729782307558</v>
      </c>
      <c r="AN196" s="2295">
        <f t="shared" si="383"/>
        <v>22.224224952468703</v>
      </c>
      <c r="AO196" s="2294">
        <f>AO102+AO108+AO156+AO162</f>
        <v>27.438696252178904</v>
      </c>
      <c r="AP196" s="2294">
        <f t="shared" si="383"/>
        <v>23.252833158318229</v>
      </c>
      <c r="AQ196" s="2296">
        <f t="shared" si="383"/>
        <v>20.844030289494427</v>
      </c>
      <c r="AR196" s="2295">
        <f>AR102+AR108+AR156+AR162</f>
        <v>21.756306481037502</v>
      </c>
      <c r="AS196" s="2294">
        <f>AS102+AS108+AS156+AS162</f>
        <v>26.11573057343999</v>
      </c>
      <c r="AT196" s="2294">
        <f t="shared" si="383"/>
        <v>20.959460260279396</v>
      </c>
      <c r="AU196" s="2296">
        <f t="shared" si="383"/>
        <v>18.360503041359173</v>
      </c>
      <c r="AV196" s="2295">
        <f t="shared" ref="AV196:BI196" si="384">AV102+AV108+AV156+AV162</f>
        <v>19.581205672750006</v>
      </c>
      <c r="AW196" s="2294">
        <f t="shared" si="384"/>
        <v>19.487799540000008</v>
      </c>
      <c r="AX196" s="2294">
        <f t="shared" si="384"/>
        <v>15.787927737999997</v>
      </c>
      <c r="AY196" s="2296">
        <f t="shared" si="384"/>
        <v>16.270362811654511</v>
      </c>
      <c r="AZ196" s="2294"/>
      <c r="BA196" s="2295">
        <f t="shared" si="384"/>
        <v>17.183744900859924</v>
      </c>
      <c r="BB196" s="2294">
        <f t="shared" si="384"/>
        <v>18.25392122110414</v>
      </c>
      <c r="BC196" s="2598">
        <f t="shared" si="384"/>
        <v>15.40922602402552</v>
      </c>
      <c r="BD196" s="2296">
        <f t="shared" si="384"/>
        <v>16.334896259304557</v>
      </c>
      <c r="BE196" s="2294"/>
      <c r="BF196" s="2295">
        <f t="shared" si="384"/>
        <v>17.88813256794781</v>
      </c>
      <c r="BG196" s="2294">
        <f t="shared" si="384"/>
        <v>18.4027947918336</v>
      </c>
      <c r="BH196" s="2294">
        <f t="shared" si="384"/>
        <v>15.588116638208774</v>
      </c>
      <c r="BI196" s="2296">
        <f t="shared" si="384"/>
        <v>16.267091603782774</v>
      </c>
      <c r="BJ196" s="2294"/>
      <c r="BK196" s="2295">
        <f>BK102+BK108+BK156+BK162</f>
        <v>17.792356389751522</v>
      </c>
      <c r="BL196" s="2294">
        <f>BL102+BL108+BL156+BL162</f>
        <v>18.430151077853701</v>
      </c>
      <c r="BM196" s="2294">
        <f>BM102+BM108+BM156+BM162</f>
        <v>15.445483837266064</v>
      </c>
      <c r="BN196" s="2296">
        <f>BN102+BN108+BN156+BN162</f>
        <v>16.05981338018864</v>
      </c>
      <c r="BO196" s="2294"/>
      <c r="BP196" s="2295">
        <f>BP102+BP108+BP156+BP162</f>
        <v>17.497544292508408</v>
      </c>
      <c r="BQ196" s="2294">
        <f>BQ102+BQ108+BQ156+BQ162</f>
        <v>18.158862495026593</v>
      </c>
      <c r="BR196" s="2294">
        <f>BR102+BR108+BR156+BR162</f>
        <v>15.198773199620684</v>
      </c>
      <c r="BS196" s="2296">
        <f>BS102+BS108+BS156+BS162</f>
        <v>15.80423310449228</v>
      </c>
      <c r="BT196" s="2294"/>
      <c r="BU196" s="2295">
        <f>BU102+BU108+BU156+BU162</f>
        <v>17.189795918972884</v>
      </c>
      <c r="BV196" s="2294">
        <f>BV102+BV108+BV156+BV162</f>
        <v>17.857862562199251</v>
      </c>
      <c r="BW196" s="2294">
        <f>BW102+BW108+BW156+BW162</f>
        <v>14.931739426927249</v>
      </c>
      <c r="BX196" s="2296">
        <f>BX102+BX108+BX156+BX162</f>
        <v>15.524560639515768</v>
      </c>
      <c r="BY196" s="2244"/>
      <c r="BZ196" s="2295">
        <f>BZ102+BZ108</f>
        <v>73.391769795006866</v>
      </c>
      <c r="CA196" s="2294">
        <f>CA102+CA108</f>
        <v>79.814413099762504</v>
      </c>
      <c r="CB196" s="2297">
        <f t="shared" ref="CB196:CH196" si="385">CB102+CB108+CB156+CB162</f>
        <v>79.469863514807912</v>
      </c>
      <c r="CC196" s="2300">
        <f t="shared" si="385"/>
        <v>66.600148001809202</v>
      </c>
      <c r="CD196" s="2300">
        <f t="shared" si="385"/>
        <v>69.876009712872616</v>
      </c>
      <c r="CE196" s="2299">
        <f t="shared" si="385"/>
        <v>76.926188533340891</v>
      </c>
      <c r="CF196" s="2299">
        <f t="shared" si="385"/>
        <v>81.278377296613371</v>
      </c>
      <c r="CG196" s="2299">
        <f t="shared" si="385"/>
        <v>79.538738723389542</v>
      </c>
      <c r="CH196" s="2299">
        <f t="shared" si="385"/>
        <v>93.759784652460255</v>
      </c>
      <c r="CI196" s="2299">
        <f>CI102+CI108+CI156+CI162</f>
        <v>87.192000356116054</v>
      </c>
      <c r="CJ196" s="2299">
        <f>CJ102+CJ108+CJ156+CJ162</f>
        <v>71.127295762404529</v>
      </c>
      <c r="CK196" s="2299">
        <f>CK102+CK108+CK156+CK162</f>
        <v>67.181788405294142</v>
      </c>
      <c r="CL196" s="2299">
        <f>CL102+CL108+CL156+CL162</f>
        <v>68.146135601772954</v>
      </c>
      <c r="CM196" s="2299">
        <f>CM102+CM108+CM156+CM162</f>
        <v>68.050359423576666</v>
      </c>
      <c r="CN196" s="2298"/>
      <c r="CO196" s="2298"/>
      <c r="CP196" s="2244"/>
      <c r="CQ196" s="2258">
        <f>CQ102+CQ108+CQ156</f>
        <v>0</v>
      </c>
      <c r="CR196" s="2453">
        <f>CR102+CR108+CR156</f>
        <v>65.846462850960521</v>
      </c>
      <c r="CS196" s="2453">
        <f>CS102+CS108+CS156</f>
        <v>76.100223312009291</v>
      </c>
      <c r="CT196" s="2300">
        <f>CT102+CT108+CT156</f>
        <v>81.083127290179377</v>
      </c>
      <c r="CU196" s="2297">
        <f t="shared" ref="CU196:CZ196" si="386">CU102+CU108+CU156+CU162</f>
        <v>76.350411333404011</v>
      </c>
      <c r="CV196" s="2300">
        <f t="shared" si="386"/>
        <v>64.063635598877681</v>
      </c>
      <c r="CW196" s="2299">
        <f t="shared" si="386"/>
        <v>74.231313328875302</v>
      </c>
      <c r="CX196" s="2299">
        <f t="shared" si="386"/>
        <v>79.710042753144307</v>
      </c>
      <c r="CY196" s="2299">
        <f t="shared" si="386"/>
        <v>83.21618804128039</v>
      </c>
      <c r="CZ196" s="2299">
        <f t="shared" si="386"/>
        <v>85.237863603250219</v>
      </c>
      <c r="DA196" s="2299">
        <f>DA102+DA108+DA156+DA162</f>
        <v>91.968900502290154</v>
      </c>
      <c r="DB196" s="2299">
        <f>DB102+DB108+DB156+DB162</f>
        <v>78.38896851438858</v>
      </c>
      <c r="DC196" s="2299">
        <f>DC102+DC108+DC156+DC162</f>
        <v>67.495956671618572</v>
      </c>
      <c r="DD196" s="2299">
        <f>DD102+DD108+DD156+DD162</f>
        <v>68.035049643111492</v>
      </c>
      <c r="DE196" s="2299">
        <f>DE102+DE108+DE156+DE162</f>
        <v>68.213940257294738</v>
      </c>
      <c r="DF196" s="2298"/>
    </row>
    <row r="197" spans="1:110" s="1718" customFormat="1" hidden="1" outlineLevel="2">
      <c r="A197" s="2238" t="s">
        <v>300</v>
      </c>
      <c r="B197" s="2239"/>
      <c r="C197" s="2239"/>
      <c r="D197" s="2239"/>
      <c r="E197" s="2239"/>
      <c r="F197" s="2239"/>
      <c r="G197" s="2239"/>
      <c r="H197" s="2239"/>
      <c r="I197" s="2239"/>
      <c r="J197" s="2239"/>
      <c r="K197" s="2239"/>
      <c r="L197" s="2251">
        <f t="shared" ref="L197:AI197" si="387">L196/H196-1</f>
        <v>7.2262095161733209E-2</v>
      </c>
      <c r="M197" s="2252">
        <f t="shared" si="387"/>
        <v>7.56489733507546E-2</v>
      </c>
      <c r="N197" s="2252">
        <f t="shared" si="387"/>
        <v>0.17895028708481742</v>
      </c>
      <c r="O197" s="2253">
        <f t="shared" si="387"/>
        <v>2.741897994618836E-2</v>
      </c>
      <c r="P197" s="2241">
        <f t="shared" si="387"/>
        <v>9.7689496549589139E-2</v>
      </c>
      <c r="Q197" s="2240">
        <f t="shared" si="387"/>
        <v>-2.4552243584498146E-2</v>
      </c>
      <c r="R197" s="2240">
        <f t="shared" si="387"/>
        <v>-8.6618384710588803E-2</v>
      </c>
      <c r="S197" s="2242">
        <f t="shared" si="387"/>
        <v>1.0733900900086413E-2</v>
      </c>
      <c r="T197" s="2241">
        <f t="shared" si="387"/>
        <v>-2.6265930206248789E-2</v>
      </c>
      <c r="U197" s="2240">
        <f t="shared" si="387"/>
        <v>-0.12653043984534473</v>
      </c>
      <c r="V197" s="2240">
        <f t="shared" si="387"/>
        <v>-0.22777405828898034</v>
      </c>
      <c r="W197" s="2240">
        <f t="shared" si="387"/>
        <v>-0.27261228619824651</v>
      </c>
      <c r="X197" s="2241">
        <f t="shared" si="387"/>
        <v>-0.17625870527155463</v>
      </c>
      <c r="Y197" s="2240">
        <f t="shared" si="387"/>
        <v>5.0556694179753947E-2</v>
      </c>
      <c r="Z197" s="2240">
        <f t="shared" si="387"/>
        <v>0.14339238973110802</v>
      </c>
      <c r="AA197" s="2242">
        <f t="shared" si="387"/>
        <v>0.25700065770440106</v>
      </c>
      <c r="AB197" s="2251">
        <f t="shared" si="387"/>
        <v>0.19992011404035748</v>
      </c>
      <c r="AC197" s="2252">
        <f t="shared" si="387"/>
        <v>6.0622831131462274E-2</v>
      </c>
      <c r="AD197" s="2252">
        <f t="shared" si="387"/>
        <v>0.1189436090365068</v>
      </c>
      <c r="AE197" s="2253">
        <f t="shared" si="387"/>
        <v>3.7540913006530063E-2</v>
      </c>
      <c r="AF197" s="2251">
        <f t="shared" si="387"/>
        <v>0.10907504613840824</v>
      </c>
      <c r="AG197" s="2252">
        <f t="shared" si="387"/>
        <v>3.4038577115315105E-2</v>
      </c>
      <c r="AH197" s="2252">
        <f t="shared" si="387"/>
        <v>7.483227591363506E-2</v>
      </c>
      <c r="AI197" s="2253">
        <f t="shared" si="387"/>
        <v>7.8860298614615854E-3</v>
      </c>
      <c r="AJ197" s="2251">
        <f t="shared" ref="AJ197:AU197" si="388">AJ196/AB196-1</f>
        <v>6.525406205538653E-2</v>
      </c>
      <c r="AK197" s="2252">
        <f t="shared" si="388"/>
        <v>0.17360847518250222</v>
      </c>
      <c r="AL197" s="2252">
        <f t="shared" si="388"/>
        <v>-2.0829924248366383E-2</v>
      </c>
      <c r="AM197" s="2253">
        <f t="shared" si="388"/>
        <v>-9.1654444336174867E-2</v>
      </c>
      <c r="AN197" s="2251">
        <f t="shared" si="388"/>
        <v>3.8334191866083112E-2</v>
      </c>
      <c r="AO197" s="2252">
        <f t="shared" si="388"/>
        <v>0.33053809166233084</v>
      </c>
      <c r="AP197" s="2252">
        <f t="shared" si="388"/>
        <v>0.13936331387557743</v>
      </c>
      <c r="AQ197" s="2253">
        <f t="shared" si="388"/>
        <v>0.10614959889601194</v>
      </c>
      <c r="AR197" s="2251">
        <f t="shared" si="388"/>
        <v>5.8286933759256199E-2</v>
      </c>
      <c r="AS197" s="2252">
        <f t="shared" si="388"/>
        <v>0.11578244473551758</v>
      </c>
      <c r="AT197" s="2252">
        <f t="shared" si="388"/>
        <v>0.1273246865684825</v>
      </c>
      <c r="AU197" s="2253">
        <f t="shared" si="388"/>
        <v>8.1127903270707735E-2</v>
      </c>
      <c r="AV197" s="2251">
        <f t="shared" ref="AV197:AY197" si="389">AV196/AN196-1</f>
        <v>-0.11892514971259349</v>
      </c>
      <c r="AW197" s="2252">
        <f t="shared" si="389"/>
        <v>-0.28976947880850989</v>
      </c>
      <c r="AX197" s="2252">
        <f t="shared" si="389"/>
        <v>-0.3210320811013867</v>
      </c>
      <c r="AY197" s="2253">
        <f t="shared" si="389"/>
        <v>-0.2194233751495307</v>
      </c>
      <c r="AZ197" s="2252"/>
      <c r="BA197" s="2251">
        <f>BA196/AR196-1</f>
        <v>-0.21017177636116491</v>
      </c>
      <c r="BB197" s="2252">
        <f>BB196/AS196-1</f>
        <v>-0.30103731275017076</v>
      </c>
      <c r="BC197" s="2594">
        <f>BC196/AT196-1</f>
        <v>-0.26480807078664204</v>
      </c>
      <c r="BD197" s="2253">
        <f>BD196/AU196-1</f>
        <v>-0.11032414403307478</v>
      </c>
      <c r="BE197" s="2252"/>
      <c r="BF197" s="2251">
        <f>BF196/AV196-1</f>
        <v>-8.6464190872492797E-2</v>
      </c>
      <c r="BG197" s="2252">
        <f>BG196/AW196-1</f>
        <v>-5.5676103704749402E-2</v>
      </c>
      <c r="BH197" s="2252">
        <f>BH196/AX196-1</f>
        <v>-1.2655942129143227E-2</v>
      </c>
      <c r="BI197" s="2253">
        <f>BI196/AY196-1</f>
        <v>-2.010531608670485E-4</v>
      </c>
      <c r="BJ197" s="2252"/>
      <c r="BK197" s="2251">
        <f>BK196/BA196-1</f>
        <v>3.5417861031045605E-2</v>
      </c>
      <c r="BL197" s="2252">
        <f>BL196/BB196-1</f>
        <v>9.654356158051991E-3</v>
      </c>
      <c r="BM197" s="2252">
        <f>BM196/BC196-1</f>
        <v>2.3529937963147063E-3</v>
      </c>
      <c r="BN197" s="2253">
        <f>BN196/BD196-1</f>
        <v>-1.6840197497993037E-2</v>
      </c>
      <c r="BO197" s="2252"/>
      <c r="BP197" s="2251">
        <f>BP196/BF196-1</f>
        <v>-2.1835050358429475E-2</v>
      </c>
      <c r="BQ197" s="2252">
        <f>BQ196/BG196-1</f>
        <v>-1.3255176703663163E-2</v>
      </c>
      <c r="BR197" s="2252">
        <f>BR196/BH196-1</f>
        <v>-2.4976939012231414E-2</v>
      </c>
      <c r="BS197" s="2253">
        <f>BS196/BI196-1</f>
        <v>-2.8453672639481509E-2</v>
      </c>
      <c r="BT197" s="2252"/>
      <c r="BU197" s="2251">
        <f>BU196/BK196-1</f>
        <v>-3.3866254563432396E-2</v>
      </c>
      <c r="BV197" s="2252">
        <f>BV196/BL196-1</f>
        <v>-3.1051753902447965E-2</v>
      </c>
      <c r="BW197" s="2252">
        <f>BW196/BM196-1</f>
        <v>-3.3261788089750777E-2</v>
      </c>
      <c r="BX197" s="2253">
        <f>BX196/BN196-1</f>
        <v>-3.3328702395331589E-2</v>
      </c>
      <c r="BY197" s="2288"/>
      <c r="BZ197" s="2251"/>
      <c r="CA197" s="2252">
        <f>IF(OR(BZ196=0,CA196=0),"NM",CA196/BZ196-1)</f>
        <v>8.751176491171897E-2</v>
      </c>
      <c r="CB197" s="2241">
        <f>IF(OR(CA196=0,CB196=0),"NM",CB196/CA196-1)</f>
        <v>-4.3168842765770599E-3</v>
      </c>
      <c r="CC197" s="2247">
        <f>IF(OR(CB196=0,CC196=0),"NM",CC196/CB196-1)</f>
        <v>-0.16194460319666526</v>
      </c>
      <c r="CD197" s="2247">
        <f>IF(OR(CC196=0,CD196=0),"NM",CD196/CC196-1)</f>
        <v>4.9187003472941582E-2</v>
      </c>
      <c r="CE197" s="2242">
        <f>IF(OR(CD196=0,CE196=0),"NM",CE196/CD196-1)</f>
        <v>0.10089555556246199</v>
      </c>
      <c r="CF197" s="2242">
        <f t="shared" ref="CF197:CM197" si="390">CF196/CE196-1</f>
        <v>5.6576165363843245E-2</v>
      </c>
      <c r="CG197" s="2242">
        <f t="shared" si="390"/>
        <v>-2.1403460933715146E-2</v>
      </c>
      <c r="CH197" s="2242">
        <f t="shared" si="390"/>
        <v>0.17879395823118327</v>
      </c>
      <c r="CI197" s="2242">
        <f t="shared" si="390"/>
        <v>-7.0049054833999813E-2</v>
      </c>
      <c r="CJ197" s="2242">
        <f t="shared" si="390"/>
        <v>-0.18424516616316711</v>
      </c>
      <c r="CK197" s="2242">
        <f t="shared" si="390"/>
        <v>-5.5471072178676084E-2</v>
      </c>
      <c r="CL197" s="2242">
        <f t="shared" si="390"/>
        <v>1.4354294807710444E-2</v>
      </c>
      <c r="CM197" s="2242">
        <f t="shared" si="390"/>
        <v>-1.405452816223951E-3</v>
      </c>
      <c r="CN197" s="2240"/>
      <c r="CO197" s="2240"/>
      <c r="CP197" s="2288"/>
      <c r="CQ197" s="2239"/>
      <c r="CR197" s="2239"/>
      <c r="CS197" s="2270">
        <f>CS196/CR196-1</f>
        <v>0.15572226687798763</v>
      </c>
      <c r="CT197" s="2270">
        <f>CT196/CS196-1</f>
        <v>6.547817813543455E-2</v>
      </c>
      <c r="CU197" s="2241">
        <f>CU196/CT196-1</f>
        <v>-5.8368690440835813E-2</v>
      </c>
      <c r="CV197" s="2247">
        <f t="shared" ref="CV197:DE197" si="391">IF(OR(CU196=0,CV196=0),"NM",CV196/CU196-1)</f>
        <v>-0.16092612364421865</v>
      </c>
      <c r="CW197" s="2242">
        <f t="shared" si="391"/>
        <v>0.15871215604528932</v>
      </c>
      <c r="CX197" s="2242">
        <f t="shared" si="391"/>
        <v>7.3806176646720179E-2</v>
      </c>
      <c r="CY197" s="2242">
        <f t="shared" si="391"/>
        <v>4.3986242724700864E-2</v>
      </c>
      <c r="CZ197" s="2242">
        <f t="shared" si="391"/>
        <v>2.4294258239357935E-2</v>
      </c>
      <c r="DA197" s="2242">
        <f t="shared" si="391"/>
        <v>7.8967686594895836E-2</v>
      </c>
      <c r="DB197" s="2242">
        <f t="shared" si="391"/>
        <v>-0.14765787036416089</v>
      </c>
      <c r="DC197" s="2242">
        <f t="shared" si="391"/>
        <v>-0.13896103047676356</v>
      </c>
      <c r="DD197" s="2242">
        <f t="shared" si="391"/>
        <v>7.9870409736648718E-3</v>
      </c>
      <c r="DE197" s="2242">
        <f t="shared" si="391"/>
        <v>2.6293890446416057E-3</v>
      </c>
      <c r="DF197" s="2240"/>
    </row>
    <row r="198" spans="1:110" s="1715" customFormat="1" hidden="1" outlineLevel="2">
      <c r="A198" s="2284" t="s">
        <v>828</v>
      </c>
      <c r="B198" s="2239"/>
      <c r="C198" s="2239"/>
      <c r="D198" s="2239"/>
      <c r="E198" s="2239"/>
      <c r="F198" s="2294"/>
      <c r="G198" s="2294"/>
      <c r="H198" s="2294"/>
      <c r="I198" s="2294"/>
      <c r="J198" s="2294"/>
      <c r="K198" s="2294"/>
      <c r="L198" s="2295"/>
      <c r="M198" s="2294"/>
      <c r="N198" s="2294"/>
      <c r="O198" s="2296"/>
      <c r="P198" s="2297"/>
      <c r="Q198" s="2298"/>
      <c r="R198" s="2298"/>
      <c r="S198" s="2299"/>
      <c r="T198" s="2297"/>
      <c r="U198" s="2298"/>
      <c r="V198" s="2298"/>
      <c r="W198" s="2298"/>
      <c r="X198" s="2297"/>
      <c r="Y198" s="2298"/>
      <c r="Z198" s="2298"/>
      <c r="AA198" s="2299"/>
      <c r="AB198" s="2295">
        <f t="shared" ref="AB198:BI198" si="392">AB194-AB19</f>
        <v>42.955218446035772</v>
      </c>
      <c r="AC198" s="2294">
        <f t="shared" si="392"/>
        <v>46.53462340214061</v>
      </c>
      <c r="AD198" s="2294">
        <f t="shared" si="392"/>
        <v>40.26898966773615</v>
      </c>
      <c r="AE198" s="2296">
        <f t="shared" si="392"/>
        <v>43.468773903464253</v>
      </c>
      <c r="AF198" s="2295">
        <f t="shared" si="392"/>
        <v>45.277926782099961</v>
      </c>
      <c r="AG198" s="2294">
        <f t="shared" si="392"/>
        <v>43.504292575654873</v>
      </c>
      <c r="AH198" s="2294">
        <f t="shared" si="392"/>
        <v>41.226683464194643</v>
      </c>
      <c r="AI198" s="2296">
        <f t="shared" si="392"/>
        <v>43.68580017316647</v>
      </c>
      <c r="AJ198" s="2295">
        <f t="shared" si="392"/>
        <v>44.356581853159653</v>
      </c>
      <c r="AK198" s="2294">
        <f t="shared" si="392"/>
        <v>42.525949288303785</v>
      </c>
      <c r="AL198" s="2294">
        <f t="shared" si="392"/>
        <v>37.999210818458941</v>
      </c>
      <c r="AM198" s="2296">
        <f t="shared" si="392"/>
        <v>39.126369492050983</v>
      </c>
      <c r="AN198" s="2295">
        <f t="shared" si="392"/>
        <v>35.491408167501483</v>
      </c>
      <c r="AO198" s="2294">
        <f t="shared" si="392"/>
        <v>36.209052689613038</v>
      </c>
      <c r="AP198" s="2294">
        <f t="shared" si="392"/>
        <v>33.879249737477338</v>
      </c>
      <c r="AQ198" s="2296">
        <f t="shared" si="392"/>
        <v>35.440984202271117</v>
      </c>
      <c r="AR198" s="2295">
        <f t="shared" si="392"/>
        <v>32.746441193962504</v>
      </c>
      <c r="AS198" s="2294">
        <f t="shared" si="392"/>
        <v>31.796896306560001</v>
      </c>
      <c r="AT198" s="2294">
        <f t="shared" si="392"/>
        <v>25.596131240355593</v>
      </c>
      <c r="AU198" s="2296">
        <f t="shared" si="392"/>
        <v>26.04075456203876</v>
      </c>
      <c r="AV198" s="2295">
        <f t="shared" si="392"/>
        <v>26.397603177250009</v>
      </c>
      <c r="AW198" s="2294">
        <f t="shared" si="392"/>
        <v>26.856699310000003</v>
      </c>
      <c r="AX198" s="2294">
        <f t="shared" si="392"/>
        <v>23.149066461999993</v>
      </c>
      <c r="AY198" s="2296">
        <f t="shared" si="392"/>
        <v>24.431878257577992</v>
      </c>
      <c r="AZ198" s="2294"/>
      <c r="BA198" s="2295">
        <f t="shared" si="392"/>
        <v>26.523478522455662</v>
      </c>
      <c r="BB198" s="2294">
        <f t="shared" si="392"/>
        <v>26.632135329735426</v>
      </c>
      <c r="BC198" s="2598">
        <f t="shared" si="392"/>
        <v>22.691353524757861</v>
      </c>
      <c r="BD198" s="2296">
        <f t="shared" si="392"/>
        <v>24.027552597978321</v>
      </c>
      <c r="BE198" s="2294"/>
      <c r="BF198" s="2295">
        <f t="shared" si="392"/>
        <v>27.444361613206013</v>
      </c>
      <c r="BG198" s="2294">
        <f t="shared" si="392"/>
        <v>27.681088806205956</v>
      </c>
      <c r="BH198" s="2294">
        <f t="shared" si="392"/>
        <v>23.732688405734599</v>
      </c>
      <c r="BI198" s="2296">
        <f t="shared" si="392"/>
        <v>24.702759927917878</v>
      </c>
      <c r="BJ198" s="2294"/>
      <c r="BK198" s="2295">
        <f>BK194-BK19</f>
        <v>27.086812849590764</v>
      </c>
      <c r="BL198" s="2294">
        <f>BL194-BL19</f>
        <v>27.192893684205458</v>
      </c>
      <c r="BM198" s="2294">
        <f>BM194-BM19</f>
        <v>23.482113156237876</v>
      </c>
      <c r="BN198" s="2296">
        <f>BN194-BN19</f>
        <v>24.500339636195012</v>
      </c>
      <c r="BO198" s="2294"/>
      <c r="BP198" s="2295">
        <f>BP194-BP19</f>
        <v>26.484041562047043</v>
      </c>
      <c r="BQ198" s="2294">
        <f>BQ194-BQ19</f>
        <v>26.551721371791373</v>
      </c>
      <c r="BR198" s="2294">
        <f>BR194-BR19</f>
        <v>22.950271854013177</v>
      </c>
      <c r="BS198" s="2296">
        <f>BS194-BS19</f>
        <v>23.94471685156369</v>
      </c>
      <c r="BT198" s="2294"/>
      <c r="BU198" s="2295">
        <f>BU194-BU19</f>
        <v>25.912158218491449</v>
      </c>
      <c r="BV198" s="2294">
        <f>BV194-BV19</f>
        <v>25.958509627282353</v>
      </c>
      <c r="BW198" s="2294">
        <f>BW194-BW19</f>
        <v>22.454324725633946</v>
      </c>
      <c r="BX198" s="2296">
        <f>BX194-BX19</f>
        <v>23.429410317419094</v>
      </c>
      <c r="BY198" s="2244"/>
      <c r="BZ198" s="2295"/>
      <c r="CA198" s="2294"/>
      <c r="CB198" s="2297">
        <f t="shared" ref="CB198:CL198" si="393">CB194-CB19</f>
        <v>125.95165370324028</v>
      </c>
      <c r="CC198" s="2300">
        <f t="shared" si="393"/>
        <v>139.38024050640533</v>
      </c>
      <c r="CD198" s="2300">
        <f t="shared" si="393"/>
        <v>182.07663423175282</v>
      </c>
      <c r="CE198" s="2299">
        <f t="shared" si="393"/>
        <v>173.2276054193768</v>
      </c>
      <c r="CF198" s="2299">
        <f t="shared" si="393"/>
        <v>173.69470299511596</v>
      </c>
      <c r="CG198" s="2299">
        <f t="shared" si="393"/>
        <v>164.00811145197335</v>
      </c>
      <c r="CH198" s="2299">
        <f t="shared" si="393"/>
        <v>141.02069479686298</v>
      </c>
      <c r="CI198" s="2299">
        <f t="shared" si="393"/>
        <v>116.18022330291684</v>
      </c>
      <c r="CJ198" s="2299">
        <f t="shared" si="393"/>
        <v>100.83524720682799</v>
      </c>
      <c r="CK198" s="2299">
        <f t="shared" si="393"/>
        <v>99.874519974927267</v>
      </c>
      <c r="CL198" s="2299">
        <f t="shared" si="393"/>
        <v>103.56089875306445</v>
      </c>
      <c r="CM198" s="2299">
        <f>CM194-CM19</f>
        <v>103.0406332273941</v>
      </c>
      <c r="CN198" s="2298"/>
      <c r="CO198" s="2298"/>
      <c r="CP198" s="2244"/>
      <c r="CQ198" s="2258"/>
      <c r="CR198" s="2453"/>
      <c r="CS198" s="2453"/>
      <c r="CT198" s="2300"/>
      <c r="CU198" s="2297"/>
      <c r="CV198" s="2300"/>
      <c r="CW198" s="2299"/>
      <c r="CX198" s="2299">
        <f t="shared" ref="CX198:DD198" si="394">CX194-CX19</f>
        <v>172.51998292895527</v>
      </c>
      <c r="CY198" s="2299">
        <f t="shared" si="394"/>
        <v>171.79501477882454</v>
      </c>
      <c r="CZ198" s="2299">
        <f t="shared" si="394"/>
        <v>148.82604116762445</v>
      </c>
      <c r="DA198" s="2299">
        <f t="shared" si="394"/>
        <v>133.86357144027096</v>
      </c>
      <c r="DB198" s="2299">
        <f t="shared" si="394"/>
        <v>104.89118828964436</v>
      </c>
      <c r="DC198" s="2299">
        <f t="shared" si="394"/>
        <v>100.73655857176908</v>
      </c>
      <c r="DD198" s="2299">
        <f t="shared" si="394"/>
        <v>101.84435654214816</v>
      </c>
      <c r="DE198" s="2299">
        <f>DE194-DE19</f>
        <v>102.58266892552101</v>
      </c>
      <c r="DF198" s="2298"/>
    </row>
    <row r="199" spans="1:110" s="1715" customFormat="1" hidden="1" outlineLevel="2">
      <c r="A199" s="2454" t="s">
        <v>300</v>
      </c>
      <c r="B199" s="2455"/>
      <c r="C199" s="2455"/>
      <c r="D199" s="2455"/>
      <c r="E199" s="2455"/>
      <c r="F199" s="2455"/>
      <c r="G199" s="2455"/>
      <c r="H199" s="2455"/>
      <c r="I199" s="2455"/>
      <c r="J199" s="2455"/>
      <c r="K199" s="2455"/>
      <c r="L199" s="2456"/>
      <c r="M199" s="2457"/>
      <c r="N199" s="2457"/>
      <c r="O199" s="2458"/>
      <c r="P199" s="2459"/>
      <c r="Q199" s="2460"/>
      <c r="R199" s="2460"/>
      <c r="S199" s="2419"/>
      <c r="T199" s="2459"/>
      <c r="U199" s="2460"/>
      <c r="V199" s="2460"/>
      <c r="W199" s="2460"/>
      <c r="X199" s="2459"/>
      <c r="Y199" s="2460"/>
      <c r="Z199" s="2460"/>
      <c r="AA199" s="2419"/>
      <c r="AB199" s="2456"/>
      <c r="AC199" s="2457"/>
      <c r="AD199" s="2457"/>
      <c r="AE199" s="2458"/>
      <c r="AF199" s="2456">
        <f>AF198/AB198-1</f>
        <v>5.4072786033719789E-2</v>
      </c>
      <c r="AG199" s="2457">
        <f>AG198/AC198-1</f>
        <v>-6.5119917277472572E-2</v>
      </c>
      <c r="AH199" s="2457">
        <f>AH198/AD198-1</f>
        <v>2.3782414318326062E-2</v>
      </c>
      <c r="AI199" s="2458">
        <f>AI198/AE198-1</f>
        <v>4.9926936099966568E-3</v>
      </c>
      <c r="AJ199" s="2456">
        <f t="shared" ref="AJ199:AY199" si="395">AJ198/AB198-1</f>
        <v>3.2623822152933579E-2</v>
      </c>
      <c r="AK199" s="2457">
        <f t="shared" si="395"/>
        <v>-8.6143903630526153E-2</v>
      </c>
      <c r="AL199" s="2457">
        <f t="shared" si="395"/>
        <v>-5.6365428286267005E-2</v>
      </c>
      <c r="AM199" s="2458">
        <f t="shared" si="395"/>
        <v>-9.989709903152344E-2</v>
      </c>
      <c r="AN199" s="2456">
        <f t="shared" si="395"/>
        <v>-0.21614325809783874</v>
      </c>
      <c r="AO199" s="2457">
        <f t="shared" si="395"/>
        <v>-0.16769011640300224</v>
      </c>
      <c r="AP199" s="2457">
        <f t="shared" si="395"/>
        <v>-0.17822034443053247</v>
      </c>
      <c r="AQ199" s="2458">
        <f t="shared" si="395"/>
        <v>-0.18872988335371366</v>
      </c>
      <c r="AR199" s="2456">
        <f t="shared" si="395"/>
        <v>-0.26174561190562351</v>
      </c>
      <c r="AS199" s="2457">
        <f t="shared" si="395"/>
        <v>-0.2522942617695938</v>
      </c>
      <c r="AT199" s="2457">
        <f t="shared" si="395"/>
        <v>-0.32640360973176541</v>
      </c>
      <c r="AU199" s="2458">
        <f t="shared" si="395"/>
        <v>-0.33444490505746338</v>
      </c>
      <c r="AV199" s="2456">
        <f t="shared" si="395"/>
        <v>-0.25622553343990517</v>
      </c>
      <c r="AW199" s="2457">
        <f t="shared" si="395"/>
        <v>-0.25828771218573909</v>
      </c>
      <c r="AX199" s="2457">
        <f t="shared" si="395"/>
        <v>-0.31671844443495989</v>
      </c>
      <c r="AY199" s="2458">
        <f t="shared" si="395"/>
        <v>-0.31063206038131541</v>
      </c>
      <c r="AZ199" s="2457"/>
      <c r="BA199" s="2456">
        <f>BA198/AR198-1</f>
        <v>-0.1900347776617074</v>
      </c>
      <c r="BB199" s="2457">
        <f>BB198/AS198-1</f>
        <v>-0.1624297204051024</v>
      </c>
      <c r="BC199" s="2599">
        <f>BC198/AT198-1</f>
        <v>-0.11348502976176245</v>
      </c>
      <c r="BD199" s="2458">
        <f>BD198/AU198-1</f>
        <v>-7.7309663176781007E-2</v>
      </c>
      <c r="BE199" s="2457"/>
      <c r="BF199" s="2456">
        <f>BF198/AV198-1</f>
        <v>3.9653540850940638E-2</v>
      </c>
      <c r="BG199" s="2457">
        <f>BG198/AW198-1</f>
        <v>3.0695860525905783E-2</v>
      </c>
      <c r="BH199" s="2457">
        <f>BH198/AX198-1</f>
        <v>2.5211467801202314E-2</v>
      </c>
      <c r="BI199" s="2458">
        <f>BI198/AY198-1</f>
        <v>1.1087222500213212E-2</v>
      </c>
      <c r="BJ199" s="2457"/>
      <c r="BK199" s="2456">
        <f>BK198/BA198-1</f>
        <v>2.1239081693533057E-2</v>
      </c>
      <c r="BL199" s="2457">
        <f>BL198/BB198-1</f>
        <v>2.1055703852778551E-2</v>
      </c>
      <c r="BM199" s="2457">
        <f>BM198/BC198-1</f>
        <v>3.4848499919462261E-2</v>
      </c>
      <c r="BN199" s="2458">
        <f>BN198/BD198-1</f>
        <v>1.967687038822552E-2</v>
      </c>
      <c r="BO199" s="2457"/>
      <c r="BP199" s="2456">
        <f>BP198/BF198-1</f>
        <v>-3.4991524477540503E-2</v>
      </c>
      <c r="BQ199" s="2457">
        <f>BQ198/BG198-1</f>
        <v>-4.07992417610894E-2</v>
      </c>
      <c r="BR199" s="2457">
        <f>BR198/BH198-1</f>
        <v>-3.2967885405361996E-2</v>
      </c>
      <c r="BS199" s="2458">
        <f>BS198/BI198-1</f>
        <v>-3.068657423567811E-2</v>
      </c>
      <c r="BT199" s="2457"/>
      <c r="BU199" s="2456">
        <f>BU198/BK198-1</f>
        <v>-4.3366291841790527E-2</v>
      </c>
      <c r="BV199" s="2457">
        <f>BV198/BL198-1</f>
        <v>-4.5393626410567545E-2</v>
      </c>
      <c r="BW199" s="2457">
        <f>BW198/BM198-1</f>
        <v>-4.3768992328993339E-2</v>
      </c>
      <c r="BX199" s="2458">
        <f>BX198/BN198-1</f>
        <v>-4.3710794816648413E-2</v>
      </c>
      <c r="BY199" s="2244"/>
      <c r="BZ199" s="2456"/>
      <c r="CA199" s="2457" t="str">
        <f>IF(OR(BZ198=0,CA198=0),"NM",CA198/BZ198-1)</f>
        <v>NM</v>
      </c>
      <c r="CB199" s="2459" t="str">
        <f>IF(OR(CA198=0,CB198=0),"NM",CB198/CA198-1)</f>
        <v>NM</v>
      </c>
      <c r="CC199" s="2418">
        <f>IF(OR(CB198=0,CC198=0),"NM",CC198/CB198-1)</f>
        <v>0.10661699476217024</v>
      </c>
      <c r="CD199" s="2418">
        <f>IF(OR(CC198=0,CD198=0),"NM",CD198/CC198-1)</f>
        <v>0.30633032035401997</v>
      </c>
      <c r="CE199" s="2419">
        <f>IF(OR(CD198=0,CE198=0),"NM",CE198/CD198-1)</f>
        <v>-4.8600573322948759E-2</v>
      </c>
      <c r="CF199" s="2419">
        <f t="shared" ref="CF199:CM199" si="396">CF198/CE198-1</f>
        <v>2.6964384493357585E-3</v>
      </c>
      <c r="CG199" s="2419">
        <f t="shared" si="396"/>
        <v>-5.5767915636523391E-2</v>
      </c>
      <c r="CH199" s="2419">
        <f t="shared" si="396"/>
        <v>-0.14016024239046121</v>
      </c>
      <c r="CI199" s="2419">
        <f t="shared" si="396"/>
        <v>-0.17614770321283879</v>
      </c>
      <c r="CJ199" s="2419">
        <f t="shared" si="396"/>
        <v>-0.13207907215051462</v>
      </c>
      <c r="CK199" s="2419">
        <f t="shared" si="396"/>
        <v>-9.5276925332480333E-3</v>
      </c>
      <c r="CL199" s="2419">
        <f t="shared" si="396"/>
        <v>3.6910102587352833E-2</v>
      </c>
      <c r="CM199" s="2419">
        <f t="shared" si="396"/>
        <v>-5.0237641033890057E-3</v>
      </c>
      <c r="CN199" s="2240"/>
      <c r="CO199" s="2240"/>
      <c r="CP199" s="2244"/>
      <c r="CQ199" s="2258"/>
      <c r="CR199" s="2258"/>
      <c r="CS199" s="2461"/>
      <c r="CT199" s="2461"/>
      <c r="CU199" s="2459"/>
      <c r="CV199" s="2418"/>
      <c r="CW199" s="2419"/>
      <c r="CX199" s="2419"/>
      <c r="CY199" s="2419">
        <f t="shared" ref="CY199:DE199" si="397">CY198/CX198-1</f>
        <v>-4.2022271149266821E-3</v>
      </c>
      <c r="CZ199" s="2419">
        <f t="shared" si="397"/>
        <v>-0.13369988436958558</v>
      </c>
      <c r="DA199" s="2419">
        <f t="shared" si="397"/>
        <v>-0.10053663733822693</v>
      </c>
      <c r="DB199" s="2462">
        <f t="shared" si="397"/>
        <v>-0.21643216925191544</v>
      </c>
      <c r="DC199" s="2419">
        <f t="shared" si="397"/>
        <v>-3.9608948908108177E-2</v>
      </c>
      <c r="DD199" s="2419">
        <f t="shared" si="397"/>
        <v>1.0996980501272846E-2</v>
      </c>
      <c r="DE199" s="2419">
        <f t="shared" si="397"/>
        <v>7.2494187055647252E-3</v>
      </c>
      <c r="DF199" s="2240"/>
    </row>
    <row r="200" spans="1:110" s="1715" customFormat="1" hidden="1" outlineLevel="1">
      <c r="A200" s="2463"/>
      <c r="B200" s="2258"/>
      <c r="C200" s="2258"/>
      <c r="D200" s="2258"/>
      <c r="E200" s="2258"/>
      <c r="F200" s="2258"/>
      <c r="G200" s="2258"/>
      <c r="H200" s="2258"/>
      <c r="I200" s="2258"/>
      <c r="J200" s="2258"/>
      <c r="K200" s="2258"/>
      <c r="L200" s="2258"/>
      <c r="M200" s="2258"/>
      <c r="N200" s="2258"/>
      <c r="O200" s="2258"/>
      <c r="P200" s="2244"/>
      <c r="Q200" s="2244"/>
      <c r="R200" s="2244"/>
      <c r="S200" s="2244"/>
      <c r="T200" s="2244"/>
      <c r="U200" s="2244"/>
      <c r="V200" s="2244"/>
      <c r="W200" s="2244"/>
      <c r="X200" s="2244"/>
      <c r="Y200" s="2244"/>
      <c r="Z200" s="2244"/>
      <c r="AA200" s="2244"/>
      <c r="AB200" s="2464"/>
      <c r="AC200" s="2464"/>
      <c r="AD200" s="2464"/>
      <c r="AE200" s="2464"/>
      <c r="AF200" s="2464"/>
      <c r="AG200" s="2464"/>
      <c r="AH200" s="2464"/>
      <c r="AI200" s="2464"/>
      <c r="AJ200" s="2464"/>
      <c r="AK200" s="2464"/>
      <c r="AL200" s="2464"/>
      <c r="AM200" s="2464"/>
      <c r="AN200" s="2258"/>
      <c r="AO200" s="2258"/>
      <c r="AP200" s="2258"/>
      <c r="AQ200" s="2258"/>
      <c r="AR200" s="2258"/>
      <c r="AS200" s="2258"/>
      <c r="AT200" s="2258"/>
      <c r="AU200" s="2258"/>
      <c r="AV200" s="2258"/>
      <c r="AW200" s="2258"/>
      <c r="AX200" s="2258"/>
      <c r="AY200" s="2258"/>
      <c r="AZ200" s="2258"/>
      <c r="BA200" s="2258"/>
      <c r="BB200" s="2258"/>
      <c r="BC200" s="239"/>
      <c r="BD200" s="2258"/>
      <c r="BE200" s="2258"/>
      <c r="BF200" s="2258"/>
      <c r="BG200" s="2258"/>
      <c r="BH200" s="2258"/>
      <c r="BI200" s="2258"/>
      <c r="BJ200" s="2258"/>
      <c r="BK200" s="2258"/>
      <c r="BL200" s="2258"/>
      <c r="BM200" s="2258"/>
      <c r="BN200" s="2258"/>
      <c r="BO200" s="2258"/>
      <c r="BP200" s="2258"/>
      <c r="BQ200" s="2258"/>
      <c r="BR200" s="2258"/>
      <c r="BS200" s="2258"/>
      <c r="BT200" s="2258"/>
      <c r="BU200" s="2258"/>
      <c r="BV200" s="2258"/>
      <c r="BW200" s="2258"/>
      <c r="BX200" s="2258"/>
      <c r="BY200" s="2244"/>
      <c r="BZ200" s="2258"/>
      <c r="CA200" s="2258"/>
      <c r="CB200" s="2244"/>
      <c r="CC200" s="2244"/>
      <c r="CD200" s="2244"/>
      <c r="CE200" s="2288"/>
      <c r="CF200" s="2288"/>
      <c r="CG200" s="2288"/>
      <c r="CH200" s="2288"/>
      <c r="CI200" s="2288"/>
      <c r="CJ200" s="2288"/>
      <c r="CK200" s="2288"/>
      <c r="CL200" s="2288"/>
      <c r="CM200" s="2288"/>
      <c r="CN200" s="2288"/>
      <c r="CO200" s="2288"/>
      <c r="CP200" s="2288"/>
      <c r="CQ200" s="2258"/>
      <c r="CR200" s="2258"/>
      <c r="CS200" s="2258"/>
      <c r="CT200" s="2244"/>
      <c r="CU200" s="2244"/>
      <c r="CV200" s="2244"/>
      <c r="CW200" s="2244"/>
      <c r="CX200" s="2258"/>
      <c r="CY200" s="2258"/>
      <c r="CZ200" s="2258"/>
      <c r="DA200" s="2258"/>
      <c r="DB200" s="2258"/>
      <c r="DC200" s="2258"/>
      <c r="DD200" s="2258"/>
      <c r="DE200" s="2258"/>
      <c r="DF200" s="2258"/>
    </row>
    <row r="201" spans="1:110" s="1715" customFormat="1" hidden="1" outlineLevel="1">
      <c r="A201" s="2444" t="s">
        <v>804</v>
      </c>
      <c r="B201" s="2445"/>
      <c r="C201" s="2445"/>
      <c r="D201" s="2445"/>
      <c r="E201" s="2445"/>
      <c r="F201" s="2446"/>
      <c r="G201" s="2446"/>
      <c r="H201" s="2446"/>
      <c r="I201" s="2446"/>
      <c r="J201" s="2446"/>
      <c r="K201" s="2446"/>
      <c r="L201" s="2447"/>
      <c r="M201" s="2446"/>
      <c r="N201" s="2446"/>
      <c r="O201" s="2448"/>
      <c r="P201" s="2449"/>
      <c r="Q201" s="2450"/>
      <c r="R201" s="2450"/>
      <c r="S201" s="2451"/>
      <c r="T201" s="2449"/>
      <c r="U201" s="2450"/>
      <c r="V201" s="2450"/>
      <c r="W201" s="2451"/>
      <c r="X201" s="2449"/>
      <c r="Y201" s="2450"/>
      <c r="Z201" s="2450"/>
      <c r="AA201" s="2451"/>
      <c r="AB201" s="2447"/>
      <c r="AC201" s="2446"/>
      <c r="AD201" s="2446"/>
      <c r="AE201" s="2448"/>
      <c r="AF201" s="2447"/>
      <c r="AG201" s="2446"/>
      <c r="AH201" s="2446"/>
      <c r="AI201" s="2448"/>
      <c r="AJ201" s="2447"/>
      <c r="AK201" s="2446">
        <f t="shared" ref="AK201:AU201" si="398">AK162+AK150+AK144</f>
        <v>26.39809651303306</v>
      </c>
      <c r="AL201" s="2446">
        <f t="shared" si="398"/>
        <v>27.973858379986829</v>
      </c>
      <c r="AM201" s="2448">
        <f t="shared" si="398"/>
        <v>27.72225987436439</v>
      </c>
      <c r="AN201" s="2447">
        <f t="shared" si="398"/>
        <v>34.74117553778315</v>
      </c>
      <c r="AO201" s="2446">
        <f t="shared" si="398"/>
        <v>47.967781236873726</v>
      </c>
      <c r="AP201" s="2446">
        <f t="shared" si="398"/>
        <v>40.034924688830188</v>
      </c>
      <c r="AQ201" s="2448">
        <f t="shared" si="398"/>
        <v>39.852156422271122</v>
      </c>
      <c r="AR201" s="2447">
        <f>AR162+AR150+AR144</f>
        <v>41.419856240500003</v>
      </c>
      <c r="AS201" s="2446">
        <f t="shared" si="398"/>
        <v>41.28049304839999</v>
      </c>
      <c r="AT201" s="2446">
        <f t="shared" si="398"/>
        <v>32.780009685259508</v>
      </c>
      <c r="AU201" s="2448">
        <f t="shared" si="398"/>
        <v>30.210099588992492</v>
      </c>
      <c r="AV201" s="2447">
        <f t="shared" ref="AV201:BI201" si="399">AV162+AV150+AV144</f>
        <v>32.190201474412689</v>
      </c>
      <c r="AW201" s="2446">
        <f t="shared" si="399"/>
        <v>34.036132782909469</v>
      </c>
      <c r="AX201" s="2446">
        <f t="shared" si="399"/>
        <v>26.901067647227492</v>
      </c>
      <c r="AY201" s="2448">
        <f t="shared" si="399"/>
        <v>26.692304128347601</v>
      </c>
      <c r="AZ201" s="2446"/>
      <c r="BA201" s="2447">
        <f t="shared" si="399"/>
        <v>30.144069000904594</v>
      </c>
      <c r="BB201" s="2446">
        <f t="shared" si="399"/>
        <v>34.041820681420646</v>
      </c>
      <c r="BC201" s="2597">
        <f t="shared" si="399"/>
        <v>26.601820201920795</v>
      </c>
      <c r="BD201" s="2448">
        <f t="shared" si="399"/>
        <v>27.852120252117331</v>
      </c>
      <c r="BE201" s="2446"/>
      <c r="BF201" s="2447">
        <f t="shared" si="399"/>
        <v>30.190744765293552</v>
      </c>
      <c r="BG201" s="2446">
        <f t="shared" si="399"/>
        <v>33.862719744075761</v>
      </c>
      <c r="BH201" s="2446">
        <f t="shared" si="399"/>
        <v>26.321461545671394</v>
      </c>
      <c r="BI201" s="2448">
        <f t="shared" si="399"/>
        <v>27.125556310955375</v>
      </c>
      <c r="BJ201" s="2446"/>
      <c r="BK201" s="2447">
        <f>BK162+BK150+BK144</f>
        <v>30.048732357198453</v>
      </c>
      <c r="BL201" s="2446">
        <f>BL162+BL150+BL144</f>
        <v>33.663929351463679</v>
      </c>
      <c r="BM201" s="2446">
        <f>BM162+BM150+BM144</f>
        <v>26.178686616027203</v>
      </c>
      <c r="BN201" s="2448">
        <f>BN162+BN150+BN144</f>
        <v>26.972690786363604</v>
      </c>
      <c r="BO201" s="2446"/>
      <c r="BP201" s="2447">
        <f>BP162+BP150+BP144</f>
        <v>29.692526103302193</v>
      </c>
      <c r="BQ201" s="2446">
        <f>BQ162+BQ150+BQ144</f>
        <v>33.413335138012854</v>
      </c>
      <c r="BR201" s="2446">
        <f>BR162+BR150+BR144</f>
        <v>25.943034551714092</v>
      </c>
      <c r="BS201" s="2448">
        <f>BS162+BS150+BS144</f>
        <v>26.753211552723112</v>
      </c>
      <c r="BT201" s="2446"/>
      <c r="BU201" s="2447">
        <f>BU162+BU150+BU144</f>
        <v>29.465653949189605</v>
      </c>
      <c r="BV201" s="2446">
        <f>BV162+BV150+BV144</f>
        <v>33.285740757628176</v>
      </c>
      <c r="BW201" s="2446">
        <f>BW162+BW150+BW144</f>
        <v>25.745405958931784</v>
      </c>
      <c r="BX201" s="2448">
        <f>BX162+BX150+BX144</f>
        <v>26.534775122654125</v>
      </c>
      <c r="BY201" s="2244"/>
      <c r="BZ201" s="2447">
        <f>BZ77+BZ119+BZ89+BZ95+BZ101+BZ83</f>
        <v>0</v>
      </c>
      <c r="CA201" s="2446">
        <f>CA77+CA119+CA89+CA95+CA101+CA83</f>
        <v>0</v>
      </c>
      <c r="CB201" s="2449">
        <f t="shared" ref="CB201:CH201" si="400">CB162+CB150+CB144</f>
        <v>0</v>
      </c>
      <c r="CC201" s="2452">
        <f t="shared" si="400"/>
        <v>0</v>
      </c>
      <c r="CD201" s="2452">
        <f t="shared" si="400"/>
        <v>0</v>
      </c>
      <c r="CE201" s="2451">
        <f t="shared" si="400"/>
        <v>0</v>
      </c>
      <c r="CF201" s="2451">
        <f t="shared" si="400"/>
        <v>0</v>
      </c>
      <c r="CG201" s="2451">
        <f t="shared" si="400"/>
        <v>82.094214767384287</v>
      </c>
      <c r="CH201" s="2451">
        <f t="shared" si="400"/>
        <v>162.59603788575819</v>
      </c>
      <c r="CI201" s="2451">
        <f>CI162+CI150+CI144</f>
        <v>145.69045856315196</v>
      </c>
      <c r="CJ201" s="2451">
        <f>CJ162+CJ150+CJ144</f>
        <v>119.81970603289724</v>
      </c>
      <c r="CK201" s="2451">
        <f>CK162+CK150+CK144</f>
        <v>118.63983013636337</v>
      </c>
      <c r="CL201" s="2451">
        <f>CL162+CL150+CL144</f>
        <v>117.50048236599609</v>
      </c>
      <c r="CM201" s="2451">
        <f>CM162+CM150+CM144</f>
        <v>117.35846995790098</v>
      </c>
      <c r="CN201" s="2298"/>
      <c r="CO201" s="2298"/>
      <c r="CP201" s="2244"/>
      <c r="CQ201" s="2258">
        <f>CQ77+CQ119+CQ89+CQ95+CQ101+CQ83+CQ125+CQ131+CQ137+CQ143</f>
        <v>0</v>
      </c>
      <c r="CR201" s="2449">
        <f>CR77+CR119+CR89+CR95+CR101+CR83+CR125+CR131+CR137+CR143</f>
        <v>0</v>
      </c>
      <c r="CS201" s="2449">
        <f>CS77+CS119+CS89+CS95+CS101+CS83+CS125+CS131+CS137+CS143</f>
        <v>0</v>
      </c>
      <c r="CT201" s="2300">
        <f>CT77+CT119+CT89+CT95+CT101+CT83+CT125+CT131+CT137+CT143</f>
        <v>0</v>
      </c>
      <c r="CU201" s="2449">
        <f t="shared" ref="CU201:DA201" si="401">CU162+CU150+CU144</f>
        <v>0</v>
      </c>
      <c r="CV201" s="2452">
        <f t="shared" si="401"/>
        <v>0</v>
      </c>
      <c r="CW201" s="2451">
        <f t="shared" si="401"/>
        <v>0</v>
      </c>
      <c r="CX201" s="2451">
        <f t="shared" si="401"/>
        <v>0</v>
      </c>
      <c r="CY201" s="2451">
        <f t="shared" si="401"/>
        <v>26.39809651303306</v>
      </c>
      <c r="CZ201" s="2451">
        <f t="shared" si="401"/>
        <v>138.40507502900812</v>
      </c>
      <c r="DA201" s="2451">
        <f t="shared" si="401"/>
        <v>162.58743040000132</v>
      </c>
      <c r="DB201" s="2451">
        <f>DB162+DB150+DB144</f>
        <v>129.21644353157416</v>
      </c>
      <c r="DC201" s="2451">
        <f>DC162+DC150+DC144</f>
        <v>117.77926145790033</v>
      </c>
      <c r="DD201" s="2451">
        <f>DD162+DD150+DD144</f>
        <v>118.50740496340745</v>
      </c>
      <c r="DE201" s="2451">
        <f>DE162+DE150+DE144</f>
        <v>118.22704630715805</v>
      </c>
      <c r="DF201" s="2298"/>
    </row>
    <row r="202" spans="1:110" s="1715" customFormat="1" hidden="1" outlineLevel="1">
      <c r="A202" s="2454" t="s">
        <v>300</v>
      </c>
      <c r="B202" s="2455"/>
      <c r="C202" s="2455"/>
      <c r="D202" s="2455"/>
      <c r="E202" s="2455"/>
      <c r="F202" s="2455"/>
      <c r="G202" s="2455"/>
      <c r="H202" s="2455"/>
      <c r="I202" s="2455"/>
      <c r="J202" s="2455"/>
      <c r="K202" s="2455"/>
      <c r="L202" s="2456"/>
      <c r="M202" s="2457"/>
      <c r="N202" s="2457"/>
      <c r="O202" s="2458"/>
      <c r="P202" s="2459"/>
      <c r="Q202" s="2460"/>
      <c r="R202" s="2460"/>
      <c r="S202" s="2419"/>
      <c r="T202" s="2459"/>
      <c r="U202" s="2460"/>
      <c r="V202" s="2460"/>
      <c r="W202" s="2419"/>
      <c r="X202" s="2459"/>
      <c r="Y202" s="2460"/>
      <c r="Z202" s="2460"/>
      <c r="AA202" s="2419"/>
      <c r="AB202" s="2456"/>
      <c r="AC202" s="2457"/>
      <c r="AD202" s="2457"/>
      <c r="AE202" s="2458"/>
      <c r="AF202" s="2456"/>
      <c r="AG202" s="2457"/>
      <c r="AH202" s="2457"/>
      <c r="AI202" s="2458"/>
      <c r="AJ202" s="2456"/>
      <c r="AK202" s="2457" t="str">
        <f t="shared" ref="AK202:AU202" si="402">IF(OR(AK201=0,AG201=0),"NM",AK201/AG201-1)</f>
        <v>NM</v>
      </c>
      <c r="AL202" s="2457" t="str">
        <f t="shared" si="402"/>
        <v>NM</v>
      </c>
      <c r="AM202" s="2458" t="str">
        <f t="shared" si="402"/>
        <v>NM</v>
      </c>
      <c r="AN202" s="2456" t="str">
        <f t="shared" si="402"/>
        <v>NM</v>
      </c>
      <c r="AO202" s="2457">
        <f t="shared" si="402"/>
        <v>0.81709242608426136</v>
      </c>
      <c r="AP202" s="2457">
        <f t="shared" si="402"/>
        <v>0.43115490702105408</v>
      </c>
      <c r="AQ202" s="2458">
        <f t="shared" si="402"/>
        <v>0.43755078420297222</v>
      </c>
      <c r="AR202" s="2456">
        <f t="shared" si="402"/>
        <v>0.19224106839601274</v>
      </c>
      <c r="AS202" s="2457">
        <f t="shared" si="402"/>
        <v>-0.1394120806933028</v>
      </c>
      <c r="AT202" s="2457">
        <f t="shared" si="402"/>
        <v>-0.18121465345468257</v>
      </c>
      <c r="AU202" s="2458">
        <f t="shared" si="402"/>
        <v>-0.24194567368229614</v>
      </c>
      <c r="AV202" s="2456">
        <f t="shared" ref="AV202:AY202" si="403">IF(OR(AV201=0,AR201=0),"NM",AV201/AR201-1)</f>
        <v>-0.22283164655367949</v>
      </c>
      <c r="AW202" s="2457">
        <f t="shared" si="403"/>
        <v>-0.17549112741935402</v>
      </c>
      <c r="AX202" s="2457">
        <f t="shared" si="403"/>
        <v>-0.17934534170304572</v>
      </c>
      <c r="AY202" s="2458">
        <f t="shared" si="403"/>
        <v>-0.11644435167392342</v>
      </c>
      <c r="AZ202" s="2457"/>
      <c r="BA202" s="2456">
        <f>IF(OR(BA201=0,AV201=0),"NM",BA201/AV201-1)</f>
        <v>-6.3563829357654811E-2</v>
      </c>
      <c r="BB202" s="2457">
        <f>IF(OR(BB201=0,AW201=0),"NM",BB201/AW201-1)</f>
        <v>1.6711353629550452E-4</v>
      </c>
      <c r="BC202" s="2599">
        <f>IF(OR(BC201=0,AX201=0),"NM",BC201/AX201-1)</f>
        <v>-1.1123998840155247E-2</v>
      </c>
      <c r="BD202" s="2458">
        <f>IF(OR(BD201=0,AY201=0),"NM",BD201/AY201-1)</f>
        <v>4.3451330323259318E-2</v>
      </c>
      <c r="BE202" s="2457"/>
      <c r="BF202" s="2456">
        <f>IF(OR(BF201=0,BA201=0),"NM",BF201/BA201-1)</f>
        <v>1.5484228220004059E-3</v>
      </c>
      <c r="BG202" s="2457">
        <f>IF(OR(BG201=0,BB201=0),"NM",BG201/BB201-1)</f>
        <v>-5.2612032423586808E-3</v>
      </c>
      <c r="BH202" s="2457">
        <f>IF(OR(BH201=0,BC201=0),"NM",BH201/BC201-1)</f>
        <v>-1.0539077932312235E-2</v>
      </c>
      <c r="BI202" s="2458">
        <f>IF(OR(BI201=0,BD201=0),"NM",BI201/BD201-1)</f>
        <v>-2.608648586122353E-2</v>
      </c>
      <c r="BJ202" s="2457"/>
      <c r="BK202" s="2456">
        <f>IF(OR(BK201=0,BF201=0),"NM",BK201/BF201-1)</f>
        <v>-4.7038391798254198E-3</v>
      </c>
      <c r="BL202" s="2457">
        <f>IF(OR(BL201=0,BG201=0),"NM",BL201/BG201-1)</f>
        <v>-5.8704792206438761E-3</v>
      </c>
      <c r="BM202" s="2457">
        <f>IF(OR(BM201=0,BH201=0),"NM",BM201/BH201-1)</f>
        <v>-5.424278184418263E-3</v>
      </c>
      <c r="BN202" s="2458">
        <f>IF(OR(BN201=0,BI201=0),"NM",BN201/BI201-1)</f>
        <v>-5.6354797977002935E-3</v>
      </c>
      <c r="BO202" s="2457"/>
      <c r="BP202" s="2456">
        <f>IF(OR(BP201=0,BK201=0),"NM",BP201/BK201-1)</f>
        <v>-1.1854285553943744E-2</v>
      </c>
      <c r="BQ202" s="2457">
        <f>IF(OR(BQ201=0,BL201=0),"NM",BQ201/BL201-1)</f>
        <v>-7.4439977233355936E-3</v>
      </c>
      <c r="BR202" s="2457">
        <f>IF(OR(BR201=0,BM201=0),"NM",BR201/BM201-1)</f>
        <v>-9.0016763548725898E-3</v>
      </c>
      <c r="BS202" s="2458">
        <f>IF(OR(BS201=0,BN201=0),"NM",BS201/BN201-1)</f>
        <v>-8.137090784856027E-3</v>
      </c>
      <c r="BT202" s="2457"/>
      <c r="BU202" s="2456">
        <f>IF(OR(BU201=0,BP201=0),"NM",BU201/BP201-1)</f>
        <v>-7.6407158260393127E-3</v>
      </c>
      <c r="BV202" s="2457">
        <f>IF(OR(BV201=0,BQ201=0),"NM",BV201/BQ201-1)</f>
        <v>-3.8186664054232766E-3</v>
      </c>
      <c r="BW202" s="2457">
        <f>IF(OR(BW201=0,BR201=0),"NM",BW201/BR201-1)</f>
        <v>-7.6177901389431479E-3</v>
      </c>
      <c r="BX202" s="2458">
        <f>IF(OR(BX201=0,BS201=0),"NM",BX201/BS201-1)</f>
        <v>-8.1648675949992366E-3</v>
      </c>
      <c r="BY202" s="2244"/>
      <c r="BZ202" s="2251"/>
      <c r="CA202" s="2252" t="str">
        <f>IF(OR(BZ201=0,CA201=0),"NM",CA201/BZ201-1)</f>
        <v>NM</v>
      </c>
      <c r="CB202" s="2459" t="str">
        <f t="shared" ref="CB202:CM202" si="404">IF(OR(CB201=0,BY201=0),"NM",CB201/BY201-1)</f>
        <v>NM</v>
      </c>
      <c r="CC202" s="2459" t="str">
        <f t="shared" si="404"/>
        <v>NM</v>
      </c>
      <c r="CD202" s="2418" t="str">
        <f t="shared" si="404"/>
        <v>NM</v>
      </c>
      <c r="CE202" s="2419" t="str">
        <f t="shared" si="404"/>
        <v>NM</v>
      </c>
      <c r="CF202" s="2419" t="str">
        <f t="shared" si="404"/>
        <v>NM</v>
      </c>
      <c r="CG202" s="2419" t="str">
        <f t="shared" si="404"/>
        <v>NM</v>
      </c>
      <c r="CH202" s="2419" t="str">
        <f t="shared" si="404"/>
        <v>NM</v>
      </c>
      <c r="CI202" s="2419" t="str">
        <f t="shared" si="404"/>
        <v>NM</v>
      </c>
      <c r="CJ202" s="2419">
        <f t="shared" si="404"/>
        <v>0.45953897448692271</v>
      </c>
      <c r="CK202" s="2419">
        <f t="shared" si="404"/>
        <v>-0.27033996843317265</v>
      </c>
      <c r="CL202" s="2419">
        <f t="shared" si="404"/>
        <v>-0.19349226075046266</v>
      </c>
      <c r="CM202" s="2419">
        <f t="shared" si="404"/>
        <v>-2.0541162689220016E-2</v>
      </c>
      <c r="CN202" s="2240"/>
      <c r="CO202" s="2240"/>
      <c r="CP202" s="2244"/>
      <c r="CQ202" s="2258"/>
      <c r="CR202" s="2258"/>
      <c r="CS202" s="2248"/>
      <c r="CT202" s="2248"/>
      <c r="CU202" s="2241"/>
      <c r="CV202" s="2247"/>
      <c r="CW202" s="2242"/>
      <c r="CX202" s="2242"/>
      <c r="CY202" s="2242"/>
      <c r="CZ202" s="2242">
        <f t="shared" ref="CZ202:DE202" si="405">CZ201/CY201-1</f>
        <v>4.2429945076030711</v>
      </c>
      <c r="DA202" s="2242">
        <f t="shared" si="405"/>
        <v>0.17472159431960765</v>
      </c>
      <c r="DB202" s="2242">
        <f t="shared" si="405"/>
        <v>-0.20524948814509891</v>
      </c>
      <c r="DC202" s="2242">
        <f t="shared" si="405"/>
        <v>-8.851181599715785E-2</v>
      </c>
      <c r="DD202" s="2242">
        <f t="shared" si="405"/>
        <v>6.1822726386120408E-3</v>
      </c>
      <c r="DE202" s="2242">
        <f t="shared" si="405"/>
        <v>-2.3657479997639674E-3</v>
      </c>
      <c r="DF202" s="2240"/>
    </row>
    <row r="203" spans="1:110" s="1715" customFormat="1" hidden="1" outlineLevel="1">
      <c r="A203" s="2463"/>
      <c r="B203" s="2258"/>
      <c r="C203" s="2258"/>
      <c r="D203" s="2258"/>
      <c r="E203" s="2258"/>
      <c r="F203" s="2258"/>
      <c r="G203" s="2258"/>
      <c r="H203" s="2258"/>
      <c r="I203" s="2258"/>
      <c r="J203" s="2258"/>
      <c r="K203" s="2258"/>
      <c r="L203" s="2258"/>
      <c r="M203" s="2258"/>
      <c r="N203" s="2258"/>
      <c r="O203" s="2258"/>
      <c r="P203" s="2244"/>
      <c r="Q203" s="2244"/>
      <c r="R203" s="2244"/>
      <c r="S203" s="2244"/>
      <c r="T203" s="2244"/>
      <c r="U203" s="2244"/>
      <c r="V203" s="2244"/>
      <c r="W203" s="2244"/>
      <c r="X203" s="2244"/>
      <c r="Y203" s="2244"/>
      <c r="Z203" s="2244"/>
      <c r="AA203" s="2244"/>
      <c r="AB203" s="2464"/>
      <c r="AC203" s="2464"/>
      <c r="AD203" s="2464"/>
      <c r="AE203" s="2464"/>
      <c r="AF203" s="2464"/>
      <c r="AG203" s="2464"/>
      <c r="AH203" s="2464"/>
      <c r="AI203" s="2464"/>
      <c r="AJ203" s="2464"/>
      <c r="AK203" s="2465"/>
      <c r="AL203" s="2464"/>
      <c r="AM203" s="2464"/>
      <c r="AN203" s="2466"/>
      <c r="AO203" s="2258"/>
      <c r="AP203" s="2258"/>
      <c r="AQ203" s="2258"/>
      <c r="AR203" s="2258"/>
      <c r="AS203" s="2258"/>
      <c r="AT203" s="2258"/>
      <c r="AU203" s="2258"/>
      <c r="AV203" s="2258"/>
      <c r="AW203" s="2258"/>
      <c r="AX203" s="2258"/>
      <c r="AY203" s="2258"/>
      <c r="AZ203" s="2258"/>
      <c r="BA203" s="2258"/>
      <c r="BB203" s="2258"/>
      <c r="BC203" s="239"/>
      <c r="BD203" s="2258"/>
      <c r="BE203" s="2258"/>
      <c r="BF203" s="2258"/>
      <c r="BG203" s="2258"/>
      <c r="BH203" s="2258"/>
      <c r="BI203" s="2258"/>
      <c r="BJ203" s="2258"/>
      <c r="BK203" s="2258"/>
      <c r="BL203" s="2258"/>
      <c r="BM203" s="2258"/>
      <c r="BN203" s="2258"/>
      <c r="BO203" s="2258"/>
      <c r="BP203" s="2258"/>
      <c r="BQ203" s="2258"/>
      <c r="BR203" s="2258"/>
      <c r="BS203" s="2258"/>
      <c r="BT203" s="2258"/>
      <c r="BU203" s="2258"/>
      <c r="BV203" s="2258"/>
      <c r="BW203" s="2258"/>
      <c r="BX203" s="2258"/>
      <c r="BY203" s="2244"/>
      <c r="BZ203" s="2258"/>
      <c r="CA203" s="2258"/>
      <c r="CB203" s="2244"/>
      <c r="CC203" s="2244"/>
      <c r="CD203" s="2244"/>
      <c r="CE203" s="2288"/>
      <c r="CF203" s="2288"/>
      <c r="CG203" s="2288"/>
      <c r="CH203" s="2288"/>
      <c r="CI203" s="2288"/>
      <c r="CJ203" s="2288"/>
      <c r="CK203" s="2288"/>
      <c r="CL203" s="2288"/>
      <c r="CM203" s="2288"/>
      <c r="CN203" s="2288"/>
      <c r="CO203" s="2288"/>
      <c r="CP203" s="2288"/>
      <c r="CQ203" s="2258"/>
      <c r="CR203" s="2258"/>
      <c r="CS203" s="2258"/>
      <c r="CT203" s="2244"/>
      <c r="CU203" s="2244"/>
      <c r="CV203" s="2244"/>
      <c r="CW203" s="2244"/>
      <c r="CX203" s="2258"/>
      <c r="CY203" s="2258"/>
      <c r="CZ203" s="2258"/>
      <c r="DA203" s="2258"/>
      <c r="DB203" s="2258"/>
      <c r="DC203" s="2258"/>
      <c r="DD203" s="2258"/>
      <c r="DE203" s="2258"/>
      <c r="DF203" s="2258"/>
    </row>
    <row r="204" spans="1:110" s="1715" customFormat="1" hidden="1" outlineLevel="1">
      <c r="A204" s="2249"/>
      <c r="B204" s="2249"/>
      <c r="C204" s="2249"/>
      <c r="D204" s="2249"/>
      <c r="E204" s="2249"/>
      <c r="F204" s="2249"/>
      <c r="G204" s="2249"/>
      <c r="H204" s="2249"/>
      <c r="I204" s="2249"/>
      <c r="J204" s="2249"/>
      <c r="K204" s="2249"/>
      <c r="L204" s="2249"/>
      <c r="M204" s="2249"/>
      <c r="N204" s="2249"/>
      <c r="O204" s="2249"/>
      <c r="P204" s="2249"/>
      <c r="Q204" s="2249"/>
      <c r="R204" s="2249"/>
      <c r="S204" s="2249"/>
      <c r="T204" s="2249"/>
      <c r="U204" s="2249"/>
      <c r="V204" s="2249"/>
      <c r="W204" s="2249"/>
      <c r="X204" s="2249"/>
      <c r="Y204" s="2249"/>
      <c r="Z204" s="2249"/>
      <c r="AA204" s="2249"/>
      <c r="AB204" s="2249"/>
      <c r="AC204" s="2249"/>
      <c r="AD204" s="2249"/>
      <c r="AE204" s="2249"/>
      <c r="AF204" s="2249"/>
      <c r="AG204" s="2249"/>
      <c r="AH204" s="2249"/>
      <c r="AI204" s="2249"/>
      <c r="AJ204" s="2249"/>
      <c r="AK204" s="2249"/>
      <c r="AL204" s="2249"/>
      <c r="AM204" s="2249"/>
      <c r="AN204" s="2249"/>
      <c r="AO204" s="2249"/>
      <c r="AP204" s="2249"/>
      <c r="AQ204" s="2249"/>
      <c r="AR204" s="2249"/>
      <c r="AS204" s="2249"/>
      <c r="AT204" s="2249"/>
      <c r="AU204" s="2249"/>
      <c r="AV204" s="2249"/>
      <c r="AW204" s="2249"/>
      <c r="AX204" s="2249"/>
      <c r="AY204" s="2249"/>
      <c r="AZ204" s="2249"/>
      <c r="BA204" s="2249"/>
      <c r="BB204" s="2249"/>
      <c r="BC204" s="1343"/>
      <c r="BD204" s="2249"/>
      <c r="BE204" s="2249"/>
      <c r="BF204" s="2249"/>
      <c r="BG204" s="2249"/>
      <c r="BH204" s="2249"/>
      <c r="BI204" s="2249"/>
      <c r="BJ204" s="2249"/>
      <c r="BK204" s="2249"/>
      <c r="BL204" s="2249"/>
      <c r="BM204" s="2249"/>
      <c r="BN204" s="2249"/>
      <c r="BO204" s="2249"/>
      <c r="BP204" s="2249"/>
      <c r="BQ204" s="2249"/>
      <c r="BR204" s="2249"/>
      <c r="BS204" s="2249"/>
      <c r="BT204" s="2249"/>
      <c r="BU204" s="2249"/>
      <c r="BV204" s="2249"/>
      <c r="BW204" s="2249"/>
      <c r="BX204" s="2249"/>
      <c r="BY204" s="2249"/>
      <c r="BZ204" s="2249"/>
      <c r="CA204" s="2249"/>
      <c r="CB204" s="2249"/>
      <c r="CC204" s="2249"/>
      <c r="CD204" s="2249"/>
      <c r="CE204" s="2249"/>
      <c r="CF204" s="2249"/>
      <c r="CG204" s="2249"/>
      <c r="CH204" s="2249"/>
      <c r="CI204" s="2249"/>
      <c r="CJ204" s="2249"/>
      <c r="CK204" s="2249"/>
      <c r="CL204" s="2249"/>
      <c r="CM204" s="2249"/>
      <c r="CN204" s="2249"/>
      <c r="CO204" s="2249"/>
      <c r="CP204" s="2249"/>
      <c r="CQ204" s="2249"/>
      <c r="CR204" s="2249"/>
      <c r="CS204" s="2249"/>
      <c r="CT204" s="2249"/>
      <c r="CU204" s="2249"/>
      <c r="CV204" s="2249"/>
      <c r="CW204" s="2249"/>
      <c r="CX204" s="2249"/>
      <c r="CY204" s="2249"/>
      <c r="CZ204" s="2249"/>
      <c r="DA204" s="2249"/>
      <c r="DB204" s="2249"/>
      <c r="DC204" s="2249"/>
      <c r="DD204" s="2249"/>
      <c r="DE204" s="2249"/>
      <c r="DF204" s="2249"/>
    </row>
    <row r="205" spans="1:110" s="1715" customFormat="1" hidden="1" outlineLevel="1">
      <c r="A205" s="2249"/>
      <c r="B205" s="2249"/>
      <c r="C205" s="2249"/>
      <c r="D205" s="2249"/>
      <c r="E205" s="2249"/>
      <c r="F205" s="2249"/>
      <c r="G205" s="2249"/>
      <c r="H205" s="2249"/>
      <c r="I205" s="2249"/>
      <c r="J205" s="2249"/>
      <c r="K205" s="2249"/>
      <c r="L205" s="2249"/>
      <c r="M205" s="2249"/>
      <c r="N205" s="2249"/>
      <c r="O205" s="2249"/>
      <c r="P205" s="2249"/>
      <c r="Q205" s="2249"/>
      <c r="R205" s="2249"/>
      <c r="S205" s="2249"/>
      <c r="T205" s="2249"/>
      <c r="U205" s="2249"/>
      <c r="V205" s="2249"/>
      <c r="W205" s="2249"/>
      <c r="X205" s="2249"/>
      <c r="Y205" s="2249"/>
      <c r="Z205" s="2249"/>
      <c r="AA205" s="2249"/>
      <c r="AB205" s="2249"/>
      <c r="AC205" s="2249"/>
      <c r="AD205" s="2249"/>
      <c r="AE205" s="2249"/>
      <c r="AF205" s="2249"/>
      <c r="AG205" s="2249"/>
      <c r="AH205" s="2249"/>
      <c r="AI205" s="2249"/>
      <c r="AJ205" s="2249"/>
      <c r="AK205" s="2249"/>
      <c r="AL205" s="2249"/>
      <c r="AM205" s="2249"/>
      <c r="AN205" s="2249"/>
      <c r="AO205" s="2249"/>
      <c r="AP205" s="2249"/>
      <c r="AQ205" s="2249"/>
      <c r="AR205" s="2249"/>
      <c r="AS205" s="2249"/>
      <c r="AT205" s="2249"/>
      <c r="AU205" s="2249"/>
      <c r="AV205" s="2249"/>
      <c r="AW205" s="2249"/>
      <c r="AX205" s="2249"/>
      <c r="AY205" s="2249"/>
      <c r="AZ205" s="2249"/>
      <c r="BA205" s="2249"/>
      <c r="BB205" s="2249"/>
      <c r="BC205" s="1343"/>
      <c r="BD205" s="2249"/>
      <c r="BE205" s="2249"/>
      <c r="BF205" s="2249"/>
      <c r="BG205" s="2249"/>
      <c r="BH205" s="2249"/>
      <c r="BI205" s="2249"/>
      <c r="BJ205" s="2249"/>
      <c r="BK205" s="2249"/>
      <c r="BL205" s="2249"/>
      <c r="BM205" s="2249"/>
      <c r="BN205" s="2249"/>
      <c r="BO205" s="2249"/>
      <c r="BP205" s="2249"/>
      <c r="BQ205" s="2249"/>
      <c r="BR205" s="2249"/>
      <c r="BS205" s="2249"/>
      <c r="BT205" s="2249"/>
      <c r="BU205" s="2249"/>
      <c r="BV205" s="2249"/>
      <c r="BW205" s="2249"/>
      <c r="BX205" s="2249"/>
      <c r="BY205" s="2249"/>
      <c r="BZ205" s="2249"/>
      <c r="CA205" s="2249"/>
      <c r="CB205" s="2249"/>
      <c r="CC205" s="2249"/>
      <c r="CD205" s="2249"/>
      <c r="CE205" s="2249"/>
      <c r="CF205" s="2249"/>
      <c r="CG205" s="2249"/>
      <c r="CH205" s="2249"/>
      <c r="CI205" s="2249"/>
      <c r="CJ205" s="2249"/>
      <c r="CK205" s="2249"/>
      <c r="CL205" s="2249"/>
      <c r="CM205" s="2249"/>
      <c r="CN205" s="2249"/>
      <c r="CO205" s="2249"/>
      <c r="CP205" s="2249"/>
      <c r="CQ205" s="2249"/>
      <c r="CR205" s="2249"/>
      <c r="CS205" s="2249"/>
      <c r="CT205" s="2249"/>
      <c r="CU205" s="2249"/>
      <c r="CV205" s="2249"/>
      <c r="CW205" s="2249"/>
      <c r="CX205" s="2249"/>
      <c r="CY205" s="2249"/>
      <c r="CZ205" s="2249"/>
      <c r="DA205" s="2249"/>
      <c r="DB205" s="2249"/>
      <c r="DC205" s="2249"/>
      <c r="DD205" s="2249"/>
      <c r="DE205" s="2249"/>
      <c r="DF205" s="2249"/>
    </row>
    <row r="206" spans="1:110" s="1715" customFormat="1" hidden="1" outlineLevel="1">
      <c r="A206" s="2249"/>
      <c r="B206" s="2249"/>
      <c r="C206" s="2249"/>
      <c r="D206" s="2249"/>
      <c r="E206" s="2249"/>
      <c r="F206" s="2249"/>
      <c r="G206" s="2249"/>
      <c r="H206" s="2249"/>
      <c r="I206" s="2249"/>
      <c r="J206" s="2249"/>
      <c r="K206" s="2249"/>
      <c r="L206" s="2249"/>
      <c r="M206" s="2249"/>
      <c r="N206" s="2249"/>
      <c r="O206" s="2249"/>
      <c r="P206" s="2249"/>
      <c r="Q206" s="2249"/>
      <c r="R206" s="2249"/>
      <c r="S206" s="2249"/>
      <c r="T206" s="2249"/>
      <c r="U206" s="2249"/>
      <c r="V206" s="2249"/>
      <c r="W206" s="2249"/>
      <c r="X206" s="2249"/>
      <c r="Y206" s="2249"/>
      <c r="Z206" s="2249"/>
      <c r="AA206" s="2249"/>
      <c r="AB206" s="2249"/>
      <c r="AC206" s="2249"/>
      <c r="AD206" s="2249"/>
      <c r="AE206" s="2249"/>
      <c r="AF206" s="2249"/>
      <c r="AG206" s="2249"/>
      <c r="AH206" s="2249"/>
      <c r="AI206" s="2249"/>
      <c r="AJ206" s="2249"/>
      <c r="AK206" s="2249"/>
      <c r="AL206" s="2249"/>
      <c r="AM206" s="2249"/>
      <c r="AN206" s="2249"/>
      <c r="AO206" s="2249"/>
      <c r="AP206" s="2249"/>
      <c r="AQ206" s="2249"/>
      <c r="AR206" s="2249"/>
      <c r="AS206" s="2249"/>
      <c r="AT206" s="2249"/>
      <c r="AU206" s="2249"/>
      <c r="AV206" s="2249"/>
      <c r="AW206" s="2249"/>
      <c r="AX206" s="2249"/>
      <c r="AY206" s="2249"/>
      <c r="AZ206" s="2249"/>
      <c r="BA206" s="2249"/>
      <c r="BB206" s="2249"/>
      <c r="BC206" s="1343"/>
      <c r="BD206" s="2249"/>
      <c r="BE206" s="2249"/>
      <c r="BF206" s="2249"/>
      <c r="BG206" s="2249"/>
      <c r="BH206" s="2249"/>
      <c r="BI206" s="2249"/>
      <c r="BJ206" s="2249"/>
      <c r="BK206" s="2249"/>
      <c r="BL206" s="2249"/>
      <c r="BM206" s="2249"/>
      <c r="BN206" s="2249"/>
      <c r="BO206" s="2249"/>
      <c r="BP206" s="2249"/>
      <c r="BQ206" s="2249"/>
      <c r="BR206" s="2249"/>
      <c r="BS206" s="2249"/>
      <c r="BT206" s="2249"/>
      <c r="BU206" s="2249"/>
      <c r="BV206" s="2249"/>
      <c r="BW206" s="2249"/>
      <c r="BX206" s="2249"/>
      <c r="BY206" s="2249"/>
      <c r="BZ206" s="2249"/>
      <c r="CA206" s="2249"/>
      <c r="CB206" s="2249"/>
      <c r="CC206" s="2249"/>
      <c r="CD206" s="2249"/>
      <c r="CE206" s="2249"/>
      <c r="CF206" s="2249"/>
      <c r="CG206" s="2249"/>
      <c r="CH206" s="2249"/>
      <c r="CI206" s="2249"/>
      <c r="CJ206" s="2249"/>
      <c r="CK206" s="2249"/>
      <c r="CL206" s="2249"/>
      <c r="CM206" s="2249"/>
      <c r="CN206" s="2249"/>
      <c r="CO206" s="2249"/>
      <c r="CP206" s="2249"/>
      <c r="CQ206" s="2249"/>
      <c r="CR206" s="2249"/>
      <c r="CS206" s="2249"/>
      <c r="CT206" s="2249"/>
      <c r="CU206" s="2249"/>
      <c r="CV206" s="2249"/>
      <c r="CW206" s="2249"/>
      <c r="CX206" s="2249"/>
      <c r="CY206" s="2249"/>
      <c r="CZ206" s="2249"/>
      <c r="DA206" s="2249"/>
      <c r="DB206" s="2249"/>
      <c r="DC206" s="2249"/>
      <c r="DD206" s="2249"/>
      <c r="DE206" s="2249"/>
      <c r="DF206" s="2249"/>
    </row>
    <row r="207" spans="1:110" s="1715" customFormat="1" hidden="1" outlineLevel="1">
      <c r="A207" s="2249"/>
      <c r="B207" s="2249"/>
      <c r="C207" s="2249"/>
      <c r="D207" s="2249"/>
      <c r="E207" s="2249"/>
      <c r="F207" s="2249"/>
      <c r="G207" s="2249"/>
      <c r="H207" s="2249"/>
      <c r="I207" s="2249"/>
      <c r="J207" s="2249"/>
      <c r="K207" s="2249"/>
      <c r="L207" s="2249"/>
      <c r="M207" s="2249"/>
      <c r="N207" s="2249"/>
      <c r="O207" s="2249"/>
      <c r="P207" s="2249"/>
      <c r="Q207" s="2249"/>
      <c r="R207" s="2249"/>
      <c r="S207" s="2249"/>
      <c r="T207" s="2249"/>
      <c r="U207" s="2249"/>
      <c r="V207" s="2249"/>
      <c r="W207" s="2249"/>
      <c r="X207" s="2249"/>
      <c r="Y207" s="2249"/>
      <c r="Z207" s="2249"/>
      <c r="AA207" s="2249"/>
      <c r="AB207" s="2249"/>
      <c r="AC207" s="2249"/>
      <c r="AD207" s="2249"/>
      <c r="AE207" s="2249"/>
      <c r="AF207" s="2249"/>
      <c r="AG207" s="2249"/>
      <c r="AH207" s="2249"/>
      <c r="AI207" s="2249"/>
      <c r="AJ207" s="2249"/>
      <c r="AK207" s="2249"/>
      <c r="AL207" s="2249"/>
      <c r="AM207" s="2249"/>
      <c r="AN207" s="2249"/>
      <c r="AO207" s="2249"/>
      <c r="AP207" s="2249"/>
      <c r="AQ207" s="2249"/>
      <c r="AR207" s="2249"/>
      <c r="AS207" s="2249"/>
      <c r="AT207" s="2249"/>
      <c r="AU207" s="2249"/>
      <c r="AV207" s="2249"/>
      <c r="AW207" s="2249"/>
      <c r="AX207" s="2249"/>
      <c r="AY207" s="2249"/>
      <c r="AZ207" s="2249"/>
      <c r="BA207" s="2249"/>
      <c r="BB207" s="2249"/>
      <c r="BC207" s="1343"/>
      <c r="BD207" s="2249"/>
      <c r="BE207" s="2249"/>
      <c r="BF207" s="2249"/>
      <c r="BG207" s="2249"/>
      <c r="BH207" s="2249"/>
      <c r="BI207" s="2249"/>
      <c r="BJ207" s="2249"/>
      <c r="BK207" s="2249"/>
      <c r="BL207" s="2249"/>
      <c r="BM207" s="2249"/>
      <c r="BN207" s="2249"/>
      <c r="BO207" s="2249"/>
      <c r="BP207" s="2249"/>
      <c r="BQ207" s="2249"/>
      <c r="BR207" s="2249"/>
      <c r="BS207" s="2249"/>
      <c r="BT207" s="2249"/>
      <c r="BU207" s="2249"/>
      <c r="BV207" s="2249"/>
      <c r="BW207" s="2249"/>
      <c r="BX207" s="2249"/>
      <c r="BY207" s="2249"/>
      <c r="BZ207" s="2249"/>
      <c r="CA207" s="2249"/>
      <c r="CB207" s="2249"/>
      <c r="CC207" s="2249"/>
      <c r="CD207" s="2249"/>
      <c r="CE207" s="2249"/>
      <c r="CF207" s="2249"/>
      <c r="CG207" s="2249"/>
      <c r="CH207" s="2249"/>
      <c r="CI207" s="2249"/>
      <c r="CJ207" s="2249"/>
      <c r="CK207" s="2249"/>
      <c r="CL207" s="2249"/>
      <c r="CM207" s="2249"/>
      <c r="CN207" s="2249"/>
      <c r="CO207" s="2249"/>
      <c r="CP207" s="2249"/>
      <c r="CQ207" s="2249"/>
      <c r="CR207" s="2249"/>
      <c r="CS207" s="2249"/>
      <c r="CT207" s="2249"/>
      <c r="CU207" s="2249"/>
      <c r="CV207" s="2249"/>
      <c r="CW207" s="2249"/>
      <c r="CX207" s="2249"/>
      <c r="CY207" s="2249"/>
      <c r="CZ207" s="2249"/>
      <c r="DA207" s="2249"/>
      <c r="DB207" s="2249"/>
      <c r="DC207" s="2249"/>
      <c r="DD207" s="2249"/>
      <c r="DE207" s="2249"/>
      <c r="DF207" s="2249"/>
    </row>
    <row r="208" spans="1:110" s="1715" customFormat="1" hidden="1" outlineLevel="1">
      <c r="A208" s="2463"/>
      <c r="B208" s="2258"/>
      <c r="C208" s="2258"/>
      <c r="D208" s="2258"/>
      <c r="E208" s="2258"/>
      <c r="F208" s="2258"/>
      <c r="G208" s="2258"/>
      <c r="H208" s="2258"/>
      <c r="I208" s="2258"/>
      <c r="J208" s="2258"/>
      <c r="K208" s="2258"/>
      <c r="L208" s="2258"/>
      <c r="M208" s="2258"/>
      <c r="N208" s="2258"/>
      <c r="O208" s="2258"/>
      <c r="P208" s="2244"/>
      <c r="Q208" s="2244"/>
      <c r="R208" s="2244"/>
      <c r="S208" s="2244"/>
      <c r="T208" s="2244"/>
      <c r="U208" s="2244"/>
      <c r="V208" s="2244"/>
      <c r="W208" s="2244"/>
      <c r="X208" s="2244"/>
      <c r="Y208" s="2244"/>
      <c r="Z208" s="2244"/>
      <c r="AA208" s="2244"/>
      <c r="AB208" s="2464"/>
      <c r="AC208" s="2464"/>
      <c r="AD208" s="2464"/>
      <c r="AE208" s="2464"/>
      <c r="AF208" s="2464"/>
      <c r="AG208" s="2464"/>
      <c r="AH208" s="2464"/>
      <c r="AI208" s="2464"/>
      <c r="AJ208" s="2467"/>
      <c r="AK208" s="2467"/>
      <c r="AL208" s="2467"/>
      <c r="AM208" s="2467"/>
      <c r="AN208" s="2467"/>
      <c r="AO208" s="2467"/>
      <c r="AP208" s="2467"/>
      <c r="AQ208" s="2467"/>
      <c r="AR208" s="2467"/>
      <c r="AS208" s="2467"/>
      <c r="AT208" s="2467"/>
      <c r="AU208" s="2467"/>
      <c r="AV208" s="2258"/>
      <c r="AW208" s="2453"/>
      <c r="AX208" s="2467"/>
      <c r="AY208" s="2258"/>
      <c r="AZ208" s="2258"/>
      <c r="BA208" s="2258"/>
      <c r="BB208" s="2453"/>
      <c r="BC208" s="239"/>
      <c r="BD208" s="2258"/>
      <c r="BE208" s="2258"/>
      <c r="BF208" s="2258"/>
      <c r="BG208" s="2453"/>
      <c r="BH208" s="2258"/>
      <c r="BI208" s="2258"/>
      <c r="BJ208" s="2258"/>
      <c r="BK208" s="2258"/>
      <c r="BL208" s="2453"/>
      <c r="BM208" s="2258"/>
      <c r="BN208" s="2258"/>
      <c r="BO208" s="2258"/>
      <c r="BP208" s="2258"/>
      <c r="BQ208" s="2453"/>
      <c r="BR208" s="2258"/>
      <c r="BS208" s="2258"/>
      <c r="BT208" s="2258"/>
      <c r="BU208" s="2258"/>
      <c r="BV208" s="2453"/>
      <c r="BW208" s="2258"/>
      <c r="BX208" s="2258"/>
      <c r="BY208" s="2244"/>
      <c r="BZ208" s="2258"/>
      <c r="CA208" s="2258"/>
      <c r="CB208" s="2244"/>
      <c r="CC208" s="2244"/>
      <c r="CD208" s="2244"/>
      <c r="CE208" s="2288"/>
      <c r="CF208" s="2288"/>
      <c r="CG208" s="2288">
        <f>CF176/CF187</f>
        <v>0.18085886232736476</v>
      </c>
      <c r="CH208" s="2288"/>
      <c r="CI208" s="2288"/>
      <c r="CJ208" s="2288"/>
      <c r="CK208" s="2288"/>
      <c r="CL208" s="2288"/>
      <c r="CM208" s="2288"/>
      <c r="CN208" s="2288"/>
      <c r="CO208" s="2288"/>
      <c r="CP208" s="2288"/>
      <c r="CQ208" s="2258"/>
      <c r="CR208" s="2258"/>
      <c r="CS208" s="2258"/>
      <c r="CT208" s="2244"/>
      <c r="CU208" s="2244"/>
      <c r="CV208" s="2244"/>
      <c r="CW208" s="2244"/>
      <c r="CX208" s="2258"/>
      <c r="CY208" s="2258"/>
      <c r="CZ208" s="2258"/>
      <c r="DA208" s="2258"/>
      <c r="DB208" s="2258"/>
      <c r="DC208" s="2258"/>
      <c r="DD208" s="2258"/>
      <c r="DE208" s="2258"/>
      <c r="DF208" s="2258"/>
    </row>
    <row r="209" spans="1:110" s="1715" customFormat="1" hidden="1" outlineLevel="2">
      <c r="A209" s="2431" t="s">
        <v>301</v>
      </c>
      <c r="B209" s="2258"/>
      <c r="C209" s="2258"/>
      <c r="D209" s="2258"/>
      <c r="E209" s="2258"/>
      <c r="F209" s="2258"/>
      <c r="G209" s="2258"/>
      <c r="H209" s="2258"/>
      <c r="I209" s="2258"/>
      <c r="J209" s="2258"/>
      <c r="K209" s="2258"/>
      <c r="L209" s="2258"/>
      <c r="M209" s="2258"/>
      <c r="N209" s="2258"/>
      <c r="O209" s="2258"/>
      <c r="P209" s="2258"/>
      <c r="Q209" s="2258"/>
      <c r="R209" s="2258"/>
      <c r="S209" s="2258"/>
      <c r="T209" s="2258"/>
      <c r="U209" s="2258"/>
      <c r="V209" s="2258"/>
      <c r="W209" s="2258"/>
      <c r="X209" s="2258"/>
      <c r="Y209" s="2437"/>
      <c r="Z209" s="2258"/>
      <c r="AA209" s="2258"/>
      <c r="AB209" s="2464"/>
      <c r="AC209" s="2464"/>
      <c r="AD209" s="2464"/>
      <c r="AE209" s="2464"/>
      <c r="AF209" s="2464"/>
      <c r="AG209" s="2437"/>
      <c r="AH209" s="2437"/>
      <c r="AI209" s="2464"/>
      <c r="AJ209" s="2468"/>
      <c r="AK209" s="2468"/>
      <c r="AL209" s="2468"/>
      <c r="AM209" s="2468"/>
      <c r="AN209" s="2468"/>
      <c r="AO209" s="2468"/>
      <c r="AP209" s="2468"/>
      <c r="AQ209" s="2468"/>
      <c r="AR209" s="2468"/>
      <c r="AS209" s="2468"/>
      <c r="AT209" s="2468"/>
      <c r="AU209" s="2468"/>
      <c r="AV209" s="2468"/>
      <c r="AW209" s="2468"/>
      <c r="AX209" s="2468"/>
      <c r="AY209" s="2468"/>
      <c r="AZ209" s="2468"/>
      <c r="BA209" s="2468"/>
      <c r="BB209" s="2468"/>
      <c r="BC209" s="2618"/>
      <c r="BD209" s="2453"/>
      <c r="BE209" s="2453"/>
      <c r="BF209" s="2453"/>
      <c r="BG209" s="2453"/>
      <c r="BH209" s="2453"/>
      <c r="BI209" s="2453"/>
      <c r="BJ209" s="2453"/>
      <c r="BK209" s="2453"/>
      <c r="BL209" s="2453"/>
      <c r="BM209" s="2453"/>
      <c r="BN209" s="2453"/>
      <c r="BO209" s="2453"/>
      <c r="BP209" s="2453"/>
      <c r="BQ209" s="2453"/>
      <c r="BR209" s="2453"/>
      <c r="BS209" s="2453"/>
      <c r="BT209" s="2453"/>
      <c r="BU209" s="2453"/>
      <c r="BV209" s="2453"/>
      <c r="BW209" s="2453"/>
      <c r="BX209" s="2453"/>
      <c r="BY209" s="2258"/>
      <c r="BZ209" s="2258"/>
      <c r="CA209" s="2258"/>
      <c r="CB209" s="2258"/>
      <c r="CC209" s="2258"/>
      <c r="CD209" s="2442"/>
      <c r="CE209" s="2258"/>
      <c r="CF209" s="2258"/>
      <c r="CG209" s="2258"/>
      <c r="CH209" s="2258"/>
      <c r="CI209" s="2258"/>
      <c r="CJ209" s="2258"/>
      <c r="CK209" s="2258"/>
      <c r="CL209" s="2258"/>
      <c r="CM209" s="2258"/>
      <c r="CN209" s="2258"/>
      <c r="CO209" s="2258"/>
      <c r="CP209" s="2258"/>
      <c r="CQ209" s="2258"/>
      <c r="CR209" s="2258"/>
      <c r="CS209" s="2258"/>
      <c r="CT209" s="2258"/>
      <c r="CU209" s="2258"/>
      <c r="CV209" s="2258"/>
      <c r="CW209" s="2258"/>
      <c r="CX209" s="2258"/>
      <c r="CY209" s="2258"/>
      <c r="CZ209" s="2258"/>
      <c r="DA209" s="2258"/>
      <c r="DB209" s="2258"/>
      <c r="DC209" s="2258"/>
      <c r="DD209" s="2258"/>
      <c r="DE209" s="2258"/>
      <c r="DF209" s="2258"/>
    </row>
    <row r="210" spans="1:110" s="1715" customFormat="1" hidden="1" outlineLevel="2">
      <c r="A210" s="2249" t="s">
        <v>302</v>
      </c>
      <c r="B210" s="2258"/>
      <c r="C210" s="2258"/>
      <c r="D210" s="2258"/>
      <c r="E210" s="2258"/>
      <c r="F210" s="2258">
        <v>50</v>
      </c>
      <c r="G210" s="2258">
        <v>50</v>
      </c>
      <c r="H210" s="2469">
        <v>50.196710000000003</v>
      </c>
      <c r="I210" s="2469">
        <v>49.906660000000002</v>
      </c>
      <c r="J210" s="2469">
        <v>49.13955</v>
      </c>
      <c r="K210" s="2469">
        <v>50.15155</v>
      </c>
      <c r="L210" s="2469">
        <v>47.7</v>
      </c>
      <c r="M210" s="2469">
        <v>47</v>
      </c>
      <c r="N210" s="2392">
        <f t="shared" ref="N210:S210" si="406">N214</f>
        <v>48</v>
      </c>
      <c r="O210" s="2392">
        <f t="shared" si="406"/>
        <v>50.040750000000003</v>
      </c>
      <c r="P210" s="2392">
        <f t="shared" si="406"/>
        <v>47.249760000000002</v>
      </c>
      <c r="Q210" s="2392">
        <f t="shared" si="406"/>
        <v>45.897359999999999</v>
      </c>
      <c r="R210" s="2392">
        <f t="shared" si="406"/>
        <v>47.326459999999997</v>
      </c>
      <c r="S210" s="2392">
        <f t="shared" si="406"/>
        <v>48.770710000000001</v>
      </c>
      <c r="T210" s="2258"/>
      <c r="U210" s="2392"/>
      <c r="V210" s="2392"/>
      <c r="W210" s="2392"/>
      <c r="X210" s="2392"/>
      <c r="Y210" s="2392"/>
      <c r="Z210" s="2392"/>
      <c r="AA210" s="2392"/>
      <c r="AB210" s="2392"/>
      <c r="AC210" s="2392"/>
      <c r="AD210" s="2392"/>
      <c r="AE210" s="2392"/>
      <c r="AF210" s="2392"/>
      <c r="AG210" s="2470"/>
      <c r="AH210" s="2392"/>
      <c r="AI210" s="2392"/>
      <c r="AJ210" s="2468"/>
      <c r="AK210" s="2468"/>
      <c r="AL210" s="2468"/>
      <c r="AM210" s="2468"/>
      <c r="AN210" s="2468"/>
      <c r="AO210" s="2468"/>
      <c r="AP210" s="2468"/>
      <c r="AQ210" s="2468"/>
      <c r="AR210" s="2468"/>
      <c r="AS210" s="2468"/>
      <c r="AT210" s="2468"/>
      <c r="AU210" s="2468"/>
      <c r="AV210" s="2468"/>
      <c r="AW210" s="2468"/>
      <c r="AX210" s="2468"/>
      <c r="AY210" s="2468"/>
      <c r="AZ210" s="2468"/>
      <c r="BA210" s="2468"/>
      <c r="BB210" s="2468"/>
      <c r="BC210" s="2619"/>
      <c r="BD210" s="2468"/>
      <c r="BE210" s="2468"/>
      <c r="BF210" s="2468"/>
      <c r="BG210" s="2468"/>
      <c r="BH210" s="2468"/>
      <c r="BI210" s="2468"/>
      <c r="BJ210" s="2468"/>
      <c r="BK210" s="2468"/>
      <c r="BL210" s="2468"/>
      <c r="BM210" s="2468"/>
      <c r="BN210" s="2468"/>
      <c r="BO210" s="2468"/>
      <c r="BP210" s="2468"/>
      <c r="BQ210" s="2468"/>
      <c r="BR210" s="2468"/>
      <c r="BS210" s="2468"/>
      <c r="BT210" s="2468"/>
      <c r="BU210" s="2468"/>
      <c r="BV210" s="2468"/>
      <c r="BW210" s="2468"/>
      <c r="BX210" s="2468"/>
      <c r="BY210" s="2258"/>
      <c r="BZ210" s="2258"/>
      <c r="CA210" s="2258"/>
      <c r="CB210" s="2258"/>
      <c r="CC210" s="2258"/>
      <c r="CD210" s="2258"/>
      <c r="CE210" s="2258"/>
      <c r="CF210" s="2258"/>
      <c r="CG210" s="2258"/>
      <c r="CH210" s="2258"/>
      <c r="CI210" s="2258"/>
      <c r="CJ210" s="2258"/>
      <c r="CK210" s="2258"/>
      <c r="CL210" s="2258"/>
      <c r="CM210" s="2258"/>
      <c r="CN210" s="2258"/>
      <c r="CO210" s="2258"/>
      <c r="CP210" s="2258"/>
      <c r="CQ210" s="2258"/>
      <c r="CR210" s="2258"/>
      <c r="CS210" s="2258"/>
      <c r="CT210" s="2258"/>
      <c r="CU210" s="2258"/>
      <c r="CV210" s="2258"/>
      <c r="CW210" s="2258"/>
      <c r="CX210" s="2258"/>
      <c r="CY210" s="2258"/>
      <c r="CZ210" s="2258"/>
      <c r="DA210" s="2258"/>
      <c r="DB210" s="2258"/>
      <c r="DC210" s="2258"/>
      <c r="DD210" s="2258"/>
      <c r="DE210" s="2258"/>
      <c r="DF210" s="2258"/>
    </row>
    <row r="211" spans="1:110" s="1715" customFormat="1" hidden="1" outlineLevel="2">
      <c r="A211" s="2249" t="s">
        <v>617</v>
      </c>
      <c r="B211" s="2258"/>
      <c r="C211" s="2258"/>
      <c r="D211" s="2258"/>
      <c r="E211" s="2258"/>
      <c r="F211" s="2392">
        <f t="shared" ref="F211:P211" si="407">F210*1.2</f>
        <v>60</v>
      </c>
      <c r="G211" s="2392">
        <f t="shared" si="407"/>
        <v>60</v>
      </c>
      <c r="H211" s="2392">
        <f t="shared" si="407"/>
        <v>60.236052000000001</v>
      </c>
      <c r="I211" s="2392">
        <f t="shared" si="407"/>
        <v>59.887991999999997</v>
      </c>
      <c r="J211" s="2392">
        <f t="shared" si="407"/>
        <v>58.967459999999996</v>
      </c>
      <c r="K211" s="2392">
        <f t="shared" si="407"/>
        <v>60.18186</v>
      </c>
      <c r="L211" s="2392">
        <f t="shared" si="407"/>
        <v>57.24</v>
      </c>
      <c r="M211" s="2392">
        <f t="shared" si="407"/>
        <v>56.4</v>
      </c>
      <c r="N211" s="2392">
        <f t="shared" si="407"/>
        <v>57.599999999999994</v>
      </c>
      <c r="O211" s="2392">
        <f t="shared" si="407"/>
        <v>60.048900000000003</v>
      </c>
      <c r="P211" s="2392">
        <f t="shared" si="407"/>
        <v>56.699711999999998</v>
      </c>
      <c r="Q211" s="2392"/>
      <c r="R211" s="2392"/>
      <c r="S211" s="2392"/>
      <c r="T211" s="2258"/>
      <c r="U211" s="2392"/>
      <c r="V211" s="2392"/>
      <c r="W211" s="2392"/>
      <c r="X211" s="2392"/>
      <c r="Y211" s="2392"/>
      <c r="Z211" s="2392"/>
      <c r="AA211" s="2392"/>
      <c r="AB211" s="2392"/>
      <c r="AC211" s="2392"/>
      <c r="AD211" s="2392"/>
      <c r="AE211" s="2392"/>
      <c r="AF211" s="2392"/>
      <c r="AG211" s="2392"/>
      <c r="AH211" s="2392"/>
      <c r="AI211" s="2392"/>
      <c r="AJ211" s="2392"/>
      <c r="AK211" s="2392"/>
      <c r="AL211" s="2392"/>
      <c r="AM211" s="2392"/>
      <c r="AN211" s="2468"/>
      <c r="AO211" s="2468"/>
      <c r="AP211" s="2468"/>
      <c r="AQ211" s="2468"/>
      <c r="AR211" s="2468"/>
      <c r="AS211" s="2468"/>
      <c r="AT211" s="2468"/>
      <c r="AU211" s="2468"/>
      <c r="AV211" s="2392"/>
      <c r="AW211" s="2392"/>
      <c r="AX211" s="2392"/>
      <c r="AY211" s="2392"/>
      <c r="AZ211" s="2392"/>
      <c r="BA211" s="2392"/>
      <c r="BB211" s="2392"/>
      <c r="BC211" s="2620"/>
      <c r="BD211" s="2392"/>
      <c r="BE211" s="2392"/>
      <c r="BF211" s="2392"/>
      <c r="BG211" s="2392"/>
      <c r="BH211" s="2392"/>
      <c r="BI211" s="2392"/>
      <c r="BJ211" s="2392"/>
      <c r="BK211" s="2392"/>
      <c r="BL211" s="2392"/>
      <c r="BM211" s="2392"/>
      <c r="BN211" s="2392"/>
      <c r="BO211" s="2392"/>
      <c r="BP211" s="2392"/>
      <c r="BQ211" s="2392"/>
      <c r="BR211" s="2392"/>
      <c r="BS211" s="2392"/>
      <c r="BT211" s="2392"/>
      <c r="BU211" s="2392"/>
      <c r="BV211" s="2392"/>
      <c r="BW211" s="2392"/>
      <c r="BX211" s="2392"/>
      <c r="BY211" s="2258"/>
      <c r="BZ211" s="2258"/>
      <c r="CA211" s="2258"/>
      <c r="CB211" s="2258"/>
      <c r="CC211" s="2258"/>
      <c r="CD211" s="2258"/>
      <c r="CE211" s="2258"/>
      <c r="CF211" s="2258"/>
      <c r="CG211" s="2258"/>
      <c r="CH211" s="2258"/>
      <c r="CI211" s="2258"/>
      <c r="CJ211" s="2258"/>
      <c r="CK211" s="2258"/>
      <c r="CL211" s="2258"/>
      <c r="CM211" s="2258"/>
      <c r="CN211" s="2258"/>
      <c r="CO211" s="2258"/>
      <c r="CP211" s="2258"/>
      <c r="CQ211" s="2258"/>
      <c r="CR211" s="2258"/>
      <c r="CS211" s="2258"/>
      <c r="CT211" s="2258"/>
      <c r="CU211" s="2258"/>
      <c r="CV211" s="2258"/>
      <c r="CW211" s="2258"/>
      <c r="CX211" s="2258"/>
      <c r="CY211" s="2258"/>
      <c r="CZ211" s="2258"/>
      <c r="DA211" s="2258"/>
      <c r="DB211" s="2258"/>
      <c r="DC211" s="2258"/>
      <c r="DD211" s="2258"/>
      <c r="DE211" s="2258"/>
      <c r="DF211" s="2258"/>
    </row>
    <row r="212" spans="1:110" s="1715" customFormat="1" hidden="1" outlineLevel="2">
      <c r="A212" s="2249" t="s">
        <v>589</v>
      </c>
      <c r="B212" s="2258"/>
      <c r="C212" s="2258"/>
      <c r="D212" s="2258"/>
      <c r="E212" s="2258"/>
      <c r="F212" s="2258"/>
      <c r="G212" s="2258"/>
      <c r="H212" s="2258"/>
      <c r="I212" s="2258"/>
      <c r="J212" s="2258"/>
      <c r="K212" s="2258"/>
      <c r="L212" s="2258"/>
      <c r="M212" s="2258"/>
      <c r="N212" s="2258"/>
      <c r="O212" s="2258"/>
      <c r="P212" s="2258"/>
      <c r="Q212" s="2469"/>
      <c r="R212" s="2469">
        <v>25</v>
      </c>
      <c r="S212" s="2469">
        <v>25</v>
      </c>
      <c r="T212" s="2469">
        <v>25</v>
      </c>
      <c r="U212" s="2469">
        <v>25</v>
      </c>
      <c r="V212" s="2469">
        <v>25</v>
      </c>
      <c r="W212" s="2471">
        <v>25</v>
      </c>
      <c r="X212" s="2471">
        <v>25</v>
      </c>
      <c r="Y212" s="2471">
        <v>27</v>
      </c>
      <c r="Z212" s="2471">
        <v>28</v>
      </c>
      <c r="AA212" s="2471">
        <v>29</v>
      </c>
      <c r="AB212" s="2471">
        <v>31</v>
      </c>
      <c r="AC212" s="2471">
        <v>33</v>
      </c>
      <c r="AD212" s="2471">
        <v>35</v>
      </c>
      <c r="AE212" s="2471">
        <v>35</v>
      </c>
      <c r="AF212" s="2471">
        <v>35</v>
      </c>
      <c r="AG212" s="2471">
        <v>35</v>
      </c>
      <c r="AH212" s="2471">
        <v>35</v>
      </c>
      <c r="AI212" s="2471">
        <v>35</v>
      </c>
      <c r="AJ212" s="2471">
        <v>35</v>
      </c>
      <c r="AK212" s="2471">
        <v>35</v>
      </c>
      <c r="AL212" s="2471">
        <v>35</v>
      </c>
      <c r="AM212" s="2471">
        <v>35</v>
      </c>
      <c r="AN212" s="2471">
        <v>35</v>
      </c>
      <c r="AO212" s="2471">
        <v>35</v>
      </c>
      <c r="AP212" s="2471">
        <v>35</v>
      </c>
      <c r="AQ212" s="2471">
        <v>35</v>
      </c>
      <c r="AR212" s="2471">
        <v>35</v>
      </c>
      <c r="AS212" s="2471">
        <v>35</v>
      </c>
      <c r="AT212" s="2471">
        <v>35</v>
      </c>
      <c r="AU212" s="2471">
        <v>35</v>
      </c>
      <c r="AV212" s="2471">
        <v>35</v>
      </c>
      <c r="AW212" s="2471">
        <v>35</v>
      </c>
      <c r="AX212" s="2471">
        <v>35</v>
      </c>
      <c r="AY212" s="2471">
        <v>35</v>
      </c>
      <c r="AZ212" s="2471"/>
      <c r="BA212" s="2471">
        <v>35</v>
      </c>
      <c r="BB212" s="2471">
        <v>35</v>
      </c>
      <c r="BC212" s="2621">
        <v>35</v>
      </c>
      <c r="BD212" s="2471">
        <v>35</v>
      </c>
      <c r="BE212" s="2471"/>
      <c r="BF212" s="2472">
        <v>35</v>
      </c>
      <c r="BG212" s="2472">
        <v>35</v>
      </c>
      <c r="BH212" s="2472">
        <v>35</v>
      </c>
      <c r="BI212" s="2472">
        <v>35</v>
      </c>
      <c r="BJ212" s="2472"/>
      <c r="BK212" s="2472">
        <v>35</v>
      </c>
      <c r="BL212" s="2472">
        <v>35</v>
      </c>
      <c r="BM212" s="2472">
        <v>35</v>
      </c>
      <c r="BN212" s="2472">
        <v>35</v>
      </c>
      <c r="BO212" s="2472"/>
      <c r="BP212" s="2472">
        <v>35</v>
      </c>
      <c r="BQ212" s="2472">
        <v>35</v>
      </c>
      <c r="BR212" s="2472">
        <v>35</v>
      </c>
      <c r="BS212" s="2472">
        <v>35</v>
      </c>
      <c r="BT212" s="2472"/>
      <c r="BU212" s="2472">
        <v>35</v>
      </c>
      <c r="BV212" s="2472">
        <v>35</v>
      </c>
      <c r="BW212" s="2472">
        <v>35</v>
      </c>
      <c r="BX212" s="2472">
        <v>35</v>
      </c>
      <c r="BY212" s="2258"/>
      <c r="BZ212" s="2258"/>
      <c r="CA212" s="2258"/>
      <c r="CB212" s="2258"/>
      <c r="CC212" s="2258"/>
      <c r="CD212" s="2258"/>
      <c r="CE212" s="2258"/>
      <c r="CF212" s="2258"/>
      <c r="CG212" s="2258"/>
      <c r="CH212" s="2258"/>
      <c r="CI212" s="2258"/>
      <c r="CJ212" s="2258"/>
      <c r="CK212" s="2258"/>
      <c r="CL212" s="2258"/>
      <c r="CM212" s="2258"/>
      <c r="CN212" s="2258"/>
      <c r="CO212" s="2258"/>
      <c r="CP212" s="2258"/>
      <c r="CQ212" s="2258"/>
      <c r="CR212" s="2258"/>
      <c r="CS212" s="2258"/>
      <c r="CT212" s="2258"/>
      <c r="CU212" s="2258"/>
      <c r="CV212" s="2258"/>
      <c r="CW212" s="2258"/>
      <c r="CX212" s="2258"/>
      <c r="CY212" s="2258"/>
      <c r="CZ212" s="2258"/>
      <c r="DA212" s="2258"/>
      <c r="DB212" s="2258"/>
      <c r="DC212" s="2258"/>
      <c r="DD212" s="2258"/>
      <c r="DE212" s="2258"/>
      <c r="DF212" s="2258"/>
    </row>
    <row r="213" spans="1:110" s="1715" customFormat="1" hidden="1" outlineLevel="2">
      <c r="A213" s="2249" t="s">
        <v>291</v>
      </c>
      <c r="B213" s="2258"/>
      <c r="C213" s="2258"/>
      <c r="D213" s="2258"/>
      <c r="E213" s="2258"/>
      <c r="F213" s="2258">
        <v>95</v>
      </c>
      <c r="G213" s="2258">
        <v>95</v>
      </c>
      <c r="H213" s="2392">
        <f t="shared" ref="H213:M213" si="408">H210*2</f>
        <v>100.39342000000001</v>
      </c>
      <c r="I213" s="2392">
        <f t="shared" si="408"/>
        <v>99.813320000000004</v>
      </c>
      <c r="J213" s="2392">
        <f t="shared" si="408"/>
        <v>98.2791</v>
      </c>
      <c r="K213" s="2392">
        <f t="shared" si="408"/>
        <v>100.3031</v>
      </c>
      <c r="L213" s="2392">
        <f t="shared" si="408"/>
        <v>95.4</v>
      </c>
      <c r="M213" s="2392">
        <f t="shared" si="408"/>
        <v>94</v>
      </c>
      <c r="N213" s="2392">
        <f t="shared" ref="N213:W213" si="409">N214*2</f>
        <v>96</v>
      </c>
      <c r="O213" s="2392">
        <f t="shared" si="409"/>
        <v>100.08150000000001</v>
      </c>
      <c r="P213" s="2392">
        <f t="shared" si="409"/>
        <v>94.499520000000004</v>
      </c>
      <c r="Q213" s="2392">
        <f t="shared" si="409"/>
        <v>91.794719999999998</v>
      </c>
      <c r="R213" s="2392">
        <f t="shared" si="409"/>
        <v>94.652919999999995</v>
      </c>
      <c r="S213" s="2392">
        <f t="shared" si="409"/>
        <v>97.541420000000002</v>
      </c>
      <c r="T213" s="2392">
        <f t="shared" si="409"/>
        <v>90.718500000000006</v>
      </c>
      <c r="U213" s="2392">
        <f t="shared" si="409"/>
        <v>87.407480000000007</v>
      </c>
      <c r="V213" s="2392">
        <f t="shared" si="409"/>
        <v>90.202479999999994</v>
      </c>
      <c r="W213" s="2392">
        <f t="shared" si="409"/>
        <v>86.84</v>
      </c>
      <c r="X213" s="2392">
        <f t="shared" ref="X213:AU213" si="410">X217</f>
        <v>88.875890610683371</v>
      </c>
      <c r="Y213" s="2392">
        <f t="shared" si="410"/>
        <v>90.041666666666671</v>
      </c>
      <c r="Z213" s="2392">
        <f t="shared" si="410"/>
        <v>91.666666666666671</v>
      </c>
      <c r="AA213" s="2392">
        <f t="shared" si="410"/>
        <v>90</v>
      </c>
      <c r="AB213" s="2392">
        <f t="shared" si="410"/>
        <v>91.383328942947685</v>
      </c>
      <c r="AC213" s="2392">
        <f t="shared" si="410"/>
        <v>95.081494593922827</v>
      </c>
      <c r="AD213" s="2392">
        <f t="shared" si="410"/>
        <v>89.833333333333329</v>
      </c>
      <c r="AE213" s="2392">
        <f t="shared" si="410"/>
        <v>89.05323845699553</v>
      </c>
      <c r="AF213" s="2392">
        <f t="shared" si="410"/>
        <v>88.270799360339311</v>
      </c>
      <c r="AG213" s="2392">
        <f t="shared" si="410"/>
        <v>91.97182981940179</v>
      </c>
      <c r="AH213" s="2392">
        <f t="shared" si="410"/>
        <v>89.100000000000009</v>
      </c>
      <c r="AI213" s="2392">
        <f t="shared" si="410"/>
        <v>89</v>
      </c>
      <c r="AJ213" s="2392">
        <f t="shared" si="410"/>
        <v>86</v>
      </c>
      <c r="AK213" s="2392">
        <f t="shared" si="410"/>
        <v>86</v>
      </c>
      <c r="AL213" s="2392">
        <f t="shared" si="410"/>
        <v>86</v>
      </c>
      <c r="AM213" s="2392">
        <f t="shared" si="410"/>
        <v>86</v>
      </c>
      <c r="AN213" s="2392">
        <f t="shared" si="410"/>
        <v>86</v>
      </c>
      <c r="AO213" s="2392">
        <f t="shared" si="410"/>
        <v>86</v>
      </c>
      <c r="AP213" s="2392">
        <f t="shared" si="410"/>
        <v>86</v>
      </c>
      <c r="AQ213" s="2392">
        <f t="shared" si="410"/>
        <v>86</v>
      </c>
      <c r="AR213" s="2392">
        <v>86</v>
      </c>
      <c r="AS213" s="2392">
        <f t="shared" si="410"/>
        <v>86</v>
      </c>
      <c r="AT213" s="2392">
        <f t="shared" si="410"/>
        <v>86</v>
      </c>
      <c r="AU213" s="2392">
        <f t="shared" si="410"/>
        <v>86</v>
      </c>
      <c r="AV213" s="2392">
        <f t="shared" ref="AV213:BI213" si="411">AV217</f>
        <v>86</v>
      </c>
      <c r="AW213" s="2392">
        <f t="shared" si="411"/>
        <v>86</v>
      </c>
      <c r="AX213" s="2392">
        <f t="shared" si="411"/>
        <v>86</v>
      </c>
      <c r="AY213" s="2392">
        <f t="shared" si="411"/>
        <v>86</v>
      </c>
      <c r="AZ213" s="2392"/>
      <c r="BA213" s="2392">
        <f t="shared" si="411"/>
        <v>86</v>
      </c>
      <c r="BB213" s="2392">
        <f t="shared" si="411"/>
        <v>86</v>
      </c>
      <c r="BC213" s="2620">
        <f t="shared" si="411"/>
        <v>86</v>
      </c>
      <c r="BD213" s="2392">
        <f t="shared" si="411"/>
        <v>86</v>
      </c>
      <c r="BE213" s="2392"/>
      <c r="BF213" s="2392">
        <f t="shared" si="411"/>
        <v>86</v>
      </c>
      <c r="BG213" s="2392">
        <f t="shared" si="411"/>
        <v>86</v>
      </c>
      <c r="BH213" s="2392">
        <f t="shared" si="411"/>
        <v>86</v>
      </c>
      <c r="BI213" s="2392">
        <f t="shared" si="411"/>
        <v>86</v>
      </c>
      <c r="BJ213" s="2392"/>
      <c r="BK213" s="2392">
        <f>BK217</f>
        <v>86</v>
      </c>
      <c r="BL213" s="2392">
        <f>BL217</f>
        <v>86</v>
      </c>
      <c r="BM213" s="2392">
        <f>BM217</f>
        <v>86</v>
      </c>
      <c r="BN213" s="2392">
        <f>BN217</f>
        <v>86</v>
      </c>
      <c r="BO213" s="2392"/>
      <c r="BP213" s="2392">
        <f>BP217</f>
        <v>86</v>
      </c>
      <c r="BQ213" s="2392">
        <f>BQ217</f>
        <v>86</v>
      </c>
      <c r="BR213" s="2392">
        <f>BR217</f>
        <v>86</v>
      </c>
      <c r="BS213" s="2392">
        <f>BS217</f>
        <v>86</v>
      </c>
      <c r="BT213" s="2392"/>
      <c r="BU213" s="2392">
        <f>BU217</f>
        <v>86</v>
      </c>
      <c r="BV213" s="2392">
        <f>BV217</f>
        <v>86</v>
      </c>
      <c r="BW213" s="2392">
        <f>BW217</f>
        <v>86</v>
      </c>
      <c r="BX213" s="2392">
        <f>BX217</f>
        <v>86</v>
      </c>
      <c r="BY213" s="2258"/>
      <c r="BZ213" s="2258"/>
      <c r="CA213" s="2258"/>
      <c r="CB213" s="2258"/>
      <c r="CC213" s="2258"/>
      <c r="CD213" s="2258"/>
      <c r="CE213" s="2258"/>
      <c r="CF213" s="2258"/>
      <c r="CG213" s="2258"/>
      <c r="CH213" s="2258"/>
      <c r="CI213" s="2258"/>
      <c r="CJ213" s="2258"/>
      <c r="CK213" s="2258"/>
      <c r="CL213" s="2258"/>
      <c r="CM213" s="2258"/>
      <c r="CN213" s="2258"/>
      <c r="CO213" s="2258"/>
      <c r="CP213" s="2258"/>
      <c r="CQ213" s="2258"/>
      <c r="CR213" s="2258"/>
      <c r="CS213" s="2258"/>
      <c r="CT213" s="2258"/>
      <c r="CU213" s="2258"/>
      <c r="CV213" s="2258"/>
      <c r="CW213" s="2258"/>
      <c r="CX213" s="2258"/>
      <c r="CY213" s="2258"/>
      <c r="CZ213" s="2258"/>
      <c r="DA213" s="2258"/>
      <c r="DB213" s="2258"/>
      <c r="DC213" s="2258"/>
      <c r="DD213" s="2258"/>
      <c r="DE213" s="2258"/>
      <c r="DF213" s="2258"/>
    </row>
    <row r="214" spans="1:110" s="1715" customFormat="1" hidden="1" outlineLevel="2">
      <c r="A214" s="2249" t="s">
        <v>287</v>
      </c>
      <c r="B214" s="2258"/>
      <c r="C214" s="2258"/>
      <c r="D214" s="2258"/>
      <c r="E214" s="2258"/>
      <c r="F214" s="2258">
        <f>50</f>
        <v>50</v>
      </c>
      <c r="G214" s="2258"/>
      <c r="H214" s="2258"/>
      <c r="I214" s="2258"/>
      <c r="J214" s="2258"/>
      <c r="K214" s="2469"/>
      <c r="L214" s="2469"/>
      <c r="M214" s="2469"/>
      <c r="N214" s="2469">
        <v>48</v>
      </c>
      <c r="O214" s="2469">
        <v>50.040750000000003</v>
      </c>
      <c r="P214" s="2469">
        <v>47.249760000000002</v>
      </c>
      <c r="Q214" s="2469">
        <v>45.897359999999999</v>
      </c>
      <c r="R214" s="2469">
        <v>47.326459999999997</v>
      </c>
      <c r="S214" s="2469">
        <v>48.770710000000001</v>
      </c>
      <c r="T214" s="2469">
        <v>45.359250000000003</v>
      </c>
      <c r="U214" s="2469">
        <v>43.703740000000003</v>
      </c>
      <c r="V214" s="2469">
        <v>45.101239999999997</v>
      </c>
      <c r="W214" s="2469">
        <v>43.42</v>
      </c>
      <c r="X214" s="2471">
        <v>43</v>
      </c>
      <c r="Y214" s="2471">
        <f t="shared" ref="Y214:AI214" si="412">X214*0.99</f>
        <v>42.57</v>
      </c>
      <c r="Z214" s="2471">
        <f t="shared" si="412"/>
        <v>42.144300000000001</v>
      </c>
      <c r="AA214" s="2471">
        <f t="shared" si="412"/>
        <v>41.722856999999998</v>
      </c>
      <c r="AB214" s="2471">
        <f t="shared" si="412"/>
        <v>41.305628429999999</v>
      </c>
      <c r="AC214" s="2471">
        <f t="shared" si="412"/>
        <v>40.892572145700001</v>
      </c>
      <c r="AD214" s="2471">
        <f t="shared" si="412"/>
        <v>40.483646424242998</v>
      </c>
      <c r="AE214" s="2471">
        <f t="shared" si="412"/>
        <v>40.078809960000569</v>
      </c>
      <c r="AF214" s="2471">
        <f t="shared" si="412"/>
        <v>39.678021860400563</v>
      </c>
      <c r="AG214" s="2471">
        <f t="shared" si="412"/>
        <v>39.281241641796555</v>
      </c>
      <c r="AH214" s="2471">
        <f t="shared" si="412"/>
        <v>38.888429225378587</v>
      </c>
      <c r="AI214" s="2471">
        <f t="shared" si="412"/>
        <v>38.499544933124803</v>
      </c>
      <c r="AJ214" s="2471">
        <f>AE214*0.99</f>
        <v>39.678021860400563</v>
      </c>
      <c r="AK214" s="2471">
        <f>AJ214*0.99</f>
        <v>39.281241641796555</v>
      </c>
      <c r="AL214" s="2471">
        <f>AK214*0.99</f>
        <v>38.888429225378587</v>
      </c>
      <c r="AM214" s="2471">
        <f>AL214*0.99</f>
        <v>38.499544933124803</v>
      </c>
      <c r="AN214" s="2471">
        <f>AI214*0.99</f>
        <v>38.114549483793553</v>
      </c>
      <c r="AO214" s="2471">
        <f>AN214*0.99</f>
        <v>37.733403988955615</v>
      </c>
      <c r="AP214" s="2471">
        <f>AO214*0.99</f>
        <v>37.356069949066061</v>
      </c>
      <c r="AQ214" s="2471">
        <f>AP214*0.99</f>
        <v>36.982509249575401</v>
      </c>
      <c r="AR214" s="2471">
        <v>38.114549483793553</v>
      </c>
      <c r="AS214" s="2471">
        <f>AR214*0.99</f>
        <v>37.733403988955615</v>
      </c>
      <c r="AT214" s="2471">
        <f>AS214*0.99</f>
        <v>37.356069949066061</v>
      </c>
      <c r="AU214" s="2471">
        <f>AT214*1</f>
        <v>37.356069949066061</v>
      </c>
      <c r="AV214" s="2471">
        <f>AQ214*0.99</f>
        <v>36.612684157079649</v>
      </c>
      <c r="AW214" s="2471">
        <f>AV214*0.99</f>
        <v>36.246557315508852</v>
      </c>
      <c r="AX214" s="2471">
        <f>AW214*0.99</f>
        <v>35.88409174235376</v>
      </c>
      <c r="AY214" s="2471">
        <f>AX214*0.99</f>
        <v>35.525250824930225</v>
      </c>
      <c r="AZ214" s="2471"/>
      <c r="BA214" s="2471">
        <f>AU214*0.99</f>
        <v>36.982509249575401</v>
      </c>
      <c r="BB214" s="2471">
        <f>BA214*0.99</f>
        <v>36.612684157079649</v>
      </c>
      <c r="BC214" s="2621">
        <f>BB214*0.99</f>
        <v>36.246557315508852</v>
      </c>
      <c r="BD214" s="2471">
        <f>BC214*0.99</f>
        <v>35.88409174235376</v>
      </c>
      <c r="BE214" s="2471"/>
      <c r="BF214" s="2472">
        <f>AY214*0.99</f>
        <v>35.169998316680925</v>
      </c>
      <c r="BG214" s="2472">
        <f>BF214*0.99</f>
        <v>34.818298333514115</v>
      </c>
      <c r="BH214" s="2472">
        <f>BG214*0.99</f>
        <v>34.470115350178972</v>
      </c>
      <c r="BI214" s="2472">
        <f>BH214*0.99</f>
        <v>34.125414196677184</v>
      </c>
      <c r="BJ214" s="2472"/>
      <c r="BK214" s="2472">
        <f>BD214*0.99</f>
        <v>35.525250824930225</v>
      </c>
      <c r="BL214" s="2472">
        <f>BK214*0.99</f>
        <v>35.169998316680925</v>
      </c>
      <c r="BM214" s="2472">
        <f>BL214*0.99</f>
        <v>34.818298333514115</v>
      </c>
      <c r="BN214" s="2472">
        <f>BM214*0.99</f>
        <v>34.470115350178972</v>
      </c>
      <c r="BO214" s="2472"/>
      <c r="BP214" s="2472">
        <f>BI214*0.99</f>
        <v>33.784160054710412</v>
      </c>
      <c r="BQ214" s="2472">
        <f>BP214*0.99</f>
        <v>33.446318454163311</v>
      </c>
      <c r="BR214" s="2472">
        <f>BQ214*0.99</f>
        <v>33.111855269621678</v>
      </c>
      <c r="BS214" s="2472">
        <f>BR214*0.99</f>
        <v>32.78073671692546</v>
      </c>
      <c r="BT214" s="2472"/>
      <c r="BU214" s="2472">
        <f>BN214*0.99</f>
        <v>34.125414196677184</v>
      </c>
      <c r="BV214" s="2472">
        <f>BU214*0.99</f>
        <v>33.784160054710412</v>
      </c>
      <c r="BW214" s="2472">
        <f>BV214*0.99</f>
        <v>33.446318454163311</v>
      </c>
      <c r="BX214" s="2472">
        <f>BW214*0.99</f>
        <v>33.111855269621678</v>
      </c>
      <c r="BY214" s="2258"/>
      <c r="BZ214" s="2258"/>
      <c r="CA214" s="2258"/>
      <c r="CB214" s="2258"/>
      <c r="CC214" s="2258"/>
      <c r="CD214" s="2258"/>
      <c r="CE214" s="2258"/>
      <c r="CF214" s="2258"/>
      <c r="CG214" s="2258"/>
      <c r="CH214" s="2258"/>
      <c r="CI214" s="2258"/>
      <c r="CJ214" s="2258"/>
      <c r="CK214" s="2258"/>
      <c r="CL214" s="2258"/>
      <c r="CM214" s="2258"/>
      <c r="CN214" s="2258"/>
      <c r="CO214" s="2258"/>
      <c r="CP214" s="2258"/>
      <c r="CQ214" s="2258"/>
      <c r="CR214" s="2258"/>
      <c r="CS214" s="2258"/>
      <c r="CT214" s="2258"/>
      <c r="CU214" s="2258"/>
      <c r="CV214" s="2258"/>
      <c r="CW214" s="2258"/>
      <c r="CX214" s="2258"/>
      <c r="CY214" s="2258"/>
      <c r="CZ214" s="2258"/>
      <c r="DA214" s="2258"/>
      <c r="DB214" s="2258"/>
      <c r="DC214" s="2258"/>
      <c r="DD214" s="2258"/>
      <c r="DE214" s="2258"/>
      <c r="DF214" s="2258"/>
    </row>
    <row r="215" spans="1:110" s="1715" customFormat="1" hidden="1" outlineLevel="2">
      <c r="A215" s="2249" t="s">
        <v>303</v>
      </c>
      <c r="B215" s="2258"/>
      <c r="C215" s="2258"/>
      <c r="D215" s="2258"/>
      <c r="E215" s="2258"/>
      <c r="F215" s="2258">
        <f>75</f>
        <v>75</v>
      </c>
      <c r="G215" s="2258"/>
      <c r="H215" s="2258"/>
      <c r="I215" s="2258"/>
      <c r="J215" s="2258"/>
      <c r="K215" s="2392"/>
      <c r="L215" s="2392"/>
      <c r="M215" s="2392"/>
      <c r="N215" s="2392">
        <f t="shared" ref="N215:W215" si="413">N214*1.2</f>
        <v>57.599999999999994</v>
      </c>
      <c r="O215" s="2392">
        <f t="shared" si="413"/>
        <v>60.048900000000003</v>
      </c>
      <c r="P215" s="2392">
        <f t="shared" si="413"/>
        <v>56.699711999999998</v>
      </c>
      <c r="Q215" s="2392">
        <f t="shared" si="413"/>
        <v>55.076831999999996</v>
      </c>
      <c r="R215" s="2392">
        <f t="shared" si="413"/>
        <v>56.791751999999995</v>
      </c>
      <c r="S215" s="2392">
        <f t="shared" si="413"/>
        <v>58.524851999999996</v>
      </c>
      <c r="T215" s="2392">
        <f t="shared" si="413"/>
        <v>54.431100000000001</v>
      </c>
      <c r="U215" s="2392">
        <f t="shared" si="413"/>
        <v>52.444488</v>
      </c>
      <c r="V215" s="2392">
        <f t="shared" si="413"/>
        <v>54.121487999999992</v>
      </c>
      <c r="W215" s="2392">
        <f t="shared" si="413"/>
        <v>52.103999999999999</v>
      </c>
      <c r="X215" s="2469">
        <v>53.325534366410018</v>
      </c>
      <c r="Y215" s="2332">
        <f t="shared" ref="Y215:AU215" si="414">Y220</f>
        <v>54.024999999999999</v>
      </c>
      <c r="Z215" s="2332">
        <f t="shared" si="414"/>
        <v>55</v>
      </c>
      <c r="AA215" s="2332">
        <f t="shared" si="414"/>
        <v>54</v>
      </c>
      <c r="AB215" s="2332">
        <f t="shared" si="414"/>
        <v>54.829997365768605</v>
      </c>
      <c r="AC215" s="2332">
        <f t="shared" si="414"/>
        <v>57.048896756353692</v>
      </c>
      <c r="AD215" s="2332">
        <f t="shared" si="414"/>
        <v>53.9</v>
      </c>
      <c r="AE215" s="2332">
        <f t="shared" si="414"/>
        <v>53.431943074197314</v>
      </c>
      <c r="AF215" s="2332">
        <f t="shared" si="414"/>
        <v>52.962479616203581</v>
      </c>
      <c r="AG215" s="2332">
        <f t="shared" si="414"/>
        <v>55.183097891641076</v>
      </c>
      <c r="AH215" s="2332">
        <f t="shared" si="414"/>
        <v>53.46</v>
      </c>
      <c r="AI215" s="2332">
        <f t="shared" si="414"/>
        <v>53.4</v>
      </c>
      <c r="AJ215" s="2332">
        <f t="shared" si="414"/>
        <v>51.6</v>
      </c>
      <c r="AK215" s="2332">
        <f t="shared" si="414"/>
        <v>51.6</v>
      </c>
      <c r="AL215" s="2332">
        <f t="shared" si="414"/>
        <v>51.6</v>
      </c>
      <c r="AM215" s="2332">
        <f t="shared" si="414"/>
        <v>51.6</v>
      </c>
      <c r="AN215" s="2332">
        <f t="shared" si="414"/>
        <v>51.6</v>
      </c>
      <c r="AO215" s="2332">
        <f t="shared" si="414"/>
        <v>51.6</v>
      </c>
      <c r="AP215" s="2332">
        <f t="shared" si="414"/>
        <v>51.6</v>
      </c>
      <c r="AQ215" s="2332">
        <f t="shared" si="414"/>
        <v>51.6</v>
      </c>
      <c r="AR215" s="2332">
        <v>51.6</v>
      </c>
      <c r="AS215" s="2332">
        <f t="shared" si="414"/>
        <v>51.6</v>
      </c>
      <c r="AT215" s="2332">
        <f t="shared" si="414"/>
        <v>51.6</v>
      </c>
      <c r="AU215" s="2332">
        <f t="shared" si="414"/>
        <v>51.6</v>
      </c>
      <c r="AV215" s="2332">
        <f t="shared" ref="AV215:BI215" si="415">AV220</f>
        <v>51.6</v>
      </c>
      <c r="AW215" s="2332">
        <f t="shared" si="415"/>
        <v>51.6</v>
      </c>
      <c r="AX215" s="2332">
        <f t="shared" si="415"/>
        <v>51.6</v>
      </c>
      <c r="AY215" s="2332">
        <f t="shared" si="415"/>
        <v>51.6</v>
      </c>
      <c r="AZ215" s="2332"/>
      <c r="BA215" s="2332">
        <f t="shared" si="415"/>
        <v>51.6</v>
      </c>
      <c r="BB215" s="2332">
        <f t="shared" si="415"/>
        <v>51.6</v>
      </c>
      <c r="BC215" s="2622">
        <f t="shared" si="415"/>
        <v>51.6</v>
      </c>
      <c r="BD215" s="2332">
        <f t="shared" si="415"/>
        <v>51.6</v>
      </c>
      <c r="BE215" s="2332"/>
      <c r="BF215" s="2332">
        <f t="shared" si="415"/>
        <v>51.6</v>
      </c>
      <c r="BG215" s="2332">
        <f t="shared" si="415"/>
        <v>51.6</v>
      </c>
      <c r="BH215" s="2332">
        <f t="shared" si="415"/>
        <v>51.6</v>
      </c>
      <c r="BI215" s="2332">
        <f t="shared" si="415"/>
        <v>51.6</v>
      </c>
      <c r="BJ215" s="2332"/>
      <c r="BK215" s="2332">
        <f>BK220</f>
        <v>51.6</v>
      </c>
      <c r="BL215" s="2332">
        <f>BL220</f>
        <v>51.6</v>
      </c>
      <c r="BM215" s="2332">
        <f>BM220</f>
        <v>51.6</v>
      </c>
      <c r="BN215" s="2332">
        <f>BN220</f>
        <v>51.6</v>
      </c>
      <c r="BO215" s="2332"/>
      <c r="BP215" s="2332">
        <f>BP220</f>
        <v>51.6</v>
      </c>
      <c r="BQ215" s="2332">
        <f>BQ220</f>
        <v>51.6</v>
      </c>
      <c r="BR215" s="2332">
        <f>BR220</f>
        <v>51.6</v>
      </c>
      <c r="BS215" s="2332">
        <f>BS220</f>
        <v>51.6</v>
      </c>
      <c r="BT215" s="2332"/>
      <c r="BU215" s="2332">
        <f>BU220</f>
        <v>51.6</v>
      </c>
      <c r="BV215" s="2332">
        <f>BV220</f>
        <v>51.6</v>
      </c>
      <c r="BW215" s="2332">
        <f>BW220</f>
        <v>51.6</v>
      </c>
      <c r="BX215" s="2332">
        <f>BX220</f>
        <v>51.6</v>
      </c>
      <c r="BY215" s="2258"/>
      <c r="BZ215" s="2258"/>
      <c r="CA215" s="2258"/>
      <c r="CB215" s="2258"/>
      <c r="CC215" s="2258"/>
      <c r="CD215" s="2258"/>
      <c r="CE215" s="2258"/>
      <c r="CF215" s="2258"/>
      <c r="CG215" s="2258"/>
      <c r="CH215" s="2258"/>
      <c r="CI215" s="2258"/>
      <c r="CJ215" s="2258"/>
      <c r="CK215" s="2258"/>
      <c r="CL215" s="2258"/>
      <c r="CM215" s="2258"/>
      <c r="CN215" s="2258"/>
      <c r="CO215" s="2258"/>
      <c r="CP215" s="2258"/>
      <c r="CQ215" s="2258"/>
      <c r="CR215" s="2258"/>
      <c r="CS215" s="2258"/>
      <c r="CT215" s="2258"/>
      <c r="CU215" s="2258"/>
      <c r="CV215" s="2258"/>
      <c r="CW215" s="2258"/>
      <c r="CX215" s="2258"/>
      <c r="CY215" s="2258"/>
      <c r="CZ215" s="2258"/>
      <c r="DA215" s="2258"/>
      <c r="DB215" s="2258"/>
      <c r="DC215" s="2258"/>
      <c r="DD215" s="2258"/>
      <c r="DE215" s="2258"/>
      <c r="DF215" s="2258"/>
    </row>
    <row r="216" spans="1:110" s="1715" customFormat="1" hidden="1" outlineLevel="2">
      <c r="A216" s="2249" t="s">
        <v>304</v>
      </c>
      <c r="B216" s="2258"/>
      <c r="C216" s="2258"/>
      <c r="D216" s="2258"/>
      <c r="E216" s="2258"/>
      <c r="F216" s="2258">
        <f>125</f>
        <v>125</v>
      </c>
      <c r="G216" s="2258"/>
      <c r="H216" s="2258"/>
      <c r="I216" s="2258"/>
      <c r="J216" s="2258"/>
      <c r="K216" s="2392"/>
      <c r="L216" s="2392"/>
      <c r="M216" s="2392"/>
      <c r="N216" s="2392">
        <f t="shared" ref="N216:W216" si="416">N214*2.5</f>
        <v>120</v>
      </c>
      <c r="O216" s="2392">
        <f t="shared" si="416"/>
        <v>125.10187500000001</v>
      </c>
      <c r="P216" s="2392">
        <f t="shared" si="416"/>
        <v>118.12440000000001</v>
      </c>
      <c r="Q216" s="2392">
        <f t="shared" si="416"/>
        <v>114.74339999999999</v>
      </c>
      <c r="R216" s="2392">
        <f t="shared" si="416"/>
        <v>118.31614999999999</v>
      </c>
      <c r="S216" s="2392">
        <f t="shared" si="416"/>
        <v>121.92677500000001</v>
      </c>
      <c r="T216" s="2392">
        <f t="shared" si="416"/>
        <v>113.39812500000001</v>
      </c>
      <c r="U216" s="2392">
        <f t="shared" si="416"/>
        <v>109.25935000000001</v>
      </c>
      <c r="V216" s="2392">
        <f t="shared" si="416"/>
        <v>112.75309999999999</v>
      </c>
      <c r="W216" s="2392">
        <f t="shared" si="416"/>
        <v>108.55000000000001</v>
      </c>
      <c r="X216" s="2392">
        <f t="shared" ref="X216:AU216" si="417">X215*(2.5/1.2)</f>
        <v>111.09486326335421</v>
      </c>
      <c r="Y216" s="2392">
        <f t="shared" si="417"/>
        <v>112.55208333333334</v>
      </c>
      <c r="Z216" s="2392">
        <f t="shared" si="417"/>
        <v>114.58333333333334</v>
      </c>
      <c r="AA216" s="2392">
        <f t="shared" si="417"/>
        <v>112.50000000000001</v>
      </c>
      <c r="AB216" s="2392">
        <f t="shared" si="417"/>
        <v>114.22916117868461</v>
      </c>
      <c r="AC216" s="2392">
        <f t="shared" si="417"/>
        <v>118.85186824240353</v>
      </c>
      <c r="AD216" s="2392">
        <f t="shared" si="417"/>
        <v>112.29166666666667</v>
      </c>
      <c r="AE216" s="2392">
        <f t="shared" si="417"/>
        <v>111.31654807124441</v>
      </c>
      <c r="AF216" s="2392">
        <f t="shared" si="417"/>
        <v>110.33849920042414</v>
      </c>
      <c r="AG216" s="2392">
        <f t="shared" si="417"/>
        <v>114.96478727425225</v>
      </c>
      <c r="AH216" s="2392">
        <f t="shared" si="417"/>
        <v>111.37500000000001</v>
      </c>
      <c r="AI216" s="2392">
        <f t="shared" si="417"/>
        <v>111.25</v>
      </c>
      <c r="AJ216" s="2392">
        <f t="shared" si="417"/>
        <v>107.50000000000001</v>
      </c>
      <c r="AK216" s="2392">
        <f t="shared" si="417"/>
        <v>107.50000000000001</v>
      </c>
      <c r="AL216" s="2392">
        <f t="shared" si="417"/>
        <v>107.50000000000001</v>
      </c>
      <c r="AM216" s="2392">
        <f t="shared" si="417"/>
        <v>107.50000000000001</v>
      </c>
      <c r="AN216" s="2392">
        <f t="shared" si="417"/>
        <v>107.50000000000001</v>
      </c>
      <c r="AO216" s="2392">
        <f t="shared" si="417"/>
        <v>107.50000000000001</v>
      </c>
      <c r="AP216" s="2392">
        <f t="shared" si="417"/>
        <v>107.50000000000001</v>
      </c>
      <c r="AQ216" s="2392">
        <f t="shared" si="417"/>
        <v>107.50000000000001</v>
      </c>
      <c r="AR216" s="2392">
        <v>107.50000000000001</v>
      </c>
      <c r="AS216" s="2392">
        <f t="shared" si="417"/>
        <v>107.50000000000001</v>
      </c>
      <c r="AT216" s="2392">
        <f t="shared" si="417"/>
        <v>107.50000000000001</v>
      </c>
      <c r="AU216" s="2392">
        <f t="shared" si="417"/>
        <v>107.50000000000001</v>
      </c>
      <c r="AV216" s="2392">
        <f t="shared" ref="AV216:BI216" si="418">AV215*(2.5/1.2)</f>
        <v>107.50000000000001</v>
      </c>
      <c r="AW216" s="2392">
        <f t="shared" si="418"/>
        <v>107.50000000000001</v>
      </c>
      <c r="AX216" s="2392">
        <f t="shared" si="418"/>
        <v>107.50000000000001</v>
      </c>
      <c r="AY216" s="2392">
        <f t="shared" si="418"/>
        <v>107.50000000000001</v>
      </c>
      <c r="AZ216" s="2392"/>
      <c r="BA216" s="2392">
        <f t="shared" si="418"/>
        <v>107.50000000000001</v>
      </c>
      <c r="BB216" s="2392">
        <f t="shared" si="418"/>
        <v>107.50000000000001</v>
      </c>
      <c r="BC216" s="2620">
        <f t="shared" si="418"/>
        <v>107.50000000000001</v>
      </c>
      <c r="BD216" s="2392">
        <f t="shared" si="418"/>
        <v>107.50000000000001</v>
      </c>
      <c r="BE216" s="2392"/>
      <c r="BF216" s="2392">
        <f t="shared" si="418"/>
        <v>107.50000000000001</v>
      </c>
      <c r="BG216" s="2392">
        <f t="shared" si="418"/>
        <v>107.50000000000001</v>
      </c>
      <c r="BH216" s="2392">
        <f t="shared" si="418"/>
        <v>107.50000000000001</v>
      </c>
      <c r="BI216" s="2392">
        <f t="shared" si="418"/>
        <v>107.50000000000001</v>
      </c>
      <c r="BJ216" s="2392"/>
      <c r="BK216" s="2392">
        <f>BK215*(2.5/1.2)</f>
        <v>107.50000000000001</v>
      </c>
      <c r="BL216" s="2392">
        <f>BL215*(2.5/1.2)</f>
        <v>107.50000000000001</v>
      </c>
      <c r="BM216" s="2392">
        <f>BM215*(2.5/1.2)</f>
        <v>107.50000000000001</v>
      </c>
      <c r="BN216" s="2392">
        <f>BN215*(2.5/1.2)</f>
        <v>107.50000000000001</v>
      </c>
      <c r="BO216" s="2392"/>
      <c r="BP216" s="2392">
        <f>BP215*(2.5/1.2)</f>
        <v>107.50000000000001</v>
      </c>
      <c r="BQ216" s="2392">
        <f>BQ215*(2.5/1.2)</f>
        <v>107.50000000000001</v>
      </c>
      <c r="BR216" s="2392">
        <f>BR215*(2.5/1.2)</f>
        <v>107.50000000000001</v>
      </c>
      <c r="BS216" s="2392">
        <f>BS215*(2.5/1.2)</f>
        <v>107.50000000000001</v>
      </c>
      <c r="BT216" s="2392"/>
      <c r="BU216" s="2392">
        <f>BU215*(2.5/1.2)</f>
        <v>107.50000000000001</v>
      </c>
      <c r="BV216" s="2392">
        <f>BV215*(2.5/1.2)</f>
        <v>107.50000000000001</v>
      </c>
      <c r="BW216" s="2392">
        <f>BW215*(2.5/1.2)</f>
        <v>107.50000000000001</v>
      </c>
      <c r="BX216" s="2392">
        <f>BX215*(2.5/1.2)</f>
        <v>107.50000000000001</v>
      </c>
      <c r="BY216" s="2258"/>
      <c r="BZ216" s="2258"/>
      <c r="CA216" s="2258"/>
      <c r="CB216" s="2258"/>
      <c r="CC216" s="2258"/>
      <c r="CD216" s="2258"/>
      <c r="CE216" s="2258"/>
      <c r="CF216" s="2258"/>
      <c r="CG216" s="2258"/>
      <c r="CH216" s="2258"/>
      <c r="CI216" s="2258"/>
      <c r="CJ216" s="2258"/>
      <c r="CK216" s="2258"/>
      <c r="CL216" s="2258"/>
      <c r="CM216" s="2258"/>
      <c r="CN216" s="2258"/>
      <c r="CO216" s="2258"/>
      <c r="CP216" s="2258"/>
      <c r="CQ216" s="2258"/>
      <c r="CR216" s="2258"/>
      <c r="CS216" s="2258"/>
      <c r="CT216" s="2258"/>
      <c r="CU216" s="2258"/>
      <c r="CV216" s="2258"/>
      <c r="CW216" s="2258"/>
      <c r="CX216" s="2258"/>
      <c r="CY216" s="2258"/>
      <c r="CZ216" s="2258"/>
      <c r="DA216" s="2258"/>
      <c r="DB216" s="2258"/>
      <c r="DC216" s="2258"/>
      <c r="DD216" s="2258"/>
      <c r="DE216" s="2258"/>
      <c r="DF216" s="2258"/>
    </row>
    <row r="217" spans="1:110" s="1715" customFormat="1" hidden="1" outlineLevel="2">
      <c r="A217" s="2249" t="s">
        <v>305</v>
      </c>
      <c r="B217" s="2258"/>
      <c r="C217" s="2258"/>
      <c r="D217" s="2258"/>
      <c r="E217" s="2258"/>
      <c r="F217" s="2258">
        <v>95</v>
      </c>
      <c r="G217" s="2258"/>
      <c r="H217" s="2258"/>
      <c r="I217" s="2258"/>
      <c r="J217" s="2258"/>
      <c r="K217" s="2392"/>
      <c r="L217" s="2392"/>
      <c r="M217" s="2392"/>
      <c r="N217" s="2392">
        <f t="shared" ref="N217:W217" si="419">N214*2</f>
        <v>96</v>
      </c>
      <c r="O217" s="2392">
        <f t="shared" si="419"/>
        <v>100.08150000000001</v>
      </c>
      <c r="P217" s="2392">
        <f t="shared" si="419"/>
        <v>94.499520000000004</v>
      </c>
      <c r="Q217" s="2392">
        <f t="shared" si="419"/>
        <v>91.794719999999998</v>
      </c>
      <c r="R217" s="2392">
        <f t="shared" si="419"/>
        <v>94.652919999999995</v>
      </c>
      <c r="S217" s="2392">
        <f t="shared" si="419"/>
        <v>97.541420000000002</v>
      </c>
      <c r="T217" s="2392">
        <f t="shared" si="419"/>
        <v>90.718500000000006</v>
      </c>
      <c r="U217" s="2392">
        <f t="shared" si="419"/>
        <v>87.407480000000007</v>
      </c>
      <c r="V217" s="2392">
        <f t="shared" si="419"/>
        <v>90.202479999999994</v>
      </c>
      <c r="W217" s="2392">
        <f t="shared" si="419"/>
        <v>86.84</v>
      </c>
      <c r="X217" s="2392">
        <f t="shared" ref="X217:AU217" si="420">X215*2/1.2</f>
        <v>88.875890610683371</v>
      </c>
      <c r="Y217" s="2392">
        <f t="shared" si="420"/>
        <v>90.041666666666671</v>
      </c>
      <c r="Z217" s="2392">
        <f t="shared" si="420"/>
        <v>91.666666666666671</v>
      </c>
      <c r="AA217" s="2392">
        <f t="shared" si="420"/>
        <v>90</v>
      </c>
      <c r="AB217" s="2392">
        <f t="shared" si="420"/>
        <v>91.383328942947685</v>
      </c>
      <c r="AC217" s="2392">
        <f t="shared" si="420"/>
        <v>95.081494593922827</v>
      </c>
      <c r="AD217" s="2392">
        <f t="shared" si="420"/>
        <v>89.833333333333329</v>
      </c>
      <c r="AE217" s="2392">
        <f t="shared" si="420"/>
        <v>89.05323845699553</v>
      </c>
      <c r="AF217" s="2392">
        <f t="shared" si="420"/>
        <v>88.270799360339311</v>
      </c>
      <c r="AG217" s="2392">
        <f t="shared" si="420"/>
        <v>91.97182981940179</v>
      </c>
      <c r="AH217" s="2392">
        <f t="shared" si="420"/>
        <v>89.100000000000009</v>
      </c>
      <c r="AI217" s="2392">
        <f t="shared" si="420"/>
        <v>89</v>
      </c>
      <c r="AJ217" s="2392">
        <f t="shared" si="420"/>
        <v>86</v>
      </c>
      <c r="AK217" s="2392">
        <f t="shared" si="420"/>
        <v>86</v>
      </c>
      <c r="AL217" s="2392">
        <f t="shared" si="420"/>
        <v>86</v>
      </c>
      <c r="AM217" s="2392">
        <f t="shared" si="420"/>
        <v>86</v>
      </c>
      <c r="AN217" s="2392">
        <f t="shared" si="420"/>
        <v>86</v>
      </c>
      <c r="AO217" s="2392">
        <f t="shared" si="420"/>
        <v>86</v>
      </c>
      <c r="AP217" s="2392">
        <f t="shared" si="420"/>
        <v>86</v>
      </c>
      <c r="AQ217" s="2392">
        <f t="shared" si="420"/>
        <v>86</v>
      </c>
      <c r="AR217" s="2392">
        <v>86</v>
      </c>
      <c r="AS217" s="2392">
        <f t="shared" si="420"/>
        <v>86</v>
      </c>
      <c r="AT217" s="2392">
        <f t="shared" si="420"/>
        <v>86</v>
      </c>
      <c r="AU217" s="2392">
        <f t="shared" si="420"/>
        <v>86</v>
      </c>
      <c r="AV217" s="2392">
        <f t="shared" ref="AV217:BI217" si="421">AV215*2/1.2</f>
        <v>86</v>
      </c>
      <c r="AW217" s="2392">
        <f t="shared" si="421"/>
        <v>86</v>
      </c>
      <c r="AX217" s="2392">
        <f t="shared" si="421"/>
        <v>86</v>
      </c>
      <c r="AY217" s="2392">
        <f t="shared" si="421"/>
        <v>86</v>
      </c>
      <c r="AZ217" s="2392"/>
      <c r="BA217" s="2392">
        <f t="shared" si="421"/>
        <v>86</v>
      </c>
      <c r="BB217" s="2392">
        <f t="shared" si="421"/>
        <v>86</v>
      </c>
      <c r="BC217" s="2620">
        <f t="shared" si="421"/>
        <v>86</v>
      </c>
      <c r="BD217" s="2392">
        <f t="shared" si="421"/>
        <v>86</v>
      </c>
      <c r="BE217" s="2392"/>
      <c r="BF217" s="2392">
        <f t="shared" si="421"/>
        <v>86</v>
      </c>
      <c r="BG217" s="2392">
        <f t="shared" si="421"/>
        <v>86</v>
      </c>
      <c r="BH217" s="2392">
        <f t="shared" si="421"/>
        <v>86</v>
      </c>
      <c r="BI217" s="2392">
        <f t="shared" si="421"/>
        <v>86</v>
      </c>
      <c r="BJ217" s="2392"/>
      <c r="BK217" s="2392">
        <f>BK215*2/1.2</f>
        <v>86</v>
      </c>
      <c r="BL217" s="2392">
        <f>BL215*2/1.2</f>
        <v>86</v>
      </c>
      <c r="BM217" s="2392">
        <f>BM215*2/1.2</f>
        <v>86</v>
      </c>
      <c r="BN217" s="2392">
        <f>BN215*2/1.2</f>
        <v>86</v>
      </c>
      <c r="BO217" s="2392"/>
      <c r="BP217" s="2392">
        <f>BP215*2/1.2</f>
        <v>86</v>
      </c>
      <c r="BQ217" s="2392">
        <f>BQ215*2/1.2</f>
        <v>86</v>
      </c>
      <c r="BR217" s="2392">
        <f>BR215*2/1.2</f>
        <v>86</v>
      </c>
      <c r="BS217" s="2392">
        <f>BS215*2/1.2</f>
        <v>86</v>
      </c>
      <c r="BT217" s="2392"/>
      <c r="BU217" s="2392">
        <f>BU215*2/1.2</f>
        <v>86</v>
      </c>
      <c r="BV217" s="2392">
        <f>BV215*2/1.2</f>
        <v>86</v>
      </c>
      <c r="BW217" s="2392">
        <f>BW215*2/1.2</f>
        <v>86</v>
      </c>
      <c r="BX217" s="2392">
        <f>BX215*2/1.2</f>
        <v>86</v>
      </c>
      <c r="BY217" s="2258"/>
      <c r="BZ217" s="2258"/>
      <c r="CA217" s="2258"/>
      <c r="CB217" s="2258"/>
      <c r="CC217" s="2258"/>
      <c r="CD217" s="2258"/>
      <c r="CE217" s="2258"/>
      <c r="CF217" s="2258"/>
      <c r="CG217" s="2258"/>
      <c r="CH217" s="2258"/>
      <c r="CI217" s="2258"/>
      <c r="CJ217" s="2258"/>
      <c r="CK217" s="2258"/>
      <c r="CL217" s="2258"/>
      <c r="CM217" s="2258"/>
      <c r="CN217" s="2258"/>
      <c r="CO217" s="2258"/>
      <c r="CP217" s="2258"/>
      <c r="CQ217" s="2258"/>
      <c r="CR217" s="2258"/>
      <c r="CS217" s="2258"/>
      <c r="CT217" s="2258"/>
      <c r="CU217" s="2258"/>
      <c r="CV217" s="2258"/>
      <c r="CW217" s="2258"/>
      <c r="CX217" s="2258"/>
      <c r="CY217" s="2258"/>
      <c r="CZ217" s="2258"/>
      <c r="DA217" s="2258"/>
      <c r="DB217" s="2258"/>
      <c r="DC217" s="2258"/>
      <c r="DD217" s="2258"/>
      <c r="DE217" s="2258"/>
      <c r="DF217" s="2258"/>
    </row>
    <row r="218" spans="1:110" s="1715" customFormat="1" hidden="1" outlineLevel="2">
      <c r="A218" s="2249" t="s">
        <v>319</v>
      </c>
      <c r="B218" s="2258"/>
      <c r="C218" s="2258"/>
      <c r="D218" s="2258"/>
      <c r="E218" s="2258"/>
      <c r="F218" s="2258"/>
      <c r="G218" s="2258"/>
      <c r="H218" s="2258"/>
      <c r="I218" s="2258"/>
      <c r="J218" s="2258"/>
      <c r="K218" s="2392"/>
      <c r="L218" s="2392"/>
      <c r="M218" s="2392"/>
      <c r="N218" s="2392"/>
      <c r="O218" s="2392"/>
      <c r="P218" s="2392"/>
      <c r="Q218" s="2392"/>
      <c r="R218" s="2392"/>
      <c r="S218" s="2392"/>
      <c r="T218" s="2392"/>
      <c r="U218" s="2392"/>
      <c r="V218" s="2392"/>
      <c r="W218" s="2392"/>
      <c r="X218" s="2392"/>
      <c r="Y218" s="2392">
        <f t="shared" ref="Y218:BX218" si="422">25*1.2</f>
        <v>30</v>
      </c>
      <c r="Z218" s="2392">
        <f t="shared" si="422"/>
        <v>30</v>
      </c>
      <c r="AA218" s="2392">
        <f t="shared" si="422"/>
        <v>30</v>
      </c>
      <c r="AB218" s="2392">
        <f t="shared" si="422"/>
        <v>30</v>
      </c>
      <c r="AC218" s="2392">
        <f t="shared" si="422"/>
        <v>30</v>
      </c>
      <c r="AD218" s="2392">
        <f t="shared" si="422"/>
        <v>30</v>
      </c>
      <c r="AE218" s="2392">
        <f t="shared" si="422"/>
        <v>30</v>
      </c>
      <c r="AF218" s="2392">
        <f t="shared" si="422"/>
        <v>30</v>
      </c>
      <c r="AG218" s="2392">
        <f t="shared" si="422"/>
        <v>30</v>
      </c>
      <c r="AH218" s="2392">
        <f t="shared" si="422"/>
        <v>30</v>
      </c>
      <c r="AI218" s="2392">
        <f t="shared" si="422"/>
        <v>30</v>
      </c>
      <c r="AJ218" s="2392">
        <f t="shared" si="422"/>
        <v>30</v>
      </c>
      <c r="AK218" s="2392">
        <f t="shared" si="422"/>
        <v>30</v>
      </c>
      <c r="AL218" s="2392">
        <f t="shared" si="422"/>
        <v>30</v>
      </c>
      <c r="AM218" s="2392">
        <f t="shared" si="422"/>
        <v>30</v>
      </c>
      <c r="AN218" s="2392">
        <f t="shared" si="422"/>
        <v>30</v>
      </c>
      <c r="AO218" s="2392">
        <f t="shared" si="422"/>
        <v>30</v>
      </c>
      <c r="AP218" s="2392">
        <f t="shared" si="422"/>
        <v>30</v>
      </c>
      <c r="AQ218" s="2392">
        <f t="shared" si="422"/>
        <v>30</v>
      </c>
      <c r="AR218" s="2392">
        <v>30</v>
      </c>
      <c r="AS218" s="2392">
        <f t="shared" si="422"/>
        <v>30</v>
      </c>
      <c r="AT218" s="2392">
        <f t="shared" si="422"/>
        <v>30</v>
      </c>
      <c r="AU218" s="2392">
        <f t="shared" si="422"/>
        <v>30</v>
      </c>
      <c r="AV218" s="2392">
        <f t="shared" si="422"/>
        <v>30</v>
      </c>
      <c r="AW218" s="2392">
        <f t="shared" si="422"/>
        <v>30</v>
      </c>
      <c r="AX218" s="2392">
        <f t="shared" si="422"/>
        <v>30</v>
      </c>
      <c r="AY218" s="2392">
        <f t="shared" si="422"/>
        <v>30</v>
      </c>
      <c r="AZ218" s="2392"/>
      <c r="BA218" s="2392">
        <f t="shared" si="422"/>
        <v>30</v>
      </c>
      <c r="BB218" s="2392">
        <f t="shared" si="422"/>
        <v>30</v>
      </c>
      <c r="BC218" s="2620">
        <f t="shared" si="422"/>
        <v>30</v>
      </c>
      <c r="BD218" s="2392">
        <f t="shared" si="422"/>
        <v>30</v>
      </c>
      <c r="BE218" s="2392"/>
      <c r="BF218" s="2392">
        <f t="shared" si="422"/>
        <v>30</v>
      </c>
      <c r="BG218" s="2392">
        <f t="shared" si="422"/>
        <v>30</v>
      </c>
      <c r="BH218" s="2392">
        <f t="shared" si="422"/>
        <v>30</v>
      </c>
      <c r="BI218" s="2392">
        <f t="shared" si="422"/>
        <v>30</v>
      </c>
      <c r="BJ218" s="2392"/>
      <c r="BK218" s="2392">
        <f t="shared" si="422"/>
        <v>30</v>
      </c>
      <c r="BL218" s="2392">
        <f t="shared" si="422"/>
        <v>30</v>
      </c>
      <c r="BM218" s="2392">
        <f t="shared" si="422"/>
        <v>30</v>
      </c>
      <c r="BN218" s="2392">
        <f t="shared" si="422"/>
        <v>30</v>
      </c>
      <c r="BO218" s="2392"/>
      <c r="BP218" s="2392">
        <f t="shared" si="422"/>
        <v>30</v>
      </c>
      <c r="BQ218" s="2392">
        <f t="shared" si="422"/>
        <v>30</v>
      </c>
      <c r="BR218" s="2392">
        <f t="shared" si="422"/>
        <v>30</v>
      </c>
      <c r="BS218" s="2392">
        <f t="shared" si="422"/>
        <v>30</v>
      </c>
      <c r="BT218" s="2392"/>
      <c r="BU218" s="2392">
        <f t="shared" si="422"/>
        <v>30</v>
      </c>
      <c r="BV218" s="2392">
        <f t="shared" si="422"/>
        <v>30</v>
      </c>
      <c r="BW218" s="2392">
        <f t="shared" si="422"/>
        <v>30</v>
      </c>
      <c r="BX218" s="2392">
        <f t="shared" si="422"/>
        <v>30</v>
      </c>
      <c r="BY218" s="2258"/>
      <c r="BZ218" s="2258"/>
      <c r="CA218" s="2258"/>
      <c r="CB218" s="2258"/>
      <c r="CC218" s="2258"/>
      <c r="CD218" s="2258"/>
      <c r="CE218" s="2258"/>
      <c r="CF218" s="2258"/>
      <c r="CG218" s="2258"/>
      <c r="CH218" s="2258"/>
      <c r="CI218" s="2258"/>
      <c r="CJ218" s="2258"/>
      <c r="CK218" s="2258"/>
      <c r="CL218" s="2258"/>
      <c r="CM218" s="2258"/>
      <c r="CN218" s="2258"/>
      <c r="CO218" s="2258"/>
      <c r="CP218" s="2258"/>
      <c r="CQ218" s="2258"/>
      <c r="CR218" s="2258"/>
      <c r="CS218" s="2258"/>
      <c r="CT218" s="2258"/>
      <c r="CU218" s="2258"/>
      <c r="CV218" s="2258"/>
      <c r="CW218" s="2258"/>
      <c r="CX218" s="2258"/>
      <c r="CY218" s="2258"/>
      <c r="CZ218" s="2258"/>
      <c r="DA218" s="2258"/>
      <c r="DB218" s="2258"/>
      <c r="DC218" s="2258"/>
      <c r="DD218" s="2258"/>
      <c r="DE218" s="2258"/>
      <c r="DF218" s="2258"/>
    </row>
    <row r="219" spans="1:110" s="1715" customFormat="1" hidden="1" outlineLevel="2">
      <c r="A219" s="2249" t="s">
        <v>318</v>
      </c>
      <c r="B219" s="2258"/>
      <c r="C219" s="2258"/>
      <c r="D219" s="2258"/>
      <c r="E219" s="2258"/>
      <c r="F219" s="2258"/>
      <c r="G219" s="2258"/>
      <c r="H219" s="2258"/>
      <c r="I219" s="2258"/>
      <c r="J219" s="2258"/>
      <c r="K219" s="2392"/>
      <c r="L219" s="2392"/>
      <c r="M219" s="2392"/>
      <c r="N219" s="2392"/>
      <c r="O219" s="2392"/>
      <c r="P219" s="2392"/>
      <c r="Q219" s="2392"/>
      <c r="R219" s="2392"/>
      <c r="S219" s="2392"/>
      <c r="T219" s="2392"/>
      <c r="U219" s="2392"/>
      <c r="V219" s="2392"/>
      <c r="W219" s="2392"/>
      <c r="X219" s="2392"/>
      <c r="Y219" s="2392">
        <f t="shared" ref="Y219:AT219" si="423">Y220/1.5</f>
        <v>36.016666666666666</v>
      </c>
      <c r="Z219" s="2392">
        <f t="shared" si="423"/>
        <v>36.666666666666664</v>
      </c>
      <c r="AA219" s="2392">
        <f t="shared" si="423"/>
        <v>36</v>
      </c>
      <c r="AB219" s="2392">
        <f t="shared" si="423"/>
        <v>36.553331577179073</v>
      </c>
      <c r="AC219" s="2392">
        <f t="shared" si="423"/>
        <v>38.032597837569128</v>
      </c>
      <c r="AD219" s="2392">
        <f t="shared" si="423"/>
        <v>35.93333333333333</v>
      </c>
      <c r="AE219" s="2392">
        <f t="shared" si="423"/>
        <v>35.621295382798209</v>
      </c>
      <c r="AF219" s="2392">
        <f t="shared" si="423"/>
        <v>35.308319744135723</v>
      </c>
      <c r="AG219" s="2392">
        <f t="shared" si="423"/>
        <v>36.788731927760715</v>
      </c>
      <c r="AH219" s="2392">
        <f t="shared" si="423"/>
        <v>35.64</v>
      </c>
      <c r="AI219" s="2392">
        <f t="shared" si="423"/>
        <v>35.6</v>
      </c>
      <c r="AJ219" s="2392">
        <f t="shared" si="423"/>
        <v>34.4</v>
      </c>
      <c r="AK219" s="2392">
        <f t="shared" si="423"/>
        <v>34.4</v>
      </c>
      <c r="AL219" s="2392">
        <f t="shared" si="423"/>
        <v>34.4</v>
      </c>
      <c r="AM219" s="2392">
        <f t="shared" si="423"/>
        <v>34.4</v>
      </c>
      <c r="AN219" s="2392">
        <f t="shared" si="423"/>
        <v>34.4</v>
      </c>
      <c r="AO219" s="2392">
        <f t="shared" si="423"/>
        <v>34.4</v>
      </c>
      <c r="AP219" s="2392">
        <f t="shared" si="423"/>
        <v>34.4</v>
      </c>
      <c r="AQ219" s="2392">
        <f t="shared" si="423"/>
        <v>34.4</v>
      </c>
      <c r="AR219" s="2392">
        <v>34.4</v>
      </c>
      <c r="AS219" s="2392">
        <f t="shared" si="423"/>
        <v>34.4</v>
      </c>
      <c r="AT219" s="2392">
        <f t="shared" si="423"/>
        <v>34.4</v>
      </c>
      <c r="AU219" s="2392">
        <f>AU220/1.45</f>
        <v>35.58620689655173</v>
      </c>
      <c r="AV219" s="2392">
        <f>AV220/1.5</f>
        <v>34.4</v>
      </c>
      <c r="AW219" s="2392">
        <f>AW220/1.55</f>
        <v>33.29032258064516</v>
      </c>
      <c r="AX219" s="2392">
        <f>AX220/1.55</f>
        <v>33.29032258064516</v>
      </c>
      <c r="AY219" s="2392">
        <f>AY220/1.55</f>
        <v>33.29032258064516</v>
      </c>
      <c r="AZ219" s="2392"/>
      <c r="BA219" s="2392">
        <f>AY219</f>
        <v>33.29032258064516</v>
      </c>
      <c r="BB219" s="2392">
        <f>BA219</f>
        <v>33.29032258064516</v>
      </c>
      <c r="BC219" s="2620">
        <f>BB219</f>
        <v>33.29032258064516</v>
      </c>
      <c r="BD219" s="2392">
        <f>BC219</f>
        <v>33.29032258064516</v>
      </c>
      <c r="BE219" s="2392"/>
      <c r="BF219" s="2392">
        <f>BF220/1.65</f>
        <v>31.272727272727277</v>
      </c>
      <c r="BG219" s="2392">
        <f>BF219</f>
        <v>31.272727272727277</v>
      </c>
      <c r="BH219" s="2392">
        <f>BG219</f>
        <v>31.272727272727277</v>
      </c>
      <c r="BI219" s="2392">
        <f>BH219</f>
        <v>31.272727272727277</v>
      </c>
      <c r="BJ219" s="2392"/>
      <c r="BK219" s="2392">
        <f>BK220/1.65</f>
        <v>31.272727272727277</v>
      </c>
      <c r="BL219" s="2392">
        <f t="shared" ref="BL219:BN220" si="424">BK219</f>
        <v>31.272727272727277</v>
      </c>
      <c r="BM219" s="2392">
        <f t="shared" si="424"/>
        <v>31.272727272727277</v>
      </c>
      <c r="BN219" s="2392">
        <f t="shared" si="424"/>
        <v>31.272727272727277</v>
      </c>
      <c r="BO219" s="2392"/>
      <c r="BP219" s="2392">
        <f>BP220/1.65</f>
        <v>31.272727272727277</v>
      </c>
      <c r="BQ219" s="2392">
        <f t="shared" ref="BQ219:BQ220" si="425">BP219</f>
        <v>31.272727272727277</v>
      </c>
      <c r="BR219" s="2392">
        <f t="shared" ref="BR219:BR220" si="426">BQ219</f>
        <v>31.272727272727277</v>
      </c>
      <c r="BS219" s="2392">
        <f t="shared" ref="BS219:BS220" si="427">BR219</f>
        <v>31.272727272727277</v>
      </c>
      <c r="BT219" s="2392"/>
      <c r="BU219" s="2392">
        <f>BU220/1.65</f>
        <v>31.272727272727277</v>
      </c>
      <c r="BV219" s="2392">
        <f t="shared" ref="BV219:BV220" si="428">BU219</f>
        <v>31.272727272727277</v>
      </c>
      <c r="BW219" s="2392">
        <f t="shared" ref="BW219:BW220" si="429">BV219</f>
        <v>31.272727272727277</v>
      </c>
      <c r="BX219" s="2392">
        <f t="shared" ref="BX219:BX220" si="430">BW219</f>
        <v>31.272727272727277</v>
      </c>
      <c r="BY219" s="2258"/>
      <c r="BZ219" s="2258"/>
      <c r="CA219" s="2258"/>
      <c r="CB219" s="2258"/>
      <c r="CC219" s="2258"/>
      <c r="CD219" s="2258"/>
      <c r="CE219" s="2258"/>
      <c r="CF219" s="2258"/>
      <c r="CG219" s="2258"/>
      <c r="CH219" s="2258"/>
      <c r="CI219" s="2258"/>
      <c r="CJ219" s="2258"/>
      <c r="CK219" s="2258"/>
      <c r="CL219" s="2258"/>
      <c r="CM219" s="2258"/>
      <c r="CN219" s="2258"/>
      <c r="CO219" s="2258"/>
      <c r="CP219" s="2258"/>
      <c r="CQ219" s="2258"/>
      <c r="CR219" s="2258"/>
      <c r="CS219" s="2258"/>
      <c r="CT219" s="2258"/>
      <c r="CU219" s="2258"/>
      <c r="CV219" s="2258"/>
      <c r="CW219" s="2258"/>
      <c r="CX219" s="2258"/>
      <c r="CY219" s="2258"/>
      <c r="CZ219" s="2258"/>
      <c r="DA219" s="2258"/>
      <c r="DB219" s="2258"/>
      <c r="DC219" s="2258"/>
      <c r="DD219" s="2258"/>
      <c r="DE219" s="2258"/>
      <c r="DF219" s="2258"/>
    </row>
    <row r="220" spans="1:110" s="1715" customFormat="1" hidden="1" outlineLevel="2">
      <c r="A220" s="2249" t="s">
        <v>317</v>
      </c>
      <c r="B220" s="2258"/>
      <c r="C220" s="2258"/>
      <c r="D220" s="2258"/>
      <c r="E220" s="2258"/>
      <c r="F220" s="2258"/>
      <c r="G220" s="2258"/>
      <c r="H220" s="2258"/>
      <c r="I220" s="2258"/>
      <c r="J220" s="2258"/>
      <c r="K220" s="2392"/>
      <c r="L220" s="2392"/>
      <c r="M220" s="2392"/>
      <c r="N220" s="2392"/>
      <c r="O220" s="2392"/>
      <c r="P220" s="2392"/>
      <c r="Q220" s="2392"/>
      <c r="R220" s="2392"/>
      <c r="S220" s="2392"/>
      <c r="T220" s="2392"/>
      <c r="U220" s="2392"/>
      <c r="V220" s="2392"/>
      <c r="W220" s="2392"/>
      <c r="X220" s="2392"/>
      <c r="Y220" s="2469">
        <v>54.024999999999999</v>
      </c>
      <c r="Z220" s="2469">
        <v>55</v>
      </c>
      <c r="AA220" s="2469">
        <v>54</v>
      </c>
      <c r="AB220" s="2469">
        <v>54.829997365768605</v>
      </c>
      <c r="AC220" s="2469">
        <v>57.048896756353692</v>
      </c>
      <c r="AD220" s="2469">
        <v>53.9</v>
      </c>
      <c r="AE220" s="2469">
        <v>53.431943074197314</v>
      </c>
      <c r="AF220" s="2469">
        <v>52.962479616203581</v>
      </c>
      <c r="AG220" s="2469">
        <v>55.183097891641076</v>
      </c>
      <c r="AH220" s="2469">
        <v>53.46</v>
      </c>
      <c r="AI220" s="2469">
        <v>53.4</v>
      </c>
      <c r="AJ220" s="2469">
        <v>51.6</v>
      </c>
      <c r="AK220" s="2469">
        <f>AJ220</f>
        <v>51.6</v>
      </c>
      <c r="AL220" s="2469">
        <f>AK220</f>
        <v>51.6</v>
      </c>
      <c r="AM220" s="2469">
        <f>AL220</f>
        <v>51.6</v>
      </c>
      <c r="AN220" s="2469">
        <f t="shared" ref="AN220:AU220" si="431">AM220</f>
        <v>51.6</v>
      </c>
      <c r="AO220" s="2469">
        <f t="shared" si="431"/>
        <v>51.6</v>
      </c>
      <c r="AP220" s="2469">
        <f t="shared" si="431"/>
        <v>51.6</v>
      </c>
      <c r="AQ220" s="2469">
        <f t="shared" si="431"/>
        <v>51.6</v>
      </c>
      <c r="AR220" s="2469">
        <v>51.6</v>
      </c>
      <c r="AS220" s="2469">
        <f t="shared" si="431"/>
        <v>51.6</v>
      </c>
      <c r="AT220" s="2469">
        <f t="shared" si="431"/>
        <v>51.6</v>
      </c>
      <c r="AU220" s="2469">
        <f t="shared" si="431"/>
        <v>51.6</v>
      </c>
      <c r="AV220" s="2469">
        <f t="shared" ref="AV220:BI220" si="432">AU220</f>
        <v>51.6</v>
      </c>
      <c r="AW220" s="2469">
        <f t="shared" si="432"/>
        <v>51.6</v>
      </c>
      <c r="AX220" s="2469">
        <f t="shared" si="432"/>
        <v>51.6</v>
      </c>
      <c r="AY220" s="2469">
        <f t="shared" si="432"/>
        <v>51.6</v>
      </c>
      <c r="AZ220" s="2469"/>
      <c r="BA220" s="2469">
        <f>AY220</f>
        <v>51.6</v>
      </c>
      <c r="BB220" s="2469">
        <f t="shared" si="432"/>
        <v>51.6</v>
      </c>
      <c r="BC220" s="2623">
        <f t="shared" si="432"/>
        <v>51.6</v>
      </c>
      <c r="BD220" s="2469">
        <f t="shared" si="432"/>
        <v>51.6</v>
      </c>
      <c r="BE220" s="2469"/>
      <c r="BF220" s="2469">
        <f>BD220</f>
        <v>51.6</v>
      </c>
      <c r="BG220" s="2469">
        <f t="shared" si="432"/>
        <v>51.6</v>
      </c>
      <c r="BH220" s="2469">
        <f t="shared" si="432"/>
        <v>51.6</v>
      </c>
      <c r="BI220" s="2469">
        <f t="shared" si="432"/>
        <v>51.6</v>
      </c>
      <c r="BJ220" s="2469"/>
      <c r="BK220" s="2469">
        <f>BI220</f>
        <v>51.6</v>
      </c>
      <c r="BL220" s="2469">
        <f t="shared" si="424"/>
        <v>51.6</v>
      </c>
      <c r="BM220" s="2469">
        <f t="shared" si="424"/>
        <v>51.6</v>
      </c>
      <c r="BN220" s="2469">
        <f t="shared" si="424"/>
        <v>51.6</v>
      </c>
      <c r="BO220" s="2469"/>
      <c r="BP220" s="2469">
        <f>BN220</f>
        <v>51.6</v>
      </c>
      <c r="BQ220" s="2469">
        <f t="shared" si="425"/>
        <v>51.6</v>
      </c>
      <c r="BR220" s="2469">
        <f t="shared" si="426"/>
        <v>51.6</v>
      </c>
      <c r="BS220" s="2469">
        <f t="shared" si="427"/>
        <v>51.6</v>
      </c>
      <c r="BT220" s="2469"/>
      <c r="BU220" s="2469">
        <f>BS220</f>
        <v>51.6</v>
      </c>
      <c r="BV220" s="2469">
        <f t="shared" si="428"/>
        <v>51.6</v>
      </c>
      <c r="BW220" s="2469">
        <f t="shared" si="429"/>
        <v>51.6</v>
      </c>
      <c r="BX220" s="2469">
        <f t="shared" si="430"/>
        <v>51.6</v>
      </c>
      <c r="BY220" s="2258"/>
      <c r="BZ220" s="2258"/>
      <c r="CA220" s="2258"/>
      <c r="CB220" s="2258"/>
      <c r="CC220" s="2258"/>
      <c r="CD220" s="2258"/>
      <c r="CE220" s="2258"/>
      <c r="CF220" s="2258"/>
      <c r="CG220" s="2258"/>
      <c r="CH220" s="2258"/>
      <c r="CI220" s="2258"/>
      <c r="CJ220" s="2258"/>
      <c r="CK220" s="2258"/>
      <c r="CL220" s="2258"/>
      <c r="CM220" s="2258"/>
      <c r="CN220" s="2258"/>
      <c r="CO220" s="2258"/>
      <c r="CP220" s="2258"/>
      <c r="CQ220" s="2258"/>
      <c r="CR220" s="2258"/>
      <c r="CS220" s="2258"/>
      <c r="CT220" s="2258"/>
      <c r="CU220" s="2258"/>
      <c r="CV220" s="2258"/>
      <c r="CW220" s="2258"/>
      <c r="CX220" s="2258"/>
      <c r="CY220" s="2258"/>
      <c r="CZ220" s="2258"/>
      <c r="DA220" s="2258"/>
      <c r="DB220" s="2258"/>
      <c r="DC220" s="2258"/>
      <c r="DD220" s="2258"/>
      <c r="DE220" s="2258"/>
      <c r="DF220" s="2258"/>
    </row>
    <row r="221" spans="1:110" s="1715" customFormat="1" hidden="1" outlineLevel="2">
      <c r="A221" s="2249" t="s">
        <v>316</v>
      </c>
      <c r="B221" s="2258"/>
      <c r="C221" s="2258"/>
      <c r="D221" s="2258"/>
      <c r="E221" s="2258"/>
      <c r="F221" s="2258"/>
      <c r="G221" s="2258"/>
      <c r="H221" s="2258"/>
      <c r="I221" s="2258"/>
      <c r="J221" s="2258"/>
      <c r="K221" s="2392"/>
      <c r="L221" s="2392"/>
      <c r="M221" s="2392"/>
      <c r="N221" s="2392"/>
      <c r="O221" s="2392"/>
      <c r="P221" s="2392"/>
      <c r="Q221" s="2392"/>
      <c r="R221" s="2392"/>
      <c r="S221" s="2392"/>
      <c r="T221" s="2392"/>
      <c r="U221" s="2392"/>
      <c r="V221" s="2392"/>
      <c r="W221" s="2392"/>
      <c r="X221" s="2392"/>
      <c r="Y221" s="2392">
        <f t="shared" ref="Y221:AU221" si="433">Y220*(2.5/1.2)</f>
        <v>112.55208333333334</v>
      </c>
      <c r="Z221" s="2392">
        <f t="shared" si="433"/>
        <v>114.58333333333334</v>
      </c>
      <c r="AA221" s="2392">
        <f t="shared" si="433"/>
        <v>112.50000000000001</v>
      </c>
      <c r="AB221" s="2392">
        <f t="shared" si="433"/>
        <v>114.22916117868461</v>
      </c>
      <c r="AC221" s="2392">
        <f t="shared" si="433"/>
        <v>118.85186824240353</v>
      </c>
      <c r="AD221" s="2392">
        <f t="shared" si="433"/>
        <v>112.29166666666667</v>
      </c>
      <c r="AE221" s="2392">
        <f t="shared" si="433"/>
        <v>111.31654807124441</v>
      </c>
      <c r="AF221" s="2392">
        <f t="shared" si="433"/>
        <v>110.33849920042414</v>
      </c>
      <c r="AG221" s="2392">
        <f t="shared" si="433"/>
        <v>114.96478727425225</v>
      </c>
      <c r="AH221" s="2392">
        <f t="shared" si="433"/>
        <v>111.37500000000001</v>
      </c>
      <c r="AI221" s="2392">
        <f t="shared" si="433"/>
        <v>111.25</v>
      </c>
      <c r="AJ221" s="2392">
        <f t="shared" si="433"/>
        <v>107.50000000000001</v>
      </c>
      <c r="AK221" s="2392">
        <f t="shared" si="433"/>
        <v>107.50000000000001</v>
      </c>
      <c r="AL221" s="2392">
        <f t="shared" si="433"/>
        <v>107.50000000000001</v>
      </c>
      <c r="AM221" s="2392">
        <f t="shared" si="433"/>
        <v>107.50000000000001</v>
      </c>
      <c r="AN221" s="2392">
        <f t="shared" si="433"/>
        <v>107.50000000000001</v>
      </c>
      <c r="AO221" s="2392">
        <f t="shared" si="433"/>
        <v>107.50000000000001</v>
      </c>
      <c r="AP221" s="2392">
        <f t="shared" si="433"/>
        <v>107.50000000000001</v>
      </c>
      <c r="AQ221" s="2392">
        <f t="shared" si="433"/>
        <v>107.50000000000001</v>
      </c>
      <c r="AR221" s="2392">
        <v>107.50000000000001</v>
      </c>
      <c r="AS221" s="2392">
        <f t="shared" si="433"/>
        <v>107.50000000000001</v>
      </c>
      <c r="AT221" s="2392">
        <f t="shared" si="433"/>
        <v>107.50000000000001</v>
      </c>
      <c r="AU221" s="2392">
        <f t="shared" si="433"/>
        <v>107.50000000000001</v>
      </c>
      <c r="AV221" s="2392">
        <f t="shared" ref="AV221:BI221" si="434">AV220*(2.5/1.2)</f>
        <v>107.50000000000001</v>
      </c>
      <c r="AW221" s="2392">
        <f t="shared" si="434"/>
        <v>107.50000000000001</v>
      </c>
      <c r="AX221" s="2392">
        <f t="shared" si="434"/>
        <v>107.50000000000001</v>
      </c>
      <c r="AY221" s="2392">
        <f t="shared" si="434"/>
        <v>107.50000000000001</v>
      </c>
      <c r="AZ221" s="2392"/>
      <c r="BA221" s="2392">
        <f t="shared" si="434"/>
        <v>107.50000000000001</v>
      </c>
      <c r="BB221" s="2392">
        <f t="shared" si="434"/>
        <v>107.50000000000001</v>
      </c>
      <c r="BC221" s="2620">
        <f t="shared" si="434"/>
        <v>107.50000000000001</v>
      </c>
      <c r="BD221" s="2392">
        <f t="shared" si="434"/>
        <v>107.50000000000001</v>
      </c>
      <c r="BE221" s="2392"/>
      <c r="BF221" s="2392">
        <f t="shared" si="434"/>
        <v>107.50000000000001</v>
      </c>
      <c r="BG221" s="2392">
        <f t="shared" si="434"/>
        <v>107.50000000000001</v>
      </c>
      <c r="BH221" s="2392">
        <f t="shared" si="434"/>
        <v>107.50000000000001</v>
      </c>
      <c r="BI221" s="2392">
        <f t="shared" si="434"/>
        <v>107.50000000000001</v>
      </c>
      <c r="BJ221" s="2392"/>
      <c r="BK221" s="2392">
        <f>BK220*(2.5/1.2)</f>
        <v>107.50000000000001</v>
      </c>
      <c r="BL221" s="2392">
        <f>BL220*(2.5/1.2)</f>
        <v>107.50000000000001</v>
      </c>
      <c r="BM221" s="2392">
        <f>BM220*(2.5/1.2)</f>
        <v>107.50000000000001</v>
      </c>
      <c r="BN221" s="2392">
        <f>BN220*(2.5/1.2)</f>
        <v>107.50000000000001</v>
      </c>
      <c r="BO221" s="2392"/>
      <c r="BP221" s="2392">
        <f>BP220*(2.5/1.2)</f>
        <v>107.50000000000001</v>
      </c>
      <c r="BQ221" s="2392">
        <f>BQ220*(2.5/1.2)</f>
        <v>107.50000000000001</v>
      </c>
      <c r="BR221" s="2392">
        <f>BR220*(2.5/1.2)</f>
        <v>107.50000000000001</v>
      </c>
      <c r="BS221" s="2392">
        <f>BS220*(2.5/1.2)</f>
        <v>107.50000000000001</v>
      </c>
      <c r="BT221" s="2392"/>
      <c r="BU221" s="2392">
        <f>BU220*(2.5/1.2)</f>
        <v>107.50000000000001</v>
      </c>
      <c r="BV221" s="2392">
        <f>BV220*(2.5/1.2)</f>
        <v>107.50000000000001</v>
      </c>
      <c r="BW221" s="2392">
        <f>BW220*(2.5/1.2)</f>
        <v>107.50000000000001</v>
      </c>
      <c r="BX221" s="2392">
        <f>BX220*(2.5/1.2)</f>
        <v>107.50000000000001</v>
      </c>
      <c r="BY221" s="2258"/>
      <c r="BZ221" s="2258"/>
      <c r="CA221" s="2258"/>
      <c r="CB221" s="2258"/>
      <c r="CC221" s="2258"/>
      <c r="CD221" s="2258"/>
      <c r="CE221" s="2258"/>
      <c r="CF221" s="2258"/>
      <c r="CG221" s="2258"/>
      <c r="CH221" s="2258"/>
      <c r="CI221" s="2258"/>
      <c r="CJ221" s="2258"/>
      <c r="CK221" s="2258"/>
      <c r="CL221" s="2258"/>
      <c r="CM221" s="2258"/>
      <c r="CN221" s="2258"/>
      <c r="CO221" s="2258"/>
      <c r="CP221" s="2258"/>
      <c r="CQ221" s="2258"/>
      <c r="CR221" s="2258"/>
      <c r="CS221" s="2258"/>
      <c r="CT221" s="2258"/>
      <c r="CU221" s="2258"/>
      <c r="CV221" s="2258"/>
      <c r="CW221" s="2258"/>
      <c r="CX221" s="2258"/>
      <c r="CY221" s="2258"/>
      <c r="CZ221" s="2258"/>
      <c r="DA221" s="2258"/>
      <c r="DB221" s="2258"/>
      <c r="DC221" s="2258"/>
      <c r="DD221" s="2258"/>
      <c r="DE221" s="2258"/>
      <c r="DF221" s="2258"/>
    </row>
    <row r="222" spans="1:110" s="1715" customFormat="1" hidden="1" outlineLevel="2">
      <c r="A222" s="2249" t="s">
        <v>315</v>
      </c>
      <c r="B222" s="2258"/>
      <c r="C222" s="2258"/>
      <c r="D222" s="2258"/>
      <c r="E222" s="2258"/>
      <c r="F222" s="2258"/>
      <c r="G222" s="2258"/>
      <c r="H222" s="2258"/>
      <c r="I222" s="2258"/>
      <c r="J222" s="2258"/>
      <c r="K222" s="2258"/>
      <c r="L222" s="2258"/>
      <c r="M222" s="2258"/>
      <c r="N222" s="2258"/>
      <c r="O222" s="2258"/>
      <c r="P222" s="2258"/>
      <c r="Q222" s="2258"/>
      <c r="R222" s="2258"/>
      <c r="S222" s="2258"/>
      <c r="T222" s="2258"/>
      <c r="U222" s="2258"/>
      <c r="V222" s="2258"/>
      <c r="W222" s="2239"/>
      <c r="X222" s="2239"/>
      <c r="Y222" s="2392">
        <f t="shared" ref="Y222:AU222" si="435">Y220*2/1.2</f>
        <v>90.041666666666671</v>
      </c>
      <c r="Z222" s="2392">
        <f t="shared" si="435"/>
        <v>91.666666666666671</v>
      </c>
      <c r="AA222" s="2392">
        <f t="shared" si="435"/>
        <v>90</v>
      </c>
      <c r="AB222" s="2392">
        <f t="shared" si="435"/>
        <v>91.383328942947685</v>
      </c>
      <c r="AC222" s="2392">
        <f t="shared" si="435"/>
        <v>95.081494593922827</v>
      </c>
      <c r="AD222" s="2392">
        <f t="shared" si="435"/>
        <v>89.833333333333329</v>
      </c>
      <c r="AE222" s="2392">
        <f t="shared" si="435"/>
        <v>89.05323845699553</v>
      </c>
      <c r="AF222" s="2392">
        <f t="shared" si="435"/>
        <v>88.270799360339311</v>
      </c>
      <c r="AG222" s="2392">
        <f t="shared" si="435"/>
        <v>91.97182981940179</v>
      </c>
      <c r="AH222" s="2392">
        <f t="shared" si="435"/>
        <v>89.100000000000009</v>
      </c>
      <c r="AI222" s="2392">
        <f t="shared" si="435"/>
        <v>89</v>
      </c>
      <c r="AJ222" s="2392">
        <f t="shared" si="435"/>
        <v>86</v>
      </c>
      <c r="AK222" s="2392">
        <f t="shared" si="435"/>
        <v>86</v>
      </c>
      <c r="AL222" s="2392">
        <f t="shared" si="435"/>
        <v>86</v>
      </c>
      <c r="AM222" s="2392">
        <f t="shared" si="435"/>
        <v>86</v>
      </c>
      <c r="AN222" s="2392">
        <f t="shared" si="435"/>
        <v>86</v>
      </c>
      <c r="AO222" s="2392">
        <f t="shared" si="435"/>
        <v>86</v>
      </c>
      <c r="AP222" s="2392">
        <f t="shared" si="435"/>
        <v>86</v>
      </c>
      <c r="AQ222" s="2392">
        <f t="shared" si="435"/>
        <v>86</v>
      </c>
      <c r="AR222" s="2392">
        <v>86</v>
      </c>
      <c r="AS222" s="2392">
        <f>AS220*2/1.15</f>
        <v>89.739130434782624</v>
      </c>
      <c r="AT222" s="2392">
        <f t="shared" si="435"/>
        <v>86</v>
      </c>
      <c r="AU222" s="2392">
        <f t="shared" si="435"/>
        <v>86</v>
      </c>
      <c r="AV222" s="2392">
        <f t="shared" ref="AV222:BI222" si="436">AV220*2/1.2</f>
        <v>86</v>
      </c>
      <c r="AW222" s="2392">
        <f t="shared" si="436"/>
        <v>86</v>
      </c>
      <c r="AX222" s="2392">
        <f t="shared" si="436"/>
        <v>86</v>
      </c>
      <c r="AY222" s="2392">
        <f t="shared" si="436"/>
        <v>86</v>
      </c>
      <c r="AZ222" s="2392"/>
      <c r="BA222" s="2392">
        <f t="shared" si="436"/>
        <v>86</v>
      </c>
      <c r="BB222" s="2392">
        <f t="shared" si="436"/>
        <v>86</v>
      </c>
      <c r="BC222" s="2620">
        <f t="shared" si="436"/>
        <v>86</v>
      </c>
      <c r="BD222" s="2392">
        <f t="shared" si="436"/>
        <v>86</v>
      </c>
      <c r="BE222" s="2392"/>
      <c r="BF222" s="2392">
        <f t="shared" si="436"/>
        <v>86</v>
      </c>
      <c r="BG222" s="2392">
        <f t="shared" si="436"/>
        <v>86</v>
      </c>
      <c r="BH222" s="2392">
        <f t="shared" si="436"/>
        <v>86</v>
      </c>
      <c r="BI222" s="2392">
        <f t="shared" si="436"/>
        <v>86</v>
      </c>
      <c r="BJ222" s="2392"/>
      <c r="BK222" s="2392">
        <f>BK220*2/1.2</f>
        <v>86</v>
      </c>
      <c r="BL222" s="2392">
        <f>BL220*2/1.2</f>
        <v>86</v>
      </c>
      <c r="BM222" s="2392">
        <f>BM220*2/1.2</f>
        <v>86</v>
      </c>
      <c r="BN222" s="2392">
        <f>BN220*2/1.2</f>
        <v>86</v>
      </c>
      <c r="BO222" s="2392"/>
      <c r="BP222" s="2392">
        <f>BP220*2/1.2</f>
        <v>86</v>
      </c>
      <c r="BQ222" s="2392">
        <f>BQ220*2/1.2</f>
        <v>86</v>
      </c>
      <c r="BR222" s="2392">
        <f>BR220*2/1.2</f>
        <v>86</v>
      </c>
      <c r="BS222" s="2392">
        <f>BS220*2/1.2</f>
        <v>86</v>
      </c>
      <c r="BT222" s="2392"/>
      <c r="BU222" s="2392">
        <f>BU220*2/1.2</f>
        <v>86</v>
      </c>
      <c r="BV222" s="2392">
        <f>BV220*2/1.2</f>
        <v>86</v>
      </c>
      <c r="BW222" s="2392">
        <f>BW220*2/1.2</f>
        <v>86</v>
      </c>
      <c r="BX222" s="2392">
        <f>BX220*2/1.2</f>
        <v>86</v>
      </c>
      <c r="BY222" s="2258"/>
      <c r="BZ222" s="2258"/>
      <c r="CA222" s="2258"/>
      <c r="CB222" s="2258"/>
      <c r="CC222" s="2258"/>
      <c r="CD222" s="2258"/>
      <c r="CE222" s="2258"/>
      <c r="CF222" s="2258"/>
      <c r="CG222" s="2258"/>
      <c r="CH222" s="2258"/>
      <c r="CI222" s="2258"/>
      <c r="CJ222" s="2258"/>
      <c r="CK222" s="2258"/>
      <c r="CL222" s="2258"/>
      <c r="CM222" s="2258"/>
      <c r="CN222" s="2258"/>
      <c r="CO222" s="2258"/>
      <c r="CP222" s="2258"/>
      <c r="CQ222" s="2258"/>
      <c r="CR222" s="2258"/>
      <c r="CS222" s="2258"/>
      <c r="CT222" s="2258"/>
      <c r="CU222" s="2258"/>
      <c r="CV222" s="2258"/>
      <c r="CW222" s="2258"/>
      <c r="CX222" s="2258"/>
      <c r="CY222" s="2258"/>
      <c r="CZ222" s="2258"/>
      <c r="DA222" s="2258"/>
      <c r="DB222" s="2258"/>
      <c r="DC222" s="2258"/>
      <c r="DD222" s="2258"/>
      <c r="DE222" s="2258"/>
      <c r="DF222" s="2258"/>
    </row>
    <row r="223" spans="1:110" s="1715" customFormat="1" hidden="1" outlineLevel="2">
      <c r="A223" s="2249" t="s">
        <v>797</v>
      </c>
      <c r="B223" s="2258"/>
      <c r="C223" s="2258"/>
      <c r="D223" s="2258"/>
      <c r="E223" s="2258"/>
      <c r="F223" s="2258"/>
      <c r="G223" s="2258"/>
      <c r="H223" s="2258"/>
      <c r="I223" s="2258"/>
      <c r="J223" s="2258"/>
      <c r="K223" s="2258"/>
      <c r="L223" s="2258"/>
      <c r="M223" s="2258"/>
      <c r="N223" s="2258"/>
      <c r="O223" s="2258"/>
      <c r="P223" s="2258"/>
      <c r="Q223" s="2258"/>
      <c r="R223" s="2258"/>
      <c r="S223" s="2258"/>
      <c r="T223" s="2258"/>
      <c r="U223" s="2258"/>
      <c r="V223" s="2258"/>
      <c r="W223" s="2239"/>
      <c r="X223" s="2239"/>
      <c r="Y223" s="2392"/>
      <c r="Z223" s="2392"/>
      <c r="AA223" s="2392"/>
      <c r="AB223" s="2392"/>
      <c r="AC223" s="2392"/>
      <c r="AD223" s="2392"/>
      <c r="AE223" s="2392"/>
      <c r="AF223" s="2392"/>
      <c r="AG223" s="2392"/>
      <c r="AH223" s="2392"/>
      <c r="AI223" s="2392"/>
      <c r="AJ223" s="2392"/>
      <c r="AK223" s="2469">
        <v>54.116601138870848</v>
      </c>
      <c r="AL223" s="2469">
        <v>51.079199939581279</v>
      </c>
      <c r="AM223" s="2469">
        <v>49.362701853424028</v>
      </c>
      <c r="AN223" s="2469">
        <v>50</v>
      </c>
      <c r="AO223" s="2469">
        <v>46</v>
      </c>
      <c r="AP223" s="2469">
        <f>AO223</f>
        <v>46</v>
      </c>
      <c r="AQ223" s="2469">
        <v>46.3</v>
      </c>
      <c r="AR223" s="2469">
        <v>45.2</v>
      </c>
      <c r="AS223" s="2469">
        <f>AR223*0.86</f>
        <v>38.872</v>
      </c>
      <c r="AT223" s="2469">
        <v>38</v>
      </c>
      <c r="AU223" s="2469">
        <v>38</v>
      </c>
      <c r="AV223" s="2469">
        <f>AU223-0.5</f>
        <v>37.5</v>
      </c>
      <c r="AW223" s="2469">
        <f t="shared" ref="AW223:BI223" si="437">AV223</f>
        <v>37.5</v>
      </c>
      <c r="AX223" s="2469">
        <f t="shared" si="437"/>
        <v>37.5</v>
      </c>
      <c r="AY223" s="2469">
        <f t="shared" si="437"/>
        <v>37.5</v>
      </c>
      <c r="AZ223" s="2469"/>
      <c r="BA223" s="2469">
        <f>AY223-1.25</f>
        <v>36.25</v>
      </c>
      <c r="BB223" s="2469">
        <f>BA223</f>
        <v>36.25</v>
      </c>
      <c r="BC223" s="2623">
        <f t="shared" si="437"/>
        <v>36.25</v>
      </c>
      <c r="BD223" s="2469">
        <f t="shared" si="437"/>
        <v>36.25</v>
      </c>
      <c r="BE223" s="2469"/>
      <c r="BF223" s="2469">
        <f>BD223-1</f>
        <v>35.25</v>
      </c>
      <c r="BG223" s="2469">
        <f t="shared" si="437"/>
        <v>35.25</v>
      </c>
      <c r="BH223" s="2469">
        <f t="shared" si="437"/>
        <v>35.25</v>
      </c>
      <c r="BI223" s="2469">
        <f t="shared" si="437"/>
        <v>35.25</v>
      </c>
      <c r="BJ223" s="2469"/>
      <c r="BK223" s="2469">
        <f>BI223-1</f>
        <v>34.25</v>
      </c>
      <c r="BL223" s="2469">
        <f>BK223</f>
        <v>34.25</v>
      </c>
      <c r="BM223" s="2469">
        <f>BL223</f>
        <v>34.25</v>
      </c>
      <c r="BN223" s="2469">
        <f>BM223</f>
        <v>34.25</v>
      </c>
      <c r="BO223" s="2469"/>
      <c r="BP223" s="2469">
        <f>BN223-1</f>
        <v>33.25</v>
      </c>
      <c r="BQ223" s="2469">
        <f>BP223</f>
        <v>33.25</v>
      </c>
      <c r="BR223" s="2469">
        <f>BQ223</f>
        <v>33.25</v>
      </c>
      <c r="BS223" s="2469">
        <f>BR223</f>
        <v>33.25</v>
      </c>
      <c r="BT223" s="2469"/>
      <c r="BU223" s="2469">
        <f>BS223-1</f>
        <v>32.25</v>
      </c>
      <c r="BV223" s="2469">
        <f>BU223</f>
        <v>32.25</v>
      </c>
      <c r="BW223" s="2469">
        <f>BV223</f>
        <v>32.25</v>
      </c>
      <c r="BX223" s="2469">
        <f>BW223</f>
        <v>32.25</v>
      </c>
      <c r="BY223" s="2258"/>
      <c r="BZ223" s="2258"/>
      <c r="CA223" s="2258"/>
      <c r="CB223" s="2258"/>
      <c r="CC223" s="2258"/>
      <c r="CD223" s="2258"/>
      <c r="CE223" s="2258"/>
      <c r="CF223" s="2258"/>
      <c r="CG223" s="2258"/>
      <c r="CH223" s="2258"/>
      <c r="CI223" s="2258"/>
      <c r="CJ223" s="2258"/>
      <c r="CK223" s="2258"/>
      <c r="CL223" s="2258"/>
      <c r="CM223" s="2258"/>
      <c r="CN223" s="2258"/>
      <c r="CO223" s="2258"/>
      <c r="CP223" s="2258"/>
      <c r="CQ223" s="2258"/>
      <c r="CR223" s="2258"/>
      <c r="CS223" s="2258"/>
      <c r="CT223" s="2258"/>
      <c r="CU223" s="2258"/>
      <c r="CV223" s="2258"/>
      <c r="CW223" s="2258"/>
      <c r="CX223" s="2258"/>
      <c r="CY223" s="2392">
        <f>AVERAGE(AH223:AK223)</f>
        <v>54.116601138870848</v>
      </c>
      <c r="CZ223" s="2392">
        <f>AVERAGE(AL223:AO223)</f>
        <v>49.110475448251329</v>
      </c>
      <c r="DA223" s="2392">
        <f t="shared" ref="DA223:DB225" si="438">AVERAGE(AP223:AS223)</f>
        <v>44.093000000000004</v>
      </c>
      <c r="DB223" s="2392">
        <f t="shared" si="438"/>
        <v>42.093000000000004</v>
      </c>
      <c r="DC223" s="2392">
        <f>AVERAGE(AU223:AX223)</f>
        <v>37.625</v>
      </c>
      <c r="DD223" s="2392">
        <f t="shared" ref="DD223:DE225" si="439">AVERAGE(AX223:BB223)</f>
        <v>36.875</v>
      </c>
      <c r="DE223" s="2392">
        <f t="shared" si="439"/>
        <v>36.5625</v>
      </c>
      <c r="DF223" s="2392"/>
    </row>
    <row r="224" spans="1:110" s="1715" customFormat="1" hidden="1" outlineLevel="2">
      <c r="A224" s="2249" t="s">
        <v>799</v>
      </c>
      <c r="B224" s="2258"/>
      <c r="C224" s="2258"/>
      <c r="D224" s="2258"/>
      <c r="E224" s="2258"/>
      <c r="F224" s="2258"/>
      <c r="G224" s="2258"/>
      <c r="H224" s="2258"/>
      <c r="I224" s="2258"/>
      <c r="J224" s="2258"/>
      <c r="K224" s="2258"/>
      <c r="L224" s="2258"/>
      <c r="M224" s="2258"/>
      <c r="N224" s="2258"/>
      <c r="O224" s="2258"/>
      <c r="P224" s="2258"/>
      <c r="Q224" s="2258"/>
      <c r="R224" s="2258"/>
      <c r="S224" s="2258"/>
      <c r="T224" s="2258"/>
      <c r="U224" s="2258"/>
      <c r="V224" s="2258"/>
      <c r="W224" s="2239"/>
      <c r="X224" s="2239"/>
      <c r="Y224" s="2392"/>
      <c r="Z224" s="2392"/>
      <c r="AA224" s="2392"/>
      <c r="AB224" s="2392"/>
      <c r="AC224" s="2392"/>
      <c r="AD224" s="2392"/>
      <c r="AE224" s="2392"/>
      <c r="AF224" s="2392"/>
      <c r="AG224" s="2392"/>
      <c r="AH224" s="2392"/>
      <c r="AI224" s="2392"/>
      <c r="AJ224" s="2392"/>
      <c r="AK224" s="2392">
        <f t="shared" ref="AK224:AU224" si="440">AK223*2/1.2</f>
        <v>90.194335231451419</v>
      </c>
      <c r="AL224" s="2392">
        <f t="shared" si="440"/>
        <v>85.13199989930213</v>
      </c>
      <c r="AM224" s="2392">
        <f t="shared" si="440"/>
        <v>82.271169755706723</v>
      </c>
      <c r="AN224" s="2392">
        <f t="shared" si="440"/>
        <v>83.333333333333343</v>
      </c>
      <c r="AO224" s="2392">
        <v>83</v>
      </c>
      <c r="AP224" s="2392">
        <f>AO224</f>
        <v>83</v>
      </c>
      <c r="AQ224" s="2392">
        <f t="shared" si="440"/>
        <v>77.166666666666671</v>
      </c>
      <c r="AR224" s="2392">
        <v>80</v>
      </c>
      <c r="AS224" s="2392">
        <f>AS223*2/1.115</f>
        <v>69.725560538116596</v>
      </c>
      <c r="AT224" s="2392">
        <f>AT223*2/1.05</f>
        <v>72.38095238095238</v>
      </c>
      <c r="AU224" s="2392">
        <f t="shared" si="440"/>
        <v>63.333333333333336</v>
      </c>
      <c r="AV224" s="2392">
        <f>AV223*2/1.2</f>
        <v>62.5</v>
      </c>
      <c r="AW224" s="2392">
        <f>AW223*2/1.2</f>
        <v>62.5</v>
      </c>
      <c r="AX224" s="2392">
        <f>AX223*2/1.2</f>
        <v>62.5</v>
      </c>
      <c r="AY224" s="2392">
        <f>AY223*2/1.2</f>
        <v>62.5</v>
      </c>
      <c r="AZ224" s="2392"/>
      <c r="BA224" s="2392">
        <f>BA223*2/1.18</f>
        <v>61.440677966101696</v>
      </c>
      <c r="BB224" s="2392">
        <f>BB223*2/1.18</f>
        <v>61.440677966101696</v>
      </c>
      <c r="BC224" s="2620">
        <f>BC223*2/1.18</f>
        <v>61.440677966101696</v>
      </c>
      <c r="BD224" s="2392">
        <f>BD223*2/1.18</f>
        <v>61.440677966101696</v>
      </c>
      <c r="BE224" s="2392"/>
      <c r="BF224" s="2392">
        <f t="shared" ref="BF224:BN224" si="441">BF223*2/1.15</f>
        <v>61.304347826086961</v>
      </c>
      <c r="BG224" s="2392">
        <f t="shared" si="441"/>
        <v>61.304347826086961</v>
      </c>
      <c r="BH224" s="2392">
        <f t="shared" si="441"/>
        <v>61.304347826086961</v>
      </c>
      <c r="BI224" s="2392">
        <f t="shared" si="441"/>
        <v>61.304347826086961</v>
      </c>
      <c r="BJ224" s="2392"/>
      <c r="BK224" s="2392">
        <f t="shared" si="441"/>
        <v>59.565217391304351</v>
      </c>
      <c r="BL224" s="2392">
        <f t="shared" si="441"/>
        <v>59.565217391304351</v>
      </c>
      <c r="BM224" s="2392">
        <f t="shared" si="441"/>
        <v>59.565217391304351</v>
      </c>
      <c r="BN224" s="2392">
        <f t="shared" si="441"/>
        <v>59.565217391304351</v>
      </c>
      <c r="BO224" s="2392"/>
      <c r="BP224" s="2392">
        <f t="shared" ref="BP224:BS224" si="442">BP223*2/1.15</f>
        <v>57.826086956521742</v>
      </c>
      <c r="BQ224" s="2392">
        <f t="shared" si="442"/>
        <v>57.826086956521742</v>
      </c>
      <c r="BR224" s="2392">
        <f t="shared" si="442"/>
        <v>57.826086956521742</v>
      </c>
      <c r="BS224" s="2392">
        <f t="shared" si="442"/>
        <v>57.826086956521742</v>
      </c>
      <c r="BT224" s="2392"/>
      <c r="BU224" s="2392">
        <f t="shared" ref="BU224:BX224" si="443">BU223*2/1.15</f>
        <v>56.086956521739133</v>
      </c>
      <c r="BV224" s="2392">
        <f t="shared" si="443"/>
        <v>56.086956521739133</v>
      </c>
      <c r="BW224" s="2392">
        <f t="shared" si="443"/>
        <v>56.086956521739133</v>
      </c>
      <c r="BX224" s="2392">
        <f t="shared" si="443"/>
        <v>56.086956521739133</v>
      </c>
      <c r="BY224" s="2258"/>
      <c r="BZ224" s="2258"/>
      <c r="CA224" s="2258"/>
      <c r="CB224" s="2258"/>
      <c r="CC224" s="2258"/>
      <c r="CD224" s="2258"/>
      <c r="CE224" s="2258"/>
      <c r="CF224" s="2258"/>
      <c r="CG224" s="2258"/>
      <c r="CH224" s="2258"/>
      <c r="CI224" s="2258"/>
      <c r="CJ224" s="2258"/>
      <c r="CK224" s="2258"/>
      <c r="CL224" s="2258"/>
      <c r="CM224" s="2258"/>
      <c r="CN224" s="2258"/>
      <c r="CO224" s="2258"/>
      <c r="CP224" s="2258"/>
      <c r="CQ224" s="2258"/>
      <c r="CR224" s="2258"/>
      <c r="CS224" s="2258"/>
      <c r="CT224" s="2258"/>
      <c r="CU224" s="2258"/>
      <c r="CV224" s="2258"/>
      <c r="CW224" s="2258"/>
      <c r="CX224" s="2258"/>
      <c r="CY224" s="2392">
        <f>AVERAGE(AH224:AK224)</f>
        <v>90.194335231451419</v>
      </c>
      <c r="CZ224" s="2392">
        <f>AVERAGE(AL224:AO224)</f>
        <v>83.434125747085545</v>
      </c>
      <c r="DA224" s="2392">
        <f t="shared" si="438"/>
        <v>77.473056801195824</v>
      </c>
      <c r="DB224" s="2392">
        <f t="shared" si="438"/>
        <v>74.818294896433912</v>
      </c>
      <c r="DC224" s="2392">
        <f>AVERAGE(AU224:AX224)</f>
        <v>62.708333333333336</v>
      </c>
      <c r="DD224" s="2392">
        <f t="shared" si="439"/>
        <v>61.970338983050851</v>
      </c>
      <c r="DE224" s="2392">
        <f t="shared" si="439"/>
        <v>61.705508474576277</v>
      </c>
      <c r="DF224" s="2392"/>
    </row>
    <row r="225" spans="1:110" s="1715" customFormat="1" hidden="1" outlineLevel="2">
      <c r="A225" s="2249" t="s">
        <v>798</v>
      </c>
      <c r="B225" s="2258"/>
      <c r="C225" s="2258"/>
      <c r="D225" s="2258"/>
      <c r="E225" s="2258"/>
      <c r="F225" s="2258"/>
      <c r="G225" s="2258"/>
      <c r="H225" s="2258"/>
      <c r="I225" s="2258"/>
      <c r="J225" s="2258"/>
      <c r="K225" s="2258"/>
      <c r="L225" s="2258"/>
      <c r="M225" s="2258"/>
      <c r="N225" s="2258"/>
      <c r="O225" s="2258"/>
      <c r="P225" s="2258"/>
      <c r="Q225" s="2258"/>
      <c r="R225" s="2258"/>
      <c r="S225" s="2258"/>
      <c r="T225" s="2258"/>
      <c r="U225" s="2258"/>
      <c r="V225" s="2258"/>
      <c r="W225" s="2239"/>
      <c r="X225" s="2239"/>
      <c r="Y225" s="2392"/>
      <c r="Z225" s="2392"/>
      <c r="AA225" s="2392"/>
      <c r="AB225" s="2392"/>
      <c r="AC225" s="2392"/>
      <c r="AD225" s="2392"/>
      <c r="AE225" s="2392"/>
      <c r="AF225" s="2392"/>
      <c r="AG225" s="2392"/>
      <c r="AH225" s="2392"/>
      <c r="AI225" s="2392"/>
      <c r="AJ225" s="2392"/>
      <c r="AK225" s="2392">
        <f t="shared" ref="AK225:AU225" si="444">AK223/1.5</f>
        <v>36.077734092580563</v>
      </c>
      <c r="AL225" s="2392">
        <f t="shared" si="444"/>
        <v>34.052799959720851</v>
      </c>
      <c r="AM225" s="2392">
        <f t="shared" si="444"/>
        <v>32.908467902282688</v>
      </c>
      <c r="AN225" s="2392">
        <f t="shared" si="444"/>
        <v>33.333333333333336</v>
      </c>
      <c r="AO225" s="2392">
        <f t="shared" si="444"/>
        <v>30.666666666666668</v>
      </c>
      <c r="AP225" s="2392">
        <f t="shared" si="444"/>
        <v>30.666666666666668</v>
      </c>
      <c r="AQ225" s="2392">
        <f t="shared" si="444"/>
        <v>30.866666666666664</v>
      </c>
      <c r="AR225" s="2392">
        <v>32</v>
      </c>
      <c r="AS225" s="2392">
        <f t="shared" si="444"/>
        <v>25.914666666666665</v>
      </c>
      <c r="AT225" s="2392">
        <f t="shared" si="444"/>
        <v>25.333333333333332</v>
      </c>
      <c r="AU225" s="2392">
        <f t="shared" si="444"/>
        <v>25.333333333333332</v>
      </c>
      <c r="AV225" s="2392">
        <f t="shared" ref="AV225:BI225" si="445">AV223/1.5</f>
        <v>25</v>
      </c>
      <c r="AW225" s="2392">
        <f t="shared" si="445"/>
        <v>25</v>
      </c>
      <c r="AX225" s="2392">
        <f t="shared" si="445"/>
        <v>25</v>
      </c>
      <c r="AY225" s="2392">
        <f t="shared" si="445"/>
        <v>25</v>
      </c>
      <c r="AZ225" s="2392"/>
      <c r="BA225" s="2392">
        <f t="shared" si="445"/>
        <v>24.166666666666668</v>
      </c>
      <c r="BB225" s="2392">
        <f t="shared" si="445"/>
        <v>24.166666666666668</v>
      </c>
      <c r="BC225" s="2620">
        <f t="shared" si="445"/>
        <v>24.166666666666668</v>
      </c>
      <c r="BD225" s="2392">
        <f t="shared" si="445"/>
        <v>24.166666666666668</v>
      </c>
      <c r="BE225" s="2392"/>
      <c r="BF225" s="2392">
        <f t="shared" si="445"/>
        <v>23.5</v>
      </c>
      <c r="BG225" s="2392">
        <f t="shared" si="445"/>
        <v>23.5</v>
      </c>
      <c r="BH225" s="2392">
        <f t="shared" si="445"/>
        <v>23.5</v>
      </c>
      <c r="BI225" s="2392">
        <f t="shared" si="445"/>
        <v>23.5</v>
      </c>
      <c r="BJ225" s="2392"/>
      <c r="BK225" s="2392">
        <f>BK223/1.5</f>
        <v>22.833333333333332</v>
      </c>
      <c r="BL225" s="2392">
        <f>BL223/1.5</f>
        <v>22.833333333333332</v>
      </c>
      <c r="BM225" s="2392">
        <f>BM223/1.5</f>
        <v>22.833333333333332</v>
      </c>
      <c r="BN225" s="2392">
        <f>BN223/1.5</f>
        <v>22.833333333333332</v>
      </c>
      <c r="BO225" s="2392"/>
      <c r="BP225" s="2392">
        <f>BP223/1.5</f>
        <v>22.166666666666668</v>
      </c>
      <c r="BQ225" s="2392">
        <f>BQ223/1.5</f>
        <v>22.166666666666668</v>
      </c>
      <c r="BR225" s="2392">
        <f>BR223/1.5</f>
        <v>22.166666666666668</v>
      </c>
      <c r="BS225" s="2392">
        <f>BS223/1.5</f>
        <v>22.166666666666668</v>
      </c>
      <c r="BT225" s="2392"/>
      <c r="BU225" s="2392">
        <f>BU223/1.5</f>
        <v>21.5</v>
      </c>
      <c r="BV225" s="2392">
        <f>BV223/1.5</f>
        <v>21.5</v>
      </c>
      <c r="BW225" s="2392">
        <f>BW223/1.5</f>
        <v>21.5</v>
      </c>
      <c r="BX225" s="2392">
        <f>BX223/1.5</f>
        <v>21.5</v>
      </c>
      <c r="BY225" s="2258"/>
      <c r="BZ225" s="2258"/>
      <c r="CA225" s="2258"/>
      <c r="CB225" s="2258"/>
      <c r="CC225" s="2258"/>
      <c r="CD225" s="2258"/>
      <c r="CE225" s="2258"/>
      <c r="CF225" s="2258"/>
      <c r="CG225" s="2258"/>
      <c r="CH225" s="2258"/>
      <c r="CI225" s="2258"/>
      <c r="CJ225" s="2258"/>
      <c r="CK225" s="2258"/>
      <c r="CL225" s="2258"/>
      <c r="CM225" s="2258"/>
      <c r="CN225" s="2258"/>
      <c r="CO225" s="2258"/>
      <c r="CP225" s="2258"/>
      <c r="CQ225" s="2258"/>
      <c r="CR225" s="2258"/>
      <c r="CS225" s="2258"/>
      <c r="CT225" s="2258"/>
      <c r="CU225" s="2258"/>
      <c r="CV225" s="2258"/>
      <c r="CW225" s="2258"/>
      <c r="CX225" s="2258"/>
      <c r="CY225" s="2392">
        <f>AVERAGE(AH225:AK225)</f>
        <v>36.077734092580563</v>
      </c>
      <c r="CZ225" s="2392">
        <f>AVERAGE(AL225:AO225)</f>
        <v>32.740316965500881</v>
      </c>
      <c r="DA225" s="2392">
        <f t="shared" si="438"/>
        <v>29.861999999999998</v>
      </c>
      <c r="DB225" s="2392">
        <f t="shared" si="438"/>
        <v>28.528666666666663</v>
      </c>
      <c r="DC225" s="2392">
        <f>AVERAGE(AU225:AX225)</f>
        <v>25.083333333333332</v>
      </c>
      <c r="DD225" s="2392">
        <f t="shared" si="439"/>
        <v>24.583333333333336</v>
      </c>
      <c r="DE225" s="2392">
        <f t="shared" si="439"/>
        <v>24.375000000000004</v>
      </c>
      <c r="DF225" s="2392"/>
    </row>
    <row r="226" spans="1:110" s="1715" customFormat="1" hidden="1" outlineLevel="1">
      <c r="A226" s="2249"/>
      <c r="B226" s="2258"/>
      <c r="C226" s="2258"/>
      <c r="D226" s="2258"/>
      <c r="E226" s="2258"/>
      <c r="F226" s="2258"/>
      <c r="G226" s="2258"/>
      <c r="H226" s="2258"/>
      <c r="I226" s="2258"/>
      <c r="J226" s="2258"/>
      <c r="K226" s="2258"/>
      <c r="L226" s="2258"/>
      <c r="M226" s="2258"/>
      <c r="N226" s="2258"/>
      <c r="O226" s="2258"/>
      <c r="P226" s="2258"/>
      <c r="Q226" s="2258"/>
      <c r="R226" s="2258"/>
      <c r="S226" s="2258"/>
      <c r="T226" s="2258"/>
      <c r="U226" s="2258"/>
      <c r="V226" s="2258"/>
      <c r="W226" s="2239"/>
      <c r="X226" s="2239"/>
      <c r="Y226" s="2392"/>
      <c r="Z226" s="2392"/>
      <c r="AA226" s="2392"/>
      <c r="AB226" s="2392"/>
      <c r="AC226" s="2392"/>
      <c r="AD226" s="2392"/>
      <c r="AE226" s="2392"/>
      <c r="AF226" s="2392"/>
      <c r="AG226" s="2392"/>
      <c r="AH226" s="2392"/>
      <c r="AI226" s="2392"/>
      <c r="AJ226" s="2392"/>
      <c r="AK226" s="2392"/>
      <c r="AL226" s="2392"/>
      <c r="AM226" s="2392"/>
      <c r="AN226" s="2392"/>
      <c r="AO226" s="2392"/>
      <c r="AP226" s="2392"/>
      <c r="AQ226" s="2392"/>
      <c r="AR226" s="2392"/>
      <c r="AS226" s="2392"/>
      <c r="AT226" s="2392"/>
      <c r="AU226" s="2392"/>
      <c r="AV226" s="2392"/>
      <c r="AW226" s="2392"/>
      <c r="AX226" s="2392"/>
      <c r="AY226" s="2392"/>
      <c r="AZ226" s="2392"/>
      <c r="BA226" s="2392"/>
      <c r="BB226" s="2392"/>
      <c r="BC226" s="2620"/>
      <c r="BD226" s="2392"/>
      <c r="BE226" s="2392"/>
      <c r="BF226" s="2392"/>
      <c r="BG226" s="2392"/>
      <c r="BH226" s="2392"/>
      <c r="BI226" s="2392"/>
      <c r="BJ226" s="2392"/>
      <c r="BK226" s="2392"/>
      <c r="BL226" s="2392"/>
      <c r="BM226" s="2392"/>
      <c r="BN226" s="2392"/>
      <c r="BO226" s="2392"/>
      <c r="BP226" s="2392"/>
      <c r="BQ226" s="2392"/>
      <c r="BR226" s="2392"/>
      <c r="BS226" s="2392"/>
      <c r="BT226" s="2392"/>
      <c r="BU226" s="2392"/>
      <c r="BV226" s="2392"/>
      <c r="BW226" s="2392"/>
      <c r="BX226" s="2392"/>
      <c r="BY226" s="2258"/>
      <c r="BZ226" s="2258"/>
      <c r="CA226" s="2258"/>
      <c r="CB226" s="2258"/>
      <c r="CC226" s="2258"/>
      <c r="CD226" s="2258"/>
      <c r="CE226" s="2258"/>
      <c r="CF226" s="2258"/>
      <c r="CG226" s="2258"/>
      <c r="CH226" s="2258"/>
      <c r="CI226" s="2258"/>
      <c r="CJ226" s="2258"/>
      <c r="CK226" s="2258"/>
      <c r="CL226" s="2258"/>
      <c r="CM226" s="2258"/>
      <c r="CN226" s="2258"/>
      <c r="CO226" s="2258"/>
      <c r="CP226" s="2258"/>
      <c r="CQ226" s="2258"/>
      <c r="CR226" s="2258"/>
      <c r="CS226" s="2258"/>
      <c r="CT226" s="2258"/>
      <c r="CU226" s="2258"/>
      <c r="CV226" s="2258"/>
      <c r="CW226" s="2258"/>
      <c r="CX226" s="2258"/>
      <c r="CY226" s="2392"/>
      <c r="CZ226" s="2392"/>
      <c r="DA226" s="2392"/>
      <c r="DB226" s="2392"/>
      <c r="DC226" s="2392"/>
      <c r="DD226" s="2392"/>
      <c r="DE226" s="2392"/>
      <c r="DF226" s="2392"/>
    </row>
    <row r="227" spans="1:110" s="1715" customFormat="1" hidden="1" outlineLevel="1">
      <c r="A227" s="2249" t="s">
        <v>805</v>
      </c>
      <c r="B227" s="2258"/>
      <c r="C227" s="2258"/>
      <c r="D227" s="2258"/>
      <c r="E227" s="2258"/>
      <c r="F227" s="2258"/>
      <c r="G227" s="2258"/>
      <c r="H227" s="2258"/>
      <c r="I227" s="2258"/>
      <c r="J227" s="2258"/>
      <c r="K227" s="2258"/>
      <c r="L227" s="2258"/>
      <c r="M227" s="2258"/>
      <c r="N227" s="2258"/>
      <c r="O227" s="2258"/>
      <c r="P227" s="2258"/>
      <c r="Q227" s="2258"/>
      <c r="R227" s="2258"/>
      <c r="S227" s="2258"/>
      <c r="T227" s="2258"/>
      <c r="U227" s="2258"/>
      <c r="V227" s="2258"/>
      <c r="W227" s="2239"/>
      <c r="X227" s="2239"/>
      <c r="Y227" s="2258"/>
      <c r="Z227" s="2258"/>
      <c r="AA227" s="2258"/>
      <c r="AB227" s="2258"/>
      <c r="AC227" s="2258"/>
      <c r="AD227" s="2258"/>
      <c r="AE227" s="2258"/>
      <c r="AF227" s="2258"/>
      <c r="AG227" s="2258"/>
      <c r="AH227" s="2258"/>
      <c r="AI227" s="2258"/>
      <c r="AJ227" s="2258"/>
      <c r="AK227" s="2392">
        <f>AK233+AK225+AK230</f>
        <v>500</v>
      </c>
      <c r="AL227" s="2392">
        <f>AL233+AL225+AL230</f>
        <v>349</v>
      </c>
      <c r="AM227" s="2392">
        <f t="shared" ref="AM227:AU227" si="446">AM233+AM225+AM230</f>
        <v>349</v>
      </c>
      <c r="AN227" s="2392">
        <f t="shared" si="446"/>
        <v>349</v>
      </c>
      <c r="AO227" s="2392">
        <f t="shared" si="446"/>
        <v>349</v>
      </c>
      <c r="AP227" s="2392">
        <f t="shared" si="446"/>
        <v>349</v>
      </c>
      <c r="AQ227" s="2392">
        <f t="shared" si="446"/>
        <v>349</v>
      </c>
      <c r="AR227" s="2392">
        <f t="shared" si="446"/>
        <v>349</v>
      </c>
      <c r="AS227" s="2392">
        <f t="shared" si="446"/>
        <v>349</v>
      </c>
      <c r="AT227" s="2392">
        <f t="shared" si="446"/>
        <v>349</v>
      </c>
      <c r="AU227" s="2392">
        <f t="shared" si="446"/>
        <v>349</v>
      </c>
      <c r="AV227" s="2392">
        <f t="shared" ref="AV227:BI227" si="447">AV233+AV225+AV230</f>
        <v>349</v>
      </c>
      <c r="AW227" s="2392">
        <f t="shared" si="447"/>
        <v>349</v>
      </c>
      <c r="AX227" s="2392">
        <f t="shared" si="447"/>
        <v>349</v>
      </c>
      <c r="AY227" s="2392">
        <f t="shared" si="447"/>
        <v>349</v>
      </c>
      <c r="AZ227" s="2392"/>
      <c r="BA227" s="2392">
        <f t="shared" si="447"/>
        <v>349</v>
      </c>
      <c r="BB227" s="2392">
        <f t="shared" si="447"/>
        <v>349</v>
      </c>
      <c r="BC227" s="2620">
        <f t="shared" si="447"/>
        <v>349</v>
      </c>
      <c r="BD227" s="2392">
        <f t="shared" si="447"/>
        <v>349</v>
      </c>
      <c r="BE227" s="2392"/>
      <c r="BF227" s="2392">
        <f t="shared" si="447"/>
        <v>349</v>
      </c>
      <c r="BG227" s="2392">
        <f t="shared" si="447"/>
        <v>349</v>
      </c>
      <c r="BH227" s="2392">
        <f t="shared" si="447"/>
        <v>349</v>
      </c>
      <c r="BI227" s="2392">
        <f t="shared" si="447"/>
        <v>349</v>
      </c>
      <c r="BJ227" s="2392"/>
      <c r="BK227" s="2392">
        <f>BK233+BK225+BK230</f>
        <v>349</v>
      </c>
      <c r="BL227" s="2392">
        <f>BL233+BL225+BL230</f>
        <v>349</v>
      </c>
      <c r="BM227" s="2392">
        <f>BM233+BM225+BM230</f>
        <v>349</v>
      </c>
      <c r="BN227" s="2392">
        <f>BN233+BN225+BN230</f>
        <v>349</v>
      </c>
      <c r="BO227" s="2392"/>
      <c r="BP227" s="2392">
        <f>BP233+BP225+BP230</f>
        <v>349</v>
      </c>
      <c r="BQ227" s="2392">
        <f>BQ233+BQ225+BQ230</f>
        <v>349</v>
      </c>
      <c r="BR227" s="2392">
        <f>BR233+BR225+BR230</f>
        <v>349</v>
      </c>
      <c r="BS227" s="2392">
        <f>BS233+BS225+BS230</f>
        <v>349</v>
      </c>
      <c r="BT227" s="2392"/>
      <c r="BU227" s="2392">
        <f>BU233+BU225+BU230</f>
        <v>349</v>
      </c>
      <c r="BV227" s="2392">
        <f>BV233+BV225+BV230</f>
        <v>349</v>
      </c>
      <c r="BW227" s="2392">
        <f>BW233+BW225+BW230</f>
        <v>349</v>
      </c>
      <c r="BX227" s="2392">
        <f>BX233+BX225+BX230</f>
        <v>349</v>
      </c>
      <c r="BY227" s="2258"/>
      <c r="BZ227" s="2258"/>
      <c r="CA227" s="2258"/>
      <c r="CB227" s="2258"/>
      <c r="CC227" s="2258"/>
      <c r="CD227" s="2258"/>
      <c r="CE227" s="2258"/>
      <c r="CF227" s="2258"/>
      <c r="CG227" s="2258"/>
      <c r="CH227" s="2258"/>
      <c r="CI227" s="2258"/>
      <c r="CJ227" s="2258"/>
      <c r="CK227" s="2258"/>
      <c r="CL227" s="2258"/>
      <c r="CM227" s="2258"/>
      <c r="CN227" s="2258"/>
      <c r="CO227" s="2258"/>
      <c r="CP227" s="2258"/>
      <c r="CQ227" s="2258"/>
      <c r="CR227" s="2258"/>
      <c r="CS227" s="2258"/>
      <c r="CT227" s="2258"/>
      <c r="CU227" s="2258"/>
      <c r="CV227" s="2258"/>
      <c r="CW227" s="2258"/>
      <c r="CX227" s="2258"/>
      <c r="CY227" s="2258"/>
      <c r="CZ227" s="2392"/>
      <c r="DA227" s="2258"/>
      <c r="DB227" s="2258"/>
      <c r="DC227" s="2258"/>
      <c r="DD227" s="2258"/>
      <c r="DE227" s="2258"/>
      <c r="DF227" s="2258"/>
    </row>
    <row r="228" spans="1:110" s="1715" customFormat="1" hidden="1" outlineLevel="1">
      <c r="A228" s="2249" t="s">
        <v>806</v>
      </c>
      <c r="B228" s="2258"/>
      <c r="C228" s="2258"/>
      <c r="D228" s="2258"/>
      <c r="E228" s="2258"/>
      <c r="F228" s="2258"/>
      <c r="G228" s="2258"/>
      <c r="H228" s="2258"/>
      <c r="I228" s="2258"/>
      <c r="J228" s="2258"/>
      <c r="K228" s="2258"/>
      <c r="L228" s="2258"/>
      <c r="M228" s="2258"/>
      <c r="N228" s="2258"/>
      <c r="O228" s="2258"/>
      <c r="P228" s="2258"/>
      <c r="Q228" s="2258"/>
      <c r="R228" s="2258"/>
      <c r="S228" s="2258"/>
      <c r="T228" s="2258"/>
      <c r="U228" s="2258"/>
      <c r="V228" s="2258"/>
      <c r="W228" s="2239"/>
      <c r="X228" s="2239"/>
      <c r="Y228" s="2258"/>
      <c r="Z228" s="2258"/>
      <c r="AA228" s="2258"/>
      <c r="AB228" s="2258"/>
      <c r="AC228" s="2258"/>
      <c r="AD228" s="2258"/>
      <c r="AE228" s="2258"/>
      <c r="AF228" s="2258"/>
      <c r="AG228" s="2258"/>
      <c r="AH228" s="2258"/>
      <c r="AI228" s="2258"/>
      <c r="AJ228" s="2258"/>
      <c r="AK228" s="2392">
        <f>AK234+AK224+AK230</f>
        <v>900</v>
      </c>
      <c r="AL228" s="2392">
        <f t="shared" ref="AL228:AU228" si="448">AL234+AL224+AL230</f>
        <v>900</v>
      </c>
      <c r="AM228" s="2392">
        <f t="shared" si="448"/>
        <v>900</v>
      </c>
      <c r="AN228" s="2392">
        <f t="shared" si="448"/>
        <v>900</v>
      </c>
      <c r="AO228" s="2392">
        <f t="shared" si="448"/>
        <v>900</v>
      </c>
      <c r="AP228" s="2392">
        <f t="shared" si="448"/>
        <v>900</v>
      </c>
      <c r="AQ228" s="2392">
        <f t="shared" si="448"/>
        <v>900</v>
      </c>
      <c r="AR228" s="2392">
        <f t="shared" si="448"/>
        <v>900</v>
      </c>
      <c r="AS228" s="2392">
        <f t="shared" si="448"/>
        <v>900</v>
      </c>
      <c r="AT228" s="2392">
        <f t="shared" si="448"/>
        <v>900</v>
      </c>
      <c r="AU228" s="2392">
        <f t="shared" si="448"/>
        <v>900</v>
      </c>
      <c r="AV228" s="2392">
        <f t="shared" ref="AV228:BI228" si="449">AV234+AV224+AV230</f>
        <v>900</v>
      </c>
      <c r="AW228" s="2392">
        <f t="shared" si="449"/>
        <v>900</v>
      </c>
      <c r="AX228" s="2392">
        <f t="shared" si="449"/>
        <v>900</v>
      </c>
      <c r="AY228" s="2392">
        <f t="shared" si="449"/>
        <v>900</v>
      </c>
      <c r="AZ228" s="2392"/>
      <c r="BA228" s="2392">
        <f t="shared" si="449"/>
        <v>900</v>
      </c>
      <c r="BB228" s="2392">
        <f t="shared" si="449"/>
        <v>900</v>
      </c>
      <c r="BC228" s="2620">
        <f t="shared" si="449"/>
        <v>900</v>
      </c>
      <c r="BD228" s="2392">
        <f t="shared" si="449"/>
        <v>900</v>
      </c>
      <c r="BE228" s="2392"/>
      <c r="BF228" s="2392">
        <f t="shared" si="449"/>
        <v>900</v>
      </c>
      <c r="BG228" s="2392">
        <f t="shared" si="449"/>
        <v>900</v>
      </c>
      <c r="BH228" s="2392">
        <f t="shared" si="449"/>
        <v>900</v>
      </c>
      <c r="BI228" s="2392">
        <f t="shared" si="449"/>
        <v>900</v>
      </c>
      <c r="BJ228" s="2392"/>
      <c r="BK228" s="2392">
        <f>BK234+BK224+BK230</f>
        <v>900</v>
      </c>
      <c r="BL228" s="2392">
        <f>BL234+BL224+BL230</f>
        <v>900</v>
      </c>
      <c r="BM228" s="2392">
        <f>BM234+BM224+BM230</f>
        <v>900</v>
      </c>
      <c r="BN228" s="2392">
        <f>BN234+BN224+BN230</f>
        <v>900</v>
      </c>
      <c r="BO228" s="2392"/>
      <c r="BP228" s="2392">
        <f>BP234+BP224+BP230</f>
        <v>900</v>
      </c>
      <c r="BQ228" s="2392">
        <f>BQ234+BQ224+BQ230</f>
        <v>900</v>
      </c>
      <c r="BR228" s="2392">
        <f>BR234+BR224+BR230</f>
        <v>900</v>
      </c>
      <c r="BS228" s="2392">
        <f>BS234+BS224+BS230</f>
        <v>900</v>
      </c>
      <c r="BT228" s="2392"/>
      <c r="BU228" s="2392">
        <f>BU234+BU224+BU230</f>
        <v>900</v>
      </c>
      <c r="BV228" s="2392">
        <f>BV234+BV224+BV230</f>
        <v>900</v>
      </c>
      <c r="BW228" s="2392">
        <f>BW234+BW224+BW230</f>
        <v>900</v>
      </c>
      <c r="BX228" s="2392">
        <f>BX234+BX224+BX230</f>
        <v>900</v>
      </c>
      <c r="BY228" s="2258"/>
      <c r="BZ228" s="2258"/>
      <c r="CA228" s="2258"/>
      <c r="CB228" s="2258"/>
      <c r="CC228" s="2258"/>
      <c r="CD228" s="2258"/>
      <c r="CE228" s="2258"/>
      <c r="CF228" s="2258"/>
      <c r="CG228" s="2258"/>
      <c r="CH228" s="2258"/>
      <c r="CI228" s="2258"/>
      <c r="CJ228" s="2258"/>
      <c r="CK228" s="2258"/>
      <c r="CL228" s="2258"/>
      <c r="CM228" s="2258"/>
      <c r="CN228" s="2258"/>
      <c r="CO228" s="2258"/>
      <c r="CP228" s="2258"/>
      <c r="CQ228" s="2258"/>
      <c r="CR228" s="2258"/>
      <c r="CS228" s="2258"/>
      <c r="CT228" s="2258"/>
      <c r="CU228" s="2258"/>
      <c r="CV228" s="2258"/>
      <c r="CW228" s="2258"/>
      <c r="CX228" s="2258"/>
      <c r="CY228" s="2258"/>
      <c r="CZ228" s="2392"/>
      <c r="DA228" s="2258"/>
      <c r="DB228" s="2258"/>
      <c r="DC228" s="2258"/>
      <c r="DD228" s="2258"/>
      <c r="DE228" s="2258"/>
      <c r="DF228" s="2258"/>
    </row>
    <row r="229" spans="1:110" s="1715" customFormat="1" hidden="1" outlineLevel="1" collapsed="1">
      <c r="A229" s="2249"/>
      <c r="B229" s="2258"/>
      <c r="C229" s="2258"/>
      <c r="D229" s="2258"/>
      <c r="E229" s="2258"/>
      <c r="F229" s="2258"/>
      <c r="G229" s="2258"/>
      <c r="H229" s="2258"/>
      <c r="I229" s="2258"/>
      <c r="J229" s="2258"/>
      <c r="K229" s="2258"/>
      <c r="L229" s="2258"/>
      <c r="M229" s="2258"/>
      <c r="N229" s="2258"/>
      <c r="O229" s="2258"/>
      <c r="P229" s="2258"/>
      <c r="Q229" s="2258"/>
      <c r="R229" s="2258"/>
      <c r="S229" s="2258"/>
      <c r="T229" s="2258"/>
      <c r="U229" s="2258"/>
      <c r="V229" s="2258"/>
      <c r="W229" s="2455"/>
      <c r="X229" s="2455"/>
      <c r="Y229" s="2258"/>
      <c r="Z229" s="2258"/>
      <c r="AA229" s="2258"/>
      <c r="AB229" s="2258"/>
      <c r="AC229" s="2258"/>
      <c r="AD229" s="2258"/>
      <c r="AE229" s="2258"/>
      <c r="AF229" s="2258"/>
      <c r="AG229" s="2258"/>
      <c r="AH229" s="2258"/>
      <c r="AI229" s="2258"/>
      <c r="AJ229" s="2473"/>
      <c r="AK229" s="2258"/>
      <c r="AL229" s="2258"/>
      <c r="AM229" s="2258"/>
      <c r="AN229" s="2258"/>
      <c r="AO229" s="2258"/>
      <c r="AP229" s="2258"/>
      <c r="AQ229" s="2258"/>
      <c r="AR229" s="2258"/>
      <c r="AS229" s="2258"/>
      <c r="AT229" s="2258"/>
      <c r="AU229" s="2258"/>
      <c r="AV229" s="2258"/>
      <c r="AW229" s="2258"/>
      <c r="AX229" s="2258"/>
      <c r="AY229" s="2258"/>
      <c r="AZ229" s="2258"/>
      <c r="BA229" s="2258"/>
      <c r="BB229" s="2258"/>
      <c r="BC229" s="239"/>
      <c r="BD229" s="2258"/>
      <c r="BE229" s="2258"/>
      <c r="BF229" s="2258"/>
      <c r="BG229" s="2258"/>
      <c r="BH229" s="2258"/>
      <c r="BI229" s="2258"/>
      <c r="BJ229" s="2258"/>
      <c r="BK229" s="2258"/>
      <c r="BL229" s="2258"/>
      <c r="BM229" s="2258"/>
      <c r="BN229" s="2258"/>
      <c r="BO229" s="2258"/>
      <c r="BP229" s="2258"/>
      <c r="BQ229" s="2258"/>
      <c r="BR229" s="2258"/>
      <c r="BS229" s="2258"/>
      <c r="BT229" s="2258"/>
      <c r="BU229" s="2258"/>
      <c r="BV229" s="2258"/>
      <c r="BW229" s="2258"/>
      <c r="BX229" s="2258"/>
      <c r="BY229" s="2258"/>
      <c r="BZ229" s="2258"/>
      <c r="CA229" s="2258"/>
      <c r="CB229" s="2258"/>
      <c r="CC229" s="2258"/>
      <c r="CD229" s="2258"/>
      <c r="CE229" s="2258"/>
      <c r="CF229" s="2258"/>
      <c r="CG229" s="2258"/>
      <c r="CH229" s="2258"/>
      <c r="CI229" s="2258"/>
      <c r="CJ229" s="2258"/>
      <c r="CK229" s="2258"/>
      <c r="CL229" s="2258"/>
      <c r="CM229" s="2258"/>
      <c r="CN229" s="2258"/>
      <c r="CO229" s="2258"/>
      <c r="CP229" s="2258"/>
      <c r="CQ229" s="2258"/>
      <c r="CR229" s="2258"/>
      <c r="CS229" s="2258"/>
      <c r="CT229" s="2258"/>
      <c r="CU229" s="2258"/>
      <c r="CV229" s="2258"/>
      <c r="CW229" s="2258"/>
      <c r="CX229" s="2258"/>
      <c r="CY229" s="2258"/>
      <c r="CZ229" s="2258"/>
      <c r="DA229" s="2258"/>
      <c r="DB229" s="2258"/>
      <c r="DC229" s="2258"/>
      <c r="DD229" s="2258"/>
      <c r="DE229" s="2258"/>
      <c r="DF229" s="2258"/>
    </row>
    <row r="230" spans="1:110" s="1715" customFormat="1" hidden="1" outlineLevel="1">
      <c r="A230" s="2249" t="s">
        <v>809</v>
      </c>
      <c r="B230" s="2258"/>
      <c r="C230" s="2258"/>
      <c r="D230" s="2258"/>
      <c r="E230" s="2258"/>
      <c r="F230" s="2258"/>
      <c r="G230" s="2258"/>
      <c r="H230" s="2258"/>
      <c r="I230" s="2258"/>
      <c r="J230" s="2258"/>
      <c r="K230" s="2258"/>
      <c r="L230" s="2258"/>
      <c r="M230" s="2258"/>
      <c r="N230" s="2258"/>
      <c r="O230" s="2258"/>
      <c r="P230" s="2258"/>
      <c r="Q230" s="2258"/>
      <c r="R230" s="2258"/>
      <c r="S230" s="2258"/>
      <c r="T230" s="2258"/>
      <c r="U230" s="2258"/>
      <c r="V230" s="2258"/>
      <c r="W230" s="2239"/>
      <c r="X230" s="2239"/>
      <c r="Y230" s="2258"/>
      <c r="Z230" s="2258"/>
      <c r="AA230" s="2258"/>
      <c r="AB230" s="2258"/>
      <c r="AC230" s="2258"/>
      <c r="AD230" s="2258"/>
      <c r="AE230" s="2258"/>
      <c r="AF230" s="2258"/>
      <c r="AG230" s="2258"/>
      <c r="AH230" s="2258"/>
      <c r="AI230" s="2258"/>
      <c r="AJ230" s="2258"/>
      <c r="AK230" s="2392">
        <v>50</v>
      </c>
      <c r="AL230" s="2392">
        <v>50</v>
      </c>
      <c r="AM230" s="2392">
        <v>50</v>
      </c>
      <c r="AN230" s="2392">
        <v>50</v>
      </c>
      <c r="AO230" s="2392">
        <v>50</v>
      </c>
      <c r="AP230" s="2392">
        <v>50</v>
      </c>
      <c r="AQ230" s="2392">
        <v>50</v>
      </c>
      <c r="AR230" s="2392">
        <v>50</v>
      </c>
      <c r="AS230" s="2392">
        <v>50</v>
      </c>
      <c r="AT230" s="2392">
        <v>50</v>
      </c>
      <c r="AU230" s="2392">
        <v>50</v>
      </c>
      <c r="AV230" s="2392">
        <v>50</v>
      </c>
      <c r="AW230" s="2392">
        <v>50</v>
      </c>
      <c r="AX230" s="2392">
        <v>50</v>
      </c>
      <c r="AY230" s="2392">
        <v>50</v>
      </c>
      <c r="AZ230" s="2392"/>
      <c r="BA230" s="2392">
        <v>50</v>
      </c>
      <c r="BB230" s="2392">
        <v>50</v>
      </c>
      <c r="BC230" s="2620">
        <v>50</v>
      </c>
      <c r="BD230" s="2392">
        <v>50</v>
      </c>
      <c r="BE230" s="2392"/>
      <c r="BF230" s="2392">
        <v>50</v>
      </c>
      <c r="BG230" s="2392">
        <v>50</v>
      </c>
      <c r="BH230" s="2392">
        <v>50</v>
      </c>
      <c r="BI230" s="2392">
        <v>50</v>
      </c>
      <c r="BJ230" s="2392"/>
      <c r="BK230" s="2392">
        <v>50</v>
      </c>
      <c r="BL230" s="2392">
        <v>50</v>
      </c>
      <c r="BM230" s="2392">
        <v>50</v>
      </c>
      <c r="BN230" s="2392">
        <v>50</v>
      </c>
      <c r="BO230" s="2392"/>
      <c r="BP230" s="2392">
        <v>50</v>
      </c>
      <c r="BQ230" s="2392">
        <v>50</v>
      </c>
      <c r="BR230" s="2392">
        <v>50</v>
      </c>
      <c r="BS230" s="2392">
        <v>50</v>
      </c>
      <c r="BT230" s="2392"/>
      <c r="BU230" s="2392">
        <v>50</v>
      </c>
      <c r="BV230" s="2392">
        <v>50</v>
      </c>
      <c r="BW230" s="2392">
        <v>50</v>
      </c>
      <c r="BX230" s="2392">
        <v>50</v>
      </c>
      <c r="BY230" s="2258"/>
      <c r="BZ230" s="2258"/>
      <c r="CA230" s="2258"/>
      <c r="CB230" s="2258"/>
      <c r="CC230" s="2258"/>
      <c r="CD230" s="2258"/>
      <c r="CE230" s="2258"/>
      <c r="CF230" s="2258"/>
      <c r="CG230" s="2258"/>
      <c r="CH230" s="2258"/>
      <c r="CI230" s="2258"/>
      <c r="CJ230" s="2258"/>
      <c r="CK230" s="2258"/>
      <c r="CL230" s="2258"/>
      <c r="CM230" s="2258"/>
      <c r="CN230" s="2258"/>
      <c r="CO230" s="2258"/>
      <c r="CP230" s="2258"/>
      <c r="CQ230" s="2258"/>
      <c r="CR230" s="2258"/>
      <c r="CS230" s="2258"/>
      <c r="CT230" s="2258"/>
      <c r="CU230" s="2258"/>
      <c r="CV230" s="2258"/>
      <c r="CW230" s="2258"/>
      <c r="CX230" s="2258"/>
      <c r="CY230" s="2258"/>
      <c r="CZ230" s="2258">
        <v>50</v>
      </c>
      <c r="DA230" s="2258">
        <v>50</v>
      </c>
      <c r="DB230" s="2258">
        <v>50</v>
      </c>
      <c r="DC230" s="2258">
        <v>50</v>
      </c>
      <c r="DD230" s="2258">
        <v>50</v>
      </c>
      <c r="DE230" s="2258">
        <v>50</v>
      </c>
      <c r="DF230" s="2258"/>
    </row>
    <row r="231" spans="1:110" s="1715" customFormat="1" hidden="1" outlineLevel="1">
      <c r="A231" s="2249" t="s">
        <v>810</v>
      </c>
      <c r="B231" s="2258"/>
      <c r="C231" s="2258"/>
      <c r="D231" s="2258"/>
      <c r="E231" s="2258"/>
      <c r="F231" s="2258"/>
      <c r="G231" s="2258"/>
      <c r="H231" s="2258"/>
      <c r="I231" s="2258"/>
      <c r="J231" s="2258"/>
      <c r="K231" s="2258"/>
      <c r="L231" s="2258"/>
      <c r="M231" s="2258"/>
      <c r="N231" s="2258"/>
      <c r="O231" s="2258"/>
      <c r="P231" s="2258"/>
      <c r="Q231" s="2258"/>
      <c r="R231" s="2258"/>
      <c r="S231" s="2258"/>
      <c r="T231" s="2258"/>
      <c r="U231" s="2258"/>
      <c r="V231" s="2258"/>
      <c r="W231" s="2239"/>
      <c r="X231" s="2239"/>
      <c r="Y231" s="2258"/>
      <c r="Z231" s="2258"/>
      <c r="AA231" s="2258"/>
      <c r="AB231" s="2258"/>
      <c r="AC231" s="2258"/>
      <c r="AD231" s="2258"/>
      <c r="AE231" s="2258"/>
      <c r="AF231" s="2258"/>
      <c r="AG231" s="2258"/>
      <c r="AH231" s="2258"/>
      <c r="AI231" s="2258"/>
      <c r="AJ231" s="2258"/>
      <c r="AK231" s="2392">
        <f t="shared" ref="AK231:BI231" si="450">AK230*AK22</f>
        <v>20</v>
      </c>
      <c r="AL231" s="2392">
        <f t="shared" si="450"/>
        <v>20</v>
      </c>
      <c r="AM231" s="2392">
        <f t="shared" si="450"/>
        <v>15</v>
      </c>
      <c r="AN231" s="2392">
        <f t="shared" si="450"/>
        <v>35</v>
      </c>
      <c r="AO231" s="2392">
        <f t="shared" si="450"/>
        <v>51.56984498009097</v>
      </c>
      <c r="AP231" s="2392">
        <f t="shared" si="450"/>
        <v>40</v>
      </c>
      <c r="AQ231" s="2392">
        <f t="shared" si="450"/>
        <v>30</v>
      </c>
      <c r="AR231" s="2392">
        <f t="shared" si="450"/>
        <v>80</v>
      </c>
      <c r="AS231" s="2392">
        <f t="shared" si="450"/>
        <v>75</v>
      </c>
      <c r="AT231" s="2392">
        <f t="shared" si="450"/>
        <v>47.5</v>
      </c>
      <c r="AU231" s="2392">
        <f t="shared" si="450"/>
        <v>60</v>
      </c>
      <c r="AV231" s="2392">
        <f t="shared" si="450"/>
        <v>50</v>
      </c>
      <c r="AW231" s="2392">
        <f t="shared" si="450"/>
        <v>95</v>
      </c>
      <c r="AX231" s="2392">
        <f t="shared" si="450"/>
        <v>60.25</v>
      </c>
      <c r="AY231" s="2392">
        <f t="shared" si="450"/>
        <v>60</v>
      </c>
      <c r="AZ231" s="2392"/>
      <c r="BA231" s="2392">
        <f t="shared" si="450"/>
        <v>57.499999999999993</v>
      </c>
      <c r="BB231" s="2392">
        <f t="shared" si="450"/>
        <v>74.835916627671125</v>
      </c>
      <c r="BC231" s="2620">
        <f t="shared" si="450"/>
        <v>55.000000000000007</v>
      </c>
      <c r="BD231" s="2392">
        <f t="shared" si="450"/>
        <v>59.35412049642332</v>
      </c>
      <c r="BE231" s="2392"/>
      <c r="BF231" s="2392">
        <f t="shared" si="450"/>
        <v>66.178477910935598</v>
      </c>
      <c r="BG231" s="2392">
        <f t="shared" si="450"/>
        <v>89.091902457856747</v>
      </c>
      <c r="BH231" s="2392">
        <f t="shared" si="450"/>
        <v>64.621072151029239</v>
      </c>
      <c r="BI231" s="2392">
        <f t="shared" si="450"/>
        <v>69.85480217365243</v>
      </c>
      <c r="BJ231" s="2392"/>
      <c r="BK231" s="2392">
        <f>BK230*BK22</f>
        <v>73.827207880145068</v>
      </c>
      <c r="BL231" s="2392">
        <f>BL230*BL22</f>
        <v>109.3394068271221</v>
      </c>
      <c r="BM231" s="2392">
        <f>BM230*BM22</f>
        <v>65.299697973456716</v>
      </c>
      <c r="BN231" s="2392">
        <f>BN230*BN22</f>
        <v>64.695523396285154</v>
      </c>
      <c r="BO231" s="2392"/>
      <c r="BP231" s="2392">
        <f>BP230*BP22</f>
        <v>78.454166777733619</v>
      </c>
      <c r="BQ231" s="2392">
        <f>BQ230*BQ22</f>
        <v>116.88406256357628</v>
      </c>
      <c r="BR231" s="2392">
        <f>BR230*BR22</f>
        <v>70.213607923981513</v>
      </c>
      <c r="BS231" s="2392">
        <f>BS230*BS22</f>
        <v>69.963212119101087</v>
      </c>
      <c r="BT231" s="2392"/>
      <c r="BU231" s="2392">
        <f>BU230*BU22</f>
        <v>81.105334673643711</v>
      </c>
      <c r="BV231" s="2392">
        <f>BV230*BV22</f>
        <v>120.76411301962405</v>
      </c>
      <c r="BW231" s="2392">
        <f>BW230*BW22</f>
        <v>72.503504895399587</v>
      </c>
      <c r="BX231" s="2392">
        <f>BX230*BX22</f>
        <v>72.205167588051992</v>
      </c>
      <c r="BY231" s="2258"/>
      <c r="BZ231" s="2258"/>
      <c r="CA231" s="2258"/>
      <c r="CB231" s="2258"/>
      <c r="CC231" s="2258"/>
      <c r="CD231" s="2258"/>
      <c r="CE231" s="2258"/>
      <c r="CF231" s="2258"/>
      <c r="CG231" s="2258"/>
      <c r="CH231" s="2258"/>
      <c r="CI231" s="2258"/>
      <c r="CJ231" s="2258"/>
      <c r="CK231" s="2258"/>
      <c r="CL231" s="2258"/>
      <c r="CM231" s="2258"/>
      <c r="CN231" s="2258"/>
      <c r="CO231" s="2258"/>
      <c r="CP231" s="2258"/>
      <c r="CQ231" s="2258"/>
      <c r="CR231" s="2258"/>
      <c r="CS231" s="2258"/>
      <c r="CT231" s="2258"/>
      <c r="CU231" s="2258"/>
      <c r="CV231" s="2258"/>
      <c r="CW231" s="2258"/>
      <c r="CX231" s="2258"/>
      <c r="CY231" s="2258"/>
      <c r="CZ231" s="2258"/>
      <c r="DA231" s="2258"/>
      <c r="DB231" s="2258"/>
      <c r="DC231" s="2258"/>
      <c r="DD231" s="2258"/>
      <c r="DE231" s="2258"/>
      <c r="DF231" s="2258"/>
    </row>
    <row r="232" spans="1:110" s="1715" customFormat="1" hidden="1" outlineLevel="1">
      <c r="A232" s="2249"/>
      <c r="B232" s="2258"/>
      <c r="C232" s="2258"/>
      <c r="D232" s="2258"/>
      <c r="E232" s="2258"/>
      <c r="F232" s="2258"/>
      <c r="G232" s="2258"/>
      <c r="H232" s="2258"/>
      <c r="I232" s="2258"/>
      <c r="J232" s="2258"/>
      <c r="K232" s="2258"/>
      <c r="L232" s="2258"/>
      <c r="M232" s="2258"/>
      <c r="N232" s="2258"/>
      <c r="O232" s="2258"/>
      <c r="P232" s="2258"/>
      <c r="Q232" s="2258"/>
      <c r="R232" s="2258"/>
      <c r="S232" s="2258"/>
      <c r="T232" s="2258"/>
      <c r="U232" s="2258"/>
      <c r="V232" s="2258"/>
      <c r="W232" s="2239"/>
      <c r="X232" s="2239"/>
      <c r="Y232" s="2258"/>
      <c r="Z232" s="2258"/>
      <c r="AA232" s="2258"/>
      <c r="AB232" s="2258"/>
      <c r="AC232" s="2258"/>
      <c r="AD232" s="2258"/>
      <c r="AE232" s="2258"/>
      <c r="AF232" s="2258"/>
      <c r="AG232" s="2258"/>
      <c r="AH232" s="2258"/>
      <c r="AI232" s="2258"/>
      <c r="AJ232" s="2258"/>
      <c r="AK232" s="2392"/>
      <c r="AL232" s="2392"/>
      <c r="AM232" s="2392"/>
      <c r="AN232" s="2392"/>
      <c r="AO232" s="2392"/>
      <c r="AP232" s="2392"/>
      <c r="AQ232" s="2392"/>
      <c r="AR232" s="2392"/>
      <c r="AS232" s="2392"/>
      <c r="AT232" s="2392"/>
      <c r="AU232" s="2392"/>
      <c r="AV232" s="2392"/>
      <c r="AW232" s="2392"/>
      <c r="AX232" s="2392"/>
      <c r="AY232" s="2392"/>
      <c r="AZ232" s="2392"/>
      <c r="BA232" s="2392"/>
      <c r="BB232" s="2392"/>
      <c r="BC232" s="2620"/>
      <c r="BD232" s="2392"/>
      <c r="BE232" s="2392"/>
      <c r="BF232" s="2392"/>
      <c r="BG232" s="2392"/>
      <c r="BH232" s="2392"/>
      <c r="BI232" s="2392"/>
      <c r="BJ232" s="2392"/>
      <c r="BK232" s="2392"/>
      <c r="BL232" s="2392"/>
      <c r="BM232" s="2392"/>
      <c r="BN232" s="2392"/>
      <c r="BO232" s="2392"/>
      <c r="BP232" s="2392"/>
      <c r="BQ232" s="2392"/>
      <c r="BR232" s="2392"/>
      <c r="BS232" s="2392"/>
      <c r="BT232" s="2392"/>
      <c r="BU232" s="2392"/>
      <c r="BV232" s="2392"/>
      <c r="BW232" s="2392"/>
      <c r="BX232" s="2392"/>
      <c r="BY232" s="2258"/>
      <c r="BZ232" s="2258"/>
      <c r="CA232" s="2258"/>
      <c r="CB232" s="2258"/>
      <c r="CC232" s="2258"/>
      <c r="CD232" s="2258"/>
      <c r="CE232" s="2258"/>
      <c r="CF232" s="2258"/>
      <c r="CG232" s="2258"/>
      <c r="CH232" s="2258"/>
      <c r="CI232" s="2258"/>
      <c r="CJ232" s="2258"/>
      <c r="CK232" s="2258"/>
      <c r="CL232" s="2258"/>
      <c r="CM232" s="2258"/>
      <c r="CN232" s="2258"/>
      <c r="CO232" s="2258"/>
      <c r="CP232" s="2258"/>
      <c r="CQ232" s="2258"/>
      <c r="CR232" s="2258"/>
      <c r="CS232" s="2258"/>
      <c r="CT232" s="2258"/>
      <c r="CU232" s="2258"/>
      <c r="CV232" s="2258"/>
      <c r="CW232" s="2258"/>
      <c r="CX232" s="2258"/>
      <c r="CY232" s="2258"/>
      <c r="CZ232" s="2258"/>
      <c r="DA232" s="2258"/>
      <c r="DB232" s="2258"/>
      <c r="DC232" s="2258"/>
      <c r="DD232" s="2258"/>
      <c r="DE232" s="2258"/>
      <c r="DF232" s="2258"/>
    </row>
    <row r="233" spans="1:110" s="1715" customFormat="1" hidden="1" outlineLevel="1">
      <c r="A233" s="2249" t="s">
        <v>811</v>
      </c>
      <c r="B233" s="2258"/>
      <c r="C233" s="2258"/>
      <c r="D233" s="2258"/>
      <c r="E233" s="2258"/>
      <c r="F233" s="2258"/>
      <c r="G233" s="2258"/>
      <c r="H233" s="2258"/>
      <c r="I233" s="2258"/>
      <c r="J233" s="2258"/>
      <c r="K233" s="2258"/>
      <c r="L233" s="2258"/>
      <c r="M233" s="2258"/>
      <c r="N233" s="2258"/>
      <c r="O233" s="2258"/>
      <c r="P233" s="2258"/>
      <c r="Q233" s="2258"/>
      <c r="R233" s="2258"/>
      <c r="S233" s="2258"/>
      <c r="T233" s="2258"/>
      <c r="U233" s="2258"/>
      <c r="V233" s="2258"/>
      <c r="W233" s="2239"/>
      <c r="X233" s="2239"/>
      <c r="Y233" s="2258"/>
      <c r="Z233" s="2258"/>
      <c r="AA233" s="2258"/>
      <c r="AB233" s="2258"/>
      <c r="AC233" s="2258"/>
      <c r="AD233" s="2258"/>
      <c r="AE233" s="2258"/>
      <c r="AF233" s="2258"/>
      <c r="AG233" s="2258"/>
      <c r="AH233" s="2258"/>
      <c r="AI233" s="2258"/>
      <c r="AJ233" s="2258"/>
      <c r="AK233" s="2392">
        <f>500-AK225-AK230</f>
        <v>413.92226590741944</v>
      </c>
      <c r="AL233" s="2392">
        <f>349-AL225-AL230</f>
        <v>264.94720004027914</v>
      </c>
      <c r="AM233" s="2392">
        <f t="shared" ref="AM233:BI233" si="451">349-AM225-AM230</f>
        <v>266.09153209771733</v>
      </c>
      <c r="AN233" s="2392">
        <f>349-AN225-AN230</f>
        <v>265.66666666666669</v>
      </c>
      <c r="AO233" s="2392">
        <f t="shared" si="451"/>
        <v>268.33333333333331</v>
      </c>
      <c r="AP233" s="2392">
        <f t="shared" si="451"/>
        <v>268.33333333333331</v>
      </c>
      <c r="AQ233" s="2392">
        <f t="shared" si="451"/>
        <v>268.13333333333333</v>
      </c>
      <c r="AR233" s="2392">
        <f t="shared" si="451"/>
        <v>267</v>
      </c>
      <c r="AS233" s="2392">
        <f t="shared" si="451"/>
        <v>273.08533333333332</v>
      </c>
      <c r="AT233" s="2392">
        <f t="shared" si="451"/>
        <v>273.66666666666669</v>
      </c>
      <c r="AU233" s="2392">
        <f t="shared" si="451"/>
        <v>273.66666666666669</v>
      </c>
      <c r="AV233" s="2392">
        <f t="shared" si="451"/>
        <v>274</v>
      </c>
      <c r="AW233" s="2392">
        <f t="shared" si="451"/>
        <v>274</v>
      </c>
      <c r="AX233" s="2392">
        <f t="shared" si="451"/>
        <v>274</v>
      </c>
      <c r="AY233" s="2392">
        <f t="shared" si="451"/>
        <v>274</v>
      </c>
      <c r="AZ233" s="2392"/>
      <c r="BA233" s="2392">
        <f t="shared" si="451"/>
        <v>274.83333333333331</v>
      </c>
      <c r="BB233" s="2392">
        <f t="shared" si="451"/>
        <v>274.83333333333331</v>
      </c>
      <c r="BC233" s="2620">
        <f t="shared" si="451"/>
        <v>274.83333333333331</v>
      </c>
      <c r="BD233" s="2392">
        <f t="shared" si="451"/>
        <v>274.83333333333331</v>
      </c>
      <c r="BE233" s="2392"/>
      <c r="BF233" s="2392">
        <f t="shared" si="451"/>
        <v>275.5</v>
      </c>
      <c r="BG233" s="2392">
        <f t="shared" si="451"/>
        <v>275.5</v>
      </c>
      <c r="BH233" s="2392">
        <f t="shared" si="451"/>
        <v>275.5</v>
      </c>
      <c r="BI233" s="2392">
        <f t="shared" si="451"/>
        <v>275.5</v>
      </c>
      <c r="BJ233" s="2392"/>
      <c r="BK233" s="2392">
        <f>349-BK225-BK230</f>
        <v>276.16666666666669</v>
      </c>
      <c r="BL233" s="2392">
        <f>349-BL225-BL230</f>
        <v>276.16666666666669</v>
      </c>
      <c r="BM233" s="2392">
        <f>349-BM225-BM230</f>
        <v>276.16666666666669</v>
      </c>
      <c r="BN233" s="2392">
        <f>349-BN225-BN230</f>
        <v>276.16666666666669</v>
      </c>
      <c r="BO233" s="2392"/>
      <c r="BP233" s="2392">
        <f>349-BP225-BP230</f>
        <v>276.83333333333331</v>
      </c>
      <c r="BQ233" s="2392">
        <f>349-BQ225-BQ230</f>
        <v>276.83333333333331</v>
      </c>
      <c r="BR233" s="2392">
        <f>349-BR225-BR230</f>
        <v>276.83333333333331</v>
      </c>
      <c r="BS233" s="2392">
        <f>349-BS225-BS230</f>
        <v>276.83333333333331</v>
      </c>
      <c r="BT233" s="2392"/>
      <c r="BU233" s="2392">
        <f>349-BU225-BU230</f>
        <v>277.5</v>
      </c>
      <c r="BV233" s="2392">
        <f>349-BV225-BV230</f>
        <v>277.5</v>
      </c>
      <c r="BW233" s="2392">
        <f>349-BW225-BW230</f>
        <v>277.5</v>
      </c>
      <c r="BX233" s="2392">
        <f>349-BX225-BX230</f>
        <v>277.5</v>
      </c>
      <c r="BY233" s="2258"/>
      <c r="BZ233" s="2258"/>
      <c r="CA233" s="2258"/>
      <c r="CB233" s="2258"/>
      <c r="CC233" s="2258"/>
      <c r="CD233" s="2258"/>
      <c r="CE233" s="2258"/>
      <c r="CF233" s="2258"/>
      <c r="CG233" s="2258"/>
      <c r="CH233" s="2258"/>
      <c r="CI233" s="2258"/>
      <c r="CJ233" s="2258"/>
      <c r="CK233" s="2258"/>
      <c r="CL233" s="2258"/>
      <c r="CM233" s="2258"/>
      <c r="CN233" s="2258"/>
      <c r="CO233" s="2258"/>
      <c r="CP233" s="2258"/>
      <c r="CQ233" s="2258"/>
      <c r="CR233" s="2258"/>
      <c r="CS233" s="2258"/>
      <c r="CT233" s="2258"/>
      <c r="CU233" s="2258"/>
      <c r="CV233" s="2258"/>
      <c r="CW233" s="2258"/>
      <c r="CX233" s="2258"/>
      <c r="CY233" s="2258"/>
      <c r="CZ233" s="2258"/>
      <c r="DA233" s="2258"/>
      <c r="DB233" s="2258"/>
      <c r="DC233" s="2258"/>
      <c r="DD233" s="2258"/>
      <c r="DE233" s="2258"/>
      <c r="DF233" s="2258"/>
    </row>
    <row r="234" spans="1:110" s="1715" customFormat="1" hidden="1" outlineLevel="1">
      <c r="A234" s="2249" t="s">
        <v>812</v>
      </c>
      <c r="B234" s="2258"/>
      <c r="C234" s="2258"/>
      <c r="D234" s="2258"/>
      <c r="E234" s="2258"/>
      <c r="F234" s="2258"/>
      <c r="G234" s="2258"/>
      <c r="H234" s="2258"/>
      <c r="I234" s="2258"/>
      <c r="J234" s="2258"/>
      <c r="K234" s="2258"/>
      <c r="L234" s="2258"/>
      <c r="M234" s="2258"/>
      <c r="N234" s="2258"/>
      <c r="O234" s="2258"/>
      <c r="P234" s="2258"/>
      <c r="Q234" s="2258"/>
      <c r="R234" s="2258"/>
      <c r="S234" s="2258"/>
      <c r="T234" s="2258"/>
      <c r="U234" s="2258"/>
      <c r="V234" s="2258"/>
      <c r="W234" s="2239"/>
      <c r="X234" s="2239"/>
      <c r="Y234" s="2258"/>
      <c r="Z234" s="2258"/>
      <c r="AA234" s="2258"/>
      <c r="AB234" s="2258"/>
      <c r="AC234" s="2258"/>
      <c r="AD234" s="2258"/>
      <c r="AE234" s="2258"/>
      <c r="AF234" s="2258"/>
      <c r="AG234" s="2258"/>
      <c r="AH234" s="2258"/>
      <c r="AI234" s="2258"/>
      <c r="AJ234" s="2258"/>
      <c r="AK234" s="2392">
        <f t="shared" ref="AK234:AU234" si="452">900-AK224-AK230</f>
        <v>759.80566476854858</v>
      </c>
      <c r="AL234" s="2392">
        <f t="shared" si="452"/>
        <v>764.86800010069783</v>
      </c>
      <c r="AM234" s="2392">
        <f t="shared" si="452"/>
        <v>767.72883024429325</v>
      </c>
      <c r="AN234" s="2392">
        <f t="shared" si="452"/>
        <v>766.66666666666663</v>
      </c>
      <c r="AO234" s="2392">
        <f t="shared" si="452"/>
        <v>767</v>
      </c>
      <c r="AP234" s="2392">
        <f t="shared" si="452"/>
        <v>767</v>
      </c>
      <c r="AQ234" s="2392">
        <f t="shared" si="452"/>
        <v>772.83333333333337</v>
      </c>
      <c r="AR234" s="2392">
        <f t="shared" si="452"/>
        <v>770</v>
      </c>
      <c r="AS234" s="2392">
        <f t="shared" si="452"/>
        <v>780.27443946188339</v>
      </c>
      <c r="AT234" s="2392">
        <f t="shared" si="452"/>
        <v>777.61904761904759</v>
      </c>
      <c r="AU234" s="2392">
        <f t="shared" si="452"/>
        <v>786.66666666666663</v>
      </c>
      <c r="AV234" s="2392">
        <f t="shared" ref="AV234:BI234" si="453">900-AV224-AV230</f>
        <v>787.5</v>
      </c>
      <c r="AW234" s="2392">
        <f t="shared" si="453"/>
        <v>787.5</v>
      </c>
      <c r="AX234" s="2392">
        <f t="shared" si="453"/>
        <v>787.5</v>
      </c>
      <c r="AY234" s="2392">
        <f t="shared" si="453"/>
        <v>787.5</v>
      </c>
      <c r="AZ234" s="2392"/>
      <c r="BA234" s="2392">
        <f t="shared" si="453"/>
        <v>788.5593220338983</v>
      </c>
      <c r="BB234" s="2392">
        <f t="shared" si="453"/>
        <v>788.5593220338983</v>
      </c>
      <c r="BC234" s="2620">
        <f t="shared" si="453"/>
        <v>788.5593220338983</v>
      </c>
      <c r="BD234" s="2392">
        <f t="shared" si="453"/>
        <v>788.5593220338983</v>
      </c>
      <c r="BE234" s="2392"/>
      <c r="BF234" s="2392">
        <f t="shared" si="453"/>
        <v>788.695652173913</v>
      </c>
      <c r="BG234" s="2392">
        <f t="shared" si="453"/>
        <v>788.695652173913</v>
      </c>
      <c r="BH234" s="2392">
        <f t="shared" si="453"/>
        <v>788.695652173913</v>
      </c>
      <c r="BI234" s="2392">
        <f t="shared" si="453"/>
        <v>788.695652173913</v>
      </c>
      <c r="BJ234" s="2392"/>
      <c r="BK234" s="2392">
        <f>900-BK224-BK230</f>
        <v>790.43478260869563</v>
      </c>
      <c r="BL234" s="2392">
        <f>900-BL224-BL230</f>
        <v>790.43478260869563</v>
      </c>
      <c r="BM234" s="2392">
        <f>900-BM224-BM230</f>
        <v>790.43478260869563</v>
      </c>
      <c r="BN234" s="2392">
        <f>900-BN224-BN230</f>
        <v>790.43478260869563</v>
      </c>
      <c r="BO234" s="2392"/>
      <c r="BP234" s="2392">
        <f>900-BP224-BP230</f>
        <v>792.17391304347825</v>
      </c>
      <c r="BQ234" s="2392">
        <f>900-BQ224-BQ230</f>
        <v>792.17391304347825</v>
      </c>
      <c r="BR234" s="2392">
        <f>900-BR224-BR230</f>
        <v>792.17391304347825</v>
      </c>
      <c r="BS234" s="2392">
        <f>900-BS224-BS230</f>
        <v>792.17391304347825</v>
      </c>
      <c r="BT234" s="2392"/>
      <c r="BU234" s="2392">
        <f>900-BU224-BU230</f>
        <v>793.91304347826087</v>
      </c>
      <c r="BV234" s="2392">
        <f>900-BV224-BV230</f>
        <v>793.91304347826087</v>
      </c>
      <c r="BW234" s="2392">
        <f>900-BW224-BW230</f>
        <v>793.91304347826087</v>
      </c>
      <c r="BX234" s="2392">
        <f>900-BX224-BX230</f>
        <v>793.91304347826087</v>
      </c>
      <c r="BY234" s="2258"/>
      <c r="BZ234" s="2258"/>
      <c r="CA234" s="2258"/>
      <c r="CB234" s="2258"/>
      <c r="CC234" s="2258"/>
      <c r="CD234" s="2258"/>
      <c r="CE234" s="2258"/>
      <c r="CF234" s="2258"/>
      <c r="CG234" s="2258"/>
      <c r="CH234" s="2258"/>
      <c r="CI234" s="2258"/>
      <c r="CJ234" s="2258"/>
      <c r="CK234" s="2258"/>
      <c r="CL234" s="2258"/>
      <c r="CM234" s="2258"/>
      <c r="CN234" s="2258"/>
      <c r="CO234" s="2258"/>
      <c r="CP234" s="2258"/>
      <c r="CQ234" s="2258"/>
      <c r="CR234" s="2258"/>
      <c r="CS234" s="2258"/>
      <c r="CT234" s="2258"/>
      <c r="CU234" s="2258"/>
      <c r="CV234" s="2258"/>
      <c r="CW234" s="2258"/>
      <c r="CX234" s="2258"/>
      <c r="CY234" s="2258"/>
      <c r="CZ234" s="2258"/>
      <c r="DA234" s="2258"/>
      <c r="DB234" s="2258"/>
      <c r="DC234" s="2258"/>
      <c r="DD234" s="2258"/>
      <c r="DE234" s="2258"/>
      <c r="DF234" s="2258"/>
    </row>
    <row r="235" spans="1:110" s="1715" customFormat="1" hidden="1" outlineLevel="1">
      <c r="A235" s="2249"/>
      <c r="B235" s="2258"/>
      <c r="C235" s="2258"/>
      <c r="D235" s="2258"/>
      <c r="E235" s="2258"/>
      <c r="F235" s="2258"/>
      <c r="G235" s="2258"/>
      <c r="H235" s="2258"/>
      <c r="I235" s="2258"/>
      <c r="J235" s="2258"/>
      <c r="K235" s="2258"/>
      <c r="L235" s="2258"/>
      <c r="M235" s="2258"/>
      <c r="N235" s="2258"/>
      <c r="O235" s="2258"/>
      <c r="P235" s="2258"/>
      <c r="Q235" s="2258"/>
      <c r="R235" s="2258"/>
      <c r="S235" s="2258"/>
      <c r="T235" s="2258"/>
      <c r="U235" s="2258"/>
      <c r="V235" s="2258"/>
      <c r="W235" s="2239"/>
      <c r="X235" s="2239"/>
      <c r="Y235" s="2258"/>
      <c r="Z235" s="2258"/>
      <c r="AA235" s="2258"/>
      <c r="AB235" s="2258"/>
      <c r="AC235" s="2258"/>
      <c r="AD235" s="2258"/>
      <c r="AE235" s="2258"/>
      <c r="AF235" s="2258"/>
      <c r="AG235" s="2258"/>
      <c r="AH235" s="2258"/>
      <c r="AI235" s="2258"/>
      <c r="AJ235" s="2258"/>
      <c r="AK235" s="2392"/>
      <c r="AL235" s="2392"/>
      <c r="AM235" s="2392"/>
      <c r="AN235" s="2392"/>
      <c r="AO235" s="2392"/>
      <c r="AP235" s="2392"/>
      <c r="AQ235" s="2392"/>
      <c r="AR235" s="2392"/>
      <c r="AS235" s="2392"/>
      <c r="AT235" s="2392"/>
      <c r="AU235" s="2392"/>
      <c r="AV235" s="2392"/>
      <c r="AW235" s="2392"/>
      <c r="AX235" s="2392"/>
      <c r="AY235" s="2392"/>
      <c r="AZ235" s="2392"/>
      <c r="BA235" s="2392"/>
      <c r="BB235" s="2392"/>
      <c r="BC235" s="2620"/>
      <c r="BD235" s="2392"/>
      <c r="BE235" s="2392"/>
      <c r="BF235" s="2392"/>
      <c r="BG235" s="2392"/>
      <c r="BH235" s="2392"/>
      <c r="BI235" s="2392"/>
      <c r="BJ235" s="2392"/>
      <c r="BK235" s="2392"/>
      <c r="BL235" s="2392"/>
      <c r="BM235" s="2392"/>
      <c r="BN235" s="2392"/>
      <c r="BO235" s="2392"/>
      <c r="BP235" s="2392"/>
      <c r="BQ235" s="2392"/>
      <c r="BR235" s="2392"/>
      <c r="BS235" s="2392"/>
      <c r="BT235" s="2392"/>
      <c r="BU235" s="2392"/>
      <c r="BV235" s="2392"/>
      <c r="BW235" s="2392"/>
      <c r="BX235" s="2392"/>
      <c r="BY235" s="2258"/>
      <c r="BZ235" s="2258"/>
      <c r="CA235" s="2258"/>
      <c r="CB235" s="2258"/>
      <c r="CC235" s="2258"/>
      <c r="CD235" s="2258"/>
      <c r="CE235" s="2258"/>
      <c r="CF235" s="2258"/>
      <c r="CG235" s="2258"/>
      <c r="CH235" s="2258"/>
      <c r="CI235" s="2258"/>
      <c r="CJ235" s="2258"/>
      <c r="CK235" s="2258"/>
      <c r="CL235" s="2258"/>
      <c r="CM235" s="2258"/>
      <c r="CN235" s="2258"/>
      <c r="CO235" s="2258"/>
      <c r="CP235" s="2258"/>
      <c r="CQ235" s="2258"/>
      <c r="CR235" s="2258"/>
      <c r="CS235" s="2258"/>
      <c r="CT235" s="2258"/>
      <c r="CU235" s="2258"/>
      <c r="CV235" s="2258"/>
      <c r="CW235" s="2258"/>
      <c r="CX235" s="2258"/>
      <c r="CY235" s="2258"/>
      <c r="CZ235" s="2258"/>
      <c r="DA235" s="2258"/>
      <c r="DB235" s="2258"/>
      <c r="DC235" s="2258"/>
      <c r="DD235" s="2258"/>
      <c r="DE235" s="2258"/>
      <c r="DF235" s="2258"/>
    </row>
    <row r="236" spans="1:110" s="1715" customFormat="1" hidden="1" outlineLevel="1">
      <c r="A236" s="2249"/>
      <c r="B236" s="2258"/>
      <c r="C236" s="2258"/>
      <c r="D236" s="2258"/>
      <c r="E236" s="2258"/>
      <c r="F236" s="2258"/>
      <c r="G236" s="2258"/>
      <c r="H236" s="2258"/>
      <c r="I236" s="2258"/>
      <c r="J236" s="2258"/>
      <c r="K236" s="2258"/>
      <c r="L236" s="2258"/>
      <c r="M236" s="2258"/>
      <c r="N236" s="2258"/>
      <c r="O236" s="2258"/>
      <c r="P236" s="2258"/>
      <c r="Q236" s="2258"/>
      <c r="R236" s="2258"/>
      <c r="S236" s="2258"/>
      <c r="T236" s="2258"/>
      <c r="U236" s="2258"/>
      <c r="V236" s="2258"/>
      <c r="W236" s="2239"/>
      <c r="X236" s="2239"/>
      <c r="Y236" s="2258"/>
      <c r="Z236" s="2258"/>
      <c r="AA236" s="2258"/>
      <c r="AB236" s="2258"/>
      <c r="AC236" s="2258"/>
      <c r="AD236" s="2258"/>
      <c r="AE236" s="2258"/>
      <c r="AF236" s="2258"/>
      <c r="AG236" s="2258"/>
      <c r="AH236" s="2258"/>
      <c r="AI236" s="2258"/>
      <c r="AJ236" s="2258"/>
      <c r="AK236" s="2258"/>
      <c r="AL236" s="2258"/>
      <c r="AM236" s="2258"/>
      <c r="AN236" s="2258"/>
      <c r="AO236" s="2258"/>
      <c r="AP236" s="2258"/>
      <c r="AQ236" s="2258"/>
      <c r="AR236" s="2258"/>
      <c r="AS236" s="2258"/>
      <c r="AT236" s="2258"/>
      <c r="AU236" s="2258"/>
      <c r="AV236" s="2258"/>
      <c r="AW236" s="2258"/>
      <c r="AX236" s="2258"/>
      <c r="AY236" s="2258"/>
      <c r="AZ236" s="2258"/>
      <c r="BA236" s="2258"/>
      <c r="BB236" s="2258"/>
      <c r="BC236" s="239"/>
      <c r="BD236" s="2258"/>
      <c r="BE236" s="2258"/>
      <c r="BF236" s="2258"/>
      <c r="BG236" s="2258"/>
      <c r="BH236" s="2258"/>
      <c r="BI236" s="2258"/>
      <c r="BJ236" s="2258"/>
      <c r="BK236" s="2258"/>
      <c r="BL236" s="2258"/>
      <c r="BM236" s="2258"/>
      <c r="BN236" s="2258"/>
      <c r="BO236" s="2258"/>
      <c r="BP236" s="2258"/>
      <c r="BQ236" s="2258"/>
      <c r="BR236" s="2258"/>
      <c r="BS236" s="2258"/>
      <c r="BT236" s="2258"/>
      <c r="BU236" s="2258"/>
      <c r="BV236" s="2258"/>
      <c r="BW236" s="2258"/>
      <c r="BX236" s="2258"/>
      <c r="BY236" s="2258"/>
      <c r="BZ236" s="2258"/>
      <c r="CA236" s="2258"/>
      <c r="CB236" s="2258"/>
      <c r="CC236" s="2258"/>
      <c r="CD236" s="2258"/>
      <c r="CE236" s="2258"/>
      <c r="CF236" s="2258"/>
      <c r="CG236" s="2258"/>
      <c r="CH236" s="2258"/>
      <c r="CI236" s="2258"/>
      <c r="CJ236" s="2258"/>
      <c r="CK236" s="2258"/>
      <c r="CL236" s="2258"/>
      <c r="CM236" s="2258"/>
      <c r="CN236" s="2258"/>
      <c r="CO236" s="2258"/>
      <c r="CP236" s="2258"/>
      <c r="CQ236" s="2258"/>
      <c r="CR236" s="2258"/>
      <c r="CS236" s="2258"/>
      <c r="CT236" s="2258"/>
      <c r="CU236" s="2258"/>
      <c r="CV236" s="2258"/>
      <c r="CW236" s="2258"/>
      <c r="CX236" s="2258"/>
      <c r="CY236" s="2258"/>
      <c r="CZ236" s="2258"/>
      <c r="DA236" s="2258"/>
      <c r="DB236" s="2258"/>
      <c r="DC236" s="2258"/>
      <c r="DD236" s="2258"/>
      <c r="DE236" s="2258"/>
      <c r="DF236" s="2258"/>
    </row>
    <row r="237" spans="1:110" s="1715" customFormat="1" hidden="1" outlineLevel="1">
      <c r="A237" s="2474" t="s">
        <v>74</v>
      </c>
      <c r="B237" s="2445"/>
      <c r="C237" s="2445"/>
      <c r="D237" s="2445"/>
      <c r="E237" s="2445"/>
      <c r="F237" s="2445"/>
      <c r="G237" s="2445"/>
      <c r="H237" s="2445"/>
      <c r="I237" s="2445"/>
      <c r="J237" s="2445"/>
      <c r="K237" s="2445"/>
      <c r="L237" s="2475" t="s">
        <v>432</v>
      </c>
      <c r="M237" s="2476" t="s">
        <v>432</v>
      </c>
      <c r="N237" s="2476" t="s">
        <v>438</v>
      </c>
      <c r="O237" s="2476" t="s">
        <v>439</v>
      </c>
      <c r="P237" s="2477" t="s">
        <v>152</v>
      </c>
      <c r="Q237" s="2478" t="s">
        <v>152</v>
      </c>
      <c r="R237" s="2478" t="s">
        <v>432</v>
      </c>
      <c r="S237" s="2479" t="s">
        <v>402</v>
      </c>
      <c r="T237" s="2445" t="s">
        <v>438</v>
      </c>
      <c r="U237" s="2445"/>
      <c r="V237" s="2445"/>
      <c r="W237" s="2445"/>
      <c r="X237" s="2264"/>
      <c r="Y237" s="2445"/>
      <c r="Z237" s="2445"/>
      <c r="AA237" s="2480"/>
      <c r="AB237" s="2445"/>
      <c r="AC237" s="2445"/>
      <c r="AD237" s="2445"/>
      <c r="AE237" s="2480"/>
      <c r="AF237" s="2445"/>
      <c r="AG237" s="2445"/>
      <c r="AH237" s="2445"/>
      <c r="AI237" s="2480"/>
      <c r="AJ237" s="2445"/>
      <c r="AK237" s="2445"/>
      <c r="AL237" s="2445"/>
      <c r="AM237" s="2480"/>
      <c r="AN237" s="2445"/>
      <c r="AO237" s="2445"/>
      <c r="AP237" s="2445"/>
      <c r="AQ237" s="2480"/>
      <c r="AR237" s="2445"/>
      <c r="AS237" s="2445"/>
      <c r="AT237" s="2445"/>
      <c r="AU237" s="2480"/>
      <c r="AV237" s="2445"/>
      <c r="AW237" s="2445"/>
      <c r="AX237" s="2445"/>
      <c r="AY237" s="2480"/>
      <c r="AZ237" s="2445"/>
      <c r="BA237" s="2445"/>
      <c r="BB237" s="2445"/>
      <c r="BC237" s="2624"/>
      <c r="BD237" s="2480"/>
      <c r="BE237" s="2445"/>
      <c r="BF237" s="2445"/>
      <c r="BG237" s="2445"/>
      <c r="BH237" s="2445"/>
      <c r="BI237" s="2480"/>
      <c r="BJ237" s="2445"/>
      <c r="BK237" s="2445"/>
      <c r="BL237" s="2445"/>
      <c r="BM237" s="2445"/>
      <c r="BN237" s="2480"/>
      <c r="BO237" s="2445"/>
      <c r="BP237" s="2445"/>
      <c r="BQ237" s="2445"/>
      <c r="BR237" s="2445"/>
      <c r="BS237" s="2480"/>
      <c r="BT237" s="2445"/>
      <c r="BU237" s="2445"/>
      <c r="BV237" s="2445"/>
      <c r="BW237" s="2445"/>
      <c r="BX237" s="2480"/>
      <c r="BY237" s="2258"/>
      <c r="BZ237" s="2481" t="s">
        <v>432</v>
      </c>
      <c r="CA237" s="2476" t="s">
        <v>438</v>
      </c>
      <c r="CB237" s="2482" t="s">
        <v>402</v>
      </c>
      <c r="CC237" s="2482"/>
      <c r="CD237" s="2482"/>
      <c r="CE237" s="2482"/>
      <c r="CF237" s="2482"/>
      <c r="CG237" s="2482"/>
      <c r="CH237" s="2482"/>
      <c r="CI237" s="2482"/>
      <c r="CJ237" s="2482"/>
      <c r="CK237" s="2482"/>
      <c r="CL237" s="2482"/>
      <c r="CM237" s="2482"/>
      <c r="CN237" s="2239"/>
      <c r="CO237" s="2239"/>
      <c r="CP237" s="2258"/>
      <c r="CQ237" s="2258"/>
      <c r="CR237" s="2258"/>
      <c r="CS237" s="2258"/>
      <c r="CT237" s="2258"/>
      <c r="CU237" s="2258"/>
      <c r="CV237" s="2258"/>
      <c r="CW237" s="2258"/>
      <c r="CX237" s="2258"/>
      <c r="CY237" s="2258"/>
      <c r="CZ237" s="2258"/>
      <c r="DA237" s="2258"/>
      <c r="DB237" s="2258"/>
      <c r="DC237" s="2258"/>
      <c r="DD237" s="2258"/>
      <c r="DE237" s="2258"/>
      <c r="DF237" s="2258"/>
    </row>
    <row r="238" spans="1:110" s="1715" customFormat="1" hidden="1" outlineLevel="1">
      <c r="A238" s="2255" t="s">
        <v>75</v>
      </c>
      <c r="B238" s="2239"/>
      <c r="C238" s="2239"/>
      <c r="D238" s="2239"/>
      <c r="E238" s="2239"/>
      <c r="F238" s="2239"/>
      <c r="G238" s="2239"/>
      <c r="H238" s="2483">
        <v>0.18</v>
      </c>
      <c r="I238" s="2483">
        <v>0.15</v>
      </c>
      <c r="J238" s="2483">
        <v>0.16</v>
      </c>
      <c r="K238" s="2483">
        <v>0.19</v>
      </c>
      <c r="L238" s="2484">
        <v>0.11</v>
      </c>
      <c r="M238" s="2485">
        <v>0.1</v>
      </c>
      <c r="N238" s="2485">
        <v>0.2</v>
      </c>
      <c r="O238" s="2485">
        <v>0.11</v>
      </c>
      <c r="P238" s="2484">
        <v>0.2</v>
      </c>
      <c r="Q238" s="2486">
        <v>0.18</v>
      </c>
      <c r="R238" s="2485">
        <v>0.05</v>
      </c>
      <c r="S238" s="2487">
        <v>0.22</v>
      </c>
      <c r="T238" s="2283">
        <v>0.08</v>
      </c>
      <c r="U238" s="2239"/>
      <c r="V238" s="2239"/>
      <c r="W238" s="2239"/>
      <c r="X238" s="2264"/>
      <c r="Y238" s="2239"/>
      <c r="Z238" s="2239"/>
      <c r="AA238" s="2260"/>
      <c r="AB238" s="2239"/>
      <c r="AC238" s="2239"/>
      <c r="AD238" s="2239"/>
      <c r="AE238" s="2260"/>
      <c r="AF238" s="2239"/>
      <c r="AG238" s="2239"/>
      <c r="AH238" s="2239"/>
      <c r="AI238" s="2260"/>
      <c r="AJ238" s="2239"/>
      <c r="AK238" s="2239"/>
      <c r="AL238" s="2239"/>
      <c r="AM238" s="2260"/>
      <c r="AN238" s="2239"/>
      <c r="AO238" s="2239"/>
      <c r="AP238" s="2239"/>
      <c r="AQ238" s="2260"/>
      <c r="AR238" s="2239"/>
      <c r="AS238" s="2239"/>
      <c r="AT238" s="2239"/>
      <c r="AU238" s="2260"/>
      <c r="AV238" s="2239"/>
      <c r="AW238" s="2239"/>
      <c r="AX238" s="2239"/>
      <c r="AY238" s="2260"/>
      <c r="AZ238" s="2239"/>
      <c r="BA238" s="2239"/>
      <c r="BB238" s="2239"/>
      <c r="BC238" s="2604"/>
      <c r="BD238" s="2260"/>
      <c r="BE238" s="2239"/>
      <c r="BF238" s="2239"/>
      <c r="BG238" s="2239"/>
      <c r="BH238" s="2239"/>
      <c r="BI238" s="2260"/>
      <c r="BJ238" s="2239"/>
      <c r="BK238" s="2239"/>
      <c r="BL238" s="2239"/>
      <c r="BM238" s="2239"/>
      <c r="BN238" s="2260"/>
      <c r="BO238" s="2239"/>
      <c r="BP238" s="2239"/>
      <c r="BQ238" s="2239"/>
      <c r="BR238" s="2239"/>
      <c r="BS238" s="2260"/>
      <c r="BT238" s="2239"/>
      <c r="BU238" s="2239"/>
      <c r="BV238" s="2239"/>
      <c r="BW238" s="2239"/>
      <c r="BX238" s="2260"/>
      <c r="BY238" s="2258"/>
      <c r="BZ238" s="2488">
        <v>0.11</v>
      </c>
      <c r="CA238" s="2489">
        <v>0.13</v>
      </c>
      <c r="CB238" s="2490">
        <v>0.16</v>
      </c>
      <c r="CC238" s="2259"/>
      <c r="CD238" s="2259"/>
      <c r="CE238" s="2259"/>
      <c r="CF238" s="2259"/>
      <c r="CG238" s="2259"/>
      <c r="CH238" s="2259"/>
      <c r="CI238" s="2259"/>
      <c r="CJ238" s="2259"/>
      <c r="CK238" s="2259"/>
      <c r="CL238" s="2259"/>
      <c r="CM238" s="2259"/>
      <c r="CN238" s="2239"/>
      <c r="CO238" s="2239"/>
      <c r="CP238" s="2258"/>
      <c r="CQ238" s="2258"/>
      <c r="CR238" s="2258"/>
      <c r="CS238" s="2258"/>
      <c r="CT238" s="2258"/>
      <c r="CU238" s="2258"/>
      <c r="CV238" s="2258"/>
      <c r="CW238" s="2258"/>
      <c r="CX238" s="2258"/>
      <c r="CY238" s="2258"/>
      <c r="CZ238" s="2258"/>
      <c r="DA238" s="2258"/>
      <c r="DB238" s="2258"/>
      <c r="DC238" s="2258"/>
      <c r="DD238" s="2258"/>
      <c r="DE238" s="2258"/>
      <c r="DF238" s="2258"/>
    </row>
    <row r="239" spans="1:110" s="1715" customFormat="1" ht="15" hidden="1" customHeight="1" outlineLevel="1">
      <c r="A239" s="2255" t="s">
        <v>76</v>
      </c>
      <c r="B239" s="2239"/>
      <c r="C239" s="2239"/>
      <c r="D239" s="2239"/>
      <c r="E239" s="2239"/>
      <c r="F239" s="2239"/>
      <c r="G239" s="2239"/>
      <c r="H239" s="2239"/>
      <c r="I239" s="2239"/>
      <c r="J239" s="2239"/>
      <c r="K239" s="2239"/>
      <c r="L239" s="2491"/>
      <c r="M239" s="2492" t="s">
        <v>632</v>
      </c>
      <c r="N239" s="2492" t="s">
        <v>437</v>
      </c>
      <c r="O239" s="2492" t="s">
        <v>438</v>
      </c>
      <c r="P239" s="2491" t="s">
        <v>439</v>
      </c>
      <c r="Q239" s="2492" t="s">
        <v>439</v>
      </c>
      <c r="R239" s="2492" t="s">
        <v>437</v>
      </c>
      <c r="S239" s="2493" t="s">
        <v>437</v>
      </c>
      <c r="T239" s="2239" t="s">
        <v>438</v>
      </c>
      <c r="U239" s="2239" t="str">
        <f>IS!DA111</f>
        <v>10-12%</v>
      </c>
      <c r="V239" s="2239"/>
      <c r="W239" s="2239"/>
      <c r="X239" s="2264"/>
      <c r="Y239" s="2239"/>
      <c r="Z239" s="2239"/>
      <c r="AA239" s="2260"/>
      <c r="AB239" s="2239"/>
      <c r="AC239" s="2239"/>
      <c r="AD239" s="2239"/>
      <c r="AE239" s="2260"/>
      <c r="AF239" s="2239"/>
      <c r="AG239" s="2239"/>
      <c r="AH239" s="2239"/>
      <c r="AI239" s="2260"/>
      <c r="AJ239" s="2239"/>
      <c r="AK239" s="2239"/>
      <c r="AL239" s="2239"/>
      <c r="AM239" s="2260"/>
      <c r="AN239" s="2239"/>
      <c r="AO239" s="2239"/>
      <c r="AP239" s="2239"/>
      <c r="AQ239" s="2260"/>
      <c r="AR239" s="2239"/>
      <c r="AS239" s="2239"/>
      <c r="AT239" s="2239"/>
      <c r="AU239" s="2260"/>
      <c r="AV239" s="2239"/>
      <c r="AW239" s="2239"/>
      <c r="AX239" s="2239"/>
      <c r="AY239" s="2260"/>
      <c r="AZ239" s="2239"/>
      <c r="BA239" s="2239"/>
      <c r="BB239" s="2239"/>
      <c r="BC239" s="2604"/>
      <c r="BD239" s="2260"/>
      <c r="BE239" s="2239"/>
      <c r="BF239" s="2239"/>
      <c r="BG239" s="2239"/>
      <c r="BH239" s="2239"/>
      <c r="BI239" s="2260"/>
      <c r="BJ239" s="2239"/>
      <c r="BK239" s="2239"/>
      <c r="BL239" s="2239"/>
      <c r="BM239" s="2239"/>
      <c r="BN239" s="2260"/>
      <c r="BO239" s="2239"/>
      <c r="BP239" s="2239"/>
      <c r="BQ239" s="2239"/>
      <c r="BR239" s="2239"/>
      <c r="BS239" s="2260"/>
      <c r="BT239" s="2239"/>
      <c r="BU239" s="2239"/>
      <c r="BV239" s="2239"/>
      <c r="BW239" s="2239"/>
      <c r="BX239" s="2260"/>
      <c r="BY239" s="2258"/>
      <c r="BZ239" s="2366"/>
      <c r="CA239" s="2492"/>
      <c r="CB239" s="2259"/>
      <c r="CC239" s="2259"/>
      <c r="CD239" s="2259"/>
      <c r="CE239" s="2259"/>
      <c r="CF239" s="2259"/>
      <c r="CG239" s="2259"/>
      <c r="CH239" s="2259"/>
      <c r="CI239" s="2259"/>
      <c r="CJ239" s="2259"/>
      <c r="CK239" s="2259"/>
      <c r="CL239" s="2259"/>
      <c r="CM239" s="2259"/>
      <c r="CN239" s="2239"/>
      <c r="CO239" s="2239"/>
      <c r="CP239" s="2258"/>
      <c r="CQ239" s="2258"/>
      <c r="CR239" s="2258"/>
      <c r="CS239" s="2258"/>
      <c r="CT239" s="2258"/>
      <c r="CU239" s="2258"/>
      <c r="CV239" s="2258"/>
      <c r="CW239" s="2258"/>
      <c r="CX239" s="2258"/>
      <c r="CY239" s="2258"/>
      <c r="CZ239" s="2258"/>
      <c r="DA239" s="2258"/>
      <c r="DB239" s="2258"/>
      <c r="DC239" s="2258"/>
      <c r="DD239" s="2258"/>
      <c r="DE239" s="2258"/>
      <c r="DF239" s="2258"/>
    </row>
    <row r="240" spans="1:110" s="1715" customFormat="1" hidden="1" outlineLevel="1">
      <c r="A240" s="2494" t="s">
        <v>8</v>
      </c>
      <c r="B240" s="2455"/>
      <c r="C240" s="2455"/>
      <c r="D240" s="2455"/>
      <c r="E240" s="2455"/>
      <c r="F240" s="2455"/>
      <c r="G240" s="2455"/>
      <c r="H240" s="2455"/>
      <c r="I240" s="2455"/>
      <c r="J240" s="2455"/>
      <c r="K240" s="2455"/>
      <c r="L240" s="2455"/>
      <c r="M240" s="2455"/>
      <c r="N240" s="2455"/>
      <c r="O240" s="2455"/>
      <c r="P240" s="2495" t="str">
        <f>IS!CU102</f>
        <v>15-16%</v>
      </c>
      <c r="Q240" s="2455" t="str">
        <f>IS!CV102</f>
        <v>62-64%</v>
      </c>
      <c r="R240" s="2455" t="str">
        <f>IS!CW102</f>
        <v>(20)-(18)%</v>
      </c>
      <c r="S240" s="2496" t="str">
        <f>IS!CX102</f>
        <v>7-11%</v>
      </c>
      <c r="T240" s="2455" t="str">
        <f>IS!CZ102</f>
        <v>6-7%</v>
      </c>
      <c r="U240" s="2455" t="str">
        <f>IS!DA102</f>
        <v>7-10%</v>
      </c>
      <c r="V240" s="2455"/>
      <c r="W240" s="2455"/>
      <c r="X240" s="2495"/>
      <c r="Y240" s="2455"/>
      <c r="Z240" s="2455"/>
      <c r="AA240" s="2496"/>
      <c r="AB240" s="2455"/>
      <c r="AC240" s="2455"/>
      <c r="AD240" s="2455"/>
      <c r="AE240" s="2455"/>
      <c r="AF240" s="2455"/>
      <c r="AG240" s="2455"/>
      <c r="AH240" s="2455"/>
      <c r="AI240" s="2455"/>
      <c r="AJ240" s="2455"/>
      <c r="AK240" s="2455"/>
      <c r="AL240" s="2455"/>
      <c r="AM240" s="2455"/>
      <c r="AN240" s="2455"/>
      <c r="AO240" s="2455"/>
      <c r="AP240" s="2455"/>
      <c r="AQ240" s="2455"/>
      <c r="AR240" s="2455"/>
      <c r="AS240" s="2455"/>
      <c r="AT240" s="2455"/>
      <c r="AU240" s="2455"/>
      <c r="AV240" s="2455"/>
      <c r="AW240" s="2455"/>
      <c r="AX240" s="2455"/>
      <c r="AY240" s="2455"/>
      <c r="AZ240" s="2455"/>
      <c r="BA240" s="2455"/>
      <c r="BB240" s="2455"/>
      <c r="BC240" s="2625"/>
      <c r="BD240" s="2455"/>
      <c r="BE240" s="2455"/>
      <c r="BF240" s="2455"/>
      <c r="BG240" s="2455"/>
      <c r="BH240" s="2455"/>
      <c r="BI240" s="2455"/>
      <c r="BJ240" s="2455"/>
      <c r="BK240" s="2455"/>
      <c r="BL240" s="2455"/>
      <c r="BM240" s="2455"/>
      <c r="BN240" s="2455"/>
      <c r="BO240" s="2455"/>
      <c r="BP240" s="2455"/>
      <c r="BQ240" s="2455"/>
      <c r="BR240" s="2455"/>
      <c r="BS240" s="2455"/>
      <c r="BT240" s="2455"/>
      <c r="BU240" s="2455"/>
      <c r="BV240" s="2455"/>
      <c r="BW240" s="2455"/>
      <c r="BX240" s="2455"/>
      <c r="BY240" s="2239"/>
      <c r="BZ240" s="2455"/>
      <c r="CA240" s="2455"/>
      <c r="CB240" s="2497"/>
      <c r="CC240" s="2497"/>
      <c r="CD240" s="2497"/>
      <c r="CE240" s="2497"/>
      <c r="CF240" s="2497"/>
      <c r="CG240" s="2497"/>
      <c r="CH240" s="2497"/>
      <c r="CI240" s="2497"/>
      <c r="CJ240" s="2497"/>
      <c r="CK240" s="2497"/>
      <c r="CL240" s="2497"/>
      <c r="CM240" s="2497"/>
      <c r="CN240" s="2239"/>
      <c r="CO240" s="2239"/>
      <c r="CP240" s="2239"/>
      <c r="CQ240" s="2239"/>
      <c r="CR240" s="2239"/>
      <c r="CS240" s="2239"/>
      <c r="CT240" s="2239"/>
      <c r="CU240" s="2239"/>
      <c r="CV240" s="2239"/>
      <c r="CW240" s="2239"/>
      <c r="CX240" s="2239"/>
      <c r="CY240" s="2239"/>
      <c r="CZ240" s="2239"/>
      <c r="DA240" s="2239"/>
      <c r="DB240" s="2239"/>
      <c r="DC240" s="2239"/>
      <c r="DD240" s="2239"/>
      <c r="DE240" s="2239"/>
      <c r="DF240" s="2239"/>
    </row>
    <row r="241" spans="1:110" s="1715" customFormat="1" hidden="1" outlineLevel="1">
      <c r="A241" s="2463" t="s">
        <v>735</v>
      </c>
      <c r="B241" s="2258"/>
      <c r="C241" s="2258"/>
      <c r="D241" s="2258"/>
      <c r="E241" s="2258"/>
      <c r="F241" s="2258"/>
      <c r="G241" s="2258"/>
      <c r="H241" s="2258"/>
      <c r="I241" s="2258"/>
      <c r="J241" s="2258"/>
      <c r="K241" s="2258"/>
      <c r="L241" s="2258"/>
      <c r="M241" s="2258"/>
      <c r="N241" s="2258"/>
      <c r="O241" s="2258"/>
      <c r="P241" s="2258"/>
      <c r="Q241" s="2258"/>
      <c r="R241" s="2258"/>
      <c r="S241" s="2258"/>
      <c r="T241" s="2258"/>
      <c r="U241" s="2258"/>
      <c r="V241" s="2258"/>
      <c r="W241" s="2258"/>
      <c r="X241" s="2258"/>
      <c r="Y241" s="2258"/>
      <c r="Z241" s="2258"/>
      <c r="AA241" s="2258"/>
      <c r="AB241" s="2258"/>
      <c r="AC241" s="2258"/>
      <c r="AD241" s="2258"/>
      <c r="AE241" s="2258"/>
      <c r="AF241" s="2258"/>
      <c r="AG241" s="2258"/>
      <c r="AH241" s="2258"/>
      <c r="AI241" s="2258"/>
      <c r="AJ241" s="2258"/>
      <c r="AK241" s="2258"/>
      <c r="AL241" s="2258"/>
      <c r="AM241" s="2258"/>
      <c r="AN241" s="2258"/>
      <c r="AO241" s="2258"/>
      <c r="AP241" s="2258"/>
      <c r="AQ241" s="2258"/>
      <c r="AR241" s="2258"/>
      <c r="AS241" s="2258"/>
      <c r="AT241" s="2258"/>
      <c r="AU241" s="2258"/>
      <c r="AV241" s="2258"/>
      <c r="AW241" s="2258"/>
      <c r="AX241" s="2258"/>
      <c r="AY241" s="2258"/>
      <c r="AZ241" s="2258"/>
      <c r="BA241" s="2258"/>
      <c r="BB241" s="2258"/>
      <c r="BC241" s="239"/>
      <c r="BD241" s="2258"/>
      <c r="BE241" s="2258"/>
      <c r="BF241" s="2258"/>
      <c r="BG241" s="2258"/>
      <c r="BH241" s="2258"/>
      <c r="BI241" s="2258"/>
      <c r="BJ241" s="2258"/>
      <c r="BK241" s="2258"/>
      <c r="BL241" s="2258"/>
      <c r="BM241" s="2258"/>
      <c r="BN241" s="2258"/>
      <c r="BO241" s="2258"/>
      <c r="BP241" s="2258"/>
      <c r="BQ241" s="2258"/>
      <c r="BR241" s="2258"/>
      <c r="BS241" s="2258"/>
      <c r="BT241" s="2258"/>
      <c r="BU241" s="2258"/>
      <c r="BV241" s="2258"/>
      <c r="BW241" s="2258"/>
      <c r="BX241" s="2258"/>
      <c r="BY241" s="2239"/>
      <c r="BZ241" s="2258"/>
      <c r="CA241" s="2258"/>
      <c r="CB241" s="2258"/>
      <c r="CC241" s="2258"/>
      <c r="CD241" s="2258"/>
      <c r="CE241" s="2258"/>
      <c r="CF241" s="2258"/>
      <c r="CG241" s="2258"/>
      <c r="CH241" s="2258"/>
      <c r="CI241" s="2258"/>
      <c r="CJ241" s="2258"/>
      <c r="CK241" s="2258"/>
      <c r="CL241" s="2258"/>
      <c r="CM241" s="2258"/>
      <c r="CN241" s="2258"/>
      <c r="CO241" s="2258"/>
      <c r="CP241" s="2239"/>
      <c r="CQ241" s="2239"/>
      <c r="CR241" s="2239"/>
      <c r="CS241" s="2239"/>
      <c r="CT241" s="2239"/>
      <c r="CU241" s="2239"/>
      <c r="CV241" s="2239"/>
      <c r="CW241" s="2239"/>
      <c r="CX241" s="2239"/>
      <c r="CY241" s="2239"/>
      <c r="CZ241" s="2239"/>
      <c r="DA241" s="2239"/>
      <c r="DB241" s="2239"/>
      <c r="DC241" s="2239"/>
      <c r="DD241" s="2239"/>
      <c r="DE241" s="2239"/>
      <c r="DF241" s="2239"/>
    </row>
    <row r="242" spans="1:110" s="1715" customFormat="1" hidden="1" outlineLevel="1">
      <c r="A242" s="2249"/>
      <c r="B242" s="2258"/>
      <c r="C242" s="2258"/>
      <c r="D242" s="2258"/>
      <c r="E242" s="2258"/>
      <c r="F242" s="2258"/>
      <c r="G242" s="2258"/>
      <c r="H242" s="2258"/>
      <c r="I242" s="2258"/>
      <c r="J242" s="2258"/>
      <c r="K242" s="2258"/>
      <c r="L242" s="2258"/>
      <c r="M242" s="2258"/>
      <c r="N242" s="2258"/>
      <c r="O242" s="2258"/>
      <c r="P242" s="2258"/>
      <c r="Q242" s="2258"/>
      <c r="R242" s="2258"/>
      <c r="S242" s="2258"/>
      <c r="T242" s="2258"/>
      <c r="U242" s="2258"/>
      <c r="V242" s="2258"/>
      <c r="W242" s="2498"/>
      <c r="X242" s="2258"/>
      <c r="Y242" s="2258"/>
      <c r="Z242" s="2258"/>
      <c r="AA242" s="2258"/>
      <c r="AB242" s="2258"/>
      <c r="AC242" s="2258"/>
      <c r="AD242" s="2258"/>
      <c r="AE242" s="2258"/>
      <c r="AF242" s="2258"/>
      <c r="AG242" s="2258"/>
      <c r="AH242" s="2258"/>
      <c r="AI242" s="2258"/>
      <c r="AJ242" s="2258"/>
      <c r="AK242" s="2258"/>
      <c r="AL242" s="2258"/>
      <c r="AM242" s="2258"/>
      <c r="AN242" s="2258"/>
      <c r="AO242" s="2258"/>
      <c r="AP242" s="2258"/>
      <c r="AQ242" s="2258"/>
      <c r="AR242" s="2258"/>
      <c r="AS242" s="2258"/>
      <c r="AT242" s="2258"/>
      <c r="AU242" s="2258"/>
      <c r="AV242" s="2258"/>
      <c r="AW242" s="2258"/>
      <c r="AX242" s="2258"/>
      <c r="AY242" s="2258"/>
      <c r="AZ242" s="2258"/>
      <c r="BA242" s="2258"/>
      <c r="BB242" s="2258"/>
      <c r="BC242" s="239"/>
      <c r="BD242" s="2258"/>
      <c r="BE242" s="2258"/>
      <c r="BF242" s="2258"/>
      <c r="BG242" s="2258"/>
      <c r="BH242" s="2258"/>
      <c r="BI242" s="2258"/>
      <c r="BJ242" s="2258"/>
      <c r="BK242" s="2258"/>
      <c r="BL242" s="2258"/>
      <c r="BM242" s="2258"/>
      <c r="BN242" s="2258"/>
      <c r="BO242" s="2258"/>
      <c r="BP242" s="2258"/>
      <c r="BQ242" s="2258"/>
      <c r="BR242" s="2258"/>
      <c r="BS242" s="2258"/>
      <c r="BT242" s="2258"/>
      <c r="BU242" s="2258"/>
      <c r="BV242" s="2258"/>
      <c r="BW242" s="2258"/>
      <c r="BX242" s="2258"/>
      <c r="BY242" s="2258"/>
      <c r="BZ242" s="2258"/>
      <c r="CA242" s="2258"/>
      <c r="CB242" s="2258"/>
      <c r="CC242" s="2258"/>
      <c r="CD242" s="2258"/>
      <c r="CE242" s="2258"/>
      <c r="CF242" s="2258"/>
      <c r="CG242" s="2258"/>
      <c r="CH242" s="2258"/>
      <c r="CI242" s="2258"/>
      <c r="CJ242" s="2258"/>
      <c r="CK242" s="2258"/>
      <c r="CL242" s="2258"/>
      <c r="CM242" s="2258"/>
      <c r="CN242" s="2258"/>
      <c r="CO242" s="2258"/>
      <c r="CP242" s="2258"/>
      <c r="CQ242" s="2258"/>
      <c r="CR242" s="2258"/>
      <c r="CS242" s="2258"/>
      <c r="CT242" s="2258"/>
      <c r="CU242" s="2258"/>
      <c r="CV242" s="2258"/>
      <c r="CW242" s="2258"/>
      <c r="CX242" s="2258"/>
      <c r="CY242" s="2258"/>
      <c r="CZ242" s="2258"/>
      <c r="DA242" s="2258"/>
      <c r="DB242" s="2258"/>
      <c r="DC242" s="2258"/>
      <c r="DD242" s="2258"/>
      <c r="DE242" s="2258"/>
      <c r="DF242" s="2258"/>
    </row>
    <row r="243" spans="1:110" s="1715" customFormat="1" hidden="1" outlineLevel="1">
      <c r="A243" s="2431" t="s">
        <v>263</v>
      </c>
      <c r="B243" s="2258"/>
      <c r="C243" s="2258"/>
      <c r="D243" s="2258"/>
      <c r="E243" s="2258"/>
      <c r="F243" s="2258"/>
      <c r="G243" s="2258"/>
      <c r="H243" s="2258"/>
      <c r="I243" s="2258"/>
      <c r="J243" s="2258"/>
      <c r="K243" s="2258"/>
      <c r="L243" s="2258"/>
      <c r="M243" s="2258"/>
      <c r="N243" s="2258"/>
      <c r="O243" s="2258"/>
      <c r="P243" s="2258"/>
      <c r="Q243" s="2258"/>
      <c r="R243" s="2258"/>
      <c r="S243" s="2258"/>
      <c r="T243" s="2258"/>
      <c r="U243" s="2258"/>
      <c r="V243" s="2258"/>
      <c r="W243" s="2258"/>
      <c r="X243" s="2258"/>
      <c r="Y243" s="2258"/>
      <c r="Z243" s="2258"/>
      <c r="AA243" s="2258"/>
      <c r="AB243" s="2258"/>
      <c r="AC243" s="2258"/>
      <c r="AD243" s="2258"/>
      <c r="AE243" s="2258"/>
      <c r="AF243" s="2258"/>
      <c r="AG243" s="2258"/>
      <c r="AH243" s="2258"/>
      <c r="AI243" s="2258"/>
      <c r="AJ243" s="2258"/>
      <c r="AK243" s="2258"/>
      <c r="AL243" s="2258"/>
      <c r="AM243" s="2258"/>
      <c r="AN243" s="2258"/>
      <c r="AO243" s="2258"/>
      <c r="AP243" s="2258"/>
      <c r="AQ243" s="2258"/>
      <c r="AR243" s="2258"/>
      <c r="AS243" s="2258"/>
      <c r="AT243" s="2258"/>
      <c r="AU243" s="2258"/>
      <c r="AV243" s="2258"/>
      <c r="AW243" s="2258"/>
      <c r="AX243" s="2258"/>
      <c r="AY243" s="2258"/>
      <c r="AZ243" s="2258"/>
      <c r="BA243" s="2258"/>
      <c r="BB243" s="2258"/>
      <c r="BC243" s="239"/>
      <c r="BD243" s="2258"/>
      <c r="BE243" s="2258"/>
      <c r="BF243" s="2258"/>
      <c r="BG243" s="2258"/>
      <c r="BH243" s="2258"/>
      <c r="BI243" s="2258"/>
      <c r="BJ243" s="2258"/>
      <c r="BK243" s="2258"/>
      <c r="BL243" s="2258"/>
      <c r="BM243" s="2258"/>
      <c r="BN243" s="2258"/>
      <c r="BO243" s="2258"/>
      <c r="BP243" s="2258"/>
      <c r="BQ243" s="2258"/>
      <c r="BR243" s="2258"/>
      <c r="BS243" s="2258"/>
      <c r="BT243" s="2258"/>
      <c r="BU243" s="2258"/>
      <c r="BV243" s="2258"/>
      <c r="BW243" s="2258"/>
      <c r="BX243" s="2258"/>
      <c r="BY243" s="2258"/>
      <c r="BZ243" s="2258"/>
      <c r="CA243" s="2258"/>
      <c r="CB243" s="2258"/>
      <c r="CC243" s="2258"/>
      <c r="CD243" s="2258"/>
      <c r="CE243" s="2258"/>
      <c r="CF243" s="2258"/>
      <c r="CG243" s="2258"/>
      <c r="CH243" s="2258"/>
      <c r="CI243" s="2258"/>
      <c r="CJ243" s="2258"/>
      <c r="CK243" s="2258"/>
      <c r="CL243" s="2258"/>
      <c r="CM243" s="2258"/>
      <c r="CN243" s="2258"/>
      <c r="CO243" s="2258"/>
      <c r="CP243" s="2258"/>
      <c r="CQ243" s="2258"/>
      <c r="CR243" s="2258"/>
      <c r="CS243" s="2258"/>
      <c r="CT243" s="2258"/>
      <c r="CU243" s="2258"/>
      <c r="CV243" s="2258"/>
      <c r="CW243" s="2258"/>
      <c r="CX243" s="2258"/>
      <c r="CY243" s="2258"/>
      <c r="CZ243" s="2258"/>
      <c r="DA243" s="2258"/>
      <c r="DB243" s="2258"/>
      <c r="DC243" s="2258"/>
      <c r="DD243" s="2258"/>
      <c r="DE243" s="2258"/>
      <c r="DF243" s="2258"/>
    </row>
    <row r="244" spans="1:110" s="1715" customFormat="1" hidden="1" outlineLevel="1">
      <c r="A244" s="2431" t="s">
        <v>264</v>
      </c>
      <c r="B244" s="2279"/>
      <c r="C244" s="2279"/>
      <c r="D244" s="2279"/>
      <c r="E244" s="2279"/>
      <c r="F244" s="2279"/>
      <c r="G244" s="2279"/>
      <c r="H244" s="2279"/>
      <c r="I244" s="2279"/>
      <c r="J244" s="2279"/>
      <c r="K244" s="2279"/>
      <c r="L244" s="2378">
        <v>-45</v>
      </c>
      <c r="M244" s="2378">
        <v>-1100</v>
      </c>
      <c r="N244" s="2378">
        <f>-(L244+M244)</f>
        <v>1145</v>
      </c>
      <c r="O244" s="2279"/>
      <c r="P244" s="2279"/>
      <c r="Q244" s="2279"/>
      <c r="R244" s="2279"/>
      <c r="S244" s="2279"/>
      <c r="T244" s="2279"/>
      <c r="U244" s="2279"/>
      <c r="V244" s="2279"/>
      <c r="W244" s="2279"/>
      <c r="X244" s="2279"/>
      <c r="Y244" s="2279"/>
      <c r="Z244" s="2279"/>
      <c r="AA244" s="2279"/>
      <c r="AB244" s="2279"/>
      <c r="AC244" s="2279"/>
      <c r="AD244" s="2279"/>
      <c r="AE244" s="2279"/>
      <c r="AF244" s="2279"/>
      <c r="AG244" s="2279"/>
      <c r="AH244" s="2279"/>
      <c r="AI244" s="2279"/>
      <c r="AJ244" s="2279"/>
      <c r="AK244" s="2279"/>
      <c r="AL244" s="2279"/>
      <c r="AM244" s="2279"/>
      <c r="AN244" s="2279"/>
      <c r="AO244" s="2279"/>
      <c r="AP244" s="2279"/>
      <c r="AQ244" s="2279"/>
      <c r="AR244" s="2279"/>
      <c r="AS244" s="2279"/>
      <c r="AT244" s="2279"/>
      <c r="AU244" s="2279"/>
      <c r="AV244" s="2279"/>
      <c r="AW244" s="2279"/>
      <c r="AX244" s="2279"/>
      <c r="AY244" s="2279"/>
      <c r="AZ244" s="2279"/>
      <c r="BA244" s="2279"/>
      <c r="BB244" s="2279"/>
      <c r="BC244" s="2626"/>
      <c r="BD244" s="2279"/>
      <c r="BE244" s="2279"/>
      <c r="BF244" s="2279"/>
      <c r="BG244" s="2279"/>
      <c r="BH244" s="2279"/>
      <c r="BI244" s="2279"/>
      <c r="BJ244" s="2279"/>
      <c r="BK244" s="2279"/>
      <c r="BL244" s="2279"/>
      <c r="BM244" s="2279"/>
      <c r="BN244" s="2279"/>
      <c r="BO244" s="2279"/>
      <c r="BP244" s="2279"/>
      <c r="BQ244" s="2279"/>
      <c r="BR244" s="2279"/>
      <c r="BS244" s="2279"/>
      <c r="BT244" s="2279"/>
      <c r="BU244" s="2279"/>
      <c r="BV244" s="2279"/>
      <c r="BW244" s="2279"/>
      <c r="BX244" s="2279"/>
      <c r="BY244" s="2279"/>
      <c r="BZ244" s="2279"/>
      <c r="CA244" s="2279"/>
      <c r="CB244" s="2279"/>
      <c r="CC244" s="2279"/>
      <c r="CD244" s="2279"/>
      <c r="CE244" s="2279"/>
      <c r="CF244" s="2279"/>
      <c r="CG244" s="2279"/>
      <c r="CH244" s="2279"/>
      <c r="CI244" s="2279"/>
      <c r="CJ244" s="2279"/>
      <c r="CK244" s="2279"/>
      <c r="CL244" s="2279"/>
      <c r="CM244" s="2279"/>
      <c r="CN244" s="2279"/>
      <c r="CO244" s="2279"/>
      <c r="CP244" s="2279"/>
      <c r="CQ244" s="2279"/>
      <c r="CR244" s="2279"/>
      <c r="CS244" s="2279"/>
      <c r="CT244" s="2279"/>
      <c r="CU244" s="2279"/>
      <c r="CV244" s="2279"/>
      <c r="CW244" s="2279"/>
      <c r="CX244" s="2279"/>
      <c r="CY244" s="2279"/>
      <c r="CZ244" s="2279"/>
      <c r="DA244" s="2279"/>
      <c r="DB244" s="2279"/>
      <c r="DC244" s="2279"/>
      <c r="DD244" s="2279"/>
      <c r="DE244" s="2279"/>
      <c r="DF244" s="2279"/>
    </row>
    <row r="245" spans="1:110" s="1715" customFormat="1" hidden="1" outlineLevel="1">
      <c r="A245" s="2499" t="s">
        <v>267</v>
      </c>
      <c r="B245" s="2258"/>
      <c r="C245" s="2258"/>
      <c r="D245" s="2258"/>
      <c r="E245" s="2258"/>
      <c r="F245" s="2258"/>
      <c r="G245" s="2258"/>
      <c r="H245" s="2258"/>
      <c r="I245" s="2258"/>
      <c r="J245" s="2258"/>
      <c r="K245" s="2258"/>
      <c r="L245" s="2312"/>
      <c r="M245" s="2391">
        <f>-M244/M169</f>
        <v>0.33557498551523568</v>
      </c>
      <c r="N245" s="2391">
        <f>-N244/N169</f>
        <v>-0.34155581358696568</v>
      </c>
      <c r="O245" s="2258"/>
      <c r="P245" s="2258"/>
      <c r="Q245" s="2258"/>
      <c r="R245" s="2258"/>
      <c r="S245" s="2258"/>
      <c r="T245" s="2258"/>
      <c r="U245" s="2258"/>
      <c r="V245" s="2258"/>
      <c r="W245" s="2258"/>
      <c r="X245" s="2258"/>
      <c r="Y245" s="2258"/>
      <c r="Z245" s="2258"/>
      <c r="AA245" s="2258"/>
      <c r="AB245" s="2258"/>
      <c r="AC245" s="2258"/>
      <c r="AD245" s="2258"/>
      <c r="AE245" s="2258"/>
      <c r="AF245" s="2258"/>
      <c r="AG245" s="2258"/>
      <c r="AH245" s="2258"/>
      <c r="AI245" s="2258"/>
      <c r="AJ245" s="2258"/>
      <c r="AK245" s="2258"/>
      <c r="AL245" s="2258"/>
      <c r="AM245" s="2258"/>
      <c r="AN245" s="2258"/>
      <c r="AO245" s="2258"/>
      <c r="AP245" s="2258"/>
      <c r="AQ245" s="2258"/>
      <c r="AR245" s="2258"/>
      <c r="AS245" s="2258"/>
      <c r="AT245" s="2258"/>
      <c r="AU245" s="2258"/>
      <c r="AV245" s="2258"/>
      <c r="AW245" s="2258"/>
      <c r="AX245" s="2258"/>
      <c r="AY245" s="2258"/>
      <c r="AZ245" s="2258"/>
      <c r="BA245" s="2258"/>
      <c r="BB245" s="2258"/>
      <c r="BC245" s="239"/>
      <c r="BD245" s="2258"/>
      <c r="BE245" s="2258"/>
      <c r="BF245" s="2258"/>
      <c r="BG245" s="2258"/>
      <c r="BH245" s="2258"/>
      <c r="BI245" s="2258"/>
      <c r="BJ245" s="2258"/>
      <c r="BK245" s="2258"/>
      <c r="BL245" s="2258"/>
      <c r="BM245" s="2258"/>
      <c r="BN245" s="2258"/>
      <c r="BO245" s="2258"/>
      <c r="BP245" s="2258"/>
      <c r="BQ245" s="2258"/>
      <c r="BR245" s="2258"/>
      <c r="BS245" s="2258"/>
      <c r="BT245" s="2258"/>
      <c r="BU245" s="2258"/>
      <c r="BV245" s="2258"/>
      <c r="BW245" s="2258"/>
      <c r="BX245" s="2258"/>
      <c r="BY245" s="2258"/>
      <c r="BZ245" s="2258"/>
      <c r="CA245" s="2258"/>
      <c r="CB245" s="2258"/>
      <c r="CC245" s="2258"/>
      <c r="CD245" s="2258"/>
      <c r="CE245" s="2258"/>
      <c r="CF245" s="2258"/>
      <c r="CG245" s="2258"/>
      <c r="CH245" s="2258"/>
      <c r="CI245" s="2258"/>
      <c r="CJ245" s="2258"/>
      <c r="CK245" s="2258"/>
      <c r="CL245" s="2258"/>
      <c r="CM245" s="2258"/>
      <c r="CN245" s="2258"/>
      <c r="CO245" s="2258"/>
      <c r="CP245" s="2258"/>
      <c r="CQ245" s="2258"/>
      <c r="CR245" s="2258"/>
      <c r="CS245" s="2258"/>
      <c r="CT245" s="2258"/>
      <c r="CU245" s="2258"/>
      <c r="CV245" s="2258"/>
      <c r="CW245" s="2258"/>
      <c r="CX245" s="2258"/>
      <c r="CY245" s="2258"/>
      <c r="CZ245" s="2258"/>
      <c r="DA245" s="2258"/>
      <c r="DB245" s="2258"/>
      <c r="DC245" s="2258"/>
      <c r="DD245" s="2258"/>
      <c r="DE245" s="2258"/>
      <c r="DF245" s="2258"/>
    </row>
    <row r="246" spans="1:110" s="1715" customFormat="1" hidden="1" outlineLevel="1">
      <c r="A246" s="2499" t="s">
        <v>65</v>
      </c>
      <c r="B246" s="2258"/>
      <c r="C246" s="2258"/>
      <c r="D246" s="2258"/>
      <c r="E246" s="2258"/>
      <c r="F246" s="2258"/>
      <c r="G246" s="2258"/>
      <c r="H246" s="2258"/>
      <c r="I246" s="2258"/>
      <c r="J246" s="2258"/>
      <c r="K246" s="2258"/>
      <c r="L246" s="2312"/>
      <c r="M246" s="2391">
        <f>-M244/M105</f>
        <v>0.55705447595529123</v>
      </c>
      <c r="N246" s="2391"/>
      <c r="O246" s="2258"/>
      <c r="P246" s="2258"/>
      <c r="Q246" s="2258"/>
      <c r="R246" s="2258"/>
      <c r="S246" s="2258"/>
      <c r="T246" s="2258"/>
      <c r="U246" s="2258"/>
      <c r="V246" s="2258"/>
      <c r="W246" s="2258"/>
      <c r="X246" s="2258"/>
      <c r="Y246" s="2258"/>
      <c r="Z246" s="2258"/>
      <c r="AA246" s="2258"/>
      <c r="AB246" s="2258"/>
      <c r="AC246" s="2258"/>
      <c r="AD246" s="2258"/>
      <c r="AE246" s="2258"/>
      <c r="AF246" s="2258"/>
      <c r="AG246" s="2258"/>
      <c r="AH246" s="2258"/>
      <c r="AI246" s="2258"/>
      <c r="AJ246" s="2258"/>
      <c r="AK246" s="2258"/>
      <c r="AL246" s="2258"/>
      <c r="AM246" s="2258"/>
      <c r="AN246" s="2258"/>
      <c r="AO246" s="2258"/>
      <c r="AP246" s="2258"/>
      <c r="AQ246" s="2258"/>
      <c r="AR246" s="2258"/>
      <c r="AS246" s="2258"/>
      <c r="AT246" s="2258"/>
      <c r="AU246" s="2258"/>
      <c r="AV246" s="2258"/>
      <c r="AW246" s="2258"/>
      <c r="AX246" s="2258"/>
      <c r="AY246" s="2258"/>
      <c r="AZ246" s="2258"/>
      <c r="BA246" s="2258"/>
      <c r="BB246" s="2258"/>
      <c r="BC246" s="239"/>
      <c r="BD246" s="2258"/>
      <c r="BE246" s="2258"/>
      <c r="BF246" s="2258"/>
      <c r="BG246" s="2258"/>
      <c r="BH246" s="2258"/>
      <c r="BI246" s="2258"/>
      <c r="BJ246" s="2258"/>
      <c r="BK246" s="2258"/>
      <c r="BL246" s="2258"/>
      <c r="BM246" s="2258"/>
      <c r="BN246" s="2258"/>
      <c r="BO246" s="2258"/>
      <c r="BP246" s="2258"/>
      <c r="BQ246" s="2258"/>
      <c r="BR246" s="2258"/>
      <c r="BS246" s="2258"/>
      <c r="BT246" s="2258"/>
      <c r="BU246" s="2258"/>
      <c r="BV246" s="2258"/>
      <c r="BW246" s="2258"/>
      <c r="BX246" s="2258"/>
      <c r="BY246" s="2258"/>
      <c r="BZ246" s="2258"/>
      <c r="CA246" s="2258"/>
      <c r="CB246" s="2258"/>
      <c r="CC246" s="2258"/>
      <c r="CD246" s="2258"/>
      <c r="CE246" s="2258"/>
      <c r="CF246" s="2258"/>
      <c r="CG246" s="2258"/>
      <c r="CH246" s="2258"/>
      <c r="CI246" s="2258"/>
      <c r="CJ246" s="2258"/>
      <c r="CK246" s="2258"/>
      <c r="CL246" s="2258"/>
      <c r="CM246" s="2258"/>
      <c r="CN246" s="2258"/>
      <c r="CO246" s="2258"/>
      <c r="CP246" s="2258"/>
      <c r="CQ246" s="2258"/>
      <c r="CR246" s="2258"/>
      <c r="CS246" s="2258"/>
      <c r="CT246" s="2258"/>
      <c r="CU246" s="2258"/>
      <c r="CV246" s="2258"/>
      <c r="CW246" s="2258"/>
      <c r="CX246" s="2258"/>
      <c r="CY246" s="2258"/>
      <c r="CZ246" s="2258"/>
      <c r="DA246" s="2258"/>
      <c r="DB246" s="2258"/>
      <c r="DC246" s="2258"/>
      <c r="DD246" s="2258"/>
      <c r="DE246" s="2258"/>
      <c r="DF246" s="2258"/>
    </row>
    <row r="247" spans="1:110" s="1715" customFormat="1" hidden="1" outlineLevel="1">
      <c r="A247" s="2249"/>
      <c r="B247" s="2258"/>
      <c r="C247" s="2258"/>
      <c r="D247" s="2258"/>
      <c r="E247" s="2258"/>
      <c r="F247" s="2258"/>
      <c r="G247" s="2258"/>
      <c r="H247" s="2258"/>
      <c r="I247" s="2258"/>
      <c r="J247" s="2258"/>
      <c r="K247" s="2258"/>
      <c r="L247" s="2312"/>
      <c r="M247" s="2312"/>
      <c r="N247" s="2312"/>
      <c r="O247" s="2258"/>
      <c r="P247" s="2258"/>
      <c r="Q247" s="2258"/>
      <c r="R247" s="2258"/>
      <c r="S247" s="2258"/>
      <c r="T247" s="2258"/>
      <c r="U247" s="2258"/>
      <c r="V247" s="2258"/>
      <c r="W247" s="2258"/>
      <c r="X247" s="2258"/>
      <c r="Y247" s="2258"/>
      <c r="Z247" s="2258"/>
      <c r="AA247" s="2258"/>
      <c r="AB247" s="2258"/>
      <c r="AC247" s="2258"/>
      <c r="AD247" s="2258"/>
      <c r="AE247" s="2258"/>
      <c r="AF247" s="2258"/>
      <c r="AG247" s="2258"/>
      <c r="AH247" s="2258"/>
      <c r="AI247" s="2258"/>
      <c r="AJ247" s="2258"/>
      <c r="AK247" s="2258"/>
      <c r="AL247" s="2258"/>
      <c r="AM247" s="2258"/>
      <c r="AN247" s="2258"/>
      <c r="AO247" s="2258"/>
      <c r="AP247" s="2258"/>
      <c r="AQ247" s="2258"/>
      <c r="AR247" s="2258"/>
      <c r="AS247" s="2258"/>
      <c r="AT247" s="2258"/>
      <c r="AU247" s="2258"/>
      <c r="AV247" s="2258"/>
      <c r="AW247" s="2258"/>
      <c r="AX247" s="2258"/>
      <c r="AY247" s="2258"/>
      <c r="AZ247" s="2258"/>
      <c r="BA247" s="2258"/>
      <c r="BB247" s="2258"/>
      <c r="BC247" s="239"/>
      <c r="BD247" s="2258"/>
      <c r="BE247" s="2258"/>
      <c r="BF247" s="2258"/>
      <c r="BG247" s="2258"/>
      <c r="BH247" s="2258"/>
      <c r="BI247" s="2258"/>
      <c r="BJ247" s="2258"/>
      <c r="BK247" s="2258"/>
      <c r="BL247" s="2258"/>
      <c r="BM247" s="2258"/>
      <c r="BN247" s="2258"/>
      <c r="BO247" s="2258"/>
      <c r="BP247" s="2258"/>
      <c r="BQ247" s="2258"/>
      <c r="BR247" s="2258"/>
      <c r="BS247" s="2258"/>
      <c r="BT247" s="2258"/>
      <c r="BU247" s="2258"/>
      <c r="BV247" s="2258"/>
      <c r="BW247" s="2258"/>
      <c r="BX247" s="2258"/>
      <c r="BY247" s="2258"/>
      <c r="BZ247" s="2258"/>
      <c r="CA247" s="2258"/>
      <c r="CB247" s="2258"/>
      <c r="CC247" s="2258"/>
      <c r="CD247" s="2258"/>
      <c r="CE247" s="2258"/>
      <c r="CF247" s="2258"/>
      <c r="CG247" s="2258"/>
      <c r="CH247" s="2258"/>
      <c r="CI247" s="2258"/>
      <c r="CJ247" s="2258"/>
      <c r="CK247" s="2258"/>
      <c r="CL247" s="2258"/>
      <c r="CM247" s="2258"/>
      <c r="CN247" s="2258"/>
      <c r="CO247" s="2258"/>
      <c r="CP247" s="2258"/>
      <c r="CQ247" s="2258"/>
      <c r="CR247" s="2258"/>
      <c r="CS247" s="2258"/>
      <c r="CT247" s="2258"/>
      <c r="CU247" s="2258"/>
      <c r="CV247" s="2258"/>
      <c r="CW247" s="2258"/>
      <c r="CX247" s="2258"/>
      <c r="CY247" s="2258"/>
      <c r="CZ247" s="2258"/>
      <c r="DA247" s="2258"/>
      <c r="DB247" s="2258"/>
      <c r="DC247" s="2258"/>
      <c r="DD247" s="2258"/>
      <c r="DE247" s="2258"/>
      <c r="DF247" s="2258"/>
    </row>
    <row r="248" spans="1:110" s="1715" customFormat="1" hidden="1" outlineLevel="1">
      <c r="A248" s="2431" t="s">
        <v>807</v>
      </c>
      <c r="B248" s="2279"/>
      <c r="C248" s="2279"/>
      <c r="D248" s="2279"/>
      <c r="E248" s="2279"/>
      <c r="F248" s="2279"/>
      <c r="G248" s="2279"/>
      <c r="H248" s="2279"/>
      <c r="I248" s="2279"/>
      <c r="J248" s="2279"/>
      <c r="K248" s="2279"/>
      <c r="L248" s="2378"/>
      <c r="M248" s="2378"/>
      <c r="N248" s="2378"/>
      <c r="O248" s="2279"/>
      <c r="P248" s="2279"/>
      <c r="Q248" s="2279"/>
      <c r="R248" s="2279"/>
      <c r="S248" s="2279"/>
      <c r="T248" s="2279"/>
      <c r="U248" s="2279"/>
      <c r="V248" s="2279"/>
      <c r="W248" s="2380">
        <f>W250+W252</f>
        <v>-276</v>
      </c>
      <c r="X248" s="2380">
        <f>X250+X252</f>
        <v>-1466</v>
      </c>
      <c r="Y248" s="2380">
        <f>Y250+Y252</f>
        <v>1711</v>
      </c>
      <c r="Z248" s="2380">
        <f>Z250+Z252</f>
        <v>31</v>
      </c>
      <c r="AA248" s="2380"/>
      <c r="AB248" s="2279"/>
      <c r="AC248" s="2279"/>
      <c r="AD248" s="2279"/>
      <c r="AE248" s="2279"/>
      <c r="AF248" s="2279"/>
      <c r="AG248" s="2279"/>
      <c r="AH248" s="2279"/>
      <c r="AI248" s="2380">
        <f>AI193</f>
        <v>-747.19147653342952</v>
      </c>
      <c r="AJ248" s="2380">
        <f>AJ193</f>
        <v>-1683.7631246826804</v>
      </c>
      <c r="AK248" s="2380">
        <f>AK193</f>
        <v>196.18539080496885</v>
      </c>
      <c r="AL248" s="2380">
        <f>AL193</f>
        <v>676.14559626707069</v>
      </c>
      <c r="AM248" s="2380">
        <f>AM250+AM252</f>
        <v>-827.66901292796047</v>
      </c>
      <c r="AN248" s="2279"/>
      <c r="AO248" s="2279"/>
      <c r="AP248" s="2279"/>
      <c r="AQ248" s="2279"/>
      <c r="AR248" s="2279"/>
      <c r="AS248" s="2279"/>
      <c r="AT248" s="2279"/>
      <c r="AU248" s="2279"/>
      <c r="AV248" s="2279"/>
      <c r="AW248" s="2279"/>
      <c r="AX248" s="2279"/>
      <c r="AY248" s="2279"/>
      <c r="AZ248" s="2279"/>
      <c r="BA248" s="2279"/>
      <c r="BB248" s="2279"/>
      <c r="BC248" s="2626"/>
      <c r="BD248" s="2279"/>
      <c r="BE248" s="2279"/>
      <c r="BF248" s="2279"/>
      <c r="BG248" s="2279"/>
      <c r="BH248" s="2279"/>
      <c r="BI248" s="2279"/>
      <c r="BJ248" s="2279"/>
      <c r="BK248" s="2279"/>
      <c r="BL248" s="2279"/>
      <c r="BM248" s="2279"/>
      <c r="BN248" s="2279"/>
      <c r="BO248" s="2279"/>
      <c r="BP248" s="2279"/>
      <c r="BQ248" s="2279"/>
      <c r="BR248" s="2279"/>
      <c r="BS248" s="2279"/>
      <c r="BT248" s="2279"/>
      <c r="BU248" s="2279"/>
      <c r="BV248" s="2279"/>
      <c r="BW248" s="2279"/>
      <c r="BX248" s="2279"/>
      <c r="BY248" s="2279"/>
      <c r="BZ248" s="2279"/>
      <c r="CA248" s="2279"/>
      <c r="CB248" s="2279"/>
      <c r="CC248" s="2279"/>
      <c r="CD248" s="2279"/>
      <c r="CE248" s="2279"/>
      <c r="CF248" s="2279"/>
      <c r="CG248" s="2279"/>
      <c r="CH248" s="2279"/>
      <c r="CI248" s="2279"/>
      <c r="CJ248" s="2279"/>
      <c r="CK248" s="2279"/>
      <c r="CL248" s="2279"/>
      <c r="CM248" s="2279"/>
      <c r="CN248" s="2279"/>
      <c r="CO248" s="2279"/>
      <c r="CP248" s="2279"/>
      <c r="CQ248" s="2279"/>
      <c r="CR248" s="2279"/>
      <c r="CS248" s="2279"/>
      <c r="CT248" s="2279"/>
      <c r="CU248" s="2279"/>
      <c r="CV248" s="2279"/>
      <c r="CW248" s="2279"/>
      <c r="CX248" s="2279"/>
      <c r="CY248" s="2279"/>
      <c r="CZ248" s="2279"/>
      <c r="DA248" s="2279"/>
      <c r="DB248" s="2279"/>
      <c r="DC248" s="2279"/>
      <c r="DD248" s="2279"/>
      <c r="DE248" s="2279"/>
      <c r="DF248" s="2279"/>
    </row>
    <row r="249" spans="1:110" s="1715" customFormat="1" hidden="1" outlineLevel="1">
      <c r="A249" s="2500" t="s">
        <v>64</v>
      </c>
      <c r="B249" s="2279"/>
      <c r="C249" s="2279"/>
      <c r="D249" s="2279"/>
      <c r="E249" s="2279"/>
      <c r="F249" s="2279"/>
      <c r="G249" s="2279"/>
      <c r="H249" s="2279"/>
      <c r="I249" s="2279"/>
      <c r="J249" s="2279"/>
      <c r="K249" s="2279"/>
      <c r="L249" s="2378"/>
      <c r="M249" s="2378"/>
      <c r="N249" s="2378"/>
      <c r="O249" s="2279"/>
      <c r="P249" s="2279"/>
      <c r="Q249" s="2279"/>
      <c r="R249" s="2279"/>
      <c r="S249" s="2279"/>
      <c r="T249" s="2279"/>
      <c r="U249" s="2279"/>
      <c r="V249" s="2279"/>
      <c r="W249" s="2501">
        <f>W93+W99+W111</f>
        <v>1773.9866486508604</v>
      </c>
      <c r="X249" s="2501">
        <f>X93+X99+X111</f>
        <v>2590.1638487787868</v>
      </c>
      <c r="Y249" s="2501">
        <f>Y93+Y99+Y111</f>
        <v>1785.5908035116752</v>
      </c>
      <c r="Z249" s="2501">
        <f>Z93+Z99+Z111</f>
        <v>1345.8043818602625</v>
      </c>
      <c r="AA249" s="2501">
        <f>AA93+AA99+AA111</f>
        <v>687.86117259075127</v>
      </c>
      <c r="AB249" s="2279"/>
      <c r="AC249" s="2279"/>
      <c r="AD249" s="2279"/>
      <c r="AE249" s="2279"/>
      <c r="AF249" s="2279"/>
      <c r="AG249" s="2279"/>
      <c r="AH249" s="2279"/>
      <c r="AI249" s="2501">
        <f>AI135+AI141+AI159</f>
        <v>3092.8439198951246</v>
      </c>
      <c r="AJ249" s="2501">
        <f>AJ135+AJ141+AJ159</f>
        <v>3065.9218562143174</v>
      </c>
      <c r="AK249" s="2501">
        <f>AK135+AK141+AK159</f>
        <v>2035.8589455953963</v>
      </c>
      <c r="AL249" s="2501">
        <f>AL135+AL141+AL159</f>
        <v>1143.712667616378</v>
      </c>
      <c r="AM249" s="2501">
        <f>AM135+AM141+AM159</f>
        <v>955.42574244377715</v>
      </c>
      <c r="AN249" s="2279"/>
      <c r="AO249" s="2279"/>
      <c r="AP249" s="2279"/>
      <c r="AQ249" s="2279"/>
      <c r="AR249" s="2279"/>
      <c r="AS249" s="2279"/>
      <c r="AT249" s="2279"/>
      <c r="AU249" s="2279"/>
      <c r="AV249" s="2279"/>
      <c r="AW249" s="2279"/>
      <c r="AX249" s="2279"/>
      <c r="AY249" s="2279"/>
      <c r="AZ249" s="2279"/>
      <c r="BA249" s="2279"/>
      <c r="BB249" s="2279"/>
      <c r="BC249" s="2626"/>
      <c r="BD249" s="2279"/>
      <c r="BE249" s="2279"/>
      <c r="BF249" s="2279"/>
      <c r="BG249" s="2279"/>
      <c r="BH249" s="2279"/>
      <c r="BI249" s="2279"/>
      <c r="BJ249" s="2279"/>
      <c r="BK249" s="2279"/>
      <c r="BL249" s="2279"/>
      <c r="BM249" s="2279"/>
      <c r="BN249" s="2279"/>
      <c r="BO249" s="2279"/>
      <c r="BP249" s="2279"/>
      <c r="BQ249" s="2279"/>
      <c r="BR249" s="2279"/>
      <c r="BS249" s="2279"/>
      <c r="BT249" s="2279"/>
      <c r="BU249" s="2279"/>
      <c r="BV249" s="2279"/>
      <c r="BW249" s="2279"/>
      <c r="BX249" s="2279"/>
      <c r="BY249" s="2279"/>
      <c r="BZ249" s="2279"/>
      <c r="CA249" s="2279"/>
      <c r="CB249" s="2279"/>
      <c r="CC249" s="2279"/>
      <c r="CD249" s="2279"/>
      <c r="CE249" s="2279"/>
      <c r="CF249" s="2279"/>
      <c r="CG249" s="2279"/>
      <c r="CH249" s="2279"/>
      <c r="CI249" s="2279"/>
      <c r="CJ249" s="2279"/>
      <c r="CK249" s="2279"/>
      <c r="CL249" s="2279"/>
      <c r="CM249" s="2279"/>
      <c r="CN249" s="2279"/>
      <c r="CO249" s="2279"/>
      <c r="CP249" s="2279"/>
      <c r="CQ249" s="2279"/>
      <c r="CR249" s="2279"/>
      <c r="CS249" s="2279"/>
      <c r="CT249" s="2279"/>
      <c r="CU249" s="2279"/>
      <c r="CV249" s="2279"/>
      <c r="CW249" s="2279"/>
      <c r="CX249" s="2279"/>
      <c r="CY249" s="2279"/>
      <c r="CZ249" s="2279"/>
      <c r="DA249" s="2279"/>
      <c r="DB249" s="2279"/>
      <c r="DC249" s="2279"/>
      <c r="DD249" s="2279"/>
      <c r="DE249" s="2279"/>
      <c r="DF249" s="2279"/>
    </row>
    <row r="250" spans="1:110" s="1715" customFormat="1" hidden="1" outlineLevel="1">
      <c r="A250" s="2499" t="s">
        <v>268</v>
      </c>
      <c r="B250" s="2258"/>
      <c r="C250" s="2258"/>
      <c r="D250" s="2258"/>
      <c r="E250" s="2258"/>
      <c r="F250" s="2258"/>
      <c r="G250" s="2258"/>
      <c r="H250" s="2258"/>
      <c r="I250" s="2258"/>
      <c r="J250" s="2258"/>
      <c r="K250" s="2258"/>
      <c r="L250" s="2258"/>
      <c r="M250" s="2258"/>
      <c r="N250" s="2258"/>
      <c r="O250" s="2258"/>
      <c r="P250" s="2258"/>
      <c r="Q250" s="2258"/>
      <c r="R250" s="2258"/>
      <c r="S250" s="2258"/>
      <c r="T250" s="2258"/>
      <c r="U250" s="2258"/>
      <c r="V250" s="2258"/>
      <c r="W250" s="2312">
        <v>-276</v>
      </c>
      <c r="X250" s="2312">
        <v>-1466</v>
      </c>
      <c r="Y250" s="2312">
        <f>Y249*-0.4</f>
        <v>-714.23632140467009</v>
      </c>
      <c r="Z250" s="2258"/>
      <c r="AA250" s="2258"/>
      <c r="AB250" s="2258"/>
      <c r="AC250" s="2258"/>
      <c r="AD250" s="2258"/>
      <c r="AE250" s="2258"/>
      <c r="AF250" s="2258"/>
      <c r="AG250" s="2258"/>
      <c r="AH250" s="2258"/>
      <c r="AI250" s="2502">
        <v>-533</v>
      </c>
      <c r="AJ250" s="2502">
        <f>-783+-384</f>
        <v>-1167</v>
      </c>
      <c r="AK250" s="2502">
        <v>0</v>
      </c>
      <c r="AL250" s="2440"/>
      <c r="AM250" s="2258"/>
      <c r="AN250" s="2258"/>
      <c r="AO250" s="2258"/>
      <c r="AP250" s="2258"/>
      <c r="AQ250" s="2258"/>
      <c r="AR250" s="2258"/>
      <c r="AS250" s="2258"/>
      <c r="AT250" s="2258"/>
      <c r="AU250" s="2258"/>
      <c r="AV250" s="2258"/>
      <c r="AW250" s="2258"/>
      <c r="AX250" s="2258"/>
      <c r="AY250" s="2258"/>
      <c r="AZ250" s="2258"/>
      <c r="BA250" s="2258"/>
      <c r="BB250" s="2258"/>
      <c r="BC250" s="239"/>
      <c r="BD250" s="2258"/>
      <c r="BE250" s="2258"/>
      <c r="BF250" s="2258"/>
      <c r="BG250" s="2258"/>
      <c r="BH250" s="2258"/>
      <c r="BI250" s="2258"/>
      <c r="BJ250" s="2258"/>
      <c r="BK250" s="2258"/>
      <c r="BL250" s="2258"/>
      <c r="BM250" s="2258"/>
      <c r="BN250" s="2258"/>
      <c r="BO250" s="2258"/>
      <c r="BP250" s="2258"/>
      <c r="BQ250" s="2258"/>
      <c r="BR250" s="2258"/>
      <c r="BS250" s="2258"/>
      <c r="BT250" s="2258"/>
      <c r="BU250" s="2258"/>
      <c r="BV250" s="2258"/>
      <c r="BW250" s="2258"/>
      <c r="BX250" s="2258"/>
      <c r="BY250" s="2258"/>
      <c r="BZ250" s="2258"/>
      <c r="CA250" s="2258"/>
      <c r="CB250" s="2258"/>
      <c r="CC250" s="2258"/>
      <c r="CD250" s="2258"/>
      <c r="CE250" s="2258"/>
      <c r="CF250" s="2258"/>
      <c r="CG250" s="2258"/>
      <c r="CH250" s="2258"/>
      <c r="CI250" s="2258"/>
      <c r="CJ250" s="2258"/>
      <c r="CK250" s="2258"/>
      <c r="CL250" s="2258"/>
      <c r="CM250" s="2258"/>
      <c r="CN250" s="2258"/>
      <c r="CO250" s="2258"/>
      <c r="CP250" s="2258"/>
      <c r="CQ250" s="2258"/>
      <c r="CR250" s="2258"/>
      <c r="CS250" s="2258"/>
      <c r="CT250" s="2258"/>
      <c r="CU250" s="2258"/>
      <c r="CV250" s="2258"/>
      <c r="CW250" s="2258"/>
      <c r="CX250" s="2258"/>
      <c r="CY250" s="2258"/>
      <c r="CZ250" s="2258"/>
      <c r="DA250" s="2258"/>
      <c r="DB250" s="2258"/>
      <c r="DC250" s="2258"/>
      <c r="DD250" s="2258"/>
      <c r="DE250" s="2258"/>
      <c r="DF250" s="2258"/>
    </row>
    <row r="251" spans="1:110" s="1715" customFormat="1" hidden="1" outlineLevel="1">
      <c r="A251" s="2499" t="s">
        <v>65</v>
      </c>
      <c r="B251" s="2258"/>
      <c r="C251" s="2258"/>
      <c r="D251" s="2258"/>
      <c r="E251" s="2258"/>
      <c r="F251" s="2258"/>
      <c r="G251" s="2258"/>
      <c r="H251" s="2258"/>
      <c r="I251" s="2258"/>
      <c r="J251" s="2258"/>
      <c r="K251" s="2258"/>
      <c r="L251" s="2258"/>
      <c r="M251" s="2258"/>
      <c r="N251" s="2258"/>
      <c r="O251" s="2258"/>
      <c r="P251" s="2258"/>
      <c r="Q251" s="2258"/>
      <c r="R251" s="2258"/>
      <c r="S251" s="2258"/>
      <c r="T251" s="2258"/>
      <c r="U251" s="2258"/>
      <c r="V251" s="2258"/>
      <c r="W251" s="2391">
        <f>-W250/W249</f>
        <v>0.15558177972190576</v>
      </c>
      <c r="X251" s="2391">
        <f>-X250/X249</f>
        <v>0.56598736048732645</v>
      </c>
      <c r="Y251" s="2391">
        <f>-Y250/Y249</f>
        <v>0.4</v>
      </c>
      <c r="Z251" s="2258"/>
      <c r="AA251" s="2258"/>
      <c r="AB251" s="2258"/>
      <c r="AC251" s="2258"/>
      <c r="AD251" s="2258"/>
      <c r="AE251" s="2258"/>
      <c r="AF251" s="2258"/>
      <c r="AG251" s="2258"/>
      <c r="AH251" s="2258"/>
      <c r="AI251" s="2391">
        <f>-AI250/AI249</f>
        <v>0.17233330029084479</v>
      </c>
      <c r="AJ251" s="2391">
        <f>-AJ250/AJ249</f>
        <v>0.38063592443969424</v>
      </c>
      <c r="AK251" s="2391">
        <f>-AK250/AK249</f>
        <v>0</v>
      </c>
      <c r="AL251" s="2258"/>
      <c r="AM251" s="2258"/>
      <c r="AN251" s="2258"/>
      <c r="AO251" s="2258"/>
      <c r="AP251" s="2258"/>
      <c r="AQ251" s="2258"/>
      <c r="AR251" s="2258"/>
      <c r="AS251" s="2258"/>
      <c r="AT251" s="2258"/>
      <c r="AU251" s="2258"/>
      <c r="AV251" s="2258"/>
      <c r="AW251" s="2258"/>
      <c r="AX251" s="2258"/>
      <c r="AY251" s="2258"/>
      <c r="AZ251" s="2258"/>
      <c r="BA251" s="2258"/>
      <c r="BB251" s="2258"/>
      <c r="BC251" s="239"/>
      <c r="BD251" s="2258"/>
      <c r="BE251" s="2258"/>
      <c r="BF251" s="2258"/>
      <c r="BG251" s="2258"/>
      <c r="BH251" s="2258"/>
      <c r="BI251" s="2258"/>
      <c r="BJ251" s="2258"/>
      <c r="BK251" s="2258"/>
      <c r="BL251" s="2258"/>
      <c r="BM251" s="2258"/>
      <c r="BN251" s="2258"/>
      <c r="BO251" s="2258"/>
      <c r="BP251" s="2258"/>
      <c r="BQ251" s="2258"/>
      <c r="BR251" s="2258"/>
      <c r="BS251" s="2258"/>
      <c r="BT251" s="2258"/>
      <c r="BU251" s="2258"/>
      <c r="BV251" s="2258"/>
      <c r="BW251" s="2258"/>
      <c r="BX251" s="2258"/>
      <c r="BY251" s="2258"/>
      <c r="BZ251" s="2258"/>
      <c r="CA251" s="2258"/>
      <c r="CB251" s="2258"/>
      <c r="CC251" s="2258"/>
      <c r="CD251" s="2258"/>
      <c r="CE251" s="2258"/>
      <c r="CF251" s="2258"/>
      <c r="CG251" s="2258"/>
      <c r="CH251" s="2258"/>
      <c r="CI251" s="2258"/>
      <c r="CJ251" s="2258"/>
      <c r="CK251" s="2258"/>
      <c r="CL251" s="2258"/>
      <c r="CM251" s="2258"/>
      <c r="CN251" s="2258"/>
      <c r="CO251" s="2258"/>
      <c r="CP251" s="2258"/>
      <c r="CQ251" s="2258"/>
      <c r="CR251" s="2258"/>
      <c r="CS251" s="2258"/>
      <c r="CT251" s="2258"/>
      <c r="CU251" s="2258"/>
      <c r="CV251" s="2258"/>
      <c r="CW251" s="2258"/>
      <c r="CX251" s="2258"/>
      <c r="CY251" s="2258"/>
      <c r="CZ251" s="2258"/>
      <c r="DA251" s="2258"/>
      <c r="DB251" s="2258"/>
      <c r="DC251" s="2258"/>
      <c r="DD251" s="2258"/>
      <c r="DE251" s="2258"/>
      <c r="DF251" s="2258"/>
    </row>
    <row r="252" spans="1:110" s="1715" customFormat="1" hidden="1" outlineLevel="1">
      <c r="A252" s="2499" t="s">
        <v>269</v>
      </c>
      <c r="B252" s="2258"/>
      <c r="C252" s="2258"/>
      <c r="D252" s="2258"/>
      <c r="E252" s="2258"/>
      <c r="F252" s="2258"/>
      <c r="G252" s="2258"/>
      <c r="H252" s="2258"/>
      <c r="I252" s="2258"/>
      <c r="J252" s="2258"/>
      <c r="K252" s="2258"/>
      <c r="L252" s="2258"/>
      <c r="M252" s="2258"/>
      <c r="N252" s="2258"/>
      <c r="O252" s="2258"/>
      <c r="P252" s="2258"/>
      <c r="Q252" s="2258"/>
      <c r="R252" s="2258"/>
      <c r="S252" s="2258"/>
      <c r="T252" s="2258"/>
      <c r="U252" s="2258"/>
      <c r="V252" s="2258"/>
      <c r="W252" s="2258"/>
      <c r="X252" s="2258"/>
      <c r="Y252" s="2312">
        <f>1711-Y250</f>
        <v>2425.23632140467</v>
      </c>
      <c r="Z252" s="2437">
        <f>-SUM(W250:Z250)-Y252</f>
        <v>31</v>
      </c>
      <c r="AA252" s="2258"/>
      <c r="AB252" s="2258"/>
      <c r="AC252" s="2258"/>
      <c r="AD252" s="2258"/>
      <c r="AE252" s="2258"/>
      <c r="AF252" s="2258"/>
      <c r="AG252" s="2258"/>
      <c r="AH252" s="2258"/>
      <c r="AI252" s="2258"/>
      <c r="AJ252" s="2258"/>
      <c r="AK252" s="2437">
        <f>AK248</f>
        <v>196.18539080496885</v>
      </c>
      <c r="AL252" s="2437">
        <f>AL248</f>
        <v>676.14559626707069</v>
      </c>
      <c r="AM252" s="2435">
        <f>SUM(AK252:AL252)+SUM(AI250:AJ250)</f>
        <v>-827.66901292796047</v>
      </c>
      <c r="AN252" s="2258"/>
      <c r="AO252" s="2258"/>
      <c r="AP252" s="2258"/>
      <c r="AQ252" s="2258"/>
      <c r="AR252" s="2258"/>
      <c r="AS252" s="2258"/>
      <c r="AT252" s="2258"/>
      <c r="AU252" s="2258"/>
      <c r="AV252" s="2258"/>
      <c r="AW252" s="2258"/>
      <c r="AX252" s="2258"/>
      <c r="AY252" s="2258"/>
      <c r="AZ252" s="2258"/>
      <c r="BA252" s="2258"/>
      <c r="BB252" s="2258"/>
      <c r="BC252" s="239"/>
      <c r="BD252" s="2258"/>
      <c r="BE252" s="2258"/>
      <c r="BF252" s="2258"/>
      <c r="BG252" s="2258"/>
      <c r="BH252" s="2258"/>
      <c r="BI252" s="2258"/>
      <c r="BJ252" s="2258"/>
      <c r="BK252" s="2258"/>
      <c r="BL252" s="2258"/>
      <c r="BM252" s="2258"/>
      <c r="BN252" s="2258"/>
      <c r="BO252" s="2258"/>
      <c r="BP252" s="2258"/>
      <c r="BQ252" s="2258"/>
      <c r="BR252" s="2258"/>
      <c r="BS252" s="2258"/>
      <c r="BT252" s="2258"/>
      <c r="BU252" s="2258"/>
      <c r="BV252" s="2258"/>
      <c r="BW252" s="2258"/>
      <c r="BX252" s="2258"/>
      <c r="BY252" s="2258"/>
      <c r="BZ252" s="2258"/>
      <c r="CA252" s="2258"/>
      <c r="CB252" s="2258"/>
      <c r="CC252" s="2258"/>
      <c r="CD252" s="2258"/>
      <c r="CE252" s="2258"/>
      <c r="CF252" s="2258"/>
      <c r="CG252" s="2258"/>
      <c r="CH252" s="2258"/>
      <c r="CI252" s="2258"/>
      <c r="CJ252" s="2258"/>
      <c r="CK252" s="2258"/>
      <c r="CL252" s="2258"/>
      <c r="CM252" s="2258"/>
      <c r="CN252" s="2258"/>
      <c r="CO252" s="2258"/>
      <c r="CP252" s="2258"/>
      <c r="CQ252" s="2258"/>
      <c r="CR252" s="2258"/>
      <c r="CS252" s="2258"/>
      <c r="CT252" s="2258"/>
      <c r="CU252" s="2258"/>
      <c r="CV252" s="2258"/>
      <c r="CW252" s="2258"/>
      <c r="CX252" s="2258"/>
      <c r="CY252" s="2258"/>
      <c r="CZ252" s="2258"/>
      <c r="DA252" s="2258"/>
      <c r="DB252" s="2258"/>
      <c r="DC252" s="2258"/>
      <c r="DD252" s="2258"/>
      <c r="DE252" s="2258"/>
      <c r="DF252" s="2258"/>
    </row>
    <row r="253" spans="1:110" s="1715" customFormat="1" hidden="1" outlineLevel="1">
      <c r="A253" s="2499" t="s">
        <v>270</v>
      </c>
      <c r="B253" s="2258"/>
      <c r="C253" s="2258"/>
      <c r="D253" s="2258"/>
      <c r="E253" s="2258"/>
      <c r="F253" s="2258"/>
      <c r="G253" s="2258"/>
      <c r="H253" s="2258"/>
      <c r="I253" s="2258"/>
      <c r="J253" s="2258"/>
      <c r="K253" s="2258"/>
      <c r="L253" s="2258"/>
      <c r="M253" s="2258"/>
      <c r="N253" s="2258"/>
      <c r="O253" s="2258"/>
      <c r="P253" s="2258"/>
      <c r="Q253" s="2258"/>
      <c r="R253" s="2258"/>
      <c r="S253" s="2258"/>
      <c r="T253" s="2258"/>
      <c r="U253" s="2258"/>
      <c r="V253" s="2258"/>
      <c r="W253" s="2437">
        <f>-W248</f>
        <v>276</v>
      </c>
      <c r="X253" s="2437">
        <f>W253-X248</f>
        <v>1742</v>
      </c>
      <c r="Y253" s="2437">
        <f>X253-Y248</f>
        <v>31</v>
      </c>
      <c r="Z253" s="2437">
        <f>Y253-Z248</f>
        <v>0</v>
      </c>
      <c r="AA253" s="2258"/>
      <c r="AB253" s="2258"/>
      <c r="AC253" s="2258"/>
      <c r="AD253" s="2258"/>
      <c r="AE253" s="2258"/>
      <c r="AF253" s="2258"/>
      <c r="AG253" s="2258"/>
      <c r="AH253" s="2258"/>
      <c r="AI253" s="2437">
        <f>-AI248</f>
        <v>747.19147653342952</v>
      </c>
      <c r="AJ253" s="2437">
        <f>AI253-AJ248</f>
        <v>2430.9546012161099</v>
      </c>
      <c r="AK253" s="2437">
        <f>AJ253-AK248</f>
        <v>2234.7692104111411</v>
      </c>
      <c r="AL253" s="2437">
        <f>AK253-AL248</f>
        <v>1558.6236141440704</v>
      </c>
      <c r="AM253" s="2258"/>
      <c r="AN253" s="2258"/>
      <c r="AO253" s="2258"/>
      <c r="AP253" s="2258"/>
      <c r="AQ253" s="2258"/>
      <c r="AR253" s="2258"/>
      <c r="AS253" s="2258"/>
      <c r="AT253" s="2258"/>
      <c r="AU253" s="2258"/>
      <c r="AV253" s="2258"/>
      <c r="AW253" s="2258"/>
      <c r="AX253" s="2258"/>
      <c r="AY253" s="2258"/>
      <c r="AZ253" s="2258"/>
      <c r="BA253" s="2258"/>
      <c r="BB253" s="2258"/>
      <c r="BC253" s="239"/>
      <c r="BD253" s="2258"/>
      <c r="BE253" s="2258"/>
      <c r="BF253" s="2258"/>
      <c r="BG253" s="2258"/>
      <c r="BH253" s="2258"/>
      <c r="BI253" s="2258"/>
      <c r="BJ253" s="2258"/>
      <c r="BK253" s="2258"/>
      <c r="BL253" s="2258"/>
      <c r="BM253" s="2258"/>
      <c r="BN253" s="2258"/>
      <c r="BO253" s="2258"/>
      <c r="BP253" s="2258"/>
      <c r="BQ253" s="2258"/>
      <c r="BR253" s="2258"/>
      <c r="BS253" s="2258"/>
      <c r="BT253" s="2258"/>
      <c r="BU253" s="2258"/>
      <c r="BV253" s="2258"/>
      <c r="BW253" s="2258"/>
      <c r="BX253" s="2258"/>
      <c r="BY253" s="2258"/>
      <c r="BZ253" s="2258"/>
      <c r="CA253" s="2258"/>
      <c r="CB253" s="2258"/>
      <c r="CC253" s="2258"/>
      <c r="CD253" s="2258"/>
      <c r="CE253" s="2258"/>
      <c r="CF253" s="2258"/>
      <c r="CG253" s="2258"/>
      <c r="CH253" s="2258"/>
      <c r="CI253" s="2258"/>
      <c r="CJ253" s="2258"/>
      <c r="CK253" s="2258"/>
      <c r="CL253" s="2258"/>
      <c r="CM253" s="2258"/>
      <c r="CN253" s="2258"/>
      <c r="CO253" s="2258"/>
      <c r="CP253" s="2258"/>
      <c r="CQ253" s="2258"/>
      <c r="CR253" s="2258"/>
      <c r="CS253" s="2258"/>
      <c r="CT253" s="2258"/>
      <c r="CU253" s="2258"/>
      <c r="CV253" s="2258"/>
      <c r="CW253" s="2258"/>
      <c r="CX253" s="2258"/>
      <c r="CY253" s="2258"/>
      <c r="CZ253" s="2258"/>
      <c r="DA253" s="2258"/>
      <c r="DB253" s="2258"/>
      <c r="DC253" s="2258"/>
      <c r="DD253" s="2258"/>
      <c r="DE253" s="2258"/>
      <c r="DF253" s="2258"/>
    </row>
    <row r="254" spans="1:110" s="1715" customFormat="1" hidden="1" outlineLevel="1">
      <c r="A254" s="2249"/>
      <c r="B254" s="2258"/>
      <c r="C254" s="2258"/>
      <c r="D254" s="2258"/>
      <c r="E254" s="2258"/>
      <c r="F254" s="2258"/>
      <c r="G254" s="2258"/>
      <c r="H254" s="2258"/>
      <c r="I254" s="2258"/>
      <c r="J254" s="2258"/>
      <c r="K254" s="2258"/>
      <c r="L254" s="2258"/>
      <c r="M254" s="2258"/>
      <c r="N254" s="2258"/>
      <c r="O254" s="2258"/>
      <c r="P254" s="2258"/>
      <c r="Q254" s="2258"/>
      <c r="R254" s="2258"/>
      <c r="S254" s="2258"/>
      <c r="T254" s="2258"/>
      <c r="U254" s="2258"/>
      <c r="V254" s="2258"/>
      <c r="W254" s="2258"/>
      <c r="X254" s="2258"/>
      <c r="Y254" s="2258"/>
      <c r="Z254" s="2258"/>
      <c r="AA254" s="2258"/>
      <c r="AB254" s="2258"/>
      <c r="AC254" s="2258"/>
      <c r="AD254" s="2258"/>
      <c r="AE254" s="2258"/>
      <c r="AF254" s="2258"/>
      <c r="AG254" s="2258"/>
      <c r="AH254" s="2258"/>
      <c r="AI254" s="2258"/>
      <c r="AJ254" s="2258"/>
      <c r="AK254" s="2258"/>
      <c r="AL254" s="2258"/>
      <c r="AM254" s="2258"/>
      <c r="AN254" s="2258"/>
      <c r="AO254" s="2258"/>
      <c r="AP254" s="2258"/>
      <c r="AQ254" s="2258"/>
      <c r="AR254" s="2258"/>
      <c r="AS254" s="2258"/>
      <c r="AT254" s="2258"/>
      <c r="AU254" s="2258"/>
      <c r="AV254" s="2258"/>
      <c r="AW254" s="2258"/>
      <c r="AX254" s="2258"/>
      <c r="AY254" s="2258"/>
      <c r="AZ254" s="2258"/>
      <c r="BA254" s="2258"/>
      <c r="BB254" s="2258"/>
      <c r="BC254" s="239"/>
      <c r="BD254" s="2258"/>
      <c r="BE254" s="2258"/>
      <c r="BF254" s="2258"/>
      <c r="BG254" s="2258"/>
      <c r="BH254" s="2258"/>
      <c r="BI254" s="2258"/>
      <c r="BJ254" s="2258"/>
      <c r="BK254" s="2258"/>
      <c r="BL254" s="2258"/>
      <c r="BM254" s="2258"/>
      <c r="BN254" s="2258"/>
      <c r="BO254" s="2258"/>
      <c r="BP254" s="2258"/>
      <c r="BQ254" s="2258"/>
      <c r="BR254" s="2258"/>
      <c r="BS254" s="2258"/>
      <c r="BT254" s="2258"/>
      <c r="BU254" s="2258"/>
      <c r="BV254" s="2258"/>
      <c r="BW254" s="2258"/>
      <c r="BX254" s="2258"/>
      <c r="BY254" s="2258"/>
      <c r="BZ254" s="2258"/>
      <c r="CA254" s="2258"/>
      <c r="CB254" s="2258"/>
      <c r="CC254" s="2258"/>
      <c r="CD254" s="2258"/>
      <c r="CE254" s="2258"/>
      <c r="CF254" s="2258"/>
      <c r="CG254" s="2258"/>
      <c r="CH254" s="2258"/>
      <c r="CI254" s="2258"/>
      <c r="CJ254" s="2258"/>
      <c r="CK254" s="2258"/>
      <c r="CL254" s="2258"/>
      <c r="CM254" s="2258"/>
      <c r="CN254" s="2258"/>
      <c r="CO254" s="2258"/>
      <c r="CP254" s="2258"/>
      <c r="CQ254" s="2258"/>
      <c r="CR254" s="2258"/>
      <c r="CS254" s="2258"/>
      <c r="CT254" s="2258"/>
      <c r="CU254" s="2258"/>
      <c r="CV254" s="2258"/>
      <c r="CW254" s="2258"/>
      <c r="CX254" s="2258"/>
      <c r="CY254" s="2258"/>
      <c r="CZ254" s="2258"/>
      <c r="DA254" s="2258"/>
      <c r="DB254" s="2258"/>
      <c r="DC254" s="2258"/>
      <c r="DD254" s="2258"/>
      <c r="DE254" s="2258"/>
      <c r="DF254" s="2258"/>
    </row>
    <row r="255" spans="1:110" s="1715" customFormat="1" hidden="1" outlineLevel="1">
      <c r="A255" s="2431" t="s">
        <v>265</v>
      </c>
      <c r="B255" s="2437">
        <f>'Rev Overview'!O210-'Client Unit Model'!B244</f>
        <v>2923</v>
      </c>
      <c r="C255" s="2437">
        <f>'Rev Overview'!P210-'Client Unit Model'!C244</f>
        <v>2755</v>
      </c>
      <c r="D255" s="2437">
        <f>'Rev Overview'!R210-'Client Unit Model'!D244</f>
        <v>2980</v>
      </c>
      <c r="E255" s="2437">
        <f>'Rev Overview'!S210-'Client Unit Model'!E244</f>
        <v>3193</v>
      </c>
      <c r="F255" s="2437">
        <f>'Rev Overview'!T210-'Client Unit Model'!F244</f>
        <v>2964</v>
      </c>
      <c r="G255" s="2437">
        <f>'Rev Overview'!U210-'Client Unit Model'!G244</f>
        <v>3014</v>
      </c>
      <c r="H255" s="2437">
        <f>'Rev Overview'!W210-'Client Unit Model'!H244</f>
        <v>3161</v>
      </c>
      <c r="I255" s="2437">
        <f>'Rev Overview'!X210-'Client Unit Model'!I244</f>
        <v>3430</v>
      </c>
      <c r="J255" s="2437">
        <f>'Rev Overview'!Y210-'Client Unit Model'!J244</f>
        <v>3152</v>
      </c>
      <c r="K255" s="2437">
        <f>'Rev Overview'!Z210-'Client Unit Model'!K244</f>
        <v>3347</v>
      </c>
      <c r="L255" s="2437">
        <f>'Rev Overview'!AB210-'Client Unit Model'!L244</f>
        <v>3348</v>
      </c>
      <c r="M255" s="2437">
        <f>'Rev Overview'!AC210-'Client Unit Model'!M244</f>
        <v>3689</v>
      </c>
      <c r="N255" s="2437">
        <f>'Rev Overview'!AD210-'Client Unit Model'!N244</f>
        <v>4127</v>
      </c>
      <c r="O255" s="2437">
        <f>'Rev Overview'!AE210-'Client Unit Model'!O244</f>
        <v>3808</v>
      </c>
      <c r="P255" s="2437">
        <f>'Rev Overview'!AG210-'Client Unit Model'!P244</f>
        <v>4138</v>
      </c>
      <c r="Q255" s="2437">
        <f>'Rev Overview'!AH210-'Client Unit Model'!Q244</f>
        <v>4334</v>
      </c>
      <c r="R255" s="2437">
        <f>'Rev Overview'!AI210-'Client Unit Model'!R244</f>
        <v>4025</v>
      </c>
      <c r="S255" s="2437">
        <f>'Rev Overview'!AJ210-'Client Unit Model'!S244</f>
        <v>4367</v>
      </c>
      <c r="T255" s="2437">
        <f>'Rev Overview'!AL210-'Client Unit Model'!T244</f>
        <v>4283</v>
      </c>
      <c r="U255" s="2437">
        <f>'Rev Overview'!AM210-'Client Unit Model'!U244</f>
        <v>4074</v>
      </c>
      <c r="V255" s="2437">
        <f>'Rev Overview'!AN210-'Client Unit Model'!V244</f>
        <v>3448</v>
      </c>
      <c r="W255" s="2437">
        <f>'Rev Overview'!AO210-'Client Unit Model'!W248</f>
        <v>3445</v>
      </c>
      <c r="X255" s="2437">
        <f>'Rev Overview'!AQ210-'Client Unit Model'!X248</f>
        <v>4346</v>
      </c>
      <c r="Y255" s="2437">
        <f>'Rev Overview'!AR210-'Client Unit Model'!Y248</f>
        <v>5482</v>
      </c>
      <c r="Z255" s="2437">
        <f>'Rev Overview'!AS210-'Client Unit Model'!Z248</f>
        <v>4630</v>
      </c>
      <c r="AA255" s="2437"/>
      <c r="AB255" s="2437"/>
      <c r="AC255" s="2437"/>
      <c r="AD255" s="2437"/>
      <c r="AE255" s="2437">
        <f>'Rev Overview'!AY210-'Client Unit Model'!AE244</f>
        <v>4743</v>
      </c>
      <c r="AF255" s="2437">
        <f>'Rev Overview'!BA210-'Client Unit Model'!AF248</f>
        <v>4874</v>
      </c>
      <c r="AG255" s="2437">
        <f>'Rev Overview'!BB210-'Client Unit Model'!AG248</f>
        <v>4741</v>
      </c>
      <c r="AH255" s="2437">
        <f>'Rev Overview'!BC210-'Client Unit Model'!AH248</f>
        <v>4633</v>
      </c>
      <c r="AI255" s="2437">
        <f>'Rev Overview'!BD210-'Client Unit Model'!AI248</f>
        <v>4899.1914765334295</v>
      </c>
      <c r="AJ255" s="2437">
        <f>'Rev Overview'!BF210-'Client Unit Model'!AJ248</f>
        <v>4927.7631246826804</v>
      </c>
      <c r="AK255" s="2437">
        <f>'Rev Overview'!BG210-'Client Unit Model'!AK248</f>
        <v>5684.8146091950312</v>
      </c>
      <c r="AL255" s="2437">
        <f>'Rev Overview'!BH210-'Client Unit Model'!AL248</f>
        <v>5026.8544037329293</v>
      </c>
      <c r="AM255" s="2437">
        <f>'Rev Overview'!BI210-'Client Unit Model'!AM248</f>
        <v>5238.6690129279605</v>
      </c>
      <c r="AN255" s="2437"/>
      <c r="AO255" s="2437"/>
      <c r="AP255" s="2437"/>
      <c r="AQ255" s="2437"/>
      <c r="AR255" s="2437"/>
      <c r="AS255" s="2437"/>
      <c r="AT255" s="2437"/>
      <c r="AU255" s="2437"/>
      <c r="AV255" s="2437"/>
      <c r="AW255" s="2437"/>
      <c r="AX255" s="2437"/>
      <c r="AY255" s="2437"/>
      <c r="AZ255" s="2437"/>
      <c r="BA255" s="2437"/>
      <c r="BB255" s="2437"/>
      <c r="BC255" s="2627"/>
      <c r="BD255" s="2437"/>
      <c r="BE255" s="2437"/>
      <c r="BF255" s="2437"/>
      <c r="BG255" s="2437"/>
      <c r="BH255" s="2437"/>
      <c r="BI255" s="2437"/>
      <c r="BJ255" s="2437"/>
      <c r="BK255" s="2437"/>
      <c r="BL255" s="2437"/>
      <c r="BM255" s="2437"/>
      <c r="BN255" s="2437"/>
      <c r="BO255" s="2437"/>
      <c r="BP255" s="2437"/>
      <c r="BQ255" s="2437"/>
      <c r="BR255" s="2437"/>
      <c r="BS255" s="2437"/>
      <c r="BT255" s="2437"/>
      <c r="BU255" s="2437"/>
      <c r="BV255" s="2437"/>
      <c r="BW255" s="2437"/>
      <c r="BX255" s="2437"/>
      <c r="BY255" s="2258"/>
      <c r="BZ255" s="2258"/>
      <c r="CA255" s="2258"/>
      <c r="CB255" s="2258"/>
      <c r="CC255" s="2258"/>
      <c r="CD255" s="2258"/>
      <c r="CE255" s="2258"/>
      <c r="CF255" s="2258"/>
      <c r="CG255" s="2258"/>
      <c r="CH255" s="2258"/>
      <c r="CI255" s="2258"/>
      <c r="CJ255" s="2258"/>
      <c r="CK255" s="2258"/>
      <c r="CL255" s="2258"/>
      <c r="CM255" s="2258"/>
      <c r="CN255" s="2258"/>
      <c r="CO255" s="2258"/>
      <c r="CP255" s="2258"/>
      <c r="CQ255" s="2258"/>
      <c r="CR255" s="2258"/>
      <c r="CS255" s="2258"/>
      <c r="CT255" s="2258"/>
      <c r="CU255" s="2258"/>
      <c r="CV255" s="2258"/>
      <c r="CW255" s="2258"/>
      <c r="CX255" s="2258"/>
      <c r="CY255" s="2258"/>
      <c r="CZ255" s="2258"/>
      <c r="DA255" s="2258"/>
      <c r="DB255" s="2258"/>
      <c r="DC255" s="2258"/>
      <c r="DD255" s="2258"/>
      <c r="DE255" s="2258"/>
      <c r="DF255" s="2258"/>
    </row>
    <row r="256" spans="1:110" s="1715" customFormat="1" hidden="1" outlineLevel="1">
      <c r="A256" s="2499" t="s">
        <v>121</v>
      </c>
      <c r="B256" s="2258"/>
      <c r="C256" s="2258"/>
      <c r="D256" s="2258"/>
      <c r="E256" s="2258"/>
      <c r="F256" s="2274">
        <f t="shared" ref="F256:Z256" si="454">F255/B255-1</f>
        <v>1.4026684912760823E-2</v>
      </c>
      <c r="G256" s="2274">
        <f t="shared" si="454"/>
        <v>9.4010889292196032E-2</v>
      </c>
      <c r="H256" s="2274">
        <f t="shared" si="454"/>
        <v>6.073825503355712E-2</v>
      </c>
      <c r="I256" s="2274">
        <f t="shared" si="454"/>
        <v>7.4224866896335673E-2</v>
      </c>
      <c r="J256" s="2274">
        <f t="shared" si="454"/>
        <v>6.3427800269905577E-2</v>
      </c>
      <c r="K256" s="2274">
        <f t="shared" si="454"/>
        <v>0.110484406104844</v>
      </c>
      <c r="L256" s="2274">
        <f t="shared" si="454"/>
        <v>5.9158494147421692E-2</v>
      </c>
      <c r="M256" s="2274">
        <f t="shared" si="454"/>
        <v>7.551020408163267E-2</v>
      </c>
      <c r="N256" s="2274">
        <f t="shared" si="454"/>
        <v>0.30932741116751261</v>
      </c>
      <c r="O256" s="2274">
        <f t="shared" si="454"/>
        <v>0.13773528533014634</v>
      </c>
      <c r="P256" s="2274">
        <f t="shared" si="454"/>
        <v>0.23596176821983272</v>
      </c>
      <c r="Q256" s="2274">
        <f t="shared" si="454"/>
        <v>0.1748441312008675</v>
      </c>
      <c r="R256" s="2274">
        <f t="shared" si="454"/>
        <v>-2.4715289556578646E-2</v>
      </c>
      <c r="S256" s="2274">
        <f t="shared" si="454"/>
        <v>0.14679621848739499</v>
      </c>
      <c r="T256" s="2274">
        <f t="shared" si="454"/>
        <v>3.504108264862249E-2</v>
      </c>
      <c r="U256" s="2274">
        <f t="shared" si="454"/>
        <v>-5.9990770650669156E-2</v>
      </c>
      <c r="V256" s="2274">
        <f t="shared" si="454"/>
        <v>-0.14335403726708074</v>
      </c>
      <c r="W256" s="2274">
        <f t="shared" si="454"/>
        <v>-0.21112892145637741</v>
      </c>
      <c r="X256" s="2274">
        <f t="shared" si="454"/>
        <v>1.4709315900069964E-2</v>
      </c>
      <c r="Y256" s="2274">
        <f t="shared" si="454"/>
        <v>0.34560628375061375</v>
      </c>
      <c r="Z256" s="2274">
        <f t="shared" si="454"/>
        <v>0.34280742459396762</v>
      </c>
      <c r="AA256" s="2274"/>
      <c r="AB256" s="2274"/>
      <c r="AC256" s="2274"/>
      <c r="AD256" s="2274"/>
      <c r="AE256" s="2274"/>
      <c r="AF256" s="2274"/>
      <c r="AG256" s="2274"/>
      <c r="AH256" s="2274"/>
      <c r="AI256" s="2274">
        <f>AI255/AE255-1</f>
        <v>3.2930945927351685E-2</v>
      </c>
      <c r="AJ256" s="2274">
        <f>AJ255/AF255-1</f>
        <v>1.1030595954591771E-2</v>
      </c>
      <c r="AK256" s="2274">
        <f>AK255/AG255-1</f>
        <v>0.19907500721261995</v>
      </c>
      <c r="AL256" s="2274">
        <f>AL255/AH255-1</f>
        <v>8.5010663443326084E-2</v>
      </c>
      <c r="AM256" s="2274">
        <f>AM255/AI255-1</f>
        <v>6.9292563481258007E-2</v>
      </c>
      <c r="AN256" s="2274"/>
      <c r="AO256" s="2274"/>
      <c r="AP256" s="2274"/>
      <c r="AQ256" s="2274"/>
      <c r="AR256" s="2274"/>
      <c r="AS256" s="2274"/>
      <c r="AT256" s="2274"/>
      <c r="AU256" s="2274"/>
      <c r="AV256" s="2274"/>
      <c r="AW256" s="2274"/>
      <c r="AX256" s="2274"/>
      <c r="AY256" s="2274"/>
      <c r="AZ256" s="2274"/>
      <c r="BA256" s="2274"/>
      <c r="BB256" s="2274"/>
      <c r="BC256" s="2628"/>
      <c r="BD256" s="2274"/>
      <c r="BE256" s="2274"/>
      <c r="BF256" s="2274"/>
      <c r="BG256" s="2274"/>
      <c r="BH256" s="2274"/>
      <c r="BI256" s="2274"/>
      <c r="BJ256" s="2274"/>
      <c r="BK256" s="2274"/>
      <c r="BL256" s="2274"/>
      <c r="BM256" s="2274"/>
      <c r="BN256" s="2274"/>
      <c r="BO256" s="2274"/>
      <c r="BP256" s="2274"/>
      <c r="BQ256" s="2274"/>
      <c r="BR256" s="2274"/>
      <c r="BS256" s="2274"/>
      <c r="BT256" s="2274"/>
      <c r="BU256" s="2274"/>
      <c r="BV256" s="2274"/>
      <c r="BW256" s="2274"/>
      <c r="BX256" s="2274"/>
      <c r="BY256" s="2258"/>
      <c r="BZ256" s="2258"/>
      <c r="CA256" s="2258"/>
      <c r="CB256" s="2258"/>
      <c r="CC256" s="2258"/>
      <c r="CD256" s="2258"/>
      <c r="CE256" s="2258"/>
      <c r="CF256" s="2258"/>
      <c r="CG256" s="2258"/>
      <c r="CH256" s="2258"/>
      <c r="CI256" s="2258"/>
      <c r="CJ256" s="2258"/>
      <c r="CK256" s="2258"/>
      <c r="CL256" s="2258"/>
      <c r="CM256" s="2258"/>
      <c r="CN256" s="2258"/>
      <c r="CO256" s="2258"/>
      <c r="CP256" s="2258"/>
      <c r="CQ256" s="2258"/>
      <c r="CR256" s="2258"/>
      <c r="CS256" s="2258"/>
      <c r="CT256" s="2258"/>
      <c r="CU256" s="2258"/>
      <c r="CV256" s="2258"/>
      <c r="CW256" s="2258"/>
      <c r="CX256" s="2258"/>
      <c r="CY256" s="2258"/>
      <c r="CZ256" s="2258"/>
      <c r="DA256" s="2258"/>
      <c r="DB256" s="2258"/>
      <c r="DC256" s="2258"/>
      <c r="DD256" s="2258"/>
      <c r="DE256" s="2258"/>
      <c r="DF256" s="2258"/>
    </row>
    <row r="257" spans="1:110" s="1715" customFormat="1" hidden="1" outlineLevel="1">
      <c r="A257" s="2499" t="s">
        <v>266</v>
      </c>
      <c r="B257" s="2258"/>
      <c r="C257" s="2274">
        <f t="shared" ref="C257:Z257" si="455">C255/B255-1</f>
        <v>-5.7475196715703003E-2</v>
      </c>
      <c r="D257" s="2274">
        <f t="shared" si="455"/>
        <v>8.166969147005454E-2</v>
      </c>
      <c r="E257" s="2274">
        <f t="shared" si="455"/>
        <v>7.1476510067114196E-2</v>
      </c>
      <c r="F257" s="2274">
        <f t="shared" si="455"/>
        <v>-7.1719386157218956E-2</v>
      </c>
      <c r="G257" s="2274">
        <f t="shared" si="455"/>
        <v>1.6869095816464341E-2</v>
      </c>
      <c r="H257" s="2274">
        <f t="shared" si="455"/>
        <v>4.8772395487723941E-2</v>
      </c>
      <c r="I257" s="2274">
        <f t="shared" si="455"/>
        <v>8.5099652008858051E-2</v>
      </c>
      <c r="J257" s="2274">
        <f t="shared" si="455"/>
        <v>-8.1049562682215748E-2</v>
      </c>
      <c r="K257" s="2274">
        <f t="shared" si="455"/>
        <v>6.1865482233502522E-2</v>
      </c>
      <c r="L257" s="2274">
        <f t="shared" si="455"/>
        <v>2.9877502240815978E-4</v>
      </c>
      <c r="M257" s="2274">
        <f t="shared" si="455"/>
        <v>0.10185185185185186</v>
      </c>
      <c r="N257" s="2274">
        <f t="shared" si="455"/>
        <v>0.11873136351314728</v>
      </c>
      <c r="O257" s="2274">
        <f t="shared" si="455"/>
        <v>-7.7295856554397857E-2</v>
      </c>
      <c r="P257" s="2274">
        <f t="shared" si="455"/>
        <v>8.6659663865546133E-2</v>
      </c>
      <c r="Q257" s="2274">
        <f t="shared" si="455"/>
        <v>4.7365877235379328E-2</v>
      </c>
      <c r="R257" s="2274">
        <f t="shared" si="455"/>
        <v>-7.1296723580987487E-2</v>
      </c>
      <c r="S257" s="2274">
        <f t="shared" si="455"/>
        <v>8.4968944099378829E-2</v>
      </c>
      <c r="T257" s="2274">
        <f t="shared" si="455"/>
        <v>-1.9235172887565821E-2</v>
      </c>
      <c r="U257" s="2274">
        <f t="shared" si="455"/>
        <v>-4.8797571795470507E-2</v>
      </c>
      <c r="V257" s="2274">
        <f t="shared" si="455"/>
        <v>-0.15365733922434954</v>
      </c>
      <c r="W257" s="2274">
        <f t="shared" si="455"/>
        <v>-8.7006960556845758E-4</v>
      </c>
      <c r="X257" s="2274">
        <f t="shared" si="455"/>
        <v>0.2615384615384615</v>
      </c>
      <c r="Y257" s="2274">
        <f t="shared" si="455"/>
        <v>0.26138978370915789</v>
      </c>
      <c r="Z257" s="2274">
        <f t="shared" si="455"/>
        <v>-0.15541773075519882</v>
      </c>
      <c r="AA257" s="2274"/>
      <c r="AB257" s="2274"/>
      <c r="AC257" s="2274"/>
      <c r="AD257" s="2274"/>
      <c r="AE257" s="2274"/>
      <c r="AF257" s="2274">
        <f t="shared" ref="AF257:AM257" si="456">AF255/AE255-1</f>
        <v>2.7619650010541896E-2</v>
      </c>
      <c r="AG257" s="2274">
        <f t="shared" si="456"/>
        <v>-2.7287648748461235E-2</v>
      </c>
      <c r="AH257" s="2274">
        <f t="shared" si="456"/>
        <v>-2.2780004218519334E-2</v>
      </c>
      <c r="AI257" s="2274">
        <f t="shared" si="456"/>
        <v>5.7455531304431151E-2</v>
      </c>
      <c r="AJ257" s="2274">
        <f t="shared" si="456"/>
        <v>5.8319108951152554E-3</v>
      </c>
      <c r="AK257" s="2274">
        <f t="shared" si="456"/>
        <v>0.15362984489257503</v>
      </c>
      <c r="AL257" s="2274">
        <f t="shared" si="456"/>
        <v>-0.11573995823854477</v>
      </c>
      <c r="AM257" s="2274">
        <f t="shared" si="456"/>
        <v>4.2136611125585421E-2</v>
      </c>
      <c r="AN257" s="2274"/>
      <c r="AO257" s="2274"/>
      <c r="AP257" s="2274"/>
      <c r="AQ257" s="2274"/>
      <c r="AR257" s="2274"/>
      <c r="AS257" s="2274"/>
      <c r="AT257" s="2274"/>
      <c r="AU257" s="2274"/>
      <c r="AV257" s="2274"/>
      <c r="AW257" s="2274"/>
      <c r="AX257" s="2274"/>
      <c r="AY257" s="2274"/>
      <c r="AZ257" s="2274"/>
      <c r="BA257" s="2274"/>
      <c r="BB257" s="2274"/>
      <c r="BC257" s="2628"/>
      <c r="BD257" s="2274"/>
      <c r="BE257" s="2274"/>
      <c r="BF257" s="2274"/>
      <c r="BG257" s="2274"/>
      <c r="BH257" s="2274"/>
      <c r="BI257" s="2274"/>
      <c r="BJ257" s="2274"/>
      <c r="BK257" s="2274"/>
      <c r="BL257" s="2274"/>
      <c r="BM257" s="2274"/>
      <c r="BN257" s="2274"/>
      <c r="BO257" s="2274"/>
      <c r="BP257" s="2274"/>
      <c r="BQ257" s="2274"/>
      <c r="BR257" s="2274"/>
      <c r="BS257" s="2274"/>
      <c r="BT257" s="2274"/>
      <c r="BU257" s="2274"/>
      <c r="BV257" s="2274"/>
      <c r="BW257" s="2274"/>
      <c r="BX257" s="2274"/>
      <c r="BY257" s="2258"/>
      <c r="BZ257" s="2258"/>
      <c r="CA257" s="2258"/>
      <c r="CB257" s="2258"/>
      <c r="CC257" s="2258"/>
      <c r="CD257" s="2258"/>
      <c r="CE257" s="2258"/>
      <c r="CF257" s="2258"/>
      <c r="CG257" s="2258"/>
      <c r="CH257" s="2258"/>
      <c r="CI257" s="2258"/>
      <c r="CJ257" s="2258"/>
      <c r="CK257" s="2258"/>
      <c r="CL257" s="2258"/>
      <c r="CM257" s="2258"/>
      <c r="CN257" s="2258"/>
      <c r="CO257" s="2258"/>
      <c r="CP257" s="2258"/>
      <c r="CQ257" s="2258"/>
      <c r="CR257" s="2258"/>
      <c r="CS257" s="2258"/>
      <c r="CT257" s="2258"/>
      <c r="CU257" s="2258"/>
      <c r="CV257" s="2258"/>
      <c r="CW257" s="2258"/>
      <c r="CX257" s="2258"/>
      <c r="CY257" s="2258"/>
      <c r="CZ257" s="2258"/>
      <c r="DA257" s="2258"/>
      <c r="DB257" s="2258"/>
      <c r="DC257" s="2258"/>
      <c r="DD257" s="2258"/>
      <c r="DE257" s="2258"/>
      <c r="DF257" s="2258"/>
    </row>
    <row r="258" spans="1:110" s="1715" customFormat="1" hidden="1" outlineLevel="1">
      <c r="A258" s="2249"/>
      <c r="B258" s="2249"/>
      <c r="C258" s="2249"/>
      <c r="D258" s="2249"/>
      <c r="E258" s="2249"/>
      <c r="F258" s="2249"/>
      <c r="G258" s="2249"/>
      <c r="H258" s="2249"/>
      <c r="I258" s="2249"/>
      <c r="J258" s="2249"/>
      <c r="K258" s="2249"/>
      <c r="L258" s="2249"/>
      <c r="M258" s="2249"/>
      <c r="N258" s="2249"/>
      <c r="O258" s="2249"/>
      <c r="P258" s="2249"/>
      <c r="Q258" s="2249"/>
      <c r="R258" s="2249"/>
      <c r="S258" s="2249"/>
      <c r="T258" s="2249"/>
      <c r="U258" s="2249"/>
      <c r="V258" s="2249"/>
      <c r="W258" s="2249"/>
      <c r="X258" s="2249"/>
      <c r="Y258" s="2249"/>
      <c r="Z258" s="2249"/>
      <c r="AA258" s="2249"/>
      <c r="AB258" s="2249"/>
      <c r="AC258" s="2249"/>
      <c r="AD258" s="2249"/>
      <c r="AE258" s="2249"/>
      <c r="AF258" s="2249"/>
      <c r="AG258" s="2249"/>
      <c r="AH258" s="2249"/>
      <c r="AI258" s="2249"/>
      <c r="AJ258" s="2249"/>
      <c r="AK258" s="2249"/>
      <c r="AL258" s="2249"/>
      <c r="AM258" s="2249"/>
      <c r="AN258" s="2249"/>
      <c r="AO258" s="2249"/>
      <c r="AP258" s="2249"/>
      <c r="AQ258" s="2249"/>
      <c r="AR258" s="2249"/>
      <c r="AS258" s="2249"/>
      <c r="AT258" s="2249"/>
      <c r="AU258" s="2249"/>
      <c r="AV258" s="2249"/>
      <c r="AW258" s="2249"/>
      <c r="AX258" s="2249"/>
      <c r="AY258" s="2249"/>
      <c r="AZ258" s="2249"/>
      <c r="BA258" s="2249"/>
      <c r="BB258" s="2249"/>
      <c r="BC258" s="1343"/>
      <c r="BD258" s="2249"/>
      <c r="BE258" s="2249"/>
      <c r="BF258" s="2249"/>
      <c r="BG258" s="2249"/>
      <c r="BH258" s="2249"/>
      <c r="BI258" s="2249"/>
      <c r="BJ258" s="2249"/>
      <c r="BK258" s="2249"/>
      <c r="BL258" s="2249"/>
      <c r="BM258" s="2249"/>
      <c r="BN258" s="2249"/>
      <c r="BO258" s="2249"/>
      <c r="BP258" s="2249"/>
      <c r="BQ258" s="2249"/>
      <c r="BR258" s="2249"/>
      <c r="BS258" s="2249"/>
      <c r="BT258" s="2249"/>
      <c r="BU258" s="2249"/>
      <c r="BV258" s="2249"/>
      <c r="BW258" s="2249"/>
      <c r="BX258" s="2249"/>
      <c r="BY258" s="2249"/>
      <c r="BZ258" s="2249"/>
      <c r="CA258" s="2249"/>
      <c r="CB258" s="2249"/>
      <c r="CC258" s="2249"/>
      <c r="CD258" s="2249"/>
      <c r="CE258" s="2249"/>
      <c r="CF258" s="2249"/>
      <c r="CG258" s="2249"/>
      <c r="CH258" s="2249"/>
      <c r="CI258" s="2249"/>
      <c r="CJ258" s="2249"/>
      <c r="CK258" s="2249"/>
      <c r="CL258" s="2249"/>
      <c r="CM258" s="2249"/>
      <c r="CN258" s="2249"/>
      <c r="CO258" s="2249"/>
      <c r="CP258" s="2249"/>
      <c r="CQ258" s="2249"/>
      <c r="CR258" s="2249"/>
      <c r="CS258" s="2249"/>
      <c r="CT258" s="2249"/>
      <c r="CU258" s="2249"/>
      <c r="CV258" s="2249"/>
      <c r="CW258" s="2249"/>
      <c r="CX258" s="2249"/>
      <c r="CY258" s="2249"/>
      <c r="CZ258" s="2249"/>
      <c r="DA258" s="2249"/>
      <c r="DB258" s="2249"/>
      <c r="DC258" s="2249"/>
      <c r="DD258" s="2249"/>
      <c r="DE258" s="2249"/>
      <c r="DF258" s="2249"/>
    </row>
    <row r="259" spans="1:110" s="1715" customFormat="1" hidden="1" outlineLevel="1">
      <c r="A259" s="2249" t="s">
        <v>775</v>
      </c>
      <c r="B259" s="2249"/>
      <c r="C259" s="2249"/>
      <c r="D259" s="2249"/>
      <c r="E259" s="2249"/>
      <c r="F259" s="2249"/>
      <c r="G259" s="2249"/>
      <c r="H259" s="2249"/>
      <c r="I259" s="2249"/>
      <c r="J259" s="2249"/>
      <c r="K259" s="2249"/>
      <c r="L259" s="2249"/>
      <c r="M259" s="2249"/>
      <c r="N259" s="2249"/>
      <c r="O259" s="2249"/>
      <c r="P259" s="2249"/>
      <c r="Q259" s="2249"/>
      <c r="R259" s="2249"/>
      <c r="S259" s="2249"/>
      <c r="T259" s="2503">
        <f>(T193*(1-IS!DE55)/IS!DE84)</f>
        <v>-9.2972410976428534E-3</v>
      </c>
      <c r="U259" s="2503">
        <f>(U193*(1-IS!DF55)/IS!DF84)</f>
        <v>-1.2429049593221168E-2</v>
      </c>
      <c r="V259" s="2503">
        <f>(V193*(1-IS!DG55)/IS!DG84)</f>
        <v>-1.6766034598213402E-2</v>
      </c>
      <c r="W259" s="2503">
        <f>(W193*(1-IS!DH55)/IS!DH84)</f>
        <v>-4.4870715080586251E-2</v>
      </c>
      <c r="X259" s="2503">
        <f>(X193*(1-IS!DI55)/IS!DI84)</f>
        <v>-0.14304048936183839</v>
      </c>
      <c r="Y259" s="2504">
        <f>(Y193*(1-IS!DJ55)/IS!DJ84)</f>
        <v>0.12350500384240826</v>
      </c>
      <c r="Z259" s="2503">
        <f>(Z193*(1-IS!DK55)/IS!DK84)</f>
        <v>7.2104293961138086E-2</v>
      </c>
      <c r="AA259" s="2503">
        <f>(AA193*(1-IS!DL55)/IS!DL84)</f>
        <v>-3.2776249305654565E-2</v>
      </c>
      <c r="AB259" s="2503">
        <f>(AB193*(1-IS!DM55)/IS!DM84)</f>
        <v>-2.6268469555934579E-2</v>
      </c>
      <c r="AC259" s="2503">
        <f>(AC193*(1-IS!DN55)/IS!DN84)</f>
        <v>-2.8902686004920769E-2</v>
      </c>
      <c r="AD259" s="2249"/>
      <c r="AE259" s="2249"/>
      <c r="AF259" s="2249"/>
      <c r="AG259" s="2249"/>
      <c r="AH259" s="2249"/>
      <c r="AI259" s="2249"/>
      <c r="AJ259" s="2249"/>
      <c r="AK259" s="2249"/>
      <c r="AL259" s="2249"/>
      <c r="AM259" s="2249"/>
      <c r="AN259" s="2249"/>
      <c r="AO259" s="2249"/>
      <c r="AP259" s="2249"/>
      <c r="AQ259" s="2249"/>
      <c r="AR259" s="2249"/>
      <c r="AS259" s="2249"/>
      <c r="AT259" s="2249"/>
      <c r="AU259" s="2249"/>
      <c r="AV259" s="2249"/>
      <c r="AW259" s="2249"/>
      <c r="AX259" s="2249"/>
      <c r="AY259" s="2249"/>
      <c r="AZ259" s="2249"/>
      <c r="BA259" s="2249"/>
      <c r="BB259" s="2249"/>
      <c r="BC259" s="1343"/>
      <c r="BD259" s="2249"/>
      <c r="BE259" s="2249"/>
      <c r="BF259" s="2249"/>
      <c r="BG259" s="2249"/>
      <c r="BH259" s="2249"/>
      <c r="BI259" s="2249"/>
      <c r="BJ259" s="2249"/>
      <c r="BK259" s="2249"/>
      <c r="BL259" s="2249"/>
      <c r="BM259" s="2249"/>
      <c r="BN259" s="2249"/>
      <c r="BO259" s="2249"/>
      <c r="BP259" s="2249"/>
      <c r="BQ259" s="2249"/>
      <c r="BR259" s="2249"/>
      <c r="BS259" s="2249"/>
      <c r="BT259" s="2249"/>
      <c r="BU259" s="2249"/>
      <c r="BV259" s="2249"/>
      <c r="BW259" s="2249"/>
      <c r="BX259" s="2249"/>
      <c r="BY259" s="2249"/>
      <c r="BZ259" s="2249"/>
      <c r="CA259" s="2249"/>
      <c r="CB259" s="2249"/>
      <c r="CC259" s="2249"/>
      <c r="CD259" s="2249"/>
      <c r="CE259" s="2249"/>
      <c r="CF259" s="2249"/>
      <c r="CG259" s="2249"/>
      <c r="CH259" s="2249"/>
      <c r="CI259" s="2249"/>
      <c r="CJ259" s="2249"/>
      <c r="CK259" s="2249"/>
      <c r="CL259" s="2249"/>
      <c r="CM259" s="2249"/>
      <c r="CN259" s="2249"/>
      <c r="CO259" s="2249"/>
      <c r="CP259" s="2249"/>
      <c r="CQ259" s="2249"/>
      <c r="CR259" s="2249"/>
      <c r="CS259" s="2249"/>
      <c r="CT259" s="2249"/>
      <c r="CU259" s="2249"/>
      <c r="CV259" s="2249"/>
      <c r="CW259" s="2249"/>
      <c r="CX259" s="2249"/>
      <c r="CY259" s="2249"/>
      <c r="CZ259" s="2249"/>
      <c r="DA259" s="2249"/>
      <c r="DB259" s="2249"/>
      <c r="DC259" s="2249"/>
      <c r="DD259" s="2249"/>
      <c r="DE259" s="2249"/>
      <c r="DF259" s="2249"/>
    </row>
    <row r="260" spans="1:110" s="1715" customFormat="1" hidden="1" outlineLevel="1">
      <c r="A260" s="2249"/>
      <c r="B260" s="2249"/>
      <c r="C260" s="2249"/>
      <c r="D260" s="2249"/>
      <c r="E260" s="2249"/>
      <c r="F260" s="2249"/>
      <c r="G260" s="2249"/>
      <c r="H260" s="2249"/>
      <c r="I260" s="2249"/>
      <c r="J260" s="2249"/>
      <c r="K260" s="2249"/>
      <c r="L260" s="2249"/>
      <c r="M260" s="2249"/>
      <c r="N260" s="2249"/>
      <c r="O260" s="2249"/>
      <c r="P260" s="2249"/>
      <c r="Q260" s="2249"/>
      <c r="R260" s="2249"/>
      <c r="S260" s="2249"/>
      <c r="T260" s="2249"/>
      <c r="U260" s="2249"/>
      <c r="V260" s="2249"/>
      <c r="W260" s="2249"/>
      <c r="X260" s="2249"/>
      <c r="Y260" s="2249"/>
      <c r="Z260" s="2249"/>
      <c r="AA260" s="2249"/>
      <c r="AB260" s="2249"/>
      <c r="AC260" s="2249"/>
      <c r="AD260" s="2249"/>
      <c r="AE260" s="2249"/>
      <c r="AF260" s="2249"/>
      <c r="AG260" s="2249"/>
      <c r="AH260" s="2249"/>
      <c r="AI260" s="2249"/>
      <c r="AJ260" s="2249"/>
      <c r="AK260" s="2249"/>
      <c r="AL260" s="2249"/>
      <c r="AM260" s="2249"/>
      <c r="AN260" s="2249"/>
      <c r="AO260" s="2249"/>
      <c r="AP260" s="2249"/>
      <c r="AQ260" s="2249"/>
      <c r="AR260" s="2249"/>
      <c r="AS260" s="2249"/>
      <c r="AT260" s="2249"/>
      <c r="AU260" s="2249"/>
      <c r="AV260" s="2249"/>
      <c r="AW260" s="2249"/>
      <c r="AX260" s="2249"/>
      <c r="AY260" s="2249"/>
      <c r="AZ260" s="2249"/>
      <c r="BA260" s="2249"/>
      <c r="BB260" s="2249"/>
      <c r="BC260" s="1343"/>
      <c r="BD260" s="2249"/>
      <c r="BE260" s="2249"/>
      <c r="BF260" s="2249"/>
      <c r="BG260" s="2249"/>
      <c r="BH260" s="2249"/>
      <c r="BI260" s="2249"/>
      <c r="BJ260" s="2249"/>
      <c r="BK260" s="2249"/>
      <c r="BL260" s="2249"/>
      <c r="BM260" s="2249"/>
      <c r="BN260" s="2249"/>
      <c r="BO260" s="2249"/>
      <c r="BP260" s="2249"/>
      <c r="BQ260" s="2249"/>
      <c r="BR260" s="2249"/>
      <c r="BS260" s="2249"/>
      <c r="BT260" s="2249"/>
      <c r="BU260" s="2249"/>
      <c r="BV260" s="2249"/>
      <c r="BW260" s="2249"/>
      <c r="BX260" s="2249"/>
      <c r="BY260" s="2249"/>
      <c r="BZ260" s="2249"/>
      <c r="CA260" s="2249"/>
      <c r="CB260" s="2249"/>
      <c r="CC260" s="2249"/>
      <c r="CD260" s="2249"/>
      <c r="CE260" s="2249"/>
      <c r="CF260" s="2249"/>
      <c r="CG260" s="2249"/>
      <c r="CH260" s="2249"/>
      <c r="CI260" s="2249"/>
      <c r="CJ260" s="2249"/>
      <c r="CK260" s="2249"/>
      <c r="CL260" s="2249"/>
      <c r="CM260" s="2249"/>
      <c r="CN260" s="2249"/>
      <c r="CO260" s="2249"/>
      <c r="CP260" s="2249"/>
      <c r="CQ260" s="2249"/>
      <c r="CR260" s="2249"/>
      <c r="CS260" s="2249"/>
      <c r="CT260" s="2249"/>
      <c r="CU260" s="2249"/>
      <c r="CV260" s="2249"/>
      <c r="CW260" s="2249"/>
      <c r="CX260" s="2249"/>
      <c r="CY260" s="2249"/>
      <c r="CZ260" s="2249"/>
      <c r="DA260" s="2249"/>
      <c r="DB260" s="2249"/>
      <c r="DC260" s="2249"/>
      <c r="DD260" s="2249"/>
      <c r="DE260" s="2249"/>
      <c r="DF260" s="2249"/>
    </row>
    <row r="261" spans="1:110" s="1715" customFormat="1" hidden="1" outlineLevel="1">
      <c r="A261" s="2249"/>
      <c r="B261" s="2249"/>
      <c r="C261" s="2249"/>
      <c r="D261" s="2249"/>
      <c r="E261" s="2249"/>
      <c r="F261" s="2249"/>
      <c r="G261" s="2249"/>
      <c r="H261" s="2249"/>
      <c r="I261" s="2249"/>
      <c r="J261" s="2249"/>
      <c r="K261" s="2249"/>
      <c r="L261" s="2249"/>
      <c r="M261" s="2249"/>
      <c r="N261" s="2249"/>
      <c r="O261" s="2249"/>
      <c r="P261" s="2249"/>
      <c r="Q261" s="2249"/>
      <c r="R261" s="2249"/>
      <c r="S261" s="2249"/>
      <c r="T261" s="2249"/>
      <c r="U261" s="2249"/>
      <c r="V261" s="2249"/>
      <c r="W261" s="2249"/>
      <c r="X261" s="2249"/>
      <c r="Y261" s="2249"/>
      <c r="Z261" s="2249"/>
      <c r="AA261" s="2249"/>
      <c r="AB261" s="2249"/>
      <c r="AC261" s="2249"/>
      <c r="AD261" s="2249"/>
      <c r="AE261" s="2249"/>
      <c r="AF261" s="2249"/>
      <c r="AG261" s="2249"/>
      <c r="AH261" s="2249"/>
      <c r="AI261" s="2249"/>
      <c r="AJ261" s="2249"/>
      <c r="AK261" s="2249"/>
      <c r="AL261" s="2249"/>
      <c r="AM261" s="2249"/>
      <c r="AN261" s="2249"/>
      <c r="AO261" s="2249"/>
      <c r="AP261" s="2249"/>
      <c r="AQ261" s="2249"/>
      <c r="AR261" s="2249"/>
      <c r="AS261" s="2249"/>
      <c r="AT261" s="2249"/>
      <c r="AU261" s="2249"/>
      <c r="AV261" s="2249"/>
      <c r="AW261" s="2249"/>
      <c r="AX261" s="2249"/>
      <c r="AY261" s="2249"/>
      <c r="AZ261" s="2249"/>
      <c r="BA261" s="2249"/>
      <c r="BB261" s="2249"/>
      <c r="BC261" s="1343"/>
      <c r="BD261" s="2249"/>
      <c r="BE261" s="2249"/>
      <c r="BF261" s="2249"/>
      <c r="BG261" s="2249"/>
      <c r="BH261" s="2249"/>
      <c r="BI261" s="2249"/>
      <c r="BJ261" s="2249"/>
      <c r="BK261" s="2249"/>
      <c r="BL261" s="2249"/>
      <c r="BM261" s="2249"/>
      <c r="BN261" s="2249"/>
      <c r="BO261" s="2249"/>
      <c r="BP261" s="2249"/>
      <c r="BQ261" s="2249"/>
      <c r="BR261" s="2249"/>
      <c r="BS261" s="2249"/>
      <c r="BT261" s="2249"/>
      <c r="BU261" s="2249"/>
      <c r="BV261" s="2249"/>
      <c r="BW261" s="2249"/>
      <c r="BX261" s="2249"/>
      <c r="BY261" s="2249"/>
      <c r="BZ261" s="2249"/>
      <c r="CA261" s="2249"/>
      <c r="CB261" s="2249"/>
      <c r="CC261" s="2249"/>
      <c r="CD261" s="2249"/>
      <c r="CE261" s="2249"/>
      <c r="CF261" s="2249"/>
      <c r="CG261" s="2249"/>
      <c r="CH261" s="2249"/>
      <c r="CI261" s="2249"/>
      <c r="CJ261" s="2249"/>
      <c r="CK261" s="2249"/>
      <c r="CL261" s="2249"/>
      <c r="CM261" s="2249"/>
      <c r="CN261" s="2249"/>
      <c r="CO261" s="2249"/>
      <c r="CP261" s="2249"/>
      <c r="CQ261" s="2249"/>
      <c r="CR261" s="2249"/>
      <c r="CS261" s="2249"/>
      <c r="CT261" s="2249"/>
      <c r="CU261" s="2249"/>
      <c r="CV261" s="2249"/>
      <c r="CW261" s="2249"/>
      <c r="CX261" s="2249"/>
      <c r="CY261" s="2249"/>
      <c r="CZ261" s="2249"/>
      <c r="DA261" s="2249"/>
      <c r="DB261" s="2249"/>
      <c r="DC261" s="2249"/>
      <c r="DD261" s="2249"/>
      <c r="DE261" s="2249"/>
      <c r="DF261" s="2249"/>
    </row>
    <row r="262" spans="1:110" s="1715" customFormat="1" hidden="1" outlineLevel="1">
      <c r="A262" s="2249" t="s">
        <v>606</v>
      </c>
      <c r="B262" s="2249"/>
      <c r="C262" s="2249"/>
      <c r="D262" s="2249"/>
      <c r="E262" s="2249"/>
      <c r="F262" s="2249"/>
      <c r="G262" s="2249"/>
      <c r="H262" s="2249"/>
      <c r="I262" s="2249"/>
      <c r="J262" s="2249"/>
      <c r="K262" s="2249"/>
      <c r="L262" s="2249"/>
      <c r="M262" s="2249"/>
      <c r="N262" s="2249"/>
      <c r="O262" s="2249"/>
      <c r="P262" s="2249"/>
      <c r="Q262" s="2249"/>
      <c r="R262" s="2249"/>
      <c r="S262" s="2249"/>
      <c r="T262" s="2249"/>
      <c r="U262" s="2249"/>
      <c r="V262" s="2249"/>
      <c r="W262" s="2249"/>
      <c r="X262" s="2249"/>
      <c r="Y262" s="2505">
        <f t="shared" ref="Y262:AU262" si="457">SUM(Y156,Y138,Y132,Y126,Y120)</f>
        <v>34.264136011343005</v>
      </c>
      <c r="Z262" s="2505">
        <f t="shared" si="457"/>
        <v>36.90829692329411</v>
      </c>
      <c r="AA262" s="2505">
        <f t="shared" si="457"/>
        <v>47.535121683100712</v>
      </c>
      <c r="AB262" s="2505">
        <f t="shared" si="457"/>
        <v>58.518703390251638</v>
      </c>
      <c r="AC262" s="2505">
        <f t="shared" si="457"/>
        <v>65.148472762996875</v>
      </c>
      <c r="AD262" s="2505">
        <f t="shared" si="457"/>
        <v>57.556542922211868</v>
      </c>
      <c r="AE262" s="2505">
        <f t="shared" si="457"/>
        <v>62.009500048495617</v>
      </c>
      <c r="AF262" s="2505">
        <f t="shared" si="457"/>
        <v>66.217790462174946</v>
      </c>
      <c r="AG262" s="2505">
        <f t="shared" si="457"/>
        <v>63.800102426321068</v>
      </c>
      <c r="AH262" s="2505">
        <f t="shared" si="457"/>
        <v>60.916639122733926</v>
      </c>
      <c r="AI262" s="2505">
        <f t="shared" si="457"/>
        <v>63.440697392711627</v>
      </c>
      <c r="AJ262" s="2505">
        <f t="shared" si="457"/>
        <v>65.263623143298759</v>
      </c>
      <c r="AK262" s="2505">
        <f t="shared" si="457"/>
        <v>42.855607809918538</v>
      </c>
      <c r="AL262" s="2505">
        <f t="shared" si="457"/>
        <v>30.559368654767162</v>
      </c>
      <c r="AM262" s="2505">
        <f t="shared" si="457"/>
        <v>29.737822615410028</v>
      </c>
      <c r="AN262" s="2505">
        <f t="shared" si="457"/>
        <v>25.106300407187028</v>
      </c>
      <c r="AO262" s="2505">
        <f t="shared" si="457"/>
        <v>21.958473384918229</v>
      </c>
      <c r="AP262" s="2505">
        <f t="shared" si="457"/>
        <v>20.853210256965387</v>
      </c>
      <c r="AQ262" s="2505">
        <f t="shared" si="457"/>
        <v>20.544030289494422</v>
      </c>
      <c r="AR262" s="2505">
        <f t="shared" si="457"/>
        <v>18.530934209500003</v>
      </c>
      <c r="AS262" s="2505">
        <f t="shared" si="457"/>
        <v>24.323303289599991</v>
      </c>
      <c r="AT262" s="2505">
        <f t="shared" si="457"/>
        <v>18.622236600253995</v>
      </c>
      <c r="AU262" s="2505">
        <f t="shared" si="457"/>
        <v>19.53655334549509</v>
      </c>
      <c r="AV262" s="2505">
        <f t="shared" ref="AV262:BI262" si="458">SUM(AV156,AV138,AV132,AV126,AV120)</f>
        <v>20.230675894000008</v>
      </c>
      <c r="AW262" s="2505">
        <f t="shared" si="458"/>
        <v>21.318469471000007</v>
      </c>
      <c r="AX262" s="2505">
        <f t="shared" si="458"/>
        <v>17.521647389999995</v>
      </c>
      <c r="AY262" s="2505">
        <f t="shared" si="458"/>
        <v>19.537075713231602</v>
      </c>
      <c r="AZ262" s="2505"/>
      <c r="BA262" s="2505">
        <f t="shared" si="458"/>
        <v>20.10532277472517</v>
      </c>
      <c r="BB262" s="2505">
        <f t="shared" si="458"/>
        <v>20.198725447877802</v>
      </c>
      <c r="BC262" s="2629">
        <f t="shared" si="458"/>
        <v>17.14526079695252</v>
      </c>
      <c r="BD262" s="2505">
        <f t="shared" si="458"/>
        <v>18.163101985777292</v>
      </c>
      <c r="BE262" s="2505"/>
      <c r="BF262" s="2505">
        <f t="shared" si="458"/>
        <v>21.759597206953835</v>
      </c>
      <c r="BG262" s="2505">
        <f t="shared" si="458"/>
        <v>22.120264127058984</v>
      </c>
      <c r="BH262" s="2505">
        <f t="shared" si="458"/>
        <v>18.87398642109282</v>
      </c>
      <c r="BI262" s="2505">
        <f t="shared" si="458"/>
        <v>19.665528735216313</v>
      </c>
      <c r="BJ262" s="2505"/>
      <c r="BK262" s="2505">
        <f>SUM(BK156,BK138,BK132,BK126,BK120)</f>
        <v>21.5420012348843</v>
      </c>
      <c r="BL262" s="2505">
        <f>SUM(BL156,BL138,BL132,BL126,BL120)</f>
        <v>21.899061485788394</v>
      </c>
      <c r="BM262" s="2505">
        <f>SUM(BM156,BM138,BM132,BM126,BM120)</f>
        <v>18.685246556881889</v>
      </c>
      <c r="BN262" s="2505">
        <f>SUM(BN156,BN138,BN132,BN126,BN120)</f>
        <v>19.468873447864151</v>
      </c>
      <c r="BO262" s="2505"/>
      <c r="BP262" s="2505">
        <f>SUM(BP156,BP138,BP132,BP126,BP120)</f>
        <v>21.111161210186616</v>
      </c>
      <c r="BQ262" s="2505">
        <f>SUM(BQ156,BQ138,BQ132,BQ126,BQ120)</f>
        <v>21.461080256072623</v>
      </c>
      <c r="BR262" s="2505">
        <f>SUM(BR156,BR138,BR132,BR126,BR120)</f>
        <v>18.311541625744255</v>
      </c>
      <c r="BS262" s="2505">
        <f>SUM(BS156,BS138,BS132,BS126,BS120)</f>
        <v>19.079495978906866</v>
      </c>
      <c r="BT262" s="2505"/>
      <c r="BU262" s="2505">
        <f>SUM(BU156,BU138,BU132,BU126,BU120)</f>
        <v>20.688937985982879</v>
      </c>
      <c r="BV262" s="2505">
        <f>SUM(BV156,BV138,BV132,BV126,BV120)</f>
        <v>21.031858650951168</v>
      </c>
      <c r="BW262" s="2505">
        <f>SUM(BW156,BW138,BW132,BW126,BW120)</f>
        <v>17.945310793229371</v>
      </c>
      <c r="BX262" s="2505">
        <f>SUM(BX156,BX138,BX132,BX126,BX120)</f>
        <v>18.697906059328734</v>
      </c>
      <c r="BY262" s="2249"/>
      <c r="BZ262" s="2249"/>
      <c r="CA262" s="2249"/>
      <c r="CB262" s="2249"/>
      <c r="CC262" s="2249"/>
      <c r="CD262" s="2249"/>
      <c r="CE262" s="2249"/>
      <c r="CF262" s="2249"/>
      <c r="CG262" s="2249"/>
      <c r="CH262" s="2249"/>
      <c r="CI262" s="2249"/>
      <c r="CJ262" s="2249"/>
      <c r="CK262" s="2249"/>
      <c r="CL262" s="2249"/>
      <c r="CM262" s="2249"/>
      <c r="CN262" s="2249"/>
      <c r="CO262" s="2249"/>
      <c r="CP262" s="2249"/>
      <c r="CQ262" s="2249"/>
      <c r="CR262" s="2249"/>
      <c r="CS262" s="2249"/>
      <c r="CT262" s="2249"/>
      <c r="CU262" s="2249"/>
      <c r="CV262" s="2249"/>
      <c r="CW262" s="2249"/>
      <c r="CX262" s="2249"/>
      <c r="CY262" s="2249"/>
      <c r="CZ262" s="2249"/>
      <c r="DA262" s="2249"/>
      <c r="DB262" s="2249"/>
      <c r="DC262" s="2249"/>
      <c r="DD262" s="2249"/>
      <c r="DE262" s="2249"/>
      <c r="DF262" s="2249"/>
    </row>
    <row r="263" spans="1:110" s="1715" customFormat="1" hidden="1" outlineLevel="1">
      <c r="A263" s="2249" t="s">
        <v>607</v>
      </c>
      <c r="B263" s="2249"/>
      <c r="C263" s="2249"/>
      <c r="D263" s="2249"/>
      <c r="E263" s="2249"/>
      <c r="F263" s="2249"/>
      <c r="G263" s="2249"/>
      <c r="H263" s="2249"/>
      <c r="I263" s="2249"/>
      <c r="J263" s="2249"/>
      <c r="K263" s="2249"/>
      <c r="L263" s="2249"/>
      <c r="M263" s="2249"/>
      <c r="N263" s="2249"/>
      <c r="O263" s="2249"/>
      <c r="P263" s="2249"/>
      <c r="Q263" s="2249"/>
      <c r="R263" s="2249"/>
      <c r="S263" s="2249"/>
      <c r="T263" s="2249"/>
      <c r="U263" s="2249"/>
      <c r="V263" s="2249"/>
      <c r="W263" s="2249"/>
      <c r="X263" s="2249"/>
      <c r="Y263" s="2249"/>
      <c r="Z263" s="2505">
        <f>Z262+Y262</f>
        <v>71.172432934637115</v>
      </c>
      <c r="AA263" s="2505">
        <f t="shared" ref="AA263:AI263" si="459">AA262+Z263</f>
        <v>118.70755461773783</v>
      </c>
      <c r="AB263" s="2505">
        <f t="shared" si="459"/>
        <v>177.22625800798946</v>
      </c>
      <c r="AC263" s="2505">
        <f t="shared" si="459"/>
        <v>242.37473077098633</v>
      </c>
      <c r="AD263" s="2505">
        <f t="shared" si="459"/>
        <v>299.93127369319819</v>
      </c>
      <c r="AE263" s="2505">
        <f t="shared" si="459"/>
        <v>361.94077374169382</v>
      </c>
      <c r="AF263" s="2505">
        <f t="shared" si="459"/>
        <v>428.15856420386876</v>
      </c>
      <c r="AG263" s="2505">
        <f t="shared" si="459"/>
        <v>491.95866663018984</v>
      </c>
      <c r="AH263" s="2505">
        <f t="shared" si="459"/>
        <v>552.87530575292374</v>
      </c>
      <c r="AI263" s="2505">
        <f t="shared" si="459"/>
        <v>616.31600314563536</v>
      </c>
      <c r="AJ263" s="2505">
        <f>AJ262+AI263-(AB262/2)</f>
        <v>652.32027459380834</v>
      </c>
      <c r="AK263" s="2505">
        <f>AK262+AJ263-(AC262/2)</f>
        <v>662.60164602222846</v>
      </c>
      <c r="AL263" s="2505">
        <f>AL262+AK263-(AD262/2)</f>
        <v>664.3827432158896</v>
      </c>
      <c r="AM263" s="2505">
        <f>AM262+AL263-(AE262/2)</f>
        <v>663.11581580705183</v>
      </c>
      <c r="AN263" s="2505">
        <f t="shared" ref="AN263:AU263" si="460">AN262+AM263-(AF262/2)-(AB262/2)</f>
        <v>625.85386928802563</v>
      </c>
      <c r="AO263" s="2505">
        <f t="shared" si="460"/>
        <v>583.33805507828492</v>
      </c>
      <c r="AP263" s="2505">
        <f t="shared" si="460"/>
        <v>544.95467431277746</v>
      </c>
      <c r="AQ263" s="2505">
        <f t="shared" si="460"/>
        <v>502.77360588166829</v>
      </c>
      <c r="AR263" s="2505">
        <f t="shared" si="460"/>
        <v>455.5638332884314</v>
      </c>
      <c r="AS263" s="2505">
        <f t="shared" si="460"/>
        <v>426.55928145991163</v>
      </c>
      <c r="AT263" s="2505">
        <f t="shared" si="460"/>
        <v>399.44351417141507</v>
      </c>
      <c r="AU263" s="2505">
        <f t="shared" si="460"/>
        <v>372.39080751284934</v>
      </c>
      <c r="AV263" s="2505">
        <f t="shared" ref="AV263:AY263" si="461">AV262+AU263-(AN262/2)-(AJ262/2)</f>
        <v>347.43652163160641</v>
      </c>
      <c r="AW263" s="2505">
        <f t="shared" si="461"/>
        <v>336.34795050518807</v>
      </c>
      <c r="AX263" s="2505">
        <f t="shared" si="461"/>
        <v>328.16330843932178</v>
      </c>
      <c r="AY263" s="2505">
        <f t="shared" si="461"/>
        <v>322.55945770010118</v>
      </c>
      <c r="AZ263" s="2505"/>
      <c r="BA263" s="2505">
        <f>BA262+AY263-(AR262/2)-(AN262/2)</f>
        <v>320.84616316648282</v>
      </c>
      <c r="BB263" s="2505">
        <f>BB262+BA263-(AS262/2)-(AO262/2)</f>
        <v>317.90400027710155</v>
      </c>
      <c r="BC263" s="2629">
        <f>BC262+BB263-(AT262/2)-(AP262/2)</f>
        <v>315.31153764544433</v>
      </c>
      <c r="BD263" s="2505">
        <f>BD262+BC263-(AU262/2)-(AQ262/2)</f>
        <v>313.43434781372684</v>
      </c>
      <c r="BE263" s="2505"/>
      <c r="BF263" s="2505">
        <f>BF262+BD263-(AV262/2)-(AR262/2)</f>
        <v>315.81313996893073</v>
      </c>
      <c r="BG263" s="2505">
        <f>BG262+BF263-(AW262/2)-(AS262/2)</f>
        <v>315.11251771568976</v>
      </c>
      <c r="BH263" s="2505">
        <f>BH262+BG263-(AX262/2)-(AT262/2)</f>
        <v>315.91456214165555</v>
      </c>
      <c r="BI263" s="2505">
        <f>BI262+BH263-(AY262/2)-(AU262/2)</f>
        <v>316.04327634750848</v>
      </c>
      <c r="BJ263" s="2505"/>
      <c r="BK263" s="2505">
        <f>BK262+BI263-(BA262/2)-(AV262/2)</f>
        <v>317.41727824803019</v>
      </c>
      <c r="BL263" s="2505">
        <f>BL262+BK263-(BB262/2)-(AW262/2)</f>
        <v>318.55774227437973</v>
      </c>
      <c r="BM263" s="2505">
        <f>BM262+BL263-(BC262/2)-(AX262/2)</f>
        <v>319.90953473778541</v>
      </c>
      <c r="BN263" s="2505">
        <f>BN262+BM263-(BD262/2)-(AY262/2)</f>
        <v>320.5283193361451</v>
      </c>
      <c r="BO263" s="2505"/>
      <c r="BP263" s="2505">
        <f>BP262+BN263-(BF262/2)-(BA262/2)</f>
        <v>320.70702055549219</v>
      </c>
      <c r="BQ263" s="2505">
        <f>BQ262+BP263-(BG262/2)-(BB262/2)</f>
        <v>321.00860602409648</v>
      </c>
      <c r="BR263" s="2505">
        <f>BR262+BQ263-(BH262/2)-(BC262/2)</f>
        <v>321.31052404081811</v>
      </c>
      <c r="BS263" s="2505">
        <f>BS262+BR263-(BI262/2)-(BD262/2)</f>
        <v>321.4757046592282</v>
      </c>
      <c r="BT263" s="2505"/>
      <c r="BU263" s="2505">
        <f>BU262+BS263-(BK262/2)-(BF262/2)</f>
        <v>320.51384342429202</v>
      </c>
      <c r="BV263" s="2505">
        <f>BV262+BU263-(BL262/2)-(BG262/2)</f>
        <v>319.53603926881954</v>
      </c>
      <c r="BW263" s="2505">
        <f>BW262+BV263-(BM262/2)-(BH262/2)</f>
        <v>318.70173357306157</v>
      </c>
      <c r="BX263" s="2505">
        <f>BX262+BW263-(BN262/2)-(BI262/2)</f>
        <v>317.83243854085009</v>
      </c>
      <c r="BY263" s="2249"/>
      <c r="BZ263" s="2249"/>
      <c r="CA263" s="2249"/>
      <c r="CB263" s="2249"/>
      <c r="CC263" s="2249"/>
      <c r="CD263" s="2249"/>
      <c r="CE263" s="2249"/>
      <c r="CF263" s="2249"/>
      <c r="CG263" s="2249"/>
      <c r="CH263" s="2249"/>
      <c r="CI263" s="2249"/>
      <c r="CJ263" s="2249"/>
      <c r="CK263" s="2249"/>
      <c r="CL263" s="2249"/>
      <c r="CM263" s="2249"/>
      <c r="CN263" s="2249"/>
      <c r="CO263" s="2249"/>
      <c r="CP263" s="2249"/>
      <c r="CQ263" s="2249"/>
      <c r="CR263" s="2249"/>
      <c r="CS263" s="2249"/>
      <c r="CT263" s="2249"/>
      <c r="CU263" s="2249"/>
      <c r="CV263" s="2249"/>
      <c r="CW263" s="2249"/>
      <c r="CX263" s="2249"/>
      <c r="CY263" s="2249"/>
      <c r="CZ263" s="2249"/>
      <c r="DA263" s="2249"/>
      <c r="DB263" s="2249"/>
      <c r="DC263" s="2249"/>
      <c r="DD263" s="2249"/>
      <c r="DE263" s="2249"/>
      <c r="DF263" s="2249"/>
    </row>
    <row r="264" spans="1:110" s="1715" customFormat="1" hidden="1" outlineLevel="1">
      <c r="A264" s="2249"/>
      <c r="B264" s="2249"/>
      <c r="C264" s="2249"/>
      <c r="D264" s="2249"/>
      <c r="E264" s="2249"/>
      <c r="F264" s="2249"/>
      <c r="G264" s="2249"/>
      <c r="H264" s="2249"/>
      <c r="I264" s="2249"/>
      <c r="J264" s="2249"/>
      <c r="K264" s="2249"/>
      <c r="L264" s="2249"/>
      <c r="M264" s="2249"/>
      <c r="N264" s="2249"/>
      <c r="O264" s="2249"/>
      <c r="P264" s="2249"/>
      <c r="Q264" s="2249"/>
      <c r="R264" s="2249"/>
      <c r="S264" s="2249"/>
      <c r="T264" s="2249"/>
      <c r="U264" s="2249"/>
      <c r="V264" s="2249"/>
      <c r="W264" s="2249"/>
      <c r="X264" s="2249"/>
      <c r="Y264" s="2249"/>
      <c r="Z264" s="2249"/>
      <c r="AA264" s="2249"/>
      <c r="AB264" s="2249"/>
      <c r="AC264" s="2249"/>
      <c r="AD264" s="2249"/>
      <c r="AE264" s="2249"/>
      <c r="AF264" s="2249"/>
      <c r="AG264" s="2249"/>
      <c r="AH264" s="2249"/>
      <c r="AI264" s="2249"/>
      <c r="AJ264" s="2249"/>
      <c r="AK264" s="2249"/>
      <c r="AL264" s="2249"/>
      <c r="AM264" s="2249"/>
      <c r="AN264" s="2249"/>
      <c r="AO264" s="2249"/>
      <c r="AP264" s="2249"/>
      <c r="AQ264" s="2249"/>
      <c r="AR264" s="2249"/>
      <c r="AS264" s="2249"/>
      <c r="AT264" s="2249"/>
      <c r="AU264" s="2249"/>
      <c r="AV264" s="2249"/>
      <c r="AW264" s="2249"/>
      <c r="AX264" s="2249"/>
      <c r="AY264" s="2249"/>
      <c r="AZ264" s="2249"/>
      <c r="BA264" s="2249"/>
      <c r="BB264" s="2249"/>
      <c r="BC264" s="1343"/>
      <c r="BD264" s="2249"/>
      <c r="BE264" s="2249"/>
      <c r="BF264" s="2249"/>
      <c r="BG264" s="2249"/>
      <c r="BH264" s="2249"/>
      <c r="BI264" s="2249"/>
      <c r="BJ264" s="2249"/>
      <c r="BK264" s="2249"/>
      <c r="BL264" s="2249"/>
      <c r="BM264" s="2249"/>
      <c r="BN264" s="2249"/>
      <c r="BO264" s="2249"/>
      <c r="BP264" s="2249"/>
      <c r="BQ264" s="2249"/>
      <c r="BR264" s="2249"/>
      <c r="BS264" s="2249"/>
      <c r="BT264" s="2249"/>
      <c r="BU264" s="2249"/>
      <c r="BV264" s="2249"/>
      <c r="BW264" s="2249"/>
      <c r="BX264" s="2249"/>
      <c r="BY264" s="2249"/>
      <c r="BZ264" s="2249"/>
      <c r="CA264" s="2249"/>
      <c r="CB264" s="2249"/>
      <c r="CC264" s="2249"/>
      <c r="CD264" s="2249"/>
      <c r="CE264" s="2249"/>
      <c r="CF264" s="2249"/>
      <c r="CG264" s="2249"/>
      <c r="CH264" s="2249"/>
      <c r="CI264" s="2249"/>
      <c r="CJ264" s="2249"/>
      <c r="CK264" s="2249"/>
      <c r="CL264" s="2249"/>
      <c r="CM264" s="2249"/>
      <c r="CN264" s="2249"/>
      <c r="CO264" s="2249"/>
      <c r="CP264" s="2249"/>
      <c r="CQ264" s="2249"/>
      <c r="CR264" s="2249"/>
      <c r="CS264" s="2249"/>
      <c r="CT264" s="2249"/>
      <c r="CU264" s="2249"/>
      <c r="CV264" s="2249"/>
      <c r="CW264" s="2249"/>
      <c r="CX264" s="2249"/>
      <c r="CY264" s="2249"/>
      <c r="CZ264" s="2249"/>
      <c r="DA264" s="2249"/>
      <c r="DB264" s="2249"/>
      <c r="DC264" s="2249"/>
      <c r="DD264" s="2249"/>
      <c r="DE264" s="2249"/>
      <c r="DF264" s="2249"/>
    </row>
    <row r="265" spans="1:110" s="1715" customFormat="1" hidden="1" outlineLevel="1">
      <c r="A265" s="2249" t="s">
        <v>608</v>
      </c>
      <c r="B265" s="2249"/>
      <c r="C265" s="2249"/>
      <c r="D265" s="2249"/>
      <c r="E265" s="2249"/>
      <c r="F265" s="2249"/>
      <c r="G265" s="2249"/>
      <c r="H265" s="2249"/>
      <c r="I265" s="2249"/>
      <c r="J265" s="2249"/>
      <c r="K265" s="2249"/>
      <c r="L265" s="2249"/>
      <c r="M265" s="2249"/>
      <c r="N265" s="2249"/>
      <c r="O265" s="2249"/>
      <c r="P265" s="2249"/>
      <c r="Q265" s="2249"/>
      <c r="R265" s="2249"/>
      <c r="S265" s="2249"/>
      <c r="T265" s="2249"/>
      <c r="U265" s="2249"/>
      <c r="V265" s="2249"/>
      <c r="W265" s="2249"/>
      <c r="X265" s="2249"/>
      <c r="Y265" s="2506">
        <f>639364806.584115/1000000</f>
        <v>639.36480658411506</v>
      </c>
      <c r="Z265" s="2506">
        <v>646.10598647236634</v>
      </c>
      <c r="AA265" s="2506">
        <v>652.87821984495974</v>
      </c>
      <c r="AB265" s="2506"/>
      <c r="AC265" s="2506"/>
      <c r="AD265" s="2249"/>
      <c r="AE265" s="2249"/>
      <c r="AF265" s="2249"/>
      <c r="AG265" s="2249"/>
      <c r="AH265" s="2249"/>
      <c r="AI265" s="2249"/>
      <c r="AJ265" s="2249"/>
      <c r="AK265" s="2249"/>
      <c r="AL265" s="2249"/>
      <c r="AM265" s="2249"/>
      <c r="AN265" s="2249"/>
      <c r="AO265" s="2249"/>
      <c r="AP265" s="2249"/>
      <c r="AQ265" s="2249"/>
      <c r="AR265" s="2249"/>
      <c r="AS265" s="2249"/>
      <c r="AT265" s="2249"/>
      <c r="AU265" s="2249"/>
      <c r="AV265" s="2249"/>
      <c r="AW265" s="2249"/>
      <c r="AX265" s="2249"/>
      <c r="AY265" s="2249"/>
      <c r="AZ265" s="2249"/>
      <c r="BA265" s="2249"/>
      <c r="BB265" s="2249"/>
      <c r="BC265" s="1343"/>
      <c r="BD265" s="2249"/>
      <c r="BE265" s="2249"/>
      <c r="BF265" s="2249"/>
      <c r="BG265" s="2249"/>
      <c r="BH265" s="2249"/>
      <c r="BI265" s="2249"/>
      <c r="BJ265" s="2249"/>
      <c r="BK265" s="2249"/>
      <c r="BL265" s="2249"/>
      <c r="BM265" s="2249"/>
      <c r="BN265" s="2249"/>
      <c r="BO265" s="2249"/>
      <c r="BP265" s="2249"/>
      <c r="BQ265" s="2249"/>
      <c r="BR265" s="2249"/>
      <c r="BS265" s="2249"/>
      <c r="BT265" s="2249"/>
      <c r="BU265" s="2249"/>
      <c r="BV265" s="2249"/>
      <c r="BW265" s="2249"/>
      <c r="BX265" s="2249"/>
      <c r="BY265" s="2249"/>
      <c r="BZ265" s="2249"/>
      <c r="CA265" s="2249"/>
      <c r="CB265" s="2249"/>
      <c r="CC265" s="2249"/>
      <c r="CD265" s="2249"/>
      <c r="CE265" s="2249"/>
      <c r="CF265" s="2249"/>
      <c r="CG265" s="2249"/>
      <c r="CH265" s="2249"/>
      <c r="CI265" s="2249"/>
      <c r="CJ265" s="2249"/>
      <c r="CK265" s="2249"/>
      <c r="CL265" s="2249"/>
      <c r="CM265" s="2249"/>
      <c r="CN265" s="2249"/>
      <c r="CO265" s="2249"/>
      <c r="CP265" s="2249"/>
      <c r="CQ265" s="2249"/>
      <c r="CR265" s="2249"/>
      <c r="CS265" s="2249"/>
      <c r="CT265" s="2249"/>
      <c r="CU265" s="2249"/>
      <c r="CV265" s="2249"/>
      <c r="CW265" s="2249"/>
      <c r="CX265" s="2249"/>
      <c r="CY265" s="2249"/>
      <c r="CZ265" s="2249"/>
      <c r="DA265" s="2249"/>
      <c r="DB265" s="2249"/>
      <c r="DC265" s="2249"/>
      <c r="DD265" s="2249"/>
      <c r="DE265" s="2249"/>
      <c r="DF265" s="2249"/>
    </row>
    <row r="266" spans="1:110" s="1715" customFormat="1" hidden="1" outlineLevel="1">
      <c r="A266" s="2249" t="s">
        <v>609</v>
      </c>
      <c r="B266" s="2249"/>
      <c r="C266" s="2249"/>
      <c r="D266" s="2249"/>
      <c r="E266" s="2249"/>
      <c r="F266" s="2249"/>
      <c r="G266" s="2249"/>
      <c r="H266" s="2249"/>
      <c r="I266" s="2249"/>
      <c r="J266" s="2249"/>
      <c r="K266" s="2249"/>
      <c r="L266" s="2249"/>
      <c r="M266" s="2249"/>
      <c r="N266" s="2249"/>
      <c r="O266" s="2249"/>
      <c r="P266" s="2249"/>
      <c r="Q266" s="2249"/>
      <c r="R266" s="2249"/>
      <c r="S266" s="2249"/>
      <c r="T266" s="2249"/>
      <c r="U266" s="2249"/>
      <c r="V266" s="2249"/>
      <c r="W266" s="2249"/>
      <c r="X266" s="2249"/>
      <c r="Y266" s="2507">
        <f>Y262/Y265</f>
        <v>5.3590900935575975E-2</v>
      </c>
      <c r="Z266" s="2507">
        <f>Z263/Z265</f>
        <v>0.11015597196866575</v>
      </c>
      <c r="AA266" s="2507">
        <f>AA263/AA265</f>
        <v>0.18182189420551897</v>
      </c>
      <c r="AB266" s="2507"/>
      <c r="AC266" s="2507"/>
      <c r="AD266" s="2249"/>
      <c r="AE266" s="2249" t="s">
        <v>904</v>
      </c>
      <c r="AF266" s="2249"/>
      <c r="AG266" s="2249"/>
      <c r="AH266" s="2249" t="s">
        <v>899</v>
      </c>
      <c r="AI266" s="2249" t="s">
        <v>900</v>
      </c>
      <c r="AJ266" s="2249" t="s">
        <v>903</v>
      </c>
      <c r="AK266" s="2249"/>
      <c r="AL266" s="2249" t="s">
        <v>902</v>
      </c>
      <c r="AM266" s="2249" t="s">
        <v>901</v>
      </c>
      <c r="AN266" s="2249"/>
      <c r="AO266" s="2249"/>
      <c r="AP266" s="2249"/>
      <c r="AQ266" s="2249"/>
      <c r="AR266" s="2249"/>
      <c r="AS266" s="2249"/>
      <c r="AT266" s="2249"/>
      <c r="AU266" s="2249"/>
      <c r="AV266" s="2249"/>
      <c r="AW266" s="2249"/>
      <c r="AX266" s="2249"/>
      <c r="AY266" s="2249"/>
      <c r="AZ266" s="2249"/>
      <c r="BA266" s="2249"/>
      <c r="BB266" s="2249"/>
      <c r="BC266" s="1343"/>
      <c r="BD266" s="2249"/>
      <c r="BE266" s="2249"/>
      <c r="BF266" s="2249"/>
      <c r="BG266" s="2249"/>
      <c r="BH266" s="2249"/>
      <c r="BI266" s="2249"/>
      <c r="BJ266" s="2249"/>
      <c r="BK266" s="2249"/>
      <c r="BL266" s="2249"/>
      <c r="BM266" s="2249"/>
      <c r="BN266" s="2249"/>
      <c r="BO266" s="2249"/>
      <c r="BP266" s="2249"/>
      <c r="BQ266" s="2249"/>
      <c r="BR266" s="2249"/>
      <c r="BS266" s="2249"/>
      <c r="BT266" s="2249"/>
      <c r="BU266" s="2249"/>
      <c r="BV266" s="2249"/>
      <c r="BW266" s="2249"/>
      <c r="BX266" s="2249"/>
      <c r="BY266" s="2249"/>
      <c r="BZ266" s="2249"/>
      <c r="CA266" s="2249"/>
      <c r="CB266" s="2249"/>
      <c r="CC266" s="2249"/>
      <c r="CD266" s="2249"/>
      <c r="CE266" s="2249"/>
      <c r="CF266" s="2249"/>
      <c r="CG266" s="2249"/>
      <c r="CH266" s="2249"/>
      <c r="CI266" s="2249"/>
      <c r="CJ266" s="2249"/>
      <c r="CK266" s="2249"/>
      <c r="CL266" s="2249"/>
      <c r="CM266" s="2249"/>
      <c r="CN266" s="2249"/>
      <c r="CO266" s="2249"/>
      <c r="CP266" s="2249"/>
      <c r="CQ266" s="2249"/>
      <c r="CR266" s="2249"/>
      <c r="CS266" s="2249"/>
      <c r="CT266" s="2249"/>
      <c r="CU266" s="2249"/>
      <c r="CV266" s="2249"/>
      <c r="CW266" s="2249"/>
      <c r="CX266" s="2249"/>
      <c r="CY266" s="2249"/>
      <c r="CZ266" s="2249"/>
      <c r="DA266" s="2249"/>
      <c r="DB266" s="2249"/>
      <c r="DC266" s="2249"/>
      <c r="DD266" s="2249"/>
      <c r="DE266" s="2249"/>
      <c r="DF266" s="2249"/>
    </row>
    <row r="267" spans="1:110" s="1715" customFormat="1" hidden="1" outlineLevel="1">
      <c r="A267" s="2249"/>
      <c r="B267" s="2249"/>
      <c r="C267" s="2249"/>
      <c r="D267" s="2249"/>
      <c r="E267" s="2249"/>
      <c r="F267" s="2249"/>
      <c r="G267" s="2249"/>
      <c r="H267" s="2249"/>
      <c r="I267" s="2249"/>
      <c r="J267" s="2249"/>
      <c r="K267" s="2249"/>
      <c r="L267" s="2249"/>
      <c r="M267" s="2249"/>
      <c r="N267" s="2249"/>
      <c r="O267" s="2249"/>
      <c r="P267" s="2249"/>
      <c r="Q267" s="2249"/>
      <c r="R267" s="2249"/>
      <c r="S267" s="2249"/>
      <c r="T267" s="2249"/>
      <c r="U267" s="2249"/>
      <c r="V267" s="2249"/>
      <c r="W267" s="2249"/>
      <c r="X267" s="2249"/>
      <c r="Y267" s="2249"/>
      <c r="Z267" s="2249"/>
      <c r="AA267" s="2249"/>
      <c r="AB267" s="2249"/>
      <c r="AC267" s="2249"/>
      <c r="AD267" s="2249"/>
      <c r="AE267" s="2249"/>
      <c r="AF267" s="2249"/>
      <c r="AG267" s="2249"/>
      <c r="AH267" s="2249"/>
      <c r="AI267" s="2249"/>
      <c r="AJ267" s="2249"/>
      <c r="AK267" s="2249"/>
      <c r="AL267" s="2249"/>
      <c r="AM267" s="2249"/>
      <c r="AN267" s="2249"/>
      <c r="AO267" s="2249"/>
      <c r="AP267" s="2249"/>
      <c r="AQ267" s="2249"/>
      <c r="AR267" s="2249"/>
      <c r="AS267" s="2249"/>
      <c r="AT267" s="2249"/>
      <c r="AU267" s="2249"/>
      <c r="AV267" s="2249"/>
      <c r="AW267" s="2249"/>
      <c r="AX267" s="2249"/>
      <c r="AY267" s="2249"/>
      <c r="AZ267" s="2249"/>
      <c r="BA267" s="2249"/>
      <c r="BB267" s="2249"/>
      <c r="BC267" s="1343"/>
      <c r="BD267" s="2249"/>
      <c r="BE267" s="2249"/>
      <c r="BF267" s="2249"/>
      <c r="BG267" s="2249"/>
      <c r="BH267" s="2249"/>
      <c r="BI267" s="2249"/>
      <c r="BJ267" s="2249"/>
      <c r="BK267" s="2249"/>
      <c r="BL267" s="2249"/>
      <c r="BM267" s="2249"/>
      <c r="BN267" s="2249"/>
      <c r="BO267" s="2249"/>
      <c r="BP267" s="2249"/>
      <c r="BQ267" s="2249"/>
      <c r="BR267" s="2249"/>
      <c r="BS267" s="2249"/>
      <c r="BT267" s="2249"/>
      <c r="BU267" s="2249"/>
      <c r="BV267" s="2249"/>
      <c r="BW267" s="2249"/>
      <c r="BX267" s="2249"/>
      <c r="BY267" s="2249"/>
      <c r="BZ267" s="2249"/>
      <c r="CA267" s="2249"/>
      <c r="CB267" s="2249"/>
      <c r="CC267" s="2249"/>
      <c r="CD267" s="2249"/>
      <c r="CE267" s="2249"/>
      <c r="CF267" s="2249"/>
      <c r="CG267" s="2249"/>
      <c r="CH267" s="2249"/>
      <c r="CI267" s="2249"/>
      <c r="CJ267" s="2249"/>
      <c r="CK267" s="2249"/>
      <c r="CL267" s="2249"/>
      <c r="CM267" s="2249"/>
      <c r="CN267" s="2249"/>
      <c r="CO267" s="2249"/>
      <c r="CP267" s="2249"/>
      <c r="CQ267" s="2249"/>
      <c r="CR267" s="2249"/>
      <c r="CS267" s="2249"/>
      <c r="CT267" s="2249"/>
      <c r="CU267" s="2249"/>
      <c r="CV267" s="2249"/>
      <c r="CW267" s="2249"/>
      <c r="CX267" s="2249"/>
      <c r="CY267" s="2249"/>
      <c r="CZ267" s="2249"/>
      <c r="DA267" s="2249"/>
      <c r="DB267" s="2249"/>
      <c r="DC267" s="2249"/>
      <c r="DD267" s="2249"/>
      <c r="DE267" s="2249"/>
      <c r="DF267" s="2249"/>
    </row>
    <row r="268" spans="1:110" s="1715" customFormat="1" hidden="1" outlineLevel="1">
      <c r="A268" s="2249"/>
      <c r="B268" s="2249"/>
      <c r="C268" s="2249"/>
      <c r="D268" s="2249"/>
      <c r="E268" s="2249"/>
      <c r="F268" s="2249"/>
      <c r="G268" s="2249"/>
      <c r="H268" s="2249"/>
      <c r="I268" s="2249"/>
      <c r="J268" s="2249"/>
      <c r="K268" s="2249"/>
      <c r="L268" s="2249"/>
      <c r="M268" s="2249"/>
      <c r="N268" s="2249"/>
      <c r="O268" s="2249"/>
      <c r="P268" s="2249"/>
      <c r="Q268" s="2249"/>
      <c r="R268" s="2249"/>
      <c r="S268" s="2249"/>
      <c r="T268" s="2249"/>
      <c r="U268" s="2249"/>
      <c r="V268" s="2249"/>
      <c r="W268" s="2249"/>
      <c r="X268" s="2249"/>
      <c r="Y268" s="2249"/>
      <c r="Z268" s="2249"/>
      <c r="AA268" s="2249"/>
      <c r="AB268" s="2249"/>
      <c r="AC268" s="2249"/>
      <c r="AD268" s="2249"/>
      <c r="AE268" s="2249"/>
      <c r="AF268" s="2249"/>
      <c r="AG268" s="2249"/>
      <c r="AH268" s="2249"/>
      <c r="AI268" s="2249"/>
      <c r="AJ268" s="2249"/>
      <c r="AK268" s="2249"/>
      <c r="AL268" s="2249"/>
      <c r="AM268" s="2249"/>
      <c r="AN268" s="2249"/>
      <c r="AO268" s="2249"/>
      <c r="AP268" s="2249"/>
      <c r="AQ268" s="2249"/>
      <c r="AR268" s="2249"/>
      <c r="AS268" s="2249"/>
      <c r="AT268" s="2249"/>
      <c r="AU268" s="2249"/>
      <c r="AV268" s="2249"/>
      <c r="AW268" s="2249"/>
      <c r="AX268" s="2249"/>
      <c r="AY268" s="2249"/>
      <c r="AZ268" s="2249"/>
      <c r="BA268" s="2249"/>
      <c r="BB268" s="2249"/>
      <c r="BC268" s="1343"/>
      <c r="BD268" s="2249"/>
      <c r="BE268" s="2249"/>
      <c r="BF268" s="2249"/>
      <c r="BG268" s="2249"/>
      <c r="BH268" s="2249"/>
      <c r="BI268" s="2249"/>
      <c r="BJ268" s="2249"/>
      <c r="BK268" s="2249"/>
      <c r="BL268" s="2249"/>
      <c r="BM268" s="2249"/>
      <c r="BN268" s="2249"/>
      <c r="BO268" s="2249"/>
      <c r="BP268" s="2249"/>
      <c r="BQ268" s="2249"/>
      <c r="BR268" s="2249"/>
      <c r="BS268" s="2249"/>
      <c r="BT268" s="2249"/>
      <c r="BU268" s="2249"/>
      <c r="BV268" s="2249"/>
      <c r="BW268" s="2249"/>
      <c r="BX268" s="2249"/>
      <c r="BY268" s="2249"/>
      <c r="BZ268" s="2249"/>
      <c r="CA268" s="2249"/>
      <c r="CB268" s="2249"/>
      <c r="CC268" s="2249"/>
      <c r="CD268" s="2249"/>
      <c r="CE268" s="2249"/>
      <c r="CF268" s="2249"/>
      <c r="CG268" s="2249"/>
      <c r="CH268" s="2249"/>
      <c r="CI268" s="2249"/>
      <c r="CJ268" s="2249"/>
      <c r="CK268" s="2249"/>
      <c r="CL268" s="2249"/>
      <c r="CM268" s="2249"/>
      <c r="CN268" s="2249"/>
      <c r="CO268" s="2249"/>
      <c r="CP268" s="2249"/>
      <c r="CQ268" s="2249"/>
      <c r="CR268" s="2249"/>
      <c r="CS268" s="2249"/>
      <c r="CT268" s="2249"/>
      <c r="CU268" s="2249"/>
      <c r="CV268" s="2249"/>
      <c r="CW268" s="2249"/>
      <c r="CX268" s="2249"/>
      <c r="CY268" s="2249"/>
      <c r="CZ268" s="2249"/>
      <c r="DA268" s="2249"/>
      <c r="DB268" s="2249"/>
      <c r="DC268" s="2249"/>
      <c r="DD268" s="2249"/>
      <c r="DE268" s="2249"/>
      <c r="DF268" s="2249"/>
    </row>
    <row r="269" spans="1:110" s="1715" customFormat="1" hidden="1" outlineLevel="1">
      <c r="A269" s="2249" t="s">
        <v>271</v>
      </c>
      <c r="B269" s="2249"/>
      <c r="C269" s="2249"/>
      <c r="D269" s="2249"/>
      <c r="E269" s="2249"/>
      <c r="F269" s="2249"/>
      <c r="G269" s="2249"/>
      <c r="H269" s="2249"/>
      <c r="I269" s="2249"/>
      <c r="J269" s="2249"/>
      <c r="K269" s="2249"/>
      <c r="L269" s="2249"/>
      <c r="M269" s="2249"/>
      <c r="N269" s="2249"/>
      <c r="O269" s="2249"/>
      <c r="P269" s="2249"/>
      <c r="Q269" s="2249"/>
      <c r="R269" s="2249"/>
      <c r="S269" s="2249"/>
      <c r="T269" s="2249"/>
      <c r="U269" s="2249"/>
      <c r="V269" s="2249"/>
      <c r="W269" s="2249"/>
      <c r="X269" s="2249"/>
      <c r="Y269" s="2249"/>
      <c r="Z269" s="2249"/>
      <c r="AA269" s="2249"/>
      <c r="AB269" s="2249"/>
      <c r="AC269" s="2249"/>
      <c r="AD269" s="2249"/>
      <c r="AE269" s="2249"/>
      <c r="AF269" s="2249"/>
      <c r="AG269" s="2249"/>
      <c r="AH269" s="2249"/>
      <c r="AI269" s="2249"/>
      <c r="AJ269" s="2249"/>
      <c r="AK269" s="2508">
        <f t="shared" ref="AK269:BI269" si="462">AK$22*AK52</f>
        <v>0</v>
      </c>
      <c r="AL269" s="2508">
        <f t="shared" si="462"/>
        <v>0.2</v>
      </c>
      <c r="AM269" s="2508">
        <f t="shared" si="462"/>
        <v>0.15</v>
      </c>
      <c r="AN269" s="2508">
        <f t="shared" si="462"/>
        <v>0.35</v>
      </c>
      <c r="AO269" s="2508">
        <f t="shared" si="462"/>
        <v>0.51569844980090973</v>
      </c>
      <c r="AP269" s="2508">
        <f t="shared" si="462"/>
        <v>0.4</v>
      </c>
      <c r="AQ269" s="2508">
        <f t="shared" si="462"/>
        <v>0.3</v>
      </c>
      <c r="AR269" s="2508">
        <f t="shared" si="462"/>
        <v>0.8</v>
      </c>
      <c r="AS269" s="2508">
        <f t="shared" si="462"/>
        <v>0.75</v>
      </c>
      <c r="AT269" s="2508">
        <f t="shared" si="462"/>
        <v>0.47499999999999998</v>
      </c>
      <c r="AU269" s="2508">
        <f t="shared" si="462"/>
        <v>0.6</v>
      </c>
      <c r="AV269" s="2508">
        <f t="shared" si="462"/>
        <v>0.5</v>
      </c>
      <c r="AW269" s="2508">
        <f t="shared" si="462"/>
        <v>0.95</v>
      </c>
      <c r="AX269" s="2508">
        <f t="shared" si="462"/>
        <v>0.60250000000000004</v>
      </c>
      <c r="AY269" s="2508">
        <f t="shared" si="462"/>
        <v>0.6</v>
      </c>
      <c r="AZ269" s="2508"/>
      <c r="BA269" s="2508">
        <f t="shared" si="462"/>
        <v>0.57499999999999996</v>
      </c>
      <c r="BB269" s="2508">
        <f t="shared" si="462"/>
        <v>0.74835916627671129</v>
      </c>
      <c r="BC269" s="2630">
        <f t="shared" si="462"/>
        <v>0.55000000000000004</v>
      </c>
      <c r="BD269" s="2508">
        <f t="shared" si="462"/>
        <v>0.59354120496423324</v>
      </c>
      <c r="BE269" s="2508"/>
      <c r="BF269" s="2508">
        <f t="shared" si="462"/>
        <v>0.66178477910935596</v>
      </c>
      <c r="BG269" s="2508">
        <f t="shared" si="462"/>
        <v>0.89091902457856753</v>
      </c>
      <c r="BH269" s="2508">
        <f t="shared" si="462"/>
        <v>0.64621072151029235</v>
      </c>
      <c r="BI269" s="2508">
        <f t="shared" si="462"/>
        <v>0.6985480217365243</v>
      </c>
      <c r="BJ269" s="2508"/>
      <c r="BK269" s="2508">
        <f t="shared" ref="BK269:BN270" si="463">BK$22*BK52</f>
        <v>0.73827207880145063</v>
      </c>
      <c r="BL269" s="2508">
        <f t="shared" si="463"/>
        <v>1.0933940682712211</v>
      </c>
      <c r="BM269" s="2508">
        <f t="shared" si="463"/>
        <v>0.65299697973456716</v>
      </c>
      <c r="BN269" s="2508">
        <f t="shared" si="463"/>
        <v>0.64695523396285148</v>
      </c>
      <c r="BO269" s="2508"/>
      <c r="BP269" s="2508">
        <f t="shared" ref="BP269:BS269" si="464">BP$22*BP52</f>
        <v>0.78454166777733625</v>
      </c>
      <c r="BQ269" s="2508">
        <f t="shared" si="464"/>
        <v>1.1688406256357629</v>
      </c>
      <c r="BR269" s="2508">
        <f t="shared" si="464"/>
        <v>0.70213607923981514</v>
      </c>
      <c r="BS269" s="2508">
        <f t="shared" si="464"/>
        <v>0.69963212119101093</v>
      </c>
      <c r="BT269" s="2508"/>
      <c r="BU269" s="2508">
        <f t="shared" ref="BU269:BX269" si="465">BU$22*BU52</f>
        <v>0.81105334673643714</v>
      </c>
      <c r="BV269" s="2508">
        <f t="shared" si="465"/>
        <v>1.2076411301962404</v>
      </c>
      <c r="BW269" s="2508">
        <f t="shared" si="465"/>
        <v>0.72503504895399584</v>
      </c>
      <c r="BX269" s="2508">
        <f t="shared" si="465"/>
        <v>0.72205167588051988</v>
      </c>
      <c r="BY269" s="2249"/>
      <c r="BZ269" s="2249"/>
      <c r="CA269" s="2249"/>
      <c r="CB269" s="2249"/>
      <c r="CC269" s="2249"/>
      <c r="CD269" s="2249"/>
      <c r="CE269" s="2249"/>
      <c r="CF269" s="2249"/>
      <c r="CG269" s="2249"/>
      <c r="CH269" s="2249"/>
      <c r="CI269" s="2249"/>
      <c r="CJ269" s="2249"/>
      <c r="CK269" s="2249"/>
      <c r="CL269" s="2249"/>
      <c r="CM269" s="2249"/>
      <c r="CN269" s="2249"/>
      <c r="CO269" s="2249"/>
      <c r="CP269" s="2249"/>
      <c r="CQ269" s="2249"/>
      <c r="CR269" s="2249"/>
      <c r="CS269" s="2249"/>
      <c r="CT269" s="2249"/>
      <c r="CU269" s="2249"/>
      <c r="CV269" s="2249"/>
      <c r="CW269" s="2249"/>
      <c r="CX269" s="2249"/>
      <c r="CY269" s="2508">
        <f>SUM(AH269:AK269)</f>
        <v>0</v>
      </c>
      <c r="CZ269" s="2508">
        <f>SUM(AL269:AO269)</f>
        <v>1.2156984498009096</v>
      </c>
      <c r="DA269" s="2508">
        <f t="shared" ref="DA269:DC270" si="466">SUM(AP269:AS269)</f>
        <v>2.25</v>
      </c>
      <c r="DB269" s="2508">
        <f t="shared" si="466"/>
        <v>2.3250000000000002</v>
      </c>
      <c r="DC269" s="2508">
        <f t="shared" si="466"/>
        <v>2.625</v>
      </c>
      <c r="DD269" s="2508">
        <f>SUM(BC269:BG269)</f>
        <v>2.6962450086521565</v>
      </c>
      <c r="DE269" s="2508">
        <f>SUM(BD269:BH269)</f>
        <v>2.7924557301624491</v>
      </c>
      <c r="DF269" s="2508"/>
    </row>
    <row r="270" spans="1:110" s="1715" customFormat="1" hidden="1" outlineLevel="1">
      <c r="A270" s="2249" t="s">
        <v>272</v>
      </c>
      <c r="B270" s="2249"/>
      <c r="C270" s="2249"/>
      <c r="D270" s="2249"/>
      <c r="E270" s="2249"/>
      <c r="F270" s="2249"/>
      <c r="G270" s="2249"/>
      <c r="H270" s="2249"/>
      <c r="I270" s="2249"/>
      <c r="J270" s="2249"/>
      <c r="K270" s="2249"/>
      <c r="L270" s="2249"/>
      <c r="M270" s="2249"/>
      <c r="N270" s="2249"/>
      <c r="O270" s="2249"/>
      <c r="P270" s="2249"/>
      <c r="Q270" s="2249"/>
      <c r="R270" s="2249"/>
      <c r="S270" s="2249"/>
      <c r="T270" s="2249"/>
      <c r="U270" s="2249"/>
      <c r="V270" s="2249"/>
      <c r="W270" s="2249"/>
      <c r="X270" s="2249"/>
      <c r="Y270" s="2249"/>
      <c r="Z270" s="2249"/>
      <c r="AA270" s="2249"/>
      <c r="AB270" s="2249"/>
      <c r="AC270" s="2249"/>
      <c r="AD270" s="2249"/>
      <c r="AE270" s="2249"/>
      <c r="AF270" s="2249"/>
      <c r="AG270" s="2249"/>
      <c r="AH270" s="2249"/>
      <c r="AI270" s="2249"/>
      <c r="AJ270" s="2249"/>
      <c r="AK270" s="2508">
        <f t="shared" ref="AK270:BI270" si="467">AK$22*AK53</f>
        <v>0.4</v>
      </c>
      <c r="AL270" s="2508">
        <f t="shared" si="467"/>
        <v>0.2</v>
      </c>
      <c r="AM270" s="2508">
        <f t="shared" si="467"/>
        <v>0.15</v>
      </c>
      <c r="AN270" s="2508">
        <f t="shared" si="467"/>
        <v>0.35</v>
      </c>
      <c r="AO270" s="2508">
        <f t="shared" si="467"/>
        <v>0.51569844980090973</v>
      </c>
      <c r="AP270" s="2508">
        <f t="shared" si="467"/>
        <v>0.4</v>
      </c>
      <c r="AQ270" s="2508">
        <f t="shared" si="467"/>
        <v>0.3</v>
      </c>
      <c r="AR270" s="2508">
        <f t="shared" si="467"/>
        <v>0.8</v>
      </c>
      <c r="AS270" s="2508">
        <f t="shared" si="467"/>
        <v>0.75</v>
      </c>
      <c r="AT270" s="2508">
        <f t="shared" si="467"/>
        <v>0.47499999999999998</v>
      </c>
      <c r="AU270" s="2508">
        <f t="shared" si="467"/>
        <v>0.6</v>
      </c>
      <c r="AV270" s="2508">
        <f t="shared" si="467"/>
        <v>0.5</v>
      </c>
      <c r="AW270" s="2508">
        <f t="shared" si="467"/>
        <v>0.95</v>
      </c>
      <c r="AX270" s="2508">
        <f t="shared" si="467"/>
        <v>0.60250000000000004</v>
      </c>
      <c r="AY270" s="2508">
        <f t="shared" si="467"/>
        <v>0.6</v>
      </c>
      <c r="AZ270" s="2508"/>
      <c r="BA270" s="2508">
        <f t="shared" si="467"/>
        <v>0.57499999999999996</v>
      </c>
      <c r="BB270" s="2508">
        <f t="shared" si="467"/>
        <v>0.74835916627671129</v>
      </c>
      <c r="BC270" s="2630">
        <f t="shared" si="467"/>
        <v>0.55000000000000004</v>
      </c>
      <c r="BD270" s="2508">
        <f t="shared" si="467"/>
        <v>0.59354120496423324</v>
      </c>
      <c r="BE270" s="2508"/>
      <c r="BF270" s="2508">
        <f t="shared" si="467"/>
        <v>0.66178477910935596</v>
      </c>
      <c r="BG270" s="2508">
        <f t="shared" si="467"/>
        <v>0.89091902457856753</v>
      </c>
      <c r="BH270" s="2508">
        <f t="shared" si="467"/>
        <v>0.64621072151029235</v>
      </c>
      <c r="BI270" s="2508">
        <f t="shared" si="467"/>
        <v>0.6985480217365243</v>
      </c>
      <c r="BJ270" s="2508"/>
      <c r="BK270" s="2508">
        <f t="shared" si="463"/>
        <v>0.73827207880145063</v>
      </c>
      <c r="BL270" s="2508">
        <f t="shared" si="463"/>
        <v>1.0933940682712211</v>
      </c>
      <c r="BM270" s="2508">
        <f t="shared" si="463"/>
        <v>0.65299697973456716</v>
      </c>
      <c r="BN270" s="2508">
        <f t="shared" si="463"/>
        <v>0.64695523396285148</v>
      </c>
      <c r="BO270" s="2508"/>
      <c r="BP270" s="2508">
        <f t="shared" ref="BP270:BS270" si="468">BP$22*BP53</f>
        <v>0.78454166777733625</v>
      </c>
      <c r="BQ270" s="2508">
        <f t="shared" si="468"/>
        <v>1.1688406256357629</v>
      </c>
      <c r="BR270" s="2508">
        <f t="shared" si="468"/>
        <v>0.70213607923981514</v>
      </c>
      <c r="BS270" s="2508">
        <f t="shared" si="468"/>
        <v>0.69963212119101093</v>
      </c>
      <c r="BT270" s="2508"/>
      <c r="BU270" s="2508">
        <f t="shared" ref="BU270:BX270" si="469">BU$22*BU53</f>
        <v>0.81105334673643714</v>
      </c>
      <c r="BV270" s="2508">
        <f t="shared" si="469"/>
        <v>1.2076411301962404</v>
      </c>
      <c r="BW270" s="2508">
        <f t="shared" si="469"/>
        <v>0.72503504895399584</v>
      </c>
      <c r="BX270" s="2508">
        <f t="shared" si="469"/>
        <v>0.72205167588051988</v>
      </c>
      <c r="BY270" s="2249"/>
      <c r="BZ270" s="2249"/>
      <c r="CA270" s="2249"/>
      <c r="CB270" s="2249"/>
      <c r="CC270" s="2249"/>
      <c r="CD270" s="2249"/>
      <c r="CE270" s="2249"/>
      <c r="CF270" s="2249"/>
      <c r="CG270" s="2249"/>
      <c r="CH270" s="2249"/>
      <c r="CI270" s="2249"/>
      <c r="CJ270" s="2249"/>
      <c r="CK270" s="2249"/>
      <c r="CL270" s="2249"/>
      <c r="CM270" s="2249"/>
      <c r="CN270" s="2249"/>
      <c r="CO270" s="2249"/>
      <c r="CP270" s="2249"/>
      <c r="CQ270" s="2249"/>
      <c r="CR270" s="2249"/>
      <c r="CS270" s="2249"/>
      <c r="CT270" s="2249"/>
      <c r="CU270" s="2249"/>
      <c r="CV270" s="2249"/>
      <c r="CW270" s="2249"/>
      <c r="CX270" s="2249"/>
      <c r="CY270" s="2508">
        <f>SUM(AH270:AK270)</f>
        <v>0.4</v>
      </c>
      <c r="CZ270" s="2508">
        <f>SUM(AL270:AO270)</f>
        <v>1.2156984498009096</v>
      </c>
      <c r="DA270" s="2508">
        <f t="shared" si="466"/>
        <v>2.25</v>
      </c>
      <c r="DB270" s="2508">
        <f t="shared" si="466"/>
        <v>2.3250000000000002</v>
      </c>
      <c r="DC270" s="2508">
        <f t="shared" si="466"/>
        <v>2.625</v>
      </c>
      <c r="DD270" s="2508">
        <f>SUM(BC270:BG270)</f>
        <v>2.6962450086521565</v>
      </c>
      <c r="DE270" s="2508">
        <f>SUM(BD270:BH270)</f>
        <v>2.7924557301624491</v>
      </c>
      <c r="DF270" s="2508"/>
    </row>
    <row r="271" spans="1:110" s="1715" customFormat="1" hidden="1" outlineLevel="1">
      <c r="A271" s="2249"/>
      <c r="B271" s="2249"/>
      <c r="C271" s="2249"/>
      <c r="D271" s="2249"/>
      <c r="E271" s="2249"/>
      <c r="F271" s="2249"/>
      <c r="G271" s="2249"/>
      <c r="H271" s="2249"/>
      <c r="I271" s="2249"/>
      <c r="J271" s="2249"/>
      <c r="K271" s="2249"/>
      <c r="L271" s="2249"/>
      <c r="M271" s="2249"/>
      <c r="N271" s="2249"/>
      <c r="O271" s="2249"/>
      <c r="P271" s="2249"/>
      <c r="Q271" s="2249"/>
      <c r="R271" s="2249"/>
      <c r="S271" s="2249"/>
      <c r="T271" s="2249"/>
      <c r="U271" s="2249"/>
      <c r="V271" s="2249"/>
      <c r="W271" s="2249"/>
      <c r="X271" s="2249"/>
      <c r="Y271" s="2249"/>
      <c r="Z271" s="2249"/>
      <c r="AA271" s="2249"/>
      <c r="AB271" s="2249"/>
      <c r="AC271" s="2249"/>
      <c r="AD271" s="2249"/>
      <c r="AE271" s="2249"/>
      <c r="AF271" s="2249"/>
      <c r="AG271" s="2249"/>
      <c r="AH271" s="2249"/>
      <c r="AI271" s="2249"/>
      <c r="AJ271" s="2249"/>
      <c r="AK271" s="2249"/>
      <c r="AL271" s="2249"/>
      <c r="AM271" s="2249"/>
      <c r="AN271" s="2249"/>
      <c r="AO271" s="2249"/>
      <c r="AP271" s="2249"/>
      <c r="AQ271" s="2249"/>
      <c r="AR271" s="2249"/>
      <c r="AS271" s="2249"/>
      <c r="AT271" s="2249"/>
      <c r="AU271" s="2249"/>
      <c r="AV271" s="2249"/>
      <c r="AW271" s="2249"/>
      <c r="AX271" s="2249"/>
      <c r="AY271" s="2249"/>
      <c r="AZ271" s="2249"/>
      <c r="BA271" s="2249"/>
      <c r="BB271" s="2249"/>
      <c r="BC271" s="1343"/>
      <c r="BD271" s="2249"/>
      <c r="BE271" s="2249"/>
      <c r="BF271" s="2249"/>
      <c r="BG271" s="2249"/>
      <c r="BH271" s="2249"/>
      <c r="BI271" s="2249"/>
      <c r="BJ271" s="2249"/>
      <c r="BK271" s="2249"/>
      <c r="BL271" s="2249"/>
      <c r="BM271" s="2249"/>
      <c r="BN271" s="2249"/>
      <c r="BO271" s="2249"/>
      <c r="BP271" s="2249"/>
      <c r="BQ271" s="2249"/>
      <c r="BR271" s="2249"/>
      <c r="BS271" s="2249"/>
      <c r="BT271" s="2249"/>
      <c r="BU271" s="2249"/>
      <c r="BV271" s="2249"/>
      <c r="BW271" s="2249"/>
      <c r="BX271" s="2249"/>
      <c r="BY271" s="2249"/>
      <c r="BZ271" s="2249"/>
      <c r="CA271" s="2249"/>
      <c r="CB271" s="2249"/>
      <c r="CC271" s="2249"/>
      <c r="CD271" s="2249"/>
      <c r="CE271" s="2249"/>
      <c r="CF271" s="2249"/>
      <c r="CG271" s="2249"/>
      <c r="CH271" s="2249"/>
      <c r="CI271" s="2249"/>
      <c r="CJ271" s="2249"/>
      <c r="CK271" s="2249"/>
      <c r="CL271" s="2249"/>
      <c r="CM271" s="2249"/>
      <c r="CN271" s="2249"/>
      <c r="CO271" s="2249"/>
      <c r="CP271" s="2249"/>
      <c r="CQ271" s="2249"/>
      <c r="CR271" s="2249"/>
      <c r="CS271" s="2249"/>
      <c r="CT271" s="2249"/>
      <c r="CU271" s="2249"/>
      <c r="CV271" s="2249"/>
      <c r="CW271" s="2249"/>
      <c r="CX271" s="2249"/>
      <c r="CY271" s="2249"/>
      <c r="CZ271" s="2249"/>
      <c r="DA271" s="2249"/>
      <c r="DB271" s="2249"/>
      <c r="DC271" s="2249"/>
      <c r="DD271" s="2249"/>
      <c r="DE271" s="2249"/>
      <c r="DF271" s="2249"/>
    </row>
    <row r="272" spans="1:110" s="1715" customFormat="1" hidden="1" outlineLevel="1">
      <c r="A272" s="2249"/>
      <c r="B272" s="2249"/>
      <c r="C272" s="2249"/>
      <c r="D272" s="2249"/>
      <c r="E272" s="2249"/>
      <c r="F272" s="2249"/>
      <c r="G272" s="2249"/>
      <c r="H272" s="2249"/>
      <c r="I272" s="2249"/>
      <c r="J272" s="2249"/>
      <c r="K272" s="2249"/>
      <c r="L272" s="2249"/>
      <c r="M272" s="2249"/>
      <c r="N272" s="2249"/>
      <c r="O272" s="2249"/>
      <c r="P272" s="2249"/>
      <c r="Q272" s="2249"/>
      <c r="R272" s="2249"/>
      <c r="S272" s="2249"/>
      <c r="T272" s="2249"/>
      <c r="U272" s="2249"/>
      <c r="V272" s="2249"/>
      <c r="W272" s="2249"/>
      <c r="X272" s="2249"/>
      <c r="Y272" s="2249"/>
      <c r="Z272" s="2249"/>
      <c r="AA272" s="2249"/>
      <c r="AB272" s="2249"/>
      <c r="AC272" s="2249"/>
      <c r="AD272" s="2249"/>
      <c r="AE272" s="2249"/>
      <c r="AF272" s="2249"/>
      <c r="AG272" s="2249"/>
      <c r="AH272" s="2249"/>
      <c r="AI272" s="2249"/>
      <c r="AJ272" s="2249"/>
      <c r="AK272" s="2249"/>
      <c r="AL272" s="2249"/>
      <c r="AM272" s="2249"/>
      <c r="AN272" s="2249"/>
      <c r="AO272" s="2249"/>
      <c r="AP272" s="2249"/>
      <c r="AQ272" s="2249"/>
      <c r="AR272" s="2249"/>
      <c r="AS272" s="2249"/>
      <c r="AT272" s="2249"/>
      <c r="AU272" s="2249"/>
      <c r="AV272" s="2249"/>
      <c r="AW272" s="2249"/>
      <c r="AX272" s="2249"/>
      <c r="AY272" s="2249"/>
      <c r="AZ272" s="2249"/>
      <c r="BA272" s="2249"/>
      <c r="BB272" s="2249"/>
      <c r="BC272" s="1343"/>
      <c r="BD272" s="2249"/>
      <c r="BE272" s="2249"/>
      <c r="BF272" s="2249"/>
      <c r="BG272" s="2249"/>
      <c r="BH272" s="2249"/>
      <c r="BI272" s="2249"/>
      <c r="BJ272" s="2249"/>
      <c r="BK272" s="2249"/>
      <c r="BL272" s="2249"/>
      <c r="BM272" s="2249"/>
      <c r="BN272" s="2249"/>
      <c r="BO272" s="2249"/>
      <c r="BP272" s="2249"/>
      <c r="BQ272" s="2249"/>
      <c r="BR272" s="2249"/>
      <c r="BS272" s="2249"/>
      <c r="BT272" s="2249"/>
      <c r="BU272" s="2249"/>
      <c r="BV272" s="2249"/>
      <c r="BW272" s="2249"/>
      <c r="BX272" s="2249"/>
      <c r="BY272" s="2249"/>
      <c r="BZ272" s="2249"/>
      <c r="CA272" s="2249"/>
      <c r="CB272" s="2249"/>
      <c r="CC272" s="2249"/>
      <c r="CD272" s="2249"/>
      <c r="CE272" s="2249"/>
      <c r="CF272" s="2249"/>
      <c r="CG272" s="2249"/>
      <c r="CH272" s="2249"/>
      <c r="CI272" s="2249"/>
      <c r="CJ272" s="2249"/>
      <c r="CK272" s="2249"/>
      <c r="CL272" s="2249"/>
      <c r="CM272" s="2249"/>
      <c r="CN272" s="2249"/>
      <c r="CO272" s="2249"/>
      <c r="CP272" s="2249"/>
      <c r="CQ272" s="2249"/>
      <c r="CR272" s="2249"/>
      <c r="CS272" s="2249"/>
      <c r="CT272" s="2249"/>
      <c r="CU272" s="2249"/>
      <c r="CV272" s="2249"/>
      <c r="CW272" s="2249"/>
      <c r="CX272" s="2509">
        <f t="shared" ref="CX272:DD272" si="470">CX196-CX269</f>
        <v>79.710042753144307</v>
      </c>
      <c r="CY272" s="2509">
        <f t="shared" si="470"/>
        <v>83.21618804128039</v>
      </c>
      <c r="CZ272" s="2509">
        <f t="shared" si="470"/>
        <v>84.022165153449308</v>
      </c>
      <c r="DA272" s="2509">
        <f t="shared" si="470"/>
        <v>89.718900502290154</v>
      </c>
      <c r="DB272" s="2509">
        <f t="shared" si="470"/>
        <v>76.063968514388577</v>
      </c>
      <c r="DC272" s="2509">
        <f t="shared" si="470"/>
        <v>64.870956671618572</v>
      </c>
      <c r="DD272" s="2509">
        <f t="shared" si="470"/>
        <v>65.338804634459336</v>
      </c>
      <c r="DE272" s="2509">
        <f>DE196-DE269</f>
        <v>65.421484527132293</v>
      </c>
      <c r="DF272" s="2509"/>
    </row>
    <row r="273" spans="1:116" s="1715" customFormat="1" hidden="1" outlineLevel="1">
      <c r="A273" s="2249"/>
      <c r="B273" s="2249"/>
      <c r="C273" s="2249"/>
      <c r="D273" s="2249"/>
      <c r="E273" s="2249"/>
      <c r="F273" s="2249"/>
      <c r="G273" s="2249"/>
      <c r="H273" s="2249"/>
      <c r="I273" s="2249"/>
      <c r="J273" s="2249"/>
      <c r="K273" s="2249"/>
      <c r="L273" s="2249"/>
      <c r="M273" s="2249"/>
      <c r="N273" s="2249"/>
      <c r="O273" s="2249"/>
      <c r="P273" s="2249"/>
      <c r="Q273" s="2249"/>
      <c r="R273" s="2249"/>
      <c r="S273" s="2249"/>
      <c r="T273" s="2249"/>
      <c r="U273" s="2249"/>
      <c r="V273" s="2249"/>
      <c r="W273" s="2249"/>
      <c r="X273" s="2249"/>
      <c r="Y273" s="2249"/>
      <c r="Z273" s="2249"/>
      <c r="AA273" s="2249"/>
      <c r="AB273" s="2249"/>
      <c r="AC273" s="2249"/>
      <c r="AD273" s="2249"/>
      <c r="AE273" s="2249"/>
      <c r="AF273" s="2249"/>
      <c r="AG273" s="2249"/>
      <c r="AH273" s="2249"/>
      <c r="AI273" s="2249"/>
      <c r="AJ273" s="2249"/>
      <c r="AK273" s="2249"/>
      <c r="AL273" s="2249"/>
      <c r="AM273" s="2249"/>
      <c r="AN273" s="2249"/>
      <c r="AO273" s="2249"/>
      <c r="AP273" s="2249"/>
      <c r="AQ273" s="2249"/>
      <c r="AR273" s="2249"/>
      <c r="AS273" s="2249"/>
      <c r="AT273" s="2249"/>
      <c r="AU273" s="2249"/>
      <c r="AV273" s="2249"/>
      <c r="AW273" s="2249"/>
      <c r="AX273" s="2249"/>
      <c r="AY273" s="2249"/>
      <c r="AZ273" s="2249"/>
      <c r="BA273" s="2249"/>
      <c r="BB273" s="2249"/>
      <c r="BC273" s="1343"/>
      <c r="BD273" s="2249"/>
      <c r="BE273" s="2249"/>
      <c r="BF273" s="2249"/>
      <c r="BG273" s="2249"/>
      <c r="BH273" s="2249"/>
      <c r="BI273" s="2249"/>
      <c r="BJ273" s="2249"/>
      <c r="BK273" s="2249"/>
      <c r="BL273" s="2249"/>
      <c r="BM273" s="2249"/>
      <c r="BN273" s="2249"/>
      <c r="BO273" s="2249"/>
      <c r="BP273" s="2249"/>
      <c r="BQ273" s="2249"/>
      <c r="BR273" s="2249"/>
      <c r="BS273" s="2249"/>
      <c r="BT273" s="2249"/>
      <c r="BU273" s="2249"/>
      <c r="BV273" s="2249"/>
      <c r="BW273" s="2249"/>
      <c r="BX273" s="2249"/>
      <c r="BY273" s="2249"/>
      <c r="BZ273" s="2249"/>
      <c r="CA273" s="2249"/>
      <c r="CB273" s="2249"/>
      <c r="CC273" s="2249"/>
      <c r="CD273" s="2249"/>
      <c r="CE273" s="2249"/>
      <c r="CF273" s="2249"/>
      <c r="CG273" s="2249"/>
      <c r="CH273" s="2249"/>
      <c r="CI273" s="2249"/>
      <c r="CJ273" s="2249"/>
      <c r="CK273" s="2249"/>
      <c r="CL273" s="2249"/>
      <c r="CM273" s="2249"/>
      <c r="CN273" s="2249"/>
      <c r="CO273" s="2249"/>
      <c r="CP273" s="2249"/>
      <c r="CQ273" s="2249"/>
      <c r="CR273" s="2249"/>
      <c r="CS273" s="2249"/>
      <c r="CT273" s="2249"/>
      <c r="CU273" s="2249"/>
      <c r="CV273" s="2249"/>
      <c r="CW273" s="2249"/>
      <c r="CX273" s="2249"/>
      <c r="CY273" s="2510">
        <f t="shared" ref="CY273:DE273" si="471">CY272/CX272-1</f>
        <v>4.3986242724700864E-2</v>
      </c>
      <c r="CZ273" s="2510">
        <f t="shared" si="471"/>
        <v>9.6853404504553264E-3</v>
      </c>
      <c r="DA273" s="2510">
        <f t="shared" si="471"/>
        <v>6.7800387414879371E-2</v>
      </c>
      <c r="DB273" s="2510">
        <f t="shared" si="471"/>
        <v>-0.15219682710615723</v>
      </c>
      <c r="DC273" s="2510">
        <f t="shared" si="471"/>
        <v>-0.14715261458719031</v>
      </c>
      <c r="DD273" s="2510">
        <f t="shared" si="471"/>
        <v>7.2119787782543021E-3</v>
      </c>
      <c r="DE273" s="2510">
        <f t="shared" si="471"/>
        <v>1.2654025909337729E-3</v>
      </c>
      <c r="DF273" s="2510"/>
    </row>
    <row r="274" spans="1:116" s="1715" customFormat="1" hidden="1" outlineLevel="1">
      <c r="A274" s="2249"/>
      <c r="B274" s="2249"/>
      <c r="C274" s="2249"/>
      <c r="D274" s="2249"/>
      <c r="E274" s="2249"/>
      <c r="F274" s="2249"/>
      <c r="G274" s="2249"/>
      <c r="H274" s="2249"/>
      <c r="I274" s="2249"/>
      <c r="J274" s="2249"/>
      <c r="K274" s="2249"/>
      <c r="L274" s="2249"/>
      <c r="M274" s="2249"/>
      <c r="N274" s="2249"/>
      <c r="O274" s="2249"/>
      <c r="P274" s="2249"/>
      <c r="Q274" s="2249"/>
      <c r="R274" s="2249"/>
      <c r="S274" s="2249"/>
      <c r="T274" s="2249"/>
      <c r="U274" s="2249"/>
      <c r="V274" s="2249"/>
      <c r="W274" s="2249"/>
      <c r="X274" s="2249"/>
      <c r="Y274" s="2249"/>
      <c r="Z274" s="2249"/>
      <c r="AA274" s="2249"/>
      <c r="AB274" s="2249"/>
      <c r="AC274" s="2249"/>
      <c r="AD274" s="2249"/>
      <c r="AE274" s="2249"/>
      <c r="AF274" s="2249"/>
      <c r="AG274" s="2249"/>
      <c r="AH274" s="2249"/>
      <c r="AI274" s="2249"/>
      <c r="AJ274" s="2249"/>
      <c r="AK274" s="2249"/>
      <c r="AL274" s="2249"/>
      <c r="AM274" s="2249"/>
      <c r="AN274" s="2249"/>
      <c r="AO274" s="2249"/>
      <c r="AP274" s="2249"/>
      <c r="AQ274" s="2249"/>
      <c r="AR274" s="2249"/>
      <c r="AS274" s="2249"/>
      <c r="AT274" s="2249"/>
      <c r="AU274" s="2249"/>
      <c r="AV274" s="2249"/>
      <c r="AW274" s="2249"/>
      <c r="AX274" s="2249"/>
      <c r="AY274" s="2249"/>
      <c r="AZ274" s="2249"/>
      <c r="BA274" s="2249"/>
      <c r="BB274" s="2249"/>
      <c r="BC274" s="1343"/>
      <c r="BD274" s="2249"/>
      <c r="BE274" s="2249"/>
      <c r="BF274" s="2249"/>
      <c r="BG274" s="2249"/>
      <c r="BH274" s="2249"/>
      <c r="BI274" s="2249"/>
      <c r="BJ274" s="2249"/>
      <c r="BK274" s="2249"/>
      <c r="BL274" s="2249"/>
      <c r="BM274" s="2249"/>
      <c r="BN274" s="2249"/>
      <c r="BO274" s="2249"/>
      <c r="BP274" s="2249"/>
      <c r="BQ274" s="2249"/>
      <c r="BR274" s="2249"/>
      <c r="BS274" s="2249"/>
      <c r="BT274" s="2249"/>
      <c r="BU274" s="2249"/>
      <c r="BV274" s="2249"/>
      <c r="BW274" s="2249"/>
      <c r="BX274" s="2249"/>
      <c r="BY274" s="2249"/>
      <c r="BZ274" s="2249"/>
      <c r="CA274" s="2249"/>
      <c r="CB274" s="2249"/>
      <c r="CC274" s="2249"/>
      <c r="CD274" s="2249"/>
      <c r="CE274" s="2249"/>
      <c r="CF274" s="2249"/>
      <c r="CG274" s="2249"/>
      <c r="CH274" s="2249"/>
      <c r="CI274" s="2249"/>
      <c r="CJ274" s="2249"/>
      <c r="CK274" s="2249"/>
      <c r="CL274" s="2249"/>
      <c r="CM274" s="2249"/>
      <c r="CN274" s="2249"/>
      <c r="CO274" s="2249"/>
      <c r="CP274" s="2249"/>
      <c r="CQ274" s="2249"/>
      <c r="CR274" s="2249"/>
      <c r="CS274" s="2249"/>
      <c r="CT274" s="2249"/>
      <c r="CU274" s="2249"/>
      <c r="CV274" s="2249"/>
      <c r="CW274" s="2249"/>
      <c r="CX274" s="2249"/>
      <c r="CY274" s="2249"/>
      <c r="CZ274" s="2249"/>
      <c r="DA274" s="2249"/>
      <c r="DB274" s="2249"/>
      <c r="DC274" s="2249"/>
      <c r="DD274" s="2249"/>
      <c r="DE274" s="2249"/>
      <c r="DF274" s="2249"/>
    </row>
    <row r="275" spans="1:116" s="1715" customFormat="1" hidden="1" outlineLevel="1">
      <c r="A275" s="2249"/>
      <c r="B275" s="2249"/>
      <c r="C275" s="2249"/>
      <c r="D275" s="2249"/>
      <c r="E275" s="2249"/>
      <c r="F275" s="2249"/>
      <c r="G275" s="2249"/>
      <c r="H275" s="2249"/>
      <c r="I275" s="2249"/>
      <c r="J275" s="2249"/>
      <c r="K275" s="2249"/>
      <c r="L275" s="2249"/>
      <c r="M275" s="2249"/>
      <c r="N275" s="2249"/>
      <c r="O275" s="2249"/>
      <c r="P275" s="2249"/>
      <c r="Q275" s="2249"/>
      <c r="R275" s="2249"/>
      <c r="S275" s="2249"/>
      <c r="T275" s="2249"/>
      <c r="U275" s="2249"/>
      <c r="V275" s="2249"/>
      <c r="W275" s="2249"/>
      <c r="X275" s="2249"/>
      <c r="Y275" s="2249"/>
      <c r="Z275" s="2249"/>
      <c r="AA275" s="2249"/>
      <c r="AB275" s="2249"/>
      <c r="AC275" s="2249"/>
      <c r="AD275" s="2249"/>
      <c r="AE275" s="2249"/>
      <c r="AF275" s="2249"/>
      <c r="AG275" s="2249"/>
      <c r="AH275" s="2249"/>
      <c r="AI275" s="2249"/>
      <c r="AJ275" s="2249"/>
      <c r="AK275" s="2249"/>
      <c r="AL275" s="2249"/>
      <c r="AM275" s="2249"/>
      <c r="AN275" s="2249"/>
      <c r="AO275" s="2249"/>
      <c r="AP275" s="2249"/>
      <c r="AQ275" s="2249"/>
      <c r="AR275" s="2249"/>
      <c r="AS275" s="2249"/>
      <c r="AT275" s="2249"/>
      <c r="AU275" s="2249"/>
      <c r="AV275" s="2249"/>
      <c r="AW275" s="2249"/>
      <c r="AX275" s="2249"/>
      <c r="AY275" s="2249"/>
      <c r="AZ275" s="2249"/>
      <c r="BA275" s="2249"/>
      <c r="BB275" s="2249"/>
      <c r="BC275" s="1343"/>
      <c r="BD275" s="2249"/>
      <c r="BE275" s="2249"/>
      <c r="BF275" s="2249"/>
      <c r="BG275" s="2249"/>
      <c r="BH275" s="2249"/>
      <c r="BI275" s="2249"/>
      <c r="BJ275" s="2249"/>
      <c r="BK275" s="2249"/>
      <c r="BL275" s="2249"/>
      <c r="BM275" s="2249"/>
      <c r="BN275" s="2249"/>
      <c r="BO275" s="2249"/>
      <c r="BP275" s="2249"/>
      <c r="BQ275" s="2249"/>
      <c r="BR275" s="2249"/>
      <c r="BS275" s="2249"/>
      <c r="BT275" s="2249"/>
      <c r="BU275" s="2249"/>
      <c r="BV275" s="2249"/>
      <c r="BW275" s="2249"/>
      <c r="BX275" s="2249"/>
      <c r="BY275" s="2249"/>
      <c r="BZ275" s="2249"/>
      <c r="CA275" s="2249"/>
      <c r="CB275" s="2249"/>
      <c r="CC275" s="2249"/>
      <c r="CD275" s="2249"/>
      <c r="CE275" s="2249"/>
      <c r="CF275" s="2249"/>
      <c r="CG275" s="2249"/>
      <c r="CH275" s="2249"/>
      <c r="CI275" s="2249"/>
      <c r="CJ275" s="2249"/>
      <c r="CK275" s="2249"/>
      <c r="CL275" s="2249"/>
      <c r="CM275" s="2249"/>
      <c r="CN275" s="2249"/>
      <c r="CO275" s="2249"/>
      <c r="CP275" s="2249"/>
      <c r="CQ275" s="2249"/>
      <c r="CR275" s="2249"/>
      <c r="CS275" s="2249"/>
      <c r="CT275" s="2249"/>
      <c r="CU275" s="2249"/>
      <c r="CV275" s="2249"/>
      <c r="CW275" s="2249"/>
      <c r="CX275" s="2249"/>
      <c r="CY275" s="2249"/>
      <c r="CZ275" s="2249"/>
      <c r="DA275" s="2249"/>
      <c r="DB275" s="2249"/>
      <c r="DC275" s="2249"/>
      <c r="DD275" s="2249"/>
      <c r="DE275" s="2249"/>
      <c r="DF275" s="2249"/>
    </row>
    <row r="276" spans="1:116" s="1715" customFormat="1" hidden="1" outlineLevel="1">
      <c r="A276" s="2249"/>
      <c r="B276" s="2249"/>
      <c r="C276" s="2249"/>
      <c r="D276" s="2249"/>
      <c r="E276" s="2249"/>
      <c r="F276" s="2249"/>
      <c r="G276" s="2249"/>
      <c r="H276" s="2249"/>
      <c r="I276" s="2249"/>
      <c r="J276" s="2249"/>
      <c r="K276" s="2249"/>
      <c r="L276" s="2249"/>
      <c r="M276" s="2249"/>
      <c r="N276" s="2249"/>
      <c r="O276" s="2249"/>
      <c r="P276" s="2249"/>
      <c r="Q276" s="2249"/>
      <c r="R276" s="2249"/>
      <c r="S276" s="2249"/>
      <c r="T276" s="2249"/>
      <c r="U276" s="2249"/>
      <c r="V276" s="2249"/>
      <c r="W276" s="2249"/>
      <c r="X276" s="2249"/>
      <c r="Y276" s="2249"/>
      <c r="Z276" s="2249"/>
      <c r="AA276" s="2249"/>
      <c r="AB276" s="2249"/>
      <c r="AC276" s="2249"/>
      <c r="AD276" s="2249"/>
      <c r="AE276" s="2249"/>
      <c r="AF276" s="2249"/>
      <c r="AG276" s="2249"/>
      <c r="AH276" s="2249"/>
      <c r="AI276" s="2249"/>
      <c r="AJ276" s="2249"/>
      <c r="AK276" s="2249"/>
      <c r="AL276" s="2249"/>
      <c r="AM276" s="2249"/>
      <c r="AN276" s="2249"/>
      <c r="AO276" s="2249"/>
      <c r="AP276" s="2249"/>
      <c r="AQ276" s="2249"/>
      <c r="AR276" s="2249"/>
      <c r="AS276" s="2249"/>
      <c r="AT276" s="2249"/>
      <c r="AU276" s="2249"/>
      <c r="AV276" s="2249"/>
      <c r="AW276" s="2249"/>
      <c r="AX276" s="2249"/>
      <c r="AY276" s="2249"/>
      <c r="AZ276" s="2249"/>
      <c r="BA276" s="2249"/>
      <c r="BB276" s="2249"/>
      <c r="BC276" s="1343"/>
      <c r="BD276" s="2249"/>
      <c r="BE276" s="2249"/>
      <c r="BF276" s="2249"/>
      <c r="BG276" s="2249"/>
      <c r="BH276" s="2249"/>
      <c r="BI276" s="2249"/>
      <c r="BJ276" s="2249"/>
      <c r="BK276" s="2249"/>
      <c r="BL276" s="2249"/>
      <c r="BM276" s="2249"/>
      <c r="BN276" s="2249"/>
      <c r="BO276" s="2249"/>
      <c r="BP276" s="2249"/>
      <c r="BQ276" s="2249"/>
      <c r="BR276" s="2249"/>
      <c r="BS276" s="2249"/>
      <c r="BT276" s="2249"/>
      <c r="BU276" s="2249"/>
      <c r="BV276" s="2249"/>
      <c r="BW276" s="2249"/>
      <c r="BX276" s="2249"/>
      <c r="BY276" s="2249"/>
      <c r="BZ276" s="2249"/>
      <c r="CA276" s="2249"/>
      <c r="CB276" s="2249"/>
      <c r="CC276" s="2249"/>
      <c r="CD276" s="2249"/>
      <c r="CE276" s="2249"/>
      <c r="CF276" s="2249"/>
      <c r="CG276" s="2249"/>
      <c r="CH276" s="2249"/>
      <c r="CI276" s="2249"/>
      <c r="CJ276" s="2249"/>
      <c r="CK276" s="2249"/>
      <c r="CL276" s="2249"/>
      <c r="CM276" s="2249"/>
      <c r="CN276" s="2249"/>
      <c r="CO276" s="2249"/>
      <c r="CP276" s="2249"/>
      <c r="CQ276" s="2249"/>
      <c r="CR276" s="2249"/>
      <c r="CS276" s="2249"/>
      <c r="CT276" s="2249"/>
      <c r="CU276" s="2249"/>
      <c r="CV276" s="2249"/>
      <c r="CW276" s="2249"/>
      <c r="CX276" s="2249"/>
      <c r="CY276" s="2249"/>
      <c r="CZ276" s="2249"/>
      <c r="DA276" s="2249"/>
      <c r="DB276" s="2249"/>
      <c r="DC276" s="2249"/>
      <c r="DD276" s="2249"/>
      <c r="DE276" s="2249"/>
      <c r="DF276" s="2249"/>
    </row>
    <row r="277" spans="1:116" s="1715" customFormat="1" hidden="1" outlineLevel="1">
      <c r="A277" s="2249" t="s">
        <v>28</v>
      </c>
      <c r="B277" s="2249"/>
      <c r="C277" s="2249"/>
      <c r="D277" s="2249"/>
      <c r="E277" s="2249"/>
      <c r="F277" s="2249"/>
      <c r="G277" s="2249"/>
      <c r="H277" s="2249"/>
      <c r="I277" s="2249"/>
      <c r="J277" s="2249"/>
      <c r="K277" s="2249"/>
      <c r="L277" s="2249"/>
      <c r="M277" s="2249"/>
      <c r="N277" s="2249"/>
      <c r="O277" s="2249"/>
      <c r="P277" s="2249"/>
      <c r="Q277" s="2249"/>
      <c r="R277" s="2249"/>
      <c r="S277" s="2249"/>
      <c r="T277" s="2249"/>
      <c r="U277" s="2249"/>
      <c r="V277" s="2249"/>
      <c r="W277" s="2249"/>
      <c r="X277" s="2249"/>
      <c r="Y277" s="2249"/>
      <c r="Z277" s="2249"/>
      <c r="AA277" s="2249"/>
      <c r="AB277" s="2249"/>
      <c r="AC277" s="2249"/>
      <c r="AD277" s="2249"/>
      <c r="AE277" s="2249"/>
      <c r="AF277" s="2249"/>
      <c r="AG277" s="2249"/>
      <c r="AH277" s="2249"/>
      <c r="AI277" s="2249"/>
      <c r="AJ277" s="2249"/>
      <c r="AK277" s="2249"/>
      <c r="AL277" s="2249"/>
      <c r="AM277" s="2505">
        <f t="shared" ref="AM277:BI277" si="472">AM72+AM114+AM84+AM90+AM96+AM78+AM120+AM126+AM132+AM138+AM144-(AM63-AM53*AM22)</f>
        <v>39.276369492050982</v>
      </c>
      <c r="AN277" s="2505">
        <f t="shared" si="472"/>
        <v>35.841408167501477</v>
      </c>
      <c r="AO277" s="2505">
        <f t="shared" si="472"/>
        <v>36.724751139413954</v>
      </c>
      <c r="AP277" s="2505">
        <f t="shared" si="472"/>
        <v>34.279249737477343</v>
      </c>
      <c r="AQ277" s="2505">
        <f t="shared" si="472"/>
        <v>35.740984202271115</v>
      </c>
      <c r="AR277" s="2505">
        <f t="shared" si="472"/>
        <v>33.546441193962501</v>
      </c>
      <c r="AS277" s="2505">
        <f t="shared" si="472"/>
        <v>32.546896306559994</v>
      </c>
      <c r="AT277" s="2505">
        <f t="shared" si="472"/>
        <v>26.071131240355594</v>
      </c>
      <c r="AU277" s="2505">
        <f t="shared" si="472"/>
        <v>26.640754562038762</v>
      </c>
      <c r="AV277" s="2505">
        <f t="shared" si="472"/>
        <v>26.897603177250012</v>
      </c>
      <c r="AW277" s="2505">
        <f t="shared" si="472"/>
        <v>27.806699310000006</v>
      </c>
      <c r="AX277" s="2505">
        <f t="shared" si="472"/>
        <v>23.751566461999992</v>
      </c>
      <c r="AY277" s="2505">
        <f t="shared" si="472"/>
        <v>25.031878257577993</v>
      </c>
      <c r="AZ277" s="2505"/>
      <c r="BA277" s="2505">
        <f t="shared" si="472"/>
        <v>27.098478522455665</v>
      </c>
      <c r="BB277" s="2505">
        <f t="shared" si="472"/>
        <v>27.380494496012133</v>
      </c>
      <c r="BC277" s="2629">
        <f t="shared" si="472"/>
        <v>23.241353524757862</v>
      </c>
      <c r="BD277" s="2505">
        <f t="shared" si="472"/>
        <v>24.621093802942553</v>
      </c>
      <c r="BE277" s="2505"/>
      <c r="BF277" s="2505">
        <f t="shared" si="472"/>
        <v>28.106146392315374</v>
      </c>
      <c r="BG277" s="2505">
        <f t="shared" si="472"/>
        <v>28.572007830784521</v>
      </c>
      <c r="BH277" s="2505">
        <f t="shared" si="472"/>
        <v>24.378899127244892</v>
      </c>
      <c r="BI277" s="2505">
        <f t="shared" si="472"/>
        <v>25.401307949654402</v>
      </c>
      <c r="BJ277" s="2505"/>
      <c r="BK277" s="2505">
        <f>BK72+BK114+BK84+BK90+BK96+BK78+BK120+BK126+BK132+BK138+BK144-(BK63-BK53*BK22)</f>
        <v>27.825084928392219</v>
      </c>
      <c r="BL277" s="2505">
        <f>BL72+BL114+BL84+BL90+BL96+BL78+BL120+BL126+BL132+BL138+BL144-(BL63-BL53*BL22)</f>
        <v>28.286287752476682</v>
      </c>
      <c r="BM277" s="2505">
        <f>BM72+BM114+BM84+BM90+BM96+BM78+BM120+BM126+BM132+BM138+BM144-(BM63-BM53*BM22)</f>
        <v>24.13511013597244</v>
      </c>
      <c r="BN277" s="2505">
        <f>BN72+BN114+BN84+BN90+BN96+BN78+BN120+BN126+BN132+BN138+BN144-(BN63-BN53*BN22)</f>
        <v>25.147294870157864</v>
      </c>
      <c r="BO277" s="2505"/>
      <c r="BP277" s="2505">
        <f>BP72+BP114+BP84+BP90+BP96+BP78+BP120+BP126+BP132+BP138+BP144-(BP63-BP53*BP22)</f>
        <v>27.268583229824376</v>
      </c>
      <c r="BQ277" s="2505">
        <f>BQ72+BQ114+BQ84+BQ90+BQ96+BQ78+BQ120+BQ126+BQ132+BQ138+BQ144-(BQ63-BQ53*BQ22)</f>
        <v>27.72056199742714</v>
      </c>
      <c r="BR277" s="2505">
        <f>BR72+BR114+BR84+BR90+BR96+BR78+BR120+BR126+BR132+BR138+BR144-(BR63-BR53*BR22)</f>
        <v>23.652407933252995</v>
      </c>
      <c r="BS277" s="2505">
        <f>BS72+BS114+BS84+BS90+BS96+BS78+BS120+BS126+BS132+BS138+BS144-(BS63-BS53*BS22)</f>
        <v>24.644348972754702</v>
      </c>
      <c r="BT277" s="2505"/>
      <c r="BU277" s="2505">
        <f>BU72+BU114+BU84+BU90+BU96+BU78+BU120+BU126+BU132+BU138+BU144-(BU63-BU53*BU22)</f>
        <v>26.723211565227885</v>
      </c>
      <c r="BV277" s="2505">
        <f>BV72+BV114+BV84+BV90+BV96+BV78+BV120+BV126+BV132+BV138+BV144-(BV63-BV53*BV22)</f>
        <v>27.166150757478594</v>
      </c>
      <c r="BW277" s="2505">
        <f>BW72+BW114+BW84+BW90+BW96+BW78+BW120+BW126+BW132+BW138+BW144-(BW63-BW53*BW22)</f>
        <v>23.17935977458794</v>
      </c>
      <c r="BX277" s="2505">
        <f>BX72+BX114+BX84+BX90+BX96+BX78+BX120+BX126+BX132+BX138+BX144-(BX63-BX53*BX22)</f>
        <v>24.151461993299613</v>
      </c>
      <c r="BY277" s="2249"/>
      <c r="BZ277" s="2249"/>
      <c r="CA277" s="2249"/>
      <c r="CB277" s="2249"/>
      <c r="CC277" s="2505">
        <f t="shared" ref="CC277:CL277" si="473">CC72+CC114+CC84+CC90+CC96+CC78+CC120+CC126+CC132+CC138+CC144-(CC63-CC53*CC22)</f>
        <v>139.38024050640533</v>
      </c>
      <c r="CD277" s="2505">
        <f t="shared" si="473"/>
        <v>182.07663423175282</v>
      </c>
      <c r="CE277" s="2505">
        <f t="shared" si="473"/>
        <v>173.2276054193768</v>
      </c>
      <c r="CF277" s="2505">
        <f t="shared" si="473"/>
        <v>173.69470299511596</v>
      </c>
      <c r="CG277" s="2505">
        <f t="shared" si="473"/>
        <v>164.00811145197335</v>
      </c>
      <c r="CH277" s="2505">
        <f t="shared" si="473"/>
        <v>141.02069479686298</v>
      </c>
      <c r="CI277" s="2505">
        <f t="shared" si="473"/>
        <v>116.18022330291686</v>
      </c>
      <c r="CJ277" s="2505">
        <f t="shared" si="473"/>
        <v>100.835247206828</v>
      </c>
      <c r="CK277" s="2505">
        <f t="shared" si="473"/>
        <v>99.874519974927267</v>
      </c>
      <c r="CL277" s="2505">
        <f t="shared" si="473"/>
        <v>103.56089875306445</v>
      </c>
      <c r="CM277" s="2505">
        <f>CM72+CM114+CM84+CM90+CM96+CM78+CM120+CM126+CM132+CM138+CM144-(CM63-CM53*CM22)</f>
        <v>103.20334998944921</v>
      </c>
      <c r="CN277" s="2505"/>
      <c r="CO277" s="2505"/>
      <c r="CP277" s="2249"/>
      <c r="CQ277" s="2249"/>
      <c r="CR277" s="2249"/>
      <c r="CS277" s="2249"/>
      <c r="CT277" s="2249"/>
      <c r="CU277" s="2249"/>
      <c r="CV277" s="2249"/>
      <c r="CW277" s="2249"/>
      <c r="CX277" s="2249"/>
      <c r="CY277" s="2249"/>
      <c r="CZ277" s="2505">
        <f t="shared" ref="CZ277:DE277" si="474">CZ72+CZ114+CZ84+CZ90+CZ96+CZ78+CZ120+CZ126+CZ132+CZ138+CZ144-(CZ63-CZ53*CZ22)</f>
        <v>150.04173961742535</v>
      </c>
      <c r="DA277" s="2505">
        <f t="shared" si="474"/>
        <v>136.11357144027099</v>
      </c>
      <c r="DB277" s="2505">
        <f t="shared" si="474"/>
        <v>107.41618828964437</v>
      </c>
      <c r="DC277" s="2505">
        <f t="shared" si="474"/>
        <v>103.26241773804578</v>
      </c>
      <c r="DD277" s="2505">
        <f t="shared" si="474"/>
        <v>104.54060155080032</v>
      </c>
      <c r="DE277" s="2505">
        <f t="shared" si="474"/>
        <v>106.06211631344439</v>
      </c>
      <c r="DF277" s="2505"/>
    </row>
    <row r="278" spans="1:116" s="1715" customFormat="1" hidden="1" outlineLevel="1">
      <c r="A278" s="2249" t="s">
        <v>258</v>
      </c>
      <c r="B278" s="2249"/>
      <c r="C278" s="2249"/>
      <c r="D278" s="2249"/>
      <c r="E278" s="2249"/>
      <c r="F278" s="2249"/>
      <c r="G278" s="2249"/>
      <c r="H278" s="2249"/>
      <c r="I278" s="2249"/>
      <c r="J278" s="2249"/>
      <c r="K278" s="2249"/>
      <c r="L278" s="2249"/>
      <c r="M278" s="2249"/>
      <c r="N278" s="2249"/>
      <c r="O278" s="2249"/>
      <c r="P278" s="2249"/>
      <c r="Q278" s="2249"/>
      <c r="R278" s="2249"/>
      <c r="S278" s="2249"/>
      <c r="T278" s="2249"/>
      <c r="U278" s="2249"/>
      <c r="V278" s="2249"/>
      <c r="W278" s="2249"/>
      <c r="X278" s="2249"/>
      <c r="Y278" s="2249"/>
      <c r="Z278" s="2249"/>
      <c r="AA278" s="2249"/>
      <c r="AB278" s="2249"/>
      <c r="AC278" s="2249"/>
      <c r="AD278" s="2249"/>
      <c r="AE278" s="2249"/>
      <c r="AF278" s="2249"/>
      <c r="AG278" s="2249"/>
      <c r="AH278" s="2249"/>
      <c r="AI278" s="2249"/>
      <c r="AJ278" s="2249"/>
      <c r="AK278" s="2249"/>
      <c r="AL278" s="2249"/>
      <c r="AM278" s="2511"/>
      <c r="AN278" s="2511"/>
      <c r="AO278" s="2511"/>
      <c r="AP278" s="2511"/>
      <c r="AQ278" s="2511">
        <f>AQ277/AM277-1</f>
        <v>-9.0013036731803386E-2</v>
      </c>
      <c r="AR278" s="2511">
        <f>AR277/AN277-1</f>
        <v>-6.4031160907899065E-2</v>
      </c>
      <c r="AS278" s="2511">
        <f>AS277/AO277-1</f>
        <v>-0.11376128369104666</v>
      </c>
      <c r="AT278" s="2511">
        <f t="shared" ref="AT278:AY278" si="475">AT277/AP277-1</f>
        <v>-0.23944860403837398</v>
      </c>
      <c r="AU278" s="2511">
        <f t="shared" si="475"/>
        <v>-0.25461608971736405</v>
      </c>
      <c r="AV278" s="2511">
        <f t="shared" si="475"/>
        <v>-0.19819801385993541</v>
      </c>
      <c r="AW278" s="2511">
        <f t="shared" si="475"/>
        <v>-0.14564205913559192</v>
      </c>
      <c r="AX278" s="2511">
        <f t="shared" si="475"/>
        <v>-8.897062260056976E-2</v>
      </c>
      <c r="AY278" s="2511">
        <f t="shared" si="475"/>
        <v>-6.0391544117646911E-2</v>
      </c>
      <c r="AZ278" s="2511"/>
      <c r="BA278" s="2511">
        <f>BA277/AV277-1</f>
        <v>7.4681503731734988E-3</v>
      </c>
      <c r="BB278" s="2511">
        <f>BB277/AW277-1</f>
        <v>-1.5327414780027415E-2</v>
      </c>
      <c r="BC278" s="2631">
        <f>BC277/AX277-1</f>
        <v>-2.1481233166596336E-2</v>
      </c>
      <c r="BD278" s="2511">
        <f>BD277/AY277-1</f>
        <v>-1.6410452719866631E-2</v>
      </c>
      <c r="BE278" s="2511"/>
      <c r="BF278" s="2511">
        <f>BF277/BA277-1</f>
        <v>3.7185403934198336E-2</v>
      </c>
      <c r="BG278" s="2511">
        <f>BG277/BB277-1</f>
        <v>4.3516866904866447E-2</v>
      </c>
      <c r="BH278" s="2511">
        <f>BH277/BC277-1</f>
        <v>4.8944894765929225E-2</v>
      </c>
      <c r="BI278" s="2511">
        <f>BI277/BD277-1</f>
        <v>3.1688849933166008E-2</v>
      </c>
      <c r="BJ278" s="2511"/>
      <c r="BK278" s="2511">
        <f>BK277/BF277-1</f>
        <v>-1.0000000000000009E-2</v>
      </c>
      <c r="BL278" s="2511">
        <f>BL277/BG277-1</f>
        <v>-9.9999999999997868E-3</v>
      </c>
      <c r="BM278" s="2511">
        <f>BM277/BH277-1</f>
        <v>-1.000000000000012E-2</v>
      </c>
      <c r="BN278" s="2511">
        <f>BN277/BI277-1</f>
        <v>-9.9999999999997868E-3</v>
      </c>
      <c r="BO278" s="2511"/>
      <c r="BP278" s="2511">
        <f>BP277/BK277-1</f>
        <v>-1.9999999999999907E-2</v>
      </c>
      <c r="BQ278" s="2511">
        <f>BQ277/BL277-1</f>
        <v>-2.000000000000024E-2</v>
      </c>
      <c r="BR278" s="2511">
        <f>BR277/BM277-1</f>
        <v>-1.9999999999999796E-2</v>
      </c>
      <c r="BS278" s="2511">
        <f>BS277/BN277-1</f>
        <v>-2.000000000000024E-2</v>
      </c>
      <c r="BT278" s="2511"/>
      <c r="BU278" s="2511">
        <f>BU277/BP277-1</f>
        <v>-2.0000000000000129E-2</v>
      </c>
      <c r="BV278" s="2511">
        <f>BV277/BQ277-1</f>
        <v>-2.0000000000000129E-2</v>
      </c>
      <c r="BW278" s="2511">
        <f>BW277/BR277-1</f>
        <v>-1.9999999999999796E-2</v>
      </c>
      <c r="BX278" s="2511">
        <f>BX277/BS277-1</f>
        <v>-1.9999999999999796E-2</v>
      </c>
      <c r="BY278" s="2249"/>
      <c r="BZ278" s="2249"/>
      <c r="CA278" s="2249"/>
      <c r="CB278" s="2249"/>
      <c r="CC278" s="2249"/>
      <c r="CD278" s="2511">
        <f t="shared" ref="CD278:CM278" si="476">CD277/CC277-1</f>
        <v>0.30633032035401997</v>
      </c>
      <c r="CE278" s="2511">
        <f t="shared" si="476"/>
        <v>-4.8600573322948759E-2</v>
      </c>
      <c r="CF278" s="2511">
        <f t="shared" si="476"/>
        <v>2.6964384493357585E-3</v>
      </c>
      <c r="CG278" s="2511">
        <f t="shared" si="476"/>
        <v>-5.5767915636523391E-2</v>
      </c>
      <c r="CH278" s="2511">
        <f t="shared" si="476"/>
        <v>-0.14016024239046121</v>
      </c>
      <c r="CI278" s="2511">
        <f t="shared" si="476"/>
        <v>-0.17614770321283868</v>
      </c>
      <c r="CJ278" s="2511">
        <f t="shared" si="476"/>
        <v>-0.13207907215051462</v>
      </c>
      <c r="CK278" s="2511">
        <f t="shared" si="476"/>
        <v>-9.5276925332482554E-3</v>
      </c>
      <c r="CL278" s="2511">
        <f t="shared" si="476"/>
        <v>3.6910102587352833E-2</v>
      </c>
      <c r="CM278" s="2511">
        <f t="shared" si="476"/>
        <v>-3.4525459697660743E-3</v>
      </c>
      <c r="CN278" s="2511"/>
      <c r="CO278" s="2511"/>
      <c r="CP278" s="2249"/>
      <c r="CQ278" s="2249"/>
      <c r="CR278" s="2249"/>
      <c r="CS278" s="2249"/>
      <c r="CT278" s="2249"/>
      <c r="CU278" s="2249"/>
      <c r="CV278" s="2249"/>
      <c r="CW278" s="2249"/>
      <c r="CX278" s="2249"/>
      <c r="CY278" s="2249"/>
      <c r="CZ278" s="2505"/>
      <c r="DA278" s="2511">
        <f>DA277/CZ277-1</f>
        <v>-9.2828623639450214E-2</v>
      </c>
      <c r="DB278" s="2511">
        <f>DB277/DA277-1</f>
        <v>-0.21083410601138719</v>
      </c>
      <c r="DC278" s="2511">
        <f>DC277/DB277-1</f>
        <v>-3.8669874790176584E-2</v>
      </c>
      <c r="DD278" s="2511">
        <f>DD277/DC277-1</f>
        <v>1.2378015552541255E-2</v>
      </c>
      <c r="DE278" s="2511">
        <f>DE277/DD277-1</f>
        <v>1.4554295078402779E-2</v>
      </c>
      <c r="DF278" s="2511"/>
    </row>
    <row r="279" spans="1:116" s="1715" customFormat="1" hidden="1" outlineLevel="1">
      <c r="A279" s="2249" t="s">
        <v>29</v>
      </c>
      <c r="B279" s="2249"/>
      <c r="C279" s="2249"/>
      <c r="D279" s="2249"/>
      <c r="E279" s="2249"/>
      <c r="F279" s="2249"/>
      <c r="G279" s="2249"/>
      <c r="H279" s="2249"/>
      <c r="I279" s="2249"/>
      <c r="J279" s="2249"/>
      <c r="K279" s="2249"/>
      <c r="L279" s="2249"/>
      <c r="M279" s="2249"/>
      <c r="N279" s="2249"/>
      <c r="O279" s="2249"/>
      <c r="P279" s="2249"/>
      <c r="Q279" s="2249"/>
      <c r="R279" s="2249"/>
      <c r="S279" s="2249"/>
      <c r="T279" s="2249"/>
      <c r="U279" s="2249"/>
      <c r="V279" s="2249"/>
      <c r="W279" s="2249"/>
      <c r="X279" s="2249"/>
      <c r="Y279" s="2249"/>
      <c r="Z279" s="2249"/>
      <c r="AA279" s="2249"/>
      <c r="AB279" s="2249"/>
      <c r="AC279" s="2249"/>
      <c r="AD279" s="2249"/>
      <c r="AE279" s="2249"/>
      <c r="AF279" s="2249"/>
      <c r="AG279" s="2249"/>
      <c r="AH279" s="2249"/>
      <c r="AI279" s="2249"/>
      <c r="AJ279" s="2249"/>
      <c r="AK279" s="2249"/>
      <c r="AL279" s="2249"/>
      <c r="AM279" s="2505">
        <f t="shared" ref="AM279:BI279" si="477">AM102+AM108+AM156+AM162-AM22*AM52</f>
        <v>16.83272978230756</v>
      </c>
      <c r="AN279" s="2505">
        <f t="shared" si="477"/>
        <v>21.874224952468701</v>
      </c>
      <c r="AO279" s="2505">
        <f t="shared" si="477"/>
        <v>26.922997802377996</v>
      </c>
      <c r="AP279" s="2505">
        <f t="shared" si="477"/>
        <v>22.85283315831823</v>
      </c>
      <c r="AQ279" s="2505">
        <f t="shared" si="477"/>
        <v>20.544030289494426</v>
      </c>
      <c r="AR279" s="2505">
        <f t="shared" si="477"/>
        <v>20.956306481037501</v>
      </c>
      <c r="AS279" s="2505">
        <f t="shared" si="477"/>
        <v>25.36573057343999</v>
      </c>
      <c r="AT279" s="2505">
        <f t="shared" si="477"/>
        <v>20.484460260279395</v>
      </c>
      <c r="AU279" s="2505">
        <f t="shared" si="477"/>
        <v>17.760503041359172</v>
      </c>
      <c r="AV279" s="2505">
        <f t="shared" si="477"/>
        <v>19.081205672750006</v>
      </c>
      <c r="AW279" s="2505">
        <f t="shared" si="477"/>
        <v>18.537799540000009</v>
      </c>
      <c r="AX279" s="2505">
        <f t="shared" si="477"/>
        <v>15.185427737999998</v>
      </c>
      <c r="AY279" s="2505">
        <f t="shared" si="477"/>
        <v>15.670362811654512</v>
      </c>
      <c r="AZ279" s="2505"/>
      <c r="BA279" s="2505">
        <f t="shared" si="477"/>
        <v>16.608744900859925</v>
      </c>
      <c r="BB279" s="2505">
        <f t="shared" si="477"/>
        <v>17.505562054827429</v>
      </c>
      <c r="BC279" s="2629">
        <f t="shared" si="477"/>
        <v>14.859226024025519</v>
      </c>
      <c r="BD279" s="2505">
        <f t="shared" si="477"/>
        <v>15.741355054340325</v>
      </c>
      <c r="BE279" s="2505"/>
      <c r="BF279" s="2505">
        <f t="shared" si="477"/>
        <v>17.226347788838453</v>
      </c>
      <c r="BG279" s="2505">
        <f t="shared" si="477"/>
        <v>17.511875767255031</v>
      </c>
      <c r="BH279" s="2505">
        <f t="shared" si="477"/>
        <v>14.941905916698481</v>
      </c>
      <c r="BI279" s="2505">
        <f t="shared" si="477"/>
        <v>15.568543582046249</v>
      </c>
      <c r="BJ279" s="2505"/>
      <c r="BK279" s="2505">
        <f>BK102+BK108+BK156+BK162-BK22*BK52</f>
        <v>17.054084310950071</v>
      </c>
      <c r="BL279" s="2505">
        <f>BL102+BL108+BL156+BL162-BL22*BL52</f>
        <v>17.336757009582481</v>
      </c>
      <c r="BM279" s="2505">
        <f>BM102+BM108+BM156+BM162-BM22*BM52</f>
        <v>14.792486857531497</v>
      </c>
      <c r="BN279" s="2505">
        <f>BN102+BN108+BN156+BN162-BN22*BN52</f>
        <v>15.412858146225789</v>
      </c>
      <c r="BO279" s="2505"/>
      <c r="BP279" s="2505">
        <f>BP102+BP108+BP156+BP162-BP22*BP52</f>
        <v>16.713002624731072</v>
      </c>
      <c r="BQ279" s="2505">
        <f>BQ102+BQ108+BQ156+BQ162-BQ22*BQ52</f>
        <v>16.99002186939083</v>
      </c>
      <c r="BR279" s="2505">
        <f>BR102+BR108+BR156+BR162-BR22*BR52</f>
        <v>14.496637120380868</v>
      </c>
      <c r="BS279" s="2505">
        <f>BS102+BS108+BS156+BS162-BS22*BS52</f>
        <v>15.104600983301269</v>
      </c>
      <c r="BT279" s="2505"/>
      <c r="BU279" s="2505">
        <f>BU102+BU108+BU156+BU162-BU22*BU52</f>
        <v>16.378742572236447</v>
      </c>
      <c r="BV279" s="2505">
        <f>BV102+BV108+BV156+BV162-BV22*BV52</f>
        <v>16.650221432003011</v>
      </c>
      <c r="BW279" s="2505">
        <f>BW102+BW108+BW156+BW162-BW22*BW52</f>
        <v>14.206704377973253</v>
      </c>
      <c r="BX279" s="2505">
        <f>BX102+BX108+BX156+BX162-BX22*BX52</f>
        <v>14.802508963635248</v>
      </c>
      <c r="BY279" s="2249"/>
      <c r="BZ279" s="2249"/>
      <c r="CA279" s="2249"/>
      <c r="CB279" s="2249"/>
      <c r="CC279" s="2505">
        <f t="shared" ref="CC279:CL279" si="478">CC102+CC108+CC156+CC162-CC22*CC52</f>
        <v>66.600148001809202</v>
      </c>
      <c r="CD279" s="2505">
        <f t="shared" si="478"/>
        <v>69.876009712872616</v>
      </c>
      <c r="CE279" s="2505">
        <f t="shared" si="478"/>
        <v>76.926188533340891</v>
      </c>
      <c r="CF279" s="2505">
        <f t="shared" si="478"/>
        <v>81.278377296613371</v>
      </c>
      <c r="CG279" s="2505">
        <f t="shared" si="478"/>
        <v>79.538738723389542</v>
      </c>
      <c r="CH279" s="2505">
        <f t="shared" si="478"/>
        <v>93.759784652460255</v>
      </c>
      <c r="CI279" s="2505">
        <f t="shared" si="478"/>
        <v>87.192000356116054</v>
      </c>
      <c r="CJ279" s="2505">
        <f t="shared" si="478"/>
        <v>71.127295762404529</v>
      </c>
      <c r="CK279" s="2505">
        <f t="shared" si="478"/>
        <v>67.181788405294142</v>
      </c>
      <c r="CL279" s="2505">
        <f t="shared" si="478"/>
        <v>68.146135601772954</v>
      </c>
      <c r="CM279" s="2505">
        <f>CM102+CM108+CM156+CM162-CM22*CM52</f>
        <v>68.050359423576666</v>
      </c>
      <c r="CN279" s="2505"/>
      <c r="CO279" s="2505"/>
      <c r="CP279" s="2249"/>
      <c r="CQ279" s="2249"/>
      <c r="CR279" s="2249"/>
      <c r="CS279" s="2249"/>
      <c r="CT279" s="2249"/>
      <c r="CU279" s="2249"/>
      <c r="CV279" s="2249"/>
      <c r="CW279" s="2249"/>
      <c r="CX279" s="2249"/>
      <c r="CY279" s="2249"/>
      <c r="CZ279" s="2505">
        <f t="shared" ref="CZ279:DE279" si="479">CZ102+CZ108+CZ156+CZ162-CZ22*CZ52</f>
        <v>84.022165153449308</v>
      </c>
      <c r="DA279" s="2505">
        <f t="shared" si="479"/>
        <v>89.718900502290154</v>
      </c>
      <c r="DB279" s="2505">
        <f t="shared" si="479"/>
        <v>75.863968514388574</v>
      </c>
      <c r="DC279" s="2505">
        <f t="shared" si="479"/>
        <v>64.970097505341855</v>
      </c>
      <c r="DD279" s="2505">
        <f t="shared" si="479"/>
        <v>65.338804634459336</v>
      </c>
      <c r="DE279" s="2505">
        <f t="shared" si="479"/>
        <v>65.037515366975242</v>
      </c>
      <c r="DF279" s="2505"/>
    </row>
    <row r="280" spans="1:116" s="1715" customFormat="1" hidden="1" outlineLevel="1">
      <c r="A280" s="2249" t="s">
        <v>258</v>
      </c>
      <c r="B280" s="2249"/>
      <c r="C280" s="2249"/>
      <c r="D280" s="2249"/>
      <c r="E280" s="2249"/>
      <c r="F280" s="2249"/>
      <c r="G280" s="2249"/>
      <c r="H280" s="2249"/>
      <c r="I280" s="2249"/>
      <c r="J280" s="2249"/>
      <c r="K280" s="2249"/>
      <c r="L280" s="2249"/>
      <c r="M280" s="2249"/>
      <c r="N280" s="2249"/>
      <c r="O280" s="2249"/>
      <c r="P280" s="2249"/>
      <c r="Q280" s="2249"/>
      <c r="R280" s="2249"/>
      <c r="S280" s="2249"/>
      <c r="T280" s="2249"/>
      <c r="U280" s="2249"/>
      <c r="V280" s="2249"/>
      <c r="W280" s="2249"/>
      <c r="X280" s="2249"/>
      <c r="Y280" s="2249"/>
      <c r="Z280" s="2249"/>
      <c r="AA280" s="2249"/>
      <c r="AB280" s="2249"/>
      <c r="AC280" s="2249"/>
      <c r="AD280" s="2249"/>
      <c r="AE280" s="2249"/>
      <c r="AF280" s="2249"/>
      <c r="AG280" s="2249"/>
      <c r="AH280" s="2249"/>
      <c r="AI280" s="2249"/>
      <c r="AJ280" s="2249"/>
      <c r="AK280" s="2249"/>
      <c r="AL280" s="2249"/>
      <c r="AM280" s="2511"/>
      <c r="AN280" s="2511"/>
      <c r="AO280" s="2511"/>
      <c r="AP280" s="2511"/>
      <c r="AQ280" s="2511">
        <f>AQ279/AM279-1</f>
        <v>0.22048120270353988</v>
      </c>
      <c r="AR280" s="2511">
        <f>AR279/AN279-1</f>
        <v>-4.1963474062545192E-2</v>
      </c>
      <c r="AS280" s="2511">
        <f>AS279/AO279-1</f>
        <v>-5.7841524200564987E-2</v>
      </c>
      <c r="AT280" s="2511">
        <f t="shared" ref="AT280:AY280" si="480">AT279/AP279-1</f>
        <v>-0.10363585475951231</v>
      </c>
      <c r="AU280" s="2511">
        <f t="shared" si="480"/>
        <v>-0.13549080725210294</v>
      </c>
      <c r="AV280" s="2511">
        <f t="shared" si="480"/>
        <v>-8.9476683784148525E-2</v>
      </c>
      <c r="AW280" s="2511">
        <f t="shared" si="480"/>
        <v>-0.26917935652085601</v>
      </c>
      <c r="AX280" s="2511">
        <f t="shared" si="480"/>
        <v>-0.25868548426216242</v>
      </c>
      <c r="AY280" s="2511">
        <f t="shared" si="480"/>
        <v>-0.11768474264705886</v>
      </c>
      <c r="AZ280" s="2511"/>
      <c r="BA280" s="2511">
        <f>BA279/AV279-1</f>
        <v>-0.1295757099574173</v>
      </c>
      <c r="BB280" s="2511">
        <f>BB279/AW279-1</f>
        <v>-5.568284860051842E-2</v>
      </c>
      <c r="BC280" s="2631">
        <f>BC279/AX279-1</f>
        <v>-2.1481233166596447E-2</v>
      </c>
      <c r="BD280" s="2511">
        <f>BD279/AY279-1</f>
        <v>4.5303509267196063E-3</v>
      </c>
      <c r="BE280" s="2511"/>
      <c r="BF280" s="2511">
        <f>BF279/BA279-1</f>
        <v>3.7185403934198114E-2</v>
      </c>
      <c r="BG280" s="2511">
        <f>BG279/BB279-1</f>
        <v>3.6066893526909283E-4</v>
      </c>
      <c r="BH280" s="2511">
        <f>BH279/BC279-1</f>
        <v>5.5642126002577452E-3</v>
      </c>
      <c r="BI280" s="2511">
        <f>BI279/BD279-1</f>
        <v>-1.0978182735699504E-2</v>
      </c>
      <c r="BJ280" s="2511"/>
      <c r="BK280" s="2511">
        <f>BK279/BF279-1</f>
        <v>-9.9999999999998979E-3</v>
      </c>
      <c r="BL280" s="2511">
        <f>BL279/BG279-1</f>
        <v>-1.0000000000000009E-2</v>
      </c>
      <c r="BM280" s="2511">
        <f>BM279/BH279-1</f>
        <v>-1.0000000000000009E-2</v>
      </c>
      <c r="BN280" s="2511">
        <f>BN279/BI279-1</f>
        <v>-9.9999999999998979E-3</v>
      </c>
      <c r="BO280" s="2511"/>
      <c r="BP280" s="2511">
        <f>BP279/BK279-1</f>
        <v>-1.9999999999999907E-2</v>
      </c>
      <c r="BQ280" s="2511">
        <f>BQ279/BL279-1</f>
        <v>-2.0000000000000129E-2</v>
      </c>
      <c r="BR280" s="2511">
        <f>BR279/BM279-1</f>
        <v>-1.9999999999999907E-2</v>
      </c>
      <c r="BS280" s="2511">
        <f>BS279/BN279-1</f>
        <v>-2.000000000000024E-2</v>
      </c>
      <c r="BT280" s="2511"/>
      <c r="BU280" s="2511">
        <f>BU279/BP279-1</f>
        <v>-2.0000000000000129E-2</v>
      </c>
      <c r="BV280" s="2511">
        <f>BV279/BQ279-1</f>
        <v>-2.0000000000000129E-2</v>
      </c>
      <c r="BW280" s="2511">
        <f>BW279/BR279-1</f>
        <v>-1.9999999999999796E-2</v>
      </c>
      <c r="BX280" s="2511">
        <f>BX279/BS279-1</f>
        <v>-1.9999999999999796E-2</v>
      </c>
      <c r="BY280" s="2249"/>
      <c r="BZ280" s="2249"/>
      <c r="CA280" s="2249"/>
      <c r="CB280" s="2249"/>
      <c r="CC280" s="2249"/>
      <c r="CD280" s="2511">
        <f t="shared" ref="CD280:CM280" si="481">CD279/CC279-1</f>
        <v>4.9187003472941582E-2</v>
      </c>
      <c r="CE280" s="2511">
        <f t="shared" si="481"/>
        <v>0.10089555556246199</v>
      </c>
      <c r="CF280" s="2511">
        <f t="shared" si="481"/>
        <v>5.6576165363843245E-2</v>
      </c>
      <c r="CG280" s="2511">
        <f t="shared" si="481"/>
        <v>-2.1403460933715146E-2</v>
      </c>
      <c r="CH280" s="2511">
        <f t="shared" si="481"/>
        <v>0.17879395823118327</v>
      </c>
      <c r="CI280" s="2511">
        <f t="shared" si="481"/>
        <v>-7.0049054833999813E-2</v>
      </c>
      <c r="CJ280" s="2511">
        <f t="shared" si="481"/>
        <v>-0.18424516616316711</v>
      </c>
      <c r="CK280" s="2511">
        <f t="shared" si="481"/>
        <v>-5.5471072178676084E-2</v>
      </c>
      <c r="CL280" s="2511">
        <f t="shared" si="481"/>
        <v>1.4354294807710444E-2</v>
      </c>
      <c r="CM280" s="2511">
        <f t="shared" si="481"/>
        <v>-1.405452816223951E-3</v>
      </c>
      <c r="CN280" s="2511"/>
      <c r="CO280" s="2511"/>
      <c r="CP280" s="2249"/>
      <c r="CQ280" s="2249"/>
      <c r="CR280" s="2249"/>
      <c r="CS280" s="2249"/>
      <c r="CT280" s="2249"/>
      <c r="CU280" s="2249"/>
      <c r="CV280" s="2249"/>
      <c r="CW280" s="2249"/>
      <c r="CX280" s="2249"/>
      <c r="CY280" s="2249"/>
      <c r="CZ280" s="2505"/>
      <c r="DA280" s="2511">
        <f>DA279/CZ279-1</f>
        <v>6.7800387414879371E-2</v>
      </c>
      <c r="DB280" s="2511">
        <f>DB279/DA279-1</f>
        <v>-0.15442601180280757</v>
      </c>
      <c r="DC280" s="2511">
        <f>DC279/DB279-1</f>
        <v>-0.14359743132842517</v>
      </c>
      <c r="DD280" s="2511">
        <f>DD279/DC279-1</f>
        <v>5.6750281017690085E-3</v>
      </c>
      <c r="DE280" s="2511">
        <f>DE279/DD279-1</f>
        <v>-4.6111842597927888E-3</v>
      </c>
      <c r="DF280" s="2511"/>
    </row>
    <row r="281" spans="1:116" s="1715" customFormat="1" hidden="1" outlineLevel="1">
      <c r="A281" s="2249" t="s">
        <v>30</v>
      </c>
      <c r="B281" s="2249"/>
      <c r="C281" s="2249"/>
      <c r="D281" s="2249"/>
      <c r="E281" s="2249"/>
      <c r="F281" s="2249"/>
      <c r="G281" s="2249"/>
      <c r="H281" s="2249"/>
      <c r="I281" s="2249"/>
      <c r="J281" s="2249"/>
      <c r="K281" s="2249"/>
      <c r="L281" s="2249"/>
      <c r="M281" s="2249"/>
      <c r="N281" s="2249"/>
      <c r="O281" s="2249"/>
      <c r="P281" s="2249"/>
      <c r="Q281" s="2249"/>
      <c r="R281" s="2249"/>
      <c r="S281" s="2249"/>
      <c r="T281" s="2249"/>
      <c r="U281" s="2249"/>
      <c r="V281" s="2249"/>
      <c r="W281" s="2249"/>
      <c r="X281" s="2249"/>
      <c r="Y281" s="2249"/>
      <c r="Z281" s="2249"/>
      <c r="AA281" s="2249"/>
      <c r="AB281" s="2249"/>
      <c r="AC281" s="2249"/>
      <c r="AD281" s="2249"/>
      <c r="AE281" s="2249"/>
      <c r="AF281" s="2249"/>
      <c r="AG281" s="2249"/>
      <c r="AH281" s="2249"/>
      <c r="AI281" s="2249"/>
      <c r="AJ281" s="2249"/>
      <c r="AK281" s="2249"/>
      <c r="AL281" s="2249"/>
      <c r="AM281" s="2505">
        <f t="shared" ref="AM281:BI281" si="482">AM19</f>
        <v>1.350983215415881</v>
      </c>
      <c r="AN281" s="2505">
        <f t="shared" si="482"/>
        <v>2.1318428250000001</v>
      </c>
      <c r="AO281" s="2505">
        <f t="shared" si="482"/>
        <v>6.2785056799999994</v>
      </c>
      <c r="AP281" s="2505">
        <f t="shared" si="482"/>
        <v>3.7560520499999992</v>
      </c>
      <c r="AQ281" s="2505">
        <f t="shared" si="482"/>
        <v>4.1111722200000003</v>
      </c>
      <c r="AR281" s="2505">
        <f t="shared" si="482"/>
        <v>5.4480427750000002</v>
      </c>
      <c r="AS281" s="2505">
        <f t="shared" si="482"/>
        <v>7.6911694579999992</v>
      </c>
      <c r="AT281" s="2505">
        <f t="shared" si="482"/>
        <v>4.8466547848785133</v>
      </c>
      <c r="AU281" s="2505">
        <f t="shared" si="482"/>
        <v>5.3453953310896516</v>
      </c>
      <c r="AV281" s="2505">
        <f t="shared" si="482"/>
        <v>6.442068518412686</v>
      </c>
      <c r="AW281" s="2505">
        <f t="shared" si="482"/>
        <v>9.0101034039094614</v>
      </c>
      <c r="AX281" s="2505">
        <f t="shared" si="482"/>
        <v>5.485720837227495</v>
      </c>
      <c r="AY281" s="2505">
        <f t="shared" si="482"/>
        <v>5.5271387723467011</v>
      </c>
      <c r="AZ281" s="2505"/>
      <c r="BA281" s="2505">
        <f t="shared" si="482"/>
        <v>6.5421683523141763</v>
      </c>
      <c r="BB281" s="2505">
        <f t="shared" si="482"/>
        <v>9.3544895784588906</v>
      </c>
      <c r="BC281" s="2629">
        <f t="shared" si="482"/>
        <v>5.6465014500899331</v>
      </c>
      <c r="BD281" s="2505">
        <f t="shared" si="482"/>
        <v>5.6527733806117455</v>
      </c>
      <c r="BE281" s="2505"/>
      <c r="BF281" s="2505">
        <f t="shared" si="482"/>
        <v>6.6178477910935589</v>
      </c>
      <c r="BG281" s="2505">
        <f t="shared" si="482"/>
        <v>9.8991002730951951</v>
      </c>
      <c r="BH281" s="2505">
        <f t="shared" si="482"/>
        <v>5.8746429228208399</v>
      </c>
      <c r="BI281" s="2505">
        <f t="shared" si="482"/>
        <v>5.8212335144710359</v>
      </c>
      <c r="BJ281" s="2505"/>
      <c r="BK281" s="2505">
        <f>BK19</f>
        <v>6.71156435274046</v>
      </c>
      <c r="BL281" s="2505">
        <f>BL19</f>
        <v>9.9399460751929194</v>
      </c>
      <c r="BM281" s="2505">
        <f>BM19</f>
        <v>5.9363361794051563</v>
      </c>
      <c r="BN281" s="2505">
        <f>BN19</f>
        <v>5.8814112178441045</v>
      </c>
      <c r="BO281" s="2505"/>
      <c r="BP281" s="2505">
        <f>BP19</f>
        <v>6.822101458933358</v>
      </c>
      <c r="BQ281" s="2505">
        <f>BQ19</f>
        <v>10.163831527267503</v>
      </c>
      <c r="BR281" s="2505">
        <f>BR19</f>
        <v>6.1055311238244796</v>
      </c>
      <c r="BS281" s="2505">
        <f>BS19</f>
        <v>6.0837575755740074</v>
      </c>
      <c r="BT281" s="2505"/>
      <c r="BU281" s="2505">
        <f>BU19</f>
        <v>7.0526377977081491</v>
      </c>
      <c r="BV281" s="2505">
        <f>BV19</f>
        <v>10.501227219097743</v>
      </c>
      <c r="BW281" s="2505">
        <f>BW19</f>
        <v>6.3046525995999634</v>
      </c>
      <c r="BX281" s="2505">
        <f>BX19</f>
        <v>6.2787102250479983</v>
      </c>
      <c r="BY281" s="2249"/>
      <c r="BZ281" s="2249"/>
      <c r="CA281" s="2249"/>
      <c r="CB281" s="2249"/>
      <c r="CC281" s="2505">
        <f t="shared" ref="CC281:CL281" si="483">CC19</f>
        <v>0</v>
      </c>
      <c r="CD281" s="2505">
        <f t="shared" si="483"/>
        <v>0</v>
      </c>
      <c r="CE281" s="2505">
        <f t="shared" si="483"/>
        <v>0.23592701999999999</v>
      </c>
      <c r="CF281" s="2505">
        <f t="shared" si="483"/>
        <v>1.0150000000000001</v>
      </c>
      <c r="CG281" s="2505">
        <f t="shared" si="483"/>
        <v>6.9637868154158813</v>
      </c>
      <c r="CH281" s="2505">
        <f t="shared" si="483"/>
        <v>16.277572774999999</v>
      </c>
      <c r="CI281" s="2505">
        <f t="shared" si="483"/>
        <v>23.331262348968163</v>
      </c>
      <c r="CJ281" s="2505">
        <f t="shared" si="483"/>
        <v>26.465031531896344</v>
      </c>
      <c r="CK281" s="2505">
        <f t="shared" si="483"/>
        <v>27.195932761474744</v>
      </c>
      <c r="CL281" s="2505">
        <f t="shared" si="483"/>
        <v>28.212824501480629</v>
      </c>
      <c r="CM281" s="2505">
        <f>CM19</f>
        <v>28.469257825182641</v>
      </c>
      <c r="CN281" s="2505"/>
      <c r="CO281" s="2505"/>
      <c r="CP281" s="2249"/>
      <c r="CQ281" s="2249"/>
      <c r="CR281" s="2249"/>
      <c r="CS281" s="2249"/>
      <c r="CT281" s="2249"/>
      <c r="CU281" s="2249"/>
      <c r="CV281" s="2249"/>
      <c r="CW281" s="2249"/>
      <c r="CX281" s="2249"/>
      <c r="CY281" s="2249"/>
      <c r="CZ281" s="2505">
        <f t="shared" ref="CZ281:DE281" si="484">CZ19</f>
        <v>11.703135320415882</v>
      </c>
      <c r="DA281" s="2505">
        <f t="shared" si="484"/>
        <v>21.006436502999996</v>
      </c>
      <c r="DB281" s="2505">
        <f t="shared" si="484"/>
        <v>25.644222038290312</v>
      </c>
      <c r="DC281" s="2505">
        <f t="shared" si="484"/>
        <v>26.90951754034726</v>
      </c>
      <c r="DD281" s="2505">
        <f t="shared" si="484"/>
        <v>27.81622289489043</v>
      </c>
      <c r="DE281" s="2505">
        <f t="shared" si="484"/>
        <v>28.347386865225253</v>
      </c>
      <c r="DF281" s="2505"/>
      <c r="DI281" s="1719" t="s">
        <v>818</v>
      </c>
      <c r="DJ281" s="1719" t="s">
        <v>819</v>
      </c>
      <c r="DK281" s="1719" t="s">
        <v>835</v>
      </c>
      <c r="DL281" s="1719" t="s">
        <v>341</v>
      </c>
    </row>
    <row r="282" spans="1:116" s="1715" customFormat="1" hidden="1" outlineLevel="1">
      <c r="A282" s="2249" t="s">
        <v>258</v>
      </c>
      <c r="B282" s="2249"/>
      <c r="C282" s="2249"/>
      <c r="D282" s="2249"/>
      <c r="E282" s="2249"/>
      <c r="F282" s="2249"/>
      <c r="G282" s="2249"/>
      <c r="H282" s="2249"/>
      <c r="I282" s="2249"/>
      <c r="J282" s="2249"/>
      <c r="K282" s="2249"/>
      <c r="L282" s="2249"/>
      <c r="M282" s="2249"/>
      <c r="N282" s="2249"/>
      <c r="O282" s="2249"/>
      <c r="P282" s="2249"/>
      <c r="Q282" s="2249"/>
      <c r="R282" s="2249"/>
      <c r="S282" s="2249"/>
      <c r="T282" s="2249"/>
      <c r="U282" s="2249"/>
      <c r="V282" s="2249"/>
      <c r="W282" s="2249"/>
      <c r="X282" s="2249"/>
      <c r="Y282" s="2249"/>
      <c r="Z282" s="2249"/>
      <c r="AA282" s="2249"/>
      <c r="AB282" s="2249"/>
      <c r="AC282" s="2249"/>
      <c r="AD282" s="2249"/>
      <c r="AE282" s="2249"/>
      <c r="AF282" s="2249"/>
      <c r="AG282" s="2249"/>
      <c r="AH282" s="2249"/>
      <c r="AI282" s="2249"/>
      <c r="AJ282" s="2249"/>
      <c r="AK282" s="2249"/>
      <c r="AL282" s="2249"/>
      <c r="AM282" s="2511"/>
      <c r="AN282" s="2511"/>
      <c r="AO282" s="2511"/>
      <c r="AP282" s="2511"/>
      <c r="AQ282" s="2511">
        <f>AQ281/AM281-1</f>
        <v>2.0430964449357978</v>
      </c>
      <c r="AR282" s="2511">
        <f>AR281/AN281-1</f>
        <v>1.5555555555555554</v>
      </c>
      <c r="AS282" s="2511">
        <f>AS281/AO281-1</f>
        <v>0.22500000000000009</v>
      </c>
      <c r="AT282" s="2511">
        <f t="shared" ref="AT282:AY282" si="485">AT281/AP281-1</f>
        <v>0.29035879172082146</v>
      </c>
      <c r="AU282" s="2511">
        <f t="shared" si="485"/>
        <v>0.30021196997912458</v>
      </c>
      <c r="AV282" s="2511">
        <f t="shared" si="485"/>
        <v>0.18245556880978886</v>
      </c>
      <c r="AW282" s="2511">
        <f t="shared" si="485"/>
        <v>0.17148678794712646</v>
      </c>
      <c r="AX282" s="2511">
        <f t="shared" si="485"/>
        <v>0.13185714285714289</v>
      </c>
      <c r="AY282" s="2511">
        <f t="shared" si="485"/>
        <v>3.4000000000000252E-2</v>
      </c>
      <c r="AZ282" s="2511"/>
      <c r="BA282" s="2511">
        <f>BA281/AV281-1</f>
        <v>1.5538461538461723E-2</v>
      </c>
      <c r="BB282" s="2511">
        <f>BB281/AW281-1</f>
        <v>3.822222222222238E-2</v>
      </c>
      <c r="BC282" s="2631">
        <f>BC281/AX281-1</f>
        <v>2.930893088312847E-2</v>
      </c>
      <c r="BD282" s="2511">
        <f>BD281/AY281-1</f>
        <v>2.2730496453900795E-2</v>
      </c>
      <c r="BE282" s="2511"/>
      <c r="BF282" s="2511">
        <f>BF281/BA281-1</f>
        <v>1.1567944250870932E-2</v>
      </c>
      <c r="BG282" s="2511">
        <f>BG281/BB281-1</f>
        <v>5.821917808219168E-2</v>
      </c>
      <c r="BH282" s="2511">
        <f>BH281/BC281-1</f>
        <v>4.0404040404040442E-2</v>
      </c>
      <c r="BI282" s="2511">
        <f>BI281/BD281-1</f>
        <v>2.9801324503311299E-2</v>
      </c>
      <c r="BJ282" s="2511"/>
      <c r="BK282" s="2511">
        <f>BK281/BF281-1</f>
        <v>1.4161184210526478E-2</v>
      </c>
      <c r="BL282" s="2511">
        <f>BL281/BG281-1</f>
        <v>4.1262135922330856E-3</v>
      </c>
      <c r="BM282" s="2511">
        <f>BM281/BH281-1</f>
        <v>1.0501618122977341E-2</v>
      </c>
      <c r="BN282" s="2511">
        <f>BN281/BI281-1</f>
        <v>1.0337620578778184E-2</v>
      </c>
      <c r="BO282" s="2511"/>
      <c r="BP282" s="2511">
        <f>BP281/BK281-1</f>
        <v>1.6469648562300376E-2</v>
      </c>
      <c r="BQ282" s="2511">
        <f>BQ281/BL281-1</f>
        <v>2.2523809523809613E-2</v>
      </c>
      <c r="BR282" s="2511">
        <f>BR281/BM281-1</f>
        <v>2.850157728706626E-2</v>
      </c>
      <c r="BS282" s="2511">
        <f>BS281/BN281-1</f>
        <v>3.4404388714733614E-2</v>
      </c>
      <c r="BT282" s="2511"/>
      <c r="BU282" s="2511">
        <f>BU281/BP281-1</f>
        <v>3.3792569659442773E-2</v>
      </c>
      <c r="BV282" s="2511">
        <f>BV281/BQ281-1</f>
        <v>3.319571865443427E-2</v>
      </c>
      <c r="BW282" s="2511">
        <f>BW281/BR281-1</f>
        <v>3.2613293051359404E-2</v>
      </c>
      <c r="BX282" s="2511">
        <f>BX281/BS281-1</f>
        <v>3.2044776119402929E-2</v>
      </c>
      <c r="BY282" s="2249"/>
      <c r="BZ282" s="2249"/>
      <c r="CA282" s="2249"/>
      <c r="CB282" s="2249"/>
      <c r="CC282" s="2249"/>
      <c r="CD282" s="2511"/>
      <c r="CE282" s="2511"/>
      <c r="CF282" s="2511">
        <f t="shared" ref="CF282:CM282" si="486">CF281/CE281-1</f>
        <v>3.3021778514389757</v>
      </c>
      <c r="CG282" s="2511">
        <f t="shared" si="486"/>
        <v>5.86087370976934</v>
      </c>
      <c r="CH282" s="2511">
        <f t="shared" si="486"/>
        <v>1.3374599490848849</v>
      </c>
      <c r="CI282" s="2511">
        <f t="shared" si="486"/>
        <v>0.4333379227646037</v>
      </c>
      <c r="CJ282" s="2511">
        <f t="shared" si="486"/>
        <v>0.1343163149964226</v>
      </c>
      <c r="CK282" s="2511">
        <f t="shared" si="486"/>
        <v>2.7617621717076046E-2</v>
      </c>
      <c r="CL282" s="2511">
        <f t="shared" si="486"/>
        <v>3.739131689009012E-2</v>
      </c>
      <c r="CM282" s="2511">
        <f t="shared" si="486"/>
        <v>9.0892467604068994E-3</v>
      </c>
      <c r="CN282" s="2511"/>
      <c r="CO282" s="2511"/>
      <c r="CP282" s="2249"/>
      <c r="CQ282" s="2249"/>
      <c r="CR282" s="2249"/>
      <c r="CS282" s="2249"/>
      <c r="CT282" s="2249"/>
      <c r="CU282" s="2249"/>
      <c r="CV282" s="2249"/>
      <c r="CW282" s="2249"/>
      <c r="CX282" s="2249"/>
      <c r="CY282" s="2249"/>
      <c r="CZ282" s="2505"/>
      <c r="DA282" s="2511">
        <f>DA281/CZ281-1</f>
        <v>0.7949409220582706</v>
      </c>
      <c r="DB282" s="2511">
        <f>DB281/DA281-1</f>
        <v>0.22077926137676807</v>
      </c>
      <c r="DC282" s="2511">
        <f>DC281/DB281-1</f>
        <v>4.9340373834218409E-2</v>
      </c>
      <c r="DD282" s="2511">
        <f>DD281/DC281-1</f>
        <v>3.3694597206497034E-2</v>
      </c>
      <c r="DE282" s="2511">
        <f>DE281/DD281-1</f>
        <v>1.9095474333159501E-2</v>
      </c>
      <c r="DF282" s="2511"/>
    </row>
    <row r="283" spans="1:116" s="1715" customFormat="1" hidden="1" outlineLevel="1">
      <c r="A283" s="2249" t="s">
        <v>31</v>
      </c>
      <c r="B283" s="2249"/>
      <c r="C283" s="2249"/>
      <c r="D283" s="2249"/>
      <c r="E283" s="2249"/>
      <c r="F283" s="2249"/>
      <c r="G283" s="2249"/>
      <c r="H283" s="2249"/>
      <c r="I283" s="2249"/>
      <c r="J283" s="2249"/>
      <c r="K283" s="2249"/>
      <c r="L283" s="2249"/>
      <c r="M283" s="2249"/>
      <c r="N283" s="2249"/>
      <c r="O283" s="2249"/>
      <c r="P283" s="2249"/>
      <c r="Q283" s="2249"/>
      <c r="R283" s="2249"/>
      <c r="S283" s="2249"/>
      <c r="T283" s="2249"/>
      <c r="U283" s="2249"/>
      <c r="V283" s="2249"/>
      <c r="W283" s="2249"/>
      <c r="X283" s="2249"/>
      <c r="Y283" s="2249"/>
      <c r="Z283" s="2249"/>
      <c r="AA283" s="2249"/>
      <c r="AB283" s="2249"/>
      <c r="AC283" s="2249"/>
      <c r="AD283" s="2249"/>
      <c r="AE283" s="2249"/>
      <c r="AF283" s="2249"/>
      <c r="AG283" s="2249"/>
      <c r="AH283" s="2249"/>
      <c r="AI283" s="2249"/>
      <c r="AJ283" s="2249"/>
      <c r="AK283" s="2249"/>
      <c r="AL283" s="2249"/>
      <c r="AM283" s="2249"/>
      <c r="AN283" s="2249"/>
      <c r="AO283" s="2249"/>
      <c r="AP283" s="2249"/>
      <c r="AQ283" s="2249"/>
      <c r="AR283" s="2249"/>
      <c r="AS283" s="2249"/>
      <c r="AT283" s="2249"/>
      <c r="AU283" s="2249"/>
      <c r="AV283" s="2249"/>
      <c r="AW283" s="2249"/>
      <c r="AX283" s="2249"/>
      <c r="AY283" s="2249"/>
      <c r="AZ283" s="2249"/>
      <c r="BA283" s="2249"/>
      <c r="BB283" s="2249"/>
      <c r="BC283" s="1343"/>
      <c r="BD283" s="2249"/>
      <c r="BE283" s="2249"/>
      <c r="BF283" s="2249"/>
      <c r="BG283" s="2249"/>
      <c r="BH283" s="2249"/>
      <c r="BI283" s="2249"/>
      <c r="BJ283" s="2249"/>
      <c r="BK283" s="2249"/>
      <c r="BL283" s="2249"/>
      <c r="BM283" s="2249"/>
      <c r="BN283" s="2249"/>
      <c r="BO283" s="2249"/>
      <c r="BP283" s="2249"/>
      <c r="BQ283" s="2249"/>
      <c r="BR283" s="2249"/>
      <c r="BS283" s="2249"/>
      <c r="BT283" s="2249"/>
      <c r="BU283" s="2249"/>
      <c r="BV283" s="2249"/>
      <c r="BW283" s="2249"/>
      <c r="BX283" s="2249"/>
      <c r="BY283" s="2249"/>
      <c r="BZ283" s="2249"/>
      <c r="CA283" s="2249"/>
      <c r="CB283" s="2249"/>
      <c r="CC283" s="2249"/>
      <c r="CD283" s="2249"/>
      <c r="CE283" s="2249"/>
      <c r="CF283" s="2249"/>
      <c r="CG283" s="2249"/>
      <c r="CH283" s="2249"/>
      <c r="CI283" s="2249"/>
      <c r="CJ283" s="2249"/>
      <c r="CK283" s="2249"/>
      <c r="CL283" s="2249"/>
      <c r="CM283" s="2249"/>
      <c r="CN283" s="2249"/>
      <c r="CO283" s="2249"/>
      <c r="CP283" s="2249"/>
      <c r="CQ283" s="2249"/>
      <c r="CR283" s="2249"/>
      <c r="CS283" s="2249"/>
      <c r="CT283" s="2249"/>
      <c r="CU283" s="2249"/>
      <c r="CV283" s="2249"/>
      <c r="CW283" s="2249"/>
      <c r="CX283" s="2249"/>
      <c r="CY283" s="2249"/>
      <c r="CZ283" s="2505">
        <f t="shared" ref="CZ283:DE283" si="487">SUM(CZ281,CZ279,CZ277)</f>
        <v>245.76704009129054</v>
      </c>
      <c r="DA283" s="2505">
        <f t="shared" si="487"/>
        <v>246.83890844556115</v>
      </c>
      <c r="DB283" s="2505">
        <f t="shared" si="487"/>
        <v>208.92437884232325</v>
      </c>
      <c r="DC283" s="2505">
        <f t="shared" si="487"/>
        <v>195.14203278373492</v>
      </c>
      <c r="DD283" s="2505">
        <f t="shared" si="487"/>
        <v>197.69562908015007</v>
      </c>
      <c r="DE283" s="2505">
        <f t="shared" si="487"/>
        <v>199.44701854564488</v>
      </c>
      <c r="DF283" s="2505"/>
      <c r="DH283" s="1715" t="s">
        <v>710</v>
      </c>
      <c r="DI283" s="1720">
        <v>0</v>
      </c>
      <c r="DJ283" s="1720">
        <v>0</v>
      </c>
      <c r="DK283" s="1720">
        <f>CZ22*CZ52</f>
        <v>1.2156984498009096</v>
      </c>
      <c r="DL283" s="1720">
        <f>DA22*DA53</f>
        <v>2.25</v>
      </c>
    </row>
    <row r="284" spans="1:116" s="1715" customFormat="1" hidden="1" outlineLevel="1">
      <c r="A284" s="2249"/>
      <c r="B284" s="2249"/>
      <c r="C284" s="2249"/>
      <c r="D284" s="2249"/>
      <c r="E284" s="2249"/>
      <c r="F284" s="2249"/>
      <c r="G284" s="2249"/>
      <c r="H284" s="2249"/>
      <c r="I284" s="2249"/>
      <c r="J284" s="2249"/>
      <c r="K284" s="2249"/>
      <c r="L284" s="2249"/>
      <c r="M284" s="2249"/>
      <c r="N284" s="2249"/>
      <c r="O284" s="2249"/>
      <c r="P284" s="2249"/>
      <c r="Q284" s="2249"/>
      <c r="R284" s="2249"/>
      <c r="S284" s="2249"/>
      <c r="T284" s="2249"/>
      <c r="U284" s="2249"/>
      <c r="V284" s="2249"/>
      <c r="W284" s="2249"/>
      <c r="X284" s="2249"/>
      <c r="Y284" s="2249"/>
      <c r="Z284" s="2249"/>
      <c r="AA284" s="2249"/>
      <c r="AB284" s="2249"/>
      <c r="AC284" s="2249"/>
      <c r="AD284" s="2249"/>
      <c r="AE284" s="2249"/>
      <c r="AF284" s="2249"/>
      <c r="AG284" s="2249"/>
      <c r="AH284" s="2249"/>
      <c r="AI284" s="2249"/>
      <c r="AJ284" s="2249"/>
      <c r="AK284" s="2249"/>
      <c r="AL284" s="2249"/>
      <c r="AM284" s="2249"/>
      <c r="AN284" s="2249"/>
      <c r="AO284" s="2249"/>
      <c r="AP284" s="2249"/>
      <c r="AQ284" s="2249"/>
      <c r="AR284" s="2249"/>
      <c r="AS284" s="2249"/>
      <c r="AT284" s="2249"/>
      <c r="AU284" s="2249"/>
      <c r="AV284" s="2249"/>
      <c r="AW284" s="2249"/>
      <c r="AX284" s="2249"/>
      <c r="AY284" s="2249"/>
      <c r="AZ284" s="2249"/>
      <c r="BA284" s="2249"/>
      <c r="BB284" s="2249"/>
      <c r="BC284" s="1343"/>
      <c r="BD284" s="2249"/>
      <c r="BE284" s="2249"/>
      <c r="BF284" s="2249"/>
      <c r="BG284" s="2249"/>
      <c r="BH284" s="2249"/>
      <c r="BI284" s="2249"/>
      <c r="BJ284" s="2249"/>
      <c r="BK284" s="2249"/>
      <c r="BL284" s="2249"/>
      <c r="BM284" s="2249"/>
      <c r="BN284" s="2249"/>
      <c r="BO284" s="2249"/>
      <c r="BP284" s="2249"/>
      <c r="BQ284" s="2249"/>
      <c r="BR284" s="2249"/>
      <c r="BS284" s="2249"/>
      <c r="BT284" s="2249"/>
      <c r="BU284" s="2249"/>
      <c r="BV284" s="2249"/>
      <c r="BW284" s="2249"/>
      <c r="BX284" s="2249"/>
      <c r="BY284" s="2249"/>
      <c r="BZ284" s="2249"/>
      <c r="CA284" s="2249"/>
      <c r="CB284" s="2249"/>
      <c r="CC284" s="2249"/>
      <c r="CD284" s="2249"/>
      <c r="CE284" s="2249"/>
      <c r="CF284" s="2249"/>
      <c r="CG284" s="2249"/>
      <c r="CH284" s="2249"/>
      <c r="CI284" s="2249"/>
      <c r="CJ284" s="2249"/>
      <c r="CK284" s="2249"/>
      <c r="CL284" s="2249"/>
      <c r="CM284" s="2249"/>
      <c r="CN284" s="2249"/>
      <c r="CO284" s="2249"/>
      <c r="CP284" s="2249"/>
      <c r="CQ284" s="2249"/>
      <c r="CR284" s="2249"/>
      <c r="CS284" s="2249"/>
      <c r="CT284" s="2249"/>
      <c r="CU284" s="2249"/>
      <c r="CV284" s="2249"/>
      <c r="CW284" s="2249"/>
      <c r="CX284" s="2249"/>
      <c r="CY284" s="2249"/>
      <c r="CZ284" s="2249"/>
      <c r="DA284" s="2249"/>
      <c r="DB284" s="2249"/>
      <c r="DC284" s="2249"/>
      <c r="DD284" s="2249"/>
      <c r="DE284" s="2249"/>
      <c r="DF284" s="2249"/>
      <c r="DH284" s="1715" t="s">
        <v>711</v>
      </c>
      <c r="DI284" s="1720">
        <v>0</v>
      </c>
      <c r="DJ284" s="1720">
        <f>CY22</f>
        <v>0.4</v>
      </c>
      <c r="DK284" s="1720">
        <f>DK285-DK283</f>
        <v>1.2156984498009096</v>
      </c>
      <c r="DL284" s="1720">
        <f>DL285-DL283</f>
        <v>2.25</v>
      </c>
    </row>
    <row r="285" spans="1:116" s="1715" customFormat="1" hidden="1" outlineLevel="1">
      <c r="A285" s="2249" t="s">
        <v>32</v>
      </c>
      <c r="B285" s="2249"/>
      <c r="C285" s="2249"/>
      <c r="D285" s="2249"/>
      <c r="E285" s="2249"/>
      <c r="F285" s="2249"/>
      <c r="G285" s="2249"/>
      <c r="H285" s="2249"/>
      <c r="I285" s="2249"/>
      <c r="J285" s="2249"/>
      <c r="K285" s="2249"/>
      <c r="L285" s="2249"/>
      <c r="M285" s="2249"/>
      <c r="N285" s="2249"/>
      <c r="O285" s="2249"/>
      <c r="P285" s="2249"/>
      <c r="Q285" s="2249"/>
      <c r="R285" s="2249"/>
      <c r="S285" s="2249"/>
      <c r="T285" s="2249"/>
      <c r="U285" s="2249"/>
      <c r="V285" s="2249"/>
      <c r="W285" s="2249"/>
      <c r="X285" s="2249"/>
      <c r="Y285" s="2249"/>
      <c r="Z285" s="2249"/>
      <c r="AA285" s="2249"/>
      <c r="AB285" s="2249"/>
      <c r="AC285" s="2249"/>
      <c r="AD285" s="2249"/>
      <c r="AE285" s="2249"/>
      <c r="AF285" s="2249"/>
      <c r="AG285" s="2249"/>
      <c r="AH285" s="2249"/>
      <c r="AI285" s="2249"/>
      <c r="AJ285" s="2249"/>
      <c r="AK285" s="2249"/>
      <c r="AL285" s="2249"/>
      <c r="AM285" s="2249"/>
      <c r="AN285" s="2249"/>
      <c r="AO285" s="2249"/>
      <c r="AP285" s="2249"/>
      <c r="AQ285" s="2249"/>
      <c r="AR285" s="2249"/>
      <c r="AS285" s="2249"/>
      <c r="AT285" s="2249"/>
      <c r="AU285" s="2249"/>
      <c r="AV285" s="2249"/>
      <c r="AW285" s="2249"/>
      <c r="AX285" s="2249"/>
      <c r="AY285" s="2249"/>
      <c r="AZ285" s="2249"/>
      <c r="BA285" s="2249"/>
      <c r="BB285" s="2249"/>
      <c r="BC285" s="1343"/>
      <c r="BD285" s="2249"/>
      <c r="BE285" s="2249"/>
      <c r="BF285" s="2249"/>
      <c r="BG285" s="2249"/>
      <c r="BH285" s="2249"/>
      <c r="BI285" s="2249"/>
      <c r="BJ285" s="2249"/>
      <c r="BK285" s="2249"/>
      <c r="BL285" s="2249"/>
      <c r="BM285" s="2249"/>
      <c r="BN285" s="2249"/>
      <c r="BO285" s="2249"/>
      <c r="BP285" s="2249"/>
      <c r="BQ285" s="2249"/>
      <c r="BR285" s="2249"/>
      <c r="BS285" s="2249"/>
      <c r="BT285" s="2249"/>
      <c r="BU285" s="2249"/>
      <c r="BV285" s="2249"/>
      <c r="BW285" s="2249"/>
      <c r="BX285" s="2249"/>
      <c r="BY285" s="2249"/>
      <c r="BZ285" s="2249"/>
      <c r="CA285" s="2249"/>
      <c r="CB285" s="2249"/>
      <c r="CC285" s="2249"/>
      <c r="CD285" s="2249"/>
      <c r="CE285" s="2249"/>
      <c r="CF285" s="2249"/>
      <c r="CG285" s="2249"/>
      <c r="CH285" s="2249"/>
      <c r="CI285" s="2249"/>
      <c r="CJ285" s="2249"/>
      <c r="CK285" s="2249"/>
      <c r="CL285" s="2249"/>
      <c r="CM285" s="2249"/>
      <c r="CN285" s="2249"/>
      <c r="CO285" s="2249"/>
      <c r="CP285" s="2249"/>
      <c r="CQ285" s="2249"/>
      <c r="CR285" s="2249"/>
      <c r="CS285" s="2249"/>
      <c r="CT285" s="2249"/>
      <c r="CU285" s="2249"/>
      <c r="CV285" s="2249"/>
      <c r="CW285" s="2249"/>
      <c r="CX285" s="2249"/>
      <c r="CY285" s="2249"/>
      <c r="CZ285" s="2512"/>
      <c r="DA285" s="2512">
        <f>DA281+DA279</f>
        <v>110.72533700529016</v>
      </c>
      <c r="DB285" s="2512">
        <f>DB281+DB279</f>
        <v>101.50819055267888</v>
      </c>
      <c r="DC285" s="2512">
        <f>DC281+DC279</f>
        <v>91.879615045689121</v>
      </c>
      <c r="DD285" s="2512">
        <f>DD281+DD279</f>
        <v>93.155027529349766</v>
      </c>
      <c r="DE285" s="2512">
        <f>DE281+DE279</f>
        <v>93.384902232200488</v>
      </c>
      <c r="DF285" s="2512"/>
      <c r="DH285" s="1715" t="s">
        <v>712</v>
      </c>
      <c r="DI285" s="1720">
        <v>0</v>
      </c>
      <c r="DJ285" s="1720">
        <f>SUM(DJ283:DJ284)</f>
        <v>0.4</v>
      </c>
      <c r="DK285" s="1720">
        <f>CZ22</f>
        <v>2.4313968996018192</v>
      </c>
      <c r="DL285" s="1720">
        <f>DA22</f>
        <v>4.5</v>
      </c>
    </row>
    <row r="286" spans="1:116" s="1715" customFormat="1" hidden="1" outlineLevel="1">
      <c r="A286" s="2249"/>
      <c r="B286" s="2249"/>
      <c r="C286" s="2249"/>
      <c r="D286" s="2249"/>
      <c r="E286" s="2249"/>
      <c r="F286" s="2249"/>
      <c r="G286" s="2249"/>
      <c r="H286" s="2249"/>
      <c r="I286" s="2249"/>
      <c r="J286" s="2249"/>
      <c r="K286" s="2249"/>
      <c r="L286" s="2249"/>
      <c r="M286" s="2249"/>
      <c r="N286" s="2249"/>
      <c r="O286" s="2249"/>
      <c r="P286" s="2249"/>
      <c r="Q286" s="2249"/>
      <c r="R286" s="2249"/>
      <c r="S286" s="2249"/>
      <c r="T286" s="2249"/>
      <c r="U286" s="2249"/>
      <c r="V286" s="2249"/>
      <c r="W286" s="2249"/>
      <c r="X286" s="2249"/>
      <c r="Y286" s="2249"/>
      <c r="Z286" s="2249"/>
      <c r="AA286" s="2249"/>
      <c r="AB286" s="2249"/>
      <c r="AC286" s="2249"/>
      <c r="AD286" s="2249"/>
      <c r="AE286" s="2249"/>
      <c r="AF286" s="2249"/>
      <c r="AG286" s="2249"/>
      <c r="AH286" s="2249"/>
      <c r="AI286" s="2249"/>
      <c r="AJ286" s="2249"/>
      <c r="AK286" s="2249"/>
      <c r="AL286" s="2249"/>
      <c r="AM286" s="2249"/>
      <c r="AN286" s="2249"/>
      <c r="AO286" s="2249"/>
      <c r="AP286" s="2249"/>
      <c r="AQ286" s="2249"/>
      <c r="AR286" s="2249"/>
      <c r="AS286" s="2249"/>
      <c r="AT286" s="2249"/>
      <c r="AU286" s="2249"/>
      <c r="AV286" s="2249"/>
      <c r="AW286" s="2249"/>
      <c r="AX286" s="2249"/>
      <c r="AY286" s="2249"/>
      <c r="AZ286" s="2249"/>
      <c r="BA286" s="2249"/>
      <c r="BB286" s="2249"/>
      <c r="BC286" s="1343"/>
      <c r="BD286" s="2249"/>
      <c r="BE286" s="2249"/>
      <c r="BF286" s="2249"/>
      <c r="BG286" s="2249"/>
      <c r="BH286" s="2249"/>
      <c r="BI286" s="2249"/>
      <c r="BJ286" s="2249"/>
      <c r="BK286" s="2249"/>
      <c r="BL286" s="2249"/>
      <c r="BM286" s="2249"/>
      <c r="BN286" s="2249"/>
      <c r="BO286" s="2249"/>
      <c r="BP286" s="2249"/>
      <c r="BQ286" s="2249"/>
      <c r="BR286" s="2249"/>
      <c r="BS286" s="2249"/>
      <c r="BT286" s="2249"/>
      <c r="BU286" s="2249"/>
      <c r="BV286" s="2249"/>
      <c r="BW286" s="2249"/>
      <c r="BX286" s="2249"/>
      <c r="BY286" s="2249"/>
      <c r="BZ286" s="2249"/>
      <c r="CA286" s="2249"/>
      <c r="CB286" s="2249"/>
      <c r="CC286" s="2249"/>
      <c r="CD286" s="2249"/>
      <c r="CE286" s="2249"/>
      <c r="CF286" s="2249"/>
      <c r="CG286" s="2249"/>
      <c r="CH286" s="2249"/>
      <c r="CI286" s="2249"/>
      <c r="CJ286" s="2249"/>
      <c r="CK286" s="2249"/>
      <c r="CL286" s="2249"/>
      <c r="CM286" s="2249"/>
      <c r="CN286" s="2249"/>
      <c r="CO286" s="2249"/>
      <c r="CP286" s="2249"/>
      <c r="CQ286" s="2249"/>
      <c r="CR286" s="2249"/>
      <c r="CS286" s="2249"/>
      <c r="CT286" s="2249"/>
      <c r="CU286" s="2249"/>
      <c r="CV286" s="2249"/>
      <c r="CW286" s="2249"/>
      <c r="CX286" s="2249"/>
      <c r="CY286" s="2249"/>
      <c r="CZ286" s="2249"/>
      <c r="DA286" s="2249"/>
      <c r="DB286" s="2511">
        <f>DB285/DA285-1</f>
        <v>-8.3243336185744976E-2</v>
      </c>
      <c r="DC286" s="2511">
        <f>DC285/DB285-1</f>
        <v>-9.485515853021631E-2</v>
      </c>
      <c r="DD286" s="2511">
        <f>DD285/DC285-1</f>
        <v>1.3881343353761455E-2</v>
      </c>
      <c r="DE286" s="2511">
        <f>DE285/DD285-1</f>
        <v>2.4676575054234373E-3</v>
      </c>
      <c r="DF286" s="2511"/>
      <c r="DI286" s="1720"/>
      <c r="DJ286" s="1720"/>
      <c r="DK286" s="1720"/>
      <c r="DL286" s="1720"/>
    </row>
    <row r="287" spans="1:116" s="1715" customFormat="1" hidden="1" outlineLevel="1">
      <c r="A287" s="2249"/>
      <c r="B287" s="2249"/>
      <c r="C287" s="2249"/>
      <c r="D287" s="2249"/>
      <c r="E287" s="2249"/>
      <c r="F287" s="2249"/>
      <c r="G287" s="2249"/>
      <c r="H287" s="2249"/>
      <c r="I287" s="2249"/>
      <c r="J287" s="2249"/>
      <c r="K287" s="2249"/>
      <c r="L287" s="2249"/>
      <c r="M287" s="2249"/>
      <c r="N287" s="2249"/>
      <c r="O287" s="2249"/>
      <c r="P287" s="2249"/>
      <c r="Q287" s="2249"/>
      <c r="R287" s="2249"/>
      <c r="S287" s="2249"/>
      <c r="T287" s="2249"/>
      <c r="U287" s="2249"/>
      <c r="V287" s="2249"/>
      <c r="W287" s="2249"/>
      <c r="X287" s="2249"/>
      <c r="Y287" s="2249"/>
      <c r="Z287" s="2249"/>
      <c r="AA287" s="2249"/>
      <c r="AB287" s="2249"/>
      <c r="AC287" s="2249"/>
      <c r="AD287" s="2249"/>
      <c r="AE287" s="2249"/>
      <c r="AF287" s="2249"/>
      <c r="AG287" s="2249"/>
      <c r="AH287" s="2249"/>
      <c r="AI287" s="2249"/>
      <c r="AJ287" s="2249"/>
      <c r="AK287" s="2249"/>
      <c r="AL287" s="2249"/>
      <c r="AM287" s="2249"/>
      <c r="AN287" s="2249"/>
      <c r="AO287" s="2249"/>
      <c r="AP287" s="2249"/>
      <c r="AQ287" s="2249"/>
      <c r="AR287" s="2249"/>
      <c r="AS287" s="2249"/>
      <c r="AT287" s="2249"/>
      <c r="AU287" s="2249"/>
      <c r="AV287" s="2249"/>
      <c r="AW287" s="2249"/>
      <c r="AX287" s="2249"/>
      <c r="AY287" s="2249"/>
      <c r="AZ287" s="2249"/>
      <c r="BA287" s="2249"/>
      <c r="BB287" s="2249"/>
      <c r="BC287" s="1343"/>
      <c r="BD287" s="2249"/>
      <c r="BE287" s="2249"/>
      <c r="BF287" s="2249"/>
      <c r="BG287" s="2249"/>
      <c r="BH287" s="2249"/>
      <c r="BI287" s="2249"/>
      <c r="BJ287" s="2249"/>
      <c r="BK287" s="2249"/>
      <c r="BL287" s="2249"/>
      <c r="BM287" s="2249"/>
      <c r="BN287" s="2249"/>
      <c r="BO287" s="2249"/>
      <c r="BP287" s="2249"/>
      <c r="BQ287" s="2249"/>
      <c r="BR287" s="2249"/>
      <c r="BS287" s="2249"/>
      <c r="BT287" s="2249"/>
      <c r="BU287" s="2249"/>
      <c r="BV287" s="2249"/>
      <c r="BW287" s="2249"/>
      <c r="BX287" s="2249"/>
      <c r="BY287" s="2249"/>
      <c r="BZ287" s="2249"/>
      <c r="CA287" s="2249"/>
      <c r="CB287" s="2249"/>
      <c r="CC287" s="2249"/>
      <c r="CD287" s="2249"/>
      <c r="CE287" s="2249"/>
      <c r="CF287" s="2249"/>
      <c r="CG287" s="2249"/>
      <c r="CH287" s="2249"/>
      <c r="CI287" s="2249"/>
      <c r="CJ287" s="2249"/>
      <c r="CK287" s="2249"/>
      <c r="CL287" s="2249"/>
      <c r="CM287" s="2249"/>
      <c r="CN287" s="2249"/>
      <c r="CO287" s="2249"/>
      <c r="CP287" s="2249"/>
      <c r="CQ287" s="2249"/>
      <c r="CR287" s="2249"/>
      <c r="CS287" s="2249"/>
      <c r="CT287" s="2249"/>
      <c r="CU287" s="2249"/>
      <c r="CV287" s="2249"/>
      <c r="CW287" s="2249"/>
      <c r="CX287" s="2249"/>
      <c r="CY287" s="2249"/>
      <c r="CZ287" s="2249"/>
      <c r="DA287" s="2249"/>
      <c r="DB287" s="2249"/>
      <c r="DC287" s="2249"/>
      <c r="DD287" s="2249"/>
      <c r="DE287" s="2249"/>
      <c r="DF287" s="2249"/>
    </row>
    <row r="288" spans="1:116" s="1715" customFormat="1" hidden="1" outlineLevel="1">
      <c r="A288" s="2249" t="s">
        <v>34</v>
      </c>
      <c r="B288" s="2249"/>
      <c r="C288" s="2249"/>
      <c r="D288" s="2249"/>
      <c r="E288" s="2249"/>
      <c r="F288" s="2249"/>
      <c r="G288" s="2249"/>
      <c r="H288" s="2249"/>
      <c r="I288" s="2249"/>
      <c r="J288" s="2249"/>
      <c r="K288" s="2249"/>
      <c r="L288" s="2249"/>
      <c r="M288" s="2249"/>
      <c r="N288" s="2249"/>
      <c r="O288" s="2249"/>
      <c r="P288" s="2249"/>
      <c r="Q288" s="2249"/>
      <c r="R288" s="2249"/>
      <c r="S288" s="2249"/>
      <c r="T288" s="2249"/>
      <c r="U288" s="2249"/>
      <c r="V288" s="2249"/>
      <c r="W288" s="2249"/>
      <c r="X288" s="2249"/>
      <c r="Y288" s="2249"/>
      <c r="Z288" s="2249"/>
      <c r="AA288" s="2249"/>
      <c r="AB288" s="2249"/>
      <c r="AC288" s="2249"/>
      <c r="AD288" s="2249"/>
      <c r="AE288" s="2249"/>
      <c r="AF288" s="2249"/>
      <c r="AG288" s="2249"/>
      <c r="AH288" s="2249"/>
      <c r="AI288" s="2249"/>
      <c r="AJ288" s="2249"/>
      <c r="AK288" s="2249"/>
      <c r="AL288" s="2249"/>
      <c r="AM288" s="2249"/>
      <c r="AN288" s="2249"/>
      <c r="AO288" s="2249"/>
      <c r="AP288" s="2249"/>
      <c r="AQ288" s="2249"/>
      <c r="AR288" s="2249"/>
      <c r="AS288" s="2249"/>
      <c r="AT288" s="2249"/>
      <c r="AU288" s="2249"/>
      <c r="AV288" s="2249"/>
      <c r="AW288" s="2249"/>
      <c r="AX288" s="2249"/>
      <c r="AY288" s="2249"/>
      <c r="AZ288" s="2249"/>
      <c r="BA288" s="2249"/>
      <c r="BB288" s="2249"/>
      <c r="BC288" s="1343"/>
      <c r="BD288" s="2249"/>
      <c r="BE288" s="2249"/>
      <c r="BF288" s="2249"/>
      <c r="BG288" s="2249"/>
      <c r="BH288" s="2249"/>
      <c r="BI288" s="2249"/>
      <c r="BJ288" s="2249"/>
      <c r="BK288" s="2249"/>
      <c r="BL288" s="2249"/>
      <c r="BM288" s="2249"/>
      <c r="BN288" s="2249"/>
      <c r="BO288" s="2249"/>
      <c r="BP288" s="2249"/>
      <c r="BQ288" s="2249"/>
      <c r="BR288" s="2249"/>
      <c r="BS288" s="2249"/>
      <c r="BT288" s="2249"/>
      <c r="BU288" s="2249"/>
      <c r="BV288" s="2249"/>
      <c r="BW288" s="2249"/>
      <c r="BX288" s="2249"/>
      <c r="BY288" s="2249"/>
      <c r="BZ288" s="2249"/>
      <c r="CA288" s="2249"/>
      <c r="CB288" s="2249"/>
      <c r="CC288" s="2249"/>
      <c r="CD288" s="2249"/>
      <c r="CE288" s="2249"/>
      <c r="CF288" s="2249"/>
      <c r="CG288" s="2249"/>
      <c r="CH288" s="2249"/>
      <c r="CI288" s="2249"/>
      <c r="CJ288" s="2249"/>
      <c r="CK288" s="2249"/>
      <c r="CL288" s="2249"/>
      <c r="CM288" s="2249"/>
      <c r="CN288" s="2249"/>
      <c r="CO288" s="2249"/>
      <c r="CP288" s="2249"/>
      <c r="CQ288" s="2249"/>
      <c r="CR288" s="2249"/>
      <c r="CS288" s="2249"/>
      <c r="CT288" s="2249"/>
      <c r="CU288" s="2249"/>
      <c r="CV288" s="2249"/>
      <c r="CW288" s="2249"/>
      <c r="CX288" s="2249"/>
      <c r="CY288" s="2249"/>
      <c r="CZ288" s="2513">
        <f t="shared" ref="CZ288:DE288" si="488">CZ277*CZ223</f>
        <v>7368.6211696944865</v>
      </c>
      <c r="DA288" s="2513">
        <f t="shared" si="488"/>
        <v>6001.6557055158692</v>
      </c>
      <c r="DB288" s="2513">
        <f t="shared" si="488"/>
        <v>4521.4696136760003</v>
      </c>
      <c r="DC288" s="2513">
        <f t="shared" si="488"/>
        <v>3885.2484673939725</v>
      </c>
      <c r="DD288" s="2513">
        <f t="shared" si="488"/>
        <v>3854.9346821857616</v>
      </c>
      <c r="DE288" s="2513">
        <f t="shared" si="488"/>
        <v>3877.8961277103108</v>
      </c>
      <c r="DF288" s="2513"/>
    </row>
    <row r="289" spans="1:110" s="1715" customFormat="1" hidden="1" outlineLevel="1">
      <c r="A289" s="2249" t="s">
        <v>35</v>
      </c>
      <c r="B289" s="2249"/>
      <c r="C289" s="2249"/>
      <c r="D289" s="2249"/>
      <c r="E289" s="2249"/>
      <c r="F289" s="2249"/>
      <c r="G289" s="2249"/>
      <c r="H289" s="2249"/>
      <c r="I289" s="2249"/>
      <c r="J289" s="2249"/>
      <c r="K289" s="2249"/>
      <c r="L289" s="2249"/>
      <c r="M289" s="2249"/>
      <c r="N289" s="2249"/>
      <c r="O289" s="2249"/>
      <c r="P289" s="2249"/>
      <c r="Q289" s="2249"/>
      <c r="R289" s="2249"/>
      <c r="S289" s="2249"/>
      <c r="T289" s="2249"/>
      <c r="U289" s="2249"/>
      <c r="V289" s="2249"/>
      <c r="W289" s="2249"/>
      <c r="X289" s="2249"/>
      <c r="Y289" s="2249"/>
      <c r="Z289" s="2249"/>
      <c r="AA289" s="2249"/>
      <c r="AB289" s="2249"/>
      <c r="AC289" s="2249"/>
      <c r="AD289" s="2249"/>
      <c r="AE289" s="2249"/>
      <c r="AF289" s="2249"/>
      <c r="AG289" s="2249"/>
      <c r="AH289" s="2249"/>
      <c r="AI289" s="2249"/>
      <c r="AJ289" s="2249"/>
      <c r="AK289" s="2249"/>
      <c r="AL289" s="2249"/>
      <c r="AM289" s="2249"/>
      <c r="AN289" s="2249"/>
      <c r="AO289" s="2249"/>
      <c r="AP289" s="2249"/>
      <c r="AQ289" s="2249"/>
      <c r="AR289" s="2249"/>
      <c r="AS289" s="2249"/>
      <c r="AT289" s="2249"/>
      <c r="AU289" s="2249"/>
      <c r="AV289" s="2249"/>
      <c r="AW289" s="2249"/>
      <c r="AX289" s="2249"/>
      <c r="AY289" s="2249"/>
      <c r="AZ289" s="2249"/>
      <c r="BA289" s="2249"/>
      <c r="BB289" s="2249"/>
      <c r="BC289" s="1343"/>
      <c r="BD289" s="2249"/>
      <c r="BE289" s="2249"/>
      <c r="BF289" s="2249"/>
      <c r="BG289" s="2249"/>
      <c r="BH289" s="2249"/>
      <c r="BI289" s="2249"/>
      <c r="BJ289" s="2249"/>
      <c r="BK289" s="2249"/>
      <c r="BL289" s="2249"/>
      <c r="BM289" s="2249"/>
      <c r="BN289" s="2249"/>
      <c r="BO289" s="2249"/>
      <c r="BP289" s="2249"/>
      <c r="BQ289" s="2249"/>
      <c r="BR289" s="2249"/>
      <c r="BS289" s="2249"/>
      <c r="BT289" s="2249"/>
      <c r="BU289" s="2249"/>
      <c r="BV289" s="2249"/>
      <c r="BW289" s="2249"/>
      <c r="BX289" s="2249"/>
      <c r="BY289" s="2249"/>
      <c r="BZ289" s="2249"/>
      <c r="CA289" s="2249"/>
      <c r="CB289" s="2249"/>
      <c r="CC289" s="2249"/>
      <c r="CD289" s="2249"/>
      <c r="CE289" s="2249"/>
      <c r="CF289" s="2249"/>
      <c r="CG289" s="2249"/>
      <c r="CH289" s="2249"/>
      <c r="CI289" s="2249"/>
      <c r="CJ289" s="2249"/>
      <c r="CK289" s="2249"/>
      <c r="CL289" s="2249"/>
      <c r="CM289" s="2249"/>
      <c r="CN289" s="2249"/>
      <c r="CO289" s="2249"/>
      <c r="CP289" s="2249"/>
      <c r="CQ289" s="2249"/>
      <c r="CR289" s="2249"/>
      <c r="CS289" s="2249"/>
      <c r="CT289" s="2249"/>
      <c r="CU289" s="2249"/>
      <c r="CV289" s="2249"/>
      <c r="CW289" s="2249"/>
      <c r="CX289" s="2249"/>
      <c r="CY289" s="2249"/>
      <c r="CZ289" s="2513">
        <f t="shared" ref="CZ289:DE289" si="489">CZ279*CZ224</f>
        <v>7010.3158929552792</v>
      </c>
      <c r="DA289" s="2513">
        <f t="shared" si="489"/>
        <v>6950.7974747547614</v>
      </c>
      <c r="DB289" s="2513">
        <f t="shared" si="489"/>
        <v>5676.0127683233013</v>
      </c>
      <c r="DC289" s="2513">
        <f t="shared" si="489"/>
        <v>4074.1665310641456</v>
      </c>
      <c r="DD289" s="2513">
        <f t="shared" si="489"/>
        <v>4049.0678719447792</v>
      </c>
      <c r="DE289" s="2513">
        <f t="shared" si="489"/>
        <v>4013.1729556422756</v>
      </c>
      <c r="DF289" s="2513"/>
    </row>
    <row r="290" spans="1:110" s="1715" customFormat="1" hidden="1" outlineLevel="1">
      <c r="A290" s="2249" t="s">
        <v>36</v>
      </c>
      <c r="B290" s="2249"/>
      <c r="C290" s="2249"/>
      <c r="D290" s="2249"/>
      <c r="E290" s="2249"/>
      <c r="F290" s="2249"/>
      <c r="G290" s="2249"/>
      <c r="H290" s="2249"/>
      <c r="I290" s="2249"/>
      <c r="J290" s="2249"/>
      <c r="K290" s="2249"/>
      <c r="L290" s="2249"/>
      <c r="M290" s="2249"/>
      <c r="N290" s="2249"/>
      <c r="O290" s="2249"/>
      <c r="P290" s="2249"/>
      <c r="Q290" s="2249"/>
      <c r="R290" s="2249"/>
      <c r="S290" s="2249"/>
      <c r="T290" s="2249"/>
      <c r="U290" s="2249"/>
      <c r="V290" s="2249"/>
      <c r="W290" s="2249"/>
      <c r="X290" s="2249"/>
      <c r="Y290" s="2249"/>
      <c r="Z290" s="2249"/>
      <c r="AA290" s="2249"/>
      <c r="AB290" s="2249"/>
      <c r="AC290" s="2249"/>
      <c r="AD290" s="2249"/>
      <c r="AE290" s="2249"/>
      <c r="AF290" s="2249"/>
      <c r="AG290" s="2249"/>
      <c r="AH290" s="2249"/>
      <c r="AI290" s="2249"/>
      <c r="AJ290" s="2249"/>
      <c r="AK290" s="2249"/>
      <c r="AL290" s="2249"/>
      <c r="AM290" s="2249"/>
      <c r="AN290" s="2249"/>
      <c r="AO290" s="2249"/>
      <c r="AP290" s="2249"/>
      <c r="AQ290" s="2249"/>
      <c r="AR290" s="2249"/>
      <c r="AS290" s="2249"/>
      <c r="AT290" s="2249"/>
      <c r="AU290" s="2249"/>
      <c r="AV290" s="2249"/>
      <c r="AW290" s="2249"/>
      <c r="AX290" s="2249"/>
      <c r="AY290" s="2249"/>
      <c r="AZ290" s="2249"/>
      <c r="BA290" s="2249"/>
      <c r="BB290" s="2249"/>
      <c r="BC290" s="1343"/>
      <c r="BD290" s="2249"/>
      <c r="BE290" s="2249"/>
      <c r="BF290" s="2249"/>
      <c r="BG290" s="2249"/>
      <c r="BH290" s="2249"/>
      <c r="BI290" s="2249"/>
      <c r="BJ290" s="2249"/>
      <c r="BK290" s="2249"/>
      <c r="BL290" s="2249"/>
      <c r="BM290" s="2249"/>
      <c r="BN290" s="2249"/>
      <c r="BO290" s="2249"/>
      <c r="BP290" s="2249"/>
      <c r="BQ290" s="2249"/>
      <c r="BR290" s="2249"/>
      <c r="BS290" s="2249"/>
      <c r="BT290" s="2249"/>
      <c r="BU290" s="2249"/>
      <c r="BV290" s="2249"/>
      <c r="BW290" s="2249"/>
      <c r="BX290" s="2249"/>
      <c r="BY290" s="2249"/>
      <c r="BZ290" s="2249"/>
      <c r="CA290" s="2249"/>
      <c r="CB290" s="2249"/>
      <c r="CC290" s="2249"/>
      <c r="CD290" s="2249"/>
      <c r="CE290" s="2249"/>
      <c r="CF290" s="2249"/>
      <c r="CG290" s="2249"/>
      <c r="CH290" s="2249"/>
      <c r="CI290" s="2249"/>
      <c r="CJ290" s="2249"/>
      <c r="CK290" s="2249"/>
      <c r="CL290" s="2249"/>
      <c r="CM290" s="2249"/>
      <c r="CN290" s="2249"/>
      <c r="CO290" s="2249"/>
      <c r="CP290" s="2249"/>
      <c r="CQ290" s="2249"/>
      <c r="CR290" s="2249"/>
      <c r="CS290" s="2249"/>
      <c r="CT290" s="2249"/>
      <c r="CU290" s="2249"/>
      <c r="CV290" s="2249"/>
      <c r="CW290" s="2249"/>
      <c r="CX290" s="2249"/>
      <c r="CY290" s="2249"/>
      <c r="CZ290" s="2513">
        <f t="shared" ref="CZ290:DE290" si="490">CZ281*CZ225*0.5+CZ281*CZ223*0.5</f>
        <v>478.95544985070592</v>
      </c>
      <c r="DA290" s="2513">
        <f t="shared" si="490"/>
        <v>776.76550578968238</v>
      </c>
      <c r="DB290" s="2513">
        <f t="shared" si="490"/>
        <v>905.51885035706289</v>
      </c>
      <c r="DC290" s="2513">
        <f t="shared" si="490"/>
        <v>843.72549787963806</v>
      </c>
      <c r="DD290" s="2513">
        <f t="shared" si="490"/>
        <v>854.76934937423721</v>
      </c>
      <c r="DE290" s="2513">
        <f t="shared" si="490"/>
        <v>863.70944354983203</v>
      </c>
      <c r="DF290" s="2513"/>
    </row>
    <row r="291" spans="1:110" collapsed="1">
      <c r="AQ291" s="1415"/>
      <c r="BC291" s="1343"/>
      <c r="CZ291" s="893"/>
      <c r="DA291" s="893"/>
      <c r="DB291" s="893"/>
      <c r="DC291" s="893"/>
      <c r="DD291" s="893"/>
      <c r="DE291" s="893"/>
      <c r="DF291" s="893"/>
    </row>
    <row r="298" spans="1:110">
      <c r="DA298" s="893">
        <f>SUM(AP298:AS298)</f>
        <v>0</v>
      </c>
      <c r="DB298" s="893">
        <f>SUM(AT298:AW298)</f>
        <v>0</v>
      </c>
      <c r="DC298" s="893">
        <f>SUM(AX298:BB298)</f>
        <v>0</v>
      </c>
      <c r="DD298" s="893">
        <f>SUM(BC298:BG298)</f>
        <v>0</v>
      </c>
      <c r="DE298" s="893"/>
      <c r="DF298" s="893"/>
    </row>
    <row r="299" spans="1:110">
      <c r="AX299" s="987"/>
    </row>
    <row r="300" spans="1:110">
      <c r="AX300" s="987"/>
    </row>
  </sheetData>
  <mergeCells count="15">
    <mergeCell ref="BU4:BX4"/>
    <mergeCell ref="BP4:BS4"/>
    <mergeCell ref="BK4:BN4"/>
    <mergeCell ref="AJ4:AM4"/>
    <mergeCell ref="AB4:AE4"/>
    <mergeCell ref="AF4:AI4"/>
    <mergeCell ref="L4:O4"/>
    <mergeCell ref="P4:S4"/>
    <mergeCell ref="T4:W4"/>
    <mergeCell ref="X4:AA4"/>
    <mergeCell ref="BF4:BI4"/>
    <mergeCell ref="AN4:AQ4"/>
    <mergeCell ref="BA4:BD4"/>
    <mergeCell ref="AV4:AY4"/>
    <mergeCell ref="AR4:AU4"/>
  </mergeCells>
  <phoneticPr fontId="4" type="noConversion"/>
  <pageMargins left="0.75" right="0.75" top="1" bottom="1" header="0.5" footer="0.5"/>
  <pageSetup scale="47" fitToHeight="2" orientation="portrait" r:id="rId1"/>
  <headerFooter alignWithMargins="0"/>
  <rowBreaks count="1" manualBreakCount="1">
    <brk id="142" max="85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3" tint="0.39997558519241921"/>
    <pageSetUpPr fitToPage="1"/>
  </sheetPr>
  <dimension ref="A1:FR219"/>
  <sheetViews>
    <sheetView showGridLines="0" zoomScaleNormal="100" workbookViewId="0">
      <pane xSplit="82" ySplit="5" topLeftCell="DX6" activePane="bottomRight" state="frozen"/>
      <selection activeCell="DS9" sqref="DS9"/>
      <selection pane="topRight" activeCell="DS9" sqref="DS9"/>
      <selection pane="bottomLeft" activeCell="DS9" sqref="DS9"/>
      <selection pane="bottomRight" activeCell="DX6" sqref="DX6"/>
    </sheetView>
  </sheetViews>
  <sheetFormatPr defaultRowHeight="12.75" outlineLevelRow="1" outlineLevelCol="2"/>
  <cols>
    <col min="1" max="1" width="33" customWidth="1"/>
    <col min="2" max="67" width="9.85546875" hidden="1" customWidth="1" outlineLevel="2"/>
    <col min="68" max="68" width="10.140625" hidden="1" customWidth="1" outlineLevel="1" collapsed="1"/>
    <col min="69" max="72" width="9.85546875" hidden="1" customWidth="1" outlineLevel="2"/>
    <col min="73" max="73" width="11.42578125" hidden="1" customWidth="1" outlineLevel="1" collapsed="1"/>
    <col min="74" max="74" width="10.42578125" hidden="1" customWidth="1" outlineLevel="2"/>
    <col min="75" max="76" width="9.85546875" hidden="1" customWidth="1" outlineLevel="2"/>
    <col min="77" max="77" width="10.7109375" hidden="1" customWidth="1" outlineLevel="2"/>
    <col min="78" max="78" width="11.7109375" hidden="1" customWidth="1" outlineLevel="1"/>
    <col min="79" max="79" width="9.85546875" hidden="1" customWidth="1" outlineLevel="1" collapsed="1"/>
    <col min="80" max="82" width="9.85546875" hidden="1" customWidth="1" outlineLevel="1"/>
    <col min="83" max="83" width="12" hidden="1" customWidth="1" outlineLevel="1"/>
    <col min="84" max="84" width="9.85546875" hidden="1" customWidth="1" outlineLevel="2"/>
    <col min="85" max="85" width="10.7109375" hidden="1" customWidth="1" outlineLevel="2"/>
    <col min="86" max="86" width="9.85546875" hidden="1" customWidth="1" outlineLevel="2"/>
    <col min="87" max="87" width="10.7109375" hidden="1" customWidth="1" outlineLevel="2"/>
    <col min="88" max="88" width="12.140625" hidden="1" customWidth="1" outlineLevel="1" collapsed="1"/>
    <col min="89" max="89" width="9.85546875" hidden="1" customWidth="1" outlineLevel="1"/>
    <col min="90" max="91" width="10.28515625" hidden="1" customWidth="1" outlineLevel="1"/>
    <col min="92" max="92" width="10.7109375" hidden="1" customWidth="1" outlineLevel="1"/>
    <col min="93" max="93" width="12.140625" hidden="1" customWidth="1" outlineLevel="1" collapsed="1"/>
    <col min="94" max="94" width="9.85546875" hidden="1" customWidth="1" outlineLevel="2"/>
    <col min="95" max="95" width="10.28515625" hidden="1" customWidth="1" outlineLevel="2"/>
    <col min="96" max="96" width="11.5703125" hidden="1" customWidth="1" outlineLevel="2"/>
    <col min="97" max="97" width="11.85546875" hidden="1" customWidth="1" outlineLevel="2"/>
    <col min="98" max="98" width="12.140625" hidden="1" customWidth="1" outlineLevel="1"/>
    <col min="99" max="99" width="11.85546875" hidden="1" customWidth="1" outlineLevel="1"/>
    <col min="100" max="100" width="10.28515625" hidden="1" customWidth="1" outlineLevel="1"/>
    <col min="101" max="101" width="11.5703125" hidden="1" customWidth="1" outlineLevel="1"/>
    <col min="102" max="102" width="11.85546875" hidden="1" customWidth="1" outlineLevel="1"/>
    <col min="103" max="103" width="12.140625" hidden="1" customWidth="1" outlineLevel="1" collapsed="1"/>
    <col min="104" max="104" width="11.85546875" hidden="1" customWidth="1" outlineLevel="2"/>
    <col min="105" max="105" width="10.28515625" hidden="1" customWidth="1" outlineLevel="2"/>
    <col min="106" max="106" width="11.5703125" hidden="1" customWidth="1" outlineLevel="2"/>
    <col min="107" max="107" width="10.28515625" hidden="1" customWidth="1" outlineLevel="2"/>
    <col min="108" max="108" width="12.140625" hidden="1" customWidth="1" outlineLevel="1"/>
    <col min="109" max="109" width="11.28515625" hidden="1" customWidth="1" outlineLevel="1"/>
    <col min="110" max="112" width="10.28515625" hidden="1" customWidth="1" outlineLevel="1"/>
    <col min="113" max="113" width="12.140625" hidden="1" customWidth="1" collapsed="1"/>
    <col min="114" max="114" width="11.28515625" hidden="1" customWidth="1" outlineLevel="1"/>
    <col min="115" max="117" width="10.28515625" hidden="1" customWidth="1" outlineLevel="1"/>
    <col min="118" max="118" width="12.140625" hidden="1" customWidth="1" collapsed="1"/>
    <col min="119" max="119" width="11.28515625" style="236" hidden="1" customWidth="1" outlineLevel="1"/>
    <col min="120" max="122" width="10.28515625" hidden="1" customWidth="1" outlineLevel="1"/>
    <col min="123" max="123" width="12.140625" hidden="1" customWidth="1" collapsed="1"/>
    <col min="124" max="124" width="11.28515625" hidden="1" customWidth="1" outlineLevel="1"/>
    <col min="125" max="127" width="10.28515625" hidden="1" customWidth="1" outlineLevel="1"/>
    <col min="128" max="128" width="12.140625" bestFit="1" customWidth="1" collapsed="1"/>
    <col min="129" max="129" width="11.28515625" hidden="1" customWidth="1" outlineLevel="1"/>
    <col min="130" max="132" width="10.28515625" hidden="1" customWidth="1" outlineLevel="1"/>
    <col min="133" max="133" width="12.140625" bestFit="1" customWidth="1" collapsed="1"/>
    <col min="134" max="134" width="11.28515625" hidden="1" customWidth="1" outlineLevel="1"/>
    <col min="135" max="137" width="10.28515625" hidden="1" customWidth="1" outlineLevel="1"/>
    <col min="138" max="138" width="12.140625" bestFit="1" customWidth="1" collapsed="1"/>
    <col min="139" max="139" width="11.28515625" hidden="1" customWidth="1" outlineLevel="1"/>
    <col min="140" max="142" width="10.28515625" hidden="1" customWidth="1" outlineLevel="1"/>
    <col min="143" max="143" width="12.140625" customWidth="1" collapsed="1"/>
    <col min="144" max="144" width="11.28515625" hidden="1" customWidth="1" outlineLevel="1"/>
    <col min="145" max="147" width="10.28515625" hidden="1" customWidth="1" outlineLevel="1"/>
    <col min="148" max="148" width="12.140625" bestFit="1" customWidth="1" collapsed="1"/>
    <col min="149" max="152" width="12.140625" hidden="1" customWidth="1" outlineLevel="1"/>
    <col min="153" max="153" width="12.140625" customWidth="1" collapsed="1"/>
    <col min="154" max="157" width="12.140625" hidden="1" customWidth="1" outlineLevel="1"/>
    <col min="158" max="158" width="12.140625" customWidth="1" collapsed="1"/>
    <col min="159" max="162" width="12.140625" hidden="1" customWidth="1" outlineLevel="1"/>
    <col min="163" max="163" width="12.140625" customWidth="1" collapsed="1"/>
    <col min="164" max="167" width="12.140625" hidden="1" customWidth="1" outlineLevel="1"/>
    <col min="168" max="168" width="12.140625" customWidth="1" collapsed="1"/>
    <col min="169" max="173" width="12.140625" customWidth="1"/>
  </cols>
  <sheetData>
    <row r="1" spans="1:174" s="7" customFormat="1" ht="20.25">
      <c r="A1" s="90" t="str">
        <f>IS!A2</f>
        <v>Microsoft</v>
      </c>
      <c r="DZ1" s="209"/>
      <c r="EG1" s="209"/>
    </row>
    <row r="2" spans="1:174" s="7" customFormat="1" ht="20.25">
      <c r="A2" s="91" t="s">
        <v>664</v>
      </c>
      <c r="EA2" s="209"/>
      <c r="EB2" s="209"/>
      <c r="ED2" s="209"/>
    </row>
    <row r="3" spans="1:174" s="7" customFormat="1" ht="11.25">
      <c r="A3" s="8" t="s">
        <v>681</v>
      </c>
    </row>
    <row r="4" spans="1:174" s="41" customFormat="1" ht="11.25" customHeight="1">
      <c r="A4" s="40" t="s">
        <v>161</v>
      </c>
      <c r="D4" s="42"/>
      <c r="H4" s="43" t="s">
        <v>109</v>
      </c>
      <c r="M4" s="43" t="s">
        <v>109</v>
      </c>
      <c r="R4" s="43" t="s">
        <v>109</v>
      </c>
      <c r="W4" s="43" t="s">
        <v>109</v>
      </c>
      <c r="AB4" s="43" t="s">
        <v>109</v>
      </c>
      <c r="AG4" s="43" t="s">
        <v>109</v>
      </c>
      <c r="AL4" s="43" t="s">
        <v>109</v>
      </c>
      <c r="AQ4" s="43" t="s">
        <v>109</v>
      </c>
      <c r="AV4" s="44" t="s">
        <v>109</v>
      </c>
      <c r="BA4" s="44" t="s">
        <v>109</v>
      </c>
      <c r="BF4" s="44" t="s">
        <v>109</v>
      </c>
      <c r="BK4" s="44" t="s">
        <v>109</v>
      </c>
      <c r="BP4" s="44" t="s">
        <v>109</v>
      </c>
      <c r="BU4" s="44" t="s">
        <v>109</v>
      </c>
      <c r="BZ4" s="44" t="s">
        <v>109</v>
      </c>
      <c r="CE4" s="44" t="s">
        <v>109</v>
      </c>
      <c r="CJ4" s="44" t="s">
        <v>109</v>
      </c>
      <c r="CO4" s="44" t="s">
        <v>109</v>
      </c>
      <c r="CT4" s="44" t="s">
        <v>109</v>
      </c>
      <c r="CY4" s="44" t="s">
        <v>109</v>
      </c>
      <c r="DD4" s="44" t="s">
        <v>109</v>
      </c>
      <c r="DI4" s="44" t="s">
        <v>109</v>
      </c>
      <c r="DN4" s="44" t="s">
        <v>109</v>
      </c>
      <c r="DS4" s="44" t="s">
        <v>109</v>
      </c>
      <c r="DX4" s="44" t="s">
        <v>109</v>
      </c>
      <c r="EA4" s="1149"/>
      <c r="EC4" s="44" t="s">
        <v>109</v>
      </c>
      <c r="ED4" s="1149"/>
      <c r="EE4" s="1149"/>
      <c r="EF4" s="1149"/>
      <c r="EG4" s="1149"/>
      <c r="EH4" s="44" t="s">
        <v>109</v>
      </c>
      <c r="EI4" s="1149"/>
      <c r="EJ4" s="1149"/>
      <c r="EK4" s="1149"/>
      <c r="EL4" s="1149"/>
      <c r="EM4" s="1150" t="s">
        <v>109</v>
      </c>
      <c r="EN4" s="1149"/>
      <c r="EO4" s="1149"/>
      <c r="EP4" s="1149"/>
      <c r="EQ4" s="1149"/>
      <c r="ER4" s="1150" t="s">
        <v>109</v>
      </c>
      <c r="ES4" s="1149"/>
      <c r="ET4" s="1149"/>
      <c r="EU4" s="1149"/>
      <c r="EV4" s="1149"/>
      <c r="EW4" s="1150" t="s">
        <v>109</v>
      </c>
      <c r="EX4" s="1149"/>
      <c r="EY4" s="1149"/>
      <c r="EZ4" s="1149"/>
      <c r="FA4" s="1149"/>
      <c r="FB4" s="1150" t="s">
        <v>109</v>
      </c>
      <c r="FC4" s="1149"/>
      <c r="FD4" s="1149"/>
      <c r="FE4" s="1149"/>
      <c r="FF4" s="1149"/>
      <c r="FG4" s="1150" t="s">
        <v>109</v>
      </c>
      <c r="FH4" s="1149"/>
      <c r="FI4" s="1149"/>
      <c r="FJ4" s="1149"/>
      <c r="FK4" s="1149"/>
      <c r="FL4" s="1150" t="s">
        <v>109</v>
      </c>
      <c r="FM4" s="1149"/>
      <c r="FN4" s="1149"/>
      <c r="FO4" s="1149"/>
      <c r="FP4" s="1149"/>
      <c r="FQ4" s="1149"/>
    </row>
    <row r="5" spans="1:174" s="45" customFormat="1" ht="12">
      <c r="B5" s="46"/>
      <c r="C5" s="46"/>
      <c r="D5" s="47">
        <f>IS!D7</f>
        <v>32416</v>
      </c>
      <c r="E5" s="47">
        <f>IS!E7</f>
        <v>32508</v>
      </c>
      <c r="F5" s="47">
        <f>IS!F7</f>
        <v>32598</v>
      </c>
      <c r="G5" s="47">
        <f>IS!G7</f>
        <v>32689</v>
      </c>
      <c r="H5" s="47" t="str">
        <f>IS!H7</f>
        <v>1989</v>
      </c>
      <c r="I5" s="47">
        <f>IS!I7</f>
        <v>32781</v>
      </c>
      <c r="J5" s="47">
        <f>IS!J7</f>
        <v>32873</v>
      </c>
      <c r="K5" s="47">
        <f>IS!K7</f>
        <v>32963</v>
      </c>
      <c r="L5" s="47">
        <f>IS!L7</f>
        <v>33054</v>
      </c>
      <c r="M5" s="47" t="str">
        <f>IS!M7</f>
        <v>1990</v>
      </c>
      <c r="N5" s="47">
        <f>IS!N7</f>
        <v>33146</v>
      </c>
      <c r="O5" s="47">
        <f>IS!O7</f>
        <v>33238</v>
      </c>
      <c r="P5" s="47">
        <f>IS!P7</f>
        <v>33328</v>
      </c>
      <c r="Q5" s="47">
        <f>IS!Q7</f>
        <v>33419</v>
      </c>
      <c r="R5" s="47" t="str">
        <f>IS!R7</f>
        <v>1991</v>
      </c>
      <c r="S5" s="47">
        <f>IS!S7</f>
        <v>33511</v>
      </c>
      <c r="T5" s="47">
        <f>IS!T7</f>
        <v>33603</v>
      </c>
      <c r="U5" s="47">
        <f>IS!U7</f>
        <v>33694</v>
      </c>
      <c r="V5" s="47">
        <f>IS!V7</f>
        <v>33785</v>
      </c>
      <c r="W5" s="47" t="str">
        <f>IS!W7</f>
        <v>1992</v>
      </c>
      <c r="X5" s="47">
        <f>IS!X7</f>
        <v>33877</v>
      </c>
      <c r="Y5" s="47">
        <f>IS!Y7</f>
        <v>33969</v>
      </c>
      <c r="Z5" s="47">
        <f>IS!Z7</f>
        <v>34059</v>
      </c>
      <c r="AA5" s="47">
        <f>IS!AA7</f>
        <v>34150</v>
      </c>
      <c r="AB5" s="47" t="str">
        <f>IS!AB7</f>
        <v>1993</v>
      </c>
      <c r="AC5" s="47">
        <f>IS!AC7</f>
        <v>34242</v>
      </c>
      <c r="AD5" s="47">
        <f>IS!AD7</f>
        <v>34334</v>
      </c>
      <c r="AE5" s="47">
        <f>IS!AE7</f>
        <v>34424</v>
      </c>
      <c r="AF5" s="47">
        <f>IS!AF7</f>
        <v>34515</v>
      </c>
      <c r="AG5" s="47" t="str">
        <f>IS!AG7</f>
        <v>1994</v>
      </c>
      <c r="AH5" s="47">
        <f>IS!AH7</f>
        <v>34607</v>
      </c>
      <c r="AI5" s="47">
        <f>IS!AI7</f>
        <v>34699</v>
      </c>
      <c r="AJ5" s="47">
        <f>IS!AJ7</f>
        <v>34789</v>
      </c>
      <c r="AK5" s="47">
        <f>IS!AK7</f>
        <v>34880</v>
      </c>
      <c r="AL5" s="47" t="str">
        <f>IS!AL7</f>
        <v>1995</v>
      </c>
      <c r="AM5" s="47">
        <f>IS!AM7</f>
        <v>34972</v>
      </c>
      <c r="AN5" s="47">
        <f>IS!AN7</f>
        <v>35064</v>
      </c>
      <c r="AO5" s="47">
        <f>IS!AO7</f>
        <v>35155</v>
      </c>
      <c r="AP5" s="47">
        <f>IS!AP7</f>
        <v>35246</v>
      </c>
      <c r="AQ5" s="47" t="str">
        <f>IS!AQ7</f>
        <v>1996</v>
      </c>
      <c r="AR5" s="47">
        <f>IS!AR7</f>
        <v>35338</v>
      </c>
      <c r="AS5" s="47">
        <f>IS!AS7</f>
        <v>35430</v>
      </c>
      <c r="AT5" s="47">
        <f>IS!AT7</f>
        <v>35520</v>
      </c>
      <c r="AU5" s="47">
        <f>IS!AU7</f>
        <v>35611</v>
      </c>
      <c r="AV5" s="47" t="str">
        <f>IS!AV7</f>
        <v>1997</v>
      </c>
      <c r="AW5" s="47">
        <f>IS!AW7</f>
        <v>35703</v>
      </c>
      <c r="AX5" s="47">
        <f>IS!AX7</f>
        <v>35795</v>
      </c>
      <c r="AY5" s="47">
        <f>IS!AY7</f>
        <v>35885</v>
      </c>
      <c r="AZ5" s="47">
        <f>IS!AZ7</f>
        <v>35976</v>
      </c>
      <c r="BA5" s="47" t="str">
        <f>IS!BA7</f>
        <v>1998</v>
      </c>
      <c r="BB5" s="47">
        <f>IS!BB7</f>
        <v>36068</v>
      </c>
      <c r="BC5" s="47">
        <f>IS!BC7</f>
        <v>36160</v>
      </c>
      <c r="BD5" s="47">
        <f>IS!BD7</f>
        <v>36250</v>
      </c>
      <c r="BE5" s="47">
        <f>IS!BE7</f>
        <v>36341</v>
      </c>
      <c r="BF5" s="47" t="str">
        <f>IS!BF7</f>
        <v>1999</v>
      </c>
      <c r="BG5" s="47">
        <f>IS!BG7</f>
        <v>36433</v>
      </c>
      <c r="BH5" s="47">
        <f>IS!BH7</f>
        <v>36525</v>
      </c>
      <c r="BI5" s="47">
        <f>IS!BI7</f>
        <v>36616</v>
      </c>
      <c r="BJ5" s="47">
        <f>IS!BJ7</f>
        <v>36707</v>
      </c>
      <c r="BK5" s="47" t="str">
        <f>IS!BK7</f>
        <v>2000</v>
      </c>
      <c r="BL5" s="47">
        <f>IS!BL7</f>
        <v>36799</v>
      </c>
      <c r="BM5" s="47">
        <f>IS!BM7</f>
        <v>36891</v>
      </c>
      <c r="BN5" s="47">
        <f>IS!BN7</f>
        <v>36981</v>
      </c>
      <c r="BO5" s="47">
        <f>IS!BO7</f>
        <v>37072</v>
      </c>
      <c r="BP5" s="67" t="str">
        <f>IS!BP7</f>
        <v>2001</v>
      </c>
      <c r="BQ5" s="66">
        <f>IS!BQ7</f>
        <v>37164</v>
      </c>
      <c r="BR5" s="66">
        <f>IS!BR7</f>
        <v>37256</v>
      </c>
      <c r="BS5" s="66">
        <f>IS!BS7</f>
        <v>37346</v>
      </c>
      <c r="BT5" s="66">
        <f>IS!BT7</f>
        <v>37437</v>
      </c>
      <c r="BU5" s="67" t="str">
        <f>IS!BU7</f>
        <v>2002</v>
      </c>
      <c r="BV5" s="66">
        <f>IS!BV7</f>
        <v>37529</v>
      </c>
      <c r="BW5" s="66">
        <f>IS!BW7</f>
        <v>37621</v>
      </c>
      <c r="BX5" s="66">
        <f>IS!BX7</f>
        <v>37711</v>
      </c>
      <c r="BY5" s="66">
        <f>IS!BY7</f>
        <v>37802</v>
      </c>
      <c r="BZ5" s="67" t="str">
        <f>IS!BZ7</f>
        <v>2003</v>
      </c>
      <c r="CA5" s="66">
        <f>IS!CA7</f>
        <v>37894</v>
      </c>
      <c r="CB5" s="66">
        <f>IS!CB7</f>
        <v>37986</v>
      </c>
      <c r="CC5" s="66">
        <f>IS!CC7</f>
        <v>38077</v>
      </c>
      <c r="CD5" s="66">
        <f>IS!CD7</f>
        <v>38168</v>
      </c>
      <c r="CE5" s="67" t="str">
        <f>IS!CE7</f>
        <v>2004</v>
      </c>
      <c r="CF5" s="177">
        <f>IS!CF7</f>
        <v>38260</v>
      </c>
      <c r="CG5" s="177">
        <f>IS!CG7</f>
        <v>38352</v>
      </c>
      <c r="CH5" s="177">
        <f>IS!CH7</f>
        <v>38442</v>
      </c>
      <c r="CI5" s="177">
        <f>IS!CI7</f>
        <v>38533</v>
      </c>
      <c r="CJ5" s="67" t="str">
        <f>IS!CJ7</f>
        <v>2005</v>
      </c>
      <c r="CK5" s="177">
        <f>IS!CK7</f>
        <v>38625</v>
      </c>
      <c r="CL5" s="177">
        <f>IS!CL7</f>
        <v>38717</v>
      </c>
      <c r="CM5" s="177">
        <f>IS!CM7</f>
        <v>38807</v>
      </c>
      <c r="CN5" s="177">
        <f>IS!CN7</f>
        <v>38898</v>
      </c>
      <c r="CO5" s="67" t="str">
        <f>IS!CO7</f>
        <v>2006</v>
      </c>
      <c r="CP5" s="177">
        <f>IS!CP7</f>
        <v>38990</v>
      </c>
      <c r="CQ5" s="177">
        <f>IS!CQ7</f>
        <v>39082</v>
      </c>
      <c r="CR5" s="177">
        <f>IS!CR7</f>
        <v>39172</v>
      </c>
      <c r="CS5" s="177">
        <f>IS!CS7</f>
        <v>39263</v>
      </c>
      <c r="CT5" s="67" t="str">
        <f>IS!CT7</f>
        <v>2007</v>
      </c>
      <c r="CU5" s="177">
        <f>IS!CU7</f>
        <v>39355</v>
      </c>
      <c r="CV5" s="177">
        <f>IS!CV7</f>
        <v>39447</v>
      </c>
      <c r="CW5" s="177">
        <f>IS!CW7</f>
        <v>39538</v>
      </c>
      <c r="CX5" s="177">
        <f>IS!CX7</f>
        <v>39607</v>
      </c>
      <c r="CY5" s="67" t="str">
        <f>IS!CY7</f>
        <v>2008</v>
      </c>
      <c r="CZ5" s="177">
        <f>IS!CZ7</f>
        <v>39699</v>
      </c>
      <c r="DA5" s="177">
        <f>IS!DA7</f>
        <v>39790</v>
      </c>
      <c r="DB5" s="177">
        <f>IS!DB7</f>
        <v>39881</v>
      </c>
      <c r="DC5" s="177">
        <f>IS!DC7</f>
        <v>39973</v>
      </c>
      <c r="DD5" s="67" t="str">
        <f>IS!DD7</f>
        <v>2009</v>
      </c>
      <c r="DE5" s="177">
        <f>IS!DE7</f>
        <v>40065</v>
      </c>
      <c r="DF5" s="66" t="str">
        <f>IS!DF7</f>
        <v>Dec-09</v>
      </c>
      <c r="DG5" s="66" t="str">
        <f>IS!DG7</f>
        <v>Mar-10</v>
      </c>
      <c r="DH5" s="177" t="str">
        <f>IS!DH7</f>
        <v>Jun-10</v>
      </c>
      <c r="DI5" s="67" t="str">
        <f>IS!DI7</f>
        <v>2010</v>
      </c>
      <c r="DJ5" s="177" t="str">
        <f>IS!DJ7</f>
        <v>Sep-10</v>
      </c>
      <c r="DK5" s="66" t="str">
        <f>IS!DK7</f>
        <v>Dec-10</v>
      </c>
      <c r="DL5" s="66" t="str">
        <f>IS!DL7</f>
        <v>Mar-11</v>
      </c>
      <c r="DM5" s="177" t="str">
        <f>IS!DM7</f>
        <v>Jun-11</v>
      </c>
      <c r="DN5" s="67" t="str">
        <f>IS!DN7</f>
        <v>2011</v>
      </c>
      <c r="DO5" s="66" t="str">
        <f>IS!DO7</f>
        <v>Sep-11</v>
      </c>
      <c r="DP5" s="66" t="str">
        <f>IS!DP7</f>
        <v>Dec-11</v>
      </c>
      <c r="DQ5" s="66" t="str">
        <f>IS!DQ7</f>
        <v>Mar-12</v>
      </c>
      <c r="DR5" s="177" t="str">
        <f>IS!DR7</f>
        <v>Jun-12</v>
      </c>
      <c r="DS5" s="67" t="str">
        <f>IS!DS7</f>
        <v>2012</v>
      </c>
      <c r="DT5" s="66" t="str">
        <f>IS!DT7</f>
        <v>Sep-12</v>
      </c>
      <c r="DU5" s="66" t="str">
        <f>IS!DU7</f>
        <v>Dec-12</v>
      </c>
      <c r="DV5" s="66" t="str">
        <f>IS!DV7</f>
        <v>Mar-13</v>
      </c>
      <c r="DW5" s="66" t="str">
        <f>IS!DW7</f>
        <v>Jun-13</v>
      </c>
      <c r="DX5" s="67" t="str">
        <f>IS!DX7</f>
        <v>2013</v>
      </c>
      <c r="DY5" s="66" t="str">
        <f>IS!DY7</f>
        <v>Sep-13</v>
      </c>
      <c r="DZ5" s="66" t="str">
        <f>IS!DZ7</f>
        <v>Dec-13</v>
      </c>
      <c r="EA5" s="66" t="str">
        <f>IS!EA7</f>
        <v>Mar-14</v>
      </c>
      <c r="EB5" s="66" t="str">
        <f>IS!EB7</f>
        <v>Jun-14</v>
      </c>
      <c r="EC5" s="67" t="str">
        <f>IS!EC7</f>
        <v>2014</v>
      </c>
      <c r="ED5" s="66" t="str">
        <f>IS!ED7</f>
        <v>Sep-14</v>
      </c>
      <c r="EE5" s="66" t="str">
        <f>IS!EE7</f>
        <v>Dec-14</v>
      </c>
      <c r="EF5" s="66" t="str">
        <f>IS!EF7</f>
        <v>Mar-15</v>
      </c>
      <c r="EG5" s="66" t="str">
        <f>IS!EG7</f>
        <v>Jun-15</v>
      </c>
      <c r="EH5" s="67" t="str">
        <f>IS!EH7</f>
        <v>2015</v>
      </c>
      <c r="EI5" s="1139" t="str">
        <f>IS!EI7</f>
        <v>Sep-15</v>
      </c>
      <c r="EJ5" s="1139" t="str">
        <f>IS!EJ7</f>
        <v>Dec-15</v>
      </c>
      <c r="EK5" s="1139" t="str">
        <f>IS!EK7</f>
        <v>Mar-16</v>
      </c>
      <c r="EL5" s="1139" t="str">
        <f>IS!EL7</f>
        <v>Jun-16</v>
      </c>
      <c r="EM5" s="1151" t="str">
        <f>IS!EM7</f>
        <v>2016</v>
      </c>
      <c r="EN5" s="1139" t="str">
        <f>IS!EN7</f>
        <v>Sep-16</v>
      </c>
      <c r="EO5" s="1139" t="str">
        <f>IS!EO7</f>
        <v>Dec-16</v>
      </c>
      <c r="EP5" s="1139" t="str">
        <f>IS!EP7</f>
        <v>Mar-17</v>
      </c>
      <c r="EQ5" s="1139" t="str">
        <f>IS!EQ7</f>
        <v>Jun-17</v>
      </c>
      <c r="ER5" s="1151" t="str">
        <f>IS!ER7</f>
        <v>2017</v>
      </c>
      <c r="ES5" s="1139" t="str">
        <f>IS!ES7</f>
        <v>Sep-17</v>
      </c>
      <c r="ET5" s="1139" t="str">
        <f>IS!ET7</f>
        <v>Dec-17</v>
      </c>
      <c r="EU5" s="1139" t="str">
        <f>IS!EU7</f>
        <v>Mar-18</v>
      </c>
      <c r="EV5" s="1139" t="str">
        <f>IS!EV7</f>
        <v>Jun-18E</v>
      </c>
      <c r="EW5" s="1151" t="str">
        <f>IS!EW7</f>
        <v>2018E</v>
      </c>
      <c r="EX5" s="1139" t="str">
        <f>IS!EX7</f>
        <v>Sep-18E</v>
      </c>
      <c r="EY5" s="1139" t="str">
        <f>IS!EY7</f>
        <v>Dec-18E</v>
      </c>
      <c r="EZ5" s="1139" t="str">
        <f>IS!EZ7</f>
        <v>Mar-19E</v>
      </c>
      <c r="FA5" s="1139" t="str">
        <f>IS!FA7</f>
        <v>Jun-19E</v>
      </c>
      <c r="FB5" s="1151" t="str">
        <f>IS!FB7</f>
        <v>2019E</v>
      </c>
      <c r="FC5" s="1139" t="str">
        <f>IS!FC7</f>
        <v>Sep-19E</v>
      </c>
      <c r="FD5" s="1139" t="str">
        <f>IS!FD7</f>
        <v>Dec-19E</v>
      </c>
      <c r="FE5" s="1139" t="str">
        <f>IS!FE7</f>
        <v>Mar-20E</v>
      </c>
      <c r="FF5" s="1139" t="str">
        <f>IS!FF7</f>
        <v>Jun-20E</v>
      </c>
      <c r="FG5" s="1151" t="str">
        <f>IS!FG7</f>
        <v>2020E</v>
      </c>
      <c r="FH5" s="1139" t="str">
        <f>IS!FH7</f>
        <v>Sep-20E</v>
      </c>
      <c r="FI5" s="1139" t="str">
        <f>IS!FI7</f>
        <v>Dec-20E</v>
      </c>
      <c r="FJ5" s="1139" t="str">
        <f>IS!FJ7</f>
        <v>Mar-21E</v>
      </c>
      <c r="FK5" s="1139" t="str">
        <f>IS!FK7</f>
        <v>Jun-21E</v>
      </c>
      <c r="FL5" s="1151" t="str">
        <f>IS!FL7</f>
        <v>2021E</v>
      </c>
      <c r="FM5" s="1139"/>
      <c r="FN5" s="1139"/>
      <c r="FO5" s="1139"/>
      <c r="FP5" s="1139"/>
      <c r="FQ5" s="1139"/>
    </row>
    <row r="6" spans="1:174" s="836" customFormat="1" ht="12">
      <c r="A6" s="48" t="s">
        <v>1088</v>
      </c>
      <c r="B6" s="1552"/>
      <c r="C6" s="1552"/>
      <c r="D6" s="1553"/>
      <c r="E6" s="1553"/>
      <c r="F6" s="1553"/>
      <c r="G6" s="1553"/>
      <c r="H6" s="1553"/>
      <c r="I6" s="1553"/>
      <c r="J6" s="1553"/>
      <c r="K6" s="1553"/>
      <c r="L6" s="1553"/>
      <c r="M6" s="1553"/>
      <c r="N6" s="1553"/>
      <c r="O6" s="1553"/>
      <c r="P6" s="1553"/>
      <c r="Q6" s="1553"/>
      <c r="R6" s="1553"/>
      <c r="S6" s="1553"/>
      <c r="T6" s="1553"/>
      <c r="U6" s="1553"/>
      <c r="V6" s="1553"/>
      <c r="W6" s="1553"/>
      <c r="X6" s="1553"/>
      <c r="Y6" s="1553"/>
      <c r="Z6" s="1553"/>
      <c r="AA6" s="1553"/>
      <c r="AB6" s="1553"/>
      <c r="AC6" s="1553"/>
      <c r="AD6" s="1553"/>
      <c r="AE6" s="1553"/>
      <c r="AF6" s="1553"/>
      <c r="AG6" s="1553"/>
      <c r="AH6" s="1553"/>
      <c r="AI6" s="1553"/>
      <c r="AJ6" s="1553"/>
      <c r="AK6" s="1553"/>
      <c r="AL6" s="1553"/>
      <c r="AM6" s="1553"/>
      <c r="AN6" s="1553"/>
      <c r="AO6" s="1553"/>
      <c r="AP6" s="1553"/>
      <c r="AQ6" s="1553"/>
      <c r="AR6" s="1553"/>
      <c r="AS6" s="1553"/>
      <c r="AT6" s="1553"/>
      <c r="AU6" s="1553"/>
      <c r="AV6" s="1553"/>
      <c r="AW6" s="1553"/>
      <c r="AX6" s="1553"/>
      <c r="AY6" s="1553"/>
      <c r="AZ6" s="1553"/>
      <c r="BA6" s="1553"/>
      <c r="BB6" s="1553"/>
      <c r="BC6" s="1553"/>
      <c r="BD6" s="1553"/>
      <c r="BE6" s="1553"/>
      <c r="BF6" s="1553"/>
      <c r="BG6" s="1553"/>
      <c r="BH6" s="1553"/>
      <c r="BI6" s="1553"/>
      <c r="BJ6" s="1553"/>
      <c r="BK6" s="1553"/>
      <c r="BL6" s="1553"/>
      <c r="BM6" s="1553"/>
      <c r="BN6" s="1553"/>
      <c r="BO6" s="1553"/>
      <c r="BP6" s="1554"/>
      <c r="BQ6" s="1555"/>
      <c r="BR6" s="1555"/>
      <c r="BS6" s="1555"/>
      <c r="BT6" s="1555"/>
      <c r="BU6" s="1554"/>
      <c r="BV6" s="1555"/>
      <c r="BW6" s="1555"/>
      <c r="BX6" s="1555"/>
      <c r="BY6" s="1555"/>
      <c r="BZ6" s="1554"/>
      <c r="CA6" s="1555"/>
      <c r="CB6" s="1555"/>
      <c r="CC6" s="1555"/>
      <c r="CD6" s="1555"/>
      <c r="CE6" s="1554"/>
      <c r="CF6" s="1556"/>
      <c r="CG6" s="1556"/>
      <c r="CH6" s="1556"/>
      <c r="CI6" s="1556"/>
      <c r="CJ6" s="1554"/>
      <c r="CK6" s="1556"/>
      <c r="CL6" s="1556"/>
      <c r="CM6" s="1556"/>
      <c r="CN6" s="1556"/>
      <c r="CO6" s="1554"/>
      <c r="CP6" s="1556"/>
      <c r="CQ6" s="1556"/>
      <c r="CR6" s="1556"/>
      <c r="CS6" s="1556"/>
      <c r="CT6" s="1554"/>
      <c r="CU6" s="1556"/>
      <c r="CV6" s="1556"/>
      <c r="CW6" s="1556"/>
      <c r="CX6" s="1556"/>
      <c r="CY6" s="1554"/>
      <c r="CZ6" s="1556"/>
      <c r="DA6" s="1556"/>
      <c r="DB6" s="1556"/>
      <c r="DC6" s="1556"/>
      <c r="DD6" s="1554"/>
      <c r="DE6" s="1556"/>
      <c r="DF6" s="1555"/>
      <c r="DG6" s="1555"/>
      <c r="DH6" s="1556"/>
      <c r="DI6" s="1554"/>
      <c r="DJ6" s="1556"/>
      <c r="DK6" s="1555"/>
      <c r="DL6" s="1555"/>
      <c r="DM6" s="1556"/>
      <c r="DN6" s="1554"/>
      <c r="DO6" s="1555"/>
      <c r="DP6" s="1555"/>
      <c r="DQ6" s="1555"/>
      <c r="DR6" s="1556"/>
      <c r="DS6" s="49">
        <f>DS11+DS16</f>
        <v>18347</v>
      </c>
      <c r="DT6" s="1137">
        <f t="shared" ref="DT6:EH6" si="0">DT11+DT16</f>
        <v>16473</v>
      </c>
      <c r="DU6" s="1137">
        <f t="shared" si="0"/>
        <v>16160</v>
      </c>
      <c r="DV6" s="1137">
        <f t="shared" si="0"/>
        <v>15663</v>
      </c>
      <c r="DW6" s="1137">
        <f t="shared" si="0"/>
        <v>20732</v>
      </c>
      <c r="DX6" s="49">
        <f t="shared" si="0"/>
        <v>20732</v>
      </c>
      <c r="DY6" s="1137">
        <f t="shared" si="0"/>
        <v>18259</v>
      </c>
      <c r="DZ6" s="1137">
        <f t="shared" si="0"/>
        <v>17765</v>
      </c>
      <c r="EA6" s="1137">
        <f t="shared" si="0"/>
        <v>17535</v>
      </c>
      <c r="EB6" s="1137">
        <f t="shared" si="0"/>
        <v>23033</v>
      </c>
      <c r="EC6" s="49">
        <f t="shared" si="0"/>
        <v>23033</v>
      </c>
      <c r="ED6" s="1137">
        <f t="shared" si="0"/>
        <v>20442</v>
      </c>
      <c r="EE6" s="1137">
        <f t="shared" si="0"/>
        <v>19262</v>
      </c>
      <c r="EF6" s="1137">
        <f t="shared" si="0"/>
        <v>18223</v>
      </c>
      <c r="EG6" s="1137">
        <f t="shared" si="0"/>
        <v>23313</v>
      </c>
      <c r="EH6" s="49">
        <f t="shared" si="0"/>
        <v>23313</v>
      </c>
      <c r="EI6" s="48">
        <v>20999</v>
      </c>
      <c r="EJ6" s="48">
        <v>19557</v>
      </c>
      <c r="EK6" s="48">
        <v>18756</v>
      </c>
      <c r="EL6" s="48">
        <v>24621</v>
      </c>
      <c r="EM6" s="49">
        <f>EL6</f>
        <v>24621</v>
      </c>
      <c r="EN6" s="48">
        <v>18074</v>
      </c>
      <c r="EO6" s="48">
        <v>17121</v>
      </c>
      <c r="EP6" s="48">
        <v>16744</v>
      </c>
      <c r="EQ6" s="48">
        <v>23493</v>
      </c>
      <c r="ER6" s="49">
        <f>EQ6</f>
        <v>23493</v>
      </c>
      <c r="ES6" s="48">
        <v>21490</v>
      </c>
      <c r="ET6" s="48">
        <v>20225</v>
      </c>
      <c r="EU6" s="48">
        <v>20038</v>
      </c>
      <c r="EV6" s="48">
        <f t="shared" ref="EU6:EV6" si="1">EU6*(1+EV9)</f>
        <v>27752.63</v>
      </c>
      <c r="EW6" s="49">
        <f>EV6</f>
        <v>27752.63</v>
      </c>
      <c r="EX6" s="48">
        <f>EW6*(1+EX9)</f>
        <v>25386.456335929852</v>
      </c>
      <c r="EY6" s="48">
        <f>EX6*(1+EY9)</f>
        <v>23892.09303835185</v>
      </c>
      <c r="EZ6" s="48">
        <f>EY6*(1+EZ9)</f>
        <v>23671.187159579451</v>
      </c>
      <c r="FA6" s="48">
        <f>EZ6*(1+FA9)</f>
        <v>32784.59421601754</v>
      </c>
      <c r="FB6" s="49">
        <f>FA6</f>
        <v>32784.59421601754</v>
      </c>
      <c r="FC6" s="48">
        <f>FB6*(1+FC9)</f>
        <v>29989.398105913118</v>
      </c>
      <c r="FD6" s="48">
        <f>FC6*(1+FD9)</f>
        <v>28224.084536626004</v>
      </c>
      <c r="FE6" s="48">
        <f>FD6*(1+FE9)</f>
        <v>27963.12513942704</v>
      </c>
      <c r="FF6" s="48">
        <f>FE6*(1+FF9)</f>
        <v>38728.928318106453</v>
      </c>
      <c r="FG6" s="49">
        <f>FF6</f>
        <v>38728.928318106453</v>
      </c>
      <c r="FH6" s="48">
        <f>FG6*(1+FH9)</f>
        <v>35426.921617337401</v>
      </c>
      <c r="FI6" s="48">
        <f>FH6*(1+FI9)</f>
        <v>33341.53046582824</v>
      </c>
      <c r="FJ6" s="48">
        <f>FI6*(1+FJ9)</f>
        <v>33033.255252126888</v>
      </c>
      <c r="FK6" s="48">
        <f>FJ6*(1+FK9)</f>
        <v>45751.058524195738</v>
      </c>
      <c r="FL6" s="49">
        <f>FK6</f>
        <v>45751.058524195738</v>
      </c>
      <c r="FM6" s="152"/>
      <c r="FN6" s="152"/>
      <c r="FO6" s="152"/>
      <c r="FP6" s="152"/>
      <c r="FQ6" s="152"/>
    </row>
    <row r="7" spans="1:174" s="836" customFormat="1" ht="12">
      <c r="A7" s="32" t="s">
        <v>665</v>
      </c>
      <c r="B7" s="1552"/>
      <c r="C7" s="1552"/>
      <c r="D7" s="1553"/>
      <c r="E7" s="1553"/>
      <c r="F7" s="1553"/>
      <c r="G7" s="1553"/>
      <c r="H7" s="1553"/>
      <c r="I7" s="1553"/>
      <c r="J7" s="1553"/>
      <c r="K7" s="1553"/>
      <c r="L7" s="1553"/>
      <c r="M7" s="1553"/>
      <c r="N7" s="1553"/>
      <c r="O7" s="1553"/>
      <c r="P7" s="1553"/>
      <c r="Q7" s="1553"/>
      <c r="R7" s="1553"/>
      <c r="S7" s="1553"/>
      <c r="T7" s="1553"/>
      <c r="U7" s="1553"/>
      <c r="V7" s="1553"/>
      <c r="W7" s="1553"/>
      <c r="X7" s="1553"/>
      <c r="Y7" s="1553"/>
      <c r="Z7" s="1553"/>
      <c r="AA7" s="1553"/>
      <c r="AB7" s="1553"/>
      <c r="AC7" s="1553"/>
      <c r="AD7" s="1553"/>
      <c r="AE7" s="1553"/>
      <c r="AF7" s="1553"/>
      <c r="AG7" s="1553"/>
      <c r="AH7" s="1553"/>
      <c r="AI7" s="1553"/>
      <c r="AJ7" s="1553"/>
      <c r="AK7" s="1553"/>
      <c r="AL7" s="1553"/>
      <c r="AM7" s="1553"/>
      <c r="AN7" s="1553"/>
      <c r="AO7" s="1553"/>
      <c r="AP7" s="1553"/>
      <c r="AQ7" s="1553"/>
      <c r="AR7" s="1553"/>
      <c r="AS7" s="1553"/>
      <c r="AT7" s="1553"/>
      <c r="AU7" s="1553"/>
      <c r="AV7" s="1553"/>
      <c r="AW7" s="1553"/>
      <c r="AX7" s="1553"/>
      <c r="AY7" s="1553"/>
      <c r="AZ7" s="1553"/>
      <c r="BA7" s="1553"/>
      <c r="BB7" s="1553"/>
      <c r="BC7" s="1553"/>
      <c r="BD7" s="1553"/>
      <c r="BE7" s="1553"/>
      <c r="BF7" s="1553"/>
      <c r="BG7" s="1553"/>
      <c r="BH7" s="1553"/>
      <c r="BI7" s="1553"/>
      <c r="BJ7" s="1553"/>
      <c r="BK7" s="1553"/>
      <c r="BL7" s="1553"/>
      <c r="BM7" s="1553"/>
      <c r="BN7" s="1553"/>
      <c r="BO7" s="1553"/>
      <c r="BP7" s="1554"/>
      <c r="BQ7" s="1555"/>
      <c r="BR7" s="1555"/>
      <c r="BS7" s="1555"/>
      <c r="BT7" s="1555"/>
      <c r="BU7" s="1554"/>
      <c r="BV7" s="1555"/>
      <c r="BW7" s="1555"/>
      <c r="BX7" s="1555"/>
      <c r="BY7" s="1555"/>
      <c r="BZ7" s="1554"/>
      <c r="CA7" s="1555"/>
      <c r="CB7" s="1555"/>
      <c r="CC7" s="1555"/>
      <c r="CD7" s="1555"/>
      <c r="CE7" s="1554"/>
      <c r="CF7" s="1556"/>
      <c r="CG7" s="1556"/>
      <c r="CH7" s="1556"/>
      <c r="CI7" s="1556"/>
      <c r="CJ7" s="1554"/>
      <c r="CK7" s="1556"/>
      <c r="CL7" s="1556"/>
      <c r="CM7" s="1556"/>
      <c r="CN7" s="1556"/>
      <c r="CO7" s="1554"/>
      <c r="CP7" s="1556"/>
      <c r="CQ7" s="1556"/>
      <c r="CR7" s="1556"/>
      <c r="CS7" s="1556"/>
      <c r="CT7" s="1554"/>
      <c r="CU7" s="1556"/>
      <c r="CV7" s="1556"/>
      <c r="CW7" s="1556"/>
      <c r="CX7" s="1556"/>
      <c r="CY7" s="1554"/>
      <c r="CZ7" s="1556"/>
      <c r="DA7" s="1556"/>
      <c r="DB7" s="1556"/>
      <c r="DC7" s="1556"/>
      <c r="DD7" s="1554"/>
      <c r="DE7" s="1556"/>
      <c r="DF7" s="1555"/>
      <c r="DG7" s="1555"/>
      <c r="DH7" s="1556"/>
      <c r="DI7" s="1554"/>
      <c r="DJ7" s="1556"/>
      <c r="DK7" s="1555"/>
      <c r="DL7" s="1555"/>
      <c r="DM7" s="1556"/>
      <c r="DN7" s="1554"/>
      <c r="DO7" s="1555"/>
      <c r="DP7" s="1555"/>
      <c r="DQ7" s="1555"/>
      <c r="DR7" s="1556"/>
      <c r="DS7" s="1554"/>
      <c r="DT7" s="1555"/>
      <c r="DU7" s="1555"/>
      <c r="DV7" s="1555"/>
      <c r="DW7" s="1555"/>
      <c r="DX7" s="1554"/>
      <c r="DY7" s="1555"/>
      <c r="DZ7" s="1555"/>
      <c r="EA7" s="1555"/>
      <c r="EB7" s="1555"/>
      <c r="EC7" s="1554"/>
      <c r="ED7" s="32">
        <f>ED6/ED26</f>
        <v>0.9070015085633153</v>
      </c>
      <c r="EE7" s="32">
        <f>EE6/EE26</f>
        <v>0.90674575154168435</v>
      </c>
      <c r="EF7" s="32">
        <f>EF6/EF26</f>
        <v>0.90221804139023665</v>
      </c>
      <c r="EG7" s="32">
        <f>EG6/EG26</f>
        <v>0.92080733075282406</v>
      </c>
      <c r="EH7" s="1554"/>
      <c r="EI7" s="32">
        <f>EI6/EI26</f>
        <v>0.86086492212989985</v>
      </c>
      <c r="EJ7" s="32">
        <f>EJ6/EJ26</f>
        <v>0.78113511385349799</v>
      </c>
      <c r="EK7" s="32">
        <f>EK6/EK26</f>
        <v>0.72377138870946012</v>
      </c>
      <c r="EL7" s="32">
        <f>EL6/EL26</f>
        <v>1.107970387858658</v>
      </c>
      <c r="EM7" s="51">
        <f>EL7</f>
        <v>1.107970387858658</v>
      </c>
      <c r="EN7" s="32">
        <f>EN6/EN36</f>
        <v>0.88728522336769755</v>
      </c>
      <c r="EO7" s="32">
        <f t="shared" ref="EO7:FG7" si="2">EO6/EO36</f>
        <v>0.85643539592816764</v>
      </c>
      <c r="EP7" s="32">
        <f t="shared" si="2"/>
        <v>0.8412379421221865</v>
      </c>
      <c r="EQ7" s="32">
        <f t="shared" si="2"/>
        <v>0.8813400360144058</v>
      </c>
      <c r="ER7" s="51">
        <f t="shared" si="2"/>
        <v>0.8813400360144058</v>
      </c>
      <c r="ES7" s="32">
        <f>ES6/ES36</f>
        <v>0.86291358817860586</v>
      </c>
      <c r="ET7" s="32">
        <f>ET6/ET36</f>
        <v>0.84946868831114286</v>
      </c>
      <c r="EU7" s="32">
        <f t="shared" si="2"/>
        <v>0.83648507618451262</v>
      </c>
      <c r="EV7" s="32">
        <f t="shared" si="2"/>
        <v>0.87467356045317735</v>
      </c>
      <c r="EW7" s="51">
        <f t="shared" si="2"/>
        <v>0.87467356045317735</v>
      </c>
      <c r="EX7" s="32">
        <f t="shared" si="2"/>
        <v>0.86457430034943983</v>
      </c>
      <c r="EY7" s="32">
        <f t="shared" si="2"/>
        <v>0.85731253424520104</v>
      </c>
      <c r="EZ7" s="32">
        <f t="shared" si="2"/>
        <v>0.85617245691165866</v>
      </c>
      <c r="FA7" s="32">
        <f t="shared" si="2"/>
        <v>0.89036563572780381</v>
      </c>
      <c r="FB7" s="51">
        <f t="shared" si="2"/>
        <v>0.89036563572780381</v>
      </c>
      <c r="FC7" s="32">
        <f t="shared" si="2"/>
        <v>0.88135938014377346</v>
      </c>
      <c r="FD7" s="32">
        <f t="shared" si="2"/>
        <v>0.8748673932743033</v>
      </c>
      <c r="FE7" s="32">
        <f t="shared" si="2"/>
        <v>0.87384694006507291</v>
      </c>
      <c r="FF7" s="32">
        <f t="shared" si="2"/>
        <v>0.90430786766400828</v>
      </c>
      <c r="FG7" s="51">
        <f t="shared" si="2"/>
        <v>0.90430786766400828</v>
      </c>
      <c r="FH7" s="32">
        <f t="shared" ref="FH7:FL7" si="3">FH6/FH36</f>
        <v>0.89631356228930759</v>
      </c>
      <c r="FI7" s="32">
        <f t="shared" si="3"/>
        <v>0.890538236072273</v>
      </c>
      <c r="FJ7" s="32">
        <f t="shared" si="3"/>
        <v>0.88962945592584131</v>
      </c>
      <c r="FK7" s="32">
        <f t="shared" si="3"/>
        <v>0.91664305575424998</v>
      </c>
      <c r="FL7" s="51">
        <f t="shared" si="3"/>
        <v>0.91664305575424998</v>
      </c>
      <c r="FM7" s="33"/>
      <c r="FN7" s="33"/>
      <c r="FO7" s="33"/>
      <c r="FP7" s="33"/>
      <c r="FQ7" s="33"/>
    </row>
    <row r="8" spans="1:174" s="836" customFormat="1" ht="12">
      <c r="A8" s="32" t="s">
        <v>163</v>
      </c>
      <c r="B8" s="1552"/>
      <c r="C8" s="1552"/>
      <c r="D8" s="1553"/>
      <c r="E8" s="1553"/>
      <c r="F8" s="1553"/>
      <c r="G8" s="1553"/>
      <c r="H8" s="1553"/>
      <c r="I8" s="1553"/>
      <c r="J8" s="1553"/>
      <c r="K8" s="1553"/>
      <c r="L8" s="1553"/>
      <c r="M8" s="1553"/>
      <c r="N8" s="1553"/>
      <c r="O8" s="1553"/>
      <c r="P8" s="1553"/>
      <c r="Q8" s="1553"/>
      <c r="R8" s="1553"/>
      <c r="S8" s="1553"/>
      <c r="T8" s="1553"/>
      <c r="U8" s="1553"/>
      <c r="V8" s="1553"/>
      <c r="W8" s="1553"/>
      <c r="X8" s="1553"/>
      <c r="Y8" s="1553"/>
      <c r="Z8" s="1553"/>
      <c r="AA8" s="1553"/>
      <c r="AB8" s="1553"/>
      <c r="AC8" s="1553"/>
      <c r="AD8" s="1553"/>
      <c r="AE8" s="1553"/>
      <c r="AF8" s="1553"/>
      <c r="AG8" s="1553"/>
      <c r="AH8" s="1553"/>
      <c r="AI8" s="1553"/>
      <c r="AJ8" s="1553"/>
      <c r="AK8" s="1553"/>
      <c r="AL8" s="1553"/>
      <c r="AM8" s="1553"/>
      <c r="AN8" s="1553"/>
      <c r="AO8" s="1553"/>
      <c r="AP8" s="1553"/>
      <c r="AQ8" s="1553"/>
      <c r="AR8" s="1553"/>
      <c r="AS8" s="1553"/>
      <c r="AT8" s="1553"/>
      <c r="AU8" s="1553"/>
      <c r="AV8" s="1553"/>
      <c r="AW8" s="1553"/>
      <c r="AX8" s="1553"/>
      <c r="AY8" s="1553"/>
      <c r="AZ8" s="1553"/>
      <c r="BA8" s="1553"/>
      <c r="BB8" s="1553"/>
      <c r="BC8" s="1553"/>
      <c r="BD8" s="1553"/>
      <c r="BE8" s="1553"/>
      <c r="BF8" s="1553"/>
      <c r="BG8" s="1553"/>
      <c r="BH8" s="1553"/>
      <c r="BI8" s="1553"/>
      <c r="BJ8" s="1553"/>
      <c r="BK8" s="1553"/>
      <c r="BL8" s="1553"/>
      <c r="BM8" s="1553"/>
      <c r="BN8" s="1553"/>
      <c r="BO8" s="1553"/>
      <c r="BP8" s="1554"/>
      <c r="BQ8" s="1555"/>
      <c r="BR8" s="1555"/>
      <c r="BS8" s="1555"/>
      <c r="BT8" s="1555"/>
      <c r="BU8" s="1554"/>
      <c r="BV8" s="1555"/>
      <c r="BW8" s="1555"/>
      <c r="BX8" s="1555"/>
      <c r="BY8" s="1555"/>
      <c r="BZ8" s="1554"/>
      <c r="CA8" s="1555"/>
      <c r="CB8" s="1555"/>
      <c r="CC8" s="1555"/>
      <c r="CD8" s="1555"/>
      <c r="CE8" s="1554"/>
      <c r="CF8" s="1556"/>
      <c r="CG8" s="1556"/>
      <c r="CH8" s="1556"/>
      <c r="CI8" s="1556"/>
      <c r="CJ8" s="1554"/>
      <c r="CK8" s="1556"/>
      <c r="CL8" s="1556"/>
      <c r="CM8" s="1556"/>
      <c r="CN8" s="1556"/>
      <c r="CO8" s="1554"/>
      <c r="CP8" s="1556"/>
      <c r="CQ8" s="1556"/>
      <c r="CR8" s="1556"/>
      <c r="CS8" s="1556"/>
      <c r="CT8" s="1554"/>
      <c r="CU8" s="1556"/>
      <c r="CV8" s="1556"/>
      <c r="CW8" s="1556"/>
      <c r="CX8" s="1556"/>
      <c r="CY8" s="1554"/>
      <c r="CZ8" s="1556"/>
      <c r="DA8" s="1556"/>
      <c r="DB8" s="1556"/>
      <c r="DC8" s="1556"/>
      <c r="DD8" s="1554"/>
      <c r="DE8" s="1556"/>
      <c r="DF8" s="1555"/>
      <c r="DG8" s="1555"/>
      <c r="DH8" s="1556"/>
      <c r="DI8" s="1554"/>
      <c r="DJ8" s="1556"/>
      <c r="DK8" s="1555"/>
      <c r="DL8" s="1555"/>
      <c r="DM8" s="1556"/>
      <c r="DN8" s="1554"/>
      <c r="DO8" s="1555"/>
      <c r="DP8" s="1555"/>
      <c r="DQ8" s="1555"/>
      <c r="DR8" s="1556"/>
      <c r="DS8" s="1554"/>
      <c r="DT8" s="1555"/>
      <c r="DU8" s="1555"/>
      <c r="DV8" s="1555"/>
      <c r="DW8" s="1555"/>
      <c r="DX8" s="1554"/>
      <c r="DY8" s="1555"/>
      <c r="DZ8" s="1555"/>
      <c r="EA8" s="1555"/>
      <c r="EB8" s="1555"/>
      <c r="EC8" s="1554"/>
      <c r="ED8" s="32">
        <f>IF(ISERROR(ED6/DY6-1),"",(ED6/DY6-1))</f>
        <v>0.11955747850375165</v>
      </c>
      <c r="EE8" s="32">
        <f>IF(ISERROR(EE6/DZ6-1),"",(EE6/DZ6-1))</f>
        <v>8.4266816774556608E-2</v>
      </c>
      <c r="EF8" s="32">
        <f>IF(ISERROR(EF6/EA6-1),"",(EF6/EA6-1))</f>
        <v>3.9235814086113541E-2</v>
      </c>
      <c r="EG8" s="32">
        <f>IF(ISERROR(EG6/EB6-1),"",(EG6/EB6-1))</f>
        <v>1.2156471150088999E-2</v>
      </c>
      <c r="EH8" s="1554"/>
      <c r="EI8" s="32">
        <f t="shared" ref="EI8:FB8" si="4">IF(ISERROR(EI6/ED6-1),"",(EI6/ED6-1))</f>
        <v>2.7247823109284752E-2</v>
      </c>
      <c r="EJ8" s="32">
        <f t="shared" si="4"/>
        <v>1.5315128231751629E-2</v>
      </c>
      <c r="EK8" s="32">
        <f t="shared" si="4"/>
        <v>2.9248751577676479E-2</v>
      </c>
      <c r="EL8" s="32">
        <f t="shared" si="4"/>
        <v>5.6106035259297471E-2</v>
      </c>
      <c r="EM8" s="51">
        <f t="shared" si="4"/>
        <v>5.6106035259297471E-2</v>
      </c>
      <c r="EN8" s="32"/>
      <c r="EO8" s="32"/>
      <c r="EP8" s="32"/>
      <c r="EQ8" s="32"/>
      <c r="ER8" s="51"/>
      <c r="ES8" s="32">
        <f t="shared" si="4"/>
        <v>0.18900077459333842</v>
      </c>
      <c r="ET8" s="32">
        <f t="shared" si="4"/>
        <v>0.18129782138893757</v>
      </c>
      <c r="EU8" s="32">
        <f t="shared" si="4"/>
        <v>0.19672718585762072</v>
      </c>
      <c r="EV8" s="32">
        <f t="shared" si="4"/>
        <v>0.18131485974545614</v>
      </c>
      <c r="EW8" s="51">
        <f t="shared" si="4"/>
        <v>0.18131485974545614</v>
      </c>
      <c r="EX8" s="32">
        <f t="shared" si="4"/>
        <v>0.18131485974545614</v>
      </c>
      <c r="EY8" s="32">
        <f t="shared" si="4"/>
        <v>0.18131485974545614</v>
      </c>
      <c r="EZ8" s="32">
        <f t="shared" si="4"/>
        <v>0.18131485974545614</v>
      </c>
      <c r="FA8" s="32">
        <f t="shared" si="4"/>
        <v>0.18131485974545614</v>
      </c>
      <c r="FB8" s="51">
        <f t="shared" si="4"/>
        <v>0.18131485974545614</v>
      </c>
      <c r="FC8" s="32">
        <f t="shared" ref="FC8" si="5">IF(ISERROR(FC6/EX6-1),"",(FC6/EX6-1))</f>
        <v>0.18131485974545614</v>
      </c>
      <c r="FD8" s="32">
        <f t="shared" ref="FD8" si="6">IF(ISERROR(FD6/EY6-1),"",(FD6/EY6-1))</f>
        <v>0.18131485974545614</v>
      </c>
      <c r="FE8" s="32">
        <f t="shared" ref="FE8" si="7">IF(ISERROR(FE6/EZ6-1),"",(FE6/EZ6-1))</f>
        <v>0.18131485974545614</v>
      </c>
      <c r="FF8" s="32">
        <f t="shared" ref="FF8" si="8">IF(ISERROR(FF6/FA6-1),"",(FF6/FA6-1))</f>
        <v>0.18131485974545614</v>
      </c>
      <c r="FG8" s="51">
        <f t="shared" ref="FG8" si="9">IF(ISERROR(FG6/FB6-1),"",(FG6/FB6-1))</f>
        <v>0.18131485974545614</v>
      </c>
      <c r="FH8" s="32">
        <f t="shared" ref="FH8" si="10">IF(ISERROR(FH6/FC6-1),"",(FH6/FC6-1))</f>
        <v>0.18131485974545614</v>
      </c>
      <c r="FI8" s="32">
        <f t="shared" ref="FI8" si="11">IF(ISERROR(FI6/FD6-1),"",(FI6/FD6-1))</f>
        <v>0.18131485974545591</v>
      </c>
      <c r="FJ8" s="32">
        <f t="shared" ref="FJ8" si="12">IF(ISERROR(FJ6/FE6-1),"",(FJ6/FE6-1))</f>
        <v>0.18131485974545591</v>
      </c>
      <c r="FK8" s="32">
        <f t="shared" ref="FK8" si="13">IF(ISERROR(FK6/FF6-1),"",(FK6/FF6-1))</f>
        <v>0.18131485974545591</v>
      </c>
      <c r="FL8" s="51">
        <f t="shared" ref="FL8" si="14">IF(ISERROR(FL6/FG6-1),"",(FL6/FG6-1))</f>
        <v>0.18131485974545591</v>
      </c>
      <c r="FM8" s="33"/>
      <c r="FN8" s="33"/>
      <c r="FO8" s="33"/>
      <c r="FP8" s="33"/>
      <c r="FQ8" s="33"/>
    </row>
    <row r="9" spans="1:174" s="836" customFormat="1" ht="12">
      <c r="A9" s="32" t="s">
        <v>667</v>
      </c>
      <c r="B9" s="1552"/>
      <c r="C9" s="1552"/>
      <c r="D9" s="1553"/>
      <c r="E9" s="1553"/>
      <c r="F9" s="1553"/>
      <c r="G9" s="1553"/>
      <c r="H9" s="1553"/>
      <c r="I9" s="1553"/>
      <c r="J9" s="1553"/>
      <c r="K9" s="1553"/>
      <c r="L9" s="1553"/>
      <c r="M9" s="1553"/>
      <c r="N9" s="1553"/>
      <c r="O9" s="1553"/>
      <c r="P9" s="1553"/>
      <c r="Q9" s="1553"/>
      <c r="R9" s="1553"/>
      <c r="S9" s="1553"/>
      <c r="T9" s="1553"/>
      <c r="U9" s="1553"/>
      <c r="V9" s="1553"/>
      <c r="W9" s="1553"/>
      <c r="X9" s="1553"/>
      <c r="Y9" s="1553"/>
      <c r="Z9" s="1553"/>
      <c r="AA9" s="1553"/>
      <c r="AB9" s="1553"/>
      <c r="AC9" s="1553"/>
      <c r="AD9" s="1553"/>
      <c r="AE9" s="1553"/>
      <c r="AF9" s="1553"/>
      <c r="AG9" s="1553"/>
      <c r="AH9" s="1553"/>
      <c r="AI9" s="1553"/>
      <c r="AJ9" s="1553"/>
      <c r="AK9" s="1553"/>
      <c r="AL9" s="1553"/>
      <c r="AM9" s="1553"/>
      <c r="AN9" s="1553"/>
      <c r="AO9" s="1553"/>
      <c r="AP9" s="1553"/>
      <c r="AQ9" s="1553"/>
      <c r="AR9" s="1553"/>
      <c r="AS9" s="1553"/>
      <c r="AT9" s="1553"/>
      <c r="AU9" s="1553"/>
      <c r="AV9" s="1553"/>
      <c r="AW9" s="1553"/>
      <c r="AX9" s="1553"/>
      <c r="AY9" s="1553"/>
      <c r="AZ9" s="1553"/>
      <c r="BA9" s="1553"/>
      <c r="BB9" s="1553"/>
      <c r="BC9" s="1553"/>
      <c r="BD9" s="1553"/>
      <c r="BE9" s="1553"/>
      <c r="BF9" s="1553"/>
      <c r="BG9" s="1553"/>
      <c r="BH9" s="1553"/>
      <c r="BI9" s="1553"/>
      <c r="BJ9" s="1553"/>
      <c r="BK9" s="1553"/>
      <c r="BL9" s="1553"/>
      <c r="BM9" s="1553"/>
      <c r="BN9" s="1553"/>
      <c r="BO9" s="1553"/>
      <c r="BP9" s="1554"/>
      <c r="BQ9" s="1555"/>
      <c r="BR9" s="1555"/>
      <c r="BS9" s="1555"/>
      <c r="BT9" s="1555"/>
      <c r="BU9" s="1554"/>
      <c r="BV9" s="1555"/>
      <c r="BW9" s="1555"/>
      <c r="BX9" s="1555"/>
      <c r="BY9" s="1555"/>
      <c r="BZ9" s="1554"/>
      <c r="CA9" s="1555"/>
      <c r="CB9" s="1555"/>
      <c r="CC9" s="1555"/>
      <c r="CD9" s="1555"/>
      <c r="CE9" s="1554"/>
      <c r="CF9" s="1556"/>
      <c r="CG9" s="1556"/>
      <c r="CH9" s="1556"/>
      <c r="CI9" s="1556"/>
      <c r="CJ9" s="1554"/>
      <c r="CK9" s="1556"/>
      <c r="CL9" s="1556"/>
      <c r="CM9" s="1556"/>
      <c r="CN9" s="1556"/>
      <c r="CO9" s="1554"/>
      <c r="CP9" s="1556"/>
      <c r="CQ9" s="1556"/>
      <c r="CR9" s="1556"/>
      <c r="CS9" s="1556"/>
      <c r="CT9" s="1554"/>
      <c r="CU9" s="1556"/>
      <c r="CV9" s="1556"/>
      <c r="CW9" s="1556"/>
      <c r="CX9" s="1556"/>
      <c r="CY9" s="1554"/>
      <c r="CZ9" s="1556"/>
      <c r="DA9" s="1556"/>
      <c r="DB9" s="1556"/>
      <c r="DC9" s="1556"/>
      <c r="DD9" s="1554"/>
      <c r="DE9" s="1556"/>
      <c r="DF9" s="1555"/>
      <c r="DG9" s="1555"/>
      <c r="DH9" s="1556"/>
      <c r="DI9" s="1554"/>
      <c r="DJ9" s="1556"/>
      <c r="DK9" s="1555"/>
      <c r="DL9" s="1555"/>
      <c r="DM9" s="1556"/>
      <c r="DN9" s="1554"/>
      <c r="DO9" s="1555"/>
      <c r="DP9" s="1555"/>
      <c r="DQ9" s="1555"/>
      <c r="DR9" s="1556"/>
      <c r="DS9" s="1554"/>
      <c r="DT9" s="1555"/>
      <c r="DU9" s="1555"/>
      <c r="DV9" s="1555"/>
      <c r="DW9" s="1555"/>
      <c r="DX9" s="1554"/>
      <c r="DY9" s="1555"/>
      <c r="DZ9" s="1555"/>
      <c r="EA9" s="1555"/>
      <c r="EB9" s="1555"/>
      <c r="EC9" s="1554"/>
      <c r="ED9" s="32">
        <f>ED6/EC6-1</f>
        <v>-0.11249077410671648</v>
      </c>
      <c r="EE9" s="32">
        <f>EE6/ED6-1</f>
        <v>-5.7724293122003667E-2</v>
      </c>
      <c r="EF9" s="32">
        <f>EF6/EE6-1</f>
        <v>-5.3940400789118437E-2</v>
      </c>
      <c r="EG9" s="32">
        <f>EG6/EF6-1</f>
        <v>0.27931734621083248</v>
      </c>
      <c r="EH9" s="1554"/>
      <c r="EI9" s="32">
        <f>EI6/EH6-1</f>
        <v>-9.9257924763007765E-2</v>
      </c>
      <c r="EJ9" s="32">
        <f>EJ6/EI6-1</f>
        <v>-6.8669936663650621E-2</v>
      </c>
      <c r="EK9" s="32">
        <f>EK6/EJ6-1</f>
        <v>-4.0957202024850425E-2</v>
      </c>
      <c r="EL9" s="32">
        <f>EL6/EK6-1</f>
        <v>0.31269993602047341</v>
      </c>
      <c r="EM9" s="1558"/>
      <c r="EN9" s="32"/>
      <c r="EO9" s="32">
        <f>EO6/EN6-1</f>
        <v>-5.2727675113422579E-2</v>
      </c>
      <c r="EP9" s="32">
        <f>EP6/EO6-1</f>
        <v>-2.2019741837509543E-2</v>
      </c>
      <c r="EQ9" s="32">
        <f>EQ6/EP6-1</f>
        <v>0.40306975633062581</v>
      </c>
      <c r="ER9" s="52"/>
      <c r="ES9" s="32">
        <f>ES6/ER6-1</f>
        <v>-8.525943898182442E-2</v>
      </c>
      <c r="ET9" s="32">
        <f>ET6/ES6-1</f>
        <v>-5.8864588180549071E-2</v>
      </c>
      <c r="EU9" s="32">
        <f>EU6/ET6-1</f>
        <v>-9.2459826946847956E-3</v>
      </c>
      <c r="EV9" s="35">
        <v>0.38500000000000001</v>
      </c>
      <c r="EW9" s="52"/>
      <c r="EX9" s="35">
        <f>ES9</f>
        <v>-8.525943898182442E-2</v>
      </c>
      <c r="EY9" s="35">
        <f>ET9</f>
        <v>-5.8864588180549071E-2</v>
      </c>
      <c r="EZ9" s="35">
        <f>EU9</f>
        <v>-9.2459826946847956E-3</v>
      </c>
      <c r="FA9" s="35">
        <f>EV9</f>
        <v>0.38500000000000001</v>
      </c>
      <c r="FB9" s="52"/>
      <c r="FC9" s="35">
        <f>EX9</f>
        <v>-8.525943898182442E-2</v>
      </c>
      <c r="FD9" s="35">
        <f>EY9</f>
        <v>-5.8864588180549071E-2</v>
      </c>
      <c r="FE9" s="35">
        <f>EZ9</f>
        <v>-9.2459826946847956E-3</v>
      </c>
      <c r="FF9" s="35">
        <f>FA9</f>
        <v>0.38500000000000001</v>
      </c>
      <c r="FG9" s="52"/>
      <c r="FH9" s="35">
        <f>FC9</f>
        <v>-8.525943898182442E-2</v>
      </c>
      <c r="FI9" s="35">
        <f>FD9</f>
        <v>-5.8864588180549071E-2</v>
      </c>
      <c r="FJ9" s="35">
        <f>FE9</f>
        <v>-9.2459826946847956E-3</v>
      </c>
      <c r="FK9" s="35">
        <f>FF9</f>
        <v>0.38500000000000001</v>
      </c>
      <c r="FL9" s="52"/>
      <c r="FM9" s="34"/>
      <c r="FN9" s="34"/>
      <c r="FO9" s="34"/>
      <c r="FP9" s="34"/>
      <c r="FQ9" s="34"/>
      <c r="FR9" s="32"/>
    </row>
    <row r="10" spans="1:174" s="836" customFormat="1" ht="12">
      <c r="B10" s="1552"/>
      <c r="C10" s="1552"/>
      <c r="D10" s="1553"/>
      <c r="E10" s="1553"/>
      <c r="F10" s="1553"/>
      <c r="G10" s="1553"/>
      <c r="H10" s="1553"/>
      <c r="I10" s="1553"/>
      <c r="J10" s="1553"/>
      <c r="K10" s="1553"/>
      <c r="L10" s="1553"/>
      <c r="M10" s="1553"/>
      <c r="N10" s="1553"/>
      <c r="O10" s="1553"/>
      <c r="P10" s="1553"/>
      <c r="Q10" s="1553"/>
      <c r="R10" s="1553"/>
      <c r="S10" s="1553"/>
      <c r="T10" s="1553"/>
      <c r="U10" s="1553"/>
      <c r="V10" s="1553"/>
      <c r="W10" s="1553"/>
      <c r="X10" s="1553"/>
      <c r="Y10" s="1553"/>
      <c r="Z10" s="1553"/>
      <c r="AA10" s="1553"/>
      <c r="AB10" s="1553"/>
      <c r="AC10" s="1553"/>
      <c r="AD10" s="1553"/>
      <c r="AE10" s="1553"/>
      <c r="AF10" s="1553"/>
      <c r="AG10" s="1553"/>
      <c r="AH10" s="1553"/>
      <c r="AI10" s="1553"/>
      <c r="AJ10" s="1553"/>
      <c r="AK10" s="1553"/>
      <c r="AL10" s="1553"/>
      <c r="AM10" s="1553"/>
      <c r="AN10" s="1553"/>
      <c r="AO10" s="1553"/>
      <c r="AP10" s="1553"/>
      <c r="AQ10" s="1553"/>
      <c r="AR10" s="1553"/>
      <c r="AS10" s="1553"/>
      <c r="AT10" s="1553"/>
      <c r="AU10" s="1553"/>
      <c r="AV10" s="1553"/>
      <c r="AW10" s="1553"/>
      <c r="AX10" s="1553"/>
      <c r="AY10" s="1553"/>
      <c r="AZ10" s="1553"/>
      <c r="BA10" s="1553"/>
      <c r="BB10" s="1553"/>
      <c r="BC10" s="1553"/>
      <c r="BD10" s="1553"/>
      <c r="BE10" s="1553"/>
      <c r="BF10" s="1553"/>
      <c r="BG10" s="1553"/>
      <c r="BH10" s="1553"/>
      <c r="BI10" s="1553"/>
      <c r="BJ10" s="1553"/>
      <c r="BK10" s="1553"/>
      <c r="BL10" s="1553"/>
      <c r="BM10" s="1553"/>
      <c r="BN10" s="1553"/>
      <c r="BO10" s="1553"/>
      <c r="BP10" s="1554"/>
      <c r="BQ10" s="1555"/>
      <c r="BR10" s="1555"/>
      <c r="BS10" s="1555"/>
      <c r="BT10" s="1555"/>
      <c r="BU10" s="1554"/>
      <c r="BV10" s="1555"/>
      <c r="BW10" s="1555"/>
      <c r="BX10" s="1555"/>
      <c r="BY10" s="1555"/>
      <c r="BZ10" s="1554"/>
      <c r="CA10" s="1555"/>
      <c r="CB10" s="1555"/>
      <c r="CC10" s="1555"/>
      <c r="CD10" s="1555"/>
      <c r="CE10" s="1554"/>
      <c r="CF10" s="1556"/>
      <c r="CG10" s="1556"/>
      <c r="CH10" s="1556"/>
      <c r="CI10" s="1556"/>
      <c r="CJ10" s="1554"/>
      <c r="CK10" s="1556"/>
      <c r="CL10" s="1556"/>
      <c r="CM10" s="1556"/>
      <c r="CN10" s="1556"/>
      <c r="CO10" s="1554"/>
      <c r="CP10" s="1556"/>
      <c r="CQ10" s="1556"/>
      <c r="CR10" s="1556"/>
      <c r="CS10" s="1556"/>
      <c r="CT10" s="1554"/>
      <c r="CU10" s="1556"/>
      <c r="CV10" s="1556"/>
      <c r="CW10" s="1556"/>
      <c r="CX10" s="1556"/>
      <c r="CY10" s="1554"/>
      <c r="CZ10" s="1556"/>
      <c r="DA10" s="1556"/>
      <c r="DB10" s="1556"/>
      <c r="DC10" s="1556"/>
      <c r="DD10" s="1554"/>
      <c r="DE10" s="1556"/>
      <c r="DF10" s="1555"/>
      <c r="DG10" s="1555"/>
      <c r="DH10" s="1556"/>
      <c r="DI10" s="1554"/>
      <c r="DJ10" s="1556"/>
      <c r="DK10" s="1555"/>
      <c r="DL10" s="1555"/>
      <c r="DM10" s="1556"/>
      <c r="DN10" s="1554"/>
      <c r="DO10" s="1555"/>
      <c r="DP10" s="1555"/>
      <c r="DQ10" s="1555"/>
      <c r="DR10" s="1556"/>
      <c r="DS10" s="1554"/>
      <c r="DT10" s="1555"/>
      <c r="DU10" s="1555"/>
      <c r="DV10" s="1555"/>
      <c r="DW10" s="1555"/>
      <c r="DX10" s="1554"/>
      <c r="DY10" s="1555"/>
      <c r="DZ10" s="1555"/>
      <c r="EA10" s="1555"/>
      <c r="EB10" s="1555"/>
      <c r="EC10" s="1554"/>
      <c r="ED10" s="1555"/>
      <c r="EE10" s="1555"/>
      <c r="EF10" s="1555"/>
      <c r="EG10" s="1555"/>
      <c r="EH10" s="1554"/>
      <c r="EI10" s="1557"/>
      <c r="EJ10" s="1557"/>
      <c r="EK10" s="1557"/>
      <c r="EL10" s="1557"/>
      <c r="EM10" s="1558"/>
      <c r="EN10" s="1557"/>
      <c r="EO10" s="1557"/>
      <c r="EP10" s="1557"/>
      <c r="EQ10" s="1557"/>
      <c r="ER10" s="2573"/>
      <c r="ES10" s="1557"/>
      <c r="ET10" s="1557"/>
      <c r="EU10" s="2572"/>
      <c r="EV10" s="2572"/>
      <c r="EW10" s="2573"/>
      <c r="EX10" s="2572"/>
      <c r="EY10" s="2572"/>
      <c r="EZ10" s="2572"/>
      <c r="FA10" s="2572"/>
      <c r="FB10" s="2573"/>
      <c r="FC10" s="2572"/>
      <c r="FD10" s="2572"/>
      <c r="FE10" s="2572"/>
      <c r="FF10" s="2572"/>
      <c r="FG10" s="2573"/>
      <c r="FH10" s="2572"/>
      <c r="FI10" s="2572"/>
      <c r="FJ10" s="2572"/>
      <c r="FK10" s="2572"/>
      <c r="FL10" s="2573"/>
      <c r="FM10" s="2572"/>
      <c r="FN10" s="2572"/>
      <c r="FO10" s="2572"/>
      <c r="FP10" s="2572"/>
      <c r="FQ10" s="2572"/>
    </row>
    <row r="11" spans="1:174" s="1559" customFormat="1" ht="12" hidden="1" outlineLevel="1">
      <c r="A11" s="1559" t="s">
        <v>500</v>
      </c>
      <c r="BP11" s="1560"/>
      <c r="BU11" s="1560"/>
      <c r="BZ11" s="1560"/>
      <c r="CE11" s="1560"/>
      <c r="CJ11" s="1560"/>
      <c r="CO11" s="1560"/>
      <c r="CT11" s="1560"/>
      <c r="CY11" s="1560"/>
      <c r="DD11" s="1560"/>
      <c r="DI11" s="1560"/>
      <c r="DN11" s="1560"/>
      <c r="DR11" s="1561">
        <v>16818</v>
      </c>
      <c r="DS11" s="1560">
        <f>DR11</f>
        <v>16818</v>
      </c>
      <c r="DT11" s="1561">
        <v>15149</v>
      </c>
      <c r="DU11" s="1561">
        <v>14782</v>
      </c>
      <c r="DV11" s="1561">
        <v>14217</v>
      </c>
      <c r="DW11" s="1561">
        <v>18460</v>
      </c>
      <c r="DX11" s="1560">
        <f>DW11</f>
        <v>18460</v>
      </c>
      <c r="DY11" s="1561">
        <v>16270</v>
      </c>
      <c r="DZ11" s="1561">
        <v>15592</v>
      </c>
      <c r="EA11" s="1561">
        <v>15141</v>
      </c>
      <c r="EB11" s="1561">
        <v>19099</v>
      </c>
      <c r="EC11" s="1560">
        <f>EB11</f>
        <v>19099</v>
      </c>
      <c r="ED11" s="1561">
        <v>16959</v>
      </c>
      <c r="EE11" s="1561">
        <v>15776</v>
      </c>
      <c r="EF11" s="1561">
        <v>14697</v>
      </c>
      <c r="EG11" s="1561">
        <v>17672</v>
      </c>
      <c r="EH11" s="1560">
        <f>EG11</f>
        <v>17672</v>
      </c>
      <c r="EI11" s="1559">
        <f>EH11*(1+EI14)</f>
        <v>15904.800000000001</v>
      </c>
      <c r="EJ11" s="1559">
        <f>EI11*(1+EJ14)</f>
        <v>14812.618391351971</v>
      </c>
      <c r="EK11" s="1559">
        <f>EJ11*(1+EK14)</f>
        <v>13627.608920043815</v>
      </c>
      <c r="EL11" s="1559">
        <f>EK11*(1+EL14)</f>
        <v>16353.130704052577</v>
      </c>
      <c r="EM11" s="1560">
        <f>EL11</f>
        <v>16353.130704052577</v>
      </c>
      <c r="EN11" s="1559">
        <f>EM11*(1+EN14)</f>
        <v>14717.817633647319</v>
      </c>
      <c r="EO11" s="1559">
        <f>EN11*(1+EO14)</f>
        <v>13941.781327081761</v>
      </c>
      <c r="EP11" s="1559">
        <f>EO11*(1+EP14)</f>
        <v>12826.43882091522</v>
      </c>
      <c r="EQ11" s="1559">
        <f>EP11*(1+EQ14)</f>
        <v>15391.726585098264</v>
      </c>
      <c r="ER11" s="1560">
        <f>EQ11</f>
        <v>15391.726585098264</v>
      </c>
      <c r="ES11" s="1559">
        <f>ER11*(1+ES14)</f>
        <v>13852.553926588438</v>
      </c>
      <c r="ET11" s="1559">
        <f>ES11*(1+ET14)</f>
        <v>13122.140963656117</v>
      </c>
      <c r="EU11" s="1559">
        <f>ET11*(1+EU14)</f>
        <v>12006.758981745346</v>
      </c>
      <c r="EV11" s="1559">
        <f>EU11*(1+EV14)</f>
        <v>14348.076983185689</v>
      </c>
      <c r="EW11" s="1560">
        <f>EV11</f>
        <v>14348.076983185689</v>
      </c>
      <c r="EX11" s="1559">
        <f>EW11*(1+EX14)</f>
        <v>12841.528899951192</v>
      </c>
      <c r="EY11" s="1559">
        <f>EX11*(1+EY14)</f>
        <v>12100.217291655183</v>
      </c>
      <c r="EZ11" s="1559">
        <f>EY11*(1+EZ14)</f>
        <v>11011.197735406216</v>
      </c>
      <c r="FA11" s="1559">
        <f>EZ11*(1+FA14)</f>
        <v>13103.325305133398</v>
      </c>
      <c r="FB11" s="1560">
        <f>FA11</f>
        <v>13103.325305133398</v>
      </c>
      <c r="FC11" s="1559">
        <f>FB11*(1+FC14)</f>
        <v>11661.959521568724</v>
      </c>
      <c r="FD11" s="1559">
        <f>FC11*(1+FD14)</f>
        <v>10930.431913513876</v>
      </c>
      <c r="FE11" s="1559">
        <f>FD11*(1+FE14)</f>
        <v>9892.0408817300577</v>
      </c>
      <c r="FF11" s="1559">
        <f>FE11*(1+FF14)</f>
        <v>11722.06844485012</v>
      </c>
      <c r="FG11" s="1560">
        <f>FF11</f>
        <v>11722.06844485012</v>
      </c>
      <c r="FH11" s="1559">
        <f>FG11*(1+FH14)</f>
        <v>10374.030573692356</v>
      </c>
      <c r="FI11" s="1559">
        <f>FH11*(1+FI14)</f>
        <v>9671.4216013806072</v>
      </c>
      <c r="FJ11" s="1559">
        <f>FI11*(1+FJ14)</f>
        <v>8704.2794412425465</v>
      </c>
      <c r="FK11" s="1559">
        <f>FJ11*(1+FK14)</f>
        <v>10271.049740666203</v>
      </c>
      <c r="FL11" s="1560">
        <f>FK11</f>
        <v>10271.049740666203</v>
      </c>
      <c r="FM11" s="2640"/>
      <c r="FN11" s="2640"/>
      <c r="FO11" s="2640"/>
      <c r="FP11" s="2640"/>
      <c r="FQ11" s="2640"/>
    </row>
    <row r="12" spans="1:174" s="1562" customFormat="1" ht="12" hidden="1" outlineLevel="1">
      <c r="A12" s="1562" t="s">
        <v>665</v>
      </c>
      <c r="BP12" s="1563"/>
      <c r="BU12" s="1563"/>
      <c r="BZ12" s="1563"/>
      <c r="CE12" s="1563"/>
      <c r="CJ12" s="1563"/>
      <c r="CO12" s="1563"/>
      <c r="CT12" s="1563"/>
      <c r="CY12" s="1563"/>
      <c r="DD12" s="1563"/>
      <c r="DI12" s="1563"/>
      <c r="DN12" s="1563"/>
      <c r="DS12" s="1563"/>
      <c r="DX12" s="1563"/>
      <c r="DY12" s="1562">
        <f t="shared" ref="DY12:EG12" si="15">DY11/DY26</f>
        <v>0.80941246704144076</v>
      </c>
      <c r="DZ12" s="1562">
        <f t="shared" si="15"/>
        <v>0.80065728663859503</v>
      </c>
      <c r="EA12" s="1562">
        <f t="shared" si="15"/>
        <v>0.77598400984009841</v>
      </c>
      <c r="EB12" s="1562">
        <f t="shared" si="15"/>
        <v>0.75916209555608549</v>
      </c>
      <c r="EC12" s="1563">
        <f t="shared" si="15"/>
        <v>0.75916209555608549</v>
      </c>
      <c r="ED12" s="1562">
        <f>ED11/ED26</f>
        <v>0.75246250776466417</v>
      </c>
      <c r="EE12" s="1562">
        <f t="shared" si="15"/>
        <v>0.74264463588005458</v>
      </c>
      <c r="EF12" s="1562">
        <f t="shared" si="15"/>
        <v>0.72764630161402122</v>
      </c>
      <c r="EG12" s="1562">
        <f t="shared" si="15"/>
        <v>0.69800142191326331</v>
      </c>
      <c r="EH12" s="1563">
        <f>EG12</f>
        <v>0.69800142191326331</v>
      </c>
      <c r="EI12" s="1562">
        <f>EI11/EI26</f>
        <v>0.65202554471601659</v>
      </c>
      <c r="EJ12" s="1562">
        <f>EJ11/EJ26</f>
        <v>0.59163759030511531</v>
      </c>
      <c r="EK12" s="1562">
        <f>EK11/EK26</f>
        <v>0.52587297040144687</v>
      </c>
      <c r="EL12" s="1562">
        <f>EL11/EL26</f>
        <v>0.73590774415630811</v>
      </c>
      <c r="EM12" s="1563">
        <f>EL12</f>
        <v>0.73590774415630811</v>
      </c>
      <c r="EN12" s="1562" t="e">
        <f>EN11/EN26</f>
        <v>#DIV/0!</v>
      </c>
      <c r="EO12" s="1562" t="e">
        <f>EO11/EO26</f>
        <v>#DIV/0!</v>
      </c>
      <c r="EP12" s="1562" t="e">
        <f>EP11/EP26</f>
        <v>#DIV/0!</v>
      </c>
      <c r="EQ12" s="1562" t="e">
        <f>EQ11/EQ26</f>
        <v>#DIV/0!</v>
      </c>
      <c r="ER12" s="1563" t="e">
        <f>EQ12</f>
        <v>#DIV/0!</v>
      </c>
      <c r="ES12" s="1562" t="e">
        <f>ES11/ES26</f>
        <v>#DIV/0!</v>
      </c>
      <c r="ET12" s="1562" t="e">
        <f>ET11/ET26</f>
        <v>#DIV/0!</v>
      </c>
      <c r="EU12" s="1562" t="e">
        <f>EU11/EU26</f>
        <v>#DIV/0!</v>
      </c>
      <c r="EV12" s="1562" t="e">
        <f>EV11/EV26</f>
        <v>#DIV/0!</v>
      </c>
      <c r="EW12" s="1563" t="e">
        <f>EV12</f>
        <v>#DIV/0!</v>
      </c>
      <c r="EX12" s="1562" t="e">
        <f>EX11/EX26</f>
        <v>#DIV/0!</v>
      </c>
      <c r="EY12" s="1562" t="e">
        <f>EY11/EY26</f>
        <v>#DIV/0!</v>
      </c>
      <c r="EZ12" s="1562" t="e">
        <f>EZ11/EZ26</f>
        <v>#DIV/0!</v>
      </c>
      <c r="FA12" s="1562" t="e">
        <f>FA11/FA26</f>
        <v>#DIV/0!</v>
      </c>
      <c r="FB12" s="1563" t="e">
        <f>FA12</f>
        <v>#DIV/0!</v>
      </c>
      <c r="FC12" s="1562" t="e">
        <f>FC11/FC26</f>
        <v>#DIV/0!</v>
      </c>
      <c r="FD12" s="1562" t="e">
        <f>FD11/FD26</f>
        <v>#DIV/0!</v>
      </c>
      <c r="FE12" s="1562" t="e">
        <f>FE11/FE26</f>
        <v>#DIV/0!</v>
      </c>
      <c r="FF12" s="1562" t="e">
        <f>FF11/FF26</f>
        <v>#DIV/0!</v>
      </c>
      <c r="FG12" s="1563" t="e">
        <f>FF12</f>
        <v>#DIV/0!</v>
      </c>
      <c r="FH12" s="1562" t="e">
        <f>FH11/FH26</f>
        <v>#DIV/0!</v>
      </c>
      <c r="FI12" s="1562" t="e">
        <f>FI11/FI26</f>
        <v>#DIV/0!</v>
      </c>
      <c r="FJ12" s="1562" t="e">
        <f>FJ11/FJ26</f>
        <v>#DIV/0!</v>
      </c>
      <c r="FK12" s="1562" t="e">
        <f>FK11/FK26</f>
        <v>#DIV/0!</v>
      </c>
      <c r="FL12" s="1563" t="e">
        <f>FK12</f>
        <v>#DIV/0!</v>
      </c>
      <c r="FM12" s="2641"/>
      <c r="FN12" s="2641"/>
      <c r="FO12" s="2641"/>
      <c r="FP12" s="2641"/>
      <c r="FQ12" s="2641"/>
    </row>
    <row r="13" spans="1:174" s="1562" customFormat="1" ht="12" hidden="1" outlineLevel="1">
      <c r="A13" s="1562" t="s">
        <v>163</v>
      </c>
      <c r="BP13" s="1563"/>
      <c r="BU13" s="1563"/>
      <c r="BZ13" s="1563"/>
      <c r="CE13" s="1563"/>
      <c r="CJ13" s="1563"/>
      <c r="CO13" s="1563"/>
      <c r="CT13" s="1563"/>
      <c r="CY13" s="1563"/>
      <c r="DD13" s="1563"/>
      <c r="DI13" s="1563"/>
      <c r="DN13" s="1563"/>
      <c r="DS13" s="1563"/>
      <c r="DT13" s="1562" t="str">
        <f>IF(ISERROR(DT12/DO12-1),"",(DT12/DO12-1))</f>
        <v/>
      </c>
      <c r="DU13" s="1562" t="str">
        <f>IF(ISERROR(DU12/DP12-1),"",(DU12/DP12-1))</f>
        <v/>
      </c>
      <c r="DV13" s="1562" t="str">
        <f>IF(ISERROR(DV12/DQ12-1),"",(DV12/DQ12-1))</f>
        <v/>
      </c>
      <c r="DW13" s="1562">
        <f>IF(ISERROR(DW11/DR11-1),"",(DW11/DR11-1))</f>
        <v>9.763348792959925E-2</v>
      </c>
      <c r="DX13" s="1563" t="str">
        <f>IF(ISERROR(DX12/DS12-1),"",(DX12/DS12-1))</f>
        <v/>
      </c>
      <c r="DY13" s="1562">
        <f t="shared" ref="DY13:FB13" si="16">IF(ISERROR(DY11/DT11-1),"",(DY11/DT11-1))</f>
        <v>7.3998283715096758E-2</v>
      </c>
      <c r="DZ13" s="1562">
        <f t="shared" si="16"/>
        <v>5.4796373968339918E-2</v>
      </c>
      <c r="EA13" s="1562">
        <f t="shared" si="16"/>
        <v>6.4992614475627875E-2</v>
      </c>
      <c r="EB13" s="1562">
        <f t="shared" si="16"/>
        <v>3.4615384615384714E-2</v>
      </c>
      <c r="EC13" s="1563">
        <f t="shared" si="16"/>
        <v>3.4615384615384714E-2</v>
      </c>
      <c r="ED13" s="1562">
        <f t="shared" si="16"/>
        <v>4.234787953288266E-2</v>
      </c>
      <c r="EE13" s="1562">
        <f t="shared" si="16"/>
        <v>1.1800923550538744E-2</v>
      </c>
      <c r="EF13" s="1562">
        <f t="shared" si="16"/>
        <v>-2.9324351099663137E-2</v>
      </c>
      <c r="EG13" s="1562">
        <f t="shared" si="16"/>
        <v>-7.4715953714854177E-2</v>
      </c>
      <c r="EH13" s="1563">
        <f t="shared" si="16"/>
        <v>-7.4715953714854177E-2</v>
      </c>
      <c r="EI13" s="1562">
        <f>IF(ISERROR(EI11/ED11-1),"",(EI11/ED11-1))</f>
        <v>-6.2161684061560196E-2</v>
      </c>
      <c r="EJ13" s="1562">
        <f t="shared" si="16"/>
        <v>-6.1066278438642874E-2</v>
      </c>
      <c r="EK13" s="1562">
        <f t="shared" si="16"/>
        <v>-7.276254201239607E-2</v>
      </c>
      <c r="EL13" s="1562">
        <f t="shared" si="16"/>
        <v>-7.4630449069003069E-2</v>
      </c>
      <c r="EM13" s="1563">
        <f t="shared" si="16"/>
        <v>-7.4630449069003069E-2</v>
      </c>
      <c r="EN13" s="1562">
        <f t="shared" si="16"/>
        <v>-7.463044906900318E-2</v>
      </c>
      <c r="EO13" s="1562">
        <f t="shared" si="16"/>
        <v>-5.8790217992696681E-2</v>
      </c>
      <c r="EP13" s="1562">
        <f t="shared" si="16"/>
        <v>-5.8790217992696681E-2</v>
      </c>
      <c r="EQ13" s="1562">
        <f t="shared" si="16"/>
        <v>-5.8790217992696681E-2</v>
      </c>
      <c r="ER13" s="1563">
        <f t="shared" si="16"/>
        <v>-5.8790217992696681E-2</v>
      </c>
      <c r="ES13" s="1562">
        <f t="shared" si="16"/>
        <v>-5.8790217992696681E-2</v>
      </c>
      <c r="ET13" s="1562">
        <f t="shared" si="16"/>
        <v>-5.8790217992696681E-2</v>
      </c>
      <c r="EU13" s="1562">
        <f t="shared" si="16"/>
        <v>-6.3905488547084222E-2</v>
      </c>
      <c r="EV13" s="1562">
        <f t="shared" si="16"/>
        <v>-6.7805882344804669E-2</v>
      </c>
      <c r="EW13" s="1563">
        <f t="shared" si="16"/>
        <v>-6.7805882344804669E-2</v>
      </c>
      <c r="EX13" s="1562">
        <f t="shared" si="16"/>
        <v>-7.2984738554000228E-2</v>
      </c>
      <c r="EY13" s="1562">
        <f t="shared" si="16"/>
        <v>-7.7877815429000186E-2</v>
      </c>
      <c r="EZ13" s="1562">
        <f t="shared" si="16"/>
        <v>-8.2916734470371734E-2</v>
      </c>
      <c r="FA13" s="1562">
        <f t="shared" si="16"/>
        <v>-8.6753902945391093E-2</v>
      </c>
      <c r="FB13" s="1563">
        <f t="shared" si="16"/>
        <v>-8.6753902945391093E-2</v>
      </c>
      <c r="FC13" s="1562">
        <f t="shared" ref="FC13" si="17">IF(ISERROR(FC11/EX11-1),"",(FC11/EX11-1))</f>
        <v>-9.1855836448489492E-2</v>
      </c>
      <c r="FD13" s="1562">
        <f t="shared" ref="FD13" si="18">IF(ISERROR(FD11/EY11-1),"",(FD11/EY11-1))</f>
        <v>-9.6674741448489532E-2</v>
      </c>
      <c r="FE13" s="1562">
        <f t="shared" ref="FE13" si="19">IF(ISERROR(FE11/EZ11-1),"",(FE11/EZ11-1))</f>
        <v>-0.10163806704492639</v>
      </c>
      <c r="FF13" s="1562">
        <f t="shared" ref="FF13" si="20">IF(ISERROR(FF11/FA11-1),"",(FF11/FA11-1))</f>
        <v>-0.10541269701532574</v>
      </c>
      <c r="FG13" s="1563">
        <f t="shared" ref="FG13" si="21">IF(ISERROR(FG11/FB11-1),"",(FG11/FB11-1))</f>
        <v>-0.10541269701532574</v>
      </c>
      <c r="FH13" s="1562">
        <f t="shared" ref="FH13" si="22">IF(ISERROR(FH11/FC11-1),"",(FH11/FC11-1))</f>
        <v>-0.11043846838040816</v>
      </c>
      <c r="FI13" s="1562">
        <f t="shared" ref="FI13" si="23">IF(ISERROR(FI11/FD11-1),"",(FI11/FD11-1))</f>
        <v>-0.11518394900540818</v>
      </c>
      <c r="FJ13" s="1562">
        <f t="shared" ref="FJ13" si="24">IF(ISERROR(FJ11/FE11-1),"",(FJ11/FE11-1))</f>
        <v>-0.12007243547499158</v>
      </c>
      <c r="FK13" s="1562">
        <f t="shared" ref="FK13" si="25">IF(ISERROR(FK11/FF11-1),"",(FK11/FF11-1))</f>
        <v>-0.12378521000885256</v>
      </c>
      <c r="FL13" s="1563">
        <f t="shared" ref="FL13" si="26">IF(ISERROR(FL11/FG11-1),"",(FL11/FG11-1))</f>
        <v>-0.12378521000885256</v>
      </c>
      <c r="FM13" s="2641"/>
      <c r="FN13" s="2641"/>
      <c r="FO13" s="2641"/>
      <c r="FP13" s="2641"/>
      <c r="FQ13" s="2641"/>
    </row>
    <row r="14" spans="1:174" s="1562" customFormat="1" ht="12" hidden="1" outlineLevel="1">
      <c r="A14" s="1562" t="s">
        <v>667</v>
      </c>
      <c r="BP14" s="1563"/>
      <c r="BU14" s="1563"/>
      <c r="BZ14" s="1563"/>
      <c r="CE14" s="1563"/>
      <c r="CJ14" s="1563"/>
      <c r="CO14" s="1563"/>
      <c r="CT14" s="1563"/>
      <c r="CY14" s="1563"/>
      <c r="DD14" s="1563"/>
      <c r="DI14" s="1563"/>
      <c r="DN14" s="1563"/>
      <c r="DS14" s="1563"/>
      <c r="DT14" s="1562">
        <f>DT11/DS11-1</f>
        <v>-9.9238910690926385E-2</v>
      </c>
      <c r="DU14" s="1562">
        <f>DU11/DT11-1</f>
        <v>-2.4226021519572205E-2</v>
      </c>
      <c r="DV14" s="1562">
        <f>DV11/DU11-1</f>
        <v>-3.8222162089027178E-2</v>
      </c>
      <c r="DW14" s="1562">
        <f>DW11/DV11-1</f>
        <v>0.29844552296546389</v>
      </c>
      <c r="DX14" s="1563"/>
      <c r="DY14" s="1562">
        <f>DY11/DX11-1</f>
        <v>-0.1186348862405201</v>
      </c>
      <c r="DZ14" s="1562">
        <f>DZ11/DY11-1</f>
        <v>-4.1671788567916423E-2</v>
      </c>
      <c r="EA14" s="1562">
        <f>EA11/DZ11-1</f>
        <v>-2.8925089789635705E-2</v>
      </c>
      <c r="EB14" s="1562">
        <f>EB11/EA11-1</f>
        <v>0.26140941813618657</v>
      </c>
      <c r="EC14" s="1563"/>
      <c r="ED14" s="1562">
        <f>ED11/EC11-1</f>
        <v>-0.11204775119116184</v>
      </c>
      <c r="EE14" s="1562">
        <f>EE11/ED11-1</f>
        <v>-6.9756471490064254E-2</v>
      </c>
      <c r="EF14" s="1562">
        <f>EF11/EE11-1</f>
        <v>-6.839503042596351E-2</v>
      </c>
      <c r="EG14" s="1562">
        <f>EG11/EF11-1</f>
        <v>0.20242226304688038</v>
      </c>
      <c r="EH14" s="1564"/>
      <c r="EI14" s="1565">
        <v>-0.1</v>
      </c>
      <c r="EJ14" s="1565">
        <f>EJ9</f>
        <v>-6.8669936663650621E-2</v>
      </c>
      <c r="EK14" s="1565">
        <v>-0.08</v>
      </c>
      <c r="EL14" s="1565">
        <v>0.2</v>
      </c>
      <c r="EM14" s="1564"/>
      <c r="EN14" s="1565">
        <f>EI14</f>
        <v>-0.1</v>
      </c>
      <c r="EO14" s="1565">
        <f>EO9</f>
        <v>-5.2727675113422579E-2</v>
      </c>
      <c r="EP14" s="1565">
        <v>-0.08</v>
      </c>
      <c r="EQ14" s="1565">
        <v>0.2</v>
      </c>
      <c r="ER14" s="1564"/>
      <c r="ES14" s="1565">
        <f>EN14</f>
        <v>-0.1</v>
      </c>
      <c r="ET14" s="1565">
        <f>EO14</f>
        <v>-5.2727675113422579E-2</v>
      </c>
      <c r="EU14" s="1565">
        <f>EP14-0.5%</f>
        <v>-8.5000000000000006E-2</v>
      </c>
      <c r="EV14" s="1565">
        <f>EQ14-0.5%</f>
        <v>0.19500000000000001</v>
      </c>
      <c r="EW14" s="1564"/>
      <c r="EX14" s="1565">
        <f>ES14-0.5%</f>
        <v>-0.10500000000000001</v>
      </c>
      <c r="EY14" s="1565">
        <f>ET14-0.5%</f>
        <v>-5.7727675113422576E-2</v>
      </c>
      <c r="EZ14" s="1565">
        <f>EU14-0.5%</f>
        <v>-9.0000000000000011E-2</v>
      </c>
      <c r="FA14" s="1565">
        <f>EV14-0.5%</f>
        <v>0.19</v>
      </c>
      <c r="FB14" s="1564"/>
      <c r="FC14" s="1565">
        <f>EX14-0.5%</f>
        <v>-0.11000000000000001</v>
      </c>
      <c r="FD14" s="1565">
        <f>EY14-0.5%</f>
        <v>-6.2727675113422574E-2</v>
      </c>
      <c r="FE14" s="1565">
        <f>EZ14-0.5%</f>
        <v>-9.5000000000000015E-2</v>
      </c>
      <c r="FF14" s="1565">
        <f>FA14-0.5%</f>
        <v>0.185</v>
      </c>
      <c r="FG14" s="1564"/>
      <c r="FH14" s="1565">
        <f>FC14-0.5%</f>
        <v>-0.11500000000000002</v>
      </c>
      <c r="FI14" s="1565">
        <f>FD14-0.5%</f>
        <v>-6.7727675113422578E-2</v>
      </c>
      <c r="FJ14" s="1565">
        <f>FE14-0.5%</f>
        <v>-0.10000000000000002</v>
      </c>
      <c r="FK14" s="1565">
        <f>FF14-0.5%</f>
        <v>0.18</v>
      </c>
      <c r="FL14" s="1564"/>
      <c r="FM14" s="2642"/>
      <c r="FN14" s="2642"/>
      <c r="FO14" s="2642"/>
      <c r="FP14" s="2642"/>
      <c r="FQ14" s="2642"/>
    </row>
    <row r="15" spans="1:174" s="1566" customFormat="1" ht="12" hidden="1" outlineLevel="1">
      <c r="BP15" s="1567"/>
      <c r="BU15" s="1568"/>
      <c r="BZ15" s="1568"/>
      <c r="CE15" s="1568"/>
      <c r="CJ15" s="1568"/>
      <c r="CO15" s="1568"/>
      <c r="CP15" s="1569"/>
      <c r="CQ15" s="1569"/>
      <c r="CR15" s="1569"/>
      <c r="CS15" s="1569"/>
      <c r="CT15" s="1568"/>
      <c r="CU15" s="1569"/>
      <c r="CV15" s="1569"/>
      <c r="CW15" s="1569"/>
      <c r="CX15" s="1569"/>
      <c r="CY15" s="1568"/>
      <c r="CZ15" s="1569"/>
      <c r="DA15" s="1569"/>
      <c r="DB15" s="1569"/>
      <c r="DC15" s="1569"/>
      <c r="DD15" s="1568"/>
      <c r="DE15" s="1569"/>
      <c r="DF15" s="1569"/>
      <c r="DG15" s="1569"/>
      <c r="DH15" s="1569"/>
      <c r="DI15" s="1568"/>
      <c r="DJ15" s="1570"/>
      <c r="DK15" s="1570"/>
      <c r="DL15" s="1570"/>
      <c r="DM15" s="1569"/>
      <c r="DN15" s="1568"/>
      <c r="DO15" s="1569"/>
      <c r="DP15" s="1570"/>
      <c r="DQ15" s="1570"/>
      <c r="DR15" s="1569"/>
      <c r="DS15" s="1568"/>
      <c r="DT15" s="1569"/>
      <c r="DU15" s="1570"/>
      <c r="DV15" s="1570"/>
      <c r="DW15" s="1569"/>
      <c r="DX15" s="1568"/>
      <c r="DY15" s="1571"/>
      <c r="DZ15" s="1570"/>
      <c r="EA15" s="1571"/>
      <c r="EB15" s="1569"/>
      <c r="EC15" s="1568"/>
      <c r="ED15" s="1571"/>
      <c r="EE15" s="1570"/>
      <c r="EF15" s="1570"/>
      <c r="EG15" s="1569"/>
      <c r="EH15" s="1572"/>
      <c r="EI15" s="1571"/>
      <c r="EJ15" s="1571"/>
      <c r="EK15" s="1571"/>
      <c r="EL15" s="1571"/>
      <c r="EM15" s="1572"/>
      <c r="EN15" s="1571"/>
      <c r="EO15" s="1571"/>
      <c r="EP15" s="1571"/>
      <c r="EQ15" s="1571"/>
      <c r="ER15" s="1572"/>
      <c r="ES15" s="1571"/>
      <c r="ET15" s="1571"/>
      <c r="EU15" s="1571"/>
      <c r="EV15" s="1571"/>
      <c r="EW15" s="1572"/>
      <c r="EX15" s="1571"/>
      <c r="EY15" s="1571"/>
      <c r="EZ15" s="1571"/>
      <c r="FA15" s="1571"/>
      <c r="FB15" s="1572"/>
      <c r="FC15" s="1571"/>
      <c r="FD15" s="1571"/>
      <c r="FE15" s="1571"/>
      <c r="FF15" s="1571"/>
      <c r="FG15" s="1572"/>
      <c r="FH15" s="1571"/>
      <c r="FI15" s="1571"/>
      <c r="FJ15" s="1571"/>
      <c r="FK15" s="1571"/>
      <c r="FL15" s="1572"/>
      <c r="FM15" s="2643"/>
      <c r="FN15" s="2643"/>
      <c r="FO15" s="2643"/>
      <c r="FP15" s="2643"/>
      <c r="FQ15" s="2643"/>
    </row>
    <row r="16" spans="1:174" s="1559" customFormat="1" ht="12" hidden="1" outlineLevel="1">
      <c r="A16" s="1559" t="s">
        <v>502</v>
      </c>
      <c r="BP16" s="1560"/>
      <c r="BU16" s="1560"/>
      <c r="BZ16" s="1560"/>
      <c r="CE16" s="1560"/>
      <c r="CJ16" s="1560"/>
      <c r="CO16" s="1560"/>
      <c r="CT16" s="1560"/>
      <c r="CY16" s="1560"/>
      <c r="DD16" s="1560"/>
      <c r="DI16" s="1560"/>
      <c r="DN16" s="1560"/>
      <c r="DR16" s="1561">
        <v>1529</v>
      </c>
      <c r="DS16" s="1560">
        <f>DR16</f>
        <v>1529</v>
      </c>
      <c r="DT16" s="1561">
        <v>1324</v>
      </c>
      <c r="DU16" s="1561">
        <v>1378</v>
      </c>
      <c r="DV16" s="1561">
        <v>1446</v>
      </c>
      <c r="DW16" s="1561">
        <v>2272</v>
      </c>
      <c r="DX16" s="1560">
        <f>DW16</f>
        <v>2272</v>
      </c>
      <c r="DY16" s="1561">
        <v>1989</v>
      </c>
      <c r="DZ16" s="1561">
        <v>2173</v>
      </c>
      <c r="EA16" s="1561">
        <v>2394</v>
      </c>
      <c r="EB16" s="1561">
        <v>3934</v>
      </c>
      <c r="EC16" s="1560">
        <f>EB16</f>
        <v>3934</v>
      </c>
      <c r="ED16" s="1561">
        <v>3483</v>
      </c>
      <c r="EE16" s="1561">
        <v>3486</v>
      </c>
      <c r="EF16" s="1561">
        <v>3526</v>
      </c>
      <c r="EG16" s="1561">
        <v>5641</v>
      </c>
      <c r="EH16" s="1560">
        <f>EG16</f>
        <v>5641</v>
      </c>
      <c r="EI16" s="1559">
        <f>EH16*(1+EI19)</f>
        <v>5020.49</v>
      </c>
      <c r="EJ16" s="1559">
        <f>EI16*(1+EJ19)</f>
        <v>4675.7332696795083</v>
      </c>
      <c r="EK16" s="1559">
        <f>EJ16*(1+EK19)</f>
        <v>5003.0345985570739</v>
      </c>
      <c r="EL16" s="1559">
        <f>EK16*(1+EL19)</f>
        <v>7504.5518978356104</v>
      </c>
      <c r="EM16" s="1560">
        <f>EL16</f>
        <v>7504.5518978356104</v>
      </c>
      <c r="EN16" s="1559">
        <f>EM16*(1+EN19)</f>
        <v>6604.0056700953373</v>
      </c>
      <c r="EO16" s="1559">
        <f>EN16*(1+EO19)</f>
        <v>6255.7918046753502</v>
      </c>
      <c r="EP16" s="1559">
        <f>EO16*(1+EP19)</f>
        <v>6693.6972310026249</v>
      </c>
      <c r="EQ16" s="1559">
        <f>EP16*(1+EQ19)</f>
        <v>10040.545846503937</v>
      </c>
      <c r="ER16" s="1560">
        <f>EQ16</f>
        <v>10040.545846503937</v>
      </c>
      <c r="ES16" s="1559">
        <f>ER16*(1+ES19)</f>
        <v>8735.2748864584246</v>
      </c>
      <c r="ET16" s="1559">
        <f>ES16*(1+ET19)</f>
        <v>8187.3314013542213</v>
      </c>
      <c r="EU16" s="1559">
        <f>ET16*(1+EU19)</f>
        <v>8596.6979714219324</v>
      </c>
      <c r="EV16" s="1559">
        <f>EU16*(1+EV19)</f>
        <v>12723.11299770446</v>
      </c>
      <c r="EW16" s="1560">
        <f>EV16</f>
        <v>12723.11299770446</v>
      </c>
      <c r="EX16" s="1559">
        <f>EW16*(1+EX19)</f>
        <v>10814.646048048791</v>
      </c>
      <c r="EY16" s="1559">
        <f>EX16*(1+EY19)</f>
        <v>9919.9755233191518</v>
      </c>
      <c r="EZ16" s="1559">
        <f>EY16*(1+EZ19)</f>
        <v>10217.574789018727</v>
      </c>
      <c r="FA16" s="1559">
        <f>EZ16*(1+FA19)</f>
        <v>14917.659191967341</v>
      </c>
      <c r="FB16" s="1560">
        <f>FA16</f>
        <v>14917.659191967341</v>
      </c>
      <c r="FC16" s="1559">
        <f>FB16*(1+FC19)</f>
        <v>12381.657129332894</v>
      </c>
      <c r="FD16" s="1559">
        <f>FC16*(1+FD19)</f>
        <v>11109.718278384991</v>
      </c>
      <c r="FE16" s="1559">
        <f>FD16*(1+FE19)</f>
        <v>11220.815461168841</v>
      </c>
      <c r="FF16" s="1559">
        <f>FE16*(1+FF19)</f>
        <v>16157.97426408313</v>
      </c>
      <c r="FG16" s="1560">
        <f>FF16</f>
        <v>16157.97426408313</v>
      </c>
      <c r="FH16" s="1559">
        <f>FG16*(1+FH19)</f>
        <v>13087.959153907335</v>
      </c>
      <c r="FI16" s="1559">
        <f>FH16*(1+FI19)</f>
        <v>11481.704354968851</v>
      </c>
      <c r="FJ16" s="1559">
        <f>FI16*(1+FJ19)</f>
        <v>11366.887311419163</v>
      </c>
      <c r="FK16" s="1559">
        <f>FJ16*(1+FK19)</f>
        <v>16140.979982215211</v>
      </c>
      <c r="FL16" s="1560">
        <f>FK16</f>
        <v>16140.979982215211</v>
      </c>
      <c r="FM16" s="2640"/>
      <c r="FN16" s="2640"/>
      <c r="FO16" s="2640"/>
      <c r="FP16" s="2640"/>
      <c r="FQ16" s="2640"/>
    </row>
    <row r="17" spans="1:173" s="1562" customFormat="1" ht="12" hidden="1" outlineLevel="1">
      <c r="A17" s="1562" t="s">
        <v>665</v>
      </c>
      <c r="BP17" s="1563"/>
      <c r="BU17" s="1563"/>
      <c r="BZ17" s="1563"/>
      <c r="CE17" s="1563"/>
      <c r="CJ17" s="1563"/>
      <c r="CO17" s="1563"/>
      <c r="CT17" s="1563"/>
      <c r="CY17" s="1563"/>
      <c r="DD17" s="1563"/>
      <c r="DI17" s="1563"/>
      <c r="DN17" s="1563"/>
      <c r="DS17" s="1563"/>
      <c r="DX17" s="1563"/>
      <c r="DY17" s="1562">
        <f>DY16/DY26</f>
        <v>9.895030098005074E-2</v>
      </c>
      <c r="DZ17" s="1562">
        <f>DZ16/DZ26</f>
        <v>0.11158467700523775</v>
      </c>
      <c r="EA17" s="1562">
        <f>EA16/EA26</f>
        <v>0.12269372693726938</v>
      </c>
      <c r="EB17" s="1562">
        <f>EB16/EB26</f>
        <v>0.1563717306622148</v>
      </c>
      <c r="EC17" s="1563">
        <f>EB17</f>
        <v>0.1563717306622148</v>
      </c>
      <c r="ED17" s="1562">
        <f>ED16/ED26</f>
        <v>0.15453900079865115</v>
      </c>
      <c r="EE17" s="1562">
        <f>EE16/EE26</f>
        <v>0.16410111566162972</v>
      </c>
      <c r="EF17" s="1562">
        <f>EF16/EF26</f>
        <v>0.17457173977621546</v>
      </c>
      <c r="EG17" s="1562">
        <f>EG16/EG26</f>
        <v>0.22280590883956078</v>
      </c>
      <c r="EH17" s="1563">
        <f>EG17</f>
        <v>0.22280590883956078</v>
      </c>
      <c r="EI17" s="1562">
        <f>EI16/EI26</f>
        <v>0.20581759764293256</v>
      </c>
      <c r="EJ17" s="1562">
        <f>EJ16/EJ26</f>
        <v>0.18675560873138472</v>
      </c>
      <c r="EK17" s="1562">
        <f>EK16/EK26</f>
        <v>0.19306106308163412</v>
      </c>
      <c r="EL17" s="1562">
        <f>EL16/EL26</f>
        <v>0.33771257369523372</v>
      </c>
      <c r="EM17" s="1563">
        <f>EL17</f>
        <v>0.33771257369523372</v>
      </c>
      <c r="EN17" s="1562" t="e">
        <f>EN16/EN26</f>
        <v>#DIV/0!</v>
      </c>
      <c r="EO17" s="1562" t="e">
        <f>EO16/EO26</f>
        <v>#DIV/0!</v>
      </c>
      <c r="EP17" s="1562" t="e">
        <f>EP16/EP26</f>
        <v>#DIV/0!</v>
      </c>
      <c r="EQ17" s="1562" t="e">
        <f>EQ16/EQ26</f>
        <v>#DIV/0!</v>
      </c>
      <c r="ER17" s="1563" t="e">
        <f>EQ17</f>
        <v>#DIV/0!</v>
      </c>
      <c r="ES17" s="1562" t="e">
        <f>ES16/ES26</f>
        <v>#DIV/0!</v>
      </c>
      <c r="ET17" s="1562" t="e">
        <f>ET16/ET26</f>
        <v>#DIV/0!</v>
      </c>
      <c r="EU17" s="1562" t="e">
        <f>EU16/EU26</f>
        <v>#DIV/0!</v>
      </c>
      <c r="EV17" s="1562" t="e">
        <f>EV16/EV26</f>
        <v>#DIV/0!</v>
      </c>
      <c r="EW17" s="1563" t="e">
        <f>EV17</f>
        <v>#DIV/0!</v>
      </c>
      <c r="EX17" s="1562" t="e">
        <f>EX16/EX26</f>
        <v>#DIV/0!</v>
      </c>
      <c r="EY17" s="1562" t="e">
        <f>EY16/EY26</f>
        <v>#DIV/0!</v>
      </c>
      <c r="EZ17" s="1562" t="e">
        <f>EZ16/EZ26</f>
        <v>#DIV/0!</v>
      </c>
      <c r="FA17" s="1562" t="e">
        <f>FA16/FA26</f>
        <v>#DIV/0!</v>
      </c>
      <c r="FB17" s="1563" t="e">
        <f>FA17</f>
        <v>#DIV/0!</v>
      </c>
      <c r="FC17" s="1562" t="e">
        <f>FC16/FC26</f>
        <v>#DIV/0!</v>
      </c>
      <c r="FD17" s="1562" t="e">
        <f>FD16/FD26</f>
        <v>#DIV/0!</v>
      </c>
      <c r="FE17" s="1562" t="e">
        <f>FE16/FE26</f>
        <v>#DIV/0!</v>
      </c>
      <c r="FF17" s="1562" t="e">
        <f>FF16/FF26</f>
        <v>#DIV/0!</v>
      </c>
      <c r="FG17" s="1563" t="e">
        <f>FF17</f>
        <v>#DIV/0!</v>
      </c>
      <c r="FH17" s="1562" t="e">
        <f>FH16/FH26</f>
        <v>#DIV/0!</v>
      </c>
      <c r="FI17" s="1562" t="e">
        <f>FI16/FI26</f>
        <v>#DIV/0!</v>
      </c>
      <c r="FJ17" s="1562" t="e">
        <f>FJ16/FJ26</f>
        <v>#DIV/0!</v>
      </c>
      <c r="FK17" s="1562" t="e">
        <f>FK16/FK26</f>
        <v>#DIV/0!</v>
      </c>
      <c r="FL17" s="1563" t="e">
        <f>FK17</f>
        <v>#DIV/0!</v>
      </c>
      <c r="FM17" s="2641"/>
      <c r="FN17" s="2641"/>
      <c r="FO17" s="2641"/>
      <c r="FP17" s="2641"/>
      <c r="FQ17" s="2641"/>
    </row>
    <row r="18" spans="1:173" s="1562" customFormat="1" ht="12" hidden="1" outlineLevel="1">
      <c r="A18" s="1562" t="s">
        <v>163</v>
      </c>
      <c r="BP18" s="1563"/>
      <c r="BU18" s="1563"/>
      <c r="BZ18" s="1563"/>
      <c r="CE18" s="1563"/>
      <c r="CJ18" s="1563"/>
      <c r="CO18" s="1563"/>
      <c r="CT18" s="1563"/>
      <c r="CY18" s="1563"/>
      <c r="DD18" s="1563"/>
      <c r="DI18" s="1563"/>
      <c r="DN18" s="1563"/>
      <c r="DS18" s="1563"/>
      <c r="DT18" s="1562" t="str">
        <f>IF(ISERROR(DT17/DO17-1),"",(DT17/DO17-1))</f>
        <v/>
      </c>
      <c r="DU18" s="1562" t="str">
        <f>IF(ISERROR(DU17/DP17-1),"",(DU17/DP17-1))</f>
        <v/>
      </c>
      <c r="DV18" s="1562" t="str">
        <f>IF(ISERROR(DV17/DQ17-1),"",(DV17/DQ17-1))</f>
        <v/>
      </c>
      <c r="DW18" s="1562">
        <f>IF(ISERROR(DW16/DR16-1),"",(DW16/DR16-1))</f>
        <v>0.48593852190974496</v>
      </c>
      <c r="DX18" s="1563" t="str">
        <f>IF(ISERROR(DX17/DS17-1),"",(DX17/DS17-1))</f>
        <v/>
      </c>
      <c r="DY18" s="1562">
        <f t="shared" ref="DY18:FB18" si="27">IF(ISERROR(DY16/DT16-1),"",(DY16/DT16-1))</f>
        <v>0.5022658610271904</v>
      </c>
      <c r="DZ18" s="1562">
        <f t="shared" si="27"/>
        <v>0.57692307692307687</v>
      </c>
      <c r="EA18" s="1562">
        <f t="shared" si="27"/>
        <v>0.65560165975103724</v>
      </c>
      <c r="EB18" s="1562">
        <f t="shared" si="27"/>
        <v>0.73151408450704225</v>
      </c>
      <c r="EC18" s="1563">
        <f t="shared" si="27"/>
        <v>0.73151408450704225</v>
      </c>
      <c r="ED18" s="1562">
        <f t="shared" si="27"/>
        <v>0.75113122171945701</v>
      </c>
      <c r="EE18" s="1562">
        <f t="shared" si="27"/>
        <v>0.60423377818683854</v>
      </c>
      <c r="EF18" s="1562">
        <f t="shared" si="27"/>
        <v>0.47284878863826241</v>
      </c>
      <c r="EG18" s="1562">
        <f t="shared" si="27"/>
        <v>0.43390950686324348</v>
      </c>
      <c r="EH18" s="1563">
        <f t="shared" si="27"/>
        <v>0.43390950686324348</v>
      </c>
      <c r="EI18" s="1562">
        <f t="shared" si="27"/>
        <v>0.44142693080677575</v>
      </c>
      <c r="EJ18" s="1562">
        <f t="shared" si="27"/>
        <v>0.3412889471255045</v>
      </c>
      <c r="EK18" s="1562">
        <f t="shared" si="27"/>
        <v>0.41889807105986221</v>
      </c>
      <c r="EL18" s="1562">
        <f t="shared" si="27"/>
        <v>0.33035842897280809</v>
      </c>
      <c r="EM18" s="1563">
        <f t="shared" si="27"/>
        <v>0.33035842897280809</v>
      </c>
      <c r="EN18" s="1562">
        <f t="shared" si="27"/>
        <v>0.31541058145625978</v>
      </c>
      <c r="EO18" s="1562">
        <f t="shared" si="27"/>
        <v>0.33792743166980199</v>
      </c>
      <c r="EP18" s="1562">
        <f t="shared" si="27"/>
        <v>0.33792743166980199</v>
      </c>
      <c r="EQ18" s="1562">
        <f t="shared" si="27"/>
        <v>0.33792743166980221</v>
      </c>
      <c r="ER18" s="1563">
        <f t="shared" si="27"/>
        <v>0.33792743166980221</v>
      </c>
      <c r="ES18" s="1562">
        <f t="shared" si="27"/>
        <v>0.32272371085537244</v>
      </c>
      <c r="ET18" s="1562">
        <f t="shared" si="27"/>
        <v>0.3087602108553722</v>
      </c>
      <c r="EU18" s="1562">
        <f t="shared" si="27"/>
        <v>0.28429740317583252</v>
      </c>
      <c r="EV18" s="1562">
        <f t="shared" si="27"/>
        <v>0.2671734378001549</v>
      </c>
      <c r="EW18" s="1563">
        <f t="shared" si="27"/>
        <v>0.2671734378001549</v>
      </c>
      <c r="EX18" s="1562">
        <f t="shared" si="27"/>
        <v>0.23804301394268013</v>
      </c>
      <c r="EY18" s="1562">
        <f t="shared" si="27"/>
        <v>0.2116250139426803</v>
      </c>
      <c r="EZ18" s="1562">
        <f t="shared" si="27"/>
        <v>0.1885464422485339</v>
      </c>
      <c r="FA18" s="1562">
        <f t="shared" si="27"/>
        <v>0.17248500383977006</v>
      </c>
      <c r="FB18" s="1563">
        <f t="shared" si="27"/>
        <v>0.17248500383977006</v>
      </c>
      <c r="FC18" s="1562">
        <f t="shared" ref="FC18" si="28">IF(ISERROR(FC16/EX16-1),"",(FC16/EX16-1))</f>
        <v>0.14489712139648137</v>
      </c>
      <c r="FD18" s="1562">
        <f t="shared" ref="FD18" si="29">IF(ISERROR(FD16/EY16-1),"",(FD16/EY16-1))</f>
        <v>0.11993404139648112</v>
      </c>
      <c r="FE18" s="1562">
        <f t="shared" ref="FE18" si="30">IF(ISERROR(FE16/EZ16-1),"",(FE16/EZ16-1))</f>
        <v>9.8187749330530094E-2</v>
      </c>
      <c r="FF18" s="1562">
        <f t="shared" ref="FF18" si="31">IF(ISERROR(FF16/FA16-1),"",(FF16/FA16-1))</f>
        <v>8.3144081531481673E-2</v>
      </c>
      <c r="FG18" s="1563">
        <f t="shared" ref="FG18" si="32">IF(ISERROR(FG16/FB16-1),"",(FG16/FB16-1))</f>
        <v>8.3144081531481673E-2</v>
      </c>
      <c r="FH18" s="1562">
        <f t="shared" ref="FH18" si="33">IF(ISERROR(FH16/FC16-1),"",(FH16/FC16-1))</f>
        <v>5.7044224145180733E-2</v>
      </c>
      <c r="FI18" s="1562">
        <f t="shared" ref="FI18" si="34">IF(ISERROR(FI16/FD16-1),"",(FI16/FD16-1))</f>
        <v>3.3482944145180937E-2</v>
      </c>
      <c r="FJ18" s="1562">
        <f t="shared" ref="FJ18" si="35">IF(ISERROR(FJ16/FE16-1),"",(FJ16/FE16-1))</f>
        <v>1.3017935350226884E-2</v>
      </c>
      <c r="FK18" s="1562">
        <f t="shared" ref="FK18" si="36">IF(ISERROR(FK16/FF16-1),"",(FK16/FF16-1))</f>
        <v>-1.0517581963039868E-3</v>
      </c>
      <c r="FL18" s="1563">
        <f t="shared" ref="FL18" si="37">IF(ISERROR(FL16/FG16-1),"",(FL16/FG16-1))</f>
        <v>-1.0517581963039868E-3</v>
      </c>
      <c r="FM18" s="2641"/>
      <c r="FN18" s="2641"/>
      <c r="FO18" s="2641"/>
      <c r="FP18" s="2641"/>
      <c r="FQ18" s="2641"/>
    </row>
    <row r="19" spans="1:173" s="1562" customFormat="1" ht="12" hidden="1" outlineLevel="1">
      <c r="A19" s="1562" t="s">
        <v>667</v>
      </c>
      <c r="BP19" s="1563"/>
      <c r="BU19" s="1563"/>
      <c r="BZ19" s="1563"/>
      <c r="CE19" s="1563"/>
      <c r="CJ19" s="1563"/>
      <c r="CO19" s="1563"/>
      <c r="CT19" s="1563"/>
      <c r="CY19" s="1563"/>
      <c r="DD19" s="1563"/>
      <c r="DI19" s="1563"/>
      <c r="DN19" s="1563"/>
      <c r="DS19" s="1563"/>
      <c r="DT19" s="1562">
        <f>DT16/DS16-1</f>
        <v>-0.13407455853499017</v>
      </c>
      <c r="DU19" s="1562">
        <f>DU16/DT16-1</f>
        <v>4.0785498489426031E-2</v>
      </c>
      <c r="DV19" s="1562">
        <f>DV16/DU16-1</f>
        <v>4.9346879535558719E-2</v>
      </c>
      <c r="DW19" s="1562">
        <f>DW16/DV16-1</f>
        <v>0.57123098201936373</v>
      </c>
      <c r="DX19" s="1563"/>
      <c r="DY19" s="1562">
        <f>DY16/DX16-1</f>
        <v>-0.12455985915492962</v>
      </c>
      <c r="DZ19" s="1562">
        <f>DZ16/DY16-1</f>
        <v>9.2508798391151226E-2</v>
      </c>
      <c r="EA19" s="1562">
        <f>EA16/DZ16-1</f>
        <v>0.10170271514035889</v>
      </c>
      <c r="EB19" s="1562">
        <f>EB16/EA16-1</f>
        <v>0.64327485380116967</v>
      </c>
      <c r="EC19" s="1563"/>
      <c r="ED19" s="1562">
        <f>ED16/EC16-1</f>
        <v>-0.11464158617183529</v>
      </c>
      <c r="EE19" s="1562">
        <f>EE16/ED16-1</f>
        <v>8.6132644272174375E-4</v>
      </c>
      <c r="EF19" s="1562">
        <f>EF16/EE16-1</f>
        <v>1.1474469305794655E-2</v>
      </c>
      <c r="EG19" s="1562">
        <f>EG16/EF16-1</f>
        <v>0.59982983550765745</v>
      </c>
      <c r="EH19" s="1564"/>
      <c r="EI19" s="1565">
        <v>-0.11</v>
      </c>
      <c r="EJ19" s="1565">
        <f>EJ9</f>
        <v>-6.8669936663650621E-2</v>
      </c>
      <c r="EK19" s="1565">
        <v>7.0000000000000007E-2</v>
      </c>
      <c r="EL19" s="1565">
        <v>0.5</v>
      </c>
      <c r="EM19" s="1564"/>
      <c r="EN19" s="1570">
        <f>EI19-1%</f>
        <v>-0.12</v>
      </c>
      <c r="EO19" s="1565">
        <f>EO9</f>
        <v>-5.2727675113422579E-2</v>
      </c>
      <c r="EP19" s="1565">
        <v>7.0000000000000007E-2</v>
      </c>
      <c r="EQ19" s="1565">
        <v>0.5</v>
      </c>
      <c r="ER19" s="1564"/>
      <c r="ES19" s="1570">
        <f>EN19-1%</f>
        <v>-0.13</v>
      </c>
      <c r="ET19" s="1570">
        <f>EO19-1%</f>
        <v>-6.2727675113422574E-2</v>
      </c>
      <c r="EU19" s="1570">
        <f>EP19-2%</f>
        <v>0.05</v>
      </c>
      <c r="EV19" s="1570">
        <f>EQ19-2%</f>
        <v>0.48</v>
      </c>
      <c r="EW19" s="1564"/>
      <c r="EX19" s="1570">
        <f>ES19-2%</f>
        <v>-0.15</v>
      </c>
      <c r="EY19" s="1570">
        <f>ET19-2%</f>
        <v>-8.2727675113422577E-2</v>
      </c>
      <c r="EZ19" s="1570">
        <f>EU19-2%</f>
        <v>3.0000000000000002E-2</v>
      </c>
      <c r="FA19" s="1570">
        <f>EV19-2%</f>
        <v>0.45999999999999996</v>
      </c>
      <c r="FB19" s="1564"/>
      <c r="FC19" s="1570">
        <f>EX19-2%</f>
        <v>-0.16999999999999998</v>
      </c>
      <c r="FD19" s="1570">
        <f>EY19-2%</f>
        <v>-0.10272767511342258</v>
      </c>
      <c r="FE19" s="1570">
        <f>EZ19-2%</f>
        <v>1.0000000000000002E-2</v>
      </c>
      <c r="FF19" s="1570">
        <f>FA19-2%</f>
        <v>0.43999999999999995</v>
      </c>
      <c r="FG19" s="1564"/>
      <c r="FH19" s="1570">
        <f>FC19-2%</f>
        <v>-0.18999999999999997</v>
      </c>
      <c r="FI19" s="1570">
        <f>FD19-2%</f>
        <v>-0.12272767511342259</v>
      </c>
      <c r="FJ19" s="1570">
        <f>FE19-2%</f>
        <v>-9.9999999999999985E-3</v>
      </c>
      <c r="FK19" s="1570">
        <f>FF19-2%</f>
        <v>0.41999999999999993</v>
      </c>
      <c r="FL19" s="1564"/>
      <c r="FM19" s="2642"/>
      <c r="FN19" s="2642"/>
      <c r="FO19" s="2642"/>
      <c r="FP19" s="2642"/>
      <c r="FQ19" s="2642"/>
    </row>
    <row r="20" spans="1:173" s="1566" customFormat="1" ht="12" hidden="1" outlineLevel="1">
      <c r="BP20" s="1567"/>
      <c r="BU20" s="1568"/>
      <c r="BZ20" s="1568"/>
      <c r="CE20" s="1568"/>
      <c r="CJ20" s="1568"/>
      <c r="CO20" s="1568"/>
      <c r="CT20" s="1568"/>
      <c r="CY20" s="1568"/>
      <c r="DD20" s="1568"/>
      <c r="DH20" s="1569"/>
      <c r="DI20" s="1568"/>
      <c r="DJ20" s="1570"/>
      <c r="DK20" s="1570"/>
      <c r="DL20" s="1570"/>
      <c r="DM20" s="1569"/>
      <c r="DN20" s="1568"/>
      <c r="DO20" s="1569"/>
      <c r="DP20" s="1570"/>
      <c r="DQ20" s="1570"/>
      <c r="DR20" s="1569"/>
      <c r="DS20" s="1568"/>
      <c r="DT20" s="1569"/>
      <c r="DU20" s="1570"/>
      <c r="DV20" s="1570"/>
      <c r="DW20" s="1569"/>
      <c r="DX20" s="1568"/>
      <c r="DZ20" s="1570"/>
      <c r="EA20" s="1570"/>
      <c r="EB20" s="1569"/>
      <c r="EC20" s="1568"/>
      <c r="EE20" s="1570"/>
      <c r="EF20" s="1570"/>
      <c r="EG20" s="1569"/>
      <c r="EH20" s="1572"/>
      <c r="EI20" s="1571"/>
      <c r="EJ20" s="1571"/>
      <c r="EK20" s="1571"/>
      <c r="EL20" s="1571"/>
      <c r="EM20" s="1572"/>
      <c r="EN20" s="1571"/>
      <c r="EO20" s="1571"/>
      <c r="EP20" s="1571"/>
      <c r="EQ20" s="1571"/>
      <c r="ER20" s="1572"/>
      <c r="ES20" s="1571"/>
      <c r="ET20" s="1571"/>
      <c r="EU20" s="1571"/>
      <c r="EV20" s="1571"/>
      <c r="EW20" s="1572"/>
      <c r="EX20" s="1571"/>
      <c r="EY20" s="1571"/>
      <c r="EZ20" s="1571"/>
      <c r="FA20" s="1571"/>
      <c r="FB20" s="1572"/>
      <c r="FC20" s="1571"/>
      <c r="FD20" s="1571"/>
      <c r="FE20" s="1571"/>
      <c r="FF20" s="1571"/>
      <c r="FG20" s="1572"/>
      <c r="FH20" s="1571"/>
      <c r="FI20" s="1571"/>
      <c r="FJ20" s="1571"/>
      <c r="FK20" s="1571"/>
      <c r="FL20" s="1572"/>
      <c r="FM20" s="2643"/>
      <c r="FN20" s="2643"/>
      <c r="FO20" s="2643"/>
      <c r="FP20" s="2643"/>
      <c r="FQ20" s="2643"/>
    </row>
    <row r="21" spans="1:173" s="48" customFormat="1" ht="12" collapsed="1">
      <c r="A21" s="48" t="s">
        <v>666</v>
      </c>
      <c r="BP21" s="49"/>
      <c r="BU21" s="49"/>
      <c r="BZ21" s="49"/>
      <c r="CE21" s="49"/>
      <c r="CJ21" s="49"/>
      <c r="CO21" s="49"/>
      <c r="CT21" s="49"/>
      <c r="CY21" s="49"/>
      <c r="DD21" s="49"/>
      <c r="DI21" s="49"/>
      <c r="DN21" s="49"/>
      <c r="DR21" s="1137">
        <v>1729</v>
      </c>
      <c r="DS21" s="49">
        <f>DR21</f>
        <v>1729</v>
      </c>
      <c r="DT21" s="1137">
        <v>3114</v>
      </c>
      <c r="DU21" s="1137">
        <v>3653</v>
      </c>
      <c r="DV21" s="1137">
        <v>2242</v>
      </c>
      <c r="DW21" s="1137">
        <v>1667</v>
      </c>
      <c r="DX21" s="49">
        <f>DW21</f>
        <v>1667</v>
      </c>
      <c r="DY21" s="1137">
        <v>1842</v>
      </c>
      <c r="DZ21" s="1137">
        <v>1709</v>
      </c>
      <c r="EA21" s="1137">
        <v>1977</v>
      </c>
      <c r="EB21" s="1137">
        <v>2125</v>
      </c>
      <c r="EC21" s="49">
        <f>EB21</f>
        <v>2125</v>
      </c>
      <c r="ED21" s="1137">
        <v>2096</v>
      </c>
      <c r="EE21" s="1137">
        <v>1981</v>
      </c>
      <c r="EF21" s="1137">
        <v>1975</v>
      </c>
      <c r="EG21" s="1137">
        <v>2005</v>
      </c>
      <c r="EH21" s="49">
        <f>EG21</f>
        <v>2005</v>
      </c>
      <c r="EI21" s="48">
        <f>EI26-EI6</f>
        <v>3393.909340579874</v>
      </c>
      <c r="EJ21" s="48">
        <f>EJ26-EJ6</f>
        <v>5479.6417450130393</v>
      </c>
      <c r="EK21" s="48">
        <f>EK26-EK6</f>
        <v>7158.2600724289296</v>
      </c>
      <c r="EL21" s="48">
        <f>EL36-EL6</f>
        <v>-2428</v>
      </c>
      <c r="EM21" s="49">
        <f>EL21</f>
        <v>-2428</v>
      </c>
      <c r="EN21" s="48">
        <f>EN36-EN6</f>
        <v>2296</v>
      </c>
      <c r="EO21" s="48">
        <f t="shared" ref="EO21:EQ21" si="38">EO36-EO6</f>
        <v>2870</v>
      </c>
      <c r="EP21" s="48">
        <f t="shared" si="38"/>
        <v>3160</v>
      </c>
      <c r="EQ21" s="48">
        <f t="shared" si="38"/>
        <v>3163</v>
      </c>
      <c r="ER21" s="49">
        <f>EQ21</f>
        <v>3163</v>
      </c>
      <c r="ES21" s="48">
        <f>ES36-ES6</f>
        <v>3414</v>
      </c>
      <c r="ET21" s="48">
        <f>ET36-ET6</f>
        <v>3584</v>
      </c>
      <c r="EU21" s="48">
        <f>EU36-EU6</f>
        <v>3917</v>
      </c>
      <c r="EV21" s="48">
        <f>EU21*(1+EV24)</f>
        <v>3976.4987341772153</v>
      </c>
      <c r="EW21" s="49">
        <f>EV21</f>
        <v>3976.4987341772153</v>
      </c>
      <c r="EX21" s="48">
        <f>EW21*(1+EX24)</f>
        <v>3976.4987341772153</v>
      </c>
      <c r="EY21" s="48">
        <f>EX21*(1+EY24)</f>
        <v>3976.4987341772153</v>
      </c>
      <c r="EZ21" s="48">
        <f>EY21*(1+EZ24)</f>
        <v>3976.4987341772153</v>
      </c>
      <c r="FA21" s="48">
        <f>EZ21*(1+FA24)</f>
        <v>4036.9012465950973</v>
      </c>
      <c r="FB21" s="49">
        <f>FA21</f>
        <v>4036.9012465950973</v>
      </c>
      <c r="FC21" s="48">
        <f>FB21*(1+FC24)</f>
        <v>4036.9012465950973</v>
      </c>
      <c r="FD21" s="48">
        <f>FC21*(1+FD24)</f>
        <v>4036.9012465950973</v>
      </c>
      <c r="FE21" s="48">
        <f>FD21*(1+FE24)</f>
        <v>4036.9012465950973</v>
      </c>
      <c r="FF21" s="48">
        <f>FE21*(1+FF24)</f>
        <v>4098.2212655307194</v>
      </c>
      <c r="FG21" s="49">
        <f>FF21</f>
        <v>4098.2212655307194</v>
      </c>
      <c r="FH21" s="48">
        <f>FG21*(1+FH24)</f>
        <v>4098.2212655307194</v>
      </c>
      <c r="FI21" s="48">
        <f>FH21*(1+FI24)</f>
        <v>4098.2212655307194</v>
      </c>
      <c r="FJ21" s="48">
        <f>FI21*(1+FJ24)</f>
        <v>4098.2212655307194</v>
      </c>
      <c r="FK21" s="48">
        <f>FJ21*(1+FK24)</f>
        <v>4160.4727277919455</v>
      </c>
      <c r="FL21" s="49">
        <f>FK21</f>
        <v>4160.4727277919455</v>
      </c>
      <c r="FM21" s="152"/>
      <c r="FN21" s="152"/>
      <c r="FO21" s="152"/>
      <c r="FP21" s="152"/>
      <c r="FQ21" s="152"/>
    </row>
    <row r="22" spans="1:173" s="32" customFormat="1" ht="12">
      <c r="A22" s="32" t="s">
        <v>665</v>
      </c>
      <c r="BP22" s="51"/>
      <c r="BU22" s="51"/>
      <c r="BZ22" s="51"/>
      <c r="CE22" s="51"/>
      <c r="CJ22" s="51"/>
      <c r="CO22" s="51"/>
      <c r="CT22" s="51"/>
      <c r="CY22" s="51"/>
      <c r="DD22" s="51"/>
      <c r="DI22" s="51"/>
      <c r="DN22" s="51"/>
      <c r="DS22" s="51"/>
      <c r="DT22" s="32">
        <f>DT21/DT26</f>
        <v>0.1589829989278603</v>
      </c>
      <c r="DU22" s="32">
        <f>DU21/DU26</f>
        <v>0.18437389592691666</v>
      </c>
      <c r="DV22" s="32">
        <f>DV21/DV26</f>
        <v>0.12521641999441496</v>
      </c>
      <c r="DW22" s="32">
        <f>DW21/DW26</f>
        <v>7.4422965310951383E-2</v>
      </c>
      <c r="DX22" s="51">
        <f>DW22</f>
        <v>7.4422965310951383E-2</v>
      </c>
      <c r="DY22" s="32">
        <f>DY21/DY26</f>
        <v>9.1637231978508538E-2</v>
      </c>
      <c r="DZ22" s="32">
        <f>DZ21/DZ26</f>
        <v>8.7758036356167191E-2</v>
      </c>
      <c r="EA22" s="32">
        <f>EA21/EA26</f>
        <v>0.10132226322263223</v>
      </c>
      <c r="EB22" s="32">
        <f>EB21/EB26</f>
        <v>8.4466173781699655E-2</v>
      </c>
      <c r="EC22" s="51">
        <f>EB22</f>
        <v>8.4466173781699655E-2</v>
      </c>
      <c r="ED22" s="32">
        <f>ED21/ED26</f>
        <v>9.2998491436684705E-2</v>
      </c>
      <c r="EE22" s="32">
        <f>EE21/EE26</f>
        <v>9.3254248458315675E-2</v>
      </c>
      <c r="EF22" s="32">
        <f>EF21/EF26</f>
        <v>9.7781958609763339E-2</v>
      </c>
      <c r="EG22" s="32">
        <f>EG21/EG26</f>
        <v>7.9192669247175926E-2</v>
      </c>
      <c r="EH22" s="51">
        <f>EG22</f>
        <v>7.9192669247175926E-2</v>
      </c>
      <c r="EI22" s="32">
        <f>EI21/EI26</f>
        <v>0.13913507787010015</v>
      </c>
      <c r="EJ22" s="32">
        <f>EJ21/EJ26</f>
        <v>0.21886488614650204</v>
      </c>
      <c r="EK22" s="32">
        <f>EK21/EK26</f>
        <v>0.27622861129053994</v>
      </c>
      <c r="EL22" s="32">
        <f>EL21/EL26</f>
        <v>-0.1092625036237692</v>
      </c>
      <c r="EM22" s="51">
        <f>EL22</f>
        <v>-0.1092625036237692</v>
      </c>
      <c r="EN22" s="32">
        <f>EN21/EN36</f>
        <v>0.11271477663230241</v>
      </c>
      <c r="EO22" s="32">
        <f t="shared" ref="EO22:FG22" si="39">EO21/EO36</f>
        <v>0.14356460407183233</v>
      </c>
      <c r="EP22" s="32">
        <f t="shared" si="39"/>
        <v>0.1587620578778135</v>
      </c>
      <c r="EQ22" s="32">
        <f t="shared" si="39"/>
        <v>0.11865996398559424</v>
      </c>
      <c r="ER22" s="51">
        <f t="shared" si="39"/>
        <v>0.11865996398559424</v>
      </c>
      <c r="ES22" s="32">
        <f>ES21/ES36</f>
        <v>0.13708641182139417</v>
      </c>
      <c r="ET22" s="32">
        <f>ET21/ET36</f>
        <v>0.15053131168885717</v>
      </c>
      <c r="EU22" s="32">
        <f t="shared" si="39"/>
        <v>0.16351492381548738</v>
      </c>
      <c r="EV22" s="32">
        <f t="shared" si="39"/>
        <v>0.12532643954682268</v>
      </c>
      <c r="EW22" s="51">
        <f t="shared" si="39"/>
        <v>0.12532643954682268</v>
      </c>
      <c r="EX22" s="32">
        <f t="shared" si="39"/>
        <v>0.13542569965056026</v>
      </c>
      <c r="EY22" s="32">
        <f t="shared" si="39"/>
        <v>0.14268746575479904</v>
      </c>
      <c r="EZ22" s="32">
        <f t="shared" si="39"/>
        <v>0.14382754308834139</v>
      </c>
      <c r="FA22" s="32">
        <f t="shared" si="39"/>
        <v>0.10963436427219632</v>
      </c>
      <c r="FB22" s="51">
        <f t="shared" si="39"/>
        <v>0.10963436427219632</v>
      </c>
      <c r="FC22" s="32">
        <f t="shared" si="39"/>
        <v>0.11864061985622663</v>
      </c>
      <c r="FD22" s="32">
        <f t="shared" si="39"/>
        <v>0.12513260672569668</v>
      </c>
      <c r="FE22" s="32">
        <f t="shared" si="39"/>
        <v>0.12615305993492704</v>
      </c>
      <c r="FF22" s="32">
        <f t="shared" si="39"/>
        <v>9.5692132335991678E-2</v>
      </c>
      <c r="FG22" s="51">
        <f t="shared" si="39"/>
        <v>9.5692132335991678E-2</v>
      </c>
      <c r="FH22" s="32">
        <f t="shared" ref="FH22:FL22" si="40">FH21/FH36</f>
        <v>0.10368643771069232</v>
      </c>
      <c r="FI22" s="32">
        <f t="shared" si="40"/>
        <v>0.1094617639277269</v>
      </c>
      <c r="FJ22" s="32">
        <f t="shared" si="40"/>
        <v>0.11037054407415875</v>
      </c>
      <c r="FK22" s="32">
        <f t="shared" si="40"/>
        <v>8.3356944245749992E-2</v>
      </c>
      <c r="FL22" s="51">
        <f t="shared" si="40"/>
        <v>8.3356944245749992E-2</v>
      </c>
      <c r="FM22" s="33"/>
      <c r="FN22" s="33"/>
      <c r="FO22" s="33"/>
      <c r="FP22" s="33"/>
      <c r="FQ22" s="33"/>
    </row>
    <row r="23" spans="1:173" s="32" customFormat="1" ht="12">
      <c r="A23" s="32" t="s">
        <v>163</v>
      </c>
      <c r="BP23" s="51"/>
      <c r="BU23" s="51"/>
      <c r="BZ23" s="51"/>
      <c r="CE23" s="51"/>
      <c r="CJ23" s="51"/>
      <c r="CO23" s="51"/>
      <c r="CT23" s="51"/>
      <c r="CY23" s="51"/>
      <c r="DD23" s="51"/>
      <c r="DI23" s="51"/>
      <c r="DN23" s="51"/>
      <c r="DS23" s="51"/>
      <c r="DT23" s="32" t="str">
        <f>IF(ISERROR(DT22/DO22-1),"",(DT22/DO22-1))</f>
        <v/>
      </c>
      <c r="DU23" s="32" t="str">
        <f>IF(ISERROR(DU22/DP22-1),"",(DU22/DP22-1))</f>
        <v/>
      </c>
      <c r="DV23" s="32" t="str">
        <f>IF(ISERROR(DV22/DQ22-1),"",(DV22/DQ22-1))</f>
        <v/>
      </c>
      <c r="DW23" s="32">
        <f t="shared" ref="DW23:FB23" si="41">IF(ISERROR(DW21/DR21-1),"",(DW21/DR21-1))</f>
        <v>-3.5858877964141112E-2</v>
      </c>
      <c r="DX23" s="51" t="str">
        <f>IF(ISERROR(DX22/DS22-1),"",(DX22/DS22-1))</f>
        <v/>
      </c>
      <c r="DY23" s="32">
        <f t="shared" si="41"/>
        <v>-0.40847784200385362</v>
      </c>
      <c r="DZ23" s="32">
        <f t="shared" si="41"/>
        <v>-0.53216534355324385</v>
      </c>
      <c r="EA23" s="32">
        <f t="shared" si="41"/>
        <v>-0.11819803746654778</v>
      </c>
      <c r="EB23" s="32">
        <f t="shared" si="41"/>
        <v>0.27474505098980195</v>
      </c>
      <c r="EC23" s="51">
        <f t="shared" si="41"/>
        <v>0.27474505098980195</v>
      </c>
      <c r="ED23" s="32">
        <f t="shared" si="41"/>
        <v>0.13789359391965261</v>
      </c>
      <c r="EE23" s="32">
        <f t="shared" si="41"/>
        <v>0.15915740198946748</v>
      </c>
      <c r="EF23" s="32">
        <f t="shared" si="41"/>
        <v>-1.0116337885685001E-3</v>
      </c>
      <c r="EG23" s="32">
        <f t="shared" si="41"/>
        <v>-5.6470588235294161E-2</v>
      </c>
      <c r="EH23" s="51">
        <f t="shared" si="41"/>
        <v>-5.6470588235294161E-2</v>
      </c>
      <c r="EI23" s="32">
        <f t="shared" si="41"/>
        <v>0.61923155562016885</v>
      </c>
      <c r="EJ23" s="32">
        <f t="shared" si="41"/>
        <v>1.7660988112130438</v>
      </c>
      <c r="EK23" s="32">
        <f t="shared" si="41"/>
        <v>2.6244354797108502</v>
      </c>
      <c r="EL23" s="32">
        <f t="shared" si="41"/>
        <v>-2.2109725685785535</v>
      </c>
      <c r="EM23" s="51">
        <f t="shared" si="41"/>
        <v>-2.2109725685785535</v>
      </c>
      <c r="ER23" s="51">
        <f t="shared" si="41"/>
        <v>-2.3027182866556837</v>
      </c>
      <c r="EV23" s="32">
        <f t="shared" si="41"/>
        <v>0.25719213853215783</v>
      </c>
      <c r="EW23" s="51">
        <f t="shared" si="41"/>
        <v>0.25719213853215783</v>
      </c>
      <c r="EX23" s="32">
        <f t="shared" si="41"/>
        <v>0.1647623708779189</v>
      </c>
      <c r="EY23" s="32">
        <f t="shared" si="41"/>
        <v>0.10951415574141055</v>
      </c>
      <c r="EZ23" s="32">
        <f t="shared" si="41"/>
        <v>1.51898734177216E-2</v>
      </c>
      <c r="FA23" s="32">
        <f t="shared" si="41"/>
        <v>1.51898734177216E-2</v>
      </c>
      <c r="FB23" s="51">
        <f t="shared" si="41"/>
        <v>1.51898734177216E-2</v>
      </c>
      <c r="FC23" s="32">
        <f t="shared" ref="FC23" si="42">IF(ISERROR(FC21/EX21-1),"",(FC21/EX21-1))</f>
        <v>1.51898734177216E-2</v>
      </c>
      <c r="FD23" s="32">
        <f t="shared" ref="FD23" si="43">IF(ISERROR(FD21/EY21-1),"",(FD21/EY21-1))</f>
        <v>1.51898734177216E-2</v>
      </c>
      <c r="FE23" s="32">
        <f t="shared" ref="FE23" si="44">IF(ISERROR(FE21/EZ21-1),"",(FE21/EZ21-1))</f>
        <v>1.51898734177216E-2</v>
      </c>
      <c r="FF23" s="32">
        <f t="shared" ref="FF23" si="45">IF(ISERROR(FF21/FA21-1),"",(FF21/FA21-1))</f>
        <v>1.51898734177216E-2</v>
      </c>
      <c r="FG23" s="51">
        <f t="shared" ref="FG23" si="46">IF(ISERROR(FG21/FB21-1),"",(FG21/FB21-1))</f>
        <v>1.51898734177216E-2</v>
      </c>
      <c r="FH23" s="32">
        <f t="shared" ref="FH23" si="47">IF(ISERROR(FH21/FC21-1),"",(FH21/FC21-1))</f>
        <v>1.51898734177216E-2</v>
      </c>
      <c r="FI23" s="32">
        <f t="shared" ref="FI23" si="48">IF(ISERROR(FI21/FD21-1),"",(FI21/FD21-1))</f>
        <v>1.51898734177216E-2</v>
      </c>
      <c r="FJ23" s="32">
        <f t="shared" ref="FJ23" si="49">IF(ISERROR(FJ21/FE21-1),"",(FJ21/FE21-1))</f>
        <v>1.51898734177216E-2</v>
      </c>
      <c r="FK23" s="32">
        <f t="shared" ref="FK23" si="50">IF(ISERROR(FK21/FF21-1),"",(FK21/FF21-1))</f>
        <v>1.51898734177216E-2</v>
      </c>
      <c r="FL23" s="51">
        <f t="shared" ref="FL23" si="51">IF(ISERROR(FL21/FG21-1),"",(FL21/FG21-1))</f>
        <v>1.51898734177216E-2</v>
      </c>
      <c r="FM23" s="33"/>
      <c r="FN23" s="33"/>
      <c r="FO23" s="33"/>
      <c r="FP23" s="33"/>
      <c r="FQ23" s="33"/>
    </row>
    <row r="24" spans="1:173" s="32" customFormat="1" ht="12">
      <c r="A24" s="32" t="s">
        <v>667</v>
      </c>
      <c r="BP24" s="51"/>
      <c r="BU24" s="51"/>
      <c r="BZ24" s="51"/>
      <c r="CE24" s="51"/>
      <c r="CJ24" s="51"/>
      <c r="CO24" s="51"/>
      <c r="CT24" s="51"/>
      <c r="CY24" s="51"/>
      <c r="DD24" s="51"/>
      <c r="DI24" s="51"/>
      <c r="DN24" s="51"/>
      <c r="DS24" s="51"/>
      <c r="DT24" s="32">
        <f>DT21/DS21-1</f>
        <v>0.80104106419895893</v>
      </c>
      <c r="DU24" s="32">
        <f>DU21/DT21-1</f>
        <v>0.17308927424534359</v>
      </c>
      <c r="DV24" s="32">
        <f>DV21/DU21-1</f>
        <v>-0.38625787024363534</v>
      </c>
      <c r="DW24" s="32">
        <f>DW21/DV21-1</f>
        <v>-0.25646743978590547</v>
      </c>
      <c r="DX24" s="51"/>
      <c r="DY24" s="32">
        <f>DY21/DX21-1</f>
        <v>0.10497900419916006</v>
      </c>
      <c r="DZ24" s="32">
        <f>DZ21/DY21-1</f>
        <v>-7.2204125950054321E-2</v>
      </c>
      <c r="EA24" s="32">
        <f>EA21/DZ21-1</f>
        <v>0.15681685196021067</v>
      </c>
      <c r="EB24" s="32">
        <f>EB21/EA21-1</f>
        <v>7.4860900354071891E-2</v>
      </c>
      <c r="EC24" s="51"/>
      <c r="ED24" s="32">
        <f>ED21/EC21-1</f>
        <v>-1.3647058823529457E-2</v>
      </c>
      <c r="EE24" s="32">
        <f>EE21/ED21-1</f>
        <v>-5.4866412213740445E-2</v>
      </c>
      <c r="EF24" s="32">
        <f>EF21/EE21-1</f>
        <v>-3.0287733467945221E-3</v>
      </c>
      <c r="EG24" s="32">
        <f>EG21/EF21-1</f>
        <v>1.51898734177216E-2</v>
      </c>
      <c r="EH24" s="52"/>
      <c r="EI24" s="32">
        <f>EI21/EH21-1</f>
        <v>0.69272286313210674</v>
      </c>
      <c r="EJ24" s="35">
        <v>-0.06</v>
      </c>
      <c r="EK24" s="35">
        <f>EF24</f>
        <v>-3.0287733467945221E-3</v>
      </c>
      <c r="EL24" s="35">
        <f>EG24</f>
        <v>1.51898734177216E-2</v>
      </c>
      <c r="EM24" s="52"/>
      <c r="EO24" s="35">
        <v>-0.06</v>
      </c>
      <c r="EP24" s="35">
        <f>EK24</f>
        <v>-3.0287733467945221E-3</v>
      </c>
      <c r="EQ24" s="35">
        <f>EL24</f>
        <v>1.51898734177216E-2</v>
      </c>
      <c r="ER24" s="52"/>
      <c r="ES24" s="35"/>
      <c r="ET24" s="35"/>
      <c r="EU24" s="35"/>
      <c r="EV24" s="35">
        <f>EQ24</f>
        <v>1.51898734177216E-2</v>
      </c>
      <c r="EW24" s="52"/>
      <c r="EX24" s="35">
        <f>ES24</f>
        <v>0</v>
      </c>
      <c r="EY24" s="35">
        <f>ET24</f>
        <v>0</v>
      </c>
      <c r="EZ24" s="35">
        <f>EU24</f>
        <v>0</v>
      </c>
      <c r="FA24" s="35">
        <f>EV24</f>
        <v>1.51898734177216E-2</v>
      </c>
      <c r="FB24" s="52"/>
      <c r="FC24" s="35">
        <f>EX24</f>
        <v>0</v>
      </c>
      <c r="FD24" s="35">
        <f>EY24</f>
        <v>0</v>
      </c>
      <c r="FE24" s="35">
        <f>EZ24</f>
        <v>0</v>
      </c>
      <c r="FF24" s="35">
        <f>FA24</f>
        <v>1.51898734177216E-2</v>
      </c>
      <c r="FG24" s="52"/>
      <c r="FH24" s="35">
        <f>FC24</f>
        <v>0</v>
      </c>
      <c r="FI24" s="35">
        <f>FD24</f>
        <v>0</v>
      </c>
      <c r="FJ24" s="35">
        <f>FE24</f>
        <v>0</v>
      </c>
      <c r="FK24" s="35">
        <f>FF24</f>
        <v>1.51898734177216E-2</v>
      </c>
      <c r="FL24" s="52"/>
      <c r="FM24" s="34"/>
      <c r="FN24" s="34"/>
      <c r="FO24" s="34"/>
      <c r="FP24" s="34"/>
      <c r="FQ24" s="34"/>
    </row>
    <row r="25" spans="1:173" s="31" customFormat="1" ht="12">
      <c r="BP25" s="56"/>
      <c r="BU25" s="57"/>
      <c r="BZ25" s="57"/>
      <c r="CE25" s="57"/>
      <c r="CJ25" s="57"/>
      <c r="CO25" s="57"/>
      <c r="CT25" s="57"/>
      <c r="CY25" s="57"/>
      <c r="DD25" s="57"/>
      <c r="DI25" s="57"/>
      <c r="DJ25" s="208"/>
      <c r="DK25" s="208"/>
      <c r="DL25" s="208"/>
      <c r="DN25" s="57"/>
      <c r="DO25" s="154"/>
      <c r="DP25" s="208"/>
      <c r="DQ25" s="208"/>
      <c r="DS25" s="57"/>
      <c r="DT25" s="154"/>
      <c r="DU25" s="154"/>
      <c r="DV25" s="154"/>
      <c r="DX25" s="57"/>
      <c r="DY25" s="38"/>
      <c r="DZ25" s="154"/>
      <c r="EA25" s="38"/>
      <c r="EC25" s="57"/>
      <c r="ED25" s="38"/>
      <c r="EE25" s="38"/>
      <c r="EF25" s="38"/>
      <c r="EH25" s="58"/>
      <c r="EI25" s="38"/>
      <c r="EJ25" s="38"/>
      <c r="EK25" s="38"/>
      <c r="EL25" s="38"/>
      <c r="EM25" s="58"/>
      <c r="EN25" s="38"/>
      <c r="EO25" s="38"/>
      <c r="EP25" s="38"/>
      <c r="EQ25" s="38"/>
      <c r="ER25" s="58"/>
      <c r="ES25" s="38"/>
      <c r="ET25" s="38"/>
      <c r="EU25" s="38"/>
      <c r="EV25" s="38"/>
      <c r="EW25" s="58"/>
      <c r="EX25" s="38"/>
      <c r="EY25" s="38"/>
      <c r="EZ25" s="38"/>
      <c r="FA25" s="38"/>
      <c r="FB25" s="58"/>
      <c r="FC25" s="38"/>
      <c r="FD25" s="38"/>
      <c r="FE25" s="38"/>
      <c r="FF25" s="38"/>
      <c r="FG25" s="58"/>
      <c r="FH25" s="38"/>
      <c r="FI25" s="38"/>
      <c r="FJ25" s="38"/>
      <c r="FK25" s="38"/>
      <c r="FL25" s="58"/>
      <c r="FM25" s="2644"/>
      <c r="FN25" s="2644"/>
      <c r="FO25" s="2644"/>
      <c r="FP25" s="2644"/>
      <c r="FQ25" s="2644"/>
    </row>
    <row r="26" spans="1:173" s="61" customFormat="1" ht="12" hidden="1" outlineLevel="1">
      <c r="A26" s="3030" t="s">
        <v>1036</v>
      </c>
      <c r="B26" s="3031"/>
      <c r="C26" s="3031"/>
      <c r="D26" s="3031"/>
      <c r="E26" s="3031"/>
      <c r="F26" s="3031"/>
      <c r="G26" s="3031"/>
      <c r="H26" s="3031"/>
      <c r="I26" s="3031"/>
      <c r="J26" s="3031"/>
      <c r="K26" s="3031"/>
      <c r="L26" s="3031"/>
      <c r="M26" s="3031"/>
      <c r="N26" s="3031"/>
      <c r="O26" s="3031"/>
      <c r="P26" s="3031"/>
      <c r="Q26" s="3031"/>
      <c r="R26" s="3031"/>
      <c r="S26" s="3031"/>
      <c r="T26" s="3031"/>
      <c r="U26" s="3031"/>
      <c r="V26" s="3031"/>
      <c r="W26" s="3031"/>
      <c r="X26" s="3031"/>
      <c r="Y26" s="3031"/>
      <c r="Z26" s="3031"/>
      <c r="AA26" s="3031"/>
      <c r="AB26" s="3031"/>
      <c r="AC26" s="3031"/>
      <c r="AD26" s="3031"/>
      <c r="AE26" s="3031"/>
      <c r="AF26" s="3031"/>
      <c r="AG26" s="3031"/>
      <c r="AH26" s="3031"/>
      <c r="AI26" s="3031"/>
      <c r="AJ26" s="3031"/>
      <c r="AK26" s="3031"/>
      <c r="AL26" s="3031"/>
      <c r="AM26" s="3031"/>
      <c r="AN26" s="3031"/>
      <c r="AO26" s="3031"/>
      <c r="AP26" s="3031"/>
      <c r="AQ26" s="3031"/>
      <c r="AR26" s="3031"/>
      <c r="AS26" s="3031"/>
      <c r="AT26" s="3031"/>
      <c r="AU26" s="3031"/>
      <c r="AV26" s="3031"/>
      <c r="AW26" s="3031"/>
      <c r="AX26" s="3031"/>
      <c r="AY26" s="3031"/>
      <c r="AZ26" s="3031"/>
      <c r="BA26" s="3031"/>
      <c r="BB26" s="3031"/>
      <c r="BC26" s="3031"/>
      <c r="BD26" s="3031"/>
      <c r="BE26" s="3031"/>
      <c r="BF26" s="3031"/>
      <c r="BG26" s="3031"/>
      <c r="BH26" s="3031"/>
      <c r="BI26" s="3031"/>
      <c r="BJ26" s="3031"/>
      <c r="BK26" s="3031"/>
      <c r="BL26" s="3031"/>
      <c r="BM26" s="3031"/>
      <c r="BN26" s="3031"/>
      <c r="BO26" s="3031"/>
      <c r="BP26" s="3031"/>
      <c r="BQ26" s="3031"/>
      <c r="BR26" s="3031"/>
      <c r="BS26" s="3031"/>
      <c r="BT26" s="3031"/>
      <c r="BU26" s="3031"/>
      <c r="BV26" s="3031"/>
      <c r="BW26" s="3031"/>
      <c r="BX26" s="3031"/>
      <c r="BY26" s="3031"/>
      <c r="BZ26" s="3031"/>
      <c r="CA26" s="3031"/>
      <c r="CB26" s="3031"/>
      <c r="CC26" s="3031"/>
      <c r="CD26" s="3031"/>
      <c r="CE26" s="3031"/>
      <c r="CF26" s="3031"/>
      <c r="CG26" s="3031"/>
      <c r="CH26" s="3031"/>
      <c r="CI26" s="3031"/>
      <c r="CJ26" s="3031"/>
      <c r="CK26" s="3031"/>
      <c r="CL26" s="3031"/>
      <c r="CM26" s="3031"/>
      <c r="CN26" s="3031"/>
      <c r="CO26" s="3031"/>
      <c r="CP26" s="3031"/>
      <c r="CQ26" s="3031"/>
      <c r="CR26" s="3031"/>
      <c r="CS26" s="3031"/>
      <c r="CT26" s="3031"/>
      <c r="CU26" s="3031">
        <f>CU158</f>
        <v>11572</v>
      </c>
      <c r="CV26" s="3031">
        <f>CV158</f>
        <v>12178</v>
      </c>
      <c r="CW26" s="3031">
        <f>CW158</f>
        <v>12139</v>
      </c>
      <c r="CX26" s="3031">
        <f>CX158</f>
        <v>15297</v>
      </c>
      <c r="CY26" s="3031">
        <f>CX26</f>
        <v>15297</v>
      </c>
      <c r="CZ26" s="3031">
        <f>CZ158</f>
        <v>13477</v>
      </c>
      <c r="DA26" s="3031">
        <f>DA158</f>
        <v>13066</v>
      </c>
      <c r="DB26" s="3031">
        <f>DB158</f>
        <v>12312</v>
      </c>
      <c r="DC26" s="3031">
        <f>DC158</f>
        <v>14284</v>
      </c>
      <c r="DD26" s="3031">
        <f>DC26</f>
        <v>14284</v>
      </c>
      <c r="DE26" s="3031">
        <f>DE158</f>
        <v>14768</v>
      </c>
      <c r="DF26" s="3031">
        <f>DF158</f>
        <v>12528</v>
      </c>
      <c r="DG26" s="3031">
        <f>DG158</f>
        <v>12260</v>
      </c>
      <c r="DH26" s="3031">
        <f>DH158</f>
        <v>14830</v>
      </c>
      <c r="DI26" s="3031">
        <f>DH26</f>
        <v>14830</v>
      </c>
      <c r="DJ26" s="3031">
        <f>DJ158</f>
        <v>13919</v>
      </c>
      <c r="DK26" s="3031">
        <f>DK158</f>
        <v>13417</v>
      </c>
      <c r="DL26" s="3031">
        <f>DL158</f>
        <v>13019</v>
      </c>
      <c r="DM26" s="3031">
        <f>DM158</f>
        <v>17120</v>
      </c>
      <c r="DN26" s="3031">
        <f>DM26</f>
        <v>17120</v>
      </c>
      <c r="DO26" s="3031">
        <f>DO158</f>
        <v>15658</v>
      </c>
      <c r="DP26" s="3031">
        <f>DP158</f>
        <v>15334</v>
      </c>
      <c r="DQ26" s="3031">
        <f>DQ158</f>
        <v>15191</v>
      </c>
      <c r="DR26" s="3031">
        <f>DR158</f>
        <v>20059</v>
      </c>
      <c r="DS26" s="3031">
        <f>DR26</f>
        <v>20059</v>
      </c>
      <c r="DT26" s="3031">
        <f t="shared" ref="DT26:EB26" si="52">DT21+DT16+DT11</f>
        <v>19587</v>
      </c>
      <c r="DU26" s="3031">
        <f>DU21+DU16+DU11</f>
        <v>19813</v>
      </c>
      <c r="DV26" s="3031">
        <f t="shared" si="52"/>
        <v>17905</v>
      </c>
      <c r="DW26" s="3031">
        <f t="shared" si="52"/>
        <v>22399</v>
      </c>
      <c r="DX26" s="3031">
        <f t="shared" si="52"/>
        <v>22399</v>
      </c>
      <c r="DY26" s="3031">
        <f t="shared" si="52"/>
        <v>20101</v>
      </c>
      <c r="DZ26" s="3031">
        <f t="shared" si="52"/>
        <v>19474</v>
      </c>
      <c r="EA26" s="3031">
        <f t="shared" si="52"/>
        <v>19512</v>
      </c>
      <c r="EB26" s="3031">
        <f t="shared" si="52"/>
        <v>25158</v>
      </c>
      <c r="EC26" s="3031">
        <f>EB26</f>
        <v>25158</v>
      </c>
      <c r="ED26" s="3031">
        <f>ED21+ED16+ED11</f>
        <v>22538</v>
      </c>
      <c r="EE26" s="3031">
        <f>EE21+EE16+EE11</f>
        <v>21243</v>
      </c>
      <c r="EF26" s="3031">
        <f>EF21+EF16+EF11</f>
        <v>20198</v>
      </c>
      <c r="EG26" s="3031">
        <f>EG21+EG16+EG11</f>
        <v>25318</v>
      </c>
      <c r="EH26" s="3032">
        <f>EG26</f>
        <v>25318</v>
      </c>
      <c r="EI26" s="3031">
        <f>EI36-EI32</f>
        <v>24392.909340579874</v>
      </c>
      <c r="EJ26" s="3031">
        <f>EJ36-EJ32</f>
        <v>25036.641745013039</v>
      </c>
      <c r="EK26" s="3031">
        <f>EK36-EK32</f>
        <v>25914.26007242893</v>
      </c>
      <c r="EL26" s="3031">
        <f>EL36-EL32</f>
        <v>22221.713025728321</v>
      </c>
      <c r="EM26" s="3032">
        <f t="shared" ref="EM26" si="53">EM21+EM6</f>
        <v>22193</v>
      </c>
      <c r="EN26" s="3031"/>
      <c r="EO26" s="3031"/>
      <c r="EP26" s="3031"/>
      <c r="EQ26" s="3031"/>
      <c r="ER26" s="3032"/>
      <c r="ES26" s="3031"/>
      <c r="ET26" s="3031"/>
      <c r="EU26" s="3031"/>
      <c r="EV26" s="3031"/>
      <c r="EW26" s="3032"/>
      <c r="EX26" s="3031"/>
      <c r="EY26" s="3031"/>
      <c r="EZ26" s="3031"/>
      <c r="FA26" s="3031"/>
      <c r="FB26" s="3032"/>
      <c r="FC26" s="3031"/>
      <c r="FD26" s="3031"/>
      <c r="FE26" s="3031"/>
      <c r="FF26" s="3031"/>
      <c r="FG26" s="3032"/>
      <c r="FH26" s="3031"/>
      <c r="FI26" s="3031"/>
      <c r="FJ26" s="3031"/>
      <c r="FK26" s="3031"/>
      <c r="FL26" s="3032"/>
    </row>
    <row r="27" spans="1:173" s="37" customFormat="1" ht="12" hidden="1" outlineLevel="1">
      <c r="A27" s="3033" t="s">
        <v>163</v>
      </c>
      <c r="B27" s="2641"/>
      <c r="C27" s="2641"/>
      <c r="D27" s="2641"/>
      <c r="E27" s="2641"/>
      <c r="F27" s="2641"/>
      <c r="G27" s="2641"/>
      <c r="H27" s="2641"/>
      <c r="I27" s="2641"/>
      <c r="J27" s="2641"/>
      <c r="K27" s="2641"/>
      <c r="L27" s="2641"/>
      <c r="M27" s="2641"/>
      <c r="N27" s="2641"/>
      <c r="O27" s="2641"/>
      <c r="P27" s="2641"/>
      <c r="Q27" s="2641"/>
      <c r="R27" s="2641"/>
      <c r="S27" s="2641"/>
      <c r="T27" s="2641"/>
      <c r="U27" s="2641"/>
      <c r="V27" s="2641"/>
      <c r="W27" s="2641"/>
      <c r="X27" s="2641"/>
      <c r="Y27" s="2641"/>
      <c r="Z27" s="2641"/>
      <c r="AA27" s="2641"/>
      <c r="AB27" s="2641"/>
      <c r="AC27" s="2641"/>
      <c r="AD27" s="2641"/>
      <c r="AE27" s="2641"/>
      <c r="AF27" s="2641"/>
      <c r="AG27" s="2641"/>
      <c r="AH27" s="2641"/>
      <c r="AI27" s="2641"/>
      <c r="AJ27" s="2641"/>
      <c r="AK27" s="2641"/>
      <c r="AL27" s="2641"/>
      <c r="AM27" s="2641"/>
      <c r="AN27" s="2641"/>
      <c r="AO27" s="2641"/>
      <c r="AP27" s="2641"/>
      <c r="AQ27" s="2641"/>
      <c r="AR27" s="2641"/>
      <c r="AS27" s="2641"/>
      <c r="AT27" s="2641"/>
      <c r="AU27" s="2641"/>
      <c r="AV27" s="2641"/>
      <c r="AW27" s="2641"/>
      <c r="AX27" s="2641"/>
      <c r="AY27" s="2641"/>
      <c r="AZ27" s="2641"/>
      <c r="BA27" s="2641"/>
      <c r="BB27" s="2641"/>
      <c r="BC27" s="2641"/>
      <c r="BD27" s="2641"/>
      <c r="BE27" s="2641"/>
      <c r="BF27" s="2641"/>
      <c r="BG27" s="2641"/>
      <c r="BH27" s="2641"/>
      <c r="BI27" s="2641"/>
      <c r="BJ27" s="2641"/>
      <c r="BK27" s="2641"/>
      <c r="BL27" s="2641"/>
      <c r="BM27" s="2641"/>
      <c r="BN27" s="2641"/>
      <c r="BO27" s="2641"/>
      <c r="BP27" s="3033"/>
      <c r="BQ27" s="2641"/>
      <c r="BR27" s="2641"/>
      <c r="BS27" s="2641"/>
      <c r="BT27" s="2641"/>
      <c r="BU27" s="3033"/>
      <c r="BV27" s="2641"/>
      <c r="BW27" s="2641"/>
      <c r="BX27" s="2641"/>
      <c r="BY27" s="2641"/>
      <c r="BZ27" s="3033"/>
      <c r="CA27" s="2641"/>
      <c r="CB27" s="2641"/>
      <c r="CC27" s="2641"/>
      <c r="CD27" s="2641"/>
      <c r="CE27" s="3033"/>
      <c r="CF27" s="2641"/>
      <c r="CG27" s="2641"/>
      <c r="CH27" s="2641"/>
      <c r="CI27" s="2641"/>
      <c r="CJ27" s="3033"/>
      <c r="CK27" s="2641"/>
      <c r="CL27" s="2641"/>
      <c r="CM27" s="2641"/>
      <c r="CN27" s="2641"/>
      <c r="CO27" s="3033"/>
      <c r="CP27" s="2641"/>
      <c r="CQ27" s="2641"/>
      <c r="CR27" s="2641"/>
      <c r="CS27" s="2641"/>
      <c r="CT27" s="3033"/>
      <c r="CU27" s="2641"/>
      <c r="CV27" s="2641"/>
      <c r="CW27" s="2641"/>
      <c r="CX27" s="2641"/>
      <c r="CY27" s="3033"/>
      <c r="CZ27" s="2641">
        <f t="shared" ref="CZ27:EM27" si="54">IF(ISERROR(CZ26/CU26-1),"",(CZ26/CU26-1))</f>
        <v>0.16462150017283106</v>
      </c>
      <c r="DA27" s="2641">
        <f t="shared" si="54"/>
        <v>7.2918377401872236E-2</v>
      </c>
      <c r="DB27" s="2641">
        <f t="shared" si="54"/>
        <v>1.4251585797841582E-2</v>
      </c>
      <c r="DC27" s="2641">
        <f t="shared" si="54"/>
        <v>-6.6222135059161968E-2</v>
      </c>
      <c r="DD27" s="3033">
        <f t="shared" si="54"/>
        <v>-6.6222135059161968E-2</v>
      </c>
      <c r="DE27" s="2641">
        <f t="shared" si="54"/>
        <v>9.5792832232692637E-2</v>
      </c>
      <c r="DF27" s="2641">
        <f t="shared" si="54"/>
        <v>-4.1175570182152121E-2</v>
      </c>
      <c r="DG27" s="2641">
        <f t="shared" si="54"/>
        <v>-4.2235217673813885E-3</v>
      </c>
      <c r="DH27" s="2641">
        <f t="shared" si="54"/>
        <v>3.822458695043407E-2</v>
      </c>
      <c r="DI27" s="3033">
        <f t="shared" si="54"/>
        <v>3.822458695043407E-2</v>
      </c>
      <c r="DJ27" s="2641">
        <f t="shared" si="54"/>
        <v>-5.7489165763813688E-2</v>
      </c>
      <c r="DK27" s="2641">
        <f t="shared" si="54"/>
        <v>7.0961047254150644E-2</v>
      </c>
      <c r="DL27" s="2641">
        <f t="shared" si="54"/>
        <v>6.1908646003262735E-2</v>
      </c>
      <c r="DM27" s="2641">
        <f t="shared" si="54"/>
        <v>0.15441672285906938</v>
      </c>
      <c r="DN27" s="3033">
        <f t="shared" si="54"/>
        <v>0.15441672285906938</v>
      </c>
      <c r="DO27" s="2641">
        <f t="shared" si="54"/>
        <v>0.12493713628852654</v>
      </c>
      <c r="DP27" s="2641">
        <f t="shared" si="54"/>
        <v>0.14287843780278742</v>
      </c>
      <c r="DQ27" s="2641">
        <f t="shared" si="54"/>
        <v>0.16683309009908598</v>
      </c>
      <c r="DR27" s="2641">
        <f t="shared" si="54"/>
        <v>0.17167056074766363</v>
      </c>
      <c r="DS27" s="3033">
        <f t="shared" si="54"/>
        <v>0.17167056074766363</v>
      </c>
      <c r="DT27" s="2641">
        <f t="shared" si="54"/>
        <v>0.2509260441946608</v>
      </c>
      <c r="DU27" s="2641">
        <f t="shared" si="54"/>
        <v>0.29209599582626833</v>
      </c>
      <c r="DV27" s="2641">
        <f t="shared" si="54"/>
        <v>0.17865841616746758</v>
      </c>
      <c r="DW27" s="2641">
        <f t="shared" si="54"/>
        <v>0.1166558651976668</v>
      </c>
      <c r="DX27" s="3033">
        <f t="shared" si="54"/>
        <v>0.1166558651976668</v>
      </c>
      <c r="DY27" s="2641">
        <f t="shared" si="54"/>
        <v>2.6241895134528015E-2</v>
      </c>
      <c r="DZ27" s="2641">
        <f t="shared" si="54"/>
        <v>-1.7109978297077721E-2</v>
      </c>
      <c r="EA27" s="2641">
        <f t="shared" si="54"/>
        <v>8.9751466070929986E-2</v>
      </c>
      <c r="EB27" s="2641">
        <f t="shared" si="54"/>
        <v>0.12317514174739941</v>
      </c>
      <c r="EC27" s="3033">
        <f t="shared" si="54"/>
        <v>0.12317514174739941</v>
      </c>
      <c r="ED27" s="2641">
        <f t="shared" si="54"/>
        <v>0.12123774936570331</v>
      </c>
      <c r="EE27" s="2641">
        <f t="shared" si="54"/>
        <v>9.0839067474581592E-2</v>
      </c>
      <c r="EF27" s="2641">
        <f t="shared" si="54"/>
        <v>3.5157851578515809E-2</v>
      </c>
      <c r="EG27" s="2641">
        <f t="shared" si="54"/>
        <v>6.359806025916237E-3</v>
      </c>
      <c r="EH27" s="3034">
        <f t="shared" si="54"/>
        <v>6.359806025916237E-3</v>
      </c>
      <c r="EI27" s="2641">
        <f t="shared" si="54"/>
        <v>8.2301417187854886E-2</v>
      </c>
      <c r="EJ27" s="2641">
        <f t="shared" si="54"/>
        <v>0.17858314480125403</v>
      </c>
      <c r="EK27" s="2641">
        <f t="shared" si="54"/>
        <v>0.28301119281260179</v>
      </c>
      <c r="EL27" s="2641">
        <f t="shared" si="54"/>
        <v>-0.12229587543532983</v>
      </c>
      <c r="EM27" s="3034">
        <f t="shared" si="54"/>
        <v>-0.12342997077178297</v>
      </c>
      <c r="EN27" s="2641"/>
      <c r="EO27" s="2641"/>
      <c r="EP27" s="2641"/>
      <c r="EQ27" s="2641"/>
      <c r="ER27" s="3034"/>
      <c r="ES27" s="2641"/>
      <c r="ET27" s="2641"/>
      <c r="EU27" s="2641"/>
      <c r="EV27" s="2641"/>
      <c r="EW27" s="3034"/>
      <c r="EX27" s="2641"/>
      <c r="EY27" s="2641"/>
      <c r="EZ27" s="2641"/>
      <c r="FA27" s="2641"/>
      <c r="FB27" s="3034"/>
      <c r="FC27" s="2641"/>
      <c r="FD27" s="2641"/>
      <c r="FE27" s="2641"/>
      <c r="FF27" s="2641"/>
      <c r="FG27" s="3034"/>
      <c r="FH27" s="2641"/>
      <c r="FI27" s="2641"/>
      <c r="FJ27" s="2641"/>
      <c r="FK27" s="2641"/>
      <c r="FL27" s="3034"/>
    </row>
    <row r="28" spans="1:173" s="37" customFormat="1" ht="12" hidden="1" outlineLevel="1">
      <c r="A28" s="3033" t="s">
        <v>1028</v>
      </c>
      <c r="B28" s="2641"/>
      <c r="C28" s="2641"/>
      <c r="D28" s="2641"/>
      <c r="E28" s="2641"/>
      <c r="F28" s="2641"/>
      <c r="G28" s="2641"/>
      <c r="H28" s="2641"/>
      <c r="I28" s="2641"/>
      <c r="J28" s="2641"/>
      <c r="K28" s="2641"/>
      <c r="L28" s="2641"/>
      <c r="M28" s="2641"/>
      <c r="N28" s="2641"/>
      <c r="O28" s="2641"/>
      <c r="P28" s="2641"/>
      <c r="Q28" s="2641"/>
      <c r="R28" s="2641"/>
      <c r="S28" s="2641"/>
      <c r="T28" s="2641"/>
      <c r="U28" s="2641"/>
      <c r="V28" s="2641"/>
      <c r="W28" s="2641"/>
      <c r="X28" s="2641"/>
      <c r="Y28" s="2641"/>
      <c r="Z28" s="2641"/>
      <c r="AA28" s="2641"/>
      <c r="AB28" s="2641"/>
      <c r="AC28" s="2641"/>
      <c r="AD28" s="2641"/>
      <c r="AE28" s="2641"/>
      <c r="AF28" s="2641"/>
      <c r="AG28" s="2641"/>
      <c r="AH28" s="2641"/>
      <c r="AI28" s="2641"/>
      <c r="AJ28" s="2641"/>
      <c r="AK28" s="2641"/>
      <c r="AL28" s="2641"/>
      <c r="AM28" s="2641"/>
      <c r="AN28" s="2641"/>
      <c r="AO28" s="2641"/>
      <c r="AP28" s="2641"/>
      <c r="AQ28" s="2641"/>
      <c r="AR28" s="2641"/>
      <c r="AS28" s="2641"/>
      <c r="AT28" s="2641"/>
      <c r="AU28" s="2641"/>
      <c r="AV28" s="2641"/>
      <c r="AW28" s="2641"/>
      <c r="AX28" s="2641"/>
      <c r="AY28" s="2641"/>
      <c r="AZ28" s="2641"/>
      <c r="BA28" s="2641"/>
      <c r="BB28" s="2641"/>
      <c r="BC28" s="2641"/>
      <c r="BD28" s="2641"/>
      <c r="BE28" s="2641"/>
      <c r="BF28" s="2641"/>
      <c r="BG28" s="2641"/>
      <c r="BH28" s="2641"/>
      <c r="BI28" s="2641"/>
      <c r="BJ28" s="2641"/>
      <c r="BK28" s="2641"/>
      <c r="BL28" s="2641"/>
      <c r="BM28" s="2641"/>
      <c r="BN28" s="2641"/>
      <c r="BO28" s="2641"/>
      <c r="BP28" s="3033"/>
      <c r="BQ28" s="2641"/>
      <c r="BR28" s="2641"/>
      <c r="BS28" s="2641"/>
      <c r="BT28" s="2641"/>
      <c r="BU28" s="3033"/>
      <c r="BV28" s="2641"/>
      <c r="BW28" s="2641"/>
      <c r="BX28" s="2641"/>
      <c r="BY28" s="2641"/>
      <c r="BZ28" s="3033"/>
      <c r="CA28" s="2641"/>
      <c r="CB28" s="2641"/>
      <c r="CC28" s="2641"/>
      <c r="CD28" s="2641"/>
      <c r="CE28" s="3033"/>
      <c r="CF28" s="2641"/>
      <c r="CG28" s="2641"/>
      <c r="CH28" s="2641"/>
      <c r="CI28" s="2641"/>
      <c r="CJ28" s="3033"/>
      <c r="CK28" s="2641"/>
      <c r="CL28" s="2641"/>
      <c r="CM28" s="2641"/>
      <c r="CN28" s="2641"/>
      <c r="CO28" s="3033"/>
      <c r="CP28" s="2641"/>
      <c r="CQ28" s="2641"/>
      <c r="CR28" s="2641"/>
      <c r="CS28" s="2641"/>
      <c r="CT28" s="3033"/>
      <c r="CU28" s="2641"/>
      <c r="CV28" s="2641"/>
      <c r="CW28" s="2641"/>
      <c r="CX28" s="2641"/>
      <c r="CY28" s="3033"/>
      <c r="CZ28" s="2641"/>
      <c r="DA28" s="2641"/>
      <c r="DB28" s="2641"/>
      <c r="DC28" s="2641"/>
      <c r="DD28" s="3033"/>
      <c r="DE28" s="2641"/>
      <c r="DF28" s="2641"/>
      <c r="DG28" s="2641"/>
      <c r="DH28" s="2641"/>
      <c r="DI28" s="3033"/>
      <c r="DJ28" s="2641"/>
      <c r="DK28" s="2641"/>
      <c r="DL28" s="2641"/>
      <c r="DM28" s="2641"/>
      <c r="DN28" s="3033"/>
      <c r="DO28" s="2641"/>
      <c r="DP28" s="2641"/>
      <c r="DQ28" s="2641"/>
      <c r="DR28" s="2641"/>
      <c r="DS28" s="3033"/>
      <c r="DT28" s="2641"/>
      <c r="DU28" s="2641"/>
      <c r="DV28" s="2641"/>
      <c r="DW28" s="2641"/>
      <c r="DX28" s="3033"/>
      <c r="DY28" s="2641"/>
      <c r="DZ28" s="2641"/>
      <c r="EA28" s="2641"/>
      <c r="EB28" s="2641"/>
      <c r="EC28" s="3033"/>
      <c r="ED28" s="2641"/>
      <c r="EE28" s="2641"/>
      <c r="EF28" s="2641">
        <v>7.0000000000000007E-2</v>
      </c>
      <c r="EG28" s="2641">
        <v>7.0000000000000007E-2</v>
      </c>
      <c r="EH28" s="3034"/>
      <c r="EI28" s="2641">
        <v>0.1</v>
      </c>
      <c r="EJ28" s="3035">
        <f>EJ27+0.05</f>
        <v>0.22858314480125402</v>
      </c>
      <c r="EK28" s="3035">
        <f>EK27+0.05</f>
        <v>0.33301119281260178</v>
      </c>
      <c r="EL28" s="3035">
        <v>0.08</v>
      </c>
      <c r="EM28" s="3034"/>
      <c r="EN28" s="3035"/>
      <c r="EO28" s="3035"/>
      <c r="EP28" s="3035"/>
      <c r="EQ28" s="3035"/>
      <c r="ER28" s="3034"/>
      <c r="ES28" s="3035"/>
      <c r="ET28" s="3035"/>
      <c r="EU28" s="2641"/>
      <c r="EV28" s="2641"/>
      <c r="EW28" s="3034"/>
      <c r="EX28" s="2641"/>
      <c r="EY28" s="2641"/>
      <c r="EZ28" s="2641"/>
      <c r="FA28" s="2641"/>
      <c r="FB28" s="3034"/>
      <c r="FC28" s="2641"/>
      <c r="FD28" s="2641"/>
      <c r="FE28" s="2641"/>
      <c r="FF28" s="2641"/>
      <c r="FG28" s="3034"/>
      <c r="FH28" s="2641"/>
      <c r="FI28" s="2641"/>
      <c r="FJ28" s="2641"/>
      <c r="FK28" s="2641"/>
      <c r="FL28" s="3034"/>
    </row>
    <row r="29" spans="1:173" s="37" customFormat="1" ht="12" hidden="1" outlineLevel="1">
      <c r="A29" s="3033" t="s">
        <v>667</v>
      </c>
      <c r="B29" s="2641"/>
      <c r="C29" s="2641"/>
      <c r="D29" s="2641"/>
      <c r="E29" s="2641"/>
      <c r="F29" s="2641"/>
      <c r="G29" s="2641"/>
      <c r="H29" s="2641"/>
      <c r="I29" s="2641"/>
      <c r="J29" s="2641"/>
      <c r="K29" s="2641"/>
      <c r="L29" s="2641"/>
      <c r="M29" s="2641"/>
      <c r="N29" s="2641"/>
      <c r="O29" s="2641"/>
      <c r="P29" s="2641"/>
      <c r="Q29" s="2641"/>
      <c r="R29" s="2641"/>
      <c r="S29" s="2641"/>
      <c r="T29" s="2641"/>
      <c r="U29" s="2641"/>
      <c r="V29" s="2641"/>
      <c r="W29" s="2641"/>
      <c r="X29" s="2641"/>
      <c r="Y29" s="2641"/>
      <c r="Z29" s="2641"/>
      <c r="AA29" s="2641"/>
      <c r="AB29" s="2641"/>
      <c r="AC29" s="2641"/>
      <c r="AD29" s="2641"/>
      <c r="AE29" s="2641"/>
      <c r="AF29" s="2641"/>
      <c r="AG29" s="2641"/>
      <c r="AH29" s="2641"/>
      <c r="AI29" s="2641"/>
      <c r="AJ29" s="2641"/>
      <c r="AK29" s="2641"/>
      <c r="AL29" s="2641"/>
      <c r="AM29" s="2641"/>
      <c r="AN29" s="2641"/>
      <c r="AO29" s="2641"/>
      <c r="AP29" s="2641"/>
      <c r="AQ29" s="2641"/>
      <c r="AR29" s="2641"/>
      <c r="AS29" s="2641"/>
      <c r="AT29" s="2641"/>
      <c r="AU29" s="2641"/>
      <c r="AV29" s="2641"/>
      <c r="AW29" s="2641"/>
      <c r="AX29" s="2641"/>
      <c r="AY29" s="2641"/>
      <c r="AZ29" s="2641"/>
      <c r="BA29" s="2641"/>
      <c r="BB29" s="2641"/>
      <c r="BC29" s="2641"/>
      <c r="BD29" s="2641"/>
      <c r="BE29" s="2641"/>
      <c r="BF29" s="2641"/>
      <c r="BG29" s="2641"/>
      <c r="BH29" s="2641"/>
      <c r="BI29" s="2641"/>
      <c r="BJ29" s="2641"/>
      <c r="BK29" s="2641"/>
      <c r="BL29" s="2641"/>
      <c r="BM29" s="2641"/>
      <c r="BN29" s="2641"/>
      <c r="BO29" s="2641"/>
      <c r="BP29" s="3033"/>
      <c r="BQ29" s="2641"/>
      <c r="BR29" s="2641"/>
      <c r="BS29" s="2641"/>
      <c r="BT29" s="2641"/>
      <c r="BU29" s="3033"/>
      <c r="BV29" s="2641"/>
      <c r="BW29" s="2641"/>
      <c r="BX29" s="2641"/>
      <c r="BY29" s="2641"/>
      <c r="BZ29" s="3033"/>
      <c r="CA29" s="2641"/>
      <c r="CB29" s="2641"/>
      <c r="CC29" s="2641"/>
      <c r="CD29" s="2641"/>
      <c r="CE29" s="3033"/>
      <c r="CF29" s="2641"/>
      <c r="CG29" s="2641"/>
      <c r="CH29" s="2641"/>
      <c r="CI29" s="2641"/>
      <c r="CJ29" s="3033"/>
      <c r="CK29" s="2641"/>
      <c r="CL29" s="2641"/>
      <c r="CM29" s="2641"/>
      <c r="CN29" s="2641"/>
      <c r="CO29" s="3033"/>
      <c r="CP29" s="2641"/>
      <c r="CQ29" s="2641"/>
      <c r="CR29" s="2641"/>
      <c r="CS29" s="2641"/>
      <c r="CT29" s="3033"/>
      <c r="CU29" s="2641"/>
      <c r="CV29" s="2641"/>
      <c r="CW29" s="2641"/>
      <c r="CX29" s="2641"/>
      <c r="CY29" s="3033"/>
      <c r="CZ29" s="2641">
        <f>CZ26/CY26-1</f>
        <v>-0.11897757730273906</v>
      </c>
      <c r="DA29" s="2641">
        <f>DA26/CZ26-1</f>
        <v>-3.0496401276248419E-2</v>
      </c>
      <c r="DB29" s="2641">
        <f>DB26/DA26-1</f>
        <v>-5.7707025868666717E-2</v>
      </c>
      <c r="DC29" s="2641">
        <f>DC26/DB26-1</f>
        <v>0.16016894087069522</v>
      </c>
      <c r="DD29" s="3033"/>
      <c r="DE29" s="2641">
        <f>DE26/DD26-1</f>
        <v>3.3884066087930487E-2</v>
      </c>
      <c r="DF29" s="2641">
        <f>DF26/DE26-1</f>
        <v>-0.15167930660888407</v>
      </c>
      <c r="DG29" s="2641">
        <f>DG26/DF26-1</f>
        <v>-2.1392081736909319E-2</v>
      </c>
      <c r="DH29" s="2641">
        <f>DH26/DG26-1</f>
        <v>0.20962479608482876</v>
      </c>
      <c r="DI29" s="3033"/>
      <c r="DJ29" s="2641">
        <f>DJ26/DI26-1</f>
        <v>-6.1429534726904933E-2</v>
      </c>
      <c r="DK29" s="2641">
        <f>DK26/DJ26-1</f>
        <v>-3.6065809325382614E-2</v>
      </c>
      <c r="DL29" s="2641">
        <f>DL26/DK26-1</f>
        <v>-2.9663859282999194E-2</v>
      </c>
      <c r="DM29" s="2641">
        <f>DM26/DL26-1</f>
        <v>0.31500115216222446</v>
      </c>
      <c r="DN29" s="3033"/>
      <c r="DO29" s="2641">
        <f>DO26/DN26-1</f>
        <v>-8.5397196261682295E-2</v>
      </c>
      <c r="DP29" s="2641">
        <f>DP26/DO26-1</f>
        <v>-2.0692297866905074E-2</v>
      </c>
      <c r="DQ29" s="2641">
        <f>DQ26/DP26-1</f>
        <v>-9.3256814921089948E-3</v>
      </c>
      <c r="DR29" s="2641">
        <f>DR26/DQ26-1</f>
        <v>0.32045289974326896</v>
      </c>
      <c r="DS29" s="3033"/>
      <c r="DT29" s="2641">
        <f>DT26/DS26-1</f>
        <v>-2.3530584774913987E-2</v>
      </c>
      <c r="DU29" s="2641">
        <f>DU26/DT26-1</f>
        <v>1.1538265175881968E-2</v>
      </c>
      <c r="DV29" s="2641">
        <f>DV26/DU26-1</f>
        <v>-9.6300408822490247E-2</v>
      </c>
      <c r="DW29" s="2641">
        <f>DW26/DV26-1</f>
        <v>0.25099134320022332</v>
      </c>
      <c r="DX29" s="3033"/>
      <c r="DY29" s="2641">
        <f>DY26/DX26-1</f>
        <v>-0.10259386579758023</v>
      </c>
      <c r="DZ29" s="2641">
        <f>DZ26/DY26-1</f>
        <v>-3.1192477986169864E-2</v>
      </c>
      <c r="EA29" s="2641">
        <f>EA26/DZ26-1</f>
        <v>1.951319708328958E-3</v>
      </c>
      <c r="EB29" s="2641">
        <f>EB26/EA26-1</f>
        <v>0.28936039360393595</v>
      </c>
      <c r="EC29" s="3033"/>
      <c r="ED29" s="2641">
        <f>ED26/EC26-1</f>
        <v>-0.10414182367437796</v>
      </c>
      <c r="EE29" s="2641">
        <f>EE26/ED26-1</f>
        <v>-5.745851450882955E-2</v>
      </c>
      <c r="EF29" s="2641">
        <f>EF26/EE26-1</f>
        <v>-4.9192675234194794E-2</v>
      </c>
      <c r="EG29" s="2641">
        <f>EG26/EF26-1</f>
        <v>0.25349044459847514</v>
      </c>
      <c r="EH29" s="3034"/>
      <c r="EI29" s="2641">
        <f>EI26/EH26-1</f>
        <v>-3.6538852177112169E-2</v>
      </c>
      <c r="EJ29" s="2641">
        <f>EJ26/EI26-1</f>
        <v>2.6390144588544606E-2</v>
      </c>
      <c r="EK29" s="2641">
        <f>EK26/EJ26-1</f>
        <v>3.5053356450678974E-2</v>
      </c>
      <c r="EL29" s="2641">
        <f>EL26/EK26-1</f>
        <v>-0.14249093110820621</v>
      </c>
      <c r="EM29" s="3034"/>
      <c r="EN29" s="2641"/>
      <c r="EO29" s="2641"/>
      <c r="EP29" s="2641"/>
      <c r="EQ29" s="2641"/>
      <c r="ER29" s="3034"/>
      <c r="ES29" s="2641"/>
      <c r="ET29" s="2641"/>
      <c r="EU29" s="2641"/>
      <c r="EV29" s="2641"/>
      <c r="EW29" s="3034"/>
      <c r="EX29" s="2641"/>
      <c r="EY29" s="2641"/>
      <c r="EZ29" s="2641"/>
      <c r="FA29" s="2641"/>
      <c r="FB29" s="3034"/>
      <c r="FC29" s="2641"/>
      <c r="FD29" s="2641"/>
      <c r="FE29" s="2641"/>
      <c r="FF29" s="2641"/>
      <c r="FG29" s="3034"/>
      <c r="FH29" s="2641"/>
      <c r="FI29" s="2641"/>
      <c r="FJ29" s="2641"/>
      <c r="FK29" s="2641"/>
      <c r="FL29" s="3034"/>
    </row>
    <row r="30" spans="1:173" s="63" customFormat="1" ht="12" hidden="1" outlineLevel="1">
      <c r="A30" s="3036" t="s">
        <v>763</v>
      </c>
      <c r="B30" s="3037"/>
      <c r="C30" s="3037"/>
      <c r="D30" s="3037"/>
      <c r="E30" s="3037"/>
      <c r="F30" s="3037"/>
      <c r="G30" s="3037"/>
      <c r="H30" s="3037"/>
      <c r="I30" s="3037"/>
      <c r="J30" s="3037"/>
      <c r="K30" s="3037"/>
      <c r="L30" s="3037"/>
      <c r="M30" s="3037"/>
      <c r="N30" s="3037"/>
      <c r="O30" s="3037"/>
      <c r="P30" s="3037"/>
      <c r="Q30" s="3037"/>
      <c r="R30" s="3037"/>
      <c r="S30" s="3037"/>
      <c r="T30" s="3037"/>
      <c r="U30" s="3037"/>
      <c r="V30" s="3037"/>
      <c r="W30" s="3037"/>
      <c r="X30" s="3037"/>
      <c r="Y30" s="3037"/>
      <c r="Z30" s="3037"/>
      <c r="AA30" s="3037"/>
      <c r="AB30" s="3037"/>
      <c r="AC30" s="3037"/>
      <c r="AD30" s="3037"/>
      <c r="AE30" s="3037"/>
      <c r="AF30" s="3037"/>
      <c r="AG30" s="3037"/>
      <c r="AH30" s="3037"/>
      <c r="AI30" s="3037"/>
      <c r="AJ30" s="3037"/>
      <c r="AK30" s="3037"/>
      <c r="AL30" s="3037"/>
      <c r="AM30" s="3037"/>
      <c r="AN30" s="3037"/>
      <c r="AO30" s="3037"/>
      <c r="AP30" s="3037"/>
      <c r="AQ30" s="3037"/>
      <c r="AR30" s="3037"/>
      <c r="AS30" s="3037"/>
      <c r="AT30" s="3037"/>
      <c r="AU30" s="3037"/>
      <c r="AV30" s="3037"/>
      <c r="AW30" s="3037"/>
      <c r="AX30" s="3037"/>
      <c r="AY30" s="3037"/>
      <c r="AZ30" s="3037"/>
      <c r="BA30" s="3037"/>
      <c r="BB30" s="3037"/>
      <c r="BC30" s="3037"/>
      <c r="BD30" s="3037"/>
      <c r="BE30" s="3037"/>
      <c r="BF30" s="3037"/>
      <c r="BG30" s="3037"/>
      <c r="BH30" s="3037"/>
      <c r="BI30" s="3037"/>
      <c r="BJ30" s="3037"/>
      <c r="BK30" s="3037"/>
      <c r="BL30" s="3037"/>
      <c r="BM30" s="3037"/>
      <c r="BN30" s="3037"/>
      <c r="BO30" s="3037"/>
      <c r="BP30" s="3036"/>
      <c r="BQ30" s="3037"/>
      <c r="BR30" s="3037"/>
      <c r="BS30" s="3037"/>
      <c r="BT30" s="3037"/>
      <c r="BU30" s="3036"/>
      <c r="BV30" s="3037"/>
      <c r="BW30" s="3037"/>
      <c r="BX30" s="3037"/>
      <c r="BY30" s="3037"/>
      <c r="BZ30" s="3036"/>
      <c r="CA30" s="3037"/>
      <c r="CB30" s="3037"/>
      <c r="CC30" s="3037"/>
      <c r="CD30" s="3037"/>
      <c r="CE30" s="3036"/>
      <c r="CF30" s="3037"/>
      <c r="CG30" s="3037"/>
      <c r="CH30" s="3037"/>
      <c r="CI30" s="3037"/>
      <c r="CJ30" s="3036"/>
      <c r="CK30" s="3037"/>
      <c r="CL30" s="3037"/>
      <c r="CM30" s="3037"/>
      <c r="CN30" s="3037"/>
      <c r="CO30" s="3036"/>
      <c r="CP30" s="3037"/>
      <c r="CQ30" s="3037">
        <f>CQ158/CP158-1</f>
        <v>0.17470535802713671</v>
      </c>
      <c r="CR30" s="3037"/>
      <c r="CS30" s="3037"/>
      <c r="CT30" s="3036"/>
      <c r="CU30" s="3037"/>
      <c r="CV30" s="3037"/>
      <c r="CW30" s="3037"/>
      <c r="CX30" s="3037"/>
      <c r="CY30" s="3036"/>
      <c r="CZ30" s="3037"/>
      <c r="DA30" s="3037"/>
      <c r="DB30" s="3037"/>
      <c r="DC30" s="3037"/>
      <c r="DD30" s="3036"/>
      <c r="DE30" s="3037"/>
      <c r="DF30" s="3037"/>
      <c r="DG30" s="3037"/>
      <c r="DH30" s="3037"/>
      <c r="DI30" s="3036"/>
      <c r="DJ30" s="3037"/>
      <c r="DK30" s="3037"/>
      <c r="DL30" s="3037"/>
      <c r="DM30" s="3037"/>
      <c r="DN30" s="3036"/>
      <c r="DO30" s="3037"/>
      <c r="DP30" s="3037"/>
      <c r="DQ30" s="3037"/>
      <c r="DR30" s="3037"/>
      <c r="DS30" s="3036"/>
      <c r="DT30" s="3037"/>
      <c r="DU30" s="3037"/>
      <c r="DV30" s="3037"/>
      <c r="DW30" s="3037"/>
      <c r="DX30" s="3036"/>
      <c r="DY30" s="3037">
        <f>AVERAGE(DT29,DO29,DJ29,DE29,CZ29)</f>
        <v>-5.1090165395661954E-2</v>
      </c>
      <c r="DZ30" s="3037">
        <f>AVERAGE(DU29,DP29,DK29,DF29,DA29)</f>
        <v>-4.5479109980307644E-2</v>
      </c>
      <c r="EA30" s="3037">
        <f>AVERAGE(DV29,DQ29,DL29,DG29,DB29)</f>
        <v>-4.2877811440634891E-2</v>
      </c>
      <c r="EB30" s="3037">
        <f>AVERAGE(DW29,DR29,DM29,DH29,DC29)</f>
        <v>0.25124782641224813</v>
      </c>
      <c r="EC30" s="3036"/>
      <c r="ED30" s="3037">
        <f>AVERAGE(DY29,DT29,DO29,DJ29,DE29)</f>
        <v>-4.7813423094630193E-2</v>
      </c>
      <c r="EE30" s="3037">
        <f>AVERAGE(DZ29,DU29,DP29,DK29,DF29)</f>
        <v>-4.561832532229193E-2</v>
      </c>
      <c r="EF30" s="3037">
        <f>AVERAGE(EA29,DV29,DQ29,DL29,DG29)</f>
        <v>-3.0946142325235758E-2</v>
      </c>
      <c r="EG30" s="3037">
        <f>AVERAGE(EB29,DW29,DR29,DM29,DH29)</f>
        <v>0.27708611695889629</v>
      </c>
      <c r="EH30" s="3038"/>
      <c r="EI30" s="3037">
        <f>ED30</f>
        <v>-4.7813423094630193E-2</v>
      </c>
      <c r="EJ30" s="3037">
        <f>EE30</f>
        <v>-4.561832532229193E-2</v>
      </c>
      <c r="EK30" s="3037">
        <f>EF30</f>
        <v>-3.0946142325235758E-2</v>
      </c>
      <c r="EL30" s="3037">
        <f>EG30</f>
        <v>0.27708611695889629</v>
      </c>
      <c r="EM30" s="3038"/>
      <c r="EN30" s="3037"/>
      <c r="EO30" s="3037"/>
      <c r="EP30" s="3037"/>
      <c r="EQ30" s="3037"/>
      <c r="ER30" s="3038"/>
      <c r="ES30" s="3037"/>
      <c r="ET30" s="3037"/>
      <c r="EU30" s="3037"/>
      <c r="EV30" s="3037"/>
      <c r="EW30" s="3038"/>
      <c r="EX30" s="3037"/>
      <c r="EY30" s="3037"/>
      <c r="EZ30" s="3037"/>
      <c r="FA30" s="3037"/>
      <c r="FB30" s="3038"/>
      <c r="FC30" s="3037"/>
      <c r="FD30" s="3037"/>
      <c r="FE30" s="3037"/>
      <c r="FF30" s="3037"/>
      <c r="FG30" s="3038"/>
      <c r="FH30" s="3037"/>
      <c r="FI30" s="3037"/>
      <c r="FJ30" s="3037"/>
      <c r="FK30" s="3037"/>
      <c r="FL30" s="3038"/>
    </row>
    <row r="31" spans="1:173" s="31" customFormat="1" ht="12" hidden="1" outlineLevel="1">
      <c r="A31" s="1566"/>
      <c r="B31" s="1566"/>
      <c r="C31" s="1566"/>
      <c r="D31" s="1566"/>
      <c r="E31" s="1566"/>
      <c r="F31" s="1566"/>
      <c r="G31" s="1566"/>
      <c r="H31" s="1566"/>
      <c r="I31" s="1566"/>
      <c r="J31" s="1566"/>
      <c r="K31" s="1566"/>
      <c r="L31" s="1566"/>
      <c r="M31" s="1566"/>
      <c r="N31" s="1566"/>
      <c r="O31" s="1566"/>
      <c r="P31" s="1566"/>
      <c r="Q31" s="1566"/>
      <c r="R31" s="1566"/>
      <c r="S31" s="1566"/>
      <c r="T31" s="1566"/>
      <c r="U31" s="1566"/>
      <c r="V31" s="1566"/>
      <c r="W31" s="1566"/>
      <c r="X31" s="1566"/>
      <c r="Y31" s="1566"/>
      <c r="Z31" s="1566"/>
      <c r="AA31" s="1566"/>
      <c r="AB31" s="1566"/>
      <c r="AC31" s="1566"/>
      <c r="AD31" s="1566"/>
      <c r="AE31" s="1566"/>
      <c r="AF31" s="1566"/>
      <c r="AG31" s="1566"/>
      <c r="AH31" s="1566"/>
      <c r="AI31" s="1566"/>
      <c r="AJ31" s="1566"/>
      <c r="AK31" s="1566"/>
      <c r="AL31" s="1566"/>
      <c r="AM31" s="1566"/>
      <c r="AN31" s="1566"/>
      <c r="AO31" s="1566"/>
      <c r="AP31" s="1566"/>
      <c r="AQ31" s="1566"/>
      <c r="AR31" s="1566"/>
      <c r="AS31" s="1566"/>
      <c r="AT31" s="1566"/>
      <c r="AU31" s="1566"/>
      <c r="AV31" s="1566"/>
      <c r="AW31" s="1566"/>
      <c r="AX31" s="1566"/>
      <c r="AY31" s="1566"/>
      <c r="AZ31" s="1566"/>
      <c r="BA31" s="1566"/>
      <c r="BB31" s="1566"/>
      <c r="BC31" s="1566"/>
      <c r="BD31" s="1566"/>
      <c r="BE31" s="1566"/>
      <c r="BF31" s="1566"/>
      <c r="BG31" s="1566"/>
      <c r="BH31" s="1566"/>
      <c r="BI31" s="1566"/>
      <c r="BJ31" s="1566"/>
      <c r="BK31" s="1566"/>
      <c r="BL31" s="1566"/>
      <c r="BM31" s="1566"/>
      <c r="BN31" s="1566"/>
      <c r="BO31" s="1566"/>
      <c r="BP31" s="1566"/>
      <c r="BQ31" s="1566"/>
      <c r="BR31" s="1566"/>
      <c r="BS31" s="1566"/>
      <c r="BT31" s="1566"/>
      <c r="BU31" s="1566"/>
      <c r="BV31" s="1566"/>
      <c r="BW31" s="1566"/>
      <c r="BX31" s="1566"/>
      <c r="BY31" s="1566"/>
      <c r="BZ31" s="1566"/>
      <c r="CA31" s="1566"/>
      <c r="CB31" s="1566"/>
      <c r="CC31" s="1566"/>
      <c r="CD31" s="1566"/>
      <c r="CE31" s="1566"/>
      <c r="CF31" s="1566"/>
      <c r="CG31" s="1566"/>
      <c r="CH31" s="1566"/>
      <c r="CI31" s="1566"/>
      <c r="CJ31" s="1566"/>
      <c r="CK31" s="1566"/>
      <c r="CL31" s="1566"/>
      <c r="CM31" s="1566"/>
      <c r="CN31" s="1566"/>
      <c r="CO31" s="1566"/>
      <c r="CP31" s="1566"/>
      <c r="CQ31" s="1566"/>
      <c r="CR31" s="1566"/>
      <c r="CS31" s="1566"/>
      <c r="CT31" s="1566"/>
      <c r="CU31" s="1566"/>
      <c r="CV31" s="1566"/>
      <c r="CW31" s="1566"/>
      <c r="CX31" s="1566"/>
      <c r="CY31" s="1566"/>
      <c r="CZ31" s="1566"/>
      <c r="DA31" s="1566"/>
      <c r="DB31" s="1566"/>
      <c r="DC31" s="1571"/>
      <c r="DD31" s="1571"/>
      <c r="DE31" s="1571"/>
      <c r="DF31" s="1566"/>
      <c r="DG31" s="1566"/>
      <c r="DH31" s="1571"/>
      <c r="DI31" s="1571"/>
      <c r="DJ31" s="1571"/>
      <c r="DK31" s="1566"/>
      <c r="DL31" s="1571"/>
      <c r="DM31" s="1571"/>
      <c r="DN31" s="1571"/>
      <c r="DO31" s="1566"/>
      <c r="DP31" s="1566"/>
      <c r="DQ31" s="1566"/>
      <c r="DR31" s="1571"/>
      <c r="DS31" s="1571"/>
      <c r="DT31" s="1566"/>
      <c r="DU31" s="1566"/>
      <c r="DV31" s="1571"/>
      <c r="DW31" s="1566"/>
      <c r="DX31" s="1566"/>
      <c r="DY31" s="1571"/>
      <c r="DZ31" s="1566"/>
      <c r="EA31" s="1571"/>
      <c r="EB31" s="1566"/>
      <c r="EC31" s="1566"/>
      <c r="ED31" s="1571"/>
      <c r="EE31" s="1571"/>
      <c r="EF31" s="1571"/>
      <c r="EG31" s="1566"/>
      <c r="EH31" s="1572"/>
      <c r="EI31" s="1571"/>
      <c r="EJ31" s="1571"/>
      <c r="EK31" s="1571"/>
      <c r="EL31" s="1571"/>
      <c r="EM31" s="1572"/>
      <c r="EN31" s="1571"/>
      <c r="EO31" s="1571"/>
      <c r="EP31" s="1571"/>
      <c r="EQ31" s="1571"/>
      <c r="ER31" s="1572"/>
      <c r="ES31" s="1571"/>
      <c r="ET31" s="1571"/>
      <c r="EU31" s="1571"/>
      <c r="EV31" s="1571"/>
      <c r="EW31" s="1572"/>
      <c r="EX31" s="1571"/>
      <c r="EY31" s="1571"/>
      <c r="EZ31" s="1571"/>
      <c r="FA31" s="1571"/>
      <c r="FB31" s="1572"/>
      <c r="FC31" s="1571"/>
      <c r="FD31" s="1571"/>
      <c r="FE31" s="1571"/>
      <c r="FF31" s="1571"/>
      <c r="FG31" s="1572"/>
      <c r="FH31" s="1571"/>
      <c r="FI31" s="1571"/>
      <c r="FJ31" s="1571"/>
      <c r="FK31" s="1571"/>
      <c r="FL31" s="1572"/>
      <c r="FM31" s="38"/>
      <c r="FN31" s="38"/>
      <c r="FO31" s="38"/>
      <c r="FP31" s="38"/>
      <c r="FQ31" s="38"/>
    </row>
    <row r="32" spans="1:173" s="48" customFormat="1" ht="12" hidden="1" outlineLevel="1">
      <c r="A32" s="1559" t="s">
        <v>1034</v>
      </c>
      <c r="B32" s="1559"/>
      <c r="C32" s="1559"/>
      <c r="D32" s="1559"/>
      <c r="E32" s="1559"/>
      <c r="F32" s="1559"/>
      <c r="G32" s="1559"/>
      <c r="H32" s="1559"/>
      <c r="I32" s="1559"/>
      <c r="J32" s="1559"/>
      <c r="K32" s="1559"/>
      <c r="L32" s="1559"/>
      <c r="M32" s="1559"/>
      <c r="N32" s="1559"/>
      <c r="O32" s="1559"/>
      <c r="P32" s="1559"/>
      <c r="Q32" s="1559"/>
      <c r="R32" s="1559"/>
      <c r="S32" s="1559"/>
      <c r="T32" s="1559"/>
      <c r="U32" s="1559"/>
      <c r="V32" s="1559"/>
      <c r="W32" s="1559"/>
      <c r="X32" s="1559"/>
      <c r="Y32" s="1559"/>
      <c r="Z32" s="1559"/>
      <c r="AA32" s="1559"/>
      <c r="AB32" s="1559"/>
      <c r="AC32" s="1559"/>
      <c r="AD32" s="1559"/>
      <c r="AE32" s="1559"/>
      <c r="AF32" s="1559"/>
      <c r="AG32" s="1559"/>
      <c r="AH32" s="1559"/>
      <c r="AI32" s="1559"/>
      <c r="AJ32" s="1559"/>
      <c r="AK32" s="1559"/>
      <c r="AL32" s="1559"/>
      <c r="AM32" s="1559"/>
      <c r="AN32" s="1559"/>
      <c r="AO32" s="1559"/>
      <c r="AP32" s="1559"/>
      <c r="AQ32" s="1559"/>
      <c r="AR32" s="1559"/>
      <c r="AS32" s="1559"/>
      <c r="AT32" s="1559"/>
      <c r="AU32" s="1559"/>
      <c r="AV32" s="1559"/>
      <c r="AW32" s="1559"/>
      <c r="AX32" s="1559"/>
      <c r="AY32" s="1559"/>
      <c r="AZ32" s="1559"/>
      <c r="BA32" s="1559"/>
      <c r="BB32" s="1559"/>
      <c r="BC32" s="1559"/>
      <c r="BD32" s="1559"/>
      <c r="BE32" s="1559"/>
      <c r="BF32" s="1559"/>
      <c r="BG32" s="1559"/>
      <c r="BH32" s="1559"/>
      <c r="BI32" s="1559"/>
      <c r="BJ32" s="1559"/>
      <c r="BK32" s="1559"/>
      <c r="BL32" s="1559"/>
      <c r="BM32" s="1559"/>
      <c r="BN32" s="1559"/>
      <c r="BO32" s="1559"/>
      <c r="BP32" s="1560"/>
      <c r="BQ32" s="1559"/>
      <c r="BR32" s="1559"/>
      <c r="BS32" s="1559"/>
      <c r="BT32" s="1559"/>
      <c r="BU32" s="1560"/>
      <c r="BV32" s="1559"/>
      <c r="BW32" s="1559"/>
      <c r="BX32" s="1559"/>
      <c r="BY32" s="1559"/>
      <c r="BZ32" s="1560"/>
      <c r="CA32" s="1559"/>
      <c r="CB32" s="1559"/>
      <c r="CC32" s="1559"/>
      <c r="CD32" s="1559"/>
      <c r="CE32" s="1560"/>
      <c r="CF32" s="1559"/>
      <c r="CG32" s="1559"/>
      <c r="CH32" s="1559"/>
      <c r="CI32" s="1559"/>
      <c r="CJ32" s="1560"/>
      <c r="CK32" s="1559"/>
      <c r="CL32" s="1559"/>
      <c r="CM32" s="1559"/>
      <c r="CN32" s="1559"/>
      <c r="CO32" s="1560"/>
      <c r="CP32" s="1559"/>
      <c r="CQ32" s="1559"/>
      <c r="CR32" s="1559"/>
      <c r="CS32" s="1559"/>
      <c r="CT32" s="1560"/>
      <c r="CU32" s="1559"/>
      <c r="CV32" s="1559"/>
      <c r="CW32" s="1559"/>
      <c r="CX32" s="1559"/>
      <c r="CY32" s="1560"/>
      <c r="CZ32" s="1559"/>
      <c r="DA32" s="1559"/>
      <c r="DB32" s="1559"/>
      <c r="DC32" s="1559"/>
      <c r="DD32" s="1560"/>
      <c r="DE32" s="1559"/>
      <c r="DF32" s="1559"/>
      <c r="DG32" s="1559"/>
      <c r="DH32" s="1559"/>
      <c r="DI32" s="1560"/>
      <c r="DJ32" s="1559"/>
      <c r="DK32" s="1559"/>
      <c r="DL32" s="1559"/>
      <c r="DM32" s="1559"/>
      <c r="DN32" s="1560"/>
      <c r="DO32" s="1559"/>
      <c r="DP32" s="1559"/>
      <c r="DQ32" s="1559"/>
      <c r="DR32" s="1561"/>
      <c r="DS32" s="1560"/>
      <c r="DT32" s="1561"/>
      <c r="DU32" s="1561"/>
      <c r="DV32" s="1561"/>
      <c r="DW32" s="1561"/>
      <c r="DX32" s="1560"/>
      <c r="DY32" s="1561"/>
      <c r="DZ32" s="1561"/>
      <c r="EA32" s="1561"/>
      <c r="EB32" s="1561"/>
      <c r="EC32" s="1560"/>
      <c r="ED32" s="1561"/>
      <c r="EE32" s="1561"/>
      <c r="EF32" s="1561"/>
      <c r="EG32" s="1561"/>
      <c r="EH32" s="1560"/>
      <c r="EI32" s="1559">
        <f>'Client Unit Model'!AV49</f>
        <v>-5.9093405798739695</v>
      </c>
      <c r="EJ32" s="1559">
        <f>'Client Unit Model'!AW49</f>
        <v>-5.6417450130393263</v>
      </c>
      <c r="EK32" s="1559">
        <f>'Client Unit Model'!AX49</f>
        <v>-21.26007242893138</v>
      </c>
      <c r="EL32" s="1559">
        <f>'Client Unit Model'!AY49</f>
        <v>-28.713025728322464</v>
      </c>
      <c r="EM32" s="1560">
        <f>EL32</f>
        <v>-28.713025728322464</v>
      </c>
      <c r="EN32" s="1559"/>
      <c r="EO32" s="1559"/>
      <c r="EP32" s="1559"/>
      <c r="EQ32" s="1559"/>
      <c r="ER32" s="1560"/>
      <c r="ES32" s="1559"/>
      <c r="ET32" s="1559"/>
      <c r="EU32" s="1559"/>
      <c r="EV32" s="1559"/>
      <c r="EW32" s="1560"/>
      <c r="EX32" s="1559"/>
      <c r="EY32" s="1559"/>
      <c r="EZ32" s="1559"/>
      <c r="FA32" s="1559"/>
      <c r="FB32" s="1560"/>
      <c r="FC32" s="1559"/>
      <c r="FD32" s="1559"/>
      <c r="FE32" s="1559"/>
      <c r="FF32" s="1559"/>
      <c r="FG32" s="1560"/>
      <c r="FH32" s="1559"/>
      <c r="FI32" s="1559"/>
      <c r="FJ32" s="1559"/>
      <c r="FK32" s="1559"/>
      <c r="FL32" s="1560"/>
      <c r="FM32" s="152"/>
      <c r="FN32" s="152"/>
      <c r="FO32" s="152"/>
      <c r="FP32" s="152"/>
      <c r="FQ32" s="152"/>
    </row>
    <row r="33" spans="1:173" s="32" customFormat="1" ht="12" hidden="1" outlineLevel="1">
      <c r="A33" s="1562" t="s">
        <v>163</v>
      </c>
      <c r="B33" s="1562"/>
      <c r="C33" s="1562"/>
      <c r="D33" s="1562"/>
      <c r="E33" s="1562"/>
      <c r="F33" s="1562"/>
      <c r="G33" s="1562"/>
      <c r="H33" s="1562"/>
      <c r="I33" s="1562"/>
      <c r="J33" s="1562"/>
      <c r="K33" s="1562"/>
      <c r="L33" s="1562"/>
      <c r="M33" s="1562"/>
      <c r="N33" s="1562"/>
      <c r="O33" s="1562"/>
      <c r="P33" s="1562"/>
      <c r="Q33" s="1562"/>
      <c r="R33" s="1562"/>
      <c r="S33" s="1562"/>
      <c r="T33" s="1562"/>
      <c r="U33" s="1562"/>
      <c r="V33" s="1562"/>
      <c r="W33" s="1562"/>
      <c r="X33" s="1562"/>
      <c r="Y33" s="1562"/>
      <c r="Z33" s="1562"/>
      <c r="AA33" s="1562"/>
      <c r="AB33" s="1562"/>
      <c r="AC33" s="1562"/>
      <c r="AD33" s="1562"/>
      <c r="AE33" s="1562"/>
      <c r="AF33" s="1562"/>
      <c r="AG33" s="1562"/>
      <c r="AH33" s="1562"/>
      <c r="AI33" s="1562"/>
      <c r="AJ33" s="1562"/>
      <c r="AK33" s="1562"/>
      <c r="AL33" s="1562"/>
      <c r="AM33" s="1562"/>
      <c r="AN33" s="1562"/>
      <c r="AO33" s="1562"/>
      <c r="AP33" s="1562"/>
      <c r="AQ33" s="1562"/>
      <c r="AR33" s="1562"/>
      <c r="AS33" s="1562"/>
      <c r="AT33" s="1562"/>
      <c r="AU33" s="1562"/>
      <c r="AV33" s="1562"/>
      <c r="AW33" s="1562"/>
      <c r="AX33" s="1562"/>
      <c r="AY33" s="1562"/>
      <c r="AZ33" s="1562"/>
      <c r="BA33" s="1562"/>
      <c r="BB33" s="1562"/>
      <c r="BC33" s="1562"/>
      <c r="BD33" s="1562"/>
      <c r="BE33" s="1562"/>
      <c r="BF33" s="1562"/>
      <c r="BG33" s="1562"/>
      <c r="BH33" s="1562"/>
      <c r="BI33" s="1562"/>
      <c r="BJ33" s="1562"/>
      <c r="BK33" s="1562"/>
      <c r="BL33" s="1562"/>
      <c r="BM33" s="1562"/>
      <c r="BN33" s="1562"/>
      <c r="BO33" s="1562"/>
      <c r="BP33" s="1563"/>
      <c r="BQ33" s="1562"/>
      <c r="BR33" s="1562"/>
      <c r="BS33" s="1562"/>
      <c r="BT33" s="1562"/>
      <c r="BU33" s="1563"/>
      <c r="BV33" s="1562"/>
      <c r="BW33" s="1562"/>
      <c r="BX33" s="1562"/>
      <c r="BY33" s="1562"/>
      <c r="BZ33" s="1563"/>
      <c r="CA33" s="1562"/>
      <c r="CB33" s="1562"/>
      <c r="CC33" s="1562"/>
      <c r="CD33" s="1562"/>
      <c r="CE33" s="1563"/>
      <c r="CF33" s="1562"/>
      <c r="CG33" s="1562"/>
      <c r="CH33" s="1562"/>
      <c r="CI33" s="1562"/>
      <c r="CJ33" s="1563"/>
      <c r="CK33" s="1562"/>
      <c r="CL33" s="1562"/>
      <c r="CM33" s="1562"/>
      <c r="CN33" s="1562"/>
      <c r="CO33" s="1563"/>
      <c r="CP33" s="1562"/>
      <c r="CQ33" s="1562"/>
      <c r="CR33" s="1562"/>
      <c r="CS33" s="1562"/>
      <c r="CT33" s="1563"/>
      <c r="CU33" s="1562"/>
      <c r="CV33" s="1562"/>
      <c r="CW33" s="1562"/>
      <c r="CX33" s="1562"/>
      <c r="CY33" s="1563"/>
      <c r="CZ33" s="1562"/>
      <c r="DA33" s="1562"/>
      <c r="DB33" s="1562"/>
      <c r="DC33" s="1562"/>
      <c r="DD33" s="1563"/>
      <c r="DE33" s="1562"/>
      <c r="DF33" s="1562"/>
      <c r="DG33" s="1562"/>
      <c r="DH33" s="1562"/>
      <c r="DI33" s="1563"/>
      <c r="DJ33" s="1562"/>
      <c r="DK33" s="1562"/>
      <c r="DL33" s="1562"/>
      <c r="DM33" s="1562"/>
      <c r="DN33" s="1563"/>
      <c r="DO33" s="1562"/>
      <c r="DP33" s="1562"/>
      <c r="DQ33" s="1562"/>
      <c r="DR33" s="1562"/>
      <c r="DS33" s="1563"/>
      <c r="DT33" s="1562" t="str">
        <f>IF(ISERROR(DT32/DO32-1),"",(DT32/DO32-1))</f>
        <v/>
      </c>
      <c r="DU33" s="1562" t="str">
        <f>IF(ISERROR(DU32/DP32-1),"",(DU32/DP32-1))</f>
        <v/>
      </c>
      <c r="DV33" s="1562" t="str">
        <f>IF(ISERROR(DV32/DQ32-1),"",(DV32/DQ32-1))</f>
        <v/>
      </c>
      <c r="DW33" s="1562" t="str">
        <f>IF(ISERROR(DW31/DR31-1),"",(DW31/DR31-1))</f>
        <v/>
      </c>
      <c r="DX33" s="1563" t="str">
        <f>IF(ISERROR(DX32/DS32-1),"",(DX32/DS32-1))</f>
        <v/>
      </c>
      <c r="DY33" s="1562" t="str">
        <f t="shared" ref="DY33:EH33" si="55">IF(ISERROR(DY31/DT31-1),"",(DY31/DT31-1))</f>
        <v/>
      </c>
      <c r="DZ33" s="1562" t="str">
        <f t="shared" si="55"/>
        <v/>
      </c>
      <c r="EA33" s="1562" t="str">
        <f t="shared" si="55"/>
        <v/>
      </c>
      <c r="EB33" s="1562" t="str">
        <f t="shared" si="55"/>
        <v/>
      </c>
      <c r="EC33" s="1563" t="str">
        <f t="shared" si="55"/>
        <v/>
      </c>
      <c r="ED33" s="1562" t="str">
        <f t="shared" si="55"/>
        <v/>
      </c>
      <c r="EE33" s="1562" t="str">
        <f t="shared" si="55"/>
        <v/>
      </c>
      <c r="EF33" s="1562" t="str">
        <f t="shared" si="55"/>
        <v/>
      </c>
      <c r="EG33" s="1562" t="str">
        <f t="shared" si="55"/>
        <v/>
      </c>
      <c r="EH33" s="1563" t="str">
        <f t="shared" si="55"/>
        <v/>
      </c>
      <c r="EI33" s="1562" t="str">
        <f>IFERROR(EI32/ED32-1,"")</f>
        <v/>
      </c>
      <c r="EJ33" s="1562" t="str">
        <f t="shared" ref="EJ33:EM33" si="56">IFERROR(EJ32/EE32-1,"")</f>
        <v/>
      </c>
      <c r="EK33" s="1562" t="str">
        <f t="shared" si="56"/>
        <v/>
      </c>
      <c r="EL33" s="1562" t="str">
        <f t="shared" si="56"/>
        <v/>
      </c>
      <c r="EM33" s="1563" t="str">
        <f t="shared" si="56"/>
        <v/>
      </c>
      <c r="EN33" s="1562"/>
      <c r="EO33" s="1562"/>
      <c r="EP33" s="1562"/>
      <c r="EQ33" s="1562"/>
      <c r="ER33" s="1563"/>
      <c r="ES33" s="1562"/>
      <c r="ET33" s="1562"/>
      <c r="EU33" s="1562"/>
      <c r="EV33" s="1562"/>
      <c r="EW33" s="1563"/>
      <c r="EX33" s="1562"/>
      <c r="EY33" s="1562"/>
      <c r="EZ33" s="1562"/>
      <c r="FA33" s="1562"/>
      <c r="FB33" s="1563"/>
      <c r="FC33" s="1562"/>
      <c r="FD33" s="1562"/>
      <c r="FE33" s="1562"/>
      <c r="FF33" s="1562"/>
      <c r="FG33" s="1563"/>
      <c r="FH33" s="1562"/>
      <c r="FI33" s="1562"/>
      <c r="FJ33" s="1562"/>
      <c r="FK33" s="1562"/>
      <c r="FL33" s="1563"/>
      <c r="FM33" s="33"/>
      <c r="FN33" s="33"/>
      <c r="FO33" s="33"/>
      <c r="FP33" s="33"/>
      <c r="FQ33" s="33"/>
    </row>
    <row r="34" spans="1:173" s="32" customFormat="1" ht="12" hidden="1" outlineLevel="1">
      <c r="A34" s="1562" t="s">
        <v>667</v>
      </c>
      <c r="B34" s="1562"/>
      <c r="C34" s="1562"/>
      <c r="D34" s="1562"/>
      <c r="E34" s="1562"/>
      <c r="F34" s="1562"/>
      <c r="G34" s="1562"/>
      <c r="H34" s="1562"/>
      <c r="I34" s="1562"/>
      <c r="J34" s="1562"/>
      <c r="K34" s="1562"/>
      <c r="L34" s="1562"/>
      <c r="M34" s="1562"/>
      <c r="N34" s="1562"/>
      <c r="O34" s="1562"/>
      <c r="P34" s="1562"/>
      <c r="Q34" s="1562"/>
      <c r="R34" s="1562"/>
      <c r="S34" s="1562"/>
      <c r="T34" s="1562"/>
      <c r="U34" s="1562"/>
      <c r="V34" s="1562"/>
      <c r="W34" s="1562"/>
      <c r="X34" s="1562"/>
      <c r="Y34" s="1562"/>
      <c r="Z34" s="1562"/>
      <c r="AA34" s="1562"/>
      <c r="AB34" s="1562"/>
      <c r="AC34" s="1562"/>
      <c r="AD34" s="1562"/>
      <c r="AE34" s="1562"/>
      <c r="AF34" s="1562"/>
      <c r="AG34" s="1562"/>
      <c r="AH34" s="1562"/>
      <c r="AI34" s="1562"/>
      <c r="AJ34" s="1562"/>
      <c r="AK34" s="1562"/>
      <c r="AL34" s="1562"/>
      <c r="AM34" s="1562"/>
      <c r="AN34" s="1562"/>
      <c r="AO34" s="1562"/>
      <c r="AP34" s="1562"/>
      <c r="AQ34" s="1562"/>
      <c r="AR34" s="1562"/>
      <c r="AS34" s="1562"/>
      <c r="AT34" s="1562"/>
      <c r="AU34" s="1562"/>
      <c r="AV34" s="1562"/>
      <c r="AW34" s="1562"/>
      <c r="AX34" s="1562"/>
      <c r="AY34" s="1562"/>
      <c r="AZ34" s="1562"/>
      <c r="BA34" s="1562"/>
      <c r="BB34" s="1562"/>
      <c r="BC34" s="1562"/>
      <c r="BD34" s="1562"/>
      <c r="BE34" s="1562"/>
      <c r="BF34" s="1562"/>
      <c r="BG34" s="1562"/>
      <c r="BH34" s="1562"/>
      <c r="BI34" s="1562"/>
      <c r="BJ34" s="1562"/>
      <c r="BK34" s="1562"/>
      <c r="BL34" s="1562"/>
      <c r="BM34" s="1562"/>
      <c r="BN34" s="1562"/>
      <c r="BO34" s="1562"/>
      <c r="BP34" s="1563"/>
      <c r="BQ34" s="1562"/>
      <c r="BR34" s="1562"/>
      <c r="BS34" s="1562"/>
      <c r="BT34" s="1562"/>
      <c r="BU34" s="1563"/>
      <c r="BV34" s="1562"/>
      <c r="BW34" s="1562"/>
      <c r="BX34" s="1562"/>
      <c r="BY34" s="1562"/>
      <c r="BZ34" s="1563"/>
      <c r="CA34" s="1562"/>
      <c r="CB34" s="1562"/>
      <c r="CC34" s="1562"/>
      <c r="CD34" s="1562"/>
      <c r="CE34" s="1563"/>
      <c r="CF34" s="1562"/>
      <c r="CG34" s="1562"/>
      <c r="CH34" s="1562"/>
      <c r="CI34" s="1562"/>
      <c r="CJ34" s="1563"/>
      <c r="CK34" s="1562"/>
      <c r="CL34" s="1562"/>
      <c r="CM34" s="1562"/>
      <c r="CN34" s="1562"/>
      <c r="CO34" s="1563"/>
      <c r="CP34" s="1562"/>
      <c r="CQ34" s="1562"/>
      <c r="CR34" s="1562"/>
      <c r="CS34" s="1562"/>
      <c r="CT34" s="1563"/>
      <c r="CU34" s="1562"/>
      <c r="CV34" s="1562"/>
      <c r="CW34" s="1562"/>
      <c r="CX34" s="1562"/>
      <c r="CY34" s="1563"/>
      <c r="CZ34" s="1562"/>
      <c r="DA34" s="1562"/>
      <c r="DB34" s="1562"/>
      <c r="DC34" s="1562"/>
      <c r="DD34" s="1563"/>
      <c r="DE34" s="1562"/>
      <c r="DF34" s="1562"/>
      <c r="DG34" s="1562"/>
      <c r="DH34" s="1562"/>
      <c r="DI34" s="1563"/>
      <c r="DJ34" s="1562"/>
      <c r="DK34" s="1562"/>
      <c r="DL34" s="1562"/>
      <c r="DM34" s="1562"/>
      <c r="DN34" s="1563"/>
      <c r="DO34" s="1562"/>
      <c r="DP34" s="1562"/>
      <c r="DQ34" s="1562"/>
      <c r="DR34" s="1562"/>
      <c r="DS34" s="1563"/>
      <c r="DT34" s="1562"/>
      <c r="DU34" s="1562"/>
      <c r="DV34" s="1562"/>
      <c r="DW34" s="1562"/>
      <c r="DX34" s="1563"/>
      <c r="DY34" s="1562"/>
      <c r="DZ34" s="1562"/>
      <c r="EA34" s="1562"/>
      <c r="EB34" s="1562"/>
      <c r="EC34" s="1563"/>
      <c r="ED34" s="1562"/>
      <c r="EE34" s="1562"/>
      <c r="EF34" s="1562"/>
      <c r="EG34" s="1562"/>
      <c r="EH34" s="1563"/>
      <c r="EI34" s="1562"/>
      <c r="EJ34" s="1562">
        <f>IFERROR((EJ32/EI32)-1,"")</f>
        <v>-4.5283490301104012E-2</v>
      </c>
      <c r="EK34" s="1562">
        <f>IFERROR((EK32/EJ32)-1,"")</f>
        <v>2.7683504624534838</v>
      </c>
      <c r="EL34" s="1562">
        <f>IFERROR((EL32/EK32)-1,"")</f>
        <v>0.35056104932403098</v>
      </c>
      <c r="EM34" s="1563"/>
      <c r="EN34" s="1562"/>
      <c r="EO34" s="1562"/>
      <c r="EP34" s="1562"/>
      <c r="EQ34" s="1562"/>
      <c r="ER34" s="1563"/>
      <c r="ES34" s="1562"/>
      <c r="ET34" s="1562"/>
      <c r="EU34" s="1562"/>
      <c r="EV34" s="1562"/>
      <c r="EW34" s="1563"/>
      <c r="EX34" s="1562"/>
      <c r="EY34" s="1562"/>
      <c r="EZ34" s="1562"/>
      <c r="FA34" s="1562"/>
      <c r="FB34" s="1563"/>
      <c r="FC34" s="1562"/>
      <c r="FD34" s="1562"/>
      <c r="FE34" s="1562"/>
      <c r="FF34" s="1562"/>
      <c r="FG34" s="1563"/>
      <c r="FH34" s="1562"/>
      <c r="FI34" s="1562"/>
      <c r="FJ34" s="1562"/>
      <c r="FK34" s="1562"/>
      <c r="FL34" s="1563"/>
      <c r="FM34" s="33"/>
      <c r="FN34" s="33"/>
      <c r="FO34" s="33"/>
      <c r="FP34" s="33"/>
      <c r="FQ34" s="33"/>
    </row>
    <row r="35" spans="1:173" s="31" customFormat="1" ht="12" hidden="1" outlineLevel="1">
      <c r="DC35" s="38"/>
      <c r="DD35" s="38"/>
      <c r="DE35" s="38"/>
      <c r="DH35" s="38"/>
      <c r="DI35" s="38"/>
      <c r="DJ35" s="38"/>
      <c r="DL35" s="38"/>
      <c r="DM35" s="38"/>
      <c r="DN35" s="38"/>
      <c r="DR35" s="38"/>
      <c r="DS35" s="38"/>
      <c r="DV35" s="38"/>
      <c r="DY35" s="38"/>
      <c r="EA35" s="38"/>
      <c r="ED35" s="38"/>
      <c r="EE35" s="38"/>
      <c r="EF35" s="38"/>
      <c r="EH35" s="55"/>
      <c r="EI35" s="38"/>
      <c r="EJ35" s="38"/>
      <c r="EK35" s="38"/>
      <c r="EL35" s="38"/>
      <c r="EM35" s="55"/>
      <c r="EN35" s="38"/>
      <c r="EO35" s="38"/>
      <c r="EP35" s="38"/>
      <c r="EQ35" s="38"/>
      <c r="ER35" s="55"/>
      <c r="ES35" s="38"/>
      <c r="ET35" s="38"/>
      <c r="EU35" s="38"/>
      <c r="EV35" s="38"/>
      <c r="EW35" s="55"/>
      <c r="EX35" s="38"/>
      <c r="EY35" s="38"/>
      <c r="EZ35" s="38"/>
      <c r="FA35" s="38"/>
      <c r="FB35" s="55"/>
      <c r="FC35" s="38"/>
      <c r="FD35" s="38"/>
      <c r="FE35" s="38"/>
      <c r="FF35" s="38"/>
      <c r="FG35" s="55"/>
      <c r="FH35" s="38"/>
      <c r="FI35" s="38"/>
      <c r="FJ35" s="38"/>
      <c r="FK35" s="38"/>
      <c r="FL35" s="55"/>
      <c r="FM35" s="38"/>
      <c r="FN35" s="38"/>
      <c r="FO35" s="38"/>
      <c r="FP35" s="38"/>
      <c r="FQ35" s="38"/>
    </row>
    <row r="36" spans="1:173" s="61" customFormat="1" ht="12" collapsed="1">
      <c r="A36" s="59" t="s">
        <v>1035</v>
      </c>
      <c r="CU36" s="61">
        <f>CU168</f>
        <v>0</v>
      </c>
      <c r="CV36" s="61">
        <f>CV168</f>
        <v>0</v>
      </c>
      <c r="CW36" s="61">
        <f>CW168</f>
        <v>0</v>
      </c>
      <c r="CX36" s="61">
        <f>CX168</f>
        <v>0</v>
      </c>
      <c r="CY36" s="61">
        <f>CX36</f>
        <v>0</v>
      </c>
      <c r="CZ36" s="61">
        <f>CZ168</f>
        <v>0</v>
      </c>
      <c r="DA36" s="61">
        <f>DA168</f>
        <v>0</v>
      </c>
      <c r="DB36" s="61">
        <f>DB168</f>
        <v>0</v>
      </c>
      <c r="DC36" s="61">
        <f>DC168</f>
        <v>0</v>
      </c>
      <c r="DD36" s="61">
        <f>DC36</f>
        <v>0</v>
      </c>
      <c r="DE36" s="61">
        <f>DE168</f>
        <v>0</v>
      </c>
      <c r="DF36" s="61">
        <f>DF168</f>
        <v>0</v>
      </c>
      <c r="DG36" s="61">
        <f>DG168</f>
        <v>0</v>
      </c>
      <c r="DH36" s="61">
        <f>DH168</f>
        <v>0</v>
      </c>
      <c r="DI36" s="61">
        <f>DH36</f>
        <v>0</v>
      </c>
      <c r="DJ36" s="61">
        <f>DJ168</f>
        <v>0</v>
      </c>
      <c r="DK36" s="61">
        <f>DK168</f>
        <v>0</v>
      </c>
      <c r="DL36" s="61">
        <f>DL168</f>
        <v>0</v>
      </c>
      <c r="DM36" s="61">
        <f>DM168</f>
        <v>0</v>
      </c>
      <c r="DN36" s="61">
        <f>DM36</f>
        <v>0</v>
      </c>
      <c r="DO36" s="61">
        <f>DO168</f>
        <v>0</v>
      </c>
      <c r="DP36" s="61">
        <f>DP168</f>
        <v>0</v>
      </c>
      <c r="DQ36" s="61">
        <f>DQ168</f>
        <v>0</v>
      </c>
      <c r="DR36" s="61">
        <f>DR168</f>
        <v>0</v>
      </c>
      <c r="DS36" s="61">
        <f>DR36</f>
        <v>0</v>
      </c>
      <c r="DT36" s="61">
        <f>DT32+DT26</f>
        <v>19587</v>
      </c>
      <c r="DU36" s="61">
        <f>DU32+DU26</f>
        <v>19813</v>
      </c>
      <c r="DV36" s="61">
        <f>DV32+DV26</f>
        <v>17905</v>
      </c>
      <c r="DW36" s="61">
        <f>DW32+DW26</f>
        <v>22399</v>
      </c>
      <c r="DX36" s="61">
        <f>DX31+DX26+DX21</f>
        <v>24066</v>
      </c>
      <c r="DY36" s="61">
        <f>DY32+DY26</f>
        <v>20101</v>
      </c>
      <c r="DZ36" s="61">
        <f>DZ32+DZ26</f>
        <v>19474</v>
      </c>
      <c r="EA36" s="61">
        <f>EA32+EA26</f>
        <v>19512</v>
      </c>
      <c r="EB36" s="61">
        <f>EB32+EB26</f>
        <v>25158</v>
      </c>
      <c r="EC36" s="61">
        <f>EB36</f>
        <v>25158</v>
      </c>
      <c r="ED36" s="61">
        <f>ED32+ED26</f>
        <v>22538</v>
      </c>
      <c r="EE36" s="61">
        <f>EE32+EE26</f>
        <v>21243</v>
      </c>
      <c r="EF36" s="61">
        <f>EF32+EF26</f>
        <v>20198</v>
      </c>
      <c r="EG36" s="61">
        <f t="shared" ref="EG36:EH36" si="57">EG32+EG26</f>
        <v>25318</v>
      </c>
      <c r="EH36" s="211">
        <f t="shared" si="57"/>
        <v>25318</v>
      </c>
      <c r="EI36" s="61">
        <f>EI42+EI46</f>
        <v>24387</v>
      </c>
      <c r="EJ36" s="61">
        <f>EJ42+EJ46</f>
        <v>25031</v>
      </c>
      <c r="EK36" s="61">
        <f>EK42+EK46</f>
        <v>25893</v>
      </c>
      <c r="EL36" s="61">
        <f>EL42+EL46</f>
        <v>22193</v>
      </c>
      <c r="EM36" s="211">
        <f>EL36</f>
        <v>22193</v>
      </c>
      <c r="EN36" s="61">
        <f t="shared" ref="EN36:ES36" si="58">EN42+EN46</f>
        <v>20370</v>
      </c>
      <c r="EO36" s="61">
        <f t="shared" si="58"/>
        <v>19991</v>
      </c>
      <c r="EP36" s="61">
        <f t="shared" si="58"/>
        <v>19904</v>
      </c>
      <c r="EQ36" s="61">
        <f t="shared" si="58"/>
        <v>26656</v>
      </c>
      <c r="ER36" s="211">
        <f t="shared" si="58"/>
        <v>26656</v>
      </c>
      <c r="ES36" s="61">
        <f t="shared" si="58"/>
        <v>24904</v>
      </c>
      <c r="ET36" s="61">
        <f t="shared" ref="ET36:EU36" si="59">ET42+ET46</f>
        <v>23809</v>
      </c>
      <c r="EU36" s="61">
        <f t="shared" si="59"/>
        <v>23955</v>
      </c>
      <c r="EV36" s="61">
        <f t="shared" ref="EU36:FG36" si="60">EV21+EV6</f>
        <v>31729.128734177215</v>
      </c>
      <c r="EW36" s="211">
        <f t="shared" si="60"/>
        <v>31729.128734177215</v>
      </c>
      <c r="EX36" s="61">
        <f t="shared" si="60"/>
        <v>29362.955070107066</v>
      </c>
      <c r="EY36" s="61">
        <f t="shared" si="60"/>
        <v>27868.591772529064</v>
      </c>
      <c r="EZ36" s="61">
        <f t="shared" si="60"/>
        <v>27647.685893756665</v>
      </c>
      <c r="FA36" s="61">
        <f t="shared" si="60"/>
        <v>36821.495462612635</v>
      </c>
      <c r="FB36" s="211">
        <f t="shared" si="60"/>
        <v>36821.495462612635</v>
      </c>
      <c r="FC36" s="61">
        <f t="shared" si="60"/>
        <v>34026.299352508213</v>
      </c>
      <c r="FD36" s="61">
        <f t="shared" si="60"/>
        <v>32260.985783221102</v>
      </c>
      <c r="FE36" s="61">
        <f t="shared" si="60"/>
        <v>32000.026386022138</v>
      </c>
      <c r="FF36" s="61">
        <f t="shared" si="60"/>
        <v>42827.149583637176</v>
      </c>
      <c r="FG36" s="211">
        <f t="shared" si="60"/>
        <v>42827.149583637176</v>
      </c>
      <c r="FH36" s="61">
        <f t="shared" ref="FH36:FL36" si="61">FH21+FH6</f>
        <v>39525.142882868124</v>
      </c>
      <c r="FI36" s="61">
        <f t="shared" si="61"/>
        <v>37439.751731358963</v>
      </c>
      <c r="FJ36" s="61">
        <f t="shared" si="61"/>
        <v>37131.476517657604</v>
      </c>
      <c r="FK36" s="61">
        <f t="shared" si="61"/>
        <v>49911.531251987682</v>
      </c>
      <c r="FL36" s="211">
        <f t="shared" si="61"/>
        <v>49911.531251987682</v>
      </c>
    </row>
    <row r="37" spans="1:173" s="37" customFormat="1" ht="12">
      <c r="A37" s="37" t="s">
        <v>163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  <c r="AR37" s="33"/>
      <c r="AS37" s="33"/>
      <c r="AT37" s="33"/>
      <c r="AU37" s="33"/>
      <c r="AV37" s="33"/>
      <c r="AW37" s="33"/>
      <c r="AX37" s="33"/>
      <c r="AY37" s="33"/>
      <c r="AZ37" s="33"/>
      <c r="BA37" s="33"/>
      <c r="BB37" s="33"/>
      <c r="BC37" s="33"/>
      <c r="BD37" s="33"/>
      <c r="BE37" s="33"/>
      <c r="BF37" s="33"/>
      <c r="BG37" s="33"/>
      <c r="BH37" s="33"/>
      <c r="BI37" s="33"/>
      <c r="BJ37" s="33"/>
      <c r="BK37" s="33"/>
      <c r="BL37" s="33"/>
      <c r="BM37" s="33"/>
      <c r="BN37" s="33"/>
      <c r="BO37" s="33"/>
      <c r="BQ37" s="33"/>
      <c r="BR37" s="33"/>
      <c r="BS37" s="33"/>
      <c r="BT37" s="33"/>
      <c r="BV37" s="33"/>
      <c r="BW37" s="33"/>
      <c r="BX37" s="33"/>
      <c r="BY37" s="33"/>
      <c r="CA37" s="33"/>
      <c r="CB37" s="33"/>
      <c r="CC37" s="33"/>
      <c r="CD37" s="33"/>
      <c r="CF37" s="33"/>
      <c r="CG37" s="33"/>
      <c r="CH37" s="33"/>
      <c r="CI37" s="33"/>
      <c r="CK37" s="33"/>
      <c r="CL37" s="33"/>
      <c r="CM37" s="33"/>
      <c r="CN37" s="33"/>
      <c r="CP37" s="33"/>
      <c r="CQ37" s="33"/>
      <c r="CR37" s="33"/>
      <c r="CS37" s="33"/>
      <c r="CU37" s="33"/>
      <c r="CV37" s="33"/>
      <c r="CW37" s="33"/>
      <c r="CX37" s="33"/>
      <c r="CZ37" s="33" t="str">
        <f t="shared" ref="CZ37:EE37" si="62">IF(ISERROR(CZ36/CU36-1),"",(CZ36/CU36-1))</f>
        <v/>
      </c>
      <c r="DA37" s="33" t="str">
        <f t="shared" si="62"/>
        <v/>
      </c>
      <c r="DB37" s="33" t="str">
        <f t="shared" si="62"/>
        <v/>
      </c>
      <c r="DC37" s="33" t="str">
        <f t="shared" si="62"/>
        <v/>
      </c>
      <c r="DD37" s="37" t="str">
        <f t="shared" si="62"/>
        <v/>
      </c>
      <c r="DE37" s="33" t="str">
        <f t="shared" si="62"/>
        <v/>
      </c>
      <c r="DF37" s="33" t="str">
        <f t="shared" si="62"/>
        <v/>
      </c>
      <c r="DG37" s="33" t="str">
        <f t="shared" si="62"/>
        <v/>
      </c>
      <c r="DH37" s="33" t="str">
        <f t="shared" si="62"/>
        <v/>
      </c>
      <c r="DI37" s="37" t="str">
        <f t="shared" si="62"/>
        <v/>
      </c>
      <c r="DJ37" s="33" t="str">
        <f t="shared" si="62"/>
        <v/>
      </c>
      <c r="DK37" s="33" t="str">
        <f t="shared" si="62"/>
        <v/>
      </c>
      <c r="DL37" s="33" t="str">
        <f t="shared" si="62"/>
        <v/>
      </c>
      <c r="DM37" s="33" t="str">
        <f t="shared" si="62"/>
        <v/>
      </c>
      <c r="DN37" s="37" t="str">
        <f t="shared" si="62"/>
        <v/>
      </c>
      <c r="DO37" s="33" t="str">
        <f t="shared" si="62"/>
        <v/>
      </c>
      <c r="DP37" s="33" t="str">
        <f t="shared" si="62"/>
        <v/>
      </c>
      <c r="DQ37" s="33" t="str">
        <f t="shared" si="62"/>
        <v/>
      </c>
      <c r="DR37" s="33" t="str">
        <f t="shared" si="62"/>
        <v/>
      </c>
      <c r="DS37" s="37" t="str">
        <f t="shared" si="62"/>
        <v/>
      </c>
      <c r="DT37" s="33" t="str">
        <f t="shared" si="62"/>
        <v/>
      </c>
      <c r="DU37" s="33" t="str">
        <f t="shared" si="62"/>
        <v/>
      </c>
      <c r="DV37" s="33" t="str">
        <f t="shared" si="62"/>
        <v/>
      </c>
      <c r="DW37" s="33" t="str">
        <f t="shared" si="62"/>
        <v/>
      </c>
      <c r="DX37" s="37" t="str">
        <f t="shared" si="62"/>
        <v/>
      </c>
      <c r="DY37" s="33">
        <f t="shared" si="62"/>
        <v>2.6241895134528015E-2</v>
      </c>
      <c r="DZ37" s="33">
        <f t="shared" si="62"/>
        <v>-1.7109978297077721E-2</v>
      </c>
      <c r="EA37" s="33">
        <f t="shared" si="62"/>
        <v>8.9751466070929986E-2</v>
      </c>
      <c r="EB37" s="33">
        <f t="shared" si="62"/>
        <v>0.12317514174739941</v>
      </c>
      <c r="EC37" s="37">
        <f t="shared" si="62"/>
        <v>4.5375218150087271E-2</v>
      </c>
      <c r="ED37" s="33">
        <f t="shared" si="62"/>
        <v>0.12123774936570331</v>
      </c>
      <c r="EE37" s="33">
        <f t="shared" si="62"/>
        <v>9.0839067474581592E-2</v>
      </c>
      <c r="EF37" s="33">
        <f t="shared" ref="EF37:EW37" si="63">IF(ISERROR(EF36/EA36-1),"",(EF36/EA36-1))</f>
        <v>3.5157851578515809E-2</v>
      </c>
      <c r="EG37" s="33">
        <f t="shared" si="63"/>
        <v>6.359806025916237E-3</v>
      </c>
      <c r="EH37" s="1619">
        <f t="shared" si="63"/>
        <v>6.359806025916237E-3</v>
      </c>
      <c r="EI37" s="33"/>
      <c r="EJ37" s="33"/>
      <c r="EK37" s="33"/>
      <c r="EL37" s="33"/>
      <c r="EM37" s="1619"/>
      <c r="EN37" s="33">
        <f t="shared" si="63"/>
        <v>-0.16471890761471275</v>
      </c>
      <c r="EO37" s="33">
        <f t="shared" si="63"/>
        <v>-0.20135032559626065</v>
      </c>
      <c r="EP37" s="33">
        <f t="shared" si="63"/>
        <v>-0.2312980342177422</v>
      </c>
      <c r="EQ37" s="33">
        <f t="shared" si="63"/>
        <v>0.20109944577118921</v>
      </c>
      <c r="ER37" s="1619">
        <f t="shared" si="63"/>
        <v>0.20109944577118921</v>
      </c>
      <c r="ES37" s="33">
        <f t="shared" si="63"/>
        <v>0.22258222876779588</v>
      </c>
      <c r="ET37" s="33">
        <f t="shared" si="63"/>
        <v>0.19098594367465349</v>
      </c>
      <c r="EU37" s="33">
        <f t="shared" si="63"/>
        <v>0.20352692926045024</v>
      </c>
      <c r="EV37" s="33">
        <f t="shared" si="63"/>
        <v>0.19031845491361099</v>
      </c>
      <c r="EW37" s="1619">
        <f t="shared" si="63"/>
        <v>0.19031845491361099</v>
      </c>
      <c r="EX37" s="33">
        <f t="shared" ref="EX37:FG37" si="64">IF(ISERROR(EX36/ES36-1),"",(EX36/ES36-1))</f>
        <v>0.1790457384398918</v>
      </c>
      <c r="EY37" s="33">
        <f t="shared" si="64"/>
        <v>0.17050660559154363</v>
      </c>
      <c r="EZ37" s="33">
        <f t="shared" si="64"/>
        <v>0.15415094526222761</v>
      </c>
      <c r="FA37" s="33">
        <f t="shared" si="64"/>
        <v>0.16049500668923655</v>
      </c>
      <c r="FB37" s="1619">
        <f t="shared" si="64"/>
        <v>0.16049500668923655</v>
      </c>
      <c r="FC37" s="33">
        <f t="shared" si="64"/>
        <v>0.15881726724258294</v>
      </c>
      <c r="FD37" s="33">
        <f t="shared" si="64"/>
        <v>0.15761090644780107</v>
      </c>
      <c r="FE37" s="33">
        <f t="shared" si="64"/>
        <v>0.15742151111635372</v>
      </c>
      <c r="FF37" s="33">
        <f t="shared" si="64"/>
        <v>0.16310185247968789</v>
      </c>
      <c r="FG37" s="1619">
        <f t="shared" si="64"/>
        <v>0.16310185247968789</v>
      </c>
      <c r="FH37" s="33">
        <f t="shared" ref="FH37" si="65">IF(ISERROR(FH36/FC36-1),"",(FH36/FC36-1))</f>
        <v>0.16160568839392675</v>
      </c>
      <c r="FI37" s="33">
        <f t="shared" ref="FI37" si="66">IF(ISERROR(FI36/FD36-1),"",(FI36/FD36-1))</f>
        <v>0.16052720716399582</v>
      </c>
      <c r="FJ37" s="33">
        <f t="shared" ref="FJ37" si="67">IF(ISERROR(FJ36/FE36-1),"",(FJ36/FE36-1))</f>
        <v>0.16035768438856413</v>
      </c>
      <c r="FK37" s="33">
        <f t="shared" ref="FK37" si="68">IF(ISERROR(FK36/FF36-1),"",(FK36/FF36-1))</f>
        <v>0.1654180055694674</v>
      </c>
      <c r="FL37" s="1619">
        <f t="shared" ref="FL37" si="69">IF(ISERROR(FL36/FG36-1),"",(FL36/FG36-1))</f>
        <v>0.1654180055694674</v>
      </c>
    </row>
    <row r="38" spans="1:173" s="37" customFormat="1" ht="12">
      <c r="A38" s="63" t="s">
        <v>667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3"/>
      <c r="BQ38" s="64"/>
      <c r="BR38" s="64"/>
      <c r="BS38" s="64"/>
      <c r="BT38" s="64"/>
      <c r="BU38" s="63"/>
      <c r="BV38" s="64"/>
      <c r="BW38" s="64"/>
      <c r="BX38" s="64"/>
      <c r="BY38" s="64"/>
      <c r="BZ38" s="63"/>
      <c r="CA38" s="64"/>
      <c r="CB38" s="64"/>
      <c r="CC38" s="64"/>
      <c r="CD38" s="64"/>
      <c r="CE38" s="63"/>
      <c r="CF38" s="64"/>
      <c r="CG38" s="64"/>
      <c r="CH38" s="64"/>
      <c r="CI38" s="64"/>
      <c r="CJ38" s="63"/>
      <c r="CK38" s="64"/>
      <c r="CL38" s="64"/>
      <c r="CM38" s="64"/>
      <c r="CN38" s="64"/>
      <c r="CO38" s="63"/>
      <c r="CP38" s="64"/>
      <c r="CQ38" s="64"/>
      <c r="CR38" s="64"/>
      <c r="CS38" s="64"/>
      <c r="CT38" s="63"/>
      <c r="CU38" s="64"/>
      <c r="CV38" s="64"/>
      <c r="CW38" s="64"/>
      <c r="CX38" s="64"/>
      <c r="CY38" s="63"/>
      <c r="CZ38" s="64" t="e">
        <f>CZ36/CY36-1</f>
        <v>#DIV/0!</v>
      </c>
      <c r="DA38" s="64" t="e">
        <f>DA36/CZ36-1</f>
        <v>#DIV/0!</v>
      </c>
      <c r="DB38" s="64" t="e">
        <f>DB36/DA36-1</f>
        <v>#DIV/0!</v>
      </c>
      <c r="DC38" s="64" t="e">
        <f>DC36/DB36-1</f>
        <v>#DIV/0!</v>
      </c>
      <c r="DD38" s="63"/>
      <c r="DE38" s="64" t="e">
        <f>DE36/DD36-1</f>
        <v>#DIV/0!</v>
      </c>
      <c r="DF38" s="64" t="e">
        <f>DF36/DE36-1</f>
        <v>#DIV/0!</v>
      </c>
      <c r="DG38" s="64" t="e">
        <f>DG36/DF36-1</f>
        <v>#DIV/0!</v>
      </c>
      <c r="DH38" s="64" t="e">
        <f>DH36/DG36-1</f>
        <v>#DIV/0!</v>
      </c>
      <c r="DI38" s="63"/>
      <c r="DJ38" s="64" t="e">
        <f>DJ36/DI36-1</f>
        <v>#DIV/0!</v>
      </c>
      <c r="DK38" s="64" t="e">
        <f>DK36/DJ36-1</f>
        <v>#DIV/0!</v>
      </c>
      <c r="DL38" s="64" t="e">
        <f>DL36/DK36-1</f>
        <v>#DIV/0!</v>
      </c>
      <c r="DM38" s="64" t="e">
        <f>DM36/DL36-1</f>
        <v>#DIV/0!</v>
      </c>
      <c r="DN38" s="63"/>
      <c r="DO38" s="64" t="e">
        <f>DO36/DN36-1</f>
        <v>#DIV/0!</v>
      </c>
      <c r="DP38" s="64" t="e">
        <f>DP36/DO36-1</f>
        <v>#DIV/0!</v>
      </c>
      <c r="DQ38" s="64" t="e">
        <f>DQ36/DP36-1</f>
        <v>#DIV/0!</v>
      </c>
      <c r="DR38" s="64" t="e">
        <f>DR36/DQ36-1</f>
        <v>#DIV/0!</v>
      </c>
      <c r="DS38" s="63"/>
      <c r="DT38" s="64"/>
      <c r="DU38" s="64">
        <f>DU36/DT36-1</f>
        <v>1.1538265175881968E-2</v>
      </c>
      <c r="DV38" s="64">
        <f>DV36/DU36-1</f>
        <v>-9.6300408822490247E-2</v>
      </c>
      <c r="DW38" s="64">
        <f>DW36/DV36-1</f>
        <v>0.25099134320022332</v>
      </c>
      <c r="DX38" s="63"/>
      <c r="DY38" s="64">
        <f>DY36/DX36-1</f>
        <v>-0.16475525637829302</v>
      </c>
      <c r="DZ38" s="64">
        <f>DZ36/DY36-1</f>
        <v>-3.1192477986169864E-2</v>
      </c>
      <c r="EA38" s="64">
        <f>EA36/DZ36-1</f>
        <v>1.951319708328958E-3</v>
      </c>
      <c r="EB38" s="64">
        <f>EB36/EA36-1</f>
        <v>0.28936039360393595</v>
      </c>
      <c r="EC38" s="63"/>
      <c r="ED38" s="64">
        <f>ED36/EC36-1</f>
        <v>-0.10414182367437796</v>
      </c>
      <c r="EE38" s="64">
        <f>EE36/ED36-1</f>
        <v>-5.745851450882955E-2</v>
      </c>
      <c r="EF38" s="64">
        <f>EF36/EE36-1</f>
        <v>-4.9192675234194794E-2</v>
      </c>
      <c r="EG38" s="64">
        <f>EG36/EF36-1</f>
        <v>0.25349044459847514</v>
      </c>
      <c r="EH38" s="1620"/>
      <c r="EI38" s="64"/>
      <c r="EJ38" s="64"/>
      <c r="EK38" s="64"/>
      <c r="EL38" s="64"/>
      <c r="EM38" s="1620"/>
      <c r="EN38" s="64">
        <f>EN36/EM36-1</f>
        <v>-8.2143018068760454E-2</v>
      </c>
      <c r="EO38" s="64">
        <f>EO36/EN36-1</f>
        <v>-1.8605792832597001E-2</v>
      </c>
      <c r="EP38" s="64">
        <f>EP36/EO36-1</f>
        <v>-4.351958381271559E-3</v>
      </c>
      <c r="EQ38" s="64">
        <f>EQ36/EP36-1</f>
        <v>0.33922829581993574</v>
      </c>
      <c r="ER38" s="1620"/>
      <c r="ES38" s="64">
        <f>ES36/ER36-1</f>
        <v>-6.5726290516206487E-2</v>
      </c>
      <c r="ET38" s="64">
        <f>ET36/ES36-1</f>
        <v>-4.396884034693227E-2</v>
      </c>
      <c r="EU38" s="64">
        <f>EU36/ET36-1</f>
        <v>6.1321349069678455E-3</v>
      </c>
      <c r="EV38" s="64">
        <f>EV36/EU36-1</f>
        <v>0.32453052532570292</v>
      </c>
      <c r="EW38" s="1620"/>
      <c r="EX38" s="64">
        <f>EX36/EW36-1</f>
        <v>-7.4574177056472735E-2</v>
      </c>
      <c r="EY38" s="64">
        <f>EY36/EX36-1</f>
        <v>-5.0892810141556111E-2</v>
      </c>
      <c r="EZ38" s="64">
        <f>EZ36/EY36-1</f>
        <v>-7.9266968555674611E-3</v>
      </c>
      <c r="FA38" s="64">
        <f>FA36/EZ36-1</f>
        <v>0.33181111808448227</v>
      </c>
      <c r="FB38" s="1620"/>
      <c r="FC38" s="64">
        <f>FC36/FB36-1</f>
        <v>-7.5912074590848033E-2</v>
      </c>
      <c r="FD38" s="64">
        <f>FD36/FC36-1</f>
        <v>-5.1880856951227128E-2</v>
      </c>
      <c r="FE38" s="64">
        <f>FE36/FD36-1</f>
        <v>-8.0890087783581643E-3</v>
      </c>
      <c r="FF38" s="64">
        <f>FF36/FE36-1</f>
        <v>0.33834732093672293</v>
      </c>
      <c r="FG38" s="1620"/>
      <c r="FH38" s="64">
        <f>FH36/FG36-1</f>
        <v>-7.7100781463883328E-2</v>
      </c>
      <c r="FI38" s="64">
        <f>FI36/FH36-1</f>
        <v>-5.2761128724801098E-2</v>
      </c>
      <c r="FJ38" s="64">
        <f>FJ36/FI36-1</f>
        <v>-8.2339011196794765E-3</v>
      </c>
      <c r="FK38" s="64">
        <f>FK36/FJ36-1</f>
        <v>0.34418385512498051</v>
      </c>
      <c r="FL38" s="1620"/>
    </row>
    <row r="39" spans="1:173" s="31" customFormat="1" ht="12">
      <c r="DC39" s="38"/>
      <c r="DD39" s="38"/>
      <c r="DE39" s="38"/>
      <c r="DH39" s="38"/>
      <c r="DI39" s="38"/>
      <c r="DJ39" s="38"/>
      <c r="DL39" s="38"/>
      <c r="DM39" s="38"/>
      <c r="DN39" s="38"/>
      <c r="DR39" s="38"/>
      <c r="DS39" s="38"/>
      <c r="DV39" s="38"/>
      <c r="DY39" s="38"/>
      <c r="EA39" s="38"/>
      <c r="ED39" s="38"/>
      <c r="EE39" s="38"/>
      <c r="EF39" s="38"/>
      <c r="EH39" s="38"/>
      <c r="EI39" s="38"/>
      <c r="EJ39" s="38"/>
      <c r="EK39" s="38"/>
      <c r="EL39" s="38"/>
      <c r="EM39" s="38"/>
      <c r="EN39" s="38"/>
      <c r="EO39" s="38"/>
      <c r="EP39" s="38"/>
      <c r="EQ39" s="38"/>
      <c r="ER39" s="38"/>
      <c r="ES39" s="38"/>
      <c r="ET39" s="38"/>
      <c r="EU39" s="38"/>
      <c r="EV39" s="38"/>
      <c r="EW39" s="38"/>
      <c r="EX39" s="38"/>
      <c r="EY39" s="38"/>
      <c r="EZ39" s="38"/>
      <c r="FA39" s="38"/>
      <c r="FB39" s="38"/>
      <c r="FC39" s="38"/>
      <c r="FD39" s="38"/>
      <c r="FE39" s="38"/>
      <c r="FF39" s="38"/>
      <c r="FG39" s="38"/>
      <c r="FH39" s="38"/>
      <c r="FI39" s="38"/>
      <c r="FJ39" s="38"/>
      <c r="FK39" s="38"/>
      <c r="FL39" s="38"/>
      <c r="FM39" s="38"/>
      <c r="FN39" s="38"/>
      <c r="FO39" s="38"/>
      <c r="FP39" s="38"/>
      <c r="FQ39" s="38"/>
    </row>
    <row r="40" spans="1:173" s="41" customFormat="1" ht="11.25" customHeight="1">
      <c r="A40" s="40" t="s">
        <v>668</v>
      </c>
      <c r="D40" s="42"/>
      <c r="H40" s="43" t="s">
        <v>109</v>
      </c>
      <c r="M40" s="43" t="s">
        <v>109</v>
      </c>
      <c r="R40" s="43" t="s">
        <v>109</v>
      </c>
      <c r="W40" s="43" t="s">
        <v>109</v>
      </c>
      <c r="AB40" s="43" t="s">
        <v>109</v>
      </c>
      <c r="AG40" s="43" t="s">
        <v>109</v>
      </c>
      <c r="AL40" s="43" t="s">
        <v>109</v>
      </c>
      <c r="AQ40" s="43" t="s">
        <v>109</v>
      </c>
      <c r="AV40" s="44" t="s">
        <v>109</v>
      </c>
      <c r="BA40" s="44" t="s">
        <v>109</v>
      </c>
      <c r="BF40" s="44" t="s">
        <v>109</v>
      </c>
      <c r="BK40" s="44" t="s">
        <v>109</v>
      </c>
      <c r="BP40" s="44" t="s">
        <v>109</v>
      </c>
      <c r="BU40" s="44" t="s">
        <v>109</v>
      </c>
      <c r="BZ40" s="44" t="s">
        <v>109</v>
      </c>
      <c r="CE40" s="44" t="s">
        <v>109</v>
      </c>
      <c r="CJ40" s="44" t="s">
        <v>109</v>
      </c>
      <c r="CO40" s="44" t="s">
        <v>109</v>
      </c>
      <c r="CT40" s="44" t="s">
        <v>109</v>
      </c>
      <c r="CY40" s="44" t="s">
        <v>109</v>
      </c>
      <c r="DD40" s="44" t="s">
        <v>109</v>
      </c>
      <c r="DI40" s="44" t="s">
        <v>109</v>
      </c>
      <c r="DN40" s="44" t="s">
        <v>109</v>
      </c>
      <c r="DS40" s="44" t="s">
        <v>109</v>
      </c>
      <c r="DX40" s="44" t="s">
        <v>109</v>
      </c>
      <c r="EC40" s="44" t="s">
        <v>109</v>
      </c>
      <c r="EH40" s="44" t="s">
        <v>109</v>
      </c>
      <c r="EM40" s="44" t="s">
        <v>109</v>
      </c>
      <c r="ER40" s="44" t="s">
        <v>109</v>
      </c>
      <c r="EW40" s="44" t="s">
        <v>109</v>
      </c>
      <c r="FB40" s="44" t="s">
        <v>109</v>
      </c>
      <c r="FG40" s="44" t="s">
        <v>109</v>
      </c>
      <c r="FL40" s="44" t="s">
        <v>109</v>
      </c>
    </row>
    <row r="41" spans="1:173" s="45" customFormat="1" ht="12">
      <c r="B41" s="46"/>
      <c r="C41" s="46"/>
      <c r="D41" s="1139">
        <v>32416</v>
      </c>
      <c r="E41" s="1139">
        <v>32508</v>
      </c>
      <c r="F41" s="1139">
        <v>32598</v>
      </c>
      <c r="G41" s="1139">
        <v>32689</v>
      </c>
      <c r="H41" s="1139">
        <v>1998</v>
      </c>
      <c r="I41" s="1139">
        <v>32781</v>
      </c>
      <c r="J41" s="1139">
        <v>32873</v>
      </c>
      <c r="K41" s="1139">
        <v>32963</v>
      </c>
      <c r="L41" s="1139">
        <v>33054</v>
      </c>
      <c r="M41" s="66" t="s">
        <v>865</v>
      </c>
      <c r="N41" s="1139">
        <v>33146</v>
      </c>
      <c r="O41" s="1139">
        <v>33238</v>
      </c>
      <c r="P41" s="1139">
        <v>33328</v>
      </c>
      <c r="Q41" s="1139">
        <v>33419</v>
      </c>
      <c r="R41" s="66" t="s">
        <v>126</v>
      </c>
      <c r="S41" s="1139">
        <v>33511</v>
      </c>
      <c r="T41" s="1139">
        <v>33603</v>
      </c>
      <c r="U41" s="1139">
        <v>33694</v>
      </c>
      <c r="V41" s="1139">
        <v>33785</v>
      </c>
      <c r="W41" s="66" t="s">
        <v>127</v>
      </c>
      <c r="X41" s="1139">
        <v>33877</v>
      </c>
      <c r="Y41" s="1139">
        <v>33969</v>
      </c>
      <c r="Z41" s="1139">
        <v>34059</v>
      </c>
      <c r="AA41" s="1139">
        <v>34150</v>
      </c>
      <c r="AB41" s="66" t="s">
        <v>128</v>
      </c>
      <c r="AC41" s="1139">
        <v>34242</v>
      </c>
      <c r="AD41" s="1139">
        <v>34334</v>
      </c>
      <c r="AE41" s="1139">
        <v>34424</v>
      </c>
      <c r="AF41" s="1139">
        <v>34515</v>
      </c>
      <c r="AG41" s="66" t="s">
        <v>129</v>
      </c>
      <c r="AH41" s="1139">
        <v>34607</v>
      </c>
      <c r="AI41" s="1139">
        <v>34699</v>
      </c>
      <c r="AJ41" s="1139">
        <v>34789</v>
      </c>
      <c r="AK41" s="1139">
        <v>34880</v>
      </c>
      <c r="AL41" s="66" t="s">
        <v>130</v>
      </c>
      <c r="AM41" s="1139">
        <v>34972</v>
      </c>
      <c r="AN41" s="1139">
        <v>35064</v>
      </c>
      <c r="AO41" s="1139">
        <v>35155</v>
      </c>
      <c r="AP41" s="1139">
        <v>35246</v>
      </c>
      <c r="AQ41" s="66" t="s">
        <v>131</v>
      </c>
      <c r="AR41" s="1139">
        <v>35338</v>
      </c>
      <c r="AS41" s="1139">
        <v>35430</v>
      </c>
      <c r="AT41" s="1139">
        <v>35520</v>
      </c>
      <c r="AU41" s="1139">
        <v>35611</v>
      </c>
      <c r="AV41" s="66" t="s">
        <v>134</v>
      </c>
      <c r="AW41" s="1139">
        <v>35703</v>
      </c>
      <c r="AX41" s="1139">
        <v>35795</v>
      </c>
      <c r="AY41" s="1139">
        <v>35885</v>
      </c>
      <c r="AZ41" s="1139">
        <v>35976</v>
      </c>
      <c r="BA41" s="66" t="s">
        <v>135</v>
      </c>
      <c r="BB41" s="1139">
        <v>36068</v>
      </c>
      <c r="BC41" s="1139">
        <v>36160</v>
      </c>
      <c r="BD41" s="1139">
        <v>36250</v>
      </c>
      <c r="BE41" s="1139">
        <v>36341</v>
      </c>
      <c r="BF41" s="66" t="s">
        <v>124</v>
      </c>
      <c r="BG41" s="1139">
        <v>36433</v>
      </c>
      <c r="BH41" s="1139">
        <v>36525</v>
      </c>
      <c r="BI41" s="1139">
        <v>36616</v>
      </c>
      <c r="BJ41" s="1139">
        <v>36707</v>
      </c>
      <c r="BK41" s="66" t="s">
        <v>125</v>
      </c>
      <c r="BL41" s="1139">
        <v>36799</v>
      </c>
      <c r="BM41" s="1139">
        <v>36891</v>
      </c>
      <c r="BN41" s="1139">
        <v>36981</v>
      </c>
      <c r="BO41" s="1139">
        <v>37072</v>
      </c>
      <c r="BP41" s="67" t="s">
        <v>136</v>
      </c>
      <c r="BQ41" s="1139">
        <v>37164</v>
      </c>
      <c r="BR41" s="1139">
        <v>37256</v>
      </c>
      <c r="BS41" s="1139">
        <v>37346</v>
      </c>
      <c r="BT41" s="1139">
        <v>37437</v>
      </c>
      <c r="BU41" s="67" t="s">
        <v>137</v>
      </c>
      <c r="BV41" s="1139">
        <v>37529</v>
      </c>
      <c r="BW41" s="1139">
        <v>37621</v>
      </c>
      <c r="BX41" s="1139">
        <v>37711</v>
      </c>
      <c r="BY41" s="1139">
        <v>37802</v>
      </c>
      <c r="BZ41" s="67" t="s">
        <v>138</v>
      </c>
      <c r="CA41" s="1139">
        <v>37894</v>
      </c>
      <c r="CB41" s="1139">
        <v>37986</v>
      </c>
      <c r="CC41" s="1139">
        <v>38077</v>
      </c>
      <c r="CD41" s="1139">
        <v>38168</v>
      </c>
      <c r="CE41" s="67" t="s">
        <v>139</v>
      </c>
      <c r="CF41" s="1139">
        <v>38260</v>
      </c>
      <c r="CG41" s="1139">
        <v>38352</v>
      </c>
      <c r="CH41" s="1139">
        <v>38442</v>
      </c>
      <c r="CI41" s="1139">
        <v>38533</v>
      </c>
      <c r="CJ41" s="67" t="s">
        <v>140</v>
      </c>
      <c r="CK41" s="1139">
        <v>38625</v>
      </c>
      <c r="CL41" s="1139">
        <v>38717</v>
      </c>
      <c r="CM41" s="1139">
        <v>38807</v>
      </c>
      <c r="CN41" s="1139">
        <v>38898</v>
      </c>
      <c r="CO41" s="67" t="s">
        <v>141</v>
      </c>
      <c r="CP41" s="1139">
        <v>38990</v>
      </c>
      <c r="CQ41" s="1139">
        <v>39082</v>
      </c>
      <c r="CR41" s="1139">
        <v>39172</v>
      </c>
      <c r="CS41" s="1139">
        <v>39263</v>
      </c>
      <c r="CT41" s="67" t="s">
        <v>142</v>
      </c>
      <c r="CU41" s="1139">
        <v>39355</v>
      </c>
      <c r="CV41" s="1139">
        <v>39447</v>
      </c>
      <c r="CW41" s="1139">
        <v>39538</v>
      </c>
      <c r="CX41" s="192" t="s">
        <v>314</v>
      </c>
      <c r="CY41" s="193" t="s">
        <v>830</v>
      </c>
      <c r="CZ41" s="1139">
        <v>40064</v>
      </c>
      <c r="DA41" s="1139">
        <v>40155</v>
      </c>
      <c r="DB41" s="1139">
        <v>39881</v>
      </c>
      <c r="DC41" s="1139">
        <v>39973</v>
      </c>
      <c r="DD41" s="193" t="s">
        <v>311</v>
      </c>
      <c r="DE41" s="192" t="s">
        <v>772</v>
      </c>
      <c r="DF41" s="192" t="s">
        <v>773</v>
      </c>
      <c r="DG41" s="192" t="s">
        <v>547</v>
      </c>
      <c r="DH41" s="192" t="s">
        <v>594</v>
      </c>
      <c r="DI41" s="193" t="s">
        <v>592</v>
      </c>
      <c r="DJ41" s="192" t="s">
        <v>475</v>
      </c>
      <c r="DK41" s="192" t="s">
        <v>209</v>
      </c>
      <c r="DL41" s="192" t="s">
        <v>471</v>
      </c>
      <c r="DM41" s="192" t="s">
        <v>70</v>
      </c>
      <c r="DN41" s="193" t="s">
        <v>68</v>
      </c>
      <c r="DO41" s="192" t="s">
        <v>479</v>
      </c>
      <c r="DP41" s="192" t="s">
        <v>185</v>
      </c>
      <c r="DQ41" s="192" t="s">
        <v>173</v>
      </c>
      <c r="DR41" s="192" t="s">
        <v>181</v>
      </c>
      <c r="DS41" s="193" t="s">
        <v>180</v>
      </c>
      <c r="DT41" s="192" t="s">
        <v>160</v>
      </c>
      <c r="DU41" s="192" t="s">
        <v>896</v>
      </c>
      <c r="DV41" s="192" t="s">
        <v>465</v>
      </c>
      <c r="DW41" s="192" t="s">
        <v>33</v>
      </c>
      <c r="DX41" s="193" t="s">
        <v>27</v>
      </c>
      <c r="DY41" s="192" t="s">
        <v>760</v>
      </c>
      <c r="DZ41" s="192" t="s">
        <v>906</v>
      </c>
      <c r="EA41" s="192" t="s">
        <v>1010</v>
      </c>
      <c r="EB41" s="192" t="s">
        <v>1011</v>
      </c>
      <c r="EC41" s="193" t="s">
        <v>1006</v>
      </c>
      <c r="ED41" s="66" t="str">
        <f t="shared" ref="ED41:EW41" si="70">ED5</f>
        <v>Sep-14</v>
      </c>
      <c r="EE41" s="66" t="str">
        <f t="shared" si="70"/>
        <v>Dec-14</v>
      </c>
      <c r="EF41" s="66" t="str">
        <f t="shared" si="70"/>
        <v>Mar-15</v>
      </c>
      <c r="EG41" s="192" t="str">
        <f t="shared" si="70"/>
        <v>Jun-15</v>
      </c>
      <c r="EH41" s="67" t="str">
        <f t="shared" si="70"/>
        <v>2015</v>
      </c>
      <c r="EI41" s="66" t="str">
        <f t="shared" si="70"/>
        <v>Sep-15</v>
      </c>
      <c r="EJ41" s="66" t="str">
        <f t="shared" si="70"/>
        <v>Dec-15</v>
      </c>
      <c r="EK41" s="66" t="str">
        <f t="shared" si="70"/>
        <v>Mar-16</v>
      </c>
      <c r="EL41" s="66" t="str">
        <f t="shared" si="70"/>
        <v>Jun-16</v>
      </c>
      <c r="EM41" s="67" t="str">
        <f t="shared" si="70"/>
        <v>2016</v>
      </c>
      <c r="EN41" s="66" t="str">
        <f>EN5</f>
        <v>Sep-16</v>
      </c>
      <c r="EO41" s="66" t="str">
        <f t="shared" ref="EO41:EQ41" si="71">EO5</f>
        <v>Dec-16</v>
      </c>
      <c r="EP41" s="66" t="str">
        <f t="shared" si="71"/>
        <v>Mar-17</v>
      </c>
      <c r="EQ41" s="66" t="str">
        <f t="shared" si="71"/>
        <v>Jun-17</v>
      </c>
      <c r="ER41" s="67" t="str">
        <f t="shared" si="70"/>
        <v>2017</v>
      </c>
      <c r="ES41" s="66" t="str">
        <f>ES5</f>
        <v>Sep-17</v>
      </c>
      <c r="ET41" s="66" t="str">
        <f>ET5</f>
        <v>Dec-17</v>
      </c>
      <c r="EU41" s="66" t="str">
        <f t="shared" si="70"/>
        <v>Mar-18</v>
      </c>
      <c r="EV41" s="66" t="str">
        <f t="shared" si="70"/>
        <v>Jun-18E</v>
      </c>
      <c r="EW41" s="67" t="str">
        <f t="shared" si="70"/>
        <v>2018E</v>
      </c>
      <c r="EX41" s="66" t="str">
        <f t="shared" ref="EX41:FG41" si="72">EX5</f>
        <v>Sep-18E</v>
      </c>
      <c r="EY41" s="66" t="str">
        <f t="shared" si="72"/>
        <v>Dec-18E</v>
      </c>
      <c r="EZ41" s="66" t="str">
        <f t="shared" si="72"/>
        <v>Mar-19E</v>
      </c>
      <c r="FA41" s="66" t="str">
        <f t="shared" si="72"/>
        <v>Jun-19E</v>
      </c>
      <c r="FB41" s="67" t="str">
        <f t="shared" si="72"/>
        <v>2019E</v>
      </c>
      <c r="FC41" s="66" t="str">
        <f t="shared" si="72"/>
        <v>Sep-19E</v>
      </c>
      <c r="FD41" s="66" t="str">
        <f t="shared" si="72"/>
        <v>Dec-19E</v>
      </c>
      <c r="FE41" s="66" t="str">
        <f t="shared" si="72"/>
        <v>Mar-20E</v>
      </c>
      <c r="FF41" s="66" t="str">
        <f t="shared" si="72"/>
        <v>Jun-20E</v>
      </c>
      <c r="FG41" s="67" t="str">
        <f t="shared" si="72"/>
        <v>2020E</v>
      </c>
      <c r="FH41" s="66" t="str">
        <f t="shared" ref="FH41:FL41" si="73">FH5</f>
        <v>Sep-20E</v>
      </c>
      <c r="FI41" s="66" t="str">
        <f t="shared" si="73"/>
        <v>Dec-20E</v>
      </c>
      <c r="FJ41" s="66" t="str">
        <f t="shared" si="73"/>
        <v>Mar-21E</v>
      </c>
      <c r="FK41" s="66" t="str">
        <f t="shared" si="73"/>
        <v>Jun-21E</v>
      </c>
      <c r="FL41" s="67" t="str">
        <f t="shared" si="73"/>
        <v>2021E</v>
      </c>
      <c r="FM41" s="66"/>
      <c r="FN41" s="66"/>
      <c r="FO41" s="66"/>
      <c r="FP41" s="66"/>
      <c r="FQ41" s="66"/>
    </row>
    <row r="42" spans="1:173" s="29" customFormat="1" ht="12">
      <c r="A42" s="48" t="s">
        <v>669</v>
      </c>
      <c r="BP42" s="49"/>
      <c r="BQ42" s="29">
        <f>BS!BQ27</f>
        <v>4620</v>
      </c>
      <c r="BR42" s="29">
        <f>BS!BR27</f>
        <v>5300</v>
      </c>
      <c r="BS42" s="29">
        <f>BS!BS27</f>
        <v>5568</v>
      </c>
      <c r="BT42" s="29">
        <f>BS!BT27</f>
        <v>5920</v>
      </c>
      <c r="BU42" s="49">
        <f>BT42</f>
        <v>5920</v>
      </c>
      <c r="BV42" s="29">
        <f>BS!BV27</f>
        <v>6841</v>
      </c>
      <c r="BW42" s="29">
        <f>BS!BW27</f>
        <v>6810</v>
      </c>
      <c r="BX42" s="29">
        <f>BS!BX27</f>
        <v>6798</v>
      </c>
      <c r="BY42" s="29">
        <f>BS!BY27</f>
        <v>7225</v>
      </c>
      <c r="BZ42" s="49">
        <f>BY42</f>
        <v>7225</v>
      </c>
      <c r="CA42" s="29">
        <f>BS!CA27</f>
        <v>6620</v>
      </c>
      <c r="CB42" s="29">
        <f>BS!CB27</f>
        <v>6229</v>
      </c>
      <c r="CC42" s="29">
        <f>BS!CC27</f>
        <v>5949</v>
      </c>
      <c r="CD42" s="29">
        <f>BS!CD27</f>
        <v>6514</v>
      </c>
      <c r="CE42" s="49">
        <f>CD42</f>
        <v>6514</v>
      </c>
      <c r="CF42" s="29">
        <f>BS!CF27</f>
        <v>6149</v>
      </c>
      <c r="CG42" s="29">
        <f>BS!CG27</f>
        <v>6267</v>
      </c>
      <c r="CH42" s="29">
        <f>BS!CH27</f>
        <v>6275</v>
      </c>
      <c r="CI42" s="29">
        <f>BS!CI27</f>
        <v>7502</v>
      </c>
      <c r="CJ42" s="49">
        <f>CI42</f>
        <v>7502</v>
      </c>
      <c r="CK42" s="29">
        <f>BS!CK27</f>
        <v>7148</v>
      </c>
      <c r="CL42" s="29">
        <f>BS!CL27</f>
        <v>7118</v>
      </c>
      <c r="CM42" s="29">
        <f>BS!CM27</f>
        <v>7215</v>
      </c>
      <c r="CN42" s="29">
        <f>BS!CN27</f>
        <v>9138</v>
      </c>
      <c r="CO42" s="49">
        <f>CN42</f>
        <v>9138</v>
      </c>
      <c r="CP42" s="29">
        <f>BS!CP27</f>
        <v>8310</v>
      </c>
      <c r="CQ42" s="29">
        <f>BS!CQ27</f>
        <v>10023</v>
      </c>
      <c r="CR42" s="29">
        <f>BS!CR27</f>
        <v>8551</v>
      </c>
      <c r="CS42" s="29">
        <f>BS!CS27</f>
        <v>10779</v>
      </c>
      <c r="CT42" s="49">
        <f>CS42</f>
        <v>10779</v>
      </c>
      <c r="CU42" s="29">
        <f>BS!CU27</f>
        <v>9787</v>
      </c>
      <c r="CV42" s="29">
        <f>BS!CV27</f>
        <v>10221</v>
      </c>
      <c r="CW42" s="29">
        <f>BS!CW27</f>
        <v>10385</v>
      </c>
      <c r="CX42" s="29">
        <f>BS!CX27</f>
        <v>13397</v>
      </c>
      <c r="CY42" s="49">
        <f>CX42</f>
        <v>13397</v>
      </c>
      <c r="CZ42" s="29">
        <f>BS!CZ27</f>
        <v>11815</v>
      </c>
      <c r="DA42" s="29">
        <f>BS!DA27</f>
        <v>11532</v>
      </c>
      <c r="DB42" s="29">
        <f>BS!DB27</f>
        <v>10924</v>
      </c>
      <c r="DC42" s="29">
        <f>BS!DC27</f>
        <v>13003</v>
      </c>
      <c r="DD42" s="49">
        <f>DC42</f>
        <v>13003</v>
      </c>
      <c r="DE42" s="29">
        <f>BS!DE27</f>
        <v>13567</v>
      </c>
      <c r="DF42" s="29">
        <f>BS!DF27</f>
        <v>11361</v>
      </c>
      <c r="DG42" s="29">
        <f>BS!DG27</f>
        <v>11171</v>
      </c>
      <c r="DH42" s="29">
        <f>DH158*0.91</f>
        <v>13495.300000000001</v>
      </c>
      <c r="DI42" s="49">
        <f>DH42</f>
        <v>13495.300000000001</v>
      </c>
      <c r="DJ42" s="29">
        <f>BS!DJ27</f>
        <v>12767</v>
      </c>
      <c r="DK42" s="29">
        <f>BS!DK27</f>
        <v>12063</v>
      </c>
      <c r="DL42" s="29">
        <f>BS!DL27</f>
        <v>11887</v>
      </c>
      <c r="DM42" s="29">
        <f>BS!DM27</f>
        <v>15722</v>
      </c>
      <c r="DN42" s="49">
        <f>DM42</f>
        <v>15722</v>
      </c>
      <c r="DO42" s="29">
        <f>BS!DO27</f>
        <v>14345</v>
      </c>
      <c r="DP42" s="29">
        <f>BS!DP27</f>
        <v>13985</v>
      </c>
      <c r="DQ42" s="29">
        <f>BS!DQ27</f>
        <v>13929</v>
      </c>
      <c r="DR42" s="29">
        <f>BS!DR27</f>
        <v>18653</v>
      </c>
      <c r="DS42" s="49">
        <f>DR42</f>
        <v>18653</v>
      </c>
      <c r="DT42" s="29">
        <f>BS!DT27</f>
        <v>18295</v>
      </c>
      <c r="DU42" s="29">
        <f>BS!DU27</f>
        <v>18354</v>
      </c>
      <c r="DV42" s="29">
        <f>BS!DV27</f>
        <v>16511</v>
      </c>
      <c r="DW42" s="29">
        <f>BS!DW27</f>
        <v>20639</v>
      </c>
      <c r="DX42" s="49">
        <f>DW42</f>
        <v>20639</v>
      </c>
      <c r="DY42" s="29">
        <f>BS!DY27</f>
        <v>18585</v>
      </c>
      <c r="DZ42" s="29">
        <f>BS!DZ27</f>
        <v>17616</v>
      </c>
      <c r="EA42" s="29">
        <f>BS!EA27</f>
        <v>17670</v>
      </c>
      <c r="EB42" s="29">
        <f>BS!EB27</f>
        <v>23150</v>
      </c>
      <c r="EC42" s="49">
        <f>EB42</f>
        <v>23150</v>
      </c>
      <c r="ED42" s="29">
        <f>BS!ED27</f>
        <v>20713</v>
      </c>
      <c r="EE42" s="29">
        <f>BS!EE27</f>
        <v>19192</v>
      </c>
      <c r="EF42" s="29">
        <f>BS!EF27</f>
        <v>18232</v>
      </c>
      <c r="EG42" s="29">
        <f>BS!EG27</f>
        <v>23223</v>
      </c>
      <c r="EH42" s="49">
        <f>EG42</f>
        <v>23223</v>
      </c>
      <c r="EI42" s="29">
        <f>BS!EI27</f>
        <v>21603</v>
      </c>
      <c r="EJ42" s="29">
        <f>BS!EJ27</f>
        <v>20929</v>
      </c>
      <c r="EK42" s="29">
        <f>BS!EK27</f>
        <v>20876</v>
      </c>
      <c r="EL42" s="29">
        <f>BS!EL27</f>
        <v>20177</v>
      </c>
      <c r="EM42" s="49">
        <f>EL42</f>
        <v>20177</v>
      </c>
      <c r="EN42" s="29">
        <f>BS!EN27</f>
        <v>18653</v>
      </c>
      <c r="EO42" s="29">
        <f>BS!EO27</f>
        <v>18066</v>
      </c>
      <c r="EP42" s="29">
        <f>BS!EP27</f>
        <v>18136</v>
      </c>
      <c r="EQ42" s="29">
        <f>BS!EQ27</f>
        <v>24013</v>
      </c>
      <c r="ER42" s="49">
        <f>EQ42</f>
        <v>24013</v>
      </c>
      <c r="ES42" s="29">
        <f>BS!ES27</f>
        <v>22778</v>
      </c>
      <c r="ET42" s="29">
        <f>BS!ET27</f>
        <v>21309</v>
      </c>
      <c r="EU42" s="29">
        <f>BS!EU27</f>
        <v>21370</v>
      </c>
      <c r="EV42" s="29">
        <f>EV36*0.91</f>
        <v>28873.507148101267</v>
      </c>
      <c r="EW42" s="49">
        <f>EV42</f>
        <v>28873.507148101267</v>
      </c>
      <c r="EX42" s="29">
        <f>EX36*0.91</f>
        <v>26720.289113797429</v>
      </c>
      <c r="EY42" s="29">
        <f>EY36*0.91</f>
        <v>25360.418513001448</v>
      </c>
      <c r="EZ42" s="29">
        <f>EZ36*0.91</f>
        <v>25159.394163318564</v>
      </c>
      <c r="FA42" s="29">
        <f>FA36*0.91</f>
        <v>33507.560870977497</v>
      </c>
      <c r="FB42" s="49">
        <f>FA42</f>
        <v>33507.560870977497</v>
      </c>
      <c r="FC42" s="29">
        <f>FC36*0.91</f>
        <v>30963.932410782476</v>
      </c>
      <c r="FD42" s="29">
        <f>FD36*0.91</f>
        <v>29357.497062731203</v>
      </c>
      <c r="FE42" s="29">
        <f>FE36*0.91</f>
        <v>29120.024011280148</v>
      </c>
      <c r="FF42" s="29">
        <f>FF36*0.91</f>
        <v>38972.706121109833</v>
      </c>
      <c r="FG42" s="49">
        <f>FF42</f>
        <v>38972.706121109833</v>
      </c>
      <c r="FH42" s="29">
        <f>FH36*0.91</f>
        <v>35967.880023409991</v>
      </c>
      <c r="FI42" s="29">
        <f>FI36*0.91</f>
        <v>34070.174075536655</v>
      </c>
      <c r="FJ42" s="29">
        <f>FJ36*0.91</f>
        <v>33789.643631068422</v>
      </c>
      <c r="FK42" s="29">
        <f>FK36*0.91</f>
        <v>45419.49343930879</v>
      </c>
      <c r="FL42" s="49">
        <f>FK42</f>
        <v>45419.49343930879</v>
      </c>
      <c r="FM42" s="152"/>
      <c r="FN42" s="152"/>
      <c r="FO42" s="152"/>
      <c r="FP42" s="152"/>
      <c r="FQ42" s="152"/>
    </row>
    <row r="43" spans="1:173" s="32" customFormat="1" ht="12">
      <c r="A43" s="32" t="s">
        <v>665</v>
      </c>
      <c r="BP43" s="51"/>
      <c r="BQ43" s="32">
        <f>BQ42/BQ158</f>
        <v>0.78989153448094929</v>
      </c>
      <c r="BR43" s="32">
        <f>BR42/BR158</f>
        <v>0.80047805732841204</v>
      </c>
      <c r="BS43" s="32">
        <f>BS42/BS158</f>
        <v>0.80530128307351756</v>
      </c>
      <c r="BT43" s="32">
        <f>BT42/BT158</f>
        <v>0.76470445855298874</v>
      </c>
      <c r="BU43" s="51">
        <f>BT43</f>
        <v>0.76470445855298874</v>
      </c>
      <c r="BV43" s="32">
        <f>BV42/BV158</f>
        <v>0.74934915075944897</v>
      </c>
      <c r="BW43" s="32">
        <f>BW42/BW158</f>
        <v>0.77067688011401025</v>
      </c>
      <c r="BX43" s="32">
        <f>BX42/BX158</f>
        <v>0.79678497413335125</v>
      </c>
      <c r="BY43" s="32">
        <f>BY42/BY158</f>
        <v>0.80146607593912433</v>
      </c>
      <c r="BZ43" s="51">
        <f>BY43</f>
        <v>0.80146607593912433</v>
      </c>
      <c r="CA43" s="32">
        <f>CA42/CA158</f>
        <v>0.80291106622895059</v>
      </c>
      <c r="CB43" s="32">
        <f>CB42/CB158</f>
        <v>0.79330106979113602</v>
      </c>
      <c r="CC43" s="32">
        <f>CC42/CC158</f>
        <v>0.79045973956949245</v>
      </c>
      <c r="CD43" s="32">
        <f>CD42/CD158</f>
        <v>0.79662467897762013</v>
      </c>
      <c r="CE43" s="51">
        <f>CD43</f>
        <v>0.79662467897762013</v>
      </c>
      <c r="CF43" s="32">
        <f>CF42/CF158</f>
        <v>0.79015677203803647</v>
      </c>
      <c r="CG43" s="32">
        <f>CG42/CG158</f>
        <v>0.78671855385387901</v>
      </c>
      <c r="CH43" s="32">
        <f>CH42/CH158</f>
        <v>0.79020274524619061</v>
      </c>
      <c r="CI43" s="32">
        <f>CI42/CI158</f>
        <v>0.81837024108214251</v>
      </c>
      <c r="CJ43" s="51">
        <f>CI43</f>
        <v>0.81837024108214251</v>
      </c>
      <c r="CK43" s="32">
        <f>CK42/CK158</f>
        <v>0.81171928230751755</v>
      </c>
      <c r="CL43" s="32">
        <f>CL42/CL158</f>
        <v>0.80538583389907215</v>
      </c>
      <c r="CM43" s="32">
        <f>CM42/CM158</f>
        <v>0.81058308055274686</v>
      </c>
      <c r="CN43" s="32">
        <f>CN42/CN158</f>
        <v>0.83819482663731426</v>
      </c>
      <c r="CO43" s="51">
        <f>CN43</f>
        <v>0.83819482663731426</v>
      </c>
      <c r="CP43" s="32">
        <f>CP42/CP158</f>
        <v>0.82301673764484495</v>
      </c>
      <c r="CQ43" s="32">
        <f>CQ42/CQ158</f>
        <v>0.84503836101509144</v>
      </c>
      <c r="CR43" s="32">
        <f>CR42/CR158</f>
        <v>0.83156666342507046</v>
      </c>
      <c r="CS43" s="32">
        <f>CS42/CS158</f>
        <v>0.85236438399493908</v>
      </c>
      <c r="CT43" s="51">
        <f>CS43</f>
        <v>0.85236438399493908</v>
      </c>
      <c r="CU43" s="32">
        <f>CU42/CU158</f>
        <v>0.84574835810577254</v>
      </c>
      <c r="CV43" s="32">
        <f>CV42/CV158</f>
        <v>0.83930037773033339</v>
      </c>
      <c r="CW43" s="32">
        <f>CW42/CW158</f>
        <v>0.85550704341379025</v>
      </c>
      <c r="CX43" s="32">
        <f>CX42/CX158</f>
        <v>0.87579263907955807</v>
      </c>
      <c r="CY43" s="51">
        <f>CX43</f>
        <v>0.87579263907955807</v>
      </c>
      <c r="CZ43" s="32">
        <f>CZ42/CZ158</f>
        <v>0.87667878607998817</v>
      </c>
      <c r="DA43" s="32">
        <f>DA42/DA158</f>
        <v>0.88259605081891934</v>
      </c>
      <c r="DB43" s="32">
        <f>DB42/DB158</f>
        <v>0.88726445743989601</v>
      </c>
      <c r="DC43" s="32">
        <f>DC42/DC158</f>
        <v>0.91031923830859707</v>
      </c>
      <c r="DD43" s="51">
        <f>DC43</f>
        <v>0.91031923830859707</v>
      </c>
      <c r="DE43" s="32">
        <f>DE42/DE158</f>
        <v>0.91867551462621888</v>
      </c>
      <c r="DF43" s="32">
        <f>DF42/DF158</f>
        <v>0.90684865900383138</v>
      </c>
      <c r="DG43" s="32">
        <f>DG42/DG158</f>
        <v>0.91117455138662318</v>
      </c>
      <c r="DH43" s="32">
        <f>DH42/DH158</f>
        <v>0.91</v>
      </c>
      <c r="DI43" s="51">
        <f>DH43</f>
        <v>0.91</v>
      </c>
      <c r="DJ43" s="32">
        <f>DJ42/DJ158</f>
        <v>0.91723543357999859</v>
      </c>
      <c r="DK43" s="32">
        <f>DK42/DK158</f>
        <v>0.89908325258999777</v>
      </c>
      <c r="DL43" s="32">
        <f>DL42/DL158</f>
        <v>0.91305015746217066</v>
      </c>
      <c r="DM43" s="32">
        <f>DM42/DM158</f>
        <v>0.9183411214953271</v>
      </c>
      <c r="DN43" s="51">
        <f>DM43</f>
        <v>0.9183411214953271</v>
      </c>
      <c r="DO43" s="32">
        <f>DO42/DO158</f>
        <v>0.91614510154553586</v>
      </c>
      <c r="DP43" s="32">
        <f>DP42/DP158</f>
        <v>0.9120255641059084</v>
      </c>
      <c r="DQ43" s="32">
        <f>DQ42/DQ158</f>
        <v>0.91692449476663818</v>
      </c>
      <c r="DR43" s="32">
        <f>DR42/DR158</f>
        <v>0.92990677501370955</v>
      </c>
      <c r="DS43" s="51">
        <f>DR43</f>
        <v>0.92990677501370955</v>
      </c>
      <c r="DT43" s="32">
        <f>DT42/DT158</f>
        <v>0.93403788226885176</v>
      </c>
      <c r="DU43" s="32">
        <f>DU42/DU158</f>
        <v>0.92636147983647099</v>
      </c>
      <c r="DV43" s="32">
        <f>DV42/DV158</f>
        <v>0.92214465233175091</v>
      </c>
      <c r="DW43" s="32">
        <f>DW42/DW158</f>
        <v>0.92142506361891152</v>
      </c>
      <c r="DX43" s="51">
        <f>DW43</f>
        <v>0.92142506361891152</v>
      </c>
      <c r="DY43" s="32">
        <f>DY42/DY26</f>
        <v>0.9245808666235511</v>
      </c>
      <c r="DZ43" s="32">
        <f>DZ42/DZ26</f>
        <v>0.90459073636643728</v>
      </c>
      <c r="EA43" s="32">
        <f>EA42/EA158</f>
        <v>0.90559655596555966</v>
      </c>
      <c r="EB43" s="32">
        <f>EB42/EB158</f>
        <v>0.92018443437475161</v>
      </c>
      <c r="EC43" s="51">
        <f>EB43</f>
        <v>0.92018443437475161</v>
      </c>
      <c r="ED43" s="32">
        <f>ED42/ED26</f>
        <v>0.91902564557635991</v>
      </c>
      <c r="EE43" s="32">
        <f>EE42/EE158</f>
        <v>0.90345054841594874</v>
      </c>
      <c r="EF43" s="32">
        <f>EF42/EF158</f>
        <v>0.90266363006238237</v>
      </c>
      <c r="EG43" s="32">
        <f>EG42/EG158</f>
        <v>0.91725254759459673</v>
      </c>
      <c r="EH43" s="51">
        <f>EG43</f>
        <v>0.91725254759459673</v>
      </c>
      <c r="EI43" s="32">
        <f>EI42/EI158</f>
        <v>0.8856262161423033</v>
      </c>
      <c r="EJ43" s="32">
        <f>EJ42/EJ158</f>
        <v>0.83593479561486217</v>
      </c>
      <c r="EK43" s="32">
        <f>EK42/EK158</f>
        <v>0.8055796284228347</v>
      </c>
      <c r="EL43" s="32">
        <f>EL42/EL158</f>
        <v>0.90798580544348895</v>
      </c>
      <c r="EM43" s="51">
        <f>EL43</f>
        <v>0.90798580544348895</v>
      </c>
      <c r="EN43" s="32">
        <f>EN42/EN36</f>
        <v>0.91570937653411877</v>
      </c>
      <c r="EO43" s="32">
        <f t="shared" ref="EO43:FG43" si="74">EO42/EO36</f>
        <v>0.90370666800060029</v>
      </c>
      <c r="EP43" s="32">
        <f t="shared" si="74"/>
        <v>0.9111736334405145</v>
      </c>
      <c r="EQ43" s="32">
        <f t="shared" si="74"/>
        <v>0.90084783913565425</v>
      </c>
      <c r="ER43" s="51">
        <f t="shared" si="74"/>
        <v>0.90084783913565425</v>
      </c>
      <c r="ES43" s="32">
        <f>ES42/ES36</f>
        <v>0.91463218760038545</v>
      </c>
      <c r="ET43" s="32">
        <f>ET42/ET36</f>
        <v>0.89499768994917883</v>
      </c>
      <c r="EU43" s="32">
        <f>EU42/EU36</f>
        <v>0.89208933416823211</v>
      </c>
      <c r="EV43" s="32">
        <f t="shared" si="74"/>
        <v>0.91</v>
      </c>
      <c r="EW43" s="51">
        <f t="shared" si="74"/>
        <v>0.91</v>
      </c>
      <c r="EX43" s="32">
        <f t="shared" si="74"/>
        <v>0.91</v>
      </c>
      <c r="EY43" s="32">
        <f t="shared" si="74"/>
        <v>0.91</v>
      </c>
      <c r="EZ43" s="32">
        <f t="shared" si="74"/>
        <v>0.90999999999999992</v>
      </c>
      <c r="FA43" s="32">
        <f t="shared" si="74"/>
        <v>0.91</v>
      </c>
      <c r="FB43" s="51">
        <f t="shared" si="74"/>
        <v>0.91</v>
      </c>
      <c r="FC43" s="32">
        <f t="shared" si="74"/>
        <v>0.91</v>
      </c>
      <c r="FD43" s="32">
        <f t="shared" si="74"/>
        <v>0.91</v>
      </c>
      <c r="FE43" s="32">
        <f t="shared" si="74"/>
        <v>0.91</v>
      </c>
      <c r="FF43" s="32">
        <f t="shared" si="74"/>
        <v>0.91</v>
      </c>
      <c r="FG43" s="51">
        <f t="shared" si="74"/>
        <v>0.91</v>
      </c>
      <c r="FH43" s="32">
        <f t="shared" ref="FH43:FL43" si="75">FH42/FH36</f>
        <v>0.90999999999999992</v>
      </c>
      <c r="FI43" s="32">
        <f t="shared" si="75"/>
        <v>0.90999999999999992</v>
      </c>
      <c r="FJ43" s="32">
        <f t="shared" si="75"/>
        <v>0.91</v>
      </c>
      <c r="FK43" s="32">
        <f t="shared" si="75"/>
        <v>0.90999999999999992</v>
      </c>
      <c r="FL43" s="51">
        <f t="shared" si="75"/>
        <v>0.90999999999999992</v>
      </c>
      <c r="FM43" s="33"/>
      <c r="FN43" s="33"/>
      <c r="FO43" s="33"/>
      <c r="FP43" s="33"/>
      <c r="FQ43" s="33"/>
    </row>
    <row r="44" spans="1:173" s="32" customFormat="1" ht="12">
      <c r="A44" s="32" t="s">
        <v>163</v>
      </c>
      <c r="BP44" s="51"/>
      <c r="BU44" s="51"/>
      <c r="BV44" s="32">
        <f>BV42/BQ42-1</f>
        <v>0.48073593073593068</v>
      </c>
      <c r="BW44" s="32">
        <f>BW42/BR42-1</f>
        <v>0.28490566037735854</v>
      </c>
      <c r="BX44" s="32">
        <f>BX42/BS42-1</f>
        <v>0.22090517241379315</v>
      </c>
      <c r="BY44" s="32">
        <f>BY42/BT42-1</f>
        <v>0.22043918918918926</v>
      </c>
      <c r="BZ44" s="51"/>
      <c r="CA44" s="32">
        <f t="shared" ref="CA44:DI44" si="76">CA42/BV42-1</f>
        <v>-3.2305218535301883E-2</v>
      </c>
      <c r="CB44" s="32">
        <f t="shared" si="76"/>
        <v>-8.5315712187958859E-2</v>
      </c>
      <c r="CC44" s="32">
        <f t="shared" si="76"/>
        <v>-0.12488967343336277</v>
      </c>
      <c r="CD44" s="32">
        <f t="shared" si="76"/>
        <v>-9.8408304498269872E-2</v>
      </c>
      <c r="CE44" s="51">
        <f t="shared" si="76"/>
        <v>-9.8408304498269872E-2</v>
      </c>
      <c r="CF44" s="32">
        <f t="shared" si="76"/>
        <v>-7.1148036253776414E-2</v>
      </c>
      <c r="CG44" s="32">
        <f t="shared" si="76"/>
        <v>6.1004976721785731E-3</v>
      </c>
      <c r="CH44" s="32">
        <f t="shared" si="76"/>
        <v>5.4799125903513213E-2</v>
      </c>
      <c r="CI44" s="32">
        <f t="shared" si="76"/>
        <v>0.15167331900521952</v>
      </c>
      <c r="CJ44" s="51">
        <f t="shared" si="76"/>
        <v>0.15167331900521952</v>
      </c>
      <c r="CK44" s="32">
        <f t="shared" si="76"/>
        <v>0.16246544153520892</v>
      </c>
      <c r="CL44" s="32">
        <f t="shared" si="76"/>
        <v>0.1357906494335408</v>
      </c>
      <c r="CM44" s="32">
        <f t="shared" si="76"/>
        <v>0.14980079681274905</v>
      </c>
      <c r="CN44" s="32">
        <f t="shared" si="76"/>
        <v>0.21807517995201287</v>
      </c>
      <c r="CO44" s="51">
        <f t="shared" si="76"/>
        <v>0.21807517995201287</v>
      </c>
      <c r="CP44" s="32">
        <f t="shared" si="76"/>
        <v>0.16256295467263571</v>
      </c>
      <c r="CQ44" s="32">
        <f t="shared" si="76"/>
        <v>0.40812025849957845</v>
      </c>
      <c r="CR44" s="32">
        <f t="shared" si="76"/>
        <v>0.18516978516978511</v>
      </c>
      <c r="CS44" s="32">
        <f t="shared" si="76"/>
        <v>0.1795797767564018</v>
      </c>
      <c r="CT44" s="51">
        <f t="shared" si="76"/>
        <v>0.1795797767564018</v>
      </c>
      <c r="CU44" s="32">
        <f t="shared" si="76"/>
        <v>0.17773766546329717</v>
      </c>
      <c r="CV44" s="32">
        <f t="shared" si="76"/>
        <v>1.9754564501646144E-2</v>
      </c>
      <c r="CW44" s="32">
        <f t="shared" si="76"/>
        <v>0.21447783884925742</v>
      </c>
      <c r="CX44" s="32">
        <f t="shared" si="76"/>
        <v>0.24287967343909456</v>
      </c>
      <c r="CY44" s="51">
        <f t="shared" si="76"/>
        <v>0.24287967343909456</v>
      </c>
      <c r="CZ44" s="32">
        <f t="shared" si="76"/>
        <v>0.2072136507612139</v>
      </c>
      <c r="DA44" s="32">
        <f t="shared" si="76"/>
        <v>0.12826533607279123</v>
      </c>
      <c r="DB44" s="32">
        <f t="shared" si="76"/>
        <v>5.1901781415503168E-2</v>
      </c>
      <c r="DC44" s="32">
        <f t="shared" si="76"/>
        <v>-2.9409569306561134E-2</v>
      </c>
      <c r="DD44" s="51">
        <f t="shared" si="76"/>
        <v>-2.9409569306561134E-2</v>
      </c>
      <c r="DE44" s="32">
        <f t="shared" si="76"/>
        <v>0.14828607702073637</v>
      </c>
      <c r="DF44" s="32">
        <f t="shared" si="76"/>
        <v>-1.4828303850156099E-2</v>
      </c>
      <c r="DG44" s="32">
        <f t="shared" si="76"/>
        <v>2.2610765287440548E-2</v>
      </c>
      <c r="DH44" s="32">
        <f t="shared" si="76"/>
        <v>3.7860493732215783E-2</v>
      </c>
      <c r="DI44" s="51">
        <f t="shared" si="76"/>
        <v>3.7860493732215783E-2</v>
      </c>
      <c r="DJ44" s="32">
        <f t="shared" ref="DJ44:DQ44" si="77">DJ42/DE42-1</f>
        <v>-5.8966610156998556E-2</v>
      </c>
      <c r="DK44" s="32">
        <f t="shared" si="77"/>
        <v>6.1790335357803094E-2</v>
      </c>
      <c r="DL44" s="32">
        <f t="shared" si="77"/>
        <v>6.4094530480709011E-2</v>
      </c>
      <c r="DM44" s="32">
        <f t="shared" si="77"/>
        <v>0.16499818455314053</v>
      </c>
      <c r="DN44" s="51">
        <f t="shared" si="77"/>
        <v>0.16499818455314053</v>
      </c>
      <c r="DO44" s="32">
        <f t="shared" si="77"/>
        <v>0.12359990600767601</v>
      </c>
      <c r="DP44" s="32">
        <f t="shared" si="77"/>
        <v>0.15933018320484127</v>
      </c>
      <c r="DQ44" s="32">
        <f t="shared" si="77"/>
        <v>0.17178430217885077</v>
      </c>
      <c r="DR44" s="32">
        <f t="shared" ref="DR44:DW44" si="78">DR42/DM42-1</f>
        <v>0.1864266632743925</v>
      </c>
      <c r="DS44" s="51">
        <f t="shared" si="78"/>
        <v>0.1864266632743925</v>
      </c>
      <c r="DT44" s="32">
        <f t="shared" si="78"/>
        <v>0.27535726734053667</v>
      </c>
      <c r="DU44" s="32">
        <f t="shared" si="78"/>
        <v>0.31240614944583478</v>
      </c>
      <c r="DV44" s="32">
        <f t="shared" si="78"/>
        <v>0.18536865532342595</v>
      </c>
      <c r="DW44" s="32">
        <f t="shared" si="78"/>
        <v>0.10647080898514982</v>
      </c>
      <c r="DX44" s="51">
        <f t="shared" ref="DX44:EC44" si="79">DX42/DS42-1</f>
        <v>0.10647080898514982</v>
      </c>
      <c r="DY44" s="32">
        <f>DY42/DT42-1</f>
        <v>1.5851325498770219E-2</v>
      </c>
      <c r="DZ44" s="32">
        <f>DZ42/DU42-1</f>
        <v>-4.0209218698921245E-2</v>
      </c>
      <c r="EA44" s="32">
        <f t="shared" si="79"/>
        <v>7.0195627157652485E-2</v>
      </c>
      <c r="EB44" s="32">
        <f t="shared" si="79"/>
        <v>0.12166287126314268</v>
      </c>
      <c r="EC44" s="51">
        <f t="shared" si="79"/>
        <v>0.12166287126314268</v>
      </c>
      <c r="ED44" s="32">
        <f>ED42/DY42-1</f>
        <v>0.11450094161958568</v>
      </c>
      <c r="EE44" s="32">
        <f t="shared" ref="EE44:EW44" si="80">EE42/DZ42-1</f>
        <v>8.9464123524068961E-2</v>
      </c>
      <c r="EF44" s="32">
        <f t="shared" si="80"/>
        <v>3.1805319750990435E-2</v>
      </c>
      <c r="EG44" s="32">
        <f t="shared" si="80"/>
        <v>3.1533477321814551E-3</v>
      </c>
      <c r="EH44" s="51">
        <f t="shared" si="80"/>
        <v>3.1533477321814551E-3</v>
      </c>
      <c r="EI44" s="32">
        <f t="shared" si="80"/>
        <v>4.2968184232124784E-2</v>
      </c>
      <c r="EJ44" s="32">
        <f t="shared" si="80"/>
        <v>9.0506461025427365E-2</v>
      </c>
      <c r="EK44" s="32">
        <f t="shared" si="80"/>
        <v>0.14501974550241337</v>
      </c>
      <c r="EL44" s="32">
        <f t="shared" si="80"/>
        <v>-0.13116307109331271</v>
      </c>
      <c r="EM44" s="51">
        <f t="shared" si="80"/>
        <v>-0.13116307109331271</v>
      </c>
      <c r="EN44" s="32">
        <f t="shared" si="80"/>
        <v>-0.13655510808683979</v>
      </c>
      <c r="EO44" s="32">
        <f t="shared" si="80"/>
        <v>-0.13679583353241909</v>
      </c>
      <c r="EP44" s="32">
        <f t="shared" si="80"/>
        <v>-0.13125119754742287</v>
      </c>
      <c r="EQ44" s="32">
        <f t="shared" si="80"/>
        <v>0.19011746047479794</v>
      </c>
      <c r="ER44" s="51">
        <f t="shared" si="80"/>
        <v>0.19011746047479794</v>
      </c>
      <c r="ES44" s="32">
        <f t="shared" si="80"/>
        <v>0.22114405189513753</v>
      </c>
      <c r="ET44" s="32">
        <f t="shared" si="80"/>
        <v>0.17950846894719352</v>
      </c>
      <c r="EU44" s="32">
        <f t="shared" si="80"/>
        <v>0.17831936479929422</v>
      </c>
      <c r="EV44" s="32">
        <f>EV42/EQ42-1</f>
        <v>0.20241149161292915</v>
      </c>
      <c r="EW44" s="51">
        <f t="shared" si="80"/>
        <v>0.20241149161292915</v>
      </c>
      <c r="EX44" s="32">
        <f t="shared" ref="EX44:FG44" si="81">EX42/ES42-1</f>
        <v>0.17307441890409292</v>
      </c>
      <c r="EY44" s="32">
        <f t="shared" si="81"/>
        <v>0.19012710652782627</v>
      </c>
      <c r="EZ44" s="32">
        <f t="shared" si="81"/>
        <v>0.17732307736633435</v>
      </c>
      <c r="FA44" s="32">
        <f t="shared" si="81"/>
        <v>0.16049500668923655</v>
      </c>
      <c r="FB44" s="51">
        <f t="shared" si="81"/>
        <v>0.16049500668923655</v>
      </c>
      <c r="FC44" s="32">
        <f t="shared" si="81"/>
        <v>0.15881726724258294</v>
      </c>
      <c r="FD44" s="32">
        <f t="shared" si="81"/>
        <v>0.15761090644780107</v>
      </c>
      <c r="FE44" s="32">
        <f t="shared" si="81"/>
        <v>0.15742151111635394</v>
      </c>
      <c r="FF44" s="32">
        <f t="shared" si="81"/>
        <v>0.16310185247968789</v>
      </c>
      <c r="FG44" s="51">
        <f t="shared" si="81"/>
        <v>0.16310185247968789</v>
      </c>
      <c r="FH44" s="32">
        <f t="shared" ref="FH44" si="82">FH42/FC42-1</f>
        <v>0.16160568839392653</v>
      </c>
      <c r="FI44" s="32">
        <f t="shared" ref="FI44" si="83">FI42/FD42-1</f>
        <v>0.16052720716399582</v>
      </c>
      <c r="FJ44" s="32">
        <f t="shared" ref="FJ44" si="84">FJ42/FE42-1</f>
        <v>0.16035768438856435</v>
      </c>
      <c r="FK44" s="32">
        <f t="shared" ref="FK44" si="85">FK42/FF42-1</f>
        <v>0.16541800556946717</v>
      </c>
      <c r="FL44" s="51">
        <f t="shared" ref="FL44" si="86">FL42/FG42-1</f>
        <v>0.16541800556946717</v>
      </c>
      <c r="FM44" s="33"/>
      <c r="FN44" s="33"/>
      <c r="FO44" s="33"/>
      <c r="FP44" s="33"/>
      <c r="FQ44" s="33"/>
    </row>
    <row r="45" spans="1:173" s="31" customFormat="1" ht="12">
      <c r="BP45" s="54"/>
      <c r="BU45" s="54"/>
      <c r="BZ45" s="54"/>
      <c r="CE45" s="54"/>
      <c r="CJ45" s="54"/>
      <c r="CO45" s="54"/>
      <c r="CT45" s="54"/>
      <c r="CY45" s="54"/>
      <c r="DD45" s="54"/>
      <c r="DI45" s="54"/>
      <c r="DL45" s="38"/>
      <c r="DN45" s="54"/>
      <c r="DS45" s="54"/>
      <c r="DX45" s="54"/>
      <c r="EC45" s="54"/>
      <c r="EH45" s="54"/>
      <c r="EM45" s="54"/>
      <c r="ER45" s="54"/>
      <c r="EW45" s="54"/>
      <c r="FB45" s="54"/>
      <c r="FG45" s="54"/>
      <c r="FL45" s="54"/>
      <c r="FM45" s="92"/>
      <c r="FN45" s="92"/>
      <c r="FO45" s="92"/>
      <c r="FP45" s="92"/>
      <c r="FQ45" s="92"/>
    </row>
    <row r="46" spans="1:173" s="29" customFormat="1" ht="12">
      <c r="A46" s="48" t="s">
        <v>463</v>
      </c>
      <c r="BP46" s="49"/>
      <c r="BQ46" s="29">
        <f>BS!BQ32</f>
        <v>1229</v>
      </c>
      <c r="BR46" s="29">
        <f>BS!BR32</f>
        <v>1321</v>
      </c>
      <c r="BS46" s="29">
        <f>BS!BS32</f>
        <v>1346</v>
      </c>
      <c r="BT46" s="29">
        <f>BS!BT32</f>
        <v>1823</v>
      </c>
      <c r="BU46" s="49">
        <f>BT46</f>
        <v>1823</v>
      </c>
      <c r="BV46" s="29">
        <f>BS!BV32</f>
        <v>2290</v>
      </c>
      <c r="BW46" s="29">
        <f>BS!BW32</f>
        <v>2026</v>
      </c>
      <c r="BX46" s="29">
        <f>BS!BX32</f>
        <v>1734</v>
      </c>
      <c r="BY46" s="29">
        <f>BS!BY32</f>
        <v>1790</v>
      </c>
      <c r="BZ46" s="49">
        <f>BY46</f>
        <v>1790</v>
      </c>
      <c r="CA46" s="29">
        <f>BS!CA32</f>
        <v>1627</v>
      </c>
      <c r="CB46" s="29">
        <f>BS!CB32</f>
        <v>1623</v>
      </c>
      <c r="CC46" s="29">
        <f>BS!CC32</f>
        <v>1577</v>
      </c>
      <c r="CD46" s="29">
        <f>BS!CD32</f>
        <v>1663</v>
      </c>
      <c r="CE46" s="49">
        <f>CD46</f>
        <v>1663</v>
      </c>
      <c r="CF46" s="29">
        <f>BS!CF32</f>
        <v>1633</v>
      </c>
      <c r="CG46" s="29">
        <f>BS!CG32</f>
        <v>1699</v>
      </c>
      <c r="CH46" s="29">
        <f>BS!CH32</f>
        <v>1666</v>
      </c>
      <c r="CI46" s="29">
        <f>BS!CI32</f>
        <v>1665</v>
      </c>
      <c r="CJ46" s="49">
        <f>CI46</f>
        <v>1665</v>
      </c>
      <c r="CK46" s="29">
        <f>BS!CK32</f>
        <v>1658</v>
      </c>
      <c r="CL46" s="29">
        <f>BS!CL32</f>
        <v>1720</v>
      </c>
      <c r="CM46" s="29">
        <f>BS!CM32</f>
        <v>1686</v>
      </c>
      <c r="CN46" s="29">
        <f>BS!CN32</f>
        <v>1764</v>
      </c>
      <c r="CO46" s="49">
        <f>CN46</f>
        <v>1764</v>
      </c>
      <c r="CP46" s="29">
        <f>BS!CP32</f>
        <v>1787</v>
      </c>
      <c r="CQ46" s="29">
        <f>BS!CQ32</f>
        <v>1838</v>
      </c>
      <c r="CR46" s="29">
        <f>BS!CR32</f>
        <v>1732</v>
      </c>
      <c r="CS46" s="29">
        <f>BS!CS32</f>
        <v>1867</v>
      </c>
      <c r="CT46" s="49">
        <f>CS46</f>
        <v>1867</v>
      </c>
      <c r="CU46" s="29">
        <f>BS!CU32</f>
        <v>1785</v>
      </c>
      <c r="CV46" s="29">
        <f>BS!CV32</f>
        <v>1957</v>
      </c>
      <c r="CW46" s="29">
        <f>BS!CW32</f>
        <v>1754</v>
      </c>
      <c r="CX46" s="29">
        <f>BS!CX32</f>
        <v>1900</v>
      </c>
      <c r="CY46" s="49">
        <f>CX46</f>
        <v>1900</v>
      </c>
      <c r="CZ46" s="29">
        <f>BS!CZ32</f>
        <v>1662</v>
      </c>
      <c r="DA46" s="29">
        <f>BS!DA32</f>
        <v>1534</v>
      </c>
      <c r="DB46" s="29">
        <f>BS!DB32</f>
        <v>1388</v>
      </c>
      <c r="DC46" s="29">
        <f>BS!DC32</f>
        <v>1281</v>
      </c>
      <c r="DD46" s="49">
        <f>DC46</f>
        <v>1281</v>
      </c>
      <c r="DE46" s="29">
        <f>BS!DE32</f>
        <v>1201</v>
      </c>
      <c r="DF46" s="29">
        <f>BS!DF32</f>
        <v>1167</v>
      </c>
      <c r="DG46" s="29">
        <f>BS!DG32</f>
        <v>1089</v>
      </c>
      <c r="DH46" s="29">
        <f>DH158-DH42</f>
        <v>1334.6999999999989</v>
      </c>
      <c r="DI46" s="49">
        <f>DH46</f>
        <v>1334.6999999999989</v>
      </c>
      <c r="DJ46" s="29">
        <f>BS!DJ32</f>
        <v>1152</v>
      </c>
      <c r="DK46" s="29">
        <f>BS!DK32</f>
        <v>1354</v>
      </c>
      <c r="DL46" s="29">
        <f>BS!DL32</f>
        <v>1132</v>
      </c>
      <c r="DM46" s="29">
        <f>BS!DM32</f>
        <v>1398</v>
      </c>
      <c r="DN46" s="49">
        <f>DM46</f>
        <v>1398</v>
      </c>
      <c r="DO46" s="29">
        <f>BS!DO32</f>
        <v>1313</v>
      </c>
      <c r="DP46" s="29">
        <f>BS!DP32</f>
        <v>1349</v>
      </c>
      <c r="DQ46" s="29">
        <f>BS!DQ32</f>
        <v>1262</v>
      </c>
      <c r="DR46" s="29">
        <f>BS!DR32</f>
        <v>1406</v>
      </c>
      <c r="DS46" s="49">
        <f>DR46</f>
        <v>1406</v>
      </c>
      <c r="DT46" s="29">
        <f>BS!DT32</f>
        <v>1292</v>
      </c>
      <c r="DU46" s="29">
        <f>BS!DU32</f>
        <v>1459</v>
      </c>
      <c r="DV46" s="29">
        <f>BS!DV32</f>
        <v>1394</v>
      </c>
      <c r="DW46" s="29">
        <f>BS!DW32</f>
        <v>1760</v>
      </c>
      <c r="DX46" s="49">
        <f>DW46</f>
        <v>1760</v>
      </c>
      <c r="DY46" s="29">
        <f>BS!DY32</f>
        <v>1629</v>
      </c>
      <c r="DZ46" s="29">
        <f>BS!DZ32</f>
        <v>1858</v>
      </c>
      <c r="EA46" s="29">
        <f>BS!EA32</f>
        <v>1842</v>
      </c>
      <c r="EB46" s="29">
        <f>BS!EB32</f>
        <v>2008</v>
      </c>
      <c r="EC46" s="49">
        <f>EB46</f>
        <v>2008</v>
      </c>
      <c r="ED46" s="29">
        <f>BS!ED32</f>
        <v>1825</v>
      </c>
      <c r="EE46" s="29">
        <f>BS!EE32</f>
        <v>2051</v>
      </c>
      <c r="EF46" s="29">
        <f>BS!EF32</f>
        <v>1966</v>
      </c>
      <c r="EG46" s="29">
        <f>BS!EG32</f>
        <v>2095</v>
      </c>
      <c r="EH46" s="49">
        <f>EG46</f>
        <v>2095</v>
      </c>
      <c r="EI46" s="29">
        <f>BS!EI32</f>
        <v>2784</v>
      </c>
      <c r="EJ46" s="29">
        <f>BS!EJ32</f>
        <v>4102</v>
      </c>
      <c r="EK46" s="29">
        <f>BS!EK32</f>
        <v>5017</v>
      </c>
      <c r="EL46" s="29">
        <f>BS!EL32</f>
        <v>2016</v>
      </c>
      <c r="EM46" s="49">
        <f>EL46</f>
        <v>2016</v>
      </c>
      <c r="EN46" s="29">
        <f>BS!EN32</f>
        <v>1717</v>
      </c>
      <c r="EO46" s="29">
        <f>BS!EO32</f>
        <v>1925</v>
      </c>
      <c r="EP46" s="29">
        <f>BS!EP32</f>
        <v>1768</v>
      </c>
      <c r="EQ46" s="29">
        <f>BS!EQ32</f>
        <v>2643</v>
      </c>
      <c r="ER46" s="49">
        <f>EQ46</f>
        <v>2643</v>
      </c>
      <c r="ES46" s="29">
        <f>BS!ES32</f>
        <v>2126</v>
      </c>
      <c r="ET46" s="29">
        <f>BS!ET32</f>
        <v>2500</v>
      </c>
      <c r="EU46" s="29">
        <f>BS!EU32</f>
        <v>2585</v>
      </c>
      <c r="EV46" s="29">
        <f>EV36-EV42</f>
        <v>2855.6215860759476</v>
      </c>
      <c r="EW46" s="49">
        <f>EV46</f>
        <v>2855.6215860759476</v>
      </c>
      <c r="EX46" s="29">
        <f>EX36-EX42</f>
        <v>2642.6659563096364</v>
      </c>
      <c r="EY46" s="29">
        <f>EY36-EY42</f>
        <v>2508.1732595276153</v>
      </c>
      <c r="EZ46" s="29">
        <f>EZ36-EZ42</f>
        <v>2488.2917304381008</v>
      </c>
      <c r="FA46" s="29">
        <f>FA36-FA42</f>
        <v>3313.9345916351376</v>
      </c>
      <c r="FB46" s="49">
        <f>FA46</f>
        <v>3313.9345916351376</v>
      </c>
      <c r="FC46" s="29">
        <f>FC36-FC42</f>
        <v>3062.366941725737</v>
      </c>
      <c r="FD46" s="29">
        <f>FD36-FD42</f>
        <v>2903.4887204898987</v>
      </c>
      <c r="FE46" s="29">
        <f>FE36-FE42</f>
        <v>2880.0023747419909</v>
      </c>
      <c r="FF46" s="29">
        <f>FF36-FF42</f>
        <v>3854.4434625273425</v>
      </c>
      <c r="FG46" s="49">
        <f>FF46</f>
        <v>3854.4434625273425</v>
      </c>
      <c r="FH46" s="29">
        <f>FH36-FH42</f>
        <v>3557.2628594581329</v>
      </c>
      <c r="FI46" s="29">
        <f>FI36-FI42</f>
        <v>3369.5776558223079</v>
      </c>
      <c r="FJ46" s="29">
        <f>FJ36-FJ42</f>
        <v>3341.8328865891817</v>
      </c>
      <c r="FK46" s="29">
        <f>FK36-FK42</f>
        <v>4492.0378126788928</v>
      </c>
      <c r="FL46" s="49">
        <f>FK46</f>
        <v>4492.0378126788928</v>
      </c>
      <c r="FM46" s="152"/>
      <c r="FN46" s="152"/>
      <c r="FO46" s="152"/>
      <c r="FP46" s="152"/>
      <c r="FQ46" s="152"/>
    </row>
    <row r="47" spans="1:173" s="32" customFormat="1" ht="12">
      <c r="A47" s="32" t="s">
        <v>665</v>
      </c>
      <c r="BP47" s="51"/>
      <c r="BQ47" s="32">
        <f>BQ46/BQ158</f>
        <v>0.21012482594742138</v>
      </c>
      <c r="BR47" s="32">
        <f>BR46/BR158</f>
        <v>0.19951537994921364</v>
      </c>
      <c r="BS47" s="32">
        <f>BS46/BS158</f>
        <v>0.19467232884643582</v>
      </c>
      <c r="BT47" s="32">
        <f>BT46/BT158</f>
        <v>0.23548247093616528</v>
      </c>
      <c r="BU47" s="51">
        <f>BT47</f>
        <v>0.23548247093616528</v>
      </c>
      <c r="BV47" s="32">
        <f>BV46/BV158</f>
        <v>0.25084191715233711</v>
      </c>
      <c r="BW47" s="32">
        <f>BW46/BW158</f>
        <v>0.22927920104419749</v>
      </c>
      <c r="BX47" s="32">
        <f>BX46/BX158</f>
        <v>0.20323994485837468</v>
      </c>
      <c r="BY47" s="32">
        <f>BY46/BY158</f>
        <v>0.19856391362367232</v>
      </c>
      <c r="BZ47" s="51">
        <f>BY47</f>
        <v>0.19856391362367232</v>
      </c>
      <c r="CA47" s="32">
        <f>CA46/CA158</f>
        <v>0.19733176808980402</v>
      </c>
      <c r="CB47" s="32">
        <f>CB46/CB158</f>
        <v>0.20669893020886398</v>
      </c>
      <c r="CC47" s="32">
        <f>CC46/CC158</f>
        <v>0.20954026043050758</v>
      </c>
      <c r="CD47" s="32">
        <f>CD46/CD158</f>
        <v>0.20337532102237985</v>
      </c>
      <c r="CE47" s="51">
        <f>CD47</f>
        <v>0.20337532102237985</v>
      </c>
      <c r="CF47" s="32">
        <f>CF46/CF158</f>
        <v>0.2098432279619635</v>
      </c>
      <c r="CG47" s="32">
        <f>CG46/CG158</f>
        <v>0.21328144614612102</v>
      </c>
      <c r="CH47" s="32">
        <f>CH46/CH158</f>
        <v>0.20979725475380934</v>
      </c>
      <c r="CI47" s="32">
        <f>CI46/CI158</f>
        <v>0.18162975891785754</v>
      </c>
      <c r="CJ47" s="51">
        <f>CI47</f>
        <v>0.18162975891785754</v>
      </c>
      <c r="CK47" s="32">
        <f>CK46/CK158</f>
        <v>0.18828071769248239</v>
      </c>
      <c r="CL47" s="32">
        <f>CL46/CL158</f>
        <v>0.1946141661009278</v>
      </c>
      <c r="CM47" s="32">
        <f>CM46/CM158</f>
        <v>0.18941691944725311</v>
      </c>
      <c r="CN47" s="32">
        <f>CN46/CN158</f>
        <v>0.16180517336268574</v>
      </c>
      <c r="CO47" s="51">
        <f>CN47</f>
        <v>0.16180517336268574</v>
      </c>
      <c r="CP47" s="32">
        <f>CP46/CP158</f>
        <v>0.17698326235515499</v>
      </c>
      <c r="CQ47" s="32">
        <f>CQ46/CQ158</f>
        <v>0.15496163898490853</v>
      </c>
      <c r="CR47" s="32">
        <f>CR46/CR158</f>
        <v>0.16843333657492948</v>
      </c>
      <c r="CS47" s="32">
        <f>CS46/CS158</f>
        <v>0.14763561600506089</v>
      </c>
      <c r="CT47" s="51">
        <f>CS47</f>
        <v>0.14763561600506089</v>
      </c>
      <c r="CU47" s="32">
        <f>CU46/CU158</f>
        <v>0.15425164189422744</v>
      </c>
      <c r="CV47" s="32">
        <f>CV46/CV158</f>
        <v>0.16069962226966661</v>
      </c>
      <c r="CW47" s="32">
        <f>CW46/CW158</f>
        <v>0.14449295658620973</v>
      </c>
      <c r="CX47" s="32">
        <f>CX46/CX158</f>
        <v>0.12420736092044192</v>
      </c>
      <c r="CY47" s="51">
        <f>CX47</f>
        <v>0.12420736092044192</v>
      </c>
      <c r="CZ47" s="32">
        <f>CZ46/CZ158</f>
        <v>0.12332121392001187</v>
      </c>
      <c r="DA47" s="32">
        <f>DA46/DA158</f>
        <v>0.11740394918108067</v>
      </c>
      <c r="DB47" s="32">
        <f>DB46/DB158</f>
        <v>0.11273554256010396</v>
      </c>
      <c r="DC47" s="32">
        <f>DC46/DC158</f>
        <v>8.9680761691402974E-2</v>
      </c>
      <c r="DD47" s="51">
        <f>DC47</f>
        <v>8.9680761691402974E-2</v>
      </c>
      <c r="DE47" s="32">
        <f>DE46/DE158</f>
        <v>8.1324485373781147E-2</v>
      </c>
      <c r="DF47" s="32">
        <f>DF46/DF158</f>
        <v>9.3151340996168577E-2</v>
      </c>
      <c r="DG47" s="32">
        <f>DG46/DG158</f>
        <v>8.8825448613376837E-2</v>
      </c>
      <c r="DH47" s="32">
        <f>DH46/DH158</f>
        <v>8.9999999999999927E-2</v>
      </c>
      <c r="DI47" s="51">
        <f>DH47</f>
        <v>8.9999999999999927E-2</v>
      </c>
      <c r="DJ47" s="32">
        <f>DJ46/DJ158</f>
        <v>8.2764566420001434E-2</v>
      </c>
      <c r="DK47" s="32">
        <f>DK46/DK158</f>
        <v>0.10091674741000224</v>
      </c>
      <c r="DL47" s="32">
        <f>DL46/DL158</f>
        <v>8.6949842537829322E-2</v>
      </c>
      <c r="DM47" s="32">
        <f>DM46/DM158</f>
        <v>8.1658878504672891E-2</v>
      </c>
      <c r="DN47" s="51">
        <f>DM47</f>
        <v>8.1658878504672891E-2</v>
      </c>
      <c r="DO47" s="32">
        <f>DO46/DO158</f>
        <v>8.3854898454464172E-2</v>
      </c>
      <c r="DP47" s="32">
        <f>DP46/DP158</f>
        <v>8.7974435894091554E-2</v>
      </c>
      <c r="DQ47" s="32">
        <f>DQ46/DQ158</f>
        <v>8.3075505233361865E-2</v>
      </c>
      <c r="DR47" s="32">
        <f>DR46/DR158</f>
        <v>7.0093224986290448E-2</v>
      </c>
      <c r="DS47" s="51">
        <f>DR47</f>
        <v>7.0093224986290448E-2</v>
      </c>
      <c r="DT47" s="32">
        <f>DT46/DT158</f>
        <v>6.5962117731148212E-2</v>
      </c>
      <c r="DU47" s="32">
        <f>DU46/DU158</f>
        <v>7.3638520163528995E-2</v>
      </c>
      <c r="DV47" s="32">
        <f>DV46/DV158</f>
        <v>7.7855347668249086E-2</v>
      </c>
      <c r="DW47" s="32">
        <f>DW46/DW158</f>
        <v>7.8574936381088437E-2</v>
      </c>
      <c r="DX47" s="51">
        <f>DW47</f>
        <v>7.8574936381088437E-2</v>
      </c>
      <c r="DY47" s="32">
        <f>DY46/DY26</f>
        <v>8.1040744241580018E-2</v>
      </c>
      <c r="DZ47" s="32">
        <f>DZ46/DZ26</f>
        <v>9.5409263633562696E-2</v>
      </c>
      <c r="EA47" s="32">
        <f>EA46/EA158</f>
        <v>9.4403444034440342E-2</v>
      </c>
      <c r="EB47" s="32">
        <f>EB46/EB158</f>
        <v>7.9815565625248427E-2</v>
      </c>
      <c r="EC47" s="51">
        <f>EB47</f>
        <v>7.9815565625248427E-2</v>
      </c>
      <c r="ED47" s="32">
        <f>ED46/ED26</f>
        <v>8.097435442364008E-2</v>
      </c>
      <c r="EE47" s="32">
        <f>EE46/EE158</f>
        <v>9.6549451584051219E-2</v>
      </c>
      <c r="EF47" s="32">
        <f>EF46/EF158</f>
        <v>9.7336369937617587E-2</v>
      </c>
      <c r="EG47" s="32">
        <f>EG46/EG158</f>
        <v>8.2747452405403266E-2</v>
      </c>
      <c r="EH47" s="51">
        <f>EG47</f>
        <v>8.2747452405403266E-2</v>
      </c>
      <c r="EI47" s="32">
        <f>EI46/EI158</f>
        <v>0.11413152736842903</v>
      </c>
      <c r="EJ47" s="32">
        <f>EJ46/EJ158</f>
        <v>0.16383986485795615</v>
      </c>
      <c r="EK47" s="32">
        <f>EK46/EK158</f>
        <v>0.1935999710575475</v>
      </c>
      <c r="EL47" s="32">
        <f>EL46/EL158</f>
        <v>9.0722078791399804E-2</v>
      </c>
      <c r="EM47" s="51">
        <f>EL47</f>
        <v>9.0722078791399804E-2</v>
      </c>
      <c r="EN47" s="32">
        <f>EN46/EN36</f>
        <v>8.4290623465881204E-2</v>
      </c>
      <c r="EO47" s="32">
        <f t="shared" ref="EO47:FG47" si="87">EO46/EO36</f>
        <v>9.6293331999399726E-2</v>
      </c>
      <c r="EP47" s="32">
        <f t="shared" si="87"/>
        <v>8.8826366559485531E-2</v>
      </c>
      <c r="EQ47" s="32">
        <f t="shared" si="87"/>
        <v>9.9152160864345737E-2</v>
      </c>
      <c r="ER47" s="51">
        <f t="shared" si="87"/>
        <v>9.9152160864345737E-2</v>
      </c>
      <c r="ES47" s="32">
        <f>ES46/ES36</f>
        <v>8.5367812399614523E-2</v>
      </c>
      <c r="ET47" s="32">
        <f>ET46/ET36</f>
        <v>0.10500231005082111</v>
      </c>
      <c r="EU47" s="32">
        <f>EU46/EU36</f>
        <v>0.10791066583176789</v>
      </c>
      <c r="EV47" s="32">
        <f t="shared" si="87"/>
        <v>8.9999999999999941E-2</v>
      </c>
      <c r="EW47" s="51">
        <f t="shared" si="87"/>
        <v>8.9999999999999941E-2</v>
      </c>
      <c r="EX47" s="32">
        <f t="shared" si="87"/>
        <v>9.0000000000000011E-2</v>
      </c>
      <c r="EY47" s="32">
        <f t="shared" si="87"/>
        <v>8.9999999999999983E-2</v>
      </c>
      <c r="EZ47" s="32">
        <f t="shared" si="87"/>
        <v>9.0000000000000038E-2</v>
      </c>
      <c r="FA47" s="32">
        <f t="shared" si="87"/>
        <v>9.0000000000000011E-2</v>
      </c>
      <c r="FB47" s="51">
        <f t="shared" si="87"/>
        <v>9.0000000000000011E-2</v>
      </c>
      <c r="FC47" s="32">
        <f t="shared" si="87"/>
        <v>8.9999999999999941E-2</v>
      </c>
      <c r="FD47" s="32">
        <f t="shared" si="87"/>
        <v>8.9999999999999983E-2</v>
      </c>
      <c r="FE47" s="32">
        <f t="shared" si="87"/>
        <v>8.9999999999999955E-2</v>
      </c>
      <c r="FF47" s="32">
        <f t="shared" si="87"/>
        <v>8.9999999999999927E-2</v>
      </c>
      <c r="FG47" s="51">
        <f t="shared" si="87"/>
        <v>8.9999999999999927E-2</v>
      </c>
      <c r="FH47" s="32">
        <f t="shared" ref="FH47:FL47" si="88">FH46/FH36</f>
        <v>9.0000000000000038E-2</v>
      </c>
      <c r="FI47" s="32">
        <f t="shared" si="88"/>
        <v>9.0000000000000024E-2</v>
      </c>
      <c r="FJ47" s="32">
        <f t="shared" si="88"/>
        <v>8.9999999999999927E-2</v>
      </c>
      <c r="FK47" s="32">
        <f t="shared" si="88"/>
        <v>9.0000000000000024E-2</v>
      </c>
      <c r="FL47" s="51">
        <f t="shared" si="88"/>
        <v>9.0000000000000024E-2</v>
      </c>
      <c r="FM47" s="33"/>
      <c r="FN47" s="33"/>
      <c r="FO47" s="33"/>
      <c r="FP47" s="33"/>
      <c r="FQ47" s="33"/>
    </row>
    <row r="48" spans="1:173" s="64" customFormat="1" ht="12">
      <c r="A48" s="64" t="s">
        <v>163</v>
      </c>
      <c r="BP48" s="68"/>
      <c r="BU48" s="68"/>
      <c r="BV48" s="64">
        <f>BV46/BQ46-1</f>
        <v>0.86330349877949542</v>
      </c>
      <c r="BW48" s="64">
        <f>BW46/BR46-1</f>
        <v>0.53368660105980315</v>
      </c>
      <c r="BX48" s="64">
        <f>BX46/BS46-1</f>
        <v>0.28826151560178315</v>
      </c>
      <c r="BY48" s="64">
        <f>BY46/BT46-1</f>
        <v>-1.810202962150298E-2</v>
      </c>
      <c r="BZ48" s="68"/>
      <c r="CA48" s="64">
        <f t="shared" ref="CA48:DI48" si="89">CA46/BV46-1</f>
        <v>-0.28951965065502183</v>
      </c>
      <c r="CB48" s="64">
        <f t="shared" si="89"/>
        <v>-0.19891411648568613</v>
      </c>
      <c r="CC48" s="64">
        <f t="shared" si="89"/>
        <v>-9.0542099192618242E-2</v>
      </c>
      <c r="CD48" s="64">
        <f t="shared" si="89"/>
        <v>-7.094972067039107E-2</v>
      </c>
      <c r="CE48" s="68">
        <f t="shared" si="89"/>
        <v>-7.094972067039107E-2</v>
      </c>
      <c r="CF48" s="64">
        <f t="shared" si="89"/>
        <v>3.6877688998155911E-3</v>
      </c>
      <c r="CG48" s="64">
        <f t="shared" si="89"/>
        <v>4.6826863832409193E-2</v>
      </c>
      <c r="CH48" s="64">
        <f t="shared" si="89"/>
        <v>5.6436271401395066E-2</v>
      </c>
      <c r="CI48" s="64">
        <f t="shared" si="89"/>
        <v>1.2026458208058699E-3</v>
      </c>
      <c r="CJ48" s="68">
        <f t="shared" si="89"/>
        <v>1.2026458208058699E-3</v>
      </c>
      <c r="CK48" s="64">
        <f t="shared" si="89"/>
        <v>1.5309246785058184E-2</v>
      </c>
      <c r="CL48" s="64">
        <f t="shared" si="89"/>
        <v>1.2360211889346662E-2</v>
      </c>
      <c r="CM48" s="64">
        <f t="shared" si="89"/>
        <v>1.200480192076836E-2</v>
      </c>
      <c r="CN48" s="64">
        <f t="shared" si="89"/>
        <v>5.9459459459459518E-2</v>
      </c>
      <c r="CO48" s="68">
        <f t="shared" si="89"/>
        <v>5.9459459459459518E-2</v>
      </c>
      <c r="CP48" s="64">
        <f t="shared" si="89"/>
        <v>7.7804583835946906E-2</v>
      </c>
      <c r="CQ48" s="64">
        <f t="shared" si="89"/>
        <v>6.8604651162790686E-2</v>
      </c>
      <c r="CR48" s="64">
        <f t="shared" si="89"/>
        <v>2.7283511269276417E-2</v>
      </c>
      <c r="CS48" s="64">
        <f t="shared" si="89"/>
        <v>5.8390022675737008E-2</v>
      </c>
      <c r="CT48" s="68">
        <f t="shared" si="89"/>
        <v>5.8390022675737008E-2</v>
      </c>
      <c r="CU48" s="64">
        <f t="shared" si="89"/>
        <v>-1.1191941801902416E-3</v>
      </c>
      <c r="CV48" s="64">
        <f t="shared" si="89"/>
        <v>6.4744287268770462E-2</v>
      </c>
      <c r="CW48" s="64">
        <f t="shared" si="89"/>
        <v>1.2702078521940052E-2</v>
      </c>
      <c r="CX48" s="64">
        <f t="shared" si="89"/>
        <v>1.7675415104445591E-2</v>
      </c>
      <c r="CY48" s="68">
        <f t="shared" si="89"/>
        <v>1.7675415104445591E-2</v>
      </c>
      <c r="CZ48" s="64">
        <f t="shared" si="89"/>
        <v>-6.8907563025210061E-2</v>
      </c>
      <c r="DA48" s="64">
        <f t="shared" si="89"/>
        <v>-0.2161471640265713</v>
      </c>
      <c r="DB48" s="64">
        <f t="shared" si="89"/>
        <v>-0.20866590649942984</v>
      </c>
      <c r="DC48" s="64">
        <f t="shared" si="89"/>
        <v>-0.32578947368421052</v>
      </c>
      <c r="DD48" s="68">
        <f t="shared" si="89"/>
        <v>-0.32578947368421052</v>
      </c>
      <c r="DE48" s="64">
        <f t="shared" si="89"/>
        <v>-0.27737665463297234</v>
      </c>
      <c r="DF48" s="64">
        <f t="shared" si="89"/>
        <v>-0.23924380704041726</v>
      </c>
      <c r="DG48" s="64">
        <f t="shared" si="89"/>
        <v>-0.21541786743515845</v>
      </c>
      <c r="DH48" s="64">
        <f t="shared" si="89"/>
        <v>4.1920374707259178E-2</v>
      </c>
      <c r="DI48" s="68">
        <f t="shared" si="89"/>
        <v>4.1920374707259178E-2</v>
      </c>
      <c r="DJ48" s="64">
        <f t="shared" ref="DJ48:DQ48" si="90">DJ46/DE46-1</f>
        <v>-4.079933388842627E-2</v>
      </c>
      <c r="DK48" s="64">
        <f t="shared" si="90"/>
        <v>0.16023993144815774</v>
      </c>
      <c r="DL48" s="64">
        <f t="shared" si="90"/>
        <v>3.9485766758494023E-2</v>
      </c>
      <c r="DM48" s="64">
        <f t="shared" si="90"/>
        <v>4.7426387952349769E-2</v>
      </c>
      <c r="DN48" s="68">
        <f t="shared" si="90"/>
        <v>4.7426387952349769E-2</v>
      </c>
      <c r="DO48" s="64">
        <f t="shared" si="90"/>
        <v>0.13975694444444442</v>
      </c>
      <c r="DP48" s="64">
        <f t="shared" si="90"/>
        <v>-3.6927621861152504E-3</v>
      </c>
      <c r="DQ48" s="64">
        <f t="shared" si="90"/>
        <v>0.11484098939929321</v>
      </c>
      <c r="DR48" s="64">
        <f t="shared" ref="DR48:DW48" si="91">DR46/DM46-1</f>
        <v>5.7224606580830173E-3</v>
      </c>
      <c r="DS48" s="68">
        <f t="shared" si="91"/>
        <v>5.7224606580830173E-3</v>
      </c>
      <c r="DT48" s="64">
        <f t="shared" si="91"/>
        <v>-1.5993907083015957E-2</v>
      </c>
      <c r="DU48" s="64">
        <f t="shared" si="91"/>
        <v>8.1541882876204674E-2</v>
      </c>
      <c r="DV48" s="64">
        <f t="shared" si="91"/>
        <v>0.10459587955625982</v>
      </c>
      <c r="DW48" s="64">
        <f t="shared" si="91"/>
        <v>0.25177809388335715</v>
      </c>
      <c r="DX48" s="68">
        <f t="shared" ref="DX48:EC48" si="92">DX46/DS46-1</f>
        <v>0.25177809388335715</v>
      </c>
      <c r="DY48" s="64">
        <f>DY46/DT46-1</f>
        <v>0.2608359133126934</v>
      </c>
      <c r="DZ48" s="64">
        <f>DZ46/DU46-1</f>
        <v>0.27347498286497607</v>
      </c>
      <c r="EA48" s="64">
        <f t="shared" si="92"/>
        <v>0.32137733142037295</v>
      </c>
      <c r="EB48" s="64">
        <f t="shared" si="92"/>
        <v>0.14090909090909087</v>
      </c>
      <c r="EC48" s="68">
        <f t="shared" si="92"/>
        <v>0.14090909090909087</v>
      </c>
      <c r="ED48" s="64">
        <f>ED46/DY46-1</f>
        <v>0.12031921424186609</v>
      </c>
      <c r="EE48" s="64">
        <f t="shared" ref="EE48:EW48" si="93">EE46/DZ46-1</f>
        <v>0.10387513455328312</v>
      </c>
      <c r="EF48" s="64">
        <f t="shared" si="93"/>
        <v>6.7318132464712299E-2</v>
      </c>
      <c r="EG48" s="64">
        <f t="shared" si="93"/>
        <v>4.3326693227091706E-2</v>
      </c>
      <c r="EH48" s="68">
        <f t="shared" si="93"/>
        <v>4.3326693227091706E-2</v>
      </c>
      <c r="EI48" s="64">
        <f t="shared" si="93"/>
        <v>0.52547945205479452</v>
      </c>
      <c r="EJ48" s="64">
        <f t="shared" si="93"/>
        <v>1</v>
      </c>
      <c r="EK48" s="64">
        <f t="shared" si="93"/>
        <v>1.5518819938962358</v>
      </c>
      <c r="EL48" s="64">
        <f t="shared" si="93"/>
        <v>-3.7708830548926042E-2</v>
      </c>
      <c r="EM48" s="68">
        <f t="shared" si="93"/>
        <v>-3.7708830548926042E-2</v>
      </c>
      <c r="EN48" s="64">
        <f t="shared" si="93"/>
        <v>-0.38326149425287359</v>
      </c>
      <c r="EO48" s="64">
        <f t="shared" si="93"/>
        <v>-0.53071672354948807</v>
      </c>
      <c r="EP48" s="64">
        <f t="shared" si="93"/>
        <v>-0.6475981662348016</v>
      </c>
      <c r="EQ48" s="64">
        <f t="shared" si="93"/>
        <v>0.31101190476190466</v>
      </c>
      <c r="ER48" s="68">
        <f t="shared" si="93"/>
        <v>0.31101190476190466</v>
      </c>
      <c r="ES48" s="64">
        <f t="shared" si="93"/>
        <v>0.23820617355853235</v>
      </c>
      <c r="ET48" s="64">
        <f t="shared" si="93"/>
        <v>0.29870129870129869</v>
      </c>
      <c r="EU48" s="64">
        <f t="shared" si="93"/>
        <v>0.46210407239818996</v>
      </c>
      <c r="EV48" s="64">
        <f>EV46/EQ46-1</f>
        <v>8.0447062457793317E-2</v>
      </c>
      <c r="EW48" s="68">
        <f t="shared" si="93"/>
        <v>8.0447062457793317E-2</v>
      </c>
      <c r="EX48" s="64">
        <f t="shared" ref="EX48:FG48" si="94">EX46/ES46-1</f>
        <v>0.24302255706003595</v>
      </c>
      <c r="EY48" s="64">
        <f t="shared" si="94"/>
        <v>3.2693038110460648E-3</v>
      </c>
      <c r="EZ48" s="64">
        <f t="shared" si="94"/>
        <v>-3.7411322847930029E-2</v>
      </c>
      <c r="FA48" s="64">
        <f t="shared" si="94"/>
        <v>0.16049500668923744</v>
      </c>
      <c r="FB48" s="68">
        <f t="shared" si="94"/>
        <v>0.16049500668923744</v>
      </c>
      <c r="FC48" s="64">
        <f t="shared" si="94"/>
        <v>0.15881726724258183</v>
      </c>
      <c r="FD48" s="64">
        <f t="shared" si="94"/>
        <v>0.15761090644780107</v>
      </c>
      <c r="FE48" s="64">
        <f t="shared" si="94"/>
        <v>0.15742151111635283</v>
      </c>
      <c r="FF48" s="64">
        <f t="shared" si="94"/>
        <v>0.16310185247968656</v>
      </c>
      <c r="FG48" s="68">
        <f t="shared" si="94"/>
        <v>0.16310185247968656</v>
      </c>
      <c r="FH48" s="64">
        <f t="shared" ref="FH48" si="95">FH46/FC46-1</f>
        <v>0.16160568839392808</v>
      </c>
      <c r="FI48" s="64">
        <f t="shared" ref="FI48" si="96">FI46/FD46-1</f>
        <v>0.16052720716399649</v>
      </c>
      <c r="FJ48" s="64">
        <f t="shared" ref="FJ48" si="97">FJ46/FE46-1</f>
        <v>0.1603576843885639</v>
      </c>
      <c r="FK48" s="64">
        <f t="shared" ref="FK48" si="98">FK46/FF46-1</f>
        <v>0.16541800556946873</v>
      </c>
      <c r="FL48" s="68">
        <f t="shared" ref="FL48" si="99">FL46/FG46-1</f>
        <v>0.16541800556946873</v>
      </c>
    </row>
    <row r="49" spans="1:173" s="31" customFormat="1" ht="12">
      <c r="DC49" s="38"/>
      <c r="DD49" s="38"/>
      <c r="DE49" s="38"/>
      <c r="DH49" s="38"/>
      <c r="DI49" s="38"/>
      <c r="DJ49" s="38"/>
      <c r="DL49" s="38"/>
      <c r="DM49" s="38"/>
      <c r="DN49" s="38"/>
      <c r="DR49" s="38"/>
      <c r="DS49" s="38"/>
      <c r="DV49" s="38"/>
      <c r="DY49" s="38"/>
    </row>
    <row r="50" spans="1:173" s="31" customFormat="1" ht="12">
      <c r="DC50" s="38"/>
      <c r="DD50" s="38"/>
      <c r="DE50" s="38"/>
      <c r="DH50" s="38"/>
      <c r="DI50" s="38"/>
      <c r="DJ50" s="38"/>
      <c r="DL50" s="38"/>
      <c r="DM50" s="38"/>
      <c r="DN50" s="38"/>
      <c r="DR50" s="38"/>
      <c r="DS50" s="38"/>
      <c r="DV50" s="38"/>
      <c r="DY50" s="38"/>
    </row>
    <row r="51" spans="1:173" s="70" customFormat="1" ht="11.25" customHeight="1">
      <c r="A51" s="9" t="s">
        <v>670</v>
      </c>
      <c r="D51" s="71"/>
      <c r="H51" s="72" t="s">
        <v>109</v>
      </c>
      <c r="M51" s="72" t="s">
        <v>109</v>
      </c>
      <c r="R51" s="72" t="s">
        <v>109</v>
      </c>
      <c r="W51" s="72" t="s">
        <v>109</v>
      </c>
      <c r="AB51" s="72" t="s">
        <v>109</v>
      </c>
      <c r="AG51" s="72" t="s">
        <v>109</v>
      </c>
      <c r="AL51" s="72" t="s">
        <v>109</v>
      </c>
      <c r="AQ51" s="72" t="s">
        <v>109</v>
      </c>
      <c r="AV51" s="73" t="s">
        <v>109</v>
      </c>
      <c r="BA51" s="73" t="s">
        <v>109</v>
      </c>
      <c r="BF51" s="73" t="s">
        <v>109</v>
      </c>
      <c r="BK51" s="73" t="s">
        <v>109</v>
      </c>
      <c r="BP51" s="73" t="s">
        <v>109</v>
      </c>
      <c r="BU51" s="73" t="s">
        <v>109</v>
      </c>
      <c r="BZ51" s="73" t="s">
        <v>109</v>
      </c>
      <c r="CE51" s="73" t="s">
        <v>109</v>
      </c>
      <c r="CJ51" s="73" t="s">
        <v>109</v>
      </c>
      <c r="CO51" s="73" t="s">
        <v>109</v>
      </c>
      <c r="CT51" s="73" t="s">
        <v>109</v>
      </c>
      <c r="CY51" s="73" t="s">
        <v>109</v>
      </c>
      <c r="DD51" s="73" t="s">
        <v>109</v>
      </c>
      <c r="DI51" s="73" t="s">
        <v>109</v>
      </c>
      <c r="DN51" s="73" t="s">
        <v>109</v>
      </c>
      <c r="DS51" s="73" t="s">
        <v>109</v>
      </c>
      <c r="DX51" s="73" t="s">
        <v>109</v>
      </c>
      <c r="EC51" s="73" t="s">
        <v>109</v>
      </c>
      <c r="EH51" s="73" t="s">
        <v>109</v>
      </c>
      <c r="EM51" s="73" t="s">
        <v>109</v>
      </c>
      <c r="ER51" s="73" t="s">
        <v>109</v>
      </c>
      <c r="EW51" s="73" t="s">
        <v>109</v>
      </c>
      <c r="FB51" s="73" t="s">
        <v>109</v>
      </c>
      <c r="FG51" s="73" t="s">
        <v>109</v>
      </c>
      <c r="FL51" s="73" t="s">
        <v>109</v>
      </c>
    </row>
    <row r="52" spans="1:173" s="45" customFormat="1" ht="12">
      <c r="B52" s="46"/>
      <c r="C52" s="46"/>
      <c r="D52" s="1139">
        <v>32416</v>
      </c>
      <c r="E52" s="1139">
        <v>32508</v>
      </c>
      <c r="F52" s="1139">
        <v>32598</v>
      </c>
      <c r="G52" s="1139">
        <v>32689</v>
      </c>
      <c r="H52" s="1139">
        <v>1998</v>
      </c>
      <c r="I52" s="1139">
        <v>32781</v>
      </c>
      <c r="J52" s="1139">
        <v>32873</v>
      </c>
      <c r="K52" s="1139">
        <v>32963</v>
      </c>
      <c r="L52" s="1139">
        <v>33054</v>
      </c>
      <c r="M52" s="66" t="s">
        <v>865</v>
      </c>
      <c r="N52" s="1139">
        <v>33146</v>
      </c>
      <c r="O52" s="1139">
        <v>33238</v>
      </c>
      <c r="P52" s="1139">
        <v>33328</v>
      </c>
      <c r="Q52" s="1139">
        <v>33419</v>
      </c>
      <c r="R52" s="66" t="s">
        <v>126</v>
      </c>
      <c r="S52" s="1139">
        <v>33511</v>
      </c>
      <c r="T52" s="1139">
        <v>33603</v>
      </c>
      <c r="U52" s="1139">
        <v>33694</v>
      </c>
      <c r="V52" s="1139">
        <v>33785</v>
      </c>
      <c r="W52" s="66" t="s">
        <v>127</v>
      </c>
      <c r="X52" s="1139">
        <v>33877</v>
      </c>
      <c r="Y52" s="1139">
        <v>33969</v>
      </c>
      <c r="Z52" s="1139">
        <v>34059</v>
      </c>
      <c r="AA52" s="1139">
        <v>34150</v>
      </c>
      <c r="AB52" s="66" t="s">
        <v>128</v>
      </c>
      <c r="AC52" s="1139">
        <v>34242</v>
      </c>
      <c r="AD52" s="1139">
        <v>34334</v>
      </c>
      <c r="AE52" s="1139">
        <v>34424</v>
      </c>
      <c r="AF52" s="1139">
        <v>34515</v>
      </c>
      <c r="AG52" s="66" t="s">
        <v>129</v>
      </c>
      <c r="AH52" s="1139">
        <v>34607</v>
      </c>
      <c r="AI52" s="1139">
        <v>34699</v>
      </c>
      <c r="AJ52" s="1139">
        <v>34789</v>
      </c>
      <c r="AK52" s="1139">
        <v>34880</v>
      </c>
      <c r="AL52" s="66" t="s">
        <v>130</v>
      </c>
      <c r="AM52" s="1139">
        <v>34972</v>
      </c>
      <c r="AN52" s="1139">
        <v>35064</v>
      </c>
      <c r="AO52" s="1139">
        <v>35155</v>
      </c>
      <c r="AP52" s="1139">
        <v>35246</v>
      </c>
      <c r="AQ52" s="66" t="s">
        <v>131</v>
      </c>
      <c r="AR52" s="1139">
        <v>35338</v>
      </c>
      <c r="AS52" s="1139">
        <v>35430</v>
      </c>
      <c r="AT52" s="1139">
        <v>35520</v>
      </c>
      <c r="AU52" s="1139">
        <v>35611</v>
      </c>
      <c r="AV52" s="66" t="s">
        <v>134</v>
      </c>
      <c r="AW52" s="1139">
        <v>35703</v>
      </c>
      <c r="AX52" s="1139">
        <v>35795</v>
      </c>
      <c r="AY52" s="1139">
        <v>35885</v>
      </c>
      <c r="AZ52" s="1139">
        <v>35976</v>
      </c>
      <c r="BA52" s="66" t="s">
        <v>135</v>
      </c>
      <c r="BB52" s="1139">
        <v>36068</v>
      </c>
      <c r="BC52" s="1139">
        <v>36160</v>
      </c>
      <c r="BD52" s="1139">
        <v>36250</v>
      </c>
      <c r="BE52" s="1139">
        <v>36341</v>
      </c>
      <c r="BF52" s="66" t="s">
        <v>124</v>
      </c>
      <c r="BG52" s="1139">
        <v>36433</v>
      </c>
      <c r="BH52" s="1139">
        <v>36525</v>
      </c>
      <c r="BI52" s="1139">
        <v>36616</v>
      </c>
      <c r="BJ52" s="1139">
        <v>36707</v>
      </c>
      <c r="BK52" s="66" t="s">
        <v>125</v>
      </c>
      <c r="BL52" s="1139">
        <v>36799</v>
      </c>
      <c r="BM52" s="1139">
        <v>36891</v>
      </c>
      <c r="BN52" s="1139">
        <v>36981</v>
      </c>
      <c r="BO52" s="1139">
        <v>37072</v>
      </c>
      <c r="BP52" s="67" t="s">
        <v>136</v>
      </c>
      <c r="BQ52" s="1139">
        <v>37164</v>
      </c>
      <c r="BR52" s="1139">
        <v>37256</v>
      </c>
      <c r="BS52" s="1139">
        <v>37346</v>
      </c>
      <c r="BT52" s="1139">
        <v>37437</v>
      </c>
      <c r="BU52" s="67" t="s">
        <v>137</v>
      </c>
      <c r="BV52" s="1139">
        <v>37529</v>
      </c>
      <c r="BW52" s="1139">
        <v>37621</v>
      </c>
      <c r="BX52" s="1139">
        <v>37711</v>
      </c>
      <c r="BY52" s="1139">
        <v>37802</v>
      </c>
      <c r="BZ52" s="67" t="s">
        <v>138</v>
      </c>
      <c r="CA52" s="1139">
        <v>37894</v>
      </c>
      <c r="CB52" s="1139">
        <v>37986</v>
      </c>
      <c r="CC52" s="1139">
        <v>38077</v>
      </c>
      <c r="CD52" s="1139">
        <v>38168</v>
      </c>
      <c r="CE52" s="67" t="s">
        <v>139</v>
      </c>
      <c r="CF52" s="1139">
        <v>38260</v>
      </c>
      <c r="CG52" s="1139">
        <v>38352</v>
      </c>
      <c r="CH52" s="1139">
        <v>38442</v>
      </c>
      <c r="CI52" s="1139">
        <v>38533</v>
      </c>
      <c r="CJ52" s="67" t="s">
        <v>140</v>
      </c>
      <c r="CK52" s="1139">
        <v>38625</v>
      </c>
      <c r="CL52" s="1139">
        <v>38717</v>
      </c>
      <c r="CM52" s="1139">
        <v>38807</v>
      </c>
      <c r="CN52" s="1139">
        <v>38898</v>
      </c>
      <c r="CO52" s="67" t="s">
        <v>141</v>
      </c>
      <c r="CP52" s="1139">
        <v>38990</v>
      </c>
      <c r="CQ52" s="1139">
        <v>39082</v>
      </c>
      <c r="CR52" s="1139">
        <v>39172</v>
      </c>
      <c r="CS52" s="1139">
        <v>39263</v>
      </c>
      <c r="CT52" s="67" t="s">
        <v>142</v>
      </c>
      <c r="CU52" s="1139">
        <v>39355</v>
      </c>
      <c r="CV52" s="1139">
        <v>39447</v>
      </c>
      <c r="CW52" s="1139">
        <v>39538</v>
      </c>
      <c r="CX52" s="192" t="s">
        <v>314</v>
      </c>
      <c r="CY52" s="193" t="s">
        <v>830</v>
      </c>
      <c r="CZ52" s="1139">
        <v>39699</v>
      </c>
      <c r="DA52" s="1139">
        <v>39790</v>
      </c>
      <c r="DB52" s="1139">
        <v>39881</v>
      </c>
      <c r="DC52" s="1139">
        <v>39973</v>
      </c>
      <c r="DD52" s="193" t="s">
        <v>311</v>
      </c>
      <c r="DE52" s="1139">
        <v>40065</v>
      </c>
      <c r="DF52" s="192" t="s">
        <v>773</v>
      </c>
      <c r="DG52" s="192" t="s">
        <v>547</v>
      </c>
      <c r="DH52" s="192" t="s">
        <v>594</v>
      </c>
      <c r="DI52" s="193" t="s">
        <v>592</v>
      </c>
      <c r="DJ52" s="192" t="s">
        <v>475</v>
      </c>
      <c r="DK52" s="192" t="s">
        <v>209</v>
      </c>
      <c r="DL52" s="66" t="s">
        <v>829</v>
      </c>
      <c r="DM52" s="192" t="s">
        <v>70</v>
      </c>
      <c r="DN52" s="193" t="s">
        <v>68</v>
      </c>
      <c r="DO52" s="66" t="str">
        <f>DO41</f>
        <v>9/11</v>
      </c>
      <c r="DP52" s="192" t="str">
        <f>DP41</f>
        <v>12/11</v>
      </c>
      <c r="DQ52" s="192" t="str">
        <f>DQ41</f>
        <v>3/12</v>
      </c>
      <c r="DR52" s="66" t="str">
        <f>DR41</f>
        <v>6/12</v>
      </c>
      <c r="DS52" s="67" t="str">
        <f>DS41</f>
        <v>2012</v>
      </c>
      <c r="DT52" s="66" t="s">
        <v>160</v>
      </c>
      <c r="DU52" s="66" t="s">
        <v>896</v>
      </c>
      <c r="DV52" s="192" t="s">
        <v>465</v>
      </c>
      <c r="DW52" s="192" t="s">
        <v>33</v>
      </c>
      <c r="DX52" s="193" t="s">
        <v>27</v>
      </c>
      <c r="DY52" s="192" t="s">
        <v>760</v>
      </c>
      <c r="DZ52" s="192" t="s">
        <v>906</v>
      </c>
      <c r="EA52" s="66" t="str">
        <f>EA41</f>
        <v>3/14</v>
      </c>
      <c r="EB52" s="66" t="str">
        <f>EB41</f>
        <v>6/14</v>
      </c>
      <c r="EC52" s="193" t="str">
        <f>EC41</f>
        <v>2014</v>
      </c>
      <c r="ED52" s="66" t="str">
        <f t="shared" ref="ED52:EM52" si="100">ED41</f>
        <v>Sep-14</v>
      </c>
      <c r="EE52" s="66" t="str">
        <f t="shared" si="100"/>
        <v>Dec-14</v>
      </c>
      <c r="EF52" s="66" t="str">
        <f t="shared" si="100"/>
        <v>Mar-15</v>
      </c>
      <c r="EG52" s="66" t="str">
        <f t="shared" si="100"/>
        <v>Jun-15</v>
      </c>
      <c r="EH52" s="67" t="str">
        <f t="shared" si="100"/>
        <v>2015</v>
      </c>
      <c r="EI52" s="66" t="str">
        <f t="shared" si="100"/>
        <v>Sep-15</v>
      </c>
      <c r="EJ52" s="66" t="str">
        <f t="shared" si="100"/>
        <v>Dec-15</v>
      </c>
      <c r="EK52" s="66" t="str">
        <f t="shared" si="100"/>
        <v>Mar-16</v>
      </c>
      <c r="EL52" s="66" t="str">
        <f t="shared" si="100"/>
        <v>Jun-16</v>
      </c>
      <c r="EM52" s="67" t="str">
        <f t="shared" si="100"/>
        <v>2016</v>
      </c>
      <c r="EN52" s="66" t="str">
        <f>EN41</f>
        <v>Sep-16</v>
      </c>
      <c r="EO52" s="66" t="str">
        <f t="shared" ref="EO52:EQ52" si="101">EO41</f>
        <v>Dec-16</v>
      </c>
      <c r="EP52" s="66" t="str">
        <f t="shared" si="101"/>
        <v>Mar-17</v>
      </c>
      <c r="EQ52" s="66" t="str">
        <f t="shared" si="101"/>
        <v>Jun-17</v>
      </c>
      <c r="ER52" s="67" t="str">
        <f t="shared" ref="ER52:EW52" si="102">ER41</f>
        <v>2017</v>
      </c>
      <c r="ES52" s="66" t="str">
        <f>ES41</f>
        <v>Sep-17</v>
      </c>
      <c r="ET52" s="66" t="str">
        <f>ET41</f>
        <v>Dec-17</v>
      </c>
      <c r="EU52" s="66" t="str">
        <f t="shared" si="102"/>
        <v>Mar-18</v>
      </c>
      <c r="EV52" s="66" t="str">
        <f t="shared" si="102"/>
        <v>Jun-18E</v>
      </c>
      <c r="EW52" s="67" t="str">
        <f t="shared" si="102"/>
        <v>2018E</v>
      </c>
      <c r="EX52" s="66" t="str">
        <f t="shared" ref="EX52:FG52" si="103">EX41</f>
        <v>Sep-18E</v>
      </c>
      <c r="EY52" s="66" t="str">
        <f t="shared" si="103"/>
        <v>Dec-18E</v>
      </c>
      <c r="EZ52" s="66" t="str">
        <f t="shared" si="103"/>
        <v>Mar-19E</v>
      </c>
      <c r="FA52" s="66" t="str">
        <f t="shared" si="103"/>
        <v>Jun-19E</v>
      </c>
      <c r="FB52" s="67" t="str">
        <f t="shared" si="103"/>
        <v>2019E</v>
      </c>
      <c r="FC52" s="66" t="str">
        <f t="shared" si="103"/>
        <v>Sep-19E</v>
      </c>
      <c r="FD52" s="66" t="str">
        <f t="shared" si="103"/>
        <v>Dec-19E</v>
      </c>
      <c r="FE52" s="66" t="str">
        <f t="shared" si="103"/>
        <v>Mar-20E</v>
      </c>
      <c r="FF52" s="66" t="str">
        <f t="shared" si="103"/>
        <v>Jun-20E</v>
      </c>
      <c r="FG52" s="67" t="str">
        <f t="shared" si="103"/>
        <v>2020E</v>
      </c>
      <c r="FH52" s="66" t="str">
        <f t="shared" ref="FH52:FL52" si="104">FH41</f>
        <v>Sep-20E</v>
      </c>
      <c r="FI52" s="66" t="str">
        <f t="shared" si="104"/>
        <v>Dec-20E</v>
      </c>
      <c r="FJ52" s="66" t="str">
        <f t="shared" si="104"/>
        <v>Mar-21E</v>
      </c>
      <c r="FK52" s="66" t="str">
        <f t="shared" si="104"/>
        <v>Jun-21E</v>
      </c>
      <c r="FL52" s="67" t="str">
        <f t="shared" si="104"/>
        <v>2021E</v>
      </c>
      <c r="FM52" s="66"/>
      <c r="FN52" s="66"/>
      <c r="FO52" s="66"/>
      <c r="FP52" s="66"/>
      <c r="FQ52" s="66"/>
    </row>
    <row r="53" spans="1:173" s="29" customFormat="1" ht="12">
      <c r="A53" s="48" t="s">
        <v>671</v>
      </c>
      <c r="BP53" s="49"/>
      <c r="BQ53" s="29">
        <f>CF!BQ22</f>
        <v>2069</v>
      </c>
      <c r="BR53" s="29">
        <f>CF!BR22</f>
        <v>2721</v>
      </c>
      <c r="BS53" s="29">
        <f>CF!BS22</f>
        <v>2521</v>
      </c>
      <c r="BT53" s="29">
        <f>CF!BT22</f>
        <v>3841</v>
      </c>
      <c r="BU53" s="49">
        <f>SUM(BQ53:BT53)</f>
        <v>11152</v>
      </c>
      <c r="BV53" s="29">
        <f>CF!BV22</f>
        <v>4093</v>
      </c>
      <c r="BW53" s="29">
        <f>CF!BW22</f>
        <v>2500</v>
      </c>
      <c r="BX53" s="29">
        <f>CF!BX22</f>
        <v>2463</v>
      </c>
      <c r="BY53" s="29">
        <f>CF!BY22</f>
        <v>3463</v>
      </c>
      <c r="BZ53" s="49">
        <f>SUM(BV53:BY53)</f>
        <v>12519</v>
      </c>
      <c r="CA53" s="29">
        <f>CF!CA22</f>
        <v>2214</v>
      </c>
      <c r="CB53" s="29">
        <f>CF!CB22</f>
        <v>2774</v>
      </c>
      <c r="CC53" s="29">
        <f>CF!CC22</f>
        <v>2793</v>
      </c>
      <c r="CD53" s="29">
        <f>CF!CD22</f>
        <v>3996</v>
      </c>
      <c r="CE53" s="49">
        <f>SUM(CA53:CD53)</f>
        <v>11777</v>
      </c>
      <c r="CF53" s="29">
        <f>CF!CF22</f>
        <v>2599</v>
      </c>
      <c r="CG53" s="29">
        <f>CF!CG22</f>
        <v>3354</v>
      </c>
      <c r="CH53" s="29">
        <f>CF!CH22</f>
        <v>3212</v>
      </c>
      <c r="CI53" s="29">
        <f>CF!CI22</f>
        <v>4666</v>
      </c>
      <c r="CJ53" s="49">
        <f>SUM(CF53:CI53)</f>
        <v>13831</v>
      </c>
      <c r="CK53" s="29">
        <f>CF!CK22</f>
        <v>3032</v>
      </c>
      <c r="CL53" s="29">
        <f>CF!CL22</f>
        <v>3670</v>
      </c>
      <c r="CM53" s="29">
        <f>CF!CM22</f>
        <v>3670</v>
      </c>
      <c r="CN53" s="29">
        <f>CF!CN22</f>
        <v>6081</v>
      </c>
      <c r="CO53" s="49">
        <f>SUM(CK53:CN53)</f>
        <v>16453</v>
      </c>
      <c r="CP53" s="29">
        <f>CF!CP22</f>
        <v>3217</v>
      </c>
      <c r="CQ53" s="29">
        <f>CF!CQ22</f>
        <v>6029</v>
      </c>
      <c r="CR53" s="29">
        <f>CF!CR22</f>
        <v>4551</v>
      </c>
      <c r="CS53" s="29">
        <f>CF!CS22</f>
        <v>7235</v>
      </c>
      <c r="CT53" s="49">
        <f>SUM(CP53:CS53)</f>
        <v>21032</v>
      </c>
      <c r="CU53" s="29">
        <f>CF!CU22</f>
        <v>3821</v>
      </c>
      <c r="CV53" s="29">
        <f>CF!CV22</f>
        <v>5995</v>
      </c>
      <c r="CW53" s="29">
        <f>CF!CW22</f>
        <v>5228</v>
      </c>
      <c r="CX53" s="29">
        <f>CF!CX22</f>
        <v>9488</v>
      </c>
      <c r="CY53" s="49">
        <f>SUM(CU53:CX53)</f>
        <v>24532</v>
      </c>
      <c r="CZ53" s="29">
        <f>CF!CZ22</f>
        <v>4186</v>
      </c>
      <c r="DA53" s="29">
        <f>CF!DA22</f>
        <v>5969</v>
      </c>
      <c r="DB53" s="29">
        <f>CF!DB22</f>
        <v>5899</v>
      </c>
      <c r="DC53" s="29">
        <f>CF!DC22</f>
        <v>8355</v>
      </c>
      <c r="DD53" s="49">
        <f>SUM(CZ53:DC53)</f>
        <v>24409</v>
      </c>
      <c r="DE53" s="29">
        <f>CF!DE22</f>
        <v>6679</v>
      </c>
      <c r="DF53" s="29">
        <f>CF!DF22</f>
        <v>6926</v>
      </c>
      <c r="DG53" s="29">
        <f>CF!DG22</f>
        <v>6087</v>
      </c>
      <c r="DH53" s="29">
        <f>CF!DH22</f>
        <v>9682</v>
      </c>
      <c r="DI53" s="49">
        <f>SUM(DE53:DH53)</f>
        <v>29374</v>
      </c>
      <c r="DJ53" s="29">
        <f>CF!DJ22</f>
        <v>5881</v>
      </c>
      <c r="DK53" s="29">
        <f>CF!DK22</f>
        <v>6834</v>
      </c>
      <c r="DL53" s="29">
        <f>CF!DL22</f>
        <v>6616</v>
      </c>
      <c r="DM53" s="29">
        <f>CF!DM22</f>
        <v>11896</v>
      </c>
      <c r="DN53" s="49">
        <f>SUM(DJ53:DM53)</f>
        <v>31227</v>
      </c>
      <c r="DO53" s="29">
        <f>CF!DO22</f>
        <v>6139</v>
      </c>
      <c r="DP53" s="29">
        <f>CF!DP22</f>
        <v>7544</v>
      </c>
      <c r="DQ53" s="29">
        <f>CF!DQ22</f>
        <v>8142</v>
      </c>
      <c r="DR53" s="29">
        <f>CF!DR22</f>
        <v>14279</v>
      </c>
      <c r="DS53" s="49">
        <f>SUM(DO53:DR53)</f>
        <v>36104</v>
      </c>
      <c r="DT53" s="29">
        <f>CF!DT22</f>
        <v>8209</v>
      </c>
      <c r="DU53" s="29">
        <f>CF!DU22</f>
        <v>10737</v>
      </c>
      <c r="DV53" s="29">
        <f>CF!DV22</f>
        <v>9686</v>
      </c>
      <c r="DW53" s="29">
        <f>CF!DW22</f>
        <v>15621</v>
      </c>
      <c r="DX53" s="49">
        <f>SUM(DT53:DW53)</f>
        <v>44253</v>
      </c>
      <c r="DY53" s="29">
        <f>CF!DY22</f>
        <v>7436</v>
      </c>
      <c r="DZ53" s="29">
        <f>CF!DZ22</f>
        <v>9845</v>
      </c>
      <c r="EA53" s="29">
        <f>CF!EA22</f>
        <v>10175</v>
      </c>
      <c r="EB53" s="29">
        <f>CF!EB22</f>
        <v>16869</v>
      </c>
      <c r="EC53" s="49">
        <f>SUM(DY53:EB53)</f>
        <v>44325</v>
      </c>
      <c r="ED53" s="29">
        <f>CF!ED22</f>
        <v>8022</v>
      </c>
      <c r="EE53" s="29">
        <f>CF!EE22</f>
        <v>10200</v>
      </c>
      <c r="EF53" s="29">
        <f>CF!EF22</f>
        <v>10163</v>
      </c>
      <c r="EG53" s="29">
        <f>CF!EG22</f>
        <v>16687</v>
      </c>
      <c r="EH53" s="49">
        <f>SUM(ED53:EG53)</f>
        <v>45072</v>
      </c>
      <c r="EI53" s="29">
        <f>CF!EI22</f>
        <v>10423</v>
      </c>
      <c r="EJ53" s="29">
        <f>CF!EJ22</f>
        <v>12570</v>
      </c>
      <c r="EK53" s="29">
        <f>CF!EK22</f>
        <v>13073</v>
      </c>
      <c r="EL53" s="29">
        <f>CF!EL22</f>
        <v>21006</v>
      </c>
      <c r="EM53" s="49">
        <f>SUM(EI53:EL53)</f>
        <v>57072</v>
      </c>
      <c r="EN53" s="29">
        <f>CF!EN22</f>
        <v>12583</v>
      </c>
      <c r="EO53" s="29">
        <f>CF!EO22</f>
        <v>14141</v>
      </c>
      <c r="EP53" s="29">
        <f>CF!EP22</f>
        <v>15995</v>
      </c>
      <c r="EQ53" s="29">
        <f>CF!EQ22</f>
        <v>24992</v>
      </c>
      <c r="ER53" s="49">
        <f>SUM(EN53:EQ53)</f>
        <v>67711</v>
      </c>
      <c r="ES53" s="29">
        <f>CF!ES22</f>
        <v>10934</v>
      </c>
      <c r="ET53" s="29">
        <f>CF!ET22</f>
        <v>12138</v>
      </c>
      <c r="EU53" s="29">
        <f>CF!EU22</f>
        <v>14066</v>
      </c>
      <c r="EV53" s="29">
        <f>(EV59-EV56)</f>
        <v>25643.628734177215</v>
      </c>
      <c r="EW53" s="49">
        <f>SUM(ES53:EV53)</f>
        <v>62781.628734177211</v>
      </c>
      <c r="EX53" s="29">
        <f>(EX59-EX56)</f>
        <v>11647.826335929853</v>
      </c>
      <c r="EY53" s="29">
        <f>(EY59-EY56)</f>
        <v>13028.936702421999</v>
      </c>
      <c r="EZ53" s="29">
        <f>(EZ59-EZ56)</f>
        <v>15151.594121227603</v>
      </c>
      <c r="FA53" s="29">
        <f>(FA59-FA56)</f>
        <v>28830.25956885597</v>
      </c>
      <c r="FB53" s="49">
        <f>SUM(EX53:FA53)</f>
        <v>68658.616728435431</v>
      </c>
      <c r="FC53" s="29">
        <f>(FC59-FC56)</f>
        <v>12620.203889895582</v>
      </c>
      <c r="FD53" s="29">
        <f>(FD59-FD56)</f>
        <v>14210.316430712892</v>
      </c>
      <c r="FE53" s="29">
        <f>(FE59-FE56)</f>
        <v>16648.79060280104</v>
      </c>
      <c r="FF53" s="29">
        <f>(FF59-FF56)</f>
        <v>32449.218197615039</v>
      </c>
      <c r="FG53" s="49">
        <f>SUM(FC53:FF53)</f>
        <v>75928.529121024563</v>
      </c>
      <c r="FH53" s="29">
        <f>(FH59-FH56)</f>
        <v>13654.933299230954</v>
      </c>
      <c r="FI53" s="29">
        <f>(FI59-FI56)</f>
        <v>15487.801848490843</v>
      </c>
      <c r="FJ53" s="29">
        <f>(FJ59-FJ56)</f>
        <v>18292.449786298646</v>
      </c>
      <c r="FK53" s="29">
        <f>(FK59-FK56)</f>
        <v>36564.359234330084</v>
      </c>
      <c r="FL53" s="49">
        <f>SUM(FH53:FK53)</f>
        <v>83999.54416835052</v>
      </c>
      <c r="FM53" s="152"/>
      <c r="FN53" s="152"/>
      <c r="FO53" s="152"/>
      <c r="FP53" s="152"/>
      <c r="FQ53" s="152"/>
    </row>
    <row r="54" spans="1:173" s="32" customFormat="1" ht="12">
      <c r="A54" s="32" t="s">
        <v>163</v>
      </c>
      <c r="BP54" s="51"/>
      <c r="BU54" s="51"/>
      <c r="BV54" s="32">
        <f t="shared" ref="BV54:DK54" si="105">BV53/BQ53-1</f>
        <v>0.97825036249395847</v>
      </c>
      <c r="BW54" s="32">
        <f t="shared" si="105"/>
        <v>-8.1220139654538781E-2</v>
      </c>
      <c r="BX54" s="32">
        <f t="shared" si="105"/>
        <v>-2.300674335581121E-2</v>
      </c>
      <c r="BY54" s="32">
        <f t="shared" si="105"/>
        <v>-9.8411871908357207E-2</v>
      </c>
      <c r="BZ54" s="51">
        <f t="shared" si="105"/>
        <v>0.12257890961262552</v>
      </c>
      <c r="CA54" s="32">
        <f t="shared" si="105"/>
        <v>-0.45907647202540924</v>
      </c>
      <c r="CB54" s="32">
        <f t="shared" si="105"/>
        <v>0.10959999999999992</v>
      </c>
      <c r="CC54" s="32">
        <f t="shared" si="105"/>
        <v>0.13398294762484775</v>
      </c>
      <c r="CD54" s="32">
        <f t="shared" si="105"/>
        <v>0.1539127923765522</v>
      </c>
      <c r="CE54" s="51">
        <f t="shared" si="105"/>
        <v>-5.9269909737199478E-2</v>
      </c>
      <c r="CF54" s="32">
        <f t="shared" si="105"/>
        <v>0.17389340560072264</v>
      </c>
      <c r="CG54" s="32">
        <f t="shared" si="105"/>
        <v>0.20908435472242259</v>
      </c>
      <c r="CH54" s="32">
        <f t="shared" si="105"/>
        <v>0.15001790189760111</v>
      </c>
      <c r="CI54" s="32">
        <f t="shared" si="105"/>
        <v>0.16766766766766761</v>
      </c>
      <c r="CJ54" s="51">
        <f t="shared" si="105"/>
        <v>0.1744077439076166</v>
      </c>
      <c r="CK54" s="32">
        <f t="shared" si="105"/>
        <v>0.16660253943824554</v>
      </c>
      <c r="CL54" s="32">
        <f t="shared" si="105"/>
        <v>9.4215861657722222E-2</v>
      </c>
      <c r="CM54" s="32">
        <f t="shared" si="105"/>
        <v>0.14259028642590277</v>
      </c>
      <c r="CN54" s="32">
        <f t="shared" si="105"/>
        <v>0.30325760822974712</v>
      </c>
      <c r="CO54" s="51">
        <f t="shared" si="105"/>
        <v>0.18957414503651226</v>
      </c>
      <c r="CP54" s="32">
        <f t="shared" si="105"/>
        <v>6.1015831134564547E-2</v>
      </c>
      <c r="CQ54" s="32">
        <f t="shared" si="105"/>
        <v>0.64277929155313362</v>
      </c>
      <c r="CR54" s="32">
        <f t="shared" si="105"/>
        <v>0.24005449591280659</v>
      </c>
      <c r="CS54" s="32">
        <f t="shared" si="105"/>
        <v>0.18977141917447793</v>
      </c>
      <c r="CT54" s="51">
        <f t="shared" si="105"/>
        <v>0.27830790737251565</v>
      </c>
      <c r="CU54" s="32">
        <f t="shared" si="105"/>
        <v>0.18775256450108802</v>
      </c>
      <c r="CV54" s="32">
        <f t="shared" si="105"/>
        <v>-5.6394095206502293E-3</v>
      </c>
      <c r="CW54" s="32">
        <f t="shared" si="105"/>
        <v>0.14875851461217304</v>
      </c>
      <c r="CX54" s="32">
        <f t="shared" si="105"/>
        <v>0.31140290255701442</v>
      </c>
      <c r="CY54" s="51">
        <f t="shared" si="105"/>
        <v>0.16641308482312667</v>
      </c>
      <c r="CZ54" s="32">
        <f t="shared" si="105"/>
        <v>9.5524731745616265E-2</v>
      </c>
      <c r="DA54" s="32">
        <f t="shared" si="105"/>
        <v>-4.3369474562134913E-3</v>
      </c>
      <c r="DB54" s="32">
        <f t="shared" si="105"/>
        <v>0.12834736036725336</v>
      </c>
      <c r="DC54" s="32">
        <f t="shared" si="105"/>
        <v>-0.11941399662731866</v>
      </c>
      <c r="DD54" s="51">
        <f t="shared" si="105"/>
        <v>-5.0138594488831068E-3</v>
      </c>
      <c r="DE54" s="32">
        <f t="shared" si="105"/>
        <v>0.59555661729574783</v>
      </c>
      <c r="DF54" s="32">
        <f t="shared" si="105"/>
        <v>0.16032836320991795</v>
      </c>
      <c r="DG54" s="32">
        <f t="shared" si="105"/>
        <v>3.1869808442108738E-2</v>
      </c>
      <c r="DH54" s="32">
        <f t="shared" si="105"/>
        <v>0.1588270496708557</v>
      </c>
      <c r="DI54" s="51">
        <f t="shared" si="105"/>
        <v>0.20340857880290053</v>
      </c>
      <c r="DJ54" s="32">
        <f t="shared" si="105"/>
        <v>-0.11947896391675406</v>
      </c>
      <c r="DK54" s="32">
        <f t="shared" si="105"/>
        <v>-1.3283280392723085E-2</v>
      </c>
      <c r="DL54" s="32">
        <f t="shared" ref="DL54:DZ54" si="106">DL53/DG53-1</f>
        <v>8.6906522096270811E-2</v>
      </c>
      <c r="DM54" s="32">
        <f t="shared" si="106"/>
        <v>0.22867176203263795</v>
      </c>
      <c r="DN54" s="51">
        <f t="shared" si="106"/>
        <v>6.3082998570164195E-2</v>
      </c>
      <c r="DO54" s="32">
        <f t="shared" si="106"/>
        <v>4.3870090120727845E-2</v>
      </c>
      <c r="DP54" s="32">
        <f t="shared" si="106"/>
        <v>0.10389230318993259</v>
      </c>
      <c r="DQ54" s="32">
        <f t="shared" si="106"/>
        <v>0.2306529625151148</v>
      </c>
      <c r="DR54" s="32">
        <f t="shared" si="106"/>
        <v>0.20031943510423678</v>
      </c>
      <c r="DS54" s="51">
        <f t="shared" si="106"/>
        <v>0.15617894770551133</v>
      </c>
      <c r="DT54" s="32">
        <f t="shared" si="106"/>
        <v>0.33718846717706463</v>
      </c>
      <c r="DU54" s="32">
        <f t="shared" si="106"/>
        <v>0.42325026511134678</v>
      </c>
      <c r="DV54" s="32">
        <f t="shared" si="106"/>
        <v>0.18963399656104141</v>
      </c>
      <c r="DW54" s="32">
        <f t="shared" si="106"/>
        <v>9.3984172561103696E-2</v>
      </c>
      <c r="DX54" s="51">
        <f>DX53/DS53-1</f>
        <v>0.22570906270773317</v>
      </c>
      <c r="DY54" s="32">
        <f t="shared" si="106"/>
        <v>-9.4164940918504136E-2</v>
      </c>
      <c r="DZ54" s="32">
        <f t="shared" si="106"/>
        <v>-8.3077209648877659E-2</v>
      </c>
      <c r="EA54" s="32">
        <f>EA53/DV53-1</f>
        <v>5.0485236423704283E-2</v>
      </c>
      <c r="EB54" s="32">
        <f>EB53/DW53-1</f>
        <v>7.989245246783172E-2</v>
      </c>
      <c r="EC54" s="51">
        <f>EC53/DX53-1</f>
        <v>1.6270083384177791E-3</v>
      </c>
      <c r="ED54" s="32">
        <f>ED53/DY53-1</f>
        <v>7.8805809575040353E-2</v>
      </c>
      <c r="EE54" s="32">
        <f t="shared" ref="EE54:EU54" si="107">EE53/DZ53-1</f>
        <v>3.6058913153885319E-2</v>
      </c>
      <c r="EF54" s="32">
        <f t="shared" si="107"/>
        <v>-1.1793611793611269E-3</v>
      </c>
      <c r="EG54" s="32">
        <f t="shared" si="107"/>
        <v>-1.0789021281640832E-2</v>
      </c>
      <c r="EH54" s="51">
        <f t="shared" si="107"/>
        <v>1.6852791878172679E-2</v>
      </c>
      <c r="EI54" s="32">
        <f t="shared" si="107"/>
        <v>0.29930191972076781</v>
      </c>
      <c r="EJ54" s="32">
        <f t="shared" si="107"/>
        <v>0.23235294117647065</v>
      </c>
      <c r="EK54" s="32">
        <f t="shared" si="107"/>
        <v>0.28633277575519034</v>
      </c>
      <c r="EL54" s="32">
        <f t="shared" si="107"/>
        <v>0.25882423443399061</v>
      </c>
      <c r="EM54" s="51">
        <f t="shared" si="107"/>
        <v>0.26624068157614489</v>
      </c>
      <c r="EN54" s="32">
        <f t="shared" si="107"/>
        <v>0.20723400172695006</v>
      </c>
      <c r="EO54" s="32">
        <f t="shared" si="107"/>
        <v>0.12498011137629272</v>
      </c>
      <c r="EP54" s="32">
        <f t="shared" si="107"/>
        <v>0.22351411305744673</v>
      </c>
      <c r="EQ54" s="32">
        <f t="shared" si="107"/>
        <v>0.18975530800723606</v>
      </c>
      <c r="ER54" s="51">
        <f t="shared" ref="ER54:EW54" si="108">ER53/EM53-1</f>
        <v>0.18641365292963274</v>
      </c>
      <c r="ES54" s="32">
        <f t="shared" si="107"/>
        <v>-0.13104982913454666</v>
      </c>
      <c r="ET54" s="32">
        <f t="shared" si="107"/>
        <v>-0.14164486245668628</v>
      </c>
      <c r="EU54" s="32">
        <f t="shared" si="107"/>
        <v>-0.12060018755861202</v>
      </c>
      <c r="EV54" s="32">
        <f t="shared" si="108"/>
        <v>2.6073492884811644E-2</v>
      </c>
      <c r="EW54" s="51">
        <f t="shared" si="108"/>
        <v>-7.2800154566064479E-2</v>
      </c>
      <c r="EX54" s="32">
        <f t="shared" ref="EX54:FG54" si="109">EX53/ES53-1</f>
        <v>6.5285013346428888E-2</v>
      </c>
      <c r="EY54" s="32">
        <f t="shared" si="109"/>
        <v>7.3400618093754977E-2</v>
      </c>
      <c r="EZ54" s="32">
        <f t="shared" si="109"/>
        <v>7.7178595281359508E-2</v>
      </c>
      <c r="FA54" s="32">
        <f t="shared" si="109"/>
        <v>0.1242659869908227</v>
      </c>
      <c r="FB54" s="51">
        <f t="shared" si="109"/>
        <v>9.3609995674720281E-2</v>
      </c>
      <c r="FC54" s="32">
        <f t="shared" si="109"/>
        <v>8.3481460482137448E-2</v>
      </c>
      <c r="FD54" s="32">
        <f t="shared" si="109"/>
        <v>9.0673533479618706E-2</v>
      </c>
      <c r="FE54" s="32">
        <f t="shared" si="109"/>
        <v>9.8814452762818084E-2</v>
      </c>
      <c r="FF54" s="32">
        <f t="shared" si="109"/>
        <v>0.12552639771125973</v>
      </c>
      <c r="FG54" s="51">
        <f t="shared" si="109"/>
        <v>0.10588492368472457</v>
      </c>
      <c r="FH54" s="32">
        <f t="shared" ref="FH54" si="110">FH53/FC53-1</f>
        <v>8.1989912236190676E-2</v>
      </c>
      <c r="FI54" s="32">
        <f t="shared" ref="FI54" si="111">FI53/FD53-1</f>
        <v>8.98984497640678E-2</v>
      </c>
      <c r="FJ54" s="32">
        <f t="shared" ref="FJ54" si="112">FJ53/FE53-1</f>
        <v>9.8725440346464133E-2</v>
      </c>
      <c r="FK54" s="32">
        <f t="shared" ref="FK54" si="113">FK53/FF53-1</f>
        <v>0.12681787929847577</v>
      </c>
      <c r="FL54" s="51">
        <f t="shared" ref="FL54" si="114">FL53/FG53-1</f>
        <v>0.106297529278637</v>
      </c>
      <c r="FM54" s="33"/>
      <c r="FN54" s="33"/>
      <c r="FO54" s="33"/>
      <c r="FP54" s="33"/>
      <c r="FQ54" s="33"/>
    </row>
    <row r="55" spans="1:173" s="31" customFormat="1" ht="12">
      <c r="BP55" s="54"/>
      <c r="BU55" s="54"/>
      <c r="BZ55" s="54"/>
      <c r="CE55" s="54"/>
      <c r="CJ55" s="54"/>
      <c r="CO55" s="54"/>
      <c r="CT55" s="54"/>
      <c r="CY55" s="54"/>
      <c r="DD55" s="54"/>
      <c r="DI55" s="54"/>
      <c r="DL55" s="38"/>
      <c r="DN55" s="54"/>
      <c r="DS55" s="54"/>
      <c r="DX55" s="54"/>
      <c r="EC55" s="54"/>
      <c r="EH55" s="54"/>
      <c r="EM55" s="54"/>
      <c r="ER55" s="54"/>
      <c r="EW55" s="54"/>
      <c r="FB55" s="54"/>
      <c r="FG55" s="54"/>
      <c r="FL55" s="54"/>
      <c r="FM55" s="92"/>
      <c r="FN55" s="92"/>
      <c r="FO55" s="92"/>
      <c r="FP55" s="92"/>
      <c r="FQ55" s="92"/>
    </row>
    <row r="56" spans="1:173" s="29" customFormat="1" ht="12">
      <c r="A56" s="48" t="s">
        <v>672</v>
      </c>
      <c r="BP56" s="49"/>
      <c r="BQ56" s="29">
        <f>CF!BQ23</f>
        <v>-1879</v>
      </c>
      <c r="BR56" s="29">
        <f>CF!BR23</f>
        <v>-1949</v>
      </c>
      <c r="BS56" s="29">
        <f>CF!BS23</f>
        <v>-2089</v>
      </c>
      <c r="BT56" s="29">
        <f>CF!BT23</f>
        <v>-3012</v>
      </c>
      <c r="BU56" s="49">
        <f>SUM(BQ56:BT56)</f>
        <v>-8929</v>
      </c>
      <c r="BV56" s="29">
        <f>CF!BV23</f>
        <v>-2743</v>
      </c>
      <c r="BW56" s="29">
        <f>CF!BW23</f>
        <v>-2795</v>
      </c>
      <c r="BX56" s="29">
        <f>CF!BX23</f>
        <v>-2770</v>
      </c>
      <c r="BY56" s="29">
        <f>CF!BY23</f>
        <v>-2984</v>
      </c>
      <c r="BZ56" s="49">
        <f>SUM(BV56:BY56)</f>
        <v>-11292</v>
      </c>
      <c r="CA56" s="29">
        <f>CF!CA23</f>
        <v>-2983</v>
      </c>
      <c r="CB56" s="29">
        <f>CF!CB23</f>
        <v>-3166</v>
      </c>
      <c r="CC56" s="29">
        <f>CF!CC23</f>
        <v>-3119</v>
      </c>
      <c r="CD56" s="29">
        <f>CF!CD23</f>
        <v>-3259</v>
      </c>
      <c r="CE56" s="49">
        <f>SUM(CA56:CD56)</f>
        <v>-12527</v>
      </c>
      <c r="CF56" s="29">
        <f>CF!CF23</f>
        <v>-3062</v>
      </c>
      <c r="CG56" s="29">
        <f>CF!CG23</f>
        <v>-3166</v>
      </c>
      <c r="CH56" s="29">
        <f>CF!CH23</f>
        <v>-3241</v>
      </c>
      <c r="CI56" s="29">
        <f>CF!CI23</f>
        <v>-3450</v>
      </c>
      <c r="CJ56" s="49">
        <f>SUM(CF56:CI56)</f>
        <v>-12919</v>
      </c>
      <c r="CK56" s="29">
        <f>CF!CK23</f>
        <v>-3419</v>
      </c>
      <c r="CL56" s="29">
        <f>CF!CL23</f>
        <v>-3622</v>
      </c>
      <c r="CM56" s="29">
        <f>CF!CM23</f>
        <v>-3615</v>
      </c>
      <c r="CN56" s="29">
        <f>CF!CN23</f>
        <v>-4073</v>
      </c>
      <c r="CO56" s="49">
        <f>SUM(CK56:CN56)</f>
        <v>-14729</v>
      </c>
      <c r="CP56" s="29">
        <f>CF!CP23</f>
        <v>-4050</v>
      </c>
      <c r="CQ56" s="29">
        <f>CF!CQ23</f>
        <v>-4265</v>
      </c>
      <c r="CR56" s="29">
        <f>CF!CR23</f>
        <v>-6121</v>
      </c>
      <c r="CS56" s="29">
        <f>CF!CS23</f>
        <v>-4946</v>
      </c>
      <c r="CT56" s="49">
        <f>SUM(CP56:CS56)</f>
        <v>-19382</v>
      </c>
      <c r="CU56" s="29">
        <f>CF!CU23</f>
        <v>-4965</v>
      </c>
      <c r="CV56" s="29">
        <f>CF!CV23</f>
        <v>-5368</v>
      </c>
      <c r="CW56" s="29">
        <f>CF!CW23</f>
        <v>-5368</v>
      </c>
      <c r="CX56" s="29">
        <f>CF!CX23</f>
        <v>-6243</v>
      </c>
      <c r="CY56" s="49">
        <f>SUM(CU56:CX56)</f>
        <v>-21944</v>
      </c>
      <c r="CZ56" s="29">
        <f>CF!CZ23</f>
        <v>-6044</v>
      </c>
      <c r="DA56" s="29">
        <f>CF!DA23</f>
        <v>-6364</v>
      </c>
      <c r="DB56" s="29">
        <f>CF!DB23</f>
        <v>-6670</v>
      </c>
      <c r="DC56" s="29">
        <f>CF!DC23</f>
        <v>-6348</v>
      </c>
      <c r="DD56" s="49">
        <f>SUM(CZ56:DC56)</f>
        <v>-25426</v>
      </c>
      <c r="DE56" s="29">
        <f>CF!DE23</f>
        <v>-6237</v>
      </c>
      <c r="DF56" s="29">
        <f>CF!DF23</f>
        <v>-9126</v>
      </c>
      <c r="DG56" s="29">
        <f>CF!DG23</f>
        <v>-6395</v>
      </c>
      <c r="DH56" s="29">
        <f>CF!DH23</f>
        <v>-7055</v>
      </c>
      <c r="DI56" s="49">
        <f>SUM(DE56:DH56)</f>
        <v>-28813</v>
      </c>
      <c r="DJ56" s="29">
        <f>CF!DJ23</f>
        <v>-6862</v>
      </c>
      <c r="DK56" s="29">
        <f>CF!DK23</f>
        <v>-7301</v>
      </c>
      <c r="DL56" s="29">
        <f>CF!DL23</f>
        <v>-7026</v>
      </c>
      <c r="DM56" s="29">
        <f>CF!DM23</f>
        <v>-7746</v>
      </c>
      <c r="DN56" s="49">
        <f>SUM(DJ56:DM56)</f>
        <v>-28935</v>
      </c>
      <c r="DO56" s="29">
        <f>CF!DO23</f>
        <v>-7653</v>
      </c>
      <c r="DP56" s="29">
        <f>CF!DP23</f>
        <v>-8057</v>
      </c>
      <c r="DQ56" s="29">
        <f>CF!DQ23</f>
        <v>-8283</v>
      </c>
      <c r="DR56" s="29">
        <f>CF!DR23</f>
        <v>-9354</v>
      </c>
      <c r="DS56" s="49">
        <f>SUM(DO56:DR56)</f>
        <v>-33347</v>
      </c>
      <c r="DT56" s="29">
        <f>CF!DT23</f>
        <v>-8770</v>
      </c>
      <c r="DU56" s="29">
        <f>CF!DU23</f>
        <v>-10483</v>
      </c>
      <c r="DV56" s="29">
        <f>CF!DV23</f>
        <v>-11599</v>
      </c>
      <c r="DW56" s="29">
        <f>CF!DW23</f>
        <v>-11069</v>
      </c>
      <c r="DX56" s="49">
        <f>SUM(DT56:DW56)</f>
        <v>-41921</v>
      </c>
      <c r="DY56" s="29">
        <f>CF!DY23</f>
        <v>-9677</v>
      </c>
      <c r="DZ56" s="29">
        <f>CF!DZ23</f>
        <v>-10578</v>
      </c>
      <c r="EA56" s="29">
        <f>CF!EA23</f>
        <v>-10139</v>
      </c>
      <c r="EB56" s="29">
        <f>CF!EB23</f>
        <v>-11345</v>
      </c>
      <c r="EC56" s="49">
        <f>SUM(DY56:EB56)</f>
        <v>-41739</v>
      </c>
      <c r="ED56" s="29">
        <f>CF!ED23</f>
        <v>-10643</v>
      </c>
      <c r="EE56" s="29">
        <f>CF!EE23</f>
        <v>-11495</v>
      </c>
      <c r="EF56" s="29">
        <f>CF!EF23</f>
        <v>-11209</v>
      </c>
      <c r="EG56" s="29">
        <f>CF!EG23</f>
        <v>-11573</v>
      </c>
      <c r="EH56" s="49">
        <f>SUM(ED56:EG56)</f>
        <v>-44920</v>
      </c>
      <c r="EI56" s="29">
        <f>CF!EI23</f>
        <v>-11355</v>
      </c>
      <c r="EJ56" s="29">
        <f>CF!EJ23</f>
        <v>-11929</v>
      </c>
      <c r="EK56" s="29">
        <f>CF!EK23</f>
        <v>-12210</v>
      </c>
      <c r="EL56" s="29">
        <f>CF!EL23</f>
        <v>-13004</v>
      </c>
      <c r="EM56" s="49">
        <f>SUM(EI56:EL56)</f>
        <v>-48498</v>
      </c>
      <c r="EN56" s="29">
        <f>CF!EN23</f>
        <v>-12904</v>
      </c>
      <c r="EO56" s="29">
        <f>CF!EO23</f>
        <v>-13645</v>
      </c>
      <c r="EP56" s="29">
        <f>CF!EP23</f>
        <v>-14941</v>
      </c>
      <c r="EQ56" s="29">
        <f>CF!EQ23</f>
        <v>-16245</v>
      </c>
      <c r="ER56" s="49">
        <f>SUM(EN56:EQ56)</f>
        <v>-57735</v>
      </c>
      <c r="ES56" s="29">
        <f>CF!ES23</f>
        <v>-12740</v>
      </c>
      <c r="ET56" s="29">
        <f>CF!ET23</f>
        <v>-13203</v>
      </c>
      <c r="EU56" s="29">
        <f>CF!EU23</f>
        <v>-13975</v>
      </c>
      <c r="EV56" s="29">
        <f>EQ56*1.1</f>
        <v>-17869.5</v>
      </c>
      <c r="EW56" s="49">
        <f>SUM(ES56:EV56)</f>
        <v>-57787.5</v>
      </c>
      <c r="EX56" s="29">
        <f>ES56*1.1</f>
        <v>-14014.000000000002</v>
      </c>
      <c r="EY56" s="29">
        <f>ET56*1.1</f>
        <v>-14523.300000000001</v>
      </c>
      <c r="EZ56" s="29">
        <f>EU56*1.1</f>
        <v>-15372.500000000002</v>
      </c>
      <c r="FA56" s="29">
        <f>EV56*1.1</f>
        <v>-19656.45</v>
      </c>
      <c r="FB56" s="49">
        <f>SUM(EX56:FA56)</f>
        <v>-63566.25</v>
      </c>
      <c r="FC56" s="29">
        <f>EX56*1.1</f>
        <v>-15415.400000000003</v>
      </c>
      <c r="FD56" s="29">
        <f>EY56*1.1</f>
        <v>-15975.630000000003</v>
      </c>
      <c r="FE56" s="29">
        <f>EZ56*1.1</f>
        <v>-16909.750000000004</v>
      </c>
      <c r="FF56" s="29">
        <f>FA56*1.1</f>
        <v>-21622.095000000001</v>
      </c>
      <c r="FG56" s="49">
        <f>SUM(FC56:FF56)</f>
        <v>-69922.875000000015</v>
      </c>
      <c r="FH56" s="29">
        <f>FC56*1.1</f>
        <v>-16956.940000000006</v>
      </c>
      <c r="FI56" s="29">
        <f>FD56*1.1</f>
        <v>-17573.193000000003</v>
      </c>
      <c r="FJ56" s="29">
        <f>FE56*1.1</f>
        <v>-18600.725000000006</v>
      </c>
      <c r="FK56" s="29">
        <f>FF56*1.1</f>
        <v>-23784.304500000002</v>
      </c>
      <c r="FL56" s="49">
        <f>SUM(FH56:FK56)</f>
        <v>-76915.16250000002</v>
      </c>
      <c r="FM56" s="152"/>
      <c r="FN56" s="152"/>
      <c r="FO56" s="152"/>
      <c r="FP56" s="152"/>
      <c r="FQ56" s="152"/>
    </row>
    <row r="57" spans="1:173" s="32" customFormat="1" ht="12">
      <c r="A57" s="32" t="s">
        <v>163</v>
      </c>
      <c r="BP57" s="51"/>
      <c r="BU57" s="51"/>
      <c r="BV57" s="32">
        <f t="shared" ref="BV57:DZ57" si="115">BV56/BQ56-1</f>
        <v>0.45981905268759982</v>
      </c>
      <c r="BW57" s="32">
        <f t="shared" si="115"/>
        <v>0.43406875320677263</v>
      </c>
      <c r="BX57" s="32">
        <f t="shared" si="115"/>
        <v>0.32599329822881762</v>
      </c>
      <c r="BY57" s="32">
        <f t="shared" si="115"/>
        <v>-9.2961487383798058E-3</v>
      </c>
      <c r="BZ57" s="51">
        <f t="shared" si="115"/>
        <v>0.26464329712173806</v>
      </c>
      <c r="CA57" s="32">
        <f t="shared" si="115"/>
        <v>8.7495442945680013E-2</v>
      </c>
      <c r="CB57" s="32">
        <f t="shared" si="115"/>
        <v>0.13273703041144902</v>
      </c>
      <c r="CC57" s="32">
        <f t="shared" si="115"/>
        <v>0.12599277978339352</v>
      </c>
      <c r="CD57" s="32">
        <f t="shared" si="115"/>
        <v>9.2158176943699655E-2</v>
      </c>
      <c r="CE57" s="51">
        <f t="shared" si="115"/>
        <v>0.10936946510804102</v>
      </c>
      <c r="CF57" s="32">
        <f t="shared" si="115"/>
        <v>2.6483405967147267E-2</v>
      </c>
      <c r="CG57" s="32">
        <f t="shared" si="115"/>
        <v>0</v>
      </c>
      <c r="CH57" s="32">
        <f t="shared" si="115"/>
        <v>3.9115100993908358E-2</v>
      </c>
      <c r="CI57" s="32">
        <f t="shared" si="115"/>
        <v>5.8606934642528419E-2</v>
      </c>
      <c r="CJ57" s="51">
        <f t="shared" si="115"/>
        <v>3.1292408397860516E-2</v>
      </c>
      <c r="CK57" s="32">
        <f t="shared" si="115"/>
        <v>0.11659046374918347</v>
      </c>
      <c r="CL57" s="32">
        <f t="shared" si="115"/>
        <v>0.14403032217308898</v>
      </c>
      <c r="CM57" s="32">
        <f t="shared" si="115"/>
        <v>0.11539648256710899</v>
      </c>
      <c r="CN57" s="32">
        <f t="shared" si="115"/>
        <v>0.18057971014492757</v>
      </c>
      <c r="CO57" s="51">
        <f t="shared" si="115"/>
        <v>0.14010372319838993</v>
      </c>
      <c r="CP57" s="32">
        <f t="shared" si="115"/>
        <v>0.18455688797894121</v>
      </c>
      <c r="CQ57" s="32">
        <f t="shared" si="115"/>
        <v>0.17752622860298173</v>
      </c>
      <c r="CR57" s="32">
        <f t="shared" si="115"/>
        <v>0.69322268326417702</v>
      </c>
      <c r="CS57" s="32">
        <f t="shared" si="115"/>
        <v>0.21433832555855625</v>
      </c>
      <c r="CT57" s="51">
        <f t="shared" si="115"/>
        <v>0.31590739357729647</v>
      </c>
      <c r="CU57" s="32">
        <f t="shared" si="115"/>
        <v>0.22592592592592586</v>
      </c>
      <c r="CV57" s="32">
        <f t="shared" si="115"/>
        <v>0.2586166471277842</v>
      </c>
      <c r="CW57" s="32">
        <f t="shared" si="115"/>
        <v>-0.12301911452377068</v>
      </c>
      <c r="CX57" s="32">
        <f t="shared" si="115"/>
        <v>0.26223210675293163</v>
      </c>
      <c r="CY57" s="51">
        <f t="shared" si="115"/>
        <v>0.13218450108347946</v>
      </c>
      <c r="CZ57" s="32">
        <f t="shared" si="115"/>
        <v>0.21732124874118841</v>
      </c>
      <c r="DA57" s="32">
        <f t="shared" si="115"/>
        <v>0.18554396423248876</v>
      </c>
      <c r="DB57" s="32">
        <f t="shared" si="115"/>
        <v>0.24254843517138602</v>
      </c>
      <c r="DC57" s="32">
        <f t="shared" si="115"/>
        <v>1.6818837097549277E-2</v>
      </c>
      <c r="DD57" s="51">
        <f t="shared" si="115"/>
        <v>0.15867663142544663</v>
      </c>
      <c r="DE57" s="32">
        <f t="shared" si="115"/>
        <v>3.1932495036399722E-2</v>
      </c>
      <c r="DF57" s="32">
        <f t="shared" si="115"/>
        <v>0.43400377121307354</v>
      </c>
      <c r="DG57" s="32">
        <f t="shared" si="115"/>
        <v>-4.1229385307346322E-2</v>
      </c>
      <c r="DH57" s="32">
        <f>DH56/DC56-1</f>
        <v>0.1113736609955891</v>
      </c>
      <c r="DI57" s="51">
        <f t="shared" si="115"/>
        <v>0.13321009989774257</v>
      </c>
      <c r="DJ57" s="32">
        <f t="shared" si="115"/>
        <v>0.10020843354176678</v>
      </c>
      <c r="DK57" s="32">
        <f t="shared" si="115"/>
        <v>-0.19997808459346922</v>
      </c>
      <c r="DL57" s="32">
        <f t="shared" si="115"/>
        <v>9.8670836591086886E-2</v>
      </c>
      <c r="DM57" s="32">
        <f t="shared" si="115"/>
        <v>9.794472005669741E-2</v>
      </c>
      <c r="DN57" s="51">
        <f>DN56/DI56-1</f>
        <v>4.2341998403498948E-3</v>
      </c>
      <c r="DO57" s="32">
        <f t="shared" si="115"/>
        <v>0.11527251530166138</v>
      </c>
      <c r="DP57" s="32">
        <f t="shared" si="115"/>
        <v>0.10354745925215725</v>
      </c>
      <c r="DQ57" s="32">
        <f t="shared" si="115"/>
        <v>0.17890691716481633</v>
      </c>
      <c r="DR57" s="32">
        <f t="shared" si="115"/>
        <v>0.20759101471727348</v>
      </c>
      <c r="DS57" s="51">
        <f>DS56/DN56-1</f>
        <v>0.15247969587005361</v>
      </c>
      <c r="DT57" s="32">
        <f t="shared" si="115"/>
        <v>0.14595583431334114</v>
      </c>
      <c r="DU57" s="32">
        <f t="shared" si="115"/>
        <v>0.30110462951470773</v>
      </c>
      <c r="DV57" s="32">
        <f t="shared" si="115"/>
        <v>0.40033804177230481</v>
      </c>
      <c r="DW57" s="32">
        <f t="shared" si="115"/>
        <v>0.18334402394697458</v>
      </c>
      <c r="DX57" s="51">
        <f>DX56/DS56-1</f>
        <v>0.25711458302096135</v>
      </c>
      <c r="DY57" s="32">
        <f t="shared" si="115"/>
        <v>0.10342075256556438</v>
      </c>
      <c r="DZ57" s="32">
        <f t="shared" si="115"/>
        <v>9.062291328818084E-3</v>
      </c>
      <c r="EA57" s="32">
        <f>EA56/DV56-1</f>
        <v>-0.12587292007931716</v>
      </c>
      <c r="EB57" s="32">
        <f>EB56/DW56-1</f>
        <v>2.4934501761676664E-2</v>
      </c>
      <c r="EC57" s="51">
        <f>EC56/DX56-1</f>
        <v>-4.3414994871305845E-3</v>
      </c>
      <c r="ED57" s="32">
        <f>ED56/DY56-1</f>
        <v>9.9824325720781149E-2</v>
      </c>
      <c r="EE57" s="32">
        <f t="shared" ref="EE57:EO57" si="116">EE56/DZ56-1</f>
        <v>8.6689355265645585E-2</v>
      </c>
      <c r="EF57" s="32">
        <f t="shared" si="116"/>
        <v>0.10553309004832823</v>
      </c>
      <c r="EG57" s="32">
        <f t="shared" si="116"/>
        <v>2.0096959012780857E-2</v>
      </c>
      <c r="EH57" s="51">
        <f t="shared" si="116"/>
        <v>7.6211696494884906E-2</v>
      </c>
      <c r="EI57" s="32">
        <f t="shared" si="116"/>
        <v>6.6898430893544969E-2</v>
      </c>
      <c r="EJ57" s="32">
        <f t="shared" si="116"/>
        <v>3.7755545889517128E-2</v>
      </c>
      <c r="EK57" s="32">
        <f>EK56/EF56-1</f>
        <v>8.9303238469087276E-2</v>
      </c>
      <c r="EL57" s="32">
        <f>EL56/EG56-1</f>
        <v>0.12364987470837296</v>
      </c>
      <c r="EM57" s="51">
        <f t="shared" si="116"/>
        <v>7.9652715939448004E-2</v>
      </c>
      <c r="EN57" s="32">
        <f t="shared" si="116"/>
        <v>0.1364156759136943</v>
      </c>
      <c r="EO57" s="32">
        <f t="shared" si="116"/>
        <v>0.14385111912146864</v>
      </c>
      <c r="EP57" s="32">
        <f>EP56/EK56-1</f>
        <v>0.22366912366912373</v>
      </c>
      <c r="EQ57" s="32">
        <f>EQ56/EL56-1</f>
        <v>0.24923100584435565</v>
      </c>
      <c r="ER57" s="51">
        <f t="shared" ref="ER57:FB57" si="117">ER56/EM56-1</f>
        <v>0.19046146232834338</v>
      </c>
      <c r="ES57" s="32">
        <f t="shared" si="117"/>
        <v>-1.2709237445753252E-2</v>
      </c>
      <c r="ET57" s="32">
        <f t="shared" si="117"/>
        <v>-3.2392817882008096E-2</v>
      </c>
      <c r="EU57" s="32">
        <f t="shared" si="117"/>
        <v>-6.4654306940633122E-2</v>
      </c>
      <c r="EV57" s="32">
        <f t="shared" si="117"/>
        <v>0.10000000000000009</v>
      </c>
      <c r="EW57" s="51">
        <f t="shared" si="117"/>
        <v>9.0932709794744326E-4</v>
      </c>
      <c r="EX57" s="32">
        <f t="shared" si="117"/>
        <v>0.10000000000000009</v>
      </c>
      <c r="EY57" s="32">
        <f t="shared" si="117"/>
        <v>0.10000000000000009</v>
      </c>
      <c r="EZ57" s="32">
        <f t="shared" si="117"/>
        <v>0.10000000000000009</v>
      </c>
      <c r="FA57" s="32">
        <f t="shared" si="117"/>
        <v>0.10000000000000009</v>
      </c>
      <c r="FB57" s="51">
        <f t="shared" si="117"/>
        <v>0.10000000000000009</v>
      </c>
      <c r="FC57" s="32">
        <f t="shared" ref="FC57" si="118">FC56/EX56-1</f>
        <v>0.10000000000000009</v>
      </c>
      <c r="FD57" s="32">
        <f t="shared" ref="FD57" si="119">FD56/EY56-1</f>
        <v>0.10000000000000009</v>
      </c>
      <c r="FE57" s="32">
        <f t="shared" ref="FE57" si="120">FE56/EZ56-1</f>
        <v>0.10000000000000009</v>
      </c>
      <c r="FF57" s="32">
        <f t="shared" ref="FF57" si="121">FF56/FA56-1</f>
        <v>0.10000000000000009</v>
      </c>
      <c r="FG57" s="51">
        <f t="shared" ref="FG57" si="122">FG56/FB56-1</f>
        <v>0.10000000000000031</v>
      </c>
      <c r="FH57" s="32">
        <f t="shared" ref="FH57" si="123">FH56/FC56-1</f>
        <v>0.10000000000000009</v>
      </c>
      <c r="FI57" s="32">
        <f t="shared" ref="FI57" si="124">FI56/FD56-1</f>
        <v>0.10000000000000009</v>
      </c>
      <c r="FJ57" s="32">
        <f t="shared" ref="FJ57" si="125">FJ56/FE56-1</f>
        <v>0.10000000000000009</v>
      </c>
      <c r="FK57" s="32">
        <f t="shared" ref="FK57" si="126">FK56/FF56-1</f>
        <v>0.10000000000000009</v>
      </c>
      <c r="FL57" s="51">
        <f t="shared" ref="FL57" si="127">FL56/FG56-1</f>
        <v>0.10000000000000009</v>
      </c>
      <c r="FM57" s="33"/>
      <c r="FN57" s="33"/>
      <c r="FO57" s="33"/>
      <c r="FP57" s="33"/>
      <c r="FQ57" s="33"/>
    </row>
    <row r="58" spans="1:173" s="31" customFormat="1" ht="12">
      <c r="BP58" s="54"/>
      <c r="BU58" s="54"/>
      <c r="BZ58" s="54"/>
      <c r="CE58" s="54"/>
      <c r="CJ58" s="54"/>
      <c r="CO58" s="54"/>
      <c r="CT58" s="54"/>
      <c r="CY58" s="54"/>
      <c r="DD58" s="54"/>
      <c r="DI58" s="54"/>
      <c r="DL58" s="38"/>
      <c r="DN58" s="54"/>
      <c r="DS58" s="54"/>
      <c r="DX58" s="54"/>
      <c r="EC58" s="54"/>
      <c r="EH58" s="54"/>
      <c r="EM58" s="54"/>
      <c r="ER58" s="54"/>
      <c r="EW58" s="54"/>
      <c r="FB58" s="54"/>
      <c r="FG58" s="54"/>
      <c r="FL58" s="54"/>
      <c r="FM58" s="92"/>
      <c r="FN58" s="92"/>
      <c r="FO58" s="92"/>
      <c r="FP58" s="92"/>
      <c r="FQ58" s="92"/>
    </row>
    <row r="59" spans="1:173" s="74" customFormat="1" ht="12">
      <c r="A59" s="74" t="s">
        <v>673</v>
      </c>
      <c r="BP59" s="75"/>
      <c r="BQ59" s="74">
        <f>BQ53+BQ56</f>
        <v>190</v>
      </c>
      <c r="BR59" s="74">
        <f>BR53+BR56</f>
        <v>772</v>
      </c>
      <c r="BS59" s="74">
        <f>BS53+BS56</f>
        <v>432</v>
      </c>
      <c r="BT59" s="74">
        <f>BT53+BT56</f>
        <v>829</v>
      </c>
      <c r="BU59" s="75">
        <f>SUM(BQ59:BT59)</f>
        <v>2223</v>
      </c>
      <c r="BV59" s="74">
        <f>BV53+BV56</f>
        <v>1350</v>
      </c>
      <c r="BW59" s="74">
        <f>BW53+BW56</f>
        <v>-295</v>
      </c>
      <c r="BX59" s="74">
        <f>BX53+BX56</f>
        <v>-307</v>
      </c>
      <c r="BY59" s="1140">
        <v>479000</v>
      </c>
      <c r="BZ59" s="75">
        <f>SUM(BV59:BY59)</f>
        <v>479748</v>
      </c>
      <c r="CA59" s="74">
        <f>CA53+CA56</f>
        <v>-769</v>
      </c>
      <c r="CB59" s="74">
        <f>CB158-CA158</f>
        <v>-392.99783156843841</v>
      </c>
      <c r="CC59" s="74">
        <f>CC158-CB158</f>
        <v>-326</v>
      </c>
      <c r="CD59" s="74">
        <f>CD158-CC158</f>
        <v>651</v>
      </c>
      <c r="CE59" s="75">
        <f>SUM(CA59:CD59)</f>
        <v>-836.99783156843841</v>
      </c>
      <c r="CF59" s="74">
        <f>CF158-CD158</f>
        <v>-395</v>
      </c>
      <c r="CG59" s="74">
        <f>CG158-CF158</f>
        <v>184</v>
      </c>
      <c r="CH59" s="74">
        <f>CH158-CG158</f>
        <v>-25</v>
      </c>
      <c r="CI59" s="74">
        <f>CI158-CH158</f>
        <v>1226</v>
      </c>
      <c r="CJ59" s="75">
        <f>SUM(CF59:CI59)</f>
        <v>990</v>
      </c>
      <c r="CK59" s="74">
        <f>CK158-CI158</f>
        <v>-361</v>
      </c>
      <c r="CL59" s="74">
        <f>CL158-CK158</f>
        <v>32</v>
      </c>
      <c r="CM59" s="74">
        <f>CM158-CL158</f>
        <v>63</v>
      </c>
      <c r="CN59" s="74">
        <f>CN158-CM158</f>
        <v>2001</v>
      </c>
      <c r="CO59" s="75">
        <f>SUM(CK59:CN59)</f>
        <v>1735</v>
      </c>
      <c r="CP59" s="74">
        <f>CP158-CN158</f>
        <v>-805</v>
      </c>
      <c r="CQ59" s="74">
        <f>CQ158-CP158</f>
        <v>1764</v>
      </c>
      <c r="CR59" s="74">
        <f>CR158-CQ158</f>
        <v>-1578</v>
      </c>
      <c r="CS59" s="74">
        <f>CS158-CR158</f>
        <v>2363</v>
      </c>
      <c r="CT59" s="75">
        <f>SUM(CP59:CS59)</f>
        <v>1744</v>
      </c>
      <c r="CU59" s="74">
        <f>CU158-CS158</f>
        <v>-1074</v>
      </c>
      <c r="CV59" s="74">
        <f>CV158-CU158</f>
        <v>606</v>
      </c>
      <c r="CW59" s="74">
        <f>CW158-CV158</f>
        <v>-39</v>
      </c>
      <c r="CX59" s="74">
        <f>CX158-CW158</f>
        <v>3158</v>
      </c>
      <c r="CY59" s="75">
        <f>SUM(CU59:CX59)</f>
        <v>2651</v>
      </c>
      <c r="CZ59" s="74">
        <f>CZ158-CX158</f>
        <v>-1820</v>
      </c>
      <c r="DA59" s="74">
        <f>DA158-CZ158</f>
        <v>-411</v>
      </c>
      <c r="DB59" s="74">
        <f>DB158-DA158</f>
        <v>-754</v>
      </c>
      <c r="DC59" s="74">
        <f>DC158-DB158</f>
        <v>1972</v>
      </c>
      <c r="DD59" s="75">
        <f>SUM(CZ59:DC59)</f>
        <v>-1013</v>
      </c>
      <c r="DE59" s="74">
        <f>DE158-DC158</f>
        <v>484</v>
      </c>
      <c r="DF59" s="74">
        <f>DF158-DD158</f>
        <v>-1756</v>
      </c>
      <c r="DG59" s="74">
        <f>DG158-DE158</f>
        <v>-2508</v>
      </c>
      <c r="DH59" s="74">
        <f>DH158-DF158</f>
        <v>2302</v>
      </c>
      <c r="DI59" s="75">
        <f>SUM(DE59:DH59)</f>
        <v>-1478</v>
      </c>
      <c r="DJ59" s="74">
        <f>DJ158-DH158</f>
        <v>-911</v>
      </c>
      <c r="DK59" s="74">
        <f>DK158-DI158</f>
        <v>-1413</v>
      </c>
      <c r="DL59" s="74">
        <f>DL158-DJ158</f>
        <v>-900</v>
      </c>
      <c r="DM59" s="74">
        <f>DM158-DK158</f>
        <v>3703</v>
      </c>
      <c r="DN59" s="75">
        <f>SUM(DJ59:DM59)</f>
        <v>479</v>
      </c>
      <c r="DO59" s="74">
        <f>DO158-DM158</f>
        <v>-1462</v>
      </c>
      <c r="DP59" s="74">
        <f>DP158-DN158</f>
        <v>-1786</v>
      </c>
      <c r="DQ59" s="74">
        <f>DQ158-DO158</f>
        <v>-467</v>
      </c>
      <c r="DR59" s="74">
        <f>DR158-DP158</f>
        <v>4725</v>
      </c>
      <c r="DS59" s="75">
        <f>SUM(DO59:DR59)</f>
        <v>1010</v>
      </c>
      <c r="DT59" s="74">
        <f>DT26-DS26</f>
        <v>-472</v>
      </c>
      <c r="DU59" s="74">
        <f>DU26-DT26</f>
        <v>226</v>
      </c>
      <c r="DV59" s="74">
        <f>DV26-DU26</f>
        <v>-1908</v>
      </c>
      <c r="DW59" s="74">
        <f>DW26-DV26</f>
        <v>4494</v>
      </c>
      <c r="DX59" s="75">
        <f>SUM(DT59:DW59)</f>
        <v>2340</v>
      </c>
      <c r="DY59" s="74">
        <f>DY26-DW26</f>
        <v>-2298</v>
      </c>
      <c r="DZ59" s="74">
        <f>DZ26-DY26</f>
        <v>-627</v>
      </c>
      <c r="EA59" s="74">
        <f>EA26-DZ26</f>
        <v>38</v>
      </c>
      <c r="EB59" s="74">
        <f>EB26-EA26</f>
        <v>5646</v>
      </c>
      <c r="EC59" s="75">
        <f>SUM(DY59:EB59)</f>
        <v>2759</v>
      </c>
      <c r="ED59" s="74">
        <f>ED26-EB26</f>
        <v>-2620</v>
      </c>
      <c r="EE59" s="74">
        <f>EE26-ED26</f>
        <v>-1295</v>
      </c>
      <c r="EF59" s="74">
        <f>EF26-EE26</f>
        <v>-1045</v>
      </c>
      <c r="EG59" s="74">
        <f>EG26-EF26</f>
        <v>5120</v>
      </c>
      <c r="EH59" s="75">
        <f>SUM(ED59:EG59)</f>
        <v>160</v>
      </c>
      <c r="EI59" s="74">
        <f>EI26-EH26</f>
        <v>-925.09065942012603</v>
      </c>
      <c r="EJ59" s="74">
        <f>EJ26-EI26</f>
        <v>643.73240443316536</v>
      </c>
      <c r="EK59" s="74">
        <f>EK26-EJ26</f>
        <v>877.61832741589023</v>
      </c>
      <c r="EL59" s="74">
        <f>EL26-EK26</f>
        <v>-3692.5470467006089</v>
      </c>
      <c r="EM59" s="75">
        <f>SUM(EI59:EL59)</f>
        <v>-3096.2869742716794</v>
      </c>
      <c r="EN59" s="74">
        <f>EN36-EM36</f>
        <v>-1823</v>
      </c>
      <c r="EO59" s="74">
        <f t="shared" ref="EO59:EQ59" si="128">EO36-EN36</f>
        <v>-379</v>
      </c>
      <c r="EP59" s="74">
        <f t="shared" si="128"/>
        <v>-87</v>
      </c>
      <c r="EQ59" s="74">
        <f t="shared" si="128"/>
        <v>6752</v>
      </c>
      <c r="ER59" s="75">
        <f>SUM(EN59:EQ59)</f>
        <v>4463</v>
      </c>
      <c r="ES59" s="74">
        <f>ES36-ER36</f>
        <v>-1752</v>
      </c>
      <c r="ET59" s="74">
        <f>ET36-ES36</f>
        <v>-1095</v>
      </c>
      <c r="EU59" s="74">
        <f>EU36-ET36</f>
        <v>146</v>
      </c>
      <c r="EV59" s="74">
        <f>EV36-(EU42+EU46)</f>
        <v>7774.1287341772149</v>
      </c>
      <c r="EW59" s="75">
        <f>SUM(ES59:EV59)</f>
        <v>5073.1287341772149</v>
      </c>
      <c r="EX59" s="74">
        <f>EX36-(EW42+EW46)</f>
        <v>-2366.1736640701492</v>
      </c>
      <c r="EY59" s="74">
        <f>EY36-(EX42+EX46)</f>
        <v>-1494.3632975780019</v>
      </c>
      <c r="EZ59" s="74">
        <f>EZ36-(EY42+EY46)</f>
        <v>-220.90587877239886</v>
      </c>
      <c r="FA59" s="74">
        <f>FA36-(EZ42+EZ46)</f>
        <v>9173.8095688559697</v>
      </c>
      <c r="FB59" s="75">
        <f>SUM(EX59:FA59)</f>
        <v>5092.3667284354196</v>
      </c>
      <c r="FC59" s="74">
        <f>FC36-(FB42+FB46)</f>
        <v>-2795.1961101044217</v>
      </c>
      <c r="FD59" s="74">
        <f>FD36-(FC42+FC46)</f>
        <v>-1765.313569287111</v>
      </c>
      <c r="FE59" s="74">
        <f>FE36-(FD42+FD46)</f>
        <v>-260.95939719896342</v>
      </c>
      <c r="FF59" s="74">
        <f>FF36-(FE42+FE46)</f>
        <v>10827.123197615037</v>
      </c>
      <c r="FG59" s="75">
        <f>SUM(FC59:FF59)</f>
        <v>6005.6541210245414</v>
      </c>
      <c r="FH59" s="74">
        <f>FH36-(FG42+FG46)</f>
        <v>-3302.0067007690523</v>
      </c>
      <c r="FI59" s="74">
        <f>FI36-(FH42+FH46)</f>
        <v>-2085.3911515091604</v>
      </c>
      <c r="FJ59" s="74">
        <f>FJ36-(FI42+FI46)</f>
        <v>-308.27521370135946</v>
      </c>
      <c r="FK59" s="74">
        <f>FK36-(FJ42+FJ46)</f>
        <v>12780.054734330079</v>
      </c>
      <c r="FL59" s="75">
        <f>SUM(FH59:FK59)</f>
        <v>7084.3816683505065</v>
      </c>
    </row>
    <row r="60" spans="1:173" s="152" customFormat="1" ht="12">
      <c r="DC60" s="153"/>
      <c r="DD60" s="153"/>
      <c r="DE60" s="153"/>
      <c r="DH60" s="153"/>
      <c r="DI60" s="153"/>
      <c r="DJ60" s="153"/>
      <c r="DL60" s="153"/>
      <c r="DM60" s="153"/>
      <c r="DN60" s="153"/>
      <c r="DR60" s="153"/>
      <c r="DS60" s="153"/>
      <c r="DV60" s="153"/>
      <c r="DY60" s="153"/>
      <c r="EA60" s="153"/>
      <c r="ED60" s="153"/>
      <c r="EE60" s="153"/>
      <c r="EF60" s="153"/>
      <c r="EH60" s="153"/>
      <c r="EI60" s="153"/>
      <c r="EJ60" s="153"/>
      <c r="EK60" s="153"/>
      <c r="EL60" s="153"/>
      <c r="EM60" s="153"/>
      <c r="EN60" s="153"/>
      <c r="EO60" s="153"/>
      <c r="EP60" s="153"/>
      <c r="EQ60" s="153"/>
      <c r="ER60" s="153"/>
      <c r="ES60" s="153"/>
      <c r="ET60" s="153"/>
      <c r="EU60" s="153"/>
      <c r="EV60" s="153"/>
      <c r="EW60" s="153"/>
      <c r="EX60" s="153"/>
      <c r="EY60" s="153"/>
      <c r="EZ60" s="153"/>
      <c r="FA60" s="153"/>
      <c r="FB60" s="153"/>
      <c r="FC60" s="153"/>
      <c r="FD60" s="153"/>
      <c r="FE60" s="153"/>
      <c r="FF60" s="153"/>
      <c r="FG60" s="153"/>
      <c r="FH60" s="153"/>
      <c r="FI60" s="153"/>
      <c r="FJ60" s="153"/>
      <c r="FK60" s="153"/>
      <c r="FL60" s="153"/>
      <c r="FM60" s="153"/>
      <c r="FN60" s="153"/>
      <c r="FO60" s="153"/>
      <c r="FP60" s="153"/>
      <c r="FQ60" s="153"/>
    </row>
    <row r="61" spans="1:173" s="31" customFormat="1" ht="12" hidden="1" outlineLevel="1">
      <c r="A61" s="31" t="s">
        <v>467</v>
      </c>
      <c r="CK61" s="1141">
        <v>2724</v>
      </c>
      <c r="CL61" s="1141">
        <v>2833</v>
      </c>
      <c r="CM61" s="1141">
        <v>2882</v>
      </c>
      <c r="CN61" s="1141">
        <v>2975</v>
      </c>
      <c r="CP61" s="1141">
        <v>3483</v>
      </c>
      <c r="CQ61" s="1141">
        <v>3380</v>
      </c>
      <c r="CR61" s="1141">
        <v>5177</v>
      </c>
      <c r="CS61" s="1141">
        <v>3624</v>
      </c>
      <c r="CU61" s="1141">
        <v>4021</v>
      </c>
      <c r="CV61" s="1141">
        <v>4052</v>
      </c>
      <c r="CW61" s="1141">
        <v>4346</v>
      </c>
      <c r="CX61" s="1141">
        <v>4428</v>
      </c>
      <c r="DC61" s="38"/>
      <c r="DD61" s="38"/>
      <c r="DE61" s="38"/>
      <c r="DH61" s="38"/>
      <c r="DI61" s="38"/>
      <c r="DJ61" s="38"/>
      <c r="DL61" s="38"/>
      <c r="DM61" s="38"/>
      <c r="DN61" s="38"/>
      <c r="DR61" s="38"/>
      <c r="DS61" s="38"/>
      <c r="DV61" s="38"/>
      <c r="DY61" s="38"/>
      <c r="EA61" s="38"/>
      <c r="ED61" s="38"/>
      <c r="EE61" s="38"/>
      <c r="EF61" s="38"/>
      <c r="EH61" s="38"/>
      <c r="EI61" s="208"/>
      <c r="EJ61" s="38"/>
      <c r="EK61" s="38"/>
      <c r="EL61" s="38"/>
      <c r="EM61" s="38"/>
      <c r="EN61" s="208"/>
      <c r="EO61" s="38"/>
      <c r="EP61" s="38"/>
      <c r="EQ61" s="38"/>
      <c r="ER61" s="38"/>
      <c r="ES61" s="208"/>
      <c r="ET61" s="208"/>
      <c r="EU61" s="38"/>
      <c r="EV61" s="38"/>
      <c r="EW61" s="38"/>
      <c r="EX61" s="38"/>
      <c r="EY61" s="38"/>
      <c r="EZ61" s="38"/>
      <c r="FA61" s="38"/>
      <c r="FB61" s="38"/>
      <c r="FC61" s="38"/>
      <c r="FD61" s="38"/>
      <c r="FE61" s="38"/>
      <c r="FF61" s="38"/>
      <c r="FG61" s="38"/>
      <c r="FH61" s="38"/>
      <c r="FI61" s="38"/>
      <c r="FJ61" s="38"/>
      <c r="FK61" s="38"/>
      <c r="FL61" s="38"/>
      <c r="FM61" s="38"/>
      <c r="FN61" s="38"/>
      <c r="FO61" s="38"/>
      <c r="FP61" s="38"/>
      <c r="FQ61" s="38"/>
    </row>
    <row r="62" spans="1:173" s="31" customFormat="1" ht="12" collapsed="1">
      <c r="DC62" s="38"/>
      <c r="DD62" s="38"/>
      <c r="DE62" s="38"/>
      <c r="DH62" s="38"/>
      <c r="DI62" s="38"/>
      <c r="DJ62" s="38"/>
      <c r="DL62" s="38"/>
      <c r="DM62" s="38"/>
      <c r="DN62" s="38"/>
      <c r="DO62" s="241"/>
      <c r="DR62" s="240"/>
      <c r="DS62" s="38"/>
      <c r="DT62" s="241"/>
      <c r="DU62" s="241"/>
      <c r="DV62" s="208"/>
      <c r="DW62" s="154"/>
      <c r="DY62" s="208"/>
      <c r="DZ62" s="241"/>
      <c r="EA62" s="208"/>
      <c r="EB62" s="154"/>
      <c r="ED62" s="38"/>
      <c r="EE62" s="38"/>
      <c r="EF62" s="38"/>
      <c r="EG62" s="154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  <c r="EV62" s="38"/>
      <c r="EW62" s="38"/>
      <c r="EX62" s="38"/>
      <c r="EY62" s="38"/>
      <c r="EZ62" s="38"/>
      <c r="FA62" s="38"/>
      <c r="FB62" s="38"/>
      <c r="FC62" s="38"/>
      <c r="FD62" s="38"/>
      <c r="FE62" s="38"/>
      <c r="FF62" s="38"/>
      <c r="FG62" s="38"/>
      <c r="FH62" s="38"/>
      <c r="FI62" s="38"/>
      <c r="FJ62" s="38"/>
      <c r="FK62" s="38"/>
      <c r="FL62" s="38"/>
      <c r="FM62" s="38"/>
      <c r="FN62" s="38"/>
      <c r="FO62" s="38"/>
      <c r="FP62" s="38"/>
      <c r="FQ62" s="38"/>
    </row>
    <row r="63" spans="1:173" s="29" customFormat="1" ht="12">
      <c r="A63" s="210" t="s">
        <v>474</v>
      </c>
      <c r="B63" s="60"/>
      <c r="C63" s="60"/>
      <c r="D63" s="60"/>
      <c r="E63" s="60"/>
      <c r="F63" s="60"/>
      <c r="G63" s="60"/>
      <c r="H63" s="60"/>
      <c r="I63" s="60"/>
      <c r="J63" s="60"/>
      <c r="K63" s="60"/>
      <c r="L63" s="60"/>
      <c r="M63" s="60"/>
      <c r="N63" s="60"/>
      <c r="O63" s="60"/>
      <c r="P63" s="60"/>
      <c r="Q63" s="60"/>
      <c r="R63" s="60"/>
      <c r="S63" s="60"/>
      <c r="T63" s="60"/>
      <c r="U63" s="60"/>
      <c r="V63" s="60"/>
      <c r="W63" s="60"/>
      <c r="X63" s="60"/>
      <c r="Y63" s="60"/>
      <c r="Z63" s="60"/>
      <c r="AA63" s="60"/>
      <c r="AB63" s="60"/>
      <c r="AC63" s="60"/>
      <c r="AD63" s="60"/>
      <c r="AE63" s="60"/>
      <c r="AF63" s="60"/>
      <c r="AG63" s="60"/>
      <c r="AH63" s="60"/>
      <c r="AI63" s="60"/>
      <c r="AJ63" s="60"/>
      <c r="AK63" s="60"/>
      <c r="AL63" s="60"/>
      <c r="AM63" s="60"/>
      <c r="AN63" s="60"/>
      <c r="AO63" s="60"/>
      <c r="AP63" s="60"/>
      <c r="AQ63" s="60"/>
      <c r="AR63" s="60"/>
      <c r="AS63" s="60"/>
      <c r="AT63" s="60"/>
      <c r="AU63" s="60"/>
      <c r="AV63" s="60"/>
      <c r="AW63" s="60"/>
      <c r="AX63" s="60"/>
      <c r="AY63" s="60"/>
      <c r="AZ63" s="60"/>
      <c r="BA63" s="60"/>
      <c r="BB63" s="60"/>
      <c r="BC63" s="60"/>
      <c r="BD63" s="60"/>
      <c r="BE63" s="60"/>
      <c r="BF63" s="60"/>
      <c r="BG63" s="60"/>
      <c r="BH63" s="60"/>
      <c r="BI63" s="60"/>
      <c r="BJ63" s="60"/>
      <c r="BK63" s="60"/>
      <c r="BL63" s="60"/>
      <c r="BM63" s="60"/>
      <c r="BN63" s="60"/>
      <c r="BO63" s="60"/>
      <c r="BP63" s="77"/>
      <c r="BQ63" s="60"/>
      <c r="BR63" s="60">
        <f>BR158-BQ158+IS!BR8</f>
        <v>8513.1391426500049</v>
      </c>
      <c r="BS63" s="60">
        <f>BS158-BR158+IS!BS8</f>
        <v>7538.1389999299954</v>
      </c>
      <c r="BT63" s="60">
        <f>BT158-BS158+IS!BT8</f>
        <v>8080.3704234757288</v>
      </c>
      <c r="BU63" s="77">
        <f>SUM(BQ63:BT63)</f>
        <v>24131.64856605573</v>
      </c>
      <c r="BV63" s="60">
        <f>BV158-BT158+IS!BV8</f>
        <v>9133.7028167030057</v>
      </c>
      <c r="BW63" s="60">
        <f>BW158-BV158+IS!BW8</f>
        <v>8248.1323917515383</v>
      </c>
      <c r="BX63" s="60">
        <f>BX158-BW158+IS!BX8</f>
        <v>7530.3993125301877</v>
      </c>
      <c r="BY63" s="60">
        <f>BY158-BX158+IS!BY8</f>
        <v>8547.9422557385406</v>
      </c>
      <c r="BZ63" s="211">
        <f>SUM(BV63:BY63)</f>
        <v>33460.176776723274</v>
      </c>
      <c r="CA63" s="60">
        <f>CA158-BY158+IS!CA8</f>
        <v>7445.2681793694373</v>
      </c>
      <c r="CB63" s="60">
        <f>CB158-CA158+IS!CB8</f>
        <v>9760.0021684315616</v>
      </c>
      <c r="CC63" s="60">
        <f>CC158-CB158+IS!CC8</f>
        <v>8849</v>
      </c>
      <c r="CD63" s="60">
        <f>CD158-CC158+IS!CD8</f>
        <v>9943</v>
      </c>
      <c r="CE63" s="211">
        <f>SUM(CA63:CD63)</f>
        <v>35997.270347801001</v>
      </c>
      <c r="CF63" s="60">
        <f>CF158-CD158+IS!CF8</f>
        <v>8794</v>
      </c>
      <c r="CG63" s="60">
        <f>CG158-CF158+IS!CG8</f>
        <v>11002</v>
      </c>
      <c r="CH63" s="60">
        <f>CH158-CG158+IS!CH8</f>
        <v>9595</v>
      </c>
      <c r="CI63" s="60">
        <f>CI158-CH158+IS!CI8</f>
        <v>11387</v>
      </c>
      <c r="CJ63" s="211">
        <f>SUM(CF63:CI63)</f>
        <v>40778</v>
      </c>
      <c r="CK63" s="60">
        <f>CK158-CI158+IS!CK8</f>
        <v>9380</v>
      </c>
      <c r="CL63" s="60">
        <f>CL158-CK158+IS!CL8</f>
        <v>11870</v>
      </c>
      <c r="CM63" s="60">
        <f>CM158-CL158+IS!CM8</f>
        <v>10964</v>
      </c>
      <c r="CN63" s="60">
        <f>CN158-CM158+IS!CN8</f>
        <v>13807</v>
      </c>
      <c r="CO63" s="211">
        <f>SUM(CK63:CN63)</f>
        <v>46021</v>
      </c>
      <c r="CP63" s="60">
        <f>CP158-CN158+IS!CP8</f>
        <v>10006</v>
      </c>
      <c r="CQ63" s="60">
        <f>CQ158-CP158+IS!CQ8</f>
        <v>14306</v>
      </c>
      <c r="CR63" s="60">
        <f>CR158-CQ158+IS!CR8</f>
        <v>12820</v>
      </c>
      <c r="CS63" s="60">
        <f>CS158-CR158+IS!CS8</f>
        <v>15734</v>
      </c>
      <c r="CT63" s="211">
        <f>SUM(CP63:CS63)</f>
        <v>52866</v>
      </c>
      <c r="CU63" s="60">
        <f>CU158-CS158+IS!CU8</f>
        <v>12688</v>
      </c>
      <c r="CV63" s="60">
        <f>CV158-CU158+IS!CV8</f>
        <v>16973</v>
      </c>
      <c r="CW63" s="60">
        <f>CW158-CV158+IS!CW8</f>
        <v>14415</v>
      </c>
      <c r="CX63" s="60">
        <f>CX158-CW158+IS!CX8</f>
        <v>18995</v>
      </c>
      <c r="CY63" s="211">
        <f>SUM(CU63:CX63)</f>
        <v>63071</v>
      </c>
      <c r="CZ63" s="60">
        <f>CZ158-CX158+IS!CZ8</f>
        <v>13241</v>
      </c>
      <c r="DA63" s="60">
        <f>DA158-CZ158+IS!DA8</f>
        <v>16218</v>
      </c>
      <c r="DB63" s="60">
        <f>DB158-DA158+IS!DB8</f>
        <v>12894</v>
      </c>
      <c r="DC63" s="60">
        <f>DC158-DB158+IS!DC8</f>
        <v>15071</v>
      </c>
      <c r="DD63" s="211">
        <f>SUM(CZ63:DC63)</f>
        <v>57424</v>
      </c>
      <c r="DE63" s="60">
        <f>DE158-DC158+IS!DE8</f>
        <v>13404</v>
      </c>
      <c r="DF63" s="60">
        <f>DF158-DE158+IS!DF8</f>
        <v>16782</v>
      </c>
      <c r="DG63" s="60">
        <f>DG158-DF158+IS!DG8</f>
        <v>14235</v>
      </c>
      <c r="DH63" s="60">
        <f>DH158-DG158+IS!DH8</f>
        <v>18609</v>
      </c>
      <c r="DI63" s="211">
        <f>SUM(DE63:DH63)</f>
        <v>63030</v>
      </c>
      <c r="DJ63" s="60">
        <f>DJ158-DH158+IS!DJ8</f>
        <v>15284</v>
      </c>
      <c r="DK63" s="60">
        <f>DK158-DJ158+IS!DK8</f>
        <v>19451</v>
      </c>
      <c r="DL63" s="60">
        <f>DL158-DK158+IS!DL8</f>
        <v>16030</v>
      </c>
      <c r="DM63" s="60">
        <f>DM158-DL158+IS!DM8</f>
        <v>21466.44</v>
      </c>
      <c r="DN63" s="211">
        <f>SUM(DJ63:DM63)</f>
        <v>72231.44</v>
      </c>
      <c r="DO63" s="60">
        <f>DO158-DM158+IS!DO8</f>
        <v>15910</v>
      </c>
      <c r="DP63" s="60">
        <f>DP158-DO158+IS!DP8</f>
        <v>20561</v>
      </c>
      <c r="DQ63" s="60">
        <f>DQ158-DP158+IS!DQ8</f>
        <v>17264</v>
      </c>
      <c r="DR63" s="60">
        <f>DR158-DQ158+IS!DR8</f>
        <v>22927</v>
      </c>
      <c r="DS63" s="211">
        <f>SUM(DO63:DR63)</f>
        <v>76662</v>
      </c>
      <c r="DT63" s="60">
        <f>DT158-DR158+IS!DT8</f>
        <v>15536</v>
      </c>
      <c r="DU63" s="60">
        <f>DU158-DT158+IS!DU8</f>
        <v>21682</v>
      </c>
      <c r="DV63" s="60">
        <f>DV158-DU158+IS!DV8</f>
        <v>18581</v>
      </c>
      <c r="DW63" s="60">
        <f>DW158-DV158+IS!DW8</f>
        <v>24390</v>
      </c>
      <c r="DX63" s="211">
        <f>SUM(DT63:DW63)</f>
        <v>80189</v>
      </c>
      <c r="DY63" s="60">
        <f>DY158-DW158+IS!DY8</f>
        <v>16231</v>
      </c>
      <c r="DZ63" s="60">
        <f>DZ158-DY158+IS!DZ8</f>
        <v>23892</v>
      </c>
      <c r="EA63" s="60">
        <f>EA158-DZ158+IS!EA8</f>
        <v>20441</v>
      </c>
      <c r="EB63" s="60">
        <f>EB158-EA158+IS!EB8</f>
        <v>29028</v>
      </c>
      <c r="EC63" s="211">
        <f>SUM(DY63:EB63)</f>
        <v>89592</v>
      </c>
      <c r="ED63" s="60">
        <f>ED26-EC26+IS!ED8</f>
        <v>20581</v>
      </c>
      <c r="EE63" s="60">
        <f>EE26-ED26+IS!EE8</f>
        <v>24849</v>
      </c>
      <c r="EF63" s="60">
        <f>EF26-EE26+IS!EF8</f>
        <v>20684</v>
      </c>
      <c r="EG63" s="60">
        <f>EG26-EF26+IS!EG8</f>
        <v>27300</v>
      </c>
      <c r="EH63" s="211">
        <f>SUM(ED63:EG63)</f>
        <v>93414</v>
      </c>
      <c r="EI63" s="60">
        <f>EI26-EH26+IS!EI8</f>
        <v>19984.909340579874</v>
      </c>
      <c r="EJ63" s="60">
        <f>EJ26-EI26+IS!EJ8</f>
        <v>25896.732404433165</v>
      </c>
      <c r="EK63" s="60">
        <f>EK26-EJ26+IS!EK8</f>
        <v>22394.61832741589</v>
      </c>
      <c r="EL63" s="60">
        <f>EL26-EK26+IS!EL8</f>
        <v>19781.452953299391</v>
      </c>
      <c r="EM63" s="211">
        <f>SUM(EI63:EL63)</f>
        <v>88057.713025728328</v>
      </c>
      <c r="EN63" s="60">
        <f>EN36-EM36+IS!EN8</f>
        <v>20105</v>
      </c>
      <c r="EO63" s="60">
        <f>EO36-EN36+IS!EO8</f>
        <v>25447</v>
      </c>
      <c r="EP63" s="60">
        <f>EP36-EO36+IS!EP8</f>
        <v>23125</v>
      </c>
      <c r="EQ63" s="60">
        <f>EQ36-EP36+IS!EQ8</f>
        <v>32357</v>
      </c>
      <c r="ER63" s="211">
        <f>SUM(EN63:EQ63)</f>
        <v>101034</v>
      </c>
      <c r="ES63" s="60">
        <f>ES36-ER36+IS!ES8</f>
        <v>22786</v>
      </c>
      <c r="ET63" s="60">
        <f>ET36-ES36+IS!ET8</f>
        <v>27823</v>
      </c>
      <c r="EU63" s="60">
        <f>EU36-ET36+IS!EU8</f>
        <v>26965</v>
      </c>
      <c r="EV63" s="60">
        <f>EV36-EU36+IS!EV8</f>
        <v>36969.675033117019</v>
      </c>
      <c r="EW63" s="211">
        <f>SUM(ES63:EV63)</f>
        <v>114543.67503311702</v>
      </c>
      <c r="EX63" s="60">
        <f>EX36-EW36+IS!EX8</f>
        <v>25368.999242672202</v>
      </c>
      <c r="EY63" s="60">
        <f>EY36-EX36+IS!EY8</f>
        <v>30705.553621309282</v>
      </c>
      <c r="EZ63" s="60">
        <f>EZ36-EY36+IS!EZ8</f>
        <v>29736.120900182865</v>
      </c>
      <c r="FA63" s="60">
        <f>FA36-EZ36+IS!FA8</f>
        <v>41815.927656809043</v>
      </c>
      <c r="FB63" s="211">
        <f>SUM(EX63:FA63)</f>
        <v>127626.6014209734</v>
      </c>
      <c r="FC63" s="60">
        <f>FC36-FB36+IS!FC8</f>
        <v>28320.730362754621</v>
      </c>
      <c r="FD63" s="60">
        <f>FD36-FC36+IS!FD8</f>
        <v>33852.374128916708</v>
      </c>
      <c r="FE63" s="60">
        <f>FE36-FD36+IS!FE8</f>
        <v>33706.4148540881</v>
      </c>
      <c r="FF63" s="60">
        <f>FF36-FE36+IS!FF8</f>
        <v>47841.198630975472</v>
      </c>
      <c r="FG63" s="211">
        <f>SUM(FC63:FF63)</f>
        <v>143720.71797673492</v>
      </c>
      <c r="FH63" s="60">
        <f>FH36-FG36+IS!FH8</f>
        <v>31529.262557369017</v>
      </c>
      <c r="FI63" s="60">
        <f>FI36-FH36+IS!FI8</f>
        <v>37030.627585324801</v>
      </c>
      <c r="FJ63" s="60">
        <f>FJ36-FI36+IS!FJ8</f>
        <v>37650.587145114514</v>
      </c>
      <c r="FK63" s="60">
        <f>FK36-FJ36+IS!FK8</f>
        <v>54075.738251531082</v>
      </c>
      <c r="FL63" s="211">
        <f>SUM(FH63:FK63)</f>
        <v>160286.21553933944</v>
      </c>
      <c r="FM63" s="152"/>
      <c r="FN63" s="152"/>
      <c r="FO63" s="152"/>
      <c r="FP63" s="152"/>
      <c r="FQ63" s="152"/>
    </row>
    <row r="64" spans="1:173" s="32" customFormat="1" ht="12">
      <c r="A64" s="32" t="s">
        <v>163</v>
      </c>
      <c r="BP64" s="51"/>
      <c r="BU64" s="51"/>
      <c r="BW64" s="32">
        <f t="shared" ref="BW64:DB64" si="129">BW63/BR63-1</f>
        <v>-3.112914595402394E-2</v>
      </c>
      <c r="BX64" s="32">
        <f t="shared" si="129"/>
        <v>-1.0267371561972771E-3</v>
      </c>
      <c r="BY64" s="32">
        <f t="shared" si="129"/>
        <v>5.7865148224440999E-2</v>
      </c>
      <c r="BZ64" s="51">
        <f t="shared" si="129"/>
        <v>0.38656821083451876</v>
      </c>
      <c r="CA64" s="32">
        <f t="shared" si="129"/>
        <v>-0.18485762797601546</v>
      </c>
      <c r="CB64" s="32">
        <f t="shared" si="129"/>
        <v>0.18329843713371452</v>
      </c>
      <c r="CC64" s="32">
        <f t="shared" si="129"/>
        <v>0.17510368743337823</v>
      </c>
      <c r="CD64" s="32">
        <f t="shared" si="129"/>
        <v>0.16320392704161124</v>
      </c>
      <c r="CE64" s="51">
        <f t="shared" si="129"/>
        <v>7.5824272776785495E-2</v>
      </c>
      <c r="CF64" s="32">
        <f t="shared" si="129"/>
        <v>0.18115288638867955</v>
      </c>
      <c r="CG64" s="32">
        <f t="shared" si="129"/>
        <v>0.12725384791262062</v>
      </c>
      <c r="CH64" s="32">
        <f t="shared" si="129"/>
        <v>8.4303311108599788E-2</v>
      </c>
      <c r="CI64" s="32">
        <f t="shared" si="129"/>
        <v>0.14522779845117162</v>
      </c>
      <c r="CJ64" s="51">
        <f t="shared" si="129"/>
        <v>0.13280811589346087</v>
      </c>
      <c r="CK64" s="32">
        <f t="shared" si="129"/>
        <v>6.6636342961109873E-2</v>
      </c>
      <c r="CL64" s="32">
        <f t="shared" si="129"/>
        <v>7.8894746409743588E-2</v>
      </c>
      <c r="CM64" s="32">
        <f t="shared" si="129"/>
        <v>0.14267847837415326</v>
      </c>
      <c r="CN64" s="32">
        <f t="shared" si="129"/>
        <v>0.21252305260384641</v>
      </c>
      <c r="CO64" s="51">
        <f t="shared" si="129"/>
        <v>0.12857423120309974</v>
      </c>
      <c r="CP64" s="32">
        <f t="shared" si="129"/>
        <v>6.6737739872068325E-2</v>
      </c>
      <c r="CQ64" s="32">
        <f t="shared" si="129"/>
        <v>0.20522325189553503</v>
      </c>
      <c r="CR64" s="32">
        <f t="shared" si="129"/>
        <v>0.16928128420284572</v>
      </c>
      <c r="CS64" s="32">
        <f t="shared" si="129"/>
        <v>0.13956688636199033</v>
      </c>
      <c r="CT64" s="51">
        <f t="shared" si="129"/>
        <v>0.14873644640490213</v>
      </c>
      <c r="CU64" s="32">
        <f t="shared" si="129"/>
        <v>0.26803917649410347</v>
      </c>
      <c r="CV64" s="32">
        <f t="shared" si="129"/>
        <v>0.18642527610792681</v>
      </c>
      <c r="CW64" s="32">
        <f t="shared" si="129"/>
        <v>0.12441497659906386</v>
      </c>
      <c r="CX64" s="32">
        <f t="shared" si="129"/>
        <v>0.20725816702682098</v>
      </c>
      <c r="CY64" s="51">
        <f t="shared" si="129"/>
        <v>0.19303522112510874</v>
      </c>
      <c r="CZ64" s="32">
        <f t="shared" si="129"/>
        <v>4.3584489281210503E-2</v>
      </c>
      <c r="DA64" s="32">
        <f t="shared" si="129"/>
        <v>-4.4482413244564922E-2</v>
      </c>
      <c r="DB64" s="32">
        <f t="shared" si="129"/>
        <v>-0.10551508844953172</v>
      </c>
      <c r="DC64" s="32">
        <f t="shared" ref="DC64:DZ64" si="130">DC63/CX63-1</f>
        <v>-0.2065806791260858</v>
      </c>
      <c r="DD64" s="51">
        <f t="shared" si="130"/>
        <v>-8.9534017218690032E-2</v>
      </c>
      <c r="DE64" s="32">
        <f t="shared" si="130"/>
        <v>1.2310248470659424E-2</v>
      </c>
      <c r="DF64" s="32">
        <f t="shared" si="130"/>
        <v>3.4776174620791744E-2</v>
      </c>
      <c r="DG64" s="32">
        <f t="shared" si="130"/>
        <v>0.10400186133085154</v>
      </c>
      <c r="DH64" s="32">
        <f t="shared" si="130"/>
        <v>0.23475549067746004</v>
      </c>
      <c r="DI64" s="51">
        <f t="shared" si="130"/>
        <v>9.7624686542212347E-2</v>
      </c>
      <c r="DJ64" s="32">
        <f t="shared" si="130"/>
        <v>0.14025663980901215</v>
      </c>
      <c r="DK64" s="32">
        <f>DK63/DF63-1</f>
        <v>0.15903944702657613</v>
      </c>
      <c r="DL64" s="32">
        <f t="shared" si="130"/>
        <v>0.12609764664559187</v>
      </c>
      <c r="DM64" s="32">
        <f t="shared" si="130"/>
        <v>0.15355150733516032</v>
      </c>
      <c r="DN64" s="51">
        <f t="shared" si="130"/>
        <v>0.145985086466762</v>
      </c>
      <c r="DO64" s="32">
        <f t="shared" si="130"/>
        <v>4.0957864433394331E-2</v>
      </c>
      <c r="DP64" s="32">
        <f t="shared" si="130"/>
        <v>5.7066474731376271E-2</v>
      </c>
      <c r="DQ64" s="32">
        <f t="shared" si="130"/>
        <v>7.698066126013714E-2</v>
      </c>
      <c r="DR64" s="32">
        <f t="shared" si="130"/>
        <v>6.8039227743398545E-2</v>
      </c>
      <c r="DS64" s="51">
        <f t="shared" si="130"/>
        <v>6.1338386719135052E-2</v>
      </c>
      <c r="DT64" s="32">
        <f t="shared" si="130"/>
        <v>-2.3507228158390903E-2</v>
      </c>
      <c r="DU64" s="32">
        <f t="shared" si="130"/>
        <v>5.452069451874908E-2</v>
      </c>
      <c r="DV64" s="32">
        <f t="shared" si="130"/>
        <v>7.6285912882298357E-2</v>
      </c>
      <c r="DW64" s="32">
        <f t="shared" si="130"/>
        <v>6.3811226937671828E-2</v>
      </c>
      <c r="DX64" s="51">
        <f t="shared" si="130"/>
        <v>4.600714826119856E-2</v>
      </c>
      <c r="DY64" s="32">
        <f>DY63/DT63-1</f>
        <v>4.4734809474768378E-2</v>
      </c>
      <c r="DZ64" s="32">
        <f t="shared" si="130"/>
        <v>0.1019278664329859</v>
      </c>
      <c r="EA64" s="32">
        <f t="shared" ref="EA64:EL64" si="131">EA63/DV63-1</f>
        <v>0.10010225499165815</v>
      </c>
      <c r="EB64" s="32">
        <f t="shared" si="131"/>
        <v>0.19015990159901608</v>
      </c>
      <c r="EC64" s="51">
        <f t="shared" si="131"/>
        <v>0.11726047213458202</v>
      </c>
      <c r="ED64" s="32">
        <f t="shared" si="131"/>
        <v>0.26800566816585536</v>
      </c>
      <c r="EE64" s="32">
        <f t="shared" si="131"/>
        <v>4.0055248618784622E-2</v>
      </c>
      <c r="EF64" s="32">
        <f t="shared" si="131"/>
        <v>1.1887872413286926E-2</v>
      </c>
      <c r="EG64" s="32">
        <f t="shared" si="131"/>
        <v>-5.9528730880529124E-2</v>
      </c>
      <c r="EH64" s="51">
        <f t="shared" si="131"/>
        <v>4.2660058933833289E-2</v>
      </c>
      <c r="EI64" s="32">
        <f t="shared" si="131"/>
        <v>-2.8963153365731742E-2</v>
      </c>
      <c r="EJ64" s="32">
        <f t="shared" si="131"/>
        <v>4.216396653519916E-2</v>
      </c>
      <c r="EK64" s="32">
        <f t="shared" si="131"/>
        <v>8.2702491172688575E-2</v>
      </c>
      <c r="EL64" s="32">
        <f t="shared" si="131"/>
        <v>-0.27540465372529699</v>
      </c>
      <c r="EM64" s="51">
        <f t="shared" ref="EM64:EW64" si="132">EM63/EH63-1</f>
        <v>-5.7339231531372992E-2</v>
      </c>
      <c r="ER64" s="51"/>
      <c r="ES64" s="32">
        <f t="shared" si="132"/>
        <v>0.13334991295697596</v>
      </c>
      <c r="ET64" s="32">
        <f t="shared" si="132"/>
        <v>9.3370534837112329E-2</v>
      </c>
      <c r="EU64" s="32">
        <f t="shared" si="132"/>
        <v>0.16605405405405405</v>
      </c>
      <c r="EV64" s="32">
        <f t="shared" si="132"/>
        <v>0.14255570767120007</v>
      </c>
      <c r="EW64" s="51">
        <f t="shared" si="132"/>
        <v>0.13371414606090037</v>
      </c>
      <c r="EX64" s="32">
        <f t="shared" ref="EX64:FG64" si="133">EX63/ES63-1</f>
        <v>0.11335904690038623</v>
      </c>
      <c r="EY64" s="32">
        <f t="shared" si="133"/>
        <v>0.10360326425293032</v>
      </c>
      <c r="EZ64" s="32">
        <f t="shared" si="133"/>
        <v>0.10276732431607138</v>
      </c>
      <c r="FA64" s="32">
        <f t="shared" si="133"/>
        <v>0.13108723891543006</v>
      </c>
      <c r="FB64" s="51">
        <f t="shared" si="133"/>
        <v>0.11421779844302904</v>
      </c>
      <c r="FC64" s="32">
        <f t="shared" si="133"/>
        <v>0.11635189436709936</v>
      </c>
      <c r="FD64" s="32">
        <f t="shared" si="133"/>
        <v>0.1024837573820383</v>
      </c>
      <c r="FE64" s="32">
        <f t="shared" si="133"/>
        <v>0.13351754814397521</v>
      </c>
      <c r="FF64" s="32">
        <f t="shared" si="133"/>
        <v>0.14409033379856906</v>
      </c>
      <c r="FG64" s="51">
        <f t="shared" si="133"/>
        <v>0.12610315072698253</v>
      </c>
      <c r="FH64" s="32">
        <f t="shared" ref="FH64" si="134">FH63/FC63-1</f>
        <v>0.1132927065621876</v>
      </c>
      <c r="FI64" s="32">
        <f t="shared" ref="FI64" si="135">FI63/FD63-1</f>
        <v>9.388568861683555E-2</v>
      </c>
      <c r="FJ64" s="32">
        <f t="shared" ref="FJ64" si="136">FJ63/FE63-1</f>
        <v>0.11701547934125789</v>
      </c>
      <c r="FK64" s="32">
        <f t="shared" ref="FK64" si="137">FK63/FF63-1</f>
        <v>0.13031737914106034</v>
      </c>
      <c r="FL64" s="51">
        <f t="shared" ref="FL64" si="138">FL63/FG63-1</f>
        <v>0.11526172284559633</v>
      </c>
      <c r="FM64" s="33"/>
      <c r="FN64" s="33"/>
      <c r="FO64" s="33"/>
      <c r="FP64" s="33"/>
      <c r="FQ64" s="33"/>
    </row>
    <row r="65" spans="1:173" s="32" customFormat="1" ht="12">
      <c r="A65" s="32" t="s">
        <v>1028</v>
      </c>
      <c r="BP65" s="51"/>
      <c r="BU65" s="51"/>
      <c r="BZ65" s="51"/>
      <c r="CE65" s="51"/>
      <c r="CJ65" s="51"/>
      <c r="CO65" s="51"/>
      <c r="CT65" s="51"/>
      <c r="CY65" s="51"/>
      <c r="DD65" s="51"/>
      <c r="DI65" s="51"/>
      <c r="DN65" s="51"/>
      <c r="DS65" s="51"/>
      <c r="DX65" s="51"/>
      <c r="EC65" s="51"/>
      <c r="EE65" s="2233">
        <f>('Rev Overview'!BL32*(1+'Rev Overview'!BQ35)+EE26*(1+0.02)-ED26)/DZ63-1</f>
        <v>6.810020090406832E-2</v>
      </c>
      <c r="EF65" s="2233">
        <f>('Rev Overview'!BM32*(1+'Rev Overview'!BR35)+EF26*(1+0.029)-EE26)/EA63-1</f>
        <v>6.5506188542635124E-2</v>
      </c>
      <c r="EG65" s="2233">
        <f>('Rev Overview'!BN32*(1+'Rev Overview'!BS35)+EG26*(1+-0.009)-EF26)/EB63-1</f>
        <v>-4.2080129530108867E-2</v>
      </c>
      <c r="EH65" s="2234"/>
      <c r="EI65" s="2233">
        <f>(('Rev Overview'!BP32*(1+'Rev Overview'!BU35)+(EI26*(1+0.004))-EH26)/ED63-1)</f>
        <v>8.7093969094902635E-2</v>
      </c>
      <c r="EJ65" s="2233">
        <f>EJ64+0.07</f>
        <v>0.11216396653519917</v>
      </c>
      <c r="EK65" s="2233">
        <f>EK64+0.02</f>
        <v>0.10270249117268858</v>
      </c>
      <c r="EL65" s="2233">
        <f>EL64+0.01</f>
        <v>-0.26540465372529698</v>
      </c>
      <c r="EM65" s="51"/>
      <c r="EN65" s="2233"/>
      <c r="EO65" s="2233">
        <f>+EO64+0.05</f>
        <v>0.05</v>
      </c>
      <c r="EP65" s="2233">
        <f>EP64-0.01</f>
        <v>-0.01</v>
      </c>
      <c r="EQ65" s="2233">
        <f>EQ64+0.01</f>
        <v>0.01</v>
      </c>
      <c r="ER65" s="51"/>
      <c r="ES65" s="2233"/>
      <c r="ET65" s="2233"/>
      <c r="EU65" s="2233"/>
      <c r="EW65" s="51"/>
      <c r="FB65" s="51"/>
      <c r="FG65" s="51"/>
      <c r="FL65" s="51"/>
      <c r="FM65" s="33"/>
      <c r="FN65" s="33"/>
      <c r="FO65" s="33"/>
      <c r="FP65" s="33"/>
      <c r="FQ65" s="33"/>
    </row>
    <row r="66" spans="1:173" s="64" customFormat="1" ht="12">
      <c r="A66" s="64" t="s">
        <v>667</v>
      </c>
      <c r="BP66" s="68"/>
      <c r="BU66" s="68"/>
      <c r="BW66" s="64">
        <f>BW63/BV63-1</f>
        <v>-9.6956343196540784E-2</v>
      </c>
      <c r="BX66" s="64">
        <f>BX63/BW63-1</f>
        <v>-8.7017647769465079E-2</v>
      </c>
      <c r="BY66" s="64">
        <f>BY63/BX63-1</f>
        <v>0.13512469936557214</v>
      </c>
      <c r="BZ66" s="68"/>
      <c r="CA66" s="64">
        <f>CA63/BY63-1</f>
        <v>-0.12899877460319042</v>
      </c>
      <c r="CB66" s="64">
        <f>CB63/CA63-1</f>
        <v>0.31090001505602793</v>
      </c>
      <c r="CC66" s="64">
        <f>CC63/CB63-1</f>
        <v>-9.3340365371861411E-2</v>
      </c>
      <c r="CD66" s="64">
        <f>CD63/CC63-1</f>
        <v>0.12362978867668661</v>
      </c>
      <c r="CE66" s="68"/>
      <c r="CF66" s="64">
        <f>CF63/CD63-1</f>
        <v>-0.11555868450165951</v>
      </c>
      <c r="CG66" s="64">
        <f>CG63/CF63-1</f>
        <v>0.25108028201046162</v>
      </c>
      <c r="CH66" s="64">
        <f>CH63/CG63-1</f>
        <v>-0.1278858389383748</v>
      </c>
      <c r="CI66" s="64">
        <f>CI63/CH63-1</f>
        <v>0.18676393955184989</v>
      </c>
      <c r="CJ66" s="68"/>
      <c r="CK66" s="64">
        <f>CK63/CI63-1</f>
        <v>-0.17625362255203303</v>
      </c>
      <c r="CL66" s="64">
        <f>CL63/CK63-1</f>
        <v>0.26545842217484017</v>
      </c>
      <c r="CM66" s="64">
        <f>CM63/CL63-1</f>
        <v>-7.6326874473462536E-2</v>
      </c>
      <c r="CN66" s="64">
        <f>CN63/CM63-1</f>
        <v>0.25930317402407876</v>
      </c>
      <c r="CO66" s="68"/>
      <c r="CP66" s="64">
        <f>CP63/CN63-1</f>
        <v>-0.27529514014630263</v>
      </c>
      <c r="CQ66" s="64">
        <f>CQ63/CP63-1</f>
        <v>0.42974215470717581</v>
      </c>
      <c r="CR66" s="64">
        <f>CR63/CQ63-1</f>
        <v>-0.10387250104851109</v>
      </c>
      <c r="CS66" s="64">
        <f>CS63/CR63-1</f>
        <v>0.22730109204368176</v>
      </c>
      <c r="CT66" s="68"/>
      <c r="CU66" s="64">
        <f>CU63/CS63-1</f>
        <v>-0.19359349180119489</v>
      </c>
      <c r="CV66" s="64">
        <f>CV63/CU63-1</f>
        <v>0.33772068095838592</v>
      </c>
      <c r="CW66" s="64">
        <f>CW63/CV63-1</f>
        <v>-0.15070995109880403</v>
      </c>
      <c r="CX66" s="64">
        <f>CX63/CW63-1</f>
        <v>0.31772459243843221</v>
      </c>
      <c r="CY66" s="68"/>
      <c r="CZ66" s="64">
        <f>CZ63/CX63-1</f>
        <v>-0.30292182153198211</v>
      </c>
      <c r="DA66" s="64">
        <f>DA63/CZ63-1</f>
        <v>0.2248319613322256</v>
      </c>
      <c r="DB66" s="64">
        <f>DB63/DA63-1</f>
        <v>-0.20495745467998516</v>
      </c>
      <c r="DC66" s="64">
        <f>DC63/DB63-1</f>
        <v>0.16883821932681875</v>
      </c>
      <c r="DD66" s="68"/>
      <c r="DE66" s="64">
        <f>DE63/DC63-1</f>
        <v>-0.11060978037290159</v>
      </c>
      <c r="DF66" s="64">
        <f>DF63/DE63-1</f>
        <v>0.25201432408236357</v>
      </c>
      <c r="DG66" s="64">
        <f>DG63/DF63-1</f>
        <v>-0.15176975330711473</v>
      </c>
      <c r="DH66" s="64">
        <f>DH63/DG63-1</f>
        <v>0.30727081138040035</v>
      </c>
      <c r="DI66" s="68"/>
      <c r="DJ66" s="64">
        <f>DJ63/DH63-1</f>
        <v>-0.17867698425493039</v>
      </c>
      <c r="DK66" s="64">
        <f>DK63/DI63-1</f>
        <v>-0.69140092019673172</v>
      </c>
      <c r="DL66" s="64">
        <f>DL63/DK63-1</f>
        <v>-0.17587784689733177</v>
      </c>
      <c r="DM66" s="64">
        <f>DM63/DL63-1</f>
        <v>0.33914160948222083</v>
      </c>
      <c r="DN66" s="68"/>
      <c r="DO66" s="64">
        <f>DO63/DM63-1</f>
        <v>-0.25884310579676928</v>
      </c>
      <c r="DP66" s="64">
        <f>DP63/DO63-1</f>
        <v>0.29233186675047129</v>
      </c>
      <c r="DQ66" s="64">
        <f>DQ63/DP63-1</f>
        <v>-0.16035212295121837</v>
      </c>
      <c r="DR66" s="64">
        <f>DR63/DQ63-1</f>
        <v>0.32802363299351245</v>
      </c>
      <c r="DS66" s="68"/>
      <c r="DT66" s="64">
        <f>DT63/DR63-1</f>
        <v>-0.32237100362018578</v>
      </c>
      <c r="DU66" s="64">
        <f>DU63/DT63-1</f>
        <v>0.39559732234809464</v>
      </c>
      <c r="DV66" s="64">
        <f>DV63/DU63-1</f>
        <v>-0.14302186145189555</v>
      </c>
      <c r="DW66" s="64">
        <f>DW63/DV63-1</f>
        <v>0.31263118239061405</v>
      </c>
      <c r="DX66" s="68"/>
      <c r="DY66" s="64">
        <f>DY63/DW63-1</f>
        <v>-0.33452234522345226</v>
      </c>
      <c r="DZ66" s="64">
        <f>DZ63/DY63-1</f>
        <v>0.47199802846405037</v>
      </c>
      <c r="EA66" s="64">
        <f>EA63/DZ63-1</f>
        <v>-0.14444165411016241</v>
      </c>
      <c r="EB66" s="64">
        <f>EB63/EA63-1</f>
        <v>0.4200870798884595</v>
      </c>
      <c r="EC66" s="68"/>
      <c r="ED66" s="64">
        <f>ED63/EC63-1</f>
        <v>-0.77028082864541481</v>
      </c>
      <c r="EE66" s="64">
        <f>EE63/ED63-1</f>
        <v>0.20737573490112249</v>
      </c>
      <c r="EF66" s="64">
        <f>EF63/EE63-1</f>
        <v>-0.16761237876775725</v>
      </c>
      <c r="EG66" s="64">
        <f>EG63/EF63-1</f>
        <v>0.3198607619415974</v>
      </c>
      <c r="EH66" s="68"/>
      <c r="EI66" s="64">
        <f>EI63/EH63-1</f>
        <v>-0.78606087587963391</v>
      </c>
      <c r="EJ66" s="64">
        <f>EJ63/EI63-1</f>
        <v>0.29581435487671603</v>
      </c>
      <c r="EK66" s="64">
        <f>EK63/EJ63-1</f>
        <v>-0.13523382109851667</v>
      </c>
      <c r="EL66" s="64">
        <f>EL63/EK63-1</f>
        <v>-0.11668720296596502</v>
      </c>
      <c r="EM66" s="68"/>
      <c r="EN66" s="64">
        <f>EN63/EM63-1</f>
        <v>-0.77168382746749509</v>
      </c>
      <c r="EO66" s="64">
        <f>EO63/EN63-1</f>
        <v>0.26570504849539911</v>
      </c>
      <c r="EP66" s="64">
        <f>EP63/EO63-1</f>
        <v>-9.1248477227178104E-2</v>
      </c>
      <c r="EQ66" s="64">
        <f>EQ63/EP63-1</f>
        <v>0.39922162162162156</v>
      </c>
      <c r="ER66" s="68"/>
      <c r="ES66" s="64">
        <f>ES63/ER63-1</f>
        <v>-0.77447195993427953</v>
      </c>
      <c r="ET66" s="64">
        <f>ET63/ES63-1</f>
        <v>0.22105678925656114</v>
      </c>
      <c r="EU66" s="64">
        <f>EU63/ET63-1</f>
        <v>-3.08377960680013E-2</v>
      </c>
      <c r="EV66" s="64">
        <f>EV63/EU63-1</f>
        <v>0.371024477400965</v>
      </c>
      <c r="EW66" s="68"/>
      <c r="EX66" s="64">
        <f>EX63/EV63-1</f>
        <v>-0.31378895757274206</v>
      </c>
      <c r="EY66" s="64">
        <f>EY63/EX63-1</f>
        <v>0.21035730765684568</v>
      </c>
      <c r="EZ66" s="64">
        <f>EZ63/EY63-1</f>
        <v>-3.1571901717923789E-2</v>
      </c>
      <c r="FA66" s="64">
        <f>FA63/EZ63-1</f>
        <v>0.4062334423906615</v>
      </c>
      <c r="FB66" s="68"/>
      <c r="FC66" s="64">
        <f>FC63/FA63-1</f>
        <v>-0.32272863595929213</v>
      </c>
      <c r="FD66" s="64">
        <f>FD63/FC63-1</f>
        <v>0.19532136690362001</v>
      </c>
      <c r="FE66" s="64">
        <f>FE63/FD63-1</f>
        <v>-4.3116407219406794E-3</v>
      </c>
      <c r="FF66" s="64">
        <f>FF63/FE63-1</f>
        <v>0.4193499616638412</v>
      </c>
      <c r="FG66" s="68"/>
      <c r="FH66" s="64">
        <f>FH63/FF63-1</f>
        <v>-0.34096002065978881</v>
      </c>
      <c r="FI66" s="64">
        <f>FI63/FH63-1</f>
        <v>0.17448441802106163</v>
      </c>
      <c r="FJ66" s="64">
        <f>FJ63/FI63-1</f>
        <v>1.6741805370735996E-2</v>
      </c>
      <c r="FK66" s="64">
        <f>FK63/FJ63-1</f>
        <v>0.43625219025429929</v>
      </c>
      <c r="FL66" s="68"/>
    </row>
    <row r="67" spans="1:173" s="31" customFormat="1" ht="12">
      <c r="DC67" s="79"/>
      <c r="DE67" s="79"/>
      <c r="DF67" s="79"/>
      <c r="DG67" s="79"/>
      <c r="DH67" s="79"/>
      <c r="DJ67" s="79"/>
      <c r="DK67" s="79"/>
      <c r="DL67" s="79"/>
      <c r="DM67" s="79"/>
      <c r="DO67" s="79"/>
      <c r="DP67" s="79"/>
      <c r="DQ67" s="79"/>
      <c r="DR67" s="79"/>
      <c r="DT67" s="79"/>
      <c r="DU67" s="79"/>
      <c r="DV67" s="79"/>
      <c r="DW67" s="79"/>
      <c r="DY67" s="79"/>
      <c r="DZ67" s="79"/>
      <c r="EA67" s="79"/>
      <c r="EB67" s="79"/>
      <c r="ED67" s="79"/>
      <c r="EE67" s="79"/>
      <c r="EF67" s="79"/>
      <c r="EG67" s="79"/>
      <c r="EI67" s="79"/>
      <c r="EJ67" s="79"/>
      <c r="EK67" s="79"/>
      <c r="EL67" s="79"/>
      <c r="EN67" s="79"/>
      <c r="EO67" s="79"/>
      <c r="EP67" s="79"/>
      <c r="EQ67" s="79"/>
      <c r="ES67" s="79"/>
      <c r="ET67" s="79"/>
      <c r="EU67" s="79"/>
      <c r="EV67" s="79"/>
      <c r="EX67" s="79"/>
      <c r="EY67" s="79"/>
      <c r="EZ67" s="79"/>
      <c r="FA67" s="79"/>
      <c r="FC67" s="79"/>
      <c r="FD67" s="79"/>
      <c r="FE67" s="79"/>
      <c r="FF67" s="79"/>
      <c r="FH67" s="79"/>
      <c r="FI67" s="79"/>
      <c r="FJ67" s="79"/>
      <c r="FK67" s="79"/>
    </row>
    <row r="68" spans="1:173" s="218" customFormat="1" ht="12">
      <c r="A68" s="212" t="s">
        <v>477</v>
      </c>
      <c r="B68" s="213"/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13"/>
      <c r="AF68" s="213"/>
      <c r="AG68" s="213"/>
      <c r="AH68" s="213"/>
      <c r="AI68" s="213"/>
      <c r="AJ68" s="213"/>
      <c r="AK68" s="213"/>
      <c r="AL68" s="213"/>
      <c r="AM68" s="213"/>
      <c r="AN68" s="213"/>
      <c r="AO68" s="213"/>
      <c r="AP68" s="213"/>
      <c r="AQ68" s="213"/>
      <c r="AR68" s="213"/>
      <c r="AS68" s="213"/>
      <c r="AT68" s="213"/>
      <c r="AU68" s="213"/>
      <c r="AV68" s="213"/>
      <c r="AW68" s="213"/>
      <c r="AX68" s="213"/>
      <c r="AY68" s="213"/>
      <c r="AZ68" s="213"/>
      <c r="BA68" s="213"/>
      <c r="BB68" s="213"/>
      <c r="BC68" s="213"/>
      <c r="BD68" s="213"/>
      <c r="BE68" s="213"/>
      <c r="BF68" s="213"/>
      <c r="BG68" s="213"/>
      <c r="BH68" s="213"/>
      <c r="BI68" s="213"/>
      <c r="BJ68" s="213"/>
      <c r="BK68" s="213"/>
      <c r="BL68" s="213"/>
      <c r="BM68" s="213"/>
      <c r="BN68" s="213"/>
      <c r="BO68" s="213"/>
      <c r="BP68" s="214"/>
      <c r="BQ68" s="213"/>
      <c r="BR68" s="213"/>
      <c r="BS68" s="213"/>
      <c r="BT68" s="213"/>
      <c r="BU68" s="214"/>
      <c r="BV68" s="213"/>
      <c r="BW68" s="213"/>
      <c r="BX68" s="213"/>
      <c r="BY68" s="213"/>
      <c r="BZ68" s="215"/>
      <c r="CA68" s="213"/>
      <c r="CB68" s="213"/>
      <c r="CC68" s="213"/>
      <c r="CD68" s="213"/>
      <c r="CE68" s="215"/>
      <c r="CF68" s="213"/>
      <c r="CG68" s="213"/>
      <c r="CH68" s="213"/>
      <c r="CI68" s="213"/>
      <c r="CJ68" s="215"/>
      <c r="CK68" s="213"/>
      <c r="CL68" s="213"/>
      <c r="CM68" s="213"/>
      <c r="CN68" s="213"/>
      <c r="CO68" s="215"/>
      <c r="CP68" s="1142">
        <v>9000</v>
      </c>
      <c r="CQ68" s="1142">
        <v>9750</v>
      </c>
      <c r="CR68" s="1142">
        <v>10200</v>
      </c>
      <c r="CS68" s="1142">
        <v>10600</v>
      </c>
      <c r="CT68" s="215">
        <f>SUM(CP68:CS68)</f>
        <v>39550</v>
      </c>
      <c r="CU68" s="1142">
        <v>12000</v>
      </c>
      <c r="CV68" s="1142">
        <v>12200</v>
      </c>
      <c r="CW68" s="1142">
        <v>12200</v>
      </c>
      <c r="CX68" s="1142">
        <v>12750</v>
      </c>
      <c r="CY68" s="215">
        <f>SUM(CU68:CX68)</f>
        <v>49150</v>
      </c>
      <c r="CZ68" s="1142">
        <v>13400</v>
      </c>
      <c r="DA68" s="1142">
        <v>13020</v>
      </c>
      <c r="DB68" s="1142">
        <v>12400</v>
      </c>
      <c r="DC68" s="1142">
        <v>11578.003822248149</v>
      </c>
      <c r="DD68" s="215">
        <f>SUM(CZ68:DC68)</f>
        <v>50398.003822248153</v>
      </c>
      <c r="DE68" s="1142">
        <v>12050</v>
      </c>
      <c r="DF68" s="1142">
        <v>13000</v>
      </c>
      <c r="DG68" s="1142">
        <v>13900</v>
      </c>
      <c r="DH68" s="1142">
        <v>15010</v>
      </c>
      <c r="DI68" s="215">
        <f>SUM(DE68:DH68)</f>
        <v>53960</v>
      </c>
      <c r="DJ68" s="1142">
        <v>16010</v>
      </c>
      <c r="DK68" s="1142">
        <v>16900</v>
      </c>
      <c r="DL68" s="1142">
        <v>17000</v>
      </c>
      <c r="DM68" s="1142">
        <v>18500</v>
      </c>
      <c r="DN68" s="215">
        <f>SUM(DJ68:DM68)</f>
        <v>68410</v>
      </c>
      <c r="DO68" s="1142">
        <v>18700</v>
      </c>
      <c r="DP68" s="1142">
        <v>19000</v>
      </c>
      <c r="DQ68" s="1142">
        <v>19100</v>
      </c>
      <c r="DR68" s="1142">
        <v>19500</v>
      </c>
      <c r="DS68" s="215">
        <f>SUM(DO68:DR68)</f>
        <v>76300</v>
      </c>
      <c r="DT68" s="1142">
        <v>20000</v>
      </c>
      <c r="DU68" s="1142">
        <v>21400</v>
      </c>
      <c r="DV68" s="1142">
        <v>21000</v>
      </c>
      <c r="DW68" s="1142">
        <v>20900</v>
      </c>
      <c r="DX68" s="215">
        <f>SUM(DT68:DW68)</f>
        <v>83300</v>
      </c>
      <c r="DY68" s="1142">
        <v>21000</v>
      </c>
      <c r="DZ68" s="1142">
        <v>22800</v>
      </c>
      <c r="EA68" s="216">
        <v>22300</v>
      </c>
      <c r="EB68" s="216">
        <v>24000</v>
      </c>
      <c r="EC68" s="215">
        <f>SUM(DY68:EB68)</f>
        <v>90100</v>
      </c>
      <c r="ED68" s="1142">
        <v>23000</v>
      </c>
      <c r="EE68" s="216">
        <v>24000</v>
      </c>
      <c r="EF68" s="216">
        <v>23700</v>
      </c>
      <c r="EG68" s="216">
        <v>24500</v>
      </c>
      <c r="EH68" s="217"/>
      <c r="EI68" s="216">
        <v>23500</v>
      </c>
      <c r="EJ68" s="216">
        <v>25500</v>
      </c>
      <c r="EK68" s="216">
        <v>25000</v>
      </c>
      <c r="EL68" s="216">
        <v>25500</v>
      </c>
      <c r="EM68" s="217"/>
      <c r="EN68" s="216">
        <v>25500</v>
      </c>
      <c r="EO68" s="216">
        <v>28000</v>
      </c>
      <c r="EP68" s="216">
        <v>27500</v>
      </c>
      <c r="EQ68" s="216">
        <v>31500</v>
      </c>
      <c r="ER68" s="217"/>
      <c r="ES68" s="216"/>
      <c r="ET68" s="216"/>
      <c r="EU68" s="216"/>
      <c r="EV68" s="216"/>
      <c r="EW68" s="217"/>
      <c r="EX68" s="216"/>
      <c r="EY68" s="216"/>
      <c r="EZ68" s="216"/>
      <c r="FA68" s="216"/>
      <c r="FB68" s="217"/>
      <c r="FC68" s="216"/>
      <c r="FD68" s="216"/>
      <c r="FE68" s="216"/>
      <c r="FF68" s="216"/>
      <c r="FG68" s="217"/>
      <c r="FH68" s="216"/>
      <c r="FI68" s="216"/>
      <c r="FJ68" s="216"/>
      <c r="FK68" s="216"/>
      <c r="FL68" s="217"/>
      <c r="FM68" s="2645"/>
      <c r="FN68" s="2645"/>
      <c r="FO68" s="2645"/>
      <c r="FP68" s="2645"/>
      <c r="FQ68" s="2645"/>
    </row>
    <row r="69" spans="1:173" s="218" customFormat="1" ht="12">
      <c r="A69" s="219" t="s">
        <v>476</v>
      </c>
      <c r="B69" s="220"/>
      <c r="C69" s="220"/>
      <c r="D69" s="220"/>
      <c r="E69" s="220"/>
      <c r="F69" s="220"/>
      <c r="G69" s="220"/>
      <c r="H69" s="220"/>
      <c r="I69" s="220"/>
      <c r="J69" s="220"/>
      <c r="K69" s="220"/>
      <c r="L69" s="220"/>
      <c r="M69" s="220"/>
      <c r="N69" s="220"/>
      <c r="O69" s="220"/>
      <c r="P69" s="220"/>
      <c r="Q69" s="220"/>
      <c r="R69" s="220"/>
      <c r="S69" s="220"/>
      <c r="T69" s="220"/>
      <c r="U69" s="220"/>
      <c r="V69" s="220"/>
      <c r="W69" s="220"/>
      <c r="X69" s="220"/>
      <c r="Y69" s="220"/>
      <c r="Z69" s="220"/>
      <c r="AA69" s="220"/>
      <c r="AB69" s="220"/>
      <c r="AC69" s="220"/>
      <c r="AD69" s="220"/>
      <c r="AE69" s="220"/>
      <c r="AF69" s="220"/>
      <c r="AG69" s="220"/>
      <c r="AH69" s="220"/>
      <c r="AI69" s="220"/>
      <c r="AJ69" s="220"/>
      <c r="AK69" s="220"/>
      <c r="AL69" s="220"/>
      <c r="AM69" s="220"/>
      <c r="AN69" s="220"/>
      <c r="AO69" s="220"/>
      <c r="AP69" s="220"/>
      <c r="AQ69" s="220"/>
      <c r="AR69" s="220"/>
      <c r="AS69" s="220"/>
      <c r="AT69" s="220"/>
      <c r="AU69" s="220"/>
      <c r="AV69" s="220"/>
      <c r="AW69" s="220"/>
      <c r="AX69" s="220"/>
      <c r="AY69" s="220"/>
      <c r="AZ69" s="220"/>
      <c r="BA69" s="220"/>
      <c r="BB69" s="220"/>
      <c r="BC69" s="220"/>
      <c r="BD69" s="220"/>
      <c r="BE69" s="220"/>
      <c r="BF69" s="220"/>
      <c r="BG69" s="220"/>
      <c r="BH69" s="220"/>
      <c r="BI69" s="220"/>
      <c r="BJ69" s="220"/>
      <c r="BK69" s="220"/>
      <c r="BL69" s="220"/>
      <c r="BM69" s="220"/>
      <c r="BN69" s="220"/>
      <c r="BO69" s="220"/>
      <c r="BP69" s="221"/>
      <c r="BQ69" s="220"/>
      <c r="BR69" s="220"/>
      <c r="BS69" s="220"/>
      <c r="BT69" s="220"/>
      <c r="BU69" s="221"/>
      <c r="BV69" s="220"/>
      <c r="BW69" s="220"/>
      <c r="BX69" s="220"/>
      <c r="BY69" s="220"/>
      <c r="BZ69" s="222"/>
      <c r="CA69" s="220"/>
      <c r="CB69" s="220"/>
      <c r="CC69" s="220"/>
      <c r="CD69" s="220"/>
      <c r="CE69" s="222"/>
      <c r="CF69" s="220"/>
      <c r="CG69" s="220"/>
      <c r="CH69" s="220"/>
      <c r="CI69" s="220"/>
      <c r="CJ69" s="222"/>
      <c r="CK69" s="220"/>
      <c r="CL69" s="220"/>
      <c r="CM69" s="220"/>
      <c r="CN69" s="220"/>
      <c r="CO69" s="222"/>
      <c r="CP69" s="220"/>
      <c r="CQ69" s="220">
        <f>(CQ68-CP68)+CQ63</f>
        <v>15056</v>
      </c>
      <c r="CR69" s="220">
        <f>(CR68-CQ68)+CR63</f>
        <v>13270</v>
      </c>
      <c r="CS69" s="220">
        <f>(CS68-CR68)+CS63</f>
        <v>16134</v>
      </c>
      <c r="CT69" s="222">
        <f>SUM(CP69:CS69)</f>
        <v>44460</v>
      </c>
      <c r="CU69" s="220">
        <f>(CU68-CS68)+CU63</f>
        <v>14088</v>
      </c>
      <c r="CV69" s="220">
        <f>(CV68-CU68)+CV63</f>
        <v>17173</v>
      </c>
      <c r="CW69" s="220">
        <f>(CW68-CV68)+CW63</f>
        <v>14415</v>
      </c>
      <c r="CX69" s="220">
        <f>(CX68-CW68)+CX63</f>
        <v>19545</v>
      </c>
      <c r="CY69" s="222">
        <f>SUM(CU69:CX69)</f>
        <v>65221</v>
      </c>
      <c r="CZ69" s="220">
        <f>(CZ68-CX68)+CZ63</f>
        <v>13891</v>
      </c>
      <c r="DA69" s="220">
        <f>(DA68-CZ68)+DA63</f>
        <v>15838</v>
      </c>
      <c r="DB69" s="220">
        <f>(DB68-DA68)+DB63</f>
        <v>12274</v>
      </c>
      <c r="DC69" s="220">
        <f>(DC68-DB68)+DC63</f>
        <v>14249.003822248149</v>
      </c>
      <c r="DD69" s="222">
        <f>SUM(CZ69:DC69)</f>
        <v>56252.003822248153</v>
      </c>
      <c r="DE69" s="220">
        <f>(DE68-DC68)+DE63</f>
        <v>13875.996177751851</v>
      </c>
      <c r="DF69" s="220">
        <f>(DF68-DE68)+DF63</f>
        <v>17732</v>
      </c>
      <c r="DG69" s="220">
        <f>(DG68-DF68)+DG63</f>
        <v>15135</v>
      </c>
      <c r="DH69" s="220">
        <f>(DH68-DG68)+DH63</f>
        <v>19719</v>
      </c>
      <c r="DI69" s="222">
        <f>SUM(DE69:DH69)</f>
        <v>66461.996177751847</v>
      </c>
      <c r="DJ69" s="220">
        <f>(DJ68-DH68)+DJ63</f>
        <v>16284</v>
      </c>
      <c r="DK69" s="220">
        <f>(DK68-DJ68)+DK63</f>
        <v>20341</v>
      </c>
      <c r="DL69" s="220">
        <f>(DL68-DK68)+DL63</f>
        <v>16130</v>
      </c>
      <c r="DM69" s="220">
        <f>(DM68-DL68)+DM63</f>
        <v>22966.44</v>
      </c>
      <c r="DN69" s="222">
        <f>SUM(DJ69:DM69)</f>
        <v>75721.440000000002</v>
      </c>
      <c r="DO69" s="220">
        <f>(DO68-DM68)+DO63</f>
        <v>16110</v>
      </c>
      <c r="DP69" s="220">
        <f>(DP68-DO68)+DP63</f>
        <v>20861</v>
      </c>
      <c r="DQ69" s="220">
        <f>(DQ68-DP68)+DQ63</f>
        <v>17364</v>
      </c>
      <c r="DR69" s="220">
        <f>(DR68-DQ68)+DR63</f>
        <v>23327</v>
      </c>
      <c r="DS69" s="222">
        <f>SUM(DO69:DR69)</f>
        <v>77662</v>
      </c>
      <c r="DT69" s="220">
        <f>(DT68-DR68)+DT63</f>
        <v>16036</v>
      </c>
      <c r="DU69" s="220">
        <f>(DU68-DT68)+DU63</f>
        <v>23082</v>
      </c>
      <c r="DV69" s="220">
        <f>(DV68-DU68)+DV63</f>
        <v>18181</v>
      </c>
      <c r="DW69" s="220">
        <f>(DW68-DV68)+DW63</f>
        <v>24290</v>
      </c>
      <c r="DX69" s="222">
        <f>SUM(DT69:DW69)</f>
        <v>81589</v>
      </c>
      <c r="DY69" s="220">
        <f>(DY68-DW68)+DY63</f>
        <v>16331</v>
      </c>
      <c r="DZ69" s="220">
        <f>(DZ68-DY68)+DZ63</f>
        <v>25692</v>
      </c>
      <c r="EA69" s="220">
        <f>(EA68-DZ68)+EA63</f>
        <v>19941</v>
      </c>
      <c r="EB69" s="220">
        <f>(EB68-EA68)+EB63</f>
        <v>30728</v>
      </c>
      <c r="EC69" s="222">
        <f>SUM(DY69:EB69)</f>
        <v>92692</v>
      </c>
      <c r="ED69" s="220">
        <f>(ED68-EB68)+ED63</f>
        <v>19581</v>
      </c>
      <c r="EE69" s="220">
        <f>(EE68-ED68)+EE63</f>
        <v>25849</v>
      </c>
      <c r="EF69" s="220">
        <f>(EF68-EE68)+EF63</f>
        <v>20384</v>
      </c>
      <c r="EG69" s="220">
        <f>(EG68-EF68)+EG63</f>
        <v>28100</v>
      </c>
      <c r="EH69" s="224"/>
      <c r="EI69" s="220">
        <f>(EI68-EG68)+EI63</f>
        <v>18984.909340579874</v>
      </c>
      <c r="EJ69" s="223">
        <f>(EJ68-EI68)+EJ63</f>
        <v>27896.732404433165</v>
      </c>
      <c r="EK69" s="223">
        <f>(EK68-EJ68)+EK63</f>
        <v>21894.61832741589</v>
      </c>
      <c r="EL69" s="223">
        <f>(EL68-EK68)+EL63</f>
        <v>20281.452953299391</v>
      </c>
      <c r="EM69" s="224"/>
      <c r="EN69" s="220">
        <f>(EN68-EL68)+EN63</f>
        <v>20105</v>
      </c>
      <c r="EO69" s="223">
        <f>(EO68-EN68)+EO63</f>
        <v>27947</v>
      </c>
      <c r="EP69" s="223">
        <f>(EP68-EO68)+EP63</f>
        <v>22625</v>
      </c>
      <c r="EQ69" s="223">
        <f>(EQ68-EP68)+EQ63</f>
        <v>36357</v>
      </c>
      <c r="ER69" s="224"/>
      <c r="ES69" s="220"/>
      <c r="ET69" s="220"/>
      <c r="EU69" s="223"/>
      <c r="EV69" s="223"/>
      <c r="EW69" s="224"/>
      <c r="EX69" s="223"/>
      <c r="EY69" s="223"/>
      <c r="EZ69" s="223"/>
      <c r="FA69" s="223"/>
      <c r="FB69" s="224"/>
      <c r="FC69" s="223"/>
      <c r="FD69" s="223"/>
      <c r="FE69" s="223"/>
      <c r="FF69" s="223"/>
      <c r="FG69" s="224"/>
      <c r="FH69" s="223"/>
      <c r="FI69" s="223"/>
      <c r="FJ69" s="223"/>
      <c r="FK69" s="223"/>
      <c r="FL69" s="224"/>
      <c r="FM69" s="2645"/>
      <c r="FN69" s="2645"/>
      <c r="FO69" s="2645"/>
      <c r="FP69" s="2645"/>
      <c r="FQ69" s="2645"/>
    </row>
    <row r="70" spans="1:173" s="225" customFormat="1" ht="12">
      <c r="A70" s="225" t="s">
        <v>163</v>
      </c>
      <c r="BP70" s="226"/>
      <c r="BU70" s="226"/>
      <c r="BZ70" s="226"/>
      <c r="CE70" s="226"/>
      <c r="CJ70" s="226"/>
      <c r="CO70" s="226"/>
      <c r="CQ70" s="1143">
        <v>0.2</v>
      </c>
      <c r="CR70" s="1143">
        <v>0.2</v>
      </c>
      <c r="CS70" s="1143">
        <v>0.15</v>
      </c>
      <c r="CT70" s="226"/>
      <c r="CV70" s="225">
        <f>CV69/CQ69-1</f>
        <v>0.14060839532412328</v>
      </c>
      <c r="CW70" s="225">
        <f t="shared" ref="CW70:DK70" si="139">CW69/CR69-1</f>
        <v>8.6284853051997068E-2</v>
      </c>
      <c r="CX70" s="225">
        <f t="shared" si="139"/>
        <v>0.21141688359985134</v>
      </c>
      <c r="CY70" s="226">
        <f t="shared" si="139"/>
        <v>0.46695906432748546</v>
      </c>
      <c r="CZ70" s="225">
        <f t="shared" si="139"/>
        <v>-1.3983532084043127E-2</v>
      </c>
      <c r="DA70" s="225">
        <f t="shared" si="139"/>
        <v>-7.773831013800736E-2</v>
      </c>
      <c r="DB70" s="225">
        <f t="shared" si="139"/>
        <v>-0.14852584113770373</v>
      </c>
      <c r="DC70" s="225">
        <f>DC69/CX69-1</f>
        <v>-0.27096424547208242</v>
      </c>
      <c r="DD70" s="226">
        <f t="shared" si="139"/>
        <v>-0.13751699878492885</v>
      </c>
      <c r="DE70" s="225">
        <f t="shared" si="139"/>
        <v>-1.0801110249909485E-3</v>
      </c>
      <c r="DF70" s="225">
        <f t="shared" si="139"/>
        <v>0.11958580628867277</v>
      </c>
      <c r="DG70" s="225">
        <f t="shared" si="139"/>
        <v>0.23309434577154953</v>
      </c>
      <c r="DH70" s="225">
        <f t="shared" si="139"/>
        <v>0.38388621730952832</v>
      </c>
      <c r="DI70" s="226">
        <f t="shared" si="139"/>
        <v>0.18150450938186058</v>
      </c>
      <c r="DJ70" s="225">
        <f t="shared" si="139"/>
        <v>0.17353736563498301</v>
      </c>
      <c r="DK70" s="225">
        <f t="shared" si="139"/>
        <v>0.14713512294157449</v>
      </c>
      <c r="DL70" s="225">
        <f t="shared" ref="DL70:DT70" si="140">DL69/DG69-1</f>
        <v>6.5741658407664438E-2</v>
      </c>
      <c r="DM70" s="225">
        <f t="shared" si="140"/>
        <v>0.16468583599574016</v>
      </c>
      <c r="DN70" s="226">
        <f t="shared" si="140"/>
        <v>0.13931937580514253</v>
      </c>
      <c r="DO70" s="225">
        <f t="shared" si="140"/>
        <v>-1.0685335298452503E-2</v>
      </c>
      <c r="DP70" s="225">
        <f t="shared" si="140"/>
        <v>2.5564131556953917E-2</v>
      </c>
      <c r="DQ70" s="225">
        <f t="shared" si="140"/>
        <v>7.6503409795412258E-2</v>
      </c>
      <c r="DR70" s="225">
        <f t="shared" si="140"/>
        <v>1.5699429254163899E-2</v>
      </c>
      <c r="DS70" s="226">
        <f t="shared" si="140"/>
        <v>2.5627616167891221E-2</v>
      </c>
      <c r="DT70" s="225">
        <f t="shared" si="140"/>
        <v>-4.5934202358783871E-3</v>
      </c>
      <c r="DU70" s="225">
        <f t="shared" ref="DU70:EQ70" si="141">DU69/DP69-1</f>
        <v>0.10646661233881405</v>
      </c>
      <c r="DV70" s="225">
        <f t="shared" si="141"/>
        <v>4.7051370651923552E-2</v>
      </c>
      <c r="DW70" s="225">
        <f t="shared" si="141"/>
        <v>4.128263385776143E-2</v>
      </c>
      <c r="DX70" s="226">
        <f t="shared" si="141"/>
        <v>5.056527001622424E-2</v>
      </c>
      <c r="DY70" s="225">
        <f t="shared" si="141"/>
        <v>1.8396108755300622E-2</v>
      </c>
      <c r="DZ70" s="225">
        <f t="shared" si="141"/>
        <v>0.11307512347283599</v>
      </c>
      <c r="EA70" s="225">
        <f t="shared" si="141"/>
        <v>9.6804356196028785E-2</v>
      </c>
      <c r="EB70" s="225">
        <f t="shared" si="141"/>
        <v>0.26504734458624957</v>
      </c>
      <c r="EC70" s="226">
        <f t="shared" si="141"/>
        <v>0.13608452119771042</v>
      </c>
      <c r="ED70" s="225">
        <f t="shared" si="141"/>
        <v>0.19900802155409947</v>
      </c>
      <c r="EE70" s="225">
        <f t="shared" si="141"/>
        <v>6.1108516269656743E-3</v>
      </c>
      <c r="EF70" s="225">
        <f t="shared" si="141"/>
        <v>2.2215535830700572E-2</v>
      </c>
      <c r="EG70" s="225">
        <f t="shared" si="141"/>
        <v>-8.5524602967977037E-2</v>
      </c>
      <c r="EH70" s="228"/>
      <c r="EI70" s="225">
        <f t="shared" si="141"/>
        <v>-3.0442299137946272E-2</v>
      </c>
      <c r="EJ70" s="225">
        <f t="shared" si="141"/>
        <v>7.9219018315337841E-2</v>
      </c>
      <c r="EK70" s="225">
        <f t="shared" si="141"/>
        <v>7.4108041965065263E-2</v>
      </c>
      <c r="EL70" s="225">
        <f t="shared" si="141"/>
        <v>-0.27824010842350921</v>
      </c>
      <c r="EM70" s="228"/>
      <c r="EN70" s="225">
        <f t="shared" si="141"/>
        <v>5.8998999643677719E-2</v>
      </c>
      <c r="EO70" s="225">
        <f t="shared" si="141"/>
        <v>1.8019169714245109E-3</v>
      </c>
      <c r="EP70" s="225">
        <f t="shared" si="141"/>
        <v>3.3358958884866396E-2</v>
      </c>
      <c r="EQ70" s="225">
        <f t="shared" si="141"/>
        <v>0.79262304745703327</v>
      </c>
      <c r="ER70" s="228"/>
      <c r="EU70" s="227"/>
      <c r="EV70" s="227"/>
      <c r="EW70" s="228"/>
      <c r="EX70" s="227"/>
      <c r="EY70" s="227"/>
      <c r="EZ70" s="227"/>
      <c r="FA70" s="227"/>
      <c r="FB70" s="228"/>
      <c r="FC70" s="227"/>
      <c r="FD70" s="227"/>
      <c r="FE70" s="227"/>
      <c r="FF70" s="227"/>
      <c r="FG70" s="228"/>
      <c r="FH70" s="227"/>
      <c r="FI70" s="227"/>
      <c r="FJ70" s="227"/>
      <c r="FK70" s="227"/>
      <c r="FL70" s="228"/>
      <c r="FM70" s="2646"/>
      <c r="FN70" s="2646"/>
      <c r="FO70" s="2646"/>
      <c r="FP70" s="2646"/>
      <c r="FQ70" s="2646"/>
    </row>
    <row r="71" spans="1:173" s="225" customFormat="1" ht="12">
      <c r="A71" s="225" t="s">
        <v>1028</v>
      </c>
      <c r="BP71" s="226"/>
      <c r="BU71" s="226"/>
      <c r="BZ71" s="226"/>
      <c r="CE71" s="226"/>
      <c r="CJ71" s="226"/>
      <c r="CO71" s="226"/>
      <c r="CQ71" s="1143"/>
      <c r="CR71" s="1143"/>
      <c r="CS71" s="1143"/>
      <c r="CT71" s="226"/>
      <c r="CY71" s="226"/>
      <c r="DD71" s="226"/>
      <c r="DI71" s="226"/>
      <c r="DN71" s="226"/>
      <c r="DS71" s="226"/>
      <c r="DX71" s="226"/>
      <c r="EC71" s="226"/>
      <c r="EF71" s="225">
        <v>0.09</v>
      </c>
      <c r="EG71" s="225">
        <v>-0.03</v>
      </c>
      <c r="EH71" s="228"/>
      <c r="EI71" s="227">
        <v>0.09</v>
      </c>
      <c r="EJ71" s="227">
        <f>+EJ70+0.07</f>
        <v>0.14921901831533785</v>
      </c>
      <c r="EK71" s="227">
        <f>+EK70+0.02</f>
        <v>9.4108041965065267E-2</v>
      </c>
      <c r="EL71" s="227">
        <f>+EL70+0.01</f>
        <v>-0.2682401084235092</v>
      </c>
      <c r="EM71" s="228"/>
      <c r="EN71" s="227">
        <v>0.09</v>
      </c>
      <c r="EO71" s="227">
        <f>+EO70+0.05</f>
        <v>5.1801916971424514E-2</v>
      </c>
      <c r="EP71" s="227">
        <f>+EP70-0.01</f>
        <v>2.3358958884866395E-2</v>
      </c>
      <c r="EQ71" s="227">
        <f>+EQ70</f>
        <v>0.79262304745703327</v>
      </c>
      <c r="ER71" s="228"/>
      <c r="ES71" s="227"/>
      <c r="ET71" s="227"/>
      <c r="EU71" s="227"/>
      <c r="EV71" s="227"/>
      <c r="EW71" s="228"/>
      <c r="EX71" s="227"/>
      <c r="EY71" s="227"/>
      <c r="EZ71" s="227"/>
      <c r="FA71" s="227"/>
      <c r="FB71" s="228"/>
      <c r="FC71" s="227"/>
      <c r="FD71" s="227"/>
      <c r="FE71" s="227"/>
      <c r="FF71" s="227"/>
      <c r="FG71" s="228"/>
      <c r="FH71" s="227"/>
      <c r="FI71" s="227"/>
      <c r="FJ71" s="227"/>
      <c r="FK71" s="227"/>
      <c r="FL71" s="228"/>
      <c r="FM71" s="2646"/>
      <c r="FN71" s="2646"/>
      <c r="FO71" s="2646"/>
      <c r="FP71" s="2646"/>
      <c r="FQ71" s="2646"/>
    </row>
    <row r="72" spans="1:173" s="229" customFormat="1" ht="12">
      <c r="A72" s="229" t="s">
        <v>667</v>
      </c>
      <c r="BP72" s="230"/>
      <c r="BU72" s="230"/>
      <c r="BZ72" s="230"/>
      <c r="CE72" s="230"/>
      <c r="CJ72" s="230"/>
      <c r="CO72" s="230"/>
      <c r="CR72" s="229">
        <f>CR69/CQ69-1</f>
        <v>-0.11862380446333687</v>
      </c>
      <c r="CS72" s="229">
        <f>CS69/CR69-1</f>
        <v>0.21582516955538811</v>
      </c>
      <c r="CT72" s="230"/>
      <c r="CU72" s="229">
        <f>CU69/CS69-1</f>
        <v>-0.12681294161398293</v>
      </c>
      <c r="CV72" s="229">
        <f>CV69/CU69-1</f>
        <v>0.21898069278818855</v>
      </c>
      <c r="CW72" s="229">
        <f>CW69/CV69-1</f>
        <v>-0.1606009433412916</v>
      </c>
      <c r="CX72" s="229">
        <f>CX69/CW69-1</f>
        <v>0.35587929240374616</v>
      </c>
      <c r="CY72" s="230"/>
      <c r="CZ72" s="229">
        <f>CZ69/CX69-1</f>
        <v>-0.28928114607316446</v>
      </c>
      <c r="DA72" s="229">
        <f>DA69/CZ69-1</f>
        <v>0.14016269527031899</v>
      </c>
      <c r="DB72" s="229">
        <f>DB69/DA69-1</f>
        <v>-0.22502841267836848</v>
      </c>
      <c r="DC72" s="229">
        <f>DC69/DB69-1</f>
        <v>0.1609095504520246</v>
      </c>
      <c r="DD72" s="230"/>
      <c r="DE72" s="229">
        <f>DE69/DC69-1</f>
        <v>-2.6177805069705351E-2</v>
      </c>
      <c r="DF72" s="229">
        <f>DF69/DE69-1</f>
        <v>0.27789023381475797</v>
      </c>
      <c r="DG72" s="229">
        <f>DG69/DF69-1</f>
        <v>-0.1464583803293481</v>
      </c>
      <c r="DH72" s="229">
        <f>DH69/DG69-1</f>
        <v>0.30287413280475728</v>
      </c>
      <c r="DI72" s="230"/>
      <c r="DJ72" s="229">
        <f>DJ69/DH69-1</f>
        <v>-0.17419747451696332</v>
      </c>
      <c r="DK72" s="229">
        <f>DK69/DJ69-1</f>
        <v>0.24914026037828552</v>
      </c>
      <c r="DL72" s="229">
        <f>DL69/DK69-1</f>
        <v>-0.20702030381987124</v>
      </c>
      <c r="DM72" s="229">
        <f>DM69/DL69-1</f>
        <v>0.42383384996900175</v>
      </c>
      <c r="DN72" s="230"/>
      <c r="DO72" s="229">
        <f>DO69/DM69-1</f>
        <v>-0.2985416982344673</v>
      </c>
      <c r="DP72" s="229">
        <f>DP68/DO68-1</f>
        <v>1.6042780748663166E-2</v>
      </c>
      <c r="DQ72" s="229">
        <f>DQ68/DP68-1</f>
        <v>5.2631578947368585E-3</v>
      </c>
      <c r="DR72" s="229">
        <f>DR68/DQ68-1</f>
        <v>2.0942408376963373E-2</v>
      </c>
      <c r="DS72" s="232"/>
      <c r="DT72" s="229">
        <f>DT69/DR69-1</f>
        <v>-0.31255626527200242</v>
      </c>
      <c r="DU72" s="229">
        <f>DU69/DT69-1</f>
        <v>0.43938638064355207</v>
      </c>
      <c r="DV72" s="229">
        <f>DV69/DU69-1</f>
        <v>-0.2123299540767698</v>
      </c>
      <c r="DW72" s="229">
        <f>DW69/DV69-1</f>
        <v>0.33601012045542045</v>
      </c>
      <c r="DX72" s="230"/>
      <c r="DY72" s="229">
        <f>DY69/DW69-1</f>
        <v>-0.32766570605187317</v>
      </c>
      <c r="DZ72" s="229">
        <f>DZ69/DY69-1</f>
        <v>0.57320433531320791</v>
      </c>
      <c r="EA72" s="229">
        <f>EA69/DZ69-1</f>
        <v>-0.22384399813171418</v>
      </c>
      <c r="EB72" s="229">
        <f>EB69/EA69-1</f>
        <v>0.54094579008073818</v>
      </c>
      <c r="EC72" s="230"/>
      <c r="ED72" s="229">
        <f>ED69/EB69-1</f>
        <v>-0.3627636032283259</v>
      </c>
      <c r="EE72" s="229">
        <f>EE69/ED69-1</f>
        <v>0.32010622542260347</v>
      </c>
      <c r="EF72" s="229">
        <f>EF69/EE69-1</f>
        <v>-0.2114201709930752</v>
      </c>
      <c r="EG72" s="229">
        <f>EG69/EF69-1</f>
        <v>0.37853218210361073</v>
      </c>
      <c r="EH72" s="232"/>
      <c r="EI72" s="229">
        <f>EI69/EG69-1</f>
        <v>-0.32438045051317177</v>
      </c>
      <c r="EJ72" s="229">
        <f>EJ69/EI69-1</f>
        <v>0.4694161506899821</v>
      </c>
      <c r="EK72" s="229">
        <f>EK69/EJ69-1</f>
        <v>-0.21515473532891105</v>
      </c>
      <c r="EL72" s="229">
        <f>EL69/EK69-1</f>
        <v>-7.3678625038945511E-2</v>
      </c>
      <c r="EM72" s="232"/>
      <c r="EN72" s="229">
        <f>EN69/EL69-1</f>
        <v>-8.7002126379059908E-3</v>
      </c>
      <c r="EO72" s="229">
        <f>EO69/EN69-1</f>
        <v>0.39005222581447407</v>
      </c>
      <c r="EP72" s="229">
        <f>EP69/EO69-1</f>
        <v>-0.19043188893262242</v>
      </c>
      <c r="EQ72" s="229">
        <f>EQ69/EP69-1</f>
        <v>0.60693922651933696</v>
      </c>
      <c r="ER72" s="232"/>
      <c r="EU72" s="231"/>
      <c r="EV72" s="231"/>
      <c r="EW72" s="232"/>
      <c r="EX72" s="231"/>
      <c r="EY72" s="231"/>
      <c r="EZ72" s="231"/>
      <c r="FA72" s="231"/>
      <c r="FB72" s="232"/>
      <c r="FC72" s="231"/>
      <c r="FD72" s="231"/>
      <c r="FE72" s="231"/>
      <c r="FF72" s="231"/>
      <c r="FG72" s="232"/>
      <c r="FH72" s="231"/>
      <c r="FI72" s="231"/>
      <c r="FJ72" s="231"/>
      <c r="FK72" s="231"/>
      <c r="FL72" s="232"/>
      <c r="FM72" s="231"/>
      <c r="FN72" s="231"/>
      <c r="FO72" s="231"/>
      <c r="FP72" s="231"/>
      <c r="FQ72" s="231"/>
    </row>
    <row r="73" spans="1:173" s="31" customFormat="1" ht="12">
      <c r="CP73" s="154"/>
      <c r="CQ73" s="154"/>
      <c r="CR73" s="154"/>
      <c r="CS73" s="154"/>
      <c r="CT73" s="154"/>
      <c r="CU73" s="154">
        <v>0.3</v>
      </c>
      <c r="CV73" s="154">
        <v>0.2</v>
      </c>
      <c r="CW73" s="154">
        <v>0.14000000000000001</v>
      </c>
      <c r="CX73" s="154">
        <v>0.23</v>
      </c>
      <c r="CY73" s="154"/>
      <c r="CZ73" s="154">
        <v>0.06</v>
      </c>
      <c r="DA73" s="154">
        <v>-0.1</v>
      </c>
      <c r="DB73" s="154">
        <v>-0.15</v>
      </c>
      <c r="DC73" s="154">
        <v>0</v>
      </c>
      <c r="DD73" s="154">
        <v>0</v>
      </c>
      <c r="DE73" s="154">
        <v>0</v>
      </c>
      <c r="DF73" s="154">
        <v>0</v>
      </c>
      <c r="DG73" s="154">
        <v>0</v>
      </c>
      <c r="DH73" s="154">
        <v>0.27</v>
      </c>
      <c r="DI73" s="154">
        <v>0</v>
      </c>
      <c r="DJ73" s="154">
        <v>0.24</v>
      </c>
      <c r="DK73" s="154">
        <v>0.21</v>
      </c>
      <c r="DL73" s="154">
        <v>0.08</v>
      </c>
      <c r="DM73" s="154">
        <v>0.17</v>
      </c>
      <c r="DN73" s="154"/>
      <c r="DO73" s="79"/>
      <c r="DP73" s="154"/>
      <c r="DQ73" s="154"/>
      <c r="DR73" s="79"/>
      <c r="DT73" s="79"/>
      <c r="DU73" s="79"/>
      <c r="DV73" s="79"/>
      <c r="DW73" s="79"/>
      <c r="DX73" s="1608"/>
      <c r="DY73" s="79"/>
      <c r="DZ73" s="79"/>
      <c r="EA73" s="79"/>
      <c r="EB73" s="79"/>
      <c r="EC73" s="1608"/>
      <c r="ED73" s="79"/>
      <c r="EE73" s="79"/>
      <c r="EF73" s="79"/>
      <c r="EG73" s="79"/>
      <c r="EH73" s="1608"/>
      <c r="EI73" s="79"/>
      <c r="EJ73" s="79"/>
      <c r="EK73" s="79"/>
      <c r="EL73" s="79"/>
      <c r="EM73" s="1608"/>
      <c r="EN73" s="79"/>
      <c r="EO73" s="79"/>
      <c r="EP73" s="79"/>
      <c r="EQ73" s="79"/>
      <c r="ER73" s="1608"/>
      <c r="ES73" s="79"/>
      <c r="ET73" s="79"/>
      <c r="EU73" s="79"/>
      <c r="EV73" s="79"/>
      <c r="EW73" s="1608"/>
      <c r="EX73" s="79"/>
      <c r="EY73" s="79"/>
      <c r="EZ73" s="79"/>
      <c r="FA73" s="79"/>
      <c r="FB73" s="1608"/>
      <c r="FC73" s="79"/>
      <c r="FD73" s="79"/>
      <c r="FE73" s="79"/>
      <c r="FF73" s="79"/>
      <c r="FG73" s="1608"/>
      <c r="FH73" s="79"/>
      <c r="FI73" s="79"/>
      <c r="FJ73" s="79"/>
      <c r="FK73" s="79"/>
      <c r="FL73" s="1608"/>
      <c r="FM73" s="92"/>
      <c r="FN73" s="92"/>
      <c r="FO73" s="92"/>
      <c r="FP73" s="92"/>
      <c r="FQ73" s="92"/>
    </row>
    <row r="74" spans="1:173" s="31" customFormat="1" ht="12">
      <c r="A74" s="80" t="s">
        <v>677</v>
      </c>
      <c r="BU74" s="81"/>
      <c r="BV74" s="70"/>
      <c r="BW74" s="70"/>
      <c r="BX74" s="70"/>
      <c r="BY74" s="70"/>
      <c r="BZ74" s="73" t="s">
        <v>109</v>
      </c>
      <c r="CA74" s="70"/>
      <c r="CB74" s="70"/>
      <c r="CC74" s="70"/>
      <c r="CD74" s="70"/>
      <c r="CE74" s="73" t="s">
        <v>109</v>
      </c>
      <c r="CH74" s="31">
        <f>CH164+CH173</f>
        <v>5780</v>
      </c>
      <c r="CI74" s="31">
        <f>CI164+CI173</f>
        <v>7048</v>
      </c>
      <c r="DX74" s="54"/>
      <c r="EC74" s="54"/>
      <c r="EH74" s="54"/>
      <c r="EM74" s="54"/>
      <c r="ER74" s="54"/>
      <c r="EW74" s="54"/>
      <c r="FB74" s="54"/>
      <c r="FG74" s="54"/>
      <c r="FL74" s="54"/>
      <c r="FM74" s="92"/>
      <c r="FN74" s="92"/>
      <c r="FO74" s="92"/>
      <c r="FP74" s="92"/>
      <c r="FQ74" s="92"/>
    </row>
    <row r="75" spans="1:173" s="31" customFormat="1" ht="12">
      <c r="A75" s="82"/>
      <c r="BU75" s="83"/>
      <c r="BV75" s="1139">
        <v>37529</v>
      </c>
      <c r="BW75" s="1139">
        <v>37621</v>
      </c>
      <c r="BX75" s="1139">
        <v>37711</v>
      </c>
      <c r="BY75" s="1139">
        <v>37802</v>
      </c>
      <c r="BZ75" s="67" t="s">
        <v>138</v>
      </c>
      <c r="CA75" s="1139">
        <v>37894</v>
      </c>
      <c r="CB75" s="1139">
        <v>37986</v>
      </c>
      <c r="CC75" s="1139">
        <v>38077</v>
      </c>
      <c r="CD75" s="1139">
        <v>38168</v>
      </c>
      <c r="CE75" s="67" t="s">
        <v>139</v>
      </c>
      <c r="CH75" s="31">
        <f>CH74-CH146-CH150-CH154</f>
        <v>447.14409784762546</v>
      </c>
      <c r="CI75" s="31">
        <f>CI74-CI146-CI150-CI154</f>
        <v>568.18520842961925</v>
      </c>
      <c r="CX75" s="1141">
        <v>0.77284652699118184</v>
      </c>
      <c r="DX75" s="54"/>
      <c r="DZ75" s="154"/>
      <c r="EC75" s="54"/>
      <c r="EH75" s="54"/>
      <c r="EM75" s="54"/>
      <c r="ER75" s="54"/>
      <c r="EW75" s="54"/>
      <c r="FB75" s="54"/>
      <c r="FG75" s="54"/>
      <c r="FL75" s="54"/>
      <c r="FM75" s="92"/>
      <c r="FN75" s="92"/>
      <c r="FO75" s="92"/>
      <c r="FP75" s="92"/>
      <c r="FQ75" s="92"/>
    </row>
    <row r="76" spans="1:173" s="85" customFormat="1" ht="12">
      <c r="A76" s="84" t="s">
        <v>678</v>
      </c>
      <c r="BU76" s="86"/>
      <c r="BV76" s="1144">
        <v>464</v>
      </c>
      <c r="BW76" s="1144">
        <v>480</v>
      </c>
      <c r="BX76" s="1144">
        <v>450</v>
      </c>
      <c r="BY76" s="1144">
        <v>421</v>
      </c>
      <c r="BZ76" s="87">
        <f>SUM(BV76:BY76)</f>
        <v>1815</v>
      </c>
      <c r="CA76" s="1144">
        <v>379</v>
      </c>
      <c r="CB76" s="1144">
        <v>296</v>
      </c>
      <c r="CC76" s="1144">
        <v>261</v>
      </c>
      <c r="CD76" s="1144">
        <v>200</v>
      </c>
      <c r="CE76" s="87">
        <f>SUM(CA76:CD76)</f>
        <v>1136</v>
      </c>
      <c r="CF76" s="1144">
        <v>37</v>
      </c>
      <c r="CG76" s="1144">
        <v>7</v>
      </c>
      <c r="CH76" s="85">
        <f>CH75+CH169</f>
        <v>2608.1440978476253</v>
      </c>
      <c r="CI76" s="85">
        <f>CI75+CI169</f>
        <v>2687.1852084296193</v>
      </c>
      <c r="CX76" s="1145">
        <v>0.12837736</v>
      </c>
      <c r="DX76" s="1609"/>
      <c r="EC76" s="1609"/>
      <c r="EH76" s="1609"/>
      <c r="EM76" s="1609"/>
      <c r="ER76" s="1609"/>
      <c r="EW76" s="1609"/>
      <c r="FB76" s="1609"/>
      <c r="FG76" s="1609"/>
      <c r="FL76" s="1609"/>
      <c r="FM76" s="2647"/>
      <c r="FN76" s="2647"/>
      <c r="FO76" s="2647"/>
      <c r="FP76" s="2647"/>
      <c r="FQ76" s="2647"/>
    </row>
    <row r="77" spans="1:173" s="32" customFormat="1" ht="12">
      <c r="A77" s="88" t="s">
        <v>680</v>
      </c>
      <c r="BU77" s="89"/>
      <c r="BV77" s="64"/>
      <c r="BW77" s="64">
        <f>BW76/BV76-1</f>
        <v>3.4482758620689724E-2</v>
      </c>
      <c r="BX77" s="64">
        <f>BX76/BW76-1</f>
        <v>-6.25E-2</v>
      </c>
      <c r="BY77" s="64">
        <f>BY76/BX76-1</f>
        <v>-6.4444444444444415E-2</v>
      </c>
      <c r="BZ77" s="68"/>
      <c r="CA77" s="64">
        <f>CA76/BY76-1</f>
        <v>-9.9762470308788598E-2</v>
      </c>
      <c r="CB77" s="64">
        <f>CB76/CA76-1</f>
        <v>-0.21899736147757254</v>
      </c>
      <c r="CC77" s="64">
        <f>CC76/CB76-1</f>
        <v>-0.1182432432432432</v>
      </c>
      <c r="CD77" s="64">
        <f>CD76/CC76-1</f>
        <v>-0.23371647509578541</v>
      </c>
      <c r="CE77" s="68">
        <f>CE76/BZ76-1</f>
        <v>-0.37410468319559231</v>
      </c>
      <c r="DX77" s="51"/>
      <c r="EC77" s="51"/>
      <c r="EH77" s="51"/>
      <c r="EM77" s="51"/>
      <c r="ER77" s="51"/>
      <c r="EW77" s="51"/>
      <c r="FB77" s="51"/>
      <c r="FG77" s="51"/>
      <c r="FL77" s="51"/>
      <c r="FM77" s="33"/>
      <c r="FN77" s="33"/>
      <c r="FO77" s="33"/>
      <c r="FP77" s="33"/>
      <c r="FQ77" s="33"/>
    </row>
    <row r="78" spans="1:173" s="31" customFormat="1" ht="12">
      <c r="CX78" s="1141">
        <v>1439000</v>
      </c>
      <c r="DX78" s="54"/>
      <c r="EC78" s="54"/>
      <c r="EH78" s="54"/>
      <c r="EM78" s="54"/>
      <c r="ER78" s="54"/>
      <c r="EW78" s="54"/>
      <c r="FB78" s="54"/>
      <c r="FG78" s="54"/>
      <c r="FL78" s="54"/>
      <c r="FM78" s="92"/>
      <c r="FN78" s="92"/>
      <c r="FO78" s="92"/>
      <c r="FP78" s="92"/>
      <c r="FQ78" s="92"/>
    </row>
    <row r="79" spans="1:173" s="31" customFormat="1" ht="12">
      <c r="A79" s="39" t="s">
        <v>1100</v>
      </c>
      <c r="CX79" s="1141"/>
      <c r="DX79" s="54"/>
      <c r="EC79" s="54"/>
      <c r="EH79" s="54"/>
      <c r="EM79" s="54"/>
      <c r="ER79" s="54"/>
      <c r="EW79" s="54"/>
      <c r="FB79" s="54"/>
      <c r="FG79" s="54"/>
      <c r="FL79" s="54"/>
      <c r="FM79" s="92"/>
      <c r="FN79" s="92"/>
      <c r="FO79" s="92"/>
      <c r="FP79" s="92"/>
      <c r="FQ79" s="92"/>
    </row>
    <row r="80" spans="1:173" s="31" customFormat="1" ht="12">
      <c r="A80" s="39" t="s">
        <v>1097</v>
      </c>
      <c r="CX80" s="1141"/>
      <c r="DX80" s="54"/>
      <c r="EC80" s="54"/>
      <c r="EH80" s="54"/>
      <c r="EM80" s="54"/>
      <c r="ER80" s="54"/>
      <c r="EW80" s="54"/>
      <c r="FB80" s="54"/>
      <c r="FG80" s="54"/>
      <c r="FL80" s="54"/>
      <c r="FM80" s="92"/>
      <c r="FN80" s="92"/>
      <c r="FO80" s="92"/>
      <c r="FP80" s="92"/>
      <c r="FQ80" s="92"/>
    </row>
    <row r="81" spans="1:173" s="31" customFormat="1" ht="12">
      <c r="A81" s="31" t="s">
        <v>1043</v>
      </c>
      <c r="CX81" s="1141"/>
      <c r="DX81" s="54"/>
      <c r="EB81" s="31">
        <v>11412</v>
      </c>
      <c r="EC81" s="54"/>
      <c r="ED81" s="31">
        <v>10259</v>
      </c>
      <c r="EE81" s="31">
        <v>9760</v>
      </c>
      <c r="EF81" s="31">
        <v>9323</v>
      </c>
      <c r="EG81" s="31">
        <v>11643</v>
      </c>
      <c r="EH81" s="54">
        <f>SUM(ED81:EG81)</f>
        <v>40985</v>
      </c>
      <c r="EI81" s="31">
        <v>8718</v>
      </c>
      <c r="EJ81" s="31">
        <v>8257</v>
      </c>
      <c r="EK81" s="31">
        <v>8006</v>
      </c>
      <c r="EL81" s="31">
        <v>10673</v>
      </c>
      <c r="EM81" s="1633">
        <f t="shared" ref="EM81:EW81" si="142">EM$85*EM88</f>
        <v>10673</v>
      </c>
      <c r="EN81" s="31">
        <v>9656</v>
      </c>
      <c r="EO81" s="31">
        <v>9839</v>
      </c>
      <c r="EP81" s="31">
        <v>9697</v>
      </c>
      <c r="EQ81" s="31">
        <v>12692</v>
      </c>
      <c r="ER81" s="1633">
        <f t="shared" si="142"/>
        <v>12692</v>
      </c>
      <c r="ES81" s="1584">
        <v>11808</v>
      </c>
      <c r="ET81" s="1584">
        <v>11290</v>
      </c>
      <c r="EU81" s="1584">
        <v>11185</v>
      </c>
      <c r="EV81" s="1584">
        <f t="shared" si="142"/>
        <v>15107.521829763551</v>
      </c>
      <c r="EW81" s="1633">
        <f t="shared" si="142"/>
        <v>15107.521829763551</v>
      </c>
      <c r="EX81" s="1584">
        <f t="shared" ref="EX81:FB84" si="143">EX$85*EX88</f>
        <v>13980.890821946236</v>
      </c>
      <c r="EY81" s="1584">
        <f t="shared" si="143"/>
        <v>13269.363999735102</v>
      </c>
      <c r="EZ81" s="1584">
        <f t="shared" si="143"/>
        <v>13164.181773843022</v>
      </c>
      <c r="FA81" s="1584">
        <f t="shared" si="143"/>
        <v>17532.20364688924</v>
      </c>
      <c r="FB81" s="1633">
        <f t="shared" si="143"/>
        <v>17532.20364688924</v>
      </c>
      <c r="FC81" s="1584">
        <f t="shared" ref="FC81:FG81" si="144">FC$85*FC88</f>
        <v>16201.297695904645</v>
      </c>
      <c r="FD81" s="1584">
        <f t="shared" si="144"/>
        <v>15360.76048771917</v>
      </c>
      <c r="FE81" s="1584">
        <f t="shared" si="144"/>
        <v>15236.507161291753</v>
      </c>
      <c r="FF81" s="1584">
        <f t="shared" si="144"/>
        <v>20391.738539748014</v>
      </c>
      <c r="FG81" s="1633">
        <f t="shared" si="144"/>
        <v>20391.738539748014</v>
      </c>
      <c r="FH81" s="1584">
        <f t="shared" ref="FH81:FL81" si="145">FH$85*FH88</f>
        <v>18819.519562926253</v>
      </c>
      <c r="FI81" s="1584">
        <f t="shared" si="145"/>
        <v>17826.580468727789</v>
      </c>
      <c r="FJ81" s="1584">
        <f t="shared" si="145"/>
        <v>17679.798167846275</v>
      </c>
      <c r="FK81" s="1584">
        <f t="shared" si="145"/>
        <v>23764.899259087171</v>
      </c>
      <c r="FL81" s="1633">
        <f t="shared" si="145"/>
        <v>23764.899259087171</v>
      </c>
      <c r="FM81" s="1638"/>
      <c r="FN81" s="1638"/>
      <c r="FO81" s="1638"/>
      <c r="FP81" s="1638"/>
      <c r="FQ81" s="1638"/>
    </row>
    <row r="82" spans="1:173" s="31" customFormat="1" ht="12">
      <c r="A82" s="31" t="s">
        <v>1045</v>
      </c>
      <c r="CX82" s="1141"/>
      <c r="DX82" s="54"/>
      <c r="EB82" s="31">
        <v>9812</v>
      </c>
      <c r="EC82" s="54"/>
      <c r="ED82" s="31">
        <v>8697</v>
      </c>
      <c r="EE82" s="31">
        <v>8373</v>
      </c>
      <c r="EF82" s="31">
        <v>7980</v>
      </c>
      <c r="EG82" s="31">
        <v>10346</v>
      </c>
      <c r="EH82" s="54">
        <f>SUM(ED82:EG82)</f>
        <v>35396</v>
      </c>
      <c r="EI82" s="31">
        <v>7107</v>
      </c>
      <c r="EJ82" s="31">
        <v>6702</v>
      </c>
      <c r="EK82" s="31">
        <v>6679</v>
      </c>
      <c r="EL82" s="31">
        <v>8913</v>
      </c>
      <c r="EM82" s="1633">
        <f t="shared" ref="EM82:EW82" si="146">EM$85*EM89</f>
        <v>8913</v>
      </c>
      <c r="EN82" s="31">
        <v>8057</v>
      </c>
      <c r="EO82" s="31">
        <v>7676</v>
      </c>
      <c r="EP82" s="31">
        <v>7735</v>
      </c>
      <c r="EQ82" s="31">
        <v>11152</v>
      </c>
      <c r="ER82" s="1633">
        <f t="shared" si="146"/>
        <v>11152</v>
      </c>
      <c r="ES82" s="1584">
        <v>10156</v>
      </c>
      <c r="ET82" s="1584">
        <v>9759</v>
      </c>
      <c r="EU82" s="1584">
        <v>9987</v>
      </c>
      <c r="EV82" s="1584">
        <f t="shared" si="146"/>
        <v>13274.43140919659</v>
      </c>
      <c r="EW82" s="1633">
        <f t="shared" si="146"/>
        <v>13274.43140919659</v>
      </c>
      <c r="EX82" s="1584">
        <f t="shared" si="143"/>
        <v>12284.501610963162</v>
      </c>
      <c r="EY82" s="1584">
        <f t="shared" si="143"/>
        <v>11659.308802792772</v>
      </c>
      <c r="EZ82" s="1584">
        <f t="shared" si="143"/>
        <v>11566.888996367585</v>
      </c>
      <c r="FA82" s="1584">
        <f t="shared" si="143"/>
        <v>15404.911367011409</v>
      </c>
      <c r="FB82" s="1633">
        <f t="shared" si="143"/>
        <v>15404.911367011409</v>
      </c>
      <c r="FC82" s="1584">
        <f t="shared" ref="FC82:FG82" si="147">FC$85*FC89</f>
        <v>14235.492586253436</v>
      </c>
      <c r="FD82" s="1584">
        <f t="shared" si="147"/>
        <v>13496.943031755767</v>
      </c>
      <c r="FE82" s="1584">
        <f t="shared" si="147"/>
        <v>13387.766141090895</v>
      </c>
      <c r="FF82" s="1584">
        <f t="shared" si="147"/>
        <v>17917.480948256369</v>
      </c>
      <c r="FG82" s="1633">
        <f t="shared" si="147"/>
        <v>17917.480948256369</v>
      </c>
      <c r="FH82" s="1584">
        <f t="shared" ref="FH82:FL82" si="148">FH$85*FH89</f>
        <v>16536.029165281561</v>
      </c>
      <c r="FI82" s="1584">
        <f t="shared" si="148"/>
        <v>15663.569601895077</v>
      </c>
      <c r="FJ82" s="1584">
        <f t="shared" si="148"/>
        <v>15534.597318611855</v>
      </c>
      <c r="FK82" s="1584">
        <f t="shared" si="148"/>
        <v>20881.35491154587</v>
      </c>
      <c r="FL82" s="1633">
        <f t="shared" si="148"/>
        <v>20881.35491154587</v>
      </c>
      <c r="FM82" s="1638"/>
      <c r="FN82" s="1638"/>
      <c r="FO82" s="1638"/>
      <c r="FP82" s="1638"/>
      <c r="FQ82" s="1638"/>
    </row>
    <row r="83" spans="1:173" s="31" customFormat="1" ht="12">
      <c r="A83" s="31" t="s">
        <v>1047</v>
      </c>
      <c r="CX83" s="1141"/>
      <c r="DX83" s="54"/>
      <c r="EB83" s="31">
        <v>3579</v>
      </c>
      <c r="EC83" s="54"/>
      <c r="ED83" s="31">
        <v>3199</v>
      </c>
      <c r="EE83" s="31">
        <v>3052</v>
      </c>
      <c r="EF83" s="31">
        <v>2836</v>
      </c>
      <c r="EG83" s="31">
        <v>3246</v>
      </c>
      <c r="EH83" s="54">
        <f>SUM(ED83:EG83)</f>
        <v>12333</v>
      </c>
      <c r="EI83" s="31">
        <v>2366</v>
      </c>
      <c r="EJ83" s="31">
        <v>2393</v>
      </c>
      <c r="EK83" s="31">
        <v>2427</v>
      </c>
      <c r="EL83" s="31">
        <v>2607</v>
      </c>
      <c r="EM83" s="1633">
        <f t="shared" ref="EM83:EW83" si="149">EM$85*EM90</f>
        <v>2607</v>
      </c>
      <c r="EN83" s="31">
        <v>2657</v>
      </c>
      <c r="EO83" s="31">
        <v>2476</v>
      </c>
      <c r="EP83" s="31">
        <v>2472</v>
      </c>
      <c r="EQ83" s="31">
        <v>2812</v>
      </c>
      <c r="ER83" s="1633">
        <f t="shared" si="149"/>
        <v>2812</v>
      </c>
      <c r="ES83" s="1584">
        <v>2940</v>
      </c>
      <c r="ET83" s="1584">
        <v>2760</v>
      </c>
      <c r="EU83" s="1584">
        <v>2783</v>
      </c>
      <c r="EV83" s="1584">
        <f t="shared" si="149"/>
        <v>3347.1754952170741</v>
      </c>
      <c r="EW83" s="1633">
        <f t="shared" si="149"/>
        <v>3347.1754952170741</v>
      </c>
      <c r="EX83" s="1584">
        <f t="shared" si="143"/>
        <v>3097.5626371976691</v>
      </c>
      <c r="EY83" s="1584">
        <f t="shared" si="143"/>
        <v>2939.9189700011902</v>
      </c>
      <c r="EZ83" s="1584">
        <f t="shared" si="143"/>
        <v>2916.6151235460588</v>
      </c>
      <c r="FA83" s="1584">
        <f t="shared" si="143"/>
        <v>3884.3804487119869</v>
      </c>
      <c r="FB83" s="1633">
        <f t="shared" si="143"/>
        <v>3884.3804487119869</v>
      </c>
      <c r="FC83" s="1584">
        <f t="shared" ref="FC83:FG83" si="150">FC$85*FC90</f>
        <v>3589.509070350131</v>
      </c>
      <c r="FD83" s="1584">
        <f t="shared" si="150"/>
        <v>3403.2822637461636</v>
      </c>
      <c r="FE83" s="1584">
        <f t="shared" si="150"/>
        <v>3375.7530836394903</v>
      </c>
      <c r="FF83" s="1584">
        <f t="shared" si="150"/>
        <v>4517.9300956327934</v>
      </c>
      <c r="FG83" s="1633">
        <f t="shared" si="150"/>
        <v>4517.9300956327934</v>
      </c>
      <c r="FH83" s="1584">
        <f t="shared" ref="FH83:FL83" si="151">FH$85*FH90</f>
        <v>4169.594154660308</v>
      </c>
      <c r="FI83" s="1584">
        <f t="shared" si="151"/>
        <v>3949.6016607360971</v>
      </c>
      <c r="FJ83" s="1584">
        <f t="shared" si="151"/>
        <v>3917.0810311994742</v>
      </c>
      <c r="FK83" s="1584">
        <f t="shared" si="151"/>
        <v>5265.2770813546431</v>
      </c>
      <c r="FL83" s="1633">
        <f t="shared" si="151"/>
        <v>5265.2770813546431</v>
      </c>
      <c r="FM83" s="1638"/>
      <c r="FN83" s="1638"/>
      <c r="FO83" s="1638"/>
      <c r="FP83" s="1638"/>
      <c r="FQ83" s="1638"/>
    </row>
    <row r="84" spans="1:173" s="31" customFormat="1" ht="12">
      <c r="A84" s="31" t="s">
        <v>1085</v>
      </c>
      <c r="CX84" s="1141"/>
      <c r="DX84" s="54"/>
      <c r="EB84" s="31">
        <v>355</v>
      </c>
      <c r="EC84" s="54"/>
      <c r="ED84" s="31">
        <v>383</v>
      </c>
      <c r="EE84" s="31">
        <v>58</v>
      </c>
      <c r="EF84" s="31">
        <v>59</v>
      </c>
      <c r="EG84" s="31">
        <v>83</v>
      </c>
      <c r="EH84" s="54">
        <f>SUM(ED84:EG84)</f>
        <v>583</v>
      </c>
      <c r="EI84" s="31">
        <v>0</v>
      </c>
      <c r="EJ84" s="31">
        <v>0</v>
      </c>
      <c r="EK84" s="31">
        <v>0</v>
      </c>
      <c r="EL84" s="31">
        <v>0</v>
      </c>
      <c r="EM84" s="1633">
        <f t="shared" ref="EM84:EW84" si="152">EM$85*EM91</f>
        <v>0</v>
      </c>
      <c r="ER84" s="1633">
        <f t="shared" si="152"/>
        <v>0</v>
      </c>
      <c r="ES84" s="1584">
        <f t="shared" si="152"/>
        <v>0</v>
      </c>
      <c r="ET84" s="1584">
        <f t="shared" ref="ET84:EU84" si="153">ET$85*ET91</f>
        <v>0</v>
      </c>
      <c r="EU84" s="1584">
        <f t="shared" si="153"/>
        <v>0</v>
      </c>
      <c r="EV84" s="1584">
        <f t="shared" si="152"/>
        <v>0</v>
      </c>
      <c r="EW84" s="1633">
        <f t="shared" si="152"/>
        <v>0</v>
      </c>
      <c r="EX84" s="1584">
        <f t="shared" si="143"/>
        <v>0</v>
      </c>
      <c r="EY84" s="1584">
        <f t="shared" si="143"/>
        <v>0</v>
      </c>
      <c r="EZ84" s="1584">
        <f t="shared" si="143"/>
        <v>0</v>
      </c>
      <c r="FA84" s="1584">
        <f t="shared" si="143"/>
        <v>0</v>
      </c>
      <c r="FB84" s="1633">
        <f t="shared" si="143"/>
        <v>0</v>
      </c>
      <c r="FC84" s="1584">
        <f t="shared" ref="FC84:FG84" si="154">FC$85*FC91</f>
        <v>0</v>
      </c>
      <c r="FD84" s="1584">
        <f t="shared" si="154"/>
        <v>0</v>
      </c>
      <c r="FE84" s="1584">
        <f t="shared" si="154"/>
        <v>0</v>
      </c>
      <c r="FF84" s="1584">
        <f t="shared" si="154"/>
        <v>0</v>
      </c>
      <c r="FG84" s="1633">
        <f t="shared" si="154"/>
        <v>0</v>
      </c>
      <c r="FH84" s="1584">
        <f t="shared" ref="FH84:FL84" si="155">FH$85*FH91</f>
        <v>0</v>
      </c>
      <c r="FI84" s="1584">
        <f t="shared" si="155"/>
        <v>0</v>
      </c>
      <c r="FJ84" s="1584">
        <f t="shared" si="155"/>
        <v>0</v>
      </c>
      <c r="FK84" s="1584">
        <f t="shared" si="155"/>
        <v>0</v>
      </c>
      <c r="FL84" s="1633">
        <f t="shared" si="155"/>
        <v>0</v>
      </c>
      <c r="FM84" s="1638"/>
      <c r="FN84" s="1638"/>
      <c r="FO84" s="1638"/>
      <c r="FP84" s="1638"/>
      <c r="FQ84" s="1638"/>
    </row>
    <row r="85" spans="1:173" s="31" customFormat="1" ht="12">
      <c r="A85" s="31" t="s">
        <v>1098</v>
      </c>
      <c r="CX85" s="1141"/>
      <c r="DX85" s="54"/>
      <c r="EB85" s="31">
        <f>SUM(EB81:EB84)</f>
        <v>25158</v>
      </c>
      <c r="EC85" s="54"/>
      <c r="ED85" s="31">
        <f>SUM(ED81:ED84)</f>
        <v>22538</v>
      </c>
      <c r="EE85" s="31">
        <f>SUM(EE81:EE84)</f>
        <v>21243</v>
      </c>
      <c r="EF85" s="31">
        <f>SUM(EF81:EF84)</f>
        <v>20198</v>
      </c>
      <c r="EG85" s="31">
        <f>SUM(EG81:EG84)</f>
        <v>25318</v>
      </c>
      <c r="EH85" s="54">
        <f>SUM(ED85:EG85)</f>
        <v>89297</v>
      </c>
      <c r="EI85" s="31">
        <f>SUM(EI81:EI84)</f>
        <v>18191</v>
      </c>
      <c r="EJ85" s="31">
        <f>SUM(EJ81:EJ84)</f>
        <v>17352</v>
      </c>
      <c r="EK85" s="31">
        <f>SUM(EK81:EK84)</f>
        <v>17112</v>
      </c>
      <c r="EL85" s="31">
        <f>SUM(EL81:EL84)</f>
        <v>22193</v>
      </c>
      <c r="EM85" s="1633">
        <f t="shared" ref="EM85:EW85" si="156">EM36</f>
        <v>22193</v>
      </c>
      <c r="EN85" s="31">
        <f>SUM(EN81:EN84)</f>
        <v>20370</v>
      </c>
      <c r="EO85" s="31">
        <f>SUM(EO81:EO84)</f>
        <v>19991</v>
      </c>
      <c r="EP85" s="31">
        <f>SUM(EP81:EP84)</f>
        <v>19904</v>
      </c>
      <c r="EQ85" s="31">
        <f>SUM(EQ81:EQ84)</f>
        <v>26656</v>
      </c>
      <c r="ER85" s="1633">
        <f t="shared" si="156"/>
        <v>26656</v>
      </c>
      <c r="ES85" s="1584">
        <f t="shared" si="156"/>
        <v>24904</v>
      </c>
      <c r="ET85" s="1584">
        <f t="shared" ref="ET85:EU85" si="157">ET36</f>
        <v>23809</v>
      </c>
      <c r="EU85" s="1584">
        <v>23955</v>
      </c>
      <c r="EV85" s="1584">
        <f t="shared" si="156"/>
        <v>31729.128734177215</v>
      </c>
      <c r="EW85" s="1633">
        <f t="shared" si="156"/>
        <v>31729.128734177215</v>
      </c>
      <c r="EX85" s="1584">
        <f t="shared" ref="EX85:FG85" si="158">EX36</f>
        <v>29362.955070107066</v>
      </c>
      <c r="EY85" s="1584">
        <f t="shared" si="158"/>
        <v>27868.591772529064</v>
      </c>
      <c r="EZ85" s="1584">
        <f t="shared" si="158"/>
        <v>27647.685893756665</v>
      </c>
      <c r="FA85" s="1584">
        <f t="shared" si="158"/>
        <v>36821.495462612635</v>
      </c>
      <c r="FB85" s="1633">
        <f t="shared" si="158"/>
        <v>36821.495462612635</v>
      </c>
      <c r="FC85" s="1584">
        <f t="shared" si="158"/>
        <v>34026.299352508213</v>
      </c>
      <c r="FD85" s="1584">
        <f t="shared" si="158"/>
        <v>32260.985783221102</v>
      </c>
      <c r="FE85" s="1584">
        <f t="shared" si="158"/>
        <v>32000.026386022138</v>
      </c>
      <c r="FF85" s="1584">
        <f t="shared" si="158"/>
        <v>42827.149583637176</v>
      </c>
      <c r="FG85" s="1633">
        <f t="shared" si="158"/>
        <v>42827.149583637176</v>
      </c>
      <c r="FH85" s="1584">
        <f t="shared" ref="FH85:FL85" si="159">FH36</f>
        <v>39525.142882868124</v>
      </c>
      <c r="FI85" s="1584">
        <f t="shared" si="159"/>
        <v>37439.751731358963</v>
      </c>
      <c r="FJ85" s="1584">
        <f t="shared" si="159"/>
        <v>37131.476517657604</v>
      </c>
      <c r="FK85" s="1584">
        <f t="shared" si="159"/>
        <v>49911.531251987682</v>
      </c>
      <c r="FL85" s="1633">
        <f t="shared" si="159"/>
        <v>49911.531251987682</v>
      </c>
      <c r="FM85" s="1638"/>
      <c r="FN85" s="1638"/>
      <c r="FO85" s="1638"/>
      <c r="FP85" s="1638"/>
      <c r="FQ85" s="1638"/>
    </row>
    <row r="86" spans="1:173" s="31" customFormat="1" ht="12">
      <c r="CX86" s="1141"/>
      <c r="DX86" s="54"/>
      <c r="EC86" s="54"/>
      <c r="EH86" s="54"/>
      <c r="EM86" s="1633"/>
      <c r="ER86" s="1633"/>
      <c r="ES86" s="1584"/>
      <c r="ET86" s="1584"/>
      <c r="EU86" s="1584"/>
      <c r="EV86" s="1584"/>
      <c r="EW86" s="1633"/>
      <c r="EX86" s="1584"/>
      <c r="EY86" s="1584"/>
      <c r="EZ86" s="1584"/>
      <c r="FA86" s="1584"/>
      <c r="FB86" s="1633"/>
      <c r="FC86" s="1584"/>
      <c r="FD86" s="1584"/>
      <c r="FE86" s="1584"/>
      <c r="FF86" s="1584"/>
      <c r="FG86" s="1633"/>
      <c r="FH86" s="1584"/>
      <c r="FI86" s="1584"/>
      <c r="FJ86" s="1584"/>
      <c r="FK86" s="1584"/>
      <c r="FL86" s="1633"/>
      <c r="FM86" s="1638"/>
      <c r="FN86" s="1638"/>
      <c r="FO86" s="1638"/>
      <c r="FP86" s="1638"/>
      <c r="FQ86" s="1638"/>
    </row>
    <row r="87" spans="1:173" s="31" customFormat="1" ht="12">
      <c r="A87" s="39" t="s">
        <v>1099</v>
      </c>
      <c r="CX87" s="1141"/>
      <c r="DX87" s="54"/>
      <c r="EC87" s="54"/>
      <c r="EH87" s="54"/>
      <c r="EM87" s="1633"/>
      <c r="ER87" s="1633"/>
      <c r="ES87" s="1584"/>
      <c r="ET87" s="1584"/>
      <c r="EU87" s="1584"/>
      <c r="EV87" s="1584"/>
      <c r="EW87" s="1633"/>
      <c r="EX87" s="1584"/>
      <c r="EY87" s="1584"/>
      <c r="EZ87" s="1584"/>
      <c r="FA87" s="1584"/>
      <c r="FB87" s="1633"/>
      <c r="FC87" s="1584"/>
      <c r="FD87" s="1584"/>
      <c r="FE87" s="1584"/>
      <c r="FF87" s="1584"/>
      <c r="FG87" s="1633"/>
      <c r="FH87" s="1584"/>
      <c r="FI87" s="1584"/>
      <c r="FJ87" s="1584"/>
      <c r="FK87" s="1584"/>
      <c r="FL87" s="1633"/>
      <c r="FM87" s="1638"/>
      <c r="FN87" s="1638"/>
      <c r="FO87" s="1638"/>
      <c r="FP87" s="1638"/>
      <c r="FQ87" s="1638"/>
    </row>
    <row r="88" spans="1:173" s="31" customFormat="1" ht="12">
      <c r="A88" s="31" t="s">
        <v>1043</v>
      </c>
      <c r="CX88" s="1141"/>
      <c r="DX88" s="54"/>
      <c r="EB88" s="1583">
        <f>EB81/EB$85</f>
        <v>0.45361316479847363</v>
      </c>
      <c r="EC88" s="54"/>
      <c r="ED88" s="1583">
        <f t="shared" ref="ED88:EL88" si="160">ED81/ED$85</f>
        <v>0.4551867956340403</v>
      </c>
      <c r="EE88" s="1583">
        <f t="shared" si="160"/>
        <v>0.45944546438826905</v>
      </c>
      <c r="EF88" s="1583">
        <f t="shared" si="160"/>
        <v>0.46158035449054363</v>
      </c>
      <c r="EG88" s="1583">
        <f t="shared" si="160"/>
        <v>0.45987044790267795</v>
      </c>
      <c r="EH88" s="1622">
        <f t="shared" si="160"/>
        <v>0.45897398568820902</v>
      </c>
      <c r="EI88" s="1583">
        <f t="shared" si="160"/>
        <v>0.47924797977021605</v>
      </c>
      <c r="EJ88" s="1583">
        <f t="shared" si="160"/>
        <v>0.47585292761641307</v>
      </c>
      <c r="EK88" s="1583">
        <f t="shared" si="160"/>
        <v>0.46785881252921924</v>
      </c>
      <c r="EL88" s="1583">
        <f t="shared" si="160"/>
        <v>0.48091740638940206</v>
      </c>
      <c r="EM88" s="1634">
        <f t="shared" ref="EM88:EW88" si="161">EL88</f>
        <v>0.48091740638940206</v>
      </c>
      <c r="EN88" s="1583">
        <f>EN81/EN$85</f>
        <v>0.47403043691703484</v>
      </c>
      <c r="EO88" s="1583">
        <f t="shared" ref="EO88:EQ88" si="162">EO81/EO$85</f>
        <v>0.49217147716472415</v>
      </c>
      <c r="EP88" s="1583">
        <f t="shared" si="162"/>
        <v>0.48718850482315113</v>
      </c>
      <c r="EQ88" s="1583">
        <f t="shared" si="162"/>
        <v>0.47614045618247297</v>
      </c>
      <c r="ER88" s="1634">
        <f t="shared" si="161"/>
        <v>0.47614045618247297</v>
      </c>
      <c r="ES88" s="1585">
        <f t="shared" si="161"/>
        <v>0.47614045618247297</v>
      </c>
      <c r="ET88" s="1585">
        <f t="shared" si="161"/>
        <v>0.47614045618247297</v>
      </c>
      <c r="EU88" s="1585">
        <f t="shared" si="161"/>
        <v>0.47614045618247297</v>
      </c>
      <c r="EV88" s="1585">
        <f t="shared" si="161"/>
        <v>0.47614045618247297</v>
      </c>
      <c r="EW88" s="1634">
        <f t="shared" si="161"/>
        <v>0.47614045618247297</v>
      </c>
      <c r="EX88" s="1585">
        <f t="shared" ref="EX88:FB92" si="163">EW88</f>
        <v>0.47614045618247297</v>
      </c>
      <c r="EY88" s="1585">
        <f t="shared" si="163"/>
        <v>0.47614045618247297</v>
      </c>
      <c r="EZ88" s="1585">
        <f t="shared" si="163"/>
        <v>0.47614045618247297</v>
      </c>
      <c r="FA88" s="1585">
        <f t="shared" si="163"/>
        <v>0.47614045618247297</v>
      </c>
      <c r="FB88" s="1634">
        <f t="shared" si="163"/>
        <v>0.47614045618247297</v>
      </c>
      <c r="FC88" s="1585">
        <f t="shared" ref="FC88:FC92" si="164">FB88</f>
        <v>0.47614045618247297</v>
      </c>
      <c r="FD88" s="1585">
        <f t="shared" ref="FD88:FD92" si="165">FC88</f>
        <v>0.47614045618247297</v>
      </c>
      <c r="FE88" s="1585">
        <f t="shared" ref="FE88:FE92" si="166">FD88</f>
        <v>0.47614045618247297</v>
      </c>
      <c r="FF88" s="1585">
        <f t="shared" ref="FF88:FF92" si="167">FE88</f>
        <v>0.47614045618247297</v>
      </c>
      <c r="FG88" s="1634">
        <f t="shared" ref="FG88:FG92" si="168">FF88</f>
        <v>0.47614045618247297</v>
      </c>
      <c r="FH88" s="1585">
        <f t="shared" ref="FH88:FH92" si="169">FG88</f>
        <v>0.47614045618247297</v>
      </c>
      <c r="FI88" s="1585">
        <f t="shared" ref="FI88:FI92" si="170">FH88</f>
        <v>0.47614045618247297</v>
      </c>
      <c r="FJ88" s="1585">
        <f t="shared" ref="FJ88:FJ92" si="171">FI88</f>
        <v>0.47614045618247297</v>
      </c>
      <c r="FK88" s="1585">
        <f t="shared" ref="FK88:FK92" si="172">FJ88</f>
        <v>0.47614045618247297</v>
      </c>
      <c r="FL88" s="1634">
        <f t="shared" ref="FL88:FL92" si="173">FK88</f>
        <v>0.47614045618247297</v>
      </c>
      <c r="FM88" s="1637"/>
      <c r="FN88" s="1637"/>
      <c r="FO88" s="1637"/>
      <c r="FP88" s="1637"/>
      <c r="FQ88" s="1637"/>
    </row>
    <row r="89" spans="1:173" s="31" customFormat="1" ht="12">
      <c r="A89" s="31" t="s">
        <v>1045</v>
      </c>
      <c r="CX89" s="1141"/>
      <c r="DX89" s="54"/>
      <c r="EB89" s="1583">
        <f t="shared" ref="EB89:ED91" si="174">EB82/EB$85</f>
        <v>0.39001510453931154</v>
      </c>
      <c r="EC89" s="54"/>
      <c r="ED89" s="1583">
        <f t="shared" si="174"/>
        <v>0.38588162214925903</v>
      </c>
      <c r="EE89" s="1583">
        <f t="shared" ref="EE89:EL91" si="175">EE82/EE$85</f>
        <v>0.39415336816833779</v>
      </c>
      <c r="EF89" s="1583">
        <f t="shared" si="175"/>
        <v>0.39508862263590455</v>
      </c>
      <c r="EG89" s="1583">
        <f t="shared" si="175"/>
        <v>0.40864207283355714</v>
      </c>
      <c r="EH89" s="1622">
        <f t="shared" si="175"/>
        <v>0.39638509692374885</v>
      </c>
      <c r="EI89" s="1583">
        <f t="shared" si="175"/>
        <v>0.39068770271013137</v>
      </c>
      <c r="EJ89" s="1583">
        <f t="shared" si="175"/>
        <v>0.38623789764868605</v>
      </c>
      <c r="EK89" s="1583">
        <f t="shared" si="175"/>
        <v>0.39031089294062649</v>
      </c>
      <c r="EL89" s="1583">
        <f t="shared" si="175"/>
        <v>0.40161312125444959</v>
      </c>
      <c r="EM89" s="1634">
        <f t="shared" ref="EM89:EW92" si="176">EL89</f>
        <v>0.40161312125444959</v>
      </c>
      <c r="EN89" s="1583">
        <f>EN82/EN$85</f>
        <v>0.39553264604810995</v>
      </c>
      <c r="EO89" s="1583">
        <f t="shared" ref="EO89:EQ89" si="177">EO82/EO$85</f>
        <v>0.38397278775448951</v>
      </c>
      <c r="EP89" s="1583">
        <f t="shared" si="177"/>
        <v>0.38861535369774919</v>
      </c>
      <c r="EQ89" s="1583">
        <f t="shared" si="177"/>
        <v>0.41836734693877553</v>
      </c>
      <c r="ER89" s="1634">
        <f t="shared" si="176"/>
        <v>0.41836734693877553</v>
      </c>
      <c r="ES89" s="1585">
        <f t="shared" si="176"/>
        <v>0.41836734693877553</v>
      </c>
      <c r="ET89" s="1585">
        <f t="shared" si="176"/>
        <v>0.41836734693877553</v>
      </c>
      <c r="EU89" s="1585">
        <f t="shared" si="176"/>
        <v>0.41836734693877553</v>
      </c>
      <c r="EV89" s="1585">
        <f t="shared" si="176"/>
        <v>0.41836734693877553</v>
      </c>
      <c r="EW89" s="1634">
        <f t="shared" si="176"/>
        <v>0.41836734693877553</v>
      </c>
      <c r="EX89" s="1585">
        <f t="shared" si="163"/>
        <v>0.41836734693877553</v>
      </c>
      <c r="EY89" s="1585">
        <f t="shared" si="163"/>
        <v>0.41836734693877553</v>
      </c>
      <c r="EZ89" s="1585">
        <f t="shared" si="163"/>
        <v>0.41836734693877553</v>
      </c>
      <c r="FA89" s="1585">
        <f t="shared" si="163"/>
        <v>0.41836734693877553</v>
      </c>
      <c r="FB89" s="1634">
        <f t="shared" si="163"/>
        <v>0.41836734693877553</v>
      </c>
      <c r="FC89" s="1585">
        <f t="shared" si="164"/>
        <v>0.41836734693877553</v>
      </c>
      <c r="FD89" s="1585">
        <f t="shared" si="165"/>
        <v>0.41836734693877553</v>
      </c>
      <c r="FE89" s="1585">
        <f t="shared" si="166"/>
        <v>0.41836734693877553</v>
      </c>
      <c r="FF89" s="1585">
        <f t="shared" si="167"/>
        <v>0.41836734693877553</v>
      </c>
      <c r="FG89" s="1634">
        <f t="shared" si="168"/>
        <v>0.41836734693877553</v>
      </c>
      <c r="FH89" s="1585">
        <f t="shared" si="169"/>
        <v>0.41836734693877553</v>
      </c>
      <c r="FI89" s="1585">
        <f t="shared" si="170"/>
        <v>0.41836734693877553</v>
      </c>
      <c r="FJ89" s="1585">
        <f t="shared" si="171"/>
        <v>0.41836734693877553</v>
      </c>
      <c r="FK89" s="1585">
        <f t="shared" si="172"/>
        <v>0.41836734693877553</v>
      </c>
      <c r="FL89" s="1634">
        <f t="shared" si="173"/>
        <v>0.41836734693877553</v>
      </c>
      <c r="FM89" s="1637"/>
      <c r="FN89" s="1637"/>
      <c r="FO89" s="1637"/>
      <c r="FP89" s="1637"/>
      <c r="FQ89" s="1637"/>
    </row>
    <row r="90" spans="1:173" s="31" customFormat="1" ht="12">
      <c r="A90" s="31" t="s">
        <v>1047</v>
      </c>
      <c r="CX90" s="1141"/>
      <c r="DX90" s="54"/>
      <c r="EB90" s="1583">
        <f t="shared" si="174"/>
        <v>0.14226091104221322</v>
      </c>
      <c r="EC90" s="54"/>
      <c r="ED90" s="1583">
        <f t="shared" si="174"/>
        <v>0.14193806016505459</v>
      </c>
      <c r="EE90" s="1583">
        <f t="shared" si="175"/>
        <v>0.14367085628206938</v>
      </c>
      <c r="EF90" s="1583">
        <f t="shared" si="175"/>
        <v>0.14040994157837411</v>
      </c>
      <c r="EG90" s="1583">
        <f t="shared" si="175"/>
        <v>0.12820917924006636</v>
      </c>
      <c r="EH90" s="1622">
        <f t="shared" si="175"/>
        <v>0.13811214262517219</v>
      </c>
      <c r="EI90" s="1583">
        <f t="shared" si="175"/>
        <v>0.13006431751965258</v>
      </c>
      <c r="EJ90" s="1583">
        <f t="shared" si="175"/>
        <v>0.13790917473490089</v>
      </c>
      <c r="EK90" s="1583">
        <f t="shared" si="175"/>
        <v>0.14183029453015428</v>
      </c>
      <c r="EL90" s="1583">
        <f t="shared" si="175"/>
        <v>0.11746947235614834</v>
      </c>
      <c r="EM90" s="1634">
        <f t="shared" si="176"/>
        <v>0.11746947235614834</v>
      </c>
      <c r="EN90" s="1583">
        <f>EN83/EN$85</f>
        <v>0.13043691703485519</v>
      </c>
      <c r="EO90" s="1583">
        <f t="shared" ref="EO90:EQ90" si="178">EO83/EO$85</f>
        <v>0.12385573508078636</v>
      </c>
      <c r="EP90" s="1583">
        <f t="shared" si="178"/>
        <v>0.12419614147909967</v>
      </c>
      <c r="EQ90" s="1583">
        <f t="shared" si="178"/>
        <v>0.1054921968787515</v>
      </c>
      <c r="ER90" s="1634">
        <f t="shared" si="176"/>
        <v>0.1054921968787515</v>
      </c>
      <c r="ES90" s="1585">
        <f t="shared" si="176"/>
        <v>0.1054921968787515</v>
      </c>
      <c r="ET90" s="1585">
        <f t="shared" si="176"/>
        <v>0.1054921968787515</v>
      </c>
      <c r="EU90" s="1585">
        <f t="shared" si="176"/>
        <v>0.1054921968787515</v>
      </c>
      <c r="EV90" s="1585">
        <f t="shared" si="176"/>
        <v>0.1054921968787515</v>
      </c>
      <c r="EW90" s="1634">
        <f t="shared" si="176"/>
        <v>0.1054921968787515</v>
      </c>
      <c r="EX90" s="1585">
        <f t="shared" si="163"/>
        <v>0.1054921968787515</v>
      </c>
      <c r="EY90" s="1585">
        <f t="shared" si="163"/>
        <v>0.1054921968787515</v>
      </c>
      <c r="EZ90" s="1585">
        <f t="shared" si="163"/>
        <v>0.1054921968787515</v>
      </c>
      <c r="FA90" s="1585">
        <f t="shared" si="163"/>
        <v>0.1054921968787515</v>
      </c>
      <c r="FB90" s="1634">
        <f t="shared" si="163"/>
        <v>0.1054921968787515</v>
      </c>
      <c r="FC90" s="1585">
        <f t="shared" si="164"/>
        <v>0.1054921968787515</v>
      </c>
      <c r="FD90" s="1585">
        <f t="shared" si="165"/>
        <v>0.1054921968787515</v>
      </c>
      <c r="FE90" s="1585">
        <f t="shared" si="166"/>
        <v>0.1054921968787515</v>
      </c>
      <c r="FF90" s="1585">
        <f t="shared" si="167"/>
        <v>0.1054921968787515</v>
      </c>
      <c r="FG90" s="1634">
        <f t="shared" si="168"/>
        <v>0.1054921968787515</v>
      </c>
      <c r="FH90" s="1585">
        <f t="shared" si="169"/>
        <v>0.1054921968787515</v>
      </c>
      <c r="FI90" s="1585">
        <f t="shared" si="170"/>
        <v>0.1054921968787515</v>
      </c>
      <c r="FJ90" s="1585">
        <f t="shared" si="171"/>
        <v>0.1054921968787515</v>
      </c>
      <c r="FK90" s="1585">
        <f t="shared" si="172"/>
        <v>0.1054921968787515</v>
      </c>
      <c r="FL90" s="1634">
        <f t="shared" si="173"/>
        <v>0.1054921968787515</v>
      </c>
      <c r="FM90" s="1637"/>
      <c r="FN90" s="1637"/>
      <c r="FO90" s="1637"/>
      <c r="FP90" s="1637"/>
      <c r="FQ90" s="1637"/>
    </row>
    <row r="91" spans="1:173" s="31" customFormat="1" ht="12">
      <c r="A91" s="31" t="s">
        <v>1085</v>
      </c>
      <c r="CX91" s="1141"/>
      <c r="DX91" s="54"/>
      <c r="EB91" s="1583">
        <f t="shared" si="174"/>
        <v>1.411081962000159E-2</v>
      </c>
      <c r="EC91" s="54"/>
      <c r="ED91" s="1583">
        <f t="shared" si="174"/>
        <v>1.6993522051646108E-2</v>
      </c>
      <c r="EE91" s="1583">
        <f t="shared" si="175"/>
        <v>2.73031116132373E-3</v>
      </c>
      <c r="EF91" s="1583">
        <f t="shared" si="175"/>
        <v>2.9210812951777402E-3</v>
      </c>
      <c r="EG91" s="1583">
        <f t="shared" si="175"/>
        <v>3.2783000236985545E-3</v>
      </c>
      <c r="EH91" s="1622">
        <f t="shared" si="175"/>
        <v>6.5287747628699731E-3</v>
      </c>
      <c r="EI91" s="1583">
        <f t="shared" si="175"/>
        <v>0</v>
      </c>
      <c r="EJ91" s="1583">
        <f t="shared" si="175"/>
        <v>0</v>
      </c>
      <c r="EK91" s="1583">
        <f t="shared" si="175"/>
        <v>0</v>
      </c>
      <c r="EL91" s="1583">
        <f t="shared" si="175"/>
        <v>0</v>
      </c>
      <c r="EM91" s="1634">
        <f t="shared" si="176"/>
        <v>0</v>
      </c>
      <c r="EN91" s="1583">
        <f>EN84/EN$85</f>
        <v>0</v>
      </c>
      <c r="EO91" s="1583">
        <f t="shared" ref="EO91:EQ91" si="179">EO84/EO$85</f>
        <v>0</v>
      </c>
      <c r="EP91" s="1583">
        <f t="shared" si="179"/>
        <v>0</v>
      </c>
      <c r="EQ91" s="1583">
        <f t="shared" si="179"/>
        <v>0</v>
      </c>
      <c r="ER91" s="1634">
        <f t="shared" si="176"/>
        <v>0</v>
      </c>
      <c r="ES91" s="1585">
        <f t="shared" si="176"/>
        <v>0</v>
      </c>
      <c r="ET91" s="1585">
        <f t="shared" si="176"/>
        <v>0</v>
      </c>
      <c r="EU91" s="1585">
        <f t="shared" si="176"/>
        <v>0</v>
      </c>
      <c r="EV91" s="1585">
        <f t="shared" si="176"/>
        <v>0</v>
      </c>
      <c r="EW91" s="1634">
        <f t="shared" si="176"/>
        <v>0</v>
      </c>
      <c r="EX91" s="1585">
        <f t="shared" si="163"/>
        <v>0</v>
      </c>
      <c r="EY91" s="1585">
        <f t="shared" si="163"/>
        <v>0</v>
      </c>
      <c r="EZ91" s="1585">
        <f t="shared" si="163"/>
        <v>0</v>
      </c>
      <c r="FA91" s="1585">
        <f t="shared" si="163"/>
        <v>0</v>
      </c>
      <c r="FB91" s="1634">
        <f t="shared" si="163"/>
        <v>0</v>
      </c>
      <c r="FC91" s="1585">
        <f t="shared" si="164"/>
        <v>0</v>
      </c>
      <c r="FD91" s="1585">
        <f t="shared" si="165"/>
        <v>0</v>
      </c>
      <c r="FE91" s="1585">
        <f t="shared" si="166"/>
        <v>0</v>
      </c>
      <c r="FF91" s="1585">
        <f t="shared" si="167"/>
        <v>0</v>
      </c>
      <c r="FG91" s="1634">
        <f t="shared" si="168"/>
        <v>0</v>
      </c>
      <c r="FH91" s="1585">
        <f t="shared" si="169"/>
        <v>0</v>
      </c>
      <c r="FI91" s="1585">
        <f t="shared" si="170"/>
        <v>0</v>
      </c>
      <c r="FJ91" s="1585">
        <f t="shared" si="171"/>
        <v>0</v>
      </c>
      <c r="FK91" s="1585">
        <f t="shared" si="172"/>
        <v>0</v>
      </c>
      <c r="FL91" s="1634">
        <f t="shared" si="173"/>
        <v>0</v>
      </c>
      <c r="FM91" s="1637"/>
      <c r="FN91" s="1637"/>
      <c r="FO91" s="1637"/>
      <c r="FP91" s="1637"/>
      <c r="FQ91" s="1637"/>
    </row>
    <row r="92" spans="1:173" s="31" customFormat="1" ht="12">
      <c r="A92" s="31" t="s">
        <v>1098</v>
      </c>
      <c r="CX92" s="1141"/>
      <c r="DX92" s="54"/>
      <c r="EB92" s="1583">
        <f>SUM(EB88:EB91)</f>
        <v>1</v>
      </c>
      <c r="EC92" s="54"/>
      <c r="ED92" s="1583">
        <f t="shared" ref="ED92:EL92" si="180">SUM(ED88:ED91)</f>
        <v>1</v>
      </c>
      <c r="EE92" s="1583">
        <f t="shared" si="180"/>
        <v>1</v>
      </c>
      <c r="EF92" s="1583">
        <f t="shared" si="180"/>
        <v>1</v>
      </c>
      <c r="EG92" s="1583">
        <f t="shared" si="180"/>
        <v>1</v>
      </c>
      <c r="EH92" s="1622">
        <f t="shared" si="180"/>
        <v>1</v>
      </c>
      <c r="EI92" s="1583">
        <f t="shared" si="180"/>
        <v>1</v>
      </c>
      <c r="EJ92" s="1583">
        <f t="shared" si="180"/>
        <v>1</v>
      </c>
      <c r="EK92" s="1583">
        <f t="shared" si="180"/>
        <v>1</v>
      </c>
      <c r="EL92" s="1583">
        <f t="shared" si="180"/>
        <v>1</v>
      </c>
      <c r="EM92" s="1634">
        <f t="shared" si="176"/>
        <v>1</v>
      </c>
      <c r="EN92" s="1583">
        <f>SUM(EN88:EN91)</f>
        <v>1</v>
      </c>
      <c r="EO92" s="1583">
        <f t="shared" ref="EO92:EQ92" si="181">SUM(EO88:EO91)</f>
        <v>1</v>
      </c>
      <c r="EP92" s="1583">
        <f t="shared" si="181"/>
        <v>0.99999999999999989</v>
      </c>
      <c r="EQ92" s="1583">
        <f t="shared" si="181"/>
        <v>1</v>
      </c>
      <c r="ER92" s="1634">
        <f t="shared" si="176"/>
        <v>1</v>
      </c>
      <c r="ES92" s="1585">
        <f t="shared" si="176"/>
        <v>1</v>
      </c>
      <c r="ET92" s="1585">
        <f t="shared" si="176"/>
        <v>1</v>
      </c>
      <c r="EU92" s="1585">
        <f t="shared" si="176"/>
        <v>1</v>
      </c>
      <c r="EV92" s="1585">
        <f t="shared" si="176"/>
        <v>1</v>
      </c>
      <c r="EW92" s="1634">
        <f t="shared" si="176"/>
        <v>1</v>
      </c>
      <c r="EX92" s="1585">
        <f t="shared" si="163"/>
        <v>1</v>
      </c>
      <c r="EY92" s="1585">
        <f t="shared" si="163"/>
        <v>1</v>
      </c>
      <c r="EZ92" s="1585">
        <f t="shared" si="163"/>
        <v>1</v>
      </c>
      <c r="FA92" s="1585">
        <f t="shared" si="163"/>
        <v>1</v>
      </c>
      <c r="FB92" s="1634">
        <f t="shared" si="163"/>
        <v>1</v>
      </c>
      <c r="FC92" s="1585">
        <f t="shared" si="164"/>
        <v>1</v>
      </c>
      <c r="FD92" s="1585">
        <f t="shared" si="165"/>
        <v>1</v>
      </c>
      <c r="FE92" s="1585">
        <f t="shared" si="166"/>
        <v>1</v>
      </c>
      <c r="FF92" s="1585">
        <f t="shared" si="167"/>
        <v>1</v>
      </c>
      <c r="FG92" s="1634">
        <f t="shared" si="168"/>
        <v>1</v>
      </c>
      <c r="FH92" s="1585">
        <f t="shared" si="169"/>
        <v>1</v>
      </c>
      <c r="FI92" s="1585">
        <f t="shared" si="170"/>
        <v>1</v>
      </c>
      <c r="FJ92" s="1585">
        <f t="shared" si="171"/>
        <v>1</v>
      </c>
      <c r="FK92" s="1585">
        <f t="shared" si="172"/>
        <v>1</v>
      </c>
      <c r="FL92" s="1634">
        <f t="shared" si="173"/>
        <v>1</v>
      </c>
      <c r="FM92" s="1637"/>
      <c r="FN92" s="1637"/>
      <c r="FO92" s="1637"/>
      <c r="FP92" s="1637"/>
      <c r="FQ92" s="1637"/>
    </row>
    <row r="93" spans="1:173" s="31" customFormat="1" ht="12">
      <c r="CX93" s="1141"/>
      <c r="DX93" s="54"/>
      <c r="EC93" s="54"/>
      <c r="EH93" s="54"/>
      <c r="EJ93" s="1584"/>
      <c r="EK93" s="1584"/>
      <c r="EL93" s="1584"/>
      <c r="EM93" s="1633"/>
      <c r="EO93" s="1584"/>
      <c r="EP93" s="1584"/>
      <c r="EQ93" s="1584"/>
      <c r="ER93" s="1633"/>
      <c r="ES93" s="1584"/>
      <c r="ET93" s="1584"/>
      <c r="EU93" s="1584"/>
      <c r="EV93" s="1584"/>
      <c r="EW93" s="1633"/>
      <c r="EX93" s="1584"/>
      <c r="EY93" s="1584"/>
      <c r="EZ93" s="1584"/>
      <c r="FA93" s="1584"/>
      <c r="FB93" s="1633"/>
      <c r="FC93" s="1584"/>
      <c r="FD93" s="1584"/>
      <c r="FE93" s="1584"/>
      <c r="FF93" s="1584"/>
      <c r="FG93" s="1633"/>
      <c r="FH93" s="1584"/>
      <c r="FI93" s="1584"/>
      <c r="FJ93" s="1584"/>
      <c r="FK93" s="1584"/>
      <c r="FL93" s="1633"/>
      <c r="FM93" s="1638"/>
      <c r="FN93" s="1638"/>
      <c r="FO93" s="1638"/>
      <c r="FP93" s="1638"/>
      <c r="FQ93" s="1638"/>
    </row>
    <row r="94" spans="1:173" s="1684" customFormat="1" ht="12">
      <c r="A94" s="1683" t="s">
        <v>1101</v>
      </c>
      <c r="CX94" s="1685"/>
      <c r="DX94" s="1686"/>
      <c r="EC94" s="1686"/>
      <c r="EH94" s="1686"/>
      <c r="EJ94" s="1687"/>
      <c r="EK94" s="1687"/>
      <c r="EL94" s="1687"/>
      <c r="EM94" s="1688"/>
      <c r="EO94" s="1687"/>
      <c r="EP94" s="1687"/>
      <c r="EQ94" s="1687"/>
      <c r="ER94" s="1688"/>
      <c r="ES94" s="1687"/>
      <c r="ET94" s="1687"/>
      <c r="EU94" s="1687"/>
      <c r="EV94" s="1687"/>
      <c r="EW94" s="1688"/>
      <c r="EX94" s="1687"/>
      <c r="EY94" s="1687"/>
      <c r="EZ94" s="1687"/>
      <c r="FA94" s="1687"/>
      <c r="FB94" s="1688"/>
      <c r="FC94" s="1687"/>
      <c r="FD94" s="1687"/>
      <c r="FE94" s="1687"/>
      <c r="FF94" s="1687"/>
      <c r="FG94" s="1688"/>
      <c r="FH94" s="1687"/>
      <c r="FI94" s="1687"/>
      <c r="FJ94" s="1687"/>
      <c r="FK94" s="1687"/>
      <c r="FL94" s="1688"/>
      <c r="FM94" s="2648"/>
      <c r="FN94" s="2648"/>
      <c r="FO94" s="2648"/>
      <c r="FP94" s="2648"/>
      <c r="FQ94" s="2648"/>
    </row>
    <row r="95" spans="1:173" s="31" customFormat="1" ht="12">
      <c r="A95" s="1605" t="s">
        <v>1102</v>
      </c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99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608"/>
      <c r="DY95" s="15"/>
      <c r="DZ95" s="15"/>
      <c r="EA95" s="15"/>
      <c r="EB95" s="15"/>
      <c r="EC95" s="1608"/>
      <c r="ED95" s="15">
        <f>ED99+ED81-EB81</f>
        <v>5337</v>
      </c>
      <c r="EE95" s="15">
        <f>EE99+EE81-ED81</f>
        <v>6323</v>
      </c>
      <c r="EF95" s="15">
        <f>EF99+EF81-EE81</f>
        <v>6020</v>
      </c>
      <c r="EG95" s="15">
        <f>EG99+EG81-EF81</f>
        <v>8982</v>
      </c>
      <c r="EH95" s="1608">
        <f>SUM(ED95:EG95)</f>
        <v>26662</v>
      </c>
      <c r="EI95" s="15">
        <f>EI99+EI81-EG81</f>
        <v>3073</v>
      </c>
      <c r="EJ95" s="1635">
        <f>EJ99+EJ81-EI81</f>
        <v>6019</v>
      </c>
      <c r="EK95" s="1635">
        <f>EK99+EK81-EJ81</f>
        <v>5956</v>
      </c>
      <c r="EL95" s="1635">
        <f>EL99+EL81-EK81</f>
        <v>9774</v>
      </c>
      <c r="EM95" s="1636">
        <f>SUM(EI95:EL95)</f>
        <v>24822</v>
      </c>
      <c r="EN95" s="15">
        <f>EN99+EN81-EL81</f>
        <v>5419</v>
      </c>
      <c r="EO95" s="1635">
        <f>EO99+EO81-EN81</f>
        <v>7362</v>
      </c>
      <c r="EP95" s="1635">
        <f>EP99+EP81-EO81</f>
        <v>7565</v>
      </c>
      <c r="EQ95" s="1635">
        <f>EQ99+EQ81-EP81</f>
        <v>11543</v>
      </c>
      <c r="ER95" s="1636">
        <f>SUM(EN95:EQ95)</f>
        <v>31889</v>
      </c>
      <c r="ES95" s="15">
        <f>ES99+ES81-EQ81</f>
        <v>7354</v>
      </c>
      <c r="ET95" s="15">
        <f>ET99+ET81-ES81</f>
        <v>8435</v>
      </c>
      <c r="EU95" s="15">
        <f>EU99+EU81-ET81</f>
        <v>8901</v>
      </c>
      <c r="EV95" s="1635">
        <f>EV99+EV81-EU81</f>
        <v>13663.059062376051</v>
      </c>
      <c r="EW95" s="1636">
        <f>SUM(ES95:EV95)</f>
        <v>38353.059062376051</v>
      </c>
      <c r="EX95" s="1635">
        <f>EX99+EX81-EV81</f>
        <v>8306.747520819903</v>
      </c>
      <c r="EY95" s="1635">
        <f>EY99+EY81-EX81</f>
        <v>9303.6612445888641</v>
      </c>
      <c r="EZ95" s="1635">
        <f>EZ99+EZ81-EY81</f>
        <v>10321.276061467917</v>
      </c>
      <c r="FA95" s="1635">
        <f>FA99+FA81-EZ81</f>
        <v>15341.04482584447</v>
      </c>
      <c r="FB95" s="1636">
        <f>SUM(EX95:FA95)</f>
        <v>43272.729652721158</v>
      </c>
      <c r="FC95" s="1635">
        <f>FC99+FC81-FA81</f>
        <v>9388.909984359605</v>
      </c>
      <c r="FD95" s="1635">
        <f>FD99+FD81-FC81</f>
        <v>10468.834819375776</v>
      </c>
      <c r="FE95" s="1635">
        <f>FE99+FE81-FD81</f>
        <v>11851.336254658007</v>
      </c>
      <c r="FF95" s="1635">
        <f>FF99+FF81-FE81</f>
        <v>17549.466705576568</v>
      </c>
      <c r="FG95" s="1636">
        <f>SUM(FC95:FF95)</f>
        <v>49258.547763969953</v>
      </c>
      <c r="FH95" s="1635">
        <f>FH99+FH81-FF81</f>
        <v>10435.664166060687</v>
      </c>
      <c r="FI95" s="1635">
        <f>FI99+FI81-FH81</f>
        <v>11542.110164325975</v>
      </c>
      <c r="FJ95" s="1635">
        <f>FJ99+FJ81-FI81</f>
        <v>13337.676481123221</v>
      </c>
      <c r="FK95" s="1635">
        <f>FK99+FK81-FJ81</f>
        <v>19772.893361046874</v>
      </c>
      <c r="FL95" s="1636">
        <f>SUM(FH95:FK95)</f>
        <v>55088.344172556761</v>
      </c>
      <c r="FM95" s="1638"/>
      <c r="FN95" s="1638"/>
      <c r="FO95" s="1638"/>
      <c r="FP95" s="1638"/>
      <c r="FQ95" s="1638"/>
    </row>
    <row r="96" spans="1:173" s="31" customFormat="1" ht="12">
      <c r="A96" s="1589" t="s">
        <v>163</v>
      </c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  <c r="BC96" s="92"/>
      <c r="BD96" s="92"/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  <c r="CI96" s="92"/>
      <c r="CJ96" s="92"/>
      <c r="CK96" s="92"/>
      <c r="CL96" s="92"/>
      <c r="CM96" s="92"/>
      <c r="CN96" s="92"/>
      <c r="CO96" s="92"/>
      <c r="CP96" s="92"/>
      <c r="CQ96" s="92"/>
      <c r="CR96" s="92"/>
      <c r="CS96" s="92"/>
      <c r="CT96" s="92"/>
      <c r="CU96" s="92"/>
      <c r="CV96" s="92"/>
      <c r="CW96" s="92"/>
      <c r="CX96" s="1601"/>
      <c r="CY96" s="92"/>
      <c r="CZ96" s="92"/>
      <c r="DA96" s="92"/>
      <c r="DB96" s="92"/>
      <c r="DC96" s="92"/>
      <c r="DD96" s="92"/>
      <c r="DE96" s="92"/>
      <c r="DF96" s="92"/>
      <c r="DG96" s="92"/>
      <c r="DH96" s="92"/>
      <c r="DI96" s="92"/>
      <c r="DJ96" s="92"/>
      <c r="DK96" s="92"/>
      <c r="DL96" s="92"/>
      <c r="DM96" s="92"/>
      <c r="DN96" s="92"/>
      <c r="DO96" s="92"/>
      <c r="DP96" s="92"/>
      <c r="DQ96" s="92"/>
      <c r="DR96" s="92"/>
      <c r="DS96" s="92"/>
      <c r="DT96" s="92"/>
      <c r="DU96" s="92"/>
      <c r="DV96" s="92"/>
      <c r="DW96" s="92"/>
      <c r="DX96" s="54"/>
      <c r="DY96" s="92"/>
      <c r="DZ96" s="92"/>
      <c r="EA96" s="92"/>
      <c r="EB96" s="92"/>
      <c r="EC96" s="54"/>
      <c r="ED96" s="92"/>
      <c r="EE96" s="92"/>
      <c r="EF96" s="92"/>
      <c r="EG96" s="92"/>
      <c r="EH96" s="54"/>
      <c r="EI96" s="1602">
        <f>EI95/ED95-1</f>
        <v>-0.42420835675473112</v>
      </c>
      <c r="EJ96" s="1602">
        <f>EJ95/EE95-1</f>
        <v>-4.807844377668824E-2</v>
      </c>
      <c r="EK96" s="1637">
        <f t="shared" ref="EK96:EW96" si="182">EK95/EF95-1</f>
        <v>-1.0631229235880446E-2</v>
      </c>
      <c r="EL96" s="1637">
        <f t="shared" si="182"/>
        <v>8.817635270541091E-2</v>
      </c>
      <c r="EM96" s="1634">
        <f t="shared" si="182"/>
        <v>-6.9012077113494885E-2</v>
      </c>
      <c r="EN96" s="1602">
        <f>EN95/EI95-1</f>
        <v>0.76342336479010742</v>
      </c>
      <c r="EO96" s="1602">
        <f>EO95/EJ95-1</f>
        <v>0.22312676524339592</v>
      </c>
      <c r="EP96" s="1637">
        <f t="shared" si="182"/>
        <v>0.27014775016789794</v>
      </c>
      <c r="EQ96" s="1637">
        <f t="shared" si="182"/>
        <v>0.18099038264784117</v>
      </c>
      <c r="ER96" s="1634">
        <f t="shared" si="182"/>
        <v>0.28470711465635334</v>
      </c>
      <c r="ES96" s="1602">
        <f>ES95/EN95-1</f>
        <v>0.35707695146706042</v>
      </c>
      <c r="ET96" s="1602">
        <f>ET95/EO95-1</f>
        <v>0.14574843792447711</v>
      </c>
      <c r="EU96" s="1602">
        <f>EU95/EP95-1</f>
        <v>0.17660277594183738</v>
      </c>
      <c r="EV96" s="1637">
        <f t="shared" si="182"/>
        <v>0.18366621002997929</v>
      </c>
      <c r="EW96" s="1634">
        <f t="shared" si="182"/>
        <v>0.2027049785937487</v>
      </c>
      <c r="EX96" s="1637">
        <f t="shared" ref="EX96:FG96" si="183">EX95/ES95-1</f>
        <v>0.12955500691051181</v>
      </c>
      <c r="EY96" s="1637">
        <f t="shared" si="183"/>
        <v>0.10298295727194584</v>
      </c>
      <c r="EZ96" s="1637">
        <f t="shared" si="183"/>
        <v>0.15956365144005358</v>
      </c>
      <c r="FA96" s="1637">
        <f t="shared" si="183"/>
        <v>0.12281186488383744</v>
      </c>
      <c r="FB96" s="1634">
        <f t="shared" si="183"/>
        <v>0.12827322541192676</v>
      </c>
      <c r="FC96" s="1637">
        <f t="shared" si="183"/>
        <v>0.13027511198906505</v>
      </c>
      <c r="FD96" s="1637">
        <f t="shared" si="183"/>
        <v>0.12523817711705609</v>
      </c>
      <c r="FE96" s="1637">
        <f t="shared" si="183"/>
        <v>0.14824331643470057</v>
      </c>
      <c r="FF96" s="1637">
        <f t="shared" si="183"/>
        <v>0.14395511549589202</v>
      </c>
      <c r="FG96" s="1634">
        <f t="shared" si="183"/>
        <v>0.13832772185362674</v>
      </c>
      <c r="FH96" s="1637">
        <f t="shared" ref="FH96" si="184">FH95/FC95-1</f>
        <v>0.11148836057058853</v>
      </c>
      <c r="FI96" s="1637">
        <f t="shared" ref="FI96" si="185">FI95/FD95-1</f>
        <v>0.10252099335484566</v>
      </c>
      <c r="FJ96" s="1637">
        <f t="shared" ref="FJ96" si="186">FJ95/FE95-1</f>
        <v>0.12541541261906475</v>
      </c>
      <c r="FK96" s="1637">
        <f t="shared" ref="FK96" si="187">FK95/FF95-1</f>
        <v>0.12669482741397409</v>
      </c>
      <c r="FL96" s="1634">
        <f t="shared" ref="FL96" si="188">FL95/FG95-1</f>
        <v>0.118350959848049</v>
      </c>
      <c r="FM96" s="1637"/>
      <c r="FN96" s="1637"/>
      <c r="FO96" s="1637"/>
      <c r="FP96" s="1637"/>
      <c r="FQ96" s="1637"/>
    </row>
    <row r="97" spans="1:173" s="31" customFormat="1" ht="12">
      <c r="A97" s="1589" t="s">
        <v>667</v>
      </c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W97" s="92"/>
      <c r="AX97" s="92"/>
      <c r="AY97" s="92"/>
      <c r="AZ97" s="92"/>
      <c r="BA97" s="92"/>
      <c r="BB97" s="92"/>
      <c r="BC97" s="92"/>
      <c r="BD97" s="92"/>
      <c r="BE97" s="92"/>
      <c r="BF97" s="92"/>
      <c r="BG97" s="92"/>
      <c r="BH97" s="92"/>
      <c r="BI97" s="92"/>
      <c r="BJ97" s="92"/>
      <c r="BK97" s="92"/>
      <c r="BL97" s="92"/>
      <c r="BM97" s="92"/>
      <c r="BN97" s="92"/>
      <c r="BO97" s="92"/>
      <c r="BP97" s="92"/>
      <c r="BQ97" s="92"/>
      <c r="BR97" s="92"/>
      <c r="BS97" s="92"/>
      <c r="BT97" s="92"/>
      <c r="BU97" s="92"/>
      <c r="BV97" s="92"/>
      <c r="BW97" s="92"/>
      <c r="BX97" s="92"/>
      <c r="BY97" s="92"/>
      <c r="BZ97" s="92"/>
      <c r="CA97" s="92"/>
      <c r="CB97" s="92"/>
      <c r="CC97" s="92"/>
      <c r="CD97" s="92"/>
      <c r="CE97" s="92"/>
      <c r="CF97" s="92"/>
      <c r="CG97" s="92"/>
      <c r="CH97" s="92"/>
      <c r="CI97" s="92"/>
      <c r="CJ97" s="92"/>
      <c r="CK97" s="92"/>
      <c r="CL97" s="92"/>
      <c r="CM97" s="92"/>
      <c r="CN97" s="92"/>
      <c r="CO97" s="92"/>
      <c r="CP97" s="92"/>
      <c r="CQ97" s="92"/>
      <c r="CR97" s="92"/>
      <c r="CS97" s="92"/>
      <c r="CT97" s="92"/>
      <c r="CU97" s="92"/>
      <c r="CV97" s="92"/>
      <c r="CW97" s="92"/>
      <c r="CX97" s="1601"/>
      <c r="CY97" s="92"/>
      <c r="CZ97" s="92"/>
      <c r="DA97" s="92"/>
      <c r="DB97" s="92"/>
      <c r="DC97" s="92"/>
      <c r="DD97" s="92"/>
      <c r="DE97" s="92"/>
      <c r="DF97" s="92"/>
      <c r="DG97" s="92"/>
      <c r="DH97" s="92"/>
      <c r="DI97" s="92"/>
      <c r="DJ97" s="92"/>
      <c r="DK97" s="92"/>
      <c r="DL97" s="92"/>
      <c r="DM97" s="92"/>
      <c r="DN97" s="92"/>
      <c r="DO97" s="92"/>
      <c r="DP97" s="92"/>
      <c r="DQ97" s="92"/>
      <c r="DR97" s="92"/>
      <c r="DS97" s="92"/>
      <c r="DT97" s="92"/>
      <c r="DU97" s="92"/>
      <c r="DV97" s="92"/>
      <c r="DW97" s="92"/>
      <c r="DX97" s="54"/>
      <c r="DY97" s="92"/>
      <c r="DZ97" s="92"/>
      <c r="EA97" s="92"/>
      <c r="EB97" s="92"/>
      <c r="EC97" s="54"/>
      <c r="ED97" s="92"/>
      <c r="EE97" s="1602">
        <f>EE95/ED95-1</f>
        <v>0.18474798575979023</v>
      </c>
      <c r="EF97" s="1602">
        <f>EF95/EE95-1</f>
        <v>-4.7920291001107063E-2</v>
      </c>
      <c r="EG97" s="1602">
        <f>EG95/EF95-1</f>
        <v>0.49202657807308969</v>
      </c>
      <c r="EH97" s="54"/>
      <c r="EI97" s="1602">
        <f>EI95/EG95-1</f>
        <v>-0.6578712981518593</v>
      </c>
      <c r="EJ97" s="1637">
        <f>EJ95/EI95-1</f>
        <v>0.9586723071916694</v>
      </c>
      <c r="EK97" s="1637">
        <f>EK95/EJ95-1</f>
        <v>-1.0466854959295557E-2</v>
      </c>
      <c r="EL97" s="1637">
        <f>EL95/EK95-1</f>
        <v>0.64103425117528534</v>
      </c>
      <c r="EM97" s="1633"/>
      <c r="EN97" s="1602">
        <f>EN95/EL95-1</f>
        <v>-0.44556987927153668</v>
      </c>
      <c r="EO97" s="1637">
        <f>EO95/EN95-1</f>
        <v>0.35855323860490862</v>
      </c>
      <c r="EP97" s="1637">
        <f>EP95/EO95-1</f>
        <v>2.7574028796522709E-2</v>
      </c>
      <c r="EQ97" s="1637">
        <f>EQ95/EP95-1</f>
        <v>0.52584269662921357</v>
      </c>
      <c r="ER97" s="1633"/>
      <c r="ES97" s="1602">
        <f>ES95/EQ95-1</f>
        <v>-0.36290392445638053</v>
      </c>
      <c r="ET97" s="1602">
        <f>ET95/ES95-1</f>
        <v>0.14699483274408487</v>
      </c>
      <c r="EU97" s="1602">
        <f>EU95/ET95-1</f>
        <v>5.5245998814463571E-2</v>
      </c>
      <c r="EV97" s="1637">
        <f>EV95/EU95-1</f>
        <v>0.53500270333401323</v>
      </c>
      <c r="EW97" s="1633"/>
      <c r="EX97" s="1637">
        <f>EX95/EV95-1</f>
        <v>-0.39202871897888636</v>
      </c>
      <c r="EY97" s="1637">
        <f>EY95/EX95-1</f>
        <v>0.12001252250297867</v>
      </c>
      <c r="EZ97" s="1637">
        <f>EZ95/EY95-1</f>
        <v>0.10937788792244696</v>
      </c>
      <c r="FA97" s="1637">
        <f>FA95/EZ95-1</f>
        <v>0.48635156491130904</v>
      </c>
      <c r="FB97" s="1633"/>
      <c r="FC97" s="1637">
        <f>FC95/FA95-1</f>
        <v>-0.38798757901140679</v>
      </c>
      <c r="FD97" s="1637">
        <f>FD95/FC95-1</f>
        <v>0.11502132162467738</v>
      </c>
      <c r="FE97" s="1637">
        <f>FE95/FD95-1</f>
        <v>0.13205876863426003</v>
      </c>
      <c r="FF97" s="1637">
        <f>FF95/FE95-1</f>
        <v>0.48080067331470655</v>
      </c>
      <c r="FG97" s="1633"/>
      <c r="FH97" s="1637">
        <f>FH95/FF95-1</f>
        <v>-0.40535719169491224</v>
      </c>
      <c r="FI97" s="1637">
        <f>FI95/FH95-1</f>
        <v>0.1060254508633689</v>
      </c>
      <c r="FJ97" s="1637">
        <f>FJ95/FI95-1</f>
        <v>0.15556655509552586</v>
      </c>
      <c r="FK97" s="1637">
        <f>FK95/FJ95-1</f>
        <v>0.48248410351168736</v>
      </c>
      <c r="FL97" s="1633"/>
      <c r="FM97" s="1638"/>
      <c r="FN97" s="1638"/>
      <c r="FO97" s="1638"/>
      <c r="FP97" s="1638"/>
      <c r="FQ97" s="1638"/>
    </row>
    <row r="98" spans="1:173" s="31" customFormat="1" ht="12">
      <c r="A98" s="1589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W98" s="92"/>
      <c r="AX98" s="92"/>
      <c r="AY98" s="92"/>
      <c r="AZ98" s="92"/>
      <c r="BA98" s="92"/>
      <c r="BB98" s="92"/>
      <c r="BC98" s="92"/>
      <c r="BD98" s="92"/>
      <c r="BE98" s="92"/>
      <c r="BF98" s="92"/>
      <c r="BG98" s="92"/>
      <c r="BH98" s="92"/>
      <c r="BI98" s="92"/>
      <c r="BJ98" s="92"/>
      <c r="BK98" s="92"/>
      <c r="BL98" s="92"/>
      <c r="BM98" s="92"/>
      <c r="BN98" s="92"/>
      <c r="BO98" s="92"/>
      <c r="BP98" s="92"/>
      <c r="BQ98" s="92"/>
      <c r="BR98" s="92"/>
      <c r="BS98" s="92"/>
      <c r="BT98" s="92"/>
      <c r="BU98" s="92"/>
      <c r="BV98" s="92"/>
      <c r="BW98" s="92"/>
      <c r="BX98" s="92"/>
      <c r="BY98" s="92"/>
      <c r="BZ98" s="92"/>
      <c r="CA98" s="92"/>
      <c r="CB98" s="92"/>
      <c r="CC98" s="92"/>
      <c r="CD98" s="92"/>
      <c r="CE98" s="92"/>
      <c r="CF98" s="92"/>
      <c r="CG98" s="92"/>
      <c r="CH98" s="92"/>
      <c r="CI98" s="92"/>
      <c r="CJ98" s="92"/>
      <c r="CK98" s="92"/>
      <c r="CL98" s="92"/>
      <c r="CM98" s="92"/>
      <c r="CN98" s="92"/>
      <c r="CO98" s="92"/>
      <c r="CP98" s="92"/>
      <c r="CQ98" s="92"/>
      <c r="CR98" s="92"/>
      <c r="CS98" s="92"/>
      <c r="CT98" s="92"/>
      <c r="CU98" s="92"/>
      <c r="CV98" s="92"/>
      <c r="CW98" s="92"/>
      <c r="CX98" s="1601"/>
      <c r="CY98" s="92"/>
      <c r="CZ98" s="92"/>
      <c r="DA98" s="92"/>
      <c r="DB98" s="92"/>
      <c r="DC98" s="92"/>
      <c r="DD98" s="92"/>
      <c r="DE98" s="92"/>
      <c r="DF98" s="92"/>
      <c r="DG98" s="92"/>
      <c r="DH98" s="92"/>
      <c r="DI98" s="92"/>
      <c r="DJ98" s="92"/>
      <c r="DK98" s="92"/>
      <c r="DL98" s="92"/>
      <c r="DM98" s="92"/>
      <c r="DN98" s="92"/>
      <c r="DO98" s="92"/>
      <c r="DP98" s="92"/>
      <c r="DQ98" s="92"/>
      <c r="DR98" s="92"/>
      <c r="DS98" s="92"/>
      <c r="DT98" s="92"/>
      <c r="DU98" s="92"/>
      <c r="DV98" s="92"/>
      <c r="DW98" s="92"/>
      <c r="DX98" s="54"/>
      <c r="DY98" s="92"/>
      <c r="DZ98" s="92"/>
      <c r="EA98" s="92"/>
      <c r="EB98" s="92"/>
      <c r="EC98" s="54"/>
      <c r="ED98" s="92"/>
      <c r="EE98" s="92"/>
      <c r="EF98" s="92"/>
      <c r="EG98" s="92"/>
      <c r="EH98" s="54"/>
      <c r="EI98" s="92"/>
      <c r="EJ98" s="1638"/>
      <c r="EK98" s="1638"/>
      <c r="EL98" s="1638"/>
      <c r="EM98" s="1633"/>
      <c r="EN98" s="92"/>
      <c r="EO98" s="1638"/>
      <c r="EP98" s="1638"/>
      <c r="EQ98" s="1638"/>
      <c r="ER98" s="1633"/>
      <c r="ES98" s="92"/>
      <c r="ET98" s="92"/>
      <c r="EU98" s="92"/>
      <c r="EV98" s="1638"/>
      <c r="EW98" s="1633"/>
      <c r="EX98" s="1638"/>
      <c r="EY98" s="1638"/>
      <c r="EZ98" s="1638"/>
      <c r="FA98" s="1638"/>
      <c r="FB98" s="1633"/>
      <c r="FC98" s="1638"/>
      <c r="FD98" s="1638"/>
      <c r="FE98" s="1638"/>
      <c r="FF98" s="1638"/>
      <c r="FG98" s="1633"/>
      <c r="FH98" s="1638"/>
      <c r="FI98" s="1638"/>
      <c r="FJ98" s="1638"/>
      <c r="FK98" s="1638"/>
      <c r="FL98" s="1633"/>
      <c r="FM98" s="1638"/>
      <c r="FN98" s="1638"/>
      <c r="FO98" s="1638"/>
      <c r="FP98" s="1638"/>
      <c r="FQ98" s="1638"/>
    </row>
    <row r="99" spans="1:173" s="31" customFormat="1" ht="12">
      <c r="A99" s="1606" t="s">
        <v>1044</v>
      </c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  <c r="CI99" s="92"/>
      <c r="CJ99" s="92"/>
      <c r="CK99" s="92"/>
      <c r="CL99" s="92"/>
      <c r="CM99" s="92"/>
      <c r="CN99" s="92"/>
      <c r="CO99" s="92"/>
      <c r="CP99" s="92"/>
      <c r="CQ99" s="92"/>
      <c r="CR99" s="92"/>
      <c r="CS99" s="92"/>
      <c r="CT99" s="92"/>
      <c r="CU99" s="92"/>
      <c r="CV99" s="92"/>
      <c r="CW99" s="92"/>
      <c r="CX99" s="1601"/>
      <c r="CY99" s="92"/>
      <c r="CZ99" s="92"/>
      <c r="DA99" s="92"/>
      <c r="DB99" s="92"/>
      <c r="DC99" s="92"/>
      <c r="DD99" s="92"/>
      <c r="DE99" s="92"/>
      <c r="DF99" s="92"/>
      <c r="DG99" s="92"/>
      <c r="DH99" s="92"/>
      <c r="DI99" s="92"/>
      <c r="DJ99" s="92"/>
      <c r="DK99" s="92"/>
      <c r="DL99" s="92"/>
      <c r="DM99" s="92"/>
      <c r="DN99" s="92"/>
      <c r="DO99" s="92"/>
      <c r="DP99" s="92"/>
      <c r="DQ99" s="92"/>
      <c r="DR99" s="92"/>
      <c r="DS99" s="92"/>
      <c r="DT99" s="92"/>
      <c r="DU99" s="92"/>
      <c r="DV99" s="92"/>
      <c r="DW99" s="92"/>
      <c r="DX99" s="54">
        <f>'Rev Overview'!BJ10</f>
        <v>25776</v>
      </c>
      <c r="DY99" s="92">
        <f>'Rev Overview'!BK10</f>
        <v>6183</v>
      </c>
      <c r="DZ99" s="92">
        <f>'Rev Overview'!BL10</f>
        <v>6943</v>
      </c>
      <c r="EA99" s="92">
        <f>'Rev Overview'!BM10</f>
        <v>6768</v>
      </c>
      <c r="EB99" s="92">
        <f>'Rev Overview'!BN10</f>
        <v>7078</v>
      </c>
      <c r="EC99" s="54">
        <f>'Rev Overview'!BO10</f>
        <v>26972</v>
      </c>
      <c r="ED99" s="92">
        <f>'Rev Overview'!BP10</f>
        <v>6490</v>
      </c>
      <c r="EE99" s="92">
        <f>'Rev Overview'!BQ10</f>
        <v>6822</v>
      </c>
      <c r="EF99" s="92">
        <f>'Rev Overview'!BR10</f>
        <v>6457</v>
      </c>
      <c r="EG99" s="92">
        <f>'Rev Overview'!BS10</f>
        <v>6662</v>
      </c>
      <c r="EH99" s="54">
        <f>'Rev Overview'!BT10</f>
        <v>26431</v>
      </c>
      <c r="EI99" s="92">
        <f>'Rev Overview'!BU10</f>
        <v>5998</v>
      </c>
      <c r="EJ99" s="1638">
        <f>'Rev Overview'!BV10</f>
        <v>6480</v>
      </c>
      <c r="EK99" s="1638">
        <f>'Rev Overview'!BW10</f>
        <v>6207</v>
      </c>
      <c r="EL99" s="1638">
        <f>'Rev Overview'!BX10</f>
        <v>7107</v>
      </c>
      <c r="EM99" s="1633">
        <f>'Rev Overview'!BY10</f>
        <v>25792</v>
      </c>
      <c r="EN99" s="92">
        <f>'Rev Overview'!BZ10</f>
        <v>6436</v>
      </c>
      <c r="EO99" s="1638">
        <f>'Rev Overview'!CA10</f>
        <v>7179</v>
      </c>
      <c r="EP99" s="1638">
        <f>'Rev Overview'!CB10</f>
        <v>7707</v>
      </c>
      <c r="EQ99" s="1638">
        <f>'Rev Overview'!CC10</f>
        <v>8548</v>
      </c>
      <c r="ER99" s="1633">
        <f>'Rev Overview'!CD10</f>
        <v>29870</v>
      </c>
      <c r="ES99" s="92">
        <f>'Rev Overview'!CE10</f>
        <v>8238</v>
      </c>
      <c r="ET99" s="92">
        <f>'Rev Overview'!CF10</f>
        <v>8953</v>
      </c>
      <c r="EU99" s="92">
        <f>'Rev Overview'!CG10</f>
        <v>9006</v>
      </c>
      <c r="EV99" s="1638">
        <f>'Rev Overview'!CH10</f>
        <v>9740.5372326124998</v>
      </c>
      <c r="EW99" s="1633">
        <f>'Rev Overview'!CI10</f>
        <v>35937.5372326125</v>
      </c>
      <c r="EX99" s="1638">
        <f>'Rev Overview'!CJ10</f>
        <v>9433.3785286372186</v>
      </c>
      <c r="EY99" s="1638">
        <f>'Rev Overview'!CK10</f>
        <v>10015.188066799999</v>
      </c>
      <c r="EZ99" s="1638">
        <f>'Rev Overview'!CL10</f>
        <v>10426.458287359999</v>
      </c>
      <c r="FA99" s="1638">
        <f>'Rev Overview'!CM10</f>
        <v>10973.02295279825</v>
      </c>
      <c r="FB99" s="1633">
        <f>'Rev Overview'!CN10</f>
        <v>40848.047835595469</v>
      </c>
      <c r="FC99" s="1638">
        <f>'Rev Overview'!CO10</f>
        <v>10719.815935344199</v>
      </c>
      <c r="FD99" s="1638">
        <f>'Rev Overview'!CP10</f>
        <v>11309.372027561249</v>
      </c>
      <c r="FE99" s="1638">
        <f>'Rev Overview'!CQ10</f>
        <v>11975.589581085424</v>
      </c>
      <c r="FF99" s="1638">
        <f>'Rev Overview'!CR10</f>
        <v>12394.235327120305</v>
      </c>
      <c r="FG99" s="1633">
        <f>'Rev Overview'!CS10</f>
        <v>46399.012871111176</v>
      </c>
      <c r="FH99" s="1638">
        <f>'Rev Overview'!CT10</f>
        <v>12007.883142882451</v>
      </c>
      <c r="FI99" s="1638">
        <f>'Rev Overview'!CU10</f>
        <v>12535.049258524437</v>
      </c>
      <c r="FJ99" s="1638">
        <f>'Rev Overview'!CV10</f>
        <v>13484.458782004735</v>
      </c>
      <c r="FK99" s="1638">
        <f>'Rev Overview'!CW10</f>
        <v>13687.792269805979</v>
      </c>
      <c r="FL99" s="1633">
        <f>'Rev Overview'!CX10</f>
        <v>51715.1834532176</v>
      </c>
      <c r="FM99" s="1638"/>
      <c r="FN99" s="1638"/>
      <c r="FO99" s="1638"/>
      <c r="FP99" s="1638"/>
      <c r="FQ99" s="1638"/>
    </row>
    <row r="100" spans="1:173" s="31" customFormat="1" ht="12">
      <c r="A100" s="1589" t="s">
        <v>163</v>
      </c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W100" s="92"/>
      <c r="AX100" s="92"/>
      <c r="AY100" s="92"/>
      <c r="AZ100" s="92"/>
      <c r="BA100" s="92"/>
      <c r="BB100" s="92"/>
      <c r="BC100" s="92"/>
      <c r="BD100" s="92"/>
      <c r="BE100" s="92"/>
      <c r="BF100" s="92"/>
      <c r="BG100" s="92"/>
      <c r="BH100" s="92"/>
      <c r="BI100" s="92"/>
      <c r="BJ100" s="92"/>
      <c r="BK100" s="92"/>
      <c r="BL100" s="92"/>
      <c r="BM100" s="92"/>
      <c r="BN100" s="92"/>
      <c r="BO100" s="92"/>
      <c r="BP100" s="92"/>
      <c r="BQ100" s="92"/>
      <c r="BR100" s="92"/>
      <c r="BS100" s="92"/>
      <c r="BT100" s="92"/>
      <c r="BU100" s="92"/>
      <c r="BV100" s="92"/>
      <c r="BW100" s="92"/>
      <c r="BX100" s="92"/>
      <c r="BY100" s="92"/>
      <c r="BZ100" s="92"/>
      <c r="CA100" s="92"/>
      <c r="CB100" s="92"/>
      <c r="CC100" s="92"/>
      <c r="CD100" s="92"/>
      <c r="CE100" s="92"/>
      <c r="CF100" s="92"/>
      <c r="CG100" s="92"/>
      <c r="CH100" s="92"/>
      <c r="CI100" s="92"/>
      <c r="CJ100" s="92"/>
      <c r="CK100" s="92"/>
      <c r="CL100" s="92"/>
      <c r="CM100" s="92"/>
      <c r="CN100" s="92"/>
      <c r="CO100" s="92"/>
      <c r="CP100" s="92"/>
      <c r="CQ100" s="92"/>
      <c r="CR100" s="92"/>
      <c r="CS100" s="92"/>
      <c r="CT100" s="92"/>
      <c r="CU100" s="92"/>
      <c r="CV100" s="92"/>
      <c r="CW100" s="92"/>
      <c r="CX100" s="1601"/>
      <c r="CY100" s="92"/>
      <c r="CZ100" s="92"/>
      <c r="DA100" s="92"/>
      <c r="DB100" s="92"/>
      <c r="DC100" s="92"/>
      <c r="DD100" s="92"/>
      <c r="DE100" s="92"/>
      <c r="DF100" s="92"/>
      <c r="DG100" s="92"/>
      <c r="DH100" s="92"/>
      <c r="DI100" s="92"/>
      <c r="DJ100" s="92"/>
      <c r="DK100" s="92"/>
      <c r="DL100" s="92"/>
      <c r="DM100" s="92"/>
      <c r="DN100" s="92"/>
      <c r="DO100" s="92"/>
      <c r="DP100" s="92"/>
      <c r="DQ100" s="92"/>
      <c r="DR100" s="92"/>
      <c r="DS100" s="92"/>
      <c r="DT100" s="92"/>
      <c r="DU100" s="92"/>
      <c r="DV100" s="92"/>
      <c r="DW100" s="92"/>
      <c r="DX100" s="54"/>
      <c r="DY100" s="92"/>
      <c r="DZ100" s="92"/>
      <c r="EA100" s="92"/>
      <c r="EB100" s="92"/>
      <c r="EC100" s="1622">
        <f>'Rev Overview'!BO11</f>
        <v>4.639975170701427E-2</v>
      </c>
      <c r="ED100" s="1602">
        <f>'Rev Overview'!BP11</f>
        <v>4.9652272359695937E-2</v>
      </c>
      <c r="EE100" s="1602">
        <f>'Rev Overview'!BQ11</f>
        <v>-1.7427624945988818E-2</v>
      </c>
      <c r="EF100" s="1602">
        <f>'Rev Overview'!BR11</f>
        <v>-4.5951536643025981E-2</v>
      </c>
      <c r="EG100" s="1602">
        <f>'Rev Overview'!BS11</f>
        <v>-5.8773664877083909E-2</v>
      </c>
      <c r="EH100" s="1622">
        <f>'Rev Overview'!BT11</f>
        <v>-2.0057837757674668E-2</v>
      </c>
      <c r="EI100" s="1602">
        <f>'Rev Overview'!BU11</f>
        <v>0</v>
      </c>
      <c r="EJ100" s="1637">
        <f>'Rev Overview'!BV11</f>
        <v>0</v>
      </c>
      <c r="EK100" s="1637">
        <f>'Rev Overview'!BW11</f>
        <v>0</v>
      </c>
      <c r="EL100" s="1637">
        <f>'Rev Overview'!BX11</f>
        <v>0</v>
      </c>
      <c r="EM100" s="1634">
        <f>'Rev Overview'!BY11</f>
        <v>0</v>
      </c>
      <c r="EN100" s="1602">
        <f>'Rev Overview'!BZ11</f>
        <v>7.3024341447148977E-2</v>
      </c>
      <c r="EO100" s="1637">
        <f>'Rev Overview'!CA11</f>
        <v>0.10787037037037028</v>
      </c>
      <c r="EP100" s="1637">
        <f>'Rev Overview'!CB11</f>
        <v>0.24166263895601747</v>
      </c>
      <c r="EQ100" s="1637">
        <f>'Rev Overview'!CC11</f>
        <v>0.20275784437878142</v>
      </c>
      <c r="ER100" s="1634">
        <f>'Rev Overview'!CD11</f>
        <v>0.15811104218362293</v>
      </c>
      <c r="ES100" s="1602">
        <f>'Rev Overview'!CE11</f>
        <v>0.27998756991920448</v>
      </c>
      <c r="ET100" s="1602">
        <f>'Rev Overview'!CF11</f>
        <v>0.24710962529600233</v>
      </c>
      <c r="EU100" s="1602">
        <f>'Rev Overview'!CG11</f>
        <v>0.1685480731802258</v>
      </c>
      <c r="EV100" s="1637">
        <f>'Rev Overview'!CH11</f>
        <v>0.13951067297759701</v>
      </c>
      <c r="EW100" s="1634">
        <f>'Rev Overview'!CI11</f>
        <v>0.20313147748953808</v>
      </c>
      <c r="EX100" s="1637">
        <f>'Rev Overview'!CJ11</f>
        <v>0.1451054295505243</v>
      </c>
      <c r="EY100" s="1637">
        <f>'Rev Overview'!CK11</f>
        <v>0.11864046317435495</v>
      </c>
      <c r="EZ100" s="1637">
        <f>'Rev Overview'!CL11</f>
        <v>0.15772354956251378</v>
      </c>
      <c r="FA100" s="1637">
        <f>'Rev Overview'!CM11</f>
        <v>0.12653159581991424</v>
      </c>
      <c r="FB100" s="1634">
        <f>'Rev Overview'!CN11</f>
        <v>0.13664015347514669</v>
      </c>
      <c r="FC100" s="1637">
        <f>'Rev Overview'!CO11</f>
        <v>0.13637080318591055</v>
      </c>
      <c r="FD100" s="1637">
        <f>'Rev Overview'!CP11</f>
        <v>0.12922213263787063</v>
      </c>
      <c r="FE100" s="1637">
        <f>'Rev Overview'!CQ11</f>
        <v>0.14857694252740039</v>
      </c>
      <c r="FF100" s="1637">
        <f>'Rev Overview'!CR11</f>
        <v>0.1295187643765594</v>
      </c>
      <c r="FG100" s="1634">
        <f>'Rev Overview'!CS11</f>
        <v>0.13589303111514983</v>
      </c>
      <c r="FH100" s="1637">
        <f>'Rev Overview'!CT11</f>
        <v>0.120157586222295</v>
      </c>
      <c r="FI100" s="1637">
        <f>'Rev Overview'!CU11</f>
        <v>0.10837712544747657</v>
      </c>
      <c r="FJ100" s="1637">
        <f>'Rev Overview'!CV11</f>
        <v>0.12599540011812538</v>
      </c>
      <c r="FK100" s="1637">
        <f>'Rev Overview'!CW11</f>
        <v>0.10436762805811761</v>
      </c>
      <c r="FL100" s="1634">
        <f>'Rev Overview'!CX11</f>
        <v>0.11457507936373279</v>
      </c>
      <c r="FM100" s="1637"/>
      <c r="FN100" s="1637"/>
      <c r="FO100" s="1637"/>
      <c r="FP100" s="1637"/>
      <c r="FQ100" s="1637"/>
    </row>
    <row r="101" spans="1:173" s="31" customFormat="1" ht="12">
      <c r="A101" s="1589" t="s">
        <v>667</v>
      </c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W101" s="92"/>
      <c r="AX101" s="92"/>
      <c r="AY101" s="92"/>
      <c r="AZ101" s="92"/>
      <c r="BA101" s="92"/>
      <c r="BB101" s="92"/>
      <c r="BC101" s="92"/>
      <c r="BD101" s="92"/>
      <c r="BE101" s="92"/>
      <c r="BF101" s="92"/>
      <c r="BG101" s="92"/>
      <c r="BH101" s="92"/>
      <c r="BI101" s="92"/>
      <c r="BJ101" s="92"/>
      <c r="BK101" s="92"/>
      <c r="BL101" s="92"/>
      <c r="BM101" s="92"/>
      <c r="BN101" s="92"/>
      <c r="BO101" s="92"/>
      <c r="BP101" s="92"/>
      <c r="BQ101" s="92"/>
      <c r="BR101" s="92"/>
      <c r="BS101" s="92"/>
      <c r="BT101" s="92"/>
      <c r="BU101" s="92"/>
      <c r="BV101" s="92"/>
      <c r="BW101" s="92"/>
      <c r="BX101" s="92"/>
      <c r="BY101" s="92"/>
      <c r="BZ101" s="92"/>
      <c r="CA101" s="92"/>
      <c r="CB101" s="92"/>
      <c r="CC101" s="92"/>
      <c r="CD101" s="92"/>
      <c r="CE101" s="92"/>
      <c r="CF101" s="92"/>
      <c r="CG101" s="92"/>
      <c r="CH101" s="92"/>
      <c r="CI101" s="92"/>
      <c r="CJ101" s="92"/>
      <c r="CK101" s="92"/>
      <c r="CL101" s="92"/>
      <c r="CM101" s="92"/>
      <c r="CN101" s="92"/>
      <c r="CO101" s="92"/>
      <c r="CP101" s="92"/>
      <c r="CQ101" s="92"/>
      <c r="CR101" s="92"/>
      <c r="CS101" s="92"/>
      <c r="CT101" s="92"/>
      <c r="CU101" s="92"/>
      <c r="CV101" s="92"/>
      <c r="CW101" s="92"/>
      <c r="CX101" s="1601"/>
      <c r="CY101" s="92"/>
      <c r="CZ101" s="92"/>
      <c r="DA101" s="92"/>
      <c r="DB101" s="92"/>
      <c r="DC101" s="92"/>
      <c r="DD101" s="92"/>
      <c r="DE101" s="92"/>
      <c r="DF101" s="92"/>
      <c r="DG101" s="92"/>
      <c r="DH101" s="92"/>
      <c r="DI101" s="92"/>
      <c r="DJ101" s="92"/>
      <c r="DK101" s="92"/>
      <c r="DL101" s="92"/>
      <c r="DM101" s="92"/>
      <c r="DN101" s="92"/>
      <c r="DO101" s="92"/>
      <c r="DP101" s="92"/>
      <c r="DQ101" s="92"/>
      <c r="DR101" s="92"/>
      <c r="DS101" s="92"/>
      <c r="DT101" s="92"/>
      <c r="DU101" s="92"/>
      <c r="DV101" s="92"/>
      <c r="DW101" s="92"/>
      <c r="DX101" s="54"/>
      <c r="DY101" s="92"/>
      <c r="DZ101" s="1602">
        <f>'Rev Overview'!BL13</f>
        <v>0.12291767750283045</v>
      </c>
      <c r="EA101" s="1602">
        <f>'Rev Overview'!BM13</f>
        <v>-2.5205242690479635E-2</v>
      </c>
      <c r="EB101" s="1602">
        <f>'Rev Overview'!BN13</f>
        <v>4.5803782505910107E-2</v>
      </c>
      <c r="EC101" s="1622"/>
      <c r="ED101" s="1602">
        <f>'Rev Overview'!BP13</f>
        <v>-8.3074314778185943E-2</v>
      </c>
      <c r="EE101" s="1602">
        <f>'Rev Overview'!BQ13</f>
        <v>5.115562403697993E-2</v>
      </c>
      <c r="EF101" s="1602">
        <f>'Rev Overview'!BR13</f>
        <v>-5.3503371445323911E-2</v>
      </c>
      <c r="EG101" s="1602">
        <f>'Rev Overview'!BS13</f>
        <v>3.1748490010840902E-2</v>
      </c>
      <c r="EH101" s="1622"/>
      <c r="EI101" s="1602">
        <f>'Rev Overview'!BU13</f>
        <v>0</v>
      </c>
      <c r="EJ101" s="1637">
        <f>'Rev Overview'!BV13</f>
        <v>8.036012004001325E-2</v>
      </c>
      <c r="EK101" s="1637">
        <f>'Rev Overview'!BW13</f>
        <v>-4.2129629629629628E-2</v>
      </c>
      <c r="EL101" s="1637">
        <f>'Rev Overview'!BX13</f>
        <v>0.14499758337361035</v>
      </c>
      <c r="EM101" s="1634"/>
      <c r="EN101" s="1602">
        <f>'Rev Overview'!BZ13</f>
        <v>-9.4413958069508919E-2</v>
      </c>
      <c r="EO101" s="1637">
        <f>'Rev Overview'!CA13</f>
        <v>0.11544437538843999</v>
      </c>
      <c r="EP101" s="1637">
        <f>'Rev Overview'!CB13</f>
        <v>7.3547847889678275E-2</v>
      </c>
      <c r="EQ101" s="1637">
        <f>'Rev Overview'!CC13</f>
        <v>0.10912157778642784</v>
      </c>
      <c r="ER101" s="1634"/>
      <c r="ES101" s="1602">
        <f>'Rev Overview'!CE13</f>
        <v>-3.6265793167992499E-2</v>
      </c>
      <c r="ET101" s="1602">
        <f>'Rev Overview'!CF13</f>
        <v>8.6792910900703957E-2</v>
      </c>
      <c r="EU101" s="1602">
        <f>'Rev Overview'!CG13</f>
        <v>5.9198034178487013E-3</v>
      </c>
      <c r="EV101" s="1637">
        <f>'Rev Overview'!CH13</f>
        <v>8.1560874151954232E-2</v>
      </c>
      <c r="EW101" s="1634"/>
      <c r="EX101" s="1637">
        <f>'Rev Overview'!CJ13</f>
        <v>-3.1534061894130105E-2</v>
      </c>
      <c r="EY101" s="1637">
        <f>'Rev Overview'!CK13</f>
        <v>6.1675627284176304E-2</v>
      </c>
      <c r="EZ101" s="1637">
        <f>'Rev Overview'!CL13</f>
        <v>4.1064652787035083E-2</v>
      </c>
      <c r="FA101" s="1637">
        <f>'Rev Overview'!CM13</f>
        <v>5.2420932436938017E-2</v>
      </c>
      <c r="FB101" s="1634"/>
      <c r="FC101" s="1637">
        <f>'Rev Overview'!CO13</f>
        <v>-2.3075411264812939E-2</v>
      </c>
      <c r="FD101" s="1637">
        <f>'Rev Overview'!CP13</f>
        <v>5.4996848432185219E-2</v>
      </c>
      <c r="FE101" s="1637">
        <f>'Rev Overview'!CQ13</f>
        <v>5.8908447958081478E-2</v>
      </c>
      <c r="FF101" s="1637">
        <f>'Rev Overview'!CR13</f>
        <v>3.4958257645711477E-2</v>
      </c>
      <c r="FG101" s="1634"/>
      <c r="FH101" s="1637">
        <f>'Rev Overview'!CT13</f>
        <v>-3.1171925822036095E-2</v>
      </c>
      <c r="FI101" s="1637">
        <f>'Rev Overview'!CU13</f>
        <v>4.3901669375793206E-2</v>
      </c>
      <c r="FJ101" s="1637">
        <f>'Rev Overview'!CV13</f>
        <v>7.5740390316747508E-2</v>
      </c>
      <c r="FK101" s="1637">
        <f>'Rev Overview'!CW13</f>
        <v>1.5079098915901312E-2</v>
      </c>
      <c r="FL101" s="1634"/>
      <c r="FM101" s="1637"/>
      <c r="FN101" s="1637"/>
      <c r="FO101" s="1637"/>
      <c r="FP101" s="1637"/>
      <c r="FQ101" s="1637"/>
    </row>
    <row r="102" spans="1:173" s="31" customFormat="1" ht="12">
      <c r="A102" s="1594" t="s">
        <v>1031</v>
      </c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19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603"/>
      <c r="CY102" s="19"/>
      <c r="CZ102" s="19"/>
      <c r="DA102" s="19"/>
      <c r="DB102" s="19"/>
      <c r="DC102" s="19"/>
      <c r="DD102" s="19"/>
      <c r="DE102" s="19"/>
      <c r="DF102" s="19"/>
      <c r="DG102" s="19"/>
      <c r="DH102" s="19"/>
      <c r="DI102" s="19"/>
      <c r="DJ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57"/>
      <c r="DY102" s="19"/>
      <c r="DZ102" s="19"/>
      <c r="EA102" s="19"/>
      <c r="EB102" s="19"/>
      <c r="EC102" s="57"/>
      <c r="ED102" s="19"/>
      <c r="EE102" s="19"/>
      <c r="EF102" s="19"/>
      <c r="EG102" s="19"/>
      <c r="EH102" s="57"/>
      <c r="EI102" s="1604">
        <f>'Rev Overview'!BU12</f>
        <v>-8.4745762711864181E-3</v>
      </c>
      <c r="EJ102" s="1639">
        <f>'Rev Overview'!BV12</f>
        <v>1.4218704192318965E-2</v>
      </c>
      <c r="EK102" s="1639">
        <f>'Rev Overview'!BW12</f>
        <v>1.3783490785194363E-2</v>
      </c>
      <c r="EL102" s="1639">
        <f>'Rev Overview'!BX12</f>
        <v>0.1041729210447313</v>
      </c>
      <c r="EM102" s="1640"/>
      <c r="EN102" s="1604">
        <f>'Rev Overview'!BZ12</f>
        <v>9.3864621540513449E-2</v>
      </c>
      <c r="EO102" s="1639">
        <f>'Rev Overview'!CA12</f>
        <v>0.12453703703703711</v>
      </c>
      <c r="EP102" s="1639">
        <f>'Rev Overview'!CB12</f>
        <v>0.25487352988561307</v>
      </c>
      <c r="EQ102" s="1639">
        <f>'Rev Overview'!CC12</f>
        <v>0.21654706627268894</v>
      </c>
      <c r="ER102" s="1640"/>
      <c r="ES102" s="1604">
        <f>'Rev Overview'!CE12</f>
        <v>0.27625854568054686</v>
      </c>
      <c r="ET102" s="1604">
        <f>'Rev Overview'!CF12</f>
        <v>0.24237358963643962</v>
      </c>
      <c r="EU102" s="1604">
        <f>'Rev Overview'!CG12</f>
        <v>0.14350590372388727</v>
      </c>
      <c r="EV102" s="1641"/>
      <c r="EW102" s="1640"/>
      <c r="EX102" s="1641"/>
      <c r="EY102" s="1641"/>
      <c r="EZ102" s="1641"/>
      <c r="FA102" s="1641"/>
      <c r="FB102" s="1640"/>
      <c r="FC102" s="1641"/>
      <c r="FD102" s="1641"/>
      <c r="FE102" s="1641"/>
      <c r="FF102" s="1641"/>
      <c r="FG102" s="1640"/>
      <c r="FH102" s="1641"/>
      <c r="FI102" s="1641"/>
      <c r="FJ102" s="1641"/>
      <c r="FK102" s="1641"/>
      <c r="FL102" s="1640"/>
      <c r="FM102" s="1638"/>
      <c r="FN102" s="1638"/>
      <c r="FO102" s="1638"/>
      <c r="FP102" s="1638"/>
      <c r="FQ102" s="1638"/>
    </row>
    <row r="103" spans="1:173" s="31" customFormat="1" ht="12">
      <c r="CX103" s="1141"/>
      <c r="DX103" s="54"/>
      <c r="EC103" s="54"/>
      <c r="EH103" s="54"/>
      <c r="EJ103" s="1584"/>
      <c r="EK103" s="1584"/>
      <c r="EL103" s="1584"/>
      <c r="EM103" s="1633"/>
      <c r="EO103" s="1584"/>
      <c r="EP103" s="1584"/>
      <c r="EQ103" s="1584"/>
      <c r="ER103" s="1633"/>
      <c r="EV103" s="1584"/>
      <c r="EW103" s="1633"/>
      <c r="EX103" s="1584"/>
      <c r="EY103" s="1584"/>
      <c r="EZ103" s="1584"/>
      <c r="FA103" s="1584"/>
      <c r="FB103" s="1633"/>
      <c r="FC103" s="1584"/>
      <c r="FD103" s="1584"/>
      <c r="FE103" s="1584"/>
      <c r="FF103" s="1584"/>
      <c r="FG103" s="1633"/>
      <c r="FH103" s="1584"/>
      <c r="FI103" s="1584"/>
      <c r="FJ103" s="1584"/>
      <c r="FK103" s="1584"/>
      <c r="FL103" s="1633"/>
      <c r="FM103" s="1638"/>
      <c r="FN103" s="1638"/>
      <c r="FO103" s="1638"/>
      <c r="FP103" s="1638"/>
      <c r="FQ103" s="1638"/>
    </row>
    <row r="104" spans="1:173" s="31" customFormat="1" ht="12">
      <c r="A104" s="1605" t="s">
        <v>1103</v>
      </c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99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608"/>
      <c r="DY104" s="15"/>
      <c r="DZ104" s="15"/>
      <c r="EA104" s="15"/>
      <c r="EB104" s="15"/>
      <c r="EC104" s="1608"/>
      <c r="ED104" s="15">
        <f>ED108+ED82-EB82</f>
        <v>4360</v>
      </c>
      <c r="EE104" s="15">
        <f>EE108+EE82-ED82</f>
        <v>5717</v>
      </c>
      <c r="EF104" s="15">
        <f>EF108+EF82-EE82</f>
        <v>5510</v>
      </c>
      <c r="EG104" s="15">
        <f>EG108+EG82-EF82</f>
        <v>8662</v>
      </c>
      <c r="EH104" s="1608">
        <f>SUM(ED104:EG104)</f>
        <v>24249</v>
      </c>
      <c r="EI104" s="15">
        <f>EI108+EI82-EG82</f>
        <v>2344</v>
      </c>
      <c r="EJ104" s="1635">
        <f>EJ108+EJ82-EI82</f>
        <v>5855</v>
      </c>
      <c r="EK104" s="1635">
        <f>EK108+EK82-EJ82</f>
        <v>5900</v>
      </c>
      <c r="EL104" s="1635">
        <f>EL108+EL82-EK82</f>
        <v>9420</v>
      </c>
      <c r="EM104" s="1636">
        <f>SUM(EI104:EL104)</f>
        <v>23519</v>
      </c>
      <c r="EN104" s="15">
        <f>EN108+EN82-EL82</f>
        <v>5241</v>
      </c>
      <c r="EO104" s="1635">
        <f>EO108+EO82-EN82</f>
        <v>6377</v>
      </c>
      <c r="EP104" s="1635">
        <f>EP108+EP82-EO82</f>
        <v>6789</v>
      </c>
      <c r="EQ104" s="1635">
        <f>EQ108+EQ82-EP82</f>
        <v>11239</v>
      </c>
      <c r="ER104" s="1636">
        <f>SUM(EN104:EQ104)</f>
        <v>29646</v>
      </c>
      <c r="ES104" s="15">
        <f>ES108+ES82-EQ82</f>
        <v>5926</v>
      </c>
      <c r="ET104" s="15">
        <f>ET108+ET82-ES82</f>
        <v>7398</v>
      </c>
      <c r="EU104" s="15">
        <f>EU108+EU82-ET82</f>
        <v>8124</v>
      </c>
      <c r="EV104" s="1635">
        <f>EV108+EV82-EU82</f>
        <v>12425.658927046588</v>
      </c>
      <c r="EW104" s="1636">
        <f>SUM(ES104:EV104)</f>
        <v>33873.658927046592</v>
      </c>
      <c r="EX104" s="1635">
        <f>EX108+EX82-EV82</f>
        <v>7280.1922017665711</v>
      </c>
      <c r="EY104" s="1635">
        <f>EY108+EY82-EX82</f>
        <v>8542.6307918296079</v>
      </c>
      <c r="EZ104" s="1635">
        <f>EZ108+EZ82-EY82</f>
        <v>9381.0305435748141</v>
      </c>
      <c r="FA104" s="1635">
        <f>FA108+FA82-EZ82</f>
        <v>14929.754375303322</v>
      </c>
      <c r="FB104" s="1636">
        <f>SUM(EX104:FA104)</f>
        <v>40133.607912474319</v>
      </c>
      <c r="FC104" s="1635">
        <f>FC108+FC82-FA82</f>
        <v>8992.249059242029</v>
      </c>
      <c r="FD104" s="1635">
        <f>FD108+FD82-FC82</f>
        <v>10318.434477502331</v>
      </c>
      <c r="FE104" s="1635">
        <f>FE108+FE82-FD82</f>
        <v>11550.861128835128</v>
      </c>
      <c r="FF104" s="1635">
        <f>FF108+FF82-FE82</f>
        <v>18265.497828193787</v>
      </c>
      <c r="FG104" s="1636">
        <f>SUM(FC104:FF104)</f>
        <v>49127.042493773275</v>
      </c>
      <c r="FH104" s="1635">
        <f>FH108+FH82-FF82</f>
        <v>11067.702799425195</v>
      </c>
      <c r="FI104" s="1635">
        <f>FI108+FI82-FH82</f>
        <v>12317.966591813518</v>
      </c>
      <c r="FJ104" s="1635">
        <f>FJ108+FJ82-FI82</f>
        <v>13826.70042941178</v>
      </c>
      <c r="FK104" s="1635">
        <f>FK108+FK82-FJ82</f>
        <v>21862.88782973936</v>
      </c>
      <c r="FL104" s="1636">
        <f>SUM(FH104:FK104)</f>
        <v>59075.257650389853</v>
      </c>
      <c r="FM104" s="1638"/>
      <c r="FN104" s="1638"/>
      <c r="FO104" s="1638"/>
      <c r="FP104" s="1638"/>
      <c r="FQ104" s="1638"/>
    </row>
    <row r="105" spans="1:173" s="31" customFormat="1" ht="12">
      <c r="A105" s="1589" t="s">
        <v>163</v>
      </c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C105" s="92"/>
      <c r="BD105" s="92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  <c r="CI105" s="92"/>
      <c r="CJ105" s="92"/>
      <c r="CK105" s="92"/>
      <c r="CL105" s="92"/>
      <c r="CM105" s="92"/>
      <c r="CN105" s="92"/>
      <c r="CO105" s="92"/>
      <c r="CP105" s="92"/>
      <c r="CQ105" s="92"/>
      <c r="CR105" s="92"/>
      <c r="CS105" s="92"/>
      <c r="CT105" s="92"/>
      <c r="CU105" s="92"/>
      <c r="CV105" s="92"/>
      <c r="CW105" s="92"/>
      <c r="CX105" s="1601"/>
      <c r="CY105" s="92"/>
      <c r="CZ105" s="92"/>
      <c r="DA105" s="92"/>
      <c r="DB105" s="92"/>
      <c r="DC105" s="92"/>
      <c r="DD105" s="92"/>
      <c r="DE105" s="92"/>
      <c r="DF105" s="92"/>
      <c r="DG105" s="92"/>
      <c r="DH105" s="92"/>
      <c r="DI105" s="92"/>
      <c r="DJ105" s="92"/>
      <c r="DK105" s="92"/>
      <c r="DL105" s="92"/>
      <c r="DM105" s="92"/>
      <c r="DN105" s="92"/>
      <c r="DO105" s="92"/>
      <c r="DP105" s="92"/>
      <c r="DQ105" s="92"/>
      <c r="DR105" s="92"/>
      <c r="DS105" s="92"/>
      <c r="DT105" s="92"/>
      <c r="DU105" s="92"/>
      <c r="DV105" s="92"/>
      <c r="DW105" s="92"/>
      <c r="DX105" s="54"/>
      <c r="DY105" s="92"/>
      <c r="DZ105" s="92"/>
      <c r="EA105" s="92"/>
      <c r="EB105" s="92"/>
      <c r="EC105" s="54"/>
      <c r="ED105" s="92"/>
      <c r="EE105" s="92"/>
      <c r="EF105" s="92"/>
      <c r="EG105" s="92"/>
      <c r="EH105" s="54"/>
      <c r="EI105" s="1602">
        <f t="shared" ref="EI105:FB105" si="189">EI104/ED104-1</f>
        <v>-0.46238532110091746</v>
      </c>
      <c r="EJ105" s="1602">
        <f t="shared" si="189"/>
        <v>2.4138534196256778E-2</v>
      </c>
      <c r="EK105" s="1637">
        <f t="shared" si="189"/>
        <v>7.0780399274047223E-2</v>
      </c>
      <c r="EL105" s="1637">
        <f t="shared" si="189"/>
        <v>8.7508658508427706E-2</v>
      </c>
      <c r="EM105" s="1634">
        <f t="shared" si="189"/>
        <v>-3.0104334199348437E-2</v>
      </c>
      <c r="EN105" s="1602">
        <f t="shared" si="189"/>
        <v>1.2359215017064846</v>
      </c>
      <c r="EO105" s="1602">
        <f t="shared" si="189"/>
        <v>8.9154568744662654E-2</v>
      </c>
      <c r="EP105" s="1637">
        <f t="shared" si="189"/>
        <v>0.15067796610169482</v>
      </c>
      <c r="EQ105" s="1637">
        <f t="shared" si="189"/>
        <v>0.19309978768577496</v>
      </c>
      <c r="ER105" s="1634">
        <f t="shared" si="189"/>
        <v>0.26051277690377983</v>
      </c>
      <c r="ES105" s="1602">
        <f t="shared" si="189"/>
        <v>0.13070024804426628</v>
      </c>
      <c r="ET105" s="1602">
        <f t="shared" si="189"/>
        <v>0.16010663321310958</v>
      </c>
      <c r="EU105" s="1602">
        <f t="shared" si="189"/>
        <v>0.19664162615996461</v>
      </c>
      <c r="EV105" s="1637">
        <f t="shared" si="189"/>
        <v>0.10558403123468185</v>
      </c>
      <c r="EW105" s="1634">
        <f t="shared" si="189"/>
        <v>0.14260469969124312</v>
      </c>
      <c r="EX105" s="1637">
        <f t="shared" si="189"/>
        <v>0.22851707758463902</v>
      </c>
      <c r="EY105" s="1637">
        <f t="shared" si="189"/>
        <v>0.15472165339681099</v>
      </c>
      <c r="EZ105" s="1637">
        <f t="shared" si="189"/>
        <v>0.15473049527016425</v>
      </c>
      <c r="FA105" s="1637">
        <f t="shared" si="189"/>
        <v>0.20152616959460712</v>
      </c>
      <c r="FB105" s="1634">
        <f t="shared" si="189"/>
        <v>0.18480285814147579</v>
      </c>
      <c r="FC105" s="1637">
        <f t="shared" ref="FC105" si="190">FC104/EX104-1</f>
        <v>0.23516643654820268</v>
      </c>
      <c r="FD105" s="1637">
        <f t="shared" ref="FD105" si="191">FD104/EY104-1</f>
        <v>0.20787550450748116</v>
      </c>
      <c r="FE105" s="1637">
        <f t="shared" ref="FE105" si="192">FE104/EZ104-1</f>
        <v>0.2312998103120405</v>
      </c>
      <c r="FF105" s="1637">
        <f t="shared" ref="FF105" si="193">FF104/FA104-1</f>
        <v>0.22342922522613118</v>
      </c>
      <c r="FG105" s="1634">
        <f t="shared" ref="FG105" si="194">FG104/FB104-1</f>
        <v>0.22408736839489629</v>
      </c>
      <c r="FH105" s="1637">
        <f t="shared" ref="FH105" si="195">FH104/FC104-1</f>
        <v>0.23080474378654592</v>
      </c>
      <c r="FI105" s="1637">
        <f t="shared" ref="FI105" si="196">FI104/FD104-1</f>
        <v>0.19378250825460408</v>
      </c>
      <c r="FJ105" s="1637">
        <f t="shared" ref="FJ105" si="197">FJ104/FE104-1</f>
        <v>0.19702767397101972</v>
      </c>
      <c r="FK105" s="1637">
        <f t="shared" ref="FK105" si="198">FK104/FF104-1</f>
        <v>0.19695001118408095</v>
      </c>
      <c r="FL105" s="1634">
        <f t="shared" ref="FL105" si="199">FL104/FG104-1</f>
        <v>0.20249977714163214</v>
      </c>
      <c r="FM105" s="1637"/>
      <c r="FN105" s="1637"/>
      <c r="FO105" s="1637"/>
      <c r="FP105" s="1637"/>
      <c r="FQ105" s="1637"/>
    </row>
    <row r="106" spans="1:173" s="31" customFormat="1" ht="12">
      <c r="A106" s="1589" t="s">
        <v>667</v>
      </c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W106" s="92"/>
      <c r="AX106" s="92"/>
      <c r="AY106" s="92"/>
      <c r="AZ106" s="92"/>
      <c r="BA106" s="92"/>
      <c r="BB106" s="92"/>
      <c r="BC106" s="92"/>
      <c r="BD106" s="92"/>
      <c r="BE106" s="92"/>
      <c r="BF106" s="92"/>
      <c r="BG106" s="92"/>
      <c r="BH106" s="92"/>
      <c r="BI106" s="92"/>
      <c r="BJ106" s="92"/>
      <c r="BK106" s="92"/>
      <c r="BL106" s="92"/>
      <c r="BM106" s="92"/>
      <c r="BN106" s="92"/>
      <c r="BO106" s="92"/>
      <c r="BP106" s="92"/>
      <c r="BQ106" s="92"/>
      <c r="BR106" s="92"/>
      <c r="BS106" s="92"/>
      <c r="BT106" s="92"/>
      <c r="BU106" s="92"/>
      <c r="BV106" s="92"/>
      <c r="BW106" s="92"/>
      <c r="BX106" s="92"/>
      <c r="BY106" s="92"/>
      <c r="BZ106" s="92"/>
      <c r="CA106" s="92"/>
      <c r="CB106" s="92"/>
      <c r="CC106" s="92"/>
      <c r="CD106" s="92"/>
      <c r="CE106" s="92"/>
      <c r="CF106" s="92"/>
      <c r="CG106" s="92"/>
      <c r="CH106" s="92"/>
      <c r="CI106" s="92"/>
      <c r="CJ106" s="92"/>
      <c r="CK106" s="92"/>
      <c r="CL106" s="92"/>
      <c r="CM106" s="92"/>
      <c r="CN106" s="92"/>
      <c r="CO106" s="92"/>
      <c r="CP106" s="92"/>
      <c r="CQ106" s="92"/>
      <c r="CR106" s="92"/>
      <c r="CS106" s="92"/>
      <c r="CT106" s="92"/>
      <c r="CU106" s="92"/>
      <c r="CV106" s="92"/>
      <c r="CW106" s="92"/>
      <c r="CX106" s="1601"/>
      <c r="CY106" s="92"/>
      <c r="CZ106" s="92"/>
      <c r="DA106" s="92"/>
      <c r="DB106" s="92"/>
      <c r="DC106" s="92"/>
      <c r="DD106" s="92"/>
      <c r="DE106" s="92"/>
      <c r="DF106" s="92"/>
      <c r="DG106" s="92"/>
      <c r="DH106" s="92"/>
      <c r="DI106" s="92"/>
      <c r="DJ106" s="92"/>
      <c r="DK106" s="92"/>
      <c r="DL106" s="92"/>
      <c r="DM106" s="92"/>
      <c r="DN106" s="92"/>
      <c r="DO106" s="92"/>
      <c r="DP106" s="92"/>
      <c r="DQ106" s="92"/>
      <c r="DR106" s="92"/>
      <c r="DS106" s="92"/>
      <c r="DT106" s="92"/>
      <c r="DU106" s="92"/>
      <c r="DV106" s="92"/>
      <c r="DW106" s="92"/>
      <c r="DX106" s="54"/>
      <c r="DY106" s="92"/>
      <c r="DZ106" s="92"/>
      <c r="EA106" s="92"/>
      <c r="EB106" s="92"/>
      <c r="EC106" s="54"/>
      <c r="ED106" s="92"/>
      <c r="EE106" s="1602">
        <f>EE104/ED104-1</f>
        <v>0.31123853211009167</v>
      </c>
      <c r="EF106" s="1602">
        <f>EF104/EE104-1</f>
        <v>-3.6207801294385167E-2</v>
      </c>
      <c r="EG106" s="1602">
        <f>EG104/EF104-1</f>
        <v>0.57205081669691471</v>
      </c>
      <c r="EH106" s="54"/>
      <c r="EI106" s="1602">
        <f>EI104/EG104-1</f>
        <v>-0.72939274994227654</v>
      </c>
      <c r="EJ106" s="1637">
        <f>EJ104/EI104-1</f>
        <v>1.4978668941979523</v>
      </c>
      <c r="EK106" s="1637">
        <f>EK104/EJ104-1</f>
        <v>7.6857386848847575E-3</v>
      </c>
      <c r="EL106" s="1637">
        <f>EL104/EK104-1</f>
        <v>0.59661016949152534</v>
      </c>
      <c r="EM106" s="1633"/>
      <c r="EN106" s="1602">
        <f>EN104/EL104-1</f>
        <v>-0.4436305732484076</v>
      </c>
      <c r="EO106" s="1637">
        <f>EO104/EN104-1</f>
        <v>0.21675252814348411</v>
      </c>
      <c r="EP106" s="1637">
        <f>EP104/EO104-1</f>
        <v>6.4607182060530066E-2</v>
      </c>
      <c r="EQ106" s="1637">
        <f>EQ104/EP104-1</f>
        <v>0.65547208719988226</v>
      </c>
      <c r="ER106" s="1633"/>
      <c r="ES106" s="1602">
        <f>ES104/EQ104-1</f>
        <v>-0.47272889047068245</v>
      </c>
      <c r="ET106" s="1602">
        <f>ET104/ES104-1</f>
        <v>0.24839689503881202</v>
      </c>
      <c r="EU106" s="1602">
        <f>EU104/ET104-1</f>
        <v>9.8134630981346227E-2</v>
      </c>
      <c r="EV106" s="1637">
        <f>EV104/EU104-1</f>
        <v>0.52950011411208631</v>
      </c>
      <c r="EW106" s="1633"/>
      <c r="EX106" s="1637">
        <f>EX104/EV104-1</f>
        <v>-0.41410010973985634</v>
      </c>
      <c r="EY106" s="1637">
        <f>EY104/EX104-1</f>
        <v>0.17340731605364756</v>
      </c>
      <c r="EZ106" s="1637">
        <f>EZ104/EY104-1</f>
        <v>9.8143039559555056E-2</v>
      </c>
      <c r="FA106" s="1637">
        <f>FA104/EZ104-1</f>
        <v>0.59148339896717417</v>
      </c>
      <c r="FB106" s="1633"/>
      <c r="FC106" s="1637">
        <f>FC104/FA104-1</f>
        <v>-0.39769611520756609</v>
      </c>
      <c r="FD106" s="1637">
        <f>FD104/FC104-1</f>
        <v>0.1474809482614674</v>
      </c>
      <c r="FE106" s="1637">
        <f>FE104/FD104-1</f>
        <v>0.11943930583848772</v>
      </c>
      <c r="FF106" s="1637">
        <f>FF104/FE104-1</f>
        <v>0.58131048624560977</v>
      </c>
      <c r="FG106" s="1633"/>
      <c r="FH106" s="1637">
        <f>FH104/FF104-1</f>
        <v>-0.39406508908059468</v>
      </c>
      <c r="FI106" s="1637">
        <f>FI104/FH104-1</f>
        <v>0.11296506737181766</v>
      </c>
      <c r="FJ106" s="1637">
        <f>FJ104/FI104-1</f>
        <v>0.12248237778148874</v>
      </c>
      <c r="FK106" s="1637">
        <f>FK104/FJ104-1</f>
        <v>0.581207891308126</v>
      </c>
      <c r="FL106" s="1633"/>
      <c r="FM106" s="1638"/>
      <c r="FN106" s="1638"/>
      <c r="FO106" s="1638"/>
      <c r="FP106" s="1638"/>
      <c r="FQ106" s="1638"/>
    </row>
    <row r="107" spans="1:173" s="31" customFormat="1" ht="12">
      <c r="A107" s="1589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W107" s="92"/>
      <c r="AX107" s="92"/>
      <c r="AY107" s="92"/>
      <c r="AZ107" s="92"/>
      <c r="BA107" s="92"/>
      <c r="BB107" s="92"/>
      <c r="BC107" s="92"/>
      <c r="BD107" s="92"/>
      <c r="BE107" s="92"/>
      <c r="BF107" s="92"/>
      <c r="BG107" s="92"/>
      <c r="BH107" s="92"/>
      <c r="BI107" s="92"/>
      <c r="BJ107" s="92"/>
      <c r="BK107" s="92"/>
      <c r="BL107" s="92"/>
      <c r="BM107" s="92"/>
      <c r="BN107" s="92"/>
      <c r="BO107" s="92"/>
      <c r="BP107" s="92"/>
      <c r="BQ107" s="92"/>
      <c r="BR107" s="92"/>
      <c r="BS107" s="92"/>
      <c r="BT107" s="92"/>
      <c r="BU107" s="92"/>
      <c r="BV107" s="92"/>
      <c r="BW107" s="92"/>
      <c r="BX107" s="92"/>
      <c r="BY107" s="92"/>
      <c r="BZ107" s="92"/>
      <c r="CA107" s="92"/>
      <c r="CB107" s="92"/>
      <c r="CC107" s="92"/>
      <c r="CD107" s="92"/>
      <c r="CE107" s="92"/>
      <c r="CF107" s="92"/>
      <c r="CG107" s="92"/>
      <c r="CH107" s="92"/>
      <c r="CI107" s="92"/>
      <c r="CJ107" s="92"/>
      <c r="CK107" s="92"/>
      <c r="CL107" s="92"/>
      <c r="CM107" s="92"/>
      <c r="CN107" s="92"/>
      <c r="CO107" s="92"/>
      <c r="CP107" s="92"/>
      <c r="CQ107" s="92"/>
      <c r="CR107" s="92"/>
      <c r="CS107" s="92"/>
      <c r="CT107" s="92"/>
      <c r="CU107" s="92"/>
      <c r="CV107" s="92"/>
      <c r="CW107" s="92"/>
      <c r="CX107" s="1601"/>
      <c r="CY107" s="92"/>
      <c r="CZ107" s="92"/>
      <c r="DA107" s="92"/>
      <c r="DB107" s="92"/>
      <c r="DC107" s="92"/>
      <c r="DD107" s="92"/>
      <c r="DE107" s="92"/>
      <c r="DF107" s="92"/>
      <c r="DG107" s="92"/>
      <c r="DH107" s="92"/>
      <c r="DI107" s="92"/>
      <c r="DJ107" s="92"/>
      <c r="DK107" s="92"/>
      <c r="DL107" s="92"/>
      <c r="DM107" s="92"/>
      <c r="DN107" s="92"/>
      <c r="DO107" s="92"/>
      <c r="DP107" s="92"/>
      <c r="DQ107" s="92"/>
      <c r="DR107" s="92"/>
      <c r="DS107" s="92"/>
      <c r="DT107" s="92"/>
      <c r="DU107" s="92"/>
      <c r="DV107" s="92"/>
      <c r="DW107" s="92"/>
      <c r="DX107" s="54"/>
      <c r="DY107" s="92"/>
      <c r="DZ107" s="92"/>
      <c r="EA107" s="92"/>
      <c r="EB107" s="92"/>
      <c r="EC107" s="54"/>
      <c r="ED107" s="92"/>
      <c r="EE107" s="92"/>
      <c r="EF107" s="92"/>
      <c r="EG107" s="92"/>
      <c r="EH107" s="54"/>
      <c r="EI107" s="92"/>
      <c r="EJ107" s="1638"/>
      <c r="EK107" s="1638"/>
      <c r="EL107" s="1638"/>
      <c r="EM107" s="1633"/>
      <c r="EN107" s="92"/>
      <c r="EO107" s="1638"/>
      <c r="EP107" s="1638"/>
      <c r="EQ107" s="1638"/>
      <c r="ER107" s="1633"/>
      <c r="ES107" s="92"/>
      <c r="ET107" s="92"/>
      <c r="EU107" s="92"/>
      <c r="EV107" s="1638"/>
      <c r="EW107" s="1633"/>
      <c r="EX107" s="1638"/>
      <c r="EY107" s="1638"/>
      <c r="EZ107" s="1638"/>
      <c r="FA107" s="1638"/>
      <c r="FB107" s="1633"/>
      <c r="FC107" s="1638"/>
      <c r="FD107" s="1638"/>
      <c r="FE107" s="1638"/>
      <c r="FF107" s="1638"/>
      <c r="FG107" s="1633"/>
      <c r="FH107" s="1638"/>
      <c r="FI107" s="1638"/>
      <c r="FJ107" s="1638"/>
      <c r="FK107" s="1638"/>
      <c r="FL107" s="1633"/>
      <c r="FM107" s="1638"/>
      <c r="FN107" s="1638"/>
      <c r="FO107" s="1638"/>
      <c r="FP107" s="1638"/>
      <c r="FQ107" s="1638"/>
    </row>
    <row r="108" spans="1:173" s="31" customFormat="1" ht="12">
      <c r="A108" s="1606" t="s">
        <v>1046</v>
      </c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C108" s="92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  <c r="CI108" s="92"/>
      <c r="CJ108" s="92"/>
      <c r="CK108" s="92"/>
      <c r="CL108" s="92"/>
      <c r="CM108" s="92"/>
      <c r="CN108" s="92"/>
      <c r="CO108" s="92"/>
      <c r="CP108" s="92"/>
      <c r="CQ108" s="92"/>
      <c r="CR108" s="92"/>
      <c r="CS108" s="92"/>
      <c r="CT108" s="92"/>
      <c r="CU108" s="92"/>
      <c r="CV108" s="92"/>
      <c r="CW108" s="92"/>
      <c r="CX108" s="1601"/>
      <c r="CY108" s="92"/>
      <c r="CZ108" s="92"/>
      <c r="DA108" s="92"/>
      <c r="DB108" s="92"/>
      <c r="DC108" s="92"/>
      <c r="DD108" s="92"/>
      <c r="DE108" s="92"/>
      <c r="DF108" s="92"/>
      <c r="DG108" s="92"/>
      <c r="DH108" s="92"/>
      <c r="DI108" s="92"/>
      <c r="DJ108" s="92"/>
      <c r="DK108" s="92"/>
      <c r="DL108" s="92"/>
      <c r="DM108" s="92"/>
      <c r="DN108" s="92"/>
      <c r="DO108" s="92"/>
      <c r="DP108" s="92"/>
      <c r="DQ108" s="92"/>
      <c r="DR108" s="92"/>
      <c r="DS108" s="92"/>
      <c r="DT108" s="92"/>
      <c r="DU108" s="92"/>
      <c r="DV108" s="92"/>
      <c r="DW108" s="92"/>
      <c r="DX108" s="54">
        <f>'Rev Overview'!BJ17</f>
        <v>19747</v>
      </c>
      <c r="DY108" s="92">
        <f>'Rev Overview'!BK17</f>
        <v>4859</v>
      </c>
      <c r="DZ108" s="92">
        <f>'Rev Overview'!BL17</f>
        <v>5521</v>
      </c>
      <c r="EA108" s="92">
        <f>'Rev Overview'!BM17</f>
        <v>5287</v>
      </c>
      <c r="EB108" s="92">
        <f>'Rev Overview'!BN17</f>
        <v>6065</v>
      </c>
      <c r="EC108" s="54">
        <f>'Rev Overview'!BO17</f>
        <v>21732</v>
      </c>
      <c r="ED108" s="92">
        <f>'Rev Overview'!BP17</f>
        <v>5475</v>
      </c>
      <c r="EE108" s="92">
        <f>'Rev Overview'!BQ17</f>
        <v>6041</v>
      </c>
      <c r="EF108" s="92">
        <f>'Rev Overview'!BR17</f>
        <v>5903</v>
      </c>
      <c r="EG108" s="92">
        <f>'Rev Overview'!BS17</f>
        <v>6296</v>
      </c>
      <c r="EH108" s="54">
        <f>'Rev Overview'!BT17</f>
        <v>23715</v>
      </c>
      <c r="EI108" s="92">
        <f>'Rev Overview'!BU17</f>
        <v>5583</v>
      </c>
      <c r="EJ108" s="1638">
        <f>'Rev Overview'!BV17</f>
        <v>6260</v>
      </c>
      <c r="EK108" s="1638">
        <f>'Rev Overview'!BW17</f>
        <v>5923</v>
      </c>
      <c r="EL108" s="1638">
        <f>'Rev Overview'!BX17</f>
        <v>7186</v>
      </c>
      <c r="EM108" s="1633">
        <f>'Rev Overview'!BY17</f>
        <v>24952</v>
      </c>
      <c r="EN108" s="92">
        <f>'Rev Overview'!BZ17</f>
        <v>6097</v>
      </c>
      <c r="EO108" s="1638">
        <f>'Rev Overview'!CA17</f>
        <v>6758</v>
      </c>
      <c r="EP108" s="1638">
        <f>'Rev Overview'!CB17</f>
        <v>6730</v>
      </c>
      <c r="EQ108" s="1638">
        <f>'Rev Overview'!CC17</f>
        <v>7822</v>
      </c>
      <c r="ER108" s="1633">
        <f>'Rev Overview'!CD17</f>
        <v>27407</v>
      </c>
      <c r="ES108" s="92">
        <f>'Rev Overview'!CE17</f>
        <v>6922</v>
      </c>
      <c r="ET108" s="92">
        <f>'Rev Overview'!CF17</f>
        <v>7795</v>
      </c>
      <c r="EU108" s="92">
        <f>'Rev Overview'!CG17</f>
        <v>7896</v>
      </c>
      <c r="EV108" s="1638">
        <f>'Rev Overview'!CH17</f>
        <v>9138.2275178499985</v>
      </c>
      <c r="EW108" s="1633">
        <f>'Rev Overview'!CI17</f>
        <v>31751.227517849999</v>
      </c>
      <c r="EX108" s="1638">
        <f>'Rev Overview'!CJ17</f>
        <v>8270.1219999999994</v>
      </c>
      <c r="EY108" s="1638">
        <f>'Rev Overview'!CK17</f>
        <v>9167.8235999999997</v>
      </c>
      <c r="EZ108" s="1638">
        <f>'Rev Overview'!CL17</f>
        <v>9473.450350000001</v>
      </c>
      <c r="FA108" s="1638">
        <f>'Rev Overview'!CM17</f>
        <v>11091.7320046595</v>
      </c>
      <c r="FB108" s="1633">
        <f>'Rev Overview'!CN17</f>
        <v>38003.127954659496</v>
      </c>
      <c r="FC108" s="1638">
        <f>'Rev Overview'!CO17</f>
        <v>10161.66784</v>
      </c>
      <c r="FD108" s="1638">
        <f>'Rev Overview'!CP17</f>
        <v>11056.984032</v>
      </c>
      <c r="FE108" s="1638">
        <f>'Rev Overview'!CQ17</f>
        <v>11660.038019500002</v>
      </c>
      <c r="FF108" s="1638">
        <f>'Rev Overview'!CR17</f>
        <v>13735.783021028314</v>
      </c>
      <c r="FG108" s="1633">
        <f>'Rev Overview'!CS17</f>
        <v>46614.472912528319</v>
      </c>
      <c r="FH108" s="1638">
        <f>'Rev Overview'!CT17</f>
        <v>12449.1545824</v>
      </c>
      <c r="FI108" s="1638">
        <f>'Rev Overview'!CU17</f>
        <v>13190.426155200001</v>
      </c>
      <c r="FJ108" s="1638">
        <f>'Rev Overview'!CV17</f>
        <v>13955.672712695001</v>
      </c>
      <c r="FK108" s="1638">
        <f>'Rev Overview'!CW17</f>
        <v>16516.130236805344</v>
      </c>
      <c r="FL108" s="1633">
        <f>'Rev Overview'!CX17</f>
        <v>56111.383687100344</v>
      </c>
      <c r="FM108" s="1638"/>
      <c r="FN108" s="1638"/>
      <c r="FO108" s="1638"/>
      <c r="FP108" s="1638"/>
      <c r="FQ108" s="1638"/>
    </row>
    <row r="109" spans="1:173" s="31" customFormat="1" ht="12">
      <c r="A109" s="1589" t="s">
        <v>163</v>
      </c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W109" s="92"/>
      <c r="AX109" s="92"/>
      <c r="AY109" s="92"/>
      <c r="AZ109" s="92"/>
      <c r="BA109" s="92"/>
      <c r="BB109" s="92"/>
      <c r="BC109" s="92"/>
      <c r="BD109" s="92"/>
      <c r="BE109" s="92"/>
      <c r="BF109" s="92"/>
      <c r="BG109" s="92"/>
      <c r="BH109" s="92"/>
      <c r="BI109" s="92"/>
      <c r="BJ109" s="92"/>
      <c r="BK109" s="92"/>
      <c r="BL109" s="92"/>
      <c r="BM109" s="92"/>
      <c r="BN109" s="92"/>
      <c r="BO109" s="92"/>
      <c r="BP109" s="92"/>
      <c r="BQ109" s="92"/>
      <c r="BR109" s="92"/>
      <c r="BS109" s="92"/>
      <c r="BT109" s="92"/>
      <c r="BU109" s="92"/>
      <c r="BV109" s="92"/>
      <c r="BW109" s="92"/>
      <c r="BX109" s="92"/>
      <c r="BY109" s="92"/>
      <c r="BZ109" s="92"/>
      <c r="CA109" s="92"/>
      <c r="CB109" s="92"/>
      <c r="CC109" s="92"/>
      <c r="CD109" s="92"/>
      <c r="CE109" s="92"/>
      <c r="CF109" s="92"/>
      <c r="CG109" s="92"/>
      <c r="CH109" s="92"/>
      <c r="CI109" s="92"/>
      <c r="CJ109" s="92"/>
      <c r="CK109" s="92"/>
      <c r="CL109" s="92"/>
      <c r="CM109" s="92"/>
      <c r="CN109" s="92"/>
      <c r="CO109" s="92"/>
      <c r="CP109" s="92"/>
      <c r="CQ109" s="92"/>
      <c r="CR109" s="92"/>
      <c r="CS109" s="92"/>
      <c r="CT109" s="92"/>
      <c r="CU109" s="92"/>
      <c r="CV109" s="92"/>
      <c r="CW109" s="92"/>
      <c r="CX109" s="1601"/>
      <c r="CY109" s="92"/>
      <c r="CZ109" s="92"/>
      <c r="DA109" s="92"/>
      <c r="DB109" s="92"/>
      <c r="DC109" s="92"/>
      <c r="DD109" s="92"/>
      <c r="DE109" s="92"/>
      <c r="DF109" s="92"/>
      <c r="DG109" s="92"/>
      <c r="DH109" s="92"/>
      <c r="DI109" s="92"/>
      <c r="DJ109" s="92"/>
      <c r="DK109" s="92"/>
      <c r="DL109" s="92"/>
      <c r="DM109" s="92"/>
      <c r="DN109" s="92"/>
      <c r="DO109" s="92"/>
      <c r="DP109" s="92"/>
      <c r="DQ109" s="92"/>
      <c r="DR109" s="92"/>
      <c r="DS109" s="92"/>
      <c r="DT109" s="92"/>
      <c r="DU109" s="92"/>
      <c r="DV109" s="92"/>
      <c r="DW109" s="92"/>
      <c r="DX109" s="54"/>
      <c r="DY109" s="92"/>
      <c r="DZ109" s="92"/>
      <c r="EA109" s="92"/>
      <c r="EB109" s="92"/>
      <c r="EC109" s="1622">
        <f>'Rev Overview'!BO18</f>
        <v>0.10052159821745077</v>
      </c>
      <c r="ED109" s="1602">
        <f>'Rev Overview'!BP18</f>
        <v>0.12677505659600752</v>
      </c>
      <c r="EE109" s="1602">
        <f>'Rev Overview'!BQ18</f>
        <v>9.4185835899293524E-2</v>
      </c>
      <c r="EF109" s="1602">
        <f>'Rev Overview'!BR18</f>
        <v>0.11651219973519944</v>
      </c>
      <c r="EG109" s="1602">
        <f>'Rev Overview'!BS18</f>
        <v>3.8087386644682697E-2</v>
      </c>
      <c r="EH109" s="1622">
        <f>'Rev Overview'!BT18</f>
        <v>9.1247929320817267E-2</v>
      </c>
      <c r="EI109" s="1602">
        <f>'Rev Overview'!BU18</f>
        <v>0</v>
      </c>
      <c r="EJ109" s="1637">
        <f>'Rev Overview'!BV18</f>
        <v>0</v>
      </c>
      <c r="EK109" s="1637">
        <f>'Rev Overview'!BW18</f>
        <v>0</v>
      </c>
      <c r="EL109" s="1637">
        <f>'Rev Overview'!BX18</f>
        <v>0</v>
      </c>
      <c r="EM109" s="1634">
        <f>'Rev Overview'!BY18</f>
        <v>0</v>
      </c>
      <c r="EN109" s="1602">
        <f>'Rev Overview'!BZ18</f>
        <v>9.2065197922263975E-2</v>
      </c>
      <c r="EO109" s="1637">
        <f>'Rev Overview'!CA18</f>
        <v>7.9552715654952033E-2</v>
      </c>
      <c r="EP109" s="1637">
        <f>'Rev Overview'!CB18</f>
        <v>0.13624852270808718</v>
      </c>
      <c r="EQ109" s="1637">
        <f>'Rev Overview'!CC18</f>
        <v>8.8505427219593757E-2</v>
      </c>
      <c r="ER109" s="1634">
        <f>'Rev Overview'!CD18</f>
        <v>9.8388906700865641E-2</v>
      </c>
      <c r="ES109" s="1602">
        <f>'Rev Overview'!CE18</f>
        <v>0.13531244874528459</v>
      </c>
      <c r="ET109" s="1602">
        <f>'Rev Overview'!CF18</f>
        <v>0.1534477656111275</v>
      </c>
      <c r="EU109" s="1602">
        <f>'Rev Overview'!CG18</f>
        <v>0.17325408618127791</v>
      </c>
      <c r="EV109" s="1637">
        <f>'Rev Overview'!CH18</f>
        <v>0.16827250292124751</v>
      </c>
      <c r="EW109" s="1634">
        <f>'Rev Overview'!CI18</f>
        <v>0.15850795482358526</v>
      </c>
      <c r="EX109" s="1637">
        <f>'Rev Overview'!CJ18</f>
        <v>0.19475902918231713</v>
      </c>
      <c r="EY109" s="1637">
        <f>'Rev Overview'!CK18</f>
        <v>0.17611592046183455</v>
      </c>
      <c r="EZ109" s="1637">
        <f>'Rev Overview'!CL18</f>
        <v>0.19977841312056754</v>
      </c>
      <c r="FA109" s="1637">
        <f>'Rev Overview'!CM18</f>
        <v>0.21377280035911306</v>
      </c>
      <c r="FB109" s="1634">
        <f>'Rev Overview'!CN18</f>
        <v>0.19690263733251845</v>
      </c>
      <c r="FC109" s="1637">
        <f>'Rev Overview'!CO18</f>
        <v>0.22872042758256783</v>
      </c>
      <c r="FD109" s="1637">
        <f>'Rev Overview'!CP18</f>
        <v>0.2060642213927415</v>
      </c>
      <c r="FE109" s="1637">
        <f>'Rev Overview'!CQ18</f>
        <v>0.23081217388762698</v>
      </c>
      <c r="FF109" s="1637">
        <f>'Rev Overview'!CR18</f>
        <v>0.23838035531854551</v>
      </c>
      <c r="FG109" s="1634">
        <f>'Rev Overview'!CS18</f>
        <v>0.22659568886389536</v>
      </c>
      <c r="FH109" s="1637">
        <f>'Rev Overview'!CT18</f>
        <v>0.22510937952484777</v>
      </c>
      <c r="FI109" s="1637">
        <f>'Rev Overview'!CU18</f>
        <v>0.1929497335824677</v>
      </c>
      <c r="FJ109" s="1637">
        <f>'Rev Overview'!CV18</f>
        <v>0.19688054956217371</v>
      </c>
      <c r="FK109" s="1637">
        <f>'Rev Overview'!CW18</f>
        <v>0.20241636108553518</v>
      </c>
      <c r="FL109" s="1634">
        <f>'Rev Overview'!CX18</f>
        <v>0.20373309363366388</v>
      </c>
      <c r="FM109" s="1637"/>
      <c r="FN109" s="1637"/>
      <c r="FO109" s="1637"/>
      <c r="FP109" s="1637"/>
      <c r="FQ109" s="1637"/>
    </row>
    <row r="110" spans="1:173" s="31" customFormat="1" ht="12">
      <c r="A110" s="1589" t="s">
        <v>667</v>
      </c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W110" s="92"/>
      <c r="AX110" s="92"/>
      <c r="AY110" s="92"/>
      <c r="AZ110" s="92"/>
      <c r="BA110" s="92"/>
      <c r="BB110" s="92"/>
      <c r="BC110" s="92"/>
      <c r="BD110" s="92"/>
      <c r="BE110" s="92"/>
      <c r="BF110" s="92"/>
      <c r="BG110" s="92"/>
      <c r="BH110" s="92"/>
      <c r="BI110" s="92"/>
      <c r="BJ110" s="92"/>
      <c r="BK110" s="92"/>
      <c r="BL110" s="92"/>
      <c r="BM110" s="92"/>
      <c r="BN110" s="92"/>
      <c r="BO110" s="92"/>
      <c r="BP110" s="92"/>
      <c r="BQ110" s="92"/>
      <c r="BR110" s="92"/>
      <c r="BS110" s="92"/>
      <c r="BT110" s="92"/>
      <c r="BU110" s="92"/>
      <c r="BV110" s="92"/>
      <c r="BW110" s="92"/>
      <c r="BX110" s="92"/>
      <c r="BY110" s="92"/>
      <c r="BZ110" s="92"/>
      <c r="CA110" s="92"/>
      <c r="CB110" s="92"/>
      <c r="CC110" s="92"/>
      <c r="CD110" s="92"/>
      <c r="CE110" s="92"/>
      <c r="CF110" s="92"/>
      <c r="CG110" s="92"/>
      <c r="CH110" s="92"/>
      <c r="CI110" s="92"/>
      <c r="CJ110" s="92"/>
      <c r="CK110" s="92"/>
      <c r="CL110" s="92"/>
      <c r="CM110" s="92"/>
      <c r="CN110" s="92"/>
      <c r="CO110" s="92"/>
      <c r="CP110" s="92"/>
      <c r="CQ110" s="92"/>
      <c r="CR110" s="92"/>
      <c r="CS110" s="92"/>
      <c r="CT110" s="92"/>
      <c r="CU110" s="92"/>
      <c r="CV110" s="92"/>
      <c r="CW110" s="92"/>
      <c r="CX110" s="1601"/>
      <c r="CY110" s="92"/>
      <c r="CZ110" s="92"/>
      <c r="DA110" s="92"/>
      <c r="DB110" s="92"/>
      <c r="DC110" s="92"/>
      <c r="DD110" s="92"/>
      <c r="DE110" s="92"/>
      <c r="DF110" s="92"/>
      <c r="DG110" s="92"/>
      <c r="DH110" s="92"/>
      <c r="DI110" s="92"/>
      <c r="DJ110" s="92"/>
      <c r="DK110" s="92"/>
      <c r="DL110" s="92"/>
      <c r="DM110" s="92"/>
      <c r="DN110" s="92"/>
      <c r="DO110" s="92"/>
      <c r="DP110" s="92"/>
      <c r="DQ110" s="92"/>
      <c r="DR110" s="92"/>
      <c r="DS110" s="92"/>
      <c r="DT110" s="92"/>
      <c r="DU110" s="92"/>
      <c r="DV110" s="92"/>
      <c r="DW110" s="92"/>
      <c r="DX110" s="54"/>
      <c r="DY110" s="92"/>
      <c r="DZ110" s="1602">
        <f>'Rev Overview'!BL20</f>
        <v>0.13624202510804695</v>
      </c>
      <c r="EA110" s="1602">
        <f>'Rev Overview'!BM20</f>
        <v>-4.2383626154682164E-2</v>
      </c>
      <c r="EB110" s="1602">
        <f>'Rev Overview'!BN20</f>
        <v>0.14715339512010583</v>
      </c>
      <c r="EC110" s="1622"/>
      <c r="ED110" s="1602">
        <f>'Rev Overview'!BP20</f>
        <v>-9.7279472382522658E-2</v>
      </c>
      <c r="EE110" s="1602">
        <f>'Rev Overview'!BQ20</f>
        <v>0.10337899543379003</v>
      </c>
      <c r="EF110" s="1602">
        <f>'Rev Overview'!BR20</f>
        <v>-2.2843900016553564E-2</v>
      </c>
      <c r="EG110" s="1602">
        <f>'Rev Overview'!BS20</f>
        <v>6.6576317126884721E-2</v>
      </c>
      <c r="EH110" s="1622"/>
      <c r="EI110" s="1602">
        <f>'Rev Overview'!BU20</f>
        <v>0</v>
      </c>
      <c r="EJ110" s="1637">
        <f>'Rev Overview'!BV20</f>
        <v>0.12126097080422715</v>
      </c>
      <c r="EK110" s="1637">
        <f>'Rev Overview'!BW20</f>
        <v>-5.3833865814696513E-2</v>
      </c>
      <c r="EL110" s="1637">
        <f>'Rev Overview'!BX20</f>
        <v>0.21323653553942257</v>
      </c>
      <c r="EM110" s="1634"/>
      <c r="EN110" s="1602">
        <f>'Rev Overview'!BZ20</f>
        <v>-0.1515446701920401</v>
      </c>
      <c r="EO110" s="1637">
        <f>'Rev Overview'!CA20</f>
        <v>0.10841397408561582</v>
      </c>
      <c r="EP110" s="1637">
        <f>'Rev Overview'!CB20</f>
        <v>-4.1432376442734897E-3</v>
      </c>
      <c r="EQ110" s="1637">
        <f>'Rev Overview'!CC20</f>
        <v>0.16225854383358107</v>
      </c>
      <c r="ER110" s="1634"/>
      <c r="ES110" s="1602">
        <f>'Rev Overview'!CE20</f>
        <v>-0.11506008693428793</v>
      </c>
      <c r="ET110" s="1602">
        <f>'Rev Overview'!CF20</f>
        <v>0.126119618607339</v>
      </c>
      <c r="EU110" s="1602">
        <f>'Rev Overview'!CG20</f>
        <v>1.295702373316221E-2</v>
      </c>
      <c r="EV110" s="1637">
        <f>'Rev Overview'!CH20</f>
        <v>0.1573236471441235</v>
      </c>
      <c r="EW110" s="1634"/>
      <c r="EX110" s="1637">
        <f>'Rev Overview'!CJ20</f>
        <v>-9.4997144266139144E-2</v>
      </c>
      <c r="EY110" s="1637">
        <f>'Rev Overview'!CK20</f>
        <v>0.10854756435273871</v>
      </c>
      <c r="EZ110" s="1637">
        <f>'Rev Overview'!CL20</f>
        <v>3.3336892520488881E-2</v>
      </c>
      <c r="FA110" s="1637">
        <f>'Rev Overview'!CM20</f>
        <v>0.17082283591210223</v>
      </c>
      <c r="FB110" s="1634"/>
      <c r="FC110" s="1637">
        <f>'Rev Overview'!CO20</f>
        <v>-8.3852022774152046E-2</v>
      </c>
      <c r="FD110" s="1637">
        <f>'Rev Overview'!CP20</f>
        <v>8.8107208983520646E-2</v>
      </c>
      <c r="FE110" s="1637">
        <f>'Rev Overview'!CQ20</f>
        <v>5.4540549733517185E-2</v>
      </c>
      <c r="FF110" s="1637">
        <f>'Rev Overview'!CR20</f>
        <v>0.17802214693098595</v>
      </c>
      <c r="FG110" s="1634"/>
      <c r="FH110" s="1637">
        <f>'Rev Overview'!CT20</f>
        <v>-9.3669828407932365E-2</v>
      </c>
      <c r="FI110" s="1637">
        <f>'Rev Overview'!CU20</f>
        <v>5.9543928697614046E-2</v>
      </c>
      <c r="FJ110" s="1637">
        <f>'Rev Overview'!CV20</f>
        <v>5.8015302044909234E-2</v>
      </c>
      <c r="FK110" s="1637">
        <f>'Rev Overview'!CW20</f>
        <v>0.18347073457671326</v>
      </c>
      <c r="FL110" s="1634"/>
      <c r="FM110" s="1637"/>
      <c r="FN110" s="1637"/>
      <c r="FO110" s="1637"/>
      <c r="FP110" s="1637"/>
      <c r="FQ110" s="1637"/>
    </row>
    <row r="111" spans="1:173" s="31" customFormat="1" ht="12">
      <c r="A111" s="1594" t="s">
        <v>1031</v>
      </c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B111" s="19"/>
      <c r="BC111" s="19"/>
      <c r="BD111" s="19"/>
      <c r="BE111" s="19"/>
      <c r="BF111" s="19"/>
      <c r="BG111" s="19"/>
      <c r="BH111" s="19"/>
      <c r="BI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19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603"/>
      <c r="CY111" s="19"/>
      <c r="CZ111" s="19"/>
      <c r="DA111" s="19"/>
      <c r="DB111" s="19"/>
      <c r="DC111" s="19"/>
      <c r="DD111" s="19"/>
      <c r="DE111" s="19"/>
      <c r="DF111" s="19"/>
      <c r="DG111" s="19"/>
      <c r="DH111" s="19"/>
      <c r="DI111" s="19"/>
      <c r="DJ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57"/>
      <c r="DY111" s="19"/>
      <c r="DZ111" s="19"/>
      <c r="EA111" s="19"/>
      <c r="EB111" s="19"/>
      <c r="EC111" s="57"/>
      <c r="ED111" s="19"/>
      <c r="EE111" s="19"/>
      <c r="EF111" s="19"/>
      <c r="EG111" s="19"/>
      <c r="EH111" s="57"/>
      <c r="EI111" s="1604">
        <f>'Rev Overview'!BU19</f>
        <v>8.3835616438356242E-2</v>
      </c>
      <c r="EJ111" s="1639">
        <f>'Rev Overview'!BV19</f>
        <v>9.7334878331402086E-2</v>
      </c>
      <c r="EK111" s="1639">
        <f>'Rev Overview'!BW19</f>
        <v>5.1160426901575518E-2</v>
      </c>
      <c r="EL111" s="1639">
        <f>'Rev Overview'!BX19</f>
        <v>0.17550825921219815</v>
      </c>
      <c r="EM111" s="1640"/>
      <c r="EN111" s="1604">
        <f>'Rev Overview'!BZ19</f>
        <v>0.11337990327780756</v>
      </c>
      <c r="EO111" s="1639">
        <f>'Rev Overview'!CA19</f>
        <v>9.744408945686911E-2</v>
      </c>
      <c r="EP111" s="1639">
        <f>'Rev Overview'!CB19</f>
        <v>0.14874219145703194</v>
      </c>
      <c r="EQ111" s="1639">
        <f>'Rev Overview'!CC19</f>
        <v>0.10116893960478701</v>
      </c>
      <c r="ER111" s="1640"/>
      <c r="ES111" s="1604">
        <f>'Rev Overview'!CE19</f>
        <v>0.13006396588486147</v>
      </c>
      <c r="ET111" s="1604">
        <f>'Rev Overview'!CF19</f>
        <v>0.14619709973364903</v>
      </c>
      <c r="EU111" s="1604">
        <f>'Rev Overview'!CG19</f>
        <v>0.14918276374442785</v>
      </c>
      <c r="EV111" s="1641"/>
      <c r="EW111" s="1640"/>
      <c r="EX111" s="1641"/>
      <c r="EY111" s="1641"/>
      <c r="EZ111" s="1641"/>
      <c r="FA111" s="1641"/>
      <c r="FB111" s="1640"/>
      <c r="FC111" s="1641"/>
      <c r="FD111" s="1641"/>
      <c r="FE111" s="1641"/>
      <c r="FF111" s="1641"/>
      <c r="FG111" s="1640"/>
      <c r="FH111" s="1641"/>
      <c r="FI111" s="1641"/>
      <c r="FJ111" s="1641"/>
      <c r="FK111" s="1641"/>
      <c r="FL111" s="1640"/>
      <c r="FM111" s="1638"/>
      <c r="FN111" s="1638"/>
      <c r="FO111" s="1638"/>
      <c r="FP111" s="1638"/>
      <c r="FQ111" s="1638"/>
    </row>
    <row r="112" spans="1:173" s="31" customFormat="1" ht="12">
      <c r="CX112" s="1141"/>
      <c r="DX112" s="54"/>
      <c r="EC112" s="1622"/>
      <c r="ED112" s="1583"/>
      <c r="EE112" s="1583"/>
      <c r="EF112" s="1583"/>
      <c r="EG112" s="1583"/>
      <c r="EH112" s="1622"/>
      <c r="EI112" s="1583"/>
      <c r="EJ112" s="1585"/>
      <c r="EK112" s="1585"/>
      <c r="EL112" s="1585"/>
      <c r="EM112" s="1634"/>
      <c r="EN112" s="1583"/>
      <c r="EO112" s="1585"/>
      <c r="EP112" s="1585"/>
      <c r="EQ112" s="1585"/>
      <c r="ER112" s="1634"/>
      <c r="ES112" s="1583"/>
      <c r="ET112" s="1583"/>
      <c r="EU112" s="1583"/>
      <c r="EV112" s="1585"/>
      <c r="EW112" s="1634"/>
      <c r="EX112" s="1585"/>
      <c r="EY112" s="1585"/>
      <c r="EZ112" s="1585"/>
      <c r="FA112" s="1585"/>
      <c r="FB112" s="1634"/>
      <c r="FC112" s="1585"/>
      <c r="FD112" s="1585"/>
      <c r="FE112" s="1585"/>
      <c r="FF112" s="1585"/>
      <c r="FG112" s="1634"/>
      <c r="FH112" s="1585"/>
      <c r="FI112" s="1585"/>
      <c r="FJ112" s="1585"/>
      <c r="FK112" s="1585"/>
      <c r="FL112" s="1634"/>
      <c r="FM112" s="1637"/>
      <c r="FN112" s="1637"/>
      <c r="FO112" s="1637"/>
      <c r="FP112" s="1637"/>
      <c r="FQ112" s="1637"/>
    </row>
    <row r="113" spans="1:173" s="31" customFormat="1" ht="12">
      <c r="A113" s="1605" t="s">
        <v>1104</v>
      </c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99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608"/>
      <c r="DY113" s="15"/>
      <c r="DZ113" s="1600"/>
      <c r="EA113" s="1600"/>
      <c r="EB113" s="1600"/>
      <c r="EC113" s="1623"/>
      <c r="ED113" s="15">
        <f>ED117+ED83-EB83</f>
        <v>10856</v>
      </c>
      <c r="EE113" s="15">
        <f>EE117+EE83-ED83</f>
        <v>13056</v>
      </c>
      <c r="EF113" s="15">
        <f>EF117+EF83-EE83</f>
        <v>9093</v>
      </c>
      <c r="EG113" s="15">
        <f>EG117+EG83-EF83</f>
        <v>9615</v>
      </c>
      <c r="EH113" s="1608">
        <f>SUM(ED113:EG113)</f>
        <v>42620</v>
      </c>
      <c r="EI113" s="15">
        <f>EI117+EI83-EG83</f>
        <v>8449</v>
      </c>
      <c r="EJ113" s="1635">
        <f>EJ117+EJ83-EI83</f>
        <v>12540</v>
      </c>
      <c r="EK113" s="1635">
        <f>EK117+EK83-EJ83</f>
        <v>9421</v>
      </c>
      <c r="EL113" s="1635">
        <f>EL117+EL83-EK83</f>
        <v>9361</v>
      </c>
      <c r="EM113" s="1636">
        <f>SUM(EI113:EL113)</f>
        <v>39771</v>
      </c>
      <c r="EN113" s="15">
        <f>EN117+EN83-EL83</f>
        <v>9445</v>
      </c>
      <c r="EO113" s="1635">
        <f>EO117+EO83-EN83</f>
        <v>11708</v>
      </c>
      <c r="EP113" s="1635">
        <f>EP117+EP83-EO83</f>
        <v>8771</v>
      </c>
      <c r="EQ113" s="1635">
        <f>EQ117+EQ83-EP83</f>
        <v>9575</v>
      </c>
      <c r="ER113" s="1636">
        <f>SUM(EN113:EQ113)</f>
        <v>39499</v>
      </c>
      <c r="ES113" s="15">
        <f>ES117+ES83-EQ83</f>
        <v>9506</v>
      </c>
      <c r="ET113" s="15">
        <f>ET117+ET83-ES83</f>
        <v>11990</v>
      </c>
      <c r="EU113" s="15">
        <f>EU117+EU83-ET83</f>
        <v>9940</v>
      </c>
      <c r="EV113" s="1635">
        <f>EV117+EV83-EU83</f>
        <v>10880.957043694378</v>
      </c>
      <c r="EW113" s="1636">
        <f>SUM(ES113:EV113)</f>
        <v>42316.957043694376</v>
      </c>
      <c r="EX113" s="1635">
        <f>EX117+EX83-EV83</f>
        <v>9782.0595200857297</v>
      </c>
      <c r="EY113" s="1635">
        <f>EY117+EY83-EX83</f>
        <v>12859.261584890808</v>
      </c>
      <c r="EZ113" s="1635">
        <f>EZ117+EZ83-EY83</f>
        <v>10033.814295140131</v>
      </c>
      <c r="FA113" s="1635">
        <f>FA117+FA83-EZ83</f>
        <v>11545.128455661252</v>
      </c>
      <c r="FB113" s="1636">
        <f>SUM(EX113:FA113)</f>
        <v>44220.263855777921</v>
      </c>
      <c r="FC113" s="1635">
        <f>FC117+FC83-FA83</f>
        <v>9939.5713191529885</v>
      </c>
      <c r="FD113" s="1635">
        <f>FD117+FD83-FC83</f>
        <v>13065.104832038607</v>
      </c>
      <c r="FE113" s="1635">
        <f>FE117+FE83-FD83</f>
        <v>10304.217470594964</v>
      </c>
      <c r="FF113" s="1635">
        <f>FF117+FF83-FE83</f>
        <v>12026.234097205121</v>
      </c>
      <c r="FG113" s="1636">
        <f>SUM(FC113:FF113)</f>
        <v>45335.127718991687</v>
      </c>
      <c r="FH113" s="1635">
        <f>FH117+FH83-FF83</f>
        <v>10025.895591883134</v>
      </c>
      <c r="FI113" s="1635">
        <f>FI117+FI83-FH83</f>
        <v>13170.550829185313</v>
      </c>
      <c r="FJ113" s="1635">
        <f>FJ117+FJ83-FI83</f>
        <v>10486.21023457951</v>
      </c>
      <c r="FK113" s="1635">
        <f>FK117+FK83-FJ83</f>
        <v>12439.957060744853</v>
      </c>
      <c r="FL113" s="1636">
        <f>SUM(FH113:FK113)</f>
        <v>46122.613716392807</v>
      </c>
      <c r="FM113" s="1638"/>
      <c r="FN113" s="1638"/>
      <c r="FO113" s="1638"/>
      <c r="FP113" s="1638"/>
      <c r="FQ113" s="1638"/>
    </row>
    <row r="114" spans="1:173" s="31" customFormat="1" ht="12">
      <c r="A114" s="1589" t="s">
        <v>163</v>
      </c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C114" s="92"/>
      <c r="BD114" s="92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  <c r="CI114" s="92"/>
      <c r="CJ114" s="92"/>
      <c r="CK114" s="92"/>
      <c r="CL114" s="92"/>
      <c r="CM114" s="92"/>
      <c r="CN114" s="92"/>
      <c r="CO114" s="92"/>
      <c r="CP114" s="92"/>
      <c r="CQ114" s="92"/>
      <c r="CR114" s="92"/>
      <c r="CS114" s="92"/>
      <c r="CT114" s="92"/>
      <c r="CU114" s="92"/>
      <c r="CV114" s="92"/>
      <c r="CW114" s="92"/>
      <c r="CX114" s="1601"/>
      <c r="CY114" s="92"/>
      <c r="CZ114" s="92"/>
      <c r="DA114" s="92"/>
      <c r="DB114" s="92"/>
      <c r="DC114" s="92"/>
      <c r="DD114" s="92"/>
      <c r="DE114" s="92"/>
      <c r="DF114" s="92"/>
      <c r="DG114" s="92"/>
      <c r="DH114" s="92"/>
      <c r="DI114" s="92"/>
      <c r="DJ114" s="92"/>
      <c r="DK114" s="92"/>
      <c r="DL114" s="92"/>
      <c r="DM114" s="92"/>
      <c r="DN114" s="92"/>
      <c r="DO114" s="92"/>
      <c r="DP114" s="92"/>
      <c r="DQ114" s="92"/>
      <c r="DR114" s="92"/>
      <c r="DS114" s="92"/>
      <c r="DT114" s="92"/>
      <c r="DU114" s="92"/>
      <c r="DV114" s="92"/>
      <c r="DW114" s="92"/>
      <c r="DX114" s="54"/>
      <c r="DY114" s="92"/>
      <c r="DZ114" s="92"/>
      <c r="EA114" s="92"/>
      <c r="EB114" s="92"/>
      <c r="EC114" s="54"/>
      <c r="ED114" s="92"/>
      <c r="EE114" s="92"/>
      <c r="EF114" s="92"/>
      <c r="EG114" s="92"/>
      <c r="EH114" s="54"/>
      <c r="EI114" s="1602">
        <f t="shared" ref="EI114:FB114" si="200">EI113/ED113-1</f>
        <v>-0.22172070744288874</v>
      </c>
      <c r="EJ114" s="1602">
        <f t="shared" si="200"/>
        <v>-3.9522058823529438E-2</v>
      </c>
      <c r="EK114" s="1637">
        <f t="shared" si="200"/>
        <v>3.607170350819322E-2</v>
      </c>
      <c r="EL114" s="1637">
        <f t="shared" si="200"/>
        <v>-2.6417056682267237E-2</v>
      </c>
      <c r="EM114" s="1634">
        <f t="shared" si="200"/>
        <v>-6.6846550915063307E-2</v>
      </c>
      <c r="EN114" s="1602">
        <f t="shared" si="200"/>
        <v>0.1178837732276008</v>
      </c>
      <c r="EO114" s="1602">
        <f t="shared" si="200"/>
        <v>-6.6347687400318933E-2</v>
      </c>
      <c r="EP114" s="1637">
        <f t="shared" si="200"/>
        <v>-6.8994798853624917E-2</v>
      </c>
      <c r="EQ114" s="1637">
        <f t="shared" si="200"/>
        <v>2.28608054695012E-2</v>
      </c>
      <c r="ER114" s="1634">
        <f t="shared" si="200"/>
        <v>-6.8391541575519854E-3</v>
      </c>
      <c r="ES114" s="1602">
        <f t="shared" si="200"/>
        <v>6.4584436209633722E-3</v>
      </c>
      <c r="ET114" s="1602">
        <f t="shared" si="200"/>
        <v>2.4086094977793016E-2</v>
      </c>
      <c r="EU114" s="1602">
        <f t="shared" si="200"/>
        <v>0.13328012769353559</v>
      </c>
      <c r="EV114" s="1637">
        <f t="shared" si="200"/>
        <v>0.13639238054249381</v>
      </c>
      <c r="EW114" s="1634">
        <f t="shared" si="200"/>
        <v>7.1342490789497948E-2</v>
      </c>
      <c r="EX114" s="1637">
        <f t="shared" si="200"/>
        <v>2.9040555447688687E-2</v>
      </c>
      <c r="EY114" s="1637">
        <f t="shared" si="200"/>
        <v>7.2498881141852323E-2</v>
      </c>
      <c r="EZ114" s="1637">
        <f t="shared" si="200"/>
        <v>9.4380578611801269E-3</v>
      </c>
      <c r="FA114" s="1637">
        <f t="shared" si="200"/>
        <v>6.1039797262297579E-2</v>
      </c>
      <c r="FB114" s="1634">
        <f t="shared" si="200"/>
        <v>4.4977402560356206E-2</v>
      </c>
      <c r="FC114" s="1637">
        <f t="shared" ref="FC114" si="201">FC113/EX113-1</f>
        <v>1.610211006627349E-2</v>
      </c>
      <c r="FD114" s="1637">
        <f t="shared" ref="FD114" si="202">FD113/EY113-1</f>
        <v>1.6007392476536708E-2</v>
      </c>
      <c r="FE114" s="1637">
        <f t="shared" ref="FE114" si="203">FE113/EZ113-1</f>
        <v>2.6949190756480501E-2</v>
      </c>
      <c r="FF114" s="1637">
        <f t="shared" ref="FF114" si="204">FF113/FA113-1</f>
        <v>4.1671744354473184E-2</v>
      </c>
      <c r="FG114" s="1634">
        <f t="shared" ref="FG114" si="205">FG113/FB113-1</f>
        <v>2.5211605856759078E-2</v>
      </c>
      <c r="FH114" s="1637">
        <f t="shared" ref="FH114" si="206">FH113/FC113-1</f>
        <v>8.68490903262642E-3</v>
      </c>
      <c r="FI114" s="1637">
        <f t="shared" ref="FI114" si="207">FI113/FD113-1</f>
        <v>8.0708114096512684E-3</v>
      </c>
      <c r="FJ114" s="1637">
        <f t="shared" ref="FJ114" si="208">FJ113/FE113-1</f>
        <v>1.7661968461350597E-2</v>
      </c>
      <c r="FK114" s="1637">
        <f t="shared" ref="FK114" si="209">FK113/FF113-1</f>
        <v>3.4401705487828504E-2</v>
      </c>
      <c r="FL114" s="1634">
        <f t="shared" ref="FL114" si="210">FL113/FG113-1</f>
        <v>1.7370327095631577E-2</v>
      </c>
      <c r="FM114" s="1637"/>
      <c r="FN114" s="1637"/>
      <c r="FO114" s="1637"/>
      <c r="FP114" s="1637"/>
      <c r="FQ114" s="1637"/>
    </row>
    <row r="115" spans="1:173" s="31" customFormat="1" ht="12">
      <c r="A115" s="1589" t="s">
        <v>667</v>
      </c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W115" s="92"/>
      <c r="AX115" s="92"/>
      <c r="AY115" s="92"/>
      <c r="AZ115" s="92"/>
      <c r="BA115" s="92"/>
      <c r="BB115" s="92"/>
      <c r="BC115" s="92"/>
      <c r="BD115" s="92"/>
      <c r="BE115" s="92"/>
      <c r="BF115" s="92"/>
      <c r="BG115" s="92"/>
      <c r="BH115" s="92"/>
      <c r="BI115" s="92"/>
      <c r="BJ115" s="92"/>
      <c r="BK115" s="92"/>
      <c r="BL115" s="92"/>
      <c r="BM115" s="92"/>
      <c r="BN115" s="92"/>
      <c r="BO115" s="92"/>
      <c r="BP115" s="92"/>
      <c r="BQ115" s="92"/>
      <c r="BR115" s="92"/>
      <c r="BS115" s="92"/>
      <c r="BT115" s="92"/>
      <c r="BU115" s="92"/>
      <c r="BV115" s="92"/>
      <c r="BW115" s="92"/>
      <c r="BX115" s="92"/>
      <c r="BY115" s="92"/>
      <c r="BZ115" s="92"/>
      <c r="CA115" s="92"/>
      <c r="CB115" s="92"/>
      <c r="CC115" s="92"/>
      <c r="CD115" s="92"/>
      <c r="CE115" s="92"/>
      <c r="CF115" s="92"/>
      <c r="CG115" s="92"/>
      <c r="CH115" s="92"/>
      <c r="CI115" s="92"/>
      <c r="CJ115" s="92"/>
      <c r="CK115" s="92"/>
      <c r="CL115" s="92"/>
      <c r="CM115" s="92"/>
      <c r="CN115" s="92"/>
      <c r="CO115" s="92"/>
      <c r="CP115" s="92"/>
      <c r="CQ115" s="92"/>
      <c r="CR115" s="92"/>
      <c r="CS115" s="92"/>
      <c r="CT115" s="92"/>
      <c r="CU115" s="92"/>
      <c r="CV115" s="92"/>
      <c r="CW115" s="92"/>
      <c r="CX115" s="1601"/>
      <c r="CY115" s="92"/>
      <c r="CZ115" s="92"/>
      <c r="DA115" s="92"/>
      <c r="DB115" s="92"/>
      <c r="DC115" s="92"/>
      <c r="DD115" s="92"/>
      <c r="DE115" s="92"/>
      <c r="DF115" s="92"/>
      <c r="DG115" s="92"/>
      <c r="DH115" s="92"/>
      <c r="DI115" s="92"/>
      <c r="DJ115" s="92"/>
      <c r="DK115" s="92"/>
      <c r="DL115" s="92"/>
      <c r="DM115" s="92"/>
      <c r="DN115" s="92"/>
      <c r="DO115" s="92"/>
      <c r="DP115" s="92"/>
      <c r="DQ115" s="92"/>
      <c r="DR115" s="92"/>
      <c r="DS115" s="92"/>
      <c r="DT115" s="92"/>
      <c r="DU115" s="92"/>
      <c r="DV115" s="92"/>
      <c r="DW115" s="92"/>
      <c r="DX115" s="54"/>
      <c r="DY115" s="92"/>
      <c r="DZ115" s="92"/>
      <c r="EA115" s="92"/>
      <c r="EB115" s="92"/>
      <c r="EC115" s="54"/>
      <c r="ED115" s="92"/>
      <c r="EE115" s="1602">
        <f>EE113/ED113-1</f>
        <v>0.2026529108327193</v>
      </c>
      <c r="EF115" s="1602">
        <f>EF113/EE113-1</f>
        <v>-0.30353860294117652</v>
      </c>
      <c r="EG115" s="1602">
        <f>EG113/EF113-1</f>
        <v>5.7406796436819452E-2</v>
      </c>
      <c r="EH115" s="54"/>
      <c r="EI115" s="1602">
        <f>EI113/EG113-1</f>
        <v>-0.12126885075403016</v>
      </c>
      <c r="EJ115" s="1637">
        <f>EJ113/EI113-1</f>
        <v>0.48419931352822809</v>
      </c>
      <c r="EK115" s="1637">
        <f>EK113/EJ113-1</f>
        <v>-0.24872408293460924</v>
      </c>
      <c r="EL115" s="1637">
        <f>EL113/EK113-1</f>
        <v>-6.368750663411582E-3</v>
      </c>
      <c r="EM115" s="1633"/>
      <c r="EN115" s="1602">
        <f>EN113/EL113-1</f>
        <v>8.9734002777481781E-3</v>
      </c>
      <c r="EO115" s="1637">
        <f>EO113/EN113-1</f>
        <v>0.2395976707252514</v>
      </c>
      <c r="EP115" s="1637">
        <f>EP113/EO113-1</f>
        <v>-0.25085411684318415</v>
      </c>
      <c r="EQ115" s="1637">
        <f>EQ113/EP113-1</f>
        <v>9.1665716565956012E-2</v>
      </c>
      <c r="ER115" s="1633"/>
      <c r="ES115" s="1602">
        <f>ES113/EQ113-1</f>
        <v>-7.206266318537824E-3</v>
      </c>
      <c r="ET115" s="1602">
        <f>ET113/ES113-1</f>
        <v>0.26130864717020819</v>
      </c>
      <c r="EU115" s="1602">
        <f>EU113/ET113-1</f>
        <v>-0.17097581317764809</v>
      </c>
      <c r="EV115" s="1637">
        <f>EV113/EU113-1</f>
        <v>9.4663686488367871E-2</v>
      </c>
      <c r="EW115" s="1633"/>
      <c r="EX115" s="1637">
        <f>EX113/EV113-1</f>
        <v>-0.1009927269444989</v>
      </c>
      <c r="EY115" s="1637">
        <f>EY113/EX113-1</f>
        <v>0.31457609294715372</v>
      </c>
      <c r="EZ115" s="1637">
        <f>EZ113/EY113-1</f>
        <v>-0.21972080364789226</v>
      </c>
      <c r="FA115" s="1637">
        <f>FA113/EZ113-1</f>
        <v>0.15062209804432247</v>
      </c>
      <c r="FB115" s="1633"/>
      <c r="FC115" s="1637">
        <f>FC113/FA113-1</f>
        <v>-0.13906793178390009</v>
      </c>
      <c r="FD115" s="1637">
        <f>FD113/FC113-1</f>
        <v>0.3144535526258454</v>
      </c>
      <c r="FE115" s="1637">
        <f>FE113/FD113-1</f>
        <v>-0.21131765852144713</v>
      </c>
      <c r="FF115" s="1637">
        <f>FF113/FE113-1</f>
        <v>0.16711765173088189</v>
      </c>
      <c r="FG115" s="1633"/>
      <c r="FH115" s="1637">
        <f>FH113/FF113-1</f>
        <v>-0.16633124626992435</v>
      </c>
      <c r="FI115" s="1637">
        <f>FI113/FH113-1</f>
        <v>0.31365329994539937</v>
      </c>
      <c r="FJ115" s="1637">
        <f>FJ113/FI113-1</f>
        <v>-0.20381384419074045</v>
      </c>
      <c r="FK115" s="1637">
        <f>FK113/FJ113-1</f>
        <v>0.18631581691187482</v>
      </c>
      <c r="FL115" s="1633"/>
      <c r="FM115" s="1638"/>
      <c r="FN115" s="1638"/>
      <c r="FO115" s="1638"/>
      <c r="FP115" s="1638"/>
      <c r="FQ115" s="1638"/>
    </row>
    <row r="116" spans="1:173" s="31" customFormat="1" ht="12">
      <c r="A116" s="1589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W116" s="92"/>
      <c r="AX116" s="92"/>
      <c r="AY116" s="92"/>
      <c r="AZ116" s="92"/>
      <c r="BA116" s="92"/>
      <c r="BB116" s="92"/>
      <c r="BC116" s="92"/>
      <c r="BD116" s="92"/>
      <c r="BE116" s="92"/>
      <c r="BF116" s="92"/>
      <c r="BG116" s="92"/>
      <c r="BH116" s="92"/>
      <c r="BI116" s="92"/>
      <c r="BJ116" s="92"/>
      <c r="BK116" s="92"/>
      <c r="BL116" s="92"/>
      <c r="BM116" s="92"/>
      <c r="BN116" s="92"/>
      <c r="BO116" s="92"/>
      <c r="BP116" s="92"/>
      <c r="BQ116" s="92"/>
      <c r="BR116" s="92"/>
      <c r="BS116" s="92"/>
      <c r="BT116" s="92"/>
      <c r="BU116" s="92"/>
      <c r="BV116" s="92"/>
      <c r="BW116" s="92"/>
      <c r="BX116" s="92"/>
      <c r="BY116" s="92"/>
      <c r="BZ116" s="92"/>
      <c r="CA116" s="92"/>
      <c r="CB116" s="92"/>
      <c r="CC116" s="92"/>
      <c r="CD116" s="92"/>
      <c r="CE116" s="92"/>
      <c r="CF116" s="92"/>
      <c r="CG116" s="92"/>
      <c r="CH116" s="92"/>
      <c r="CI116" s="92"/>
      <c r="CJ116" s="92"/>
      <c r="CK116" s="92"/>
      <c r="CL116" s="92"/>
      <c r="CM116" s="92"/>
      <c r="CN116" s="92"/>
      <c r="CO116" s="92"/>
      <c r="CP116" s="92"/>
      <c r="CQ116" s="92"/>
      <c r="CR116" s="92"/>
      <c r="CS116" s="92"/>
      <c r="CT116" s="92"/>
      <c r="CU116" s="92"/>
      <c r="CV116" s="92"/>
      <c r="CW116" s="92"/>
      <c r="CX116" s="1601"/>
      <c r="CY116" s="92"/>
      <c r="CZ116" s="92"/>
      <c r="DA116" s="92"/>
      <c r="DB116" s="92"/>
      <c r="DC116" s="92"/>
      <c r="DD116" s="92"/>
      <c r="DE116" s="92"/>
      <c r="DF116" s="92"/>
      <c r="DG116" s="92"/>
      <c r="DH116" s="92"/>
      <c r="DI116" s="92"/>
      <c r="DJ116" s="92"/>
      <c r="DK116" s="92"/>
      <c r="DL116" s="92"/>
      <c r="DM116" s="92"/>
      <c r="DN116" s="92"/>
      <c r="DO116" s="92"/>
      <c r="DP116" s="92"/>
      <c r="DQ116" s="92"/>
      <c r="DR116" s="92"/>
      <c r="DS116" s="92"/>
      <c r="DT116" s="92"/>
      <c r="DU116" s="92"/>
      <c r="DV116" s="92"/>
      <c r="DW116" s="92"/>
      <c r="DX116" s="54"/>
      <c r="DY116" s="92"/>
      <c r="DZ116" s="92"/>
      <c r="EA116" s="92"/>
      <c r="EB116" s="92"/>
      <c r="EC116" s="54"/>
      <c r="ED116" s="92"/>
      <c r="EE116" s="92"/>
      <c r="EF116" s="92"/>
      <c r="EG116" s="92"/>
      <c r="EH116" s="54"/>
      <c r="EI116" s="92"/>
      <c r="EJ116" s="1638"/>
      <c r="EK116" s="1638"/>
      <c r="EL116" s="1638"/>
      <c r="EM116" s="1633"/>
      <c r="EN116" s="92"/>
      <c r="EO116" s="1638"/>
      <c r="EP116" s="1638"/>
      <c r="EQ116" s="1638"/>
      <c r="ER116" s="1633"/>
      <c r="ES116" s="92"/>
      <c r="ET116" s="92"/>
      <c r="EU116" s="92"/>
      <c r="EV116" s="1638"/>
      <c r="EW116" s="1633"/>
      <c r="EX116" s="1638"/>
      <c r="EY116" s="1638"/>
      <c r="EZ116" s="1638"/>
      <c r="FA116" s="1638"/>
      <c r="FB116" s="1633"/>
      <c r="FC116" s="1638"/>
      <c r="FD116" s="1638"/>
      <c r="FE116" s="1638"/>
      <c r="FF116" s="1638"/>
      <c r="FG116" s="1633"/>
      <c r="FH116" s="1638"/>
      <c r="FI116" s="1638"/>
      <c r="FJ116" s="1638"/>
      <c r="FK116" s="1638"/>
      <c r="FL116" s="1633"/>
      <c r="FM116" s="1638"/>
      <c r="FN116" s="1638"/>
      <c r="FO116" s="1638"/>
      <c r="FP116" s="1638"/>
      <c r="FQ116" s="1638"/>
    </row>
    <row r="117" spans="1:173" s="31" customFormat="1" ht="12">
      <c r="A117" s="1606" t="s">
        <v>1048</v>
      </c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C117" s="92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  <c r="CI117" s="92"/>
      <c r="CJ117" s="92"/>
      <c r="CK117" s="92"/>
      <c r="CL117" s="92"/>
      <c r="CM117" s="92"/>
      <c r="CN117" s="92"/>
      <c r="CO117" s="92"/>
      <c r="CP117" s="92"/>
      <c r="CQ117" s="92"/>
      <c r="CR117" s="92"/>
      <c r="CS117" s="92"/>
      <c r="CT117" s="92"/>
      <c r="CU117" s="92"/>
      <c r="CV117" s="92"/>
      <c r="CW117" s="92"/>
      <c r="CX117" s="1601"/>
      <c r="CY117" s="92"/>
      <c r="CZ117" s="92"/>
      <c r="DA117" s="92"/>
      <c r="DB117" s="92"/>
      <c r="DC117" s="92"/>
      <c r="DD117" s="92"/>
      <c r="DE117" s="92"/>
      <c r="DF117" s="92"/>
      <c r="DG117" s="92"/>
      <c r="DH117" s="92"/>
      <c r="DI117" s="92"/>
      <c r="DJ117" s="92"/>
      <c r="DK117" s="92"/>
      <c r="DL117" s="92"/>
      <c r="DM117" s="92"/>
      <c r="DN117" s="92"/>
      <c r="DO117" s="92"/>
      <c r="DP117" s="92"/>
      <c r="DQ117" s="92"/>
      <c r="DR117" s="92"/>
      <c r="DS117" s="92"/>
      <c r="DT117" s="92"/>
      <c r="DU117" s="92"/>
      <c r="DV117" s="92"/>
      <c r="DW117" s="92"/>
      <c r="DX117" s="54">
        <f>'Rev Overview'!BJ24</f>
        <v>31951</v>
      </c>
      <c r="DY117" s="92">
        <f>'Rev Overview'!BK24</f>
        <v>7594</v>
      </c>
      <c r="DZ117" s="92">
        <f>'Rev Overview'!BL24</f>
        <v>12070</v>
      </c>
      <c r="EA117" s="92">
        <f>'Rev Overview'!BM24</f>
        <v>8451</v>
      </c>
      <c r="EB117" s="92">
        <f>'Rev Overview'!BN24</f>
        <v>10292</v>
      </c>
      <c r="EC117" s="54">
        <f>'Rev Overview'!BO24</f>
        <v>38407</v>
      </c>
      <c r="ED117" s="92">
        <f>'Rev Overview'!BP24</f>
        <v>11236</v>
      </c>
      <c r="EE117" s="92">
        <f>'Rev Overview'!BQ24</f>
        <v>13203</v>
      </c>
      <c r="EF117" s="92">
        <f>'Rev Overview'!BR24</f>
        <v>9309</v>
      </c>
      <c r="EG117" s="92">
        <f>'Rev Overview'!BS24</f>
        <v>9205</v>
      </c>
      <c r="EH117" s="54">
        <f>'Rev Overview'!BT24</f>
        <v>42953</v>
      </c>
      <c r="EI117" s="92">
        <f>'Rev Overview'!BU24</f>
        <v>9329</v>
      </c>
      <c r="EJ117" s="1638">
        <f>'Rev Overview'!BV24</f>
        <v>12513</v>
      </c>
      <c r="EK117" s="1638">
        <f>'Rev Overview'!BW24</f>
        <v>9387</v>
      </c>
      <c r="EL117" s="1638">
        <f>'Rev Overview'!BX24</f>
        <v>9181</v>
      </c>
      <c r="EM117" s="1633">
        <f>'Rev Overview'!BY24</f>
        <v>40410</v>
      </c>
      <c r="EN117" s="92">
        <f>'Rev Overview'!BZ24</f>
        <v>9395</v>
      </c>
      <c r="EO117" s="1638">
        <f>'Rev Overview'!CA24</f>
        <v>11889</v>
      </c>
      <c r="EP117" s="1638">
        <f>'Rev Overview'!CB24</f>
        <v>8775</v>
      </c>
      <c r="EQ117" s="1638">
        <f>'Rev Overview'!CC24</f>
        <v>9235</v>
      </c>
      <c r="ER117" s="1633">
        <f>'Rev Overview'!CD24</f>
        <v>39294</v>
      </c>
      <c r="ES117" s="92">
        <f>'Rev Overview'!CE24</f>
        <v>9378</v>
      </c>
      <c r="ET117" s="92">
        <f>'Rev Overview'!CF24</f>
        <v>12170</v>
      </c>
      <c r="EU117" s="92">
        <f>'Rev Overview'!CG24</f>
        <v>9917</v>
      </c>
      <c r="EV117" s="1638">
        <f>'Rev Overview'!CH24</f>
        <v>10316.781548477304</v>
      </c>
      <c r="EW117" s="1633">
        <f>'Rev Overview'!CI24</f>
        <v>41781.781548477302</v>
      </c>
      <c r="EX117" s="1638">
        <f>'Rev Overview'!CJ24</f>
        <v>10031.672378105135</v>
      </c>
      <c r="EY117" s="1638">
        <f>'Rev Overview'!CK24</f>
        <v>13016.905252087286</v>
      </c>
      <c r="EZ117" s="1638">
        <f>'Rev Overview'!CL24</f>
        <v>10057.118141595263</v>
      </c>
      <c r="FA117" s="1638">
        <f>'Rev Overview'!CM24</f>
        <v>10577.363130495323</v>
      </c>
      <c r="FB117" s="1633">
        <f>'Rev Overview'!CN24</f>
        <v>43683.058902283003</v>
      </c>
      <c r="FC117" s="1638">
        <f>'Rev Overview'!CO24</f>
        <v>10234.442697514844</v>
      </c>
      <c r="FD117" s="1638">
        <f>'Rev Overview'!CP24</f>
        <v>13251.331638642572</v>
      </c>
      <c r="FE117" s="1638">
        <f>'Rev Overview'!CQ24</f>
        <v>10331.746650701636</v>
      </c>
      <c r="FF117" s="1638">
        <f>'Rev Overview'!CR24</f>
        <v>10884.057085211818</v>
      </c>
      <c r="FG117" s="1633">
        <f>'Rev Overview'!CS24</f>
        <v>44701.578072070872</v>
      </c>
      <c r="FH117" s="1638">
        <f>'Rev Overview'!CT24</f>
        <v>10374.23153285562</v>
      </c>
      <c r="FI117" s="1638">
        <f>'Rev Overview'!CU24</f>
        <v>13390.543323109523</v>
      </c>
      <c r="FJ117" s="1638">
        <f>'Rev Overview'!CV24</f>
        <v>10518.730864116134</v>
      </c>
      <c r="FK117" s="1638">
        <f>'Rev Overview'!CW24</f>
        <v>11091.761010589684</v>
      </c>
      <c r="FL117" s="1633">
        <f>'Rev Overview'!CX24</f>
        <v>45375.266730670963</v>
      </c>
      <c r="FM117" s="1638"/>
      <c r="FN117" s="1638"/>
      <c r="FO117" s="1638"/>
      <c r="FP117" s="1638"/>
      <c r="FQ117" s="1638"/>
    </row>
    <row r="118" spans="1:173" s="31" customFormat="1" ht="12">
      <c r="A118" s="1589" t="s">
        <v>163</v>
      </c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W118" s="92"/>
      <c r="AX118" s="92"/>
      <c r="AY118" s="92"/>
      <c r="AZ118" s="92"/>
      <c r="BA118" s="92"/>
      <c r="BB118" s="92"/>
      <c r="BC118" s="92"/>
      <c r="BD118" s="92"/>
      <c r="BE118" s="92"/>
      <c r="BF118" s="92"/>
      <c r="BG118" s="92"/>
      <c r="BH118" s="92"/>
      <c r="BI118" s="92"/>
      <c r="BJ118" s="92"/>
      <c r="BK118" s="92"/>
      <c r="BL118" s="92"/>
      <c r="BM118" s="92"/>
      <c r="BN118" s="92"/>
      <c r="BO118" s="92"/>
      <c r="BP118" s="92"/>
      <c r="BQ118" s="92"/>
      <c r="BR118" s="92"/>
      <c r="BS118" s="92"/>
      <c r="BT118" s="92"/>
      <c r="BU118" s="92"/>
      <c r="BV118" s="92"/>
      <c r="BW118" s="92"/>
      <c r="BX118" s="92"/>
      <c r="BY118" s="92"/>
      <c r="BZ118" s="92"/>
      <c r="CA118" s="92"/>
      <c r="CB118" s="92"/>
      <c r="CC118" s="92"/>
      <c r="CD118" s="92"/>
      <c r="CE118" s="92"/>
      <c r="CF118" s="92"/>
      <c r="CG118" s="92"/>
      <c r="CH118" s="92"/>
      <c r="CI118" s="92"/>
      <c r="CJ118" s="92"/>
      <c r="CK118" s="92"/>
      <c r="CL118" s="92"/>
      <c r="CM118" s="92"/>
      <c r="CN118" s="92"/>
      <c r="CO118" s="92"/>
      <c r="CP118" s="92"/>
      <c r="CQ118" s="92"/>
      <c r="CR118" s="92"/>
      <c r="CS118" s="92"/>
      <c r="CT118" s="92"/>
      <c r="CU118" s="92"/>
      <c r="CV118" s="92"/>
      <c r="CW118" s="92"/>
      <c r="CX118" s="1601"/>
      <c r="CY118" s="92"/>
      <c r="CZ118" s="92"/>
      <c r="DA118" s="92"/>
      <c r="DB118" s="92"/>
      <c r="DC118" s="92"/>
      <c r="DD118" s="92"/>
      <c r="DE118" s="92"/>
      <c r="DF118" s="92"/>
      <c r="DG118" s="92"/>
      <c r="DH118" s="92"/>
      <c r="DI118" s="92"/>
      <c r="DJ118" s="92"/>
      <c r="DK118" s="92"/>
      <c r="DL118" s="92"/>
      <c r="DM118" s="92"/>
      <c r="DN118" s="92"/>
      <c r="DO118" s="92"/>
      <c r="DP118" s="92"/>
      <c r="DQ118" s="92"/>
      <c r="DR118" s="92"/>
      <c r="DS118" s="92"/>
      <c r="DT118" s="92"/>
      <c r="DU118" s="92"/>
      <c r="DV118" s="92"/>
      <c r="DW118" s="92"/>
      <c r="DX118" s="54"/>
      <c r="DY118" s="92"/>
      <c r="DZ118" s="92"/>
      <c r="EA118" s="92"/>
      <c r="EB118" s="92"/>
      <c r="EC118" s="1622">
        <f>'Rev Overview'!BO25</f>
        <v>0.2020594034615506</v>
      </c>
      <c r="ED118" s="1602">
        <f>'Rev Overview'!BP25</f>
        <v>0.47958914932841723</v>
      </c>
      <c r="EE118" s="1602">
        <f>'Rev Overview'!BQ25</f>
        <v>9.3869096934548368E-2</v>
      </c>
      <c r="EF118" s="1602">
        <f>'Rev Overview'!BR25</f>
        <v>0.10152644657436993</v>
      </c>
      <c r="EG118" s="1602">
        <f>'Rev Overview'!BS25</f>
        <v>-0.10561601243684415</v>
      </c>
      <c r="EH118" s="1622">
        <f>'Rev Overview'!BT25</f>
        <v>0.11836383992501376</v>
      </c>
      <c r="EI118" s="1602">
        <f>'Rev Overview'!BU25</f>
        <v>0</v>
      </c>
      <c r="EJ118" s="1637">
        <f>'Rev Overview'!BV25</f>
        <v>0</v>
      </c>
      <c r="EK118" s="1637">
        <f>'Rev Overview'!BW25</f>
        <v>0</v>
      </c>
      <c r="EL118" s="1637">
        <f>'Rev Overview'!BX25</f>
        <v>0</v>
      </c>
      <c r="EM118" s="1634">
        <f>'Rev Overview'!BY25</f>
        <v>0</v>
      </c>
      <c r="EN118" s="1602">
        <f>'Rev Overview'!BZ25</f>
        <v>7.0747132597277496E-3</v>
      </c>
      <c r="EO118" s="1637">
        <f>'Rev Overview'!CA25</f>
        <v>-4.9868137137377144E-2</v>
      </c>
      <c r="EP118" s="1637">
        <f>'Rev Overview'!CB25</f>
        <v>-6.5196548418024913E-2</v>
      </c>
      <c r="EQ118" s="1637">
        <f>'Rev Overview'!CC25</f>
        <v>5.8817122317831316E-3</v>
      </c>
      <c r="ER118" s="1634">
        <f>'Rev Overview'!CD25</f>
        <v>-2.76169265033408E-2</v>
      </c>
      <c r="ES118" s="1602">
        <f>'Rev Overview'!CE25</f>
        <v>-1.8094731240021478E-3</v>
      </c>
      <c r="ET118" s="1602">
        <f>'Rev Overview'!CF25</f>
        <v>2.3635293128101642E-2</v>
      </c>
      <c r="EU118" s="1602">
        <f>'Rev Overview'!CG25</f>
        <v>0.13014245014245018</v>
      </c>
      <c r="EV118" s="1637">
        <f>'Rev Overview'!CH25</f>
        <v>0.11713931223360086</v>
      </c>
      <c r="EW118" s="1634">
        <f>'Rev Overview'!CI25</f>
        <v>6.3311995431294843E-2</v>
      </c>
      <c r="EX118" s="1637">
        <f>'Rev Overview'!CJ25</f>
        <v>6.9702748784936652E-2</v>
      </c>
      <c r="EY118" s="1637">
        <f>'Rev Overview'!CK25</f>
        <v>6.9589585216703886E-2</v>
      </c>
      <c r="EZ118" s="1637">
        <f>'Rev Overview'!CL25</f>
        <v>1.412908556975534E-2</v>
      </c>
      <c r="FA118" s="1637">
        <f>'Rev Overview'!CM25</f>
        <v>2.5258030403530141E-2</v>
      </c>
      <c r="FB118" s="1634">
        <f>'Rev Overview'!CN25</f>
        <v>4.5504937399563516E-2</v>
      </c>
      <c r="FC118" s="1637">
        <f>'Rev Overview'!CO25</f>
        <v>2.021301252344232E-2</v>
      </c>
      <c r="FD118" s="1637">
        <f>'Rev Overview'!CP25</f>
        <v>1.8009379496535471E-2</v>
      </c>
      <c r="FE118" s="1637">
        <f>'Rev Overview'!CQ25</f>
        <v>2.7306879091987257E-2</v>
      </c>
      <c r="FF118" s="1637">
        <f>'Rev Overview'!CR25</f>
        <v>2.8995313003131518E-2</v>
      </c>
      <c r="FG118" s="1634">
        <f>'Rev Overview'!CS25</f>
        <v>2.3316113737965383E-2</v>
      </c>
      <c r="FH118" s="1637">
        <f>'Rev Overview'!CT25</f>
        <v>1.3658666082005722E-2</v>
      </c>
      <c r="FI118" s="1637">
        <f>'Rev Overview'!CU25</f>
        <v>1.0505486411719778E-2</v>
      </c>
      <c r="FJ118" s="1637">
        <f>'Rev Overview'!CV25</f>
        <v>1.8098025410040464E-2</v>
      </c>
      <c r="FK118" s="1637">
        <f>'Rev Overview'!CW25</f>
        <v>1.9083318265582516E-2</v>
      </c>
      <c r="FL118" s="1634">
        <f>'Rev Overview'!CX25</f>
        <v>1.5070802590323007E-2</v>
      </c>
      <c r="FM118" s="1637"/>
      <c r="FN118" s="1637"/>
      <c r="FO118" s="1637"/>
      <c r="FP118" s="1637"/>
      <c r="FQ118" s="1637"/>
    </row>
    <row r="119" spans="1:173" s="31" customFormat="1" ht="12">
      <c r="A119" s="1589" t="s">
        <v>667</v>
      </c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W119" s="92"/>
      <c r="AX119" s="92"/>
      <c r="AY119" s="92"/>
      <c r="AZ119" s="92"/>
      <c r="BA119" s="92"/>
      <c r="BB119" s="92"/>
      <c r="BC119" s="92"/>
      <c r="BD119" s="92"/>
      <c r="BE119" s="92"/>
      <c r="BF119" s="92"/>
      <c r="BG119" s="92"/>
      <c r="BH119" s="92"/>
      <c r="BI119" s="92"/>
      <c r="BJ119" s="92"/>
      <c r="BK119" s="92"/>
      <c r="BL119" s="92"/>
      <c r="BM119" s="92"/>
      <c r="BN119" s="92"/>
      <c r="BO119" s="92"/>
      <c r="BP119" s="92"/>
      <c r="BQ119" s="92"/>
      <c r="BR119" s="92"/>
      <c r="BS119" s="92"/>
      <c r="BT119" s="92"/>
      <c r="BU119" s="92"/>
      <c r="BV119" s="92"/>
      <c r="BW119" s="92"/>
      <c r="BX119" s="92"/>
      <c r="BY119" s="92"/>
      <c r="BZ119" s="92"/>
      <c r="CA119" s="92"/>
      <c r="CB119" s="92"/>
      <c r="CC119" s="92"/>
      <c r="CD119" s="92"/>
      <c r="CE119" s="92"/>
      <c r="CF119" s="92"/>
      <c r="CG119" s="92"/>
      <c r="CH119" s="92"/>
      <c r="CI119" s="92"/>
      <c r="CJ119" s="92"/>
      <c r="CK119" s="92"/>
      <c r="CL119" s="92"/>
      <c r="CM119" s="92"/>
      <c r="CN119" s="92"/>
      <c r="CO119" s="92"/>
      <c r="CP119" s="92"/>
      <c r="CQ119" s="92"/>
      <c r="CR119" s="92"/>
      <c r="CS119" s="92"/>
      <c r="CT119" s="92"/>
      <c r="CU119" s="92"/>
      <c r="CV119" s="92"/>
      <c r="CW119" s="92"/>
      <c r="CX119" s="1601"/>
      <c r="CY119" s="92"/>
      <c r="CZ119" s="92"/>
      <c r="DA119" s="92"/>
      <c r="DB119" s="92"/>
      <c r="DC119" s="92"/>
      <c r="DD119" s="92"/>
      <c r="DE119" s="92"/>
      <c r="DF119" s="92"/>
      <c r="DG119" s="92"/>
      <c r="DH119" s="92"/>
      <c r="DI119" s="92"/>
      <c r="DJ119" s="92"/>
      <c r="DK119" s="92"/>
      <c r="DL119" s="92"/>
      <c r="DM119" s="92"/>
      <c r="DN119" s="92"/>
      <c r="DO119" s="92"/>
      <c r="DP119" s="92"/>
      <c r="DQ119" s="92"/>
      <c r="DR119" s="92"/>
      <c r="DS119" s="92"/>
      <c r="DT119" s="92"/>
      <c r="DU119" s="92"/>
      <c r="DV119" s="92"/>
      <c r="DW119" s="92"/>
      <c r="DX119" s="54"/>
      <c r="DY119" s="92"/>
      <c r="DZ119" s="1602">
        <f>'Rev Overview'!BL27</f>
        <v>0.58941269423228859</v>
      </c>
      <c r="EA119" s="1602">
        <f>'Rev Overview'!BM27</f>
        <v>-0.29983429991714994</v>
      </c>
      <c r="EB119" s="1602">
        <f>'Rev Overview'!BN27</f>
        <v>0.21784404212519237</v>
      </c>
      <c r="EC119" s="1622"/>
      <c r="ED119" s="1602">
        <f>'Rev Overview'!BP27</f>
        <v>9.1721725612125882E-2</v>
      </c>
      <c r="EE119" s="1602">
        <f>'Rev Overview'!BQ27</f>
        <v>0.1750622997508009</v>
      </c>
      <c r="EF119" s="1602">
        <f>'Rev Overview'!BR27</f>
        <v>-0.2949329697795956</v>
      </c>
      <c r="EG119" s="1602">
        <f>'Rev Overview'!BS27</f>
        <v>-1.1171984101407295E-2</v>
      </c>
      <c r="EH119" s="1622"/>
      <c r="EI119" s="1602">
        <f>'Rev Overview'!BU27</f>
        <v>0</v>
      </c>
      <c r="EJ119" s="1637">
        <f>'Rev Overview'!BV27</f>
        <v>0.34130131846928924</v>
      </c>
      <c r="EK119" s="1637">
        <f>'Rev Overview'!BW27</f>
        <v>-0.24982018700551423</v>
      </c>
      <c r="EL119" s="1637">
        <f>'Rev Overview'!BX27</f>
        <v>-2.1945243421753524E-2</v>
      </c>
      <c r="EM119" s="1634"/>
      <c r="EN119" s="1602">
        <f>'Rev Overview'!BZ27</f>
        <v>2.3309007733362419E-2</v>
      </c>
      <c r="EO119" s="1637">
        <f>'Rev Overview'!CA27</f>
        <v>0.26546035125066525</v>
      </c>
      <c r="EP119" s="1637">
        <f>'Rev Overview'!CB27</f>
        <v>-0.26192278576835726</v>
      </c>
      <c r="EQ119" s="1637">
        <f>'Rev Overview'!CC27</f>
        <v>5.2421652421652531E-2</v>
      </c>
      <c r="ER119" s="1634"/>
      <c r="ES119" s="1602">
        <f>'Rev Overview'!CE27</f>
        <v>1.5484569572279394E-2</v>
      </c>
      <c r="ET119" s="1602">
        <f>'Rev Overview'!CF27</f>
        <v>0.29771806355299635</v>
      </c>
      <c r="EU119" s="1602">
        <f>'Rev Overview'!CG27</f>
        <v>-0.18512736236647498</v>
      </c>
      <c r="EV119" s="1637">
        <f>'Rev Overview'!CH27</f>
        <v>4.0312750678360709E-2</v>
      </c>
      <c r="EW119" s="1634"/>
      <c r="EX119" s="1637">
        <f>'Rev Overview'!CJ27</f>
        <v>-2.7635476144616922E-2</v>
      </c>
      <c r="EY119" s="1637">
        <f>'Rev Overview'!CK27</f>
        <v>0.29758077830548402</v>
      </c>
      <c r="EZ119" s="1637">
        <f>'Rev Overview'!CL27</f>
        <v>-0.22738024539415125</v>
      </c>
      <c r="FA119" s="1637">
        <f>'Rev Overview'!CM27</f>
        <v>5.1729032271021769E-2</v>
      </c>
      <c r="FB119" s="1634"/>
      <c r="FC119" s="1637">
        <f>'Rev Overview'!CO27</f>
        <v>-3.2420219363729186E-2</v>
      </c>
      <c r="FD119" s="1637">
        <f>'Rev Overview'!CP27</f>
        <v>0.29477803826683191</v>
      </c>
      <c r="FE119" s="1637">
        <f>'Rev Overview'!CQ27</f>
        <v>-0.22032389404752761</v>
      </c>
      <c r="FF119" s="1637">
        <f>'Rev Overview'!CR27</f>
        <v>5.3457605299746191E-2</v>
      </c>
      <c r="FG119" s="1634"/>
      <c r="FH119" s="1637">
        <f>'Rev Overview'!CT27</f>
        <v>-4.6841499301661926E-2</v>
      </c>
      <c r="FI119" s="1637">
        <f>'Rev Overview'!CU27</f>
        <v>0.29075038287907096</v>
      </c>
      <c r="FJ119" s="1637">
        <f>'Rev Overview'!CV27</f>
        <v>-0.21446571581880391</v>
      </c>
      <c r="FK119" s="1637">
        <f>'Rev Overview'!CW27</f>
        <v>5.4477118378263523E-2</v>
      </c>
      <c r="FL119" s="1634"/>
      <c r="FM119" s="1637"/>
      <c r="FN119" s="1637"/>
      <c r="FO119" s="1637"/>
      <c r="FP119" s="1637"/>
      <c r="FQ119" s="1637"/>
    </row>
    <row r="120" spans="1:173" s="31" customFormat="1" ht="12">
      <c r="A120" s="1594" t="s">
        <v>1031</v>
      </c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19"/>
      <c r="BH120" s="19"/>
      <c r="BI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19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603"/>
      <c r="CY120" s="19"/>
      <c r="CZ120" s="19"/>
      <c r="DA120" s="19"/>
      <c r="DB120" s="19"/>
      <c r="DC120" s="19"/>
      <c r="DD120" s="19"/>
      <c r="DE120" s="19"/>
      <c r="DF120" s="19"/>
      <c r="DG120" s="19"/>
      <c r="DH120" s="19"/>
      <c r="DI120" s="19"/>
      <c r="DJ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57"/>
      <c r="DY120" s="19"/>
      <c r="DZ120" s="19"/>
      <c r="EA120" s="19"/>
      <c r="EB120" s="19"/>
      <c r="EC120" s="57"/>
      <c r="ED120" s="19"/>
      <c r="EE120" s="19"/>
      <c r="EF120" s="19"/>
      <c r="EG120" s="19"/>
      <c r="EH120" s="57"/>
      <c r="EI120" s="1604">
        <f>'Rev Overview'!BU26</f>
        <v>-0.13670345318618726</v>
      </c>
      <c r="EJ120" s="1639">
        <f>'Rev Overview'!BV26</f>
        <v>-2.1661743543134104E-2</v>
      </c>
      <c r="EK120" s="1639">
        <f>'Rev Overview'!BW26</f>
        <v>3.1689762595337845E-2</v>
      </c>
      <c r="EL120" s="1639">
        <f>'Rev Overview'!BX26</f>
        <v>2.0966865833786041E-2</v>
      </c>
      <c r="EM120" s="1640"/>
      <c r="EN120" s="1604">
        <f>'Rev Overview'!BZ26</f>
        <v>1.747239789902455E-2</v>
      </c>
      <c r="EO120" s="1639">
        <f>'Rev Overview'!CA26</f>
        <v>-4.0358027651242745E-2</v>
      </c>
      <c r="EP120" s="1639">
        <f>'Rev Overview'!CB26</f>
        <v>-5.805901779056144E-2</v>
      </c>
      <c r="EQ120" s="1639">
        <f>'Rev Overview'!CC26</f>
        <v>1.3179392223069408E-2</v>
      </c>
      <c r="ER120" s="1640"/>
      <c r="ES120" s="1604">
        <f>'Rev Overview'!CE26</f>
        <v>-5.9606173496540293E-3</v>
      </c>
      <c r="ET120" s="1604">
        <f>'Rev Overview'!CF26</f>
        <v>2.0186727226848333E-2</v>
      </c>
      <c r="EU120" s="1604">
        <f>'Rev Overview'!CG26</f>
        <v>0.14735042735042736</v>
      </c>
      <c r="EV120" s="1641"/>
      <c r="EW120" s="1640"/>
      <c r="EX120" s="1641"/>
      <c r="EY120" s="1641"/>
      <c r="EZ120" s="1641"/>
      <c r="FA120" s="1641"/>
      <c r="FB120" s="1640"/>
      <c r="FC120" s="1641"/>
      <c r="FD120" s="1641"/>
      <c r="FE120" s="1641"/>
      <c r="FF120" s="1641"/>
      <c r="FG120" s="1640"/>
      <c r="FH120" s="1641"/>
      <c r="FI120" s="1641"/>
      <c r="FJ120" s="1641"/>
      <c r="FK120" s="1641"/>
      <c r="FL120" s="1640"/>
      <c r="FM120" s="1638"/>
      <c r="FN120" s="1638"/>
      <c r="FO120" s="1638"/>
      <c r="FP120" s="1638"/>
      <c r="FQ120" s="1638"/>
    </row>
    <row r="121" spans="1:173" s="31" customFormat="1" ht="12">
      <c r="CX121" s="1141"/>
      <c r="DX121" s="54"/>
      <c r="EC121" s="54"/>
      <c r="EH121" s="54"/>
      <c r="EI121" s="1583"/>
      <c r="EJ121" s="1585"/>
      <c r="EK121" s="1585"/>
      <c r="EL121" s="1585"/>
      <c r="EM121" s="1633"/>
      <c r="EN121" s="1584"/>
      <c r="EO121" s="1585"/>
      <c r="EP121" s="1585"/>
      <c r="EQ121" s="1585"/>
      <c r="ER121" s="1633"/>
      <c r="ES121" s="1584"/>
      <c r="ET121" s="1584"/>
      <c r="EU121" s="1584"/>
      <c r="EV121" s="1584"/>
      <c r="EW121" s="1633"/>
      <c r="EX121" s="1584"/>
      <c r="EY121" s="1584"/>
      <c r="EZ121" s="1584"/>
      <c r="FA121" s="1584"/>
      <c r="FB121" s="1633"/>
      <c r="FC121" s="1584"/>
      <c r="FD121" s="1584"/>
      <c r="FE121" s="1584"/>
      <c r="FF121" s="1584"/>
      <c r="FG121" s="1633"/>
      <c r="FH121" s="1584"/>
      <c r="FI121" s="1584"/>
      <c r="FJ121" s="1584"/>
      <c r="FK121" s="1584"/>
      <c r="FL121" s="1633"/>
      <c r="FM121" s="1638"/>
      <c r="FN121" s="1638"/>
      <c r="FO121" s="1638"/>
      <c r="FP121" s="1638"/>
      <c r="FQ121" s="1638"/>
    </row>
    <row r="122" spans="1:173" s="31" customFormat="1" ht="12">
      <c r="CX122" s="1141">
        <v>1656624.5482500002</v>
      </c>
      <c r="DX122" s="54"/>
      <c r="EC122" s="54"/>
      <c r="EH122" s="54"/>
      <c r="EI122" s="1583"/>
      <c r="EJ122" s="1585"/>
      <c r="EK122" s="1585"/>
      <c r="EL122" s="1585"/>
      <c r="EM122" s="1633"/>
      <c r="EN122" s="1584"/>
      <c r="EO122" s="1585"/>
      <c r="EP122" s="1585"/>
      <c r="EQ122" s="1585"/>
      <c r="ER122" s="1633"/>
      <c r="ES122" s="1584"/>
      <c r="ET122" s="1584"/>
      <c r="EU122" s="1584"/>
      <c r="EV122" s="1584"/>
      <c r="EW122" s="1633"/>
      <c r="EX122" s="1584"/>
      <c r="EY122" s="1584"/>
      <c r="EZ122" s="1584"/>
      <c r="FA122" s="1584"/>
      <c r="FB122" s="1633"/>
      <c r="FC122" s="1584"/>
      <c r="FD122" s="1584"/>
      <c r="FE122" s="1584"/>
      <c r="FF122" s="1584"/>
      <c r="FG122" s="1633"/>
      <c r="FH122" s="1584"/>
      <c r="FI122" s="1584"/>
      <c r="FJ122" s="1584"/>
      <c r="FK122" s="1584"/>
      <c r="FL122" s="1633"/>
      <c r="FM122" s="1638"/>
      <c r="FN122" s="1638"/>
      <c r="FO122" s="1638"/>
      <c r="FP122" s="1638"/>
      <c r="FQ122" s="1638"/>
    </row>
    <row r="123" spans="1:173" s="1573" customFormat="1" ht="12" hidden="1" outlineLevel="1">
      <c r="A123" s="1573" t="s">
        <v>1013</v>
      </c>
      <c r="DO123" s="1574"/>
      <c r="DT123" s="1575">
        <f>DT11-DR11+'Rev Overview'!BF125</f>
        <v>7276</v>
      </c>
      <c r="DU123" s="1575">
        <f>DU11-DT11+'Rev Overview'!BG125</f>
        <v>9768</v>
      </c>
      <c r="DV123" s="1575">
        <f>DV11-DU11+'Rev Overview'!BH125</f>
        <v>9414</v>
      </c>
      <c r="DW123" s="1575">
        <f>DW11-DV11+'Rev Overview'!BI125</f>
        <v>14870</v>
      </c>
      <c r="DX123" s="1610">
        <f>SUM(DT123:DW123)</f>
        <v>41328</v>
      </c>
      <c r="DY123" s="1575">
        <f>DY11-DW11+'Rev Overview'!BK125</f>
        <v>7421</v>
      </c>
      <c r="DZ123" s="1575">
        <f>DZ11-DY11+'Rev Overview'!BL125</f>
        <v>10228</v>
      </c>
      <c r="EA123" s="1575">
        <f>EA11-DZ11+'Rev Overview'!BM125</f>
        <v>9884</v>
      </c>
      <c r="EB123" s="1575">
        <f>EB11-EA11+'Rev Overview'!BN125</f>
        <v>15191</v>
      </c>
      <c r="EC123" s="1610">
        <f>SUM(DY123:EB123)</f>
        <v>42724</v>
      </c>
      <c r="ED123" s="1575">
        <f>ED11-EB11+'Rev Overview'!BP125</f>
        <v>7733</v>
      </c>
      <c r="EE123" s="1575">
        <f>EE11-ED11+'Rev Overview'!BQ125</f>
        <v>9496</v>
      </c>
      <c r="EF123" s="1575">
        <f>EF11-EE11+'Rev Overview'!BR125</f>
        <v>8957</v>
      </c>
      <c r="EG123" s="1575">
        <f>EG11-EF11+'Rev Overview'!BS125</f>
        <v>13426</v>
      </c>
      <c r="EH123" s="1610">
        <f>SUM(ED123:EG123)</f>
        <v>39612</v>
      </c>
      <c r="EI123" s="1575"/>
      <c r="EJ123" s="1642"/>
      <c r="EK123" s="1642"/>
      <c r="EL123" s="1642"/>
      <c r="EM123" s="1643"/>
      <c r="EN123" s="1642"/>
      <c r="EO123" s="1642"/>
      <c r="EP123" s="1642"/>
      <c r="EQ123" s="1642"/>
      <c r="ER123" s="1643"/>
      <c r="ES123" s="1642"/>
      <c r="ET123" s="1642"/>
      <c r="EU123" s="1642"/>
      <c r="EV123" s="1642"/>
      <c r="EW123" s="1643"/>
      <c r="EX123" s="1642"/>
      <c r="EY123" s="1642"/>
      <c r="EZ123" s="1642"/>
      <c r="FA123" s="1642"/>
      <c r="FB123" s="1643"/>
      <c r="FC123" s="1642"/>
      <c r="FD123" s="1642"/>
      <c r="FE123" s="1642"/>
      <c r="FF123" s="1642"/>
      <c r="FG123" s="1643"/>
      <c r="FH123" s="1642"/>
      <c r="FI123" s="1642"/>
      <c r="FJ123" s="1642"/>
      <c r="FK123" s="1642"/>
      <c r="FL123" s="1643"/>
      <c r="FM123" s="2649"/>
      <c r="FN123" s="2649"/>
      <c r="FO123" s="2649"/>
      <c r="FP123" s="2649"/>
      <c r="FQ123" s="2649"/>
    </row>
    <row r="124" spans="1:173" s="1573" customFormat="1" ht="12" hidden="1" outlineLevel="1">
      <c r="A124" s="1562" t="s">
        <v>163</v>
      </c>
      <c r="DO124" s="1574"/>
      <c r="DX124" s="1611"/>
      <c r="DY124" s="1576">
        <f>DY123/DT123-1</f>
        <v>1.9928532160527812E-2</v>
      </c>
      <c r="DZ124" s="1576">
        <f t="shared" ref="DZ124:EH124" si="211">DZ123/DU123-1</f>
        <v>4.7092547092547177E-2</v>
      </c>
      <c r="EA124" s="1576">
        <f t="shared" si="211"/>
        <v>4.9925642659868208E-2</v>
      </c>
      <c r="EB124" s="1576">
        <f t="shared" si="211"/>
        <v>2.158708809683918E-2</v>
      </c>
      <c r="EC124" s="1624">
        <f t="shared" si="211"/>
        <v>3.3778552071235035E-2</v>
      </c>
      <c r="ED124" s="1576">
        <f t="shared" si="211"/>
        <v>4.2042851367740219E-2</v>
      </c>
      <c r="EE124" s="1576">
        <f t="shared" si="211"/>
        <v>-7.1568244035979611E-2</v>
      </c>
      <c r="EF124" s="1576">
        <f t="shared" si="211"/>
        <v>-9.3787940105220513E-2</v>
      </c>
      <c r="EG124" s="1576">
        <f t="shared" si="211"/>
        <v>-0.11618721611480487</v>
      </c>
      <c r="EH124" s="1624">
        <f t="shared" si="211"/>
        <v>-7.2839621758262307E-2</v>
      </c>
      <c r="EI124" s="1576"/>
      <c r="EJ124" s="1644"/>
      <c r="EK124" s="1644"/>
      <c r="EL124" s="1644"/>
      <c r="EM124" s="1645"/>
      <c r="EN124" s="1644"/>
      <c r="EO124" s="1644"/>
      <c r="EP124" s="1644"/>
      <c r="EQ124" s="1644"/>
      <c r="ER124" s="1645"/>
      <c r="ES124" s="1644"/>
      <c r="ET124" s="1644"/>
      <c r="EU124" s="1644"/>
      <c r="EV124" s="1644"/>
      <c r="EW124" s="1645"/>
      <c r="EX124" s="1644"/>
      <c r="EY124" s="1644"/>
      <c r="EZ124" s="1644"/>
      <c r="FA124" s="1644"/>
      <c r="FB124" s="1645"/>
      <c r="FC124" s="1644"/>
      <c r="FD124" s="1644"/>
      <c r="FE124" s="1644"/>
      <c r="FF124" s="1644"/>
      <c r="FG124" s="1645"/>
      <c r="FH124" s="1644"/>
      <c r="FI124" s="1644"/>
      <c r="FJ124" s="1644"/>
      <c r="FK124" s="1644"/>
      <c r="FL124" s="1645"/>
      <c r="FM124" s="2650"/>
      <c r="FN124" s="2650"/>
      <c r="FO124" s="2650"/>
      <c r="FP124" s="2650"/>
      <c r="FQ124" s="2650"/>
    </row>
    <row r="125" spans="1:173" s="1573" customFormat="1" ht="12" hidden="1" outlineLevel="1">
      <c r="A125" s="1562" t="s">
        <v>667</v>
      </c>
      <c r="DO125" s="1574"/>
      <c r="DU125" s="1569">
        <f>DU123/DT123-1</f>
        <v>0.34249587685541516</v>
      </c>
      <c r="DV125" s="1569">
        <f>DV123/DU123-1</f>
        <v>-3.6240786240786194E-2</v>
      </c>
      <c r="DW125" s="1569">
        <f>DW123/DV123-1</f>
        <v>0.57956235394093913</v>
      </c>
      <c r="DX125" s="1612"/>
      <c r="DY125" s="1569">
        <f>DY123/DW123-1</f>
        <v>-0.50094149293880297</v>
      </c>
      <c r="DZ125" s="1569">
        <f>DZ123/DY123-1</f>
        <v>0.378250909580919</v>
      </c>
      <c r="EA125" s="1569">
        <f>EA123/DZ123-1</f>
        <v>-3.3633163863903026E-2</v>
      </c>
      <c r="EB125" s="1569">
        <f>EB123/EA123-1</f>
        <v>0.53692836908134356</v>
      </c>
      <c r="EC125" s="1612"/>
      <c r="ED125" s="1569">
        <f>ED123/EB123-1</f>
        <v>-0.49094858797972485</v>
      </c>
      <c r="EE125" s="1569">
        <f>EE123/ED123-1</f>
        <v>0.2279839648260702</v>
      </c>
      <c r="EF125" s="1569">
        <f>EF123/EE123-1</f>
        <v>-5.676074136478515E-2</v>
      </c>
      <c r="EG125" s="1569">
        <f>EG123/EF123-1</f>
        <v>0.49893937702355706</v>
      </c>
      <c r="EH125" s="1627"/>
      <c r="EI125" s="1569"/>
      <c r="EJ125" s="1646"/>
      <c r="EK125" s="1646"/>
      <c r="EL125" s="1646"/>
      <c r="EM125" s="1647"/>
      <c r="EN125" s="1646"/>
      <c r="EO125" s="1646"/>
      <c r="EP125" s="1646"/>
      <c r="EQ125" s="1646"/>
      <c r="ER125" s="1647"/>
      <c r="ES125" s="1646"/>
      <c r="ET125" s="1646"/>
      <c r="EU125" s="1646"/>
      <c r="EV125" s="1646"/>
      <c r="EW125" s="1647"/>
      <c r="EX125" s="1646"/>
      <c r="EY125" s="1646"/>
      <c r="EZ125" s="1646"/>
      <c r="FA125" s="1646"/>
      <c r="FB125" s="1647"/>
      <c r="FC125" s="1646"/>
      <c r="FD125" s="1646"/>
      <c r="FE125" s="1646"/>
      <c r="FF125" s="1646"/>
      <c r="FG125" s="1647"/>
      <c r="FH125" s="1646"/>
      <c r="FI125" s="1646"/>
      <c r="FJ125" s="1646"/>
      <c r="FK125" s="1646"/>
      <c r="FL125" s="1647"/>
      <c r="FM125" s="2651"/>
      <c r="FN125" s="2651"/>
      <c r="FO125" s="2651"/>
      <c r="FP125" s="2651"/>
      <c r="FQ125" s="2651"/>
    </row>
    <row r="126" spans="1:173" s="1573" customFormat="1" ht="12" hidden="1" outlineLevel="1">
      <c r="DO126" s="1574"/>
      <c r="DX126" s="1611"/>
      <c r="EC126" s="1611"/>
      <c r="EH126" s="1611"/>
      <c r="EJ126" s="1648"/>
      <c r="EK126" s="1648"/>
      <c r="EL126" s="1648"/>
      <c r="EM126" s="1647"/>
      <c r="EN126" s="1648"/>
      <c r="EO126" s="1648"/>
      <c r="EP126" s="1648"/>
      <c r="EQ126" s="1648"/>
      <c r="ER126" s="1647"/>
      <c r="ES126" s="1648"/>
      <c r="ET126" s="1648"/>
      <c r="EU126" s="1648"/>
      <c r="EV126" s="1648"/>
      <c r="EW126" s="1647"/>
      <c r="EX126" s="1648"/>
      <c r="EY126" s="1648"/>
      <c r="EZ126" s="1648"/>
      <c r="FA126" s="1648"/>
      <c r="FB126" s="1647"/>
      <c r="FC126" s="1648"/>
      <c r="FD126" s="1648"/>
      <c r="FE126" s="1648"/>
      <c r="FF126" s="1648"/>
      <c r="FG126" s="1647"/>
      <c r="FH126" s="1648"/>
      <c r="FI126" s="1648"/>
      <c r="FJ126" s="1648"/>
      <c r="FK126" s="1648"/>
      <c r="FL126" s="1647"/>
      <c r="FM126" s="2651"/>
      <c r="FN126" s="2651"/>
      <c r="FO126" s="2651"/>
      <c r="FP126" s="2651"/>
      <c r="FQ126" s="2651"/>
    </row>
    <row r="127" spans="1:173" s="1573" customFormat="1" ht="12" hidden="1" outlineLevel="1">
      <c r="A127" s="1573" t="s">
        <v>1012</v>
      </c>
      <c r="DO127" s="1574"/>
      <c r="DT127" s="1575">
        <f>DT16-DR16+'Rev Overview'!BF130</f>
        <v>1043</v>
      </c>
      <c r="DU127" s="1575">
        <f>DU16-DT16+'Rev Overview'!BG130</f>
        <v>1443</v>
      </c>
      <c r="DV127" s="1575">
        <f>DV16-DU16+'Rev Overview'!BH130</f>
        <v>1517</v>
      </c>
      <c r="DW127" s="1575">
        <f>DW16-DV16+'Rev Overview'!BI130</f>
        <v>2400</v>
      </c>
      <c r="DX127" s="1610">
        <f>SUM(DT127:DW127)</f>
        <v>6403</v>
      </c>
      <c r="DY127" s="1575">
        <f>DY16-DW16+'Rev Overview'!BK130</f>
        <v>1319</v>
      </c>
      <c r="DZ127" s="1575">
        <f>DZ16-DY16+'Rev Overview'!BL130</f>
        <v>1964</v>
      </c>
      <c r="EA127" s="1575">
        <f>EA16-DZ16+'Rev Overview'!BM130</f>
        <v>2123</v>
      </c>
      <c r="EB127" s="1575">
        <f>EB16-EA16+'Rev Overview'!BN130</f>
        <v>3802</v>
      </c>
      <c r="EC127" s="1610">
        <f>SUM(DY127:EB127)</f>
        <v>9208</v>
      </c>
      <c r="ED127" s="1575">
        <f>ED16-EB16+'Rev Overview'!BP130</f>
        <v>1956</v>
      </c>
      <c r="EE127" s="1575">
        <f>EE16-ED16+'Rev Overview'!BQ130</f>
        <v>2596</v>
      </c>
      <c r="EF127" s="1575">
        <f>EF16-EE16+'Rev Overview'!BR130</f>
        <v>2800</v>
      </c>
      <c r="EG127" s="1575">
        <f>EG16-EF16+'Rev Overview'!BS130</f>
        <v>5191</v>
      </c>
      <c r="EH127" s="1610">
        <f>SUM(ED127:EG127)</f>
        <v>12543</v>
      </c>
      <c r="EI127" s="1575"/>
      <c r="EJ127" s="1642"/>
      <c r="EK127" s="1642"/>
      <c r="EL127" s="1642"/>
      <c r="EM127" s="1643"/>
      <c r="EN127" s="1642"/>
      <c r="EO127" s="1642"/>
      <c r="EP127" s="1642"/>
      <c r="EQ127" s="1642"/>
      <c r="ER127" s="1643"/>
      <c r="ES127" s="1642"/>
      <c r="ET127" s="1642"/>
      <c r="EU127" s="1642"/>
      <c r="EV127" s="1642"/>
      <c r="EW127" s="1643"/>
      <c r="EX127" s="1642"/>
      <c r="EY127" s="1642"/>
      <c r="EZ127" s="1642"/>
      <c r="FA127" s="1642"/>
      <c r="FB127" s="1643"/>
      <c r="FC127" s="1642"/>
      <c r="FD127" s="1642"/>
      <c r="FE127" s="1642"/>
      <c r="FF127" s="1642"/>
      <c r="FG127" s="1643"/>
      <c r="FH127" s="1642"/>
      <c r="FI127" s="1642"/>
      <c r="FJ127" s="1642"/>
      <c r="FK127" s="1642"/>
      <c r="FL127" s="1643"/>
      <c r="FM127" s="2649"/>
      <c r="FN127" s="2649"/>
      <c r="FO127" s="2649"/>
      <c r="FP127" s="2649"/>
      <c r="FQ127" s="2649"/>
    </row>
    <row r="128" spans="1:173" s="1573" customFormat="1" ht="12" hidden="1" outlineLevel="1">
      <c r="A128" s="1562" t="s">
        <v>163</v>
      </c>
      <c r="DO128" s="1574"/>
      <c r="DX128" s="1611"/>
      <c r="DY128" s="1576">
        <f t="shared" ref="DY128:EH128" si="212">DY127/DT127-1</f>
        <v>0.26462128475551294</v>
      </c>
      <c r="DZ128" s="1576">
        <f t="shared" si="212"/>
        <v>0.36105336105336105</v>
      </c>
      <c r="EA128" s="1576">
        <f t="shared" si="212"/>
        <v>0.39947264337508237</v>
      </c>
      <c r="EB128" s="1576">
        <f t="shared" si="212"/>
        <v>0.58416666666666672</v>
      </c>
      <c r="EC128" s="1624">
        <f t="shared" si="212"/>
        <v>0.43807590192097456</v>
      </c>
      <c r="ED128" s="1576">
        <f t="shared" si="212"/>
        <v>0.48294162244124328</v>
      </c>
      <c r="EE128" s="1576">
        <f t="shared" si="212"/>
        <v>0.32179226069246436</v>
      </c>
      <c r="EF128" s="1576">
        <f t="shared" si="212"/>
        <v>0.31888836552048994</v>
      </c>
      <c r="EG128" s="1576">
        <f t="shared" si="212"/>
        <v>0.36533403471856918</v>
      </c>
      <c r="EH128" s="1624">
        <f t="shared" si="212"/>
        <v>0.36218505647263255</v>
      </c>
      <c r="EI128" s="1576"/>
      <c r="EJ128" s="1644"/>
      <c r="EK128" s="1644"/>
      <c r="EL128" s="1644"/>
      <c r="EM128" s="1645"/>
      <c r="EN128" s="1644"/>
      <c r="EO128" s="1644"/>
      <c r="EP128" s="1644"/>
      <c r="EQ128" s="1644"/>
      <c r="ER128" s="1645"/>
      <c r="ES128" s="1644"/>
      <c r="ET128" s="1644"/>
      <c r="EU128" s="1644"/>
      <c r="EV128" s="1644"/>
      <c r="EW128" s="1645"/>
      <c r="EX128" s="1644"/>
      <c r="EY128" s="1644"/>
      <c r="EZ128" s="1644"/>
      <c r="FA128" s="1644"/>
      <c r="FB128" s="1645"/>
      <c r="FC128" s="1644"/>
      <c r="FD128" s="1644"/>
      <c r="FE128" s="1644"/>
      <c r="FF128" s="1644"/>
      <c r="FG128" s="1645"/>
      <c r="FH128" s="1644"/>
      <c r="FI128" s="1644"/>
      <c r="FJ128" s="1644"/>
      <c r="FK128" s="1644"/>
      <c r="FL128" s="1645"/>
      <c r="FM128" s="2650"/>
      <c r="FN128" s="2650"/>
      <c r="FO128" s="2650"/>
      <c r="FP128" s="2650"/>
      <c r="FQ128" s="2650"/>
    </row>
    <row r="129" spans="1:173" s="1573" customFormat="1" ht="12" hidden="1" outlineLevel="1">
      <c r="A129" s="1562" t="s">
        <v>667</v>
      </c>
      <c r="DO129" s="1574"/>
      <c r="DU129" s="1569">
        <f>DU127/DT127-1</f>
        <v>0.38350910834132312</v>
      </c>
      <c r="DV129" s="1569">
        <f>DV127/DU127-1</f>
        <v>5.1282051282051322E-2</v>
      </c>
      <c r="DW129" s="1569">
        <f>DW127/DV127-1</f>
        <v>0.58206987475280147</v>
      </c>
      <c r="DX129" s="1612"/>
      <c r="DY129" s="1569">
        <f>DY127/DW127-1</f>
        <v>-0.45041666666666669</v>
      </c>
      <c r="DZ129" s="1569">
        <f>DZ127/DY127-1</f>
        <v>0.48900682335102341</v>
      </c>
      <c r="EA129" s="1569">
        <f>EA127/DZ127-1</f>
        <v>8.0957230142566283E-2</v>
      </c>
      <c r="EB129" s="1569">
        <f>EB127/EA127-1</f>
        <v>0.79086198775317951</v>
      </c>
      <c r="EC129" s="1612"/>
      <c r="ED129" s="1569">
        <f>ED127/EB127-1</f>
        <v>-0.48553392951078378</v>
      </c>
      <c r="EE129" s="1569">
        <f>EE127/ED127-1</f>
        <v>0.32719836400817992</v>
      </c>
      <c r="EF129" s="1569">
        <f>EF127/EE127-1</f>
        <v>7.8582434514637978E-2</v>
      </c>
      <c r="EG129" s="1569">
        <f>EG127/EF127-1</f>
        <v>0.85392857142857137</v>
      </c>
      <c r="EH129" s="1627"/>
      <c r="EI129" s="1569"/>
      <c r="EJ129" s="1646"/>
      <c r="EK129" s="1646"/>
      <c r="EL129" s="1646"/>
      <c r="EM129" s="1647"/>
      <c r="EN129" s="1646"/>
      <c r="EO129" s="1646"/>
      <c r="EP129" s="1646"/>
      <c r="EQ129" s="1646"/>
      <c r="ER129" s="1647"/>
      <c r="ES129" s="1646"/>
      <c r="ET129" s="1646"/>
      <c r="EU129" s="1646"/>
      <c r="EV129" s="1646"/>
      <c r="EW129" s="1647"/>
      <c r="EX129" s="1646"/>
      <c r="EY129" s="1646"/>
      <c r="EZ129" s="1646"/>
      <c r="FA129" s="1646"/>
      <c r="FB129" s="1647"/>
      <c r="FC129" s="1646"/>
      <c r="FD129" s="1646"/>
      <c r="FE129" s="1646"/>
      <c r="FF129" s="1646"/>
      <c r="FG129" s="1647"/>
      <c r="FH129" s="1646"/>
      <c r="FI129" s="1646"/>
      <c r="FJ129" s="1646"/>
      <c r="FK129" s="1646"/>
      <c r="FL129" s="1647"/>
      <c r="FM129" s="2651"/>
      <c r="FN129" s="2651"/>
      <c r="FO129" s="2651"/>
      <c r="FP129" s="2651"/>
      <c r="FQ129" s="2651"/>
    </row>
    <row r="130" spans="1:173" s="1573" customFormat="1" ht="12" hidden="1" outlineLevel="1">
      <c r="DO130" s="1574"/>
      <c r="DX130" s="1611"/>
      <c r="EB130" s="1575"/>
      <c r="EC130" s="1611"/>
      <c r="EG130" s="1575"/>
      <c r="EH130" s="1611"/>
      <c r="EJ130" s="1648"/>
      <c r="EK130" s="1648"/>
      <c r="EL130" s="1648"/>
      <c r="EM130" s="1647"/>
      <c r="EN130" s="1648"/>
      <c r="EO130" s="1648"/>
      <c r="EP130" s="1648"/>
      <c r="EQ130" s="1648"/>
      <c r="ER130" s="1647"/>
      <c r="ES130" s="1648"/>
      <c r="ET130" s="1648"/>
      <c r="EU130" s="1648"/>
      <c r="EV130" s="1648"/>
      <c r="EW130" s="1647"/>
      <c r="EX130" s="1648"/>
      <c r="EY130" s="1648"/>
      <c r="EZ130" s="1648"/>
      <c r="FA130" s="1648"/>
      <c r="FB130" s="1647"/>
      <c r="FC130" s="1648"/>
      <c r="FD130" s="1648"/>
      <c r="FE130" s="1648"/>
      <c r="FF130" s="1648"/>
      <c r="FG130" s="1647"/>
      <c r="FH130" s="1648"/>
      <c r="FI130" s="1648"/>
      <c r="FJ130" s="1648"/>
      <c r="FK130" s="1648"/>
      <c r="FL130" s="1647"/>
      <c r="FM130" s="2651"/>
      <c r="FN130" s="2651"/>
      <c r="FO130" s="2651"/>
      <c r="FP130" s="2651"/>
      <c r="FQ130" s="2651"/>
    </row>
    <row r="131" spans="1:173" s="1183" customFormat="1" ht="12" collapsed="1">
      <c r="A131" s="1605" t="s">
        <v>1014</v>
      </c>
      <c r="B131" s="1586"/>
      <c r="C131" s="1586"/>
      <c r="D131" s="1586"/>
      <c r="E131" s="1586"/>
      <c r="F131" s="1586"/>
      <c r="G131" s="1586"/>
      <c r="H131" s="1586"/>
      <c r="I131" s="1586"/>
      <c r="J131" s="1586"/>
      <c r="K131" s="1586"/>
      <c r="L131" s="1586"/>
      <c r="M131" s="1586"/>
      <c r="N131" s="1586"/>
      <c r="O131" s="1586"/>
      <c r="P131" s="1586"/>
      <c r="Q131" s="1586"/>
      <c r="R131" s="1586"/>
      <c r="S131" s="1586"/>
      <c r="T131" s="1586"/>
      <c r="U131" s="1586"/>
      <c r="V131" s="1586"/>
      <c r="W131" s="1586"/>
      <c r="X131" s="1586"/>
      <c r="Y131" s="1586"/>
      <c r="Z131" s="1586"/>
      <c r="AA131" s="1586"/>
      <c r="AB131" s="1586"/>
      <c r="AC131" s="1586"/>
      <c r="AD131" s="1586"/>
      <c r="AE131" s="1586"/>
      <c r="AF131" s="1586"/>
      <c r="AG131" s="1586"/>
      <c r="AH131" s="1586"/>
      <c r="AI131" s="1586"/>
      <c r="AJ131" s="1586"/>
      <c r="AK131" s="1586"/>
      <c r="AL131" s="1586"/>
      <c r="AM131" s="1586"/>
      <c r="AN131" s="1586"/>
      <c r="AO131" s="1586"/>
      <c r="AP131" s="1586"/>
      <c r="AQ131" s="1586"/>
      <c r="AR131" s="1586"/>
      <c r="AS131" s="1586"/>
      <c r="AT131" s="1586"/>
      <c r="AU131" s="1586"/>
      <c r="AV131" s="1586"/>
      <c r="AW131" s="1586"/>
      <c r="AX131" s="1586"/>
      <c r="AY131" s="1586"/>
      <c r="AZ131" s="1586"/>
      <c r="BA131" s="1586"/>
      <c r="BB131" s="1586"/>
      <c r="BC131" s="1586"/>
      <c r="BD131" s="1586"/>
      <c r="BE131" s="1586"/>
      <c r="BF131" s="1586"/>
      <c r="BG131" s="1586"/>
      <c r="BH131" s="1586"/>
      <c r="BI131" s="1586"/>
      <c r="BJ131" s="1586"/>
      <c r="BK131" s="1586"/>
      <c r="BL131" s="1586"/>
      <c r="BM131" s="1586"/>
      <c r="BN131" s="1586"/>
      <c r="BO131" s="1586"/>
      <c r="BP131" s="1586"/>
      <c r="BQ131" s="1586"/>
      <c r="BR131" s="1586"/>
      <c r="BS131" s="1586"/>
      <c r="BT131" s="1586"/>
      <c r="BU131" s="1586"/>
      <c r="BV131" s="1586"/>
      <c r="BW131" s="1586"/>
      <c r="BX131" s="1586"/>
      <c r="BY131" s="1586"/>
      <c r="BZ131" s="1586"/>
      <c r="CA131" s="1586"/>
      <c r="CB131" s="1586"/>
      <c r="CC131" s="1586"/>
      <c r="CD131" s="1586"/>
      <c r="CE131" s="1586"/>
      <c r="CF131" s="1586"/>
      <c r="CG131" s="1586"/>
      <c r="CH131" s="1586"/>
      <c r="CI131" s="1586"/>
      <c r="CJ131" s="1586"/>
      <c r="CK131" s="1586"/>
      <c r="CL131" s="1586"/>
      <c r="CM131" s="1586"/>
      <c r="CN131" s="1586"/>
      <c r="CO131" s="1586"/>
      <c r="CP131" s="1586"/>
      <c r="CQ131" s="1586"/>
      <c r="CR131" s="1586"/>
      <c r="CS131" s="1586"/>
      <c r="CT131" s="1586"/>
      <c r="CU131" s="1586"/>
      <c r="CV131" s="1586"/>
      <c r="CW131" s="1586"/>
      <c r="CX131" s="1586"/>
      <c r="CY131" s="1586"/>
      <c r="CZ131" s="1586"/>
      <c r="DA131" s="1586"/>
      <c r="DB131" s="1586"/>
      <c r="DC131" s="1586"/>
      <c r="DD131" s="1586"/>
      <c r="DE131" s="1586"/>
      <c r="DF131" s="1586"/>
      <c r="DG131" s="1586"/>
      <c r="DH131" s="1586"/>
      <c r="DI131" s="1586"/>
      <c r="DJ131" s="1586"/>
      <c r="DK131" s="1586"/>
      <c r="DL131" s="1586"/>
      <c r="DM131" s="1586"/>
      <c r="DN131" s="1586"/>
      <c r="DO131" s="1587"/>
      <c r="DP131" s="1586"/>
      <c r="DQ131" s="1586"/>
      <c r="DR131" s="1586"/>
      <c r="DS131" s="1586"/>
      <c r="DT131" s="1588">
        <f>DT127+DT123</f>
        <v>8319</v>
      </c>
      <c r="DU131" s="1588">
        <f t="shared" ref="DU131:EH131" si="213">DU127+DU123</f>
        <v>11211</v>
      </c>
      <c r="DV131" s="1588">
        <f t="shared" si="213"/>
        <v>10931</v>
      </c>
      <c r="DW131" s="1588">
        <f t="shared" si="213"/>
        <v>17270</v>
      </c>
      <c r="DX131" s="1613">
        <f t="shared" si="213"/>
        <v>47731</v>
      </c>
      <c r="DY131" s="1588">
        <f t="shared" si="213"/>
        <v>8740</v>
      </c>
      <c r="DZ131" s="1588">
        <f t="shared" si="213"/>
        <v>12192</v>
      </c>
      <c r="EA131" s="1588">
        <f t="shared" si="213"/>
        <v>12007</v>
      </c>
      <c r="EB131" s="1588">
        <f t="shared" si="213"/>
        <v>18993</v>
      </c>
      <c r="EC131" s="1613">
        <f t="shared" si="213"/>
        <v>51932</v>
      </c>
      <c r="ED131" s="1588">
        <f t="shared" si="213"/>
        <v>9689</v>
      </c>
      <c r="EE131" s="1588">
        <f t="shared" si="213"/>
        <v>12092</v>
      </c>
      <c r="EF131" s="1588">
        <f t="shared" si="213"/>
        <v>11757</v>
      </c>
      <c r="EG131" s="1588">
        <f>EG127+EG123</f>
        <v>18617</v>
      </c>
      <c r="EH131" s="1613">
        <f t="shared" si="213"/>
        <v>52155</v>
      </c>
      <c r="EI131" s="1588">
        <f t="shared" ref="EI131:EV131" si="214">EI6-EH6+EI136</f>
        <v>10300.442429432267</v>
      </c>
      <c r="EJ131" s="1649">
        <f>EJ6-EI6+EJ136</f>
        <v>11965.856918006404</v>
      </c>
      <c r="EK131" s="1649">
        <f>EK6-EJ6+EK136</f>
        <v>12069.984226623577</v>
      </c>
      <c r="EL131" s="1649">
        <f t="shared" si="214"/>
        <v>20291.696228398436</v>
      </c>
      <c r="EM131" s="1650">
        <f t="shared" si="214"/>
        <v>53319.979802460686</v>
      </c>
      <c r="EN131" s="1588">
        <f t="shared" si="214"/>
        <v>6852.4904515972667</v>
      </c>
      <c r="EO131" s="1649">
        <f>EO6-EN6+EO136</f>
        <v>13402.198181086787</v>
      </c>
      <c r="EP131" s="1649">
        <f>EP6-EO6+EP136</f>
        <v>13682.333880220993</v>
      </c>
      <c r="EQ131" s="1649">
        <f t="shared" si="214"/>
        <v>22435.682754170313</v>
      </c>
      <c r="ER131" s="1636">
        <f>SUM(EN131:EQ131)</f>
        <v>56372.705267075362</v>
      </c>
      <c r="ES131" s="1588">
        <f t="shared" si="214"/>
        <v>11098.888201597267</v>
      </c>
      <c r="ET131" s="1588">
        <f t="shared" si="214"/>
        <v>12795.009681086787</v>
      </c>
      <c r="EU131" s="1588">
        <f t="shared" si="214"/>
        <v>13478.611480220994</v>
      </c>
      <c r="EV131" s="1649">
        <f t="shared" si="214"/>
        <v>24031.838214170315</v>
      </c>
      <c r="EW131" s="1636">
        <f>SUM(ES131:EV131)</f>
        <v>61404.347577075358</v>
      </c>
      <c r="EX131" s="1649">
        <f>EX6-EW6+EX136</f>
        <v>12210.509665775153</v>
      </c>
      <c r="EY131" s="1649">
        <f>EY6-EX6+EY136</f>
        <v>14147.052516765312</v>
      </c>
      <c r="EZ131" s="1649">
        <f>EZ6-EY6+EZ136</f>
        <v>15665.661847095003</v>
      </c>
      <c r="FA131" s="1649">
        <f>FA6-EZ6+FA136</f>
        <v>27523.798715421228</v>
      </c>
      <c r="FB131" s="1636">
        <f>SUM(EX131:FA131)</f>
        <v>69547.022745056704</v>
      </c>
      <c r="FC131" s="1649">
        <f>FC6-FB6+FC136</f>
        <v>13914.478406020622</v>
      </c>
      <c r="FD131" s="1649">
        <f>FD6-FC6+FD136</f>
        <v>16065.496747933663</v>
      </c>
      <c r="FE131" s="1649">
        <f>FE6-FD6+FE136</f>
        <v>18207.169129393133</v>
      </c>
      <c r="FF131" s="1649">
        <f>FF6-FE6+FF136</f>
        <v>32154.310382271335</v>
      </c>
      <c r="FG131" s="1636">
        <f>SUM(FC131:FF131)</f>
        <v>80341.454665618745</v>
      </c>
      <c r="FH131" s="1649">
        <f>FH6-FG6+FH136</f>
        <v>16327.624957000109</v>
      </c>
      <c r="FI131" s="1649">
        <f>FI6-FH6+FI136</f>
        <v>18644.796757047989</v>
      </c>
      <c r="FJ131" s="1649">
        <f>FJ6-FI6+FJ136</f>
        <v>21636.865543105636</v>
      </c>
      <c r="FK131" s="1649">
        <f>FK6-FJ6+FK136</f>
        <v>37973.326669048169</v>
      </c>
      <c r="FL131" s="1636">
        <f>SUM(FH131:FK131)</f>
        <v>94582.613926201899</v>
      </c>
      <c r="FM131" s="1638"/>
      <c r="FN131" s="1638"/>
      <c r="FO131" s="1638"/>
      <c r="FP131" s="1638"/>
      <c r="FQ131" s="1638"/>
    </row>
    <row r="132" spans="1:173" s="1183" customFormat="1" ht="12">
      <c r="A132" s="1589" t="s">
        <v>163</v>
      </c>
      <c r="B132" s="1590"/>
      <c r="C132" s="1590"/>
      <c r="D132" s="1590"/>
      <c r="E132" s="1590"/>
      <c r="F132" s="1590"/>
      <c r="G132" s="1590"/>
      <c r="H132" s="1590"/>
      <c r="I132" s="1590"/>
      <c r="J132" s="1590"/>
      <c r="K132" s="1590"/>
      <c r="L132" s="1590"/>
      <c r="M132" s="1590"/>
      <c r="N132" s="1590"/>
      <c r="O132" s="1590"/>
      <c r="P132" s="1590"/>
      <c r="Q132" s="1590"/>
      <c r="R132" s="1590"/>
      <c r="S132" s="1590"/>
      <c r="T132" s="1590"/>
      <c r="U132" s="1590"/>
      <c r="V132" s="1590"/>
      <c r="W132" s="1590"/>
      <c r="X132" s="1590"/>
      <c r="Y132" s="1590"/>
      <c r="Z132" s="1590"/>
      <c r="AA132" s="1590"/>
      <c r="AB132" s="1590"/>
      <c r="AC132" s="1590"/>
      <c r="AD132" s="1590"/>
      <c r="AE132" s="1590"/>
      <c r="AF132" s="1590"/>
      <c r="AG132" s="1590"/>
      <c r="AH132" s="1590"/>
      <c r="AI132" s="1590"/>
      <c r="AJ132" s="1590"/>
      <c r="AK132" s="1590"/>
      <c r="AL132" s="1590"/>
      <c r="AM132" s="1590"/>
      <c r="AN132" s="1590"/>
      <c r="AO132" s="1590"/>
      <c r="AP132" s="1590"/>
      <c r="AQ132" s="1590"/>
      <c r="AR132" s="1590"/>
      <c r="AS132" s="1590"/>
      <c r="AT132" s="1590"/>
      <c r="AU132" s="1590"/>
      <c r="AV132" s="1590"/>
      <c r="AW132" s="1590"/>
      <c r="AX132" s="1590"/>
      <c r="AY132" s="1590"/>
      <c r="AZ132" s="1590"/>
      <c r="BA132" s="1590"/>
      <c r="BB132" s="1590"/>
      <c r="BC132" s="1590"/>
      <c r="BD132" s="1590"/>
      <c r="BE132" s="1590"/>
      <c r="BF132" s="1590"/>
      <c r="BG132" s="1590"/>
      <c r="BH132" s="1590"/>
      <c r="BI132" s="1590"/>
      <c r="BJ132" s="1590"/>
      <c r="BK132" s="1590"/>
      <c r="BL132" s="1590"/>
      <c r="BM132" s="1590"/>
      <c r="BN132" s="1590"/>
      <c r="BO132" s="1590"/>
      <c r="BP132" s="1590"/>
      <c r="BQ132" s="1590"/>
      <c r="BR132" s="1590"/>
      <c r="BS132" s="1590"/>
      <c r="BT132" s="1590"/>
      <c r="BU132" s="1590"/>
      <c r="BV132" s="1590"/>
      <c r="BW132" s="1590"/>
      <c r="BX132" s="1590"/>
      <c r="BY132" s="1590"/>
      <c r="BZ132" s="1590"/>
      <c r="CA132" s="1590"/>
      <c r="CB132" s="1590"/>
      <c r="CC132" s="1590"/>
      <c r="CD132" s="1590"/>
      <c r="CE132" s="1590"/>
      <c r="CF132" s="1590"/>
      <c r="CG132" s="1590"/>
      <c r="CH132" s="1590"/>
      <c r="CI132" s="1590"/>
      <c r="CJ132" s="1590"/>
      <c r="CK132" s="1590"/>
      <c r="CL132" s="1590"/>
      <c r="CM132" s="1590"/>
      <c r="CN132" s="1590"/>
      <c r="CO132" s="1590"/>
      <c r="CP132" s="1590"/>
      <c r="CQ132" s="1590"/>
      <c r="CR132" s="1590"/>
      <c r="CS132" s="1590"/>
      <c r="CT132" s="1590"/>
      <c r="CU132" s="1590"/>
      <c r="CV132" s="1590"/>
      <c r="CW132" s="1590"/>
      <c r="CX132" s="1590"/>
      <c r="CY132" s="1590"/>
      <c r="CZ132" s="1590"/>
      <c r="DA132" s="1590"/>
      <c r="DB132" s="1590"/>
      <c r="DC132" s="1590"/>
      <c r="DD132" s="1590"/>
      <c r="DE132" s="1590"/>
      <c r="DF132" s="1590"/>
      <c r="DG132" s="1590"/>
      <c r="DH132" s="1590"/>
      <c r="DI132" s="1590"/>
      <c r="DJ132" s="1590"/>
      <c r="DK132" s="1590"/>
      <c r="DL132" s="1590"/>
      <c r="DM132" s="1590"/>
      <c r="DN132" s="1590"/>
      <c r="DO132" s="1400"/>
      <c r="DP132" s="1590"/>
      <c r="DQ132" s="1590"/>
      <c r="DR132" s="1590"/>
      <c r="DS132" s="1590"/>
      <c r="DT132" s="1590"/>
      <c r="DU132" s="1590"/>
      <c r="DV132" s="1590"/>
      <c r="DW132" s="1590"/>
      <c r="DX132" s="1614"/>
      <c r="DY132" s="1591">
        <f t="shared" ref="DY132:EU132" si="215">DY131/DT131-1</f>
        <v>5.0607044115879241E-2</v>
      </c>
      <c r="DZ132" s="1591">
        <f t="shared" si="215"/>
        <v>8.7503344929087401E-2</v>
      </c>
      <c r="EA132" s="1591">
        <f t="shared" si="215"/>
        <v>9.8435641752813163E-2</v>
      </c>
      <c r="EB132" s="1591">
        <f t="shared" si="215"/>
        <v>9.9768384481760286E-2</v>
      </c>
      <c r="EC132" s="1625">
        <f t="shared" si="215"/>
        <v>8.8014078900504833E-2</v>
      </c>
      <c r="ED132" s="1591">
        <f t="shared" si="215"/>
        <v>0.10858123569794054</v>
      </c>
      <c r="EE132" s="1591">
        <f t="shared" si="215"/>
        <v>-8.2020997375328308E-3</v>
      </c>
      <c r="EF132" s="1591">
        <f t="shared" si="215"/>
        <v>-2.0821187640542971E-2</v>
      </c>
      <c r="EG132" s="1591">
        <f t="shared" si="215"/>
        <v>-1.9796767230032097E-2</v>
      </c>
      <c r="EH132" s="1625">
        <f t="shared" si="215"/>
        <v>4.2940768697528053E-3</v>
      </c>
      <c r="EI132" s="1591">
        <f t="shared" si="215"/>
        <v>6.3106866491099867E-2</v>
      </c>
      <c r="EJ132" s="1651">
        <f t="shared" si="215"/>
        <v>-1.0431945252530217E-2</v>
      </c>
      <c r="EK132" s="1651">
        <f t="shared" si="215"/>
        <v>2.662109608093699E-2</v>
      </c>
      <c r="EL132" s="1651">
        <f t="shared" si="215"/>
        <v>8.995521450278976E-2</v>
      </c>
      <c r="EM132" s="1652">
        <f t="shared" si="215"/>
        <v>2.2336876664954097E-2</v>
      </c>
      <c r="EN132" s="1591">
        <f t="shared" si="215"/>
        <v>-0.33473824075584313</v>
      </c>
      <c r="EO132" s="1651">
        <f>EO131/EJ131-1</f>
        <v>0.1200366403277775</v>
      </c>
      <c r="EP132" s="1651">
        <f t="shared" si="215"/>
        <v>0.13358341016228903</v>
      </c>
      <c r="EQ132" s="1651">
        <f t="shared" si="215"/>
        <v>0.10565831962196182</v>
      </c>
      <c r="ER132" s="1652">
        <f t="shared" ref="ER132:EW132" si="216">ER131/EM131-1</f>
        <v>5.7252937377778146E-2</v>
      </c>
      <c r="ES132" s="1591">
        <f>ES131/EN131-1</f>
        <v>0.61968678103158759</v>
      </c>
      <c r="ET132" s="1591">
        <f t="shared" si="215"/>
        <v>-4.5305142618832894E-2</v>
      </c>
      <c r="EU132" s="1591">
        <f t="shared" si="215"/>
        <v>-1.4889448085643964E-2</v>
      </c>
      <c r="EV132" s="1651">
        <f t="shared" si="216"/>
        <v>7.1143609824100951E-2</v>
      </c>
      <c r="EW132" s="1652">
        <f t="shared" si="216"/>
        <v>8.9256711845949743E-2</v>
      </c>
      <c r="EX132" s="1651">
        <f t="shared" ref="EX132:FG132" si="217">EX131/ES131-1</f>
        <v>0.10015610969195188</v>
      </c>
      <c r="EY132" s="1651">
        <f t="shared" si="217"/>
        <v>0.10566954378135995</v>
      </c>
      <c r="EZ132" s="1651">
        <f t="shared" si="217"/>
        <v>0.16226080632143502</v>
      </c>
      <c r="FA132" s="1651">
        <f t="shared" si="217"/>
        <v>0.14530559294427525</v>
      </c>
      <c r="FB132" s="1652">
        <f>FB131/EW131-1</f>
        <v>0.13260746981735427</v>
      </c>
      <c r="FC132" s="1651">
        <f t="shared" si="217"/>
        <v>0.13954935435836258</v>
      </c>
      <c r="FD132" s="1651">
        <f t="shared" si="217"/>
        <v>0.13560734498545557</v>
      </c>
      <c r="FE132" s="1651">
        <f t="shared" si="217"/>
        <v>0.1622342743705667</v>
      </c>
      <c r="FF132" s="1651">
        <f t="shared" si="217"/>
        <v>0.16823664911688563</v>
      </c>
      <c r="FG132" s="1652">
        <f t="shared" si="217"/>
        <v>0.15521055387420302</v>
      </c>
      <c r="FH132" s="1651">
        <f t="shared" ref="FH132" si="218">FH131/FC131-1</f>
        <v>0.17342702188070147</v>
      </c>
      <c r="FI132" s="1651">
        <f t="shared" ref="FI132" si="219">FI131/FD131-1</f>
        <v>0.16054903558746636</v>
      </c>
      <c r="FJ132" s="1651">
        <f t="shared" ref="FJ132" si="220">FJ131/FE131-1</f>
        <v>0.18837065714821644</v>
      </c>
      <c r="FK132" s="1651">
        <f t="shared" ref="FK132" si="221">FK131/FF131-1</f>
        <v>0.1809715779189971</v>
      </c>
      <c r="FL132" s="1652">
        <f t="shared" ref="FL132" si="222">FL131/FG131-1</f>
        <v>0.1772579214535619</v>
      </c>
      <c r="FM132" s="1651"/>
      <c r="FN132" s="1651"/>
      <c r="FO132" s="1651"/>
      <c r="FP132" s="1651"/>
      <c r="FQ132" s="1651"/>
    </row>
    <row r="133" spans="1:173" s="1183" customFormat="1" ht="12">
      <c r="A133" s="1589" t="s">
        <v>667</v>
      </c>
      <c r="B133" s="1590"/>
      <c r="C133" s="1590"/>
      <c r="D133" s="1590"/>
      <c r="E133" s="1590"/>
      <c r="F133" s="1590"/>
      <c r="G133" s="1590"/>
      <c r="H133" s="1590"/>
      <c r="I133" s="1590"/>
      <c r="J133" s="1590"/>
      <c r="K133" s="1590"/>
      <c r="L133" s="1590"/>
      <c r="M133" s="1590"/>
      <c r="N133" s="1590"/>
      <c r="O133" s="1590"/>
      <c r="P133" s="1590"/>
      <c r="Q133" s="1590"/>
      <c r="R133" s="1590"/>
      <c r="S133" s="1590"/>
      <c r="T133" s="1590"/>
      <c r="U133" s="1590"/>
      <c r="V133" s="1590"/>
      <c r="W133" s="1590"/>
      <c r="X133" s="1590"/>
      <c r="Y133" s="1590"/>
      <c r="Z133" s="1590"/>
      <c r="AA133" s="1590"/>
      <c r="AB133" s="1590"/>
      <c r="AC133" s="1590"/>
      <c r="AD133" s="1590"/>
      <c r="AE133" s="1590"/>
      <c r="AF133" s="1590"/>
      <c r="AG133" s="1590"/>
      <c r="AH133" s="1590"/>
      <c r="AI133" s="1590"/>
      <c r="AJ133" s="1590"/>
      <c r="AK133" s="1590"/>
      <c r="AL133" s="1590"/>
      <c r="AM133" s="1590"/>
      <c r="AN133" s="1590"/>
      <c r="AO133" s="1590"/>
      <c r="AP133" s="1590"/>
      <c r="AQ133" s="1590"/>
      <c r="AR133" s="1590"/>
      <c r="AS133" s="1590"/>
      <c r="AT133" s="1590"/>
      <c r="AU133" s="1590"/>
      <c r="AV133" s="1590"/>
      <c r="AW133" s="1590"/>
      <c r="AX133" s="1590"/>
      <c r="AY133" s="1590"/>
      <c r="AZ133" s="1590"/>
      <c r="BA133" s="1590"/>
      <c r="BB133" s="1590"/>
      <c r="BC133" s="1590"/>
      <c r="BD133" s="1590"/>
      <c r="BE133" s="1590"/>
      <c r="BF133" s="1590"/>
      <c r="BG133" s="1590"/>
      <c r="BH133" s="1590"/>
      <c r="BI133" s="1590"/>
      <c r="BJ133" s="1590"/>
      <c r="BK133" s="1590"/>
      <c r="BL133" s="1590"/>
      <c r="BM133" s="1590"/>
      <c r="BN133" s="1590"/>
      <c r="BO133" s="1590"/>
      <c r="BP133" s="1590"/>
      <c r="BQ133" s="1590"/>
      <c r="BR133" s="1590"/>
      <c r="BS133" s="1590"/>
      <c r="BT133" s="1590"/>
      <c r="BU133" s="1590"/>
      <c r="BV133" s="1590"/>
      <c r="BW133" s="1590"/>
      <c r="BX133" s="1590"/>
      <c r="BY133" s="1590"/>
      <c r="BZ133" s="1590"/>
      <c r="CA133" s="1590"/>
      <c r="CB133" s="1590"/>
      <c r="CC133" s="1590"/>
      <c r="CD133" s="1590"/>
      <c r="CE133" s="1590"/>
      <c r="CF133" s="1590"/>
      <c r="CG133" s="1590"/>
      <c r="CH133" s="1590"/>
      <c r="CI133" s="1590"/>
      <c r="CJ133" s="1590"/>
      <c r="CK133" s="1590"/>
      <c r="CL133" s="1590"/>
      <c r="CM133" s="1590"/>
      <c r="CN133" s="1590"/>
      <c r="CO133" s="1590"/>
      <c r="CP133" s="1590"/>
      <c r="CQ133" s="1590"/>
      <c r="CR133" s="1590"/>
      <c r="CS133" s="1590"/>
      <c r="CT133" s="1590"/>
      <c r="CU133" s="1590"/>
      <c r="CV133" s="1590"/>
      <c r="CW133" s="1590"/>
      <c r="CX133" s="1590"/>
      <c r="CY133" s="1590"/>
      <c r="CZ133" s="1590"/>
      <c r="DA133" s="1590"/>
      <c r="DB133" s="1590"/>
      <c r="DC133" s="1590"/>
      <c r="DD133" s="1590"/>
      <c r="DE133" s="1590"/>
      <c r="DF133" s="1590"/>
      <c r="DG133" s="1590"/>
      <c r="DH133" s="1590"/>
      <c r="DI133" s="1590"/>
      <c r="DJ133" s="1590"/>
      <c r="DK133" s="1590"/>
      <c r="DL133" s="1590"/>
      <c r="DM133" s="1590"/>
      <c r="DN133" s="1590"/>
      <c r="DO133" s="1400"/>
      <c r="DP133" s="1590"/>
      <c r="DQ133" s="1590"/>
      <c r="DR133" s="1590"/>
      <c r="DS133" s="1590"/>
      <c r="DT133" s="1590"/>
      <c r="DU133" s="1592">
        <f>DU131/DT131-1</f>
        <v>0.34763793725207348</v>
      </c>
      <c r="DV133" s="1592">
        <f>DV131/DU131-1</f>
        <v>-2.4975470520025023E-2</v>
      </c>
      <c r="DW133" s="1592">
        <f>DW131/DV131-1</f>
        <v>0.57991034672033659</v>
      </c>
      <c r="DX133" s="1615"/>
      <c r="DY133" s="1592">
        <f>DY131/DW131-1</f>
        <v>-0.49392009264620729</v>
      </c>
      <c r="DZ133" s="1592">
        <f>DZ131/DY131-1</f>
        <v>0.39496567505720814</v>
      </c>
      <c r="EA133" s="1592">
        <f>EA131/DZ131-1</f>
        <v>-1.5173884514435687E-2</v>
      </c>
      <c r="EB133" s="1592">
        <f>EB131/EA131-1</f>
        <v>0.58182726742733415</v>
      </c>
      <c r="EC133" s="1615"/>
      <c r="ED133" s="1592">
        <f>ED131/EB131-1</f>
        <v>-0.48986468698994368</v>
      </c>
      <c r="EE133" s="1592">
        <f>EE131/ED131-1</f>
        <v>0.24801321085767358</v>
      </c>
      <c r="EF133" s="1592">
        <f>EF131/EE131-1</f>
        <v>-2.770426728415476E-2</v>
      </c>
      <c r="EG133" s="1592">
        <f>EG131/EF131-1</f>
        <v>0.58348218082844272</v>
      </c>
      <c r="EH133" s="1628"/>
      <c r="EI133" s="1592">
        <f>EI131/EG131-1</f>
        <v>-0.44671846004016402</v>
      </c>
      <c r="EJ133" s="1653">
        <f>EJ131/EI131-1</f>
        <v>0.16168378203012113</v>
      </c>
      <c r="EK133" s="1653">
        <f>EK131/EJ131-1</f>
        <v>8.7020352433331283E-3</v>
      </c>
      <c r="EL133" s="1653">
        <f>EL131/EK131-1</f>
        <v>0.68117007010163899</v>
      </c>
      <c r="EM133" s="1654"/>
      <c r="EN133" s="1592">
        <f>EN131/EL131-1</f>
        <v>-0.66230075719312531</v>
      </c>
      <c r="EO133" s="1653">
        <f>EO131/EN131-1</f>
        <v>0.95581420736789657</v>
      </c>
      <c r="EP133" s="1653">
        <f>EP131/EO131-1</f>
        <v>2.0902220318569364E-2</v>
      </c>
      <c r="EQ133" s="1653">
        <f>EQ131/EP131-1</f>
        <v>0.63975553809595676</v>
      </c>
      <c r="ER133" s="1654"/>
      <c r="ES133" s="1592">
        <f>ES131/EQ131-1</f>
        <v>-0.50530196369735081</v>
      </c>
      <c r="ET133" s="1592">
        <f>ET131/ES131-1</f>
        <v>0.15281904355477938</v>
      </c>
      <c r="EU133" s="1592">
        <f>EU131/ET131-1</f>
        <v>5.3427220156361921E-2</v>
      </c>
      <c r="EV133" s="1653">
        <f>EV131/EU131-1</f>
        <v>0.78296097112343577</v>
      </c>
      <c r="EW133" s="1654"/>
      <c r="EX133" s="1653">
        <f>EX131/EV131-1</f>
        <v>-0.49190280173510592</v>
      </c>
      <c r="EY133" s="1653">
        <f>EY131/EX131-1</f>
        <v>0.15859639802080472</v>
      </c>
      <c r="EZ133" s="1653">
        <f>EZ131/EY131-1</f>
        <v>0.10734457432246236</v>
      </c>
      <c r="FA133" s="1653">
        <f>FA131/EZ131-1</f>
        <v>0.75695090217494787</v>
      </c>
      <c r="FB133" s="1654"/>
      <c r="FC133" s="1653">
        <f>FC131/FA131-1</f>
        <v>-0.49445646838622892</v>
      </c>
      <c r="FD133" s="1653">
        <f>FD131/FC131-1</f>
        <v>0.15458849977318034</v>
      </c>
      <c r="FE133" s="1653">
        <f>FE131/FD131-1</f>
        <v>0.13330881796324978</v>
      </c>
      <c r="FF133" s="1653">
        <f>FF131/FE131-1</f>
        <v>0.76602469904903203</v>
      </c>
      <c r="FG133" s="1654"/>
      <c r="FH133" s="1653">
        <f>FH131/FF131-1</f>
        <v>-0.492210382903981</v>
      </c>
      <c r="FI133" s="1653">
        <f>FI131/FH131-1</f>
        <v>0.141917260235356</v>
      </c>
      <c r="FJ133" s="1653">
        <f>FJ131/FI131-1</f>
        <v>0.16047741496171608</v>
      </c>
      <c r="FK133" s="1653">
        <f>FK131/FJ131-1</f>
        <v>0.7550290079400146</v>
      </c>
      <c r="FL133" s="1654"/>
      <c r="FM133" s="2652"/>
      <c r="FN133" s="2652"/>
      <c r="FO133" s="2652"/>
      <c r="FP133" s="2652"/>
      <c r="FQ133" s="2652"/>
    </row>
    <row r="134" spans="1:173" s="1183" customFormat="1" ht="12">
      <c r="A134" s="1589" t="s">
        <v>1031</v>
      </c>
      <c r="B134" s="1590"/>
      <c r="C134" s="1590"/>
      <c r="D134" s="1590"/>
      <c r="E134" s="1590"/>
      <c r="F134" s="1590"/>
      <c r="G134" s="1590"/>
      <c r="H134" s="1590"/>
      <c r="I134" s="1590"/>
      <c r="J134" s="1590"/>
      <c r="K134" s="1590"/>
      <c r="L134" s="1590"/>
      <c r="M134" s="1590"/>
      <c r="N134" s="1590"/>
      <c r="O134" s="1590"/>
      <c r="P134" s="1590"/>
      <c r="Q134" s="1590"/>
      <c r="R134" s="1590"/>
      <c r="S134" s="1590"/>
      <c r="T134" s="1590"/>
      <c r="U134" s="1590"/>
      <c r="V134" s="1590"/>
      <c r="W134" s="1590"/>
      <c r="X134" s="1590"/>
      <c r="Y134" s="1590"/>
      <c r="Z134" s="1590"/>
      <c r="AA134" s="1590"/>
      <c r="AB134" s="1590"/>
      <c r="AC134" s="1590"/>
      <c r="AD134" s="1590"/>
      <c r="AE134" s="1590"/>
      <c r="AF134" s="1590"/>
      <c r="AG134" s="1590"/>
      <c r="AH134" s="1590"/>
      <c r="AI134" s="1590"/>
      <c r="AJ134" s="1590"/>
      <c r="AK134" s="1590"/>
      <c r="AL134" s="1590"/>
      <c r="AM134" s="1590"/>
      <c r="AN134" s="1590"/>
      <c r="AO134" s="1590"/>
      <c r="AP134" s="1590"/>
      <c r="AQ134" s="1590"/>
      <c r="AR134" s="1590"/>
      <c r="AS134" s="1590"/>
      <c r="AT134" s="1590"/>
      <c r="AU134" s="1590"/>
      <c r="AV134" s="1590"/>
      <c r="AW134" s="1590"/>
      <c r="AX134" s="1590"/>
      <c r="AY134" s="1590"/>
      <c r="AZ134" s="1590"/>
      <c r="BA134" s="1590"/>
      <c r="BB134" s="1590"/>
      <c r="BC134" s="1590"/>
      <c r="BD134" s="1590"/>
      <c r="BE134" s="1590"/>
      <c r="BF134" s="1590"/>
      <c r="BG134" s="1590"/>
      <c r="BH134" s="1590"/>
      <c r="BI134" s="1590"/>
      <c r="BJ134" s="1590"/>
      <c r="BK134" s="1590"/>
      <c r="BL134" s="1590"/>
      <c r="BM134" s="1590"/>
      <c r="BN134" s="1590"/>
      <c r="BO134" s="1590"/>
      <c r="BP134" s="1590"/>
      <c r="BQ134" s="1590"/>
      <c r="BR134" s="1590"/>
      <c r="BS134" s="1590"/>
      <c r="BT134" s="1590"/>
      <c r="BU134" s="1590"/>
      <c r="BV134" s="1590"/>
      <c r="BW134" s="1590"/>
      <c r="BX134" s="1590"/>
      <c r="BY134" s="1590"/>
      <c r="BZ134" s="1590"/>
      <c r="CA134" s="1590"/>
      <c r="CB134" s="1590"/>
      <c r="CC134" s="1590"/>
      <c r="CD134" s="1590"/>
      <c r="CE134" s="1590"/>
      <c r="CF134" s="1590"/>
      <c r="CG134" s="1590"/>
      <c r="CH134" s="1590"/>
      <c r="CI134" s="1590"/>
      <c r="CJ134" s="1590"/>
      <c r="CK134" s="1590"/>
      <c r="CL134" s="1590"/>
      <c r="CM134" s="1590"/>
      <c r="CN134" s="1590"/>
      <c r="CO134" s="1590"/>
      <c r="CP134" s="1590"/>
      <c r="CQ134" s="1590"/>
      <c r="CR134" s="1590"/>
      <c r="CS134" s="1590"/>
      <c r="CT134" s="1590"/>
      <c r="CU134" s="1590"/>
      <c r="CV134" s="1590"/>
      <c r="CW134" s="1590"/>
      <c r="CX134" s="1590"/>
      <c r="CY134" s="1590"/>
      <c r="CZ134" s="1590"/>
      <c r="DA134" s="1590"/>
      <c r="DB134" s="1590"/>
      <c r="DC134" s="1590"/>
      <c r="DD134" s="1590"/>
      <c r="DE134" s="1590"/>
      <c r="DF134" s="1590"/>
      <c r="DG134" s="1590"/>
      <c r="DH134" s="1590"/>
      <c r="DI134" s="1590"/>
      <c r="DJ134" s="1590"/>
      <c r="DK134" s="1590"/>
      <c r="DL134" s="1590"/>
      <c r="DM134" s="1590"/>
      <c r="DN134" s="1590"/>
      <c r="DO134" s="1400"/>
      <c r="DP134" s="1590"/>
      <c r="DQ134" s="1590"/>
      <c r="DR134" s="1590"/>
      <c r="DS134" s="1590"/>
      <c r="DT134" s="1590"/>
      <c r="DU134" s="1590"/>
      <c r="DV134" s="1590"/>
      <c r="DW134" s="1590"/>
      <c r="DX134" s="1614"/>
      <c r="DY134" s="1591"/>
      <c r="DZ134" s="1591"/>
      <c r="EA134" s="1591"/>
      <c r="EB134" s="1591"/>
      <c r="EC134" s="1625"/>
      <c r="ED134" s="1591"/>
      <c r="EE134" s="1591"/>
      <c r="EF134" s="2235">
        <f>+EF132+0.11</f>
        <v>8.917881235945703E-2</v>
      </c>
      <c r="EG134" s="2235">
        <f>+EG132+0.06</f>
        <v>4.02032327699679E-2</v>
      </c>
      <c r="EH134" s="2236"/>
      <c r="EI134" s="2235">
        <f>+EI132+0.08</f>
        <v>0.14310686649109988</v>
      </c>
      <c r="EJ134" s="2235">
        <f>+EJ132+0.07</f>
        <v>5.956805474746979E-2</v>
      </c>
      <c r="EK134" s="2235">
        <f>+EK132+0.02</f>
        <v>4.6621096080936994E-2</v>
      </c>
      <c r="EL134" s="2235">
        <f>+EL132+0.01</f>
        <v>9.9955214502789755E-2</v>
      </c>
      <c r="EM134" s="1652"/>
      <c r="EN134" s="2235"/>
      <c r="EO134" s="2235">
        <f>+EO132+0.05</f>
        <v>0.17003664032777749</v>
      </c>
      <c r="EP134" s="2235">
        <f>+EP132-0.01</f>
        <v>0.12358341016228903</v>
      </c>
      <c r="EQ134" s="2235">
        <f>+EQ132+0.01</f>
        <v>0.11565831962196181</v>
      </c>
      <c r="ER134" s="1652"/>
      <c r="ES134" s="2235"/>
      <c r="ET134" s="2235"/>
      <c r="EU134" s="2235"/>
      <c r="EV134" s="1651"/>
      <c r="EW134" s="1652"/>
      <c r="EX134" s="1651"/>
      <c r="EY134" s="1651"/>
      <c r="EZ134" s="1651"/>
      <c r="FA134" s="1651"/>
      <c r="FB134" s="1652"/>
      <c r="FC134" s="1651"/>
      <c r="FD134" s="1651"/>
      <c r="FE134" s="1651"/>
      <c r="FF134" s="1651"/>
      <c r="FG134" s="1652"/>
      <c r="FH134" s="1651"/>
      <c r="FI134" s="1651"/>
      <c r="FJ134" s="1651"/>
      <c r="FK134" s="1651"/>
      <c r="FL134" s="1652"/>
      <c r="FM134" s="1651"/>
      <c r="FN134" s="1651"/>
      <c r="FO134" s="1651"/>
      <c r="FP134" s="1651"/>
      <c r="FQ134" s="1651"/>
    </row>
    <row r="135" spans="1:173" s="1183" customFormat="1" ht="12">
      <c r="A135" s="1589"/>
      <c r="B135" s="1590"/>
      <c r="C135" s="1590"/>
      <c r="D135" s="1590"/>
      <c r="E135" s="1590"/>
      <c r="F135" s="1590"/>
      <c r="G135" s="1590"/>
      <c r="H135" s="1590"/>
      <c r="I135" s="1590"/>
      <c r="J135" s="1590"/>
      <c r="K135" s="1590"/>
      <c r="L135" s="1590"/>
      <c r="M135" s="1590"/>
      <c r="N135" s="1590"/>
      <c r="O135" s="1590"/>
      <c r="P135" s="1590"/>
      <c r="Q135" s="1590"/>
      <c r="R135" s="1590"/>
      <c r="S135" s="1590"/>
      <c r="T135" s="1590"/>
      <c r="U135" s="1590"/>
      <c r="V135" s="1590"/>
      <c r="W135" s="1590"/>
      <c r="X135" s="1590"/>
      <c r="Y135" s="1590"/>
      <c r="Z135" s="1590"/>
      <c r="AA135" s="1590"/>
      <c r="AB135" s="1590"/>
      <c r="AC135" s="1590"/>
      <c r="AD135" s="1590"/>
      <c r="AE135" s="1590"/>
      <c r="AF135" s="1590"/>
      <c r="AG135" s="1590"/>
      <c r="AH135" s="1590"/>
      <c r="AI135" s="1590"/>
      <c r="AJ135" s="1590"/>
      <c r="AK135" s="1590"/>
      <c r="AL135" s="1590"/>
      <c r="AM135" s="1590"/>
      <c r="AN135" s="1590"/>
      <c r="AO135" s="1590"/>
      <c r="AP135" s="1590"/>
      <c r="AQ135" s="1590"/>
      <c r="AR135" s="1590"/>
      <c r="AS135" s="1590"/>
      <c r="AT135" s="1590"/>
      <c r="AU135" s="1590"/>
      <c r="AV135" s="1590"/>
      <c r="AW135" s="1590"/>
      <c r="AX135" s="1590"/>
      <c r="AY135" s="1590"/>
      <c r="AZ135" s="1590"/>
      <c r="BA135" s="1590"/>
      <c r="BB135" s="1590"/>
      <c r="BC135" s="1590"/>
      <c r="BD135" s="1590"/>
      <c r="BE135" s="1590"/>
      <c r="BF135" s="1590"/>
      <c r="BG135" s="1590"/>
      <c r="BH135" s="1590"/>
      <c r="BI135" s="1590"/>
      <c r="BJ135" s="1590"/>
      <c r="BK135" s="1590"/>
      <c r="BL135" s="1590"/>
      <c r="BM135" s="1590"/>
      <c r="BN135" s="1590"/>
      <c r="BO135" s="1590"/>
      <c r="BP135" s="1590"/>
      <c r="BQ135" s="1590"/>
      <c r="BR135" s="1590"/>
      <c r="BS135" s="1590"/>
      <c r="BT135" s="1590"/>
      <c r="BU135" s="1590"/>
      <c r="BV135" s="1590"/>
      <c r="BW135" s="1590"/>
      <c r="BX135" s="1590"/>
      <c r="BY135" s="1590"/>
      <c r="BZ135" s="1590"/>
      <c r="CA135" s="1590"/>
      <c r="CB135" s="1590"/>
      <c r="CC135" s="1590"/>
      <c r="CD135" s="1590"/>
      <c r="CE135" s="1590"/>
      <c r="CF135" s="1590"/>
      <c r="CG135" s="1590"/>
      <c r="CH135" s="1590"/>
      <c r="CI135" s="1590"/>
      <c r="CJ135" s="1590"/>
      <c r="CK135" s="1590"/>
      <c r="CL135" s="1590"/>
      <c r="CM135" s="1590"/>
      <c r="CN135" s="1590"/>
      <c r="CO135" s="1590"/>
      <c r="CP135" s="1590"/>
      <c r="CQ135" s="1590"/>
      <c r="CR135" s="1590"/>
      <c r="CS135" s="1590"/>
      <c r="CT135" s="1590"/>
      <c r="CU135" s="1590"/>
      <c r="CV135" s="1590"/>
      <c r="CW135" s="1590"/>
      <c r="CX135" s="1590"/>
      <c r="CY135" s="1590"/>
      <c r="CZ135" s="1590"/>
      <c r="DA135" s="1590"/>
      <c r="DB135" s="1590"/>
      <c r="DC135" s="1590"/>
      <c r="DD135" s="1590"/>
      <c r="DE135" s="1590"/>
      <c r="DF135" s="1590"/>
      <c r="DG135" s="1590"/>
      <c r="DH135" s="1590"/>
      <c r="DI135" s="1590"/>
      <c r="DJ135" s="1590"/>
      <c r="DK135" s="1590"/>
      <c r="DL135" s="1590"/>
      <c r="DM135" s="1590"/>
      <c r="DN135" s="1590"/>
      <c r="DO135" s="1400"/>
      <c r="DP135" s="1590"/>
      <c r="DQ135" s="1590"/>
      <c r="DR135" s="1590"/>
      <c r="DS135" s="1590"/>
      <c r="DT135" s="1590"/>
      <c r="DU135" s="1590"/>
      <c r="DV135" s="1590"/>
      <c r="DW135" s="1590"/>
      <c r="DX135" s="1614"/>
      <c r="DY135" s="1591"/>
      <c r="DZ135" s="1591"/>
      <c r="EA135" s="1591"/>
      <c r="EB135" s="1591"/>
      <c r="EC135" s="1625"/>
      <c r="ED135" s="1591"/>
      <c r="EE135" s="1591"/>
      <c r="EF135" s="1592"/>
      <c r="EG135" s="1592"/>
      <c r="EH135" s="1625"/>
      <c r="EI135" s="1592"/>
      <c r="EJ135" s="1651"/>
      <c r="EK135" s="1651"/>
      <c r="EL135" s="1651"/>
      <c r="EM135" s="1652"/>
      <c r="EN135" s="1592"/>
      <c r="EO135" s="1651"/>
      <c r="EP135" s="1651"/>
      <c r="EQ135" s="1651"/>
      <c r="ER135" s="1652"/>
      <c r="ES135" s="1592"/>
      <c r="ET135" s="1592"/>
      <c r="EU135" s="1592"/>
      <c r="EV135" s="1651"/>
      <c r="EW135" s="1652"/>
      <c r="EX135" s="1651"/>
      <c r="EY135" s="1651"/>
      <c r="EZ135" s="1651"/>
      <c r="FA135" s="1651"/>
      <c r="FB135" s="1652"/>
      <c r="FC135" s="1651"/>
      <c r="FD135" s="1651"/>
      <c r="FE135" s="1651"/>
      <c r="FF135" s="1651"/>
      <c r="FG135" s="1652"/>
      <c r="FH135" s="1651"/>
      <c r="FI135" s="1651"/>
      <c r="FJ135" s="1651"/>
      <c r="FK135" s="1651"/>
      <c r="FL135" s="1652"/>
      <c r="FM135" s="1651"/>
      <c r="FN135" s="1651"/>
      <c r="FO135" s="1651"/>
      <c r="FP135" s="1651"/>
      <c r="FQ135" s="1651"/>
    </row>
    <row r="136" spans="1:173" s="1183" customFormat="1" ht="12">
      <c r="A136" s="1607" t="s">
        <v>1089</v>
      </c>
      <c r="B136" s="1590"/>
      <c r="C136" s="1590"/>
      <c r="D136" s="1590"/>
      <c r="E136" s="1590"/>
      <c r="F136" s="1590"/>
      <c r="G136" s="1590"/>
      <c r="H136" s="1590"/>
      <c r="I136" s="1590"/>
      <c r="J136" s="1590"/>
      <c r="K136" s="1590"/>
      <c r="L136" s="1590"/>
      <c r="M136" s="1590"/>
      <c r="N136" s="1590"/>
      <c r="O136" s="1590"/>
      <c r="P136" s="1590"/>
      <c r="Q136" s="1590"/>
      <c r="R136" s="1590"/>
      <c r="S136" s="1590"/>
      <c r="T136" s="1590"/>
      <c r="U136" s="1590"/>
      <c r="V136" s="1590"/>
      <c r="W136" s="1590"/>
      <c r="X136" s="1590"/>
      <c r="Y136" s="1590"/>
      <c r="Z136" s="1590"/>
      <c r="AA136" s="1590"/>
      <c r="AB136" s="1590"/>
      <c r="AC136" s="1590"/>
      <c r="AD136" s="1590"/>
      <c r="AE136" s="1590"/>
      <c r="AF136" s="1590"/>
      <c r="AG136" s="1590"/>
      <c r="AH136" s="1590"/>
      <c r="AI136" s="1590"/>
      <c r="AJ136" s="1590"/>
      <c r="AK136" s="1590"/>
      <c r="AL136" s="1590"/>
      <c r="AM136" s="1590"/>
      <c r="AN136" s="1590"/>
      <c r="AO136" s="1590"/>
      <c r="AP136" s="1590"/>
      <c r="AQ136" s="1590"/>
      <c r="AR136" s="1590"/>
      <c r="AS136" s="1590"/>
      <c r="AT136" s="1590"/>
      <c r="AU136" s="1590"/>
      <c r="AV136" s="1590"/>
      <c r="AW136" s="1590"/>
      <c r="AX136" s="1590"/>
      <c r="AY136" s="1590"/>
      <c r="AZ136" s="1590"/>
      <c r="BA136" s="1590"/>
      <c r="BB136" s="1590"/>
      <c r="BC136" s="1590"/>
      <c r="BD136" s="1590"/>
      <c r="BE136" s="1590"/>
      <c r="BF136" s="1590"/>
      <c r="BG136" s="1590"/>
      <c r="BH136" s="1590"/>
      <c r="BI136" s="1590"/>
      <c r="BJ136" s="1590"/>
      <c r="BK136" s="1590"/>
      <c r="BL136" s="1590"/>
      <c r="BM136" s="1590"/>
      <c r="BN136" s="1590"/>
      <c r="BO136" s="1590"/>
      <c r="BP136" s="1590"/>
      <c r="BQ136" s="1590"/>
      <c r="BR136" s="1590"/>
      <c r="BS136" s="1590"/>
      <c r="BT136" s="1590"/>
      <c r="BU136" s="1590"/>
      <c r="BV136" s="1590"/>
      <c r="BW136" s="1590"/>
      <c r="BX136" s="1590"/>
      <c r="BY136" s="1590"/>
      <c r="BZ136" s="1590"/>
      <c r="CA136" s="1590"/>
      <c r="CB136" s="1590"/>
      <c r="CC136" s="1590"/>
      <c r="CD136" s="1590"/>
      <c r="CE136" s="1590"/>
      <c r="CF136" s="1590"/>
      <c r="CG136" s="1590"/>
      <c r="CH136" s="1590"/>
      <c r="CI136" s="1590"/>
      <c r="CJ136" s="1590"/>
      <c r="CK136" s="1590"/>
      <c r="CL136" s="1590"/>
      <c r="CM136" s="1590"/>
      <c r="CN136" s="1590"/>
      <c r="CO136" s="1590"/>
      <c r="CP136" s="1590"/>
      <c r="CQ136" s="1590"/>
      <c r="CR136" s="1590"/>
      <c r="CS136" s="1590"/>
      <c r="CT136" s="1590"/>
      <c r="CU136" s="1590"/>
      <c r="CV136" s="1590"/>
      <c r="CW136" s="1590"/>
      <c r="CX136" s="1590"/>
      <c r="CY136" s="1590"/>
      <c r="CZ136" s="1590"/>
      <c r="DA136" s="1590"/>
      <c r="DB136" s="1590"/>
      <c r="DC136" s="1590"/>
      <c r="DD136" s="1590"/>
      <c r="DE136" s="1590"/>
      <c r="DF136" s="1590"/>
      <c r="DG136" s="1590"/>
      <c r="DH136" s="1590"/>
      <c r="DI136" s="1593"/>
      <c r="DJ136" s="1593"/>
      <c r="DK136" s="1593"/>
      <c r="DL136" s="1593"/>
      <c r="DM136" s="1593"/>
      <c r="DN136" s="1593"/>
      <c r="DO136" s="1593">
        <f>'Rev Overview'!BA135</f>
        <v>9371</v>
      </c>
      <c r="DP136" s="1593">
        <f>'Rev Overview'!BB135</f>
        <v>10751</v>
      </c>
      <c r="DQ136" s="1593">
        <f>'Rev Overview'!BC135</f>
        <v>10247</v>
      </c>
      <c r="DR136" s="1593">
        <f>'Rev Overview'!BD135</f>
        <v>11401</v>
      </c>
      <c r="DS136" s="1593">
        <f>'Rev Overview'!BE135</f>
        <v>41770</v>
      </c>
      <c r="DT136" s="1593">
        <f>'Rev Overview'!BF135</f>
        <v>10193</v>
      </c>
      <c r="DU136" s="1593">
        <f>'Rev Overview'!BG135</f>
        <v>11524</v>
      </c>
      <c r="DV136" s="1593">
        <f>'Rev Overview'!BH135</f>
        <v>11428</v>
      </c>
      <c r="DW136" s="1593">
        <f>'Rev Overview'!BI135</f>
        <v>12201</v>
      </c>
      <c r="DX136" s="1616">
        <f>'Rev Overview'!BJ135</f>
        <v>45346</v>
      </c>
      <c r="DY136" s="1593">
        <f>'Rev Overview'!BK135</f>
        <v>11213</v>
      </c>
      <c r="DZ136" s="1593">
        <f>'Rev Overview'!BL135</f>
        <v>12686</v>
      </c>
      <c r="EA136" s="1593">
        <f>'Rev Overview'!BM135</f>
        <v>12237</v>
      </c>
      <c r="EB136" s="1593">
        <f>'Rev Overview'!BN135</f>
        <v>13495</v>
      </c>
      <c r="EC136" s="1616">
        <f>'Rev Overview'!BO135</f>
        <v>49631</v>
      </c>
      <c r="ED136" s="1593">
        <f>'Rev Overview'!BP135</f>
        <v>12280</v>
      </c>
      <c r="EE136" s="1593">
        <f>'Rev Overview'!BQ135</f>
        <v>13272</v>
      </c>
      <c r="EF136" s="1593">
        <f>'Rev Overview'!BR135</f>
        <v>12796</v>
      </c>
      <c r="EG136" s="1593">
        <f>'Rev Overview'!BS135</f>
        <v>13527</v>
      </c>
      <c r="EH136" s="1616">
        <f>'Rev Overview'!BT135</f>
        <v>51875</v>
      </c>
      <c r="EI136" s="1655">
        <f>'Rev Detail - OLD'!AU9+'Rev Detail - OLD'!AU12+'Rev Detail - OLD'!AU28+'Rev Detail - OLD'!AU33</f>
        <v>12614.442429432267</v>
      </c>
      <c r="EJ136" s="1655">
        <f>'Rev Detail - OLD'!AV9+'Rev Detail - OLD'!AV12+'Rev Detail - OLD'!AV28+'Rev Detail - OLD'!AV33</f>
        <v>13407.856918006404</v>
      </c>
      <c r="EK136" s="1655">
        <f>'Rev Detail - OLD'!AW9+'Rev Detail - OLD'!AW12+'Rev Detail - OLD'!AW28+'Rev Detail - OLD'!AW33</f>
        <v>12870.984226623577</v>
      </c>
      <c r="EL136" s="1655">
        <f>'Rev Detail - OLD'!AX9+'Rev Detail - OLD'!AX12+'Rev Detail - OLD'!AX28+'Rev Detail - OLD'!AX33</f>
        <v>14426.696228398436</v>
      </c>
      <c r="EM136" s="1656">
        <f>'Rev Detail - OLD'!AY9+'Rev Detail - OLD'!AY12+'Rev Detail - OLD'!AY28+'Rev Detail - OLD'!AY33</f>
        <v>53319.979802460686</v>
      </c>
      <c r="EN136" s="1655">
        <f>'Rev Detail - OLD'!AZ9+'Rev Detail - OLD'!AZ12+'Rev Detail - OLD'!AZ28+'Rev Detail - OLD'!AZ33</f>
        <v>13399.490451597267</v>
      </c>
      <c r="EO136" s="1655">
        <f>'Rev Detail - OLD'!BA9+'Rev Detail - OLD'!BA12+'Rev Detail - OLD'!BA28+'Rev Detail - OLD'!BA33</f>
        <v>14355.198181086787</v>
      </c>
      <c r="EP136" s="1655">
        <f>'Rev Detail - OLD'!BB9+'Rev Detail - OLD'!BB12+'Rev Detail - OLD'!BB28+'Rev Detail - OLD'!BB33</f>
        <v>14059.333880220993</v>
      </c>
      <c r="EQ136" s="1655">
        <f>'Rev Detail - OLD'!BC9+'Rev Detail - OLD'!BC12+'Rev Detail - OLD'!BC28+'Rev Detail - OLD'!BC33</f>
        <v>15686.682754170313</v>
      </c>
      <c r="ER136" s="1658">
        <f>'Rev Detail - OLD'!BD9+'Rev Detail - OLD'!BD12+'Rev Detail - OLD'!BD28+'Rev Detail - OLD'!BD33</f>
        <v>57500.705267075362</v>
      </c>
      <c r="ES136" s="1657">
        <f>'Rev Detail - NEW'!AZ9+'Rev Detail - NEW'!AZ12+'Rev Detail - NEW'!AZ28+'Rev Detail - NEW'!AZ33</f>
        <v>13101.888201597267</v>
      </c>
      <c r="ET136" s="1657">
        <f>'Rev Detail - NEW'!BA9+'Rev Detail - NEW'!BA12+'Rev Detail - NEW'!BA28+'Rev Detail - NEW'!BA33</f>
        <v>14060.009681086787</v>
      </c>
      <c r="EU136" s="1657">
        <f>'Rev Detail - NEW'!BB9+'Rev Detail - NEW'!BB12+'Rev Detail - NEW'!BB28+'Rev Detail - NEW'!BB33</f>
        <v>13665.611480220994</v>
      </c>
      <c r="EV136" s="1657">
        <f>'Rev Detail - NEW'!BC9+'Rev Detail - NEW'!BC12+'Rev Detail - NEW'!BC28+'Rev Detail - NEW'!BC33</f>
        <v>16317.208214170314</v>
      </c>
      <c r="EW136" s="1658">
        <f>'Rev Detail - NEW'!BD9+'Rev Detail - NEW'!BD12+'Rev Detail - NEW'!BD28+'Rev Detail - NEW'!BD33</f>
        <v>57144.717577075353</v>
      </c>
      <c r="EX136" s="1657">
        <f>'Rev Detail - NEW'!BE9+'Rev Detail - NEW'!BE12+'Rev Detail - NEW'!BE28+'Rev Detail - NEW'!BE33</f>
        <v>14576.683329845302</v>
      </c>
      <c r="EY136" s="1657">
        <f>'Rev Detail - NEW'!BF9+'Rev Detail - NEW'!BF12+'Rev Detail - NEW'!BF28+'Rev Detail - NEW'!BF33</f>
        <v>15641.415814343314</v>
      </c>
      <c r="EZ136" s="1657">
        <f>'Rev Detail - NEW'!BG9+'Rev Detail - NEW'!BG12+'Rev Detail - NEW'!BG28+'Rev Detail - NEW'!BG33</f>
        <v>15886.567725867402</v>
      </c>
      <c r="FA136" s="1657">
        <f>'Rev Detail - NEW'!BH9+'Rev Detail - NEW'!BH12+'Rev Detail - NEW'!BH28+'Rev Detail - NEW'!BH33</f>
        <v>18410.391658983139</v>
      </c>
      <c r="FB136" s="1658">
        <f>'Rev Detail - NEW'!BI9+'Rev Detail - NEW'!BI12+'Rev Detail - NEW'!BI28+'Rev Detail - NEW'!BI33</f>
        <v>64515.058529039154</v>
      </c>
      <c r="FC136" s="1657">
        <f>'Rev Detail - NEW'!BJ9+'Rev Detail - NEW'!BJ12+'Rev Detail - NEW'!BJ28+'Rev Detail - NEW'!BJ33</f>
        <v>16709.674516125044</v>
      </c>
      <c r="FD136" s="1657">
        <f>'Rev Detail - NEW'!BK9+'Rev Detail - NEW'!BK12+'Rev Detail - NEW'!BK28+'Rev Detail - NEW'!BK33</f>
        <v>17830.810317220778</v>
      </c>
      <c r="FE136" s="1657">
        <f>'Rev Detail - NEW'!BL9+'Rev Detail - NEW'!BL12+'Rev Detail - NEW'!BL28+'Rev Detail - NEW'!BL33</f>
        <v>18468.128526592096</v>
      </c>
      <c r="FF136" s="1657">
        <f>'Rev Detail - NEW'!BM9+'Rev Detail - NEW'!BM12+'Rev Detail - NEW'!BM28+'Rev Detail - NEW'!BM33</f>
        <v>21388.507203591922</v>
      </c>
      <c r="FG136" s="1658">
        <f>'Rev Detail - NEW'!BN9+'Rev Detail - NEW'!BN12+'Rev Detail - NEW'!BN28+'Rev Detail - NEW'!BN33</f>
        <v>74397.120563529839</v>
      </c>
      <c r="FH136" s="1657">
        <f>'Rev Detail - NEW'!BO9+'Rev Detail - NEW'!BO12+'Rev Detail - NEW'!BO28+'Rev Detail - NEW'!BO33</f>
        <v>19629.631657769161</v>
      </c>
      <c r="FI136" s="1657">
        <f>'Rev Detail - NEW'!BP9+'Rev Detail - NEW'!BP12+'Rev Detail - NEW'!BP28+'Rev Detail - NEW'!BP33</f>
        <v>20730.187908557149</v>
      </c>
      <c r="FJ136" s="1657">
        <f>'Rev Detail - NEW'!BQ9+'Rev Detail - NEW'!BQ12+'Rev Detail - NEW'!BQ28+'Rev Detail - NEW'!BQ33</f>
        <v>21945.140756806988</v>
      </c>
      <c r="FK136" s="1657">
        <f>'Rev Detail - NEW'!BR9+'Rev Detail - NEW'!BR12+'Rev Detail - NEW'!BR28+'Rev Detail - NEW'!BR33</f>
        <v>25255.523396979319</v>
      </c>
      <c r="FL136" s="1658">
        <f>'Rev Detail - NEW'!BS9+'Rev Detail - NEW'!BS12+'Rev Detail - NEW'!BS28+'Rev Detail - NEW'!BS33</f>
        <v>87560.483720112621</v>
      </c>
      <c r="FM136" s="1657"/>
      <c r="FN136" s="1657"/>
      <c r="FO136" s="1657"/>
      <c r="FP136" s="1657"/>
      <c r="FQ136" s="1657"/>
    </row>
    <row r="137" spans="1:173" s="1183" customFormat="1" ht="12">
      <c r="A137" s="1589" t="s">
        <v>163</v>
      </c>
      <c r="B137" s="1590"/>
      <c r="C137" s="1590"/>
      <c r="D137" s="1590"/>
      <c r="E137" s="1590"/>
      <c r="F137" s="1590"/>
      <c r="G137" s="1590"/>
      <c r="H137" s="1590"/>
      <c r="I137" s="1590"/>
      <c r="J137" s="1590"/>
      <c r="K137" s="1590"/>
      <c r="L137" s="1590"/>
      <c r="M137" s="1590"/>
      <c r="N137" s="1590"/>
      <c r="O137" s="1590"/>
      <c r="P137" s="1590"/>
      <c r="Q137" s="1590"/>
      <c r="R137" s="1590"/>
      <c r="S137" s="1590"/>
      <c r="T137" s="1590"/>
      <c r="U137" s="1590"/>
      <c r="V137" s="1590"/>
      <c r="W137" s="1590"/>
      <c r="X137" s="1590"/>
      <c r="Y137" s="1590"/>
      <c r="Z137" s="1590"/>
      <c r="AA137" s="1590"/>
      <c r="AB137" s="1590"/>
      <c r="AC137" s="1590"/>
      <c r="AD137" s="1590"/>
      <c r="AE137" s="1590"/>
      <c r="AF137" s="1590"/>
      <c r="AG137" s="1590"/>
      <c r="AH137" s="1590"/>
      <c r="AI137" s="1590"/>
      <c r="AJ137" s="1590"/>
      <c r="AK137" s="1590"/>
      <c r="AL137" s="1590"/>
      <c r="AM137" s="1590"/>
      <c r="AN137" s="1590"/>
      <c r="AO137" s="1590"/>
      <c r="AP137" s="1590"/>
      <c r="AQ137" s="1590"/>
      <c r="AR137" s="1590"/>
      <c r="AS137" s="1590"/>
      <c r="AT137" s="1590"/>
      <c r="AU137" s="1590"/>
      <c r="AV137" s="1590"/>
      <c r="AW137" s="1590"/>
      <c r="AX137" s="1590"/>
      <c r="AY137" s="1590"/>
      <c r="AZ137" s="1590"/>
      <c r="BA137" s="1590"/>
      <c r="BB137" s="1590"/>
      <c r="BC137" s="1590"/>
      <c r="BD137" s="1590"/>
      <c r="BE137" s="1590"/>
      <c r="BF137" s="1590"/>
      <c r="BG137" s="1590"/>
      <c r="BH137" s="1590"/>
      <c r="BI137" s="1590"/>
      <c r="BJ137" s="1590"/>
      <c r="BK137" s="1590"/>
      <c r="BL137" s="1590"/>
      <c r="BM137" s="1590"/>
      <c r="BN137" s="1590"/>
      <c r="BO137" s="1590"/>
      <c r="BP137" s="1590"/>
      <c r="BQ137" s="1590"/>
      <c r="BR137" s="1590"/>
      <c r="BS137" s="1590"/>
      <c r="BT137" s="1590"/>
      <c r="BU137" s="1590"/>
      <c r="BV137" s="1590"/>
      <c r="BW137" s="1590"/>
      <c r="BX137" s="1590"/>
      <c r="BY137" s="1590"/>
      <c r="BZ137" s="1590"/>
      <c r="CA137" s="1590"/>
      <c r="CB137" s="1590"/>
      <c r="CC137" s="1590"/>
      <c r="CD137" s="1590"/>
      <c r="CE137" s="1590"/>
      <c r="CF137" s="1590"/>
      <c r="CG137" s="1590"/>
      <c r="CH137" s="1590"/>
      <c r="CI137" s="1590"/>
      <c r="CJ137" s="1590"/>
      <c r="CK137" s="1590"/>
      <c r="CL137" s="1590"/>
      <c r="CM137" s="1590"/>
      <c r="CN137" s="1590"/>
      <c r="CO137" s="1590"/>
      <c r="CP137" s="1590"/>
      <c r="CQ137" s="1590"/>
      <c r="CR137" s="1590"/>
      <c r="CS137" s="1590"/>
      <c r="CT137" s="1590"/>
      <c r="CU137" s="1590"/>
      <c r="CV137" s="1590"/>
      <c r="CW137" s="1590"/>
      <c r="CX137" s="1590"/>
      <c r="CY137" s="1590"/>
      <c r="CZ137" s="1590"/>
      <c r="DA137" s="1590"/>
      <c r="DB137" s="1590"/>
      <c r="DC137" s="1590"/>
      <c r="DD137" s="1590"/>
      <c r="DE137" s="1590"/>
      <c r="DF137" s="1590"/>
      <c r="DG137" s="1590"/>
      <c r="DH137" s="1590"/>
      <c r="DI137" s="1593"/>
      <c r="DJ137" s="1593"/>
      <c r="DK137" s="1593"/>
      <c r="DL137" s="1593"/>
      <c r="DM137" s="1593"/>
      <c r="DN137" s="1593"/>
      <c r="DO137" s="1593"/>
      <c r="DP137" s="1593"/>
      <c r="DQ137" s="1593"/>
      <c r="DR137" s="1593"/>
      <c r="DS137" s="1593"/>
      <c r="DT137" s="1593"/>
      <c r="DU137" s="1593"/>
      <c r="DV137" s="1593"/>
      <c r="DW137" s="1593"/>
      <c r="DX137" s="1616"/>
      <c r="DY137" s="1591"/>
      <c r="DZ137" s="1591"/>
      <c r="EA137" s="1591"/>
      <c r="EB137" s="1591">
        <f t="shared" ref="EB137:FB137" si="223">EB136/DW136-1</f>
        <v>0.10605688058355867</v>
      </c>
      <c r="EC137" s="1625">
        <f t="shared" si="223"/>
        <v>9.4495655625634001E-2</v>
      </c>
      <c r="ED137" s="1591">
        <f t="shared" si="223"/>
        <v>9.5157406581646287E-2</v>
      </c>
      <c r="EE137" s="1591">
        <f t="shared" si="223"/>
        <v>4.6192653318618992E-2</v>
      </c>
      <c r="EF137" s="1591">
        <f t="shared" si="223"/>
        <v>4.5681130996159114E-2</v>
      </c>
      <c r="EG137" s="1591">
        <f t="shared" si="223"/>
        <v>2.3712486105964548E-3</v>
      </c>
      <c r="EH137" s="1625">
        <f t="shared" si="223"/>
        <v>4.521367693578604E-2</v>
      </c>
      <c r="EI137" s="1591">
        <f t="shared" si="223"/>
        <v>2.7234725523800352E-2</v>
      </c>
      <c r="EJ137" s="1651">
        <f t="shared" si="223"/>
        <v>1.0236356088487275E-2</v>
      </c>
      <c r="EK137" s="1651">
        <f t="shared" si="223"/>
        <v>5.8599739468254697E-3</v>
      </c>
      <c r="EL137" s="1651">
        <f t="shared" si="223"/>
        <v>6.6511142780988797E-2</v>
      </c>
      <c r="EM137" s="1652">
        <f t="shared" si="223"/>
        <v>2.785503233659159E-2</v>
      </c>
      <c r="EN137" s="1591">
        <f t="shared" si="223"/>
        <v>6.2234064371589737E-2</v>
      </c>
      <c r="EO137" s="1651">
        <f t="shared" si="223"/>
        <v>7.0655681133360515E-2</v>
      </c>
      <c r="EP137" s="1651">
        <f t="shared" si="223"/>
        <v>9.2327799698434854E-2</v>
      </c>
      <c r="EQ137" s="1651">
        <f t="shared" si="223"/>
        <v>8.7337149533351921E-2</v>
      </c>
      <c r="ER137" s="1652">
        <f t="shared" si="223"/>
        <v>7.8408234213579675E-2</v>
      </c>
      <c r="ES137" s="1591">
        <f t="shared" si="223"/>
        <v>-2.220996769056427E-2</v>
      </c>
      <c r="ET137" s="1591">
        <f t="shared" si="223"/>
        <v>-2.0563178318841691E-2</v>
      </c>
      <c r="EU137" s="1591">
        <f t="shared" si="223"/>
        <v>-2.8004342407281224E-2</v>
      </c>
      <c r="EV137" s="1651">
        <f t="shared" si="223"/>
        <v>4.0194951978127724E-2</v>
      </c>
      <c r="EW137" s="1652">
        <f t="shared" si="223"/>
        <v>-6.1910143248946614E-3</v>
      </c>
      <c r="EX137" s="1651">
        <f t="shared" si="223"/>
        <v>0.11256355614973423</v>
      </c>
      <c r="EY137" s="1651">
        <f t="shared" si="223"/>
        <v>0.11247546546029752</v>
      </c>
      <c r="EZ137" s="1651">
        <f t="shared" si="223"/>
        <v>0.16252154167129085</v>
      </c>
      <c r="FA137" s="1651">
        <f t="shared" si="223"/>
        <v>0.12828073389386829</v>
      </c>
      <c r="FB137" s="1652">
        <f t="shared" si="223"/>
        <v>0.12897676748551379</v>
      </c>
      <c r="FC137" s="1651">
        <f t="shared" ref="FC137" si="224">FC136/EX136-1</f>
        <v>0.14632897882281015</v>
      </c>
      <c r="FD137" s="1651">
        <f t="shared" ref="FD137" si="225">FD136/EY136-1</f>
        <v>0.13997418960435604</v>
      </c>
      <c r="FE137" s="1651">
        <f t="shared" ref="FE137" si="226">FE136/EZ136-1</f>
        <v>0.16249959369897438</v>
      </c>
      <c r="FF137" s="1651">
        <f t="shared" ref="FF137" si="227">FF136/FA136-1</f>
        <v>0.1617627478965471</v>
      </c>
      <c r="FG137" s="1652">
        <f t="shared" ref="FG137" si="228">FG136/FB136-1</f>
        <v>0.1531745031284848</v>
      </c>
      <c r="FH137" s="1651">
        <f t="shared" ref="FH137" si="229">FH136/FC136-1</f>
        <v>0.17474650022813565</v>
      </c>
      <c r="FI137" s="1651">
        <f t="shared" ref="FI137" si="230">FI136/FD136-1</f>
        <v>0.16260492595427301</v>
      </c>
      <c r="FJ137" s="1651">
        <f t="shared" ref="FJ137" si="231">FJ136/FE136-1</f>
        <v>0.18827095691955864</v>
      </c>
      <c r="FK137" s="1651">
        <f t="shared" ref="FK137" si="232">FK136/FF136-1</f>
        <v>0.18079878864748355</v>
      </c>
      <c r="FL137" s="1652">
        <f t="shared" ref="FL137" si="233">FL136/FG136-1</f>
        <v>0.17693377185669723</v>
      </c>
      <c r="FM137" s="1651"/>
      <c r="FN137" s="1651"/>
      <c r="FO137" s="1651"/>
      <c r="FP137" s="1651"/>
      <c r="FQ137" s="1651"/>
    </row>
    <row r="138" spans="1:173" s="1183" customFormat="1" ht="12">
      <c r="A138" s="1589" t="s">
        <v>667</v>
      </c>
      <c r="B138" s="1590"/>
      <c r="C138" s="1590"/>
      <c r="D138" s="1590"/>
      <c r="E138" s="1590"/>
      <c r="F138" s="1590"/>
      <c r="G138" s="1590"/>
      <c r="H138" s="1590"/>
      <c r="I138" s="1590"/>
      <c r="J138" s="1590"/>
      <c r="K138" s="1590"/>
      <c r="L138" s="1590"/>
      <c r="M138" s="1590"/>
      <c r="N138" s="1590"/>
      <c r="O138" s="1590"/>
      <c r="P138" s="1590"/>
      <c r="Q138" s="1590"/>
      <c r="R138" s="1590"/>
      <c r="S138" s="1590"/>
      <c r="T138" s="1590"/>
      <c r="U138" s="1590"/>
      <c r="V138" s="1590"/>
      <c r="W138" s="1590"/>
      <c r="X138" s="1590"/>
      <c r="Y138" s="1590"/>
      <c r="Z138" s="1590"/>
      <c r="AA138" s="1590"/>
      <c r="AB138" s="1590"/>
      <c r="AC138" s="1590"/>
      <c r="AD138" s="1590"/>
      <c r="AE138" s="1590"/>
      <c r="AF138" s="1590"/>
      <c r="AG138" s="1590"/>
      <c r="AH138" s="1590"/>
      <c r="AI138" s="1590"/>
      <c r="AJ138" s="1590"/>
      <c r="AK138" s="1590"/>
      <c r="AL138" s="1590"/>
      <c r="AM138" s="1590"/>
      <c r="AN138" s="1590"/>
      <c r="AO138" s="1590"/>
      <c r="AP138" s="1590"/>
      <c r="AQ138" s="1590"/>
      <c r="AR138" s="1590"/>
      <c r="AS138" s="1590"/>
      <c r="AT138" s="1590"/>
      <c r="AU138" s="1590"/>
      <c r="AV138" s="1590"/>
      <c r="AW138" s="1590"/>
      <c r="AX138" s="1590"/>
      <c r="AY138" s="1590"/>
      <c r="AZ138" s="1590"/>
      <c r="BA138" s="1590"/>
      <c r="BB138" s="1590"/>
      <c r="BC138" s="1590"/>
      <c r="BD138" s="1590"/>
      <c r="BE138" s="1590"/>
      <c r="BF138" s="1590"/>
      <c r="BG138" s="1590"/>
      <c r="BH138" s="1590"/>
      <c r="BI138" s="1590"/>
      <c r="BJ138" s="1590"/>
      <c r="BK138" s="1590"/>
      <c r="BL138" s="1590"/>
      <c r="BM138" s="1590"/>
      <c r="BN138" s="1590"/>
      <c r="BO138" s="1590"/>
      <c r="BP138" s="1590"/>
      <c r="BQ138" s="1590"/>
      <c r="BR138" s="1590"/>
      <c r="BS138" s="1590"/>
      <c r="BT138" s="1590"/>
      <c r="BU138" s="1590"/>
      <c r="BV138" s="1590"/>
      <c r="BW138" s="1590"/>
      <c r="BX138" s="1590"/>
      <c r="BY138" s="1590"/>
      <c r="BZ138" s="1590"/>
      <c r="CA138" s="1590"/>
      <c r="CB138" s="1590"/>
      <c r="CC138" s="1590"/>
      <c r="CD138" s="1590"/>
      <c r="CE138" s="1590"/>
      <c r="CF138" s="1590"/>
      <c r="CG138" s="1590"/>
      <c r="CH138" s="1590"/>
      <c r="CI138" s="1590"/>
      <c r="CJ138" s="1590"/>
      <c r="CK138" s="1590"/>
      <c r="CL138" s="1590"/>
      <c r="CM138" s="1590"/>
      <c r="CN138" s="1590"/>
      <c r="CO138" s="1590"/>
      <c r="CP138" s="1590"/>
      <c r="CQ138" s="1590"/>
      <c r="CR138" s="1590"/>
      <c r="CS138" s="1590"/>
      <c r="CT138" s="1590"/>
      <c r="CU138" s="1590"/>
      <c r="CV138" s="1590"/>
      <c r="CW138" s="1590"/>
      <c r="CX138" s="1590"/>
      <c r="CY138" s="1590"/>
      <c r="CZ138" s="1590"/>
      <c r="DA138" s="1590"/>
      <c r="DB138" s="1590"/>
      <c r="DC138" s="1590"/>
      <c r="DD138" s="1590"/>
      <c r="DE138" s="1590"/>
      <c r="DF138" s="1590"/>
      <c r="DG138" s="1590"/>
      <c r="DH138" s="1590"/>
      <c r="DI138" s="1593"/>
      <c r="DJ138" s="1593"/>
      <c r="DK138" s="1593"/>
      <c r="DL138" s="1593"/>
      <c r="DM138" s="1593"/>
      <c r="DN138" s="1593"/>
      <c r="DO138" s="1593"/>
      <c r="DP138" s="1593"/>
      <c r="DQ138" s="1593"/>
      <c r="DR138" s="1593"/>
      <c r="DS138" s="1593"/>
      <c r="DT138" s="1593"/>
      <c r="DU138" s="1593"/>
      <c r="DV138" s="1593"/>
      <c r="DW138" s="1593"/>
      <c r="DX138" s="1616"/>
      <c r="DY138" s="1591"/>
      <c r="DZ138" s="1591"/>
      <c r="EA138" s="1591"/>
      <c r="EB138" s="1591">
        <f>EB136/EA136-1</f>
        <v>0.1028029745852741</v>
      </c>
      <c r="EC138" s="1616"/>
      <c r="ED138" s="1591">
        <f>ED136/EC136-1</f>
        <v>-0.75257399609115272</v>
      </c>
      <c r="EE138" s="1591">
        <f>EE136/ED136-1</f>
        <v>8.0781758957654715E-2</v>
      </c>
      <c r="EF138" s="1591">
        <f>EF136/EE136-1</f>
        <v>-3.5864978902953593E-2</v>
      </c>
      <c r="EG138" s="1591">
        <f>EG136/EF136-1</f>
        <v>5.7127227258518376E-2</v>
      </c>
      <c r="EH138" s="1616"/>
      <c r="EI138" s="1591">
        <f t="shared" ref="EI138:EU138" si="234">EI136/EH136-1</f>
        <v>-0.7568300254567274</v>
      </c>
      <c r="EJ138" s="1651">
        <f t="shared" si="234"/>
        <v>6.2897309414400082E-2</v>
      </c>
      <c r="EK138" s="1651">
        <f t="shared" si="234"/>
        <v>-4.0041648316057166E-2</v>
      </c>
      <c r="EL138" s="1651">
        <f t="shared" si="234"/>
        <v>0.1208696999687775</v>
      </c>
      <c r="EM138" s="1658"/>
      <c r="EN138" s="1591">
        <f t="shared" si="234"/>
        <v>-0.748696633021251</v>
      </c>
      <c r="EO138" s="1651">
        <f t="shared" si="234"/>
        <v>7.1324184523419376E-2</v>
      </c>
      <c r="EP138" s="1651">
        <f t="shared" si="234"/>
        <v>-2.0610255402506494E-2</v>
      </c>
      <c r="EQ138" s="1651">
        <f t="shared" si="234"/>
        <v>0.11574864697101428</v>
      </c>
      <c r="ER138" s="1658"/>
      <c r="ES138" s="1591">
        <f t="shared" si="234"/>
        <v>-0.77214386952746916</v>
      </c>
      <c r="ET138" s="1591">
        <f t="shared" si="234"/>
        <v>7.3128503674204426E-2</v>
      </c>
      <c r="EU138" s="1591">
        <f t="shared" si="234"/>
        <v>-2.8051061827953694E-2</v>
      </c>
      <c r="EV138" s="1651">
        <f>EV136/EU136-1</f>
        <v>0.19403425436081845</v>
      </c>
      <c r="EW138" s="1652"/>
      <c r="EX138" s="1651">
        <f>EX136/EW136-1</f>
        <v>-0.74491634663895856</v>
      </c>
      <c r="EY138" s="1651">
        <f>EY136/EX136-1</f>
        <v>7.3043535378038094E-2</v>
      </c>
      <c r="EZ138" s="1651">
        <f>EZ136/EY136-1</f>
        <v>1.5673255825043864E-2</v>
      </c>
      <c r="FA138" s="1651">
        <f>FA136/EZ136-1</f>
        <v>0.15886527390093863</v>
      </c>
      <c r="FB138" s="1652"/>
      <c r="FC138" s="1651">
        <f>FC136/FB136-1</f>
        <v>-0.74099574739432694</v>
      </c>
      <c r="FD138" s="1651">
        <f>FD136/FC136-1</f>
        <v>6.7095011336924859E-2</v>
      </c>
      <c r="FE138" s="1651">
        <f>FE136/FD136-1</f>
        <v>3.5742526449053402E-2</v>
      </c>
      <c r="FF138" s="1651">
        <f>FF136/FE136-1</f>
        <v>0.15813073169784353</v>
      </c>
      <c r="FG138" s="1652"/>
      <c r="FH138" s="1651">
        <f>FH136/FG136-1</f>
        <v>-0.73615065329031304</v>
      </c>
      <c r="FI138" s="1651">
        <f>FI136/FH136-1</f>
        <v>5.6066067360586613E-2</v>
      </c>
      <c r="FJ138" s="1651">
        <f>FJ136/FI136-1</f>
        <v>5.8607903295865516E-2</v>
      </c>
      <c r="FK138" s="1651">
        <f>FK136/FJ136-1</f>
        <v>0.15084809329124527</v>
      </c>
      <c r="FL138" s="1652"/>
      <c r="FM138" s="1651"/>
      <c r="FN138" s="1651"/>
      <c r="FO138" s="1651"/>
      <c r="FP138" s="1651"/>
      <c r="FQ138" s="1651"/>
    </row>
    <row r="139" spans="1:173" s="1183" customFormat="1" ht="12">
      <c r="A139" s="1594" t="s">
        <v>1031</v>
      </c>
      <c r="B139" s="1595"/>
      <c r="C139" s="1595"/>
      <c r="D139" s="1595"/>
      <c r="E139" s="1595"/>
      <c r="F139" s="1595"/>
      <c r="G139" s="1595"/>
      <c r="H139" s="1595"/>
      <c r="I139" s="1595"/>
      <c r="J139" s="1595"/>
      <c r="K139" s="1595"/>
      <c r="L139" s="1595"/>
      <c r="M139" s="1595"/>
      <c r="N139" s="1595"/>
      <c r="O139" s="1595"/>
      <c r="P139" s="1595"/>
      <c r="Q139" s="1595"/>
      <c r="R139" s="1595"/>
      <c r="S139" s="1595"/>
      <c r="T139" s="1595"/>
      <c r="U139" s="1595"/>
      <c r="V139" s="1595"/>
      <c r="W139" s="1595"/>
      <c r="X139" s="1595"/>
      <c r="Y139" s="1595"/>
      <c r="Z139" s="1595"/>
      <c r="AA139" s="1595"/>
      <c r="AB139" s="1595"/>
      <c r="AC139" s="1595"/>
      <c r="AD139" s="1595"/>
      <c r="AE139" s="1595"/>
      <c r="AF139" s="1595"/>
      <c r="AG139" s="1595"/>
      <c r="AH139" s="1595"/>
      <c r="AI139" s="1595"/>
      <c r="AJ139" s="1595"/>
      <c r="AK139" s="1595"/>
      <c r="AL139" s="1595"/>
      <c r="AM139" s="1595"/>
      <c r="AN139" s="1595"/>
      <c r="AO139" s="1595"/>
      <c r="AP139" s="1595"/>
      <c r="AQ139" s="1595"/>
      <c r="AR139" s="1595"/>
      <c r="AS139" s="1595"/>
      <c r="AT139" s="1595"/>
      <c r="AU139" s="1595"/>
      <c r="AV139" s="1595"/>
      <c r="AW139" s="1595"/>
      <c r="AX139" s="1595"/>
      <c r="AY139" s="1595"/>
      <c r="AZ139" s="1595"/>
      <c r="BA139" s="1595"/>
      <c r="BB139" s="1595"/>
      <c r="BC139" s="1595"/>
      <c r="BD139" s="1595"/>
      <c r="BE139" s="1595"/>
      <c r="BF139" s="1595"/>
      <c r="BG139" s="1595"/>
      <c r="BH139" s="1595"/>
      <c r="BI139" s="1595"/>
      <c r="BJ139" s="1595"/>
      <c r="BK139" s="1595"/>
      <c r="BL139" s="1595"/>
      <c r="BM139" s="1595"/>
      <c r="BN139" s="1595"/>
      <c r="BO139" s="1595"/>
      <c r="BP139" s="1595"/>
      <c r="BQ139" s="1595"/>
      <c r="BR139" s="1595"/>
      <c r="BS139" s="1595"/>
      <c r="BT139" s="1595"/>
      <c r="BU139" s="1595"/>
      <c r="BV139" s="1595"/>
      <c r="BW139" s="1595"/>
      <c r="BX139" s="1595"/>
      <c r="BY139" s="1595"/>
      <c r="BZ139" s="1595"/>
      <c r="CA139" s="1595"/>
      <c r="CB139" s="1595"/>
      <c r="CC139" s="1595"/>
      <c r="CD139" s="1595"/>
      <c r="CE139" s="1595"/>
      <c r="CF139" s="1595"/>
      <c r="CG139" s="1595"/>
      <c r="CH139" s="1595"/>
      <c r="CI139" s="1595"/>
      <c r="CJ139" s="1595"/>
      <c r="CK139" s="1595"/>
      <c r="CL139" s="1595"/>
      <c r="CM139" s="1595"/>
      <c r="CN139" s="1595"/>
      <c r="CO139" s="1595"/>
      <c r="CP139" s="1595"/>
      <c r="CQ139" s="1595"/>
      <c r="CR139" s="1595"/>
      <c r="CS139" s="1595"/>
      <c r="CT139" s="1595"/>
      <c r="CU139" s="1595"/>
      <c r="CV139" s="1595"/>
      <c r="CW139" s="1595"/>
      <c r="CX139" s="1595"/>
      <c r="CY139" s="1595"/>
      <c r="CZ139" s="1595"/>
      <c r="DA139" s="1595"/>
      <c r="DB139" s="1595"/>
      <c r="DC139" s="1595"/>
      <c r="DD139" s="1595"/>
      <c r="DE139" s="1595"/>
      <c r="DF139" s="1595"/>
      <c r="DG139" s="1595"/>
      <c r="DH139" s="1595"/>
      <c r="DI139" s="1595"/>
      <c r="DJ139" s="1595"/>
      <c r="DK139" s="1595"/>
      <c r="DL139" s="1595"/>
      <c r="DM139" s="1595"/>
      <c r="DN139" s="1595"/>
      <c r="DO139" s="1596"/>
      <c r="DP139" s="1595"/>
      <c r="DQ139" s="1595"/>
      <c r="DR139" s="1595"/>
      <c r="DS139" s="1595"/>
      <c r="DT139" s="1595"/>
      <c r="DU139" s="1595"/>
      <c r="DV139" s="1595"/>
      <c r="DW139" s="1595"/>
      <c r="DX139" s="1617"/>
      <c r="DY139" s="1597"/>
      <c r="DZ139" s="1597"/>
      <c r="EA139" s="1597"/>
      <c r="EB139" s="1597"/>
      <c r="EC139" s="1626"/>
      <c r="ED139" s="1597"/>
      <c r="EE139" s="1598"/>
      <c r="EF139" s="1598"/>
      <c r="EG139" s="1598"/>
      <c r="EH139" s="1629"/>
      <c r="EI139" s="2231">
        <v>0.09</v>
      </c>
      <c r="EJ139" s="2232">
        <f>+EJ137+0.065</f>
        <v>7.5236356088487277E-2</v>
      </c>
      <c r="EK139" s="1660">
        <f>EK137+0.03</f>
        <v>3.5859973946825469E-2</v>
      </c>
      <c r="EL139" s="1660">
        <f>EL137+0.03</f>
        <v>9.6511142780988796E-2</v>
      </c>
      <c r="EM139" s="1659"/>
      <c r="EN139" s="2231">
        <v>0.09</v>
      </c>
      <c r="EO139" s="2232">
        <f>+EO137+0.02</f>
        <v>9.0655681133360519E-2</v>
      </c>
      <c r="EP139" s="1660">
        <f>EP137+0.01</f>
        <v>0.10232779969843485</v>
      </c>
      <c r="EQ139" s="1660">
        <f>EQ137+0.03</f>
        <v>0.11733714953335192</v>
      </c>
      <c r="ER139" s="1661"/>
      <c r="ES139" s="2231"/>
      <c r="ET139" s="2231"/>
      <c r="EU139" s="1660"/>
      <c r="EV139" s="1660"/>
      <c r="EW139" s="1661"/>
      <c r="EX139" s="1660"/>
      <c r="EY139" s="1660"/>
      <c r="EZ139" s="1660"/>
      <c r="FA139" s="1660"/>
      <c r="FB139" s="1661"/>
      <c r="FC139" s="1660"/>
      <c r="FD139" s="1660"/>
      <c r="FE139" s="1660"/>
      <c r="FF139" s="1660"/>
      <c r="FG139" s="1661"/>
      <c r="FH139" s="1660"/>
      <c r="FI139" s="1660"/>
      <c r="FJ139" s="1660"/>
      <c r="FK139" s="1660"/>
      <c r="FL139" s="1661"/>
      <c r="FM139" s="1651"/>
      <c r="FN139" s="1651"/>
      <c r="FO139" s="1651"/>
      <c r="FP139" s="1651"/>
      <c r="FQ139" s="1651"/>
    </row>
    <row r="140" spans="1:173" s="1175" customFormat="1">
      <c r="DO140" s="1176"/>
      <c r="DX140" s="1618"/>
      <c r="EC140" s="1618"/>
      <c r="ED140" s="1237"/>
      <c r="EE140" s="1237"/>
      <c r="EF140" s="1237"/>
      <c r="EH140" s="1618"/>
      <c r="EJ140" s="1662"/>
      <c r="EK140" s="1662"/>
      <c r="EL140" s="1662"/>
      <c r="EM140" s="1663"/>
      <c r="EN140" s="1662"/>
      <c r="EO140" s="1662"/>
      <c r="EP140" s="1662"/>
      <c r="EQ140" s="1662"/>
      <c r="ER140" s="1663"/>
      <c r="ES140" s="1662"/>
      <c r="ET140" s="1662"/>
      <c r="EU140" s="1662"/>
      <c r="EV140" s="1662"/>
      <c r="EW140" s="1664"/>
      <c r="EX140" s="1662"/>
      <c r="EY140" s="1662"/>
      <c r="EZ140" s="1662"/>
      <c r="FA140" s="1662"/>
      <c r="FB140" s="1664"/>
      <c r="FC140" s="1662"/>
      <c r="FD140" s="1662"/>
      <c r="FE140" s="1662"/>
      <c r="FF140" s="1662"/>
      <c r="FG140" s="1664"/>
      <c r="FH140" s="1662"/>
      <c r="FI140" s="1662"/>
      <c r="FJ140" s="1662"/>
      <c r="FK140" s="1662"/>
      <c r="FL140" s="1664"/>
      <c r="FM140" s="2653"/>
      <c r="FN140" s="2653"/>
      <c r="FO140" s="2653"/>
      <c r="FP140" s="2653"/>
      <c r="FQ140" s="2653"/>
    </row>
    <row r="141" spans="1:173" s="31" customFormat="1" ht="12" hidden="1" outlineLevel="1">
      <c r="A141" s="981" t="s">
        <v>762</v>
      </c>
      <c r="CX141" s="1141">
        <v>-0.21750951604132684</v>
      </c>
      <c r="DX141" s="54"/>
      <c r="EC141" s="54"/>
      <c r="EH141" s="54"/>
      <c r="EJ141" s="1584"/>
      <c r="EK141" s="1584"/>
      <c r="EL141" s="1584"/>
      <c r="EM141" s="1633"/>
      <c r="EN141" s="1584"/>
      <c r="EO141" s="1584"/>
      <c r="EP141" s="1584"/>
      <c r="EQ141" s="1584"/>
      <c r="ER141" s="1633"/>
      <c r="ES141" s="1584"/>
      <c r="ET141" s="1584"/>
      <c r="EU141" s="1584"/>
      <c r="EV141" s="1584"/>
      <c r="EW141" s="1633"/>
      <c r="EX141" s="1584"/>
      <c r="EY141" s="1584"/>
      <c r="EZ141" s="1584"/>
      <c r="FA141" s="1584"/>
      <c r="FB141" s="1633"/>
      <c r="FC141" s="1584"/>
      <c r="FD141" s="1584"/>
      <c r="FE141" s="1584"/>
      <c r="FF141" s="1584"/>
      <c r="FG141" s="1633"/>
      <c r="FH141" s="1584"/>
      <c r="FI141" s="1584"/>
      <c r="FJ141" s="1584"/>
      <c r="FK141" s="1584"/>
      <c r="FL141" s="1633"/>
      <c r="FM141" s="1638"/>
      <c r="FN141" s="1638"/>
      <c r="FO141" s="1638"/>
      <c r="FP141" s="1638"/>
      <c r="FQ141" s="1638"/>
    </row>
    <row r="142" spans="1:173" s="29" customFormat="1" ht="12" hidden="1" outlineLevel="1">
      <c r="A142" s="48" t="s">
        <v>741</v>
      </c>
      <c r="BP142" s="49"/>
      <c r="BQ142" s="1146">
        <v>2660.6158828762232</v>
      </c>
      <c r="BR142" s="1146">
        <v>2878.5770951620334</v>
      </c>
      <c r="BS142" s="1146">
        <v>2925.1318177880057</v>
      </c>
      <c r="BT142" s="1146">
        <v>3015.7106814664739</v>
      </c>
      <c r="BU142" s="49">
        <f>BT142</f>
        <v>3015.7106814664739</v>
      </c>
      <c r="BV142" s="1146">
        <v>3221.5633048007048</v>
      </c>
      <c r="BW142" s="1146">
        <v>3252.5271691797411</v>
      </c>
      <c r="BX142" s="1146">
        <v>3145.7041724072174</v>
      </c>
      <c r="BY142" s="1146">
        <v>3164.9052068637661</v>
      </c>
      <c r="BZ142" s="49">
        <f>BY142</f>
        <v>3164.9052068637661</v>
      </c>
      <c r="CA142" s="1146">
        <v>3013</v>
      </c>
      <c r="CB142" s="1146">
        <v>2954</v>
      </c>
      <c r="CC142" s="1146">
        <v>2829</v>
      </c>
      <c r="CD142" s="1146">
        <v>2822</v>
      </c>
      <c r="CE142" s="49">
        <f>CD142</f>
        <v>2822</v>
      </c>
      <c r="CF142" s="1146">
        <v>2706</v>
      </c>
      <c r="CG142" s="1146">
        <v>2703</v>
      </c>
      <c r="CH142" s="1146">
        <v>2608</v>
      </c>
      <c r="CI142" s="1146">
        <v>2687</v>
      </c>
      <c r="CJ142" s="49">
        <f>CI142</f>
        <v>2687</v>
      </c>
      <c r="CK142" s="1146">
        <v>2634</v>
      </c>
      <c r="CL142" s="1146">
        <v>2664</v>
      </c>
      <c r="CM142" s="1146">
        <v>2662</v>
      </c>
      <c r="CN142" s="1146">
        <v>2850</v>
      </c>
      <c r="CO142" s="49">
        <f>CN142</f>
        <v>2850</v>
      </c>
      <c r="CP142" s="1146">
        <v>2804</v>
      </c>
      <c r="CQ142" s="1146">
        <v>3953</v>
      </c>
      <c r="CR142" s="1146">
        <v>2684</v>
      </c>
      <c r="CS142" s="1146">
        <v>2875</v>
      </c>
      <c r="CT142" s="49">
        <f>CS142</f>
        <v>2875</v>
      </c>
      <c r="CU142" s="1146">
        <v>2673</v>
      </c>
      <c r="CV142" s="1146">
        <v>2620</v>
      </c>
      <c r="CW142" s="1146">
        <v>2524</v>
      </c>
      <c r="CX142" s="1146">
        <v>2738</v>
      </c>
      <c r="CY142" s="49">
        <f>CX142</f>
        <v>2738</v>
      </c>
      <c r="CZ142" s="1146">
        <v>2402</v>
      </c>
      <c r="DA142" s="1146">
        <v>2178</v>
      </c>
      <c r="DB142" s="1146">
        <v>2015</v>
      </c>
      <c r="DC142" s="1146">
        <v>2345</v>
      </c>
      <c r="DD142" s="49">
        <f>DC142</f>
        <v>2345</v>
      </c>
      <c r="DE142" s="1146">
        <v>3638</v>
      </c>
      <c r="DF142" s="1146">
        <v>1736</v>
      </c>
      <c r="DG142" s="1146">
        <v>1498</v>
      </c>
      <c r="DH142" s="1146">
        <v>1701</v>
      </c>
      <c r="DI142" s="49">
        <f>DH142</f>
        <v>1701</v>
      </c>
      <c r="DJ142" s="1146">
        <v>1570</v>
      </c>
      <c r="DK142" s="1146">
        <v>1467</v>
      </c>
      <c r="DL142" s="1146">
        <v>1370</v>
      </c>
      <c r="DM142" s="1146">
        <v>1782</v>
      </c>
      <c r="DN142" s="49">
        <f>DM142</f>
        <v>1782</v>
      </c>
      <c r="DO142" s="1146">
        <v>1628</v>
      </c>
      <c r="DP142" s="1146">
        <v>1525</v>
      </c>
      <c r="DQ142" s="1146">
        <v>1453</v>
      </c>
      <c r="DR142" s="1146">
        <v>2444</v>
      </c>
      <c r="DS142" s="49">
        <f>DR142</f>
        <v>2444</v>
      </c>
      <c r="DT142" s="1146">
        <v>3439</v>
      </c>
      <c r="DU142" s="1146">
        <v>2736</v>
      </c>
      <c r="DV142" s="1146">
        <v>1593</v>
      </c>
      <c r="DW142" s="1146">
        <v>2086</v>
      </c>
      <c r="DX142" s="49">
        <f>DW142</f>
        <v>2086</v>
      </c>
      <c r="DY142" s="30">
        <f>DY158*0.105</f>
        <v>2110.605</v>
      </c>
      <c r="DZ142" s="29">
        <f>DZ158*0.105</f>
        <v>2044.77</v>
      </c>
      <c r="EA142" s="30">
        <f>EA158*0.105</f>
        <v>2048.7599999999998</v>
      </c>
      <c r="EB142" s="1146">
        <f>EB158*0.105</f>
        <v>2641.5899999999997</v>
      </c>
      <c r="EC142" s="49">
        <f>EB142</f>
        <v>2641.5899999999997</v>
      </c>
      <c r="ED142" s="30">
        <f>ED158*0.105</f>
        <v>2366.4899999999998</v>
      </c>
      <c r="EE142" s="30">
        <f>EE158*0.105</f>
        <v>2230.5149999999999</v>
      </c>
      <c r="EF142" s="30">
        <f>EF158*0.105</f>
        <v>2120.79</v>
      </c>
      <c r="EG142" s="1146">
        <f>EG158*0.105</f>
        <v>2658.39</v>
      </c>
      <c r="EH142" s="50">
        <f>EG142</f>
        <v>2658.39</v>
      </c>
      <c r="EI142" s="30">
        <f>EI158*0.105</f>
        <v>2561.2554807608867</v>
      </c>
      <c r="EJ142" s="1665">
        <f>EJ158*0.105</f>
        <v>2628.8473832263689</v>
      </c>
      <c r="EK142" s="1665">
        <f>EK158*0.105</f>
        <v>2720.9973076050373</v>
      </c>
      <c r="EL142" s="1665">
        <f>EL158*0.105</f>
        <v>2333.2798677014734</v>
      </c>
      <c r="EM142" s="1666">
        <f>EL142</f>
        <v>2333.2798677014734</v>
      </c>
      <c r="EN142" s="1665">
        <f>EN158*0.105</f>
        <v>0</v>
      </c>
      <c r="EO142" s="1665">
        <f>EO158*0.105</f>
        <v>0</v>
      </c>
      <c r="EP142" s="1665">
        <f>EP158*0.105</f>
        <v>0</v>
      </c>
      <c r="EQ142" s="1665">
        <f>EQ158*0.105</f>
        <v>0</v>
      </c>
      <c r="ER142" s="1666">
        <f>EQ142</f>
        <v>0</v>
      </c>
      <c r="ES142" s="1665">
        <f>ES158*0.105</f>
        <v>0</v>
      </c>
      <c r="ET142" s="1665">
        <f>ET158*0.105</f>
        <v>0</v>
      </c>
      <c r="EU142" s="1665">
        <f>EU158*0.105</f>
        <v>0</v>
      </c>
      <c r="EV142" s="1665">
        <f>EV158*0.105</f>
        <v>0</v>
      </c>
      <c r="EW142" s="1666">
        <f>EV142</f>
        <v>0</v>
      </c>
      <c r="EX142" s="1665">
        <f>EX158*0.105</f>
        <v>0</v>
      </c>
      <c r="EY142" s="1665">
        <f>EY158*0.105</f>
        <v>0</v>
      </c>
      <c r="EZ142" s="1665">
        <f>EZ158*0.105</f>
        <v>0</v>
      </c>
      <c r="FA142" s="1665">
        <f>FA158*0.105</f>
        <v>0</v>
      </c>
      <c r="FB142" s="1666">
        <f>FA142</f>
        <v>0</v>
      </c>
      <c r="FC142" s="1665">
        <f>FC158*0.105</f>
        <v>0</v>
      </c>
      <c r="FD142" s="1665">
        <f>FD158*0.105</f>
        <v>0</v>
      </c>
      <c r="FE142" s="1665">
        <f>FE158*0.105</f>
        <v>0</v>
      </c>
      <c r="FF142" s="1665">
        <f>FF158*0.105</f>
        <v>0</v>
      </c>
      <c r="FG142" s="1666">
        <f>FF142</f>
        <v>0</v>
      </c>
      <c r="FH142" s="1665">
        <f>FH158*0.105</f>
        <v>0</v>
      </c>
      <c r="FI142" s="1665">
        <f>FI158*0.105</f>
        <v>0</v>
      </c>
      <c r="FJ142" s="1665">
        <f>FJ158*0.105</f>
        <v>0</v>
      </c>
      <c r="FK142" s="1665">
        <f>FK158*0.105</f>
        <v>0</v>
      </c>
      <c r="FL142" s="1666">
        <f>FK142</f>
        <v>0</v>
      </c>
      <c r="FM142" s="2654"/>
      <c r="FN142" s="2654"/>
      <c r="FO142" s="2654"/>
      <c r="FP142" s="2654"/>
      <c r="FQ142" s="2654"/>
    </row>
    <row r="143" spans="1:173" s="32" customFormat="1" ht="12" hidden="1" outlineLevel="1">
      <c r="A143" s="32" t="s">
        <v>665</v>
      </c>
      <c r="BP143" s="51"/>
      <c r="BQ143" s="32">
        <f>BQ142/BQ158</f>
        <v>0.45489133385053804</v>
      </c>
      <c r="BR143" s="32">
        <f>BR142/BR158</f>
        <v>0.4347618492462958</v>
      </c>
      <c r="BS143" s="32">
        <f>BS142/BS158</f>
        <v>0.4230625729209504</v>
      </c>
      <c r="BT143" s="32">
        <f>BT142/BT158</f>
        <v>0.38954854794312238</v>
      </c>
      <c r="BU143" s="51">
        <f>BT143</f>
        <v>0.38954854794312238</v>
      </c>
      <c r="BV143" s="32">
        <f>BV142/BV158</f>
        <v>0.35288345659555798</v>
      </c>
      <c r="BW143" s="32">
        <f>BW142/BW158</f>
        <v>0.36808333204544735</v>
      </c>
      <c r="BX143" s="32">
        <f>BX142/BX158</f>
        <v>0.36870400377208878</v>
      </c>
      <c r="BY143" s="32">
        <f>BY142/BY158</f>
        <v>0.35108154420268584</v>
      </c>
      <c r="BZ143" s="51">
        <f>BY143</f>
        <v>0.35108154420268584</v>
      </c>
      <c r="CA143" s="32">
        <f>CA142/CA158</f>
        <v>0.36543369222776856</v>
      </c>
      <c r="CB143" s="32">
        <f>CB142/CB158</f>
        <v>0.37620988283239937</v>
      </c>
      <c r="CC143" s="32">
        <f>CC142/CC158</f>
        <v>0.37589689077863409</v>
      </c>
      <c r="CD143" s="32">
        <f>CD142/CD158</f>
        <v>0.34511434511434513</v>
      </c>
      <c r="CE143" s="51">
        <f>CD143</f>
        <v>0.34511434511434513</v>
      </c>
      <c r="CF143" s="32">
        <f>CF142/CF158</f>
        <v>0.34772552043176563</v>
      </c>
      <c r="CG143" s="32">
        <f>CG142/CG158</f>
        <v>0.33931709766507656</v>
      </c>
      <c r="CH143" s="32">
        <f>CH142/CH158</f>
        <v>0.32842211308399444</v>
      </c>
      <c r="CI143" s="32">
        <f>CI142/CI158</f>
        <v>0.29311661394131122</v>
      </c>
      <c r="CJ143" s="51">
        <f>CI143</f>
        <v>0.29311661394131122</v>
      </c>
      <c r="CK143" s="32">
        <f>CK142/CK158</f>
        <v>0.29911424029071088</v>
      </c>
      <c r="CL143" s="32">
        <f>CL142/CL158</f>
        <v>0.3014256619144603</v>
      </c>
      <c r="CM143" s="32">
        <f>CM142/CM158</f>
        <v>0.29906752050331425</v>
      </c>
      <c r="CN143" s="32">
        <f>CN142/CN158</f>
        <v>0.26141992294991745</v>
      </c>
      <c r="CO143" s="51">
        <f>CN143</f>
        <v>0.26141992294991745</v>
      </c>
      <c r="CP143" s="32">
        <f>CP142/CP158</f>
        <v>0.27770624938100424</v>
      </c>
      <c r="CQ143" s="32">
        <f>CQ142/CQ158</f>
        <v>0.33327712671781468</v>
      </c>
      <c r="CR143" s="32">
        <f>CR142/CR158</f>
        <v>0.26101332296022561</v>
      </c>
      <c r="CS143" s="32">
        <f>CS142/CS158</f>
        <v>0.22734461489799146</v>
      </c>
      <c r="CT143" s="51">
        <f>CS143</f>
        <v>0.22734461489799146</v>
      </c>
      <c r="CU143" s="32">
        <f>CU142/CU158</f>
        <v>0.23098859315589354</v>
      </c>
      <c r="CV143" s="32">
        <f>CV142/CV158</f>
        <v>0.21514205945146986</v>
      </c>
      <c r="CW143" s="32">
        <f>CW142/CW158</f>
        <v>0.20792487025290388</v>
      </c>
      <c r="CX143" s="32">
        <f>CX142/CX158</f>
        <v>0.17898934431587893</v>
      </c>
      <c r="CY143" s="51">
        <f>CX143</f>
        <v>0.17898934431587893</v>
      </c>
      <c r="CZ143" s="32">
        <f>CZ142/CZ158</f>
        <v>0.17822957631520367</v>
      </c>
      <c r="DA143" s="32">
        <f>DA142/DA158</f>
        <v>0.16669217817235574</v>
      </c>
      <c r="DB143" s="32">
        <f>DB142/DB158</f>
        <v>0.16366146848602989</v>
      </c>
      <c r="DC143" s="32">
        <f>DC142/DC158</f>
        <v>0.16416970036404369</v>
      </c>
      <c r="DD143" s="51">
        <f>DC143</f>
        <v>0.16416970036404369</v>
      </c>
      <c r="DE143" s="32">
        <f>DE142/DE158</f>
        <v>0.24634344528710725</v>
      </c>
      <c r="DF143" s="32">
        <f>DF142/DF158</f>
        <v>0.13856960408684546</v>
      </c>
      <c r="DG143" s="32">
        <f>DG142/DG158</f>
        <v>0.12218597063621534</v>
      </c>
      <c r="DH143" s="32">
        <f>DH142/DH158</f>
        <v>0.11469993256911666</v>
      </c>
      <c r="DI143" s="51">
        <f>DH143</f>
        <v>0.11469993256911666</v>
      </c>
      <c r="DJ143" s="32">
        <f>DJ142/DJ158</f>
        <v>0.11279545944392556</v>
      </c>
      <c r="DK143" s="32">
        <f>DK142/DK158</f>
        <v>0.1093388984124618</v>
      </c>
      <c r="DL143" s="32">
        <f>DL142/DL158</f>
        <v>0.10523081649896306</v>
      </c>
      <c r="DM143" s="32">
        <f>DM142/DM158</f>
        <v>0.10408878504672897</v>
      </c>
      <c r="DN143" s="51">
        <f>DM143</f>
        <v>0.10408878504672897</v>
      </c>
      <c r="DO143" s="32">
        <f>DO142/DO158</f>
        <v>0.10397241026951079</v>
      </c>
      <c r="DP143" s="32">
        <f>DP142/DP158</f>
        <v>9.9452197730533459E-2</v>
      </c>
      <c r="DQ143" s="32">
        <f>DQ142/DQ158</f>
        <v>9.5648739385162274E-2</v>
      </c>
      <c r="DR143" s="32">
        <f>DR142/DR158</f>
        <v>0.12184057031756319</v>
      </c>
      <c r="DS143" s="51">
        <f>DR143</f>
        <v>0.12184057031756319</v>
      </c>
      <c r="DT143" s="32">
        <f>DT142/DT158</f>
        <v>0.17557563690202685</v>
      </c>
      <c r="DU143" s="32">
        <f>DU142/DU158</f>
        <v>0.13809115227375965</v>
      </c>
      <c r="DV143" s="32">
        <f>DV142/DV158</f>
        <v>8.8969561574979053E-2</v>
      </c>
      <c r="DW143" s="32">
        <f>DW142/DW158</f>
        <v>9.3129157551676417E-2</v>
      </c>
      <c r="DX143" s="51">
        <f>DW143</f>
        <v>9.3129157551676417E-2</v>
      </c>
      <c r="DY143" s="35">
        <f>DY142/DY158</f>
        <v>0.105</v>
      </c>
      <c r="DZ143" s="32">
        <f>DZ142/DZ158</f>
        <v>0.105</v>
      </c>
      <c r="EA143" s="35">
        <f>EA142/EA158</f>
        <v>0.10499999999999998</v>
      </c>
      <c r="EB143" s="32">
        <f>EB142/EB158</f>
        <v>0.10499999999999998</v>
      </c>
      <c r="EC143" s="51">
        <f>EB143</f>
        <v>0.10499999999999998</v>
      </c>
      <c r="ED143" s="35">
        <f>ED142/ED158</f>
        <v>0.105</v>
      </c>
      <c r="EE143" s="35">
        <f>EE142/EE158</f>
        <v>0.105</v>
      </c>
      <c r="EF143" s="35">
        <f>EF142/EF158</f>
        <v>0.105</v>
      </c>
      <c r="EG143" s="32">
        <f>EG142/EG158</f>
        <v>0.105</v>
      </c>
      <c r="EH143" s="52">
        <f>EG143</f>
        <v>0.105</v>
      </c>
      <c r="EI143" s="35">
        <f>EI142/EI158</f>
        <v>0.105</v>
      </c>
      <c r="EJ143" s="1667">
        <f>EJ142/EJ158</f>
        <v>0.105</v>
      </c>
      <c r="EK143" s="1667">
        <f>EK142/EK158</f>
        <v>0.105</v>
      </c>
      <c r="EL143" s="1667">
        <f>EL142/EL158</f>
        <v>0.105</v>
      </c>
      <c r="EM143" s="1668">
        <f>EL143</f>
        <v>0.105</v>
      </c>
      <c r="EN143" s="1667" t="e">
        <f>EN142/EN158</f>
        <v>#DIV/0!</v>
      </c>
      <c r="EO143" s="1667" t="e">
        <f>EO142/EO158</f>
        <v>#DIV/0!</v>
      </c>
      <c r="EP143" s="1667" t="e">
        <f>EP142/EP158</f>
        <v>#DIV/0!</v>
      </c>
      <c r="EQ143" s="1667" t="e">
        <f>EQ142/EQ158</f>
        <v>#DIV/0!</v>
      </c>
      <c r="ER143" s="1668" t="e">
        <f>EQ143</f>
        <v>#DIV/0!</v>
      </c>
      <c r="ES143" s="1667" t="e">
        <f>ES142/ES158</f>
        <v>#DIV/0!</v>
      </c>
      <c r="ET143" s="1667" t="e">
        <f>ET142/ET158</f>
        <v>#DIV/0!</v>
      </c>
      <c r="EU143" s="1667" t="e">
        <f>EU142/EU158</f>
        <v>#DIV/0!</v>
      </c>
      <c r="EV143" s="1667" t="e">
        <f>EV142/EV158</f>
        <v>#DIV/0!</v>
      </c>
      <c r="EW143" s="1668" t="e">
        <f>EV143</f>
        <v>#DIV/0!</v>
      </c>
      <c r="EX143" s="1667" t="e">
        <f>EX142/EX158</f>
        <v>#DIV/0!</v>
      </c>
      <c r="EY143" s="1667" t="e">
        <f>EY142/EY158</f>
        <v>#DIV/0!</v>
      </c>
      <c r="EZ143" s="1667" t="e">
        <f>EZ142/EZ158</f>
        <v>#DIV/0!</v>
      </c>
      <c r="FA143" s="1667" t="e">
        <f>FA142/FA158</f>
        <v>#DIV/0!</v>
      </c>
      <c r="FB143" s="1668" t="e">
        <f>FA143</f>
        <v>#DIV/0!</v>
      </c>
      <c r="FC143" s="1667" t="e">
        <f>FC142/FC158</f>
        <v>#DIV/0!</v>
      </c>
      <c r="FD143" s="1667" t="e">
        <f>FD142/FD158</f>
        <v>#DIV/0!</v>
      </c>
      <c r="FE143" s="1667" t="e">
        <f>FE142/FE158</f>
        <v>#DIV/0!</v>
      </c>
      <c r="FF143" s="1667" t="e">
        <f>FF142/FF158</f>
        <v>#DIV/0!</v>
      </c>
      <c r="FG143" s="1668" t="e">
        <f>FF143</f>
        <v>#DIV/0!</v>
      </c>
      <c r="FH143" s="1667" t="e">
        <f>FH142/FH158</f>
        <v>#DIV/0!</v>
      </c>
      <c r="FI143" s="1667" t="e">
        <f>FI142/FI158</f>
        <v>#DIV/0!</v>
      </c>
      <c r="FJ143" s="1667" t="e">
        <f>FJ142/FJ158</f>
        <v>#DIV/0!</v>
      </c>
      <c r="FK143" s="1667" t="e">
        <f>FK142/FK158</f>
        <v>#DIV/0!</v>
      </c>
      <c r="FL143" s="1668" t="e">
        <f>FK143</f>
        <v>#DIV/0!</v>
      </c>
      <c r="FM143" s="1671"/>
      <c r="FN143" s="1671"/>
      <c r="FO143" s="1671"/>
      <c r="FP143" s="1671"/>
      <c r="FQ143" s="1671"/>
    </row>
    <row r="144" spans="1:173" s="32" customFormat="1" ht="12" hidden="1" outlineLevel="1">
      <c r="A144" s="32" t="s">
        <v>163</v>
      </c>
      <c r="BP144" s="51"/>
      <c r="BU144" s="51">
        <f>BT144</f>
        <v>0</v>
      </c>
      <c r="BV144" s="32">
        <f>BV142/BQ142-1</f>
        <v>0.21083367408830056</v>
      </c>
      <c r="BW144" s="32">
        <f>BW142/BR142-1</f>
        <v>0.12990795856959947</v>
      </c>
      <c r="BX144" s="32">
        <f>BX142/BS142-1</f>
        <v>7.5405953768609812E-2</v>
      </c>
      <c r="BY144" s="32">
        <f>BY142/BT142-1</f>
        <v>4.9472426620428278E-2</v>
      </c>
      <c r="BZ144" s="51">
        <f>BY144</f>
        <v>4.9472426620428278E-2</v>
      </c>
      <c r="CA144" s="32">
        <f>CA142/BV142-1</f>
        <v>-6.4739781611588443E-2</v>
      </c>
      <c r="CB144" s="32">
        <f>CB142/BW142-1</f>
        <v>-9.1783143891470464E-2</v>
      </c>
      <c r="CC144" s="32">
        <f>CC142/BX142-1</f>
        <v>-0.10067830763782937</v>
      </c>
      <c r="CD144" s="32">
        <f>CD142/BY142-1</f>
        <v>-0.10834612237993846</v>
      </c>
      <c r="CE144" s="51">
        <f>CD144</f>
        <v>-0.10834612237993846</v>
      </c>
      <c r="CF144" s="32">
        <f>CF142/CA142-1</f>
        <v>-0.10189180219050775</v>
      </c>
      <c r="CG144" s="32">
        <f>CG142/CB142-1</f>
        <v>-8.4969532836831396E-2</v>
      </c>
      <c r="CH144" s="32">
        <f>CH142/CC142-1</f>
        <v>-7.8119476846942426E-2</v>
      </c>
      <c r="CI144" s="32">
        <f>CI142/CD142-1</f>
        <v>-4.7838412473423131E-2</v>
      </c>
      <c r="CJ144" s="51">
        <f>CI144</f>
        <v>-4.7838412473423131E-2</v>
      </c>
      <c r="CK144" s="32">
        <f>CK142/CF142-1</f>
        <v>-2.6607538802660757E-2</v>
      </c>
      <c r="CL144" s="32">
        <f>CL142/CG142-1</f>
        <v>-1.442841287458374E-2</v>
      </c>
      <c r="CM144" s="32">
        <f>CM142/CH142-1</f>
        <v>2.0705521472392574E-2</v>
      </c>
      <c r="CN144" s="32">
        <f>CN142/CI142-1</f>
        <v>6.0662448827688786E-2</v>
      </c>
      <c r="CO144" s="51">
        <f>CN144</f>
        <v>6.0662448827688786E-2</v>
      </c>
      <c r="CP144" s="32">
        <f>CP142/CK142-1</f>
        <v>6.4540622627182964E-2</v>
      </c>
      <c r="CQ144" s="32">
        <f>CQ142/CL142-1</f>
        <v>0.48385885885885882</v>
      </c>
      <c r="CR144" s="32">
        <f>CR142/CM142-1</f>
        <v>8.2644628099173278E-3</v>
      </c>
      <c r="CS144" s="32">
        <f>CS142/CN142-1</f>
        <v>8.7719298245614308E-3</v>
      </c>
      <c r="CT144" s="51">
        <f>CS144</f>
        <v>8.7719298245614308E-3</v>
      </c>
      <c r="CU144" s="32">
        <f>CU142/CP142-1</f>
        <v>-4.671897289586302E-2</v>
      </c>
      <c r="CV144" s="32">
        <f>CV142/CQ142-1</f>
        <v>-0.3372122438654187</v>
      </c>
      <c r="CW144" s="32">
        <f>CW142/CR142-1</f>
        <v>-5.9612518628912037E-2</v>
      </c>
      <c r="CX144" s="32">
        <f>CX142/CS142-1</f>
        <v>-4.7652173913043439E-2</v>
      </c>
      <c r="CY144" s="51">
        <f>CX144</f>
        <v>-4.7652173913043439E-2</v>
      </c>
      <c r="CZ144" s="32">
        <f>CZ142/CU142-1</f>
        <v>-0.10138421249532359</v>
      </c>
      <c r="DA144" s="32">
        <f>DA142/CV142-1</f>
        <v>-0.16870229007633586</v>
      </c>
      <c r="DB144" s="32">
        <f>DB142/CW142-1</f>
        <v>-0.2016640253565769</v>
      </c>
      <c r="DC144" s="32">
        <f>DC142/CX142-1</f>
        <v>-0.1435354273192111</v>
      </c>
      <c r="DD144" s="51">
        <f>DC144</f>
        <v>-0.1435354273192111</v>
      </c>
      <c r="DE144" s="32">
        <f>DE142/CZ142-1</f>
        <v>0.51457119067443791</v>
      </c>
      <c r="DF144" s="32">
        <f>DF142/DA142-1</f>
        <v>-0.20293847566574841</v>
      </c>
      <c r="DG144" s="32">
        <f>DG142/DB142-1</f>
        <v>-0.25657568238213402</v>
      </c>
      <c r="DH144" s="32">
        <f>DH142/DC142-1</f>
        <v>-0.27462686567164174</v>
      </c>
      <c r="DI144" s="51">
        <f>DH144</f>
        <v>-0.27462686567164174</v>
      </c>
      <c r="DJ144" s="32">
        <f>DJ142/DE142-1</f>
        <v>-0.56844420010995056</v>
      </c>
      <c r="DK144" s="32">
        <f>DK142/DF142-1</f>
        <v>-0.15495391705069128</v>
      </c>
      <c r="DL144" s="32">
        <f>DL142/DG142-1</f>
        <v>-8.5447263017356501E-2</v>
      </c>
      <c r="DM144" s="32">
        <f>DM142/DH142-1</f>
        <v>4.7619047619047672E-2</v>
      </c>
      <c r="DN144" s="51">
        <f>DM144</f>
        <v>4.7619047619047672E-2</v>
      </c>
      <c r="DO144" s="32">
        <f>DO142/DJ142-1</f>
        <v>3.6942675159235661E-2</v>
      </c>
      <c r="DP144" s="32">
        <f>DP142/DK142-1</f>
        <v>3.9536468984321838E-2</v>
      </c>
      <c r="DQ144" s="32">
        <f>DQ142/DL142-1</f>
        <v>6.0583941605839353E-2</v>
      </c>
      <c r="DR144" s="32">
        <f>DR142/DM142-1</f>
        <v>0.37149270482603813</v>
      </c>
      <c r="DS144" s="51">
        <f>DR144</f>
        <v>0.37149270482603813</v>
      </c>
      <c r="DT144" s="32">
        <f>DT142/DO142-1</f>
        <v>1.1124078624078626</v>
      </c>
      <c r="DU144" s="32">
        <f>DU142/DP142-1</f>
        <v>0.79409836065573769</v>
      </c>
      <c r="DV144" s="32">
        <f>DV142/DQ142-1</f>
        <v>9.6352374397797647E-2</v>
      </c>
      <c r="DW144" s="32">
        <f>DW142/DR142-1</f>
        <v>-0.146481178396072</v>
      </c>
      <c r="DX144" s="51">
        <f>DW144</f>
        <v>-0.146481178396072</v>
      </c>
      <c r="DY144" s="35">
        <f>DY142/DT142-1</f>
        <v>-0.38627362605408544</v>
      </c>
      <c r="DZ144" s="32">
        <f>DZ142/DU142-1</f>
        <v>-0.25264254385964913</v>
      </c>
      <c r="EA144" s="35">
        <f>EA142/DV142-1</f>
        <v>0.28610169491525417</v>
      </c>
      <c r="EB144" s="32">
        <f>EB142/DW142-1</f>
        <v>0.26634228187919451</v>
      </c>
      <c r="EC144" s="51">
        <f>EB144</f>
        <v>0.26634228187919451</v>
      </c>
      <c r="ED144" s="35">
        <f>ED142/DY142-1</f>
        <v>0.12123774936570308</v>
      </c>
      <c r="EE144" s="35">
        <f>EE142/DZ142-1</f>
        <v>9.083906747458137E-2</v>
      </c>
      <c r="EF144" s="35">
        <f>EF142/EA142-1</f>
        <v>3.5157851578515809E-2</v>
      </c>
      <c r="EG144" s="32">
        <f>EG142/EB142-1</f>
        <v>6.359806025916237E-3</v>
      </c>
      <c r="EH144" s="52">
        <f>EG144</f>
        <v>6.359806025916237E-3</v>
      </c>
      <c r="EI144" s="35">
        <f>EI142/ED142-1</f>
        <v>8.2301417187854886E-2</v>
      </c>
      <c r="EJ144" s="1667">
        <f>EJ142/EE142-1</f>
        <v>0.17858314480125403</v>
      </c>
      <c r="EK144" s="1667">
        <f>EK142/EF142-1</f>
        <v>0.28301119281260156</v>
      </c>
      <c r="EL144" s="1667">
        <f>EL142/EG142-1</f>
        <v>-0.12229587543532983</v>
      </c>
      <c r="EM144" s="1668">
        <f>EL144</f>
        <v>-0.12229587543532983</v>
      </c>
      <c r="EN144" s="1667">
        <f>EN142/EI142-1</f>
        <v>-1</v>
      </c>
      <c r="EO144" s="1667">
        <f>EO142/EJ142-1</f>
        <v>-1</v>
      </c>
      <c r="EP144" s="1667">
        <f>EP142/EK142-1</f>
        <v>-1</v>
      </c>
      <c r="EQ144" s="1667">
        <f>EQ142/EL142-1</f>
        <v>-1</v>
      </c>
      <c r="ER144" s="1668">
        <f>EQ144</f>
        <v>-1</v>
      </c>
      <c r="ES144" s="1667" t="e">
        <f>ES142/EN142-1</f>
        <v>#DIV/0!</v>
      </c>
      <c r="ET144" s="1667" t="e">
        <f>ET142/EO142-1</f>
        <v>#DIV/0!</v>
      </c>
      <c r="EU144" s="1667" t="e">
        <f>EU142/EP142-1</f>
        <v>#DIV/0!</v>
      </c>
      <c r="EV144" s="1667" t="e">
        <f>EV142/EQ142-1</f>
        <v>#DIV/0!</v>
      </c>
      <c r="EW144" s="1668" t="e">
        <f>EV144</f>
        <v>#DIV/0!</v>
      </c>
      <c r="EX144" s="1667" t="e">
        <f>EX142/ES142-1</f>
        <v>#DIV/0!</v>
      </c>
      <c r="EY144" s="1667" t="e">
        <f>EY142/ET142-1</f>
        <v>#DIV/0!</v>
      </c>
      <c r="EZ144" s="1667" t="e">
        <f>EZ142/EU142-1</f>
        <v>#DIV/0!</v>
      </c>
      <c r="FA144" s="1667" t="e">
        <f>FA142/EV142-1</f>
        <v>#DIV/0!</v>
      </c>
      <c r="FB144" s="1668" t="e">
        <f>FA144</f>
        <v>#DIV/0!</v>
      </c>
      <c r="FC144" s="1667" t="e">
        <f>FC142/EX142-1</f>
        <v>#DIV/0!</v>
      </c>
      <c r="FD144" s="1667" t="e">
        <f>FD142/EY142-1</f>
        <v>#DIV/0!</v>
      </c>
      <c r="FE144" s="1667" t="e">
        <f>FE142/EZ142-1</f>
        <v>#DIV/0!</v>
      </c>
      <c r="FF144" s="1667" t="e">
        <f>FF142/FA142-1</f>
        <v>#DIV/0!</v>
      </c>
      <c r="FG144" s="1668" t="e">
        <f>FF144</f>
        <v>#DIV/0!</v>
      </c>
      <c r="FH144" s="1667" t="e">
        <f>FH142/FC142-1</f>
        <v>#DIV/0!</v>
      </c>
      <c r="FI144" s="1667" t="e">
        <f>FI142/FD142-1</f>
        <v>#DIV/0!</v>
      </c>
      <c r="FJ144" s="1667" t="e">
        <f>FJ142/FE142-1</f>
        <v>#DIV/0!</v>
      </c>
      <c r="FK144" s="1667" t="e">
        <f>FK142/FF142-1</f>
        <v>#DIV/0!</v>
      </c>
      <c r="FL144" s="1668" t="e">
        <f>FK144</f>
        <v>#DIV/0!</v>
      </c>
      <c r="FM144" s="1671"/>
      <c r="FN144" s="1671"/>
      <c r="FO144" s="1671"/>
      <c r="FP144" s="1671"/>
      <c r="FQ144" s="1671"/>
    </row>
    <row r="145" spans="1:173" s="31" customFormat="1" ht="12" hidden="1" outlineLevel="1">
      <c r="BP145" s="53"/>
      <c r="BU145" s="54"/>
      <c r="BZ145" s="54"/>
      <c r="CE145" s="54"/>
      <c r="CJ145" s="54"/>
      <c r="CO145" s="54"/>
      <c r="CP145" s="154"/>
      <c r="CQ145" s="154"/>
      <c r="CR145" s="154"/>
      <c r="CS145" s="154"/>
      <c r="CT145" s="54"/>
      <c r="CU145" s="154"/>
      <c r="CV145" s="154"/>
      <c r="CW145" s="154"/>
      <c r="CX145" s="154"/>
      <c r="CY145" s="54"/>
      <c r="CZ145" s="154"/>
      <c r="DA145" s="154"/>
      <c r="DB145" s="154"/>
      <c r="DC145" s="154"/>
      <c r="DD145" s="54"/>
      <c r="DE145" s="154"/>
      <c r="DF145" s="154"/>
      <c r="DG145" s="154"/>
      <c r="DH145" s="154"/>
      <c r="DI145" s="54"/>
      <c r="DJ145" s="208"/>
      <c r="DK145" s="208"/>
      <c r="DL145" s="208"/>
      <c r="DM145" s="154"/>
      <c r="DN145" s="54"/>
      <c r="DO145" s="154"/>
      <c r="DP145" s="208"/>
      <c r="DQ145" s="208"/>
      <c r="DR145" s="154"/>
      <c r="DS145" s="54"/>
      <c r="DT145" s="154"/>
      <c r="DU145" s="154"/>
      <c r="DV145" s="154"/>
      <c r="DX145" s="54"/>
      <c r="DY145" s="38"/>
      <c r="DZ145" s="154"/>
      <c r="EA145" s="38"/>
      <c r="EC145" s="54"/>
      <c r="ED145" s="38"/>
      <c r="EE145" s="38"/>
      <c r="EF145" s="38"/>
      <c r="EH145" s="55"/>
      <c r="EI145" s="38"/>
      <c r="EJ145" s="1584"/>
      <c r="EK145" s="1584"/>
      <c r="EL145" s="1584"/>
      <c r="EM145" s="1633"/>
      <c r="EN145" s="1584"/>
      <c r="EO145" s="1584"/>
      <c r="EP145" s="1584"/>
      <c r="EQ145" s="1584"/>
      <c r="ER145" s="1633"/>
      <c r="ES145" s="1584"/>
      <c r="ET145" s="1584"/>
      <c r="EU145" s="1584"/>
      <c r="EV145" s="1584"/>
      <c r="EW145" s="1633"/>
      <c r="EX145" s="1584"/>
      <c r="EY145" s="1584"/>
      <c r="EZ145" s="1584"/>
      <c r="FA145" s="1584"/>
      <c r="FB145" s="1633"/>
      <c r="FC145" s="1584"/>
      <c r="FD145" s="1584"/>
      <c r="FE145" s="1584"/>
      <c r="FF145" s="1584"/>
      <c r="FG145" s="1633"/>
      <c r="FH145" s="1584"/>
      <c r="FI145" s="1584"/>
      <c r="FJ145" s="1584"/>
      <c r="FK145" s="1584"/>
      <c r="FL145" s="1633"/>
      <c r="FM145" s="1638"/>
      <c r="FN145" s="1638"/>
      <c r="FO145" s="1638"/>
      <c r="FP145" s="1638"/>
      <c r="FQ145" s="1638"/>
    </row>
    <row r="146" spans="1:173" s="29" customFormat="1" ht="12" hidden="1" outlineLevel="1">
      <c r="A146" s="48" t="s">
        <v>164</v>
      </c>
      <c r="BP146" s="49"/>
      <c r="BQ146" s="1146">
        <v>741.28128288245841</v>
      </c>
      <c r="BR146" s="1146">
        <v>954.34870897629162</v>
      </c>
      <c r="BS146" s="1146">
        <v>1175.6677848243144</v>
      </c>
      <c r="BT146" s="1146">
        <v>1602.3010422788313</v>
      </c>
      <c r="BU146" s="49">
        <f>BT146</f>
        <v>1602.3010422788313</v>
      </c>
      <c r="BV146" s="1146">
        <v>2049.3302121988704</v>
      </c>
      <c r="BW146" s="1146">
        <v>1961.7630793306337</v>
      </c>
      <c r="BX146" s="1146">
        <v>1892.7582797797863</v>
      </c>
      <c r="BY146" s="1146">
        <v>2184.7030396074729</v>
      </c>
      <c r="BZ146" s="49">
        <f>BY146</f>
        <v>2184.7030396074729</v>
      </c>
      <c r="CA146" s="1146">
        <v>1917.0540914426015</v>
      </c>
      <c r="CB146" s="1146">
        <v>1945.2939187873333</v>
      </c>
      <c r="CC146" s="1146">
        <v>2019.4706924559221</v>
      </c>
      <c r="CD146" s="1146">
        <v>2369.8509128446985</v>
      </c>
      <c r="CE146" s="49">
        <f>CD146</f>
        <v>2369.8509128446985</v>
      </c>
      <c r="CF146" s="1146">
        <v>2309.8120291751757</v>
      </c>
      <c r="CG146" s="1146">
        <v>2461.8857647858808</v>
      </c>
      <c r="CH146" s="1146">
        <v>2505.3638422575045</v>
      </c>
      <c r="CI146" s="1146">
        <v>3048.239343528453</v>
      </c>
      <c r="CJ146" s="49">
        <f>CI146</f>
        <v>3048.239343528453</v>
      </c>
      <c r="CK146" s="1146">
        <v>2269.3314359014016</v>
      </c>
      <c r="CL146" s="1146">
        <v>2297.710502621042</v>
      </c>
      <c r="CM146" s="1146">
        <v>2394.4595441841534</v>
      </c>
      <c r="CN146" s="1146">
        <v>2910.4497594909963</v>
      </c>
      <c r="CO146" s="49">
        <f>CN146</f>
        <v>2910.4497594909963</v>
      </c>
      <c r="CP146" s="1146">
        <v>2648.0637151528722</v>
      </c>
      <c r="CQ146" s="1146">
        <v>2702</v>
      </c>
      <c r="CR146" s="1146">
        <v>2825</v>
      </c>
      <c r="CS146" s="1146">
        <v>3652</v>
      </c>
      <c r="CT146" s="49">
        <f>CS146</f>
        <v>3652</v>
      </c>
      <c r="CU146" s="1146">
        <v>3449</v>
      </c>
      <c r="CV146" s="1146">
        <v>3746</v>
      </c>
      <c r="CW146" s="1146">
        <v>3890</v>
      </c>
      <c r="CX146" s="1146">
        <v>5007</v>
      </c>
      <c r="CY146" s="49">
        <f>CX146</f>
        <v>5007</v>
      </c>
      <c r="CZ146" s="1146">
        <v>4424</v>
      </c>
      <c r="DA146" s="1146">
        <v>4303</v>
      </c>
      <c r="DB146" s="1146">
        <v>4104</v>
      </c>
      <c r="DC146" s="1146">
        <v>4732</v>
      </c>
      <c r="DD146" s="49">
        <f>DC146</f>
        <v>4732</v>
      </c>
      <c r="DE146" s="1146">
        <v>4424</v>
      </c>
      <c r="DF146" s="1146">
        <v>4227</v>
      </c>
      <c r="DG146" s="1146">
        <v>4242</v>
      </c>
      <c r="DH146" s="1146">
        <v>5282</v>
      </c>
      <c r="DI146" s="49">
        <f>DH146</f>
        <v>5282</v>
      </c>
      <c r="DJ146" s="1146">
        <v>4812</v>
      </c>
      <c r="DK146" s="1146">
        <v>4785</v>
      </c>
      <c r="DL146" s="1146">
        <v>4706</v>
      </c>
      <c r="DM146" s="1146">
        <v>6315</v>
      </c>
      <c r="DN146" s="49">
        <f>DM146</f>
        <v>6315</v>
      </c>
      <c r="DO146" s="1146">
        <v>5720</v>
      </c>
      <c r="DP146" s="1146">
        <v>5612</v>
      </c>
      <c r="DQ146" s="1146">
        <v>5743</v>
      </c>
      <c r="DR146" s="1146">
        <v>7445</v>
      </c>
      <c r="DS146" s="49">
        <f>DR146</f>
        <v>7445</v>
      </c>
      <c r="DT146" s="1146">
        <v>6654</v>
      </c>
      <c r="DU146" s="1146">
        <v>6544</v>
      </c>
      <c r="DV146" s="1146">
        <v>6496</v>
      </c>
      <c r="DW146" s="1146">
        <v>8639</v>
      </c>
      <c r="DX146" s="49">
        <f>DW146</f>
        <v>8639</v>
      </c>
      <c r="DY146" s="30">
        <f>DY158*0.39</f>
        <v>7839.39</v>
      </c>
      <c r="DZ146" s="29">
        <f>DZ158*0.39</f>
        <v>7594.8600000000006</v>
      </c>
      <c r="EA146" s="30">
        <f>EA158*0.39</f>
        <v>7609.68</v>
      </c>
      <c r="EB146" s="1146">
        <f>EB158*0.39</f>
        <v>9811.6200000000008</v>
      </c>
      <c r="EC146" s="49">
        <f>EB146</f>
        <v>9811.6200000000008</v>
      </c>
      <c r="ED146" s="30">
        <f>ED158*0.39</f>
        <v>8789.82</v>
      </c>
      <c r="EE146" s="30">
        <f>EE158*0.39</f>
        <v>8284.77</v>
      </c>
      <c r="EF146" s="30">
        <f>EF158*0.39</f>
        <v>7877.22</v>
      </c>
      <c r="EG146" s="1146">
        <f>EG158*0.39</f>
        <v>9874.02</v>
      </c>
      <c r="EH146" s="50">
        <f>EG146</f>
        <v>9874.02</v>
      </c>
      <c r="EI146" s="30">
        <f>EI158*0.39</f>
        <v>9513.2346428261517</v>
      </c>
      <c r="EJ146" s="1665">
        <f>EJ158*0.39</f>
        <v>9764.2902805550857</v>
      </c>
      <c r="EK146" s="1665">
        <f>EK158*0.39</f>
        <v>10106.561428247283</v>
      </c>
      <c r="EL146" s="1665">
        <f>EL158*0.39</f>
        <v>8666.4680800340448</v>
      </c>
      <c r="EM146" s="1666">
        <f>EL146</f>
        <v>8666.4680800340448</v>
      </c>
      <c r="EN146" s="1665">
        <f>EN158*0.39</f>
        <v>0</v>
      </c>
      <c r="EO146" s="1665">
        <f>EO158*0.39</f>
        <v>0</v>
      </c>
      <c r="EP146" s="1665">
        <f>EP158*0.39</f>
        <v>0</v>
      </c>
      <c r="EQ146" s="1665">
        <f>EQ158*0.39</f>
        <v>0</v>
      </c>
      <c r="ER146" s="1666">
        <f>EQ146</f>
        <v>0</v>
      </c>
      <c r="ES146" s="1665">
        <f>ES158*0.39</f>
        <v>0</v>
      </c>
      <c r="ET146" s="1665">
        <f>ET158*0.39</f>
        <v>0</v>
      </c>
      <c r="EU146" s="1665">
        <f>EU158*0.39</f>
        <v>0</v>
      </c>
      <c r="EV146" s="1665">
        <f>EV158*0.39</f>
        <v>0</v>
      </c>
      <c r="EW146" s="1666">
        <f>EV146</f>
        <v>0</v>
      </c>
      <c r="EX146" s="1665">
        <f>EX158*0.39</f>
        <v>0</v>
      </c>
      <c r="EY146" s="1665">
        <f>EY158*0.39</f>
        <v>0</v>
      </c>
      <c r="EZ146" s="1665">
        <f>EZ158*0.39</f>
        <v>0</v>
      </c>
      <c r="FA146" s="1665">
        <f>FA158*0.39</f>
        <v>0</v>
      </c>
      <c r="FB146" s="1666">
        <f>FA146</f>
        <v>0</v>
      </c>
      <c r="FC146" s="1665">
        <f>FC158*0.39</f>
        <v>0</v>
      </c>
      <c r="FD146" s="1665">
        <f>FD158*0.39</f>
        <v>0</v>
      </c>
      <c r="FE146" s="1665">
        <f>FE158*0.39</f>
        <v>0</v>
      </c>
      <c r="FF146" s="1665">
        <f>FF158*0.39</f>
        <v>0</v>
      </c>
      <c r="FG146" s="1666">
        <f>FF146</f>
        <v>0</v>
      </c>
      <c r="FH146" s="1665">
        <f>FH158*0.39</f>
        <v>0</v>
      </c>
      <c r="FI146" s="1665">
        <f>FI158*0.39</f>
        <v>0</v>
      </c>
      <c r="FJ146" s="1665">
        <f>FJ158*0.39</f>
        <v>0</v>
      </c>
      <c r="FK146" s="1665">
        <f>FK158*0.39</f>
        <v>0</v>
      </c>
      <c r="FL146" s="1666">
        <f>FK146</f>
        <v>0</v>
      </c>
      <c r="FM146" s="2654"/>
      <c r="FN146" s="2654"/>
      <c r="FO146" s="2654"/>
      <c r="FP146" s="2654"/>
      <c r="FQ146" s="2654"/>
    </row>
    <row r="147" spans="1:173" s="32" customFormat="1" ht="12" hidden="1" outlineLevel="1">
      <c r="A147" s="32" t="s">
        <v>665</v>
      </c>
      <c r="BP147" s="51"/>
      <c r="BQ147" s="32">
        <f>BQ146/BQ158</f>
        <v>0.12673848701689</v>
      </c>
      <c r="BR147" s="32">
        <f>BR146/BR158</f>
        <v>0.14413871708966414</v>
      </c>
      <c r="BS147" s="32">
        <f>BS146/BS158</f>
        <v>0.17003713642011864</v>
      </c>
      <c r="BT147" s="32">
        <f>BT146/BT158</f>
        <v>0.20697411334032487</v>
      </c>
      <c r="BU147" s="51">
        <f>BT147</f>
        <v>0.20697411334032487</v>
      </c>
      <c r="BV147" s="32">
        <f>BV146/BV158</f>
        <v>0.22447944074505261</v>
      </c>
      <c r="BW147" s="32">
        <f>BW146/BW158</f>
        <v>0.22200961079315512</v>
      </c>
      <c r="BX147" s="32">
        <f>BX146/BX158</f>
        <v>0.22184780185275424</v>
      </c>
      <c r="BY147" s="32">
        <f>BY146/BY158</f>
        <v>0.2423481484078171</v>
      </c>
      <c r="BZ147" s="51">
        <f>BY147</f>
        <v>0.2423481484078171</v>
      </c>
      <c r="CA147" s="32">
        <f>CA146/CA158</f>
        <v>0.23251116987594428</v>
      </c>
      <c r="CB147" s="32">
        <f>CB146/CB158</f>
        <v>0.24774502276965529</v>
      </c>
      <c r="CC147" s="32">
        <f>CC146/CC158</f>
        <v>0.26833253952377384</v>
      </c>
      <c r="CD147" s="32">
        <f>CD146/CD158</f>
        <v>0.28981911616053546</v>
      </c>
      <c r="CE147" s="51">
        <f>CD147</f>
        <v>0.28981911616053546</v>
      </c>
      <c r="CF147" s="32">
        <f>CF146/CF158</f>
        <v>0.29681470434016649</v>
      </c>
      <c r="CG147" s="32">
        <f>CG146/CG158</f>
        <v>0.30904917961158435</v>
      </c>
      <c r="CH147" s="32">
        <f>CH146/CH158</f>
        <v>0.31549727266811539</v>
      </c>
      <c r="CI147" s="32">
        <f>CI146/CI158</f>
        <v>0.33252310936276352</v>
      </c>
      <c r="CJ147" s="51">
        <f>CI147</f>
        <v>0.33252310936276352</v>
      </c>
      <c r="CK147" s="32">
        <f>CK146/CK158</f>
        <v>0.25770286576213963</v>
      </c>
      <c r="CL147" s="32">
        <f>CL146/CL158</f>
        <v>0.25998082174938242</v>
      </c>
      <c r="CM147" s="32">
        <f>CM146/CM158</f>
        <v>0.26901017236087554</v>
      </c>
      <c r="CN147" s="32">
        <f>CN146/CN158</f>
        <v>0.26696475504411998</v>
      </c>
      <c r="CO147" s="51">
        <f>CN147</f>
        <v>0.26696475504411998</v>
      </c>
      <c r="CP147" s="32">
        <f>CP146/CP158</f>
        <v>0.26226242598324967</v>
      </c>
      <c r="CQ147" s="32">
        <f>CQ146/CQ158</f>
        <v>0.22780541269707444</v>
      </c>
      <c r="CR147" s="32">
        <f>CR146/CR158</f>
        <v>0.27472527472527475</v>
      </c>
      <c r="CS147" s="32">
        <f>CS146/CS158</f>
        <v>0.28878696821129213</v>
      </c>
      <c r="CT147" s="51">
        <f>CS147</f>
        <v>0.28878696821129213</v>
      </c>
      <c r="CU147" s="32">
        <f>CU146/CU158</f>
        <v>0.29804701002419631</v>
      </c>
      <c r="CV147" s="32">
        <f>CV146/CV158</f>
        <v>0.3076038758416817</v>
      </c>
      <c r="CW147" s="32">
        <f>CW146/CW158</f>
        <v>0.32045473267979241</v>
      </c>
      <c r="CX147" s="32">
        <f>CX146/CX158</f>
        <v>0.32731908217297512</v>
      </c>
      <c r="CY147" s="51">
        <f>CX147</f>
        <v>0.32731908217297512</v>
      </c>
      <c r="CZ147" s="32">
        <f>CZ146/CZ158</f>
        <v>0.32826296653557913</v>
      </c>
      <c r="DA147" s="32">
        <f>DA146/DA158</f>
        <v>0.32932802694015001</v>
      </c>
      <c r="DB147" s="32">
        <f>DB146/DB158</f>
        <v>0.33333333333333331</v>
      </c>
      <c r="DC147" s="32">
        <f>DC146/DC158</f>
        <v>0.33127975357042844</v>
      </c>
      <c r="DD147" s="51">
        <f>DC147</f>
        <v>0.33127975357042844</v>
      </c>
      <c r="DE147" s="32">
        <f>DE146/DE158</f>
        <v>0.29956663055254606</v>
      </c>
      <c r="DF147" s="32">
        <f>DF146/DF158</f>
        <v>0.33740421455938696</v>
      </c>
      <c r="DG147" s="32">
        <f>DG146/DG158</f>
        <v>0.34600326264274062</v>
      </c>
      <c r="DH147" s="32">
        <f>DH146/DH158</f>
        <v>0.3561699258260283</v>
      </c>
      <c r="DI147" s="51">
        <f>DH147</f>
        <v>0.3561699258260283</v>
      </c>
      <c r="DJ147" s="32">
        <f>DJ146/DJ158</f>
        <v>0.34571449098354767</v>
      </c>
      <c r="DK147" s="32">
        <f>DK146/DK158</f>
        <v>0.35663710218379668</v>
      </c>
      <c r="DL147" s="32">
        <f>DL146/DL158</f>
        <v>0.36147169521468625</v>
      </c>
      <c r="DM147" s="32">
        <f>DM146/DM158</f>
        <v>0.36886682242990654</v>
      </c>
      <c r="DN147" s="51">
        <f>DM147</f>
        <v>0.36886682242990654</v>
      </c>
      <c r="DO147" s="32">
        <f>DO146/DO158</f>
        <v>0.36530846851449739</v>
      </c>
      <c r="DP147" s="32">
        <f>DP146/DP158</f>
        <v>0.3659840876483631</v>
      </c>
      <c r="DQ147" s="32">
        <f>DQ146/DQ158</f>
        <v>0.37805279441774736</v>
      </c>
      <c r="DR147" s="32">
        <f>DR146/DR158</f>
        <v>0.37115509247719231</v>
      </c>
      <c r="DS147" s="51">
        <f>DR147</f>
        <v>0.37115509247719231</v>
      </c>
      <c r="DT147" s="32">
        <f>DT146/DT158</f>
        <v>0.33971511716955122</v>
      </c>
      <c r="DU147" s="32">
        <f>DU146/DU158</f>
        <v>0.33028819461969416</v>
      </c>
      <c r="DV147" s="32">
        <f>DV146/DV158</f>
        <v>0.36280368612119518</v>
      </c>
      <c r="DW147" s="32">
        <f>DW146/DW158</f>
        <v>0.38568686102058125</v>
      </c>
      <c r="DX147" s="51">
        <f>DW147</f>
        <v>0.38568686102058125</v>
      </c>
      <c r="DY147" s="35">
        <f>DY146/DY158</f>
        <v>0.39</v>
      </c>
      <c r="DZ147" s="32">
        <f>DZ146/DZ158</f>
        <v>0.39</v>
      </c>
      <c r="EA147" s="35">
        <f>EA146/EA158</f>
        <v>0.39</v>
      </c>
      <c r="EB147" s="32">
        <f>EB146/EB158</f>
        <v>0.39</v>
      </c>
      <c r="EC147" s="51">
        <f>EB147</f>
        <v>0.39</v>
      </c>
      <c r="ED147" s="35">
        <f>ED146/ED158</f>
        <v>0.39</v>
      </c>
      <c r="EE147" s="35">
        <f>EE146/EE158</f>
        <v>0.39</v>
      </c>
      <c r="EF147" s="35">
        <f>EF146/EF158</f>
        <v>0.39</v>
      </c>
      <c r="EG147" s="32">
        <f>EG146/EG158</f>
        <v>0.39</v>
      </c>
      <c r="EH147" s="52">
        <f>EG147</f>
        <v>0.39</v>
      </c>
      <c r="EI147" s="35">
        <f>EI146/EI158</f>
        <v>0.39</v>
      </c>
      <c r="EJ147" s="1667">
        <f>EJ146/EJ158</f>
        <v>0.39</v>
      </c>
      <c r="EK147" s="1667">
        <f>EK146/EK158</f>
        <v>0.39</v>
      </c>
      <c r="EL147" s="1667">
        <f>EL146/EL158</f>
        <v>0.39</v>
      </c>
      <c r="EM147" s="1668">
        <f>EL147</f>
        <v>0.39</v>
      </c>
      <c r="EN147" s="1667" t="e">
        <f>EN146/EN158</f>
        <v>#DIV/0!</v>
      </c>
      <c r="EO147" s="1667" t="e">
        <f>EO146/EO158</f>
        <v>#DIV/0!</v>
      </c>
      <c r="EP147" s="1667" t="e">
        <f>EP146/EP158</f>
        <v>#DIV/0!</v>
      </c>
      <c r="EQ147" s="1667" t="e">
        <f>EQ146/EQ158</f>
        <v>#DIV/0!</v>
      </c>
      <c r="ER147" s="1668" t="e">
        <f>EQ147</f>
        <v>#DIV/0!</v>
      </c>
      <c r="ES147" s="1667" t="e">
        <f>ES146/ES158</f>
        <v>#DIV/0!</v>
      </c>
      <c r="ET147" s="1667" t="e">
        <f>ET146/ET158</f>
        <v>#DIV/0!</v>
      </c>
      <c r="EU147" s="1667" t="e">
        <f>EU146/EU158</f>
        <v>#DIV/0!</v>
      </c>
      <c r="EV147" s="1667" t="e">
        <f>EV146/EV158</f>
        <v>#DIV/0!</v>
      </c>
      <c r="EW147" s="1668" t="e">
        <f>EV147</f>
        <v>#DIV/0!</v>
      </c>
      <c r="EX147" s="1667" t="e">
        <f>EX146/EX158</f>
        <v>#DIV/0!</v>
      </c>
      <c r="EY147" s="1667" t="e">
        <f>EY146/EY158</f>
        <v>#DIV/0!</v>
      </c>
      <c r="EZ147" s="1667" t="e">
        <f>EZ146/EZ158</f>
        <v>#DIV/0!</v>
      </c>
      <c r="FA147" s="1667" t="e">
        <f>FA146/FA158</f>
        <v>#DIV/0!</v>
      </c>
      <c r="FB147" s="1668" t="e">
        <f>FA147</f>
        <v>#DIV/0!</v>
      </c>
      <c r="FC147" s="1667" t="e">
        <f>FC146/FC158</f>
        <v>#DIV/0!</v>
      </c>
      <c r="FD147" s="1667" t="e">
        <f>FD146/FD158</f>
        <v>#DIV/0!</v>
      </c>
      <c r="FE147" s="1667" t="e">
        <f>FE146/FE158</f>
        <v>#DIV/0!</v>
      </c>
      <c r="FF147" s="1667" t="e">
        <f>FF146/FF158</f>
        <v>#DIV/0!</v>
      </c>
      <c r="FG147" s="1668" t="e">
        <f>FF147</f>
        <v>#DIV/0!</v>
      </c>
      <c r="FH147" s="1667" t="e">
        <f>FH146/FH158</f>
        <v>#DIV/0!</v>
      </c>
      <c r="FI147" s="1667" t="e">
        <f>FI146/FI158</f>
        <v>#DIV/0!</v>
      </c>
      <c r="FJ147" s="1667" t="e">
        <f>FJ146/FJ158</f>
        <v>#DIV/0!</v>
      </c>
      <c r="FK147" s="1667" t="e">
        <f>FK146/FK158</f>
        <v>#DIV/0!</v>
      </c>
      <c r="FL147" s="1668" t="e">
        <f>FK147</f>
        <v>#DIV/0!</v>
      </c>
      <c r="FM147" s="1671"/>
      <c r="FN147" s="1671"/>
      <c r="FO147" s="1671"/>
      <c r="FP147" s="1671"/>
      <c r="FQ147" s="1671"/>
    </row>
    <row r="148" spans="1:173" s="32" customFormat="1" ht="12" hidden="1" outlineLevel="1">
      <c r="A148" s="32" t="s">
        <v>163</v>
      </c>
      <c r="BP148" s="51"/>
      <c r="BU148" s="51">
        <f>BT148</f>
        <v>0</v>
      </c>
      <c r="BV148" s="32">
        <f>BV146/BQ146-1</f>
        <v>1.7645783854545583</v>
      </c>
      <c r="BW148" s="32">
        <f>BW146/BR146-1</f>
        <v>1.0556040584316113</v>
      </c>
      <c r="BX148" s="32">
        <f>BX146/BS146-1</f>
        <v>0.60994313547736634</v>
      </c>
      <c r="BY148" s="32">
        <f>BY146/BT146-1</f>
        <v>0.36347851119183905</v>
      </c>
      <c r="BZ148" s="51">
        <f>BY148</f>
        <v>0.36347851119183905</v>
      </c>
      <c r="CA148" s="32">
        <f>CA146/BV146-1</f>
        <v>-6.4546025803396856E-2</v>
      </c>
      <c r="CB148" s="32">
        <f>CB146/BW146-1</f>
        <v>-8.3950813005002622E-3</v>
      </c>
      <c r="CC148" s="32">
        <f>CC146/BX146-1</f>
        <v>6.6945903251247829E-2</v>
      </c>
      <c r="CD148" s="32">
        <f>CD146/BY146-1</f>
        <v>8.474738666106818E-2</v>
      </c>
      <c r="CE148" s="51">
        <f>CD148</f>
        <v>8.474738666106818E-2</v>
      </c>
      <c r="CF148" s="32">
        <f>CF146/CA146-1</f>
        <v>0.20487577240818489</v>
      </c>
      <c r="CG148" s="32">
        <f>CG146/CB146-1</f>
        <v>0.26555979073876057</v>
      </c>
      <c r="CH148" s="32">
        <f>CH146/CC146-1</f>
        <v>0.24060420961627194</v>
      </c>
      <c r="CI148" s="32">
        <f>CI146/CD146-1</f>
        <v>0.28625785149895244</v>
      </c>
      <c r="CJ148" s="51">
        <f>CI148</f>
        <v>0.28625785149895244</v>
      </c>
      <c r="CK148" s="32">
        <f>CK146/CF146-1</f>
        <v>-1.7525492448071445E-2</v>
      </c>
      <c r="CL148" s="32">
        <f>CL146/CG146-1</f>
        <v>-6.6686791285426539E-2</v>
      </c>
      <c r="CM148" s="32">
        <f>CM146/CH146-1</f>
        <v>-4.4266743298018829E-2</v>
      </c>
      <c r="CN148" s="32">
        <f>CN146/CI146-1</f>
        <v>-4.5203006886578634E-2</v>
      </c>
      <c r="CO148" s="51">
        <f>CN148</f>
        <v>-4.5203006886578634E-2</v>
      </c>
      <c r="CP148" s="32">
        <f>CP146/CK146-1</f>
        <v>0.16689156694338658</v>
      </c>
      <c r="CQ148" s="32">
        <f>CQ146/CL146-1</f>
        <v>0.17595319206565718</v>
      </c>
      <c r="CR148" s="32">
        <f>CR146/CM146-1</f>
        <v>0.1798069451044082</v>
      </c>
      <c r="CS148" s="32">
        <f>CS146/CN146-1</f>
        <v>0.25478888205879646</v>
      </c>
      <c r="CT148" s="51">
        <f>CS148</f>
        <v>0.25478888205879646</v>
      </c>
      <c r="CU148" s="32">
        <f>CU146/CP146-1</f>
        <v>0.30246110781397495</v>
      </c>
      <c r="CV148" s="32">
        <f>CV146/CQ146-1</f>
        <v>0.38638045891931894</v>
      </c>
      <c r="CW148" s="32">
        <f>CW146/CR146-1</f>
        <v>0.37699115044247788</v>
      </c>
      <c r="CX148" s="32">
        <f>CX146/CS146-1</f>
        <v>0.37102957283680182</v>
      </c>
      <c r="CY148" s="51">
        <f>CX148</f>
        <v>0.37102957283680182</v>
      </c>
      <c r="CZ148" s="32">
        <f>CZ146/CU146-1</f>
        <v>0.28269063496665692</v>
      </c>
      <c r="DA148" s="32">
        <f>DA146/CV146-1</f>
        <v>0.14869193806727177</v>
      </c>
      <c r="DB148" s="32">
        <f>DB146/CW146-1</f>
        <v>5.5012853470437051E-2</v>
      </c>
      <c r="DC148" s="32">
        <f>DC146/CX146-1</f>
        <v>-5.4923107649290981E-2</v>
      </c>
      <c r="DD148" s="51">
        <f>DC148</f>
        <v>-5.4923107649290981E-2</v>
      </c>
      <c r="DE148" s="32">
        <f>DE146/CZ146-1</f>
        <v>0</v>
      </c>
      <c r="DF148" s="32">
        <f>DF146/DA146-1</f>
        <v>-1.7662096211945144E-2</v>
      </c>
      <c r="DG148" s="32">
        <f>DG146/DB146-1</f>
        <v>3.3625730994152114E-2</v>
      </c>
      <c r="DH148" s="32">
        <f>DH146/DC146-1</f>
        <v>0.11622992392223153</v>
      </c>
      <c r="DI148" s="51">
        <f>DH148</f>
        <v>0.11622992392223153</v>
      </c>
      <c r="DJ148" s="32">
        <f>DJ146/DE146-1</f>
        <v>8.7703435804701524E-2</v>
      </c>
      <c r="DK148" s="32">
        <f>DK146/DF146-1</f>
        <v>0.13200851667849545</v>
      </c>
      <c r="DL148" s="32">
        <f>DL146/DG146-1</f>
        <v>0.10938236680810931</v>
      </c>
      <c r="DM148" s="32">
        <f>DM146/DH146-1</f>
        <v>0.19556985990155251</v>
      </c>
      <c r="DN148" s="51">
        <f>DM148</f>
        <v>0.19556985990155251</v>
      </c>
      <c r="DO148" s="32">
        <f t="shared" ref="DO148:DW148" si="235">DO146/DJ146-1</f>
        <v>0.18869492934330845</v>
      </c>
      <c r="DP148" s="32">
        <f t="shared" si="235"/>
        <v>0.17283176593521432</v>
      </c>
      <c r="DQ148" s="32">
        <f t="shared" si="235"/>
        <v>0.22035699107522322</v>
      </c>
      <c r="DR148" s="32">
        <f t="shared" si="235"/>
        <v>0.17893903404592248</v>
      </c>
      <c r="DS148" s="51">
        <f t="shared" si="235"/>
        <v>0.17893903404592248</v>
      </c>
      <c r="DT148" s="32">
        <f t="shared" si="235"/>
        <v>0.16328671328671329</v>
      </c>
      <c r="DU148" s="32">
        <f t="shared" si="235"/>
        <v>0.1660727013542409</v>
      </c>
      <c r="DV148" s="32">
        <f t="shared" si="235"/>
        <v>0.13111614138951766</v>
      </c>
      <c r="DW148" s="32">
        <f t="shared" si="235"/>
        <v>0.16037609133646735</v>
      </c>
      <c r="DX148" s="51">
        <f>DW148</f>
        <v>0.16037609133646735</v>
      </c>
      <c r="DY148" s="35">
        <f>DY146/DT146-1</f>
        <v>0.1781469792605952</v>
      </c>
      <c r="DZ148" s="32">
        <f>DZ146/DU146-1</f>
        <v>0.16058374083129601</v>
      </c>
      <c r="EA148" s="35">
        <f>EA146/DV146-1</f>
        <v>0.17144088669950741</v>
      </c>
      <c r="EB148" s="32">
        <f>EB146/DW146-1</f>
        <v>0.13573561754832753</v>
      </c>
      <c r="EC148" s="51">
        <f>EB148</f>
        <v>0.13573561754832753</v>
      </c>
      <c r="ED148" s="35">
        <f>ED146/DY146-1</f>
        <v>0.12123774936570308</v>
      </c>
      <c r="EE148" s="35">
        <f>EE146/DZ146-1</f>
        <v>9.083906747458137E-2</v>
      </c>
      <c r="EF148" s="35">
        <f>EF146/EA146-1</f>
        <v>3.5157851578515809E-2</v>
      </c>
      <c r="EG148" s="32">
        <f>EG146/EB146-1</f>
        <v>6.359806025916237E-3</v>
      </c>
      <c r="EH148" s="52">
        <f>EG148</f>
        <v>6.359806025916237E-3</v>
      </c>
      <c r="EI148" s="35">
        <f>EI146/ED146-1</f>
        <v>8.2301417187855108E-2</v>
      </c>
      <c r="EJ148" s="1667">
        <f>EJ146/EE146-1</f>
        <v>0.17858314480125403</v>
      </c>
      <c r="EK148" s="1667">
        <f>EK146/EF146-1</f>
        <v>0.28301119281260179</v>
      </c>
      <c r="EL148" s="1667">
        <f>EL146/EG146-1</f>
        <v>-0.12229587543532983</v>
      </c>
      <c r="EM148" s="1668">
        <f>EL148</f>
        <v>-0.12229587543532983</v>
      </c>
      <c r="EN148" s="1667">
        <f>EN146/EI146-1</f>
        <v>-1</v>
      </c>
      <c r="EO148" s="1667">
        <f>EO146/EJ146-1</f>
        <v>-1</v>
      </c>
      <c r="EP148" s="1667">
        <f>EP146/EK146-1</f>
        <v>-1</v>
      </c>
      <c r="EQ148" s="1667">
        <f>EQ146/EL146-1</f>
        <v>-1</v>
      </c>
      <c r="ER148" s="1668">
        <f>EQ148</f>
        <v>-1</v>
      </c>
      <c r="ES148" s="1667" t="e">
        <f>ES146/EN146-1</f>
        <v>#DIV/0!</v>
      </c>
      <c r="ET148" s="1667" t="e">
        <f>ET146/EO146-1</f>
        <v>#DIV/0!</v>
      </c>
      <c r="EU148" s="1667" t="e">
        <f>EU146/EP146-1</f>
        <v>#DIV/0!</v>
      </c>
      <c r="EV148" s="1667" t="e">
        <f>EV146/EQ146-1</f>
        <v>#DIV/0!</v>
      </c>
      <c r="EW148" s="1668" t="e">
        <f>EV148</f>
        <v>#DIV/0!</v>
      </c>
      <c r="EX148" s="1667" t="e">
        <f>EX146/ES146-1</f>
        <v>#DIV/0!</v>
      </c>
      <c r="EY148" s="1667" t="e">
        <f>EY146/ET146-1</f>
        <v>#DIV/0!</v>
      </c>
      <c r="EZ148" s="1667" t="e">
        <f>EZ146/EU146-1</f>
        <v>#DIV/0!</v>
      </c>
      <c r="FA148" s="1667" t="e">
        <f>FA146/EV146-1</f>
        <v>#DIV/0!</v>
      </c>
      <c r="FB148" s="1668" t="e">
        <f>FA148</f>
        <v>#DIV/0!</v>
      </c>
      <c r="FC148" s="1667" t="e">
        <f>FC146/EX146-1</f>
        <v>#DIV/0!</v>
      </c>
      <c r="FD148" s="1667" t="e">
        <f>FD146/EY146-1</f>
        <v>#DIV/0!</v>
      </c>
      <c r="FE148" s="1667" t="e">
        <f>FE146/EZ146-1</f>
        <v>#DIV/0!</v>
      </c>
      <c r="FF148" s="1667" t="e">
        <f>FF146/FA146-1</f>
        <v>#DIV/0!</v>
      </c>
      <c r="FG148" s="1668" t="e">
        <f>FF148</f>
        <v>#DIV/0!</v>
      </c>
      <c r="FH148" s="1667" t="e">
        <f>FH146/FC146-1</f>
        <v>#DIV/0!</v>
      </c>
      <c r="FI148" s="1667" t="e">
        <f>FI146/FD146-1</f>
        <v>#DIV/0!</v>
      </c>
      <c r="FJ148" s="1667" t="e">
        <f>FJ146/FE146-1</f>
        <v>#DIV/0!</v>
      </c>
      <c r="FK148" s="1667" t="e">
        <f>FK146/FF146-1</f>
        <v>#DIV/0!</v>
      </c>
      <c r="FL148" s="1668" t="e">
        <f>FK148</f>
        <v>#DIV/0!</v>
      </c>
      <c r="FM148" s="1671"/>
      <c r="FN148" s="1671"/>
      <c r="FO148" s="1671"/>
      <c r="FP148" s="1671"/>
      <c r="FQ148" s="1671"/>
    </row>
    <row r="149" spans="1:173" s="31" customFormat="1" ht="12" hidden="1" outlineLevel="1">
      <c r="BP149" s="53"/>
      <c r="BU149" s="54"/>
      <c r="BZ149" s="54"/>
      <c r="CE149" s="54"/>
      <c r="CJ149" s="54"/>
      <c r="CO149" s="54"/>
      <c r="CT149" s="54"/>
      <c r="CY149" s="54"/>
      <c r="DD149" s="54"/>
      <c r="DH149" s="154"/>
      <c r="DI149" s="54"/>
      <c r="DJ149" s="208"/>
      <c r="DK149" s="208"/>
      <c r="DL149" s="208"/>
      <c r="DM149" s="154"/>
      <c r="DN149" s="54"/>
      <c r="DO149" s="154"/>
      <c r="DP149" s="208"/>
      <c r="DQ149" s="208"/>
      <c r="DR149" s="154"/>
      <c r="DS149" s="54"/>
      <c r="DT149" s="154"/>
      <c r="DU149" s="154"/>
      <c r="DV149" s="154"/>
      <c r="DX149" s="54"/>
      <c r="DY149" s="38"/>
      <c r="DZ149" s="154"/>
      <c r="EA149" s="38"/>
      <c r="EC149" s="54"/>
      <c r="ED149" s="38"/>
      <c r="EE149" s="38"/>
      <c r="EF149" s="38"/>
      <c r="EH149" s="55"/>
      <c r="EI149" s="38"/>
      <c r="EJ149" s="1584"/>
      <c r="EK149" s="1584"/>
      <c r="EL149" s="1584"/>
      <c r="EM149" s="1633"/>
      <c r="EN149" s="1584"/>
      <c r="EO149" s="1584"/>
      <c r="EP149" s="1584"/>
      <c r="EQ149" s="1584"/>
      <c r="ER149" s="1633"/>
      <c r="ES149" s="1584"/>
      <c r="ET149" s="1584"/>
      <c r="EU149" s="1584"/>
      <c r="EV149" s="1584"/>
      <c r="EW149" s="1633"/>
      <c r="EX149" s="1584"/>
      <c r="EY149" s="1584"/>
      <c r="EZ149" s="1584"/>
      <c r="FA149" s="1584"/>
      <c r="FB149" s="1633"/>
      <c r="FC149" s="1584"/>
      <c r="FD149" s="1584"/>
      <c r="FE149" s="1584"/>
      <c r="FF149" s="1584"/>
      <c r="FG149" s="1633"/>
      <c r="FH149" s="1584"/>
      <c r="FI149" s="1584"/>
      <c r="FJ149" s="1584"/>
      <c r="FK149" s="1584"/>
      <c r="FL149" s="1633"/>
      <c r="FM149" s="1638"/>
      <c r="FN149" s="1638"/>
      <c r="FO149" s="1638"/>
      <c r="FP149" s="1638"/>
      <c r="FQ149" s="1638"/>
    </row>
    <row r="150" spans="1:173" s="29" customFormat="1" ht="12" hidden="1" outlineLevel="1">
      <c r="A150" s="48" t="s">
        <v>708</v>
      </c>
      <c r="BP150" s="49"/>
      <c r="BQ150" s="1146">
        <v>2036.41029099106</v>
      </c>
      <c r="BR150" s="1146">
        <v>2418.8600966491099</v>
      </c>
      <c r="BS150" s="1146">
        <v>2469.3042891923601</v>
      </c>
      <c r="BT150" s="1146">
        <v>2825.0674574725899</v>
      </c>
      <c r="BU150" s="49">
        <f>BT150</f>
        <v>2825.0674574725899</v>
      </c>
      <c r="BV150" s="1146">
        <v>3580.9232991772506</v>
      </c>
      <c r="BW150" s="1146">
        <v>3376.0136182299302</v>
      </c>
      <c r="BX150" s="1146">
        <v>3259.4078861799003</v>
      </c>
      <c r="BY150" s="1146">
        <v>3449.00338380013</v>
      </c>
      <c r="BZ150" s="49">
        <f>BY150</f>
        <v>3449.00338380013</v>
      </c>
      <c r="CA150" s="1146">
        <v>3129.2564101438797</v>
      </c>
      <c r="CB150" s="1146">
        <v>2785.4982842798995</v>
      </c>
      <c r="CC150" s="1146">
        <v>2486.8900778614598</v>
      </c>
      <c r="CD150" s="1146">
        <v>2746.9072084431546</v>
      </c>
      <c r="CE150" s="49">
        <f>CD150</f>
        <v>2746.9072084431546</v>
      </c>
      <c r="CF150" s="1146">
        <v>2539.8354705439847</v>
      </c>
      <c r="CG150" s="1146">
        <v>2541.1326961291479</v>
      </c>
      <c r="CH150" s="1146">
        <v>2477.6322050752788</v>
      </c>
      <c r="CI150" s="1146">
        <v>3050.0082177328836</v>
      </c>
      <c r="CJ150" s="49">
        <f>CI150</f>
        <v>3050.0082177328836</v>
      </c>
      <c r="CK150" s="1146">
        <v>3537.2673324761199</v>
      </c>
      <c r="CL150" s="1146">
        <v>3526.802377020163</v>
      </c>
      <c r="CM150" s="1146">
        <v>3475.5607117530258</v>
      </c>
      <c r="CN150" s="1146">
        <v>4783.4529221283974</v>
      </c>
      <c r="CO150" s="49">
        <f>CN150</f>
        <v>4783.4529221283974</v>
      </c>
      <c r="CP150" s="1146">
        <v>4301.1042472447953</v>
      </c>
      <c r="CQ150" s="1146">
        <v>4863</v>
      </c>
      <c r="CR150" s="1146">
        <v>4341</v>
      </c>
      <c r="CS150" s="1146">
        <v>5771</v>
      </c>
      <c r="CT150" s="49">
        <f>CS150</f>
        <v>5771</v>
      </c>
      <c r="CU150" s="1146">
        <v>5080</v>
      </c>
      <c r="CV150" s="1146">
        <v>5359</v>
      </c>
      <c r="CW150" s="1146">
        <v>5253</v>
      </c>
      <c r="CX150" s="1146">
        <v>7101</v>
      </c>
      <c r="CY150" s="49">
        <f>CX150</f>
        <v>7101</v>
      </c>
      <c r="CZ150" s="1146">
        <v>6204</v>
      </c>
      <c r="DA150" s="1146">
        <v>6077</v>
      </c>
      <c r="DB150" s="1146">
        <v>5593</v>
      </c>
      <c r="DC150" s="1146">
        <v>6508</v>
      </c>
      <c r="DD150" s="49">
        <f>DC150</f>
        <v>6508</v>
      </c>
      <c r="DE150" s="1146">
        <v>5920</v>
      </c>
      <c r="DF150" s="1146">
        <v>5680</v>
      </c>
      <c r="DG150" s="1146">
        <v>5657</v>
      </c>
      <c r="DH150" s="1146">
        <v>7004</v>
      </c>
      <c r="DI150" s="49">
        <f>DH150</f>
        <v>7004</v>
      </c>
      <c r="DJ150" s="1146">
        <v>6748</v>
      </c>
      <c r="DK150" s="1146">
        <v>6324</v>
      </c>
      <c r="DL150" s="1146">
        <v>6013</v>
      </c>
      <c r="DM150" s="1146">
        <v>8187</v>
      </c>
      <c r="DN150" s="49">
        <f>DM150</f>
        <v>8187</v>
      </c>
      <c r="DO150" s="1146">
        <v>7428</v>
      </c>
      <c r="DP150" s="1146">
        <v>7085</v>
      </c>
      <c r="DQ150" s="1146">
        <v>6694</v>
      </c>
      <c r="DR150" s="1146">
        <v>9015</v>
      </c>
      <c r="DS150" s="49">
        <f>DR150</f>
        <v>9015</v>
      </c>
      <c r="DT150" s="1146">
        <v>8266</v>
      </c>
      <c r="DU150" s="1146">
        <v>8904</v>
      </c>
      <c r="DV150" s="1146">
        <v>8404</v>
      </c>
      <c r="DW150" s="1146">
        <v>10142</v>
      </c>
      <c r="DX150" s="49">
        <f>DW150</f>
        <v>10142</v>
      </c>
      <c r="DY150" s="30">
        <f>DY158*0.46</f>
        <v>9246.4600000000009</v>
      </c>
      <c r="DZ150" s="29">
        <f>DZ158*0.46</f>
        <v>8958.0400000000009</v>
      </c>
      <c r="EA150" s="30">
        <f>EA158*0.46</f>
        <v>8975.52</v>
      </c>
      <c r="EB150" s="1146">
        <f>EB158*0.46</f>
        <v>11572.68</v>
      </c>
      <c r="EC150" s="49">
        <f>EB150</f>
        <v>11572.68</v>
      </c>
      <c r="ED150" s="30">
        <f>ED158*0.46</f>
        <v>10367.48</v>
      </c>
      <c r="EE150" s="30">
        <f>EE158*0.46</f>
        <v>9771.7800000000007</v>
      </c>
      <c r="EF150" s="30">
        <f>EF158*0.46</f>
        <v>9291.08</v>
      </c>
      <c r="EG150" s="1146">
        <f>EG158*0.46</f>
        <v>11646.28</v>
      </c>
      <c r="EH150" s="50">
        <f>EG150</f>
        <v>11646.28</v>
      </c>
      <c r="EI150" s="30">
        <f>EI158*0.46</f>
        <v>11220.738296666743</v>
      </c>
      <c r="EJ150" s="1665">
        <f>EJ158*0.46</f>
        <v>11516.855202705998</v>
      </c>
      <c r="EK150" s="1665">
        <f>EK158*0.46</f>
        <v>11920.559633317309</v>
      </c>
      <c r="EL150" s="1665">
        <f>EL158*0.46</f>
        <v>10221.987991835027</v>
      </c>
      <c r="EM150" s="1666">
        <f>EL150</f>
        <v>10221.987991835027</v>
      </c>
      <c r="EN150" s="1665">
        <f>EN158*0.46</f>
        <v>0</v>
      </c>
      <c r="EO150" s="1665">
        <f>EO158*0.46</f>
        <v>0</v>
      </c>
      <c r="EP150" s="1665">
        <f>EP158*0.46</f>
        <v>0</v>
      </c>
      <c r="EQ150" s="1665">
        <f>EQ158*0.46</f>
        <v>0</v>
      </c>
      <c r="ER150" s="1666">
        <f>EQ150</f>
        <v>0</v>
      </c>
      <c r="ES150" s="1665">
        <f>ES158*0.46</f>
        <v>0</v>
      </c>
      <c r="ET150" s="1665">
        <f>ET158*0.46</f>
        <v>0</v>
      </c>
      <c r="EU150" s="1665">
        <f>EU158*0.46</f>
        <v>0</v>
      </c>
      <c r="EV150" s="1665">
        <f>EV158*0.46</f>
        <v>0</v>
      </c>
      <c r="EW150" s="1666">
        <f>EV150</f>
        <v>0</v>
      </c>
      <c r="EX150" s="1665">
        <f>EX158*0.46</f>
        <v>0</v>
      </c>
      <c r="EY150" s="1665">
        <f>EY158*0.46</f>
        <v>0</v>
      </c>
      <c r="EZ150" s="1665">
        <f>EZ158*0.46</f>
        <v>0</v>
      </c>
      <c r="FA150" s="1665">
        <f>FA158*0.46</f>
        <v>0</v>
      </c>
      <c r="FB150" s="1666">
        <f>FA150</f>
        <v>0</v>
      </c>
      <c r="FC150" s="1665">
        <f>FC158*0.46</f>
        <v>0</v>
      </c>
      <c r="FD150" s="1665">
        <f>FD158*0.46</f>
        <v>0</v>
      </c>
      <c r="FE150" s="1665">
        <f>FE158*0.46</f>
        <v>0</v>
      </c>
      <c r="FF150" s="1665">
        <f>FF158*0.46</f>
        <v>0</v>
      </c>
      <c r="FG150" s="1666">
        <f>FF150</f>
        <v>0</v>
      </c>
      <c r="FH150" s="1665">
        <f>FH158*0.46</f>
        <v>0</v>
      </c>
      <c r="FI150" s="1665">
        <f>FI158*0.46</f>
        <v>0</v>
      </c>
      <c r="FJ150" s="1665">
        <f>FJ158*0.46</f>
        <v>0</v>
      </c>
      <c r="FK150" s="1665">
        <f>FK158*0.46</f>
        <v>0</v>
      </c>
      <c r="FL150" s="1666">
        <f>FK150</f>
        <v>0</v>
      </c>
      <c r="FM150" s="2654"/>
      <c r="FN150" s="2654"/>
      <c r="FO150" s="2654"/>
      <c r="FP150" s="2654"/>
      <c r="FQ150" s="2654"/>
    </row>
    <row r="151" spans="1:173" s="32" customFormat="1" ht="12" hidden="1" outlineLevel="1">
      <c r="A151" s="32" t="s">
        <v>665</v>
      </c>
      <c r="BP151" s="51"/>
      <c r="BQ151" s="32">
        <f>BQ150/BQ158</f>
        <v>0.34816953454193178</v>
      </c>
      <c r="BR151" s="32">
        <f>BR150/BR158</f>
        <v>0.36532913794620647</v>
      </c>
      <c r="BS151" s="32">
        <f>BS150/BS158</f>
        <v>0.35713611932211708</v>
      </c>
      <c r="BT151" s="32">
        <f>BT150/BT158</f>
        <v>0.36492258115578469</v>
      </c>
      <c r="BU151" s="51">
        <f>BT151</f>
        <v>0.36492258115578469</v>
      </c>
      <c r="BV151" s="32">
        <f>BV150/BV158</f>
        <v>0.39224701552012819</v>
      </c>
      <c r="BW151" s="32">
        <f>BW150/BW158</f>
        <v>0.38205809728632217</v>
      </c>
      <c r="BX151" s="32">
        <f>BX150/BX158</f>
        <v>0.38203107212119636</v>
      </c>
      <c r="BY151" s="32">
        <f>BY150/BY158</f>
        <v>0.38259643016125283</v>
      </c>
      <c r="BZ151" s="51">
        <f>BY151</f>
        <v>0.38259643016125283</v>
      </c>
      <c r="CA151" s="32">
        <f>CA150/CA158</f>
        <v>0.37953392760912397</v>
      </c>
      <c r="CB151" s="32">
        <f>CB150/CB158</f>
        <v>0.35475016356086342</v>
      </c>
      <c r="CC151" s="32">
        <f>CC150/CC158</f>
        <v>0.33043981900896358</v>
      </c>
      <c r="CD151" s="32">
        <f>CD150/CD158</f>
        <v>0.33593092924583035</v>
      </c>
      <c r="CE151" s="51">
        <f>CD151</f>
        <v>0.33593092924583035</v>
      </c>
      <c r="CF151" s="32">
        <f>CF150/CF158</f>
        <v>0.32637310081521265</v>
      </c>
      <c r="CG151" s="32">
        <f>CG150/CG158</f>
        <v>0.31899732565015665</v>
      </c>
      <c r="CH151" s="32">
        <f>CH150/CH158</f>
        <v>0.31200506297384195</v>
      </c>
      <c r="CI151" s="32">
        <f>CI150/CI158</f>
        <v>0.3327160704410258</v>
      </c>
      <c r="CJ151" s="51">
        <f>CI151</f>
        <v>0.3327160704410258</v>
      </c>
      <c r="CK151" s="32">
        <f>CK150/CK158</f>
        <v>0.40168831847332725</v>
      </c>
      <c r="CL151" s="32">
        <f>CL150/CL158</f>
        <v>0.39904982767822617</v>
      </c>
      <c r="CM151" s="32">
        <f>CM150/CM158</f>
        <v>0.39046856665015456</v>
      </c>
      <c r="CN151" s="32">
        <f>CN150/CN158</f>
        <v>0.43876838397802215</v>
      </c>
      <c r="CO151" s="51">
        <f>CN151</f>
        <v>0.43876838397802215</v>
      </c>
      <c r="CP151" s="32">
        <f>CP150/CP158</f>
        <v>0.42597843391549917</v>
      </c>
      <c r="CQ151" s="32">
        <f>CQ150/CQ158</f>
        <v>0.40999915690076721</v>
      </c>
      <c r="CR151" s="32">
        <f>CR150/CR158</f>
        <v>0.42215306817076731</v>
      </c>
      <c r="CS151" s="32">
        <f>CS150/CS158</f>
        <v>0.45634983393958561</v>
      </c>
      <c r="CT151" s="51">
        <f>CS151</f>
        <v>0.45634983393958561</v>
      </c>
      <c r="CU151" s="32">
        <f>CU150/CU158</f>
        <v>0.43899066712754925</v>
      </c>
      <c r="CV151" s="32">
        <f>CV150/CV158</f>
        <v>0.44005583839710954</v>
      </c>
      <c r="CW151" s="32">
        <f>CW150/CW158</f>
        <v>0.43273745778070682</v>
      </c>
      <c r="CX151" s="32">
        <f>CX150/CX158</f>
        <v>0.46420866836634633</v>
      </c>
      <c r="CY151" s="51">
        <f>CX151</f>
        <v>0.46420866836634633</v>
      </c>
      <c r="CZ151" s="32">
        <f>CZ150/CZ158</f>
        <v>0.4603398382429324</v>
      </c>
      <c r="DA151" s="32">
        <f>DA150/DA158</f>
        <v>0.46510026021735801</v>
      </c>
      <c r="DB151" s="32">
        <f>DB150/DB158</f>
        <v>0.4542722547108512</v>
      </c>
      <c r="DC151" s="32">
        <f>DC150/DC158</f>
        <v>0.4556146737608513</v>
      </c>
      <c r="DD151" s="51">
        <f>DC151</f>
        <v>0.4556146737608513</v>
      </c>
      <c r="DE151" s="32">
        <f>DE150/DE158</f>
        <v>0.40086673889490793</v>
      </c>
      <c r="DF151" s="32">
        <f>DF150/DF158</f>
        <v>0.45338441890166026</v>
      </c>
      <c r="DG151" s="32">
        <f>DG150/DG158</f>
        <v>0.46141924959216968</v>
      </c>
      <c r="DH151" s="32">
        <f>DH150/DH158</f>
        <v>0.47228590694538097</v>
      </c>
      <c r="DI151" s="51">
        <f>DH151</f>
        <v>0.47228590694538097</v>
      </c>
      <c r="DJ151" s="32">
        <f>DJ150/DJ158</f>
        <v>0.48480494288382786</v>
      </c>
      <c r="DK151" s="32">
        <f>DK150/DK158</f>
        <v>0.47134232689871058</v>
      </c>
      <c r="DL151" s="32">
        <f>DL150/DL158</f>
        <v>0.46186343037099625</v>
      </c>
      <c r="DM151" s="32">
        <f>DM150/DM158</f>
        <v>0.47821261682242988</v>
      </c>
      <c r="DN151" s="51">
        <f>DM151</f>
        <v>0.47821261682242988</v>
      </c>
      <c r="DO151" s="32">
        <f>DO150/DO158</f>
        <v>0.4743900881338613</v>
      </c>
      <c r="DP151" s="32">
        <f>DP150/DP158</f>
        <v>0.46204512847267509</v>
      </c>
      <c r="DQ151" s="32">
        <f>DQ150/DQ158</f>
        <v>0.44065565137252322</v>
      </c>
      <c r="DR151" s="32">
        <f>DR150/DR158</f>
        <v>0.44942419861408844</v>
      </c>
      <c r="DS151" s="51">
        <f>DR151</f>
        <v>0.44942419861408844</v>
      </c>
      <c r="DT151" s="32">
        <f>DT150/DT158</f>
        <v>0.42201460152141729</v>
      </c>
      <c r="DU151" s="32">
        <f>DU150/DU158</f>
        <v>0.44940190783828798</v>
      </c>
      <c r="DV151" s="32">
        <f>DV150/DV158</f>
        <v>0.46936609885506841</v>
      </c>
      <c r="DW151" s="32">
        <f>DW150/DW158</f>
        <v>0.45278807089602213</v>
      </c>
      <c r="DX151" s="51">
        <f>DW151</f>
        <v>0.45278807089602213</v>
      </c>
      <c r="DY151" s="35">
        <f>DY150/DY158</f>
        <v>0.46</v>
      </c>
      <c r="DZ151" s="32">
        <f>DZ150/DZ158</f>
        <v>0.46</v>
      </c>
      <c r="EA151" s="35">
        <f>EA150/EA158</f>
        <v>0.46</v>
      </c>
      <c r="EB151" s="32">
        <f>EB150/EB158</f>
        <v>0.46</v>
      </c>
      <c r="EC151" s="51">
        <f>EB151</f>
        <v>0.46</v>
      </c>
      <c r="ED151" s="35">
        <f>ED150/ED158</f>
        <v>0.45999999999999996</v>
      </c>
      <c r="EE151" s="35">
        <f>EE150/EE158</f>
        <v>0.46</v>
      </c>
      <c r="EF151" s="35">
        <f>EF150/EF158</f>
        <v>0.46</v>
      </c>
      <c r="EG151" s="32">
        <f>EG150/EG158</f>
        <v>0.46</v>
      </c>
      <c r="EH151" s="52">
        <f>EG151</f>
        <v>0.46</v>
      </c>
      <c r="EI151" s="35">
        <f>EI150/EI158</f>
        <v>0.46</v>
      </c>
      <c r="EJ151" s="1667">
        <f>EJ150/EJ158</f>
        <v>0.45999999999999996</v>
      </c>
      <c r="EK151" s="1667">
        <f>EK150/EK158</f>
        <v>0.46000000000000008</v>
      </c>
      <c r="EL151" s="1667">
        <f>EL150/EL158</f>
        <v>0.45999999999999996</v>
      </c>
      <c r="EM151" s="1668">
        <f>EL151</f>
        <v>0.45999999999999996</v>
      </c>
      <c r="EN151" s="1667" t="e">
        <f>EN150/EN158</f>
        <v>#DIV/0!</v>
      </c>
      <c r="EO151" s="1667" t="e">
        <f>EO150/EO158</f>
        <v>#DIV/0!</v>
      </c>
      <c r="EP151" s="1667" t="e">
        <f>EP150/EP158</f>
        <v>#DIV/0!</v>
      </c>
      <c r="EQ151" s="1667" t="e">
        <f>EQ150/EQ158</f>
        <v>#DIV/0!</v>
      </c>
      <c r="ER151" s="1668" t="e">
        <f>EQ151</f>
        <v>#DIV/0!</v>
      </c>
      <c r="ES151" s="1667" t="e">
        <f>ES150/ES158</f>
        <v>#DIV/0!</v>
      </c>
      <c r="ET151" s="1667" t="e">
        <f>ET150/ET158</f>
        <v>#DIV/0!</v>
      </c>
      <c r="EU151" s="1667" t="e">
        <f>EU150/EU158</f>
        <v>#DIV/0!</v>
      </c>
      <c r="EV151" s="1667" t="e">
        <f>EV150/EV158</f>
        <v>#DIV/0!</v>
      </c>
      <c r="EW151" s="1668" t="e">
        <f>EV151</f>
        <v>#DIV/0!</v>
      </c>
      <c r="EX151" s="1667" t="e">
        <f>EX150/EX158</f>
        <v>#DIV/0!</v>
      </c>
      <c r="EY151" s="1667" t="e">
        <f>EY150/EY158</f>
        <v>#DIV/0!</v>
      </c>
      <c r="EZ151" s="1667" t="e">
        <f>EZ150/EZ158</f>
        <v>#DIV/0!</v>
      </c>
      <c r="FA151" s="1667" t="e">
        <f>FA150/FA158</f>
        <v>#DIV/0!</v>
      </c>
      <c r="FB151" s="1668" t="e">
        <f>FA151</f>
        <v>#DIV/0!</v>
      </c>
      <c r="FC151" s="1667" t="e">
        <f>FC150/FC158</f>
        <v>#DIV/0!</v>
      </c>
      <c r="FD151" s="1667" t="e">
        <f>FD150/FD158</f>
        <v>#DIV/0!</v>
      </c>
      <c r="FE151" s="1667" t="e">
        <f>FE150/FE158</f>
        <v>#DIV/0!</v>
      </c>
      <c r="FF151" s="1667" t="e">
        <f>FF150/FF158</f>
        <v>#DIV/0!</v>
      </c>
      <c r="FG151" s="1668" t="e">
        <f>FF151</f>
        <v>#DIV/0!</v>
      </c>
      <c r="FH151" s="1667" t="e">
        <f>FH150/FH158</f>
        <v>#DIV/0!</v>
      </c>
      <c r="FI151" s="1667" t="e">
        <f>FI150/FI158</f>
        <v>#DIV/0!</v>
      </c>
      <c r="FJ151" s="1667" t="e">
        <f>FJ150/FJ158</f>
        <v>#DIV/0!</v>
      </c>
      <c r="FK151" s="1667" t="e">
        <f>FK150/FK158</f>
        <v>#DIV/0!</v>
      </c>
      <c r="FL151" s="1668" t="e">
        <f>FK151</f>
        <v>#DIV/0!</v>
      </c>
      <c r="FM151" s="1671"/>
      <c r="FN151" s="1671"/>
      <c r="FO151" s="1671"/>
      <c r="FP151" s="1671"/>
      <c r="FQ151" s="1671"/>
    </row>
    <row r="152" spans="1:173" s="32" customFormat="1" ht="12" hidden="1" outlineLevel="1">
      <c r="A152" s="32" t="s">
        <v>163</v>
      </c>
      <c r="BP152" s="51"/>
      <c r="BU152" s="51">
        <f>BT152</f>
        <v>0</v>
      </c>
      <c r="BV152" s="32">
        <f>BV150/BQ150-1</f>
        <v>0.75844883274211017</v>
      </c>
      <c r="BW152" s="32">
        <f>BW150/BR150-1</f>
        <v>0.39570437451375629</v>
      </c>
      <c r="BX152" s="32">
        <f>BX150/BS150-1</f>
        <v>0.31997012293934857</v>
      </c>
      <c r="BY152" s="32">
        <f>BY150/BT150-1</f>
        <v>0.22085700101679562</v>
      </c>
      <c r="BZ152" s="51">
        <f>BY152</f>
        <v>0.22085700101679562</v>
      </c>
      <c r="CA152" s="32">
        <f>CA150/BV150-1</f>
        <v>-0.12613140558948732</v>
      </c>
      <c r="CB152" s="32">
        <f>CB150/BW150-1</f>
        <v>-0.17491497390927069</v>
      </c>
      <c r="CC152" s="32">
        <f>CC150/BX150-1</f>
        <v>-0.2370117012951849</v>
      </c>
      <c r="CD152" s="32">
        <f>CD150/BY150-1</f>
        <v>-0.20356494245691403</v>
      </c>
      <c r="CE152" s="51">
        <f>CD152</f>
        <v>-0.20356494245691403</v>
      </c>
      <c r="CF152" s="32">
        <f>CF150/CA150-1</f>
        <v>-0.1883581472228395</v>
      </c>
      <c r="CG152" s="32">
        <f>CG150/CB150-1</f>
        <v>-8.7727782684283495E-2</v>
      </c>
      <c r="CH152" s="32">
        <f>CH150/CC150-1</f>
        <v>-3.7226706835961076E-3</v>
      </c>
      <c r="CI152" s="32">
        <f>CI150/CD150-1</f>
        <v>0.11034264585206555</v>
      </c>
      <c r="CJ152" s="51">
        <f>CI152</f>
        <v>0.11034264585206555</v>
      </c>
      <c r="CK152" s="32">
        <f>CK150/CF150-1</f>
        <v>0.39271514769360394</v>
      </c>
      <c r="CL152" s="32">
        <f>CL150/CG150-1</f>
        <v>0.38788595431968753</v>
      </c>
      <c r="CM152" s="32">
        <f>CM150/CH150-1</f>
        <v>0.40277507881660202</v>
      </c>
      <c r="CN152" s="32">
        <f>CN150/CI150-1</f>
        <v>0.56834099472820721</v>
      </c>
      <c r="CO152" s="51">
        <f>CN152</f>
        <v>0.56834099472820721</v>
      </c>
      <c r="CP152" s="32">
        <f>CP150/CK150-1</f>
        <v>0.21593983235470704</v>
      </c>
      <c r="CQ152" s="32">
        <f>CQ150/CL150-1</f>
        <v>0.37886943472823842</v>
      </c>
      <c r="CR152" s="32">
        <f>CR150/CM150-1</f>
        <v>0.24900709842886282</v>
      </c>
      <c r="CS152" s="32">
        <f>CS150/CN150-1</f>
        <v>0.20645067359253821</v>
      </c>
      <c r="CT152" s="51">
        <f>CS152</f>
        <v>0.20645067359253821</v>
      </c>
      <c r="CU152" s="32">
        <f>CU150/CP150-1</f>
        <v>0.18109204241077159</v>
      </c>
      <c r="CV152" s="32">
        <f>CV150/CQ150-1</f>
        <v>0.10199465350606629</v>
      </c>
      <c r="CW152" s="32">
        <f>CW150/CR150-1</f>
        <v>0.21008984105044926</v>
      </c>
      <c r="CX152" s="32">
        <f>CX150/CS150-1</f>
        <v>0.23046265811817701</v>
      </c>
      <c r="CY152" s="51">
        <f>CX152</f>
        <v>0.23046265811817701</v>
      </c>
      <c r="CZ152" s="32">
        <f>CZ150/CU150-1</f>
        <v>0.221259842519685</v>
      </c>
      <c r="DA152" s="32">
        <f>DA150/CV150-1</f>
        <v>0.13398022019033395</v>
      </c>
      <c r="DB152" s="32">
        <f>DB150/CW150-1</f>
        <v>6.472491909385103E-2</v>
      </c>
      <c r="DC152" s="32">
        <f>DC150/CX150-1</f>
        <v>-8.3509364878186165E-2</v>
      </c>
      <c r="DD152" s="51">
        <f>DC152</f>
        <v>-8.3509364878186165E-2</v>
      </c>
      <c r="DE152" s="32">
        <f>DE150/CZ150-1</f>
        <v>-4.5776918117343635E-2</v>
      </c>
      <c r="DF152" s="32">
        <f>DF150/DA150-1</f>
        <v>-6.5328286983709072E-2</v>
      </c>
      <c r="DG152" s="32">
        <f>DG150/DB150-1</f>
        <v>1.1442875022349419E-2</v>
      </c>
      <c r="DH152" s="32">
        <f>DH150/DC150-1</f>
        <v>7.6213890596189326E-2</v>
      </c>
      <c r="DI152" s="51">
        <f>DH152</f>
        <v>7.6213890596189326E-2</v>
      </c>
      <c r="DJ152" s="32">
        <f>DJ150/DE150-1</f>
        <v>0.13986486486486482</v>
      </c>
      <c r="DK152" s="32">
        <f>DK150/DF150-1</f>
        <v>0.11338028169014081</v>
      </c>
      <c r="DL152" s="32">
        <f>DL150/DG150-1</f>
        <v>6.2930882092982143E-2</v>
      </c>
      <c r="DM152" s="32">
        <f>DM150/DH150-1</f>
        <v>0.16890348372358654</v>
      </c>
      <c r="DN152" s="51">
        <f>DM152</f>
        <v>0.16890348372358654</v>
      </c>
      <c r="DO152" s="32">
        <f>DO150/DJ150-1</f>
        <v>0.10077059869590999</v>
      </c>
      <c r="DP152" s="32">
        <f>DP150/DK150-1</f>
        <v>0.12033523086654019</v>
      </c>
      <c r="DQ152" s="32">
        <f>DQ150/DL150-1</f>
        <v>0.11325461500083156</v>
      </c>
      <c r="DR152" s="32">
        <f>DR150/DM150-1</f>
        <v>0.10113594723341879</v>
      </c>
      <c r="DS152" s="51">
        <f>DR152</f>
        <v>0.10113594723341879</v>
      </c>
      <c r="DT152" s="32">
        <f>DT150/DO150-1</f>
        <v>0.11281637049003779</v>
      </c>
      <c r="DU152" s="32">
        <f>DU150/DP150-1</f>
        <v>0.25673959068454488</v>
      </c>
      <c r="DV152" s="32">
        <f>DV150/DQ150-1</f>
        <v>0.25545264415894842</v>
      </c>
      <c r="DW152" s="32">
        <f>DW150/DR150-1</f>
        <v>0.12501386577925677</v>
      </c>
      <c r="DX152" s="51">
        <f>DW152</f>
        <v>0.12501386577925677</v>
      </c>
      <c r="DY152" s="35">
        <f>DY150/DT150-1</f>
        <v>0.11861359787079606</v>
      </c>
      <c r="DZ152" s="32">
        <f>DZ150/DU150-1</f>
        <v>6.0691823899372555E-3</v>
      </c>
      <c r="EA152" s="35">
        <f>EA150/DV150-1</f>
        <v>6.8005711565920945E-2</v>
      </c>
      <c r="EB152" s="32">
        <f>EB150/DW150-1</f>
        <v>0.14106487872214557</v>
      </c>
      <c r="EC152" s="51">
        <f>EB152</f>
        <v>0.14106487872214557</v>
      </c>
      <c r="ED152" s="35">
        <f>ED150/DY150-1</f>
        <v>0.12123774936570308</v>
      </c>
      <c r="EE152" s="35">
        <f>EE150/DZ150-1</f>
        <v>9.083906747458137E-2</v>
      </c>
      <c r="EF152" s="35">
        <f>EF150/EA150-1</f>
        <v>3.5157851578515809E-2</v>
      </c>
      <c r="EG152" s="32">
        <f>EG150/EB150-1</f>
        <v>6.359806025916237E-3</v>
      </c>
      <c r="EH152" s="52">
        <f>EG152</f>
        <v>6.359806025916237E-3</v>
      </c>
      <c r="EI152" s="35">
        <f>EI150/ED150-1</f>
        <v>8.2301417187855108E-2</v>
      </c>
      <c r="EJ152" s="1667">
        <f>EJ150/EE150-1</f>
        <v>0.17858314480125381</v>
      </c>
      <c r="EK152" s="1667">
        <f>EK150/EF150-1</f>
        <v>0.28301119281260179</v>
      </c>
      <c r="EL152" s="1667">
        <f>EL150/EG150-1</f>
        <v>-0.12229587543532983</v>
      </c>
      <c r="EM152" s="1668">
        <f>EL152</f>
        <v>-0.12229587543532983</v>
      </c>
      <c r="EN152" s="1667">
        <f>EN150/EI150-1</f>
        <v>-1</v>
      </c>
      <c r="EO152" s="1667">
        <f>EO150/EJ150-1</f>
        <v>-1</v>
      </c>
      <c r="EP152" s="1667">
        <f>EP150/EK150-1</f>
        <v>-1</v>
      </c>
      <c r="EQ152" s="1667">
        <f>EQ150/EL150-1</f>
        <v>-1</v>
      </c>
      <c r="ER152" s="1668">
        <f>EQ152</f>
        <v>-1</v>
      </c>
      <c r="ES152" s="1667" t="e">
        <f>ES150/EN150-1</f>
        <v>#DIV/0!</v>
      </c>
      <c r="ET152" s="1667" t="e">
        <f>ET150/EO150-1</f>
        <v>#DIV/0!</v>
      </c>
      <c r="EU152" s="1667" t="e">
        <f>EU150/EP150-1</f>
        <v>#DIV/0!</v>
      </c>
      <c r="EV152" s="1667" t="e">
        <f>EV150/EQ150-1</f>
        <v>#DIV/0!</v>
      </c>
      <c r="EW152" s="1668" t="e">
        <f>EV152</f>
        <v>#DIV/0!</v>
      </c>
      <c r="EX152" s="1667" t="e">
        <f>EX150/ES150-1</f>
        <v>#DIV/0!</v>
      </c>
      <c r="EY152" s="1667" t="e">
        <f>EY150/ET150-1</f>
        <v>#DIV/0!</v>
      </c>
      <c r="EZ152" s="1667" t="e">
        <f>EZ150/EU150-1</f>
        <v>#DIV/0!</v>
      </c>
      <c r="FA152" s="1667" t="e">
        <f>FA150/EV150-1</f>
        <v>#DIV/0!</v>
      </c>
      <c r="FB152" s="1668" t="e">
        <f>FA152</f>
        <v>#DIV/0!</v>
      </c>
      <c r="FC152" s="1667" t="e">
        <f>FC150/EX150-1</f>
        <v>#DIV/0!</v>
      </c>
      <c r="FD152" s="1667" t="e">
        <f>FD150/EY150-1</f>
        <v>#DIV/0!</v>
      </c>
      <c r="FE152" s="1667" t="e">
        <f>FE150/EZ150-1</f>
        <v>#DIV/0!</v>
      </c>
      <c r="FF152" s="1667" t="e">
        <f>FF150/FA150-1</f>
        <v>#DIV/0!</v>
      </c>
      <c r="FG152" s="1668" t="e">
        <f>FF152</f>
        <v>#DIV/0!</v>
      </c>
      <c r="FH152" s="1667" t="e">
        <f>FH150/FC150-1</f>
        <v>#DIV/0!</v>
      </c>
      <c r="FI152" s="1667" t="e">
        <f>FI150/FD150-1</f>
        <v>#DIV/0!</v>
      </c>
      <c r="FJ152" s="1667" t="e">
        <f>FJ150/FE150-1</f>
        <v>#DIV/0!</v>
      </c>
      <c r="FK152" s="1667" t="e">
        <f>FK150/FF150-1</f>
        <v>#DIV/0!</v>
      </c>
      <c r="FL152" s="1668" t="e">
        <f>FK152</f>
        <v>#DIV/0!</v>
      </c>
      <c r="FM152" s="1671"/>
      <c r="FN152" s="1671"/>
      <c r="FO152" s="1671"/>
      <c r="FP152" s="1671"/>
      <c r="FQ152" s="1671"/>
    </row>
    <row r="153" spans="1:173" s="31" customFormat="1" ht="12" hidden="1" outlineLevel="1">
      <c r="BP153" s="53"/>
      <c r="BU153" s="54"/>
      <c r="BZ153" s="54"/>
      <c r="CE153" s="54"/>
      <c r="CJ153" s="54"/>
      <c r="CO153" s="54"/>
      <c r="CT153" s="54"/>
      <c r="CY153" s="54"/>
      <c r="DD153" s="54"/>
      <c r="DI153" s="54"/>
      <c r="DJ153" s="208"/>
      <c r="DK153" s="235"/>
      <c r="DL153" s="235"/>
      <c r="DN153" s="54"/>
      <c r="DO153" s="154"/>
      <c r="DP153" s="235"/>
      <c r="DQ153" s="235"/>
      <c r="DS153" s="54"/>
      <c r="DT153" s="154"/>
      <c r="DU153" s="154"/>
      <c r="DV153" s="154"/>
      <c r="DX153" s="54"/>
      <c r="DY153" s="38"/>
      <c r="DZ153" s="154"/>
      <c r="EA153" s="38"/>
      <c r="EC153" s="54"/>
      <c r="ED153" s="38"/>
      <c r="EE153" s="38"/>
      <c r="EF153" s="38"/>
      <c r="EH153" s="55"/>
      <c r="EI153" s="38"/>
      <c r="EJ153" s="1584"/>
      <c r="EK153" s="1584"/>
      <c r="EL153" s="1584"/>
      <c r="EM153" s="1633"/>
      <c r="EN153" s="1584"/>
      <c r="EO153" s="1584"/>
      <c r="EP153" s="1584"/>
      <c r="EQ153" s="1584"/>
      <c r="ER153" s="1633"/>
      <c r="ES153" s="1584"/>
      <c r="ET153" s="1584"/>
      <c r="EU153" s="1584"/>
      <c r="EV153" s="1584"/>
      <c r="EW153" s="1633"/>
      <c r="EX153" s="1584"/>
      <c r="EY153" s="1584"/>
      <c r="EZ153" s="1584"/>
      <c r="FA153" s="1584"/>
      <c r="FB153" s="1633"/>
      <c r="FC153" s="1584"/>
      <c r="FD153" s="1584"/>
      <c r="FE153" s="1584"/>
      <c r="FF153" s="1584"/>
      <c r="FG153" s="1633"/>
      <c r="FH153" s="1584"/>
      <c r="FI153" s="1584"/>
      <c r="FJ153" s="1584"/>
      <c r="FK153" s="1584"/>
      <c r="FL153" s="1633"/>
      <c r="FM153" s="1638"/>
      <c r="FN153" s="1638"/>
      <c r="FO153" s="1638"/>
      <c r="FP153" s="1638"/>
      <c r="FQ153" s="1638"/>
    </row>
    <row r="154" spans="1:173" s="29" customFormat="1" ht="12" hidden="1" outlineLevel="1">
      <c r="A154" s="48" t="s">
        <v>666</v>
      </c>
      <c r="BP154" s="49"/>
      <c r="BQ154" s="1146">
        <v>410.59685267025691</v>
      </c>
      <c r="BR154" s="1146">
        <v>369.25755128256992</v>
      </c>
      <c r="BS154" s="1146">
        <v>344.07856019532045</v>
      </c>
      <c r="BT154" s="1146">
        <v>298.47369425783359</v>
      </c>
      <c r="BU154" s="49">
        <f>BT154</f>
        <v>298.47369425783359</v>
      </c>
      <c r="BV154" s="1146">
        <v>277.43887600190828</v>
      </c>
      <c r="BW154" s="1146">
        <v>246.08421718996726</v>
      </c>
      <c r="BX154" s="1146">
        <v>233.91705809355773</v>
      </c>
      <c r="BY154" s="1146">
        <v>216.11802192763167</v>
      </c>
      <c r="BZ154" s="49">
        <f>BY154</f>
        <v>216.11802192763167</v>
      </c>
      <c r="CA154" s="1146">
        <v>185.68732998195588</v>
      </c>
      <c r="CB154" s="1146">
        <v>166.8863839329421</v>
      </c>
      <c r="CC154" s="1146">
        <v>190.61580661715212</v>
      </c>
      <c r="CD154" s="1146">
        <v>237.88257177843556</v>
      </c>
      <c r="CE154" s="49">
        <f>CD154</f>
        <v>237.88257177843556</v>
      </c>
      <c r="CF154" s="1146">
        <v>226.25089817704495</v>
      </c>
      <c r="CG154" s="1146">
        <v>260.23752798466796</v>
      </c>
      <c r="CH154" s="1146">
        <v>349.85985481959125</v>
      </c>
      <c r="CI154" s="1146">
        <v>381.56723030904408</v>
      </c>
      <c r="CJ154" s="49">
        <f>CI154</f>
        <v>381.56723030904408</v>
      </c>
      <c r="CK154" s="1146">
        <v>363.77052949860678</v>
      </c>
      <c r="CL154" s="1146">
        <v>352.27924566910974</v>
      </c>
      <c r="CM154" s="1146">
        <v>372.74806658544384</v>
      </c>
      <c r="CN154" s="1146">
        <v>358.40895374017344</v>
      </c>
      <c r="CO154" s="49">
        <f>CN154</f>
        <v>358.40895374017344</v>
      </c>
      <c r="CP154" s="1146">
        <v>343.65656012431731</v>
      </c>
      <c r="CQ154" s="1146">
        <v>343</v>
      </c>
      <c r="CR154" s="1146">
        <v>433</v>
      </c>
      <c r="CS154" s="1146">
        <v>348</v>
      </c>
      <c r="CT154" s="49">
        <f>CS154</f>
        <v>348</v>
      </c>
      <c r="CU154" s="1146">
        <v>370</v>
      </c>
      <c r="CV154" s="1146">
        <v>453</v>
      </c>
      <c r="CW154" s="1146">
        <v>472</v>
      </c>
      <c r="CX154" s="1146">
        <v>451</v>
      </c>
      <c r="CY154" s="49">
        <f>CX154</f>
        <v>451</v>
      </c>
      <c r="CZ154" s="1146">
        <v>447</v>
      </c>
      <c r="DA154" s="1146">
        <v>508</v>
      </c>
      <c r="DB154" s="1146">
        <v>600</v>
      </c>
      <c r="DC154" s="1146">
        <v>699</v>
      </c>
      <c r="DD154" s="49">
        <f>DC154</f>
        <v>699</v>
      </c>
      <c r="DE154" s="1146">
        <v>786</v>
      </c>
      <c r="DF154" s="1146">
        <v>885</v>
      </c>
      <c r="DG154" s="1146">
        <v>863</v>
      </c>
      <c r="DH154" s="1146">
        <v>843</v>
      </c>
      <c r="DI154" s="49">
        <f>DH154</f>
        <v>843</v>
      </c>
      <c r="DJ154" s="1146">
        <v>789</v>
      </c>
      <c r="DK154" s="29">
        <f>DK158-DK142-DK146-DK150</f>
        <v>841</v>
      </c>
      <c r="DL154" s="1146">
        <v>930</v>
      </c>
      <c r="DM154" s="29">
        <f>DM158-DM142-DM146-DM150</f>
        <v>836</v>
      </c>
      <c r="DN154" s="49">
        <f>DM154</f>
        <v>836</v>
      </c>
      <c r="DO154" s="1146">
        <v>882</v>
      </c>
      <c r="DP154" s="1146">
        <v>1112</v>
      </c>
      <c r="DQ154" s="1146">
        <v>1301</v>
      </c>
      <c r="DR154" s="1146">
        <v>1155</v>
      </c>
      <c r="DS154" s="49">
        <f>DR154</f>
        <v>1155</v>
      </c>
      <c r="DT154" s="1146">
        <v>1228</v>
      </c>
      <c r="DU154" s="1146">
        <v>1629</v>
      </c>
      <c r="DV154" s="1146">
        <v>1412</v>
      </c>
      <c r="DW154" s="1146">
        <v>1532</v>
      </c>
      <c r="DX154" s="49">
        <f>DW154</f>
        <v>1532</v>
      </c>
      <c r="DY154" s="30">
        <f>DY158-DY142-DY146-DY150</f>
        <v>904.54500000000007</v>
      </c>
      <c r="DZ154" s="29">
        <f>DZ158-DZ142-DZ146-DZ150</f>
        <v>876.32999999999811</v>
      </c>
      <c r="EA154" s="30">
        <f>EA158-EA142-EA146-EA150</f>
        <v>878.04000000000087</v>
      </c>
      <c r="EB154" s="1146">
        <f>EB158-EB142-EB146-EB150</f>
        <v>1132.1099999999988</v>
      </c>
      <c r="EC154" s="49">
        <f>EB154</f>
        <v>1132.1099999999988</v>
      </c>
      <c r="ED154" s="30">
        <f>ED158-ED142-ED146-ED150</f>
        <v>1014.2100000000028</v>
      </c>
      <c r="EE154" s="30">
        <f>EE158-EE142-EE146-EE150</f>
        <v>955.93499999999949</v>
      </c>
      <c r="EF154" s="30">
        <f>EF158-EF142-EF146-EF150</f>
        <v>908.90999999999804</v>
      </c>
      <c r="EG154" s="1146">
        <f>EG158-EG142-EG146-EG150</f>
        <v>1139.3099999999995</v>
      </c>
      <c r="EH154" s="50">
        <f>EG154</f>
        <v>1139.3099999999995</v>
      </c>
      <c r="EI154" s="30">
        <f>EI158-EI142-EI146-EI150</f>
        <v>1097.6809203260927</v>
      </c>
      <c r="EJ154" s="1665">
        <f>EJ158-EJ142-EJ146-EJ150</f>
        <v>1126.648878525586</v>
      </c>
      <c r="EK154" s="1665">
        <f>EK158-EK142-EK146-EK150</f>
        <v>1166.1417032592999</v>
      </c>
      <c r="EL154" s="1665">
        <f>EL158-EL142-EL146-EL150</f>
        <v>999.97708615777628</v>
      </c>
      <c r="EM154" s="1666">
        <f>EL154</f>
        <v>999.97708615777628</v>
      </c>
      <c r="EN154" s="1665">
        <f>EN158-EN142-EN146-EN150</f>
        <v>0</v>
      </c>
      <c r="EO154" s="1665">
        <f>EO158-EO142-EO146-EO150</f>
        <v>0</v>
      </c>
      <c r="EP154" s="1665">
        <f>EP158-EP142-EP146-EP150</f>
        <v>0</v>
      </c>
      <c r="EQ154" s="1665">
        <f>EQ158-EQ142-EQ146-EQ150</f>
        <v>0</v>
      </c>
      <c r="ER154" s="1666">
        <f>EQ154</f>
        <v>0</v>
      </c>
      <c r="ES154" s="1665">
        <f>ES158-ES142-ES146-ES150</f>
        <v>0</v>
      </c>
      <c r="ET154" s="1665">
        <f>ET158-ET142-ET146-ET150</f>
        <v>0</v>
      </c>
      <c r="EU154" s="1665">
        <f>EU158-EU142-EU146-EU150</f>
        <v>0</v>
      </c>
      <c r="EV154" s="1665">
        <f>EV158-EV142-EV146-EV150</f>
        <v>0</v>
      </c>
      <c r="EW154" s="1666">
        <f>EV154</f>
        <v>0</v>
      </c>
      <c r="EX154" s="1665">
        <f>EX158-EX142-EX146-EX150</f>
        <v>0</v>
      </c>
      <c r="EY154" s="1665">
        <f>EY158-EY142-EY146-EY150</f>
        <v>0</v>
      </c>
      <c r="EZ154" s="1665">
        <f>EZ158-EZ142-EZ146-EZ150</f>
        <v>0</v>
      </c>
      <c r="FA154" s="1665">
        <f>FA158-FA142-FA146-FA150</f>
        <v>0</v>
      </c>
      <c r="FB154" s="1666">
        <f>FA154</f>
        <v>0</v>
      </c>
      <c r="FC154" s="1665">
        <f>FC158-FC142-FC146-FC150</f>
        <v>0</v>
      </c>
      <c r="FD154" s="1665">
        <f>FD158-FD142-FD146-FD150</f>
        <v>0</v>
      </c>
      <c r="FE154" s="1665">
        <f>FE158-FE142-FE146-FE150</f>
        <v>0</v>
      </c>
      <c r="FF154" s="1665">
        <f>FF158-FF142-FF146-FF150</f>
        <v>0</v>
      </c>
      <c r="FG154" s="1666">
        <f>FF154</f>
        <v>0</v>
      </c>
      <c r="FH154" s="1665">
        <f>FH158-FH142-FH146-FH150</f>
        <v>0</v>
      </c>
      <c r="FI154" s="1665">
        <f>FI158-FI142-FI146-FI150</f>
        <v>0</v>
      </c>
      <c r="FJ154" s="1665">
        <f>FJ158-FJ142-FJ146-FJ150</f>
        <v>0</v>
      </c>
      <c r="FK154" s="1665">
        <f>FK158-FK142-FK146-FK150</f>
        <v>0</v>
      </c>
      <c r="FL154" s="1666">
        <f>FK154</f>
        <v>0</v>
      </c>
      <c r="FM154" s="2654"/>
      <c r="FN154" s="2654"/>
      <c r="FO154" s="2654"/>
      <c r="FP154" s="2654"/>
      <c r="FQ154" s="2654"/>
    </row>
    <row r="155" spans="1:173" s="32" customFormat="1" ht="12" hidden="1" outlineLevel="1">
      <c r="A155" s="32" t="s">
        <v>665</v>
      </c>
      <c r="BP155" s="51"/>
      <c r="BQ155" s="32">
        <f>BQ154/BQ158</f>
        <v>7.0200644590640154E-2</v>
      </c>
      <c r="BR155" s="32">
        <f>BR154/BR158</f>
        <v>5.5770295717833589E-2</v>
      </c>
      <c r="BS155" s="32">
        <f>BS154/BS158</f>
        <v>4.9764171336813955E-2</v>
      </c>
      <c r="BT155" s="32">
        <f>BT154/BT158</f>
        <v>3.8554757560768059E-2</v>
      </c>
      <c r="BU155" s="51">
        <f>BT155</f>
        <v>3.8554757560768059E-2</v>
      </c>
      <c r="BV155" s="32">
        <f>BV154/BV158</f>
        <v>3.0390087139261224E-2</v>
      </c>
      <c r="BW155" s="32">
        <f>BW154/BW158</f>
        <v>2.7848959875075251E-2</v>
      </c>
      <c r="BX155" s="32">
        <f>BX154/BX158</f>
        <v>2.7417122253960726E-2</v>
      </c>
      <c r="BY155" s="32">
        <f>BY154/BY158</f>
        <v>2.397387722824423E-2</v>
      </c>
      <c r="BZ155" s="51">
        <f>BY155</f>
        <v>2.397387722824423E-2</v>
      </c>
      <c r="CA155" s="32">
        <f>CA154/CA158</f>
        <v>2.2521210287163015E-2</v>
      </c>
      <c r="CB155" s="32">
        <f>CB154/CB158</f>
        <v>2.1253996934913665E-2</v>
      </c>
      <c r="CC155" s="32">
        <f>CC154/CC158</f>
        <v>2.5327638402491644E-2</v>
      </c>
      <c r="CD155" s="32">
        <f>CD154/CD158</f>
        <v>2.9091668310925224E-2</v>
      </c>
      <c r="CE155" s="51">
        <f>CD155</f>
        <v>2.9091668310925224E-2</v>
      </c>
      <c r="CF155" s="32">
        <f>CF154/CF158</f>
        <v>2.9073618372789121E-2</v>
      </c>
      <c r="CG155" s="32">
        <f>CG154/CG158</f>
        <v>3.2668532260189301E-2</v>
      </c>
      <c r="CH155" s="32">
        <f>CH154/CH158</f>
        <v>4.4057405215916286E-2</v>
      </c>
      <c r="CI155" s="32">
        <f>CI154/CI158</f>
        <v>4.1624002433625407E-2</v>
      </c>
      <c r="CJ155" s="51">
        <f>CI155</f>
        <v>4.1624002433625407E-2</v>
      </c>
      <c r="CK155" s="32">
        <f>CK154/CK158</f>
        <v>4.1309394673927635E-2</v>
      </c>
      <c r="CL155" s="32">
        <f>CL154/CL158</f>
        <v>3.9859611413114927E-2</v>
      </c>
      <c r="CM155" s="32">
        <f>CM154/CM158</f>
        <v>4.1877099942191194E-2</v>
      </c>
      <c r="CN155" s="32">
        <f>CN154/CN158</f>
        <v>3.2875523182918129E-2</v>
      </c>
      <c r="CO155" s="51">
        <f>CN155</f>
        <v>3.2875523182918129E-2</v>
      </c>
      <c r="CP155" s="32">
        <f>CP154/CP158</f>
        <v>3.4035511550392916E-2</v>
      </c>
      <c r="CQ155" s="32">
        <f>CQ154/CQ158</f>
        <v>2.8918303684343647E-2</v>
      </c>
      <c r="CR155" s="32">
        <f>CR154/CR158</f>
        <v>4.210833414373237E-2</v>
      </c>
      <c r="CS155" s="32">
        <f>CS154/CS158</f>
        <v>2.7518582951130792E-2</v>
      </c>
      <c r="CT155" s="51">
        <f>CS155</f>
        <v>2.7518582951130792E-2</v>
      </c>
      <c r="CU155" s="32">
        <f>CU154/CU158</f>
        <v>3.1973729692360869E-2</v>
      </c>
      <c r="CV155" s="32">
        <f>CV154/CV158</f>
        <v>3.7198226309738874E-2</v>
      </c>
      <c r="CW155" s="32">
        <f>CW154/CW158</f>
        <v>3.8882939286596918E-2</v>
      </c>
      <c r="CX155" s="32">
        <f>CX154/CX158</f>
        <v>2.9482905144799634E-2</v>
      </c>
      <c r="CY155" s="51">
        <f>CX155</f>
        <v>2.9482905144799634E-2</v>
      </c>
      <c r="CZ155" s="32">
        <f>CZ154/CZ158</f>
        <v>3.3167618906284779E-2</v>
      </c>
      <c r="DA155" s="32">
        <f>DA154/DA158</f>
        <v>3.8879534670136232E-2</v>
      </c>
      <c r="DB155" s="32">
        <f>DB154/DB158</f>
        <v>4.8732943469785572E-2</v>
      </c>
      <c r="DC155" s="32">
        <f>DC154/DC158</f>
        <v>4.893587230467656E-2</v>
      </c>
      <c r="DD155" s="51">
        <f>DC155</f>
        <v>4.893587230467656E-2</v>
      </c>
      <c r="DE155" s="32">
        <f>DE154/DE158</f>
        <v>5.3223185265438788E-2</v>
      </c>
      <c r="DF155" s="32">
        <f>DF154/DF158</f>
        <v>7.0641762452107279E-2</v>
      </c>
      <c r="DG155" s="32">
        <f>DG154/DG158</f>
        <v>7.0391517128874384E-2</v>
      </c>
      <c r="DH155" s="32">
        <f>DH154/DH158</f>
        <v>5.6844234659474038E-2</v>
      </c>
      <c r="DI155" s="51">
        <f>DH155</f>
        <v>5.6844234659474038E-2</v>
      </c>
      <c r="DJ155" s="32">
        <f>DJ154/DJ158</f>
        <v>5.6685106688698902E-2</v>
      </c>
      <c r="DK155" s="32">
        <f>DK154/DK158</f>
        <v>6.2681672505030928E-2</v>
      </c>
      <c r="DL155" s="32">
        <f>DL154/DL158</f>
        <v>7.1434057915354482E-2</v>
      </c>
      <c r="DM155" s="32">
        <f>DM154/DM158</f>
        <v>4.8831775700934582E-2</v>
      </c>
      <c r="DN155" s="51">
        <f>DM155</f>
        <v>4.8831775700934582E-2</v>
      </c>
      <c r="DO155" s="32">
        <f>DO154/DO158</f>
        <v>5.6329033082130539E-2</v>
      </c>
      <c r="DP155" s="32">
        <f>DP154/DP158</f>
        <v>7.2518586148428335E-2</v>
      </c>
      <c r="DQ155" s="32">
        <f>DQ154/DQ158</f>
        <v>8.5642814824567176E-2</v>
      </c>
      <c r="DR155" s="32">
        <f>DR154/DR158</f>
        <v>5.7580138591156092E-2</v>
      </c>
      <c r="DS155" s="51">
        <f>DR155</f>
        <v>5.7580138591156092E-2</v>
      </c>
      <c r="DT155" s="32">
        <f>DT154/DT158</f>
        <v>6.2694644407004646E-2</v>
      </c>
      <c r="DU155" s="32">
        <f>DU154/DU158</f>
        <v>8.2218745268258217E-2</v>
      </c>
      <c r="DV155" s="32">
        <f>DV154/DV158</f>
        <v>7.8860653448757326E-2</v>
      </c>
      <c r="DW155" s="32">
        <f>DW154/DW158</f>
        <v>6.8395910531720172E-2</v>
      </c>
      <c r="DX155" s="51">
        <f>DW155</f>
        <v>6.8395910531720172E-2</v>
      </c>
      <c r="DY155" s="35">
        <f>DY154/DY158</f>
        <v>4.5000000000000005E-2</v>
      </c>
      <c r="DZ155" s="32">
        <f>DZ154/DZ158</f>
        <v>4.4999999999999901E-2</v>
      </c>
      <c r="EA155" s="35">
        <f>EA154/EA158</f>
        <v>4.5000000000000047E-2</v>
      </c>
      <c r="EB155" s="32">
        <f>EB154/EB158</f>
        <v>4.499999999999995E-2</v>
      </c>
      <c r="EC155" s="51">
        <f>EB155</f>
        <v>4.499999999999995E-2</v>
      </c>
      <c r="ED155" s="35">
        <f>ED154/ED158</f>
        <v>4.5000000000000123E-2</v>
      </c>
      <c r="EE155" s="35">
        <f>EE154/EE158</f>
        <v>4.4999999999999978E-2</v>
      </c>
      <c r="EF155" s="35">
        <f>EF154/EF158</f>
        <v>4.4999999999999901E-2</v>
      </c>
      <c r="EG155" s="32">
        <f>EG154/EG158</f>
        <v>4.4999999999999978E-2</v>
      </c>
      <c r="EH155" s="52">
        <f>EG155</f>
        <v>4.4999999999999978E-2</v>
      </c>
      <c r="EI155" s="35">
        <f>EI154/EI158</f>
        <v>4.4999999999999936E-2</v>
      </c>
      <c r="EJ155" s="1667">
        <f>EJ154/EJ158</f>
        <v>4.4999999999999971E-2</v>
      </c>
      <c r="EK155" s="1667">
        <f>EK154/EK158</f>
        <v>4.4999999999999929E-2</v>
      </c>
      <c r="EL155" s="1667">
        <f>EL154/EL158</f>
        <v>4.5000000000000082E-2</v>
      </c>
      <c r="EM155" s="1668">
        <f>EL155</f>
        <v>4.5000000000000082E-2</v>
      </c>
      <c r="EN155" s="1667" t="e">
        <f>EN154/EN158</f>
        <v>#DIV/0!</v>
      </c>
      <c r="EO155" s="1667" t="e">
        <f>EO154/EO158</f>
        <v>#DIV/0!</v>
      </c>
      <c r="EP155" s="1667" t="e">
        <f>EP154/EP158</f>
        <v>#DIV/0!</v>
      </c>
      <c r="EQ155" s="1667" t="e">
        <f>EQ154/EQ158</f>
        <v>#DIV/0!</v>
      </c>
      <c r="ER155" s="1668" t="e">
        <f>EQ155</f>
        <v>#DIV/0!</v>
      </c>
      <c r="ES155" s="1667" t="e">
        <f>ES154/ES158</f>
        <v>#DIV/0!</v>
      </c>
      <c r="ET155" s="1667" t="e">
        <f>ET154/ET158</f>
        <v>#DIV/0!</v>
      </c>
      <c r="EU155" s="1667" t="e">
        <f>EU154/EU158</f>
        <v>#DIV/0!</v>
      </c>
      <c r="EV155" s="1667" t="e">
        <f>EV154/EV158</f>
        <v>#DIV/0!</v>
      </c>
      <c r="EW155" s="1668" t="e">
        <f>EV155</f>
        <v>#DIV/0!</v>
      </c>
      <c r="EX155" s="1667" t="e">
        <f>EX154/EX158</f>
        <v>#DIV/0!</v>
      </c>
      <c r="EY155" s="1667" t="e">
        <f>EY154/EY158</f>
        <v>#DIV/0!</v>
      </c>
      <c r="EZ155" s="1667" t="e">
        <f>EZ154/EZ158</f>
        <v>#DIV/0!</v>
      </c>
      <c r="FA155" s="1667" t="e">
        <f>FA154/FA158</f>
        <v>#DIV/0!</v>
      </c>
      <c r="FB155" s="1668" t="e">
        <f>FA155</f>
        <v>#DIV/0!</v>
      </c>
      <c r="FC155" s="1667" t="e">
        <f>FC154/FC158</f>
        <v>#DIV/0!</v>
      </c>
      <c r="FD155" s="1667" t="e">
        <f>FD154/FD158</f>
        <v>#DIV/0!</v>
      </c>
      <c r="FE155" s="1667" t="e">
        <f>FE154/FE158</f>
        <v>#DIV/0!</v>
      </c>
      <c r="FF155" s="1667" t="e">
        <f>FF154/FF158</f>
        <v>#DIV/0!</v>
      </c>
      <c r="FG155" s="1668" t="e">
        <f>FF155</f>
        <v>#DIV/0!</v>
      </c>
      <c r="FH155" s="1667" t="e">
        <f>FH154/FH158</f>
        <v>#DIV/0!</v>
      </c>
      <c r="FI155" s="1667" t="e">
        <f>FI154/FI158</f>
        <v>#DIV/0!</v>
      </c>
      <c r="FJ155" s="1667" t="e">
        <f>FJ154/FJ158</f>
        <v>#DIV/0!</v>
      </c>
      <c r="FK155" s="1667" t="e">
        <f>FK154/FK158</f>
        <v>#DIV/0!</v>
      </c>
      <c r="FL155" s="1668" t="e">
        <f>FK155</f>
        <v>#DIV/0!</v>
      </c>
      <c r="FM155" s="1671"/>
      <c r="FN155" s="1671"/>
      <c r="FO155" s="1671"/>
      <c r="FP155" s="1671"/>
      <c r="FQ155" s="1671"/>
    </row>
    <row r="156" spans="1:173" s="32" customFormat="1" ht="12" hidden="1" outlineLevel="1">
      <c r="A156" s="32" t="s">
        <v>163</v>
      </c>
      <c r="BP156" s="51"/>
      <c r="BU156" s="51">
        <f>BT156</f>
        <v>0</v>
      </c>
      <c r="BV156" s="32">
        <f>BV154/BQ154-1</f>
        <v>-0.3243034519197483</v>
      </c>
      <c r="BW156" s="32">
        <f>BW154/BR154-1</f>
        <v>-0.33357025107482696</v>
      </c>
      <c r="BX156" s="32">
        <f>BX154/BS154-1</f>
        <v>-0.3201638080536845</v>
      </c>
      <c r="BY156" s="32">
        <f>BY154/BT154-1</f>
        <v>-0.27592271585267336</v>
      </c>
      <c r="BZ156" s="51">
        <f>BY156</f>
        <v>-0.27592271585267336</v>
      </c>
      <c r="CA156" s="32">
        <f>CA154/BV154-1</f>
        <v>-0.33070904605063822</v>
      </c>
      <c r="CB156" s="32">
        <f>CB154/BW154-1</f>
        <v>-0.32183223353933166</v>
      </c>
      <c r="CC156" s="32">
        <f>CC154/BX154-1</f>
        <v>-0.18511369726224414</v>
      </c>
      <c r="CD156" s="32">
        <f>CD154/BY154-1</f>
        <v>0.10070677890107604</v>
      </c>
      <c r="CE156" s="51">
        <f>CD156</f>
        <v>0.10070677890107604</v>
      </c>
      <c r="CF156" s="32">
        <f>CF154/CA154-1</f>
        <v>0.21845092069033911</v>
      </c>
      <c r="CG156" s="32">
        <f>CG154/CB154-1</f>
        <v>0.55936944555785928</v>
      </c>
      <c r="CH156" s="32">
        <f>CH154/CC154-1</f>
        <v>0.83541890375480499</v>
      </c>
      <c r="CI156" s="32">
        <f>CI154/CD154-1</f>
        <v>0.60401507120259645</v>
      </c>
      <c r="CJ156" s="51">
        <f>CI156</f>
        <v>0.60401507120259645</v>
      </c>
      <c r="CK156" s="32">
        <f>CK154/CF154-1</f>
        <v>0.60781916195510766</v>
      </c>
      <c r="CL156" s="32">
        <f>CL154/CG154-1</f>
        <v>0.35368349214362538</v>
      </c>
      <c r="CM156" s="32">
        <f>CM154/CH154-1</f>
        <v>6.5421086330854195E-2</v>
      </c>
      <c r="CN156" s="32">
        <f>CN154/CI154-1</f>
        <v>-6.0692519507280496E-2</v>
      </c>
      <c r="CO156" s="51">
        <f>CN156</f>
        <v>-6.0692519507280496E-2</v>
      </c>
      <c r="CP156" s="32">
        <f>CP154/CK154-1</f>
        <v>-5.529301508292328E-2</v>
      </c>
      <c r="CQ156" s="32">
        <f>CQ154/CL154-1</f>
        <v>-2.6340597077994188E-2</v>
      </c>
      <c r="CR156" s="32">
        <f>CR154/CM154-1</f>
        <v>0.16164251089614923</v>
      </c>
      <c r="CS156" s="32">
        <f>CS154/CN154-1</f>
        <v>-2.9042114131220487E-2</v>
      </c>
      <c r="CT156" s="51">
        <f>CS156</f>
        <v>-2.9042114131220487E-2</v>
      </c>
      <c r="CU156" s="32">
        <f>CU154/CP154-1</f>
        <v>7.6656298562009173E-2</v>
      </c>
      <c r="CV156" s="32">
        <f>CV154/CQ154-1</f>
        <v>0.32069970845481044</v>
      </c>
      <c r="CW156" s="32">
        <f>CW154/CR154-1</f>
        <v>9.0069284064665078E-2</v>
      </c>
      <c r="CX156" s="32">
        <f>CX154/CS154-1</f>
        <v>0.29597701149425282</v>
      </c>
      <c r="CY156" s="51">
        <f>CX156</f>
        <v>0.29597701149425282</v>
      </c>
      <c r="CZ156" s="32">
        <f>CZ154/CU154-1</f>
        <v>0.2081081081081082</v>
      </c>
      <c r="DA156" s="32">
        <f>DA154/CV154-1</f>
        <v>0.12141280353200878</v>
      </c>
      <c r="DB156" s="32">
        <f>DB154/CW154-1</f>
        <v>0.27118644067796605</v>
      </c>
      <c r="DC156" s="32">
        <f>DC154/CX154-1</f>
        <v>0.54988913525498884</v>
      </c>
      <c r="DD156" s="51">
        <f>DC156</f>
        <v>0.54988913525498884</v>
      </c>
      <c r="DE156" s="32">
        <f>DE154/CZ154-1</f>
        <v>0.75838926174496635</v>
      </c>
      <c r="DF156" s="32">
        <f>DF154/DA154-1</f>
        <v>0.74212598425196852</v>
      </c>
      <c r="DG156" s="32">
        <f>DG154/DB154-1</f>
        <v>0.43833333333333324</v>
      </c>
      <c r="DH156" s="32">
        <f>DH154/DC154-1</f>
        <v>0.20600858369098707</v>
      </c>
      <c r="DI156" s="51">
        <f>DH156</f>
        <v>0.20600858369098707</v>
      </c>
      <c r="DJ156" s="32">
        <f>DJ154/DE154-1</f>
        <v>3.8167938931297218E-3</v>
      </c>
      <c r="DK156" s="32">
        <f>DK154/DF154-1</f>
        <v>-4.9717514124293816E-2</v>
      </c>
      <c r="DL156" s="32">
        <f>DL154/DG154-1</f>
        <v>7.7636152954808857E-2</v>
      </c>
      <c r="DM156" s="32">
        <f>DM154/DH154-1</f>
        <v>-8.3036773428232236E-3</v>
      </c>
      <c r="DN156" s="51">
        <f>DM156</f>
        <v>-8.3036773428232236E-3</v>
      </c>
      <c r="DO156" s="32">
        <f>DO154/DJ154-1</f>
        <v>0.11787072243346008</v>
      </c>
      <c r="DP156" s="32">
        <f>DP154/DK154-1</f>
        <v>0.32223543400713428</v>
      </c>
      <c r="DQ156" s="32">
        <f>DQ154/DL154-1</f>
        <v>0.3989247311827957</v>
      </c>
      <c r="DR156" s="32">
        <f>DR154/DM154-1</f>
        <v>0.38157894736842102</v>
      </c>
      <c r="DS156" s="51">
        <f>DR156</f>
        <v>0.38157894736842102</v>
      </c>
      <c r="DT156" s="32">
        <f>DT154/DO154-1</f>
        <v>0.39229024943310664</v>
      </c>
      <c r="DU156" s="32">
        <f>DU154/DP154-1</f>
        <v>0.46492805755395694</v>
      </c>
      <c r="DV156" s="32">
        <f>DV154/DQ154-1</f>
        <v>8.5318985395849367E-2</v>
      </c>
      <c r="DW156" s="32">
        <f>DW154/DR154-1</f>
        <v>0.32640692640692648</v>
      </c>
      <c r="DX156" s="51">
        <f>DW156</f>
        <v>0.32640692640692648</v>
      </c>
      <c r="DY156" s="35">
        <f>DY154/DT154-1</f>
        <v>-0.26339983713355042</v>
      </c>
      <c r="DZ156" s="32">
        <f>DZ154/DU154-1</f>
        <v>-0.46204419889502879</v>
      </c>
      <c r="EA156" s="35">
        <f>EA154/DV154-1</f>
        <v>-0.37815864022662826</v>
      </c>
      <c r="EB156" s="32">
        <f>EB154/DW154-1</f>
        <v>-0.26102480417754648</v>
      </c>
      <c r="EC156" s="51">
        <f>EB156</f>
        <v>-0.26102480417754648</v>
      </c>
      <c r="ED156" s="35">
        <f>ED154/DY154-1</f>
        <v>0.12123774936570619</v>
      </c>
      <c r="EE156" s="35">
        <f>EE154/DZ154-1</f>
        <v>9.0839067474583368E-2</v>
      </c>
      <c r="EF156" s="35">
        <f>EF154/EA154-1</f>
        <v>3.5157851578512478E-2</v>
      </c>
      <c r="EG156" s="32">
        <f>EG154/EB154-1</f>
        <v>6.3598060259169031E-3</v>
      </c>
      <c r="EH156" s="52">
        <f>EG156</f>
        <v>6.3598060259169031E-3</v>
      </c>
      <c r="EI156" s="35">
        <f>EI154/ED154-1</f>
        <v>8.2301417187850445E-2</v>
      </c>
      <c r="EJ156" s="1667">
        <f>EJ154/EE154-1</f>
        <v>0.17858314480125381</v>
      </c>
      <c r="EK156" s="1667">
        <f>EK154/EF154-1</f>
        <v>0.28301119281260245</v>
      </c>
      <c r="EL156" s="1667">
        <f>EL154/EG154-1</f>
        <v>-0.12229587543532772</v>
      </c>
      <c r="EM156" s="1668">
        <f>EL156</f>
        <v>-0.12229587543532772</v>
      </c>
      <c r="EN156" s="1667">
        <f>EN154/EI154-1</f>
        <v>-1</v>
      </c>
      <c r="EO156" s="1667">
        <f>EO154/EJ154-1</f>
        <v>-1</v>
      </c>
      <c r="EP156" s="1667">
        <f>EP154/EK154-1</f>
        <v>-1</v>
      </c>
      <c r="EQ156" s="1667">
        <f>EQ154/EL154-1</f>
        <v>-1</v>
      </c>
      <c r="ER156" s="1668">
        <f>EQ156</f>
        <v>-1</v>
      </c>
      <c r="ES156" s="1667" t="e">
        <f>ES154/EN154-1</f>
        <v>#DIV/0!</v>
      </c>
      <c r="ET156" s="1667" t="e">
        <f>ET154/EO154-1</f>
        <v>#DIV/0!</v>
      </c>
      <c r="EU156" s="1667" t="e">
        <f>EU154/EP154-1</f>
        <v>#DIV/0!</v>
      </c>
      <c r="EV156" s="1667" t="e">
        <f>EV154/EQ154-1</f>
        <v>#DIV/0!</v>
      </c>
      <c r="EW156" s="1668" t="e">
        <f>EV156</f>
        <v>#DIV/0!</v>
      </c>
      <c r="EX156" s="1667" t="e">
        <f>EX154/ES154-1</f>
        <v>#DIV/0!</v>
      </c>
      <c r="EY156" s="1667" t="e">
        <f>EY154/ET154-1</f>
        <v>#DIV/0!</v>
      </c>
      <c r="EZ156" s="1667" t="e">
        <f>EZ154/EU154-1</f>
        <v>#DIV/0!</v>
      </c>
      <c r="FA156" s="1667" t="e">
        <f>FA154/EV154-1</f>
        <v>#DIV/0!</v>
      </c>
      <c r="FB156" s="1668" t="e">
        <f>FA156</f>
        <v>#DIV/0!</v>
      </c>
      <c r="FC156" s="1667" t="e">
        <f>FC154/EX154-1</f>
        <v>#DIV/0!</v>
      </c>
      <c r="FD156" s="1667" t="e">
        <f>FD154/EY154-1</f>
        <v>#DIV/0!</v>
      </c>
      <c r="FE156" s="1667" t="e">
        <f>FE154/EZ154-1</f>
        <v>#DIV/0!</v>
      </c>
      <c r="FF156" s="1667" t="e">
        <f>FF154/FA154-1</f>
        <v>#DIV/0!</v>
      </c>
      <c r="FG156" s="1668" t="e">
        <f>FF156</f>
        <v>#DIV/0!</v>
      </c>
      <c r="FH156" s="1667" t="e">
        <f>FH154/FC154-1</f>
        <v>#DIV/0!</v>
      </c>
      <c r="FI156" s="1667" t="e">
        <f>FI154/FD154-1</f>
        <v>#DIV/0!</v>
      </c>
      <c r="FJ156" s="1667" t="e">
        <f>FJ154/FE154-1</f>
        <v>#DIV/0!</v>
      </c>
      <c r="FK156" s="1667" t="e">
        <f>FK154/FF154-1</f>
        <v>#DIV/0!</v>
      </c>
      <c r="FL156" s="1668" t="e">
        <f>FK156</f>
        <v>#DIV/0!</v>
      </c>
      <c r="FM156" s="1671"/>
      <c r="FN156" s="1671"/>
      <c r="FO156" s="1671"/>
      <c r="FP156" s="1671"/>
      <c r="FQ156" s="1671"/>
    </row>
    <row r="157" spans="1:173" s="31" customFormat="1" ht="12" hidden="1" outlineLevel="1">
      <c r="BP157" s="56"/>
      <c r="BU157" s="57"/>
      <c r="BZ157" s="57"/>
      <c r="CE157" s="57"/>
      <c r="CJ157" s="57"/>
      <c r="CO157" s="57"/>
      <c r="CT157" s="57"/>
      <c r="CY157" s="57"/>
      <c r="DD157" s="57"/>
      <c r="DI157" s="57"/>
      <c r="DJ157" s="208"/>
      <c r="DK157" s="208"/>
      <c r="DL157" s="208"/>
      <c r="DN157" s="57"/>
      <c r="DO157" s="154"/>
      <c r="DP157" s="208"/>
      <c r="DQ157" s="208"/>
      <c r="DS157" s="57"/>
      <c r="DT157" s="154"/>
      <c r="DU157" s="154"/>
      <c r="DV157" s="154"/>
      <c r="DX157" s="57"/>
      <c r="DY157" s="38"/>
      <c r="DZ157" s="154"/>
      <c r="EA157" s="38"/>
      <c r="EC157" s="57"/>
      <c r="ED157" s="38"/>
      <c r="EE157" s="38"/>
      <c r="EF157" s="38"/>
      <c r="EH157" s="58"/>
      <c r="EI157" s="38"/>
      <c r="EJ157" s="1584"/>
      <c r="EK157" s="1584"/>
      <c r="EL157" s="1584"/>
      <c r="EM157" s="1640"/>
      <c r="EN157" s="1584"/>
      <c r="EO157" s="1584"/>
      <c r="EP157" s="1584"/>
      <c r="EQ157" s="1584"/>
      <c r="ER157" s="1640"/>
      <c r="ES157" s="1584"/>
      <c r="ET157" s="1584"/>
      <c r="EU157" s="1584"/>
      <c r="EV157" s="1584"/>
      <c r="EW157" s="1640"/>
      <c r="EX157" s="1584"/>
      <c r="EY157" s="1584"/>
      <c r="EZ157" s="1584"/>
      <c r="FA157" s="1584"/>
      <c r="FB157" s="1640"/>
      <c r="FC157" s="1584"/>
      <c r="FD157" s="1584"/>
      <c r="FE157" s="1584"/>
      <c r="FF157" s="1584"/>
      <c r="FG157" s="1640"/>
      <c r="FH157" s="1584"/>
      <c r="FI157" s="1584"/>
      <c r="FJ157" s="1584"/>
      <c r="FK157" s="1584"/>
      <c r="FL157" s="1640"/>
      <c r="FM157" s="1638"/>
      <c r="FN157" s="1638"/>
      <c r="FO157" s="1638"/>
      <c r="FP157" s="1638"/>
      <c r="FQ157" s="1638"/>
    </row>
    <row r="158" spans="1:173" s="61" customFormat="1" ht="12" hidden="1" outlineLevel="1">
      <c r="A158" s="59" t="s">
        <v>705</v>
      </c>
      <c r="B158" s="60"/>
      <c r="C158" s="60"/>
      <c r="D158" s="60"/>
      <c r="E158" s="60"/>
      <c r="F158" s="60"/>
      <c r="G158" s="60"/>
      <c r="H158" s="60"/>
      <c r="I158" s="60"/>
      <c r="J158" s="60"/>
      <c r="K158" s="60"/>
      <c r="L158" s="60"/>
      <c r="M158" s="60"/>
      <c r="N158" s="60"/>
      <c r="O158" s="60"/>
      <c r="P158" s="60"/>
      <c r="Q158" s="60"/>
      <c r="R158" s="60"/>
      <c r="S158" s="60"/>
      <c r="T158" s="60"/>
      <c r="U158" s="60"/>
      <c r="V158" s="60"/>
      <c r="W158" s="60"/>
      <c r="X158" s="60"/>
      <c r="Y158" s="60"/>
      <c r="Z158" s="60"/>
      <c r="AA158" s="60"/>
      <c r="AB158" s="60"/>
      <c r="AC158" s="60"/>
      <c r="AD158" s="60"/>
      <c r="AE158" s="60"/>
      <c r="AF158" s="60"/>
      <c r="AG158" s="60"/>
      <c r="AH158" s="60"/>
      <c r="AI158" s="60"/>
      <c r="AJ158" s="60"/>
      <c r="AK158" s="60"/>
      <c r="AL158" s="60"/>
      <c r="AM158" s="60"/>
      <c r="AN158" s="60"/>
      <c r="AO158" s="60"/>
      <c r="AP158" s="60"/>
      <c r="AQ158" s="60"/>
      <c r="AR158" s="60"/>
      <c r="AS158" s="60"/>
      <c r="AT158" s="60"/>
      <c r="AU158" s="60"/>
      <c r="AV158" s="60"/>
      <c r="AW158" s="60"/>
      <c r="AX158" s="60"/>
      <c r="AY158" s="60"/>
      <c r="AZ158" s="60"/>
      <c r="BA158" s="60"/>
      <c r="BB158" s="60"/>
      <c r="BC158" s="60"/>
      <c r="BD158" s="60"/>
      <c r="BE158" s="60"/>
      <c r="BF158" s="60"/>
      <c r="BG158" s="60"/>
      <c r="BH158" s="60"/>
      <c r="BI158" s="60"/>
      <c r="BJ158" s="60"/>
      <c r="BK158" s="60"/>
      <c r="BL158" s="60"/>
      <c r="BM158" s="60"/>
      <c r="BN158" s="60"/>
      <c r="BO158" s="60"/>
      <c r="BQ158" s="60">
        <f>SUM(BQ142,BQ146,BQ150,BQ154)</f>
        <v>5848.9043094199988</v>
      </c>
      <c r="BR158" s="60">
        <f>SUM(BR142,BR146,BR150,BR154)</f>
        <v>6621.0434520700046</v>
      </c>
      <c r="BS158" s="60">
        <f>SUM(BS142,BS146,BS150,BS154)</f>
        <v>6914.182452</v>
      </c>
      <c r="BT158" s="60">
        <f>SUM(BT142,BT146,BT150,BT154)</f>
        <v>7741.5528754757288</v>
      </c>
      <c r="BU158" s="61">
        <f>BT158</f>
        <v>7741.5528754757288</v>
      </c>
      <c r="BV158" s="60">
        <f>SUM(BV142,BV146,BV150,BV154)</f>
        <v>9129.2556921787345</v>
      </c>
      <c r="BW158" s="60">
        <f>SUM(BW142,BW146,BW150,BW154)</f>
        <v>8836.3880839302728</v>
      </c>
      <c r="BX158" s="60">
        <f>SUM(BX142,BX146,BX150,BX154)</f>
        <v>8531.7873964604605</v>
      </c>
      <c r="BY158" s="60">
        <f>SUM(BY142,BY146,BY150,BY154)</f>
        <v>9014.7296521990011</v>
      </c>
      <c r="BZ158" s="61">
        <f>BY158</f>
        <v>9014.7296521990011</v>
      </c>
      <c r="CA158" s="60">
        <f>SUM(CA142,CA146,CA150,CA154)</f>
        <v>8244.9978315684384</v>
      </c>
      <c r="CB158" s="1147">
        <v>7852</v>
      </c>
      <c r="CC158" s="60">
        <f>SUM(CC164,CC169,CC173)</f>
        <v>7526</v>
      </c>
      <c r="CD158" s="60">
        <f>SUM(CD164,CD169,CD173)</f>
        <v>8177</v>
      </c>
      <c r="CE158" s="61">
        <f>CD158</f>
        <v>8177</v>
      </c>
      <c r="CF158" s="60">
        <f>SUM(CF164,CF169,CF173)</f>
        <v>7782</v>
      </c>
      <c r="CG158" s="60">
        <f>SUM(CG164,CG169,CG173)</f>
        <v>7966</v>
      </c>
      <c r="CH158" s="60">
        <f>SUM(CH164,CH169,CH173)</f>
        <v>7941</v>
      </c>
      <c r="CI158" s="60">
        <f>SUM(CI164,CI169,CI173)</f>
        <v>9167</v>
      </c>
      <c r="CJ158" s="61">
        <f>CI158</f>
        <v>9167</v>
      </c>
      <c r="CK158" s="60">
        <f>SUM(CK164,CK169,CK173)</f>
        <v>8806</v>
      </c>
      <c r="CL158" s="60">
        <f>SUM(CL164,CL169,CL173)</f>
        <v>8838</v>
      </c>
      <c r="CM158" s="60">
        <f>SUM(CM164,CM169,CM173)</f>
        <v>8901</v>
      </c>
      <c r="CN158" s="60">
        <f>SUM(CN164,CN169,CN173)</f>
        <v>10902</v>
      </c>
      <c r="CO158" s="61">
        <f>CN158</f>
        <v>10902</v>
      </c>
      <c r="CP158" s="60">
        <f>SUM(CP164,CP169,CP173)</f>
        <v>10097</v>
      </c>
      <c r="CQ158" s="60">
        <f>SUM(CQ164,CQ169,CQ173)</f>
        <v>11861</v>
      </c>
      <c r="CR158" s="60">
        <f>SUM(CR164,CR169,CR173)</f>
        <v>10283</v>
      </c>
      <c r="CS158" s="60">
        <f>SUM(CS164,CS169,CS173)</f>
        <v>12646</v>
      </c>
      <c r="CT158" s="61">
        <f>CS158</f>
        <v>12646</v>
      </c>
      <c r="CU158" s="60">
        <f>SUM(CU164,CU169,CU173)</f>
        <v>11572</v>
      </c>
      <c r="CV158" s="60">
        <f>SUM(CV164,CV169,CV173)</f>
        <v>12178</v>
      </c>
      <c r="CW158" s="60">
        <f>SUM(CW164,CW169,CW173)</f>
        <v>12139</v>
      </c>
      <c r="CX158" s="60">
        <f>SUM(CX164,CX169,CX173)</f>
        <v>15297</v>
      </c>
      <c r="CY158" s="61">
        <f>CX158</f>
        <v>15297</v>
      </c>
      <c r="CZ158" s="60">
        <f>SUM(CZ164,CZ169,CZ173)</f>
        <v>13477</v>
      </c>
      <c r="DA158" s="60">
        <f>SUM(DA164,DA169,DA173)</f>
        <v>13066</v>
      </c>
      <c r="DB158" s="60">
        <f>SUM(DB164,DB169,DB173)</f>
        <v>12312</v>
      </c>
      <c r="DC158" s="60">
        <f>SUM(DC164,DC169,DC173)</f>
        <v>14284</v>
      </c>
      <c r="DD158" s="61">
        <f>DC158</f>
        <v>14284</v>
      </c>
      <c r="DE158" s="60">
        <f>SUM(DE164,DE169,DE173)</f>
        <v>14768</v>
      </c>
      <c r="DF158" s="60">
        <f>SUM(DF164,DF169,DF173)</f>
        <v>12528</v>
      </c>
      <c r="DG158" s="60">
        <f>SUM(DG164,DG169,DG173)</f>
        <v>12260</v>
      </c>
      <c r="DH158" s="1147">
        <v>14830</v>
      </c>
      <c r="DI158" s="61">
        <f>DH158</f>
        <v>14830</v>
      </c>
      <c r="DJ158" s="1147">
        <v>13919</v>
      </c>
      <c r="DK158" s="1147">
        <v>13417</v>
      </c>
      <c r="DL158" s="60">
        <f>SUM(DL164,DL169,DL173)</f>
        <v>13019</v>
      </c>
      <c r="DM158" s="60">
        <f>SUM(DM164,DM169,DM173)</f>
        <v>17120</v>
      </c>
      <c r="DN158" s="61">
        <f>DM158</f>
        <v>17120</v>
      </c>
      <c r="DO158" s="60">
        <f>SUM(DO164,DO169,DO173)</f>
        <v>15658</v>
      </c>
      <c r="DP158" s="60">
        <f>SUM(DP164,DP169,DP173)</f>
        <v>15334</v>
      </c>
      <c r="DQ158" s="60">
        <f>SUM(DQ164,DQ169,DQ173)</f>
        <v>15191</v>
      </c>
      <c r="DR158" s="60">
        <f>DR154+DR150+DR146+DR142</f>
        <v>20059</v>
      </c>
      <c r="DS158" s="61">
        <f>DR158</f>
        <v>20059</v>
      </c>
      <c r="DT158" s="60">
        <f>SUM(DT164,DT169,DT173)</f>
        <v>19587</v>
      </c>
      <c r="DU158" s="1147">
        <v>19813</v>
      </c>
      <c r="DV158" s="62">
        <f>DV26</f>
        <v>17905</v>
      </c>
      <c r="DW158" s="62">
        <f>DW26</f>
        <v>22399</v>
      </c>
      <c r="DX158" s="211">
        <f>DW158</f>
        <v>22399</v>
      </c>
      <c r="DY158" s="62">
        <f>DY26</f>
        <v>20101</v>
      </c>
      <c r="DZ158" s="62">
        <f>DZ26</f>
        <v>19474</v>
      </c>
      <c r="EA158" s="62">
        <f>EA26</f>
        <v>19512</v>
      </c>
      <c r="EB158" s="62">
        <f>EB26</f>
        <v>25158</v>
      </c>
      <c r="EC158" s="211">
        <f>EB158</f>
        <v>25158</v>
      </c>
      <c r="ED158" s="62">
        <f>ED26</f>
        <v>22538</v>
      </c>
      <c r="EE158" s="62">
        <f>EE26</f>
        <v>21243</v>
      </c>
      <c r="EF158" s="62">
        <f>EF26</f>
        <v>20198</v>
      </c>
      <c r="EG158" s="62">
        <f>EG26</f>
        <v>25318</v>
      </c>
      <c r="EH158" s="1630">
        <f>EG158</f>
        <v>25318</v>
      </c>
      <c r="EI158" s="62">
        <f>EI26</f>
        <v>24392.909340579874</v>
      </c>
      <c r="EJ158" s="1669">
        <f>EJ26</f>
        <v>25036.641745013039</v>
      </c>
      <c r="EK158" s="1669">
        <f>EK26</f>
        <v>25914.26007242893</v>
      </c>
      <c r="EL158" s="1669">
        <f>EL26</f>
        <v>22221.713025728321</v>
      </c>
      <c r="EM158" s="1670">
        <f>EL158</f>
        <v>22221.713025728321</v>
      </c>
      <c r="EN158" s="1669">
        <f>EN26</f>
        <v>0</v>
      </c>
      <c r="EO158" s="1669">
        <f>EO26</f>
        <v>0</v>
      </c>
      <c r="EP158" s="1669">
        <f>EP26</f>
        <v>0</v>
      </c>
      <c r="EQ158" s="1669">
        <f>EQ26</f>
        <v>0</v>
      </c>
      <c r="ER158" s="1670">
        <f>EQ158</f>
        <v>0</v>
      </c>
      <c r="ES158" s="1669">
        <f>ES26</f>
        <v>0</v>
      </c>
      <c r="ET158" s="1669">
        <f>ET26</f>
        <v>0</v>
      </c>
      <c r="EU158" s="1669">
        <f>EU26</f>
        <v>0</v>
      </c>
      <c r="EV158" s="1669">
        <f>EV26</f>
        <v>0</v>
      </c>
      <c r="EW158" s="1670">
        <f>EV158</f>
        <v>0</v>
      </c>
      <c r="EX158" s="1669">
        <f>EX26</f>
        <v>0</v>
      </c>
      <c r="EY158" s="1669">
        <f>EY26</f>
        <v>0</v>
      </c>
      <c r="EZ158" s="1669">
        <f>EZ26</f>
        <v>0</v>
      </c>
      <c r="FA158" s="1669">
        <f>FA26</f>
        <v>0</v>
      </c>
      <c r="FB158" s="1670">
        <f>FA158</f>
        <v>0</v>
      </c>
      <c r="FC158" s="1669">
        <f>FC26</f>
        <v>0</v>
      </c>
      <c r="FD158" s="1669">
        <f>FD26</f>
        <v>0</v>
      </c>
      <c r="FE158" s="1669">
        <f>FE26</f>
        <v>0</v>
      </c>
      <c r="FF158" s="1669">
        <f>FF26</f>
        <v>0</v>
      </c>
      <c r="FG158" s="1670">
        <f>FF158</f>
        <v>0</v>
      </c>
      <c r="FH158" s="1669">
        <f>FH26</f>
        <v>0</v>
      </c>
      <c r="FI158" s="1669">
        <f>FI26</f>
        <v>0</v>
      </c>
      <c r="FJ158" s="1669">
        <f>FJ26</f>
        <v>0</v>
      </c>
      <c r="FK158" s="1669">
        <f>FK26</f>
        <v>0</v>
      </c>
      <c r="FL158" s="1670">
        <f>FK158</f>
        <v>0</v>
      </c>
      <c r="FM158" s="2655"/>
      <c r="FN158" s="2655"/>
      <c r="FO158" s="2655"/>
      <c r="FP158" s="2655"/>
      <c r="FQ158" s="2655"/>
    </row>
    <row r="159" spans="1:173" s="37" customFormat="1" ht="12" hidden="1" outlineLevel="1">
      <c r="A159" s="37" t="s">
        <v>163</v>
      </c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33"/>
      <c r="AI159" s="33"/>
      <c r="AJ159" s="33"/>
      <c r="AK159" s="33"/>
      <c r="AL159" s="33"/>
      <c r="AM159" s="33"/>
      <c r="AN159" s="33"/>
      <c r="AO159" s="33"/>
      <c r="AP159" s="33"/>
      <c r="AQ159" s="33"/>
      <c r="AR159" s="33"/>
      <c r="AS159" s="33"/>
      <c r="AT159" s="33"/>
      <c r="AU159" s="33"/>
      <c r="AV159" s="33"/>
      <c r="AW159" s="33"/>
      <c r="AX159" s="33"/>
      <c r="AY159" s="33"/>
      <c r="AZ159" s="33"/>
      <c r="BA159" s="33"/>
      <c r="BB159" s="33"/>
      <c r="BC159" s="33"/>
      <c r="BD159" s="33"/>
      <c r="BE159" s="33"/>
      <c r="BF159" s="33"/>
      <c r="BG159" s="33"/>
      <c r="BH159" s="33"/>
      <c r="BI159" s="33"/>
      <c r="BJ159" s="33"/>
      <c r="BK159" s="33"/>
      <c r="BL159" s="33"/>
      <c r="BM159" s="33"/>
      <c r="BN159" s="33"/>
      <c r="BO159" s="33"/>
      <c r="BQ159" s="33"/>
      <c r="BR159" s="33"/>
      <c r="BS159" s="33"/>
      <c r="BT159" s="33"/>
      <c r="BU159" s="37">
        <f>BT159</f>
        <v>0</v>
      </c>
      <c r="BV159" s="33">
        <f>BV158/BQ158-1</f>
        <v>0.56084887172380982</v>
      </c>
      <c r="BW159" s="33">
        <f>BW158/BR158-1</f>
        <v>0.33459146551404406</v>
      </c>
      <c r="BX159" s="33">
        <f>BX158/BS158-1</f>
        <v>0.23395462235633535</v>
      </c>
      <c r="BY159" s="33">
        <f>BY158/BT158-1</f>
        <v>0.16446012798756904</v>
      </c>
      <c r="BZ159" s="37">
        <f>BY159</f>
        <v>0.16446012798756904</v>
      </c>
      <c r="CA159" s="33">
        <f>CA158/BV158-1</f>
        <v>-9.6859797822057114E-2</v>
      </c>
      <c r="CB159" s="33">
        <f>CB158/BW158-1</f>
        <v>-0.11140163543976378</v>
      </c>
      <c r="CC159" s="33">
        <f>CC158/BX158-1</f>
        <v>-0.11788706747166799</v>
      </c>
      <c r="CD159" s="33">
        <f>CD158/BY158-1</f>
        <v>-9.2928982290073514E-2</v>
      </c>
      <c r="CE159" s="37">
        <f>CD159</f>
        <v>-9.2928982290073514E-2</v>
      </c>
      <c r="CF159" s="33">
        <f>CF158/CA158-1</f>
        <v>-5.6154997372553916E-2</v>
      </c>
      <c r="CG159" s="33">
        <f>CG158/CB158-1</f>
        <v>1.4518593988792627E-2</v>
      </c>
      <c r="CH159" s="33">
        <f>CH158/CC158-1</f>
        <v>5.514217379750197E-2</v>
      </c>
      <c r="CI159" s="33">
        <f>CI158/CD158-1</f>
        <v>0.12107129754188573</v>
      </c>
      <c r="CJ159" s="37">
        <f>CI159</f>
        <v>0.12107129754188573</v>
      </c>
      <c r="CK159" s="33">
        <f>CK158/CF158-1</f>
        <v>0.13158571061423796</v>
      </c>
      <c r="CL159" s="33">
        <f>CL158/CG158-1</f>
        <v>0.10946522721566665</v>
      </c>
      <c r="CM159" s="33">
        <f>CM158/CH158-1</f>
        <v>0.1208915753683415</v>
      </c>
      <c r="CN159" s="33">
        <f>CN158/CI158-1</f>
        <v>0.18926584487836795</v>
      </c>
      <c r="CO159" s="37">
        <f>CN159</f>
        <v>0.18926584487836795</v>
      </c>
      <c r="CP159" s="33">
        <f>CP158/CK158-1</f>
        <v>0.14660458778105845</v>
      </c>
      <c r="CQ159" s="33">
        <f>CQ158/CL158-1</f>
        <v>0.3420457116994795</v>
      </c>
      <c r="CR159" s="33">
        <f>CR158/CM158-1</f>
        <v>0.15526345354454563</v>
      </c>
      <c r="CS159" s="33">
        <f>CS158/CN158-1</f>
        <v>0.1599706475875986</v>
      </c>
      <c r="CT159" s="37">
        <f>CS159</f>
        <v>0.1599706475875986</v>
      </c>
      <c r="CU159" s="33">
        <f>CU158/CP158-1</f>
        <v>0.14608299494899479</v>
      </c>
      <c r="CV159" s="33">
        <f>CV158/CQ158-1</f>
        <v>2.6726245679116412E-2</v>
      </c>
      <c r="CW159" s="33">
        <f>CW158/CR158-1</f>
        <v>0.18049207429738412</v>
      </c>
      <c r="CX159" s="33">
        <f>CX158/CS158-1</f>
        <v>0.20963150403289577</v>
      </c>
      <c r="CY159" s="37">
        <f>CX159</f>
        <v>0.20963150403289577</v>
      </c>
      <c r="CZ159" s="33">
        <f>CZ158/CU158-1</f>
        <v>0.16462150017283106</v>
      </c>
      <c r="DA159" s="33">
        <f>DA158/CV158-1</f>
        <v>7.2918377401872236E-2</v>
      </c>
      <c r="DB159" s="33">
        <f>DB158/CW158-1</f>
        <v>1.4251585797841582E-2</v>
      </c>
      <c r="DC159" s="33">
        <f>DC158/CX158-1</f>
        <v>-6.6222135059161968E-2</v>
      </c>
      <c r="DD159" s="37">
        <f>DC159</f>
        <v>-6.6222135059161968E-2</v>
      </c>
      <c r="DE159" s="33">
        <f>DE158/CZ158-1</f>
        <v>9.5792832232692637E-2</v>
      </c>
      <c r="DF159" s="33">
        <f>DF158/DA158-1</f>
        <v>-4.1175570182152121E-2</v>
      </c>
      <c r="DG159" s="33">
        <f>DG158/DB158-1</f>
        <v>-4.2235217673813885E-3</v>
      </c>
      <c r="DH159" s="33">
        <f>DH158/DC158-1</f>
        <v>3.822458695043407E-2</v>
      </c>
      <c r="DI159" s="37">
        <f>DH159</f>
        <v>3.822458695043407E-2</v>
      </c>
      <c r="DJ159" s="33">
        <f>DJ158/DE158-1</f>
        <v>-5.7489165763813688E-2</v>
      </c>
      <c r="DK159" s="33">
        <f>DK158/DF158-1</f>
        <v>7.0961047254150644E-2</v>
      </c>
      <c r="DL159" s="33">
        <f>DL158/DG158-1</f>
        <v>6.1908646003262735E-2</v>
      </c>
      <c r="DM159" s="33">
        <f>DM158/DH158-1</f>
        <v>0.15441672285906938</v>
      </c>
      <c r="DN159" s="37">
        <f>DM159</f>
        <v>0.15441672285906938</v>
      </c>
      <c r="DO159" s="33">
        <f>DO158/DJ158-1</f>
        <v>0.12493713628852654</v>
      </c>
      <c r="DP159" s="33">
        <f>DP158/DK158-1</f>
        <v>0.14287843780278742</v>
      </c>
      <c r="DQ159" s="33">
        <f>DQ158/DL158-1</f>
        <v>0.16683309009908598</v>
      </c>
      <c r="DR159" s="33">
        <f>DR158/DM158-1</f>
        <v>0.17167056074766363</v>
      </c>
      <c r="DS159" s="37">
        <f>DR159</f>
        <v>0.17167056074766363</v>
      </c>
      <c r="DT159" s="33">
        <f>DT158/DO158-1</f>
        <v>0.2509260441946608</v>
      </c>
      <c r="DU159" s="33">
        <f>DU158/DP158-1</f>
        <v>0.29209599582626833</v>
      </c>
      <c r="DV159" s="33">
        <f>DV158/DQ158-1</f>
        <v>0.17865841616746758</v>
      </c>
      <c r="DW159" s="33">
        <f>DW158/DR158-1</f>
        <v>0.1166558651976668</v>
      </c>
      <c r="DX159" s="1619">
        <f>DW159</f>
        <v>0.1166558651976668</v>
      </c>
      <c r="DY159" s="34">
        <f>DY158/DT158-1</f>
        <v>2.6241895134528015E-2</v>
      </c>
      <c r="DZ159" s="33">
        <f>DZ158/DU158-1</f>
        <v>-1.7109978297077721E-2</v>
      </c>
      <c r="EA159" s="34">
        <f>EA158/DV158-1</f>
        <v>8.9751466070929986E-2</v>
      </c>
      <c r="EB159" s="33">
        <f>EB158/DW158-1</f>
        <v>0.12317514174739941</v>
      </c>
      <c r="EC159" s="1619">
        <f>EB159</f>
        <v>0.12317514174739941</v>
      </c>
      <c r="ED159" s="34">
        <f>ED158/DY158-1</f>
        <v>0.12123774936570331</v>
      </c>
      <c r="EE159" s="34">
        <f>EE158/DZ158-1</f>
        <v>9.0839067474581592E-2</v>
      </c>
      <c r="EF159" s="34">
        <f>EF158/EA158-1</f>
        <v>3.5157851578515809E-2</v>
      </c>
      <c r="EG159" s="33">
        <f>EG158/EB158-1</f>
        <v>6.359806025916237E-3</v>
      </c>
      <c r="EH159" s="1631">
        <f>EG159</f>
        <v>6.359806025916237E-3</v>
      </c>
      <c r="EI159" s="34">
        <f>EI158/ED158-1</f>
        <v>8.2301417187854886E-2</v>
      </c>
      <c r="EJ159" s="1671">
        <f>EJ158/EE158-1</f>
        <v>0.17858314480125403</v>
      </c>
      <c r="EK159" s="1671">
        <f>EK158/EF158-1</f>
        <v>0.28301119281260179</v>
      </c>
      <c r="EL159" s="1671">
        <f>EL158/EG158-1</f>
        <v>-0.12229587543532983</v>
      </c>
      <c r="EM159" s="1672">
        <f>EL159</f>
        <v>-0.12229587543532983</v>
      </c>
      <c r="EN159" s="1671">
        <f>EN158/EI158-1</f>
        <v>-1</v>
      </c>
      <c r="EO159" s="1671">
        <f>EO158/EJ158-1</f>
        <v>-1</v>
      </c>
      <c r="EP159" s="1671">
        <f>EP158/EK158-1</f>
        <v>-1</v>
      </c>
      <c r="EQ159" s="1671">
        <f>EQ158/EL158-1</f>
        <v>-1</v>
      </c>
      <c r="ER159" s="1672">
        <f>EQ159</f>
        <v>-1</v>
      </c>
      <c r="ES159" s="1671" t="e">
        <f>ES158/EN158-1</f>
        <v>#DIV/0!</v>
      </c>
      <c r="ET159" s="1671" t="e">
        <f>ET158/EO158-1</f>
        <v>#DIV/0!</v>
      </c>
      <c r="EU159" s="1671" t="e">
        <f>EU158/EP158-1</f>
        <v>#DIV/0!</v>
      </c>
      <c r="EV159" s="1671" t="e">
        <f>EV158/EQ158-1</f>
        <v>#DIV/0!</v>
      </c>
      <c r="EW159" s="1672" t="e">
        <f>EV159</f>
        <v>#DIV/0!</v>
      </c>
      <c r="EX159" s="1671" t="e">
        <f>EX158/ES158-1</f>
        <v>#DIV/0!</v>
      </c>
      <c r="EY159" s="1671" t="e">
        <f>EY158/ET158-1</f>
        <v>#DIV/0!</v>
      </c>
      <c r="EZ159" s="1671" t="e">
        <f>EZ158/EU158-1</f>
        <v>#DIV/0!</v>
      </c>
      <c r="FA159" s="1671" t="e">
        <f>FA158/EV158-1</f>
        <v>#DIV/0!</v>
      </c>
      <c r="FB159" s="1672" t="e">
        <f>FA159</f>
        <v>#DIV/0!</v>
      </c>
      <c r="FC159" s="1671" t="e">
        <f>FC158/EX158-1</f>
        <v>#DIV/0!</v>
      </c>
      <c r="FD159" s="1671" t="e">
        <f>FD158/EY158-1</f>
        <v>#DIV/0!</v>
      </c>
      <c r="FE159" s="1671" t="e">
        <f>FE158/EZ158-1</f>
        <v>#DIV/0!</v>
      </c>
      <c r="FF159" s="1671" t="e">
        <f>FF158/FA158-1</f>
        <v>#DIV/0!</v>
      </c>
      <c r="FG159" s="1672" t="e">
        <f>FF159</f>
        <v>#DIV/0!</v>
      </c>
      <c r="FH159" s="1671" t="e">
        <f>FH158/FC158-1</f>
        <v>#DIV/0!</v>
      </c>
      <c r="FI159" s="1671" t="e">
        <f>FI158/FD158-1</f>
        <v>#DIV/0!</v>
      </c>
      <c r="FJ159" s="1671" t="e">
        <f>FJ158/FE158-1</f>
        <v>#DIV/0!</v>
      </c>
      <c r="FK159" s="1671" t="e">
        <f>FK158/FF158-1</f>
        <v>#DIV/0!</v>
      </c>
      <c r="FL159" s="1672" t="e">
        <f>FK159</f>
        <v>#DIV/0!</v>
      </c>
      <c r="FM159" s="2656"/>
      <c r="FN159" s="2656"/>
      <c r="FO159" s="2656"/>
      <c r="FP159" s="2656"/>
      <c r="FQ159" s="2656"/>
    </row>
    <row r="160" spans="1:173" s="63" customFormat="1" ht="12" hidden="1" outlineLevel="1">
      <c r="A160" s="63" t="s">
        <v>667</v>
      </c>
      <c r="B160" s="64"/>
      <c r="C160" s="64"/>
      <c r="D160" s="64"/>
      <c r="E160" s="64"/>
      <c r="F160" s="64"/>
      <c r="G160" s="64"/>
      <c r="H160" s="64"/>
      <c r="I160" s="64"/>
      <c r="J160" s="64"/>
      <c r="K160" s="64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4"/>
      <c r="Z160" s="64"/>
      <c r="AA160" s="64"/>
      <c r="AB160" s="64"/>
      <c r="AC160" s="64"/>
      <c r="AD160" s="64"/>
      <c r="AE160" s="64"/>
      <c r="AF160" s="64"/>
      <c r="AG160" s="64"/>
      <c r="AH160" s="64"/>
      <c r="AI160" s="64"/>
      <c r="AJ160" s="64"/>
      <c r="AK160" s="64"/>
      <c r="AL160" s="64"/>
      <c r="AM160" s="64"/>
      <c r="AN160" s="64"/>
      <c r="AO160" s="64"/>
      <c r="AP160" s="64"/>
      <c r="AQ160" s="64"/>
      <c r="AR160" s="64"/>
      <c r="AS160" s="64"/>
      <c r="AT160" s="64"/>
      <c r="AU160" s="64"/>
      <c r="AV160" s="64"/>
      <c r="AW160" s="64"/>
      <c r="AX160" s="64"/>
      <c r="AY160" s="64"/>
      <c r="AZ160" s="64"/>
      <c r="BA160" s="64"/>
      <c r="BB160" s="64"/>
      <c r="BC160" s="64"/>
      <c r="BD160" s="64"/>
      <c r="BE160" s="64"/>
      <c r="BF160" s="64"/>
      <c r="BG160" s="64"/>
      <c r="BH160" s="64"/>
      <c r="BI160" s="64"/>
      <c r="BJ160" s="64"/>
      <c r="BK160" s="64"/>
      <c r="BL160" s="64"/>
      <c r="BM160" s="64"/>
      <c r="BN160" s="64"/>
      <c r="BO160" s="64"/>
      <c r="BQ160" s="64"/>
      <c r="BR160" s="64">
        <f>BR158/BQ158-1</f>
        <v>0.13201432299147564</v>
      </c>
      <c r="BS160" s="64">
        <f>BS158/BR158-1</f>
        <v>4.427383720587863E-2</v>
      </c>
      <c r="BT160" s="64">
        <f>BT158/BS158-1</f>
        <v>0.1196627987791099</v>
      </c>
      <c r="BU160" s="63">
        <f>BT160</f>
        <v>0.1196627987791099</v>
      </c>
      <c r="BV160" s="64">
        <f>BV158/BT158-1</f>
        <v>0.17925380592556239</v>
      </c>
      <c r="BW160" s="64">
        <f>BW158/BV158-1</f>
        <v>-3.2080118919154521E-2</v>
      </c>
      <c r="BX160" s="64">
        <f>BX158/BW158-1</f>
        <v>-3.4471175844319801E-2</v>
      </c>
      <c r="BY160" s="64">
        <f>BY158/BX158-1</f>
        <v>5.6605050418731206E-2</v>
      </c>
      <c r="BZ160" s="63">
        <f>BY160</f>
        <v>5.6605050418731206E-2</v>
      </c>
      <c r="CA160" s="64">
        <f>CA158/BY158-1</f>
        <v>-8.538601270674806E-2</v>
      </c>
      <c r="CB160" s="64">
        <f>CB158/CA158-1</f>
        <v>-4.7665001203969881E-2</v>
      </c>
      <c r="CC160" s="64">
        <f>CC158/CB158-1</f>
        <v>-4.151808456444217E-2</v>
      </c>
      <c r="CD160" s="64">
        <f>CD158/CC158-1</f>
        <v>8.6500132872707969E-2</v>
      </c>
      <c r="CE160" s="63">
        <f>CD160</f>
        <v>8.6500132872707969E-2</v>
      </c>
      <c r="CF160" s="64">
        <f>CF158/CD158-1</f>
        <v>-4.8306224776813012E-2</v>
      </c>
      <c r="CG160" s="64">
        <f>CG158/CF158-1</f>
        <v>2.3644307375995988E-2</v>
      </c>
      <c r="CH160" s="64">
        <f>CH158/CG158-1</f>
        <v>-3.1383379362289743E-3</v>
      </c>
      <c r="CI160" s="64">
        <f>CI158/CH158-1</f>
        <v>0.15438861604331944</v>
      </c>
      <c r="CJ160" s="63">
        <f>CI160</f>
        <v>0.15438861604331944</v>
      </c>
      <c r="CK160" s="64">
        <f>CK158/CJ158-1</f>
        <v>-3.9380386167775727E-2</v>
      </c>
      <c r="CL160" s="64">
        <f>CL158/CK158-1</f>
        <v>3.6338859868272344E-3</v>
      </c>
      <c r="CM160" s="64">
        <f>CM158/CL158-1</f>
        <v>7.1283095723013723E-3</v>
      </c>
      <c r="CN160" s="64">
        <f>CN158/CM158-1</f>
        <v>0.22480620155038755</v>
      </c>
      <c r="CO160" s="63">
        <f>CN160</f>
        <v>0.22480620155038755</v>
      </c>
      <c r="CP160" s="64">
        <f>CP158/CO158-1</f>
        <v>-7.383966244725737E-2</v>
      </c>
      <c r="CQ160" s="64">
        <f>CQ158/CP158-1</f>
        <v>0.17470535802713671</v>
      </c>
      <c r="CR160" s="64">
        <f>CR158/CQ158-1</f>
        <v>-0.1330410589326364</v>
      </c>
      <c r="CS160" s="64">
        <f>CS158/CR158-1</f>
        <v>0.22979675192064564</v>
      </c>
      <c r="CT160" s="63">
        <f>CS160</f>
        <v>0.22979675192064564</v>
      </c>
      <c r="CU160" s="64">
        <f>CU158/CT158-1</f>
        <v>-8.4928040487110557E-2</v>
      </c>
      <c r="CV160" s="64">
        <f>CV158/CU158-1</f>
        <v>5.2367784306947884E-2</v>
      </c>
      <c r="CW160" s="64">
        <f>CW158/CV158-1</f>
        <v>-3.2024963048119526E-3</v>
      </c>
      <c r="CX160" s="64">
        <f>CX158/CW158-1</f>
        <v>0.26015322514210393</v>
      </c>
      <c r="CZ160" s="64">
        <f>CZ158/CY158-1</f>
        <v>-0.11897757730273906</v>
      </c>
      <c r="DA160" s="64">
        <f>DA158/CZ158-1</f>
        <v>-3.0496401276248419E-2</v>
      </c>
      <c r="DB160" s="64">
        <f>DB158/DA158-1</f>
        <v>-5.7707025868666717E-2</v>
      </c>
      <c r="DC160" s="64">
        <f>DC158/DB158-1</f>
        <v>0.16016894087069522</v>
      </c>
      <c r="DE160" s="64">
        <f>DE158/DD158-1</f>
        <v>3.3884066087930487E-2</v>
      </c>
      <c r="DF160" s="64">
        <f>DF158/DE158-1</f>
        <v>-0.15167930660888407</v>
      </c>
      <c r="DG160" s="64">
        <f>DG158/DF158-1</f>
        <v>-2.1392081736909319E-2</v>
      </c>
      <c r="DH160" s="64">
        <f>DH158/DG158-1</f>
        <v>0.20962479608482876</v>
      </c>
      <c r="DJ160" s="64">
        <f>DJ158/DI158-1</f>
        <v>-6.1429534726904933E-2</v>
      </c>
      <c r="DK160" s="64">
        <f>DK158/DJ158-1</f>
        <v>-3.6065809325382614E-2</v>
      </c>
      <c r="DL160" s="64">
        <f>DL158/DK158-1</f>
        <v>-2.9663859282999194E-2</v>
      </c>
      <c r="DM160" s="64">
        <f>DM158/DL158-1</f>
        <v>0.31500115216222446</v>
      </c>
      <c r="DO160" s="64">
        <f>DO158/DN158-1</f>
        <v>-8.5397196261682295E-2</v>
      </c>
      <c r="DP160" s="64">
        <f>DP158/DO158-1</f>
        <v>-2.0692297866905074E-2</v>
      </c>
      <c r="DQ160" s="64">
        <f>DQ158/DP158-1</f>
        <v>-9.3256814921089948E-3</v>
      </c>
      <c r="DR160" s="64">
        <f>DR158/DQ158-1</f>
        <v>0.32045289974326896</v>
      </c>
      <c r="DT160" s="64">
        <f>DT158/DS158-1</f>
        <v>-2.3530584774913987E-2</v>
      </c>
      <c r="DU160" s="64">
        <f>DU158/DT158-1</f>
        <v>1.1538265175881968E-2</v>
      </c>
      <c r="DV160" s="64">
        <f>DV158/DU158-1</f>
        <v>-9.6300408822490247E-2</v>
      </c>
      <c r="DW160" s="64">
        <f>DW158/DV158-1</f>
        <v>0.25099134320022332</v>
      </c>
      <c r="DX160" s="1620"/>
      <c r="DY160" s="65">
        <f>DY158/DX158-1</f>
        <v>-0.10259386579758023</v>
      </c>
      <c r="DZ160" s="64">
        <f>DZ158/DY158-1</f>
        <v>-3.1192477986169864E-2</v>
      </c>
      <c r="EA160" s="65">
        <f>EA158/DZ158-1</f>
        <v>1.951319708328958E-3</v>
      </c>
      <c r="EB160" s="64">
        <f>EB158/EA158-1</f>
        <v>0.28936039360393595</v>
      </c>
      <c r="EC160" s="1620"/>
      <c r="ED160" s="65">
        <f>ED158/EC158-1</f>
        <v>-0.10414182367437796</v>
      </c>
      <c r="EE160" s="65">
        <f>EE158/ED158-1</f>
        <v>-5.745851450882955E-2</v>
      </c>
      <c r="EF160" s="65">
        <f>EF158/EE158-1</f>
        <v>-4.9192675234194794E-2</v>
      </c>
      <c r="EG160" s="64">
        <f>EG158/EF158-1</f>
        <v>0.25349044459847514</v>
      </c>
      <c r="EH160" s="1632"/>
      <c r="EI160" s="65">
        <f>EI158/EH158-1</f>
        <v>-3.6538852177112169E-2</v>
      </c>
      <c r="EJ160" s="1673">
        <f>EJ158/EI158-1</f>
        <v>2.6390144588544606E-2</v>
      </c>
      <c r="EK160" s="1673">
        <f>EK158/EJ158-1</f>
        <v>3.5053356450678974E-2</v>
      </c>
      <c r="EL160" s="1673">
        <f>EL158/EK158-1</f>
        <v>-0.14249093110820621</v>
      </c>
      <c r="EM160" s="1674"/>
      <c r="EN160" s="1673">
        <f>EN158/EM158-1</f>
        <v>-1</v>
      </c>
      <c r="EO160" s="1673" t="e">
        <f>EO158/EN158-1</f>
        <v>#DIV/0!</v>
      </c>
      <c r="EP160" s="1673" t="e">
        <f>EP158/EO158-1</f>
        <v>#DIV/0!</v>
      </c>
      <c r="EQ160" s="1673" t="e">
        <f>EQ158/EP158-1</f>
        <v>#DIV/0!</v>
      </c>
      <c r="ER160" s="1674"/>
      <c r="ES160" s="1673" t="e">
        <f>ES158/ER158-1</f>
        <v>#DIV/0!</v>
      </c>
      <c r="ET160" s="1673" t="e">
        <f>ET158/ES158-1</f>
        <v>#DIV/0!</v>
      </c>
      <c r="EU160" s="1673" t="e">
        <f>EU158/ET158-1</f>
        <v>#DIV/0!</v>
      </c>
      <c r="EV160" s="1673" t="e">
        <f>EV158/EU158-1</f>
        <v>#DIV/0!</v>
      </c>
      <c r="EW160" s="1674"/>
      <c r="EX160" s="1673" t="e">
        <f>EX158/EW158-1</f>
        <v>#DIV/0!</v>
      </c>
      <c r="EY160" s="1673" t="e">
        <f>EY158/EX158-1</f>
        <v>#DIV/0!</v>
      </c>
      <c r="EZ160" s="1673" t="e">
        <f>EZ158/EY158-1</f>
        <v>#DIV/0!</v>
      </c>
      <c r="FA160" s="1673" t="e">
        <f>FA158/EZ158-1</f>
        <v>#DIV/0!</v>
      </c>
      <c r="FB160" s="1674"/>
      <c r="FC160" s="1673" t="e">
        <f>FC158/FB158-1</f>
        <v>#DIV/0!</v>
      </c>
      <c r="FD160" s="1673" t="e">
        <f>FD158/FC158-1</f>
        <v>#DIV/0!</v>
      </c>
      <c r="FE160" s="1673" t="e">
        <f>FE158/FD158-1</f>
        <v>#DIV/0!</v>
      </c>
      <c r="FF160" s="1673" t="e">
        <f>FF158/FE158-1</f>
        <v>#DIV/0!</v>
      </c>
      <c r="FG160" s="1674"/>
      <c r="FH160" s="1673" t="e">
        <f>FH158/FG158-1</f>
        <v>#DIV/0!</v>
      </c>
      <c r="FI160" s="1673" t="e">
        <f>FI158/FH158-1</f>
        <v>#DIV/0!</v>
      </c>
      <c r="FJ160" s="1673" t="e">
        <f>FJ158/FI158-1</f>
        <v>#DIV/0!</v>
      </c>
      <c r="FK160" s="1673" t="e">
        <f>FK158/FJ158-1</f>
        <v>#DIV/0!</v>
      </c>
      <c r="FL160" s="1674"/>
      <c r="FM160" s="2657"/>
      <c r="FN160" s="2657"/>
      <c r="FO160" s="2657"/>
      <c r="FP160" s="2657"/>
      <c r="FQ160" s="2657"/>
    </row>
    <row r="161" spans="1:173" s="31" customFormat="1" ht="12" hidden="1" outlineLevel="1">
      <c r="DX161" s="54"/>
      <c r="EC161" s="54"/>
      <c r="EH161" s="54"/>
      <c r="EJ161" s="1584"/>
      <c r="EK161" s="1584"/>
      <c r="EL161" s="1584"/>
      <c r="EM161" s="1633"/>
      <c r="EN161" s="1584"/>
      <c r="EO161" s="1584"/>
      <c r="EP161" s="1584"/>
      <c r="EQ161" s="1584"/>
      <c r="ER161" s="1633"/>
      <c r="ES161" s="1584"/>
      <c r="ET161" s="1584"/>
      <c r="EU161" s="1584"/>
      <c r="EV161" s="1584"/>
      <c r="EW161" s="1633"/>
      <c r="EX161" s="1584"/>
      <c r="EY161" s="1584"/>
      <c r="EZ161" s="1584"/>
      <c r="FA161" s="1584"/>
      <c r="FB161" s="1633"/>
      <c r="FC161" s="1584"/>
      <c r="FD161" s="1584"/>
      <c r="FE161" s="1584"/>
      <c r="FF161" s="1584"/>
      <c r="FG161" s="1633"/>
      <c r="FH161" s="1584"/>
      <c r="FI161" s="1584"/>
      <c r="FJ161" s="1584"/>
      <c r="FK161" s="1584"/>
      <c r="FL161" s="1633"/>
      <c r="FM161" s="1638"/>
      <c r="FN161" s="1638"/>
      <c r="FO161" s="1638"/>
      <c r="FP161" s="1638"/>
      <c r="FQ161" s="1638"/>
    </row>
    <row r="162" spans="1:173" s="15" customFormat="1" ht="12" hidden="1" outlineLevel="1">
      <c r="A162" s="9" t="s">
        <v>674</v>
      </c>
      <c r="BP162" s="73" t="s">
        <v>109</v>
      </c>
      <c r="BQ162" s="70"/>
      <c r="BR162" s="70"/>
      <c r="BS162" s="70"/>
      <c r="BT162" s="70"/>
      <c r="BU162" s="73" t="s">
        <v>109</v>
      </c>
      <c r="BV162" s="70"/>
      <c r="BW162" s="70"/>
      <c r="BX162" s="70"/>
      <c r="BY162" s="70"/>
      <c r="BZ162" s="73" t="s">
        <v>109</v>
      </c>
      <c r="CA162" s="70"/>
      <c r="CB162" s="70"/>
      <c r="CC162" s="70"/>
      <c r="CD162" s="70"/>
      <c r="CE162" s="73" t="s">
        <v>109</v>
      </c>
      <c r="CF162" s="70"/>
      <c r="CG162" s="70"/>
      <c r="CH162" s="70"/>
      <c r="CI162" s="70"/>
      <c r="CJ162" s="73" t="s">
        <v>109</v>
      </c>
      <c r="CK162" s="70"/>
      <c r="CL162" s="70"/>
      <c r="CM162" s="70"/>
      <c r="CN162" s="70"/>
      <c r="CO162" s="73" t="s">
        <v>109</v>
      </c>
      <c r="CP162" s="70"/>
      <c r="CQ162" s="70"/>
      <c r="CR162" s="70"/>
      <c r="CS162" s="70"/>
      <c r="CT162" s="73" t="s">
        <v>109</v>
      </c>
      <c r="CU162" s="70"/>
      <c r="CV162" s="70"/>
      <c r="CW162" s="70"/>
      <c r="CX162" s="70"/>
      <c r="CY162" s="73" t="s">
        <v>109</v>
      </c>
      <c r="CZ162" s="70"/>
      <c r="DA162" s="70"/>
      <c r="DB162" s="70"/>
      <c r="DC162" s="70"/>
      <c r="DD162" s="73" t="s">
        <v>109</v>
      </c>
      <c r="DE162" s="70"/>
      <c r="DF162" s="70"/>
      <c r="DG162" s="70"/>
      <c r="DH162" s="70"/>
      <c r="DI162" s="73" t="s">
        <v>109</v>
      </c>
      <c r="DJ162" s="70"/>
      <c r="DK162" s="70"/>
      <c r="DL162" s="70"/>
      <c r="DM162" s="70"/>
      <c r="DN162" s="73" t="s">
        <v>109</v>
      </c>
      <c r="DO162" s="70"/>
      <c r="DP162" s="70"/>
      <c r="DQ162" s="70"/>
      <c r="DR162" s="70"/>
      <c r="DS162" s="73" t="s">
        <v>109</v>
      </c>
      <c r="DT162" s="70"/>
      <c r="DU162" s="70"/>
      <c r="DV162" s="70"/>
      <c r="DW162" s="70"/>
      <c r="DX162" s="73" t="s">
        <v>109</v>
      </c>
      <c r="DY162" s="70"/>
      <c r="DZ162" s="70"/>
      <c r="EA162" s="70"/>
      <c r="EB162" s="70"/>
      <c r="EC162" s="73" t="s">
        <v>109</v>
      </c>
      <c r="ED162" s="70"/>
      <c r="EE162" s="70"/>
      <c r="EF162" s="70"/>
      <c r="EG162" s="70"/>
      <c r="EH162" s="73" t="s">
        <v>109</v>
      </c>
      <c r="EI162" s="70"/>
      <c r="EJ162" s="1675"/>
      <c r="EK162" s="1675"/>
      <c r="EL162" s="1675"/>
      <c r="EM162" s="1676" t="s">
        <v>109</v>
      </c>
      <c r="EN162" s="1675"/>
      <c r="EO162" s="1675"/>
      <c r="EP162" s="1675"/>
      <c r="EQ162" s="1675"/>
      <c r="ER162" s="1676" t="s">
        <v>109</v>
      </c>
      <c r="ES162" s="1675"/>
      <c r="ET162" s="1675"/>
      <c r="EU162" s="1675"/>
      <c r="EV162" s="1675"/>
      <c r="EW162" s="1676" t="s">
        <v>109</v>
      </c>
      <c r="EX162" s="1675"/>
      <c r="EY162" s="1675"/>
      <c r="EZ162" s="1675"/>
      <c r="FA162" s="1675"/>
      <c r="FB162" s="1676" t="s">
        <v>109</v>
      </c>
      <c r="FC162" s="1675"/>
      <c r="FD162" s="1675"/>
      <c r="FE162" s="1675"/>
      <c r="FF162" s="1675"/>
      <c r="FG162" s="1676" t="s">
        <v>109</v>
      </c>
      <c r="FH162" s="1675"/>
      <c r="FI162" s="1675"/>
      <c r="FJ162" s="1675"/>
      <c r="FK162" s="1675"/>
      <c r="FL162" s="1676" t="s">
        <v>109</v>
      </c>
      <c r="FM162" s="1675"/>
      <c r="FN162" s="1675"/>
      <c r="FO162" s="1675"/>
      <c r="FP162" s="1675"/>
      <c r="FQ162" s="1675"/>
    </row>
    <row r="163" spans="1:173" s="19" customFormat="1" ht="12" hidden="1" outlineLevel="1">
      <c r="BP163" s="67" t="s">
        <v>136</v>
      </c>
      <c r="BQ163" s="1139">
        <v>37164</v>
      </c>
      <c r="BR163" s="1139">
        <v>37256</v>
      </c>
      <c r="BS163" s="1139">
        <v>37346</v>
      </c>
      <c r="BT163" s="1139">
        <v>37437</v>
      </c>
      <c r="BU163" s="67" t="s">
        <v>137</v>
      </c>
      <c r="BV163" s="1139">
        <v>37529</v>
      </c>
      <c r="BW163" s="1139">
        <v>37621</v>
      </c>
      <c r="BX163" s="1139">
        <v>37711</v>
      </c>
      <c r="BY163" s="1139">
        <v>37802</v>
      </c>
      <c r="BZ163" s="67" t="s">
        <v>138</v>
      </c>
      <c r="CA163" s="1139">
        <v>37894</v>
      </c>
      <c r="CB163" s="1139">
        <v>37986</v>
      </c>
      <c r="CC163" s="1139">
        <v>38077</v>
      </c>
      <c r="CD163" s="1139">
        <v>38168</v>
      </c>
      <c r="CE163" s="67" t="s">
        <v>139</v>
      </c>
      <c r="CF163" s="1139">
        <v>38260</v>
      </c>
      <c r="CG163" s="1139">
        <v>38352</v>
      </c>
      <c r="CH163" s="1139">
        <v>38442</v>
      </c>
      <c r="CI163" s="1139">
        <v>38533</v>
      </c>
      <c r="CJ163" s="67" t="s">
        <v>140</v>
      </c>
      <c r="CK163" s="1139">
        <v>38625</v>
      </c>
      <c r="CL163" s="1139">
        <v>38717</v>
      </c>
      <c r="CM163" s="1139">
        <v>38807</v>
      </c>
      <c r="CN163" s="1139">
        <v>38898</v>
      </c>
      <c r="CO163" s="67" t="s">
        <v>141</v>
      </c>
      <c r="CP163" s="1139">
        <v>38990</v>
      </c>
      <c r="CQ163" s="1139">
        <v>39082</v>
      </c>
      <c r="CR163" s="1139">
        <v>39172</v>
      </c>
      <c r="CS163" s="1139">
        <v>39263</v>
      </c>
      <c r="CT163" s="67" t="s">
        <v>142</v>
      </c>
      <c r="CU163" s="1139">
        <v>39355</v>
      </c>
      <c r="CV163" s="1139">
        <v>39447</v>
      </c>
      <c r="CW163" s="1139">
        <v>39538</v>
      </c>
      <c r="CX163" s="192" t="s">
        <v>314</v>
      </c>
      <c r="CY163" s="193" t="s">
        <v>830</v>
      </c>
      <c r="CZ163" s="1139">
        <v>39692</v>
      </c>
      <c r="DA163" s="1139">
        <v>39783</v>
      </c>
      <c r="DB163" s="1139">
        <v>39881</v>
      </c>
      <c r="DC163" s="1139">
        <v>39973</v>
      </c>
      <c r="DD163" s="193" t="s">
        <v>311</v>
      </c>
      <c r="DE163" s="1139">
        <v>40065</v>
      </c>
      <c r="DF163" s="1139">
        <v>40521</v>
      </c>
      <c r="DG163" s="1139">
        <v>40247</v>
      </c>
      <c r="DH163" s="192" t="s">
        <v>594</v>
      </c>
      <c r="DI163" s="193" t="s">
        <v>592</v>
      </c>
      <c r="DJ163" s="192" t="s">
        <v>475</v>
      </c>
      <c r="DK163" s="192" t="s">
        <v>209</v>
      </c>
      <c r="DL163" s="192" t="s">
        <v>471</v>
      </c>
      <c r="DM163" s="192" t="s">
        <v>70</v>
      </c>
      <c r="DN163" s="193" t="s">
        <v>68</v>
      </c>
      <c r="DO163" s="66" t="str">
        <f t="shared" ref="DO163:EW163" si="236">DO52</f>
        <v>9/11</v>
      </c>
      <c r="DP163" s="192" t="str">
        <f t="shared" si="236"/>
        <v>12/11</v>
      </c>
      <c r="DQ163" s="192" t="str">
        <f t="shared" si="236"/>
        <v>3/12</v>
      </c>
      <c r="DR163" s="66" t="str">
        <f t="shared" si="236"/>
        <v>6/12</v>
      </c>
      <c r="DS163" s="67" t="str">
        <f t="shared" si="236"/>
        <v>2012</v>
      </c>
      <c r="DT163" s="66" t="str">
        <f t="shared" si="236"/>
        <v>9/12</v>
      </c>
      <c r="DU163" s="66" t="str">
        <f t="shared" si="236"/>
        <v>12/12</v>
      </c>
      <c r="DV163" s="66" t="str">
        <f t="shared" si="236"/>
        <v>3/13</v>
      </c>
      <c r="DW163" s="66" t="str">
        <f t="shared" si="236"/>
        <v>6/13</v>
      </c>
      <c r="DX163" s="67" t="str">
        <f t="shared" si="236"/>
        <v>2013</v>
      </c>
      <c r="DY163" s="66" t="str">
        <f t="shared" si="236"/>
        <v>9/13</v>
      </c>
      <c r="DZ163" s="66" t="str">
        <f t="shared" si="236"/>
        <v>12/13</v>
      </c>
      <c r="EA163" s="66" t="str">
        <f t="shared" si="236"/>
        <v>3/14</v>
      </c>
      <c r="EB163" s="66" t="str">
        <f t="shared" si="236"/>
        <v>6/14</v>
      </c>
      <c r="EC163" s="67" t="str">
        <f t="shared" si="236"/>
        <v>2014</v>
      </c>
      <c r="ED163" s="66" t="str">
        <f t="shared" si="236"/>
        <v>Sep-14</v>
      </c>
      <c r="EE163" s="66" t="str">
        <f t="shared" si="236"/>
        <v>Dec-14</v>
      </c>
      <c r="EF163" s="66" t="str">
        <f t="shared" si="236"/>
        <v>Mar-15</v>
      </c>
      <c r="EG163" s="66" t="str">
        <f t="shared" si="236"/>
        <v>Jun-15</v>
      </c>
      <c r="EH163" s="67" t="str">
        <f t="shared" si="236"/>
        <v>2015</v>
      </c>
      <c r="EI163" s="66" t="str">
        <f t="shared" si="236"/>
        <v>Sep-15</v>
      </c>
      <c r="EJ163" s="1677" t="str">
        <f t="shared" si="236"/>
        <v>Dec-15</v>
      </c>
      <c r="EK163" s="1677" t="str">
        <f t="shared" si="236"/>
        <v>Mar-16</v>
      </c>
      <c r="EL163" s="1677" t="str">
        <f t="shared" si="236"/>
        <v>Jun-16</v>
      </c>
      <c r="EM163" s="1678" t="str">
        <f t="shared" si="236"/>
        <v>2016</v>
      </c>
      <c r="EN163" s="1677" t="str">
        <f t="shared" si="236"/>
        <v>Sep-16</v>
      </c>
      <c r="EO163" s="1677" t="str">
        <f t="shared" ref="EO163:EQ163" si="237">EO52</f>
        <v>Dec-16</v>
      </c>
      <c r="EP163" s="1677" t="str">
        <f t="shared" si="237"/>
        <v>Mar-17</v>
      </c>
      <c r="EQ163" s="1677" t="str">
        <f t="shared" si="237"/>
        <v>Jun-17</v>
      </c>
      <c r="ER163" s="1678" t="str">
        <f t="shared" si="236"/>
        <v>2017</v>
      </c>
      <c r="ES163" s="1677" t="str">
        <f t="shared" ref="ES163:ET163" si="238">ES52</f>
        <v>Sep-17</v>
      </c>
      <c r="ET163" s="1677" t="str">
        <f t="shared" si="238"/>
        <v>Dec-17</v>
      </c>
      <c r="EU163" s="1677" t="str">
        <f t="shared" si="236"/>
        <v>Mar-18</v>
      </c>
      <c r="EV163" s="1677" t="str">
        <f t="shared" si="236"/>
        <v>Jun-18E</v>
      </c>
      <c r="EW163" s="1678" t="str">
        <f t="shared" si="236"/>
        <v>2018E</v>
      </c>
      <c r="EX163" s="1677" t="str">
        <f t="shared" ref="EX163:FG163" si="239">EX52</f>
        <v>Sep-18E</v>
      </c>
      <c r="EY163" s="1677" t="str">
        <f t="shared" si="239"/>
        <v>Dec-18E</v>
      </c>
      <c r="EZ163" s="1677" t="str">
        <f t="shared" si="239"/>
        <v>Mar-19E</v>
      </c>
      <c r="FA163" s="1677" t="str">
        <f t="shared" si="239"/>
        <v>Jun-19E</v>
      </c>
      <c r="FB163" s="1678" t="str">
        <f t="shared" si="239"/>
        <v>2019E</v>
      </c>
      <c r="FC163" s="1677" t="str">
        <f t="shared" si="239"/>
        <v>Sep-19E</v>
      </c>
      <c r="FD163" s="1677" t="str">
        <f t="shared" si="239"/>
        <v>Dec-19E</v>
      </c>
      <c r="FE163" s="1677" t="str">
        <f t="shared" si="239"/>
        <v>Mar-20E</v>
      </c>
      <c r="FF163" s="1677" t="str">
        <f t="shared" si="239"/>
        <v>Jun-20E</v>
      </c>
      <c r="FG163" s="1678" t="str">
        <f t="shared" si="239"/>
        <v>2020E</v>
      </c>
      <c r="FH163" s="1677" t="str">
        <f t="shared" ref="FH163:FL163" si="240">FH52</f>
        <v>Sep-20E</v>
      </c>
      <c r="FI163" s="1677" t="str">
        <f t="shared" si="240"/>
        <v>Dec-20E</v>
      </c>
      <c r="FJ163" s="1677" t="str">
        <f t="shared" si="240"/>
        <v>Mar-21E</v>
      </c>
      <c r="FK163" s="1677" t="str">
        <f t="shared" si="240"/>
        <v>Jun-21E</v>
      </c>
      <c r="FL163" s="1678" t="str">
        <f t="shared" si="240"/>
        <v>2021E</v>
      </c>
      <c r="FM163" s="1677"/>
      <c r="FN163" s="1677"/>
      <c r="FO163" s="1677"/>
      <c r="FP163" s="1677"/>
      <c r="FQ163" s="1677"/>
    </row>
    <row r="164" spans="1:173" s="29" customFormat="1" ht="12" hidden="1" outlineLevel="1">
      <c r="A164" s="48" t="s">
        <v>675</v>
      </c>
      <c r="BP164" s="76"/>
      <c r="BU164" s="77"/>
      <c r="BV164" s="1146">
        <v>5558</v>
      </c>
      <c r="BW164" s="1146">
        <v>5296</v>
      </c>
      <c r="BX164" s="1146">
        <v>4971</v>
      </c>
      <c r="BY164" s="1146">
        <v>5472</v>
      </c>
      <c r="BZ164" s="49">
        <f>BY164</f>
        <v>5472</v>
      </c>
      <c r="CA164" s="1146">
        <v>4789</v>
      </c>
      <c r="CB164" s="1146">
        <v>4579</v>
      </c>
      <c r="CC164" s="1146">
        <v>4331</v>
      </c>
      <c r="CD164" s="1146">
        <v>5075</v>
      </c>
      <c r="CE164" s="49">
        <f>CD164</f>
        <v>5075</v>
      </c>
      <c r="CF164" s="1146">
        <v>4805</v>
      </c>
      <c r="CG164" s="1146">
        <v>5007</v>
      </c>
      <c r="CH164" s="1146">
        <v>4851</v>
      </c>
      <c r="CI164" s="1146">
        <v>6000</v>
      </c>
      <c r="CJ164" s="49">
        <f>CI164</f>
        <v>6000</v>
      </c>
      <c r="CK164" s="1146">
        <v>5763</v>
      </c>
      <c r="CL164" s="1146">
        <v>5750</v>
      </c>
      <c r="CM164" s="1146">
        <v>5743</v>
      </c>
      <c r="CN164" s="1146">
        <v>7661</v>
      </c>
      <c r="CO164" s="49">
        <f>CN164</f>
        <v>7661</v>
      </c>
      <c r="CP164" s="1146">
        <v>6876</v>
      </c>
      <c r="CQ164" s="1146">
        <v>6917</v>
      </c>
      <c r="CR164" s="1146">
        <v>6946</v>
      </c>
      <c r="CS164" s="1146">
        <v>9334</v>
      </c>
      <c r="CT164" s="49">
        <f>CS164</f>
        <v>9334</v>
      </c>
      <c r="CU164" s="1146">
        <v>8489</v>
      </c>
      <c r="CV164" s="1146">
        <v>9145</v>
      </c>
      <c r="CW164" s="1146">
        <v>9080</v>
      </c>
      <c r="CX164" s="1146">
        <v>12232</v>
      </c>
      <c r="CY164" s="49">
        <f>CX164</f>
        <v>12232</v>
      </c>
      <c r="CZ164" s="1146">
        <v>10738</v>
      </c>
      <c r="DA164" s="1146">
        <v>10451</v>
      </c>
      <c r="DB164" s="1146">
        <v>9666</v>
      </c>
      <c r="DC164" s="1146">
        <v>11350</v>
      </c>
      <c r="DD164" s="49">
        <f>DC164</f>
        <v>11350</v>
      </c>
      <c r="DE164" s="1146">
        <v>10527</v>
      </c>
      <c r="DF164" s="1146">
        <v>10058</v>
      </c>
      <c r="DG164" s="1146">
        <v>9576</v>
      </c>
      <c r="DH164" s="1146">
        <v>12180</v>
      </c>
      <c r="DI164" s="49">
        <f>DH164</f>
        <v>12180</v>
      </c>
      <c r="DJ164" s="1146">
        <v>11380</v>
      </c>
      <c r="DK164" s="1146">
        <v>11119</v>
      </c>
      <c r="DL164" s="1146">
        <v>10634</v>
      </c>
      <c r="DM164" s="1146">
        <v>14625</v>
      </c>
      <c r="DN164" s="49">
        <f>DM164</f>
        <v>14625</v>
      </c>
      <c r="DO164" s="1146">
        <v>13369</v>
      </c>
      <c r="DP164" s="1146">
        <v>12873</v>
      </c>
      <c r="DQ164" s="1146">
        <v>12481</v>
      </c>
      <c r="DR164" s="1146">
        <v>16717</v>
      </c>
      <c r="DS164" s="49">
        <f>DR164</f>
        <v>16717</v>
      </c>
      <c r="DT164" s="1146">
        <v>15038</v>
      </c>
      <c r="DU164" s="1146">
        <v>14708</v>
      </c>
      <c r="DV164" s="1146">
        <v>14205</v>
      </c>
      <c r="DW164" s="1146">
        <v>18871</v>
      </c>
      <c r="DX164" s="49">
        <f>DW164</f>
        <v>18871</v>
      </c>
      <c r="DY164" s="29">
        <f>DW164*0.92</f>
        <v>17361.32</v>
      </c>
      <c r="DZ164" s="29">
        <f>DY164*0.97</f>
        <v>16840.4804</v>
      </c>
      <c r="EA164" s="30">
        <f>DZ164*0.96</f>
        <v>16166.861183999999</v>
      </c>
      <c r="EB164" s="1146">
        <f>EA164*1.3</f>
        <v>21016.9195392</v>
      </c>
      <c r="EC164" s="49">
        <f>EB164</f>
        <v>21016.9195392</v>
      </c>
      <c r="ED164" s="30">
        <f>EB164*0.92</f>
        <v>19335.565976064001</v>
      </c>
      <c r="EE164" s="30">
        <f>ED164*0.97</f>
        <v>18755.49899678208</v>
      </c>
      <c r="EF164" s="30">
        <f>EE164*0.96</f>
        <v>18005.279036910797</v>
      </c>
      <c r="EG164" s="1146">
        <f>EF164*1.3</f>
        <v>23406.862747984036</v>
      </c>
      <c r="EH164" s="50">
        <f>EG164</f>
        <v>23406.862747984036</v>
      </c>
      <c r="EI164" s="30">
        <f>EG164*0.92</f>
        <v>21534.313728145313</v>
      </c>
      <c r="EJ164" s="1665">
        <f>EI164*0.97</f>
        <v>20888.284316300953</v>
      </c>
      <c r="EK164" s="1665">
        <f>EJ164*0.96</f>
        <v>20052.752943648913</v>
      </c>
      <c r="EL164" s="1665">
        <f>EK164*1.3</f>
        <v>26068.578826743589</v>
      </c>
      <c r="EM164" s="1666">
        <f>EL164</f>
        <v>26068.578826743589</v>
      </c>
      <c r="EN164" s="1665">
        <f>EL164*0.92</f>
        <v>23983.092520604103</v>
      </c>
      <c r="EO164" s="1665">
        <f>EN164*0.97</f>
        <v>23263.599744985979</v>
      </c>
      <c r="EP164" s="1665">
        <f>EO164*0.96</f>
        <v>22333.055755186539</v>
      </c>
      <c r="EQ164" s="1665">
        <f>EP164*1.3</f>
        <v>29032.972481742501</v>
      </c>
      <c r="ER164" s="1666">
        <f>EQ164</f>
        <v>29032.972481742501</v>
      </c>
      <c r="ES164" s="1665">
        <f>EQ164*0.92</f>
        <v>26710.334683203102</v>
      </c>
      <c r="ET164" s="1665">
        <f>ER164*0.92</f>
        <v>26710.334683203102</v>
      </c>
      <c r="EU164" s="1665">
        <f>ET164*0.96</f>
        <v>25641.921295874978</v>
      </c>
      <c r="EV164" s="1665">
        <f>EU164*1.3</f>
        <v>33334.49768463747</v>
      </c>
      <c r="EW164" s="1666">
        <f>EV164</f>
        <v>33334.49768463747</v>
      </c>
      <c r="EX164" s="1665">
        <f>EV164*0.92</f>
        <v>30667.737869866472</v>
      </c>
      <c r="EY164" s="1665">
        <f>EX164*0.97</f>
        <v>29747.705733770479</v>
      </c>
      <c r="EZ164" s="1665">
        <f>EY164*0.96</f>
        <v>28557.797504419657</v>
      </c>
      <c r="FA164" s="1665">
        <f>EZ164*1.3</f>
        <v>37125.136755745552</v>
      </c>
      <c r="FB164" s="1666">
        <f>FA164</f>
        <v>37125.136755745552</v>
      </c>
      <c r="FC164" s="1665">
        <f>FA164*0.92</f>
        <v>34155.125815285908</v>
      </c>
      <c r="FD164" s="1665">
        <f>FC164*0.97</f>
        <v>33130.472040827328</v>
      </c>
      <c r="FE164" s="1665">
        <f>FD164*0.96</f>
        <v>31805.253159194235</v>
      </c>
      <c r="FF164" s="1665">
        <f>FE164*1.3</f>
        <v>41346.829106952508</v>
      </c>
      <c r="FG164" s="1666">
        <f>FF164</f>
        <v>41346.829106952508</v>
      </c>
      <c r="FH164" s="1665">
        <f>FF164*0.92</f>
        <v>38039.08277839631</v>
      </c>
      <c r="FI164" s="1665">
        <f>FH164*0.97</f>
        <v>36897.910295044421</v>
      </c>
      <c r="FJ164" s="1665">
        <f>FI164*0.96</f>
        <v>35421.993883242641</v>
      </c>
      <c r="FK164" s="1665">
        <f>FJ164*1.3</f>
        <v>46048.592048215432</v>
      </c>
      <c r="FL164" s="1666">
        <f>FK164</f>
        <v>46048.592048215432</v>
      </c>
      <c r="FM164" s="2654"/>
      <c r="FN164" s="2654"/>
      <c r="FO164" s="2654"/>
      <c r="FP164" s="2654"/>
      <c r="FQ164" s="2654"/>
    </row>
    <row r="165" spans="1:173" s="32" customFormat="1" ht="12" hidden="1" outlineLevel="1">
      <c r="A165" s="32" t="s">
        <v>665</v>
      </c>
      <c r="BP165" s="51"/>
      <c r="BU165" s="51"/>
      <c r="BV165" s="32">
        <f>BV164/BV158</f>
        <v>0.60881195438108715</v>
      </c>
      <c r="BW165" s="32">
        <f>BW164/BW158</f>
        <v>0.59933990559233463</v>
      </c>
      <c r="BX165" s="32">
        <f>BX164/BX158</f>
        <v>0.58264461700748582</v>
      </c>
      <c r="BY165" s="32">
        <f>BY164/BY158</f>
        <v>0.60700655606074572</v>
      </c>
      <c r="BZ165" s="51">
        <f>BY165</f>
        <v>0.60700655606074572</v>
      </c>
      <c r="CA165" s="32">
        <f>CA164/CA158</f>
        <v>0.58083702359070155</v>
      </c>
      <c r="CB165" s="32">
        <f>CB164/CB158</f>
        <v>0.58316352521650539</v>
      </c>
      <c r="CC165" s="32">
        <f>CC164/CC158</f>
        <v>0.57547169811320753</v>
      </c>
      <c r="CD165" s="32">
        <f>CD164/CD158</f>
        <v>0.62064326770209122</v>
      </c>
      <c r="CE165" s="51">
        <f>CD165</f>
        <v>0.62064326770209122</v>
      </c>
      <c r="CF165" s="32">
        <f>CF164/CF158</f>
        <v>0.61745052685684909</v>
      </c>
      <c r="CG165" s="32">
        <f>CG164/CG158</f>
        <v>0.62854632186793868</v>
      </c>
      <c r="CH165" s="32">
        <f>CH164/CH158</f>
        <v>0.6108802417831507</v>
      </c>
      <c r="CI165" s="32">
        <f>CI164/CI158</f>
        <v>0.65452165375804516</v>
      </c>
      <c r="CJ165" s="51">
        <f>CI165</f>
        <v>0.65452165375804516</v>
      </c>
      <c r="CK165" s="32">
        <f>CK164/CK158</f>
        <v>0.65444015444015446</v>
      </c>
      <c r="CL165" s="32">
        <f>CL164/CL158</f>
        <v>0.65059968318624128</v>
      </c>
      <c r="CM165" s="32">
        <f>CM164/CM158</f>
        <v>0.64520840355016296</v>
      </c>
      <c r="CN165" s="32">
        <f>CN164/CN158</f>
        <v>0.70271509814712896</v>
      </c>
      <c r="CO165" s="51">
        <f>CN165</f>
        <v>0.70271509814712896</v>
      </c>
      <c r="CP165" s="32">
        <f>CP164/CP158</f>
        <v>0.68099435475883929</v>
      </c>
      <c r="CQ165" s="32">
        <f>CQ164/CQ158</f>
        <v>0.58317173931371724</v>
      </c>
      <c r="CR165" s="32">
        <f>CR164/CR158</f>
        <v>0.67548380822717102</v>
      </c>
      <c r="CS165" s="32">
        <f>CS164/CS158</f>
        <v>0.7380990036375138</v>
      </c>
      <c r="CT165" s="51">
        <f>CS165</f>
        <v>0.7380990036375138</v>
      </c>
      <c r="CU165" s="32">
        <f>CU164/CU158</f>
        <v>0.73358105772554438</v>
      </c>
      <c r="CV165" s="32">
        <f>CV164/CV158</f>
        <v>0.75094432583347015</v>
      </c>
      <c r="CW165" s="32">
        <f>CW164/CW158</f>
        <v>0.74800230661504241</v>
      </c>
      <c r="CX165" s="32">
        <f>CX164/CX158</f>
        <v>0.79963391514676085</v>
      </c>
      <c r="CY165" s="51">
        <f>CX165</f>
        <v>0.79963391514676085</v>
      </c>
      <c r="CZ165" s="32">
        <f>CZ164/CZ158</f>
        <v>0.79676485864806712</v>
      </c>
      <c r="DA165" s="32">
        <f>DA164/DA158</f>
        <v>0.79986223786927901</v>
      </c>
      <c r="DB165" s="32">
        <f>DB164/DB158</f>
        <v>0.78508771929824561</v>
      </c>
      <c r="DC165" s="32">
        <f>DC164/DC158</f>
        <v>0.79459535144217308</v>
      </c>
      <c r="DD165" s="51">
        <f>DC165</f>
        <v>0.79459535144217308</v>
      </c>
      <c r="DE165" s="32">
        <f>DE164/DE158</f>
        <v>0.71282502708559048</v>
      </c>
      <c r="DF165" s="32">
        <f>DF164/DF158</f>
        <v>0.80284163473818648</v>
      </c>
      <c r="DG165" s="32">
        <f>DG164/DG158</f>
        <v>0.78107667210440457</v>
      </c>
      <c r="DH165" s="32">
        <f>DH164/DH158</f>
        <v>0.82130815913688471</v>
      </c>
      <c r="DI165" s="51">
        <f>DH165</f>
        <v>0.82130815913688471</v>
      </c>
      <c r="DJ165" s="32">
        <f>DJ164/DJ158</f>
        <v>0.81758747036425028</v>
      </c>
      <c r="DK165" s="32">
        <f>DK164/DK158</f>
        <v>0.82872475218007002</v>
      </c>
      <c r="DL165" s="32">
        <f>DL164/DL158</f>
        <v>0.81680620631384904</v>
      </c>
      <c r="DM165" s="32">
        <f>DM164/DM158</f>
        <v>0.85426401869158874</v>
      </c>
      <c r="DN165" s="51">
        <f>DM165</f>
        <v>0.85426401869158874</v>
      </c>
      <c r="DO165" s="32">
        <f>DO164/DO158</f>
        <v>0.85381274747732794</v>
      </c>
      <c r="DP165" s="32">
        <f>DP164/DP158</f>
        <v>0.83950697795748008</v>
      </c>
      <c r="DQ165" s="32">
        <f>DQ164/DQ158</f>
        <v>0.82160489763675859</v>
      </c>
      <c r="DR165" s="32">
        <f>DR164/DR158</f>
        <v>0.83339149508948607</v>
      </c>
      <c r="DS165" s="51">
        <f>DR165</f>
        <v>0.83339149508948607</v>
      </c>
      <c r="DT165" s="32">
        <f>DT164/DT158</f>
        <v>0.7677541226323582</v>
      </c>
      <c r="DU165" s="32">
        <f>DU164/DU158</f>
        <v>0.74234088729621961</v>
      </c>
      <c r="DV165" s="32">
        <f>DV164/DV158</f>
        <v>0.79335381178441777</v>
      </c>
      <c r="DW165" s="32">
        <f>DW164/DW158</f>
        <v>0.84249296843609089</v>
      </c>
      <c r="DX165" s="51">
        <f>DW165</f>
        <v>0.84249296843609089</v>
      </c>
      <c r="DY165" s="32">
        <f>DY164/DY158</f>
        <v>0.86370429331874032</v>
      </c>
      <c r="DZ165" s="32">
        <f>DZ164/DZ158</f>
        <v>0.86476740269076724</v>
      </c>
      <c r="EA165" s="35">
        <f>EA164/EA158</f>
        <v>0.82855992127921274</v>
      </c>
      <c r="EB165" s="32">
        <f>EB164/EB158</f>
        <v>0.8353970720725018</v>
      </c>
      <c r="EC165" s="51">
        <f>EB165</f>
        <v>0.8353970720725018</v>
      </c>
      <c r="ED165" s="35">
        <f>ED164/ED158</f>
        <v>0.85790957387807265</v>
      </c>
      <c r="EE165" s="35">
        <f>EE164/EE158</f>
        <v>0.8829025559846575</v>
      </c>
      <c r="EF165" s="35">
        <f>EF164/EF158</f>
        <v>0.89143870863010188</v>
      </c>
      <c r="EG165" s="32">
        <f>EG164/EG158</f>
        <v>0.92451468314969731</v>
      </c>
      <c r="EH165" s="52">
        <f>EG165</f>
        <v>0.92451468314969731</v>
      </c>
      <c r="EI165" s="35">
        <f>EI164/EI158</f>
        <v>0.88281038671844603</v>
      </c>
      <c r="EJ165" s="1667">
        <f>EJ164/EJ158</f>
        <v>0.83430855180334307</v>
      </c>
      <c r="EK165" s="1667">
        <f>EK164/EK158</f>
        <v>0.77381151873920273</v>
      </c>
      <c r="EL165" s="1667">
        <f>EL164/EL158</f>
        <v>1.1731129277280004</v>
      </c>
      <c r="EM165" s="1668">
        <f>EL165</f>
        <v>1.1731129277280004</v>
      </c>
      <c r="EN165" s="1667" t="e">
        <f>EN164/EN158</f>
        <v>#DIV/0!</v>
      </c>
      <c r="EO165" s="1667" t="e">
        <f>EO164/EO158</f>
        <v>#DIV/0!</v>
      </c>
      <c r="EP165" s="1667" t="e">
        <f>EP164/EP158</f>
        <v>#DIV/0!</v>
      </c>
      <c r="EQ165" s="1667" t="e">
        <f>EQ164/EQ158</f>
        <v>#DIV/0!</v>
      </c>
      <c r="ER165" s="1668" t="e">
        <f>EQ165</f>
        <v>#DIV/0!</v>
      </c>
      <c r="ES165" s="1667" t="e">
        <f>ES164/ES158</f>
        <v>#DIV/0!</v>
      </c>
      <c r="ET165" s="1667" t="e">
        <f>ET164/ET158</f>
        <v>#DIV/0!</v>
      </c>
      <c r="EU165" s="1667" t="e">
        <f>EU164/EU158</f>
        <v>#DIV/0!</v>
      </c>
      <c r="EV165" s="1667" t="e">
        <f>EV164/EV158</f>
        <v>#DIV/0!</v>
      </c>
      <c r="EW165" s="1668" t="e">
        <f>EV165</f>
        <v>#DIV/0!</v>
      </c>
      <c r="EX165" s="1667" t="e">
        <f>EX164/EX158</f>
        <v>#DIV/0!</v>
      </c>
      <c r="EY165" s="1667" t="e">
        <f>EY164/EY158</f>
        <v>#DIV/0!</v>
      </c>
      <c r="EZ165" s="1667" t="e">
        <f>EZ164/EZ158</f>
        <v>#DIV/0!</v>
      </c>
      <c r="FA165" s="1667" t="e">
        <f>FA164/FA158</f>
        <v>#DIV/0!</v>
      </c>
      <c r="FB165" s="1668" t="e">
        <f>FA165</f>
        <v>#DIV/0!</v>
      </c>
      <c r="FC165" s="1667" t="e">
        <f>FC164/FC158</f>
        <v>#DIV/0!</v>
      </c>
      <c r="FD165" s="1667" t="e">
        <f>FD164/FD158</f>
        <v>#DIV/0!</v>
      </c>
      <c r="FE165" s="1667" t="e">
        <f>FE164/FE158</f>
        <v>#DIV/0!</v>
      </c>
      <c r="FF165" s="1667" t="e">
        <f>FF164/FF158</f>
        <v>#DIV/0!</v>
      </c>
      <c r="FG165" s="1668" t="e">
        <f>FF165</f>
        <v>#DIV/0!</v>
      </c>
      <c r="FH165" s="1667" t="e">
        <f>FH164/FH158</f>
        <v>#DIV/0!</v>
      </c>
      <c r="FI165" s="1667" t="e">
        <f>FI164/FI158</f>
        <v>#DIV/0!</v>
      </c>
      <c r="FJ165" s="1667" t="e">
        <f>FJ164/FJ158</f>
        <v>#DIV/0!</v>
      </c>
      <c r="FK165" s="1667" t="e">
        <f>FK164/FK158</f>
        <v>#DIV/0!</v>
      </c>
      <c r="FL165" s="1668" t="e">
        <f>FK165</f>
        <v>#DIV/0!</v>
      </c>
      <c r="FM165" s="1671"/>
      <c r="FN165" s="1671"/>
      <c r="FO165" s="1671"/>
      <c r="FP165" s="1671"/>
      <c r="FQ165" s="1671"/>
    </row>
    <row r="166" spans="1:173" s="32" customFormat="1" ht="12" hidden="1" outlineLevel="1">
      <c r="A166" s="32" t="s">
        <v>163</v>
      </c>
      <c r="BP166" s="51"/>
      <c r="BU166" s="51"/>
      <c r="BY166" s="1138">
        <v>0.32</v>
      </c>
      <c r="BZ166" s="51">
        <f>BY166</f>
        <v>0.32</v>
      </c>
      <c r="CA166" s="32">
        <f>CA164/BV164-1</f>
        <v>-0.13835912198632605</v>
      </c>
      <c r="CB166" s="32">
        <f>CB164/BW164-1</f>
        <v>-0.13538519637462232</v>
      </c>
      <c r="CC166" s="32">
        <f>CC164/BX164-1</f>
        <v>-0.1287467310400322</v>
      </c>
      <c r="CD166" s="32">
        <f>CD164/BY164-1</f>
        <v>-7.2551169590643227E-2</v>
      </c>
      <c r="CE166" s="51">
        <f>CD166</f>
        <v>-7.2551169590643227E-2</v>
      </c>
      <c r="CF166" s="32">
        <f>CF164/CA164-1</f>
        <v>3.3409897682188383E-3</v>
      </c>
      <c r="CG166" s="32">
        <f>CG164/CB164-1</f>
        <v>9.3470189997816089E-2</v>
      </c>
      <c r="CH166" s="32">
        <f>CH164/CC164-1</f>
        <v>0.12006465019625945</v>
      </c>
      <c r="CI166" s="32">
        <f>CI164/CD164-1</f>
        <v>0.18226600985221686</v>
      </c>
      <c r="CJ166" s="51">
        <f>CI166</f>
        <v>0.18226600985221686</v>
      </c>
      <c r="CK166" s="32">
        <f>CK164/CF164-1</f>
        <v>0.1993756503642039</v>
      </c>
      <c r="CL166" s="32">
        <f>CL164/CG164-1</f>
        <v>0.14839225084881158</v>
      </c>
      <c r="CM166" s="32">
        <f>CM164/CH164-1</f>
        <v>0.18387961245104112</v>
      </c>
      <c r="CN166" s="32">
        <f>CN164/CI164-1</f>
        <v>0.27683333333333326</v>
      </c>
      <c r="CO166" s="51">
        <f>CN166</f>
        <v>0.27683333333333326</v>
      </c>
      <c r="CP166" s="32">
        <f>CP164/CK164-1</f>
        <v>0.19312857886517443</v>
      </c>
      <c r="CQ166" s="32">
        <f>CQ164/CL164-1</f>
        <v>0.20295652173913048</v>
      </c>
      <c r="CR166" s="32">
        <f>CR164/CM164-1</f>
        <v>0.20947240118405008</v>
      </c>
      <c r="CS166" s="32">
        <f>CS164/CN164-1</f>
        <v>0.21837880172301261</v>
      </c>
      <c r="CT166" s="51">
        <f>CS166</f>
        <v>0.21837880172301261</v>
      </c>
      <c r="CU166" s="32">
        <f>CU164/CP164-1</f>
        <v>0.2345840605002909</v>
      </c>
      <c r="CV166" s="32">
        <f>CV164/CQ164-1</f>
        <v>0.3221049587971665</v>
      </c>
      <c r="CW166" s="32">
        <f>CW164/CR164-1</f>
        <v>0.3072271811114311</v>
      </c>
      <c r="CX166" s="32">
        <f>CX164/CS164-1</f>
        <v>0.31047782301264193</v>
      </c>
      <c r="CY166" s="51">
        <f>CX166</f>
        <v>0.31047782301264193</v>
      </c>
      <c r="CZ166" s="32">
        <f>CZ164/CU164-1</f>
        <v>0.26493108728943349</v>
      </c>
      <c r="DA166" s="32">
        <f>DA164/CV164-1</f>
        <v>0.1428102788408967</v>
      </c>
      <c r="DB166" s="32">
        <f>DB164/CW164-1</f>
        <v>6.4537444933920662E-2</v>
      </c>
      <c r="DC166" s="32">
        <f>DC164/CX164-1</f>
        <v>-7.2105951602354446E-2</v>
      </c>
      <c r="DD166" s="51">
        <f>DC166</f>
        <v>-7.2105951602354446E-2</v>
      </c>
      <c r="DE166" s="32">
        <f>DE164/CZ164-1</f>
        <v>-1.9649841683739955E-2</v>
      </c>
      <c r="DF166" s="32">
        <f>DF164/DA164-1</f>
        <v>-3.7604057028035598E-2</v>
      </c>
      <c r="DG166" s="32">
        <f>DG164/DB164-1</f>
        <v>-9.3109869646182952E-3</v>
      </c>
      <c r="DH166" s="32">
        <f>DH164/DC164-1</f>
        <v>7.3127753303964704E-2</v>
      </c>
      <c r="DI166" s="51">
        <f>DH166</f>
        <v>7.3127753303964704E-2</v>
      </c>
      <c r="DJ166" s="32">
        <f>DJ164/DE164-1</f>
        <v>8.1029733067350618E-2</v>
      </c>
      <c r="DK166" s="32">
        <f>DK164/DF164-1</f>
        <v>0.1054881686219924</v>
      </c>
      <c r="DL166" s="32">
        <f>DL164/DG164-1</f>
        <v>0.11048454469507107</v>
      </c>
      <c r="DM166" s="32">
        <f>DM164/DH164-1</f>
        <v>0.2007389162561577</v>
      </c>
      <c r="DN166" s="51">
        <f>DM166</f>
        <v>0.2007389162561577</v>
      </c>
      <c r="DO166" s="32">
        <f>DO164/DJ164-1</f>
        <v>0.17478031634446389</v>
      </c>
      <c r="DP166" s="32">
        <f>DP164/DK164-1</f>
        <v>0.15774799892076619</v>
      </c>
      <c r="DQ166" s="32">
        <f>DQ164/DL164-1</f>
        <v>0.17368817002068826</v>
      </c>
      <c r="DR166" s="32">
        <f>DR164/DM164-1</f>
        <v>0.14304273504273501</v>
      </c>
      <c r="DS166" s="51">
        <f>DR166</f>
        <v>0.14304273504273501</v>
      </c>
      <c r="DT166" s="32">
        <f>DT164/DO164-1</f>
        <v>0.12484105019073977</v>
      </c>
      <c r="DU166" s="32">
        <f>DU164/DP164-1</f>
        <v>0.14254641497708387</v>
      </c>
      <c r="DV166" s="32">
        <f>DV164/DQ164-1</f>
        <v>0.13812995753545398</v>
      </c>
      <c r="DW166" s="32">
        <f>DW164/DR164-1</f>
        <v>0.12885087037147813</v>
      </c>
      <c r="DX166" s="51">
        <f>DW166</f>
        <v>0.12885087037147813</v>
      </c>
      <c r="DY166" s="32">
        <f>DY164/DT164-1</f>
        <v>0.154496608591568</v>
      </c>
      <c r="DZ166" s="32">
        <f>DZ164/DU164-1</f>
        <v>0.14498778895838993</v>
      </c>
      <c r="EA166" s="35">
        <f>EA164/DV164-1</f>
        <v>0.13811060781414985</v>
      </c>
      <c r="EB166" s="32">
        <f>EB164/DW164-1</f>
        <v>0.11371519999999991</v>
      </c>
      <c r="EC166" s="51">
        <f>EB166</f>
        <v>0.11371519999999991</v>
      </c>
      <c r="ED166" s="35">
        <f>ED164/DY164-1</f>
        <v>0.11371520000000013</v>
      </c>
      <c r="EE166" s="35">
        <f>EE164/DZ164-1</f>
        <v>0.11371519999999991</v>
      </c>
      <c r="EF166" s="35">
        <f>EF164/EA164-1</f>
        <v>0.11371520000000013</v>
      </c>
      <c r="EG166" s="32">
        <f>EG164/EB164-1</f>
        <v>0.11371519999999991</v>
      </c>
      <c r="EH166" s="52">
        <f>EG166</f>
        <v>0.11371519999999991</v>
      </c>
      <c r="EI166" s="35">
        <f>EI164/ED164-1</f>
        <v>0.11371519999999991</v>
      </c>
      <c r="EJ166" s="1667">
        <f>EJ164/EE164-1</f>
        <v>0.11371519999999991</v>
      </c>
      <c r="EK166" s="1667">
        <f>EK164/EF164-1</f>
        <v>0.11371519999999991</v>
      </c>
      <c r="EL166" s="1667">
        <f>EL164/EG164-1</f>
        <v>0.11371519999999991</v>
      </c>
      <c r="EM166" s="1668">
        <f>EL166</f>
        <v>0.11371519999999991</v>
      </c>
      <c r="EN166" s="1667">
        <f>EN164/EI164-1</f>
        <v>0.11371519999999991</v>
      </c>
      <c r="EO166" s="1667">
        <f>EO164/EJ164-1</f>
        <v>0.11371519999999991</v>
      </c>
      <c r="EP166" s="1667">
        <f>EP164/EK164-1</f>
        <v>0.11371520000000013</v>
      </c>
      <c r="EQ166" s="1667">
        <f>EQ164/EL164-1</f>
        <v>0.11371519999999991</v>
      </c>
      <c r="ER166" s="1668">
        <f>EQ166</f>
        <v>0.11371519999999991</v>
      </c>
      <c r="ES166" s="1667">
        <f>ES164/EN164-1</f>
        <v>0.11371519999999991</v>
      </c>
      <c r="ET166" s="1667">
        <f>ET164/EO164-1</f>
        <v>0.14816000000000007</v>
      </c>
      <c r="EU166" s="1667">
        <f>EU164/EP164-1</f>
        <v>0.14816000000000007</v>
      </c>
      <c r="EV166" s="1667">
        <f>EV164/EQ164-1</f>
        <v>0.14816000000000007</v>
      </c>
      <c r="EW166" s="1668">
        <f>EV166</f>
        <v>0.14816000000000007</v>
      </c>
      <c r="EX166" s="1667">
        <f>EX164/ES164-1</f>
        <v>0.14815999999999985</v>
      </c>
      <c r="EY166" s="1667">
        <f>EY164/ET164-1</f>
        <v>0.11371519999999991</v>
      </c>
      <c r="EZ166" s="1667">
        <f>EZ164/EU164-1</f>
        <v>0.11371519999999991</v>
      </c>
      <c r="FA166" s="1667">
        <f>FA164/EV164-1</f>
        <v>0.11371519999999991</v>
      </c>
      <c r="FB166" s="1668">
        <f>FA166</f>
        <v>0.11371519999999991</v>
      </c>
      <c r="FC166" s="1667">
        <f>FC164/EX164-1</f>
        <v>0.11371519999999991</v>
      </c>
      <c r="FD166" s="1667">
        <f>FD164/EY164-1</f>
        <v>0.11371519999999968</v>
      </c>
      <c r="FE166" s="1667">
        <f>FE164/EZ164-1</f>
        <v>0.11371519999999991</v>
      </c>
      <c r="FF166" s="1667">
        <f>FF164/FA164-1</f>
        <v>0.11371519999999991</v>
      </c>
      <c r="FG166" s="1668">
        <f>FF166</f>
        <v>0.11371519999999991</v>
      </c>
      <c r="FH166" s="1667">
        <f>FH164/FC164-1</f>
        <v>0.11371520000000013</v>
      </c>
      <c r="FI166" s="1667">
        <f>FI164/FD164-1</f>
        <v>0.11371520000000013</v>
      </c>
      <c r="FJ166" s="1667">
        <f>FJ164/FE164-1</f>
        <v>0.11371520000000013</v>
      </c>
      <c r="FK166" s="1667">
        <f>FK164/FF164-1</f>
        <v>0.11371519999999991</v>
      </c>
      <c r="FL166" s="1668">
        <f>FK166</f>
        <v>0.11371519999999991</v>
      </c>
      <c r="FM166" s="1671"/>
      <c r="FN166" s="1671"/>
      <c r="FO166" s="1671"/>
      <c r="FP166" s="1671"/>
      <c r="FQ166" s="1671"/>
    </row>
    <row r="167" spans="1:173" s="32" customFormat="1" ht="12" hidden="1" outlineLevel="1">
      <c r="A167" s="32" t="s">
        <v>667</v>
      </c>
      <c r="BP167" s="51"/>
      <c r="BU167" s="51"/>
      <c r="BW167" s="32">
        <f>BW164/BV164-1</f>
        <v>-4.7139258726160538E-2</v>
      </c>
      <c r="BX167" s="32">
        <f>BX164/BW164-1</f>
        <v>-6.1367069486404802E-2</v>
      </c>
      <c r="BY167" s="32">
        <f>BY164/BX164-1</f>
        <v>0.1007845503922753</v>
      </c>
      <c r="BZ167" s="51"/>
      <c r="CA167" s="32">
        <f>CA164/BY164-1</f>
        <v>-0.1248172514619883</v>
      </c>
      <c r="CB167" s="32">
        <f>CB164/CA164-1</f>
        <v>-4.385049070787217E-2</v>
      </c>
      <c r="CC167" s="32">
        <f>CC164/CB164-1</f>
        <v>-5.4160297008080338E-2</v>
      </c>
      <c r="CD167" s="32">
        <f>CD164/CC164-1</f>
        <v>0.17178480720387901</v>
      </c>
      <c r="CE167" s="51"/>
      <c r="CF167" s="32">
        <f>CF164/CD164-1</f>
        <v>-5.3201970443349733E-2</v>
      </c>
      <c r="CG167" s="32">
        <f>CG164/CF164-1</f>
        <v>4.2039542143600395E-2</v>
      </c>
      <c r="CH167" s="32">
        <f>CH164/CG164-1</f>
        <v>-3.1156381066506866E-2</v>
      </c>
      <c r="CI167" s="32">
        <f>CI164/CH164-1</f>
        <v>0.23685837971552259</v>
      </c>
      <c r="CJ167" s="51"/>
      <c r="CK167" s="32">
        <f>CK164/CI164-1</f>
        <v>-3.949999999999998E-2</v>
      </c>
      <c r="CL167" s="32">
        <f>CL164/CK164-1</f>
        <v>-2.2557695644629394E-3</v>
      </c>
      <c r="CM167" s="32">
        <f>CM164/CL164-1</f>
        <v>-1.2173913043478368E-3</v>
      </c>
      <c r="CN167" s="32">
        <f>CN164/CM164-1</f>
        <v>0.33397179174647396</v>
      </c>
      <c r="CO167" s="51"/>
      <c r="CP167" s="32">
        <f>CP164/CN164-1</f>
        <v>-0.10246704085628511</v>
      </c>
      <c r="CQ167" s="32">
        <f>CQ164/CP164-1</f>
        <v>5.962769051774286E-3</v>
      </c>
      <c r="CR167" s="32">
        <f>CR164/CQ164-1</f>
        <v>4.1925690328177279E-3</v>
      </c>
      <c r="CS167" s="32">
        <f>CS164/CR164-1</f>
        <v>0.34379498992225743</v>
      </c>
      <c r="CT167" s="51"/>
      <c r="CU167" s="32">
        <f>CU164/CS164-1</f>
        <v>-9.0529247910863475E-2</v>
      </c>
      <c r="CV167" s="32">
        <f>CV164/CU164-1</f>
        <v>7.7276475438803116E-2</v>
      </c>
      <c r="CW167" s="32">
        <f>CW164/CV164-1</f>
        <v>-7.1077091306724904E-3</v>
      </c>
      <c r="CX167" s="32">
        <f>CX164/CW164-1</f>
        <v>0.34713656387665193</v>
      </c>
      <c r="CY167" s="51"/>
      <c r="CZ167" s="32">
        <f>CZ164/CX164-1</f>
        <v>-0.12213865271419233</v>
      </c>
      <c r="DA167" s="32">
        <f>DA164/CZ164-1</f>
        <v>-2.672750977835725E-2</v>
      </c>
      <c r="DB167" s="32">
        <f>DB164/DA164-1</f>
        <v>-7.5112429432590222E-2</v>
      </c>
      <c r="DC167" s="32">
        <f>DC164/DB164-1</f>
        <v>0.17421891164907932</v>
      </c>
      <c r="DD167" s="51"/>
      <c r="DE167" s="32">
        <f>DE164/DC164-1</f>
        <v>-7.2511013215859066E-2</v>
      </c>
      <c r="DF167" s="32">
        <f>DF164/DE164-1</f>
        <v>-4.4552104113232627E-2</v>
      </c>
      <c r="DG167" s="32">
        <f>DG164/DF164-1</f>
        <v>-4.7922052097832624E-2</v>
      </c>
      <c r="DH167" s="32">
        <f>DH164/DG164-1</f>
        <v>0.27192982456140347</v>
      </c>
      <c r="DI167" s="51"/>
      <c r="DJ167" s="32">
        <f>DJ164/DH164-1</f>
        <v>-6.568144499178985E-2</v>
      </c>
      <c r="DK167" s="32">
        <f>DK164/DJ164-1</f>
        <v>-2.2934973637961376E-2</v>
      </c>
      <c r="DL167" s="32">
        <f>DL164/DK164-1</f>
        <v>-4.361903048835325E-2</v>
      </c>
      <c r="DM167" s="32">
        <f>DM164/DL164-1</f>
        <v>0.37530562347188257</v>
      </c>
      <c r="DN167" s="51"/>
      <c r="DO167" s="32">
        <f>DO164/DM164-1</f>
        <v>-8.5880341880341882E-2</v>
      </c>
      <c r="DP167" s="32">
        <f>DP164/DO164-1</f>
        <v>-3.7100755479093417E-2</v>
      </c>
      <c r="DQ167" s="32">
        <f>DQ164/DP164-1</f>
        <v>-3.0451332245785778E-2</v>
      </c>
      <c r="DR167" s="32">
        <f>DR164/DQ164-1</f>
        <v>0.33939588174024515</v>
      </c>
      <c r="DS167" s="51"/>
      <c r="DT167" s="32">
        <f>DT164/DR164-1</f>
        <v>-0.10043668122270744</v>
      </c>
      <c r="DU167" s="32">
        <f>DU164/DT164-1</f>
        <v>-2.1944407500997465E-2</v>
      </c>
      <c r="DV167" s="32">
        <f>DV164/DU164-1</f>
        <v>-3.4199075333152029E-2</v>
      </c>
      <c r="DW167" s="32">
        <f>DW164/DV164-1</f>
        <v>0.32847588877155931</v>
      </c>
      <c r="DX167" s="51"/>
      <c r="DY167" s="32">
        <f>DY164/DW164-1</f>
        <v>-7.999999999999996E-2</v>
      </c>
      <c r="DZ167" s="32">
        <f>DZ164/DY164-1</f>
        <v>-2.9999999999999916E-2</v>
      </c>
      <c r="EA167" s="35">
        <f>EA164/DZ164-1</f>
        <v>-4.0000000000000036E-2</v>
      </c>
      <c r="EB167" s="32">
        <f>EB164/EA164-1</f>
        <v>0.30000000000000004</v>
      </c>
      <c r="EC167" s="51"/>
      <c r="ED167" s="35">
        <f>ED164/EB164-1</f>
        <v>-7.999999999999996E-2</v>
      </c>
      <c r="EE167" s="35">
        <f>EE164/ED164-1</f>
        <v>-3.0000000000000027E-2</v>
      </c>
      <c r="EF167" s="35">
        <f>EF164/EE164-1</f>
        <v>-4.0000000000000036E-2</v>
      </c>
      <c r="EG167" s="32">
        <f>EG164/EF164-1</f>
        <v>0.30000000000000004</v>
      </c>
      <c r="EH167" s="52"/>
      <c r="EI167" s="35">
        <f>EI164/EG164-1</f>
        <v>-8.0000000000000071E-2</v>
      </c>
      <c r="EJ167" s="1667">
        <f>EJ164/EI164-1</f>
        <v>-3.0000000000000027E-2</v>
      </c>
      <c r="EK167" s="1667">
        <f>EK164/EJ164-1</f>
        <v>-4.0000000000000036E-2</v>
      </c>
      <c r="EL167" s="1667">
        <f>EL164/EK164-1</f>
        <v>0.30000000000000004</v>
      </c>
      <c r="EM167" s="1668"/>
      <c r="EN167" s="1667">
        <f>EN164/EL164-1</f>
        <v>-7.999999999999996E-2</v>
      </c>
      <c r="EO167" s="1667">
        <f>EO164/EN164-1</f>
        <v>-3.0000000000000027E-2</v>
      </c>
      <c r="EP167" s="1667">
        <f>EP164/EO164-1</f>
        <v>-4.0000000000000036E-2</v>
      </c>
      <c r="EQ167" s="1667">
        <f>EQ164/EP164-1</f>
        <v>0.30000000000000004</v>
      </c>
      <c r="ER167" s="1668"/>
      <c r="ES167" s="1667">
        <f>ES164/EQ164-1</f>
        <v>-7.999999999999996E-2</v>
      </c>
      <c r="ET167" s="1667">
        <f>ET164/ER164-1</f>
        <v>-7.999999999999996E-2</v>
      </c>
      <c r="EU167" s="1667">
        <f>EU164/ET164-1</f>
        <v>-4.0000000000000036E-2</v>
      </c>
      <c r="EV167" s="1667">
        <f>EV164/EU164-1</f>
        <v>0.30000000000000004</v>
      </c>
      <c r="EW167" s="1668"/>
      <c r="EX167" s="1667">
        <f>EX164/EV164-1</f>
        <v>-7.999999999999996E-2</v>
      </c>
      <c r="EY167" s="1667">
        <f>EY164/EX164-1</f>
        <v>-3.0000000000000027E-2</v>
      </c>
      <c r="EZ167" s="1667">
        <f>EZ164/EY164-1</f>
        <v>-4.0000000000000036E-2</v>
      </c>
      <c r="FA167" s="1667">
        <f>FA164/EZ164-1</f>
        <v>0.29999999999999982</v>
      </c>
      <c r="FB167" s="1668"/>
      <c r="FC167" s="1667">
        <f>FC164/FA164-1</f>
        <v>-7.999999999999996E-2</v>
      </c>
      <c r="FD167" s="1667">
        <f>FD164/FC164-1</f>
        <v>-3.0000000000000138E-2</v>
      </c>
      <c r="FE167" s="1667">
        <f>FE164/FD164-1</f>
        <v>-4.0000000000000036E-2</v>
      </c>
      <c r="FF167" s="1667">
        <f>FF164/FE164-1</f>
        <v>0.30000000000000004</v>
      </c>
      <c r="FG167" s="1668"/>
      <c r="FH167" s="1667">
        <f>FH164/FF164-1</f>
        <v>-7.999999999999996E-2</v>
      </c>
      <c r="FI167" s="1667">
        <f>FI164/FH164-1</f>
        <v>-3.0000000000000027E-2</v>
      </c>
      <c r="FJ167" s="1667">
        <f>FJ164/FI164-1</f>
        <v>-4.0000000000000036E-2</v>
      </c>
      <c r="FK167" s="1667">
        <f>FK164/FJ164-1</f>
        <v>0.30000000000000004</v>
      </c>
      <c r="FL167" s="1668"/>
      <c r="FM167" s="1671"/>
      <c r="FN167" s="1671"/>
      <c r="FO167" s="1671"/>
      <c r="FP167" s="1671"/>
      <c r="FQ167" s="1671"/>
    </row>
    <row r="168" spans="1:173" s="29" customFormat="1" ht="12" hidden="1" outlineLevel="1">
      <c r="BP168" s="76"/>
      <c r="BU168" s="76"/>
      <c r="BZ168" s="76"/>
      <c r="CE168" s="76"/>
      <c r="CJ168" s="76"/>
      <c r="CO168" s="76"/>
      <c r="CT168" s="76"/>
      <c r="CY168" s="76"/>
      <c r="DD168" s="76"/>
      <c r="DI168" s="76"/>
      <c r="DN168" s="76"/>
      <c r="DS168" s="76"/>
      <c r="DX168" s="76"/>
      <c r="EA168" s="30"/>
      <c r="EC168" s="76"/>
      <c r="ED168" s="30"/>
      <c r="EE168" s="30"/>
      <c r="EF168" s="30"/>
      <c r="EH168" s="78"/>
      <c r="EI168" s="30"/>
      <c r="EJ168" s="1665"/>
      <c r="EK168" s="1665"/>
      <c r="EL168" s="1665"/>
      <c r="EM168" s="1679"/>
      <c r="EN168" s="1665"/>
      <c r="EO168" s="1665"/>
      <c r="EP168" s="1665"/>
      <c r="EQ168" s="1665"/>
      <c r="ER168" s="1679"/>
      <c r="ES168" s="1665"/>
      <c r="ET168" s="1665"/>
      <c r="EU168" s="1665"/>
      <c r="EV168" s="1665"/>
      <c r="EW168" s="1679"/>
      <c r="EX168" s="1665"/>
      <c r="EY168" s="1665"/>
      <c r="EZ168" s="1665"/>
      <c r="FA168" s="1665"/>
      <c r="FB168" s="1679"/>
      <c r="FC168" s="1665"/>
      <c r="FD168" s="1665"/>
      <c r="FE168" s="1665"/>
      <c r="FF168" s="1665"/>
      <c r="FG168" s="1679"/>
      <c r="FH168" s="1665"/>
      <c r="FI168" s="1665"/>
      <c r="FJ168" s="1665"/>
      <c r="FK168" s="1665"/>
      <c r="FL168" s="1679"/>
      <c r="FM168" s="2658"/>
      <c r="FN168" s="2658"/>
      <c r="FO168" s="2658"/>
      <c r="FP168" s="2658"/>
      <c r="FQ168" s="2658"/>
    </row>
    <row r="169" spans="1:173" s="29" customFormat="1" ht="12" hidden="1" outlineLevel="1">
      <c r="A169" s="48" t="s">
        <v>676</v>
      </c>
      <c r="BP169" s="76"/>
      <c r="BU169" s="76"/>
      <c r="BV169" s="1146">
        <v>2849</v>
      </c>
      <c r="BW169" s="1146">
        <v>2864</v>
      </c>
      <c r="BX169" s="1146">
        <v>2861</v>
      </c>
      <c r="BY169" s="1146">
        <v>2847</v>
      </c>
      <c r="BZ169" s="49">
        <f>BY169</f>
        <v>2847</v>
      </c>
      <c r="CA169" s="1146">
        <v>2700</v>
      </c>
      <c r="CB169" s="1146">
        <v>2624</v>
      </c>
      <c r="CC169" s="1146">
        <v>2501</v>
      </c>
      <c r="CD169" s="1146">
        <v>2358</v>
      </c>
      <c r="CE169" s="49">
        <f>CD169</f>
        <v>2358</v>
      </c>
      <c r="CF169" s="1146">
        <v>2262</v>
      </c>
      <c r="CG169" s="1146">
        <v>2222</v>
      </c>
      <c r="CH169" s="1146">
        <v>2161</v>
      </c>
      <c r="CI169" s="1146">
        <v>2119</v>
      </c>
      <c r="CJ169" s="49">
        <f>CI169</f>
        <v>2119</v>
      </c>
      <c r="CK169" s="1146">
        <v>2097</v>
      </c>
      <c r="CL169" s="1146">
        <v>2125</v>
      </c>
      <c r="CM169" s="1146">
        <v>2110</v>
      </c>
      <c r="CN169" s="1146">
        <v>2066</v>
      </c>
      <c r="CO169" s="49">
        <f>CN169</f>
        <v>2066</v>
      </c>
      <c r="CP169" s="1146">
        <v>2120</v>
      </c>
      <c r="CQ169" s="1146">
        <v>3757</v>
      </c>
      <c r="CR169" s="1146">
        <v>1968</v>
      </c>
      <c r="CS169" s="1146">
        <v>1839</v>
      </c>
      <c r="CT169" s="49">
        <f>CS169</f>
        <v>1839</v>
      </c>
      <c r="CU169" s="1146">
        <v>1731</v>
      </c>
      <c r="CV169" s="1146">
        <v>1650</v>
      </c>
      <c r="CW169" s="1146">
        <v>1516</v>
      </c>
      <c r="CX169" s="1146">
        <v>1396</v>
      </c>
      <c r="CY169" s="49">
        <f>CX169</f>
        <v>1396</v>
      </c>
      <c r="CZ169" s="1146">
        <v>1225</v>
      </c>
      <c r="DA169" s="1146">
        <v>1086</v>
      </c>
      <c r="DB169" s="1146">
        <v>953</v>
      </c>
      <c r="DC169" s="1146">
        <v>1083</v>
      </c>
      <c r="DD169" s="49">
        <f>DC169</f>
        <v>1083</v>
      </c>
      <c r="DE169" s="1146">
        <v>2452</v>
      </c>
      <c r="DF169" s="1146">
        <v>600</v>
      </c>
      <c r="DG169" s="1146">
        <v>764</v>
      </c>
      <c r="DH169" s="1146">
        <v>624</v>
      </c>
      <c r="DI169" s="49">
        <f>DH169</f>
        <v>624</v>
      </c>
      <c r="DJ169" s="1146">
        <v>514</v>
      </c>
      <c r="DK169" s="1146">
        <v>221</v>
      </c>
      <c r="DL169" s="1146">
        <v>165</v>
      </c>
      <c r="DM169" s="29">
        <f>DL169-50</f>
        <v>115</v>
      </c>
      <c r="DN169" s="49">
        <f>DM169</f>
        <v>115</v>
      </c>
      <c r="DO169" s="1146">
        <v>0</v>
      </c>
      <c r="DP169" s="29">
        <f>DO169</f>
        <v>0</v>
      </c>
      <c r="DQ169" s="29">
        <f>DP169</f>
        <v>0</v>
      </c>
      <c r="DR169" s="1146">
        <v>540</v>
      </c>
      <c r="DS169" s="49">
        <f>DR169</f>
        <v>540</v>
      </c>
      <c r="DT169" s="29">
        <f>'Client Unit Model'!AJ253+184</f>
        <v>2614.9546012161099</v>
      </c>
      <c r="DU169" s="29">
        <f>DU158-DU164-DU173</f>
        <v>2442</v>
      </c>
      <c r="DV169" s="29">
        <f>DU169-'Rev Overview'!BH263-'Client Unit Model'!AL252-'Rev Overview'!BH281</f>
        <v>1192.8544037329293</v>
      </c>
      <c r="DW169" s="905">
        <f>22399-DW173-DW164</f>
        <v>0</v>
      </c>
      <c r="DX169" s="49">
        <f>DW169</f>
        <v>0</v>
      </c>
      <c r="DY169" s="29">
        <f>DW169-'Rev Overview'!BK263-'Client Unit Model'!AO252-'Rev Overview'!BK281</f>
        <v>0</v>
      </c>
      <c r="DZ169" s="29">
        <f>DY169-'Rev Overview'!BL263-'Client Unit Model'!AP252-'Rev Overview'!BL281</f>
        <v>0</v>
      </c>
      <c r="EA169" s="30">
        <f>DZ169-'Rev Overview'!BM263-'Client Unit Model'!AQ252-'Rev Overview'!BM281</f>
        <v>0</v>
      </c>
      <c r="EB169" s="905">
        <f>EA169-'Rev Overview'!BN263-'Client Unit Model'!AR252-'Rev Overview'!BN281</f>
        <v>0</v>
      </c>
      <c r="EC169" s="49">
        <f>EB169</f>
        <v>0</v>
      </c>
      <c r="ED169" s="30">
        <f>EB169-'Rev Overview'!BP263-'Client Unit Model'!AT252-'Rev Overview'!BP281</f>
        <v>0</v>
      </c>
      <c r="EE169" s="30">
        <f>ED169-'Rev Overview'!BQ263-'Client Unit Model'!AU252-'Rev Overview'!BQ281</f>
        <v>0</v>
      </c>
      <c r="EF169" s="30">
        <f>EE169-'Rev Overview'!BR263-'Client Unit Model'!BY252-'Rev Overview'!BR281</f>
        <v>0</v>
      </c>
      <c r="EG169" s="905">
        <f>EF169-'Rev Overview'!BS263-'Client Unit Model'!BZ252-'Rev Overview'!BS281</f>
        <v>0</v>
      </c>
      <c r="EH169" s="50">
        <f>EG169</f>
        <v>0</v>
      </c>
      <c r="EI169" s="30">
        <f>EG169-'Rev Overview'!BU263-'Client Unit Model'!AY252-'Rev Overview'!BU281</f>
        <v>0</v>
      </c>
      <c r="EJ169" s="1665">
        <f>EI169-'Rev Overview'!BV263-'Client Unit Model'!BY252-'Rev Overview'!BV281</f>
        <v>0</v>
      </c>
      <c r="EK169" s="1665">
        <f>EJ169-'Rev Overview'!BW263-'Client Unit Model'!CD252-'Rev Overview'!BW281</f>
        <v>0</v>
      </c>
      <c r="EL169" s="1665">
        <f>EK169-'Rev Overview'!BX263-'Client Unit Model'!CE252-'Rev Overview'!BX281</f>
        <v>0</v>
      </c>
      <c r="EM169" s="1666">
        <f>EL169</f>
        <v>0</v>
      </c>
      <c r="EN169" s="1665">
        <f>EL169-'Rev Overview'!BZ263-'Client Unit Model'!BY252-'Rev Overview'!BZ281</f>
        <v>0</v>
      </c>
      <c r="EO169" s="1665">
        <f>EN169-'Rev Overview'!CA263-'Client Unit Model'!CD252-'Rev Overview'!CA281</f>
        <v>0</v>
      </c>
      <c r="EP169" s="1665">
        <f>EO169-'Rev Overview'!CB263-'Client Unit Model'!CI252-'Rev Overview'!CB281</f>
        <v>0</v>
      </c>
      <c r="EQ169" s="1665">
        <f>EP169-'Rev Overview'!CC263-'Client Unit Model'!CJ252-'Rev Overview'!CC281</f>
        <v>0</v>
      </c>
      <c r="ER169" s="1666">
        <f>EQ169</f>
        <v>0</v>
      </c>
      <c r="ES169" s="1665">
        <f>EQ169-'Rev Overview'!CE263-'Client Unit Model'!CD252-'Rev Overview'!CE281</f>
        <v>0</v>
      </c>
      <c r="ET169" s="1665">
        <f>ER169-'Rev Overview'!CF263-'Client Unit Model'!CE252-'Rev Overview'!CF281</f>
        <v>0</v>
      </c>
      <c r="EU169" s="1665">
        <f>ET169-'Rev Overview'!CG263-'Client Unit Model'!CQ252-'Rev Overview'!CG281</f>
        <v>0</v>
      </c>
      <c r="EV169" s="1665">
        <f>EU169-'Rev Overview'!CH263-'Client Unit Model'!CT252-'Rev Overview'!CH281</f>
        <v>0</v>
      </c>
      <c r="EW169" s="1666">
        <f>EV169</f>
        <v>0</v>
      </c>
      <c r="EX169" s="1665">
        <f>EV169-'Rev Overview'!CJ263-'Client Unit Model'!CI252-'Rev Overview'!CJ281</f>
        <v>0</v>
      </c>
      <c r="EY169" s="1665">
        <f>EX169-'Rev Overview'!CK263-'Client Unit Model'!CP252-'Rev Overview'!CK281</f>
        <v>0</v>
      </c>
      <c r="EZ169" s="1665">
        <f>EY169-'Rev Overview'!CL263-'Client Unit Model'!CV252-'Rev Overview'!CL281</f>
        <v>0</v>
      </c>
      <c r="FA169" s="1665">
        <f>EZ169-'Rev Overview'!CM263-'Client Unit Model'!CY252-'Rev Overview'!CM281</f>
        <v>0</v>
      </c>
      <c r="FB169" s="1666">
        <f>FA169</f>
        <v>0</v>
      </c>
      <c r="FC169" s="1665">
        <f>FA169-'Rev Overview'!CO263-'Client Unit Model'!CO252-'Rev Overview'!CO281</f>
        <v>0</v>
      </c>
      <c r="FD169" s="1665">
        <f>FC169-'Rev Overview'!CP263-'Client Unit Model'!CU252-'Rev Overview'!CP281</f>
        <v>0</v>
      </c>
      <c r="FE169" s="1665">
        <f>FD169-'Rev Overview'!CQ263-'Client Unit Model'!DA252-'Rev Overview'!CQ281</f>
        <v>0</v>
      </c>
      <c r="FF169" s="1665">
        <f>FE169-'Rev Overview'!CR263-'Client Unit Model'!DD252-'Rev Overview'!CR281</f>
        <v>0</v>
      </c>
      <c r="FG169" s="1666">
        <f>FF169</f>
        <v>0</v>
      </c>
      <c r="FH169" s="1665">
        <f>FF169-'Rev Overview'!CT263-'Client Unit Model'!CT252-'Rev Overview'!CT281</f>
        <v>0</v>
      </c>
      <c r="FI169" s="1665">
        <f>FH169-'Rev Overview'!CU263-'Client Unit Model'!CZ252-'Rev Overview'!CU281</f>
        <v>0</v>
      </c>
      <c r="FJ169" s="1665">
        <f>FI169-'Rev Overview'!CV263-'Client Unit Model'!DF252-'Rev Overview'!CV281</f>
        <v>0</v>
      </c>
      <c r="FK169" s="1665">
        <f>FJ169-'Rev Overview'!CW263-'Client Unit Model'!DI252-'Rev Overview'!CW281</f>
        <v>0</v>
      </c>
      <c r="FL169" s="1666">
        <f>FK169</f>
        <v>0</v>
      </c>
      <c r="FM169" s="2654"/>
      <c r="FN169" s="2654"/>
      <c r="FO169" s="2654"/>
      <c r="FP169" s="2654"/>
      <c r="FQ169" s="2654"/>
    </row>
    <row r="170" spans="1:173" s="32" customFormat="1" ht="12" hidden="1" outlineLevel="1">
      <c r="A170" s="32" t="s">
        <v>665</v>
      </c>
      <c r="BP170" s="51"/>
      <c r="BU170" s="51"/>
      <c r="BV170" s="32">
        <f>BV169/BV158</f>
        <v>0.31207363404672855</v>
      </c>
      <c r="BW170" s="32">
        <f>BW169/BW158</f>
        <v>0.32411432961035619</v>
      </c>
      <c r="BX170" s="32">
        <f>BX169/BX158</f>
        <v>0.33533418814291233</v>
      </c>
      <c r="BY170" s="32">
        <f>BY169/BY158</f>
        <v>0.31581645926625423</v>
      </c>
      <c r="BZ170" s="51">
        <f>BY170</f>
        <v>0.31581645926625423</v>
      </c>
      <c r="CA170" s="32">
        <f>CA169/CA158</f>
        <v>0.32747128078824267</v>
      </c>
      <c r="CB170" s="32">
        <f>CB169/CB158</f>
        <v>0.33418237391747324</v>
      </c>
      <c r="CC170" s="32">
        <f>CC169/CC158</f>
        <v>0.33231464257241561</v>
      </c>
      <c r="CD170" s="32">
        <f>CD169/CD158</f>
        <v>0.28836981778158249</v>
      </c>
      <c r="CE170" s="51">
        <f>CD170</f>
        <v>0.28836981778158249</v>
      </c>
      <c r="CF170" s="32">
        <f>CF169/CF158</f>
        <v>0.29067077872012337</v>
      </c>
      <c r="CG170" s="32">
        <f>CG169/CG158</f>
        <v>0.27893547577203115</v>
      </c>
      <c r="CH170" s="32">
        <f>CH169/CH158</f>
        <v>0.27213197330311045</v>
      </c>
      <c r="CI170" s="32">
        <f>CI169/CI158</f>
        <v>0.23115523071888294</v>
      </c>
      <c r="CJ170" s="51">
        <f>CI170</f>
        <v>0.23115523071888294</v>
      </c>
      <c r="CK170" s="32">
        <f>CK169/CK158</f>
        <v>0.23813309107426756</v>
      </c>
      <c r="CL170" s="32">
        <f>CL169/CL158</f>
        <v>0.24043901335143697</v>
      </c>
      <c r="CM170" s="32">
        <f>CM169/CM158</f>
        <v>0.23705201662734524</v>
      </c>
      <c r="CN170" s="32">
        <f>CN169/CN158</f>
        <v>0.18950651256650156</v>
      </c>
      <c r="CO170" s="51">
        <f>CN170</f>
        <v>0.18950651256650156</v>
      </c>
      <c r="CP170" s="32">
        <f>CP169/CP158</f>
        <v>0.2099633554521145</v>
      </c>
      <c r="CQ170" s="32">
        <f>CQ169/CQ158</f>
        <v>0.3167523817553326</v>
      </c>
      <c r="CR170" s="32">
        <f>CR169/CR158</f>
        <v>0.19138383740153653</v>
      </c>
      <c r="CS170" s="32">
        <f>CS169/CS158</f>
        <v>0.14542147714692394</v>
      </c>
      <c r="CT170" s="51">
        <f>CS170</f>
        <v>0.14542147714692394</v>
      </c>
      <c r="CU170" s="32">
        <f>CU169/CU158</f>
        <v>0.14958520566885586</v>
      </c>
      <c r="CV170" s="32">
        <f>CV169/CV158</f>
        <v>0.13549022828050583</v>
      </c>
      <c r="CW170" s="32">
        <f>CW169/CW158</f>
        <v>0.12488672872559518</v>
      </c>
      <c r="CX170" s="32">
        <f>CX169/CX158</f>
        <v>9.1259724128914171E-2</v>
      </c>
      <c r="CY170" s="51">
        <f>CX170</f>
        <v>9.1259724128914171E-2</v>
      </c>
      <c r="CZ170" s="32">
        <f>CZ169/CZ158</f>
        <v>9.0895599910959413E-2</v>
      </c>
      <c r="DA170" s="32">
        <f>DA169/DA158</f>
        <v>8.3116485534976275E-2</v>
      </c>
      <c r="DB170" s="32">
        <f>DB169/DB158</f>
        <v>7.7404158544509424E-2</v>
      </c>
      <c r="DC170" s="32">
        <f>DC169/DC158</f>
        <v>7.581909829179502E-2</v>
      </c>
      <c r="DD170" s="51">
        <f>DC170</f>
        <v>7.581909829179502E-2</v>
      </c>
      <c r="DE170" s="32">
        <f>DE169/DE158</f>
        <v>0.16603466955579632</v>
      </c>
      <c r="DF170" s="32">
        <f>DF169/DF158</f>
        <v>4.7892720306513412E-2</v>
      </c>
      <c r="DG170" s="32">
        <f>DG169/DG158</f>
        <v>6.231647634584013E-2</v>
      </c>
      <c r="DH170" s="32">
        <f>DH169/DH158</f>
        <v>4.2076871207012811E-2</v>
      </c>
      <c r="DI170" s="51">
        <f>DH170</f>
        <v>4.2076871207012811E-2</v>
      </c>
      <c r="DJ170" s="32">
        <f>DJ169/DJ158</f>
        <v>3.692794022559092E-2</v>
      </c>
      <c r="DK170" s="32">
        <f>DK169/DK158</f>
        <v>1.6471640456137734E-2</v>
      </c>
      <c r="DL170" s="32">
        <f>DL169/DL158</f>
        <v>1.2673784468853215E-2</v>
      </c>
      <c r="DM170" s="32">
        <f>DM169/DM158</f>
        <v>6.7172897196261681E-3</v>
      </c>
      <c r="DN170" s="51">
        <f>DM170</f>
        <v>6.7172897196261681E-3</v>
      </c>
      <c r="DO170" s="32">
        <f>DO169/DO158</f>
        <v>0</v>
      </c>
      <c r="DP170" s="32">
        <f>DP169/DP158</f>
        <v>0</v>
      </c>
      <c r="DQ170" s="32">
        <f>DQ169/DQ158</f>
        <v>0</v>
      </c>
      <c r="DR170" s="32">
        <f>DR169/DR158</f>
        <v>2.6920584276384666E-2</v>
      </c>
      <c r="DS170" s="51">
        <f>DR170</f>
        <v>2.6920584276384666E-2</v>
      </c>
      <c r="DT170" s="32">
        <f>DT169/DT158</f>
        <v>0.13350460005187675</v>
      </c>
      <c r="DU170" s="32">
        <f>DU169/DU158</f>
        <v>0.12325241003381618</v>
      </c>
      <c r="DV170" s="32">
        <f>DV169/DV158</f>
        <v>6.6621301520967846E-2</v>
      </c>
      <c r="DW170" s="32">
        <f>DW169/DW158</f>
        <v>0</v>
      </c>
      <c r="DX170" s="51">
        <f>DW170</f>
        <v>0</v>
      </c>
      <c r="DY170" s="32">
        <f>DY169/DY158</f>
        <v>0</v>
      </c>
      <c r="DZ170" s="32">
        <f>DZ169/DZ158</f>
        <v>0</v>
      </c>
      <c r="EA170" s="35">
        <f>EA169/EA158</f>
        <v>0</v>
      </c>
      <c r="EB170" s="32">
        <f>EB169/EB158</f>
        <v>0</v>
      </c>
      <c r="EC170" s="51">
        <f>EB170</f>
        <v>0</v>
      </c>
      <c r="ED170" s="35">
        <f>ED169/ED158</f>
        <v>0</v>
      </c>
      <c r="EE170" s="35">
        <f>EE169/EE158</f>
        <v>0</v>
      </c>
      <c r="EF170" s="35">
        <f>EF169/EF158</f>
        <v>0</v>
      </c>
      <c r="EG170" s="32">
        <f>EG169/EG158</f>
        <v>0</v>
      </c>
      <c r="EH170" s="52">
        <f>EG170</f>
        <v>0</v>
      </c>
      <c r="EI170" s="35">
        <f>EI169/EI158</f>
        <v>0</v>
      </c>
      <c r="EJ170" s="1667">
        <f>EJ169/EJ158</f>
        <v>0</v>
      </c>
      <c r="EK170" s="1667">
        <f>EK169/EK158</f>
        <v>0</v>
      </c>
      <c r="EL170" s="1667">
        <f>EL169/EL158</f>
        <v>0</v>
      </c>
      <c r="EM170" s="1668">
        <f>EL170</f>
        <v>0</v>
      </c>
      <c r="EN170" s="1667" t="e">
        <f>EN169/EN158</f>
        <v>#DIV/0!</v>
      </c>
      <c r="EO170" s="1667" t="e">
        <f>EO169/EO158</f>
        <v>#DIV/0!</v>
      </c>
      <c r="EP170" s="1667" t="e">
        <f>EP169/EP158</f>
        <v>#DIV/0!</v>
      </c>
      <c r="EQ170" s="1667" t="e">
        <f>EQ169/EQ158</f>
        <v>#DIV/0!</v>
      </c>
      <c r="ER170" s="1668" t="e">
        <f>EQ170</f>
        <v>#DIV/0!</v>
      </c>
      <c r="ES170" s="1667" t="e">
        <f>ES169/ES158</f>
        <v>#DIV/0!</v>
      </c>
      <c r="ET170" s="1667" t="e">
        <f>ET169/ET158</f>
        <v>#DIV/0!</v>
      </c>
      <c r="EU170" s="1667" t="e">
        <f>EU169/EU158</f>
        <v>#DIV/0!</v>
      </c>
      <c r="EV170" s="1667" t="e">
        <f>EV169/EV158</f>
        <v>#DIV/0!</v>
      </c>
      <c r="EW170" s="1668" t="e">
        <f>EV170</f>
        <v>#DIV/0!</v>
      </c>
      <c r="EX170" s="1667" t="e">
        <f>EX169/EX158</f>
        <v>#DIV/0!</v>
      </c>
      <c r="EY170" s="1667" t="e">
        <f>EY169/EY158</f>
        <v>#DIV/0!</v>
      </c>
      <c r="EZ170" s="1667" t="e">
        <f>EZ169/EZ158</f>
        <v>#DIV/0!</v>
      </c>
      <c r="FA170" s="1667" t="e">
        <f>FA169/FA158</f>
        <v>#DIV/0!</v>
      </c>
      <c r="FB170" s="1668" t="e">
        <f>FA170</f>
        <v>#DIV/0!</v>
      </c>
      <c r="FC170" s="1667" t="e">
        <f>FC169/FC158</f>
        <v>#DIV/0!</v>
      </c>
      <c r="FD170" s="1667" t="e">
        <f>FD169/FD158</f>
        <v>#DIV/0!</v>
      </c>
      <c r="FE170" s="1667" t="e">
        <f>FE169/FE158</f>
        <v>#DIV/0!</v>
      </c>
      <c r="FF170" s="1667" t="e">
        <f>FF169/FF158</f>
        <v>#DIV/0!</v>
      </c>
      <c r="FG170" s="1668" t="e">
        <f>FF170</f>
        <v>#DIV/0!</v>
      </c>
      <c r="FH170" s="1667" t="e">
        <f>FH169/FH158</f>
        <v>#DIV/0!</v>
      </c>
      <c r="FI170" s="1667" t="e">
        <f>FI169/FI158</f>
        <v>#DIV/0!</v>
      </c>
      <c r="FJ170" s="1667" t="e">
        <f>FJ169/FJ158</f>
        <v>#DIV/0!</v>
      </c>
      <c r="FK170" s="1667" t="e">
        <f>FK169/FK158</f>
        <v>#DIV/0!</v>
      </c>
      <c r="FL170" s="1668" t="e">
        <f>FK170</f>
        <v>#DIV/0!</v>
      </c>
      <c r="FM170" s="1671"/>
      <c r="FN170" s="1671"/>
      <c r="FO170" s="1671"/>
      <c r="FP170" s="1671"/>
      <c r="FQ170" s="1671"/>
    </row>
    <row r="171" spans="1:173" s="32" customFormat="1" ht="12" hidden="1" outlineLevel="1">
      <c r="A171" s="32" t="s">
        <v>163</v>
      </c>
      <c r="BP171" s="51"/>
      <c r="BU171" s="51"/>
      <c r="BY171" s="1138">
        <v>0.01</v>
      </c>
      <c r="BZ171" s="51">
        <f>BY171</f>
        <v>0.01</v>
      </c>
      <c r="CA171" s="32">
        <f>CA169/BV169-1</f>
        <v>-5.2299052299052295E-2</v>
      </c>
      <c r="CB171" s="32">
        <f>CB169/BW169-1</f>
        <v>-8.3798882681564213E-2</v>
      </c>
      <c r="CC171" s="32">
        <f>CC169/BX169-1</f>
        <v>-0.12583012932541071</v>
      </c>
      <c r="CD171" s="32">
        <f>CD169/BY169-1</f>
        <v>-0.17175974710221287</v>
      </c>
      <c r="CE171" s="51">
        <f>CD171</f>
        <v>-0.17175974710221287</v>
      </c>
      <c r="CF171" s="32">
        <f>CF169/CA169-1</f>
        <v>-0.16222222222222227</v>
      </c>
      <c r="CG171" s="32">
        <f>CG169/CB169-1</f>
        <v>-0.15320121951219512</v>
      </c>
      <c r="CH171" s="32">
        <f>CH169/CC169-1</f>
        <v>-0.13594562175129943</v>
      </c>
      <c r="CI171" s="32">
        <f>CI169/CD169-1</f>
        <v>-0.1013570822731128</v>
      </c>
      <c r="CJ171" s="51">
        <f>CI171</f>
        <v>-0.1013570822731128</v>
      </c>
      <c r="CK171" s="32">
        <f>CK169/CF169-1</f>
        <v>-7.294429708222816E-2</v>
      </c>
      <c r="CL171" s="32">
        <f>CL169/CG169-1</f>
        <v>-4.3654365436543663E-2</v>
      </c>
      <c r="CM171" s="32">
        <f>CM169/CH169-1</f>
        <v>-2.3600185099491022E-2</v>
      </c>
      <c r="CN171" s="32">
        <f>CN169/CI169-1</f>
        <v>-2.5011798017932962E-2</v>
      </c>
      <c r="CO171" s="51">
        <f>CN171</f>
        <v>-2.5011798017932962E-2</v>
      </c>
      <c r="CP171" s="32">
        <f>CP169/CK169-1</f>
        <v>1.0968049594659135E-2</v>
      </c>
      <c r="CQ171" s="32">
        <f>CQ169/CL169-1</f>
        <v>0.76800000000000002</v>
      </c>
      <c r="CR171" s="32">
        <f>CR169/CM169-1</f>
        <v>-6.7298578199052161E-2</v>
      </c>
      <c r="CS171" s="32">
        <f>CS169/CN169-1</f>
        <v>-0.10987415295256531</v>
      </c>
      <c r="CT171" s="51">
        <f>CS171</f>
        <v>-0.10987415295256531</v>
      </c>
      <c r="CU171" s="32">
        <f>CU169/CP169-1</f>
        <v>-0.18349056603773584</v>
      </c>
      <c r="CV171" s="32">
        <f>CV169/CQ169-1</f>
        <v>-0.56081980303433587</v>
      </c>
      <c r="CW171" s="32">
        <f>CW169/CR169-1</f>
        <v>-0.22967479674796742</v>
      </c>
      <c r="CX171" s="32">
        <f>CX169/CS169-1</f>
        <v>-0.24089178901576946</v>
      </c>
      <c r="CY171" s="51">
        <f>CX171</f>
        <v>-0.24089178901576946</v>
      </c>
      <c r="CZ171" s="32">
        <f>CZ169/CU169-1</f>
        <v>-0.29231658001155403</v>
      </c>
      <c r="DA171" s="32">
        <f>DA169/CV169-1</f>
        <v>-0.3418181818181818</v>
      </c>
      <c r="DB171" s="32">
        <f>DB169/CW169-1</f>
        <v>-0.37137203166226918</v>
      </c>
      <c r="DC171" s="32">
        <f>DC169/CX169-1</f>
        <v>-0.22421203438395421</v>
      </c>
      <c r="DD171" s="51">
        <f>DC171</f>
        <v>-0.22421203438395421</v>
      </c>
      <c r="DE171" s="32">
        <f>DE169/CZ169-1</f>
        <v>1.0016326530612245</v>
      </c>
      <c r="DF171" s="32">
        <f>DF169/DA169-1</f>
        <v>-0.4475138121546961</v>
      </c>
      <c r="DG171" s="32">
        <f>DG169/DB169-1</f>
        <v>-0.19832109129066111</v>
      </c>
      <c r="DH171" s="32">
        <f>DH169/DC169-1</f>
        <v>-0.42382271468144039</v>
      </c>
      <c r="DI171" s="51">
        <f>DH171</f>
        <v>-0.42382271468144039</v>
      </c>
      <c r="DJ171" s="32">
        <f>DJ169/DE169-1</f>
        <v>-0.79037520391517124</v>
      </c>
      <c r="DK171" s="32">
        <f>DK169/DF169-1</f>
        <v>-0.6316666666666666</v>
      </c>
      <c r="DL171" s="32">
        <f>DL169/DG169-1</f>
        <v>-0.78403141361256545</v>
      </c>
      <c r="DM171" s="32">
        <f>DM169/DH169-1</f>
        <v>-0.81570512820512819</v>
      </c>
      <c r="DN171" s="51">
        <f>DM171</f>
        <v>-0.81570512820512819</v>
      </c>
      <c r="DO171" s="32">
        <f>DO169/DJ169-1</f>
        <v>-1</v>
      </c>
      <c r="DP171" s="32">
        <f>DP169/DK169-1</f>
        <v>-1</v>
      </c>
      <c r="DQ171" s="32">
        <f>DQ169/DL169-1</f>
        <v>-1</v>
      </c>
      <c r="DR171" s="32">
        <f>DR169/DM169-1</f>
        <v>3.6956521739130439</v>
      </c>
      <c r="DS171" s="51"/>
      <c r="DT171" s="32" t="str">
        <f>IF(ISERROR(DT169/DO169-1),"",(DT169/DO169-1))</f>
        <v/>
      </c>
      <c r="DU171" s="32" t="str">
        <f t="shared" ref="DU171:EC171" si="241">IF(ISERROR(DU169/DP169-1),"",(DU169/DP169-1))</f>
        <v/>
      </c>
      <c r="DV171" s="32" t="str">
        <f t="shared" si="241"/>
        <v/>
      </c>
      <c r="DX171" s="51">
        <f t="shared" si="241"/>
        <v>-1</v>
      </c>
      <c r="DY171" s="32">
        <f t="shared" si="241"/>
        <v>-1</v>
      </c>
      <c r="DZ171" s="32">
        <f t="shared" si="241"/>
        <v>-1</v>
      </c>
      <c r="EA171" s="35">
        <f t="shared" si="241"/>
        <v>-1</v>
      </c>
      <c r="EB171" s="32" t="str">
        <f t="shared" si="241"/>
        <v/>
      </c>
      <c r="EC171" s="51" t="str">
        <f t="shared" si="241"/>
        <v/>
      </c>
      <c r="ED171" s="35" t="str">
        <f t="shared" ref="ED171:EQ171" si="242">IF(ISERROR(ED169/DY169-1),"",(ED169/DY169-1))</f>
        <v/>
      </c>
      <c r="EE171" s="35" t="str">
        <f t="shared" si="242"/>
        <v/>
      </c>
      <c r="EF171" s="35" t="str">
        <f t="shared" si="242"/>
        <v/>
      </c>
      <c r="EG171" s="32" t="str">
        <f t="shared" si="242"/>
        <v/>
      </c>
      <c r="EH171" s="52" t="str">
        <f t="shared" si="242"/>
        <v/>
      </c>
      <c r="EI171" s="35" t="str">
        <f t="shared" si="242"/>
        <v/>
      </c>
      <c r="EJ171" s="1667" t="str">
        <f t="shared" si="242"/>
        <v/>
      </c>
      <c r="EK171" s="1667" t="str">
        <f t="shared" si="242"/>
        <v/>
      </c>
      <c r="EL171" s="1667" t="str">
        <f t="shared" si="242"/>
        <v/>
      </c>
      <c r="EM171" s="1668" t="str">
        <f t="shared" si="242"/>
        <v/>
      </c>
      <c r="EN171" s="1667" t="str">
        <f t="shared" ref="EN171:EW171" si="243">IF(ISERROR(EN169/EI169-1),"",(EN169/EI169-1))</f>
        <v/>
      </c>
      <c r="EO171" s="1667" t="str">
        <f t="shared" si="242"/>
        <v/>
      </c>
      <c r="EP171" s="1667" t="str">
        <f t="shared" si="242"/>
        <v/>
      </c>
      <c r="EQ171" s="1667" t="str">
        <f t="shared" si="242"/>
        <v/>
      </c>
      <c r="ER171" s="1668" t="str">
        <f t="shared" si="243"/>
        <v/>
      </c>
      <c r="ES171" s="1667" t="str">
        <f t="shared" si="243"/>
        <v/>
      </c>
      <c r="ET171" s="1667" t="str">
        <f t="shared" si="243"/>
        <v/>
      </c>
      <c r="EU171" s="1667" t="str">
        <f t="shared" si="243"/>
        <v/>
      </c>
      <c r="EV171" s="1667" t="str">
        <f t="shared" si="243"/>
        <v/>
      </c>
      <c r="EW171" s="1668" t="str">
        <f t="shared" si="243"/>
        <v/>
      </c>
      <c r="EX171" s="1667" t="str">
        <f t="shared" ref="EX171:FG171" si="244">IF(ISERROR(EX169/ES169-1),"",(EX169/ES169-1))</f>
        <v/>
      </c>
      <c r="EY171" s="1667" t="str">
        <f t="shared" si="244"/>
        <v/>
      </c>
      <c r="EZ171" s="1667" t="str">
        <f t="shared" si="244"/>
        <v/>
      </c>
      <c r="FA171" s="1667" t="str">
        <f t="shared" si="244"/>
        <v/>
      </c>
      <c r="FB171" s="1668" t="str">
        <f t="shared" si="244"/>
        <v/>
      </c>
      <c r="FC171" s="1667" t="str">
        <f t="shared" si="244"/>
        <v/>
      </c>
      <c r="FD171" s="1667" t="str">
        <f t="shared" si="244"/>
        <v/>
      </c>
      <c r="FE171" s="1667" t="str">
        <f t="shared" si="244"/>
        <v/>
      </c>
      <c r="FF171" s="1667" t="str">
        <f t="shared" si="244"/>
        <v/>
      </c>
      <c r="FG171" s="1668" t="str">
        <f t="shared" si="244"/>
        <v/>
      </c>
      <c r="FH171" s="1667" t="str">
        <f t="shared" ref="FH171" si="245">IF(ISERROR(FH169/FC169-1),"",(FH169/FC169-1))</f>
        <v/>
      </c>
      <c r="FI171" s="1667" t="str">
        <f t="shared" ref="FI171" si="246">IF(ISERROR(FI169/FD169-1),"",(FI169/FD169-1))</f>
        <v/>
      </c>
      <c r="FJ171" s="1667" t="str">
        <f t="shared" ref="FJ171" si="247">IF(ISERROR(FJ169/FE169-1),"",(FJ169/FE169-1))</f>
        <v/>
      </c>
      <c r="FK171" s="1667" t="str">
        <f t="shared" ref="FK171" si="248">IF(ISERROR(FK169/FF169-1),"",(FK169/FF169-1))</f>
        <v/>
      </c>
      <c r="FL171" s="1668" t="str">
        <f t="shared" ref="FL171" si="249">IF(ISERROR(FL169/FG169-1),"",(FL169/FG169-1))</f>
        <v/>
      </c>
      <c r="FM171" s="1671"/>
      <c r="FN171" s="1671"/>
      <c r="FO171" s="1671"/>
      <c r="FP171" s="1671"/>
      <c r="FQ171" s="1671"/>
    </row>
    <row r="172" spans="1:173" s="29" customFormat="1" ht="12" hidden="1" outlineLevel="1">
      <c r="BP172" s="76"/>
      <c r="BU172" s="76"/>
      <c r="BZ172" s="76"/>
      <c r="CE172" s="76"/>
      <c r="CJ172" s="76"/>
      <c r="CO172" s="76"/>
      <c r="CT172" s="76"/>
      <c r="CY172" s="76"/>
      <c r="DD172" s="76"/>
      <c r="DI172" s="76"/>
      <c r="DN172" s="76"/>
      <c r="DS172" s="76"/>
      <c r="DX172" s="76"/>
      <c r="EA172" s="30"/>
      <c r="EC172" s="76"/>
      <c r="ED172" s="30"/>
      <c r="EE172" s="30"/>
      <c r="EF172" s="30"/>
      <c r="EH172" s="78"/>
      <c r="EI172" s="30"/>
      <c r="EJ172" s="1665"/>
      <c r="EK172" s="1665"/>
      <c r="EL172" s="1665"/>
      <c r="EM172" s="1679"/>
      <c r="EN172" s="1665"/>
      <c r="EO172" s="1665"/>
      <c r="EP172" s="1665"/>
      <c r="EQ172" s="1665"/>
      <c r="ER172" s="1679"/>
      <c r="ES172" s="1665"/>
      <c r="ET172" s="1665"/>
      <c r="EU172" s="1665"/>
      <c r="EV172" s="1665"/>
      <c r="EW172" s="1679"/>
      <c r="EX172" s="1665"/>
      <c r="EY172" s="1665"/>
      <c r="EZ172" s="1665"/>
      <c r="FA172" s="1665"/>
      <c r="FB172" s="1679"/>
      <c r="FC172" s="1665"/>
      <c r="FD172" s="1665"/>
      <c r="FE172" s="1665"/>
      <c r="FF172" s="1665"/>
      <c r="FG172" s="1679"/>
      <c r="FH172" s="1665"/>
      <c r="FI172" s="1665"/>
      <c r="FJ172" s="1665"/>
      <c r="FK172" s="1665"/>
      <c r="FL172" s="1679"/>
      <c r="FM172" s="2658"/>
      <c r="FN172" s="2658"/>
      <c r="FO172" s="2658"/>
      <c r="FP172" s="2658"/>
      <c r="FQ172" s="2658"/>
    </row>
    <row r="173" spans="1:173" s="29" customFormat="1" ht="12" hidden="1" outlineLevel="1">
      <c r="A173" s="48" t="s">
        <v>280</v>
      </c>
      <c r="BP173" s="76"/>
      <c r="BU173" s="76"/>
      <c r="BV173" s="1146">
        <v>724</v>
      </c>
      <c r="BW173" s="1146">
        <v>676</v>
      </c>
      <c r="BX173" s="1146">
        <v>700</v>
      </c>
      <c r="BY173" s="1146">
        <v>696</v>
      </c>
      <c r="BZ173" s="49">
        <f>BY173</f>
        <v>696</v>
      </c>
      <c r="CA173" s="1146">
        <v>758</v>
      </c>
      <c r="CB173" s="1146">
        <v>648</v>
      </c>
      <c r="CC173" s="1146">
        <v>694</v>
      </c>
      <c r="CD173" s="1146">
        <v>744</v>
      </c>
      <c r="CE173" s="49">
        <f>CD173</f>
        <v>744</v>
      </c>
      <c r="CF173" s="1146">
        <v>715</v>
      </c>
      <c r="CG173" s="1146">
        <v>737</v>
      </c>
      <c r="CH173" s="1146">
        <v>929</v>
      </c>
      <c r="CI173" s="1146">
        <v>1048</v>
      </c>
      <c r="CJ173" s="49">
        <f>CI173</f>
        <v>1048</v>
      </c>
      <c r="CK173" s="1146">
        <v>946</v>
      </c>
      <c r="CL173" s="1146">
        <v>963</v>
      </c>
      <c r="CM173" s="1146">
        <v>1048</v>
      </c>
      <c r="CN173" s="1146">
        <v>1175</v>
      </c>
      <c r="CO173" s="49">
        <f>CN173</f>
        <v>1175</v>
      </c>
      <c r="CP173" s="1146">
        <v>1101</v>
      </c>
      <c r="CQ173" s="1146">
        <v>1187</v>
      </c>
      <c r="CR173" s="1146">
        <v>1369</v>
      </c>
      <c r="CS173" s="1146">
        <v>1473</v>
      </c>
      <c r="CT173" s="49">
        <f>CS173</f>
        <v>1473</v>
      </c>
      <c r="CU173" s="1146">
        <v>1352</v>
      </c>
      <c r="CV173" s="1146">
        <v>1383</v>
      </c>
      <c r="CW173" s="1146">
        <v>1543</v>
      </c>
      <c r="CX173" s="1146">
        <v>1669</v>
      </c>
      <c r="CY173" s="49">
        <f>CX173</f>
        <v>1669</v>
      </c>
      <c r="CZ173" s="1146">
        <v>1514</v>
      </c>
      <c r="DA173" s="1146">
        <v>1529</v>
      </c>
      <c r="DB173" s="1146">
        <v>1693</v>
      </c>
      <c r="DC173" s="1146">
        <v>1851</v>
      </c>
      <c r="DD173" s="49">
        <f>DC173</f>
        <v>1851</v>
      </c>
      <c r="DE173" s="1146">
        <v>1789</v>
      </c>
      <c r="DF173" s="1146">
        <v>1870</v>
      </c>
      <c r="DG173" s="1146">
        <v>1920</v>
      </c>
      <c r="DH173" s="1146">
        <v>2026</v>
      </c>
      <c r="DI173" s="49">
        <f>DH173</f>
        <v>2026</v>
      </c>
      <c r="DJ173" s="1146">
        <v>2025</v>
      </c>
      <c r="DK173" s="1146">
        <v>2077</v>
      </c>
      <c r="DL173" s="1146">
        <v>2220</v>
      </c>
      <c r="DM173" s="29">
        <f>BS!DM32+BS!DM27-DM169-DM164</f>
        <v>2380</v>
      </c>
      <c r="DN173" s="49">
        <f>DM173</f>
        <v>2380</v>
      </c>
      <c r="DO173" s="1146">
        <v>2289</v>
      </c>
      <c r="DP173" s="1146">
        <v>2461</v>
      </c>
      <c r="DQ173" s="1146">
        <v>2710</v>
      </c>
      <c r="DR173" s="29">
        <f>2802-DR169</f>
        <v>2262</v>
      </c>
      <c r="DS173" s="49">
        <f>DR173</f>
        <v>2262</v>
      </c>
      <c r="DT173" s="29">
        <f>19587-DT169-DT164</f>
        <v>1934.0453987838919</v>
      </c>
      <c r="DU173" s="1146">
        <v>2663</v>
      </c>
      <c r="DV173" s="29">
        <f>17905-DV164-DV169</f>
        <v>2507.1455962670707</v>
      </c>
      <c r="DW173" s="1146">
        <v>3528</v>
      </c>
      <c r="DX173" s="49">
        <f>DW173</f>
        <v>3528</v>
      </c>
      <c r="DY173" s="29">
        <f>DW173*1.005</f>
        <v>3545.6399999999994</v>
      </c>
      <c r="DZ173" s="29">
        <f>DY173*1.005</f>
        <v>3563.368199999999</v>
      </c>
      <c r="EA173" s="30">
        <f>DZ173*1.005</f>
        <v>3581.1850409999988</v>
      </c>
      <c r="EB173" s="1146">
        <f>EB26-EB164</f>
        <v>4141.0804607999999</v>
      </c>
      <c r="EC173" s="49">
        <f>EB173</f>
        <v>4141.0804607999999</v>
      </c>
      <c r="ED173" s="30">
        <f>EB173*1.005</f>
        <v>4161.785863103999</v>
      </c>
      <c r="EE173" s="30">
        <f>ED173*1.005</f>
        <v>4182.5947924195189</v>
      </c>
      <c r="EF173" s="30">
        <f>EE173*1.005</f>
        <v>4203.5077663816164</v>
      </c>
      <c r="EG173" s="1146">
        <f>EF173*1.005</f>
        <v>4224.525305213524</v>
      </c>
      <c r="EH173" s="50">
        <f>EG173</f>
        <v>4224.525305213524</v>
      </c>
      <c r="EI173" s="30">
        <f>EG173*1.005</f>
        <v>4245.6479317395915</v>
      </c>
      <c r="EJ173" s="1665">
        <f>EI173*1.005</f>
        <v>4266.8761713982894</v>
      </c>
      <c r="EK173" s="1665">
        <f>EJ173*1.005</f>
        <v>4288.2105522552802</v>
      </c>
      <c r="EL173" s="1665">
        <f>EK173*1.005</f>
        <v>4309.6516050165565</v>
      </c>
      <c r="EM173" s="1666">
        <f>EL173</f>
        <v>4309.6516050165565</v>
      </c>
      <c r="EN173" s="1665">
        <f>EL173*1.005</f>
        <v>4331.1998630416392</v>
      </c>
      <c r="EO173" s="1665">
        <f>EN173*1.005</f>
        <v>4352.855862356847</v>
      </c>
      <c r="EP173" s="1665">
        <f>EO173*1.005</f>
        <v>4374.6201416686308</v>
      </c>
      <c r="EQ173" s="1665">
        <f>EP173*1.005</f>
        <v>4396.4932423769733</v>
      </c>
      <c r="ER173" s="1666">
        <f>EQ173</f>
        <v>4396.4932423769733</v>
      </c>
      <c r="ES173" s="1665">
        <f>EQ173*1.005</f>
        <v>4418.4757085888577</v>
      </c>
      <c r="ET173" s="1665">
        <f>ER173*1.005</f>
        <v>4418.4757085888577</v>
      </c>
      <c r="EU173" s="1665">
        <f>ET173*1.005</f>
        <v>4440.5680871318018</v>
      </c>
      <c r="EV173" s="1665">
        <f>EU173*1.005</f>
        <v>4462.7709275674606</v>
      </c>
      <c r="EW173" s="1666">
        <f>EV173</f>
        <v>4462.7709275674606</v>
      </c>
      <c r="EX173" s="1665">
        <f>EV173*1.005</f>
        <v>4485.0847822052974</v>
      </c>
      <c r="EY173" s="1665">
        <f>EX173*1.005</f>
        <v>4507.5102061163234</v>
      </c>
      <c r="EZ173" s="1665">
        <f>EY173*1.005</f>
        <v>4530.0477571469046</v>
      </c>
      <c r="FA173" s="1665">
        <f>EZ173*1.005</f>
        <v>4552.6979959326391</v>
      </c>
      <c r="FB173" s="1666">
        <f>FA173</f>
        <v>4552.6979959326391</v>
      </c>
      <c r="FC173" s="1665">
        <f>FA173*1.005</f>
        <v>4575.4614859123021</v>
      </c>
      <c r="FD173" s="1665">
        <f>FC173*1.005</f>
        <v>4598.3387933418635</v>
      </c>
      <c r="FE173" s="1665">
        <f>FD173*1.005</f>
        <v>4621.3304873085726</v>
      </c>
      <c r="FF173" s="1665">
        <f>FE173*1.005</f>
        <v>4644.437139745115</v>
      </c>
      <c r="FG173" s="1666">
        <f>FF173</f>
        <v>4644.437139745115</v>
      </c>
      <c r="FH173" s="1665">
        <f>FF173*1.005</f>
        <v>4667.6593254438403</v>
      </c>
      <c r="FI173" s="1665">
        <f>FH173*1.005</f>
        <v>4690.9976220710587</v>
      </c>
      <c r="FJ173" s="1665">
        <f>FI173*1.005</f>
        <v>4714.4526101814135</v>
      </c>
      <c r="FK173" s="1665">
        <f>FJ173*1.005</f>
        <v>4738.0248732323198</v>
      </c>
      <c r="FL173" s="1666">
        <f>FK173</f>
        <v>4738.0248732323198</v>
      </c>
      <c r="FM173" s="2654"/>
      <c r="FN173" s="2654"/>
      <c r="FO173" s="2654"/>
      <c r="FP173" s="2654"/>
      <c r="FQ173" s="2654"/>
    </row>
    <row r="174" spans="1:173" s="32" customFormat="1" ht="12" hidden="1" outlineLevel="1">
      <c r="A174" s="32" t="s">
        <v>665</v>
      </c>
      <c r="BP174" s="51"/>
      <c r="BU174" s="51"/>
      <c r="BV174" s="32">
        <f>BV173/BV158</f>
        <v>7.9305479483970334E-2</v>
      </c>
      <c r="BW174" s="32">
        <f>BW173/BW158</f>
        <v>7.6501845955517025E-2</v>
      </c>
      <c r="BX174" s="32">
        <f>BX173/BX158</f>
        <v>8.204611384132772E-2</v>
      </c>
      <c r="BY174" s="32">
        <f>BY173/BY158</f>
        <v>7.7206974235796602E-2</v>
      </c>
      <c r="BZ174" s="51">
        <f>BY174</f>
        <v>7.7206974235796602E-2</v>
      </c>
      <c r="CA174" s="32">
        <f>CA173/CA158</f>
        <v>9.1934529939810342E-2</v>
      </c>
      <c r="CB174" s="32">
        <f>CB173/CB158</f>
        <v>8.2526744778400413E-2</v>
      </c>
      <c r="CC174" s="32">
        <f>CC173/CC158</f>
        <v>9.2213659314376833E-2</v>
      </c>
      <c r="CD174" s="32">
        <f>CD173/CD158</f>
        <v>9.0986914516326275E-2</v>
      </c>
      <c r="CE174" s="51">
        <f>CD174</f>
        <v>9.0986914516326275E-2</v>
      </c>
      <c r="CF174" s="32">
        <f>CF173/CF158</f>
        <v>9.1878694423027499E-2</v>
      </c>
      <c r="CG174" s="32">
        <f>CG173/CG158</f>
        <v>9.2518202360030125E-2</v>
      </c>
      <c r="CH174" s="32">
        <f>CH173/CH158</f>
        <v>0.11698778491373882</v>
      </c>
      <c r="CI174" s="32">
        <f>CI173/CI158</f>
        <v>0.11432311552307189</v>
      </c>
      <c r="CJ174" s="51">
        <f>CI174</f>
        <v>0.11432311552307189</v>
      </c>
      <c r="CK174" s="32">
        <f>CK173/CK158</f>
        <v>0.10742675448557802</v>
      </c>
      <c r="CL174" s="32">
        <f>CL173/CL158</f>
        <v>0.10896130346232179</v>
      </c>
      <c r="CM174" s="32">
        <f>CM173/CM158</f>
        <v>0.11773957982249185</v>
      </c>
      <c r="CN174" s="32">
        <f>CN173/CN158</f>
        <v>0.10777838928636947</v>
      </c>
      <c r="CO174" s="51">
        <f>CN174</f>
        <v>0.10777838928636947</v>
      </c>
      <c r="CP174" s="32">
        <f>CP173/CP158</f>
        <v>0.10904228978904625</v>
      </c>
      <c r="CQ174" s="32">
        <f>CQ173/CQ158</f>
        <v>0.10007587893095017</v>
      </c>
      <c r="CR174" s="32">
        <f>CR173/CR158</f>
        <v>0.13313235437129242</v>
      </c>
      <c r="CS174" s="32">
        <f>CS173/CS158</f>
        <v>0.11647951921556224</v>
      </c>
      <c r="CT174" s="51">
        <f>CS174</f>
        <v>0.11647951921556224</v>
      </c>
      <c r="CU174" s="32">
        <f>CU173/CU158</f>
        <v>0.11683373660559972</v>
      </c>
      <c r="CV174" s="32">
        <f>CV173/CV158</f>
        <v>0.11356544588602398</v>
      </c>
      <c r="CW174" s="32">
        <f>CW173/CW158</f>
        <v>0.12711096465936239</v>
      </c>
      <c r="CX174" s="32">
        <f>CX173/CX158</f>
        <v>0.10910636072432503</v>
      </c>
      <c r="CY174" s="51">
        <f>CX174</f>
        <v>0.10910636072432503</v>
      </c>
      <c r="CZ174" s="32">
        <f>CZ173/CZ158</f>
        <v>0.11233954144097351</v>
      </c>
      <c r="DA174" s="32">
        <f>DA173/DA158</f>
        <v>0.11702127659574468</v>
      </c>
      <c r="DB174" s="32">
        <f>DB173/DB158</f>
        <v>0.13750812215724498</v>
      </c>
      <c r="DC174" s="32">
        <f>DC173/DC158</f>
        <v>0.12958555026603191</v>
      </c>
      <c r="DD174" s="51">
        <f>DC174</f>
        <v>0.12958555026603191</v>
      </c>
      <c r="DE174" s="32">
        <f>DE173/DE158</f>
        <v>0.12114030335861321</v>
      </c>
      <c r="DF174" s="32">
        <f>DF173/DF158</f>
        <v>0.14926564495530012</v>
      </c>
      <c r="DG174" s="32">
        <f>DG173/DG158</f>
        <v>0.15660685154975529</v>
      </c>
      <c r="DH174" s="32">
        <f>DH173/DH158</f>
        <v>0.13661496965610251</v>
      </c>
      <c r="DI174" s="51">
        <f>DH174</f>
        <v>0.13661496965610251</v>
      </c>
      <c r="DJ174" s="32">
        <f>DJ173/DJ158</f>
        <v>0.14548458941015877</v>
      </c>
      <c r="DK174" s="32">
        <f>DK173/DK158</f>
        <v>0.1548036073637922</v>
      </c>
      <c r="DL174" s="32">
        <f>DL173/DL158</f>
        <v>0.17052000921729779</v>
      </c>
      <c r="DM174" s="32">
        <f>DM173/DM158</f>
        <v>0.13901869158878505</v>
      </c>
      <c r="DN174" s="51">
        <f>DM174</f>
        <v>0.13901869158878505</v>
      </c>
      <c r="DO174" s="32">
        <f>DO173/DO158</f>
        <v>0.14618725252267212</v>
      </c>
      <c r="DP174" s="32">
        <f>DP173/DP158</f>
        <v>0.16049302204251989</v>
      </c>
      <c r="DQ174" s="32">
        <f>DQ173/DQ158</f>
        <v>0.17839510236324138</v>
      </c>
      <c r="DR174" s="32">
        <f>DR173/DR158</f>
        <v>0.11276733635774465</v>
      </c>
      <c r="DS174" s="51">
        <f>DR174</f>
        <v>0.11276733635774465</v>
      </c>
      <c r="DT174" s="32">
        <f>DT173/DT158</f>
        <v>9.8741277315765139E-2</v>
      </c>
      <c r="DU174" s="32">
        <f>DU173/DU158</f>
        <v>0.13440670266996416</v>
      </c>
      <c r="DV174" s="32">
        <f>DV173/DV158</f>
        <v>0.14002488669461438</v>
      </c>
      <c r="DW174" s="32">
        <f>DW173/DW158</f>
        <v>0.15750703156390911</v>
      </c>
      <c r="DX174" s="51">
        <f>DW174</f>
        <v>0.15750703156390911</v>
      </c>
      <c r="DY174" s="32">
        <f>DY173/DY158</f>
        <v>0.17639122431719811</v>
      </c>
      <c r="DZ174" s="32">
        <f>DZ173/DZ158</f>
        <v>0.18298080517613222</v>
      </c>
      <c r="EA174" s="35">
        <f>EA173/EA158</f>
        <v>0.18353756872693722</v>
      </c>
      <c r="EB174" s="32">
        <f>EB173/EB158</f>
        <v>0.1646029279274982</v>
      </c>
      <c r="EC174" s="51">
        <f>EB174</f>
        <v>0.1646029279274982</v>
      </c>
      <c r="ED174" s="35">
        <f>ED173/ED158</f>
        <v>0.18465639644617973</v>
      </c>
      <c r="EE174" s="35">
        <f>EE173/EE158</f>
        <v>0.19689284905237109</v>
      </c>
      <c r="EF174" s="35">
        <f>EF173/EF158</f>
        <v>0.20811504933070682</v>
      </c>
      <c r="EG174" s="32">
        <f>EG173/EG158</f>
        <v>0.16685857118309202</v>
      </c>
      <c r="EH174" s="52">
        <f>EG174</f>
        <v>0.16685857118309202</v>
      </c>
      <c r="EI174" s="35">
        <f>EI173/EI158</f>
        <v>0.17405254422343797</v>
      </c>
      <c r="EJ174" s="1667">
        <f>EJ173/EJ158</f>
        <v>0.17042525969954392</v>
      </c>
      <c r="EK174" s="1667">
        <f>EK173/EK158</f>
        <v>0.16547686641524659</v>
      </c>
      <c r="EL174" s="1667">
        <f>EL173/EL158</f>
        <v>0.19393876610803307</v>
      </c>
      <c r="EM174" s="1668">
        <f>EL174</f>
        <v>0.19393876610803307</v>
      </c>
      <c r="EN174" s="1667" t="e">
        <f>EN173/EN158</f>
        <v>#DIV/0!</v>
      </c>
      <c r="EO174" s="1667" t="e">
        <f>EO173/EO158</f>
        <v>#DIV/0!</v>
      </c>
      <c r="EP174" s="1667" t="e">
        <f>EP173/EP158</f>
        <v>#DIV/0!</v>
      </c>
      <c r="EQ174" s="1667" t="e">
        <f>EQ173/EQ158</f>
        <v>#DIV/0!</v>
      </c>
      <c r="ER174" s="1668" t="e">
        <f>EQ174</f>
        <v>#DIV/0!</v>
      </c>
      <c r="ES174" s="1667" t="e">
        <f>ES173/ES158</f>
        <v>#DIV/0!</v>
      </c>
      <c r="ET174" s="1667" t="e">
        <f>ET173/ET158</f>
        <v>#DIV/0!</v>
      </c>
      <c r="EU174" s="1667" t="e">
        <f>EU173/EU158</f>
        <v>#DIV/0!</v>
      </c>
      <c r="EV174" s="1667" t="e">
        <f>EV173/EV158</f>
        <v>#DIV/0!</v>
      </c>
      <c r="EW174" s="1668" t="e">
        <f>EV174</f>
        <v>#DIV/0!</v>
      </c>
      <c r="EX174" s="1667" t="e">
        <f>EX173/EX158</f>
        <v>#DIV/0!</v>
      </c>
      <c r="EY174" s="1667" t="e">
        <f>EY173/EY158</f>
        <v>#DIV/0!</v>
      </c>
      <c r="EZ174" s="1667" t="e">
        <f>EZ173/EZ158</f>
        <v>#DIV/0!</v>
      </c>
      <c r="FA174" s="1667" t="e">
        <f>FA173/FA158</f>
        <v>#DIV/0!</v>
      </c>
      <c r="FB174" s="1668" t="e">
        <f>FA174</f>
        <v>#DIV/0!</v>
      </c>
      <c r="FC174" s="1667" t="e">
        <f>FC173/FC158</f>
        <v>#DIV/0!</v>
      </c>
      <c r="FD174" s="1667" t="e">
        <f>FD173/FD158</f>
        <v>#DIV/0!</v>
      </c>
      <c r="FE174" s="1667" t="e">
        <f>FE173/FE158</f>
        <v>#DIV/0!</v>
      </c>
      <c r="FF174" s="1667" t="e">
        <f>FF173/FF158</f>
        <v>#DIV/0!</v>
      </c>
      <c r="FG174" s="1668" t="e">
        <f>FF174</f>
        <v>#DIV/0!</v>
      </c>
      <c r="FH174" s="1667" t="e">
        <f>FH173/FH158</f>
        <v>#DIV/0!</v>
      </c>
      <c r="FI174" s="1667" t="e">
        <f>FI173/FI158</f>
        <v>#DIV/0!</v>
      </c>
      <c r="FJ174" s="1667" t="e">
        <f>FJ173/FJ158</f>
        <v>#DIV/0!</v>
      </c>
      <c r="FK174" s="1667" t="e">
        <f>FK173/FK158</f>
        <v>#DIV/0!</v>
      </c>
      <c r="FL174" s="1668" t="e">
        <f>FK174</f>
        <v>#DIV/0!</v>
      </c>
      <c r="FM174" s="1671"/>
      <c r="FN174" s="1671"/>
      <c r="FO174" s="1671"/>
      <c r="FP174" s="1671"/>
      <c r="FQ174" s="1671"/>
    </row>
    <row r="175" spans="1:173" s="64" customFormat="1" ht="12" hidden="1" outlineLevel="1">
      <c r="A175" s="64" t="s">
        <v>163</v>
      </c>
      <c r="BP175" s="68"/>
      <c r="BU175" s="68"/>
      <c r="BY175" s="1148">
        <v>-0.08</v>
      </c>
      <c r="BZ175" s="68">
        <f>BY175</f>
        <v>-0.08</v>
      </c>
      <c r="CA175" s="64">
        <f>CA173/BV173-1</f>
        <v>4.6961325966850875E-2</v>
      </c>
      <c r="CB175" s="64">
        <f>CB173/BW173-1</f>
        <v>-4.1420118343195256E-2</v>
      </c>
      <c r="CC175" s="64">
        <f>CC173/BX173-1</f>
        <v>-8.5714285714285632E-3</v>
      </c>
      <c r="CD175" s="64">
        <f>CD173/BY173-1</f>
        <v>6.8965517241379226E-2</v>
      </c>
      <c r="CE175" s="68">
        <f>CD175</f>
        <v>6.8965517241379226E-2</v>
      </c>
      <c r="CF175" s="64">
        <f>CF173/CA173-1</f>
        <v>-5.6728232189973582E-2</v>
      </c>
      <c r="CG175" s="64">
        <f>CG173/CB173-1</f>
        <v>0.13734567901234573</v>
      </c>
      <c r="CH175" s="64">
        <f>CH173/CC173-1</f>
        <v>0.3386167146974064</v>
      </c>
      <c r="CI175" s="64">
        <f>CI173/CD173-1</f>
        <v>0.40860215053763449</v>
      </c>
      <c r="CJ175" s="68">
        <f>CI175</f>
        <v>0.40860215053763449</v>
      </c>
      <c r="CK175" s="64">
        <f>CK173/CF173-1</f>
        <v>0.32307692307692304</v>
      </c>
      <c r="CL175" s="64">
        <f>CL173/CG173-1</f>
        <v>0.30664857530529166</v>
      </c>
      <c r="CM175" s="64">
        <f>CM173/CH173-1</f>
        <v>0.12809472551130252</v>
      </c>
      <c r="CN175" s="64">
        <f>CN173/CI173-1</f>
        <v>0.12118320610687028</v>
      </c>
      <c r="CO175" s="68">
        <f>CN175</f>
        <v>0.12118320610687028</v>
      </c>
      <c r="CP175" s="64">
        <f>CP173/CK173-1</f>
        <v>0.16384778012684986</v>
      </c>
      <c r="CQ175" s="64">
        <f>CQ173/CL173-1</f>
        <v>0.2326064382139148</v>
      </c>
      <c r="CR175" s="64">
        <f>CR173/CM173-1</f>
        <v>0.30629770992366412</v>
      </c>
      <c r="CS175" s="64">
        <f>CS173/CN173-1</f>
        <v>0.2536170212765958</v>
      </c>
      <c r="CT175" s="68">
        <f>CS175</f>
        <v>0.2536170212765958</v>
      </c>
      <c r="CU175" s="64">
        <f>CU173/CP173-1</f>
        <v>0.22797456857402354</v>
      </c>
      <c r="CV175" s="64">
        <f>CV173/CQ173-1</f>
        <v>0.16512215669755692</v>
      </c>
      <c r="CW175" s="64">
        <f>CW173/CR173-1</f>
        <v>0.127100073046019</v>
      </c>
      <c r="CX175" s="64">
        <f>CX173/CS173-1</f>
        <v>0.13306177868295999</v>
      </c>
      <c r="CY175" s="68">
        <f>CX175</f>
        <v>0.13306177868295999</v>
      </c>
      <c r="CZ175" s="64">
        <f>CZ173/CU173-1</f>
        <v>0.11982248520710059</v>
      </c>
      <c r="DA175" s="64">
        <f>DA173/CV173-1</f>
        <v>0.10556760665220533</v>
      </c>
      <c r="DB175" s="64">
        <f>DB173/CW173-1</f>
        <v>9.7213220998055627E-2</v>
      </c>
      <c r="DC175" s="64">
        <f>DC173/CX173-1</f>
        <v>0.1090473337327742</v>
      </c>
      <c r="DD175" s="68">
        <f>DC175</f>
        <v>0.1090473337327742</v>
      </c>
      <c r="DE175" s="64">
        <f>DE173/CZ173-1</f>
        <v>0.18163804491413482</v>
      </c>
      <c r="DF175" s="64">
        <f>DF173/DA173-1</f>
        <v>0.2230215827338129</v>
      </c>
      <c r="DG175" s="64">
        <f>DG173/DB173-1</f>
        <v>0.13408151210868291</v>
      </c>
      <c r="DH175" s="64">
        <f>DH173/DC173-1</f>
        <v>9.454349000540252E-2</v>
      </c>
      <c r="DI175" s="68">
        <f>DH175</f>
        <v>9.454349000540252E-2</v>
      </c>
      <c r="DJ175" s="64">
        <f>DJ173/DE173-1</f>
        <v>0.13191727221911687</v>
      </c>
      <c r="DK175" s="64">
        <f>DK173/DF173-1</f>
        <v>0.11069518716577531</v>
      </c>
      <c r="DL175" s="64">
        <f>DL173/DG173-1</f>
        <v>0.15625</v>
      </c>
      <c r="DM175" s="64">
        <f>DM173/DH173-1</f>
        <v>0.17472852912142156</v>
      </c>
      <c r="DN175" s="68">
        <f>DM175</f>
        <v>0.17472852912142156</v>
      </c>
      <c r="DO175" s="64">
        <f>DO173/DJ173-1</f>
        <v>0.13037037037037047</v>
      </c>
      <c r="DP175" s="64">
        <f>DP173/DK173-1</f>
        <v>0.18488204140587383</v>
      </c>
      <c r="DQ175" s="64">
        <f>DQ173/DL173-1</f>
        <v>0.22072072072072069</v>
      </c>
      <c r="DR175" s="64">
        <f>DR173/DM173-1</f>
        <v>-4.9579831932773155E-2</v>
      </c>
      <c r="DS175" s="68">
        <f>DR175</f>
        <v>-4.9579831932773155E-2</v>
      </c>
      <c r="DT175" s="64">
        <f>DT173/DO173-1</f>
        <v>-0.15506972530192575</v>
      </c>
      <c r="DU175" s="64">
        <f>DU173/DP173-1</f>
        <v>8.2080455099553085E-2</v>
      </c>
      <c r="DV175" s="64">
        <f>DV173/DQ173-1</f>
        <v>-7.4854023517686108E-2</v>
      </c>
      <c r="DW175" s="64">
        <f>DW173/DR173-1</f>
        <v>0.55968169761273212</v>
      </c>
      <c r="DX175" s="68">
        <f>DW175</f>
        <v>0.55968169761273212</v>
      </c>
      <c r="DY175" s="64">
        <f>DY173/DT173-1</f>
        <v>0.83327651058732233</v>
      </c>
      <c r="DZ175" s="64">
        <f>DZ173/DU173-1</f>
        <v>0.33810296657904582</v>
      </c>
      <c r="EA175" s="65">
        <f>EA173/DV173-1</f>
        <v>0.42839133328837486</v>
      </c>
      <c r="EB175" s="64">
        <f>EB173/DW173-1</f>
        <v>0.17377564081632646</v>
      </c>
      <c r="EC175" s="68">
        <f>EB175</f>
        <v>0.17377564081632646</v>
      </c>
      <c r="ED175" s="65">
        <f>ED173/DY173-1</f>
        <v>0.17377564081632646</v>
      </c>
      <c r="EE175" s="65">
        <f>EE173/DZ173-1</f>
        <v>0.17377564081632646</v>
      </c>
      <c r="EF175" s="65">
        <f>EF173/EA173-1</f>
        <v>0.17377564081632668</v>
      </c>
      <c r="EG175" s="64">
        <f>EG173/EB173-1</f>
        <v>2.0150500624999568E-2</v>
      </c>
      <c r="EH175" s="69">
        <f>EG175</f>
        <v>2.0150500624999568E-2</v>
      </c>
      <c r="EI175" s="65">
        <f>EI173/ED173-1</f>
        <v>2.015050062499979E-2</v>
      </c>
      <c r="EJ175" s="1673">
        <f>EJ173/EE173-1</f>
        <v>2.015050062499979E-2</v>
      </c>
      <c r="EK175" s="1673">
        <f>EK173/EF173-1</f>
        <v>2.0150500624999568E-2</v>
      </c>
      <c r="EL175" s="1673">
        <f>EL173/EG173-1</f>
        <v>2.015050062499979E-2</v>
      </c>
      <c r="EM175" s="1680">
        <f>EL175</f>
        <v>2.015050062499979E-2</v>
      </c>
      <c r="EN175" s="1673">
        <f>EN173/EI173-1</f>
        <v>2.015050062499979E-2</v>
      </c>
      <c r="EO175" s="1673">
        <f>EO173/EJ173-1</f>
        <v>2.015050062499979E-2</v>
      </c>
      <c r="EP175" s="1673">
        <f>EP173/EK173-1</f>
        <v>2.015050062499979E-2</v>
      </c>
      <c r="EQ175" s="1673">
        <f>EQ173/EL173-1</f>
        <v>2.0150500624999568E-2</v>
      </c>
      <c r="ER175" s="1680">
        <f>EQ175</f>
        <v>2.0150500624999568E-2</v>
      </c>
      <c r="ES175" s="1673">
        <f>ES173/EN173-1</f>
        <v>2.0150500624999568E-2</v>
      </c>
      <c r="ET175" s="1673">
        <f>ET173/EO173-1</f>
        <v>1.5075124999999634E-2</v>
      </c>
      <c r="EU175" s="1673">
        <f>EU173/EP173-1</f>
        <v>1.5075124999999634E-2</v>
      </c>
      <c r="EV175" s="1673">
        <f>EV173/EQ173-1</f>
        <v>1.5075124999999856E-2</v>
      </c>
      <c r="EW175" s="1680">
        <f>EV175</f>
        <v>1.5075124999999856E-2</v>
      </c>
      <c r="EX175" s="1673">
        <f>EX173/ES173-1</f>
        <v>1.5075124999999856E-2</v>
      </c>
      <c r="EY175" s="1673">
        <f>EY173/ET173-1</f>
        <v>2.0150500624999568E-2</v>
      </c>
      <c r="EZ175" s="1673">
        <f>EZ173/EU173-1</f>
        <v>2.0150500624999568E-2</v>
      </c>
      <c r="FA175" s="1673">
        <f>FA173/EV173-1</f>
        <v>2.0150500624999568E-2</v>
      </c>
      <c r="FB175" s="1680">
        <f>FA175</f>
        <v>2.0150500624999568E-2</v>
      </c>
      <c r="FC175" s="1673">
        <f>FC173/EX173-1</f>
        <v>2.015050062499979E-2</v>
      </c>
      <c r="FD175" s="1673">
        <f>FD173/EY173-1</f>
        <v>2.015050062499979E-2</v>
      </c>
      <c r="FE175" s="1673">
        <f>FE173/EZ173-1</f>
        <v>2.015050062499979E-2</v>
      </c>
      <c r="FF175" s="1673">
        <f>FF173/FA173-1</f>
        <v>2.015050062499979E-2</v>
      </c>
      <c r="FG175" s="1680">
        <f>FF175</f>
        <v>2.015050062499979E-2</v>
      </c>
      <c r="FH175" s="1673">
        <f>FH173/FC173-1</f>
        <v>2.015050062499979E-2</v>
      </c>
      <c r="FI175" s="1673">
        <f>FI173/FD173-1</f>
        <v>2.0150500624999568E-2</v>
      </c>
      <c r="FJ175" s="1673">
        <f>FJ173/FE173-1</f>
        <v>2.0150500624999568E-2</v>
      </c>
      <c r="FK175" s="1673">
        <f>FK173/FF173-1</f>
        <v>2.0150500624999568E-2</v>
      </c>
      <c r="FL175" s="1680">
        <f>FK175</f>
        <v>2.0150500624999568E-2</v>
      </c>
      <c r="FM175" s="1673"/>
      <c r="FN175" s="1673"/>
      <c r="FO175" s="1673"/>
      <c r="FP175" s="1673"/>
      <c r="FQ175" s="1673"/>
    </row>
    <row r="176" spans="1:173" s="33" customFormat="1" ht="12" hidden="1" outlineLevel="1">
      <c r="DL176" s="34"/>
      <c r="DQ176" s="33">
        <f>IS!DQ2/DL63-1</f>
        <v>-1</v>
      </c>
      <c r="DR176" s="34"/>
      <c r="DS176" s="34"/>
      <c r="DV176" s="34"/>
      <c r="DX176" s="51"/>
      <c r="DY176" s="34"/>
      <c r="EA176" s="34"/>
      <c r="EC176" s="51"/>
      <c r="ED176" s="34"/>
      <c r="EE176" s="34"/>
      <c r="EF176" s="34"/>
      <c r="EH176" s="52"/>
      <c r="EI176" s="34"/>
      <c r="EJ176" s="1671"/>
      <c r="EK176" s="1671"/>
      <c r="EL176" s="1671"/>
      <c r="EM176" s="1668"/>
      <c r="EN176" s="1671"/>
      <c r="EO176" s="1671"/>
      <c r="EP176" s="1671"/>
      <c r="EQ176" s="1671"/>
      <c r="ER176" s="1668"/>
      <c r="ES176" s="1671"/>
      <c r="ET176" s="1671"/>
      <c r="EU176" s="1671"/>
      <c r="EV176" s="1671"/>
      <c r="EW176" s="1668"/>
      <c r="EX176" s="1671"/>
      <c r="EY176" s="1671"/>
      <c r="EZ176" s="1671"/>
      <c r="FA176" s="1671"/>
      <c r="FB176" s="1668"/>
      <c r="FC176" s="1671"/>
      <c r="FD176" s="1671"/>
      <c r="FE176" s="1671"/>
      <c r="FF176" s="1671"/>
      <c r="FG176" s="1668"/>
      <c r="FH176" s="1671"/>
      <c r="FI176" s="1671"/>
      <c r="FJ176" s="1671"/>
      <c r="FK176" s="1671"/>
      <c r="FL176" s="1668"/>
      <c r="FM176" s="1671"/>
      <c r="FN176" s="1671"/>
      <c r="FO176" s="1671"/>
      <c r="FP176" s="1671"/>
      <c r="FQ176" s="1671"/>
    </row>
    <row r="177" spans="128:173" collapsed="1">
      <c r="DX177" s="1621"/>
      <c r="EC177" s="1621"/>
      <c r="EE177" s="1181"/>
      <c r="EH177" s="1621"/>
      <c r="EJ177" s="1681"/>
      <c r="EK177" s="1681"/>
      <c r="EL177" s="1681"/>
      <c r="EM177" s="1682"/>
      <c r="EN177" s="1681"/>
      <c r="EO177" s="1681"/>
      <c r="EP177" s="1681"/>
      <c r="EQ177" s="1681"/>
      <c r="ER177" s="1682"/>
      <c r="ES177" s="1681"/>
      <c r="ET177" s="1681"/>
      <c r="EU177" s="1681"/>
      <c r="EV177" s="1681"/>
      <c r="EW177" s="1682"/>
      <c r="EX177" s="1681"/>
      <c r="EY177" s="1681"/>
      <c r="EZ177" s="1681"/>
      <c r="FA177" s="1681"/>
      <c r="FB177" s="1682"/>
      <c r="FC177" s="1681"/>
      <c r="FD177" s="1681"/>
      <c r="FE177" s="1681"/>
      <c r="FF177" s="1681"/>
      <c r="FG177" s="1682"/>
      <c r="FH177" s="1681"/>
      <c r="FI177" s="1681"/>
      <c r="FJ177" s="1681"/>
      <c r="FK177" s="1681"/>
      <c r="FL177" s="1682"/>
      <c r="FM177" s="2659"/>
      <c r="FN177" s="2659"/>
      <c r="FO177" s="2659"/>
      <c r="FP177" s="2659"/>
      <c r="FQ177" s="2659"/>
    </row>
    <row r="178" spans="128:173">
      <c r="DX178" s="1621"/>
      <c r="EC178" s="1621"/>
      <c r="EE178" s="1182"/>
      <c r="EH178" s="1621"/>
      <c r="EJ178" s="1681"/>
      <c r="EK178" s="1681"/>
      <c r="EL178" s="1681"/>
      <c r="EM178" s="1682"/>
      <c r="EN178" s="1681"/>
      <c r="EO178" s="1681"/>
      <c r="EP178" s="1681"/>
      <c r="EQ178" s="1681"/>
      <c r="ER178" s="1682"/>
      <c r="ES178" s="1681"/>
      <c r="ET178" s="1681"/>
      <c r="EU178" s="1681"/>
      <c r="EV178" s="1681"/>
      <c r="EW178" s="1682"/>
      <c r="EX178" s="1681"/>
      <c r="EY178" s="1681"/>
      <c r="EZ178" s="1681"/>
      <c r="FA178" s="1681"/>
      <c r="FB178" s="1682"/>
      <c r="FC178" s="1681"/>
      <c r="FD178" s="1681"/>
      <c r="FE178" s="1681"/>
      <c r="FF178" s="1681"/>
      <c r="FG178" s="1682"/>
      <c r="FH178" s="1681"/>
      <c r="FI178" s="1681"/>
      <c r="FJ178" s="1681"/>
      <c r="FK178" s="1681"/>
      <c r="FL178" s="1682"/>
      <c r="FM178" s="2659"/>
      <c r="FN178" s="2659"/>
      <c r="FO178" s="2659"/>
      <c r="FP178" s="2659"/>
      <c r="FQ178" s="2659"/>
    </row>
    <row r="179" spans="128:173">
      <c r="DX179" s="1621"/>
      <c r="EC179" s="1621"/>
      <c r="EH179" s="1621"/>
      <c r="EJ179" s="1681"/>
      <c r="EK179" s="1681"/>
      <c r="EL179" s="1681"/>
      <c r="EM179" s="1682"/>
      <c r="EN179" s="1681"/>
      <c r="EO179" s="1681"/>
      <c r="EP179" s="1681"/>
      <c r="EQ179" s="1681"/>
      <c r="ER179" s="1682"/>
      <c r="ES179" s="1681"/>
      <c r="ET179" s="1681"/>
      <c r="EU179" s="1681"/>
      <c r="EV179" s="1681"/>
      <c r="EW179" s="1682"/>
      <c r="EX179" s="1681"/>
      <c r="EY179" s="1681"/>
      <c r="EZ179" s="1681"/>
      <c r="FA179" s="1681"/>
      <c r="FB179" s="1682"/>
      <c r="FC179" s="1681"/>
      <c r="FD179" s="1681"/>
      <c r="FE179" s="1681"/>
      <c r="FF179" s="1681"/>
      <c r="FG179" s="1682"/>
      <c r="FH179" s="1681"/>
      <c r="FI179" s="1681"/>
      <c r="FJ179" s="1681"/>
      <c r="FK179" s="1681"/>
      <c r="FL179" s="1682"/>
      <c r="FM179" s="2659"/>
      <c r="FN179" s="2659"/>
      <c r="FO179" s="2659"/>
      <c r="FP179" s="2659"/>
      <c r="FQ179" s="2659"/>
    </row>
    <row r="180" spans="128:173">
      <c r="DX180" s="1621"/>
      <c r="EC180" s="1621"/>
      <c r="EH180" s="1621"/>
      <c r="EJ180" s="1681"/>
      <c r="EK180" s="1681"/>
      <c r="EL180" s="1681"/>
      <c r="EM180" s="1682"/>
      <c r="EN180" s="1681"/>
      <c r="EO180" s="1681"/>
      <c r="EP180" s="1681"/>
      <c r="EQ180" s="1681"/>
      <c r="ER180" s="1682"/>
      <c r="ES180" s="1681"/>
      <c r="ET180" s="1681"/>
      <c r="EU180" s="1681"/>
      <c r="EV180" s="1681"/>
      <c r="EW180" s="1682"/>
      <c r="EX180" s="1681"/>
      <c r="EY180" s="1681"/>
      <c r="EZ180" s="1681"/>
      <c r="FA180" s="1681"/>
      <c r="FB180" s="1682"/>
      <c r="FC180" s="1681"/>
      <c r="FD180" s="1681"/>
      <c r="FE180" s="1681"/>
      <c r="FF180" s="1681"/>
      <c r="FG180" s="1682"/>
      <c r="FH180" s="1681"/>
      <c r="FI180" s="1681"/>
      <c r="FJ180" s="1681"/>
      <c r="FK180" s="1681"/>
      <c r="FL180" s="1682"/>
      <c r="FM180" s="2659"/>
      <c r="FN180" s="2659"/>
      <c r="FO180" s="2659"/>
      <c r="FP180" s="2659"/>
      <c r="FQ180" s="2659"/>
    </row>
    <row r="181" spans="128:173">
      <c r="DX181" s="1621"/>
      <c r="EC181" s="1621"/>
      <c r="EH181" s="1621"/>
      <c r="EJ181" s="1681"/>
      <c r="EK181" s="1681"/>
      <c r="EL181" s="1681"/>
      <c r="EM181" s="1682"/>
      <c r="EN181" s="1681"/>
      <c r="EO181" s="1681"/>
      <c r="EP181" s="1681"/>
      <c r="EQ181" s="1681"/>
      <c r="ER181" s="1682"/>
      <c r="ES181" s="1681"/>
      <c r="ET181" s="1681"/>
      <c r="EU181" s="1681"/>
      <c r="EV181" s="1681"/>
      <c r="EW181" s="1682"/>
      <c r="EX181" s="1681"/>
      <c r="EY181" s="1681"/>
      <c r="EZ181" s="1681"/>
      <c r="FA181" s="1681"/>
      <c r="FB181" s="1682"/>
      <c r="FC181" s="1681"/>
      <c r="FD181" s="1681"/>
      <c r="FE181" s="1681"/>
      <c r="FF181" s="1681"/>
      <c r="FG181" s="1682"/>
      <c r="FH181" s="1681"/>
      <c r="FI181" s="1681"/>
      <c r="FJ181" s="1681"/>
      <c r="FK181" s="1681"/>
      <c r="FL181" s="1682"/>
      <c r="FM181" s="2659"/>
      <c r="FN181" s="2659"/>
      <c r="FO181" s="2659"/>
      <c r="FP181" s="2659"/>
      <c r="FQ181" s="2659"/>
    </row>
    <row r="182" spans="128:173">
      <c r="DX182" s="1621"/>
      <c r="EC182" s="1621"/>
      <c r="EH182" s="1621"/>
      <c r="EJ182" s="1681"/>
      <c r="EK182" s="1681"/>
      <c r="EL182" s="1681"/>
      <c r="EM182" s="1682"/>
      <c r="EN182" s="1681"/>
      <c r="EO182" s="1681"/>
      <c r="EP182" s="1681"/>
      <c r="EQ182" s="1681"/>
      <c r="ER182" s="1682"/>
      <c r="ES182" s="1681"/>
      <c r="ET182" s="1681"/>
      <c r="EU182" s="1681"/>
      <c r="EV182" s="1681"/>
      <c r="EW182" s="1682"/>
      <c r="EX182" s="1681"/>
      <c r="EY182" s="1681"/>
      <c r="EZ182" s="1681"/>
      <c r="FA182" s="1681"/>
      <c r="FB182" s="1682"/>
      <c r="FC182" s="1681"/>
      <c r="FD182" s="1681"/>
      <c r="FE182" s="1681"/>
      <c r="FF182" s="1681"/>
      <c r="FG182" s="1682"/>
      <c r="FH182" s="1681"/>
      <c r="FI182" s="1681"/>
      <c r="FJ182" s="1681"/>
      <c r="FK182" s="1681"/>
      <c r="FL182" s="1682"/>
      <c r="FM182" s="2659"/>
      <c r="FN182" s="2659"/>
      <c r="FO182" s="2659"/>
      <c r="FP182" s="2659"/>
      <c r="FQ182" s="2659"/>
    </row>
    <row r="183" spans="128:173">
      <c r="DX183" s="1621"/>
      <c r="EC183" s="1621"/>
      <c r="EH183" s="1621"/>
      <c r="EJ183" s="1681"/>
      <c r="EK183" s="1681"/>
      <c r="EL183" s="1681"/>
      <c r="EM183" s="1682"/>
      <c r="EN183" s="1681"/>
      <c r="EO183" s="1681"/>
      <c r="EP183" s="1681"/>
      <c r="EQ183" s="1681"/>
      <c r="ER183" s="1682"/>
      <c r="ES183" s="1681"/>
      <c r="ET183" s="1681"/>
      <c r="EU183" s="1681"/>
      <c r="EV183" s="1681"/>
      <c r="EW183" s="1682"/>
      <c r="EX183" s="1681"/>
      <c r="EY183" s="1681"/>
      <c r="EZ183" s="1681"/>
      <c r="FA183" s="1681"/>
      <c r="FB183" s="1682"/>
      <c r="FC183" s="1681"/>
      <c r="FD183" s="1681"/>
      <c r="FE183" s="1681"/>
      <c r="FF183" s="1681"/>
      <c r="FG183" s="1682"/>
      <c r="FH183" s="1681"/>
      <c r="FI183" s="1681"/>
      <c r="FJ183" s="1681"/>
      <c r="FK183" s="1681"/>
      <c r="FL183" s="1682"/>
      <c r="FM183" s="2659"/>
      <c r="FN183" s="2659"/>
      <c r="FO183" s="2659"/>
      <c r="FP183" s="2659"/>
      <c r="FQ183" s="2659"/>
    </row>
    <row r="184" spans="128:173">
      <c r="DX184" s="1621"/>
      <c r="EC184" s="1621"/>
      <c r="EH184" s="1621"/>
      <c r="EJ184" s="1681"/>
      <c r="EK184" s="1681"/>
      <c r="EL184" s="1681"/>
      <c r="EM184" s="1682"/>
      <c r="EN184" s="1681"/>
      <c r="EO184" s="1681"/>
      <c r="EP184" s="1681"/>
      <c r="EQ184" s="1681"/>
      <c r="ER184" s="1682"/>
      <c r="ES184" s="1681"/>
      <c r="ET184" s="1681"/>
      <c r="EU184" s="1681"/>
      <c r="EV184" s="1681"/>
      <c r="EW184" s="1682"/>
      <c r="EX184" s="1681"/>
      <c r="EY184" s="1681"/>
      <c r="EZ184" s="1681"/>
      <c r="FA184" s="1681"/>
      <c r="FB184" s="1682"/>
      <c r="FC184" s="1681"/>
      <c r="FD184" s="1681"/>
      <c r="FE184" s="1681"/>
      <c r="FF184" s="1681"/>
      <c r="FG184" s="1682"/>
      <c r="FH184" s="1681"/>
      <c r="FI184" s="1681"/>
      <c r="FJ184" s="1681"/>
      <c r="FK184" s="1681"/>
      <c r="FL184" s="1682"/>
      <c r="FM184" s="2659"/>
      <c r="FN184" s="2659"/>
      <c r="FO184" s="2659"/>
      <c r="FP184" s="2659"/>
      <c r="FQ184" s="2659"/>
    </row>
    <row r="185" spans="128:173">
      <c r="DX185" s="1621"/>
      <c r="EC185" s="1621"/>
      <c r="EH185" s="1621"/>
      <c r="EJ185" s="1681"/>
      <c r="EK185" s="1681"/>
      <c r="EL185" s="1681"/>
      <c r="EM185" s="1682"/>
      <c r="EN185" s="1681"/>
      <c r="EO185" s="1681"/>
      <c r="EP185" s="1681"/>
      <c r="EQ185" s="1681"/>
      <c r="ER185" s="1682"/>
      <c r="ES185" s="1681"/>
      <c r="ET185" s="1681"/>
      <c r="EU185" s="1681"/>
      <c r="EV185" s="1681"/>
      <c r="EW185" s="1682"/>
      <c r="EX185" s="1681"/>
      <c r="EY185" s="1681"/>
      <c r="EZ185" s="1681"/>
      <c r="FA185" s="1681"/>
      <c r="FB185" s="1682"/>
      <c r="FC185" s="1681"/>
      <c r="FD185" s="1681"/>
      <c r="FE185" s="1681"/>
      <c r="FF185" s="1681"/>
      <c r="FG185" s="1682"/>
      <c r="FH185" s="1681"/>
      <c r="FI185" s="1681"/>
      <c r="FJ185" s="1681"/>
      <c r="FK185" s="1681"/>
      <c r="FL185" s="1682"/>
      <c r="FM185" s="2659"/>
      <c r="FN185" s="2659"/>
      <c r="FO185" s="2659"/>
      <c r="FP185" s="2659"/>
      <c r="FQ185" s="2659"/>
    </row>
    <row r="186" spans="128:173">
      <c r="DX186" s="1621"/>
      <c r="EC186" s="1621"/>
      <c r="EH186" s="1621"/>
      <c r="EJ186" s="1681"/>
      <c r="EK186" s="1681"/>
      <c r="EL186" s="1681"/>
      <c r="EM186" s="1682"/>
      <c r="EN186" s="1681"/>
      <c r="EO186" s="1681"/>
      <c r="EP186" s="1681"/>
      <c r="EQ186" s="1681"/>
      <c r="ER186" s="1682"/>
      <c r="ES186" s="1681"/>
      <c r="ET186" s="1681"/>
      <c r="EU186" s="1681"/>
      <c r="EV186" s="1681"/>
      <c r="EW186" s="1682"/>
      <c r="EX186" s="1681"/>
      <c r="EY186" s="1681"/>
      <c r="EZ186" s="1681"/>
      <c r="FA186" s="1681"/>
      <c r="FB186" s="1682"/>
      <c r="FC186" s="1681"/>
      <c r="FD186" s="1681"/>
      <c r="FE186" s="1681"/>
      <c r="FF186" s="1681"/>
      <c r="FG186" s="1682"/>
      <c r="FH186" s="1681"/>
      <c r="FI186" s="1681"/>
      <c r="FJ186" s="1681"/>
      <c r="FK186" s="1681"/>
      <c r="FL186" s="1682"/>
      <c r="FM186" s="2659"/>
      <c r="FN186" s="2659"/>
      <c r="FO186" s="2659"/>
      <c r="FP186" s="2659"/>
      <c r="FQ186" s="2659"/>
    </row>
    <row r="187" spans="128:173">
      <c r="DX187" s="1621"/>
      <c r="EC187" s="1621"/>
      <c r="EH187" s="1621"/>
      <c r="EJ187" s="1681"/>
      <c r="EK187" s="1681"/>
      <c r="EL187" s="1681"/>
      <c r="EM187" s="1682"/>
      <c r="EN187" s="1681"/>
      <c r="EO187" s="1681"/>
      <c r="EP187" s="1681"/>
      <c r="EQ187" s="1681"/>
      <c r="ER187" s="1682"/>
      <c r="ES187" s="1681"/>
      <c r="ET187" s="1681"/>
      <c r="EU187" s="1681"/>
      <c r="EV187" s="1681"/>
      <c r="EW187" s="1682"/>
      <c r="EX187" s="1681"/>
      <c r="EY187" s="1681"/>
      <c r="EZ187" s="1681"/>
      <c r="FA187" s="1681"/>
      <c r="FB187" s="1682"/>
      <c r="FC187" s="1681"/>
      <c r="FD187" s="1681"/>
      <c r="FE187" s="1681"/>
      <c r="FF187" s="1681"/>
      <c r="FG187" s="1682"/>
      <c r="FH187" s="1681"/>
      <c r="FI187" s="1681"/>
      <c r="FJ187" s="1681"/>
      <c r="FK187" s="1681"/>
      <c r="FL187" s="1682"/>
      <c r="FM187" s="2659"/>
      <c r="FN187" s="2659"/>
      <c r="FO187" s="2659"/>
      <c r="FP187" s="2659"/>
      <c r="FQ187" s="2659"/>
    </row>
    <row r="188" spans="128:173">
      <c r="DX188" s="1621"/>
      <c r="EC188" s="1621"/>
      <c r="EH188" s="1621"/>
      <c r="EJ188" s="1681"/>
      <c r="EK188" s="1681"/>
      <c r="EL188" s="1681"/>
      <c r="EM188" s="1682"/>
      <c r="EN188" s="1681"/>
      <c r="EO188" s="1681"/>
      <c r="EP188" s="1681"/>
      <c r="EQ188" s="1681"/>
      <c r="ER188" s="1682"/>
      <c r="ES188" s="1681"/>
      <c r="ET188" s="1681"/>
      <c r="EU188" s="1681"/>
      <c r="EV188" s="1681"/>
      <c r="EW188" s="1682"/>
      <c r="EX188" s="1681"/>
      <c r="EY188" s="1681"/>
      <c r="EZ188" s="1681"/>
      <c r="FA188" s="1681"/>
      <c r="FB188" s="1682"/>
      <c r="FC188" s="1681"/>
      <c r="FD188" s="1681"/>
      <c r="FE188" s="1681"/>
      <c r="FF188" s="1681"/>
      <c r="FG188" s="1682"/>
      <c r="FH188" s="1681"/>
      <c r="FI188" s="1681"/>
      <c r="FJ188" s="1681"/>
      <c r="FK188" s="1681"/>
      <c r="FL188" s="1682"/>
      <c r="FM188" s="2659"/>
      <c r="FN188" s="2659"/>
      <c r="FO188" s="2659"/>
      <c r="FP188" s="2659"/>
      <c r="FQ188" s="2659"/>
    </row>
    <row r="189" spans="128:173">
      <c r="DX189" s="1621"/>
      <c r="EC189" s="1621"/>
      <c r="EH189" s="1621"/>
      <c r="EJ189" s="1681"/>
      <c r="EK189" s="1681"/>
      <c r="EL189" s="1681"/>
      <c r="EM189" s="1682"/>
      <c r="EN189" s="1681"/>
      <c r="EO189" s="1681"/>
      <c r="EP189" s="1681"/>
      <c r="EQ189" s="1681"/>
      <c r="ER189" s="1682"/>
      <c r="ES189" s="1681"/>
      <c r="ET189" s="1681"/>
      <c r="EU189" s="1681"/>
      <c r="EV189" s="1681"/>
      <c r="EW189" s="1682"/>
      <c r="EX189" s="1681"/>
      <c r="EY189" s="1681"/>
      <c r="EZ189" s="1681"/>
      <c r="FA189" s="1681"/>
      <c r="FB189" s="1682"/>
      <c r="FC189" s="1681"/>
      <c r="FD189" s="1681"/>
      <c r="FE189" s="1681"/>
      <c r="FF189" s="1681"/>
      <c r="FG189" s="1682"/>
      <c r="FH189" s="1681"/>
      <c r="FI189" s="1681"/>
      <c r="FJ189" s="1681"/>
      <c r="FK189" s="1681"/>
      <c r="FL189" s="1682"/>
      <c r="FM189" s="2659"/>
      <c r="FN189" s="2659"/>
      <c r="FO189" s="2659"/>
      <c r="FP189" s="2659"/>
      <c r="FQ189" s="2659"/>
    </row>
    <row r="190" spans="128:173">
      <c r="DX190" s="1621"/>
      <c r="EC190" s="1621"/>
      <c r="EH190" s="1621"/>
      <c r="EJ190" s="1681"/>
      <c r="EK190" s="1681"/>
      <c r="EL190" s="1681"/>
      <c r="EM190" s="1682"/>
      <c r="EN190" s="1681"/>
      <c r="EO190" s="1681"/>
      <c r="EP190" s="1681"/>
      <c r="EQ190" s="1681"/>
      <c r="ER190" s="1682"/>
      <c r="ES190" s="1681"/>
      <c r="ET190" s="1681"/>
      <c r="EU190" s="1681"/>
      <c r="EV190" s="1681"/>
      <c r="EW190" s="1682"/>
      <c r="EX190" s="1681"/>
      <c r="EY190" s="1681"/>
      <c r="EZ190" s="1681"/>
      <c r="FA190" s="1681"/>
      <c r="FB190" s="1682"/>
      <c r="FC190" s="1681"/>
      <c r="FD190" s="1681"/>
      <c r="FE190" s="1681"/>
      <c r="FF190" s="1681"/>
      <c r="FG190" s="1682"/>
      <c r="FH190" s="1681"/>
      <c r="FI190" s="1681"/>
      <c r="FJ190" s="1681"/>
      <c r="FK190" s="1681"/>
      <c r="FL190" s="1682"/>
      <c r="FM190" s="2659"/>
      <c r="FN190" s="2659"/>
      <c r="FO190" s="2659"/>
      <c r="FP190" s="2659"/>
      <c r="FQ190" s="2659"/>
    </row>
    <row r="191" spans="128:173">
      <c r="DX191" s="1621"/>
      <c r="EC191" s="1621"/>
      <c r="EH191" s="1621"/>
      <c r="EJ191" s="1681"/>
      <c r="EK191" s="1681"/>
      <c r="EL191" s="1681"/>
      <c r="EM191" s="1682"/>
      <c r="EN191" s="1681"/>
      <c r="EO191" s="1681"/>
      <c r="EP191" s="1681"/>
      <c r="EQ191" s="1681"/>
      <c r="ER191" s="1682"/>
      <c r="ES191" s="1681"/>
      <c r="ET191" s="1681"/>
      <c r="EU191" s="1681"/>
      <c r="EV191" s="1681"/>
      <c r="EW191" s="1682"/>
      <c r="EX191" s="1681"/>
      <c r="EY191" s="1681"/>
      <c r="EZ191" s="1681"/>
      <c r="FA191" s="1681"/>
      <c r="FB191" s="1682"/>
      <c r="FC191" s="1681"/>
      <c r="FD191" s="1681"/>
      <c r="FE191" s="1681"/>
      <c r="FF191" s="1681"/>
      <c r="FG191" s="1682"/>
      <c r="FH191" s="1681"/>
      <c r="FI191" s="1681"/>
      <c r="FJ191" s="1681"/>
      <c r="FK191" s="1681"/>
      <c r="FL191" s="1682"/>
      <c r="FM191" s="2659"/>
      <c r="FN191" s="2659"/>
      <c r="FO191" s="2659"/>
      <c r="FP191" s="2659"/>
      <c r="FQ191" s="2659"/>
    </row>
    <row r="192" spans="128:173">
      <c r="DX192" s="1621"/>
      <c r="EC192" s="1621"/>
      <c r="EH192" s="1621"/>
      <c r="EJ192" s="1681"/>
      <c r="EK192" s="1681"/>
      <c r="EL192" s="1681"/>
      <c r="EM192" s="1682"/>
      <c r="EN192" s="1681"/>
      <c r="EO192" s="1681"/>
      <c r="EP192" s="1681"/>
      <c r="EQ192" s="1681"/>
      <c r="ER192" s="1682"/>
      <c r="ES192" s="1681"/>
      <c r="ET192" s="1681"/>
      <c r="EU192" s="1681"/>
      <c r="EV192" s="1681"/>
      <c r="EW192" s="1682"/>
      <c r="EX192" s="1681"/>
      <c r="EY192" s="1681"/>
      <c r="EZ192" s="1681"/>
      <c r="FA192" s="1681"/>
      <c r="FB192" s="1682"/>
      <c r="FC192" s="1681"/>
      <c r="FD192" s="1681"/>
      <c r="FE192" s="1681"/>
      <c r="FF192" s="1681"/>
      <c r="FG192" s="1682"/>
      <c r="FH192" s="1681"/>
      <c r="FI192" s="1681"/>
      <c r="FJ192" s="1681"/>
      <c r="FK192" s="1681"/>
      <c r="FL192" s="1682"/>
      <c r="FM192" s="2659"/>
      <c r="FN192" s="2659"/>
      <c r="FO192" s="2659"/>
      <c r="FP192" s="2659"/>
      <c r="FQ192" s="2659"/>
    </row>
    <row r="193" spans="128:173">
      <c r="DX193" s="1621"/>
      <c r="EC193" s="1621"/>
      <c r="EH193" s="1621"/>
      <c r="EM193" s="1621"/>
      <c r="ER193" s="1621"/>
      <c r="EW193" s="1621"/>
      <c r="FB193" s="1621"/>
      <c r="FG193" s="1621"/>
      <c r="FL193" s="1621"/>
      <c r="FM193" s="1415"/>
      <c r="FN193" s="1415"/>
      <c r="FO193" s="1415"/>
      <c r="FP193" s="1415"/>
      <c r="FQ193" s="1415"/>
    </row>
    <row r="194" spans="128:173">
      <c r="DX194" s="1621"/>
      <c r="EC194" s="1621"/>
      <c r="EH194" s="1621"/>
      <c r="EM194" s="1621"/>
      <c r="ER194" s="1621"/>
      <c r="EW194" s="1621"/>
      <c r="FB194" s="1621"/>
      <c r="FG194" s="1621"/>
      <c r="FL194" s="1621"/>
      <c r="FM194" s="1415"/>
      <c r="FN194" s="1415"/>
      <c r="FO194" s="1415"/>
      <c r="FP194" s="1415"/>
      <c r="FQ194" s="1415"/>
    </row>
    <row r="195" spans="128:173">
      <c r="DX195" s="1621"/>
      <c r="EC195" s="1621"/>
      <c r="EH195" s="1621"/>
      <c r="EM195" s="1621"/>
      <c r="ER195" s="1621"/>
      <c r="EW195" s="1621"/>
      <c r="FB195" s="1621"/>
      <c r="FG195" s="1621"/>
      <c r="FL195" s="1621"/>
      <c r="FM195" s="1415"/>
      <c r="FN195" s="1415"/>
      <c r="FO195" s="1415"/>
      <c r="FP195" s="1415"/>
      <c r="FQ195" s="1415"/>
    </row>
    <row r="196" spans="128:173">
      <c r="DX196" s="1621"/>
      <c r="EC196" s="1621"/>
      <c r="EH196" s="1621"/>
      <c r="EM196" s="1621"/>
      <c r="ER196" s="1621"/>
      <c r="EW196" s="1621"/>
      <c r="FB196" s="1621"/>
      <c r="FG196" s="1621"/>
      <c r="FL196" s="1621"/>
      <c r="FM196" s="1415"/>
      <c r="FN196" s="1415"/>
      <c r="FO196" s="1415"/>
      <c r="FP196" s="1415"/>
      <c r="FQ196" s="1415"/>
    </row>
    <row r="197" spans="128:173">
      <c r="DX197" s="1621"/>
      <c r="EC197" s="1621"/>
      <c r="EH197" s="1621"/>
      <c r="EM197" s="1621"/>
      <c r="ER197" s="1621"/>
      <c r="EW197" s="1621"/>
      <c r="FB197" s="1621"/>
      <c r="FG197" s="1621"/>
      <c r="FL197" s="1621"/>
      <c r="FM197" s="1415"/>
      <c r="FN197" s="1415"/>
      <c r="FO197" s="1415"/>
      <c r="FP197" s="1415"/>
      <c r="FQ197" s="1415"/>
    </row>
    <row r="198" spans="128:173">
      <c r="DX198" s="1621"/>
      <c r="EC198" s="1621"/>
      <c r="EH198" s="1621"/>
      <c r="EM198" s="1621"/>
      <c r="ER198" s="1621"/>
      <c r="EW198" s="1621"/>
      <c r="FB198" s="1621"/>
      <c r="FG198" s="1621"/>
      <c r="FL198" s="1621"/>
      <c r="FM198" s="1415"/>
      <c r="FN198" s="1415"/>
      <c r="FO198" s="1415"/>
      <c r="FP198" s="1415"/>
      <c r="FQ198" s="1415"/>
    </row>
    <row r="199" spans="128:173">
      <c r="DX199" s="1621"/>
      <c r="EC199" s="1621"/>
      <c r="EH199" s="1621"/>
      <c r="EM199" s="1621"/>
      <c r="ER199" s="1621"/>
      <c r="EW199" s="1621"/>
      <c r="FB199" s="1621"/>
      <c r="FG199" s="1621"/>
      <c r="FL199" s="1621"/>
      <c r="FM199" s="1415"/>
      <c r="FN199" s="1415"/>
      <c r="FO199" s="1415"/>
      <c r="FP199" s="1415"/>
      <c r="FQ199" s="1415"/>
    </row>
    <row r="200" spans="128:173">
      <c r="DX200" s="1621"/>
      <c r="EC200" s="1621"/>
      <c r="EH200" s="1621"/>
      <c r="EM200" s="1621"/>
      <c r="ER200" s="1621"/>
      <c r="EW200" s="1621"/>
      <c r="FB200" s="1621"/>
      <c r="FG200" s="1621"/>
      <c r="FL200" s="1621"/>
      <c r="FM200" s="1415"/>
      <c r="FN200" s="1415"/>
      <c r="FO200" s="1415"/>
      <c r="FP200" s="1415"/>
      <c r="FQ200" s="1415"/>
    </row>
    <row r="201" spans="128:173">
      <c r="DX201" s="1621"/>
      <c r="EC201" s="1621"/>
      <c r="EH201" s="1621"/>
      <c r="EM201" s="1621"/>
      <c r="ER201" s="1621"/>
      <c r="EW201" s="1621"/>
      <c r="FB201" s="1621"/>
      <c r="FG201" s="1621"/>
      <c r="FL201" s="1621"/>
      <c r="FM201" s="1415"/>
      <c r="FN201" s="1415"/>
      <c r="FO201" s="1415"/>
      <c r="FP201" s="1415"/>
      <c r="FQ201" s="1415"/>
    </row>
    <row r="202" spans="128:173">
      <c r="DX202" s="1621"/>
      <c r="EC202" s="1621"/>
      <c r="EH202" s="1621"/>
      <c r="EM202" s="1621"/>
      <c r="ER202" s="1621"/>
      <c r="EW202" s="1621"/>
      <c r="FB202" s="1621"/>
      <c r="FG202" s="1621"/>
      <c r="FL202" s="1621"/>
      <c r="FM202" s="1415"/>
      <c r="FN202" s="1415"/>
      <c r="FO202" s="1415"/>
      <c r="FP202" s="1415"/>
      <c r="FQ202" s="1415"/>
    </row>
    <row r="203" spans="128:173">
      <c r="DX203" s="1621"/>
      <c r="EC203" s="1621"/>
      <c r="EH203" s="1621"/>
      <c r="EM203" s="1621"/>
      <c r="ER203" s="1621"/>
      <c r="EW203" s="1621"/>
      <c r="FB203" s="1621"/>
      <c r="FG203" s="1621"/>
      <c r="FL203" s="1621"/>
      <c r="FM203" s="1415"/>
      <c r="FN203" s="1415"/>
      <c r="FO203" s="1415"/>
      <c r="FP203" s="1415"/>
      <c r="FQ203" s="1415"/>
    </row>
    <row r="204" spans="128:173">
      <c r="DX204" s="1621"/>
      <c r="EC204" s="1621"/>
      <c r="EH204" s="1621"/>
      <c r="EM204" s="1621"/>
      <c r="ER204" s="1621"/>
      <c r="EW204" s="1621"/>
      <c r="FB204" s="1621"/>
      <c r="FG204" s="1621"/>
      <c r="FL204" s="1621"/>
      <c r="FM204" s="1415"/>
      <c r="FN204" s="1415"/>
      <c r="FO204" s="1415"/>
      <c r="FP204" s="1415"/>
      <c r="FQ204" s="1415"/>
    </row>
    <row r="205" spans="128:173">
      <c r="DX205" s="1621"/>
      <c r="EC205" s="1621"/>
      <c r="EH205" s="1621"/>
      <c r="EM205" s="1621"/>
      <c r="ER205" s="1621"/>
      <c r="EW205" s="1621"/>
      <c r="FB205" s="1621"/>
      <c r="FG205" s="1621"/>
      <c r="FL205" s="1621"/>
      <c r="FM205" s="1415"/>
      <c r="FN205" s="1415"/>
      <c r="FO205" s="1415"/>
      <c r="FP205" s="1415"/>
      <c r="FQ205" s="1415"/>
    </row>
    <row r="206" spans="128:173">
      <c r="DX206" s="1621"/>
      <c r="EC206" s="1621"/>
      <c r="EH206" s="1621"/>
      <c r="EM206" s="1621"/>
      <c r="ER206" s="1621"/>
      <c r="EW206" s="1621"/>
      <c r="FB206" s="1621"/>
      <c r="FG206" s="1621"/>
      <c r="FL206" s="1621"/>
      <c r="FM206" s="1415"/>
      <c r="FN206" s="1415"/>
      <c r="FO206" s="1415"/>
      <c r="FP206" s="1415"/>
      <c r="FQ206" s="1415"/>
    </row>
    <row r="207" spans="128:173">
      <c r="DX207" s="1621"/>
      <c r="EC207" s="1621"/>
      <c r="EH207" s="1621"/>
      <c r="EM207" s="1621"/>
      <c r="ER207" s="1621"/>
      <c r="EW207" s="1621"/>
      <c r="FB207" s="1621"/>
      <c r="FG207" s="1621"/>
      <c r="FL207" s="1621"/>
      <c r="FM207" s="1415"/>
      <c r="FN207" s="1415"/>
      <c r="FO207" s="1415"/>
      <c r="FP207" s="1415"/>
      <c r="FQ207" s="1415"/>
    </row>
    <row r="208" spans="128:173">
      <c r="DX208" s="1621"/>
      <c r="EC208" s="1621"/>
      <c r="EH208" s="1621"/>
      <c r="EM208" s="1621"/>
      <c r="ER208" s="1621"/>
      <c r="EW208" s="1621"/>
      <c r="FB208" s="1621"/>
      <c r="FG208" s="1621"/>
      <c r="FL208" s="1621"/>
      <c r="FM208" s="1415"/>
      <c r="FN208" s="1415"/>
      <c r="FO208" s="1415"/>
      <c r="FP208" s="1415"/>
      <c r="FQ208" s="1415"/>
    </row>
    <row r="209" spans="128:173">
      <c r="DX209" s="1621"/>
      <c r="EC209" s="1621"/>
      <c r="EH209" s="1621"/>
      <c r="EM209" s="1621"/>
      <c r="ER209" s="1621"/>
      <c r="EW209" s="1621"/>
      <c r="FB209" s="1621"/>
      <c r="FG209" s="1621"/>
      <c r="FL209" s="1621"/>
      <c r="FM209" s="1415"/>
      <c r="FN209" s="1415"/>
      <c r="FO209" s="1415"/>
      <c r="FP209" s="1415"/>
      <c r="FQ209" s="1415"/>
    </row>
    <row r="210" spans="128:173">
      <c r="DX210" s="1621"/>
      <c r="EC210" s="1621"/>
      <c r="EH210" s="1621"/>
      <c r="EM210" s="1621"/>
      <c r="ER210" s="1621"/>
      <c r="EW210" s="1621"/>
      <c r="FB210" s="1621"/>
      <c r="FG210" s="1621"/>
      <c r="FL210" s="1621"/>
      <c r="FM210" s="1415"/>
      <c r="FN210" s="1415"/>
      <c r="FO210" s="1415"/>
      <c r="FP210" s="1415"/>
      <c r="FQ210" s="1415"/>
    </row>
    <row r="211" spans="128:173">
      <c r="DX211" s="1621"/>
      <c r="EC211" s="1621"/>
      <c r="EH211" s="1621"/>
      <c r="EM211" s="1621"/>
      <c r="ER211" s="1621"/>
      <c r="EW211" s="1621"/>
      <c r="FB211" s="1621"/>
      <c r="FG211" s="1621"/>
      <c r="FL211" s="1621"/>
      <c r="FM211" s="1415"/>
      <c r="FN211" s="1415"/>
      <c r="FO211" s="1415"/>
      <c r="FP211" s="1415"/>
      <c r="FQ211" s="1415"/>
    </row>
    <row r="212" spans="128:173">
      <c r="DX212" s="1621"/>
      <c r="EC212" s="1621"/>
      <c r="EH212" s="1621"/>
      <c r="EM212" s="1621"/>
      <c r="ER212" s="1621"/>
      <c r="EW212" s="1621"/>
      <c r="FB212" s="1621"/>
      <c r="FG212" s="1621"/>
      <c r="FL212" s="1621"/>
      <c r="FM212" s="1415"/>
      <c r="FN212" s="1415"/>
      <c r="FO212" s="1415"/>
      <c r="FP212" s="1415"/>
      <c r="FQ212" s="1415"/>
    </row>
    <row r="213" spans="128:173">
      <c r="DX213" s="1621"/>
      <c r="EC213" s="1621"/>
      <c r="EH213" s="1621"/>
      <c r="EM213" s="1621"/>
      <c r="ER213" s="1621"/>
      <c r="EW213" s="1621"/>
      <c r="FB213" s="1621"/>
      <c r="FG213" s="1621"/>
      <c r="FL213" s="1621"/>
      <c r="FM213" s="1415"/>
      <c r="FN213" s="1415"/>
      <c r="FO213" s="1415"/>
      <c r="FP213" s="1415"/>
      <c r="FQ213" s="1415"/>
    </row>
    <row r="214" spans="128:173">
      <c r="DX214" s="1621"/>
      <c r="EC214" s="1621"/>
      <c r="EH214" s="1621"/>
      <c r="EM214" s="1621"/>
      <c r="ER214" s="1621"/>
      <c r="EW214" s="1621"/>
      <c r="FB214" s="1621"/>
      <c r="FG214" s="1621"/>
      <c r="FL214" s="1621"/>
      <c r="FM214" s="1415"/>
      <c r="FN214" s="1415"/>
      <c r="FO214" s="1415"/>
      <c r="FP214" s="1415"/>
      <c r="FQ214" s="1415"/>
    </row>
    <row r="215" spans="128:173">
      <c r="DX215" s="1621"/>
      <c r="EC215" s="1621"/>
      <c r="EH215" s="1621"/>
      <c r="EM215" s="1621"/>
      <c r="ER215" s="1621"/>
      <c r="EW215" s="1621"/>
      <c r="FB215" s="1621"/>
      <c r="FG215" s="1621"/>
      <c r="FL215" s="1621"/>
      <c r="FM215" s="1415"/>
      <c r="FN215" s="1415"/>
      <c r="FO215" s="1415"/>
      <c r="FP215" s="1415"/>
      <c r="FQ215" s="1415"/>
    </row>
    <row r="216" spans="128:173">
      <c r="DX216" s="1621"/>
      <c r="EC216" s="1621"/>
      <c r="EH216" s="1621"/>
      <c r="EM216" s="1621"/>
      <c r="ER216" s="1621"/>
      <c r="EW216" s="1621"/>
      <c r="FB216" s="1621"/>
      <c r="FG216" s="1621"/>
      <c r="FL216" s="1621"/>
      <c r="FM216" s="1415"/>
      <c r="FN216" s="1415"/>
      <c r="FO216" s="1415"/>
      <c r="FP216" s="1415"/>
      <c r="FQ216" s="1415"/>
    </row>
    <row r="217" spans="128:173">
      <c r="DX217" s="1621"/>
      <c r="EC217" s="1621"/>
      <c r="EH217" s="1621"/>
      <c r="EM217" s="1621"/>
      <c r="ER217" s="1621"/>
      <c r="EW217" s="1621"/>
      <c r="FB217" s="1621"/>
      <c r="FG217" s="1621"/>
      <c r="FL217" s="1621"/>
      <c r="FM217" s="1415"/>
      <c r="FN217" s="1415"/>
      <c r="FO217" s="1415"/>
      <c r="FP217" s="1415"/>
      <c r="FQ217" s="1415"/>
    </row>
    <row r="218" spans="128:173">
      <c r="DX218" s="1621"/>
      <c r="EC218" s="1621"/>
      <c r="EW218" s="1621"/>
      <c r="EX218" s="1415"/>
      <c r="EY218" s="1415"/>
      <c r="EZ218" s="1415"/>
      <c r="FA218" s="1415"/>
      <c r="FB218" s="1415"/>
      <c r="FC218" s="1415"/>
      <c r="FD218" s="1415"/>
      <c r="FE218" s="1415"/>
      <c r="FF218" s="1415"/>
      <c r="FG218" s="1415"/>
      <c r="FH218" s="1415"/>
      <c r="FI218" s="1415"/>
      <c r="FJ218" s="1415"/>
      <c r="FK218" s="1415"/>
      <c r="FL218" s="1415"/>
      <c r="FM218" s="1415"/>
      <c r="FN218" s="1415"/>
      <c r="FO218" s="1415"/>
      <c r="FP218" s="1415"/>
      <c r="FQ218" s="1415"/>
    </row>
    <row r="219" spans="128:173">
      <c r="DX219" s="1621"/>
      <c r="EC219" s="1621"/>
    </row>
  </sheetData>
  <phoneticPr fontId="24" type="noConversion"/>
  <pageMargins left="0.75" right="0.75" top="1" bottom="1" header="0.5" footer="0.5"/>
  <pageSetup scale="35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>
    <tabColor indexed="44"/>
    <pageSetUpPr autoPageBreaks="0"/>
  </sheetPr>
  <dimension ref="A1:FL74"/>
  <sheetViews>
    <sheetView zoomScale="115" zoomScaleNormal="115" workbookViewId="0">
      <pane xSplit="108" ySplit="6" topLeftCell="EC7" activePane="bottomRight" state="frozen"/>
      <selection pane="topRight" activeCell="DE1" sqref="DE1"/>
      <selection pane="bottomLeft" activeCell="A7" sqref="A7"/>
      <selection pane="bottomRight" activeCell="EC7" sqref="EC7"/>
    </sheetView>
  </sheetViews>
  <sheetFormatPr defaultRowHeight="11.25" customHeight="1" outlineLevelCol="2"/>
  <cols>
    <col min="1" max="1" width="20.7109375" style="261" customWidth="1"/>
    <col min="2" max="3" width="10.7109375" style="261" customWidth="1"/>
    <col min="4" max="73" width="10.7109375" style="261" hidden="1" customWidth="1" outlineLevel="2"/>
    <col min="74" max="78" width="10.7109375" style="261" hidden="1" customWidth="1" outlineLevel="1"/>
    <col min="79" max="79" width="10.7109375" style="261" hidden="1" customWidth="1" collapsed="1"/>
    <col min="80" max="106" width="10.7109375" style="261" hidden="1" customWidth="1"/>
    <col min="107" max="107" width="12" style="261" hidden="1" customWidth="1"/>
    <col min="108" max="108" width="10.7109375" style="261" hidden="1" customWidth="1"/>
    <col min="109" max="112" width="10.7109375" style="261" hidden="1" customWidth="1" outlineLevel="1"/>
    <col min="113" max="113" width="10.7109375" style="261" hidden="1" customWidth="1" collapsed="1"/>
    <col min="114" max="117" width="10.7109375" style="261" hidden="1" customWidth="1" outlineLevel="1"/>
    <col min="118" max="118" width="10.7109375" style="261" hidden="1" customWidth="1" collapsed="1"/>
    <col min="119" max="122" width="10.7109375" style="261" hidden="1" customWidth="1" outlineLevel="1"/>
    <col min="123" max="123" width="10.7109375" style="261" hidden="1" customWidth="1" collapsed="1"/>
    <col min="124" max="127" width="10.7109375" style="261" hidden="1" customWidth="1" outlineLevel="1"/>
    <col min="128" max="128" width="10.7109375" style="261" hidden="1" customWidth="1" collapsed="1"/>
    <col min="129" max="132" width="10.7109375" style="261" hidden="1" customWidth="1" outlineLevel="1"/>
    <col min="133" max="133" width="8.42578125" style="261" bestFit="1" customWidth="1" collapsed="1"/>
    <col min="134" max="137" width="10.7109375" style="261" hidden="1" customWidth="1" outlineLevel="1"/>
    <col min="138" max="138" width="10.7109375" style="261" customWidth="1" collapsed="1"/>
    <col min="139" max="142" width="10.7109375" style="261" hidden="1" customWidth="1" outlineLevel="1"/>
    <col min="143" max="143" width="10.7109375" style="261" customWidth="1" collapsed="1"/>
    <col min="144" max="147" width="10.7109375" style="261" hidden="1" customWidth="1" outlineLevel="1"/>
    <col min="148" max="148" width="10.7109375" style="261" customWidth="1" collapsed="1"/>
    <col min="149" max="152" width="9.140625" style="261" hidden="1" customWidth="1" outlineLevel="1"/>
    <col min="153" max="153" width="9.140625" style="261" collapsed="1"/>
    <col min="154" max="157" width="9.140625" style="261" hidden="1" customWidth="1" outlineLevel="1"/>
    <col min="158" max="158" width="9.140625" style="261" collapsed="1"/>
    <col min="159" max="162" width="9.140625" style="261" hidden="1" customWidth="1" outlineLevel="1"/>
    <col min="163" max="163" width="9.140625" style="261" collapsed="1"/>
    <col min="164" max="167" width="9.140625" style="261" hidden="1" customWidth="1" outlineLevel="1"/>
    <col min="168" max="168" width="9.140625" style="261" collapsed="1"/>
    <col min="169" max="16384" width="9.140625" style="261"/>
  </cols>
  <sheetData>
    <row r="1" spans="1:168" s="565" customFormat="1" ht="11.25" customHeight="1">
      <c r="A1" s="564" t="str">
        <f>IS!A2</f>
        <v>Microsoft</v>
      </c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Z1" s="460"/>
      <c r="AA1" s="460"/>
      <c r="AB1" s="460"/>
      <c r="AC1" s="460"/>
      <c r="AD1" s="460"/>
      <c r="AE1" s="460"/>
      <c r="AF1" s="460"/>
      <c r="AG1" s="460"/>
      <c r="AH1" s="460"/>
      <c r="AI1" s="460"/>
      <c r="AJ1" s="460"/>
      <c r="AK1" s="460"/>
      <c r="AL1" s="460"/>
      <c r="AM1" s="460"/>
      <c r="AN1" s="460"/>
      <c r="AO1" s="460"/>
      <c r="AP1" s="460"/>
      <c r="AQ1" s="460"/>
      <c r="AR1" s="460"/>
      <c r="AS1" s="460"/>
      <c r="AT1" s="460"/>
      <c r="AU1" s="460"/>
      <c r="AV1" s="460"/>
      <c r="AW1" s="460"/>
      <c r="AX1" s="460"/>
      <c r="AY1" s="460"/>
      <c r="AZ1" s="460"/>
      <c r="BA1" s="460"/>
      <c r="BB1" s="460"/>
      <c r="BC1" s="460"/>
      <c r="BD1" s="460"/>
      <c r="BE1" s="460"/>
      <c r="BF1" s="460"/>
      <c r="BG1" s="460"/>
      <c r="BH1" s="460"/>
      <c r="BI1" s="460"/>
      <c r="BJ1" s="460"/>
      <c r="BK1" s="460"/>
      <c r="BL1" s="460"/>
      <c r="BM1" s="460"/>
      <c r="BN1" s="460"/>
      <c r="BO1" s="460"/>
      <c r="BP1" s="460"/>
      <c r="BQ1" s="460"/>
      <c r="BR1" s="460"/>
      <c r="BS1" s="460"/>
      <c r="BT1" s="460"/>
      <c r="BU1" s="460"/>
      <c r="BV1" s="460"/>
      <c r="BW1" s="460"/>
      <c r="BX1" s="460"/>
      <c r="BY1" s="460"/>
      <c r="BZ1" s="460"/>
    </row>
    <row r="2" spans="1:168" s="243" customFormat="1" ht="11.25" customHeight="1">
      <c r="A2" s="461"/>
      <c r="B2" s="461"/>
      <c r="C2" s="461"/>
      <c r="D2" s="461"/>
      <c r="E2" s="461"/>
      <c r="F2" s="461"/>
      <c r="G2" s="461"/>
      <c r="H2" s="461"/>
      <c r="I2" s="461"/>
      <c r="J2" s="461"/>
      <c r="K2" s="461"/>
      <c r="L2" s="461"/>
      <c r="M2" s="461"/>
      <c r="N2" s="461"/>
      <c r="O2" s="461"/>
      <c r="P2" s="461"/>
      <c r="Q2" s="461"/>
      <c r="R2" s="461"/>
      <c r="S2" s="461"/>
      <c r="T2" s="461"/>
      <c r="U2" s="461"/>
      <c r="V2" s="461"/>
      <c r="W2" s="461"/>
      <c r="X2" s="461"/>
      <c r="Y2" s="461"/>
      <c r="Z2" s="461"/>
      <c r="AA2" s="461"/>
      <c r="AB2" s="461"/>
      <c r="AC2" s="461"/>
      <c r="AD2" s="461"/>
      <c r="AE2" s="461"/>
      <c r="AF2" s="461"/>
      <c r="AG2" s="461"/>
      <c r="AH2" s="461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1"/>
      <c r="AV2" s="461"/>
      <c r="AW2" s="461"/>
      <c r="AX2" s="461"/>
      <c r="AY2" s="461"/>
      <c r="AZ2" s="461"/>
      <c r="BA2" s="461"/>
      <c r="BB2" s="461"/>
      <c r="BC2" s="461"/>
      <c r="BD2" s="461"/>
      <c r="BE2" s="461"/>
      <c r="BF2" s="461"/>
      <c r="BG2" s="461"/>
      <c r="BH2" s="461"/>
      <c r="BI2" s="461"/>
      <c r="BJ2" s="461"/>
      <c r="BK2" s="461"/>
      <c r="BL2" s="461"/>
      <c r="BM2" s="461"/>
      <c r="BN2" s="461"/>
      <c r="BO2" s="461"/>
      <c r="BP2" s="461"/>
      <c r="BQ2" s="461"/>
      <c r="BR2" s="461"/>
      <c r="BS2" s="461"/>
      <c r="BT2" s="461"/>
      <c r="BU2" s="461"/>
      <c r="BV2" s="461"/>
      <c r="BW2" s="461"/>
      <c r="BX2" s="461"/>
      <c r="BY2" s="461"/>
      <c r="BZ2" s="461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  <c r="FL2" s="94"/>
    </row>
    <row r="3" spans="1:168" s="243" customFormat="1" ht="11.25" customHeight="1">
      <c r="A3" s="96" t="s">
        <v>842</v>
      </c>
      <c r="B3" s="461"/>
      <c r="C3" s="461"/>
      <c r="D3" s="461"/>
      <c r="E3" s="461"/>
      <c r="F3" s="461"/>
      <c r="G3" s="461"/>
      <c r="H3" s="461"/>
      <c r="I3" s="461"/>
      <c r="J3" s="461"/>
      <c r="K3" s="461"/>
      <c r="L3" s="461"/>
      <c r="M3" s="461"/>
      <c r="N3" s="461"/>
      <c r="O3" s="461"/>
      <c r="P3" s="461"/>
      <c r="Q3" s="461"/>
      <c r="R3" s="461"/>
      <c r="S3" s="461"/>
      <c r="T3" s="461"/>
      <c r="U3" s="461"/>
      <c r="V3" s="461"/>
      <c r="W3" s="461"/>
      <c r="X3" s="461"/>
      <c r="Y3" s="461"/>
      <c r="Z3" s="461"/>
      <c r="AA3" s="461"/>
      <c r="AB3" s="461"/>
      <c r="AC3" s="461"/>
      <c r="AD3" s="461"/>
      <c r="AE3" s="461"/>
      <c r="AF3" s="461"/>
      <c r="AG3" s="461"/>
      <c r="AH3" s="461"/>
      <c r="AI3" s="461"/>
      <c r="AJ3" s="461"/>
      <c r="AK3" s="461"/>
      <c r="AL3" s="461"/>
      <c r="AM3" s="461"/>
      <c r="AN3" s="461"/>
      <c r="AO3" s="461"/>
      <c r="AP3" s="461"/>
      <c r="AQ3" s="461"/>
      <c r="AR3" s="461"/>
      <c r="AS3" s="461"/>
      <c r="AT3" s="461"/>
      <c r="AU3" s="461"/>
      <c r="AV3" s="461"/>
      <c r="AW3" s="461"/>
      <c r="AX3" s="461"/>
      <c r="AY3" s="461"/>
      <c r="AZ3" s="461"/>
      <c r="BA3" s="461"/>
      <c r="BB3" s="461"/>
      <c r="BC3" s="461"/>
      <c r="BD3" s="461"/>
      <c r="BE3" s="461"/>
      <c r="BF3" s="461"/>
      <c r="BG3" s="461"/>
      <c r="BH3" s="461"/>
      <c r="BI3" s="461"/>
      <c r="BJ3" s="461"/>
      <c r="BK3" s="461"/>
      <c r="BL3" s="461"/>
      <c r="BM3" s="461"/>
      <c r="BN3" s="461"/>
      <c r="BO3" s="461"/>
      <c r="BP3" s="461"/>
      <c r="BQ3" s="461"/>
      <c r="BR3" s="461"/>
      <c r="BS3" s="461"/>
      <c r="BT3" s="461"/>
      <c r="BU3" s="461"/>
      <c r="BV3" s="461"/>
      <c r="BW3" s="461"/>
      <c r="BX3" s="461"/>
      <c r="BY3" s="461"/>
      <c r="BZ3" s="461"/>
      <c r="ES3" s="94"/>
      <c r="ET3" s="94"/>
      <c r="EU3" s="94"/>
      <c r="EV3" s="94"/>
      <c r="EW3" s="94"/>
      <c r="EX3" s="94"/>
      <c r="EY3" s="94"/>
      <c r="EZ3" s="94"/>
      <c r="FA3" s="94"/>
      <c r="FB3" s="94"/>
      <c r="FC3" s="94"/>
      <c r="FD3" s="94"/>
      <c r="FE3" s="94"/>
      <c r="FF3" s="94"/>
      <c r="FG3" s="94"/>
      <c r="FH3" s="94"/>
      <c r="FI3" s="94"/>
      <c r="FJ3" s="94"/>
      <c r="FK3" s="94"/>
      <c r="FL3" s="94"/>
    </row>
    <row r="4" spans="1:168" s="243" customFormat="1" ht="9.9499999999999993" customHeight="1">
      <c r="A4" s="460" t="s">
        <v>536</v>
      </c>
      <c r="B4" s="461"/>
      <c r="C4" s="461"/>
      <c r="D4" s="461"/>
      <c r="E4" s="461"/>
      <c r="F4" s="461"/>
      <c r="G4" s="461"/>
      <c r="H4" s="461"/>
      <c r="I4" s="461"/>
      <c r="J4" s="461"/>
      <c r="K4" s="461"/>
      <c r="L4" s="461"/>
      <c r="M4" s="461"/>
      <c r="N4" s="461"/>
      <c r="O4" s="461"/>
      <c r="P4" s="461"/>
      <c r="Q4" s="461"/>
      <c r="R4" s="461"/>
      <c r="S4" s="461"/>
      <c r="T4" s="461"/>
      <c r="U4" s="461"/>
      <c r="V4" s="461"/>
      <c r="W4" s="461"/>
      <c r="X4" s="461"/>
      <c r="Y4" s="461"/>
      <c r="Z4" s="461"/>
      <c r="AA4" s="461"/>
      <c r="AB4" s="461"/>
      <c r="AC4" s="461"/>
      <c r="AD4" s="461"/>
      <c r="AE4" s="461"/>
      <c r="AF4" s="461"/>
      <c r="AG4" s="461"/>
      <c r="AH4" s="461"/>
      <c r="AI4" s="461"/>
      <c r="AJ4" s="461"/>
      <c r="AK4" s="461"/>
      <c r="AL4" s="461"/>
      <c r="AM4" s="461"/>
      <c r="AN4" s="461"/>
      <c r="AO4" s="461"/>
      <c r="AP4" s="461"/>
      <c r="AQ4" s="461"/>
      <c r="AR4" s="461"/>
      <c r="AS4" s="461"/>
      <c r="AT4" s="461"/>
      <c r="AU4" s="461"/>
      <c r="AV4" s="461"/>
      <c r="AW4" s="461"/>
      <c r="AX4" s="461"/>
      <c r="AY4" s="461"/>
      <c r="AZ4" s="461"/>
      <c r="BA4" s="461"/>
      <c r="BB4" s="461"/>
      <c r="BC4" s="461"/>
      <c r="BD4" s="461"/>
      <c r="BE4" s="461"/>
      <c r="BF4" s="461"/>
      <c r="BG4" s="461"/>
      <c r="BH4" s="461"/>
      <c r="BI4" s="461"/>
      <c r="BJ4" s="461"/>
      <c r="BK4" s="461"/>
      <c r="BL4" s="461"/>
      <c r="BM4" s="461"/>
      <c r="BN4" s="461"/>
      <c r="BO4" s="461"/>
      <c r="BP4" s="461"/>
      <c r="BQ4" s="461"/>
      <c r="BR4" s="461"/>
      <c r="BS4" s="461"/>
      <c r="BT4" s="461"/>
      <c r="BU4" s="461"/>
      <c r="BV4" s="461"/>
      <c r="BW4" s="461"/>
      <c r="BX4" s="461"/>
      <c r="BY4" s="461"/>
      <c r="BZ4" s="461"/>
      <c r="ES4" s="94"/>
      <c r="ET4" s="94"/>
      <c r="EU4" s="94"/>
      <c r="EV4" s="94"/>
      <c r="EW4" s="94"/>
      <c r="EX4" s="94"/>
      <c r="EY4" s="94"/>
      <c r="EZ4" s="94"/>
      <c r="FA4" s="94"/>
      <c r="FB4" s="94"/>
      <c r="FC4" s="94"/>
      <c r="FD4" s="94"/>
      <c r="FE4" s="94"/>
      <c r="FF4" s="94"/>
      <c r="FG4" s="94"/>
      <c r="FH4" s="94"/>
      <c r="FI4" s="94"/>
      <c r="FJ4" s="94"/>
      <c r="FK4" s="94"/>
      <c r="FL4" s="94"/>
    </row>
    <row r="5" spans="1:168" s="566" customFormat="1" ht="11.25" customHeight="1">
      <c r="D5" s="567"/>
      <c r="E5" s="568"/>
      <c r="F5" s="568"/>
      <c r="G5" s="568"/>
      <c r="H5" s="569" t="s">
        <v>109</v>
      </c>
      <c r="I5" s="568"/>
      <c r="J5" s="568"/>
      <c r="K5" s="568"/>
      <c r="L5" s="568"/>
      <c r="M5" s="569" t="s">
        <v>109</v>
      </c>
      <c r="N5" s="568"/>
      <c r="O5" s="568"/>
      <c r="P5" s="568"/>
      <c r="Q5" s="568"/>
      <c r="R5" s="569" t="s">
        <v>109</v>
      </c>
      <c r="S5" s="568"/>
      <c r="T5" s="568"/>
      <c r="U5" s="568"/>
      <c r="V5" s="568"/>
      <c r="W5" s="569" t="s">
        <v>109</v>
      </c>
      <c r="X5" s="568"/>
      <c r="Y5" s="568"/>
      <c r="Z5" s="568"/>
      <c r="AA5" s="568"/>
      <c r="AB5" s="569" t="s">
        <v>109</v>
      </c>
      <c r="AC5" s="568"/>
      <c r="AD5" s="568"/>
      <c r="AE5" s="568"/>
      <c r="AF5" s="568"/>
      <c r="AG5" s="569" t="s">
        <v>109</v>
      </c>
      <c r="AH5" s="568"/>
      <c r="AI5" s="568"/>
      <c r="AJ5" s="568"/>
      <c r="AK5" s="568"/>
      <c r="AL5" s="569" t="s">
        <v>109</v>
      </c>
      <c r="AM5" s="568"/>
      <c r="AN5" s="568"/>
      <c r="AO5" s="568"/>
      <c r="AP5" s="568"/>
      <c r="AQ5" s="569" t="s">
        <v>109</v>
      </c>
      <c r="AR5" s="568"/>
      <c r="AS5" s="568"/>
      <c r="AT5" s="568"/>
      <c r="AU5" s="568"/>
      <c r="AV5" s="570" t="s">
        <v>109</v>
      </c>
      <c r="AW5" s="568"/>
      <c r="AX5" s="568"/>
      <c r="AY5" s="568"/>
      <c r="AZ5" s="568"/>
      <c r="BA5" s="570" t="s">
        <v>109</v>
      </c>
      <c r="BB5" s="568"/>
      <c r="BC5" s="568"/>
      <c r="BD5" s="568"/>
      <c r="BE5" s="568"/>
      <c r="BF5" s="570" t="s">
        <v>109</v>
      </c>
      <c r="BG5" s="568"/>
      <c r="BH5" s="568"/>
      <c r="BI5" s="568"/>
      <c r="BJ5" s="568"/>
      <c r="BK5" s="570" t="s">
        <v>109</v>
      </c>
      <c r="BL5" s="568"/>
      <c r="BM5" s="568"/>
      <c r="BN5" s="568"/>
      <c r="BO5" s="568"/>
      <c r="BP5" s="570" t="s">
        <v>109</v>
      </c>
      <c r="BQ5" s="568"/>
      <c r="BR5" s="568"/>
      <c r="BS5" s="568"/>
      <c r="BT5" s="568"/>
      <c r="BU5" s="570" t="s">
        <v>109</v>
      </c>
      <c r="BV5" s="568"/>
      <c r="BW5" s="568"/>
      <c r="BX5" s="568"/>
      <c r="BY5" s="568"/>
      <c r="BZ5" s="570" t="s">
        <v>109</v>
      </c>
      <c r="CA5" s="568"/>
      <c r="CB5" s="568"/>
      <c r="CC5" s="568"/>
      <c r="CD5" s="568"/>
      <c r="CE5" s="570" t="s">
        <v>109</v>
      </c>
      <c r="CF5" s="568"/>
      <c r="CG5" s="568"/>
      <c r="CH5" s="568"/>
      <c r="CI5" s="568"/>
      <c r="CJ5" s="570" t="s">
        <v>109</v>
      </c>
      <c r="CK5" s="568"/>
      <c r="CL5" s="568"/>
      <c r="CM5" s="568"/>
      <c r="CN5" s="568"/>
      <c r="CO5" s="570" t="s">
        <v>109</v>
      </c>
      <c r="CP5" s="568"/>
      <c r="CQ5" s="568"/>
      <c r="CR5" s="568"/>
      <c r="CS5" s="568"/>
      <c r="CT5" s="570" t="s">
        <v>109</v>
      </c>
      <c r="CU5" s="568"/>
      <c r="CV5" s="568"/>
      <c r="CW5" s="568"/>
      <c r="CX5" s="568"/>
      <c r="CY5" s="570" t="s">
        <v>109</v>
      </c>
      <c r="CZ5" s="568"/>
      <c r="DA5" s="568"/>
      <c r="DB5" s="568"/>
      <c r="DC5" s="568"/>
      <c r="DD5" s="570" t="s">
        <v>109</v>
      </c>
      <c r="DE5" s="568"/>
      <c r="DF5" s="568"/>
      <c r="DG5" s="568"/>
      <c r="DH5" s="568"/>
      <c r="DI5" s="570" t="s">
        <v>109</v>
      </c>
      <c r="DJ5" s="568"/>
      <c r="DK5" s="568"/>
      <c r="DL5" s="568"/>
      <c r="DM5" s="568"/>
      <c r="DN5" s="570" t="s">
        <v>109</v>
      </c>
      <c r="DO5" s="568"/>
      <c r="DP5" s="568"/>
      <c r="DQ5" s="568"/>
      <c r="DR5" s="568"/>
      <c r="DS5" s="570" t="s">
        <v>109</v>
      </c>
      <c r="DT5" s="568"/>
      <c r="DU5" s="568"/>
      <c r="DV5" s="568"/>
      <c r="DW5" s="568"/>
      <c r="DX5" s="570" t="s">
        <v>109</v>
      </c>
      <c r="DY5" s="568"/>
      <c r="DZ5" s="568"/>
      <c r="EA5" s="568"/>
      <c r="EB5" s="568"/>
      <c r="EC5" s="570" t="s">
        <v>109</v>
      </c>
      <c r="ED5" s="568"/>
      <c r="EE5" s="568"/>
      <c r="EF5" s="568"/>
      <c r="EG5" s="568"/>
      <c r="EH5" s="570" t="s">
        <v>109</v>
      </c>
      <c r="EI5" s="568"/>
      <c r="EJ5" s="568"/>
      <c r="EK5" s="568"/>
      <c r="EL5" s="568"/>
      <c r="EM5" s="570" t="s">
        <v>109</v>
      </c>
      <c r="EN5" s="568"/>
      <c r="EO5" s="568"/>
      <c r="EP5" s="568"/>
      <c r="EQ5" s="568"/>
      <c r="ER5" s="570" t="s">
        <v>109</v>
      </c>
      <c r="ES5" s="1199"/>
      <c r="ET5" s="1199"/>
      <c r="EU5" s="1199"/>
      <c r="EV5" s="1199"/>
      <c r="EW5" s="1200" t="s">
        <v>109</v>
      </c>
      <c r="EX5" s="1199"/>
      <c r="EY5" s="1199"/>
      <c r="EZ5" s="1199"/>
      <c r="FA5" s="1199"/>
      <c r="FB5" s="1200" t="s">
        <v>109</v>
      </c>
      <c r="FC5" s="1199"/>
      <c r="FD5" s="1199"/>
      <c r="FE5" s="1199"/>
      <c r="FF5" s="1199"/>
      <c r="FG5" s="1200" t="s">
        <v>109</v>
      </c>
      <c r="FH5" s="1199"/>
      <c r="FI5" s="1199"/>
      <c r="FJ5" s="1199"/>
      <c r="FK5" s="1199"/>
      <c r="FL5" s="1200" t="s">
        <v>109</v>
      </c>
    </row>
    <row r="6" spans="1:168" s="571" customFormat="1" ht="11.25" customHeight="1">
      <c r="D6" s="572">
        <f>IS!D7</f>
        <v>32416</v>
      </c>
      <c r="E6" s="572">
        <f>IS!E7</f>
        <v>32508</v>
      </c>
      <c r="F6" s="572">
        <f>IS!F7</f>
        <v>32598</v>
      </c>
      <c r="G6" s="572">
        <f>IS!G7</f>
        <v>32689</v>
      </c>
      <c r="H6" s="572" t="str">
        <f>IS!H7</f>
        <v>1989</v>
      </c>
      <c r="I6" s="572">
        <f>IS!I7</f>
        <v>32781</v>
      </c>
      <c r="J6" s="572">
        <f>IS!J7</f>
        <v>32873</v>
      </c>
      <c r="K6" s="572">
        <f>IS!K7</f>
        <v>32963</v>
      </c>
      <c r="L6" s="572">
        <f>IS!L7</f>
        <v>33054</v>
      </c>
      <c r="M6" s="572" t="str">
        <f>IS!M7</f>
        <v>1990</v>
      </c>
      <c r="N6" s="572">
        <f>IS!N7</f>
        <v>33146</v>
      </c>
      <c r="O6" s="572">
        <f>IS!O7</f>
        <v>33238</v>
      </c>
      <c r="P6" s="572">
        <f>IS!P7</f>
        <v>33328</v>
      </c>
      <c r="Q6" s="572">
        <f>IS!Q7</f>
        <v>33419</v>
      </c>
      <c r="R6" s="572" t="str">
        <f>IS!R7</f>
        <v>1991</v>
      </c>
      <c r="S6" s="572">
        <f>IS!S7</f>
        <v>33511</v>
      </c>
      <c r="T6" s="572">
        <f>IS!T7</f>
        <v>33603</v>
      </c>
      <c r="U6" s="572">
        <f>IS!U7</f>
        <v>33694</v>
      </c>
      <c r="V6" s="572">
        <f>IS!V7</f>
        <v>33785</v>
      </c>
      <c r="W6" s="572" t="str">
        <f>IS!W7</f>
        <v>1992</v>
      </c>
      <c r="X6" s="572">
        <f>IS!X7</f>
        <v>33877</v>
      </c>
      <c r="Y6" s="572">
        <f>IS!Y7</f>
        <v>33969</v>
      </c>
      <c r="Z6" s="572">
        <f>IS!Z7</f>
        <v>34059</v>
      </c>
      <c r="AA6" s="572">
        <f>IS!AA7</f>
        <v>34150</v>
      </c>
      <c r="AB6" s="572" t="str">
        <f>IS!AB7</f>
        <v>1993</v>
      </c>
      <c r="AC6" s="572">
        <f>IS!AC7</f>
        <v>34242</v>
      </c>
      <c r="AD6" s="572">
        <f>IS!AD7</f>
        <v>34334</v>
      </c>
      <c r="AE6" s="572">
        <f>IS!AE7</f>
        <v>34424</v>
      </c>
      <c r="AF6" s="572">
        <f>IS!AF7</f>
        <v>34515</v>
      </c>
      <c r="AG6" s="572" t="str">
        <f>IS!AG7</f>
        <v>1994</v>
      </c>
      <c r="AH6" s="572">
        <f>IS!AH7</f>
        <v>34607</v>
      </c>
      <c r="AI6" s="572">
        <f>IS!AI7</f>
        <v>34699</v>
      </c>
      <c r="AJ6" s="572">
        <f>IS!AJ7</f>
        <v>34789</v>
      </c>
      <c r="AK6" s="572">
        <f>IS!AK7</f>
        <v>34880</v>
      </c>
      <c r="AL6" s="572" t="str">
        <f>IS!AL7</f>
        <v>1995</v>
      </c>
      <c r="AM6" s="572">
        <f>IS!AM7</f>
        <v>34972</v>
      </c>
      <c r="AN6" s="572">
        <f>IS!AN7</f>
        <v>35064</v>
      </c>
      <c r="AO6" s="572">
        <f>IS!AO7</f>
        <v>35155</v>
      </c>
      <c r="AP6" s="572">
        <f>IS!AP7</f>
        <v>35246</v>
      </c>
      <c r="AQ6" s="572" t="str">
        <f>IS!AQ7</f>
        <v>1996</v>
      </c>
      <c r="AR6" s="572">
        <f>IS!AR7</f>
        <v>35338</v>
      </c>
      <c r="AS6" s="572">
        <f>IS!AS7</f>
        <v>35430</v>
      </c>
      <c r="AT6" s="572">
        <f>IS!AT7</f>
        <v>35520</v>
      </c>
      <c r="AU6" s="572">
        <f>IS!AU7</f>
        <v>35611</v>
      </c>
      <c r="AV6" s="572" t="str">
        <f>IS!AV7</f>
        <v>1997</v>
      </c>
      <c r="AW6" s="572">
        <f>IS!AW7</f>
        <v>35703</v>
      </c>
      <c r="AX6" s="572">
        <f>IS!AX7</f>
        <v>35795</v>
      </c>
      <c r="AY6" s="572">
        <f>IS!AY7</f>
        <v>35885</v>
      </c>
      <c r="AZ6" s="572">
        <f>IS!AZ7</f>
        <v>35976</v>
      </c>
      <c r="BA6" s="572" t="str">
        <f>IS!BA7</f>
        <v>1998</v>
      </c>
      <c r="BB6" s="572">
        <f>IS!BB7</f>
        <v>36068</v>
      </c>
      <c r="BC6" s="572">
        <f>IS!BC7</f>
        <v>36160</v>
      </c>
      <c r="BD6" s="572">
        <f>IS!BD7</f>
        <v>36250</v>
      </c>
      <c r="BE6" s="572">
        <f>IS!BE7</f>
        <v>36341</v>
      </c>
      <c r="BF6" s="572" t="str">
        <f>IS!BF7</f>
        <v>1999</v>
      </c>
      <c r="BG6" s="572">
        <f>IS!BG7</f>
        <v>36433</v>
      </c>
      <c r="BH6" s="572">
        <f>IS!BH7</f>
        <v>36525</v>
      </c>
      <c r="BI6" s="572">
        <f>IS!BI7</f>
        <v>36616</v>
      </c>
      <c r="BJ6" s="572">
        <f>IS!BJ7</f>
        <v>36707</v>
      </c>
      <c r="BK6" s="572" t="str">
        <f>IS!BK7</f>
        <v>2000</v>
      </c>
      <c r="BL6" s="572">
        <f>IS!BL7</f>
        <v>36799</v>
      </c>
      <c r="BM6" s="572">
        <f>IS!BM7</f>
        <v>36891</v>
      </c>
      <c r="BN6" s="572">
        <f>IS!BN7</f>
        <v>36981</v>
      </c>
      <c r="BO6" s="572">
        <f>IS!BO7</f>
        <v>37072</v>
      </c>
      <c r="BP6" s="572" t="str">
        <f>IS!BP7</f>
        <v>2001</v>
      </c>
      <c r="BQ6" s="572">
        <f>IS!BQ7</f>
        <v>37164</v>
      </c>
      <c r="BR6" s="572">
        <f>IS!BR7</f>
        <v>37256</v>
      </c>
      <c r="BS6" s="572">
        <f>IS!BS7</f>
        <v>37346</v>
      </c>
      <c r="BT6" s="572">
        <f>IS!BT7</f>
        <v>37437</v>
      </c>
      <c r="BU6" s="572" t="str">
        <f>IS!BU7</f>
        <v>2002</v>
      </c>
      <c r="BV6" s="572">
        <f>IS!BV7</f>
        <v>37529</v>
      </c>
      <c r="BW6" s="572">
        <f>IS!BW7</f>
        <v>37621</v>
      </c>
      <c r="BX6" s="572">
        <f>IS!BX7</f>
        <v>37711</v>
      </c>
      <c r="BY6" s="572">
        <f>IS!BY7</f>
        <v>37802</v>
      </c>
      <c r="BZ6" s="573" t="str">
        <f>IS!BZ7</f>
        <v>2003</v>
      </c>
      <c r="CA6" s="572">
        <f>IS!CA7</f>
        <v>37894</v>
      </c>
      <c r="CB6" s="572">
        <f>IS!CB7</f>
        <v>37986</v>
      </c>
      <c r="CC6" s="572">
        <f>IS!CC7</f>
        <v>38077</v>
      </c>
      <c r="CD6" s="572">
        <f>IS!CD7</f>
        <v>38168</v>
      </c>
      <c r="CE6" s="573" t="str">
        <f>IS!CE7</f>
        <v>2004</v>
      </c>
      <c r="CF6" s="572">
        <f>IS!CF7</f>
        <v>38260</v>
      </c>
      <c r="CG6" s="572">
        <f>IS!CG7</f>
        <v>38352</v>
      </c>
      <c r="CH6" s="572">
        <f>IS!CH7</f>
        <v>38442</v>
      </c>
      <c r="CI6" s="572">
        <f>IS!CI7</f>
        <v>38533</v>
      </c>
      <c r="CJ6" s="573" t="str">
        <f>IS!CJ7</f>
        <v>2005</v>
      </c>
      <c r="CK6" s="572">
        <f>IS!CK7</f>
        <v>38625</v>
      </c>
      <c r="CL6" s="572">
        <f>IS!CL7</f>
        <v>38717</v>
      </c>
      <c r="CM6" s="572">
        <f>IS!CM7</f>
        <v>38807</v>
      </c>
      <c r="CN6" s="572">
        <f>IS!CN7</f>
        <v>38898</v>
      </c>
      <c r="CO6" s="573" t="str">
        <f>IS!CO7</f>
        <v>2006</v>
      </c>
      <c r="CP6" s="572">
        <f>IS!CP7</f>
        <v>38990</v>
      </c>
      <c r="CQ6" s="572">
        <f>IS!CQ7</f>
        <v>39082</v>
      </c>
      <c r="CR6" s="572">
        <f>IS!CR7</f>
        <v>39172</v>
      </c>
      <c r="CS6" s="572">
        <f>IS!CS7</f>
        <v>39263</v>
      </c>
      <c r="CT6" s="573" t="str">
        <f>IS!CT7</f>
        <v>2007</v>
      </c>
      <c r="CU6" s="572">
        <f>IS!CU7</f>
        <v>39355</v>
      </c>
      <c r="CV6" s="572">
        <f>IS!CV7</f>
        <v>39447</v>
      </c>
      <c r="CW6" s="572">
        <f>IS!CW7</f>
        <v>39538</v>
      </c>
      <c r="CX6" s="572">
        <f>IS!CX7</f>
        <v>39607</v>
      </c>
      <c r="CY6" s="573" t="str">
        <f>IS!CY7</f>
        <v>2008</v>
      </c>
      <c r="CZ6" s="572">
        <f>IS!CZ7</f>
        <v>39699</v>
      </c>
      <c r="DA6" s="572">
        <f>IS!DA7</f>
        <v>39790</v>
      </c>
      <c r="DB6" s="572">
        <f>IS!DB7</f>
        <v>39881</v>
      </c>
      <c r="DC6" s="572">
        <f>IS!DC7</f>
        <v>39973</v>
      </c>
      <c r="DD6" s="573" t="str">
        <f>IS!DD7</f>
        <v>2009</v>
      </c>
      <c r="DE6" s="572">
        <f>IS!DE7</f>
        <v>40065</v>
      </c>
      <c r="DF6" s="572" t="str">
        <f>IS!DF7</f>
        <v>Dec-09</v>
      </c>
      <c r="DG6" s="572" t="str">
        <f>IS!DG7</f>
        <v>Mar-10</v>
      </c>
      <c r="DH6" s="572" t="str">
        <f>IS!DH7</f>
        <v>Jun-10</v>
      </c>
      <c r="DI6" s="573" t="str">
        <f>IS!DI7</f>
        <v>2010</v>
      </c>
      <c r="DJ6" s="572" t="str">
        <f>IS!DJ7</f>
        <v>Sep-10</v>
      </c>
      <c r="DK6" s="572" t="str">
        <f>IS!DK7</f>
        <v>Dec-10</v>
      </c>
      <c r="DL6" s="572" t="str">
        <f>IS!DL7</f>
        <v>Mar-11</v>
      </c>
      <c r="DM6" s="572" t="str">
        <f>IS!DM7</f>
        <v>Jun-11</v>
      </c>
      <c r="DN6" s="573" t="str">
        <f>IS!DN7</f>
        <v>2011</v>
      </c>
      <c r="DO6" s="572" t="str">
        <f>IS!DO7</f>
        <v>Sep-11</v>
      </c>
      <c r="DP6" s="572" t="str">
        <f>IS!DP7</f>
        <v>Dec-11</v>
      </c>
      <c r="DQ6" s="572" t="str">
        <f>IS!DQ7</f>
        <v>Mar-12</v>
      </c>
      <c r="DR6" s="572" t="str">
        <f>IS!DR7</f>
        <v>Jun-12</v>
      </c>
      <c r="DS6" s="573" t="str">
        <f>IS!DS7</f>
        <v>2012</v>
      </c>
      <c r="DT6" s="572" t="str">
        <f>IS!DT7</f>
        <v>Sep-12</v>
      </c>
      <c r="DU6" s="572" t="str">
        <f>IS!DU7</f>
        <v>Dec-12</v>
      </c>
      <c r="DV6" s="572" t="str">
        <f>IS!DV7</f>
        <v>Mar-13</v>
      </c>
      <c r="DW6" s="572" t="str">
        <f>IS!DW7</f>
        <v>Jun-13</v>
      </c>
      <c r="DX6" s="573" t="str">
        <f>IS!DX7</f>
        <v>2013</v>
      </c>
      <c r="DY6" s="572" t="str">
        <f>IS!DY7</f>
        <v>Sep-13</v>
      </c>
      <c r="DZ6" s="572" t="str">
        <f>IS!DZ7</f>
        <v>Dec-13</v>
      </c>
      <c r="EA6" s="572" t="str">
        <f>IS!EA7</f>
        <v>Mar-14</v>
      </c>
      <c r="EB6" s="572" t="str">
        <f>IS!EB7</f>
        <v>Jun-14</v>
      </c>
      <c r="EC6" s="573" t="str">
        <f>IS!EC7</f>
        <v>2014</v>
      </c>
      <c r="ED6" s="572" t="str">
        <f>IS!ED7</f>
        <v>Sep-14</v>
      </c>
      <c r="EE6" s="572" t="str">
        <f>IS!EE7</f>
        <v>Dec-14</v>
      </c>
      <c r="EF6" s="572" t="str">
        <f>IS!EF7</f>
        <v>Mar-15</v>
      </c>
      <c r="EG6" s="572" t="str">
        <f>IS!EG7</f>
        <v>Jun-15</v>
      </c>
      <c r="EH6" s="573" t="str">
        <f>IS!EH7</f>
        <v>2015</v>
      </c>
      <c r="EI6" s="572" t="str">
        <f>IS!EI7</f>
        <v>Sep-15</v>
      </c>
      <c r="EJ6" s="572" t="str">
        <f>IS!EJ7</f>
        <v>Dec-15</v>
      </c>
      <c r="EK6" s="572" t="str">
        <f>IS!EK7</f>
        <v>Mar-16</v>
      </c>
      <c r="EL6" s="572" t="str">
        <f>IS!EL7</f>
        <v>Jun-16</v>
      </c>
      <c r="EM6" s="573" t="str">
        <f>IS!EM7</f>
        <v>2016</v>
      </c>
      <c r="EN6" s="572" t="str">
        <f>IS!EN7</f>
        <v>Sep-16</v>
      </c>
      <c r="EO6" s="572" t="str">
        <f>IS!EO7</f>
        <v>Dec-16</v>
      </c>
      <c r="EP6" s="572" t="str">
        <f>IS!EP7</f>
        <v>Mar-17</v>
      </c>
      <c r="EQ6" s="572" t="str">
        <f>IS!EQ7</f>
        <v>Jun-17</v>
      </c>
      <c r="ER6" s="573" t="str">
        <f>IS!ER7</f>
        <v>2017</v>
      </c>
      <c r="ES6" s="572" t="str">
        <f>IS!ES7</f>
        <v>Sep-17</v>
      </c>
      <c r="ET6" s="572" t="str">
        <f>IS!ET7</f>
        <v>Dec-17</v>
      </c>
      <c r="EU6" s="572" t="str">
        <f>IS!EU7</f>
        <v>Mar-18</v>
      </c>
      <c r="EV6" s="572" t="str">
        <f>IS!EV7</f>
        <v>Jun-18E</v>
      </c>
      <c r="EW6" s="573" t="str">
        <f>IS!EW7</f>
        <v>2018E</v>
      </c>
      <c r="EX6" s="572" t="str">
        <f>IS!EX7</f>
        <v>Sep-18E</v>
      </c>
      <c r="EY6" s="572" t="str">
        <f>IS!EY7</f>
        <v>Dec-18E</v>
      </c>
      <c r="EZ6" s="572" t="str">
        <f>IS!EZ7</f>
        <v>Mar-19E</v>
      </c>
      <c r="FA6" s="572" t="str">
        <f>IS!FA7</f>
        <v>Jun-19E</v>
      </c>
      <c r="FB6" s="573" t="str">
        <f>IS!FB7</f>
        <v>2019E</v>
      </c>
      <c r="FC6" s="572" t="str">
        <f>IS!FC7</f>
        <v>Sep-19E</v>
      </c>
      <c r="FD6" s="572" t="str">
        <f>IS!FD7</f>
        <v>Dec-19E</v>
      </c>
      <c r="FE6" s="572" t="str">
        <f>IS!FE7</f>
        <v>Mar-20E</v>
      </c>
      <c r="FF6" s="572" t="str">
        <f>IS!FF7</f>
        <v>Jun-20E</v>
      </c>
      <c r="FG6" s="573" t="str">
        <f>IS!FG7</f>
        <v>2020E</v>
      </c>
      <c r="FH6" s="572" t="str">
        <f>IS!FH7</f>
        <v>Sep-20E</v>
      </c>
      <c r="FI6" s="572" t="str">
        <f>IS!FI7</f>
        <v>Dec-20E</v>
      </c>
      <c r="FJ6" s="572" t="str">
        <f>IS!FJ7</f>
        <v>Mar-21E</v>
      </c>
      <c r="FK6" s="572" t="str">
        <f>IS!FK7</f>
        <v>Jun-21E</v>
      </c>
      <c r="FL6" s="573" t="str">
        <f>IS!FL7</f>
        <v>2021E</v>
      </c>
    </row>
    <row r="7" spans="1:168" s="243" customFormat="1" ht="11.25" customHeight="1">
      <c r="A7" s="96" t="s">
        <v>238</v>
      </c>
      <c r="B7" s="461"/>
      <c r="C7" s="461"/>
      <c r="D7" s="461"/>
      <c r="E7" s="461"/>
      <c r="F7" s="461"/>
      <c r="G7" s="461"/>
      <c r="H7" s="461"/>
      <c r="I7" s="461"/>
      <c r="J7" s="461"/>
      <c r="K7" s="461"/>
      <c r="L7" s="461"/>
      <c r="M7" s="461"/>
      <c r="N7" s="461"/>
      <c r="O7" s="461"/>
      <c r="P7" s="461"/>
      <c r="Q7" s="461"/>
      <c r="R7" s="461"/>
      <c r="S7" s="461"/>
      <c r="T7" s="461"/>
      <c r="U7" s="461"/>
      <c r="V7" s="461"/>
      <c r="W7" s="461"/>
      <c r="X7" s="461"/>
      <c r="Y7" s="461"/>
      <c r="Z7" s="461"/>
      <c r="AA7" s="461"/>
      <c r="AB7" s="461"/>
      <c r="AC7" s="461"/>
      <c r="AD7" s="461"/>
      <c r="AE7" s="461"/>
      <c r="AF7" s="461"/>
      <c r="AG7" s="461"/>
      <c r="AH7" s="461"/>
      <c r="AI7" s="461"/>
      <c r="AJ7" s="461"/>
      <c r="AK7" s="461"/>
      <c r="AL7" s="461"/>
      <c r="AM7" s="461"/>
      <c r="AN7" s="461"/>
      <c r="AO7" s="461"/>
      <c r="AP7" s="461"/>
      <c r="AQ7" s="461"/>
      <c r="AR7" s="461"/>
      <c r="AS7" s="461"/>
      <c r="AT7" s="461"/>
      <c r="AU7" s="461"/>
      <c r="AV7" s="461"/>
      <c r="AW7" s="461"/>
      <c r="AX7" s="461"/>
      <c r="AY7" s="461"/>
      <c r="AZ7" s="461"/>
      <c r="BA7" s="461"/>
      <c r="BB7" s="461"/>
      <c r="BC7" s="461"/>
      <c r="BD7" s="461"/>
      <c r="BE7" s="461"/>
      <c r="BF7" s="461"/>
      <c r="BG7" s="461"/>
      <c r="BH7" s="461"/>
      <c r="BI7" s="461"/>
      <c r="BJ7" s="461"/>
      <c r="BK7" s="461"/>
      <c r="BL7" s="461"/>
      <c r="BM7" s="461"/>
      <c r="BN7" s="461"/>
      <c r="BO7" s="461"/>
      <c r="BP7" s="461"/>
      <c r="BQ7" s="461"/>
      <c r="BR7" s="461"/>
      <c r="BS7" s="461"/>
      <c r="BT7" s="461"/>
      <c r="BU7" s="461"/>
      <c r="BV7" s="461"/>
      <c r="BW7" s="461"/>
      <c r="BX7" s="461"/>
      <c r="BY7" s="461"/>
      <c r="BZ7" s="574"/>
      <c r="CA7" s="575">
        <v>6078</v>
      </c>
      <c r="CB7" s="244">
        <f t="shared" ref="CB7:CI7" si="0">+CA16</f>
        <v>6110.1862998462293</v>
      </c>
      <c r="CC7" s="244">
        <f t="shared" si="0"/>
        <v>4151.0372544703396</v>
      </c>
      <c r="CD7" s="244">
        <f t="shared" si="0"/>
        <v>4280.2534144122255</v>
      </c>
      <c r="CE7" s="576">
        <f>CA7</f>
        <v>6078</v>
      </c>
      <c r="CF7" s="244">
        <f>+CD16</f>
        <v>6489</v>
      </c>
      <c r="CG7" s="244">
        <f t="shared" si="0"/>
        <v>6511.8608880719894</v>
      </c>
      <c r="CH7" s="244">
        <f t="shared" si="0"/>
        <v>6552.826576651044</v>
      </c>
      <c r="CI7" s="244">
        <f t="shared" si="0"/>
        <v>6116.7012278273087</v>
      </c>
      <c r="CJ7" s="576">
        <f>CF7</f>
        <v>6489</v>
      </c>
      <c r="CK7" s="244">
        <f>+CI16</f>
        <v>6375</v>
      </c>
      <c r="CL7" s="244">
        <f t="shared" ref="CL7:CS7" si="1">+CK16</f>
        <v>6624.3547157407429</v>
      </c>
      <c r="CM7" s="244">
        <f t="shared" si="1"/>
        <v>6970.8492219764075</v>
      </c>
      <c r="CN7" s="244">
        <f t="shared" si="1"/>
        <v>7302.6784771600906</v>
      </c>
      <c r="CO7" s="576">
        <f>CK7</f>
        <v>6375</v>
      </c>
      <c r="CP7" s="244">
        <f>+CN16</f>
        <v>7223</v>
      </c>
      <c r="CQ7" s="244">
        <f t="shared" si="1"/>
        <v>7801.8938800359301</v>
      </c>
      <c r="CR7" s="244">
        <f t="shared" si="1"/>
        <v>8430.7826922850709</v>
      </c>
      <c r="CS7" s="244">
        <f t="shared" si="1"/>
        <v>8906.2974927569776</v>
      </c>
      <c r="CT7" s="576">
        <f>CP7</f>
        <v>7223</v>
      </c>
      <c r="CU7" s="244">
        <f>+CS16</f>
        <v>9366</v>
      </c>
      <c r="CV7" s="244">
        <f>+CU16</f>
        <v>12574</v>
      </c>
      <c r="CW7" s="244">
        <f>+CV16</f>
        <v>13485.5</v>
      </c>
      <c r="CX7" s="244">
        <f>+CW16</f>
        <v>14313.5</v>
      </c>
      <c r="CY7" s="576">
        <f>CU7</f>
        <v>9366</v>
      </c>
      <c r="CZ7" s="244">
        <f>+CX16</f>
        <v>12544</v>
      </c>
      <c r="DA7" s="244">
        <f>+CZ16</f>
        <v>13510.5</v>
      </c>
      <c r="DB7" s="244">
        <f>+DA16</f>
        <v>14577.5</v>
      </c>
      <c r="DC7" s="244">
        <f>+DB16</f>
        <v>14348</v>
      </c>
      <c r="DD7" s="576">
        <f>CZ7</f>
        <v>12544</v>
      </c>
      <c r="DE7" s="244">
        <f>+DC16</f>
        <v>15082</v>
      </c>
      <c r="DF7" s="244">
        <f>+DE16</f>
        <v>15365</v>
      </c>
      <c r="DG7" s="244">
        <f>+DF16</f>
        <v>15572</v>
      </c>
      <c r="DH7" s="244">
        <f>+DG16</f>
        <v>6277.4413839297649</v>
      </c>
      <c r="DI7" s="576">
        <f>DE7</f>
        <v>15082</v>
      </c>
      <c r="DJ7" s="244">
        <f>+DH16</f>
        <v>2049.3222358040384</v>
      </c>
      <c r="DK7" s="244">
        <f>+DJ16</f>
        <v>2384.6175673505686</v>
      </c>
      <c r="DL7" s="244">
        <f>+DK16</f>
        <v>17078</v>
      </c>
      <c r="DM7" s="244">
        <f>+DL16</f>
        <v>17078</v>
      </c>
      <c r="DN7" s="576">
        <f>DJ7</f>
        <v>2049.3222358040384</v>
      </c>
      <c r="DO7" s="244">
        <f>+DN16</f>
        <v>15046.253777995713</v>
      </c>
      <c r="DP7" s="244">
        <f>+DO16</f>
        <v>12773.409903338317</v>
      </c>
      <c r="DQ7" s="244">
        <f>+DP16</f>
        <v>19727.766198754183</v>
      </c>
      <c r="DR7" s="244">
        <f>+DQ16</f>
        <v>20162.504064859615</v>
      </c>
      <c r="DS7" s="576">
        <f>DO7</f>
        <v>15046.253777995713</v>
      </c>
      <c r="DT7" s="244">
        <f>+DS16</f>
        <v>20205.417757783944</v>
      </c>
      <c r="DU7" s="244">
        <f>+DT16</f>
        <v>21339.01054504652</v>
      </c>
      <c r="DV7" s="244">
        <f>+DU16</f>
        <v>22515.047571371688</v>
      </c>
      <c r="DW7" s="244">
        <f>+DV16</f>
        <v>23429.676594813602</v>
      </c>
      <c r="DX7" s="576">
        <f>DT7</f>
        <v>20205.417757783944</v>
      </c>
      <c r="DY7" s="244">
        <f>+DX16</f>
        <v>25232.02023011064</v>
      </c>
      <c r="DZ7" s="244">
        <f>+DY16</f>
        <v>26460.661608073624</v>
      </c>
      <c r="EA7" s="244">
        <f>+DZ16</f>
        <v>28291.333273059263</v>
      </c>
      <c r="EB7" s="244">
        <f>+EA16</f>
        <v>29462.941428161605</v>
      </c>
      <c r="EC7" s="576">
        <f>DY7</f>
        <v>25232.02023011064</v>
      </c>
      <c r="ED7" s="244">
        <f>+EC16</f>
        <v>24394.955440276251</v>
      </c>
      <c r="EE7" s="244">
        <f>+ED16</f>
        <v>24825.506261187576</v>
      </c>
      <c r="EF7" s="244">
        <f>+EE16</f>
        <v>25017.496846118527</v>
      </c>
      <c r="EG7" s="244">
        <f>+EF16</f>
        <v>25910.733111091911</v>
      </c>
      <c r="EH7" s="576">
        <f>ED7</f>
        <v>24394.955440276251</v>
      </c>
      <c r="EI7" s="244">
        <f>+EH16</f>
        <v>27588.260257481259</v>
      </c>
      <c r="EJ7" s="244">
        <f>+EI16</f>
        <v>28106.587517936205</v>
      </c>
      <c r="EK7" s="244">
        <f>+EJ16</f>
        <v>29984.299401571036</v>
      </c>
      <c r="EL7" s="244">
        <f>+EK16</f>
        <v>32465.055312131211</v>
      </c>
      <c r="EM7" s="576">
        <f>EI7</f>
        <v>27588.260257481259</v>
      </c>
      <c r="EN7" s="244">
        <f>+EM16</f>
        <v>34913.655861785279</v>
      </c>
      <c r="EO7" s="244">
        <f>+EN16</f>
        <v>36945.38083439973</v>
      </c>
      <c r="EP7" s="244">
        <f>+EO16</f>
        <v>53633.100408870727</v>
      </c>
      <c r="EQ7" s="244">
        <f>+EP16</f>
        <v>43655.936522309748</v>
      </c>
      <c r="ER7" s="576">
        <f>EN7</f>
        <v>34913.655861785279</v>
      </c>
      <c r="ES7" s="244">
        <f>+ER16</f>
        <v>38121.808043719837</v>
      </c>
      <c r="ET7" s="244">
        <f>+ES16</f>
        <v>38018.745422518106</v>
      </c>
      <c r="EU7" s="244">
        <f>+ET16</f>
        <v>39988.755190524877</v>
      </c>
      <c r="EV7" s="244">
        <f>+EU16</f>
        <v>42841.898039180793</v>
      </c>
      <c r="EW7" s="576">
        <f>ES7</f>
        <v>38121.808043719837</v>
      </c>
      <c r="EX7" s="244">
        <f>+EV16</f>
        <v>45297.180596521554</v>
      </c>
      <c r="EY7" s="244">
        <f>+EX16</f>
        <v>48028.727387094819</v>
      </c>
      <c r="EZ7" s="244">
        <f>+EY16</f>
        <v>49978.959211280657</v>
      </c>
      <c r="FA7" s="244">
        <f>+EZ16</f>
        <v>50767.254076988742</v>
      </c>
      <c r="FB7" s="576">
        <f>EX7</f>
        <v>45297.180596521554</v>
      </c>
      <c r="FC7" s="244">
        <f>+FA16</f>
        <v>50967.254076988742</v>
      </c>
      <c r="FD7" s="244">
        <f>+FC16</f>
        <v>51706.157643206687</v>
      </c>
      <c r="FE7" s="244">
        <f>+FD16</f>
        <v>52439.747556791153</v>
      </c>
      <c r="FF7" s="244">
        <f>+FE16</f>
        <v>53180.530123843542</v>
      </c>
      <c r="FG7" s="576">
        <f>FC7</f>
        <v>50967.254076988742</v>
      </c>
      <c r="FH7" s="244">
        <f>+FF16</f>
        <v>53923.007245458168</v>
      </c>
      <c r="FI7" s="244">
        <f>+FH16</f>
        <v>54668.61704390627</v>
      </c>
      <c r="FJ7" s="244">
        <f>+FI16</f>
        <v>55416.458571024908</v>
      </c>
      <c r="FK7" s="244">
        <f>+FJ16</f>
        <v>56171.121516022962</v>
      </c>
      <c r="FL7" s="576">
        <f>FH7</f>
        <v>53923.007245458168</v>
      </c>
    </row>
    <row r="8" spans="1:168" s="243" customFormat="1" ht="11.25" customHeight="1">
      <c r="A8" s="93" t="s">
        <v>237</v>
      </c>
      <c r="BV8" s="244">
        <f>+BS!BT15</f>
        <v>2268</v>
      </c>
      <c r="BW8" s="244">
        <f>+BS!BV15</f>
        <v>2189</v>
      </c>
      <c r="BX8" s="244">
        <f>+BS!BW15</f>
        <v>2257</v>
      </c>
      <c r="BY8" s="244">
        <f>+BS!BX15</f>
        <v>2208</v>
      </c>
      <c r="BZ8" s="576">
        <f>BV8</f>
        <v>2268</v>
      </c>
      <c r="CA8" s="244">
        <f>+BS!BY15</f>
        <v>2223</v>
      </c>
      <c r="CB8" s="244">
        <f>+BS!CA15</f>
        <v>2193</v>
      </c>
      <c r="CC8" s="244">
        <f>+BS!CB15</f>
        <v>2178</v>
      </c>
      <c r="CD8" s="244">
        <f>+BS!CC15</f>
        <v>2258</v>
      </c>
      <c r="CE8" s="576">
        <f>CA8</f>
        <v>2223</v>
      </c>
      <c r="CF8" s="244">
        <f>+BS!CD15</f>
        <v>2326</v>
      </c>
      <c r="CG8" s="244">
        <f>+BS!CF15</f>
        <v>2317</v>
      </c>
      <c r="CH8" s="244">
        <f>+BS!CG15</f>
        <v>2336</v>
      </c>
      <c r="CI8" s="244">
        <f>+BS!CH15</f>
        <v>2321</v>
      </c>
      <c r="CJ8" s="576">
        <f>CF8</f>
        <v>2326</v>
      </c>
      <c r="CK8" s="244">
        <f>+BS!CI15</f>
        <v>2346</v>
      </c>
      <c r="CL8" s="244">
        <f>+BS!CK15</f>
        <v>2351</v>
      </c>
      <c r="CM8" s="244">
        <f>+BS!CL15</f>
        <v>2452</v>
      </c>
      <c r="CN8" s="244">
        <f>+BS!CM15</f>
        <v>2543</v>
      </c>
      <c r="CO8" s="576">
        <f>CK8</f>
        <v>2346</v>
      </c>
      <c r="CP8" s="244">
        <f>+BS!CN15</f>
        <v>3044</v>
      </c>
      <c r="CQ8" s="244">
        <f>+BS!CP15</f>
        <v>3193</v>
      </c>
      <c r="CR8" s="244">
        <f>+BS!CQ15</f>
        <v>3686</v>
      </c>
      <c r="CS8" s="244">
        <f>+BS!CR15</f>
        <v>3923</v>
      </c>
      <c r="CT8" s="576">
        <f>CP8</f>
        <v>3044</v>
      </c>
      <c r="CU8" s="244">
        <f>+BS!CS15</f>
        <v>4350</v>
      </c>
      <c r="CV8" s="244">
        <f>+BS!CU15</f>
        <v>4615</v>
      </c>
      <c r="CW8" s="244">
        <f>+BS!CV15</f>
        <v>4965</v>
      </c>
      <c r="CX8" s="244">
        <f>+BS!CW15</f>
        <v>5516</v>
      </c>
      <c r="CY8" s="576">
        <f>CU8</f>
        <v>4350</v>
      </c>
      <c r="CZ8" s="244">
        <f>+BS!CX15</f>
        <v>6242</v>
      </c>
      <c r="DA8" s="244">
        <f>+BS!CZ15</f>
        <v>6552</v>
      </c>
      <c r="DB8" s="244">
        <f>+BS!DA15</f>
        <v>6996</v>
      </c>
      <c r="DC8" s="244">
        <f>+BS!DB15</f>
        <v>7112</v>
      </c>
      <c r="DD8" s="576">
        <f>CZ8</f>
        <v>6242</v>
      </c>
      <c r="DE8" s="244">
        <f>+BS!DC15</f>
        <v>7535</v>
      </c>
      <c r="DF8" s="244">
        <f>+BS!DE15</f>
        <v>7512</v>
      </c>
      <c r="DG8" s="244">
        <f>+BS!DF15</f>
        <v>7402</v>
      </c>
      <c r="DH8" s="244">
        <f>+BS!DG15</f>
        <v>7372</v>
      </c>
      <c r="DI8" s="576">
        <f>DE8</f>
        <v>7535</v>
      </c>
      <c r="DJ8" s="244">
        <f>+BS!DH15</f>
        <v>7630</v>
      </c>
      <c r="DK8" s="244">
        <f>+BS!DJ15</f>
        <v>7771</v>
      </c>
      <c r="DL8" s="244">
        <f>+BS!DK15</f>
        <v>7799</v>
      </c>
      <c r="DM8" s="244">
        <f>+BS!DL15</f>
        <v>7969</v>
      </c>
      <c r="DN8" s="576">
        <f>DJ8</f>
        <v>7630</v>
      </c>
      <c r="DO8" s="244">
        <f>+BS!DM15</f>
        <v>8162</v>
      </c>
      <c r="DP8" s="244">
        <f>+BS!DO15</f>
        <v>8033</v>
      </c>
      <c r="DQ8" s="244">
        <f>+BS!DP15</f>
        <v>8010</v>
      </c>
      <c r="DR8" s="244">
        <f>+BS!DQ15</f>
        <v>8225</v>
      </c>
      <c r="DS8" s="576">
        <f>DO8</f>
        <v>8162</v>
      </c>
      <c r="DT8" s="244">
        <f>+BS!DR15</f>
        <v>8269</v>
      </c>
      <c r="DU8" s="244">
        <f>+BS!DT15</f>
        <v>8329</v>
      </c>
      <c r="DV8" s="244">
        <f>+BS!DU15</f>
        <v>8698</v>
      </c>
      <c r="DW8" s="244">
        <f>+BS!DV15</f>
        <v>9204</v>
      </c>
      <c r="DX8" s="576">
        <f>DT8</f>
        <v>8269</v>
      </c>
      <c r="DY8" s="244">
        <f>+BS!DW15</f>
        <v>9991</v>
      </c>
      <c r="DZ8" s="244">
        <f>+BS!DY15</f>
        <v>10774</v>
      </c>
      <c r="EA8" s="244">
        <f>+BS!DZ15</f>
        <v>11567</v>
      </c>
      <c r="EB8" s="244">
        <f>+BS!EA15</f>
        <v>11771</v>
      </c>
      <c r="EC8" s="576">
        <f>DY8</f>
        <v>9991</v>
      </c>
      <c r="ED8" s="244">
        <f>+BS!EB15</f>
        <v>13011</v>
      </c>
      <c r="EE8" s="244">
        <f>+BS!ED15</f>
        <v>13229</v>
      </c>
      <c r="EF8" s="244">
        <f>+BS!EE15</f>
        <v>13607</v>
      </c>
      <c r="EG8" s="244">
        <f>+BS!EF15</f>
        <v>14375</v>
      </c>
      <c r="EH8" s="576">
        <f>ED8</f>
        <v>13011</v>
      </c>
      <c r="EI8" s="244">
        <f>+BS!EG15</f>
        <v>14731</v>
      </c>
      <c r="EJ8" s="244">
        <f>+BS!EI15</f>
        <v>15046</v>
      </c>
      <c r="EK8" s="244">
        <f>+BS!EJ15</f>
        <v>15789</v>
      </c>
      <c r="EL8" s="244">
        <f>+BS!EK15</f>
        <v>16831</v>
      </c>
      <c r="EM8" s="576">
        <f>EI8</f>
        <v>14731</v>
      </c>
      <c r="EN8" s="244">
        <f>+BS!EL15</f>
        <v>18356</v>
      </c>
      <c r="EO8" s="244">
        <f>+BS!EN15</f>
        <v>19224</v>
      </c>
      <c r="EP8" s="244">
        <f>+BS!EO15</f>
        <v>21379</v>
      </c>
      <c r="EQ8" s="244">
        <f>+BS!EP15</f>
        <v>21962</v>
      </c>
      <c r="ER8" s="576">
        <f>EN8</f>
        <v>18356</v>
      </c>
      <c r="ES8" s="244">
        <f>+BS!EQ15</f>
        <v>23734</v>
      </c>
      <c r="ET8" s="244">
        <f>+BS!ES15</f>
        <v>24809</v>
      </c>
      <c r="EU8" s="244">
        <f>+BS!ET15</f>
        <v>26304</v>
      </c>
      <c r="EV8" s="244">
        <f>+BS!EU15</f>
        <v>27929</v>
      </c>
      <c r="EW8" s="576">
        <f>ES8</f>
        <v>23734</v>
      </c>
      <c r="EX8" s="244">
        <f>+BS!EV15</f>
        <v>28898.8871</v>
      </c>
      <c r="EY8" s="244">
        <f>+BS!EX15</f>
        <v>29944.7742</v>
      </c>
      <c r="EZ8" s="244">
        <f>+BS!EY15</f>
        <v>30968.620170999999</v>
      </c>
      <c r="FA8" s="244">
        <f>+BS!EZ15</f>
        <v>31970.20460171</v>
      </c>
      <c r="FB8" s="576">
        <f>EX8</f>
        <v>28898.8871</v>
      </c>
      <c r="FC8" s="244">
        <f>+BS!FA15</f>
        <v>32949.304876727103</v>
      </c>
      <c r="FD8" s="244">
        <f>+BS!FC15</f>
        <v>34028.405151744206</v>
      </c>
      <c r="FE8" s="244">
        <f>+BS!FD15</f>
        <v>35084.79642951148</v>
      </c>
      <c r="FF8" s="244">
        <f>+BS!FE15</f>
        <v>36118.251620056421</v>
      </c>
      <c r="FG8" s="576">
        <f>FC8</f>
        <v>32949.304876727103</v>
      </c>
      <c r="FH8" s="244">
        <f>+BS!FF15</f>
        <v>37128.54136250681</v>
      </c>
      <c r="FI8" s="244">
        <f>+BS!FH15</f>
        <v>38238.8311049572</v>
      </c>
      <c r="FJ8" s="244">
        <f>+BS!FI15</f>
        <v>39325.723744832096</v>
      </c>
      <c r="FK8" s="244">
        <f>+BS!FJ15</f>
        <v>40388.985311105738</v>
      </c>
      <c r="FL8" s="576">
        <f>FH8</f>
        <v>37128.54136250681</v>
      </c>
    </row>
    <row r="9" spans="1:168" s="243" customFormat="1" ht="11.25" customHeight="1">
      <c r="A9" s="577" t="s">
        <v>701</v>
      </c>
      <c r="BZ9" s="574"/>
      <c r="CA9" s="244"/>
      <c r="CB9" s="244"/>
      <c r="CC9" s="244"/>
      <c r="CD9" s="244"/>
      <c r="CE9" s="574"/>
      <c r="CF9" s="244"/>
      <c r="CG9" s="244"/>
      <c r="CH9" s="244"/>
      <c r="CI9" s="244"/>
      <c r="CJ9" s="574"/>
      <c r="CK9" s="244"/>
      <c r="CL9" s="244"/>
      <c r="CM9" s="244"/>
      <c r="CN9" s="244"/>
      <c r="CO9" s="574"/>
      <c r="CP9" s="244"/>
      <c r="CQ9" s="244"/>
      <c r="CR9" s="244"/>
      <c r="CS9" s="244"/>
      <c r="CT9" s="574"/>
      <c r="CU9" s="244"/>
      <c r="CV9" s="244"/>
      <c r="CW9" s="244"/>
      <c r="CX9" s="244"/>
      <c r="CY9" s="574"/>
      <c r="CZ9" s="244"/>
      <c r="DA9" s="244"/>
      <c r="DB9" s="244"/>
      <c r="DC9" s="244"/>
      <c r="DD9" s="574"/>
      <c r="DE9" s="244"/>
      <c r="DF9" s="244"/>
      <c r="DG9" s="244"/>
      <c r="DH9" s="244"/>
      <c r="DI9" s="574"/>
      <c r="DJ9" s="244"/>
      <c r="DK9" s="244"/>
      <c r="DL9" s="244"/>
      <c r="DM9" s="244"/>
      <c r="DN9" s="574"/>
      <c r="DO9" s="244"/>
      <c r="DP9" s="244"/>
      <c r="DQ9" s="244"/>
      <c r="DR9" s="244"/>
      <c r="DS9" s="574"/>
      <c r="DT9" s="244"/>
      <c r="DU9" s="244"/>
      <c r="DV9" s="244"/>
      <c r="DW9" s="244"/>
      <c r="DX9" s="574"/>
      <c r="DY9" s="244"/>
      <c r="DZ9" s="244"/>
      <c r="EA9" s="244"/>
      <c r="EB9" s="244"/>
      <c r="EC9" s="574"/>
      <c r="ED9" s="244"/>
      <c r="EE9" s="244"/>
      <c r="EF9" s="244"/>
      <c r="EG9" s="244"/>
      <c r="EH9" s="574"/>
      <c r="EI9" s="244"/>
      <c r="EJ9" s="244"/>
      <c r="EK9" s="244"/>
      <c r="EL9" s="244"/>
      <c r="EM9" s="574"/>
      <c r="EN9" s="244"/>
      <c r="EO9" s="244"/>
      <c r="EP9" s="244"/>
      <c r="EQ9" s="244"/>
      <c r="ER9" s="574"/>
      <c r="ES9" s="244"/>
      <c r="ET9" s="244"/>
      <c r="EU9" s="244"/>
      <c r="EV9" s="244"/>
      <c r="EW9" s="1201"/>
      <c r="EX9" s="244"/>
      <c r="EY9" s="244"/>
      <c r="EZ9" s="244"/>
      <c r="FA9" s="244"/>
      <c r="FB9" s="1201"/>
      <c r="FC9" s="244"/>
      <c r="FD9" s="244"/>
      <c r="FE9" s="244"/>
      <c r="FF9" s="244"/>
      <c r="FG9" s="1201"/>
      <c r="FH9" s="244"/>
      <c r="FI9" s="244"/>
      <c r="FJ9" s="244"/>
      <c r="FK9" s="244"/>
      <c r="FL9" s="1201"/>
    </row>
    <row r="10" spans="1:168" s="243" customFormat="1" ht="11.25" customHeight="1">
      <c r="A10" s="243" t="s">
        <v>456</v>
      </c>
      <c r="BV10" s="465">
        <f>-CF!BV26</f>
        <v>160</v>
      </c>
      <c r="BW10" s="465">
        <f>-CF!BW26</f>
        <v>276</v>
      </c>
      <c r="BX10" s="465">
        <f>-CF!BX26</f>
        <v>182</v>
      </c>
      <c r="BY10" s="465">
        <f>-CF!BY26</f>
        <v>273</v>
      </c>
      <c r="BZ10" s="578">
        <f>SUM(BV10:BY10)</f>
        <v>891</v>
      </c>
      <c r="CA10" s="465">
        <f>-CF!CA26</f>
        <v>167</v>
      </c>
      <c r="CB10" s="465">
        <f>-CF!CB26</f>
        <v>172</v>
      </c>
      <c r="CC10" s="465">
        <f>-CF!CC26</f>
        <v>213</v>
      </c>
      <c r="CD10" s="465">
        <f>-CF!CD26</f>
        <v>557</v>
      </c>
      <c r="CE10" s="578">
        <f>SUM(CA10:CD10)</f>
        <v>1109</v>
      </c>
      <c r="CF10" s="465">
        <f>-CF!CF26</f>
        <v>173</v>
      </c>
      <c r="CG10" s="465">
        <f>-CF!CG26</f>
        <v>176</v>
      </c>
      <c r="CH10" s="465">
        <f>-CF!CH26</f>
        <v>203</v>
      </c>
      <c r="CI10" s="465">
        <f>-CF!CI26</f>
        <v>260</v>
      </c>
      <c r="CJ10" s="578">
        <f>SUM(CF10:CI10)</f>
        <v>812</v>
      </c>
      <c r="CK10" s="465">
        <f>-CF!CK26</f>
        <v>213</v>
      </c>
      <c r="CL10" s="465">
        <f>-CF!CL26</f>
        <v>318</v>
      </c>
      <c r="CM10" s="465">
        <f>-CF!CM26</f>
        <v>302</v>
      </c>
      <c r="CN10" s="465">
        <f>-CF!CN26</f>
        <v>745</v>
      </c>
      <c r="CO10" s="578">
        <f>SUM(CK10:CN10)</f>
        <v>1578</v>
      </c>
      <c r="CP10" s="465">
        <f>-CF!CP26</f>
        <v>411</v>
      </c>
      <c r="CQ10" s="465">
        <f>-CF!CQ26</f>
        <v>572</v>
      </c>
      <c r="CR10" s="465">
        <f>-CF!CR26</f>
        <v>461</v>
      </c>
      <c r="CS10" s="465">
        <f>-CF!CS26</f>
        <v>820</v>
      </c>
      <c r="CT10" s="578">
        <f>SUM(CP10:CS10)</f>
        <v>2264</v>
      </c>
      <c r="CU10" s="465">
        <f>-CF!CU26</f>
        <v>510</v>
      </c>
      <c r="CV10" s="465">
        <f>-CF!CV26</f>
        <v>695</v>
      </c>
      <c r="CW10" s="465">
        <f>-CF!CW26</f>
        <v>759</v>
      </c>
      <c r="CX10" s="465">
        <f>-CF!CX26</f>
        <v>1218</v>
      </c>
      <c r="CY10" s="578">
        <f>SUM(CU10:CX10)</f>
        <v>3182</v>
      </c>
      <c r="CZ10" s="465">
        <f>-CF!CZ26</f>
        <v>778</v>
      </c>
      <c r="DA10" s="465">
        <f>-CF!DA26</f>
        <v>842</v>
      </c>
      <c r="DB10" s="465">
        <f>-CF!DB26</f>
        <v>632</v>
      </c>
      <c r="DC10" s="465">
        <f>-CF!DC26</f>
        <v>867</v>
      </c>
      <c r="DD10" s="578">
        <f>SUM(CZ10:DC10)</f>
        <v>3119</v>
      </c>
      <c r="DE10" s="465">
        <f>-CF!DE26</f>
        <v>435</v>
      </c>
      <c r="DF10" s="465">
        <f>-CF!DF26</f>
        <v>376</v>
      </c>
      <c r="DG10" s="465">
        <f>-CF!DG26</f>
        <v>408</v>
      </c>
      <c r="DH10" s="465">
        <f>-CF!DH26</f>
        <v>758</v>
      </c>
      <c r="DI10" s="578">
        <f>SUM(DE10:DH10)</f>
        <v>1977</v>
      </c>
      <c r="DJ10" s="465">
        <f>-CF!DJ26</f>
        <v>564</v>
      </c>
      <c r="DK10" s="465">
        <f>-CF!DK26</f>
        <v>491</v>
      </c>
      <c r="DL10" s="465">
        <f>-CF!DL26</f>
        <v>658</v>
      </c>
      <c r="DM10" s="465">
        <f>-CF!DM26</f>
        <v>642</v>
      </c>
      <c r="DN10" s="578">
        <f>SUM(DJ10:DM10)</f>
        <v>2355</v>
      </c>
      <c r="DO10" s="465">
        <f>-CF!DO26</f>
        <v>436</v>
      </c>
      <c r="DP10" s="465">
        <f>-CF!DP26</f>
        <v>498</v>
      </c>
      <c r="DQ10" s="465">
        <f>-CF!DQ26</f>
        <v>749</v>
      </c>
      <c r="DR10" s="465">
        <f>-CF!DR26</f>
        <v>622</v>
      </c>
      <c r="DS10" s="578">
        <f>SUM(DO10:DR10)</f>
        <v>2305</v>
      </c>
      <c r="DT10" s="465">
        <f>-CF!DT26</f>
        <v>603</v>
      </c>
      <c r="DU10" s="465">
        <f>-CF!DU26</f>
        <v>930</v>
      </c>
      <c r="DV10" s="465">
        <f>-CF!DV26</f>
        <v>930</v>
      </c>
      <c r="DW10" s="465">
        <f>-CF!DW26</f>
        <v>1794</v>
      </c>
      <c r="DX10" s="578">
        <f>SUM(DT10:DW10)</f>
        <v>4257</v>
      </c>
      <c r="DY10" s="465">
        <f>-CF!DY26</f>
        <v>1231</v>
      </c>
      <c r="DZ10" s="465">
        <f>-CF!DZ26</f>
        <v>1732</v>
      </c>
      <c r="EA10" s="465">
        <f>-CF!EA26</f>
        <v>1192</v>
      </c>
      <c r="EB10" s="465">
        <f>-CF!EB26</f>
        <v>1330</v>
      </c>
      <c r="EC10" s="578">
        <f>SUM(DY10:EB10)</f>
        <v>5485</v>
      </c>
      <c r="ED10" s="465">
        <f>-CF!ED26</f>
        <v>1282</v>
      </c>
      <c r="EE10" s="465">
        <f>-CF!EE26</f>
        <v>1490</v>
      </c>
      <c r="EF10" s="465">
        <f>-CF!EF26</f>
        <v>1391</v>
      </c>
      <c r="EG10" s="465">
        <f>-CF!EG26</f>
        <v>1781</v>
      </c>
      <c r="EH10" s="578">
        <f>SUM(ED10:EG10)</f>
        <v>5944</v>
      </c>
      <c r="EI10" s="465">
        <f>-CF!EI26</f>
        <v>1356</v>
      </c>
      <c r="EJ10" s="465">
        <f>-CF!EJ26</f>
        <v>2024</v>
      </c>
      <c r="EK10" s="465">
        <f>-CF!EK26</f>
        <v>2308</v>
      </c>
      <c r="EL10" s="465">
        <f>-CF!EL26</f>
        <v>2655</v>
      </c>
      <c r="EM10" s="578">
        <f>SUM(EI10:EL10)</f>
        <v>8343</v>
      </c>
      <c r="EN10" s="465">
        <f>-CF!EN26</f>
        <v>2163</v>
      </c>
      <c r="EO10" s="465">
        <f>-CF!EO26</f>
        <v>1988</v>
      </c>
      <c r="EP10" s="465">
        <f>-CF!EP26</f>
        <v>1695</v>
      </c>
      <c r="EQ10" s="465">
        <f>-CF!EQ26</f>
        <v>2283</v>
      </c>
      <c r="ER10" s="578">
        <f>SUM(EN10:EQ10)</f>
        <v>8129</v>
      </c>
      <c r="ES10" s="465">
        <f>-CF!ES26</f>
        <v>2132</v>
      </c>
      <c r="ET10" s="465">
        <f>-CF!ET26</f>
        <v>2586</v>
      </c>
      <c r="EU10" s="465">
        <f>-CF!EU26</f>
        <v>2934</v>
      </c>
      <c r="EV10" s="1202">
        <f>-CF!EV26</f>
        <v>3050</v>
      </c>
      <c r="EW10" s="1203">
        <f>SUM(ES10:EV10)</f>
        <v>10702</v>
      </c>
      <c r="EX10" s="1202">
        <f>-CF!EX26</f>
        <v>3050</v>
      </c>
      <c r="EY10" s="1202">
        <f>-CF!EY26</f>
        <v>3050</v>
      </c>
      <c r="EZ10" s="1202">
        <f>-CF!EZ26</f>
        <v>3050</v>
      </c>
      <c r="FA10" s="1202">
        <f>-CF!FA26</f>
        <v>3050</v>
      </c>
      <c r="FB10" s="1203">
        <f>SUM(EX10:FA10)</f>
        <v>12200</v>
      </c>
      <c r="FC10" s="1202">
        <f>-CF!FC26</f>
        <v>3150</v>
      </c>
      <c r="FD10" s="1202">
        <f>-CF!FD26</f>
        <v>3150</v>
      </c>
      <c r="FE10" s="1202">
        <f>-CF!FE26</f>
        <v>3150</v>
      </c>
      <c r="FF10" s="1202">
        <f>-CF!FF26</f>
        <v>3150</v>
      </c>
      <c r="FG10" s="1203">
        <f>SUM(FC10:FF10)</f>
        <v>12600</v>
      </c>
      <c r="FH10" s="1202">
        <f>-CF!FH26</f>
        <v>3250</v>
      </c>
      <c r="FI10" s="1202">
        <f>-CF!FI26</f>
        <v>3250</v>
      </c>
      <c r="FJ10" s="1202">
        <f>-CF!FJ26</f>
        <v>3250</v>
      </c>
      <c r="FK10" s="1202">
        <f>-CF!FK26</f>
        <v>3250</v>
      </c>
      <c r="FL10" s="1203">
        <f>SUM(FH10:FK10)</f>
        <v>13000</v>
      </c>
    </row>
    <row r="11" spans="1:168" s="243" customFormat="1" ht="11.25" customHeight="1">
      <c r="A11" s="243" t="s">
        <v>891</v>
      </c>
      <c r="BZ11" s="574"/>
      <c r="CA11" s="579"/>
      <c r="CB11" s="579"/>
      <c r="CC11" s="465">
        <f t="shared" ref="CC11:CI11" si="2">+CC67</f>
        <v>0</v>
      </c>
      <c r="CD11" s="465">
        <f t="shared" si="2"/>
        <v>0</v>
      </c>
      <c r="CE11" s="578">
        <f>SUM(CA11:CD11)</f>
        <v>0</v>
      </c>
      <c r="CF11" s="465">
        <f t="shared" si="2"/>
        <v>0</v>
      </c>
      <c r="CG11" s="465">
        <f t="shared" si="2"/>
        <v>0.5</v>
      </c>
      <c r="CH11" s="465">
        <f>+CH67</f>
        <v>5.5</v>
      </c>
      <c r="CI11" s="465">
        <f t="shared" si="2"/>
        <v>97.5</v>
      </c>
      <c r="CJ11" s="578">
        <f>SUM(CF11:CI11)</f>
        <v>103.5</v>
      </c>
      <c r="CK11" s="465">
        <f t="shared" ref="CK11:CU11" si="3">+CK67</f>
        <v>93.5</v>
      </c>
      <c r="CL11" s="465">
        <f t="shared" si="3"/>
        <v>31.5</v>
      </c>
      <c r="CM11" s="465">
        <f t="shared" si="3"/>
        <v>41.5</v>
      </c>
      <c r="CN11" s="465">
        <f t="shared" si="3"/>
        <v>158</v>
      </c>
      <c r="CO11" s="578">
        <f>SUM(CK11:CN11)</f>
        <v>324.5</v>
      </c>
      <c r="CP11" s="465">
        <f t="shared" si="3"/>
        <v>168</v>
      </c>
      <c r="CQ11" s="465">
        <f t="shared" si="3"/>
        <v>62.5</v>
      </c>
      <c r="CR11" s="465">
        <f t="shared" si="3"/>
        <v>20.5</v>
      </c>
      <c r="CS11" s="465">
        <f t="shared" si="3"/>
        <v>324</v>
      </c>
      <c r="CT11" s="578">
        <f>SUM(CP11:CS11)</f>
        <v>575</v>
      </c>
      <c r="CU11" s="465">
        <f t="shared" si="3"/>
        <v>2698</v>
      </c>
      <c r="CV11" s="465">
        <f>+CV67</f>
        <v>216.5</v>
      </c>
      <c r="CW11" s="465">
        <f>+CW67</f>
        <v>69</v>
      </c>
      <c r="CX11" s="465">
        <f>+CX67</f>
        <v>2579.5</v>
      </c>
      <c r="CY11" s="578">
        <f>SUM(CU11:CX11)</f>
        <v>5563</v>
      </c>
      <c r="CZ11" s="465">
        <f>+CZ67</f>
        <v>188.5</v>
      </c>
      <c r="DA11" s="465">
        <f>+DA67</f>
        <v>225</v>
      </c>
      <c r="DB11" s="465">
        <f>+DB67</f>
        <v>0</v>
      </c>
      <c r="DC11" s="465">
        <f>+DC67</f>
        <v>20.5</v>
      </c>
      <c r="DD11" s="578">
        <f>SUM(CZ11:DC11)</f>
        <v>434</v>
      </c>
      <c r="DE11" s="465">
        <f>+DE67</f>
        <v>19.5</v>
      </c>
      <c r="DF11" s="465">
        <f>+DF67</f>
        <v>31.5</v>
      </c>
      <c r="DG11" s="465">
        <f>+DG67</f>
        <v>71.5</v>
      </c>
      <c r="DH11" s="465">
        <f>+DH67</f>
        <v>0</v>
      </c>
      <c r="DI11" s="578">
        <f>SUM(DE11:DH11)</f>
        <v>122.5</v>
      </c>
      <c r="DJ11" s="465">
        <f>+DJ67</f>
        <v>0</v>
      </c>
      <c r="DK11" s="465">
        <f>+DK67</f>
        <v>34.5</v>
      </c>
      <c r="DL11" s="465">
        <f>+DL67</f>
        <v>0</v>
      </c>
      <c r="DM11" s="465">
        <f>+DM67</f>
        <v>1</v>
      </c>
      <c r="DN11" s="578">
        <f>SUM(DJ11:DM11)</f>
        <v>35.5</v>
      </c>
      <c r="DO11" s="465">
        <f>+DO67</f>
        <v>437.5</v>
      </c>
      <c r="DP11" s="465">
        <f>+DP67</f>
        <v>6901.6</v>
      </c>
      <c r="DQ11" s="465">
        <f>+DQ67</f>
        <v>42</v>
      </c>
      <c r="DR11" s="465">
        <f>+DR67</f>
        <v>263</v>
      </c>
      <c r="DS11" s="578">
        <f>SUM(DO11:DR11)</f>
        <v>7644.1</v>
      </c>
      <c r="DT11" s="465">
        <f>+DT67</f>
        <v>572.5</v>
      </c>
      <c r="DU11" s="465">
        <f>+DU67</f>
        <v>248.8</v>
      </c>
      <c r="DV11" s="465">
        <f>+DV67</f>
        <v>54</v>
      </c>
      <c r="DW11" s="465">
        <f>+DW67</f>
        <v>10</v>
      </c>
      <c r="DX11" s="578">
        <f>SUM(DT11:DW11)</f>
        <v>885.3</v>
      </c>
      <c r="DY11" s="465">
        <f>+DY67</f>
        <v>7.5</v>
      </c>
      <c r="DZ11" s="465">
        <f>+DZ67</f>
        <v>111.2</v>
      </c>
      <c r="EA11" s="465">
        <f>+EA67</f>
        <v>78.5</v>
      </c>
      <c r="EB11" s="465">
        <f>+EB67</f>
        <v>2813</v>
      </c>
      <c r="EC11" s="578">
        <f>SUM(DY11:EB11)</f>
        <v>3010.2</v>
      </c>
      <c r="ED11" s="465">
        <f>+ED67</f>
        <v>70.5</v>
      </c>
      <c r="EE11" s="465">
        <f>+EE67</f>
        <v>1397</v>
      </c>
      <c r="EF11" s="465">
        <f>+EF67</f>
        <v>81</v>
      </c>
      <c r="EG11" s="465">
        <f>+EG67</f>
        <v>313</v>
      </c>
      <c r="EH11" s="578">
        <f>SUM(ED11:EG11)</f>
        <v>1861.5</v>
      </c>
      <c r="EI11" s="465">
        <f>+EI67</f>
        <v>195</v>
      </c>
      <c r="EJ11" s="465">
        <f>+EJ67</f>
        <v>190.5</v>
      </c>
      <c r="EK11" s="465">
        <f>+EK67</f>
        <v>279.5</v>
      </c>
      <c r="EL11" s="465">
        <f>+EL67</f>
        <v>31.5</v>
      </c>
      <c r="EM11" s="578">
        <f>SUM(EI11:EL11)</f>
        <v>696.5</v>
      </c>
      <c r="EN11" s="465">
        <f>+EN67</f>
        <v>12</v>
      </c>
      <c r="EO11" s="465">
        <f>+EO67</f>
        <v>16893.000000000004</v>
      </c>
      <c r="EP11" s="465">
        <f>+EP67</f>
        <v>401</v>
      </c>
      <c r="EQ11" s="465">
        <f>+EQ67</f>
        <v>179</v>
      </c>
      <c r="ER11" s="578">
        <f>SUM(EN11:EQ11)</f>
        <v>17485.000000000004</v>
      </c>
      <c r="ES11" s="465">
        <f>+ES67</f>
        <v>89.5</v>
      </c>
      <c r="ET11" s="465">
        <f>+ET67</f>
        <v>13.5</v>
      </c>
      <c r="EU11" s="465">
        <f>+EU67</f>
        <v>124</v>
      </c>
      <c r="EV11" s="1202">
        <f>+EV67</f>
        <v>124</v>
      </c>
      <c r="EW11" s="1203">
        <f>SUM(ES11:EV11)</f>
        <v>351</v>
      </c>
      <c r="EX11" s="1202">
        <f>+EX67</f>
        <v>200</v>
      </c>
      <c r="EY11" s="1202">
        <f>+EY67</f>
        <v>200</v>
      </c>
      <c r="EZ11" s="1202">
        <f>+EZ67</f>
        <v>200</v>
      </c>
      <c r="FA11" s="1202">
        <f>+FA67</f>
        <v>200</v>
      </c>
      <c r="FB11" s="1203">
        <f>SUM(EX11:FA11)</f>
        <v>800</v>
      </c>
      <c r="FC11" s="1202">
        <f>+FC67</f>
        <v>200</v>
      </c>
      <c r="FD11" s="1202">
        <f>+FD67</f>
        <v>200</v>
      </c>
      <c r="FE11" s="1202">
        <f>+FE67</f>
        <v>200</v>
      </c>
      <c r="FF11" s="1202">
        <f>+FF67</f>
        <v>200</v>
      </c>
      <c r="FG11" s="1203">
        <f>SUM(FC11:FF11)</f>
        <v>800</v>
      </c>
      <c r="FH11" s="1202">
        <f>+FH67</f>
        <v>200</v>
      </c>
      <c r="FI11" s="1202">
        <f>+FI67</f>
        <v>200</v>
      </c>
      <c r="FJ11" s="1202">
        <f>+FJ67</f>
        <v>200</v>
      </c>
      <c r="FK11" s="1202">
        <f>+FK67</f>
        <v>200</v>
      </c>
      <c r="FL11" s="1203">
        <f>SUM(FH11:FK11)</f>
        <v>800</v>
      </c>
    </row>
    <row r="12" spans="1:168" s="243" customFormat="1" ht="11.25" customHeight="1">
      <c r="A12" s="577" t="s">
        <v>702</v>
      </c>
      <c r="BZ12" s="574"/>
      <c r="CA12" s="465"/>
      <c r="CB12" s="465"/>
      <c r="CE12" s="574"/>
      <c r="CJ12" s="574"/>
      <c r="CO12" s="574"/>
      <c r="CT12" s="574"/>
      <c r="CY12" s="574"/>
      <c r="DD12" s="574"/>
      <c r="DI12" s="574"/>
      <c r="DN12" s="574"/>
      <c r="DS12" s="574"/>
      <c r="DX12" s="574"/>
      <c r="EC12" s="574"/>
      <c r="EH12" s="574"/>
      <c r="EM12" s="574"/>
      <c r="ER12" s="574"/>
      <c r="EV12" s="94"/>
      <c r="EW12" s="1201"/>
      <c r="EX12" s="94"/>
      <c r="EY12" s="94"/>
      <c r="EZ12" s="94"/>
      <c r="FA12" s="94"/>
      <c r="FB12" s="1201"/>
      <c r="FC12" s="94"/>
      <c r="FD12" s="94"/>
      <c r="FE12" s="94"/>
      <c r="FF12" s="94"/>
      <c r="FG12" s="1201"/>
      <c r="FH12" s="94"/>
      <c r="FI12" s="94"/>
      <c r="FJ12" s="94"/>
      <c r="FK12" s="94"/>
      <c r="FL12" s="1201"/>
    </row>
    <row r="13" spans="1:168" s="243" customFormat="1" ht="11.25" customHeight="1">
      <c r="A13" s="243" t="s">
        <v>874</v>
      </c>
      <c r="BV13" s="580">
        <f>-CF!BV8-BV31</f>
        <v>-273</v>
      </c>
      <c r="BW13" s="580">
        <f>-CF!BW8-BW31</f>
        <v>-275</v>
      </c>
      <c r="BX13" s="580">
        <f>-CF!BX8-BX31</f>
        <v>-383</v>
      </c>
      <c r="BY13" s="580">
        <f>-CF!BY8-BY31</f>
        <v>-462</v>
      </c>
      <c r="BZ13" s="581">
        <f>SUM(BV13:BY13)</f>
        <v>-1393</v>
      </c>
      <c r="CA13" s="580">
        <f>-CF!CA8-CA31</f>
        <v>-285.5</v>
      </c>
      <c r="CB13" s="580">
        <f>-CF!CB8-CB31</f>
        <v>-257.5</v>
      </c>
      <c r="CC13" s="580">
        <f>-CF!CC8-CC31</f>
        <v>-206.5</v>
      </c>
      <c r="CD13" s="580">
        <f>-CF!CD8-CD31</f>
        <v>-266.5</v>
      </c>
      <c r="CE13" s="581">
        <f>SUM(CA13:CD13)</f>
        <v>-1016</v>
      </c>
      <c r="CF13" s="580">
        <f>-CF!CF8-CF31</f>
        <v>-142.75</v>
      </c>
      <c r="CG13" s="580">
        <f>-CF!CG8-CG31</f>
        <v>-67.75</v>
      </c>
      <c r="CH13" s="580">
        <f>-CF!CH8-CH31</f>
        <v>-241.75</v>
      </c>
      <c r="CI13" s="580">
        <f>-CF!CI8-CI31</f>
        <v>-241.75</v>
      </c>
      <c r="CJ13" s="581">
        <f>SUM(CF13:CI13)</f>
        <v>-694</v>
      </c>
      <c r="CK13" s="580">
        <f>-CF!CK8-CK31</f>
        <v>-202.25</v>
      </c>
      <c r="CL13" s="580">
        <f>-CF!CL8-CL31</f>
        <v>-199.25</v>
      </c>
      <c r="CM13" s="580">
        <f>-CF!CM8-CM31</f>
        <v>-145.25</v>
      </c>
      <c r="CN13" s="580">
        <f>-CF!CN8-CN31</f>
        <v>-229.25</v>
      </c>
      <c r="CO13" s="581">
        <f>SUM(CK13:CN13)</f>
        <v>-776</v>
      </c>
      <c r="CP13" s="580">
        <f>-CF!CP8-CP31</f>
        <v>-190</v>
      </c>
      <c r="CQ13" s="580">
        <f>-CF!CQ8-CQ31</f>
        <v>-306</v>
      </c>
      <c r="CR13" s="580">
        <f>-CF!CR8-CR31</f>
        <v>-386</v>
      </c>
      <c r="CS13" s="580">
        <f>-CF!CS8-CS31</f>
        <v>-322</v>
      </c>
      <c r="CT13" s="581">
        <f>SUM(CP13:CS13)</f>
        <v>-1204</v>
      </c>
      <c r="CU13" s="580">
        <f>-CF!CU8-CU31</f>
        <v>-333</v>
      </c>
      <c r="CV13" s="580">
        <f>-CF!CV8-CV31</f>
        <v>-369</v>
      </c>
      <c r="CW13" s="580">
        <f>-CF!CW8-CW31</f>
        <v>-417</v>
      </c>
      <c r="CX13" s="580">
        <f>-CF!CX8-CX31</f>
        <v>-490</v>
      </c>
      <c r="CY13" s="581">
        <f>SUM(CU13:CX13)</f>
        <v>-1609</v>
      </c>
      <c r="CZ13" s="580">
        <f>-CF!CZ8-CZ31</f>
        <v>-445</v>
      </c>
      <c r="DA13" s="580">
        <f>-CF!DA8-DA31</f>
        <v>-487</v>
      </c>
      <c r="DB13" s="580">
        <f>-CF!DB8-DB31</f>
        <v>-508</v>
      </c>
      <c r="DC13" s="580">
        <f>-CF!DC8-DC31</f>
        <v>-531</v>
      </c>
      <c r="DD13" s="581">
        <f>SUM(CZ13:DC13)</f>
        <v>-1971</v>
      </c>
      <c r="DE13" s="580">
        <f>-CF!DE8-DE31</f>
        <v>-497</v>
      </c>
      <c r="DF13" s="580">
        <f>-CF!DF8-DF31</f>
        <v>-446</v>
      </c>
      <c r="DG13" s="580">
        <f>-CF!DG8-DG31</f>
        <v>-496</v>
      </c>
      <c r="DH13" s="580">
        <f>-CF!DH8-DH31</f>
        <v>-553.83333333333337</v>
      </c>
      <c r="DI13" s="581">
        <f>SUM(DE13:DH13)</f>
        <v>-1992.8333333333335</v>
      </c>
      <c r="DJ13" s="465">
        <f>-DJ22</f>
        <v>-559.37166666666667</v>
      </c>
      <c r="DK13" s="580">
        <f>-CF!DK8-DK31</f>
        <v>-537</v>
      </c>
      <c r="DL13" s="580">
        <f>-CF!DL8-DL31</f>
        <v>-595</v>
      </c>
      <c r="DM13" s="580">
        <f>-CF!DM8-DM31</f>
        <v>-526.75</v>
      </c>
      <c r="DN13" s="581">
        <f>SUM(DJ13:DM13)</f>
        <v>-2218.1216666666669</v>
      </c>
      <c r="DO13" s="580">
        <f>-CF!DO8-DO31</f>
        <v>-563.70833333333337</v>
      </c>
      <c r="DP13" s="580">
        <f>-CF!DP8-DP31</f>
        <v>-523</v>
      </c>
      <c r="DQ13" s="580">
        <f>-CF!DQ8-DQ31</f>
        <v>-624</v>
      </c>
      <c r="DR13" s="580">
        <f>-CF!DR8-DR31</f>
        <v>-542.83749999999998</v>
      </c>
      <c r="DS13" s="581">
        <f>SUM(DO13:DR13)</f>
        <v>-2253.5458333333336</v>
      </c>
      <c r="DT13" s="580">
        <f>-CF!DT8-DT31</f>
        <v>-444.87916666666666</v>
      </c>
      <c r="DU13" s="580">
        <f>-CF!DU8-DU31</f>
        <v>-854</v>
      </c>
      <c r="DV13" s="580">
        <f>-CF!DV8-DV31</f>
        <v>-866</v>
      </c>
      <c r="DW13" s="580">
        <f>-CF!DW8-DW31</f>
        <v>-796</v>
      </c>
      <c r="DX13" s="581">
        <f>SUM(DT13:DW13)</f>
        <v>-2960.8791666666666</v>
      </c>
      <c r="DY13" s="580">
        <f>-CF!DY8-DY31</f>
        <v>-659.76666666666665</v>
      </c>
      <c r="DZ13" s="580">
        <f>-CF!DZ8-DZ31</f>
        <v>-1095</v>
      </c>
      <c r="EA13" s="580">
        <f>-CF!EA8-EA31</f>
        <v>-1085</v>
      </c>
      <c r="EB13" s="580">
        <f>-CF!EB8-EB31</f>
        <v>-1563</v>
      </c>
      <c r="EC13" s="581">
        <f>SUM(DY13:EB13)</f>
        <v>-4402.7666666666664</v>
      </c>
      <c r="ED13" s="580">
        <f>-CF!ED8-ED31</f>
        <v>-1178.29</v>
      </c>
      <c r="EE13" s="580">
        <f>-CF!EE8-EE31</f>
        <v>-1269.5274999999999</v>
      </c>
      <c r="EF13" s="580">
        <f>-CF!EF8-EF31</f>
        <v>-1345</v>
      </c>
      <c r="EG13" s="580">
        <f>-CF!EG8-EG31</f>
        <v>-1204.5774999999999</v>
      </c>
      <c r="EH13" s="581">
        <f>SUM(ED13:EG13)</f>
        <v>-4997.3950000000004</v>
      </c>
      <c r="EI13" s="580">
        <f>-CF!EI8-EI31</f>
        <v>-1164.7525000000001</v>
      </c>
      <c r="EJ13" s="580">
        <f>-CF!EJ8-EJ31</f>
        <v>-1242.8775000000001</v>
      </c>
      <c r="EK13" s="580">
        <f>-CF!EK8-EK31</f>
        <v>-1401.115</v>
      </c>
      <c r="EL13" s="580">
        <f>-CF!EL8-EL31</f>
        <v>-1597.1275000000001</v>
      </c>
      <c r="EM13" s="581">
        <f>SUM(EI13:EL13)</f>
        <v>-5405.8724999999995</v>
      </c>
      <c r="EN13" s="580">
        <f>-CF!EN8-EN31</f>
        <v>-1502.3400000000001</v>
      </c>
      <c r="EO13" s="580">
        <f>-CF!EO8-EO31</f>
        <v>-1852.04</v>
      </c>
      <c r="EP13" s="580">
        <f>-CF!EP8-EP31</f>
        <v>-1942.365</v>
      </c>
      <c r="EQ13" s="580">
        <f>-CF!EQ8-EQ31</f>
        <v>-1822.3400000000001</v>
      </c>
      <c r="ER13" s="581">
        <f>SUM(EN13:EQ13)</f>
        <v>-7119.085</v>
      </c>
      <c r="ES13" s="580">
        <f>-CF!ES8-ES31</f>
        <v>-1973.865</v>
      </c>
      <c r="ET13" s="580">
        <f>-CF!ET8-ET31</f>
        <v>-2008.6275000000001</v>
      </c>
      <c r="EU13" s="580">
        <f>-CF!EU8-EU31</f>
        <v>-2182.29</v>
      </c>
      <c r="EV13" s="1202">
        <f>-EV22</f>
        <v>-2204.1129000000001</v>
      </c>
      <c r="EW13" s="581">
        <f>SUM(ES13:EV13)</f>
        <v>-8368.8954000000012</v>
      </c>
      <c r="EX13" s="1202">
        <f>-EX22</f>
        <v>-2204.1129000000001</v>
      </c>
      <c r="EY13" s="1202">
        <f>-EY22</f>
        <v>-2226.1540290000003</v>
      </c>
      <c r="EZ13" s="1202">
        <f>-EZ22</f>
        <v>-2248.4155692900003</v>
      </c>
      <c r="FA13" s="1202">
        <f>-FA22</f>
        <v>-2270.8997249829004</v>
      </c>
      <c r="FB13" s="581">
        <f>SUM(EX13:FA13)</f>
        <v>-8949.5822232729006</v>
      </c>
      <c r="FC13" s="1202">
        <f>-FC22</f>
        <v>-2270.8997249829004</v>
      </c>
      <c r="FD13" s="1202">
        <f>-FD22</f>
        <v>-2293.6087222327292</v>
      </c>
      <c r="FE13" s="1202">
        <f>-FE22</f>
        <v>-2316.5448094550566</v>
      </c>
      <c r="FF13" s="1202">
        <f>-FF22</f>
        <v>-2339.7102575496074</v>
      </c>
      <c r="FG13" s="581">
        <f>SUM(FC13:FF13)</f>
        <v>-9220.7635142202926</v>
      </c>
      <c r="FH13" s="1202">
        <f>-FH22</f>
        <v>-2339.7102575496074</v>
      </c>
      <c r="FI13" s="1202">
        <f>-FI22</f>
        <v>-2363.1073601251037</v>
      </c>
      <c r="FJ13" s="1202">
        <f>-FJ22</f>
        <v>-2386.7384337263547</v>
      </c>
      <c r="FK13" s="1202">
        <f>-FK22</f>
        <v>-2410.6058180636182</v>
      </c>
      <c r="FL13" s="581">
        <f>SUM(FH13:FK13)</f>
        <v>-9500.1618694646841</v>
      </c>
    </row>
    <row r="14" spans="1:168" s="243" customFormat="1" ht="11.25" customHeight="1">
      <c r="A14" s="577" t="s">
        <v>703</v>
      </c>
      <c r="BZ14" s="574"/>
      <c r="CA14" s="465"/>
      <c r="CB14" s="465"/>
      <c r="CE14" s="574"/>
      <c r="CJ14" s="574"/>
      <c r="CO14" s="574"/>
      <c r="CT14" s="574"/>
      <c r="CY14" s="574"/>
      <c r="DD14" s="574"/>
      <c r="DI14" s="574"/>
      <c r="DN14" s="574"/>
      <c r="DS14" s="574"/>
      <c r="DX14" s="574"/>
      <c r="EC14" s="574"/>
      <c r="EH14" s="574"/>
      <c r="EM14" s="574"/>
      <c r="ER14" s="574"/>
      <c r="EV14" s="94"/>
      <c r="EW14" s="1201"/>
      <c r="EX14" s="94"/>
      <c r="EY14" s="94"/>
      <c r="EZ14" s="94"/>
      <c r="FA14" s="94"/>
      <c r="FB14" s="1201"/>
      <c r="FC14" s="94"/>
      <c r="FD14" s="94"/>
      <c r="FE14" s="94"/>
      <c r="FF14" s="94"/>
      <c r="FG14" s="1201"/>
      <c r="FH14" s="94"/>
      <c r="FI14" s="94"/>
      <c r="FJ14" s="94"/>
      <c r="FK14" s="94"/>
      <c r="FL14" s="1201"/>
    </row>
    <row r="15" spans="1:168" s="243" customFormat="1" ht="11.25" customHeight="1">
      <c r="A15" s="243" t="s">
        <v>750</v>
      </c>
      <c r="BV15" s="580">
        <f>+BV17-SUM(BV8:BV14)</f>
        <v>34</v>
      </c>
      <c r="BW15" s="580">
        <f>+BW17-SUM(BW8:BW14)</f>
        <v>67</v>
      </c>
      <c r="BX15" s="580">
        <f>+BX17-SUM(BX8:BX14)</f>
        <v>152</v>
      </c>
      <c r="BY15" s="580">
        <f>+BY17-SUM(BY8:BY14)</f>
        <v>204</v>
      </c>
      <c r="BZ15" s="581">
        <f>SUM(BV15:BY15)</f>
        <v>457</v>
      </c>
      <c r="CA15" s="580">
        <f>+CA17-SUM(CA8:CA14)</f>
        <v>88.5</v>
      </c>
      <c r="CB15" s="580">
        <f>+CB17-SUM(CB8:CB14)</f>
        <v>70.5</v>
      </c>
      <c r="CC15" s="580">
        <f>+CC17-SUM(CC8:CC14)</f>
        <v>73.5</v>
      </c>
      <c r="CD15" s="580">
        <f>+CD17-SUM(CD8:CD14)</f>
        <v>-222.5</v>
      </c>
      <c r="CE15" s="581">
        <f>SUM(CA15:CD15)</f>
        <v>10</v>
      </c>
      <c r="CF15" s="580">
        <f>+CF17-SUM(CF8:CF14)</f>
        <v>-39.25</v>
      </c>
      <c r="CG15" s="580">
        <f>+CG17-SUM(CG8:CG14)</f>
        <v>-89.75</v>
      </c>
      <c r="CH15" s="580">
        <f>+CH17-SUM(CH8:CH14)</f>
        <v>18.25</v>
      </c>
      <c r="CI15" s="580">
        <f>+CI17-SUM(CI8:CI14)</f>
        <v>-90.75</v>
      </c>
      <c r="CJ15" s="581">
        <f>SUM(CF15:CI15)</f>
        <v>-201.5</v>
      </c>
      <c r="CK15" s="580">
        <f>+CK17-SUM(CK8:CK14)</f>
        <v>-99.25</v>
      </c>
      <c r="CL15" s="580">
        <f>+CL17-SUM(CL8:CL14)</f>
        <v>-49.25</v>
      </c>
      <c r="CM15" s="580">
        <f>+CM17-SUM(CM8:CM14)</f>
        <v>-107.25</v>
      </c>
      <c r="CN15" s="580">
        <f>+CN17-SUM(CN8:CN14)</f>
        <v>-172.75</v>
      </c>
      <c r="CO15" s="581">
        <f>SUM(CK15:CN15)</f>
        <v>-428.5</v>
      </c>
      <c r="CP15" s="580">
        <f>+CP17-SUM(CP8:CP14)</f>
        <v>-240</v>
      </c>
      <c r="CQ15" s="580">
        <f>+CQ17-SUM(CQ8:CQ14)</f>
        <v>164.5</v>
      </c>
      <c r="CR15" s="580">
        <f>+CR17-SUM(CR8:CR14)</f>
        <v>141.5</v>
      </c>
      <c r="CS15" s="580">
        <f>+CS17-SUM(CS8:CS14)</f>
        <v>-395</v>
      </c>
      <c r="CT15" s="581">
        <f>SUM(CP15:CS15)</f>
        <v>-329</v>
      </c>
      <c r="CU15" s="580">
        <f>+CU17-SUM(CU8:CU14)</f>
        <v>-2610</v>
      </c>
      <c r="CV15" s="580">
        <f>+CV17-SUM(CV8:CV14)</f>
        <v>-192.5</v>
      </c>
      <c r="CW15" s="580">
        <f>+CW17-SUM(CW8:CW14)</f>
        <v>140</v>
      </c>
      <c r="CX15" s="580">
        <f>+CX17-SUM(CX8:CX14)</f>
        <v>-2581.5</v>
      </c>
      <c r="CY15" s="581">
        <f>SUM(CU15:CX15)</f>
        <v>-5244</v>
      </c>
      <c r="CZ15" s="580">
        <f>+CZ17-SUM(CZ8:CZ14)</f>
        <v>-211.5</v>
      </c>
      <c r="DA15" s="580">
        <f>+DA17-SUM(DA8:DA14)</f>
        <v>-136</v>
      </c>
      <c r="DB15" s="580">
        <f>+DB17-SUM(DB8:DB14)</f>
        <v>-8</v>
      </c>
      <c r="DC15" s="580">
        <f>+DC17-SUM(DC8:DC14)</f>
        <v>66.5</v>
      </c>
      <c r="DD15" s="581">
        <f>SUM(CZ15:DC15)</f>
        <v>-289</v>
      </c>
      <c r="DI15" s="581">
        <f>SUM(DE15:DH15)</f>
        <v>0</v>
      </c>
      <c r="DN15" s="581">
        <f>SUM(DJ15:DM15)</f>
        <v>0</v>
      </c>
      <c r="DS15" s="581">
        <f>SUM(DO15:DR15)</f>
        <v>0</v>
      </c>
      <c r="DX15" s="581">
        <f>SUM(DT15:DW15)</f>
        <v>0</v>
      </c>
      <c r="EC15" s="581">
        <f>SUM(DY15:EB15)</f>
        <v>0</v>
      </c>
      <c r="EH15" s="581">
        <f>SUM(ED15:EG15)</f>
        <v>0</v>
      </c>
      <c r="EM15" s="581">
        <f>SUM(EI15:EL15)</f>
        <v>0</v>
      </c>
      <c r="ER15" s="581">
        <f>SUM(EN15:EQ15)</f>
        <v>0</v>
      </c>
      <c r="EV15" s="94"/>
      <c r="EW15" s="581">
        <f>SUM(ES15:EV15)</f>
        <v>0</v>
      </c>
      <c r="EX15" s="94"/>
      <c r="EY15" s="94"/>
      <c r="EZ15" s="94"/>
      <c r="FA15" s="94"/>
      <c r="FB15" s="581">
        <f>SUM(EX15:FA15)</f>
        <v>0</v>
      </c>
      <c r="FC15" s="94"/>
      <c r="FD15" s="94"/>
      <c r="FE15" s="94"/>
      <c r="FF15" s="94"/>
      <c r="FG15" s="581">
        <f>SUM(FC15:FF15)</f>
        <v>0</v>
      </c>
      <c r="FH15" s="94"/>
      <c r="FI15" s="94"/>
      <c r="FJ15" s="94"/>
      <c r="FK15" s="94"/>
      <c r="FL15" s="581">
        <f>SUM(FH15:FK15)</f>
        <v>0</v>
      </c>
    </row>
    <row r="16" spans="1:168" s="243" customFormat="1" ht="11.25" customHeight="1">
      <c r="A16" s="93" t="s">
        <v>239</v>
      </c>
      <c r="BV16" s="580"/>
      <c r="BW16" s="580"/>
      <c r="BX16" s="580"/>
      <c r="BY16" s="580"/>
      <c r="BZ16" s="581"/>
      <c r="CA16" s="582">
        <f>CA7+CA10+CA11-((CA10/BY20/8)/((CA10/BV10)^(BY20)))*BY20*8</f>
        <v>6110.1862998462293</v>
      </c>
      <c r="CB16" s="582">
        <f>CB7+CB10+CB11-((CB10/CA20/8)/((CB10/BW10)^(CA20)))*CA20*8</f>
        <v>4151.0372544703396</v>
      </c>
      <c r="CC16" s="582">
        <f>CC7+CC10+CC11-((CC10/CB20/8)/((CC10/BX10)^(CB20)))*CB20*8</f>
        <v>4280.2534144122255</v>
      </c>
      <c r="CD16" s="583">
        <v>6489</v>
      </c>
      <c r="CE16" s="581">
        <f>CD16</f>
        <v>6489</v>
      </c>
      <c r="CF16" s="582">
        <f>CF7+CF10+CF11-((CF10/CD20/8)/((CF10/CA10)^(CD20)))*CD20*8</f>
        <v>6511.8608880719894</v>
      </c>
      <c r="CG16" s="582">
        <f>CG7+CG10+CG11-((CG10/CF20/8)/((CG10/CB10)^(CF20)))*CF20*8</f>
        <v>6552.826576651044</v>
      </c>
      <c r="CH16" s="582">
        <f>CH7+CH10+CH11-((CH10/CG20/8)/((CH10/CC10)^(CG20)))*CG20*8</f>
        <v>6116.7012278273087</v>
      </c>
      <c r="CI16" s="583">
        <v>6375</v>
      </c>
      <c r="CJ16" s="581">
        <f>CI16</f>
        <v>6375</v>
      </c>
      <c r="CK16" s="582">
        <f>CK7+CK10+CK11-((CK10/CI20/8)/((CK10/CF10)^(CI20)))*CI20*8</f>
        <v>6624.3547157407429</v>
      </c>
      <c r="CL16" s="582">
        <f>CL7+CL10+CL11-((CL10/CK20/8)/((CL10/CG10)^(CK20)))*CK20*8</f>
        <v>6970.8492219764075</v>
      </c>
      <c r="CM16" s="582">
        <f>CM7+CM10+CM11-((CM10/CL20/8)/((CM10/CH10)^(CL20)))*CL20*8</f>
        <v>7302.6784771600906</v>
      </c>
      <c r="CN16" s="583">
        <v>7223</v>
      </c>
      <c r="CO16" s="581">
        <f>CN16</f>
        <v>7223</v>
      </c>
      <c r="CP16" s="582">
        <f>CP7+CP10+CP11-((CP10/CN20/8)/((CP10/CK10)^(CN20)))*CN20*8</f>
        <v>7801.8938800359301</v>
      </c>
      <c r="CQ16" s="582">
        <f>CQ7+CQ10+CQ11-((CQ10/CP20/8)/((CQ10/CL10)^(CP20)))*CP20*8</f>
        <v>8430.7826922850709</v>
      </c>
      <c r="CR16" s="582">
        <f>CR7+CR10+CR11-((CR10/CQ20/8)/((CR10/CM10)^(CQ20)))*CQ20*8</f>
        <v>8906.2974927569776</v>
      </c>
      <c r="CS16" s="583">
        <v>9366</v>
      </c>
      <c r="CT16" s="581">
        <f>CS16</f>
        <v>9366</v>
      </c>
      <c r="CU16" s="582">
        <f>CU7+CU10+CU11</f>
        <v>12574</v>
      </c>
      <c r="CV16" s="582">
        <f>CV7+CV10+CV11</f>
        <v>13485.5</v>
      </c>
      <c r="CW16" s="582">
        <f>CW7+CW10+CW11</f>
        <v>14313.5</v>
      </c>
      <c r="CX16" s="583">
        <v>12544</v>
      </c>
      <c r="CY16" s="581">
        <f>CX16</f>
        <v>12544</v>
      </c>
      <c r="CZ16" s="582">
        <f>CZ7+CZ10+CZ11</f>
        <v>13510.5</v>
      </c>
      <c r="DA16" s="582">
        <f>DA7+DA10+DA11</f>
        <v>14577.5</v>
      </c>
      <c r="DB16" s="583">
        <f>7112+7236</f>
        <v>14348</v>
      </c>
      <c r="DC16" s="583">
        <v>15082</v>
      </c>
      <c r="DD16" s="581">
        <f>DC16</f>
        <v>15082</v>
      </c>
      <c r="DE16" s="583">
        <f>7512+7853</f>
        <v>15365</v>
      </c>
      <c r="DF16" s="582">
        <f>7402+8170</f>
        <v>15572</v>
      </c>
      <c r="DG16" s="582">
        <f>DG7+DG10+DG11-((DG10/DF20/8)/((DG10/DB10)^(DF20)))*DF20*8</f>
        <v>6277.4413839297649</v>
      </c>
      <c r="DH16" s="582">
        <f>DH7+DH10+DH11-((DH10/DG20/8)/((DH10/DC10)^(DG20)))*DG20*8</f>
        <v>2049.3222358040384</v>
      </c>
      <c r="DI16" s="581">
        <f>DH16</f>
        <v>2049.3222358040384</v>
      </c>
      <c r="DJ16" s="582">
        <f>DJ7+DJ10+DJ11-((DJ10/DH20/8)/((DJ10/DE10)^(DH20)))*DH20*8</f>
        <v>2384.6175673505686</v>
      </c>
      <c r="DK16" s="582">
        <f>7799+9279</f>
        <v>17078</v>
      </c>
      <c r="DL16" s="582">
        <f>7799+9279</f>
        <v>17078</v>
      </c>
      <c r="DM16" s="582">
        <f>DM7+DM10+DM11-((DM10/DL20/8)/((DM10/DH10)^(DL20)))*DL20*8</f>
        <v>15046.253777995713</v>
      </c>
      <c r="DN16" s="581">
        <f>DM16</f>
        <v>15046.253777995713</v>
      </c>
      <c r="DO16" s="582">
        <f>DO7+DO10+DO11-((DO10/DM20/8)/((DO10/DJ10)^(DM20)))*DM20*8</f>
        <v>12773.409903338317</v>
      </c>
      <c r="DP16" s="582">
        <f>DP7+DP10+DP11-((DP10/DO20/8)/((DP10/DK10)^(DO20)))*DO20*8</f>
        <v>19727.766198754183</v>
      </c>
      <c r="DQ16" s="582">
        <f>DQ7+DQ10+DQ11-((DQ10/DP20/8)/((DQ10/DL10)^(DP20)))*DP20*8</f>
        <v>20162.504064859615</v>
      </c>
      <c r="DR16" s="582">
        <f>DR7+DR10+DR11-((DR10/DQ20/8)/((DR10/DM10)^(DQ20)))*DQ20*8</f>
        <v>20205.417757783944</v>
      </c>
      <c r="DS16" s="581">
        <f>DR16</f>
        <v>20205.417757783944</v>
      </c>
      <c r="DT16" s="582">
        <f>DT7+DT10+DT11-((DT10/DR20/8)/((DT10/DO10)^(DR20)))*DR20*8</f>
        <v>21339.01054504652</v>
      </c>
      <c r="DU16" s="582">
        <f>DU7+DU10+DU11-((DU10/DT20/8)/((DU10/DP10)^(DT20)))*DT20*8</f>
        <v>22515.047571371688</v>
      </c>
      <c r="DV16" s="582">
        <f>DV7+DV10+DV11-((DV10/DU20/8)/((DV10/DQ10)^(DU20)))*DU20*8</f>
        <v>23429.676594813602</v>
      </c>
      <c r="DW16" s="582">
        <f>DW7+DW10+DW11-((DW10/DV20/8)/((DW10/DR10)^(DV20)))*DV20*8</f>
        <v>25232.02023011064</v>
      </c>
      <c r="DX16" s="581">
        <f>DW16</f>
        <v>25232.02023011064</v>
      </c>
      <c r="DY16" s="582">
        <f>DY7+DY10+DY11-((DY10/DW20/8)/((DY10/DT10)^(DW20)))*DW20*8</f>
        <v>26460.661608073624</v>
      </c>
      <c r="DZ16" s="582">
        <f>DZ7+DZ10+DZ11-((DZ10/DY20/8)/((DZ10/DU10)^(DY20)))*DY20*8</f>
        <v>28291.333273059263</v>
      </c>
      <c r="EA16" s="582">
        <f>EA7+EA10+EA11-((EA10/DZ20/8)/((EA10/DV10)^(DZ20)))*DZ20*8</f>
        <v>29462.941428161605</v>
      </c>
      <c r="EB16" s="582">
        <f>EB7+EB10+EB11-((EB10/EA20/8)/((EB10/DW10)^(EA20)))*EA20*8</f>
        <v>24394.955440276251</v>
      </c>
      <c r="EC16" s="899">
        <f>EB16</f>
        <v>24394.955440276251</v>
      </c>
      <c r="ED16" s="582">
        <f>ED7+ED10+ED11-((ED10/EB20/8)/((ED10/DY10)^(EB20)))*EB20*8</f>
        <v>24825.506261187576</v>
      </c>
      <c r="EE16" s="582">
        <f>EE7+EE10+EE11-((EE10/ED20/8)/((EE10/DZ10)^(ED20)))*ED20*8</f>
        <v>25017.496846118527</v>
      </c>
      <c r="EF16" s="582">
        <f>EF7+EF10+EF11-((EF10/EE20/8)/((EF10/EA10)^(EE20)))*EE20*8</f>
        <v>25910.733111091911</v>
      </c>
      <c r="EG16" s="582">
        <f>EG7+EG10+EG11-((EG10/EF20/8)/((EG10/EB10)^(EF20)))*EF20*8</f>
        <v>27588.260257481259</v>
      </c>
      <c r="EH16" s="581">
        <f>EG16</f>
        <v>27588.260257481259</v>
      </c>
      <c r="EI16" s="582">
        <f>EI7+EI10+EI11-((EI10/EG20/8)/((EI10/ED10)^(EG20)))*EG20*8</f>
        <v>28106.587517936205</v>
      </c>
      <c r="EJ16" s="582">
        <f>EJ7+EJ10+EJ11-((EJ10/EI20/8)/((EJ10/EE10)^(EI20)))*EI20*8</f>
        <v>29984.299401571036</v>
      </c>
      <c r="EK16" s="582">
        <f>EK7+EK10+EK11-((EK10/EJ20/8)/((EK10/EF10)^(EJ20)))*EJ20*8</f>
        <v>32465.055312131211</v>
      </c>
      <c r="EL16" s="582">
        <f>EL7+EL10+EL11-((EL10/EK20/8)/((EL10/EG10)^(EK20)))*EK20*8</f>
        <v>34913.655861785279</v>
      </c>
      <c r="EM16" s="581">
        <f>EL16</f>
        <v>34913.655861785279</v>
      </c>
      <c r="EN16" s="582">
        <f>EN7+EN10+EN11-((EN10/EL20/8)/((EN10/EI10)^(EL20)))*EL20*8</f>
        <v>36945.38083439973</v>
      </c>
      <c r="EO16" s="582">
        <f>EO7+EO10+EO11-((EO10/EN20/8)/((EO10/EJ10)^(EN20)))*EN20*8</f>
        <v>53633.100408870727</v>
      </c>
      <c r="EP16" s="582">
        <f>EP7+EP10+EP11-((EP10/EO20/8)/((EP10/EK10)^(EO20)))*EO20*8</f>
        <v>43655.936522309748</v>
      </c>
      <c r="EQ16" s="582">
        <f>EQ7+EQ10+EQ11-((EQ10/EP20/8)/((EQ10/EL10)^(EP20)))*EP20*8</f>
        <v>38121.808043719837</v>
      </c>
      <c r="ER16" s="581">
        <f>EQ16</f>
        <v>38121.808043719837</v>
      </c>
      <c r="ES16" s="582">
        <f>ES7+ES10+ES11-((ES10/EQ20/8)/((ES10/EN10)^(EQ20)))*EQ20*8</f>
        <v>38018.745422518106</v>
      </c>
      <c r="ET16" s="582">
        <f>ET7+ET10+ET11-((ET10/ES20/8)/((ET10/EO10)^(ES20)))*ES20*8</f>
        <v>39988.755190524877</v>
      </c>
      <c r="EU16" s="582">
        <f>EU7+EU10+EU11-((EU10/ET20/8)/((EU10/EP10)^(ET20)))*ET20*8</f>
        <v>42841.898039180793</v>
      </c>
      <c r="EV16" s="582">
        <f>EV7+EV10+EV11-((EV10/EU20/8)/((EV10/EQ10)^(EU20)))*EU20*8</f>
        <v>45297.180596521554</v>
      </c>
      <c r="EW16" s="581">
        <f>EV16</f>
        <v>45297.180596521554</v>
      </c>
      <c r="EX16" s="582">
        <f>EX7+EX10+EX11-((EX10/EV20/8)/((EX10/ES10)^(EV20)))*EV20*8</f>
        <v>48028.727387094819</v>
      </c>
      <c r="EY16" s="582">
        <f>EY7+EY10+EY11-((EY10/EX20/8)/((EY10/ET10)^(EX20)))*EX20*8</f>
        <v>49978.959211280657</v>
      </c>
      <c r="EZ16" s="582">
        <f>EZ7+EZ10+EZ11-((EZ10/EY20/8)/((EZ10/EU10)^(EY20)))*EY20*8</f>
        <v>50767.254076988742</v>
      </c>
      <c r="FA16" s="582">
        <f>FA7+FA10+FA11-((FA10/EZ20/8)/((FA10/EV10)^(EZ20)))*EZ20*8</f>
        <v>50967.254076988742</v>
      </c>
      <c r="FB16" s="581">
        <f>FA16</f>
        <v>50967.254076988742</v>
      </c>
      <c r="FC16" s="582">
        <f>FC7+FC10+FC11-((FC10/FA20/8)/((FC10/EX10)^(FA20)))*FA20*8</f>
        <v>51706.157643206687</v>
      </c>
      <c r="FD16" s="582">
        <f>FD7+FD10+FD11-((FD10/FC20/8)/((FD10/EY10)^(FC20)))*FC20*8</f>
        <v>52439.747556791153</v>
      </c>
      <c r="FE16" s="582">
        <f>FE7+FE10+FE11-((FE10/FD20/8)/((FE10/EZ10)^(FD20)))*FD20*8</f>
        <v>53180.530123843542</v>
      </c>
      <c r="FF16" s="582">
        <f>FF7+FF10+FF11-((FF10/FE20/8)/((FF10/FA10)^(FE20)))*FE20*8</f>
        <v>53923.007245458168</v>
      </c>
      <c r="FG16" s="581">
        <f>FF16</f>
        <v>53923.007245458168</v>
      </c>
      <c r="FH16" s="582">
        <f>FH7+FH10+FH11-((FH10/FF20/8)/((FH10/FC10)^(FF20)))*FF20*8</f>
        <v>54668.61704390627</v>
      </c>
      <c r="FI16" s="582">
        <f>FI7+FI10+FI11-((FI10/FH20/8)/((FI10/FD10)^(FH20)))*FH20*8</f>
        <v>55416.458571024908</v>
      </c>
      <c r="FJ16" s="582">
        <f>FJ7+FJ10+FJ11-((FJ10/FI20/8)/((FJ10/FE10)^(FI20)))*FI20*8</f>
        <v>56171.121516022962</v>
      </c>
      <c r="FK16" s="582">
        <f>FK7+FK10+FK11-((FK10/FJ20/8)/((FK10/FF10)^(FJ20)))*FJ20*8</f>
        <v>56927.295333282957</v>
      </c>
      <c r="FL16" s="581">
        <f>FK16</f>
        <v>56927.295333282957</v>
      </c>
    </row>
    <row r="17" spans="1:168" s="243" customFormat="1" ht="11.25" customHeight="1">
      <c r="A17" s="93" t="s">
        <v>240</v>
      </c>
      <c r="C17" s="246"/>
      <c r="BV17" s="584">
        <f>+BS!BV15</f>
        <v>2189</v>
      </c>
      <c r="BW17" s="584">
        <f>+BS!BW15</f>
        <v>2257</v>
      </c>
      <c r="BX17" s="584">
        <f>+BS!BX15</f>
        <v>2208</v>
      </c>
      <c r="BY17" s="584">
        <f>+BS!BY15</f>
        <v>2223</v>
      </c>
      <c r="BZ17" s="585">
        <f>BY17</f>
        <v>2223</v>
      </c>
      <c r="CA17" s="584">
        <f>+BS!CA15</f>
        <v>2193</v>
      </c>
      <c r="CB17" s="584">
        <f>+BS!CB15</f>
        <v>2178</v>
      </c>
      <c r="CC17" s="584">
        <f>+BS!CC15</f>
        <v>2258</v>
      </c>
      <c r="CD17" s="584">
        <f>+BS!CD15</f>
        <v>2326</v>
      </c>
      <c r="CE17" s="585">
        <f>CD17</f>
        <v>2326</v>
      </c>
      <c r="CF17" s="584">
        <f>+BS!CF15</f>
        <v>2317</v>
      </c>
      <c r="CG17" s="584">
        <f>+BS!CG15</f>
        <v>2336</v>
      </c>
      <c r="CH17" s="584">
        <f>+BS!CH15</f>
        <v>2321</v>
      </c>
      <c r="CI17" s="584">
        <f>+BS!CI15</f>
        <v>2346</v>
      </c>
      <c r="CJ17" s="585">
        <f>CI17</f>
        <v>2346</v>
      </c>
      <c r="CK17" s="584">
        <f>+BS!CK15</f>
        <v>2351</v>
      </c>
      <c r="CL17" s="584">
        <f>+BS!CL15</f>
        <v>2452</v>
      </c>
      <c r="CM17" s="584">
        <f>+BS!CM15</f>
        <v>2543</v>
      </c>
      <c r="CN17" s="584">
        <f>+BS!CN15</f>
        <v>3044</v>
      </c>
      <c r="CO17" s="585">
        <f>CN17</f>
        <v>3044</v>
      </c>
      <c r="CP17" s="584">
        <f>+BS!CP15</f>
        <v>3193</v>
      </c>
      <c r="CQ17" s="584">
        <f>+BS!CQ15</f>
        <v>3686</v>
      </c>
      <c r="CR17" s="584">
        <f>+BS!CR15</f>
        <v>3923</v>
      </c>
      <c r="CS17" s="584">
        <f>+BS!CS15</f>
        <v>4350</v>
      </c>
      <c r="CT17" s="585">
        <f>CS17</f>
        <v>4350</v>
      </c>
      <c r="CU17" s="584">
        <f>+BS!CU15</f>
        <v>4615</v>
      </c>
      <c r="CV17" s="584">
        <f>+BS!CV15</f>
        <v>4965</v>
      </c>
      <c r="CW17" s="584">
        <f>+BS!CW15</f>
        <v>5516</v>
      </c>
      <c r="CX17" s="584">
        <f>+BS!CX15</f>
        <v>6242</v>
      </c>
      <c r="CY17" s="585">
        <f>CX17</f>
        <v>6242</v>
      </c>
      <c r="CZ17" s="584">
        <f>+BS!CZ15</f>
        <v>6552</v>
      </c>
      <c r="DA17" s="584">
        <f>+BS!DA15</f>
        <v>6996</v>
      </c>
      <c r="DB17" s="584">
        <f>+BS!DB15</f>
        <v>7112</v>
      </c>
      <c r="DC17" s="584">
        <f>+BS!DC15</f>
        <v>7535</v>
      </c>
      <c r="DD17" s="585">
        <f>DC17</f>
        <v>7535</v>
      </c>
      <c r="DE17" s="584">
        <f>+BS!DE15</f>
        <v>7512</v>
      </c>
      <c r="DF17" s="244">
        <v>7402</v>
      </c>
      <c r="DG17" s="244">
        <f t="shared" ref="DE17:DG18" si="4">+SUM(DG8:DG15)</f>
        <v>7385.5</v>
      </c>
      <c r="DH17" s="244">
        <f>+SUM(DH8:DH15)</f>
        <v>7576.166666666667</v>
      </c>
      <c r="DI17" s="585">
        <f>DH17</f>
        <v>7576.166666666667</v>
      </c>
      <c r="DJ17" s="244">
        <f>+SUM(DJ8:DJ15)</f>
        <v>7634.6283333333331</v>
      </c>
      <c r="DK17" s="244">
        <v>7799</v>
      </c>
      <c r="DL17" s="244">
        <v>7800</v>
      </c>
      <c r="DM17" s="244">
        <f>BS!DM15</f>
        <v>8162</v>
      </c>
      <c r="DN17" s="585">
        <f>DM17</f>
        <v>8162</v>
      </c>
      <c r="DO17" s="244">
        <f>BS!DO15</f>
        <v>8033</v>
      </c>
      <c r="DP17" s="244">
        <f>BS!DP15</f>
        <v>8010</v>
      </c>
      <c r="DQ17" s="244">
        <f>BS!DQ15</f>
        <v>8225</v>
      </c>
      <c r="DR17" s="244">
        <f>BS!DR15</f>
        <v>8269</v>
      </c>
      <c r="DS17" s="585">
        <f>DR17</f>
        <v>8269</v>
      </c>
      <c r="DT17" s="244">
        <f>BS!DT15</f>
        <v>8329</v>
      </c>
      <c r="DU17" s="244">
        <f>BS!DU15</f>
        <v>8698</v>
      </c>
      <c r="DV17" s="244">
        <f>BS!DV15</f>
        <v>9204</v>
      </c>
      <c r="DW17" s="244">
        <f>BS!DW15</f>
        <v>9991</v>
      </c>
      <c r="DX17" s="585">
        <f>DW17</f>
        <v>9991</v>
      </c>
      <c r="DY17" s="244">
        <f>BS!DY15</f>
        <v>10774</v>
      </c>
      <c r="DZ17" s="244">
        <f>BS!DZ15</f>
        <v>11567</v>
      </c>
      <c r="EA17" s="244">
        <f>BS!EA15</f>
        <v>11771</v>
      </c>
      <c r="EB17" s="244">
        <f>BS!EB15</f>
        <v>13011</v>
      </c>
      <c r="EC17" s="585">
        <f>EB17</f>
        <v>13011</v>
      </c>
      <c r="ED17" s="244">
        <f>BS!ED15</f>
        <v>13229</v>
      </c>
      <c r="EE17" s="244">
        <f>BS!EE15</f>
        <v>13607</v>
      </c>
      <c r="EF17" s="244">
        <f>BS!EF15</f>
        <v>14375</v>
      </c>
      <c r="EG17" s="244">
        <f t="shared" ref="EE17:EG18" si="5">+SUM(EG8:EG15)</f>
        <v>15264.422500000001</v>
      </c>
      <c r="EH17" s="585">
        <f>EG17</f>
        <v>15264.422500000001</v>
      </c>
      <c r="EI17" s="244">
        <f>BS!EI15</f>
        <v>15046</v>
      </c>
      <c r="EJ17" s="244">
        <f>BS!EJ15</f>
        <v>15789</v>
      </c>
      <c r="EK17" s="244">
        <f>BS!EK15</f>
        <v>16831</v>
      </c>
      <c r="EL17" s="244">
        <f>+SUM(EL8:EL15)</f>
        <v>17920.372500000001</v>
      </c>
      <c r="EM17" s="585">
        <f>EL17</f>
        <v>17920.372500000001</v>
      </c>
      <c r="EN17" s="244">
        <f>BS!EN15</f>
        <v>19224</v>
      </c>
      <c r="EO17" s="244">
        <f>BS!EO15</f>
        <v>21379</v>
      </c>
      <c r="EP17" s="244">
        <f>BS!EP15</f>
        <v>21962</v>
      </c>
      <c r="EQ17" s="244">
        <f>+SUM(EQ8:EQ15)</f>
        <v>22601.66</v>
      </c>
      <c r="ER17" s="585">
        <f>EQ17</f>
        <v>22601.66</v>
      </c>
      <c r="ES17" s="244">
        <f>BS!ES15</f>
        <v>24809</v>
      </c>
      <c r="ET17" s="244">
        <f>BS!ET15</f>
        <v>26304</v>
      </c>
      <c r="EU17" s="244">
        <f>BS!EU15</f>
        <v>27929</v>
      </c>
      <c r="EV17" s="244">
        <f t="shared" ref="EU17:EV18" si="6">+SUM(EV8:EV15)</f>
        <v>28898.8871</v>
      </c>
      <c r="EW17" s="585">
        <f>EV17</f>
        <v>28898.8871</v>
      </c>
      <c r="EX17" s="244">
        <f t="shared" ref="EX17:FA18" si="7">+SUM(EX8:EX15)</f>
        <v>29944.7742</v>
      </c>
      <c r="EY17" s="244">
        <f t="shared" si="7"/>
        <v>30968.620170999999</v>
      </c>
      <c r="EZ17" s="244">
        <f t="shared" si="7"/>
        <v>31970.20460171</v>
      </c>
      <c r="FA17" s="244">
        <f t="shared" si="7"/>
        <v>32949.304876727103</v>
      </c>
      <c r="FB17" s="585">
        <f>FA17</f>
        <v>32949.304876727103</v>
      </c>
      <c r="FC17" s="244">
        <f t="shared" ref="FC17:FF17" si="8">+SUM(FC8:FC15)</f>
        <v>34028.405151744206</v>
      </c>
      <c r="FD17" s="244">
        <f t="shared" si="8"/>
        <v>35084.79642951148</v>
      </c>
      <c r="FE17" s="244">
        <f t="shared" si="8"/>
        <v>36118.251620056421</v>
      </c>
      <c r="FF17" s="244">
        <f t="shared" si="8"/>
        <v>37128.54136250681</v>
      </c>
      <c r="FG17" s="585">
        <f>FF17</f>
        <v>37128.54136250681</v>
      </c>
      <c r="FH17" s="244">
        <f t="shared" ref="FH17:FK17" si="9">+SUM(FH8:FH15)</f>
        <v>38238.8311049572</v>
      </c>
      <c r="FI17" s="244">
        <f t="shared" si="9"/>
        <v>39325.723744832096</v>
      </c>
      <c r="FJ17" s="244">
        <f t="shared" si="9"/>
        <v>40388.985311105738</v>
      </c>
      <c r="FK17" s="244">
        <f t="shared" si="9"/>
        <v>41428.379493042121</v>
      </c>
      <c r="FL17" s="585">
        <f>FK17</f>
        <v>41428.379493042121</v>
      </c>
    </row>
    <row r="18" spans="1:168" s="243" customFormat="1" ht="11.25" customHeight="1">
      <c r="A18" s="586" t="s">
        <v>751</v>
      </c>
      <c r="E18" s="587"/>
      <c r="BV18" s="465"/>
      <c r="BZ18" s="574"/>
      <c r="CA18" s="588" t="str">
        <f>+IF(CA17&lt;&gt;CB8,"DEPR OFF","")</f>
        <v/>
      </c>
      <c r="CB18" s="588" t="str">
        <f>+IF(CB17&lt;&gt;CC8,"DEPR OFF","")</f>
        <v/>
      </c>
      <c r="CC18" s="589" t="str">
        <f>+IF(CC17&lt;&gt;CD8,"DEPR OFF","")</f>
        <v/>
      </c>
      <c r="CD18" s="589" t="str">
        <f>+IF(CD17&lt;&gt;CF8,"DEPR OFF","")</f>
        <v/>
      </c>
      <c r="CE18" s="590"/>
      <c r="CF18" s="589" t="str">
        <f>+IF(CF17&lt;&gt;CG8,"DEPR OFF","")</f>
        <v/>
      </c>
      <c r="CG18" s="589" t="str">
        <f>+IF(CG17&lt;&gt;CH8,"DEPR OFF","")</f>
        <v/>
      </c>
      <c r="CH18" s="589" t="str">
        <f>+IF(CH17&lt;&gt;CI8,"DEPR OFF","")</f>
        <v/>
      </c>
      <c r="CI18" s="589" t="str">
        <f>+IF(CI17&lt;&gt;CK8,"DEPR OFF","")</f>
        <v/>
      </c>
      <c r="CJ18" s="590"/>
      <c r="CK18" s="589" t="str">
        <f>+IF(CK17&lt;&gt;CL8,"DEPR OFF","")</f>
        <v/>
      </c>
      <c r="CL18" s="589" t="str">
        <f>+IF(CL17&lt;&gt;CM8,"DEPR OFF","")</f>
        <v/>
      </c>
      <c r="CM18" s="589" t="str">
        <f>+IF(CM17&lt;&gt;CN8,"DEPR OFF","")</f>
        <v/>
      </c>
      <c r="CN18" s="589" t="str">
        <f>+IF(CN17&lt;&gt;CP8,"DEPR OFF","")</f>
        <v/>
      </c>
      <c r="CO18" s="590"/>
      <c r="CP18" s="589" t="str">
        <f>+IF(CP17&lt;&gt;CQ8,"DEPR OFF","")</f>
        <v/>
      </c>
      <c r="CQ18" s="589" t="str">
        <f>+IF(CQ17&lt;&gt;CR8,"DEPR OFF","")</f>
        <v/>
      </c>
      <c r="CR18" s="589" t="str">
        <f>+IF(CR17&lt;&gt;CS8,"DEPR OFF","")</f>
        <v/>
      </c>
      <c r="CS18" s="589" t="str">
        <f>+IF(CS17&lt;&gt;CU8,"DEPR OFF","")</f>
        <v/>
      </c>
      <c r="CT18" s="590"/>
      <c r="CU18" s="589" t="str">
        <f>+IF(CU17&lt;&gt;CV8,"DEPR OFF","")</f>
        <v/>
      </c>
      <c r="CV18" s="589" t="str">
        <f>+IF(CV17&lt;&gt;CW8,"DEPR OFF","")</f>
        <v/>
      </c>
      <c r="CW18" s="589" t="str">
        <f>+IF(CW17&lt;&gt;CX8,"DEPR OFF","")</f>
        <v/>
      </c>
      <c r="CX18" s="589"/>
      <c r="CY18" s="590"/>
      <c r="CZ18" s="244">
        <f>+SUM(CZ9:CZ16)</f>
        <v>13820.5</v>
      </c>
      <c r="DA18" s="244">
        <f>+SUM(DA9:DA16)</f>
        <v>15021.5</v>
      </c>
      <c r="DB18" s="244">
        <f>+SUM(DB9:DB16)</f>
        <v>14464</v>
      </c>
      <c r="DC18" s="244">
        <f>+SUM(DC9:DC16)</f>
        <v>15505</v>
      </c>
      <c r="DD18" s="590"/>
      <c r="DE18" s="244">
        <f t="shared" si="4"/>
        <v>15322.5</v>
      </c>
      <c r="DF18" s="244">
        <f t="shared" si="4"/>
        <v>15533.5</v>
      </c>
      <c r="DG18" s="244">
        <f t="shared" si="4"/>
        <v>6260.9413839297649</v>
      </c>
      <c r="DH18" s="244">
        <f>+SUM(DH9:DH16)</f>
        <v>2253.4889024707049</v>
      </c>
      <c r="DI18" s="590"/>
      <c r="DJ18" s="244">
        <f>+SUM(DJ9:DJ16)</f>
        <v>2389.2459006839017</v>
      </c>
      <c r="DK18" s="244">
        <f>+SUM(DK9:DK16)</f>
        <v>17066.5</v>
      </c>
      <c r="DL18" s="244">
        <f>+SUM(DL9:DL16)</f>
        <v>17141</v>
      </c>
      <c r="DM18" s="244">
        <f>+SUM(DM9:DM16)</f>
        <v>15162.503777995713</v>
      </c>
      <c r="DN18" s="590"/>
      <c r="DO18" s="244">
        <f>+SUM(DO9:DO16)</f>
        <v>13083.201570004983</v>
      </c>
      <c r="DP18" s="244">
        <f>+SUM(DP9:DP16)</f>
        <v>26604.366198754185</v>
      </c>
      <c r="DQ18" s="244">
        <f>+SUM(DQ9:DQ16)</f>
        <v>20329.504064859615</v>
      </c>
      <c r="DR18" s="244">
        <f>+SUM(DR9:DR16)</f>
        <v>20547.580257783942</v>
      </c>
      <c r="DS18" s="590"/>
      <c r="DT18" s="244">
        <f>+SUM(DT9:DT16)</f>
        <v>22069.631378379854</v>
      </c>
      <c r="DU18" s="244">
        <f>+SUM(DU9:DU16)</f>
        <v>22839.847571371687</v>
      </c>
      <c r="DV18" s="244">
        <f>+SUM(DV9:DV16)</f>
        <v>23547.676594813602</v>
      </c>
      <c r="DW18" s="244">
        <f>+SUM(DW9:DW16)</f>
        <v>26240.02023011064</v>
      </c>
      <c r="DX18" s="590"/>
      <c r="DY18" s="244">
        <f>+SUM(DY9:DY16)</f>
        <v>27039.394941406958</v>
      </c>
      <c r="DZ18" s="244">
        <f>+SUM(DZ9:DZ16)</f>
        <v>29039.533273059264</v>
      </c>
      <c r="EA18" s="244">
        <f>+SUM(EA9:EA16)</f>
        <v>29648.441428161605</v>
      </c>
      <c r="EB18" s="244">
        <f>+SUM(EB9:EB16)</f>
        <v>26974.955440276251</v>
      </c>
      <c r="EC18" s="590"/>
      <c r="ED18" s="244">
        <f>+SUM(ED9:ED16)</f>
        <v>24999.716261187576</v>
      </c>
      <c r="EE18" s="244">
        <f t="shared" si="5"/>
        <v>26634.969346118527</v>
      </c>
      <c r="EF18" s="244">
        <f>+SUM(EF9:EF16)</f>
        <v>26037.733111091911</v>
      </c>
      <c r="EG18" s="244">
        <f t="shared" si="5"/>
        <v>28477.68275748126</v>
      </c>
      <c r="EH18" s="590"/>
      <c r="EI18" s="244">
        <f>+SUM(EI9:EI16)</f>
        <v>28492.835017936206</v>
      </c>
      <c r="EJ18" s="244">
        <f>+SUM(EJ9:EJ16)</f>
        <v>30955.921901571037</v>
      </c>
      <c r="EK18" s="244">
        <f>+SUM(EK9:EK16)</f>
        <v>33651.440312131213</v>
      </c>
      <c r="EL18" s="244">
        <f>+SUM(EL9:EL16)</f>
        <v>36003.028361785277</v>
      </c>
      <c r="EM18" s="590"/>
      <c r="EN18" s="244">
        <f>+SUM(EN9:EN16)</f>
        <v>37618.040834399726</v>
      </c>
      <c r="EO18" s="244">
        <f>+SUM(EO9:EO16)</f>
        <v>70662.060408870733</v>
      </c>
      <c r="EP18" s="244">
        <f>+SUM(EP9:EP16)</f>
        <v>43809.57152230975</v>
      </c>
      <c r="EQ18" s="244">
        <f>+SUM(EQ9:EQ16)</f>
        <v>38761.46804371984</v>
      </c>
      <c r="ER18" s="590"/>
      <c r="ES18" s="244">
        <f>+SUM(ES9:ES16)</f>
        <v>38266.380422518108</v>
      </c>
      <c r="ET18" s="244">
        <f>+SUM(ET9:ET16)</f>
        <v>40579.627690524874</v>
      </c>
      <c r="EU18" s="244">
        <f>+SUM(EU9:EU16)</f>
        <v>43717.608039180792</v>
      </c>
      <c r="EV18" s="244">
        <f t="shared" si="6"/>
        <v>46267.067696521553</v>
      </c>
      <c r="EW18" s="590"/>
      <c r="EX18" s="244">
        <f t="shared" si="7"/>
        <v>49074.614487094819</v>
      </c>
      <c r="EY18" s="244">
        <f t="shared" si="7"/>
        <v>51002.805182280659</v>
      </c>
      <c r="EZ18" s="244">
        <f t="shared" si="7"/>
        <v>51768.83850769874</v>
      </c>
      <c r="FA18" s="244">
        <f t="shared" si="7"/>
        <v>51946.354352005845</v>
      </c>
      <c r="FB18" s="590"/>
      <c r="FC18" s="244">
        <f t="shared" ref="FC18:FF18" si="10">+SUM(FC9:FC16)</f>
        <v>52785.25791822379</v>
      </c>
      <c r="FD18" s="244">
        <f t="shared" si="10"/>
        <v>53496.138834558427</v>
      </c>
      <c r="FE18" s="244">
        <f t="shared" si="10"/>
        <v>54213.985314388483</v>
      </c>
      <c r="FF18" s="244">
        <f t="shared" si="10"/>
        <v>54933.296987908558</v>
      </c>
      <c r="FG18" s="590"/>
      <c r="FH18" s="244">
        <f t="shared" ref="FH18:FK18" si="11">+SUM(FH9:FH16)</f>
        <v>55778.90678635666</v>
      </c>
      <c r="FI18" s="244">
        <f t="shared" si="11"/>
        <v>56503.351210899804</v>
      </c>
      <c r="FJ18" s="244">
        <f t="shared" si="11"/>
        <v>57234.383082296605</v>
      </c>
      <c r="FK18" s="244">
        <f t="shared" si="11"/>
        <v>57966.689515219339</v>
      </c>
      <c r="FL18" s="590"/>
    </row>
    <row r="19" spans="1:168" s="592" customFormat="1" ht="11.25" customHeight="1">
      <c r="A19" s="591" t="s">
        <v>752</v>
      </c>
      <c r="BZ19" s="593"/>
      <c r="CE19" s="593"/>
      <c r="CJ19" s="593"/>
      <c r="CO19" s="593"/>
      <c r="CT19" s="593"/>
      <c r="CY19" s="593"/>
      <c r="DD19" s="593"/>
      <c r="DI19" s="593"/>
      <c r="DN19" s="593"/>
      <c r="DS19" s="593"/>
      <c r="DX19" s="593"/>
      <c r="EC19" s="593"/>
      <c r="EH19" s="593"/>
      <c r="EM19" s="593"/>
      <c r="ER19" s="593"/>
      <c r="EV19" s="1204"/>
      <c r="EW19" s="1205"/>
      <c r="EX19" s="1204"/>
      <c r="EY19" s="1204"/>
      <c r="EZ19" s="1204"/>
      <c r="FA19" s="1204"/>
      <c r="FB19" s="1205"/>
      <c r="FC19" s="1204"/>
      <c r="FD19" s="1204"/>
      <c r="FE19" s="1204"/>
      <c r="FF19" s="1204"/>
      <c r="FG19" s="1205"/>
      <c r="FH19" s="1204"/>
      <c r="FI19" s="1204"/>
      <c r="FJ19" s="1204"/>
      <c r="FK19" s="1204"/>
      <c r="FL19" s="1205"/>
    </row>
    <row r="20" spans="1:168" s="243" customFormat="1" ht="11.25" customHeight="1">
      <c r="A20" s="243" t="s">
        <v>753</v>
      </c>
      <c r="BY20" s="594">
        <v>5</v>
      </c>
      <c r="BZ20" s="595"/>
      <c r="CA20" s="596">
        <f>+CA7/-CA13/4</f>
        <v>5.3222416812609454</v>
      </c>
      <c r="CB20" s="596">
        <f>+CB7/-CB13/4</f>
        <v>5.9322197085885717</v>
      </c>
      <c r="CC20" s="596">
        <f>+CC7/-CC13/4</f>
        <v>5.0254688310778928</v>
      </c>
      <c r="CD20" s="596">
        <f>+CD7/-CD13/4</f>
        <v>4.0152471054523691</v>
      </c>
      <c r="CE20" s="597"/>
      <c r="CF20" s="596">
        <f>+CF7/-CF13/4</f>
        <v>11.364273204903677</v>
      </c>
      <c r="CG20" s="596">
        <f>+CG7/-CG13/4</f>
        <v>24.029006967055313</v>
      </c>
      <c r="CH20" s="596">
        <f>+CH7/-CH13/4</f>
        <v>6.7764494070848436</v>
      </c>
      <c r="CI20" s="596">
        <f>+CI7/-CI13/4</f>
        <v>6.3254407733477853</v>
      </c>
      <c r="CJ20" s="597"/>
      <c r="CK20" s="596">
        <f>+CK7/-CK13/4</f>
        <v>7.8800988875154507</v>
      </c>
      <c r="CL20" s="596">
        <f>+CL7/(-CK13-((CL10/CK20/8)/((CL10/CG10)^(CK20))))/4</f>
        <v>8.19025538929675</v>
      </c>
      <c r="CM20" s="596">
        <f>+CM7/(-CL13-((CM10/CL20/8)/((CM10/CH10)^(CL20))))/4</f>
        <v>8.7541861761138389</v>
      </c>
      <c r="CN20" s="596">
        <f>+CN7/(-CM13-((CN10/CM20/8)/((CN10/CI10)^(CM20))))/4</f>
        <v>12.569245580905143</v>
      </c>
      <c r="CO20" s="597"/>
      <c r="CP20" s="596">
        <f>+CP7/(-CN13-((CP10/CN20/8)/((CP10/CK10)^(CN20))))/4</f>
        <v>7.876808343799877</v>
      </c>
      <c r="CQ20" s="596">
        <f>+CQ7/(-CP13-((CQ10/CP20/8)/((CQ10/CL10)^(CP20))))/4</f>
        <v>10.270463231208511</v>
      </c>
      <c r="CR20" s="596">
        <f>+CR7/(-CQ13-((CR10/CQ20/8)/((CR10/CM10)^(CQ20))))/4</f>
        <v>6.8895344441101702</v>
      </c>
      <c r="CS20" s="596">
        <f>+CS7/(-CR13-((CS10/CR20/8)/((CS10/CN10)^(CR20))))/4</f>
        <v>5.8854731967768323</v>
      </c>
      <c r="CT20" s="597"/>
      <c r="CU20" s="596">
        <f>+CU7/(-CS13-((CU10/CS20/8)/((CU10/CP10)^(CS20))))/4</f>
        <v>7.3410764359381568</v>
      </c>
      <c r="CV20" s="596">
        <f>+CV7/(-CU13-((CV10/CU20/8)/((CV10/CQ10)^(CU20))))/4</f>
        <v>9.5209235715458949</v>
      </c>
      <c r="CW20" s="596">
        <f>+CW7/(-CV13-((CW10/CV20/8)/((CW10/CR10)^(CV20))))/4</f>
        <v>9.1386588284167463</v>
      </c>
      <c r="CX20" s="596">
        <f>+CX7/(-CW13-((CX10/CW20/8)/((CX10/CS10)^(CW20))))/4</f>
        <v>8.5904655781188062</v>
      </c>
      <c r="CY20" s="597"/>
      <c r="CZ20" s="596">
        <f>+CZ7/(-CX13-((CZ10/CX20/8)/((CZ10/CU10)^(CX20))))/4</f>
        <v>6.4039314357685679</v>
      </c>
      <c r="DA20" s="596">
        <f>+DA7/(-CZ13-((DA10/CZ20/8)/((DA10/CV10)^(CZ20))))/4</f>
        <v>7.6731086355603795</v>
      </c>
      <c r="DB20" s="596">
        <f>+DB7/(-DA13-((DB10/DA20/8)/((DB10/CW10)^(DA20))))/4</f>
        <v>8.1889096133300558</v>
      </c>
      <c r="DC20" s="596">
        <f>+DC7/(-DB13-((DC10/DB20/8)/((DC10/CX10)^(DB20))))/4</f>
        <v>12.204837239387139</v>
      </c>
      <c r="DD20" s="597"/>
      <c r="DE20" s="596">
        <f>+DE7/(-DC13-((DE10/DC20/8)/((DE10/CZ10)^(DC20))))/4</f>
        <v>-0.77820206432697836</v>
      </c>
      <c r="DF20" s="596">
        <f>+DF7/(-DE13-((DF10/DE20/8)/((DF10/DA10)^(DE20))))/4</f>
        <v>7.257903637566411</v>
      </c>
      <c r="DG20" s="596">
        <f>+DG7/(-DF13-((DG10/DF20/8)/((DG10/DB10)^(DF20))))/4</f>
        <v>14.020479227796679</v>
      </c>
      <c r="DH20" s="596">
        <f>+DH7/(-DG13-((DH10/DG20/8)/((DH10/DC10)^(DG20))))/4</f>
        <v>3.4755262511646943</v>
      </c>
      <c r="DI20" s="597"/>
      <c r="DJ20" s="596">
        <f>+DJ7/(-DH13-((DJ10/DH20/8)/((DJ10/DE10)^(DH20))))/4</f>
        <v>0.93900887435620906</v>
      </c>
      <c r="DK20" s="596">
        <f>+DK7/(-DJ13-((DK10/DJ20/8)/((DK10/DF10)^(DJ20))))/4</f>
        <v>1.1723839365142925</v>
      </c>
      <c r="DL20" s="596">
        <f>+DL7/(-DK13-((DL10/DK20/8)/((DL10/DG10)^(DK20))))/4</f>
        <v>8.5915938273824057</v>
      </c>
      <c r="DM20" s="596">
        <f>+DM7/(-DL13-((DM10/DL20/8)/((DM10/DH10)^(DL20))))/4</f>
        <v>7.677785328918973</v>
      </c>
      <c r="DN20" s="597"/>
      <c r="DO20" s="596">
        <f>+DO7/(-DM13-((DO10/DM20/8)/((DO10/DJ10)^(DM20))))/4</f>
        <v>7.9103345309503332</v>
      </c>
      <c r="DP20" s="596">
        <f>+DP7/(-DO13-((DP10/DO20/8)/((DP10/DK10)^(DO20))))/4</f>
        <v>5.7365007879056646</v>
      </c>
      <c r="DQ20" s="596">
        <f>+DQ7/(-DP13-((DQ10/DP20/8)/((DQ10/DL10)^(DP20))))/4</f>
        <v>9.5721814792761251</v>
      </c>
      <c r="DR20" s="596">
        <f>+DR7/(-DQ13-((DR10/DQ20/8)/((DR10/DM10)^(DQ20))))/4</f>
        <v>8.222834403740384</v>
      </c>
      <c r="DS20" s="597"/>
      <c r="DT20" s="596">
        <f>+DT7/(-DR13-((DT10/DR20/8)/((DT10/DO10)^(DR20))))/4</f>
        <v>9.3163967133506524</v>
      </c>
      <c r="DU20" s="596">
        <f>+DU7/(-DT13-((DU10/DT20/8)/((DU10/DP10)^(DT20))))/4</f>
        <v>11.992463601849511</v>
      </c>
      <c r="DV20" s="596">
        <f>+DV7/(-DU13-((DV10/DU20/8)/((DV10/DQ10)^(DU20))))/4</f>
        <v>6.5966413537266826</v>
      </c>
      <c r="DW20" s="596">
        <f>+DW7/(-DV13-((DW10/DV20/8)/((DW10/DR10)^(DV20))))/4</f>
        <v>6.764008599729765</v>
      </c>
      <c r="DX20" s="597"/>
      <c r="DY20" s="596">
        <f>+DY7/(-DW13-((DY10/DW20/8)/((DY10/DT10)^(DW20))))/4</f>
        <v>7.9264436785566472</v>
      </c>
      <c r="DZ20" s="596">
        <f>+DZ7/(-DY13-((DZ10/DY20/8)/((DZ10/DU10)^(DY20))))/4</f>
        <v>10.029526024899974</v>
      </c>
      <c r="EA20" s="596">
        <f>+EA7/(-DZ13-((EA10/DZ20/8)/((EA10/DV10)^(DZ20))))/4</f>
        <v>6.4664870515481825</v>
      </c>
      <c r="EB20" s="596">
        <f>+EB7/(-EA13-((EB10/EA20/8)/((EB10/DW10)^(EA20))))/4</f>
        <v>8.1214559606892127</v>
      </c>
      <c r="EC20" s="597"/>
      <c r="ED20" s="596">
        <f>+ED7/(-EB13-((ED10/EB20/8)/((ED10/DY10)^(EB20))))/4</f>
        <v>3.9376934232626906</v>
      </c>
      <c r="EE20" s="596">
        <f>+EE7/(-ED13-((EE10/ED20/8)/((EE10/DZ10)^(ED20))))/4</f>
        <v>5.679654764444412</v>
      </c>
      <c r="EF20" s="596">
        <f>+EF7/(-EE13-((EF10/EE20/8)/((EF10/EA10)^(EE20))))/4</f>
        <v>4.9764678019689415</v>
      </c>
      <c r="EG20" s="596">
        <f>+EG7/(-EF13-((EG10/EF20/8)/((EG10/EB10)^(EF20))))/4</f>
        <v>4.8538735458262821</v>
      </c>
      <c r="EH20" s="597"/>
      <c r="EI20" s="596">
        <f>+EI7/(-EG13-((EI10/EG20/8)/((EI10/ED10)^(EG20))))/4</f>
        <v>5.8549761356840202</v>
      </c>
      <c r="EJ20" s="596">
        <f>+EJ7/(-EI13-((EJ10/EI20/8)/((EJ10/EE10)^(EI20))))/4</f>
        <v>6.070210602931108</v>
      </c>
      <c r="EK20" s="596">
        <f>+EK7/(-EJ13-((EK10/EJ20/8)/((EK10/EF10)^(EJ20))))/4</f>
        <v>6.0419113360531567</v>
      </c>
      <c r="EL20" s="596">
        <f>+EL7/(-EK13-((EL10/EK20/8)/((EL10/EG10)^(EK20))))/4</f>
        <v>5.8131383011899782</v>
      </c>
      <c r="EM20" s="597"/>
      <c r="EN20" s="596">
        <f>+EN7/(-EL13-((EN10/EL20/8)/((EN10/EI10)^(EL20))))/4</f>
        <v>5.4756326851546575</v>
      </c>
      <c r="EO20" s="596">
        <f>+EO7/(-EN13-((EO10/EN20/8)/((EO10/EJ10)^(EN20))))/4</f>
        <v>6.3599327576060967</v>
      </c>
      <c r="EP20" s="596">
        <f>+EP7/(-EO13-((EP10/EO20/8)/((EP10/EK10)^(EO20))))/4</f>
        <v>8.3036205232430689</v>
      </c>
      <c r="EQ20" s="596">
        <f>+EQ7/(-EP13-((EQ10/EP20/8)/((EQ10/EL10)^(EP20))))/4</f>
        <v>5.9901321402002727</v>
      </c>
      <c r="ER20" s="597"/>
      <c r="ES20" s="596">
        <f>+ES7/(-EQ13-((ES10/EQ20/8)/((ES10/EN10)^(EQ20))))/4</f>
        <v>5.3728046995957612</v>
      </c>
      <c r="ET20" s="596">
        <f>+ET7/(-ES13-((ET10/ES20/8)/((ET10/EO10)^(ES20))))/4</f>
        <v>4.8512610931584472</v>
      </c>
      <c r="EU20" s="596">
        <f>+EU7/(-ET13-((EU10/ET20/8)/((EU10/EP10)^(ET20))))/4</f>
        <v>4.9902381227922206</v>
      </c>
      <c r="EV20" s="1206">
        <f>+EV7/(-EU13-((EV10/EU20/8)/((EV10/EQ10)^(EU20))))/4</f>
        <v>4.9487313511014204</v>
      </c>
      <c r="EW20" s="1207"/>
      <c r="EX20" s="1206">
        <f>+EX7/(-EV13-((EX10/EV20/8)/((EX10/ES10)^(EV20))))/4</f>
        <v>5.1685101692356179</v>
      </c>
      <c r="EY20" s="1206">
        <f>+EY7/(-EX13-((EY10/EX20/8)/((EY10/ET10)^(EX20))))/4</f>
        <v>5.5264430478790967</v>
      </c>
      <c r="EZ20" s="1206">
        <f>+EZ7/(-EY13-((EZ10/EY20/8)/((EZ10/EU10)^(EY20))))/4</f>
        <v>5.7566874617203654</v>
      </c>
      <c r="FA20" s="1206">
        <f>+FA7/(-EZ13-((FA10/EZ20/8)/((FA10/EV10)^(EZ20))))/4</f>
        <v>5.8160947117592334</v>
      </c>
      <c r="FB20" s="1207"/>
      <c r="FC20" s="1206">
        <f>+FC7/(-FA13-((FC10/FA20/8)/((FC10/EX10)^(FA20))))/4</f>
        <v>5.7530784332618978</v>
      </c>
      <c r="FD20" s="1206">
        <f>+FD7/(-FC13-((FD10/FC20/8)/((FD10/EY10)^(FC20))))/4</f>
        <v>5.8384090700304165</v>
      </c>
      <c r="FE20" s="1206">
        <f>+FE7/(-FD13-((FE10/FD20/8)/((FE10/EZ10)^(FD20))))/4</f>
        <v>5.8585467938087836</v>
      </c>
      <c r="FF20" s="1206">
        <f>+FF7/(-FE13-((FF10/FE20/8)/((FF10/FA10)^(FE20))))/4</f>
        <v>5.8804347633384637</v>
      </c>
      <c r="FG20" s="1207"/>
      <c r="FH20" s="1206">
        <f>+FH7/(-FF13-((FH10/FF20/8)/((FH10/FC10)^(FF20))))/4</f>
        <v>5.9068506946991901</v>
      </c>
      <c r="FI20" s="1206">
        <f>+FI7/(-FH13-((FI10/FH20/8)/((FI10/FD10)^(FH20))))/4</f>
        <v>5.9877281023617792</v>
      </c>
      <c r="FJ20" s="1206">
        <f>+FJ7/(-FI13-((FJ10/FI20/8)/((FJ10/FE10)^(FI20))))/4</f>
        <v>6.0056692842100539</v>
      </c>
      <c r="FK20" s="1206">
        <f>+FK7/(-FJ13-((FK10/FJ20/8)/((FK10/FF10)^(FJ20))))/4</f>
        <v>6.0252117120663851</v>
      </c>
      <c r="FL20" s="1207"/>
    </row>
    <row r="21" spans="1:168" s="243" customFormat="1" ht="11.25" customHeight="1">
      <c r="A21" s="243" t="s">
        <v>754</v>
      </c>
      <c r="BZ21" s="574"/>
      <c r="CC21" s="594"/>
      <c r="CD21" s="594"/>
      <c r="CE21" s="595"/>
      <c r="CF21" s="594"/>
      <c r="CG21" s="594"/>
      <c r="CH21" s="594"/>
      <c r="CI21" s="594"/>
      <c r="CJ21" s="595"/>
      <c r="CK21" s="594"/>
      <c r="CL21" s="594">
        <v>0.17997461770459575</v>
      </c>
      <c r="CM21" s="594">
        <v>0.51271336559253222</v>
      </c>
      <c r="CN21" s="594">
        <v>0.49366274027920709</v>
      </c>
      <c r="CO21" s="595"/>
      <c r="CP21" s="594">
        <v>0.49366274027920709</v>
      </c>
      <c r="CQ21" s="594">
        <v>0.49366274027920709</v>
      </c>
      <c r="CR21" s="594">
        <v>0.49366274027920709</v>
      </c>
      <c r="CS21" s="594">
        <v>0.49366274027920709</v>
      </c>
      <c r="CT21" s="595"/>
      <c r="CU21" s="594">
        <v>0.5</v>
      </c>
      <c r="CV21" s="594">
        <v>0.5</v>
      </c>
      <c r="CW21" s="594">
        <v>0.5</v>
      </c>
      <c r="CX21" s="594">
        <v>0.5</v>
      </c>
      <c r="CY21" s="595"/>
      <c r="CZ21" s="594">
        <v>0.5</v>
      </c>
      <c r="DA21" s="594">
        <v>0.5</v>
      </c>
      <c r="DB21" s="594">
        <v>0.5</v>
      </c>
      <c r="DC21" s="594">
        <v>0.5</v>
      </c>
      <c r="DD21" s="595"/>
      <c r="DE21" s="594">
        <v>0.5</v>
      </c>
      <c r="DF21" s="594">
        <v>0.5</v>
      </c>
      <c r="DG21" s="594">
        <v>0.5</v>
      </c>
      <c r="DH21" s="594">
        <v>0.5</v>
      </c>
      <c r="DI21" s="595"/>
      <c r="DJ21" s="594">
        <v>0.5</v>
      </c>
      <c r="DK21" s="594">
        <v>0.5</v>
      </c>
      <c r="DL21" s="594">
        <v>0.5</v>
      </c>
      <c r="DM21" s="594">
        <v>0.5</v>
      </c>
      <c r="DN21" s="595"/>
      <c r="DO21" s="594">
        <v>0.5</v>
      </c>
      <c r="DP21" s="594">
        <v>0.4</v>
      </c>
      <c r="DQ21" s="594">
        <v>0.5</v>
      </c>
      <c r="DR21" s="594">
        <v>0.5</v>
      </c>
      <c r="DS21" s="595"/>
      <c r="DT21" s="594">
        <v>0.5</v>
      </c>
      <c r="DU21" s="594">
        <v>0.4</v>
      </c>
      <c r="DV21" s="594">
        <v>0.4</v>
      </c>
      <c r="DW21" s="594">
        <v>0.5</v>
      </c>
      <c r="DX21" s="595"/>
      <c r="DY21" s="594">
        <v>0.5</v>
      </c>
      <c r="DZ21" s="594">
        <v>0.4</v>
      </c>
      <c r="EA21" s="594">
        <v>0.5</v>
      </c>
      <c r="EB21" s="594">
        <v>0.5</v>
      </c>
      <c r="EC21" s="595"/>
      <c r="ED21" s="594">
        <v>0.5</v>
      </c>
      <c r="EE21" s="594">
        <v>0.5</v>
      </c>
      <c r="EF21" s="594">
        <v>0.5</v>
      </c>
      <c r="EG21" s="594">
        <v>0.5</v>
      </c>
      <c r="EH21" s="595"/>
      <c r="EI21" s="594">
        <v>0.5</v>
      </c>
      <c r="EJ21" s="594">
        <v>0.5</v>
      </c>
      <c r="EK21" s="594">
        <v>0.5</v>
      </c>
      <c r="EL21" s="594">
        <v>0.5</v>
      </c>
      <c r="EM21" s="595"/>
      <c r="EN21" s="594">
        <v>0.5</v>
      </c>
      <c r="EO21" s="594">
        <v>0.5</v>
      </c>
      <c r="EP21" s="594">
        <v>0.5</v>
      </c>
      <c r="EQ21" s="594">
        <v>0.5</v>
      </c>
      <c r="ER21" s="595"/>
      <c r="ES21" s="594">
        <v>0.5</v>
      </c>
      <c r="ET21" s="594">
        <v>0.5</v>
      </c>
      <c r="EU21" s="594">
        <v>0.5</v>
      </c>
      <c r="EV21" s="1208">
        <v>0.5</v>
      </c>
      <c r="EW21" s="1209"/>
      <c r="EX21" s="1208">
        <v>0.5</v>
      </c>
      <c r="EY21" s="1208">
        <v>0.5</v>
      </c>
      <c r="EZ21" s="1208">
        <v>0.5</v>
      </c>
      <c r="FA21" s="1208">
        <v>0.5</v>
      </c>
      <c r="FB21" s="1209"/>
      <c r="FC21" s="1208">
        <v>0.5</v>
      </c>
      <c r="FD21" s="1208">
        <v>0.5</v>
      </c>
      <c r="FE21" s="1208">
        <v>0.5</v>
      </c>
      <c r="FF21" s="1208">
        <v>0.5</v>
      </c>
      <c r="FG21" s="1209"/>
      <c r="FH21" s="1208">
        <v>0.5</v>
      </c>
      <c r="FI21" s="1208">
        <v>0.5</v>
      </c>
      <c r="FJ21" s="1208">
        <v>0.5</v>
      </c>
      <c r="FK21" s="1208">
        <v>0.5</v>
      </c>
      <c r="FL21" s="1209"/>
    </row>
    <row r="22" spans="1:168" s="93" customFormat="1" ht="11.25" customHeight="1">
      <c r="A22" s="93" t="s">
        <v>755</v>
      </c>
      <c r="BZ22" s="598"/>
      <c r="CA22" s="244">
        <f t="shared" ref="CA22:CG22" si="12">-CA13</f>
        <v>285.5</v>
      </c>
      <c r="CB22" s="244">
        <f t="shared" si="12"/>
        <v>257.5</v>
      </c>
      <c r="CC22" s="244">
        <f t="shared" si="12"/>
        <v>206.5</v>
      </c>
      <c r="CD22" s="244">
        <f t="shared" si="12"/>
        <v>266.5</v>
      </c>
      <c r="CE22" s="576"/>
      <c r="CF22" s="244">
        <f t="shared" si="12"/>
        <v>142.75</v>
      </c>
      <c r="CG22" s="244">
        <f t="shared" si="12"/>
        <v>67.75</v>
      </c>
      <c r="CH22" s="244">
        <f t="shared" ref="CH22:DH22" si="13">-CH13</f>
        <v>241.75</v>
      </c>
      <c r="CI22" s="244">
        <f t="shared" si="13"/>
        <v>241.75</v>
      </c>
      <c r="CJ22" s="576"/>
      <c r="CK22" s="244">
        <f t="shared" si="13"/>
        <v>202.25</v>
      </c>
      <c r="CL22" s="244">
        <f t="shared" si="13"/>
        <v>199.25</v>
      </c>
      <c r="CM22" s="244">
        <f t="shared" si="13"/>
        <v>145.25</v>
      </c>
      <c r="CN22" s="244">
        <f t="shared" si="13"/>
        <v>229.25</v>
      </c>
      <c r="CO22" s="576"/>
      <c r="CP22" s="244">
        <f t="shared" si="13"/>
        <v>190</v>
      </c>
      <c r="CQ22" s="244">
        <f t="shared" si="13"/>
        <v>306</v>
      </c>
      <c r="CR22" s="244">
        <f t="shared" si="13"/>
        <v>386</v>
      </c>
      <c r="CS22" s="244">
        <f t="shared" si="13"/>
        <v>322</v>
      </c>
      <c r="CT22" s="576"/>
      <c r="CU22" s="244">
        <f t="shared" si="13"/>
        <v>333</v>
      </c>
      <c r="CV22" s="244">
        <f t="shared" si="13"/>
        <v>369</v>
      </c>
      <c r="CW22" s="244">
        <f t="shared" si="13"/>
        <v>417</v>
      </c>
      <c r="CX22" s="244">
        <f t="shared" si="13"/>
        <v>490</v>
      </c>
      <c r="CY22" s="576"/>
      <c r="CZ22" s="244">
        <f t="shared" si="13"/>
        <v>445</v>
      </c>
      <c r="DA22" s="244">
        <f t="shared" si="13"/>
        <v>487</v>
      </c>
      <c r="DB22" s="244">
        <f t="shared" si="13"/>
        <v>508</v>
      </c>
      <c r="DC22" s="244">
        <f t="shared" si="13"/>
        <v>531</v>
      </c>
      <c r="DD22" s="576"/>
      <c r="DE22" s="244">
        <f t="shared" si="13"/>
        <v>497</v>
      </c>
      <c r="DF22" s="244">
        <f t="shared" si="13"/>
        <v>446</v>
      </c>
      <c r="DG22" s="244">
        <f t="shared" si="13"/>
        <v>496</v>
      </c>
      <c r="DH22" s="244">
        <f t="shared" si="13"/>
        <v>553.83333333333337</v>
      </c>
      <c r="DI22" s="576"/>
      <c r="DJ22" s="599">
        <f>DH22*1.01</f>
        <v>559.37166666666667</v>
      </c>
      <c r="DK22" s="244">
        <f>-DK13</f>
        <v>537</v>
      </c>
      <c r="DL22" s="244">
        <f>-DL13</f>
        <v>595</v>
      </c>
      <c r="DM22" s="244">
        <f>-DM13</f>
        <v>526.75</v>
      </c>
      <c r="DN22" s="576"/>
      <c r="DO22" s="599">
        <f>DM22*1.01</f>
        <v>532.01750000000004</v>
      </c>
      <c r="DP22" s="599">
        <f>DO22*1.01</f>
        <v>537.33767499999999</v>
      </c>
      <c r="DQ22" s="599">
        <f>DP22*1.01</f>
        <v>542.71105175000002</v>
      </c>
      <c r="DR22" s="244">
        <f>-DR13</f>
        <v>542.83749999999998</v>
      </c>
      <c r="DS22" s="576"/>
      <c r="DT22" s="599">
        <f>DR22*1.01</f>
        <v>548.26587499999994</v>
      </c>
      <c r="DU22" s="599">
        <f>DT22*1.01</f>
        <v>553.74853374999998</v>
      </c>
      <c r="DV22" s="599">
        <f>DU22*1.01</f>
        <v>559.28601908749999</v>
      </c>
      <c r="DW22" s="599">
        <f>DV22*1.1</f>
        <v>615.21462099625001</v>
      </c>
      <c r="DX22" s="576"/>
      <c r="DY22" s="599">
        <f>DW22*1.01</f>
        <v>621.36676720621256</v>
      </c>
      <c r="DZ22" s="599">
        <f>DY22*1.01</f>
        <v>627.58043487827467</v>
      </c>
      <c r="EA22" s="599">
        <f>DZ22*1.01</f>
        <v>633.85623922705747</v>
      </c>
      <c r="EB22" s="599">
        <f>EA22*1.1</f>
        <v>697.24186314976328</v>
      </c>
      <c r="EC22" s="576"/>
      <c r="ED22" s="599">
        <f>-ED13</f>
        <v>1178.29</v>
      </c>
      <c r="EE22" s="599">
        <f>-EE13</f>
        <v>1269.5274999999999</v>
      </c>
      <c r="EF22" s="599">
        <f>-EF13</f>
        <v>1345</v>
      </c>
      <c r="EG22" s="599">
        <f>-EG13</f>
        <v>1204.5774999999999</v>
      </c>
      <c r="EH22" s="576"/>
      <c r="EI22" s="599">
        <f>-EI13</f>
        <v>1164.7525000000001</v>
      </c>
      <c r="EJ22" s="599">
        <f>-EJ13</f>
        <v>1242.8775000000001</v>
      </c>
      <c r="EK22" s="599">
        <f>-EK13</f>
        <v>1401.115</v>
      </c>
      <c r="EL22" s="599">
        <f>-EL13</f>
        <v>1597.1275000000001</v>
      </c>
      <c r="EM22" s="576"/>
      <c r="EN22" s="599">
        <f>-EN13</f>
        <v>1502.3400000000001</v>
      </c>
      <c r="EO22" s="599">
        <f>-EO13</f>
        <v>1852.04</v>
      </c>
      <c r="EP22" s="599">
        <f>-EP13</f>
        <v>1942.365</v>
      </c>
      <c r="EQ22" s="599">
        <f>-EQ13</f>
        <v>1822.3400000000001</v>
      </c>
      <c r="ER22" s="576"/>
      <c r="ES22" s="599">
        <f>-ES13</f>
        <v>1973.865</v>
      </c>
      <c r="ET22" s="599">
        <f>-ET13</f>
        <v>2008.6275000000001</v>
      </c>
      <c r="EU22" s="599">
        <f>-EU13</f>
        <v>2182.29</v>
      </c>
      <c r="EV22" s="599">
        <f>EU22*1.01</f>
        <v>2204.1129000000001</v>
      </c>
      <c r="EW22" s="576"/>
      <c r="EX22" s="599">
        <f>EV22</f>
        <v>2204.1129000000001</v>
      </c>
      <c r="EY22" s="599">
        <f>EX22*1.01</f>
        <v>2226.1540290000003</v>
      </c>
      <c r="EZ22" s="599">
        <f>EY22*1.01</f>
        <v>2248.4155692900003</v>
      </c>
      <c r="FA22" s="599">
        <f>EZ22*1.01</f>
        <v>2270.8997249829004</v>
      </c>
      <c r="FB22" s="576"/>
      <c r="FC22" s="599">
        <f>FA22</f>
        <v>2270.8997249829004</v>
      </c>
      <c r="FD22" s="599">
        <f>FC22*1.01</f>
        <v>2293.6087222327292</v>
      </c>
      <c r="FE22" s="599">
        <f>FD22*1.01</f>
        <v>2316.5448094550566</v>
      </c>
      <c r="FF22" s="599">
        <f>FE22*1.01</f>
        <v>2339.7102575496074</v>
      </c>
      <c r="FG22" s="576"/>
      <c r="FH22" s="599">
        <f>FF22</f>
        <v>2339.7102575496074</v>
      </c>
      <c r="FI22" s="599">
        <f>FH22*1.01</f>
        <v>2363.1073601251037</v>
      </c>
      <c r="FJ22" s="599">
        <f>FI22*1.01</f>
        <v>2386.7384337263547</v>
      </c>
      <c r="FK22" s="599">
        <f>FJ22*1.01</f>
        <v>2410.6058180636182</v>
      </c>
      <c r="FL22" s="576"/>
    </row>
    <row r="23" spans="1:168" s="93" customFormat="1" ht="11.25" customHeight="1">
      <c r="BZ23" s="598"/>
      <c r="CA23" s="600"/>
      <c r="CB23" s="600"/>
      <c r="CC23" s="600"/>
      <c r="CD23" s="600"/>
      <c r="CE23" s="601"/>
      <c r="CF23" s="600"/>
      <c r="CG23" s="600"/>
      <c r="CH23" s="600"/>
      <c r="CI23" s="600"/>
      <c r="CJ23" s="601"/>
      <c r="CK23" s="600"/>
      <c r="CL23" s="600"/>
      <c r="CM23" s="600"/>
      <c r="CN23" s="600"/>
      <c r="CO23" s="601"/>
      <c r="CP23" s="600"/>
      <c r="CQ23" s="600"/>
      <c r="CR23" s="600"/>
      <c r="CS23" s="600"/>
      <c r="CT23" s="601"/>
      <c r="CU23" s="600"/>
      <c r="CV23" s="599"/>
      <c r="CW23" s="599"/>
      <c r="CX23" s="599"/>
      <c r="CY23" s="601"/>
      <c r="CZ23" s="599"/>
      <c r="DA23" s="599"/>
      <c r="DB23" s="599"/>
      <c r="DC23" s="599"/>
      <c r="DD23" s="601"/>
      <c r="DE23" s="599"/>
      <c r="DF23" s="599"/>
      <c r="DG23" s="599"/>
      <c r="DH23" s="599"/>
      <c r="DI23" s="601"/>
      <c r="DJ23" s="599"/>
      <c r="DK23" s="599"/>
      <c r="DL23" s="599"/>
      <c r="DM23" s="599"/>
      <c r="DN23" s="601"/>
      <c r="DO23" s="599"/>
      <c r="DP23" s="599"/>
      <c r="DQ23" s="599"/>
      <c r="DR23" s="599"/>
      <c r="DS23" s="601"/>
      <c r="DT23" s="599"/>
      <c r="DU23" s="599"/>
      <c r="DV23" s="599"/>
      <c r="DW23" s="599"/>
      <c r="DX23" s="601"/>
      <c r="DY23" s="599"/>
      <c r="DZ23" s="599"/>
      <c r="EA23" s="599"/>
      <c r="EB23" s="599"/>
      <c r="EC23" s="601"/>
      <c r="ED23" s="599"/>
      <c r="EE23" s="599"/>
      <c r="EF23" s="599"/>
      <c r="EG23" s="599"/>
      <c r="EH23" s="601"/>
      <c r="EI23" s="599"/>
      <c r="EJ23" s="599"/>
      <c r="EK23" s="599"/>
      <c r="EL23" s="599"/>
      <c r="EM23" s="601"/>
      <c r="EN23" s="599"/>
      <c r="EO23" s="599"/>
      <c r="EP23" s="599"/>
      <c r="EQ23" s="599"/>
      <c r="ER23" s="601"/>
      <c r="ES23" s="599"/>
      <c r="ET23" s="599"/>
      <c r="EU23" s="599"/>
      <c r="EV23" s="599"/>
      <c r="EW23" s="585"/>
      <c r="EX23" s="599"/>
      <c r="EY23" s="599"/>
      <c r="EZ23" s="599"/>
      <c r="FA23" s="599"/>
      <c r="FB23" s="585"/>
      <c r="FC23" s="599"/>
      <c r="FD23" s="599"/>
      <c r="FE23" s="599"/>
      <c r="FF23" s="599"/>
      <c r="FG23" s="585"/>
      <c r="FH23" s="599"/>
      <c r="FI23" s="599"/>
      <c r="FJ23" s="599"/>
      <c r="FK23" s="599"/>
      <c r="FL23" s="585"/>
    </row>
    <row r="24" spans="1:168" s="93" customFormat="1" ht="11.25" customHeight="1">
      <c r="A24" s="591" t="s">
        <v>647</v>
      </c>
      <c r="B24" s="591"/>
      <c r="C24" s="591"/>
      <c r="D24" s="591"/>
      <c r="E24" s="591"/>
      <c r="F24" s="591"/>
      <c r="G24" s="591"/>
      <c r="H24" s="591"/>
      <c r="I24" s="591"/>
      <c r="J24" s="591"/>
      <c r="K24" s="591"/>
      <c r="L24" s="591"/>
      <c r="M24" s="591"/>
      <c r="N24" s="591"/>
      <c r="O24" s="591"/>
      <c r="P24" s="591"/>
      <c r="Q24" s="591"/>
      <c r="R24" s="591"/>
      <c r="S24" s="591"/>
      <c r="T24" s="591"/>
      <c r="U24" s="591"/>
      <c r="V24" s="591"/>
      <c r="W24" s="591"/>
      <c r="X24" s="591"/>
      <c r="Y24" s="591"/>
      <c r="Z24" s="591"/>
      <c r="AA24" s="591"/>
      <c r="AB24" s="591"/>
      <c r="AC24" s="591"/>
      <c r="AD24" s="591"/>
      <c r="AE24" s="591"/>
      <c r="AF24" s="591"/>
      <c r="AG24" s="591"/>
      <c r="AH24" s="591"/>
      <c r="AI24" s="591"/>
      <c r="AJ24" s="591"/>
      <c r="AK24" s="591"/>
      <c r="AL24" s="591"/>
      <c r="AM24" s="591"/>
      <c r="AN24" s="591"/>
      <c r="AO24" s="591"/>
      <c r="AP24" s="591"/>
      <c r="AQ24" s="591"/>
      <c r="AR24" s="591"/>
      <c r="AS24" s="591"/>
      <c r="AT24" s="591"/>
      <c r="AU24" s="591"/>
      <c r="AV24" s="591"/>
      <c r="AW24" s="591"/>
      <c r="AX24" s="591"/>
      <c r="AY24" s="591"/>
      <c r="AZ24" s="591"/>
      <c r="BA24" s="591"/>
      <c r="BB24" s="591"/>
      <c r="BC24" s="591"/>
      <c r="BD24" s="591"/>
      <c r="BE24" s="591"/>
      <c r="BF24" s="591"/>
      <c r="BG24" s="591"/>
      <c r="BH24" s="591"/>
      <c r="BI24" s="591"/>
      <c r="BJ24" s="591"/>
      <c r="BK24" s="591"/>
      <c r="BL24" s="591"/>
      <c r="BM24" s="591"/>
      <c r="BN24" s="591"/>
      <c r="BO24" s="591"/>
      <c r="BP24" s="591"/>
      <c r="BQ24" s="591"/>
      <c r="BR24" s="591"/>
      <c r="BS24" s="591"/>
      <c r="BT24" s="591"/>
      <c r="BU24" s="591"/>
      <c r="BV24" s="591"/>
      <c r="BW24" s="591"/>
      <c r="BX24" s="591"/>
      <c r="BY24" s="591"/>
      <c r="BZ24" s="602"/>
      <c r="CA24" s="603"/>
      <c r="CB24" s="603"/>
      <c r="CC24" s="603"/>
      <c r="CD24" s="603"/>
      <c r="CE24" s="604"/>
      <c r="CF24" s="603"/>
      <c r="CG24" s="603"/>
      <c r="CH24" s="603"/>
      <c r="CI24" s="603"/>
      <c r="CJ24" s="604"/>
      <c r="CK24" s="603"/>
      <c r="CL24" s="603"/>
      <c r="CM24" s="603"/>
      <c r="CN24" s="603"/>
      <c r="CO24" s="604"/>
      <c r="CP24" s="603"/>
      <c r="CQ24" s="603"/>
      <c r="CR24" s="603"/>
      <c r="CS24" s="603"/>
      <c r="CT24" s="604"/>
      <c r="CU24" s="603"/>
      <c r="CV24" s="605"/>
      <c r="CW24" s="605"/>
      <c r="CX24" s="605"/>
      <c r="CY24" s="604"/>
      <c r="CZ24" s="605"/>
      <c r="DA24" s="605"/>
      <c r="DB24" s="605"/>
      <c r="DC24" s="605"/>
      <c r="DD24" s="604"/>
      <c r="DE24" s="605"/>
      <c r="DF24" s="605"/>
      <c r="DG24" s="605"/>
      <c r="DH24" s="605"/>
      <c r="DI24" s="604"/>
      <c r="DJ24" s="605"/>
      <c r="DK24" s="605"/>
      <c r="DL24" s="605"/>
      <c r="DM24" s="605"/>
      <c r="DN24" s="604"/>
      <c r="DO24" s="605"/>
      <c r="DP24" s="605"/>
      <c r="DQ24" s="605"/>
      <c r="DR24" s="605"/>
      <c r="DS24" s="604"/>
      <c r="DT24" s="605"/>
      <c r="DU24" s="605"/>
      <c r="DV24" s="605"/>
      <c r="DW24" s="605"/>
      <c r="DX24" s="604"/>
      <c r="DY24" s="605"/>
      <c r="DZ24" s="605"/>
      <c r="EA24" s="605"/>
      <c r="EB24" s="605"/>
      <c r="EC24" s="604"/>
      <c r="ED24" s="605"/>
      <c r="EE24" s="605"/>
      <c r="EF24" s="605"/>
      <c r="EG24" s="605"/>
      <c r="EH24" s="604"/>
      <c r="EI24" s="605"/>
      <c r="EJ24" s="605"/>
      <c r="EK24" s="605"/>
      <c r="EL24" s="605"/>
      <c r="EM24" s="604"/>
      <c r="EN24" s="605"/>
      <c r="EO24" s="605"/>
      <c r="EP24" s="605"/>
      <c r="EQ24" s="605"/>
      <c r="ER24" s="604"/>
      <c r="ES24" s="605"/>
      <c r="ET24" s="605"/>
      <c r="EU24" s="605"/>
      <c r="EV24" s="605"/>
      <c r="EW24" s="1210"/>
      <c r="EX24" s="605"/>
      <c r="EY24" s="605"/>
      <c r="EZ24" s="605"/>
      <c r="FA24" s="605"/>
      <c r="FB24" s="1210"/>
      <c r="FC24" s="605"/>
      <c r="FD24" s="605"/>
      <c r="FE24" s="605"/>
      <c r="FF24" s="605"/>
      <c r="FG24" s="1210"/>
      <c r="FH24" s="605"/>
      <c r="FI24" s="605"/>
      <c r="FJ24" s="605"/>
      <c r="FK24" s="605"/>
      <c r="FL24" s="1210"/>
    </row>
    <row r="25" spans="1:168" s="93" customFormat="1" ht="11.25" customHeight="1">
      <c r="A25" s="461"/>
      <c r="BZ25" s="598"/>
      <c r="CA25" s="600"/>
      <c r="CB25" s="600"/>
      <c r="CC25" s="600"/>
      <c r="CD25" s="600"/>
      <c r="CE25" s="601"/>
      <c r="CF25" s="600"/>
      <c r="CG25" s="600"/>
      <c r="CH25" s="600"/>
      <c r="CI25" s="600"/>
      <c r="CJ25" s="601"/>
      <c r="CK25" s="600"/>
      <c r="CL25" s="600"/>
      <c r="CM25" s="600"/>
      <c r="CN25" s="600"/>
      <c r="CO25" s="601"/>
      <c r="CP25" s="600"/>
      <c r="CQ25" s="600"/>
      <c r="CR25" s="600"/>
      <c r="CS25" s="600"/>
      <c r="CT25" s="601"/>
      <c r="CU25" s="600"/>
      <c r="CV25" s="599"/>
      <c r="CW25" s="599"/>
      <c r="CX25" s="599"/>
      <c r="CY25" s="601"/>
      <c r="CZ25" s="599"/>
      <c r="DA25" s="599"/>
      <c r="DB25" s="599"/>
      <c r="DC25" s="599"/>
      <c r="DD25" s="601"/>
      <c r="DE25" s="599"/>
      <c r="DF25" s="599"/>
      <c r="DG25" s="599"/>
      <c r="DH25" s="599"/>
      <c r="DI25" s="601"/>
      <c r="DJ25" s="599"/>
      <c r="DK25" s="599"/>
      <c r="DL25" s="599"/>
      <c r="DM25" s="599"/>
      <c r="DN25" s="601"/>
      <c r="DO25" s="599"/>
      <c r="DP25" s="599"/>
      <c r="DQ25" s="599"/>
      <c r="DR25" s="599"/>
      <c r="DS25" s="601"/>
      <c r="DT25" s="599"/>
      <c r="DU25" s="599"/>
      <c r="DV25" s="599"/>
      <c r="DW25" s="599"/>
      <c r="DX25" s="601"/>
      <c r="DY25" s="599"/>
      <c r="DZ25" s="599"/>
      <c r="EA25" s="599"/>
      <c r="EB25" s="599"/>
      <c r="EC25" s="601"/>
      <c r="ED25" s="599"/>
      <c r="EE25" s="599"/>
      <c r="EF25" s="599"/>
      <c r="EG25" s="599"/>
      <c r="EH25" s="601"/>
      <c r="EI25" s="599"/>
      <c r="EJ25" s="599"/>
      <c r="EK25" s="599"/>
      <c r="EL25" s="599"/>
      <c r="EM25" s="601"/>
      <c r="EN25" s="599"/>
      <c r="EO25" s="599"/>
      <c r="EP25" s="599"/>
      <c r="EQ25" s="599"/>
      <c r="ER25" s="601"/>
      <c r="ES25" s="599"/>
      <c r="ET25" s="599"/>
      <c r="EU25" s="599"/>
      <c r="EV25" s="599"/>
      <c r="EW25" s="585"/>
      <c r="EX25" s="599"/>
      <c r="EY25" s="599"/>
      <c r="EZ25" s="599"/>
      <c r="FA25" s="599"/>
      <c r="FB25" s="585"/>
      <c r="FC25" s="599"/>
      <c r="FD25" s="599"/>
      <c r="FE25" s="599"/>
      <c r="FF25" s="599"/>
      <c r="FG25" s="585"/>
      <c r="FH25" s="599"/>
      <c r="FI25" s="599"/>
      <c r="FJ25" s="599"/>
      <c r="FK25" s="599"/>
      <c r="FL25" s="585"/>
    </row>
    <row r="26" spans="1:168" s="93" customFormat="1" ht="11.25" customHeight="1">
      <c r="A26" s="96" t="s">
        <v>648</v>
      </c>
      <c r="BZ26" s="598"/>
      <c r="CA26" s="244">
        <v>907</v>
      </c>
      <c r="CB26" s="244">
        <f t="shared" ref="CB26:CD27" si="14">CA34</f>
        <v>993</v>
      </c>
      <c r="CC26" s="244">
        <f t="shared" si="14"/>
        <v>1079</v>
      </c>
      <c r="CD26" s="244">
        <f t="shared" si="14"/>
        <v>1165</v>
      </c>
      <c r="CE26" s="576">
        <f>CA26</f>
        <v>907</v>
      </c>
      <c r="CF26" s="244">
        <f>CD34</f>
        <v>1251</v>
      </c>
      <c r="CG26" s="244">
        <f t="shared" ref="CG26:CS26" si="15">CF34</f>
        <v>1273.5</v>
      </c>
      <c r="CH26" s="244">
        <f t="shared" si="15"/>
        <v>1296</v>
      </c>
      <c r="CI26" s="244">
        <f t="shared" si="15"/>
        <v>1318.5</v>
      </c>
      <c r="CJ26" s="576">
        <f>CF26</f>
        <v>1251</v>
      </c>
      <c r="CK26" s="244">
        <f>CI34</f>
        <v>1341</v>
      </c>
      <c r="CL26" s="244">
        <f t="shared" si="15"/>
        <v>1382.75</v>
      </c>
      <c r="CM26" s="244">
        <f t="shared" si="15"/>
        <v>1424.5</v>
      </c>
      <c r="CN26" s="244">
        <f t="shared" si="15"/>
        <v>1466.25</v>
      </c>
      <c r="CO26" s="576">
        <f>CK26</f>
        <v>1341</v>
      </c>
      <c r="CP26" s="244">
        <f>CN34</f>
        <v>1508</v>
      </c>
      <c r="CQ26" s="244">
        <f t="shared" si="15"/>
        <v>1651.75</v>
      </c>
      <c r="CR26" s="244">
        <f t="shared" si="15"/>
        <v>1795.5</v>
      </c>
      <c r="CS26" s="244">
        <f t="shared" si="15"/>
        <v>1939.25</v>
      </c>
      <c r="CT26" s="576">
        <f>CP26</f>
        <v>1508</v>
      </c>
      <c r="CU26" s="244">
        <f>CS34</f>
        <v>2083</v>
      </c>
      <c r="CV26" s="244">
        <f t="shared" ref="CV26:CX27" si="16">CU34</f>
        <v>3025</v>
      </c>
      <c r="CW26" s="244">
        <f t="shared" si="16"/>
        <v>3116</v>
      </c>
      <c r="CX26" s="244">
        <f t="shared" si="16"/>
        <v>3160</v>
      </c>
      <c r="CY26" s="576">
        <f>CU26</f>
        <v>2083</v>
      </c>
      <c r="CZ26" s="244">
        <f>CX34</f>
        <v>3630</v>
      </c>
      <c r="DA26" s="244">
        <f t="shared" ref="DA26:DC27" si="17">CZ34</f>
        <v>3693</v>
      </c>
      <c r="DB26" s="244">
        <f t="shared" si="17"/>
        <v>3890</v>
      </c>
      <c r="DC26" s="244">
        <f t="shared" si="17"/>
        <v>3890</v>
      </c>
      <c r="DD26" s="576">
        <f>CZ26</f>
        <v>3630</v>
      </c>
      <c r="DE26" s="244">
        <f>DC34</f>
        <v>4040</v>
      </c>
      <c r="DF26" s="244">
        <f>DD34</f>
        <v>4040</v>
      </c>
      <c r="DG26" s="244">
        <f>DF34</f>
        <v>3807</v>
      </c>
      <c r="DH26" s="244">
        <f>DG34</f>
        <v>3940</v>
      </c>
      <c r="DI26" s="576">
        <f>DE26</f>
        <v>4040</v>
      </c>
      <c r="DJ26" s="244">
        <f t="shared" ref="DJ26:DL27" si="18">DH34</f>
        <v>3940</v>
      </c>
      <c r="DK26" s="244">
        <f t="shared" si="18"/>
        <v>3940</v>
      </c>
      <c r="DL26" s="244">
        <f t="shared" si="18"/>
        <v>3940</v>
      </c>
      <c r="DM26" s="244">
        <f>DL34</f>
        <v>3894</v>
      </c>
      <c r="DN26" s="576">
        <f>DJ26</f>
        <v>3940</v>
      </c>
      <c r="DO26" s="244">
        <f>DM34</f>
        <v>3895</v>
      </c>
      <c r="DP26" s="244">
        <f t="shared" ref="DP26:DR27" si="19">DO34</f>
        <v>4332.5</v>
      </c>
      <c r="DQ26" s="244">
        <f t="shared" si="19"/>
        <v>6057.9</v>
      </c>
      <c r="DR26" s="244">
        <f t="shared" si="19"/>
        <v>6099.9</v>
      </c>
      <c r="DS26" s="576">
        <f>DO26</f>
        <v>3895</v>
      </c>
      <c r="DT26" s="244">
        <f>DR34</f>
        <v>6362.9</v>
      </c>
      <c r="DU26" s="244">
        <f t="shared" ref="DU26:DW27" si="20">DT34</f>
        <v>6935.4</v>
      </c>
      <c r="DV26" s="244">
        <f t="shared" si="20"/>
        <v>6997.5999999999995</v>
      </c>
      <c r="DW26" s="244">
        <f t="shared" si="20"/>
        <v>7051.5999999999995</v>
      </c>
      <c r="DX26" s="576">
        <f>DT26</f>
        <v>6362.9</v>
      </c>
      <c r="DY26" s="244">
        <f>DW34</f>
        <v>7061.5999999999995</v>
      </c>
      <c r="DZ26" s="244">
        <f t="shared" ref="DZ26:EB27" si="21">DY34</f>
        <v>7069.0999999999995</v>
      </c>
      <c r="EA26" s="244">
        <f t="shared" si="21"/>
        <v>7096.9</v>
      </c>
      <c r="EB26" s="244">
        <f t="shared" si="21"/>
        <v>7175.4</v>
      </c>
      <c r="EC26" s="576">
        <f>DY26</f>
        <v>7061.5999999999995</v>
      </c>
      <c r="ED26" s="244">
        <f>EB34</f>
        <v>9988.4</v>
      </c>
      <c r="EE26" s="244">
        <f t="shared" ref="EE26:EG27" si="22">ED34</f>
        <v>10058.9</v>
      </c>
      <c r="EF26" s="244">
        <f t="shared" si="22"/>
        <v>11455.9</v>
      </c>
      <c r="EG26" s="244">
        <f t="shared" si="22"/>
        <v>11536.9</v>
      </c>
      <c r="EH26" s="576">
        <f>ED26</f>
        <v>9988.4</v>
      </c>
      <c r="EI26" s="244">
        <f>EG34</f>
        <v>11849.9</v>
      </c>
      <c r="EJ26" s="244">
        <f t="shared" ref="EJ26:EL27" si="23">EI34</f>
        <v>12044.9</v>
      </c>
      <c r="EK26" s="244">
        <f t="shared" si="23"/>
        <v>12235.4</v>
      </c>
      <c r="EL26" s="244">
        <f t="shared" si="23"/>
        <v>12514.9</v>
      </c>
      <c r="EM26" s="576">
        <f>EI26</f>
        <v>11849.9</v>
      </c>
      <c r="EN26" s="244">
        <f>EL34</f>
        <v>12546.4</v>
      </c>
      <c r="EO26" s="244">
        <f t="shared" ref="EO26:EQ27" si="24">EN34</f>
        <v>12558.4</v>
      </c>
      <c r="EP26" s="244">
        <f t="shared" si="24"/>
        <v>20425.399999999998</v>
      </c>
      <c r="EQ26" s="244">
        <f t="shared" si="24"/>
        <v>20826.399999999998</v>
      </c>
      <c r="ER26" s="576">
        <f>EN26</f>
        <v>12546.4</v>
      </c>
      <c r="ES26" s="244">
        <f>EQ34</f>
        <v>21005.399999999998</v>
      </c>
      <c r="ET26" s="244">
        <f t="shared" ref="ET26:EU27" si="25">ES34</f>
        <v>21094.899999999998</v>
      </c>
      <c r="EU26" s="244">
        <f t="shared" si="25"/>
        <v>21108.399999999998</v>
      </c>
      <c r="EV26" s="244">
        <f t="shared" ref="EU26:EV27" si="26">EU34</f>
        <v>21232.399999999998</v>
      </c>
      <c r="EW26" s="576">
        <f>ES26</f>
        <v>21005.399999999998</v>
      </c>
      <c r="EX26" s="244">
        <f>EV34</f>
        <v>21356.399999999998</v>
      </c>
      <c r="EY26" s="244">
        <f t="shared" ref="EY26:FA27" si="27">EX34</f>
        <v>21556.399999999998</v>
      </c>
      <c r="EZ26" s="244">
        <f t="shared" si="27"/>
        <v>21756.399999999998</v>
      </c>
      <c r="FA26" s="244">
        <f t="shared" si="27"/>
        <v>21956.399999999998</v>
      </c>
      <c r="FB26" s="576">
        <f>EX26</f>
        <v>21356.399999999998</v>
      </c>
      <c r="FC26" s="244">
        <f>FA34</f>
        <v>22156.399999999998</v>
      </c>
      <c r="FD26" s="244">
        <f t="shared" ref="FD26:FD27" si="28">FC34</f>
        <v>22356.399999999998</v>
      </c>
      <c r="FE26" s="244">
        <f t="shared" ref="FE26:FE27" si="29">FD34</f>
        <v>22556.399999999998</v>
      </c>
      <c r="FF26" s="244">
        <f t="shared" ref="FF26:FF27" si="30">FE34</f>
        <v>22756.399999999998</v>
      </c>
      <c r="FG26" s="576">
        <f>FC26</f>
        <v>22156.399999999998</v>
      </c>
      <c r="FH26" s="244">
        <f>FF34</f>
        <v>22956.399999999998</v>
      </c>
      <c r="FI26" s="244">
        <f t="shared" ref="FI26:FI27" si="31">FH34</f>
        <v>23156.399999999998</v>
      </c>
      <c r="FJ26" s="244">
        <f t="shared" ref="FJ26:FJ27" si="32">FI34</f>
        <v>23356.399999999998</v>
      </c>
      <c r="FK26" s="244">
        <f t="shared" ref="FK26:FK27" si="33">FJ34</f>
        <v>23556.399999999998</v>
      </c>
      <c r="FL26" s="576">
        <f>FH26</f>
        <v>22956.399999999998</v>
      </c>
    </row>
    <row r="27" spans="1:168" s="93" customFormat="1" ht="11.25" customHeight="1">
      <c r="A27" s="93" t="s">
        <v>649</v>
      </c>
      <c r="BZ27" s="598"/>
      <c r="CA27" s="244"/>
      <c r="CB27" s="244">
        <f t="shared" si="14"/>
        <v>378</v>
      </c>
      <c r="CC27" s="244">
        <f t="shared" si="14"/>
        <v>345</v>
      </c>
      <c r="CD27" s="244">
        <f t="shared" si="14"/>
        <v>599</v>
      </c>
      <c r="CE27" s="576">
        <f>CA27</f>
        <v>0</v>
      </c>
      <c r="CF27" s="244">
        <f>CD35</f>
        <v>569</v>
      </c>
      <c r="CG27" s="244">
        <f t="shared" ref="CG27:CS27" si="34">CF35</f>
        <v>534</v>
      </c>
      <c r="CH27" s="244">
        <f t="shared" si="34"/>
        <v>494</v>
      </c>
      <c r="CI27" s="244">
        <f t="shared" si="34"/>
        <v>468</v>
      </c>
      <c r="CJ27" s="576">
        <f>CF27</f>
        <v>569</v>
      </c>
      <c r="CK27" s="244">
        <f>CI35</f>
        <v>499</v>
      </c>
      <c r="CL27" s="244">
        <f t="shared" si="34"/>
        <v>502</v>
      </c>
      <c r="CM27" s="244">
        <f t="shared" si="34"/>
        <v>466</v>
      </c>
      <c r="CN27" s="244">
        <f t="shared" si="34"/>
        <v>461</v>
      </c>
      <c r="CO27" s="576">
        <f>CK27</f>
        <v>499</v>
      </c>
      <c r="CP27" s="244">
        <f>CN35</f>
        <v>539</v>
      </c>
      <c r="CQ27" s="244">
        <f t="shared" si="34"/>
        <v>720</v>
      </c>
      <c r="CR27" s="244">
        <f t="shared" si="34"/>
        <v>745</v>
      </c>
      <c r="CS27" s="244">
        <f t="shared" si="34"/>
        <v>699</v>
      </c>
      <c r="CT27" s="576">
        <f>CP27</f>
        <v>539</v>
      </c>
      <c r="CU27" s="244">
        <f>CS35</f>
        <v>878</v>
      </c>
      <c r="CV27" s="244">
        <f t="shared" si="16"/>
        <v>1718</v>
      </c>
      <c r="CW27" s="244">
        <f t="shared" si="16"/>
        <v>1717</v>
      </c>
      <c r="CX27" s="244">
        <f t="shared" si="16"/>
        <v>1639</v>
      </c>
      <c r="CY27" s="576">
        <f>CU27</f>
        <v>878</v>
      </c>
      <c r="CZ27" s="244">
        <f>CX35</f>
        <v>1973</v>
      </c>
      <c r="DA27" s="244">
        <f t="shared" si="17"/>
        <v>1899</v>
      </c>
      <c r="DB27" s="244">
        <f t="shared" si="17"/>
        <v>1815</v>
      </c>
      <c r="DC27" s="244">
        <f t="shared" si="17"/>
        <v>1756</v>
      </c>
      <c r="DD27" s="576">
        <f>CZ27</f>
        <v>1973</v>
      </c>
      <c r="DE27" s="244">
        <f>DC35</f>
        <v>1759</v>
      </c>
      <c r="DF27" s="244">
        <f>DD35</f>
        <v>1759</v>
      </c>
      <c r="DG27" s="244">
        <f>DF35</f>
        <v>1346</v>
      </c>
      <c r="DH27" s="244">
        <f>DG35</f>
        <v>1282</v>
      </c>
      <c r="DI27" s="576">
        <f>DE27</f>
        <v>1759</v>
      </c>
      <c r="DJ27" s="244">
        <f t="shared" si="18"/>
        <v>1158</v>
      </c>
      <c r="DK27" s="244">
        <f t="shared" si="18"/>
        <v>1158</v>
      </c>
      <c r="DL27" s="244">
        <f t="shared" si="18"/>
        <v>993.83333333333337</v>
      </c>
      <c r="DM27" s="244">
        <f>DL35</f>
        <v>840</v>
      </c>
      <c r="DN27" s="576">
        <f>DJ27</f>
        <v>1158</v>
      </c>
      <c r="DO27" s="244">
        <f>DM35</f>
        <v>744</v>
      </c>
      <c r="DP27" s="244">
        <f t="shared" si="19"/>
        <v>1019.2083333333334</v>
      </c>
      <c r="DQ27" s="244">
        <f t="shared" si="19"/>
        <v>2589.6083333333336</v>
      </c>
      <c r="DR27" s="244">
        <f t="shared" si="19"/>
        <v>2489.6083333333336</v>
      </c>
      <c r="DS27" s="576">
        <f>DO27</f>
        <v>744</v>
      </c>
      <c r="DT27" s="244">
        <f>DR35</f>
        <v>3170</v>
      </c>
      <c r="DU27" s="244">
        <f t="shared" si="20"/>
        <v>3477.3791666666666</v>
      </c>
      <c r="DV27" s="244">
        <f t="shared" si="20"/>
        <v>3384.5791666666664</v>
      </c>
      <c r="DW27" s="244">
        <f t="shared" si="20"/>
        <v>3251.5791666666664</v>
      </c>
      <c r="DX27" s="576">
        <f>DT27</f>
        <v>3170</v>
      </c>
      <c r="DY27" s="244">
        <f>DW35</f>
        <v>3074.5791666666664</v>
      </c>
      <c r="DZ27" s="244">
        <f t="shared" si="21"/>
        <v>2787.8458333333333</v>
      </c>
      <c r="EA27" s="244">
        <f t="shared" si="21"/>
        <v>2649.6458333333335</v>
      </c>
      <c r="EB27" s="244">
        <f t="shared" si="21"/>
        <v>2558.1458333333335</v>
      </c>
      <c r="EC27" s="576">
        <f>DY27</f>
        <v>3074.5791666666664</v>
      </c>
      <c r="ED27" s="244">
        <f>EB35</f>
        <v>5192.1458333333339</v>
      </c>
      <c r="EE27" s="244">
        <f t="shared" si="22"/>
        <v>5012.9358333333339</v>
      </c>
      <c r="EF27" s="244">
        <f t="shared" si="22"/>
        <v>6158.463333333334</v>
      </c>
      <c r="EG27" s="244">
        <f t="shared" si="22"/>
        <v>6069.463333333334</v>
      </c>
      <c r="EH27" s="576">
        <f>ED27</f>
        <v>5192.1458333333339</v>
      </c>
      <c r="EI27" s="244">
        <f>EG35</f>
        <v>6094.0408333333344</v>
      </c>
      <c r="EJ27" s="244">
        <f t="shared" si="23"/>
        <v>5992.793333333334</v>
      </c>
      <c r="EK27" s="244">
        <f t="shared" si="23"/>
        <v>5882.1708333333336</v>
      </c>
      <c r="EL27" s="244">
        <f t="shared" si="23"/>
        <v>5855.7858333333334</v>
      </c>
      <c r="EM27" s="576">
        <f>EI27</f>
        <v>6094.0408333333344</v>
      </c>
      <c r="EN27" s="244">
        <f>EL35</f>
        <v>5574.413333333333</v>
      </c>
      <c r="EO27" s="244">
        <f t="shared" ref="EO27" si="35">EN35</f>
        <v>5272.7533333333331</v>
      </c>
      <c r="EP27" s="244">
        <f t="shared" si="24"/>
        <v>12825.793333333333</v>
      </c>
      <c r="EQ27" s="244">
        <f t="shared" si="24"/>
        <v>12716.158333333333</v>
      </c>
      <c r="ER27" s="576">
        <f>EN27</f>
        <v>5574.413333333333</v>
      </c>
      <c r="ES27" s="244">
        <f>EQ35</f>
        <v>12374.498333333333</v>
      </c>
      <c r="ET27" s="244">
        <f t="shared" si="25"/>
        <v>11938.863333333333</v>
      </c>
      <c r="EU27" s="244">
        <f t="shared" si="25"/>
        <v>11424.990833333333</v>
      </c>
      <c r="EV27" s="244">
        <f t="shared" si="26"/>
        <v>11021.280833333334</v>
      </c>
      <c r="EW27" s="576">
        <f>ES27</f>
        <v>12374.498333333333</v>
      </c>
      <c r="EX27" s="244">
        <f>EV35</f>
        <v>10614.470833333335</v>
      </c>
      <c r="EY27" s="244">
        <f t="shared" si="27"/>
        <v>10280.560833333335</v>
      </c>
      <c r="EZ27" s="244">
        <f t="shared" si="27"/>
        <v>9941.650833333335</v>
      </c>
      <c r="FA27" s="244">
        <f t="shared" si="27"/>
        <v>9597.7408333333351</v>
      </c>
      <c r="FB27" s="576">
        <f>EX27</f>
        <v>10614.470833333335</v>
      </c>
      <c r="FC27" s="244">
        <f>FA35</f>
        <v>9248.8308333333352</v>
      </c>
      <c r="FD27" s="244">
        <f t="shared" si="28"/>
        <v>8894.9208333333354</v>
      </c>
      <c r="FE27" s="244">
        <f t="shared" si="29"/>
        <v>8536.0108333333355</v>
      </c>
      <c r="FF27" s="244">
        <f t="shared" si="30"/>
        <v>8172.1008333333357</v>
      </c>
      <c r="FG27" s="576">
        <f>FC27</f>
        <v>9248.8308333333352</v>
      </c>
      <c r="FH27" s="244">
        <f>FF35</f>
        <v>7803.1908333333358</v>
      </c>
      <c r="FI27" s="244">
        <f t="shared" si="31"/>
        <v>7429.280833333336</v>
      </c>
      <c r="FJ27" s="244">
        <f t="shared" si="32"/>
        <v>7050.3708333333361</v>
      </c>
      <c r="FK27" s="244">
        <f t="shared" si="33"/>
        <v>6666.4608333333363</v>
      </c>
      <c r="FL27" s="576">
        <f>FH27</f>
        <v>7803.1908333333358</v>
      </c>
    </row>
    <row r="28" spans="1:168" s="93" customFormat="1" ht="11.25" customHeight="1">
      <c r="A28" s="577" t="s">
        <v>701</v>
      </c>
      <c r="BZ28" s="598"/>
      <c r="CA28" s="600"/>
      <c r="CB28" s="600"/>
      <c r="CC28" s="600"/>
      <c r="CD28" s="600"/>
      <c r="CE28" s="601"/>
      <c r="CF28" s="600"/>
      <c r="CG28" s="600"/>
      <c r="CH28" s="600"/>
      <c r="CI28" s="600"/>
      <c r="CJ28" s="601"/>
      <c r="CK28" s="600"/>
      <c r="CL28" s="600"/>
      <c r="CM28" s="600"/>
      <c r="CN28" s="600"/>
      <c r="CO28" s="601"/>
      <c r="CP28" s="600"/>
      <c r="CQ28" s="600"/>
      <c r="CR28" s="600"/>
      <c r="CS28" s="600"/>
      <c r="CT28" s="601"/>
      <c r="CU28" s="600"/>
      <c r="CV28" s="599"/>
      <c r="CW28" s="599"/>
      <c r="CX28" s="599"/>
      <c r="CY28" s="601"/>
      <c r="CZ28" s="599"/>
      <c r="DA28" s="599"/>
      <c r="DB28" s="599"/>
      <c r="DC28" s="599"/>
      <c r="DD28" s="601"/>
      <c r="DE28" s="599"/>
      <c r="DF28" s="599"/>
      <c r="DG28" s="599"/>
      <c r="DH28" s="599"/>
      <c r="DI28" s="601"/>
      <c r="DJ28" s="599"/>
      <c r="DK28" s="599"/>
      <c r="DL28" s="599"/>
      <c r="DM28" s="599"/>
      <c r="DN28" s="601"/>
      <c r="DO28" s="599"/>
      <c r="DP28" s="599"/>
      <c r="DQ28" s="599"/>
      <c r="DR28" s="599"/>
      <c r="DS28" s="601"/>
      <c r="DT28" s="599"/>
      <c r="DU28" s="599"/>
      <c r="DV28" s="599"/>
      <c r="DW28" s="599"/>
      <c r="DX28" s="601"/>
      <c r="DY28" s="599"/>
      <c r="DZ28" s="599"/>
      <c r="EA28" s="599"/>
      <c r="EB28" s="599"/>
      <c r="EC28" s="601"/>
      <c r="ED28" s="599"/>
      <c r="EE28" s="599"/>
      <c r="EF28" s="599"/>
      <c r="EG28" s="599"/>
      <c r="EH28" s="601"/>
      <c r="EI28" s="599"/>
      <c r="EJ28" s="599"/>
      <c r="EK28" s="599"/>
      <c r="EL28" s="599"/>
      <c r="EM28" s="601"/>
      <c r="EN28" s="599"/>
      <c r="EO28" s="599"/>
      <c r="EP28" s="599"/>
      <c r="EQ28" s="599"/>
      <c r="ER28" s="601"/>
      <c r="ES28" s="599"/>
      <c r="ET28" s="599"/>
      <c r="EU28" s="599"/>
      <c r="EV28" s="599"/>
      <c r="EW28" s="585"/>
      <c r="EX28" s="599"/>
      <c r="EY28" s="599"/>
      <c r="EZ28" s="599"/>
      <c r="FA28" s="599"/>
      <c r="FB28" s="585"/>
      <c r="FC28" s="599"/>
      <c r="FD28" s="599"/>
      <c r="FE28" s="599"/>
      <c r="FF28" s="599"/>
      <c r="FG28" s="585"/>
      <c r="FH28" s="599"/>
      <c r="FI28" s="599"/>
      <c r="FJ28" s="599"/>
      <c r="FK28" s="599"/>
      <c r="FL28" s="585"/>
    </row>
    <row r="29" spans="1:168" s="93" customFormat="1" ht="11.25" customHeight="1">
      <c r="A29" s="243" t="s">
        <v>869</v>
      </c>
      <c r="BZ29" s="598"/>
      <c r="CA29" s="580">
        <f>$CE$29/4</f>
        <v>86</v>
      </c>
      <c r="CB29" s="580">
        <f>$CE$29/4</f>
        <v>86</v>
      </c>
      <c r="CC29" s="580">
        <f>$CE$29/4</f>
        <v>86</v>
      </c>
      <c r="CD29" s="580">
        <f>$CE$29/4</f>
        <v>86</v>
      </c>
      <c r="CE29" s="581">
        <f>CE34-CE26</f>
        <v>344</v>
      </c>
      <c r="CF29" s="580">
        <f>$CJ$29/4</f>
        <v>22.5</v>
      </c>
      <c r="CG29" s="580">
        <f>$CJ$29/4</f>
        <v>22.5</v>
      </c>
      <c r="CH29" s="580">
        <f>$CJ$29/4</f>
        <v>22.5</v>
      </c>
      <c r="CI29" s="580">
        <f>$CJ$29/4</f>
        <v>22.5</v>
      </c>
      <c r="CJ29" s="581">
        <f>CJ34-CJ26</f>
        <v>90</v>
      </c>
      <c r="CK29" s="580">
        <f>$CO$29/4</f>
        <v>41.75</v>
      </c>
      <c r="CL29" s="580">
        <f>$CO$29/4</f>
        <v>41.75</v>
      </c>
      <c r="CM29" s="580">
        <f>$CO$29/4</f>
        <v>41.75</v>
      </c>
      <c r="CN29" s="580">
        <f>$CO$29/4</f>
        <v>41.75</v>
      </c>
      <c r="CO29" s="581">
        <f>CO34-CO26</f>
        <v>167</v>
      </c>
      <c r="CP29" s="580">
        <f>$CT$29/4</f>
        <v>143.75</v>
      </c>
      <c r="CQ29" s="580">
        <f>$CT$29/4</f>
        <v>143.75</v>
      </c>
      <c r="CR29" s="580">
        <f>$CT$29/4</f>
        <v>143.75</v>
      </c>
      <c r="CS29" s="580">
        <f>$CT$29/4</f>
        <v>143.75</v>
      </c>
      <c r="CT29" s="581">
        <f>CT34-CT26</f>
        <v>575</v>
      </c>
      <c r="CU29" s="465">
        <f>CU34-CU26</f>
        <v>942</v>
      </c>
      <c r="CV29" s="465">
        <f>CV34-CV26</f>
        <v>91</v>
      </c>
      <c r="CW29" s="465">
        <f>CW34-CW26</f>
        <v>44</v>
      </c>
      <c r="CX29" s="465">
        <f>CX34-CX26</f>
        <v>470</v>
      </c>
      <c r="CY29" s="581">
        <f>SUM(CU29:CX29)</f>
        <v>1547</v>
      </c>
      <c r="CZ29" s="465">
        <f>CZ34-CZ26</f>
        <v>63</v>
      </c>
      <c r="DA29" s="465">
        <f>DA34-DA26</f>
        <v>197</v>
      </c>
      <c r="DB29" s="465">
        <f>DB34-DB26</f>
        <v>0</v>
      </c>
      <c r="DC29" s="465">
        <f>DC34-DC26</f>
        <v>150</v>
      </c>
      <c r="DD29" s="581">
        <f>SUM(CZ29:DC29)</f>
        <v>410</v>
      </c>
      <c r="DE29" s="465">
        <f>DE34-DE26</f>
        <v>43</v>
      </c>
      <c r="DF29" s="465">
        <f>DF34-DF26</f>
        <v>-233</v>
      </c>
      <c r="DG29" s="465">
        <f>DG69</f>
        <v>71.5</v>
      </c>
      <c r="DH29" s="465">
        <f>DH69</f>
        <v>0</v>
      </c>
      <c r="DI29" s="581">
        <f>SUM(DE29:DH29)</f>
        <v>-118.5</v>
      </c>
      <c r="DJ29" s="465">
        <f>DJ69</f>
        <v>0</v>
      </c>
      <c r="DK29" s="465">
        <f>DK34-DK26</f>
        <v>-47</v>
      </c>
      <c r="DL29" s="465">
        <f>DL34-DL26</f>
        <v>-46</v>
      </c>
      <c r="DM29" s="465">
        <f>DM69</f>
        <v>1</v>
      </c>
      <c r="DN29" s="581">
        <f>SUM(DJ29:DM29)</f>
        <v>-92</v>
      </c>
      <c r="DO29" s="465">
        <f>DO69</f>
        <v>437.5</v>
      </c>
      <c r="DP29" s="465">
        <f>DP69</f>
        <v>1725.4</v>
      </c>
      <c r="DQ29" s="465">
        <f>DQ69</f>
        <v>42</v>
      </c>
      <c r="DR29" s="465">
        <f>DR69</f>
        <v>263</v>
      </c>
      <c r="DS29" s="581">
        <f>SUM(DO29:DR29)</f>
        <v>2467.9</v>
      </c>
      <c r="DT29" s="465">
        <f>DT69</f>
        <v>572.5</v>
      </c>
      <c r="DU29" s="465">
        <f>DU69</f>
        <v>62.2</v>
      </c>
      <c r="DV29" s="465">
        <f>DV69</f>
        <v>54</v>
      </c>
      <c r="DW29" s="465">
        <f>DW69</f>
        <v>10</v>
      </c>
      <c r="DX29" s="581">
        <f>SUM(DT29:DW29)</f>
        <v>698.7</v>
      </c>
      <c r="DY29" s="465">
        <f>DY69</f>
        <v>7.5</v>
      </c>
      <c r="DZ29" s="465">
        <f>DZ69</f>
        <v>27.8</v>
      </c>
      <c r="EA29" s="465">
        <f>EA69</f>
        <v>78.5</v>
      </c>
      <c r="EB29" s="465">
        <f>EB69</f>
        <v>2813</v>
      </c>
      <c r="EC29" s="581">
        <f>SUM(DY29:EB29)</f>
        <v>2926.8</v>
      </c>
      <c r="ED29" s="465">
        <f>ED69</f>
        <v>70.5</v>
      </c>
      <c r="EE29" s="465">
        <f>EE69</f>
        <v>1397</v>
      </c>
      <c r="EF29" s="465">
        <f>EF69</f>
        <v>81</v>
      </c>
      <c r="EG29" s="465">
        <f>EG69</f>
        <v>313</v>
      </c>
      <c r="EH29" s="581">
        <f>SUM(ED29:EG29)</f>
        <v>1861.5</v>
      </c>
      <c r="EI29" s="465">
        <f>EI69</f>
        <v>195</v>
      </c>
      <c r="EJ29" s="465">
        <f>EJ69</f>
        <v>190.5</v>
      </c>
      <c r="EK29" s="465">
        <f>EK69</f>
        <v>279.5</v>
      </c>
      <c r="EL29" s="465">
        <f>EL69</f>
        <v>31.5</v>
      </c>
      <c r="EM29" s="581">
        <f>SUM(EI29:EL29)</f>
        <v>696.5</v>
      </c>
      <c r="EN29" s="465">
        <f>EN69</f>
        <v>12</v>
      </c>
      <c r="EO29" s="465">
        <f>EO69</f>
        <v>7866.9999999999991</v>
      </c>
      <c r="EP29" s="465">
        <f>EP69</f>
        <v>401</v>
      </c>
      <c r="EQ29" s="465">
        <f>EQ69</f>
        <v>179</v>
      </c>
      <c r="ER29" s="581">
        <f>SUM(EN29:EQ29)</f>
        <v>8459</v>
      </c>
      <c r="ES29" s="465">
        <f>ES69</f>
        <v>89.5</v>
      </c>
      <c r="ET29" s="465">
        <f>ET69</f>
        <v>13.5</v>
      </c>
      <c r="EU29" s="465">
        <f>EU69</f>
        <v>124</v>
      </c>
      <c r="EV29" s="1202">
        <f>EV69</f>
        <v>124</v>
      </c>
      <c r="EW29" s="581">
        <f>SUM(ES29:EV29)</f>
        <v>351</v>
      </c>
      <c r="EX29" s="1202">
        <f>EX69</f>
        <v>200</v>
      </c>
      <c r="EY29" s="1202">
        <f>EY69</f>
        <v>200</v>
      </c>
      <c r="EZ29" s="1202">
        <f>EZ69</f>
        <v>200</v>
      </c>
      <c r="FA29" s="1202">
        <f>FA69</f>
        <v>200</v>
      </c>
      <c r="FB29" s="581">
        <f>SUM(EX29:FA29)</f>
        <v>800</v>
      </c>
      <c r="FC29" s="1202">
        <f>FC69</f>
        <v>200</v>
      </c>
      <c r="FD29" s="1202">
        <f>FD69</f>
        <v>200</v>
      </c>
      <c r="FE29" s="1202">
        <f>FE69</f>
        <v>200</v>
      </c>
      <c r="FF29" s="1202">
        <f>FF69</f>
        <v>200</v>
      </c>
      <c r="FG29" s="581">
        <f>SUM(FC29:FF29)</f>
        <v>800</v>
      </c>
      <c r="FH29" s="1202">
        <f>FH69</f>
        <v>200</v>
      </c>
      <c r="FI29" s="1202">
        <f>FI69</f>
        <v>200</v>
      </c>
      <c r="FJ29" s="1202">
        <f>FJ69</f>
        <v>200</v>
      </c>
      <c r="FK29" s="1202">
        <f>FK69</f>
        <v>200</v>
      </c>
      <c r="FL29" s="581">
        <f>SUM(FH29:FK29)</f>
        <v>800</v>
      </c>
    </row>
    <row r="30" spans="1:168" s="93" customFormat="1" ht="11.25" customHeight="1">
      <c r="A30" s="577" t="s">
        <v>650</v>
      </c>
      <c r="BZ30" s="598"/>
      <c r="CA30" s="580"/>
      <c r="CB30" s="580"/>
      <c r="CC30" s="580"/>
      <c r="CD30" s="580"/>
      <c r="CE30" s="581"/>
      <c r="CF30" s="580"/>
      <c r="CG30" s="580"/>
      <c r="CH30" s="580"/>
      <c r="CI30" s="580"/>
      <c r="CJ30" s="581"/>
      <c r="CK30" s="580"/>
      <c r="CL30" s="580"/>
      <c r="CM30" s="580"/>
      <c r="CN30" s="580"/>
      <c r="CO30" s="581"/>
      <c r="CP30" s="580"/>
      <c r="CQ30" s="580"/>
      <c r="CR30" s="580"/>
      <c r="CS30" s="580"/>
      <c r="CT30" s="581"/>
      <c r="CU30" s="606"/>
      <c r="CV30" s="606"/>
      <c r="CW30" s="606"/>
      <c r="CX30" s="606"/>
      <c r="CY30" s="581"/>
      <c r="CZ30" s="606"/>
      <c r="DA30" s="606"/>
      <c r="DB30" s="606"/>
      <c r="DC30" s="606"/>
      <c r="DD30" s="581"/>
      <c r="DE30" s="606"/>
      <c r="DF30" s="606"/>
      <c r="DG30" s="606"/>
      <c r="DH30" s="606"/>
      <c r="DI30" s="581"/>
      <c r="DJ30" s="606"/>
      <c r="DK30" s="606"/>
      <c r="DL30" s="606"/>
      <c r="DM30" s="606"/>
      <c r="DN30" s="581"/>
      <c r="DO30" s="606"/>
      <c r="DP30" s="606"/>
      <c r="DQ30" s="606"/>
      <c r="DR30" s="606"/>
      <c r="DS30" s="581"/>
      <c r="DT30" s="606"/>
      <c r="DU30" s="606"/>
      <c r="DV30" s="606"/>
      <c r="DW30" s="606"/>
      <c r="DX30" s="581"/>
      <c r="DY30" s="606"/>
      <c r="DZ30" s="606"/>
      <c r="EA30" s="606"/>
      <c r="EB30" s="606"/>
      <c r="EC30" s="581"/>
      <c r="ED30" s="606"/>
      <c r="EE30" s="606"/>
      <c r="EF30" s="606"/>
      <c r="EG30" s="606"/>
      <c r="EH30" s="581"/>
      <c r="EI30" s="606"/>
      <c r="EJ30" s="606"/>
      <c r="EK30" s="606"/>
      <c r="EL30" s="606"/>
      <c r="EM30" s="581"/>
      <c r="EN30" s="606"/>
      <c r="EO30" s="606"/>
      <c r="EP30" s="606"/>
      <c r="EQ30" s="606"/>
      <c r="ER30" s="581"/>
      <c r="ES30" s="606"/>
      <c r="ET30" s="606"/>
      <c r="EU30" s="606"/>
      <c r="EV30" s="1211"/>
      <c r="EW30" s="581"/>
      <c r="EX30" s="1211"/>
      <c r="EY30" s="1211"/>
      <c r="EZ30" s="1211"/>
      <c r="FA30" s="1211"/>
      <c r="FB30" s="581"/>
      <c r="FC30" s="1211"/>
      <c r="FD30" s="1211"/>
      <c r="FE30" s="1211"/>
      <c r="FF30" s="1211"/>
      <c r="FG30" s="581"/>
      <c r="FH30" s="1211"/>
      <c r="FI30" s="1211"/>
      <c r="FJ30" s="1211"/>
      <c r="FK30" s="1211"/>
      <c r="FL30" s="581"/>
    </row>
    <row r="31" spans="1:168" s="93" customFormat="1" ht="11.25" customHeight="1">
      <c r="A31" s="243" t="s">
        <v>234</v>
      </c>
      <c r="BZ31" s="598"/>
      <c r="CA31" s="580">
        <f>$CE$31/4</f>
        <v>-42.5</v>
      </c>
      <c r="CB31" s="580">
        <f>$CE$31/4</f>
        <v>-42.5</v>
      </c>
      <c r="CC31" s="580">
        <f>$CE$31/4</f>
        <v>-42.5</v>
      </c>
      <c r="CD31" s="580">
        <f>$CE$31/4</f>
        <v>-42.5</v>
      </c>
      <c r="CE31" s="581">
        <v>-170</v>
      </c>
      <c r="CF31" s="580">
        <f>$CJ$31/4</f>
        <v>-40.25</v>
      </c>
      <c r="CG31" s="580">
        <f>$CJ$31/4</f>
        <v>-40.25</v>
      </c>
      <c r="CH31" s="580">
        <f>$CJ$31/4</f>
        <v>-40.25</v>
      </c>
      <c r="CI31" s="580">
        <f>$CJ$31/4</f>
        <v>-40.25</v>
      </c>
      <c r="CJ31" s="581">
        <v>-161</v>
      </c>
      <c r="CK31" s="580">
        <f>$CO$31/4</f>
        <v>-31.75</v>
      </c>
      <c r="CL31" s="580">
        <f>$CO$31/4</f>
        <v>-31.75</v>
      </c>
      <c r="CM31" s="580">
        <f>$CO$31/4</f>
        <v>-31.75</v>
      </c>
      <c r="CN31" s="580">
        <f>$CO$31/4</f>
        <v>-31.75</v>
      </c>
      <c r="CO31" s="581">
        <v>-127</v>
      </c>
      <c r="CP31" s="580">
        <f>$CT$31/4</f>
        <v>-59</v>
      </c>
      <c r="CQ31" s="580">
        <f>$CT$31/4</f>
        <v>-59</v>
      </c>
      <c r="CR31" s="580">
        <f>$CT$31/4</f>
        <v>-59</v>
      </c>
      <c r="CS31" s="580">
        <f>$CT$31/4</f>
        <v>-59</v>
      </c>
      <c r="CT31" s="581">
        <v>-236</v>
      </c>
      <c r="CU31" s="579">
        <v>-102</v>
      </c>
      <c r="CV31" s="579">
        <v>-112</v>
      </c>
      <c r="CW31" s="579">
        <v>-115</v>
      </c>
      <c r="CX31" s="579">
        <v>-118</v>
      </c>
      <c r="CY31" s="581">
        <f>SUM(CU31:CX31)</f>
        <v>-447</v>
      </c>
      <c r="CZ31" s="579">
        <v>-140</v>
      </c>
      <c r="DA31" s="579">
        <v>-145</v>
      </c>
      <c r="DB31" s="579">
        <v>-156</v>
      </c>
      <c r="DC31" s="579">
        <f>-591-DB31-DA31-CZ31</f>
        <v>-150</v>
      </c>
      <c r="DD31" s="581">
        <f>SUM(CZ31:DC31)</f>
        <v>-591</v>
      </c>
      <c r="DE31" s="579">
        <v>-149</v>
      </c>
      <c r="DF31" s="579">
        <v>-169</v>
      </c>
      <c r="DG31" s="579">
        <v>-198</v>
      </c>
      <c r="DH31" s="465">
        <f>-(DH26/4)/DH38</f>
        <v>-164.16666666666666</v>
      </c>
      <c r="DI31" s="581">
        <f>SUM(DE31:DH31)</f>
        <v>-680.16666666666663</v>
      </c>
      <c r="DJ31" s="465">
        <f>-(DJ26/4)/DJ38</f>
        <v>-164.16666666666666</v>
      </c>
      <c r="DK31" s="579">
        <v>-126</v>
      </c>
      <c r="DL31" s="579">
        <v>-125</v>
      </c>
      <c r="DM31" s="465">
        <f>-(DM26/4)/DM38</f>
        <v>-162.25</v>
      </c>
      <c r="DN31" s="581">
        <f>SUM(DJ31:DM31)</f>
        <v>-577.41666666666663</v>
      </c>
      <c r="DO31" s="465">
        <f>-(DO26/4)/DO38</f>
        <v>-162.29166666666666</v>
      </c>
      <c r="DP31" s="465">
        <v>-155</v>
      </c>
      <c r="DQ31" s="465">
        <v>-142</v>
      </c>
      <c r="DR31" s="465">
        <f>-(DR26/4)/DR38</f>
        <v>-254.16249999999999</v>
      </c>
      <c r="DS31" s="581">
        <f>SUM(DO31:DR31)</f>
        <v>-713.45416666666665</v>
      </c>
      <c r="DT31" s="465">
        <f>-(DT26/4)/DT38</f>
        <v>-265.12083333333334</v>
      </c>
      <c r="DU31" s="465">
        <v>-155</v>
      </c>
      <c r="DV31" s="465">
        <v>-187</v>
      </c>
      <c r="DW31" s="900">
        <v>-187</v>
      </c>
      <c r="DX31" s="581">
        <f>SUM(DT31:DW31)</f>
        <v>-794.12083333333339</v>
      </c>
      <c r="DY31" s="465">
        <f>-(DY26/4)/DY38</f>
        <v>-294.23333333333329</v>
      </c>
      <c r="DZ31" s="465">
        <v>-166</v>
      </c>
      <c r="EA31" s="465">
        <v>-170</v>
      </c>
      <c r="EB31" s="465">
        <v>-179</v>
      </c>
      <c r="EC31" s="581">
        <f>SUM(DY31:EB31)</f>
        <v>-809.23333333333335</v>
      </c>
      <c r="ED31" s="465">
        <f>-(ED26/4)/ED38</f>
        <v>-249.70999999999998</v>
      </c>
      <c r="EE31" s="465">
        <f>-(EE26/4)/EE38</f>
        <v>-251.4725</v>
      </c>
      <c r="EF31" s="465">
        <v>-170</v>
      </c>
      <c r="EG31" s="1243">
        <f>-(EG26/4)/EG38</f>
        <v>-288.42250000000001</v>
      </c>
      <c r="EH31" s="581">
        <f>SUM(ED31:EG31)</f>
        <v>-959.60500000000002</v>
      </c>
      <c r="EI31" s="465">
        <f>-(EI26/4)/EI38</f>
        <v>-296.2475</v>
      </c>
      <c r="EJ31" s="465">
        <f>-(EJ26/4)/EJ38</f>
        <v>-301.1225</v>
      </c>
      <c r="EK31" s="465">
        <f>-(EK26/4)/EK38</f>
        <v>-305.88499999999999</v>
      </c>
      <c r="EL31" s="1243">
        <f>-(EL26/4)/EL38</f>
        <v>-312.8725</v>
      </c>
      <c r="EM31" s="581">
        <f>SUM(EI31:EL31)</f>
        <v>-1216.1275000000001</v>
      </c>
      <c r="EN31" s="465">
        <f>-(EN26/4)/EN38</f>
        <v>-313.65999999999997</v>
      </c>
      <c r="EO31" s="465">
        <f>-(EO26/4)/EO38</f>
        <v>-313.95999999999998</v>
      </c>
      <c r="EP31" s="465">
        <f>-(EP26/4)/EP38</f>
        <v>-510.63499999999993</v>
      </c>
      <c r="EQ31" s="1243">
        <f>-(EQ26/4)/EQ38</f>
        <v>-520.66</v>
      </c>
      <c r="ER31" s="581">
        <f>SUM(EN31:EQ31)</f>
        <v>-1658.915</v>
      </c>
      <c r="ES31" s="465">
        <f>-(ES26/4)/ES38</f>
        <v>-525.13499999999999</v>
      </c>
      <c r="ET31" s="465">
        <f>-(ET26/4)/ET38</f>
        <v>-527.37249999999995</v>
      </c>
      <c r="EU31" s="465">
        <f>-(EU26/4)/EU38</f>
        <v>-527.70999999999992</v>
      </c>
      <c r="EV31" s="1202">
        <f>-(EV26/4)/EV38</f>
        <v>-530.80999999999995</v>
      </c>
      <c r="EW31" s="581">
        <f>SUM(ES31:EV31)</f>
        <v>-2111.0274999999997</v>
      </c>
      <c r="EX31" s="1202">
        <f>-(EX26/4)/EX38</f>
        <v>-533.91</v>
      </c>
      <c r="EY31" s="1202">
        <f>-(EY26/4)/EY38</f>
        <v>-538.91</v>
      </c>
      <c r="EZ31" s="1202">
        <f>-(EZ26/4)/EZ38</f>
        <v>-543.91</v>
      </c>
      <c r="FA31" s="1202">
        <f>-(FA26/4)/FA38</f>
        <v>-548.91</v>
      </c>
      <c r="FB31" s="581">
        <f>SUM(EX31:FA31)</f>
        <v>-2165.64</v>
      </c>
      <c r="FC31" s="1202">
        <f>-(FC26/4)/FC38</f>
        <v>-553.91</v>
      </c>
      <c r="FD31" s="1202">
        <f>-(FD26/4)/FD38</f>
        <v>-558.91</v>
      </c>
      <c r="FE31" s="1202">
        <f>-(FE26/4)/FE38</f>
        <v>-563.91</v>
      </c>
      <c r="FF31" s="1202">
        <f>-(FF26/4)/FF38</f>
        <v>-568.91</v>
      </c>
      <c r="FG31" s="581">
        <f>SUM(FC31:FF31)</f>
        <v>-2245.64</v>
      </c>
      <c r="FH31" s="1202">
        <f>-(FH26/4)/FH38</f>
        <v>-573.91</v>
      </c>
      <c r="FI31" s="1202">
        <f>-(FI26/4)/FI38</f>
        <v>-578.91</v>
      </c>
      <c r="FJ31" s="1202">
        <f>-(FJ26/4)/FJ38</f>
        <v>-583.91</v>
      </c>
      <c r="FK31" s="1202">
        <f>-(FK26/4)/FK38</f>
        <v>-588.91</v>
      </c>
      <c r="FL31" s="581">
        <f>SUM(FH31:FK31)</f>
        <v>-2325.64</v>
      </c>
    </row>
    <row r="32" spans="1:168" s="93" customFormat="1" ht="11.25" customHeight="1">
      <c r="A32" s="577" t="s">
        <v>651</v>
      </c>
      <c r="BZ32" s="598"/>
      <c r="CA32" s="580"/>
      <c r="CB32" s="580"/>
      <c r="CC32" s="580"/>
      <c r="CD32" s="580"/>
      <c r="CE32" s="581"/>
      <c r="CF32" s="580"/>
      <c r="CG32" s="580"/>
      <c r="CH32" s="580"/>
      <c r="CI32" s="580"/>
      <c r="CJ32" s="581"/>
      <c r="CK32" s="580"/>
      <c r="CL32" s="580"/>
      <c r="CM32" s="580"/>
      <c r="CN32" s="580"/>
      <c r="CO32" s="581"/>
      <c r="CP32" s="580"/>
      <c r="CQ32" s="580"/>
      <c r="CR32" s="580"/>
      <c r="CS32" s="580"/>
      <c r="CT32" s="581"/>
      <c r="CU32" s="606"/>
      <c r="CV32" s="607"/>
      <c r="CW32" s="607"/>
      <c r="CX32" s="607"/>
      <c r="CY32" s="581"/>
      <c r="CZ32" s="607"/>
      <c r="DA32" s="607"/>
      <c r="DB32" s="607"/>
      <c r="DC32" s="607"/>
      <c r="DD32" s="581"/>
      <c r="DE32" s="607"/>
      <c r="DF32" s="607"/>
      <c r="DG32" s="607"/>
      <c r="DH32" s="607"/>
      <c r="DI32" s="581"/>
      <c r="DJ32" s="607"/>
      <c r="DK32" s="607"/>
      <c r="DL32" s="607"/>
      <c r="DM32" s="607"/>
      <c r="DN32" s="581"/>
      <c r="DO32" s="607"/>
      <c r="DP32" s="607"/>
      <c r="DQ32" s="607"/>
      <c r="DR32" s="607"/>
      <c r="DS32" s="581"/>
      <c r="DT32" s="607"/>
      <c r="DU32" s="607"/>
      <c r="DV32" s="607"/>
      <c r="DW32" s="607"/>
      <c r="DX32" s="581"/>
      <c r="DY32" s="607"/>
      <c r="DZ32" s="607"/>
      <c r="EA32" s="607"/>
      <c r="EB32" s="607"/>
      <c r="EC32" s="581"/>
      <c r="ED32" s="607"/>
      <c r="EE32" s="607"/>
      <c r="EF32" s="607"/>
      <c r="EG32" s="607"/>
      <c r="EH32" s="581"/>
      <c r="EI32" s="607"/>
      <c r="EJ32" s="607"/>
      <c r="EK32" s="607"/>
      <c r="EL32" s="607"/>
      <c r="EM32" s="581"/>
      <c r="EN32" s="607"/>
      <c r="EO32" s="607"/>
      <c r="EP32" s="607"/>
      <c r="EQ32" s="607"/>
      <c r="ER32" s="581"/>
      <c r="ES32" s="607"/>
      <c r="ET32" s="607"/>
      <c r="EU32" s="607"/>
      <c r="EV32" s="607"/>
      <c r="EW32" s="581"/>
      <c r="EX32" s="607"/>
      <c r="EY32" s="607"/>
      <c r="EZ32" s="607"/>
      <c r="FA32" s="607"/>
      <c r="FB32" s="581"/>
      <c r="FC32" s="607"/>
      <c r="FD32" s="607"/>
      <c r="FE32" s="607"/>
      <c r="FF32" s="607"/>
      <c r="FG32" s="581"/>
      <c r="FH32" s="607"/>
      <c r="FI32" s="607"/>
      <c r="FJ32" s="607"/>
      <c r="FK32" s="607"/>
      <c r="FL32" s="581"/>
    </row>
    <row r="33" spans="1:168" s="93" customFormat="1" ht="11.25" customHeight="1">
      <c r="A33" s="243" t="s">
        <v>750</v>
      </c>
      <c r="BZ33" s="598"/>
      <c r="CA33" s="580">
        <f>CA35-SUM(CA27:CA31)</f>
        <v>334.5</v>
      </c>
      <c r="CB33" s="580">
        <f>CB35-SUM(CB27:CB31)</f>
        <v>-76.5</v>
      </c>
      <c r="CC33" s="580">
        <f>CC35-SUM(CC27:CC31)</f>
        <v>210.5</v>
      </c>
      <c r="CD33" s="580">
        <f>CD35-SUM(CD27:CD31)</f>
        <v>-73.5</v>
      </c>
      <c r="CE33" s="581">
        <f>SUM(CA33:CD33)</f>
        <v>395</v>
      </c>
      <c r="CF33" s="580">
        <f>CF35-SUM(CF27:CF31)</f>
        <v>-17.25</v>
      </c>
      <c r="CG33" s="580">
        <f>CG35-SUM(CG27:CG31)</f>
        <v>-22.25</v>
      </c>
      <c r="CH33" s="580">
        <f>CH35-SUM(CH27:CH31)</f>
        <v>-8.25</v>
      </c>
      <c r="CI33" s="580">
        <f>CI35-SUM(CI27:CI31)</f>
        <v>48.75</v>
      </c>
      <c r="CJ33" s="581">
        <f>SUM(CF33:CI33)</f>
        <v>1</v>
      </c>
      <c r="CK33" s="580">
        <f>CK35-SUM(CK27:CK31)</f>
        <v>-7</v>
      </c>
      <c r="CL33" s="580">
        <f>CL35-SUM(CL27:CL31)</f>
        <v>-46</v>
      </c>
      <c r="CM33" s="580">
        <f>CM35-SUM(CM27:CM31)</f>
        <v>-15</v>
      </c>
      <c r="CN33" s="580">
        <f>CN35-SUM(CN27:CN31)</f>
        <v>68</v>
      </c>
      <c r="CO33" s="581">
        <f>SUM(CK33:CN33)</f>
        <v>0</v>
      </c>
      <c r="CP33" s="580">
        <f>CP35-SUM(CP27:CP31)</f>
        <v>96.25</v>
      </c>
      <c r="CQ33" s="580">
        <f>CQ35-SUM(CQ27:CQ31)</f>
        <v>-59.75</v>
      </c>
      <c r="CR33" s="580">
        <f>CR35-SUM(CR27:CR31)</f>
        <v>-130.75</v>
      </c>
      <c r="CS33" s="580">
        <f>CS35-SUM(CS27:CS31)</f>
        <v>94.25</v>
      </c>
      <c r="CT33" s="581">
        <f>SUM(CP33:CS33)</f>
        <v>0</v>
      </c>
      <c r="CU33" s="580">
        <f>CU35-SUM(CU27:CU31)</f>
        <v>0</v>
      </c>
      <c r="CV33" s="580">
        <f>CV35-SUM(CV27:CV31)</f>
        <v>20</v>
      </c>
      <c r="CW33" s="580">
        <f>CW35-SUM(CW27:CW31)</f>
        <v>-7</v>
      </c>
      <c r="CX33" s="580">
        <f>CX35-SUM(CX27:CX31)</f>
        <v>-18</v>
      </c>
      <c r="CY33" s="581">
        <f>SUM(CU33:CX33)</f>
        <v>-5</v>
      </c>
      <c r="CZ33" s="580">
        <f>CZ35-SUM(CZ27:CZ31)</f>
        <v>3</v>
      </c>
      <c r="DA33" s="580">
        <f>DA35-SUM(DA27:DA31)</f>
        <v>-136</v>
      </c>
      <c r="DB33" s="580">
        <f>DB35-SUM(DB27:DB31)</f>
        <v>97</v>
      </c>
      <c r="DC33" s="580">
        <f>DC35-SUM(DC27:DC31)</f>
        <v>3</v>
      </c>
      <c r="DD33" s="581">
        <f>SUM(CZ33:DC33)</f>
        <v>-33</v>
      </c>
      <c r="DE33" s="607"/>
      <c r="DF33" s="607"/>
      <c r="DG33" s="607"/>
      <c r="DH33" s="607"/>
      <c r="DI33" s="581">
        <f>SUM(DE33:DH33)</f>
        <v>0</v>
      </c>
      <c r="DJ33" s="607"/>
      <c r="DK33" s="607"/>
      <c r="DL33" s="607"/>
      <c r="DM33" s="607"/>
      <c r="DN33" s="581">
        <f>SUM(DJ33:DM33)</f>
        <v>0</v>
      </c>
      <c r="DO33" s="607"/>
      <c r="DP33" s="607"/>
      <c r="DQ33" s="607"/>
      <c r="DR33" s="607"/>
      <c r="DS33" s="581">
        <f>SUM(DO33:DR33)</f>
        <v>0</v>
      </c>
      <c r="DT33" s="607"/>
      <c r="DU33" s="607"/>
      <c r="DV33" s="607"/>
      <c r="DW33" s="607"/>
      <c r="DX33" s="581">
        <f>SUM(DT33:DW33)</f>
        <v>0</v>
      </c>
      <c r="DY33" s="607"/>
      <c r="DZ33" s="607"/>
      <c r="EA33" s="607"/>
      <c r="EB33" s="607"/>
      <c r="EC33" s="581">
        <f>SUM(DY33:EB33)</f>
        <v>0</v>
      </c>
      <c r="ED33" s="607"/>
      <c r="EE33" s="607"/>
      <c r="EF33" s="607"/>
      <c r="EG33" s="607"/>
      <c r="EH33" s="581">
        <f>SUM(ED33:EG33)</f>
        <v>0</v>
      </c>
      <c r="EI33" s="607"/>
      <c r="EJ33" s="607"/>
      <c r="EK33" s="607"/>
      <c r="EL33" s="607"/>
      <c r="EM33" s="581">
        <f>SUM(EI33:EL33)</f>
        <v>0</v>
      </c>
      <c r="EN33" s="607"/>
      <c r="EO33" s="607"/>
      <c r="EP33" s="607"/>
      <c r="EQ33" s="607"/>
      <c r="ER33" s="581">
        <f>SUM(EN33:EQ33)</f>
        <v>0</v>
      </c>
      <c r="ES33" s="607"/>
      <c r="ET33" s="607"/>
      <c r="EU33" s="607"/>
      <c r="EV33" s="607"/>
      <c r="EW33" s="581">
        <f>SUM(ES33:EV33)</f>
        <v>0</v>
      </c>
      <c r="EX33" s="607"/>
      <c r="EY33" s="607"/>
      <c r="EZ33" s="607"/>
      <c r="FA33" s="607"/>
      <c r="FB33" s="581">
        <f>SUM(EX33:FA33)</f>
        <v>0</v>
      </c>
      <c r="FC33" s="607"/>
      <c r="FD33" s="607"/>
      <c r="FE33" s="607"/>
      <c r="FF33" s="607"/>
      <c r="FG33" s="581">
        <f>SUM(FC33:FF33)</f>
        <v>0</v>
      </c>
      <c r="FH33" s="607"/>
      <c r="FI33" s="607"/>
      <c r="FJ33" s="607"/>
      <c r="FK33" s="607"/>
      <c r="FL33" s="581">
        <f>SUM(FH33:FK33)</f>
        <v>0</v>
      </c>
    </row>
    <row r="34" spans="1:168" s="93" customFormat="1" ht="11.25" customHeight="1">
      <c r="A34" s="93" t="s">
        <v>652</v>
      </c>
      <c r="BZ34" s="598"/>
      <c r="CA34" s="244">
        <f>CA26+CA29</f>
        <v>993</v>
      </c>
      <c r="CB34" s="244">
        <f>CB26+CB29</f>
        <v>1079</v>
      </c>
      <c r="CC34" s="244">
        <f>CC26+CC29</f>
        <v>1165</v>
      </c>
      <c r="CD34" s="244">
        <f>CD26+CD29</f>
        <v>1251</v>
      </c>
      <c r="CE34" s="576">
        <v>1251</v>
      </c>
      <c r="CF34" s="244">
        <f>CF26+CF29</f>
        <v>1273.5</v>
      </c>
      <c r="CG34" s="244">
        <f>CG26+CG29</f>
        <v>1296</v>
      </c>
      <c r="CH34" s="244">
        <f>CH26+CH29</f>
        <v>1318.5</v>
      </c>
      <c r="CI34" s="244">
        <f>CI26+CI29</f>
        <v>1341</v>
      </c>
      <c r="CJ34" s="576">
        <v>1341</v>
      </c>
      <c r="CK34" s="244">
        <f>CK26+CK29</f>
        <v>1382.75</v>
      </c>
      <c r="CL34" s="244">
        <f>CL26+CL29</f>
        <v>1424.5</v>
      </c>
      <c r="CM34" s="244">
        <f>CM26+CM29</f>
        <v>1466.25</v>
      </c>
      <c r="CN34" s="244">
        <f>CN26+CN29</f>
        <v>1508</v>
      </c>
      <c r="CO34" s="576">
        <v>1508</v>
      </c>
      <c r="CP34" s="244">
        <f>CP26+CP29</f>
        <v>1651.75</v>
      </c>
      <c r="CQ34" s="244">
        <f>CQ26+CQ29</f>
        <v>1795.5</v>
      </c>
      <c r="CR34" s="244">
        <f>CR26+CR29</f>
        <v>1939.25</v>
      </c>
      <c r="CS34" s="244">
        <f>CS26+CS29</f>
        <v>2083</v>
      </c>
      <c r="CT34" s="576">
        <v>2083</v>
      </c>
      <c r="CU34" s="575">
        <v>3025</v>
      </c>
      <c r="CV34" s="575">
        <v>3116</v>
      </c>
      <c r="CW34" s="575">
        <v>3160</v>
      </c>
      <c r="CX34" s="575">
        <v>3630</v>
      </c>
      <c r="CY34" s="576">
        <f>CX34</f>
        <v>3630</v>
      </c>
      <c r="CZ34" s="575">
        <v>3693</v>
      </c>
      <c r="DA34" s="575">
        <v>3890</v>
      </c>
      <c r="DB34" s="575">
        <v>3890</v>
      </c>
      <c r="DC34" s="575">
        <v>4040</v>
      </c>
      <c r="DD34" s="576">
        <f>DC34</f>
        <v>4040</v>
      </c>
      <c r="DE34" s="575">
        <v>4083</v>
      </c>
      <c r="DF34" s="575">
        <v>3807</v>
      </c>
      <c r="DG34" s="575">
        <v>3940</v>
      </c>
      <c r="DH34" s="244">
        <f>DH26+DH29</f>
        <v>3940</v>
      </c>
      <c r="DI34" s="576">
        <f>DH34</f>
        <v>3940</v>
      </c>
      <c r="DJ34" s="244">
        <f>DJ26+DJ29</f>
        <v>3940</v>
      </c>
      <c r="DK34" s="575">
        <v>3893</v>
      </c>
      <c r="DL34" s="575">
        <v>3894</v>
      </c>
      <c r="DM34" s="244">
        <f>DM26+DM29</f>
        <v>3895</v>
      </c>
      <c r="DN34" s="576">
        <f>DM34</f>
        <v>3895</v>
      </c>
      <c r="DO34" s="244">
        <f>DO26+DO29</f>
        <v>4332.5</v>
      </c>
      <c r="DP34" s="244">
        <f>DP26+DP29</f>
        <v>6057.9</v>
      </c>
      <c r="DQ34" s="244">
        <f>DQ26+DQ29</f>
        <v>6099.9</v>
      </c>
      <c r="DR34" s="244">
        <f>DR26+DR29</f>
        <v>6362.9</v>
      </c>
      <c r="DS34" s="576">
        <f>DR34</f>
        <v>6362.9</v>
      </c>
      <c r="DT34" s="244">
        <f>DT26+DT29</f>
        <v>6935.4</v>
      </c>
      <c r="DU34" s="244">
        <f>DU26+DU29</f>
        <v>6997.5999999999995</v>
      </c>
      <c r="DV34" s="244">
        <f>DV26+DV29</f>
        <v>7051.5999999999995</v>
      </c>
      <c r="DW34" s="244">
        <f>DW26+DW29</f>
        <v>7061.5999999999995</v>
      </c>
      <c r="DX34" s="576">
        <f>DW34</f>
        <v>7061.5999999999995</v>
      </c>
      <c r="DY34" s="244">
        <f>DY26+DY29</f>
        <v>7069.0999999999995</v>
      </c>
      <c r="DZ34" s="244">
        <f>DZ26+DZ29</f>
        <v>7096.9</v>
      </c>
      <c r="EA34" s="244">
        <f>EA26+EA29</f>
        <v>7175.4</v>
      </c>
      <c r="EB34" s="244">
        <f>EB26+EB29</f>
        <v>9988.4</v>
      </c>
      <c r="EC34" s="576">
        <f>EB34</f>
        <v>9988.4</v>
      </c>
      <c r="ED34" s="244">
        <f>ED26+ED29</f>
        <v>10058.9</v>
      </c>
      <c r="EE34" s="244">
        <f>EE26+EE29</f>
        <v>11455.9</v>
      </c>
      <c r="EF34" s="244">
        <f>EF26+EF29</f>
        <v>11536.9</v>
      </c>
      <c r="EG34" s="244">
        <f>EG26+EG29</f>
        <v>11849.9</v>
      </c>
      <c r="EH34" s="576">
        <f>EG34</f>
        <v>11849.9</v>
      </c>
      <c r="EI34" s="244">
        <f>EI26+EI29</f>
        <v>12044.9</v>
      </c>
      <c r="EJ34" s="244">
        <f>EJ26+EJ29</f>
        <v>12235.4</v>
      </c>
      <c r="EK34" s="244">
        <f>EK26+EK29</f>
        <v>12514.9</v>
      </c>
      <c r="EL34" s="244">
        <f>EL26+EL29</f>
        <v>12546.4</v>
      </c>
      <c r="EM34" s="576">
        <f>EL34</f>
        <v>12546.4</v>
      </c>
      <c r="EN34" s="244">
        <f>EN26+EN29</f>
        <v>12558.4</v>
      </c>
      <c r="EO34" s="244">
        <f>EO26+EO29</f>
        <v>20425.399999999998</v>
      </c>
      <c r="EP34" s="244">
        <f>EP26+EP29</f>
        <v>20826.399999999998</v>
      </c>
      <c r="EQ34" s="244">
        <f>EQ26+EQ29</f>
        <v>21005.399999999998</v>
      </c>
      <c r="ER34" s="576">
        <f>EQ34</f>
        <v>21005.399999999998</v>
      </c>
      <c r="ES34" s="244">
        <f>ES26+ES29</f>
        <v>21094.899999999998</v>
      </c>
      <c r="ET34" s="244">
        <f>ET26+ET29</f>
        <v>21108.399999999998</v>
      </c>
      <c r="EU34" s="244">
        <f>EU26+EU29</f>
        <v>21232.399999999998</v>
      </c>
      <c r="EV34" s="244">
        <f>EV26+EV29</f>
        <v>21356.399999999998</v>
      </c>
      <c r="EW34" s="576">
        <f>EV34</f>
        <v>21356.399999999998</v>
      </c>
      <c r="EX34" s="244">
        <f>EX26+EX29</f>
        <v>21556.399999999998</v>
      </c>
      <c r="EY34" s="244">
        <f>EY26+EY29</f>
        <v>21756.399999999998</v>
      </c>
      <c r="EZ34" s="244">
        <f>EZ26+EZ29</f>
        <v>21956.399999999998</v>
      </c>
      <c r="FA34" s="244">
        <f>FA26+FA29</f>
        <v>22156.399999999998</v>
      </c>
      <c r="FB34" s="576">
        <f>FA34</f>
        <v>22156.399999999998</v>
      </c>
      <c r="FC34" s="244">
        <f>FC26+FC29</f>
        <v>22356.399999999998</v>
      </c>
      <c r="FD34" s="244">
        <f>FD26+FD29</f>
        <v>22556.399999999998</v>
      </c>
      <c r="FE34" s="244">
        <f>FE26+FE29</f>
        <v>22756.399999999998</v>
      </c>
      <c r="FF34" s="244">
        <f>FF26+FF29</f>
        <v>22956.399999999998</v>
      </c>
      <c r="FG34" s="576">
        <f>FF34</f>
        <v>22956.399999999998</v>
      </c>
      <c r="FH34" s="244">
        <f>FH26+FH29</f>
        <v>23156.399999999998</v>
      </c>
      <c r="FI34" s="244">
        <f>FI26+FI29</f>
        <v>23356.399999999998</v>
      </c>
      <c r="FJ34" s="244">
        <f>FJ26+FJ29</f>
        <v>23556.399999999998</v>
      </c>
      <c r="FK34" s="244">
        <f>FK26+FK29</f>
        <v>23756.399999999998</v>
      </c>
      <c r="FL34" s="576">
        <f>FK34</f>
        <v>23756.399999999998</v>
      </c>
    </row>
    <row r="35" spans="1:168" s="93" customFormat="1" ht="11.25" customHeight="1">
      <c r="A35" s="93" t="s">
        <v>653</v>
      </c>
      <c r="BZ35" s="598"/>
      <c r="CA35" s="600">
        <f>BS!CA18</f>
        <v>378</v>
      </c>
      <c r="CB35" s="600">
        <f>BS!CB18</f>
        <v>345</v>
      </c>
      <c r="CC35" s="600">
        <f>BS!CC18</f>
        <v>599</v>
      </c>
      <c r="CD35" s="600">
        <f>BS!CD18</f>
        <v>569</v>
      </c>
      <c r="CE35" s="601">
        <f>CD35</f>
        <v>569</v>
      </c>
      <c r="CF35" s="600">
        <f>BS!CF18</f>
        <v>534</v>
      </c>
      <c r="CG35" s="600">
        <f>BS!CG18</f>
        <v>494</v>
      </c>
      <c r="CH35" s="600">
        <f>BS!CH18</f>
        <v>468</v>
      </c>
      <c r="CI35" s="600">
        <f>BS!CI18</f>
        <v>499</v>
      </c>
      <c r="CJ35" s="601">
        <f>CI35</f>
        <v>499</v>
      </c>
      <c r="CK35" s="600">
        <f>BS!CK18</f>
        <v>502</v>
      </c>
      <c r="CL35" s="600">
        <f>BS!CL18</f>
        <v>466</v>
      </c>
      <c r="CM35" s="600">
        <f>BS!CM18</f>
        <v>461</v>
      </c>
      <c r="CN35" s="600">
        <f>BS!CN18</f>
        <v>539</v>
      </c>
      <c r="CO35" s="601">
        <f>CN35</f>
        <v>539</v>
      </c>
      <c r="CP35" s="600">
        <f>BS!CP18</f>
        <v>720</v>
      </c>
      <c r="CQ35" s="600">
        <f>BS!CQ18</f>
        <v>745</v>
      </c>
      <c r="CR35" s="600">
        <f>BS!CR18</f>
        <v>699</v>
      </c>
      <c r="CS35" s="600">
        <f>BS!CS18</f>
        <v>878</v>
      </c>
      <c r="CT35" s="601">
        <f>CS35</f>
        <v>878</v>
      </c>
      <c r="CU35" s="600">
        <f>BS!CU18</f>
        <v>1718</v>
      </c>
      <c r="CV35" s="600">
        <f>BS!CV18</f>
        <v>1717</v>
      </c>
      <c r="CW35" s="600">
        <f>BS!CW18</f>
        <v>1639</v>
      </c>
      <c r="CX35" s="600">
        <f>BS!CX18</f>
        <v>1973</v>
      </c>
      <c r="CY35" s="601">
        <f>CX35</f>
        <v>1973</v>
      </c>
      <c r="CZ35" s="600">
        <f>BS!CZ18</f>
        <v>1899</v>
      </c>
      <c r="DA35" s="600">
        <f>BS!DA18</f>
        <v>1815</v>
      </c>
      <c r="DB35" s="600">
        <f>BS!DB18</f>
        <v>1756</v>
      </c>
      <c r="DC35" s="600">
        <f>BS!DC18</f>
        <v>1759</v>
      </c>
      <c r="DD35" s="601">
        <f>DC35</f>
        <v>1759</v>
      </c>
      <c r="DE35" s="600">
        <f>BS!DE18</f>
        <v>1653</v>
      </c>
      <c r="DF35" s="600">
        <f>BS!DF18</f>
        <v>1346</v>
      </c>
      <c r="DG35" s="600">
        <f>BS!DG18</f>
        <v>1282</v>
      </c>
      <c r="DH35" s="600">
        <f>BS!DH18</f>
        <v>1158</v>
      </c>
      <c r="DI35" s="601">
        <f>DH35</f>
        <v>1158</v>
      </c>
      <c r="DJ35" s="244">
        <f>SUM(DJ27:DJ31)</f>
        <v>993.83333333333337</v>
      </c>
      <c r="DK35" s="600">
        <f>BS!DK18</f>
        <v>992</v>
      </c>
      <c r="DL35" s="600">
        <f>BS!DL18</f>
        <v>840</v>
      </c>
      <c r="DM35" s="600">
        <f>BS!DM18</f>
        <v>744</v>
      </c>
      <c r="DN35" s="601">
        <f>DM35</f>
        <v>744</v>
      </c>
      <c r="DO35" s="244">
        <f>SUM(DO27:DO31)</f>
        <v>1019.2083333333334</v>
      </c>
      <c r="DP35" s="244">
        <f>SUM(DP27:DP31)</f>
        <v>2589.6083333333336</v>
      </c>
      <c r="DQ35" s="244">
        <f>SUM(DQ27:DQ31)</f>
        <v>2489.6083333333336</v>
      </c>
      <c r="DR35" s="600">
        <f>BS!DR18</f>
        <v>3170</v>
      </c>
      <c r="DS35" s="601">
        <f>DR35</f>
        <v>3170</v>
      </c>
      <c r="DT35" s="244">
        <f>SUM(DT27:DT31)</f>
        <v>3477.3791666666666</v>
      </c>
      <c r="DU35" s="244">
        <f>SUM(DU27:DU31)</f>
        <v>3384.5791666666664</v>
      </c>
      <c r="DV35" s="244">
        <f>SUM(DV27:DV31)</f>
        <v>3251.5791666666664</v>
      </c>
      <c r="DW35" s="244">
        <f>SUM(DW27:DW31)</f>
        <v>3074.5791666666664</v>
      </c>
      <c r="DX35" s="601">
        <f>DW35</f>
        <v>3074.5791666666664</v>
      </c>
      <c r="DY35" s="244">
        <f>SUM(DY27:DY31)</f>
        <v>2787.8458333333333</v>
      </c>
      <c r="DZ35" s="244">
        <f>SUM(DZ27:DZ31)</f>
        <v>2649.6458333333335</v>
      </c>
      <c r="EA35" s="244">
        <f>SUM(EA27:EA31)</f>
        <v>2558.1458333333335</v>
      </c>
      <c r="EB35" s="244">
        <f>SUM(EB27:EB31)</f>
        <v>5192.1458333333339</v>
      </c>
      <c r="EC35" s="601">
        <f>EB35</f>
        <v>5192.1458333333339</v>
      </c>
      <c r="ED35" s="244">
        <f>SUM(ED27:ED31)</f>
        <v>5012.9358333333339</v>
      </c>
      <c r="EE35" s="244">
        <f>SUM(EE27:EE31)</f>
        <v>6158.463333333334</v>
      </c>
      <c r="EF35" s="244">
        <f>SUM(EF27:EF31)</f>
        <v>6069.463333333334</v>
      </c>
      <c r="EG35" s="244">
        <f>SUM(EG27:EG31)</f>
        <v>6094.0408333333344</v>
      </c>
      <c r="EH35" s="601">
        <f>EG35</f>
        <v>6094.0408333333344</v>
      </c>
      <c r="EI35" s="244">
        <f>SUM(EI27:EI31)</f>
        <v>5992.793333333334</v>
      </c>
      <c r="EJ35" s="244">
        <f>SUM(EJ27:EJ31)</f>
        <v>5882.1708333333336</v>
      </c>
      <c r="EK35" s="244">
        <f>SUM(EK27:EK31)</f>
        <v>5855.7858333333334</v>
      </c>
      <c r="EL35" s="244">
        <f>SUM(EL27:EL31)</f>
        <v>5574.413333333333</v>
      </c>
      <c r="EM35" s="601">
        <f>EL35</f>
        <v>5574.413333333333</v>
      </c>
      <c r="EN35" s="244">
        <f>SUM(EN27:EN31)</f>
        <v>5272.7533333333331</v>
      </c>
      <c r="EO35" s="244">
        <f>SUM(EO27:EO31)</f>
        <v>12825.793333333333</v>
      </c>
      <c r="EP35" s="244">
        <f>SUM(EP27:EP31)</f>
        <v>12716.158333333333</v>
      </c>
      <c r="EQ35" s="244">
        <f>SUM(EQ27:EQ31)</f>
        <v>12374.498333333333</v>
      </c>
      <c r="ER35" s="601">
        <f>EQ35</f>
        <v>12374.498333333333</v>
      </c>
      <c r="ES35" s="244">
        <f>SUM(ES27:ES31)</f>
        <v>11938.863333333333</v>
      </c>
      <c r="ET35" s="244">
        <f>SUM(ET27:ET31)</f>
        <v>11424.990833333333</v>
      </c>
      <c r="EU35" s="244">
        <f>SUM(EU27:EU31)</f>
        <v>11021.280833333334</v>
      </c>
      <c r="EV35" s="244">
        <f>SUM(EV27:EV31)</f>
        <v>10614.470833333335</v>
      </c>
      <c r="EW35" s="585">
        <f>EV35</f>
        <v>10614.470833333335</v>
      </c>
      <c r="EX35" s="244">
        <f>SUM(EX27:EX31)</f>
        <v>10280.560833333335</v>
      </c>
      <c r="EY35" s="244">
        <f>SUM(EY27:EY31)</f>
        <v>9941.650833333335</v>
      </c>
      <c r="EZ35" s="244">
        <f>SUM(EZ27:EZ31)</f>
        <v>9597.7408333333351</v>
      </c>
      <c r="FA35" s="244">
        <f>SUM(FA27:FA31)</f>
        <v>9248.8308333333352</v>
      </c>
      <c r="FB35" s="585">
        <f>FA35</f>
        <v>9248.8308333333352</v>
      </c>
      <c r="FC35" s="244">
        <f>SUM(FC27:FC31)</f>
        <v>8894.9208333333354</v>
      </c>
      <c r="FD35" s="244">
        <f>SUM(FD27:FD31)</f>
        <v>8536.0108333333355</v>
      </c>
      <c r="FE35" s="244">
        <f>SUM(FE27:FE31)</f>
        <v>8172.1008333333357</v>
      </c>
      <c r="FF35" s="244">
        <f>SUM(FF27:FF31)</f>
        <v>7803.1908333333358</v>
      </c>
      <c r="FG35" s="585">
        <f>FF35</f>
        <v>7803.1908333333358</v>
      </c>
      <c r="FH35" s="244">
        <f>SUM(FH27:FH31)</f>
        <v>7429.280833333336</v>
      </c>
      <c r="FI35" s="244">
        <f>SUM(FI27:FI31)</f>
        <v>7050.3708333333361</v>
      </c>
      <c r="FJ35" s="244">
        <f>SUM(FJ27:FJ31)</f>
        <v>6666.4608333333363</v>
      </c>
      <c r="FK35" s="244">
        <f>SUM(FK27:FK31)</f>
        <v>6277.5508333333364</v>
      </c>
      <c r="FL35" s="585">
        <f>FK35</f>
        <v>6277.5508333333364</v>
      </c>
    </row>
    <row r="36" spans="1:168" s="93" customFormat="1" ht="11.25" customHeight="1">
      <c r="A36" s="608" t="s">
        <v>751</v>
      </c>
      <c r="BZ36" s="598"/>
      <c r="CA36" s="600"/>
      <c r="CB36" s="600"/>
      <c r="CC36" s="600"/>
      <c r="CD36" s="600"/>
      <c r="CE36" s="601"/>
      <c r="CF36" s="600"/>
      <c r="CG36" s="600"/>
      <c r="CH36" s="600"/>
      <c r="CI36" s="600"/>
      <c r="CJ36" s="601"/>
      <c r="CK36" s="600"/>
      <c r="CL36" s="600"/>
      <c r="CM36" s="600"/>
      <c r="CN36" s="600"/>
      <c r="CO36" s="601"/>
      <c r="CP36" s="600"/>
      <c r="CQ36" s="600"/>
      <c r="CR36" s="600"/>
      <c r="CS36" s="600"/>
      <c r="CT36" s="601"/>
      <c r="CU36" s="600"/>
      <c r="CV36" s="599"/>
      <c r="CW36" s="599"/>
      <c r="CX36" s="599"/>
      <c r="CY36" s="601"/>
      <c r="CZ36" s="599"/>
      <c r="DA36" s="599"/>
      <c r="DB36" s="599"/>
      <c r="DC36" s="599"/>
      <c r="DD36" s="601"/>
      <c r="DE36" s="599"/>
      <c r="DF36" s="599"/>
      <c r="DG36" s="599"/>
      <c r="DH36" s="599"/>
      <c r="DI36" s="601"/>
      <c r="DJ36" s="599"/>
      <c r="DK36" s="599"/>
      <c r="DL36" s="599"/>
      <c r="DM36" s="599"/>
      <c r="DN36" s="601"/>
      <c r="DO36" s="599"/>
      <c r="DP36" s="599"/>
      <c r="DQ36" s="599"/>
      <c r="DR36" s="599"/>
      <c r="DS36" s="601"/>
      <c r="DT36" s="599"/>
      <c r="DU36" s="599"/>
      <c r="DV36" s="599"/>
      <c r="DW36" s="599"/>
      <c r="DX36" s="601"/>
      <c r="DY36" s="599"/>
      <c r="DZ36" s="599"/>
      <c r="EA36" s="599"/>
      <c r="EB36" s="599"/>
      <c r="EC36" s="601"/>
      <c r="ED36" s="599"/>
      <c r="EE36" s="599"/>
      <c r="EF36" s="599"/>
      <c r="EG36" s="599"/>
      <c r="EH36" s="601"/>
      <c r="EI36" s="599"/>
      <c r="EJ36" s="599"/>
      <c r="EK36" s="599"/>
      <c r="EL36" s="599"/>
      <c r="EM36" s="601"/>
      <c r="EN36" s="599"/>
      <c r="EO36" s="599"/>
      <c r="EP36" s="599"/>
      <c r="EQ36" s="599"/>
      <c r="ER36" s="601"/>
      <c r="ES36" s="599"/>
      <c r="ET36" s="599"/>
      <c r="EU36" s="599"/>
      <c r="EV36" s="599"/>
      <c r="EW36" s="585"/>
      <c r="EX36" s="599"/>
      <c r="EY36" s="599"/>
      <c r="EZ36" s="599"/>
      <c r="FA36" s="599"/>
      <c r="FB36" s="585"/>
      <c r="FC36" s="599"/>
      <c r="FD36" s="599"/>
      <c r="FE36" s="599"/>
      <c r="FF36" s="599"/>
      <c r="FG36" s="585"/>
      <c r="FH36" s="599"/>
      <c r="FI36" s="599"/>
      <c r="FJ36" s="599"/>
      <c r="FK36" s="599"/>
      <c r="FL36" s="585"/>
    </row>
    <row r="37" spans="1:168" s="93" customFormat="1" ht="11.25" customHeight="1">
      <c r="A37" s="96" t="s">
        <v>872</v>
      </c>
      <c r="B37" s="96"/>
      <c r="C37" s="96"/>
      <c r="D37" s="591"/>
      <c r="E37" s="591"/>
      <c r="F37" s="591"/>
      <c r="G37" s="591"/>
      <c r="H37" s="591"/>
      <c r="I37" s="591"/>
      <c r="J37" s="591"/>
      <c r="K37" s="591"/>
      <c r="L37" s="591"/>
      <c r="M37" s="591"/>
      <c r="N37" s="591"/>
      <c r="O37" s="591"/>
      <c r="P37" s="591"/>
      <c r="Q37" s="591"/>
      <c r="R37" s="591"/>
      <c r="S37" s="591"/>
      <c r="T37" s="591"/>
      <c r="U37" s="591"/>
      <c r="V37" s="591"/>
      <c r="W37" s="591"/>
      <c r="X37" s="591"/>
      <c r="Y37" s="591"/>
      <c r="Z37" s="591"/>
      <c r="AA37" s="591"/>
      <c r="AB37" s="591"/>
      <c r="AC37" s="591"/>
      <c r="AD37" s="591"/>
      <c r="AE37" s="591"/>
      <c r="AF37" s="591"/>
      <c r="AG37" s="591"/>
      <c r="AH37" s="591"/>
      <c r="AI37" s="591"/>
      <c r="AJ37" s="591"/>
      <c r="AK37" s="591"/>
      <c r="AL37" s="591"/>
      <c r="AM37" s="591"/>
      <c r="AN37" s="591"/>
      <c r="AO37" s="591"/>
      <c r="AP37" s="591"/>
      <c r="AQ37" s="591"/>
      <c r="AR37" s="591"/>
      <c r="AS37" s="591"/>
      <c r="AT37" s="591"/>
      <c r="AU37" s="591"/>
      <c r="AV37" s="591"/>
      <c r="AW37" s="591"/>
      <c r="AX37" s="591"/>
      <c r="AY37" s="591"/>
      <c r="AZ37" s="591"/>
      <c r="BA37" s="591"/>
      <c r="BB37" s="591"/>
      <c r="BC37" s="591"/>
      <c r="BD37" s="591"/>
      <c r="BE37" s="591"/>
      <c r="BF37" s="591"/>
      <c r="BG37" s="591"/>
      <c r="BH37" s="591"/>
      <c r="BI37" s="591"/>
      <c r="BJ37" s="591"/>
      <c r="BK37" s="591"/>
      <c r="BL37" s="591"/>
      <c r="BM37" s="591"/>
      <c r="BN37" s="591"/>
      <c r="BO37" s="591"/>
      <c r="BP37" s="591"/>
      <c r="BQ37" s="591"/>
      <c r="BR37" s="591"/>
      <c r="BS37" s="591"/>
      <c r="BT37" s="591"/>
      <c r="BU37" s="591"/>
      <c r="BV37" s="591"/>
      <c r="BW37" s="591"/>
      <c r="BX37" s="591"/>
      <c r="BY37" s="591"/>
      <c r="BZ37" s="598"/>
      <c r="CA37" s="609"/>
      <c r="CB37" s="609"/>
      <c r="CC37" s="609"/>
      <c r="CD37" s="609"/>
      <c r="CE37" s="601"/>
      <c r="CF37" s="609"/>
      <c r="CG37" s="609"/>
      <c r="CH37" s="609"/>
      <c r="CI37" s="609"/>
      <c r="CJ37" s="601"/>
      <c r="CK37" s="609"/>
      <c r="CL37" s="609"/>
      <c r="CM37" s="609"/>
      <c r="CN37" s="609"/>
      <c r="CO37" s="601"/>
      <c r="CP37" s="609"/>
      <c r="CQ37" s="609"/>
      <c r="CR37" s="609"/>
      <c r="CS37" s="609"/>
      <c r="CT37" s="601"/>
      <c r="CU37" s="609"/>
      <c r="CV37" s="610"/>
      <c r="CW37" s="610"/>
      <c r="CX37" s="610"/>
      <c r="CY37" s="601"/>
      <c r="CZ37" s="610"/>
      <c r="DA37" s="610"/>
      <c r="DB37" s="610"/>
      <c r="DC37" s="610"/>
      <c r="DD37" s="601"/>
      <c r="DE37" s="610"/>
      <c r="DF37" s="610"/>
      <c r="DG37" s="610"/>
      <c r="DH37" s="610"/>
      <c r="DI37" s="601"/>
      <c r="DJ37" s="610"/>
      <c r="DK37" s="610"/>
      <c r="DL37" s="610"/>
      <c r="DM37" s="610"/>
      <c r="DN37" s="601"/>
      <c r="DO37" s="610"/>
      <c r="DP37" s="610"/>
      <c r="DQ37" s="610"/>
      <c r="DR37" s="610"/>
      <c r="DS37" s="601"/>
      <c r="DT37" s="610"/>
      <c r="DU37" s="610"/>
      <c r="DV37" s="610"/>
      <c r="DW37" s="610"/>
      <c r="DX37" s="601"/>
      <c r="DY37" s="610"/>
      <c r="DZ37" s="610"/>
      <c r="EA37" s="610"/>
      <c r="EB37" s="610"/>
      <c r="EC37" s="601"/>
      <c r="ED37" s="610"/>
      <c r="EE37" s="610"/>
      <c r="EF37" s="610"/>
      <c r="EG37" s="610"/>
      <c r="EH37" s="601"/>
      <c r="EI37" s="610"/>
      <c r="EJ37" s="610"/>
      <c r="EK37" s="610"/>
      <c r="EL37" s="610"/>
      <c r="EM37" s="601"/>
      <c r="EN37" s="610"/>
      <c r="EO37" s="610"/>
      <c r="EP37" s="610"/>
      <c r="EQ37" s="610"/>
      <c r="ER37" s="601"/>
      <c r="ES37" s="610"/>
      <c r="ET37" s="610"/>
      <c r="EU37" s="610"/>
      <c r="EV37" s="610"/>
      <c r="EW37" s="585"/>
      <c r="EX37" s="610"/>
      <c r="EY37" s="610"/>
      <c r="EZ37" s="610"/>
      <c r="FA37" s="610"/>
      <c r="FB37" s="585"/>
      <c r="FC37" s="610"/>
      <c r="FD37" s="610"/>
      <c r="FE37" s="610"/>
      <c r="FF37" s="610"/>
      <c r="FG37" s="585"/>
      <c r="FH37" s="610"/>
      <c r="FI37" s="610"/>
      <c r="FJ37" s="610"/>
      <c r="FK37" s="610"/>
      <c r="FL37" s="585"/>
    </row>
    <row r="38" spans="1:168" s="93" customFormat="1" ht="11.25" customHeight="1">
      <c r="A38" s="243" t="s">
        <v>654</v>
      </c>
      <c r="BZ38" s="598"/>
      <c r="CA38" s="611">
        <f>-CA26/(CA31*4)</f>
        <v>5.3352941176470585</v>
      </c>
      <c r="CB38" s="611">
        <f>-CB26/(CB31*4)</f>
        <v>5.841176470588235</v>
      </c>
      <c r="CC38" s="611">
        <f>-CC26/(CC31*4)</f>
        <v>6.3470588235294114</v>
      </c>
      <c r="CD38" s="611">
        <f>-CD26/(CD31*4)</f>
        <v>6.8529411764705879</v>
      </c>
      <c r="CE38" s="612">
        <f>SUM(CA38:CD38)</f>
        <v>24.376470588235293</v>
      </c>
      <c r="CF38" s="611">
        <f>-CF26/(CF31*4)</f>
        <v>7.7701863354037268</v>
      </c>
      <c r="CG38" s="611">
        <f>-CG26/(CG31*4)</f>
        <v>7.9099378881987574</v>
      </c>
      <c r="CH38" s="611">
        <f>-CH26/(CH31*4)</f>
        <v>8.049689440993788</v>
      </c>
      <c r="CI38" s="611">
        <f>-CI26/(CI31*4)</f>
        <v>8.1894409937888195</v>
      </c>
      <c r="CJ38" s="612">
        <f>SUM(CF38:CI38)</f>
        <v>31.919254658385093</v>
      </c>
      <c r="CK38" s="611">
        <f>-CK26/(CK31*4)</f>
        <v>10.559055118110237</v>
      </c>
      <c r="CL38" s="611">
        <f>-CL26/(CL31*4)</f>
        <v>10.887795275590552</v>
      </c>
      <c r="CM38" s="611">
        <f>-CM26/(CM31*4)</f>
        <v>11.216535433070867</v>
      </c>
      <c r="CN38" s="611">
        <f>-CN26/(CN31*4)</f>
        <v>11.545275590551181</v>
      </c>
      <c r="CO38" s="612">
        <f>SUM(CK38:CN38)</f>
        <v>44.208661417322844</v>
      </c>
      <c r="CP38" s="611">
        <f>-CP26/(CP31*4)</f>
        <v>6.3898305084745761</v>
      </c>
      <c r="CQ38" s="611">
        <f>-CQ26/(CQ31*4)</f>
        <v>6.9989406779661021</v>
      </c>
      <c r="CR38" s="611">
        <f>-CR26/(CR31*4)</f>
        <v>7.6080508474576272</v>
      </c>
      <c r="CS38" s="611">
        <f>-CS26/(CS31*4)</f>
        <v>8.2171610169491522</v>
      </c>
      <c r="CT38" s="612">
        <f>SUM(CP38:CS38)</f>
        <v>29.213983050847457</v>
      </c>
      <c r="CU38" s="611">
        <f>-CU26/(CU31*4)</f>
        <v>5.1053921568627452</v>
      </c>
      <c r="CV38" s="611">
        <f>-CV26/(CV31*4)</f>
        <v>6.7522321428571432</v>
      </c>
      <c r="CW38" s="611">
        <f>-CW26/(CW31*4)</f>
        <v>6.7739130434782613</v>
      </c>
      <c r="CX38" s="611">
        <f>-CX26/(CX31*4)</f>
        <v>6.6949152542372881</v>
      </c>
      <c r="CY38" s="612">
        <f>SUM(CU38:CX38)</f>
        <v>25.326452597435434</v>
      </c>
      <c r="CZ38" s="611">
        <f>-CZ26/(CZ31*4)</f>
        <v>6.4821428571428568</v>
      </c>
      <c r="DA38" s="611">
        <f>-DA26/(DA31*4)</f>
        <v>6.3672413793103448</v>
      </c>
      <c r="DB38" s="611">
        <f>-DB26/(DB31*4)</f>
        <v>6.2339743589743586</v>
      </c>
      <c r="DC38" s="611">
        <f>-DC26/(DC31*4)</f>
        <v>6.4833333333333334</v>
      </c>
      <c r="DD38" s="612">
        <f>SUM(CZ38:DC38)</f>
        <v>25.566691928760893</v>
      </c>
      <c r="DE38" s="613">
        <v>6</v>
      </c>
      <c r="DF38" s="613">
        <v>6</v>
      </c>
      <c r="DG38" s="613">
        <v>6</v>
      </c>
      <c r="DH38" s="613">
        <v>6</v>
      </c>
      <c r="DI38" s="612">
        <f>SUM(DE38:DH38)</f>
        <v>24</v>
      </c>
      <c r="DJ38" s="613">
        <v>6</v>
      </c>
      <c r="DK38" s="613">
        <v>6</v>
      </c>
      <c r="DL38" s="613">
        <v>6</v>
      </c>
      <c r="DM38" s="613">
        <v>6</v>
      </c>
      <c r="DN38" s="612">
        <f>SUM(DJ38:DM38)</f>
        <v>24</v>
      </c>
      <c r="DO38" s="613">
        <v>6</v>
      </c>
      <c r="DP38" s="613">
        <v>6</v>
      </c>
      <c r="DQ38" s="613">
        <v>6</v>
      </c>
      <c r="DR38" s="613">
        <v>6</v>
      </c>
      <c r="DS38" s="612">
        <f>SUM(DO38:DR38)</f>
        <v>24</v>
      </c>
      <c r="DT38" s="613">
        <v>6</v>
      </c>
      <c r="DU38" s="613">
        <v>6</v>
      </c>
      <c r="DV38" s="613">
        <v>6</v>
      </c>
      <c r="DW38" s="613">
        <v>6</v>
      </c>
      <c r="DX38" s="612">
        <f>SUM(DT38:DW38)</f>
        <v>24</v>
      </c>
      <c r="DY38" s="613">
        <v>6</v>
      </c>
      <c r="DZ38" s="613">
        <v>6</v>
      </c>
      <c r="EA38" s="613">
        <v>6</v>
      </c>
      <c r="EB38" s="613">
        <v>6</v>
      </c>
      <c r="EC38" s="612">
        <f>SUM(DY38:EB38)</f>
        <v>24</v>
      </c>
      <c r="ED38" s="613">
        <v>10</v>
      </c>
      <c r="EE38" s="613">
        <v>10</v>
      </c>
      <c r="EF38" s="613">
        <v>6</v>
      </c>
      <c r="EG38" s="613">
        <v>10</v>
      </c>
      <c r="EH38" s="612">
        <f>SUM(ED38:EG38)</f>
        <v>36</v>
      </c>
      <c r="EI38" s="613">
        <v>10</v>
      </c>
      <c r="EJ38" s="613">
        <v>10</v>
      </c>
      <c r="EK38" s="613">
        <v>10</v>
      </c>
      <c r="EL38" s="613">
        <v>10</v>
      </c>
      <c r="EM38" s="612">
        <f>SUM(EI38:EL38)</f>
        <v>40</v>
      </c>
      <c r="EN38" s="613">
        <v>10</v>
      </c>
      <c r="EO38" s="613">
        <v>10</v>
      </c>
      <c r="EP38" s="613">
        <v>10</v>
      </c>
      <c r="EQ38" s="613">
        <v>10</v>
      </c>
      <c r="ER38" s="612">
        <f>SUM(EN38:EQ38)</f>
        <v>40</v>
      </c>
      <c r="ES38" s="613">
        <v>10</v>
      </c>
      <c r="ET38" s="613">
        <v>10</v>
      </c>
      <c r="EU38" s="613">
        <v>10</v>
      </c>
      <c r="EV38" s="613">
        <v>10</v>
      </c>
      <c r="EW38" s="612">
        <f>SUM(ES38:EV38)</f>
        <v>40</v>
      </c>
      <c r="EX38" s="613">
        <v>10</v>
      </c>
      <c r="EY38" s="613">
        <v>10</v>
      </c>
      <c r="EZ38" s="613">
        <v>10</v>
      </c>
      <c r="FA38" s="613">
        <v>10</v>
      </c>
      <c r="FB38" s="612">
        <f>SUM(EX38:FA38)</f>
        <v>40</v>
      </c>
      <c r="FC38" s="613">
        <v>10</v>
      </c>
      <c r="FD38" s="613">
        <v>10</v>
      </c>
      <c r="FE38" s="613">
        <v>10</v>
      </c>
      <c r="FF38" s="613">
        <v>10</v>
      </c>
      <c r="FG38" s="612">
        <f>SUM(FC38:FF38)</f>
        <v>40</v>
      </c>
      <c r="FH38" s="613">
        <v>10</v>
      </c>
      <c r="FI38" s="613">
        <v>10</v>
      </c>
      <c r="FJ38" s="613">
        <v>10</v>
      </c>
      <c r="FK38" s="613">
        <v>10</v>
      </c>
      <c r="FL38" s="612">
        <f>SUM(FH38:FK38)</f>
        <v>40</v>
      </c>
    </row>
    <row r="39" spans="1:168" s="93" customFormat="1" ht="11.25" customHeight="1">
      <c r="A39" s="93" t="s">
        <v>658</v>
      </c>
      <c r="BZ39" s="598"/>
      <c r="CA39" s="614">
        <f>CA31</f>
        <v>-42.5</v>
      </c>
      <c r="CB39" s="614">
        <f t="shared" ref="CB39:CZ39" si="36">CB31</f>
        <v>-42.5</v>
      </c>
      <c r="CC39" s="614">
        <f t="shared" si="36"/>
        <v>-42.5</v>
      </c>
      <c r="CD39" s="614">
        <f t="shared" si="36"/>
        <v>-42.5</v>
      </c>
      <c r="CE39" s="615">
        <f>SUM(CA39:CD39)</f>
        <v>-170</v>
      </c>
      <c r="CF39" s="614">
        <f t="shared" si="36"/>
        <v>-40.25</v>
      </c>
      <c r="CG39" s="614">
        <f t="shared" si="36"/>
        <v>-40.25</v>
      </c>
      <c r="CH39" s="614">
        <f t="shared" si="36"/>
        <v>-40.25</v>
      </c>
      <c r="CI39" s="614">
        <f t="shared" si="36"/>
        <v>-40.25</v>
      </c>
      <c r="CJ39" s="615">
        <f>SUM(CF39:CI39)</f>
        <v>-161</v>
      </c>
      <c r="CK39" s="614">
        <f t="shared" si="36"/>
        <v>-31.75</v>
      </c>
      <c r="CL39" s="614">
        <f t="shared" si="36"/>
        <v>-31.75</v>
      </c>
      <c r="CM39" s="614">
        <f t="shared" si="36"/>
        <v>-31.75</v>
      </c>
      <c r="CN39" s="614">
        <f t="shared" si="36"/>
        <v>-31.75</v>
      </c>
      <c r="CO39" s="615">
        <f>SUM(CK39:CN39)</f>
        <v>-127</v>
      </c>
      <c r="CP39" s="614">
        <f t="shared" si="36"/>
        <v>-59</v>
      </c>
      <c r="CQ39" s="614">
        <f t="shared" si="36"/>
        <v>-59</v>
      </c>
      <c r="CR39" s="614">
        <f t="shared" si="36"/>
        <v>-59</v>
      </c>
      <c r="CS39" s="614">
        <f t="shared" si="36"/>
        <v>-59</v>
      </c>
      <c r="CT39" s="615">
        <f>SUM(CP39:CS39)</f>
        <v>-236</v>
      </c>
      <c r="CU39" s="614">
        <f t="shared" si="36"/>
        <v>-102</v>
      </c>
      <c r="CV39" s="614">
        <f t="shared" si="36"/>
        <v>-112</v>
      </c>
      <c r="CW39" s="614">
        <f t="shared" si="36"/>
        <v>-115</v>
      </c>
      <c r="CX39" s="614">
        <f t="shared" si="36"/>
        <v>-118</v>
      </c>
      <c r="CY39" s="615">
        <f>SUM(CU39:CX39)</f>
        <v>-447</v>
      </c>
      <c r="CZ39" s="614">
        <f t="shared" si="36"/>
        <v>-140</v>
      </c>
      <c r="DA39" s="614">
        <f>DA31</f>
        <v>-145</v>
      </c>
      <c r="DB39" s="614">
        <f>DB31</f>
        <v>-156</v>
      </c>
      <c r="DC39" s="614">
        <f>DC31</f>
        <v>-150</v>
      </c>
      <c r="DD39" s="615">
        <f>SUM(CZ39:DC39)</f>
        <v>-591</v>
      </c>
      <c r="DE39" s="614">
        <f>DE31</f>
        <v>-149</v>
      </c>
      <c r="DF39" s="614">
        <f>DF31</f>
        <v>-169</v>
      </c>
      <c r="DG39" s="614">
        <f>DG31</f>
        <v>-198</v>
      </c>
      <c r="DH39" s="614">
        <f>DH31</f>
        <v>-164.16666666666666</v>
      </c>
      <c r="DI39" s="615">
        <f>SUM(DE39:DH39)</f>
        <v>-680.16666666666663</v>
      </c>
      <c r="DJ39" s="614">
        <f>DJ31</f>
        <v>-164.16666666666666</v>
      </c>
      <c r="DK39" s="614">
        <f>DK31</f>
        <v>-126</v>
      </c>
      <c r="DL39" s="614">
        <f>DL31</f>
        <v>-125</v>
      </c>
      <c r="DM39" s="614">
        <f>DM31</f>
        <v>-162.25</v>
      </c>
      <c r="DN39" s="615">
        <f>SUM(DJ39:DM39)</f>
        <v>-577.41666666666663</v>
      </c>
      <c r="DO39" s="614">
        <f>DO31</f>
        <v>-162.29166666666666</v>
      </c>
      <c r="DP39" s="614">
        <f>DP31</f>
        <v>-155</v>
      </c>
      <c r="DQ39" s="614">
        <f>DQ31</f>
        <v>-142</v>
      </c>
      <c r="DR39" s="614">
        <f>DR31</f>
        <v>-254.16249999999999</v>
      </c>
      <c r="DS39" s="615">
        <f>SUM(DO39:DR39)</f>
        <v>-713.45416666666665</v>
      </c>
      <c r="DT39" s="614">
        <f>DT31</f>
        <v>-265.12083333333334</v>
      </c>
      <c r="DU39" s="614">
        <f>DU31</f>
        <v>-155</v>
      </c>
      <c r="DV39" s="614">
        <f>DV31</f>
        <v>-187</v>
      </c>
      <c r="DW39" s="614">
        <f>DW31</f>
        <v>-187</v>
      </c>
      <c r="DX39" s="615">
        <f>SUM(DT39:DW39)</f>
        <v>-794.12083333333339</v>
      </c>
      <c r="DY39" s="614">
        <f>DY31</f>
        <v>-294.23333333333329</v>
      </c>
      <c r="DZ39" s="614">
        <f>DZ31</f>
        <v>-166</v>
      </c>
      <c r="EA39" s="614">
        <f>EA31</f>
        <v>-170</v>
      </c>
      <c r="EB39" s="614">
        <f>EB31</f>
        <v>-179</v>
      </c>
      <c r="EC39" s="615">
        <f>SUM(DY39:EB39)</f>
        <v>-809.23333333333335</v>
      </c>
      <c r="ED39" s="614">
        <f>ED31</f>
        <v>-249.70999999999998</v>
      </c>
      <c r="EE39" s="614">
        <f>EE31</f>
        <v>-251.4725</v>
      </c>
      <c r="EF39" s="614">
        <f>EF31</f>
        <v>-170</v>
      </c>
      <c r="EG39" s="614">
        <f>EG31</f>
        <v>-288.42250000000001</v>
      </c>
      <c r="EH39" s="615">
        <f>SUM(ED39:EG39)</f>
        <v>-959.60500000000002</v>
      </c>
      <c r="EI39" s="614">
        <f>EI31</f>
        <v>-296.2475</v>
      </c>
      <c r="EJ39" s="614">
        <f>EJ31</f>
        <v>-301.1225</v>
      </c>
      <c r="EK39" s="614">
        <f>EK31</f>
        <v>-305.88499999999999</v>
      </c>
      <c r="EL39" s="614">
        <f>EL31</f>
        <v>-312.8725</v>
      </c>
      <c r="EM39" s="615">
        <f>SUM(EI39:EL39)</f>
        <v>-1216.1275000000001</v>
      </c>
      <c r="EN39" s="614">
        <f>EN31</f>
        <v>-313.65999999999997</v>
      </c>
      <c r="EO39" s="614">
        <f>EO31</f>
        <v>-313.95999999999998</v>
      </c>
      <c r="EP39" s="614">
        <f>EP31</f>
        <v>-510.63499999999993</v>
      </c>
      <c r="EQ39" s="614">
        <f>EQ31</f>
        <v>-520.66</v>
      </c>
      <c r="ER39" s="615">
        <f>SUM(EN39:EQ39)</f>
        <v>-1658.915</v>
      </c>
      <c r="ES39" s="614">
        <f>ES31</f>
        <v>-525.13499999999999</v>
      </c>
      <c r="ET39" s="614">
        <f>ET31</f>
        <v>-527.37249999999995</v>
      </c>
      <c r="EU39" s="614">
        <f>EU31</f>
        <v>-527.70999999999992</v>
      </c>
      <c r="EV39" s="614">
        <f>EV31</f>
        <v>-530.80999999999995</v>
      </c>
      <c r="EW39" s="615">
        <f>SUM(ES39:EV39)</f>
        <v>-2111.0274999999997</v>
      </c>
      <c r="EX39" s="614">
        <f>EX31</f>
        <v>-533.91</v>
      </c>
      <c r="EY39" s="614">
        <f>EY31</f>
        <v>-538.91</v>
      </c>
      <c r="EZ39" s="614">
        <f>EZ31</f>
        <v>-543.91</v>
      </c>
      <c r="FA39" s="614">
        <f>FA31</f>
        <v>-548.91</v>
      </c>
      <c r="FB39" s="615">
        <f>SUM(EX39:FA39)</f>
        <v>-2165.64</v>
      </c>
      <c r="FC39" s="614">
        <f>FC31</f>
        <v>-553.91</v>
      </c>
      <c r="FD39" s="614">
        <f>FD31</f>
        <v>-558.91</v>
      </c>
      <c r="FE39" s="614">
        <f>FE31</f>
        <v>-563.91</v>
      </c>
      <c r="FF39" s="614">
        <f>FF31</f>
        <v>-568.91</v>
      </c>
      <c r="FG39" s="615">
        <f>SUM(FC39:FF39)</f>
        <v>-2245.64</v>
      </c>
      <c r="FH39" s="614">
        <f>FH31</f>
        <v>-573.91</v>
      </c>
      <c r="FI39" s="614">
        <f>FI31</f>
        <v>-578.91</v>
      </c>
      <c r="FJ39" s="614">
        <f>FJ31</f>
        <v>-583.91</v>
      </c>
      <c r="FK39" s="614">
        <f>FK31</f>
        <v>-588.91</v>
      </c>
      <c r="FL39" s="615">
        <f>SUM(FH39:FK39)</f>
        <v>-2325.64</v>
      </c>
    </row>
    <row r="40" spans="1:168" s="93" customFormat="1" ht="11.25" customHeight="1">
      <c r="A40" s="616"/>
      <c r="B40" s="617"/>
      <c r="C40" s="617"/>
      <c r="D40" s="617"/>
      <c r="E40" s="617"/>
      <c r="F40" s="617"/>
      <c r="G40" s="617"/>
      <c r="H40" s="617"/>
      <c r="I40" s="617"/>
      <c r="J40" s="617"/>
      <c r="K40" s="617"/>
      <c r="L40" s="617"/>
      <c r="M40" s="617"/>
      <c r="N40" s="617"/>
      <c r="O40" s="617"/>
      <c r="P40" s="617"/>
      <c r="Q40" s="617"/>
      <c r="R40" s="617"/>
      <c r="S40" s="617"/>
      <c r="T40" s="617"/>
      <c r="U40" s="617"/>
      <c r="V40" s="617"/>
      <c r="W40" s="617"/>
      <c r="X40" s="617"/>
      <c r="Y40" s="617"/>
      <c r="Z40" s="617"/>
      <c r="AA40" s="617"/>
      <c r="AB40" s="617"/>
      <c r="AC40" s="617"/>
      <c r="AD40" s="617"/>
      <c r="AE40" s="617"/>
      <c r="AF40" s="617"/>
      <c r="AG40" s="617"/>
      <c r="AH40" s="617"/>
      <c r="AI40" s="617"/>
      <c r="AJ40" s="617"/>
      <c r="AK40" s="617"/>
      <c r="AL40" s="617"/>
      <c r="AM40" s="617"/>
      <c r="AN40" s="617"/>
      <c r="AO40" s="617"/>
      <c r="AP40" s="617"/>
      <c r="AQ40" s="617"/>
      <c r="AR40" s="617"/>
      <c r="AS40" s="617"/>
      <c r="AT40" s="617"/>
      <c r="AU40" s="617"/>
      <c r="AV40" s="617"/>
      <c r="AW40" s="617"/>
      <c r="AX40" s="617"/>
      <c r="AY40" s="617"/>
      <c r="AZ40" s="617"/>
      <c r="BA40" s="617"/>
      <c r="BB40" s="617"/>
      <c r="BC40" s="617"/>
      <c r="BD40" s="617"/>
      <c r="BE40" s="617"/>
      <c r="BF40" s="617"/>
      <c r="BG40" s="617"/>
      <c r="BH40" s="617"/>
      <c r="BI40" s="617"/>
      <c r="BJ40" s="617"/>
      <c r="BK40" s="617"/>
      <c r="BL40" s="617"/>
      <c r="BM40" s="617"/>
      <c r="BN40" s="617"/>
      <c r="BO40" s="617"/>
      <c r="BP40" s="617"/>
      <c r="BQ40" s="617"/>
      <c r="BR40" s="617"/>
      <c r="BS40" s="617"/>
      <c r="BT40" s="617"/>
      <c r="BU40" s="617"/>
      <c r="BV40" s="617"/>
      <c r="BW40" s="617"/>
      <c r="BX40" s="617"/>
      <c r="BY40" s="617"/>
      <c r="BZ40" s="618"/>
      <c r="CA40" s="619"/>
      <c r="CB40" s="619"/>
      <c r="CC40" s="619"/>
      <c r="CD40" s="619"/>
      <c r="CE40" s="620"/>
      <c r="CF40" s="619"/>
      <c r="CG40" s="619"/>
      <c r="CH40" s="619"/>
      <c r="CI40" s="619"/>
      <c r="CJ40" s="620"/>
      <c r="CK40" s="619"/>
      <c r="CL40" s="619"/>
      <c r="CM40" s="619"/>
      <c r="CN40" s="619"/>
      <c r="CO40" s="620"/>
      <c r="CP40" s="619"/>
      <c r="CQ40" s="619"/>
      <c r="CR40" s="619"/>
      <c r="CS40" s="619"/>
      <c r="CT40" s="620"/>
      <c r="CU40" s="619"/>
      <c r="CV40" s="621"/>
      <c r="CW40" s="621"/>
      <c r="CX40" s="621"/>
      <c r="CY40" s="622"/>
      <c r="CZ40" s="621"/>
      <c r="DA40" s="621"/>
      <c r="DB40" s="621"/>
      <c r="DC40" s="621"/>
      <c r="DD40" s="622"/>
      <c r="DE40" s="621"/>
      <c r="DF40" s="621"/>
      <c r="DG40" s="621"/>
      <c r="DH40" s="621"/>
      <c r="DI40" s="622"/>
      <c r="DJ40" s="621"/>
      <c r="DK40" s="621"/>
      <c r="DL40" s="621"/>
      <c r="DM40" s="621"/>
      <c r="DN40" s="622"/>
      <c r="DO40" s="621"/>
      <c r="DP40" s="621"/>
      <c r="DQ40" s="621"/>
      <c r="DR40" s="621"/>
      <c r="DS40" s="622"/>
      <c r="DT40" s="621"/>
      <c r="DU40" s="621"/>
      <c r="DV40" s="621"/>
      <c r="DW40" s="621"/>
      <c r="DX40" s="622"/>
      <c r="DY40" s="621"/>
      <c r="DZ40" s="621"/>
      <c r="EA40" s="621"/>
      <c r="EB40" s="621"/>
      <c r="EC40" s="622"/>
      <c r="ED40" s="621"/>
      <c r="EE40" s="621"/>
      <c r="EF40" s="621"/>
      <c r="EG40" s="621"/>
      <c r="EH40" s="622"/>
      <c r="EI40" s="621"/>
      <c r="EJ40" s="621"/>
      <c r="EK40" s="621"/>
      <c r="EL40" s="621"/>
      <c r="EM40" s="622"/>
      <c r="EN40" s="621"/>
      <c r="EO40" s="621"/>
      <c r="EP40" s="621"/>
      <c r="EQ40" s="621"/>
      <c r="ER40" s="622"/>
      <c r="ES40" s="621"/>
      <c r="ET40" s="621"/>
      <c r="EU40" s="621"/>
      <c r="EV40" s="621"/>
      <c r="EW40" s="622"/>
      <c r="EX40" s="621"/>
      <c r="EY40" s="621"/>
      <c r="EZ40" s="621"/>
      <c r="FA40" s="621"/>
      <c r="FB40" s="622"/>
      <c r="FC40" s="621"/>
      <c r="FD40" s="621"/>
      <c r="FE40" s="621"/>
      <c r="FF40" s="621"/>
      <c r="FG40" s="622"/>
      <c r="FH40" s="621"/>
      <c r="FI40" s="621"/>
      <c r="FJ40" s="621"/>
      <c r="FK40" s="621"/>
      <c r="FL40" s="622"/>
    </row>
    <row r="41" spans="1:168" s="592" customFormat="1" ht="11.25" customHeight="1">
      <c r="A41" s="623" t="s">
        <v>756</v>
      </c>
      <c r="BZ41" s="593"/>
      <c r="CE41" s="593"/>
      <c r="CJ41" s="593"/>
      <c r="CO41" s="593"/>
      <c r="CT41" s="593"/>
      <c r="CY41" s="593"/>
      <c r="DD41" s="593"/>
      <c r="DI41" s="593"/>
      <c r="DN41" s="593"/>
      <c r="DS41" s="593"/>
      <c r="DX41" s="593"/>
      <c r="EC41" s="593"/>
      <c r="EH41" s="593"/>
      <c r="EM41" s="593"/>
      <c r="ER41" s="593"/>
      <c r="EV41" s="1204"/>
      <c r="EW41" s="1205"/>
      <c r="EX41" s="1204"/>
      <c r="EY41" s="1204"/>
      <c r="EZ41" s="1204"/>
      <c r="FA41" s="1204"/>
      <c r="FB41" s="1205"/>
      <c r="FC41" s="1204"/>
      <c r="FD41" s="1204"/>
      <c r="FE41" s="1204"/>
      <c r="FF41" s="1204"/>
      <c r="FG41" s="1205"/>
      <c r="FH41" s="1204"/>
      <c r="FI41" s="1204"/>
      <c r="FJ41" s="1204"/>
      <c r="FK41" s="1204"/>
      <c r="FL41" s="1205"/>
    </row>
    <row r="42" spans="1:168" s="243" customFormat="1" ht="3" customHeight="1">
      <c r="BZ42" s="574"/>
      <c r="CE42" s="574"/>
      <c r="CJ42" s="574"/>
      <c r="CO42" s="574"/>
      <c r="CT42" s="574"/>
      <c r="CY42" s="574"/>
      <c r="DD42" s="574"/>
      <c r="DI42" s="574"/>
      <c r="DN42" s="574"/>
      <c r="DS42" s="574"/>
      <c r="DX42" s="574"/>
      <c r="EC42" s="574"/>
      <c r="EH42" s="574"/>
      <c r="EM42" s="574"/>
      <c r="ER42" s="574"/>
      <c r="EV42" s="94"/>
      <c r="EW42" s="1201"/>
      <c r="EX42" s="94"/>
      <c r="EY42" s="94"/>
      <c r="EZ42" s="94"/>
      <c r="FA42" s="94"/>
      <c r="FB42" s="1201"/>
      <c r="FC42" s="94"/>
      <c r="FD42" s="94"/>
      <c r="FE42" s="94"/>
      <c r="FF42" s="94"/>
      <c r="FG42" s="1201"/>
      <c r="FH42" s="94"/>
      <c r="FI42" s="94"/>
      <c r="FJ42" s="94"/>
      <c r="FK42" s="94"/>
      <c r="FL42" s="1201"/>
    </row>
    <row r="43" spans="1:168" s="93" customFormat="1" ht="11.25" customHeight="1">
      <c r="A43" s="93" t="s">
        <v>533</v>
      </c>
      <c r="BZ43" s="598"/>
      <c r="CC43" s="244">
        <f>-CF!CC28</f>
        <v>0</v>
      </c>
      <c r="CD43" s="244">
        <f>-CF!CD28</f>
        <v>0</v>
      </c>
      <c r="CE43" s="581">
        <f>SUM(CA43:CD43)</f>
        <v>0</v>
      </c>
      <c r="CF43" s="244">
        <f>-CF!CF28</f>
        <v>0</v>
      </c>
      <c r="CG43" s="244">
        <f>-CF!CG28</f>
        <v>1</v>
      </c>
      <c r="CH43" s="244">
        <f>-CF!CH28</f>
        <v>11</v>
      </c>
      <c r="CI43" s="244">
        <f>-CF!CI28</f>
        <v>195</v>
      </c>
      <c r="CJ43" s="576"/>
      <c r="CK43" s="244">
        <f>-CF!CK28</f>
        <v>187</v>
      </c>
      <c r="CL43" s="244">
        <f>-CF!CL28</f>
        <v>63</v>
      </c>
      <c r="CM43" s="244">
        <f>-CF!CM28</f>
        <v>83</v>
      </c>
      <c r="CN43" s="244">
        <f>-CF!CN28</f>
        <v>316</v>
      </c>
      <c r="CO43" s="576"/>
      <c r="CP43" s="244">
        <f>-CF!CP28</f>
        <v>336</v>
      </c>
      <c r="CQ43" s="244">
        <f>-CF!CQ28</f>
        <v>125</v>
      </c>
      <c r="CR43" s="244">
        <f>-CF!CR28</f>
        <v>41</v>
      </c>
      <c r="CS43" s="244">
        <f>-CF!CS28</f>
        <v>648</v>
      </c>
      <c r="CT43" s="576"/>
      <c r="CU43" s="244">
        <f>-CF!CU28</f>
        <v>5396</v>
      </c>
      <c r="CV43" s="244">
        <f>-CF!CV28</f>
        <v>433</v>
      </c>
      <c r="CW43" s="244">
        <f>-CF!CW28</f>
        <v>138</v>
      </c>
      <c r="CX43" s="244">
        <f>-CF!CX28</f>
        <v>5159</v>
      </c>
      <c r="CY43" s="576"/>
      <c r="CZ43" s="244">
        <f>-CF!CZ28</f>
        <v>377</v>
      </c>
      <c r="DA43" s="244">
        <f>-CF!DA28</f>
        <v>450</v>
      </c>
      <c r="DB43" s="244">
        <f>-CF!DB28</f>
        <v>0</v>
      </c>
      <c r="DC43" s="244">
        <f>-CF!DC28</f>
        <v>41</v>
      </c>
      <c r="DD43" s="576"/>
      <c r="DE43" s="244">
        <f>-CF!DE28</f>
        <v>39</v>
      </c>
      <c r="DF43" s="244">
        <f>-CF!DF28</f>
        <v>63</v>
      </c>
      <c r="DG43" s="244">
        <f>-CF!DG28</f>
        <v>143</v>
      </c>
      <c r="DH43" s="244">
        <f>-CF!DH28</f>
        <v>0</v>
      </c>
      <c r="DI43" s="576"/>
      <c r="DJ43" s="244">
        <f>-CF!DJ28</f>
        <v>0</v>
      </c>
      <c r="DK43" s="244">
        <f>-CF!DK28</f>
        <v>69</v>
      </c>
      <c r="DL43" s="244">
        <f>-CF!DL28</f>
        <v>0</v>
      </c>
      <c r="DM43" s="244">
        <f>-CF!DM28</f>
        <v>2</v>
      </c>
      <c r="DN43" s="576"/>
      <c r="DO43" s="244">
        <f>-CF!DO28</f>
        <v>875</v>
      </c>
      <c r="DP43" s="244">
        <f>-CF!DP28</f>
        <v>8627</v>
      </c>
      <c r="DQ43" s="244">
        <f>-CF!DQ28</f>
        <v>84</v>
      </c>
      <c r="DR43" s="244">
        <f>-CF!DR28</f>
        <v>526</v>
      </c>
      <c r="DS43" s="576"/>
      <c r="DT43" s="244">
        <f>-CF!DT28</f>
        <v>1145</v>
      </c>
      <c r="DU43" s="244">
        <f>-CF!DU28</f>
        <v>311</v>
      </c>
      <c r="DV43" s="244">
        <f>-CF!DV28</f>
        <v>108</v>
      </c>
      <c r="DW43" s="244">
        <f>-CF!DW28</f>
        <v>20</v>
      </c>
      <c r="DX43" s="576"/>
      <c r="DY43" s="244">
        <f>-CF!DY28</f>
        <v>15</v>
      </c>
      <c r="DZ43" s="244">
        <f>-CF!DZ28</f>
        <v>139</v>
      </c>
      <c r="EA43" s="244">
        <f>-CF!EA28</f>
        <v>157</v>
      </c>
      <c r="EB43" s="244">
        <f>-CF!EB28</f>
        <v>5626</v>
      </c>
      <c r="EC43" s="576"/>
      <c r="ED43" s="244">
        <f>-CF!ED28</f>
        <v>141</v>
      </c>
      <c r="EE43" s="244">
        <f>-CF!EE28</f>
        <v>2794</v>
      </c>
      <c r="EF43" s="244">
        <f>-CF!EF28</f>
        <v>162</v>
      </c>
      <c r="EG43" s="244">
        <f>-CF!EG28</f>
        <v>626</v>
      </c>
      <c r="EH43" s="576"/>
      <c r="EI43" s="244">
        <f>-CF!EI28</f>
        <v>390</v>
      </c>
      <c r="EJ43" s="244">
        <f>-CF!EJ28</f>
        <v>381</v>
      </c>
      <c r="EK43" s="244">
        <f>-CF!EK28</f>
        <v>559</v>
      </c>
      <c r="EL43" s="244">
        <f>-CF!EL28</f>
        <v>63</v>
      </c>
      <c r="EM43" s="576"/>
      <c r="EN43" s="244">
        <f>-CF!EN28</f>
        <v>24</v>
      </c>
      <c r="EO43" s="244">
        <f>-CF!EO28</f>
        <v>24760</v>
      </c>
      <c r="EP43" s="244">
        <f>-CF!EP28</f>
        <v>802</v>
      </c>
      <c r="EQ43" s="244">
        <f>-CF!EQ28</f>
        <v>358</v>
      </c>
      <c r="ER43" s="576"/>
      <c r="ES43" s="244">
        <f>-CF!ES28</f>
        <v>179</v>
      </c>
      <c r="ET43" s="244">
        <f>-CF!ET28</f>
        <v>27</v>
      </c>
      <c r="EU43" s="244">
        <f>-CF!EU28</f>
        <v>248</v>
      </c>
      <c r="EV43" s="244">
        <f>-CF!EV28</f>
        <v>248</v>
      </c>
      <c r="EW43" s="576"/>
      <c r="EX43" s="244">
        <f>-CF!EX28</f>
        <v>400</v>
      </c>
      <c r="EY43" s="244">
        <f>-CF!EY28</f>
        <v>400</v>
      </c>
      <c r="EZ43" s="244">
        <f>-CF!EZ28</f>
        <v>400</v>
      </c>
      <c r="FA43" s="244">
        <f>-CF!FA28</f>
        <v>400</v>
      </c>
      <c r="FB43" s="576"/>
      <c r="FC43" s="244">
        <f>-CF!FC28</f>
        <v>400</v>
      </c>
      <c r="FD43" s="244">
        <f>-CF!FD28</f>
        <v>400</v>
      </c>
      <c r="FE43" s="244">
        <f>-CF!FE28</f>
        <v>400</v>
      </c>
      <c r="FF43" s="244">
        <f>-CF!FF28</f>
        <v>400</v>
      </c>
      <c r="FG43" s="576"/>
      <c r="FH43" s="244">
        <f>-CF!FH28</f>
        <v>400</v>
      </c>
      <c r="FI43" s="244">
        <f>-CF!FI28</f>
        <v>400</v>
      </c>
      <c r="FJ43" s="244">
        <f>-CF!FJ28</f>
        <v>400</v>
      </c>
      <c r="FK43" s="244">
        <f>-CF!FK28</f>
        <v>400</v>
      </c>
      <c r="FL43" s="576"/>
    </row>
    <row r="44" spans="1:168" s="93" customFormat="1" ht="11.25" customHeight="1">
      <c r="A44" s="94" t="s">
        <v>550</v>
      </c>
      <c r="BZ44" s="598"/>
      <c r="CC44" s="245">
        <v>1</v>
      </c>
      <c r="CD44" s="245">
        <v>1</v>
      </c>
      <c r="CE44" s="624"/>
      <c r="CF44" s="245">
        <v>1</v>
      </c>
      <c r="CG44" s="245">
        <v>1</v>
      </c>
      <c r="CH44" s="245">
        <v>1</v>
      </c>
      <c r="CI44" s="245">
        <v>1</v>
      </c>
      <c r="CJ44" s="624"/>
      <c r="CK44" s="245">
        <v>1</v>
      </c>
      <c r="CL44" s="245">
        <v>1</v>
      </c>
      <c r="CM44" s="245">
        <v>1</v>
      </c>
      <c r="CN44" s="245">
        <v>1</v>
      </c>
      <c r="CO44" s="624"/>
      <c r="CP44" s="245">
        <v>1</v>
      </c>
      <c r="CQ44" s="245">
        <v>1</v>
      </c>
      <c r="CR44" s="245">
        <v>1</v>
      </c>
      <c r="CS44" s="245">
        <v>1</v>
      </c>
      <c r="CT44" s="624"/>
      <c r="CU44" s="245">
        <v>1</v>
      </c>
      <c r="CV44" s="245">
        <v>1</v>
      </c>
      <c r="CW44" s="245">
        <v>1</v>
      </c>
      <c r="CX44" s="245">
        <v>1</v>
      </c>
      <c r="CY44" s="624"/>
      <c r="CZ44" s="245">
        <v>1</v>
      </c>
      <c r="DA44" s="245">
        <v>1</v>
      </c>
      <c r="DB44" s="245">
        <v>1</v>
      </c>
      <c r="DC44" s="245">
        <v>1</v>
      </c>
      <c r="DD44" s="624"/>
      <c r="DE44" s="245">
        <v>1</v>
      </c>
      <c r="DF44" s="245">
        <v>1</v>
      </c>
      <c r="DG44" s="245">
        <v>1</v>
      </c>
      <c r="DH44" s="245">
        <v>1</v>
      </c>
      <c r="DI44" s="624"/>
      <c r="DJ44" s="245">
        <v>1</v>
      </c>
      <c r="DK44" s="245">
        <v>1</v>
      </c>
      <c r="DL44" s="245">
        <v>1</v>
      </c>
      <c r="DM44" s="245">
        <v>1</v>
      </c>
      <c r="DN44" s="624"/>
      <c r="DO44" s="245">
        <v>1</v>
      </c>
      <c r="DP44" s="245">
        <v>1</v>
      </c>
      <c r="DQ44" s="245">
        <v>1</v>
      </c>
      <c r="DR44" s="245">
        <v>1</v>
      </c>
      <c r="DS44" s="624"/>
      <c r="DT44" s="245">
        <v>1</v>
      </c>
      <c r="DU44" s="245">
        <v>1</v>
      </c>
      <c r="DV44" s="245">
        <v>1</v>
      </c>
      <c r="DW44" s="245">
        <v>1</v>
      </c>
      <c r="DX44" s="624"/>
      <c r="DY44" s="245">
        <v>1</v>
      </c>
      <c r="DZ44" s="245">
        <v>1</v>
      </c>
      <c r="EA44" s="245">
        <v>1</v>
      </c>
      <c r="EB44" s="245">
        <v>1</v>
      </c>
      <c r="EC44" s="624"/>
      <c r="ED44" s="245">
        <v>1</v>
      </c>
      <c r="EE44" s="245">
        <v>1</v>
      </c>
      <c r="EF44" s="245">
        <v>1</v>
      </c>
      <c r="EG44" s="245">
        <v>1</v>
      </c>
      <c r="EH44" s="624"/>
      <c r="EI44" s="245">
        <v>1</v>
      </c>
      <c r="EJ44" s="245">
        <v>1</v>
      </c>
      <c r="EK44" s="245">
        <v>1</v>
      </c>
      <c r="EL44" s="245">
        <v>1</v>
      </c>
      <c r="EM44" s="624"/>
      <c r="EN44" s="245">
        <v>1</v>
      </c>
      <c r="EO44" s="245">
        <v>1</v>
      </c>
      <c r="EP44" s="245">
        <v>1</v>
      </c>
      <c r="EQ44" s="245">
        <v>1</v>
      </c>
      <c r="ER44" s="624"/>
      <c r="ES44" s="245">
        <v>1</v>
      </c>
      <c r="ET44" s="245">
        <v>1</v>
      </c>
      <c r="EU44" s="245">
        <v>1</v>
      </c>
      <c r="EV44" s="245">
        <v>1</v>
      </c>
      <c r="EW44" s="624"/>
      <c r="EX44" s="245">
        <v>1</v>
      </c>
      <c r="EY44" s="245">
        <v>1</v>
      </c>
      <c r="EZ44" s="245">
        <v>1</v>
      </c>
      <c r="FA44" s="245">
        <v>1</v>
      </c>
      <c r="FB44" s="624"/>
      <c r="FC44" s="245">
        <v>1</v>
      </c>
      <c r="FD44" s="245">
        <v>1</v>
      </c>
      <c r="FE44" s="245">
        <v>1</v>
      </c>
      <c r="FF44" s="245">
        <v>1</v>
      </c>
      <c r="FG44" s="624"/>
      <c r="FH44" s="245">
        <v>1</v>
      </c>
      <c r="FI44" s="245">
        <v>1</v>
      </c>
      <c r="FJ44" s="245">
        <v>1</v>
      </c>
      <c r="FK44" s="245">
        <v>1</v>
      </c>
      <c r="FL44" s="624"/>
    </row>
    <row r="45" spans="1:168" s="93" customFormat="1" ht="11.25" customHeight="1">
      <c r="A45" s="94" t="s">
        <v>551</v>
      </c>
      <c r="BZ45" s="598"/>
      <c r="CC45" s="245">
        <v>0</v>
      </c>
      <c r="CD45" s="245">
        <v>0</v>
      </c>
      <c r="CE45" s="624"/>
      <c r="CF45" s="245">
        <v>0</v>
      </c>
      <c r="CG45" s="245">
        <v>0</v>
      </c>
      <c r="CH45" s="245">
        <v>0</v>
      </c>
      <c r="CI45" s="245">
        <v>0</v>
      </c>
      <c r="CJ45" s="624"/>
      <c r="CK45" s="245">
        <v>0</v>
      </c>
      <c r="CL45" s="245">
        <v>0</v>
      </c>
      <c r="CM45" s="245">
        <v>0</v>
      </c>
      <c r="CN45" s="245">
        <v>0</v>
      </c>
      <c r="CO45" s="624"/>
      <c r="CP45" s="245">
        <v>0</v>
      </c>
      <c r="CQ45" s="245">
        <v>0</v>
      </c>
      <c r="CR45" s="245">
        <v>0</v>
      </c>
      <c r="CS45" s="245">
        <v>0</v>
      </c>
      <c r="CT45" s="624"/>
      <c r="CU45" s="245">
        <v>0</v>
      </c>
      <c r="CV45" s="245">
        <v>0</v>
      </c>
      <c r="CW45" s="245">
        <v>0</v>
      </c>
      <c r="CX45" s="245">
        <v>0</v>
      </c>
      <c r="CY45" s="624"/>
      <c r="CZ45" s="245">
        <v>0</v>
      </c>
      <c r="DA45" s="245">
        <v>0</v>
      </c>
      <c r="DB45" s="245">
        <v>0</v>
      </c>
      <c r="DC45" s="245">
        <v>0</v>
      </c>
      <c r="DD45" s="624"/>
      <c r="DE45" s="245">
        <v>0</v>
      </c>
      <c r="DF45" s="245">
        <v>0</v>
      </c>
      <c r="DG45" s="245">
        <v>0</v>
      </c>
      <c r="DH45" s="245">
        <v>0</v>
      </c>
      <c r="DI45" s="624"/>
      <c r="DJ45" s="245">
        <v>0</v>
      </c>
      <c r="DK45" s="245">
        <v>0</v>
      </c>
      <c r="DL45" s="245">
        <v>0</v>
      </c>
      <c r="DM45" s="245">
        <v>0</v>
      </c>
      <c r="DN45" s="624"/>
      <c r="DO45" s="245">
        <v>0</v>
      </c>
      <c r="DP45" s="245">
        <f>142-686</f>
        <v>-544</v>
      </c>
      <c r="DQ45" s="245">
        <v>0</v>
      </c>
      <c r="DR45" s="245">
        <v>0</v>
      </c>
      <c r="DS45" s="624"/>
      <c r="DT45" s="245">
        <v>0</v>
      </c>
      <c r="DU45" s="245">
        <v>0</v>
      </c>
      <c r="DV45" s="245">
        <v>0</v>
      </c>
      <c r="DW45" s="245">
        <v>0</v>
      </c>
      <c r="DX45" s="624"/>
      <c r="DY45" s="245">
        <v>0</v>
      </c>
      <c r="DZ45" s="245">
        <v>0</v>
      </c>
      <c r="EA45" s="245">
        <v>0</v>
      </c>
      <c r="EB45" s="245">
        <v>0</v>
      </c>
      <c r="EC45" s="624"/>
      <c r="ED45" s="245">
        <v>0</v>
      </c>
      <c r="EE45" s="245">
        <v>0</v>
      </c>
      <c r="EF45" s="245">
        <v>0</v>
      </c>
      <c r="EG45" s="245">
        <v>0</v>
      </c>
      <c r="EH45" s="624"/>
      <c r="EI45" s="245">
        <v>0</v>
      </c>
      <c r="EJ45" s="245">
        <v>0</v>
      </c>
      <c r="EK45" s="245">
        <v>0</v>
      </c>
      <c r="EL45" s="245">
        <v>0</v>
      </c>
      <c r="EM45" s="624"/>
      <c r="EN45" s="245">
        <v>0</v>
      </c>
      <c r="EO45" s="245">
        <v>0</v>
      </c>
      <c r="EP45" s="245">
        <v>0</v>
      </c>
      <c r="EQ45" s="245">
        <v>0</v>
      </c>
      <c r="ER45" s="624"/>
      <c r="ES45" s="245">
        <v>0</v>
      </c>
      <c r="ET45" s="245">
        <v>0</v>
      </c>
      <c r="EU45" s="245">
        <v>0</v>
      </c>
      <c r="EV45" s="245">
        <v>0</v>
      </c>
      <c r="EW45" s="624"/>
      <c r="EX45" s="245">
        <v>0</v>
      </c>
      <c r="EY45" s="245">
        <v>0</v>
      </c>
      <c r="EZ45" s="245">
        <v>0</v>
      </c>
      <c r="FA45" s="245">
        <v>0</v>
      </c>
      <c r="FB45" s="624"/>
      <c r="FC45" s="245">
        <v>0</v>
      </c>
      <c r="FD45" s="245">
        <v>0</v>
      </c>
      <c r="FE45" s="245">
        <v>0</v>
      </c>
      <c r="FF45" s="245">
        <v>0</v>
      </c>
      <c r="FG45" s="624"/>
      <c r="FH45" s="245">
        <v>0</v>
      </c>
      <c r="FI45" s="245">
        <v>0</v>
      </c>
      <c r="FJ45" s="245">
        <v>0</v>
      </c>
      <c r="FK45" s="245">
        <v>0</v>
      </c>
      <c r="FL45" s="624"/>
    </row>
    <row r="46" spans="1:168" s="243" customFormat="1" ht="11.25" customHeight="1">
      <c r="A46" s="243" t="s">
        <v>627</v>
      </c>
      <c r="BZ46" s="574"/>
      <c r="CC46" s="246">
        <f t="shared" ref="CC46:CI46" si="37">+CC43+CC45</f>
        <v>0</v>
      </c>
      <c r="CD46" s="246">
        <f t="shared" si="37"/>
        <v>0</v>
      </c>
      <c r="CE46" s="625"/>
      <c r="CF46" s="246">
        <f t="shared" si="37"/>
        <v>0</v>
      </c>
      <c r="CG46" s="246">
        <f t="shared" si="37"/>
        <v>1</v>
      </c>
      <c r="CH46" s="246">
        <f t="shared" si="37"/>
        <v>11</v>
      </c>
      <c r="CI46" s="246">
        <f t="shared" si="37"/>
        <v>195</v>
      </c>
      <c r="CJ46" s="625"/>
      <c r="CK46" s="246">
        <f t="shared" ref="CK46:CS46" si="38">+CK43+CK45</f>
        <v>187</v>
      </c>
      <c r="CL46" s="246">
        <f t="shared" si="38"/>
        <v>63</v>
      </c>
      <c r="CM46" s="246">
        <f t="shared" si="38"/>
        <v>83</v>
      </c>
      <c r="CN46" s="246">
        <f t="shared" si="38"/>
        <v>316</v>
      </c>
      <c r="CO46" s="625"/>
      <c r="CP46" s="246">
        <f t="shared" si="38"/>
        <v>336</v>
      </c>
      <c r="CQ46" s="246">
        <f t="shared" si="38"/>
        <v>125</v>
      </c>
      <c r="CR46" s="246">
        <f t="shared" si="38"/>
        <v>41</v>
      </c>
      <c r="CS46" s="246">
        <f t="shared" si="38"/>
        <v>648</v>
      </c>
      <c r="CT46" s="625"/>
      <c r="CU46" s="246">
        <f>+CU43+CU45</f>
        <v>5396</v>
      </c>
      <c r="CV46" s="246">
        <f>+CV43+CV45</f>
        <v>433</v>
      </c>
      <c r="CW46" s="246">
        <f>+CW43+CW45</f>
        <v>138</v>
      </c>
      <c r="CX46" s="246">
        <f>+CX43+CX45</f>
        <v>5159</v>
      </c>
      <c r="CY46" s="625"/>
      <c r="CZ46" s="246">
        <f>+CZ43+CZ45</f>
        <v>377</v>
      </c>
      <c r="DA46" s="246">
        <f>+DA43+DA45</f>
        <v>450</v>
      </c>
      <c r="DB46" s="246">
        <f>+DB43+DB45</f>
        <v>0</v>
      </c>
      <c r="DC46" s="246">
        <f>+DC43+DC45</f>
        <v>41</v>
      </c>
      <c r="DD46" s="625"/>
      <c r="DE46" s="246">
        <f>+DE43+DE45</f>
        <v>39</v>
      </c>
      <c r="DF46" s="246">
        <f>+DF43+DF45</f>
        <v>63</v>
      </c>
      <c r="DG46" s="246">
        <f>+DG43+DG45</f>
        <v>143</v>
      </c>
      <c r="DH46" s="246">
        <f>+DH43+DH45</f>
        <v>0</v>
      </c>
      <c r="DI46" s="625"/>
      <c r="DJ46" s="246">
        <f>+DJ43+DJ45</f>
        <v>0</v>
      </c>
      <c r="DK46" s="246">
        <f>+DK43+DK45</f>
        <v>69</v>
      </c>
      <c r="DL46" s="246">
        <f>+DL43+DL45</f>
        <v>0</v>
      </c>
      <c r="DM46" s="246">
        <f>+DM43+DM45</f>
        <v>2</v>
      </c>
      <c r="DN46" s="625"/>
      <c r="DO46" s="246">
        <f>+DO43+DO45</f>
        <v>875</v>
      </c>
      <c r="DP46" s="246">
        <f>+DP43+DP45</f>
        <v>8083</v>
      </c>
      <c r="DQ46" s="246">
        <f>+DQ43+DQ45</f>
        <v>84</v>
      </c>
      <c r="DR46" s="246">
        <f>+DR43+DR45</f>
        <v>526</v>
      </c>
      <c r="DS46" s="625"/>
      <c r="DT46" s="246">
        <f>+DT43+DT45</f>
        <v>1145</v>
      </c>
      <c r="DU46" s="246">
        <f>+DU43+DU45</f>
        <v>311</v>
      </c>
      <c r="DV46" s="246">
        <f>+DV43+DV45</f>
        <v>108</v>
      </c>
      <c r="DW46" s="246">
        <f>+DW43+DW45</f>
        <v>20</v>
      </c>
      <c r="DX46" s="625"/>
      <c r="DY46" s="246">
        <f>+DY43+DY45</f>
        <v>15</v>
      </c>
      <c r="DZ46" s="246">
        <f>+DZ43+DZ45</f>
        <v>139</v>
      </c>
      <c r="EA46" s="246">
        <f>+EA43+EA45</f>
        <v>157</v>
      </c>
      <c r="EB46" s="246">
        <f>+EB43+EB45</f>
        <v>5626</v>
      </c>
      <c r="EC46" s="625"/>
      <c r="ED46" s="246">
        <f>+ED43+ED45</f>
        <v>141</v>
      </c>
      <c r="EE46" s="246">
        <f>+EE43+EE45</f>
        <v>2794</v>
      </c>
      <c r="EF46" s="246">
        <f>+EF43+EF45</f>
        <v>162</v>
      </c>
      <c r="EG46" s="246">
        <f>+EG43+EG45</f>
        <v>626</v>
      </c>
      <c r="EH46" s="625"/>
      <c r="EI46" s="246">
        <f>+EI43+EI45</f>
        <v>390</v>
      </c>
      <c r="EJ46" s="246">
        <f>+EJ43+EJ45</f>
        <v>381</v>
      </c>
      <c r="EK46" s="246">
        <f>+EK43+EK45</f>
        <v>559</v>
      </c>
      <c r="EL46" s="246">
        <f>+EL43+EL45</f>
        <v>63</v>
      </c>
      <c r="EM46" s="625"/>
      <c r="EN46" s="246">
        <f>+EN43+EN45</f>
        <v>24</v>
      </c>
      <c r="EO46" s="246">
        <f>+EO43+EO45</f>
        <v>24760</v>
      </c>
      <c r="EP46" s="246">
        <f>+EP43+EP45</f>
        <v>802</v>
      </c>
      <c r="EQ46" s="246">
        <f>+EQ43+EQ45</f>
        <v>358</v>
      </c>
      <c r="ER46" s="625"/>
      <c r="ES46" s="246">
        <f>+ES43+ES45</f>
        <v>179</v>
      </c>
      <c r="ET46" s="246">
        <f>+ET43+ET45</f>
        <v>27</v>
      </c>
      <c r="EU46" s="246">
        <f>+EU43+EU45</f>
        <v>248</v>
      </c>
      <c r="EV46" s="1212">
        <f>+EV43+EV45</f>
        <v>248</v>
      </c>
      <c r="EW46" s="1213"/>
      <c r="EX46" s="1212">
        <f>+EX43+EX45</f>
        <v>400</v>
      </c>
      <c r="EY46" s="1212">
        <f>+EY43+EY45</f>
        <v>400</v>
      </c>
      <c r="EZ46" s="1212">
        <f>+EZ43+EZ45</f>
        <v>400</v>
      </c>
      <c r="FA46" s="1212">
        <f>+FA43+FA45</f>
        <v>400</v>
      </c>
      <c r="FB46" s="1213"/>
      <c r="FC46" s="1212">
        <f>+FC43+FC45</f>
        <v>400</v>
      </c>
      <c r="FD46" s="1212">
        <f>+FD43+FD45</f>
        <v>400</v>
      </c>
      <c r="FE46" s="1212">
        <f>+FE43+FE45</f>
        <v>400</v>
      </c>
      <c r="FF46" s="1212">
        <f>+FF43+FF45</f>
        <v>400</v>
      </c>
      <c r="FG46" s="1213"/>
      <c r="FH46" s="1212">
        <f>+FH43+FH45</f>
        <v>400</v>
      </c>
      <c r="FI46" s="1212">
        <f>+FI43+FI45</f>
        <v>400</v>
      </c>
      <c r="FJ46" s="1212">
        <f>+FJ43+FJ45</f>
        <v>400</v>
      </c>
      <c r="FK46" s="1212">
        <f>+FK43+FK45</f>
        <v>400</v>
      </c>
      <c r="FL46" s="1213"/>
    </row>
    <row r="47" spans="1:168" s="243" customFormat="1" ht="11.25" customHeight="1">
      <c r="A47" s="243" t="s">
        <v>696</v>
      </c>
      <c r="BZ47" s="574"/>
      <c r="CC47" s="247">
        <v>100</v>
      </c>
      <c r="CD47" s="247">
        <v>100</v>
      </c>
      <c r="CE47" s="626"/>
      <c r="CF47" s="247">
        <v>100</v>
      </c>
      <c r="CG47" s="247">
        <v>100</v>
      </c>
      <c r="CH47" s="247">
        <v>100</v>
      </c>
      <c r="CI47" s="247">
        <v>100</v>
      </c>
      <c r="CJ47" s="626"/>
      <c r="CK47" s="247">
        <v>100</v>
      </c>
      <c r="CL47" s="247">
        <v>100</v>
      </c>
      <c r="CM47" s="247">
        <v>100</v>
      </c>
      <c r="CN47" s="247">
        <v>100</v>
      </c>
      <c r="CO47" s="626"/>
      <c r="CP47" s="247">
        <v>100</v>
      </c>
      <c r="CQ47" s="247">
        <v>100</v>
      </c>
      <c r="CR47" s="247">
        <v>100</v>
      </c>
      <c r="CS47" s="247">
        <v>100</v>
      </c>
      <c r="CT47" s="626"/>
      <c r="CU47" s="247">
        <v>100</v>
      </c>
      <c r="CV47" s="247">
        <v>100</v>
      </c>
      <c r="CW47" s="247">
        <v>100</v>
      </c>
      <c r="CX47" s="247">
        <v>100</v>
      </c>
      <c r="CY47" s="626"/>
      <c r="CZ47" s="247">
        <v>100</v>
      </c>
      <c r="DA47" s="247">
        <v>100</v>
      </c>
      <c r="DB47" s="247">
        <v>100</v>
      </c>
      <c r="DC47" s="247">
        <v>100</v>
      </c>
      <c r="DD47" s="626"/>
      <c r="DE47" s="247">
        <v>100</v>
      </c>
      <c r="DF47" s="247">
        <v>100</v>
      </c>
      <c r="DG47" s="247">
        <v>100</v>
      </c>
      <c r="DH47" s="247">
        <v>100</v>
      </c>
      <c r="DI47" s="626"/>
      <c r="DJ47" s="247">
        <v>100</v>
      </c>
      <c r="DK47" s="247">
        <v>100</v>
      </c>
      <c r="DL47" s="247">
        <v>100</v>
      </c>
      <c r="DM47" s="247">
        <v>100</v>
      </c>
      <c r="DN47" s="626"/>
      <c r="DO47" s="247">
        <v>100</v>
      </c>
      <c r="DP47" s="247">
        <v>100</v>
      </c>
      <c r="DQ47" s="247">
        <v>100</v>
      </c>
      <c r="DR47" s="247">
        <v>100</v>
      </c>
      <c r="DS47" s="626"/>
      <c r="DT47" s="247">
        <v>100</v>
      </c>
      <c r="DU47" s="247">
        <v>100</v>
      </c>
      <c r="DV47" s="247">
        <v>100</v>
      </c>
      <c r="DW47" s="247">
        <v>100</v>
      </c>
      <c r="DX47" s="626"/>
      <c r="DY47" s="247">
        <v>100</v>
      </c>
      <c r="DZ47" s="247">
        <v>100</v>
      </c>
      <c r="EA47" s="247">
        <v>100</v>
      </c>
      <c r="EB47" s="247">
        <v>100</v>
      </c>
      <c r="EC47" s="626"/>
      <c r="ED47" s="247">
        <v>100</v>
      </c>
      <c r="EE47" s="247">
        <v>100</v>
      </c>
      <c r="EF47" s="247">
        <v>100</v>
      </c>
      <c r="EG47" s="247">
        <v>100</v>
      </c>
      <c r="EH47" s="626"/>
      <c r="EI47" s="247">
        <v>100</v>
      </c>
      <c r="EJ47" s="247">
        <v>100</v>
      </c>
      <c r="EK47" s="247">
        <v>100</v>
      </c>
      <c r="EL47" s="247">
        <v>100</v>
      </c>
      <c r="EM47" s="626"/>
      <c r="EN47" s="247">
        <v>100</v>
      </c>
      <c r="EO47" s="247">
        <v>100</v>
      </c>
      <c r="EP47" s="247">
        <v>100</v>
      </c>
      <c r="EQ47" s="247">
        <v>100</v>
      </c>
      <c r="ER47" s="626"/>
      <c r="ES47" s="247">
        <v>100</v>
      </c>
      <c r="ET47" s="247">
        <v>100</v>
      </c>
      <c r="EU47" s="247">
        <v>100</v>
      </c>
      <c r="EV47" s="1214">
        <v>100</v>
      </c>
      <c r="EW47" s="1215"/>
      <c r="EX47" s="1214">
        <v>100</v>
      </c>
      <c r="EY47" s="1214">
        <v>100</v>
      </c>
      <c r="EZ47" s="1214">
        <v>100</v>
      </c>
      <c r="FA47" s="1214">
        <v>100</v>
      </c>
      <c r="FB47" s="1215"/>
      <c r="FC47" s="1214">
        <v>100</v>
      </c>
      <c r="FD47" s="1214">
        <v>100</v>
      </c>
      <c r="FE47" s="1214">
        <v>100</v>
      </c>
      <c r="FF47" s="1214">
        <v>100</v>
      </c>
      <c r="FG47" s="1215"/>
      <c r="FH47" s="1214">
        <v>100</v>
      </c>
      <c r="FI47" s="1214">
        <v>100</v>
      </c>
      <c r="FJ47" s="1214">
        <v>100</v>
      </c>
      <c r="FK47" s="1214">
        <v>100</v>
      </c>
      <c r="FL47" s="1215"/>
    </row>
    <row r="48" spans="1:168" s="243" customFormat="1" ht="11.25" customHeight="1">
      <c r="A48" s="243" t="s">
        <v>697</v>
      </c>
      <c r="BZ48" s="574"/>
      <c r="CC48" s="248">
        <f t="shared" ref="CC48:CI48" si="39">+CC46*(1-CC47/100)</f>
        <v>0</v>
      </c>
      <c r="CD48" s="248">
        <f t="shared" si="39"/>
        <v>0</v>
      </c>
      <c r="CE48" s="578"/>
      <c r="CF48" s="248">
        <f t="shared" si="39"/>
        <v>0</v>
      </c>
      <c r="CG48" s="248">
        <f t="shared" si="39"/>
        <v>0</v>
      </c>
      <c r="CH48" s="248">
        <f t="shared" si="39"/>
        <v>0</v>
      </c>
      <c r="CI48" s="248">
        <f t="shared" si="39"/>
        <v>0</v>
      </c>
      <c r="CJ48" s="578"/>
      <c r="CK48" s="248">
        <f t="shared" ref="CK48:CS48" si="40">+CK46*(1-CK47/100)</f>
        <v>0</v>
      </c>
      <c r="CL48" s="248">
        <f t="shared" si="40"/>
        <v>0</v>
      </c>
      <c r="CM48" s="248">
        <f t="shared" si="40"/>
        <v>0</v>
      </c>
      <c r="CN48" s="248">
        <f t="shared" si="40"/>
        <v>0</v>
      </c>
      <c r="CO48" s="578"/>
      <c r="CP48" s="248">
        <f t="shared" si="40"/>
        <v>0</v>
      </c>
      <c r="CQ48" s="248">
        <f t="shared" si="40"/>
        <v>0</v>
      </c>
      <c r="CR48" s="248">
        <f t="shared" si="40"/>
        <v>0</v>
      </c>
      <c r="CS48" s="248">
        <f t="shared" si="40"/>
        <v>0</v>
      </c>
      <c r="CT48" s="578"/>
      <c r="CU48" s="248">
        <f>+CU46*(1-CU47/100)</f>
        <v>0</v>
      </c>
      <c r="CV48" s="248">
        <f>+CV46*(1-CV47/100)</f>
        <v>0</v>
      </c>
      <c r="CW48" s="248">
        <f>+CW46*(1-CW47/100)</f>
        <v>0</v>
      </c>
      <c r="CX48" s="248">
        <f>+CX46*(1-CX47/100)</f>
        <v>0</v>
      </c>
      <c r="CY48" s="578"/>
      <c r="CZ48" s="248"/>
      <c r="DA48" s="248"/>
      <c r="DB48" s="248"/>
      <c r="DC48" s="248"/>
      <c r="DD48" s="578"/>
      <c r="DE48" s="248"/>
      <c r="DF48" s="248"/>
      <c r="DG48" s="248"/>
      <c r="DH48" s="248"/>
      <c r="DI48" s="578"/>
      <c r="DJ48" s="248"/>
      <c r="DK48" s="248"/>
      <c r="DL48" s="248"/>
      <c r="DM48" s="248"/>
      <c r="DN48" s="578"/>
      <c r="DO48" s="248"/>
      <c r="DP48" s="248"/>
      <c r="DQ48" s="248"/>
      <c r="DR48" s="248"/>
      <c r="DS48" s="578"/>
      <c r="DT48" s="248"/>
      <c r="DU48" s="248"/>
      <c r="DV48" s="248"/>
      <c r="DW48" s="248"/>
      <c r="DX48" s="578"/>
      <c r="DY48" s="248"/>
      <c r="DZ48" s="248"/>
      <c r="EA48" s="248"/>
      <c r="EB48" s="248"/>
      <c r="EC48" s="578"/>
      <c r="ED48" s="248"/>
      <c r="EE48" s="248"/>
      <c r="EF48" s="248"/>
      <c r="EG48" s="248"/>
      <c r="EH48" s="578"/>
      <c r="EI48" s="248"/>
      <c r="EJ48" s="248"/>
      <c r="EK48" s="248"/>
      <c r="EL48" s="248"/>
      <c r="EM48" s="578"/>
      <c r="EN48" s="248"/>
      <c r="EO48" s="248"/>
      <c r="EP48" s="248"/>
      <c r="EQ48" s="248"/>
      <c r="ER48" s="578"/>
      <c r="ES48" s="248"/>
      <c r="ET48" s="248"/>
      <c r="EU48" s="248"/>
      <c r="EV48" s="1216"/>
      <c r="EW48" s="1203"/>
      <c r="EX48" s="1216"/>
      <c r="EY48" s="1216"/>
      <c r="EZ48" s="1216"/>
      <c r="FA48" s="1216"/>
      <c r="FB48" s="1203"/>
      <c r="FC48" s="1216"/>
      <c r="FD48" s="1216"/>
      <c r="FE48" s="1216"/>
      <c r="FF48" s="1216"/>
      <c r="FG48" s="1203"/>
      <c r="FH48" s="1216"/>
      <c r="FI48" s="1216"/>
      <c r="FJ48" s="1216"/>
      <c r="FK48" s="1216"/>
      <c r="FL48" s="1203"/>
    </row>
    <row r="49" spans="1:168" s="93" customFormat="1" ht="11.25" customHeight="1">
      <c r="A49" s="93" t="s">
        <v>79</v>
      </c>
      <c r="BZ49" s="598"/>
      <c r="CC49" s="627">
        <f>+CC48/OPT!CC7</f>
        <v>0</v>
      </c>
      <c r="CD49" s="627">
        <f>+CD48/OPT!CD7</f>
        <v>0</v>
      </c>
      <c r="CE49" s="628"/>
      <c r="CF49" s="627">
        <f>+CF48/OPT!CF7</f>
        <v>0</v>
      </c>
      <c r="CG49" s="627">
        <f>+CG48/OPT!CG7</f>
        <v>0</v>
      </c>
      <c r="CH49" s="627">
        <f>+CH48/OPT!CH7</f>
        <v>0</v>
      </c>
      <c r="CI49" s="627">
        <f>+CI48/OPT!CI7</f>
        <v>0</v>
      </c>
      <c r="CJ49" s="628"/>
      <c r="CK49" s="627">
        <f>+CK48/OPT!CK7</f>
        <v>0</v>
      </c>
      <c r="CL49" s="627">
        <f>+CL48/OPT!CL7</f>
        <v>0</v>
      </c>
      <c r="CM49" s="627">
        <f>+CM48/OPT!CM7</f>
        <v>0</v>
      </c>
      <c r="CN49" s="627">
        <f>+CN48/OPT!CN7</f>
        <v>0</v>
      </c>
      <c r="CO49" s="628"/>
      <c r="CP49" s="627">
        <f>+CP48/OPT!CP7</f>
        <v>0</v>
      </c>
      <c r="CQ49" s="627">
        <f>+CQ48/OPT!CQ7</f>
        <v>0</v>
      </c>
      <c r="CR49" s="627">
        <f>+CR48/OPT!CR7</f>
        <v>0</v>
      </c>
      <c r="CS49" s="627">
        <f>+CS48/OPT!CS7</f>
        <v>0</v>
      </c>
      <c r="CT49" s="628"/>
      <c r="CU49" s="627">
        <f>+CU48/OPT!CU7</f>
        <v>0</v>
      </c>
      <c r="CV49" s="627">
        <f>+CV48/OPT!CV7</f>
        <v>0</v>
      </c>
      <c r="CW49" s="627">
        <f>+CW48/OPT!CW7</f>
        <v>0</v>
      </c>
      <c r="CX49" s="627">
        <f>+CX48/OPT!CX7</f>
        <v>0</v>
      </c>
      <c r="CY49" s="628"/>
      <c r="CZ49" s="627"/>
      <c r="DA49" s="627"/>
      <c r="DB49" s="627"/>
      <c r="DC49" s="627"/>
      <c r="DD49" s="628"/>
      <c r="DE49" s="627"/>
      <c r="DF49" s="627"/>
      <c r="DG49" s="627"/>
      <c r="DH49" s="627"/>
      <c r="DI49" s="628"/>
      <c r="DJ49" s="627"/>
      <c r="DK49" s="627"/>
      <c r="DL49" s="627"/>
      <c r="DM49" s="627"/>
      <c r="DN49" s="628"/>
      <c r="DO49" s="627"/>
      <c r="DP49" s="249"/>
      <c r="DQ49" s="627"/>
      <c r="DR49" s="627"/>
      <c r="DS49" s="628"/>
      <c r="DT49" s="627"/>
      <c r="DU49" s="249"/>
      <c r="DV49" s="627"/>
      <c r="DW49" s="627"/>
      <c r="DX49" s="628"/>
      <c r="DY49" s="627"/>
      <c r="DZ49" s="249"/>
      <c r="EA49" s="627"/>
      <c r="EB49" s="627"/>
      <c r="EC49" s="628"/>
      <c r="ED49" s="627"/>
      <c r="EE49" s="627"/>
      <c r="EF49" s="627"/>
      <c r="EG49" s="627"/>
      <c r="EH49" s="628"/>
      <c r="EI49" s="627"/>
      <c r="EJ49" s="627"/>
      <c r="EK49" s="627"/>
      <c r="EL49" s="627"/>
      <c r="EM49" s="628"/>
      <c r="EN49" s="627"/>
      <c r="EO49" s="627"/>
      <c r="EP49" s="627"/>
      <c r="EQ49" s="627"/>
      <c r="ER49" s="628"/>
      <c r="ES49" s="627"/>
      <c r="ET49" s="627"/>
      <c r="EU49" s="627"/>
      <c r="EV49" s="627"/>
      <c r="EW49" s="628"/>
      <c r="EX49" s="627"/>
      <c r="EY49" s="627"/>
      <c r="EZ49" s="627"/>
      <c r="FA49" s="627"/>
      <c r="FB49" s="628"/>
      <c r="FC49" s="627"/>
      <c r="FD49" s="627"/>
      <c r="FE49" s="627"/>
      <c r="FF49" s="627"/>
      <c r="FG49" s="628"/>
      <c r="FH49" s="627"/>
      <c r="FI49" s="627"/>
      <c r="FJ49" s="627"/>
      <c r="FK49" s="627"/>
      <c r="FL49" s="628"/>
    </row>
    <row r="50" spans="1:168" s="243" customFormat="1" ht="11.25" customHeight="1">
      <c r="A50" s="93" t="s">
        <v>80</v>
      </c>
      <c r="BZ50" s="574"/>
      <c r="CE50" s="574"/>
      <c r="CJ50" s="574"/>
      <c r="CO50" s="574"/>
      <c r="CT50" s="574"/>
      <c r="CY50" s="574"/>
      <c r="DD50" s="574"/>
      <c r="DI50" s="574"/>
      <c r="DN50" s="574"/>
      <c r="DS50" s="574"/>
      <c r="DX50" s="574"/>
      <c r="EC50" s="574"/>
      <c r="EH50" s="574"/>
      <c r="EM50" s="574"/>
      <c r="ER50" s="574"/>
      <c r="EV50" s="94"/>
      <c r="EW50" s="1201"/>
      <c r="EX50" s="94"/>
      <c r="EY50" s="94"/>
      <c r="EZ50" s="94"/>
      <c r="FA50" s="94"/>
      <c r="FB50" s="1201"/>
      <c r="FC50" s="94"/>
      <c r="FD50" s="94"/>
      <c r="FE50" s="94"/>
      <c r="FF50" s="94"/>
      <c r="FG50" s="1201"/>
      <c r="FH50" s="94"/>
      <c r="FI50" s="94"/>
      <c r="FJ50" s="94"/>
      <c r="FK50" s="94"/>
      <c r="FL50" s="1201"/>
    </row>
    <row r="51" spans="1:168" s="243" customFormat="1" ht="11.25" customHeight="1">
      <c r="A51" s="94" t="s">
        <v>81</v>
      </c>
      <c r="BZ51" s="574"/>
      <c r="CC51" s="247">
        <v>50</v>
      </c>
      <c r="CD51" s="247">
        <v>50</v>
      </c>
      <c r="CE51" s="626"/>
      <c r="CF51" s="247">
        <v>50</v>
      </c>
      <c r="CG51" s="247">
        <v>50</v>
      </c>
      <c r="CH51" s="247">
        <v>50</v>
      </c>
      <c r="CI51" s="247">
        <v>50</v>
      </c>
      <c r="CJ51" s="626"/>
      <c r="CK51" s="247">
        <v>50</v>
      </c>
      <c r="CL51" s="247">
        <v>50</v>
      </c>
      <c r="CM51" s="247">
        <v>50</v>
      </c>
      <c r="CN51" s="247">
        <v>50</v>
      </c>
      <c r="CO51" s="626"/>
      <c r="CP51" s="247">
        <v>50</v>
      </c>
      <c r="CQ51" s="247">
        <v>50</v>
      </c>
      <c r="CR51" s="247">
        <v>50</v>
      </c>
      <c r="CS51" s="247">
        <v>50</v>
      </c>
      <c r="CT51" s="626"/>
      <c r="CU51" s="247">
        <v>50</v>
      </c>
      <c r="CV51" s="247">
        <v>50</v>
      </c>
      <c r="CW51" s="247">
        <v>50</v>
      </c>
      <c r="CX51" s="247">
        <v>50</v>
      </c>
      <c r="CY51" s="626"/>
      <c r="CZ51" s="247">
        <v>50</v>
      </c>
      <c r="DA51" s="247">
        <v>50</v>
      </c>
      <c r="DB51" s="247">
        <v>50</v>
      </c>
      <c r="DC51" s="247">
        <v>50</v>
      </c>
      <c r="DD51" s="626"/>
      <c r="DE51" s="247">
        <v>50</v>
      </c>
      <c r="DF51" s="247">
        <v>50</v>
      </c>
      <c r="DG51" s="247">
        <v>50</v>
      </c>
      <c r="DH51" s="247">
        <v>50</v>
      </c>
      <c r="DI51" s="626"/>
      <c r="DJ51" s="247">
        <v>50</v>
      </c>
      <c r="DK51" s="247">
        <v>50</v>
      </c>
      <c r="DL51" s="247">
        <v>50</v>
      </c>
      <c r="DM51" s="247">
        <v>50</v>
      </c>
      <c r="DN51" s="626"/>
      <c r="DO51" s="247">
        <v>50</v>
      </c>
      <c r="DP51" s="250">
        <v>80</v>
      </c>
      <c r="DQ51" s="247">
        <v>50</v>
      </c>
      <c r="DR51" s="247">
        <v>50</v>
      </c>
      <c r="DS51" s="626"/>
      <c r="DT51" s="247">
        <v>50</v>
      </c>
      <c r="DU51" s="250">
        <v>80</v>
      </c>
      <c r="DV51" s="247">
        <v>50</v>
      </c>
      <c r="DW51" s="247">
        <v>50</v>
      </c>
      <c r="DX51" s="626"/>
      <c r="DY51" s="247">
        <v>50</v>
      </c>
      <c r="DZ51" s="250">
        <v>80</v>
      </c>
      <c r="EA51" s="247">
        <v>50</v>
      </c>
      <c r="EB51" s="247">
        <v>50</v>
      </c>
      <c r="EC51" s="626"/>
      <c r="ED51" s="247">
        <v>50</v>
      </c>
      <c r="EE51" s="247">
        <v>50</v>
      </c>
      <c r="EF51" s="247">
        <v>50</v>
      </c>
      <c r="EG51" s="247">
        <v>50</v>
      </c>
      <c r="EH51" s="626"/>
      <c r="EI51" s="247">
        <v>50</v>
      </c>
      <c r="EJ51" s="247">
        <v>50</v>
      </c>
      <c r="EK51" s="247">
        <v>50</v>
      </c>
      <c r="EL51" s="247">
        <v>50</v>
      </c>
      <c r="EM51" s="626"/>
      <c r="EN51" s="247">
        <v>50</v>
      </c>
      <c r="EO51" s="247">
        <v>68.226978998384496</v>
      </c>
      <c r="EP51" s="247">
        <v>50</v>
      </c>
      <c r="EQ51" s="247">
        <v>50</v>
      </c>
      <c r="ER51" s="626"/>
      <c r="ES51" s="247">
        <v>50</v>
      </c>
      <c r="ET51" s="1214">
        <v>50</v>
      </c>
      <c r="EU51" s="247">
        <v>50</v>
      </c>
      <c r="EV51" s="1214">
        <v>50</v>
      </c>
      <c r="EW51" s="1215"/>
      <c r="EX51" s="1214">
        <v>50</v>
      </c>
      <c r="EY51" s="1214">
        <v>50</v>
      </c>
      <c r="EZ51" s="1214">
        <v>50</v>
      </c>
      <c r="FA51" s="1214">
        <v>50</v>
      </c>
      <c r="FB51" s="1215"/>
      <c r="FC51" s="1214">
        <v>50</v>
      </c>
      <c r="FD51" s="1214">
        <v>50</v>
      </c>
      <c r="FE51" s="1214">
        <v>50</v>
      </c>
      <c r="FF51" s="1214">
        <v>50</v>
      </c>
      <c r="FG51" s="1215"/>
      <c r="FH51" s="1214">
        <v>50</v>
      </c>
      <c r="FI51" s="1214">
        <v>50</v>
      </c>
      <c r="FJ51" s="1214">
        <v>50</v>
      </c>
      <c r="FK51" s="1214">
        <v>50</v>
      </c>
      <c r="FL51" s="1215"/>
    </row>
    <row r="52" spans="1:168" s="243" customFormat="1" ht="11.25" customHeight="1">
      <c r="A52" s="94" t="s">
        <v>82</v>
      </c>
      <c r="BZ52" s="574"/>
      <c r="CC52" s="629">
        <f t="shared" ref="CC52:CI52" si="41">100-CC51</f>
        <v>50</v>
      </c>
      <c r="CD52" s="629">
        <f t="shared" si="41"/>
        <v>50</v>
      </c>
      <c r="CE52" s="630"/>
      <c r="CF52" s="629">
        <f t="shared" si="41"/>
        <v>50</v>
      </c>
      <c r="CG52" s="629">
        <f t="shared" si="41"/>
        <v>50</v>
      </c>
      <c r="CH52" s="629">
        <f t="shared" si="41"/>
        <v>50</v>
      </c>
      <c r="CI52" s="629">
        <f t="shared" si="41"/>
        <v>50</v>
      </c>
      <c r="CJ52" s="630"/>
      <c r="CK52" s="629">
        <f t="shared" ref="CK52:CS52" si="42">100-CK51</f>
        <v>50</v>
      </c>
      <c r="CL52" s="629">
        <f t="shared" si="42"/>
        <v>50</v>
      </c>
      <c r="CM52" s="629">
        <f t="shared" si="42"/>
        <v>50</v>
      </c>
      <c r="CN52" s="629">
        <f t="shared" si="42"/>
        <v>50</v>
      </c>
      <c r="CO52" s="630"/>
      <c r="CP52" s="629">
        <f t="shared" si="42"/>
        <v>50</v>
      </c>
      <c r="CQ52" s="629">
        <f t="shared" si="42"/>
        <v>50</v>
      </c>
      <c r="CR52" s="629">
        <f t="shared" si="42"/>
        <v>50</v>
      </c>
      <c r="CS52" s="629">
        <f t="shared" si="42"/>
        <v>50</v>
      </c>
      <c r="CT52" s="630"/>
      <c r="CU52" s="629">
        <f>100-CU51</f>
        <v>50</v>
      </c>
      <c r="CV52" s="629">
        <f>100-CV51</f>
        <v>50</v>
      </c>
      <c r="CW52" s="629">
        <f>100-CW51</f>
        <v>50</v>
      </c>
      <c r="CX52" s="629">
        <f>100-CX51</f>
        <v>50</v>
      </c>
      <c r="CY52" s="630"/>
      <c r="CZ52" s="629">
        <f>100-CZ51</f>
        <v>50</v>
      </c>
      <c r="DA52" s="629">
        <f>100-DA51</f>
        <v>50</v>
      </c>
      <c r="DB52" s="629">
        <f>100-DB51</f>
        <v>50</v>
      </c>
      <c r="DC52" s="629">
        <f>100-DC51</f>
        <v>50</v>
      </c>
      <c r="DD52" s="630"/>
      <c r="DE52" s="629">
        <f>100-DE51</f>
        <v>50</v>
      </c>
      <c r="DF52" s="629">
        <f>100-DF51</f>
        <v>50</v>
      </c>
      <c r="DG52" s="629">
        <f>100-DG51</f>
        <v>50</v>
      </c>
      <c r="DH52" s="629">
        <f>100-DH51</f>
        <v>50</v>
      </c>
      <c r="DI52" s="630"/>
      <c r="DJ52" s="629">
        <f>100-DJ51</f>
        <v>50</v>
      </c>
      <c r="DK52" s="629">
        <f>100-DK51</f>
        <v>50</v>
      </c>
      <c r="DL52" s="629">
        <f>100-DL51</f>
        <v>50</v>
      </c>
      <c r="DM52" s="629">
        <f>100-DM51</f>
        <v>50</v>
      </c>
      <c r="DN52" s="630"/>
      <c r="DO52" s="629">
        <f>100-DO51</f>
        <v>50</v>
      </c>
      <c r="DP52" s="629">
        <f>100-DP51</f>
        <v>20</v>
      </c>
      <c r="DQ52" s="629">
        <f>100-DQ51</f>
        <v>50</v>
      </c>
      <c r="DR52" s="629">
        <f>100-DR51</f>
        <v>50</v>
      </c>
      <c r="DS52" s="630"/>
      <c r="DT52" s="629">
        <f>100-DT51</f>
        <v>50</v>
      </c>
      <c r="DU52" s="629">
        <f>100-DU51</f>
        <v>20</v>
      </c>
      <c r="DV52" s="629">
        <f>100-DV51</f>
        <v>50</v>
      </c>
      <c r="DW52" s="629">
        <f>100-DW51</f>
        <v>50</v>
      </c>
      <c r="DX52" s="630"/>
      <c r="DY52" s="629">
        <f>100-DY51</f>
        <v>50</v>
      </c>
      <c r="DZ52" s="629">
        <f>100-DZ51</f>
        <v>20</v>
      </c>
      <c r="EA52" s="629">
        <f>100-EA51</f>
        <v>50</v>
      </c>
      <c r="EB52" s="629">
        <f>100-EB51</f>
        <v>50</v>
      </c>
      <c r="EC52" s="630"/>
      <c r="ED52" s="629">
        <f>100-ED51</f>
        <v>50</v>
      </c>
      <c r="EE52" s="629">
        <f>100-EE51</f>
        <v>50</v>
      </c>
      <c r="EF52" s="629">
        <f>100-EF51</f>
        <v>50</v>
      </c>
      <c r="EG52" s="629">
        <f>100-EG51</f>
        <v>50</v>
      </c>
      <c r="EH52" s="630"/>
      <c r="EI52" s="629">
        <f>100-EI51</f>
        <v>50</v>
      </c>
      <c r="EJ52" s="629">
        <f>100-EJ51</f>
        <v>50</v>
      </c>
      <c r="EK52" s="629">
        <f>100-EK51</f>
        <v>50</v>
      </c>
      <c r="EL52" s="629">
        <f>100-EL51</f>
        <v>50</v>
      </c>
      <c r="EM52" s="630"/>
      <c r="EN52" s="629">
        <f>100-EN51</f>
        <v>50</v>
      </c>
      <c r="EO52" s="629">
        <f>100-EO51</f>
        <v>31.773021001615504</v>
      </c>
      <c r="EP52" s="629">
        <f>100-EP51</f>
        <v>50</v>
      </c>
      <c r="EQ52" s="629">
        <f>100-EQ51</f>
        <v>50</v>
      </c>
      <c r="ER52" s="630"/>
      <c r="ES52" s="629">
        <f>100-ES51</f>
        <v>50</v>
      </c>
      <c r="ET52" s="629">
        <f>100-ET51</f>
        <v>50</v>
      </c>
      <c r="EU52" s="629">
        <f>100-EU51</f>
        <v>50</v>
      </c>
      <c r="EV52" s="1217">
        <f>100-EV51</f>
        <v>50</v>
      </c>
      <c r="EW52" s="1218"/>
      <c r="EX52" s="1217">
        <f>100-EX51</f>
        <v>50</v>
      </c>
      <c r="EY52" s="1217">
        <f>100-EY51</f>
        <v>50</v>
      </c>
      <c r="EZ52" s="1217">
        <f>100-EZ51</f>
        <v>50</v>
      </c>
      <c r="FA52" s="1217">
        <f>100-FA51</f>
        <v>50</v>
      </c>
      <c r="FB52" s="1218"/>
      <c r="FC52" s="1217">
        <f>100-FC51</f>
        <v>50</v>
      </c>
      <c r="FD52" s="1217">
        <f>100-FD51</f>
        <v>50</v>
      </c>
      <c r="FE52" s="1217">
        <f>100-FE51</f>
        <v>50</v>
      </c>
      <c r="FF52" s="1217">
        <f>100-FF51</f>
        <v>50</v>
      </c>
      <c r="FG52" s="1218"/>
      <c r="FH52" s="1217">
        <f>100-FH51</f>
        <v>50</v>
      </c>
      <c r="FI52" s="1217">
        <f>100-FI51</f>
        <v>50</v>
      </c>
      <c r="FJ52" s="1217">
        <f>100-FJ51</f>
        <v>50</v>
      </c>
      <c r="FK52" s="1217">
        <f>100-FK51</f>
        <v>50</v>
      </c>
      <c r="FL52" s="1218"/>
    </row>
    <row r="53" spans="1:168" s="243" customFormat="1" ht="11.25" customHeight="1">
      <c r="A53" s="94" t="s">
        <v>83</v>
      </c>
      <c r="BZ53" s="574"/>
      <c r="CC53" s="246">
        <f t="shared" ref="CC53:CI54" si="43">+(CC$46-CC$45)*CC51/100</f>
        <v>0</v>
      </c>
      <c r="CD53" s="246">
        <f t="shared" si="43"/>
        <v>0</v>
      </c>
      <c r="CE53" s="625"/>
      <c r="CF53" s="246">
        <f t="shared" si="43"/>
        <v>0</v>
      </c>
      <c r="CG53" s="246">
        <f t="shared" si="43"/>
        <v>0.5</v>
      </c>
      <c r="CH53" s="246">
        <f t="shared" si="43"/>
        <v>5.5</v>
      </c>
      <c r="CI53" s="246">
        <f t="shared" si="43"/>
        <v>97.5</v>
      </c>
      <c r="CJ53" s="625"/>
      <c r="CK53" s="246">
        <f t="shared" ref="CK53:CN54" si="44">+(CK$46-CK$45)*CK51/100</f>
        <v>93.5</v>
      </c>
      <c r="CL53" s="246">
        <f t="shared" si="44"/>
        <v>31.5</v>
      </c>
      <c r="CM53" s="246">
        <f t="shared" si="44"/>
        <v>41.5</v>
      </c>
      <c r="CN53" s="246">
        <f t="shared" si="44"/>
        <v>158</v>
      </c>
      <c r="CO53" s="625"/>
      <c r="CP53" s="246">
        <f t="shared" ref="CP53:CU54" si="45">+(CP$46-CP$45)*CP51/100</f>
        <v>168</v>
      </c>
      <c r="CQ53" s="246">
        <f t="shared" si="45"/>
        <v>62.5</v>
      </c>
      <c r="CR53" s="246">
        <f t="shared" si="45"/>
        <v>20.5</v>
      </c>
      <c r="CS53" s="246">
        <f t="shared" si="45"/>
        <v>324</v>
      </c>
      <c r="CT53" s="625"/>
      <c r="CU53" s="246">
        <f t="shared" si="45"/>
        <v>2698</v>
      </c>
      <c r="CV53" s="246">
        <f t="shared" ref="CV53:CX54" si="46">+(CV$46-CV$45)*CV51/100</f>
        <v>216.5</v>
      </c>
      <c r="CW53" s="246">
        <f t="shared" si="46"/>
        <v>69</v>
      </c>
      <c r="CX53" s="246">
        <f t="shared" si="46"/>
        <v>2579.5</v>
      </c>
      <c r="CY53" s="625"/>
      <c r="CZ53" s="246">
        <f t="shared" ref="CZ53:DC54" si="47">+(CZ$46-CZ$45)*CZ51/100</f>
        <v>188.5</v>
      </c>
      <c r="DA53" s="246">
        <f t="shared" si="47"/>
        <v>225</v>
      </c>
      <c r="DB53" s="246">
        <f t="shared" si="47"/>
        <v>0</v>
      </c>
      <c r="DC53" s="246">
        <f t="shared" si="47"/>
        <v>20.5</v>
      </c>
      <c r="DD53" s="625"/>
      <c r="DE53" s="246">
        <f t="shared" ref="DE53:DG54" si="48">+(DE$46-DE$45)*DE51/100</f>
        <v>19.5</v>
      </c>
      <c r="DF53" s="246">
        <f t="shared" si="48"/>
        <v>31.5</v>
      </c>
      <c r="DG53" s="246">
        <f t="shared" si="48"/>
        <v>71.5</v>
      </c>
      <c r="DH53" s="246">
        <f>+(DH$46-DH$45)*DH51/100</f>
        <v>0</v>
      </c>
      <c r="DI53" s="625"/>
      <c r="DJ53" s="246">
        <f t="shared" ref="DJ53:DM54" si="49">+(DJ$46-DJ$45)*DJ51/100</f>
        <v>0</v>
      </c>
      <c r="DK53" s="246">
        <f t="shared" si="49"/>
        <v>34.5</v>
      </c>
      <c r="DL53" s="246">
        <f t="shared" si="49"/>
        <v>0</v>
      </c>
      <c r="DM53" s="246">
        <f t="shared" si="49"/>
        <v>1</v>
      </c>
      <c r="DN53" s="625"/>
      <c r="DO53" s="246">
        <f t="shared" ref="DO53:DR54" si="50">+(DO$46-DO$45)*DO51/100</f>
        <v>437.5</v>
      </c>
      <c r="DP53" s="246">
        <f t="shared" si="50"/>
        <v>6901.6</v>
      </c>
      <c r="DQ53" s="246">
        <f t="shared" si="50"/>
        <v>42</v>
      </c>
      <c r="DR53" s="246">
        <f t="shared" si="50"/>
        <v>263</v>
      </c>
      <c r="DS53" s="625"/>
      <c r="DT53" s="246">
        <f t="shared" ref="DT53:DW54" si="51">+(DT$46-DT$45)*DT51/100</f>
        <v>572.5</v>
      </c>
      <c r="DU53" s="246">
        <f t="shared" si="51"/>
        <v>248.8</v>
      </c>
      <c r="DV53" s="246">
        <f t="shared" si="51"/>
        <v>54</v>
      </c>
      <c r="DW53" s="246">
        <f t="shared" si="51"/>
        <v>10</v>
      </c>
      <c r="DX53" s="625"/>
      <c r="DY53" s="246">
        <f t="shared" ref="DY53:EB54" si="52">+(DY$46-DY$45)*DY51/100</f>
        <v>7.5</v>
      </c>
      <c r="DZ53" s="246">
        <f t="shared" si="52"/>
        <v>111.2</v>
      </c>
      <c r="EA53" s="246">
        <f t="shared" si="52"/>
        <v>78.5</v>
      </c>
      <c r="EB53" s="246">
        <f t="shared" si="52"/>
        <v>2813</v>
      </c>
      <c r="EC53" s="625"/>
      <c r="ED53" s="246">
        <f t="shared" ref="ED53:EG54" si="53">+(ED$46-ED$45)*ED51/100</f>
        <v>70.5</v>
      </c>
      <c r="EE53" s="246">
        <f t="shared" si="53"/>
        <v>1397</v>
      </c>
      <c r="EF53" s="246">
        <f t="shared" si="53"/>
        <v>81</v>
      </c>
      <c r="EG53" s="246">
        <f t="shared" si="53"/>
        <v>313</v>
      </c>
      <c r="EH53" s="625"/>
      <c r="EI53" s="246">
        <f t="shared" ref="EI53:EL54" si="54">+(EI$46-EI$45)*EI51/100</f>
        <v>195</v>
      </c>
      <c r="EJ53" s="246">
        <f t="shared" si="54"/>
        <v>190.5</v>
      </c>
      <c r="EK53" s="246">
        <f t="shared" si="54"/>
        <v>279.5</v>
      </c>
      <c r="EL53" s="246">
        <f t="shared" si="54"/>
        <v>31.5</v>
      </c>
      <c r="EM53" s="625"/>
      <c r="EN53" s="246">
        <f>+(EN$46-EN$45)*EN51/100</f>
        <v>12</v>
      </c>
      <c r="EO53" s="246">
        <f t="shared" ref="EO53:EQ53" si="55">+(EO$46-EO$45)*EO51/100</f>
        <v>16893.000000000004</v>
      </c>
      <c r="EP53" s="246">
        <f t="shared" si="55"/>
        <v>401</v>
      </c>
      <c r="EQ53" s="246">
        <f t="shared" si="55"/>
        <v>179</v>
      </c>
      <c r="ER53" s="625"/>
      <c r="ES53" s="246">
        <f>+(ES$46-ES$45)*ES51/100</f>
        <v>89.5</v>
      </c>
      <c r="ET53" s="246">
        <f t="shared" ref="ET53:EU53" si="56">+(ET$46-ET$45)*ET51/100</f>
        <v>13.5</v>
      </c>
      <c r="EU53" s="246">
        <f t="shared" si="56"/>
        <v>124</v>
      </c>
      <c r="EV53" s="1212">
        <f t="shared" ref="EU53:EV54" si="57">+(EV$46-EV$45)*EV51/100</f>
        <v>124</v>
      </c>
      <c r="EW53" s="1213"/>
      <c r="EX53" s="1212">
        <f t="shared" ref="EX53:FA54" si="58">+(EX$46-EX$45)*EX51/100</f>
        <v>200</v>
      </c>
      <c r="EY53" s="1212">
        <f t="shared" si="58"/>
        <v>200</v>
      </c>
      <c r="EZ53" s="1212">
        <f t="shared" si="58"/>
        <v>200</v>
      </c>
      <c r="FA53" s="1212">
        <f t="shared" si="58"/>
        <v>200</v>
      </c>
      <c r="FB53" s="1213"/>
      <c r="FC53" s="1212">
        <f t="shared" ref="FC53:FF53" si="59">+(FC$46-FC$45)*FC51/100</f>
        <v>200</v>
      </c>
      <c r="FD53" s="1212">
        <f t="shared" si="59"/>
        <v>200</v>
      </c>
      <c r="FE53" s="1212">
        <f t="shared" si="59"/>
        <v>200</v>
      </c>
      <c r="FF53" s="1212">
        <f t="shared" si="59"/>
        <v>200</v>
      </c>
      <c r="FG53" s="1213"/>
      <c r="FH53" s="1212">
        <f t="shared" ref="FH53:FK53" si="60">+(FH$46-FH$45)*FH51/100</f>
        <v>200</v>
      </c>
      <c r="FI53" s="1212">
        <f t="shared" si="60"/>
        <v>200</v>
      </c>
      <c r="FJ53" s="1212">
        <f t="shared" si="60"/>
        <v>200</v>
      </c>
      <c r="FK53" s="1212">
        <f t="shared" si="60"/>
        <v>200</v>
      </c>
      <c r="FL53" s="1213"/>
    </row>
    <row r="54" spans="1:168" s="243" customFormat="1" ht="11.25" customHeight="1">
      <c r="A54" s="94" t="s">
        <v>84</v>
      </c>
      <c r="BZ54" s="574"/>
      <c r="CC54" s="465">
        <f t="shared" si="43"/>
        <v>0</v>
      </c>
      <c r="CD54" s="465">
        <f t="shared" si="43"/>
        <v>0</v>
      </c>
      <c r="CE54" s="578"/>
      <c r="CF54" s="465">
        <f t="shared" si="43"/>
        <v>0</v>
      </c>
      <c r="CG54" s="465">
        <f t="shared" si="43"/>
        <v>0.5</v>
      </c>
      <c r="CH54" s="465">
        <f t="shared" si="43"/>
        <v>5.5</v>
      </c>
      <c r="CI54" s="465">
        <f t="shared" si="43"/>
        <v>97.5</v>
      </c>
      <c r="CJ54" s="578"/>
      <c r="CK54" s="465">
        <f t="shared" si="44"/>
        <v>93.5</v>
      </c>
      <c r="CL54" s="465">
        <f t="shared" si="44"/>
        <v>31.5</v>
      </c>
      <c r="CM54" s="465">
        <f t="shared" si="44"/>
        <v>41.5</v>
      </c>
      <c r="CN54" s="465">
        <f t="shared" si="44"/>
        <v>158</v>
      </c>
      <c r="CO54" s="578"/>
      <c r="CP54" s="465">
        <f t="shared" si="45"/>
        <v>168</v>
      </c>
      <c r="CQ54" s="465">
        <f t="shared" si="45"/>
        <v>62.5</v>
      </c>
      <c r="CR54" s="465">
        <f t="shared" si="45"/>
        <v>20.5</v>
      </c>
      <c r="CS54" s="465">
        <f t="shared" si="45"/>
        <v>324</v>
      </c>
      <c r="CT54" s="578"/>
      <c r="CU54" s="465">
        <f t="shared" si="45"/>
        <v>2698</v>
      </c>
      <c r="CV54" s="465">
        <f t="shared" si="46"/>
        <v>216.5</v>
      </c>
      <c r="CW54" s="465">
        <f t="shared" si="46"/>
        <v>69</v>
      </c>
      <c r="CX54" s="465">
        <f t="shared" si="46"/>
        <v>2579.5</v>
      </c>
      <c r="CY54" s="578"/>
      <c r="CZ54" s="465">
        <f t="shared" si="47"/>
        <v>188.5</v>
      </c>
      <c r="DA54" s="465">
        <f t="shared" si="47"/>
        <v>225</v>
      </c>
      <c r="DB54" s="465">
        <f t="shared" si="47"/>
        <v>0</v>
      </c>
      <c r="DC54" s="465">
        <f t="shared" si="47"/>
        <v>20.5</v>
      </c>
      <c r="DD54" s="578"/>
      <c r="DE54" s="465">
        <f>+(DE$46-DE$45)*DE52/100</f>
        <v>19.5</v>
      </c>
      <c r="DF54" s="465">
        <f t="shared" si="48"/>
        <v>31.5</v>
      </c>
      <c r="DG54" s="465">
        <f t="shared" si="48"/>
        <v>71.5</v>
      </c>
      <c r="DH54" s="465">
        <f>+(DH$46-DH$45)*DH52/100</f>
        <v>0</v>
      </c>
      <c r="DI54" s="578"/>
      <c r="DJ54" s="465">
        <f t="shared" si="49"/>
        <v>0</v>
      </c>
      <c r="DK54" s="465">
        <f t="shared" si="49"/>
        <v>34.5</v>
      </c>
      <c r="DL54" s="465">
        <f t="shared" si="49"/>
        <v>0</v>
      </c>
      <c r="DM54" s="465">
        <f>+(DM$46-DM$45)*DM52/100</f>
        <v>1</v>
      </c>
      <c r="DN54" s="578"/>
      <c r="DO54" s="465">
        <f t="shared" si="50"/>
        <v>437.5</v>
      </c>
      <c r="DP54" s="465">
        <f>+(DP$46-DP$45)*DP52/100</f>
        <v>1725.4</v>
      </c>
      <c r="DQ54" s="465">
        <f t="shared" si="50"/>
        <v>42</v>
      </c>
      <c r="DR54" s="465">
        <f>+(DR$46-DR$45)*DR52/100</f>
        <v>263</v>
      </c>
      <c r="DS54" s="578"/>
      <c r="DT54" s="465">
        <f t="shared" si="51"/>
        <v>572.5</v>
      </c>
      <c r="DU54" s="465">
        <f t="shared" si="51"/>
        <v>62.2</v>
      </c>
      <c r="DV54" s="465">
        <f t="shared" si="51"/>
        <v>54</v>
      </c>
      <c r="DW54" s="465">
        <f t="shared" si="51"/>
        <v>10</v>
      </c>
      <c r="DX54" s="578"/>
      <c r="DY54" s="465">
        <f t="shared" si="52"/>
        <v>7.5</v>
      </c>
      <c r="DZ54" s="465">
        <f t="shared" si="52"/>
        <v>27.8</v>
      </c>
      <c r="EA54" s="465">
        <f t="shared" si="52"/>
        <v>78.5</v>
      </c>
      <c r="EB54" s="465">
        <f t="shared" si="52"/>
        <v>2813</v>
      </c>
      <c r="EC54" s="578"/>
      <c r="ED54" s="465">
        <f t="shared" si="53"/>
        <v>70.5</v>
      </c>
      <c r="EE54" s="465">
        <f t="shared" si="53"/>
        <v>1397</v>
      </c>
      <c r="EF54" s="465">
        <f t="shared" si="53"/>
        <v>81</v>
      </c>
      <c r="EG54" s="465">
        <f t="shared" si="53"/>
        <v>313</v>
      </c>
      <c r="EH54" s="578"/>
      <c r="EI54" s="465">
        <f t="shared" si="54"/>
        <v>195</v>
      </c>
      <c r="EJ54" s="465">
        <f t="shared" si="54"/>
        <v>190.5</v>
      </c>
      <c r="EK54" s="465">
        <f t="shared" si="54"/>
        <v>279.5</v>
      </c>
      <c r="EL54" s="465">
        <f t="shared" si="54"/>
        <v>31.5</v>
      </c>
      <c r="EM54" s="578"/>
      <c r="EN54" s="465">
        <f>+(EN$46-EN$45)*EN52/100</f>
        <v>12</v>
      </c>
      <c r="EO54" s="465">
        <f t="shared" ref="EO54:EQ54" si="61">+(EO$46-EO$45)*EO52/100</f>
        <v>7866.9999999999991</v>
      </c>
      <c r="EP54" s="465">
        <f t="shared" si="61"/>
        <v>401</v>
      </c>
      <c r="EQ54" s="465">
        <f t="shared" si="61"/>
        <v>179</v>
      </c>
      <c r="ER54" s="578"/>
      <c r="ES54" s="465">
        <f>+(ES$46-ES$45)*ES52/100</f>
        <v>89.5</v>
      </c>
      <c r="ET54" s="465">
        <f t="shared" ref="ET54:EU54" si="62">+(ET$46-ET$45)*ET52/100</f>
        <v>13.5</v>
      </c>
      <c r="EU54" s="465">
        <f t="shared" si="62"/>
        <v>124</v>
      </c>
      <c r="EV54" s="1202">
        <f t="shared" si="57"/>
        <v>124</v>
      </c>
      <c r="EW54" s="1203"/>
      <c r="EX54" s="1202">
        <f t="shared" si="58"/>
        <v>200</v>
      </c>
      <c r="EY54" s="1202">
        <f t="shared" si="58"/>
        <v>200</v>
      </c>
      <c r="EZ54" s="1202">
        <f t="shared" si="58"/>
        <v>200</v>
      </c>
      <c r="FA54" s="1202">
        <f t="shared" si="58"/>
        <v>200</v>
      </c>
      <c r="FB54" s="1203"/>
      <c r="FC54" s="1202">
        <f t="shared" ref="FC54:FF54" si="63">+(FC$46-FC$45)*FC52/100</f>
        <v>200</v>
      </c>
      <c r="FD54" s="1202">
        <f t="shared" si="63"/>
        <v>200</v>
      </c>
      <c r="FE54" s="1202">
        <f t="shared" si="63"/>
        <v>200</v>
      </c>
      <c r="FF54" s="1202">
        <f t="shared" si="63"/>
        <v>200</v>
      </c>
      <c r="FG54" s="1203"/>
      <c r="FH54" s="1202">
        <f t="shared" ref="FH54:FK54" si="64">+(FH$46-FH$45)*FH52/100</f>
        <v>200</v>
      </c>
      <c r="FI54" s="1202">
        <f t="shared" si="64"/>
        <v>200</v>
      </c>
      <c r="FJ54" s="1202">
        <f t="shared" si="64"/>
        <v>200</v>
      </c>
      <c r="FK54" s="1202">
        <f t="shared" si="64"/>
        <v>200</v>
      </c>
      <c r="FL54" s="1203"/>
    </row>
    <row r="55" spans="1:168" s="243" customFormat="1" ht="11.25" customHeight="1">
      <c r="A55" s="93" t="s">
        <v>85</v>
      </c>
      <c r="BZ55" s="574"/>
      <c r="CE55" s="574"/>
      <c r="CJ55" s="574"/>
      <c r="CO55" s="574"/>
      <c r="CT55" s="574"/>
      <c r="CY55" s="574"/>
      <c r="DD55" s="574"/>
      <c r="DI55" s="574"/>
      <c r="DN55" s="574"/>
      <c r="DS55" s="574"/>
      <c r="DX55" s="574"/>
      <c r="EC55" s="574"/>
      <c r="EH55" s="574"/>
      <c r="EM55" s="574"/>
      <c r="ER55" s="574"/>
      <c r="EV55" s="94"/>
      <c r="EW55" s="1201"/>
      <c r="EX55" s="94"/>
      <c r="EY55" s="94"/>
      <c r="EZ55" s="94"/>
      <c r="FA55" s="94"/>
      <c r="FB55" s="1201"/>
      <c r="FC55" s="94"/>
      <c r="FD55" s="94"/>
      <c r="FE55" s="94"/>
      <c r="FF55" s="94"/>
      <c r="FG55" s="1201"/>
      <c r="FH55" s="94"/>
      <c r="FI55" s="94"/>
      <c r="FJ55" s="94"/>
      <c r="FK55" s="94"/>
      <c r="FL55" s="1201"/>
    </row>
    <row r="56" spans="1:168" s="243" customFormat="1" ht="11.25" customHeight="1">
      <c r="A56" s="243" t="s">
        <v>86</v>
      </c>
      <c r="BZ56" s="574"/>
      <c r="CC56" s="631">
        <v>0</v>
      </c>
      <c r="CD56" s="631">
        <v>0</v>
      </c>
      <c r="CE56" s="632"/>
      <c r="CF56" s="631">
        <v>0</v>
      </c>
      <c r="CG56" s="631">
        <v>0</v>
      </c>
      <c r="CH56" s="631">
        <v>0</v>
      </c>
      <c r="CI56" s="631">
        <v>0</v>
      </c>
      <c r="CJ56" s="632"/>
      <c r="CK56" s="631">
        <v>0</v>
      </c>
      <c r="CL56" s="631">
        <v>0</v>
      </c>
      <c r="CM56" s="631">
        <v>0</v>
      </c>
      <c r="CN56" s="631">
        <v>0</v>
      </c>
      <c r="CO56" s="632"/>
      <c r="CP56" s="631">
        <v>0</v>
      </c>
      <c r="CQ56" s="631">
        <v>0</v>
      </c>
      <c r="CR56" s="631">
        <v>0</v>
      </c>
      <c r="CS56" s="631">
        <v>0</v>
      </c>
      <c r="CT56" s="632"/>
      <c r="CU56" s="631">
        <v>0</v>
      </c>
      <c r="CV56" s="631">
        <v>0</v>
      </c>
      <c r="CW56" s="631">
        <v>0</v>
      </c>
      <c r="CX56" s="631">
        <v>0</v>
      </c>
      <c r="CY56" s="632"/>
      <c r="CZ56" s="631">
        <v>0</v>
      </c>
      <c r="DA56" s="631">
        <v>0</v>
      </c>
      <c r="DB56" s="631">
        <v>0</v>
      </c>
      <c r="DC56" s="631">
        <v>0</v>
      </c>
      <c r="DD56" s="632"/>
      <c r="DE56" s="631">
        <v>0</v>
      </c>
      <c r="DF56" s="631">
        <v>0</v>
      </c>
      <c r="DG56" s="631">
        <v>0</v>
      </c>
      <c r="DH56" s="631">
        <v>1</v>
      </c>
      <c r="DI56" s="632"/>
      <c r="DJ56" s="631">
        <v>0</v>
      </c>
      <c r="DK56" s="631">
        <v>0</v>
      </c>
      <c r="DL56" s="631">
        <v>0</v>
      </c>
      <c r="DM56" s="631">
        <v>0</v>
      </c>
      <c r="DN56" s="632"/>
      <c r="DO56" s="631">
        <v>0</v>
      </c>
      <c r="DP56" s="631">
        <v>0</v>
      </c>
      <c r="DQ56" s="631">
        <v>0</v>
      </c>
      <c r="DR56" s="631">
        <v>0</v>
      </c>
      <c r="DS56" s="632"/>
      <c r="DT56" s="631">
        <v>0</v>
      </c>
      <c r="DU56" s="631">
        <v>0</v>
      </c>
      <c r="DV56" s="631">
        <v>0</v>
      </c>
      <c r="DW56" s="631">
        <v>0</v>
      </c>
      <c r="DX56" s="632"/>
      <c r="DY56" s="631">
        <v>0</v>
      </c>
      <c r="DZ56" s="631">
        <v>0</v>
      </c>
      <c r="EA56" s="631">
        <v>0</v>
      </c>
      <c r="EB56" s="631">
        <v>0</v>
      </c>
      <c r="EC56" s="632"/>
      <c r="ED56" s="631">
        <v>0</v>
      </c>
      <c r="EE56" s="631">
        <v>0</v>
      </c>
      <c r="EF56" s="631">
        <v>0</v>
      </c>
      <c r="EG56" s="631">
        <v>0</v>
      </c>
      <c r="EH56" s="632"/>
      <c r="EI56" s="631">
        <v>0</v>
      </c>
      <c r="EJ56" s="631">
        <v>0</v>
      </c>
      <c r="EK56" s="631">
        <v>0</v>
      </c>
      <c r="EL56" s="631">
        <v>0</v>
      </c>
      <c r="EM56" s="632"/>
      <c r="EN56" s="631">
        <v>0</v>
      </c>
      <c r="EO56" s="631">
        <v>0</v>
      </c>
      <c r="EP56" s="631">
        <v>0</v>
      </c>
      <c r="EQ56" s="631">
        <v>0</v>
      </c>
      <c r="ER56" s="632"/>
      <c r="ES56" s="631">
        <v>0</v>
      </c>
      <c r="ET56" s="631">
        <v>0</v>
      </c>
      <c r="EU56" s="631">
        <v>0</v>
      </c>
      <c r="EV56" s="1219">
        <v>0</v>
      </c>
      <c r="EW56" s="1220"/>
      <c r="EX56" s="1219">
        <v>0</v>
      </c>
      <c r="EY56" s="1219">
        <v>0</v>
      </c>
      <c r="EZ56" s="1219">
        <v>0</v>
      </c>
      <c r="FA56" s="1219">
        <v>0</v>
      </c>
      <c r="FB56" s="1220"/>
      <c r="FC56" s="1219">
        <v>0</v>
      </c>
      <c r="FD56" s="1219">
        <v>0</v>
      </c>
      <c r="FE56" s="1219">
        <v>0</v>
      </c>
      <c r="FF56" s="1219">
        <v>0</v>
      </c>
      <c r="FG56" s="1220"/>
      <c r="FH56" s="1219">
        <v>0</v>
      </c>
      <c r="FI56" s="1219">
        <v>0</v>
      </c>
      <c r="FJ56" s="1219">
        <v>0</v>
      </c>
      <c r="FK56" s="1219">
        <v>0</v>
      </c>
      <c r="FL56" s="1220"/>
    </row>
    <row r="57" spans="1:168" s="461" customFormat="1" ht="11.25" customHeight="1">
      <c r="A57" s="461" t="s">
        <v>92</v>
      </c>
      <c r="BZ57" s="574"/>
      <c r="CC57" s="633">
        <v>0</v>
      </c>
      <c r="CD57" s="633">
        <v>0</v>
      </c>
      <c r="CE57" s="634"/>
      <c r="CF57" s="633">
        <v>0</v>
      </c>
      <c r="CG57" s="633">
        <v>0</v>
      </c>
      <c r="CH57" s="633">
        <v>0</v>
      </c>
      <c r="CI57" s="633">
        <v>0</v>
      </c>
      <c r="CJ57" s="634"/>
      <c r="CK57" s="633">
        <v>0</v>
      </c>
      <c r="CL57" s="633">
        <v>0</v>
      </c>
      <c r="CM57" s="633">
        <v>0</v>
      </c>
      <c r="CN57" s="633">
        <v>0</v>
      </c>
      <c r="CO57" s="634"/>
      <c r="CP57" s="633">
        <v>0</v>
      </c>
      <c r="CQ57" s="633">
        <v>0</v>
      </c>
      <c r="CR57" s="633">
        <v>0</v>
      </c>
      <c r="CS57" s="633">
        <v>0</v>
      </c>
      <c r="CT57" s="634"/>
      <c r="CU57" s="633">
        <v>0</v>
      </c>
      <c r="CV57" s="633">
        <v>0</v>
      </c>
      <c r="CW57" s="633">
        <v>0</v>
      </c>
      <c r="CX57" s="633">
        <v>0</v>
      </c>
      <c r="CY57" s="634"/>
      <c r="CZ57" s="633">
        <v>0</v>
      </c>
      <c r="DA57" s="633">
        <v>0</v>
      </c>
      <c r="DB57" s="633">
        <v>0</v>
      </c>
      <c r="DC57" s="633">
        <v>0</v>
      </c>
      <c r="DD57" s="634"/>
      <c r="DE57" s="633">
        <v>0</v>
      </c>
      <c r="DF57" s="633">
        <v>0</v>
      </c>
      <c r="DG57" s="633">
        <v>0</v>
      </c>
      <c r="DH57" s="633">
        <v>0</v>
      </c>
      <c r="DI57" s="634"/>
      <c r="DJ57" s="633">
        <v>0</v>
      </c>
      <c r="DK57" s="633">
        <v>0</v>
      </c>
      <c r="DL57" s="633">
        <v>0</v>
      </c>
      <c r="DM57" s="633">
        <v>0</v>
      </c>
      <c r="DN57" s="634"/>
      <c r="DO57" s="633">
        <v>0</v>
      </c>
      <c r="DP57" s="633">
        <v>0</v>
      </c>
      <c r="DQ57" s="633">
        <v>0</v>
      </c>
      <c r="DR57" s="633">
        <v>0</v>
      </c>
      <c r="DS57" s="634"/>
      <c r="DT57" s="633">
        <v>0</v>
      </c>
      <c r="DU57" s="633">
        <v>0</v>
      </c>
      <c r="DV57" s="633">
        <v>0</v>
      </c>
      <c r="DW57" s="633">
        <v>0</v>
      </c>
      <c r="DX57" s="634"/>
      <c r="DY57" s="633">
        <v>0</v>
      </c>
      <c r="DZ57" s="633">
        <v>0</v>
      </c>
      <c r="EA57" s="633">
        <v>0</v>
      </c>
      <c r="EB57" s="633">
        <v>0</v>
      </c>
      <c r="EC57" s="634"/>
      <c r="ED57" s="633">
        <v>0</v>
      </c>
      <c r="EE57" s="633">
        <v>0</v>
      </c>
      <c r="EF57" s="633">
        <v>0</v>
      </c>
      <c r="EG57" s="633">
        <v>0</v>
      </c>
      <c r="EH57" s="634"/>
      <c r="EI57" s="633">
        <v>0</v>
      </c>
      <c r="EJ57" s="633">
        <v>0</v>
      </c>
      <c r="EK57" s="633">
        <v>0</v>
      </c>
      <c r="EL57" s="633">
        <v>0</v>
      </c>
      <c r="EM57" s="634"/>
      <c r="EN57" s="633">
        <v>0</v>
      </c>
      <c r="EO57" s="633">
        <v>0</v>
      </c>
      <c r="EP57" s="633">
        <v>0</v>
      </c>
      <c r="EQ57" s="633">
        <v>0</v>
      </c>
      <c r="ER57" s="634"/>
      <c r="ES57" s="633">
        <v>0</v>
      </c>
      <c r="ET57" s="633">
        <v>0</v>
      </c>
      <c r="EU57" s="633">
        <v>0</v>
      </c>
      <c r="EV57" s="1221">
        <v>0</v>
      </c>
      <c r="EW57" s="624"/>
      <c r="EX57" s="1221">
        <v>0</v>
      </c>
      <c r="EY57" s="1221">
        <v>0</v>
      </c>
      <c r="EZ57" s="1221">
        <v>0</v>
      </c>
      <c r="FA57" s="1221">
        <v>0</v>
      </c>
      <c r="FB57" s="624"/>
      <c r="FC57" s="1221">
        <v>0</v>
      </c>
      <c r="FD57" s="1221">
        <v>0</v>
      </c>
      <c r="FE57" s="1221">
        <v>0</v>
      </c>
      <c r="FF57" s="1221">
        <v>0</v>
      </c>
      <c r="FG57" s="624"/>
      <c r="FH57" s="1221">
        <v>0</v>
      </c>
      <c r="FI57" s="1221">
        <v>0</v>
      </c>
      <c r="FJ57" s="1221">
        <v>0</v>
      </c>
      <c r="FK57" s="1221">
        <v>0</v>
      </c>
      <c r="FL57" s="624"/>
    </row>
    <row r="58" spans="1:168" s="461" customFormat="1" ht="11.25" customHeight="1">
      <c r="A58" s="461" t="s">
        <v>93</v>
      </c>
      <c r="BZ58" s="574"/>
      <c r="CC58" s="633">
        <v>0</v>
      </c>
      <c r="CD58" s="633">
        <v>0</v>
      </c>
      <c r="CE58" s="634"/>
      <c r="CF58" s="633">
        <v>0</v>
      </c>
      <c r="CG58" s="633">
        <v>0</v>
      </c>
      <c r="CH58" s="633">
        <v>0</v>
      </c>
      <c r="CI58" s="633">
        <v>0</v>
      </c>
      <c r="CJ58" s="634"/>
      <c r="CK58" s="633">
        <v>0</v>
      </c>
      <c r="CL58" s="633">
        <v>0</v>
      </c>
      <c r="CM58" s="633">
        <v>0</v>
      </c>
      <c r="CN58" s="633">
        <v>0</v>
      </c>
      <c r="CO58" s="634"/>
      <c r="CP58" s="633">
        <v>0</v>
      </c>
      <c r="CQ58" s="633">
        <v>0</v>
      </c>
      <c r="CR58" s="633">
        <v>0</v>
      </c>
      <c r="CS58" s="633">
        <v>0</v>
      </c>
      <c r="CT58" s="634"/>
      <c r="CU58" s="633">
        <v>0</v>
      </c>
      <c r="CV58" s="633">
        <v>0</v>
      </c>
      <c r="CW58" s="633">
        <v>0</v>
      </c>
      <c r="CX58" s="633">
        <v>0</v>
      </c>
      <c r="CY58" s="634"/>
      <c r="CZ58" s="633">
        <v>0</v>
      </c>
      <c r="DA58" s="633">
        <v>0</v>
      </c>
      <c r="DB58" s="633">
        <v>0</v>
      </c>
      <c r="DC58" s="633">
        <v>0</v>
      </c>
      <c r="DD58" s="634"/>
      <c r="DE58" s="633">
        <v>0</v>
      </c>
      <c r="DF58" s="633">
        <v>0</v>
      </c>
      <c r="DG58" s="633">
        <v>0</v>
      </c>
      <c r="DH58" s="633">
        <v>0</v>
      </c>
      <c r="DI58" s="634"/>
      <c r="DJ58" s="633">
        <v>0</v>
      </c>
      <c r="DK58" s="633">
        <v>0</v>
      </c>
      <c r="DL58" s="633">
        <v>0</v>
      </c>
      <c r="DM58" s="633">
        <v>0</v>
      </c>
      <c r="DN58" s="634"/>
      <c r="DO58" s="633">
        <v>0</v>
      </c>
      <c r="DP58" s="633">
        <v>0</v>
      </c>
      <c r="DQ58" s="633">
        <v>0</v>
      </c>
      <c r="DR58" s="633">
        <v>0</v>
      </c>
      <c r="DS58" s="634"/>
      <c r="DT58" s="633">
        <v>0</v>
      </c>
      <c r="DU58" s="633">
        <v>0</v>
      </c>
      <c r="DV58" s="633">
        <v>0</v>
      </c>
      <c r="DW58" s="633">
        <v>0</v>
      </c>
      <c r="DX58" s="634"/>
      <c r="DY58" s="633">
        <v>0</v>
      </c>
      <c r="DZ58" s="633">
        <v>0</v>
      </c>
      <c r="EA58" s="633">
        <v>0</v>
      </c>
      <c r="EB58" s="633">
        <v>0</v>
      </c>
      <c r="EC58" s="634"/>
      <c r="ED58" s="633">
        <v>0</v>
      </c>
      <c r="EE58" s="633">
        <v>0</v>
      </c>
      <c r="EF58" s="633">
        <v>0</v>
      </c>
      <c r="EG58" s="633">
        <v>0</v>
      </c>
      <c r="EH58" s="634"/>
      <c r="EI58" s="633">
        <v>0</v>
      </c>
      <c r="EJ58" s="633">
        <v>0</v>
      </c>
      <c r="EK58" s="633">
        <v>0</v>
      </c>
      <c r="EL58" s="633">
        <v>0</v>
      </c>
      <c r="EM58" s="634"/>
      <c r="EN58" s="633">
        <v>0</v>
      </c>
      <c r="EO58" s="633">
        <v>0</v>
      </c>
      <c r="EP58" s="633">
        <v>0</v>
      </c>
      <c r="EQ58" s="633">
        <v>0</v>
      </c>
      <c r="ER58" s="634"/>
      <c r="ES58" s="633">
        <v>0</v>
      </c>
      <c r="ET58" s="633">
        <v>0</v>
      </c>
      <c r="EU58" s="633">
        <v>0</v>
      </c>
      <c r="EV58" s="1221">
        <v>0</v>
      </c>
      <c r="EW58" s="624"/>
      <c r="EX58" s="1221">
        <v>0</v>
      </c>
      <c r="EY58" s="1221">
        <v>0</v>
      </c>
      <c r="EZ58" s="1221">
        <v>0</v>
      </c>
      <c r="FA58" s="1221">
        <v>0</v>
      </c>
      <c r="FB58" s="624"/>
      <c r="FC58" s="1221">
        <v>0</v>
      </c>
      <c r="FD58" s="1221">
        <v>0</v>
      </c>
      <c r="FE58" s="1221">
        <v>0</v>
      </c>
      <c r="FF58" s="1221">
        <v>0</v>
      </c>
      <c r="FG58" s="624"/>
      <c r="FH58" s="1221">
        <v>0</v>
      </c>
      <c r="FI58" s="1221">
        <v>0</v>
      </c>
      <c r="FJ58" s="1221">
        <v>0</v>
      </c>
      <c r="FK58" s="1221">
        <v>0</v>
      </c>
      <c r="FL58" s="624"/>
    </row>
    <row r="59" spans="1:168" s="461" customFormat="1" ht="11.25" customHeight="1">
      <c r="A59" s="461" t="s">
        <v>92</v>
      </c>
      <c r="BZ59" s="574"/>
      <c r="CC59" s="633">
        <v>0</v>
      </c>
      <c r="CD59" s="633">
        <v>0</v>
      </c>
      <c r="CE59" s="634"/>
      <c r="CF59" s="633">
        <v>0</v>
      </c>
      <c r="CG59" s="633">
        <v>0</v>
      </c>
      <c r="CH59" s="633">
        <v>0</v>
      </c>
      <c r="CI59" s="633">
        <v>0</v>
      </c>
      <c r="CJ59" s="634"/>
      <c r="CK59" s="633">
        <v>0</v>
      </c>
      <c r="CL59" s="633">
        <v>0</v>
      </c>
      <c r="CM59" s="633">
        <v>0</v>
      </c>
      <c r="CN59" s="633">
        <v>0</v>
      </c>
      <c r="CO59" s="634"/>
      <c r="CP59" s="633">
        <v>0</v>
      </c>
      <c r="CQ59" s="633">
        <v>0</v>
      </c>
      <c r="CR59" s="633">
        <v>0</v>
      </c>
      <c r="CS59" s="633">
        <v>0</v>
      </c>
      <c r="CT59" s="634"/>
      <c r="CU59" s="633">
        <v>0</v>
      </c>
      <c r="CV59" s="633">
        <v>0</v>
      </c>
      <c r="CW59" s="633">
        <v>0</v>
      </c>
      <c r="CX59" s="633">
        <v>0</v>
      </c>
      <c r="CY59" s="634"/>
      <c r="CZ59" s="633">
        <v>0</v>
      </c>
      <c r="DA59" s="633">
        <v>0</v>
      </c>
      <c r="DB59" s="633">
        <v>0</v>
      </c>
      <c r="DC59" s="633">
        <v>0</v>
      </c>
      <c r="DD59" s="634"/>
      <c r="DE59" s="633">
        <v>0</v>
      </c>
      <c r="DF59" s="633">
        <v>0</v>
      </c>
      <c r="DG59" s="633">
        <v>0</v>
      </c>
      <c r="DH59" s="633">
        <v>0</v>
      </c>
      <c r="DI59" s="634"/>
      <c r="DJ59" s="633">
        <v>0</v>
      </c>
      <c r="DK59" s="633">
        <v>0</v>
      </c>
      <c r="DL59" s="633">
        <v>0</v>
      </c>
      <c r="DM59" s="633">
        <v>0</v>
      </c>
      <c r="DN59" s="634"/>
      <c r="DO59" s="633">
        <v>0</v>
      </c>
      <c r="DP59" s="633">
        <v>0</v>
      </c>
      <c r="DQ59" s="633">
        <v>0</v>
      </c>
      <c r="DR59" s="633">
        <v>0</v>
      </c>
      <c r="DS59" s="634"/>
      <c r="DT59" s="633">
        <v>0</v>
      </c>
      <c r="DU59" s="633">
        <v>0</v>
      </c>
      <c r="DV59" s="633">
        <v>0</v>
      </c>
      <c r="DW59" s="633">
        <v>0</v>
      </c>
      <c r="DX59" s="634"/>
      <c r="DY59" s="633">
        <v>0</v>
      </c>
      <c r="DZ59" s="633">
        <v>0</v>
      </c>
      <c r="EA59" s="633">
        <v>0</v>
      </c>
      <c r="EB59" s="633">
        <v>0</v>
      </c>
      <c r="EC59" s="634"/>
      <c r="ED59" s="633">
        <v>0</v>
      </c>
      <c r="EE59" s="633">
        <v>0</v>
      </c>
      <c r="EF59" s="633">
        <v>0</v>
      </c>
      <c r="EG59" s="633">
        <v>0</v>
      </c>
      <c r="EH59" s="634"/>
      <c r="EI59" s="633">
        <v>0</v>
      </c>
      <c r="EJ59" s="633">
        <v>0</v>
      </c>
      <c r="EK59" s="633">
        <v>0</v>
      </c>
      <c r="EL59" s="633">
        <v>0</v>
      </c>
      <c r="EM59" s="634"/>
      <c r="EN59" s="633">
        <v>0</v>
      </c>
      <c r="EO59" s="633">
        <v>0</v>
      </c>
      <c r="EP59" s="633">
        <v>0</v>
      </c>
      <c r="EQ59" s="633">
        <v>0</v>
      </c>
      <c r="ER59" s="634"/>
      <c r="ES59" s="633">
        <v>0</v>
      </c>
      <c r="ET59" s="633">
        <v>0</v>
      </c>
      <c r="EU59" s="633">
        <v>0</v>
      </c>
      <c r="EV59" s="1221">
        <v>0</v>
      </c>
      <c r="EW59" s="624"/>
      <c r="EX59" s="1221">
        <v>0</v>
      </c>
      <c r="EY59" s="1221">
        <v>0</v>
      </c>
      <c r="EZ59" s="1221">
        <v>0</v>
      </c>
      <c r="FA59" s="1221">
        <v>0</v>
      </c>
      <c r="FB59" s="624"/>
      <c r="FC59" s="1221">
        <v>0</v>
      </c>
      <c r="FD59" s="1221">
        <v>0</v>
      </c>
      <c r="FE59" s="1221">
        <v>0</v>
      </c>
      <c r="FF59" s="1221">
        <v>0</v>
      </c>
      <c r="FG59" s="624"/>
      <c r="FH59" s="1221">
        <v>0</v>
      </c>
      <c r="FI59" s="1221">
        <v>0</v>
      </c>
      <c r="FJ59" s="1221">
        <v>0</v>
      </c>
      <c r="FK59" s="1221">
        <v>0</v>
      </c>
      <c r="FL59" s="624"/>
    </row>
    <row r="60" spans="1:168" s="93" customFormat="1" ht="11.25" customHeight="1">
      <c r="A60" s="93" t="s">
        <v>94</v>
      </c>
      <c r="BZ60" s="598"/>
      <c r="CC60" s="244">
        <f t="shared" ref="CC60:CI60" si="65">+SUM(CC56:CC57)</f>
        <v>0</v>
      </c>
      <c r="CD60" s="244">
        <f t="shared" si="65"/>
        <v>0</v>
      </c>
      <c r="CE60" s="576"/>
      <c r="CF60" s="244">
        <f t="shared" si="65"/>
        <v>0</v>
      </c>
      <c r="CG60" s="244">
        <f t="shared" si="65"/>
        <v>0</v>
      </c>
      <c r="CH60" s="244">
        <f t="shared" si="65"/>
        <v>0</v>
      </c>
      <c r="CI60" s="244">
        <f t="shared" si="65"/>
        <v>0</v>
      </c>
      <c r="CJ60" s="576"/>
      <c r="CK60" s="244">
        <f t="shared" ref="CK60:CU60" si="66">+SUM(CK56:CK57)</f>
        <v>0</v>
      </c>
      <c r="CL60" s="244">
        <f t="shared" si="66"/>
        <v>0</v>
      </c>
      <c r="CM60" s="244">
        <f t="shared" si="66"/>
        <v>0</v>
      </c>
      <c r="CN60" s="244">
        <f t="shared" si="66"/>
        <v>0</v>
      </c>
      <c r="CO60" s="576"/>
      <c r="CP60" s="244">
        <f t="shared" si="66"/>
        <v>0</v>
      </c>
      <c r="CQ60" s="244">
        <f t="shared" si="66"/>
        <v>0</v>
      </c>
      <c r="CR60" s="244">
        <f t="shared" si="66"/>
        <v>0</v>
      </c>
      <c r="CS60" s="244">
        <f t="shared" si="66"/>
        <v>0</v>
      </c>
      <c r="CT60" s="576"/>
      <c r="CU60" s="244">
        <f t="shared" si="66"/>
        <v>0</v>
      </c>
      <c r="CV60" s="244">
        <f>+SUM(CV56:CV57)</f>
        <v>0</v>
      </c>
      <c r="CW60" s="244">
        <f>+SUM(CW56:CW57)</f>
        <v>0</v>
      </c>
      <c r="CX60" s="244">
        <f>+SUM(CX56:CX57)</f>
        <v>0</v>
      </c>
      <c r="CY60" s="576"/>
      <c r="CZ60" s="244">
        <f>+SUM(CZ56:CZ57)</f>
        <v>0</v>
      </c>
      <c r="DA60" s="244">
        <f>+SUM(DA56:DA57)</f>
        <v>0</v>
      </c>
      <c r="DB60" s="244">
        <f>+SUM(DB56:DB57)</f>
        <v>0</v>
      </c>
      <c r="DC60" s="244">
        <f>+SUM(DC56:DC57)</f>
        <v>0</v>
      </c>
      <c r="DD60" s="576"/>
      <c r="DE60" s="244">
        <f>+SUM(DE56:DE57)</f>
        <v>0</v>
      </c>
      <c r="DF60" s="244">
        <f>+SUM(DF56:DF57)</f>
        <v>0</v>
      </c>
      <c r="DG60" s="244">
        <f>+SUM(DG56:DG57)</f>
        <v>0</v>
      </c>
      <c r="DH60" s="244">
        <f>+SUM(DH56:DH57)</f>
        <v>1</v>
      </c>
      <c r="DI60" s="576"/>
      <c r="DJ60" s="244">
        <f>+SUM(DJ56:DJ57)</f>
        <v>0</v>
      </c>
      <c r="DK60" s="244">
        <f>+SUM(DK56:DK57)</f>
        <v>0</v>
      </c>
      <c r="DL60" s="244">
        <f>+SUM(DL56:DL57)</f>
        <v>0</v>
      </c>
      <c r="DM60" s="244">
        <f>+SUM(DM56:DM57)</f>
        <v>0</v>
      </c>
      <c r="DN60" s="576"/>
      <c r="DO60" s="244">
        <f>+SUM(DO56:DO57)</f>
        <v>0</v>
      </c>
      <c r="DP60" s="244">
        <f>+SUM(DP56:DP57)</f>
        <v>0</v>
      </c>
      <c r="DQ60" s="244">
        <f>+SUM(DQ56:DQ57)</f>
        <v>0</v>
      </c>
      <c r="DR60" s="244">
        <f>+SUM(DR56:DR57)</f>
        <v>0</v>
      </c>
      <c r="DS60" s="576"/>
      <c r="DT60" s="244">
        <f>+SUM(DT56:DT57)</f>
        <v>0</v>
      </c>
      <c r="DU60" s="244">
        <f>+SUM(DU56:DU57)</f>
        <v>0</v>
      </c>
      <c r="DV60" s="244">
        <f>+SUM(DV56:DV57)</f>
        <v>0</v>
      </c>
      <c r="DW60" s="244">
        <f>+SUM(DW56:DW57)</f>
        <v>0</v>
      </c>
      <c r="DX60" s="576"/>
      <c r="DY60" s="244">
        <f>+SUM(DY56:DY57)</f>
        <v>0</v>
      </c>
      <c r="DZ60" s="244">
        <f>+SUM(DZ56:DZ57)</f>
        <v>0</v>
      </c>
      <c r="EA60" s="244">
        <f>+SUM(EA56:EA57)</f>
        <v>0</v>
      </c>
      <c r="EB60" s="244">
        <f>+SUM(EB56:EB57)</f>
        <v>0</v>
      </c>
      <c r="EC60" s="576"/>
      <c r="ED60" s="244">
        <f>+SUM(ED56:ED57)</f>
        <v>0</v>
      </c>
      <c r="EE60" s="244">
        <f>+SUM(EE56:EE57)</f>
        <v>0</v>
      </c>
      <c r="EF60" s="244">
        <f>+SUM(EF56:EF57)</f>
        <v>0</v>
      </c>
      <c r="EG60" s="244">
        <f>+SUM(EG56:EG57)</f>
        <v>0</v>
      </c>
      <c r="EH60" s="576"/>
      <c r="EI60" s="244">
        <f>+SUM(EI56:EI57)</f>
        <v>0</v>
      </c>
      <c r="EJ60" s="244">
        <f>+SUM(EJ56:EJ57)</f>
        <v>0</v>
      </c>
      <c r="EK60" s="244">
        <f>+SUM(EK56:EK57)</f>
        <v>0</v>
      </c>
      <c r="EL60" s="244">
        <f>+SUM(EL56:EL57)</f>
        <v>0</v>
      </c>
      <c r="EM60" s="576"/>
      <c r="EN60" s="244">
        <f>+SUM(EN56:EN57)</f>
        <v>0</v>
      </c>
      <c r="EO60" s="244">
        <f>+SUM(EO56:EO57)</f>
        <v>0</v>
      </c>
      <c r="EP60" s="244">
        <f>+SUM(EP56:EP57)</f>
        <v>0</v>
      </c>
      <c r="EQ60" s="244">
        <f>+SUM(EQ56:EQ57)</f>
        <v>0</v>
      </c>
      <c r="ER60" s="576"/>
      <c r="ES60" s="244">
        <f>+SUM(ES56:ES57)</f>
        <v>0</v>
      </c>
      <c r="ET60" s="244">
        <f>+SUM(ET56:ET57)</f>
        <v>0</v>
      </c>
      <c r="EU60" s="244">
        <f>+SUM(EU56:EU57)</f>
        <v>0</v>
      </c>
      <c r="EV60" s="244">
        <f>+SUM(EV56:EV57)</f>
        <v>0</v>
      </c>
      <c r="EW60" s="576"/>
      <c r="EX60" s="244">
        <f>+SUM(EX56:EX57)</f>
        <v>0</v>
      </c>
      <c r="EY60" s="244">
        <f>+SUM(EY56:EY57)</f>
        <v>0</v>
      </c>
      <c r="EZ60" s="244">
        <f>+SUM(EZ56:EZ57)</f>
        <v>0</v>
      </c>
      <c r="FA60" s="244">
        <f>+SUM(FA56:FA57)</f>
        <v>0</v>
      </c>
      <c r="FB60" s="576"/>
      <c r="FC60" s="244">
        <f>+SUM(FC56:FC57)</f>
        <v>0</v>
      </c>
      <c r="FD60" s="244">
        <f>+SUM(FD56:FD57)</f>
        <v>0</v>
      </c>
      <c r="FE60" s="244">
        <f>+SUM(FE56:FE57)</f>
        <v>0</v>
      </c>
      <c r="FF60" s="244">
        <f>+SUM(FF56:FF57)</f>
        <v>0</v>
      </c>
      <c r="FG60" s="576"/>
      <c r="FH60" s="244">
        <f>+SUM(FH56:FH57)</f>
        <v>0</v>
      </c>
      <c r="FI60" s="244">
        <f>+SUM(FI56:FI57)</f>
        <v>0</v>
      </c>
      <c r="FJ60" s="244">
        <f>+SUM(FJ56:FJ57)</f>
        <v>0</v>
      </c>
      <c r="FK60" s="244">
        <f>+SUM(FK56:FK57)</f>
        <v>0</v>
      </c>
      <c r="FL60" s="576"/>
    </row>
    <row r="61" spans="1:168" s="243" customFormat="1" ht="11.25" customHeight="1">
      <c r="A61" s="243" t="s">
        <v>627</v>
      </c>
      <c r="BZ61" s="574"/>
      <c r="CC61" s="246">
        <f t="shared" ref="CC61:CI61" si="67">+CC46</f>
        <v>0</v>
      </c>
      <c r="CD61" s="246">
        <f t="shared" si="67"/>
        <v>0</v>
      </c>
      <c r="CE61" s="625"/>
      <c r="CF61" s="246">
        <f t="shared" si="67"/>
        <v>0</v>
      </c>
      <c r="CG61" s="246">
        <f t="shared" si="67"/>
        <v>1</v>
      </c>
      <c r="CH61" s="246">
        <f t="shared" si="67"/>
        <v>11</v>
      </c>
      <c r="CI61" s="246">
        <f t="shared" si="67"/>
        <v>195</v>
      </c>
      <c r="CJ61" s="625"/>
      <c r="CK61" s="246">
        <f t="shared" ref="CK61:CU61" si="68">+CK46</f>
        <v>187</v>
      </c>
      <c r="CL61" s="246">
        <f t="shared" si="68"/>
        <v>63</v>
      </c>
      <c r="CM61" s="246">
        <f t="shared" si="68"/>
        <v>83</v>
      </c>
      <c r="CN61" s="246">
        <f t="shared" si="68"/>
        <v>316</v>
      </c>
      <c r="CO61" s="625"/>
      <c r="CP61" s="246">
        <f t="shared" si="68"/>
        <v>336</v>
      </c>
      <c r="CQ61" s="246">
        <f t="shared" si="68"/>
        <v>125</v>
      </c>
      <c r="CR61" s="246">
        <f t="shared" si="68"/>
        <v>41</v>
      </c>
      <c r="CS61" s="246">
        <f t="shared" si="68"/>
        <v>648</v>
      </c>
      <c r="CT61" s="625"/>
      <c r="CU61" s="246">
        <f t="shared" si="68"/>
        <v>5396</v>
      </c>
      <c r="CV61" s="246">
        <f>+CV46</f>
        <v>433</v>
      </c>
      <c r="CW61" s="246">
        <f>+CW46</f>
        <v>138</v>
      </c>
      <c r="CX61" s="246">
        <f>+CX46</f>
        <v>5159</v>
      </c>
      <c r="CY61" s="625"/>
      <c r="CZ61" s="246">
        <f>+CZ46</f>
        <v>377</v>
      </c>
      <c r="DA61" s="246">
        <f>+DA46</f>
        <v>450</v>
      </c>
      <c r="DB61" s="246">
        <f>+DB46</f>
        <v>0</v>
      </c>
      <c r="DC61" s="246">
        <f>+DC46</f>
        <v>41</v>
      </c>
      <c r="DD61" s="625"/>
      <c r="DE61" s="246">
        <f>+DE46</f>
        <v>39</v>
      </c>
      <c r="DF61" s="246">
        <f>+DF46</f>
        <v>63</v>
      </c>
      <c r="DG61" s="246">
        <f>+DG46</f>
        <v>143</v>
      </c>
      <c r="DH61" s="246">
        <f>+DH46</f>
        <v>0</v>
      </c>
      <c r="DI61" s="625"/>
      <c r="DJ61" s="246">
        <f>+DJ46</f>
        <v>0</v>
      </c>
      <c r="DK61" s="246">
        <f>+DK46</f>
        <v>69</v>
      </c>
      <c r="DL61" s="246">
        <f>+DL46</f>
        <v>0</v>
      </c>
      <c r="DM61" s="246">
        <f>+DM46</f>
        <v>2</v>
      </c>
      <c r="DN61" s="625"/>
      <c r="DO61" s="246">
        <f>+DO46</f>
        <v>875</v>
      </c>
      <c r="DP61" s="246">
        <f>+DP46</f>
        <v>8083</v>
      </c>
      <c r="DQ61" s="246">
        <f>+DQ46</f>
        <v>84</v>
      </c>
      <c r="DR61" s="246">
        <f>+DR46</f>
        <v>526</v>
      </c>
      <c r="DS61" s="625"/>
      <c r="DT61" s="246">
        <f>+DT46</f>
        <v>1145</v>
      </c>
      <c r="DU61" s="246">
        <f>+DU46</f>
        <v>311</v>
      </c>
      <c r="DV61" s="246">
        <f>+DV46</f>
        <v>108</v>
      </c>
      <c r="DW61" s="246">
        <f>+DW46</f>
        <v>20</v>
      </c>
      <c r="DX61" s="625"/>
      <c r="DY61" s="246">
        <f>+DY46</f>
        <v>15</v>
      </c>
      <c r="DZ61" s="246">
        <f>+DZ46</f>
        <v>139</v>
      </c>
      <c r="EA61" s="246">
        <f>+EA46</f>
        <v>157</v>
      </c>
      <c r="EB61" s="246">
        <f>+EB46</f>
        <v>5626</v>
      </c>
      <c r="EC61" s="625"/>
      <c r="ED61" s="246">
        <f>+ED46</f>
        <v>141</v>
      </c>
      <c r="EE61" s="246">
        <f>+EE46</f>
        <v>2794</v>
      </c>
      <c r="EF61" s="246">
        <f>+EF46</f>
        <v>162</v>
      </c>
      <c r="EG61" s="246">
        <f>+EG46</f>
        <v>626</v>
      </c>
      <c r="EH61" s="625"/>
      <c r="EI61" s="246">
        <f>+EI46</f>
        <v>390</v>
      </c>
      <c r="EJ61" s="246">
        <f>+EJ46</f>
        <v>381</v>
      </c>
      <c r="EK61" s="246">
        <f>+EK46</f>
        <v>559</v>
      </c>
      <c r="EL61" s="246">
        <f>+EL46</f>
        <v>63</v>
      </c>
      <c r="EM61" s="625"/>
      <c r="EN61" s="246">
        <f>+EN46</f>
        <v>24</v>
      </c>
      <c r="EO61" s="246">
        <f>+EO46</f>
        <v>24760</v>
      </c>
      <c r="EP61" s="246">
        <f>+EP46</f>
        <v>802</v>
      </c>
      <c r="EQ61" s="246">
        <f>+EQ46</f>
        <v>358</v>
      </c>
      <c r="ER61" s="625"/>
      <c r="ES61" s="246">
        <f>+ES46</f>
        <v>179</v>
      </c>
      <c r="ET61" s="246">
        <f>+ET46</f>
        <v>27</v>
      </c>
      <c r="EU61" s="246">
        <f>+EU46</f>
        <v>248</v>
      </c>
      <c r="EV61" s="1212">
        <f>+EV46</f>
        <v>248</v>
      </c>
      <c r="EW61" s="1213"/>
      <c r="EX61" s="1212">
        <f>+EX46</f>
        <v>400</v>
      </c>
      <c r="EY61" s="1212">
        <f>+EY46</f>
        <v>400</v>
      </c>
      <c r="EZ61" s="1212">
        <f>+EZ46</f>
        <v>400</v>
      </c>
      <c r="FA61" s="1212">
        <f>+FA46</f>
        <v>400</v>
      </c>
      <c r="FB61" s="1213"/>
      <c r="FC61" s="1212">
        <f>+FC46</f>
        <v>400</v>
      </c>
      <c r="FD61" s="1212">
        <f>+FD46</f>
        <v>400</v>
      </c>
      <c r="FE61" s="1212">
        <f>+FE46</f>
        <v>400</v>
      </c>
      <c r="FF61" s="1212">
        <f>+FF46</f>
        <v>400</v>
      </c>
      <c r="FG61" s="1213"/>
      <c r="FH61" s="1212">
        <f>+FH46</f>
        <v>400</v>
      </c>
      <c r="FI61" s="1212">
        <f>+FI46</f>
        <v>400</v>
      </c>
      <c r="FJ61" s="1212">
        <f>+FJ46</f>
        <v>400</v>
      </c>
      <c r="FK61" s="1212">
        <f>+FK46</f>
        <v>400</v>
      </c>
      <c r="FL61" s="1213"/>
    </row>
    <row r="62" spans="1:168" s="243" customFormat="1" ht="11.25" customHeight="1">
      <c r="A62" s="243" t="s">
        <v>95</v>
      </c>
      <c r="BZ62" s="574"/>
      <c r="CC62" s="465">
        <f t="shared" ref="CC62:CI62" si="69">+CC45</f>
        <v>0</v>
      </c>
      <c r="CD62" s="465">
        <f t="shared" si="69"/>
        <v>0</v>
      </c>
      <c r="CE62" s="578"/>
      <c r="CF62" s="465">
        <f t="shared" si="69"/>
        <v>0</v>
      </c>
      <c r="CG62" s="465">
        <f t="shared" si="69"/>
        <v>0</v>
      </c>
      <c r="CH62" s="465">
        <f t="shared" si="69"/>
        <v>0</v>
      </c>
      <c r="CI62" s="465">
        <f t="shared" si="69"/>
        <v>0</v>
      </c>
      <c r="CJ62" s="578"/>
      <c r="CK62" s="465">
        <f t="shared" ref="CK62:CU62" si="70">+CK45</f>
        <v>0</v>
      </c>
      <c r="CL62" s="465">
        <f t="shared" si="70"/>
        <v>0</v>
      </c>
      <c r="CM62" s="465">
        <f t="shared" si="70"/>
        <v>0</v>
      </c>
      <c r="CN62" s="465">
        <f t="shared" si="70"/>
        <v>0</v>
      </c>
      <c r="CO62" s="578"/>
      <c r="CP62" s="465">
        <f t="shared" si="70"/>
        <v>0</v>
      </c>
      <c r="CQ62" s="465">
        <f t="shared" si="70"/>
        <v>0</v>
      </c>
      <c r="CR62" s="465">
        <f t="shared" si="70"/>
        <v>0</v>
      </c>
      <c r="CS62" s="465">
        <f t="shared" si="70"/>
        <v>0</v>
      </c>
      <c r="CT62" s="578"/>
      <c r="CU62" s="465">
        <f t="shared" si="70"/>
        <v>0</v>
      </c>
      <c r="CV62" s="465">
        <f>+CV45</f>
        <v>0</v>
      </c>
      <c r="CW62" s="465">
        <f>+CW45</f>
        <v>0</v>
      </c>
      <c r="CX62" s="465">
        <f>+CX45</f>
        <v>0</v>
      </c>
      <c r="CY62" s="578"/>
      <c r="CZ62" s="465">
        <f>+CZ45</f>
        <v>0</v>
      </c>
      <c r="DA62" s="465">
        <f>+DA45</f>
        <v>0</v>
      </c>
      <c r="DB62" s="465">
        <f>+DB45</f>
        <v>0</v>
      </c>
      <c r="DC62" s="465">
        <f>+DC45</f>
        <v>0</v>
      </c>
      <c r="DD62" s="578"/>
      <c r="DE62" s="465">
        <f>+DE45</f>
        <v>0</v>
      </c>
      <c r="DF62" s="465">
        <f>+DF45</f>
        <v>0</v>
      </c>
      <c r="DG62" s="465">
        <f>+DG45</f>
        <v>0</v>
      </c>
      <c r="DH62" s="465">
        <f>+DH45</f>
        <v>0</v>
      </c>
      <c r="DI62" s="578"/>
      <c r="DJ62" s="465">
        <f>+DJ45</f>
        <v>0</v>
      </c>
      <c r="DK62" s="465">
        <f>+DK45</f>
        <v>0</v>
      </c>
      <c r="DL62" s="465">
        <f>+DL45</f>
        <v>0</v>
      </c>
      <c r="DM62" s="465">
        <f>+DM45</f>
        <v>0</v>
      </c>
      <c r="DN62" s="578"/>
      <c r="DO62" s="465">
        <f>+DO45</f>
        <v>0</v>
      </c>
      <c r="DP62" s="465">
        <f>+DP45</f>
        <v>-544</v>
      </c>
      <c r="DQ62" s="465">
        <f>+DQ45</f>
        <v>0</v>
      </c>
      <c r="DR62" s="465">
        <f>+DR45</f>
        <v>0</v>
      </c>
      <c r="DS62" s="578"/>
      <c r="DT62" s="465">
        <f>+DT45</f>
        <v>0</v>
      </c>
      <c r="DU62" s="465">
        <f>+DU45</f>
        <v>0</v>
      </c>
      <c r="DV62" s="465">
        <f>+DV45</f>
        <v>0</v>
      </c>
      <c r="DW62" s="465">
        <f>+DW45</f>
        <v>0</v>
      </c>
      <c r="DX62" s="578"/>
      <c r="DY62" s="465">
        <f>+DY45</f>
        <v>0</v>
      </c>
      <c r="DZ62" s="465">
        <f>+DZ45</f>
        <v>0</v>
      </c>
      <c r="EA62" s="465">
        <f>+EA45</f>
        <v>0</v>
      </c>
      <c r="EB62" s="465">
        <f>+EB45</f>
        <v>0</v>
      </c>
      <c r="EC62" s="578"/>
      <c r="ED62" s="465">
        <f>+ED45</f>
        <v>0</v>
      </c>
      <c r="EE62" s="465">
        <f>+EE45</f>
        <v>0</v>
      </c>
      <c r="EF62" s="465">
        <f>+EF45</f>
        <v>0</v>
      </c>
      <c r="EG62" s="465">
        <f>+EG45</f>
        <v>0</v>
      </c>
      <c r="EH62" s="578"/>
      <c r="EI62" s="465">
        <f>+EI45</f>
        <v>0</v>
      </c>
      <c r="EJ62" s="465">
        <f>+EJ45</f>
        <v>0</v>
      </c>
      <c r="EK62" s="465">
        <f>+EK45</f>
        <v>0</v>
      </c>
      <c r="EL62" s="465">
        <f>+EL45</f>
        <v>0</v>
      </c>
      <c r="EM62" s="578"/>
      <c r="EN62" s="465">
        <f>+EN45</f>
        <v>0</v>
      </c>
      <c r="EO62" s="465">
        <f>+EO45</f>
        <v>0</v>
      </c>
      <c r="EP62" s="465">
        <f>+EP45</f>
        <v>0</v>
      </c>
      <c r="EQ62" s="465">
        <f>+EQ45</f>
        <v>0</v>
      </c>
      <c r="ER62" s="578"/>
      <c r="ES62" s="465">
        <f>+ES45</f>
        <v>0</v>
      </c>
      <c r="ET62" s="465">
        <f>+ET45</f>
        <v>0</v>
      </c>
      <c r="EU62" s="465">
        <f>+EU45</f>
        <v>0</v>
      </c>
      <c r="EV62" s="1202">
        <f>+EV45</f>
        <v>0</v>
      </c>
      <c r="EW62" s="1203"/>
      <c r="EX62" s="1202">
        <f>+EX45</f>
        <v>0</v>
      </c>
      <c r="EY62" s="1202">
        <f>+EY45</f>
        <v>0</v>
      </c>
      <c r="EZ62" s="1202">
        <f>+EZ45</f>
        <v>0</v>
      </c>
      <c r="FA62" s="1202">
        <f>+FA45</f>
        <v>0</v>
      </c>
      <c r="FB62" s="1203"/>
      <c r="FC62" s="1202">
        <f>+FC45</f>
        <v>0</v>
      </c>
      <c r="FD62" s="1202">
        <f>+FD45</f>
        <v>0</v>
      </c>
      <c r="FE62" s="1202">
        <f>+FE45</f>
        <v>0</v>
      </c>
      <c r="FF62" s="1202">
        <f>+FF45</f>
        <v>0</v>
      </c>
      <c r="FG62" s="1203"/>
      <c r="FH62" s="1202">
        <f>+FH45</f>
        <v>0</v>
      </c>
      <c r="FI62" s="1202">
        <f>+FI45</f>
        <v>0</v>
      </c>
      <c r="FJ62" s="1202">
        <f>+FJ45</f>
        <v>0</v>
      </c>
      <c r="FK62" s="1202">
        <f>+FK45</f>
        <v>0</v>
      </c>
      <c r="FL62" s="1203"/>
    </row>
    <row r="63" spans="1:168" s="243" customFormat="1" ht="11.25" customHeight="1">
      <c r="A63" s="243" t="s">
        <v>96</v>
      </c>
      <c r="BZ63" s="574"/>
      <c r="CC63" s="465">
        <f>+CC57*IS!CC183/100</f>
        <v>0</v>
      </c>
      <c r="CD63" s="465">
        <f>+CD57*IS!CD183/100</f>
        <v>0</v>
      </c>
      <c r="CE63" s="578"/>
      <c r="CF63" s="465">
        <f>+CF57*IS!CF183/100</f>
        <v>0</v>
      </c>
      <c r="CG63" s="465">
        <f>+CG57*IS!CG183/100</f>
        <v>0</v>
      </c>
      <c r="CH63" s="465">
        <f>+CH57*IS!CH183/100</f>
        <v>0</v>
      </c>
      <c r="CI63" s="465">
        <f>+CI57*IS!CI183/100</f>
        <v>0</v>
      </c>
      <c r="CJ63" s="578"/>
      <c r="CK63" s="465">
        <f>+CK57*IS!CK183/100</f>
        <v>0</v>
      </c>
      <c r="CL63" s="465">
        <f>+CL57*IS!CL183/100</f>
        <v>0</v>
      </c>
      <c r="CM63" s="465">
        <f>+CM57*IS!CM183/100</f>
        <v>0</v>
      </c>
      <c r="CN63" s="465">
        <f>+CN57*IS!CN183/100</f>
        <v>0</v>
      </c>
      <c r="CO63" s="578"/>
      <c r="CP63" s="465">
        <f>+CP57*IS!CP183/100</f>
        <v>0</v>
      </c>
      <c r="CQ63" s="465">
        <f>+CQ57*IS!CQ183/100</f>
        <v>0</v>
      </c>
      <c r="CR63" s="465">
        <f>+CR57*IS!CR183/100</f>
        <v>0</v>
      </c>
      <c r="CS63" s="465">
        <f>+CS57*IS!CS183/100</f>
        <v>0</v>
      </c>
      <c r="CT63" s="578"/>
      <c r="CU63" s="465">
        <f>+CU57*IS!CU183/100</f>
        <v>0</v>
      </c>
      <c r="CV63" s="465">
        <f>+CV57*IS!CV183/100</f>
        <v>0</v>
      </c>
      <c r="CW63" s="465">
        <f>+CW57*IS!CW183/100</f>
        <v>0</v>
      </c>
      <c r="CX63" s="465">
        <f>+CX57*IS!CX183/100</f>
        <v>0</v>
      </c>
      <c r="CY63" s="578"/>
      <c r="CZ63" s="465">
        <f>+CZ57*IS!CZ183/100</f>
        <v>0</v>
      </c>
      <c r="DA63" s="465">
        <f>+DA57*IS!DA183/100</f>
        <v>0</v>
      </c>
      <c r="DB63" s="465">
        <f>+DB57*IS!DB183/100</f>
        <v>0</v>
      </c>
      <c r="DC63" s="465">
        <f>+DC57*IS!DC183/100</f>
        <v>0</v>
      </c>
      <c r="DD63" s="578"/>
      <c r="DE63" s="465">
        <f>+DE57*IS!DE183/100</f>
        <v>0</v>
      </c>
      <c r="DF63" s="465">
        <f>+DF57*IS!DF183/100</f>
        <v>0</v>
      </c>
      <c r="DG63" s="465">
        <f>+DG57*IS!DG183/100</f>
        <v>0</v>
      </c>
      <c r="DH63" s="465">
        <f>+DH57*IS!DH183/100</f>
        <v>0</v>
      </c>
      <c r="DI63" s="578"/>
      <c r="DJ63" s="465">
        <f>+DJ57*IS!DJ183/100</f>
        <v>0</v>
      </c>
      <c r="DK63" s="465">
        <f>+DK57*IS!DK183/100</f>
        <v>0</v>
      </c>
      <c r="DL63" s="465">
        <f>+DL57*IS!DL183/100</f>
        <v>0</v>
      </c>
      <c r="DM63" s="465">
        <f>+DM57*IS!DM183/100</f>
        <v>0</v>
      </c>
      <c r="DN63" s="578"/>
      <c r="DO63" s="465">
        <f>+DO57*IS!DO183/100</f>
        <v>0</v>
      </c>
      <c r="DP63" s="465">
        <f>+DP57*IS!DP183/100</f>
        <v>0</v>
      </c>
      <c r="DQ63" s="465">
        <f>+DQ57*IS!DQ183/100</f>
        <v>0</v>
      </c>
      <c r="DR63" s="465">
        <f>+DR57*IS!DR183/100</f>
        <v>0</v>
      </c>
      <c r="DS63" s="578"/>
      <c r="DT63" s="465">
        <f>+DT57*IS!DT183/100</f>
        <v>0</v>
      </c>
      <c r="DU63" s="465">
        <f>+DU57*IS!DU183/100</f>
        <v>0</v>
      </c>
      <c r="DV63" s="465">
        <f>+DV57*IS!DV183/100</f>
        <v>0</v>
      </c>
      <c r="DW63" s="465">
        <f>+DW57*IS!DW183/100</f>
        <v>0</v>
      </c>
      <c r="DX63" s="578"/>
      <c r="DY63" s="465">
        <f>+DY57*IS!DY183/100</f>
        <v>0</v>
      </c>
      <c r="DZ63" s="465">
        <f>+DZ57*IS!DZ183/100</f>
        <v>0</v>
      </c>
      <c r="EA63" s="465">
        <f>+EA57*IS!EA183/100</f>
        <v>0</v>
      </c>
      <c r="EB63" s="465">
        <f>+EB57*IS!EB183/100</f>
        <v>0</v>
      </c>
      <c r="EC63" s="578"/>
      <c r="ED63" s="465">
        <f>+ED57*IS!ED183/100</f>
        <v>0</v>
      </c>
      <c r="EE63" s="465">
        <f>+EE57*IS!EE183/100</f>
        <v>0</v>
      </c>
      <c r="EF63" s="465">
        <f>+EF57*IS!EF183/100</f>
        <v>0</v>
      </c>
      <c r="EG63" s="465">
        <f>+EG57*IS!EG183/100</f>
        <v>0</v>
      </c>
      <c r="EH63" s="578"/>
      <c r="EI63" s="465">
        <f>+EI57*IS!EI183/100</f>
        <v>0</v>
      </c>
      <c r="EJ63" s="465">
        <f>+EJ57*IS!EJ183/100</f>
        <v>0</v>
      </c>
      <c r="EK63" s="465">
        <f>+EK57*IS!EK183/100</f>
        <v>0</v>
      </c>
      <c r="EL63" s="465">
        <f>+EL57*IS!EL183/100</f>
        <v>0</v>
      </c>
      <c r="EM63" s="578"/>
      <c r="EN63" s="465">
        <f>+EN57*IS!EN183/100</f>
        <v>0</v>
      </c>
      <c r="EO63" s="465">
        <f>+EO57*IS!EO183/100</f>
        <v>0</v>
      </c>
      <c r="EP63" s="465">
        <f>+EP57*IS!EP183/100</f>
        <v>0</v>
      </c>
      <c r="EQ63" s="465">
        <f>+EQ57*IS!EQ183/100</f>
        <v>0</v>
      </c>
      <c r="ER63" s="578"/>
      <c r="ES63" s="465">
        <f>+ES57*IS!ES183/100</f>
        <v>0</v>
      </c>
      <c r="ET63" s="465">
        <f>+ET57*IS!ET183/100</f>
        <v>0</v>
      </c>
      <c r="EU63" s="465">
        <f>+EU57*IS!EU183/100</f>
        <v>0</v>
      </c>
      <c r="EV63" s="1202">
        <f>+EV57*IS!EV183/100</f>
        <v>0</v>
      </c>
      <c r="EW63" s="1203"/>
      <c r="EX63" s="1202">
        <f>+EX57*IS!EX183/100</f>
        <v>0</v>
      </c>
      <c r="EY63" s="1202">
        <f>+EY57*IS!EY183/100</f>
        <v>0</v>
      </c>
      <c r="EZ63" s="1202">
        <f>+EZ57*IS!EZ183/100</f>
        <v>0</v>
      </c>
      <c r="FA63" s="1202">
        <f>+FA57*IS!FA183/100</f>
        <v>0</v>
      </c>
      <c r="FB63" s="1203"/>
      <c r="FC63" s="1202">
        <f>+FC57*IS!FC183/100</f>
        <v>0</v>
      </c>
      <c r="FD63" s="1202">
        <f>+FD57*IS!FD183/100</f>
        <v>0</v>
      </c>
      <c r="FE63" s="1202">
        <f>+FE57*IS!FE183/100</f>
        <v>0</v>
      </c>
      <c r="FF63" s="1202">
        <f>+FF57*IS!FF183/100</f>
        <v>0</v>
      </c>
      <c r="FG63" s="1203"/>
      <c r="FH63" s="1202">
        <f>+FH57*IS!FH183/100</f>
        <v>0</v>
      </c>
      <c r="FI63" s="1202">
        <f>+FI57*IS!FI183/100</f>
        <v>0</v>
      </c>
      <c r="FJ63" s="1202">
        <f>+FJ57*IS!FJ183/100</f>
        <v>0</v>
      </c>
      <c r="FK63" s="1202">
        <f>+FK57*IS!FK183/100</f>
        <v>0</v>
      </c>
      <c r="FL63" s="1203"/>
    </row>
    <row r="64" spans="1:168" s="461" customFormat="1" ht="11.25" customHeight="1">
      <c r="A64" s="461" t="s">
        <v>97</v>
      </c>
      <c r="BZ64" s="574"/>
      <c r="CC64" s="248">
        <f t="shared" ref="CC64:CI64" si="71">+CC60</f>
        <v>0</v>
      </c>
      <c r="CD64" s="248">
        <f t="shared" si="71"/>
        <v>0</v>
      </c>
      <c r="CE64" s="578"/>
      <c r="CF64" s="248">
        <f t="shared" si="71"/>
        <v>0</v>
      </c>
      <c r="CG64" s="248">
        <f t="shared" si="71"/>
        <v>0</v>
      </c>
      <c r="CH64" s="248">
        <f t="shared" si="71"/>
        <v>0</v>
      </c>
      <c r="CI64" s="248">
        <f t="shared" si="71"/>
        <v>0</v>
      </c>
      <c r="CJ64" s="578"/>
      <c r="CK64" s="248">
        <f t="shared" ref="CK64:CU64" si="72">+CK60</f>
        <v>0</v>
      </c>
      <c r="CL64" s="248">
        <f t="shared" si="72"/>
        <v>0</v>
      </c>
      <c r="CM64" s="248">
        <f t="shared" si="72"/>
        <v>0</v>
      </c>
      <c r="CN64" s="248">
        <f t="shared" si="72"/>
        <v>0</v>
      </c>
      <c r="CO64" s="578"/>
      <c r="CP64" s="248">
        <f t="shared" si="72"/>
        <v>0</v>
      </c>
      <c r="CQ64" s="248">
        <f t="shared" si="72"/>
        <v>0</v>
      </c>
      <c r="CR64" s="248">
        <f t="shared" si="72"/>
        <v>0</v>
      </c>
      <c r="CS64" s="248">
        <f t="shared" si="72"/>
        <v>0</v>
      </c>
      <c r="CT64" s="578"/>
      <c r="CU64" s="248">
        <f t="shared" si="72"/>
        <v>0</v>
      </c>
      <c r="CV64" s="248">
        <f>+CV60</f>
        <v>0</v>
      </c>
      <c r="CW64" s="248">
        <f>+CW60</f>
        <v>0</v>
      </c>
      <c r="CX64" s="248">
        <f>+CX60</f>
        <v>0</v>
      </c>
      <c r="CY64" s="578"/>
      <c r="CZ64" s="248">
        <f>+CZ60</f>
        <v>0</v>
      </c>
      <c r="DA64" s="248">
        <f>+DA60</f>
        <v>0</v>
      </c>
      <c r="DB64" s="248">
        <f>+DB60</f>
        <v>0</v>
      </c>
      <c r="DC64" s="248">
        <f>+DC60</f>
        <v>0</v>
      </c>
      <c r="DD64" s="578"/>
      <c r="DE64" s="248">
        <f>+DE60</f>
        <v>0</v>
      </c>
      <c r="DF64" s="248">
        <f>+DF60</f>
        <v>0</v>
      </c>
      <c r="DG64" s="248">
        <f>+DG60</f>
        <v>0</v>
      </c>
      <c r="DH64" s="248">
        <f>+DH60</f>
        <v>1</v>
      </c>
      <c r="DI64" s="578"/>
      <c r="DJ64" s="248">
        <f>+DJ60</f>
        <v>0</v>
      </c>
      <c r="DK64" s="248">
        <f>+DK60</f>
        <v>0</v>
      </c>
      <c r="DL64" s="248">
        <f>+DL60</f>
        <v>0</v>
      </c>
      <c r="DM64" s="248">
        <f>+DM60</f>
        <v>0</v>
      </c>
      <c r="DN64" s="578"/>
      <c r="DO64" s="248">
        <f>+DO60</f>
        <v>0</v>
      </c>
      <c r="DP64" s="248">
        <f>+DP60</f>
        <v>0</v>
      </c>
      <c r="DQ64" s="248">
        <f>+DQ60</f>
        <v>0</v>
      </c>
      <c r="DR64" s="248">
        <f>+DR60</f>
        <v>0</v>
      </c>
      <c r="DS64" s="578"/>
      <c r="DT64" s="248">
        <f>+DT60</f>
        <v>0</v>
      </c>
      <c r="DU64" s="248">
        <f>+DU60</f>
        <v>0</v>
      </c>
      <c r="DV64" s="248">
        <f>+DV60</f>
        <v>0</v>
      </c>
      <c r="DW64" s="248">
        <f>+DW60</f>
        <v>0</v>
      </c>
      <c r="DX64" s="578"/>
      <c r="DY64" s="248">
        <f>+DY60</f>
        <v>0</v>
      </c>
      <c r="DZ64" s="248">
        <f>+DZ60</f>
        <v>0</v>
      </c>
      <c r="EA64" s="248">
        <f>+EA60</f>
        <v>0</v>
      </c>
      <c r="EB64" s="248">
        <f>+EB60</f>
        <v>0</v>
      </c>
      <c r="EC64" s="578"/>
      <c r="ED64" s="248">
        <f>+ED60</f>
        <v>0</v>
      </c>
      <c r="EE64" s="248">
        <f>+EE60</f>
        <v>0</v>
      </c>
      <c r="EF64" s="248">
        <f>+EF60</f>
        <v>0</v>
      </c>
      <c r="EG64" s="248">
        <f>+EG60</f>
        <v>0</v>
      </c>
      <c r="EH64" s="578"/>
      <c r="EI64" s="248">
        <f>+EI60</f>
        <v>0</v>
      </c>
      <c r="EJ64" s="248">
        <f>+EJ60</f>
        <v>0</v>
      </c>
      <c r="EK64" s="248">
        <f>+EK60</f>
        <v>0</v>
      </c>
      <c r="EL64" s="248">
        <f>+EL60</f>
        <v>0</v>
      </c>
      <c r="EM64" s="578"/>
      <c r="EN64" s="248">
        <f>+EN60</f>
        <v>0</v>
      </c>
      <c r="EO64" s="248">
        <f>+EO60</f>
        <v>0</v>
      </c>
      <c r="EP64" s="248">
        <f>+EP60</f>
        <v>0</v>
      </c>
      <c r="EQ64" s="248">
        <f>+EQ60</f>
        <v>0</v>
      </c>
      <c r="ER64" s="578"/>
      <c r="ES64" s="248">
        <f>+ES60</f>
        <v>0</v>
      </c>
      <c r="ET64" s="248">
        <f>+ET60</f>
        <v>0</v>
      </c>
      <c r="EU64" s="248">
        <f>+EU60</f>
        <v>0</v>
      </c>
      <c r="EV64" s="1216">
        <f>+EV60</f>
        <v>0</v>
      </c>
      <c r="EW64" s="1203"/>
      <c r="EX64" s="1216">
        <f>+EX60</f>
        <v>0</v>
      </c>
      <c r="EY64" s="1216">
        <f>+EY60</f>
        <v>0</v>
      </c>
      <c r="EZ64" s="1216">
        <f>+EZ60</f>
        <v>0</v>
      </c>
      <c r="FA64" s="1216">
        <f>+FA60</f>
        <v>0</v>
      </c>
      <c r="FB64" s="1203"/>
      <c r="FC64" s="1216">
        <f>+FC60</f>
        <v>0</v>
      </c>
      <c r="FD64" s="1216">
        <f>+FD60</f>
        <v>0</v>
      </c>
      <c r="FE64" s="1216">
        <f>+FE60</f>
        <v>0</v>
      </c>
      <c r="FF64" s="1216">
        <f>+FF60</f>
        <v>0</v>
      </c>
      <c r="FG64" s="1203"/>
      <c r="FH64" s="1216">
        <f>+FH60</f>
        <v>0</v>
      </c>
      <c r="FI64" s="1216">
        <f>+FI60</f>
        <v>0</v>
      </c>
      <c r="FJ64" s="1216">
        <f>+FJ60</f>
        <v>0</v>
      </c>
      <c r="FK64" s="1216">
        <f>+FK60</f>
        <v>0</v>
      </c>
      <c r="FL64" s="1203"/>
    </row>
    <row r="65" spans="1:168" s="93" customFormat="1" ht="11.25" customHeight="1">
      <c r="A65" s="93" t="s">
        <v>98</v>
      </c>
      <c r="BZ65" s="598"/>
      <c r="CC65" s="244">
        <f t="shared" ref="CC65:CI65" si="73">+CC61-CC62+CC63-CC64</f>
        <v>0</v>
      </c>
      <c r="CD65" s="244">
        <f t="shared" si="73"/>
        <v>0</v>
      </c>
      <c r="CE65" s="576"/>
      <c r="CF65" s="244">
        <f t="shared" si="73"/>
        <v>0</v>
      </c>
      <c r="CG65" s="244">
        <f t="shared" si="73"/>
        <v>1</v>
      </c>
      <c r="CH65" s="244">
        <f t="shared" si="73"/>
        <v>11</v>
      </c>
      <c r="CI65" s="244">
        <f t="shared" si="73"/>
        <v>195</v>
      </c>
      <c r="CJ65" s="576"/>
      <c r="CK65" s="244">
        <f t="shared" ref="CK65:CS65" si="74">+CK61-CK62+CK63-CK64</f>
        <v>187</v>
      </c>
      <c r="CL65" s="244">
        <f t="shared" si="74"/>
        <v>63</v>
      </c>
      <c r="CM65" s="244">
        <f t="shared" si="74"/>
        <v>83</v>
      </c>
      <c r="CN65" s="244">
        <f t="shared" si="74"/>
        <v>316</v>
      </c>
      <c r="CO65" s="576"/>
      <c r="CP65" s="244">
        <f t="shared" si="74"/>
        <v>336</v>
      </c>
      <c r="CQ65" s="244">
        <f t="shared" si="74"/>
        <v>125</v>
      </c>
      <c r="CR65" s="244">
        <f t="shared" si="74"/>
        <v>41</v>
      </c>
      <c r="CS65" s="244">
        <f t="shared" si="74"/>
        <v>648</v>
      </c>
      <c r="CT65" s="576"/>
      <c r="CU65" s="244">
        <f>+CU61-CU62+CU63-CU64</f>
        <v>5396</v>
      </c>
      <c r="CV65" s="244">
        <f>+CV61-CV62+CV63-CV64</f>
        <v>433</v>
      </c>
      <c r="CW65" s="244">
        <f>+CW61-CW62+CW63-CW64</f>
        <v>138</v>
      </c>
      <c r="CX65" s="244">
        <f>+CX61-CX62+CX63-CX64</f>
        <v>5159</v>
      </c>
      <c r="CY65" s="576"/>
      <c r="CZ65" s="244">
        <f>+CZ61-CZ62+CZ63-CZ64</f>
        <v>377</v>
      </c>
      <c r="DA65" s="244">
        <f>+DA61-DA62+DA63-DA64</f>
        <v>450</v>
      </c>
      <c r="DB65" s="244">
        <f>+DB61-DB62+DB63-DB64</f>
        <v>0</v>
      </c>
      <c r="DC65" s="244">
        <f>+DC61-DC62+DC63-DC64</f>
        <v>41</v>
      </c>
      <c r="DD65" s="576"/>
      <c r="DE65" s="244">
        <f>+DE61-DE62+DE63-DE64</f>
        <v>39</v>
      </c>
      <c r="DF65" s="244">
        <f>+DF61-DF62+DF63-DF64</f>
        <v>63</v>
      </c>
      <c r="DG65" s="244">
        <f>+DG61-DG62+DG63-DG64</f>
        <v>143</v>
      </c>
      <c r="DH65" s="244">
        <f>+DH61-DH62+DH63-DH64</f>
        <v>-1</v>
      </c>
      <c r="DI65" s="576"/>
      <c r="DJ65" s="244">
        <f>+DJ61-DJ62+DJ63-DJ64</f>
        <v>0</v>
      </c>
      <c r="DK65" s="244">
        <f>+DK61-DK62+DK63-DK64</f>
        <v>69</v>
      </c>
      <c r="DL65" s="244">
        <f>+DL61-DL62+DL63-DL64</f>
        <v>0</v>
      </c>
      <c r="DM65" s="244">
        <f>+DM61-DM62+DM63-DM64</f>
        <v>2</v>
      </c>
      <c r="DN65" s="576"/>
      <c r="DO65" s="244">
        <f>+DO61-DO62+DO63-DO64</f>
        <v>875</v>
      </c>
      <c r="DP65" s="244">
        <f>+DP61-DP62+DP63-DP64</f>
        <v>8627</v>
      </c>
      <c r="DQ65" s="244">
        <f>+DQ61-DQ62+DQ63-DQ64</f>
        <v>84</v>
      </c>
      <c r="DR65" s="244">
        <f>+DR61-DR62+DR63-DR64</f>
        <v>526</v>
      </c>
      <c r="DS65" s="576"/>
      <c r="DT65" s="244">
        <f>+DT61-DT62+DT63-DT64</f>
        <v>1145</v>
      </c>
      <c r="DU65" s="244">
        <f>+DU61-DU62+DU63-DU64</f>
        <v>311</v>
      </c>
      <c r="DV65" s="244">
        <f>+DV61-DV62+DV63-DV64</f>
        <v>108</v>
      </c>
      <c r="DW65" s="244">
        <f>+DW61-DW62+DW63-DW64</f>
        <v>20</v>
      </c>
      <c r="DX65" s="576"/>
      <c r="DY65" s="244">
        <f>+DY61-DY62+DY63-DY64</f>
        <v>15</v>
      </c>
      <c r="DZ65" s="244">
        <f>+DZ61-DZ62+DZ63-DZ64</f>
        <v>139</v>
      </c>
      <c r="EA65" s="244">
        <f>+EA61-EA62+EA63-EA64</f>
        <v>157</v>
      </c>
      <c r="EB65" s="244">
        <f>+EB61-EB62+EB63-EB64</f>
        <v>5626</v>
      </c>
      <c r="EC65" s="576"/>
      <c r="ED65" s="244">
        <f>+ED61-ED62+ED63-ED64</f>
        <v>141</v>
      </c>
      <c r="EE65" s="244">
        <f>+EE61-EE62+EE63-EE64</f>
        <v>2794</v>
      </c>
      <c r="EF65" s="244">
        <f>+EF61-EF62+EF63-EF64</f>
        <v>162</v>
      </c>
      <c r="EG65" s="244">
        <f>+EG61-EG62+EG63-EG64</f>
        <v>626</v>
      </c>
      <c r="EH65" s="576"/>
      <c r="EI65" s="244">
        <f>+EI61-EI62+EI63-EI64</f>
        <v>390</v>
      </c>
      <c r="EJ65" s="244">
        <f>+EJ61-EJ62+EJ63-EJ64</f>
        <v>381</v>
      </c>
      <c r="EK65" s="244">
        <f>+EK61-EK62+EK63-EK64</f>
        <v>559</v>
      </c>
      <c r="EL65" s="244">
        <f>+EL61-EL62+EL63-EL64</f>
        <v>63</v>
      </c>
      <c r="EM65" s="576"/>
      <c r="EN65" s="244">
        <f>+EN61-EN62+EN63-EN64</f>
        <v>24</v>
      </c>
      <c r="EO65" s="244">
        <f>+EO61-EO62+EO63-EO64</f>
        <v>24760</v>
      </c>
      <c r="EP65" s="244">
        <f>+EP61-EP62+EP63-EP64</f>
        <v>802</v>
      </c>
      <c r="EQ65" s="244">
        <f>+EQ61-EQ62+EQ63-EQ64</f>
        <v>358</v>
      </c>
      <c r="ER65" s="576"/>
      <c r="ES65" s="244">
        <f>+ES61-ES62+ES63-ES64</f>
        <v>179</v>
      </c>
      <c r="ET65" s="244">
        <f>+ET61-ET62+ET63-ET64</f>
        <v>27</v>
      </c>
      <c r="EU65" s="244">
        <f>+EU61-EU62+EU63-EU64</f>
        <v>248</v>
      </c>
      <c r="EV65" s="244">
        <f>+EV61-EV62+EV63-EV64</f>
        <v>248</v>
      </c>
      <c r="EW65" s="576"/>
      <c r="EX65" s="244">
        <f>+EX61-EX62+EX63-EX64</f>
        <v>400</v>
      </c>
      <c r="EY65" s="244">
        <f>+EY61-EY62+EY63-EY64</f>
        <v>400</v>
      </c>
      <c r="EZ65" s="244">
        <f>+EZ61-EZ62+EZ63-EZ64</f>
        <v>400</v>
      </c>
      <c r="FA65" s="244">
        <f>+FA61-FA62+FA63-FA64</f>
        <v>400</v>
      </c>
      <c r="FB65" s="576"/>
      <c r="FC65" s="244">
        <f>+FC61-FC62+FC63-FC64</f>
        <v>400</v>
      </c>
      <c r="FD65" s="244">
        <f>+FD61-FD62+FD63-FD64</f>
        <v>400</v>
      </c>
      <c r="FE65" s="244">
        <f>+FE61-FE62+FE63-FE64</f>
        <v>400</v>
      </c>
      <c r="FF65" s="244">
        <f>+FF61-FF62+FF63-FF64</f>
        <v>400</v>
      </c>
      <c r="FG65" s="576"/>
      <c r="FH65" s="244">
        <f>+FH61-FH62+FH63-FH64</f>
        <v>400</v>
      </c>
      <c r="FI65" s="244">
        <f>+FI61-FI62+FI63-FI64</f>
        <v>400</v>
      </c>
      <c r="FJ65" s="244">
        <f>+FJ61-FJ62+FJ63-FJ64</f>
        <v>400</v>
      </c>
      <c r="FK65" s="244">
        <f>+FK61-FK62+FK63-FK64</f>
        <v>400</v>
      </c>
      <c r="FL65" s="576"/>
    </row>
    <row r="66" spans="1:168" s="243" customFormat="1" ht="11.25" customHeight="1">
      <c r="A66" s="93" t="s">
        <v>99</v>
      </c>
      <c r="BZ66" s="574"/>
      <c r="CE66" s="574"/>
      <c r="CJ66" s="574"/>
      <c r="CO66" s="574"/>
      <c r="CT66" s="574"/>
      <c r="CY66" s="574"/>
      <c r="DD66" s="574"/>
      <c r="DI66" s="574"/>
      <c r="DN66" s="574"/>
      <c r="DS66" s="574"/>
      <c r="DX66" s="574"/>
      <c r="EC66" s="574"/>
      <c r="EH66" s="574"/>
      <c r="EM66" s="574"/>
      <c r="ER66" s="574"/>
      <c r="EV66" s="94"/>
      <c r="EW66" s="1201"/>
      <c r="EX66" s="94"/>
      <c r="EY66" s="94"/>
      <c r="EZ66" s="94"/>
      <c r="FA66" s="94"/>
      <c r="FB66" s="1201"/>
      <c r="FC66" s="94"/>
      <c r="FD66" s="94"/>
      <c r="FE66" s="94"/>
      <c r="FF66" s="94"/>
      <c r="FG66" s="1201"/>
      <c r="FH66" s="94"/>
      <c r="FI66" s="94"/>
      <c r="FJ66" s="94"/>
      <c r="FK66" s="94"/>
      <c r="FL66" s="1201"/>
    </row>
    <row r="67" spans="1:168" s="243" customFormat="1" ht="11.25" customHeight="1">
      <c r="A67" s="243" t="s">
        <v>101</v>
      </c>
      <c r="BZ67" s="574"/>
      <c r="CC67" s="246">
        <f>+IF(CC44,CC53,CC60)</f>
        <v>0</v>
      </c>
      <c r="CD67" s="246">
        <f>+IF(CD44,CD53,CD60)</f>
        <v>0</v>
      </c>
      <c r="CE67" s="625"/>
      <c r="CF67" s="246">
        <f>+IF(CF44,CF53,CF60)</f>
        <v>0</v>
      </c>
      <c r="CG67" s="246">
        <f>+IF(CG44,CG53,CG60)</f>
        <v>0.5</v>
      </c>
      <c r="CH67" s="246">
        <f>+IF(CH44,CH53,CH60)</f>
        <v>5.5</v>
      </c>
      <c r="CI67" s="246">
        <f>+IF(CI44,CI53,CI60)</f>
        <v>97.5</v>
      </c>
      <c r="CJ67" s="625"/>
      <c r="CK67" s="246">
        <f>+IF(CK44,CK53,CK60)</f>
        <v>93.5</v>
      </c>
      <c r="CL67" s="246">
        <f>+IF(CL44,CL53,CL60)</f>
        <v>31.5</v>
      </c>
      <c r="CM67" s="246">
        <f>+IF(CM44,CM53,CM60)</f>
        <v>41.5</v>
      </c>
      <c r="CN67" s="246">
        <f>+IF(CN44,CN53,CN60)</f>
        <v>158</v>
      </c>
      <c r="CO67" s="625"/>
      <c r="CP67" s="246">
        <f>+IF(CP44,CP53,CP60)</f>
        <v>168</v>
      </c>
      <c r="CQ67" s="246">
        <f>+IF(CQ44,CQ53,CQ60)</f>
        <v>62.5</v>
      </c>
      <c r="CR67" s="246">
        <f>+IF(CR44,CR53,CR60)</f>
        <v>20.5</v>
      </c>
      <c r="CS67" s="246">
        <f>+IF(CS44,CS53,CS60)</f>
        <v>324</v>
      </c>
      <c r="CT67" s="625"/>
      <c r="CU67" s="246">
        <f>+IF(CU44,CU53,CU60)</f>
        <v>2698</v>
      </c>
      <c r="CV67" s="246">
        <f>+IF(CV44,CV53,CV60)</f>
        <v>216.5</v>
      </c>
      <c r="CW67" s="246">
        <f>+IF(CW44,CW53,CW60)</f>
        <v>69</v>
      </c>
      <c r="CX67" s="246">
        <f>+IF(CX44,CX53,CX60)</f>
        <v>2579.5</v>
      </c>
      <c r="CY67" s="625"/>
      <c r="CZ67" s="246">
        <f>+IF(CZ44,CZ53,CZ60)</f>
        <v>188.5</v>
      </c>
      <c r="DA67" s="246">
        <f>+IF(DA44,DA53,DA60)</f>
        <v>225</v>
      </c>
      <c r="DB67" s="246">
        <f>+IF(DB44,DB53,DB60)</f>
        <v>0</v>
      </c>
      <c r="DC67" s="246">
        <f>+IF(DC44,DC53,DC60)</f>
        <v>20.5</v>
      </c>
      <c r="DD67" s="625"/>
      <c r="DE67" s="246">
        <f>+IF(DE44,DE53,DE60)</f>
        <v>19.5</v>
      </c>
      <c r="DF67" s="246">
        <f>+IF(DF44,DF53,DF60)</f>
        <v>31.5</v>
      </c>
      <c r="DG67" s="246">
        <f>+IF(DG44,DG53,DG60)</f>
        <v>71.5</v>
      </c>
      <c r="DH67" s="246">
        <f>+IF(DH44,DH53,DH60)</f>
        <v>0</v>
      </c>
      <c r="DI67" s="625"/>
      <c r="DJ67" s="246">
        <f>+IF(DJ44,DJ53,DJ60)</f>
        <v>0</v>
      </c>
      <c r="DK67" s="246">
        <f>+IF(DK44,DK53,DK60)</f>
        <v>34.5</v>
      </c>
      <c r="DL67" s="246">
        <f>+IF(DL44,DL53,DL60)</f>
        <v>0</v>
      </c>
      <c r="DM67" s="246">
        <f>+IF(DM44,DM53,DM60)</f>
        <v>1</v>
      </c>
      <c r="DN67" s="625"/>
      <c r="DO67" s="246">
        <f>+IF(DO44,DO53,DO60)</f>
        <v>437.5</v>
      </c>
      <c r="DP67" s="246">
        <f>+IF(DP44,DP53,DP60)</f>
        <v>6901.6</v>
      </c>
      <c r="DQ67" s="246">
        <f>+IF(DQ44,DQ53,DQ60)</f>
        <v>42</v>
      </c>
      <c r="DR67" s="246">
        <f>+IF(DR44,DR53,DR60)</f>
        <v>263</v>
      </c>
      <c r="DS67" s="625"/>
      <c r="DT67" s="246">
        <f>+IF(DT44,DT53,DT60)</f>
        <v>572.5</v>
      </c>
      <c r="DU67" s="246">
        <f>+IF(DU44,DU53,DU60)</f>
        <v>248.8</v>
      </c>
      <c r="DV67" s="246">
        <f>+IF(DV44,DV53,DV60)</f>
        <v>54</v>
      </c>
      <c r="DW67" s="246">
        <f>+IF(DW44,DW53,DW60)</f>
        <v>10</v>
      </c>
      <c r="DX67" s="625"/>
      <c r="DY67" s="246">
        <f>+IF(DY44,DY53,DY60)</f>
        <v>7.5</v>
      </c>
      <c r="DZ67" s="246">
        <f>+IF(DZ44,DZ53,DZ60)</f>
        <v>111.2</v>
      </c>
      <c r="EA67" s="246">
        <f>+IF(EA44,EA53,EA60)</f>
        <v>78.5</v>
      </c>
      <c r="EB67" s="246">
        <f>+IF(EB44,EB53,EB60)</f>
        <v>2813</v>
      </c>
      <c r="EC67" s="625"/>
      <c r="ED67" s="246">
        <f>+IF(ED44,ED53,ED60)</f>
        <v>70.5</v>
      </c>
      <c r="EE67" s="246">
        <f>+IF(EE44,EE53,EE60)</f>
        <v>1397</v>
      </c>
      <c r="EF67" s="246">
        <f>+IF(EF44,EF53,EF60)</f>
        <v>81</v>
      </c>
      <c r="EG67" s="246">
        <f>+IF(EG44,EG53,EG60)</f>
        <v>313</v>
      </c>
      <c r="EH67" s="625"/>
      <c r="EI67" s="246">
        <f>+IF(EI44,EI53,EI60)</f>
        <v>195</v>
      </c>
      <c r="EJ67" s="246">
        <f>+IF(EJ44,EJ53,EJ60)</f>
        <v>190.5</v>
      </c>
      <c r="EK67" s="246">
        <f>+IF(EK44,EK53,EK60)</f>
        <v>279.5</v>
      </c>
      <c r="EL67" s="246">
        <f>+IF(EL44,EL53,EL60)</f>
        <v>31.5</v>
      </c>
      <c r="EM67" s="625"/>
      <c r="EN67" s="246">
        <f>+IF(EN44,EN53,EN60)</f>
        <v>12</v>
      </c>
      <c r="EO67" s="246">
        <f>+IF(EO44,EO53,EO60)</f>
        <v>16893.000000000004</v>
      </c>
      <c r="EP67" s="246">
        <f>+IF(EP44,EP53,EP60)</f>
        <v>401</v>
      </c>
      <c r="EQ67" s="246">
        <f>+IF(EQ44,EQ53,EQ60)</f>
        <v>179</v>
      </c>
      <c r="ER67" s="625"/>
      <c r="ES67" s="246">
        <f>+IF(ES44,ES53,ES60)</f>
        <v>89.5</v>
      </c>
      <c r="ET67" s="246">
        <f>+IF(ET44,ET53,ET60)</f>
        <v>13.5</v>
      </c>
      <c r="EU67" s="246">
        <f>+IF(EU44,EU53,EU60)</f>
        <v>124</v>
      </c>
      <c r="EV67" s="1212">
        <f>+IF(EV44,EV53,EV60)</f>
        <v>124</v>
      </c>
      <c r="EW67" s="1213"/>
      <c r="EX67" s="1212">
        <f>+IF(EX44,EX53,EX60)</f>
        <v>200</v>
      </c>
      <c r="EY67" s="1212">
        <f>+IF(EY44,EY53,EY60)</f>
        <v>200</v>
      </c>
      <c r="EZ67" s="1212">
        <f>+IF(EZ44,EZ53,EZ60)</f>
        <v>200</v>
      </c>
      <c r="FA67" s="1212">
        <f>+IF(FA44,FA53,FA60)</f>
        <v>200</v>
      </c>
      <c r="FB67" s="1213"/>
      <c r="FC67" s="1212">
        <f>+IF(FC44,FC53,FC60)</f>
        <v>200</v>
      </c>
      <c r="FD67" s="1212">
        <f>+IF(FD44,FD53,FD60)</f>
        <v>200</v>
      </c>
      <c r="FE67" s="1212">
        <f>+IF(FE44,FE53,FE60)</f>
        <v>200</v>
      </c>
      <c r="FF67" s="1212">
        <f>+IF(FF44,FF53,FF60)</f>
        <v>200</v>
      </c>
      <c r="FG67" s="1213"/>
      <c r="FH67" s="1212">
        <f>+IF(FH44,FH53,FH60)</f>
        <v>200</v>
      </c>
      <c r="FI67" s="1212">
        <f>+IF(FI44,FI53,FI60)</f>
        <v>200</v>
      </c>
      <c r="FJ67" s="1212">
        <f>+IF(FJ44,FJ53,FJ60)</f>
        <v>200</v>
      </c>
      <c r="FK67" s="1212">
        <f>+IF(FK44,FK53,FK60)</f>
        <v>200</v>
      </c>
      <c r="FL67" s="1213"/>
    </row>
    <row r="68" spans="1:168" s="243" customFormat="1" ht="11.25" customHeight="1">
      <c r="A68" s="243" t="s">
        <v>98</v>
      </c>
      <c r="BZ68" s="574"/>
      <c r="CC68" s="465">
        <f>+IF(CC44,0,CC65)</f>
        <v>0</v>
      </c>
      <c r="CD68" s="465">
        <f>+IF(CD44,0,CD65)</f>
        <v>0</v>
      </c>
      <c r="CE68" s="578"/>
      <c r="CF68" s="465">
        <f>+IF(CF44,0,CF65)</f>
        <v>0</v>
      </c>
      <c r="CG68" s="465">
        <f>+IF(CG44,0,CG65)</f>
        <v>0</v>
      </c>
      <c r="CH68" s="465">
        <f>+IF(CH44,0,CH65)</f>
        <v>0</v>
      </c>
      <c r="CI68" s="465">
        <f>+IF(CI44,0,CI65)</f>
        <v>0</v>
      </c>
      <c r="CJ68" s="578"/>
      <c r="CK68" s="465">
        <f>+IF(CK44,0,CK65)</f>
        <v>0</v>
      </c>
      <c r="CL68" s="465">
        <f>+IF(CL44,0,CL65)</f>
        <v>0</v>
      </c>
      <c r="CM68" s="465">
        <f>+IF(CM44,0,CM65)</f>
        <v>0</v>
      </c>
      <c r="CN68" s="465">
        <f>+IF(CN44,0,CN65)</f>
        <v>0</v>
      </c>
      <c r="CO68" s="578"/>
      <c r="CP68" s="465">
        <f>+IF(CP44,0,CP65)</f>
        <v>0</v>
      </c>
      <c r="CQ68" s="465">
        <f>+IF(CQ44,0,CQ65)</f>
        <v>0</v>
      </c>
      <c r="CR68" s="465">
        <f>+IF(CR44,0,CR65)</f>
        <v>0</v>
      </c>
      <c r="CS68" s="465">
        <f>+IF(CS44,0,CS65)</f>
        <v>0</v>
      </c>
      <c r="CT68" s="578"/>
      <c r="CU68" s="465">
        <f>+IF(CU44,0,CU65)</f>
        <v>0</v>
      </c>
      <c r="CV68" s="465">
        <f>+IF(CV44,0,CV65)</f>
        <v>0</v>
      </c>
      <c r="CW68" s="465">
        <f>+IF(CW44,0,CW65)</f>
        <v>0</v>
      </c>
      <c r="CX68" s="465">
        <f>+IF(CX44,0,CX65)</f>
        <v>0</v>
      </c>
      <c r="CY68" s="578"/>
      <c r="CZ68" s="465">
        <f>+IF(CZ44,0,CZ65)</f>
        <v>0</v>
      </c>
      <c r="DA68" s="465">
        <f>+IF(DA44,0,DA65)</f>
        <v>0</v>
      </c>
      <c r="DB68" s="465">
        <f>+IF(DB44,0,DB65)</f>
        <v>0</v>
      </c>
      <c r="DC68" s="465">
        <f>+IF(DC44,0,DC65)</f>
        <v>0</v>
      </c>
      <c r="DD68" s="578"/>
      <c r="DE68" s="465">
        <f>+IF(DE44,0,DE65)</f>
        <v>0</v>
      </c>
      <c r="DF68" s="465">
        <f>+IF(DF44,0,DF65)</f>
        <v>0</v>
      </c>
      <c r="DG68" s="465">
        <f>+IF(DG44,0,DG65)</f>
        <v>0</v>
      </c>
      <c r="DH68" s="465">
        <f>+IF(DH44,0,DH65)</f>
        <v>0</v>
      </c>
      <c r="DI68" s="578"/>
      <c r="DJ68" s="465">
        <f>+IF(DJ44,0,DJ65)</f>
        <v>0</v>
      </c>
      <c r="DK68" s="465">
        <f>+IF(DK44,0,DK65)</f>
        <v>0</v>
      </c>
      <c r="DL68" s="465">
        <f>+IF(DL44,0,DL65)</f>
        <v>0</v>
      </c>
      <c r="DM68" s="465">
        <f>+IF(DM44,0,DM65)</f>
        <v>0</v>
      </c>
      <c r="DN68" s="578"/>
      <c r="DO68" s="465">
        <f>+IF(DO44,0,DO65)</f>
        <v>0</v>
      </c>
      <c r="DP68" s="465">
        <f>+IF(DP44,0,DP65)</f>
        <v>0</v>
      </c>
      <c r="DQ68" s="465">
        <f>+IF(DQ44,0,DQ65)</f>
        <v>0</v>
      </c>
      <c r="DR68" s="465">
        <f>+IF(DR44,0,DR65)</f>
        <v>0</v>
      </c>
      <c r="DS68" s="578"/>
      <c r="DT68" s="465">
        <f>+IF(DT44,0,DT65)</f>
        <v>0</v>
      </c>
      <c r="DU68" s="465">
        <f>+IF(DU44,0,DU65)</f>
        <v>0</v>
      </c>
      <c r="DV68" s="465">
        <f>+IF(DV44,0,DV65)</f>
        <v>0</v>
      </c>
      <c r="DW68" s="465">
        <f>+IF(DW44,0,DW65)</f>
        <v>0</v>
      </c>
      <c r="DX68" s="578"/>
      <c r="DY68" s="465">
        <f>+IF(DY44,0,DY65)</f>
        <v>0</v>
      </c>
      <c r="DZ68" s="465">
        <f>+IF(DZ44,0,DZ65)</f>
        <v>0</v>
      </c>
      <c r="EA68" s="465">
        <f>+IF(EA44,0,EA65)</f>
        <v>0</v>
      </c>
      <c r="EB68" s="465">
        <f>+IF(EB44,0,EB65)</f>
        <v>0</v>
      </c>
      <c r="EC68" s="578"/>
      <c r="ED68" s="465">
        <f>+IF(ED44,0,ED65)</f>
        <v>0</v>
      </c>
      <c r="EE68" s="465">
        <f>+IF(EE44,0,EE65)</f>
        <v>0</v>
      </c>
      <c r="EF68" s="465">
        <f>+IF(EF44,0,EF65)</f>
        <v>0</v>
      </c>
      <c r="EG68" s="465">
        <f>+IF(EG44,0,EG65)</f>
        <v>0</v>
      </c>
      <c r="EH68" s="578"/>
      <c r="EI68" s="465">
        <f>+IF(EI44,0,EI65)</f>
        <v>0</v>
      </c>
      <c r="EJ68" s="465">
        <f>+IF(EJ44,0,EJ65)</f>
        <v>0</v>
      </c>
      <c r="EK68" s="465">
        <f>+IF(EK44,0,EK65)</f>
        <v>0</v>
      </c>
      <c r="EL68" s="465">
        <f>+IF(EL44,0,EL65)</f>
        <v>0</v>
      </c>
      <c r="EM68" s="578"/>
      <c r="EN68" s="465">
        <f>+IF(EN44,0,EN65)</f>
        <v>0</v>
      </c>
      <c r="EO68" s="465">
        <f>+IF(EO44,0,EO65)</f>
        <v>0</v>
      </c>
      <c r="EP68" s="465">
        <f>+IF(EP44,0,EP65)</f>
        <v>0</v>
      </c>
      <c r="EQ68" s="465">
        <f>+IF(EQ44,0,EQ65)</f>
        <v>0</v>
      </c>
      <c r="ER68" s="578"/>
      <c r="ES68" s="465">
        <f>+IF(ES44,0,ES65)</f>
        <v>0</v>
      </c>
      <c r="ET68" s="465">
        <f>+IF(ET44,0,ET65)</f>
        <v>0</v>
      </c>
      <c r="EU68" s="465">
        <f>+IF(EU44,0,EU65)</f>
        <v>0</v>
      </c>
      <c r="EV68" s="1202">
        <f>+IF(EV44,0,EV65)</f>
        <v>0</v>
      </c>
      <c r="EW68" s="1203"/>
      <c r="EX68" s="1202">
        <f>+IF(EX44,0,EX65)</f>
        <v>0</v>
      </c>
      <c r="EY68" s="1202">
        <f>+IF(EY44,0,EY65)</f>
        <v>0</v>
      </c>
      <c r="EZ68" s="1202">
        <f>+IF(EZ44,0,EZ65)</f>
        <v>0</v>
      </c>
      <c r="FA68" s="1202">
        <f>+IF(FA44,0,FA65)</f>
        <v>0</v>
      </c>
      <c r="FB68" s="1203"/>
      <c r="FC68" s="1202">
        <f>+IF(FC44,0,FC65)</f>
        <v>0</v>
      </c>
      <c r="FD68" s="1202">
        <f>+IF(FD44,0,FD65)</f>
        <v>0</v>
      </c>
      <c r="FE68" s="1202">
        <f>+IF(FE44,0,FE65)</f>
        <v>0</v>
      </c>
      <c r="FF68" s="1202">
        <f>+IF(FF44,0,FF65)</f>
        <v>0</v>
      </c>
      <c r="FG68" s="1203"/>
      <c r="FH68" s="1202">
        <f>+IF(FH44,0,FH65)</f>
        <v>0</v>
      </c>
      <c r="FI68" s="1202">
        <f>+IF(FI44,0,FI65)</f>
        <v>0</v>
      </c>
      <c r="FJ68" s="1202">
        <f>+IF(FJ44,0,FJ65)</f>
        <v>0</v>
      </c>
      <c r="FK68" s="1202">
        <f>+IF(FK44,0,FK65)</f>
        <v>0</v>
      </c>
      <c r="FL68" s="1203"/>
    </row>
    <row r="69" spans="1:168" s="243" customFormat="1" ht="11.25" customHeight="1">
      <c r="A69" s="243" t="s">
        <v>102</v>
      </c>
      <c r="BZ69" s="574"/>
      <c r="CC69" s="465">
        <f>+IF(CC44,CC54,CC58+CC59)</f>
        <v>0</v>
      </c>
      <c r="CD69" s="465">
        <f>+IF(CD44,CD54,CD58+CD59)</f>
        <v>0</v>
      </c>
      <c r="CE69" s="578"/>
      <c r="CF69" s="465">
        <f>+IF(CF44,CF54,CF58+CF59)</f>
        <v>0</v>
      </c>
      <c r="CG69" s="465">
        <f>+IF(CG44,CG54,CG58+CG59)</f>
        <v>0.5</v>
      </c>
      <c r="CH69" s="465">
        <f>+IF(CH44,CH54,CH58+CH59)</f>
        <v>5.5</v>
      </c>
      <c r="CI69" s="465">
        <f>+IF(CI44,CI54,CI58+CI59)</f>
        <v>97.5</v>
      </c>
      <c r="CJ69" s="578"/>
      <c r="CK69" s="465">
        <f>+IF(CK44,CK54,CK58+CK59)</f>
        <v>93.5</v>
      </c>
      <c r="CL69" s="465">
        <f>+IF(CL44,CL54,CL58+CL59)</f>
        <v>31.5</v>
      </c>
      <c r="CM69" s="465">
        <f>+IF(CM44,CM54,CM58+CM59)</f>
        <v>41.5</v>
      </c>
      <c r="CN69" s="465">
        <f>+IF(CN44,CN54,CN58+CN59)</f>
        <v>158</v>
      </c>
      <c r="CO69" s="578"/>
      <c r="CP69" s="465">
        <f>+IF(CP44,CP54,CP58+CP59)</f>
        <v>168</v>
      </c>
      <c r="CQ69" s="465">
        <f>+IF(CQ44,CQ54,CQ58+CQ59)</f>
        <v>62.5</v>
      </c>
      <c r="CR69" s="465">
        <f>+IF(CR44,CR54,CR58+CR59)</f>
        <v>20.5</v>
      </c>
      <c r="CS69" s="465">
        <f>+IF(CS44,CS54,CS58+CS59)</f>
        <v>324</v>
      </c>
      <c r="CT69" s="578"/>
      <c r="CU69" s="465">
        <f>+IF(CU44,CU54,CU58+CU59)</f>
        <v>2698</v>
      </c>
      <c r="CV69" s="465">
        <f>+IF(CV44,CV54,CV58+CV59)</f>
        <v>216.5</v>
      </c>
      <c r="CW69" s="465">
        <f>+IF(CW44,CW54,CW58+CW59)</f>
        <v>69</v>
      </c>
      <c r="CX69" s="465">
        <f>+IF(CX44,CX54,CX58+CX59)</f>
        <v>2579.5</v>
      </c>
      <c r="CY69" s="578"/>
      <c r="CZ69" s="465">
        <f>+IF(CZ44,CZ54,CZ58+CZ59)</f>
        <v>188.5</v>
      </c>
      <c r="DA69" s="465">
        <f>+IF(DA44,DA54,DA58+DA59)</f>
        <v>225</v>
      </c>
      <c r="DB69" s="465">
        <f>+IF(DB44,DB54,DB58+DB59)</f>
        <v>0</v>
      </c>
      <c r="DC69" s="465">
        <f>+IF(DC44,DC54,DC58+DC59)</f>
        <v>20.5</v>
      </c>
      <c r="DD69" s="578"/>
      <c r="DE69" s="465">
        <f>+IF(DE44,DE54,DE58+DE59)</f>
        <v>19.5</v>
      </c>
      <c r="DF69" s="465">
        <f>+IF(DF44,DF54,DF58+DF59)</f>
        <v>31.5</v>
      </c>
      <c r="DG69" s="465">
        <f>+IF(DG44,DG54,DG58+DG59)</f>
        <v>71.5</v>
      </c>
      <c r="DH69" s="465">
        <f>+IF(DH44,DH54,DH58+DH59)</f>
        <v>0</v>
      </c>
      <c r="DI69" s="578"/>
      <c r="DJ69" s="465">
        <f>+IF(DJ44,DJ54,DJ58+DJ59)</f>
        <v>0</v>
      </c>
      <c r="DK69" s="465">
        <f>+IF(DK44,DK54,DK58+DK59)</f>
        <v>34.5</v>
      </c>
      <c r="DL69" s="465">
        <f>+IF(DL44,DL54,DL58+DL59)</f>
        <v>0</v>
      </c>
      <c r="DM69" s="465">
        <f>+IF(DM44,DM54,DM58+DM59)</f>
        <v>1</v>
      </c>
      <c r="DN69" s="578"/>
      <c r="DO69" s="465">
        <f>+IF(DO44,DO54,DO58+DO59)</f>
        <v>437.5</v>
      </c>
      <c r="DP69" s="465">
        <f>+IF(DP44,DP54,DP58+DP59)</f>
        <v>1725.4</v>
      </c>
      <c r="DQ69" s="465">
        <f>+IF(DQ44,DQ54,DQ58+DQ59)</f>
        <v>42</v>
      </c>
      <c r="DR69" s="465">
        <f>+IF(DR44,DR54,DR58+DR59)</f>
        <v>263</v>
      </c>
      <c r="DS69" s="578"/>
      <c r="DT69" s="465">
        <f>+IF(DT44,DT54,DT58+DT59)</f>
        <v>572.5</v>
      </c>
      <c r="DU69" s="465">
        <f>+IF(DU44,DU54,DU58+DU59)</f>
        <v>62.2</v>
      </c>
      <c r="DV69" s="465">
        <f>+IF(DV44,DV54,DV58+DV59)</f>
        <v>54</v>
      </c>
      <c r="DW69" s="465">
        <f>+IF(DW44,DW54,DW58+DW59)</f>
        <v>10</v>
      </c>
      <c r="DX69" s="578"/>
      <c r="DY69" s="465">
        <f>+IF(DY44,DY54,DY58+DY59)</f>
        <v>7.5</v>
      </c>
      <c r="DZ69" s="465">
        <f>+IF(DZ44,DZ54,DZ58+DZ59)</f>
        <v>27.8</v>
      </c>
      <c r="EA69" s="465">
        <f>+IF(EA44,EA54,EA58+EA59)</f>
        <v>78.5</v>
      </c>
      <c r="EB69" s="465">
        <f>+IF(EB44,EB54,EB58+EB59)</f>
        <v>2813</v>
      </c>
      <c r="EC69" s="578"/>
      <c r="ED69" s="465">
        <f>+IF(ED44,ED54,ED58+ED59)</f>
        <v>70.5</v>
      </c>
      <c r="EE69" s="465">
        <f>+IF(EE44,EE54,EE58+EE59)</f>
        <v>1397</v>
      </c>
      <c r="EF69" s="465">
        <f>+IF(EF44,EF54,EF58+EF59)</f>
        <v>81</v>
      </c>
      <c r="EG69" s="465">
        <f>+IF(EG44,EG54,EG58+EG59)</f>
        <v>313</v>
      </c>
      <c r="EH69" s="578"/>
      <c r="EI69" s="465">
        <f>+IF(EI44,EI54,EI58+EI59)</f>
        <v>195</v>
      </c>
      <c r="EJ69" s="465">
        <f>+IF(EJ44,EJ54,EJ58+EJ59)</f>
        <v>190.5</v>
      </c>
      <c r="EK69" s="465">
        <f>+IF(EK44,EK54,EK58+EK59)</f>
        <v>279.5</v>
      </c>
      <c r="EL69" s="465">
        <f>+IF(EL44,EL54,EL58+EL59)</f>
        <v>31.5</v>
      </c>
      <c r="EM69" s="578"/>
      <c r="EN69" s="465">
        <f>+IF(EN44,EN54,EN58+EN59)</f>
        <v>12</v>
      </c>
      <c r="EO69" s="465">
        <f>+IF(EO44,EO54,EO58+EO59)</f>
        <v>7866.9999999999991</v>
      </c>
      <c r="EP69" s="465">
        <f>+IF(EP44,EP54,EP58+EP59)</f>
        <v>401</v>
      </c>
      <c r="EQ69" s="465">
        <f>+IF(EQ44,EQ54,EQ58+EQ59)</f>
        <v>179</v>
      </c>
      <c r="ER69" s="578"/>
      <c r="ES69" s="465">
        <f>+IF(ES44,ES54,ES58+ES59)</f>
        <v>89.5</v>
      </c>
      <c r="ET69" s="465">
        <f>+IF(ET44,ET54,ET58+ET59)</f>
        <v>13.5</v>
      </c>
      <c r="EU69" s="465">
        <f>+IF(EU44,EU54,EU58+EU59)</f>
        <v>124</v>
      </c>
      <c r="EV69" s="1202">
        <f>+IF(EV44,EV54,EV58+EV59)</f>
        <v>124</v>
      </c>
      <c r="EW69" s="1203"/>
      <c r="EX69" s="1202">
        <f>+IF(EX44,EX54,EX58+EX59)</f>
        <v>200</v>
      </c>
      <c r="EY69" s="1202">
        <f>+IF(EY44,EY54,EY58+EY59)</f>
        <v>200</v>
      </c>
      <c r="EZ69" s="1202">
        <f>+IF(EZ44,EZ54,EZ58+EZ59)</f>
        <v>200</v>
      </c>
      <c r="FA69" s="1202">
        <f>+IF(FA44,FA54,FA58+FA59)</f>
        <v>200</v>
      </c>
      <c r="FB69" s="1203"/>
      <c r="FC69" s="1202">
        <f>+IF(FC44,FC54,FC58+FC59)</f>
        <v>200</v>
      </c>
      <c r="FD69" s="1202">
        <f>+IF(FD44,FD54,FD58+FD59)</f>
        <v>200</v>
      </c>
      <c r="FE69" s="1202">
        <f>+IF(FE44,FE54,FE58+FE59)</f>
        <v>200</v>
      </c>
      <c r="FF69" s="1202">
        <f>+IF(FF44,FF54,FF58+FF59)</f>
        <v>200</v>
      </c>
      <c r="FG69" s="1203"/>
      <c r="FH69" s="1202">
        <f>+IF(FH44,FH54,FH58+FH59)</f>
        <v>200</v>
      </c>
      <c r="FI69" s="1202">
        <f>+IF(FI44,FI54,FI58+FI59)</f>
        <v>200</v>
      </c>
      <c r="FJ69" s="1202">
        <f>+IF(FJ44,FJ54,FJ58+FJ59)</f>
        <v>200</v>
      </c>
      <c r="FK69" s="1202">
        <f>+IF(FK44,FK54,FK58+FK59)</f>
        <v>200</v>
      </c>
      <c r="FL69" s="1203"/>
    </row>
    <row r="70" spans="1:168" s="243" customFormat="1" ht="11.25" customHeight="1">
      <c r="A70" s="243" t="s">
        <v>103</v>
      </c>
      <c r="BZ70" s="574"/>
      <c r="CC70" s="465">
        <f>+IF(CC44,0,CC63)</f>
        <v>0</v>
      </c>
      <c r="CD70" s="465">
        <f>+IF(CD44,0,CD63)</f>
        <v>0</v>
      </c>
      <c r="CE70" s="578"/>
      <c r="CF70" s="465">
        <f>+IF(CF44,0,CF63)</f>
        <v>0</v>
      </c>
      <c r="CG70" s="465">
        <f>+IF(CG44,0,CG63)</f>
        <v>0</v>
      </c>
      <c r="CH70" s="465">
        <f>+IF(CH44,0,CH63)</f>
        <v>0</v>
      </c>
      <c r="CI70" s="465">
        <f>+IF(CI44,0,CI63)</f>
        <v>0</v>
      </c>
      <c r="CJ70" s="578"/>
      <c r="CK70" s="465">
        <f>+IF(CK44,0,CK63)</f>
        <v>0</v>
      </c>
      <c r="CL70" s="465">
        <f>+IF(CL44,0,CL63)</f>
        <v>0</v>
      </c>
      <c r="CM70" s="465">
        <f>+IF(CM44,0,CM63)</f>
        <v>0</v>
      </c>
      <c r="CN70" s="465">
        <f>+IF(CN44,0,CN63)</f>
        <v>0</v>
      </c>
      <c r="CO70" s="578"/>
      <c r="CP70" s="465">
        <f>+IF(CP44,0,CP63)</f>
        <v>0</v>
      </c>
      <c r="CQ70" s="465">
        <f>+IF(CQ44,0,CQ63)</f>
        <v>0</v>
      </c>
      <c r="CR70" s="465">
        <f>+IF(CR44,0,CR63)</f>
        <v>0</v>
      </c>
      <c r="CS70" s="465">
        <f>+IF(CS44,0,CS63)</f>
        <v>0</v>
      </c>
      <c r="CT70" s="578"/>
      <c r="CU70" s="465">
        <f>+IF(CU44,0,CU63)</f>
        <v>0</v>
      </c>
      <c r="CV70" s="465">
        <f>+IF(CV44,0,CV63)</f>
        <v>0</v>
      </c>
      <c r="CW70" s="465">
        <f>+IF(CW44,0,CW63)</f>
        <v>0</v>
      </c>
      <c r="CX70" s="465">
        <f>+IF(CX44,0,CX63)</f>
        <v>0</v>
      </c>
      <c r="CY70" s="578"/>
      <c r="CZ70" s="465">
        <f>+IF(CZ44,0,CZ63)</f>
        <v>0</v>
      </c>
      <c r="DA70" s="465">
        <f>+IF(DA44,0,DA63)</f>
        <v>0</v>
      </c>
      <c r="DB70" s="465">
        <f>+IF(DB44,0,DB63)</f>
        <v>0</v>
      </c>
      <c r="DC70" s="465">
        <f>+IF(DC44,0,DC63)</f>
        <v>0</v>
      </c>
      <c r="DD70" s="578"/>
      <c r="DE70" s="465">
        <f>+IF(DE44,0,DE63)</f>
        <v>0</v>
      </c>
      <c r="DF70" s="465">
        <f>+IF(DF44,0,DF63)</f>
        <v>0</v>
      </c>
      <c r="DG70" s="465">
        <f>+IF(DG44,0,DG63)</f>
        <v>0</v>
      </c>
      <c r="DH70" s="465">
        <f>+IF(DH44,0,DH63)</f>
        <v>0</v>
      </c>
      <c r="DI70" s="578"/>
      <c r="DJ70" s="465">
        <f>+IF(DJ44,0,DJ63)</f>
        <v>0</v>
      </c>
      <c r="DK70" s="465">
        <f>+IF(DK44,0,DK63)</f>
        <v>0</v>
      </c>
      <c r="DL70" s="465">
        <f>+IF(DL44,0,DL63)</f>
        <v>0</v>
      </c>
      <c r="DM70" s="465">
        <f>+IF(DM44,0,DM63)</f>
        <v>0</v>
      </c>
      <c r="DN70" s="578"/>
      <c r="DO70" s="465">
        <f>+IF(DO44,0,DO63)</f>
        <v>0</v>
      </c>
      <c r="DP70" s="465">
        <f>+IF(DP44,0,DP63)</f>
        <v>0</v>
      </c>
      <c r="DQ70" s="465">
        <f>+IF(DQ44,0,DQ63)</f>
        <v>0</v>
      </c>
      <c r="DR70" s="465">
        <f>+IF(DR44,0,DR63)</f>
        <v>0</v>
      </c>
      <c r="DS70" s="578"/>
      <c r="DT70" s="465">
        <f>+IF(DT44,0,DT63)</f>
        <v>0</v>
      </c>
      <c r="DU70" s="465">
        <f>+IF(DU44,0,DU63)</f>
        <v>0</v>
      </c>
      <c r="DV70" s="465">
        <f>+IF(DV44,0,DV63)</f>
        <v>0</v>
      </c>
      <c r="DW70" s="465">
        <f>+IF(DW44,0,DW63)</f>
        <v>0</v>
      </c>
      <c r="DX70" s="578"/>
      <c r="DY70" s="465">
        <f>+IF(DY44,0,DY63)</f>
        <v>0</v>
      </c>
      <c r="DZ70" s="465">
        <f>+IF(DZ44,0,DZ63)</f>
        <v>0</v>
      </c>
      <c r="EA70" s="465">
        <f>+IF(EA44,0,EA63)</f>
        <v>0</v>
      </c>
      <c r="EB70" s="465">
        <f>+IF(EB44,0,EB63)</f>
        <v>0</v>
      </c>
      <c r="EC70" s="578"/>
      <c r="ED70" s="465">
        <f>+IF(ED44,0,ED63)</f>
        <v>0</v>
      </c>
      <c r="EE70" s="465">
        <f>+IF(EE44,0,EE63)</f>
        <v>0</v>
      </c>
      <c r="EF70" s="465">
        <f>+IF(EF44,0,EF63)</f>
        <v>0</v>
      </c>
      <c r="EG70" s="465">
        <f>+IF(EG44,0,EG63)</f>
        <v>0</v>
      </c>
      <c r="EH70" s="578"/>
      <c r="EI70" s="465">
        <f>+IF(EI44,0,EI63)</f>
        <v>0</v>
      </c>
      <c r="EJ70" s="465">
        <f>+IF(EJ44,0,EJ63)</f>
        <v>0</v>
      </c>
      <c r="EK70" s="465">
        <f>+IF(EK44,0,EK63)</f>
        <v>0</v>
      </c>
      <c r="EL70" s="465">
        <f>+IF(EL44,0,EL63)</f>
        <v>0</v>
      </c>
      <c r="EM70" s="578"/>
      <c r="EN70" s="465">
        <f>+IF(EN44,0,EN63)</f>
        <v>0</v>
      </c>
      <c r="EO70" s="465">
        <f>+IF(EO44,0,EO63)</f>
        <v>0</v>
      </c>
      <c r="EP70" s="465">
        <f>+IF(EP44,0,EP63)</f>
        <v>0</v>
      </c>
      <c r="EQ70" s="465">
        <f>+IF(EQ44,0,EQ63)</f>
        <v>0</v>
      </c>
      <c r="ER70" s="578"/>
      <c r="ES70" s="465">
        <f>+IF(ES44,0,ES63)</f>
        <v>0</v>
      </c>
      <c r="ET70" s="465">
        <f>+IF(ET44,0,ET63)</f>
        <v>0</v>
      </c>
      <c r="EU70" s="465">
        <f>+IF(EU44,0,EU63)</f>
        <v>0</v>
      </c>
      <c r="EV70" s="1202">
        <f>+IF(EV44,0,EV63)</f>
        <v>0</v>
      </c>
      <c r="EW70" s="1203"/>
      <c r="EX70" s="1202">
        <f>+IF(EX44,0,EX63)</f>
        <v>0</v>
      </c>
      <c r="EY70" s="1202">
        <f>+IF(EY44,0,EY63)</f>
        <v>0</v>
      </c>
      <c r="EZ70" s="1202">
        <f>+IF(EZ44,0,EZ63)</f>
        <v>0</v>
      </c>
      <c r="FA70" s="1202">
        <f>+IF(FA44,0,FA63)</f>
        <v>0</v>
      </c>
      <c r="FB70" s="1203"/>
      <c r="FC70" s="1202">
        <f>+IF(FC44,0,FC63)</f>
        <v>0</v>
      </c>
      <c r="FD70" s="1202">
        <f>+IF(FD44,0,FD63)</f>
        <v>0</v>
      </c>
      <c r="FE70" s="1202">
        <f>+IF(FE44,0,FE63)</f>
        <v>0</v>
      </c>
      <c r="FF70" s="1202">
        <f>+IF(FF44,0,FF63)</f>
        <v>0</v>
      </c>
      <c r="FG70" s="1203"/>
      <c r="FH70" s="1202">
        <f>+IF(FH44,0,FH63)</f>
        <v>0</v>
      </c>
      <c r="FI70" s="1202">
        <f>+IF(FI44,0,FI63)</f>
        <v>0</v>
      </c>
      <c r="FJ70" s="1202">
        <f>+IF(FJ44,0,FJ63)</f>
        <v>0</v>
      </c>
      <c r="FK70" s="1202">
        <f>+IF(FK44,0,FK63)</f>
        <v>0</v>
      </c>
      <c r="FL70" s="1203"/>
    </row>
    <row r="73" spans="1:168" ht="11.25" customHeight="1">
      <c r="EB73" s="1164"/>
      <c r="EC73" s="1164"/>
      <c r="ED73" s="1164"/>
      <c r="EE73" s="1164"/>
      <c r="EF73" s="1164"/>
      <c r="EG73" s="1164"/>
      <c r="EH73" s="1164"/>
      <c r="EI73" s="1164"/>
      <c r="EJ73" s="1164"/>
      <c r="EK73" s="1164"/>
      <c r="EL73" s="1164"/>
      <c r="EM73" s="1164"/>
      <c r="EN73" s="1164"/>
      <c r="EO73" s="1164"/>
      <c r="EP73" s="1164"/>
      <c r="EQ73" s="1164"/>
      <c r="ER73" s="1164"/>
      <c r="ES73" s="1164"/>
      <c r="ET73" s="1164"/>
      <c r="EU73" s="1164"/>
      <c r="EV73" s="1164"/>
      <c r="EW73" s="1164"/>
      <c r="EX73" s="1164"/>
      <c r="EY73" s="1164"/>
      <c r="EZ73" s="1164"/>
      <c r="FA73" s="1164"/>
      <c r="FB73" s="1164"/>
      <c r="FC73" s="1164"/>
      <c r="FD73" s="1164"/>
      <c r="FE73" s="1164"/>
      <c r="FF73" s="1164"/>
      <c r="FG73" s="1164"/>
      <c r="FH73" s="1164"/>
      <c r="FI73" s="1164"/>
      <c r="FJ73" s="1164"/>
      <c r="FK73" s="1164"/>
      <c r="FL73" s="1164"/>
    </row>
    <row r="74" spans="1:168" ht="11.25" customHeight="1">
      <c r="EB74" s="1164"/>
      <c r="EC74" s="1164"/>
      <c r="ED74" s="1164"/>
      <c r="EE74" s="1164"/>
      <c r="EF74" s="1164"/>
      <c r="EG74" s="1164"/>
      <c r="EH74" s="1164"/>
      <c r="EI74" s="1164"/>
      <c r="EJ74" s="1164"/>
      <c r="EK74" s="1164"/>
      <c r="EL74" s="1164"/>
      <c r="EM74" s="1164"/>
      <c r="EN74" s="1164"/>
      <c r="EO74" s="1164"/>
      <c r="EP74" s="1164"/>
      <c r="EQ74" s="1164"/>
      <c r="ER74" s="1164"/>
      <c r="ES74" s="1164"/>
      <c r="ET74" s="1164"/>
      <c r="EU74" s="1164"/>
      <c r="EV74" s="1164"/>
      <c r="EW74" s="1164"/>
      <c r="EX74" s="1164"/>
      <c r="EY74" s="1164"/>
      <c r="EZ74" s="1164"/>
      <c r="FA74" s="1164"/>
      <c r="FB74" s="1164"/>
      <c r="FC74" s="1164"/>
      <c r="FD74" s="1164"/>
      <c r="FE74" s="1164"/>
      <c r="FF74" s="1164"/>
      <c r="FG74" s="1164"/>
      <c r="FH74" s="1164"/>
      <c r="FI74" s="1164"/>
      <c r="FJ74" s="1164"/>
      <c r="FK74" s="1164"/>
      <c r="FL74" s="1164"/>
    </row>
  </sheetData>
  <phoneticPr fontId="4" type="noConversion"/>
  <pageMargins left="0.75" right="0.75" top="1" bottom="1" header="0.5" footer="0.5"/>
  <pageSetup scale="71" orientation="landscape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>
    <tabColor indexed="44"/>
    <pageSetUpPr autoPageBreaks="0" fitToPage="1"/>
  </sheetPr>
  <dimension ref="A1:JO69"/>
  <sheetViews>
    <sheetView zoomScale="85" zoomScaleNormal="85" workbookViewId="0">
      <pane xSplit="92" ySplit="6" topLeftCell="DX7" activePane="bottomRight" state="frozen"/>
      <selection activeCell="EC7" sqref="EC7"/>
      <selection pane="topRight" activeCell="EC7" sqref="EC7"/>
      <selection pane="bottomLeft" activeCell="EC7" sqref="EC7"/>
      <selection pane="bottomRight" activeCell="DX7" sqref="DX7"/>
    </sheetView>
  </sheetViews>
  <sheetFormatPr defaultRowHeight="11.25" customHeight="1" outlineLevelCol="1"/>
  <cols>
    <col min="1" max="1" width="20.7109375" style="261" customWidth="1"/>
    <col min="2" max="3" width="10.7109375" style="261" customWidth="1"/>
    <col min="4" max="76" width="10.7109375" style="261" hidden="1" customWidth="1" outlineLevel="1"/>
    <col min="77" max="77" width="10.7109375" style="261" hidden="1" customWidth="1" outlineLevel="1" collapsed="1"/>
    <col min="78" max="88" width="10.7109375" style="261" hidden="1" customWidth="1" outlineLevel="1"/>
    <col min="89" max="89" width="10.7109375" style="261" hidden="1" customWidth="1" outlineLevel="1" collapsed="1"/>
    <col min="90" max="92" width="10.7109375" style="261" hidden="1" customWidth="1" outlineLevel="1"/>
    <col min="93" max="93" width="10.7109375" style="261" hidden="1" customWidth="1" collapsed="1"/>
    <col min="94" max="113" width="10.7109375" style="261" hidden="1" customWidth="1"/>
    <col min="114" max="117" width="10.7109375" style="261" hidden="1" customWidth="1" outlineLevel="1"/>
    <col min="118" max="118" width="10.7109375" style="261" hidden="1" customWidth="1" collapsed="1"/>
    <col min="119" max="122" width="10.7109375" style="261" hidden="1" customWidth="1" outlineLevel="1"/>
    <col min="123" max="123" width="10.7109375" style="261" hidden="1" customWidth="1" collapsed="1"/>
    <col min="124" max="127" width="10.7109375" style="261" hidden="1" customWidth="1" outlineLevel="1"/>
    <col min="128" max="128" width="10.7109375" style="261" customWidth="1" collapsed="1"/>
    <col min="129" max="132" width="10.7109375" style="261" hidden="1" customWidth="1" outlineLevel="1"/>
    <col min="133" max="133" width="10.7109375" style="261" customWidth="1" collapsed="1"/>
    <col min="134" max="137" width="10.7109375" style="261" hidden="1" customWidth="1" outlineLevel="1"/>
    <col min="138" max="138" width="10.7109375" style="261" customWidth="1" collapsed="1"/>
    <col min="139" max="142" width="10.7109375" style="261" hidden="1" customWidth="1" outlineLevel="1"/>
    <col min="143" max="143" width="10.7109375" style="261" customWidth="1" collapsed="1"/>
    <col min="144" max="147" width="10.7109375" style="261" hidden="1" customWidth="1" outlineLevel="1"/>
    <col min="148" max="148" width="10.7109375" style="261" customWidth="1" collapsed="1"/>
    <col min="149" max="152" width="10.7109375" style="261" hidden="1" customWidth="1" outlineLevel="1"/>
    <col min="153" max="153" width="10.7109375" style="261" customWidth="1" collapsed="1"/>
    <col min="154" max="157" width="10.7109375" style="261" hidden="1" customWidth="1" outlineLevel="1"/>
    <col min="158" max="158" width="10.7109375" style="261" customWidth="1" collapsed="1"/>
    <col min="159" max="162" width="10.7109375" style="261" hidden="1" customWidth="1" outlineLevel="1"/>
    <col min="163" max="163" width="10.7109375" style="261" customWidth="1" collapsed="1"/>
    <col min="164" max="167" width="10.7109375" style="261" hidden="1" customWidth="1" outlineLevel="1"/>
    <col min="168" max="168" width="10.7109375" style="261" customWidth="1" collapsed="1"/>
    <col min="169" max="169" width="3.28515625" style="261" customWidth="1"/>
    <col min="170" max="275" width="10.7109375" style="261" customWidth="1"/>
    <col min="276" max="16384" width="9.140625" style="261"/>
  </cols>
  <sheetData>
    <row r="1" spans="1:275" s="637" customFormat="1" ht="11.25" customHeight="1">
      <c r="A1" s="635"/>
      <c r="B1" s="261"/>
      <c r="C1" s="636"/>
      <c r="D1" s="636"/>
      <c r="E1" s="636"/>
      <c r="F1" s="636"/>
      <c r="G1" s="636"/>
      <c r="H1" s="636"/>
      <c r="I1" s="636"/>
      <c r="J1" s="636"/>
      <c r="K1" s="636"/>
      <c r="L1" s="636"/>
      <c r="M1" s="636"/>
      <c r="N1" s="636"/>
      <c r="O1" s="636"/>
      <c r="P1" s="636"/>
      <c r="Q1" s="636"/>
      <c r="R1" s="636"/>
      <c r="S1" s="636"/>
      <c r="T1" s="636"/>
      <c r="U1" s="636"/>
      <c r="V1" s="636"/>
      <c r="W1" s="636"/>
      <c r="X1" s="636"/>
      <c r="Y1" s="636"/>
      <c r="Z1" s="636"/>
      <c r="AA1" s="636"/>
      <c r="AB1" s="636"/>
      <c r="AC1" s="636"/>
      <c r="AD1" s="636"/>
      <c r="AE1" s="636"/>
      <c r="AF1" s="636"/>
      <c r="AG1" s="636"/>
      <c r="AH1" s="636"/>
      <c r="AI1" s="636"/>
      <c r="AJ1" s="636"/>
      <c r="AK1" s="636"/>
      <c r="AL1" s="636"/>
      <c r="AM1" s="636"/>
      <c r="AN1" s="636"/>
      <c r="AO1" s="636"/>
      <c r="AP1" s="636"/>
      <c r="AQ1" s="636"/>
      <c r="AR1" s="636"/>
      <c r="AS1" s="636"/>
      <c r="AT1" s="636"/>
      <c r="AU1" s="636"/>
      <c r="AV1" s="636"/>
      <c r="AW1" s="636"/>
      <c r="AX1" s="636"/>
      <c r="AY1" s="636"/>
      <c r="AZ1" s="636"/>
      <c r="BA1" s="636"/>
      <c r="BB1" s="636"/>
      <c r="BC1" s="636"/>
      <c r="BD1" s="636"/>
      <c r="BE1" s="636"/>
      <c r="BF1" s="636"/>
      <c r="BG1" s="636"/>
      <c r="BH1" s="636"/>
      <c r="BI1" s="636"/>
      <c r="BJ1" s="636"/>
      <c r="BK1" s="636"/>
      <c r="BL1" s="636"/>
      <c r="BM1" s="636"/>
      <c r="BN1" s="636"/>
      <c r="BO1" s="636"/>
      <c r="BP1" s="636"/>
      <c r="BQ1" s="636"/>
      <c r="BR1" s="636"/>
      <c r="BS1" s="636"/>
      <c r="BT1" s="636"/>
      <c r="BU1" s="636"/>
      <c r="BV1" s="636"/>
      <c r="BW1" s="636"/>
      <c r="BX1" s="636"/>
      <c r="BY1" s="636"/>
      <c r="BZ1" s="636"/>
      <c r="CA1" s="636"/>
      <c r="CB1" s="636"/>
      <c r="CC1" s="636"/>
      <c r="CD1" s="636"/>
      <c r="CE1" s="636"/>
      <c r="CF1" s="636"/>
      <c r="CG1" s="636"/>
      <c r="CH1" s="636"/>
      <c r="CI1" s="636"/>
      <c r="CJ1" s="636"/>
      <c r="CK1" s="636"/>
      <c r="CL1" s="636"/>
      <c r="CM1" s="636"/>
      <c r="CN1" s="636"/>
      <c r="CO1" s="636"/>
      <c r="CP1" s="636"/>
      <c r="CQ1" s="636"/>
      <c r="CR1" s="636"/>
      <c r="CS1" s="636"/>
      <c r="CT1" s="636"/>
      <c r="CU1" s="636"/>
      <c r="CV1" s="636"/>
      <c r="CW1" s="636"/>
      <c r="CX1" s="636"/>
      <c r="CY1" s="636"/>
      <c r="CZ1" s="636"/>
      <c r="DA1" s="636"/>
      <c r="DB1" s="636"/>
      <c r="DC1" s="636"/>
      <c r="DD1" s="636"/>
      <c r="DE1" s="636"/>
      <c r="DF1" s="636"/>
      <c r="DG1" s="636"/>
      <c r="DH1" s="636"/>
      <c r="DI1" s="636"/>
      <c r="DJ1" s="636"/>
      <c r="DK1" s="636"/>
      <c r="DL1" s="636"/>
      <c r="DM1" s="636"/>
      <c r="DN1" s="636"/>
      <c r="DO1" s="636"/>
      <c r="DP1" s="636"/>
      <c r="DQ1" s="636"/>
      <c r="DR1" s="636"/>
      <c r="DS1" s="636"/>
      <c r="DT1" s="636"/>
      <c r="DU1" s="636"/>
      <c r="DV1" s="636"/>
      <c r="DW1" s="636"/>
      <c r="DX1" s="636"/>
      <c r="DY1" s="636"/>
      <c r="DZ1" s="636"/>
      <c r="EA1" s="636"/>
      <c r="EB1" s="636"/>
      <c r="EC1" s="636"/>
      <c r="ED1" s="636"/>
      <c r="EE1" s="636"/>
      <c r="EF1" s="636"/>
      <c r="EG1" s="636"/>
      <c r="EH1" s="636"/>
      <c r="EI1" s="636"/>
      <c r="EJ1" s="636"/>
      <c r="EK1" s="636"/>
      <c r="EL1" s="636"/>
      <c r="EM1" s="636"/>
      <c r="EN1" s="636"/>
      <c r="EO1" s="636"/>
      <c r="EP1" s="636"/>
      <c r="EQ1" s="636"/>
      <c r="ER1" s="636"/>
      <c r="ES1" s="636"/>
      <c r="ET1" s="636"/>
      <c r="EU1" s="636"/>
      <c r="EV1" s="636"/>
      <c r="EW1" s="636"/>
      <c r="EX1" s="636"/>
      <c r="EY1" s="636"/>
      <c r="EZ1" s="636"/>
      <c r="FA1" s="636"/>
      <c r="FB1" s="636"/>
      <c r="FC1" s="636"/>
      <c r="FD1" s="636"/>
      <c r="FE1" s="636"/>
      <c r="FF1" s="636"/>
      <c r="FG1" s="636"/>
      <c r="FH1" s="636"/>
      <c r="FI1" s="636"/>
      <c r="FJ1" s="636"/>
      <c r="FK1" s="636"/>
      <c r="FL1" s="636"/>
      <c r="FM1" s="261"/>
      <c r="FN1" s="261"/>
      <c r="FO1" s="261"/>
      <c r="FP1" s="261"/>
      <c r="FQ1" s="261"/>
      <c r="FR1" s="261"/>
      <c r="FS1" s="261"/>
      <c r="FT1" s="261"/>
      <c r="FU1" s="261"/>
      <c r="FV1" s="261"/>
      <c r="FW1" s="261"/>
      <c r="FX1" s="261"/>
      <c r="FY1" s="261"/>
      <c r="FZ1" s="261"/>
      <c r="GA1" s="261"/>
      <c r="GB1" s="261"/>
      <c r="GC1" s="261"/>
      <c r="GD1" s="261"/>
      <c r="GE1" s="261"/>
      <c r="GF1" s="261"/>
      <c r="GG1" s="261"/>
      <c r="GH1" s="261"/>
      <c r="GI1" s="261"/>
      <c r="GJ1" s="261"/>
      <c r="GK1" s="261"/>
      <c r="GL1" s="261"/>
      <c r="GM1" s="261"/>
      <c r="GN1" s="261"/>
      <c r="GO1" s="261"/>
      <c r="GP1" s="261"/>
      <c r="GQ1" s="261"/>
      <c r="GR1" s="261"/>
      <c r="GS1" s="261"/>
      <c r="GT1" s="261"/>
      <c r="GU1" s="261"/>
      <c r="GV1" s="261"/>
      <c r="GW1" s="261"/>
      <c r="GX1" s="261"/>
      <c r="GY1" s="261"/>
      <c r="GZ1" s="261"/>
      <c r="HA1" s="261"/>
      <c r="HB1" s="261"/>
      <c r="HC1" s="261"/>
      <c r="HD1" s="261"/>
      <c r="HE1" s="261"/>
      <c r="HF1" s="261"/>
      <c r="HG1" s="261"/>
      <c r="HH1" s="261"/>
      <c r="HI1" s="261"/>
      <c r="HJ1" s="261"/>
      <c r="HK1" s="261"/>
      <c r="HL1" s="261"/>
      <c r="HM1" s="261"/>
      <c r="HN1" s="261"/>
      <c r="HO1" s="261"/>
      <c r="HP1" s="261"/>
      <c r="HQ1" s="261"/>
      <c r="HR1" s="261"/>
      <c r="HS1" s="261"/>
      <c r="HT1" s="261"/>
      <c r="HU1" s="261"/>
      <c r="HV1" s="261"/>
      <c r="HW1" s="261"/>
      <c r="HX1" s="261"/>
      <c r="HY1" s="261"/>
      <c r="HZ1" s="261"/>
      <c r="IA1" s="261"/>
      <c r="IB1" s="261"/>
      <c r="IC1" s="261"/>
      <c r="ID1" s="261"/>
      <c r="IE1" s="261"/>
      <c r="IF1" s="261"/>
      <c r="IG1" s="261"/>
      <c r="IH1" s="261"/>
      <c r="II1" s="261"/>
      <c r="IJ1" s="261"/>
      <c r="IK1" s="261"/>
      <c r="IL1" s="261"/>
      <c r="IM1" s="261"/>
      <c r="IN1" s="261"/>
      <c r="IO1" s="261"/>
      <c r="IP1" s="261"/>
      <c r="IQ1" s="261"/>
      <c r="IR1" s="261"/>
      <c r="IS1" s="261"/>
      <c r="IT1" s="261"/>
      <c r="IU1" s="261"/>
      <c r="IV1" s="261"/>
      <c r="IW1" s="261"/>
      <c r="IX1" s="261"/>
      <c r="IY1" s="261"/>
      <c r="IZ1" s="261"/>
      <c r="JA1" s="261"/>
      <c r="JB1" s="261"/>
      <c r="JC1" s="261"/>
      <c r="JD1" s="261"/>
      <c r="JE1" s="261"/>
      <c r="JF1" s="261"/>
      <c r="JG1" s="261"/>
      <c r="JH1" s="261"/>
      <c r="JI1" s="261"/>
      <c r="JJ1" s="261"/>
      <c r="JK1" s="261"/>
      <c r="JL1" s="261"/>
      <c r="JM1" s="261"/>
      <c r="JN1" s="261"/>
      <c r="JO1" s="261"/>
    </row>
    <row r="2" spans="1:275" s="637" customFormat="1" ht="11.25" customHeight="1">
      <c r="A2" s="638" t="s">
        <v>555</v>
      </c>
      <c r="B2" s="261"/>
      <c r="C2" s="636"/>
      <c r="D2" s="636"/>
      <c r="E2" s="636"/>
      <c r="F2" s="636"/>
      <c r="G2" s="636"/>
      <c r="H2" s="636"/>
      <c r="I2" s="636"/>
      <c r="J2" s="636"/>
      <c r="K2" s="636"/>
      <c r="L2" s="636"/>
      <c r="M2" s="636"/>
      <c r="N2" s="636"/>
      <c r="O2" s="636"/>
      <c r="P2" s="636"/>
      <c r="Q2" s="636"/>
      <c r="R2" s="636"/>
      <c r="S2" s="636"/>
      <c r="T2" s="636"/>
      <c r="U2" s="636"/>
      <c r="V2" s="636"/>
      <c r="W2" s="636"/>
      <c r="X2" s="636"/>
      <c r="Y2" s="636"/>
      <c r="Z2" s="636"/>
      <c r="AA2" s="636"/>
      <c r="AB2" s="636"/>
      <c r="AC2" s="636"/>
      <c r="AD2" s="636"/>
      <c r="AE2" s="636"/>
      <c r="AF2" s="636"/>
      <c r="AG2" s="636"/>
      <c r="AH2" s="636"/>
      <c r="AI2" s="636"/>
      <c r="AJ2" s="636"/>
      <c r="AK2" s="636"/>
      <c r="AL2" s="636"/>
      <c r="AM2" s="636"/>
      <c r="AN2" s="636"/>
      <c r="AO2" s="636"/>
      <c r="AP2" s="636"/>
      <c r="AQ2" s="636"/>
      <c r="AR2" s="636"/>
      <c r="AS2" s="636"/>
      <c r="AT2" s="636"/>
      <c r="AU2" s="636"/>
      <c r="AV2" s="636"/>
      <c r="AW2" s="636"/>
      <c r="AX2" s="636"/>
      <c r="AY2" s="636"/>
      <c r="AZ2" s="636"/>
      <c r="BA2" s="636"/>
      <c r="BB2" s="636"/>
      <c r="BC2" s="636"/>
      <c r="BD2" s="636"/>
      <c r="BE2" s="636"/>
      <c r="BF2" s="636"/>
      <c r="BG2" s="636"/>
      <c r="BH2" s="636"/>
      <c r="BI2" s="636"/>
      <c r="BJ2" s="636"/>
      <c r="BK2" s="636"/>
      <c r="BL2" s="636"/>
      <c r="BM2" s="636"/>
      <c r="BN2" s="636"/>
      <c r="BO2" s="636"/>
      <c r="BP2" s="636"/>
      <c r="BQ2" s="636"/>
      <c r="BR2" s="636"/>
      <c r="BS2" s="636"/>
      <c r="BT2" s="636"/>
      <c r="BU2" s="636"/>
      <c r="BV2" s="636"/>
      <c r="BW2" s="636"/>
      <c r="BX2" s="636"/>
      <c r="BY2" s="636"/>
      <c r="BZ2" s="636"/>
      <c r="CA2" s="636"/>
      <c r="CB2" s="636"/>
      <c r="CC2" s="636"/>
      <c r="CD2" s="636"/>
      <c r="CE2" s="636"/>
      <c r="CF2" s="636"/>
      <c r="CG2" s="636"/>
      <c r="CH2" s="636"/>
      <c r="CI2" s="636"/>
      <c r="CJ2" s="636"/>
      <c r="CK2" s="636"/>
      <c r="CL2" s="636"/>
      <c r="CM2" s="636"/>
      <c r="CN2" s="636"/>
      <c r="CO2" s="636"/>
      <c r="CP2" s="636"/>
      <c r="CQ2" s="636"/>
      <c r="CR2" s="636"/>
      <c r="CS2" s="636"/>
      <c r="CT2" s="636"/>
      <c r="CU2" s="636"/>
      <c r="CV2" s="636"/>
      <c r="CW2" s="636"/>
      <c r="CX2" s="636"/>
      <c r="CY2" s="636"/>
      <c r="CZ2" s="636"/>
      <c r="DA2" s="636"/>
      <c r="DB2" s="636"/>
      <c r="DC2" s="636"/>
      <c r="DD2" s="636"/>
      <c r="DE2" s="636"/>
      <c r="DF2" s="636"/>
      <c r="DG2" s="636"/>
      <c r="DH2" s="636"/>
      <c r="DI2" s="636"/>
      <c r="DJ2" s="636"/>
      <c r="DK2" s="636"/>
      <c r="DL2" s="636"/>
      <c r="DM2" s="636"/>
      <c r="DN2" s="636"/>
      <c r="DO2" s="636"/>
      <c r="DP2" s="636"/>
      <c r="DQ2" s="636"/>
      <c r="DR2" s="636"/>
      <c r="DS2" s="636"/>
      <c r="DT2" s="636"/>
      <c r="DU2" s="636"/>
      <c r="DV2" s="636"/>
      <c r="DW2" s="636"/>
      <c r="DX2" s="636"/>
      <c r="DY2" s="636"/>
      <c r="DZ2" s="636"/>
      <c r="EA2" s="636"/>
      <c r="EB2" s="636"/>
      <c r="EC2" s="636"/>
      <c r="ED2" s="636"/>
      <c r="EE2" s="636"/>
      <c r="EF2" s="636"/>
      <c r="EG2" s="636"/>
      <c r="EH2" s="636"/>
      <c r="EI2" s="636"/>
      <c r="EJ2" s="636"/>
      <c r="EK2" s="636"/>
      <c r="EL2" s="636"/>
      <c r="EM2" s="636"/>
      <c r="EN2" s="636"/>
      <c r="EO2" s="636"/>
      <c r="EP2" s="636"/>
      <c r="EQ2" s="636"/>
      <c r="ER2" s="636"/>
      <c r="ES2" s="636"/>
      <c r="ET2" s="636"/>
      <c r="EU2" s="636"/>
      <c r="EV2" s="636"/>
      <c r="EW2" s="636"/>
      <c r="EX2" s="636"/>
      <c r="EY2" s="636"/>
      <c r="EZ2" s="636"/>
      <c r="FA2" s="636"/>
      <c r="FB2" s="636"/>
      <c r="FC2" s="636"/>
      <c r="FD2" s="636"/>
      <c r="FE2" s="636"/>
      <c r="FF2" s="636"/>
      <c r="FG2" s="636"/>
      <c r="FH2" s="636"/>
      <c r="FI2" s="636"/>
      <c r="FJ2" s="636"/>
      <c r="FK2" s="636"/>
      <c r="FL2" s="636"/>
      <c r="FM2" s="261"/>
      <c r="FN2" s="261"/>
      <c r="FO2" s="261"/>
      <c r="FP2" s="261"/>
      <c r="FQ2" s="261"/>
      <c r="FR2" s="261"/>
      <c r="FS2" s="261"/>
      <c r="FT2" s="261"/>
      <c r="FU2" s="261"/>
      <c r="FV2" s="261"/>
      <c r="FW2" s="261"/>
      <c r="FX2" s="261"/>
      <c r="FY2" s="261"/>
      <c r="FZ2" s="261"/>
      <c r="GA2" s="261"/>
      <c r="GB2" s="261"/>
      <c r="GC2" s="261"/>
      <c r="GD2" s="261"/>
      <c r="GE2" s="261"/>
      <c r="GF2" s="261"/>
      <c r="GG2" s="261"/>
      <c r="GH2" s="261"/>
      <c r="GI2" s="261"/>
      <c r="GJ2" s="261"/>
      <c r="GK2" s="261"/>
      <c r="GL2" s="261"/>
      <c r="GM2" s="261"/>
      <c r="GN2" s="261"/>
      <c r="GO2" s="261"/>
      <c r="GP2" s="261"/>
      <c r="GQ2" s="261"/>
      <c r="GR2" s="261"/>
      <c r="GS2" s="261"/>
      <c r="GT2" s="261"/>
      <c r="GU2" s="261"/>
      <c r="GV2" s="261"/>
      <c r="GW2" s="261"/>
      <c r="GX2" s="261"/>
      <c r="GY2" s="261"/>
      <c r="GZ2" s="261"/>
      <c r="HA2" s="261"/>
      <c r="HB2" s="261"/>
      <c r="HC2" s="261"/>
      <c r="HD2" s="261"/>
      <c r="HE2" s="261"/>
      <c r="HF2" s="261"/>
      <c r="HG2" s="261"/>
      <c r="HH2" s="261"/>
      <c r="HI2" s="261"/>
      <c r="HJ2" s="261"/>
      <c r="HK2" s="261"/>
      <c r="HL2" s="261"/>
      <c r="HM2" s="261"/>
      <c r="HN2" s="261"/>
      <c r="HO2" s="261"/>
      <c r="HP2" s="261"/>
      <c r="HQ2" s="261"/>
      <c r="HR2" s="261"/>
      <c r="HS2" s="261"/>
      <c r="HT2" s="261"/>
      <c r="HU2" s="261"/>
      <c r="HV2" s="261"/>
      <c r="HW2" s="261"/>
      <c r="HX2" s="261"/>
      <c r="HY2" s="261"/>
      <c r="HZ2" s="261"/>
      <c r="IA2" s="261"/>
      <c r="IB2" s="261"/>
      <c r="IC2" s="261"/>
      <c r="ID2" s="261"/>
      <c r="IE2" s="261"/>
      <c r="IF2" s="261"/>
      <c r="IG2" s="261"/>
      <c r="IH2" s="261"/>
      <c r="II2" s="261"/>
      <c r="IJ2" s="261"/>
      <c r="IK2" s="261"/>
      <c r="IL2" s="261"/>
      <c r="IM2" s="261"/>
      <c r="IN2" s="261"/>
      <c r="IO2" s="261"/>
      <c r="IP2" s="261"/>
      <c r="IQ2" s="261"/>
      <c r="IR2" s="261"/>
      <c r="IS2" s="261"/>
      <c r="IT2" s="261"/>
      <c r="IU2" s="261"/>
      <c r="IV2" s="261"/>
      <c r="IW2" s="261"/>
      <c r="IX2" s="261"/>
      <c r="IY2" s="261"/>
      <c r="IZ2" s="261"/>
      <c r="JA2" s="261"/>
      <c r="JB2" s="261"/>
      <c r="JC2" s="261"/>
      <c r="JD2" s="261"/>
      <c r="JE2" s="261"/>
      <c r="JF2" s="261"/>
      <c r="JG2" s="261"/>
      <c r="JH2" s="261"/>
      <c r="JI2" s="261"/>
      <c r="JJ2" s="261"/>
      <c r="JK2" s="261"/>
      <c r="JL2" s="261"/>
      <c r="JM2" s="261"/>
      <c r="JN2" s="261"/>
      <c r="JO2" s="261"/>
    </row>
    <row r="3" spans="1:275" s="637" customFormat="1" ht="11.25" customHeight="1">
      <c r="A3" s="639" t="s">
        <v>556</v>
      </c>
      <c r="B3" s="261"/>
      <c r="C3" s="636"/>
      <c r="D3" s="636"/>
      <c r="E3" s="636"/>
      <c r="F3" s="636"/>
      <c r="G3" s="636"/>
      <c r="H3" s="636"/>
      <c r="I3" s="636"/>
      <c r="J3" s="636"/>
      <c r="K3" s="636"/>
      <c r="L3" s="636"/>
      <c r="M3" s="636"/>
      <c r="N3" s="636"/>
      <c r="O3" s="636"/>
      <c r="P3" s="636"/>
      <c r="Q3" s="636"/>
      <c r="R3" s="636"/>
      <c r="S3" s="636"/>
      <c r="T3" s="636"/>
      <c r="U3" s="636"/>
      <c r="V3" s="636"/>
      <c r="W3" s="636"/>
      <c r="X3" s="636"/>
      <c r="Y3" s="636"/>
      <c r="Z3" s="636"/>
      <c r="AA3" s="636"/>
      <c r="AB3" s="636"/>
      <c r="AC3" s="636"/>
      <c r="AD3" s="636"/>
      <c r="AE3" s="636"/>
      <c r="AF3" s="636"/>
      <c r="AG3" s="636"/>
      <c r="AH3" s="636"/>
      <c r="AI3" s="636"/>
      <c r="AJ3" s="636"/>
      <c r="AK3" s="636"/>
      <c r="AL3" s="636"/>
      <c r="AM3" s="636"/>
      <c r="AN3" s="636"/>
      <c r="AO3" s="636"/>
      <c r="AP3" s="636"/>
      <c r="AQ3" s="636"/>
      <c r="AR3" s="636"/>
      <c r="AS3" s="636"/>
      <c r="AT3" s="636"/>
      <c r="AU3" s="636"/>
      <c r="AV3" s="636"/>
      <c r="AW3" s="636"/>
      <c r="AX3" s="636"/>
      <c r="AY3" s="636"/>
      <c r="AZ3" s="636"/>
      <c r="BA3" s="636"/>
      <c r="BB3" s="636"/>
      <c r="BC3" s="636"/>
      <c r="BD3" s="636"/>
      <c r="BE3" s="636"/>
      <c r="BF3" s="636"/>
      <c r="BG3" s="636"/>
      <c r="BH3" s="636"/>
      <c r="BI3" s="636"/>
      <c r="BJ3" s="636"/>
      <c r="BK3" s="636"/>
      <c r="BL3" s="636"/>
      <c r="BM3" s="636"/>
      <c r="BN3" s="636"/>
      <c r="BO3" s="636"/>
      <c r="BP3" s="636"/>
      <c r="BQ3" s="636"/>
      <c r="BR3" s="636"/>
      <c r="BS3" s="636"/>
      <c r="BT3" s="636"/>
      <c r="BU3" s="636"/>
      <c r="BV3" s="636"/>
      <c r="BW3" s="636"/>
      <c r="BX3" s="636"/>
      <c r="BY3" s="636"/>
      <c r="BZ3" s="636"/>
      <c r="CA3" s="636"/>
      <c r="CB3" s="636"/>
      <c r="CC3" s="636"/>
      <c r="CD3" s="636"/>
      <c r="CE3" s="636"/>
      <c r="CF3" s="636"/>
      <c r="CG3" s="636"/>
      <c r="CH3" s="636"/>
      <c r="CI3" s="636"/>
      <c r="CJ3" s="636"/>
      <c r="CK3" s="636"/>
      <c r="CL3" s="636"/>
      <c r="CM3" s="636"/>
      <c r="CN3" s="636"/>
      <c r="CO3" s="636"/>
      <c r="CP3" s="636"/>
      <c r="CQ3" s="636"/>
      <c r="CR3" s="636"/>
      <c r="CS3" s="636"/>
      <c r="CT3" s="636"/>
      <c r="CU3" s="636"/>
      <c r="CV3" s="636"/>
      <c r="CW3" s="636"/>
      <c r="CX3" s="636"/>
      <c r="CY3" s="636"/>
      <c r="CZ3" s="636"/>
      <c r="DA3" s="636"/>
      <c r="DB3" s="636"/>
      <c r="DC3" s="636"/>
      <c r="DD3" s="636"/>
      <c r="DE3" s="636"/>
      <c r="DF3" s="636"/>
      <c r="DG3" s="636"/>
      <c r="DH3" s="636"/>
      <c r="DI3" s="636"/>
      <c r="DJ3" s="636"/>
      <c r="DK3" s="636"/>
      <c r="DL3" s="636"/>
      <c r="DM3" s="636"/>
      <c r="DN3" s="636"/>
      <c r="DO3" s="636"/>
      <c r="DP3" s="636"/>
      <c r="DQ3" s="636"/>
      <c r="DR3" s="636"/>
      <c r="DS3" s="636"/>
      <c r="DT3" s="636"/>
      <c r="DU3" s="636"/>
      <c r="DV3" s="636"/>
      <c r="DW3" s="636"/>
      <c r="DX3" s="636"/>
      <c r="DY3" s="636"/>
      <c r="DZ3" s="636"/>
      <c r="EA3" s="636"/>
      <c r="EB3" s="636"/>
      <c r="EC3" s="636"/>
      <c r="ED3" s="636"/>
      <c r="EE3" s="636"/>
      <c r="EF3" s="636"/>
      <c r="EG3" s="636"/>
      <c r="EH3" s="636"/>
      <c r="EI3" s="636"/>
      <c r="EJ3" s="636"/>
      <c r="EK3" s="636"/>
      <c r="EL3" s="636"/>
      <c r="EM3" s="636"/>
      <c r="EN3" s="636"/>
      <c r="EO3" s="636"/>
      <c r="EP3" s="636"/>
      <c r="EQ3" s="636"/>
      <c r="ER3" s="636"/>
      <c r="ES3" s="636"/>
      <c r="ET3" s="636"/>
      <c r="EU3" s="636"/>
      <c r="EV3" s="636"/>
      <c r="EW3" s="636"/>
      <c r="EX3" s="636"/>
      <c r="EY3" s="636"/>
      <c r="EZ3" s="636"/>
      <c r="FA3" s="636"/>
      <c r="FB3" s="636"/>
      <c r="FC3" s="636"/>
      <c r="FD3" s="636"/>
      <c r="FE3" s="636"/>
      <c r="FF3" s="636"/>
      <c r="FG3" s="636"/>
      <c r="FH3" s="636"/>
      <c r="FI3" s="636"/>
      <c r="FJ3" s="636"/>
      <c r="FK3" s="636"/>
      <c r="FL3" s="636"/>
      <c r="FM3" s="261"/>
      <c r="FN3" s="261"/>
      <c r="FO3" s="261"/>
      <c r="FP3" s="261"/>
      <c r="FQ3" s="261"/>
      <c r="FR3" s="261"/>
      <c r="FS3" s="261"/>
      <c r="FT3" s="261"/>
      <c r="FU3" s="261"/>
      <c r="FV3" s="261"/>
      <c r="FW3" s="261"/>
      <c r="FX3" s="261"/>
      <c r="FY3" s="261"/>
      <c r="FZ3" s="261"/>
      <c r="GA3" s="261"/>
      <c r="GB3" s="261"/>
      <c r="GC3" s="261"/>
      <c r="GD3" s="261"/>
      <c r="GE3" s="261"/>
      <c r="GF3" s="261"/>
      <c r="GG3" s="261"/>
      <c r="GH3" s="261"/>
      <c r="GI3" s="261"/>
      <c r="GJ3" s="261"/>
      <c r="GK3" s="261"/>
      <c r="GL3" s="261"/>
      <c r="GM3" s="261"/>
      <c r="GN3" s="261"/>
      <c r="GO3" s="261"/>
      <c r="GP3" s="261"/>
      <c r="GQ3" s="261"/>
      <c r="GR3" s="261"/>
      <c r="GS3" s="261"/>
      <c r="GT3" s="261"/>
      <c r="GU3" s="261"/>
      <c r="GV3" s="261"/>
      <c r="GW3" s="261"/>
      <c r="GX3" s="261"/>
      <c r="GY3" s="261"/>
      <c r="GZ3" s="261"/>
      <c r="HA3" s="261"/>
      <c r="HB3" s="261"/>
      <c r="HC3" s="261"/>
      <c r="HD3" s="261"/>
      <c r="HE3" s="261"/>
      <c r="HF3" s="261"/>
      <c r="HG3" s="261"/>
      <c r="HH3" s="261"/>
      <c r="HI3" s="261"/>
      <c r="HJ3" s="261"/>
      <c r="HK3" s="261"/>
      <c r="HL3" s="261"/>
      <c r="HM3" s="261"/>
      <c r="HN3" s="261"/>
      <c r="HO3" s="261"/>
      <c r="HP3" s="261"/>
      <c r="HQ3" s="261"/>
      <c r="HR3" s="261"/>
      <c r="HS3" s="261"/>
      <c r="HT3" s="261"/>
      <c r="HU3" s="261"/>
      <c r="HV3" s="261"/>
      <c r="HW3" s="261"/>
      <c r="HX3" s="261"/>
      <c r="HY3" s="261"/>
      <c r="HZ3" s="261"/>
      <c r="IA3" s="261"/>
      <c r="IB3" s="261"/>
      <c r="IC3" s="261"/>
      <c r="ID3" s="261"/>
      <c r="IE3" s="261"/>
      <c r="IF3" s="261"/>
      <c r="IG3" s="261"/>
      <c r="IH3" s="261"/>
      <c r="II3" s="261"/>
      <c r="IJ3" s="261"/>
      <c r="IK3" s="261"/>
      <c r="IL3" s="261"/>
      <c r="IM3" s="261"/>
      <c r="IN3" s="261"/>
      <c r="IO3" s="261"/>
      <c r="IP3" s="261"/>
      <c r="IQ3" s="261"/>
      <c r="IR3" s="261"/>
      <c r="IS3" s="261"/>
      <c r="IT3" s="261"/>
      <c r="IU3" s="261"/>
      <c r="IV3" s="261"/>
      <c r="IW3" s="261"/>
      <c r="IX3" s="261"/>
      <c r="IY3" s="261"/>
      <c r="IZ3" s="261"/>
      <c r="JA3" s="261"/>
      <c r="JB3" s="261"/>
      <c r="JC3" s="261"/>
      <c r="JD3" s="261"/>
      <c r="JE3" s="261"/>
      <c r="JF3" s="261"/>
      <c r="JG3" s="261"/>
      <c r="JH3" s="261"/>
      <c r="JI3" s="261"/>
      <c r="JJ3" s="261"/>
      <c r="JK3" s="261"/>
      <c r="JL3" s="261"/>
      <c r="JM3" s="261"/>
      <c r="JN3" s="261"/>
      <c r="JO3" s="261"/>
    </row>
    <row r="4" spans="1:275" s="637" customFormat="1" ht="9.9499999999999993" customHeight="1">
      <c r="A4" s="635" t="s">
        <v>536</v>
      </c>
      <c r="B4" s="636"/>
      <c r="C4" s="636"/>
      <c r="D4" s="636"/>
      <c r="E4" s="636"/>
      <c r="F4" s="636"/>
      <c r="G4" s="636"/>
      <c r="H4" s="636"/>
      <c r="I4" s="636"/>
      <c r="J4" s="636"/>
      <c r="K4" s="636"/>
      <c r="L4" s="636"/>
      <c r="M4" s="636"/>
      <c r="N4" s="636"/>
      <c r="O4" s="636"/>
      <c r="P4" s="636"/>
      <c r="Q4" s="636"/>
      <c r="R4" s="636"/>
      <c r="S4" s="636"/>
      <c r="T4" s="636"/>
      <c r="U4" s="636"/>
      <c r="V4" s="636"/>
      <c r="W4" s="636"/>
      <c r="X4" s="636"/>
      <c r="Y4" s="636"/>
      <c r="Z4" s="636"/>
      <c r="AA4" s="636"/>
      <c r="AB4" s="636"/>
      <c r="AC4" s="636"/>
      <c r="AD4" s="636"/>
      <c r="AE4" s="636"/>
      <c r="AF4" s="636"/>
      <c r="AG4" s="636"/>
      <c r="AH4" s="636"/>
      <c r="AI4" s="636"/>
      <c r="AJ4" s="636"/>
      <c r="AK4" s="636"/>
      <c r="AL4" s="636"/>
      <c r="AM4" s="636"/>
      <c r="AN4" s="636"/>
      <c r="AO4" s="636"/>
      <c r="AP4" s="636"/>
      <c r="AQ4" s="636"/>
      <c r="AR4" s="636"/>
      <c r="AS4" s="636"/>
      <c r="AT4" s="636"/>
      <c r="AU4" s="636"/>
      <c r="AV4" s="636"/>
      <c r="AW4" s="636"/>
      <c r="AX4" s="636"/>
      <c r="AY4" s="636"/>
      <c r="AZ4" s="636"/>
      <c r="BA4" s="636"/>
      <c r="BB4" s="636"/>
      <c r="BC4" s="636"/>
      <c r="BD4" s="636"/>
      <c r="BE4" s="636"/>
      <c r="BF4" s="636"/>
      <c r="BG4" s="636"/>
      <c r="BH4" s="636"/>
      <c r="BI4" s="636"/>
      <c r="BJ4" s="636"/>
      <c r="BK4" s="636"/>
      <c r="BL4" s="636"/>
      <c r="BM4" s="636"/>
      <c r="BN4" s="636"/>
      <c r="BO4" s="636"/>
      <c r="BP4" s="636"/>
      <c r="BQ4" s="636"/>
      <c r="BR4" s="636"/>
      <c r="BS4" s="636"/>
      <c r="BT4" s="636"/>
      <c r="BU4" s="636"/>
      <c r="BV4" s="636"/>
      <c r="BW4" s="636"/>
      <c r="BX4" s="636"/>
      <c r="BY4" s="636"/>
      <c r="BZ4" s="636"/>
      <c r="CA4" s="636"/>
      <c r="CB4" s="636"/>
      <c r="CC4" s="636"/>
      <c r="CD4" s="636"/>
      <c r="CE4" s="636"/>
      <c r="CF4" s="636"/>
      <c r="CG4" s="636"/>
      <c r="CH4" s="636"/>
      <c r="CI4" s="636"/>
      <c r="CJ4" s="636"/>
      <c r="CK4" s="636"/>
      <c r="CL4" s="636"/>
      <c r="CM4" s="636"/>
      <c r="CN4" s="636"/>
      <c r="CO4" s="636"/>
      <c r="CP4" s="636"/>
      <c r="CQ4" s="636"/>
      <c r="CR4" s="636"/>
      <c r="CS4" s="636"/>
      <c r="CT4" s="636"/>
      <c r="CU4" s="636"/>
      <c r="CV4" s="636"/>
      <c r="CW4" s="636"/>
      <c r="CX4" s="636"/>
      <c r="CY4" s="636"/>
      <c r="CZ4" s="636"/>
      <c r="DA4" s="636"/>
      <c r="DB4" s="636"/>
      <c r="DC4" s="636"/>
      <c r="DD4" s="636"/>
      <c r="DE4" s="636"/>
      <c r="DF4" s="636"/>
      <c r="DG4" s="636"/>
      <c r="DH4" s="636"/>
      <c r="DI4" s="636"/>
      <c r="DJ4" s="636"/>
      <c r="DK4" s="636"/>
      <c r="DL4" s="636"/>
      <c r="DM4" s="636"/>
      <c r="DN4" s="636"/>
      <c r="DO4" s="636"/>
      <c r="DP4" s="636"/>
      <c r="DQ4" s="636"/>
      <c r="DR4" s="636"/>
      <c r="DS4" s="636"/>
      <c r="DT4" s="636"/>
      <c r="DU4" s="636"/>
      <c r="DV4" s="636"/>
      <c r="DW4" s="636"/>
      <c r="DX4" s="636"/>
      <c r="DY4" s="636"/>
      <c r="DZ4" s="636"/>
      <c r="EA4" s="636"/>
      <c r="EB4" s="636"/>
      <c r="EC4" s="636"/>
      <c r="ED4" s="636"/>
      <c r="EE4" s="636"/>
      <c r="EF4" s="636"/>
      <c r="EG4" s="636"/>
      <c r="EH4" s="636"/>
      <c r="EI4" s="636"/>
      <c r="EJ4" s="636"/>
      <c r="EK4" s="636"/>
      <c r="EL4" s="636"/>
      <c r="EM4" s="636"/>
      <c r="EN4" s="636"/>
      <c r="EO4" s="636"/>
      <c r="EP4" s="636"/>
      <c r="EQ4" s="636"/>
      <c r="ER4" s="636"/>
      <c r="ES4" s="636"/>
      <c r="ET4" s="636"/>
      <c r="EU4" s="636"/>
      <c r="EV4" s="636"/>
      <c r="EW4" s="636"/>
      <c r="EX4" s="636"/>
      <c r="EY4" s="636"/>
      <c r="EZ4" s="636"/>
      <c r="FA4" s="636"/>
      <c r="FB4" s="636"/>
      <c r="FC4" s="636"/>
      <c r="FD4" s="636"/>
      <c r="FE4" s="636"/>
      <c r="FF4" s="636"/>
      <c r="FG4" s="636"/>
      <c r="FH4" s="636"/>
      <c r="FI4" s="636"/>
      <c r="FJ4" s="636"/>
      <c r="FK4" s="636"/>
      <c r="FL4" s="636"/>
      <c r="FM4" s="261"/>
      <c r="FN4" s="261"/>
      <c r="FO4" s="261"/>
      <c r="FP4" s="261"/>
      <c r="FQ4" s="261"/>
      <c r="FR4" s="261"/>
      <c r="FS4" s="261"/>
      <c r="FT4" s="261"/>
      <c r="FU4" s="261"/>
      <c r="FV4" s="261"/>
      <c r="FW4" s="261"/>
      <c r="FX4" s="261"/>
      <c r="FY4" s="261"/>
      <c r="FZ4" s="261"/>
      <c r="GA4" s="261"/>
      <c r="GB4" s="261"/>
      <c r="GC4" s="261"/>
      <c r="GD4" s="261"/>
      <c r="GE4" s="261"/>
      <c r="GF4" s="261"/>
      <c r="GG4" s="261"/>
      <c r="GH4" s="261"/>
      <c r="GI4" s="261"/>
      <c r="GJ4" s="261"/>
      <c r="GK4" s="261"/>
      <c r="GL4" s="261"/>
      <c r="GM4" s="261"/>
      <c r="GN4" s="261"/>
      <c r="GO4" s="261"/>
      <c r="GP4" s="261"/>
      <c r="GQ4" s="261"/>
      <c r="GR4" s="261"/>
      <c r="GS4" s="261"/>
      <c r="GT4" s="261"/>
      <c r="GU4" s="261"/>
      <c r="GV4" s="261"/>
      <c r="GW4" s="261"/>
      <c r="GX4" s="261"/>
      <c r="GY4" s="261"/>
      <c r="GZ4" s="261"/>
      <c r="HA4" s="261"/>
      <c r="HB4" s="261"/>
      <c r="HC4" s="261"/>
      <c r="HD4" s="261"/>
      <c r="HE4" s="261"/>
      <c r="HF4" s="261"/>
      <c r="HG4" s="261"/>
      <c r="HH4" s="261"/>
      <c r="HI4" s="261"/>
      <c r="HJ4" s="261"/>
      <c r="HK4" s="261"/>
      <c r="HL4" s="261"/>
      <c r="HM4" s="261"/>
      <c r="HN4" s="261"/>
      <c r="HO4" s="261"/>
      <c r="HP4" s="261"/>
      <c r="HQ4" s="261"/>
      <c r="HR4" s="261"/>
      <c r="HS4" s="261"/>
      <c r="HT4" s="261"/>
      <c r="HU4" s="261"/>
      <c r="HV4" s="261"/>
      <c r="HW4" s="261"/>
      <c r="HX4" s="261"/>
      <c r="HY4" s="261"/>
      <c r="HZ4" s="261"/>
      <c r="IA4" s="261"/>
      <c r="IB4" s="261"/>
      <c r="IC4" s="261"/>
      <c r="ID4" s="261"/>
      <c r="IE4" s="261"/>
      <c r="IF4" s="261"/>
      <c r="IG4" s="261"/>
      <c r="IH4" s="261"/>
      <c r="II4" s="261"/>
      <c r="IJ4" s="261"/>
      <c r="IK4" s="261"/>
      <c r="IL4" s="261"/>
      <c r="IM4" s="261"/>
      <c r="IN4" s="261"/>
      <c r="IO4" s="261"/>
      <c r="IP4" s="261"/>
      <c r="IQ4" s="261"/>
      <c r="IR4" s="261"/>
      <c r="IS4" s="261"/>
      <c r="IT4" s="261"/>
      <c r="IU4" s="261"/>
      <c r="IV4" s="261"/>
      <c r="IW4" s="261"/>
      <c r="IX4" s="261"/>
      <c r="IY4" s="261"/>
      <c r="IZ4" s="261"/>
      <c r="JA4" s="261"/>
      <c r="JB4" s="261"/>
      <c r="JC4" s="261"/>
      <c r="JD4" s="261"/>
      <c r="JE4" s="261"/>
      <c r="JF4" s="261"/>
      <c r="JG4" s="261"/>
      <c r="JH4" s="261"/>
      <c r="JI4" s="261"/>
      <c r="JJ4" s="261"/>
      <c r="JK4" s="261"/>
      <c r="JL4" s="261"/>
      <c r="JM4" s="261"/>
      <c r="JN4" s="261"/>
      <c r="JO4" s="261"/>
    </row>
    <row r="5" spans="1:275" s="280" customFormat="1" ht="11.25" customHeight="1">
      <c r="D5" s="640"/>
      <c r="E5" s="473"/>
      <c r="F5" s="473"/>
      <c r="G5" s="473"/>
      <c r="H5" s="475" t="s">
        <v>109</v>
      </c>
      <c r="I5" s="473"/>
      <c r="J5" s="473"/>
      <c r="K5" s="473"/>
      <c r="L5" s="473"/>
      <c r="M5" s="475" t="s">
        <v>109</v>
      </c>
      <c r="N5" s="473"/>
      <c r="O5" s="473"/>
      <c r="P5" s="473"/>
      <c r="Q5" s="473"/>
      <c r="R5" s="475" t="s">
        <v>109</v>
      </c>
      <c r="S5" s="473"/>
      <c r="T5" s="473"/>
      <c r="U5" s="473"/>
      <c r="V5" s="473"/>
      <c r="W5" s="475" t="s">
        <v>109</v>
      </c>
      <c r="X5" s="473"/>
      <c r="Y5" s="473"/>
      <c r="Z5" s="473"/>
      <c r="AA5" s="473"/>
      <c r="AB5" s="475" t="s">
        <v>109</v>
      </c>
      <c r="AC5" s="473"/>
      <c r="AD5" s="473"/>
      <c r="AE5" s="473"/>
      <c r="AF5" s="473"/>
      <c r="AG5" s="475" t="s">
        <v>109</v>
      </c>
      <c r="AH5" s="473"/>
      <c r="AI5" s="473"/>
      <c r="AJ5" s="473"/>
      <c r="AK5" s="473"/>
      <c r="AL5" s="475" t="s">
        <v>109</v>
      </c>
      <c r="AM5" s="473"/>
      <c r="AN5" s="473"/>
      <c r="AO5" s="473"/>
      <c r="AP5" s="473"/>
      <c r="AQ5" s="475" t="s">
        <v>109</v>
      </c>
      <c r="AR5" s="473"/>
      <c r="AS5" s="473"/>
      <c r="AT5" s="473"/>
      <c r="AU5" s="473"/>
      <c r="AV5" s="474" t="s">
        <v>109</v>
      </c>
      <c r="AW5" s="473"/>
      <c r="AX5" s="473"/>
      <c r="AY5" s="473"/>
      <c r="AZ5" s="473"/>
      <c r="BA5" s="474" t="s">
        <v>109</v>
      </c>
      <c r="BB5" s="473"/>
      <c r="BC5" s="473"/>
      <c r="BD5" s="473"/>
      <c r="BE5" s="473"/>
      <c r="BF5" s="474" t="s">
        <v>109</v>
      </c>
      <c r="BG5" s="473"/>
      <c r="BH5" s="473"/>
      <c r="BI5" s="473"/>
      <c r="BJ5" s="473"/>
      <c r="BK5" s="474" t="s">
        <v>109</v>
      </c>
      <c r="BL5" s="473"/>
      <c r="BM5" s="473"/>
      <c r="BN5" s="473"/>
      <c r="BO5" s="473"/>
      <c r="BP5" s="474" t="s">
        <v>109</v>
      </c>
      <c r="BQ5" s="473"/>
      <c r="BR5" s="473"/>
      <c r="BS5" s="473"/>
      <c r="BT5" s="473"/>
      <c r="BU5" s="474" t="s">
        <v>109</v>
      </c>
      <c r="BV5" s="473"/>
      <c r="BW5" s="473"/>
      <c r="BX5" s="473"/>
      <c r="BY5" s="473"/>
      <c r="BZ5" s="474" t="s">
        <v>109</v>
      </c>
      <c r="CA5" s="473"/>
      <c r="CB5" s="473"/>
      <c r="CC5" s="473"/>
      <c r="CD5" s="473"/>
      <c r="CE5" s="474" t="s">
        <v>109</v>
      </c>
      <c r="CF5" s="473"/>
      <c r="CG5" s="473"/>
      <c r="CH5" s="473"/>
      <c r="CI5" s="473"/>
      <c r="CJ5" s="474" t="s">
        <v>109</v>
      </c>
      <c r="CK5" s="473"/>
      <c r="CL5" s="473"/>
      <c r="CM5" s="473"/>
      <c r="CN5" s="473"/>
      <c r="CO5" s="474" t="s">
        <v>109</v>
      </c>
      <c r="CP5" s="473"/>
      <c r="CQ5" s="473"/>
      <c r="CR5" s="473"/>
      <c r="CS5" s="473"/>
      <c r="CT5" s="474" t="s">
        <v>109</v>
      </c>
      <c r="CU5" s="473"/>
      <c r="CV5" s="473"/>
      <c r="CW5" s="473"/>
      <c r="CX5" s="473"/>
      <c r="CY5" s="474" t="s">
        <v>109</v>
      </c>
      <c r="CZ5" s="473"/>
      <c r="DA5" s="473"/>
      <c r="DB5" s="473"/>
      <c r="DC5" s="473"/>
      <c r="DD5" s="474" t="s">
        <v>109</v>
      </c>
      <c r="DE5" s="473"/>
      <c r="DF5" s="473"/>
      <c r="DG5" s="473"/>
      <c r="DH5" s="473"/>
      <c r="DI5" s="474" t="s">
        <v>109</v>
      </c>
      <c r="DJ5" s="473"/>
      <c r="DK5" s="473"/>
      <c r="DL5" s="473"/>
      <c r="DM5" s="473"/>
      <c r="DN5" s="474" t="s">
        <v>109</v>
      </c>
      <c r="DO5" s="473"/>
      <c r="DP5" s="473"/>
      <c r="DQ5" s="473"/>
      <c r="DR5" s="473"/>
      <c r="DS5" s="474" t="s">
        <v>109</v>
      </c>
      <c r="DT5" s="473"/>
      <c r="DU5" s="473"/>
      <c r="DV5" s="473"/>
      <c r="DW5" s="473"/>
      <c r="DX5" s="474" t="s">
        <v>109</v>
      </c>
      <c r="DY5" s="473"/>
      <c r="DZ5" s="473"/>
      <c r="EA5" s="473"/>
      <c r="EB5" s="473"/>
      <c r="EC5" s="474" t="s">
        <v>109</v>
      </c>
      <c r="ED5" s="473"/>
      <c r="EE5" s="473"/>
      <c r="EF5" s="473"/>
      <c r="EG5" s="473"/>
      <c r="EH5" s="474" t="s">
        <v>109</v>
      </c>
      <c r="EI5" s="473"/>
      <c r="EJ5" s="473"/>
      <c r="EK5" s="473"/>
      <c r="EL5" s="473"/>
      <c r="EM5" s="474" t="s">
        <v>109</v>
      </c>
      <c r="EN5" s="473"/>
      <c r="EO5" s="473"/>
      <c r="EP5" s="473"/>
      <c r="EQ5" s="473"/>
      <c r="ER5" s="474" t="s">
        <v>109</v>
      </c>
      <c r="ES5" s="473"/>
      <c r="ET5" s="473"/>
      <c r="EU5" s="473"/>
      <c r="EV5" s="473"/>
      <c r="EW5" s="474" t="s">
        <v>109</v>
      </c>
      <c r="EX5" s="473"/>
      <c r="EY5" s="473"/>
      <c r="EZ5" s="473"/>
      <c r="FA5" s="473"/>
      <c r="FB5" s="474" t="s">
        <v>109</v>
      </c>
      <c r="FC5" s="473"/>
      <c r="FD5" s="473"/>
      <c r="FE5" s="473"/>
      <c r="FF5" s="473"/>
      <c r="FG5" s="474" t="s">
        <v>109</v>
      </c>
      <c r="FH5" s="473"/>
      <c r="FI5" s="473"/>
      <c r="FJ5" s="473"/>
      <c r="FK5" s="473"/>
      <c r="FL5" s="474" t="s">
        <v>109</v>
      </c>
      <c r="FM5" s="261"/>
      <c r="FN5" s="261"/>
      <c r="FO5" s="261"/>
      <c r="FP5" s="261"/>
      <c r="FQ5" s="261"/>
      <c r="FR5" s="261"/>
      <c r="FS5" s="261"/>
      <c r="FT5" s="261"/>
      <c r="FU5" s="261"/>
      <c r="FV5" s="261"/>
      <c r="FW5" s="261"/>
      <c r="FX5" s="261"/>
      <c r="FY5" s="261"/>
      <c r="FZ5" s="261"/>
      <c r="GA5" s="261"/>
      <c r="GB5" s="261"/>
      <c r="GC5" s="261"/>
      <c r="GD5" s="261"/>
      <c r="GE5" s="261"/>
      <c r="GF5" s="261"/>
      <c r="GG5" s="261"/>
      <c r="GH5" s="261"/>
      <c r="GI5" s="261"/>
      <c r="GJ5" s="261"/>
      <c r="GK5" s="261"/>
      <c r="GL5" s="261"/>
      <c r="GM5" s="261"/>
      <c r="GN5" s="261"/>
      <c r="GO5" s="261"/>
      <c r="GP5" s="261"/>
      <c r="GQ5" s="261"/>
      <c r="GR5" s="261"/>
      <c r="GS5" s="261"/>
      <c r="GT5" s="261"/>
      <c r="GU5" s="261"/>
      <c r="GV5" s="261"/>
      <c r="GW5" s="261"/>
      <c r="GX5" s="261"/>
      <c r="GY5" s="261"/>
      <c r="GZ5" s="261"/>
      <c r="HA5" s="261"/>
      <c r="HB5" s="261"/>
      <c r="HC5" s="261"/>
      <c r="HD5" s="261"/>
      <c r="HE5" s="261"/>
      <c r="HF5" s="261"/>
      <c r="HG5" s="261"/>
      <c r="HH5" s="261"/>
      <c r="HI5" s="261"/>
      <c r="HJ5" s="261"/>
      <c r="HK5" s="261"/>
      <c r="HL5" s="261"/>
      <c r="HM5" s="261"/>
      <c r="HN5" s="261"/>
      <c r="HO5" s="261"/>
      <c r="HP5" s="261"/>
      <c r="HQ5" s="261"/>
      <c r="HR5" s="261"/>
      <c r="HS5" s="261"/>
      <c r="HT5" s="261"/>
      <c r="HU5" s="261"/>
      <c r="HV5" s="261"/>
      <c r="HW5" s="261"/>
      <c r="HX5" s="261"/>
      <c r="HY5" s="261"/>
      <c r="HZ5" s="261"/>
      <c r="IA5" s="261"/>
      <c r="IB5" s="261"/>
      <c r="IC5" s="261"/>
      <c r="ID5" s="261"/>
      <c r="IE5" s="261"/>
      <c r="IF5" s="261"/>
      <c r="IG5" s="261"/>
      <c r="IH5" s="261"/>
      <c r="II5" s="261"/>
      <c r="IJ5" s="261"/>
      <c r="IK5" s="261"/>
      <c r="IL5" s="261"/>
      <c r="IM5" s="261"/>
      <c r="IN5" s="261"/>
      <c r="IO5" s="261"/>
      <c r="IP5" s="261"/>
      <c r="IQ5" s="261"/>
      <c r="IR5" s="261"/>
      <c r="IS5" s="261"/>
      <c r="IT5" s="261"/>
      <c r="IU5" s="261"/>
      <c r="IV5" s="261"/>
      <c r="IW5" s="261"/>
      <c r="IX5" s="261"/>
      <c r="IY5" s="261"/>
      <c r="IZ5" s="261"/>
      <c r="JA5" s="261"/>
      <c r="JB5" s="261"/>
      <c r="JC5" s="261"/>
      <c r="JD5" s="261"/>
      <c r="JE5" s="261"/>
      <c r="JF5" s="261"/>
      <c r="JG5" s="261"/>
      <c r="JH5" s="261"/>
      <c r="JI5" s="261"/>
      <c r="JJ5" s="261"/>
      <c r="JK5" s="261"/>
      <c r="JL5" s="261"/>
      <c r="JM5" s="261"/>
      <c r="JN5" s="261"/>
      <c r="JO5" s="261"/>
    </row>
    <row r="6" spans="1:275" s="295" customFormat="1" ht="11.25" customHeight="1">
      <c r="D6" s="534">
        <v>32416</v>
      </c>
      <c r="E6" s="534">
        <v>32508</v>
      </c>
      <c r="F6" s="534">
        <v>32598</v>
      </c>
      <c r="G6" s="534">
        <v>32689</v>
      </c>
      <c r="H6" s="641">
        <v>1998</v>
      </c>
      <c r="I6" s="477">
        <v>32781</v>
      </c>
      <c r="J6" s="477">
        <v>32873</v>
      </c>
      <c r="K6" s="477">
        <v>32963</v>
      </c>
      <c r="L6" s="477">
        <v>33054</v>
      </c>
      <c r="M6" s="641" t="s">
        <v>865</v>
      </c>
      <c r="N6" s="477">
        <v>33146</v>
      </c>
      <c r="O6" s="477">
        <v>33238</v>
      </c>
      <c r="P6" s="477">
        <v>33328</v>
      </c>
      <c r="Q6" s="477">
        <v>33419</v>
      </c>
      <c r="R6" s="641" t="s">
        <v>126</v>
      </c>
      <c r="S6" s="477">
        <v>33511</v>
      </c>
      <c r="T6" s="477">
        <v>33603</v>
      </c>
      <c r="U6" s="477">
        <v>33694</v>
      </c>
      <c r="V6" s="477">
        <v>33785</v>
      </c>
      <c r="W6" s="641" t="s">
        <v>127</v>
      </c>
      <c r="X6" s="477">
        <v>33877</v>
      </c>
      <c r="Y6" s="477">
        <v>33969</v>
      </c>
      <c r="Z6" s="477">
        <v>34059</v>
      </c>
      <c r="AA6" s="477">
        <v>34150</v>
      </c>
      <c r="AB6" s="641" t="s">
        <v>128</v>
      </c>
      <c r="AC6" s="477">
        <v>34242</v>
      </c>
      <c r="AD6" s="477">
        <v>34334</v>
      </c>
      <c r="AE6" s="477">
        <v>34424</v>
      </c>
      <c r="AF6" s="477">
        <v>34515</v>
      </c>
      <c r="AG6" s="641" t="s">
        <v>129</v>
      </c>
      <c r="AH6" s="477">
        <v>34607</v>
      </c>
      <c r="AI6" s="477">
        <v>34699</v>
      </c>
      <c r="AJ6" s="477">
        <v>34789</v>
      </c>
      <c r="AK6" s="477">
        <v>34880</v>
      </c>
      <c r="AL6" s="641" t="s">
        <v>130</v>
      </c>
      <c r="AM6" s="477">
        <v>34972</v>
      </c>
      <c r="AN6" s="477">
        <v>35064</v>
      </c>
      <c r="AO6" s="477">
        <v>35155</v>
      </c>
      <c r="AP6" s="477">
        <v>35246</v>
      </c>
      <c r="AQ6" s="641" t="s">
        <v>131</v>
      </c>
      <c r="AR6" s="477">
        <v>35338</v>
      </c>
      <c r="AS6" s="477">
        <v>35430</v>
      </c>
      <c r="AT6" s="477">
        <v>35520</v>
      </c>
      <c r="AU6" s="477">
        <v>35611</v>
      </c>
      <c r="AV6" s="641" t="s">
        <v>134</v>
      </c>
      <c r="AW6" s="477">
        <v>35703</v>
      </c>
      <c r="AX6" s="477">
        <v>35795</v>
      </c>
      <c r="AY6" s="477">
        <v>35885</v>
      </c>
      <c r="AZ6" s="477">
        <v>35976</v>
      </c>
      <c r="BA6" s="641" t="s">
        <v>135</v>
      </c>
      <c r="BB6" s="477">
        <v>36068</v>
      </c>
      <c r="BC6" s="477">
        <v>36160</v>
      </c>
      <c r="BD6" s="477">
        <v>36250</v>
      </c>
      <c r="BE6" s="477">
        <v>36341</v>
      </c>
      <c r="BF6" s="641" t="s">
        <v>124</v>
      </c>
      <c r="BG6" s="477">
        <v>36433</v>
      </c>
      <c r="BH6" s="477">
        <v>36525</v>
      </c>
      <c r="BI6" s="477">
        <v>36616</v>
      </c>
      <c r="BJ6" s="477">
        <v>36707</v>
      </c>
      <c r="BK6" s="641" t="s">
        <v>125</v>
      </c>
      <c r="BL6" s="477">
        <v>36799</v>
      </c>
      <c r="BM6" s="477">
        <v>36891</v>
      </c>
      <c r="BN6" s="477">
        <v>36981</v>
      </c>
      <c r="BO6" s="477">
        <v>37072</v>
      </c>
      <c r="BP6" s="641" t="s">
        <v>136</v>
      </c>
      <c r="BQ6" s="477">
        <v>37164</v>
      </c>
      <c r="BR6" s="477">
        <v>37256</v>
      </c>
      <c r="BS6" s="477">
        <v>37346</v>
      </c>
      <c r="BT6" s="477">
        <v>37437</v>
      </c>
      <c r="BU6" s="641" t="s">
        <v>137</v>
      </c>
      <c r="BV6" s="477">
        <v>37529</v>
      </c>
      <c r="BW6" s="477">
        <v>37621</v>
      </c>
      <c r="BX6" s="477">
        <v>37711</v>
      </c>
      <c r="BY6" s="477">
        <v>37802</v>
      </c>
      <c r="BZ6" s="641" t="s">
        <v>138</v>
      </c>
      <c r="CA6" s="477">
        <v>37894</v>
      </c>
      <c r="CB6" s="477">
        <v>37986</v>
      </c>
      <c r="CC6" s="477">
        <v>38077</v>
      </c>
      <c r="CD6" s="477">
        <v>38168</v>
      </c>
      <c r="CE6" s="641" t="s">
        <v>139</v>
      </c>
      <c r="CF6" s="477">
        <v>38260</v>
      </c>
      <c r="CG6" s="477">
        <v>38352</v>
      </c>
      <c r="CH6" s="477">
        <v>38442</v>
      </c>
      <c r="CI6" s="477">
        <v>38533</v>
      </c>
      <c r="CJ6" s="641" t="s">
        <v>140</v>
      </c>
      <c r="CK6" s="477">
        <v>38625</v>
      </c>
      <c r="CL6" s="477">
        <v>38717</v>
      </c>
      <c r="CM6" s="477">
        <v>38807</v>
      </c>
      <c r="CN6" s="477">
        <v>38898</v>
      </c>
      <c r="CO6" s="641" t="s">
        <v>141</v>
      </c>
      <c r="CP6" s="477">
        <v>38990</v>
      </c>
      <c r="CQ6" s="477">
        <v>39082</v>
      </c>
      <c r="CR6" s="477">
        <v>39172</v>
      </c>
      <c r="CS6" s="477">
        <v>39263</v>
      </c>
      <c r="CT6" s="641" t="s">
        <v>142</v>
      </c>
      <c r="CU6" s="477">
        <v>39355</v>
      </c>
      <c r="CV6" s="477">
        <v>39447</v>
      </c>
      <c r="CW6" s="477">
        <v>39538</v>
      </c>
      <c r="CX6" s="477">
        <v>39607</v>
      </c>
      <c r="CY6" s="641" t="s">
        <v>830</v>
      </c>
      <c r="CZ6" s="477">
        <v>39699</v>
      </c>
      <c r="DA6" s="477">
        <v>39813</v>
      </c>
      <c r="DB6" s="477">
        <v>39881</v>
      </c>
      <c r="DC6" s="477">
        <v>39973</v>
      </c>
      <c r="DD6" s="641" t="s">
        <v>311</v>
      </c>
      <c r="DE6" s="477">
        <v>40065</v>
      </c>
      <c r="DF6" s="477">
        <v>40156</v>
      </c>
      <c r="DG6" s="642" t="s">
        <v>547</v>
      </c>
      <c r="DH6" s="642" t="s">
        <v>594</v>
      </c>
      <c r="DI6" s="641" t="s">
        <v>595</v>
      </c>
      <c r="DJ6" s="642" t="s">
        <v>475</v>
      </c>
      <c r="DK6" s="642" t="s">
        <v>209</v>
      </c>
      <c r="DL6" s="642" t="s">
        <v>471</v>
      </c>
      <c r="DM6" s="477">
        <v>40705</v>
      </c>
      <c r="DN6" s="641" t="s">
        <v>68</v>
      </c>
      <c r="DO6" s="642" t="s">
        <v>479</v>
      </c>
      <c r="DP6" s="477">
        <v>40908</v>
      </c>
      <c r="DQ6" s="477">
        <v>40980</v>
      </c>
      <c r="DR6" s="642" t="s">
        <v>181</v>
      </c>
      <c r="DS6" s="478" t="s">
        <v>180</v>
      </c>
      <c r="DT6" s="642" t="s">
        <v>160</v>
      </c>
      <c r="DU6" s="642" t="s">
        <v>896</v>
      </c>
      <c r="DV6" s="642" t="s">
        <v>465</v>
      </c>
      <c r="DW6" s="477">
        <v>41438</v>
      </c>
      <c r="DX6" s="478" t="s">
        <v>27</v>
      </c>
      <c r="DY6" s="477" t="str">
        <f>IS!DY7</f>
        <v>Sep-13</v>
      </c>
      <c r="DZ6" s="477" t="str">
        <f>IS!DZ7</f>
        <v>Dec-13</v>
      </c>
      <c r="EA6" s="477" t="str">
        <f>IS!EA7</f>
        <v>Mar-14</v>
      </c>
      <c r="EB6" s="477" t="str">
        <f>IS!EB7</f>
        <v>Jun-14</v>
      </c>
      <c r="EC6" s="1170" t="s">
        <v>1006</v>
      </c>
      <c r="ED6" s="477" t="str">
        <f>IS!ED7</f>
        <v>Sep-14</v>
      </c>
      <c r="EE6" s="477" t="str">
        <f>IS!EE7</f>
        <v>Dec-14</v>
      </c>
      <c r="EF6" s="477" t="str">
        <f>IS!EF7</f>
        <v>Mar-15</v>
      </c>
      <c r="EG6" s="477" t="str">
        <f>IS!EG7</f>
        <v>Jun-15</v>
      </c>
      <c r="EH6" s="1170" t="s">
        <v>1030</v>
      </c>
      <c r="EI6" s="477" t="str">
        <f>IS!EI7</f>
        <v>Sep-15</v>
      </c>
      <c r="EJ6" s="477" t="str">
        <f>IS!EJ7</f>
        <v>Dec-15</v>
      </c>
      <c r="EK6" s="477" t="str">
        <f>IS!EK7</f>
        <v>Mar-16</v>
      </c>
      <c r="EL6" s="477" t="str">
        <f>IS!EL7</f>
        <v>Jun-16</v>
      </c>
      <c r="EM6" s="641" t="s">
        <v>1412</v>
      </c>
      <c r="EN6" s="477" t="str">
        <f>IS!EN7</f>
        <v>Sep-16</v>
      </c>
      <c r="EO6" s="477" t="str">
        <f>IS!EO7</f>
        <v>Dec-16</v>
      </c>
      <c r="EP6" s="477" t="str">
        <f>IS!EP7</f>
        <v>Mar-17</v>
      </c>
      <c r="EQ6" s="477" t="str">
        <f>IS!EQ7</f>
        <v>Jun-17</v>
      </c>
      <c r="ER6" s="641" t="s">
        <v>1443</v>
      </c>
      <c r="ES6" s="477" t="str">
        <f>IS!ES7</f>
        <v>Sep-17</v>
      </c>
      <c r="ET6" s="477" t="str">
        <f>IS!ET7</f>
        <v>Dec-17</v>
      </c>
      <c r="EU6" s="477" t="str">
        <f>IS!EU7</f>
        <v>Mar-18</v>
      </c>
      <c r="EV6" s="477" t="str">
        <f>IS!EV7</f>
        <v>Jun-18E</v>
      </c>
      <c r="EW6" s="641" t="s">
        <v>642</v>
      </c>
      <c r="EX6" s="477" t="str">
        <f>IS!EX7</f>
        <v>Sep-18E</v>
      </c>
      <c r="EY6" s="477" t="str">
        <f>IS!EY7</f>
        <v>Dec-18E</v>
      </c>
      <c r="EZ6" s="477" t="str">
        <f>IS!EZ7</f>
        <v>Mar-19E</v>
      </c>
      <c r="FA6" s="477" t="str">
        <f>IS!FA7</f>
        <v>Jun-19E</v>
      </c>
      <c r="FB6" s="641" t="s">
        <v>888</v>
      </c>
      <c r="FC6" s="477" t="str">
        <f>IS!FC7</f>
        <v>Sep-19E</v>
      </c>
      <c r="FD6" s="477" t="str">
        <f>IS!FD7</f>
        <v>Dec-19E</v>
      </c>
      <c r="FE6" s="477" t="str">
        <f>IS!FE7</f>
        <v>Mar-20E</v>
      </c>
      <c r="FF6" s="477" t="str">
        <f>IS!FF7</f>
        <v>Jun-20E</v>
      </c>
      <c r="FG6" s="641" t="s">
        <v>889</v>
      </c>
      <c r="FH6" s="477" t="str">
        <f>IS!FH7</f>
        <v>Sep-20E</v>
      </c>
      <c r="FI6" s="477" t="str">
        <f>IS!FI7</f>
        <v>Dec-20E</v>
      </c>
      <c r="FJ6" s="477" t="str">
        <f>IS!FJ7</f>
        <v>Mar-21E</v>
      </c>
      <c r="FK6" s="477" t="str">
        <f>IS!FK7</f>
        <v>Jun-21E</v>
      </c>
      <c r="FL6" s="641" t="str">
        <f>IS!FL7</f>
        <v>2021E</v>
      </c>
      <c r="FM6" s="261"/>
      <c r="FN6" s="261"/>
      <c r="FO6" s="261"/>
      <c r="FP6" s="261"/>
      <c r="FQ6" s="261"/>
      <c r="FR6" s="261"/>
      <c r="FS6" s="261"/>
      <c r="FT6" s="261"/>
      <c r="FU6" s="261"/>
      <c r="FV6" s="261"/>
      <c r="FW6" s="261"/>
      <c r="FX6" s="261"/>
      <c r="FY6" s="261"/>
      <c r="FZ6" s="261"/>
      <c r="GA6" s="261"/>
      <c r="GB6" s="261"/>
      <c r="GC6" s="261"/>
      <c r="GD6" s="261"/>
      <c r="GE6" s="261"/>
      <c r="GF6" s="261"/>
      <c r="GG6" s="261"/>
      <c r="GH6" s="261"/>
      <c r="GI6" s="261"/>
      <c r="GJ6" s="261"/>
      <c r="GK6" s="261"/>
      <c r="GL6" s="261"/>
      <c r="GM6" s="261"/>
      <c r="GN6" s="261"/>
      <c r="GO6" s="261"/>
      <c r="GP6" s="261"/>
      <c r="GQ6" s="261"/>
      <c r="GR6" s="261"/>
      <c r="GS6" s="261"/>
      <c r="GT6" s="261"/>
      <c r="GU6" s="261"/>
      <c r="GV6" s="261"/>
      <c r="GW6" s="261"/>
      <c r="GX6" s="261"/>
      <c r="GY6" s="261"/>
      <c r="GZ6" s="261"/>
      <c r="HA6" s="261"/>
      <c r="HB6" s="261"/>
      <c r="HC6" s="261"/>
      <c r="HD6" s="261"/>
      <c r="HE6" s="261"/>
      <c r="HF6" s="261"/>
      <c r="HG6" s="261"/>
      <c r="HH6" s="261"/>
      <c r="HI6" s="261"/>
      <c r="HJ6" s="261"/>
      <c r="HK6" s="261"/>
      <c r="HL6" s="261"/>
      <c r="HM6" s="261"/>
      <c r="HN6" s="261"/>
      <c r="HO6" s="261"/>
      <c r="HP6" s="261"/>
      <c r="HQ6" s="261"/>
      <c r="HR6" s="261"/>
      <c r="HS6" s="261"/>
      <c r="HT6" s="261"/>
      <c r="HU6" s="261"/>
      <c r="HV6" s="261"/>
      <c r="HW6" s="261"/>
      <c r="HX6" s="261"/>
      <c r="HY6" s="261"/>
      <c r="HZ6" s="261"/>
      <c r="IA6" s="261"/>
      <c r="IB6" s="261"/>
      <c r="IC6" s="261"/>
      <c r="ID6" s="261"/>
      <c r="IE6" s="261"/>
      <c r="IF6" s="261"/>
      <c r="IG6" s="261"/>
      <c r="IH6" s="261"/>
      <c r="II6" s="261"/>
      <c r="IJ6" s="261"/>
      <c r="IK6" s="261"/>
      <c r="IL6" s="261"/>
      <c r="IM6" s="261"/>
      <c r="IN6" s="261"/>
      <c r="IO6" s="261"/>
      <c r="IP6" s="261"/>
      <c r="IQ6" s="261"/>
      <c r="IR6" s="261"/>
      <c r="IS6" s="261"/>
      <c r="IT6" s="261"/>
      <c r="IU6" s="261"/>
      <c r="IV6" s="261"/>
      <c r="IW6" s="261"/>
      <c r="IX6" s="261"/>
      <c r="IY6" s="261"/>
      <c r="IZ6" s="261"/>
      <c r="JA6" s="261"/>
      <c r="JB6" s="261"/>
      <c r="JC6" s="261"/>
      <c r="JD6" s="261"/>
      <c r="JE6" s="261"/>
      <c r="JF6" s="261"/>
      <c r="JG6" s="261"/>
      <c r="JH6" s="261"/>
      <c r="JI6" s="261"/>
      <c r="JJ6" s="261"/>
      <c r="JK6" s="261"/>
      <c r="JL6" s="261"/>
      <c r="JM6" s="261"/>
      <c r="JN6" s="261"/>
      <c r="JO6" s="261"/>
    </row>
    <row r="7" spans="1:275" s="651" customFormat="1" ht="11.25" customHeight="1">
      <c r="A7" s="643" t="s">
        <v>346</v>
      </c>
      <c r="B7" s="644"/>
      <c r="C7" s="645"/>
      <c r="D7" s="645"/>
      <c r="E7" s="645"/>
      <c r="F7" s="645"/>
      <c r="G7" s="645"/>
      <c r="H7" s="645"/>
      <c r="I7" s="645"/>
      <c r="J7" s="645"/>
      <c r="K7" s="645"/>
      <c r="L7" s="645"/>
      <c r="M7" s="645"/>
      <c r="N7" s="645"/>
      <c r="O7" s="645"/>
      <c r="P7" s="645"/>
      <c r="Q7" s="645"/>
      <c r="R7" s="645"/>
      <c r="S7" s="645"/>
      <c r="T7" s="645"/>
      <c r="U7" s="645"/>
      <c r="V7" s="645"/>
      <c r="W7" s="645"/>
      <c r="X7" s="645"/>
      <c r="Y7" s="645"/>
      <c r="Z7" s="645"/>
      <c r="AA7" s="645"/>
      <c r="AB7" s="645"/>
      <c r="AC7" s="645"/>
      <c r="AD7" s="645"/>
      <c r="AE7" s="645"/>
      <c r="AF7" s="645"/>
      <c r="AG7" s="645"/>
      <c r="AH7" s="645"/>
      <c r="AI7" s="645"/>
      <c r="AJ7" s="645"/>
      <c r="AK7" s="645"/>
      <c r="AL7" s="645"/>
      <c r="AM7" s="645"/>
      <c r="AN7" s="645"/>
      <c r="AO7" s="645"/>
      <c r="AP7" s="645"/>
      <c r="AQ7" s="645"/>
      <c r="AR7" s="645"/>
      <c r="AS7" s="645"/>
      <c r="AT7" s="645"/>
      <c r="AU7" s="645"/>
      <c r="AV7" s="645"/>
      <c r="AW7" s="645"/>
      <c r="AX7" s="645"/>
      <c r="AY7" s="645"/>
      <c r="AZ7" s="645"/>
      <c r="BA7" s="645"/>
      <c r="BB7" s="645"/>
      <c r="BC7" s="645"/>
      <c r="BD7" s="645"/>
      <c r="BE7" s="645"/>
      <c r="BF7" s="645"/>
      <c r="BG7" s="645"/>
      <c r="BH7" s="645"/>
      <c r="BI7" s="645"/>
      <c r="BJ7" s="645"/>
      <c r="BK7" s="645"/>
      <c r="BL7" s="645"/>
      <c r="BM7" s="645"/>
      <c r="BN7" s="645"/>
      <c r="BO7" s="645"/>
      <c r="BP7" s="645"/>
      <c r="BQ7" s="645"/>
      <c r="BR7" s="645"/>
      <c r="BS7" s="645"/>
      <c r="BT7" s="645"/>
      <c r="BU7" s="645"/>
      <c r="BV7" s="645"/>
      <c r="BW7" s="645"/>
      <c r="BX7" s="645"/>
      <c r="BY7" s="645"/>
      <c r="BZ7" s="646"/>
      <c r="CA7" s="647">
        <v>27.0886</v>
      </c>
      <c r="CB7" s="647">
        <v>27.022520000000004</v>
      </c>
      <c r="CC7" s="647">
        <v>26.668730000000004</v>
      </c>
      <c r="CD7" s="647">
        <v>26.394840000000002</v>
      </c>
      <c r="CE7" s="648">
        <f>AVERAGE(CA7:CD7)</f>
        <v>26.793672500000003</v>
      </c>
      <c r="CF7" s="647">
        <v>27.669540000000001</v>
      </c>
      <c r="CG7" s="647">
        <v>27.711060000000003</v>
      </c>
      <c r="CH7" s="647">
        <v>25.619030000000002</v>
      </c>
      <c r="CI7" s="647">
        <v>25.147270000000002</v>
      </c>
      <c r="CJ7" s="648">
        <f>AVERAGE(CF7:CI7)</f>
        <v>26.536725000000001</v>
      </c>
      <c r="CK7" s="647">
        <v>26.245850000000001</v>
      </c>
      <c r="CL7" s="647">
        <v>26.423590000000001</v>
      </c>
      <c r="CM7" s="647">
        <v>27.023810000000001</v>
      </c>
      <c r="CN7" s="647">
        <v>24.25431</v>
      </c>
      <c r="CO7" s="648">
        <f>AVERAGE(CK7:CN7)</f>
        <v>25.986890000000002</v>
      </c>
      <c r="CP7" s="647">
        <v>33.85172</v>
      </c>
      <c r="CQ7" s="647">
        <v>28.983260000000001</v>
      </c>
      <c r="CR7" s="647">
        <v>29.103220000000004</v>
      </c>
      <c r="CS7" s="647">
        <v>29.825610000000001</v>
      </c>
      <c r="CT7" s="649">
        <f>AVERAGE(CP7:CS7)</f>
        <v>30.440952500000002</v>
      </c>
      <c r="CU7" s="647">
        <v>29.260230000000004</v>
      </c>
      <c r="CV7" s="647">
        <v>33.406350000000003</v>
      </c>
      <c r="CW7" s="647">
        <v>30.333630000000003</v>
      </c>
      <c r="CX7" s="647">
        <v>28.819850000000002</v>
      </c>
      <c r="CY7" s="650">
        <f>AVERAGE(CU7:CX7)</f>
        <v>30.455015000000003</v>
      </c>
      <c r="CZ7" s="647">
        <v>26.119996</v>
      </c>
      <c r="DA7" s="647">
        <v>19.439988</v>
      </c>
      <c r="DB7" s="647">
        <v>15.15</v>
      </c>
      <c r="DC7" s="647">
        <v>22.079986999999999</v>
      </c>
      <c r="DD7" s="650">
        <f>AVERAGE(CZ7:DC7)</f>
        <v>20.697492749999999</v>
      </c>
      <c r="DE7" s="647">
        <v>24.779999</v>
      </c>
      <c r="DF7" s="647">
        <v>29.709992</v>
      </c>
      <c r="DG7" s="647">
        <v>31.989991</v>
      </c>
      <c r="DH7" s="647">
        <v>29.649994</v>
      </c>
      <c r="DI7" s="650">
        <f>AVERAGE(DE7:DH7)</f>
        <v>29.032494</v>
      </c>
      <c r="DJ7" s="647">
        <v>30.759995</v>
      </c>
      <c r="DK7" s="647">
        <v>30.759995</v>
      </c>
      <c r="DL7" s="647">
        <v>31.989991</v>
      </c>
      <c r="DM7" s="647">
        <v>23.704986999999999</v>
      </c>
      <c r="DN7" s="650">
        <f>AVERAGE(DJ7:DM7)</f>
        <v>29.303742</v>
      </c>
      <c r="DO7" s="647">
        <v>30.759995</v>
      </c>
      <c r="DP7" s="647">
        <v>25.959992</v>
      </c>
      <c r="DQ7" s="647">
        <v>32.039994</v>
      </c>
      <c r="DR7" s="647">
        <v>28.604996</v>
      </c>
      <c r="DS7" s="649">
        <f>AVERAGE(DO7:DR7)</f>
        <v>29.341244250000003</v>
      </c>
      <c r="DT7" s="647">
        <f>DR7*((1+DT8/100)^(1/4))</f>
        <v>28.604996</v>
      </c>
      <c r="DU7" s="647">
        <f>DT7*((1+DU8/100)^(1/4))</f>
        <v>28.604996</v>
      </c>
      <c r="DV7" s="647">
        <f>DU7*((1+DV8/100)^(1/4))</f>
        <v>28.604996</v>
      </c>
      <c r="DW7" s="647">
        <f>DV7*((1+DW8/100)^(1/4))</f>
        <v>28.604996</v>
      </c>
      <c r="DX7" s="649">
        <f>AVERAGE(DT7:DW7)</f>
        <v>28.604996</v>
      </c>
      <c r="DY7" s="647">
        <v>34</v>
      </c>
      <c r="DZ7" s="647">
        <v>36</v>
      </c>
      <c r="EA7" s="647">
        <v>36</v>
      </c>
      <c r="EB7" s="647">
        <f>EA7*((1+EB8/100)^(1/4))</f>
        <v>36.868092807040021</v>
      </c>
      <c r="EC7" s="649">
        <f>AVERAGE(DY7:EB7)</f>
        <v>35.717023201760007</v>
      </c>
      <c r="ED7" s="647">
        <f>EB7*((1+ED8/100)^(1/4))</f>
        <v>38.983261872023881</v>
      </c>
      <c r="EE7" s="647">
        <f>ED7*((1+EE8/100)^(1/4))</f>
        <v>41.219780858656264</v>
      </c>
      <c r="EF7" s="647">
        <f>EE7*((1+EF8/100)^(1/4))</f>
        <v>43.584611765260554</v>
      </c>
      <c r="EG7" s="647">
        <f>EF7*((1+EG8/100)^(1/4))</f>
        <v>44.635597542234294</v>
      </c>
      <c r="EH7" s="650">
        <f>AVERAGE(ED7:EG7)</f>
        <v>42.105813009543752</v>
      </c>
      <c r="EI7" s="647">
        <f>EG7*((1+EI8/100)^(1/4))</f>
        <v>45.711926463466156</v>
      </c>
      <c r="EJ7" s="647">
        <v>52.57</v>
      </c>
      <c r="EK7" s="647">
        <v>52.42</v>
      </c>
      <c r="EL7" s="647">
        <v>51.96</v>
      </c>
      <c r="EM7" s="650">
        <f>AVERAGE(EI7:EL7)</f>
        <v>50.665481615866547</v>
      </c>
      <c r="EN7" s="647">
        <v>57</v>
      </c>
      <c r="EO7" s="647">
        <v>62.5</v>
      </c>
      <c r="EP7" s="647">
        <v>64</v>
      </c>
      <c r="EQ7" s="647">
        <v>70</v>
      </c>
      <c r="ER7" s="650">
        <f>AVERAGE(EN7:EQ7)</f>
        <v>63.375</v>
      </c>
      <c r="ES7" s="647">
        <v>75</v>
      </c>
      <c r="ET7" s="647">
        <v>85</v>
      </c>
      <c r="EU7" s="647">
        <v>90</v>
      </c>
      <c r="EV7" s="647">
        <f>EU7*((1+EV8/100)^(1/4))</f>
        <v>91.94368581030615</v>
      </c>
      <c r="EW7" s="650">
        <f>AVERAGE(ES7:EV7)</f>
        <v>85.485921452576534</v>
      </c>
      <c r="EX7" s="647">
        <f>EV7*((1+EX8/100)^(1/4))</f>
        <v>93.92934844871435</v>
      </c>
      <c r="EY7" s="647">
        <f>EX7*((1+EY8/100)^(1/4))</f>
        <v>95.95789446817065</v>
      </c>
      <c r="EZ7" s="647">
        <f>EY7*((1+EZ8/100)^(1/4))</f>
        <v>98.030249999999953</v>
      </c>
      <c r="FA7" s="647">
        <f>EZ7*((1+FA8/100)^(1/4))</f>
        <v>100.14736117673066</v>
      </c>
      <c r="FB7" s="650">
        <f>AVERAGE(EX7:FA7)</f>
        <v>97.016213523403906</v>
      </c>
      <c r="FC7" s="647">
        <f>FA7*((1+FC8/100)^(1/4))</f>
        <v>102.31019456405083</v>
      </c>
      <c r="FD7" s="647">
        <f>FC7*((1+FD8/100)^(1/4))</f>
        <v>104.51973760209313</v>
      </c>
      <c r="FE7" s="647">
        <f>FD7*((1+FE8/100)^(1/4))</f>
        <v>106.77699905624991</v>
      </c>
      <c r="FF7" s="647">
        <f>FE7*((1+FF8/100)^(1/4))</f>
        <v>109.08300947772442</v>
      </c>
      <c r="FG7" s="650">
        <f>AVERAGE(FC7:FF7)</f>
        <v>105.67248517502958</v>
      </c>
      <c r="FH7" s="647">
        <f>FF7*((1+FH8/100)^(1/4))</f>
        <v>111.43882167402823</v>
      </c>
      <c r="FI7" s="647">
        <f>FH7*((1+FI8/100)^(1/4))</f>
        <v>113.84551118963985</v>
      </c>
      <c r="FJ7" s="647">
        <f>FI7*((1+FJ8/100)^(1/4))</f>
        <v>116.30417679704377</v>
      </c>
      <c r="FK7" s="647">
        <f>FJ7*((1+FK8/100)^(1/4))</f>
        <v>118.81594099837433</v>
      </c>
      <c r="FL7" s="650">
        <f>AVERAGE(FH7:FK7)</f>
        <v>115.10111266477155</v>
      </c>
      <c r="FM7" s="261"/>
      <c r="FN7" s="261"/>
      <c r="FO7" s="261"/>
      <c r="FP7" s="261"/>
      <c r="FQ7" s="261"/>
      <c r="FR7" s="261"/>
      <c r="FS7" s="261"/>
      <c r="FT7" s="261"/>
      <c r="FU7" s="261"/>
      <c r="FV7" s="261"/>
      <c r="FW7" s="261"/>
      <c r="FX7" s="261"/>
      <c r="FY7" s="261"/>
      <c r="FZ7" s="261"/>
      <c r="GA7" s="261"/>
      <c r="GB7" s="261"/>
      <c r="GC7" s="261"/>
      <c r="GD7" s="261"/>
      <c r="GE7" s="261"/>
      <c r="GF7" s="261"/>
      <c r="GG7" s="261"/>
      <c r="GH7" s="261"/>
      <c r="GI7" s="261"/>
      <c r="GJ7" s="261"/>
      <c r="GK7" s="261"/>
      <c r="GL7" s="261"/>
      <c r="GM7" s="261"/>
      <c r="GN7" s="261"/>
      <c r="GO7" s="261"/>
      <c r="GP7" s="261"/>
      <c r="GQ7" s="261"/>
      <c r="GR7" s="261"/>
      <c r="GS7" s="261"/>
      <c r="GT7" s="261"/>
      <c r="GU7" s="261"/>
      <c r="GV7" s="261"/>
      <c r="GW7" s="261"/>
      <c r="GX7" s="261"/>
      <c r="GY7" s="261"/>
      <c r="GZ7" s="261"/>
      <c r="HA7" s="261"/>
      <c r="HB7" s="261"/>
      <c r="HC7" s="261"/>
      <c r="HD7" s="261"/>
      <c r="HE7" s="261"/>
      <c r="HF7" s="261"/>
      <c r="HG7" s="261"/>
      <c r="HH7" s="261"/>
      <c r="HI7" s="261"/>
      <c r="HJ7" s="261"/>
      <c r="HK7" s="261"/>
      <c r="HL7" s="261"/>
      <c r="HM7" s="261"/>
      <c r="HN7" s="261"/>
      <c r="HO7" s="261"/>
      <c r="HP7" s="261"/>
      <c r="HQ7" s="261"/>
      <c r="HR7" s="261"/>
      <c r="HS7" s="261"/>
      <c r="HT7" s="261"/>
      <c r="HU7" s="261"/>
      <c r="HV7" s="261"/>
      <c r="HW7" s="261"/>
      <c r="HX7" s="261"/>
      <c r="HY7" s="261"/>
      <c r="HZ7" s="261"/>
      <c r="IA7" s="261"/>
      <c r="IB7" s="261"/>
      <c r="IC7" s="261"/>
      <c r="ID7" s="261"/>
      <c r="IE7" s="261"/>
      <c r="IF7" s="261"/>
      <c r="IG7" s="261"/>
      <c r="IH7" s="261"/>
      <c r="II7" s="261"/>
      <c r="IJ7" s="261"/>
      <c r="IK7" s="261"/>
      <c r="IL7" s="261"/>
      <c r="IM7" s="261"/>
      <c r="IN7" s="261"/>
      <c r="IO7" s="261"/>
      <c r="IP7" s="261"/>
      <c r="IQ7" s="261"/>
      <c r="IR7" s="261"/>
      <c r="IS7" s="261"/>
      <c r="IT7" s="261"/>
      <c r="IU7" s="261"/>
      <c r="IV7" s="261"/>
      <c r="IW7" s="261"/>
      <c r="IX7" s="261"/>
      <c r="IY7" s="261"/>
      <c r="IZ7" s="261"/>
      <c r="JA7" s="261"/>
      <c r="JB7" s="261"/>
      <c r="JC7" s="261"/>
      <c r="JD7" s="261"/>
      <c r="JE7" s="261"/>
      <c r="JF7" s="261"/>
      <c r="JG7" s="261"/>
      <c r="JH7" s="261"/>
      <c r="JI7" s="261"/>
      <c r="JJ7" s="261"/>
      <c r="JK7" s="261"/>
      <c r="JL7" s="261"/>
      <c r="JM7" s="261"/>
      <c r="JN7" s="261"/>
      <c r="JO7" s="261"/>
    </row>
    <row r="8" spans="1:275" s="653" customFormat="1" ht="11.25" customHeight="1">
      <c r="A8" s="652" t="s">
        <v>898</v>
      </c>
      <c r="C8" s="654"/>
      <c r="D8" s="654"/>
      <c r="E8" s="654"/>
      <c r="F8" s="654"/>
      <c r="G8" s="654"/>
      <c r="H8" s="654"/>
      <c r="I8" s="654"/>
      <c r="J8" s="654"/>
      <c r="K8" s="654"/>
      <c r="L8" s="654"/>
      <c r="M8" s="654"/>
      <c r="N8" s="654"/>
      <c r="O8" s="654"/>
      <c r="P8" s="654"/>
      <c r="Q8" s="654"/>
      <c r="R8" s="654"/>
      <c r="S8" s="654"/>
      <c r="T8" s="654"/>
      <c r="U8" s="654"/>
      <c r="V8" s="654"/>
      <c r="W8" s="654"/>
      <c r="X8" s="654"/>
      <c r="Y8" s="654"/>
      <c r="Z8" s="654"/>
      <c r="AA8" s="654"/>
      <c r="AB8" s="654"/>
      <c r="AC8" s="654"/>
      <c r="AD8" s="654"/>
      <c r="AE8" s="654"/>
      <c r="AF8" s="654"/>
      <c r="AG8" s="654"/>
      <c r="AH8" s="654"/>
      <c r="AI8" s="654"/>
      <c r="AJ8" s="654"/>
      <c r="AK8" s="654"/>
      <c r="AL8" s="654"/>
      <c r="AM8" s="654"/>
      <c r="AN8" s="654"/>
      <c r="AO8" s="654"/>
      <c r="AP8" s="654"/>
      <c r="AQ8" s="654"/>
      <c r="AR8" s="654"/>
      <c r="AS8" s="654"/>
      <c r="AT8" s="654"/>
      <c r="AU8" s="654"/>
      <c r="AV8" s="654"/>
      <c r="AW8" s="654"/>
      <c r="AX8" s="654"/>
      <c r="AY8" s="654"/>
      <c r="AZ8" s="654"/>
      <c r="BA8" s="654"/>
      <c r="BB8" s="654"/>
      <c r="BC8" s="654"/>
      <c r="BD8" s="654"/>
      <c r="BE8" s="654"/>
      <c r="BF8" s="654"/>
      <c r="BG8" s="654"/>
      <c r="BH8" s="654"/>
      <c r="BI8" s="654"/>
      <c r="BJ8" s="654"/>
      <c r="BK8" s="654"/>
      <c r="BL8" s="654"/>
      <c r="BM8" s="654"/>
      <c r="BN8" s="654"/>
      <c r="BO8" s="654"/>
      <c r="BP8" s="654"/>
      <c r="BQ8" s="654"/>
      <c r="BR8" s="654"/>
      <c r="BS8" s="654"/>
      <c r="BT8" s="654"/>
      <c r="BU8" s="654"/>
      <c r="BV8" s="654"/>
      <c r="BW8" s="654"/>
      <c r="BX8" s="654"/>
      <c r="BY8" s="654"/>
      <c r="BZ8" s="655"/>
      <c r="CA8" s="654"/>
      <c r="CB8" s="656"/>
      <c r="CC8" s="656"/>
      <c r="CD8" s="656"/>
      <c r="CE8" s="657" t="s">
        <v>699</v>
      </c>
      <c r="CF8" s="656"/>
      <c r="CG8" s="656"/>
      <c r="CH8" s="656"/>
      <c r="CI8" s="656"/>
      <c r="CJ8" s="657" t="s">
        <v>699</v>
      </c>
      <c r="CK8" s="656"/>
      <c r="CL8" s="656"/>
      <c r="CM8" s="656"/>
      <c r="CN8" s="656"/>
      <c r="CO8" s="657" t="s">
        <v>699</v>
      </c>
      <c r="CP8" s="656"/>
      <c r="CQ8" s="656"/>
      <c r="CR8" s="656"/>
      <c r="CS8" s="656"/>
      <c r="CT8" s="657" t="s">
        <v>699</v>
      </c>
      <c r="CU8" s="656"/>
      <c r="CV8" s="658"/>
      <c r="CW8" s="658"/>
      <c r="CX8" s="658"/>
      <c r="CY8" s="657" t="s">
        <v>699</v>
      </c>
      <c r="CZ8" s="658"/>
      <c r="DA8" s="658"/>
      <c r="DB8" s="658"/>
      <c r="DC8" s="658">
        <v>2</v>
      </c>
      <c r="DD8" s="659"/>
      <c r="DE8" s="658">
        <v>2</v>
      </c>
      <c r="DF8" s="658"/>
      <c r="DG8" s="658">
        <v>2</v>
      </c>
      <c r="DH8" s="658">
        <v>2</v>
      </c>
      <c r="DI8" s="659"/>
      <c r="DJ8" s="658">
        <v>2</v>
      </c>
      <c r="DK8" s="658">
        <v>2</v>
      </c>
      <c r="DL8" s="658">
        <v>2</v>
      </c>
      <c r="DM8" s="658">
        <v>2</v>
      </c>
      <c r="DN8" s="659"/>
      <c r="DO8" s="658">
        <v>2</v>
      </c>
      <c r="DP8" s="658">
        <v>3</v>
      </c>
      <c r="DQ8" s="658">
        <v>2</v>
      </c>
      <c r="DR8" s="658">
        <v>2</v>
      </c>
      <c r="DS8" s="886"/>
      <c r="DT8" s="658">
        <v>0</v>
      </c>
      <c r="DU8" s="658">
        <v>0</v>
      </c>
      <c r="DV8" s="658">
        <v>0</v>
      </c>
      <c r="DW8" s="658">
        <v>0</v>
      </c>
      <c r="DX8" s="886"/>
      <c r="DY8" s="658">
        <v>0</v>
      </c>
      <c r="DZ8" s="658">
        <v>0</v>
      </c>
      <c r="EA8" s="658">
        <v>0</v>
      </c>
      <c r="EB8" s="658">
        <v>10</v>
      </c>
      <c r="EC8" s="886"/>
      <c r="ED8" s="658">
        <v>25</v>
      </c>
      <c r="EE8" s="658">
        <v>25</v>
      </c>
      <c r="EF8" s="658">
        <v>25</v>
      </c>
      <c r="EG8" s="1244">
        <v>10</v>
      </c>
      <c r="EH8" s="659"/>
      <c r="EI8" s="658">
        <v>10</v>
      </c>
      <c r="EJ8" s="658">
        <v>9</v>
      </c>
      <c r="EK8" s="658">
        <v>9</v>
      </c>
      <c r="EL8" s="658">
        <f>'Intrinsic Value'!EquityCost*100</f>
        <v>8.9224999999999994</v>
      </c>
      <c r="EM8" s="659"/>
      <c r="EN8" s="658">
        <f>'Intrinsic Value'!EquityCost*100</f>
        <v>8.9224999999999994</v>
      </c>
      <c r="EO8" s="658">
        <v>9</v>
      </c>
      <c r="EP8" s="658">
        <v>9</v>
      </c>
      <c r="EQ8" s="658">
        <f>'Intrinsic Value'!EquityCost*100</f>
        <v>8.9224999999999994</v>
      </c>
      <c r="ER8" s="659"/>
      <c r="ES8" s="658">
        <f>'Intrinsic Value'!EquityCost*100</f>
        <v>8.9224999999999994</v>
      </c>
      <c r="ET8" s="658">
        <v>9</v>
      </c>
      <c r="EU8" s="658">
        <v>9</v>
      </c>
      <c r="EV8" s="658">
        <f>'Intrinsic Value'!EquityCost*100</f>
        <v>8.9224999999999994</v>
      </c>
      <c r="EW8" s="659"/>
      <c r="EX8" s="658">
        <f>'Intrinsic Value'!EquityCost*100</f>
        <v>8.9224999999999994</v>
      </c>
      <c r="EY8" s="658">
        <f>'Intrinsic Value'!EquityCost*100</f>
        <v>8.9224999999999994</v>
      </c>
      <c r="EZ8" s="658">
        <f>'Intrinsic Value'!EquityCost*100</f>
        <v>8.9224999999999994</v>
      </c>
      <c r="FA8" s="658">
        <f>'Intrinsic Value'!EquityCost*100</f>
        <v>8.9224999999999994</v>
      </c>
      <c r="FB8" s="659"/>
      <c r="FC8" s="658">
        <f>'Intrinsic Value'!EquityCost*100</f>
        <v>8.9224999999999994</v>
      </c>
      <c r="FD8" s="658">
        <f>'Intrinsic Value'!EquityCost*100</f>
        <v>8.9224999999999994</v>
      </c>
      <c r="FE8" s="658">
        <f>'Intrinsic Value'!EquityCost*100</f>
        <v>8.9224999999999994</v>
      </c>
      <c r="FF8" s="658">
        <f>'Intrinsic Value'!EquityCost*100</f>
        <v>8.9224999999999994</v>
      </c>
      <c r="FG8" s="659"/>
      <c r="FH8" s="658">
        <f>'Intrinsic Value'!EquityCost*100</f>
        <v>8.9224999999999994</v>
      </c>
      <c r="FI8" s="658">
        <f>'Intrinsic Value'!EquityCost*100</f>
        <v>8.9224999999999994</v>
      </c>
      <c r="FJ8" s="658">
        <f>'Intrinsic Value'!EquityCost*100</f>
        <v>8.9224999999999994</v>
      </c>
      <c r="FK8" s="658">
        <f>'Intrinsic Value'!EquityCost*100</f>
        <v>8.9224999999999994</v>
      </c>
      <c r="FL8" s="659"/>
      <c r="FM8" s="261"/>
      <c r="FN8" s="261"/>
      <c r="FO8" s="261"/>
      <c r="FP8" s="261"/>
      <c r="FQ8" s="261"/>
      <c r="FR8" s="261"/>
      <c r="FS8" s="261"/>
      <c r="FT8" s="261"/>
      <c r="FU8" s="261"/>
      <c r="FV8" s="261"/>
      <c r="FW8" s="261"/>
      <c r="FX8" s="261"/>
      <c r="FY8" s="261"/>
      <c r="FZ8" s="261"/>
      <c r="GA8" s="261"/>
      <c r="GB8" s="261"/>
      <c r="GC8" s="261"/>
      <c r="GD8" s="261"/>
      <c r="GE8" s="261"/>
      <c r="GF8" s="261"/>
      <c r="GG8" s="261"/>
      <c r="GH8" s="261"/>
      <c r="GI8" s="261"/>
      <c r="GJ8" s="261"/>
      <c r="GK8" s="261"/>
      <c r="GL8" s="261"/>
      <c r="GM8" s="261"/>
      <c r="GN8" s="261"/>
      <c r="GO8" s="261"/>
      <c r="GP8" s="261"/>
      <c r="GQ8" s="261"/>
      <c r="GR8" s="261"/>
      <c r="GS8" s="261"/>
      <c r="GT8" s="261"/>
      <c r="GU8" s="261"/>
      <c r="GV8" s="261"/>
      <c r="GW8" s="261"/>
      <c r="GX8" s="261"/>
      <c r="GY8" s="261"/>
      <c r="GZ8" s="261"/>
      <c r="HA8" s="261"/>
      <c r="HB8" s="261"/>
      <c r="HC8" s="261"/>
      <c r="HD8" s="261"/>
      <c r="HE8" s="261"/>
      <c r="HF8" s="261"/>
      <c r="HG8" s="261"/>
      <c r="HH8" s="261"/>
      <c r="HI8" s="261"/>
      <c r="HJ8" s="261"/>
      <c r="HK8" s="261"/>
      <c r="HL8" s="261"/>
      <c r="HM8" s="261"/>
      <c r="HN8" s="261"/>
      <c r="HO8" s="261"/>
      <c r="HP8" s="261"/>
      <c r="HQ8" s="261"/>
      <c r="HR8" s="261"/>
      <c r="HS8" s="261"/>
      <c r="HT8" s="261"/>
      <c r="HU8" s="261"/>
      <c r="HV8" s="261"/>
      <c r="HW8" s="261"/>
      <c r="HX8" s="261"/>
      <c r="HY8" s="261"/>
      <c r="HZ8" s="261"/>
      <c r="IA8" s="261"/>
      <c r="IB8" s="261"/>
      <c r="IC8" s="261"/>
      <c r="ID8" s="261"/>
      <c r="IE8" s="261"/>
      <c r="IF8" s="261"/>
      <c r="IG8" s="261"/>
      <c r="IH8" s="261"/>
      <c r="II8" s="261"/>
      <c r="IJ8" s="261"/>
      <c r="IK8" s="261"/>
      <c r="IL8" s="261"/>
      <c r="IM8" s="261"/>
      <c r="IN8" s="261"/>
      <c r="IO8" s="261"/>
      <c r="IP8" s="261"/>
      <c r="IQ8" s="261"/>
      <c r="IR8" s="261"/>
      <c r="IS8" s="261"/>
      <c r="IT8" s="261"/>
      <c r="IU8" s="261"/>
      <c r="IV8" s="261"/>
      <c r="IW8" s="261"/>
      <c r="IX8" s="261"/>
      <c r="IY8" s="261"/>
      <c r="IZ8" s="261"/>
      <c r="JA8" s="261"/>
      <c r="JB8" s="261"/>
      <c r="JC8" s="261"/>
      <c r="JD8" s="261"/>
      <c r="JE8" s="261"/>
      <c r="JF8" s="261"/>
      <c r="JG8" s="261"/>
      <c r="JH8" s="261"/>
      <c r="JI8" s="261"/>
      <c r="JJ8" s="261"/>
      <c r="JK8" s="261"/>
      <c r="JL8" s="261"/>
      <c r="JM8" s="261"/>
      <c r="JN8" s="261"/>
      <c r="JO8" s="261"/>
    </row>
    <row r="9" spans="1:275" s="651" customFormat="1" ht="11.25" customHeight="1">
      <c r="A9" s="660" t="s">
        <v>557</v>
      </c>
      <c r="B9" s="644"/>
      <c r="C9" s="644"/>
      <c r="D9" s="644"/>
      <c r="E9" s="644"/>
      <c r="F9" s="644"/>
      <c r="G9" s="644"/>
      <c r="H9" s="644"/>
      <c r="I9" s="644"/>
      <c r="J9" s="644"/>
      <c r="K9" s="644"/>
      <c r="L9" s="644"/>
      <c r="M9" s="644"/>
      <c r="N9" s="644"/>
      <c r="O9" s="644"/>
      <c r="P9" s="644"/>
      <c r="Q9" s="644"/>
      <c r="R9" s="644"/>
      <c r="S9" s="644"/>
      <c r="T9" s="644"/>
      <c r="U9" s="644"/>
      <c r="V9" s="644"/>
      <c r="W9" s="644"/>
      <c r="X9" s="644"/>
      <c r="Y9" s="644"/>
      <c r="Z9" s="644"/>
      <c r="AA9" s="644"/>
      <c r="AB9" s="644"/>
      <c r="AC9" s="644"/>
      <c r="AD9" s="644"/>
      <c r="AE9" s="644"/>
      <c r="AF9" s="644"/>
      <c r="AG9" s="644"/>
      <c r="AH9" s="644"/>
      <c r="AI9" s="644"/>
      <c r="AJ9" s="644"/>
      <c r="AK9" s="644"/>
      <c r="AL9" s="644"/>
      <c r="AM9" s="644"/>
      <c r="AN9" s="644"/>
      <c r="AO9" s="644"/>
      <c r="AP9" s="644"/>
      <c r="AQ9" s="644"/>
      <c r="AR9" s="644"/>
      <c r="AS9" s="644"/>
      <c r="AT9" s="644"/>
      <c r="AU9" s="644"/>
      <c r="AV9" s="644"/>
      <c r="AW9" s="644"/>
      <c r="AX9" s="644"/>
      <c r="AY9" s="644"/>
      <c r="AZ9" s="644"/>
      <c r="BA9" s="644"/>
      <c r="BB9" s="644"/>
      <c r="BC9" s="644"/>
      <c r="BD9" s="644"/>
      <c r="BE9" s="644"/>
      <c r="BF9" s="644"/>
      <c r="BG9" s="644"/>
      <c r="BH9" s="644"/>
      <c r="BI9" s="644"/>
      <c r="BJ9" s="644"/>
      <c r="BK9" s="644"/>
      <c r="BL9" s="644"/>
      <c r="BM9" s="644"/>
      <c r="BN9" s="644"/>
      <c r="BO9" s="644"/>
      <c r="BP9" s="644"/>
      <c r="BQ9" s="644"/>
      <c r="BR9" s="644"/>
      <c r="BS9" s="644"/>
      <c r="BT9" s="644"/>
      <c r="BU9" s="644"/>
      <c r="BV9" s="644"/>
      <c r="BW9" s="644"/>
      <c r="BX9" s="644"/>
      <c r="BY9" s="644"/>
      <c r="BZ9" s="661"/>
      <c r="CA9" s="644"/>
      <c r="CB9" s="644"/>
      <c r="CC9" s="644"/>
      <c r="CD9" s="644"/>
      <c r="CE9" s="661"/>
      <c r="CF9" s="644"/>
      <c r="CG9" s="644"/>
      <c r="CH9" s="644"/>
      <c r="CI9" s="644"/>
      <c r="CJ9" s="661"/>
      <c r="CK9" s="644"/>
      <c r="CL9" s="644"/>
      <c r="CM9" s="644"/>
      <c r="CN9" s="644"/>
      <c r="CO9" s="661"/>
      <c r="CP9" s="644"/>
      <c r="CQ9" s="644"/>
      <c r="CR9" s="644"/>
      <c r="CS9" s="644"/>
      <c r="CT9" s="661"/>
      <c r="CU9" s="644"/>
      <c r="CV9" s="644"/>
      <c r="CW9" s="644"/>
      <c r="CX9" s="644"/>
      <c r="CY9" s="661"/>
      <c r="CZ9" s="644"/>
      <c r="DA9" s="644"/>
      <c r="DB9" s="644"/>
      <c r="DC9" s="644"/>
      <c r="DD9" s="661"/>
      <c r="DE9" s="644"/>
      <c r="DF9" s="644"/>
      <c r="DG9" s="644"/>
      <c r="DH9" s="644"/>
      <c r="DI9" s="661"/>
      <c r="DJ9" s="644"/>
      <c r="DK9" s="644"/>
      <c r="DL9" s="644"/>
      <c r="DM9" s="644"/>
      <c r="DN9" s="661"/>
      <c r="DO9" s="644"/>
      <c r="DP9" s="644"/>
      <c r="DQ9" s="644"/>
      <c r="DR9" s="644"/>
      <c r="DS9" s="661"/>
      <c r="DT9" s="644"/>
      <c r="DU9" s="644"/>
      <c r="DV9" s="644"/>
      <c r="DW9" s="644"/>
      <c r="DX9" s="661"/>
      <c r="DY9" s="644"/>
      <c r="DZ9" s="644"/>
      <c r="EA9" s="644"/>
      <c r="EB9" s="644"/>
      <c r="EC9" s="661"/>
      <c r="ED9" s="644"/>
      <c r="EE9" s="644"/>
      <c r="EF9" s="644"/>
      <c r="EG9" s="644"/>
      <c r="EH9" s="661"/>
      <c r="EI9" s="644"/>
      <c r="EJ9" s="644"/>
      <c r="EK9" s="644"/>
      <c r="EL9" s="644"/>
      <c r="EM9" s="661"/>
      <c r="EN9" s="644"/>
      <c r="EO9" s="644"/>
      <c r="EP9" s="644"/>
      <c r="EQ9" s="644"/>
      <c r="ER9" s="661"/>
      <c r="ES9" s="644"/>
      <c r="ET9" s="644"/>
      <c r="EU9" s="644"/>
      <c r="EV9" s="644"/>
      <c r="EW9" s="661"/>
      <c r="EX9" s="644"/>
      <c r="EY9" s="644"/>
      <c r="EZ9" s="644"/>
      <c r="FA9" s="644"/>
      <c r="FB9" s="661"/>
      <c r="FC9" s="644"/>
      <c r="FD9" s="644"/>
      <c r="FE9" s="644"/>
      <c r="FF9" s="644"/>
      <c r="FG9" s="661"/>
      <c r="FH9" s="644"/>
      <c r="FI9" s="644"/>
      <c r="FJ9" s="644"/>
      <c r="FK9" s="644"/>
      <c r="FL9" s="661"/>
      <c r="FM9" s="261"/>
      <c r="FN9" s="261"/>
      <c r="FO9" s="261"/>
      <c r="FP9" s="261"/>
      <c r="FQ9" s="261"/>
      <c r="FR9" s="261"/>
      <c r="FS9" s="261"/>
      <c r="FT9" s="261"/>
      <c r="FU9" s="261"/>
      <c r="FV9" s="261"/>
      <c r="FW9" s="261"/>
      <c r="FX9" s="261"/>
      <c r="FY9" s="261"/>
      <c r="FZ9" s="261"/>
      <c r="GA9" s="261"/>
      <c r="GB9" s="261"/>
      <c r="GC9" s="261"/>
      <c r="GD9" s="261"/>
      <c r="GE9" s="261"/>
      <c r="GF9" s="261"/>
      <c r="GG9" s="261"/>
      <c r="GH9" s="261"/>
      <c r="GI9" s="261"/>
      <c r="GJ9" s="261"/>
      <c r="GK9" s="261"/>
      <c r="GL9" s="261"/>
      <c r="GM9" s="261"/>
      <c r="GN9" s="261"/>
      <c r="GO9" s="261"/>
      <c r="GP9" s="261"/>
      <c r="GQ9" s="261"/>
      <c r="GR9" s="261"/>
      <c r="GS9" s="261"/>
      <c r="GT9" s="261"/>
      <c r="GU9" s="261"/>
      <c r="GV9" s="261"/>
      <c r="GW9" s="261"/>
      <c r="GX9" s="261"/>
      <c r="GY9" s="261"/>
      <c r="GZ9" s="261"/>
      <c r="HA9" s="261"/>
      <c r="HB9" s="261"/>
      <c r="HC9" s="261"/>
      <c r="HD9" s="261"/>
      <c r="HE9" s="261"/>
      <c r="HF9" s="261"/>
      <c r="HG9" s="261"/>
      <c r="HH9" s="261"/>
      <c r="HI9" s="261"/>
      <c r="HJ9" s="261"/>
      <c r="HK9" s="261"/>
      <c r="HL9" s="261"/>
      <c r="HM9" s="261"/>
      <c r="HN9" s="261"/>
      <c r="HO9" s="261"/>
      <c r="HP9" s="261"/>
      <c r="HQ9" s="261"/>
      <c r="HR9" s="261"/>
      <c r="HS9" s="261"/>
      <c r="HT9" s="261"/>
      <c r="HU9" s="261"/>
      <c r="HV9" s="261"/>
      <c r="HW9" s="261"/>
      <c r="HX9" s="261"/>
      <c r="HY9" s="261"/>
      <c r="HZ9" s="261"/>
      <c r="IA9" s="261"/>
      <c r="IB9" s="261"/>
      <c r="IC9" s="261"/>
      <c r="ID9" s="261"/>
      <c r="IE9" s="261"/>
      <c r="IF9" s="261"/>
      <c r="IG9" s="261"/>
      <c r="IH9" s="261"/>
      <c r="II9" s="261"/>
      <c r="IJ9" s="261"/>
      <c r="IK9" s="261"/>
      <c r="IL9" s="261"/>
      <c r="IM9" s="261"/>
      <c r="IN9" s="261"/>
      <c r="IO9" s="261"/>
      <c r="IP9" s="261"/>
      <c r="IQ9" s="261"/>
      <c r="IR9" s="261"/>
      <c r="IS9" s="261"/>
      <c r="IT9" s="261"/>
      <c r="IU9" s="261"/>
      <c r="IV9" s="261"/>
      <c r="IW9" s="261"/>
      <c r="IX9" s="261"/>
      <c r="IY9" s="261"/>
      <c r="IZ9" s="261"/>
      <c r="JA9" s="261"/>
      <c r="JB9" s="261"/>
      <c r="JC9" s="261"/>
      <c r="JD9" s="261"/>
      <c r="JE9" s="261"/>
      <c r="JF9" s="261"/>
      <c r="JG9" s="261"/>
      <c r="JH9" s="261"/>
      <c r="JI9" s="261"/>
      <c r="JJ9" s="261"/>
      <c r="JK9" s="261"/>
      <c r="JL9" s="261"/>
      <c r="JM9" s="261"/>
      <c r="JN9" s="261"/>
      <c r="JO9" s="261"/>
    </row>
    <row r="10" spans="1:275" s="651" customFormat="1" ht="11.25" customHeight="1">
      <c r="A10" s="652" t="s">
        <v>558</v>
      </c>
      <c r="B10" s="644"/>
      <c r="C10" s="645"/>
      <c r="D10" s="645"/>
      <c r="E10" s="645"/>
      <c r="F10" s="645"/>
      <c r="G10" s="645"/>
      <c r="H10" s="645"/>
      <c r="I10" s="645"/>
      <c r="J10" s="645"/>
      <c r="K10" s="645"/>
      <c r="L10" s="645"/>
      <c r="M10" s="645"/>
      <c r="N10" s="645"/>
      <c r="O10" s="645"/>
      <c r="P10" s="645"/>
      <c r="Q10" s="645"/>
      <c r="R10" s="645"/>
      <c r="S10" s="645"/>
      <c r="T10" s="645"/>
      <c r="U10" s="645"/>
      <c r="V10" s="645"/>
      <c r="W10" s="645"/>
      <c r="X10" s="645"/>
      <c r="Y10" s="645"/>
      <c r="Z10" s="645"/>
      <c r="AA10" s="645"/>
      <c r="AB10" s="645"/>
      <c r="AC10" s="645"/>
      <c r="AD10" s="645"/>
      <c r="AE10" s="645"/>
      <c r="AF10" s="645"/>
      <c r="AG10" s="645"/>
      <c r="AH10" s="645"/>
      <c r="AI10" s="645"/>
      <c r="AJ10" s="645"/>
      <c r="AK10" s="645"/>
      <c r="AL10" s="645"/>
      <c r="AM10" s="645"/>
      <c r="AN10" s="645"/>
      <c r="AO10" s="645"/>
      <c r="AP10" s="645"/>
      <c r="AQ10" s="645"/>
      <c r="AR10" s="645"/>
      <c r="AS10" s="645"/>
      <c r="AT10" s="645"/>
      <c r="AU10" s="645"/>
      <c r="AV10" s="645"/>
      <c r="AW10" s="645"/>
      <c r="AX10" s="645"/>
      <c r="AY10" s="645"/>
      <c r="AZ10" s="645"/>
      <c r="BA10" s="645"/>
      <c r="BB10" s="645"/>
      <c r="BC10" s="645"/>
      <c r="BD10" s="645"/>
      <c r="BE10" s="645"/>
      <c r="BF10" s="645"/>
      <c r="BG10" s="645"/>
      <c r="BH10" s="645"/>
      <c r="BI10" s="645"/>
      <c r="BJ10" s="645"/>
      <c r="BK10" s="645"/>
      <c r="BL10" s="645"/>
      <c r="BM10" s="645"/>
      <c r="BN10" s="645"/>
      <c r="BO10" s="645"/>
      <c r="BP10" s="645"/>
      <c r="BQ10" s="645"/>
      <c r="BR10" s="645"/>
      <c r="BS10" s="645"/>
      <c r="BT10" s="645"/>
      <c r="BU10" s="645"/>
      <c r="BV10" s="645"/>
      <c r="BW10" s="645"/>
      <c r="BX10" s="645"/>
      <c r="BY10" s="644"/>
      <c r="BZ10" s="661"/>
      <c r="CA10" s="662">
        <f>CE10</f>
        <v>1549</v>
      </c>
      <c r="CB10" s="662">
        <f t="shared" ref="CB10:CX10" si="0">CA14</f>
        <v>1399</v>
      </c>
      <c r="CC10" s="662">
        <f t="shared" si="0"/>
        <v>1249</v>
      </c>
      <c r="CD10" s="662">
        <f t="shared" si="0"/>
        <v>1099</v>
      </c>
      <c r="CE10" s="663">
        <v>1549</v>
      </c>
      <c r="CF10" s="662">
        <f>CD14</f>
        <v>949</v>
      </c>
      <c r="CG10" s="662">
        <f t="shared" si="0"/>
        <v>927.75</v>
      </c>
      <c r="CH10" s="662">
        <f t="shared" si="0"/>
        <v>906.5</v>
      </c>
      <c r="CI10" s="662">
        <f t="shared" si="0"/>
        <v>885.25</v>
      </c>
      <c r="CJ10" s="664">
        <f>CE14</f>
        <v>949</v>
      </c>
      <c r="CK10" s="662">
        <f>CI14</f>
        <v>864</v>
      </c>
      <c r="CL10" s="662">
        <f t="shared" si="0"/>
        <v>816</v>
      </c>
      <c r="CM10" s="662">
        <f t="shared" si="0"/>
        <v>788</v>
      </c>
      <c r="CN10" s="662">
        <f t="shared" si="0"/>
        <v>762</v>
      </c>
      <c r="CO10" s="664">
        <f>CJ14</f>
        <v>864</v>
      </c>
      <c r="CP10" s="662">
        <f>CN14</f>
        <v>750</v>
      </c>
      <c r="CQ10" s="662">
        <f t="shared" si="0"/>
        <v>693.5</v>
      </c>
      <c r="CR10" s="662">
        <f t="shared" si="0"/>
        <v>637</v>
      </c>
      <c r="CS10" s="662">
        <f t="shared" si="0"/>
        <v>580.5</v>
      </c>
      <c r="CT10" s="664">
        <f>CO14</f>
        <v>750</v>
      </c>
      <c r="CU10" s="662">
        <f>CS14</f>
        <v>524</v>
      </c>
      <c r="CV10" s="662">
        <f t="shared" si="0"/>
        <v>484</v>
      </c>
      <c r="CW10" s="662">
        <f t="shared" si="0"/>
        <v>444</v>
      </c>
      <c r="CX10" s="662">
        <f t="shared" si="0"/>
        <v>404</v>
      </c>
      <c r="CY10" s="664">
        <f>CT14</f>
        <v>524</v>
      </c>
      <c r="CZ10" s="662">
        <f>CX14</f>
        <v>364</v>
      </c>
      <c r="DA10" s="662">
        <f>CZ14</f>
        <v>340.65534653465346</v>
      </c>
      <c r="DB10" s="662">
        <f>DA14</f>
        <v>320.51114794873052</v>
      </c>
      <c r="DC10" s="662">
        <f>DB14</f>
        <v>301.55814962077221</v>
      </c>
      <c r="DD10" s="664">
        <f>CY14</f>
        <v>364</v>
      </c>
      <c r="DE10" s="662">
        <f>DC14</f>
        <v>283.72591151572209</v>
      </c>
      <c r="DF10" s="662">
        <f>DE14</f>
        <v>265.52952941826578</v>
      </c>
      <c r="DG10" s="662">
        <f>DF14</f>
        <v>249.82779561182426</v>
      </c>
      <c r="DH10" s="662">
        <f>DG14</f>
        <v>235.05456284656071</v>
      </c>
      <c r="DI10" s="664">
        <f>DD14</f>
        <v>283.72591151572203</v>
      </c>
      <c r="DJ10" s="662">
        <f>DH14</f>
        <v>221.15492545447077</v>
      </c>
      <c r="DK10" s="662">
        <f>DJ14</f>
        <v>206.97144991356649</v>
      </c>
      <c r="DL10" s="662">
        <f>DK14</f>
        <v>194.73246986793504</v>
      </c>
      <c r="DM10" s="662">
        <f>DL14</f>
        <v>183.21722554826928</v>
      </c>
      <c r="DN10" s="664">
        <f>DI14</f>
        <v>221.15492545447069</v>
      </c>
      <c r="DO10" s="662">
        <f>DM14</f>
        <v>172.38291980978377</v>
      </c>
      <c r="DP10" s="662">
        <f>DO14</f>
        <v>161.32737166059687</v>
      </c>
      <c r="DQ10" s="662">
        <f>DP14</f>
        <v>151.78749317304326</v>
      </c>
      <c r="DR10" s="662">
        <f>DQ14</f>
        <v>142.81174264852839</v>
      </c>
      <c r="DS10" s="664">
        <f>DN14</f>
        <v>172.38291980978366</v>
      </c>
      <c r="DT10" s="662">
        <f>DR14</f>
        <v>134.36676113399039</v>
      </c>
      <c r="DU10" s="662">
        <f>DT14</f>
        <v>125.7493285077981</v>
      </c>
      <c r="DV10" s="662">
        <f>DU14</f>
        <v>118.31331004727508</v>
      </c>
      <c r="DW10" s="662">
        <f>DV14</f>
        <v>111.31701059918251</v>
      </c>
      <c r="DX10" s="664">
        <f>DS14</f>
        <v>134.36676113399031</v>
      </c>
      <c r="DY10" s="662">
        <f>DW14</f>
        <v>104.73442796746352</v>
      </c>
      <c r="DZ10" s="662">
        <f>DY14</f>
        <v>98.017425421332376</v>
      </c>
      <c r="EA10" s="662">
        <f>DZ14</f>
        <v>92.221295982432309</v>
      </c>
      <c r="EB10" s="662">
        <f>EA14</f>
        <v>86.767912910599875</v>
      </c>
      <c r="EC10" s="664">
        <f>DX14</f>
        <v>104.73442796746342</v>
      </c>
      <c r="ED10" s="662">
        <f>EB14</f>
        <v>81.637008357544858</v>
      </c>
      <c r="EE10" s="662">
        <f>ED14</f>
        <v>76.401327945307258</v>
      </c>
      <c r="EF10" s="662">
        <f>EE14</f>
        <v>71.883437537848366</v>
      </c>
      <c r="EG10" s="662">
        <f>EF14</f>
        <v>67.632706540870146</v>
      </c>
      <c r="EH10" s="664">
        <f>EC14</f>
        <v>81.637008357544744</v>
      </c>
      <c r="EI10" s="662">
        <f>EG14</f>
        <v>63.633336839728095</v>
      </c>
      <c r="EJ10" s="662">
        <f>EI14</f>
        <v>59.870464520170913</v>
      </c>
      <c r="EK10" s="662">
        <f>EJ14</f>
        <v>56.330104625648929</v>
      </c>
      <c r="EL10" s="662">
        <f>EK14</f>
        <v>52.999099181325278</v>
      </c>
      <c r="EM10" s="664">
        <f>EH14</f>
        <v>63.633336839728017</v>
      </c>
      <c r="EN10" s="662">
        <f>EL14</f>
        <v>49.865068291617703</v>
      </c>
      <c r="EO10" s="662">
        <f>EN14</f>
        <v>46.916364129521796</v>
      </c>
      <c r="EP10" s="662">
        <f>EO14</f>
        <v>44.142027646714176</v>
      </c>
      <c r="EQ10" s="662">
        <f>EP14</f>
        <v>41.531747843545858</v>
      </c>
      <c r="ER10" s="664">
        <f>EM14</f>
        <v>49.865068291617611</v>
      </c>
      <c r="ES10" s="662">
        <f>EQ14</f>
        <v>39.075823447550036</v>
      </c>
      <c r="ET10" s="662">
        <f>ES14</f>
        <v>36.765126858040205</v>
      </c>
      <c r="EU10" s="662">
        <f>ET14</f>
        <v>34.591070222796198</v>
      </c>
      <c r="EV10" s="662">
        <f>EU14</f>
        <v>32.545573520760058</v>
      </c>
      <c r="EW10" s="664">
        <f>ER14</f>
        <v>39.075823447549951</v>
      </c>
      <c r="EX10" s="662">
        <f>EV14</f>
        <v>30.621034532119076</v>
      </c>
      <c r="EY10" s="662">
        <f>EX14</f>
        <v>28.657195411507182</v>
      </c>
      <c r="EZ10" s="662">
        <f>EY14</f>
        <v>26.962590465019787</v>
      </c>
      <c r="FA10" s="662">
        <f>EZ14</f>
        <v>25.368193716976908</v>
      </c>
      <c r="FB10" s="664">
        <f>EW14</f>
        <v>30.621034532118987</v>
      </c>
      <c r="FC10" s="662">
        <f>FA14</f>
        <v>23.868079489505178</v>
      </c>
      <c r="FD10" s="662">
        <f>FC14</f>
        <v>22.33733211432429</v>
      </c>
      <c r="FE10" s="662">
        <f>FD14</f>
        <v>21.016443836573774</v>
      </c>
      <c r="FF10" s="662">
        <f>FE14</f>
        <v>19.773664521584301</v>
      </c>
      <c r="FG10" s="664">
        <f>FB14</f>
        <v>23.868079489505092</v>
      </c>
      <c r="FH10" s="662">
        <f>FF14</f>
        <v>18.604375300246062</v>
      </c>
      <c r="FI10" s="662">
        <f>FH14</f>
        <v>17.411208557599092</v>
      </c>
      <c r="FJ10" s="662">
        <f>FI14</f>
        <v>16.381620011952947</v>
      </c>
      <c r="FK10" s="662">
        <f>FJ14</f>
        <v>15.412914808770877</v>
      </c>
      <c r="FL10" s="664">
        <f>FG14</f>
        <v>18.604375300245973</v>
      </c>
      <c r="FM10" s="261"/>
      <c r="FN10" s="261"/>
      <c r="FO10" s="261"/>
      <c r="FP10" s="261"/>
      <c r="FQ10" s="261"/>
      <c r="FR10" s="261"/>
      <c r="FS10" s="261"/>
      <c r="FT10" s="261"/>
      <c r="FU10" s="261"/>
      <c r="FV10" s="261"/>
      <c r="FW10" s="261"/>
      <c r="FX10" s="261"/>
      <c r="FY10" s="261"/>
      <c r="FZ10" s="261"/>
      <c r="GA10" s="261"/>
      <c r="GB10" s="261"/>
      <c r="GC10" s="261"/>
      <c r="GD10" s="261"/>
      <c r="GE10" s="261"/>
      <c r="GF10" s="261"/>
      <c r="GG10" s="261"/>
      <c r="GH10" s="261"/>
      <c r="GI10" s="261"/>
      <c r="GJ10" s="261"/>
      <c r="GK10" s="261"/>
      <c r="GL10" s="261"/>
      <c r="GM10" s="261"/>
      <c r="GN10" s="261"/>
      <c r="GO10" s="261"/>
      <c r="GP10" s="261"/>
      <c r="GQ10" s="261"/>
      <c r="GR10" s="261"/>
      <c r="GS10" s="261"/>
      <c r="GT10" s="261"/>
      <c r="GU10" s="261"/>
      <c r="GV10" s="261"/>
      <c r="GW10" s="261"/>
      <c r="GX10" s="261"/>
      <c r="GY10" s="261"/>
      <c r="GZ10" s="261"/>
      <c r="HA10" s="261"/>
      <c r="HB10" s="261"/>
      <c r="HC10" s="261"/>
      <c r="HD10" s="261"/>
      <c r="HE10" s="261"/>
      <c r="HF10" s="261"/>
      <c r="HG10" s="261"/>
      <c r="HH10" s="261"/>
      <c r="HI10" s="261"/>
      <c r="HJ10" s="261"/>
      <c r="HK10" s="261"/>
      <c r="HL10" s="261"/>
      <c r="HM10" s="261"/>
      <c r="HN10" s="261"/>
      <c r="HO10" s="261"/>
      <c r="HP10" s="261"/>
      <c r="HQ10" s="261"/>
      <c r="HR10" s="261"/>
      <c r="HS10" s="261"/>
      <c r="HT10" s="261"/>
      <c r="HU10" s="261"/>
      <c r="HV10" s="261"/>
      <c r="HW10" s="261"/>
      <c r="HX10" s="261"/>
      <c r="HY10" s="261"/>
      <c r="HZ10" s="261"/>
      <c r="IA10" s="261"/>
      <c r="IB10" s="261"/>
      <c r="IC10" s="261"/>
      <c r="ID10" s="261"/>
      <c r="IE10" s="261"/>
      <c r="IF10" s="261"/>
      <c r="IG10" s="261"/>
      <c r="IH10" s="261"/>
      <c r="II10" s="261"/>
      <c r="IJ10" s="261"/>
      <c r="IK10" s="261"/>
      <c r="IL10" s="261"/>
      <c r="IM10" s="261"/>
      <c r="IN10" s="261"/>
      <c r="IO10" s="261"/>
      <c r="IP10" s="261"/>
      <c r="IQ10" s="261"/>
      <c r="IR10" s="261"/>
      <c r="IS10" s="261"/>
      <c r="IT10" s="261"/>
      <c r="IU10" s="261"/>
      <c r="IV10" s="261"/>
      <c r="IW10" s="261"/>
      <c r="IX10" s="261"/>
      <c r="IY10" s="261"/>
      <c r="IZ10" s="261"/>
      <c r="JA10" s="261"/>
      <c r="JB10" s="261"/>
      <c r="JC10" s="261"/>
      <c r="JD10" s="261"/>
      <c r="JE10" s="261"/>
      <c r="JF10" s="261"/>
      <c r="JG10" s="261"/>
      <c r="JH10" s="261"/>
      <c r="JI10" s="261"/>
      <c r="JJ10" s="261"/>
      <c r="JK10" s="261"/>
      <c r="JL10" s="261"/>
      <c r="JM10" s="261"/>
      <c r="JN10" s="261"/>
      <c r="JO10" s="261"/>
    </row>
    <row r="11" spans="1:275" s="651" customFormat="1" ht="11.25" customHeight="1">
      <c r="A11" s="665" t="s">
        <v>559</v>
      </c>
      <c r="B11" s="644"/>
      <c r="C11" s="645"/>
      <c r="D11" s="645"/>
      <c r="E11" s="645"/>
      <c r="F11" s="645"/>
      <c r="G11" s="645"/>
      <c r="H11" s="645"/>
      <c r="I11" s="645"/>
      <c r="J11" s="645"/>
      <c r="K11" s="645"/>
      <c r="L11" s="645"/>
      <c r="M11" s="645"/>
      <c r="N11" s="645"/>
      <c r="O11" s="645"/>
      <c r="P11" s="645"/>
      <c r="Q11" s="645"/>
      <c r="R11" s="645"/>
      <c r="S11" s="645"/>
      <c r="T11" s="645"/>
      <c r="U11" s="645"/>
      <c r="V11" s="645"/>
      <c r="W11" s="645"/>
      <c r="X11" s="645"/>
      <c r="Y11" s="645"/>
      <c r="Z11" s="645"/>
      <c r="AA11" s="645"/>
      <c r="AB11" s="645"/>
      <c r="AC11" s="645"/>
      <c r="AD11" s="645"/>
      <c r="AE11" s="645"/>
      <c r="AF11" s="645"/>
      <c r="AG11" s="645"/>
      <c r="AH11" s="645"/>
      <c r="AI11" s="645"/>
      <c r="AJ11" s="645"/>
      <c r="AK11" s="645"/>
      <c r="AL11" s="645"/>
      <c r="AM11" s="645"/>
      <c r="AN11" s="645"/>
      <c r="AO11" s="645"/>
      <c r="AP11" s="645"/>
      <c r="AQ11" s="645"/>
      <c r="AR11" s="645"/>
      <c r="AS11" s="645"/>
      <c r="AT11" s="645"/>
      <c r="AU11" s="645"/>
      <c r="AV11" s="645"/>
      <c r="AW11" s="645"/>
      <c r="AX11" s="645"/>
      <c r="AY11" s="645"/>
      <c r="AZ11" s="645"/>
      <c r="BA11" s="645"/>
      <c r="BB11" s="645"/>
      <c r="BC11" s="645"/>
      <c r="BD11" s="645"/>
      <c r="BE11" s="645"/>
      <c r="BF11" s="645"/>
      <c r="BG11" s="645"/>
      <c r="BH11" s="645"/>
      <c r="BI11" s="645"/>
      <c r="BJ11" s="645"/>
      <c r="BK11" s="645"/>
      <c r="BL11" s="645"/>
      <c r="BM11" s="645"/>
      <c r="BN11" s="645"/>
      <c r="BO11" s="645"/>
      <c r="BP11" s="645"/>
      <c r="BQ11" s="645"/>
      <c r="BR11" s="645"/>
      <c r="BS11" s="645"/>
      <c r="BT11" s="645"/>
      <c r="BU11" s="645"/>
      <c r="BV11" s="645"/>
      <c r="BW11" s="645"/>
      <c r="BX11" s="645"/>
      <c r="BY11" s="644"/>
      <c r="BZ11" s="661"/>
      <c r="CA11" s="662">
        <f>$CE$11/4</f>
        <v>0.5</v>
      </c>
      <c r="CB11" s="662">
        <f>$CE$11/4</f>
        <v>0.5</v>
      </c>
      <c r="CC11" s="662">
        <f>$CE$11/4</f>
        <v>0.5</v>
      </c>
      <c r="CD11" s="662">
        <f>$CE$11/4</f>
        <v>0.5</v>
      </c>
      <c r="CE11" s="663">
        <v>2</v>
      </c>
      <c r="CF11" s="662">
        <f>$CJ$11/4</f>
        <v>24</v>
      </c>
      <c r="CG11" s="662">
        <f>$CJ$11/4</f>
        <v>24</v>
      </c>
      <c r="CH11" s="662">
        <f>$CJ$11/4</f>
        <v>24</v>
      </c>
      <c r="CI11" s="662">
        <f>$CJ$11/4</f>
        <v>24</v>
      </c>
      <c r="CJ11" s="663">
        <v>96</v>
      </c>
      <c r="CK11" s="666">
        <v>1</v>
      </c>
      <c r="CL11" s="666">
        <v>0</v>
      </c>
      <c r="CM11" s="666">
        <v>0</v>
      </c>
      <c r="CN11" s="666">
        <f>CO11-CM11-CL11-CK11</f>
        <v>2</v>
      </c>
      <c r="CO11" s="663">
        <v>3</v>
      </c>
      <c r="CP11" s="662">
        <f>$CT$11/4</f>
        <v>0.75</v>
      </c>
      <c r="CQ11" s="662">
        <f>$CT$11/4</f>
        <v>0.75</v>
      </c>
      <c r="CR11" s="662">
        <f>$CT$11/4</f>
        <v>0.75</v>
      </c>
      <c r="CS11" s="662">
        <f>$CT$11/4</f>
        <v>0.75</v>
      </c>
      <c r="CT11" s="663">
        <v>3</v>
      </c>
      <c r="CU11" s="662">
        <f>$CY$11/4</f>
        <v>2.5</v>
      </c>
      <c r="CV11" s="662">
        <f>$CY$11/4</f>
        <v>2.5</v>
      </c>
      <c r="CW11" s="662">
        <f>$CY$11/4</f>
        <v>2.5</v>
      </c>
      <c r="CX11" s="662">
        <f>$CY$11/4</f>
        <v>2.5</v>
      </c>
      <c r="CY11" s="663">
        <v>10</v>
      </c>
      <c r="CZ11" s="662">
        <f>CZ10*CZ21</f>
        <v>2.2524752475247527</v>
      </c>
      <c r="DA11" s="662">
        <f>DA10*DA21</f>
        <v>2.1080157582589942</v>
      </c>
      <c r="DB11" s="662">
        <f>DB10*DB21</f>
        <v>1.9833610640391741</v>
      </c>
      <c r="DC11" s="662">
        <f>DC10*DC21</f>
        <v>1.8660776585443826</v>
      </c>
      <c r="DD11" s="667">
        <f>SUM(CZ11:DC11)</f>
        <v>8.2099297283673032</v>
      </c>
      <c r="DE11" s="662">
        <f>DE10*DE21</f>
        <v>1.7557296504685773</v>
      </c>
      <c r="DF11" s="662">
        <f>DF10*DF21</f>
        <v>1.6431282761031298</v>
      </c>
      <c r="DG11" s="662">
        <f>DG10*DG21</f>
        <v>1.5459640817563383</v>
      </c>
      <c r="DH11" s="662">
        <f>DH10*DH21</f>
        <v>1.4545455621693115</v>
      </c>
      <c r="DI11" s="667">
        <f>SUM(DE11:DH11)</f>
        <v>6.3993675704973567</v>
      </c>
      <c r="DJ11" s="662">
        <f>DJ10*DJ21</f>
        <v>1.3685329545449925</v>
      </c>
      <c r="DK11" s="662">
        <f>DK10*DK21</f>
        <v>1.2807639227324659</v>
      </c>
      <c r="DL11" s="662">
        <f>DL10*DL21</f>
        <v>1.2050276600738554</v>
      </c>
      <c r="DM11" s="662">
        <f>DM10*DM21</f>
        <v>1.1337699600759239</v>
      </c>
      <c r="DN11" s="667">
        <f>SUM(DJ11:DM11)</f>
        <v>4.9880944974272374</v>
      </c>
      <c r="DO11" s="662">
        <f>DO10*DO21</f>
        <v>1.0667259889219294</v>
      </c>
      <c r="DP11" s="662">
        <f>DP10*DP21</f>
        <v>0.99831294344428756</v>
      </c>
      <c r="DQ11" s="662">
        <f>DQ10*DQ21</f>
        <v>0.93927904191239642</v>
      </c>
      <c r="DR11" s="662">
        <f>DR10*DR21</f>
        <v>0.88373603124089362</v>
      </c>
      <c r="DS11" s="664">
        <f>SUM(DO11:DR11)</f>
        <v>3.8880540055195074</v>
      </c>
      <c r="DT11" s="662">
        <f>DT10*DT21</f>
        <v>0.83147748226479212</v>
      </c>
      <c r="DU11" s="662">
        <f>DU10*DU21</f>
        <v>0.77815178532053286</v>
      </c>
      <c r="DV11" s="662">
        <f>DV10*DV21</f>
        <v>0.73213681959947452</v>
      </c>
      <c r="DW11" s="662">
        <f>DW10*DW21</f>
        <v>0.68884288737117894</v>
      </c>
      <c r="DX11" s="664">
        <f>SUM(DT11:DW11)</f>
        <v>3.0306089745559786</v>
      </c>
      <c r="DY11" s="662">
        <f>DY10*DY21</f>
        <v>0.64810908395707623</v>
      </c>
      <c r="DZ11" s="662">
        <f>DZ10*DZ21</f>
        <v>0.60654347414190835</v>
      </c>
      <c r="EA11" s="662">
        <f>EA10*EA21</f>
        <v>0.57067633652495242</v>
      </c>
      <c r="EB11" s="662">
        <f>EB10*EB21</f>
        <v>0.53693015414975176</v>
      </c>
      <c r="EC11" s="664">
        <f>SUM(DY11:EB11)</f>
        <v>2.362259048773689</v>
      </c>
      <c r="ED11" s="662">
        <f>ED10*ED21</f>
        <v>0.50517950716302518</v>
      </c>
      <c r="EE11" s="662">
        <f>EE10*EE21</f>
        <v>0.47278049471105982</v>
      </c>
      <c r="EF11" s="662">
        <f>EF10*EF21</f>
        <v>0.44482325209064583</v>
      </c>
      <c r="EG11" s="662">
        <f>EG10*EG21</f>
        <v>0.41851922364399846</v>
      </c>
      <c r="EH11" s="667">
        <f>SUM(ED11:EG11)</f>
        <v>1.8413024776087294</v>
      </c>
      <c r="EI11" s="662">
        <f>EI10*EI21</f>
        <v>0.39377064876069368</v>
      </c>
      <c r="EJ11" s="662">
        <f>EJ10*EJ21</f>
        <v>0.37048554777333487</v>
      </c>
      <c r="EK11" s="662">
        <f>EK10*EK21</f>
        <v>0.34857738010921369</v>
      </c>
      <c r="EL11" s="662">
        <f>EL10*EL21</f>
        <v>0.32796472265671583</v>
      </c>
      <c r="EM11" s="667">
        <f>SUM(EI11:EL11)</f>
        <v>1.4407982992999582</v>
      </c>
      <c r="EN11" s="662">
        <f>EN10*EN21</f>
        <v>0.30857096715109966</v>
      </c>
      <c r="EO11" s="662">
        <f>EO10*EO21</f>
        <v>0.2903240354549616</v>
      </c>
      <c r="EP11" s="662">
        <f>EP10*EP21</f>
        <v>0.27315611167521148</v>
      </c>
      <c r="EQ11" s="662">
        <f>EQ10*EQ21</f>
        <v>0.25700339012095208</v>
      </c>
      <c r="ER11" s="667">
        <f>SUM(EN11:EQ11)</f>
        <v>1.1290545044022249</v>
      </c>
      <c r="ES11" s="662">
        <f>ES10*ES21</f>
        <v>0.24180583816553242</v>
      </c>
      <c r="ET11" s="662">
        <f>ET10*ET21</f>
        <v>0.22750697313143692</v>
      </c>
      <c r="EU11" s="662">
        <f>EU10*EU21</f>
        <v>0.21405365236878837</v>
      </c>
      <c r="EV11" s="662">
        <f>EV10*EV21</f>
        <v>0.2013958757472776</v>
      </c>
      <c r="EW11" s="667">
        <f>SUM(ES11:EV11)</f>
        <v>0.88476233941303528</v>
      </c>
      <c r="EX11" s="662">
        <f>EX10*EX21</f>
        <v>0.18948659982746954</v>
      </c>
      <c r="EY11" s="662">
        <f>EY10*EY21</f>
        <v>0.17733413002170287</v>
      </c>
      <c r="EZ11" s="662">
        <f>EZ10*EZ21</f>
        <v>0.16684771327363732</v>
      </c>
      <c r="FA11" s="662">
        <f>FA10*FA21</f>
        <v>0.15698139676347098</v>
      </c>
      <c r="FB11" s="667">
        <f>SUM(EX11:FA11)</f>
        <v>0.6906498398862807</v>
      </c>
      <c r="FC11" s="662">
        <f>FC10*FC21</f>
        <v>0.14769851169248255</v>
      </c>
      <c r="FD11" s="662">
        <f>FD10*FD21</f>
        <v>0.13822606506388793</v>
      </c>
      <c r="FE11" s="662">
        <f>FE10*FE21</f>
        <v>0.13005225146394664</v>
      </c>
      <c r="FF11" s="662">
        <f>FF10*FF21</f>
        <v>0.12236178540584346</v>
      </c>
      <c r="FG11" s="667">
        <f>SUM(FC11:FF11)</f>
        <v>0.53833861362616053</v>
      </c>
      <c r="FH11" s="662">
        <f>FH10*FH21</f>
        <v>0.11512608477875039</v>
      </c>
      <c r="FI11" s="662">
        <f>FI10*FI21</f>
        <v>0.10774262721286568</v>
      </c>
      <c r="FJ11" s="662">
        <f>FJ10*FJ21</f>
        <v>0.10137141096505536</v>
      </c>
      <c r="FK11" s="662">
        <f>FK10*FK21</f>
        <v>9.5376948074077206E-2</v>
      </c>
      <c r="FL11" s="667">
        <f>SUM(FH11:FK11)</f>
        <v>0.41961707103074863</v>
      </c>
      <c r="FM11" s="261"/>
      <c r="FN11" s="261"/>
      <c r="FO11" s="261"/>
      <c r="FP11" s="261"/>
      <c r="FQ11" s="261"/>
      <c r="FR11" s="261"/>
      <c r="FS11" s="261"/>
      <c r="FT11" s="261"/>
      <c r="FU11" s="261"/>
      <c r="FV11" s="261"/>
      <c r="FW11" s="261"/>
      <c r="FX11" s="261"/>
      <c r="FY11" s="261"/>
      <c r="FZ11" s="261"/>
      <c r="GA11" s="261"/>
      <c r="GB11" s="261"/>
      <c r="GC11" s="261"/>
      <c r="GD11" s="261"/>
      <c r="GE11" s="261"/>
      <c r="GF11" s="261"/>
      <c r="GG11" s="261"/>
      <c r="GH11" s="261"/>
      <c r="GI11" s="261"/>
      <c r="GJ11" s="261"/>
      <c r="GK11" s="261"/>
      <c r="GL11" s="261"/>
      <c r="GM11" s="261"/>
      <c r="GN11" s="261"/>
      <c r="GO11" s="261"/>
      <c r="GP11" s="261"/>
      <c r="GQ11" s="261"/>
      <c r="GR11" s="261"/>
      <c r="GS11" s="261"/>
      <c r="GT11" s="261"/>
      <c r="GU11" s="261"/>
      <c r="GV11" s="261"/>
      <c r="GW11" s="261"/>
      <c r="GX11" s="261"/>
      <c r="GY11" s="261"/>
      <c r="GZ11" s="261"/>
      <c r="HA11" s="261"/>
      <c r="HB11" s="261"/>
      <c r="HC11" s="261"/>
      <c r="HD11" s="261"/>
      <c r="HE11" s="261"/>
      <c r="HF11" s="261"/>
      <c r="HG11" s="261"/>
      <c r="HH11" s="261"/>
      <c r="HI11" s="261"/>
      <c r="HJ11" s="261"/>
      <c r="HK11" s="261"/>
      <c r="HL11" s="261"/>
      <c r="HM11" s="261"/>
      <c r="HN11" s="261"/>
      <c r="HO11" s="261"/>
      <c r="HP11" s="261"/>
      <c r="HQ11" s="261"/>
      <c r="HR11" s="261"/>
      <c r="HS11" s="261"/>
      <c r="HT11" s="261"/>
      <c r="HU11" s="261"/>
      <c r="HV11" s="261"/>
      <c r="HW11" s="261"/>
      <c r="HX11" s="261"/>
      <c r="HY11" s="261"/>
      <c r="HZ11" s="261"/>
      <c r="IA11" s="261"/>
      <c r="IB11" s="261"/>
      <c r="IC11" s="261"/>
      <c r="ID11" s="261"/>
      <c r="IE11" s="261"/>
      <c r="IF11" s="261"/>
      <c r="IG11" s="261"/>
      <c r="IH11" s="261"/>
      <c r="II11" s="261"/>
      <c r="IJ11" s="261"/>
      <c r="IK11" s="261"/>
      <c r="IL11" s="261"/>
      <c r="IM11" s="261"/>
      <c r="IN11" s="261"/>
      <c r="IO11" s="261"/>
      <c r="IP11" s="261"/>
      <c r="IQ11" s="261"/>
      <c r="IR11" s="261"/>
      <c r="IS11" s="261"/>
      <c r="IT11" s="261"/>
      <c r="IU11" s="261"/>
      <c r="IV11" s="261"/>
      <c r="IW11" s="261"/>
      <c r="IX11" s="261"/>
      <c r="IY11" s="261"/>
      <c r="IZ11" s="261"/>
      <c r="JA11" s="261"/>
      <c r="JB11" s="261"/>
      <c r="JC11" s="261"/>
      <c r="JD11" s="261"/>
      <c r="JE11" s="261"/>
      <c r="JF11" s="261"/>
      <c r="JG11" s="261"/>
      <c r="JH11" s="261"/>
      <c r="JI11" s="261"/>
      <c r="JJ11" s="261"/>
      <c r="JK11" s="261"/>
      <c r="JL11" s="261"/>
      <c r="JM11" s="261"/>
      <c r="JN11" s="261"/>
      <c r="JO11" s="261"/>
    </row>
    <row r="12" spans="1:275" s="651" customFormat="1" ht="11.25" customHeight="1">
      <c r="A12" s="665" t="s">
        <v>560</v>
      </c>
      <c r="B12" s="644"/>
      <c r="C12" s="645"/>
      <c r="D12" s="645"/>
      <c r="E12" s="645"/>
      <c r="F12" s="645"/>
      <c r="G12" s="645"/>
      <c r="H12" s="645"/>
      <c r="I12" s="645"/>
      <c r="J12" s="645"/>
      <c r="K12" s="645"/>
      <c r="L12" s="645"/>
      <c r="M12" s="645"/>
      <c r="N12" s="645"/>
      <c r="O12" s="645"/>
      <c r="P12" s="645"/>
      <c r="Q12" s="645"/>
      <c r="R12" s="645"/>
      <c r="S12" s="645"/>
      <c r="T12" s="645"/>
      <c r="U12" s="645"/>
      <c r="V12" s="645"/>
      <c r="W12" s="645"/>
      <c r="X12" s="645"/>
      <c r="Y12" s="645"/>
      <c r="Z12" s="645"/>
      <c r="AA12" s="645"/>
      <c r="AB12" s="645"/>
      <c r="AC12" s="645"/>
      <c r="AD12" s="645"/>
      <c r="AE12" s="645"/>
      <c r="AF12" s="645"/>
      <c r="AG12" s="645"/>
      <c r="AH12" s="645"/>
      <c r="AI12" s="645"/>
      <c r="AJ12" s="645"/>
      <c r="AK12" s="645"/>
      <c r="AL12" s="645"/>
      <c r="AM12" s="645"/>
      <c r="AN12" s="645"/>
      <c r="AO12" s="645"/>
      <c r="AP12" s="645"/>
      <c r="AQ12" s="645"/>
      <c r="AR12" s="645"/>
      <c r="AS12" s="645"/>
      <c r="AT12" s="645"/>
      <c r="AU12" s="645"/>
      <c r="AV12" s="645"/>
      <c r="AW12" s="645"/>
      <c r="AX12" s="645"/>
      <c r="AY12" s="645"/>
      <c r="AZ12" s="645"/>
      <c r="BA12" s="645"/>
      <c r="BB12" s="645"/>
      <c r="BC12" s="645"/>
      <c r="BD12" s="645"/>
      <c r="BE12" s="645"/>
      <c r="BF12" s="645"/>
      <c r="BG12" s="645"/>
      <c r="BH12" s="645"/>
      <c r="BI12" s="645"/>
      <c r="BJ12" s="645"/>
      <c r="BK12" s="645"/>
      <c r="BL12" s="645"/>
      <c r="BM12" s="645"/>
      <c r="BN12" s="645"/>
      <c r="BO12" s="645"/>
      <c r="BP12" s="645"/>
      <c r="BQ12" s="645"/>
      <c r="BR12" s="645"/>
      <c r="BS12" s="645"/>
      <c r="BT12" s="645"/>
      <c r="BU12" s="645"/>
      <c r="BV12" s="645"/>
      <c r="BW12" s="645"/>
      <c r="BX12" s="645"/>
      <c r="BY12" s="644"/>
      <c r="BZ12" s="661"/>
      <c r="CA12" s="662">
        <f>$CE$12/4</f>
        <v>49.5</v>
      </c>
      <c r="CB12" s="662">
        <f>$CE$12/4</f>
        <v>49.5</v>
      </c>
      <c r="CC12" s="662">
        <f>$CE$12/4</f>
        <v>49.5</v>
      </c>
      <c r="CD12" s="662">
        <f>$CE$12/4</f>
        <v>49.5</v>
      </c>
      <c r="CE12" s="663">
        <v>198</v>
      </c>
      <c r="CF12" s="662">
        <f>$CJ$12/4</f>
        <v>34.5</v>
      </c>
      <c r="CG12" s="662">
        <f>$CJ$12/4</f>
        <v>34.5</v>
      </c>
      <c r="CH12" s="662">
        <f>$CJ$12/4</f>
        <v>34.5</v>
      </c>
      <c r="CI12" s="662">
        <f>$CJ$12/4</f>
        <v>34.5</v>
      </c>
      <c r="CJ12" s="663">
        <v>138</v>
      </c>
      <c r="CK12" s="666">
        <v>34</v>
      </c>
      <c r="CL12" s="666">
        <v>17</v>
      </c>
      <c r="CM12" s="666">
        <v>18</v>
      </c>
      <c r="CN12" s="666">
        <f>CO12-CM12-CL12-CK12</f>
        <v>7</v>
      </c>
      <c r="CO12" s="663">
        <v>76</v>
      </c>
      <c r="CP12" s="662">
        <f>$CT$12/4</f>
        <v>33.5</v>
      </c>
      <c r="CQ12" s="662">
        <f>$CT$12/4</f>
        <v>33.5</v>
      </c>
      <c r="CR12" s="662">
        <f>$CT$12/4</f>
        <v>33.5</v>
      </c>
      <c r="CS12" s="662">
        <f>$CT$12/4</f>
        <v>33.5</v>
      </c>
      <c r="CT12" s="663">
        <v>134</v>
      </c>
      <c r="CU12" s="662">
        <f>$CY$12/4</f>
        <v>30.25</v>
      </c>
      <c r="CV12" s="662">
        <f>$CY$12/4</f>
        <v>30.25</v>
      </c>
      <c r="CW12" s="662">
        <f>$CY$12/4</f>
        <v>30.25</v>
      </c>
      <c r="CX12" s="662">
        <f>$CY$12/4</f>
        <v>30.25</v>
      </c>
      <c r="CY12" s="663">
        <v>121</v>
      </c>
      <c r="CZ12" s="662">
        <f>CZ10*CZ22</f>
        <v>14.56</v>
      </c>
      <c r="DA12" s="662">
        <f>DA10*DA22</f>
        <v>11.922937128712872</v>
      </c>
      <c r="DB12" s="662">
        <f>DB10*DB22</f>
        <v>11.21789017820557</v>
      </c>
      <c r="DC12" s="662">
        <f>DC10*DC22</f>
        <v>10.554535236727029</v>
      </c>
      <c r="DD12" s="667">
        <f>SUM(CZ12:DC12)</f>
        <v>48.255362543645468</v>
      </c>
      <c r="DE12" s="662">
        <f>DE10*DE22</f>
        <v>11.349036460628884</v>
      </c>
      <c r="DF12" s="662">
        <f>DF10*DF22</f>
        <v>9.2935335296393031</v>
      </c>
      <c r="DG12" s="662">
        <f>DG10*DG22</f>
        <v>8.7439728464138504</v>
      </c>
      <c r="DH12" s="662">
        <f>DH10*DH22</f>
        <v>8.2269096996296263</v>
      </c>
      <c r="DI12" s="667">
        <f>SUM(DE12:DH12)</f>
        <v>37.613452536311662</v>
      </c>
      <c r="DJ12" s="662">
        <f>DJ10*DJ22</f>
        <v>8.846197018178831</v>
      </c>
      <c r="DK12" s="662">
        <f>DK10*DK22</f>
        <v>7.2440007469748275</v>
      </c>
      <c r="DL12" s="662">
        <f>DL10*DL22</f>
        <v>6.8156364453777272</v>
      </c>
      <c r="DM12" s="662">
        <f>DM10*DM22</f>
        <v>6.4126028941894253</v>
      </c>
      <c r="DN12" s="667">
        <f>SUM(DJ12:DM12)</f>
        <v>29.318437104720811</v>
      </c>
      <c r="DO12" s="662">
        <f>DO10*DO22</f>
        <v>6.895316792391351</v>
      </c>
      <c r="DP12" s="662">
        <f>DP10*DP22</f>
        <v>5.6464580081208906</v>
      </c>
      <c r="DQ12" s="662">
        <f>DQ10*DQ22</f>
        <v>5.3125622610565149</v>
      </c>
      <c r="DR12" s="662">
        <f>DR10*DR22</f>
        <v>4.9984109926984939</v>
      </c>
      <c r="DS12" s="664">
        <f>SUM(DO12:DR12)</f>
        <v>22.852748054267252</v>
      </c>
      <c r="DT12" s="662">
        <f>DT10*DT22</f>
        <v>5.3746704453596159</v>
      </c>
      <c r="DU12" s="662">
        <f>DU10*DU22</f>
        <v>4.4012264977729334</v>
      </c>
      <c r="DV12" s="662">
        <f>DV10*DV22</f>
        <v>4.1409658516546282</v>
      </c>
      <c r="DW12" s="662">
        <f>DW10*DW22</f>
        <v>3.8960953709713881</v>
      </c>
      <c r="DX12" s="664">
        <f>SUM(DT12:DW12)</f>
        <v>17.812958165758566</v>
      </c>
      <c r="DY12" s="662">
        <f>DY10*DY22</f>
        <v>4.1893771186985411</v>
      </c>
      <c r="DZ12" s="662">
        <f>DZ10*DZ22</f>
        <v>3.4306098897466333</v>
      </c>
      <c r="EA12" s="662">
        <f>EA10*EA22</f>
        <v>3.2277453593851311</v>
      </c>
      <c r="EB12" s="662">
        <f>EB10*EB22</f>
        <v>3.0368769518709957</v>
      </c>
      <c r="EC12" s="664">
        <f>SUM(DY12:EB12)</f>
        <v>13.884609319701301</v>
      </c>
      <c r="ED12" s="662">
        <f>ED10*ED22</f>
        <v>3.2654803343017944</v>
      </c>
      <c r="EE12" s="662">
        <f>EE10*EE22</f>
        <v>2.6740464780857542</v>
      </c>
      <c r="EF12" s="662">
        <f>EF10*EF22</f>
        <v>2.5159203138246928</v>
      </c>
      <c r="EG12" s="662">
        <f>EG10*EG22</f>
        <v>2.3671447289304552</v>
      </c>
      <c r="EH12" s="667">
        <f>SUM(ED12:EG12)</f>
        <v>10.822591855142697</v>
      </c>
      <c r="EI12" s="662">
        <f>EI10*EI22</f>
        <v>2.2271667893904836</v>
      </c>
      <c r="EJ12" s="662">
        <f>EJ10*EJ22</f>
        <v>2.095466258205982</v>
      </c>
      <c r="EK12" s="662">
        <f>EK10*EK22</f>
        <v>1.9715536618977128</v>
      </c>
      <c r="EL12" s="662">
        <f>EL10*EL22</f>
        <v>1.854968471346385</v>
      </c>
      <c r="EM12" s="667">
        <f>SUM(EI12:EL12)</f>
        <v>8.1491551808405625</v>
      </c>
      <c r="EN12" s="662">
        <f>EN10*EN22</f>
        <v>1.7452773902066199</v>
      </c>
      <c r="EO12" s="662">
        <f>EO10*EO22</f>
        <v>1.642072744533263</v>
      </c>
      <c r="EP12" s="662">
        <f>EP10*EP22</f>
        <v>1.5449709676349963</v>
      </c>
      <c r="EQ12" s="662">
        <f>EQ10*EQ22</f>
        <v>1.4536111745241052</v>
      </c>
      <c r="ER12" s="667">
        <f>SUM(EN12:EQ12)</f>
        <v>6.3859322768989841</v>
      </c>
      <c r="ES12" s="662">
        <f>ES10*ES22</f>
        <v>1.3676538206642515</v>
      </c>
      <c r="ET12" s="662">
        <f>ET10*ET22</f>
        <v>1.2867794400314072</v>
      </c>
      <c r="EU12" s="662">
        <f>EU10*EU22</f>
        <v>1.210687457797867</v>
      </c>
      <c r="EV12" s="662">
        <f>EV10*EV22</f>
        <v>1.1390950732266021</v>
      </c>
      <c r="EW12" s="667">
        <f>SUM(ES12:EV12)</f>
        <v>5.004215791720128</v>
      </c>
      <c r="EX12" s="662">
        <f>EX10*EX22</f>
        <v>1.2248413812847632</v>
      </c>
      <c r="EY12" s="662">
        <f>EY10*EY22</f>
        <v>1.0030018394027516</v>
      </c>
      <c r="EZ12" s="662">
        <f>EZ10*EZ22</f>
        <v>0.94369066627569265</v>
      </c>
      <c r="FA12" s="662">
        <f>FA10*FA22</f>
        <v>0.88788678009419186</v>
      </c>
      <c r="FB12" s="667">
        <f>SUM(EX12:FA12)</f>
        <v>4.0594206670573989</v>
      </c>
      <c r="FC12" s="662">
        <f>FC10*FC22</f>
        <v>0.95472317958020714</v>
      </c>
      <c r="FD12" s="662">
        <f>FD10*FD22</f>
        <v>0.78180662400135026</v>
      </c>
      <c r="FE12" s="662">
        <f>FE10*FE22</f>
        <v>0.73557553428008216</v>
      </c>
      <c r="FF12" s="662">
        <f>FF10*FF22</f>
        <v>0.69207825825545066</v>
      </c>
      <c r="FG12" s="667">
        <f>SUM(FC12:FF12)</f>
        <v>3.1641835961170903</v>
      </c>
      <c r="FH12" s="662">
        <f>FH10*FH22</f>
        <v>0.74417501200984248</v>
      </c>
      <c r="FI12" s="662">
        <f>FI10*FI22</f>
        <v>0.60939229951596829</v>
      </c>
      <c r="FJ12" s="662">
        <f>FJ10*FJ22</f>
        <v>0.57335670041835318</v>
      </c>
      <c r="FK12" s="662">
        <f>FK10*FK22</f>
        <v>0.53945201830698075</v>
      </c>
      <c r="FL12" s="667">
        <f>SUM(FH12:FK12)</f>
        <v>2.4663760302511446</v>
      </c>
      <c r="FM12" s="261"/>
      <c r="FN12" s="261"/>
      <c r="FO12" s="261"/>
      <c r="FP12" s="261"/>
      <c r="FQ12" s="261"/>
      <c r="FR12" s="261"/>
      <c r="FS12" s="261"/>
      <c r="FT12" s="261"/>
      <c r="FU12" s="261"/>
      <c r="FV12" s="261"/>
      <c r="FW12" s="261"/>
      <c r="FX12" s="261"/>
      <c r="FY12" s="261"/>
      <c r="FZ12" s="261"/>
      <c r="GA12" s="261"/>
      <c r="GB12" s="261"/>
      <c r="GC12" s="261"/>
      <c r="GD12" s="261"/>
      <c r="GE12" s="261"/>
      <c r="GF12" s="261"/>
      <c r="GG12" s="261"/>
      <c r="GH12" s="261"/>
      <c r="GI12" s="261"/>
      <c r="GJ12" s="261"/>
      <c r="GK12" s="261"/>
      <c r="GL12" s="261"/>
      <c r="GM12" s="261"/>
      <c r="GN12" s="261"/>
      <c r="GO12" s="261"/>
      <c r="GP12" s="261"/>
      <c r="GQ12" s="261"/>
      <c r="GR12" s="261"/>
      <c r="GS12" s="261"/>
      <c r="GT12" s="261"/>
      <c r="GU12" s="261"/>
      <c r="GV12" s="261"/>
      <c r="GW12" s="261"/>
      <c r="GX12" s="261"/>
      <c r="GY12" s="261"/>
      <c r="GZ12" s="261"/>
      <c r="HA12" s="261"/>
      <c r="HB12" s="261"/>
      <c r="HC12" s="261"/>
      <c r="HD12" s="261"/>
      <c r="HE12" s="261"/>
      <c r="HF12" s="261"/>
      <c r="HG12" s="261"/>
      <c r="HH12" s="261"/>
      <c r="HI12" s="261"/>
      <c r="HJ12" s="261"/>
      <c r="HK12" s="261"/>
      <c r="HL12" s="261"/>
      <c r="HM12" s="261"/>
      <c r="HN12" s="261"/>
      <c r="HO12" s="261"/>
      <c r="HP12" s="261"/>
      <c r="HQ12" s="261"/>
      <c r="HR12" s="261"/>
      <c r="HS12" s="261"/>
      <c r="HT12" s="261"/>
      <c r="HU12" s="261"/>
      <c r="HV12" s="261"/>
      <c r="HW12" s="261"/>
      <c r="HX12" s="261"/>
      <c r="HY12" s="261"/>
      <c r="HZ12" s="261"/>
      <c r="IA12" s="261"/>
      <c r="IB12" s="261"/>
      <c r="IC12" s="261"/>
      <c r="ID12" s="261"/>
      <c r="IE12" s="261"/>
      <c r="IF12" s="261"/>
      <c r="IG12" s="261"/>
      <c r="IH12" s="261"/>
      <c r="II12" s="261"/>
      <c r="IJ12" s="261"/>
      <c r="IK12" s="261"/>
      <c r="IL12" s="261"/>
      <c r="IM12" s="261"/>
      <c r="IN12" s="261"/>
      <c r="IO12" s="261"/>
      <c r="IP12" s="261"/>
      <c r="IQ12" s="261"/>
      <c r="IR12" s="261"/>
      <c r="IS12" s="261"/>
      <c r="IT12" s="261"/>
      <c r="IU12" s="261"/>
      <c r="IV12" s="261"/>
      <c r="IW12" s="261"/>
      <c r="IX12" s="261"/>
      <c r="IY12" s="261"/>
      <c r="IZ12" s="261"/>
      <c r="JA12" s="261"/>
      <c r="JB12" s="261"/>
      <c r="JC12" s="261"/>
      <c r="JD12" s="261"/>
      <c r="JE12" s="261"/>
      <c r="JF12" s="261"/>
      <c r="JG12" s="261"/>
      <c r="JH12" s="261"/>
      <c r="JI12" s="261"/>
      <c r="JJ12" s="261"/>
      <c r="JK12" s="261"/>
      <c r="JL12" s="261"/>
      <c r="JM12" s="261"/>
      <c r="JN12" s="261"/>
      <c r="JO12" s="261"/>
    </row>
    <row r="13" spans="1:275" s="651" customFormat="1" ht="11.25" customHeight="1">
      <c r="A13" s="665" t="s">
        <v>561</v>
      </c>
      <c r="B13" s="644"/>
      <c r="C13" s="645"/>
      <c r="D13" s="645"/>
      <c r="E13" s="645"/>
      <c r="F13" s="645"/>
      <c r="G13" s="645"/>
      <c r="H13" s="645"/>
      <c r="I13" s="645"/>
      <c r="J13" s="645"/>
      <c r="K13" s="645"/>
      <c r="L13" s="645"/>
      <c r="M13" s="645"/>
      <c r="N13" s="645"/>
      <c r="O13" s="645"/>
      <c r="P13" s="645"/>
      <c r="Q13" s="645"/>
      <c r="R13" s="645"/>
      <c r="S13" s="645"/>
      <c r="T13" s="645"/>
      <c r="U13" s="645"/>
      <c r="V13" s="645"/>
      <c r="W13" s="645"/>
      <c r="X13" s="645"/>
      <c r="Y13" s="645"/>
      <c r="Z13" s="645"/>
      <c r="AA13" s="645"/>
      <c r="AB13" s="645"/>
      <c r="AC13" s="645"/>
      <c r="AD13" s="645"/>
      <c r="AE13" s="645"/>
      <c r="AF13" s="645"/>
      <c r="AG13" s="645"/>
      <c r="AH13" s="645"/>
      <c r="AI13" s="645"/>
      <c r="AJ13" s="645"/>
      <c r="AK13" s="645"/>
      <c r="AL13" s="645"/>
      <c r="AM13" s="645"/>
      <c r="AN13" s="645"/>
      <c r="AO13" s="645"/>
      <c r="AP13" s="645"/>
      <c r="AQ13" s="645"/>
      <c r="AR13" s="645"/>
      <c r="AS13" s="645"/>
      <c r="AT13" s="645"/>
      <c r="AU13" s="645"/>
      <c r="AV13" s="645"/>
      <c r="AW13" s="645"/>
      <c r="AX13" s="645"/>
      <c r="AY13" s="645"/>
      <c r="AZ13" s="645"/>
      <c r="BA13" s="645"/>
      <c r="BB13" s="645"/>
      <c r="BC13" s="645"/>
      <c r="BD13" s="645"/>
      <c r="BE13" s="645"/>
      <c r="BF13" s="645"/>
      <c r="BG13" s="645"/>
      <c r="BH13" s="645"/>
      <c r="BI13" s="645"/>
      <c r="BJ13" s="645"/>
      <c r="BK13" s="645"/>
      <c r="BL13" s="645"/>
      <c r="BM13" s="645"/>
      <c r="BN13" s="645"/>
      <c r="BO13" s="645"/>
      <c r="BP13" s="645"/>
      <c r="BQ13" s="645"/>
      <c r="BR13" s="645"/>
      <c r="BS13" s="645"/>
      <c r="BT13" s="645"/>
      <c r="BU13" s="645"/>
      <c r="BV13" s="645"/>
      <c r="BW13" s="645"/>
      <c r="BX13" s="645"/>
      <c r="BY13" s="644"/>
      <c r="BZ13" s="661"/>
      <c r="CA13" s="668">
        <f>$CE$13/4</f>
        <v>101</v>
      </c>
      <c r="CB13" s="668">
        <f>$CE$13/4</f>
        <v>101</v>
      </c>
      <c r="CC13" s="668">
        <f>$CE$13/4</f>
        <v>101</v>
      </c>
      <c r="CD13" s="668">
        <f>$CE$13/4</f>
        <v>101</v>
      </c>
      <c r="CE13" s="669">
        <f>345+59</f>
        <v>404</v>
      </c>
      <c r="CF13" s="668">
        <f>$CJ$13/4</f>
        <v>10.75</v>
      </c>
      <c r="CG13" s="668">
        <f>$CJ$13/4</f>
        <v>10.75</v>
      </c>
      <c r="CH13" s="668">
        <f>$CJ$13/4</f>
        <v>10.75</v>
      </c>
      <c r="CI13" s="668">
        <f>$CJ$13/4</f>
        <v>10.75</v>
      </c>
      <c r="CJ13" s="669">
        <v>43</v>
      </c>
      <c r="CK13" s="670">
        <f>12+3</f>
        <v>15</v>
      </c>
      <c r="CL13" s="670">
        <f>8+3</f>
        <v>11</v>
      </c>
      <c r="CM13" s="670">
        <f>7+1</f>
        <v>8</v>
      </c>
      <c r="CN13" s="670">
        <f>CO13-CM13-CL13-CK13</f>
        <v>7</v>
      </c>
      <c r="CO13" s="669">
        <f>33+8</f>
        <v>41</v>
      </c>
      <c r="CP13" s="668">
        <f>$CT$13/4</f>
        <v>23.75</v>
      </c>
      <c r="CQ13" s="668">
        <f>$CT$13/4</f>
        <v>23.75</v>
      </c>
      <c r="CR13" s="668">
        <f>$CT$13/4</f>
        <v>23.75</v>
      </c>
      <c r="CS13" s="668">
        <f>$CT$13/4</f>
        <v>23.75</v>
      </c>
      <c r="CT13" s="669">
        <f>92+3</f>
        <v>95</v>
      </c>
      <c r="CU13" s="668">
        <f>$CY$13/4</f>
        <v>12.25</v>
      </c>
      <c r="CV13" s="668">
        <f>$CY$13/4</f>
        <v>12.25</v>
      </c>
      <c r="CW13" s="668">
        <f>$CY$13/4</f>
        <v>12.25</v>
      </c>
      <c r="CX13" s="668">
        <f>$CY$13/4</f>
        <v>12.25</v>
      </c>
      <c r="CY13" s="669">
        <v>49</v>
      </c>
      <c r="CZ13" s="668">
        <f>CZ10*CZ23</f>
        <v>11.037128712871286</v>
      </c>
      <c r="DA13" s="668">
        <f>DA10*DA23</f>
        <v>10.329277215469071</v>
      </c>
      <c r="DB13" s="668">
        <f>DB10*DB23</f>
        <v>9.7184692137919519</v>
      </c>
      <c r="DC13" s="668">
        <f>DC10*DC23</f>
        <v>9.1437805268674737</v>
      </c>
      <c r="DD13" s="671">
        <f>SUM(CZ13:DC13)</f>
        <v>40.228655668999778</v>
      </c>
      <c r="DE13" s="668">
        <f>DE10*DE23</f>
        <v>8.6030752872960292</v>
      </c>
      <c r="DF13" s="668">
        <f>DF10*DF23</f>
        <v>8.0513285529053356</v>
      </c>
      <c r="DG13" s="668">
        <f>DG10*DG23</f>
        <v>7.5752240006060569</v>
      </c>
      <c r="DH13" s="668">
        <f>DH10*DH23</f>
        <v>7.1272732546296256</v>
      </c>
      <c r="DI13" s="671">
        <f>SUM(DE13:DH13)</f>
        <v>31.356901095437046</v>
      </c>
      <c r="DJ13" s="668">
        <f>DJ10*DJ23</f>
        <v>6.7058114772704629</v>
      </c>
      <c r="DK13" s="668">
        <f>DK10*DK23</f>
        <v>6.2757432213890825</v>
      </c>
      <c r="DL13" s="668">
        <f>DL10*DL23</f>
        <v>5.9046355343618915</v>
      </c>
      <c r="DM13" s="668">
        <f>DM10*DM23</f>
        <v>5.5554728043720267</v>
      </c>
      <c r="DN13" s="671">
        <f>SUM(DJ13:DM13)</f>
        <v>24.441663037393464</v>
      </c>
      <c r="DO13" s="668">
        <f>DO10*DO23</f>
        <v>5.2269573457174534</v>
      </c>
      <c r="DP13" s="668">
        <f>DP10*DP23</f>
        <v>4.8917334228770084</v>
      </c>
      <c r="DQ13" s="668">
        <f>DQ10*DQ23</f>
        <v>4.6024673053707419</v>
      </c>
      <c r="DR13" s="668">
        <f>DR10*DR23</f>
        <v>4.3303065530803782</v>
      </c>
      <c r="DS13" s="901">
        <f>SUM(DO13:DR13)</f>
        <v>19.051464627045583</v>
      </c>
      <c r="DT13" s="668">
        <f>DT10*DT23</f>
        <v>4.0742396630974813</v>
      </c>
      <c r="DU13" s="668">
        <f>DU10*DU23</f>
        <v>3.8129437480706105</v>
      </c>
      <c r="DV13" s="668">
        <f>DV10*DV23</f>
        <v>3.5874704160374251</v>
      </c>
      <c r="DW13" s="668">
        <f>DW10*DW23</f>
        <v>3.3753301481187763</v>
      </c>
      <c r="DX13" s="901">
        <f>SUM(DT13:DW13)</f>
        <v>14.849983975324292</v>
      </c>
      <c r="DY13" s="668">
        <f>DY10*DY23</f>
        <v>3.1757345113896736</v>
      </c>
      <c r="DZ13" s="668">
        <f>DZ10*DZ23</f>
        <v>2.9720630232953504</v>
      </c>
      <c r="EA13" s="668">
        <f>EA10*EA23</f>
        <v>2.7963140489722669</v>
      </c>
      <c r="EB13" s="668">
        <f>EB10*EB23</f>
        <v>2.6309577553337831</v>
      </c>
      <c r="EC13" s="901">
        <f>SUM(DY13:EB13)</f>
        <v>11.575069338991074</v>
      </c>
      <c r="ED13" s="668">
        <f>ED10*ED23</f>
        <v>2.4753795850988229</v>
      </c>
      <c r="EE13" s="668">
        <f>EE10*EE23</f>
        <v>2.3166244240841927</v>
      </c>
      <c r="EF13" s="668">
        <f>EF10*EF23</f>
        <v>2.1796339352441647</v>
      </c>
      <c r="EG13" s="668">
        <f>EG10*EG23</f>
        <v>2.0507441958555921</v>
      </c>
      <c r="EH13" s="671">
        <f>SUM(ED13:EG13)</f>
        <v>9.0223821402827724</v>
      </c>
      <c r="EI13" s="668">
        <f>EI10*EI23</f>
        <v>1.9294761789273989</v>
      </c>
      <c r="EJ13" s="668">
        <f>EJ10*EJ23</f>
        <v>1.8153791840893407</v>
      </c>
      <c r="EK13" s="668">
        <f>EK10*EK23</f>
        <v>1.7080291625351469</v>
      </c>
      <c r="EL13" s="668">
        <f>EL10*EL23</f>
        <v>1.6070271410179076</v>
      </c>
      <c r="EM13" s="671">
        <f>SUM(EI13:EL13)</f>
        <v>7.0599116665697945</v>
      </c>
      <c r="EN13" s="668">
        <f>EN10*EN23</f>
        <v>1.5119977390403883</v>
      </c>
      <c r="EO13" s="668">
        <f>EO10*EO23</f>
        <v>1.4225877737293118</v>
      </c>
      <c r="EP13" s="668">
        <f>EP10*EP23</f>
        <v>1.3384649472085361</v>
      </c>
      <c r="EQ13" s="668">
        <f>EQ10*EQ23</f>
        <v>1.2593166115926653</v>
      </c>
      <c r="ER13" s="671">
        <f>SUM(EN13:EQ13)</f>
        <v>5.5323670715709019</v>
      </c>
      <c r="ES13" s="668">
        <f>ES10*ES23</f>
        <v>1.1848486070111088</v>
      </c>
      <c r="ET13" s="668">
        <f>ET10*ET23</f>
        <v>1.1147841683440409</v>
      </c>
      <c r="EU13" s="668">
        <f>EU10*EU23</f>
        <v>1.048862896607063</v>
      </c>
      <c r="EV13" s="668">
        <f>EV10*EV23</f>
        <v>0.98683979116166021</v>
      </c>
      <c r="EW13" s="671">
        <f>SUM(ES13:EV13)</f>
        <v>4.3353354631238732</v>
      </c>
      <c r="EX13" s="668">
        <f>EX10*EX23</f>
        <v>0.92848433915460071</v>
      </c>
      <c r="EY13" s="668">
        <f>EY10*EY23</f>
        <v>0.86893723710634396</v>
      </c>
      <c r="EZ13" s="668">
        <f>EZ10*EZ23</f>
        <v>0.81755379504082271</v>
      </c>
      <c r="FA13" s="668">
        <f>FA10*FA23</f>
        <v>0.76920884414100765</v>
      </c>
      <c r="FB13" s="671">
        <f>SUM(EX13:FA13)</f>
        <v>3.384184215442775</v>
      </c>
      <c r="FC13" s="668">
        <f>FC10*FC23</f>
        <v>0.72372270729316435</v>
      </c>
      <c r="FD13" s="668">
        <f>FD10*FD23</f>
        <v>0.67730771881305085</v>
      </c>
      <c r="FE13" s="668">
        <f>FE10*FE23</f>
        <v>0.63725603217333848</v>
      </c>
      <c r="FF13" s="668">
        <f>FF10*FF23</f>
        <v>0.59957274848863285</v>
      </c>
      <c r="FG13" s="671">
        <f>SUM(FC13:FF13)</f>
        <v>2.6378592067681863</v>
      </c>
      <c r="FH13" s="668">
        <f>FH10*FH23</f>
        <v>0.56411781541587691</v>
      </c>
      <c r="FI13" s="668">
        <f>FI10*FI23</f>
        <v>0.52793887334304179</v>
      </c>
      <c r="FJ13" s="668">
        <f>FJ10*FJ23</f>
        <v>0.49671991372877128</v>
      </c>
      <c r="FK13" s="668">
        <f>FK10*FK23</f>
        <v>0.46734704556297829</v>
      </c>
      <c r="FL13" s="671">
        <f>SUM(FH13:FK13)</f>
        <v>2.0561236480506682</v>
      </c>
      <c r="FM13" s="261"/>
      <c r="FN13" s="261"/>
      <c r="FO13" s="261"/>
      <c r="FP13" s="261"/>
      <c r="FQ13" s="261"/>
      <c r="FR13" s="261"/>
      <c r="FS13" s="261"/>
      <c r="FT13" s="261"/>
      <c r="FU13" s="261"/>
      <c r="FV13" s="261"/>
      <c r="FW13" s="261"/>
      <c r="FX13" s="261"/>
      <c r="FY13" s="261"/>
      <c r="FZ13" s="261"/>
      <c r="GA13" s="261"/>
      <c r="GB13" s="261"/>
      <c r="GC13" s="261"/>
      <c r="GD13" s="261"/>
      <c r="GE13" s="261"/>
      <c r="GF13" s="261"/>
      <c r="GG13" s="261"/>
      <c r="GH13" s="261"/>
      <c r="GI13" s="261"/>
      <c r="GJ13" s="261"/>
      <c r="GK13" s="261"/>
      <c r="GL13" s="261"/>
      <c r="GM13" s="261"/>
      <c r="GN13" s="261"/>
      <c r="GO13" s="261"/>
      <c r="GP13" s="261"/>
      <c r="GQ13" s="261"/>
      <c r="GR13" s="261"/>
      <c r="GS13" s="261"/>
      <c r="GT13" s="261"/>
      <c r="GU13" s="261"/>
      <c r="GV13" s="261"/>
      <c r="GW13" s="261"/>
      <c r="GX13" s="261"/>
      <c r="GY13" s="261"/>
      <c r="GZ13" s="261"/>
      <c r="HA13" s="261"/>
      <c r="HB13" s="261"/>
      <c r="HC13" s="261"/>
      <c r="HD13" s="261"/>
      <c r="HE13" s="261"/>
      <c r="HF13" s="261"/>
      <c r="HG13" s="261"/>
      <c r="HH13" s="261"/>
      <c r="HI13" s="261"/>
      <c r="HJ13" s="261"/>
      <c r="HK13" s="261"/>
      <c r="HL13" s="261"/>
      <c r="HM13" s="261"/>
      <c r="HN13" s="261"/>
      <c r="HO13" s="261"/>
      <c r="HP13" s="261"/>
      <c r="HQ13" s="261"/>
      <c r="HR13" s="261"/>
      <c r="HS13" s="261"/>
      <c r="HT13" s="261"/>
      <c r="HU13" s="261"/>
      <c r="HV13" s="261"/>
      <c r="HW13" s="261"/>
      <c r="HX13" s="261"/>
      <c r="HY13" s="261"/>
      <c r="HZ13" s="261"/>
      <c r="IA13" s="261"/>
      <c r="IB13" s="261"/>
      <c r="IC13" s="261"/>
      <c r="ID13" s="261"/>
      <c r="IE13" s="261"/>
      <c r="IF13" s="261"/>
      <c r="IG13" s="261"/>
      <c r="IH13" s="261"/>
      <c r="II13" s="261"/>
      <c r="IJ13" s="261"/>
      <c r="IK13" s="261"/>
      <c r="IL13" s="261"/>
      <c r="IM13" s="261"/>
      <c r="IN13" s="261"/>
      <c r="IO13" s="261"/>
      <c r="IP13" s="261"/>
      <c r="IQ13" s="261"/>
      <c r="IR13" s="261"/>
      <c r="IS13" s="261"/>
      <c r="IT13" s="261"/>
      <c r="IU13" s="261"/>
      <c r="IV13" s="261"/>
      <c r="IW13" s="261"/>
      <c r="IX13" s="261"/>
      <c r="IY13" s="261"/>
      <c r="IZ13" s="261"/>
      <c r="JA13" s="261"/>
      <c r="JB13" s="261"/>
      <c r="JC13" s="261"/>
      <c r="JD13" s="261"/>
      <c r="JE13" s="261"/>
      <c r="JF13" s="261"/>
      <c r="JG13" s="261"/>
      <c r="JH13" s="261"/>
      <c r="JI13" s="261"/>
      <c r="JJ13" s="261"/>
      <c r="JK13" s="261"/>
      <c r="JL13" s="261"/>
      <c r="JM13" s="261"/>
      <c r="JN13" s="261"/>
      <c r="JO13" s="261"/>
    </row>
    <row r="14" spans="1:275" s="651" customFormat="1" ht="11.25" customHeight="1">
      <c r="A14" s="652" t="s">
        <v>562</v>
      </c>
      <c r="B14" s="644"/>
      <c r="C14" s="645"/>
      <c r="D14" s="645"/>
      <c r="E14" s="645"/>
      <c r="F14" s="645"/>
      <c r="G14" s="645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5"/>
      <c r="AB14" s="645"/>
      <c r="AC14" s="645"/>
      <c r="AD14" s="645"/>
      <c r="AE14" s="645"/>
      <c r="AF14" s="645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645"/>
      <c r="AV14" s="645"/>
      <c r="AW14" s="645"/>
      <c r="AX14" s="645"/>
      <c r="AY14" s="645"/>
      <c r="AZ14" s="645"/>
      <c r="BA14" s="645"/>
      <c r="BB14" s="645"/>
      <c r="BC14" s="645"/>
      <c r="BD14" s="645"/>
      <c r="BE14" s="645"/>
      <c r="BF14" s="645"/>
      <c r="BG14" s="645"/>
      <c r="BH14" s="645"/>
      <c r="BI14" s="645"/>
      <c r="BJ14" s="645"/>
      <c r="BK14" s="645"/>
      <c r="BL14" s="645"/>
      <c r="BM14" s="645"/>
      <c r="BN14" s="645"/>
      <c r="BO14" s="645"/>
      <c r="BP14" s="645"/>
      <c r="BQ14" s="645"/>
      <c r="BR14" s="645"/>
      <c r="BS14" s="645"/>
      <c r="BT14" s="645"/>
      <c r="BU14" s="645"/>
      <c r="BV14" s="645"/>
      <c r="BW14" s="645"/>
      <c r="BX14" s="645"/>
      <c r="BY14" s="644"/>
      <c r="BZ14" s="661"/>
      <c r="CA14" s="662">
        <f t="shared" ref="CA14:CY14" si="1">CA10+CA11-CA12-CA13</f>
        <v>1399</v>
      </c>
      <c r="CB14" s="662">
        <f t="shared" si="1"/>
        <v>1249</v>
      </c>
      <c r="CC14" s="662">
        <f t="shared" si="1"/>
        <v>1099</v>
      </c>
      <c r="CD14" s="662">
        <f t="shared" si="1"/>
        <v>949</v>
      </c>
      <c r="CE14" s="664">
        <f t="shared" si="1"/>
        <v>949</v>
      </c>
      <c r="CF14" s="662">
        <f t="shared" si="1"/>
        <v>927.75</v>
      </c>
      <c r="CG14" s="662">
        <f t="shared" si="1"/>
        <v>906.5</v>
      </c>
      <c r="CH14" s="662">
        <f t="shared" si="1"/>
        <v>885.25</v>
      </c>
      <c r="CI14" s="662">
        <f t="shared" si="1"/>
        <v>864</v>
      </c>
      <c r="CJ14" s="664">
        <f t="shared" si="1"/>
        <v>864</v>
      </c>
      <c r="CK14" s="662">
        <f t="shared" si="1"/>
        <v>816</v>
      </c>
      <c r="CL14" s="662">
        <f t="shared" si="1"/>
        <v>788</v>
      </c>
      <c r="CM14" s="662">
        <f t="shared" si="1"/>
        <v>762</v>
      </c>
      <c r="CN14" s="662">
        <f t="shared" si="1"/>
        <v>750</v>
      </c>
      <c r="CO14" s="664">
        <f t="shared" si="1"/>
        <v>750</v>
      </c>
      <c r="CP14" s="662">
        <f t="shared" si="1"/>
        <v>693.5</v>
      </c>
      <c r="CQ14" s="662">
        <f t="shared" si="1"/>
        <v>637</v>
      </c>
      <c r="CR14" s="662">
        <f t="shared" si="1"/>
        <v>580.5</v>
      </c>
      <c r="CS14" s="662">
        <f t="shared" si="1"/>
        <v>524</v>
      </c>
      <c r="CT14" s="664">
        <f t="shared" si="1"/>
        <v>524</v>
      </c>
      <c r="CU14" s="662">
        <f t="shared" si="1"/>
        <v>484</v>
      </c>
      <c r="CV14" s="662">
        <f t="shared" si="1"/>
        <v>444</v>
      </c>
      <c r="CW14" s="662">
        <f t="shared" si="1"/>
        <v>404</v>
      </c>
      <c r="CX14" s="662">
        <f t="shared" si="1"/>
        <v>364</v>
      </c>
      <c r="CY14" s="664">
        <f t="shared" si="1"/>
        <v>364</v>
      </c>
      <c r="CZ14" s="662">
        <f t="shared" ref="CZ14:DI14" si="2">CZ10+CZ11-CZ12-CZ13</f>
        <v>340.65534653465346</v>
      </c>
      <c r="DA14" s="662">
        <f t="shared" si="2"/>
        <v>320.51114794873052</v>
      </c>
      <c r="DB14" s="662">
        <f t="shared" si="2"/>
        <v>301.55814962077221</v>
      </c>
      <c r="DC14" s="662">
        <f t="shared" si="2"/>
        <v>283.72591151572209</v>
      </c>
      <c r="DD14" s="664">
        <f t="shared" si="2"/>
        <v>283.72591151572203</v>
      </c>
      <c r="DE14" s="662">
        <f t="shared" si="2"/>
        <v>265.52952941826578</v>
      </c>
      <c r="DF14" s="662">
        <f>DF10+DF11-DF12-DF13</f>
        <v>249.82779561182426</v>
      </c>
      <c r="DG14" s="662">
        <f t="shared" si="2"/>
        <v>235.05456284656071</v>
      </c>
      <c r="DH14" s="662">
        <f t="shared" si="2"/>
        <v>221.15492545447077</v>
      </c>
      <c r="DI14" s="664">
        <f t="shared" si="2"/>
        <v>221.15492545447069</v>
      </c>
      <c r="DJ14" s="662">
        <f t="shared" ref="DJ14:DT14" si="3">DJ10+DJ11-DJ12-DJ13</f>
        <v>206.97144991356649</v>
      </c>
      <c r="DK14" s="662">
        <f>DK10+DK11-DK12-DK13</f>
        <v>194.73246986793504</v>
      </c>
      <c r="DL14" s="662">
        <f t="shared" si="3"/>
        <v>183.21722554826928</v>
      </c>
      <c r="DM14" s="662">
        <f t="shared" si="3"/>
        <v>172.38291980978377</v>
      </c>
      <c r="DN14" s="664">
        <f t="shared" si="3"/>
        <v>172.38291980978366</v>
      </c>
      <c r="DO14" s="662">
        <f t="shared" si="3"/>
        <v>161.32737166059687</v>
      </c>
      <c r="DP14" s="662">
        <f>DP10+DP11-DP12-DP13</f>
        <v>151.78749317304326</v>
      </c>
      <c r="DQ14" s="662">
        <f>DQ10+DQ11-DQ12-DQ13</f>
        <v>142.81174264852839</v>
      </c>
      <c r="DR14" s="662">
        <f t="shared" si="3"/>
        <v>134.36676113399039</v>
      </c>
      <c r="DS14" s="664">
        <f t="shared" si="3"/>
        <v>134.36676113399031</v>
      </c>
      <c r="DT14" s="662">
        <f t="shared" si="3"/>
        <v>125.7493285077981</v>
      </c>
      <c r="DU14" s="662">
        <f>DU10+DU11-DU12-DU13</f>
        <v>118.31331004727508</v>
      </c>
      <c r="DV14" s="662">
        <f t="shared" ref="DV14:EA14" si="4">DV10+DV11-DV12-DV13</f>
        <v>111.31701059918251</v>
      </c>
      <c r="DW14" s="662">
        <f t="shared" si="4"/>
        <v>104.73442796746352</v>
      </c>
      <c r="DX14" s="664">
        <f t="shared" si="4"/>
        <v>104.73442796746342</v>
      </c>
      <c r="DY14" s="662">
        <f t="shared" si="4"/>
        <v>98.017425421332376</v>
      </c>
      <c r="DZ14" s="662">
        <f t="shared" si="4"/>
        <v>92.221295982432309</v>
      </c>
      <c r="EA14" s="662">
        <f t="shared" si="4"/>
        <v>86.767912910599875</v>
      </c>
      <c r="EB14" s="662">
        <f>EB10+EB11-EB12-EB13</f>
        <v>81.637008357544858</v>
      </c>
      <c r="EC14" s="664">
        <f>EC10+EC11-EC12-EC13</f>
        <v>81.637008357544744</v>
      </c>
      <c r="ED14" s="662">
        <f t="shared" ref="ED14:EN14" si="5">ED10+ED11-ED12-ED13</f>
        <v>76.401327945307258</v>
      </c>
      <c r="EE14" s="662">
        <f t="shared" si="5"/>
        <v>71.883437537848366</v>
      </c>
      <c r="EF14" s="662">
        <f>EF10+EF11-EF12-EF13</f>
        <v>67.632706540870146</v>
      </c>
      <c r="EG14" s="662">
        <f t="shared" si="5"/>
        <v>63.633336839728095</v>
      </c>
      <c r="EH14" s="664">
        <f t="shared" si="5"/>
        <v>63.633336839728017</v>
      </c>
      <c r="EI14" s="662">
        <f>EI10+EI11-EI12-EI13</f>
        <v>59.870464520170913</v>
      </c>
      <c r="EJ14" s="662">
        <f>EJ10+EJ11-EJ12-EJ13</f>
        <v>56.330104625648929</v>
      </c>
      <c r="EK14" s="662">
        <f t="shared" si="5"/>
        <v>52.999099181325278</v>
      </c>
      <c r="EL14" s="662">
        <f t="shared" si="5"/>
        <v>49.865068291617703</v>
      </c>
      <c r="EM14" s="664">
        <f t="shared" si="5"/>
        <v>49.865068291617611</v>
      </c>
      <c r="EN14" s="662">
        <f t="shared" si="5"/>
        <v>46.916364129521796</v>
      </c>
      <c r="EO14" s="662">
        <f>EO10+EO11-EO12-EO13</f>
        <v>44.142027646714176</v>
      </c>
      <c r="EP14" s="662">
        <f t="shared" ref="EP14:EQ14" si="6">EP10+EP11-EP12-EP13</f>
        <v>41.531747843545858</v>
      </c>
      <c r="EQ14" s="662">
        <f t="shared" si="6"/>
        <v>39.075823447550036</v>
      </c>
      <c r="ER14" s="664">
        <f t="shared" ref="ER14:EW14" si="7">ER10+ER11-ER12-ER13</f>
        <v>39.075823447549951</v>
      </c>
      <c r="ES14" s="662">
        <f t="shared" si="7"/>
        <v>36.765126858040205</v>
      </c>
      <c r="ET14" s="662">
        <f>ET10+ET11-ET12-ET13</f>
        <v>34.591070222796198</v>
      </c>
      <c r="EU14" s="662">
        <f t="shared" ref="EU14" si="8">EU10+EU11-EU12-EU13</f>
        <v>32.545573520760058</v>
      </c>
      <c r="EV14" s="662">
        <f t="shared" si="7"/>
        <v>30.621034532119076</v>
      </c>
      <c r="EW14" s="664">
        <f t="shared" si="7"/>
        <v>30.621034532118987</v>
      </c>
      <c r="EX14" s="662">
        <f t="shared" ref="EX14:FG14" si="9">EX10+EX11-EX12-EX13</f>
        <v>28.657195411507182</v>
      </c>
      <c r="EY14" s="662">
        <f t="shared" si="9"/>
        <v>26.962590465019787</v>
      </c>
      <c r="EZ14" s="662">
        <f t="shared" si="9"/>
        <v>25.368193716976908</v>
      </c>
      <c r="FA14" s="662">
        <f t="shared" si="9"/>
        <v>23.868079489505178</v>
      </c>
      <c r="FB14" s="664">
        <f t="shared" si="9"/>
        <v>23.868079489505092</v>
      </c>
      <c r="FC14" s="662">
        <f t="shared" si="9"/>
        <v>22.33733211432429</v>
      </c>
      <c r="FD14" s="662">
        <f t="shared" si="9"/>
        <v>21.016443836573774</v>
      </c>
      <c r="FE14" s="662">
        <f t="shared" si="9"/>
        <v>19.773664521584301</v>
      </c>
      <c r="FF14" s="662">
        <f t="shared" si="9"/>
        <v>18.604375300246062</v>
      </c>
      <c r="FG14" s="664">
        <f t="shared" si="9"/>
        <v>18.604375300245973</v>
      </c>
      <c r="FH14" s="662">
        <f t="shared" ref="FH14:FL14" si="10">FH10+FH11-FH12-FH13</f>
        <v>17.411208557599092</v>
      </c>
      <c r="FI14" s="662">
        <f t="shared" si="10"/>
        <v>16.381620011952947</v>
      </c>
      <c r="FJ14" s="662">
        <f t="shared" si="10"/>
        <v>15.412914808770877</v>
      </c>
      <c r="FK14" s="662">
        <f t="shared" si="10"/>
        <v>14.501492692974995</v>
      </c>
      <c r="FL14" s="664">
        <f t="shared" si="10"/>
        <v>14.50149269297491</v>
      </c>
      <c r="FM14" s="261"/>
      <c r="FN14" s="261"/>
      <c r="FO14" s="261"/>
      <c r="FP14" s="261"/>
      <c r="FQ14" s="261"/>
      <c r="FR14" s="261"/>
      <c r="FS14" s="261"/>
      <c r="FT14" s="261"/>
      <c r="FU14" s="261"/>
      <c r="FV14" s="261"/>
      <c r="FW14" s="261"/>
      <c r="FX14" s="261"/>
      <c r="FY14" s="261"/>
      <c r="FZ14" s="261"/>
      <c r="GA14" s="261"/>
      <c r="GB14" s="261"/>
      <c r="GC14" s="261"/>
      <c r="GD14" s="261"/>
      <c r="GE14" s="261"/>
      <c r="GF14" s="261"/>
      <c r="GG14" s="261"/>
      <c r="GH14" s="261"/>
      <c r="GI14" s="261"/>
      <c r="GJ14" s="261"/>
      <c r="GK14" s="261"/>
      <c r="GL14" s="261"/>
      <c r="GM14" s="261"/>
      <c r="GN14" s="261"/>
      <c r="GO14" s="261"/>
      <c r="GP14" s="261"/>
      <c r="GQ14" s="261"/>
      <c r="GR14" s="261"/>
      <c r="GS14" s="261"/>
      <c r="GT14" s="261"/>
      <c r="GU14" s="261"/>
      <c r="GV14" s="261"/>
      <c r="GW14" s="261"/>
      <c r="GX14" s="261"/>
      <c r="GY14" s="261"/>
      <c r="GZ14" s="261"/>
      <c r="HA14" s="261"/>
      <c r="HB14" s="261"/>
      <c r="HC14" s="261"/>
      <c r="HD14" s="261"/>
      <c r="HE14" s="261"/>
      <c r="HF14" s="261"/>
      <c r="HG14" s="261"/>
      <c r="HH14" s="261"/>
      <c r="HI14" s="261"/>
      <c r="HJ14" s="261"/>
      <c r="HK14" s="261"/>
      <c r="HL14" s="261"/>
      <c r="HM14" s="261"/>
      <c r="HN14" s="261"/>
      <c r="HO14" s="261"/>
      <c r="HP14" s="261"/>
      <c r="HQ14" s="261"/>
      <c r="HR14" s="261"/>
      <c r="HS14" s="261"/>
      <c r="HT14" s="261"/>
      <c r="HU14" s="261"/>
      <c r="HV14" s="261"/>
      <c r="HW14" s="261"/>
      <c r="HX14" s="261"/>
      <c r="HY14" s="261"/>
      <c r="HZ14" s="261"/>
      <c r="IA14" s="261"/>
      <c r="IB14" s="261"/>
      <c r="IC14" s="261"/>
      <c r="ID14" s="261"/>
      <c r="IE14" s="261"/>
      <c r="IF14" s="261"/>
      <c r="IG14" s="261"/>
      <c r="IH14" s="261"/>
      <c r="II14" s="261"/>
      <c r="IJ14" s="261"/>
      <c r="IK14" s="261"/>
      <c r="IL14" s="261"/>
      <c r="IM14" s="261"/>
      <c r="IN14" s="261"/>
      <c r="IO14" s="261"/>
      <c r="IP14" s="261"/>
      <c r="IQ14" s="261"/>
      <c r="IR14" s="261"/>
      <c r="IS14" s="261"/>
      <c r="IT14" s="261"/>
      <c r="IU14" s="261"/>
      <c r="IV14" s="261"/>
      <c r="IW14" s="261"/>
      <c r="IX14" s="261"/>
      <c r="IY14" s="261"/>
      <c r="IZ14" s="261"/>
      <c r="JA14" s="261"/>
      <c r="JB14" s="261"/>
      <c r="JC14" s="261"/>
      <c r="JD14" s="261"/>
      <c r="JE14" s="261"/>
      <c r="JF14" s="261"/>
      <c r="JG14" s="261"/>
      <c r="JH14" s="261"/>
      <c r="JI14" s="261"/>
      <c r="JJ14" s="261"/>
      <c r="JK14" s="261"/>
      <c r="JL14" s="261"/>
      <c r="JM14" s="261"/>
      <c r="JN14" s="261"/>
      <c r="JO14" s="261"/>
    </row>
    <row r="15" spans="1:275" s="651" customFormat="1" ht="11.25" customHeight="1">
      <c r="A15" s="672"/>
      <c r="B15" s="644"/>
      <c r="C15" s="645"/>
      <c r="D15" s="645"/>
      <c r="E15" s="645"/>
      <c r="F15" s="645"/>
      <c r="G15" s="645"/>
      <c r="H15" s="645"/>
      <c r="I15" s="645"/>
      <c r="J15" s="645"/>
      <c r="K15" s="645"/>
      <c r="L15" s="645"/>
      <c r="M15" s="645"/>
      <c r="N15" s="645"/>
      <c r="O15" s="645"/>
      <c r="P15" s="645"/>
      <c r="Q15" s="645"/>
      <c r="R15" s="645"/>
      <c r="S15" s="645"/>
      <c r="T15" s="645"/>
      <c r="U15" s="645"/>
      <c r="V15" s="645"/>
      <c r="W15" s="645"/>
      <c r="X15" s="645"/>
      <c r="Y15" s="645"/>
      <c r="Z15" s="645"/>
      <c r="AA15" s="645"/>
      <c r="AB15" s="645"/>
      <c r="AC15" s="645"/>
      <c r="AD15" s="645"/>
      <c r="AE15" s="645"/>
      <c r="AF15" s="645"/>
      <c r="AG15" s="645"/>
      <c r="AH15" s="645"/>
      <c r="AI15" s="645"/>
      <c r="AJ15" s="645"/>
      <c r="AK15" s="645"/>
      <c r="AL15" s="645"/>
      <c r="AM15" s="645"/>
      <c r="AN15" s="645"/>
      <c r="AO15" s="645"/>
      <c r="AP15" s="645"/>
      <c r="AQ15" s="645"/>
      <c r="AR15" s="645"/>
      <c r="AS15" s="645"/>
      <c r="AT15" s="645"/>
      <c r="AU15" s="645"/>
      <c r="AV15" s="645"/>
      <c r="AW15" s="645"/>
      <c r="AX15" s="645"/>
      <c r="AY15" s="645"/>
      <c r="AZ15" s="645"/>
      <c r="BA15" s="645"/>
      <c r="BB15" s="645"/>
      <c r="BC15" s="645"/>
      <c r="BD15" s="645"/>
      <c r="BE15" s="645"/>
      <c r="BF15" s="645"/>
      <c r="BG15" s="645"/>
      <c r="BH15" s="645"/>
      <c r="BI15" s="645"/>
      <c r="BJ15" s="645"/>
      <c r="BK15" s="645"/>
      <c r="BL15" s="645"/>
      <c r="BM15" s="645"/>
      <c r="BN15" s="645"/>
      <c r="BO15" s="645"/>
      <c r="BP15" s="645"/>
      <c r="BQ15" s="645"/>
      <c r="BR15" s="645"/>
      <c r="BS15" s="645"/>
      <c r="BT15" s="645"/>
      <c r="BU15" s="645"/>
      <c r="BV15" s="645"/>
      <c r="BW15" s="645"/>
      <c r="BX15" s="645"/>
      <c r="BY15" s="644"/>
      <c r="BZ15" s="661"/>
      <c r="CA15" s="644"/>
      <c r="CB15" s="644"/>
      <c r="CC15" s="644"/>
      <c r="CD15" s="644"/>
      <c r="CE15" s="661"/>
      <c r="CF15" s="644"/>
      <c r="CG15" s="644"/>
      <c r="CH15" s="644"/>
      <c r="CI15" s="644"/>
      <c r="CJ15" s="661"/>
      <c r="CK15" s="645"/>
      <c r="CL15" s="645"/>
      <c r="CM15" s="645"/>
      <c r="CN15" s="645"/>
      <c r="CO15" s="664"/>
      <c r="CP15" s="645"/>
      <c r="CQ15" s="645"/>
      <c r="CR15" s="644"/>
      <c r="CS15" s="644"/>
      <c r="CT15" s="664"/>
      <c r="CU15" s="644"/>
      <c r="CV15" s="644"/>
      <c r="CW15" s="644"/>
      <c r="CX15" s="644"/>
      <c r="CY15" s="664"/>
      <c r="CZ15" s="644"/>
      <c r="DA15" s="644"/>
      <c r="DB15" s="644"/>
      <c r="DC15" s="644"/>
      <c r="DD15" s="661"/>
      <c r="DE15" s="644"/>
      <c r="DF15" s="644"/>
      <c r="DG15" s="644"/>
      <c r="DH15" s="644"/>
      <c r="DI15" s="661"/>
      <c r="DJ15" s="644"/>
      <c r="DK15" s="644"/>
      <c r="DL15" s="644"/>
      <c r="DM15" s="644"/>
      <c r="DN15" s="661"/>
      <c r="DO15" s="644"/>
      <c r="DP15" s="644"/>
      <c r="DQ15" s="644"/>
      <c r="DR15" s="644"/>
      <c r="DS15" s="661"/>
      <c r="DT15" s="644"/>
      <c r="DU15" s="644"/>
      <c r="DV15" s="644"/>
      <c r="DW15" s="644"/>
      <c r="DX15" s="661"/>
      <c r="DY15" s="644"/>
      <c r="DZ15" s="644"/>
      <c r="EA15" s="644"/>
      <c r="EB15" s="644"/>
      <c r="EC15" s="661"/>
      <c r="ED15" s="644"/>
      <c r="EE15" s="644"/>
      <c r="EF15" s="644"/>
      <c r="EG15" s="644"/>
      <c r="EH15" s="661"/>
      <c r="EI15" s="644"/>
      <c r="EJ15" s="644"/>
      <c r="EK15" s="644"/>
      <c r="EL15" s="644"/>
      <c r="EM15" s="661"/>
      <c r="EN15" s="644"/>
      <c r="EO15" s="644"/>
      <c r="EP15" s="644"/>
      <c r="EQ15" s="644"/>
      <c r="ER15" s="661"/>
      <c r="ES15" s="644"/>
      <c r="ET15" s="644"/>
      <c r="EU15" s="644"/>
      <c r="EV15" s="644"/>
      <c r="EW15" s="661"/>
      <c r="EX15" s="644"/>
      <c r="EY15" s="644"/>
      <c r="EZ15" s="644"/>
      <c r="FA15" s="644"/>
      <c r="FB15" s="661"/>
      <c r="FC15" s="644"/>
      <c r="FD15" s="644"/>
      <c r="FE15" s="644"/>
      <c r="FF15" s="644"/>
      <c r="FG15" s="661"/>
      <c r="FH15" s="644"/>
      <c r="FI15" s="644"/>
      <c r="FJ15" s="644"/>
      <c r="FK15" s="644"/>
      <c r="FL15" s="661"/>
      <c r="FM15" s="261"/>
      <c r="FN15" s="261"/>
      <c r="FO15" s="261"/>
      <c r="FP15" s="261"/>
      <c r="FQ15" s="261"/>
      <c r="FR15" s="261"/>
      <c r="FS15" s="261"/>
      <c r="FT15" s="261"/>
      <c r="FU15" s="261"/>
      <c r="FV15" s="261"/>
      <c r="FW15" s="261"/>
      <c r="FX15" s="261"/>
      <c r="FY15" s="261"/>
      <c r="FZ15" s="261"/>
      <c r="GA15" s="261"/>
      <c r="GB15" s="261"/>
      <c r="GC15" s="261"/>
      <c r="GD15" s="261"/>
      <c r="GE15" s="261"/>
      <c r="GF15" s="261"/>
      <c r="GG15" s="261"/>
      <c r="GH15" s="261"/>
      <c r="GI15" s="261"/>
      <c r="GJ15" s="261"/>
      <c r="GK15" s="261"/>
      <c r="GL15" s="261"/>
      <c r="GM15" s="261"/>
      <c r="GN15" s="261"/>
      <c r="GO15" s="261"/>
      <c r="GP15" s="261"/>
      <c r="GQ15" s="261"/>
      <c r="GR15" s="261"/>
      <c r="GS15" s="261"/>
      <c r="GT15" s="261"/>
      <c r="GU15" s="261"/>
      <c r="GV15" s="261"/>
      <c r="GW15" s="261"/>
      <c r="GX15" s="261"/>
      <c r="GY15" s="261"/>
      <c r="GZ15" s="261"/>
      <c r="HA15" s="261"/>
      <c r="HB15" s="261"/>
      <c r="HC15" s="261"/>
      <c r="HD15" s="261"/>
      <c r="HE15" s="261"/>
      <c r="HF15" s="261"/>
      <c r="HG15" s="261"/>
      <c r="HH15" s="261"/>
      <c r="HI15" s="261"/>
      <c r="HJ15" s="261"/>
      <c r="HK15" s="261"/>
      <c r="HL15" s="261"/>
      <c r="HM15" s="261"/>
      <c r="HN15" s="261"/>
      <c r="HO15" s="261"/>
      <c r="HP15" s="261"/>
      <c r="HQ15" s="261"/>
      <c r="HR15" s="261"/>
      <c r="HS15" s="261"/>
      <c r="HT15" s="261"/>
      <c r="HU15" s="261"/>
      <c r="HV15" s="261"/>
      <c r="HW15" s="261"/>
      <c r="HX15" s="261"/>
      <c r="HY15" s="261"/>
      <c r="HZ15" s="261"/>
      <c r="IA15" s="261"/>
      <c r="IB15" s="261"/>
      <c r="IC15" s="261"/>
      <c r="ID15" s="261"/>
      <c r="IE15" s="261"/>
      <c r="IF15" s="261"/>
      <c r="IG15" s="261"/>
      <c r="IH15" s="261"/>
      <c r="II15" s="261"/>
      <c r="IJ15" s="261"/>
      <c r="IK15" s="261"/>
      <c r="IL15" s="261"/>
      <c r="IM15" s="261"/>
      <c r="IN15" s="261"/>
      <c r="IO15" s="261"/>
      <c r="IP15" s="261"/>
      <c r="IQ15" s="261"/>
      <c r="IR15" s="261"/>
      <c r="IS15" s="261"/>
      <c r="IT15" s="261"/>
      <c r="IU15" s="261"/>
      <c r="IV15" s="261"/>
      <c r="IW15" s="261"/>
      <c r="IX15" s="261"/>
      <c r="IY15" s="261"/>
      <c r="IZ15" s="261"/>
      <c r="JA15" s="261"/>
      <c r="JB15" s="261"/>
      <c r="JC15" s="261"/>
      <c r="JD15" s="261"/>
      <c r="JE15" s="261"/>
      <c r="JF15" s="261"/>
      <c r="JG15" s="261"/>
      <c r="JH15" s="261"/>
      <c r="JI15" s="261"/>
      <c r="JJ15" s="261"/>
      <c r="JK15" s="261"/>
      <c r="JL15" s="261"/>
      <c r="JM15" s="261"/>
      <c r="JN15" s="261"/>
      <c r="JO15" s="261"/>
    </row>
    <row r="16" spans="1:275" s="651" customFormat="1" ht="11.25" customHeight="1">
      <c r="A16" s="652" t="s">
        <v>563</v>
      </c>
      <c r="B16" s="644"/>
      <c r="C16" s="645"/>
      <c r="D16" s="645"/>
      <c r="E16" s="645"/>
      <c r="F16" s="645"/>
      <c r="G16" s="645"/>
      <c r="H16" s="645"/>
      <c r="I16" s="645"/>
      <c r="J16" s="645"/>
      <c r="K16" s="645"/>
      <c r="L16" s="645"/>
      <c r="M16" s="645"/>
      <c r="N16" s="645"/>
      <c r="O16" s="645"/>
      <c r="P16" s="645"/>
      <c r="Q16" s="645"/>
      <c r="R16" s="645"/>
      <c r="S16" s="645"/>
      <c r="T16" s="645"/>
      <c r="U16" s="645"/>
      <c r="V16" s="645"/>
      <c r="W16" s="645"/>
      <c r="X16" s="645"/>
      <c r="Y16" s="645"/>
      <c r="Z16" s="645"/>
      <c r="AA16" s="645"/>
      <c r="AB16" s="645"/>
      <c r="AC16" s="645"/>
      <c r="AD16" s="645"/>
      <c r="AE16" s="645"/>
      <c r="AF16" s="645"/>
      <c r="AG16" s="645"/>
      <c r="AH16" s="645"/>
      <c r="AI16" s="645"/>
      <c r="AJ16" s="645"/>
      <c r="AK16" s="645"/>
      <c r="AL16" s="645"/>
      <c r="AM16" s="645"/>
      <c r="AN16" s="645"/>
      <c r="AO16" s="645"/>
      <c r="AP16" s="645"/>
      <c r="AQ16" s="645"/>
      <c r="AR16" s="645"/>
      <c r="AS16" s="645"/>
      <c r="AT16" s="645"/>
      <c r="AU16" s="645"/>
      <c r="AV16" s="645"/>
      <c r="AW16" s="645"/>
      <c r="AX16" s="645"/>
      <c r="AY16" s="645"/>
      <c r="AZ16" s="645"/>
      <c r="BA16" s="645"/>
      <c r="BB16" s="645"/>
      <c r="BC16" s="645"/>
      <c r="BD16" s="645"/>
      <c r="BE16" s="645"/>
      <c r="BF16" s="645"/>
      <c r="BG16" s="645"/>
      <c r="BH16" s="645"/>
      <c r="BI16" s="645"/>
      <c r="BJ16" s="645"/>
      <c r="BK16" s="645"/>
      <c r="BL16" s="645"/>
      <c r="BM16" s="645"/>
      <c r="BN16" s="645"/>
      <c r="BO16" s="645"/>
      <c r="BP16" s="645"/>
      <c r="BQ16" s="645"/>
      <c r="BR16" s="645"/>
      <c r="BS16" s="645"/>
      <c r="BT16" s="645"/>
      <c r="BU16" s="645"/>
      <c r="BV16" s="645"/>
      <c r="BW16" s="645"/>
      <c r="BX16" s="645"/>
      <c r="BY16" s="644"/>
      <c r="BZ16" s="661"/>
      <c r="CA16" s="673">
        <f>$CE16</f>
        <v>12.21</v>
      </c>
      <c r="CB16" s="673">
        <f>$CE16</f>
        <v>12.21</v>
      </c>
      <c r="CC16" s="673">
        <f>$CE16</f>
        <v>12.21</v>
      </c>
      <c r="CD16" s="673">
        <f>$CE16</f>
        <v>12.21</v>
      </c>
      <c r="CE16" s="674">
        <v>12.21</v>
      </c>
      <c r="CF16" s="673">
        <f>$CJ$16</f>
        <v>26.68</v>
      </c>
      <c r="CG16" s="673">
        <f>$CJ$16</f>
        <v>26.68</v>
      </c>
      <c r="CH16" s="673">
        <f>$CJ$16</f>
        <v>26.68</v>
      </c>
      <c r="CI16" s="673">
        <f>$CJ$16</f>
        <v>26.68</v>
      </c>
      <c r="CJ16" s="674">
        <v>26.68</v>
      </c>
      <c r="CK16" s="675">
        <v>21.08</v>
      </c>
      <c r="CL16" s="675">
        <v>21.94</v>
      </c>
      <c r="CM16" s="675">
        <v>20.71</v>
      </c>
      <c r="CN16" s="673">
        <f>$CO$16</f>
        <v>20.59</v>
      </c>
      <c r="CO16" s="674">
        <v>20.59</v>
      </c>
      <c r="CP16" s="673">
        <f>$CT$16</f>
        <v>23.66</v>
      </c>
      <c r="CQ16" s="673">
        <f>$CT$16</f>
        <v>23.66</v>
      </c>
      <c r="CR16" s="673">
        <f>$CT$16</f>
        <v>23.66</v>
      </c>
      <c r="CS16" s="673">
        <f>$CT$16</f>
        <v>23.66</v>
      </c>
      <c r="CT16" s="676">
        <v>23.66</v>
      </c>
      <c r="CU16" s="673">
        <f>$CY$16</f>
        <v>27.86</v>
      </c>
      <c r="CV16" s="673">
        <f>$CY$16</f>
        <v>27.86</v>
      </c>
      <c r="CW16" s="673">
        <f>$CY$16</f>
        <v>27.86</v>
      </c>
      <c r="CX16" s="673">
        <f>$CY$16</f>
        <v>27.86</v>
      </c>
      <c r="CY16" s="676">
        <v>27.86</v>
      </c>
      <c r="CZ16" s="673">
        <f>CU16*(1+CZ17)</f>
        <v>30.646000000000001</v>
      </c>
      <c r="DA16" s="673">
        <f>CV16*(1+DA17)</f>
        <v>30.646000000000001</v>
      </c>
      <c r="DB16" s="673">
        <f>CW16*(1+DB17)</f>
        <v>30.646000000000001</v>
      </c>
      <c r="DC16" s="673">
        <f>CX16*(1+DC17)</f>
        <v>30.646000000000001</v>
      </c>
      <c r="DD16" s="650">
        <f>DC16</f>
        <v>30.646000000000001</v>
      </c>
      <c r="DE16" s="673">
        <f>CZ16*(1+DE17)</f>
        <v>33.710600000000007</v>
      </c>
      <c r="DF16" s="673">
        <f>DA16*(1+DF17)</f>
        <v>33.710600000000007</v>
      </c>
      <c r="DG16" s="673">
        <f>DB16*(1+DG17)</f>
        <v>33.710600000000007</v>
      </c>
      <c r="DH16" s="673">
        <f>DC16*(1+DH17)</f>
        <v>33.710600000000007</v>
      </c>
      <c r="DI16" s="650">
        <f>DH16</f>
        <v>33.710600000000007</v>
      </c>
      <c r="DJ16" s="673">
        <f>DE16*(1+DJ17)</f>
        <v>33.710600000000007</v>
      </c>
      <c r="DK16" s="673">
        <f>DF16*(1+DK17)</f>
        <v>33.710600000000007</v>
      </c>
      <c r="DL16" s="673">
        <f>DG16*(1+DL17)</f>
        <v>33.710600000000007</v>
      </c>
      <c r="DM16" s="673">
        <f>DH16*(1+DM17)</f>
        <v>33.710600000000007</v>
      </c>
      <c r="DN16" s="650">
        <f>DM16</f>
        <v>33.710600000000007</v>
      </c>
      <c r="DO16" s="673">
        <f>DJ16*(1+DO17)</f>
        <v>33.710600000000007</v>
      </c>
      <c r="DP16" s="673">
        <f>DK16*(1+DP17)</f>
        <v>33.710600000000007</v>
      </c>
      <c r="DQ16" s="673">
        <f>DL16*(1+DQ17)</f>
        <v>33.710600000000007</v>
      </c>
      <c r="DR16" s="673">
        <f>DM16*(1+DR17)</f>
        <v>33.710600000000007</v>
      </c>
      <c r="DS16" s="649">
        <f>DR16</f>
        <v>33.710600000000007</v>
      </c>
      <c r="DT16" s="673">
        <f>DO16*(1+DT17)</f>
        <v>33.710600000000007</v>
      </c>
      <c r="DU16" s="673">
        <f>DP16*(1+DU17)</f>
        <v>33.710600000000007</v>
      </c>
      <c r="DV16" s="673">
        <f>DQ16*(1+DV17)</f>
        <v>33.710600000000007</v>
      </c>
      <c r="DW16" s="673">
        <f>DR16*(1+DW17)</f>
        <v>33.710600000000007</v>
      </c>
      <c r="DX16" s="649">
        <f>DW16</f>
        <v>33.710600000000007</v>
      </c>
      <c r="DY16" s="673">
        <f>DT16*(1+DY17)</f>
        <v>33.710600000000007</v>
      </c>
      <c r="DZ16" s="673">
        <f>DU16*(1+DZ17)</f>
        <v>33.710600000000007</v>
      </c>
      <c r="EA16" s="673">
        <f>DV16*(1+EA17)</f>
        <v>33.710600000000007</v>
      </c>
      <c r="EB16" s="673">
        <f>DW16*(1+EB17)</f>
        <v>33.710600000000007</v>
      </c>
      <c r="EC16" s="649">
        <f>EB16</f>
        <v>33.710600000000007</v>
      </c>
      <c r="ED16" s="673">
        <f>DY16*(1+ED17)</f>
        <v>33.710600000000007</v>
      </c>
      <c r="EE16" s="673">
        <f>DZ16*(1+EE17)</f>
        <v>33.710600000000007</v>
      </c>
      <c r="EF16" s="673">
        <f>EA16*(1+EF17)</f>
        <v>33.710600000000007</v>
      </c>
      <c r="EG16" s="673">
        <f>EB16*(1+EG17)</f>
        <v>33.710600000000007</v>
      </c>
      <c r="EH16" s="650">
        <f>EG16</f>
        <v>33.710600000000007</v>
      </c>
      <c r="EI16" s="673">
        <f>ED16*(1+EI17)</f>
        <v>33.710600000000007</v>
      </c>
      <c r="EJ16" s="673">
        <f>EE16*(1+EJ17)</f>
        <v>33.710600000000007</v>
      </c>
      <c r="EK16" s="673">
        <f>EF16*(1+EK17)</f>
        <v>33.710600000000007</v>
      </c>
      <c r="EL16" s="673">
        <f>EG16*(1+EL17)</f>
        <v>33.710600000000007</v>
      </c>
      <c r="EM16" s="650">
        <f>EL16</f>
        <v>33.710600000000007</v>
      </c>
      <c r="EN16" s="673">
        <f>EI16*(1+EN17)</f>
        <v>33.710600000000007</v>
      </c>
      <c r="EO16" s="673">
        <f>EJ16*(1+EO17)</f>
        <v>33.710600000000007</v>
      </c>
      <c r="EP16" s="673">
        <f>EK16*(1+EP17)</f>
        <v>33.710600000000007</v>
      </c>
      <c r="EQ16" s="673">
        <f>EL16*(1+EQ17)</f>
        <v>33.710600000000007</v>
      </c>
      <c r="ER16" s="650">
        <f>EQ16</f>
        <v>33.710600000000007</v>
      </c>
      <c r="ES16" s="673">
        <f>EN16*(1+ES17)</f>
        <v>33.710600000000007</v>
      </c>
      <c r="ET16" s="673">
        <f>EO16*(1+ET17)</f>
        <v>33.710600000000007</v>
      </c>
      <c r="EU16" s="673">
        <f>EP16*(1+EU17)</f>
        <v>33.710600000000007</v>
      </c>
      <c r="EV16" s="673">
        <f>EQ16*(1+EV17)</f>
        <v>33.710600000000007</v>
      </c>
      <c r="EW16" s="650">
        <f>EV16</f>
        <v>33.710600000000007</v>
      </c>
      <c r="EX16" s="673">
        <f>ES16*(1+EX17)</f>
        <v>33.710600000000007</v>
      </c>
      <c r="EY16" s="673">
        <f>ET16*(1+EY17)</f>
        <v>33.710600000000007</v>
      </c>
      <c r="EZ16" s="673">
        <f>EU16*(1+EZ17)</f>
        <v>33.710600000000007</v>
      </c>
      <c r="FA16" s="673">
        <f>EV16*(1+FA17)</f>
        <v>33.710600000000007</v>
      </c>
      <c r="FB16" s="650">
        <f>FA16</f>
        <v>33.710600000000007</v>
      </c>
      <c r="FC16" s="673">
        <f>EX16*(1+FC17)</f>
        <v>33.710600000000007</v>
      </c>
      <c r="FD16" s="673">
        <f>EY16*(1+FD17)</f>
        <v>33.710600000000007</v>
      </c>
      <c r="FE16" s="673">
        <f>EZ16*(1+FE17)</f>
        <v>33.710600000000007</v>
      </c>
      <c r="FF16" s="673">
        <f>FA16*(1+FF17)</f>
        <v>33.710600000000007</v>
      </c>
      <c r="FG16" s="650">
        <f>FF16</f>
        <v>33.710600000000007</v>
      </c>
      <c r="FH16" s="673">
        <f>FC16*(1+FH17)</f>
        <v>33.710600000000007</v>
      </c>
      <c r="FI16" s="673">
        <f>FD16*(1+FI17)</f>
        <v>33.710600000000007</v>
      </c>
      <c r="FJ16" s="673">
        <f>FE16*(1+FJ17)</f>
        <v>33.710600000000007</v>
      </c>
      <c r="FK16" s="673">
        <f>FF16*(1+FK17)</f>
        <v>33.710600000000007</v>
      </c>
      <c r="FL16" s="650">
        <f>FK16</f>
        <v>33.710600000000007</v>
      </c>
      <c r="FM16" s="261"/>
      <c r="FN16" s="261"/>
      <c r="FO16" s="261"/>
      <c r="FP16" s="261"/>
      <c r="FQ16" s="261"/>
      <c r="FR16" s="261"/>
      <c r="FS16" s="261"/>
      <c r="FT16" s="261"/>
      <c r="FU16" s="261"/>
      <c r="FV16" s="261"/>
      <c r="FW16" s="261"/>
      <c r="FX16" s="261"/>
      <c r="FY16" s="261"/>
      <c r="FZ16" s="261"/>
      <c r="GA16" s="261"/>
      <c r="GB16" s="261"/>
      <c r="GC16" s="261"/>
      <c r="GD16" s="261"/>
      <c r="GE16" s="261"/>
      <c r="GF16" s="261"/>
      <c r="GG16" s="261"/>
      <c r="GH16" s="261"/>
      <c r="GI16" s="261"/>
      <c r="GJ16" s="261"/>
      <c r="GK16" s="261"/>
      <c r="GL16" s="261"/>
      <c r="GM16" s="261"/>
      <c r="GN16" s="261"/>
      <c r="GO16" s="261"/>
      <c r="GP16" s="261"/>
      <c r="GQ16" s="261"/>
      <c r="GR16" s="261"/>
      <c r="GS16" s="261"/>
      <c r="GT16" s="261"/>
      <c r="GU16" s="261"/>
      <c r="GV16" s="261"/>
      <c r="GW16" s="261"/>
      <c r="GX16" s="261"/>
      <c r="GY16" s="261"/>
      <c r="GZ16" s="261"/>
      <c r="HA16" s="261"/>
      <c r="HB16" s="261"/>
      <c r="HC16" s="261"/>
      <c r="HD16" s="261"/>
      <c r="HE16" s="261"/>
      <c r="HF16" s="261"/>
      <c r="HG16" s="261"/>
      <c r="HH16" s="261"/>
      <c r="HI16" s="261"/>
      <c r="HJ16" s="261"/>
      <c r="HK16" s="261"/>
      <c r="HL16" s="261"/>
      <c r="HM16" s="261"/>
      <c r="HN16" s="261"/>
      <c r="HO16" s="261"/>
      <c r="HP16" s="261"/>
      <c r="HQ16" s="261"/>
      <c r="HR16" s="261"/>
      <c r="HS16" s="261"/>
      <c r="HT16" s="261"/>
      <c r="HU16" s="261"/>
      <c r="HV16" s="261"/>
      <c r="HW16" s="261"/>
      <c r="HX16" s="261"/>
      <c r="HY16" s="261"/>
      <c r="HZ16" s="261"/>
      <c r="IA16" s="261"/>
      <c r="IB16" s="261"/>
      <c r="IC16" s="261"/>
      <c r="ID16" s="261"/>
      <c r="IE16" s="261"/>
      <c r="IF16" s="261"/>
      <c r="IG16" s="261"/>
      <c r="IH16" s="261"/>
      <c r="II16" s="261"/>
      <c r="IJ16" s="261"/>
      <c r="IK16" s="261"/>
      <c r="IL16" s="261"/>
      <c r="IM16" s="261"/>
      <c r="IN16" s="261"/>
      <c r="IO16" s="261"/>
      <c r="IP16" s="261"/>
      <c r="IQ16" s="261"/>
      <c r="IR16" s="261"/>
      <c r="IS16" s="261"/>
      <c r="IT16" s="261"/>
      <c r="IU16" s="261"/>
      <c r="IV16" s="261"/>
      <c r="IW16" s="261"/>
      <c r="IX16" s="261"/>
      <c r="IY16" s="261"/>
      <c r="IZ16" s="261"/>
      <c r="JA16" s="261"/>
      <c r="JB16" s="261"/>
      <c r="JC16" s="261"/>
      <c r="JD16" s="261"/>
      <c r="JE16" s="261"/>
      <c r="JF16" s="261"/>
      <c r="JG16" s="261"/>
      <c r="JH16" s="261"/>
      <c r="JI16" s="261"/>
      <c r="JJ16" s="261"/>
      <c r="JK16" s="261"/>
      <c r="JL16" s="261"/>
      <c r="JM16" s="261"/>
      <c r="JN16" s="261"/>
      <c r="JO16" s="261"/>
    </row>
    <row r="17" spans="1:275" s="651" customFormat="1" ht="11.25" customHeight="1">
      <c r="A17" s="652" t="s">
        <v>564</v>
      </c>
      <c r="B17" s="644"/>
      <c r="C17" s="645"/>
      <c r="D17" s="645"/>
      <c r="E17" s="645"/>
      <c r="F17" s="645"/>
      <c r="G17" s="645"/>
      <c r="H17" s="645"/>
      <c r="I17" s="645"/>
      <c r="J17" s="645"/>
      <c r="K17" s="645"/>
      <c r="L17" s="645"/>
      <c r="M17" s="645"/>
      <c r="N17" s="645"/>
      <c r="O17" s="645"/>
      <c r="P17" s="645"/>
      <c r="Q17" s="645"/>
      <c r="R17" s="645"/>
      <c r="S17" s="645"/>
      <c r="T17" s="645"/>
      <c r="U17" s="645"/>
      <c r="V17" s="645"/>
      <c r="W17" s="645"/>
      <c r="X17" s="645"/>
      <c r="Y17" s="645"/>
      <c r="Z17" s="645"/>
      <c r="AA17" s="645"/>
      <c r="AB17" s="645"/>
      <c r="AC17" s="645"/>
      <c r="AD17" s="645"/>
      <c r="AE17" s="645"/>
      <c r="AF17" s="645"/>
      <c r="AG17" s="645"/>
      <c r="AH17" s="645"/>
      <c r="AI17" s="645"/>
      <c r="AJ17" s="645"/>
      <c r="AK17" s="645"/>
      <c r="AL17" s="645"/>
      <c r="AM17" s="645"/>
      <c r="AN17" s="645"/>
      <c r="AO17" s="645"/>
      <c r="AP17" s="645"/>
      <c r="AQ17" s="645"/>
      <c r="AR17" s="645"/>
      <c r="AS17" s="645"/>
      <c r="AT17" s="645"/>
      <c r="AU17" s="645"/>
      <c r="AV17" s="645"/>
      <c r="AW17" s="645"/>
      <c r="AX17" s="645"/>
      <c r="AY17" s="645"/>
      <c r="AZ17" s="645"/>
      <c r="BA17" s="645"/>
      <c r="BB17" s="645"/>
      <c r="BC17" s="645"/>
      <c r="BD17" s="645"/>
      <c r="BE17" s="645"/>
      <c r="BF17" s="645"/>
      <c r="BG17" s="645"/>
      <c r="BH17" s="645"/>
      <c r="BI17" s="645"/>
      <c r="BJ17" s="645"/>
      <c r="BK17" s="645"/>
      <c r="BL17" s="645"/>
      <c r="BM17" s="645"/>
      <c r="BN17" s="645"/>
      <c r="BO17" s="645"/>
      <c r="BP17" s="645"/>
      <c r="BQ17" s="645"/>
      <c r="BR17" s="645"/>
      <c r="BS17" s="645"/>
      <c r="BT17" s="645"/>
      <c r="BU17" s="645"/>
      <c r="BV17" s="645"/>
      <c r="BW17" s="645"/>
      <c r="BX17" s="645"/>
      <c r="BY17" s="645"/>
      <c r="BZ17" s="646"/>
      <c r="CA17" s="677" t="s">
        <v>699</v>
      </c>
      <c r="CB17" s="355"/>
      <c r="CC17" s="355"/>
      <c r="CD17" s="355"/>
      <c r="CE17" s="661"/>
      <c r="CF17" s="355">
        <f>CF16/CA16-1</f>
        <v>1.1850941850941847</v>
      </c>
      <c r="CG17" s="355">
        <f>CG16/CB16-1</f>
        <v>1.1850941850941847</v>
      </c>
      <c r="CH17" s="355">
        <f>CH16/CC16-1</f>
        <v>1.1850941850941847</v>
      </c>
      <c r="CI17" s="355">
        <f>CI16/CD16-1</f>
        <v>1.1850941850941847</v>
      </c>
      <c r="CJ17" s="678"/>
      <c r="CK17" s="355">
        <f t="shared" ref="CK17:CT17" si="11">CK16/CF16-1</f>
        <v>-0.20989505247376317</v>
      </c>
      <c r="CL17" s="355">
        <f t="shared" si="11"/>
        <v>-0.17766116941529231</v>
      </c>
      <c r="CM17" s="355">
        <f t="shared" si="11"/>
        <v>-0.22376311844077956</v>
      </c>
      <c r="CN17" s="355">
        <f t="shared" si="11"/>
        <v>-0.22826086956521741</v>
      </c>
      <c r="CO17" s="313">
        <f t="shared" si="11"/>
        <v>-0.22826086956521741</v>
      </c>
      <c r="CP17" s="355">
        <f t="shared" si="11"/>
        <v>0.12239089184060736</v>
      </c>
      <c r="CQ17" s="355">
        <f t="shared" si="11"/>
        <v>7.8395624430264377E-2</v>
      </c>
      <c r="CR17" s="355">
        <f t="shared" si="11"/>
        <v>0.14244326412361175</v>
      </c>
      <c r="CS17" s="355">
        <f t="shared" si="11"/>
        <v>0.14910150558523561</v>
      </c>
      <c r="CT17" s="313">
        <f t="shared" si="11"/>
        <v>0.14910150558523561</v>
      </c>
      <c r="CU17" s="355">
        <f>CU16/CP16-1</f>
        <v>0.1775147928994083</v>
      </c>
      <c r="CV17" s="355">
        <f>CV16/CQ16-1</f>
        <v>0.1775147928994083</v>
      </c>
      <c r="CW17" s="355">
        <f>CW16/CR16-1</f>
        <v>0.1775147928994083</v>
      </c>
      <c r="CX17" s="355">
        <f>CX16/CS16-1</f>
        <v>0.1775147928994083</v>
      </c>
      <c r="CY17" s="313">
        <f>CY16/CT16-1</f>
        <v>0.1775147928994083</v>
      </c>
      <c r="CZ17" s="679">
        <v>0.1</v>
      </c>
      <c r="DA17" s="679">
        <f>CZ17</f>
        <v>0.1</v>
      </c>
      <c r="DB17" s="679">
        <f>DA17</f>
        <v>0.1</v>
      </c>
      <c r="DC17" s="679">
        <f>DB17</f>
        <v>0.1</v>
      </c>
      <c r="DD17" s="313">
        <f>DD16/CY16-1</f>
        <v>0.10000000000000009</v>
      </c>
      <c r="DE17" s="679">
        <f>DC17</f>
        <v>0.1</v>
      </c>
      <c r="DF17" s="679">
        <f>DE17</f>
        <v>0.1</v>
      </c>
      <c r="DG17" s="679">
        <f>DF17</f>
        <v>0.1</v>
      </c>
      <c r="DH17" s="679">
        <f>DG17</f>
        <v>0.1</v>
      </c>
      <c r="DI17" s="313">
        <f>DI16/DD16-1</f>
        <v>0.10000000000000009</v>
      </c>
      <c r="DJ17" s="679">
        <v>0</v>
      </c>
      <c r="DK17" s="679">
        <v>0</v>
      </c>
      <c r="DL17" s="679">
        <v>0</v>
      </c>
      <c r="DM17" s="679">
        <v>0</v>
      </c>
      <c r="DN17" s="313">
        <f>DN16/DI16-1</f>
        <v>0</v>
      </c>
      <c r="DO17" s="679">
        <v>0</v>
      </c>
      <c r="DP17" s="679">
        <f>DO17</f>
        <v>0</v>
      </c>
      <c r="DQ17" s="679">
        <f>DP17</f>
        <v>0</v>
      </c>
      <c r="DR17" s="679">
        <f>DQ17</f>
        <v>0</v>
      </c>
      <c r="DS17" s="313">
        <f>DS16/DN16-1</f>
        <v>0</v>
      </c>
      <c r="DT17" s="679">
        <v>0</v>
      </c>
      <c r="DU17" s="679">
        <f>DT17</f>
        <v>0</v>
      </c>
      <c r="DV17" s="679">
        <f>DU17</f>
        <v>0</v>
      </c>
      <c r="DW17" s="679">
        <f>DV17</f>
        <v>0</v>
      </c>
      <c r="DX17" s="313">
        <f>DX16/DS16-1</f>
        <v>0</v>
      </c>
      <c r="DY17" s="679">
        <v>0</v>
      </c>
      <c r="DZ17" s="679">
        <f>DY17</f>
        <v>0</v>
      </c>
      <c r="EA17" s="679">
        <f>DZ17</f>
        <v>0</v>
      </c>
      <c r="EB17" s="679">
        <f>EA17</f>
        <v>0</v>
      </c>
      <c r="EC17" s="313">
        <f>EC16/DX16-1</f>
        <v>0</v>
      </c>
      <c r="ED17" s="679">
        <f>EB17</f>
        <v>0</v>
      </c>
      <c r="EE17" s="679">
        <f>ED17</f>
        <v>0</v>
      </c>
      <c r="EF17" s="679">
        <f>EE17</f>
        <v>0</v>
      </c>
      <c r="EG17" s="679">
        <f>EF17</f>
        <v>0</v>
      </c>
      <c r="EH17" s="313">
        <f>EH16/EC16-1</f>
        <v>0</v>
      </c>
      <c r="EI17" s="679">
        <f>EG17</f>
        <v>0</v>
      </c>
      <c r="EJ17" s="679">
        <f>EI17</f>
        <v>0</v>
      </c>
      <c r="EK17" s="679">
        <f>EJ17</f>
        <v>0</v>
      </c>
      <c r="EL17" s="679">
        <f>EK17</f>
        <v>0</v>
      </c>
      <c r="EM17" s="313">
        <f>EM16/EH16-1</f>
        <v>0</v>
      </c>
      <c r="EN17" s="679">
        <f>EL17</f>
        <v>0</v>
      </c>
      <c r="EO17" s="679">
        <f>EN17</f>
        <v>0</v>
      </c>
      <c r="EP17" s="679">
        <f>EO17</f>
        <v>0</v>
      </c>
      <c r="EQ17" s="679">
        <f>EP17</f>
        <v>0</v>
      </c>
      <c r="ER17" s="313">
        <f>ER16/EM16-1</f>
        <v>0</v>
      </c>
      <c r="ES17" s="679">
        <f>EQ17</f>
        <v>0</v>
      </c>
      <c r="ET17" s="679">
        <f>ES17</f>
        <v>0</v>
      </c>
      <c r="EU17" s="679">
        <f>ET17</f>
        <v>0</v>
      </c>
      <c r="EV17" s="679">
        <f>EU17</f>
        <v>0</v>
      </c>
      <c r="EW17" s="313">
        <f>EW16/ER16-1</f>
        <v>0</v>
      </c>
      <c r="EX17" s="679">
        <f>EV17</f>
        <v>0</v>
      </c>
      <c r="EY17" s="679">
        <f>EX17</f>
        <v>0</v>
      </c>
      <c r="EZ17" s="679">
        <f>EY17</f>
        <v>0</v>
      </c>
      <c r="FA17" s="679">
        <f>EZ17</f>
        <v>0</v>
      </c>
      <c r="FB17" s="313">
        <f>FB16/EW16-1</f>
        <v>0</v>
      </c>
      <c r="FC17" s="679">
        <f>FA17</f>
        <v>0</v>
      </c>
      <c r="FD17" s="679">
        <f>FC17</f>
        <v>0</v>
      </c>
      <c r="FE17" s="679">
        <f>FD17</f>
        <v>0</v>
      </c>
      <c r="FF17" s="679">
        <f>FE17</f>
        <v>0</v>
      </c>
      <c r="FG17" s="313">
        <f>FG16/FB16-1</f>
        <v>0</v>
      </c>
      <c r="FH17" s="679">
        <f>FF17</f>
        <v>0</v>
      </c>
      <c r="FI17" s="679">
        <f>FH17</f>
        <v>0</v>
      </c>
      <c r="FJ17" s="679">
        <f>FI17</f>
        <v>0</v>
      </c>
      <c r="FK17" s="679">
        <f>FJ17</f>
        <v>0</v>
      </c>
      <c r="FL17" s="313">
        <f>FL16/FG16-1</f>
        <v>0</v>
      </c>
      <c r="FM17" s="261"/>
      <c r="FN17" s="261"/>
      <c r="FO17" s="261"/>
      <c r="FP17" s="261"/>
      <c r="FQ17" s="261"/>
      <c r="FR17" s="261"/>
      <c r="FS17" s="261"/>
      <c r="FT17" s="261"/>
      <c r="FU17" s="261"/>
      <c r="FV17" s="261"/>
      <c r="FW17" s="261"/>
      <c r="FX17" s="261"/>
      <c r="FY17" s="261"/>
      <c r="FZ17" s="261"/>
      <c r="GA17" s="261"/>
      <c r="GB17" s="261"/>
      <c r="GC17" s="261"/>
      <c r="GD17" s="261"/>
      <c r="GE17" s="261"/>
      <c r="GF17" s="261"/>
      <c r="GG17" s="261"/>
      <c r="GH17" s="261"/>
      <c r="GI17" s="261"/>
      <c r="GJ17" s="261"/>
      <c r="GK17" s="261"/>
      <c r="GL17" s="261"/>
      <c r="GM17" s="261"/>
      <c r="GN17" s="261"/>
      <c r="GO17" s="261"/>
      <c r="GP17" s="261"/>
      <c r="GQ17" s="261"/>
      <c r="GR17" s="261"/>
      <c r="GS17" s="261"/>
      <c r="GT17" s="261"/>
      <c r="GU17" s="261"/>
      <c r="GV17" s="261"/>
      <c r="GW17" s="261"/>
      <c r="GX17" s="261"/>
      <c r="GY17" s="261"/>
      <c r="GZ17" s="261"/>
      <c r="HA17" s="261"/>
      <c r="HB17" s="261"/>
      <c r="HC17" s="261"/>
      <c r="HD17" s="261"/>
      <c r="HE17" s="261"/>
      <c r="HF17" s="261"/>
      <c r="HG17" s="261"/>
      <c r="HH17" s="261"/>
      <c r="HI17" s="261"/>
      <c r="HJ17" s="261"/>
      <c r="HK17" s="261"/>
      <c r="HL17" s="261"/>
      <c r="HM17" s="261"/>
      <c r="HN17" s="261"/>
      <c r="HO17" s="261"/>
      <c r="HP17" s="261"/>
      <c r="HQ17" s="261"/>
      <c r="HR17" s="261"/>
      <c r="HS17" s="261"/>
      <c r="HT17" s="261"/>
      <c r="HU17" s="261"/>
      <c r="HV17" s="261"/>
      <c r="HW17" s="261"/>
      <c r="HX17" s="261"/>
      <c r="HY17" s="261"/>
      <c r="HZ17" s="261"/>
      <c r="IA17" s="261"/>
      <c r="IB17" s="261"/>
      <c r="IC17" s="261"/>
      <c r="ID17" s="261"/>
      <c r="IE17" s="261"/>
      <c r="IF17" s="261"/>
      <c r="IG17" s="261"/>
      <c r="IH17" s="261"/>
      <c r="II17" s="261"/>
      <c r="IJ17" s="261"/>
      <c r="IK17" s="261"/>
      <c r="IL17" s="261"/>
      <c r="IM17" s="261"/>
      <c r="IN17" s="261"/>
      <c r="IO17" s="261"/>
      <c r="IP17" s="261"/>
      <c r="IQ17" s="261"/>
      <c r="IR17" s="261"/>
      <c r="IS17" s="261"/>
      <c r="IT17" s="261"/>
      <c r="IU17" s="261"/>
      <c r="IV17" s="261"/>
      <c r="IW17" s="261"/>
      <c r="IX17" s="261"/>
      <c r="IY17" s="261"/>
      <c r="IZ17" s="261"/>
      <c r="JA17" s="261"/>
      <c r="JB17" s="261"/>
      <c r="JC17" s="261"/>
      <c r="JD17" s="261"/>
      <c r="JE17" s="261"/>
      <c r="JF17" s="261"/>
      <c r="JG17" s="261"/>
      <c r="JH17" s="261"/>
      <c r="JI17" s="261"/>
      <c r="JJ17" s="261"/>
      <c r="JK17" s="261"/>
      <c r="JL17" s="261"/>
      <c r="JM17" s="261"/>
      <c r="JN17" s="261"/>
      <c r="JO17" s="261"/>
    </row>
    <row r="18" spans="1:275" s="651" customFormat="1" ht="11.25" customHeight="1">
      <c r="A18" s="652" t="s">
        <v>565</v>
      </c>
      <c r="B18" s="644"/>
      <c r="C18" s="645"/>
      <c r="D18" s="645"/>
      <c r="E18" s="645"/>
      <c r="F18" s="645"/>
      <c r="G18" s="645"/>
      <c r="H18" s="645"/>
      <c r="I18" s="645"/>
      <c r="J18" s="645"/>
      <c r="K18" s="645"/>
      <c r="L18" s="645"/>
      <c r="M18" s="645"/>
      <c r="N18" s="645"/>
      <c r="O18" s="645"/>
      <c r="P18" s="645"/>
      <c r="Q18" s="645"/>
      <c r="R18" s="645"/>
      <c r="S18" s="645"/>
      <c r="T18" s="645"/>
      <c r="U18" s="645"/>
      <c r="V18" s="645"/>
      <c r="W18" s="645"/>
      <c r="X18" s="645"/>
      <c r="Y18" s="645"/>
      <c r="Z18" s="645"/>
      <c r="AA18" s="645"/>
      <c r="AB18" s="645"/>
      <c r="AC18" s="645"/>
      <c r="AD18" s="645"/>
      <c r="AE18" s="645"/>
      <c r="AF18" s="645"/>
      <c r="AG18" s="645"/>
      <c r="AH18" s="645"/>
      <c r="AI18" s="645"/>
      <c r="AJ18" s="645"/>
      <c r="AK18" s="645"/>
      <c r="AL18" s="645"/>
      <c r="AM18" s="645"/>
      <c r="AN18" s="645"/>
      <c r="AO18" s="645"/>
      <c r="AP18" s="645"/>
      <c r="AQ18" s="645"/>
      <c r="AR18" s="645"/>
      <c r="AS18" s="645"/>
      <c r="AT18" s="645"/>
      <c r="AU18" s="645"/>
      <c r="AV18" s="645"/>
      <c r="AW18" s="645"/>
      <c r="AX18" s="645"/>
      <c r="AY18" s="645"/>
      <c r="AZ18" s="645"/>
      <c r="BA18" s="645"/>
      <c r="BB18" s="645"/>
      <c r="BC18" s="645"/>
      <c r="BD18" s="645"/>
      <c r="BE18" s="645"/>
      <c r="BF18" s="645"/>
      <c r="BG18" s="645"/>
      <c r="BH18" s="645"/>
      <c r="BI18" s="645"/>
      <c r="BJ18" s="645"/>
      <c r="BK18" s="645"/>
      <c r="BL18" s="645"/>
      <c r="BM18" s="645"/>
      <c r="BN18" s="645"/>
      <c r="BO18" s="645"/>
      <c r="BP18" s="645"/>
      <c r="BQ18" s="645"/>
      <c r="BR18" s="645"/>
      <c r="BS18" s="645"/>
      <c r="BT18" s="645"/>
      <c r="BU18" s="645"/>
      <c r="BV18" s="645"/>
      <c r="BW18" s="645"/>
      <c r="BX18" s="645"/>
      <c r="BY18" s="645"/>
      <c r="BZ18" s="646"/>
      <c r="CA18" s="662">
        <f t="shared" ref="CA18:CK18" si="12">CA16*CA12</f>
        <v>604.3950000000001</v>
      </c>
      <c r="CB18" s="662">
        <f t="shared" si="12"/>
        <v>604.3950000000001</v>
      </c>
      <c r="CC18" s="662">
        <f t="shared" si="12"/>
        <v>604.3950000000001</v>
      </c>
      <c r="CD18" s="662">
        <f t="shared" si="12"/>
        <v>604.3950000000001</v>
      </c>
      <c r="CE18" s="667"/>
      <c r="CF18" s="662">
        <f t="shared" si="12"/>
        <v>920.46</v>
      </c>
      <c r="CG18" s="662">
        <f t="shared" si="12"/>
        <v>920.46</v>
      </c>
      <c r="CH18" s="662">
        <f t="shared" si="12"/>
        <v>920.46</v>
      </c>
      <c r="CI18" s="662">
        <f t="shared" si="12"/>
        <v>920.46</v>
      </c>
      <c r="CJ18" s="664">
        <f t="shared" si="12"/>
        <v>3681.84</v>
      </c>
      <c r="CK18" s="662">
        <f t="shared" si="12"/>
        <v>716.71999999999991</v>
      </c>
      <c r="CL18" s="662">
        <f>CL16*(CL12+CK12)-CK18</f>
        <v>402.22000000000014</v>
      </c>
      <c r="CM18" s="662">
        <f>CM16*(CM12+CL12+CK12)-CL18-CK18</f>
        <v>310.05000000000007</v>
      </c>
      <c r="CN18" s="662">
        <f>CO18-SUM(CK18:CM18)</f>
        <v>135.84999999999968</v>
      </c>
      <c r="CO18" s="664">
        <f>CO16*CO12</f>
        <v>1564.84</v>
      </c>
      <c r="CP18" s="662">
        <f>CP16*CP12</f>
        <v>792.61</v>
      </c>
      <c r="CQ18" s="662">
        <f>CQ16*(CQ12+CP12)-CP18</f>
        <v>792.61</v>
      </c>
      <c r="CR18" s="662">
        <f>CR16*(CR12+CQ12+CP12)-CQ18-CP18</f>
        <v>792.60999999999979</v>
      </c>
      <c r="CS18" s="662">
        <f>CT18-SUM(CP18:CR18)</f>
        <v>792.61000000000013</v>
      </c>
      <c r="CT18" s="664">
        <f>CT16*CT12</f>
        <v>3170.44</v>
      </c>
      <c r="CU18" s="662">
        <f>CU16*CU12</f>
        <v>842.76499999999999</v>
      </c>
      <c r="CV18" s="662">
        <f>CV16*(CV12+CU12)-CU18</f>
        <v>842.76499999999999</v>
      </c>
      <c r="CW18" s="662">
        <f>CW16*(CW12+CV12+CU12)-CV18-CU18</f>
        <v>842.76500000000021</v>
      </c>
      <c r="CX18" s="662">
        <f>CY18-SUM(CU18:CW18)</f>
        <v>842.76499999999987</v>
      </c>
      <c r="CY18" s="664">
        <f>CY16*CY12</f>
        <v>3371.06</v>
      </c>
      <c r="CZ18" s="662">
        <f>CZ16*CZ12</f>
        <v>446.20576000000005</v>
      </c>
      <c r="DA18" s="662">
        <f>DA16*(DA12+CZ12)-CZ18</f>
        <v>365.39033124653463</v>
      </c>
      <c r="DB18" s="662">
        <f>DB16*(DB12+DA12+CZ12)-DA18-CZ18</f>
        <v>343.78346240128792</v>
      </c>
      <c r="DC18" s="662">
        <f>DD18-SUM(CZ18:DB18)</f>
        <v>323.45428686473656</v>
      </c>
      <c r="DD18" s="664">
        <f>DD16*DD12</f>
        <v>1478.8338405125592</v>
      </c>
      <c r="DE18" s="662">
        <f>DE16*DE12</f>
        <v>382.58282850967612</v>
      </c>
      <c r="DF18" s="662">
        <f>DF16*(DF12+DE12)-DE18</f>
        <v>313.29059140425875</v>
      </c>
      <c r="DG18" s="662">
        <f>DG16*(DG12+DF12+DE12)-DF18-DE18</f>
        <v>294.76457103631878</v>
      </c>
      <c r="DH18" s="662">
        <f>DI18-SUM(DE18:DG18)</f>
        <v>277.33406212033447</v>
      </c>
      <c r="DI18" s="664">
        <f>DI16*DI12</f>
        <v>1267.9720530705881</v>
      </c>
      <c r="DJ18" s="662">
        <f>DJ16*DJ12</f>
        <v>298.21060920101934</v>
      </c>
      <c r="DK18" s="662">
        <f>DK16*(DK12+DJ12)-DJ18</f>
        <v>244.19961158096964</v>
      </c>
      <c r="DL18" s="662">
        <f>DL16*(DL12+DK12+DJ12)-DK18-DJ18</f>
        <v>229.75919395555047</v>
      </c>
      <c r="DM18" s="662">
        <f>DN18-SUM(DJ18:DL18)</f>
        <v>216.17269112486213</v>
      </c>
      <c r="DN18" s="664">
        <f>DN16*DN12</f>
        <v>988.34210586240158</v>
      </c>
      <c r="DO18" s="662">
        <f>DO16*DO12</f>
        <v>232.44526626158793</v>
      </c>
      <c r="DP18" s="662">
        <f>DP16*(DP12+DO12)-DO18</f>
        <v>190.3454873285601</v>
      </c>
      <c r="DQ18" s="662">
        <f>DQ16*(DQ12+DP12+DO12)-DP18-DO18</f>
        <v>179.08966135757177</v>
      </c>
      <c r="DR18" s="662">
        <f>DS18-SUM(DO18:DQ18)</f>
        <v>168.49943361046201</v>
      </c>
      <c r="DS18" s="664">
        <f>DS16*DS12</f>
        <v>770.37984855818183</v>
      </c>
      <c r="DT18" s="662">
        <f>DT16*DT12</f>
        <v>181.18336551533991</v>
      </c>
      <c r="DU18" s="662">
        <f>DU16*(DU12+DT12)-DT18</f>
        <v>148.36798597582424</v>
      </c>
      <c r="DV18" s="662">
        <f>DV16*(DV12+DU12+DT12)-DU18-DT18</f>
        <v>139.59444343878857</v>
      </c>
      <c r="DW18" s="662">
        <f>DX18-SUM(DT18:DV18)</f>
        <v>131.33971261266805</v>
      </c>
      <c r="DX18" s="664">
        <f>DX16*DX12</f>
        <v>600.48550754262078</v>
      </c>
      <c r="DY18" s="662">
        <f>DY16*DY12</f>
        <v>141.22641629759906</v>
      </c>
      <c r="DZ18" s="662">
        <f>DZ16*(DZ12+DY12)-DY18</f>
        <v>115.64791774929287</v>
      </c>
      <c r="EA18" s="662">
        <f>EA16*(EA12+DZ12)-DZ18</f>
        <v>108.80923271208843</v>
      </c>
      <c r="EB18" s="662">
        <f>EC18-SUM(DY18:EA18)</f>
        <v>102.37494417374239</v>
      </c>
      <c r="EC18" s="664">
        <f>EC16*EC12</f>
        <v>468.05851093272275</v>
      </c>
      <c r="ED18" s="662">
        <f>ED16*ED12</f>
        <v>110.08130135751409</v>
      </c>
      <c r="EE18" s="662">
        <f>EE16*(EE12+ED12)-ED18</f>
        <v>90.143711204157626</v>
      </c>
      <c r="EF18" s="662">
        <f>EF16*(EF12+EE12)-EE18</f>
        <v>84.81318333121871</v>
      </c>
      <c r="EG18" s="662">
        <f>EG16*(EG12+EF12)-EF18</f>
        <v>79.797869099083016</v>
      </c>
      <c r="EH18" s="664">
        <f>EH16*EH12</f>
        <v>364.8360649919735</v>
      </c>
      <c r="EI18" s="662">
        <f>EI16*EI12</f>
        <v>75.079128770426848</v>
      </c>
      <c r="EJ18" s="662">
        <f>EJ16*(EJ12+EI12)-EI18</f>
        <v>70.639424843878572</v>
      </c>
      <c r="EK18" s="662">
        <f>EK16*(EK12+EJ12)-EJ18</f>
        <v>66.462256874769054</v>
      </c>
      <c r="EL18" s="662">
        <f>EL16*(EL12+EK12)-EK18</f>
        <v>62.532100150169441</v>
      </c>
      <c r="EM18" s="664">
        <f>EM16*EM12</f>
        <v>274.71291063924394</v>
      </c>
      <c r="EN18" s="662">
        <f>EN16*EN12</f>
        <v>58.834347990299293</v>
      </c>
      <c r="EO18" s="662">
        <f>EO16*(EO12+EN12)-EN18</f>
        <v>55.355257461863019</v>
      </c>
      <c r="EP18" s="662">
        <f>EP16*(EP12+EO12)-EO18</f>
        <v>52.081898301556336</v>
      </c>
      <c r="EQ18" s="662">
        <f>EQ16*(EQ12+EP12)-EP18</f>
        <v>49.002104859912279</v>
      </c>
      <c r="ER18" s="664">
        <f>ER16*ER12</f>
        <v>215.27360861363093</v>
      </c>
      <c r="ES18" s="662">
        <f>ES16*ES12</f>
        <v>46.104430886884323</v>
      </c>
      <c r="ET18" s="662">
        <f>ET16*(ET12+ES12)-ES18</f>
        <v>43.37810699112277</v>
      </c>
      <c r="EU18" s="662">
        <f>EU16*(EU12+ET12)-ET18</f>
        <v>40.813000614840782</v>
      </c>
      <c r="EV18" s="662">
        <f>EW18-SUM(ES18:EU18)</f>
        <v>38.399578375512704</v>
      </c>
      <c r="EW18" s="664">
        <f>EW16*EW12</f>
        <v>168.69511686836057</v>
      </c>
      <c r="EX18" s="662">
        <f>EX16*EX12</f>
        <v>41.290137867938142</v>
      </c>
      <c r="EY18" s="662">
        <f>EY16*(EY12+EX12)-EX18</f>
        <v>33.811793807370393</v>
      </c>
      <c r="EZ18" s="662">
        <f>EZ16*(EZ12+EY12+EX12)-EY18-EX18</f>
        <v>31.812378574553378</v>
      </c>
      <c r="FA18" s="662">
        <f>FB18-SUM(EX18:EZ18)</f>
        <v>29.931196089043269</v>
      </c>
      <c r="FB18" s="664">
        <f>FB16*FB12</f>
        <v>136.84550633890518</v>
      </c>
      <c r="FC18" s="662">
        <f>FC16*FC12</f>
        <v>32.184291217556535</v>
      </c>
      <c r="FD18" s="662">
        <f>FD16*(FD12+FC12)-FC18</f>
        <v>26.355170379059921</v>
      </c>
      <c r="FE18" s="662">
        <f>FE16*(FE12+FD12+FC12)-FD18-FC18</f>
        <v>24.796692605902145</v>
      </c>
      <c r="FF18" s="662">
        <f>FG18-SUM(FC18:FE18)</f>
        <v>23.330373332746206</v>
      </c>
      <c r="FG18" s="664">
        <f>FG16*FG12</f>
        <v>106.66652753526481</v>
      </c>
      <c r="FH18" s="662">
        <f>FH16*FH12</f>
        <v>25.086586159858999</v>
      </c>
      <c r="FI18" s="662">
        <f>FI16*(FI12+FH12)-FH18</f>
        <v>20.542980052063012</v>
      </c>
      <c r="FJ18" s="662">
        <f>FJ16*(FJ12+FI12+FH12)-FI18-FH18</f>
        <v>19.328198385122928</v>
      </c>
      <c r="FK18" s="662">
        <f>FL18-SUM(FH18:FJ18)</f>
        <v>18.185251208339309</v>
      </c>
      <c r="FL18" s="664">
        <f>FL16*FL12</f>
        <v>83.143015805384252</v>
      </c>
      <c r="FM18" s="261"/>
      <c r="FN18" s="261"/>
      <c r="FO18" s="261"/>
      <c r="FP18" s="261"/>
      <c r="FQ18" s="261"/>
      <c r="FR18" s="261"/>
      <c r="FS18" s="261"/>
      <c r="FT18" s="261"/>
      <c r="FU18" s="261"/>
      <c r="FV18" s="261"/>
      <c r="FW18" s="261"/>
      <c r="FX18" s="261"/>
      <c r="FY18" s="261"/>
      <c r="FZ18" s="261"/>
      <c r="GA18" s="261"/>
      <c r="GB18" s="261"/>
      <c r="GC18" s="261"/>
      <c r="GD18" s="261"/>
      <c r="GE18" s="261"/>
      <c r="GF18" s="261"/>
      <c r="GG18" s="261"/>
      <c r="GH18" s="261"/>
      <c r="GI18" s="261"/>
      <c r="GJ18" s="261"/>
      <c r="GK18" s="261"/>
      <c r="GL18" s="261"/>
      <c r="GM18" s="261"/>
      <c r="GN18" s="261"/>
      <c r="GO18" s="261"/>
      <c r="GP18" s="261"/>
      <c r="GQ18" s="261"/>
      <c r="GR18" s="261"/>
      <c r="GS18" s="261"/>
      <c r="GT18" s="261"/>
      <c r="GU18" s="261"/>
      <c r="GV18" s="261"/>
      <c r="GW18" s="261"/>
      <c r="GX18" s="261"/>
      <c r="GY18" s="261"/>
      <c r="GZ18" s="261"/>
      <c r="HA18" s="261"/>
      <c r="HB18" s="261"/>
      <c r="HC18" s="261"/>
      <c r="HD18" s="261"/>
      <c r="HE18" s="261"/>
      <c r="HF18" s="261"/>
      <c r="HG18" s="261"/>
      <c r="HH18" s="261"/>
      <c r="HI18" s="261"/>
      <c r="HJ18" s="261"/>
      <c r="HK18" s="261"/>
      <c r="HL18" s="261"/>
      <c r="HM18" s="261"/>
      <c r="HN18" s="261"/>
      <c r="HO18" s="261"/>
      <c r="HP18" s="261"/>
      <c r="HQ18" s="261"/>
      <c r="HR18" s="261"/>
      <c r="HS18" s="261"/>
      <c r="HT18" s="261"/>
      <c r="HU18" s="261"/>
      <c r="HV18" s="261"/>
      <c r="HW18" s="261"/>
      <c r="HX18" s="261"/>
      <c r="HY18" s="261"/>
      <c r="HZ18" s="261"/>
      <c r="IA18" s="261"/>
      <c r="IB18" s="261"/>
      <c r="IC18" s="261"/>
      <c r="ID18" s="261"/>
      <c r="IE18" s="261"/>
      <c r="IF18" s="261"/>
      <c r="IG18" s="261"/>
      <c r="IH18" s="261"/>
      <c r="II18" s="261"/>
      <c r="IJ18" s="261"/>
      <c r="IK18" s="261"/>
      <c r="IL18" s="261"/>
      <c r="IM18" s="261"/>
      <c r="IN18" s="261"/>
      <c r="IO18" s="261"/>
      <c r="IP18" s="261"/>
      <c r="IQ18" s="261"/>
      <c r="IR18" s="261"/>
      <c r="IS18" s="261"/>
      <c r="IT18" s="261"/>
      <c r="IU18" s="261"/>
      <c r="IV18" s="261"/>
      <c r="IW18" s="261"/>
      <c r="IX18" s="261"/>
      <c r="IY18" s="261"/>
      <c r="IZ18" s="261"/>
      <c r="JA18" s="261"/>
      <c r="JB18" s="261"/>
      <c r="JC18" s="261"/>
      <c r="JD18" s="261"/>
      <c r="JE18" s="261"/>
      <c r="JF18" s="261"/>
      <c r="JG18" s="261"/>
      <c r="JH18" s="261"/>
      <c r="JI18" s="261"/>
      <c r="JJ18" s="261"/>
      <c r="JK18" s="261"/>
      <c r="JL18" s="261"/>
      <c r="JM18" s="261"/>
      <c r="JN18" s="261"/>
      <c r="JO18" s="261"/>
    </row>
    <row r="19" spans="1:275" s="651" customFormat="1" ht="11.25" customHeight="1">
      <c r="A19" s="652"/>
      <c r="B19" s="644"/>
      <c r="C19" s="645"/>
      <c r="D19" s="645"/>
      <c r="E19" s="645"/>
      <c r="F19" s="645"/>
      <c r="G19" s="645"/>
      <c r="H19" s="645"/>
      <c r="I19" s="645"/>
      <c r="J19" s="645"/>
      <c r="K19" s="645"/>
      <c r="L19" s="645"/>
      <c r="M19" s="645"/>
      <c r="N19" s="645"/>
      <c r="O19" s="645"/>
      <c r="P19" s="645"/>
      <c r="Q19" s="645"/>
      <c r="R19" s="645"/>
      <c r="S19" s="645"/>
      <c r="T19" s="645"/>
      <c r="U19" s="645"/>
      <c r="V19" s="645"/>
      <c r="W19" s="645"/>
      <c r="X19" s="645"/>
      <c r="Y19" s="645"/>
      <c r="Z19" s="645"/>
      <c r="AA19" s="645"/>
      <c r="AB19" s="645"/>
      <c r="AC19" s="645"/>
      <c r="AD19" s="645"/>
      <c r="AE19" s="645"/>
      <c r="AF19" s="645"/>
      <c r="AG19" s="645"/>
      <c r="AH19" s="645"/>
      <c r="AI19" s="645"/>
      <c r="AJ19" s="645"/>
      <c r="AK19" s="645"/>
      <c r="AL19" s="645"/>
      <c r="AM19" s="645"/>
      <c r="AN19" s="645"/>
      <c r="AO19" s="645"/>
      <c r="AP19" s="645"/>
      <c r="AQ19" s="645"/>
      <c r="AR19" s="645"/>
      <c r="AS19" s="645"/>
      <c r="AT19" s="645"/>
      <c r="AU19" s="645"/>
      <c r="AV19" s="645"/>
      <c r="AW19" s="645"/>
      <c r="AX19" s="645"/>
      <c r="AY19" s="645"/>
      <c r="AZ19" s="645"/>
      <c r="BA19" s="645"/>
      <c r="BB19" s="645"/>
      <c r="BC19" s="645"/>
      <c r="BD19" s="645"/>
      <c r="BE19" s="645"/>
      <c r="BF19" s="645"/>
      <c r="BG19" s="645"/>
      <c r="BH19" s="645"/>
      <c r="BI19" s="645"/>
      <c r="BJ19" s="645"/>
      <c r="BK19" s="645"/>
      <c r="BL19" s="645"/>
      <c r="BM19" s="645"/>
      <c r="BN19" s="645"/>
      <c r="BO19" s="645"/>
      <c r="BP19" s="645"/>
      <c r="BQ19" s="645"/>
      <c r="BR19" s="645"/>
      <c r="BS19" s="645"/>
      <c r="BT19" s="645"/>
      <c r="BU19" s="645"/>
      <c r="BV19" s="645"/>
      <c r="BW19" s="645"/>
      <c r="BX19" s="645"/>
      <c r="BY19" s="645"/>
      <c r="BZ19" s="646"/>
      <c r="CA19" s="680"/>
      <c r="CB19" s="680"/>
      <c r="CC19" s="680"/>
      <c r="CD19" s="680"/>
      <c r="CE19" s="667"/>
      <c r="CF19" s="680"/>
      <c r="CG19" s="680"/>
      <c r="CH19" s="680"/>
      <c r="CI19" s="680"/>
      <c r="CJ19" s="667"/>
      <c r="CK19" s="681"/>
      <c r="CL19" s="681"/>
      <c r="CM19" s="681"/>
      <c r="CN19" s="680"/>
      <c r="CO19" s="667"/>
      <c r="CP19" s="680"/>
      <c r="CQ19" s="680"/>
      <c r="CR19" s="680"/>
      <c r="CS19" s="680"/>
      <c r="CT19" s="667"/>
      <c r="CU19" s="680"/>
      <c r="CV19" s="680"/>
      <c r="CW19" s="680"/>
      <c r="CX19" s="680"/>
      <c r="CY19" s="667"/>
      <c r="CZ19" s="680"/>
      <c r="DA19" s="680"/>
      <c r="DB19" s="680"/>
      <c r="DC19" s="680"/>
      <c r="DD19" s="682"/>
      <c r="DE19" s="680"/>
      <c r="DF19" s="680"/>
      <c r="DG19" s="680"/>
      <c r="DH19" s="680"/>
      <c r="DI19" s="682"/>
      <c r="DJ19" s="680"/>
      <c r="DK19" s="680"/>
      <c r="DL19" s="680"/>
      <c r="DM19" s="680"/>
      <c r="DN19" s="682"/>
      <c r="DO19" s="680"/>
      <c r="DP19" s="680"/>
      <c r="DQ19" s="680"/>
      <c r="DR19" s="680"/>
      <c r="DS19" s="664"/>
      <c r="DT19" s="680"/>
      <c r="DU19" s="680"/>
      <c r="DV19" s="680"/>
      <c r="DW19" s="680"/>
      <c r="DX19" s="664"/>
      <c r="DY19" s="680"/>
      <c r="DZ19" s="680"/>
      <c r="EA19" s="680"/>
      <c r="EB19" s="680"/>
      <c r="EC19" s="664"/>
      <c r="ED19" s="680"/>
      <c r="EE19" s="680"/>
      <c r="EF19" s="680"/>
      <c r="EG19" s="680"/>
      <c r="EH19" s="682"/>
      <c r="EI19" s="680"/>
      <c r="EJ19" s="680"/>
      <c r="EK19" s="680"/>
      <c r="EL19" s="680"/>
      <c r="EM19" s="682"/>
      <c r="EN19" s="680"/>
      <c r="EO19" s="680"/>
      <c r="EP19" s="680"/>
      <c r="EQ19" s="680"/>
      <c r="ER19" s="682"/>
      <c r="ES19" s="680"/>
      <c r="ET19" s="680"/>
      <c r="EU19" s="680"/>
      <c r="EV19" s="680"/>
      <c r="EW19" s="682"/>
      <c r="EX19" s="680"/>
      <c r="EY19" s="680"/>
      <c r="EZ19" s="680"/>
      <c r="FA19" s="680"/>
      <c r="FB19" s="682"/>
      <c r="FC19" s="680"/>
      <c r="FD19" s="680"/>
      <c r="FE19" s="680"/>
      <c r="FF19" s="680"/>
      <c r="FG19" s="682"/>
      <c r="FH19" s="680"/>
      <c r="FI19" s="680"/>
      <c r="FJ19" s="680"/>
      <c r="FK19" s="680"/>
      <c r="FL19" s="682"/>
      <c r="FM19" s="261"/>
      <c r="FN19" s="261"/>
      <c r="FO19" s="261"/>
      <c r="FP19" s="261"/>
      <c r="FQ19" s="261"/>
      <c r="FR19" s="261"/>
      <c r="FS19" s="261"/>
      <c r="FT19" s="261"/>
      <c r="FU19" s="261"/>
      <c r="FV19" s="261"/>
      <c r="FW19" s="261"/>
      <c r="FX19" s="261"/>
      <c r="FY19" s="261"/>
      <c r="FZ19" s="261"/>
      <c r="GA19" s="261"/>
      <c r="GB19" s="261"/>
      <c r="GC19" s="261"/>
      <c r="GD19" s="261"/>
      <c r="GE19" s="261"/>
      <c r="GF19" s="261"/>
      <c r="GG19" s="261"/>
      <c r="GH19" s="261"/>
      <c r="GI19" s="261"/>
      <c r="GJ19" s="261"/>
      <c r="GK19" s="261"/>
      <c r="GL19" s="261"/>
      <c r="GM19" s="261"/>
      <c r="GN19" s="261"/>
      <c r="GO19" s="261"/>
      <c r="GP19" s="261"/>
      <c r="GQ19" s="261"/>
      <c r="GR19" s="261"/>
      <c r="GS19" s="261"/>
      <c r="GT19" s="261"/>
      <c r="GU19" s="261"/>
      <c r="GV19" s="261"/>
      <c r="GW19" s="261"/>
      <c r="GX19" s="261"/>
      <c r="GY19" s="261"/>
      <c r="GZ19" s="261"/>
      <c r="HA19" s="261"/>
      <c r="HB19" s="261"/>
      <c r="HC19" s="261"/>
      <c r="HD19" s="261"/>
      <c r="HE19" s="261"/>
      <c r="HF19" s="261"/>
      <c r="HG19" s="261"/>
      <c r="HH19" s="261"/>
      <c r="HI19" s="261"/>
      <c r="HJ19" s="261"/>
      <c r="HK19" s="261"/>
      <c r="HL19" s="261"/>
      <c r="HM19" s="261"/>
      <c r="HN19" s="261"/>
      <c r="HO19" s="261"/>
      <c r="HP19" s="261"/>
      <c r="HQ19" s="261"/>
      <c r="HR19" s="261"/>
      <c r="HS19" s="261"/>
      <c r="HT19" s="261"/>
      <c r="HU19" s="261"/>
      <c r="HV19" s="261"/>
      <c r="HW19" s="261"/>
      <c r="HX19" s="261"/>
      <c r="HY19" s="261"/>
      <c r="HZ19" s="261"/>
      <c r="IA19" s="261"/>
      <c r="IB19" s="261"/>
      <c r="IC19" s="261"/>
      <c r="ID19" s="261"/>
      <c r="IE19" s="261"/>
      <c r="IF19" s="261"/>
      <c r="IG19" s="261"/>
      <c r="IH19" s="261"/>
      <c r="II19" s="261"/>
      <c r="IJ19" s="261"/>
      <c r="IK19" s="261"/>
      <c r="IL19" s="261"/>
      <c r="IM19" s="261"/>
      <c r="IN19" s="261"/>
      <c r="IO19" s="261"/>
      <c r="IP19" s="261"/>
      <c r="IQ19" s="261"/>
      <c r="IR19" s="261"/>
      <c r="IS19" s="261"/>
      <c r="IT19" s="261"/>
      <c r="IU19" s="261"/>
      <c r="IV19" s="261"/>
      <c r="IW19" s="261"/>
      <c r="IX19" s="261"/>
      <c r="IY19" s="261"/>
      <c r="IZ19" s="261"/>
      <c r="JA19" s="261"/>
      <c r="JB19" s="261"/>
      <c r="JC19" s="261"/>
      <c r="JD19" s="261"/>
      <c r="JE19" s="261"/>
      <c r="JF19" s="261"/>
      <c r="JG19" s="261"/>
      <c r="JH19" s="261"/>
      <c r="JI19" s="261"/>
      <c r="JJ19" s="261"/>
      <c r="JK19" s="261"/>
      <c r="JL19" s="261"/>
      <c r="JM19" s="261"/>
      <c r="JN19" s="261"/>
      <c r="JO19" s="261"/>
    </row>
    <row r="20" spans="1:275" s="651" customFormat="1" ht="11.25" customHeight="1">
      <c r="A20" s="683" t="s">
        <v>566</v>
      </c>
      <c r="B20" s="644"/>
      <c r="C20" s="645"/>
      <c r="D20" s="645"/>
      <c r="E20" s="645"/>
      <c r="F20" s="645"/>
      <c r="G20" s="645"/>
      <c r="H20" s="645"/>
      <c r="I20" s="645"/>
      <c r="J20" s="645"/>
      <c r="K20" s="645"/>
      <c r="L20" s="645"/>
      <c r="M20" s="645"/>
      <c r="N20" s="645"/>
      <c r="O20" s="645"/>
      <c r="P20" s="645"/>
      <c r="Q20" s="645"/>
      <c r="R20" s="645"/>
      <c r="S20" s="645"/>
      <c r="T20" s="645"/>
      <c r="U20" s="645"/>
      <c r="V20" s="645"/>
      <c r="W20" s="645"/>
      <c r="X20" s="645"/>
      <c r="Y20" s="645"/>
      <c r="Z20" s="645"/>
      <c r="AA20" s="645"/>
      <c r="AB20" s="645"/>
      <c r="AC20" s="645"/>
      <c r="AD20" s="645"/>
      <c r="AE20" s="645"/>
      <c r="AF20" s="645"/>
      <c r="AG20" s="645"/>
      <c r="AH20" s="645"/>
      <c r="AI20" s="645"/>
      <c r="AJ20" s="645"/>
      <c r="AK20" s="645"/>
      <c r="AL20" s="645"/>
      <c r="AM20" s="645"/>
      <c r="AN20" s="645"/>
      <c r="AO20" s="645"/>
      <c r="AP20" s="645"/>
      <c r="AQ20" s="645"/>
      <c r="AR20" s="645"/>
      <c r="AS20" s="645"/>
      <c r="AT20" s="645"/>
      <c r="AU20" s="645"/>
      <c r="AV20" s="645"/>
      <c r="AW20" s="645"/>
      <c r="AX20" s="645"/>
      <c r="AY20" s="645"/>
      <c r="AZ20" s="645"/>
      <c r="BA20" s="645"/>
      <c r="BB20" s="645"/>
      <c r="BC20" s="645"/>
      <c r="BD20" s="645"/>
      <c r="BE20" s="645"/>
      <c r="BF20" s="645"/>
      <c r="BG20" s="645"/>
      <c r="BH20" s="645"/>
      <c r="BI20" s="645"/>
      <c r="BJ20" s="645"/>
      <c r="BK20" s="645"/>
      <c r="BL20" s="645"/>
      <c r="BM20" s="645"/>
      <c r="BN20" s="645"/>
      <c r="BO20" s="645"/>
      <c r="BP20" s="645"/>
      <c r="BQ20" s="645"/>
      <c r="BR20" s="645"/>
      <c r="BS20" s="645"/>
      <c r="BT20" s="645"/>
      <c r="BU20" s="645"/>
      <c r="BV20" s="645"/>
      <c r="BW20" s="645"/>
      <c r="BX20" s="645"/>
      <c r="BY20" s="645"/>
      <c r="BZ20" s="646"/>
      <c r="CA20" s="645"/>
      <c r="CB20" s="645"/>
      <c r="CC20" s="645"/>
      <c r="CD20" s="645"/>
      <c r="CE20" s="661"/>
      <c r="CF20" s="645"/>
      <c r="CG20" s="645"/>
      <c r="CH20" s="645"/>
      <c r="CI20" s="645"/>
      <c r="CJ20" s="661"/>
      <c r="CK20" s="645"/>
      <c r="CL20" s="645"/>
      <c r="CM20" s="645"/>
      <c r="CN20" s="645"/>
      <c r="CO20" s="661"/>
      <c r="CP20" s="645"/>
      <c r="CQ20" s="645"/>
      <c r="CR20" s="645"/>
      <c r="CS20" s="645"/>
      <c r="CT20" s="661"/>
      <c r="CU20" s="645"/>
      <c r="CV20" s="645"/>
      <c r="CW20" s="645"/>
      <c r="CX20" s="645"/>
      <c r="CY20" s="661"/>
      <c r="CZ20" s="645"/>
      <c r="DA20" s="645"/>
      <c r="DB20" s="645"/>
      <c r="DC20" s="645"/>
      <c r="DD20" s="646"/>
      <c r="DE20" s="645"/>
      <c r="DF20" s="645"/>
      <c r="DG20" s="645"/>
      <c r="DH20" s="645"/>
      <c r="DI20" s="646"/>
      <c r="DJ20" s="645"/>
      <c r="DK20" s="645"/>
      <c r="DL20" s="645"/>
      <c r="DM20" s="645"/>
      <c r="DN20" s="646"/>
      <c r="DO20" s="645"/>
      <c r="DP20" s="645"/>
      <c r="DQ20" s="645"/>
      <c r="DR20" s="645"/>
      <c r="DS20" s="661"/>
      <c r="DT20" s="645"/>
      <c r="DU20" s="645"/>
      <c r="DV20" s="645"/>
      <c r="DW20" s="645"/>
      <c r="DX20" s="661"/>
      <c r="DY20" s="645"/>
      <c r="DZ20" s="645"/>
      <c r="EA20" s="645"/>
      <c r="EB20" s="645"/>
      <c r="EC20" s="661"/>
      <c r="ED20" s="645"/>
      <c r="EE20" s="645"/>
      <c r="EF20" s="645"/>
      <c r="EG20" s="645"/>
      <c r="EH20" s="646"/>
      <c r="EI20" s="645"/>
      <c r="EJ20" s="645"/>
      <c r="EK20" s="645"/>
      <c r="EL20" s="645"/>
      <c r="EM20" s="646"/>
      <c r="EN20" s="645"/>
      <c r="EO20" s="645"/>
      <c r="EP20" s="645"/>
      <c r="EQ20" s="645"/>
      <c r="ER20" s="646"/>
      <c r="ES20" s="645"/>
      <c r="ET20" s="645"/>
      <c r="EU20" s="645"/>
      <c r="EV20" s="645"/>
      <c r="EW20" s="646"/>
      <c r="EX20" s="645"/>
      <c r="EY20" s="645"/>
      <c r="EZ20" s="645"/>
      <c r="FA20" s="645"/>
      <c r="FB20" s="646"/>
      <c r="FC20" s="645"/>
      <c r="FD20" s="645"/>
      <c r="FE20" s="645"/>
      <c r="FF20" s="645"/>
      <c r="FG20" s="646"/>
      <c r="FH20" s="645"/>
      <c r="FI20" s="645"/>
      <c r="FJ20" s="645"/>
      <c r="FK20" s="645"/>
      <c r="FL20" s="646"/>
      <c r="FM20" s="261"/>
      <c r="FN20" s="261"/>
      <c r="FO20" s="261"/>
      <c r="FP20" s="261"/>
      <c r="FQ20" s="261"/>
      <c r="FR20" s="261"/>
      <c r="FS20" s="261"/>
      <c r="FT20" s="261"/>
      <c r="FU20" s="261"/>
      <c r="FV20" s="261"/>
      <c r="FW20" s="261"/>
      <c r="FX20" s="261"/>
      <c r="FY20" s="261"/>
      <c r="FZ20" s="261"/>
      <c r="GA20" s="261"/>
      <c r="GB20" s="261"/>
      <c r="GC20" s="261"/>
      <c r="GD20" s="261"/>
      <c r="GE20" s="261"/>
      <c r="GF20" s="261"/>
      <c r="GG20" s="261"/>
      <c r="GH20" s="261"/>
      <c r="GI20" s="261"/>
      <c r="GJ20" s="261"/>
      <c r="GK20" s="261"/>
      <c r="GL20" s="261"/>
      <c r="GM20" s="261"/>
      <c r="GN20" s="261"/>
      <c r="GO20" s="261"/>
      <c r="GP20" s="261"/>
      <c r="GQ20" s="261"/>
      <c r="GR20" s="261"/>
      <c r="GS20" s="261"/>
      <c r="GT20" s="261"/>
      <c r="GU20" s="261"/>
      <c r="GV20" s="261"/>
      <c r="GW20" s="261"/>
      <c r="GX20" s="261"/>
      <c r="GY20" s="261"/>
      <c r="GZ20" s="261"/>
      <c r="HA20" s="261"/>
      <c r="HB20" s="261"/>
      <c r="HC20" s="261"/>
      <c r="HD20" s="261"/>
      <c r="HE20" s="261"/>
      <c r="HF20" s="261"/>
      <c r="HG20" s="261"/>
      <c r="HH20" s="261"/>
      <c r="HI20" s="261"/>
      <c r="HJ20" s="261"/>
      <c r="HK20" s="261"/>
      <c r="HL20" s="261"/>
      <c r="HM20" s="261"/>
      <c r="HN20" s="261"/>
      <c r="HO20" s="261"/>
      <c r="HP20" s="261"/>
      <c r="HQ20" s="261"/>
      <c r="HR20" s="261"/>
      <c r="HS20" s="261"/>
      <c r="HT20" s="261"/>
      <c r="HU20" s="261"/>
      <c r="HV20" s="261"/>
      <c r="HW20" s="261"/>
      <c r="HX20" s="261"/>
      <c r="HY20" s="261"/>
      <c r="HZ20" s="261"/>
      <c r="IA20" s="261"/>
      <c r="IB20" s="261"/>
      <c r="IC20" s="261"/>
      <c r="ID20" s="261"/>
      <c r="IE20" s="261"/>
      <c r="IF20" s="261"/>
      <c r="IG20" s="261"/>
      <c r="IH20" s="261"/>
      <c r="II20" s="261"/>
      <c r="IJ20" s="261"/>
      <c r="IK20" s="261"/>
      <c r="IL20" s="261"/>
      <c r="IM20" s="261"/>
      <c r="IN20" s="261"/>
      <c r="IO20" s="261"/>
      <c r="IP20" s="261"/>
      <c r="IQ20" s="261"/>
      <c r="IR20" s="261"/>
      <c r="IS20" s="261"/>
      <c r="IT20" s="261"/>
      <c r="IU20" s="261"/>
      <c r="IV20" s="261"/>
      <c r="IW20" s="261"/>
      <c r="IX20" s="261"/>
      <c r="IY20" s="261"/>
      <c r="IZ20" s="261"/>
      <c r="JA20" s="261"/>
      <c r="JB20" s="261"/>
      <c r="JC20" s="261"/>
      <c r="JD20" s="261"/>
      <c r="JE20" s="261"/>
      <c r="JF20" s="261"/>
      <c r="JG20" s="261"/>
      <c r="JH20" s="261"/>
      <c r="JI20" s="261"/>
      <c r="JJ20" s="261"/>
      <c r="JK20" s="261"/>
      <c r="JL20" s="261"/>
      <c r="JM20" s="261"/>
      <c r="JN20" s="261"/>
      <c r="JO20" s="261"/>
    </row>
    <row r="21" spans="1:275" s="684" customFormat="1" ht="11.25" customHeight="1">
      <c r="A21" s="652" t="s">
        <v>567</v>
      </c>
      <c r="B21" s="653"/>
      <c r="C21" s="654"/>
      <c r="D21" s="654"/>
      <c r="E21" s="654"/>
      <c r="F21" s="654"/>
      <c r="G21" s="654"/>
      <c r="H21" s="654"/>
      <c r="I21" s="654"/>
      <c r="J21" s="654"/>
      <c r="K21" s="654"/>
      <c r="L21" s="654"/>
      <c r="M21" s="654"/>
      <c r="N21" s="654"/>
      <c r="O21" s="654"/>
      <c r="P21" s="654"/>
      <c r="Q21" s="654"/>
      <c r="R21" s="654"/>
      <c r="S21" s="654"/>
      <c r="T21" s="654"/>
      <c r="U21" s="654"/>
      <c r="V21" s="654"/>
      <c r="W21" s="654"/>
      <c r="X21" s="654"/>
      <c r="Y21" s="654"/>
      <c r="Z21" s="654"/>
      <c r="AA21" s="654"/>
      <c r="AB21" s="654"/>
      <c r="AC21" s="654"/>
      <c r="AD21" s="654"/>
      <c r="AE21" s="654"/>
      <c r="AF21" s="654"/>
      <c r="AG21" s="654"/>
      <c r="AH21" s="654"/>
      <c r="AI21" s="654"/>
      <c r="AJ21" s="654"/>
      <c r="AK21" s="654"/>
      <c r="AL21" s="654"/>
      <c r="AM21" s="654"/>
      <c r="AN21" s="654"/>
      <c r="AO21" s="654"/>
      <c r="AP21" s="654"/>
      <c r="AQ21" s="654"/>
      <c r="AR21" s="654"/>
      <c r="AS21" s="654"/>
      <c r="AT21" s="654"/>
      <c r="AU21" s="654"/>
      <c r="AV21" s="654"/>
      <c r="AW21" s="654"/>
      <c r="AX21" s="654"/>
      <c r="AY21" s="654"/>
      <c r="AZ21" s="654"/>
      <c r="BA21" s="654"/>
      <c r="BB21" s="654"/>
      <c r="BC21" s="654"/>
      <c r="BD21" s="654"/>
      <c r="BE21" s="654"/>
      <c r="BF21" s="654"/>
      <c r="BG21" s="654"/>
      <c r="BH21" s="654"/>
      <c r="BI21" s="654"/>
      <c r="BJ21" s="654"/>
      <c r="BK21" s="654"/>
      <c r="BL21" s="654"/>
      <c r="BM21" s="654"/>
      <c r="BN21" s="654"/>
      <c r="BO21" s="654"/>
      <c r="BP21" s="654"/>
      <c r="BQ21" s="654"/>
      <c r="BR21" s="654"/>
      <c r="BS21" s="654"/>
      <c r="BT21" s="654"/>
      <c r="BU21" s="654"/>
      <c r="BV21" s="654"/>
      <c r="BW21" s="654"/>
      <c r="BX21" s="654"/>
      <c r="BY21" s="654"/>
      <c r="BZ21" s="655"/>
      <c r="CA21" s="355">
        <f>CA11/CA10</f>
        <v>3.2278889606197545E-4</v>
      </c>
      <c r="CB21" s="355">
        <f t="shared" ref="CB21:CS21" si="13">CB11/CB10</f>
        <v>3.5739814152966406E-4</v>
      </c>
      <c r="CC21" s="355">
        <f t="shared" si="13"/>
        <v>4.0032025620496394E-4</v>
      </c>
      <c r="CD21" s="355">
        <f t="shared" si="13"/>
        <v>4.5495905368516835E-4</v>
      </c>
      <c r="CE21" s="313">
        <f>CE11/CE10</f>
        <v>1.2911555842479018E-3</v>
      </c>
      <c r="CF21" s="355">
        <f t="shared" si="13"/>
        <v>2.5289778714436249E-2</v>
      </c>
      <c r="CG21" s="355">
        <f t="shared" si="13"/>
        <v>2.5869037995149554E-2</v>
      </c>
      <c r="CH21" s="355">
        <f t="shared" si="13"/>
        <v>2.6475455046883617E-2</v>
      </c>
      <c r="CI21" s="355">
        <f t="shared" si="13"/>
        <v>2.7110985597288903E-2</v>
      </c>
      <c r="CJ21" s="313">
        <f>CJ11/CJ10</f>
        <v>0.10115911485774499</v>
      </c>
      <c r="CK21" s="355">
        <f t="shared" si="13"/>
        <v>1.1574074074074073E-3</v>
      </c>
      <c r="CL21" s="355">
        <f t="shared" si="13"/>
        <v>0</v>
      </c>
      <c r="CM21" s="355">
        <f t="shared" si="13"/>
        <v>0</v>
      </c>
      <c r="CN21" s="355">
        <f t="shared" si="13"/>
        <v>2.6246719160104987E-3</v>
      </c>
      <c r="CO21" s="313">
        <f>CO11/CO10</f>
        <v>3.472222222222222E-3</v>
      </c>
      <c r="CP21" s="355">
        <f t="shared" si="13"/>
        <v>1E-3</v>
      </c>
      <c r="CQ21" s="355">
        <f t="shared" si="13"/>
        <v>1.0814708002883922E-3</v>
      </c>
      <c r="CR21" s="355">
        <f t="shared" si="13"/>
        <v>1.1773940345368916E-3</v>
      </c>
      <c r="CS21" s="355">
        <f t="shared" si="13"/>
        <v>1.2919896640826874E-3</v>
      </c>
      <c r="CT21" s="313">
        <f t="shared" ref="CT21:CY21" si="14">CT11/CT10</f>
        <v>4.0000000000000001E-3</v>
      </c>
      <c r="CU21" s="355">
        <f t="shared" si="14"/>
        <v>4.7709923664122139E-3</v>
      </c>
      <c r="CV21" s="355">
        <f t="shared" si="14"/>
        <v>5.1652892561983473E-3</v>
      </c>
      <c r="CW21" s="355">
        <f t="shared" si="14"/>
        <v>5.6306306306306304E-3</v>
      </c>
      <c r="CX21" s="355">
        <f t="shared" si="14"/>
        <v>6.1881188118811884E-3</v>
      </c>
      <c r="CY21" s="313">
        <f t="shared" si="14"/>
        <v>1.9083969465648856E-2</v>
      </c>
      <c r="CZ21" s="679">
        <f>CX21</f>
        <v>6.1881188118811884E-3</v>
      </c>
      <c r="DA21" s="679">
        <f>CZ21</f>
        <v>6.1881188118811884E-3</v>
      </c>
      <c r="DB21" s="679">
        <f>DA21</f>
        <v>6.1881188118811884E-3</v>
      </c>
      <c r="DC21" s="679">
        <f>DB21</f>
        <v>6.1881188118811884E-3</v>
      </c>
      <c r="DD21" s="313">
        <f>DD11/DD10</f>
        <v>2.2554752001009076E-2</v>
      </c>
      <c r="DE21" s="679">
        <f>DC21</f>
        <v>6.1881188118811884E-3</v>
      </c>
      <c r="DF21" s="679">
        <f>DE21</f>
        <v>6.1881188118811884E-3</v>
      </c>
      <c r="DG21" s="679">
        <f>DF21</f>
        <v>6.1881188118811884E-3</v>
      </c>
      <c r="DH21" s="679">
        <f>DG21</f>
        <v>6.1881188118811884E-3</v>
      </c>
      <c r="DI21" s="313">
        <f>DI11/DI10</f>
        <v>2.2554752001009079E-2</v>
      </c>
      <c r="DJ21" s="679">
        <f>DH21</f>
        <v>6.1881188118811884E-3</v>
      </c>
      <c r="DK21" s="679">
        <f>DJ21</f>
        <v>6.1881188118811884E-3</v>
      </c>
      <c r="DL21" s="679">
        <f>DK21</f>
        <v>6.1881188118811884E-3</v>
      </c>
      <c r="DM21" s="679">
        <f>DL21</f>
        <v>6.1881188118811884E-3</v>
      </c>
      <c r="DN21" s="313">
        <f>DN11/DN10</f>
        <v>2.2554752001009083E-2</v>
      </c>
      <c r="DO21" s="679">
        <f>DM21</f>
        <v>6.1881188118811884E-3</v>
      </c>
      <c r="DP21" s="679">
        <f>DO21</f>
        <v>6.1881188118811884E-3</v>
      </c>
      <c r="DQ21" s="679">
        <f>DP21</f>
        <v>6.1881188118811884E-3</v>
      </c>
      <c r="DR21" s="679">
        <f>DQ21</f>
        <v>6.1881188118811884E-3</v>
      </c>
      <c r="DS21" s="313">
        <f>DS11/DS10</f>
        <v>2.2554752001009089E-2</v>
      </c>
      <c r="DT21" s="679">
        <f>DR21</f>
        <v>6.1881188118811884E-3</v>
      </c>
      <c r="DU21" s="679">
        <f>DT21</f>
        <v>6.1881188118811884E-3</v>
      </c>
      <c r="DV21" s="679">
        <f>DU21</f>
        <v>6.1881188118811884E-3</v>
      </c>
      <c r="DW21" s="679">
        <f>DV21</f>
        <v>6.1881188118811884E-3</v>
      </c>
      <c r="DX21" s="313">
        <f>DX11/DX10</f>
        <v>2.2554752001009093E-2</v>
      </c>
      <c r="DY21" s="679">
        <f>DW21</f>
        <v>6.1881188118811884E-3</v>
      </c>
      <c r="DZ21" s="679">
        <f>DY21</f>
        <v>6.1881188118811884E-3</v>
      </c>
      <c r="EA21" s="679">
        <f>DZ21</f>
        <v>6.1881188118811884E-3</v>
      </c>
      <c r="EB21" s="679">
        <f>EA21</f>
        <v>6.1881188118811884E-3</v>
      </c>
      <c r="EC21" s="313">
        <f>EC11/EC10</f>
        <v>2.25547520010091E-2</v>
      </c>
      <c r="ED21" s="679">
        <f>EB21</f>
        <v>6.1881188118811884E-3</v>
      </c>
      <c r="EE21" s="679">
        <f>ED21</f>
        <v>6.1881188118811884E-3</v>
      </c>
      <c r="EF21" s="679">
        <f>EE21</f>
        <v>6.1881188118811884E-3</v>
      </c>
      <c r="EG21" s="679">
        <f>EF21</f>
        <v>6.1881188118811884E-3</v>
      </c>
      <c r="EH21" s="313">
        <f>EH11/EH10</f>
        <v>2.2554752001009107E-2</v>
      </c>
      <c r="EI21" s="679">
        <f>EG21</f>
        <v>6.1881188118811884E-3</v>
      </c>
      <c r="EJ21" s="679">
        <f>EI21</f>
        <v>6.1881188118811884E-3</v>
      </c>
      <c r="EK21" s="679">
        <f>EJ21</f>
        <v>6.1881188118811884E-3</v>
      </c>
      <c r="EL21" s="679">
        <f>EK21</f>
        <v>6.1881188118811884E-3</v>
      </c>
      <c r="EM21" s="313">
        <f>EM11/EM10</f>
        <v>2.2642193083931263E-2</v>
      </c>
      <c r="EN21" s="679">
        <f>EL21</f>
        <v>6.1881188118811884E-3</v>
      </c>
      <c r="EO21" s="679">
        <f>EN21</f>
        <v>6.1881188118811884E-3</v>
      </c>
      <c r="EP21" s="679">
        <f>EO21</f>
        <v>6.1881188118811884E-3</v>
      </c>
      <c r="EQ21" s="679">
        <f>EP21</f>
        <v>6.1881188118811884E-3</v>
      </c>
      <c r="ER21" s="313">
        <f>ER11/ER10</f>
        <v>2.2642193083931273E-2</v>
      </c>
      <c r="ES21" s="679">
        <f>EQ21</f>
        <v>6.1881188118811884E-3</v>
      </c>
      <c r="ET21" s="679">
        <f>ES21</f>
        <v>6.1881188118811884E-3</v>
      </c>
      <c r="EU21" s="679">
        <f>ET21</f>
        <v>6.1881188118811884E-3</v>
      </c>
      <c r="EV21" s="679">
        <f>EU21</f>
        <v>6.1881188118811884E-3</v>
      </c>
      <c r="EW21" s="313">
        <f>EW11/EW10</f>
        <v>2.264219308393128E-2</v>
      </c>
      <c r="EX21" s="679">
        <f>EV21</f>
        <v>6.1881188118811884E-3</v>
      </c>
      <c r="EY21" s="679">
        <f>EX21</f>
        <v>6.1881188118811884E-3</v>
      </c>
      <c r="EZ21" s="679">
        <f>EY21</f>
        <v>6.1881188118811884E-3</v>
      </c>
      <c r="FA21" s="679">
        <f>EZ21</f>
        <v>6.1881188118811884E-3</v>
      </c>
      <c r="FB21" s="313">
        <f>FB11/FB10</f>
        <v>2.2554752001009142E-2</v>
      </c>
      <c r="FC21" s="679">
        <f>FA21</f>
        <v>6.1881188118811884E-3</v>
      </c>
      <c r="FD21" s="679">
        <f>FC21</f>
        <v>6.1881188118811884E-3</v>
      </c>
      <c r="FE21" s="679">
        <f>FD21</f>
        <v>6.1881188118811884E-3</v>
      </c>
      <c r="FF21" s="679">
        <f>FE21</f>
        <v>6.1881188118811884E-3</v>
      </c>
      <c r="FG21" s="313">
        <f>FG11/FG10</f>
        <v>2.2554752001009155E-2</v>
      </c>
      <c r="FH21" s="679">
        <f>FF21</f>
        <v>6.1881188118811884E-3</v>
      </c>
      <c r="FI21" s="679">
        <f>FH21</f>
        <v>6.1881188118811884E-3</v>
      </c>
      <c r="FJ21" s="679">
        <f>FI21</f>
        <v>6.1881188118811884E-3</v>
      </c>
      <c r="FK21" s="679">
        <f>FJ21</f>
        <v>6.1881188118811884E-3</v>
      </c>
      <c r="FL21" s="313">
        <f>FL11/FL10</f>
        <v>2.255475200100918E-2</v>
      </c>
      <c r="FM21" s="261"/>
      <c r="FN21" s="261"/>
      <c r="FO21" s="261"/>
      <c r="FP21" s="261"/>
      <c r="FQ21" s="261"/>
      <c r="FR21" s="261"/>
      <c r="FS21" s="261"/>
      <c r="FT21" s="261"/>
      <c r="FU21" s="261"/>
      <c r="FV21" s="261"/>
      <c r="FW21" s="261"/>
      <c r="FX21" s="261"/>
      <c r="FY21" s="261"/>
      <c r="FZ21" s="261"/>
      <c r="GA21" s="261"/>
      <c r="GB21" s="261"/>
      <c r="GC21" s="261"/>
      <c r="GD21" s="261"/>
      <c r="GE21" s="261"/>
      <c r="GF21" s="261"/>
      <c r="GG21" s="261"/>
      <c r="GH21" s="261"/>
      <c r="GI21" s="261"/>
      <c r="GJ21" s="261"/>
      <c r="GK21" s="261"/>
      <c r="GL21" s="261"/>
      <c r="GM21" s="261"/>
      <c r="GN21" s="261"/>
      <c r="GO21" s="261"/>
      <c r="GP21" s="261"/>
      <c r="GQ21" s="261"/>
      <c r="GR21" s="261"/>
      <c r="GS21" s="261"/>
      <c r="GT21" s="261"/>
      <c r="GU21" s="261"/>
      <c r="GV21" s="261"/>
      <c r="GW21" s="261"/>
      <c r="GX21" s="261"/>
      <c r="GY21" s="261"/>
      <c r="GZ21" s="261"/>
      <c r="HA21" s="261"/>
      <c r="HB21" s="261"/>
      <c r="HC21" s="261"/>
      <c r="HD21" s="261"/>
      <c r="HE21" s="261"/>
      <c r="HF21" s="261"/>
      <c r="HG21" s="261"/>
      <c r="HH21" s="261"/>
      <c r="HI21" s="261"/>
      <c r="HJ21" s="261"/>
      <c r="HK21" s="261"/>
      <c r="HL21" s="261"/>
      <c r="HM21" s="261"/>
      <c r="HN21" s="261"/>
      <c r="HO21" s="261"/>
      <c r="HP21" s="261"/>
      <c r="HQ21" s="261"/>
      <c r="HR21" s="261"/>
      <c r="HS21" s="261"/>
      <c r="HT21" s="261"/>
      <c r="HU21" s="261"/>
      <c r="HV21" s="261"/>
      <c r="HW21" s="261"/>
      <c r="HX21" s="261"/>
      <c r="HY21" s="261"/>
      <c r="HZ21" s="261"/>
      <c r="IA21" s="261"/>
      <c r="IB21" s="261"/>
      <c r="IC21" s="261"/>
      <c r="ID21" s="261"/>
      <c r="IE21" s="261"/>
      <c r="IF21" s="261"/>
      <c r="IG21" s="261"/>
      <c r="IH21" s="261"/>
      <c r="II21" s="261"/>
      <c r="IJ21" s="261"/>
      <c r="IK21" s="261"/>
      <c r="IL21" s="261"/>
      <c r="IM21" s="261"/>
      <c r="IN21" s="261"/>
      <c r="IO21" s="261"/>
      <c r="IP21" s="261"/>
      <c r="IQ21" s="261"/>
      <c r="IR21" s="261"/>
      <c r="IS21" s="261"/>
      <c r="IT21" s="261"/>
      <c r="IU21" s="261"/>
      <c r="IV21" s="261"/>
      <c r="IW21" s="261"/>
      <c r="IX21" s="261"/>
      <c r="IY21" s="261"/>
      <c r="IZ21" s="261"/>
      <c r="JA21" s="261"/>
      <c r="JB21" s="261"/>
      <c r="JC21" s="261"/>
      <c r="JD21" s="261"/>
      <c r="JE21" s="261"/>
      <c r="JF21" s="261"/>
      <c r="JG21" s="261"/>
      <c r="JH21" s="261"/>
      <c r="JI21" s="261"/>
      <c r="JJ21" s="261"/>
      <c r="JK21" s="261"/>
      <c r="JL21" s="261"/>
      <c r="JM21" s="261"/>
      <c r="JN21" s="261"/>
      <c r="JO21" s="261"/>
    </row>
    <row r="22" spans="1:275" s="684" customFormat="1" ht="11.25" customHeight="1">
      <c r="A22" s="652" t="s">
        <v>568</v>
      </c>
      <c r="B22" s="653"/>
      <c r="C22" s="654"/>
      <c r="D22" s="654"/>
      <c r="E22" s="654"/>
      <c r="F22" s="654"/>
      <c r="G22" s="654"/>
      <c r="H22" s="654"/>
      <c r="I22" s="654"/>
      <c r="J22" s="654"/>
      <c r="K22" s="654"/>
      <c r="L22" s="654"/>
      <c r="M22" s="654"/>
      <c r="N22" s="654"/>
      <c r="O22" s="654"/>
      <c r="P22" s="654"/>
      <c r="Q22" s="654"/>
      <c r="R22" s="654"/>
      <c r="S22" s="654"/>
      <c r="T22" s="654"/>
      <c r="U22" s="654"/>
      <c r="V22" s="654"/>
      <c r="W22" s="654"/>
      <c r="X22" s="654"/>
      <c r="Y22" s="654"/>
      <c r="Z22" s="654"/>
      <c r="AA22" s="654"/>
      <c r="AB22" s="654"/>
      <c r="AC22" s="654"/>
      <c r="AD22" s="654"/>
      <c r="AE22" s="654"/>
      <c r="AF22" s="654"/>
      <c r="AG22" s="654"/>
      <c r="AH22" s="654"/>
      <c r="AI22" s="654"/>
      <c r="AJ22" s="654"/>
      <c r="AK22" s="654"/>
      <c r="AL22" s="654"/>
      <c r="AM22" s="654"/>
      <c r="AN22" s="654"/>
      <c r="AO22" s="654"/>
      <c r="AP22" s="654"/>
      <c r="AQ22" s="654"/>
      <c r="AR22" s="654"/>
      <c r="AS22" s="654"/>
      <c r="AT22" s="654"/>
      <c r="AU22" s="654"/>
      <c r="AV22" s="654"/>
      <c r="AW22" s="654"/>
      <c r="AX22" s="654"/>
      <c r="AY22" s="654"/>
      <c r="AZ22" s="654"/>
      <c r="BA22" s="654"/>
      <c r="BB22" s="654"/>
      <c r="BC22" s="654"/>
      <c r="BD22" s="654"/>
      <c r="BE22" s="654"/>
      <c r="BF22" s="654"/>
      <c r="BG22" s="654"/>
      <c r="BH22" s="654"/>
      <c r="BI22" s="654"/>
      <c r="BJ22" s="654"/>
      <c r="BK22" s="654"/>
      <c r="BL22" s="654"/>
      <c r="BM22" s="654"/>
      <c r="BN22" s="654"/>
      <c r="BO22" s="654"/>
      <c r="BP22" s="654"/>
      <c r="BQ22" s="654"/>
      <c r="BR22" s="654"/>
      <c r="BS22" s="654"/>
      <c r="BT22" s="654"/>
      <c r="BU22" s="654"/>
      <c r="BV22" s="654"/>
      <c r="BW22" s="654"/>
      <c r="BX22" s="654"/>
      <c r="BY22" s="654"/>
      <c r="BZ22" s="655"/>
      <c r="CA22" s="355">
        <f t="shared" ref="CA22:CS22" si="15">CA12/CA10</f>
        <v>3.195610071013557E-2</v>
      </c>
      <c r="CB22" s="355">
        <f t="shared" si="15"/>
        <v>3.538241601143674E-2</v>
      </c>
      <c r="CC22" s="355">
        <f t="shared" si="15"/>
        <v>3.9631705364291434E-2</v>
      </c>
      <c r="CD22" s="355">
        <f t="shared" si="15"/>
        <v>4.5040946314831666E-2</v>
      </c>
      <c r="CE22" s="313">
        <f>CE12/CE10</f>
        <v>0.12782440284054228</v>
      </c>
      <c r="CF22" s="355">
        <f t="shared" si="15"/>
        <v>3.6354056902002108E-2</v>
      </c>
      <c r="CG22" s="355">
        <f t="shared" si="15"/>
        <v>3.7186742118027485E-2</v>
      </c>
      <c r="CH22" s="355">
        <f t="shared" si="15"/>
        <v>3.8058466629895205E-2</v>
      </c>
      <c r="CI22" s="355">
        <f t="shared" si="15"/>
        <v>3.8972041796102794E-2</v>
      </c>
      <c r="CJ22" s="313">
        <f>CJ12/CJ10</f>
        <v>0.14541622760800843</v>
      </c>
      <c r="CK22" s="355">
        <f t="shared" si="15"/>
        <v>3.9351851851851853E-2</v>
      </c>
      <c r="CL22" s="355">
        <f t="shared" si="15"/>
        <v>2.0833333333333332E-2</v>
      </c>
      <c r="CM22" s="355">
        <f t="shared" si="15"/>
        <v>2.2842639593908629E-2</v>
      </c>
      <c r="CN22" s="355">
        <f t="shared" si="15"/>
        <v>9.1863517060367453E-3</v>
      </c>
      <c r="CO22" s="313">
        <f>CO12/CO10</f>
        <v>8.7962962962962965E-2</v>
      </c>
      <c r="CP22" s="355">
        <f t="shared" si="15"/>
        <v>4.4666666666666667E-2</v>
      </c>
      <c r="CQ22" s="355">
        <f t="shared" si="15"/>
        <v>4.830569574621485E-2</v>
      </c>
      <c r="CR22" s="355">
        <f t="shared" si="15"/>
        <v>5.2590266875981159E-2</v>
      </c>
      <c r="CS22" s="355">
        <f t="shared" si="15"/>
        <v>5.7708871662360037E-2</v>
      </c>
      <c r="CT22" s="313">
        <f t="shared" ref="CT22:CY22" si="16">CT12/CT10</f>
        <v>0.17866666666666667</v>
      </c>
      <c r="CU22" s="355">
        <f t="shared" si="16"/>
        <v>5.7729007633587785E-2</v>
      </c>
      <c r="CV22" s="355">
        <f t="shared" si="16"/>
        <v>6.25E-2</v>
      </c>
      <c r="CW22" s="355">
        <f t="shared" si="16"/>
        <v>6.8130630630630629E-2</v>
      </c>
      <c r="CX22" s="355">
        <f t="shared" si="16"/>
        <v>7.4876237623762373E-2</v>
      </c>
      <c r="CY22" s="313">
        <f t="shared" si="16"/>
        <v>0.23091603053435114</v>
      </c>
      <c r="CZ22" s="679">
        <v>0.04</v>
      </c>
      <c r="DA22" s="679">
        <v>3.5000000000000003E-2</v>
      </c>
      <c r="DB22" s="679">
        <f>DA22</f>
        <v>3.5000000000000003E-2</v>
      </c>
      <c r="DC22" s="679">
        <f>DB22</f>
        <v>3.5000000000000003E-2</v>
      </c>
      <c r="DD22" s="313">
        <f>DD12/DD10</f>
        <v>0.13256967731770733</v>
      </c>
      <c r="DE22" s="679">
        <v>0.04</v>
      </c>
      <c r="DF22" s="679">
        <v>3.5000000000000003E-2</v>
      </c>
      <c r="DG22" s="679">
        <f>DF22</f>
        <v>3.5000000000000003E-2</v>
      </c>
      <c r="DH22" s="679">
        <f>DG22</f>
        <v>3.5000000000000003E-2</v>
      </c>
      <c r="DI22" s="313">
        <f>DI12/DI10</f>
        <v>0.13256967731770736</v>
      </c>
      <c r="DJ22" s="679">
        <v>0.04</v>
      </c>
      <c r="DK22" s="679">
        <v>3.5000000000000003E-2</v>
      </c>
      <c r="DL22" s="679">
        <f>DK22</f>
        <v>3.5000000000000003E-2</v>
      </c>
      <c r="DM22" s="679">
        <f>DL22</f>
        <v>3.5000000000000003E-2</v>
      </c>
      <c r="DN22" s="313">
        <f>DN12/DN10</f>
        <v>0.13256967731770739</v>
      </c>
      <c r="DO22" s="679">
        <v>0.04</v>
      </c>
      <c r="DP22" s="679">
        <v>3.5000000000000003E-2</v>
      </c>
      <c r="DQ22" s="679">
        <f>DP22</f>
        <v>3.5000000000000003E-2</v>
      </c>
      <c r="DR22" s="679">
        <f>DQ22</f>
        <v>3.5000000000000003E-2</v>
      </c>
      <c r="DS22" s="313">
        <f>DS12/DS10</f>
        <v>0.13256967731770741</v>
      </c>
      <c r="DT22" s="679">
        <v>0.04</v>
      </c>
      <c r="DU22" s="679">
        <v>3.5000000000000003E-2</v>
      </c>
      <c r="DV22" s="679">
        <f>DU22</f>
        <v>3.5000000000000003E-2</v>
      </c>
      <c r="DW22" s="679">
        <f>DV22</f>
        <v>3.5000000000000003E-2</v>
      </c>
      <c r="DX22" s="313">
        <f>DX12/DX10</f>
        <v>0.13256967731770741</v>
      </c>
      <c r="DY22" s="679">
        <v>0.04</v>
      </c>
      <c r="DZ22" s="679">
        <v>3.5000000000000003E-2</v>
      </c>
      <c r="EA22" s="679">
        <v>3.5000000000000003E-2</v>
      </c>
      <c r="EB22" s="679">
        <f>EA22</f>
        <v>3.5000000000000003E-2</v>
      </c>
      <c r="EC22" s="313">
        <f>EC12/EC10</f>
        <v>0.13256967731770747</v>
      </c>
      <c r="ED22" s="679">
        <v>0.04</v>
      </c>
      <c r="EE22" s="679">
        <v>3.5000000000000003E-2</v>
      </c>
      <c r="EF22" s="679">
        <v>3.5000000000000003E-2</v>
      </c>
      <c r="EG22" s="679">
        <f>EF22</f>
        <v>3.5000000000000003E-2</v>
      </c>
      <c r="EH22" s="313">
        <f>EH12/EH10</f>
        <v>0.1325696773177075</v>
      </c>
      <c r="EI22" s="679">
        <v>3.5000000000000003E-2</v>
      </c>
      <c r="EJ22" s="679">
        <v>3.5000000000000003E-2</v>
      </c>
      <c r="EK22" s="679">
        <v>3.5000000000000003E-2</v>
      </c>
      <c r="EL22" s="679">
        <f>EK22</f>
        <v>3.5000000000000003E-2</v>
      </c>
      <c r="EM22" s="313">
        <f>EM12/EM10</f>
        <v>0.12806424408271522</v>
      </c>
      <c r="EN22" s="679">
        <v>3.5000000000000003E-2</v>
      </c>
      <c r="EO22" s="679">
        <v>3.5000000000000003E-2</v>
      </c>
      <c r="EP22" s="679">
        <v>3.5000000000000003E-2</v>
      </c>
      <c r="EQ22" s="679">
        <f>EP22</f>
        <v>3.5000000000000003E-2</v>
      </c>
      <c r="ER22" s="313">
        <f>ER12/ER10</f>
        <v>0.12806424408271527</v>
      </c>
      <c r="ES22" s="679">
        <v>3.5000000000000003E-2</v>
      </c>
      <c r="ET22" s="679">
        <v>3.5000000000000003E-2</v>
      </c>
      <c r="EU22" s="679">
        <v>3.5000000000000003E-2</v>
      </c>
      <c r="EV22" s="679">
        <f>EU22</f>
        <v>3.5000000000000003E-2</v>
      </c>
      <c r="EW22" s="313">
        <f>EW12/EW10</f>
        <v>0.12806424408271533</v>
      </c>
      <c r="EX22" s="679">
        <v>0.04</v>
      </c>
      <c r="EY22" s="679">
        <v>3.5000000000000003E-2</v>
      </c>
      <c r="EZ22" s="679">
        <f>EY22</f>
        <v>3.5000000000000003E-2</v>
      </c>
      <c r="FA22" s="679">
        <f>EZ22</f>
        <v>3.5000000000000003E-2</v>
      </c>
      <c r="FB22" s="313">
        <f>FB12/FB10</f>
        <v>0.13256967731770772</v>
      </c>
      <c r="FC22" s="679">
        <v>0.04</v>
      </c>
      <c r="FD22" s="679">
        <v>3.5000000000000003E-2</v>
      </c>
      <c r="FE22" s="679">
        <f>FD22</f>
        <v>3.5000000000000003E-2</v>
      </c>
      <c r="FF22" s="679">
        <f>FE22</f>
        <v>3.5000000000000003E-2</v>
      </c>
      <c r="FG22" s="313">
        <f>FG12/FG10</f>
        <v>0.1325696773177078</v>
      </c>
      <c r="FH22" s="679">
        <v>0.04</v>
      </c>
      <c r="FI22" s="679">
        <v>3.5000000000000003E-2</v>
      </c>
      <c r="FJ22" s="679">
        <f>FI22</f>
        <v>3.5000000000000003E-2</v>
      </c>
      <c r="FK22" s="679">
        <f>FJ22</f>
        <v>3.5000000000000003E-2</v>
      </c>
      <c r="FL22" s="313">
        <f>FL12/FL10</f>
        <v>0.13256967731770794</v>
      </c>
      <c r="FM22" s="261"/>
      <c r="FN22" s="261"/>
      <c r="FO22" s="261"/>
      <c r="FP22" s="261"/>
      <c r="FQ22" s="261"/>
      <c r="FR22" s="261"/>
      <c r="FS22" s="261"/>
      <c r="FT22" s="261"/>
      <c r="FU22" s="261"/>
      <c r="FV22" s="261"/>
      <c r="FW22" s="261"/>
      <c r="FX22" s="261"/>
      <c r="FY22" s="261"/>
      <c r="FZ22" s="261"/>
      <c r="GA22" s="261"/>
      <c r="GB22" s="261"/>
      <c r="GC22" s="261"/>
      <c r="GD22" s="261"/>
      <c r="GE22" s="261"/>
      <c r="GF22" s="261"/>
      <c r="GG22" s="261"/>
      <c r="GH22" s="261"/>
      <c r="GI22" s="261"/>
      <c r="GJ22" s="261"/>
      <c r="GK22" s="261"/>
      <c r="GL22" s="261"/>
      <c r="GM22" s="261"/>
      <c r="GN22" s="261"/>
      <c r="GO22" s="261"/>
      <c r="GP22" s="261"/>
      <c r="GQ22" s="261"/>
      <c r="GR22" s="261"/>
      <c r="GS22" s="261"/>
      <c r="GT22" s="261"/>
      <c r="GU22" s="261"/>
      <c r="GV22" s="261"/>
      <c r="GW22" s="261"/>
      <c r="GX22" s="261"/>
      <c r="GY22" s="261"/>
      <c r="GZ22" s="261"/>
      <c r="HA22" s="261"/>
      <c r="HB22" s="261"/>
      <c r="HC22" s="261"/>
      <c r="HD22" s="261"/>
      <c r="HE22" s="261"/>
      <c r="HF22" s="261"/>
      <c r="HG22" s="261"/>
      <c r="HH22" s="261"/>
      <c r="HI22" s="261"/>
      <c r="HJ22" s="261"/>
      <c r="HK22" s="261"/>
      <c r="HL22" s="261"/>
      <c r="HM22" s="261"/>
      <c r="HN22" s="261"/>
      <c r="HO22" s="261"/>
      <c r="HP22" s="261"/>
      <c r="HQ22" s="261"/>
      <c r="HR22" s="261"/>
      <c r="HS22" s="261"/>
      <c r="HT22" s="261"/>
      <c r="HU22" s="261"/>
      <c r="HV22" s="261"/>
      <c r="HW22" s="261"/>
      <c r="HX22" s="261"/>
      <c r="HY22" s="261"/>
      <c r="HZ22" s="261"/>
      <c r="IA22" s="261"/>
      <c r="IB22" s="261"/>
      <c r="IC22" s="261"/>
      <c r="ID22" s="261"/>
      <c r="IE22" s="261"/>
      <c r="IF22" s="261"/>
      <c r="IG22" s="261"/>
      <c r="IH22" s="261"/>
      <c r="II22" s="261"/>
      <c r="IJ22" s="261"/>
      <c r="IK22" s="261"/>
      <c r="IL22" s="261"/>
      <c r="IM22" s="261"/>
      <c r="IN22" s="261"/>
      <c r="IO22" s="261"/>
      <c r="IP22" s="261"/>
      <c r="IQ22" s="261"/>
      <c r="IR22" s="261"/>
      <c r="IS22" s="261"/>
      <c r="IT22" s="261"/>
      <c r="IU22" s="261"/>
      <c r="IV22" s="261"/>
      <c r="IW22" s="261"/>
      <c r="IX22" s="261"/>
      <c r="IY22" s="261"/>
      <c r="IZ22" s="261"/>
      <c r="JA22" s="261"/>
      <c r="JB22" s="261"/>
      <c r="JC22" s="261"/>
      <c r="JD22" s="261"/>
      <c r="JE22" s="261"/>
      <c r="JF22" s="261"/>
      <c r="JG22" s="261"/>
      <c r="JH22" s="261"/>
      <c r="JI22" s="261"/>
      <c r="JJ22" s="261"/>
      <c r="JK22" s="261"/>
      <c r="JL22" s="261"/>
      <c r="JM22" s="261"/>
      <c r="JN22" s="261"/>
      <c r="JO22" s="261"/>
    </row>
    <row r="23" spans="1:275" s="684" customFormat="1" ht="11.25" customHeight="1">
      <c r="A23" s="652" t="s">
        <v>570</v>
      </c>
      <c r="B23" s="653"/>
      <c r="C23" s="654"/>
      <c r="D23" s="654"/>
      <c r="E23" s="654"/>
      <c r="F23" s="654"/>
      <c r="G23" s="654"/>
      <c r="H23" s="654"/>
      <c r="I23" s="654"/>
      <c r="J23" s="654"/>
      <c r="K23" s="654"/>
      <c r="L23" s="654"/>
      <c r="M23" s="654"/>
      <c r="N23" s="654"/>
      <c r="O23" s="654"/>
      <c r="P23" s="654"/>
      <c r="Q23" s="654"/>
      <c r="R23" s="654"/>
      <c r="S23" s="654"/>
      <c r="T23" s="654"/>
      <c r="U23" s="654"/>
      <c r="V23" s="654"/>
      <c r="W23" s="654"/>
      <c r="X23" s="654"/>
      <c r="Y23" s="654"/>
      <c r="Z23" s="654"/>
      <c r="AA23" s="654"/>
      <c r="AB23" s="654"/>
      <c r="AC23" s="654"/>
      <c r="AD23" s="654"/>
      <c r="AE23" s="654"/>
      <c r="AF23" s="654"/>
      <c r="AG23" s="654"/>
      <c r="AH23" s="654"/>
      <c r="AI23" s="654"/>
      <c r="AJ23" s="654"/>
      <c r="AK23" s="654"/>
      <c r="AL23" s="654"/>
      <c r="AM23" s="654"/>
      <c r="AN23" s="654"/>
      <c r="AO23" s="654"/>
      <c r="AP23" s="654"/>
      <c r="AQ23" s="654"/>
      <c r="AR23" s="654"/>
      <c r="AS23" s="654"/>
      <c r="AT23" s="654"/>
      <c r="AU23" s="654"/>
      <c r="AV23" s="654"/>
      <c r="AW23" s="654"/>
      <c r="AX23" s="654"/>
      <c r="AY23" s="654"/>
      <c r="AZ23" s="654"/>
      <c r="BA23" s="654"/>
      <c r="BB23" s="654"/>
      <c r="BC23" s="654"/>
      <c r="BD23" s="654"/>
      <c r="BE23" s="654"/>
      <c r="BF23" s="654"/>
      <c r="BG23" s="654"/>
      <c r="BH23" s="654"/>
      <c r="BI23" s="654"/>
      <c r="BJ23" s="654"/>
      <c r="BK23" s="654"/>
      <c r="BL23" s="654"/>
      <c r="BM23" s="654"/>
      <c r="BN23" s="654"/>
      <c r="BO23" s="654"/>
      <c r="BP23" s="654"/>
      <c r="BQ23" s="654"/>
      <c r="BR23" s="654"/>
      <c r="BS23" s="654"/>
      <c r="BT23" s="654"/>
      <c r="BU23" s="654"/>
      <c r="BV23" s="654"/>
      <c r="BW23" s="654"/>
      <c r="BX23" s="654"/>
      <c r="BY23" s="654"/>
      <c r="BZ23" s="655"/>
      <c r="CA23" s="355">
        <f t="shared" ref="CA23:CS23" si="17">CA13/CA10</f>
        <v>6.5203357004519041E-2</v>
      </c>
      <c r="CB23" s="355">
        <f t="shared" si="17"/>
        <v>7.219442458899214E-2</v>
      </c>
      <c r="CC23" s="355">
        <f t="shared" si="17"/>
        <v>8.0864691753402718E-2</v>
      </c>
      <c r="CD23" s="355">
        <f t="shared" si="17"/>
        <v>9.1901728844404007E-2</v>
      </c>
      <c r="CE23" s="313">
        <f>CE13/CE10</f>
        <v>0.26081342801807617</v>
      </c>
      <c r="CF23" s="355">
        <f t="shared" si="17"/>
        <v>1.1327713382507903E-2</v>
      </c>
      <c r="CG23" s="355">
        <f t="shared" si="17"/>
        <v>1.1587173268660739E-2</v>
      </c>
      <c r="CH23" s="355">
        <f t="shared" si="17"/>
        <v>1.1858797573083288E-2</v>
      </c>
      <c r="CI23" s="355">
        <f t="shared" si="17"/>
        <v>1.2143462298785653E-2</v>
      </c>
      <c r="CJ23" s="313">
        <f>CJ13/CJ10</f>
        <v>4.5310853530031614E-2</v>
      </c>
      <c r="CK23" s="355">
        <f t="shared" si="17"/>
        <v>1.7361111111111112E-2</v>
      </c>
      <c r="CL23" s="355">
        <f t="shared" si="17"/>
        <v>1.3480392156862746E-2</v>
      </c>
      <c r="CM23" s="355">
        <f t="shared" si="17"/>
        <v>1.015228426395939E-2</v>
      </c>
      <c r="CN23" s="355">
        <f t="shared" si="17"/>
        <v>9.1863517060367453E-3</v>
      </c>
      <c r="CO23" s="313">
        <f>CO13/CO10</f>
        <v>4.7453703703703706E-2</v>
      </c>
      <c r="CP23" s="355">
        <f t="shared" si="17"/>
        <v>3.1666666666666669E-2</v>
      </c>
      <c r="CQ23" s="355">
        <f t="shared" si="17"/>
        <v>3.4246575342465752E-2</v>
      </c>
      <c r="CR23" s="355">
        <f t="shared" si="17"/>
        <v>3.7284144427001571E-2</v>
      </c>
      <c r="CS23" s="355">
        <f t="shared" si="17"/>
        <v>4.0913006029285097E-2</v>
      </c>
      <c r="CT23" s="313">
        <f t="shared" ref="CT23:CY23" si="18">CT13/CT10</f>
        <v>0.12666666666666668</v>
      </c>
      <c r="CU23" s="355">
        <f t="shared" si="18"/>
        <v>2.3377862595419848E-2</v>
      </c>
      <c r="CV23" s="355">
        <f t="shared" si="18"/>
        <v>2.53099173553719E-2</v>
      </c>
      <c r="CW23" s="355">
        <f t="shared" si="18"/>
        <v>2.7590090090090089E-2</v>
      </c>
      <c r="CX23" s="355">
        <f t="shared" si="18"/>
        <v>3.0321782178217821E-2</v>
      </c>
      <c r="CY23" s="313">
        <f t="shared" si="18"/>
        <v>9.3511450381679392E-2</v>
      </c>
      <c r="CZ23" s="685">
        <f>CX23</f>
        <v>3.0321782178217821E-2</v>
      </c>
      <c r="DA23" s="685">
        <f>CZ23</f>
        <v>3.0321782178217821E-2</v>
      </c>
      <c r="DB23" s="685">
        <f>DA23</f>
        <v>3.0321782178217821E-2</v>
      </c>
      <c r="DC23" s="685">
        <f>DB23</f>
        <v>3.0321782178217821E-2</v>
      </c>
      <c r="DD23" s="313">
        <f>DD13/DD10</f>
        <v>0.11051828480494444</v>
      </c>
      <c r="DE23" s="685">
        <f>DC23</f>
        <v>3.0321782178217821E-2</v>
      </c>
      <c r="DF23" s="685">
        <f>DE23</f>
        <v>3.0321782178217821E-2</v>
      </c>
      <c r="DG23" s="685">
        <f>DF23</f>
        <v>3.0321782178217821E-2</v>
      </c>
      <c r="DH23" s="685">
        <f>DG23</f>
        <v>3.0321782178217821E-2</v>
      </c>
      <c r="DI23" s="313">
        <f>DI13/DI10</f>
        <v>0.11051828480494448</v>
      </c>
      <c r="DJ23" s="685">
        <f>DH23</f>
        <v>3.0321782178217821E-2</v>
      </c>
      <c r="DK23" s="685">
        <f>DJ23</f>
        <v>3.0321782178217821E-2</v>
      </c>
      <c r="DL23" s="685">
        <f>DK23</f>
        <v>3.0321782178217821E-2</v>
      </c>
      <c r="DM23" s="685">
        <f>DL23</f>
        <v>3.0321782178217821E-2</v>
      </c>
      <c r="DN23" s="313">
        <f>DN13/DN10</f>
        <v>0.11051828480494451</v>
      </c>
      <c r="DO23" s="685">
        <f>DM23</f>
        <v>3.0321782178217821E-2</v>
      </c>
      <c r="DP23" s="685">
        <f>DO23</f>
        <v>3.0321782178217821E-2</v>
      </c>
      <c r="DQ23" s="685">
        <f>DP23</f>
        <v>3.0321782178217821E-2</v>
      </c>
      <c r="DR23" s="685">
        <f>DQ23</f>
        <v>3.0321782178217821E-2</v>
      </c>
      <c r="DS23" s="313">
        <f>DS13/DS10</f>
        <v>0.11051828480494452</v>
      </c>
      <c r="DT23" s="685">
        <f>DR23</f>
        <v>3.0321782178217821E-2</v>
      </c>
      <c r="DU23" s="685">
        <f>DT23</f>
        <v>3.0321782178217821E-2</v>
      </c>
      <c r="DV23" s="685">
        <f>DU23</f>
        <v>3.0321782178217821E-2</v>
      </c>
      <c r="DW23" s="685">
        <f>DV23</f>
        <v>3.0321782178217821E-2</v>
      </c>
      <c r="DX23" s="313">
        <f>DX13/DX10</f>
        <v>0.11051828480494454</v>
      </c>
      <c r="DY23" s="685">
        <f>DW23</f>
        <v>3.0321782178217821E-2</v>
      </c>
      <c r="DZ23" s="685">
        <f>DY23</f>
        <v>3.0321782178217821E-2</v>
      </c>
      <c r="EA23" s="685">
        <f>DZ23</f>
        <v>3.0321782178217821E-2</v>
      </c>
      <c r="EB23" s="685">
        <f>EA23</f>
        <v>3.0321782178217821E-2</v>
      </c>
      <c r="EC23" s="313">
        <f>EC13/EC10</f>
        <v>0.11051828480494458</v>
      </c>
      <c r="ED23" s="685">
        <f>EB23</f>
        <v>3.0321782178217821E-2</v>
      </c>
      <c r="EE23" s="685">
        <f>ED23</f>
        <v>3.0321782178217821E-2</v>
      </c>
      <c r="EF23" s="685">
        <f>EE23</f>
        <v>3.0321782178217821E-2</v>
      </c>
      <c r="EG23" s="685">
        <f>EF23</f>
        <v>3.0321782178217821E-2</v>
      </c>
      <c r="EH23" s="313">
        <f>EH13/EH10</f>
        <v>0.11051828480494459</v>
      </c>
      <c r="EI23" s="685">
        <f>EG23</f>
        <v>3.0321782178217821E-2</v>
      </c>
      <c r="EJ23" s="685">
        <f>EI23</f>
        <v>3.0321782178217821E-2</v>
      </c>
      <c r="EK23" s="685">
        <f>EJ23</f>
        <v>3.0321782178217821E-2</v>
      </c>
      <c r="EL23" s="685">
        <f>EK23</f>
        <v>3.0321782178217821E-2</v>
      </c>
      <c r="EM23" s="313">
        <f>EM13/EM10</f>
        <v>0.11094674611126318</v>
      </c>
      <c r="EN23" s="685">
        <f>EL23</f>
        <v>3.0321782178217821E-2</v>
      </c>
      <c r="EO23" s="685">
        <f>EN23</f>
        <v>3.0321782178217821E-2</v>
      </c>
      <c r="EP23" s="685">
        <f>EO23</f>
        <v>3.0321782178217821E-2</v>
      </c>
      <c r="EQ23" s="685">
        <f>EP23</f>
        <v>3.0321782178217821E-2</v>
      </c>
      <c r="ER23" s="313">
        <f>ER13/ER10</f>
        <v>0.11094674611126323</v>
      </c>
      <c r="ES23" s="685">
        <f>EQ23</f>
        <v>3.0321782178217821E-2</v>
      </c>
      <c r="ET23" s="685">
        <f>ES23</f>
        <v>3.0321782178217821E-2</v>
      </c>
      <c r="EU23" s="685">
        <f>ET23</f>
        <v>3.0321782178217821E-2</v>
      </c>
      <c r="EV23" s="685">
        <f>EU23</f>
        <v>3.0321782178217821E-2</v>
      </c>
      <c r="EW23" s="313">
        <f>EW13/EW10</f>
        <v>0.11094674611126329</v>
      </c>
      <c r="EX23" s="685">
        <f>EV23</f>
        <v>3.0321782178217821E-2</v>
      </c>
      <c r="EY23" s="685">
        <f>EX23</f>
        <v>3.0321782178217821E-2</v>
      </c>
      <c r="EZ23" s="685">
        <f>EY23</f>
        <v>3.0321782178217821E-2</v>
      </c>
      <c r="FA23" s="685">
        <f>EZ23</f>
        <v>3.0321782178217821E-2</v>
      </c>
      <c r="FB23" s="313">
        <f>FB13/FB10</f>
        <v>0.11051828480494477</v>
      </c>
      <c r="FC23" s="685">
        <f>FA23</f>
        <v>3.0321782178217821E-2</v>
      </c>
      <c r="FD23" s="685">
        <f>FC23</f>
        <v>3.0321782178217821E-2</v>
      </c>
      <c r="FE23" s="685">
        <f>FD23</f>
        <v>3.0321782178217821E-2</v>
      </c>
      <c r="FF23" s="685">
        <f>FE23</f>
        <v>3.0321782178217821E-2</v>
      </c>
      <c r="FG23" s="313">
        <f>FG13/FG10</f>
        <v>0.11051828480494484</v>
      </c>
      <c r="FH23" s="685">
        <f>FF23</f>
        <v>3.0321782178217821E-2</v>
      </c>
      <c r="FI23" s="685">
        <f>FH23</f>
        <v>3.0321782178217821E-2</v>
      </c>
      <c r="FJ23" s="685">
        <f>FI23</f>
        <v>3.0321782178217821E-2</v>
      </c>
      <c r="FK23" s="685">
        <f>FJ23</f>
        <v>3.0321782178217821E-2</v>
      </c>
      <c r="FL23" s="313">
        <f>FL13/FL10</f>
        <v>0.11051828480494498</v>
      </c>
      <c r="FM23" s="261"/>
      <c r="FN23" s="261"/>
      <c r="FO23" s="261"/>
      <c r="FP23" s="261"/>
      <c r="FQ23" s="261"/>
      <c r="FR23" s="261"/>
      <c r="FS23" s="261"/>
      <c r="FT23" s="261"/>
      <c r="FU23" s="261"/>
      <c r="FV23" s="261"/>
      <c r="FW23" s="261"/>
      <c r="FX23" s="261"/>
      <c r="FY23" s="261"/>
      <c r="FZ23" s="261"/>
      <c r="GA23" s="261"/>
      <c r="GB23" s="261"/>
      <c r="GC23" s="261"/>
      <c r="GD23" s="261"/>
      <c r="GE23" s="261"/>
      <c r="GF23" s="261"/>
      <c r="GG23" s="261"/>
      <c r="GH23" s="261"/>
      <c r="GI23" s="261"/>
      <c r="GJ23" s="261"/>
      <c r="GK23" s="261"/>
      <c r="GL23" s="261"/>
      <c r="GM23" s="261"/>
      <c r="GN23" s="261"/>
      <c r="GO23" s="261"/>
      <c r="GP23" s="261"/>
      <c r="GQ23" s="261"/>
      <c r="GR23" s="261"/>
      <c r="GS23" s="261"/>
      <c r="GT23" s="261"/>
      <c r="GU23" s="261"/>
      <c r="GV23" s="261"/>
      <c r="GW23" s="261"/>
      <c r="GX23" s="261"/>
      <c r="GY23" s="261"/>
      <c r="GZ23" s="261"/>
      <c r="HA23" s="261"/>
      <c r="HB23" s="261"/>
      <c r="HC23" s="261"/>
      <c r="HD23" s="261"/>
      <c r="HE23" s="261"/>
      <c r="HF23" s="261"/>
      <c r="HG23" s="261"/>
      <c r="HH23" s="261"/>
      <c r="HI23" s="261"/>
      <c r="HJ23" s="261"/>
      <c r="HK23" s="261"/>
      <c r="HL23" s="261"/>
      <c r="HM23" s="261"/>
      <c r="HN23" s="261"/>
      <c r="HO23" s="261"/>
      <c r="HP23" s="261"/>
      <c r="HQ23" s="261"/>
      <c r="HR23" s="261"/>
      <c r="HS23" s="261"/>
      <c r="HT23" s="261"/>
      <c r="HU23" s="261"/>
      <c r="HV23" s="261"/>
      <c r="HW23" s="261"/>
      <c r="HX23" s="261"/>
      <c r="HY23" s="261"/>
      <c r="HZ23" s="261"/>
      <c r="IA23" s="261"/>
      <c r="IB23" s="261"/>
      <c r="IC23" s="261"/>
      <c r="ID23" s="261"/>
      <c r="IE23" s="261"/>
      <c r="IF23" s="261"/>
      <c r="IG23" s="261"/>
      <c r="IH23" s="261"/>
      <c r="II23" s="261"/>
      <c r="IJ23" s="261"/>
      <c r="IK23" s="261"/>
      <c r="IL23" s="261"/>
      <c r="IM23" s="261"/>
      <c r="IN23" s="261"/>
      <c r="IO23" s="261"/>
      <c r="IP23" s="261"/>
      <c r="IQ23" s="261"/>
      <c r="IR23" s="261"/>
      <c r="IS23" s="261"/>
      <c r="IT23" s="261"/>
      <c r="IU23" s="261"/>
      <c r="IV23" s="261"/>
      <c r="IW23" s="261"/>
      <c r="IX23" s="261"/>
      <c r="IY23" s="261"/>
      <c r="IZ23" s="261"/>
      <c r="JA23" s="261"/>
      <c r="JB23" s="261"/>
      <c r="JC23" s="261"/>
      <c r="JD23" s="261"/>
      <c r="JE23" s="261"/>
      <c r="JF23" s="261"/>
      <c r="JG23" s="261"/>
      <c r="JH23" s="261"/>
      <c r="JI23" s="261"/>
      <c r="JJ23" s="261"/>
      <c r="JK23" s="261"/>
      <c r="JL23" s="261"/>
      <c r="JM23" s="261"/>
      <c r="JN23" s="261"/>
      <c r="JO23" s="261"/>
    </row>
    <row r="24" spans="1:275" s="651" customFormat="1" ht="11.25" customHeight="1">
      <c r="A24" s="644"/>
      <c r="B24" s="644"/>
      <c r="C24" s="645"/>
      <c r="D24" s="645"/>
      <c r="E24" s="645"/>
      <c r="F24" s="645"/>
      <c r="G24" s="645"/>
      <c r="H24" s="645"/>
      <c r="I24" s="645"/>
      <c r="J24" s="645"/>
      <c r="K24" s="645"/>
      <c r="L24" s="645"/>
      <c r="M24" s="645"/>
      <c r="N24" s="645"/>
      <c r="O24" s="645"/>
      <c r="P24" s="645"/>
      <c r="Q24" s="645"/>
      <c r="R24" s="645"/>
      <c r="S24" s="645"/>
      <c r="T24" s="645"/>
      <c r="U24" s="645"/>
      <c r="V24" s="645"/>
      <c r="W24" s="645"/>
      <c r="X24" s="645"/>
      <c r="Y24" s="645"/>
      <c r="Z24" s="645"/>
      <c r="AA24" s="645"/>
      <c r="AB24" s="645"/>
      <c r="AC24" s="645"/>
      <c r="AD24" s="645"/>
      <c r="AE24" s="645"/>
      <c r="AF24" s="645"/>
      <c r="AG24" s="645"/>
      <c r="AH24" s="645"/>
      <c r="AI24" s="645"/>
      <c r="AJ24" s="645"/>
      <c r="AK24" s="645"/>
      <c r="AL24" s="645"/>
      <c r="AM24" s="645"/>
      <c r="AN24" s="645"/>
      <c r="AO24" s="645"/>
      <c r="AP24" s="645"/>
      <c r="AQ24" s="645"/>
      <c r="AR24" s="645"/>
      <c r="AS24" s="645"/>
      <c r="AT24" s="645"/>
      <c r="AU24" s="645"/>
      <c r="AV24" s="645"/>
      <c r="AW24" s="645"/>
      <c r="AX24" s="645"/>
      <c r="AY24" s="645"/>
      <c r="AZ24" s="645"/>
      <c r="BA24" s="645"/>
      <c r="BB24" s="645"/>
      <c r="BC24" s="645"/>
      <c r="BD24" s="645"/>
      <c r="BE24" s="645"/>
      <c r="BF24" s="645"/>
      <c r="BG24" s="645"/>
      <c r="BH24" s="645"/>
      <c r="BI24" s="645"/>
      <c r="BJ24" s="645"/>
      <c r="BK24" s="645"/>
      <c r="BL24" s="645"/>
      <c r="BM24" s="645"/>
      <c r="BN24" s="645"/>
      <c r="BO24" s="645"/>
      <c r="BP24" s="645"/>
      <c r="BQ24" s="645"/>
      <c r="BR24" s="645"/>
      <c r="BS24" s="645"/>
      <c r="BT24" s="645"/>
      <c r="BU24" s="645"/>
      <c r="BV24" s="645"/>
      <c r="BW24" s="645"/>
      <c r="BX24" s="645"/>
      <c r="BY24" s="645"/>
      <c r="BZ24" s="646"/>
      <c r="CA24" s="645"/>
      <c r="CB24" s="645"/>
      <c r="CC24" s="645"/>
      <c r="CD24" s="645"/>
      <c r="CE24" s="661"/>
      <c r="CF24" s="645"/>
      <c r="CG24" s="645"/>
      <c r="CH24" s="645"/>
      <c r="CI24" s="645"/>
      <c r="CJ24" s="661"/>
      <c r="CK24" s="645"/>
      <c r="CL24" s="645"/>
      <c r="CM24" s="645"/>
      <c r="CN24" s="645"/>
      <c r="CO24" s="661"/>
      <c r="CP24" s="645"/>
      <c r="CQ24" s="645"/>
      <c r="CR24" s="645"/>
      <c r="CS24" s="645"/>
      <c r="CT24" s="661"/>
      <c r="CU24" s="645"/>
      <c r="CV24" s="645"/>
      <c r="CW24" s="645"/>
      <c r="CX24" s="645"/>
      <c r="CY24" s="661"/>
      <c r="CZ24" s="645"/>
      <c r="DA24" s="645"/>
      <c r="DB24" s="645"/>
      <c r="DC24" s="645"/>
      <c r="DD24" s="646"/>
      <c r="DE24" s="645"/>
      <c r="DF24" s="645"/>
      <c r="DG24" s="645"/>
      <c r="DH24" s="645"/>
      <c r="DI24" s="646"/>
      <c r="DJ24" s="645"/>
      <c r="DK24" s="645"/>
      <c r="DL24" s="645"/>
      <c r="DM24" s="645"/>
      <c r="DN24" s="646"/>
      <c r="DO24" s="645"/>
      <c r="DP24" s="645"/>
      <c r="DQ24" s="645"/>
      <c r="DR24" s="645"/>
      <c r="DS24" s="661"/>
      <c r="DT24" s="645"/>
      <c r="DU24" s="645"/>
      <c r="DV24" s="645"/>
      <c r="DW24" s="645"/>
      <c r="DX24" s="661"/>
      <c r="DY24" s="645"/>
      <c r="DZ24" s="645"/>
      <c r="EA24" s="645"/>
      <c r="EB24" s="645"/>
      <c r="EC24" s="661"/>
      <c r="ED24" s="645"/>
      <c r="EE24" s="645"/>
      <c r="EF24" s="645"/>
      <c r="EG24" s="645"/>
      <c r="EH24" s="646"/>
      <c r="EI24" s="645"/>
      <c r="EJ24" s="645"/>
      <c r="EK24" s="645"/>
      <c r="EL24" s="645"/>
      <c r="EM24" s="646"/>
      <c r="EN24" s="645"/>
      <c r="EO24" s="645"/>
      <c r="EP24" s="645"/>
      <c r="EQ24" s="645"/>
      <c r="ER24" s="646"/>
      <c r="ES24" s="645"/>
      <c r="ET24" s="645"/>
      <c r="EU24" s="645"/>
      <c r="EV24" s="645"/>
      <c r="EW24" s="646"/>
      <c r="EX24" s="645"/>
      <c r="EY24" s="645"/>
      <c r="EZ24" s="645"/>
      <c r="FA24" s="645"/>
      <c r="FB24" s="646"/>
      <c r="FC24" s="645"/>
      <c r="FD24" s="645"/>
      <c r="FE24" s="645"/>
      <c r="FF24" s="645"/>
      <c r="FG24" s="646"/>
      <c r="FH24" s="645"/>
      <c r="FI24" s="645"/>
      <c r="FJ24" s="645"/>
      <c r="FK24" s="645"/>
      <c r="FL24" s="646"/>
      <c r="FM24" s="261"/>
      <c r="FN24" s="261"/>
      <c r="FO24" s="261"/>
      <c r="FP24" s="261"/>
      <c r="FQ24" s="261"/>
      <c r="FR24" s="261"/>
      <c r="FS24" s="261"/>
      <c r="FT24" s="261"/>
      <c r="FU24" s="261"/>
      <c r="FV24" s="261"/>
      <c r="FW24" s="261"/>
      <c r="FX24" s="261"/>
      <c r="FY24" s="261"/>
      <c r="FZ24" s="261"/>
      <c r="GA24" s="261"/>
      <c r="GB24" s="261"/>
      <c r="GC24" s="261"/>
      <c r="GD24" s="261"/>
      <c r="GE24" s="261"/>
      <c r="GF24" s="261"/>
      <c r="GG24" s="261"/>
      <c r="GH24" s="261"/>
      <c r="GI24" s="261"/>
      <c r="GJ24" s="261"/>
      <c r="GK24" s="261"/>
      <c r="GL24" s="261"/>
      <c r="GM24" s="261"/>
      <c r="GN24" s="261"/>
      <c r="GO24" s="261"/>
      <c r="GP24" s="261"/>
      <c r="GQ24" s="261"/>
      <c r="GR24" s="261"/>
      <c r="GS24" s="261"/>
      <c r="GT24" s="261"/>
      <c r="GU24" s="261"/>
      <c r="GV24" s="261"/>
      <c r="GW24" s="261"/>
      <c r="GX24" s="261"/>
      <c r="GY24" s="261"/>
      <c r="GZ24" s="261"/>
      <c r="HA24" s="261"/>
      <c r="HB24" s="261"/>
      <c r="HC24" s="261"/>
      <c r="HD24" s="261"/>
      <c r="HE24" s="261"/>
      <c r="HF24" s="261"/>
      <c r="HG24" s="261"/>
      <c r="HH24" s="261"/>
      <c r="HI24" s="261"/>
      <c r="HJ24" s="261"/>
      <c r="HK24" s="261"/>
      <c r="HL24" s="261"/>
      <c r="HM24" s="261"/>
      <c r="HN24" s="261"/>
      <c r="HO24" s="261"/>
      <c r="HP24" s="261"/>
      <c r="HQ24" s="261"/>
      <c r="HR24" s="261"/>
      <c r="HS24" s="261"/>
      <c r="HT24" s="261"/>
      <c r="HU24" s="261"/>
      <c r="HV24" s="261"/>
      <c r="HW24" s="261"/>
      <c r="HX24" s="261"/>
      <c r="HY24" s="261"/>
      <c r="HZ24" s="261"/>
      <c r="IA24" s="261"/>
      <c r="IB24" s="261"/>
      <c r="IC24" s="261"/>
      <c r="ID24" s="261"/>
      <c r="IE24" s="261"/>
      <c r="IF24" s="261"/>
      <c r="IG24" s="261"/>
      <c r="IH24" s="261"/>
      <c r="II24" s="261"/>
      <c r="IJ24" s="261"/>
      <c r="IK24" s="261"/>
      <c r="IL24" s="261"/>
      <c r="IM24" s="261"/>
      <c r="IN24" s="261"/>
      <c r="IO24" s="261"/>
      <c r="IP24" s="261"/>
      <c r="IQ24" s="261"/>
      <c r="IR24" s="261"/>
      <c r="IS24" s="261"/>
      <c r="IT24" s="261"/>
      <c r="IU24" s="261"/>
      <c r="IV24" s="261"/>
      <c r="IW24" s="261"/>
      <c r="IX24" s="261"/>
      <c r="IY24" s="261"/>
      <c r="IZ24" s="261"/>
      <c r="JA24" s="261"/>
      <c r="JB24" s="261"/>
      <c r="JC24" s="261"/>
      <c r="JD24" s="261"/>
      <c r="JE24" s="261"/>
      <c r="JF24" s="261"/>
      <c r="JG24" s="261"/>
      <c r="JH24" s="261"/>
      <c r="JI24" s="261"/>
      <c r="JJ24" s="261"/>
      <c r="JK24" s="261"/>
      <c r="JL24" s="261"/>
      <c r="JM24" s="261"/>
      <c r="JN24" s="261"/>
      <c r="JO24" s="261"/>
    </row>
    <row r="25" spans="1:275" s="651" customFormat="1" ht="11.25" customHeight="1">
      <c r="A25" s="660" t="s">
        <v>571</v>
      </c>
      <c r="B25" s="644"/>
      <c r="C25" s="644"/>
      <c r="D25" s="644"/>
      <c r="E25" s="644"/>
      <c r="F25" s="644"/>
      <c r="G25" s="644"/>
      <c r="H25" s="644"/>
      <c r="I25" s="644"/>
      <c r="J25" s="644"/>
      <c r="K25" s="644"/>
      <c r="L25" s="644"/>
      <c r="M25" s="644"/>
      <c r="N25" s="644"/>
      <c r="O25" s="644"/>
      <c r="P25" s="644"/>
      <c r="Q25" s="644"/>
      <c r="R25" s="644"/>
      <c r="S25" s="644"/>
      <c r="T25" s="644"/>
      <c r="U25" s="644"/>
      <c r="V25" s="644"/>
      <c r="W25" s="644"/>
      <c r="X25" s="644"/>
      <c r="Y25" s="644"/>
      <c r="Z25" s="644"/>
      <c r="AA25" s="644"/>
      <c r="AB25" s="644"/>
      <c r="AC25" s="644"/>
      <c r="AD25" s="644"/>
      <c r="AE25" s="644"/>
      <c r="AF25" s="644"/>
      <c r="AG25" s="644"/>
      <c r="AH25" s="644"/>
      <c r="AI25" s="644"/>
      <c r="AJ25" s="644"/>
      <c r="AK25" s="644"/>
      <c r="AL25" s="644"/>
      <c r="AM25" s="644"/>
      <c r="AN25" s="644"/>
      <c r="AO25" s="644"/>
      <c r="AP25" s="644"/>
      <c r="AQ25" s="644"/>
      <c r="AR25" s="644"/>
      <c r="AS25" s="644"/>
      <c r="AT25" s="644"/>
      <c r="AU25" s="644"/>
      <c r="AV25" s="644"/>
      <c r="AW25" s="644"/>
      <c r="AX25" s="644"/>
      <c r="AY25" s="644"/>
      <c r="AZ25" s="644"/>
      <c r="BA25" s="644"/>
      <c r="BB25" s="644"/>
      <c r="BC25" s="644"/>
      <c r="BD25" s="644"/>
      <c r="BE25" s="644"/>
      <c r="BF25" s="644"/>
      <c r="BG25" s="644"/>
      <c r="BH25" s="644"/>
      <c r="BI25" s="644"/>
      <c r="BJ25" s="644"/>
      <c r="BK25" s="644"/>
      <c r="BL25" s="644"/>
      <c r="BM25" s="644"/>
      <c r="BN25" s="644"/>
      <c r="BO25" s="644"/>
      <c r="BP25" s="644"/>
      <c r="BQ25" s="644"/>
      <c r="BR25" s="644"/>
      <c r="BS25" s="644"/>
      <c r="BT25" s="644"/>
      <c r="BU25" s="644"/>
      <c r="BV25" s="644"/>
      <c r="BW25" s="644"/>
      <c r="BX25" s="644"/>
      <c r="BY25" s="644"/>
      <c r="BZ25" s="661"/>
      <c r="CA25" s="644"/>
      <c r="CB25" s="644"/>
      <c r="CC25" s="644"/>
      <c r="CD25" s="644"/>
      <c r="CE25" s="661"/>
      <c r="CF25" s="644"/>
      <c r="CG25" s="644"/>
      <c r="CH25" s="644"/>
      <c r="CI25" s="644"/>
      <c r="CJ25" s="661"/>
      <c r="CK25" s="644"/>
      <c r="CL25" s="644"/>
      <c r="CM25" s="644"/>
      <c r="CN25" s="644"/>
      <c r="CO25" s="661"/>
      <c r="CP25" s="644"/>
      <c r="CQ25" s="644"/>
      <c r="CR25" s="644"/>
      <c r="CS25" s="644"/>
      <c r="CT25" s="661"/>
      <c r="CU25" s="644"/>
      <c r="CV25" s="644"/>
      <c r="CW25" s="644"/>
      <c r="CX25" s="644"/>
      <c r="CY25" s="661"/>
      <c r="CZ25" s="644"/>
      <c r="DA25" s="644"/>
      <c r="DB25" s="644"/>
      <c r="DC25" s="644"/>
      <c r="DD25" s="661"/>
      <c r="DE25" s="644"/>
      <c r="DF25" s="644"/>
      <c r="DG25" s="644"/>
      <c r="DH25" s="644"/>
      <c r="DI25" s="661"/>
      <c r="DJ25" s="644"/>
      <c r="DK25" s="644"/>
      <c r="DL25" s="644"/>
      <c r="DM25" s="644"/>
      <c r="DN25" s="661"/>
      <c r="DO25" s="644"/>
      <c r="DP25" s="644"/>
      <c r="DQ25" s="644"/>
      <c r="DR25" s="644"/>
      <c r="DS25" s="661"/>
      <c r="DT25" s="644"/>
      <c r="DU25" s="644"/>
      <c r="DV25" s="644"/>
      <c r="DW25" s="644"/>
      <c r="DX25" s="661"/>
      <c r="DY25" s="644"/>
      <c r="DZ25" s="644"/>
      <c r="EA25" s="644"/>
      <c r="EB25" s="644"/>
      <c r="EC25" s="661"/>
      <c r="ED25" s="644"/>
      <c r="EE25" s="644"/>
      <c r="EF25" s="644"/>
      <c r="EG25" s="644"/>
      <c r="EH25" s="661"/>
      <c r="EI25" s="644"/>
      <c r="EJ25" s="644"/>
      <c r="EK25" s="644"/>
      <c r="EL25" s="644"/>
      <c r="EM25" s="661"/>
      <c r="EN25" s="644"/>
      <c r="EO25" s="644"/>
      <c r="EP25" s="644"/>
      <c r="EQ25" s="644"/>
      <c r="ER25" s="661"/>
      <c r="ES25" s="644"/>
      <c r="ET25" s="644"/>
      <c r="EU25" s="644"/>
      <c r="EV25" s="644"/>
      <c r="EW25" s="661"/>
      <c r="EX25" s="644"/>
      <c r="EY25" s="644"/>
      <c r="EZ25" s="644"/>
      <c r="FA25" s="644"/>
      <c r="FB25" s="661"/>
      <c r="FC25" s="644"/>
      <c r="FD25" s="644"/>
      <c r="FE25" s="644"/>
      <c r="FF25" s="644"/>
      <c r="FG25" s="661"/>
      <c r="FH25" s="644"/>
      <c r="FI25" s="644"/>
      <c r="FJ25" s="644"/>
      <c r="FK25" s="644"/>
      <c r="FL25" s="661"/>
      <c r="FM25" s="261"/>
      <c r="FN25" s="261"/>
      <c r="FO25" s="261"/>
      <c r="FP25" s="261"/>
      <c r="FQ25" s="261"/>
      <c r="FR25" s="261"/>
      <c r="FS25" s="261"/>
      <c r="FT25" s="261"/>
      <c r="FU25" s="261"/>
      <c r="FV25" s="261"/>
      <c r="FW25" s="261"/>
      <c r="FX25" s="261"/>
      <c r="FY25" s="261"/>
      <c r="FZ25" s="261"/>
      <c r="GA25" s="261"/>
      <c r="GB25" s="261"/>
      <c r="GC25" s="261"/>
      <c r="GD25" s="261"/>
      <c r="GE25" s="261"/>
      <c r="GF25" s="261"/>
      <c r="GG25" s="261"/>
      <c r="GH25" s="261"/>
      <c r="GI25" s="261"/>
      <c r="GJ25" s="261"/>
      <c r="GK25" s="261"/>
      <c r="GL25" s="261"/>
      <c r="GM25" s="261"/>
      <c r="GN25" s="261"/>
      <c r="GO25" s="261"/>
      <c r="GP25" s="261"/>
      <c r="GQ25" s="261"/>
      <c r="GR25" s="261"/>
      <c r="GS25" s="261"/>
      <c r="GT25" s="261"/>
      <c r="GU25" s="261"/>
      <c r="GV25" s="261"/>
      <c r="GW25" s="261"/>
      <c r="GX25" s="261"/>
      <c r="GY25" s="261"/>
      <c r="GZ25" s="261"/>
      <c r="HA25" s="261"/>
      <c r="HB25" s="261"/>
      <c r="HC25" s="261"/>
      <c r="HD25" s="261"/>
      <c r="HE25" s="261"/>
      <c r="HF25" s="261"/>
      <c r="HG25" s="261"/>
      <c r="HH25" s="261"/>
      <c r="HI25" s="261"/>
      <c r="HJ25" s="261"/>
      <c r="HK25" s="261"/>
      <c r="HL25" s="261"/>
      <c r="HM25" s="261"/>
      <c r="HN25" s="261"/>
      <c r="HO25" s="261"/>
      <c r="HP25" s="261"/>
      <c r="HQ25" s="261"/>
      <c r="HR25" s="261"/>
      <c r="HS25" s="261"/>
      <c r="HT25" s="261"/>
      <c r="HU25" s="261"/>
      <c r="HV25" s="261"/>
      <c r="HW25" s="261"/>
      <c r="HX25" s="261"/>
      <c r="HY25" s="261"/>
      <c r="HZ25" s="261"/>
      <c r="IA25" s="261"/>
      <c r="IB25" s="261"/>
      <c r="IC25" s="261"/>
      <c r="ID25" s="261"/>
      <c r="IE25" s="261"/>
      <c r="IF25" s="261"/>
      <c r="IG25" s="261"/>
      <c r="IH25" s="261"/>
      <c r="II25" s="261"/>
      <c r="IJ25" s="261"/>
      <c r="IK25" s="261"/>
      <c r="IL25" s="261"/>
      <c r="IM25" s="261"/>
      <c r="IN25" s="261"/>
      <c r="IO25" s="261"/>
      <c r="IP25" s="261"/>
      <c r="IQ25" s="261"/>
      <c r="IR25" s="261"/>
      <c r="IS25" s="261"/>
      <c r="IT25" s="261"/>
      <c r="IU25" s="261"/>
      <c r="IV25" s="261"/>
      <c r="IW25" s="261"/>
      <c r="IX25" s="261"/>
      <c r="IY25" s="261"/>
      <c r="IZ25" s="261"/>
      <c r="JA25" s="261"/>
      <c r="JB25" s="261"/>
      <c r="JC25" s="261"/>
      <c r="JD25" s="261"/>
      <c r="JE25" s="261"/>
      <c r="JF25" s="261"/>
      <c r="JG25" s="261"/>
      <c r="JH25" s="261"/>
      <c r="JI25" s="261"/>
      <c r="JJ25" s="261"/>
      <c r="JK25" s="261"/>
      <c r="JL25" s="261"/>
      <c r="JM25" s="261"/>
      <c r="JN25" s="261"/>
      <c r="JO25" s="261"/>
    </row>
    <row r="26" spans="1:275" s="651" customFormat="1" ht="11.25" customHeight="1">
      <c r="A26" s="686" t="s">
        <v>558</v>
      </c>
      <c r="B26" s="644"/>
      <c r="C26" s="645"/>
      <c r="D26" s="645"/>
      <c r="E26" s="645"/>
      <c r="F26" s="645"/>
      <c r="G26" s="645"/>
      <c r="H26" s="645"/>
      <c r="I26" s="645"/>
      <c r="J26" s="645"/>
      <c r="K26" s="645"/>
      <c r="L26" s="645"/>
      <c r="M26" s="645"/>
      <c r="N26" s="645"/>
      <c r="O26" s="645"/>
      <c r="P26" s="645"/>
      <c r="Q26" s="645"/>
      <c r="R26" s="645"/>
      <c r="S26" s="645"/>
      <c r="T26" s="645"/>
      <c r="U26" s="645"/>
      <c r="V26" s="645"/>
      <c r="W26" s="645"/>
      <c r="X26" s="645"/>
      <c r="Y26" s="645"/>
      <c r="Z26" s="645"/>
      <c r="AA26" s="645"/>
      <c r="AB26" s="645"/>
      <c r="AC26" s="645"/>
      <c r="AD26" s="645"/>
      <c r="AE26" s="645"/>
      <c r="AF26" s="645"/>
      <c r="AG26" s="645"/>
      <c r="AH26" s="645"/>
      <c r="AI26" s="645"/>
      <c r="AJ26" s="645"/>
      <c r="AK26" s="645"/>
      <c r="AL26" s="645"/>
      <c r="AM26" s="645"/>
      <c r="AN26" s="645"/>
      <c r="AO26" s="645"/>
      <c r="AP26" s="645"/>
      <c r="AQ26" s="645"/>
      <c r="AR26" s="645"/>
      <c r="AS26" s="645"/>
      <c r="AT26" s="645"/>
      <c r="AU26" s="645"/>
      <c r="AV26" s="645"/>
      <c r="AW26" s="645"/>
      <c r="AX26" s="645"/>
      <c r="AY26" s="645"/>
      <c r="AZ26" s="645"/>
      <c r="BA26" s="645"/>
      <c r="BB26" s="645"/>
      <c r="BC26" s="645"/>
      <c r="BD26" s="645"/>
      <c r="BE26" s="645"/>
      <c r="BF26" s="645"/>
      <c r="BG26" s="645"/>
      <c r="BH26" s="645"/>
      <c r="BI26" s="645"/>
      <c r="BJ26" s="645"/>
      <c r="BK26" s="645"/>
      <c r="BL26" s="645"/>
      <c r="BM26" s="645"/>
      <c r="BN26" s="645"/>
      <c r="BO26" s="645"/>
      <c r="BP26" s="645"/>
      <c r="BQ26" s="645"/>
      <c r="BR26" s="645"/>
      <c r="BS26" s="645"/>
      <c r="BT26" s="645"/>
      <c r="BU26" s="645"/>
      <c r="BV26" s="645"/>
      <c r="BW26" s="645"/>
      <c r="BX26" s="645"/>
      <c r="BY26" s="645"/>
      <c r="BZ26" s="646"/>
      <c r="CA26" s="677" t="s">
        <v>699</v>
      </c>
      <c r="CB26" s="677" t="s">
        <v>699</v>
      </c>
      <c r="CC26" s="677" t="s">
        <v>699</v>
      </c>
      <c r="CD26" s="677" t="s">
        <v>699</v>
      </c>
      <c r="CE26" s="657">
        <v>3.9</v>
      </c>
      <c r="CF26" s="677">
        <f>CJ26</f>
        <v>34.400000000000006</v>
      </c>
      <c r="CG26" s="687">
        <f>CF30</f>
        <v>43.625</v>
      </c>
      <c r="CH26" s="687">
        <f>CG30</f>
        <v>52.849999999999994</v>
      </c>
      <c r="CI26" s="687">
        <f>CH30</f>
        <v>62.074999999999989</v>
      </c>
      <c r="CJ26" s="688">
        <f>CE30</f>
        <v>34.400000000000006</v>
      </c>
      <c r="CK26" s="662">
        <f>CO26</f>
        <v>71.300000000000011</v>
      </c>
      <c r="CL26" s="662">
        <f>CK30</f>
        <v>92.600000000000023</v>
      </c>
      <c r="CM26" s="662">
        <f>CL30</f>
        <v>93.90000000000002</v>
      </c>
      <c r="CN26" s="662">
        <f>CM30</f>
        <v>95.300000000000026</v>
      </c>
      <c r="CO26" s="664">
        <f>CJ30</f>
        <v>71.300000000000011</v>
      </c>
      <c r="CP26" s="662">
        <f>CT26</f>
        <v>98.100000000000009</v>
      </c>
      <c r="CQ26" s="662">
        <f t="shared" ref="CQ26:CX26" si="19">CP30</f>
        <v>104.60000000000001</v>
      </c>
      <c r="CR26" s="662">
        <f t="shared" si="19"/>
        <v>111.10000000000001</v>
      </c>
      <c r="CS26" s="662">
        <f t="shared" si="19"/>
        <v>117.60000000000001</v>
      </c>
      <c r="CT26" s="664">
        <f>CO30</f>
        <v>98.100000000000009</v>
      </c>
      <c r="CU26" s="662">
        <f>CS30</f>
        <v>124.10000000000002</v>
      </c>
      <c r="CV26" s="662">
        <f t="shared" si="19"/>
        <v>131.35000000000002</v>
      </c>
      <c r="CW26" s="662">
        <f t="shared" si="19"/>
        <v>138.60000000000002</v>
      </c>
      <c r="CX26" s="662">
        <f t="shared" si="19"/>
        <v>145.85000000000002</v>
      </c>
      <c r="CY26" s="664">
        <f>CT30</f>
        <v>124.10000000000002</v>
      </c>
      <c r="CZ26" s="662">
        <f>CX30</f>
        <v>153.10000000000002</v>
      </c>
      <c r="DA26" s="662">
        <f>CZ30</f>
        <v>162.286</v>
      </c>
      <c r="DB26" s="662">
        <f>DA30</f>
        <v>172.02315999999999</v>
      </c>
      <c r="DC26" s="662">
        <f>DB30</f>
        <v>182.34454959999997</v>
      </c>
      <c r="DD26" s="664">
        <f>CY30</f>
        <v>153.10000000000002</v>
      </c>
      <c r="DE26" s="662">
        <f>DC30</f>
        <v>193.28522257599994</v>
      </c>
      <c r="DF26" s="662">
        <f>DE30</f>
        <v>204.88233593055992</v>
      </c>
      <c r="DG26" s="662">
        <f>DF30</f>
        <v>217.17527608639352</v>
      </c>
      <c r="DH26" s="662">
        <f>DG30</f>
        <v>230.20579265157713</v>
      </c>
      <c r="DI26" s="664">
        <f>DD30</f>
        <v>193.285222576</v>
      </c>
      <c r="DJ26" s="662">
        <f>DH30</f>
        <v>244.01814021067176</v>
      </c>
      <c r="DK26" s="662">
        <f>DJ30</f>
        <v>258.659228623312</v>
      </c>
      <c r="DL26" s="662">
        <f>DK30</f>
        <v>274.17878234071071</v>
      </c>
      <c r="DM26" s="662">
        <f>DL30</f>
        <v>290.62950928115339</v>
      </c>
      <c r="DN26" s="664">
        <f>DI30</f>
        <v>244.01814021067185</v>
      </c>
      <c r="DO26" s="662">
        <f>DM30</f>
        <v>308.06727983802256</v>
      </c>
      <c r="DP26" s="662">
        <f>DO30</f>
        <v>326.55131662830394</v>
      </c>
      <c r="DQ26" s="662">
        <f>DP30</f>
        <v>346.14439562600222</v>
      </c>
      <c r="DR26" s="662">
        <f>DQ30</f>
        <v>366.91305936356241</v>
      </c>
      <c r="DS26" s="664">
        <f>DN30</f>
        <v>308.06727983802273</v>
      </c>
      <c r="DT26" s="662">
        <f>DR30</f>
        <v>388.92784292537613</v>
      </c>
      <c r="DU26" s="662">
        <f>DT30</f>
        <v>412.26351350089874</v>
      </c>
      <c r="DV26" s="662">
        <f>DU30</f>
        <v>436.99932431095272</v>
      </c>
      <c r="DW26" s="662">
        <f>DV30</f>
        <v>463.21928376960989</v>
      </c>
      <c r="DX26" s="664">
        <f>DS30</f>
        <v>388.92784292537618</v>
      </c>
      <c r="DY26" s="662">
        <f>DW30</f>
        <v>491.01244079578652</v>
      </c>
      <c r="DZ26" s="662">
        <f>DY30</f>
        <v>520.47318724353363</v>
      </c>
      <c r="EA26" s="662">
        <f>DZ30</f>
        <v>551.70157847814562</v>
      </c>
      <c r="EB26" s="662">
        <f>EA30</f>
        <v>584.80367318683443</v>
      </c>
      <c r="EC26" s="664">
        <f>DX30</f>
        <v>491.01244079578646</v>
      </c>
      <c r="ED26" s="662">
        <f>EB30</f>
        <v>619.89189357804457</v>
      </c>
      <c r="EE26" s="662">
        <f>ED30</f>
        <v>657.08540719272719</v>
      </c>
      <c r="EF26" s="662">
        <f>EE30</f>
        <v>696.51053162429082</v>
      </c>
      <c r="EG26" s="662">
        <f>EF30</f>
        <v>738.30116352174832</v>
      </c>
      <c r="EH26" s="664">
        <f>EC30</f>
        <v>619.89189357804457</v>
      </c>
      <c r="EI26" s="662">
        <f>EG30</f>
        <v>782.59923333305323</v>
      </c>
      <c r="EJ26" s="662">
        <f>EI30</f>
        <v>829.55518733303643</v>
      </c>
      <c r="EK26" s="662">
        <f>EJ30</f>
        <v>879.32849857301869</v>
      </c>
      <c r="EL26" s="662">
        <f>EK30</f>
        <v>932.08820848739992</v>
      </c>
      <c r="EM26" s="664">
        <f>EH30</f>
        <v>782.59923333305323</v>
      </c>
      <c r="EN26" s="662">
        <f>EL30</f>
        <v>988.0135009966441</v>
      </c>
      <c r="EO26" s="662">
        <f>EN30</f>
        <v>1047.2943110564427</v>
      </c>
      <c r="EP26" s="662">
        <f>EO30</f>
        <v>1110.1319697198292</v>
      </c>
      <c r="EQ26" s="662">
        <f>EP30</f>
        <v>1176.7398879030191</v>
      </c>
      <c r="ER26" s="664">
        <f>EM30</f>
        <v>988.01350099664387</v>
      </c>
      <c r="ES26" s="662">
        <f>EQ30</f>
        <v>1247.3442811772002</v>
      </c>
      <c r="ET26" s="662">
        <f>ES30</f>
        <v>1322.1849380478322</v>
      </c>
      <c r="EU26" s="662">
        <f>ET30</f>
        <v>1401.516034330702</v>
      </c>
      <c r="EV26" s="662">
        <f>EU30</f>
        <v>1485.6069963905443</v>
      </c>
      <c r="EW26" s="664">
        <f>ER30</f>
        <v>1247.3442811771997</v>
      </c>
      <c r="EX26" s="662">
        <f>EV30</f>
        <v>1574.7434161739768</v>
      </c>
      <c r="EY26" s="662">
        <f>EX30</f>
        <v>1669.2280211444154</v>
      </c>
      <c r="EZ26" s="662">
        <f>EY30</f>
        <v>1769.3817024130801</v>
      </c>
      <c r="FA26" s="662">
        <f>EZ30</f>
        <v>1875.5446045578649</v>
      </c>
      <c r="FB26" s="664">
        <f>EW30</f>
        <v>1574.7434161739766</v>
      </c>
      <c r="FC26" s="662">
        <f>FA30</f>
        <v>1988.0772808313368</v>
      </c>
      <c r="FD26" s="662">
        <f>FC30</f>
        <v>2107.3619176812167</v>
      </c>
      <c r="FE26" s="662">
        <f>FD30</f>
        <v>2233.8036327420896</v>
      </c>
      <c r="FF26" s="662">
        <f>FE30</f>
        <v>2367.8318507066147</v>
      </c>
      <c r="FG26" s="664">
        <f>FB30</f>
        <v>1988.077280831337</v>
      </c>
      <c r="FH26" s="662">
        <f>FF30</f>
        <v>2509.9017617490113</v>
      </c>
      <c r="FI26" s="662">
        <f>FH30</f>
        <v>2660.4958674539521</v>
      </c>
      <c r="FJ26" s="662">
        <f>FI30</f>
        <v>2820.1256195011888</v>
      </c>
      <c r="FK26" s="662">
        <f>FJ30</f>
        <v>2989.3331566712604</v>
      </c>
      <c r="FL26" s="664">
        <f>FG30</f>
        <v>2509.9017617490131</v>
      </c>
      <c r="FM26" s="261"/>
      <c r="FN26" s="261"/>
      <c r="FO26" s="261"/>
      <c r="FP26" s="261"/>
      <c r="FQ26" s="261"/>
      <c r="FR26" s="261"/>
      <c r="FS26" s="261"/>
      <c r="FT26" s="261"/>
      <c r="FU26" s="261"/>
      <c r="FV26" s="261"/>
      <c r="FW26" s="261"/>
      <c r="FX26" s="261"/>
      <c r="FY26" s="261"/>
      <c r="FZ26" s="261"/>
      <c r="GA26" s="261"/>
      <c r="GB26" s="261"/>
      <c r="GC26" s="261"/>
      <c r="GD26" s="261"/>
      <c r="GE26" s="261"/>
      <c r="GF26" s="261"/>
      <c r="GG26" s="261"/>
      <c r="GH26" s="261"/>
      <c r="GI26" s="261"/>
      <c r="GJ26" s="261"/>
      <c r="GK26" s="261"/>
      <c r="GL26" s="261"/>
      <c r="GM26" s="261"/>
      <c r="GN26" s="261"/>
      <c r="GO26" s="261"/>
      <c r="GP26" s="261"/>
      <c r="GQ26" s="261"/>
      <c r="GR26" s="261"/>
      <c r="GS26" s="261"/>
      <c r="GT26" s="261"/>
      <c r="GU26" s="261"/>
      <c r="GV26" s="261"/>
      <c r="GW26" s="261"/>
      <c r="GX26" s="261"/>
      <c r="GY26" s="261"/>
      <c r="GZ26" s="261"/>
      <c r="HA26" s="261"/>
      <c r="HB26" s="261"/>
      <c r="HC26" s="261"/>
      <c r="HD26" s="261"/>
      <c r="HE26" s="261"/>
      <c r="HF26" s="261"/>
      <c r="HG26" s="261"/>
      <c r="HH26" s="261"/>
      <c r="HI26" s="261"/>
      <c r="HJ26" s="261"/>
      <c r="HK26" s="261"/>
      <c r="HL26" s="261"/>
      <c r="HM26" s="261"/>
      <c r="HN26" s="261"/>
      <c r="HO26" s="261"/>
      <c r="HP26" s="261"/>
      <c r="HQ26" s="261"/>
      <c r="HR26" s="261"/>
      <c r="HS26" s="261"/>
      <c r="HT26" s="261"/>
      <c r="HU26" s="261"/>
      <c r="HV26" s="261"/>
      <c r="HW26" s="261"/>
      <c r="HX26" s="261"/>
      <c r="HY26" s="261"/>
      <c r="HZ26" s="261"/>
      <c r="IA26" s="261"/>
      <c r="IB26" s="261"/>
      <c r="IC26" s="261"/>
      <c r="ID26" s="261"/>
      <c r="IE26" s="261"/>
      <c r="IF26" s="261"/>
      <c r="IG26" s="261"/>
      <c r="IH26" s="261"/>
      <c r="II26" s="261"/>
      <c r="IJ26" s="261"/>
      <c r="IK26" s="261"/>
      <c r="IL26" s="261"/>
      <c r="IM26" s="261"/>
      <c r="IN26" s="261"/>
      <c r="IO26" s="261"/>
      <c r="IP26" s="261"/>
      <c r="IQ26" s="261"/>
      <c r="IR26" s="261"/>
      <c r="IS26" s="261"/>
      <c r="IT26" s="261"/>
      <c r="IU26" s="261"/>
      <c r="IV26" s="261"/>
      <c r="IW26" s="261"/>
      <c r="IX26" s="261"/>
      <c r="IY26" s="261"/>
      <c r="IZ26" s="261"/>
      <c r="JA26" s="261"/>
      <c r="JB26" s="261"/>
      <c r="JC26" s="261"/>
      <c r="JD26" s="261"/>
      <c r="JE26" s="261"/>
      <c r="JF26" s="261"/>
      <c r="JG26" s="261"/>
      <c r="JH26" s="261"/>
      <c r="JI26" s="261"/>
      <c r="JJ26" s="261"/>
      <c r="JK26" s="261"/>
      <c r="JL26" s="261"/>
      <c r="JM26" s="261"/>
      <c r="JN26" s="261"/>
      <c r="JO26" s="261"/>
    </row>
    <row r="27" spans="1:275" s="651" customFormat="1" ht="11.25" customHeight="1">
      <c r="A27" s="689" t="s">
        <v>572</v>
      </c>
      <c r="B27" s="644"/>
      <c r="C27" s="645"/>
      <c r="D27" s="645"/>
      <c r="E27" s="645"/>
      <c r="F27" s="645"/>
      <c r="G27" s="645"/>
      <c r="H27" s="645"/>
      <c r="I27" s="645"/>
      <c r="J27" s="645"/>
      <c r="K27" s="645"/>
      <c r="L27" s="645"/>
      <c r="M27" s="645"/>
      <c r="N27" s="645"/>
      <c r="O27" s="645"/>
      <c r="P27" s="645"/>
      <c r="Q27" s="645"/>
      <c r="R27" s="645"/>
      <c r="S27" s="645"/>
      <c r="T27" s="645"/>
      <c r="U27" s="645"/>
      <c r="V27" s="645"/>
      <c r="W27" s="645"/>
      <c r="X27" s="645"/>
      <c r="Y27" s="645"/>
      <c r="Z27" s="645"/>
      <c r="AA27" s="645"/>
      <c r="AB27" s="645"/>
      <c r="AC27" s="645"/>
      <c r="AD27" s="645"/>
      <c r="AE27" s="645"/>
      <c r="AF27" s="645"/>
      <c r="AG27" s="645"/>
      <c r="AH27" s="645"/>
      <c r="AI27" s="645"/>
      <c r="AJ27" s="645"/>
      <c r="AK27" s="645"/>
      <c r="AL27" s="645"/>
      <c r="AM27" s="645"/>
      <c r="AN27" s="645"/>
      <c r="AO27" s="645"/>
      <c r="AP27" s="645"/>
      <c r="AQ27" s="645"/>
      <c r="AR27" s="645"/>
      <c r="AS27" s="645"/>
      <c r="AT27" s="645"/>
      <c r="AU27" s="645"/>
      <c r="AV27" s="645"/>
      <c r="AW27" s="645"/>
      <c r="AX27" s="645"/>
      <c r="AY27" s="645"/>
      <c r="AZ27" s="645"/>
      <c r="BA27" s="645"/>
      <c r="BB27" s="645"/>
      <c r="BC27" s="645"/>
      <c r="BD27" s="645"/>
      <c r="BE27" s="645"/>
      <c r="BF27" s="645"/>
      <c r="BG27" s="645"/>
      <c r="BH27" s="645"/>
      <c r="BI27" s="645"/>
      <c r="BJ27" s="645"/>
      <c r="BK27" s="645"/>
      <c r="BL27" s="645"/>
      <c r="BM27" s="645"/>
      <c r="BN27" s="645"/>
      <c r="BO27" s="645"/>
      <c r="BP27" s="645"/>
      <c r="BQ27" s="645"/>
      <c r="BR27" s="645"/>
      <c r="BS27" s="645"/>
      <c r="BT27" s="645"/>
      <c r="BU27" s="645"/>
      <c r="BV27" s="645"/>
      <c r="BW27" s="645"/>
      <c r="BX27" s="645"/>
      <c r="BY27" s="645"/>
      <c r="BZ27" s="646"/>
      <c r="CA27" s="677" t="s">
        <v>699</v>
      </c>
      <c r="CB27" s="677" t="s">
        <v>699</v>
      </c>
      <c r="CC27" s="677" t="s">
        <v>699</v>
      </c>
      <c r="CD27" s="677" t="s">
        <v>699</v>
      </c>
      <c r="CE27" s="657">
        <v>32.6</v>
      </c>
      <c r="CF27" s="687">
        <f>$CJ$27/4</f>
        <v>11.925000000000001</v>
      </c>
      <c r="CG27" s="687">
        <f>$CJ$27/4</f>
        <v>11.925000000000001</v>
      </c>
      <c r="CH27" s="687">
        <f>$CJ$27/4</f>
        <v>11.925000000000001</v>
      </c>
      <c r="CI27" s="687">
        <f>$CJ$27/4</f>
        <v>11.925000000000001</v>
      </c>
      <c r="CJ27" s="657">
        <f>41+6.7</f>
        <v>47.7</v>
      </c>
      <c r="CK27" s="666">
        <v>35.200000000000003</v>
      </c>
      <c r="CL27" s="666">
        <v>3.7</v>
      </c>
      <c r="CM27" s="666">
        <v>3.4</v>
      </c>
      <c r="CN27" s="662">
        <f>CO27-CM27-CL27-CK27</f>
        <v>4.9999999999999929</v>
      </c>
      <c r="CO27" s="663">
        <v>47.3</v>
      </c>
      <c r="CP27" s="662">
        <f>$CT$27/4</f>
        <v>14.25</v>
      </c>
      <c r="CQ27" s="662">
        <f>$CT$27/4</f>
        <v>14.25</v>
      </c>
      <c r="CR27" s="662">
        <f>$CT$27/4</f>
        <v>14.25</v>
      </c>
      <c r="CS27" s="662">
        <f>$CT$27/4</f>
        <v>14.25</v>
      </c>
      <c r="CT27" s="663">
        <v>57</v>
      </c>
      <c r="CU27" s="662">
        <f>$CY$27/4</f>
        <v>17.75</v>
      </c>
      <c r="CV27" s="662">
        <f>$CY$27/4</f>
        <v>17.75</v>
      </c>
      <c r="CW27" s="662">
        <f>$CY$27/4</f>
        <v>17.75</v>
      </c>
      <c r="CX27" s="662">
        <f>$CY$27/4</f>
        <v>17.75</v>
      </c>
      <c r="CY27" s="663">
        <v>71</v>
      </c>
      <c r="CZ27" s="662">
        <f>CZ26*CZ33</f>
        <v>15.310000000000002</v>
      </c>
      <c r="DA27" s="662">
        <f>DA26*DA33</f>
        <v>16.2286</v>
      </c>
      <c r="DB27" s="662">
        <f>DB26*DB33</f>
        <v>17.202316</v>
      </c>
      <c r="DC27" s="662">
        <f>DC26*DC33</f>
        <v>18.234454959999997</v>
      </c>
      <c r="DD27" s="667">
        <f>SUM(CZ27:DC27)</f>
        <v>66.975370959999992</v>
      </c>
      <c r="DE27" s="662">
        <f>DE26*DE33</f>
        <v>19.328522257599996</v>
      </c>
      <c r="DF27" s="662">
        <f>DF26*DF33</f>
        <v>20.488233593055995</v>
      </c>
      <c r="DG27" s="662">
        <f>DG26*DG33</f>
        <v>21.717527608639354</v>
      </c>
      <c r="DH27" s="662">
        <f>DH26*DH33</f>
        <v>23.020579265157714</v>
      </c>
      <c r="DI27" s="667">
        <f>SUM(DE27:DH27)</f>
        <v>84.554862724453073</v>
      </c>
      <c r="DJ27" s="662">
        <f>DJ26*DJ33</f>
        <v>24.401814021067178</v>
      </c>
      <c r="DK27" s="662">
        <f>DK26*DK33</f>
        <v>25.865922862331203</v>
      </c>
      <c r="DL27" s="662">
        <f>DL26*DL33</f>
        <v>27.417878234071072</v>
      </c>
      <c r="DM27" s="662">
        <f>DM26*DM33</f>
        <v>29.062950928115342</v>
      </c>
      <c r="DN27" s="667">
        <f>SUM(DJ27:DM27)</f>
        <v>106.74856604558479</v>
      </c>
      <c r="DO27" s="662">
        <f>DO26*DO33</f>
        <v>30.806727983802258</v>
      </c>
      <c r="DP27" s="662">
        <f>DP26*DP33</f>
        <v>32.655131662830392</v>
      </c>
      <c r="DQ27" s="662">
        <f>DQ26*DQ33</f>
        <v>34.614439562600225</v>
      </c>
      <c r="DR27" s="662">
        <f>DR26*DR33</f>
        <v>36.691305936356244</v>
      </c>
      <c r="DS27" s="664">
        <f>SUM(DO27:DR27)</f>
        <v>134.76760514558913</v>
      </c>
      <c r="DT27" s="662">
        <f>DT26*DT33</f>
        <v>38.892784292537613</v>
      </c>
      <c r="DU27" s="662">
        <f>DU26*DU33</f>
        <v>41.226351350089878</v>
      </c>
      <c r="DV27" s="662">
        <f>DV26*DV33</f>
        <v>43.699932431095277</v>
      </c>
      <c r="DW27" s="662">
        <f>DW26*DW33</f>
        <v>46.32192837696099</v>
      </c>
      <c r="DX27" s="664">
        <f>SUM(DT27:DW27)</f>
        <v>170.14099645068376</v>
      </c>
      <c r="DY27" s="662">
        <f>DY26*DY33</f>
        <v>49.101244079578656</v>
      </c>
      <c r="DZ27" s="662">
        <f>DZ26*DZ33</f>
        <v>52.047318724353367</v>
      </c>
      <c r="EA27" s="662">
        <f>EA26*EA33</f>
        <v>55.170157847814565</v>
      </c>
      <c r="EB27" s="662">
        <f>EB26*EB33</f>
        <v>58.480367318683449</v>
      </c>
      <c r="EC27" s="664">
        <f>SUM(DY27:EB27)</f>
        <v>214.79908797043004</v>
      </c>
      <c r="ED27" s="662">
        <f>ED26*ED33</f>
        <v>61.989189357804463</v>
      </c>
      <c r="EE27" s="662">
        <f>EE26*EE33</f>
        <v>65.708540719272719</v>
      </c>
      <c r="EF27" s="662">
        <f>EF26*EF33</f>
        <v>69.651053162429079</v>
      </c>
      <c r="EG27" s="662">
        <f>EG26*EG33</f>
        <v>73.830116352174841</v>
      </c>
      <c r="EH27" s="667">
        <f>SUM(ED27:EG27)</f>
        <v>271.1788995916811</v>
      </c>
      <c r="EI27" s="662">
        <f>EI26*EI33</f>
        <v>78.259923333305323</v>
      </c>
      <c r="EJ27" s="662">
        <f>EJ26*EJ33</f>
        <v>82.955518733303649</v>
      </c>
      <c r="EK27" s="662">
        <f>EK26*EK33</f>
        <v>87.932849857301875</v>
      </c>
      <c r="EL27" s="662">
        <f>EL26*EL33</f>
        <v>93.208820848740004</v>
      </c>
      <c r="EM27" s="667">
        <f>SUM(EI27:EL27)</f>
        <v>342.35711277265085</v>
      </c>
      <c r="EN27" s="662">
        <f>EN26*EN33</f>
        <v>98.801350099664418</v>
      </c>
      <c r="EO27" s="662">
        <f>EO26*EO33</f>
        <v>104.72943110564427</v>
      </c>
      <c r="EP27" s="662">
        <f>EP26*EP33</f>
        <v>111.01319697198292</v>
      </c>
      <c r="EQ27" s="662">
        <f>EQ26*EQ33</f>
        <v>117.67398879030191</v>
      </c>
      <c r="ER27" s="667">
        <f>SUM(EN27:EQ27)</f>
        <v>432.2179669675935</v>
      </c>
      <c r="ES27" s="662">
        <f>ES26*ES33</f>
        <v>124.73442811772003</v>
      </c>
      <c r="ET27" s="662">
        <f>ET26*ET33</f>
        <v>132.21849380478324</v>
      </c>
      <c r="EU27" s="662">
        <f>EU26*EU33</f>
        <v>140.15160343307022</v>
      </c>
      <c r="EV27" s="662">
        <f>EV26*EV33</f>
        <v>148.56069963905443</v>
      </c>
      <c r="EW27" s="667">
        <f>SUM(ES27:EV27)</f>
        <v>545.66522499462792</v>
      </c>
      <c r="EX27" s="662">
        <f>EX26*EX33</f>
        <v>157.4743416173977</v>
      </c>
      <c r="EY27" s="662">
        <f>EY26*EY33</f>
        <v>166.92280211444154</v>
      </c>
      <c r="EZ27" s="662">
        <f>EZ26*EZ33</f>
        <v>176.93817024130803</v>
      </c>
      <c r="FA27" s="662">
        <f>FA26*FA33</f>
        <v>187.55446045578651</v>
      </c>
      <c r="FB27" s="667">
        <f>SUM(EX27:FA27)</f>
        <v>688.88977442893383</v>
      </c>
      <c r="FC27" s="662">
        <f>FC26*FC33</f>
        <v>198.8077280831337</v>
      </c>
      <c r="FD27" s="662">
        <f>FD26*FD33</f>
        <v>210.73619176812167</v>
      </c>
      <c r="FE27" s="662">
        <f>FE26*FE33</f>
        <v>223.38036327420897</v>
      </c>
      <c r="FF27" s="662">
        <f>FF26*FF33</f>
        <v>236.78318507066149</v>
      </c>
      <c r="FG27" s="667">
        <f>SUM(FC27:FF27)</f>
        <v>869.70746819612589</v>
      </c>
      <c r="FH27" s="662">
        <f>FH26*FH33</f>
        <v>250.99017617490114</v>
      </c>
      <c r="FI27" s="662">
        <f>FI26*FI33</f>
        <v>266.04958674539523</v>
      </c>
      <c r="FJ27" s="662">
        <f>FJ26*FJ33</f>
        <v>282.01256195011888</v>
      </c>
      <c r="FK27" s="662">
        <f>FK26*FK33</f>
        <v>298.93331566712607</v>
      </c>
      <c r="FL27" s="667">
        <f>SUM(FH27:FK27)</f>
        <v>1097.9856405375413</v>
      </c>
      <c r="FM27" s="261"/>
      <c r="FN27" s="261"/>
      <c r="FO27" s="261"/>
      <c r="FP27" s="261"/>
      <c r="FQ27" s="261"/>
      <c r="FR27" s="261"/>
      <c r="FS27" s="261"/>
      <c r="FT27" s="261"/>
      <c r="FU27" s="261"/>
      <c r="FV27" s="261"/>
      <c r="FW27" s="261"/>
      <c r="FX27" s="261"/>
      <c r="FY27" s="261"/>
      <c r="FZ27" s="261"/>
      <c r="GA27" s="261"/>
      <c r="GB27" s="261"/>
      <c r="GC27" s="261"/>
      <c r="GD27" s="261"/>
      <c r="GE27" s="261"/>
      <c r="GF27" s="261"/>
      <c r="GG27" s="261"/>
      <c r="GH27" s="261"/>
      <c r="GI27" s="261"/>
      <c r="GJ27" s="261"/>
      <c r="GK27" s="261"/>
      <c r="GL27" s="261"/>
      <c r="GM27" s="261"/>
      <c r="GN27" s="261"/>
      <c r="GO27" s="261"/>
      <c r="GP27" s="261"/>
      <c r="GQ27" s="261"/>
      <c r="GR27" s="261"/>
      <c r="GS27" s="261"/>
      <c r="GT27" s="261"/>
      <c r="GU27" s="261"/>
      <c r="GV27" s="261"/>
      <c r="GW27" s="261"/>
      <c r="GX27" s="261"/>
      <c r="GY27" s="261"/>
      <c r="GZ27" s="261"/>
      <c r="HA27" s="261"/>
      <c r="HB27" s="261"/>
      <c r="HC27" s="261"/>
      <c r="HD27" s="261"/>
      <c r="HE27" s="261"/>
      <c r="HF27" s="261"/>
      <c r="HG27" s="261"/>
      <c r="HH27" s="261"/>
      <c r="HI27" s="261"/>
      <c r="HJ27" s="261"/>
      <c r="HK27" s="261"/>
      <c r="HL27" s="261"/>
      <c r="HM27" s="261"/>
      <c r="HN27" s="261"/>
      <c r="HO27" s="261"/>
      <c r="HP27" s="261"/>
      <c r="HQ27" s="261"/>
      <c r="HR27" s="261"/>
      <c r="HS27" s="261"/>
      <c r="HT27" s="261"/>
      <c r="HU27" s="261"/>
      <c r="HV27" s="261"/>
      <c r="HW27" s="261"/>
      <c r="HX27" s="261"/>
      <c r="HY27" s="261"/>
      <c r="HZ27" s="261"/>
      <c r="IA27" s="261"/>
      <c r="IB27" s="261"/>
      <c r="IC27" s="261"/>
      <c r="ID27" s="261"/>
      <c r="IE27" s="261"/>
      <c r="IF27" s="261"/>
      <c r="IG27" s="261"/>
      <c r="IH27" s="261"/>
      <c r="II27" s="261"/>
      <c r="IJ27" s="261"/>
      <c r="IK27" s="261"/>
      <c r="IL27" s="261"/>
      <c r="IM27" s="261"/>
      <c r="IN27" s="261"/>
      <c r="IO27" s="261"/>
      <c r="IP27" s="261"/>
      <c r="IQ27" s="261"/>
      <c r="IR27" s="261"/>
      <c r="IS27" s="261"/>
      <c r="IT27" s="261"/>
      <c r="IU27" s="261"/>
      <c r="IV27" s="261"/>
      <c r="IW27" s="261"/>
      <c r="IX27" s="261"/>
      <c r="IY27" s="261"/>
      <c r="IZ27" s="261"/>
      <c r="JA27" s="261"/>
      <c r="JB27" s="261"/>
      <c r="JC27" s="261"/>
      <c r="JD27" s="261"/>
      <c r="JE27" s="261"/>
      <c r="JF27" s="261"/>
      <c r="JG27" s="261"/>
      <c r="JH27" s="261"/>
      <c r="JI27" s="261"/>
      <c r="JJ27" s="261"/>
      <c r="JK27" s="261"/>
      <c r="JL27" s="261"/>
      <c r="JM27" s="261"/>
      <c r="JN27" s="261"/>
      <c r="JO27" s="261"/>
    </row>
    <row r="28" spans="1:275" s="651" customFormat="1" ht="11.25" customHeight="1">
      <c r="A28" s="689" t="s">
        <v>573</v>
      </c>
      <c r="B28" s="644"/>
      <c r="C28" s="645"/>
      <c r="D28" s="645"/>
      <c r="E28" s="645"/>
      <c r="F28" s="645"/>
      <c r="G28" s="645"/>
      <c r="H28" s="645"/>
      <c r="I28" s="645"/>
      <c r="J28" s="645"/>
      <c r="K28" s="645"/>
      <c r="L28" s="645"/>
      <c r="M28" s="645"/>
      <c r="N28" s="645"/>
      <c r="O28" s="645"/>
      <c r="P28" s="645"/>
      <c r="Q28" s="645"/>
      <c r="R28" s="645"/>
      <c r="S28" s="645"/>
      <c r="T28" s="645"/>
      <c r="U28" s="645"/>
      <c r="V28" s="645"/>
      <c r="W28" s="645"/>
      <c r="X28" s="645"/>
      <c r="Y28" s="645"/>
      <c r="Z28" s="645"/>
      <c r="AA28" s="645"/>
      <c r="AB28" s="645"/>
      <c r="AC28" s="645"/>
      <c r="AD28" s="645"/>
      <c r="AE28" s="645"/>
      <c r="AF28" s="645"/>
      <c r="AG28" s="645"/>
      <c r="AH28" s="645"/>
      <c r="AI28" s="645"/>
      <c r="AJ28" s="645"/>
      <c r="AK28" s="645"/>
      <c r="AL28" s="645"/>
      <c r="AM28" s="645"/>
      <c r="AN28" s="645"/>
      <c r="AO28" s="645"/>
      <c r="AP28" s="645"/>
      <c r="AQ28" s="645"/>
      <c r="AR28" s="645"/>
      <c r="AS28" s="645"/>
      <c r="AT28" s="645"/>
      <c r="AU28" s="645"/>
      <c r="AV28" s="645"/>
      <c r="AW28" s="645"/>
      <c r="AX28" s="645"/>
      <c r="AY28" s="645"/>
      <c r="AZ28" s="645"/>
      <c r="BA28" s="645"/>
      <c r="BB28" s="645"/>
      <c r="BC28" s="645"/>
      <c r="BD28" s="645"/>
      <c r="BE28" s="645"/>
      <c r="BF28" s="645"/>
      <c r="BG28" s="645"/>
      <c r="BH28" s="645"/>
      <c r="BI28" s="645"/>
      <c r="BJ28" s="645"/>
      <c r="BK28" s="645"/>
      <c r="BL28" s="645"/>
      <c r="BM28" s="645"/>
      <c r="BN28" s="645"/>
      <c r="BO28" s="645"/>
      <c r="BP28" s="645"/>
      <c r="BQ28" s="645"/>
      <c r="BR28" s="645"/>
      <c r="BS28" s="645"/>
      <c r="BT28" s="645"/>
      <c r="BU28" s="645"/>
      <c r="BV28" s="645"/>
      <c r="BW28" s="645"/>
      <c r="BX28" s="645"/>
      <c r="BY28" s="645"/>
      <c r="BZ28" s="646"/>
      <c r="CA28" s="677" t="s">
        <v>699</v>
      </c>
      <c r="CB28" s="677" t="s">
        <v>699</v>
      </c>
      <c r="CC28" s="677" t="s">
        <v>699</v>
      </c>
      <c r="CD28" s="677" t="s">
        <v>699</v>
      </c>
      <c r="CE28" s="657">
        <v>0.8</v>
      </c>
      <c r="CF28" s="687">
        <f>$CJ$28/4</f>
        <v>1.825</v>
      </c>
      <c r="CG28" s="687">
        <f>$CJ$28/4</f>
        <v>1.825</v>
      </c>
      <c r="CH28" s="687">
        <f>$CJ$28/4</f>
        <v>1.825</v>
      </c>
      <c r="CI28" s="687">
        <f>$CJ$28/4</f>
        <v>1.825</v>
      </c>
      <c r="CJ28" s="657">
        <v>7.3</v>
      </c>
      <c r="CK28" s="666">
        <v>12.8</v>
      </c>
      <c r="CL28" s="666">
        <v>1</v>
      </c>
      <c r="CM28" s="666">
        <v>0.8</v>
      </c>
      <c r="CN28" s="662">
        <f>CO28-CM28-CL28-CK28</f>
        <v>1.0999999999999979</v>
      </c>
      <c r="CO28" s="663">
        <v>15.7</v>
      </c>
      <c r="CP28" s="662">
        <f>$CT$28/4</f>
        <v>6</v>
      </c>
      <c r="CQ28" s="662">
        <f>$CT$28/4</f>
        <v>6</v>
      </c>
      <c r="CR28" s="662">
        <f>$CT$28/4</f>
        <v>6</v>
      </c>
      <c r="CS28" s="662">
        <f>$CT$28/4</f>
        <v>6</v>
      </c>
      <c r="CT28" s="663">
        <v>24</v>
      </c>
      <c r="CU28" s="662">
        <f>$CY$28/4</f>
        <v>8.25</v>
      </c>
      <c r="CV28" s="662">
        <f>$CY$28/4</f>
        <v>8.25</v>
      </c>
      <c r="CW28" s="662">
        <f>$CY$28/4</f>
        <v>8.25</v>
      </c>
      <c r="CX28" s="662">
        <f>$CY$28/4</f>
        <v>8.25</v>
      </c>
      <c r="CY28" s="663">
        <v>33</v>
      </c>
      <c r="CZ28" s="662">
        <f>CZ26*CZ34</f>
        <v>3.0620000000000007</v>
      </c>
      <c r="DA28" s="662">
        <f>DA26*DA34</f>
        <v>3.2457199999999999</v>
      </c>
      <c r="DB28" s="662">
        <f>DB26*DB34</f>
        <v>3.4404631999999999</v>
      </c>
      <c r="DC28" s="662">
        <f>DC26*DC34</f>
        <v>3.6468909919999994</v>
      </c>
      <c r="DD28" s="667">
        <f>SUM(CZ28:DC28)</f>
        <v>13.395074191999999</v>
      </c>
      <c r="DE28" s="662">
        <f>DE26*DE34</f>
        <v>3.8657044515199988</v>
      </c>
      <c r="DF28" s="662">
        <f>DF26*DF34</f>
        <v>4.0976467186111982</v>
      </c>
      <c r="DG28" s="662">
        <f>DG26*DG34</f>
        <v>4.3435055217278702</v>
      </c>
      <c r="DH28" s="662">
        <f>DH26*DH34</f>
        <v>4.6041158530315425</v>
      </c>
      <c r="DI28" s="667">
        <f>SUM(DE28:DH28)</f>
        <v>16.910972544890612</v>
      </c>
      <c r="DJ28" s="662">
        <f>DJ26*DJ34</f>
        <v>4.8803628042134353</v>
      </c>
      <c r="DK28" s="662">
        <f>DK26*DK34</f>
        <v>5.1731845724662398</v>
      </c>
      <c r="DL28" s="662">
        <f>DL26*DL34</f>
        <v>5.4835756468142147</v>
      </c>
      <c r="DM28" s="662">
        <f>DM26*DM34</f>
        <v>5.8125901856230682</v>
      </c>
      <c r="DN28" s="667">
        <f>SUM(DJ28:DM28)</f>
        <v>21.349713209116956</v>
      </c>
      <c r="DO28" s="662">
        <f>DO26*DO34</f>
        <v>6.1613455967604516</v>
      </c>
      <c r="DP28" s="662">
        <f>DP26*DP34</f>
        <v>6.5310263325660785</v>
      </c>
      <c r="DQ28" s="662">
        <f>DQ26*DQ34</f>
        <v>6.9228879125200447</v>
      </c>
      <c r="DR28" s="662">
        <f>DR26*DR34</f>
        <v>7.3382611872712484</v>
      </c>
      <c r="DS28" s="664">
        <f>SUM(DO28:DR28)</f>
        <v>26.953521029117823</v>
      </c>
      <c r="DT28" s="662">
        <f>DT26*DT34</f>
        <v>7.7785568585075229</v>
      </c>
      <c r="DU28" s="662">
        <f>DU26*DU34</f>
        <v>8.2452702700179756</v>
      </c>
      <c r="DV28" s="662">
        <f>DV26*DV34</f>
        <v>8.7399864862190544</v>
      </c>
      <c r="DW28" s="662">
        <f>DW26*DW34</f>
        <v>9.264385675392198</v>
      </c>
      <c r="DX28" s="664">
        <f>SUM(DT28:DW28)</f>
        <v>34.028199290136747</v>
      </c>
      <c r="DY28" s="662">
        <f>DY26*DY34</f>
        <v>9.8202488159157308</v>
      </c>
      <c r="DZ28" s="662">
        <f>DZ26*DZ34</f>
        <v>10.409463744870672</v>
      </c>
      <c r="EA28" s="662">
        <f>EA26*EA34</f>
        <v>11.034031569562913</v>
      </c>
      <c r="EB28" s="662">
        <f>EB26*EB34</f>
        <v>11.696073463736688</v>
      </c>
      <c r="EC28" s="664">
        <f>SUM(DY28:EB28)</f>
        <v>42.959817594086005</v>
      </c>
      <c r="ED28" s="662">
        <f>ED26*ED34</f>
        <v>12.397837871560892</v>
      </c>
      <c r="EE28" s="662">
        <f>EE26*EE34</f>
        <v>13.141708143854544</v>
      </c>
      <c r="EF28" s="662">
        <f>EF26*EF34</f>
        <v>13.930210632485817</v>
      </c>
      <c r="EG28" s="662">
        <f>EG26*EG34</f>
        <v>14.766023270434967</v>
      </c>
      <c r="EH28" s="667">
        <f>SUM(ED28:EG28)</f>
        <v>54.23577991833622</v>
      </c>
      <c r="EI28" s="662">
        <f>EI26*EI34</f>
        <v>15.651984666661065</v>
      </c>
      <c r="EJ28" s="662">
        <f>EJ26*EJ34</f>
        <v>16.591103746660728</v>
      </c>
      <c r="EK28" s="662">
        <f>EK26*EK34</f>
        <v>17.586569971460374</v>
      </c>
      <c r="EL28" s="662">
        <f>EL26*EL34</f>
        <v>18.641764169747997</v>
      </c>
      <c r="EM28" s="667">
        <f>SUM(EI28:EL28)</f>
        <v>68.471422554530164</v>
      </c>
      <c r="EN28" s="662">
        <f>EN26*EN34</f>
        <v>19.760270019932882</v>
      </c>
      <c r="EO28" s="662">
        <f>EO26*EO34</f>
        <v>20.945886221128855</v>
      </c>
      <c r="EP28" s="662">
        <f>EP26*EP34</f>
        <v>22.202639394396584</v>
      </c>
      <c r="EQ28" s="662">
        <f>EQ26*EQ34</f>
        <v>23.534797758060382</v>
      </c>
      <c r="ER28" s="667">
        <f>SUM(EN28:EQ28)</f>
        <v>86.443593393518697</v>
      </c>
      <c r="ES28" s="662">
        <f>ES26*ES34</f>
        <v>24.946885623544006</v>
      </c>
      <c r="ET28" s="662">
        <f>ET26*ET34</f>
        <v>26.443698760956647</v>
      </c>
      <c r="EU28" s="662">
        <f>EU26*EU34</f>
        <v>28.03032068661404</v>
      </c>
      <c r="EV28" s="662">
        <f>EV26*EV34</f>
        <v>29.712139927810885</v>
      </c>
      <c r="EW28" s="667">
        <f>SUM(ES28:EV28)</f>
        <v>109.13304499892558</v>
      </c>
      <c r="EX28" s="662">
        <f>EX26*EX34</f>
        <v>31.494868323479537</v>
      </c>
      <c r="EY28" s="662">
        <f>EY26*EY34</f>
        <v>33.384560422888306</v>
      </c>
      <c r="EZ28" s="662">
        <f>EZ26*EZ34</f>
        <v>35.387634048261603</v>
      </c>
      <c r="FA28" s="662">
        <f>FA26*FA34</f>
        <v>37.510892091157295</v>
      </c>
      <c r="FB28" s="667">
        <f>SUM(EX28:FA28)</f>
        <v>137.77795488578673</v>
      </c>
      <c r="FC28" s="662">
        <f>FC26*FC34</f>
        <v>39.761545616626734</v>
      </c>
      <c r="FD28" s="662">
        <f>FD26*FD34</f>
        <v>42.147238353624338</v>
      </c>
      <c r="FE28" s="662">
        <f>FE26*FE34</f>
        <v>44.676072654841789</v>
      </c>
      <c r="FF28" s="662">
        <f>FF26*FF34</f>
        <v>47.356637014132296</v>
      </c>
      <c r="FG28" s="667">
        <f>SUM(FC28:FF28)</f>
        <v>173.94149363922517</v>
      </c>
      <c r="FH28" s="662">
        <f>FH26*FH34</f>
        <v>50.198035234980225</v>
      </c>
      <c r="FI28" s="662">
        <f>FI26*FI34</f>
        <v>53.209917349079042</v>
      </c>
      <c r="FJ28" s="662">
        <f>FJ26*FJ34</f>
        <v>56.40251239002378</v>
      </c>
      <c r="FK28" s="662">
        <f>FK26*FK34</f>
        <v>59.786663133425208</v>
      </c>
      <c r="FL28" s="667">
        <f>SUM(FH28:FK28)</f>
        <v>219.59712810750827</v>
      </c>
      <c r="FM28" s="261"/>
      <c r="FN28" s="261"/>
      <c r="FO28" s="261"/>
      <c r="FP28" s="261"/>
      <c r="FQ28" s="261"/>
      <c r="FR28" s="261"/>
      <c r="FS28" s="261"/>
      <c r="FT28" s="261"/>
      <c r="FU28" s="261"/>
      <c r="FV28" s="261"/>
      <c r="FW28" s="261"/>
      <c r="FX28" s="261"/>
      <c r="FY28" s="261"/>
      <c r="FZ28" s="261"/>
      <c r="GA28" s="261"/>
      <c r="GB28" s="261"/>
      <c r="GC28" s="261"/>
      <c r="GD28" s="261"/>
      <c r="GE28" s="261"/>
      <c r="GF28" s="261"/>
      <c r="GG28" s="261"/>
      <c r="GH28" s="261"/>
      <c r="GI28" s="261"/>
      <c r="GJ28" s="261"/>
      <c r="GK28" s="261"/>
      <c r="GL28" s="261"/>
      <c r="GM28" s="261"/>
      <c r="GN28" s="261"/>
      <c r="GO28" s="261"/>
      <c r="GP28" s="261"/>
      <c r="GQ28" s="261"/>
      <c r="GR28" s="261"/>
      <c r="GS28" s="261"/>
      <c r="GT28" s="261"/>
      <c r="GU28" s="261"/>
      <c r="GV28" s="261"/>
      <c r="GW28" s="261"/>
      <c r="GX28" s="261"/>
      <c r="GY28" s="261"/>
      <c r="GZ28" s="261"/>
      <c r="HA28" s="261"/>
      <c r="HB28" s="261"/>
      <c r="HC28" s="261"/>
      <c r="HD28" s="261"/>
      <c r="HE28" s="261"/>
      <c r="HF28" s="261"/>
      <c r="HG28" s="261"/>
      <c r="HH28" s="261"/>
      <c r="HI28" s="261"/>
      <c r="HJ28" s="261"/>
      <c r="HK28" s="261"/>
      <c r="HL28" s="261"/>
      <c r="HM28" s="261"/>
      <c r="HN28" s="261"/>
      <c r="HO28" s="261"/>
      <c r="HP28" s="261"/>
      <c r="HQ28" s="261"/>
      <c r="HR28" s="261"/>
      <c r="HS28" s="261"/>
      <c r="HT28" s="261"/>
      <c r="HU28" s="261"/>
      <c r="HV28" s="261"/>
      <c r="HW28" s="261"/>
      <c r="HX28" s="261"/>
      <c r="HY28" s="261"/>
      <c r="HZ28" s="261"/>
      <c r="IA28" s="261"/>
      <c r="IB28" s="261"/>
      <c r="IC28" s="261"/>
      <c r="ID28" s="261"/>
      <c r="IE28" s="261"/>
      <c r="IF28" s="261"/>
      <c r="IG28" s="261"/>
      <c r="IH28" s="261"/>
      <c r="II28" s="261"/>
      <c r="IJ28" s="261"/>
      <c r="IK28" s="261"/>
      <c r="IL28" s="261"/>
      <c r="IM28" s="261"/>
      <c r="IN28" s="261"/>
      <c r="IO28" s="261"/>
      <c r="IP28" s="261"/>
      <c r="IQ28" s="261"/>
      <c r="IR28" s="261"/>
      <c r="IS28" s="261"/>
      <c r="IT28" s="261"/>
      <c r="IU28" s="261"/>
      <c r="IV28" s="261"/>
      <c r="IW28" s="261"/>
      <c r="IX28" s="261"/>
      <c r="IY28" s="261"/>
      <c r="IZ28" s="261"/>
      <c r="JA28" s="261"/>
      <c r="JB28" s="261"/>
      <c r="JC28" s="261"/>
      <c r="JD28" s="261"/>
      <c r="JE28" s="261"/>
      <c r="JF28" s="261"/>
      <c r="JG28" s="261"/>
      <c r="JH28" s="261"/>
      <c r="JI28" s="261"/>
      <c r="JJ28" s="261"/>
      <c r="JK28" s="261"/>
      <c r="JL28" s="261"/>
      <c r="JM28" s="261"/>
      <c r="JN28" s="261"/>
      <c r="JO28" s="261"/>
    </row>
    <row r="29" spans="1:275" s="651" customFormat="1" ht="11.25" customHeight="1">
      <c r="A29" s="689" t="s">
        <v>574</v>
      </c>
      <c r="B29" s="644"/>
      <c r="C29" s="645"/>
      <c r="D29" s="645"/>
      <c r="E29" s="645"/>
      <c r="F29" s="645"/>
      <c r="G29" s="645"/>
      <c r="H29" s="645"/>
      <c r="I29" s="645"/>
      <c r="J29" s="645"/>
      <c r="K29" s="645"/>
      <c r="L29" s="645"/>
      <c r="M29" s="645"/>
      <c r="N29" s="645"/>
      <c r="O29" s="645"/>
      <c r="P29" s="645"/>
      <c r="Q29" s="645"/>
      <c r="R29" s="645"/>
      <c r="S29" s="645"/>
      <c r="T29" s="645"/>
      <c r="U29" s="645"/>
      <c r="V29" s="645"/>
      <c r="W29" s="645"/>
      <c r="X29" s="645"/>
      <c r="Y29" s="645"/>
      <c r="Z29" s="645"/>
      <c r="AA29" s="645"/>
      <c r="AB29" s="645"/>
      <c r="AC29" s="645"/>
      <c r="AD29" s="645"/>
      <c r="AE29" s="645"/>
      <c r="AF29" s="645"/>
      <c r="AG29" s="645"/>
      <c r="AH29" s="645"/>
      <c r="AI29" s="645"/>
      <c r="AJ29" s="645"/>
      <c r="AK29" s="645"/>
      <c r="AL29" s="645"/>
      <c r="AM29" s="645"/>
      <c r="AN29" s="645"/>
      <c r="AO29" s="645"/>
      <c r="AP29" s="645"/>
      <c r="AQ29" s="645"/>
      <c r="AR29" s="645"/>
      <c r="AS29" s="645"/>
      <c r="AT29" s="645"/>
      <c r="AU29" s="645"/>
      <c r="AV29" s="645"/>
      <c r="AW29" s="645"/>
      <c r="AX29" s="645"/>
      <c r="AY29" s="645"/>
      <c r="AZ29" s="645"/>
      <c r="BA29" s="645"/>
      <c r="BB29" s="645"/>
      <c r="BC29" s="645"/>
      <c r="BD29" s="645"/>
      <c r="BE29" s="645"/>
      <c r="BF29" s="645"/>
      <c r="BG29" s="645"/>
      <c r="BH29" s="645"/>
      <c r="BI29" s="645"/>
      <c r="BJ29" s="645"/>
      <c r="BK29" s="645"/>
      <c r="BL29" s="645"/>
      <c r="BM29" s="645"/>
      <c r="BN29" s="645"/>
      <c r="BO29" s="645"/>
      <c r="BP29" s="645"/>
      <c r="BQ29" s="645"/>
      <c r="BR29" s="645"/>
      <c r="BS29" s="645"/>
      <c r="BT29" s="645"/>
      <c r="BU29" s="645"/>
      <c r="BV29" s="645"/>
      <c r="BW29" s="645"/>
      <c r="BX29" s="645"/>
      <c r="BY29" s="645"/>
      <c r="BZ29" s="646"/>
      <c r="CA29" s="690" t="s">
        <v>699</v>
      </c>
      <c r="CB29" s="690" t="s">
        <v>699</v>
      </c>
      <c r="CC29" s="690" t="s">
        <v>699</v>
      </c>
      <c r="CD29" s="690" t="s">
        <v>699</v>
      </c>
      <c r="CE29" s="691">
        <v>1.3</v>
      </c>
      <c r="CF29" s="692">
        <f>$CJ$29/4</f>
        <v>0.875</v>
      </c>
      <c r="CG29" s="692">
        <f>$CJ$29/4</f>
        <v>0.875</v>
      </c>
      <c r="CH29" s="692">
        <f>$CJ$29/4</f>
        <v>0.875</v>
      </c>
      <c r="CI29" s="692">
        <f>$CJ$29/4</f>
        <v>0.875</v>
      </c>
      <c r="CJ29" s="691">
        <v>3.5</v>
      </c>
      <c r="CK29" s="670">
        <v>1.1000000000000001</v>
      </c>
      <c r="CL29" s="670">
        <v>1.4</v>
      </c>
      <c r="CM29" s="670">
        <v>1.2</v>
      </c>
      <c r="CN29" s="668">
        <f>CO29-CM29-CL29-CK29</f>
        <v>1.0999999999999996</v>
      </c>
      <c r="CO29" s="669">
        <v>4.8</v>
      </c>
      <c r="CP29" s="668">
        <f>$CT$29/4</f>
        <v>1.75</v>
      </c>
      <c r="CQ29" s="668">
        <f>$CT$29/4</f>
        <v>1.75</v>
      </c>
      <c r="CR29" s="668">
        <f>$CT$29/4</f>
        <v>1.75</v>
      </c>
      <c r="CS29" s="668">
        <f>$CT$29/4</f>
        <v>1.75</v>
      </c>
      <c r="CT29" s="669">
        <v>7</v>
      </c>
      <c r="CU29" s="668">
        <f>$CY$29/4</f>
        <v>2.25</v>
      </c>
      <c r="CV29" s="668">
        <f>$CY$29/4</f>
        <v>2.25</v>
      </c>
      <c r="CW29" s="668">
        <f>$CY$29/4</f>
        <v>2.25</v>
      </c>
      <c r="CX29" s="668">
        <f>$CY$29/4</f>
        <v>2.25</v>
      </c>
      <c r="CY29" s="669">
        <v>9</v>
      </c>
      <c r="CZ29" s="668">
        <f>CZ26*CZ35</f>
        <v>3.0620000000000007</v>
      </c>
      <c r="DA29" s="668">
        <f>DA26*DA35</f>
        <v>3.2457199999999999</v>
      </c>
      <c r="DB29" s="668">
        <f>DB26*DB35</f>
        <v>3.4404631999999999</v>
      </c>
      <c r="DC29" s="668">
        <f>DC26*DC35</f>
        <v>3.6468909919999994</v>
      </c>
      <c r="DD29" s="671">
        <f>SUM(CZ29:DC29)</f>
        <v>13.395074191999999</v>
      </c>
      <c r="DE29" s="668">
        <f>DE26*DE35</f>
        <v>3.8657044515199988</v>
      </c>
      <c r="DF29" s="668">
        <f>DF26*DF35</f>
        <v>4.0976467186111982</v>
      </c>
      <c r="DG29" s="668">
        <f>DG26*DG35</f>
        <v>4.3435055217278702</v>
      </c>
      <c r="DH29" s="668">
        <f>DH26*DH35</f>
        <v>4.6041158530315425</v>
      </c>
      <c r="DI29" s="671">
        <f>SUM(DE29:DH29)</f>
        <v>16.910972544890612</v>
      </c>
      <c r="DJ29" s="668">
        <f>DJ26*DJ35</f>
        <v>4.8803628042134353</v>
      </c>
      <c r="DK29" s="668">
        <f>DK26*DK35</f>
        <v>5.1731845724662398</v>
      </c>
      <c r="DL29" s="668">
        <f>DL26*DL35</f>
        <v>5.4835756468142147</v>
      </c>
      <c r="DM29" s="668">
        <f>DM26*DM35</f>
        <v>5.8125901856230682</v>
      </c>
      <c r="DN29" s="671">
        <f>SUM(DJ29:DM29)</f>
        <v>21.349713209116956</v>
      </c>
      <c r="DO29" s="668">
        <f>DO26*DO35</f>
        <v>6.1613455967604516</v>
      </c>
      <c r="DP29" s="668">
        <f>DP26*DP35</f>
        <v>6.5310263325660785</v>
      </c>
      <c r="DQ29" s="668">
        <f>DQ26*DQ35</f>
        <v>6.9228879125200447</v>
      </c>
      <c r="DR29" s="668">
        <f>DR26*DR35</f>
        <v>7.3382611872712484</v>
      </c>
      <c r="DS29" s="901">
        <f>SUM(DO29:DR29)</f>
        <v>26.953521029117823</v>
      </c>
      <c r="DT29" s="668">
        <f>DT26*DT35</f>
        <v>7.7785568585075229</v>
      </c>
      <c r="DU29" s="668">
        <f>DU26*DU35</f>
        <v>8.2452702700179756</v>
      </c>
      <c r="DV29" s="668">
        <f>DV26*DV35</f>
        <v>8.7399864862190544</v>
      </c>
      <c r="DW29" s="668">
        <f>DW26*DW35</f>
        <v>9.264385675392198</v>
      </c>
      <c r="DX29" s="901">
        <f>SUM(DT29:DW29)</f>
        <v>34.028199290136747</v>
      </c>
      <c r="DY29" s="668">
        <f>DY26*DY35</f>
        <v>9.8202488159157308</v>
      </c>
      <c r="DZ29" s="668">
        <f>DZ26*DZ35</f>
        <v>10.409463744870672</v>
      </c>
      <c r="EA29" s="668">
        <f>EA26*EA35</f>
        <v>11.034031569562913</v>
      </c>
      <c r="EB29" s="668">
        <f>EB26*EB35</f>
        <v>11.696073463736688</v>
      </c>
      <c r="EC29" s="901">
        <f>SUM(DY29:EB29)</f>
        <v>42.959817594086005</v>
      </c>
      <c r="ED29" s="668">
        <f>ED26*ED35</f>
        <v>12.397837871560892</v>
      </c>
      <c r="EE29" s="668">
        <f>EE26*EE35</f>
        <v>13.141708143854544</v>
      </c>
      <c r="EF29" s="668">
        <f>EF26*EF35</f>
        <v>13.930210632485817</v>
      </c>
      <c r="EG29" s="668">
        <f>EG26*EG35</f>
        <v>14.766023270434967</v>
      </c>
      <c r="EH29" s="671">
        <f>SUM(ED29:EG29)</f>
        <v>54.23577991833622</v>
      </c>
      <c r="EI29" s="668">
        <f>EI26*EI35</f>
        <v>15.651984666661065</v>
      </c>
      <c r="EJ29" s="668">
        <f>EJ26*EJ35</f>
        <v>16.591103746660728</v>
      </c>
      <c r="EK29" s="668">
        <f>EK26*EK35</f>
        <v>17.586569971460374</v>
      </c>
      <c r="EL29" s="668">
        <f>EL26*EL35</f>
        <v>18.641764169747997</v>
      </c>
      <c r="EM29" s="671">
        <f>SUM(EI29:EL29)</f>
        <v>68.471422554530164</v>
      </c>
      <c r="EN29" s="668">
        <f>EN26*EN35</f>
        <v>19.760270019932882</v>
      </c>
      <c r="EO29" s="668">
        <f>EO26*EO35</f>
        <v>20.945886221128855</v>
      </c>
      <c r="EP29" s="668">
        <f>EP26*EP35</f>
        <v>22.202639394396584</v>
      </c>
      <c r="EQ29" s="668">
        <f>EQ26*EQ35</f>
        <v>23.534797758060382</v>
      </c>
      <c r="ER29" s="671">
        <f>SUM(EN29:EQ29)</f>
        <v>86.443593393518697</v>
      </c>
      <c r="ES29" s="668">
        <f>ES26*ES35</f>
        <v>24.946885623544006</v>
      </c>
      <c r="ET29" s="668">
        <f>ET26*ET35</f>
        <v>26.443698760956647</v>
      </c>
      <c r="EU29" s="668">
        <f>EU26*EU35</f>
        <v>28.03032068661404</v>
      </c>
      <c r="EV29" s="668">
        <f>EV26*EV35</f>
        <v>29.712139927810885</v>
      </c>
      <c r="EW29" s="671">
        <f>SUM(ES29:EV29)</f>
        <v>109.13304499892558</v>
      </c>
      <c r="EX29" s="668">
        <f>EX26*EX35</f>
        <v>31.494868323479537</v>
      </c>
      <c r="EY29" s="668">
        <f>EY26*EY35</f>
        <v>33.384560422888306</v>
      </c>
      <c r="EZ29" s="668">
        <f>EZ26*EZ35</f>
        <v>35.387634048261603</v>
      </c>
      <c r="FA29" s="668">
        <f>FA26*FA35</f>
        <v>37.510892091157295</v>
      </c>
      <c r="FB29" s="671">
        <f>SUM(EX29:FA29)</f>
        <v>137.77795488578673</v>
      </c>
      <c r="FC29" s="668">
        <f>FC26*FC35</f>
        <v>39.761545616626734</v>
      </c>
      <c r="FD29" s="668">
        <f>FD26*FD35</f>
        <v>42.147238353624338</v>
      </c>
      <c r="FE29" s="668">
        <f>FE26*FE35</f>
        <v>44.676072654841789</v>
      </c>
      <c r="FF29" s="668">
        <f>FF26*FF35</f>
        <v>47.356637014132296</v>
      </c>
      <c r="FG29" s="671">
        <f>SUM(FC29:FF29)</f>
        <v>173.94149363922517</v>
      </c>
      <c r="FH29" s="668">
        <f>FH26*FH35</f>
        <v>50.198035234980225</v>
      </c>
      <c r="FI29" s="668">
        <f>FI26*FI35</f>
        <v>53.209917349079042</v>
      </c>
      <c r="FJ29" s="668">
        <f>FJ26*FJ35</f>
        <v>56.40251239002378</v>
      </c>
      <c r="FK29" s="668">
        <f>FK26*FK35</f>
        <v>59.786663133425208</v>
      </c>
      <c r="FL29" s="671">
        <f>SUM(FH29:FK29)</f>
        <v>219.59712810750827</v>
      </c>
      <c r="FM29" s="261"/>
      <c r="FN29" s="261"/>
      <c r="FO29" s="261"/>
      <c r="FP29" s="261"/>
      <c r="FQ29" s="261"/>
      <c r="FR29" s="261"/>
      <c r="FS29" s="261"/>
      <c r="FT29" s="261"/>
      <c r="FU29" s="261"/>
      <c r="FV29" s="261"/>
      <c r="FW29" s="261"/>
      <c r="FX29" s="261"/>
      <c r="FY29" s="261"/>
      <c r="FZ29" s="261"/>
      <c r="GA29" s="261"/>
      <c r="GB29" s="261"/>
      <c r="GC29" s="261"/>
      <c r="GD29" s="261"/>
      <c r="GE29" s="261"/>
      <c r="GF29" s="261"/>
      <c r="GG29" s="261"/>
      <c r="GH29" s="261"/>
      <c r="GI29" s="261"/>
      <c r="GJ29" s="261"/>
      <c r="GK29" s="261"/>
      <c r="GL29" s="261"/>
      <c r="GM29" s="261"/>
      <c r="GN29" s="261"/>
      <c r="GO29" s="261"/>
      <c r="GP29" s="261"/>
      <c r="GQ29" s="261"/>
      <c r="GR29" s="261"/>
      <c r="GS29" s="261"/>
      <c r="GT29" s="261"/>
      <c r="GU29" s="261"/>
      <c r="GV29" s="261"/>
      <c r="GW29" s="261"/>
      <c r="GX29" s="261"/>
      <c r="GY29" s="261"/>
      <c r="GZ29" s="261"/>
      <c r="HA29" s="261"/>
      <c r="HB29" s="261"/>
      <c r="HC29" s="261"/>
      <c r="HD29" s="261"/>
      <c r="HE29" s="261"/>
      <c r="HF29" s="261"/>
      <c r="HG29" s="261"/>
      <c r="HH29" s="261"/>
      <c r="HI29" s="261"/>
      <c r="HJ29" s="261"/>
      <c r="HK29" s="261"/>
      <c r="HL29" s="261"/>
      <c r="HM29" s="261"/>
      <c r="HN29" s="261"/>
      <c r="HO29" s="261"/>
      <c r="HP29" s="261"/>
      <c r="HQ29" s="261"/>
      <c r="HR29" s="261"/>
      <c r="HS29" s="261"/>
      <c r="HT29" s="261"/>
      <c r="HU29" s="261"/>
      <c r="HV29" s="261"/>
      <c r="HW29" s="261"/>
      <c r="HX29" s="261"/>
      <c r="HY29" s="261"/>
      <c r="HZ29" s="261"/>
      <c r="IA29" s="261"/>
      <c r="IB29" s="261"/>
      <c r="IC29" s="261"/>
      <c r="ID29" s="261"/>
      <c r="IE29" s="261"/>
      <c r="IF29" s="261"/>
      <c r="IG29" s="261"/>
      <c r="IH29" s="261"/>
      <c r="II29" s="261"/>
      <c r="IJ29" s="261"/>
      <c r="IK29" s="261"/>
      <c r="IL29" s="261"/>
      <c r="IM29" s="261"/>
      <c r="IN29" s="261"/>
      <c r="IO29" s="261"/>
      <c r="IP29" s="261"/>
      <c r="IQ29" s="261"/>
      <c r="IR29" s="261"/>
      <c r="IS29" s="261"/>
      <c r="IT29" s="261"/>
      <c r="IU29" s="261"/>
      <c r="IV29" s="261"/>
      <c r="IW29" s="261"/>
      <c r="IX29" s="261"/>
      <c r="IY29" s="261"/>
      <c r="IZ29" s="261"/>
      <c r="JA29" s="261"/>
      <c r="JB29" s="261"/>
      <c r="JC29" s="261"/>
      <c r="JD29" s="261"/>
      <c r="JE29" s="261"/>
      <c r="JF29" s="261"/>
      <c r="JG29" s="261"/>
      <c r="JH29" s="261"/>
      <c r="JI29" s="261"/>
      <c r="JJ29" s="261"/>
      <c r="JK29" s="261"/>
      <c r="JL29" s="261"/>
      <c r="JM29" s="261"/>
      <c r="JN29" s="261"/>
      <c r="JO29" s="261"/>
    </row>
    <row r="30" spans="1:275" s="651" customFormat="1" ht="11.25" customHeight="1">
      <c r="A30" s="643" t="s">
        <v>562</v>
      </c>
      <c r="B30" s="644"/>
      <c r="C30" s="645"/>
      <c r="D30" s="645"/>
      <c r="E30" s="645"/>
      <c r="F30" s="645"/>
      <c r="G30" s="645"/>
      <c r="H30" s="645"/>
      <c r="I30" s="645"/>
      <c r="J30" s="645"/>
      <c r="K30" s="645"/>
      <c r="L30" s="645"/>
      <c r="M30" s="645"/>
      <c r="N30" s="645"/>
      <c r="O30" s="645"/>
      <c r="P30" s="645"/>
      <c r="Q30" s="645"/>
      <c r="R30" s="645"/>
      <c r="S30" s="645"/>
      <c r="T30" s="645"/>
      <c r="U30" s="645"/>
      <c r="V30" s="645"/>
      <c r="W30" s="645"/>
      <c r="X30" s="645"/>
      <c r="Y30" s="645"/>
      <c r="Z30" s="645"/>
      <c r="AA30" s="645"/>
      <c r="AB30" s="645"/>
      <c r="AC30" s="645"/>
      <c r="AD30" s="645"/>
      <c r="AE30" s="645"/>
      <c r="AF30" s="645"/>
      <c r="AG30" s="645"/>
      <c r="AH30" s="645"/>
      <c r="AI30" s="645"/>
      <c r="AJ30" s="645"/>
      <c r="AK30" s="645"/>
      <c r="AL30" s="645"/>
      <c r="AM30" s="645"/>
      <c r="AN30" s="645"/>
      <c r="AO30" s="645"/>
      <c r="AP30" s="645"/>
      <c r="AQ30" s="645"/>
      <c r="AR30" s="645"/>
      <c r="AS30" s="645"/>
      <c r="AT30" s="645"/>
      <c r="AU30" s="645"/>
      <c r="AV30" s="645"/>
      <c r="AW30" s="645"/>
      <c r="AX30" s="645"/>
      <c r="AY30" s="645"/>
      <c r="AZ30" s="645"/>
      <c r="BA30" s="645"/>
      <c r="BB30" s="645"/>
      <c r="BC30" s="645"/>
      <c r="BD30" s="645"/>
      <c r="BE30" s="645"/>
      <c r="BF30" s="645"/>
      <c r="BG30" s="645"/>
      <c r="BH30" s="645"/>
      <c r="BI30" s="645"/>
      <c r="BJ30" s="645"/>
      <c r="BK30" s="645"/>
      <c r="BL30" s="645"/>
      <c r="BM30" s="645"/>
      <c r="BN30" s="645"/>
      <c r="BO30" s="645"/>
      <c r="BP30" s="645"/>
      <c r="BQ30" s="645"/>
      <c r="BR30" s="645"/>
      <c r="BS30" s="645"/>
      <c r="BT30" s="645"/>
      <c r="BU30" s="645"/>
      <c r="BV30" s="645"/>
      <c r="BW30" s="645"/>
      <c r="BX30" s="645"/>
      <c r="BY30" s="645"/>
      <c r="BZ30" s="646"/>
      <c r="CA30" s="693" t="str">
        <f t="shared" ref="CA30:CN30" si="20">IF(ISERROR(CA26+CA27-CA28-CA29),"--",CA26+CA27-CA28-CA29)</f>
        <v>--</v>
      </c>
      <c r="CB30" s="693" t="str">
        <f t="shared" si="20"/>
        <v>--</v>
      </c>
      <c r="CC30" s="693" t="str">
        <f t="shared" si="20"/>
        <v>--</v>
      </c>
      <c r="CD30" s="693" t="str">
        <f t="shared" si="20"/>
        <v>--</v>
      </c>
      <c r="CE30" s="688">
        <f>IF(ISERROR(CE26+CE27-CE28-CE29),"--",CE26+CE27-CE28-CE29)</f>
        <v>34.400000000000006</v>
      </c>
      <c r="CF30" s="693">
        <f t="shared" si="20"/>
        <v>43.625</v>
      </c>
      <c r="CG30" s="693">
        <f t="shared" si="20"/>
        <v>52.849999999999994</v>
      </c>
      <c r="CH30" s="693">
        <f t="shared" si="20"/>
        <v>62.074999999999989</v>
      </c>
      <c r="CI30" s="693">
        <f t="shared" si="20"/>
        <v>71.299999999999983</v>
      </c>
      <c r="CJ30" s="688">
        <f>IF(ISERROR(CJ26+CJ27-CJ28-CJ29),"--",CJ26+CJ27-CJ28-CJ29)</f>
        <v>71.300000000000011</v>
      </c>
      <c r="CK30" s="693">
        <f t="shared" si="20"/>
        <v>92.600000000000023</v>
      </c>
      <c r="CL30" s="693">
        <f t="shared" si="20"/>
        <v>93.90000000000002</v>
      </c>
      <c r="CM30" s="693">
        <f t="shared" si="20"/>
        <v>95.300000000000026</v>
      </c>
      <c r="CN30" s="693">
        <f t="shared" si="20"/>
        <v>98.100000000000023</v>
      </c>
      <c r="CO30" s="664">
        <f>CO26+CO27-CO28-CO29</f>
        <v>98.100000000000009</v>
      </c>
      <c r="CP30" s="662">
        <f t="shared" ref="CP30:CY30" si="21">CP26+CP27-CP28-CP29</f>
        <v>104.60000000000001</v>
      </c>
      <c r="CQ30" s="662">
        <f t="shared" si="21"/>
        <v>111.10000000000001</v>
      </c>
      <c r="CR30" s="662">
        <f t="shared" si="21"/>
        <v>117.60000000000001</v>
      </c>
      <c r="CS30" s="662">
        <f t="shared" si="21"/>
        <v>124.10000000000002</v>
      </c>
      <c r="CT30" s="664">
        <f t="shared" si="21"/>
        <v>124.10000000000002</v>
      </c>
      <c r="CU30" s="662">
        <f t="shared" si="21"/>
        <v>131.35000000000002</v>
      </c>
      <c r="CV30" s="662">
        <f t="shared" si="21"/>
        <v>138.60000000000002</v>
      </c>
      <c r="CW30" s="662">
        <f t="shared" si="21"/>
        <v>145.85000000000002</v>
      </c>
      <c r="CX30" s="662">
        <f t="shared" si="21"/>
        <v>153.10000000000002</v>
      </c>
      <c r="CY30" s="664">
        <f t="shared" si="21"/>
        <v>153.10000000000002</v>
      </c>
      <c r="CZ30" s="662">
        <f t="shared" ref="CZ30:DM30" si="22">CZ26+CZ27-CZ28-CZ29</f>
        <v>162.286</v>
      </c>
      <c r="DA30" s="662">
        <f t="shared" si="22"/>
        <v>172.02315999999999</v>
      </c>
      <c r="DB30" s="662">
        <f t="shared" si="22"/>
        <v>182.34454959999997</v>
      </c>
      <c r="DC30" s="662">
        <f t="shared" si="22"/>
        <v>193.28522257599994</v>
      </c>
      <c r="DD30" s="664">
        <f t="shared" si="22"/>
        <v>193.285222576</v>
      </c>
      <c r="DE30" s="662">
        <f t="shared" si="22"/>
        <v>204.88233593055992</v>
      </c>
      <c r="DF30" s="662">
        <f t="shared" si="22"/>
        <v>217.17527608639352</v>
      </c>
      <c r="DG30" s="662">
        <f t="shared" si="22"/>
        <v>230.20579265157713</v>
      </c>
      <c r="DH30" s="662">
        <f t="shared" si="22"/>
        <v>244.01814021067176</v>
      </c>
      <c r="DI30" s="664">
        <f t="shared" si="22"/>
        <v>244.01814021067185</v>
      </c>
      <c r="DJ30" s="662">
        <f t="shared" ref="DJ30:DU30" si="23">DJ26+DJ27-DJ28-DJ29</f>
        <v>258.659228623312</v>
      </c>
      <c r="DK30" s="662">
        <f t="shared" si="22"/>
        <v>274.17878234071071</v>
      </c>
      <c r="DL30" s="662">
        <f t="shared" si="23"/>
        <v>290.62950928115339</v>
      </c>
      <c r="DM30" s="662">
        <f t="shared" si="22"/>
        <v>308.06727983802256</v>
      </c>
      <c r="DN30" s="664">
        <f t="shared" si="23"/>
        <v>308.06727983802273</v>
      </c>
      <c r="DO30" s="662">
        <f t="shared" si="23"/>
        <v>326.55131662830394</v>
      </c>
      <c r="DP30" s="662">
        <f t="shared" si="23"/>
        <v>346.14439562600222</v>
      </c>
      <c r="DQ30" s="662">
        <f t="shared" si="23"/>
        <v>366.91305936356241</v>
      </c>
      <c r="DR30" s="662">
        <f t="shared" si="23"/>
        <v>388.92784292537613</v>
      </c>
      <c r="DS30" s="664">
        <f t="shared" si="23"/>
        <v>388.92784292537618</v>
      </c>
      <c r="DT30" s="662">
        <f t="shared" si="23"/>
        <v>412.26351350089874</v>
      </c>
      <c r="DU30" s="662">
        <f t="shared" si="23"/>
        <v>436.99932431095272</v>
      </c>
      <c r="DV30" s="662">
        <f t="shared" ref="DV30:EA30" si="24">DV26+DV27-DV28-DV29</f>
        <v>463.21928376960989</v>
      </c>
      <c r="DW30" s="662">
        <f t="shared" si="24"/>
        <v>491.01244079578652</v>
      </c>
      <c r="DX30" s="664">
        <f t="shared" si="24"/>
        <v>491.01244079578646</v>
      </c>
      <c r="DY30" s="662">
        <f t="shared" si="24"/>
        <v>520.47318724353363</v>
      </c>
      <c r="DZ30" s="662">
        <f t="shared" si="24"/>
        <v>551.70157847814562</v>
      </c>
      <c r="EA30" s="662">
        <f t="shared" si="24"/>
        <v>584.80367318683443</v>
      </c>
      <c r="EB30" s="662">
        <f>EB26+EB27-EB28-EB29</f>
        <v>619.89189357804457</v>
      </c>
      <c r="EC30" s="664">
        <f>EC26+EC27-EC28-EC29</f>
        <v>619.89189357804457</v>
      </c>
      <c r="ED30" s="662">
        <f t="shared" ref="ED30:EN30" si="25">ED26+ED27-ED28-ED29</f>
        <v>657.08540719272719</v>
      </c>
      <c r="EE30" s="662">
        <f t="shared" si="25"/>
        <v>696.51053162429082</v>
      </c>
      <c r="EF30" s="662">
        <f>EF26+EF27-EF28-EF29</f>
        <v>738.30116352174832</v>
      </c>
      <c r="EG30" s="662">
        <f t="shared" si="25"/>
        <v>782.59923333305323</v>
      </c>
      <c r="EH30" s="664">
        <f t="shared" si="25"/>
        <v>782.59923333305323</v>
      </c>
      <c r="EI30" s="662">
        <f>EI26+EI27-EI28-EI29</f>
        <v>829.55518733303643</v>
      </c>
      <c r="EJ30" s="662">
        <f>EJ26+EJ27-EJ28-EJ29</f>
        <v>879.32849857301869</v>
      </c>
      <c r="EK30" s="662">
        <f t="shared" si="25"/>
        <v>932.08820848739992</v>
      </c>
      <c r="EL30" s="662">
        <f t="shared" si="25"/>
        <v>988.0135009966441</v>
      </c>
      <c r="EM30" s="664">
        <f t="shared" si="25"/>
        <v>988.01350099664387</v>
      </c>
      <c r="EN30" s="662">
        <f t="shared" si="25"/>
        <v>1047.2943110564427</v>
      </c>
      <c r="EO30" s="662">
        <f>EO26+EO27-EO28-EO29</f>
        <v>1110.1319697198292</v>
      </c>
      <c r="EP30" s="662">
        <f t="shared" ref="EP30:EQ30" si="26">EP26+EP27-EP28-EP29</f>
        <v>1176.7398879030191</v>
      </c>
      <c r="EQ30" s="662">
        <f t="shared" si="26"/>
        <v>1247.3442811772002</v>
      </c>
      <c r="ER30" s="664">
        <f t="shared" ref="ER30:EW30" si="27">ER26+ER27-ER28-ER29</f>
        <v>1247.3442811771997</v>
      </c>
      <c r="ES30" s="662">
        <f t="shared" si="27"/>
        <v>1322.1849380478322</v>
      </c>
      <c r="ET30" s="662">
        <f>ET26+ET27-ET28-ET29</f>
        <v>1401.516034330702</v>
      </c>
      <c r="EU30" s="662">
        <f t="shared" ref="EU30" si="28">EU26+EU27-EU28-EU29</f>
        <v>1485.6069963905443</v>
      </c>
      <c r="EV30" s="662">
        <f t="shared" si="27"/>
        <v>1574.7434161739768</v>
      </c>
      <c r="EW30" s="664">
        <f t="shared" si="27"/>
        <v>1574.7434161739766</v>
      </c>
      <c r="EX30" s="662">
        <f t="shared" ref="EX30:FG30" si="29">EX26+EX27-EX28-EX29</f>
        <v>1669.2280211444154</v>
      </c>
      <c r="EY30" s="662">
        <f t="shared" si="29"/>
        <v>1769.3817024130801</v>
      </c>
      <c r="EZ30" s="662">
        <f t="shared" si="29"/>
        <v>1875.5446045578649</v>
      </c>
      <c r="FA30" s="662">
        <f t="shared" si="29"/>
        <v>1988.0772808313368</v>
      </c>
      <c r="FB30" s="664">
        <f t="shared" si="29"/>
        <v>1988.077280831337</v>
      </c>
      <c r="FC30" s="662">
        <f t="shared" si="29"/>
        <v>2107.3619176812167</v>
      </c>
      <c r="FD30" s="662">
        <f t="shared" si="29"/>
        <v>2233.8036327420896</v>
      </c>
      <c r="FE30" s="662">
        <f t="shared" si="29"/>
        <v>2367.8318507066147</v>
      </c>
      <c r="FF30" s="662">
        <f t="shared" si="29"/>
        <v>2509.9017617490113</v>
      </c>
      <c r="FG30" s="664">
        <f t="shared" si="29"/>
        <v>2509.9017617490131</v>
      </c>
      <c r="FH30" s="662">
        <f t="shared" ref="FH30:FL30" si="30">FH26+FH27-FH28-FH29</f>
        <v>2660.4958674539521</v>
      </c>
      <c r="FI30" s="662">
        <f t="shared" si="30"/>
        <v>2820.1256195011888</v>
      </c>
      <c r="FJ30" s="662">
        <f t="shared" si="30"/>
        <v>2989.3331566712604</v>
      </c>
      <c r="FK30" s="662">
        <f t="shared" si="30"/>
        <v>3168.6931460715364</v>
      </c>
      <c r="FL30" s="664">
        <f t="shared" si="30"/>
        <v>3168.6931460715382</v>
      </c>
      <c r="FM30" s="261"/>
      <c r="FN30" s="261"/>
      <c r="FO30" s="261"/>
      <c r="FP30" s="261"/>
      <c r="FQ30" s="261"/>
      <c r="FR30" s="261"/>
      <c r="FS30" s="261"/>
      <c r="FT30" s="261"/>
      <c r="FU30" s="261"/>
      <c r="FV30" s="261"/>
      <c r="FW30" s="261"/>
      <c r="FX30" s="261"/>
      <c r="FY30" s="261"/>
      <c r="FZ30" s="261"/>
      <c r="GA30" s="261"/>
      <c r="GB30" s="261"/>
      <c r="GC30" s="261"/>
      <c r="GD30" s="261"/>
      <c r="GE30" s="261"/>
      <c r="GF30" s="261"/>
      <c r="GG30" s="261"/>
      <c r="GH30" s="261"/>
      <c r="GI30" s="261"/>
      <c r="GJ30" s="261"/>
      <c r="GK30" s="261"/>
      <c r="GL30" s="261"/>
      <c r="GM30" s="261"/>
      <c r="GN30" s="261"/>
      <c r="GO30" s="261"/>
      <c r="GP30" s="261"/>
      <c r="GQ30" s="261"/>
      <c r="GR30" s="261"/>
      <c r="GS30" s="261"/>
      <c r="GT30" s="261"/>
      <c r="GU30" s="261"/>
      <c r="GV30" s="261"/>
      <c r="GW30" s="261"/>
      <c r="GX30" s="261"/>
      <c r="GY30" s="261"/>
      <c r="GZ30" s="261"/>
      <c r="HA30" s="261"/>
      <c r="HB30" s="261"/>
      <c r="HC30" s="261"/>
      <c r="HD30" s="261"/>
      <c r="HE30" s="261"/>
      <c r="HF30" s="261"/>
      <c r="HG30" s="261"/>
      <c r="HH30" s="261"/>
      <c r="HI30" s="261"/>
      <c r="HJ30" s="261"/>
      <c r="HK30" s="261"/>
      <c r="HL30" s="261"/>
      <c r="HM30" s="261"/>
      <c r="HN30" s="261"/>
      <c r="HO30" s="261"/>
      <c r="HP30" s="261"/>
      <c r="HQ30" s="261"/>
      <c r="HR30" s="261"/>
      <c r="HS30" s="261"/>
      <c r="HT30" s="261"/>
      <c r="HU30" s="261"/>
      <c r="HV30" s="261"/>
      <c r="HW30" s="261"/>
      <c r="HX30" s="261"/>
      <c r="HY30" s="261"/>
      <c r="HZ30" s="261"/>
      <c r="IA30" s="261"/>
      <c r="IB30" s="261"/>
      <c r="IC30" s="261"/>
      <c r="ID30" s="261"/>
      <c r="IE30" s="261"/>
      <c r="IF30" s="261"/>
      <c r="IG30" s="261"/>
      <c r="IH30" s="261"/>
      <c r="II30" s="261"/>
      <c r="IJ30" s="261"/>
      <c r="IK30" s="261"/>
      <c r="IL30" s="261"/>
      <c r="IM30" s="261"/>
      <c r="IN30" s="261"/>
      <c r="IO30" s="261"/>
      <c r="IP30" s="261"/>
      <c r="IQ30" s="261"/>
      <c r="IR30" s="261"/>
      <c r="IS30" s="261"/>
      <c r="IT30" s="261"/>
      <c r="IU30" s="261"/>
      <c r="IV30" s="261"/>
      <c r="IW30" s="261"/>
      <c r="IX30" s="261"/>
      <c r="IY30" s="261"/>
      <c r="IZ30" s="261"/>
      <c r="JA30" s="261"/>
      <c r="JB30" s="261"/>
      <c r="JC30" s="261"/>
      <c r="JD30" s="261"/>
      <c r="JE30" s="261"/>
      <c r="JF30" s="261"/>
      <c r="JG30" s="261"/>
      <c r="JH30" s="261"/>
      <c r="JI30" s="261"/>
      <c r="JJ30" s="261"/>
      <c r="JK30" s="261"/>
      <c r="JL30" s="261"/>
      <c r="JM30" s="261"/>
      <c r="JN30" s="261"/>
      <c r="JO30" s="261"/>
    </row>
    <row r="31" spans="1:275" s="651" customFormat="1" ht="11.25" customHeight="1">
      <c r="A31" s="694"/>
      <c r="B31" s="644"/>
      <c r="C31" s="645"/>
      <c r="D31" s="645"/>
      <c r="E31" s="645"/>
      <c r="F31" s="645"/>
      <c r="G31" s="645"/>
      <c r="H31" s="645"/>
      <c r="I31" s="645"/>
      <c r="J31" s="645"/>
      <c r="K31" s="645"/>
      <c r="L31" s="645"/>
      <c r="M31" s="645"/>
      <c r="N31" s="645"/>
      <c r="O31" s="645"/>
      <c r="P31" s="645"/>
      <c r="Q31" s="645"/>
      <c r="R31" s="645"/>
      <c r="S31" s="645"/>
      <c r="T31" s="645"/>
      <c r="U31" s="645"/>
      <c r="V31" s="645"/>
      <c r="W31" s="645"/>
      <c r="X31" s="645"/>
      <c r="Y31" s="645"/>
      <c r="Z31" s="645"/>
      <c r="AA31" s="645"/>
      <c r="AB31" s="645"/>
      <c r="AC31" s="645"/>
      <c r="AD31" s="645"/>
      <c r="AE31" s="645"/>
      <c r="AF31" s="645"/>
      <c r="AG31" s="645"/>
      <c r="AH31" s="645"/>
      <c r="AI31" s="645"/>
      <c r="AJ31" s="645"/>
      <c r="AK31" s="645"/>
      <c r="AL31" s="645"/>
      <c r="AM31" s="645"/>
      <c r="AN31" s="645"/>
      <c r="AO31" s="645"/>
      <c r="AP31" s="645"/>
      <c r="AQ31" s="645"/>
      <c r="AR31" s="645"/>
      <c r="AS31" s="645"/>
      <c r="AT31" s="645"/>
      <c r="AU31" s="645"/>
      <c r="AV31" s="645"/>
      <c r="AW31" s="645"/>
      <c r="AX31" s="645"/>
      <c r="AY31" s="645"/>
      <c r="AZ31" s="645"/>
      <c r="BA31" s="645"/>
      <c r="BB31" s="645"/>
      <c r="BC31" s="645"/>
      <c r="BD31" s="645"/>
      <c r="BE31" s="645"/>
      <c r="BF31" s="645"/>
      <c r="BG31" s="645"/>
      <c r="BH31" s="645"/>
      <c r="BI31" s="645"/>
      <c r="BJ31" s="645"/>
      <c r="BK31" s="645"/>
      <c r="BL31" s="645"/>
      <c r="BM31" s="645"/>
      <c r="BN31" s="645"/>
      <c r="BO31" s="645"/>
      <c r="BP31" s="645"/>
      <c r="BQ31" s="645"/>
      <c r="BR31" s="645"/>
      <c r="BS31" s="645"/>
      <c r="BT31" s="645"/>
      <c r="BU31" s="645"/>
      <c r="BV31" s="645"/>
      <c r="BW31" s="645"/>
      <c r="BX31" s="645"/>
      <c r="BY31" s="645"/>
      <c r="BZ31" s="646"/>
      <c r="CA31" s="645"/>
      <c r="CB31" s="645"/>
      <c r="CC31" s="645"/>
      <c r="CD31" s="645"/>
      <c r="CE31" s="646"/>
      <c r="CF31" s="645"/>
      <c r="CG31" s="645"/>
      <c r="CH31" s="645"/>
      <c r="CI31" s="645"/>
      <c r="CJ31" s="646"/>
      <c r="CK31" s="645"/>
      <c r="CL31" s="645"/>
      <c r="CM31" s="645"/>
      <c r="CN31" s="645"/>
      <c r="CO31" s="695"/>
      <c r="CP31" s="645"/>
      <c r="CQ31" s="645"/>
      <c r="CR31" s="645"/>
      <c r="CS31" s="645"/>
      <c r="CT31" s="664"/>
      <c r="CU31" s="645"/>
      <c r="CV31" s="645"/>
      <c r="CW31" s="645"/>
      <c r="CX31" s="645"/>
      <c r="CY31" s="661"/>
      <c r="CZ31" s="645"/>
      <c r="DA31" s="645"/>
      <c r="DB31" s="645"/>
      <c r="DC31" s="645"/>
      <c r="DD31" s="646"/>
      <c r="DE31" s="645"/>
      <c r="DF31" s="645"/>
      <c r="DG31" s="645"/>
      <c r="DH31" s="645"/>
      <c r="DI31" s="646"/>
      <c r="DJ31" s="645"/>
      <c r="DK31" s="645"/>
      <c r="DL31" s="645"/>
      <c r="DM31" s="645"/>
      <c r="DN31" s="646"/>
      <c r="DO31" s="645"/>
      <c r="DP31" s="645"/>
      <c r="DQ31" s="645"/>
      <c r="DR31" s="645"/>
      <c r="DS31" s="661"/>
      <c r="DT31" s="645"/>
      <c r="DU31" s="645"/>
      <c r="DV31" s="645"/>
      <c r="DW31" s="645"/>
      <c r="DX31" s="661"/>
      <c r="DY31" s="645"/>
      <c r="DZ31" s="645"/>
      <c r="EA31" s="645"/>
      <c r="EB31" s="645"/>
      <c r="EC31" s="661"/>
      <c r="ED31" s="645"/>
      <c r="EE31" s="645"/>
      <c r="EF31" s="645"/>
      <c r="EG31" s="645"/>
      <c r="EH31" s="646"/>
      <c r="EI31" s="645"/>
      <c r="EJ31" s="645"/>
      <c r="EK31" s="645"/>
      <c r="EL31" s="645"/>
      <c r="EM31" s="646"/>
      <c r="EN31" s="645"/>
      <c r="EO31" s="645"/>
      <c r="EP31" s="645"/>
      <c r="EQ31" s="645"/>
      <c r="ER31" s="646"/>
      <c r="ES31" s="645"/>
      <c r="ET31" s="645"/>
      <c r="EU31" s="645"/>
      <c r="EV31" s="645"/>
      <c r="EW31" s="646"/>
      <c r="EX31" s="645"/>
      <c r="EY31" s="645"/>
      <c r="EZ31" s="645"/>
      <c r="FA31" s="645"/>
      <c r="FB31" s="646"/>
      <c r="FC31" s="645"/>
      <c r="FD31" s="645"/>
      <c r="FE31" s="645"/>
      <c r="FF31" s="645"/>
      <c r="FG31" s="646"/>
      <c r="FH31" s="645"/>
      <c r="FI31" s="645"/>
      <c r="FJ31" s="645"/>
      <c r="FK31" s="645"/>
      <c r="FL31" s="646"/>
      <c r="FM31" s="261"/>
      <c r="FN31" s="261"/>
      <c r="FO31" s="261"/>
      <c r="FP31" s="261"/>
      <c r="FQ31" s="261"/>
      <c r="FR31" s="261"/>
      <c r="FS31" s="261"/>
      <c r="FT31" s="261"/>
      <c r="FU31" s="261"/>
      <c r="FV31" s="261"/>
      <c r="FW31" s="261"/>
      <c r="FX31" s="261"/>
      <c r="FY31" s="261"/>
      <c r="FZ31" s="261"/>
      <c r="GA31" s="261"/>
      <c r="GB31" s="261"/>
      <c r="GC31" s="261"/>
      <c r="GD31" s="261"/>
      <c r="GE31" s="261"/>
      <c r="GF31" s="261"/>
      <c r="GG31" s="261"/>
      <c r="GH31" s="261"/>
      <c r="GI31" s="261"/>
      <c r="GJ31" s="261"/>
      <c r="GK31" s="261"/>
      <c r="GL31" s="261"/>
      <c r="GM31" s="261"/>
      <c r="GN31" s="261"/>
      <c r="GO31" s="261"/>
      <c r="GP31" s="261"/>
      <c r="GQ31" s="261"/>
      <c r="GR31" s="261"/>
      <c r="GS31" s="261"/>
      <c r="GT31" s="261"/>
      <c r="GU31" s="261"/>
      <c r="GV31" s="261"/>
      <c r="GW31" s="261"/>
      <c r="GX31" s="261"/>
      <c r="GY31" s="261"/>
      <c r="GZ31" s="261"/>
      <c r="HA31" s="261"/>
      <c r="HB31" s="261"/>
      <c r="HC31" s="261"/>
      <c r="HD31" s="261"/>
      <c r="HE31" s="261"/>
      <c r="HF31" s="261"/>
      <c r="HG31" s="261"/>
      <c r="HH31" s="261"/>
      <c r="HI31" s="261"/>
      <c r="HJ31" s="261"/>
      <c r="HK31" s="261"/>
      <c r="HL31" s="261"/>
      <c r="HM31" s="261"/>
      <c r="HN31" s="261"/>
      <c r="HO31" s="261"/>
      <c r="HP31" s="261"/>
      <c r="HQ31" s="261"/>
      <c r="HR31" s="261"/>
      <c r="HS31" s="261"/>
      <c r="HT31" s="261"/>
      <c r="HU31" s="261"/>
      <c r="HV31" s="261"/>
      <c r="HW31" s="261"/>
      <c r="HX31" s="261"/>
      <c r="HY31" s="261"/>
      <c r="HZ31" s="261"/>
      <c r="IA31" s="261"/>
      <c r="IB31" s="261"/>
      <c r="IC31" s="261"/>
      <c r="ID31" s="261"/>
      <c r="IE31" s="261"/>
      <c r="IF31" s="261"/>
      <c r="IG31" s="261"/>
      <c r="IH31" s="261"/>
      <c r="II31" s="261"/>
      <c r="IJ31" s="261"/>
      <c r="IK31" s="261"/>
      <c r="IL31" s="261"/>
      <c r="IM31" s="261"/>
      <c r="IN31" s="261"/>
      <c r="IO31" s="261"/>
      <c r="IP31" s="261"/>
      <c r="IQ31" s="261"/>
      <c r="IR31" s="261"/>
      <c r="IS31" s="261"/>
      <c r="IT31" s="261"/>
      <c r="IU31" s="261"/>
      <c r="IV31" s="261"/>
      <c r="IW31" s="261"/>
      <c r="IX31" s="261"/>
      <c r="IY31" s="261"/>
      <c r="IZ31" s="261"/>
      <c r="JA31" s="261"/>
      <c r="JB31" s="261"/>
      <c r="JC31" s="261"/>
      <c r="JD31" s="261"/>
      <c r="JE31" s="261"/>
      <c r="JF31" s="261"/>
      <c r="JG31" s="261"/>
      <c r="JH31" s="261"/>
      <c r="JI31" s="261"/>
      <c r="JJ31" s="261"/>
      <c r="JK31" s="261"/>
      <c r="JL31" s="261"/>
      <c r="JM31" s="261"/>
      <c r="JN31" s="261"/>
      <c r="JO31" s="261"/>
    </row>
    <row r="32" spans="1:275" s="651" customFormat="1" ht="11.25" customHeight="1">
      <c r="A32" s="696" t="s">
        <v>575</v>
      </c>
      <c r="B32" s="644"/>
      <c r="C32" s="645"/>
      <c r="D32" s="645"/>
      <c r="E32" s="645"/>
      <c r="F32" s="645"/>
      <c r="G32" s="645"/>
      <c r="H32" s="645"/>
      <c r="I32" s="645"/>
      <c r="J32" s="645"/>
      <c r="K32" s="645"/>
      <c r="L32" s="645"/>
      <c r="M32" s="645"/>
      <c r="N32" s="645"/>
      <c r="O32" s="645"/>
      <c r="P32" s="645"/>
      <c r="Q32" s="645"/>
      <c r="R32" s="645"/>
      <c r="S32" s="645"/>
      <c r="T32" s="645"/>
      <c r="U32" s="645"/>
      <c r="V32" s="645"/>
      <c r="W32" s="645"/>
      <c r="X32" s="645"/>
      <c r="Y32" s="645"/>
      <c r="Z32" s="645"/>
      <c r="AA32" s="645"/>
      <c r="AB32" s="645"/>
      <c r="AC32" s="645"/>
      <c r="AD32" s="645"/>
      <c r="AE32" s="645"/>
      <c r="AF32" s="645"/>
      <c r="AG32" s="645"/>
      <c r="AH32" s="645"/>
      <c r="AI32" s="645"/>
      <c r="AJ32" s="645"/>
      <c r="AK32" s="645"/>
      <c r="AL32" s="645"/>
      <c r="AM32" s="645"/>
      <c r="AN32" s="645"/>
      <c r="AO32" s="645"/>
      <c r="AP32" s="645"/>
      <c r="AQ32" s="645"/>
      <c r="AR32" s="645"/>
      <c r="AS32" s="645"/>
      <c r="AT32" s="645"/>
      <c r="AU32" s="645"/>
      <c r="AV32" s="645"/>
      <c r="AW32" s="645"/>
      <c r="AX32" s="645"/>
      <c r="AY32" s="645"/>
      <c r="AZ32" s="645"/>
      <c r="BA32" s="645"/>
      <c r="BB32" s="645"/>
      <c r="BC32" s="645"/>
      <c r="BD32" s="645"/>
      <c r="BE32" s="645"/>
      <c r="BF32" s="645"/>
      <c r="BG32" s="645"/>
      <c r="BH32" s="645"/>
      <c r="BI32" s="645"/>
      <c r="BJ32" s="645"/>
      <c r="BK32" s="645"/>
      <c r="BL32" s="645"/>
      <c r="BM32" s="645"/>
      <c r="BN32" s="645"/>
      <c r="BO32" s="645"/>
      <c r="BP32" s="645"/>
      <c r="BQ32" s="645"/>
      <c r="BR32" s="645"/>
      <c r="BS32" s="645"/>
      <c r="BT32" s="645"/>
      <c r="BU32" s="645"/>
      <c r="BV32" s="645"/>
      <c r="BW32" s="645"/>
      <c r="BX32" s="645"/>
      <c r="BY32" s="645"/>
      <c r="BZ32" s="646"/>
      <c r="CA32" s="645"/>
      <c r="CB32" s="645"/>
      <c r="CC32" s="645"/>
      <c r="CD32" s="645"/>
      <c r="CE32" s="646"/>
      <c r="CF32" s="645"/>
      <c r="CG32" s="645"/>
      <c r="CH32" s="645"/>
      <c r="CI32" s="645"/>
      <c r="CJ32" s="646"/>
      <c r="CK32" s="645"/>
      <c r="CL32" s="645"/>
      <c r="CM32" s="645"/>
      <c r="CN32" s="645"/>
      <c r="CO32" s="664"/>
      <c r="CP32" s="645"/>
      <c r="CQ32" s="645"/>
      <c r="CR32" s="645"/>
      <c r="CS32" s="645"/>
      <c r="CT32" s="664"/>
      <c r="CU32" s="645"/>
      <c r="CV32" s="645"/>
      <c r="CW32" s="645"/>
      <c r="CX32" s="645"/>
      <c r="CY32" s="661"/>
      <c r="CZ32" s="645"/>
      <c r="DA32" s="645"/>
      <c r="DB32" s="645"/>
      <c r="DC32" s="645"/>
      <c r="DD32" s="646"/>
      <c r="DE32" s="645"/>
      <c r="DF32" s="645"/>
      <c r="DG32" s="645"/>
      <c r="DH32" s="645"/>
      <c r="DI32" s="646"/>
      <c r="DJ32" s="645"/>
      <c r="DK32" s="645"/>
      <c r="DL32" s="645"/>
      <c r="DM32" s="645"/>
      <c r="DN32" s="646"/>
      <c r="DO32" s="645"/>
      <c r="DP32" s="645"/>
      <c r="DQ32" s="645"/>
      <c r="DR32" s="645"/>
      <c r="DS32" s="661"/>
      <c r="DT32" s="645"/>
      <c r="DU32" s="645"/>
      <c r="DV32" s="645"/>
      <c r="DW32" s="645"/>
      <c r="DX32" s="661"/>
      <c r="DY32" s="645"/>
      <c r="DZ32" s="645"/>
      <c r="EA32" s="645"/>
      <c r="EB32" s="645"/>
      <c r="EC32" s="661"/>
      <c r="ED32" s="645"/>
      <c r="EE32" s="645"/>
      <c r="EF32" s="645"/>
      <c r="EG32" s="645"/>
      <c r="EH32" s="646"/>
      <c r="EI32" s="645"/>
      <c r="EJ32" s="645"/>
      <c r="EK32" s="645"/>
      <c r="EL32" s="645"/>
      <c r="EM32" s="646"/>
      <c r="EN32" s="645"/>
      <c r="EO32" s="645"/>
      <c r="EP32" s="645"/>
      <c r="EQ32" s="645"/>
      <c r="ER32" s="646"/>
      <c r="ES32" s="645"/>
      <c r="ET32" s="645"/>
      <c r="EU32" s="645"/>
      <c r="EV32" s="645"/>
      <c r="EW32" s="646"/>
      <c r="EX32" s="645"/>
      <c r="EY32" s="645"/>
      <c r="EZ32" s="645"/>
      <c r="FA32" s="645"/>
      <c r="FB32" s="646"/>
      <c r="FC32" s="645"/>
      <c r="FD32" s="645"/>
      <c r="FE32" s="645"/>
      <c r="FF32" s="645"/>
      <c r="FG32" s="646"/>
      <c r="FH32" s="645"/>
      <c r="FI32" s="645"/>
      <c r="FJ32" s="645"/>
      <c r="FK32" s="645"/>
      <c r="FL32" s="646"/>
      <c r="FM32" s="261"/>
      <c r="FN32" s="261"/>
      <c r="FO32" s="261"/>
      <c r="FP32" s="261"/>
      <c r="FQ32" s="261"/>
      <c r="FR32" s="261"/>
      <c r="FS32" s="261"/>
      <c r="FT32" s="261"/>
      <c r="FU32" s="261"/>
      <c r="FV32" s="261"/>
      <c r="FW32" s="261"/>
      <c r="FX32" s="261"/>
      <c r="FY32" s="261"/>
      <c r="FZ32" s="261"/>
      <c r="GA32" s="261"/>
      <c r="GB32" s="261"/>
      <c r="GC32" s="261"/>
      <c r="GD32" s="261"/>
      <c r="GE32" s="261"/>
      <c r="GF32" s="261"/>
      <c r="GG32" s="261"/>
      <c r="GH32" s="261"/>
      <c r="GI32" s="261"/>
      <c r="GJ32" s="261"/>
      <c r="GK32" s="261"/>
      <c r="GL32" s="261"/>
      <c r="GM32" s="261"/>
      <c r="GN32" s="261"/>
      <c r="GO32" s="261"/>
      <c r="GP32" s="261"/>
      <c r="GQ32" s="261"/>
      <c r="GR32" s="261"/>
      <c r="GS32" s="261"/>
      <c r="GT32" s="261"/>
      <c r="GU32" s="261"/>
      <c r="GV32" s="261"/>
      <c r="GW32" s="261"/>
      <c r="GX32" s="261"/>
      <c r="GY32" s="261"/>
      <c r="GZ32" s="261"/>
      <c r="HA32" s="261"/>
      <c r="HB32" s="261"/>
      <c r="HC32" s="261"/>
      <c r="HD32" s="261"/>
      <c r="HE32" s="261"/>
      <c r="HF32" s="261"/>
      <c r="HG32" s="261"/>
      <c r="HH32" s="261"/>
      <c r="HI32" s="261"/>
      <c r="HJ32" s="261"/>
      <c r="HK32" s="261"/>
      <c r="HL32" s="261"/>
      <c r="HM32" s="261"/>
      <c r="HN32" s="261"/>
      <c r="HO32" s="261"/>
      <c r="HP32" s="261"/>
      <c r="HQ32" s="261"/>
      <c r="HR32" s="261"/>
      <c r="HS32" s="261"/>
      <c r="HT32" s="261"/>
      <c r="HU32" s="261"/>
      <c r="HV32" s="261"/>
      <c r="HW32" s="261"/>
      <c r="HX32" s="261"/>
      <c r="HY32" s="261"/>
      <c r="HZ32" s="261"/>
      <c r="IA32" s="261"/>
      <c r="IB32" s="261"/>
      <c r="IC32" s="261"/>
      <c r="ID32" s="261"/>
      <c r="IE32" s="261"/>
      <c r="IF32" s="261"/>
      <c r="IG32" s="261"/>
      <c r="IH32" s="261"/>
      <c r="II32" s="261"/>
      <c r="IJ32" s="261"/>
      <c r="IK32" s="261"/>
      <c r="IL32" s="261"/>
      <c r="IM32" s="261"/>
      <c r="IN32" s="261"/>
      <c r="IO32" s="261"/>
      <c r="IP32" s="261"/>
      <c r="IQ32" s="261"/>
      <c r="IR32" s="261"/>
      <c r="IS32" s="261"/>
      <c r="IT32" s="261"/>
      <c r="IU32" s="261"/>
      <c r="IV32" s="261"/>
      <c r="IW32" s="261"/>
      <c r="IX32" s="261"/>
      <c r="IY32" s="261"/>
      <c r="IZ32" s="261"/>
      <c r="JA32" s="261"/>
      <c r="JB32" s="261"/>
      <c r="JC32" s="261"/>
      <c r="JD32" s="261"/>
      <c r="JE32" s="261"/>
      <c r="JF32" s="261"/>
      <c r="JG32" s="261"/>
      <c r="JH32" s="261"/>
      <c r="JI32" s="261"/>
      <c r="JJ32" s="261"/>
      <c r="JK32" s="261"/>
      <c r="JL32" s="261"/>
      <c r="JM32" s="261"/>
      <c r="JN32" s="261"/>
      <c r="JO32" s="261"/>
    </row>
    <row r="33" spans="1:275" s="701" customFormat="1" ht="11.25" customHeight="1">
      <c r="A33" s="697" t="s">
        <v>587</v>
      </c>
      <c r="B33" s="698"/>
      <c r="C33" s="699"/>
      <c r="D33" s="699"/>
      <c r="E33" s="699"/>
      <c r="F33" s="699"/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  <c r="R33" s="699"/>
      <c r="S33" s="699"/>
      <c r="T33" s="699"/>
      <c r="U33" s="699"/>
      <c r="V33" s="699"/>
      <c r="W33" s="699"/>
      <c r="X33" s="699"/>
      <c r="Y33" s="699"/>
      <c r="Z33" s="699"/>
      <c r="AA33" s="699"/>
      <c r="AB33" s="699"/>
      <c r="AC33" s="699"/>
      <c r="AD33" s="699"/>
      <c r="AE33" s="699"/>
      <c r="AF33" s="699"/>
      <c r="AG33" s="699"/>
      <c r="AH33" s="699"/>
      <c r="AI33" s="699"/>
      <c r="AJ33" s="699"/>
      <c r="AK33" s="699"/>
      <c r="AL33" s="699"/>
      <c r="AM33" s="699"/>
      <c r="AN33" s="699"/>
      <c r="AO33" s="699"/>
      <c r="AP33" s="699"/>
      <c r="AQ33" s="699"/>
      <c r="AR33" s="699"/>
      <c r="AS33" s="699"/>
      <c r="AT33" s="699"/>
      <c r="AU33" s="699"/>
      <c r="AV33" s="699"/>
      <c r="AW33" s="699"/>
      <c r="AX33" s="699"/>
      <c r="AY33" s="699"/>
      <c r="AZ33" s="699"/>
      <c r="BA33" s="699"/>
      <c r="BB33" s="699"/>
      <c r="BC33" s="699"/>
      <c r="BD33" s="699"/>
      <c r="BE33" s="699"/>
      <c r="BF33" s="699"/>
      <c r="BG33" s="699"/>
      <c r="BH33" s="699"/>
      <c r="BI33" s="699"/>
      <c r="BJ33" s="699"/>
      <c r="BK33" s="699"/>
      <c r="BL33" s="699"/>
      <c r="BM33" s="699"/>
      <c r="BN33" s="699"/>
      <c r="BO33" s="699"/>
      <c r="BP33" s="699"/>
      <c r="BQ33" s="699"/>
      <c r="BR33" s="699"/>
      <c r="BS33" s="699"/>
      <c r="BT33" s="699"/>
      <c r="BU33" s="699"/>
      <c r="BV33" s="699"/>
      <c r="BW33" s="699"/>
      <c r="BX33" s="699"/>
      <c r="BY33" s="699"/>
      <c r="BZ33" s="700"/>
      <c r="CA33" s="693" t="str">
        <f>IF(ISERROR(CA27/CA56),"--",CA27/CA56)</f>
        <v>--</v>
      </c>
      <c r="CB33" s="693" t="str">
        <f>IF(ISERROR(CB27/CB56),"--",CB27/CB56)</f>
        <v>--</v>
      </c>
      <c r="CC33" s="693" t="str">
        <f>IF(ISERROR(CC27/CC56),"--",CC27/CC56)</f>
        <v>--</v>
      </c>
      <c r="CD33" s="693" t="str">
        <f>IF(ISERROR(CD27/CD56),"--",CD27/CD56)</f>
        <v>--</v>
      </c>
      <c r="CE33" s="313">
        <f>CE27/CE26</f>
        <v>8.3589743589743595</v>
      </c>
      <c r="CF33" s="355">
        <f t="shared" ref="CF33:CR33" si="31">CF27/CF26</f>
        <v>0.346656976744186</v>
      </c>
      <c r="CG33" s="355">
        <f t="shared" si="31"/>
        <v>0.27335243553008598</v>
      </c>
      <c r="CH33" s="355">
        <f t="shared" si="31"/>
        <v>0.22563859981078527</v>
      </c>
      <c r="CI33" s="355">
        <f t="shared" si="31"/>
        <v>0.19210632299637539</v>
      </c>
      <c r="CJ33" s="313">
        <f>CJ27/CJ26</f>
        <v>1.386627906976744</v>
      </c>
      <c r="CK33" s="355">
        <f t="shared" si="31"/>
        <v>0.49368863955119213</v>
      </c>
      <c r="CL33" s="355">
        <f t="shared" si="31"/>
        <v>3.9956803455723534E-2</v>
      </c>
      <c r="CM33" s="355">
        <f t="shared" si="31"/>
        <v>3.6208732694355691E-2</v>
      </c>
      <c r="CN33" s="355">
        <f t="shared" si="31"/>
        <v>5.2465897166841462E-2</v>
      </c>
      <c r="CO33" s="313">
        <f>CO27/CO26</f>
        <v>0.66339410939691434</v>
      </c>
      <c r="CP33" s="355">
        <f t="shared" si="31"/>
        <v>0.14525993883792049</v>
      </c>
      <c r="CQ33" s="355">
        <f t="shared" si="31"/>
        <v>0.13623326959847035</v>
      </c>
      <c r="CR33" s="355">
        <f t="shared" si="31"/>
        <v>0.12826282628262825</v>
      </c>
      <c r="CS33" s="355">
        <f t="shared" ref="CS33:CY33" si="32">CS27/CS26</f>
        <v>0.1211734693877551</v>
      </c>
      <c r="CT33" s="313">
        <f t="shared" si="32"/>
        <v>0.58103975535168195</v>
      </c>
      <c r="CU33" s="355">
        <f t="shared" si="32"/>
        <v>0.14302981466559223</v>
      </c>
      <c r="CV33" s="355">
        <f t="shared" si="32"/>
        <v>0.13513513513513511</v>
      </c>
      <c r="CW33" s="355">
        <f t="shared" si="32"/>
        <v>0.12806637806637805</v>
      </c>
      <c r="CX33" s="355">
        <f t="shared" si="32"/>
        <v>0.12170037709976</v>
      </c>
      <c r="CY33" s="313">
        <f t="shared" si="32"/>
        <v>0.5721192586623689</v>
      </c>
      <c r="CZ33" s="679">
        <v>0.1</v>
      </c>
      <c r="DA33" s="679">
        <v>0.1</v>
      </c>
      <c r="DB33" s="679">
        <v>0.1</v>
      </c>
      <c r="DC33" s="679">
        <v>0.1</v>
      </c>
      <c r="DD33" s="313">
        <f>DD27/DD26</f>
        <v>0.43746159999999989</v>
      </c>
      <c r="DE33" s="679">
        <v>0.1</v>
      </c>
      <c r="DF33" s="679">
        <v>0.1</v>
      </c>
      <c r="DG33" s="679">
        <v>0.1</v>
      </c>
      <c r="DH33" s="679">
        <v>0.1</v>
      </c>
      <c r="DI33" s="313">
        <f>DI27/DI26</f>
        <v>0.43746159999999995</v>
      </c>
      <c r="DJ33" s="679">
        <v>0.1</v>
      </c>
      <c r="DK33" s="679">
        <v>0.1</v>
      </c>
      <c r="DL33" s="679">
        <v>0.1</v>
      </c>
      <c r="DM33" s="679">
        <v>0.1</v>
      </c>
      <c r="DN33" s="313">
        <f>DN27/DN26</f>
        <v>0.43746159999999978</v>
      </c>
      <c r="DO33" s="679">
        <v>0.1</v>
      </c>
      <c r="DP33" s="679">
        <v>0.1</v>
      </c>
      <c r="DQ33" s="679">
        <v>0.1</v>
      </c>
      <c r="DR33" s="679">
        <v>0.1</v>
      </c>
      <c r="DS33" s="313">
        <f>DS27/DS26</f>
        <v>0.43746159999999989</v>
      </c>
      <c r="DT33" s="679">
        <v>0.1</v>
      </c>
      <c r="DU33" s="679">
        <v>0.1</v>
      </c>
      <c r="DV33" s="679">
        <v>0.1</v>
      </c>
      <c r="DW33" s="679">
        <v>0.1</v>
      </c>
      <c r="DX33" s="313">
        <f>DX27/DX26</f>
        <v>0.43746160000000001</v>
      </c>
      <c r="DY33" s="679">
        <v>0.1</v>
      </c>
      <c r="DZ33" s="679">
        <v>0.1</v>
      </c>
      <c r="EA33" s="679">
        <v>0.1</v>
      </c>
      <c r="EB33" s="679">
        <v>0.1</v>
      </c>
      <c r="EC33" s="313">
        <f>EC27/EC26</f>
        <v>0.43746160000000006</v>
      </c>
      <c r="ED33" s="679">
        <v>0.1</v>
      </c>
      <c r="EE33" s="679">
        <v>0.1</v>
      </c>
      <c r="EF33" s="679">
        <v>0.1</v>
      </c>
      <c r="EG33" s="679">
        <v>0.1</v>
      </c>
      <c r="EH33" s="313">
        <f>EH27/EH26</f>
        <v>0.43746160000000001</v>
      </c>
      <c r="EI33" s="679">
        <v>0.1</v>
      </c>
      <c r="EJ33" s="679">
        <v>0.1</v>
      </c>
      <c r="EK33" s="679">
        <v>0.1</v>
      </c>
      <c r="EL33" s="679">
        <v>0.1</v>
      </c>
      <c r="EM33" s="313">
        <f>EM27/EM26</f>
        <v>0.43746160000000006</v>
      </c>
      <c r="EN33" s="679">
        <v>0.1</v>
      </c>
      <c r="EO33" s="679">
        <v>0.1</v>
      </c>
      <c r="EP33" s="679">
        <v>0.1</v>
      </c>
      <c r="EQ33" s="679">
        <v>0.1</v>
      </c>
      <c r="ER33" s="313">
        <f>ER27/ER26</f>
        <v>0.43746160000000006</v>
      </c>
      <c r="ES33" s="679">
        <v>0.1</v>
      </c>
      <c r="ET33" s="679">
        <v>0.1</v>
      </c>
      <c r="EU33" s="679">
        <v>0.1</v>
      </c>
      <c r="EV33" s="679">
        <v>0.1</v>
      </c>
      <c r="EW33" s="313">
        <f>EW27/EW26</f>
        <v>0.43746160000000017</v>
      </c>
      <c r="EX33" s="679">
        <v>0.1</v>
      </c>
      <c r="EY33" s="679">
        <v>0.1</v>
      </c>
      <c r="EZ33" s="679">
        <v>0.1</v>
      </c>
      <c r="FA33" s="679">
        <v>0.1</v>
      </c>
      <c r="FB33" s="313">
        <f>FB27/FB26</f>
        <v>0.43746160000000012</v>
      </c>
      <c r="FC33" s="679">
        <v>0.1</v>
      </c>
      <c r="FD33" s="679">
        <v>0.1</v>
      </c>
      <c r="FE33" s="679">
        <v>0.1</v>
      </c>
      <c r="FF33" s="679">
        <v>0.1</v>
      </c>
      <c r="FG33" s="313">
        <f>FG27/FG26</f>
        <v>0.43746159999999995</v>
      </c>
      <c r="FH33" s="679">
        <v>0.1</v>
      </c>
      <c r="FI33" s="679">
        <v>0.1</v>
      </c>
      <c r="FJ33" s="679">
        <v>0.1</v>
      </c>
      <c r="FK33" s="679">
        <v>0.1</v>
      </c>
      <c r="FL33" s="313">
        <f>FL27/FL26</f>
        <v>0.43746159999999967</v>
      </c>
      <c r="FM33" s="261"/>
      <c r="FN33" s="261"/>
      <c r="FO33" s="261"/>
      <c r="FP33" s="261"/>
      <c r="FQ33" s="261"/>
      <c r="FR33" s="261"/>
      <c r="FS33" s="261"/>
      <c r="FT33" s="261"/>
      <c r="FU33" s="261"/>
      <c r="FV33" s="261"/>
      <c r="FW33" s="261"/>
      <c r="FX33" s="261"/>
      <c r="FY33" s="261"/>
      <c r="FZ33" s="261"/>
      <c r="GA33" s="261"/>
      <c r="GB33" s="261"/>
      <c r="GC33" s="261"/>
      <c r="GD33" s="261"/>
      <c r="GE33" s="261"/>
      <c r="GF33" s="261"/>
      <c r="GG33" s="261"/>
      <c r="GH33" s="261"/>
      <c r="GI33" s="261"/>
      <c r="GJ33" s="261"/>
      <c r="GK33" s="261"/>
      <c r="GL33" s="261"/>
      <c r="GM33" s="261"/>
      <c r="GN33" s="261"/>
      <c r="GO33" s="261"/>
      <c r="GP33" s="261"/>
      <c r="GQ33" s="261"/>
      <c r="GR33" s="261"/>
      <c r="GS33" s="261"/>
      <c r="GT33" s="261"/>
      <c r="GU33" s="261"/>
      <c r="GV33" s="261"/>
      <c r="GW33" s="261"/>
      <c r="GX33" s="261"/>
      <c r="GY33" s="261"/>
      <c r="GZ33" s="261"/>
      <c r="HA33" s="261"/>
      <c r="HB33" s="261"/>
      <c r="HC33" s="261"/>
      <c r="HD33" s="261"/>
      <c r="HE33" s="261"/>
      <c r="HF33" s="261"/>
      <c r="HG33" s="261"/>
      <c r="HH33" s="261"/>
      <c r="HI33" s="261"/>
      <c r="HJ33" s="261"/>
      <c r="HK33" s="261"/>
      <c r="HL33" s="261"/>
      <c r="HM33" s="261"/>
      <c r="HN33" s="261"/>
      <c r="HO33" s="261"/>
      <c r="HP33" s="261"/>
      <c r="HQ33" s="261"/>
      <c r="HR33" s="261"/>
      <c r="HS33" s="261"/>
      <c r="HT33" s="261"/>
      <c r="HU33" s="261"/>
      <c r="HV33" s="261"/>
      <c r="HW33" s="261"/>
      <c r="HX33" s="261"/>
      <c r="HY33" s="261"/>
      <c r="HZ33" s="261"/>
      <c r="IA33" s="261"/>
      <c r="IB33" s="261"/>
      <c r="IC33" s="261"/>
      <c r="ID33" s="261"/>
      <c r="IE33" s="261"/>
      <c r="IF33" s="261"/>
      <c r="IG33" s="261"/>
      <c r="IH33" s="261"/>
      <c r="II33" s="261"/>
      <c r="IJ33" s="261"/>
      <c r="IK33" s="261"/>
      <c r="IL33" s="261"/>
      <c r="IM33" s="261"/>
      <c r="IN33" s="261"/>
      <c r="IO33" s="261"/>
      <c r="IP33" s="261"/>
      <c r="IQ33" s="261"/>
      <c r="IR33" s="261"/>
      <c r="IS33" s="261"/>
      <c r="IT33" s="261"/>
      <c r="IU33" s="261"/>
      <c r="IV33" s="261"/>
      <c r="IW33" s="261"/>
      <c r="IX33" s="261"/>
      <c r="IY33" s="261"/>
      <c r="IZ33" s="261"/>
      <c r="JA33" s="261"/>
      <c r="JB33" s="261"/>
      <c r="JC33" s="261"/>
      <c r="JD33" s="261"/>
      <c r="JE33" s="261"/>
      <c r="JF33" s="261"/>
      <c r="JG33" s="261"/>
      <c r="JH33" s="261"/>
      <c r="JI33" s="261"/>
      <c r="JJ33" s="261"/>
      <c r="JK33" s="261"/>
      <c r="JL33" s="261"/>
      <c r="JM33" s="261"/>
      <c r="JN33" s="261"/>
      <c r="JO33" s="261"/>
    </row>
    <row r="34" spans="1:275" s="701" customFormat="1" ht="11.25" customHeight="1">
      <c r="A34" s="697" t="s">
        <v>588</v>
      </c>
      <c r="B34" s="698"/>
      <c r="C34" s="699"/>
      <c r="D34" s="699"/>
      <c r="E34" s="699"/>
      <c r="F34" s="699"/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  <c r="R34" s="699"/>
      <c r="S34" s="699"/>
      <c r="T34" s="699"/>
      <c r="U34" s="699"/>
      <c r="V34" s="699"/>
      <c r="W34" s="699"/>
      <c r="X34" s="699"/>
      <c r="Y34" s="699"/>
      <c r="Z34" s="699"/>
      <c r="AA34" s="699"/>
      <c r="AB34" s="699"/>
      <c r="AC34" s="699"/>
      <c r="AD34" s="699"/>
      <c r="AE34" s="699"/>
      <c r="AF34" s="699"/>
      <c r="AG34" s="699"/>
      <c r="AH34" s="699"/>
      <c r="AI34" s="699"/>
      <c r="AJ34" s="699"/>
      <c r="AK34" s="699"/>
      <c r="AL34" s="699"/>
      <c r="AM34" s="699"/>
      <c r="AN34" s="699"/>
      <c r="AO34" s="699"/>
      <c r="AP34" s="699"/>
      <c r="AQ34" s="699"/>
      <c r="AR34" s="699"/>
      <c r="AS34" s="699"/>
      <c r="AT34" s="699"/>
      <c r="AU34" s="699"/>
      <c r="AV34" s="699"/>
      <c r="AW34" s="699"/>
      <c r="AX34" s="699"/>
      <c r="AY34" s="699"/>
      <c r="AZ34" s="699"/>
      <c r="BA34" s="699"/>
      <c r="BB34" s="699"/>
      <c r="BC34" s="699"/>
      <c r="BD34" s="699"/>
      <c r="BE34" s="699"/>
      <c r="BF34" s="699"/>
      <c r="BG34" s="699"/>
      <c r="BH34" s="699"/>
      <c r="BI34" s="699"/>
      <c r="BJ34" s="699"/>
      <c r="BK34" s="699"/>
      <c r="BL34" s="699"/>
      <c r="BM34" s="699"/>
      <c r="BN34" s="699"/>
      <c r="BO34" s="699"/>
      <c r="BP34" s="699"/>
      <c r="BQ34" s="699"/>
      <c r="BR34" s="699"/>
      <c r="BS34" s="699"/>
      <c r="BT34" s="699"/>
      <c r="BU34" s="699"/>
      <c r="BV34" s="699"/>
      <c r="BW34" s="699"/>
      <c r="BX34" s="699"/>
      <c r="BY34" s="699"/>
      <c r="BZ34" s="700"/>
      <c r="CA34" s="693" t="str">
        <f t="shared" ref="CA34:CN34" si="33">IF(ISERROR(CA28/CA26),"--",CA28/CA26)</f>
        <v>--</v>
      </c>
      <c r="CB34" s="693" t="str">
        <f t="shared" si="33"/>
        <v>--</v>
      </c>
      <c r="CC34" s="693" t="str">
        <f t="shared" si="33"/>
        <v>--</v>
      </c>
      <c r="CD34" s="693" t="str">
        <f t="shared" si="33"/>
        <v>--</v>
      </c>
      <c r="CE34" s="313">
        <f>IF(ISERROR(CE28/CE26),"--",CE28/CE26)</f>
        <v>0.20512820512820515</v>
      </c>
      <c r="CF34" s="312">
        <f t="shared" si="33"/>
        <v>5.3052325581395339E-2</v>
      </c>
      <c r="CG34" s="312">
        <f t="shared" si="33"/>
        <v>4.1833810888252151E-2</v>
      </c>
      <c r="CH34" s="312">
        <f t="shared" si="33"/>
        <v>3.4531693472090827E-2</v>
      </c>
      <c r="CI34" s="312">
        <f t="shared" si="33"/>
        <v>2.9399919452275478E-2</v>
      </c>
      <c r="CJ34" s="313">
        <f>IF(ISERROR(CJ28/CJ26),"--",CJ28/CJ26)</f>
        <v>0.21220930232558136</v>
      </c>
      <c r="CK34" s="312">
        <f t="shared" si="33"/>
        <v>0.17952314165497896</v>
      </c>
      <c r="CL34" s="312">
        <f t="shared" si="33"/>
        <v>1.0799136069114468E-2</v>
      </c>
      <c r="CM34" s="312">
        <f t="shared" si="33"/>
        <v>8.5197018104366338E-3</v>
      </c>
      <c r="CN34" s="312">
        <f t="shared" si="33"/>
        <v>1.1542497376705116E-2</v>
      </c>
      <c r="CO34" s="313">
        <f t="shared" ref="CO34:CT34" si="34">CO28/CO26</f>
        <v>0.2201963534361851</v>
      </c>
      <c r="CP34" s="355">
        <f t="shared" si="34"/>
        <v>6.1162079510703356E-2</v>
      </c>
      <c r="CQ34" s="355">
        <f t="shared" si="34"/>
        <v>5.736137667304015E-2</v>
      </c>
      <c r="CR34" s="355">
        <f t="shared" si="34"/>
        <v>5.4005400540054004E-2</v>
      </c>
      <c r="CS34" s="355">
        <f t="shared" si="34"/>
        <v>5.10204081632653E-2</v>
      </c>
      <c r="CT34" s="313">
        <f t="shared" si="34"/>
        <v>0.24464831804281342</v>
      </c>
      <c r="CU34" s="355">
        <f>CU28/CU26</f>
        <v>6.6478646253021745E-2</v>
      </c>
      <c r="CV34" s="355">
        <f>CV28/CV26</f>
        <v>6.2809288161400828E-2</v>
      </c>
      <c r="CW34" s="355">
        <f>CW28/CW26</f>
        <v>5.9523809523809514E-2</v>
      </c>
      <c r="CX34" s="355">
        <f>CX28/CX26</f>
        <v>5.6564964004113809E-2</v>
      </c>
      <c r="CY34" s="313">
        <f>CY28/CY26</f>
        <v>0.26591458501208698</v>
      </c>
      <c r="CZ34" s="679">
        <v>0.02</v>
      </c>
      <c r="DA34" s="679">
        <v>0.02</v>
      </c>
      <c r="DB34" s="679">
        <v>0.02</v>
      </c>
      <c r="DC34" s="679">
        <v>0.02</v>
      </c>
      <c r="DD34" s="313">
        <f>DD28/DD26</f>
        <v>8.7492319999999985E-2</v>
      </c>
      <c r="DE34" s="679">
        <v>0.02</v>
      </c>
      <c r="DF34" s="679">
        <v>0.02</v>
      </c>
      <c r="DG34" s="679">
        <v>0.02</v>
      </c>
      <c r="DH34" s="679">
        <v>0.02</v>
      </c>
      <c r="DI34" s="313">
        <f>DI28/DI26</f>
        <v>8.7492319999999985E-2</v>
      </c>
      <c r="DJ34" s="679">
        <v>0.02</v>
      </c>
      <c r="DK34" s="679">
        <v>0.02</v>
      </c>
      <c r="DL34" s="679">
        <v>0.02</v>
      </c>
      <c r="DM34" s="679">
        <v>0.02</v>
      </c>
      <c r="DN34" s="313">
        <f>DN28/DN26</f>
        <v>8.7492319999999943E-2</v>
      </c>
      <c r="DO34" s="679">
        <v>0.02</v>
      </c>
      <c r="DP34" s="679">
        <v>0.02</v>
      </c>
      <c r="DQ34" s="679">
        <v>0.02</v>
      </c>
      <c r="DR34" s="679">
        <v>0.02</v>
      </c>
      <c r="DS34" s="313">
        <f>DS28/DS26</f>
        <v>8.7492319999999971E-2</v>
      </c>
      <c r="DT34" s="679">
        <v>0.02</v>
      </c>
      <c r="DU34" s="679">
        <v>0.02</v>
      </c>
      <c r="DV34" s="679">
        <v>0.02</v>
      </c>
      <c r="DW34" s="679">
        <v>0.02</v>
      </c>
      <c r="DX34" s="313">
        <f>DX28/DX26</f>
        <v>8.7492319999999998E-2</v>
      </c>
      <c r="DY34" s="679">
        <v>0.02</v>
      </c>
      <c r="DZ34" s="679">
        <v>0.02</v>
      </c>
      <c r="EA34" s="679">
        <v>0.02</v>
      </c>
      <c r="EB34" s="679">
        <v>0.02</v>
      </c>
      <c r="EC34" s="313">
        <f>EC28/EC26</f>
        <v>8.7492319999999998E-2</v>
      </c>
      <c r="ED34" s="679">
        <v>0.02</v>
      </c>
      <c r="EE34" s="679">
        <v>0.02</v>
      </c>
      <c r="EF34" s="679">
        <v>0.02</v>
      </c>
      <c r="EG34" s="679">
        <v>0.02</v>
      </c>
      <c r="EH34" s="313">
        <f>EH28/EH26</f>
        <v>8.7492319999999998E-2</v>
      </c>
      <c r="EI34" s="679">
        <v>0.02</v>
      </c>
      <c r="EJ34" s="679">
        <v>0.02</v>
      </c>
      <c r="EK34" s="679">
        <v>0.02</v>
      </c>
      <c r="EL34" s="679">
        <v>0.02</v>
      </c>
      <c r="EM34" s="313">
        <f>EM28/EM26</f>
        <v>8.7492320000000012E-2</v>
      </c>
      <c r="EN34" s="679">
        <v>0.02</v>
      </c>
      <c r="EO34" s="679">
        <v>0.02</v>
      </c>
      <c r="EP34" s="679">
        <v>0.02</v>
      </c>
      <c r="EQ34" s="679">
        <v>0.02</v>
      </c>
      <c r="ER34" s="313">
        <f>ER28/ER26</f>
        <v>8.7492320000000012E-2</v>
      </c>
      <c r="ES34" s="679">
        <v>0.02</v>
      </c>
      <c r="ET34" s="679">
        <v>0.02</v>
      </c>
      <c r="EU34" s="679">
        <v>0.02</v>
      </c>
      <c r="EV34" s="679">
        <v>0.02</v>
      </c>
      <c r="EW34" s="313">
        <f>EW28/EW26</f>
        <v>8.749232000000004E-2</v>
      </c>
      <c r="EX34" s="679">
        <v>0.02</v>
      </c>
      <c r="EY34" s="679">
        <v>0.02</v>
      </c>
      <c r="EZ34" s="679">
        <v>0.02</v>
      </c>
      <c r="FA34" s="679">
        <v>0.02</v>
      </c>
      <c r="FB34" s="313">
        <f>FB28/FB26</f>
        <v>8.7492319999999998E-2</v>
      </c>
      <c r="FC34" s="679">
        <v>0.02</v>
      </c>
      <c r="FD34" s="679">
        <v>0.02</v>
      </c>
      <c r="FE34" s="679">
        <v>0.02</v>
      </c>
      <c r="FF34" s="679">
        <v>0.02</v>
      </c>
      <c r="FG34" s="313">
        <f>FG28/FG26</f>
        <v>8.7492319999999985E-2</v>
      </c>
      <c r="FH34" s="679">
        <v>0.02</v>
      </c>
      <c r="FI34" s="679">
        <v>0.02</v>
      </c>
      <c r="FJ34" s="679">
        <v>0.02</v>
      </c>
      <c r="FK34" s="679">
        <v>0.02</v>
      </c>
      <c r="FL34" s="313">
        <f>FL28/FL26</f>
        <v>8.7492319999999943E-2</v>
      </c>
      <c r="FM34" s="261"/>
      <c r="FN34" s="261"/>
      <c r="FO34" s="261"/>
      <c r="FP34" s="261"/>
      <c r="FQ34" s="261"/>
      <c r="FR34" s="261"/>
      <c r="FS34" s="261"/>
      <c r="FT34" s="261"/>
      <c r="FU34" s="261"/>
      <c r="FV34" s="261"/>
      <c r="FW34" s="261"/>
      <c r="FX34" s="261"/>
      <c r="FY34" s="261"/>
      <c r="FZ34" s="261"/>
      <c r="GA34" s="261"/>
      <c r="GB34" s="261"/>
      <c r="GC34" s="261"/>
      <c r="GD34" s="261"/>
      <c r="GE34" s="261"/>
      <c r="GF34" s="261"/>
      <c r="GG34" s="261"/>
      <c r="GH34" s="261"/>
      <c r="GI34" s="261"/>
      <c r="GJ34" s="261"/>
      <c r="GK34" s="261"/>
      <c r="GL34" s="261"/>
      <c r="GM34" s="261"/>
      <c r="GN34" s="261"/>
      <c r="GO34" s="261"/>
      <c r="GP34" s="261"/>
      <c r="GQ34" s="261"/>
      <c r="GR34" s="261"/>
      <c r="GS34" s="261"/>
      <c r="GT34" s="261"/>
      <c r="GU34" s="261"/>
      <c r="GV34" s="261"/>
      <c r="GW34" s="261"/>
      <c r="GX34" s="261"/>
      <c r="GY34" s="261"/>
      <c r="GZ34" s="261"/>
      <c r="HA34" s="261"/>
      <c r="HB34" s="261"/>
      <c r="HC34" s="261"/>
      <c r="HD34" s="261"/>
      <c r="HE34" s="261"/>
      <c r="HF34" s="261"/>
      <c r="HG34" s="261"/>
      <c r="HH34" s="261"/>
      <c r="HI34" s="261"/>
      <c r="HJ34" s="261"/>
      <c r="HK34" s="261"/>
      <c r="HL34" s="261"/>
      <c r="HM34" s="261"/>
      <c r="HN34" s="261"/>
      <c r="HO34" s="261"/>
      <c r="HP34" s="261"/>
      <c r="HQ34" s="261"/>
      <c r="HR34" s="261"/>
      <c r="HS34" s="261"/>
      <c r="HT34" s="261"/>
      <c r="HU34" s="261"/>
      <c r="HV34" s="261"/>
      <c r="HW34" s="261"/>
      <c r="HX34" s="261"/>
      <c r="HY34" s="261"/>
      <c r="HZ34" s="261"/>
      <c r="IA34" s="261"/>
      <c r="IB34" s="261"/>
      <c r="IC34" s="261"/>
      <c r="ID34" s="261"/>
      <c r="IE34" s="261"/>
      <c r="IF34" s="261"/>
      <c r="IG34" s="261"/>
      <c r="IH34" s="261"/>
      <c r="II34" s="261"/>
      <c r="IJ34" s="261"/>
      <c r="IK34" s="261"/>
      <c r="IL34" s="261"/>
      <c r="IM34" s="261"/>
      <c r="IN34" s="261"/>
      <c r="IO34" s="261"/>
      <c r="IP34" s="261"/>
      <c r="IQ34" s="261"/>
      <c r="IR34" s="261"/>
      <c r="IS34" s="261"/>
      <c r="IT34" s="261"/>
      <c r="IU34" s="261"/>
      <c r="IV34" s="261"/>
      <c r="IW34" s="261"/>
      <c r="IX34" s="261"/>
      <c r="IY34" s="261"/>
      <c r="IZ34" s="261"/>
      <c r="JA34" s="261"/>
      <c r="JB34" s="261"/>
      <c r="JC34" s="261"/>
      <c r="JD34" s="261"/>
      <c r="JE34" s="261"/>
      <c r="JF34" s="261"/>
      <c r="JG34" s="261"/>
      <c r="JH34" s="261"/>
      <c r="JI34" s="261"/>
      <c r="JJ34" s="261"/>
      <c r="JK34" s="261"/>
      <c r="JL34" s="261"/>
      <c r="JM34" s="261"/>
      <c r="JN34" s="261"/>
      <c r="JO34" s="261"/>
    </row>
    <row r="35" spans="1:275" s="701" customFormat="1" ht="11.25" customHeight="1">
      <c r="A35" s="697" t="s">
        <v>596</v>
      </c>
      <c r="B35" s="698"/>
      <c r="C35" s="699"/>
      <c r="D35" s="699"/>
      <c r="E35" s="699"/>
      <c r="F35" s="699"/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  <c r="R35" s="699"/>
      <c r="S35" s="699"/>
      <c r="T35" s="699"/>
      <c r="U35" s="699"/>
      <c r="V35" s="699"/>
      <c r="W35" s="699"/>
      <c r="X35" s="699"/>
      <c r="Y35" s="699"/>
      <c r="Z35" s="699"/>
      <c r="AA35" s="699"/>
      <c r="AB35" s="699"/>
      <c r="AC35" s="699"/>
      <c r="AD35" s="699"/>
      <c r="AE35" s="699"/>
      <c r="AF35" s="699"/>
      <c r="AG35" s="699"/>
      <c r="AH35" s="699"/>
      <c r="AI35" s="699"/>
      <c r="AJ35" s="699"/>
      <c r="AK35" s="699"/>
      <c r="AL35" s="699"/>
      <c r="AM35" s="699"/>
      <c r="AN35" s="699"/>
      <c r="AO35" s="699"/>
      <c r="AP35" s="699"/>
      <c r="AQ35" s="699"/>
      <c r="AR35" s="699"/>
      <c r="AS35" s="699"/>
      <c r="AT35" s="699"/>
      <c r="AU35" s="699"/>
      <c r="AV35" s="699"/>
      <c r="AW35" s="699"/>
      <c r="AX35" s="699"/>
      <c r="AY35" s="699"/>
      <c r="AZ35" s="699"/>
      <c r="BA35" s="699"/>
      <c r="BB35" s="699"/>
      <c r="BC35" s="699"/>
      <c r="BD35" s="699"/>
      <c r="BE35" s="699"/>
      <c r="BF35" s="699"/>
      <c r="BG35" s="699"/>
      <c r="BH35" s="699"/>
      <c r="BI35" s="699"/>
      <c r="BJ35" s="699"/>
      <c r="BK35" s="699"/>
      <c r="BL35" s="699"/>
      <c r="BM35" s="699"/>
      <c r="BN35" s="699"/>
      <c r="BO35" s="699"/>
      <c r="BP35" s="699"/>
      <c r="BQ35" s="699"/>
      <c r="BR35" s="699"/>
      <c r="BS35" s="699"/>
      <c r="BT35" s="699"/>
      <c r="BU35" s="699"/>
      <c r="BV35" s="699"/>
      <c r="BW35" s="699"/>
      <c r="BX35" s="699"/>
      <c r="BY35" s="699"/>
      <c r="BZ35" s="700"/>
      <c r="CA35" s="693" t="str">
        <f t="shared" ref="CA35:CN35" si="35">IF(ISERROR(CA29/CA26),"--",CA29/CA26)</f>
        <v>--</v>
      </c>
      <c r="CB35" s="693" t="str">
        <f t="shared" si="35"/>
        <v>--</v>
      </c>
      <c r="CC35" s="693" t="str">
        <f t="shared" si="35"/>
        <v>--</v>
      </c>
      <c r="CD35" s="693" t="str">
        <f t="shared" si="35"/>
        <v>--</v>
      </c>
      <c r="CE35" s="313">
        <f>IF(ISERROR(CE29/CE26),"--",CE29/CE26)</f>
        <v>0.33333333333333337</v>
      </c>
      <c r="CF35" s="312">
        <f t="shared" si="35"/>
        <v>2.5436046511627904E-2</v>
      </c>
      <c r="CG35" s="312">
        <f t="shared" si="35"/>
        <v>2.0057306590257881E-2</v>
      </c>
      <c r="CH35" s="312">
        <f t="shared" si="35"/>
        <v>1.6556291390728478E-2</v>
      </c>
      <c r="CI35" s="312">
        <f t="shared" si="35"/>
        <v>1.4095851792186873E-2</v>
      </c>
      <c r="CJ35" s="313">
        <f>IF(ISERROR(CJ29/CJ26),"--",CJ29/CJ26)</f>
        <v>0.10174418604651161</v>
      </c>
      <c r="CK35" s="312">
        <f t="shared" si="35"/>
        <v>1.5427769985974754E-2</v>
      </c>
      <c r="CL35" s="312">
        <f t="shared" si="35"/>
        <v>1.5118790496760254E-2</v>
      </c>
      <c r="CM35" s="312">
        <f t="shared" si="35"/>
        <v>1.2779552715654948E-2</v>
      </c>
      <c r="CN35" s="312">
        <f t="shared" si="35"/>
        <v>1.1542497376705135E-2</v>
      </c>
      <c r="CO35" s="313">
        <f t="shared" ref="CO35:CT35" si="36">CO29/CO26</f>
        <v>6.7321178120617095E-2</v>
      </c>
      <c r="CP35" s="355">
        <f t="shared" si="36"/>
        <v>1.7838939857288478E-2</v>
      </c>
      <c r="CQ35" s="355">
        <f t="shared" si="36"/>
        <v>1.6730401529636708E-2</v>
      </c>
      <c r="CR35" s="355">
        <f t="shared" si="36"/>
        <v>1.5751575157515751E-2</v>
      </c>
      <c r="CS35" s="355">
        <f t="shared" si="36"/>
        <v>1.488095238095238E-2</v>
      </c>
      <c r="CT35" s="313">
        <f t="shared" si="36"/>
        <v>7.1355759429153912E-2</v>
      </c>
      <c r="CU35" s="355">
        <f>CU29/CU26</f>
        <v>1.8130539887187748E-2</v>
      </c>
      <c r="CV35" s="355">
        <f>CV29/CV26</f>
        <v>1.7129805862200226E-2</v>
      </c>
      <c r="CW35" s="355">
        <f>CW29/CW26</f>
        <v>1.6233766233766232E-2</v>
      </c>
      <c r="CX35" s="355">
        <f>CX29/CX26</f>
        <v>1.5426808364758311E-2</v>
      </c>
      <c r="CY35" s="313">
        <f>CY29/CY26</f>
        <v>7.2522159548750992E-2</v>
      </c>
      <c r="CZ35" s="679">
        <v>0.02</v>
      </c>
      <c r="DA35" s="679">
        <v>0.02</v>
      </c>
      <c r="DB35" s="679">
        <v>0.02</v>
      </c>
      <c r="DC35" s="679">
        <v>0.02</v>
      </c>
      <c r="DD35" s="313">
        <f>DD29/DD26</f>
        <v>8.7492319999999985E-2</v>
      </c>
      <c r="DE35" s="679">
        <v>0.02</v>
      </c>
      <c r="DF35" s="679">
        <v>0.02</v>
      </c>
      <c r="DG35" s="679">
        <v>0.02</v>
      </c>
      <c r="DH35" s="679">
        <v>0.02</v>
      </c>
      <c r="DI35" s="313">
        <f>DI29/DI26</f>
        <v>8.7492319999999985E-2</v>
      </c>
      <c r="DJ35" s="679">
        <v>0.02</v>
      </c>
      <c r="DK35" s="679">
        <v>0.02</v>
      </c>
      <c r="DL35" s="679">
        <v>0.02</v>
      </c>
      <c r="DM35" s="679">
        <v>0.02</v>
      </c>
      <c r="DN35" s="313">
        <f>DN29/DN26</f>
        <v>8.7492319999999943E-2</v>
      </c>
      <c r="DO35" s="679">
        <v>0.02</v>
      </c>
      <c r="DP35" s="679">
        <v>0.02</v>
      </c>
      <c r="DQ35" s="679">
        <v>0.02</v>
      </c>
      <c r="DR35" s="679">
        <v>0.02</v>
      </c>
      <c r="DS35" s="313">
        <f>DS29/DS26</f>
        <v>8.7492319999999971E-2</v>
      </c>
      <c r="DT35" s="679">
        <v>0.02</v>
      </c>
      <c r="DU35" s="679">
        <v>0.02</v>
      </c>
      <c r="DV35" s="679">
        <v>0.02</v>
      </c>
      <c r="DW35" s="679">
        <v>0.02</v>
      </c>
      <c r="DX35" s="313">
        <f>DX29/DX26</f>
        <v>8.7492319999999998E-2</v>
      </c>
      <c r="DY35" s="679">
        <v>0.02</v>
      </c>
      <c r="DZ35" s="679">
        <v>0.02</v>
      </c>
      <c r="EA35" s="679">
        <v>0.02</v>
      </c>
      <c r="EB35" s="679">
        <v>0.02</v>
      </c>
      <c r="EC35" s="313">
        <f>EC29/EC26</f>
        <v>8.7492319999999998E-2</v>
      </c>
      <c r="ED35" s="679">
        <v>0.02</v>
      </c>
      <c r="EE35" s="679">
        <v>0.02</v>
      </c>
      <c r="EF35" s="679">
        <v>0.02</v>
      </c>
      <c r="EG35" s="679">
        <v>0.02</v>
      </c>
      <c r="EH35" s="313">
        <f>EH29/EH26</f>
        <v>8.7492319999999998E-2</v>
      </c>
      <c r="EI35" s="679">
        <v>0.02</v>
      </c>
      <c r="EJ35" s="679">
        <v>0.02</v>
      </c>
      <c r="EK35" s="679">
        <v>0.02</v>
      </c>
      <c r="EL35" s="679">
        <v>0.02</v>
      </c>
      <c r="EM35" s="313">
        <f>EM29/EM26</f>
        <v>8.7492320000000012E-2</v>
      </c>
      <c r="EN35" s="679">
        <v>0.02</v>
      </c>
      <c r="EO35" s="679">
        <v>0.02</v>
      </c>
      <c r="EP35" s="679">
        <v>0.02</v>
      </c>
      <c r="EQ35" s="679">
        <v>0.02</v>
      </c>
      <c r="ER35" s="313">
        <f>ER29/ER26</f>
        <v>8.7492320000000012E-2</v>
      </c>
      <c r="ES35" s="679">
        <v>0.02</v>
      </c>
      <c r="ET35" s="679">
        <v>0.02</v>
      </c>
      <c r="EU35" s="679">
        <v>0.02</v>
      </c>
      <c r="EV35" s="679">
        <v>0.02</v>
      </c>
      <c r="EW35" s="313">
        <f>EW29/EW26</f>
        <v>8.749232000000004E-2</v>
      </c>
      <c r="EX35" s="679">
        <v>0.02</v>
      </c>
      <c r="EY35" s="679">
        <v>0.02</v>
      </c>
      <c r="EZ35" s="679">
        <v>0.02</v>
      </c>
      <c r="FA35" s="679">
        <v>0.02</v>
      </c>
      <c r="FB35" s="313">
        <f>FB29/FB26</f>
        <v>8.7492319999999998E-2</v>
      </c>
      <c r="FC35" s="679">
        <v>0.02</v>
      </c>
      <c r="FD35" s="679">
        <v>0.02</v>
      </c>
      <c r="FE35" s="679">
        <v>0.02</v>
      </c>
      <c r="FF35" s="679">
        <v>0.02</v>
      </c>
      <c r="FG35" s="313">
        <f>FG29/FG26</f>
        <v>8.7492319999999985E-2</v>
      </c>
      <c r="FH35" s="679">
        <v>0.02</v>
      </c>
      <c r="FI35" s="679">
        <v>0.02</v>
      </c>
      <c r="FJ35" s="679">
        <v>0.02</v>
      </c>
      <c r="FK35" s="679">
        <v>0.02</v>
      </c>
      <c r="FL35" s="313">
        <f>FL29/FL26</f>
        <v>8.7492319999999943E-2</v>
      </c>
      <c r="FM35" s="261"/>
      <c r="FN35" s="261"/>
      <c r="FO35" s="261"/>
      <c r="FP35" s="261"/>
      <c r="FQ35" s="261"/>
      <c r="FR35" s="261"/>
      <c r="FS35" s="261"/>
      <c r="FT35" s="261"/>
      <c r="FU35" s="261"/>
      <c r="FV35" s="261"/>
      <c r="FW35" s="261"/>
      <c r="FX35" s="261"/>
      <c r="FY35" s="261"/>
      <c r="FZ35" s="261"/>
      <c r="GA35" s="261"/>
      <c r="GB35" s="261"/>
      <c r="GC35" s="261"/>
      <c r="GD35" s="261"/>
      <c r="GE35" s="261"/>
      <c r="GF35" s="261"/>
      <c r="GG35" s="261"/>
      <c r="GH35" s="261"/>
      <c r="GI35" s="261"/>
      <c r="GJ35" s="261"/>
      <c r="GK35" s="261"/>
      <c r="GL35" s="261"/>
      <c r="GM35" s="261"/>
      <c r="GN35" s="261"/>
      <c r="GO35" s="261"/>
      <c r="GP35" s="261"/>
      <c r="GQ35" s="261"/>
      <c r="GR35" s="261"/>
      <c r="GS35" s="261"/>
      <c r="GT35" s="261"/>
      <c r="GU35" s="261"/>
      <c r="GV35" s="261"/>
      <c r="GW35" s="261"/>
      <c r="GX35" s="261"/>
      <c r="GY35" s="261"/>
      <c r="GZ35" s="261"/>
      <c r="HA35" s="261"/>
      <c r="HB35" s="261"/>
      <c r="HC35" s="261"/>
      <c r="HD35" s="261"/>
      <c r="HE35" s="261"/>
      <c r="HF35" s="261"/>
      <c r="HG35" s="261"/>
      <c r="HH35" s="261"/>
      <c r="HI35" s="261"/>
      <c r="HJ35" s="261"/>
      <c r="HK35" s="261"/>
      <c r="HL35" s="261"/>
      <c r="HM35" s="261"/>
      <c r="HN35" s="261"/>
      <c r="HO35" s="261"/>
      <c r="HP35" s="261"/>
      <c r="HQ35" s="261"/>
      <c r="HR35" s="261"/>
      <c r="HS35" s="261"/>
      <c r="HT35" s="261"/>
      <c r="HU35" s="261"/>
      <c r="HV35" s="261"/>
      <c r="HW35" s="261"/>
      <c r="HX35" s="261"/>
      <c r="HY35" s="261"/>
      <c r="HZ35" s="261"/>
      <c r="IA35" s="261"/>
      <c r="IB35" s="261"/>
      <c r="IC35" s="261"/>
      <c r="ID35" s="261"/>
      <c r="IE35" s="261"/>
      <c r="IF35" s="261"/>
      <c r="IG35" s="261"/>
      <c r="IH35" s="261"/>
      <c r="II35" s="261"/>
      <c r="IJ35" s="261"/>
      <c r="IK35" s="261"/>
      <c r="IL35" s="261"/>
      <c r="IM35" s="261"/>
      <c r="IN35" s="261"/>
      <c r="IO35" s="261"/>
      <c r="IP35" s="261"/>
      <c r="IQ35" s="261"/>
      <c r="IR35" s="261"/>
      <c r="IS35" s="261"/>
      <c r="IT35" s="261"/>
      <c r="IU35" s="261"/>
      <c r="IV35" s="261"/>
      <c r="IW35" s="261"/>
      <c r="IX35" s="261"/>
      <c r="IY35" s="261"/>
      <c r="IZ35" s="261"/>
      <c r="JA35" s="261"/>
      <c r="JB35" s="261"/>
      <c r="JC35" s="261"/>
      <c r="JD35" s="261"/>
      <c r="JE35" s="261"/>
      <c r="JF35" s="261"/>
      <c r="JG35" s="261"/>
      <c r="JH35" s="261"/>
      <c r="JI35" s="261"/>
      <c r="JJ35" s="261"/>
      <c r="JK35" s="261"/>
      <c r="JL35" s="261"/>
      <c r="JM35" s="261"/>
      <c r="JN35" s="261"/>
      <c r="JO35" s="261"/>
    </row>
    <row r="36" spans="1:275" s="701" customFormat="1" ht="11.25" customHeight="1">
      <c r="A36" s="697"/>
      <c r="B36" s="698"/>
      <c r="C36" s="699"/>
      <c r="D36" s="699"/>
      <c r="E36" s="699"/>
      <c r="F36" s="699"/>
      <c r="G36" s="699"/>
      <c r="H36" s="699"/>
      <c r="I36" s="699"/>
      <c r="J36" s="699"/>
      <c r="K36" s="699"/>
      <c r="L36" s="699"/>
      <c r="M36" s="699"/>
      <c r="N36" s="699"/>
      <c r="O36" s="699"/>
      <c r="P36" s="699"/>
      <c r="Q36" s="699"/>
      <c r="R36" s="699"/>
      <c r="S36" s="699"/>
      <c r="T36" s="699"/>
      <c r="U36" s="699"/>
      <c r="V36" s="699"/>
      <c r="W36" s="699"/>
      <c r="X36" s="699"/>
      <c r="Y36" s="699"/>
      <c r="Z36" s="699"/>
      <c r="AA36" s="699"/>
      <c r="AB36" s="699"/>
      <c r="AC36" s="699"/>
      <c r="AD36" s="699"/>
      <c r="AE36" s="699"/>
      <c r="AF36" s="699"/>
      <c r="AG36" s="699"/>
      <c r="AH36" s="699"/>
      <c r="AI36" s="699"/>
      <c r="AJ36" s="699"/>
      <c r="AK36" s="699"/>
      <c r="AL36" s="699"/>
      <c r="AM36" s="699"/>
      <c r="AN36" s="699"/>
      <c r="AO36" s="699"/>
      <c r="AP36" s="699"/>
      <c r="AQ36" s="699"/>
      <c r="AR36" s="699"/>
      <c r="AS36" s="699"/>
      <c r="AT36" s="699"/>
      <c r="AU36" s="699"/>
      <c r="AV36" s="699"/>
      <c r="AW36" s="699"/>
      <c r="AX36" s="699"/>
      <c r="AY36" s="699"/>
      <c r="AZ36" s="699"/>
      <c r="BA36" s="699"/>
      <c r="BB36" s="699"/>
      <c r="BC36" s="699"/>
      <c r="BD36" s="699"/>
      <c r="BE36" s="699"/>
      <c r="BF36" s="699"/>
      <c r="BG36" s="699"/>
      <c r="BH36" s="699"/>
      <c r="BI36" s="699"/>
      <c r="BJ36" s="699"/>
      <c r="BK36" s="699"/>
      <c r="BL36" s="699"/>
      <c r="BM36" s="699"/>
      <c r="BN36" s="699"/>
      <c r="BO36" s="699"/>
      <c r="BP36" s="699"/>
      <c r="BQ36" s="699"/>
      <c r="BR36" s="699"/>
      <c r="BS36" s="699"/>
      <c r="BT36" s="699"/>
      <c r="BU36" s="699"/>
      <c r="BV36" s="699"/>
      <c r="BW36" s="699"/>
      <c r="BX36" s="699"/>
      <c r="BY36" s="699"/>
      <c r="BZ36" s="700"/>
      <c r="CA36" s="699"/>
      <c r="CB36" s="699"/>
      <c r="CC36" s="699"/>
      <c r="CD36" s="699"/>
      <c r="CE36" s="702"/>
      <c r="CF36" s="699"/>
      <c r="CG36" s="699"/>
      <c r="CH36" s="699"/>
      <c r="CI36" s="699"/>
      <c r="CJ36" s="702"/>
      <c r="CK36" s="699"/>
      <c r="CL36" s="699"/>
      <c r="CM36" s="699"/>
      <c r="CN36" s="699"/>
      <c r="CO36" s="702"/>
      <c r="CP36" s="699"/>
      <c r="CQ36" s="699"/>
      <c r="CR36" s="699"/>
      <c r="CS36" s="699"/>
      <c r="CT36" s="702"/>
      <c r="CU36" s="699"/>
      <c r="CV36" s="699"/>
      <c r="CW36" s="699"/>
      <c r="CX36" s="699"/>
      <c r="CY36" s="702"/>
      <c r="CZ36" s="699"/>
      <c r="DA36" s="699"/>
      <c r="DB36" s="699"/>
      <c r="DC36" s="699"/>
      <c r="DD36" s="700"/>
      <c r="DE36" s="699"/>
      <c r="DF36" s="699"/>
      <c r="DG36" s="699"/>
      <c r="DH36" s="699"/>
      <c r="DI36" s="700"/>
      <c r="DJ36" s="699"/>
      <c r="DK36" s="699"/>
      <c r="DL36" s="699"/>
      <c r="DM36" s="699"/>
      <c r="DN36" s="700"/>
      <c r="DO36" s="699"/>
      <c r="DP36" s="699"/>
      <c r="DQ36" s="699"/>
      <c r="DR36" s="699"/>
      <c r="DS36" s="702"/>
      <c r="DT36" s="699"/>
      <c r="DU36" s="699"/>
      <c r="DV36" s="699"/>
      <c r="DW36" s="699"/>
      <c r="DX36" s="702"/>
      <c r="DY36" s="699"/>
      <c r="DZ36" s="699"/>
      <c r="EA36" s="699"/>
      <c r="EB36" s="699"/>
      <c r="EC36" s="702"/>
      <c r="ED36" s="699"/>
      <c r="EE36" s="699"/>
      <c r="EF36" s="699"/>
      <c r="EG36" s="699"/>
      <c r="EH36" s="700"/>
      <c r="EI36" s="699"/>
      <c r="EJ36" s="699"/>
      <c r="EK36" s="699"/>
      <c r="EL36" s="699"/>
      <c r="EM36" s="700"/>
      <c r="EN36" s="699"/>
      <c r="EO36" s="699"/>
      <c r="EP36" s="699"/>
      <c r="EQ36" s="699"/>
      <c r="ER36" s="700"/>
      <c r="ES36" s="699"/>
      <c r="ET36" s="699"/>
      <c r="EU36" s="699"/>
      <c r="EV36" s="699"/>
      <c r="EW36" s="700"/>
      <c r="EX36" s="699"/>
      <c r="EY36" s="699"/>
      <c r="EZ36" s="699"/>
      <c r="FA36" s="699"/>
      <c r="FB36" s="700"/>
      <c r="FC36" s="699"/>
      <c r="FD36" s="699"/>
      <c r="FE36" s="699"/>
      <c r="FF36" s="699"/>
      <c r="FG36" s="700"/>
      <c r="FH36" s="699"/>
      <c r="FI36" s="699"/>
      <c r="FJ36" s="699"/>
      <c r="FK36" s="699"/>
      <c r="FL36" s="700"/>
      <c r="FM36" s="261"/>
      <c r="FN36" s="261"/>
      <c r="FO36" s="261"/>
      <c r="FP36" s="261"/>
      <c r="FQ36" s="261"/>
      <c r="FR36" s="261"/>
      <c r="FS36" s="261"/>
      <c r="FT36" s="261"/>
      <c r="FU36" s="261"/>
      <c r="FV36" s="261"/>
      <c r="FW36" s="261"/>
      <c r="FX36" s="261"/>
      <c r="FY36" s="261"/>
      <c r="FZ36" s="261"/>
      <c r="GA36" s="261"/>
      <c r="GB36" s="261"/>
      <c r="GC36" s="261"/>
      <c r="GD36" s="261"/>
      <c r="GE36" s="261"/>
      <c r="GF36" s="261"/>
      <c r="GG36" s="261"/>
      <c r="GH36" s="261"/>
      <c r="GI36" s="261"/>
      <c r="GJ36" s="261"/>
      <c r="GK36" s="261"/>
      <c r="GL36" s="261"/>
      <c r="GM36" s="261"/>
      <c r="GN36" s="261"/>
      <c r="GO36" s="261"/>
      <c r="GP36" s="261"/>
      <c r="GQ36" s="261"/>
      <c r="GR36" s="261"/>
      <c r="GS36" s="261"/>
      <c r="GT36" s="261"/>
      <c r="GU36" s="261"/>
      <c r="GV36" s="261"/>
      <c r="GW36" s="261"/>
      <c r="GX36" s="261"/>
      <c r="GY36" s="261"/>
      <c r="GZ36" s="261"/>
      <c r="HA36" s="261"/>
      <c r="HB36" s="261"/>
      <c r="HC36" s="261"/>
      <c r="HD36" s="261"/>
      <c r="HE36" s="261"/>
      <c r="HF36" s="261"/>
      <c r="HG36" s="261"/>
      <c r="HH36" s="261"/>
      <c r="HI36" s="261"/>
      <c r="HJ36" s="261"/>
      <c r="HK36" s="261"/>
      <c r="HL36" s="261"/>
      <c r="HM36" s="261"/>
      <c r="HN36" s="261"/>
      <c r="HO36" s="261"/>
      <c r="HP36" s="261"/>
      <c r="HQ36" s="261"/>
      <c r="HR36" s="261"/>
      <c r="HS36" s="261"/>
      <c r="HT36" s="261"/>
      <c r="HU36" s="261"/>
      <c r="HV36" s="261"/>
      <c r="HW36" s="261"/>
      <c r="HX36" s="261"/>
      <c r="HY36" s="261"/>
      <c r="HZ36" s="261"/>
      <c r="IA36" s="261"/>
      <c r="IB36" s="261"/>
      <c r="IC36" s="261"/>
      <c r="ID36" s="261"/>
      <c r="IE36" s="261"/>
      <c r="IF36" s="261"/>
      <c r="IG36" s="261"/>
      <c r="IH36" s="261"/>
      <c r="II36" s="261"/>
      <c r="IJ36" s="261"/>
      <c r="IK36" s="261"/>
      <c r="IL36" s="261"/>
      <c r="IM36" s="261"/>
      <c r="IN36" s="261"/>
      <c r="IO36" s="261"/>
      <c r="IP36" s="261"/>
      <c r="IQ36" s="261"/>
      <c r="IR36" s="261"/>
      <c r="IS36" s="261"/>
      <c r="IT36" s="261"/>
      <c r="IU36" s="261"/>
      <c r="IV36" s="261"/>
      <c r="IW36" s="261"/>
      <c r="IX36" s="261"/>
      <c r="IY36" s="261"/>
      <c r="IZ36" s="261"/>
      <c r="JA36" s="261"/>
      <c r="JB36" s="261"/>
      <c r="JC36" s="261"/>
      <c r="JD36" s="261"/>
      <c r="JE36" s="261"/>
      <c r="JF36" s="261"/>
      <c r="JG36" s="261"/>
      <c r="JH36" s="261"/>
      <c r="JI36" s="261"/>
      <c r="JJ36" s="261"/>
      <c r="JK36" s="261"/>
      <c r="JL36" s="261"/>
      <c r="JM36" s="261"/>
      <c r="JN36" s="261"/>
      <c r="JO36" s="261"/>
    </row>
    <row r="37" spans="1:275" s="701" customFormat="1" ht="11.25" customHeight="1">
      <c r="A37" s="660" t="s">
        <v>597</v>
      </c>
      <c r="B37" s="644"/>
      <c r="C37" s="644"/>
      <c r="D37" s="644"/>
      <c r="E37" s="644"/>
      <c r="F37" s="644"/>
      <c r="G37" s="644"/>
      <c r="H37" s="644"/>
      <c r="I37" s="644"/>
      <c r="J37" s="644"/>
      <c r="K37" s="644"/>
      <c r="L37" s="644"/>
      <c r="M37" s="644"/>
      <c r="N37" s="644"/>
      <c r="O37" s="644"/>
      <c r="P37" s="644"/>
      <c r="Q37" s="644"/>
      <c r="R37" s="644"/>
      <c r="S37" s="644"/>
      <c r="T37" s="644"/>
      <c r="U37" s="644"/>
      <c r="V37" s="644"/>
      <c r="W37" s="644"/>
      <c r="X37" s="644"/>
      <c r="Y37" s="644"/>
      <c r="Z37" s="644"/>
      <c r="AA37" s="644"/>
      <c r="AB37" s="644"/>
      <c r="AC37" s="644"/>
      <c r="AD37" s="644"/>
      <c r="AE37" s="644"/>
      <c r="AF37" s="644"/>
      <c r="AG37" s="644"/>
      <c r="AH37" s="644"/>
      <c r="AI37" s="644"/>
      <c r="AJ37" s="644"/>
      <c r="AK37" s="644"/>
      <c r="AL37" s="644"/>
      <c r="AM37" s="644"/>
      <c r="AN37" s="644"/>
      <c r="AO37" s="644"/>
      <c r="AP37" s="644"/>
      <c r="AQ37" s="644"/>
      <c r="AR37" s="644"/>
      <c r="AS37" s="644"/>
      <c r="AT37" s="644"/>
      <c r="AU37" s="644"/>
      <c r="AV37" s="644"/>
      <c r="AW37" s="644"/>
      <c r="AX37" s="644"/>
      <c r="AY37" s="644"/>
      <c r="AZ37" s="644"/>
      <c r="BA37" s="644"/>
      <c r="BB37" s="644"/>
      <c r="BC37" s="644"/>
      <c r="BD37" s="644"/>
      <c r="BE37" s="644"/>
      <c r="BF37" s="644"/>
      <c r="BG37" s="644"/>
      <c r="BH37" s="644"/>
      <c r="BI37" s="644"/>
      <c r="BJ37" s="644"/>
      <c r="BK37" s="644"/>
      <c r="BL37" s="644"/>
      <c r="BM37" s="644"/>
      <c r="BN37" s="644"/>
      <c r="BO37" s="644"/>
      <c r="BP37" s="644"/>
      <c r="BQ37" s="644"/>
      <c r="BR37" s="644"/>
      <c r="BS37" s="644"/>
      <c r="BT37" s="644"/>
      <c r="BU37" s="644"/>
      <c r="BV37" s="644"/>
      <c r="BW37" s="644"/>
      <c r="BX37" s="644"/>
      <c r="BY37" s="644"/>
      <c r="BZ37" s="661"/>
      <c r="CA37" s="644"/>
      <c r="CB37" s="644"/>
      <c r="CC37" s="644"/>
      <c r="CD37" s="644"/>
      <c r="CE37" s="661"/>
      <c r="CF37" s="644"/>
      <c r="CG37" s="644"/>
      <c r="CH37" s="644"/>
      <c r="CI37" s="644"/>
      <c r="CJ37" s="661"/>
      <c r="CK37" s="644"/>
      <c r="CL37" s="644"/>
      <c r="CM37" s="644"/>
      <c r="CN37" s="644"/>
      <c r="CO37" s="661"/>
      <c r="CP37" s="644"/>
      <c r="CQ37" s="644"/>
      <c r="CR37" s="644"/>
      <c r="CS37" s="644"/>
      <c r="CT37" s="661"/>
      <c r="CU37" s="644"/>
      <c r="CV37" s="644"/>
      <c r="CW37" s="644"/>
      <c r="CX37" s="644"/>
      <c r="CY37" s="661"/>
      <c r="CZ37" s="644"/>
      <c r="DA37" s="644"/>
      <c r="DB37" s="644"/>
      <c r="DC37" s="644"/>
      <c r="DD37" s="661"/>
      <c r="DE37" s="644"/>
      <c r="DF37" s="644"/>
      <c r="DG37" s="644"/>
      <c r="DH37" s="644"/>
      <c r="DI37" s="661"/>
      <c r="DJ37" s="644"/>
      <c r="DK37" s="644"/>
      <c r="DL37" s="644"/>
      <c r="DM37" s="644"/>
      <c r="DN37" s="661"/>
      <c r="DO37" s="644"/>
      <c r="DP37" s="644"/>
      <c r="DQ37" s="644"/>
      <c r="DR37" s="644"/>
      <c r="DS37" s="661"/>
      <c r="DT37" s="644"/>
      <c r="DU37" s="644"/>
      <c r="DV37" s="644"/>
      <c r="DW37" s="644"/>
      <c r="DX37" s="661"/>
      <c r="DY37" s="644"/>
      <c r="DZ37" s="644"/>
      <c r="EA37" s="644"/>
      <c r="EB37" s="644"/>
      <c r="EC37" s="661"/>
      <c r="ED37" s="644"/>
      <c r="EE37" s="644"/>
      <c r="EF37" s="644"/>
      <c r="EG37" s="644"/>
      <c r="EH37" s="661"/>
      <c r="EI37" s="644"/>
      <c r="EJ37" s="644"/>
      <c r="EK37" s="644"/>
      <c r="EL37" s="644"/>
      <c r="EM37" s="661"/>
      <c r="EN37" s="644"/>
      <c r="EO37" s="644"/>
      <c r="EP37" s="644"/>
      <c r="EQ37" s="644"/>
      <c r="ER37" s="661"/>
      <c r="ES37" s="644"/>
      <c r="ET37" s="644"/>
      <c r="EU37" s="644"/>
      <c r="EV37" s="644"/>
      <c r="EW37" s="661"/>
      <c r="EX37" s="644"/>
      <c r="EY37" s="644"/>
      <c r="EZ37" s="644"/>
      <c r="FA37" s="644"/>
      <c r="FB37" s="661"/>
      <c r="FC37" s="644"/>
      <c r="FD37" s="644"/>
      <c r="FE37" s="644"/>
      <c r="FF37" s="644"/>
      <c r="FG37" s="661"/>
      <c r="FH37" s="644"/>
      <c r="FI37" s="644"/>
      <c r="FJ37" s="644"/>
      <c r="FK37" s="644"/>
      <c r="FL37" s="661"/>
      <c r="FM37" s="261"/>
      <c r="FN37" s="261"/>
      <c r="FO37" s="261"/>
      <c r="FP37" s="261"/>
      <c r="FQ37" s="261"/>
      <c r="FR37" s="261"/>
      <c r="FS37" s="261"/>
      <c r="FT37" s="261"/>
      <c r="FU37" s="261"/>
      <c r="FV37" s="261"/>
      <c r="FW37" s="261"/>
      <c r="FX37" s="261"/>
      <c r="FY37" s="261"/>
      <c r="FZ37" s="261"/>
      <c r="GA37" s="261"/>
      <c r="GB37" s="261"/>
      <c r="GC37" s="261"/>
      <c r="GD37" s="261"/>
      <c r="GE37" s="261"/>
      <c r="GF37" s="261"/>
      <c r="GG37" s="261"/>
      <c r="GH37" s="261"/>
      <c r="GI37" s="261"/>
      <c r="GJ37" s="261"/>
      <c r="GK37" s="261"/>
      <c r="GL37" s="261"/>
      <c r="GM37" s="261"/>
      <c r="GN37" s="261"/>
      <c r="GO37" s="261"/>
      <c r="GP37" s="261"/>
      <c r="GQ37" s="261"/>
      <c r="GR37" s="261"/>
      <c r="GS37" s="261"/>
      <c r="GT37" s="261"/>
      <c r="GU37" s="261"/>
      <c r="GV37" s="261"/>
      <c r="GW37" s="261"/>
      <c r="GX37" s="261"/>
      <c r="GY37" s="261"/>
      <c r="GZ37" s="261"/>
      <c r="HA37" s="261"/>
      <c r="HB37" s="261"/>
      <c r="HC37" s="261"/>
      <c r="HD37" s="261"/>
      <c r="HE37" s="261"/>
      <c r="HF37" s="261"/>
      <c r="HG37" s="261"/>
      <c r="HH37" s="261"/>
      <c r="HI37" s="261"/>
      <c r="HJ37" s="261"/>
      <c r="HK37" s="261"/>
      <c r="HL37" s="261"/>
      <c r="HM37" s="261"/>
      <c r="HN37" s="261"/>
      <c r="HO37" s="261"/>
      <c r="HP37" s="261"/>
      <c r="HQ37" s="261"/>
      <c r="HR37" s="261"/>
      <c r="HS37" s="261"/>
      <c r="HT37" s="261"/>
      <c r="HU37" s="261"/>
      <c r="HV37" s="261"/>
      <c r="HW37" s="261"/>
      <c r="HX37" s="261"/>
      <c r="HY37" s="261"/>
      <c r="HZ37" s="261"/>
      <c r="IA37" s="261"/>
      <c r="IB37" s="261"/>
      <c r="IC37" s="261"/>
      <c r="ID37" s="261"/>
      <c r="IE37" s="261"/>
      <c r="IF37" s="261"/>
      <c r="IG37" s="261"/>
      <c r="IH37" s="261"/>
      <c r="II37" s="261"/>
      <c r="IJ37" s="261"/>
      <c r="IK37" s="261"/>
      <c r="IL37" s="261"/>
      <c r="IM37" s="261"/>
      <c r="IN37" s="261"/>
      <c r="IO37" s="261"/>
      <c r="IP37" s="261"/>
      <c r="IQ37" s="261"/>
      <c r="IR37" s="261"/>
      <c r="IS37" s="261"/>
      <c r="IT37" s="261"/>
      <c r="IU37" s="261"/>
      <c r="IV37" s="261"/>
      <c r="IW37" s="261"/>
      <c r="IX37" s="261"/>
      <c r="IY37" s="261"/>
      <c r="IZ37" s="261"/>
      <c r="JA37" s="261"/>
      <c r="JB37" s="261"/>
      <c r="JC37" s="261"/>
      <c r="JD37" s="261"/>
      <c r="JE37" s="261"/>
      <c r="JF37" s="261"/>
      <c r="JG37" s="261"/>
      <c r="JH37" s="261"/>
      <c r="JI37" s="261"/>
      <c r="JJ37" s="261"/>
      <c r="JK37" s="261"/>
      <c r="JL37" s="261"/>
      <c r="JM37" s="261"/>
      <c r="JN37" s="261"/>
      <c r="JO37" s="261"/>
    </row>
    <row r="38" spans="1:275" s="701" customFormat="1" ht="11.25" customHeight="1">
      <c r="A38" s="686" t="s">
        <v>558</v>
      </c>
      <c r="B38" s="698"/>
      <c r="C38" s="699"/>
      <c r="D38" s="699"/>
      <c r="E38" s="699"/>
      <c r="F38" s="699"/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  <c r="R38" s="699"/>
      <c r="S38" s="699"/>
      <c r="T38" s="699"/>
      <c r="U38" s="699"/>
      <c r="V38" s="699"/>
      <c r="W38" s="699"/>
      <c r="X38" s="699"/>
      <c r="Y38" s="699"/>
      <c r="Z38" s="699"/>
      <c r="AA38" s="699"/>
      <c r="AB38" s="699"/>
      <c r="AC38" s="699"/>
      <c r="AD38" s="699"/>
      <c r="AE38" s="699"/>
      <c r="AF38" s="699"/>
      <c r="AG38" s="699"/>
      <c r="AH38" s="699"/>
      <c r="AI38" s="699"/>
      <c r="AJ38" s="699"/>
      <c r="AK38" s="699"/>
      <c r="AL38" s="699"/>
      <c r="AM38" s="699"/>
      <c r="AN38" s="699"/>
      <c r="AO38" s="699"/>
      <c r="AP38" s="699"/>
      <c r="AQ38" s="699"/>
      <c r="AR38" s="699"/>
      <c r="AS38" s="699"/>
      <c r="AT38" s="699"/>
      <c r="AU38" s="699"/>
      <c r="AV38" s="699"/>
      <c r="AW38" s="699"/>
      <c r="AX38" s="699"/>
      <c r="AY38" s="699"/>
      <c r="AZ38" s="699"/>
      <c r="BA38" s="699"/>
      <c r="BB38" s="699"/>
      <c r="BC38" s="699"/>
      <c r="BD38" s="699"/>
      <c r="BE38" s="699"/>
      <c r="BF38" s="699"/>
      <c r="BG38" s="699"/>
      <c r="BH38" s="699"/>
      <c r="BI38" s="699"/>
      <c r="BJ38" s="699"/>
      <c r="BK38" s="699"/>
      <c r="BL38" s="699"/>
      <c r="BM38" s="699"/>
      <c r="BN38" s="699"/>
      <c r="BO38" s="699"/>
      <c r="BP38" s="699"/>
      <c r="BQ38" s="699"/>
      <c r="BR38" s="699"/>
      <c r="BS38" s="699"/>
      <c r="BT38" s="699"/>
      <c r="BU38" s="699"/>
      <c r="BV38" s="699"/>
      <c r="BW38" s="699"/>
      <c r="BX38" s="699"/>
      <c r="BY38" s="699"/>
      <c r="BZ38" s="700"/>
      <c r="CA38" s="703">
        <f>CE38</f>
        <v>0</v>
      </c>
      <c r="CB38" s="693">
        <f>CA42</f>
        <v>7.625</v>
      </c>
      <c r="CC38" s="693">
        <f>CB42</f>
        <v>15.25</v>
      </c>
      <c r="CD38" s="693">
        <f>CC42</f>
        <v>22.875</v>
      </c>
      <c r="CE38" s="663">
        <v>0</v>
      </c>
      <c r="CF38" s="693">
        <f>CD42</f>
        <v>30.5</v>
      </c>
      <c r="CG38" s="693">
        <f t="shared" ref="CG38:CX38" si="37">CF42</f>
        <v>31.699999999999996</v>
      </c>
      <c r="CH38" s="693">
        <f t="shared" si="37"/>
        <v>32.899999999999991</v>
      </c>
      <c r="CI38" s="693">
        <f t="shared" si="37"/>
        <v>34.099999999999987</v>
      </c>
      <c r="CJ38" s="664">
        <f>CE42</f>
        <v>30.5</v>
      </c>
      <c r="CK38" s="704">
        <f>CI42</f>
        <v>35.299999999999983</v>
      </c>
      <c r="CL38" s="693">
        <f t="shared" si="37"/>
        <v>36.799999999999983</v>
      </c>
      <c r="CM38" s="693">
        <f t="shared" si="37"/>
        <v>36.199999999999982</v>
      </c>
      <c r="CN38" s="693">
        <f t="shared" si="37"/>
        <v>36.399999999999984</v>
      </c>
      <c r="CO38" s="664">
        <f>CJ42</f>
        <v>35.300000000000004</v>
      </c>
      <c r="CP38" s="693">
        <f>CN42</f>
        <v>36.59999999999998</v>
      </c>
      <c r="CQ38" s="693">
        <f t="shared" si="37"/>
        <v>35.59999999999998</v>
      </c>
      <c r="CR38" s="693">
        <f t="shared" si="37"/>
        <v>34.59999999999998</v>
      </c>
      <c r="CS38" s="693">
        <f t="shared" si="37"/>
        <v>33.59999999999998</v>
      </c>
      <c r="CT38" s="664">
        <f>CO42</f>
        <v>36.600000000000009</v>
      </c>
      <c r="CU38" s="693">
        <f>CS42</f>
        <v>32.59999999999998</v>
      </c>
      <c r="CV38" s="693">
        <f t="shared" si="37"/>
        <v>33.34999999999998</v>
      </c>
      <c r="CW38" s="693">
        <f t="shared" si="37"/>
        <v>34.09999999999998</v>
      </c>
      <c r="CX38" s="693">
        <f t="shared" si="37"/>
        <v>34.84999999999998</v>
      </c>
      <c r="CY38" s="664">
        <f>CT42</f>
        <v>32.600000000000009</v>
      </c>
      <c r="CZ38" s="693">
        <f>CX42</f>
        <v>35.59999999999998</v>
      </c>
      <c r="DA38" s="693">
        <f>CZ42</f>
        <v>36.366140602582476</v>
      </c>
      <c r="DB38" s="693">
        <f>DA42</f>
        <v>37.148769166483099</v>
      </c>
      <c r="DC38" s="693">
        <f>DB42</f>
        <v>37.948240525876564</v>
      </c>
      <c r="DD38" s="664">
        <f>CY42</f>
        <v>35.600000000000009</v>
      </c>
      <c r="DE38" s="693">
        <f>DC42</f>
        <v>38.76491715125411</v>
      </c>
      <c r="DF38" s="693">
        <f>DE42</f>
        <v>39.599169313763163</v>
      </c>
      <c r="DG38" s="693">
        <f>DF42</f>
        <v>40.451375253083754</v>
      </c>
      <c r="DH38" s="693">
        <f>DG42</f>
        <v>41.321921348917698</v>
      </c>
      <c r="DI38" s="664">
        <f>DD42</f>
        <v>38.764917151254146</v>
      </c>
      <c r="DJ38" s="693">
        <f>DH42</f>
        <v>42.211202296168437</v>
      </c>
      <c r="DK38" s="693">
        <f>DJ42</f>
        <v>43.119621283890865</v>
      </c>
      <c r="DL38" s="693">
        <f>DK42</f>
        <v>44.04759017809225</v>
      </c>
      <c r="DM38" s="693">
        <f>DL42</f>
        <v>44.995529708467267</v>
      </c>
      <c r="DN38" s="664">
        <f>DI42</f>
        <v>42.211202296168466</v>
      </c>
      <c r="DO38" s="693">
        <f>DM42</f>
        <v>45.963869659151641</v>
      </c>
      <c r="DP38" s="693">
        <f>DO42</f>
        <v>46.95304906358102</v>
      </c>
      <c r="DQ38" s="693">
        <f>DP42</f>
        <v>47.963516403543309</v>
      </c>
      <c r="DR38" s="693">
        <f>DQ42</f>
        <v>48.995729812514831</v>
      </c>
      <c r="DS38" s="664">
        <f>DN42</f>
        <v>45.963869659151648</v>
      </c>
      <c r="DT38" s="693">
        <f>DR42</f>
        <v>50.050157283372393</v>
      </c>
      <c r="DU38" s="693">
        <f>DT42</f>
        <v>51.127276880575529</v>
      </c>
      <c r="DV38" s="693">
        <f>DU42</f>
        <v>52.227576956915037</v>
      </c>
      <c r="DW38" s="693">
        <f>DV42</f>
        <v>53.351556374926126</v>
      </c>
      <c r="DX38" s="664">
        <f>DS42</f>
        <v>50.050157283372407</v>
      </c>
      <c r="DY38" s="693">
        <f>DW42</f>
        <v>54.499724733066579</v>
      </c>
      <c r="DZ38" s="693">
        <f>DY42</f>
        <v>55.67260259676241</v>
      </c>
      <c r="EA38" s="693">
        <f>DZ42</f>
        <v>56.870721734425871</v>
      </c>
      <c r="EB38" s="693">
        <f>EA42</f>
        <v>58.09462535855269</v>
      </c>
      <c r="EC38" s="664">
        <f>DX42</f>
        <v>54.499724733066579</v>
      </c>
      <c r="ED38" s="693">
        <f>EB42</f>
        <v>59.344868372007916</v>
      </c>
      <c r="EE38" s="693">
        <f>ED42</f>
        <v>60.622017619612102</v>
      </c>
      <c r="EF38" s="693">
        <f>EE42</f>
        <v>61.92665214514178</v>
      </c>
      <c r="EG38" s="693">
        <f>EF42</f>
        <v>63.25936345386075</v>
      </c>
      <c r="EH38" s="664">
        <f>EC42</f>
        <v>59.344868372007923</v>
      </c>
      <c r="EI38" s="693">
        <f>EG42</f>
        <v>64.620755780701373</v>
      </c>
      <c r="EJ38" s="693">
        <f>EI42</f>
        <v>66.011446364217193</v>
      </c>
      <c r="EK38" s="693">
        <f>EJ42</f>
        <v>67.432065726431333</v>
      </c>
      <c r="EL38" s="693">
        <f>EK42</f>
        <v>68.883257958707475</v>
      </c>
      <c r="EM38" s="664">
        <f>EH42</f>
        <v>64.620755780701387</v>
      </c>
      <c r="EN38" s="693">
        <f>EL42</f>
        <v>70.365681013772928</v>
      </c>
      <c r="EO38" s="693">
        <f>EN42</f>
        <v>71.880007004026297</v>
      </c>
      <c r="EP38" s="693">
        <f>EO42</f>
        <v>73.426922506265029</v>
      </c>
      <c r="EQ38" s="693">
        <f>EP42</f>
        <v>75.007128872970895</v>
      </c>
      <c r="ER38" s="664">
        <f>EM42</f>
        <v>70.365681013772928</v>
      </c>
      <c r="ES38" s="693">
        <f>EQ42</f>
        <v>76.621342550294528</v>
      </c>
      <c r="ET38" s="693">
        <f>ES42</f>
        <v>78.270295402883363</v>
      </c>
      <c r="EU38" s="693">
        <f>ET42</f>
        <v>79.954735045700076</v>
      </c>
      <c r="EV38" s="693">
        <f>EU42</f>
        <v>81.675425182982011</v>
      </c>
      <c r="EW38" s="664">
        <f>ER42</f>
        <v>76.6213425502945</v>
      </c>
      <c r="EX38" s="693">
        <f>EV42</f>
        <v>83.433145954495245</v>
      </c>
      <c r="EY38" s="693">
        <f>EX42</f>
        <v>85.22869428924048</v>
      </c>
      <c r="EZ38" s="693">
        <f>EY42</f>
        <v>87.062884266770766</v>
      </c>
      <c r="FA38" s="693">
        <f>EZ42</f>
        <v>88.936547486285207</v>
      </c>
      <c r="FB38" s="664">
        <f>EW42</f>
        <v>83.433145954495231</v>
      </c>
      <c r="FC38" s="693">
        <f>FA42</f>
        <v>90.85053344366581</v>
      </c>
      <c r="FD38" s="693">
        <f>FC42</f>
        <v>92.805709916628487</v>
      </c>
      <c r="FE38" s="693">
        <f>FD42</f>
        <v>94.802963358162799</v>
      </c>
      <c r="FF38" s="693">
        <f>FE42</f>
        <v>96.843199298438904</v>
      </c>
      <c r="FG38" s="664">
        <f>FB42</f>
        <v>90.850533443665768</v>
      </c>
      <c r="FH38" s="693">
        <f>FF42</f>
        <v>98.927342755363711</v>
      </c>
      <c r="FI38" s="693">
        <f>FH42</f>
        <v>101.05633865397269</v>
      </c>
      <c r="FJ38" s="693">
        <f>FI42</f>
        <v>103.23115225484727</v>
      </c>
      <c r="FK38" s="693">
        <f>FJ42</f>
        <v>105.45276959175216</v>
      </c>
      <c r="FL38" s="664">
        <f>FG42</f>
        <v>98.927342755363668</v>
      </c>
      <c r="FM38" s="261"/>
      <c r="FN38" s="261"/>
      <c r="FO38" s="261"/>
      <c r="FP38" s="261"/>
      <c r="FQ38" s="261"/>
      <c r="FR38" s="261"/>
      <c r="FS38" s="261"/>
      <c r="FT38" s="261"/>
      <c r="FU38" s="261"/>
      <c r="FV38" s="261"/>
      <c r="FW38" s="261"/>
      <c r="FX38" s="261"/>
      <c r="FY38" s="261"/>
      <c r="FZ38" s="261"/>
      <c r="GA38" s="261"/>
      <c r="GB38" s="261"/>
      <c r="GC38" s="261"/>
      <c r="GD38" s="261"/>
      <c r="GE38" s="261"/>
      <c r="GF38" s="261"/>
      <c r="GG38" s="261"/>
      <c r="GH38" s="261"/>
      <c r="GI38" s="261"/>
      <c r="GJ38" s="261"/>
      <c r="GK38" s="261"/>
      <c r="GL38" s="261"/>
      <c r="GM38" s="261"/>
      <c r="GN38" s="261"/>
      <c r="GO38" s="261"/>
      <c r="GP38" s="261"/>
      <c r="GQ38" s="261"/>
      <c r="GR38" s="261"/>
      <c r="GS38" s="261"/>
      <c r="GT38" s="261"/>
      <c r="GU38" s="261"/>
      <c r="GV38" s="261"/>
      <c r="GW38" s="261"/>
      <c r="GX38" s="261"/>
      <c r="GY38" s="261"/>
      <c r="GZ38" s="261"/>
      <c r="HA38" s="261"/>
      <c r="HB38" s="261"/>
      <c r="HC38" s="261"/>
      <c r="HD38" s="261"/>
      <c r="HE38" s="261"/>
      <c r="HF38" s="261"/>
      <c r="HG38" s="261"/>
      <c r="HH38" s="261"/>
      <c r="HI38" s="261"/>
      <c r="HJ38" s="261"/>
      <c r="HK38" s="261"/>
      <c r="HL38" s="261"/>
      <c r="HM38" s="261"/>
      <c r="HN38" s="261"/>
      <c r="HO38" s="261"/>
      <c r="HP38" s="261"/>
      <c r="HQ38" s="261"/>
      <c r="HR38" s="261"/>
      <c r="HS38" s="261"/>
      <c r="HT38" s="261"/>
      <c r="HU38" s="261"/>
      <c r="HV38" s="261"/>
      <c r="HW38" s="261"/>
      <c r="HX38" s="261"/>
      <c r="HY38" s="261"/>
      <c r="HZ38" s="261"/>
      <c r="IA38" s="261"/>
      <c r="IB38" s="261"/>
      <c r="IC38" s="261"/>
      <c r="ID38" s="261"/>
      <c r="IE38" s="261"/>
      <c r="IF38" s="261"/>
      <c r="IG38" s="261"/>
      <c r="IH38" s="261"/>
      <c r="II38" s="261"/>
      <c r="IJ38" s="261"/>
      <c r="IK38" s="261"/>
      <c r="IL38" s="261"/>
      <c r="IM38" s="261"/>
      <c r="IN38" s="261"/>
      <c r="IO38" s="261"/>
      <c r="IP38" s="261"/>
      <c r="IQ38" s="261"/>
      <c r="IR38" s="261"/>
      <c r="IS38" s="261"/>
      <c r="IT38" s="261"/>
      <c r="IU38" s="261"/>
      <c r="IV38" s="261"/>
      <c r="IW38" s="261"/>
      <c r="IX38" s="261"/>
      <c r="IY38" s="261"/>
      <c r="IZ38" s="261"/>
      <c r="JA38" s="261"/>
      <c r="JB38" s="261"/>
      <c r="JC38" s="261"/>
      <c r="JD38" s="261"/>
      <c r="JE38" s="261"/>
      <c r="JF38" s="261"/>
      <c r="JG38" s="261"/>
      <c r="JH38" s="261"/>
      <c r="JI38" s="261"/>
      <c r="JJ38" s="261"/>
      <c r="JK38" s="261"/>
      <c r="JL38" s="261"/>
      <c r="JM38" s="261"/>
      <c r="JN38" s="261"/>
      <c r="JO38" s="261"/>
    </row>
    <row r="39" spans="1:275" s="701" customFormat="1" ht="11.25" customHeight="1">
      <c r="A39" s="689" t="s">
        <v>572</v>
      </c>
      <c r="B39" s="698"/>
      <c r="C39" s="699"/>
      <c r="D39" s="699"/>
      <c r="E39" s="699"/>
      <c r="F39" s="699"/>
      <c r="G39" s="699"/>
      <c r="H39" s="699"/>
      <c r="I39" s="699"/>
      <c r="J39" s="699"/>
      <c r="K39" s="699"/>
      <c r="L39" s="699"/>
      <c r="M39" s="699"/>
      <c r="N39" s="699"/>
      <c r="O39" s="699"/>
      <c r="P39" s="699"/>
      <c r="Q39" s="699"/>
      <c r="R39" s="699"/>
      <c r="S39" s="699"/>
      <c r="T39" s="699"/>
      <c r="U39" s="699"/>
      <c r="V39" s="699"/>
      <c r="W39" s="699"/>
      <c r="X39" s="699"/>
      <c r="Y39" s="699"/>
      <c r="Z39" s="699"/>
      <c r="AA39" s="699"/>
      <c r="AB39" s="699"/>
      <c r="AC39" s="699"/>
      <c r="AD39" s="699"/>
      <c r="AE39" s="699"/>
      <c r="AF39" s="699"/>
      <c r="AG39" s="699"/>
      <c r="AH39" s="699"/>
      <c r="AI39" s="699"/>
      <c r="AJ39" s="699"/>
      <c r="AK39" s="699"/>
      <c r="AL39" s="699"/>
      <c r="AM39" s="699"/>
      <c r="AN39" s="699"/>
      <c r="AO39" s="699"/>
      <c r="AP39" s="699"/>
      <c r="AQ39" s="699"/>
      <c r="AR39" s="699"/>
      <c r="AS39" s="699"/>
      <c r="AT39" s="699"/>
      <c r="AU39" s="699"/>
      <c r="AV39" s="699"/>
      <c r="AW39" s="699"/>
      <c r="AX39" s="699"/>
      <c r="AY39" s="699"/>
      <c r="AZ39" s="699"/>
      <c r="BA39" s="699"/>
      <c r="BB39" s="699"/>
      <c r="BC39" s="699"/>
      <c r="BD39" s="699"/>
      <c r="BE39" s="699"/>
      <c r="BF39" s="699"/>
      <c r="BG39" s="699"/>
      <c r="BH39" s="699"/>
      <c r="BI39" s="699"/>
      <c r="BJ39" s="699"/>
      <c r="BK39" s="699"/>
      <c r="BL39" s="699"/>
      <c r="BM39" s="699"/>
      <c r="BN39" s="699"/>
      <c r="BO39" s="699"/>
      <c r="BP39" s="699"/>
      <c r="BQ39" s="699"/>
      <c r="BR39" s="699"/>
      <c r="BS39" s="699"/>
      <c r="BT39" s="699"/>
      <c r="BU39" s="699"/>
      <c r="BV39" s="699"/>
      <c r="BW39" s="699"/>
      <c r="BX39" s="699"/>
      <c r="BY39" s="699"/>
      <c r="BZ39" s="700"/>
      <c r="CA39" s="693">
        <f>$CE$39/4</f>
        <v>7.9249999999999998</v>
      </c>
      <c r="CB39" s="693">
        <f>$CE$39/4</f>
        <v>7.9249999999999998</v>
      </c>
      <c r="CC39" s="693">
        <f>$CE$39/4</f>
        <v>7.9249999999999998</v>
      </c>
      <c r="CD39" s="693">
        <f>$CE$39/4</f>
        <v>7.9249999999999998</v>
      </c>
      <c r="CE39" s="663">
        <v>31.7</v>
      </c>
      <c r="CF39" s="693">
        <f>$CJ$39/4</f>
        <v>1.8</v>
      </c>
      <c r="CG39" s="693">
        <f>$CJ$39/4</f>
        <v>1.8</v>
      </c>
      <c r="CH39" s="693">
        <f>$CJ$39/4</f>
        <v>1.8</v>
      </c>
      <c r="CI39" s="693">
        <f>$CJ$39/4</f>
        <v>1.8</v>
      </c>
      <c r="CJ39" s="663">
        <f>3.7+3.5</f>
        <v>7.2</v>
      </c>
      <c r="CK39" s="703">
        <v>1.6</v>
      </c>
      <c r="CL39" s="703">
        <v>0.5</v>
      </c>
      <c r="CM39" s="703">
        <v>0.7</v>
      </c>
      <c r="CN39" s="693">
        <f>CO39-CM39-CL39-CK39</f>
        <v>0.30000000000000027</v>
      </c>
      <c r="CO39" s="663">
        <v>3.1</v>
      </c>
      <c r="CP39" s="693">
        <f>$CT$39/4</f>
        <v>2.75</v>
      </c>
      <c r="CQ39" s="693">
        <f>$CT$39/4</f>
        <v>2.75</v>
      </c>
      <c r="CR39" s="693">
        <f>$CT$39/4</f>
        <v>2.75</v>
      </c>
      <c r="CS39" s="693">
        <f>$CT$39/4</f>
        <v>2.75</v>
      </c>
      <c r="CT39" s="663">
        <v>11</v>
      </c>
      <c r="CU39" s="693">
        <f>$CY$39/4</f>
        <v>4.75</v>
      </c>
      <c r="CV39" s="693">
        <f>$CY$39/4</f>
        <v>4.75</v>
      </c>
      <c r="CW39" s="693">
        <f>$CY$39/4</f>
        <v>4.75</v>
      </c>
      <c r="CX39" s="693">
        <f>$CY$39/4</f>
        <v>4.75</v>
      </c>
      <c r="CY39" s="663">
        <v>19</v>
      </c>
      <c r="CZ39" s="693">
        <f>CZ45*CZ38</f>
        <v>4.8522238163558109</v>
      </c>
      <c r="DA39" s="693">
        <f>DA45*DA38</f>
        <v>4.9566475713706417</v>
      </c>
      <c r="DB39" s="693">
        <f>DB45*DB38</f>
        <v>5.0633186094919607</v>
      </c>
      <c r="DC39" s="693">
        <f>DC45*DC38</f>
        <v>5.1722852940577839</v>
      </c>
      <c r="DD39" s="667">
        <f>SUM(CZ39:DC39)</f>
        <v>20.044475291276196</v>
      </c>
      <c r="DE39" s="693">
        <f>DE45*DE38</f>
        <v>5.2835970292240209</v>
      </c>
      <c r="DF39" s="693">
        <f>DF45*DF38</f>
        <v>5.397304282363705</v>
      </c>
      <c r="DG39" s="693">
        <f>DG45*DG38</f>
        <v>5.5134586069482907</v>
      </c>
      <c r="DH39" s="693">
        <f>DH45*DH38</f>
        <v>5.6321126659213538</v>
      </c>
      <c r="DI39" s="667">
        <f>SUM(DE39:DH39)</f>
        <v>21.82647258445737</v>
      </c>
      <c r="DJ39" s="693">
        <f>DJ45*DJ38</f>
        <v>5.7533202555753284</v>
      </c>
      <c r="DK39" s="693">
        <f>DK45*DK38</f>
        <v>5.8771363299420871</v>
      </c>
      <c r="DL39" s="693">
        <f>DL45*DL38</f>
        <v>6.003617025708416</v>
      </c>
      <c r="DM39" s="693">
        <f>DM45*DM38</f>
        <v>6.1328196876677081</v>
      </c>
      <c r="DN39" s="667">
        <f>SUM(DJ39:DM39)</f>
        <v>23.766893298893539</v>
      </c>
      <c r="DO39" s="693">
        <f>DO45*DO38</f>
        <v>6.2648028947193808</v>
      </c>
      <c r="DP39" s="693">
        <f>DP45*DP38</f>
        <v>6.3996264864278327</v>
      </c>
      <c r="DQ39" s="693">
        <f>DQ45*DQ38</f>
        <v>6.5373515901529657</v>
      </c>
      <c r="DR39" s="693">
        <f>DR45*DR38</f>
        <v>6.6780406487645791</v>
      </c>
      <c r="DS39" s="664">
        <f>SUM(DO39:DR39)</f>
        <v>25.87982162006476</v>
      </c>
      <c r="DT39" s="693">
        <f>DT45*DT38</f>
        <v>6.8217574489531998</v>
      </c>
      <c r="DU39" s="693">
        <f>DU45*DU38</f>
        <v>6.968567150150184</v>
      </c>
      <c r="DV39" s="693">
        <f>DV45*DV38</f>
        <v>7.1185363140702025</v>
      </c>
      <c r="DW39" s="693">
        <f>DW45*DW38</f>
        <v>7.2717329348895046</v>
      </c>
      <c r="DX39" s="664">
        <f>SUM(DT39:DW39)</f>
        <v>28.18059384806309</v>
      </c>
      <c r="DY39" s="693">
        <f>DY45*DY38</f>
        <v>7.4282264700736409</v>
      </c>
      <c r="DZ39" s="693">
        <f>DZ45*DZ38</f>
        <v>7.5880878718686251</v>
      </c>
      <c r="EA39" s="693">
        <f>EA45*EA38</f>
        <v>7.7513896194698146</v>
      </c>
      <c r="EB39" s="693">
        <f>EB45*EB38</f>
        <v>7.9182057518830824</v>
      </c>
      <c r="EC39" s="664">
        <f>SUM(DY39:EB39)</f>
        <v>30.685909713295164</v>
      </c>
      <c r="ED39" s="693">
        <f>ED45*ED38</f>
        <v>8.0886119014931932</v>
      </c>
      <c r="EE39" s="693">
        <f>EE45*EE38</f>
        <v>8.2626853283545945</v>
      </c>
      <c r="EF39" s="693">
        <f>EF45*EF38</f>
        <v>8.4405049552201898</v>
      </c>
      <c r="EG39" s="693">
        <f>EG45*EG38</f>
        <v>8.6221514033239242</v>
      </c>
      <c r="EH39" s="667">
        <f>SUM(ED39:EG39)</f>
        <v>33.413953588391905</v>
      </c>
      <c r="EI39" s="693">
        <f>EI45*EI38</f>
        <v>8.8077070289334785</v>
      </c>
      <c r="EJ39" s="693">
        <f>EJ45*EJ38</f>
        <v>8.9972559606895786</v>
      </c>
      <c r="EK39" s="693">
        <f>EK45*EK38</f>
        <v>9.1908841377488955</v>
      </c>
      <c r="EL39" s="693">
        <f>EL45*EL38</f>
        <v>9.3886793487477966</v>
      </c>
      <c r="EM39" s="667">
        <f>SUM(EI39:EL39)</f>
        <v>36.384526476119746</v>
      </c>
      <c r="EN39" s="693">
        <f>EN45*EN38</f>
        <v>9.5907312716046373</v>
      </c>
      <c r="EO39" s="693">
        <f>EO45*EO38</f>
        <v>9.7971315141786253</v>
      </c>
      <c r="EP39" s="693">
        <f>EP45*EP38</f>
        <v>10.007973655803704</v>
      </c>
      <c r="EQ39" s="693">
        <f>EQ45*EQ38</f>
        <v>10.223353289716268</v>
      </c>
      <c r="ER39" s="667">
        <f>SUM(EN39:EQ39)</f>
        <v>39.619189731303237</v>
      </c>
      <c r="ES39" s="693">
        <f>ES45*ES38</f>
        <v>10.44336806639596</v>
      </c>
      <c r="ET39" s="693">
        <f>ET45*ET38</f>
        <v>10.668117737839202</v>
      </c>
      <c r="EU39" s="693">
        <f>EU45*EU38</f>
        <v>10.897704202785526</v>
      </c>
      <c r="EV39" s="693">
        <f>EV45*EV38</f>
        <v>11.13223155291721</v>
      </c>
      <c r="EW39" s="667">
        <f>SUM(ES39:EV39)</f>
        <v>43.141421559937903</v>
      </c>
      <c r="EX39" s="693">
        <f>EX45*EX38</f>
        <v>11.37180612005316</v>
      </c>
      <c r="EY39" s="693">
        <f>EY45*EY38</f>
        <v>11.616536524358464</v>
      </c>
      <c r="EZ39" s="693">
        <f>EZ45*EZ38</f>
        <v>11.866533723591431</v>
      </c>
      <c r="FA39" s="693">
        <f>FA45*FA38</f>
        <v>12.121911063410472</v>
      </c>
      <c r="FB39" s="667">
        <f>SUM(EX39:FA39)</f>
        <v>46.976787431413527</v>
      </c>
      <c r="FC39" s="693">
        <f>FC45*FC38</f>
        <v>12.382784328763639</v>
      </c>
      <c r="FD39" s="693">
        <f>FD45*FD38</f>
        <v>12.64927179638409</v>
      </c>
      <c r="FE39" s="693">
        <f>FE45*FE38</f>
        <v>12.92149428841531</v>
      </c>
      <c r="FF39" s="693">
        <f>FF45*FF38</f>
        <v>13.199575227190389</v>
      </c>
      <c r="FG39" s="667">
        <f>SUM(FC39:FF39)</f>
        <v>51.153125640753423</v>
      </c>
      <c r="FH39" s="693">
        <f>FH45*FH38</f>
        <v>13.483640691190184</v>
      </c>
      <c r="FI39" s="693">
        <f>FI45*FI38</f>
        <v>13.773819472205755</v>
      </c>
      <c r="FJ39" s="693">
        <f>FJ45*FJ38</f>
        <v>14.070243133730985</v>
      </c>
      <c r="FK39" s="693">
        <f>FK45*FK38</f>
        <v>14.373046070611851</v>
      </c>
      <c r="FL39" s="667">
        <f>SUM(FH39:FK39)</f>
        <v>55.700749367738773</v>
      </c>
      <c r="FM39" s="261"/>
      <c r="FN39" s="261"/>
      <c r="FO39" s="261"/>
      <c r="FP39" s="261"/>
      <c r="FQ39" s="261"/>
      <c r="FR39" s="261"/>
      <c r="FS39" s="261"/>
      <c r="FT39" s="261"/>
      <c r="FU39" s="261"/>
      <c r="FV39" s="261"/>
      <c r="FW39" s="261"/>
      <c r="FX39" s="261"/>
      <c r="FY39" s="261"/>
      <c r="FZ39" s="261"/>
      <c r="GA39" s="261"/>
      <c r="GB39" s="261"/>
      <c r="GC39" s="261"/>
      <c r="GD39" s="261"/>
      <c r="GE39" s="261"/>
      <c r="GF39" s="261"/>
      <c r="GG39" s="261"/>
      <c r="GH39" s="261"/>
      <c r="GI39" s="261"/>
      <c r="GJ39" s="261"/>
      <c r="GK39" s="261"/>
      <c r="GL39" s="261"/>
      <c r="GM39" s="261"/>
      <c r="GN39" s="261"/>
      <c r="GO39" s="261"/>
      <c r="GP39" s="261"/>
      <c r="GQ39" s="261"/>
      <c r="GR39" s="261"/>
      <c r="GS39" s="261"/>
      <c r="GT39" s="261"/>
      <c r="GU39" s="261"/>
      <c r="GV39" s="261"/>
      <c r="GW39" s="261"/>
      <c r="GX39" s="261"/>
      <c r="GY39" s="261"/>
      <c r="GZ39" s="261"/>
      <c r="HA39" s="261"/>
      <c r="HB39" s="261"/>
      <c r="HC39" s="261"/>
      <c r="HD39" s="261"/>
      <c r="HE39" s="261"/>
      <c r="HF39" s="261"/>
      <c r="HG39" s="261"/>
      <c r="HH39" s="261"/>
      <c r="HI39" s="261"/>
      <c r="HJ39" s="261"/>
      <c r="HK39" s="261"/>
      <c r="HL39" s="261"/>
      <c r="HM39" s="261"/>
      <c r="HN39" s="261"/>
      <c r="HO39" s="261"/>
      <c r="HP39" s="261"/>
      <c r="HQ39" s="261"/>
      <c r="HR39" s="261"/>
      <c r="HS39" s="261"/>
      <c r="HT39" s="261"/>
      <c r="HU39" s="261"/>
      <c r="HV39" s="261"/>
      <c r="HW39" s="261"/>
      <c r="HX39" s="261"/>
      <c r="HY39" s="261"/>
      <c r="HZ39" s="261"/>
      <c r="IA39" s="261"/>
      <c r="IB39" s="261"/>
      <c r="IC39" s="261"/>
      <c r="ID39" s="261"/>
      <c r="IE39" s="261"/>
      <c r="IF39" s="261"/>
      <c r="IG39" s="261"/>
      <c r="IH39" s="261"/>
      <c r="II39" s="261"/>
      <c r="IJ39" s="261"/>
      <c r="IK39" s="261"/>
      <c r="IL39" s="261"/>
      <c r="IM39" s="261"/>
      <c r="IN39" s="261"/>
      <c r="IO39" s="261"/>
      <c r="IP39" s="261"/>
      <c r="IQ39" s="261"/>
      <c r="IR39" s="261"/>
      <c r="IS39" s="261"/>
      <c r="IT39" s="261"/>
      <c r="IU39" s="261"/>
      <c r="IV39" s="261"/>
      <c r="IW39" s="261"/>
      <c r="IX39" s="261"/>
      <c r="IY39" s="261"/>
      <c r="IZ39" s="261"/>
      <c r="JA39" s="261"/>
      <c r="JB39" s="261"/>
      <c r="JC39" s="261"/>
      <c r="JD39" s="261"/>
      <c r="JE39" s="261"/>
      <c r="JF39" s="261"/>
      <c r="JG39" s="261"/>
      <c r="JH39" s="261"/>
      <c r="JI39" s="261"/>
      <c r="JJ39" s="261"/>
      <c r="JK39" s="261"/>
      <c r="JL39" s="261"/>
      <c r="JM39" s="261"/>
      <c r="JN39" s="261"/>
      <c r="JO39" s="261"/>
    </row>
    <row r="40" spans="1:275" s="701" customFormat="1" ht="11.25" customHeight="1">
      <c r="A40" s="689" t="s">
        <v>573</v>
      </c>
      <c r="B40" s="698"/>
      <c r="C40" s="699"/>
      <c r="D40" s="699"/>
      <c r="E40" s="699"/>
      <c r="F40" s="699"/>
      <c r="G40" s="699"/>
      <c r="H40" s="699"/>
      <c r="I40" s="699"/>
      <c r="J40" s="699"/>
      <c r="K40" s="699"/>
      <c r="L40" s="699"/>
      <c r="M40" s="699"/>
      <c r="N40" s="699"/>
      <c r="O40" s="699"/>
      <c r="P40" s="699"/>
      <c r="Q40" s="699"/>
      <c r="R40" s="699"/>
      <c r="S40" s="699"/>
      <c r="T40" s="699"/>
      <c r="U40" s="699"/>
      <c r="V40" s="699"/>
      <c r="W40" s="699"/>
      <c r="X40" s="699"/>
      <c r="Y40" s="699"/>
      <c r="Z40" s="699"/>
      <c r="AA40" s="699"/>
      <c r="AB40" s="699"/>
      <c r="AC40" s="699"/>
      <c r="AD40" s="699"/>
      <c r="AE40" s="699"/>
      <c r="AF40" s="699"/>
      <c r="AG40" s="699"/>
      <c r="AH40" s="699"/>
      <c r="AI40" s="699"/>
      <c r="AJ40" s="699"/>
      <c r="AK40" s="699"/>
      <c r="AL40" s="699"/>
      <c r="AM40" s="699"/>
      <c r="AN40" s="699"/>
      <c r="AO40" s="699"/>
      <c r="AP40" s="699"/>
      <c r="AQ40" s="699"/>
      <c r="AR40" s="699"/>
      <c r="AS40" s="699"/>
      <c r="AT40" s="699"/>
      <c r="AU40" s="699"/>
      <c r="AV40" s="699"/>
      <c r="AW40" s="699"/>
      <c r="AX40" s="699"/>
      <c r="AY40" s="699"/>
      <c r="AZ40" s="699"/>
      <c r="BA40" s="699"/>
      <c r="BB40" s="699"/>
      <c r="BC40" s="699"/>
      <c r="BD40" s="699"/>
      <c r="BE40" s="699"/>
      <c r="BF40" s="699"/>
      <c r="BG40" s="699"/>
      <c r="BH40" s="699"/>
      <c r="BI40" s="699"/>
      <c r="BJ40" s="699"/>
      <c r="BK40" s="699"/>
      <c r="BL40" s="699"/>
      <c r="BM40" s="699"/>
      <c r="BN40" s="699"/>
      <c r="BO40" s="699"/>
      <c r="BP40" s="699"/>
      <c r="BQ40" s="699"/>
      <c r="BR40" s="699"/>
      <c r="BS40" s="699"/>
      <c r="BT40" s="699"/>
      <c r="BU40" s="699"/>
      <c r="BV40" s="699"/>
      <c r="BW40" s="699"/>
      <c r="BX40" s="699"/>
      <c r="BY40" s="699"/>
      <c r="BZ40" s="700"/>
      <c r="CA40" s="693">
        <f>$CE$40/4</f>
        <v>0</v>
      </c>
      <c r="CB40" s="693">
        <f>$CE$40/4</f>
        <v>0</v>
      </c>
      <c r="CC40" s="693">
        <f>$CE$40/4</f>
        <v>0</v>
      </c>
      <c r="CD40" s="693">
        <f>$CE$40/4</f>
        <v>0</v>
      </c>
      <c r="CE40" s="663">
        <v>0</v>
      </c>
      <c r="CF40" s="693">
        <f>$CJ$40/4</f>
        <v>0</v>
      </c>
      <c r="CG40" s="693">
        <f>$CJ$40/4</f>
        <v>0</v>
      </c>
      <c r="CH40" s="693">
        <f>$CJ$40/4</f>
        <v>0</v>
      </c>
      <c r="CI40" s="693">
        <f>$CJ$40/4</f>
        <v>0</v>
      </c>
      <c r="CJ40" s="663">
        <v>0</v>
      </c>
      <c r="CK40" s="703">
        <v>0</v>
      </c>
      <c r="CL40" s="703">
        <v>0</v>
      </c>
      <c r="CM40" s="703">
        <v>0</v>
      </c>
      <c r="CN40" s="693">
        <f>CO40-CM40-CL40-CK40</f>
        <v>0</v>
      </c>
      <c r="CO40" s="663">
        <v>0</v>
      </c>
      <c r="CP40" s="693">
        <f>$CT$40/4</f>
        <v>3.25</v>
      </c>
      <c r="CQ40" s="693">
        <f>$CT$40/4</f>
        <v>3.25</v>
      </c>
      <c r="CR40" s="693">
        <f>$CT$40/4</f>
        <v>3.25</v>
      </c>
      <c r="CS40" s="693">
        <f>$CT$40/4</f>
        <v>3.25</v>
      </c>
      <c r="CT40" s="663">
        <v>13</v>
      </c>
      <c r="CU40" s="693">
        <f>$CY$40/4</f>
        <v>3.5</v>
      </c>
      <c r="CV40" s="693">
        <f>$CY$40/4</f>
        <v>3.5</v>
      </c>
      <c r="CW40" s="693">
        <f>$CY$40/4</f>
        <v>3.5</v>
      </c>
      <c r="CX40" s="693">
        <f>$CY$40/4</f>
        <v>3.5</v>
      </c>
      <c r="CY40" s="663">
        <v>14</v>
      </c>
      <c r="CZ40" s="693">
        <f>CZ46*CZ38</f>
        <v>3.5753228120516498</v>
      </c>
      <c r="DA40" s="693">
        <f>DA46*DA38</f>
        <v>3.6522666315362624</v>
      </c>
      <c r="DB40" s="693">
        <f>DB46*DB38</f>
        <v>3.7308663438361815</v>
      </c>
      <c r="DC40" s="693">
        <f>DC46*DC38</f>
        <v>3.8111575850952093</v>
      </c>
      <c r="DD40" s="667">
        <f>SUM(CZ40:DC40)</f>
        <v>14.769613372519302</v>
      </c>
      <c r="DE40" s="693">
        <f>DE46*DE38</f>
        <v>3.8931767583755943</v>
      </c>
      <c r="DF40" s="693">
        <f>DF46*DF38</f>
        <v>3.9769610501627302</v>
      </c>
      <c r="DG40" s="693">
        <f>DG46*DG38</f>
        <v>4.0625484472250566</v>
      </c>
      <c r="DH40" s="693">
        <f>DH46*DH38</f>
        <v>4.1499777538367866</v>
      </c>
      <c r="DI40" s="667">
        <f>SUM(DE40:DH40)</f>
        <v>16.082664009600165</v>
      </c>
      <c r="DJ40" s="693">
        <f>DJ46*DJ38</f>
        <v>4.2392886093712949</v>
      </c>
      <c r="DK40" s="693">
        <f>DK46*DK38</f>
        <v>4.3305215062731168</v>
      </c>
      <c r="DL40" s="693">
        <f>DL46*DL38</f>
        <v>4.4237178084167281</v>
      </c>
      <c r="DM40" s="693">
        <f>DM46*DM38</f>
        <v>4.5189197698604167</v>
      </c>
      <c r="DN40" s="667">
        <f>SUM(DJ40:DM40)</f>
        <v>17.512447693921558</v>
      </c>
      <c r="DO40" s="693">
        <f>DO46*DO38</f>
        <v>4.6161705540037543</v>
      </c>
      <c r="DP40" s="693">
        <f>DP46*DP38</f>
        <v>4.7155142531573508</v>
      </c>
      <c r="DQ40" s="693">
        <f>DQ46*DQ38</f>
        <v>4.8169959085337641</v>
      </c>
      <c r="DR40" s="693">
        <f>DR46*DR38</f>
        <v>4.920661530668637</v>
      </c>
      <c r="DS40" s="664">
        <f>SUM(DO40:DR40)</f>
        <v>19.069342246363505</v>
      </c>
      <c r="DT40" s="693">
        <f>DT46*DT38</f>
        <v>5.0265581202813046</v>
      </c>
      <c r="DU40" s="693">
        <f>DU46*DU38</f>
        <v>5.1347336895843458</v>
      </c>
      <c r="DV40" s="693">
        <f>DV46*DV38</f>
        <v>5.2452372840517283</v>
      </c>
      <c r="DW40" s="693">
        <f>DW46*DW38</f>
        <v>5.3581190046554248</v>
      </c>
      <c r="DX40" s="664">
        <f>SUM(DT40:DW40)</f>
        <v>20.764648098572803</v>
      </c>
      <c r="DY40" s="693">
        <f>DY46*DY38</f>
        <v>5.4734300305805776</v>
      </c>
      <c r="DZ40" s="693">
        <f>DZ46*DZ38</f>
        <v>5.5912226424295133</v>
      </c>
      <c r="EA40" s="693">
        <f>EA46*EA38</f>
        <v>5.7115502459251264</v>
      </c>
      <c r="EB40" s="693">
        <f>EB46*EB38</f>
        <v>5.8344673961243769</v>
      </c>
      <c r="EC40" s="664">
        <f>SUM(DY40:EB40)</f>
        <v>22.610670315059597</v>
      </c>
      <c r="ED40" s="693">
        <f>ED46*ED38</f>
        <v>5.9600298221528787</v>
      </c>
      <c r="EE40" s="693">
        <f>EE46*EE38</f>
        <v>6.088294452471807</v>
      </c>
      <c r="EF40" s="693">
        <f>EF46*EF38</f>
        <v>6.2193194406885608</v>
      </c>
      <c r="EG40" s="693">
        <f>EG46*EG38</f>
        <v>6.3531641919228914</v>
      </c>
      <c r="EH40" s="667">
        <f>SUM(ED40:EG40)</f>
        <v>24.620807907236141</v>
      </c>
      <c r="EI40" s="693">
        <f>EI46*EI38</f>
        <v>6.4898893897404575</v>
      </c>
      <c r="EJ40" s="693">
        <f>EJ46*EJ38</f>
        <v>6.6295570236660062</v>
      </c>
      <c r="EK40" s="693">
        <f>EK46*EK38</f>
        <v>6.77223041728866</v>
      </c>
      <c r="EL40" s="693">
        <f>EL46*EL38</f>
        <v>6.9179742569720606</v>
      </c>
      <c r="EM40" s="667">
        <f>SUM(EI40:EL40)</f>
        <v>26.809651087667184</v>
      </c>
      <c r="EN40" s="693">
        <f>EN46*EN38</f>
        <v>7.0668546211823644</v>
      </c>
      <c r="EO40" s="693">
        <f>EO46*EO38</f>
        <v>7.218939010447408</v>
      </c>
      <c r="EP40" s="693">
        <f>EP46*EP38</f>
        <v>7.3742963779606239</v>
      </c>
      <c r="EQ40" s="693">
        <f>EQ46*EQ38</f>
        <v>7.532997160843566</v>
      </c>
      <c r="ER40" s="667">
        <f>SUM(EN40:EQ40)</f>
        <v>29.193087170433962</v>
      </c>
      <c r="ES40" s="693">
        <f>ES46*ES38</f>
        <v>7.6951133120812338</v>
      </c>
      <c r="ET40" s="693">
        <f>ET46*ET38</f>
        <v>7.8607183331446748</v>
      </c>
      <c r="EU40" s="693">
        <f>EU46*EU38</f>
        <v>8.0298873073156507</v>
      </c>
      <c r="EV40" s="693">
        <f>EV46*EV38</f>
        <v>8.2026969337284701</v>
      </c>
      <c r="EW40" s="667">
        <f>SUM(ES40:EV40)</f>
        <v>31.78841588627003</v>
      </c>
      <c r="EX40" s="693">
        <f>EX46*EX38</f>
        <v>8.379225562144434</v>
      </c>
      <c r="EY40" s="693">
        <f>EY46*EY38</f>
        <v>8.5595532284746589</v>
      </c>
      <c r="EZ40" s="693">
        <f>EZ46*EZ38</f>
        <v>8.7437616910673697</v>
      </c>
      <c r="FA40" s="693">
        <f>FA46*FA38</f>
        <v>8.9319344677761379</v>
      </c>
      <c r="FB40" s="667">
        <f>SUM(EX40:FA40)</f>
        <v>34.614474949462604</v>
      </c>
      <c r="FC40" s="693">
        <f>FC46*FC38</f>
        <v>9.1241568738258394</v>
      </c>
      <c r="FD40" s="693">
        <f>FD46*FD38</f>
        <v>9.3205160604935404</v>
      </c>
      <c r="FE40" s="693">
        <f>FE46*FE38</f>
        <v>9.5211010546218073</v>
      </c>
      <c r="FF40" s="693">
        <f>FF46*FF38</f>
        <v>9.7260027989823925</v>
      </c>
      <c r="FG40" s="667">
        <f>SUM(FC40:FF40)</f>
        <v>37.69177678792358</v>
      </c>
      <c r="FH40" s="693">
        <f>FH46*FH38</f>
        <v>9.9353141935085567</v>
      </c>
      <c r="FI40" s="693">
        <f>FI46*FI38</f>
        <v>10.149130137414767</v>
      </c>
      <c r="FJ40" s="693">
        <f>FJ46*FJ38</f>
        <v>10.367547572222831</v>
      </c>
      <c r="FK40" s="693">
        <f>FK46*FK38</f>
        <v>10.590665525713996</v>
      </c>
      <c r="FL40" s="667">
        <f>SUM(FH40:FK40)</f>
        <v>41.042657428860153</v>
      </c>
      <c r="FM40" s="261"/>
      <c r="FN40" s="261"/>
      <c r="FO40" s="261"/>
      <c r="FP40" s="261"/>
      <c r="FQ40" s="261"/>
      <c r="FR40" s="261"/>
      <c r="FS40" s="261"/>
      <c r="FT40" s="261"/>
      <c r="FU40" s="261"/>
      <c r="FV40" s="261"/>
      <c r="FW40" s="261"/>
      <c r="FX40" s="261"/>
      <c r="FY40" s="261"/>
      <c r="FZ40" s="261"/>
      <c r="GA40" s="261"/>
      <c r="GB40" s="261"/>
      <c r="GC40" s="261"/>
      <c r="GD40" s="261"/>
      <c r="GE40" s="261"/>
      <c r="GF40" s="261"/>
      <c r="GG40" s="261"/>
      <c r="GH40" s="261"/>
      <c r="GI40" s="261"/>
      <c r="GJ40" s="261"/>
      <c r="GK40" s="261"/>
      <c r="GL40" s="261"/>
      <c r="GM40" s="261"/>
      <c r="GN40" s="261"/>
      <c r="GO40" s="261"/>
      <c r="GP40" s="261"/>
      <c r="GQ40" s="261"/>
      <c r="GR40" s="261"/>
      <c r="GS40" s="261"/>
      <c r="GT40" s="261"/>
      <c r="GU40" s="261"/>
      <c r="GV40" s="261"/>
      <c r="GW40" s="261"/>
      <c r="GX40" s="261"/>
      <c r="GY40" s="261"/>
      <c r="GZ40" s="261"/>
      <c r="HA40" s="261"/>
      <c r="HB40" s="261"/>
      <c r="HC40" s="261"/>
      <c r="HD40" s="261"/>
      <c r="HE40" s="261"/>
      <c r="HF40" s="261"/>
      <c r="HG40" s="261"/>
      <c r="HH40" s="261"/>
      <c r="HI40" s="261"/>
      <c r="HJ40" s="261"/>
      <c r="HK40" s="261"/>
      <c r="HL40" s="261"/>
      <c r="HM40" s="261"/>
      <c r="HN40" s="261"/>
      <c r="HO40" s="261"/>
      <c r="HP40" s="261"/>
      <c r="HQ40" s="261"/>
      <c r="HR40" s="261"/>
      <c r="HS40" s="261"/>
      <c r="HT40" s="261"/>
      <c r="HU40" s="261"/>
      <c r="HV40" s="261"/>
      <c r="HW40" s="261"/>
      <c r="HX40" s="261"/>
      <c r="HY40" s="261"/>
      <c r="HZ40" s="261"/>
      <c r="IA40" s="261"/>
      <c r="IB40" s="261"/>
      <c r="IC40" s="261"/>
      <c r="ID40" s="261"/>
      <c r="IE40" s="261"/>
      <c r="IF40" s="261"/>
      <c r="IG40" s="261"/>
      <c r="IH40" s="261"/>
      <c r="II40" s="261"/>
      <c r="IJ40" s="261"/>
      <c r="IK40" s="261"/>
      <c r="IL40" s="261"/>
      <c r="IM40" s="261"/>
      <c r="IN40" s="261"/>
      <c r="IO40" s="261"/>
      <c r="IP40" s="261"/>
      <c r="IQ40" s="261"/>
      <c r="IR40" s="261"/>
      <c r="IS40" s="261"/>
      <c r="IT40" s="261"/>
      <c r="IU40" s="261"/>
      <c r="IV40" s="261"/>
      <c r="IW40" s="261"/>
      <c r="IX40" s="261"/>
      <c r="IY40" s="261"/>
      <c r="IZ40" s="261"/>
      <c r="JA40" s="261"/>
      <c r="JB40" s="261"/>
      <c r="JC40" s="261"/>
      <c r="JD40" s="261"/>
      <c r="JE40" s="261"/>
      <c r="JF40" s="261"/>
      <c r="JG40" s="261"/>
      <c r="JH40" s="261"/>
      <c r="JI40" s="261"/>
      <c r="JJ40" s="261"/>
      <c r="JK40" s="261"/>
      <c r="JL40" s="261"/>
      <c r="JM40" s="261"/>
      <c r="JN40" s="261"/>
      <c r="JO40" s="261"/>
    </row>
    <row r="41" spans="1:275" s="701" customFormat="1" ht="11.25" customHeight="1">
      <c r="A41" s="689" t="s">
        <v>574</v>
      </c>
      <c r="B41" s="698"/>
      <c r="C41" s="699"/>
      <c r="D41" s="705"/>
      <c r="E41" s="705"/>
      <c r="F41" s="705"/>
      <c r="G41" s="705"/>
      <c r="H41" s="705"/>
      <c r="I41" s="705"/>
      <c r="J41" s="705"/>
      <c r="K41" s="705"/>
      <c r="L41" s="705"/>
      <c r="M41" s="705"/>
      <c r="N41" s="705"/>
      <c r="O41" s="705"/>
      <c r="P41" s="705"/>
      <c r="Q41" s="705"/>
      <c r="R41" s="705"/>
      <c r="S41" s="705"/>
      <c r="T41" s="705"/>
      <c r="U41" s="705"/>
      <c r="V41" s="705"/>
      <c r="W41" s="705"/>
      <c r="X41" s="705"/>
      <c r="Y41" s="705"/>
      <c r="Z41" s="705"/>
      <c r="AA41" s="705"/>
      <c r="AB41" s="705"/>
      <c r="AC41" s="705"/>
      <c r="AD41" s="705"/>
      <c r="AE41" s="705"/>
      <c r="AF41" s="705"/>
      <c r="AG41" s="705"/>
      <c r="AH41" s="705"/>
      <c r="AI41" s="705"/>
      <c r="AJ41" s="705"/>
      <c r="AK41" s="705"/>
      <c r="AL41" s="705"/>
      <c r="AM41" s="705"/>
      <c r="AN41" s="705"/>
      <c r="AO41" s="705"/>
      <c r="AP41" s="705"/>
      <c r="AQ41" s="705"/>
      <c r="AR41" s="705"/>
      <c r="AS41" s="705"/>
      <c r="AT41" s="705"/>
      <c r="AU41" s="705"/>
      <c r="AV41" s="705"/>
      <c r="AW41" s="705"/>
      <c r="AX41" s="705"/>
      <c r="AY41" s="705"/>
      <c r="AZ41" s="705"/>
      <c r="BA41" s="705"/>
      <c r="BB41" s="705"/>
      <c r="BC41" s="705"/>
      <c r="BD41" s="705"/>
      <c r="BE41" s="705"/>
      <c r="BF41" s="705"/>
      <c r="BG41" s="705"/>
      <c r="BH41" s="705"/>
      <c r="BI41" s="705"/>
      <c r="BJ41" s="705"/>
      <c r="BK41" s="705"/>
      <c r="BL41" s="705"/>
      <c r="BM41" s="705"/>
      <c r="BN41" s="705"/>
      <c r="BO41" s="705"/>
      <c r="BP41" s="705"/>
      <c r="BQ41" s="705"/>
      <c r="BR41" s="705"/>
      <c r="BS41" s="705"/>
      <c r="BT41" s="705"/>
      <c r="BU41" s="705"/>
      <c r="BV41" s="705"/>
      <c r="BW41" s="705"/>
      <c r="BX41" s="705"/>
      <c r="BY41" s="705"/>
      <c r="BZ41" s="706"/>
      <c r="CA41" s="692">
        <f>$CE$41/4</f>
        <v>0.3</v>
      </c>
      <c r="CB41" s="692">
        <f>$CE$41/4</f>
        <v>0.3</v>
      </c>
      <c r="CC41" s="692">
        <f>$CE$41/4</f>
        <v>0.3</v>
      </c>
      <c r="CD41" s="692">
        <f>$CE$41/4</f>
        <v>0.3</v>
      </c>
      <c r="CE41" s="669">
        <v>1.2</v>
      </c>
      <c r="CF41" s="692">
        <f>$CJ$41/4</f>
        <v>0.6</v>
      </c>
      <c r="CG41" s="692">
        <f>$CJ$41/4</f>
        <v>0.6</v>
      </c>
      <c r="CH41" s="692">
        <f>$CJ$41/4</f>
        <v>0.6</v>
      </c>
      <c r="CI41" s="692">
        <f>$CJ$41/4</f>
        <v>0.6</v>
      </c>
      <c r="CJ41" s="669">
        <v>2.4</v>
      </c>
      <c r="CK41" s="690">
        <v>0.1</v>
      </c>
      <c r="CL41" s="690">
        <v>1.1000000000000001</v>
      </c>
      <c r="CM41" s="690">
        <v>0.5</v>
      </c>
      <c r="CN41" s="692">
        <f>CO41-CM41-CL41-CK41</f>
        <v>9.999999999999995E-2</v>
      </c>
      <c r="CO41" s="669">
        <v>1.8</v>
      </c>
      <c r="CP41" s="692">
        <f>$CT$41/4</f>
        <v>0.5</v>
      </c>
      <c r="CQ41" s="692">
        <f>$CT$41/4</f>
        <v>0.5</v>
      </c>
      <c r="CR41" s="692">
        <f>$CT$41/4</f>
        <v>0.5</v>
      </c>
      <c r="CS41" s="692">
        <f>$CT$41/4</f>
        <v>0.5</v>
      </c>
      <c r="CT41" s="669">
        <v>2</v>
      </c>
      <c r="CU41" s="692">
        <f>$CY$41/4</f>
        <v>0.5</v>
      </c>
      <c r="CV41" s="692">
        <f>$CY$41/4</f>
        <v>0.5</v>
      </c>
      <c r="CW41" s="692">
        <f>$CY$41/4</f>
        <v>0.5</v>
      </c>
      <c r="CX41" s="692">
        <f>$CY$41/4</f>
        <v>0.5</v>
      </c>
      <c r="CY41" s="669">
        <v>2</v>
      </c>
      <c r="CZ41" s="692">
        <f>CZ47*CZ38</f>
        <v>0.51076040172166426</v>
      </c>
      <c r="DA41" s="692">
        <f>DA47*DA38</f>
        <v>0.52175237593375179</v>
      </c>
      <c r="DB41" s="692">
        <f>DB47*DB38</f>
        <v>0.53298090626231165</v>
      </c>
      <c r="DC41" s="692">
        <f>DC47*DC38</f>
        <v>0.54445108358502992</v>
      </c>
      <c r="DD41" s="671">
        <f>SUM(CZ41:DC41)</f>
        <v>2.1099447675027578</v>
      </c>
      <c r="DE41" s="692">
        <f>DE47*DE38</f>
        <v>0.55616810833937058</v>
      </c>
      <c r="DF41" s="692">
        <f>DF47*DF38</f>
        <v>0.56813729288039005</v>
      </c>
      <c r="DG41" s="692">
        <f>DG47*DG38</f>
        <v>0.58036406388929385</v>
      </c>
      <c r="DH41" s="692">
        <f>DH47*DH38</f>
        <v>0.59285396483382669</v>
      </c>
      <c r="DI41" s="671">
        <f>SUM(DE41:DH41)</f>
        <v>2.2975234299428813</v>
      </c>
      <c r="DJ41" s="692">
        <f>DJ47*DJ38</f>
        <v>0.6056126584816135</v>
      </c>
      <c r="DK41" s="692">
        <f>DK47*DK38</f>
        <v>0.61864592946758812</v>
      </c>
      <c r="DL41" s="692">
        <f>DL47*DL38</f>
        <v>0.63195968691667537</v>
      </c>
      <c r="DM41" s="692">
        <f>DM47*DM38</f>
        <v>0.64555996712291674</v>
      </c>
      <c r="DN41" s="671">
        <f>SUM(DJ41:DM41)</f>
        <v>2.5017782419887937</v>
      </c>
      <c r="DO41" s="692">
        <f>DO47*DO38</f>
        <v>0.65945293628625057</v>
      </c>
      <c r="DP41" s="692">
        <f>DP47*DP38</f>
        <v>0.67364489330819288</v>
      </c>
      <c r="DQ41" s="692">
        <f>DQ47*DQ38</f>
        <v>0.68814227264768058</v>
      </c>
      <c r="DR41" s="692">
        <f>DR47*DR38</f>
        <v>0.70295164723837678</v>
      </c>
      <c r="DS41" s="901">
        <f>SUM(DO41:DR41)</f>
        <v>2.7241917494805006</v>
      </c>
      <c r="DT41" s="692">
        <f>DT47*DT38</f>
        <v>0.71807973146875781</v>
      </c>
      <c r="DU41" s="692">
        <f>DU47*DU38</f>
        <v>0.73353338422633518</v>
      </c>
      <c r="DV41" s="692">
        <f>DV47*DV38</f>
        <v>0.74931961200738983</v>
      </c>
      <c r="DW41" s="692">
        <f>DW47*DW38</f>
        <v>0.76544557209363207</v>
      </c>
      <c r="DX41" s="901">
        <f>SUM(DT41:DW41)</f>
        <v>2.9663782997961152</v>
      </c>
      <c r="DY41" s="692">
        <f>DY47*DY38</f>
        <v>0.78191857579722546</v>
      </c>
      <c r="DZ41" s="692">
        <f>DZ47*DZ38</f>
        <v>0.79874609177564482</v>
      </c>
      <c r="EA41" s="692">
        <f>EA47*EA38</f>
        <v>0.81593574941787528</v>
      </c>
      <c r="EB41" s="692">
        <f>EB47*EB38</f>
        <v>0.83349534230348243</v>
      </c>
      <c r="EC41" s="901">
        <f>SUM(DY41:EB41)</f>
        <v>3.2300957592942283</v>
      </c>
      <c r="ED41" s="692">
        <f>ED47*ED38</f>
        <v>0.85143283173612561</v>
      </c>
      <c r="EE41" s="692">
        <f>EE47*EE38</f>
        <v>0.86975635035311527</v>
      </c>
      <c r="EF41" s="692">
        <f>EF47*EF38</f>
        <v>0.88847420581265157</v>
      </c>
      <c r="EG41" s="692">
        <f>EG47*EG38</f>
        <v>0.90759488456041304</v>
      </c>
      <c r="EH41" s="671">
        <f>SUM(ED41:EG41)</f>
        <v>3.5172582724623052</v>
      </c>
      <c r="EI41" s="692">
        <f>EI47*EI38</f>
        <v>0.92712705567720821</v>
      </c>
      <c r="EJ41" s="692">
        <f>EJ47*EJ38</f>
        <v>0.94707957480942939</v>
      </c>
      <c r="EK41" s="692">
        <f>EK47*EK38</f>
        <v>0.96746148818409428</v>
      </c>
      <c r="EL41" s="692">
        <f>EL47*EL38</f>
        <v>0.98828203671029435</v>
      </c>
      <c r="EM41" s="671">
        <f>SUM(EI41:EL41)</f>
        <v>3.829950155381026</v>
      </c>
      <c r="EN41" s="692">
        <f>EN47*EN38</f>
        <v>1.0095506601689093</v>
      </c>
      <c r="EO41" s="692">
        <f>EO47*EO38</f>
        <v>1.031277001492487</v>
      </c>
      <c r="EP41" s="692">
        <f>EP47*EP38</f>
        <v>1.053470911137232</v>
      </c>
      <c r="EQ41" s="692">
        <f>EQ47*EQ38</f>
        <v>1.0761424515490809</v>
      </c>
      <c r="ER41" s="671">
        <f>SUM(EN41:EQ41)</f>
        <v>4.170441024347709</v>
      </c>
      <c r="ES41" s="692">
        <f>ES47*ES38</f>
        <v>1.0993019017258905</v>
      </c>
      <c r="ET41" s="692">
        <f>ET47*ET38</f>
        <v>1.1229597618778107</v>
      </c>
      <c r="EU41" s="692">
        <f>EU47*EU38</f>
        <v>1.1471267581879501</v>
      </c>
      <c r="EV41" s="692">
        <f>EV47*EV38</f>
        <v>1.1718138476754958</v>
      </c>
      <c r="EW41" s="671">
        <f>SUM(ES41:EV41)</f>
        <v>4.5412022694671474</v>
      </c>
      <c r="EX41" s="692">
        <f>EX47*EX38</f>
        <v>1.1970322231634907</v>
      </c>
      <c r="EY41" s="692">
        <f>EY47*EY38</f>
        <v>1.2227933183535227</v>
      </c>
      <c r="EZ41" s="692">
        <f>EZ47*EZ38</f>
        <v>1.2491088130096244</v>
      </c>
      <c r="FA41" s="692">
        <f>FA47*FA38</f>
        <v>1.275990638253734</v>
      </c>
      <c r="FB41" s="671">
        <f>SUM(EX41:FA41)</f>
        <v>4.944924992780372</v>
      </c>
      <c r="FC41" s="692">
        <f>FC47*FC38</f>
        <v>1.3034509819751201</v>
      </c>
      <c r="FD41" s="692">
        <f>FD47*FD38</f>
        <v>1.33150229435622</v>
      </c>
      <c r="FE41" s="692">
        <f>FE47*FE38</f>
        <v>1.3601572935174011</v>
      </c>
      <c r="FF41" s="692">
        <f>FF47*FF38</f>
        <v>1.3894289712831989</v>
      </c>
      <c r="FG41" s="671">
        <f>SUM(FC41:FF41)</f>
        <v>5.3845395411319403</v>
      </c>
      <c r="FH41" s="692">
        <f>FH47*FH38</f>
        <v>1.419330599072651</v>
      </c>
      <c r="FI41" s="692">
        <f>FI47*FI38</f>
        <v>1.4498757339163952</v>
      </c>
      <c r="FJ41" s="692">
        <f>FJ47*FJ38</f>
        <v>1.4810782246032617</v>
      </c>
      <c r="FK41" s="692">
        <f>FK47*FK38</f>
        <v>1.5129522179591424</v>
      </c>
      <c r="FL41" s="671">
        <f>SUM(FH41:FK41)</f>
        <v>5.8632367755514503</v>
      </c>
      <c r="FM41" s="261"/>
      <c r="FN41" s="261"/>
      <c r="FO41" s="261"/>
      <c r="FP41" s="261"/>
      <c r="FQ41" s="261"/>
      <c r="FR41" s="261"/>
      <c r="FS41" s="261"/>
      <c r="FT41" s="261"/>
      <c r="FU41" s="261"/>
      <c r="FV41" s="261"/>
      <c r="FW41" s="261"/>
      <c r="FX41" s="261"/>
      <c r="FY41" s="261"/>
      <c r="FZ41" s="261"/>
      <c r="GA41" s="261"/>
      <c r="GB41" s="261"/>
      <c r="GC41" s="261"/>
      <c r="GD41" s="261"/>
      <c r="GE41" s="261"/>
      <c r="GF41" s="261"/>
      <c r="GG41" s="261"/>
      <c r="GH41" s="261"/>
      <c r="GI41" s="261"/>
      <c r="GJ41" s="261"/>
      <c r="GK41" s="261"/>
      <c r="GL41" s="261"/>
      <c r="GM41" s="261"/>
      <c r="GN41" s="261"/>
      <c r="GO41" s="261"/>
      <c r="GP41" s="261"/>
      <c r="GQ41" s="261"/>
      <c r="GR41" s="261"/>
      <c r="GS41" s="261"/>
      <c r="GT41" s="261"/>
      <c r="GU41" s="261"/>
      <c r="GV41" s="261"/>
      <c r="GW41" s="261"/>
      <c r="GX41" s="261"/>
      <c r="GY41" s="261"/>
      <c r="GZ41" s="261"/>
      <c r="HA41" s="261"/>
      <c r="HB41" s="261"/>
      <c r="HC41" s="261"/>
      <c r="HD41" s="261"/>
      <c r="HE41" s="261"/>
      <c r="HF41" s="261"/>
      <c r="HG41" s="261"/>
      <c r="HH41" s="261"/>
      <c r="HI41" s="261"/>
      <c r="HJ41" s="261"/>
      <c r="HK41" s="261"/>
      <c r="HL41" s="261"/>
      <c r="HM41" s="261"/>
      <c r="HN41" s="261"/>
      <c r="HO41" s="261"/>
      <c r="HP41" s="261"/>
      <c r="HQ41" s="261"/>
      <c r="HR41" s="261"/>
      <c r="HS41" s="261"/>
      <c r="HT41" s="261"/>
      <c r="HU41" s="261"/>
      <c r="HV41" s="261"/>
      <c r="HW41" s="261"/>
      <c r="HX41" s="261"/>
      <c r="HY41" s="261"/>
      <c r="HZ41" s="261"/>
      <c r="IA41" s="261"/>
      <c r="IB41" s="261"/>
      <c r="IC41" s="261"/>
      <c r="ID41" s="261"/>
      <c r="IE41" s="261"/>
      <c r="IF41" s="261"/>
      <c r="IG41" s="261"/>
      <c r="IH41" s="261"/>
      <c r="II41" s="261"/>
      <c r="IJ41" s="261"/>
      <c r="IK41" s="261"/>
      <c r="IL41" s="261"/>
      <c r="IM41" s="261"/>
      <c r="IN41" s="261"/>
      <c r="IO41" s="261"/>
      <c r="IP41" s="261"/>
      <c r="IQ41" s="261"/>
      <c r="IR41" s="261"/>
      <c r="IS41" s="261"/>
      <c r="IT41" s="261"/>
      <c r="IU41" s="261"/>
      <c r="IV41" s="261"/>
      <c r="IW41" s="261"/>
      <c r="IX41" s="261"/>
      <c r="IY41" s="261"/>
      <c r="IZ41" s="261"/>
      <c r="JA41" s="261"/>
      <c r="JB41" s="261"/>
      <c r="JC41" s="261"/>
      <c r="JD41" s="261"/>
      <c r="JE41" s="261"/>
      <c r="JF41" s="261"/>
      <c r="JG41" s="261"/>
      <c r="JH41" s="261"/>
      <c r="JI41" s="261"/>
      <c r="JJ41" s="261"/>
      <c r="JK41" s="261"/>
      <c r="JL41" s="261"/>
      <c r="JM41" s="261"/>
      <c r="JN41" s="261"/>
      <c r="JO41" s="261"/>
    </row>
    <row r="42" spans="1:275" s="701" customFormat="1" ht="11.25" customHeight="1">
      <c r="A42" s="643" t="s">
        <v>562</v>
      </c>
      <c r="B42" s="698"/>
      <c r="C42" s="699"/>
      <c r="D42" s="699"/>
      <c r="E42" s="699"/>
      <c r="F42" s="699"/>
      <c r="G42" s="699"/>
      <c r="H42" s="699"/>
      <c r="I42" s="699"/>
      <c r="J42" s="699"/>
      <c r="K42" s="699"/>
      <c r="L42" s="699"/>
      <c r="M42" s="699"/>
      <c r="N42" s="699"/>
      <c r="O42" s="699"/>
      <c r="P42" s="699"/>
      <c r="Q42" s="699"/>
      <c r="R42" s="699"/>
      <c r="S42" s="699"/>
      <c r="T42" s="699"/>
      <c r="U42" s="699"/>
      <c r="V42" s="699"/>
      <c r="W42" s="699"/>
      <c r="X42" s="699"/>
      <c r="Y42" s="699"/>
      <c r="Z42" s="699"/>
      <c r="AA42" s="699"/>
      <c r="AB42" s="699"/>
      <c r="AC42" s="699"/>
      <c r="AD42" s="699"/>
      <c r="AE42" s="699"/>
      <c r="AF42" s="699"/>
      <c r="AG42" s="699"/>
      <c r="AH42" s="699"/>
      <c r="AI42" s="699"/>
      <c r="AJ42" s="699"/>
      <c r="AK42" s="699"/>
      <c r="AL42" s="699"/>
      <c r="AM42" s="699"/>
      <c r="AN42" s="699"/>
      <c r="AO42" s="699"/>
      <c r="AP42" s="699"/>
      <c r="AQ42" s="699"/>
      <c r="AR42" s="699"/>
      <c r="AS42" s="699"/>
      <c r="AT42" s="699"/>
      <c r="AU42" s="699"/>
      <c r="AV42" s="699"/>
      <c r="AW42" s="699"/>
      <c r="AX42" s="699"/>
      <c r="AY42" s="699"/>
      <c r="AZ42" s="699"/>
      <c r="BA42" s="699"/>
      <c r="BB42" s="699"/>
      <c r="BC42" s="699"/>
      <c r="BD42" s="699"/>
      <c r="BE42" s="699"/>
      <c r="BF42" s="699"/>
      <c r="BG42" s="699"/>
      <c r="BH42" s="699"/>
      <c r="BI42" s="699"/>
      <c r="BJ42" s="699"/>
      <c r="BK42" s="699"/>
      <c r="BL42" s="699"/>
      <c r="BM42" s="699"/>
      <c r="BN42" s="699"/>
      <c r="BO42" s="699"/>
      <c r="BP42" s="699"/>
      <c r="BQ42" s="699"/>
      <c r="BR42" s="699"/>
      <c r="BS42" s="699"/>
      <c r="BT42" s="699"/>
      <c r="BU42" s="699"/>
      <c r="BV42" s="699"/>
      <c r="BW42" s="699"/>
      <c r="BX42" s="699"/>
      <c r="BY42" s="699"/>
      <c r="BZ42" s="700"/>
      <c r="CA42" s="693">
        <f>CA38+CA39-CA40-CA41</f>
        <v>7.625</v>
      </c>
      <c r="CB42" s="693">
        <f>CB38+CB39-CB40-CB41</f>
        <v>15.25</v>
      </c>
      <c r="CC42" s="693">
        <f>CC38+CC39-CC40-CC41</f>
        <v>22.875</v>
      </c>
      <c r="CD42" s="693">
        <f>CD38+CD39-CD40-CD41</f>
        <v>30.5</v>
      </c>
      <c r="CE42" s="664">
        <f>CE38+CE39-CE40-CE41</f>
        <v>30.5</v>
      </c>
      <c r="CF42" s="693">
        <f t="shared" ref="CF42:CY42" si="38">CF38+CF39-CF40-CF41</f>
        <v>31.699999999999996</v>
      </c>
      <c r="CG42" s="693">
        <f t="shared" si="38"/>
        <v>32.899999999999991</v>
      </c>
      <c r="CH42" s="693">
        <f t="shared" si="38"/>
        <v>34.099999999999987</v>
      </c>
      <c r="CI42" s="693">
        <f t="shared" si="38"/>
        <v>35.299999999999983</v>
      </c>
      <c r="CJ42" s="664">
        <f t="shared" si="38"/>
        <v>35.300000000000004</v>
      </c>
      <c r="CK42" s="693">
        <f t="shared" si="38"/>
        <v>36.799999999999983</v>
      </c>
      <c r="CL42" s="693">
        <f t="shared" si="38"/>
        <v>36.199999999999982</v>
      </c>
      <c r="CM42" s="704">
        <f t="shared" si="38"/>
        <v>36.399999999999984</v>
      </c>
      <c r="CN42" s="693">
        <f t="shared" si="38"/>
        <v>36.59999999999998</v>
      </c>
      <c r="CO42" s="664">
        <f t="shared" si="38"/>
        <v>36.600000000000009</v>
      </c>
      <c r="CP42" s="693">
        <f t="shared" si="38"/>
        <v>35.59999999999998</v>
      </c>
      <c r="CQ42" s="693">
        <f t="shared" si="38"/>
        <v>34.59999999999998</v>
      </c>
      <c r="CR42" s="693">
        <f t="shared" si="38"/>
        <v>33.59999999999998</v>
      </c>
      <c r="CS42" s="693">
        <f t="shared" si="38"/>
        <v>32.59999999999998</v>
      </c>
      <c r="CT42" s="664">
        <f t="shared" si="38"/>
        <v>32.600000000000009</v>
      </c>
      <c r="CU42" s="693">
        <f t="shared" si="38"/>
        <v>33.34999999999998</v>
      </c>
      <c r="CV42" s="693">
        <f t="shared" si="38"/>
        <v>34.09999999999998</v>
      </c>
      <c r="CW42" s="693">
        <f t="shared" si="38"/>
        <v>34.84999999999998</v>
      </c>
      <c r="CX42" s="693">
        <f t="shared" si="38"/>
        <v>35.59999999999998</v>
      </c>
      <c r="CY42" s="664">
        <f t="shared" si="38"/>
        <v>35.600000000000009</v>
      </c>
      <c r="CZ42" s="693">
        <f t="shared" ref="CZ42:DM42" si="39">CZ38+CZ39-CZ40-CZ41</f>
        <v>36.366140602582476</v>
      </c>
      <c r="DA42" s="693">
        <f t="shared" si="39"/>
        <v>37.148769166483099</v>
      </c>
      <c r="DB42" s="693">
        <f t="shared" si="39"/>
        <v>37.948240525876564</v>
      </c>
      <c r="DC42" s="693">
        <f t="shared" si="39"/>
        <v>38.76491715125411</v>
      </c>
      <c r="DD42" s="664">
        <f t="shared" si="39"/>
        <v>38.764917151254146</v>
      </c>
      <c r="DE42" s="693">
        <f t="shared" si="39"/>
        <v>39.599169313763163</v>
      </c>
      <c r="DF42" s="693">
        <f t="shared" si="39"/>
        <v>40.451375253083754</v>
      </c>
      <c r="DG42" s="693">
        <f t="shared" si="39"/>
        <v>41.321921348917698</v>
      </c>
      <c r="DH42" s="693">
        <f t="shared" si="39"/>
        <v>42.211202296168437</v>
      </c>
      <c r="DI42" s="664">
        <f t="shared" si="39"/>
        <v>42.211202296168466</v>
      </c>
      <c r="DJ42" s="693">
        <f t="shared" ref="DJ42:DU42" si="40">DJ38+DJ39-DJ40-DJ41</f>
        <v>43.119621283890865</v>
      </c>
      <c r="DK42" s="693">
        <f t="shared" si="39"/>
        <v>44.04759017809225</v>
      </c>
      <c r="DL42" s="693">
        <f t="shared" si="40"/>
        <v>44.995529708467267</v>
      </c>
      <c r="DM42" s="693">
        <f t="shared" si="39"/>
        <v>45.963869659151641</v>
      </c>
      <c r="DN42" s="664">
        <f t="shared" si="40"/>
        <v>45.963869659151648</v>
      </c>
      <c r="DO42" s="693">
        <f t="shared" si="40"/>
        <v>46.95304906358102</v>
      </c>
      <c r="DP42" s="693">
        <f t="shared" si="40"/>
        <v>47.963516403543309</v>
      </c>
      <c r="DQ42" s="693">
        <f t="shared" si="40"/>
        <v>48.995729812514831</v>
      </c>
      <c r="DR42" s="693">
        <f t="shared" si="40"/>
        <v>50.050157283372393</v>
      </c>
      <c r="DS42" s="664">
        <f t="shared" si="40"/>
        <v>50.050157283372407</v>
      </c>
      <c r="DT42" s="693">
        <f t="shared" si="40"/>
        <v>51.127276880575529</v>
      </c>
      <c r="DU42" s="693">
        <f t="shared" si="40"/>
        <v>52.227576956915037</v>
      </c>
      <c r="DV42" s="693">
        <f t="shared" ref="DV42:EA42" si="41">DV38+DV39-DV40-DV41</f>
        <v>53.351556374926126</v>
      </c>
      <c r="DW42" s="693">
        <f t="shared" si="41"/>
        <v>54.499724733066579</v>
      </c>
      <c r="DX42" s="664">
        <f t="shared" si="41"/>
        <v>54.499724733066579</v>
      </c>
      <c r="DY42" s="693">
        <f t="shared" si="41"/>
        <v>55.67260259676241</v>
      </c>
      <c r="DZ42" s="693">
        <f t="shared" si="41"/>
        <v>56.870721734425871</v>
      </c>
      <c r="EA42" s="693">
        <f t="shared" si="41"/>
        <v>58.09462535855269</v>
      </c>
      <c r="EB42" s="693">
        <f>EB38+EB39-EB40-EB41</f>
        <v>59.344868372007916</v>
      </c>
      <c r="EC42" s="664">
        <f>EC38+EC39-EC40-EC41</f>
        <v>59.344868372007923</v>
      </c>
      <c r="ED42" s="693">
        <f t="shared" ref="ED42:EN42" si="42">ED38+ED39-ED40-ED41</f>
        <v>60.622017619612102</v>
      </c>
      <c r="EE42" s="693">
        <f t="shared" si="42"/>
        <v>61.92665214514178</v>
      </c>
      <c r="EF42" s="693">
        <f>EF38+EF39-EF40-EF41</f>
        <v>63.25936345386075</v>
      </c>
      <c r="EG42" s="693">
        <f t="shared" si="42"/>
        <v>64.620755780701373</v>
      </c>
      <c r="EH42" s="664">
        <f t="shared" si="42"/>
        <v>64.620755780701387</v>
      </c>
      <c r="EI42" s="693">
        <f>EI38+EI39-EI40-EI41</f>
        <v>66.011446364217193</v>
      </c>
      <c r="EJ42" s="693">
        <f>EJ38+EJ39-EJ40-EJ41</f>
        <v>67.432065726431333</v>
      </c>
      <c r="EK42" s="693">
        <f t="shared" si="42"/>
        <v>68.883257958707475</v>
      </c>
      <c r="EL42" s="693">
        <f t="shared" si="42"/>
        <v>70.365681013772928</v>
      </c>
      <c r="EM42" s="664">
        <f t="shared" si="42"/>
        <v>70.365681013772928</v>
      </c>
      <c r="EN42" s="693">
        <f t="shared" si="42"/>
        <v>71.880007004026297</v>
      </c>
      <c r="EO42" s="693">
        <f>EO38+EO39-EO40-EO41</f>
        <v>73.426922506265029</v>
      </c>
      <c r="EP42" s="693">
        <f t="shared" ref="EP42:EQ42" si="43">EP38+EP39-EP40-EP41</f>
        <v>75.007128872970895</v>
      </c>
      <c r="EQ42" s="693">
        <f t="shared" si="43"/>
        <v>76.621342550294528</v>
      </c>
      <c r="ER42" s="664">
        <f t="shared" ref="ER42:EW42" si="44">ER38+ER39-ER40-ER41</f>
        <v>76.6213425502945</v>
      </c>
      <c r="ES42" s="693">
        <f t="shared" si="44"/>
        <v>78.270295402883363</v>
      </c>
      <c r="ET42" s="693">
        <f>ET38+ET39-ET40-ET41</f>
        <v>79.954735045700076</v>
      </c>
      <c r="EU42" s="693">
        <f t="shared" ref="EU42" si="45">EU38+EU39-EU40-EU41</f>
        <v>81.675425182982011</v>
      </c>
      <c r="EV42" s="693">
        <f t="shared" si="44"/>
        <v>83.433145954495245</v>
      </c>
      <c r="EW42" s="664">
        <f t="shared" si="44"/>
        <v>83.433145954495231</v>
      </c>
      <c r="EX42" s="693">
        <f t="shared" ref="EX42:FG42" si="46">EX38+EX39-EX40-EX41</f>
        <v>85.22869428924048</v>
      </c>
      <c r="EY42" s="693">
        <f t="shared" si="46"/>
        <v>87.062884266770766</v>
      </c>
      <c r="EZ42" s="693">
        <f t="shared" si="46"/>
        <v>88.936547486285207</v>
      </c>
      <c r="FA42" s="693">
        <f t="shared" si="46"/>
        <v>90.85053344366581</v>
      </c>
      <c r="FB42" s="664">
        <f t="shared" si="46"/>
        <v>90.850533443665768</v>
      </c>
      <c r="FC42" s="693">
        <f t="shared" si="46"/>
        <v>92.805709916628487</v>
      </c>
      <c r="FD42" s="693">
        <f t="shared" si="46"/>
        <v>94.802963358162799</v>
      </c>
      <c r="FE42" s="693">
        <f t="shared" si="46"/>
        <v>96.843199298438904</v>
      </c>
      <c r="FF42" s="693">
        <f t="shared" si="46"/>
        <v>98.927342755363711</v>
      </c>
      <c r="FG42" s="664">
        <f t="shared" si="46"/>
        <v>98.927342755363668</v>
      </c>
      <c r="FH42" s="693">
        <f t="shared" ref="FH42:FL42" si="47">FH38+FH39-FH40-FH41</f>
        <v>101.05633865397269</v>
      </c>
      <c r="FI42" s="693">
        <f t="shared" si="47"/>
        <v>103.23115225484727</v>
      </c>
      <c r="FJ42" s="693">
        <f t="shared" si="47"/>
        <v>105.45276959175216</v>
      </c>
      <c r="FK42" s="693">
        <f t="shared" si="47"/>
        <v>107.72219791869087</v>
      </c>
      <c r="FL42" s="664">
        <f t="shared" si="47"/>
        <v>107.72219791869084</v>
      </c>
      <c r="FM42" s="261"/>
      <c r="FN42" s="261"/>
      <c r="FO42" s="261"/>
      <c r="FP42" s="261"/>
      <c r="FQ42" s="261"/>
      <c r="FR42" s="261"/>
      <c r="FS42" s="261"/>
      <c r="FT42" s="261"/>
      <c r="FU42" s="261"/>
      <c r="FV42" s="261"/>
      <c r="FW42" s="261"/>
      <c r="FX42" s="261"/>
      <c r="FY42" s="261"/>
      <c r="FZ42" s="261"/>
      <c r="GA42" s="261"/>
      <c r="GB42" s="261"/>
      <c r="GC42" s="261"/>
      <c r="GD42" s="261"/>
      <c r="GE42" s="261"/>
      <c r="GF42" s="261"/>
      <c r="GG42" s="261"/>
      <c r="GH42" s="261"/>
      <c r="GI42" s="261"/>
      <c r="GJ42" s="261"/>
      <c r="GK42" s="261"/>
      <c r="GL42" s="261"/>
      <c r="GM42" s="261"/>
      <c r="GN42" s="261"/>
      <c r="GO42" s="261"/>
      <c r="GP42" s="261"/>
      <c r="GQ42" s="261"/>
      <c r="GR42" s="261"/>
      <c r="GS42" s="261"/>
      <c r="GT42" s="261"/>
      <c r="GU42" s="261"/>
      <c r="GV42" s="261"/>
      <c r="GW42" s="261"/>
      <c r="GX42" s="261"/>
      <c r="GY42" s="261"/>
      <c r="GZ42" s="261"/>
      <c r="HA42" s="261"/>
      <c r="HB42" s="261"/>
      <c r="HC42" s="261"/>
      <c r="HD42" s="261"/>
      <c r="HE42" s="261"/>
      <c r="HF42" s="261"/>
      <c r="HG42" s="261"/>
      <c r="HH42" s="261"/>
      <c r="HI42" s="261"/>
      <c r="HJ42" s="261"/>
      <c r="HK42" s="261"/>
      <c r="HL42" s="261"/>
      <c r="HM42" s="261"/>
      <c r="HN42" s="261"/>
      <c r="HO42" s="261"/>
      <c r="HP42" s="261"/>
      <c r="HQ42" s="261"/>
      <c r="HR42" s="261"/>
      <c r="HS42" s="261"/>
      <c r="HT42" s="261"/>
      <c r="HU42" s="261"/>
      <c r="HV42" s="261"/>
      <c r="HW42" s="261"/>
      <c r="HX42" s="261"/>
      <c r="HY42" s="261"/>
      <c r="HZ42" s="261"/>
      <c r="IA42" s="261"/>
      <c r="IB42" s="261"/>
      <c r="IC42" s="261"/>
      <c r="ID42" s="261"/>
      <c r="IE42" s="261"/>
      <c r="IF42" s="261"/>
      <c r="IG42" s="261"/>
      <c r="IH42" s="261"/>
      <c r="II42" s="261"/>
      <c r="IJ42" s="261"/>
      <c r="IK42" s="261"/>
      <c r="IL42" s="261"/>
      <c r="IM42" s="261"/>
      <c r="IN42" s="261"/>
      <c r="IO42" s="261"/>
      <c r="IP42" s="261"/>
      <c r="IQ42" s="261"/>
      <c r="IR42" s="261"/>
      <c r="IS42" s="261"/>
      <c r="IT42" s="261"/>
      <c r="IU42" s="261"/>
      <c r="IV42" s="261"/>
      <c r="IW42" s="261"/>
      <c r="IX42" s="261"/>
      <c r="IY42" s="261"/>
      <c r="IZ42" s="261"/>
      <c r="JA42" s="261"/>
      <c r="JB42" s="261"/>
      <c r="JC42" s="261"/>
      <c r="JD42" s="261"/>
      <c r="JE42" s="261"/>
      <c r="JF42" s="261"/>
      <c r="JG42" s="261"/>
      <c r="JH42" s="261"/>
      <c r="JI42" s="261"/>
      <c r="JJ42" s="261"/>
      <c r="JK42" s="261"/>
      <c r="JL42" s="261"/>
      <c r="JM42" s="261"/>
      <c r="JN42" s="261"/>
      <c r="JO42" s="261"/>
    </row>
    <row r="43" spans="1:275" s="701" customFormat="1" ht="11.25" customHeight="1">
      <c r="A43" s="694"/>
      <c r="B43" s="698"/>
      <c r="C43" s="699"/>
      <c r="D43" s="699"/>
      <c r="E43" s="699"/>
      <c r="F43" s="699"/>
      <c r="G43" s="699"/>
      <c r="H43" s="699"/>
      <c r="I43" s="699"/>
      <c r="J43" s="699"/>
      <c r="K43" s="699"/>
      <c r="L43" s="699"/>
      <c r="M43" s="699"/>
      <c r="N43" s="699"/>
      <c r="O43" s="699"/>
      <c r="P43" s="699"/>
      <c r="Q43" s="699"/>
      <c r="R43" s="699"/>
      <c r="S43" s="699"/>
      <c r="T43" s="699"/>
      <c r="U43" s="699"/>
      <c r="V43" s="699"/>
      <c r="W43" s="699"/>
      <c r="X43" s="699"/>
      <c r="Y43" s="699"/>
      <c r="Z43" s="699"/>
      <c r="AA43" s="699"/>
      <c r="AB43" s="699"/>
      <c r="AC43" s="699"/>
      <c r="AD43" s="699"/>
      <c r="AE43" s="699"/>
      <c r="AF43" s="699"/>
      <c r="AG43" s="699"/>
      <c r="AH43" s="699"/>
      <c r="AI43" s="699"/>
      <c r="AJ43" s="699"/>
      <c r="AK43" s="699"/>
      <c r="AL43" s="699"/>
      <c r="AM43" s="699"/>
      <c r="AN43" s="699"/>
      <c r="AO43" s="699"/>
      <c r="AP43" s="699"/>
      <c r="AQ43" s="699"/>
      <c r="AR43" s="699"/>
      <c r="AS43" s="699"/>
      <c r="AT43" s="699"/>
      <c r="AU43" s="699"/>
      <c r="AV43" s="699"/>
      <c r="AW43" s="699"/>
      <c r="AX43" s="699"/>
      <c r="AY43" s="699"/>
      <c r="AZ43" s="699"/>
      <c r="BA43" s="699"/>
      <c r="BB43" s="699"/>
      <c r="BC43" s="699"/>
      <c r="BD43" s="699"/>
      <c r="BE43" s="699"/>
      <c r="BF43" s="699"/>
      <c r="BG43" s="699"/>
      <c r="BH43" s="699"/>
      <c r="BI43" s="699"/>
      <c r="BJ43" s="699"/>
      <c r="BK43" s="699"/>
      <c r="BL43" s="699"/>
      <c r="BM43" s="699"/>
      <c r="BN43" s="699"/>
      <c r="BO43" s="699"/>
      <c r="BP43" s="699"/>
      <c r="BQ43" s="699"/>
      <c r="BR43" s="699"/>
      <c r="BS43" s="699"/>
      <c r="BT43" s="699"/>
      <c r="BU43" s="699"/>
      <c r="BV43" s="699"/>
      <c r="BW43" s="699"/>
      <c r="BX43" s="699"/>
      <c r="BY43" s="699"/>
      <c r="BZ43" s="700"/>
      <c r="CA43" s="707"/>
      <c r="CB43" s="707"/>
      <c r="CC43" s="707"/>
      <c r="CD43" s="707"/>
      <c r="CE43" s="702"/>
      <c r="CF43" s="707"/>
      <c r="CG43" s="707"/>
      <c r="CH43" s="707"/>
      <c r="CI43" s="707"/>
      <c r="CJ43" s="702"/>
      <c r="CK43" s="707"/>
      <c r="CL43" s="707"/>
      <c r="CM43" s="707"/>
      <c r="CN43" s="707"/>
      <c r="CO43" s="702"/>
      <c r="CP43" s="707"/>
      <c r="CQ43" s="707"/>
      <c r="CR43" s="707"/>
      <c r="CS43" s="707"/>
      <c r="CT43" s="702"/>
      <c r="CU43" s="707"/>
      <c r="CV43" s="707"/>
      <c r="CW43" s="707"/>
      <c r="CX43" s="707"/>
      <c r="CY43" s="702"/>
      <c r="CZ43" s="707"/>
      <c r="DA43" s="707"/>
      <c r="DB43" s="707"/>
      <c r="DC43" s="707"/>
      <c r="DD43" s="708"/>
      <c r="DE43" s="707"/>
      <c r="DF43" s="707"/>
      <c r="DG43" s="707"/>
      <c r="DH43" s="707"/>
      <c r="DI43" s="708"/>
      <c r="DJ43" s="707"/>
      <c r="DK43" s="707"/>
      <c r="DL43" s="707"/>
      <c r="DM43" s="707"/>
      <c r="DN43" s="708"/>
      <c r="DO43" s="707"/>
      <c r="DP43" s="707"/>
      <c r="DQ43" s="707"/>
      <c r="DR43" s="707"/>
      <c r="DS43" s="902"/>
      <c r="DT43" s="707"/>
      <c r="DU43" s="707"/>
      <c r="DV43" s="707"/>
      <c r="DW43" s="707"/>
      <c r="DX43" s="902"/>
      <c r="DY43" s="707"/>
      <c r="DZ43" s="707"/>
      <c r="EA43" s="707"/>
      <c r="EB43" s="707"/>
      <c r="EC43" s="902"/>
      <c r="ED43" s="707"/>
      <c r="EE43" s="707"/>
      <c r="EF43" s="707"/>
      <c r="EG43" s="707"/>
      <c r="EH43" s="708"/>
      <c r="EI43" s="707"/>
      <c r="EJ43" s="707"/>
      <c r="EK43" s="707"/>
      <c r="EL43" s="707"/>
      <c r="EM43" s="708"/>
      <c r="EN43" s="707"/>
      <c r="EO43" s="707"/>
      <c r="EP43" s="707"/>
      <c r="EQ43" s="707"/>
      <c r="ER43" s="708"/>
      <c r="ES43" s="707"/>
      <c r="ET43" s="707"/>
      <c r="EU43" s="707"/>
      <c r="EV43" s="707"/>
      <c r="EW43" s="708"/>
      <c r="EX43" s="707"/>
      <c r="EY43" s="707"/>
      <c r="EZ43" s="707"/>
      <c r="FA43" s="707"/>
      <c r="FB43" s="708"/>
      <c r="FC43" s="707"/>
      <c r="FD43" s="707"/>
      <c r="FE43" s="707"/>
      <c r="FF43" s="707"/>
      <c r="FG43" s="708"/>
      <c r="FH43" s="707"/>
      <c r="FI43" s="707"/>
      <c r="FJ43" s="707"/>
      <c r="FK43" s="707"/>
      <c r="FL43" s="708"/>
      <c r="FM43" s="261"/>
      <c r="FN43" s="261"/>
      <c r="FO43" s="261"/>
      <c r="FP43" s="261"/>
      <c r="FQ43" s="261"/>
      <c r="FR43" s="261"/>
      <c r="FS43" s="261"/>
      <c r="FT43" s="261"/>
      <c r="FU43" s="261"/>
      <c r="FV43" s="261"/>
      <c r="FW43" s="261"/>
      <c r="FX43" s="261"/>
      <c r="FY43" s="261"/>
      <c r="FZ43" s="261"/>
      <c r="GA43" s="261"/>
      <c r="GB43" s="261"/>
      <c r="GC43" s="261"/>
      <c r="GD43" s="261"/>
      <c r="GE43" s="261"/>
      <c r="GF43" s="261"/>
      <c r="GG43" s="261"/>
      <c r="GH43" s="261"/>
      <c r="GI43" s="261"/>
      <c r="GJ43" s="261"/>
      <c r="GK43" s="261"/>
      <c r="GL43" s="261"/>
      <c r="GM43" s="261"/>
      <c r="GN43" s="261"/>
      <c r="GO43" s="261"/>
      <c r="GP43" s="261"/>
      <c r="GQ43" s="261"/>
      <c r="GR43" s="261"/>
      <c r="GS43" s="261"/>
      <c r="GT43" s="261"/>
      <c r="GU43" s="261"/>
      <c r="GV43" s="261"/>
      <c r="GW43" s="261"/>
      <c r="GX43" s="261"/>
      <c r="GY43" s="261"/>
      <c r="GZ43" s="261"/>
      <c r="HA43" s="261"/>
      <c r="HB43" s="261"/>
      <c r="HC43" s="261"/>
      <c r="HD43" s="261"/>
      <c r="HE43" s="261"/>
      <c r="HF43" s="261"/>
      <c r="HG43" s="261"/>
      <c r="HH43" s="261"/>
      <c r="HI43" s="261"/>
      <c r="HJ43" s="261"/>
      <c r="HK43" s="261"/>
      <c r="HL43" s="261"/>
      <c r="HM43" s="261"/>
      <c r="HN43" s="261"/>
      <c r="HO43" s="261"/>
      <c r="HP43" s="261"/>
      <c r="HQ43" s="261"/>
      <c r="HR43" s="261"/>
      <c r="HS43" s="261"/>
      <c r="HT43" s="261"/>
      <c r="HU43" s="261"/>
      <c r="HV43" s="261"/>
      <c r="HW43" s="261"/>
      <c r="HX43" s="261"/>
      <c r="HY43" s="261"/>
      <c r="HZ43" s="261"/>
      <c r="IA43" s="261"/>
      <c r="IB43" s="261"/>
      <c r="IC43" s="261"/>
      <c r="ID43" s="261"/>
      <c r="IE43" s="261"/>
      <c r="IF43" s="261"/>
      <c r="IG43" s="261"/>
      <c r="IH43" s="261"/>
      <c r="II43" s="261"/>
      <c r="IJ43" s="261"/>
      <c r="IK43" s="261"/>
      <c r="IL43" s="261"/>
      <c r="IM43" s="261"/>
      <c r="IN43" s="261"/>
      <c r="IO43" s="261"/>
      <c r="IP43" s="261"/>
      <c r="IQ43" s="261"/>
      <c r="IR43" s="261"/>
      <c r="IS43" s="261"/>
      <c r="IT43" s="261"/>
      <c r="IU43" s="261"/>
      <c r="IV43" s="261"/>
      <c r="IW43" s="261"/>
      <c r="IX43" s="261"/>
      <c r="IY43" s="261"/>
      <c r="IZ43" s="261"/>
      <c r="JA43" s="261"/>
      <c r="JB43" s="261"/>
      <c r="JC43" s="261"/>
      <c r="JD43" s="261"/>
      <c r="JE43" s="261"/>
      <c r="JF43" s="261"/>
      <c r="JG43" s="261"/>
      <c r="JH43" s="261"/>
      <c r="JI43" s="261"/>
      <c r="JJ43" s="261"/>
      <c r="JK43" s="261"/>
      <c r="JL43" s="261"/>
      <c r="JM43" s="261"/>
      <c r="JN43" s="261"/>
      <c r="JO43" s="261"/>
    </row>
    <row r="44" spans="1:275" s="701" customFormat="1" ht="11.25" customHeight="1">
      <c r="A44" s="696" t="s">
        <v>575</v>
      </c>
      <c r="B44" s="698"/>
      <c r="C44" s="699"/>
      <c r="D44" s="699"/>
      <c r="E44" s="699"/>
      <c r="F44" s="699"/>
      <c r="G44" s="699"/>
      <c r="H44" s="699"/>
      <c r="I44" s="699"/>
      <c r="J44" s="699"/>
      <c r="K44" s="699"/>
      <c r="L44" s="699"/>
      <c r="M44" s="699"/>
      <c r="N44" s="699"/>
      <c r="O44" s="699"/>
      <c r="P44" s="699"/>
      <c r="Q44" s="699"/>
      <c r="R44" s="699"/>
      <c r="S44" s="699"/>
      <c r="T44" s="699"/>
      <c r="U44" s="699"/>
      <c r="V44" s="699"/>
      <c r="W44" s="699"/>
      <c r="X44" s="699"/>
      <c r="Y44" s="699"/>
      <c r="Z44" s="699"/>
      <c r="AA44" s="699"/>
      <c r="AB44" s="699"/>
      <c r="AC44" s="699"/>
      <c r="AD44" s="699"/>
      <c r="AE44" s="699"/>
      <c r="AF44" s="699"/>
      <c r="AG44" s="699"/>
      <c r="AH44" s="699"/>
      <c r="AI44" s="699"/>
      <c r="AJ44" s="699"/>
      <c r="AK44" s="699"/>
      <c r="AL44" s="699"/>
      <c r="AM44" s="699"/>
      <c r="AN44" s="699"/>
      <c r="AO44" s="699"/>
      <c r="AP44" s="699"/>
      <c r="AQ44" s="699"/>
      <c r="AR44" s="699"/>
      <c r="AS44" s="699"/>
      <c r="AT44" s="699"/>
      <c r="AU44" s="699"/>
      <c r="AV44" s="699"/>
      <c r="AW44" s="699"/>
      <c r="AX44" s="699"/>
      <c r="AY44" s="699"/>
      <c r="AZ44" s="699"/>
      <c r="BA44" s="699"/>
      <c r="BB44" s="699"/>
      <c r="BC44" s="699"/>
      <c r="BD44" s="699"/>
      <c r="BE44" s="699"/>
      <c r="BF44" s="699"/>
      <c r="BG44" s="699"/>
      <c r="BH44" s="699"/>
      <c r="BI44" s="699"/>
      <c r="BJ44" s="699"/>
      <c r="BK44" s="699"/>
      <c r="BL44" s="699"/>
      <c r="BM44" s="699"/>
      <c r="BN44" s="699"/>
      <c r="BO44" s="699"/>
      <c r="BP44" s="699"/>
      <c r="BQ44" s="699"/>
      <c r="BR44" s="699"/>
      <c r="BS44" s="699"/>
      <c r="BT44" s="699"/>
      <c r="BU44" s="699"/>
      <c r="BV44" s="699"/>
      <c r="BW44" s="699"/>
      <c r="BX44" s="699"/>
      <c r="BY44" s="699"/>
      <c r="BZ44" s="700"/>
      <c r="CA44" s="699"/>
      <c r="CB44" s="679"/>
      <c r="CC44" s="679"/>
      <c r="CD44" s="679"/>
      <c r="CE44" s="702"/>
      <c r="CF44" s="679"/>
      <c r="CG44" s="679"/>
      <c r="CH44" s="679"/>
      <c r="CI44" s="679"/>
      <c r="CJ44" s="702"/>
      <c r="CK44" s="699"/>
      <c r="CL44" s="699"/>
      <c r="CM44" s="699"/>
      <c r="CN44" s="699"/>
      <c r="CO44" s="702"/>
      <c r="CP44" s="699"/>
      <c r="CQ44" s="699"/>
      <c r="CR44" s="699"/>
      <c r="CS44" s="699"/>
      <c r="CT44" s="702"/>
      <c r="CU44" s="699"/>
      <c r="CV44" s="699"/>
      <c r="CW44" s="699"/>
      <c r="CX44" s="699"/>
      <c r="CY44" s="702"/>
      <c r="CZ44" s="699"/>
      <c r="DA44" s="699"/>
      <c r="DB44" s="699"/>
      <c r="DC44" s="699"/>
      <c r="DD44" s="700"/>
      <c r="DE44" s="699"/>
      <c r="DF44" s="699"/>
      <c r="DG44" s="699"/>
      <c r="DH44" s="699"/>
      <c r="DI44" s="700"/>
      <c r="DJ44" s="699"/>
      <c r="DK44" s="699"/>
      <c r="DL44" s="699"/>
      <c r="DM44" s="699"/>
      <c r="DN44" s="700"/>
      <c r="DO44" s="699"/>
      <c r="DP44" s="699"/>
      <c r="DQ44" s="699"/>
      <c r="DR44" s="699"/>
      <c r="DS44" s="702"/>
      <c r="DT44" s="699"/>
      <c r="DU44" s="699"/>
      <c r="DV44" s="699"/>
      <c r="DW44" s="699"/>
      <c r="DX44" s="702"/>
      <c r="DY44" s="699"/>
      <c r="DZ44" s="699"/>
      <c r="EA44" s="699"/>
      <c r="EB44" s="699"/>
      <c r="EC44" s="702"/>
      <c r="ED44" s="699"/>
      <c r="EE44" s="699"/>
      <c r="EF44" s="699"/>
      <c r="EG44" s="699"/>
      <c r="EH44" s="700"/>
      <c r="EI44" s="699"/>
      <c r="EJ44" s="699"/>
      <c r="EK44" s="699"/>
      <c r="EL44" s="699"/>
      <c r="EM44" s="700"/>
      <c r="EN44" s="699"/>
      <c r="EO44" s="699"/>
      <c r="EP44" s="699"/>
      <c r="EQ44" s="699"/>
      <c r="ER44" s="700"/>
      <c r="ES44" s="699"/>
      <c r="ET44" s="699"/>
      <c r="EU44" s="699"/>
      <c r="EV44" s="699"/>
      <c r="EW44" s="700"/>
      <c r="EX44" s="699"/>
      <c r="EY44" s="699"/>
      <c r="EZ44" s="699"/>
      <c r="FA44" s="699"/>
      <c r="FB44" s="700"/>
      <c r="FC44" s="699"/>
      <c r="FD44" s="699"/>
      <c r="FE44" s="699"/>
      <c r="FF44" s="699"/>
      <c r="FG44" s="700"/>
      <c r="FH44" s="699"/>
      <c r="FI44" s="699"/>
      <c r="FJ44" s="699"/>
      <c r="FK44" s="699"/>
      <c r="FL44" s="700"/>
      <c r="FM44" s="261"/>
      <c r="FN44" s="261"/>
      <c r="FO44" s="261"/>
      <c r="FP44" s="261"/>
      <c r="FQ44" s="261"/>
      <c r="FR44" s="261"/>
      <c r="FS44" s="261"/>
      <c r="FT44" s="261"/>
      <c r="FU44" s="261"/>
      <c r="FV44" s="261"/>
      <c r="FW44" s="261"/>
      <c r="FX44" s="261"/>
      <c r="FY44" s="261"/>
      <c r="FZ44" s="261"/>
      <c r="GA44" s="261"/>
      <c r="GB44" s="261"/>
      <c r="GC44" s="261"/>
      <c r="GD44" s="261"/>
      <c r="GE44" s="261"/>
      <c r="GF44" s="261"/>
      <c r="GG44" s="261"/>
      <c r="GH44" s="261"/>
      <c r="GI44" s="261"/>
      <c r="GJ44" s="261"/>
      <c r="GK44" s="261"/>
      <c r="GL44" s="261"/>
      <c r="GM44" s="261"/>
      <c r="GN44" s="261"/>
      <c r="GO44" s="261"/>
      <c r="GP44" s="261"/>
      <c r="GQ44" s="261"/>
      <c r="GR44" s="261"/>
      <c r="GS44" s="261"/>
      <c r="GT44" s="261"/>
      <c r="GU44" s="261"/>
      <c r="GV44" s="261"/>
      <c r="GW44" s="261"/>
      <c r="GX44" s="261"/>
      <c r="GY44" s="261"/>
      <c r="GZ44" s="261"/>
      <c r="HA44" s="261"/>
      <c r="HB44" s="261"/>
      <c r="HC44" s="261"/>
      <c r="HD44" s="261"/>
      <c r="HE44" s="261"/>
      <c r="HF44" s="261"/>
      <c r="HG44" s="261"/>
      <c r="HH44" s="261"/>
      <c r="HI44" s="261"/>
      <c r="HJ44" s="261"/>
      <c r="HK44" s="261"/>
      <c r="HL44" s="261"/>
      <c r="HM44" s="261"/>
      <c r="HN44" s="261"/>
      <c r="HO44" s="261"/>
      <c r="HP44" s="261"/>
      <c r="HQ44" s="261"/>
      <c r="HR44" s="261"/>
      <c r="HS44" s="261"/>
      <c r="HT44" s="261"/>
      <c r="HU44" s="261"/>
      <c r="HV44" s="261"/>
      <c r="HW44" s="261"/>
      <c r="HX44" s="261"/>
      <c r="HY44" s="261"/>
      <c r="HZ44" s="261"/>
      <c r="IA44" s="261"/>
      <c r="IB44" s="261"/>
      <c r="IC44" s="261"/>
      <c r="ID44" s="261"/>
      <c r="IE44" s="261"/>
      <c r="IF44" s="261"/>
      <c r="IG44" s="261"/>
      <c r="IH44" s="261"/>
      <c r="II44" s="261"/>
      <c r="IJ44" s="261"/>
      <c r="IK44" s="261"/>
      <c r="IL44" s="261"/>
      <c r="IM44" s="261"/>
      <c r="IN44" s="261"/>
      <c r="IO44" s="261"/>
      <c r="IP44" s="261"/>
      <c r="IQ44" s="261"/>
      <c r="IR44" s="261"/>
      <c r="IS44" s="261"/>
      <c r="IT44" s="261"/>
      <c r="IU44" s="261"/>
      <c r="IV44" s="261"/>
      <c r="IW44" s="261"/>
      <c r="IX44" s="261"/>
      <c r="IY44" s="261"/>
      <c r="IZ44" s="261"/>
      <c r="JA44" s="261"/>
      <c r="JB44" s="261"/>
      <c r="JC44" s="261"/>
      <c r="JD44" s="261"/>
      <c r="JE44" s="261"/>
      <c r="JF44" s="261"/>
      <c r="JG44" s="261"/>
      <c r="JH44" s="261"/>
      <c r="JI44" s="261"/>
      <c r="JJ44" s="261"/>
      <c r="JK44" s="261"/>
      <c r="JL44" s="261"/>
      <c r="JM44" s="261"/>
      <c r="JN44" s="261"/>
      <c r="JO44" s="261"/>
    </row>
    <row r="45" spans="1:275" s="701" customFormat="1" ht="11.25" customHeight="1">
      <c r="A45" s="697" t="s">
        <v>587</v>
      </c>
      <c r="B45" s="698"/>
      <c r="C45" s="699"/>
      <c r="D45" s="699"/>
      <c r="E45" s="699"/>
      <c r="F45" s="699"/>
      <c r="G45" s="699"/>
      <c r="H45" s="699"/>
      <c r="I45" s="699"/>
      <c r="J45" s="699"/>
      <c r="K45" s="699"/>
      <c r="L45" s="699"/>
      <c r="M45" s="699"/>
      <c r="N45" s="699"/>
      <c r="O45" s="699"/>
      <c r="P45" s="699"/>
      <c r="Q45" s="699"/>
      <c r="R45" s="699"/>
      <c r="S45" s="699"/>
      <c r="T45" s="699"/>
      <c r="U45" s="699"/>
      <c r="V45" s="699"/>
      <c r="W45" s="699"/>
      <c r="X45" s="699"/>
      <c r="Y45" s="699"/>
      <c r="Z45" s="699"/>
      <c r="AA45" s="699"/>
      <c r="AB45" s="699"/>
      <c r="AC45" s="699"/>
      <c r="AD45" s="699"/>
      <c r="AE45" s="699"/>
      <c r="AF45" s="699"/>
      <c r="AG45" s="699"/>
      <c r="AH45" s="699"/>
      <c r="AI45" s="699"/>
      <c r="AJ45" s="699"/>
      <c r="AK45" s="699"/>
      <c r="AL45" s="699"/>
      <c r="AM45" s="699"/>
      <c r="AN45" s="699"/>
      <c r="AO45" s="699"/>
      <c r="AP45" s="699"/>
      <c r="AQ45" s="699"/>
      <c r="AR45" s="699"/>
      <c r="AS45" s="699"/>
      <c r="AT45" s="699"/>
      <c r="AU45" s="699"/>
      <c r="AV45" s="699"/>
      <c r="AW45" s="699"/>
      <c r="AX45" s="699"/>
      <c r="AY45" s="699"/>
      <c r="AZ45" s="699"/>
      <c r="BA45" s="699"/>
      <c r="BB45" s="699"/>
      <c r="BC45" s="699"/>
      <c r="BD45" s="699"/>
      <c r="BE45" s="699"/>
      <c r="BF45" s="699"/>
      <c r="BG45" s="699"/>
      <c r="BH45" s="699"/>
      <c r="BI45" s="699"/>
      <c r="BJ45" s="699"/>
      <c r="BK45" s="699"/>
      <c r="BL45" s="699"/>
      <c r="BM45" s="699"/>
      <c r="BN45" s="699"/>
      <c r="BO45" s="699"/>
      <c r="BP45" s="699"/>
      <c r="BQ45" s="699"/>
      <c r="BR45" s="699"/>
      <c r="BS45" s="699"/>
      <c r="BT45" s="699"/>
      <c r="BU45" s="699"/>
      <c r="BV45" s="699"/>
      <c r="BW45" s="699"/>
      <c r="BX45" s="699"/>
      <c r="BY45" s="699"/>
      <c r="BZ45" s="700"/>
      <c r="CA45" s="656"/>
      <c r="CB45" s="355">
        <f t="shared" ref="CB45:CR45" si="48">CB39/CB38</f>
        <v>1.0393442622950819</v>
      </c>
      <c r="CC45" s="355">
        <f t="shared" si="48"/>
        <v>0.51967213114754096</v>
      </c>
      <c r="CD45" s="355">
        <f t="shared" si="48"/>
        <v>0.34644808743169397</v>
      </c>
      <c r="CE45" s="709"/>
      <c r="CF45" s="355">
        <f t="shared" si="48"/>
        <v>5.9016393442622953E-2</v>
      </c>
      <c r="CG45" s="355">
        <f t="shared" si="48"/>
        <v>5.6782334384858052E-2</v>
      </c>
      <c r="CH45" s="355">
        <f t="shared" si="48"/>
        <v>5.4711246200607917E-2</v>
      </c>
      <c r="CI45" s="355">
        <f t="shared" si="48"/>
        <v>5.2785923753665712E-2</v>
      </c>
      <c r="CJ45" s="313">
        <f>CJ39/CJ38</f>
        <v>0.23606557377049181</v>
      </c>
      <c r="CK45" s="355">
        <f t="shared" si="48"/>
        <v>4.5325779036827218E-2</v>
      </c>
      <c r="CL45" s="355">
        <f t="shared" si="48"/>
        <v>1.3586956521739137E-2</v>
      </c>
      <c r="CM45" s="355">
        <f t="shared" si="48"/>
        <v>1.9337016574585645E-2</v>
      </c>
      <c r="CN45" s="355">
        <f t="shared" si="48"/>
        <v>8.2417582417582524E-3</v>
      </c>
      <c r="CO45" s="313">
        <f>CO39/CO38</f>
        <v>8.7818696883852687E-2</v>
      </c>
      <c r="CP45" s="355">
        <f t="shared" si="48"/>
        <v>7.5136612021857965E-2</v>
      </c>
      <c r="CQ45" s="355">
        <f t="shared" si="48"/>
        <v>7.7247191011236005E-2</v>
      </c>
      <c r="CR45" s="355">
        <f t="shared" si="48"/>
        <v>7.9479768786127211E-2</v>
      </c>
      <c r="CS45" s="355">
        <f t="shared" ref="CS45:CY45" si="49">CS39/CS38</f>
        <v>8.1845238095238138E-2</v>
      </c>
      <c r="CT45" s="313">
        <f t="shared" si="49"/>
        <v>0.30054644808743164</v>
      </c>
      <c r="CU45" s="355">
        <f t="shared" si="49"/>
        <v>0.14570552147239274</v>
      </c>
      <c r="CV45" s="355">
        <f t="shared" si="49"/>
        <v>0.14242878560719649</v>
      </c>
      <c r="CW45" s="355">
        <f t="shared" si="49"/>
        <v>0.13929618768328453</v>
      </c>
      <c r="CX45" s="355">
        <f t="shared" si="49"/>
        <v>0.13629842180774757</v>
      </c>
      <c r="CY45" s="313">
        <f t="shared" si="49"/>
        <v>0.58282208588957041</v>
      </c>
      <c r="CZ45" s="685">
        <f>CX45</f>
        <v>0.13629842180774757</v>
      </c>
      <c r="DA45" s="685">
        <f t="shared" ref="DA45:DC47" si="50">CZ45</f>
        <v>0.13629842180774757</v>
      </c>
      <c r="DB45" s="685">
        <f t="shared" si="50"/>
        <v>0.13629842180774757</v>
      </c>
      <c r="DC45" s="685">
        <f t="shared" si="50"/>
        <v>0.13629842180774757</v>
      </c>
      <c r="DD45" s="313">
        <f>DD39/DD38</f>
        <v>0.56304705874371319</v>
      </c>
      <c r="DE45" s="685">
        <f>DC45</f>
        <v>0.13629842180774757</v>
      </c>
      <c r="DF45" s="685">
        <f>DE45</f>
        <v>0.13629842180774757</v>
      </c>
      <c r="DG45" s="685">
        <f t="shared" ref="DG45:DH47" si="51">DF45</f>
        <v>0.13629842180774757</v>
      </c>
      <c r="DH45" s="685">
        <f t="shared" si="51"/>
        <v>0.13629842180774757</v>
      </c>
      <c r="DI45" s="313">
        <f>DI39/DI38</f>
        <v>0.5630470587437133</v>
      </c>
      <c r="DJ45" s="685">
        <f>DH45</f>
        <v>0.13629842180774757</v>
      </c>
      <c r="DK45" s="685">
        <f>DJ45</f>
        <v>0.13629842180774757</v>
      </c>
      <c r="DL45" s="685">
        <f t="shared" ref="DL45:DM47" si="52">DK45</f>
        <v>0.13629842180774757</v>
      </c>
      <c r="DM45" s="685">
        <f t="shared" si="52"/>
        <v>0.13629842180774757</v>
      </c>
      <c r="DN45" s="313">
        <f>DN39/DN38</f>
        <v>0.56304705874371341</v>
      </c>
      <c r="DO45" s="685">
        <f>DM45</f>
        <v>0.13629842180774757</v>
      </c>
      <c r="DP45" s="685">
        <f t="shared" ref="DP45:DR47" si="53">DO45</f>
        <v>0.13629842180774757</v>
      </c>
      <c r="DQ45" s="685">
        <f t="shared" si="53"/>
        <v>0.13629842180774757</v>
      </c>
      <c r="DR45" s="685">
        <f t="shared" si="53"/>
        <v>0.13629842180774757</v>
      </c>
      <c r="DS45" s="313">
        <f>DS39/DS38</f>
        <v>0.56304705874371375</v>
      </c>
      <c r="DT45" s="685">
        <f>DR45</f>
        <v>0.13629842180774757</v>
      </c>
      <c r="DU45" s="685">
        <f>DT45</f>
        <v>0.13629842180774757</v>
      </c>
      <c r="DV45" s="685">
        <f t="shared" ref="DV45:DW47" si="54">DU45</f>
        <v>0.13629842180774757</v>
      </c>
      <c r="DW45" s="685">
        <f t="shared" si="54"/>
        <v>0.13629842180774757</v>
      </c>
      <c r="DX45" s="313">
        <f>DX39/DX38</f>
        <v>0.56304705874371364</v>
      </c>
      <c r="DY45" s="685">
        <f>DW45</f>
        <v>0.13629842180774757</v>
      </c>
      <c r="DZ45" s="685">
        <f t="shared" ref="DZ45:EB47" si="55">DY45</f>
        <v>0.13629842180774757</v>
      </c>
      <c r="EA45" s="685">
        <f t="shared" si="55"/>
        <v>0.13629842180774757</v>
      </c>
      <c r="EB45" s="685">
        <f t="shared" si="55"/>
        <v>0.13629842180774757</v>
      </c>
      <c r="EC45" s="313">
        <f>EC39/EC38</f>
        <v>0.56304705874371375</v>
      </c>
      <c r="ED45" s="685">
        <f>EB45</f>
        <v>0.13629842180774757</v>
      </c>
      <c r="EE45" s="685">
        <f t="shared" ref="EE45:EG47" si="56">ED45</f>
        <v>0.13629842180774757</v>
      </c>
      <c r="EF45" s="685">
        <f t="shared" si="56"/>
        <v>0.13629842180774757</v>
      </c>
      <c r="EG45" s="685">
        <f t="shared" si="56"/>
        <v>0.13629842180774757</v>
      </c>
      <c r="EH45" s="313">
        <f>EH39/EH38</f>
        <v>0.56304705874371375</v>
      </c>
      <c r="EI45" s="685">
        <f>EG45</f>
        <v>0.13629842180774757</v>
      </c>
      <c r="EJ45" s="685">
        <f>EI45</f>
        <v>0.13629842180774757</v>
      </c>
      <c r="EK45" s="685">
        <f t="shared" ref="EK45:EL47" si="57">EJ45</f>
        <v>0.13629842180774757</v>
      </c>
      <c r="EL45" s="685">
        <f t="shared" si="57"/>
        <v>0.13629842180774757</v>
      </c>
      <c r="EM45" s="313">
        <f>EM39/EM38</f>
        <v>0.56304705874371364</v>
      </c>
      <c r="EN45" s="685">
        <f>EL45</f>
        <v>0.13629842180774757</v>
      </c>
      <c r="EO45" s="685">
        <f>EN45</f>
        <v>0.13629842180774757</v>
      </c>
      <c r="EP45" s="685">
        <f t="shared" ref="EP45:EQ47" si="58">EO45</f>
        <v>0.13629842180774757</v>
      </c>
      <c r="EQ45" s="685">
        <f t="shared" si="58"/>
        <v>0.13629842180774757</v>
      </c>
      <c r="ER45" s="313">
        <f>ER39/ER38</f>
        <v>0.56304705874371386</v>
      </c>
      <c r="ES45" s="685">
        <f>EQ45</f>
        <v>0.13629842180774757</v>
      </c>
      <c r="ET45" s="685">
        <f>ES45</f>
        <v>0.13629842180774757</v>
      </c>
      <c r="EU45" s="685">
        <f t="shared" ref="EU45:EU47" si="59">ET45</f>
        <v>0.13629842180774757</v>
      </c>
      <c r="EV45" s="685">
        <f t="shared" ref="EU45:EV47" si="60">EU45</f>
        <v>0.13629842180774757</v>
      </c>
      <c r="EW45" s="313">
        <f>EW39/EW38</f>
        <v>0.56304705874371408</v>
      </c>
      <c r="EX45" s="685">
        <f>EV45</f>
        <v>0.13629842180774757</v>
      </c>
      <c r="EY45" s="685">
        <f t="shared" ref="EY45:FA47" si="61">EX45</f>
        <v>0.13629842180774757</v>
      </c>
      <c r="EZ45" s="685">
        <f t="shared" si="61"/>
        <v>0.13629842180774757</v>
      </c>
      <c r="FA45" s="685">
        <f t="shared" si="61"/>
        <v>0.13629842180774757</v>
      </c>
      <c r="FB45" s="313">
        <f>FB39/FB38</f>
        <v>0.56304705874371386</v>
      </c>
      <c r="FC45" s="685">
        <f>FA45</f>
        <v>0.13629842180774757</v>
      </c>
      <c r="FD45" s="685">
        <f t="shared" ref="FD45:FD47" si="62">FC45</f>
        <v>0.13629842180774757</v>
      </c>
      <c r="FE45" s="685">
        <f t="shared" ref="FE45:FE47" si="63">FD45</f>
        <v>0.13629842180774757</v>
      </c>
      <c r="FF45" s="685">
        <f t="shared" ref="FF45:FF47" si="64">FE45</f>
        <v>0.13629842180774757</v>
      </c>
      <c r="FG45" s="313">
        <f>FG39/FG38</f>
        <v>0.56304705874371386</v>
      </c>
      <c r="FH45" s="685">
        <f>FF45</f>
        <v>0.13629842180774757</v>
      </c>
      <c r="FI45" s="685">
        <f t="shared" ref="FI45:FI47" si="65">FH45</f>
        <v>0.13629842180774757</v>
      </c>
      <c r="FJ45" s="685">
        <f t="shared" ref="FJ45:FJ47" si="66">FI45</f>
        <v>0.13629842180774757</v>
      </c>
      <c r="FK45" s="685">
        <f t="shared" ref="FK45:FK47" si="67">FJ45</f>
        <v>0.13629842180774757</v>
      </c>
      <c r="FL45" s="313">
        <f>FL39/FL38</f>
        <v>0.56304705874371397</v>
      </c>
      <c r="FM45" s="261"/>
      <c r="FN45" s="261"/>
      <c r="FO45" s="261"/>
      <c r="FP45" s="261"/>
      <c r="FQ45" s="261"/>
      <c r="FR45" s="261"/>
      <c r="FS45" s="261"/>
      <c r="FT45" s="261"/>
      <c r="FU45" s="261"/>
      <c r="FV45" s="261"/>
      <c r="FW45" s="261"/>
      <c r="FX45" s="261"/>
      <c r="FY45" s="261"/>
      <c r="FZ45" s="261"/>
      <c r="GA45" s="261"/>
      <c r="GB45" s="261"/>
      <c r="GC45" s="261"/>
      <c r="GD45" s="261"/>
      <c r="GE45" s="261"/>
      <c r="GF45" s="261"/>
      <c r="GG45" s="261"/>
      <c r="GH45" s="261"/>
      <c r="GI45" s="261"/>
      <c r="GJ45" s="261"/>
      <c r="GK45" s="261"/>
      <c r="GL45" s="261"/>
      <c r="GM45" s="261"/>
      <c r="GN45" s="261"/>
      <c r="GO45" s="261"/>
      <c r="GP45" s="261"/>
      <c r="GQ45" s="261"/>
      <c r="GR45" s="261"/>
      <c r="GS45" s="261"/>
      <c r="GT45" s="261"/>
      <c r="GU45" s="261"/>
      <c r="GV45" s="261"/>
      <c r="GW45" s="261"/>
      <c r="GX45" s="261"/>
      <c r="GY45" s="261"/>
      <c r="GZ45" s="261"/>
      <c r="HA45" s="261"/>
      <c r="HB45" s="261"/>
      <c r="HC45" s="261"/>
      <c r="HD45" s="261"/>
      <c r="HE45" s="261"/>
      <c r="HF45" s="261"/>
      <c r="HG45" s="261"/>
      <c r="HH45" s="261"/>
      <c r="HI45" s="261"/>
      <c r="HJ45" s="261"/>
      <c r="HK45" s="261"/>
      <c r="HL45" s="261"/>
      <c r="HM45" s="261"/>
      <c r="HN45" s="261"/>
      <c r="HO45" s="261"/>
      <c r="HP45" s="261"/>
      <c r="HQ45" s="261"/>
      <c r="HR45" s="261"/>
      <c r="HS45" s="261"/>
      <c r="HT45" s="261"/>
      <c r="HU45" s="261"/>
      <c r="HV45" s="261"/>
      <c r="HW45" s="261"/>
      <c r="HX45" s="261"/>
      <c r="HY45" s="261"/>
      <c r="HZ45" s="261"/>
      <c r="IA45" s="261"/>
      <c r="IB45" s="261"/>
      <c r="IC45" s="261"/>
      <c r="ID45" s="261"/>
      <c r="IE45" s="261"/>
      <c r="IF45" s="261"/>
      <c r="IG45" s="261"/>
      <c r="IH45" s="261"/>
      <c r="II45" s="261"/>
      <c r="IJ45" s="261"/>
      <c r="IK45" s="261"/>
      <c r="IL45" s="261"/>
      <c r="IM45" s="261"/>
      <c r="IN45" s="261"/>
      <c r="IO45" s="261"/>
      <c r="IP45" s="261"/>
      <c r="IQ45" s="261"/>
      <c r="IR45" s="261"/>
      <c r="IS45" s="261"/>
      <c r="IT45" s="261"/>
      <c r="IU45" s="261"/>
      <c r="IV45" s="261"/>
      <c r="IW45" s="261"/>
      <c r="IX45" s="261"/>
      <c r="IY45" s="261"/>
      <c r="IZ45" s="261"/>
      <c r="JA45" s="261"/>
      <c r="JB45" s="261"/>
      <c r="JC45" s="261"/>
      <c r="JD45" s="261"/>
      <c r="JE45" s="261"/>
      <c r="JF45" s="261"/>
      <c r="JG45" s="261"/>
      <c r="JH45" s="261"/>
      <c r="JI45" s="261"/>
      <c r="JJ45" s="261"/>
      <c r="JK45" s="261"/>
      <c r="JL45" s="261"/>
      <c r="JM45" s="261"/>
      <c r="JN45" s="261"/>
      <c r="JO45" s="261"/>
    </row>
    <row r="46" spans="1:275" s="701" customFormat="1" ht="11.25" customHeight="1">
      <c r="A46" s="697" t="s">
        <v>588</v>
      </c>
      <c r="B46" s="698"/>
      <c r="C46" s="699"/>
      <c r="D46" s="699"/>
      <c r="E46" s="699"/>
      <c r="F46" s="699"/>
      <c r="G46" s="699"/>
      <c r="H46" s="699"/>
      <c r="I46" s="699"/>
      <c r="J46" s="699"/>
      <c r="K46" s="699"/>
      <c r="L46" s="699"/>
      <c r="M46" s="699"/>
      <c r="N46" s="699"/>
      <c r="O46" s="699"/>
      <c r="P46" s="699"/>
      <c r="Q46" s="699"/>
      <c r="R46" s="699"/>
      <c r="S46" s="699"/>
      <c r="T46" s="699"/>
      <c r="U46" s="699"/>
      <c r="V46" s="699"/>
      <c r="W46" s="699"/>
      <c r="X46" s="699"/>
      <c r="Y46" s="699"/>
      <c r="Z46" s="699"/>
      <c r="AA46" s="699"/>
      <c r="AB46" s="699"/>
      <c r="AC46" s="699"/>
      <c r="AD46" s="699"/>
      <c r="AE46" s="699"/>
      <c r="AF46" s="699"/>
      <c r="AG46" s="699"/>
      <c r="AH46" s="699"/>
      <c r="AI46" s="699"/>
      <c r="AJ46" s="699"/>
      <c r="AK46" s="699"/>
      <c r="AL46" s="699"/>
      <c r="AM46" s="699"/>
      <c r="AN46" s="699"/>
      <c r="AO46" s="699"/>
      <c r="AP46" s="699"/>
      <c r="AQ46" s="699"/>
      <c r="AR46" s="699"/>
      <c r="AS46" s="699"/>
      <c r="AT46" s="699"/>
      <c r="AU46" s="699"/>
      <c r="AV46" s="699"/>
      <c r="AW46" s="699"/>
      <c r="AX46" s="699"/>
      <c r="AY46" s="699"/>
      <c r="AZ46" s="699"/>
      <c r="BA46" s="699"/>
      <c r="BB46" s="699"/>
      <c r="BC46" s="699"/>
      <c r="BD46" s="699"/>
      <c r="BE46" s="699"/>
      <c r="BF46" s="699"/>
      <c r="BG46" s="699"/>
      <c r="BH46" s="699"/>
      <c r="BI46" s="699"/>
      <c r="BJ46" s="699"/>
      <c r="BK46" s="699"/>
      <c r="BL46" s="699"/>
      <c r="BM46" s="699"/>
      <c r="BN46" s="699"/>
      <c r="BO46" s="699"/>
      <c r="BP46" s="699"/>
      <c r="BQ46" s="699"/>
      <c r="BR46" s="699"/>
      <c r="BS46" s="699"/>
      <c r="BT46" s="699"/>
      <c r="BU46" s="699"/>
      <c r="BV46" s="699"/>
      <c r="BW46" s="699"/>
      <c r="BX46" s="699"/>
      <c r="BY46" s="699"/>
      <c r="BZ46" s="700"/>
      <c r="CA46" s="693" t="str">
        <f>IF(ISERROR(CA40/CA38),"--",CA40/CA38)</f>
        <v>--</v>
      </c>
      <c r="CB46" s="693">
        <f>IF(ISERROR(CB40/CB38),"--",CB40/CB38)</f>
        <v>0</v>
      </c>
      <c r="CC46" s="693">
        <f>IF(ISERROR(CC40/CC38),"--",CC40/CC38)</f>
        <v>0</v>
      </c>
      <c r="CD46" s="693">
        <f>IF(ISERROR(CD40/CD38),"--",CD40/CD38)</f>
        <v>0</v>
      </c>
      <c r="CE46" s="313" t="str">
        <f>IF(ISERROR(CE40/CE38),"--",CE40/CE38)</f>
        <v>--</v>
      </c>
      <c r="CF46" s="355">
        <f t="shared" ref="CF46:CS46" si="68">CF40/CF38</f>
        <v>0</v>
      </c>
      <c r="CG46" s="355">
        <f t="shared" si="68"/>
        <v>0</v>
      </c>
      <c r="CH46" s="355">
        <f t="shared" si="68"/>
        <v>0</v>
      </c>
      <c r="CI46" s="355">
        <f t="shared" si="68"/>
        <v>0</v>
      </c>
      <c r="CJ46" s="313">
        <f>IF(ISERROR(CJ40/CJ38),"--",CJ40/CJ38)</f>
        <v>0</v>
      </c>
      <c r="CK46" s="355">
        <f t="shared" si="68"/>
        <v>0</v>
      </c>
      <c r="CL46" s="355">
        <f t="shared" si="68"/>
        <v>0</v>
      </c>
      <c r="CM46" s="355">
        <f t="shared" si="68"/>
        <v>0</v>
      </c>
      <c r="CN46" s="355">
        <f t="shared" si="68"/>
        <v>0</v>
      </c>
      <c r="CO46" s="313">
        <f>CO40/CO38</f>
        <v>0</v>
      </c>
      <c r="CP46" s="355">
        <f t="shared" si="68"/>
        <v>8.8797814207650316E-2</v>
      </c>
      <c r="CQ46" s="355">
        <f t="shared" si="68"/>
        <v>9.1292134831460731E-2</v>
      </c>
      <c r="CR46" s="355">
        <f t="shared" si="68"/>
        <v>9.3930635838150339E-2</v>
      </c>
      <c r="CS46" s="355">
        <f t="shared" si="68"/>
        <v>9.6726190476190535E-2</v>
      </c>
      <c r="CT46" s="313">
        <f t="shared" ref="CT46:CY46" si="69">CT40/CT38</f>
        <v>0.35519125683060099</v>
      </c>
      <c r="CU46" s="355">
        <f t="shared" si="69"/>
        <v>0.10736196319018411</v>
      </c>
      <c r="CV46" s="355">
        <f t="shared" si="69"/>
        <v>0.10494752623688162</v>
      </c>
      <c r="CW46" s="355">
        <f t="shared" si="69"/>
        <v>0.10263929618768335</v>
      </c>
      <c r="CX46" s="355">
        <f t="shared" si="69"/>
        <v>0.10043041606886663</v>
      </c>
      <c r="CY46" s="313">
        <f t="shared" si="69"/>
        <v>0.4294478527607361</v>
      </c>
      <c r="CZ46" s="685">
        <f>CX46</f>
        <v>0.10043041606886663</v>
      </c>
      <c r="DA46" s="685">
        <f t="shared" si="50"/>
        <v>0.10043041606886663</v>
      </c>
      <c r="DB46" s="685">
        <f t="shared" si="50"/>
        <v>0.10043041606886663</v>
      </c>
      <c r="DC46" s="685">
        <f t="shared" si="50"/>
        <v>0.10043041606886663</v>
      </c>
      <c r="DD46" s="313">
        <f>DD40/DD38</f>
        <v>0.41487678012694656</v>
      </c>
      <c r="DE46" s="685">
        <f>DC46</f>
        <v>0.10043041606886663</v>
      </c>
      <c r="DF46" s="685">
        <f>DE46</f>
        <v>0.10043041606886663</v>
      </c>
      <c r="DG46" s="685">
        <f t="shared" si="51"/>
        <v>0.10043041606886663</v>
      </c>
      <c r="DH46" s="685">
        <f t="shared" si="51"/>
        <v>0.10043041606886663</v>
      </c>
      <c r="DI46" s="313">
        <f>DI40/DI38</f>
        <v>0.41487678012694656</v>
      </c>
      <c r="DJ46" s="685">
        <f>DH46</f>
        <v>0.10043041606886663</v>
      </c>
      <c r="DK46" s="685">
        <f>DJ46</f>
        <v>0.10043041606886663</v>
      </c>
      <c r="DL46" s="685">
        <f t="shared" si="52"/>
        <v>0.10043041606886663</v>
      </c>
      <c r="DM46" s="685">
        <f t="shared" si="52"/>
        <v>0.10043041606886663</v>
      </c>
      <c r="DN46" s="313">
        <f>DN40/DN38</f>
        <v>0.41487678012694684</v>
      </c>
      <c r="DO46" s="685">
        <f>DM46</f>
        <v>0.10043041606886663</v>
      </c>
      <c r="DP46" s="685">
        <f t="shared" si="53"/>
        <v>0.10043041606886663</v>
      </c>
      <c r="DQ46" s="685">
        <f t="shared" si="53"/>
        <v>0.10043041606886663</v>
      </c>
      <c r="DR46" s="685">
        <f t="shared" si="53"/>
        <v>0.10043041606886663</v>
      </c>
      <c r="DS46" s="313">
        <f>DS40/DS38</f>
        <v>0.4148767801269469</v>
      </c>
      <c r="DT46" s="685">
        <f>DR46</f>
        <v>0.10043041606886663</v>
      </c>
      <c r="DU46" s="685">
        <f>DT46</f>
        <v>0.10043041606886663</v>
      </c>
      <c r="DV46" s="685">
        <f t="shared" si="54"/>
        <v>0.10043041606886663</v>
      </c>
      <c r="DW46" s="685">
        <f t="shared" si="54"/>
        <v>0.10043041606886663</v>
      </c>
      <c r="DX46" s="313">
        <f>DX40/DX38</f>
        <v>0.4148767801269469</v>
      </c>
      <c r="DY46" s="685">
        <f>DW46</f>
        <v>0.10043041606886663</v>
      </c>
      <c r="DZ46" s="685">
        <f t="shared" si="55"/>
        <v>0.10043041606886663</v>
      </c>
      <c r="EA46" s="685">
        <f t="shared" si="55"/>
        <v>0.10043041606886663</v>
      </c>
      <c r="EB46" s="685">
        <f t="shared" si="55"/>
        <v>0.10043041606886663</v>
      </c>
      <c r="EC46" s="313">
        <f>EC40/EC38</f>
        <v>0.41487678012694695</v>
      </c>
      <c r="ED46" s="685">
        <f>EB46</f>
        <v>0.10043041606886663</v>
      </c>
      <c r="EE46" s="685">
        <f t="shared" si="56"/>
        <v>0.10043041606886663</v>
      </c>
      <c r="EF46" s="685">
        <f t="shared" si="56"/>
        <v>0.10043041606886663</v>
      </c>
      <c r="EG46" s="685">
        <f t="shared" si="56"/>
        <v>0.10043041606886663</v>
      </c>
      <c r="EH46" s="313">
        <f>EH40/EH38</f>
        <v>0.41487678012694701</v>
      </c>
      <c r="EI46" s="685">
        <f>EG46</f>
        <v>0.10043041606886663</v>
      </c>
      <c r="EJ46" s="685">
        <f>EI46</f>
        <v>0.10043041606886663</v>
      </c>
      <c r="EK46" s="685">
        <f t="shared" si="57"/>
        <v>0.10043041606886663</v>
      </c>
      <c r="EL46" s="685">
        <f t="shared" si="57"/>
        <v>0.10043041606886663</v>
      </c>
      <c r="EM46" s="313">
        <f>EM40/EM38</f>
        <v>0.41487678012694695</v>
      </c>
      <c r="EN46" s="685">
        <f>EL46</f>
        <v>0.10043041606886663</v>
      </c>
      <c r="EO46" s="685">
        <f>EN46</f>
        <v>0.10043041606886663</v>
      </c>
      <c r="EP46" s="685">
        <f t="shared" si="58"/>
        <v>0.10043041606886663</v>
      </c>
      <c r="EQ46" s="685">
        <f t="shared" si="58"/>
        <v>0.10043041606886663</v>
      </c>
      <c r="ER46" s="313">
        <f>ER40/ER38</f>
        <v>0.41487678012694701</v>
      </c>
      <c r="ES46" s="685">
        <f>EQ46</f>
        <v>0.10043041606886663</v>
      </c>
      <c r="ET46" s="685">
        <f>ES46</f>
        <v>0.10043041606886663</v>
      </c>
      <c r="EU46" s="685">
        <f t="shared" si="59"/>
        <v>0.10043041606886663</v>
      </c>
      <c r="EV46" s="685">
        <f t="shared" si="60"/>
        <v>0.10043041606886663</v>
      </c>
      <c r="EW46" s="313">
        <f>EW40/EW38</f>
        <v>0.41487678012694712</v>
      </c>
      <c r="EX46" s="685">
        <f>EV46</f>
        <v>0.10043041606886663</v>
      </c>
      <c r="EY46" s="685">
        <f t="shared" si="61"/>
        <v>0.10043041606886663</v>
      </c>
      <c r="EZ46" s="685">
        <f t="shared" si="61"/>
        <v>0.10043041606886663</v>
      </c>
      <c r="FA46" s="685">
        <f t="shared" si="61"/>
        <v>0.10043041606886663</v>
      </c>
      <c r="FB46" s="313">
        <f>FB40/FB38</f>
        <v>0.41487678012694712</v>
      </c>
      <c r="FC46" s="685">
        <f>FA46</f>
        <v>0.10043041606886663</v>
      </c>
      <c r="FD46" s="685">
        <f t="shared" si="62"/>
        <v>0.10043041606886663</v>
      </c>
      <c r="FE46" s="685">
        <f t="shared" si="63"/>
        <v>0.10043041606886663</v>
      </c>
      <c r="FF46" s="685">
        <f t="shared" si="64"/>
        <v>0.10043041606886663</v>
      </c>
      <c r="FG46" s="313">
        <f>FG40/FG38</f>
        <v>0.41487678012694712</v>
      </c>
      <c r="FH46" s="685">
        <f>FF46</f>
        <v>0.10043041606886663</v>
      </c>
      <c r="FI46" s="685">
        <f t="shared" si="65"/>
        <v>0.10043041606886663</v>
      </c>
      <c r="FJ46" s="685">
        <f t="shared" si="66"/>
        <v>0.10043041606886663</v>
      </c>
      <c r="FK46" s="685">
        <f t="shared" si="67"/>
        <v>0.10043041606886663</v>
      </c>
      <c r="FL46" s="313">
        <f>FL40/FL38</f>
        <v>0.41487678012694718</v>
      </c>
      <c r="FM46" s="261"/>
      <c r="FN46" s="261"/>
      <c r="FO46" s="261"/>
      <c r="FP46" s="261"/>
      <c r="FQ46" s="261"/>
      <c r="FR46" s="261"/>
      <c r="FS46" s="261"/>
      <c r="FT46" s="261"/>
      <c r="FU46" s="261"/>
      <c r="FV46" s="261"/>
      <c r="FW46" s="261"/>
      <c r="FX46" s="261"/>
      <c r="FY46" s="261"/>
      <c r="FZ46" s="261"/>
      <c r="GA46" s="261"/>
      <c r="GB46" s="261"/>
      <c r="GC46" s="261"/>
      <c r="GD46" s="261"/>
      <c r="GE46" s="261"/>
      <c r="GF46" s="261"/>
      <c r="GG46" s="261"/>
      <c r="GH46" s="261"/>
      <c r="GI46" s="261"/>
      <c r="GJ46" s="261"/>
      <c r="GK46" s="261"/>
      <c r="GL46" s="261"/>
      <c r="GM46" s="261"/>
      <c r="GN46" s="261"/>
      <c r="GO46" s="261"/>
      <c r="GP46" s="261"/>
      <c r="GQ46" s="261"/>
      <c r="GR46" s="261"/>
      <c r="GS46" s="261"/>
      <c r="GT46" s="261"/>
      <c r="GU46" s="261"/>
      <c r="GV46" s="261"/>
      <c r="GW46" s="261"/>
      <c r="GX46" s="261"/>
      <c r="GY46" s="261"/>
      <c r="GZ46" s="261"/>
      <c r="HA46" s="261"/>
      <c r="HB46" s="261"/>
      <c r="HC46" s="261"/>
      <c r="HD46" s="261"/>
      <c r="HE46" s="261"/>
      <c r="HF46" s="261"/>
      <c r="HG46" s="261"/>
      <c r="HH46" s="261"/>
      <c r="HI46" s="261"/>
      <c r="HJ46" s="261"/>
      <c r="HK46" s="261"/>
      <c r="HL46" s="261"/>
      <c r="HM46" s="261"/>
      <c r="HN46" s="261"/>
      <c r="HO46" s="261"/>
      <c r="HP46" s="261"/>
      <c r="HQ46" s="261"/>
      <c r="HR46" s="261"/>
      <c r="HS46" s="261"/>
      <c r="HT46" s="261"/>
      <c r="HU46" s="261"/>
      <c r="HV46" s="261"/>
      <c r="HW46" s="261"/>
      <c r="HX46" s="261"/>
      <c r="HY46" s="261"/>
      <c r="HZ46" s="261"/>
      <c r="IA46" s="261"/>
      <c r="IB46" s="261"/>
      <c r="IC46" s="261"/>
      <c r="ID46" s="261"/>
      <c r="IE46" s="261"/>
      <c r="IF46" s="261"/>
      <c r="IG46" s="261"/>
      <c r="IH46" s="261"/>
      <c r="II46" s="261"/>
      <c r="IJ46" s="261"/>
      <c r="IK46" s="261"/>
      <c r="IL46" s="261"/>
      <c r="IM46" s="261"/>
      <c r="IN46" s="261"/>
      <c r="IO46" s="261"/>
      <c r="IP46" s="261"/>
      <c r="IQ46" s="261"/>
      <c r="IR46" s="261"/>
      <c r="IS46" s="261"/>
      <c r="IT46" s="261"/>
      <c r="IU46" s="261"/>
      <c r="IV46" s="261"/>
      <c r="IW46" s="261"/>
      <c r="IX46" s="261"/>
      <c r="IY46" s="261"/>
      <c r="IZ46" s="261"/>
      <c r="JA46" s="261"/>
      <c r="JB46" s="261"/>
      <c r="JC46" s="261"/>
      <c r="JD46" s="261"/>
      <c r="JE46" s="261"/>
      <c r="JF46" s="261"/>
      <c r="JG46" s="261"/>
      <c r="JH46" s="261"/>
      <c r="JI46" s="261"/>
      <c r="JJ46" s="261"/>
      <c r="JK46" s="261"/>
      <c r="JL46" s="261"/>
      <c r="JM46" s="261"/>
      <c r="JN46" s="261"/>
      <c r="JO46" s="261"/>
    </row>
    <row r="47" spans="1:275" s="701" customFormat="1" ht="11.25" customHeight="1">
      <c r="A47" s="697" t="s">
        <v>596</v>
      </c>
      <c r="B47" s="698"/>
      <c r="C47" s="699"/>
      <c r="D47" s="699"/>
      <c r="E47" s="699"/>
      <c r="F47" s="699"/>
      <c r="G47" s="699"/>
      <c r="H47" s="699"/>
      <c r="I47" s="699"/>
      <c r="J47" s="699"/>
      <c r="K47" s="699"/>
      <c r="L47" s="699"/>
      <c r="M47" s="699"/>
      <c r="N47" s="699"/>
      <c r="O47" s="699"/>
      <c r="P47" s="699"/>
      <c r="Q47" s="699"/>
      <c r="R47" s="699"/>
      <c r="S47" s="699"/>
      <c r="T47" s="699"/>
      <c r="U47" s="699"/>
      <c r="V47" s="699"/>
      <c r="W47" s="699"/>
      <c r="X47" s="699"/>
      <c r="Y47" s="699"/>
      <c r="Z47" s="699"/>
      <c r="AA47" s="699"/>
      <c r="AB47" s="699"/>
      <c r="AC47" s="699"/>
      <c r="AD47" s="699"/>
      <c r="AE47" s="699"/>
      <c r="AF47" s="699"/>
      <c r="AG47" s="699"/>
      <c r="AH47" s="699"/>
      <c r="AI47" s="699"/>
      <c r="AJ47" s="699"/>
      <c r="AK47" s="699"/>
      <c r="AL47" s="699"/>
      <c r="AM47" s="699"/>
      <c r="AN47" s="699"/>
      <c r="AO47" s="699"/>
      <c r="AP47" s="699"/>
      <c r="AQ47" s="699"/>
      <c r="AR47" s="699"/>
      <c r="AS47" s="699"/>
      <c r="AT47" s="699"/>
      <c r="AU47" s="699"/>
      <c r="AV47" s="699"/>
      <c r="AW47" s="699"/>
      <c r="AX47" s="699"/>
      <c r="AY47" s="699"/>
      <c r="AZ47" s="699"/>
      <c r="BA47" s="699"/>
      <c r="BB47" s="699"/>
      <c r="BC47" s="699"/>
      <c r="BD47" s="699"/>
      <c r="BE47" s="699"/>
      <c r="BF47" s="699"/>
      <c r="BG47" s="699"/>
      <c r="BH47" s="699"/>
      <c r="BI47" s="699"/>
      <c r="BJ47" s="699"/>
      <c r="BK47" s="699"/>
      <c r="BL47" s="699"/>
      <c r="BM47" s="699"/>
      <c r="BN47" s="699"/>
      <c r="BO47" s="699"/>
      <c r="BP47" s="699"/>
      <c r="BQ47" s="699"/>
      <c r="BR47" s="699"/>
      <c r="BS47" s="699"/>
      <c r="BT47" s="699"/>
      <c r="BU47" s="699"/>
      <c r="BV47" s="699"/>
      <c r="BW47" s="699"/>
      <c r="BX47" s="699"/>
      <c r="BY47" s="699"/>
      <c r="BZ47" s="700"/>
      <c r="CA47" s="693" t="str">
        <f>IF(ISERROR(CA41/CA38),"--",CA41/CA38)</f>
        <v>--</v>
      </c>
      <c r="CB47" s="693">
        <f>IF(ISERROR(CB41/CB38),"--",CB41/CB38)</f>
        <v>3.9344262295081964E-2</v>
      </c>
      <c r="CC47" s="693">
        <f>IF(ISERROR(CC41/CC38),"--",CC41/CC38)</f>
        <v>1.9672131147540982E-2</v>
      </c>
      <c r="CD47" s="693">
        <f>IF(ISERROR(CD41/CD38),"--",CD41/CD38)</f>
        <v>1.3114754098360656E-2</v>
      </c>
      <c r="CE47" s="313" t="str">
        <f>IF(ISERROR(CE41/CE38),"--",CE41/CE38)</f>
        <v>--</v>
      </c>
      <c r="CF47" s="355">
        <f t="shared" ref="CF47:CS47" si="70">CF41/CF38</f>
        <v>1.9672131147540982E-2</v>
      </c>
      <c r="CG47" s="355">
        <f t="shared" si="70"/>
        <v>1.8927444794952682E-2</v>
      </c>
      <c r="CH47" s="355">
        <f t="shared" si="70"/>
        <v>1.8237082066869303E-2</v>
      </c>
      <c r="CI47" s="355">
        <f t="shared" si="70"/>
        <v>1.7595307917888568E-2</v>
      </c>
      <c r="CJ47" s="313">
        <f>IF(ISERROR(CJ41/CJ38),"--",CJ41/CJ38)</f>
        <v>7.8688524590163927E-2</v>
      </c>
      <c r="CK47" s="355">
        <f t="shared" si="70"/>
        <v>2.8328611898017012E-3</v>
      </c>
      <c r="CL47" s="355">
        <f t="shared" si="70"/>
        <v>2.9891304347826102E-2</v>
      </c>
      <c r="CM47" s="355">
        <f t="shared" si="70"/>
        <v>1.3812154696132603E-2</v>
      </c>
      <c r="CN47" s="355">
        <f t="shared" si="70"/>
        <v>2.747252747252747E-3</v>
      </c>
      <c r="CO47" s="313">
        <f>CO41/CO38</f>
        <v>5.0991501416430593E-2</v>
      </c>
      <c r="CP47" s="355">
        <f t="shared" si="70"/>
        <v>1.3661202185792358E-2</v>
      </c>
      <c r="CQ47" s="355">
        <f t="shared" si="70"/>
        <v>1.4044943820224727E-2</v>
      </c>
      <c r="CR47" s="355">
        <f t="shared" si="70"/>
        <v>1.445086705202313E-2</v>
      </c>
      <c r="CS47" s="355">
        <f t="shared" si="70"/>
        <v>1.4880952380952391E-2</v>
      </c>
      <c r="CT47" s="313">
        <f t="shared" ref="CT47:CY47" si="71">CT41/CT38</f>
        <v>5.4644808743169383E-2</v>
      </c>
      <c r="CU47" s="355">
        <f t="shared" si="71"/>
        <v>1.5337423312883444E-2</v>
      </c>
      <c r="CV47" s="355">
        <f t="shared" si="71"/>
        <v>1.4992503748125946E-2</v>
      </c>
      <c r="CW47" s="355">
        <f t="shared" si="71"/>
        <v>1.4662756598240477E-2</v>
      </c>
      <c r="CX47" s="355">
        <f t="shared" si="71"/>
        <v>1.4347202295552376E-2</v>
      </c>
      <c r="CY47" s="313">
        <f t="shared" si="71"/>
        <v>6.1349693251533728E-2</v>
      </c>
      <c r="CZ47" s="685">
        <f>CX47</f>
        <v>1.4347202295552376E-2</v>
      </c>
      <c r="DA47" s="685">
        <f t="shared" si="50"/>
        <v>1.4347202295552376E-2</v>
      </c>
      <c r="DB47" s="685">
        <f t="shared" si="50"/>
        <v>1.4347202295552376E-2</v>
      </c>
      <c r="DC47" s="685">
        <f t="shared" si="50"/>
        <v>1.4347202295552376E-2</v>
      </c>
      <c r="DD47" s="313">
        <f>DD41/DD38</f>
        <v>5.926811144670667E-2</v>
      </c>
      <c r="DE47" s="685">
        <f>DC47</f>
        <v>1.4347202295552376E-2</v>
      </c>
      <c r="DF47" s="685">
        <f>DE47</f>
        <v>1.4347202295552376E-2</v>
      </c>
      <c r="DG47" s="685">
        <f t="shared" si="51"/>
        <v>1.4347202295552376E-2</v>
      </c>
      <c r="DH47" s="685">
        <f t="shared" si="51"/>
        <v>1.4347202295552376E-2</v>
      </c>
      <c r="DI47" s="313">
        <f>DI41/DI38</f>
        <v>5.9268111446706663E-2</v>
      </c>
      <c r="DJ47" s="685">
        <f>DH47</f>
        <v>1.4347202295552376E-2</v>
      </c>
      <c r="DK47" s="685">
        <f>DJ47</f>
        <v>1.4347202295552376E-2</v>
      </c>
      <c r="DL47" s="685">
        <f t="shared" si="52"/>
        <v>1.4347202295552376E-2</v>
      </c>
      <c r="DM47" s="685">
        <f t="shared" si="52"/>
        <v>1.4347202295552376E-2</v>
      </c>
      <c r="DN47" s="313">
        <f>DN41/DN38</f>
        <v>5.9268111446706684E-2</v>
      </c>
      <c r="DO47" s="685">
        <f>DM47</f>
        <v>1.4347202295552376E-2</v>
      </c>
      <c r="DP47" s="685">
        <f t="shared" si="53"/>
        <v>1.4347202295552376E-2</v>
      </c>
      <c r="DQ47" s="685">
        <f t="shared" si="53"/>
        <v>1.4347202295552376E-2</v>
      </c>
      <c r="DR47" s="685">
        <f t="shared" si="53"/>
        <v>1.4347202295552376E-2</v>
      </c>
      <c r="DS47" s="313">
        <f>DS41/DS38</f>
        <v>5.9268111446706698E-2</v>
      </c>
      <c r="DT47" s="685">
        <f>DR47</f>
        <v>1.4347202295552376E-2</v>
      </c>
      <c r="DU47" s="685">
        <f>DT47</f>
        <v>1.4347202295552376E-2</v>
      </c>
      <c r="DV47" s="685">
        <f t="shared" si="54"/>
        <v>1.4347202295552376E-2</v>
      </c>
      <c r="DW47" s="685">
        <f t="shared" si="54"/>
        <v>1.4347202295552376E-2</v>
      </c>
      <c r="DX47" s="313">
        <f>DX41/DX38</f>
        <v>5.9268111446706705E-2</v>
      </c>
      <c r="DY47" s="685">
        <f>DW47</f>
        <v>1.4347202295552376E-2</v>
      </c>
      <c r="DZ47" s="685">
        <f t="shared" si="55"/>
        <v>1.4347202295552376E-2</v>
      </c>
      <c r="EA47" s="685">
        <f t="shared" si="55"/>
        <v>1.4347202295552376E-2</v>
      </c>
      <c r="EB47" s="685">
        <f t="shared" si="55"/>
        <v>1.4347202295552376E-2</v>
      </c>
      <c r="EC47" s="313">
        <f>EC41/EC38</f>
        <v>5.9268111446706712E-2</v>
      </c>
      <c r="ED47" s="685">
        <f>EB47</f>
        <v>1.4347202295552376E-2</v>
      </c>
      <c r="EE47" s="685">
        <f t="shared" si="56"/>
        <v>1.4347202295552376E-2</v>
      </c>
      <c r="EF47" s="685">
        <f t="shared" si="56"/>
        <v>1.4347202295552376E-2</v>
      </c>
      <c r="EG47" s="685">
        <f t="shared" si="56"/>
        <v>1.4347202295552376E-2</v>
      </c>
      <c r="EH47" s="313">
        <f>EH41/EH38</f>
        <v>5.9268111446706698E-2</v>
      </c>
      <c r="EI47" s="685">
        <f>EG47</f>
        <v>1.4347202295552376E-2</v>
      </c>
      <c r="EJ47" s="685">
        <f>EI47</f>
        <v>1.4347202295552376E-2</v>
      </c>
      <c r="EK47" s="685">
        <f t="shared" si="57"/>
        <v>1.4347202295552376E-2</v>
      </c>
      <c r="EL47" s="685">
        <f t="shared" si="57"/>
        <v>1.4347202295552376E-2</v>
      </c>
      <c r="EM47" s="313">
        <f>EM41/EM38</f>
        <v>5.9268111446706698E-2</v>
      </c>
      <c r="EN47" s="685">
        <f>EL47</f>
        <v>1.4347202295552376E-2</v>
      </c>
      <c r="EO47" s="685">
        <f>EN47</f>
        <v>1.4347202295552376E-2</v>
      </c>
      <c r="EP47" s="685">
        <f t="shared" si="58"/>
        <v>1.4347202295552376E-2</v>
      </c>
      <c r="EQ47" s="685">
        <f t="shared" si="58"/>
        <v>1.4347202295552376E-2</v>
      </c>
      <c r="ER47" s="313">
        <f>ER41/ER38</f>
        <v>5.9268111446706719E-2</v>
      </c>
      <c r="ES47" s="685">
        <f>EQ47</f>
        <v>1.4347202295552376E-2</v>
      </c>
      <c r="ET47" s="685">
        <f>ES47</f>
        <v>1.4347202295552376E-2</v>
      </c>
      <c r="EU47" s="685">
        <f t="shared" si="59"/>
        <v>1.4347202295552376E-2</v>
      </c>
      <c r="EV47" s="685">
        <f t="shared" si="60"/>
        <v>1.4347202295552376E-2</v>
      </c>
      <c r="EW47" s="313">
        <f>EW41/EW38</f>
        <v>5.9268111446706739E-2</v>
      </c>
      <c r="EX47" s="685">
        <f>EV47</f>
        <v>1.4347202295552376E-2</v>
      </c>
      <c r="EY47" s="685">
        <f t="shared" si="61"/>
        <v>1.4347202295552376E-2</v>
      </c>
      <c r="EZ47" s="685">
        <f t="shared" si="61"/>
        <v>1.4347202295552376E-2</v>
      </c>
      <c r="FA47" s="685">
        <f t="shared" si="61"/>
        <v>1.4347202295552376E-2</v>
      </c>
      <c r="FB47" s="313">
        <f>FB41/FB38</f>
        <v>5.9268111446706725E-2</v>
      </c>
      <c r="FC47" s="685">
        <f>FA47</f>
        <v>1.4347202295552376E-2</v>
      </c>
      <c r="FD47" s="685">
        <f t="shared" si="62"/>
        <v>1.4347202295552376E-2</v>
      </c>
      <c r="FE47" s="685">
        <f t="shared" si="63"/>
        <v>1.4347202295552376E-2</v>
      </c>
      <c r="FF47" s="685">
        <f t="shared" si="64"/>
        <v>1.4347202295552376E-2</v>
      </c>
      <c r="FG47" s="313">
        <f>FG41/FG38</f>
        <v>5.9268111446706739E-2</v>
      </c>
      <c r="FH47" s="685">
        <f>FF47</f>
        <v>1.4347202295552376E-2</v>
      </c>
      <c r="FI47" s="685">
        <f t="shared" si="65"/>
        <v>1.4347202295552376E-2</v>
      </c>
      <c r="FJ47" s="685">
        <f t="shared" si="66"/>
        <v>1.4347202295552376E-2</v>
      </c>
      <c r="FK47" s="685">
        <f t="shared" si="67"/>
        <v>1.4347202295552376E-2</v>
      </c>
      <c r="FL47" s="313">
        <f>FL41/FL38</f>
        <v>5.9268111446706739E-2</v>
      </c>
      <c r="FM47" s="261"/>
      <c r="FN47" s="261"/>
      <c r="FO47" s="261"/>
      <c r="FP47" s="261"/>
      <c r="FQ47" s="261"/>
      <c r="FR47" s="261"/>
      <c r="FS47" s="261"/>
      <c r="FT47" s="261"/>
      <c r="FU47" s="261"/>
      <c r="FV47" s="261"/>
      <c r="FW47" s="261"/>
      <c r="FX47" s="261"/>
      <c r="FY47" s="261"/>
      <c r="FZ47" s="261"/>
      <c r="GA47" s="261"/>
      <c r="GB47" s="261"/>
      <c r="GC47" s="261"/>
      <c r="GD47" s="261"/>
      <c r="GE47" s="261"/>
      <c r="GF47" s="261"/>
      <c r="GG47" s="261"/>
      <c r="GH47" s="261"/>
      <c r="GI47" s="261"/>
      <c r="GJ47" s="261"/>
      <c r="GK47" s="261"/>
      <c r="GL47" s="261"/>
      <c r="GM47" s="261"/>
      <c r="GN47" s="261"/>
      <c r="GO47" s="261"/>
      <c r="GP47" s="261"/>
      <c r="GQ47" s="261"/>
      <c r="GR47" s="261"/>
      <c r="GS47" s="261"/>
      <c r="GT47" s="261"/>
      <c r="GU47" s="261"/>
      <c r="GV47" s="261"/>
      <c r="GW47" s="261"/>
      <c r="GX47" s="261"/>
      <c r="GY47" s="261"/>
      <c r="GZ47" s="261"/>
      <c r="HA47" s="261"/>
      <c r="HB47" s="261"/>
      <c r="HC47" s="261"/>
      <c r="HD47" s="261"/>
      <c r="HE47" s="261"/>
      <c r="HF47" s="261"/>
      <c r="HG47" s="261"/>
      <c r="HH47" s="261"/>
      <c r="HI47" s="261"/>
      <c r="HJ47" s="261"/>
      <c r="HK47" s="261"/>
      <c r="HL47" s="261"/>
      <c r="HM47" s="261"/>
      <c r="HN47" s="261"/>
      <c r="HO47" s="261"/>
      <c r="HP47" s="261"/>
      <c r="HQ47" s="261"/>
      <c r="HR47" s="261"/>
      <c r="HS47" s="261"/>
      <c r="HT47" s="261"/>
      <c r="HU47" s="261"/>
      <c r="HV47" s="261"/>
      <c r="HW47" s="261"/>
      <c r="HX47" s="261"/>
      <c r="HY47" s="261"/>
      <c r="HZ47" s="261"/>
      <c r="IA47" s="261"/>
      <c r="IB47" s="261"/>
      <c r="IC47" s="261"/>
      <c r="ID47" s="261"/>
      <c r="IE47" s="261"/>
      <c r="IF47" s="261"/>
      <c r="IG47" s="261"/>
      <c r="IH47" s="261"/>
      <c r="II47" s="261"/>
      <c r="IJ47" s="261"/>
      <c r="IK47" s="261"/>
      <c r="IL47" s="261"/>
      <c r="IM47" s="261"/>
      <c r="IN47" s="261"/>
      <c r="IO47" s="261"/>
      <c r="IP47" s="261"/>
      <c r="IQ47" s="261"/>
      <c r="IR47" s="261"/>
      <c r="IS47" s="261"/>
      <c r="IT47" s="261"/>
      <c r="IU47" s="261"/>
      <c r="IV47" s="261"/>
      <c r="IW47" s="261"/>
      <c r="IX47" s="261"/>
      <c r="IY47" s="261"/>
      <c r="IZ47" s="261"/>
      <c r="JA47" s="261"/>
      <c r="JB47" s="261"/>
      <c r="JC47" s="261"/>
      <c r="JD47" s="261"/>
      <c r="JE47" s="261"/>
      <c r="JF47" s="261"/>
      <c r="JG47" s="261"/>
      <c r="JH47" s="261"/>
      <c r="JI47" s="261"/>
      <c r="JJ47" s="261"/>
      <c r="JK47" s="261"/>
      <c r="JL47" s="261"/>
      <c r="JM47" s="261"/>
      <c r="JN47" s="261"/>
      <c r="JO47" s="261"/>
    </row>
    <row r="48" spans="1:275" s="701" customFormat="1" ht="11.25" customHeight="1">
      <c r="A48" s="697"/>
      <c r="B48" s="698"/>
      <c r="C48" s="699"/>
      <c r="D48" s="699"/>
      <c r="E48" s="699"/>
      <c r="F48" s="699"/>
      <c r="G48" s="699"/>
      <c r="H48" s="699"/>
      <c r="I48" s="699"/>
      <c r="J48" s="699"/>
      <c r="K48" s="699"/>
      <c r="L48" s="699"/>
      <c r="M48" s="699"/>
      <c r="N48" s="699"/>
      <c r="O48" s="699"/>
      <c r="P48" s="699"/>
      <c r="Q48" s="699"/>
      <c r="R48" s="699"/>
      <c r="S48" s="699"/>
      <c r="T48" s="699"/>
      <c r="U48" s="699"/>
      <c r="V48" s="699"/>
      <c r="W48" s="699"/>
      <c r="X48" s="699"/>
      <c r="Y48" s="699"/>
      <c r="Z48" s="699"/>
      <c r="AA48" s="699"/>
      <c r="AB48" s="699"/>
      <c r="AC48" s="699"/>
      <c r="AD48" s="699"/>
      <c r="AE48" s="699"/>
      <c r="AF48" s="699"/>
      <c r="AG48" s="699"/>
      <c r="AH48" s="699"/>
      <c r="AI48" s="699"/>
      <c r="AJ48" s="699"/>
      <c r="AK48" s="699"/>
      <c r="AL48" s="699"/>
      <c r="AM48" s="699"/>
      <c r="AN48" s="699"/>
      <c r="AO48" s="699"/>
      <c r="AP48" s="699"/>
      <c r="AQ48" s="699"/>
      <c r="AR48" s="699"/>
      <c r="AS48" s="699"/>
      <c r="AT48" s="699"/>
      <c r="AU48" s="699"/>
      <c r="AV48" s="699"/>
      <c r="AW48" s="699"/>
      <c r="AX48" s="699"/>
      <c r="AY48" s="699"/>
      <c r="AZ48" s="699"/>
      <c r="BA48" s="699"/>
      <c r="BB48" s="699"/>
      <c r="BC48" s="699"/>
      <c r="BD48" s="699"/>
      <c r="BE48" s="699"/>
      <c r="BF48" s="699"/>
      <c r="BG48" s="699"/>
      <c r="BH48" s="699"/>
      <c r="BI48" s="699"/>
      <c r="BJ48" s="699"/>
      <c r="BK48" s="699"/>
      <c r="BL48" s="699"/>
      <c r="BM48" s="699"/>
      <c r="BN48" s="699"/>
      <c r="BO48" s="699"/>
      <c r="BP48" s="699"/>
      <c r="BQ48" s="699"/>
      <c r="BR48" s="699"/>
      <c r="BS48" s="699"/>
      <c r="BT48" s="699"/>
      <c r="BU48" s="699"/>
      <c r="BV48" s="699"/>
      <c r="BW48" s="699"/>
      <c r="BX48" s="699"/>
      <c r="BY48" s="699"/>
      <c r="BZ48" s="700"/>
      <c r="CA48" s="699"/>
      <c r="CB48" s="699"/>
      <c r="CC48" s="699"/>
      <c r="CD48" s="699"/>
      <c r="CE48" s="702"/>
      <c r="CF48" s="699"/>
      <c r="CG48" s="699"/>
      <c r="CH48" s="699"/>
      <c r="CI48" s="699"/>
      <c r="CJ48" s="702"/>
      <c r="CK48" s="699"/>
      <c r="CL48" s="699"/>
      <c r="CM48" s="699"/>
      <c r="CN48" s="699"/>
      <c r="CO48" s="702"/>
      <c r="CP48" s="699"/>
      <c r="CQ48" s="699"/>
      <c r="CR48" s="699"/>
      <c r="CS48" s="699"/>
      <c r="CT48" s="702"/>
      <c r="CU48" s="699"/>
      <c r="CV48" s="699"/>
      <c r="CW48" s="699"/>
      <c r="CX48" s="699"/>
      <c r="CY48" s="702"/>
      <c r="CZ48" s="699"/>
      <c r="DA48" s="699"/>
      <c r="DB48" s="699"/>
      <c r="DC48" s="699"/>
      <c r="DD48" s="700"/>
      <c r="DE48" s="699"/>
      <c r="DF48" s="699"/>
      <c r="DG48" s="699"/>
      <c r="DH48" s="699"/>
      <c r="DI48" s="700"/>
      <c r="DJ48" s="699"/>
      <c r="DK48" s="699"/>
      <c r="DL48" s="699"/>
      <c r="DM48" s="699"/>
      <c r="DN48" s="700"/>
      <c r="DO48" s="699"/>
      <c r="DP48" s="699"/>
      <c r="DQ48" s="699"/>
      <c r="DR48" s="699"/>
      <c r="DS48" s="702"/>
      <c r="DT48" s="699"/>
      <c r="DU48" s="699"/>
      <c r="DV48" s="699"/>
      <c r="DW48" s="699"/>
      <c r="DX48" s="702"/>
      <c r="DY48" s="699"/>
      <c r="DZ48" s="699"/>
      <c r="EA48" s="699"/>
      <c r="EB48" s="699"/>
      <c r="EC48" s="702"/>
      <c r="ED48" s="699"/>
      <c r="EE48" s="699"/>
      <c r="EF48" s="699"/>
      <c r="EG48" s="699"/>
      <c r="EH48" s="700"/>
      <c r="EI48" s="699"/>
      <c r="EJ48" s="699"/>
      <c r="EK48" s="699"/>
      <c r="EL48" s="699"/>
      <c r="EM48" s="700"/>
      <c r="EN48" s="699"/>
      <c r="EO48" s="699"/>
      <c r="EP48" s="699"/>
      <c r="EQ48" s="699"/>
      <c r="ER48" s="700"/>
      <c r="ES48" s="699"/>
      <c r="ET48" s="699"/>
      <c r="EU48" s="699"/>
      <c r="EV48" s="699"/>
      <c r="EW48" s="700"/>
      <c r="EX48" s="699"/>
      <c r="EY48" s="699"/>
      <c r="EZ48" s="699"/>
      <c r="FA48" s="699"/>
      <c r="FB48" s="700"/>
      <c r="FC48" s="699"/>
      <c r="FD48" s="699"/>
      <c r="FE48" s="699"/>
      <c r="FF48" s="699"/>
      <c r="FG48" s="700"/>
      <c r="FH48" s="699"/>
      <c r="FI48" s="699"/>
      <c r="FJ48" s="699"/>
      <c r="FK48" s="699"/>
      <c r="FL48" s="700"/>
      <c r="FM48" s="261"/>
      <c r="FN48" s="261"/>
      <c r="FO48" s="261"/>
      <c r="FP48" s="261"/>
      <c r="FQ48" s="261"/>
      <c r="FR48" s="261"/>
      <c r="FS48" s="261"/>
      <c r="FT48" s="261"/>
      <c r="FU48" s="261"/>
      <c r="FV48" s="261"/>
      <c r="FW48" s="261"/>
      <c r="FX48" s="261"/>
      <c r="FY48" s="261"/>
      <c r="FZ48" s="261"/>
      <c r="GA48" s="261"/>
      <c r="GB48" s="261"/>
      <c r="GC48" s="261"/>
      <c r="GD48" s="261"/>
      <c r="GE48" s="261"/>
      <c r="GF48" s="261"/>
      <c r="GG48" s="261"/>
      <c r="GH48" s="261"/>
      <c r="GI48" s="261"/>
      <c r="GJ48" s="261"/>
      <c r="GK48" s="261"/>
      <c r="GL48" s="261"/>
      <c r="GM48" s="261"/>
      <c r="GN48" s="261"/>
      <c r="GO48" s="261"/>
      <c r="GP48" s="261"/>
      <c r="GQ48" s="261"/>
      <c r="GR48" s="261"/>
      <c r="GS48" s="261"/>
      <c r="GT48" s="261"/>
      <c r="GU48" s="261"/>
      <c r="GV48" s="261"/>
      <c r="GW48" s="261"/>
      <c r="GX48" s="261"/>
      <c r="GY48" s="261"/>
      <c r="GZ48" s="261"/>
      <c r="HA48" s="261"/>
      <c r="HB48" s="261"/>
      <c r="HC48" s="261"/>
      <c r="HD48" s="261"/>
      <c r="HE48" s="261"/>
      <c r="HF48" s="261"/>
      <c r="HG48" s="261"/>
      <c r="HH48" s="261"/>
      <c r="HI48" s="261"/>
      <c r="HJ48" s="261"/>
      <c r="HK48" s="261"/>
      <c r="HL48" s="261"/>
      <c r="HM48" s="261"/>
      <c r="HN48" s="261"/>
      <c r="HO48" s="261"/>
      <c r="HP48" s="261"/>
      <c r="HQ48" s="261"/>
      <c r="HR48" s="261"/>
      <c r="HS48" s="261"/>
      <c r="HT48" s="261"/>
      <c r="HU48" s="261"/>
      <c r="HV48" s="261"/>
      <c r="HW48" s="261"/>
      <c r="HX48" s="261"/>
      <c r="HY48" s="261"/>
      <c r="HZ48" s="261"/>
      <c r="IA48" s="261"/>
      <c r="IB48" s="261"/>
      <c r="IC48" s="261"/>
      <c r="ID48" s="261"/>
      <c r="IE48" s="261"/>
      <c r="IF48" s="261"/>
      <c r="IG48" s="261"/>
      <c r="IH48" s="261"/>
      <c r="II48" s="261"/>
      <c r="IJ48" s="261"/>
      <c r="IK48" s="261"/>
      <c r="IL48" s="261"/>
      <c r="IM48" s="261"/>
      <c r="IN48" s="261"/>
      <c r="IO48" s="261"/>
      <c r="IP48" s="261"/>
      <c r="IQ48" s="261"/>
      <c r="IR48" s="261"/>
      <c r="IS48" s="261"/>
      <c r="IT48" s="261"/>
      <c r="IU48" s="261"/>
      <c r="IV48" s="261"/>
      <c r="IW48" s="261"/>
      <c r="IX48" s="261"/>
      <c r="IY48" s="261"/>
      <c r="IZ48" s="261"/>
      <c r="JA48" s="261"/>
      <c r="JB48" s="261"/>
      <c r="JC48" s="261"/>
      <c r="JD48" s="261"/>
      <c r="JE48" s="261"/>
      <c r="JF48" s="261"/>
      <c r="JG48" s="261"/>
      <c r="JH48" s="261"/>
      <c r="JI48" s="261"/>
      <c r="JJ48" s="261"/>
      <c r="JK48" s="261"/>
      <c r="JL48" s="261"/>
      <c r="JM48" s="261"/>
      <c r="JN48" s="261"/>
      <c r="JO48" s="261"/>
    </row>
    <row r="49" spans="1:275" s="651" customFormat="1" ht="11.25" customHeight="1">
      <c r="A49" s="660" t="s">
        <v>598</v>
      </c>
      <c r="B49" s="644"/>
      <c r="C49" s="644"/>
      <c r="D49" s="644"/>
      <c r="E49" s="644"/>
      <c r="F49" s="644"/>
      <c r="G49" s="644"/>
      <c r="H49" s="644"/>
      <c r="I49" s="644"/>
      <c r="J49" s="644"/>
      <c r="K49" s="644"/>
      <c r="L49" s="644"/>
      <c r="M49" s="644"/>
      <c r="N49" s="644"/>
      <c r="O49" s="644"/>
      <c r="P49" s="644"/>
      <c r="Q49" s="644"/>
      <c r="R49" s="644"/>
      <c r="S49" s="644"/>
      <c r="T49" s="644"/>
      <c r="U49" s="644"/>
      <c r="V49" s="644"/>
      <c r="W49" s="644"/>
      <c r="X49" s="644"/>
      <c r="Y49" s="644"/>
      <c r="Z49" s="644"/>
      <c r="AA49" s="644"/>
      <c r="AB49" s="644"/>
      <c r="AC49" s="644"/>
      <c r="AD49" s="644"/>
      <c r="AE49" s="644"/>
      <c r="AF49" s="644"/>
      <c r="AG49" s="644"/>
      <c r="AH49" s="644"/>
      <c r="AI49" s="644"/>
      <c r="AJ49" s="644"/>
      <c r="AK49" s="644"/>
      <c r="AL49" s="644"/>
      <c r="AM49" s="644"/>
      <c r="AN49" s="644"/>
      <c r="AO49" s="644"/>
      <c r="AP49" s="644"/>
      <c r="AQ49" s="644"/>
      <c r="AR49" s="644"/>
      <c r="AS49" s="644"/>
      <c r="AT49" s="644"/>
      <c r="AU49" s="644"/>
      <c r="AV49" s="644"/>
      <c r="AW49" s="644"/>
      <c r="AX49" s="644"/>
      <c r="AY49" s="644"/>
      <c r="AZ49" s="644"/>
      <c r="BA49" s="644"/>
      <c r="BB49" s="644"/>
      <c r="BC49" s="644"/>
      <c r="BD49" s="644"/>
      <c r="BE49" s="644"/>
      <c r="BF49" s="644"/>
      <c r="BG49" s="644"/>
      <c r="BH49" s="644"/>
      <c r="BI49" s="644"/>
      <c r="BJ49" s="644"/>
      <c r="BK49" s="644"/>
      <c r="BL49" s="644"/>
      <c r="BM49" s="644"/>
      <c r="BN49" s="644"/>
      <c r="BO49" s="644"/>
      <c r="BP49" s="644"/>
      <c r="BQ49" s="644"/>
      <c r="BR49" s="644"/>
      <c r="BS49" s="644"/>
      <c r="BT49" s="644"/>
      <c r="BU49" s="644"/>
      <c r="BV49" s="644"/>
      <c r="BW49" s="644"/>
      <c r="BX49" s="644"/>
      <c r="BY49" s="644"/>
      <c r="BZ49" s="661"/>
      <c r="CA49" s="644"/>
      <c r="CB49" s="644"/>
      <c r="CC49" s="644"/>
      <c r="CD49" s="644"/>
      <c r="CE49" s="661"/>
      <c r="CF49" s="644"/>
      <c r="CG49" s="644"/>
      <c r="CH49" s="644"/>
      <c r="CI49" s="644"/>
      <c r="CJ49" s="661"/>
      <c r="CK49" s="644"/>
      <c r="CL49" s="644"/>
      <c r="CM49" s="644"/>
      <c r="CN49" s="644"/>
      <c r="CO49" s="661"/>
      <c r="CP49" s="644"/>
      <c r="CQ49" s="644"/>
      <c r="CR49" s="644"/>
      <c r="CS49" s="644"/>
      <c r="CT49" s="661"/>
      <c r="CU49" s="644"/>
      <c r="CV49" s="644"/>
      <c r="CW49" s="644"/>
      <c r="CX49" s="644"/>
      <c r="CY49" s="661"/>
      <c r="CZ49" s="644"/>
      <c r="DA49" s="644"/>
      <c r="DB49" s="644"/>
      <c r="DC49" s="644"/>
      <c r="DD49" s="661"/>
      <c r="DE49" s="644"/>
      <c r="DF49" s="644"/>
      <c r="DG49" s="644"/>
      <c r="DH49" s="644"/>
      <c r="DI49" s="661"/>
      <c r="DJ49" s="644"/>
      <c r="DK49" s="644"/>
      <c r="DL49" s="644"/>
      <c r="DM49" s="644"/>
      <c r="DN49" s="661"/>
      <c r="DO49" s="644"/>
      <c r="DP49" s="644"/>
      <c r="DQ49" s="644"/>
      <c r="DR49" s="644"/>
      <c r="DS49" s="661"/>
      <c r="DT49" s="644"/>
      <c r="DU49" s="644"/>
      <c r="DV49" s="644"/>
      <c r="DW49" s="644"/>
      <c r="DX49" s="661"/>
      <c r="DY49" s="644"/>
      <c r="DZ49" s="644"/>
      <c r="EA49" s="644"/>
      <c r="EB49" s="644"/>
      <c r="EC49" s="661"/>
      <c r="ED49" s="644"/>
      <c r="EE49" s="644"/>
      <c r="EF49" s="644"/>
      <c r="EG49" s="644"/>
      <c r="EH49" s="661"/>
      <c r="EI49" s="644"/>
      <c r="EJ49" s="644"/>
      <c r="EK49" s="644"/>
      <c r="EL49" s="644"/>
      <c r="EM49" s="661"/>
      <c r="EN49" s="644"/>
      <c r="EO49" s="644"/>
      <c r="EP49" s="644"/>
      <c r="EQ49" s="644"/>
      <c r="ER49" s="661"/>
      <c r="ES49" s="644"/>
      <c r="ET49" s="644"/>
      <c r="EU49" s="644"/>
      <c r="EV49" s="644"/>
      <c r="EW49" s="661"/>
      <c r="EX49" s="644"/>
      <c r="EY49" s="644"/>
      <c r="EZ49" s="644"/>
      <c r="FA49" s="644"/>
      <c r="FB49" s="661"/>
      <c r="FC49" s="644"/>
      <c r="FD49" s="644"/>
      <c r="FE49" s="644"/>
      <c r="FF49" s="644"/>
      <c r="FG49" s="661"/>
      <c r="FH49" s="644"/>
      <c r="FI49" s="644"/>
      <c r="FJ49" s="644"/>
      <c r="FK49" s="644"/>
      <c r="FL49" s="661"/>
      <c r="FM49" s="261"/>
      <c r="FN49" s="261"/>
      <c r="FO49" s="261"/>
      <c r="FP49" s="261"/>
      <c r="FQ49" s="261"/>
      <c r="FR49" s="261"/>
      <c r="FS49" s="261"/>
      <c r="FT49" s="261"/>
      <c r="FU49" s="261"/>
      <c r="FV49" s="261"/>
      <c r="FW49" s="261"/>
      <c r="FX49" s="261"/>
      <c r="FY49" s="261"/>
      <c r="FZ49" s="261"/>
      <c r="GA49" s="261"/>
      <c r="GB49" s="261"/>
      <c r="GC49" s="261"/>
      <c r="GD49" s="261"/>
      <c r="GE49" s="261"/>
      <c r="GF49" s="261"/>
      <c r="GG49" s="261"/>
      <c r="GH49" s="261"/>
      <c r="GI49" s="261"/>
      <c r="GJ49" s="261"/>
      <c r="GK49" s="261"/>
      <c r="GL49" s="261"/>
      <c r="GM49" s="261"/>
      <c r="GN49" s="261"/>
      <c r="GO49" s="261"/>
      <c r="GP49" s="261"/>
      <c r="GQ49" s="261"/>
      <c r="GR49" s="261"/>
      <c r="GS49" s="261"/>
      <c r="GT49" s="261"/>
      <c r="GU49" s="261"/>
      <c r="GV49" s="261"/>
      <c r="GW49" s="261"/>
      <c r="GX49" s="261"/>
      <c r="GY49" s="261"/>
      <c r="GZ49" s="261"/>
      <c r="HA49" s="261"/>
      <c r="HB49" s="261"/>
      <c r="HC49" s="261"/>
      <c r="HD49" s="261"/>
      <c r="HE49" s="261"/>
      <c r="HF49" s="261"/>
      <c r="HG49" s="261"/>
      <c r="HH49" s="261"/>
      <c r="HI49" s="261"/>
      <c r="HJ49" s="261"/>
      <c r="HK49" s="261"/>
      <c r="HL49" s="261"/>
      <c r="HM49" s="261"/>
      <c r="HN49" s="261"/>
      <c r="HO49" s="261"/>
      <c r="HP49" s="261"/>
      <c r="HQ49" s="261"/>
      <c r="HR49" s="261"/>
      <c r="HS49" s="261"/>
      <c r="HT49" s="261"/>
      <c r="HU49" s="261"/>
      <c r="HV49" s="261"/>
      <c r="HW49" s="261"/>
      <c r="HX49" s="261"/>
      <c r="HY49" s="261"/>
      <c r="HZ49" s="261"/>
      <c r="IA49" s="261"/>
      <c r="IB49" s="261"/>
      <c r="IC49" s="261"/>
      <c r="ID49" s="261"/>
      <c r="IE49" s="261"/>
      <c r="IF49" s="261"/>
      <c r="IG49" s="261"/>
      <c r="IH49" s="261"/>
      <c r="II49" s="261"/>
      <c r="IJ49" s="261"/>
      <c r="IK49" s="261"/>
      <c r="IL49" s="261"/>
      <c r="IM49" s="261"/>
      <c r="IN49" s="261"/>
      <c r="IO49" s="261"/>
      <c r="IP49" s="261"/>
      <c r="IQ49" s="261"/>
      <c r="IR49" s="261"/>
      <c r="IS49" s="261"/>
      <c r="IT49" s="261"/>
      <c r="IU49" s="261"/>
      <c r="IV49" s="261"/>
      <c r="IW49" s="261"/>
      <c r="IX49" s="261"/>
      <c r="IY49" s="261"/>
      <c r="IZ49" s="261"/>
      <c r="JA49" s="261"/>
      <c r="JB49" s="261"/>
      <c r="JC49" s="261"/>
      <c r="JD49" s="261"/>
      <c r="JE49" s="261"/>
      <c r="JF49" s="261"/>
      <c r="JG49" s="261"/>
      <c r="JH49" s="261"/>
      <c r="JI49" s="261"/>
      <c r="JJ49" s="261"/>
      <c r="JK49" s="261"/>
      <c r="JL49" s="261"/>
      <c r="JM49" s="261"/>
      <c r="JN49" s="261"/>
      <c r="JO49" s="261"/>
    </row>
    <row r="50" spans="1:275" s="701" customFormat="1" ht="11.25" customHeight="1">
      <c r="A50" s="697" t="s">
        <v>599</v>
      </c>
      <c r="B50" s="698"/>
      <c r="C50" s="699"/>
      <c r="D50" s="699"/>
      <c r="E50" s="699"/>
      <c r="F50" s="699"/>
      <c r="G50" s="699"/>
      <c r="H50" s="699"/>
      <c r="I50" s="699"/>
      <c r="J50" s="699"/>
      <c r="K50" s="699"/>
      <c r="L50" s="699"/>
      <c r="M50" s="699"/>
      <c r="N50" s="699"/>
      <c r="O50" s="699"/>
      <c r="P50" s="699"/>
      <c r="Q50" s="699"/>
      <c r="R50" s="699"/>
      <c r="S50" s="699"/>
      <c r="T50" s="699"/>
      <c r="U50" s="699"/>
      <c r="V50" s="699"/>
      <c r="W50" s="699"/>
      <c r="X50" s="699"/>
      <c r="Y50" s="699"/>
      <c r="Z50" s="699"/>
      <c r="AA50" s="699"/>
      <c r="AB50" s="699"/>
      <c r="AC50" s="699"/>
      <c r="AD50" s="699"/>
      <c r="AE50" s="699"/>
      <c r="AF50" s="699"/>
      <c r="AG50" s="699"/>
      <c r="AH50" s="699"/>
      <c r="AI50" s="699"/>
      <c r="AJ50" s="699"/>
      <c r="AK50" s="699"/>
      <c r="AL50" s="699"/>
      <c r="AM50" s="699"/>
      <c r="AN50" s="699"/>
      <c r="AO50" s="699"/>
      <c r="AP50" s="699"/>
      <c r="AQ50" s="699"/>
      <c r="AR50" s="699"/>
      <c r="AS50" s="699"/>
      <c r="AT50" s="699"/>
      <c r="AU50" s="699"/>
      <c r="AV50" s="699"/>
      <c r="AW50" s="699"/>
      <c r="AX50" s="699"/>
      <c r="AY50" s="699"/>
      <c r="AZ50" s="699"/>
      <c r="BA50" s="699"/>
      <c r="BB50" s="699"/>
      <c r="BC50" s="699"/>
      <c r="BD50" s="699"/>
      <c r="BE50" s="699"/>
      <c r="BF50" s="699"/>
      <c r="BG50" s="699"/>
      <c r="BH50" s="699"/>
      <c r="BI50" s="699"/>
      <c r="BJ50" s="699"/>
      <c r="BK50" s="699"/>
      <c r="BL50" s="699"/>
      <c r="BM50" s="699"/>
      <c r="BN50" s="699"/>
      <c r="BO50" s="699"/>
      <c r="BP50" s="699"/>
      <c r="BQ50" s="699"/>
      <c r="BR50" s="699"/>
      <c r="BS50" s="699"/>
      <c r="BT50" s="699"/>
      <c r="BU50" s="699"/>
      <c r="BV50" s="699"/>
      <c r="BW50" s="699"/>
      <c r="BX50" s="699"/>
      <c r="BY50" s="699"/>
      <c r="BZ50" s="700"/>
      <c r="CA50" s="693">
        <f t="shared" ref="CA50:CX50" si="72">CA57</f>
        <v>0</v>
      </c>
      <c r="CB50" s="693">
        <f t="shared" si="72"/>
        <v>0</v>
      </c>
      <c r="CC50" s="693">
        <f t="shared" si="72"/>
        <v>0</v>
      </c>
      <c r="CD50" s="693">
        <f t="shared" si="72"/>
        <v>0</v>
      </c>
      <c r="CE50" s="667">
        <f>SUM(CA50:CD50)</f>
        <v>0</v>
      </c>
      <c r="CF50" s="693">
        <f t="shared" si="72"/>
        <v>-33.325000000000728</v>
      </c>
      <c r="CG50" s="693">
        <f t="shared" si="72"/>
        <v>-21.102847000000111</v>
      </c>
      <c r="CH50" s="693">
        <f t="shared" si="72"/>
        <v>-112.19391800000085</v>
      </c>
      <c r="CI50" s="693">
        <f t="shared" si="72"/>
        <v>-130.67823500000122</v>
      </c>
      <c r="CJ50" s="667">
        <f>SUM(CF50:CI50)</f>
        <v>-297.30000000000291</v>
      </c>
      <c r="CK50" s="693">
        <f t="shared" si="72"/>
        <v>-111.79999999999927</v>
      </c>
      <c r="CL50" s="693">
        <f t="shared" si="72"/>
        <v>-279</v>
      </c>
      <c r="CM50" s="693">
        <f t="shared" si="72"/>
        <v>-177.79999999999927</v>
      </c>
      <c r="CN50" s="693">
        <f t="shared" si="72"/>
        <v>-171.10000000000036</v>
      </c>
      <c r="CO50" s="667">
        <f>SUM(CK50:CN50)</f>
        <v>-739.69999999999891</v>
      </c>
      <c r="CP50" s="662">
        <f t="shared" si="72"/>
        <v>-284.75</v>
      </c>
      <c r="CQ50" s="662">
        <f t="shared" si="72"/>
        <v>-85.75</v>
      </c>
      <c r="CR50" s="662">
        <f t="shared" si="72"/>
        <v>-247.75</v>
      </c>
      <c r="CS50" s="662">
        <f t="shared" si="72"/>
        <v>-239.25750399999924</v>
      </c>
      <c r="CT50" s="667">
        <f>SUM(CP50:CS50)</f>
        <v>-857.50750399999924</v>
      </c>
      <c r="CU50" s="662">
        <f t="shared" si="72"/>
        <v>-62.492496000000756</v>
      </c>
      <c r="CV50" s="662">
        <f t="shared" si="72"/>
        <v>-90.020253999999113</v>
      </c>
      <c r="CW50" s="662">
        <f t="shared" si="72"/>
        <v>-35.686913000001368</v>
      </c>
      <c r="CX50" s="662">
        <f t="shared" si="72"/>
        <v>-224.99975900000027</v>
      </c>
      <c r="CY50" s="710">
        <f>SUM(CU50:CX50)</f>
        <v>-413.1994220000015</v>
      </c>
      <c r="CZ50" s="662">
        <f>CZ57</f>
        <v>-255.91767681205016</v>
      </c>
      <c r="DA50" s="662">
        <f>DA57</f>
        <v>-23.830770760249294</v>
      </c>
      <c r="DB50" s="662">
        <f>DB57</f>
        <v>-9.2320927220444116</v>
      </c>
      <c r="DC50" s="662">
        <f>DC57</f>
        <v>-16.732583813821186</v>
      </c>
      <c r="DD50" s="710">
        <f>SUM(CZ50:DC50)</f>
        <v>-305.71312410816506</v>
      </c>
      <c r="DE50" s="662">
        <f>DE57</f>
        <v>-6.1079176705254579</v>
      </c>
      <c r="DF50" s="662">
        <f>DF57</f>
        <v>-75.368141298413477</v>
      </c>
      <c r="DG50" s="662">
        <f>DG57</f>
        <v>-106.15002681536797</v>
      </c>
      <c r="DH50" s="662">
        <f>DH57</f>
        <v>-71.981003306498025</v>
      </c>
      <c r="DI50" s="710">
        <f>SUM(DE50:DH50)</f>
        <v>-259.60708909080495</v>
      </c>
      <c r="DJ50" s="662">
        <f>DJ57</f>
        <v>-105.08584843176513</v>
      </c>
      <c r="DK50" s="662">
        <f>DK57</f>
        <v>-144.62770682571258</v>
      </c>
      <c r="DL50" s="662">
        <f>DL57</f>
        <v>-93.722929900608463</v>
      </c>
      <c r="DM50" s="662">
        <f>DM57</f>
        <v>-7.7441128496742513</v>
      </c>
      <c r="DN50" s="710">
        <f>SUM(DJ50:DM50)</f>
        <v>-351.18059800776041</v>
      </c>
      <c r="DO50" s="662">
        <f>DO57</f>
        <v>-54.672832943155576</v>
      </c>
      <c r="DP50" s="662">
        <f>DP57</f>
        <v>-6.8929985938447933</v>
      </c>
      <c r="DQ50" s="662">
        <f>DQ57</f>
        <v>-9.052446082110956</v>
      </c>
      <c r="DR50" s="662">
        <f>DR57</f>
        <v>-39.257333710638903</v>
      </c>
      <c r="DS50" s="903">
        <f>SUM(DO50:DR50)</f>
        <v>-109.87561132975023</v>
      </c>
      <c r="DT50" s="662">
        <f>DT57</f>
        <v>-10.17978542414782</v>
      </c>
      <c r="DU50" s="662">
        <f>DU57</f>
        <v>-20.781230457375521</v>
      </c>
      <c r="DV50" s="662">
        <f>DV57</f>
        <v>-47.126189621924894</v>
      </c>
      <c r="DW50" s="662">
        <f>DW57</f>
        <v>-37.518600051020442</v>
      </c>
      <c r="DX50" s="903">
        <f>SUM(DT50:DW50)</f>
        <v>-115.60580555446867</v>
      </c>
      <c r="DY50" s="662">
        <f>DY57</f>
        <v>-25.4830559651943</v>
      </c>
      <c r="DZ50" s="662">
        <f>DZ57</f>
        <v>-32.431296277047025</v>
      </c>
      <c r="EA50" s="662">
        <f>EA57</f>
        <v>-61.97332717487329</v>
      </c>
      <c r="EB50" s="662">
        <f>EB57</f>
        <v>-58.567417811732149</v>
      </c>
      <c r="EC50" s="903">
        <f>SUM(DY50:EB50)</f>
        <v>-178.45509722884677</v>
      </c>
      <c r="ED50" s="662">
        <f>ED57</f>
        <v>-18.623348028014167</v>
      </c>
      <c r="EE50" s="662">
        <f>EE57</f>
        <v>-42.904049074410857</v>
      </c>
      <c r="EF50" s="662">
        <f>EF57</f>
        <v>-83.66545038699897</v>
      </c>
      <c r="EG50" s="662">
        <f>EG57</f>
        <v>-129.48633219128837</v>
      </c>
      <c r="EH50" s="710">
        <f>SUM(ED50:EG50)</f>
        <v>-274.67917968071237</v>
      </c>
      <c r="EI50" s="662">
        <f>EI57</f>
        <v>-99.369040845792114</v>
      </c>
      <c r="EJ50" s="662">
        <f>EJ57</f>
        <v>-86.316127028532563</v>
      </c>
      <c r="EK50" s="662">
        <f>EK57</f>
        <v>-81.330354050646918</v>
      </c>
      <c r="EL50" s="662">
        <f>EL57</f>
        <v>-89.414706898066299</v>
      </c>
      <c r="EM50" s="710">
        <f>SUM(EI50:EL50)</f>
        <v>-356.43022882303791</v>
      </c>
      <c r="EN50" s="662">
        <f>EN57</f>
        <v>-52.57240203132239</v>
      </c>
      <c r="EO50" s="662">
        <f>EO57</f>
        <v>-83.806897976108942</v>
      </c>
      <c r="EP50" s="662">
        <f>EP57</f>
        <v>-38.121906739992617</v>
      </c>
      <c r="EQ50" s="662">
        <f>EQ57</f>
        <v>-40.521406093427771</v>
      </c>
      <c r="ER50" s="710">
        <f>SUM(EN50:EQ50)</f>
        <v>-215.02261284085174</v>
      </c>
      <c r="ES50" s="662">
        <f>ES57</f>
        <v>-29.009652756290237</v>
      </c>
      <c r="ET50" s="662">
        <f>ET57</f>
        <v>-50.591196534133402</v>
      </c>
      <c r="EU50" s="662">
        <f>EU57</f>
        <v>-52.270895451727</v>
      </c>
      <c r="EV50" s="662">
        <f>EV57</f>
        <v>-39.05393193476629</v>
      </c>
      <c r="EW50" s="710">
        <f>SUM(ES50:EV50)</f>
        <v>-170.92567667691694</v>
      </c>
      <c r="EX50" s="662">
        <f>EX57</f>
        <v>-55.709935266908992</v>
      </c>
      <c r="EY50" s="662">
        <f>EY57</f>
        <v>-57.530354590765896</v>
      </c>
      <c r="EZ50" s="662">
        <f>EZ57</f>
        <v>-59.630617351315699</v>
      </c>
      <c r="FA50" s="662">
        <f>FA57</f>
        <v>-61.858588775940099</v>
      </c>
      <c r="FB50" s="710">
        <f>SUM(EX50:FA50)</f>
        <v>-234.72949598493068</v>
      </c>
      <c r="FC50" s="662">
        <f>FC57</f>
        <v>-63.195939790439141</v>
      </c>
      <c r="FD50" s="662">
        <f>FD57</f>
        <v>-65.581703008815211</v>
      </c>
      <c r="FE50" s="662">
        <f>FE57</f>
        <v>-68.24155996598985</v>
      </c>
      <c r="FF50" s="662">
        <f>FF57</f>
        <v>-71.060238374852872</v>
      </c>
      <c r="FG50" s="710">
        <f>SUM(FC50:FF50)</f>
        <v>-268.07944114009706</v>
      </c>
      <c r="FH50" s="662">
        <f>FH57</f>
        <v>-66.182432697678991</v>
      </c>
      <c r="FI50" s="662">
        <f>FI57</f>
        <v>-69.269634607410239</v>
      </c>
      <c r="FJ50" s="662">
        <f>FJ57</f>
        <v>-72.640900647690472</v>
      </c>
      <c r="FK50" s="662">
        <f>FK57</f>
        <v>-76.210556423682618</v>
      </c>
      <c r="FL50" s="710">
        <f>SUM(FH50:FK50)</f>
        <v>-284.30352437646229</v>
      </c>
      <c r="FM50" s="261"/>
      <c r="FN50" s="261"/>
      <c r="FO50" s="261"/>
      <c r="FP50" s="261"/>
      <c r="FQ50" s="261"/>
      <c r="FR50" s="261"/>
      <c r="FS50" s="261"/>
      <c r="FT50" s="261"/>
      <c r="FU50" s="261"/>
      <c r="FV50" s="261"/>
      <c r="FW50" s="261"/>
      <c r="FX50" s="261"/>
      <c r="FY50" s="261"/>
      <c r="FZ50" s="261"/>
      <c r="GA50" s="261"/>
      <c r="GB50" s="261"/>
      <c r="GC50" s="261"/>
      <c r="GD50" s="261"/>
      <c r="GE50" s="261"/>
      <c r="GF50" s="261"/>
      <c r="GG50" s="261"/>
      <c r="GH50" s="261"/>
      <c r="GI50" s="261"/>
      <c r="GJ50" s="261"/>
      <c r="GK50" s="261"/>
      <c r="GL50" s="261"/>
      <c r="GM50" s="261"/>
      <c r="GN50" s="261"/>
      <c r="GO50" s="261"/>
      <c r="GP50" s="261"/>
      <c r="GQ50" s="261"/>
      <c r="GR50" s="261"/>
      <c r="GS50" s="261"/>
      <c r="GT50" s="261"/>
      <c r="GU50" s="261"/>
      <c r="GV50" s="261"/>
      <c r="GW50" s="261"/>
      <c r="GX50" s="261"/>
      <c r="GY50" s="261"/>
      <c r="GZ50" s="261"/>
      <c r="HA50" s="261"/>
      <c r="HB50" s="261"/>
      <c r="HC50" s="261"/>
      <c r="HD50" s="261"/>
      <c r="HE50" s="261"/>
      <c r="HF50" s="261"/>
      <c r="HG50" s="261"/>
      <c r="HH50" s="261"/>
      <c r="HI50" s="261"/>
      <c r="HJ50" s="261"/>
      <c r="HK50" s="261"/>
      <c r="HL50" s="261"/>
      <c r="HM50" s="261"/>
      <c r="HN50" s="261"/>
      <c r="HO50" s="261"/>
      <c r="HP50" s="261"/>
      <c r="HQ50" s="261"/>
      <c r="HR50" s="261"/>
      <c r="HS50" s="261"/>
      <c r="HT50" s="261"/>
      <c r="HU50" s="261"/>
      <c r="HV50" s="261"/>
      <c r="HW50" s="261"/>
      <c r="HX50" s="261"/>
      <c r="HY50" s="261"/>
      <c r="HZ50" s="261"/>
      <c r="IA50" s="261"/>
      <c r="IB50" s="261"/>
      <c r="IC50" s="261"/>
      <c r="ID50" s="261"/>
      <c r="IE50" s="261"/>
      <c r="IF50" s="261"/>
      <c r="IG50" s="261"/>
      <c r="IH50" s="261"/>
      <c r="II50" s="261"/>
      <c r="IJ50" s="261"/>
      <c r="IK50" s="261"/>
      <c r="IL50" s="261"/>
      <c r="IM50" s="261"/>
      <c r="IN50" s="261"/>
      <c r="IO50" s="261"/>
      <c r="IP50" s="261"/>
      <c r="IQ50" s="261"/>
      <c r="IR50" s="261"/>
      <c r="IS50" s="261"/>
      <c r="IT50" s="261"/>
      <c r="IU50" s="261"/>
      <c r="IV50" s="261"/>
      <c r="IW50" s="261"/>
      <c r="IX50" s="261"/>
      <c r="IY50" s="261"/>
      <c r="IZ50" s="261"/>
      <c r="JA50" s="261"/>
      <c r="JB50" s="261"/>
      <c r="JC50" s="261"/>
      <c r="JD50" s="261"/>
      <c r="JE50" s="261"/>
      <c r="JF50" s="261"/>
      <c r="JG50" s="261"/>
      <c r="JH50" s="261"/>
      <c r="JI50" s="261"/>
      <c r="JJ50" s="261"/>
      <c r="JK50" s="261"/>
      <c r="JL50" s="261"/>
      <c r="JM50" s="261"/>
      <c r="JN50" s="261"/>
      <c r="JO50" s="261"/>
    </row>
    <row r="51" spans="1:275" s="701" customFormat="1" ht="11.25" customHeight="1">
      <c r="A51" s="697" t="s">
        <v>600</v>
      </c>
      <c r="B51" s="698"/>
      <c r="C51" s="699"/>
      <c r="D51" s="699"/>
      <c r="E51" s="699"/>
      <c r="F51" s="699"/>
      <c r="G51" s="699"/>
      <c r="H51" s="699"/>
      <c r="I51" s="699"/>
      <c r="J51" s="699"/>
      <c r="K51" s="699"/>
      <c r="L51" s="699"/>
      <c r="M51" s="699"/>
      <c r="N51" s="699"/>
      <c r="O51" s="699"/>
      <c r="P51" s="699"/>
      <c r="Q51" s="699"/>
      <c r="R51" s="699"/>
      <c r="S51" s="699"/>
      <c r="T51" s="699"/>
      <c r="U51" s="699"/>
      <c r="V51" s="699"/>
      <c r="W51" s="699"/>
      <c r="X51" s="699"/>
      <c r="Y51" s="699"/>
      <c r="Z51" s="699"/>
      <c r="AA51" s="699"/>
      <c r="AB51" s="699"/>
      <c r="AC51" s="699"/>
      <c r="AD51" s="699"/>
      <c r="AE51" s="699"/>
      <c r="AF51" s="699"/>
      <c r="AG51" s="699"/>
      <c r="AH51" s="699"/>
      <c r="AI51" s="699"/>
      <c r="AJ51" s="699"/>
      <c r="AK51" s="699"/>
      <c r="AL51" s="699"/>
      <c r="AM51" s="699"/>
      <c r="AN51" s="699"/>
      <c r="AO51" s="699"/>
      <c r="AP51" s="699"/>
      <c r="AQ51" s="699"/>
      <c r="AR51" s="699"/>
      <c r="AS51" s="699"/>
      <c r="AT51" s="699"/>
      <c r="AU51" s="699"/>
      <c r="AV51" s="699"/>
      <c r="AW51" s="699"/>
      <c r="AX51" s="699"/>
      <c r="AY51" s="699"/>
      <c r="AZ51" s="699"/>
      <c r="BA51" s="699"/>
      <c r="BB51" s="699"/>
      <c r="BC51" s="699"/>
      <c r="BD51" s="699"/>
      <c r="BE51" s="699"/>
      <c r="BF51" s="699"/>
      <c r="BG51" s="699"/>
      <c r="BH51" s="699"/>
      <c r="BI51" s="699"/>
      <c r="BJ51" s="699"/>
      <c r="BK51" s="699"/>
      <c r="BL51" s="699"/>
      <c r="BM51" s="699"/>
      <c r="BN51" s="699"/>
      <c r="BO51" s="699"/>
      <c r="BP51" s="699"/>
      <c r="BQ51" s="699"/>
      <c r="BR51" s="699"/>
      <c r="BS51" s="699"/>
      <c r="BT51" s="699"/>
      <c r="BU51" s="699"/>
      <c r="BV51" s="699"/>
      <c r="BW51" s="699"/>
      <c r="BX51" s="699"/>
      <c r="BY51" s="699"/>
      <c r="BZ51" s="700"/>
      <c r="CA51" s="647">
        <f t="shared" ref="CA51:CX51" si="73">CA7</f>
        <v>27.0886</v>
      </c>
      <c r="CB51" s="647">
        <f t="shared" si="73"/>
        <v>27.022520000000004</v>
      </c>
      <c r="CC51" s="647">
        <f t="shared" si="73"/>
        <v>26.668730000000004</v>
      </c>
      <c r="CD51" s="647">
        <f t="shared" si="73"/>
        <v>26.394840000000002</v>
      </c>
      <c r="CE51" s="711">
        <f>AVERAGE(CA51:CD51)</f>
        <v>26.793672500000003</v>
      </c>
      <c r="CF51" s="647">
        <f t="shared" si="73"/>
        <v>27.669540000000001</v>
      </c>
      <c r="CG51" s="647">
        <f t="shared" si="73"/>
        <v>27.711060000000003</v>
      </c>
      <c r="CH51" s="647">
        <f t="shared" si="73"/>
        <v>25.619030000000002</v>
      </c>
      <c r="CI51" s="647">
        <f t="shared" si="73"/>
        <v>25.147270000000002</v>
      </c>
      <c r="CJ51" s="711">
        <f>AVERAGE(CF51:CI51)</f>
        <v>26.536725000000001</v>
      </c>
      <c r="CK51" s="647">
        <f t="shared" si="73"/>
        <v>26.245850000000001</v>
      </c>
      <c r="CL51" s="647">
        <f t="shared" si="73"/>
        <v>26.423590000000001</v>
      </c>
      <c r="CM51" s="647">
        <f t="shared" si="73"/>
        <v>27.023810000000001</v>
      </c>
      <c r="CN51" s="647">
        <f t="shared" si="73"/>
        <v>24.25431</v>
      </c>
      <c r="CO51" s="711">
        <f>AVERAGE(CK51:CN51)</f>
        <v>25.986890000000002</v>
      </c>
      <c r="CP51" s="647">
        <f t="shared" si="73"/>
        <v>33.85172</v>
      </c>
      <c r="CQ51" s="647">
        <f t="shared" si="73"/>
        <v>28.983260000000001</v>
      </c>
      <c r="CR51" s="647">
        <f t="shared" si="73"/>
        <v>29.103220000000004</v>
      </c>
      <c r="CS51" s="647">
        <f t="shared" si="73"/>
        <v>29.825610000000001</v>
      </c>
      <c r="CT51" s="711">
        <f>AVERAGE(CP51:CS51)</f>
        <v>30.440952500000002</v>
      </c>
      <c r="CU51" s="647">
        <f t="shared" si="73"/>
        <v>29.260230000000004</v>
      </c>
      <c r="CV51" s="647">
        <f t="shared" si="73"/>
        <v>33.406350000000003</v>
      </c>
      <c r="CW51" s="647">
        <f t="shared" si="73"/>
        <v>30.333630000000003</v>
      </c>
      <c r="CX51" s="647">
        <f t="shared" si="73"/>
        <v>28.819850000000002</v>
      </c>
      <c r="CY51" s="712">
        <f>AVERAGE(CU51:CX51)</f>
        <v>30.455015000000003</v>
      </c>
      <c r="CZ51" s="647">
        <f>CZ7</f>
        <v>26.119996</v>
      </c>
      <c r="DA51" s="647">
        <f>DA7</f>
        <v>19.439988</v>
      </c>
      <c r="DB51" s="647">
        <f>DB7</f>
        <v>15.15</v>
      </c>
      <c r="DC51" s="647">
        <f>DC7</f>
        <v>22.079986999999999</v>
      </c>
      <c r="DD51" s="712">
        <f>AVERAGE(CZ51:DC51)</f>
        <v>20.697492749999999</v>
      </c>
      <c r="DE51" s="647">
        <f>DE7</f>
        <v>24.779999</v>
      </c>
      <c r="DF51" s="647">
        <f>DF7</f>
        <v>29.709992</v>
      </c>
      <c r="DG51" s="647">
        <f>DG7</f>
        <v>31.989991</v>
      </c>
      <c r="DH51" s="647">
        <f>DH7</f>
        <v>29.649994</v>
      </c>
      <c r="DI51" s="712">
        <f>AVERAGE(DE51:DH51)</f>
        <v>29.032494</v>
      </c>
      <c r="DJ51" s="647">
        <f>DJ7</f>
        <v>30.759995</v>
      </c>
      <c r="DK51" s="647">
        <f>DK7</f>
        <v>30.759995</v>
      </c>
      <c r="DL51" s="647">
        <f>DL7</f>
        <v>31.989991</v>
      </c>
      <c r="DM51" s="647">
        <f>DM7</f>
        <v>23.704986999999999</v>
      </c>
      <c r="DN51" s="712">
        <f>AVERAGE(DJ51:DM51)</f>
        <v>29.303742</v>
      </c>
      <c r="DO51" s="647">
        <f>DO7</f>
        <v>30.759995</v>
      </c>
      <c r="DP51" s="647">
        <f>DP7</f>
        <v>25.959992</v>
      </c>
      <c r="DQ51" s="647">
        <f>DQ7</f>
        <v>32.039994</v>
      </c>
      <c r="DR51" s="647">
        <f>DR7</f>
        <v>28.604996</v>
      </c>
      <c r="DS51" s="904">
        <f>AVERAGE(DO51:DR51)</f>
        <v>29.341244250000003</v>
      </c>
      <c r="DT51" s="647">
        <f>DT7</f>
        <v>28.604996</v>
      </c>
      <c r="DU51" s="647">
        <f>DU7</f>
        <v>28.604996</v>
      </c>
      <c r="DV51" s="647">
        <f>DV7</f>
        <v>28.604996</v>
      </c>
      <c r="DW51" s="647">
        <f>DW7</f>
        <v>28.604996</v>
      </c>
      <c r="DX51" s="904">
        <f>AVERAGE(DT51:DW51)</f>
        <v>28.604996</v>
      </c>
      <c r="DY51" s="647">
        <f>DY7</f>
        <v>34</v>
      </c>
      <c r="DZ51" s="647">
        <f>DZ7</f>
        <v>36</v>
      </c>
      <c r="EA51" s="647">
        <f>EA7</f>
        <v>36</v>
      </c>
      <c r="EB51" s="647">
        <f>EB7</f>
        <v>36.868092807040021</v>
      </c>
      <c r="EC51" s="904">
        <f>AVERAGE(DY51:EB51)</f>
        <v>35.717023201760007</v>
      </c>
      <c r="ED51" s="647">
        <f>ED7</f>
        <v>38.983261872023881</v>
      </c>
      <c r="EE51" s="647">
        <f>EE7</f>
        <v>41.219780858656264</v>
      </c>
      <c r="EF51" s="647">
        <f>EF7</f>
        <v>43.584611765260554</v>
      </c>
      <c r="EG51" s="647">
        <f>EG7</f>
        <v>44.635597542234294</v>
      </c>
      <c r="EH51" s="712">
        <f>AVERAGE(ED51:EG51)</f>
        <v>42.105813009543752</v>
      </c>
      <c r="EI51" s="647">
        <f>EI7</f>
        <v>45.711926463466156</v>
      </c>
      <c r="EJ51" s="647">
        <f>EJ7</f>
        <v>52.57</v>
      </c>
      <c r="EK51" s="647">
        <f>EK7</f>
        <v>52.42</v>
      </c>
      <c r="EL51" s="647">
        <f>EL7</f>
        <v>51.96</v>
      </c>
      <c r="EM51" s="712">
        <f>AVERAGE(EI51:EL51)</f>
        <v>50.665481615866547</v>
      </c>
      <c r="EN51" s="647">
        <f>EN7</f>
        <v>57</v>
      </c>
      <c r="EO51" s="647">
        <f>EO7</f>
        <v>62.5</v>
      </c>
      <c r="EP51" s="647">
        <f>EP7</f>
        <v>64</v>
      </c>
      <c r="EQ51" s="647">
        <f>EQ7</f>
        <v>70</v>
      </c>
      <c r="ER51" s="712">
        <f>AVERAGE(EN51:EQ51)</f>
        <v>63.375</v>
      </c>
      <c r="ES51" s="647">
        <v>73</v>
      </c>
      <c r="ET51" s="647">
        <f>ET7</f>
        <v>85</v>
      </c>
      <c r="EU51" s="647">
        <f>EU7</f>
        <v>90</v>
      </c>
      <c r="EV51" s="647">
        <f>EV7</f>
        <v>91.94368581030615</v>
      </c>
      <c r="EW51" s="712">
        <f>AVERAGE(ES51:EV51)</f>
        <v>84.985921452576534</v>
      </c>
      <c r="EX51" s="647">
        <f>EX7</f>
        <v>93.92934844871435</v>
      </c>
      <c r="EY51" s="647">
        <f>EY7</f>
        <v>95.95789446817065</v>
      </c>
      <c r="EZ51" s="647">
        <f>EZ7</f>
        <v>98.030249999999953</v>
      </c>
      <c r="FA51" s="647">
        <f>FA7</f>
        <v>100.14736117673066</v>
      </c>
      <c r="FB51" s="712">
        <f>AVERAGE(EX51:FA51)</f>
        <v>97.016213523403906</v>
      </c>
      <c r="FC51" s="647">
        <f>FC7</f>
        <v>102.31019456405083</v>
      </c>
      <c r="FD51" s="647">
        <f>FD7</f>
        <v>104.51973760209313</v>
      </c>
      <c r="FE51" s="647">
        <f>FE7</f>
        <v>106.77699905624991</v>
      </c>
      <c r="FF51" s="647">
        <f>FF7</f>
        <v>109.08300947772442</v>
      </c>
      <c r="FG51" s="712">
        <f>AVERAGE(FC51:FF51)</f>
        <v>105.67248517502958</v>
      </c>
      <c r="FH51" s="647">
        <f>FH7</f>
        <v>111.43882167402823</v>
      </c>
      <c r="FI51" s="647">
        <f>FI7</f>
        <v>113.84551118963985</v>
      </c>
      <c r="FJ51" s="647">
        <f>FJ7</f>
        <v>116.30417679704377</v>
      </c>
      <c r="FK51" s="647">
        <f>FK7</f>
        <v>118.81594099837433</v>
      </c>
      <c r="FL51" s="712">
        <f>AVERAGE(FH51:FK51)</f>
        <v>115.10111266477155</v>
      </c>
      <c r="FM51" s="261"/>
      <c r="FN51" s="261"/>
      <c r="FO51" s="261"/>
      <c r="FP51" s="261"/>
      <c r="FQ51" s="261"/>
      <c r="FR51" s="261"/>
      <c r="FS51" s="261"/>
      <c r="FT51" s="261"/>
      <c r="FU51" s="261"/>
      <c r="FV51" s="261"/>
      <c r="FW51" s="261"/>
      <c r="FX51" s="261"/>
      <c r="FY51" s="261"/>
      <c r="FZ51" s="261"/>
      <c r="GA51" s="261"/>
      <c r="GB51" s="261"/>
      <c r="GC51" s="261"/>
      <c r="GD51" s="261"/>
      <c r="GE51" s="261"/>
      <c r="GF51" s="261"/>
      <c r="GG51" s="261"/>
      <c r="GH51" s="261"/>
      <c r="GI51" s="261"/>
      <c r="GJ51" s="261"/>
      <c r="GK51" s="261"/>
      <c r="GL51" s="261"/>
      <c r="GM51" s="261"/>
      <c r="GN51" s="261"/>
      <c r="GO51" s="261"/>
      <c r="GP51" s="261"/>
      <c r="GQ51" s="261"/>
      <c r="GR51" s="261"/>
      <c r="GS51" s="261"/>
      <c r="GT51" s="261"/>
      <c r="GU51" s="261"/>
      <c r="GV51" s="261"/>
      <c r="GW51" s="261"/>
      <c r="GX51" s="261"/>
      <c r="GY51" s="261"/>
      <c r="GZ51" s="261"/>
      <c r="HA51" s="261"/>
      <c r="HB51" s="261"/>
      <c r="HC51" s="261"/>
      <c r="HD51" s="261"/>
      <c r="HE51" s="261"/>
      <c r="HF51" s="261"/>
      <c r="HG51" s="261"/>
      <c r="HH51" s="261"/>
      <c r="HI51" s="261"/>
      <c r="HJ51" s="261"/>
      <c r="HK51" s="261"/>
      <c r="HL51" s="261"/>
      <c r="HM51" s="261"/>
      <c r="HN51" s="261"/>
      <c r="HO51" s="261"/>
      <c r="HP51" s="261"/>
      <c r="HQ51" s="261"/>
      <c r="HR51" s="261"/>
      <c r="HS51" s="261"/>
      <c r="HT51" s="261"/>
      <c r="HU51" s="261"/>
      <c r="HV51" s="261"/>
      <c r="HW51" s="261"/>
      <c r="HX51" s="261"/>
      <c r="HY51" s="261"/>
      <c r="HZ51" s="261"/>
      <c r="IA51" s="261"/>
      <c r="IB51" s="261"/>
      <c r="IC51" s="261"/>
      <c r="ID51" s="261"/>
      <c r="IE51" s="261"/>
      <c r="IF51" s="261"/>
      <c r="IG51" s="261"/>
      <c r="IH51" s="261"/>
      <c r="II51" s="261"/>
      <c r="IJ51" s="261"/>
      <c r="IK51" s="261"/>
      <c r="IL51" s="261"/>
      <c r="IM51" s="261"/>
      <c r="IN51" s="261"/>
      <c r="IO51" s="261"/>
      <c r="IP51" s="261"/>
      <c r="IQ51" s="261"/>
      <c r="IR51" s="261"/>
      <c r="IS51" s="261"/>
      <c r="IT51" s="261"/>
      <c r="IU51" s="261"/>
      <c r="IV51" s="261"/>
      <c r="IW51" s="261"/>
      <c r="IX51" s="261"/>
      <c r="IY51" s="261"/>
      <c r="IZ51" s="261"/>
      <c r="JA51" s="261"/>
      <c r="JB51" s="261"/>
      <c r="JC51" s="261"/>
      <c r="JD51" s="261"/>
      <c r="JE51" s="261"/>
      <c r="JF51" s="261"/>
      <c r="JG51" s="261"/>
      <c r="JH51" s="261"/>
      <c r="JI51" s="261"/>
      <c r="JJ51" s="261"/>
      <c r="JK51" s="261"/>
      <c r="JL51" s="261"/>
      <c r="JM51" s="261"/>
      <c r="JN51" s="261"/>
      <c r="JO51" s="261"/>
    </row>
    <row r="52" spans="1:275" s="701" customFormat="1" ht="11.25" customHeight="1">
      <c r="A52" s="697"/>
      <c r="B52" s="698"/>
      <c r="C52" s="699"/>
      <c r="D52" s="699"/>
      <c r="E52" s="699"/>
      <c r="F52" s="699"/>
      <c r="G52" s="699"/>
      <c r="H52" s="699"/>
      <c r="I52" s="699"/>
      <c r="J52" s="699"/>
      <c r="K52" s="699"/>
      <c r="L52" s="699"/>
      <c r="M52" s="699"/>
      <c r="N52" s="699"/>
      <c r="O52" s="699"/>
      <c r="P52" s="699"/>
      <c r="Q52" s="699"/>
      <c r="R52" s="699"/>
      <c r="S52" s="699"/>
      <c r="T52" s="699"/>
      <c r="U52" s="699"/>
      <c r="V52" s="699"/>
      <c r="W52" s="699"/>
      <c r="X52" s="699"/>
      <c r="Y52" s="699"/>
      <c r="Z52" s="699"/>
      <c r="AA52" s="699"/>
      <c r="AB52" s="699"/>
      <c r="AC52" s="699"/>
      <c r="AD52" s="699"/>
      <c r="AE52" s="699"/>
      <c r="AF52" s="699"/>
      <c r="AG52" s="699"/>
      <c r="AH52" s="699"/>
      <c r="AI52" s="699"/>
      <c r="AJ52" s="699"/>
      <c r="AK52" s="699"/>
      <c r="AL52" s="699"/>
      <c r="AM52" s="699"/>
      <c r="AN52" s="699"/>
      <c r="AO52" s="699"/>
      <c r="AP52" s="699"/>
      <c r="AQ52" s="699"/>
      <c r="AR52" s="699"/>
      <c r="AS52" s="699"/>
      <c r="AT52" s="699"/>
      <c r="AU52" s="699"/>
      <c r="AV52" s="699"/>
      <c r="AW52" s="699"/>
      <c r="AX52" s="699"/>
      <c r="AY52" s="699"/>
      <c r="AZ52" s="699"/>
      <c r="BA52" s="699"/>
      <c r="BB52" s="699"/>
      <c r="BC52" s="699"/>
      <c r="BD52" s="699"/>
      <c r="BE52" s="699"/>
      <c r="BF52" s="699"/>
      <c r="BG52" s="699"/>
      <c r="BH52" s="699"/>
      <c r="BI52" s="699"/>
      <c r="BJ52" s="699"/>
      <c r="BK52" s="699"/>
      <c r="BL52" s="699"/>
      <c r="BM52" s="699"/>
      <c r="BN52" s="699"/>
      <c r="BO52" s="699"/>
      <c r="BP52" s="699"/>
      <c r="BQ52" s="699"/>
      <c r="BR52" s="699"/>
      <c r="BS52" s="699"/>
      <c r="BT52" s="699"/>
      <c r="BU52" s="699"/>
      <c r="BV52" s="699"/>
      <c r="BW52" s="699"/>
      <c r="BX52" s="699"/>
      <c r="BY52" s="699"/>
      <c r="BZ52" s="700"/>
      <c r="CA52" s="713"/>
      <c r="CB52" s="713"/>
      <c r="CC52" s="713"/>
      <c r="CD52" s="713"/>
      <c r="CE52" s="714"/>
      <c r="CF52" s="713"/>
      <c r="CG52" s="713"/>
      <c r="CH52" s="713"/>
      <c r="CI52" s="713"/>
      <c r="CJ52" s="714"/>
      <c r="CK52" s="713"/>
      <c r="CL52" s="713"/>
      <c r="CM52" s="713"/>
      <c r="CN52" s="713"/>
      <c r="CO52" s="714"/>
      <c r="CP52" s="647"/>
      <c r="CQ52" s="647"/>
      <c r="CR52" s="647"/>
      <c r="CS52" s="647"/>
      <c r="CT52" s="714"/>
      <c r="CU52" s="647"/>
      <c r="CV52" s="647"/>
      <c r="CW52" s="647"/>
      <c r="CX52" s="647"/>
      <c r="CY52" s="714"/>
      <c r="CZ52" s="647"/>
      <c r="DA52" s="647"/>
      <c r="DB52" s="647"/>
      <c r="DC52" s="647"/>
      <c r="DD52" s="714"/>
      <c r="DE52" s="647"/>
      <c r="DF52" s="647"/>
      <c r="DG52" s="647"/>
      <c r="DH52" s="647"/>
      <c r="DI52" s="714"/>
      <c r="DJ52" s="647"/>
      <c r="DK52" s="647"/>
      <c r="DL52" s="647"/>
      <c r="DM52" s="647"/>
      <c r="DN52" s="714"/>
      <c r="DO52" s="647"/>
      <c r="DP52" s="647"/>
      <c r="DQ52" s="647"/>
      <c r="DR52" s="647"/>
      <c r="DS52" s="648"/>
      <c r="DT52" s="647"/>
      <c r="DU52" s="647"/>
      <c r="DV52" s="647"/>
      <c r="DW52" s="647"/>
      <c r="DX52" s="648"/>
      <c r="DY52" s="647"/>
      <c r="DZ52" s="647"/>
      <c r="EA52" s="647"/>
      <c r="EB52" s="647"/>
      <c r="EC52" s="648"/>
      <c r="ED52" s="647"/>
      <c r="EE52" s="647"/>
      <c r="EF52" s="647"/>
      <c r="EG52" s="647"/>
      <c r="EH52" s="714"/>
      <c r="EI52" s="647"/>
      <c r="EJ52" s="647"/>
      <c r="EK52" s="647"/>
      <c r="EL52" s="647"/>
      <c r="EM52" s="714"/>
      <c r="EN52" s="647"/>
      <c r="EO52" s="647"/>
      <c r="EP52" s="647"/>
      <c r="EQ52" s="647"/>
      <c r="ER52" s="714"/>
      <c r="ES52" s="647"/>
      <c r="ET52" s="647"/>
      <c r="EU52" s="647"/>
      <c r="EV52" s="647"/>
      <c r="EW52" s="714"/>
      <c r="EX52" s="647"/>
      <c r="EY52" s="647"/>
      <c r="EZ52" s="647"/>
      <c r="FA52" s="647"/>
      <c r="FB52" s="714"/>
      <c r="FC52" s="647"/>
      <c r="FD52" s="647"/>
      <c r="FE52" s="647"/>
      <c r="FF52" s="647"/>
      <c r="FG52" s="714"/>
      <c r="FH52" s="647"/>
      <c r="FI52" s="647"/>
      <c r="FJ52" s="647"/>
      <c r="FK52" s="647"/>
      <c r="FL52" s="714"/>
      <c r="FM52" s="261"/>
      <c r="FN52" s="261"/>
      <c r="FO52" s="261"/>
      <c r="FP52" s="261"/>
      <c r="FQ52" s="261"/>
      <c r="FR52" s="261"/>
      <c r="FS52" s="261"/>
      <c r="FT52" s="261"/>
      <c r="FU52" s="261"/>
      <c r="FV52" s="261"/>
      <c r="FW52" s="261"/>
      <c r="FX52" s="261"/>
      <c r="FY52" s="261"/>
      <c r="FZ52" s="261"/>
      <c r="GA52" s="261"/>
      <c r="GB52" s="261"/>
      <c r="GC52" s="261"/>
      <c r="GD52" s="261"/>
      <c r="GE52" s="261"/>
      <c r="GF52" s="261"/>
      <c r="GG52" s="261"/>
      <c r="GH52" s="261"/>
      <c r="GI52" s="261"/>
      <c r="GJ52" s="261"/>
      <c r="GK52" s="261"/>
      <c r="GL52" s="261"/>
      <c r="GM52" s="261"/>
      <c r="GN52" s="261"/>
      <c r="GO52" s="261"/>
      <c r="GP52" s="261"/>
      <c r="GQ52" s="261"/>
      <c r="GR52" s="261"/>
      <c r="GS52" s="261"/>
      <c r="GT52" s="261"/>
      <c r="GU52" s="261"/>
      <c r="GV52" s="261"/>
      <c r="GW52" s="261"/>
      <c r="GX52" s="261"/>
      <c r="GY52" s="261"/>
      <c r="GZ52" s="261"/>
      <c r="HA52" s="261"/>
      <c r="HB52" s="261"/>
      <c r="HC52" s="261"/>
      <c r="HD52" s="261"/>
      <c r="HE52" s="261"/>
      <c r="HF52" s="261"/>
      <c r="HG52" s="261"/>
      <c r="HH52" s="261"/>
      <c r="HI52" s="261"/>
      <c r="HJ52" s="261"/>
      <c r="HK52" s="261"/>
      <c r="HL52" s="261"/>
      <c r="HM52" s="261"/>
      <c r="HN52" s="261"/>
      <c r="HO52" s="261"/>
      <c r="HP52" s="261"/>
      <c r="HQ52" s="261"/>
      <c r="HR52" s="261"/>
      <c r="HS52" s="261"/>
      <c r="HT52" s="261"/>
      <c r="HU52" s="261"/>
      <c r="HV52" s="261"/>
      <c r="HW52" s="261"/>
      <c r="HX52" s="261"/>
      <c r="HY52" s="261"/>
      <c r="HZ52" s="261"/>
      <c r="IA52" s="261"/>
      <c r="IB52" s="261"/>
      <c r="IC52" s="261"/>
      <c r="ID52" s="261"/>
      <c r="IE52" s="261"/>
      <c r="IF52" s="261"/>
      <c r="IG52" s="261"/>
      <c r="IH52" s="261"/>
      <c r="II52" s="261"/>
      <c r="IJ52" s="261"/>
      <c r="IK52" s="261"/>
      <c r="IL52" s="261"/>
      <c r="IM52" s="261"/>
      <c r="IN52" s="261"/>
      <c r="IO52" s="261"/>
      <c r="IP52" s="261"/>
      <c r="IQ52" s="261"/>
      <c r="IR52" s="261"/>
      <c r="IS52" s="261"/>
      <c r="IT52" s="261"/>
      <c r="IU52" s="261"/>
      <c r="IV52" s="261"/>
      <c r="IW52" s="261"/>
      <c r="IX52" s="261"/>
      <c r="IY52" s="261"/>
      <c r="IZ52" s="261"/>
      <c r="JA52" s="261"/>
      <c r="JB52" s="261"/>
      <c r="JC52" s="261"/>
      <c r="JD52" s="261"/>
      <c r="JE52" s="261"/>
      <c r="JF52" s="261"/>
      <c r="JG52" s="261"/>
      <c r="JH52" s="261"/>
      <c r="JI52" s="261"/>
      <c r="JJ52" s="261"/>
      <c r="JK52" s="261"/>
      <c r="JL52" s="261"/>
      <c r="JM52" s="261"/>
      <c r="JN52" s="261"/>
      <c r="JO52" s="261"/>
    </row>
    <row r="53" spans="1:275" s="701" customFormat="1" ht="11.25" customHeight="1">
      <c r="A53" s="697" t="s">
        <v>601</v>
      </c>
      <c r="B53" s="698"/>
      <c r="C53" s="699"/>
      <c r="D53" s="699"/>
      <c r="E53" s="699"/>
      <c r="F53" s="699"/>
      <c r="G53" s="699"/>
      <c r="H53" s="699"/>
      <c r="I53" s="699"/>
      <c r="J53" s="699"/>
      <c r="K53" s="699"/>
      <c r="L53" s="699"/>
      <c r="M53" s="699"/>
      <c r="N53" s="699"/>
      <c r="O53" s="699"/>
      <c r="P53" s="699"/>
      <c r="Q53" s="699"/>
      <c r="R53" s="699"/>
      <c r="S53" s="699"/>
      <c r="T53" s="699"/>
      <c r="U53" s="699"/>
      <c r="V53" s="699"/>
      <c r="W53" s="699"/>
      <c r="X53" s="699"/>
      <c r="Y53" s="699"/>
      <c r="Z53" s="699"/>
      <c r="AA53" s="699"/>
      <c r="AB53" s="699"/>
      <c r="AC53" s="699"/>
      <c r="AD53" s="699"/>
      <c r="AE53" s="699"/>
      <c r="AF53" s="699"/>
      <c r="AG53" s="699"/>
      <c r="AH53" s="699"/>
      <c r="AI53" s="699"/>
      <c r="AJ53" s="699"/>
      <c r="AK53" s="699"/>
      <c r="AL53" s="699"/>
      <c r="AM53" s="699"/>
      <c r="AN53" s="699"/>
      <c r="AO53" s="699"/>
      <c r="AP53" s="699"/>
      <c r="AQ53" s="699"/>
      <c r="AR53" s="699"/>
      <c r="AS53" s="699"/>
      <c r="AT53" s="699"/>
      <c r="AU53" s="699"/>
      <c r="AV53" s="699"/>
      <c r="AW53" s="699"/>
      <c r="AX53" s="699"/>
      <c r="AY53" s="699"/>
      <c r="AZ53" s="699"/>
      <c r="BA53" s="699"/>
      <c r="BB53" s="699"/>
      <c r="BC53" s="699"/>
      <c r="BD53" s="699"/>
      <c r="BE53" s="699"/>
      <c r="BF53" s="699"/>
      <c r="BG53" s="699"/>
      <c r="BH53" s="699"/>
      <c r="BI53" s="699"/>
      <c r="BJ53" s="699"/>
      <c r="BK53" s="699"/>
      <c r="BL53" s="699"/>
      <c r="BM53" s="699"/>
      <c r="BN53" s="699"/>
      <c r="BO53" s="699"/>
      <c r="BP53" s="699"/>
      <c r="BQ53" s="699"/>
      <c r="BR53" s="699"/>
      <c r="BS53" s="699"/>
      <c r="BT53" s="699"/>
      <c r="BU53" s="699"/>
      <c r="BV53" s="699"/>
      <c r="BW53" s="699"/>
      <c r="BX53" s="699"/>
      <c r="BY53" s="699"/>
      <c r="BZ53" s="700"/>
      <c r="CA53" s="693">
        <f t="shared" ref="CA53:CN53" si="74">IF(ISERROR(CA50*CA51),"--",CA50*CA51)</f>
        <v>0</v>
      </c>
      <c r="CB53" s="693">
        <f t="shared" si="74"/>
        <v>0</v>
      </c>
      <c r="CC53" s="693">
        <f t="shared" si="74"/>
        <v>0</v>
      </c>
      <c r="CD53" s="693">
        <f t="shared" si="74"/>
        <v>0</v>
      </c>
      <c r="CE53" s="667">
        <f>SUM(CA53:CD53)</f>
        <v>0</v>
      </c>
      <c r="CF53" s="693">
        <f t="shared" si="74"/>
        <v>-922.08742050002013</v>
      </c>
      <c r="CG53" s="693">
        <f t="shared" si="74"/>
        <v>-584.78225938782316</v>
      </c>
      <c r="CH53" s="693">
        <f t="shared" si="74"/>
        <v>-2874.299351059562</v>
      </c>
      <c r="CI53" s="693">
        <f t="shared" si="74"/>
        <v>-3286.200858668481</v>
      </c>
      <c r="CJ53" s="667">
        <f>SUM(CF53:CI53)</f>
        <v>-7667.3698896158858</v>
      </c>
      <c r="CK53" s="693">
        <f t="shared" si="74"/>
        <v>-2934.2860299999811</v>
      </c>
      <c r="CL53" s="693">
        <f t="shared" si="74"/>
        <v>-7372.1816100000005</v>
      </c>
      <c r="CM53" s="693">
        <f t="shared" si="74"/>
        <v>-4804.8334179999802</v>
      </c>
      <c r="CN53" s="693">
        <f t="shared" si="74"/>
        <v>-4149.9124410000086</v>
      </c>
      <c r="CO53" s="667">
        <f>SUM(CK53:CN53)</f>
        <v>-19261.213498999969</v>
      </c>
      <c r="CP53" s="662">
        <f t="shared" ref="CP53:CX53" si="75">CP50*CP51</f>
        <v>-9639.2772700000005</v>
      </c>
      <c r="CQ53" s="662">
        <f t="shared" si="75"/>
        <v>-2485.3145450000002</v>
      </c>
      <c r="CR53" s="662">
        <f t="shared" si="75"/>
        <v>-7210.3227550000011</v>
      </c>
      <c r="CS53" s="662">
        <f t="shared" si="75"/>
        <v>-7136.001003877418</v>
      </c>
      <c r="CT53" s="667">
        <f>SUM(CP53:CS53)</f>
        <v>-26470.915573877421</v>
      </c>
      <c r="CU53" s="662">
        <f t="shared" si="75"/>
        <v>-1828.5448062341022</v>
      </c>
      <c r="CV53" s="662">
        <f t="shared" si="75"/>
        <v>-3007.2481122128706</v>
      </c>
      <c r="CW53" s="662">
        <f t="shared" si="75"/>
        <v>-1082.5136147842315</v>
      </c>
      <c r="CX53" s="662">
        <f t="shared" si="75"/>
        <v>-6484.4593044161584</v>
      </c>
      <c r="CY53" s="710">
        <f>SUM(CU53:CX53)</f>
        <v>-12402.765837647363</v>
      </c>
      <c r="CZ53" s="662">
        <f>CZ50*CZ51</f>
        <v>-6684.5686946600426</v>
      </c>
      <c r="DA53" s="662">
        <f>DA50*DA51</f>
        <v>-463.26989760999714</v>
      </c>
      <c r="DB53" s="662">
        <f>DB50*DB51</f>
        <v>-139.86620473897284</v>
      </c>
      <c r="DC53" s="662">
        <f>DC50*DC51</f>
        <v>-369.45523308558222</v>
      </c>
      <c r="DD53" s="710">
        <f>SUM(CZ53:DC53)</f>
        <v>-7657.1600300945947</v>
      </c>
      <c r="DE53" s="662">
        <f>DE50*DE51</f>
        <v>-151.35419376770318</v>
      </c>
      <c r="DF53" s="662">
        <f>DF50*DF51</f>
        <v>-2239.186875030734</v>
      </c>
      <c r="DG53" s="662">
        <f>DG50*DG51</f>
        <v>-3395.7384024733797</v>
      </c>
      <c r="DH53" s="662">
        <f>DH50*DH51</f>
        <v>-2134.2363161516464</v>
      </c>
      <c r="DI53" s="710">
        <f>SUM(DE53:DH53)</f>
        <v>-7920.5157874234628</v>
      </c>
      <c r="DJ53" s="662">
        <f>DJ50*DJ51</f>
        <v>-3232.4401723318533</v>
      </c>
      <c r="DK53" s="662">
        <f>DK50*DK51</f>
        <v>-4448.7475388203848</v>
      </c>
      <c r="DL53" s="662">
        <f>DL50*DL51</f>
        <v>-2998.1956840140956</v>
      </c>
      <c r="DM53" s="662">
        <f>DM50*DM51</f>
        <v>-183.57409442806107</v>
      </c>
      <c r="DN53" s="710">
        <f>SUM(DJ53:DM53)</f>
        <v>-10862.957489594393</v>
      </c>
      <c r="DO53" s="662">
        <f>DO50*DO51</f>
        <v>-1681.7360679673009</v>
      </c>
      <c r="DP53" s="662">
        <f>DP50*DP51</f>
        <v>-178.94218835222208</v>
      </c>
      <c r="DQ53" s="662">
        <f>DQ50*DQ51</f>
        <v>-290.04031815615855</v>
      </c>
      <c r="DR53" s="662">
        <f>DR50*DR51</f>
        <v>-1122.9558737634909</v>
      </c>
      <c r="DS53" s="903">
        <f>SUM(DO53:DR53)</f>
        <v>-3273.6744482391723</v>
      </c>
      <c r="DT53" s="662">
        <f>DT50*DT51</f>
        <v>-291.1927213386067</v>
      </c>
      <c r="DU53" s="662">
        <f>DU50*DU51</f>
        <v>-594.44701410830498</v>
      </c>
      <c r="DV53" s="662">
        <f>DV50*DV51</f>
        <v>-1348.044465630403</v>
      </c>
      <c r="DW53" s="662">
        <f>DW50*DW51</f>
        <v>-1073.2194043850395</v>
      </c>
      <c r="DX53" s="903">
        <f>SUM(DT53:DW53)</f>
        <v>-3306.9036054623543</v>
      </c>
      <c r="DY53" s="662">
        <f>DY50*DY51</f>
        <v>-866.42390281660619</v>
      </c>
      <c r="DZ53" s="662">
        <f>DZ50*DZ51</f>
        <v>-1167.5266659736928</v>
      </c>
      <c r="EA53" s="662">
        <f>EA50*EA51</f>
        <v>-2231.0397782954383</v>
      </c>
      <c r="EB53" s="662">
        <f>EB50*EB51</f>
        <v>-2159.2689953516297</v>
      </c>
      <c r="EC53" s="903">
        <f>SUM(DY53:EB53)</f>
        <v>-6424.2593424373663</v>
      </c>
      <c r="ED53" s="662">
        <f>ED50*ED51</f>
        <v>-725.99885310991579</v>
      </c>
      <c r="EE53" s="662">
        <f>EE50*EE51</f>
        <v>-1768.4955007962496</v>
      </c>
      <c r="EF53" s="662">
        <f>EF50*EF51</f>
        <v>-3646.5261732830186</v>
      </c>
      <c r="EG53" s="662">
        <f>EG50*EG51</f>
        <v>-5779.6998109104043</v>
      </c>
      <c r="EH53" s="710">
        <f>SUM(ED53:EG53)</f>
        <v>-11920.720338099589</v>
      </c>
      <c r="EI53" s="662">
        <f>EI50*EI51</f>
        <v>-4542.3502878880136</v>
      </c>
      <c r="EJ53" s="662">
        <f>EJ50*EJ51</f>
        <v>-4537.6387978899565</v>
      </c>
      <c r="EK53" s="662">
        <f>EK50*EK51</f>
        <v>-4263.3371593349111</v>
      </c>
      <c r="EL53" s="662">
        <f>EL50*EL51</f>
        <v>-4645.9881704235249</v>
      </c>
      <c r="EM53" s="710">
        <f>SUM(EI53:EL53)</f>
        <v>-17989.314415536406</v>
      </c>
      <c r="EN53" s="662">
        <f>EN50*EN51</f>
        <v>-2996.6269157853762</v>
      </c>
      <c r="EO53" s="662">
        <f>EO50*EO51</f>
        <v>-5237.9311235068089</v>
      </c>
      <c r="EP53" s="662">
        <f>EP50*EP51</f>
        <v>-2439.8020313595275</v>
      </c>
      <c r="EQ53" s="662">
        <f>EQ50*EQ51</f>
        <v>-2836.4984265399439</v>
      </c>
      <c r="ER53" s="710">
        <f>SUM(EN53:EQ53)</f>
        <v>-13510.858497191657</v>
      </c>
      <c r="ES53" s="662">
        <f>ES50*ES51</f>
        <v>-2117.7046512091874</v>
      </c>
      <c r="ET53" s="662">
        <f>ET50*ET51</f>
        <v>-4300.2517054013388</v>
      </c>
      <c r="EU53" s="662">
        <f>EU50*EU51</f>
        <v>-4704.3805906554298</v>
      </c>
      <c r="EV53" s="662">
        <f>EV50*EV51</f>
        <v>-3590.7624474672334</v>
      </c>
      <c r="EW53" s="710">
        <f>SUM(ES53:EV53)</f>
        <v>-14713.09939473319</v>
      </c>
      <c r="EX53" s="662">
        <f>EX50*EX51</f>
        <v>-5232.7979217408147</v>
      </c>
      <c r="EY53" s="662">
        <f>EY50*EY51</f>
        <v>-5520.4916945371506</v>
      </c>
      <c r="EZ53" s="662">
        <f>EZ50*EZ51</f>
        <v>-5845.6043266038132</v>
      </c>
      <c r="FA53" s="662">
        <f>FA50*FA51</f>
        <v>-6194.9744320269301</v>
      </c>
      <c r="FB53" s="710">
        <f>SUM(EX53:FA53)</f>
        <v>-22793.86837490871</v>
      </c>
      <c r="FC53" s="662">
        <f>FC50*FC51</f>
        <v>-6465.5888956178705</v>
      </c>
      <c r="FD53" s="662">
        <f>FD50*FD51</f>
        <v>-6854.582389979767</v>
      </c>
      <c r="FE53" s="662">
        <f>FE50*FE51</f>
        <v>-7286.6289840855197</v>
      </c>
      <c r="FF53" s="662">
        <f>FF50*FF51</f>
        <v>-7751.4646561334321</v>
      </c>
      <c r="FG53" s="710">
        <f>SUM(FC53:FF53)</f>
        <v>-28358.264925816591</v>
      </c>
      <c r="FH53" s="662">
        <f>FH50*FH51</f>
        <v>-7375.2923153500242</v>
      </c>
      <c r="FI53" s="662">
        <f>FI50*FI51</f>
        <v>-7886.036961800186</v>
      </c>
      <c r="FJ53" s="662">
        <f>FJ50*FJ51</f>
        <v>-8448.4401516254838</v>
      </c>
      <c r="FK53" s="662">
        <f>FK50*FK51</f>
        <v>-9055.0289754895512</v>
      </c>
      <c r="FL53" s="710">
        <f>SUM(FH53:FK53)</f>
        <v>-32764.798404265246</v>
      </c>
      <c r="FM53" s="261"/>
      <c r="FN53" s="261"/>
      <c r="FO53" s="261"/>
      <c r="FP53" s="261"/>
      <c r="FQ53" s="261"/>
      <c r="FR53" s="261"/>
      <c r="FS53" s="261"/>
      <c r="FT53" s="261"/>
      <c r="FU53" s="261"/>
      <c r="FV53" s="261"/>
      <c r="FW53" s="261"/>
      <c r="FX53" s="261"/>
      <c r="FY53" s="261"/>
      <c r="FZ53" s="261"/>
      <c r="GA53" s="261"/>
      <c r="GB53" s="261"/>
      <c r="GC53" s="261"/>
      <c r="GD53" s="261"/>
      <c r="GE53" s="261"/>
      <c r="GF53" s="261"/>
      <c r="GG53" s="261"/>
      <c r="GH53" s="261"/>
      <c r="GI53" s="261"/>
      <c r="GJ53" s="261"/>
      <c r="GK53" s="261"/>
      <c r="GL53" s="261"/>
      <c r="GM53" s="261"/>
      <c r="GN53" s="261"/>
      <c r="GO53" s="261"/>
      <c r="GP53" s="261"/>
      <c r="GQ53" s="261"/>
      <c r="GR53" s="261"/>
      <c r="GS53" s="261"/>
      <c r="GT53" s="261"/>
      <c r="GU53" s="261"/>
      <c r="GV53" s="261"/>
      <c r="GW53" s="261"/>
      <c r="GX53" s="261"/>
      <c r="GY53" s="261"/>
      <c r="GZ53" s="261"/>
      <c r="HA53" s="261"/>
      <c r="HB53" s="261"/>
      <c r="HC53" s="261"/>
      <c r="HD53" s="261"/>
      <c r="HE53" s="261"/>
      <c r="HF53" s="261"/>
      <c r="HG53" s="261"/>
      <c r="HH53" s="261"/>
      <c r="HI53" s="261"/>
      <c r="HJ53" s="261"/>
      <c r="HK53" s="261"/>
      <c r="HL53" s="261"/>
      <c r="HM53" s="261"/>
      <c r="HN53" s="261"/>
      <c r="HO53" s="261"/>
      <c r="HP53" s="261"/>
      <c r="HQ53" s="261"/>
      <c r="HR53" s="261"/>
      <c r="HS53" s="261"/>
      <c r="HT53" s="261"/>
      <c r="HU53" s="261"/>
      <c r="HV53" s="261"/>
      <c r="HW53" s="261"/>
      <c r="HX53" s="261"/>
      <c r="HY53" s="261"/>
      <c r="HZ53" s="261"/>
      <c r="IA53" s="261"/>
      <c r="IB53" s="261"/>
      <c r="IC53" s="261"/>
      <c r="ID53" s="261"/>
      <c r="IE53" s="261"/>
      <c r="IF53" s="261"/>
      <c r="IG53" s="261"/>
      <c r="IH53" s="261"/>
      <c r="II53" s="261"/>
      <c r="IJ53" s="261"/>
      <c r="IK53" s="261"/>
      <c r="IL53" s="261"/>
      <c r="IM53" s="261"/>
      <c r="IN53" s="261"/>
      <c r="IO53" s="261"/>
      <c r="IP53" s="261"/>
      <c r="IQ53" s="261"/>
      <c r="IR53" s="261"/>
      <c r="IS53" s="261"/>
      <c r="IT53" s="261"/>
      <c r="IU53" s="261"/>
      <c r="IV53" s="261"/>
      <c r="IW53" s="261"/>
      <c r="IX53" s="261"/>
      <c r="IY53" s="261"/>
      <c r="IZ53" s="261"/>
      <c r="JA53" s="261"/>
      <c r="JB53" s="261"/>
      <c r="JC53" s="261"/>
      <c r="JD53" s="261"/>
      <c r="JE53" s="261"/>
      <c r="JF53" s="261"/>
      <c r="JG53" s="261"/>
      <c r="JH53" s="261"/>
      <c r="JI53" s="261"/>
      <c r="JJ53" s="261"/>
      <c r="JK53" s="261"/>
      <c r="JL53" s="261"/>
      <c r="JM53" s="261"/>
      <c r="JN53" s="261"/>
      <c r="JO53" s="261"/>
    </row>
    <row r="54" spans="1:275" s="651" customFormat="1" ht="11.25" customHeight="1">
      <c r="A54" s="644"/>
      <c r="B54" s="644"/>
      <c r="C54" s="645"/>
      <c r="D54" s="645"/>
      <c r="E54" s="645"/>
      <c r="F54" s="645"/>
      <c r="G54" s="645"/>
      <c r="H54" s="645"/>
      <c r="I54" s="645"/>
      <c r="J54" s="645"/>
      <c r="K54" s="645"/>
      <c r="L54" s="645"/>
      <c r="M54" s="645"/>
      <c r="N54" s="645"/>
      <c r="O54" s="645"/>
      <c r="P54" s="645"/>
      <c r="Q54" s="645"/>
      <c r="R54" s="645"/>
      <c r="S54" s="645"/>
      <c r="T54" s="645"/>
      <c r="U54" s="645"/>
      <c r="V54" s="645"/>
      <c r="W54" s="645"/>
      <c r="X54" s="645"/>
      <c r="Y54" s="645"/>
      <c r="Z54" s="645"/>
      <c r="AA54" s="645"/>
      <c r="AB54" s="645"/>
      <c r="AC54" s="645"/>
      <c r="AD54" s="645"/>
      <c r="AE54" s="645"/>
      <c r="AF54" s="645"/>
      <c r="AG54" s="645"/>
      <c r="AH54" s="645"/>
      <c r="AI54" s="645"/>
      <c r="AJ54" s="645"/>
      <c r="AK54" s="645"/>
      <c r="AL54" s="645"/>
      <c r="AM54" s="645"/>
      <c r="AN54" s="645"/>
      <c r="AO54" s="645"/>
      <c r="AP54" s="645"/>
      <c r="AQ54" s="645"/>
      <c r="AR54" s="645"/>
      <c r="AS54" s="645"/>
      <c r="AT54" s="645"/>
      <c r="AU54" s="645"/>
      <c r="AV54" s="645"/>
      <c r="AW54" s="645"/>
      <c r="AX54" s="645"/>
      <c r="AY54" s="645"/>
      <c r="AZ54" s="645"/>
      <c r="BA54" s="645"/>
      <c r="BB54" s="645"/>
      <c r="BC54" s="645"/>
      <c r="BD54" s="645"/>
      <c r="BE54" s="645"/>
      <c r="BF54" s="645"/>
      <c r="BG54" s="645"/>
      <c r="BH54" s="645"/>
      <c r="BI54" s="645"/>
      <c r="BJ54" s="645"/>
      <c r="BK54" s="645"/>
      <c r="BL54" s="645"/>
      <c r="BM54" s="645"/>
      <c r="BN54" s="645"/>
      <c r="BO54" s="645"/>
      <c r="BP54" s="645"/>
      <c r="BQ54" s="645"/>
      <c r="BR54" s="645"/>
      <c r="BS54" s="645"/>
      <c r="BT54" s="645"/>
      <c r="BU54" s="645"/>
      <c r="BV54" s="645"/>
      <c r="BW54" s="645"/>
      <c r="BX54" s="645"/>
      <c r="BY54" s="645"/>
      <c r="BZ54" s="646"/>
      <c r="CA54" s="645"/>
      <c r="CB54" s="645"/>
      <c r="CC54" s="645"/>
      <c r="CD54" s="645"/>
      <c r="CE54" s="667"/>
      <c r="CF54" s="645"/>
      <c r="CG54" s="645"/>
      <c r="CH54" s="645"/>
      <c r="CI54" s="680"/>
      <c r="CJ54" s="661"/>
      <c r="CK54" s="680"/>
      <c r="CL54" s="680"/>
      <c r="CM54" s="680"/>
      <c r="CN54" s="680"/>
      <c r="CO54" s="661"/>
      <c r="CP54" s="680"/>
      <c r="CQ54" s="680"/>
      <c r="CR54" s="645"/>
      <c r="CS54" s="645"/>
      <c r="CT54" s="661"/>
      <c r="CU54" s="645"/>
      <c r="CV54" s="645"/>
      <c r="CW54" s="645"/>
      <c r="CX54" s="645"/>
      <c r="CY54" s="661"/>
      <c r="CZ54" s="645"/>
      <c r="DA54" s="645"/>
      <c r="DB54" s="645"/>
      <c r="DC54" s="645"/>
      <c r="DD54" s="646"/>
      <c r="DE54" s="645"/>
      <c r="DF54" s="645"/>
      <c r="DG54" s="645"/>
      <c r="DH54" s="645"/>
      <c r="DI54" s="646"/>
      <c r="DJ54" s="645"/>
      <c r="DK54" s="645"/>
      <c r="DL54" s="645"/>
      <c r="DM54" s="645"/>
      <c r="DN54" s="646"/>
      <c r="DO54" s="645"/>
      <c r="DP54" s="645"/>
      <c r="DQ54" s="645"/>
      <c r="DR54" s="645"/>
      <c r="DS54" s="661"/>
      <c r="DT54" s="645"/>
      <c r="DU54" s="645"/>
      <c r="DV54" s="645"/>
      <c r="DW54" s="645"/>
      <c r="DX54" s="661"/>
      <c r="DY54" s="645"/>
      <c r="DZ54" s="645"/>
      <c r="EA54" s="645"/>
      <c r="EB54" s="645"/>
      <c r="EC54" s="661"/>
      <c r="ED54" s="645"/>
      <c r="EE54" s="645"/>
      <c r="EF54" s="645"/>
      <c r="EG54" s="645"/>
      <c r="EH54" s="646"/>
      <c r="EI54" s="645"/>
      <c r="EJ54" s="645"/>
      <c r="EK54" s="645"/>
      <c r="EL54" s="645"/>
      <c r="EM54" s="646"/>
      <c r="EN54" s="645"/>
      <c r="EO54" s="645"/>
      <c r="EP54" s="645"/>
      <c r="EQ54" s="645"/>
      <c r="ER54" s="646"/>
      <c r="ES54" s="645"/>
      <c r="ET54" s="645"/>
      <c r="EU54" s="645"/>
      <c r="EV54" s="645"/>
      <c r="EW54" s="646"/>
      <c r="EX54" s="645"/>
      <c r="EY54" s="645"/>
      <c r="EZ54" s="645"/>
      <c r="FA54" s="645"/>
      <c r="FB54" s="646"/>
      <c r="FC54" s="645"/>
      <c r="FD54" s="645"/>
      <c r="FE54" s="645"/>
      <c r="FF54" s="645"/>
      <c r="FG54" s="646"/>
      <c r="FH54" s="645"/>
      <c r="FI54" s="645"/>
      <c r="FJ54" s="645"/>
      <c r="FK54" s="645"/>
      <c r="FL54" s="646"/>
      <c r="FM54" s="261"/>
      <c r="FN54" s="261"/>
      <c r="FO54" s="261"/>
      <c r="FP54" s="261"/>
      <c r="FQ54" s="261"/>
      <c r="FR54" s="261"/>
      <c r="FS54" s="261"/>
      <c r="FT54" s="261"/>
      <c r="FU54" s="261"/>
      <c r="FV54" s="261"/>
      <c r="FW54" s="261"/>
      <c r="FX54" s="261"/>
      <c r="FY54" s="261"/>
      <c r="FZ54" s="261"/>
      <c r="GA54" s="261"/>
      <c r="GB54" s="261"/>
      <c r="GC54" s="261"/>
      <c r="GD54" s="261"/>
      <c r="GE54" s="261"/>
      <c r="GF54" s="261"/>
      <c r="GG54" s="261"/>
      <c r="GH54" s="261"/>
      <c r="GI54" s="261"/>
      <c r="GJ54" s="261"/>
      <c r="GK54" s="261"/>
      <c r="GL54" s="261"/>
      <c r="GM54" s="261"/>
      <c r="GN54" s="261"/>
      <c r="GO54" s="261"/>
      <c r="GP54" s="261"/>
      <c r="GQ54" s="261"/>
      <c r="GR54" s="261"/>
      <c r="GS54" s="261"/>
      <c r="GT54" s="261"/>
      <c r="GU54" s="261"/>
      <c r="GV54" s="261"/>
      <c r="GW54" s="261"/>
      <c r="GX54" s="261"/>
      <c r="GY54" s="261"/>
      <c r="GZ54" s="261"/>
      <c r="HA54" s="261"/>
      <c r="HB54" s="261"/>
      <c r="HC54" s="261"/>
      <c r="HD54" s="261"/>
      <c r="HE54" s="261"/>
      <c r="HF54" s="261"/>
      <c r="HG54" s="261"/>
      <c r="HH54" s="261"/>
      <c r="HI54" s="261"/>
      <c r="HJ54" s="261"/>
      <c r="HK54" s="261"/>
      <c r="HL54" s="261"/>
      <c r="HM54" s="261"/>
      <c r="HN54" s="261"/>
      <c r="HO54" s="261"/>
      <c r="HP54" s="261"/>
      <c r="HQ54" s="261"/>
      <c r="HR54" s="261"/>
      <c r="HS54" s="261"/>
      <c r="HT54" s="261"/>
      <c r="HU54" s="261"/>
      <c r="HV54" s="261"/>
      <c r="HW54" s="261"/>
      <c r="HX54" s="261"/>
      <c r="HY54" s="261"/>
      <c r="HZ54" s="261"/>
      <c r="IA54" s="261"/>
      <c r="IB54" s="261"/>
      <c r="IC54" s="261"/>
      <c r="ID54" s="261"/>
      <c r="IE54" s="261"/>
      <c r="IF54" s="261"/>
      <c r="IG54" s="261"/>
      <c r="IH54" s="261"/>
      <c r="II54" s="261"/>
      <c r="IJ54" s="261"/>
      <c r="IK54" s="261"/>
      <c r="IL54" s="261"/>
      <c r="IM54" s="261"/>
      <c r="IN54" s="261"/>
      <c r="IO54" s="261"/>
      <c r="IP54" s="261"/>
      <c r="IQ54" s="261"/>
      <c r="IR54" s="261"/>
      <c r="IS54" s="261"/>
      <c r="IT54" s="261"/>
      <c r="IU54" s="261"/>
      <c r="IV54" s="261"/>
      <c r="IW54" s="261"/>
      <c r="IX54" s="261"/>
      <c r="IY54" s="261"/>
      <c r="IZ54" s="261"/>
      <c r="JA54" s="261"/>
      <c r="JB54" s="261"/>
      <c r="JC54" s="261"/>
      <c r="JD54" s="261"/>
      <c r="JE54" s="261"/>
      <c r="JF54" s="261"/>
      <c r="JG54" s="261"/>
      <c r="JH54" s="261"/>
      <c r="JI54" s="261"/>
      <c r="JJ54" s="261"/>
      <c r="JK54" s="261"/>
      <c r="JL54" s="261"/>
      <c r="JM54" s="261"/>
      <c r="JN54" s="261"/>
      <c r="JO54" s="261"/>
    </row>
    <row r="55" spans="1:275" s="651" customFormat="1" ht="11.25" customHeight="1">
      <c r="A55" s="660" t="s">
        <v>765</v>
      </c>
      <c r="B55" s="644"/>
      <c r="C55" s="644"/>
      <c r="D55" s="644"/>
      <c r="E55" s="644"/>
      <c r="F55" s="644"/>
      <c r="G55" s="644"/>
      <c r="H55" s="644"/>
      <c r="I55" s="644"/>
      <c r="J55" s="644"/>
      <c r="K55" s="644"/>
      <c r="L55" s="644"/>
      <c r="M55" s="644"/>
      <c r="N55" s="644"/>
      <c r="O55" s="644"/>
      <c r="P55" s="644"/>
      <c r="Q55" s="644"/>
      <c r="R55" s="644"/>
      <c r="S55" s="644"/>
      <c r="T55" s="644"/>
      <c r="U55" s="644"/>
      <c r="V55" s="644"/>
      <c r="W55" s="644"/>
      <c r="X55" s="644"/>
      <c r="Y55" s="644"/>
      <c r="Z55" s="644"/>
      <c r="AA55" s="644"/>
      <c r="AB55" s="644"/>
      <c r="AC55" s="644"/>
      <c r="AD55" s="644"/>
      <c r="AE55" s="644"/>
      <c r="AF55" s="644"/>
      <c r="AG55" s="644"/>
      <c r="AH55" s="644"/>
      <c r="AI55" s="644"/>
      <c r="AJ55" s="644"/>
      <c r="AK55" s="644"/>
      <c r="AL55" s="644"/>
      <c r="AM55" s="644"/>
      <c r="AN55" s="644"/>
      <c r="AO55" s="644"/>
      <c r="AP55" s="644"/>
      <c r="AQ55" s="644"/>
      <c r="AR55" s="644"/>
      <c r="AS55" s="644"/>
      <c r="AT55" s="644"/>
      <c r="AU55" s="644"/>
      <c r="AV55" s="644"/>
      <c r="AW55" s="644"/>
      <c r="AX55" s="644"/>
      <c r="AY55" s="644"/>
      <c r="AZ55" s="644"/>
      <c r="BA55" s="644"/>
      <c r="BB55" s="644"/>
      <c r="BC55" s="644"/>
      <c r="BD55" s="644"/>
      <c r="BE55" s="644"/>
      <c r="BF55" s="644"/>
      <c r="BG55" s="644"/>
      <c r="BH55" s="644"/>
      <c r="BI55" s="644"/>
      <c r="BJ55" s="644"/>
      <c r="BK55" s="644"/>
      <c r="BL55" s="644"/>
      <c r="BM55" s="644"/>
      <c r="BN55" s="644"/>
      <c r="BO55" s="644"/>
      <c r="BP55" s="644"/>
      <c r="BQ55" s="644"/>
      <c r="BR55" s="644"/>
      <c r="BS55" s="644"/>
      <c r="BT55" s="644"/>
      <c r="BU55" s="644"/>
      <c r="BV55" s="644"/>
      <c r="BW55" s="644"/>
      <c r="BX55" s="644"/>
      <c r="BY55" s="644"/>
      <c r="BZ55" s="661"/>
      <c r="CA55" s="644"/>
      <c r="CB55" s="644"/>
      <c r="CC55" s="644"/>
      <c r="CD55" s="644"/>
      <c r="CE55" s="661"/>
      <c r="CF55" s="644"/>
      <c r="CG55" s="644"/>
      <c r="CH55" s="644"/>
      <c r="CI55" s="644"/>
      <c r="CJ55" s="661"/>
      <c r="CK55" s="644"/>
      <c r="CL55" s="644"/>
      <c r="CM55" s="644"/>
      <c r="CN55" s="644"/>
      <c r="CO55" s="661"/>
      <c r="CP55" s="644"/>
      <c r="CQ55" s="644"/>
      <c r="CR55" s="644"/>
      <c r="CS55" s="644"/>
      <c r="CT55" s="661"/>
      <c r="CU55" s="644"/>
      <c r="CV55" s="644"/>
      <c r="CW55" s="644"/>
      <c r="CX55" s="644"/>
      <c r="CY55" s="661"/>
      <c r="CZ55" s="644"/>
      <c r="DA55" s="644"/>
      <c r="DB55" s="644"/>
      <c r="DC55" s="644"/>
      <c r="DD55" s="661"/>
      <c r="DE55" s="644"/>
      <c r="DF55" s="644"/>
      <c r="DG55" s="644"/>
      <c r="DH55" s="644"/>
      <c r="DI55" s="661"/>
      <c r="DJ55" s="644"/>
      <c r="DK55" s="644"/>
      <c r="DL55" s="644"/>
      <c r="DM55" s="644"/>
      <c r="DN55" s="661"/>
      <c r="DO55" s="644"/>
      <c r="DP55" s="644"/>
      <c r="DQ55" s="644"/>
      <c r="DR55" s="644"/>
      <c r="DS55" s="661"/>
      <c r="DT55" s="644"/>
      <c r="DU55" s="644"/>
      <c r="DV55" s="644"/>
      <c r="DW55" s="644"/>
      <c r="DX55" s="661"/>
      <c r="DY55" s="644"/>
      <c r="DZ55" s="644"/>
      <c r="EA55" s="644"/>
      <c r="EB55" s="644"/>
      <c r="EC55" s="661"/>
      <c r="ED55" s="644"/>
      <c r="EE55" s="644"/>
      <c r="EF55" s="644"/>
      <c r="EG55" s="644"/>
      <c r="EH55" s="661"/>
      <c r="EI55" s="644"/>
      <c r="EJ55" s="644"/>
      <c r="EK55" s="644"/>
      <c r="EL55" s="644"/>
      <c r="EM55" s="661"/>
      <c r="EN55" s="644"/>
      <c r="EO55" s="644"/>
      <c r="EP55" s="644"/>
      <c r="EQ55" s="644"/>
      <c r="ER55" s="661"/>
      <c r="ES55" s="644"/>
      <c r="ET55" s="644"/>
      <c r="EU55" s="644"/>
      <c r="EV55" s="644"/>
      <c r="EW55" s="661"/>
      <c r="EX55" s="644"/>
      <c r="EY55" s="644"/>
      <c r="EZ55" s="644"/>
      <c r="FA55" s="644"/>
      <c r="FB55" s="661"/>
      <c r="FC55" s="644"/>
      <c r="FD55" s="644"/>
      <c r="FE55" s="644"/>
      <c r="FF55" s="644"/>
      <c r="FG55" s="661"/>
      <c r="FH55" s="644"/>
      <c r="FI55" s="644"/>
      <c r="FJ55" s="644"/>
      <c r="FK55" s="644"/>
      <c r="FL55" s="661"/>
      <c r="FM55" s="261"/>
      <c r="FN55" s="261"/>
      <c r="FO55" s="261"/>
      <c r="FP55" s="261"/>
      <c r="FQ55" s="261"/>
      <c r="FR55" s="261"/>
      <c r="FS55" s="261"/>
      <c r="FT55" s="261"/>
      <c r="FU55" s="261"/>
      <c r="FV55" s="261"/>
      <c r="FW55" s="261"/>
      <c r="FX55" s="261"/>
      <c r="FY55" s="261"/>
      <c r="FZ55" s="261"/>
      <c r="GA55" s="261"/>
      <c r="GB55" s="261"/>
      <c r="GC55" s="261"/>
      <c r="GD55" s="261"/>
      <c r="GE55" s="261"/>
      <c r="GF55" s="261"/>
      <c r="GG55" s="261"/>
      <c r="GH55" s="261"/>
      <c r="GI55" s="261"/>
      <c r="GJ55" s="261"/>
      <c r="GK55" s="261"/>
      <c r="GL55" s="261"/>
      <c r="GM55" s="261"/>
      <c r="GN55" s="261"/>
      <c r="GO55" s="261"/>
      <c r="GP55" s="261"/>
      <c r="GQ55" s="261"/>
      <c r="GR55" s="261"/>
      <c r="GS55" s="261"/>
      <c r="GT55" s="261"/>
      <c r="GU55" s="261"/>
      <c r="GV55" s="261"/>
      <c r="GW55" s="261"/>
      <c r="GX55" s="261"/>
      <c r="GY55" s="261"/>
      <c r="GZ55" s="261"/>
      <c r="HA55" s="261"/>
      <c r="HB55" s="261"/>
      <c r="HC55" s="261"/>
      <c r="HD55" s="261"/>
      <c r="HE55" s="261"/>
      <c r="HF55" s="261"/>
      <c r="HG55" s="261"/>
      <c r="HH55" s="261"/>
      <c r="HI55" s="261"/>
      <c r="HJ55" s="261"/>
      <c r="HK55" s="261"/>
      <c r="HL55" s="261"/>
      <c r="HM55" s="261"/>
      <c r="HN55" s="261"/>
      <c r="HO55" s="261"/>
      <c r="HP55" s="261"/>
      <c r="HQ55" s="261"/>
      <c r="HR55" s="261"/>
      <c r="HS55" s="261"/>
      <c r="HT55" s="261"/>
      <c r="HU55" s="261"/>
      <c r="HV55" s="261"/>
      <c r="HW55" s="261"/>
      <c r="HX55" s="261"/>
      <c r="HY55" s="261"/>
      <c r="HZ55" s="261"/>
      <c r="IA55" s="261"/>
      <c r="IB55" s="261"/>
      <c r="IC55" s="261"/>
      <c r="ID55" s="261"/>
      <c r="IE55" s="261"/>
      <c r="IF55" s="261"/>
      <c r="IG55" s="261"/>
      <c r="IH55" s="261"/>
      <c r="II55" s="261"/>
      <c r="IJ55" s="261"/>
      <c r="IK55" s="261"/>
      <c r="IL55" s="261"/>
      <c r="IM55" s="261"/>
      <c r="IN55" s="261"/>
      <c r="IO55" s="261"/>
      <c r="IP55" s="261"/>
      <c r="IQ55" s="261"/>
      <c r="IR55" s="261"/>
      <c r="IS55" s="261"/>
      <c r="IT55" s="261"/>
      <c r="IU55" s="261"/>
      <c r="IV55" s="261"/>
      <c r="IW55" s="261"/>
      <c r="IX55" s="261"/>
      <c r="IY55" s="261"/>
      <c r="IZ55" s="261"/>
      <c r="JA55" s="261"/>
      <c r="JB55" s="261"/>
      <c r="JC55" s="261"/>
      <c r="JD55" s="261"/>
      <c r="JE55" s="261"/>
      <c r="JF55" s="261"/>
      <c r="JG55" s="261"/>
      <c r="JH55" s="261"/>
      <c r="JI55" s="261"/>
      <c r="JJ55" s="261"/>
      <c r="JK55" s="261"/>
      <c r="JL55" s="261"/>
      <c r="JM55" s="261"/>
      <c r="JN55" s="261"/>
      <c r="JO55" s="261"/>
    </row>
    <row r="56" spans="1:275" s="651" customFormat="1" ht="11.25" customHeight="1">
      <c r="A56" s="643" t="s">
        <v>602</v>
      </c>
      <c r="B56" s="643"/>
      <c r="C56" s="645"/>
      <c r="D56" s="645"/>
      <c r="E56" s="645"/>
      <c r="F56" s="645"/>
      <c r="G56" s="645"/>
      <c r="H56" s="645"/>
      <c r="I56" s="645"/>
      <c r="J56" s="645"/>
      <c r="K56" s="645"/>
      <c r="L56" s="645"/>
      <c r="M56" s="645"/>
      <c r="N56" s="645"/>
      <c r="O56" s="645"/>
      <c r="P56" s="645"/>
      <c r="Q56" s="645"/>
      <c r="R56" s="645"/>
      <c r="S56" s="645"/>
      <c r="T56" s="645"/>
      <c r="U56" s="645"/>
      <c r="V56" s="645"/>
      <c r="W56" s="645"/>
      <c r="X56" s="645"/>
      <c r="Y56" s="645"/>
      <c r="Z56" s="645"/>
      <c r="AA56" s="645"/>
      <c r="AB56" s="645"/>
      <c r="AC56" s="645"/>
      <c r="AD56" s="645"/>
      <c r="AE56" s="645"/>
      <c r="AF56" s="645"/>
      <c r="AG56" s="645"/>
      <c r="AH56" s="645"/>
      <c r="AI56" s="645"/>
      <c r="AJ56" s="645"/>
      <c r="AK56" s="645"/>
      <c r="AL56" s="645"/>
      <c r="AM56" s="645"/>
      <c r="AN56" s="645"/>
      <c r="AO56" s="645"/>
      <c r="AP56" s="645"/>
      <c r="AQ56" s="645"/>
      <c r="AR56" s="645"/>
      <c r="AS56" s="645"/>
      <c r="AT56" s="645"/>
      <c r="AU56" s="645"/>
      <c r="AV56" s="645"/>
      <c r="AW56" s="645"/>
      <c r="AX56" s="645"/>
      <c r="AY56" s="645"/>
      <c r="AZ56" s="645"/>
      <c r="BA56" s="645"/>
      <c r="BB56" s="645"/>
      <c r="BC56" s="645"/>
      <c r="BD56" s="645"/>
      <c r="BE56" s="645"/>
      <c r="BF56" s="645"/>
      <c r="BG56" s="645"/>
      <c r="BH56" s="645"/>
      <c r="BI56" s="645"/>
      <c r="BJ56" s="645"/>
      <c r="BK56" s="645"/>
      <c r="BL56" s="645"/>
      <c r="BM56" s="645"/>
      <c r="BN56" s="645"/>
      <c r="BO56" s="645"/>
      <c r="BP56" s="645"/>
      <c r="BQ56" s="645"/>
      <c r="BR56" s="645"/>
      <c r="BS56" s="645"/>
      <c r="BT56" s="645"/>
      <c r="BU56" s="645"/>
      <c r="BV56" s="645"/>
      <c r="BW56" s="645"/>
      <c r="BX56" s="645"/>
      <c r="BY56" s="645"/>
      <c r="BZ56" s="646"/>
      <c r="CA56" s="662">
        <f>CE56</f>
        <v>10771</v>
      </c>
      <c r="CB56" s="662">
        <f t="shared" ref="CB56:CX56" si="76">CA61</f>
        <v>10805</v>
      </c>
      <c r="CC56" s="662">
        <f t="shared" si="76"/>
        <v>10789</v>
      </c>
      <c r="CD56" s="662">
        <f t="shared" si="76"/>
        <v>10777</v>
      </c>
      <c r="CE56" s="664">
        <f>IS!BZ82</f>
        <v>10771</v>
      </c>
      <c r="CF56" s="662">
        <f>CD61</f>
        <v>10862</v>
      </c>
      <c r="CG56" s="662">
        <f t="shared" si="76"/>
        <v>10865</v>
      </c>
      <c r="CH56" s="662">
        <f t="shared" si="76"/>
        <v>10880.222153000001</v>
      </c>
      <c r="CI56" s="662">
        <f t="shared" si="76"/>
        <v>10804.353235</v>
      </c>
      <c r="CJ56" s="664">
        <f>CE61</f>
        <v>10862</v>
      </c>
      <c r="CK56" s="662">
        <f>CI61</f>
        <v>10710</v>
      </c>
      <c r="CL56" s="662">
        <f t="shared" si="76"/>
        <v>10645</v>
      </c>
      <c r="CM56" s="662">
        <f t="shared" si="76"/>
        <v>10384</v>
      </c>
      <c r="CN56" s="662">
        <f t="shared" si="76"/>
        <v>10225</v>
      </c>
      <c r="CO56" s="664">
        <f>CJ61</f>
        <v>10710</v>
      </c>
      <c r="CP56" s="662">
        <f>CN61</f>
        <v>10062</v>
      </c>
      <c r="CQ56" s="662">
        <f t="shared" si="76"/>
        <v>9820</v>
      </c>
      <c r="CR56" s="662">
        <f t="shared" si="76"/>
        <v>9777</v>
      </c>
      <c r="CS56" s="662">
        <f t="shared" si="76"/>
        <v>9572</v>
      </c>
      <c r="CT56" s="664">
        <f>CO61</f>
        <v>10062</v>
      </c>
      <c r="CU56" s="662">
        <f>CS61</f>
        <v>9375.4924960000008</v>
      </c>
      <c r="CV56" s="662">
        <f t="shared" si="76"/>
        <v>9355</v>
      </c>
      <c r="CW56" s="662">
        <f t="shared" si="76"/>
        <v>9306.9797460000009</v>
      </c>
      <c r="CX56" s="662">
        <f t="shared" si="76"/>
        <v>9313.2928329999995</v>
      </c>
      <c r="CY56" s="664">
        <f>CT61</f>
        <v>9375.4924960000008</v>
      </c>
      <c r="CZ56" s="662">
        <f>CX61</f>
        <v>9130.2930739999993</v>
      </c>
      <c r="DA56" s="662">
        <f>CZ61</f>
        <v>8895.5727200000001</v>
      </c>
      <c r="DB56" s="662">
        <f>DA61</f>
        <v>8890.5628730000008</v>
      </c>
      <c r="DC56" s="662">
        <f>DB61</f>
        <v>8899.7199999999993</v>
      </c>
      <c r="DD56" s="664">
        <f>CY61</f>
        <v>9130.2930739999993</v>
      </c>
      <c r="DE56" s="662">
        <f>DC61</f>
        <v>8901</v>
      </c>
      <c r="DF56" s="662">
        <f>DE61</f>
        <v>8914</v>
      </c>
      <c r="DG56" s="662">
        <f>DF61</f>
        <v>8856</v>
      </c>
      <c r="DH56" s="662">
        <f>DG61</f>
        <v>8767</v>
      </c>
      <c r="DI56" s="664">
        <f>DD61</f>
        <v>8900.9999999999982</v>
      </c>
      <c r="DJ56" s="662">
        <f>DH61</f>
        <v>8712</v>
      </c>
      <c r="DK56" s="662">
        <f>DJ61</f>
        <v>8624.8799999999992</v>
      </c>
      <c r="DL56" s="662">
        <f>DK61</f>
        <v>8497</v>
      </c>
      <c r="DM56" s="662">
        <f>DL61</f>
        <v>8420</v>
      </c>
      <c r="DN56" s="664">
        <f>DI61</f>
        <v>8711.9999999999964</v>
      </c>
      <c r="DO56" s="662">
        <f>DM61</f>
        <v>8429</v>
      </c>
      <c r="DP56" s="662">
        <f>DO61</f>
        <v>8392</v>
      </c>
      <c r="DQ56" s="662">
        <f>DP61</f>
        <v>8402</v>
      </c>
      <c r="DR56" s="662">
        <f>DQ61</f>
        <v>8410</v>
      </c>
      <c r="DS56" s="664">
        <f>DN61</f>
        <v>8428.9999999999945</v>
      </c>
      <c r="DT56" s="662">
        <f>DR61</f>
        <v>8388</v>
      </c>
      <c r="DU56" s="662">
        <f>DT61</f>
        <v>8396</v>
      </c>
      <c r="DV56" s="662">
        <f>DU61</f>
        <v>8393</v>
      </c>
      <c r="DW56" s="662">
        <f>DV61</f>
        <v>8364</v>
      </c>
      <c r="DX56" s="664">
        <f>DS61</f>
        <v>8387.9999999999927</v>
      </c>
      <c r="DY56" s="662">
        <f>DW61</f>
        <v>8345</v>
      </c>
      <c r="DZ56" s="662">
        <f>DY61</f>
        <v>8339</v>
      </c>
      <c r="EA56" s="662">
        <f>DZ61</f>
        <v>8326</v>
      </c>
      <c r="EB56" s="662">
        <f>EA61</f>
        <v>8284</v>
      </c>
      <c r="EC56" s="664">
        <f>DX61</f>
        <v>8344.9999999999909</v>
      </c>
      <c r="ED56" s="662">
        <f>EB61</f>
        <v>8246</v>
      </c>
      <c r="EE56" s="662">
        <f>ED61</f>
        <v>8249</v>
      </c>
      <c r="EF56" s="662">
        <f>EE61</f>
        <v>8228</v>
      </c>
      <c r="EG56" s="662">
        <f>EF61</f>
        <v>8167</v>
      </c>
      <c r="EH56" s="664">
        <f>EC61</f>
        <v>8245.9999999999909</v>
      </c>
      <c r="EI56" s="662">
        <f>EG61</f>
        <v>8061</v>
      </c>
      <c r="EJ56" s="662">
        <f>EI61</f>
        <v>7986</v>
      </c>
      <c r="EK56" s="662">
        <f>EJ61</f>
        <v>7925</v>
      </c>
      <c r="EL56" s="662">
        <f>EK61</f>
        <v>7870</v>
      </c>
      <c r="EM56" s="664">
        <f>EH61</f>
        <v>8060.9999999999936</v>
      </c>
      <c r="EN56" s="662">
        <f>EL61</f>
        <v>7808</v>
      </c>
      <c r="EO56" s="662">
        <f>EN61</f>
        <v>7784</v>
      </c>
      <c r="EP56" s="662">
        <f>EO61</f>
        <v>7730</v>
      </c>
      <c r="EQ56" s="662">
        <f>EP61</f>
        <v>7723</v>
      </c>
      <c r="ER56" s="664">
        <f>EM61</f>
        <v>7807.9999999999936</v>
      </c>
      <c r="ES56" s="662">
        <f>EQ61</f>
        <v>7715</v>
      </c>
      <c r="ET56" s="662">
        <f>ES61</f>
        <v>7720</v>
      </c>
      <c r="EU56" s="662">
        <f>ET61</f>
        <v>7705</v>
      </c>
      <c r="EV56" s="662">
        <f>EU61</f>
        <v>7690</v>
      </c>
      <c r="EW56" s="664">
        <f>ER61</f>
        <v>7714.9999999999936</v>
      </c>
      <c r="EX56" s="662">
        <f>EV61</f>
        <v>7690</v>
      </c>
      <c r="EY56" s="662">
        <f>EX61</f>
        <v>7675.3890000000001</v>
      </c>
      <c r="EZ56" s="662">
        <f>EY61</f>
        <v>7660.8057608999998</v>
      </c>
      <c r="FA56" s="662">
        <f>EZ61</f>
        <v>7646.2502299542894</v>
      </c>
      <c r="FB56" s="664">
        <f>EW61</f>
        <v>7689.9999999999927</v>
      </c>
      <c r="FC56" s="662">
        <f>FA61</f>
        <v>7631.7223545173765</v>
      </c>
      <c r="FD56" s="662">
        <f>FC61</f>
        <v>7618.3668403969705</v>
      </c>
      <c r="FE56" s="662">
        <f>FD61</f>
        <v>7605.0346984262751</v>
      </c>
      <c r="FF56" s="662">
        <f>FE61</f>
        <v>7591.7258877040285</v>
      </c>
      <c r="FG56" s="664">
        <f>FB61</f>
        <v>7631.7223545173692</v>
      </c>
      <c r="FH56" s="662">
        <f>FF61</f>
        <v>7578.4403674005462</v>
      </c>
      <c r="FI56" s="662">
        <f>FH61</f>
        <v>7573.1354591433656</v>
      </c>
      <c r="FJ56" s="662">
        <f>FI61</f>
        <v>7567.8342643219648</v>
      </c>
      <c r="FK56" s="662">
        <f>FJ61</f>
        <v>7562.536780336939</v>
      </c>
      <c r="FL56" s="664">
        <f>FG61</f>
        <v>7578.4403674005389</v>
      </c>
      <c r="FM56" s="261"/>
      <c r="FN56" s="261"/>
      <c r="FO56" s="261"/>
      <c r="FP56" s="261"/>
      <c r="FQ56" s="261"/>
      <c r="FR56" s="261"/>
      <c r="FS56" s="261"/>
      <c r="FT56" s="261"/>
      <c r="FU56" s="261"/>
      <c r="FV56" s="261"/>
      <c r="FW56" s="261"/>
      <c r="FX56" s="261"/>
      <c r="FY56" s="261"/>
      <c r="FZ56" s="261"/>
      <c r="GA56" s="261"/>
      <c r="GB56" s="261"/>
      <c r="GC56" s="261"/>
      <c r="GD56" s="261"/>
      <c r="GE56" s="261"/>
      <c r="GF56" s="261"/>
      <c r="GG56" s="261"/>
      <c r="GH56" s="261"/>
      <c r="GI56" s="261"/>
      <c r="GJ56" s="261"/>
      <c r="GK56" s="261"/>
      <c r="GL56" s="261"/>
      <c r="GM56" s="261"/>
      <c r="GN56" s="261"/>
      <c r="GO56" s="261"/>
      <c r="GP56" s="261"/>
      <c r="GQ56" s="261"/>
      <c r="GR56" s="261"/>
      <c r="GS56" s="261"/>
      <c r="GT56" s="261"/>
      <c r="GU56" s="261"/>
      <c r="GV56" s="261"/>
      <c r="GW56" s="261"/>
      <c r="GX56" s="261"/>
      <c r="GY56" s="261"/>
      <c r="GZ56" s="261"/>
      <c r="HA56" s="261"/>
      <c r="HB56" s="261"/>
      <c r="HC56" s="261"/>
      <c r="HD56" s="261"/>
      <c r="HE56" s="261"/>
      <c r="HF56" s="261"/>
      <c r="HG56" s="261"/>
      <c r="HH56" s="261"/>
      <c r="HI56" s="261"/>
      <c r="HJ56" s="261"/>
      <c r="HK56" s="261"/>
      <c r="HL56" s="261"/>
      <c r="HM56" s="261"/>
      <c r="HN56" s="261"/>
      <c r="HO56" s="261"/>
      <c r="HP56" s="261"/>
      <c r="HQ56" s="261"/>
      <c r="HR56" s="261"/>
      <c r="HS56" s="261"/>
      <c r="HT56" s="261"/>
      <c r="HU56" s="261"/>
      <c r="HV56" s="261"/>
      <c r="HW56" s="261"/>
      <c r="HX56" s="261"/>
      <c r="HY56" s="261"/>
      <c r="HZ56" s="261"/>
      <c r="IA56" s="261"/>
      <c r="IB56" s="261"/>
      <c r="IC56" s="261"/>
      <c r="ID56" s="261"/>
      <c r="IE56" s="261"/>
      <c r="IF56" s="261"/>
      <c r="IG56" s="261"/>
      <c r="IH56" s="261"/>
      <c r="II56" s="261"/>
      <c r="IJ56" s="261"/>
      <c r="IK56" s="261"/>
      <c r="IL56" s="261"/>
      <c r="IM56" s="261"/>
      <c r="IN56" s="261"/>
      <c r="IO56" s="261"/>
      <c r="IP56" s="261"/>
      <c r="IQ56" s="261"/>
      <c r="IR56" s="261"/>
      <c r="IS56" s="261"/>
      <c r="IT56" s="261"/>
      <c r="IU56" s="261"/>
      <c r="IV56" s="261"/>
      <c r="IW56" s="261"/>
      <c r="IX56" s="261"/>
      <c r="IY56" s="261"/>
      <c r="IZ56" s="261"/>
      <c r="JA56" s="261"/>
      <c r="JB56" s="261"/>
      <c r="JC56" s="261"/>
      <c r="JD56" s="261"/>
      <c r="JE56" s="261"/>
      <c r="JF56" s="261"/>
      <c r="JG56" s="261"/>
      <c r="JH56" s="261"/>
      <c r="JI56" s="261"/>
      <c r="JJ56" s="261"/>
      <c r="JK56" s="261"/>
      <c r="JL56" s="261"/>
      <c r="JM56" s="261"/>
      <c r="JN56" s="261"/>
      <c r="JO56" s="261"/>
    </row>
    <row r="57" spans="1:275" s="651" customFormat="1" ht="11.25" customHeight="1">
      <c r="A57" s="689" t="s">
        <v>603</v>
      </c>
      <c r="B57" s="689"/>
      <c r="C57" s="645"/>
      <c r="D57" s="645"/>
      <c r="E57" s="645"/>
      <c r="F57" s="645"/>
      <c r="G57" s="645"/>
      <c r="H57" s="645"/>
      <c r="I57" s="645"/>
      <c r="J57" s="645"/>
      <c r="K57" s="645"/>
      <c r="L57" s="645"/>
      <c r="M57" s="645"/>
      <c r="N57" s="645"/>
      <c r="O57" s="645"/>
      <c r="P57" s="645"/>
      <c r="Q57" s="645"/>
      <c r="R57" s="645"/>
      <c r="S57" s="645"/>
      <c r="T57" s="645"/>
      <c r="U57" s="645"/>
      <c r="V57" s="645"/>
      <c r="W57" s="645"/>
      <c r="X57" s="645"/>
      <c r="Y57" s="645"/>
      <c r="Z57" s="645"/>
      <c r="AA57" s="645"/>
      <c r="AB57" s="645"/>
      <c r="AC57" s="645"/>
      <c r="AD57" s="645"/>
      <c r="AE57" s="645"/>
      <c r="AF57" s="645"/>
      <c r="AG57" s="645"/>
      <c r="AH57" s="645"/>
      <c r="AI57" s="645"/>
      <c r="AJ57" s="645"/>
      <c r="AK57" s="645"/>
      <c r="AL57" s="645"/>
      <c r="AM57" s="645"/>
      <c r="AN57" s="645"/>
      <c r="AO57" s="645"/>
      <c r="AP57" s="645"/>
      <c r="AQ57" s="645"/>
      <c r="AR57" s="645"/>
      <c r="AS57" s="645"/>
      <c r="AT57" s="645"/>
      <c r="AU57" s="645"/>
      <c r="AV57" s="645"/>
      <c r="AW57" s="645"/>
      <c r="AX57" s="645"/>
      <c r="AY57" s="645"/>
      <c r="AZ57" s="645"/>
      <c r="BA57" s="645"/>
      <c r="BB57" s="645"/>
      <c r="BC57" s="645"/>
      <c r="BD57" s="645"/>
      <c r="BE57" s="645"/>
      <c r="BF57" s="645"/>
      <c r="BG57" s="645"/>
      <c r="BH57" s="645"/>
      <c r="BI57" s="645"/>
      <c r="BJ57" s="645"/>
      <c r="BK57" s="645"/>
      <c r="BL57" s="645"/>
      <c r="BM57" s="645"/>
      <c r="BN57" s="645"/>
      <c r="BO57" s="645"/>
      <c r="BP57" s="645"/>
      <c r="BQ57" s="645"/>
      <c r="BR57" s="645"/>
      <c r="BS57" s="645"/>
      <c r="BT57" s="645"/>
      <c r="BU57" s="645"/>
      <c r="BV57" s="645"/>
      <c r="BW57" s="645"/>
      <c r="BX57" s="645"/>
      <c r="BY57" s="645"/>
      <c r="BZ57" s="646"/>
      <c r="CA57" s="693"/>
      <c r="CB57" s="693"/>
      <c r="CC57" s="693"/>
      <c r="CD57" s="693"/>
      <c r="CE57" s="688">
        <f>IF(ISERROR(CE61-CE59-CE58-CE56-CE60),"--",CE61-CE59-CE58-CE56-CE60)</f>
        <v>-107.79999999999927</v>
      </c>
      <c r="CF57" s="693">
        <f t="shared" ref="CF57:CX57" si="77">IF(ISERROR(CF61-CF59-CF58-CF56-CF60),"--",CF61-CF59-CF58-CF56-CF60)</f>
        <v>-33.325000000000728</v>
      </c>
      <c r="CG57" s="693">
        <f t="shared" si="77"/>
        <v>-21.102847000000111</v>
      </c>
      <c r="CH57" s="693">
        <f t="shared" si="77"/>
        <v>-112.19391800000085</v>
      </c>
      <c r="CI57" s="693">
        <f t="shared" si="77"/>
        <v>-130.67823500000122</v>
      </c>
      <c r="CJ57" s="688">
        <f>IF(ISERROR(CJ61-CJ59-CJ58-CJ56-CJ60),"--",CJ61-CJ59-CJ58-CJ56-CJ60)</f>
        <v>-297.29999999999927</v>
      </c>
      <c r="CK57" s="693">
        <f t="shared" si="77"/>
        <v>-111.79999999999927</v>
      </c>
      <c r="CL57" s="693">
        <f t="shared" si="77"/>
        <v>-279</v>
      </c>
      <c r="CM57" s="693">
        <f t="shared" si="77"/>
        <v>-177.79999999999927</v>
      </c>
      <c r="CN57" s="693">
        <f t="shared" si="77"/>
        <v>-171.10000000000036</v>
      </c>
      <c r="CO57" s="688">
        <f>IF(ISERROR(CO61-CO59-CO58-CO56-CO60),"--",CO61-CO59-CO58-CO56-CO60)</f>
        <v>-739.70000000000073</v>
      </c>
      <c r="CP57" s="693">
        <f t="shared" si="77"/>
        <v>-284.75</v>
      </c>
      <c r="CQ57" s="693">
        <f t="shared" si="77"/>
        <v>-85.75</v>
      </c>
      <c r="CR57" s="693">
        <f t="shared" si="77"/>
        <v>-247.75</v>
      </c>
      <c r="CS57" s="693">
        <f t="shared" si="77"/>
        <v>-239.25750399999924</v>
      </c>
      <c r="CT57" s="688">
        <f>IF(ISERROR(CT61-CT59-CT58-CT56-CT60),"--",CT61-CT59-CT58-CT56-CT60)</f>
        <v>-857.50750399999924</v>
      </c>
      <c r="CU57" s="693">
        <f t="shared" si="77"/>
        <v>-62.492496000000756</v>
      </c>
      <c r="CV57" s="693">
        <f t="shared" si="77"/>
        <v>-90.020253999999113</v>
      </c>
      <c r="CW57" s="693">
        <f t="shared" si="77"/>
        <v>-35.686913000001368</v>
      </c>
      <c r="CX57" s="693">
        <f t="shared" si="77"/>
        <v>-224.99975900000027</v>
      </c>
      <c r="CY57" s="667">
        <f>SUM(CU57:CX57)</f>
        <v>-413.1994220000015</v>
      </c>
      <c r="CZ57" s="693">
        <f>IF(ISERROR(CZ61-CZ59-CZ58-CZ56-CZ60),"--",CZ61-CZ59-CZ58-CZ56-CZ60)</f>
        <v>-255.91767681205016</v>
      </c>
      <c r="DA57" s="693">
        <f>IF(ISERROR(DA61-DA59-DA58-DA56-DA60),"--",DA61-DA59-DA58-DA56-DA60)</f>
        <v>-23.830770760249294</v>
      </c>
      <c r="DB57" s="693">
        <f>IF(ISERROR(DB61-DB59-DB58-DB56-DB60),"--",DB61-DB59-DB58-DB56-DB60)</f>
        <v>-9.2320927220444116</v>
      </c>
      <c r="DC57" s="693">
        <f>IF(ISERROR(DC61-DC59-DC58-DC56-DC60),"--",DC61-DC59-DC58-DC56-DC60)</f>
        <v>-16.732583813821186</v>
      </c>
      <c r="DD57" s="667">
        <f>SUM(CZ57:DC57)</f>
        <v>-305.71312410816506</v>
      </c>
      <c r="DE57" s="693">
        <f>IF(ISERROR(DE61-DE59-DE58-DE56-DE60),"--",DE61-DE59-DE58-DE56-DE60)</f>
        <v>-6.1079176705254579</v>
      </c>
      <c r="DF57" s="693">
        <f>IF(ISERROR(DF61-DF59-DF58-DF56-DF60),"--",DF61-DF59-DF58-DF56-DF60)</f>
        <v>-75.368141298413477</v>
      </c>
      <c r="DG57" s="693">
        <f>IF(ISERROR(DG61-DG59-DG58-DG56-DG60),"--",DG61-DG59-DG58-DG56-DG60)</f>
        <v>-106.15002681536797</v>
      </c>
      <c r="DH57" s="693">
        <f>IF(ISERROR(DH61-DH59-DH58-DH56-DH60),"--",DH61-DH59-DH58-DH56-DH60)</f>
        <v>-71.981003306498025</v>
      </c>
      <c r="DI57" s="667">
        <f>SUM(DE57:DH57)</f>
        <v>-259.60708909080495</v>
      </c>
      <c r="DJ57" s="693">
        <f>IF(ISERROR(DJ61-DJ59-DJ58-DJ56-DJ60),"--",DJ61-DJ59-DJ58-DJ56-DJ60)</f>
        <v>-105.08584843176513</v>
      </c>
      <c r="DK57" s="693">
        <f>IF(ISERROR(DK61-DK59-DK58-DK56-DK60),"--",DK61-DK59-DK58-DK56-DK60)</f>
        <v>-144.62770682571258</v>
      </c>
      <c r="DL57" s="693">
        <f>IF(ISERROR(DL61-DL59-DL58-DL56-DL60),"--",DL61-DL59-DL58-DL56-DL60)</f>
        <v>-93.722929900608463</v>
      </c>
      <c r="DM57" s="693">
        <f>IF(ISERROR(DM61-DM59-DM58-DM56-DM60),"--",DM61-DM59-DM58-DM56-DM60)</f>
        <v>-7.7441128496742513</v>
      </c>
      <c r="DN57" s="667">
        <f>SUM(DJ57:DM57)</f>
        <v>-351.18059800776041</v>
      </c>
      <c r="DO57" s="693">
        <f>IF(ISERROR(DO61-DO59-DO58-DO56-DO60),"--",DO61-DO59-DO58-DO56-DO60)</f>
        <v>-54.672832943155576</v>
      </c>
      <c r="DP57" s="693">
        <f>IF(ISERROR(DP61-DP59-DP58-DP56-DP60),"--",DP61-DP59-DP58-DP56-DP60)</f>
        <v>-6.8929985938447933</v>
      </c>
      <c r="DQ57" s="693">
        <f>IF(ISERROR(DQ61-DQ59-DQ58-DQ56-DQ60),"--",DQ61-DQ59-DQ58-DQ56-DQ60)</f>
        <v>-9.052446082110956</v>
      </c>
      <c r="DR57" s="693">
        <f>IF(ISERROR(DR61-DR59-DR58-DR56-DR60),"--",DR61-DR59-DR58-DR56-DR60)</f>
        <v>-39.257333710638903</v>
      </c>
      <c r="DS57" s="664">
        <f>SUM(DO57:DR57)</f>
        <v>-109.87561132975023</v>
      </c>
      <c r="DT57" s="693">
        <f>IF(ISERROR(DT61-DT59-DT58-DT56-DT60),"--",DT61-DT59-DT58-DT56-DT60)</f>
        <v>-10.17978542414782</v>
      </c>
      <c r="DU57" s="693">
        <f>IF(ISERROR(DU61-DU59-DU58-DU56-DU60),"--",DU61-DU59-DU58-DU56-DU60)</f>
        <v>-20.781230457375521</v>
      </c>
      <c r="DV57" s="693">
        <f>IF(ISERROR(DV61-DV59-DV58-DV56-DV60),"--",DV61-DV59-DV58-DV56-DV60)</f>
        <v>-47.126189621924894</v>
      </c>
      <c r="DW57" s="693">
        <f>IF(ISERROR(DW61-DW59-DW58-DW56-DW60),"--",DW61-DW59-DW58-DW56-DW60)</f>
        <v>-37.518600051020442</v>
      </c>
      <c r="DX57" s="664">
        <f>SUM(DT57:DW57)</f>
        <v>-115.60580555446867</v>
      </c>
      <c r="DY57" s="693">
        <f>IF(ISERROR(DY61-DY59-DY58-DY56-DY60),"--",DY61-DY59-DY58-DY56-DY60)</f>
        <v>-25.4830559651943</v>
      </c>
      <c r="DZ57" s="693">
        <f>IF(ISERROR(DZ61-DZ59-DZ58-DZ56-DZ60),"--",DZ61-DZ59-DZ58-DZ56-DZ60)</f>
        <v>-32.431296277047025</v>
      </c>
      <c r="EA57" s="693">
        <f>IF(ISERROR(EA61-EA59-EA58-EA56-EA60),"--",EA61-EA59-EA58-EA56-EA60)</f>
        <v>-61.97332717487329</v>
      </c>
      <c r="EB57" s="693">
        <f>IF(ISERROR(EB61-EB59-EB58-EB56-EB60),"--",EB61-EB59-EB58-EB56-EB60)</f>
        <v>-58.567417811732149</v>
      </c>
      <c r="EC57" s="664">
        <f>SUM(DY57:EB57)</f>
        <v>-178.45509722884677</v>
      </c>
      <c r="ED57" s="693">
        <f>IF(ISERROR(ED61-ED59-ED58-ED56-ED60),"--",ED61-ED59-ED58-ED56-ED60)</f>
        <v>-18.623348028014167</v>
      </c>
      <c r="EE57" s="693">
        <f>IF(ISERROR(EE61-EE59-EE58-EE56-EE60),"--",EE61-EE59-EE58-EE56-EE60)</f>
        <v>-42.904049074410857</v>
      </c>
      <c r="EF57" s="693">
        <f>IF(ISERROR(EF61-EF59-EF58-EF56-EF60),"--",EF61-EF59-EF58-EF56-EF60)</f>
        <v>-83.66545038699897</v>
      </c>
      <c r="EG57" s="693">
        <f>IF(ISERROR(EG61-EG59-EG58-EG56-EG60),"--",EG61-EG59-EG58-EG56-EG60)</f>
        <v>-129.48633219128837</v>
      </c>
      <c r="EH57" s="667">
        <f>SUM(ED57:EG57)</f>
        <v>-274.67917968071237</v>
      </c>
      <c r="EI57" s="693">
        <f>IF(ISERROR(EI61-EI59-EI58-EI56-EI60),"--",EI61-EI59-EI58-EI56-EI60)</f>
        <v>-99.369040845792114</v>
      </c>
      <c r="EJ57" s="693">
        <f>IF(ISERROR(EJ61-EJ59-EJ58-EJ56-EJ60),"--",EJ61-EJ59-EJ58-EJ56-EJ60)</f>
        <v>-86.316127028532563</v>
      </c>
      <c r="EK57" s="693">
        <f>IF(ISERROR(EK61-EK59-EK58-EK56-EK60),"--",EK61-EK59-EK58-EK56-EK60)</f>
        <v>-81.330354050646918</v>
      </c>
      <c r="EL57" s="693">
        <f>IF(ISERROR(EL61-EL59-EL58-EL56-EL60),"--",EL61-EL59-EL58-EL56-EL60)</f>
        <v>-89.414706898066299</v>
      </c>
      <c r="EM57" s="667">
        <f>SUM(EI57:EL57)</f>
        <v>-356.43022882303791</v>
      </c>
      <c r="EN57" s="693">
        <f>IF(ISERROR(EN61-EN59-EN58-EN56-EN60),"--",EN61-EN59-EN58-EN56-EN60)</f>
        <v>-52.57240203132239</v>
      </c>
      <c r="EO57" s="693">
        <f>IF(ISERROR(EO61-EO59-EO58-EO56-EO60),"--",EO61-EO59-EO58-EO56-EO60)</f>
        <v>-83.806897976108942</v>
      </c>
      <c r="EP57" s="693">
        <f>IF(ISERROR(EP61-EP59-EP58-EP56-EP60),"--",EP61-EP59-EP58-EP56-EP60)</f>
        <v>-38.121906739992617</v>
      </c>
      <c r="EQ57" s="693">
        <f>IF(ISERROR(EQ61-EQ59-EQ58-EQ56-EQ60),"--",EQ61-EQ59-EQ58-EQ56-EQ60)</f>
        <v>-40.521406093427771</v>
      </c>
      <c r="ER57" s="667">
        <f>SUM(EN57:EQ57)</f>
        <v>-215.02261284085174</v>
      </c>
      <c r="ES57" s="693">
        <f>IF(ISERROR(ES61-ES59-ES58-ES56-ES60),"--",ES61-ES59-ES58-ES56-ES60)</f>
        <v>-29.009652756290237</v>
      </c>
      <c r="ET57" s="693">
        <f>IF(ISERROR(ET61-ET59-ET58-ET56-ET60),"--",ET61-ET59-ET58-ET56-ET60)</f>
        <v>-50.591196534133402</v>
      </c>
      <c r="EU57" s="693">
        <f>IF(ISERROR(EU61-EU59-EU58-EU56-EU60),"--",EU61-EU59-EU58-EU56-EU60)</f>
        <v>-52.270895451727</v>
      </c>
      <c r="EV57" s="693">
        <f>IF(ISERROR(EV61-EV59-EV58-EV56-EV60),"--",EV61-EV59-EV58-EV56-EV60)</f>
        <v>-39.05393193476629</v>
      </c>
      <c r="EW57" s="667">
        <f>SUM(ES57:EV57)</f>
        <v>-170.92567667691694</v>
      </c>
      <c r="EX57" s="693">
        <f>IF(ISERROR(EX61-EX59-EX58-EX56-EX60),"--",EX61-EX59-EX58-EX56-EX60)</f>
        <v>-55.709935266908992</v>
      </c>
      <c r="EY57" s="693">
        <f>IF(ISERROR(EY61-EY59-EY58-EY56-EY60),"--",EY61-EY59-EY58-EY56-EY60)</f>
        <v>-57.530354590765896</v>
      </c>
      <c r="EZ57" s="693">
        <f>IF(ISERROR(EZ61-EZ59-EZ58-EZ56-EZ60),"--",EZ61-EZ59-EZ58-EZ56-EZ60)</f>
        <v>-59.630617351315699</v>
      </c>
      <c r="FA57" s="693">
        <f>IF(ISERROR(FA61-FA59-FA58-FA56-FA60),"--",FA61-FA59-FA58-FA56-FA60)</f>
        <v>-61.858588775940099</v>
      </c>
      <c r="FB57" s="667">
        <f>SUM(EX57:FA57)</f>
        <v>-234.72949598493068</v>
      </c>
      <c r="FC57" s="693">
        <f>IF(ISERROR(FC61-FC59-FC58-FC56-FC60),"--",FC61-FC59-FC58-FC56-FC60)</f>
        <v>-63.195939790439141</v>
      </c>
      <c r="FD57" s="693">
        <f>IF(ISERROR(FD61-FD59-FD58-FD56-FD60),"--",FD61-FD59-FD58-FD56-FD60)</f>
        <v>-65.581703008815211</v>
      </c>
      <c r="FE57" s="693">
        <f>IF(ISERROR(FE61-FE59-FE58-FE56-FE60),"--",FE61-FE59-FE58-FE56-FE60)</f>
        <v>-68.24155996598985</v>
      </c>
      <c r="FF57" s="693">
        <f>IF(ISERROR(FF61-FF59-FF58-FF56-FF60),"--",FF61-FF59-FF58-FF56-FF60)</f>
        <v>-71.060238374852872</v>
      </c>
      <c r="FG57" s="667">
        <f>SUM(FC57:FF57)</f>
        <v>-268.07944114009706</v>
      </c>
      <c r="FH57" s="693">
        <f>IF(ISERROR(FH61-FH59-FH58-FH56-FH60),"--",FH61-FH59-FH58-FH56-FH60)</f>
        <v>-66.182432697678991</v>
      </c>
      <c r="FI57" s="693">
        <f>IF(ISERROR(FI61-FI59-FI58-FI56-FI60),"--",FI61-FI59-FI58-FI56-FI60)</f>
        <v>-69.269634607410239</v>
      </c>
      <c r="FJ57" s="693">
        <f>IF(ISERROR(FJ61-FJ59-FJ58-FJ56-FJ60),"--",FJ61-FJ59-FJ58-FJ56-FJ60)</f>
        <v>-72.640900647690472</v>
      </c>
      <c r="FK57" s="693">
        <f>IF(ISERROR(FK61-FK59-FK58-FK56-FK60),"--",FK61-FK59-FK58-FK56-FK60)</f>
        <v>-76.210556423682618</v>
      </c>
      <c r="FL57" s="667">
        <f>SUM(FH57:FK57)</f>
        <v>-284.30352437646229</v>
      </c>
      <c r="FM57" s="261"/>
      <c r="FN57" s="261"/>
      <c r="FO57" s="261"/>
      <c r="FP57" s="261"/>
      <c r="FQ57" s="261"/>
      <c r="FR57" s="261"/>
      <c r="FS57" s="261"/>
      <c r="FT57" s="261"/>
      <c r="FU57" s="261"/>
      <c r="FV57" s="261"/>
      <c r="FW57" s="261"/>
      <c r="FX57" s="261"/>
      <c r="FY57" s="261"/>
      <c r="FZ57" s="261"/>
      <c r="GA57" s="261"/>
      <c r="GB57" s="261"/>
      <c r="GC57" s="261"/>
      <c r="GD57" s="261"/>
      <c r="GE57" s="261"/>
      <c r="GF57" s="261"/>
      <c r="GG57" s="261"/>
      <c r="GH57" s="261"/>
      <c r="GI57" s="261"/>
      <c r="GJ57" s="261"/>
      <c r="GK57" s="261"/>
      <c r="GL57" s="261"/>
      <c r="GM57" s="261"/>
      <c r="GN57" s="261"/>
      <c r="GO57" s="261"/>
      <c r="GP57" s="261"/>
      <c r="GQ57" s="261"/>
      <c r="GR57" s="261"/>
      <c r="GS57" s="261"/>
      <c r="GT57" s="261"/>
      <c r="GU57" s="261"/>
      <c r="GV57" s="261"/>
      <c r="GW57" s="261"/>
      <c r="GX57" s="261"/>
      <c r="GY57" s="261"/>
      <c r="GZ57" s="261"/>
      <c r="HA57" s="261"/>
      <c r="HB57" s="261"/>
      <c r="HC57" s="261"/>
      <c r="HD57" s="261"/>
      <c r="HE57" s="261"/>
      <c r="HF57" s="261"/>
      <c r="HG57" s="261"/>
      <c r="HH57" s="261"/>
      <c r="HI57" s="261"/>
      <c r="HJ57" s="261"/>
      <c r="HK57" s="261"/>
      <c r="HL57" s="261"/>
      <c r="HM57" s="261"/>
      <c r="HN57" s="261"/>
      <c r="HO57" s="261"/>
      <c r="HP57" s="261"/>
      <c r="HQ57" s="261"/>
      <c r="HR57" s="261"/>
      <c r="HS57" s="261"/>
      <c r="HT57" s="261"/>
      <c r="HU57" s="261"/>
      <c r="HV57" s="261"/>
      <c r="HW57" s="261"/>
      <c r="HX57" s="261"/>
      <c r="HY57" s="261"/>
      <c r="HZ57" s="261"/>
      <c r="IA57" s="261"/>
      <c r="IB57" s="261"/>
      <c r="IC57" s="261"/>
      <c r="ID57" s="261"/>
      <c r="IE57" s="261"/>
      <c r="IF57" s="261"/>
      <c r="IG57" s="261"/>
      <c r="IH57" s="261"/>
      <c r="II57" s="261"/>
      <c r="IJ57" s="261"/>
      <c r="IK57" s="261"/>
      <c r="IL57" s="261"/>
      <c r="IM57" s="261"/>
      <c r="IN57" s="261"/>
      <c r="IO57" s="261"/>
      <c r="IP57" s="261"/>
      <c r="IQ57" s="261"/>
      <c r="IR57" s="261"/>
      <c r="IS57" s="261"/>
      <c r="IT57" s="261"/>
      <c r="IU57" s="261"/>
      <c r="IV57" s="261"/>
      <c r="IW57" s="261"/>
      <c r="IX57" s="261"/>
      <c r="IY57" s="261"/>
      <c r="IZ57" s="261"/>
      <c r="JA57" s="261"/>
      <c r="JB57" s="261"/>
      <c r="JC57" s="261"/>
      <c r="JD57" s="261"/>
      <c r="JE57" s="261"/>
      <c r="JF57" s="261"/>
      <c r="JG57" s="261"/>
      <c r="JH57" s="261"/>
      <c r="JI57" s="261"/>
      <c r="JJ57" s="261"/>
      <c r="JK57" s="261"/>
      <c r="JL57" s="261"/>
      <c r="JM57" s="261"/>
      <c r="JN57" s="261"/>
      <c r="JO57" s="261"/>
    </row>
    <row r="58" spans="1:275" s="651" customFormat="1" ht="11.25" customHeight="1">
      <c r="A58" s="689" t="s">
        <v>604</v>
      </c>
      <c r="B58" s="689"/>
      <c r="C58" s="645"/>
      <c r="D58" s="645"/>
      <c r="E58" s="645"/>
      <c r="F58" s="645"/>
      <c r="G58" s="645"/>
      <c r="H58" s="645"/>
      <c r="I58" s="645"/>
      <c r="J58" s="645"/>
      <c r="K58" s="645"/>
      <c r="L58" s="645"/>
      <c r="M58" s="645"/>
      <c r="N58" s="645"/>
      <c r="O58" s="645"/>
      <c r="P58" s="645"/>
      <c r="Q58" s="645"/>
      <c r="R58" s="645"/>
      <c r="S58" s="645"/>
      <c r="T58" s="645"/>
      <c r="U58" s="645"/>
      <c r="V58" s="645"/>
      <c r="W58" s="645"/>
      <c r="X58" s="645"/>
      <c r="Y58" s="645"/>
      <c r="Z58" s="645"/>
      <c r="AA58" s="645"/>
      <c r="AB58" s="645"/>
      <c r="AC58" s="645"/>
      <c r="AD58" s="645"/>
      <c r="AE58" s="645"/>
      <c r="AF58" s="645"/>
      <c r="AG58" s="645"/>
      <c r="AH58" s="645"/>
      <c r="AI58" s="645"/>
      <c r="AJ58" s="645"/>
      <c r="AK58" s="645"/>
      <c r="AL58" s="645"/>
      <c r="AM58" s="645"/>
      <c r="AN58" s="645"/>
      <c r="AO58" s="645"/>
      <c r="AP58" s="645"/>
      <c r="AQ58" s="645"/>
      <c r="AR58" s="645"/>
      <c r="AS58" s="645"/>
      <c r="AT58" s="645"/>
      <c r="AU58" s="645"/>
      <c r="AV58" s="645"/>
      <c r="AW58" s="645"/>
      <c r="AX58" s="645"/>
      <c r="AY58" s="645"/>
      <c r="AZ58" s="645"/>
      <c r="BA58" s="645"/>
      <c r="BB58" s="645"/>
      <c r="BC58" s="645"/>
      <c r="BD58" s="645"/>
      <c r="BE58" s="645"/>
      <c r="BF58" s="645"/>
      <c r="BG58" s="645"/>
      <c r="BH58" s="645"/>
      <c r="BI58" s="645"/>
      <c r="BJ58" s="645"/>
      <c r="BK58" s="645"/>
      <c r="BL58" s="645"/>
      <c r="BM58" s="645"/>
      <c r="BN58" s="645"/>
      <c r="BO58" s="645"/>
      <c r="BP58" s="645"/>
      <c r="BQ58" s="645"/>
      <c r="BR58" s="645"/>
      <c r="BS58" s="645"/>
      <c r="BT58" s="645"/>
      <c r="BU58" s="645"/>
      <c r="BV58" s="645"/>
      <c r="BW58" s="645"/>
      <c r="BX58" s="645"/>
      <c r="BY58" s="645"/>
      <c r="BZ58" s="646"/>
      <c r="CA58" s="662">
        <f t="shared" ref="CA58:CY58" si="78">CA12</f>
        <v>49.5</v>
      </c>
      <c r="CB58" s="662">
        <f t="shared" si="78"/>
        <v>49.5</v>
      </c>
      <c r="CC58" s="662">
        <f t="shared" si="78"/>
        <v>49.5</v>
      </c>
      <c r="CD58" s="662">
        <f t="shared" si="78"/>
        <v>49.5</v>
      </c>
      <c r="CE58" s="688">
        <f>CE12</f>
        <v>198</v>
      </c>
      <c r="CF58" s="662">
        <f t="shared" si="78"/>
        <v>34.5</v>
      </c>
      <c r="CG58" s="662">
        <f t="shared" si="78"/>
        <v>34.5</v>
      </c>
      <c r="CH58" s="662">
        <f t="shared" si="78"/>
        <v>34.5</v>
      </c>
      <c r="CI58" s="662">
        <f t="shared" si="78"/>
        <v>34.5</v>
      </c>
      <c r="CJ58" s="664">
        <f t="shared" si="78"/>
        <v>138</v>
      </c>
      <c r="CK58" s="662">
        <f t="shared" si="78"/>
        <v>34</v>
      </c>
      <c r="CL58" s="662">
        <f t="shared" si="78"/>
        <v>17</v>
      </c>
      <c r="CM58" s="662">
        <f t="shared" si="78"/>
        <v>18</v>
      </c>
      <c r="CN58" s="662">
        <f t="shared" si="78"/>
        <v>7</v>
      </c>
      <c r="CO58" s="664">
        <f t="shared" si="78"/>
        <v>76</v>
      </c>
      <c r="CP58" s="662">
        <f t="shared" si="78"/>
        <v>33.5</v>
      </c>
      <c r="CQ58" s="662">
        <f t="shared" si="78"/>
        <v>33.5</v>
      </c>
      <c r="CR58" s="662">
        <f t="shared" si="78"/>
        <v>33.5</v>
      </c>
      <c r="CS58" s="662">
        <f t="shared" si="78"/>
        <v>33.5</v>
      </c>
      <c r="CT58" s="664">
        <f t="shared" si="78"/>
        <v>134</v>
      </c>
      <c r="CU58" s="662">
        <f t="shared" si="78"/>
        <v>30.25</v>
      </c>
      <c r="CV58" s="662">
        <f t="shared" si="78"/>
        <v>30.25</v>
      </c>
      <c r="CW58" s="662">
        <f t="shared" si="78"/>
        <v>30.25</v>
      </c>
      <c r="CX58" s="662">
        <f t="shared" si="78"/>
        <v>30.25</v>
      </c>
      <c r="CY58" s="667">
        <f t="shared" si="78"/>
        <v>121</v>
      </c>
      <c r="CZ58" s="715">
        <f t="shared" ref="CZ58:DI58" si="79">CZ12</f>
        <v>14.56</v>
      </c>
      <c r="DA58" s="662">
        <f t="shared" si="79"/>
        <v>11.922937128712872</v>
      </c>
      <c r="DB58" s="662">
        <f t="shared" si="79"/>
        <v>11.21789017820557</v>
      </c>
      <c r="DC58" s="662">
        <f t="shared" si="79"/>
        <v>10.554535236727029</v>
      </c>
      <c r="DD58" s="667">
        <f t="shared" si="79"/>
        <v>48.255362543645468</v>
      </c>
      <c r="DE58" s="715">
        <f t="shared" si="79"/>
        <v>11.349036460628884</v>
      </c>
      <c r="DF58" s="662">
        <f>DF12</f>
        <v>9.2935335296393031</v>
      </c>
      <c r="DG58" s="662">
        <f>DG12</f>
        <v>8.7439728464138504</v>
      </c>
      <c r="DH58" s="662">
        <f>DH12</f>
        <v>8.2269096996296263</v>
      </c>
      <c r="DI58" s="667">
        <f t="shared" si="79"/>
        <v>37.613452536311662</v>
      </c>
      <c r="DJ58" s="715">
        <f t="shared" ref="DJ58:DS58" si="80">DJ12</f>
        <v>8.846197018178831</v>
      </c>
      <c r="DK58" s="662">
        <f t="shared" si="80"/>
        <v>7.2440007469748275</v>
      </c>
      <c r="DL58" s="662">
        <f t="shared" si="80"/>
        <v>6.8156364453777272</v>
      </c>
      <c r="DM58" s="662">
        <f t="shared" si="80"/>
        <v>6.4126028941894253</v>
      </c>
      <c r="DN58" s="667">
        <f t="shared" si="80"/>
        <v>29.318437104720811</v>
      </c>
      <c r="DO58" s="715">
        <f>DO12</f>
        <v>6.895316792391351</v>
      </c>
      <c r="DP58" s="662">
        <f t="shared" si="80"/>
        <v>5.6464580081208906</v>
      </c>
      <c r="DQ58" s="662">
        <f t="shared" si="80"/>
        <v>5.3125622610565149</v>
      </c>
      <c r="DR58" s="662">
        <f>DR12</f>
        <v>4.9984109926984939</v>
      </c>
      <c r="DS58" s="664">
        <f t="shared" si="80"/>
        <v>22.852748054267252</v>
      </c>
      <c r="DT58" s="715">
        <f t="shared" ref="DT58:EC58" si="81">DT12</f>
        <v>5.3746704453596159</v>
      </c>
      <c r="DU58" s="662">
        <f t="shared" si="81"/>
        <v>4.4012264977729334</v>
      </c>
      <c r="DV58" s="662">
        <f t="shared" si="81"/>
        <v>4.1409658516546282</v>
      </c>
      <c r="DW58" s="662">
        <f t="shared" si="81"/>
        <v>3.8960953709713881</v>
      </c>
      <c r="DX58" s="664">
        <f t="shared" si="81"/>
        <v>17.812958165758566</v>
      </c>
      <c r="DY58" s="715">
        <f t="shared" si="81"/>
        <v>4.1893771186985411</v>
      </c>
      <c r="DZ58" s="662">
        <f t="shared" si="81"/>
        <v>3.4306098897466333</v>
      </c>
      <c r="EA58" s="662">
        <f t="shared" si="81"/>
        <v>3.2277453593851311</v>
      </c>
      <c r="EB58" s="662">
        <f t="shared" si="81"/>
        <v>3.0368769518709957</v>
      </c>
      <c r="EC58" s="664">
        <f t="shared" si="81"/>
        <v>13.884609319701301</v>
      </c>
      <c r="ED58" s="715">
        <f>ED12</f>
        <v>3.2654803343017944</v>
      </c>
      <c r="EE58" s="662">
        <f>EE12</f>
        <v>2.6740464780857542</v>
      </c>
      <c r="EF58" s="662">
        <f>EF12</f>
        <v>2.5159203138246928</v>
      </c>
      <c r="EG58" s="662">
        <f t="shared" ref="EG58:EM58" si="82">EG12</f>
        <v>2.3671447289304552</v>
      </c>
      <c r="EH58" s="667">
        <f t="shared" si="82"/>
        <v>10.822591855142697</v>
      </c>
      <c r="EI58" s="715">
        <f>EI12</f>
        <v>2.2271667893904836</v>
      </c>
      <c r="EJ58" s="662">
        <f>EJ12</f>
        <v>2.095466258205982</v>
      </c>
      <c r="EK58" s="662">
        <f t="shared" si="82"/>
        <v>1.9715536618977128</v>
      </c>
      <c r="EL58" s="662">
        <f t="shared" si="82"/>
        <v>1.854968471346385</v>
      </c>
      <c r="EM58" s="667">
        <f t="shared" si="82"/>
        <v>8.1491551808405625</v>
      </c>
      <c r="EN58" s="715">
        <f>EN12</f>
        <v>1.7452773902066199</v>
      </c>
      <c r="EO58" s="662">
        <f>EO12</f>
        <v>1.642072744533263</v>
      </c>
      <c r="EP58" s="662">
        <f t="shared" ref="EP58:EQ58" si="83">EP12</f>
        <v>1.5449709676349963</v>
      </c>
      <c r="EQ58" s="662">
        <f t="shared" si="83"/>
        <v>1.4536111745241052</v>
      </c>
      <c r="ER58" s="667">
        <f t="shared" ref="ER58:EW58" si="84">ER12</f>
        <v>6.3859322768989841</v>
      </c>
      <c r="ES58" s="715">
        <f>ES12</f>
        <v>1.3676538206642515</v>
      </c>
      <c r="ET58" s="662">
        <f>ET12</f>
        <v>1.2867794400314072</v>
      </c>
      <c r="EU58" s="662">
        <f t="shared" ref="EU58" si="85">EU12</f>
        <v>1.210687457797867</v>
      </c>
      <c r="EV58" s="662">
        <f t="shared" si="84"/>
        <v>1.1390950732266021</v>
      </c>
      <c r="EW58" s="667">
        <f t="shared" si="84"/>
        <v>5.004215791720128</v>
      </c>
      <c r="EX58" s="715">
        <f t="shared" ref="EX58:FG58" si="86">EX12</f>
        <v>1.2248413812847632</v>
      </c>
      <c r="EY58" s="662">
        <f t="shared" si="86"/>
        <v>1.0030018394027516</v>
      </c>
      <c r="EZ58" s="662">
        <f t="shared" si="86"/>
        <v>0.94369066627569265</v>
      </c>
      <c r="FA58" s="662">
        <f t="shared" si="86"/>
        <v>0.88788678009419186</v>
      </c>
      <c r="FB58" s="667">
        <f t="shared" si="86"/>
        <v>4.0594206670573989</v>
      </c>
      <c r="FC58" s="715">
        <f t="shared" si="86"/>
        <v>0.95472317958020714</v>
      </c>
      <c r="FD58" s="662">
        <f t="shared" si="86"/>
        <v>0.78180662400135026</v>
      </c>
      <c r="FE58" s="662">
        <f t="shared" si="86"/>
        <v>0.73557553428008216</v>
      </c>
      <c r="FF58" s="662">
        <f t="shared" si="86"/>
        <v>0.69207825825545066</v>
      </c>
      <c r="FG58" s="667">
        <f t="shared" si="86"/>
        <v>3.1641835961170903</v>
      </c>
      <c r="FH58" s="715">
        <f t="shared" ref="FH58:FL58" si="87">FH12</f>
        <v>0.74417501200984248</v>
      </c>
      <c r="FI58" s="662">
        <f t="shared" si="87"/>
        <v>0.60939229951596829</v>
      </c>
      <c r="FJ58" s="662">
        <f t="shared" si="87"/>
        <v>0.57335670041835318</v>
      </c>
      <c r="FK58" s="662">
        <f t="shared" si="87"/>
        <v>0.53945201830698075</v>
      </c>
      <c r="FL58" s="667">
        <f t="shared" si="87"/>
        <v>2.4663760302511446</v>
      </c>
      <c r="FM58" s="261"/>
      <c r="FN58" s="261"/>
      <c r="FO58" s="261"/>
      <c r="FP58" s="261"/>
      <c r="FQ58" s="261"/>
      <c r="FR58" s="261"/>
      <c r="FS58" s="261"/>
      <c r="FT58" s="261"/>
      <c r="FU58" s="261"/>
      <c r="FV58" s="261"/>
      <c r="FW58" s="261"/>
      <c r="FX58" s="261"/>
      <c r="FY58" s="261"/>
      <c r="FZ58" s="261"/>
      <c r="GA58" s="261"/>
      <c r="GB58" s="261"/>
      <c r="GC58" s="261"/>
      <c r="GD58" s="261"/>
      <c r="GE58" s="261"/>
      <c r="GF58" s="261"/>
      <c r="GG58" s="261"/>
      <c r="GH58" s="261"/>
      <c r="GI58" s="261"/>
      <c r="GJ58" s="261"/>
      <c r="GK58" s="261"/>
      <c r="GL58" s="261"/>
      <c r="GM58" s="261"/>
      <c r="GN58" s="261"/>
      <c r="GO58" s="261"/>
      <c r="GP58" s="261"/>
      <c r="GQ58" s="261"/>
      <c r="GR58" s="261"/>
      <c r="GS58" s="261"/>
      <c r="GT58" s="261"/>
      <c r="GU58" s="261"/>
      <c r="GV58" s="261"/>
      <c r="GW58" s="261"/>
      <c r="GX58" s="261"/>
      <c r="GY58" s="261"/>
      <c r="GZ58" s="261"/>
      <c r="HA58" s="261"/>
      <c r="HB58" s="261"/>
      <c r="HC58" s="261"/>
      <c r="HD58" s="261"/>
      <c r="HE58" s="261"/>
      <c r="HF58" s="261"/>
      <c r="HG58" s="261"/>
      <c r="HH58" s="261"/>
      <c r="HI58" s="261"/>
      <c r="HJ58" s="261"/>
      <c r="HK58" s="261"/>
      <c r="HL58" s="261"/>
      <c r="HM58" s="261"/>
      <c r="HN58" s="261"/>
      <c r="HO58" s="261"/>
      <c r="HP58" s="261"/>
      <c r="HQ58" s="261"/>
      <c r="HR58" s="261"/>
      <c r="HS58" s="261"/>
      <c r="HT58" s="261"/>
      <c r="HU58" s="261"/>
      <c r="HV58" s="261"/>
      <c r="HW58" s="261"/>
      <c r="HX58" s="261"/>
      <c r="HY58" s="261"/>
      <c r="HZ58" s="261"/>
      <c r="IA58" s="261"/>
      <c r="IB58" s="261"/>
      <c r="IC58" s="261"/>
      <c r="ID58" s="261"/>
      <c r="IE58" s="261"/>
      <c r="IF58" s="261"/>
      <c r="IG58" s="261"/>
      <c r="IH58" s="261"/>
      <c r="II58" s="261"/>
      <c r="IJ58" s="261"/>
      <c r="IK58" s="261"/>
      <c r="IL58" s="261"/>
      <c r="IM58" s="261"/>
      <c r="IN58" s="261"/>
      <c r="IO58" s="261"/>
      <c r="IP58" s="261"/>
      <c r="IQ58" s="261"/>
      <c r="IR58" s="261"/>
      <c r="IS58" s="261"/>
      <c r="IT58" s="261"/>
      <c r="IU58" s="261"/>
      <c r="IV58" s="261"/>
      <c r="IW58" s="261"/>
      <c r="IX58" s="261"/>
      <c r="IY58" s="261"/>
      <c r="IZ58" s="261"/>
      <c r="JA58" s="261"/>
      <c r="JB58" s="261"/>
      <c r="JC58" s="261"/>
      <c r="JD58" s="261"/>
      <c r="JE58" s="261"/>
      <c r="JF58" s="261"/>
      <c r="JG58" s="261"/>
      <c r="JH58" s="261"/>
      <c r="JI58" s="261"/>
      <c r="JJ58" s="261"/>
      <c r="JK58" s="261"/>
      <c r="JL58" s="261"/>
      <c r="JM58" s="261"/>
      <c r="JN58" s="261"/>
      <c r="JO58" s="261"/>
    </row>
    <row r="59" spans="1:275" s="651" customFormat="1" ht="11.25" customHeight="1">
      <c r="A59" s="689" t="s">
        <v>605</v>
      </c>
      <c r="B59" s="689"/>
      <c r="C59" s="645"/>
      <c r="D59" s="645"/>
      <c r="E59" s="645"/>
      <c r="F59" s="645"/>
      <c r="G59" s="645"/>
      <c r="H59" s="645"/>
      <c r="I59" s="645"/>
      <c r="J59" s="645"/>
      <c r="K59" s="645"/>
      <c r="L59" s="645"/>
      <c r="M59" s="645"/>
      <c r="N59" s="645"/>
      <c r="O59" s="645"/>
      <c r="P59" s="645"/>
      <c r="Q59" s="645"/>
      <c r="R59" s="645"/>
      <c r="S59" s="645"/>
      <c r="T59" s="645"/>
      <c r="U59" s="645"/>
      <c r="V59" s="645"/>
      <c r="W59" s="645"/>
      <c r="X59" s="645"/>
      <c r="Y59" s="645"/>
      <c r="Z59" s="645"/>
      <c r="AA59" s="645"/>
      <c r="AB59" s="645"/>
      <c r="AC59" s="645"/>
      <c r="AD59" s="645"/>
      <c r="AE59" s="645"/>
      <c r="AF59" s="645"/>
      <c r="AG59" s="645"/>
      <c r="AH59" s="645"/>
      <c r="AI59" s="645"/>
      <c r="AJ59" s="645"/>
      <c r="AK59" s="645"/>
      <c r="AL59" s="645"/>
      <c r="AM59" s="645"/>
      <c r="AN59" s="645"/>
      <c r="AO59" s="645"/>
      <c r="AP59" s="645"/>
      <c r="AQ59" s="645"/>
      <c r="AR59" s="645"/>
      <c r="AS59" s="645"/>
      <c r="AT59" s="645"/>
      <c r="AU59" s="645"/>
      <c r="AV59" s="645"/>
      <c r="AW59" s="645"/>
      <c r="AX59" s="645"/>
      <c r="AY59" s="645"/>
      <c r="AZ59" s="645"/>
      <c r="BA59" s="645"/>
      <c r="BB59" s="645"/>
      <c r="BC59" s="645"/>
      <c r="BD59" s="645"/>
      <c r="BE59" s="645"/>
      <c r="BF59" s="645"/>
      <c r="BG59" s="645"/>
      <c r="BH59" s="645"/>
      <c r="BI59" s="645"/>
      <c r="BJ59" s="645"/>
      <c r="BK59" s="645"/>
      <c r="BL59" s="645"/>
      <c r="BM59" s="645"/>
      <c r="BN59" s="645"/>
      <c r="BO59" s="645"/>
      <c r="BP59" s="645"/>
      <c r="BQ59" s="645"/>
      <c r="BR59" s="645"/>
      <c r="BS59" s="645"/>
      <c r="BT59" s="645"/>
      <c r="BU59" s="645"/>
      <c r="BV59" s="645"/>
      <c r="BW59" s="645"/>
      <c r="BX59" s="645"/>
      <c r="BY59" s="645"/>
      <c r="BZ59" s="646"/>
      <c r="CA59" s="693" t="str">
        <f t="shared" ref="CA59:CY59" si="88">CA28</f>
        <v>--</v>
      </c>
      <c r="CB59" s="693" t="str">
        <f t="shared" si="88"/>
        <v>--</v>
      </c>
      <c r="CC59" s="693" t="str">
        <f t="shared" si="88"/>
        <v>--</v>
      </c>
      <c r="CD59" s="693" t="str">
        <f t="shared" si="88"/>
        <v>--</v>
      </c>
      <c r="CE59" s="688">
        <f>CE28</f>
        <v>0.8</v>
      </c>
      <c r="CF59" s="693">
        <f t="shared" si="88"/>
        <v>1.825</v>
      </c>
      <c r="CG59" s="693">
        <f t="shared" si="88"/>
        <v>1.825</v>
      </c>
      <c r="CH59" s="693">
        <f t="shared" si="88"/>
        <v>1.825</v>
      </c>
      <c r="CI59" s="693">
        <f t="shared" si="88"/>
        <v>1.825</v>
      </c>
      <c r="CJ59" s="688">
        <f t="shared" si="88"/>
        <v>7.3</v>
      </c>
      <c r="CK59" s="693">
        <f t="shared" si="88"/>
        <v>12.8</v>
      </c>
      <c r="CL59" s="693">
        <f t="shared" si="88"/>
        <v>1</v>
      </c>
      <c r="CM59" s="693">
        <f t="shared" si="88"/>
        <v>0.8</v>
      </c>
      <c r="CN59" s="693">
        <f t="shared" si="88"/>
        <v>1.0999999999999979</v>
      </c>
      <c r="CO59" s="664">
        <f t="shared" si="88"/>
        <v>15.7</v>
      </c>
      <c r="CP59" s="662">
        <f t="shared" si="88"/>
        <v>6</v>
      </c>
      <c r="CQ59" s="662">
        <f t="shared" si="88"/>
        <v>6</v>
      </c>
      <c r="CR59" s="662">
        <f t="shared" si="88"/>
        <v>6</v>
      </c>
      <c r="CS59" s="662">
        <f t="shared" si="88"/>
        <v>6</v>
      </c>
      <c r="CT59" s="664">
        <f t="shared" si="88"/>
        <v>24</v>
      </c>
      <c r="CU59" s="662">
        <f t="shared" si="88"/>
        <v>8.25</v>
      </c>
      <c r="CV59" s="662">
        <f t="shared" si="88"/>
        <v>8.25</v>
      </c>
      <c r="CW59" s="662">
        <f t="shared" si="88"/>
        <v>8.25</v>
      </c>
      <c r="CX59" s="662">
        <f t="shared" si="88"/>
        <v>8.25</v>
      </c>
      <c r="CY59" s="667">
        <f t="shared" si="88"/>
        <v>33</v>
      </c>
      <c r="CZ59" s="715">
        <f t="shared" ref="CZ59:DI59" si="89">CZ28</f>
        <v>3.0620000000000007</v>
      </c>
      <c r="DA59" s="662">
        <f t="shared" si="89"/>
        <v>3.2457199999999999</v>
      </c>
      <c r="DB59" s="662">
        <f t="shared" si="89"/>
        <v>3.4404631999999999</v>
      </c>
      <c r="DC59" s="662">
        <f t="shared" si="89"/>
        <v>3.6468909919999994</v>
      </c>
      <c r="DD59" s="667">
        <f t="shared" si="89"/>
        <v>13.395074191999999</v>
      </c>
      <c r="DE59" s="715">
        <f t="shared" si="89"/>
        <v>3.8657044515199988</v>
      </c>
      <c r="DF59" s="662">
        <f>DF28</f>
        <v>4.0976467186111982</v>
      </c>
      <c r="DG59" s="662">
        <f>DG28</f>
        <v>4.3435055217278702</v>
      </c>
      <c r="DH59" s="662">
        <f>DH28</f>
        <v>4.6041158530315425</v>
      </c>
      <c r="DI59" s="667">
        <f t="shared" si="89"/>
        <v>16.910972544890612</v>
      </c>
      <c r="DJ59" s="715">
        <f t="shared" ref="DJ59:DS59" si="90">DJ28</f>
        <v>4.8803628042134353</v>
      </c>
      <c r="DK59" s="662">
        <f t="shared" si="90"/>
        <v>5.1731845724662398</v>
      </c>
      <c r="DL59" s="662">
        <f t="shared" si="90"/>
        <v>5.4835756468142147</v>
      </c>
      <c r="DM59" s="662">
        <f t="shared" si="90"/>
        <v>5.8125901856230682</v>
      </c>
      <c r="DN59" s="667">
        <f t="shared" si="90"/>
        <v>21.349713209116956</v>
      </c>
      <c r="DO59" s="715">
        <f>DO28</f>
        <v>6.1613455967604516</v>
      </c>
      <c r="DP59" s="662">
        <f t="shared" si="90"/>
        <v>6.5310263325660785</v>
      </c>
      <c r="DQ59" s="662">
        <f t="shared" si="90"/>
        <v>6.9228879125200447</v>
      </c>
      <c r="DR59" s="662">
        <f>DR28</f>
        <v>7.3382611872712484</v>
      </c>
      <c r="DS59" s="664">
        <f t="shared" si="90"/>
        <v>26.953521029117823</v>
      </c>
      <c r="DT59" s="715">
        <f t="shared" ref="DT59:EC59" si="91">DT28</f>
        <v>7.7785568585075229</v>
      </c>
      <c r="DU59" s="662">
        <f t="shared" si="91"/>
        <v>8.2452702700179756</v>
      </c>
      <c r="DV59" s="662">
        <f t="shared" si="91"/>
        <v>8.7399864862190544</v>
      </c>
      <c r="DW59" s="662">
        <f t="shared" si="91"/>
        <v>9.264385675392198</v>
      </c>
      <c r="DX59" s="664">
        <f t="shared" si="91"/>
        <v>34.028199290136747</v>
      </c>
      <c r="DY59" s="715">
        <f t="shared" si="91"/>
        <v>9.8202488159157308</v>
      </c>
      <c r="DZ59" s="662">
        <f t="shared" si="91"/>
        <v>10.409463744870672</v>
      </c>
      <c r="EA59" s="662">
        <f t="shared" si="91"/>
        <v>11.034031569562913</v>
      </c>
      <c r="EB59" s="662">
        <f t="shared" si="91"/>
        <v>11.696073463736688</v>
      </c>
      <c r="EC59" s="664">
        <f t="shared" si="91"/>
        <v>42.959817594086005</v>
      </c>
      <c r="ED59" s="715">
        <f>ED28</f>
        <v>12.397837871560892</v>
      </c>
      <c r="EE59" s="662">
        <f t="shared" ref="EE59:EM59" si="92">EE28</f>
        <v>13.141708143854544</v>
      </c>
      <c r="EF59" s="662">
        <f>EF28</f>
        <v>13.930210632485817</v>
      </c>
      <c r="EG59" s="662">
        <f t="shared" si="92"/>
        <v>14.766023270434967</v>
      </c>
      <c r="EH59" s="667">
        <f t="shared" si="92"/>
        <v>54.23577991833622</v>
      </c>
      <c r="EI59" s="715">
        <f>EI28</f>
        <v>15.651984666661065</v>
      </c>
      <c r="EJ59" s="662">
        <f>EJ28</f>
        <v>16.591103746660728</v>
      </c>
      <c r="EK59" s="662">
        <f t="shared" si="92"/>
        <v>17.586569971460374</v>
      </c>
      <c r="EL59" s="662">
        <f t="shared" si="92"/>
        <v>18.641764169747997</v>
      </c>
      <c r="EM59" s="667">
        <f t="shared" si="92"/>
        <v>68.471422554530164</v>
      </c>
      <c r="EN59" s="715">
        <f>EN28</f>
        <v>19.760270019932882</v>
      </c>
      <c r="EO59" s="662">
        <f>EO28</f>
        <v>20.945886221128855</v>
      </c>
      <c r="EP59" s="662">
        <f t="shared" ref="EP59:EQ59" si="93">EP28</f>
        <v>22.202639394396584</v>
      </c>
      <c r="EQ59" s="662">
        <f t="shared" si="93"/>
        <v>23.534797758060382</v>
      </c>
      <c r="ER59" s="667">
        <f t="shared" ref="ER59:EW59" si="94">ER28</f>
        <v>86.443593393518697</v>
      </c>
      <c r="ES59" s="715">
        <f>ES28</f>
        <v>24.946885623544006</v>
      </c>
      <c r="ET59" s="662">
        <f>ET28</f>
        <v>26.443698760956647</v>
      </c>
      <c r="EU59" s="662">
        <f t="shared" ref="EU59" si="95">EU28</f>
        <v>28.03032068661404</v>
      </c>
      <c r="EV59" s="662">
        <f t="shared" si="94"/>
        <v>29.712139927810885</v>
      </c>
      <c r="EW59" s="667">
        <f t="shared" si="94"/>
        <v>109.13304499892558</v>
      </c>
      <c r="EX59" s="715">
        <f t="shared" ref="EX59:FG59" si="96">EX28</f>
        <v>31.494868323479537</v>
      </c>
      <c r="EY59" s="662">
        <f t="shared" si="96"/>
        <v>33.384560422888306</v>
      </c>
      <c r="EZ59" s="662">
        <f t="shared" si="96"/>
        <v>35.387634048261603</v>
      </c>
      <c r="FA59" s="662">
        <f t="shared" si="96"/>
        <v>37.510892091157295</v>
      </c>
      <c r="FB59" s="667">
        <f t="shared" si="96"/>
        <v>137.77795488578673</v>
      </c>
      <c r="FC59" s="715">
        <f t="shared" si="96"/>
        <v>39.761545616626734</v>
      </c>
      <c r="FD59" s="662">
        <f t="shared" si="96"/>
        <v>42.147238353624338</v>
      </c>
      <c r="FE59" s="662">
        <f t="shared" si="96"/>
        <v>44.676072654841789</v>
      </c>
      <c r="FF59" s="662">
        <f t="shared" si="96"/>
        <v>47.356637014132296</v>
      </c>
      <c r="FG59" s="667">
        <f t="shared" si="96"/>
        <v>173.94149363922517</v>
      </c>
      <c r="FH59" s="715">
        <f t="shared" ref="FH59:FL59" si="97">FH28</f>
        <v>50.198035234980225</v>
      </c>
      <c r="FI59" s="662">
        <f t="shared" si="97"/>
        <v>53.209917349079042</v>
      </c>
      <c r="FJ59" s="662">
        <f t="shared" si="97"/>
        <v>56.40251239002378</v>
      </c>
      <c r="FK59" s="662">
        <f t="shared" si="97"/>
        <v>59.786663133425208</v>
      </c>
      <c r="FL59" s="667">
        <f t="shared" si="97"/>
        <v>219.59712810750827</v>
      </c>
      <c r="FM59" s="261"/>
      <c r="FN59" s="261"/>
      <c r="FO59" s="261"/>
      <c r="FP59" s="261"/>
      <c r="FQ59" s="261"/>
      <c r="FR59" s="261"/>
      <c r="FS59" s="261"/>
      <c r="FT59" s="261"/>
      <c r="FU59" s="261"/>
      <c r="FV59" s="261"/>
      <c r="FW59" s="261"/>
      <c r="FX59" s="261"/>
      <c r="FY59" s="261"/>
      <c r="FZ59" s="261"/>
      <c r="GA59" s="261"/>
      <c r="GB59" s="261"/>
      <c r="GC59" s="261"/>
      <c r="GD59" s="261"/>
      <c r="GE59" s="261"/>
      <c r="GF59" s="261"/>
      <c r="GG59" s="261"/>
      <c r="GH59" s="261"/>
      <c r="GI59" s="261"/>
      <c r="GJ59" s="261"/>
      <c r="GK59" s="261"/>
      <c r="GL59" s="261"/>
      <c r="GM59" s="261"/>
      <c r="GN59" s="261"/>
      <c r="GO59" s="261"/>
      <c r="GP59" s="261"/>
      <c r="GQ59" s="261"/>
      <c r="GR59" s="261"/>
      <c r="GS59" s="261"/>
      <c r="GT59" s="261"/>
      <c r="GU59" s="261"/>
      <c r="GV59" s="261"/>
      <c r="GW59" s="261"/>
      <c r="GX59" s="261"/>
      <c r="GY59" s="261"/>
      <c r="GZ59" s="261"/>
      <c r="HA59" s="261"/>
      <c r="HB59" s="261"/>
      <c r="HC59" s="261"/>
      <c r="HD59" s="261"/>
      <c r="HE59" s="261"/>
      <c r="HF59" s="261"/>
      <c r="HG59" s="261"/>
      <c r="HH59" s="261"/>
      <c r="HI59" s="261"/>
      <c r="HJ59" s="261"/>
      <c r="HK59" s="261"/>
      <c r="HL59" s="261"/>
      <c r="HM59" s="261"/>
      <c r="HN59" s="261"/>
      <c r="HO59" s="261"/>
      <c r="HP59" s="261"/>
      <c r="HQ59" s="261"/>
      <c r="HR59" s="261"/>
      <c r="HS59" s="261"/>
      <c r="HT59" s="261"/>
      <c r="HU59" s="261"/>
      <c r="HV59" s="261"/>
      <c r="HW59" s="261"/>
      <c r="HX59" s="261"/>
      <c r="HY59" s="261"/>
      <c r="HZ59" s="261"/>
      <c r="IA59" s="261"/>
      <c r="IB59" s="261"/>
      <c r="IC59" s="261"/>
      <c r="ID59" s="261"/>
      <c r="IE59" s="261"/>
      <c r="IF59" s="261"/>
      <c r="IG59" s="261"/>
      <c r="IH59" s="261"/>
      <c r="II59" s="261"/>
      <c r="IJ59" s="261"/>
      <c r="IK59" s="261"/>
      <c r="IL59" s="261"/>
      <c r="IM59" s="261"/>
      <c r="IN59" s="261"/>
      <c r="IO59" s="261"/>
      <c r="IP59" s="261"/>
      <c r="IQ59" s="261"/>
      <c r="IR59" s="261"/>
      <c r="IS59" s="261"/>
      <c r="IT59" s="261"/>
      <c r="IU59" s="261"/>
      <c r="IV59" s="261"/>
      <c r="IW59" s="261"/>
      <c r="IX59" s="261"/>
      <c r="IY59" s="261"/>
      <c r="IZ59" s="261"/>
      <c r="JA59" s="261"/>
      <c r="JB59" s="261"/>
      <c r="JC59" s="261"/>
      <c r="JD59" s="261"/>
      <c r="JE59" s="261"/>
      <c r="JF59" s="261"/>
      <c r="JG59" s="261"/>
      <c r="JH59" s="261"/>
      <c r="JI59" s="261"/>
      <c r="JJ59" s="261"/>
      <c r="JK59" s="261"/>
      <c r="JL59" s="261"/>
      <c r="JM59" s="261"/>
      <c r="JN59" s="261"/>
      <c r="JO59" s="261"/>
    </row>
    <row r="60" spans="1:275" s="651" customFormat="1" ht="11.25" customHeight="1">
      <c r="A60" s="689" t="s">
        <v>610</v>
      </c>
      <c r="B60" s="689"/>
      <c r="C60" s="645"/>
      <c r="D60" s="716"/>
      <c r="E60" s="716"/>
      <c r="F60" s="716"/>
      <c r="G60" s="716"/>
      <c r="H60" s="716"/>
      <c r="I60" s="716"/>
      <c r="J60" s="716"/>
      <c r="K60" s="716"/>
      <c r="L60" s="716"/>
      <c r="M60" s="716"/>
      <c r="N60" s="716"/>
      <c r="O60" s="716"/>
      <c r="P60" s="716"/>
      <c r="Q60" s="716"/>
      <c r="R60" s="716"/>
      <c r="S60" s="716"/>
      <c r="T60" s="716"/>
      <c r="U60" s="716"/>
      <c r="V60" s="716"/>
      <c r="W60" s="716"/>
      <c r="X60" s="716"/>
      <c r="Y60" s="716"/>
      <c r="Z60" s="716"/>
      <c r="AA60" s="716"/>
      <c r="AB60" s="716"/>
      <c r="AC60" s="716"/>
      <c r="AD60" s="716"/>
      <c r="AE60" s="716"/>
      <c r="AF60" s="716"/>
      <c r="AG60" s="716"/>
      <c r="AH60" s="716"/>
      <c r="AI60" s="716"/>
      <c r="AJ60" s="716"/>
      <c r="AK60" s="716"/>
      <c r="AL60" s="716"/>
      <c r="AM60" s="716"/>
      <c r="AN60" s="716"/>
      <c r="AO60" s="716"/>
      <c r="AP60" s="716"/>
      <c r="AQ60" s="716"/>
      <c r="AR60" s="716"/>
      <c r="AS60" s="716"/>
      <c r="AT60" s="716"/>
      <c r="AU60" s="716"/>
      <c r="AV60" s="716"/>
      <c r="AW60" s="716"/>
      <c r="AX60" s="716"/>
      <c r="AY60" s="716"/>
      <c r="AZ60" s="716"/>
      <c r="BA60" s="716"/>
      <c r="BB60" s="716"/>
      <c r="BC60" s="716"/>
      <c r="BD60" s="716"/>
      <c r="BE60" s="716"/>
      <c r="BF60" s="716"/>
      <c r="BG60" s="716"/>
      <c r="BH60" s="716"/>
      <c r="BI60" s="716"/>
      <c r="BJ60" s="716"/>
      <c r="BK60" s="716"/>
      <c r="BL60" s="716"/>
      <c r="BM60" s="716"/>
      <c r="BN60" s="716"/>
      <c r="BO60" s="716"/>
      <c r="BP60" s="716"/>
      <c r="BQ60" s="716"/>
      <c r="BR60" s="716"/>
      <c r="BS60" s="716"/>
      <c r="BT60" s="716"/>
      <c r="BU60" s="716"/>
      <c r="BV60" s="716"/>
      <c r="BW60" s="716"/>
      <c r="BX60" s="716"/>
      <c r="BY60" s="716"/>
      <c r="BZ60" s="717"/>
      <c r="CA60" s="692">
        <f t="shared" ref="CA60:CY60" si="98">CA40</f>
        <v>0</v>
      </c>
      <c r="CB60" s="692">
        <f t="shared" si="98"/>
        <v>0</v>
      </c>
      <c r="CC60" s="692">
        <f t="shared" si="98"/>
        <v>0</v>
      </c>
      <c r="CD60" s="692">
        <f t="shared" si="98"/>
        <v>0</v>
      </c>
      <c r="CE60" s="718">
        <f>CE40</f>
        <v>0</v>
      </c>
      <c r="CF60" s="692">
        <f t="shared" si="98"/>
        <v>0</v>
      </c>
      <c r="CG60" s="692">
        <f t="shared" si="98"/>
        <v>0</v>
      </c>
      <c r="CH60" s="692">
        <f t="shared" si="98"/>
        <v>0</v>
      </c>
      <c r="CI60" s="692">
        <f t="shared" si="98"/>
        <v>0</v>
      </c>
      <c r="CJ60" s="718">
        <f t="shared" si="98"/>
        <v>0</v>
      </c>
      <c r="CK60" s="692">
        <f t="shared" si="98"/>
        <v>0</v>
      </c>
      <c r="CL60" s="692">
        <f t="shared" si="98"/>
        <v>0</v>
      </c>
      <c r="CM60" s="692">
        <f t="shared" si="98"/>
        <v>0</v>
      </c>
      <c r="CN60" s="692">
        <f t="shared" si="98"/>
        <v>0</v>
      </c>
      <c r="CO60" s="718">
        <f t="shared" si="98"/>
        <v>0</v>
      </c>
      <c r="CP60" s="692">
        <f t="shared" si="98"/>
        <v>3.25</v>
      </c>
      <c r="CQ60" s="692">
        <f t="shared" si="98"/>
        <v>3.25</v>
      </c>
      <c r="CR60" s="692">
        <f t="shared" si="98"/>
        <v>3.25</v>
      </c>
      <c r="CS60" s="692">
        <f t="shared" si="98"/>
        <v>3.25</v>
      </c>
      <c r="CT60" s="718">
        <f t="shared" si="98"/>
        <v>13</v>
      </c>
      <c r="CU60" s="692">
        <f t="shared" si="98"/>
        <v>3.5</v>
      </c>
      <c r="CV60" s="692">
        <f t="shared" si="98"/>
        <v>3.5</v>
      </c>
      <c r="CW60" s="692">
        <f t="shared" si="98"/>
        <v>3.5</v>
      </c>
      <c r="CX60" s="692">
        <f t="shared" si="98"/>
        <v>3.5</v>
      </c>
      <c r="CY60" s="718">
        <f t="shared" si="98"/>
        <v>14</v>
      </c>
      <c r="CZ60" s="692">
        <f t="shared" ref="CZ60:DI60" si="99">CZ40</f>
        <v>3.5753228120516498</v>
      </c>
      <c r="DA60" s="692">
        <f t="shared" si="99"/>
        <v>3.6522666315362624</v>
      </c>
      <c r="DB60" s="692">
        <f t="shared" si="99"/>
        <v>3.7308663438361815</v>
      </c>
      <c r="DC60" s="692">
        <f t="shared" si="99"/>
        <v>3.8111575850952093</v>
      </c>
      <c r="DD60" s="718">
        <f t="shared" si="99"/>
        <v>14.769613372519302</v>
      </c>
      <c r="DE60" s="692">
        <f t="shared" si="99"/>
        <v>3.8931767583755943</v>
      </c>
      <c r="DF60" s="692">
        <f>DF40</f>
        <v>3.9769610501627302</v>
      </c>
      <c r="DG60" s="692">
        <f>DG40</f>
        <v>4.0625484472250566</v>
      </c>
      <c r="DH60" s="692">
        <f>DH40</f>
        <v>4.1499777538367866</v>
      </c>
      <c r="DI60" s="718">
        <f t="shared" si="99"/>
        <v>16.082664009600165</v>
      </c>
      <c r="DJ60" s="692">
        <f t="shared" ref="DJ60:DS60" si="100">DJ40</f>
        <v>4.2392886093712949</v>
      </c>
      <c r="DK60" s="692">
        <f t="shared" si="100"/>
        <v>4.3305215062731168</v>
      </c>
      <c r="DL60" s="692">
        <f t="shared" si="100"/>
        <v>4.4237178084167281</v>
      </c>
      <c r="DM60" s="692">
        <f t="shared" si="100"/>
        <v>4.5189197698604167</v>
      </c>
      <c r="DN60" s="718">
        <f t="shared" si="100"/>
        <v>17.512447693921558</v>
      </c>
      <c r="DO60" s="692">
        <f>DO40</f>
        <v>4.6161705540037543</v>
      </c>
      <c r="DP60" s="692">
        <f t="shared" si="100"/>
        <v>4.7155142531573508</v>
      </c>
      <c r="DQ60" s="692">
        <f t="shared" si="100"/>
        <v>4.8169959085337641</v>
      </c>
      <c r="DR60" s="692">
        <f>DR40</f>
        <v>4.920661530668637</v>
      </c>
      <c r="DS60" s="718">
        <f t="shared" si="100"/>
        <v>19.069342246363505</v>
      </c>
      <c r="DT60" s="692">
        <f t="shared" ref="DT60:EC60" si="101">DT40</f>
        <v>5.0265581202813046</v>
      </c>
      <c r="DU60" s="692">
        <f t="shared" si="101"/>
        <v>5.1347336895843458</v>
      </c>
      <c r="DV60" s="692">
        <f t="shared" si="101"/>
        <v>5.2452372840517283</v>
      </c>
      <c r="DW60" s="692">
        <f t="shared" si="101"/>
        <v>5.3581190046554248</v>
      </c>
      <c r="DX60" s="718">
        <f t="shared" si="101"/>
        <v>20.764648098572803</v>
      </c>
      <c r="DY60" s="692">
        <f t="shared" si="101"/>
        <v>5.4734300305805776</v>
      </c>
      <c r="DZ60" s="692">
        <f t="shared" si="101"/>
        <v>5.5912226424295133</v>
      </c>
      <c r="EA60" s="692">
        <f t="shared" si="101"/>
        <v>5.7115502459251264</v>
      </c>
      <c r="EB60" s="692">
        <f t="shared" si="101"/>
        <v>5.8344673961243769</v>
      </c>
      <c r="EC60" s="718">
        <f t="shared" si="101"/>
        <v>22.610670315059597</v>
      </c>
      <c r="ED60" s="692">
        <f>ED40</f>
        <v>5.9600298221528787</v>
      </c>
      <c r="EE60" s="692">
        <f t="shared" ref="EE60:EM60" si="102">EE40</f>
        <v>6.088294452471807</v>
      </c>
      <c r="EF60" s="692">
        <f>EF40</f>
        <v>6.2193194406885608</v>
      </c>
      <c r="EG60" s="692">
        <f t="shared" si="102"/>
        <v>6.3531641919228914</v>
      </c>
      <c r="EH60" s="718">
        <f t="shared" si="102"/>
        <v>24.620807907236141</v>
      </c>
      <c r="EI60" s="692">
        <f>EI40</f>
        <v>6.4898893897404575</v>
      </c>
      <c r="EJ60" s="692">
        <f>EJ40</f>
        <v>6.6295570236660062</v>
      </c>
      <c r="EK60" s="692">
        <f t="shared" si="102"/>
        <v>6.77223041728866</v>
      </c>
      <c r="EL60" s="692">
        <f t="shared" si="102"/>
        <v>6.9179742569720606</v>
      </c>
      <c r="EM60" s="718">
        <f t="shared" si="102"/>
        <v>26.809651087667184</v>
      </c>
      <c r="EN60" s="692">
        <f>EN40</f>
        <v>7.0668546211823644</v>
      </c>
      <c r="EO60" s="692">
        <f>EO40</f>
        <v>7.218939010447408</v>
      </c>
      <c r="EP60" s="692">
        <f t="shared" ref="EP60:EQ60" si="103">EP40</f>
        <v>7.3742963779606239</v>
      </c>
      <c r="EQ60" s="692">
        <f t="shared" si="103"/>
        <v>7.532997160843566</v>
      </c>
      <c r="ER60" s="718">
        <f t="shared" ref="ER60:EW60" si="104">ER40</f>
        <v>29.193087170433962</v>
      </c>
      <c r="ES60" s="692">
        <f>ES40</f>
        <v>7.6951133120812338</v>
      </c>
      <c r="ET60" s="692">
        <f>ET40</f>
        <v>7.8607183331446748</v>
      </c>
      <c r="EU60" s="692">
        <f t="shared" ref="EU60" si="105">EU40</f>
        <v>8.0298873073156507</v>
      </c>
      <c r="EV60" s="692">
        <f t="shared" si="104"/>
        <v>8.2026969337284701</v>
      </c>
      <c r="EW60" s="718">
        <f t="shared" si="104"/>
        <v>31.78841588627003</v>
      </c>
      <c r="EX60" s="692">
        <f t="shared" ref="EX60:FG60" si="106">EX40</f>
        <v>8.379225562144434</v>
      </c>
      <c r="EY60" s="692">
        <f t="shared" si="106"/>
        <v>8.5595532284746589</v>
      </c>
      <c r="EZ60" s="692">
        <f t="shared" si="106"/>
        <v>8.7437616910673697</v>
      </c>
      <c r="FA60" s="692">
        <f t="shared" si="106"/>
        <v>8.9319344677761379</v>
      </c>
      <c r="FB60" s="718">
        <f t="shared" si="106"/>
        <v>34.614474949462604</v>
      </c>
      <c r="FC60" s="692">
        <f t="shared" si="106"/>
        <v>9.1241568738258394</v>
      </c>
      <c r="FD60" s="692">
        <f t="shared" si="106"/>
        <v>9.3205160604935404</v>
      </c>
      <c r="FE60" s="692">
        <f t="shared" si="106"/>
        <v>9.5211010546218073</v>
      </c>
      <c r="FF60" s="692">
        <f t="shared" si="106"/>
        <v>9.7260027989823925</v>
      </c>
      <c r="FG60" s="718">
        <f t="shared" si="106"/>
        <v>37.69177678792358</v>
      </c>
      <c r="FH60" s="692">
        <f t="shared" ref="FH60:FL60" si="107">FH40</f>
        <v>9.9353141935085567</v>
      </c>
      <c r="FI60" s="692">
        <f t="shared" si="107"/>
        <v>10.149130137414767</v>
      </c>
      <c r="FJ60" s="692">
        <f t="shared" si="107"/>
        <v>10.367547572222831</v>
      </c>
      <c r="FK60" s="692">
        <f t="shared" si="107"/>
        <v>10.590665525713996</v>
      </c>
      <c r="FL60" s="718">
        <f t="shared" si="107"/>
        <v>41.042657428860153</v>
      </c>
      <c r="FM60" s="261"/>
      <c r="FN60" s="261"/>
      <c r="FO60" s="261"/>
      <c r="FP60" s="261"/>
      <c r="FQ60" s="261"/>
      <c r="FR60" s="261"/>
      <c r="FS60" s="261"/>
      <c r="FT60" s="261"/>
      <c r="FU60" s="261"/>
      <c r="FV60" s="261"/>
      <c r="FW60" s="261"/>
      <c r="FX60" s="261"/>
      <c r="FY60" s="261"/>
      <c r="FZ60" s="261"/>
      <c r="GA60" s="261"/>
      <c r="GB60" s="261"/>
      <c r="GC60" s="261"/>
      <c r="GD60" s="261"/>
      <c r="GE60" s="261"/>
      <c r="GF60" s="261"/>
      <c r="GG60" s="261"/>
      <c r="GH60" s="261"/>
      <c r="GI60" s="261"/>
      <c r="GJ60" s="261"/>
      <c r="GK60" s="261"/>
      <c r="GL60" s="261"/>
      <c r="GM60" s="261"/>
      <c r="GN60" s="261"/>
      <c r="GO60" s="261"/>
      <c r="GP60" s="261"/>
      <c r="GQ60" s="261"/>
      <c r="GR60" s="261"/>
      <c r="GS60" s="261"/>
      <c r="GT60" s="261"/>
      <c r="GU60" s="261"/>
      <c r="GV60" s="261"/>
      <c r="GW60" s="261"/>
      <c r="GX60" s="261"/>
      <c r="GY60" s="261"/>
      <c r="GZ60" s="261"/>
      <c r="HA60" s="261"/>
      <c r="HB60" s="261"/>
      <c r="HC60" s="261"/>
      <c r="HD60" s="261"/>
      <c r="HE60" s="261"/>
      <c r="HF60" s="261"/>
      <c r="HG60" s="261"/>
      <c r="HH60" s="261"/>
      <c r="HI60" s="261"/>
      <c r="HJ60" s="261"/>
      <c r="HK60" s="261"/>
      <c r="HL60" s="261"/>
      <c r="HM60" s="261"/>
      <c r="HN60" s="261"/>
      <c r="HO60" s="261"/>
      <c r="HP60" s="261"/>
      <c r="HQ60" s="261"/>
      <c r="HR60" s="261"/>
      <c r="HS60" s="261"/>
      <c r="HT60" s="261"/>
      <c r="HU60" s="261"/>
      <c r="HV60" s="261"/>
      <c r="HW60" s="261"/>
      <c r="HX60" s="261"/>
      <c r="HY60" s="261"/>
      <c r="HZ60" s="261"/>
      <c r="IA60" s="261"/>
      <c r="IB60" s="261"/>
      <c r="IC60" s="261"/>
      <c r="ID60" s="261"/>
      <c r="IE60" s="261"/>
      <c r="IF60" s="261"/>
      <c r="IG60" s="261"/>
      <c r="IH60" s="261"/>
      <c r="II60" s="261"/>
      <c r="IJ60" s="261"/>
      <c r="IK60" s="261"/>
      <c r="IL60" s="261"/>
      <c r="IM60" s="261"/>
      <c r="IN60" s="261"/>
      <c r="IO60" s="261"/>
      <c r="IP60" s="261"/>
      <c r="IQ60" s="261"/>
      <c r="IR60" s="261"/>
      <c r="IS60" s="261"/>
      <c r="IT60" s="261"/>
      <c r="IU60" s="261"/>
      <c r="IV60" s="261"/>
      <c r="IW60" s="261"/>
      <c r="IX60" s="261"/>
      <c r="IY60" s="261"/>
      <c r="IZ60" s="261"/>
      <c r="JA60" s="261"/>
      <c r="JB60" s="261"/>
      <c r="JC60" s="261"/>
      <c r="JD60" s="261"/>
      <c r="JE60" s="261"/>
      <c r="JF60" s="261"/>
      <c r="JG60" s="261"/>
      <c r="JH60" s="261"/>
      <c r="JI60" s="261"/>
      <c r="JJ60" s="261"/>
      <c r="JK60" s="261"/>
      <c r="JL60" s="261"/>
      <c r="JM60" s="261"/>
      <c r="JN60" s="261"/>
      <c r="JO60" s="261"/>
    </row>
    <row r="61" spans="1:275" s="651" customFormat="1" ht="11.25" customHeight="1">
      <c r="A61" s="660" t="s">
        <v>611</v>
      </c>
      <c r="B61" s="660"/>
      <c r="C61" s="645"/>
      <c r="D61" s="645"/>
      <c r="E61" s="645"/>
      <c r="F61" s="645"/>
      <c r="G61" s="645"/>
      <c r="H61" s="645"/>
      <c r="I61" s="645"/>
      <c r="J61" s="645"/>
      <c r="K61" s="645"/>
      <c r="L61" s="645"/>
      <c r="M61" s="645"/>
      <c r="N61" s="645"/>
      <c r="O61" s="645"/>
      <c r="P61" s="645"/>
      <c r="Q61" s="645"/>
      <c r="R61" s="645"/>
      <c r="S61" s="645"/>
      <c r="T61" s="645"/>
      <c r="U61" s="645"/>
      <c r="V61" s="645"/>
      <c r="W61" s="645"/>
      <c r="X61" s="645"/>
      <c r="Y61" s="645"/>
      <c r="Z61" s="645"/>
      <c r="AA61" s="645"/>
      <c r="AB61" s="645"/>
      <c r="AC61" s="645"/>
      <c r="AD61" s="645"/>
      <c r="AE61" s="645"/>
      <c r="AF61" s="645"/>
      <c r="AG61" s="645"/>
      <c r="AH61" s="645"/>
      <c r="AI61" s="645"/>
      <c r="AJ61" s="645"/>
      <c r="AK61" s="645"/>
      <c r="AL61" s="645"/>
      <c r="AM61" s="645"/>
      <c r="AN61" s="645"/>
      <c r="AO61" s="645"/>
      <c r="AP61" s="645"/>
      <c r="AQ61" s="645"/>
      <c r="AR61" s="645"/>
      <c r="AS61" s="645"/>
      <c r="AT61" s="645"/>
      <c r="AU61" s="645"/>
      <c r="AV61" s="645"/>
      <c r="AW61" s="645"/>
      <c r="AX61" s="645"/>
      <c r="AY61" s="645"/>
      <c r="AZ61" s="645"/>
      <c r="BA61" s="645"/>
      <c r="BB61" s="645"/>
      <c r="BC61" s="645"/>
      <c r="BD61" s="645"/>
      <c r="BE61" s="645"/>
      <c r="BF61" s="645"/>
      <c r="BG61" s="645"/>
      <c r="BH61" s="645"/>
      <c r="BI61" s="645"/>
      <c r="BJ61" s="645"/>
      <c r="BK61" s="645"/>
      <c r="BL61" s="645"/>
      <c r="BM61" s="645"/>
      <c r="BN61" s="645"/>
      <c r="BO61" s="645"/>
      <c r="BP61" s="645"/>
      <c r="BQ61" s="645"/>
      <c r="BR61" s="645"/>
      <c r="BS61" s="645"/>
      <c r="BT61" s="645"/>
      <c r="BU61" s="645"/>
      <c r="BV61" s="645"/>
      <c r="BW61" s="645"/>
      <c r="BX61" s="645"/>
      <c r="BY61" s="645"/>
      <c r="BZ61" s="646"/>
      <c r="CA61" s="719">
        <f>IS!CA88</f>
        <v>10805</v>
      </c>
      <c r="CB61" s="719">
        <f>IS!CB88</f>
        <v>10789</v>
      </c>
      <c r="CC61" s="719">
        <f>IS!CC88</f>
        <v>10777</v>
      </c>
      <c r="CD61" s="719">
        <f>IS!CD88</f>
        <v>10862</v>
      </c>
      <c r="CE61" s="720">
        <f>IS!CE82</f>
        <v>10862</v>
      </c>
      <c r="CF61" s="719">
        <f>IS!CF88</f>
        <v>10865</v>
      </c>
      <c r="CG61" s="719">
        <f>IS!CG88</f>
        <v>10880.222153000001</v>
      </c>
      <c r="CH61" s="719">
        <f>IS!CH88</f>
        <v>10804.353235</v>
      </c>
      <c r="CI61" s="719">
        <f>IS!CI88</f>
        <v>10710</v>
      </c>
      <c r="CJ61" s="720">
        <f>IS!CJ88</f>
        <v>10710</v>
      </c>
      <c r="CK61" s="719">
        <f>IS!CK88</f>
        <v>10645</v>
      </c>
      <c r="CL61" s="719">
        <f>IS!CL88</f>
        <v>10384</v>
      </c>
      <c r="CM61" s="719">
        <f>IS!CM88</f>
        <v>10225</v>
      </c>
      <c r="CN61" s="719">
        <f>IS!CN88</f>
        <v>10062</v>
      </c>
      <c r="CO61" s="720">
        <f>IS!CO88</f>
        <v>10062</v>
      </c>
      <c r="CP61" s="719">
        <f>IS!CP88</f>
        <v>9820</v>
      </c>
      <c r="CQ61" s="719">
        <f>IS!CQ88</f>
        <v>9777</v>
      </c>
      <c r="CR61" s="719">
        <f>IS!CR88</f>
        <v>9572</v>
      </c>
      <c r="CS61" s="719">
        <f>IS!CS88</f>
        <v>9375.4924960000008</v>
      </c>
      <c r="CT61" s="720">
        <f>IS!CT88</f>
        <v>9375.4924960000008</v>
      </c>
      <c r="CU61" s="719">
        <f>IS!CU88</f>
        <v>9355</v>
      </c>
      <c r="CV61" s="719">
        <f>IS!CV88</f>
        <v>9306.9797460000009</v>
      </c>
      <c r="CW61" s="719">
        <f>IS!CW88</f>
        <v>9313.2928329999995</v>
      </c>
      <c r="CX61" s="719">
        <f>IS!CX88</f>
        <v>9130.2930739999993</v>
      </c>
      <c r="CY61" s="664">
        <f>SUM(CY56:CY60)</f>
        <v>9130.2930739999993</v>
      </c>
      <c r="CZ61" s="719">
        <f>IS!CZ88</f>
        <v>8895.5727200000001</v>
      </c>
      <c r="DA61" s="719">
        <f>IS!DA88</f>
        <v>8890.5628730000008</v>
      </c>
      <c r="DB61" s="719">
        <f>IS!DB88</f>
        <v>8899.7199999999993</v>
      </c>
      <c r="DC61" s="719">
        <f>IS!DC88</f>
        <v>8901</v>
      </c>
      <c r="DD61" s="664">
        <f>SUM(DD56:DD60)</f>
        <v>8900.9999999999982</v>
      </c>
      <c r="DE61" s="719">
        <f>IS!DE88</f>
        <v>8914</v>
      </c>
      <c r="DF61" s="719">
        <f>IS!DF88</f>
        <v>8856</v>
      </c>
      <c r="DG61" s="719">
        <f>IS!DG88</f>
        <v>8767</v>
      </c>
      <c r="DH61" s="719">
        <f>IS!DH88</f>
        <v>8712</v>
      </c>
      <c r="DI61" s="664">
        <f>SUM(DI56:DI60)</f>
        <v>8711.9999999999964</v>
      </c>
      <c r="DJ61" s="662">
        <f>DH61*(1+DJ62)</f>
        <v>8624.8799999999992</v>
      </c>
      <c r="DK61" s="719">
        <f>IS!DK88</f>
        <v>8497</v>
      </c>
      <c r="DL61" s="719">
        <f>IS!DL88</f>
        <v>8420</v>
      </c>
      <c r="DM61" s="719">
        <f>IS!DM88</f>
        <v>8429</v>
      </c>
      <c r="DN61" s="664">
        <f>SUM(DN56:DN60)</f>
        <v>8428.9999999999945</v>
      </c>
      <c r="DO61" s="719">
        <f>IS!DO88</f>
        <v>8392</v>
      </c>
      <c r="DP61" s="719">
        <f>IS!DP88</f>
        <v>8402</v>
      </c>
      <c r="DQ61" s="719">
        <f>IS!DQ88</f>
        <v>8410</v>
      </c>
      <c r="DR61" s="719">
        <f>IS!DR88</f>
        <v>8388</v>
      </c>
      <c r="DS61" s="664">
        <f>SUM(DS56:DS60)</f>
        <v>8387.9999999999927</v>
      </c>
      <c r="DT61" s="719">
        <f>IS!DT88</f>
        <v>8396</v>
      </c>
      <c r="DU61" s="719">
        <f>IS!DU88</f>
        <v>8393</v>
      </c>
      <c r="DV61" s="719">
        <f>IS!DV88</f>
        <v>8364</v>
      </c>
      <c r="DW61" s="719">
        <f>IS!DW88</f>
        <v>8345</v>
      </c>
      <c r="DX61" s="664">
        <f>SUM(DX56:DX60)</f>
        <v>8344.9999999999909</v>
      </c>
      <c r="DY61" s="719">
        <f>IS!DY88</f>
        <v>8339</v>
      </c>
      <c r="DZ61" s="719">
        <f>IS!DZ88</f>
        <v>8326</v>
      </c>
      <c r="EA61" s="719">
        <f>IS!EA88</f>
        <v>8284</v>
      </c>
      <c r="EB61" s="719">
        <f>IS!EB88</f>
        <v>8246</v>
      </c>
      <c r="EC61" s="664">
        <f>SUM(EC56:EC60)</f>
        <v>8245.9999999999909</v>
      </c>
      <c r="ED61" s="719">
        <f>IS!ED88</f>
        <v>8249</v>
      </c>
      <c r="EE61" s="719">
        <f>IS!EE88</f>
        <v>8228</v>
      </c>
      <c r="EF61" s="719">
        <f>IS!EF88</f>
        <v>8167</v>
      </c>
      <c r="EG61" s="662">
        <f>IS!EG88</f>
        <v>8061</v>
      </c>
      <c r="EH61" s="664">
        <f>SUM(EH56:EH60)</f>
        <v>8060.9999999999936</v>
      </c>
      <c r="EI61" s="719">
        <f>IS!EI88</f>
        <v>7986</v>
      </c>
      <c r="EJ61" s="719">
        <f>IS!EJ88</f>
        <v>7925</v>
      </c>
      <c r="EK61" s="719">
        <f>IS!EK88</f>
        <v>7870</v>
      </c>
      <c r="EL61" s="719">
        <f>IS!EL88</f>
        <v>7808</v>
      </c>
      <c r="EM61" s="664">
        <f>SUM(EM56:EM60)</f>
        <v>7807.9999999999936</v>
      </c>
      <c r="EN61" s="719">
        <f>IS!EN88</f>
        <v>7784</v>
      </c>
      <c r="EO61" s="719">
        <f>IS!EO88</f>
        <v>7730</v>
      </c>
      <c r="EP61" s="719">
        <f>IS!EP88</f>
        <v>7723</v>
      </c>
      <c r="EQ61" s="719">
        <f>IS!EQ88</f>
        <v>7715</v>
      </c>
      <c r="ER61" s="664">
        <f>SUM(ER56:ER60)</f>
        <v>7714.9999999999936</v>
      </c>
      <c r="ES61" s="719">
        <f>IS!ES88</f>
        <v>7720</v>
      </c>
      <c r="ET61" s="719">
        <f>IS!ET88</f>
        <v>7705</v>
      </c>
      <c r="EU61" s="719">
        <f>IS!EU88</f>
        <v>7690</v>
      </c>
      <c r="EV61" s="662">
        <f>EU61*(1+EV62)</f>
        <v>7690</v>
      </c>
      <c r="EW61" s="664">
        <f>SUM(EW56:EW60)</f>
        <v>7689.9999999999927</v>
      </c>
      <c r="EX61" s="662">
        <f>EV61*(1+EX62)</f>
        <v>7675.3890000000001</v>
      </c>
      <c r="EY61" s="662">
        <f>EX61*(1+EY62)</f>
        <v>7660.8057608999998</v>
      </c>
      <c r="EZ61" s="662">
        <f>EY61*(1+EZ62)</f>
        <v>7646.2502299542894</v>
      </c>
      <c r="FA61" s="662">
        <f>EZ61*(1+FA62)</f>
        <v>7631.7223545173765</v>
      </c>
      <c r="FB61" s="664">
        <f>SUM(FB56:FB60)</f>
        <v>7631.7223545173692</v>
      </c>
      <c r="FC61" s="662">
        <f>FA61*(1+FC62)</f>
        <v>7618.3668403969705</v>
      </c>
      <c r="FD61" s="662">
        <f>FC61*(1+FD62)</f>
        <v>7605.0346984262751</v>
      </c>
      <c r="FE61" s="662">
        <f>FD61*(1+FE62)</f>
        <v>7591.7258877040285</v>
      </c>
      <c r="FF61" s="662">
        <f>FE61*(1+FF62)</f>
        <v>7578.4403674005462</v>
      </c>
      <c r="FG61" s="664">
        <f>SUM(FG56:FG60)</f>
        <v>7578.4403674005389</v>
      </c>
      <c r="FH61" s="662">
        <f>FF61*(1+FH62)</f>
        <v>7573.1354591433656</v>
      </c>
      <c r="FI61" s="662">
        <f>FH61*(1+FI62)</f>
        <v>7567.8342643219648</v>
      </c>
      <c r="FJ61" s="662">
        <f>FI61*(1+FJ62)</f>
        <v>7562.536780336939</v>
      </c>
      <c r="FK61" s="662">
        <f>FJ61*(1+FK62)</f>
        <v>7557.2430045907031</v>
      </c>
      <c r="FL61" s="664">
        <f>SUM(FL56:FL60)</f>
        <v>7557.2430045906958</v>
      </c>
      <c r="FM61" s="261"/>
      <c r="FN61" s="261"/>
      <c r="FO61" s="261"/>
      <c r="FP61" s="261"/>
      <c r="FQ61" s="261"/>
      <c r="FR61" s="261"/>
      <c r="FS61" s="261"/>
      <c r="FT61" s="261"/>
      <c r="FU61" s="261"/>
      <c r="FV61" s="261"/>
      <c r="FW61" s="261"/>
      <c r="FX61" s="261"/>
      <c r="FY61" s="261"/>
      <c r="FZ61" s="261"/>
      <c r="GA61" s="261"/>
      <c r="GB61" s="261"/>
      <c r="GC61" s="261"/>
      <c r="GD61" s="261"/>
      <c r="GE61" s="261"/>
      <c r="GF61" s="261"/>
      <c r="GG61" s="261"/>
      <c r="GH61" s="261"/>
      <c r="GI61" s="261"/>
      <c r="GJ61" s="261"/>
      <c r="GK61" s="261"/>
      <c r="GL61" s="261"/>
      <c r="GM61" s="261"/>
      <c r="GN61" s="261"/>
      <c r="GO61" s="261"/>
      <c r="GP61" s="261"/>
      <c r="GQ61" s="261"/>
      <c r="GR61" s="261"/>
      <c r="GS61" s="261"/>
      <c r="GT61" s="261"/>
      <c r="GU61" s="261"/>
      <c r="GV61" s="261"/>
      <c r="GW61" s="261"/>
      <c r="GX61" s="261"/>
      <c r="GY61" s="261"/>
      <c r="GZ61" s="261"/>
      <c r="HA61" s="261"/>
      <c r="HB61" s="261"/>
      <c r="HC61" s="261"/>
      <c r="HD61" s="261"/>
      <c r="HE61" s="261"/>
      <c r="HF61" s="261"/>
      <c r="HG61" s="261"/>
      <c r="HH61" s="261"/>
      <c r="HI61" s="261"/>
      <c r="HJ61" s="261"/>
      <c r="HK61" s="261"/>
      <c r="HL61" s="261"/>
      <c r="HM61" s="261"/>
      <c r="HN61" s="261"/>
      <c r="HO61" s="261"/>
      <c r="HP61" s="261"/>
      <c r="HQ61" s="261"/>
      <c r="HR61" s="261"/>
      <c r="HS61" s="261"/>
      <c r="HT61" s="261"/>
      <c r="HU61" s="261"/>
      <c r="HV61" s="261"/>
      <c r="HW61" s="261"/>
      <c r="HX61" s="261"/>
      <c r="HY61" s="261"/>
      <c r="HZ61" s="261"/>
      <c r="IA61" s="261"/>
      <c r="IB61" s="261"/>
      <c r="IC61" s="261"/>
      <c r="ID61" s="261"/>
      <c r="IE61" s="261"/>
      <c r="IF61" s="261"/>
      <c r="IG61" s="261"/>
      <c r="IH61" s="261"/>
      <c r="II61" s="261"/>
      <c r="IJ61" s="261"/>
      <c r="IK61" s="261"/>
      <c r="IL61" s="261"/>
      <c r="IM61" s="261"/>
      <c r="IN61" s="261"/>
      <c r="IO61" s="261"/>
      <c r="IP61" s="261"/>
      <c r="IQ61" s="261"/>
      <c r="IR61" s="261"/>
      <c r="IS61" s="261"/>
      <c r="IT61" s="261"/>
      <c r="IU61" s="261"/>
      <c r="IV61" s="261"/>
      <c r="IW61" s="261"/>
      <c r="IX61" s="261"/>
      <c r="IY61" s="261"/>
      <c r="IZ61" s="261"/>
      <c r="JA61" s="261"/>
      <c r="JB61" s="261"/>
      <c r="JC61" s="261"/>
      <c r="JD61" s="261"/>
      <c r="JE61" s="261"/>
      <c r="JF61" s="261"/>
      <c r="JG61" s="261"/>
      <c r="JH61" s="261"/>
      <c r="JI61" s="261"/>
      <c r="JJ61" s="261"/>
      <c r="JK61" s="261"/>
      <c r="JL61" s="261"/>
      <c r="JM61" s="261"/>
      <c r="JN61" s="261"/>
      <c r="JO61" s="261"/>
    </row>
    <row r="62" spans="1:275" s="651" customFormat="1" ht="11.25" customHeight="1">
      <c r="A62" s="643" t="s">
        <v>612</v>
      </c>
      <c r="B62" s="660"/>
      <c r="C62" s="645"/>
      <c r="D62" s="645"/>
      <c r="E62" s="645"/>
      <c r="F62" s="645"/>
      <c r="G62" s="645"/>
      <c r="H62" s="645"/>
      <c r="I62" s="645"/>
      <c r="J62" s="645"/>
      <c r="K62" s="645"/>
      <c r="L62" s="645"/>
      <c r="M62" s="645"/>
      <c r="N62" s="645"/>
      <c r="O62" s="645"/>
      <c r="P62" s="645"/>
      <c r="Q62" s="645"/>
      <c r="R62" s="645"/>
      <c r="S62" s="645"/>
      <c r="T62" s="645"/>
      <c r="U62" s="645"/>
      <c r="V62" s="645"/>
      <c r="W62" s="645"/>
      <c r="X62" s="645"/>
      <c r="Y62" s="645"/>
      <c r="Z62" s="645"/>
      <c r="AA62" s="645"/>
      <c r="AB62" s="645"/>
      <c r="AC62" s="645"/>
      <c r="AD62" s="645"/>
      <c r="AE62" s="645"/>
      <c r="AF62" s="645"/>
      <c r="AG62" s="645"/>
      <c r="AH62" s="645"/>
      <c r="AI62" s="645"/>
      <c r="AJ62" s="645"/>
      <c r="AK62" s="645"/>
      <c r="AL62" s="645"/>
      <c r="AM62" s="645"/>
      <c r="AN62" s="645"/>
      <c r="AO62" s="645"/>
      <c r="AP62" s="645"/>
      <c r="AQ62" s="645"/>
      <c r="AR62" s="645"/>
      <c r="AS62" s="645"/>
      <c r="AT62" s="645"/>
      <c r="AU62" s="645"/>
      <c r="AV62" s="645"/>
      <c r="AW62" s="645"/>
      <c r="AX62" s="645"/>
      <c r="AY62" s="645"/>
      <c r="AZ62" s="645"/>
      <c r="BA62" s="645"/>
      <c r="BB62" s="645"/>
      <c r="BC62" s="645"/>
      <c r="BD62" s="645"/>
      <c r="BE62" s="645"/>
      <c r="BF62" s="645"/>
      <c r="BG62" s="645"/>
      <c r="BH62" s="645"/>
      <c r="BI62" s="645"/>
      <c r="BJ62" s="645"/>
      <c r="BK62" s="645"/>
      <c r="BL62" s="645"/>
      <c r="BM62" s="645"/>
      <c r="BN62" s="645"/>
      <c r="BO62" s="645"/>
      <c r="BP62" s="645"/>
      <c r="BQ62" s="645"/>
      <c r="BR62" s="645"/>
      <c r="BS62" s="645"/>
      <c r="BT62" s="645"/>
      <c r="BU62" s="645"/>
      <c r="BV62" s="645"/>
      <c r="BW62" s="645"/>
      <c r="BX62" s="645"/>
      <c r="BY62" s="645"/>
      <c r="BZ62" s="646"/>
      <c r="CA62" s="666"/>
      <c r="CB62" s="312">
        <f t="shared" ref="CB62:DH62" si="108">CB61/CA61-1</f>
        <v>-1.4807959278112515E-3</v>
      </c>
      <c r="CC62" s="312">
        <f t="shared" si="108"/>
        <v>-1.1122439521734639E-3</v>
      </c>
      <c r="CD62" s="312">
        <f t="shared" si="108"/>
        <v>7.8871671151525824E-3</v>
      </c>
      <c r="CE62" s="313" t="s">
        <v>630</v>
      </c>
      <c r="CF62" s="312">
        <f>CF61/CD61-1</f>
        <v>2.7619222979202718E-4</v>
      </c>
      <c r="CG62" s="312">
        <f t="shared" si="108"/>
        <v>1.4010265071331407E-3</v>
      </c>
      <c r="CH62" s="312">
        <f t="shared" si="108"/>
        <v>-6.9731037595662793E-3</v>
      </c>
      <c r="CI62" s="312">
        <f t="shared" si="108"/>
        <v>-8.7328906180472732E-3</v>
      </c>
      <c r="CJ62" s="313">
        <f>CJ61/CE61-1</f>
        <v>-1.3993739642791381E-2</v>
      </c>
      <c r="CK62" s="312">
        <f>CK61/CI61-1</f>
        <v>-6.0690943043884005E-3</v>
      </c>
      <c r="CL62" s="312">
        <f t="shared" si="108"/>
        <v>-2.4518553311413838E-2</v>
      </c>
      <c r="CM62" s="312">
        <f t="shared" si="108"/>
        <v>-1.5312018489984647E-2</v>
      </c>
      <c r="CN62" s="312">
        <f t="shared" si="108"/>
        <v>-1.5941320293398564E-2</v>
      </c>
      <c r="CO62" s="313">
        <f>CO61/CJ61-1</f>
        <v>-6.0504201680672276E-2</v>
      </c>
      <c r="CP62" s="312">
        <f>CP61/CN61-1</f>
        <v>-2.4050884516000792E-2</v>
      </c>
      <c r="CQ62" s="312">
        <f t="shared" si="108"/>
        <v>-4.378818737270862E-3</v>
      </c>
      <c r="CR62" s="312">
        <f t="shared" si="108"/>
        <v>-2.0967576966349544E-2</v>
      </c>
      <c r="CS62" s="312">
        <f t="shared" si="108"/>
        <v>-2.0529409109903862E-2</v>
      </c>
      <c r="CT62" s="313">
        <f>CT61/CO61-1</f>
        <v>-6.8227738421784867E-2</v>
      </c>
      <c r="CU62" s="312">
        <f>CU61/CS61-1</f>
        <v>-2.1857514161249814E-3</v>
      </c>
      <c r="CV62" s="312">
        <f t="shared" si="108"/>
        <v>-5.1331110636022581E-3</v>
      </c>
      <c r="CW62" s="312">
        <f t="shared" si="108"/>
        <v>6.7831747487279159E-4</v>
      </c>
      <c r="CX62" s="312">
        <f t="shared" si="108"/>
        <v>-1.9649307960292295E-2</v>
      </c>
      <c r="CY62" s="313">
        <f>CY61/CT61-1</f>
        <v>-2.6153231108084651E-2</v>
      </c>
      <c r="CZ62" s="312">
        <f t="shared" si="108"/>
        <v>-2.5707866340939689E-2</v>
      </c>
      <c r="DA62" s="312">
        <f t="shared" si="108"/>
        <v>-5.6318431175716999E-4</v>
      </c>
      <c r="DB62" s="312">
        <f t="shared" si="108"/>
        <v>1.0299828178268466E-3</v>
      </c>
      <c r="DC62" s="312">
        <f t="shared" si="108"/>
        <v>1.4382474954266478E-4</v>
      </c>
      <c r="DD62" s="313">
        <f>DD61/CY61-1</f>
        <v>-2.5113440734224723E-2</v>
      </c>
      <c r="DE62" s="312">
        <f t="shared" si="108"/>
        <v>1.4605100550502126E-3</v>
      </c>
      <c r="DF62" s="312">
        <f t="shared" si="108"/>
        <v>-6.5066188018846338E-3</v>
      </c>
      <c r="DG62" s="312">
        <f t="shared" si="108"/>
        <v>-1.0049683830171685E-2</v>
      </c>
      <c r="DH62" s="312">
        <f t="shared" si="108"/>
        <v>-6.273525721455453E-3</v>
      </c>
      <c r="DI62" s="313">
        <f>DI61/DD61-1</f>
        <v>-2.1233569261880914E-2</v>
      </c>
      <c r="DJ62" s="721">
        <v>-0.01</v>
      </c>
      <c r="DK62" s="312">
        <f>DK61/DJ61-1</f>
        <v>-1.4826872953594639E-2</v>
      </c>
      <c r="DL62" s="312">
        <f>DL61/DK61-1</f>
        <v>-9.0620218900788752E-3</v>
      </c>
      <c r="DM62" s="312">
        <f>DM61/DL61-1</f>
        <v>1.0688836104513211E-3</v>
      </c>
      <c r="DN62" s="313">
        <f>DN61/DI61-1</f>
        <v>-3.2483930211203216E-2</v>
      </c>
      <c r="DO62" s="312">
        <f>DO61/DN61-1</f>
        <v>-4.389607308102339E-3</v>
      </c>
      <c r="DP62" s="312">
        <f>DP61/DO61-1</f>
        <v>1.1916110581506878E-3</v>
      </c>
      <c r="DQ62" s="312">
        <f>DQ61/DP61-1</f>
        <v>9.521542489883128E-4</v>
      </c>
      <c r="DR62" s="312">
        <f>DR61/DQ61-1</f>
        <v>-2.6159334126040212E-3</v>
      </c>
      <c r="DS62" s="313">
        <f>DS61/DN61-1</f>
        <v>-4.8641594495197893E-3</v>
      </c>
      <c r="DT62" s="312">
        <f>DT61/DS61-1</f>
        <v>9.5374344301468739E-4</v>
      </c>
      <c r="DU62" s="312">
        <f>DU61/DT61-1</f>
        <v>-3.573130061934604E-4</v>
      </c>
      <c r="DV62" s="312">
        <f>DV61/DU61-1</f>
        <v>-3.4552603359943035E-3</v>
      </c>
      <c r="DW62" s="312">
        <f>DW61/DV61-1</f>
        <v>-2.2716403634625015E-3</v>
      </c>
      <c r="DX62" s="313">
        <f>DX61/DS61-1</f>
        <v>-5.1263710061995038E-3</v>
      </c>
      <c r="DY62" s="312">
        <f>DY61/DX61-1</f>
        <v>-7.1899340922598753E-4</v>
      </c>
      <c r="DZ62" s="312">
        <f>DZ61/DY61-1</f>
        <v>-1.5589399208538746E-3</v>
      </c>
      <c r="EA62" s="312">
        <f>EA61/DZ61-1</f>
        <v>-5.0444391064136118E-3</v>
      </c>
      <c r="EB62" s="312">
        <f>EB61/EA61-1</f>
        <v>-4.5871559633027248E-3</v>
      </c>
      <c r="EC62" s="313">
        <f>EC61/DX61-1</f>
        <v>-1.1863391252246891E-2</v>
      </c>
      <c r="ED62" s="312">
        <f>ED61/EC61-1</f>
        <v>3.6381275770169808E-4</v>
      </c>
      <c r="EE62" s="312">
        <f>EE61/ED61-1</f>
        <v>-2.5457631228027466E-3</v>
      </c>
      <c r="EF62" s="312">
        <f>EF61/EE61-1</f>
        <v>-7.4137092853669984E-3</v>
      </c>
      <c r="EG62" s="312">
        <f>EG61/EF61-1</f>
        <v>-1.2979062079098824E-2</v>
      </c>
      <c r="EH62" s="313">
        <f>EH61/EC61-1</f>
        <v>-2.243512005820969E-2</v>
      </c>
      <c r="EI62" s="312">
        <f>EI61/EH61-1</f>
        <v>-9.3040565686631771E-3</v>
      </c>
      <c r="EJ62" s="312">
        <f>EJ61/EI61-1</f>
        <v>-7.6383671424993249E-3</v>
      </c>
      <c r="EK62" s="312">
        <f>EK61/EJ61-1</f>
        <v>-6.9400630914826511E-3</v>
      </c>
      <c r="EL62" s="312">
        <f>EL61/EK61-1</f>
        <v>-7.8780177890723779E-3</v>
      </c>
      <c r="EM62" s="313">
        <f>EM61/EH61-1</f>
        <v>-3.1385684158293015E-2</v>
      </c>
      <c r="EN62" s="312">
        <f>EN61/EL61-1</f>
        <v>-3.0737704918032405E-3</v>
      </c>
      <c r="EO62" s="312">
        <f>EO61/EN61-1</f>
        <v>-6.9373072970195793E-3</v>
      </c>
      <c r="EP62" s="312">
        <f>EP61/EO61-1</f>
        <v>-9.0556274256148317E-4</v>
      </c>
      <c r="EQ62" s="312">
        <f>EQ61/EP61-1</f>
        <v>-1.0358668911044644E-3</v>
      </c>
      <c r="ER62" s="313">
        <f>ER61/EM61-1</f>
        <v>-1.1910860655737765E-2</v>
      </c>
      <c r="ES62" s="312">
        <f>ES61/EQ61-1</f>
        <v>6.480881399870686E-4</v>
      </c>
      <c r="ET62" s="312">
        <f>ET61/ES61-1</f>
        <v>-1.9430051813471572E-3</v>
      </c>
      <c r="EU62" s="312">
        <f>EU61/ET61-1</f>
        <v>-1.9467878001298011E-3</v>
      </c>
      <c r="EV62" s="721">
        <v>0</v>
      </c>
      <c r="EW62" s="313">
        <f>EW61/ER61-1</f>
        <v>-3.240440699935343E-3</v>
      </c>
      <c r="EX62" s="721">
        <f>+-0.0019</f>
        <v>-1.9E-3</v>
      </c>
      <c r="EY62" s="721">
        <f t="shared" ref="EY62:FA62" si="109">+-0.0019</f>
        <v>-1.9E-3</v>
      </c>
      <c r="EZ62" s="721">
        <f t="shared" si="109"/>
        <v>-1.9E-3</v>
      </c>
      <c r="FA62" s="721">
        <f t="shared" si="109"/>
        <v>-1.9E-3</v>
      </c>
      <c r="FB62" s="313">
        <f>FB61/EW61-1</f>
        <v>-7.5783674229679132E-3</v>
      </c>
      <c r="FC62" s="721">
        <v>-1.75E-3</v>
      </c>
      <c r="FD62" s="721">
        <v>-1.75E-3</v>
      </c>
      <c r="FE62" s="721">
        <v>-1.75E-3</v>
      </c>
      <c r="FF62" s="721">
        <v>-1.75E-3</v>
      </c>
      <c r="FG62" s="313">
        <f>FG61/FB61-1</f>
        <v>-6.9816464281213797E-3</v>
      </c>
      <c r="FH62" s="721">
        <v>-6.9999999999999999E-4</v>
      </c>
      <c r="FI62" s="721">
        <v>-6.9999999999999999E-4</v>
      </c>
      <c r="FJ62" s="721">
        <v>-6.9999999999999999E-4</v>
      </c>
      <c r="FK62" s="721">
        <v>-6.9999999999999999E-4</v>
      </c>
      <c r="FL62" s="313">
        <f>FL61/FG61-1</f>
        <v>-2.7970613717600568E-3</v>
      </c>
      <c r="FM62" s="261"/>
      <c r="FN62" s="261"/>
      <c r="FO62" s="261"/>
      <c r="FP62" s="261"/>
      <c r="FQ62" s="261"/>
      <c r="FR62" s="261"/>
      <c r="FS62" s="261"/>
      <c r="FT62" s="261"/>
      <c r="FU62" s="261"/>
      <c r="FV62" s="261"/>
      <c r="FW62" s="261"/>
      <c r="FX62" s="261"/>
      <c r="FY62" s="261"/>
      <c r="FZ62" s="261"/>
      <c r="GA62" s="261"/>
      <c r="GB62" s="261"/>
      <c r="GC62" s="261"/>
      <c r="GD62" s="261"/>
      <c r="GE62" s="261"/>
      <c r="GF62" s="261"/>
      <c r="GG62" s="261"/>
      <c r="GH62" s="261"/>
      <c r="GI62" s="261"/>
      <c r="GJ62" s="261"/>
      <c r="GK62" s="261"/>
      <c r="GL62" s="261"/>
      <c r="GM62" s="261"/>
      <c r="GN62" s="261"/>
      <c r="GO62" s="261"/>
      <c r="GP62" s="261"/>
      <c r="GQ62" s="261"/>
      <c r="GR62" s="261"/>
      <c r="GS62" s="261"/>
      <c r="GT62" s="261"/>
      <c r="GU62" s="261"/>
      <c r="GV62" s="261"/>
      <c r="GW62" s="261"/>
      <c r="GX62" s="261"/>
      <c r="GY62" s="261"/>
      <c r="GZ62" s="261"/>
      <c r="HA62" s="261"/>
      <c r="HB62" s="261"/>
      <c r="HC62" s="261"/>
      <c r="HD62" s="261"/>
      <c r="HE62" s="261"/>
      <c r="HF62" s="261"/>
      <c r="HG62" s="261"/>
      <c r="HH62" s="261"/>
      <c r="HI62" s="261"/>
      <c r="HJ62" s="261"/>
      <c r="HK62" s="261"/>
      <c r="HL62" s="261"/>
      <c r="HM62" s="261"/>
      <c r="HN62" s="261"/>
      <c r="HO62" s="261"/>
      <c r="HP62" s="261"/>
      <c r="HQ62" s="261"/>
      <c r="HR62" s="261"/>
      <c r="HS62" s="261"/>
      <c r="HT62" s="261"/>
      <c r="HU62" s="261"/>
      <c r="HV62" s="261"/>
      <c r="HW62" s="261"/>
      <c r="HX62" s="261"/>
      <c r="HY62" s="261"/>
      <c r="HZ62" s="261"/>
      <c r="IA62" s="261"/>
      <c r="IB62" s="261"/>
      <c r="IC62" s="261"/>
      <c r="ID62" s="261"/>
      <c r="IE62" s="261"/>
      <c r="IF62" s="261"/>
      <c r="IG62" s="261"/>
      <c r="IH62" s="261"/>
      <c r="II62" s="261"/>
      <c r="IJ62" s="261"/>
      <c r="IK62" s="261"/>
      <c r="IL62" s="261"/>
      <c r="IM62" s="261"/>
      <c r="IN62" s="261"/>
      <c r="IO62" s="261"/>
      <c r="IP62" s="261"/>
      <c r="IQ62" s="261"/>
      <c r="IR62" s="261"/>
      <c r="IS62" s="261"/>
      <c r="IT62" s="261"/>
      <c r="IU62" s="261"/>
      <c r="IV62" s="261"/>
      <c r="IW62" s="261"/>
      <c r="IX62" s="261"/>
      <c r="IY62" s="261"/>
      <c r="IZ62" s="261"/>
      <c r="JA62" s="261"/>
      <c r="JB62" s="261"/>
      <c r="JC62" s="261"/>
      <c r="JD62" s="261"/>
      <c r="JE62" s="261"/>
      <c r="JF62" s="261"/>
      <c r="JG62" s="261"/>
      <c r="JH62" s="261"/>
      <c r="JI62" s="261"/>
      <c r="JJ62" s="261"/>
      <c r="JK62" s="261"/>
      <c r="JL62" s="261"/>
      <c r="JM62" s="261"/>
      <c r="JN62" s="261"/>
      <c r="JO62" s="261"/>
    </row>
    <row r="63" spans="1:275" s="651" customFormat="1" ht="11.25" customHeight="1">
      <c r="A63" s="694"/>
      <c r="B63" s="694"/>
      <c r="C63" s="645"/>
      <c r="D63" s="645"/>
      <c r="E63" s="645"/>
      <c r="F63" s="645"/>
      <c r="G63" s="645"/>
      <c r="H63" s="645"/>
      <c r="I63" s="645"/>
      <c r="J63" s="645"/>
      <c r="K63" s="645"/>
      <c r="L63" s="645"/>
      <c r="M63" s="645"/>
      <c r="N63" s="645"/>
      <c r="O63" s="645"/>
      <c r="P63" s="645"/>
      <c r="Q63" s="645"/>
      <c r="R63" s="645"/>
      <c r="S63" s="645"/>
      <c r="T63" s="645"/>
      <c r="U63" s="645"/>
      <c r="V63" s="645"/>
      <c r="W63" s="645"/>
      <c r="X63" s="645"/>
      <c r="Y63" s="645"/>
      <c r="Z63" s="645"/>
      <c r="AA63" s="645"/>
      <c r="AB63" s="645"/>
      <c r="AC63" s="645"/>
      <c r="AD63" s="645"/>
      <c r="AE63" s="645"/>
      <c r="AF63" s="645"/>
      <c r="AG63" s="645"/>
      <c r="AH63" s="645"/>
      <c r="AI63" s="645"/>
      <c r="AJ63" s="645"/>
      <c r="AK63" s="645"/>
      <c r="AL63" s="645"/>
      <c r="AM63" s="645"/>
      <c r="AN63" s="645"/>
      <c r="AO63" s="645"/>
      <c r="AP63" s="645"/>
      <c r="AQ63" s="645"/>
      <c r="AR63" s="645"/>
      <c r="AS63" s="645"/>
      <c r="AT63" s="645"/>
      <c r="AU63" s="645"/>
      <c r="AV63" s="645"/>
      <c r="AW63" s="645"/>
      <c r="AX63" s="645"/>
      <c r="AY63" s="645"/>
      <c r="AZ63" s="645"/>
      <c r="BA63" s="645"/>
      <c r="BB63" s="645"/>
      <c r="BC63" s="645"/>
      <c r="BD63" s="645"/>
      <c r="BE63" s="645"/>
      <c r="BF63" s="645"/>
      <c r="BG63" s="645"/>
      <c r="BH63" s="645"/>
      <c r="BI63" s="645"/>
      <c r="BJ63" s="645"/>
      <c r="BK63" s="645"/>
      <c r="BL63" s="645"/>
      <c r="BM63" s="645"/>
      <c r="BN63" s="645"/>
      <c r="BO63" s="645"/>
      <c r="BP63" s="645"/>
      <c r="BQ63" s="645"/>
      <c r="BR63" s="645"/>
      <c r="BS63" s="645"/>
      <c r="BT63" s="645"/>
      <c r="BU63" s="645"/>
      <c r="BV63" s="645"/>
      <c r="BW63" s="645"/>
      <c r="BX63" s="645"/>
      <c r="BY63" s="645"/>
      <c r="BZ63" s="646"/>
      <c r="CA63" s="645"/>
      <c r="CB63" s="645"/>
      <c r="CC63" s="645"/>
      <c r="CD63" s="645"/>
      <c r="CE63" s="646"/>
      <c r="CF63" s="645"/>
      <c r="CG63" s="645"/>
      <c r="CH63" s="645"/>
      <c r="CI63" s="645"/>
      <c r="CJ63" s="661"/>
      <c r="CK63" s="645"/>
      <c r="CL63" s="645"/>
      <c r="CM63" s="645"/>
      <c r="CN63" s="645"/>
      <c r="CO63" s="661"/>
      <c r="CP63" s="645"/>
      <c r="CQ63" s="645"/>
      <c r="CR63" s="722"/>
      <c r="CS63" s="645"/>
      <c r="CT63" s="661"/>
      <c r="CU63" s="645"/>
      <c r="CV63" s="722"/>
      <c r="CW63" s="723"/>
      <c r="CX63" s="722"/>
      <c r="CY63" s="661"/>
      <c r="CZ63" s="722"/>
      <c r="DA63" s="722"/>
      <c r="DB63" s="722"/>
      <c r="DC63" s="722"/>
      <c r="DD63" s="663"/>
      <c r="DE63" s="722"/>
      <c r="DF63" s="722"/>
      <c r="DG63" s="722"/>
      <c r="DH63" s="722"/>
      <c r="DI63" s="663"/>
      <c r="DJ63" s="722"/>
      <c r="DK63" s="722"/>
      <c r="DL63" s="722"/>
      <c r="DM63" s="722"/>
      <c r="DN63" s="663"/>
      <c r="DO63" s="722"/>
      <c r="DP63" s="722"/>
      <c r="DQ63" s="722"/>
      <c r="DR63" s="722"/>
      <c r="DS63" s="664"/>
      <c r="DT63" s="722"/>
      <c r="DU63" s="722"/>
      <c r="DV63" s="722"/>
      <c r="DW63" s="722"/>
      <c r="DX63" s="664"/>
      <c r="DY63" s="722"/>
      <c r="DZ63" s="722"/>
      <c r="EA63" s="722"/>
      <c r="EB63" s="722"/>
      <c r="EC63" s="664"/>
      <c r="ED63" s="722"/>
      <c r="EE63" s="722"/>
      <c r="EF63" s="722"/>
      <c r="EG63" s="722"/>
      <c r="EH63" s="663"/>
      <c r="EI63" s="722"/>
      <c r="EJ63" s="722"/>
      <c r="EK63" s="722"/>
      <c r="EL63" s="722"/>
      <c r="EM63" s="663"/>
      <c r="EN63" s="722"/>
      <c r="EO63" s="722"/>
      <c r="EP63" s="722"/>
      <c r="EQ63" s="722"/>
      <c r="ER63" s="663"/>
      <c r="ES63" s="722"/>
      <c r="ET63" s="722"/>
      <c r="EU63" s="722"/>
      <c r="EV63" s="722"/>
      <c r="EW63" s="663"/>
      <c r="EX63" s="722"/>
      <c r="EY63" s="722"/>
      <c r="EZ63" s="722"/>
      <c r="FA63" s="722"/>
      <c r="FB63" s="3093">
        <f>CF!FB61</f>
        <v>0.96533000691125515</v>
      </c>
      <c r="FC63" s="3094"/>
      <c r="FD63" s="3094"/>
      <c r="FE63" s="3094"/>
      <c r="FF63" s="3094"/>
      <c r="FG63" s="3093">
        <f>CF!FG61</f>
        <v>0.99826516558231992</v>
      </c>
      <c r="FH63" s="3094"/>
      <c r="FI63" s="3094"/>
      <c r="FJ63" s="3094"/>
      <c r="FK63" s="3094"/>
      <c r="FL63" s="3093">
        <f>CF!FL61</f>
        <v>0.98363419703685606</v>
      </c>
      <c r="FM63" s="261"/>
      <c r="FN63" s="261"/>
      <c r="FO63" s="261"/>
      <c r="FP63" s="261"/>
      <c r="FQ63" s="261"/>
      <c r="FR63" s="261"/>
      <c r="FS63" s="261"/>
      <c r="FT63" s="261"/>
      <c r="FU63" s="261"/>
      <c r="FV63" s="261"/>
      <c r="FW63" s="261"/>
      <c r="FX63" s="261"/>
      <c r="FY63" s="261"/>
      <c r="FZ63" s="261"/>
      <c r="GA63" s="261"/>
      <c r="GB63" s="261"/>
      <c r="GC63" s="261"/>
      <c r="GD63" s="261"/>
      <c r="GE63" s="261"/>
      <c r="GF63" s="261"/>
      <c r="GG63" s="261"/>
      <c r="GH63" s="261"/>
      <c r="GI63" s="261"/>
      <c r="GJ63" s="261"/>
      <c r="GK63" s="261"/>
      <c r="GL63" s="261"/>
      <c r="GM63" s="261"/>
      <c r="GN63" s="261"/>
      <c r="GO63" s="261"/>
      <c r="GP63" s="261"/>
      <c r="GQ63" s="261"/>
      <c r="GR63" s="261"/>
      <c r="GS63" s="261"/>
      <c r="GT63" s="261"/>
      <c r="GU63" s="261"/>
      <c r="GV63" s="261"/>
      <c r="GW63" s="261"/>
      <c r="GX63" s="261"/>
      <c r="GY63" s="261"/>
      <c r="GZ63" s="261"/>
      <c r="HA63" s="261"/>
      <c r="HB63" s="261"/>
      <c r="HC63" s="261"/>
      <c r="HD63" s="261"/>
      <c r="HE63" s="261"/>
      <c r="HF63" s="261"/>
      <c r="HG63" s="261"/>
      <c r="HH63" s="261"/>
      <c r="HI63" s="261"/>
      <c r="HJ63" s="261"/>
      <c r="HK63" s="261"/>
      <c r="HL63" s="261"/>
      <c r="HM63" s="261"/>
      <c r="HN63" s="261"/>
      <c r="HO63" s="261"/>
      <c r="HP63" s="261"/>
      <c r="HQ63" s="261"/>
      <c r="HR63" s="261"/>
      <c r="HS63" s="261"/>
      <c r="HT63" s="261"/>
      <c r="HU63" s="261"/>
      <c r="HV63" s="261"/>
      <c r="HW63" s="261"/>
      <c r="HX63" s="261"/>
      <c r="HY63" s="261"/>
      <c r="HZ63" s="261"/>
      <c r="IA63" s="261"/>
      <c r="IB63" s="261"/>
      <c r="IC63" s="261"/>
      <c r="ID63" s="261"/>
      <c r="IE63" s="261"/>
      <c r="IF63" s="261"/>
      <c r="IG63" s="261"/>
      <c r="IH63" s="261"/>
      <c r="II63" s="261"/>
      <c r="IJ63" s="261"/>
      <c r="IK63" s="261"/>
      <c r="IL63" s="261"/>
      <c r="IM63" s="261"/>
      <c r="IN63" s="261"/>
      <c r="IO63" s="261"/>
      <c r="IP63" s="261"/>
      <c r="IQ63" s="261"/>
      <c r="IR63" s="261"/>
      <c r="IS63" s="261"/>
      <c r="IT63" s="261"/>
      <c r="IU63" s="261"/>
      <c r="IV63" s="261"/>
      <c r="IW63" s="261"/>
      <c r="IX63" s="261"/>
      <c r="IY63" s="261"/>
      <c r="IZ63" s="261"/>
      <c r="JA63" s="261"/>
      <c r="JB63" s="261"/>
      <c r="JC63" s="261"/>
      <c r="JD63" s="261"/>
      <c r="JE63" s="261"/>
      <c r="JF63" s="261"/>
      <c r="JG63" s="261"/>
      <c r="JH63" s="261"/>
      <c r="JI63" s="261"/>
      <c r="JJ63" s="261"/>
      <c r="JK63" s="261"/>
      <c r="JL63" s="261"/>
      <c r="JM63" s="261"/>
      <c r="JN63" s="261"/>
      <c r="JO63" s="261"/>
    </row>
    <row r="64" spans="1:275" s="651" customFormat="1" ht="11.25" customHeight="1">
      <c r="A64" s="660" t="s">
        <v>613</v>
      </c>
      <c r="B64" s="660"/>
      <c r="C64" s="645"/>
      <c r="D64" s="645"/>
      <c r="E64" s="645"/>
      <c r="F64" s="645"/>
      <c r="G64" s="645"/>
      <c r="H64" s="645"/>
      <c r="I64" s="645"/>
      <c r="J64" s="645"/>
      <c r="K64" s="645"/>
      <c r="L64" s="645"/>
      <c r="M64" s="645"/>
      <c r="N64" s="645"/>
      <c r="O64" s="645"/>
      <c r="P64" s="645"/>
      <c r="Q64" s="645"/>
      <c r="R64" s="645"/>
      <c r="S64" s="645"/>
      <c r="T64" s="645"/>
      <c r="U64" s="645"/>
      <c r="V64" s="645"/>
      <c r="W64" s="645"/>
      <c r="X64" s="645"/>
      <c r="Y64" s="645"/>
      <c r="Z64" s="645"/>
      <c r="AA64" s="645"/>
      <c r="AB64" s="645"/>
      <c r="AC64" s="645"/>
      <c r="AD64" s="645"/>
      <c r="AE64" s="645"/>
      <c r="AF64" s="645"/>
      <c r="AG64" s="645"/>
      <c r="AH64" s="645"/>
      <c r="AI64" s="645"/>
      <c r="AJ64" s="645"/>
      <c r="AK64" s="645"/>
      <c r="AL64" s="645"/>
      <c r="AM64" s="645"/>
      <c r="AN64" s="645"/>
      <c r="AO64" s="645"/>
      <c r="AP64" s="645"/>
      <c r="AQ64" s="645"/>
      <c r="AR64" s="645"/>
      <c r="AS64" s="645"/>
      <c r="AT64" s="645"/>
      <c r="AU64" s="645"/>
      <c r="AV64" s="645"/>
      <c r="AW64" s="645"/>
      <c r="AX64" s="645"/>
      <c r="AY64" s="645"/>
      <c r="AZ64" s="645"/>
      <c r="BA64" s="645"/>
      <c r="BB64" s="645"/>
      <c r="BC64" s="645"/>
      <c r="BD64" s="645"/>
      <c r="BE64" s="645"/>
      <c r="BF64" s="645"/>
      <c r="BG64" s="645"/>
      <c r="BH64" s="645"/>
      <c r="BI64" s="645"/>
      <c r="BJ64" s="645"/>
      <c r="BK64" s="645"/>
      <c r="BL64" s="645"/>
      <c r="BM64" s="645"/>
      <c r="BN64" s="645"/>
      <c r="BO64" s="645"/>
      <c r="BP64" s="645"/>
      <c r="BQ64" s="645"/>
      <c r="BR64" s="645"/>
      <c r="BS64" s="645"/>
      <c r="BT64" s="645"/>
      <c r="BU64" s="645"/>
      <c r="BV64" s="645"/>
      <c r="BW64" s="645"/>
      <c r="BX64" s="645"/>
      <c r="BY64" s="645"/>
      <c r="BZ64" s="646"/>
      <c r="CA64" s="724">
        <f>IS!CA89</f>
        <v>10811</v>
      </c>
      <c r="CB64" s="724">
        <f>IS!CB89</f>
        <v>10810</v>
      </c>
      <c r="CC64" s="724">
        <f>IS!CC89</f>
        <v>10785</v>
      </c>
      <c r="CD64" s="724">
        <f>IS!CD89</f>
        <v>10806</v>
      </c>
      <c r="CE64" s="725">
        <f>IS!CE83</f>
        <v>10803</v>
      </c>
      <c r="CF64" s="724">
        <f>IS!CF89</f>
        <v>10873</v>
      </c>
      <c r="CG64" s="724">
        <f>IS!CG89</f>
        <v>10877</v>
      </c>
      <c r="CH64" s="724">
        <f>IS!CH89</f>
        <v>10856</v>
      </c>
      <c r="CI64" s="724">
        <f>IS!CI89</f>
        <v>10750</v>
      </c>
      <c r="CJ64" s="725">
        <f>IS!CJ89</f>
        <v>10839</v>
      </c>
      <c r="CK64" s="724">
        <f>IS!CK89</f>
        <v>10696</v>
      </c>
      <c r="CL64" s="724">
        <f>IS!CL89</f>
        <v>10560</v>
      </c>
      <c r="CM64" s="724">
        <f>IS!CM89</f>
        <v>10303</v>
      </c>
      <c r="CN64" s="724">
        <f>IS!CN89</f>
        <v>10186</v>
      </c>
      <c r="CO64" s="725">
        <f>IS!CO89</f>
        <v>10438</v>
      </c>
      <c r="CP64" s="724">
        <f>IS!CP89</f>
        <v>9929</v>
      </c>
      <c r="CQ64" s="724">
        <f>IS!CQ89</f>
        <v>9806</v>
      </c>
      <c r="CR64" s="724">
        <f>IS!CR89</f>
        <v>9725</v>
      </c>
      <c r="CS64" s="724">
        <f>IS!CS89</f>
        <v>9507</v>
      </c>
      <c r="CT64" s="725">
        <f>IS!CT89</f>
        <v>9742</v>
      </c>
      <c r="CU64" s="724">
        <f>IS!CU89</f>
        <v>9380</v>
      </c>
      <c r="CV64" s="724">
        <f>IS!CV89</f>
        <v>9361</v>
      </c>
      <c r="CW64" s="724">
        <f>IS!CW89</f>
        <v>9307</v>
      </c>
      <c r="CX64" s="724">
        <f>IS!CX89</f>
        <v>9264</v>
      </c>
      <c r="CY64" s="667">
        <f>AVERAGE(CU64:CX64)</f>
        <v>9328</v>
      </c>
      <c r="CZ64" s="724">
        <f>IS!CZ89</f>
        <v>9084</v>
      </c>
      <c r="DA64" s="724">
        <f>IS!DA89</f>
        <v>8903</v>
      </c>
      <c r="DB64" s="724">
        <f>IS!DB89</f>
        <v>8891</v>
      </c>
      <c r="DC64" s="724">
        <f>IS!DC89</f>
        <v>8901</v>
      </c>
      <c r="DD64" s="667">
        <f>AVERAGE(CZ64:DC64)</f>
        <v>8944.75</v>
      </c>
      <c r="DE64" s="724">
        <f>IS!DE89</f>
        <v>8914</v>
      </c>
      <c r="DF64" s="724">
        <f>IS!DF89</f>
        <v>8856</v>
      </c>
      <c r="DG64" s="724">
        <f>IS!DG89</f>
        <v>8767</v>
      </c>
      <c r="DH64" s="724">
        <f>IS!DH89</f>
        <v>8712</v>
      </c>
      <c r="DI64" s="667">
        <f>AVERAGE(DE64:DH64)</f>
        <v>8812.25</v>
      </c>
      <c r="DJ64" s="724">
        <f>IS!DJ89</f>
        <v>8614</v>
      </c>
      <c r="DK64" s="724">
        <f>IS!DK89</f>
        <v>8497</v>
      </c>
      <c r="DL64" s="724">
        <f>IS!DL89</f>
        <v>8420</v>
      </c>
      <c r="DM64" s="724">
        <f>IS!DM89</f>
        <v>8429</v>
      </c>
      <c r="DN64" s="667">
        <f>AVERAGE(DJ64:DM64)</f>
        <v>8490</v>
      </c>
      <c r="DO64" s="724">
        <f>IS!DO89</f>
        <v>8392</v>
      </c>
      <c r="DP64" s="724">
        <f>IS!DP89</f>
        <v>8402</v>
      </c>
      <c r="DQ64" s="724">
        <f>IS!DQ89</f>
        <v>8498</v>
      </c>
      <c r="DR64" s="724">
        <f>IS!DR89</f>
        <v>8388</v>
      </c>
      <c r="DS64" s="664">
        <f>AVERAGE(DO64:DR64)</f>
        <v>8420</v>
      </c>
      <c r="DT64" s="724">
        <f>IS!DT89</f>
        <v>8396</v>
      </c>
      <c r="DU64" s="724">
        <f>IS!DU89</f>
        <v>8393</v>
      </c>
      <c r="DV64" s="724">
        <f>IS!DV89</f>
        <v>8364</v>
      </c>
      <c r="DW64" s="724">
        <f>IS!DW89</f>
        <v>8345</v>
      </c>
      <c r="DX64" s="664">
        <f>AVERAGE(DT64:DW64)</f>
        <v>8374.5</v>
      </c>
      <c r="DY64" s="724">
        <f>IS!DY89</f>
        <v>8339</v>
      </c>
      <c r="DZ64" s="724">
        <f>IS!DZ89</f>
        <v>8326</v>
      </c>
      <c r="EA64" s="724">
        <f>IS!EA89</f>
        <v>8284</v>
      </c>
      <c r="EB64" s="724">
        <f>IS!EB89</f>
        <v>8263.2900000000009</v>
      </c>
      <c r="EC64" s="664">
        <f>AVERAGE(DY64:EB64)</f>
        <v>8303.0725000000002</v>
      </c>
      <c r="ED64" s="724">
        <f>IS!ED89</f>
        <v>8351</v>
      </c>
      <c r="EE64" s="724">
        <f>IS!EE89</f>
        <v>8297</v>
      </c>
      <c r="EF64" s="724">
        <f>IS!EF89</f>
        <v>8237</v>
      </c>
      <c r="EG64" s="724">
        <f>IS!EG89</f>
        <v>8061</v>
      </c>
      <c r="EH64" s="667">
        <f>AVERAGE(ED64:EG64)</f>
        <v>8236.5</v>
      </c>
      <c r="EI64" s="724">
        <f>IS!EI89</f>
        <v>7996</v>
      </c>
      <c r="EJ64" s="724">
        <f>IS!EJ89</f>
        <v>7964</v>
      </c>
      <c r="EK64" s="724">
        <f>IS!EK89</f>
        <v>7895</v>
      </c>
      <c r="EL64" s="724">
        <f>IS!EL89</f>
        <v>7842</v>
      </c>
      <c r="EM64" s="667">
        <f>AVERAGE(EI64:EL64)</f>
        <v>7924.25</v>
      </c>
      <c r="EN64" s="724">
        <f>IS!EN89</f>
        <v>7789</v>
      </c>
      <c r="EO64" s="724">
        <f>IS!EO89</f>
        <v>7755</v>
      </c>
      <c r="EP64" s="724">
        <f>IS!EP89</f>
        <v>7725</v>
      </c>
      <c r="EQ64" s="724">
        <f>IS!EQ89</f>
        <v>7715</v>
      </c>
      <c r="ER64" s="667">
        <f>AVERAGE(EN64:EQ64)</f>
        <v>7746</v>
      </c>
      <c r="ES64" s="724">
        <f>IS!ES89</f>
        <v>7708</v>
      </c>
      <c r="ET64" s="724">
        <f>IS!ET89</f>
        <v>7710</v>
      </c>
      <c r="EU64" s="724">
        <f>IS!EU89</f>
        <v>7698</v>
      </c>
      <c r="EV64" s="662">
        <f>AVERAGE(EV56,EV61)</f>
        <v>7690</v>
      </c>
      <c r="EW64" s="667">
        <f>AVERAGE(ES64:EV64)</f>
        <v>7701.5</v>
      </c>
      <c r="EX64" s="662">
        <f>AVERAGE(EX56,EX61)</f>
        <v>7682.6944999999996</v>
      </c>
      <c r="EY64" s="662">
        <f>AVERAGE(EY56,EY61)</f>
        <v>7668.0973804499999</v>
      </c>
      <c r="EZ64" s="662">
        <f>AVERAGE(EZ56,EZ61)</f>
        <v>7653.5279954271446</v>
      </c>
      <c r="FA64" s="662">
        <f>AVERAGE(FA56,FA61)</f>
        <v>7638.9862922358334</v>
      </c>
      <c r="FB64" s="667">
        <f>AVERAGE(EX64:FA64)</f>
        <v>7660.8265420282451</v>
      </c>
      <c r="FC64" s="662">
        <f>AVERAGE(FC56,FC61)</f>
        <v>7625.0445974571739</v>
      </c>
      <c r="FD64" s="662">
        <f>AVERAGE(FD56,FD61)</f>
        <v>7611.7007694116228</v>
      </c>
      <c r="FE64" s="662">
        <f>AVERAGE(FE56,FE61)</f>
        <v>7598.3802930651518</v>
      </c>
      <c r="FF64" s="662">
        <f>AVERAGE(FF56,FF61)</f>
        <v>7585.0831275522869</v>
      </c>
      <c r="FG64" s="667">
        <f>AVERAGE(FC64:FF64)</f>
        <v>7605.0521968715584</v>
      </c>
      <c r="FH64" s="662">
        <f>AVERAGE(FH56,FH61)</f>
        <v>7575.7879132719554</v>
      </c>
      <c r="FI64" s="662">
        <f>AVERAGE(FI56,FI61)</f>
        <v>7570.4848617326652</v>
      </c>
      <c r="FJ64" s="662">
        <f>AVERAGE(FJ56,FJ61)</f>
        <v>7565.1855223294515</v>
      </c>
      <c r="FK64" s="662">
        <f>AVERAGE(FK56,FK61)</f>
        <v>7559.8898924638215</v>
      </c>
      <c r="FL64" s="667">
        <f>AVERAGE(FH64:FK64)</f>
        <v>7567.8370474494732</v>
      </c>
      <c r="FM64" s="261"/>
      <c r="FN64" s="261"/>
      <c r="FO64" s="261"/>
      <c r="FP64" s="261"/>
      <c r="FQ64" s="261"/>
      <c r="FR64" s="261"/>
      <c r="FS64" s="261"/>
      <c r="FT64" s="261"/>
      <c r="FU64" s="261"/>
      <c r="FV64" s="261"/>
      <c r="FW64" s="261"/>
      <c r="FX64" s="261"/>
      <c r="FY64" s="261"/>
      <c r="FZ64" s="261"/>
      <c r="GA64" s="261"/>
      <c r="GB64" s="261"/>
      <c r="GC64" s="261"/>
      <c r="GD64" s="261"/>
      <c r="GE64" s="261"/>
      <c r="GF64" s="261"/>
      <c r="GG64" s="261"/>
      <c r="GH64" s="261"/>
      <c r="GI64" s="261"/>
      <c r="GJ64" s="261"/>
      <c r="GK64" s="261"/>
      <c r="GL64" s="261"/>
      <c r="GM64" s="261"/>
      <c r="GN64" s="261"/>
      <c r="GO64" s="261"/>
      <c r="GP64" s="261"/>
      <c r="GQ64" s="261"/>
      <c r="GR64" s="261"/>
      <c r="GS64" s="261"/>
      <c r="GT64" s="261"/>
      <c r="GU64" s="261"/>
      <c r="GV64" s="261"/>
      <c r="GW64" s="261"/>
      <c r="GX64" s="261"/>
      <c r="GY64" s="261"/>
      <c r="GZ64" s="261"/>
      <c r="HA64" s="261"/>
      <c r="HB64" s="261"/>
      <c r="HC64" s="261"/>
      <c r="HD64" s="261"/>
      <c r="HE64" s="261"/>
      <c r="HF64" s="261"/>
      <c r="HG64" s="261"/>
      <c r="HH64" s="261"/>
      <c r="HI64" s="261"/>
      <c r="HJ64" s="261"/>
      <c r="HK64" s="261"/>
      <c r="HL64" s="261"/>
      <c r="HM64" s="261"/>
      <c r="HN64" s="261"/>
      <c r="HO64" s="261"/>
      <c r="HP64" s="261"/>
      <c r="HQ64" s="261"/>
      <c r="HR64" s="261"/>
      <c r="HS64" s="261"/>
      <c r="HT64" s="261"/>
      <c r="HU64" s="261"/>
      <c r="HV64" s="261"/>
      <c r="HW64" s="261"/>
      <c r="HX64" s="261"/>
      <c r="HY64" s="261"/>
      <c r="HZ64" s="261"/>
      <c r="IA64" s="261"/>
      <c r="IB64" s="261"/>
      <c r="IC64" s="261"/>
      <c r="ID64" s="261"/>
      <c r="IE64" s="261"/>
      <c r="IF64" s="261"/>
      <c r="IG64" s="261"/>
      <c r="IH64" s="261"/>
      <c r="II64" s="261"/>
      <c r="IJ64" s="261"/>
      <c r="IK64" s="261"/>
      <c r="IL64" s="261"/>
      <c r="IM64" s="261"/>
      <c r="IN64" s="261"/>
      <c r="IO64" s="261"/>
      <c r="IP64" s="261"/>
      <c r="IQ64" s="261"/>
      <c r="IR64" s="261"/>
      <c r="IS64" s="261"/>
      <c r="IT64" s="261"/>
      <c r="IU64" s="261"/>
      <c r="IV64" s="261"/>
      <c r="IW64" s="261"/>
      <c r="IX64" s="261"/>
      <c r="IY64" s="261"/>
      <c r="IZ64" s="261"/>
      <c r="JA64" s="261"/>
      <c r="JB64" s="261"/>
      <c r="JC64" s="261"/>
      <c r="JD64" s="261"/>
      <c r="JE64" s="261"/>
      <c r="JF64" s="261"/>
      <c r="JG64" s="261"/>
      <c r="JH64" s="261"/>
      <c r="JI64" s="261"/>
      <c r="JJ64" s="261"/>
      <c r="JK64" s="261"/>
      <c r="JL64" s="261"/>
      <c r="JM64" s="261"/>
      <c r="JN64" s="261"/>
      <c r="JO64" s="261"/>
    </row>
    <row r="65" spans="1:275" s="651" customFormat="1" ht="11.25" customHeight="1">
      <c r="A65" s="689" t="s">
        <v>892</v>
      </c>
      <c r="B65" s="689"/>
      <c r="C65" s="645"/>
      <c r="D65" s="645"/>
      <c r="E65" s="645"/>
      <c r="F65" s="645"/>
      <c r="G65" s="645"/>
      <c r="H65" s="645"/>
      <c r="I65" s="645"/>
      <c r="J65" s="645"/>
      <c r="K65" s="645"/>
      <c r="L65" s="645"/>
      <c r="M65" s="645"/>
      <c r="N65" s="645"/>
      <c r="O65" s="645"/>
      <c r="P65" s="645"/>
      <c r="Q65" s="645"/>
      <c r="R65" s="645"/>
      <c r="S65" s="645"/>
      <c r="T65" s="645"/>
      <c r="U65" s="645"/>
      <c r="V65" s="645"/>
      <c r="W65" s="645"/>
      <c r="X65" s="645"/>
      <c r="Y65" s="645"/>
      <c r="Z65" s="645"/>
      <c r="AA65" s="645"/>
      <c r="AB65" s="645"/>
      <c r="AC65" s="645"/>
      <c r="AD65" s="645"/>
      <c r="AE65" s="645"/>
      <c r="AF65" s="645"/>
      <c r="AG65" s="645"/>
      <c r="AH65" s="645"/>
      <c r="AI65" s="645"/>
      <c r="AJ65" s="645"/>
      <c r="AK65" s="645"/>
      <c r="AL65" s="645"/>
      <c r="AM65" s="645"/>
      <c r="AN65" s="645"/>
      <c r="AO65" s="645"/>
      <c r="AP65" s="645"/>
      <c r="AQ65" s="645"/>
      <c r="AR65" s="645"/>
      <c r="AS65" s="645"/>
      <c r="AT65" s="645"/>
      <c r="AU65" s="645"/>
      <c r="AV65" s="645"/>
      <c r="AW65" s="645"/>
      <c r="AX65" s="645"/>
      <c r="AY65" s="645"/>
      <c r="AZ65" s="645"/>
      <c r="BA65" s="645"/>
      <c r="BB65" s="645"/>
      <c r="BC65" s="645"/>
      <c r="BD65" s="645"/>
      <c r="BE65" s="645"/>
      <c r="BF65" s="645"/>
      <c r="BG65" s="645"/>
      <c r="BH65" s="645"/>
      <c r="BI65" s="645"/>
      <c r="BJ65" s="645"/>
      <c r="BK65" s="645"/>
      <c r="BL65" s="645"/>
      <c r="BM65" s="645"/>
      <c r="BN65" s="645"/>
      <c r="BO65" s="645"/>
      <c r="BP65" s="645"/>
      <c r="BQ65" s="645"/>
      <c r="BR65" s="645"/>
      <c r="BS65" s="645"/>
      <c r="BT65" s="645"/>
      <c r="BU65" s="645"/>
      <c r="BV65" s="645"/>
      <c r="BW65" s="645"/>
      <c r="BX65" s="645"/>
      <c r="BY65" s="645"/>
      <c r="BZ65" s="646"/>
      <c r="CA65" s="666">
        <v>74</v>
      </c>
      <c r="CB65" s="666">
        <v>89</v>
      </c>
      <c r="CC65" s="666">
        <v>71</v>
      </c>
      <c r="CD65" s="703">
        <f>CD66-CD64</f>
        <v>58</v>
      </c>
      <c r="CE65" s="657">
        <v>91</v>
      </c>
      <c r="CF65" s="666">
        <v>47</v>
      </c>
      <c r="CG65" s="666">
        <v>79</v>
      </c>
      <c r="CH65" s="666">
        <v>75</v>
      </c>
      <c r="CI65" s="703">
        <f>CI66-CI64</f>
        <v>69</v>
      </c>
      <c r="CJ65" s="663">
        <v>67</v>
      </c>
      <c r="CK65" s="666">
        <v>76</v>
      </c>
      <c r="CL65" s="666">
        <v>78</v>
      </c>
      <c r="CM65" s="666">
        <v>112</v>
      </c>
      <c r="CN65" s="703">
        <f>CN66-CN64</f>
        <v>69</v>
      </c>
      <c r="CO65" s="663">
        <v>93</v>
      </c>
      <c r="CP65" s="666">
        <v>81</v>
      </c>
      <c r="CQ65" s="666">
        <v>136</v>
      </c>
      <c r="CR65" s="666">
        <v>137</v>
      </c>
      <c r="CS65" s="703">
        <f>CS66-CS64</f>
        <v>150</v>
      </c>
      <c r="CT65" s="663">
        <v>144</v>
      </c>
      <c r="CU65" s="666">
        <v>133</v>
      </c>
      <c r="CV65" s="666">
        <v>142</v>
      </c>
      <c r="CW65" s="662">
        <f>CW66-CW64</f>
        <v>121</v>
      </c>
      <c r="CX65" s="662">
        <f>CX66-CX64</f>
        <v>116</v>
      </c>
      <c r="CY65" s="667">
        <f>AVERAGE(CU65:CX65)</f>
        <v>128</v>
      </c>
      <c r="CZ65" s="662">
        <f>CZ66-CZ64</f>
        <v>99</v>
      </c>
      <c r="DA65" s="662">
        <f>DA66-DA64</f>
        <v>11</v>
      </c>
      <c r="DB65" s="662">
        <f>DB66-DB64</f>
        <v>13</v>
      </c>
      <c r="DC65" s="662">
        <f>DC66-DC64</f>
        <v>27</v>
      </c>
      <c r="DD65" s="667">
        <f>AVERAGE(CZ65:DC65)</f>
        <v>37.5</v>
      </c>
      <c r="DE65" s="662">
        <f>DE66-DE64</f>
        <v>69</v>
      </c>
      <c r="DF65" s="662">
        <f>DF66-DF64</f>
        <v>95</v>
      </c>
      <c r="DG65" s="662">
        <f>DG66-DG64</f>
        <v>109</v>
      </c>
      <c r="DH65" s="662">
        <f>DH66-DH64</f>
        <v>109</v>
      </c>
      <c r="DI65" s="667">
        <f>AVERAGE(DE65:DH65)</f>
        <v>95.5</v>
      </c>
      <c r="DJ65" s="662">
        <f>DJ66-DJ64</f>
        <v>81</v>
      </c>
      <c r="DK65" s="662">
        <f>DK66-DK64</f>
        <v>73</v>
      </c>
      <c r="DL65" s="662">
        <f>DL66-DL64</f>
        <v>90</v>
      </c>
      <c r="DM65" s="662">
        <f>DM66-DM64</f>
        <v>33</v>
      </c>
      <c r="DN65" s="667">
        <f>AVERAGE(DJ65:DM65)</f>
        <v>69.25</v>
      </c>
      <c r="DO65" s="662">
        <f>DO66-DO64</f>
        <v>98</v>
      </c>
      <c r="DP65" s="662">
        <f>DP66-DP64</f>
        <v>63</v>
      </c>
      <c r="DQ65" s="662">
        <f>DQ66-DQ64</f>
        <v>0</v>
      </c>
      <c r="DR65" s="662">
        <f>DR66-DR64</f>
        <v>0</v>
      </c>
      <c r="DS65" s="664">
        <f>AVERAGE(DO65:DR65)</f>
        <v>40.25</v>
      </c>
      <c r="DT65" s="662">
        <f>DT66-DT64</f>
        <v>98</v>
      </c>
      <c r="DU65" s="662">
        <f>DU66-DU64</f>
        <v>51</v>
      </c>
      <c r="DV65" s="662">
        <f>DV66-DV64</f>
        <v>65</v>
      </c>
      <c r="DW65" s="662">
        <f>DW66-DW64</f>
        <v>97</v>
      </c>
      <c r="DX65" s="664">
        <f>AVERAGE(DT65:DW65)</f>
        <v>77.75</v>
      </c>
      <c r="DY65" s="662">
        <f>DY66-DY64</f>
        <v>95</v>
      </c>
      <c r="DZ65" s="662">
        <f>DZ66-DZ64</f>
        <v>69</v>
      </c>
      <c r="EA65" s="662">
        <f>EA66-EA64</f>
        <v>83</v>
      </c>
      <c r="EB65" s="662">
        <f>EB66-EB64</f>
        <v>81.709999999999127</v>
      </c>
      <c r="EC65" s="664">
        <f>AVERAGE(DY65:EB65)</f>
        <v>82.177499999999782</v>
      </c>
      <c r="ED65" s="662">
        <f>ED66-ED64</f>
        <v>0</v>
      </c>
      <c r="EE65" s="662">
        <f>EE66-EE64</f>
        <v>0</v>
      </c>
      <c r="EF65" s="662">
        <f>EF66-EF64</f>
        <v>0</v>
      </c>
      <c r="EG65" s="662">
        <f>EG66-EG64</f>
        <v>0</v>
      </c>
      <c r="EH65" s="667">
        <f>AVERAGE(ED65:EG65)</f>
        <v>0</v>
      </c>
      <c r="EI65" s="662">
        <f>EI66-EI64</f>
        <v>88</v>
      </c>
      <c r="EJ65" s="662">
        <f>EJ66-EJ64</f>
        <v>87</v>
      </c>
      <c r="EK65" s="662">
        <f>EK66-EK64</f>
        <v>90</v>
      </c>
      <c r="EL65" s="662">
        <f>EL66-EL64</f>
        <v>87</v>
      </c>
      <c r="EM65" s="667">
        <f>AVERAGE(EI65:EL65)</f>
        <v>88</v>
      </c>
      <c r="EN65" s="662">
        <f>EN66-EN64</f>
        <v>87</v>
      </c>
      <c r="EO65" s="662">
        <f>EO66-EO64</f>
        <v>75</v>
      </c>
      <c r="EP65" s="662">
        <f>EP66-EP64</f>
        <v>88</v>
      </c>
      <c r="EQ65" s="662">
        <f>EQ66-EQ64</f>
        <v>91</v>
      </c>
      <c r="ER65" s="667">
        <f>AVERAGE(EN65:EQ65)</f>
        <v>85.25</v>
      </c>
      <c r="ES65" s="662">
        <f>ES66-ES64</f>
        <v>91</v>
      </c>
      <c r="ET65" s="662">
        <f>ET66-ET64</f>
        <v>100</v>
      </c>
      <c r="EU65" s="662">
        <f>EU66-EU64</f>
        <v>96</v>
      </c>
      <c r="EV65" s="662">
        <f>EV66-EV64</f>
        <v>76.899999999999636</v>
      </c>
      <c r="EW65" s="667">
        <f>AVERAGE(ES65:EV65)</f>
        <v>90.974999999999909</v>
      </c>
      <c r="EX65" s="662">
        <f>EX66-EX64</f>
        <v>76.826944999999796</v>
      </c>
      <c r="EY65" s="662">
        <f>EY66-EY64</f>
        <v>76.680973804500354</v>
      </c>
      <c r="EZ65" s="662">
        <f>EZ66-EZ64</f>
        <v>76.535279954271573</v>
      </c>
      <c r="FA65" s="662">
        <f>FA66-FA64</f>
        <v>76.389862922358589</v>
      </c>
      <c r="FB65" s="667">
        <f>AVERAGE(EX65:FA65)</f>
        <v>76.608265420282578</v>
      </c>
      <c r="FC65" s="662">
        <f>FC66-FC64</f>
        <v>76.250445974571448</v>
      </c>
      <c r="FD65" s="662">
        <f>FD66-FD64</f>
        <v>76.117007694116182</v>
      </c>
      <c r="FE65" s="662">
        <f>FE66-FE64</f>
        <v>75.983802930652018</v>
      </c>
      <c r="FF65" s="662">
        <f>FF66-FF64</f>
        <v>75.850831275522978</v>
      </c>
      <c r="FG65" s="667">
        <f>AVERAGE(FC65:FF65)</f>
        <v>76.050521968715657</v>
      </c>
      <c r="FH65" s="662">
        <f>FH66-FH64</f>
        <v>75.757879132719609</v>
      </c>
      <c r="FI65" s="662">
        <f>FI66-FI64</f>
        <v>75.704848617327116</v>
      </c>
      <c r="FJ65" s="662">
        <f>FJ66-FJ64</f>
        <v>75.65185522329466</v>
      </c>
      <c r="FK65" s="662">
        <f>FK66-FK64</f>
        <v>75.598898924637979</v>
      </c>
      <c r="FL65" s="667">
        <f>AVERAGE(FH65:FK65)</f>
        <v>75.678370474494841</v>
      </c>
      <c r="FM65" s="261"/>
      <c r="FN65" s="261"/>
      <c r="FO65" s="261"/>
      <c r="FP65" s="261"/>
      <c r="FQ65" s="261"/>
      <c r="FR65" s="261"/>
      <c r="FS65" s="261"/>
      <c r="FT65" s="261"/>
      <c r="FU65" s="261"/>
      <c r="FV65" s="261"/>
      <c r="FW65" s="261"/>
      <c r="FX65" s="261"/>
      <c r="FY65" s="261"/>
      <c r="FZ65" s="261"/>
      <c r="GA65" s="261"/>
      <c r="GB65" s="261"/>
      <c r="GC65" s="261"/>
      <c r="GD65" s="261"/>
      <c r="GE65" s="261"/>
      <c r="GF65" s="261"/>
      <c r="GG65" s="261"/>
      <c r="GH65" s="261"/>
      <c r="GI65" s="261"/>
      <c r="GJ65" s="261"/>
      <c r="GK65" s="261"/>
      <c r="GL65" s="261"/>
      <c r="GM65" s="261"/>
      <c r="GN65" s="261"/>
      <c r="GO65" s="261"/>
      <c r="GP65" s="261"/>
      <c r="GQ65" s="261"/>
      <c r="GR65" s="261"/>
      <c r="GS65" s="261"/>
      <c r="GT65" s="261"/>
      <c r="GU65" s="261"/>
      <c r="GV65" s="261"/>
      <c r="GW65" s="261"/>
      <c r="GX65" s="261"/>
      <c r="GY65" s="261"/>
      <c r="GZ65" s="261"/>
      <c r="HA65" s="261"/>
      <c r="HB65" s="261"/>
      <c r="HC65" s="261"/>
      <c r="HD65" s="261"/>
      <c r="HE65" s="261"/>
      <c r="HF65" s="261"/>
      <c r="HG65" s="261"/>
      <c r="HH65" s="261"/>
      <c r="HI65" s="261"/>
      <c r="HJ65" s="261"/>
      <c r="HK65" s="261"/>
      <c r="HL65" s="261"/>
      <c r="HM65" s="261"/>
      <c r="HN65" s="261"/>
      <c r="HO65" s="261"/>
      <c r="HP65" s="261"/>
      <c r="HQ65" s="261"/>
      <c r="HR65" s="261"/>
      <c r="HS65" s="261"/>
      <c r="HT65" s="261"/>
      <c r="HU65" s="261"/>
      <c r="HV65" s="261"/>
      <c r="HW65" s="261"/>
      <c r="HX65" s="261"/>
      <c r="HY65" s="261"/>
      <c r="HZ65" s="261"/>
      <c r="IA65" s="261"/>
      <c r="IB65" s="261"/>
      <c r="IC65" s="261"/>
      <c r="ID65" s="261"/>
      <c r="IE65" s="261"/>
      <c r="IF65" s="261"/>
      <c r="IG65" s="261"/>
      <c r="IH65" s="261"/>
      <c r="II65" s="261"/>
      <c r="IJ65" s="261"/>
      <c r="IK65" s="261"/>
      <c r="IL65" s="261"/>
      <c r="IM65" s="261"/>
      <c r="IN65" s="261"/>
      <c r="IO65" s="261"/>
      <c r="IP65" s="261"/>
      <c r="IQ65" s="261"/>
      <c r="IR65" s="261"/>
      <c r="IS65" s="261"/>
      <c r="IT65" s="261"/>
      <c r="IU65" s="261"/>
      <c r="IV65" s="261"/>
      <c r="IW65" s="261"/>
      <c r="IX65" s="261"/>
      <c r="IY65" s="261"/>
      <c r="IZ65" s="261"/>
      <c r="JA65" s="261"/>
      <c r="JB65" s="261"/>
      <c r="JC65" s="261"/>
      <c r="JD65" s="261"/>
      <c r="JE65" s="261"/>
      <c r="JF65" s="261"/>
      <c r="JG65" s="261"/>
      <c r="JH65" s="261"/>
      <c r="JI65" s="261"/>
      <c r="JJ65" s="261"/>
      <c r="JK65" s="261"/>
      <c r="JL65" s="261"/>
      <c r="JM65" s="261"/>
      <c r="JN65" s="261"/>
      <c r="JO65" s="261"/>
    </row>
    <row r="66" spans="1:275" s="651" customFormat="1" ht="11.25" customHeight="1">
      <c r="A66" s="660" t="s">
        <v>614</v>
      </c>
      <c r="B66" s="689"/>
      <c r="C66" s="645"/>
      <c r="D66" s="716"/>
      <c r="E66" s="716"/>
      <c r="F66" s="716"/>
      <c r="G66" s="716"/>
      <c r="H66" s="716"/>
      <c r="I66" s="716"/>
      <c r="J66" s="716"/>
      <c r="K66" s="716"/>
      <c r="L66" s="716"/>
      <c r="M66" s="716"/>
      <c r="N66" s="716"/>
      <c r="O66" s="716"/>
      <c r="P66" s="716"/>
      <c r="Q66" s="716"/>
      <c r="R66" s="716"/>
      <c r="S66" s="716"/>
      <c r="T66" s="716"/>
      <c r="U66" s="716"/>
      <c r="V66" s="716"/>
      <c r="W66" s="716"/>
      <c r="X66" s="716"/>
      <c r="Y66" s="716"/>
      <c r="Z66" s="716"/>
      <c r="AA66" s="716"/>
      <c r="AB66" s="716"/>
      <c r="AC66" s="716"/>
      <c r="AD66" s="716"/>
      <c r="AE66" s="716"/>
      <c r="AF66" s="716"/>
      <c r="AG66" s="716"/>
      <c r="AH66" s="716"/>
      <c r="AI66" s="716"/>
      <c r="AJ66" s="716"/>
      <c r="AK66" s="716"/>
      <c r="AL66" s="716"/>
      <c r="AM66" s="716"/>
      <c r="AN66" s="716"/>
      <c r="AO66" s="716"/>
      <c r="AP66" s="716"/>
      <c r="AQ66" s="716"/>
      <c r="AR66" s="716"/>
      <c r="AS66" s="716"/>
      <c r="AT66" s="716"/>
      <c r="AU66" s="716"/>
      <c r="AV66" s="716"/>
      <c r="AW66" s="716"/>
      <c r="AX66" s="716"/>
      <c r="AY66" s="716"/>
      <c r="AZ66" s="716"/>
      <c r="BA66" s="716"/>
      <c r="BB66" s="716"/>
      <c r="BC66" s="716"/>
      <c r="BD66" s="716"/>
      <c r="BE66" s="716"/>
      <c r="BF66" s="716"/>
      <c r="BG66" s="716"/>
      <c r="BH66" s="716"/>
      <c r="BI66" s="716"/>
      <c r="BJ66" s="716"/>
      <c r="BK66" s="716"/>
      <c r="BL66" s="716"/>
      <c r="BM66" s="716"/>
      <c r="BN66" s="716"/>
      <c r="BO66" s="716"/>
      <c r="BP66" s="716"/>
      <c r="BQ66" s="716"/>
      <c r="BR66" s="716"/>
      <c r="BS66" s="716"/>
      <c r="BT66" s="716"/>
      <c r="BU66" s="716"/>
      <c r="BV66" s="716"/>
      <c r="BW66" s="716"/>
      <c r="BX66" s="716"/>
      <c r="BY66" s="716"/>
      <c r="BZ66" s="717"/>
      <c r="CA66" s="726">
        <f>IS!CA90</f>
        <v>10885</v>
      </c>
      <c r="CB66" s="726">
        <f>IS!CB90</f>
        <v>10899</v>
      </c>
      <c r="CC66" s="726">
        <f>IS!CC90</f>
        <v>10856</v>
      </c>
      <c r="CD66" s="726">
        <f>IS!CD90</f>
        <v>10864</v>
      </c>
      <c r="CE66" s="727">
        <f>SUM(CE64:CE65)</f>
        <v>10894</v>
      </c>
      <c r="CF66" s="726">
        <f>IS!CF90</f>
        <v>10920</v>
      </c>
      <c r="CG66" s="726">
        <f>IS!CG90</f>
        <v>10956</v>
      </c>
      <c r="CH66" s="726">
        <f>IS!CH90</f>
        <v>10931</v>
      </c>
      <c r="CI66" s="726">
        <f>IS!CI90</f>
        <v>10819</v>
      </c>
      <c r="CJ66" s="727">
        <f>SUM(CJ64:CJ65)</f>
        <v>10906</v>
      </c>
      <c r="CK66" s="726">
        <f>IS!CK90</f>
        <v>10772</v>
      </c>
      <c r="CL66" s="726">
        <f>IS!CL90</f>
        <v>10638</v>
      </c>
      <c r="CM66" s="726">
        <f>IS!CM90</f>
        <v>10415</v>
      </c>
      <c r="CN66" s="726">
        <f>IS!CN90</f>
        <v>10255</v>
      </c>
      <c r="CO66" s="727">
        <f>SUM(CO64:CO65)</f>
        <v>10531</v>
      </c>
      <c r="CP66" s="726">
        <f>IS!CP90</f>
        <v>10010</v>
      </c>
      <c r="CQ66" s="726">
        <f>IS!CQ90</f>
        <v>9942</v>
      </c>
      <c r="CR66" s="726">
        <f>IS!CR90</f>
        <v>9862</v>
      </c>
      <c r="CS66" s="726">
        <f>IS!CS90</f>
        <v>9657</v>
      </c>
      <c r="CT66" s="727">
        <f>SUM(CT64:CT65)</f>
        <v>9886</v>
      </c>
      <c r="CU66" s="726">
        <f>IS!CU90</f>
        <v>9513</v>
      </c>
      <c r="CV66" s="726">
        <f>IS!CV90</f>
        <v>9503</v>
      </c>
      <c r="CW66" s="726">
        <f>IS!CW90</f>
        <v>9428</v>
      </c>
      <c r="CX66" s="726">
        <f>IS!CX90</f>
        <v>9380</v>
      </c>
      <c r="CY66" s="727">
        <f>SUM(CY64:CY65)</f>
        <v>9456</v>
      </c>
      <c r="CZ66" s="726">
        <f>IS!CZ90</f>
        <v>9183</v>
      </c>
      <c r="DA66" s="726">
        <f>IS!DA90</f>
        <v>8914</v>
      </c>
      <c r="DB66" s="726">
        <f>IS!DB90</f>
        <v>8904</v>
      </c>
      <c r="DC66" s="726">
        <f>IS!DC90</f>
        <v>8928</v>
      </c>
      <c r="DD66" s="727">
        <f>SUM(DD64:DD65)</f>
        <v>8982.25</v>
      </c>
      <c r="DE66" s="726">
        <f>IS!DE90</f>
        <v>8983</v>
      </c>
      <c r="DF66" s="726">
        <f>IS!DF90</f>
        <v>8951</v>
      </c>
      <c r="DG66" s="726">
        <f>IS!DG90</f>
        <v>8876</v>
      </c>
      <c r="DH66" s="726">
        <f>IS!DH90</f>
        <v>8821</v>
      </c>
      <c r="DI66" s="727">
        <f>SUM(DI64:DI65)</f>
        <v>8907.75</v>
      </c>
      <c r="DJ66" s="726">
        <f>IS!DJ90</f>
        <v>8695</v>
      </c>
      <c r="DK66" s="726">
        <f>IS!DK90</f>
        <v>8570</v>
      </c>
      <c r="DL66" s="726">
        <f>IS!DL90</f>
        <v>8510</v>
      </c>
      <c r="DM66" s="726">
        <f>IS!DM90</f>
        <v>8462</v>
      </c>
      <c r="DN66" s="727">
        <f>SUM(DN64:DN65)</f>
        <v>8559.25</v>
      </c>
      <c r="DO66" s="726">
        <f>IS!DO90</f>
        <v>8490</v>
      </c>
      <c r="DP66" s="726">
        <f>IS!DP90</f>
        <v>8465</v>
      </c>
      <c r="DQ66" s="726">
        <f>IS!DQ90</f>
        <v>8498</v>
      </c>
      <c r="DR66" s="726">
        <f>IS!DR90</f>
        <v>8388</v>
      </c>
      <c r="DS66" s="901">
        <f>SUM(DS64:DS65)</f>
        <v>8460.25</v>
      </c>
      <c r="DT66" s="726">
        <f>IS!DT90</f>
        <v>8494</v>
      </c>
      <c r="DU66" s="726">
        <f>IS!DU90</f>
        <v>8444</v>
      </c>
      <c r="DV66" s="726">
        <f>IS!DV90</f>
        <v>8429</v>
      </c>
      <c r="DW66" s="726">
        <f>IS!DW90</f>
        <v>8442</v>
      </c>
      <c r="DX66" s="901">
        <f>SUM(DX64:DX65)</f>
        <v>8452.25</v>
      </c>
      <c r="DY66" s="726">
        <f>IS!DY90</f>
        <v>8434</v>
      </c>
      <c r="DZ66" s="726">
        <f>IS!DZ90</f>
        <v>8395</v>
      </c>
      <c r="EA66" s="726">
        <f>IS!EA90</f>
        <v>8367</v>
      </c>
      <c r="EB66" s="726">
        <f>IS!EB90</f>
        <v>8345</v>
      </c>
      <c r="EC66" s="901">
        <f>SUM(EC64:EC65)</f>
        <v>8385.25</v>
      </c>
      <c r="ED66" s="726">
        <f>IS!ED90</f>
        <v>8351</v>
      </c>
      <c r="EE66" s="726">
        <f>IS!EE90</f>
        <v>8297</v>
      </c>
      <c r="EF66" s="726">
        <f>IS!EF90</f>
        <v>8237</v>
      </c>
      <c r="EG66" s="726">
        <f>IS!EG90</f>
        <v>8061</v>
      </c>
      <c r="EH66" s="727">
        <f>SUM(EH64:EH65)</f>
        <v>8236.5</v>
      </c>
      <c r="EI66" s="726">
        <f>IS!EI90</f>
        <v>8084</v>
      </c>
      <c r="EJ66" s="726">
        <f>IS!EJ90</f>
        <v>8051</v>
      </c>
      <c r="EK66" s="726">
        <f>IS!EK90</f>
        <v>7985</v>
      </c>
      <c r="EL66" s="726">
        <f>IS!EL90</f>
        <v>7929</v>
      </c>
      <c r="EM66" s="727">
        <f>SUM(EM64:EM65)</f>
        <v>8012.25</v>
      </c>
      <c r="EN66" s="726">
        <f>IS!EN90</f>
        <v>7876</v>
      </c>
      <c r="EO66" s="726">
        <f>IS!EO90</f>
        <v>7830</v>
      </c>
      <c r="EP66" s="726">
        <f>IS!EP90</f>
        <v>7813</v>
      </c>
      <c r="EQ66" s="726">
        <f>IS!EQ90</f>
        <v>7806</v>
      </c>
      <c r="ER66" s="727">
        <f>SUM(ER64:ER65)</f>
        <v>7831.25</v>
      </c>
      <c r="ES66" s="726">
        <f>IS!ES90</f>
        <v>7799</v>
      </c>
      <c r="ET66" s="726">
        <f>IS!ET90</f>
        <v>7810</v>
      </c>
      <c r="EU66" s="726">
        <f>IS!EU90</f>
        <v>7794</v>
      </c>
      <c r="EV66" s="668">
        <f>EV64*EV67</f>
        <v>7766.9</v>
      </c>
      <c r="EW66" s="727">
        <f>SUM(EW64:EW65)</f>
        <v>7792.4750000000004</v>
      </c>
      <c r="EX66" s="668">
        <f>EX64*EX67</f>
        <v>7759.5214449999994</v>
      </c>
      <c r="EY66" s="668">
        <f>EY64*EY67</f>
        <v>7744.7783542545003</v>
      </c>
      <c r="EZ66" s="668">
        <f>EZ64*EZ67</f>
        <v>7730.0632753814161</v>
      </c>
      <c r="FA66" s="668">
        <f>FA64*FA67</f>
        <v>7715.376155158192</v>
      </c>
      <c r="FB66" s="727">
        <f>SUM(FB64:FB65)</f>
        <v>7737.4348074485279</v>
      </c>
      <c r="FC66" s="668">
        <f>FC64*FC67</f>
        <v>7701.2950434317454</v>
      </c>
      <c r="FD66" s="668">
        <f>FD64*FD67</f>
        <v>7687.817777105739</v>
      </c>
      <c r="FE66" s="668">
        <f>FE64*FE67</f>
        <v>7674.3640959958038</v>
      </c>
      <c r="FF66" s="668">
        <f>FF64*FF67</f>
        <v>7660.9339588278099</v>
      </c>
      <c r="FG66" s="727">
        <f>SUM(FG64:FG65)</f>
        <v>7681.1027188402741</v>
      </c>
      <c r="FH66" s="668">
        <f>FH64*FH67</f>
        <v>7651.545792404675</v>
      </c>
      <c r="FI66" s="668">
        <f>FI64*FI67</f>
        <v>7646.1897103499923</v>
      </c>
      <c r="FJ66" s="668">
        <f>FJ64*FJ67</f>
        <v>7640.8373775527461</v>
      </c>
      <c r="FK66" s="668">
        <f>FK64*FK67</f>
        <v>7635.4887913884595</v>
      </c>
      <c r="FL66" s="727">
        <f>SUM(FL64:FL65)</f>
        <v>7643.515417923968</v>
      </c>
      <c r="FM66" s="261"/>
      <c r="FN66" s="261"/>
      <c r="FO66" s="261"/>
      <c r="FP66" s="261"/>
      <c r="FQ66" s="261"/>
      <c r="FR66" s="261"/>
      <c r="FS66" s="261"/>
      <c r="FT66" s="261"/>
      <c r="FU66" s="261"/>
      <c r="FV66" s="261"/>
      <c r="FW66" s="261"/>
      <c r="FX66" s="261"/>
      <c r="FY66" s="261"/>
      <c r="FZ66" s="261"/>
      <c r="GA66" s="261"/>
      <c r="GB66" s="261"/>
      <c r="GC66" s="261"/>
      <c r="GD66" s="261"/>
      <c r="GE66" s="261"/>
      <c r="GF66" s="261"/>
      <c r="GG66" s="261"/>
      <c r="GH66" s="261"/>
      <c r="GI66" s="261"/>
      <c r="GJ66" s="261"/>
      <c r="GK66" s="261"/>
      <c r="GL66" s="261"/>
      <c r="GM66" s="261"/>
      <c r="GN66" s="261"/>
      <c r="GO66" s="261"/>
      <c r="GP66" s="261"/>
      <c r="GQ66" s="261"/>
      <c r="GR66" s="261"/>
      <c r="GS66" s="261"/>
      <c r="GT66" s="261"/>
      <c r="GU66" s="261"/>
      <c r="GV66" s="261"/>
      <c r="GW66" s="261"/>
      <c r="GX66" s="261"/>
      <c r="GY66" s="261"/>
      <c r="GZ66" s="261"/>
      <c r="HA66" s="261"/>
      <c r="HB66" s="261"/>
      <c r="HC66" s="261"/>
      <c r="HD66" s="261"/>
      <c r="HE66" s="261"/>
      <c r="HF66" s="261"/>
      <c r="HG66" s="261"/>
      <c r="HH66" s="261"/>
      <c r="HI66" s="261"/>
      <c r="HJ66" s="261"/>
      <c r="HK66" s="261"/>
      <c r="HL66" s="261"/>
      <c r="HM66" s="261"/>
      <c r="HN66" s="261"/>
      <c r="HO66" s="261"/>
      <c r="HP66" s="261"/>
      <c r="HQ66" s="261"/>
      <c r="HR66" s="261"/>
      <c r="HS66" s="261"/>
      <c r="HT66" s="261"/>
      <c r="HU66" s="261"/>
      <c r="HV66" s="261"/>
      <c r="HW66" s="261"/>
      <c r="HX66" s="261"/>
      <c r="HY66" s="261"/>
      <c r="HZ66" s="261"/>
      <c r="IA66" s="261"/>
      <c r="IB66" s="261"/>
      <c r="IC66" s="261"/>
      <c r="ID66" s="261"/>
      <c r="IE66" s="261"/>
      <c r="IF66" s="261"/>
      <c r="IG66" s="261"/>
      <c r="IH66" s="261"/>
      <c r="II66" s="261"/>
      <c r="IJ66" s="261"/>
      <c r="IK66" s="261"/>
      <c r="IL66" s="261"/>
      <c r="IM66" s="261"/>
      <c r="IN66" s="261"/>
      <c r="IO66" s="261"/>
      <c r="IP66" s="261"/>
      <c r="IQ66" s="261"/>
      <c r="IR66" s="261"/>
      <c r="IS66" s="261"/>
      <c r="IT66" s="261"/>
      <c r="IU66" s="261"/>
      <c r="IV66" s="261"/>
      <c r="IW66" s="261"/>
      <c r="IX66" s="261"/>
      <c r="IY66" s="261"/>
      <c r="IZ66" s="261"/>
      <c r="JA66" s="261"/>
      <c r="JB66" s="261"/>
      <c r="JC66" s="261"/>
      <c r="JD66" s="261"/>
      <c r="JE66" s="261"/>
      <c r="JF66" s="261"/>
      <c r="JG66" s="261"/>
      <c r="JH66" s="261"/>
      <c r="JI66" s="261"/>
      <c r="JJ66" s="261"/>
      <c r="JK66" s="261"/>
      <c r="JL66" s="261"/>
      <c r="JM66" s="261"/>
      <c r="JN66" s="261"/>
      <c r="JO66" s="261"/>
    </row>
    <row r="67" spans="1:275" s="732" customFormat="1" ht="11.25" customHeight="1">
      <c r="A67" s="728" t="s">
        <v>569</v>
      </c>
      <c r="B67" s="728"/>
      <c r="C67" s="716"/>
      <c r="D67" s="716"/>
      <c r="E67" s="716"/>
      <c r="F67" s="716"/>
      <c r="G67" s="716"/>
      <c r="H67" s="716"/>
      <c r="I67" s="716"/>
      <c r="J67" s="716"/>
      <c r="K67" s="716"/>
      <c r="L67" s="716"/>
      <c r="M67" s="716"/>
      <c r="N67" s="716"/>
      <c r="O67" s="716"/>
      <c r="P67" s="716"/>
      <c r="Q67" s="716"/>
      <c r="R67" s="716"/>
      <c r="S67" s="716"/>
      <c r="T67" s="716"/>
      <c r="U67" s="716"/>
      <c r="V67" s="716"/>
      <c r="W67" s="716"/>
      <c r="X67" s="716"/>
      <c r="Y67" s="716"/>
      <c r="Z67" s="716"/>
      <c r="AA67" s="716"/>
      <c r="AB67" s="716"/>
      <c r="AC67" s="716"/>
      <c r="AD67" s="716"/>
      <c r="AE67" s="716"/>
      <c r="AF67" s="716"/>
      <c r="AG67" s="716"/>
      <c r="AH67" s="716"/>
      <c r="AI67" s="716"/>
      <c r="AJ67" s="716"/>
      <c r="AK67" s="716"/>
      <c r="AL67" s="716"/>
      <c r="AM67" s="716"/>
      <c r="AN67" s="716"/>
      <c r="AO67" s="716"/>
      <c r="AP67" s="716"/>
      <c r="AQ67" s="716"/>
      <c r="AR67" s="716"/>
      <c r="AS67" s="716"/>
      <c r="AT67" s="716"/>
      <c r="AU67" s="716"/>
      <c r="AV67" s="716"/>
      <c r="AW67" s="716"/>
      <c r="AX67" s="716"/>
      <c r="AY67" s="716"/>
      <c r="AZ67" s="716"/>
      <c r="BA67" s="716"/>
      <c r="BB67" s="716"/>
      <c r="BC67" s="716"/>
      <c r="BD67" s="716"/>
      <c r="BE67" s="716"/>
      <c r="BF67" s="716"/>
      <c r="BG67" s="716"/>
      <c r="BH67" s="716"/>
      <c r="BI67" s="716"/>
      <c r="BJ67" s="716"/>
      <c r="BK67" s="716"/>
      <c r="BL67" s="716"/>
      <c r="BM67" s="716"/>
      <c r="BN67" s="716"/>
      <c r="BO67" s="716"/>
      <c r="BP67" s="716"/>
      <c r="BQ67" s="716"/>
      <c r="BR67" s="716"/>
      <c r="BS67" s="716"/>
      <c r="BT67" s="716"/>
      <c r="BU67" s="716"/>
      <c r="BV67" s="716"/>
      <c r="BW67" s="716"/>
      <c r="BX67" s="716"/>
      <c r="BY67" s="716"/>
      <c r="BZ67" s="717"/>
      <c r="CA67" s="729">
        <f t="shared" ref="CA67:DH67" si="110">(CA66)/CA64</f>
        <v>1.0068448802145962</v>
      </c>
      <c r="CB67" s="729">
        <f t="shared" si="110"/>
        <v>1.0082331174838113</v>
      </c>
      <c r="CC67" s="729">
        <f t="shared" si="110"/>
        <v>1.006583217431618</v>
      </c>
      <c r="CD67" s="729">
        <f t="shared" si="110"/>
        <v>1.0053673884878771</v>
      </c>
      <c r="CE67" s="730">
        <f>(CE66)/CE64</f>
        <v>1.0084235860409145</v>
      </c>
      <c r="CF67" s="729">
        <f t="shared" si="110"/>
        <v>1.004322634047641</v>
      </c>
      <c r="CG67" s="729">
        <f t="shared" si="110"/>
        <v>1.0072630320860532</v>
      </c>
      <c r="CH67" s="729">
        <f t="shared" si="110"/>
        <v>1.0069086219602064</v>
      </c>
      <c r="CI67" s="729">
        <f t="shared" si="110"/>
        <v>1.0064186046511627</v>
      </c>
      <c r="CJ67" s="730">
        <f>(CJ66)/CJ64</f>
        <v>1.0061813820463141</v>
      </c>
      <c r="CK67" s="729">
        <f t="shared" si="110"/>
        <v>1.0071054599850411</v>
      </c>
      <c r="CL67" s="729">
        <f t="shared" si="110"/>
        <v>1.0073863636363636</v>
      </c>
      <c r="CM67" s="729">
        <f t="shared" si="110"/>
        <v>1.0108706202077065</v>
      </c>
      <c r="CN67" s="729">
        <f t="shared" si="110"/>
        <v>1.0067740035342627</v>
      </c>
      <c r="CO67" s="730">
        <f>(CO66)/CO64</f>
        <v>1.0089097528262119</v>
      </c>
      <c r="CP67" s="729">
        <f t="shared" si="110"/>
        <v>1.0081579212408098</v>
      </c>
      <c r="CQ67" s="729">
        <f t="shared" si="110"/>
        <v>1.0138690597593309</v>
      </c>
      <c r="CR67" s="729">
        <f t="shared" si="110"/>
        <v>1.0140874035989718</v>
      </c>
      <c r="CS67" s="729">
        <f t="shared" si="110"/>
        <v>1.0157778479015462</v>
      </c>
      <c r="CT67" s="730">
        <f>(CT66)/CT64</f>
        <v>1.0147813590638473</v>
      </c>
      <c r="CU67" s="729">
        <f t="shared" si="110"/>
        <v>1.0141791044776118</v>
      </c>
      <c r="CV67" s="729">
        <f t="shared" si="110"/>
        <v>1.0151693195171456</v>
      </c>
      <c r="CW67" s="729">
        <f t="shared" si="110"/>
        <v>1.0130009670140754</v>
      </c>
      <c r="CX67" s="729">
        <f t="shared" si="110"/>
        <v>1.0125215889464594</v>
      </c>
      <c r="CY67" s="730">
        <f>(CY66)/CY64</f>
        <v>1.0137221269296741</v>
      </c>
      <c r="CZ67" s="729">
        <f t="shared" si="110"/>
        <v>1.010898282694848</v>
      </c>
      <c r="DA67" s="729">
        <f t="shared" si="110"/>
        <v>1.0012355385825003</v>
      </c>
      <c r="DB67" s="729">
        <f t="shared" si="110"/>
        <v>1.0014621527387246</v>
      </c>
      <c r="DC67" s="729">
        <f t="shared" si="110"/>
        <v>1.0030333670374114</v>
      </c>
      <c r="DD67" s="730">
        <f>(DD66)/DD64</f>
        <v>1.0041924033651024</v>
      </c>
      <c r="DE67" s="729">
        <f t="shared" si="110"/>
        <v>1.0077406327125868</v>
      </c>
      <c r="DF67" s="729">
        <f t="shared" si="110"/>
        <v>1.0107271906052393</v>
      </c>
      <c r="DG67" s="729">
        <f t="shared" si="110"/>
        <v>1.0124329873388844</v>
      </c>
      <c r="DH67" s="729">
        <f t="shared" si="110"/>
        <v>1.0125114784205693</v>
      </c>
      <c r="DI67" s="730">
        <f t="shared" ref="DI67:DY67" si="111">(DI66)/DI64</f>
        <v>1.0108371868705495</v>
      </c>
      <c r="DJ67" s="729">
        <f t="shared" si="111"/>
        <v>1.0094032969584397</v>
      </c>
      <c r="DK67" s="729">
        <f t="shared" si="111"/>
        <v>1.0085912675061786</v>
      </c>
      <c r="DL67" s="729">
        <f t="shared" si="111"/>
        <v>1.010688836104513</v>
      </c>
      <c r="DM67" s="545">
        <f t="shared" si="111"/>
        <v>1.0039150551666864</v>
      </c>
      <c r="DN67" s="730">
        <f t="shared" si="111"/>
        <v>1.0081566548881036</v>
      </c>
      <c r="DO67" s="729">
        <f t="shared" si="111"/>
        <v>1.011677788369876</v>
      </c>
      <c r="DP67" s="729">
        <f t="shared" si="111"/>
        <v>1.0074982147107832</v>
      </c>
      <c r="DQ67" s="729">
        <f t="shared" si="111"/>
        <v>1</v>
      </c>
      <c r="DR67" s="729">
        <f t="shared" si="111"/>
        <v>1</v>
      </c>
      <c r="DS67" s="730">
        <f t="shared" si="111"/>
        <v>1.0047802850356296</v>
      </c>
      <c r="DT67" s="729">
        <f t="shared" si="111"/>
        <v>1.0116722248689853</v>
      </c>
      <c r="DU67" s="729">
        <f t="shared" si="111"/>
        <v>1.0060764923150245</v>
      </c>
      <c r="DV67" s="729">
        <f t="shared" si="111"/>
        <v>1.0077714012434242</v>
      </c>
      <c r="DW67" s="729">
        <f t="shared" si="111"/>
        <v>1.0116237267825046</v>
      </c>
      <c r="DX67" s="730">
        <f>(DX66)/DX64</f>
        <v>1.0092841363663503</v>
      </c>
      <c r="DY67" s="729">
        <f t="shared" si="111"/>
        <v>1.0113922532677779</v>
      </c>
      <c r="DZ67" s="729">
        <f t="shared" ref="DZ67:EH67" si="112">(DZ66)/DZ64</f>
        <v>1.0082872928176796</v>
      </c>
      <c r="EA67" s="729">
        <f t="shared" si="112"/>
        <v>1.0100193143408982</v>
      </c>
      <c r="EB67" s="729">
        <f t="shared" si="112"/>
        <v>1.0098883132505332</v>
      </c>
      <c r="EC67" s="730">
        <f t="shared" si="112"/>
        <v>1.0098972398470565</v>
      </c>
      <c r="ED67" s="729">
        <f t="shared" si="112"/>
        <v>1</v>
      </c>
      <c r="EE67" s="729">
        <f t="shared" si="112"/>
        <v>1</v>
      </c>
      <c r="EF67" s="729">
        <f t="shared" si="112"/>
        <v>1</v>
      </c>
      <c r="EG67" s="729">
        <f t="shared" si="112"/>
        <v>1</v>
      </c>
      <c r="EH67" s="730">
        <f t="shared" si="112"/>
        <v>1</v>
      </c>
      <c r="EI67" s="729">
        <f t="shared" ref="EI67:EO67" si="113">(EI66)/EI64</f>
        <v>1.0110055027513758</v>
      </c>
      <c r="EJ67" s="729">
        <f t="shared" si="113"/>
        <v>1.0109241587142139</v>
      </c>
      <c r="EK67" s="729">
        <f t="shared" si="113"/>
        <v>1.0113996200126663</v>
      </c>
      <c r="EL67" s="729">
        <f t="shared" si="113"/>
        <v>1.0110941086457537</v>
      </c>
      <c r="EM67" s="730">
        <f t="shared" si="113"/>
        <v>1.0111051519071206</v>
      </c>
      <c r="EN67" s="729">
        <f t="shared" si="113"/>
        <v>1.011169598151239</v>
      </c>
      <c r="EO67" s="729">
        <f t="shared" si="113"/>
        <v>1.0096711798839459</v>
      </c>
      <c r="EP67" s="729">
        <f t="shared" ref="EP67:EQ67" si="114">(EP66)/EP64</f>
        <v>1.0113915857605178</v>
      </c>
      <c r="EQ67" s="729">
        <f t="shared" si="114"/>
        <v>1.011795204147764</v>
      </c>
      <c r="ER67" s="730">
        <f>(ER66)/ER64</f>
        <v>1.0110056803511489</v>
      </c>
      <c r="ES67" s="729">
        <f t="shared" ref="ES67:EU67" si="115">(ES66)/ES64</f>
        <v>1.0118059159314998</v>
      </c>
      <c r="ET67" s="729">
        <f t="shared" si="115"/>
        <v>1.0129701686121919</v>
      </c>
      <c r="EU67" s="729">
        <f t="shared" si="115"/>
        <v>1.0124707716289945</v>
      </c>
      <c r="EV67" s="731">
        <v>1.01</v>
      </c>
      <c r="EW67" s="730">
        <f>(EW66)/EW64</f>
        <v>1.0118126339024867</v>
      </c>
      <c r="EX67" s="731">
        <v>1.01</v>
      </c>
      <c r="EY67" s="731">
        <v>1.01</v>
      </c>
      <c r="EZ67" s="731">
        <v>1.01</v>
      </c>
      <c r="FA67" s="731">
        <v>1.01</v>
      </c>
      <c r="FB67" s="730">
        <f>(FB66)/FB64</f>
        <v>1.01</v>
      </c>
      <c r="FC67" s="731">
        <v>1.01</v>
      </c>
      <c r="FD67" s="731">
        <v>1.01</v>
      </c>
      <c r="FE67" s="731">
        <v>1.01</v>
      </c>
      <c r="FF67" s="731">
        <v>1.01</v>
      </c>
      <c r="FG67" s="730">
        <f>(FG66)/FG64</f>
        <v>1.01</v>
      </c>
      <c r="FH67" s="731">
        <v>1.01</v>
      </c>
      <c r="FI67" s="731">
        <v>1.01</v>
      </c>
      <c r="FJ67" s="731">
        <v>1.01</v>
      </c>
      <c r="FK67" s="731">
        <v>1.01</v>
      </c>
      <c r="FL67" s="730">
        <f>(FL66)/FL64</f>
        <v>1.01</v>
      </c>
      <c r="FM67" s="261"/>
      <c r="FN67" s="261"/>
      <c r="FO67" s="261"/>
      <c r="FP67" s="261"/>
      <c r="FQ67" s="261"/>
      <c r="FR67" s="261"/>
      <c r="FS67" s="261"/>
      <c r="FT67" s="261"/>
      <c r="FU67" s="261"/>
      <c r="FV67" s="261"/>
      <c r="FW67" s="261"/>
      <c r="FX67" s="261"/>
      <c r="FY67" s="261"/>
      <c r="FZ67" s="261"/>
      <c r="GA67" s="261"/>
      <c r="GB67" s="261"/>
      <c r="GC67" s="261"/>
      <c r="GD67" s="261"/>
      <c r="GE67" s="261"/>
      <c r="GF67" s="261"/>
      <c r="GG67" s="261"/>
      <c r="GH67" s="261"/>
      <c r="GI67" s="261"/>
      <c r="GJ67" s="261"/>
      <c r="GK67" s="261"/>
      <c r="GL67" s="261"/>
      <c r="GM67" s="261"/>
      <c r="GN67" s="261"/>
      <c r="GO67" s="261"/>
      <c r="GP67" s="261"/>
      <c r="GQ67" s="261"/>
      <c r="GR67" s="261"/>
      <c r="GS67" s="261"/>
      <c r="GT67" s="261"/>
      <c r="GU67" s="261"/>
      <c r="GV67" s="261"/>
      <c r="GW67" s="261"/>
      <c r="GX67" s="261"/>
      <c r="GY67" s="261"/>
      <c r="GZ67" s="261"/>
      <c r="HA67" s="261"/>
      <c r="HB67" s="261"/>
      <c r="HC67" s="261"/>
      <c r="HD67" s="261"/>
      <c r="HE67" s="261"/>
      <c r="HF67" s="261"/>
      <c r="HG67" s="261"/>
      <c r="HH67" s="261"/>
      <c r="HI67" s="261"/>
      <c r="HJ67" s="261"/>
      <c r="HK67" s="261"/>
      <c r="HL67" s="261"/>
      <c r="HM67" s="261"/>
      <c r="HN67" s="261"/>
      <c r="HO67" s="261"/>
      <c r="HP67" s="261"/>
      <c r="HQ67" s="261"/>
      <c r="HR67" s="261"/>
      <c r="HS67" s="261"/>
      <c r="HT67" s="261"/>
      <c r="HU67" s="261"/>
      <c r="HV67" s="261"/>
      <c r="HW67" s="261"/>
      <c r="HX67" s="261"/>
      <c r="HY67" s="261"/>
      <c r="HZ67" s="261"/>
      <c r="IA67" s="261"/>
      <c r="IB67" s="261"/>
      <c r="IC67" s="261"/>
      <c r="ID67" s="261"/>
      <c r="IE67" s="261"/>
      <c r="IF67" s="261"/>
      <c r="IG67" s="261"/>
      <c r="IH67" s="261"/>
      <c r="II67" s="261"/>
      <c r="IJ67" s="261"/>
      <c r="IK67" s="261"/>
      <c r="IL67" s="261"/>
      <c r="IM67" s="261"/>
      <c r="IN67" s="261"/>
      <c r="IO67" s="261"/>
      <c r="IP67" s="261"/>
      <c r="IQ67" s="261"/>
      <c r="IR67" s="261"/>
      <c r="IS67" s="261"/>
      <c r="IT67" s="261"/>
      <c r="IU67" s="261"/>
      <c r="IV67" s="261"/>
      <c r="IW67" s="261"/>
      <c r="IX67" s="261"/>
      <c r="IY67" s="261"/>
      <c r="IZ67" s="261"/>
      <c r="JA67" s="261"/>
      <c r="JB67" s="261"/>
      <c r="JC67" s="261"/>
      <c r="JD67" s="261"/>
      <c r="JE67" s="261"/>
      <c r="JF67" s="261"/>
      <c r="JG67" s="261"/>
      <c r="JH67" s="261"/>
      <c r="JI67" s="261"/>
      <c r="JJ67" s="261"/>
      <c r="JK67" s="261"/>
      <c r="JL67" s="261"/>
      <c r="JM67" s="261"/>
      <c r="JN67" s="261"/>
      <c r="JO67" s="261"/>
    </row>
    <row r="68" spans="1:275" s="651" customFormat="1" ht="11.25" customHeight="1">
      <c r="A68" s="733" t="s">
        <v>751</v>
      </c>
      <c r="B68" s="644"/>
      <c r="C68" s="644"/>
      <c r="D68" s="645"/>
      <c r="E68" s="645"/>
      <c r="F68" s="645"/>
      <c r="G68" s="645"/>
      <c r="H68" s="645"/>
      <c r="I68" s="645"/>
      <c r="J68" s="645"/>
      <c r="K68" s="645"/>
      <c r="L68" s="645"/>
      <c r="M68" s="645"/>
      <c r="N68" s="645"/>
      <c r="O68" s="645"/>
      <c r="P68" s="645"/>
      <c r="Q68" s="645"/>
      <c r="R68" s="645"/>
      <c r="S68" s="645"/>
      <c r="T68" s="645"/>
      <c r="U68" s="645"/>
      <c r="V68" s="645"/>
      <c r="W68" s="645"/>
      <c r="X68" s="645"/>
      <c r="Y68" s="645"/>
      <c r="Z68" s="645"/>
      <c r="AA68" s="645"/>
      <c r="AB68" s="645"/>
      <c r="AC68" s="645"/>
      <c r="AD68" s="645"/>
      <c r="AE68" s="645"/>
      <c r="AF68" s="645"/>
      <c r="AG68" s="645"/>
      <c r="AH68" s="645"/>
      <c r="AI68" s="645"/>
      <c r="AJ68" s="645"/>
      <c r="AK68" s="645"/>
      <c r="AL68" s="645"/>
      <c r="AM68" s="645"/>
      <c r="AN68" s="645"/>
      <c r="AO68" s="645"/>
      <c r="AP68" s="645"/>
      <c r="AQ68" s="645"/>
      <c r="AR68" s="645"/>
      <c r="AS68" s="645"/>
      <c r="AT68" s="645"/>
      <c r="AU68" s="645"/>
      <c r="AV68" s="645"/>
      <c r="AW68" s="645"/>
      <c r="AX68" s="645"/>
      <c r="AY68" s="645"/>
      <c r="AZ68" s="645"/>
      <c r="BA68" s="645"/>
      <c r="BB68" s="645"/>
      <c r="BC68" s="645"/>
      <c r="BD68" s="645"/>
      <c r="BE68" s="645"/>
      <c r="BF68" s="645"/>
      <c r="BG68" s="645"/>
      <c r="BH68" s="645"/>
      <c r="BI68" s="645"/>
      <c r="BJ68" s="645"/>
      <c r="BK68" s="645"/>
      <c r="BL68" s="645"/>
      <c r="BM68" s="645"/>
      <c r="BN68" s="645"/>
      <c r="BO68" s="645"/>
      <c r="BP68" s="645"/>
      <c r="BQ68" s="645"/>
      <c r="BR68" s="645"/>
      <c r="BS68" s="645"/>
      <c r="BT68" s="645"/>
      <c r="BU68" s="645"/>
      <c r="BV68" s="645"/>
      <c r="BW68" s="645"/>
      <c r="BX68" s="645"/>
      <c r="BY68" s="645"/>
      <c r="BZ68" s="645"/>
      <c r="CA68" s="734" t="str">
        <f>IF(SUM(CA64:CA65)=OPT!CA66,"","CHK DILUTION")</f>
        <v/>
      </c>
      <c r="CB68" s="734" t="str">
        <f>IF(SUM(CB64:CB65)=OPT!CB66,"","CHK DILUTION")</f>
        <v/>
      </c>
      <c r="CC68" s="734" t="str">
        <f>IF(SUM(CC64:CC65)=OPT!CC66,"","CHK DILUTION")</f>
        <v/>
      </c>
      <c r="CD68" s="734"/>
      <c r="CE68" s="734"/>
      <c r="CF68" s="734" t="str">
        <f>IF(SUM(CF64:CF65)=OPT!CF66,"","CHK DILUTION")</f>
        <v/>
      </c>
      <c r="CG68" s="734" t="str">
        <f>IF(SUM(CG64:CG65)=OPT!CG66,"","CHK DILUTION")</f>
        <v/>
      </c>
      <c r="CH68" s="734" t="str">
        <f>IF(SUM(CH64:CH65)=OPT!CH66,"","CHK DILUTION")</f>
        <v/>
      </c>
      <c r="CI68" s="734"/>
      <c r="CJ68" s="734" t="str">
        <f>IF(SUM(CJ64:CJ65)=OPT!CJ66,"","CHK DILUTION")</f>
        <v/>
      </c>
      <c r="CK68" s="734" t="str">
        <f>IF(SUM(CK64:CK65)=OPT!CK66,"","CHK DILUTION")</f>
        <v/>
      </c>
      <c r="CL68" s="734" t="str">
        <f>IF(SUM(CL64:CL65)=OPT!CL66,"","CHK DILUTION")</f>
        <v/>
      </c>
      <c r="CM68" s="734" t="str">
        <f>IF(SUM(CM64:CM65)=OPT!CM66,"","CHK DILUTION")</f>
        <v/>
      </c>
      <c r="CN68" s="734"/>
      <c r="CO68" s="734" t="str">
        <f>IF(SUM(CO64:CO65)=OPT!CO66,"","CHK DILUTION")</f>
        <v/>
      </c>
      <c r="CP68" s="734" t="str">
        <f>IF(SUM(CP64:CP65)=OPT!CP66,"","CHK DILUTION")</f>
        <v/>
      </c>
      <c r="CQ68" s="734" t="str">
        <f>IF(SUM(CQ64:CQ65)=OPT!CQ66,"","CHK DILUTION")</f>
        <v/>
      </c>
      <c r="CR68" s="734" t="str">
        <f>IF(SUM(CR64:CR65)=OPT!CR66,"","CHK DILUTION")</f>
        <v/>
      </c>
      <c r="CS68" s="734"/>
      <c r="CT68" s="734" t="str">
        <f>IF(SUM(CT64:CT65)=OPT!CT66,"","CHK DILUTION")</f>
        <v/>
      </c>
      <c r="CU68" s="734"/>
      <c r="CV68" s="734" t="str">
        <f>IF(SUM(CV64:CV65)=OPT!CV66,"","CHK DILUTION")</f>
        <v/>
      </c>
      <c r="CW68" s="734" t="str">
        <f>IF(SUM(CW64:CW65)=OPT!CW66,"","CHK DILUTION")</f>
        <v/>
      </c>
      <c r="CX68" s="734" t="str">
        <f>IF(SUM(CX64:CX65)=OPT!CX66,"","CHK DILUTION")</f>
        <v/>
      </c>
      <c r="CY68" s="734" t="str">
        <f>IF(SUM(CY64:CY65)=OPT!CY66,"","CHK DILUTION")</f>
        <v/>
      </c>
      <c r="CZ68" s="734"/>
      <c r="DA68" s="734"/>
      <c r="DB68" s="734"/>
      <c r="DC68" s="734"/>
      <c r="DD68" s="734"/>
      <c r="DE68" s="734"/>
      <c r="DF68" s="734"/>
      <c r="DG68" s="734"/>
      <c r="DH68" s="734"/>
      <c r="DI68" s="734"/>
      <c r="DJ68" s="734"/>
      <c r="DK68" s="734"/>
      <c r="DL68" s="734"/>
      <c r="DM68" s="734"/>
      <c r="DN68" s="734"/>
      <c r="DO68" s="734"/>
      <c r="DP68" s="734"/>
      <c r="DQ68" s="734"/>
      <c r="DR68" s="734"/>
      <c r="DS68" s="734"/>
      <c r="DT68" s="734"/>
      <c r="DU68" s="734"/>
      <c r="DV68" s="734"/>
      <c r="DW68" s="734"/>
      <c r="DX68" s="734"/>
      <c r="DY68" s="734"/>
      <c r="DZ68" s="734"/>
      <c r="EA68" s="734"/>
      <c r="EB68" s="734"/>
      <c r="EC68" s="734"/>
      <c r="ED68" s="734"/>
      <c r="EE68" s="734"/>
      <c r="EF68" s="734"/>
      <c r="EG68" s="734"/>
      <c r="EH68" s="734"/>
      <c r="EI68" s="734"/>
      <c r="EJ68" s="734"/>
      <c r="EK68" s="734"/>
      <c r="EL68" s="734"/>
      <c r="EM68" s="734"/>
      <c r="EN68" s="734"/>
      <c r="EO68" s="734"/>
      <c r="EP68" s="734"/>
      <c r="EQ68" s="734"/>
      <c r="ER68" s="734"/>
      <c r="ES68" s="734"/>
      <c r="ET68" s="734"/>
      <c r="EU68" s="734"/>
      <c r="EV68" s="734"/>
      <c r="EW68" s="734"/>
      <c r="EX68" s="734"/>
      <c r="EY68" s="734"/>
      <c r="EZ68" s="734"/>
      <c r="FA68" s="734"/>
      <c r="FB68" s="734"/>
      <c r="FC68" s="734"/>
      <c r="FD68" s="734"/>
      <c r="FE68" s="734"/>
      <c r="FF68" s="734"/>
      <c r="FG68" s="734"/>
      <c r="FH68" s="734"/>
      <c r="FI68" s="734"/>
      <c r="FJ68" s="734"/>
      <c r="FK68" s="734"/>
      <c r="FL68" s="734"/>
      <c r="FM68" s="261"/>
      <c r="FN68" s="261"/>
      <c r="FO68" s="261"/>
      <c r="FP68" s="261"/>
      <c r="FQ68" s="261"/>
      <c r="FR68" s="261"/>
      <c r="FS68" s="261"/>
      <c r="FT68" s="261"/>
      <c r="FU68" s="261"/>
      <c r="FV68" s="261"/>
      <c r="FW68" s="261"/>
      <c r="FX68" s="261"/>
      <c r="FY68" s="261"/>
      <c r="FZ68" s="261"/>
      <c r="GA68" s="261"/>
      <c r="GB68" s="261"/>
      <c r="GC68" s="261"/>
      <c r="GD68" s="261"/>
      <c r="GE68" s="261"/>
      <c r="GF68" s="261"/>
      <c r="GG68" s="261"/>
      <c r="GH68" s="261"/>
      <c r="GI68" s="261"/>
      <c r="GJ68" s="261"/>
      <c r="GK68" s="261"/>
      <c r="GL68" s="261"/>
      <c r="GM68" s="261"/>
      <c r="GN68" s="261"/>
      <c r="GO68" s="261"/>
      <c r="GP68" s="261"/>
      <c r="GQ68" s="261"/>
      <c r="GR68" s="261"/>
      <c r="GS68" s="261"/>
      <c r="GT68" s="261"/>
      <c r="GU68" s="261"/>
      <c r="GV68" s="261"/>
      <c r="GW68" s="261"/>
      <c r="GX68" s="261"/>
      <c r="GY68" s="261"/>
      <c r="GZ68" s="261"/>
      <c r="HA68" s="261"/>
      <c r="HB68" s="261"/>
      <c r="HC68" s="261"/>
      <c r="HD68" s="261"/>
      <c r="HE68" s="261"/>
      <c r="HF68" s="261"/>
      <c r="HG68" s="261"/>
      <c r="HH68" s="261"/>
      <c r="HI68" s="261"/>
      <c r="HJ68" s="261"/>
      <c r="HK68" s="261"/>
      <c r="HL68" s="261"/>
      <c r="HM68" s="261"/>
      <c r="HN68" s="261"/>
      <c r="HO68" s="261"/>
      <c r="HP68" s="261"/>
      <c r="HQ68" s="261"/>
      <c r="HR68" s="261"/>
      <c r="HS68" s="261"/>
      <c r="HT68" s="261"/>
      <c r="HU68" s="261"/>
      <c r="HV68" s="261"/>
      <c r="HW68" s="261"/>
      <c r="HX68" s="261"/>
      <c r="HY68" s="261"/>
      <c r="HZ68" s="261"/>
      <c r="IA68" s="261"/>
      <c r="IB68" s="261"/>
      <c r="IC68" s="261"/>
      <c r="ID68" s="261"/>
      <c r="IE68" s="261"/>
      <c r="IF68" s="261"/>
      <c r="IG68" s="261"/>
      <c r="IH68" s="261"/>
      <c r="II68" s="261"/>
      <c r="IJ68" s="261"/>
      <c r="IK68" s="261"/>
      <c r="IL68" s="261"/>
      <c r="IM68" s="261"/>
      <c r="IN68" s="261"/>
      <c r="IO68" s="261"/>
      <c r="IP68" s="261"/>
      <c r="IQ68" s="261"/>
      <c r="IR68" s="261"/>
      <c r="IS68" s="261"/>
      <c r="IT68" s="261"/>
      <c r="IU68" s="261"/>
      <c r="IV68" s="261"/>
      <c r="IW68" s="261"/>
      <c r="IX68" s="261"/>
      <c r="IY68" s="261"/>
      <c r="IZ68" s="261"/>
      <c r="JA68" s="261"/>
      <c r="JB68" s="261"/>
      <c r="JC68" s="261"/>
      <c r="JD68" s="261"/>
      <c r="JE68" s="261"/>
      <c r="JF68" s="261"/>
      <c r="JG68" s="261"/>
      <c r="JH68" s="261"/>
      <c r="JI68" s="261"/>
      <c r="JJ68" s="261"/>
      <c r="JK68" s="261"/>
      <c r="JL68" s="261"/>
      <c r="JM68" s="261"/>
      <c r="JN68" s="261"/>
      <c r="JO68" s="261"/>
    </row>
    <row r="69" spans="1:275" ht="11.25" customHeight="1">
      <c r="DJ69" s="735"/>
      <c r="DK69" s="735"/>
      <c r="DL69" s="735"/>
    </row>
  </sheetData>
  <phoneticPr fontId="4" type="noConversion"/>
  <pageMargins left="0.1" right="0" top="0.25" bottom="0.25" header="0" footer="0"/>
  <pageSetup scale="50" orientation="landscape" r:id="rId1"/>
  <headerFooter alignWithMargins="0"/>
  <colBreaks count="2" manualBreakCount="2">
    <brk id="123" max="1048575" man="1"/>
    <brk id="124" max="1048575" man="1"/>
  </colBreak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indexed="12"/>
    <pageSetUpPr autoPageBreaks="0"/>
  </sheetPr>
  <dimension ref="A1:T62"/>
  <sheetViews>
    <sheetView workbookViewId="0">
      <pane xSplit="1" topLeftCell="B1" activePane="topRight" state="frozen"/>
      <selection activeCell="EC7" sqref="EC7"/>
      <selection pane="topRight" activeCell="B1" sqref="B1"/>
    </sheetView>
  </sheetViews>
  <sheetFormatPr defaultRowHeight="12.75" outlineLevelRow="1"/>
  <cols>
    <col min="1" max="1" width="46.42578125" style="261" customWidth="1"/>
    <col min="2" max="2" width="8.7109375" style="261" customWidth="1"/>
    <col min="3" max="3" width="9.28515625" style="261" customWidth="1"/>
    <col min="4" max="20" width="8.7109375" style="261" customWidth="1"/>
    <col min="21" max="21" width="1.7109375" style="261" customWidth="1"/>
    <col min="22" max="23" width="8.7109375" style="261" customWidth="1"/>
    <col min="24" max="24" width="5.28515625" style="261" customWidth="1"/>
    <col min="25" max="25" width="5" style="261" customWidth="1"/>
    <col min="26" max="28" width="8.7109375" style="261" customWidth="1"/>
    <col min="29" max="16384" width="9.140625" style="261"/>
  </cols>
  <sheetData>
    <row r="1" spans="1:20" ht="20.25">
      <c r="A1" s="736" t="str">
        <f>IS!A2</f>
        <v>Microsoft</v>
      </c>
      <c r="B1" s="737"/>
      <c r="C1" s="737"/>
      <c r="D1" s="737"/>
      <c r="E1" s="737"/>
      <c r="F1" s="737"/>
      <c r="G1" s="737"/>
      <c r="H1" s="737"/>
      <c r="I1" s="737"/>
      <c r="J1" s="737"/>
      <c r="K1" s="737"/>
      <c r="L1" s="737"/>
      <c r="M1" s="737"/>
      <c r="N1" s="737"/>
      <c r="O1" s="737"/>
      <c r="P1" s="737"/>
      <c r="Q1" s="737"/>
      <c r="R1" s="737"/>
      <c r="S1" s="737"/>
      <c r="T1" s="737"/>
    </row>
    <row r="2" spans="1:20" ht="20.25">
      <c r="A2" s="738" t="s">
        <v>10</v>
      </c>
      <c r="B2" s="739"/>
      <c r="C2" s="739"/>
      <c r="D2" s="739"/>
      <c r="E2" s="739"/>
      <c r="F2" s="739"/>
      <c r="G2" s="739"/>
      <c r="H2" s="739"/>
      <c r="I2" s="739"/>
      <c r="J2" s="739"/>
      <c r="K2" s="739"/>
      <c r="L2" s="739"/>
      <c r="M2" s="739"/>
      <c r="N2" s="739"/>
      <c r="O2" s="739"/>
      <c r="P2" s="739"/>
      <c r="Q2" s="739"/>
      <c r="R2" s="739"/>
      <c r="S2" s="739"/>
      <c r="T2" s="739"/>
    </row>
    <row r="3" spans="1:20" ht="5.25" customHeight="1">
      <c r="A3" s="740"/>
      <c r="B3" s="741"/>
      <c r="C3" s="742"/>
      <c r="D3" s="741"/>
      <c r="E3" s="741"/>
      <c r="F3" s="741"/>
      <c r="G3" s="741"/>
      <c r="H3" s="741"/>
      <c r="I3" s="742"/>
      <c r="J3" s="741"/>
      <c r="K3" s="741"/>
      <c r="L3" s="741"/>
      <c r="M3" s="741"/>
      <c r="N3" s="741"/>
      <c r="O3" s="741"/>
      <c r="P3" s="741"/>
      <c r="Q3" s="741"/>
      <c r="R3" s="741"/>
      <c r="S3" s="741"/>
      <c r="T3" s="741"/>
    </row>
    <row r="4" spans="1:20" ht="13.5" thickBot="1">
      <c r="A4" s="743" t="s">
        <v>11</v>
      </c>
      <c r="B4" s="744"/>
      <c r="C4" s="744"/>
      <c r="D4" s="744"/>
      <c r="E4" s="744"/>
      <c r="F4" s="744"/>
      <c r="G4" s="744"/>
      <c r="H4" s="744"/>
      <c r="I4" s="744"/>
      <c r="J4" s="744"/>
      <c r="K4" s="744"/>
      <c r="L4" s="744"/>
      <c r="M4" s="744"/>
      <c r="N4" s="744"/>
      <c r="O4" s="744"/>
      <c r="P4" s="744"/>
      <c r="Q4" s="744"/>
      <c r="R4" s="744"/>
      <c r="S4" s="744"/>
      <c r="T4" s="744"/>
    </row>
    <row r="5" spans="1:20" hidden="1" outlineLevel="1">
      <c r="A5" s="808" t="s">
        <v>663</v>
      </c>
      <c r="B5" s="809">
        <v>43100</v>
      </c>
      <c r="C5" s="744"/>
      <c r="D5" s="744"/>
      <c r="E5" s="744"/>
      <c r="F5" s="744"/>
      <c r="G5" s="744"/>
      <c r="H5" s="744"/>
      <c r="I5" s="744"/>
      <c r="J5" s="744"/>
      <c r="K5" s="744"/>
      <c r="L5" s="744"/>
      <c r="M5" s="744"/>
      <c r="N5" s="744"/>
      <c r="O5" s="744"/>
      <c r="P5" s="744"/>
      <c r="Q5" s="744"/>
      <c r="R5" s="744"/>
      <c r="S5" s="744"/>
      <c r="T5" s="744"/>
    </row>
    <row r="6" spans="1:20" hidden="1" outlineLevel="1">
      <c r="A6" s="808" t="s">
        <v>682</v>
      </c>
      <c r="B6" s="809">
        <f ca="1">TODAY()</f>
        <v>43217</v>
      </c>
      <c r="C6" s="744"/>
      <c r="D6" s="744"/>
      <c r="E6" s="744"/>
      <c r="F6" s="744"/>
      <c r="G6" s="744"/>
      <c r="H6" s="744"/>
      <c r="I6" s="744"/>
      <c r="M6" s="744"/>
      <c r="N6" s="744"/>
      <c r="O6" s="744"/>
      <c r="P6" s="744"/>
      <c r="Q6" s="744"/>
      <c r="R6" s="744"/>
      <c r="S6" s="744"/>
      <c r="T6" s="744"/>
    </row>
    <row r="7" spans="1:20" hidden="1" outlineLevel="1">
      <c r="A7" s="808" t="s">
        <v>683</v>
      </c>
      <c r="B7" s="810">
        <f ca="1">B6-B5</f>
        <v>117</v>
      </c>
      <c r="C7" s="744"/>
      <c r="D7" s="744"/>
      <c r="E7" s="744"/>
      <c r="F7" s="744"/>
      <c r="G7" s="744"/>
      <c r="H7" s="744"/>
      <c r="I7" s="744"/>
      <c r="J7" s="744"/>
      <c r="K7" s="744"/>
      <c r="L7" s="744"/>
      <c r="M7" s="744"/>
      <c r="N7" s="744"/>
      <c r="O7" s="744"/>
      <c r="P7" s="744"/>
      <c r="Q7" s="744"/>
      <c r="R7" s="744"/>
      <c r="S7" s="744"/>
      <c r="T7" s="744"/>
    </row>
    <row r="8" spans="1:20" hidden="1" outlineLevel="1">
      <c r="A8" s="808" t="s">
        <v>684</v>
      </c>
      <c r="B8" s="810">
        <f ca="1">(B5+365)-B6</f>
        <v>248</v>
      </c>
      <c r="C8" s="744"/>
      <c r="I8" s="744"/>
      <c r="J8" s="744"/>
      <c r="K8" s="744"/>
      <c r="L8" s="744"/>
      <c r="M8" s="744"/>
      <c r="N8" s="744"/>
      <c r="O8" s="744"/>
      <c r="P8" s="744"/>
      <c r="Q8" s="744"/>
      <c r="R8" s="744"/>
      <c r="S8" s="744"/>
      <c r="T8" s="744"/>
    </row>
    <row r="9" spans="1:20" ht="13.5" hidden="1" outlineLevel="1" thickBot="1">
      <c r="A9" s="808"/>
      <c r="B9" s="810"/>
      <c r="C9" s="744"/>
      <c r="D9" s="747"/>
      <c r="E9" s="748"/>
      <c r="F9" s="748"/>
      <c r="G9" s="749"/>
      <c r="H9" s="750"/>
      <c r="I9" s="744"/>
      <c r="J9" s="744"/>
      <c r="K9" s="744"/>
      <c r="L9" s="744"/>
      <c r="M9" s="744"/>
      <c r="N9" s="744"/>
      <c r="O9" s="744"/>
      <c r="P9" s="744"/>
      <c r="Q9" s="744"/>
      <c r="R9" s="744"/>
      <c r="S9" s="744"/>
      <c r="T9" s="744"/>
    </row>
    <row r="10" spans="1:20" collapsed="1">
      <c r="A10" s="745"/>
      <c r="B10" s="746"/>
      <c r="C10" s="744"/>
      <c r="D10" s="98" t="s">
        <v>1148</v>
      </c>
      <c r="E10" s="99"/>
      <c r="F10" s="99"/>
      <c r="G10" s="100">
        <f ca="1">G14*(1+B20)</f>
        <v>130.23093620721988</v>
      </c>
      <c r="H10" s="101"/>
      <c r="I10" s="744"/>
      <c r="J10" s="744"/>
      <c r="K10" s="744"/>
      <c r="L10" s="744"/>
      <c r="M10" s="744"/>
      <c r="N10" s="744"/>
      <c r="O10" s="744"/>
      <c r="P10" s="744"/>
      <c r="Q10" s="744"/>
      <c r="R10" s="744"/>
      <c r="S10" s="744"/>
      <c r="T10" s="744"/>
    </row>
    <row r="11" spans="1:20" ht="13.5" thickBot="1">
      <c r="A11" s="751"/>
      <c r="B11" s="752"/>
      <c r="C11" s="744"/>
      <c r="D11" s="102" t="s">
        <v>12</v>
      </c>
      <c r="E11" s="103"/>
      <c r="F11" s="103"/>
      <c r="G11" s="104">
        <f ca="1">((G10-G15)/G15)</f>
        <v>0.3708519600759988</v>
      </c>
      <c r="H11" s="105"/>
      <c r="I11" s="744"/>
      <c r="J11" s="744"/>
      <c r="K11" s="744"/>
      <c r="L11" s="744"/>
      <c r="M11" s="744"/>
      <c r="N11" s="744"/>
      <c r="O11" s="744"/>
      <c r="P11" s="744"/>
      <c r="Q11" s="744"/>
      <c r="R11" s="744"/>
      <c r="S11" s="744"/>
      <c r="T11" s="744"/>
    </row>
    <row r="12" spans="1:20" ht="5.25" customHeight="1" thickBot="1">
      <c r="A12" s="740"/>
      <c r="B12" s="741"/>
      <c r="C12" s="742"/>
      <c r="D12" s="741"/>
      <c r="E12" s="741"/>
      <c r="F12" s="741"/>
      <c r="G12" s="741"/>
      <c r="H12" s="741"/>
      <c r="I12" s="742"/>
      <c r="J12" s="741"/>
      <c r="K12" s="741"/>
      <c r="L12" s="741"/>
      <c r="M12" s="741"/>
      <c r="N12" s="741"/>
      <c r="O12" s="741"/>
      <c r="P12" s="741"/>
      <c r="Q12" s="741"/>
      <c r="R12" s="741"/>
      <c r="S12" s="741"/>
      <c r="T12" s="741"/>
    </row>
    <row r="13" spans="1:20" ht="11.25" customHeight="1" thickBot="1">
      <c r="A13" s="803" t="s">
        <v>13</v>
      </c>
      <c r="B13" s="807"/>
      <c r="C13" s="755"/>
      <c r="D13" s="803" t="s">
        <v>738</v>
      </c>
      <c r="E13" s="804"/>
      <c r="F13" s="804"/>
      <c r="G13" s="805" t="s">
        <v>14</v>
      </c>
      <c r="H13" s="806" t="s">
        <v>15</v>
      </c>
      <c r="I13" s="756"/>
      <c r="J13" s="744"/>
      <c r="K13" s="757"/>
      <c r="L13" s="757"/>
      <c r="M13" s="757"/>
      <c r="N13" s="757"/>
      <c r="O13" s="757"/>
      <c r="P13" s="757"/>
      <c r="Q13" s="757"/>
      <c r="R13" s="757"/>
      <c r="S13" s="757"/>
      <c r="T13" s="757"/>
    </row>
    <row r="14" spans="1:20">
      <c r="A14" s="758" t="s">
        <v>16</v>
      </c>
      <c r="B14" s="759">
        <v>1.1499999999999999</v>
      </c>
      <c r="C14" s="760"/>
      <c r="D14" s="761" t="s">
        <v>17</v>
      </c>
      <c r="E14" s="747"/>
      <c r="F14" s="747"/>
      <c r="G14" s="749">
        <f ca="1">G24/G25</f>
        <v>119.56293346849357</v>
      </c>
      <c r="H14" s="762"/>
      <c r="I14" s="763"/>
      <c r="J14" s="744"/>
      <c r="K14" s="744"/>
      <c r="L14" s="764"/>
      <c r="M14" s="757"/>
      <c r="N14" s="757"/>
      <c r="O14" s="757"/>
      <c r="P14" s="757"/>
      <c r="Q14" s="757"/>
      <c r="R14" s="757"/>
      <c r="S14" s="757"/>
      <c r="T14" s="757"/>
    </row>
    <row r="15" spans="1:20">
      <c r="A15" s="765" t="s">
        <v>18</v>
      </c>
      <c r="B15" s="766">
        <f>+B14</f>
        <v>1.1499999999999999</v>
      </c>
      <c r="C15" s="760"/>
      <c r="D15" s="767" t="s">
        <v>757</v>
      </c>
      <c r="E15" s="768"/>
      <c r="F15" s="768"/>
      <c r="G15" s="769">
        <v>95</v>
      </c>
      <c r="H15" s="894"/>
      <c r="I15" s="763"/>
      <c r="J15" s="757"/>
      <c r="K15" s="757"/>
      <c r="L15" s="757"/>
      <c r="M15" s="757"/>
      <c r="N15" s="757"/>
      <c r="O15" s="757"/>
      <c r="P15" s="757"/>
      <c r="Q15" s="757"/>
      <c r="R15" s="757"/>
      <c r="S15" s="757"/>
      <c r="T15" s="757"/>
    </row>
    <row r="16" spans="1:20">
      <c r="A16" s="770" t="s">
        <v>19</v>
      </c>
      <c r="B16" s="771">
        <f>B17+B18</f>
        <v>8.1499999999999989E-2</v>
      </c>
      <c r="C16" s="760"/>
      <c r="D16" s="767" t="s">
        <v>12</v>
      </c>
      <c r="E16" s="768"/>
      <c r="F16" s="768"/>
      <c r="G16" s="772">
        <f ca="1">((G14-G15)/G15)</f>
        <v>0.25855719440519548</v>
      </c>
      <c r="H16" s="762"/>
      <c r="I16" s="763"/>
      <c r="J16" s="744"/>
      <c r="K16" s="744"/>
      <c r="L16" s="744"/>
      <c r="M16" s="744"/>
      <c r="N16" s="744"/>
      <c r="O16" s="744"/>
      <c r="P16" s="744"/>
      <c r="Q16" s="744"/>
      <c r="R16" s="744"/>
      <c r="S16" s="744"/>
      <c r="T16" s="744"/>
    </row>
    <row r="17" spans="1:20">
      <c r="A17" s="770" t="s">
        <v>20</v>
      </c>
      <c r="B17" s="771">
        <v>0.03</v>
      </c>
      <c r="C17" s="760"/>
      <c r="D17" s="767"/>
      <c r="E17" s="768"/>
      <c r="F17" s="768"/>
      <c r="G17" s="769"/>
      <c r="H17" s="762"/>
      <c r="I17" s="763"/>
      <c r="J17" s="744"/>
      <c r="K17" s="744"/>
      <c r="L17" s="1234"/>
      <c r="M17" s="744"/>
      <c r="N17" s="744"/>
      <c r="O17" s="744"/>
      <c r="P17" s="744"/>
      <c r="Q17" s="744"/>
      <c r="R17" s="744"/>
      <c r="S17" s="744"/>
      <c r="T17" s="744"/>
    </row>
    <row r="18" spans="1:20">
      <c r="A18" s="770" t="s">
        <v>21</v>
      </c>
      <c r="B18" s="773">
        <v>5.1499999999999997E-2</v>
      </c>
      <c r="C18" s="760"/>
      <c r="D18" s="767" t="s">
        <v>22</v>
      </c>
      <c r="E18" s="768"/>
      <c r="F18" s="768"/>
      <c r="G18" s="774">
        <v>2018</v>
      </c>
      <c r="H18" s="762"/>
      <c r="I18" s="763"/>
      <c r="J18" s="757"/>
      <c r="K18" s="744"/>
      <c r="L18" s="757"/>
      <c r="M18" s="757"/>
      <c r="N18" s="757"/>
      <c r="O18" s="757"/>
      <c r="P18" s="757"/>
      <c r="Q18" s="757"/>
      <c r="R18" s="757"/>
      <c r="S18" s="757"/>
      <c r="T18" s="757"/>
    </row>
    <row r="19" spans="1:20">
      <c r="A19" s="765" t="s">
        <v>23</v>
      </c>
      <c r="B19" s="775">
        <f>B18</f>
        <v>5.1499999999999997E-2</v>
      </c>
      <c r="C19" s="760"/>
      <c r="D19" s="767" t="s">
        <v>24</v>
      </c>
      <c r="E19" s="768"/>
      <c r="F19" s="768"/>
      <c r="G19" s="776">
        <f ca="1">G20+G21</f>
        <v>873942.50345343887</v>
      </c>
      <c r="H19" s="773">
        <f t="shared" ref="H19:H24" ca="1" si="0">G19/$G$24</f>
        <v>0.93783383711918733</v>
      </c>
      <c r="I19" s="763"/>
      <c r="J19" s="744"/>
      <c r="K19" s="744"/>
      <c r="L19" s="757"/>
      <c r="M19" s="757"/>
      <c r="N19" s="757"/>
      <c r="O19" s="757"/>
      <c r="P19" s="757"/>
      <c r="Q19" s="757"/>
      <c r="R19" s="757"/>
      <c r="S19" s="757"/>
      <c r="T19" s="757"/>
    </row>
    <row r="20" spans="1:20">
      <c r="A20" s="770" t="s">
        <v>538</v>
      </c>
      <c r="B20" s="773">
        <f>B17+B15*B19</f>
        <v>8.9224999999999999E-2</v>
      </c>
      <c r="C20" s="760"/>
      <c r="D20" s="767" t="s">
        <v>25</v>
      </c>
      <c r="E20" s="768"/>
      <c r="F20" s="768"/>
      <c r="G20" s="776">
        <f ca="1">SUM(B42:R42)</f>
        <v>321501.59094421443</v>
      </c>
      <c r="H20" s="773">
        <f t="shared" ca="1" si="0"/>
        <v>0.34500561476719599</v>
      </c>
      <c r="I20" s="763"/>
      <c r="J20" s="757"/>
      <c r="K20" s="757"/>
      <c r="L20" s="757"/>
      <c r="M20" s="757"/>
      <c r="N20" s="757"/>
      <c r="O20" s="757"/>
      <c r="P20" s="757"/>
      <c r="Q20" s="757"/>
      <c r="R20" s="757"/>
      <c r="S20" s="757"/>
      <c r="T20" s="757"/>
    </row>
    <row r="21" spans="1:20">
      <c r="A21" s="770" t="s">
        <v>37</v>
      </c>
      <c r="B21" s="771">
        <v>0.04</v>
      </c>
      <c r="C21" s="760"/>
      <c r="D21" s="767" t="s">
        <v>38</v>
      </c>
      <c r="E21" s="768"/>
      <c r="F21" s="768"/>
      <c r="G21" s="776">
        <f ca="1">((R41/(B25-B26))/((1+B25)^((R29+1-G18)-(B7/365))))</f>
        <v>552440.91250922449</v>
      </c>
      <c r="H21" s="773">
        <f t="shared" ca="1" si="0"/>
        <v>0.5928282223519914</v>
      </c>
      <c r="I21" s="763"/>
      <c r="J21" s="757"/>
      <c r="K21" s="757"/>
      <c r="L21" s="757"/>
      <c r="M21" s="757"/>
      <c r="N21" s="757"/>
      <c r="O21" s="757"/>
      <c r="P21" s="757"/>
      <c r="Q21" s="757"/>
      <c r="R21" s="757"/>
      <c r="S21" s="757"/>
      <c r="T21" s="757"/>
    </row>
    <row r="22" spans="1:20">
      <c r="A22" s="770" t="s">
        <v>150</v>
      </c>
      <c r="B22" s="777">
        <v>0.20499999999999999</v>
      </c>
      <c r="C22" s="760"/>
      <c r="D22" s="767" t="s">
        <v>39</v>
      </c>
      <c r="E22" s="768"/>
      <c r="F22" s="768"/>
      <c r="G22" s="778">
        <f>BS!EU8+BS!EU9+BS!EU16</f>
        <v>135088</v>
      </c>
      <c r="H22" s="773">
        <f t="shared" ca="1" si="0"/>
        <v>0.14496388136305635</v>
      </c>
      <c r="I22" s="763"/>
      <c r="J22" s="744"/>
      <c r="K22" s="744"/>
      <c r="L22" s="744"/>
      <c r="M22" s="744"/>
      <c r="N22" s="744"/>
      <c r="O22" s="744"/>
      <c r="P22" s="744"/>
      <c r="Q22" s="744"/>
      <c r="R22" s="744"/>
      <c r="S22" s="744"/>
      <c r="T22" s="744"/>
    </row>
    <row r="23" spans="1:20">
      <c r="A23" s="770" t="s">
        <v>235</v>
      </c>
      <c r="B23" s="773">
        <f>B21*(1-B22)</f>
        <v>3.1800000000000002E-2</v>
      </c>
      <c r="C23" s="760"/>
      <c r="D23" s="767" t="s">
        <v>40</v>
      </c>
      <c r="E23" s="768"/>
      <c r="F23" s="768"/>
      <c r="G23" s="778">
        <f>BS!EU34 + BS!EU24</f>
        <v>77157</v>
      </c>
      <c r="H23" s="773">
        <f t="shared" ca="1" si="0"/>
        <v>8.2797718482243723E-2</v>
      </c>
      <c r="I23" s="763"/>
      <c r="J23" s="744"/>
      <c r="K23" s="744"/>
      <c r="L23" s="744"/>
      <c r="M23" s="744"/>
      <c r="N23" s="744"/>
      <c r="O23" s="744"/>
      <c r="P23" s="744"/>
      <c r="Q23" s="744"/>
      <c r="R23" s="744"/>
      <c r="S23" s="744"/>
      <c r="T23" s="744"/>
    </row>
    <row r="24" spans="1:20">
      <c r="A24" s="770" t="s">
        <v>41</v>
      </c>
      <c r="B24" s="773">
        <f>G23/(G25*G15)</f>
        <v>0.10420566427616385</v>
      </c>
      <c r="C24" s="760"/>
      <c r="D24" s="767" t="s">
        <v>627</v>
      </c>
      <c r="E24" s="768"/>
      <c r="F24" s="768"/>
      <c r="G24" s="776">
        <f ca="1">G19+G22-G23</f>
        <v>931873.50345343887</v>
      </c>
      <c r="H24" s="773">
        <f t="shared" ca="1" si="0"/>
        <v>1</v>
      </c>
      <c r="I24" s="763"/>
      <c r="J24" s="744"/>
      <c r="K24" s="744"/>
      <c r="L24" s="744"/>
      <c r="M24" s="744"/>
      <c r="N24" s="744"/>
      <c r="O24" s="744"/>
      <c r="P24" s="744"/>
      <c r="Q24" s="744"/>
      <c r="R24" s="744"/>
      <c r="S24" s="744"/>
      <c r="T24" s="744"/>
    </row>
    <row r="25" spans="1:20" ht="13.5" thickBot="1">
      <c r="A25" s="765" t="s">
        <v>458</v>
      </c>
      <c r="B25" s="779">
        <f>B23*B24+B20*(1-B24)</f>
        <v>8.3240989728941298E-2</v>
      </c>
      <c r="C25" s="760"/>
      <c r="D25" s="753" t="s">
        <v>42</v>
      </c>
      <c r="E25" s="754"/>
      <c r="F25" s="754"/>
      <c r="G25" s="780">
        <f>IS!EU90</f>
        <v>7794</v>
      </c>
      <c r="H25" s="781"/>
      <c r="I25" s="760"/>
      <c r="J25" s="744"/>
      <c r="K25" s="744"/>
      <c r="L25" s="744"/>
      <c r="M25" s="744"/>
      <c r="N25" s="744"/>
      <c r="O25" s="744"/>
      <c r="P25" s="744"/>
      <c r="Q25" s="744"/>
      <c r="R25" s="744"/>
      <c r="S25" s="744"/>
      <c r="T25" s="744"/>
    </row>
    <row r="26" spans="1:20">
      <c r="A26" s="765" t="s">
        <v>43</v>
      </c>
      <c r="B26" s="775">
        <v>0.03</v>
      </c>
      <c r="C26" s="760"/>
      <c r="D26" s="760"/>
      <c r="E26" s="760"/>
      <c r="F26" s="760"/>
      <c r="G26" s="760"/>
      <c r="H26" s="760"/>
      <c r="I26" s="760"/>
      <c r="J26" s="744"/>
      <c r="K26" s="744"/>
      <c r="L26" s="744"/>
      <c r="M26" s="744"/>
      <c r="N26" s="744"/>
      <c r="O26" s="744"/>
      <c r="P26" s="744"/>
      <c r="Q26" s="744"/>
      <c r="R26" s="744"/>
      <c r="S26" s="744"/>
      <c r="T26" s="744"/>
    </row>
    <row r="27" spans="1:20" ht="13.5" thickBot="1">
      <c r="A27" s="782" t="s">
        <v>44</v>
      </c>
      <c r="B27" s="783">
        <f>(C41/(B25-B26))/C41</f>
        <v>18.782520856414685</v>
      </c>
      <c r="C27" s="784"/>
      <c r="D27" s="760"/>
      <c r="E27" s="760"/>
      <c r="F27" s="760"/>
      <c r="G27" s="785"/>
      <c r="H27" s="785"/>
      <c r="I27" s="785"/>
      <c r="J27" s="744"/>
      <c r="K27" s="744"/>
      <c r="L27" s="744"/>
      <c r="M27" s="744"/>
      <c r="N27" s="744"/>
      <c r="O27" s="744"/>
      <c r="P27" s="744"/>
      <c r="Q27" s="744"/>
      <c r="R27" s="744"/>
      <c r="S27" s="744"/>
      <c r="T27" s="744"/>
    </row>
    <row r="28" spans="1:20" ht="4.5" customHeight="1">
      <c r="A28" s="786"/>
      <c r="B28" s="772"/>
      <c r="C28" s="760"/>
      <c r="D28" s="760"/>
      <c r="E28" s="760"/>
      <c r="F28" s="760"/>
      <c r="G28" s="760"/>
      <c r="H28" s="760"/>
      <c r="I28" s="760"/>
      <c r="J28" s="744"/>
      <c r="K28" s="744"/>
      <c r="L28" s="744"/>
      <c r="M28" s="744"/>
      <c r="N28" s="744"/>
      <c r="O28" s="744"/>
      <c r="P28" s="744"/>
      <c r="Q28" s="744"/>
      <c r="R28" s="744"/>
      <c r="S28" s="744"/>
      <c r="T28" s="744"/>
    </row>
    <row r="29" spans="1:20" ht="12.75" hidden="1" customHeight="1" outlineLevel="1">
      <c r="A29" s="786"/>
      <c r="B29" s="787"/>
      <c r="C29" s="787">
        <v>2012</v>
      </c>
      <c r="D29" s="787">
        <f t="shared" ref="D29:L29" si="1">C29+1</f>
        <v>2013</v>
      </c>
      <c r="E29" s="787">
        <f t="shared" si="1"/>
        <v>2014</v>
      </c>
      <c r="F29" s="787">
        <f t="shared" si="1"/>
        <v>2015</v>
      </c>
      <c r="G29" s="787">
        <f t="shared" si="1"/>
        <v>2016</v>
      </c>
      <c r="H29" s="787">
        <f t="shared" si="1"/>
        <v>2017</v>
      </c>
      <c r="I29" s="787">
        <f t="shared" si="1"/>
        <v>2018</v>
      </c>
      <c r="J29" s="787">
        <f t="shared" si="1"/>
        <v>2019</v>
      </c>
      <c r="K29" s="787">
        <f t="shared" si="1"/>
        <v>2020</v>
      </c>
      <c r="L29" s="787">
        <f t="shared" si="1"/>
        <v>2021</v>
      </c>
      <c r="M29" s="787">
        <f t="shared" ref="M29:R29" si="2">L29+1</f>
        <v>2022</v>
      </c>
      <c r="N29" s="787">
        <f t="shared" si="2"/>
        <v>2023</v>
      </c>
      <c r="O29" s="787">
        <f t="shared" si="2"/>
        <v>2024</v>
      </c>
      <c r="P29" s="787">
        <f t="shared" si="2"/>
        <v>2025</v>
      </c>
      <c r="Q29" s="787">
        <f t="shared" si="2"/>
        <v>2026</v>
      </c>
      <c r="R29" s="787">
        <f t="shared" si="2"/>
        <v>2027</v>
      </c>
      <c r="S29" s="787"/>
    </row>
    <row r="30" spans="1:20" collapsed="1">
      <c r="A30" s="788"/>
      <c r="B30" s="789" t="s">
        <v>68</v>
      </c>
      <c r="C30" s="789" t="s">
        <v>180</v>
      </c>
      <c r="D30" s="789" t="s">
        <v>27</v>
      </c>
      <c r="E30" s="789" t="s">
        <v>1006</v>
      </c>
      <c r="F30" s="789" t="s">
        <v>1030</v>
      </c>
      <c r="G30" s="789" t="s">
        <v>1412</v>
      </c>
      <c r="H30" s="789" t="s">
        <v>1443</v>
      </c>
      <c r="I30" s="789" t="s">
        <v>642</v>
      </c>
      <c r="J30" s="789" t="s">
        <v>888</v>
      </c>
      <c r="K30" s="789" t="s">
        <v>889</v>
      </c>
      <c r="L30" s="789" t="s">
        <v>472</v>
      </c>
      <c r="M30" s="789" t="s">
        <v>713</v>
      </c>
      <c r="N30" s="789" t="s">
        <v>714</v>
      </c>
      <c r="O30" s="789" t="s">
        <v>1145</v>
      </c>
      <c r="P30" s="789" t="s">
        <v>1146</v>
      </c>
      <c r="Q30" s="789" t="s">
        <v>1147</v>
      </c>
      <c r="R30" s="789" t="s">
        <v>1467</v>
      </c>
    </row>
    <row r="31" spans="1:20" ht="11.25" customHeight="1">
      <c r="A31" s="811" t="s">
        <v>46</v>
      </c>
      <c r="B31" s="812"/>
      <c r="C31" s="812"/>
      <c r="D31" s="812"/>
      <c r="E31" s="812"/>
      <c r="F31" s="812"/>
      <c r="G31" s="812"/>
      <c r="H31" s="812"/>
      <c r="I31" s="812"/>
      <c r="J31" s="812"/>
      <c r="K31" s="812"/>
      <c r="L31" s="812"/>
      <c r="M31" s="812"/>
      <c r="N31" s="812"/>
      <c r="O31" s="812"/>
      <c r="P31" s="812"/>
      <c r="Q31" s="812"/>
      <c r="R31" s="812"/>
    </row>
    <row r="32" spans="1:20">
      <c r="A32" s="790" t="s">
        <v>537</v>
      </c>
      <c r="B32" s="2535">
        <f>IS!FZ8</f>
        <v>72050.44</v>
      </c>
      <c r="C32" s="2535">
        <f>IS!GA8</f>
        <v>72930</v>
      </c>
      <c r="D32" s="2535">
        <f>IS!GB8</f>
        <v>83433</v>
      </c>
      <c r="E32" s="2535">
        <f>IS!GC8</f>
        <v>93130</v>
      </c>
      <c r="F32" s="2535">
        <f>IS!GD8</f>
        <v>90072</v>
      </c>
      <c r="G32" s="2535">
        <f>IS!GE8</f>
        <v>92745</v>
      </c>
      <c r="H32" s="2535">
        <f>IS!GF8</f>
        <v>102273</v>
      </c>
      <c r="I32" s="2535">
        <f>IS!GG8</f>
        <v>115949.63612456943</v>
      </c>
      <c r="J32" s="2535">
        <f>IS!GH8</f>
        <v>129332.75903797119</v>
      </c>
      <c r="K32" s="2535">
        <f t="shared" ref="K32:R32" si="3">J32*(1+K47)</f>
        <v>142967.2593286121</v>
      </c>
      <c r="L32" s="2535">
        <f t="shared" si="3"/>
        <v>156609.46143565458</v>
      </c>
      <c r="M32" s="2535">
        <f t="shared" si="3"/>
        <v>169987.33325678454</v>
      </c>
      <c r="N32" s="2535">
        <f t="shared" si="3"/>
        <v>182808.09446748343</v>
      </c>
      <c r="O32" s="2535">
        <f t="shared" si="3"/>
        <v>194767.74041778856</v>
      </c>
      <c r="P32" s="2535">
        <f t="shared" si="3"/>
        <v>205562.13127225672</v>
      </c>
      <c r="Q32" s="2535">
        <f t="shared" si="3"/>
        <v>214899.14605558637</v>
      </c>
      <c r="R32" s="2535">
        <f t="shared" si="3"/>
        <v>222511.27397644226</v>
      </c>
    </row>
    <row r="33" spans="1:18">
      <c r="A33" s="791" t="s">
        <v>47</v>
      </c>
      <c r="B33" s="2536">
        <f t="shared" ref="B33:N33" si="4">B32*B56</f>
        <v>27075.440000000002</v>
      </c>
      <c r="C33" s="2536">
        <f t="shared" si="4"/>
        <v>25838</v>
      </c>
      <c r="D33" s="2536">
        <f t="shared" si="4"/>
        <v>28721.000000000004</v>
      </c>
      <c r="E33" s="2536">
        <f t="shared" si="4"/>
        <v>28260</v>
      </c>
      <c r="F33" s="2536">
        <f t="shared" si="4"/>
        <v>26973.999999999996</v>
      </c>
      <c r="G33" s="2536">
        <f t="shared" si="4"/>
        <v>28003</v>
      </c>
      <c r="H33" s="2536">
        <f>H32*H56</f>
        <v>31098.000000000004</v>
      </c>
      <c r="I33" s="2536">
        <f>I32*I56</f>
        <v>37100.896827214063</v>
      </c>
      <c r="J33" s="2536">
        <f>J32*J56</f>
        <v>43173.535539511067</v>
      </c>
      <c r="K33" s="2536">
        <f t="shared" si="4"/>
        <v>48082.388198625296</v>
      </c>
      <c r="L33" s="2536">
        <f t="shared" si="4"/>
        <v>53062.022869207576</v>
      </c>
      <c r="M33" s="2536">
        <f t="shared" si="4"/>
        <v>58019.648003584887</v>
      </c>
      <c r="N33" s="2536">
        <f t="shared" si="4"/>
        <v>62852.618131614596</v>
      </c>
      <c r="O33" s="2536">
        <f>O32*O56</f>
        <v>67451.472799820549</v>
      </c>
      <c r="P33" s="2536">
        <f>P32*P56</f>
        <v>71703.664353168555</v>
      </c>
      <c r="Q33" s="2536">
        <f>Q32*Q56</f>
        <v>75497.826173912152</v>
      </c>
      <c r="R33" s="2536">
        <f>R32*R56</f>
        <v>78728.377947793939</v>
      </c>
    </row>
    <row r="34" spans="1:18">
      <c r="A34" s="791" t="s">
        <v>48</v>
      </c>
      <c r="B34" s="2536">
        <f t="shared" ref="B34:N34" si="5">B33*(1-B57)</f>
        <v>22783.166480451415</v>
      </c>
      <c r="C34" s="2536">
        <f t="shared" si="5"/>
        <v>21337.365116899957</v>
      </c>
      <c r="D34" s="2536">
        <f t="shared" si="5"/>
        <v>23517.334271908785</v>
      </c>
      <c r="E34" s="2536">
        <f t="shared" si="5"/>
        <v>21460.086424957841</v>
      </c>
      <c r="F34" s="2536">
        <f t="shared" si="5"/>
        <v>21625.733001534256</v>
      </c>
      <c r="G34" s="2536">
        <f t="shared" si="5"/>
        <v>22153.777270733088</v>
      </c>
      <c r="H34" s="2536">
        <f>H33*(1-H57)</f>
        <v>26660.621205130574</v>
      </c>
      <c r="I34" s="2536">
        <f>I33*(1-I57)</f>
        <v>30529.242924184233</v>
      </c>
      <c r="J34" s="2536">
        <f>J33*(1-J57)</f>
        <v>34430.894592760073</v>
      </c>
      <c r="K34" s="2536">
        <f t="shared" si="5"/>
        <v>38465.910558900236</v>
      </c>
      <c r="L34" s="2536">
        <f t="shared" si="5"/>
        <v>42449.618295366061</v>
      </c>
      <c r="M34" s="2536">
        <f t="shared" si="5"/>
        <v>46415.718402867911</v>
      </c>
      <c r="N34" s="2536">
        <f t="shared" si="5"/>
        <v>50282.09450529168</v>
      </c>
      <c r="O34" s="2536">
        <f>O33*(1-O57)</f>
        <v>53961.178239856439</v>
      </c>
      <c r="P34" s="2536">
        <f>P33*(1-P57)</f>
        <v>57362.931482534848</v>
      </c>
      <c r="Q34" s="2536">
        <f>Q33*(1-Q57)</f>
        <v>60398.260939129723</v>
      </c>
      <c r="R34" s="2536">
        <f>R33*(1-R57)</f>
        <v>62982.702358235154</v>
      </c>
    </row>
    <row r="35" spans="1:18" ht="3" customHeight="1">
      <c r="A35" s="792"/>
      <c r="B35" s="2536"/>
      <c r="C35" s="2536"/>
      <c r="D35" s="2536"/>
      <c r="E35" s="2536"/>
      <c r="F35" s="2536"/>
      <c r="G35" s="2536"/>
      <c r="H35" s="2536"/>
      <c r="I35" s="2536"/>
      <c r="J35" s="2536"/>
      <c r="K35" s="2536"/>
      <c r="L35" s="2536"/>
      <c r="M35" s="2536"/>
      <c r="N35" s="2536"/>
      <c r="O35" s="2536"/>
      <c r="P35" s="2536"/>
      <c r="Q35" s="2536"/>
      <c r="R35" s="2536"/>
    </row>
    <row r="36" spans="1:18">
      <c r="A36" s="793" t="s">
        <v>49</v>
      </c>
      <c r="B36" s="2536">
        <f>CF!GA8</f>
        <v>2813</v>
      </c>
      <c r="C36" s="2536">
        <f>CF!GB8</f>
        <v>3282</v>
      </c>
      <c r="D36" s="2536">
        <f>CF!GC8</f>
        <v>4251</v>
      </c>
      <c r="E36" s="2536">
        <f>CF!GD8</f>
        <v>5946</v>
      </c>
      <c r="F36" s="2536">
        <f>CF!GE8</f>
        <v>6013</v>
      </c>
      <c r="G36" s="2536">
        <f>CF!GF8</f>
        <v>7599</v>
      </c>
      <c r="H36" s="2536">
        <f>CF!GG8</f>
        <v>9831</v>
      </c>
      <c r="I36" s="2536">
        <f>CF!GH8</f>
        <v>10948.009828999999</v>
      </c>
      <c r="J36" s="2536">
        <f>CF!GI8</f>
        <v>11289.463741488531</v>
      </c>
      <c r="K36" s="2536">
        <f t="shared" ref="K36:R37" si="6">J36*(1+K50)</f>
        <v>12418.410115637385</v>
      </c>
      <c r="L36" s="2536">
        <f t="shared" si="6"/>
        <v>13660.251127201125</v>
      </c>
      <c r="M36" s="2536">
        <f t="shared" si="6"/>
        <v>14343.263683561183</v>
      </c>
      <c r="N36" s="2536">
        <f t="shared" si="6"/>
        <v>15060.426867739243</v>
      </c>
      <c r="O36" s="2536">
        <f t="shared" si="6"/>
        <v>15813.448211126206</v>
      </c>
      <c r="P36" s="2536">
        <f t="shared" si="6"/>
        <v>16604.120621682516</v>
      </c>
      <c r="Q36" s="2536">
        <f t="shared" si="6"/>
        <v>17434.326652766642</v>
      </c>
      <c r="R36" s="2536">
        <f t="shared" si="6"/>
        <v>18306.042985404976</v>
      </c>
    </row>
    <row r="37" spans="1:18">
      <c r="A37" s="793" t="s">
        <v>50</v>
      </c>
      <c r="B37" s="2536">
        <f>-CF!GA26</f>
        <v>2234</v>
      </c>
      <c r="C37" s="2536">
        <f>-CF!GB26</f>
        <v>2904</v>
      </c>
      <c r="D37" s="2536">
        <f>-CF!GC26</f>
        <v>5687</v>
      </c>
      <c r="E37" s="2536">
        <f>-CF!GD26</f>
        <v>5294</v>
      </c>
      <c r="F37" s="2536">
        <f>-CF!GE26</f>
        <v>6552</v>
      </c>
      <c r="G37" s="2536">
        <f>-CF!GF26</f>
        <v>9114</v>
      </c>
      <c r="H37" s="2536">
        <f>-CF!GG26</f>
        <v>8696</v>
      </c>
      <c r="I37" s="2536">
        <f>-CF!GH26</f>
        <v>12084</v>
      </c>
      <c r="J37" s="2536">
        <f>-CF!GI26</f>
        <v>12400</v>
      </c>
      <c r="K37" s="2536">
        <f t="shared" si="6"/>
        <v>13020</v>
      </c>
      <c r="L37" s="2536">
        <f t="shared" si="6"/>
        <v>13671</v>
      </c>
      <c r="M37" s="2536">
        <f t="shared" si="6"/>
        <v>14354.550000000001</v>
      </c>
      <c r="N37" s="2536">
        <f t="shared" si="6"/>
        <v>15072.277500000002</v>
      </c>
      <c r="O37" s="2536">
        <f t="shared" si="6"/>
        <v>15825.891375000003</v>
      </c>
      <c r="P37" s="2536">
        <f t="shared" si="6"/>
        <v>16617.185943750002</v>
      </c>
      <c r="Q37" s="2536">
        <f t="shared" si="6"/>
        <v>17448.045240937503</v>
      </c>
      <c r="R37" s="2536">
        <f t="shared" si="6"/>
        <v>18320.447502984378</v>
      </c>
    </row>
    <row r="38" spans="1:18">
      <c r="A38" s="793" t="s">
        <v>51</v>
      </c>
      <c r="B38" s="2536">
        <f>CF!GA24</f>
        <v>118</v>
      </c>
      <c r="C38" s="2536">
        <f>CF!GB24</f>
        <v>2798</v>
      </c>
      <c r="D38" s="2536">
        <f>CF!GC24</f>
        <v>-1282</v>
      </c>
      <c r="E38" s="2536">
        <f>CF!GD24</f>
        <v>4074</v>
      </c>
      <c r="F38" s="2536">
        <f>CF!GE24</f>
        <v>4131</v>
      </c>
      <c r="G38" s="2536">
        <f>CF!GF24</f>
        <v>11053</v>
      </c>
      <c r="H38" s="2536">
        <f>CF!GG24</f>
        <v>24205</v>
      </c>
      <c r="I38" s="2536">
        <f>CF!GH24</f>
        <v>3270.970462117446</v>
      </c>
      <c r="J38" s="2536">
        <f>CF!GI24</f>
        <v>4809.4445426990133</v>
      </c>
      <c r="K38" s="2536">
        <f t="shared" ref="K38:R38" si="7">J38*(1+K52)</f>
        <v>3847.555634159211</v>
      </c>
      <c r="L38" s="2536">
        <f t="shared" si="7"/>
        <v>3078.044507327369</v>
      </c>
      <c r="M38" s="2536">
        <f t="shared" si="7"/>
        <v>2462.4356058618955</v>
      </c>
      <c r="N38" s="2536">
        <f t="shared" si="7"/>
        <v>1969.9484846895166</v>
      </c>
      <c r="O38" s="2536">
        <f t="shared" si="7"/>
        <v>1575.9587877516133</v>
      </c>
      <c r="P38" s="2536">
        <f t="shared" si="7"/>
        <v>1260.7670302012907</v>
      </c>
      <c r="Q38" s="2536">
        <f t="shared" si="7"/>
        <v>1008.6136241610326</v>
      </c>
      <c r="R38" s="2536">
        <f t="shared" si="7"/>
        <v>806.89089932882609</v>
      </c>
    </row>
    <row r="39" spans="1:18">
      <c r="A39" s="793" t="s">
        <v>1468</v>
      </c>
      <c r="B39" s="2536"/>
      <c r="C39" s="2536"/>
      <c r="D39" s="2536"/>
      <c r="E39" s="2536"/>
      <c r="F39" s="2536"/>
      <c r="G39" s="2536"/>
      <c r="H39" s="2536"/>
      <c r="I39" s="2536">
        <v>1676.2</v>
      </c>
      <c r="J39" s="2536">
        <v>1676.2</v>
      </c>
      <c r="K39" s="2536">
        <v>1676.2</v>
      </c>
      <c r="L39" s="2536">
        <v>1676.2</v>
      </c>
      <c r="M39" s="2536">
        <v>1676.2</v>
      </c>
      <c r="N39" s="2536">
        <v>3142.875</v>
      </c>
      <c r="O39" s="2536">
        <v>4190.5</v>
      </c>
      <c r="P39" s="2536">
        <v>5238.125</v>
      </c>
      <c r="Q39" s="2536"/>
      <c r="R39" s="2536"/>
    </row>
    <row r="40" spans="1:18" ht="3" customHeight="1">
      <c r="A40" s="792"/>
      <c r="B40" s="2536"/>
      <c r="C40" s="2536"/>
      <c r="D40" s="2536"/>
      <c r="E40" s="2536"/>
      <c r="F40" s="2536"/>
      <c r="G40" s="2536"/>
      <c r="H40" s="2536"/>
      <c r="I40" s="2536"/>
      <c r="J40" s="2536"/>
      <c r="K40" s="2536"/>
      <c r="L40" s="2536"/>
      <c r="M40" s="2536"/>
      <c r="N40" s="2536"/>
      <c r="O40" s="2536"/>
      <c r="P40" s="2536"/>
      <c r="Q40" s="2536"/>
      <c r="R40" s="2536"/>
    </row>
    <row r="41" spans="1:18">
      <c r="A41" s="790" t="s">
        <v>52</v>
      </c>
      <c r="B41" s="2535">
        <f>B34+B36-B37+B38</f>
        <v>23480.166480451415</v>
      </c>
      <c r="C41" s="2535">
        <f t="shared" ref="C41:H41" si="8">C34+C36-C37+C38</f>
        <v>24513.365116899957</v>
      </c>
      <c r="D41" s="2535">
        <f t="shared" si="8"/>
        <v>20799.334271908785</v>
      </c>
      <c r="E41" s="2535">
        <f t="shared" si="8"/>
        <v>26186.086424957841</v>
      </c>
      <c r="F41" s="2535">
        <f t="shared" si="8"/>
        <v>25217.733001534256</v>
      </c>
      <c r="G41" s="2535">
        <f t="shared" si="8"/>
        <v>31691.777270733088</v>
      </c>
      <c r="H41" s="2535">
        <f t="shared" si="8"/>
        <v>52000.621205130577</v>
      </c>
      <c r="I41" s="2535">
        <f>I34+I36-I37+I38-I39</f>
        <v>30988.02321530168</v>
      </c>
      <c r="J41" s="2535">
        <f t="shared" ref="J41:R41" si="9">J34+J36-J37+J38-J39</f>
        <v>36453.602876947618</v>
      </c>
      <c r="K41" s="2535">
        <f t="shared" si="9"/>
        <v>40035.676308696835</v>
      </c>
      <c r="L41" s="2535">
        <f t="shared" si="9"/>
        <v>43840.713929894555</v>
      </c>
      <c r="M41" s="2535">
        <f t="shared" si="9"/>
        <v>47190.66769229099</v>
      </c>
      <c r="N41" s="2535">
        <f t="shared" si="9"/>
        <v>49097.317357720429</v>
      </c>
      <c r="O41" s="2535">
        <f t="shared" si="9"/>
        <v>51334.193863734254</v>
      </c>
      <c r="P41" s="2535">
        <f t="shared" si="9"/>
        <v>53372.508190668654</v>
      </c>
      <c r="Q41" s="2535">
        <f t="shared" si="9"/>
        <v>61393.155975119887</v>
      </c>
      <c r="R41" s="2535">
        <f t="shared" si="9"/>
        <v>63775.18873998458</v>
      </c>
    </row>
    <row r="42" spans="1:18">
      <c r="A42" s="791" t="s">
        <v>53</v>
      </c>
      <c r="B42" s="2536">
        <v>0</v>
      </c>
      <c r="C42" s="2536">
        <v>0</v>
      </c>
      <c r="D42" s="2536">
        <v>0</v>
      </c>
      <c r="E42" s="2536">
        <v>0</v>
      </c>
      <c r="F42" s="2536">
        <v>0</v>
      </c>
      <c r="G42" s="2536">
        <v>0</v>
      </c>
      <c r="H42" s="2536">
        <v>0</v>
      </c>
      <c r="I42" s="2536">
        <f t="shared" ref="I42:Q42" ca="1" si="10">PV($B$25,I29-$G18,0,-I41)*((1+$B$25)^(($B$7-182.5)/365))</f>
        <v>30546.565308400197</v>
      </c>
      <c r="J42" s="2536">
        <f t="shared" ref="J42" ca="1" si="11">PV($B$25,J29-$G18,0,-J41)*((1+$B$25)^(($B$7-182.5)/365))</f>
        <v>33172.934016525331</v>
      </c>
      <c r="K42" s="2536">
        <f t="shared" ca="1" si="10"/>
        <v>33632.992524219044</v>
      </c>
      <c r="L42" s="2536">
        <f t="shared" ca="1" si="10"/>
        <v>33999.370334140622</v>
      </c>
      <c r="M42" s="2536">
        <f t="shared" ca="1" si="10"/>
        <v>33785.028761887443</v>
      </c>
      <c r="N42" s="2536">
        <f t="shared" ca="1" si="10"/>
        <v>32448.964982695186</v>
      </c>
      <c r="O42" s="2536">
        <f t="shared" ca="1" si="10"/>
        <v>31320.215862797741</v>
      </c>
      <c r="P42" s="2536">
        <f t="shared" ca="1" si="10"/>
        <v>30061.491718740468</v>
      </c>
      <c r="Q42" s="2536">
        <f t="shared" ca="1" si="10"/>
        <v>31921.830621741927</v>
      </c>
      <c r="R42" s="2536">
        <f t="shared" ref="R42" ca="1" si="12">PV($B$25,R29-$G18,0,-R41)*((1+$B$25)^(($B$7-182.5)/365))</f>
        <v>30612.196813066483</v>
      </c>
    </row>
    <row r="43" spans="1:18" ht="4.5" customHeight="1">
      <c r="A43" s="794"/>
      <c r="B43" s="760"/>
      <c r="C43" s="744"/>
      <c r="D43" s="744"/>
      <c r="E43" s="744"/>
      <c r="F43" s="744"/>
      <c r="G43" s="744"/>
      <c r="H43" s="744"/>
      <c r="I43" s="744"/>
      <c r="J43" s="744"/>
      <c r="K43" s="744"/>
      <c r="L43" s="744"/>
      <c r="M43" s="744"/>
      <c r="N43" s="744"/>
      <c r="O43" s="744"/>
      <c r="P43" s="744"/>
      <c r="Q43" s="744"/>
      <c r="R43" s="744"/>
    </row>
    <row r="44" spans="1:18">
      <c r="A44" s="795" t="s">
        <v>54</v>
      </c>
      <c r="B44" s="760"/>
      <c r="C44" s="744"/>
      <c r="D44" s="744"/>
      <c r="E44" s="816"/>
      <c r="F44" s="744"/>
      <c r="G44" s="744"/>
      <c r="H44" s="744"/>
      <c r="I44" s="744"/>
      <c r="J44" s="744"/>
      <c r="K44" s="744"/>
      <c r="L44" s="744"/>
      <c r="M44" s="744"/>
      <c r="N44" s="744"/>
      <c r="O44" s="744"/>
      <c r="P44" s="744"/>
      <c r="Q44" s="744"/>
      <c r="R44" s="744"/>
    </row>
    <row r="45" spans="1:18" ht="4.5" customHeight="1">
      <c r="A45" s="794"/>
      <c r="B45" s="760"/>
      <c r="C45" s="744"/>
      <c r="D45" s="744"/>
      <c r="E45" s="744"/>
      <c r="F45" s="744"/>
      <c r="G45" s="744"/>
      <c r="H45" s="744"/>
      <c r="I45" s="744"/>
      <c r="J45" s="744"/>
      <c r="K45" s="744"/>
      <c r="L45" s="744"/>
      <c r="M45" s="744"/>
      <c r="N45" s="744"/>
      <c r="O45" s="744"/>
      <c r="P45" s="744"/>
      <c r="Q45" s="744"/>
      <c r="R45" s="744"/>
    </row>
    <row r="46" spans="1:18" ht="11.25" customHeight="1">
      <c r="A46" s="813" t="s">
        <v>55</v>
      </c>
      <c r="B46" s="887"/>
      <c r="C46" s="887"/>
      <c r="D46" s="888"/>
      <c r="E46" s="889"/>
      <c r="F46" s="890"/>
      <c r="G46" s="891"/>
      <c r="H46" s="891"/>
      <c r="I46" s="891"/>
      <c r="J46" s="891"/>
      <c r="K46" s="892"/>
      <c r="L46" s="892"/>
      <c r="M46" s="892"/>
      <c r="N46" s="892"/>
      <c r="O46" s="892"/>
      <c r="P46" s="892"/>
      <c r="Q46" s="892"/>
      <c r="R46" s="892"/>
    </row>
    <row r="47" spans="1:18">
      <c r="A47" s="796" t="s">
        <v>537</v>
      </c>
      <c r="B47" s="797"/>
      <c r="C47" s="797">
        <f t="shared" ref="C47:J49" si="13">C32/B32-1</f>
        <v>1.2207559037807458E-2</v>
      </c>
      <c r="D47" s="797">
        <f t="shared" si="13"/>
        <v>0.14401480872069117</v>
      </c>
      <c r="E47" s="797">
        <f t="shared" si="13"/>
        <v>0.11622499490609228</v>
      </c>
      <c r="F47" s="797">
        <f t="shared" si="13"/>
        <v>-3.2835820895522394E-2</v>
      </c>
      <c r="G47" s="797">
        <f t="shared" si="13"/>
        <v>2.9676258992805682E-2</v>
      </c>
      <c r="H47" s="797">
        <f t="shared" si="13"/>
        <v>0.10273330098657607</v>
      </c>
      <c r="I47" s="797">
        <f t="shared" si="13"/>
        <v>0.13372675216889518</v>
      </c>
      <c r="J47" s="797">
        <f t="shared" si="13"/>
        <v>0.11542186211799521</v>
      </c>
      <c r="K47" s="798">
        <f>J47-0.01</f>
        <v>0.10542186211799522</v>
      </c>
      <c r="L47" s="798">
        <f t="shared" ref="L47:R47" si="14">K47-0.01</f>
        <v>9.5421862117995221E-2</v>
      </c>
      <c r="M47" s="798">
        <f t="shared" si="14"/>
        <v>8.5421862117995226E-2</v>
      </c>
      <c r="N47" s="798">
        <f t="shared" si="14"/>
        <v>7.5421862117995231E-2</v>
      </c>
      <c r="O47" s="798">
        <f t="shared" si="14"/>
        <v>6.5421862117995236E-2</v>
      </c>
      <c r="P47" s="798">
        <f t="shared" si="14"/>
        <v>5.5421862117995234E-2</v>
      </c>
      <c r="Q47" s="798">
        <f t="shared" si="14"/>
        <v>4.5421862117995232E-2</v>
      </c>
      <c r="R47" s="798">
        <f t="shared" si="14"/>
        <v>3.542186211799523E-2</v>
      </c>
    </row>
    <row r="48" spans="1:18">
      <c r="A48" s="794" t="s">
        <v>57</v>
      </c>
      <c r="B48" s="799"/>
      <c r="C48" s="799">
        <f t="shared" si="13"/>
        <v>-4.5703412391451481E-2</v>
      </c>
      <c r="D48" s="799">
        <f t="shared" si="13"/>
        <v>0.11157984364114881</v>
      </c>
      <c r="E48" s="799">
        <f t="shared" si="13"/>
        <v>-1.6050973155530945E-2</v>
      </c>
      <c r="F48" s="799">
        <f t="shared" si="13"/>
        <v>-4.5506015569710012E-2</v>
      </c>
      <c r="G48" s="799">
        <f t="shared" si="13"/>
        <v>3.8147846073997238E-2</v>
      </c>
      <c r="H48" s="799">
        <f t="shared" si="13"/>
        <v>0.11052387244223838</v>
      </c>
      <c r="I48" s="799">
        <f t="shared" si="13"/>
        <v>0.19303160419364773</v>
      </c>
      <c r="J48" s="799">
        <f t="shared" si="13"/>
        <v>0.16367902750648966</v>
      </c>
      <c r="K48" s="799">
        <f t="shared" ref="K48:R49" si="15">K33/J33-1</f>
        <v>0.11370050188782432</v>
      </c>
      <c r="L48" s="799">
        <f t="shared" si="15"/>
        <v>0.10356462848749781</v>
      </c>
      <c r="M48" s="799">
        <f t="shared" si="15"/>
        <v>9.3430760199198382E-2</v>
      </c>
      <c r="N48" s="799">
        <f t="shared" si="15"/>
        <v>8.3298852963242576E-2</v>
      </c>
      <c r="O48" s="799">
        <f t="shared" si="15"/>
        <v>7.3168864001430522E-2</v>
      </c>
      <c r="P48" s="799">
        <f t="shared" si="15"/>
        <v>6.3040751770794712E-2</v>
      </c>
      <c r="Q48" s="799">
        <f t="shared" si="15"/>
        <v>5.2914475919331849E-2</v>
      </c>
      <c r="R48" s="799">
        <f t="shared" si="15"/>
        <v>4.2789997243630307E-2</v>
      </c>
    </row>
    <row r="49" spans="1:18">
      <c r="A49" s="794" t="s">
        <v>48</v>
      </c>
      <c r="B49" s="799"/>
      <c r="C49" s="799">
        <f t="shared" si="13"/>
        <v>-6.3459193207054621E-2</v>
      </c>
      <c r="D49" s="799">
        <f t="shared" si="13"/>
        <v>0.10216674566262229</v>
      </c>
      <c r="E49" s="799">
        <f t="shared" si="13"/>
        <v>-8.7477935346112146E-2</v>
      </c>
      <c r="F49" s="799">
        <f t="shared" si="13"/>
        <v>7.7188215040815411E-3</v>
      </c>
      <c r="G49" s="799">
        <f t="shared" si="13"/>
        <v>2.4417404448735747E-2</v>
      </c>
      <c r="H49" s="799">
        <f t="shared" si="13"/>
        <v>0.20343456013487082</v>
      </c>
      <c r="I49" s="799">
        <f t="shared" si="13"/>
        <v>0.14510621074010022</v>
      </c>
      <c r="J49" s="799">
        <f t="shared" si="13"/>
        <v>0.1278004724278663</v>
      </c>
      <c r="K49" s="799">
        <f t="shared" si="15"/>
        <v>0.11719172603167349</v>
      </c>
      <c r="L49" s="799">
        <f t="shared" si="15"/>
        <v>0.10356462848749781</v>
      </c>
      <c r="M49" s="799">
        <f t="shared" si="15"/>
        <v>9.3430760199198382E-2</v>
      </c>
      <c r="N49" s="799">
        <f t="shared" si="15"/>
        <v>8.3298852963242576E-2</v>
      </c>
      <c r="O49" s="799">
        <f t="shared" si="15"/>
        <v>7.3168864001430522E-2</v>
      </c>
      <c r="P49" s="799">
        <f t="shared" si="15"/>
        <v>6.3040751770794934E-2</v>
      </c>
      <c r="Q49" s="799">
        <f t="shared" si="15"/>
        <v>5.2914475919331849E-2</v>
      </c>
      <c r="R49" s="799">
        <f t="shared" si="15"/>
        <v>4.2789997243630307E-2</v>
      </c>
    </row>
    <row r="50" spans="1:18">
      <c r="A50" s="794" t="s">
        <v>58</v>
      </c>
      <c r="B50" s="799"/>
      <c r="C50" s="799">
        <f t="shared" ref="C50:J51" si="16">C36/B36-1</f>
        <v>0.16672591539281911</v>
      </c>
      <c r="D50" s="799">
        <f t="shared" si="16"/>
        <v>0.29524680073126142</v>
      </c>
      <c r="E50" s="799">
        <f t="shared" si="16"/>
        <v>0.39872971065631613</v>
      </c>
      <c r="F50" s="799">
        <f t="shared" si="16"/>
        <v>1.1268079381096641E-2</v>
      </c>
      <c r="G50" s="799">
        <f t="shared" si="16"/>
        <v>0.2637618493264593</v>
      </c>
      <c r="H50" s="799">
        <f t="shared" si="16"/>
        <v>0.29372285827082512</v>
      </c>
      <c r="I50" s="799">
        <f t="shared" si="16"/>
        <v>0.11362118085647421</v>
      </c>
      <c r="J50" s="799">
        <f t="shared" si="16"/>
        <v>3.1188674272474737E-2</v>
      </c>
      <c r="K50" s="800">
        <v>0.1</v>
      </c>
      <c r="L50" s="800">
        <v>0.1</v>
      </c>
      <c r="M50" s="800">
        <f t="shared" ref="L50:R50" si="17">M51</f>
        <v>0.05</v>
      </c>
      <c r="N50" s="800">
        <f t="shared" si="17"/>
        <v>0.05</v>
      </c>
      <c r="O50" s="800">
        <f t="shared" si="17"/>
        <v>0.05</v>
      </c>
      <c r="P50" s="800">
        <f t="shared" si="17"/>
        <v>0.05</v>
      </c>
      <c r="Q50" s="800">
        <f t="shared" si="17"/>
        <v>0.05</v>
      </c>
      <c r="R50" s="800">
        <f t="shared" si="17"/>
        <v>0.05</v>
      </c>
    </row>
    <row r="51" spans="1:18">
      <c r="A51" s="794" t="s">
        <v>456</v>
      </c>
      <c r="B51" s="799"/>
      <c r="C51" s="799">
        <f t="shared" si="16"/>
        <v>0.29991047448522834</v>
      </c>
      <c r="D51" s="799">
        <f t="shared" si="16"/>
        <v>0.95833333333333326</v>
      </c>
      <c r="E51" s="799">
        <f t="shared" si="16"/>
        <v>-6.9104976261649353E-2</v>
      </c>
      <c r="F51" s="799">
        <f t="shared" si="16"/>
        <v>0.23762750283339629</v>
      </c>
      <c r="G51" s="799">
        <f t="shared" si="16"/>
        <v>0.39102564102564097</v>
      </c>
      <c r="H51" s="799">
        <f t="shared" si="16"/>
        <v>-4.5863506692999767E-2</v>
      </c>
      <c r="I51" s="799">
        <f t="shared" si="16"/>
        <v>0.38960441582336713</v>
      </c>
      <c r="J51" s="799">
        <f t="shared" si="16"/>
        <v>2.6150281363786831E-2</v>
      </c>
      <c r="K51" s="800">
        <v>0.05</v>
      </c>
      <c r="L51" s="800">
        <v>0.05</v>
      </c>
      <c r="M51" s="800">
        <v>0.05</v>
      </c>
      <c r="N51" s="800">
        <v>0.05</v>
      </c>
      <c r="O51" s="800">
        <v>0.05</v>
      </c>
      <c r="P51" s="800">
        <v>0.05</v>
      </c>
      <c r="Q51" s="800">
        <v>0.05</v>
      </c>
      <c r="R51" s="800">
        <v>0.05</v>
      </c>
    </row>
    <row r="52" spans="1:18">
      <c r="A52" s="794" t="s">
        <v>59</v>
      </c>
      <c r="B52" s="799"/>
      <c r="C52" s="799">
        <f>C38/B38-1</f>
        <v>22.711864406779661</v>
      </c>
      <c r="D52" s="799">
        <f>D38/C38-1</f>
        <v>-1.4581844174410292</v>
      </c>
      <c r="E52" s="799">
        <f t="shared" ref="E52:J52" si="18">E38/D38-1</f>
        <v>-4.177847113884555</v>
      </c>
      <c r="F52" s="799">
        <f t="shared" si="18"/>
        <v>1.3991163475699508E-2</v>
      </c>
      <c r="G52" s="799">
        <f t="shared" si="18"/>
        <v>1.6756233357540546</v>
      </c>
      <c r="H52" s="799">
        <f t="shared" si="18"/>
        <v>1.1899031937030671</v>
      </c>
      <c r="I52" s="799">
        <f t="shared" si="18"/>
        <v>-0.86486385200919458</v>
      </c>
      <c r="J52" s="799">
        <f t="shared" si="18"/>
        <v>0.4703417833940462</v>
      </c>
      <c r="K52" s="800">
        <v>-0.2</v>
      </c>
      <c r="L52" s="800">
        <v>-0.2</v>
      </c>
      <c r="M52" s="800">
        <v>-0.2</v>
      </c>
      <c r="N52" s="800">
        <v>-0.2</v>
      </c>
      <c r="O52" s="800">
        <v>-0.2</v>
      </c>
      <c r="P52" s="800">
        <v>-0.2</v>
      </c>
      <c r="Q52" s="800">
        <v>-0.2</v>
      </c>
      <c r="R52" s="800">
        <v>-0.2</v>
      </c>
    </row>
    <row r="53" spans="1:18">
      <c r="A53" s="796" t="s">
        <v>52</v>
      </c>
      <c r="B53" s="797"/>
      <c r="C53" s="797">
        <f t="shared" ref="C53:N53" si="19">C41/B41-1</f>
        <v>4.4003037087013031E-2</v>
      </c>
      <c r="D53" s="797">
        <f t="shared" si="19"/>
        <v>-0.15151044449750606</v>
      </c>
      <c r="E53" s="797">
        <f t="shared" si="19"/>
        <v>0.25898675806774785</v>
      </c>
      <c r="F53" s="797">
        <f t="shared" si="19"/>
        <v>-3.6979692486642457E-2</v>
      </c>
      <c r="G53" s="797">
        <f t="shared" si="19"/>
        <v>0.25672586305854495</v>
      </c>
      <c r="H53" s="797">
        <f t="shared" si="19"/>
        <v>0.64082376197791913</v>
      </c>
      <c r="I53" s="797">
        <f t="shared" si="19"/>
        <v>-0.4040835955966563</v>
      </c>
      <c r="J53" s="797">
        <f t="shared" si="19"/>
        <v>0.17637716428930106</v>
      </c>
      <c r="K53" s="797">
        <f t="shared" si="19"/>
        <v>9.8263906693690117E-2</v>
      </c>
      <c r="L53" s="797">
        <f t="shared" si="19"/>
        <v>9.5041172574650945E-2</v>
      </c>
      <c r="M53" s="797">
        <f t="shared" si="19"/>
        <v>7.6411934526279035E-2</v>
      </c>
      <c r="N53" s="797">
        <f t="shared" si="19"/>
        <v>4.0403108467585991E-2</v>
      </c>
      <c r="O53" s="797">
        <f>O41/N41-1</f>
        <v>4.556005554674325E-2</v>
      </c>
      <c r="P53" s="797">
        <f>P41/O41-1</f>
        <v>3.9706756325911474E-2</v>
      </c>
      <c r="Q53" s="797">
        <f>Q41/P41-1</f>
        <v>0.15027676338159268</v>
      </c>
      <c r="R53" s="797">
        <f>R41/Q41-1</f>
        <v>3.8799646752645023E-2</v>
      </c>
    </row>
    <row r="54" spans="1:18" ht="3" customHeight="1">
      <c r="A54" s="795"/>
      <c r="B54" s="760"/>
      <c r="C54" s="760"/>
      <c r="D54" s="760"/>
      <c r="E54" s="760"/>
      <c r="F54" s="760"/>
      <c r="G54" s="760"/>
      <c r="H54" s="760"/>
      <c r="I54" s="760"/>
      <c r="J54" s="760"/>
      <c r="K54" s="760"/>
      <c r="L54" s="760"/>
      <c r="M54" s="760"/>
      <c r="N54" s="760"/>
      <c r="O54" s="760"/>
      <c r="P54" s="760"/>
      <c r="Q54" s="760"/>
      <c r="R54" s="760"/>
    </row>
    <row r="55" spans="1:18" ht="11.25" customHeight="1">
      <c r="A55" s="813" t="s">
        <v>60</v>
      </c>
      <c r="B55" s="887"/>
      <c r="C55" s="887"/>
      <c r="D55" s="888"/>
      <c r="E55" s="889" t="s">
        <v>56</v>
      </c>
      <c r="F55" s="890"/>
      <c r="G55" s="891"/>
      <c r="H55" s="891"/>
      <c r="I55" s="891"/>
      <c r="J55" s="891"/>
      <c r="K55" s="892"/>
      <c r="L55" s="892"/>
      <c r="M55" s="892"/>
      <c r="N55" s="892"/>
      <c r="O55" s="892"/>
      <c r="P55" s="892"/>
      <c r="Q55" s="892"/>
      <c r="R55" s="892"/>
    </row>
    <row r="56" spans="1:18">
      <c r="A56" s="796" t="s">
        <v>117</v>
      </c>
      <c r="B56" s="801">
        <f>IS!FZ38</f>
        <v>0.37578451984470879</v>
      </c>
      <c r="C56" s="801">
        <f>IS!GA38</f>
        <v>0.35428493075551898</v>
      </c>
      <c r="D56" s="801">
        <f>IS!GB38</f>
        <v>0.3442402886148167</v>
      </c>
      <c r="E56" s="801">
        <f>IS!GC38</f>
        <v>0.3034467948029636</v>
      </c>
      <c r="F56" s="801">
        <f>IS!GD38</f>
        <v>0.29947153388400388</v>
      </c>
      <c r="G56" s="801">
        <f>IS!GE38</f>
        <v>0.30193541430804893</v>
      </c>
      <c r="H56" s="801">
        <f>IS!GF38</f>
        <v>0.30406852248394006</v>
      </c>
      <c r="I56" s="801">
        <f>IS!GG38</f>
        <v>0.31997424112099027</v>
      </c>
      <c r="J56" s="801">
        <f>IS!GH38</f>
        <v>0.33381747873201728</v>
      </c>
      <c r="K56" s="801">
        <f>J56+0.0025</f>
        <v>0.33631747873201728</v>
      </c>
      <c r="L56" s="801">
        <f t="shared" ref="L56:R56" si="20">K56+0.0025</f>
        <v>0.33881747873201729</v>
      </c>
      <c r="M56" s="801">
        <f t="shared" si="20"/>
        <v>0.34131747873201729</v>
      </c>
      <c r="N56" s="801">
        <f t="shared" si="20"/>
        <v>0.34381747873201729</v>
      </c>
      <c r="O56" s="801">
        <f t="shared" si="20"/>
        <v>0.34631747873201729</v>
      </c>
      <c r="P56" s="801">
        <f t="shared" si="20"/>
        <v>0.34881747873201729</v>
      </c>
      <c r="Q56" s="801">
        <f t="shared" si="20"/>
        <v>0.3513174787320173</v>
      </c>
      <c r="R56" s="801">
        <f t="shared" si="20"/>
        <v>0.3538174787320173</v>
      </c>
    </row>
    <row r="57" spans="1:18">
      <c r="A57" s="794" t="s">
        <v>150</v>
      </c>
      <c r="B57" s="799">
        <f>IS!FZ55</f>
        <v>0.15853014833918064</v>
      </c>
      <c r="C57" s="799">
        <f>IS!GA55</f>
        <v>0.17418665853007362</v>
      </c>
      <c r="D57" s="799">
        <f>IS!GB55</f>
        <v>0.18117982410400807</v>
      </c>
      <c r="E57" s="799">
        <f>IS!GC55</f>
        <v>0.24061973018549748</v>
      </c>
      <c r="F57" s="799">
        <f>IS!GD55</f>
        <v>0.19827489428582121</v>
      </c>
      <c r="G57" s="799">
        <f>IS!GE55</f>
        <v>0.20887843192754033</v>
      </c>
      <c r="H57" s="799">
        <f>IS!GF55</f>
        <v>0.1426901664052167</v>
      </c>
      <c r="I57" s="799">
        <f>IS!GG55</f>
        <v>0.17712924659571641</v>
      </c>
      <c r="J57" s="799">
        <f>IS!GH55</f>
        <v>0.20250000000000001</v>
      </c>
      <c r="K57" s="799">
        <v>0.2</v>
      </c>
      <c r="L57" s="799">
        <v>0.2</v>
      </c>
      <c r="M57" s="799">
        <v>0.2</v>
      </c>
      <c r="N57" s="799">
        <v>0.2</v>
      </c>
      <c r="O57" s="799">
        <v>0.2</v>
      </c>
      <c r="P57" s="799">
        <v>0.2</v>
      </c>
      <c r="Q57" s="799">
        <v>0.2</v>
      </c>
      <c r="R57" s="799">
        <v>0.2</v>
      </c>
    </row>
    <row r="58" spans="1:18">
      <c r="A58" s="794" t="s">
        <v>61</v>
      </c>
      <c r="B58" s="799">
        <f t="shared" ref="B58:G58" si="21">B41/B34</f>
        <v>1.0305927624502085</v>
      </c>
      <c r="C58" s="799">
        <f t="shared" si="21"/>
        <v>1.1488468694517719</v>
      </c>
      <c r="D58" s="799">
        <f t="shared" si="21"/>
        <v>0.88442567645744508</v>
      </c>
      <c r="E58" s="799">
        <f t="shared" si="21"/>
        <v>1.220222785053825</v>
      </c>
      <c r="F58" s="799">
        <f t="shared" si="21"/>
        <v>1.1660984161667567</v>
      </c>
      <c r="G58" s="799">
        <f t="shared" si="21"/>
        <v>1.4305360608910906</v>
      </c>
      <c r="H58" s="799">
        <f t="shared" ref="H58:Q58" si="22">H41/H34</f>
        <v>1.9504654750926649</v>
      </c>
      <c r="I58" s="799">
        <f t="shared" si="22"/>
        <v>1.0150275685596519</v>
      </c>
      <c r="J58" s="799">
        <f t="shared" ref="J58" si="23">J41/J34</f>
        <v>1.0587468989148157</v>
      </c>
      <c r="K58" s="799">
        <f t="shared" si="22"/>
        <v>1.0408092705200083</v>
      </c>
      <c r="L58" s="799">
        <f t="shared" si="22"/>
        <v>1.0327705098512123</v>
      </c>
      <c r="M58" s="799">
        <f t="shared" si="22"/>
        <v>1.0166958374466353</v>
      </c>
      <c r="N58" s="799">
        <f t="shared" si="22"/>
        <v>0.97643739467840651</v>
      </c>
      <c r="O58" s="799">
        <f t="shared" si="22"/>
        <v>0.95131714203041884</v>
      </c>
      <c r="P58" s="799">
        <f t="shared" si="22"/>
        <v>0.93043550619303428</v>
      </c>
      <c r="Q58" s="799">
        <f t="shared" si="22"/>
        <v>1.016472246394525</v>
      </c>
      <c r="R58" s="799">
        <f t="shared" ref="R58" si="24">R41/R34</f>
        <v>1.0125826036685739</v>
      </c>
    </row>
    <row r="59" spans="1:18">
      <c r="A59" s="794" t="s">
        <v>62</v>
      </c>
      <c r="B59" s="799">
        <f t="shared" ref="B59:G59" si="25">B37/B36</f>
        <v>0.79416992534660502</v>
      </c>
      <c r="C59" s="799">
        <f t="shared" si="25"/>
        <v>0.88482632541133455</v>
      </c>
      <c r="D59" s="799">
        <f t="shared" si="25"/>
        <v>1.3378028699129616</v>
      </c>
      <c r="E59" s="799">
        <f t="shared" si="25"/>
        <v>0.89034645139589641</v>
      </c>
      <c r="F59" s="799">
        <f t="shared" si="25"/>
        <v>1.0896391152502911</v>
      </c>
      <c r="G59" s="799">
        <f t="shared" si="25"/>
        <v>1.1993683379392026</v>
      </c>
      <c r="H59" s="799">
        <f t="shared" ref="H59:Q59" si="26">H37/H36</f>
        <v>0.88454887600447563</v>
      </c>
      <c r="I59" s="799">
        <f t="shared" si="26"/>
        <v>1.1037622534819886</v>
      </c>
      <c r="J59" s="799">
        <f t="shared" ref="J59" si="27">J37/J36</f>
        <v>1.0983692657101394</v>
      </c>
      <c r="K59" s="799">
        <f t="shared" si="26"/>
        <v>1.0484433899960419</v>
      </c>
      <c r="L59" s="799">
        <f>L37/L36</f>
        <v>1.000786872268949</v>
      </c>
      <c r="M59" s="799">
        <f t="shared" si="26"/>
        <v>1.000786872268949</v>
      </c>
      <c r="N59" s="799">
        <f t="shared" si="26"/>
        <v>1.000786872268949</v>
      </c>
      <c r="O59" s="799">
        <f t="shared" si="26"/>
        <v>1.000786872268949</v>
      </c>
      <c r="P59" s="799">
        <f t="shared" si="26"/>
        <v>1.000786872268949</v>
      </c>
      <c r="Q59" s="799">
        <f t="shared" si="26"/>
        <v>1.000786872268949</v>
      </c>
      <c r="R59" s="799">
        <f t="shared" ref="R59" si="28">R37/R36</f>
        <v>1.0007868722689488</v>
      </c>
    </row>
    <row r="60" spans="1:18">
      <c r="A60" s="794" t="s">
        <v>63</v>
      </c>
      <c r="B60" s="799">
        <f t="shared" ref="B60:G60" si="29">B37/B32</f>
        <v>3.1006056312771996E-2</v>
      </c>
      <c r="C60" s="799">
        <f t="shared" si="29"/>
        <v>3.9819004524886875E-2</v>
      </c>
      <c r="D60" s="799">
        <f t="shared" si="29"/>
        <v>6.8162477676698668E-2</v>
      </c>
      <c r="E60" s="799">
        <f t="shared" si="29"/>
        <v>5.6845270052614624E-2</v>
      </c>
      <c r="F60" s="799">
        <f t="shared" si="29"/>
        <v>7.2741806554756192E-2</v>
      </c>
      <c r="G60" s="799">
        <f t="shared" si="29"/>
        <v>9.8269448487789096E-2</v>
      </c>
      <c r="H60" s="799">
        <f t="shared" ref="H60:Q60" si="30">H37/H32</f>
        <v>8.5027328816012049E-2</v>
      </c>
      <c r="I60" s="799">
        <f t="shared" si="30"/>
        <v>0.10421766211510716</v>
      </c>
      <c r="J60" s="799">
        <f t="shared" ref="J60" si="31">J37/J32</f>
        <v>9.5876714393446499E-2</v>
      </c>
      <c r="K60" s="799">
        <f t="shared" si="30"/>
        <v>9.1069802003222025E-2</v>
      </c>
      <c r="L60" s="799">
        <f t="shared" si="30"/>
        <v>8.7293576484310575E-2</v>
      </c>
      <c r="M60" s="799">
        <f t="shared" si="30"/>
        <v>8.4444821416875079E-2</v>
      </c>
      <c r="N60" s="799">
        <f t="shared" si="30"/>
        <v>8.2448633053723713E-2</v>
      </c>
      <c r="O60" s="799">
        <f t="shared" si="30"/>
        <v>8.1255198325207806E-2</v>
      </c>
      <c r="P60" s="799">
        <f t="shared" si="30"/>
        <v>8.0837778052327031E-2</v>
      </c>
      <c r="Q60" s="799">
        <f t="shared" si="30"/>
        <v>8.1191784896271046E-2</v>
      </c>
      <c r="R60" s="799">
        <f t="shared" ref="R60" si="32">R37/R32</f>
        <v>8.2334918027227699E-2</v>
      </c>
    </row>
    <row r="61" spans="1:18" ht="4.5" customHeight="1">
      <c r="A61" s="794"/>
      <c r="B61" s="799"/>
      <c r="C61" s="799"/>
      <c r="D61" s="744"/>
      <c r="E61" s="744"/>
      <c r="F61" s="744"/>
      <c r="G61" s="744"/>
      <c r="H61" s="744"/>
      <c r="I61" s="744"/>
      <c r="J61" s="744"/>
      <c r="K61" s="744"/>
      <c r="L61" s="744"/>
      <c r="M61" s="744"/>
    </row>
    <row r="62" spans="1:18">
      <c r="A62" s="802" t="s">
        <v>66</v>
      </c>
      <c r="B62" s="798"/>
      <c r="C62" s="798"/>
      <c r="D62" s="798"/>
      <c r="E62" s="798"/>
      <c r="F62" s="798"/>
      <c r="G62" s="798"/>
      <c r="H62" s="798"/>
      <c r="I62" s="798"/>
      <c r="J62" s="798"/>
      <c r="K62" s="798"/>
      <c r="L62" s="798"/>
      <c r="M62" s="798"/>
    </row>
  </sheetData>
  <phoneticPr fontId="4" type="noConversion"/>
  <pageMargins left="0.75" right="0.75" top="1" bottom="1" header="0.5" footer="0.5"/>
  <pageSetup scale="61" fitToHeight="2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3"/>
  <sheetViews>
    <sheetView workbookViewId="0">
      <selection activeCell="B42" sqref="B42"/>
    </sheetView>
  </sheetViews>
  <sheetFormatPr defaultRowHeight="12.75"/>
  <cols>
    <col min="1" max="1" width="29.5703125" style="1232" bestFit="1" customWidth="1"/>
    <col min="2" max="2" width="19.85546875" style="3124" customWidth="1"/>
    <col min="3" max="3" width="12" style="1232" bestFit="1" customWidth="1"/>
    <col min="4" max="256" width="9.140625" style="1232"/>
    <col min="257" max="257" width="29.5703125" style="1232" bestFit="1" customWidth="1"/>
    <col min="258" max="258" width="19.85546875" style="1232" customWidth="1"/>
    <col min="259" max="259" width="12" style="1232" bestFit="1" customWidth="1"/>
    <col min="260" max="512" width="9.140625" style="1232"/>
    <col min="513" max="513" width="29.5703125" style="1232" bestFit="1" customWidth="1"/>
    <col min="514" max="514" width="19.85546875" style="1232" customWidth="1"/>
    <col min="515" max="515" width="12" style="1232" bestFit="1" customWidth="1"/>
    <col min="516" max="768" width="9.140625" style="1232"/>
    <col min="769" max="769" width="29.5703125" style="1232" bestFit="1" customWidth="1"/>
    <col min="770" max="770" width="19.85546875" style="1232" customWidth="1"/>
    <col min="771" max="771" width="12" style="1232" bestFit="1" customWidth="1"/>
    <col min="772" max="1024" width="9.140625" style="1232"/>
    <col min="1025" max="1025" width="29.5703125" style="1232" bestFit="1" customWidth="1"/>
    <col min="1026" max="1026" width="19.85546875" style="1232" customWidth="1"/>
    <col min="1027" max="1027" width="12" style="1232" bestFit="1" customWidth="1"/>
    <col min="1028" max="1280" width="9.140625" style="1232"/>
    <col min="1281" max="1281" width="29.5703125" style="1232" bestFit="1" customWidth="1"/>
    <col min="1282" max="1282" width="19.85546875" style="1232" customWidth="1"/>
    <col min="1283" max="1283" width="12" style="1232" bestFit="1" customWidth="1"/>
    <col min="1284" max="1536" width="9.140625" style="1232"/>
    <col min="1537" max="1537" width="29.5703125" style="1232" bestFit="1" customWidth="1"/>
    <col min="1538" max="1538" width="19.85546875" style="1232" customWidth="1"/>
    <col min="1539" max="1539" width="12" style="1232" bestFit="1" customWidth="1"/>
    <col min="1540" max="1792" width="9.140625" style="1232"/>
    <col min="1793" max="1793" width="29.5703125" style="1232" bestFit="1" customWidth="1"/>
    <col min="1794" max="1794" width="19.85546875" style="1232" customWidth="1"/>
    <col min="1795" max="1795" width="12" style="1232" bestFit="1" customWidth="1"/>
    <col min="1796" max="2048" width="9.140625" style="1232"/>
    <col min="2049" max="2049" width="29.5703125" style="1232" bestFit="1" customWidth="1"/>
    <col min="2050" max="2050" width="19.85546875" style="1232" customWidth="1"/>
    <col min="2051" max="2051" width="12" style="1232" bestFit="1" customWidth="1"/>
    <col min="2052" max="2304" width="9.140625" style="1232"/>
    <col min="2305" max="2305" width="29.5703125" style="1232" bestFit="1" customWidth="1"/>
    <col min="2306" max="2306" width="19.85546875" style="1232" customWidth="1"/>
    <col min="2307" max="2307" width="12" style="1232" bestFit="1" customWidth="1"/>
    <col min="2308" max="2560" width="9.140625" style="1232"/>
    <col min="2561" max="2561" width="29.5703125" style="1232" bestFit="1" customWidth="1"/>
    <col min="2562" max="2562" width="19.85546875" style="1232" customWidth="1"/>
    <col min="2563" max="2563" width="12" style="1232" bestFit="1" customWidth="1"/>
    <col min="2564" max="2816" width="9.140625" style="1232"/>
    <col min="2817" max="2817" width="29.5703125" style="1232" bestFit="1" customWidth="1"/>
    <col min="2818" max="2818" width="19.85546875" style="1232" customWidth="1"/>
    <col min="2819" max="2819" width="12" style="1232" bestFit="1" customWidth="1"/>
    <col min="2820" max="3072" width="9.140625" style="1232"/>
    <col min="3073" max="3073" width="29.5703125" style="1232" bestFit="1" customWidth="1"/>
    <col min="3074" max="3074" width="19.85546875" style="1232" customWidth="1"/>
    <col min="3075" max="3075" width="12" style="1232" bestFit="1" customWidth="1"/>
    <col min="3076" max="3328" width="9.140625" style="1232"/>
    <col min="3329" max="3329" width="29.5703125" style="1232" bestFit="1" customWidth="1"/>
    <col min="3330" max="3330" width="19.85546875" style="1232" customWidth="1"/>
    <col min="3331" max="3331" width="12" style="1232" bestFit="1" customWidth="1"/>
    <col min="3332" max="3584" width="9.140625" style="1232"/>
    <col min="3585" max="3585" width="29.5703125" style="1232" bestFit="1" customWidth="1"/>
    <col min="3586" max="3586" width="19.85546875" style="1232" customWidth="1"/>
    <col min="3587" max="3587" width="12" style="1232" bestFit="1" customWidth="1"/>
    <col min="3588" max="3840" width="9.140625" style="1232"/>
    <col min="3841" max="3841" width="29.5703125" style="1232" bestFit="1" customWidth="1"/>
    <col min="3842" max="3842" width="19.85546875" style="1232" customWidth="1"/>
    <col min="3843" max="3843" width="12" style="1232" bestFit="1" customWidth="1"/>
    <col min="3844" max="4096" width="9.140625" style="1232"/>
    <col min="4097" max="4097" width="29.5703125" style="1232" bestFit="1" customWidth="1"/>
    <col min="4098" max="4098" width="19.85546875" style="1232" customWidth="1"/>
    <col min="4099" max="4099" width="12" style="1232" bestFit="1" customWidth="1"/>
    <col min="4100" max="4352" width="9.140625" style="1232"/>
    <col min="4353" max="4353" width="29.5703125" style="1232" bestFit="1" customWidth="1"/>
    <col min="4354" max="4354" width="19.85546875" style="1232" customWidth="1"/>
    <col min="4355" max="4355" width="12" style="1232" bestFit="1" customWidth="1"/>
    <col min="4356" max="4608" width="9.140625" style="1232"/>
    <col min="4609" max="4609" width="29.5703125" style="1232" bestFit="1" customWidth="1"/>
    <col min="4610" max="4610" width="19.85546875" style="1232" customWidth="1"/>
    <col min="4611" max="4611" width="12" style="1232" bestFit="1" customWidth="1"/>
    <col min="4612" max="4864" width="9.140625" style="1232"/>
    <col min="4865" max="4865" width="29.5703125" style="1232" bestFit="1" customWidth="1"/>
    <col min="4866" max="4866" width="19.85546875" style="1232" customWidth="1"/>
    <col min="4867" max="4867" width="12" style="1232" bestFit="1" customWidth="1"/>
    <col min="4868" max="5120" width="9.140625" style="1232"/>
    <col min="5121" max="5121" width="29.5703125" style="1232" bestFit="1" customWidth="1"/>
    <col min="5122" max="5122" width="19.85546875" style="1232" customWidth="1"/>
    <col min="5123" max="5123" width="12" style="1232" bestFit="1" customWidth="1"/>
    <col min="5124" max="5376" width="9.140625" style="1232"/>
    <col min="5377" max="5377" width="29.5703125" style="1232" bestFit="1" customWidth="1"/>
    <col min="5378" max="5378" width="19.85546875" style="1232" customWidth="1"/>
    <col min="5379" max="5379" width="12" style="1232" bestFit="1" customWidth="1"/>
    <col min="5380" max="5632" width="9.140625" style="1232"/>
    <col min="5633" max="5633" width="29.5703125" style="1232" bestFit="1" customWidth="1"/>
    <col min="5634" max="5634" width="19.85546875" style="1232" customWidth="1"/>
    <col min="5635" max="5635" width="12" style="1232" bestFit="1" customWidth="1"/>
    <col min="5636" max="5888" width="9.140625" style="1232"/>
    <col min="5889" max="5889" width="29.5703125" style="1232" bestFit="1" customWidth="1"/>
    <col min="5890" max="5890" width="19.85546875" style="1232" customWidth="1"/>
    <col min="5891" max="5891" width="12" style="1232" bestFit="1" customWidth="1"/>
    <col min="5892" max="6144" width="9.140625" style="1232"/>
    <col min="6145" max="6145" width="29.5703125" style="1232" bestFit="1" customWidth="1"/>
    <col min="6146" max="6146" width="19.85546875" style="1232" customWidth="1"/>
    <col min="6147" max="6147" width="12" style="1232" bestFit="1" customWidth="1"/>
    <col min="6148" max="6400" width="9.140625" style="1232"/>
    <col min="6401" max="6401" width="29.5703125" style="1232" bestFit="1" customWidth="1"/>
    <col min="6402" max="6402" width="19.85546875" style="1232" customWidth="1"/>
    <col min="6403" max="6403" width="12" style="1232" bestFit="1" customWidth="1"/>
    <col min="6404" max="6656" width="9.140625" style="1232"/>
    <col min="6657" max="6657" width="29.5703125" style="1232" bestFit="1" customWidth="1"/>
    <col min="6658" max="6658" width="19.85546875" style="1232" customWidth="1"/>
    <col min="6659" max="6659" width="12" style="1232" bestFit="1" customWidth="1"/>
    <col min="6660" max="6912" width="9.140625" style="1232"/>
    <col min="6913" max="6913" width="29.5703125" style="1232" bestFit="1" customWidth="1"/>
    <col min="6914" max="6914" width="19.85546875" style="1232" customWidth="1"/>
    <col min="6915" max="6915" width="12" style="1232" bestFit="1" customWidth="1"/>
    <col min="6916" max="7168" width="9.140625" style="1232"/>
    <col min="7169" max="7169" width="29.5703125" style="1232" bestFit="1" customWidth="1"/>
    <col min="7170" max="7170" width="19.85546875" style="1232" customWidth="1"/>
    <col min="7171" max="7171" width="12" style="1232" bestFit="1" customWidth="1"/>
    <col min="7172" max="7424" width="9.140625" style="1232"/>
    <col min="7425" max="7425" width="29.5703125" style="1232" bestFit="1" customWidth="1"/>
    <col min="7426" max="7426" width="19.85546875" style="1232" customWidth="1"/>
    <col min="7427" max="7427" width="12" style="1232" bestFit="1" customWidth="1"/>
    <col min="7428" max="7680" width="9.140625" style="1232"/>
    <col min="7681" max="7681" width="29.5703125" style="1232" bestFit="1" customWidth="1"/>
    <col min="7682" max="7682" width="19.85546875" style="1232" customWidth="1"/>
    <col min="7683" max="7683" width="12" style="1232" bestFit="1" customWidth="1"/>
    <col min="7684" max="7936" width="9.140625" style="1232"/>
    <col min="7937" max="7937" width="29.5703125" style="1232" bestFit="1" customWidth="1"/>
    <col min="7938" max="7938" width="19.85546875" style="1232" customWidth="1"/>
    <col min="7939" max="7939" width="12" style="1232" bestFit="1" customWidth="1"/>
    <col min="7940" max="8192" width="9.140625" style="1232"/>
    <col min="8193" max="8193" width="29.5703125" style="1232" bestFit="1" customWidth="1"/>
    <col min="8194" max="8194" width="19.85546875" style="1232" customWidth="1"/>
    <col min="8195" max="8195" width="12" style="1232" bestFit="1" customWidth="1"/>
    <col min="8196" max="8448" width="9.140625" style="1232"/>
    <col min="8449" max="8449" width="29.5703125" style="1232" bestFit="1" customWidth="1"/>
    <col min="8450" max="8450" width="19.85546875" style="1232" customWidth="1"/>
    <col min="8451" max="8451" width="12" style="1232" bestFit="1" customWidth="1"/>
    <col min="8452" max="8704" width="9.140625" style="1232"/>
    <col min="8705" max="8705" width="29.5703125" style="1232" bestFit="1" customWidth="1"/>
    <col min="8706" max="8706" width="19.85546875" style="1232" customWidth="1"/>
    <col min="8707" max="8707" width="12" style="1232" bestFit="1" customWidth="1"/>
    <col min="8708" max="8960" width="9.140625" style="1232"/>
    <col min="8961" max="8961" width="29.5703125" style="1232" bestFit="1" customWidth="1"/>
    <col min="8962" max="8962" width="19.85546875" style="1232" customWidth="1"/>
    <col min="8963" max="8963" width="12" style="1232" bestFit="1" customWidth="1"/>
    <col min="8964" max="9216" width="9.140625" style="1232"/>
    <col min="9217" max="9217" width="29.5703125" style="1232" bestFit="1" customWidth="1"/>
    <col min="9218" max="9218" width="19.85546875" style="1232" customWidth="1"/>
    <col min="9219" max="9219" width="12" style="1232" bestFit="1" customWidth="1"/>
    <col min="9220" max="9472" width="9.140625" style="1232"/>
    <col min="9473" max="9473" width="29.5703125" style="1232" bestFit="1" customWidth="1"/>
    <col min="9474" max="9474" width="19.85546875" style="1232" customWidth="1"/>
    <col min="9475" max="9475" width="12" style="1232" bestFit="1" customWidth="1"/>
    <col min="9476" max="9728" width="9.140625" style="1232"/>
    <col min="9729" max="9729" width="29.5703125" style="1232" bestFit="1" customWidth="1"/>
    <col min="9730" max="9730" width="19.85546875" style="1232" customWidth="1"/>
    <col min="9731" max="9731" width="12" style="1232" bestFit="1" customWidth="1"/>
    <col min="9732" max="9984" width="9.140625" style="1232"/>
    <col min="9985" max="9985" width="29.5703125" style="1232" bestFit="1" customWidth="1"/>
    <col min="9986" max="9986" width="19.85546875" style="1232" customWidth="1"/>
    <col min="9987" max="9987" width="12" style="1232" bestFit="1" customWidth="1"/>
    <col min="9988" max="10240" width="9.140625" style="1232"/>
    <col min="10241" max="10241" width="29.5703125" style="1232" bestFit="1" customWidth="1"/>
    <col min="10242" max="10242" width="19.85546875" style="1232" customWidth="1"/>
    <col min="10243" max="10243" width="12" style="1232" bestFit="1" customWidth="1"/>
    <col min="10244" max="10496" width="9.140625" style="1232"/>
    <col min="10497" max="10497" width="29.5703125" style="1232" bestFit="1" customWidth="1"/>
    <col min="10498" max="10498" width="19.85546875" style="1232" customWidth="1"/>
    <col min="10499" max="10499" width="12" style="1232" bestFit="1" customWidth="1"/>
    <col min="10500" max="10752" width="9.140625" style="1232"/>
    <col min="10753" max="10753" width="29.5703125" style="1232" bestFit="1" customWidth="1"/>
    <col min="10754" max="10754" width="19.85546875" style="1232" customWidth="1"/>
    <col min="10755" max="10755" width="12" style="1232" bestFit="1" customWidth="1"/>
    <col min="10756" max="11008" width="9.140625" style="1232"/>
    <col min="11009" max="11009" width="29.5703125" style="1232" bestFit="1" customWidth="1"/>
    <col min="11010" max="11010" width="19.85546875" style="1232" customWidth="1"/>
    <col min="11011" max="11011" width="12" style="1232" bestFit="1" customWidth="1"/>
    <col min="11012" max="11264" width="9.140625" style="1232"/>
    <col min="11265" max="11265" width="29.5703125" style="1232" bestFit="1" customWidth="1"/>
    <col min="11266" max="11266" width="19.85546875" style="1232" customWidth="1"/>
    <col min="11267" max="11267" width="12" style="1232" bestFit="1" customWidth="1"/>
    <col min="11268" max="11520" width="9.140625" style="1232"/>
    <col min="11521" max="11521" width="29.5703125" style="1232" bestFit="1" customWidth="1"/>
    <col min="11522" max="11522" width="19.85546875" style="1232" customWidth="1"/>
    <col min="11523" max="11523" width="12" style="1232" bestFit="1" customWidth="1"/>
    <col min="11524" max="11776" width="9.140625" style="1232"/>
    <col min="11777" max="11777" width="29.5703125" style="1232" bestFit="1" customWidth="1"/>
    <col min="11778" max="11778" width="19.85546875" style="1232" customWidth="1"/>
    <col min="11779" max="11779" width="12" style="1232" bestFit="1" customWidth="1"/>
    <col min="11780" max="12032" width="9.140625" style="1232"/>
    <col min="12033" max="12033" width="29.5703125" style="1232" bestFit="1" customWidth="1"/>
    <col min="12034" max="12034" width="19.85546875" style="1232" customWidth="1"/>
    <col min="12035" max="12035" width="12" style="1232" bestFit="1" customWidth="1"/>
    <col min="12036" max="12288" width="9.140625" style="1232"/>
    <col min="12289" max="12289" width="29.5703125" style="1232" bestFit="1" customWidth="1"/>
    <col min="12290" max="12290" width="19.85546875" style="1232" customWidth="1"/>
    <col min="12291" max="12291" width="12" style="1232" bestFit="1" customWidth="1"/>
    <col min="12292" max="12544" width="9.140625" style="1232"/>
    <col min="12545" max="12545" width="29.5703125" style="1232" bestFit="1" customWidth="1"/>
    <col min="12546" max="12546" width="19.85546875" style="1232" customWidth="1"/>
    <col min="12547" max="12547" width="12" style="1232" bestFit="1" customWidth="1"/>
    <col min="12548" max="12800" width="9.140625" style="1232"/>
    <col min="12801" max="12801" width="29.5703125" style="1232" bestFit="1" customWidth="1"/>
    <col min="12802" max="12802" width="19.85546875" style="1232" customWidth="1"/>
    <col min="12803" max="12803" width="12" style="1232" bestFit="1" customWidth="1"/>
    <col min="12804" max="13056" width="9.140625" style="1232"/>
    <col min="13057" max="13057" width="29.5703125" style="1232" bestFit="1" customWidth="1"/>
    <col min="13058" max="13058" width="19.85546875" style="1232" customWidth="1"/>
    <col min="13059" max="13059" width="12" style="1232" bestFit="1" customWidth="1"/>
    <col min="13060" max="13312" width="9.140625" style="1232"/>
    <col min="13313" max="13313" width="29.5703125" style="1232" bestFit="1" customWidth="1"/>
    <col min="13314" max="13314" width="19.85546875" style="1232" customWidth="1"/>
    <col min="13315" max="13315" width="12" style="1232" bestFit="1" customWidth="1"/>
    <col min="13316" max="13568" width="9.140625" style="1232"/>
    <col min="13569" max="13569" width="29.5703125" style="1232" bestFit="1" customWidth="1"/>
    <col min="13570" max="13570" width="19.85546875" style="1232" customWidth="1"/>
    <col min="13571" max="13571" width="12" style="1232" bestFit="1" customWidth="1"/>
    <col min="13572" max="13824" width="9.140625" style="1232"/>
    <col min="13825" max="13825" width="29.5703125" style="1232" bestFit="1" customWidth="1"/>
    <col min="13826" max="13826" width="19.85546875" style="1232" customWidth="1"/>
    <col min="13827" max="13827" width="12" style="1232" bestFit="1" customWidth="1"/>
    <col min="13828" max="14080" width="9.140625" style="1232"/>
    <col min="14081" max="14081" width="29.5703125" style="1232" bestFit="1" customWidth="1"/>
    <col min="14082" max="14082" width="19.85546875" style="1232" customWidth="1"/>
    <col min="14083" max="14083" width="12" style="1232" bestFit="1" customWidth="1"/>
    <col min="14084" max="14336" width="9.140625" style="1232"/>
    <col min="14337" max="14337" width="29.5703125" style="1232" bestFit="1" customWidth="1"/>
    <col min="14338" max="14338" width="19.85546875" style="1232" customWidth="1"/>
    <col min="14339" max="14339" width="12" style="1232" bestFit="1" customWidth="1"/>
    <col min="14340" max="14592" width="9.140625" style="1232"/>
    <col min="14593" max="14593" width="29.5703125" style="1232" bestFit="1" customWidth="1"/>
    <col min="14594" max="14594" width="19.85546875" style="1232" customWidth="1"/>
    <col min="14595" max="14595" width="12" style="1232" bestFit="1" customWidth="1"/>
    <col min="14596" max="14848" width="9.140625" style="1232"/>
    <col min="14849" max="14849" width="29.5703125" style="1232" bestFit="1" customWidth="1"/>
    <col min="14850" max="14850" width="19.85546875" style="1232" customWidth="1"/>
    <col min="14851" max="14851" width="12" style="1232" bestFit="1" customWidth="1"/>
    <col min="14852" max="15104" width="9.140625" style="1232"/>
    <col min="15105" max="15105" width="29.5703125" style="1232" bestFit="1" customWidth="1"/>
    <col min="15106" max="15106" width="19.85546875" style="1232" customWidth="1"/>
    <col min="15107" max="15107" width="12" style="1232" bestFit="1" customWidth="1"/>
    <col min="15108" max="15360" width="9.140625" style="1232"/>
    <col min="15361" max="15361" width="29.5703125" style="1232" bestFit="1" customWidth="1"/>
    <col min="15362" max="15362" width="19.85546875" style="1232" customWidth="1"/>
    <col min="15363" max="15363" width="12" style="1232" bestFit="1" customWidth="1"/>
    <col min="15364" max="15616" width="9.140625" style="1232"/>
    <col min="15617" max="15617" width="29.5703125" style="1232" bestFit="1" customWidth="1"/>
    <col min="15618" max="15618" width="19.85546875" style="1232" customWidth="1"/>
    <col min="15619" max="15619" width="12" style="1232" bestFit="1" customWidth="1"/>
    <col min="15620" max="15872" width="9.140625" style="1232"/>
    <col min="15873" max="15873" width="29.5703125" style="1232" bestFit="1" customWidth="1"/>
    <col min="15874" max="15874" width="19.85546875" style="1232" customWidth="1"/>
    <col min="15875" max="15875" width="12" style="1232" bestFit="1" customWidth="1"/>
    <col min="15876" max="16128" width="9.140625" style="1232"/>
    <col min="16129" max="16129" width="29.5703125" style="1232" bestFit="1" customWidth="1"/>
    <col min="16130" max="16130" width="19.85546875" style="1232" customWidth="1"/>
    <col min="16131" max="16131" width="12" style="1232" bestFit="1" customWidth="1"/>
    <col min="16132" max="16384" width="9.140625" style="1232"/>
  </cols>
  <sheetData>
    <row r="1" spans="1:2">
      <c r="A1" s="1232" t="s">
        <v>1782</v>
      </c>
      <c r="B1" s="3123">
        <v>6.1</v>
      </c>
    </row>
    <row r="2" spans="1:2">
      <c r="A2" s="1232" t="s">
        <v>1783</v>
      </c>
      <c r="B2" s="3127">
        <v>43217.047719907408</v>
      </c>
    </row>
    <row r="3" spans="1:2">
      <c r="A3" s="1232" t="s">
        <v>1784</v>
      </c>
      <c r="B3" s="3124" t="s">
        <v>1482</v>
      </c>
    </row>
    <row r="4" spans="1:2">
      <c r="A4" s="1232" t="s">
        <v>1785</v>
      </c>
      <c r="B4" s="3124" t="s">
        <v>1786</v>
      </c>
    </row>
    <row r="5" spans="1:2">
      <c r="A5" s="1232" t="s">
        <v>1787</v>
      </c>
      <c r="B5" s="3124" t="s">
        <v>1135</v>
      </c>
    </row>
    <row r="6" spans="1:2">
      <c r="A6" s="1232" t="s">
        <v>1788</v>
      </c>
    </row>
    <row r="7" spans="1:2">
      <c r="A7" s="1232" t="s">
        <v>548</v>
      </c>
      <c r="B7" s="3124" t="s">
        <v>236</v>
      </c>
    </row>
    <row r="8" spans="1:2">
      <c r="A8" s="1232" t="s">
        <v>1789</v>
      </c>
      <c r="B8" s="3124" t="s">
        <v>1790</v>
      </c>
    </row>
    <row r="9" spans="1:2">
      <c r="A9" s="1232" t="s">
        <v>1791</v>
      </c>
      <c r="B9" s="3124" t="s">
        <v>1828</v>
      </c>
    </row>
    <row r="10" spans="1:2">
      <c r="A10" s="1232" t="s">
        <v>1792</v>
      </c>
    </row>
    <row r="11" spans="1:2">
      <c r="A11" s="1232" t="s">
        <v>1793</v>
      </c>
    </row>
    <row r="12" spans="1:2">
      <c r="A12" s="1232" t="s">
        <v>1794</v>
      </c>
    </row>
    <row r="13" spans="1:2">
      <c r="A13" s="1232" t="s">
        <v>1795</v>
      </c>
    </row>
    <row r="14" spans="1:2">
      <c r="A14" s="1232" t="s">
        <v>1796</v>
      </c>
    </row>
    <row r="15" spans="1:2">
      <c r="A15" s="1232" t="s">
        <v>1797</v>
      </c>
    </row>
    <row r="16" spans="1:2">
      <c r="A16" s="1232" t="s">
        <v>1798</v>
      </c>
    </row>
    <row r="17" spans="1:4">
      <c r="A17" s="1232" t="s">
        <v>1799</v>
      </c>
      <c r="B17" s="3124" t="s">
        <v>1829</v>
      </c>
    </row>
    <row r="18" spans="1:4">
      <c r="A18" s="1232" t="s">
        <v>1800</v>
      </c>
      <c r="B18" s="3124" t="s">
        <v>1832</v>
      </c>
    </row>
    <row r="19" spans="1:4">
      <c r="A19" s="1232" t="s">
        <v>1801</v>
      </c>
      <c r="B19" s="3124" t="s">
        <v>897</v>
      </c>
    </row>
    <row r="20" spans="1:4">
      <c r="A20" s="1232" t="s">
        <v>1802</v>
      </c>
      <c r="B20" s="3125">
        <v>594918104</v>
      </c>
    </row>
    <row r="21" spans="1:4">
      <c r="A21" s="1232" t="s">
        <v>1803</v>
      </c>
      <c r="B21" s="3124" t="s">
        <v>897</v>
      </c>
    </row>
    <row r="22" spans="1:4">
      <c r="A22" s="1232" t="s">
        <v>1804</v>
      </c>
      <c r="B22" s="3125">
        <v>2588173</v>
      </c>
    </row>
    <row r="23" spans="1:4">
      <c r="A23" s="1232" t="s">
        <v>757</v>
      </c>
      <c r="B23" s="3123">
        <v>94.26</v>
      </c>
    </row>
    <row r="24" spans="1:4">
      <c r="A24" s="1232" t="s">
        <v>767</v>
      </c>
      <c r="B24" s="3124" t="s">
        <v>469</v>
      </c>
      <c r="D24" s="1232" t="s">
        <v>836</v>
      </c>
    </row>
    <row r="25" spans="1:4">
      <c r="A25" s="1232" t="s">
        <v>1805</v>
      </c>
      <c r="B25" s="3124" t="s">
        <v>1833</v>
      </c>
    </row>
    <row r="26" spans="1:4">
      <c r="A26" s="1232" t="s">
        <v>1806</v>
      </c>
      <c r="B26" s="3124">
        <v>0</v>
      </c>
    </row>
    <row r="27" spans="1:4">
      <c r="A27" s="1232" t="s">
        <v>1807</v>
      </c>
      <c r="B27" s="3124" t="s">
        <v>1808</v>
      </c>
    </row>
    <row r="28" spans="1:4">
      <c r="A28" s="1232" t="s">
        <v>1809</v>
      </c>
      <c r="B28" s="3124" t="s">
        <v>1810</v>
      </c>
    </row>
    <row r="29" spans="1:4">
      <c r="A29" s="1232" t="s">
        <v>1811</v>
      </c>
    </row>
    <row r="30" spans="1:4">
      <c r="A30" s="1232" t="s">
        <v>1812</v>
      </c>
    </row>
    <row r="31" spans="1:4">
      <c r="A31" s="1232" t="s">
        <v>1813</v>
      </c>
    </row>
    <row r="32" spans="1:4">
      <c r="A32" s="1232" t="s">
        <v>1814</v>
      </c>
      <c r="B32" s="3123"/>
    </row>
    <row r="33" spans="1:2">
      <c r="A33" s="1232" t="s">
        <v>1815</v>
      </c>
      <c r="B33" s="3123"/>
    </row>
    <row r="34" spans="1:2">
      <c r="A34" s="1232" t="s">
        <v>1816</v>
      </c>
      <c r="B34" s="3123"/>
    </row>
    <row r="35" spans="1:2">
      <c r="A35" s="1232" t="s">
        <v>1817</v>
      </c>
      <c r="B35" s="3124">
        <v>1000000</v>
      </c>
    </row>
    <row r="36" spans="1:2">
      <c r="A36" s="1232" t="s">
        <v>1818</v>
      </c>
      <c r="B36" s="3124" t="s">
        <v>1830</v>
      </c>
    </row>
    <row r="37" spans="1:2">
      <c r="A37" s="1232" t="s">
        <v>1819</v>
      </c>
      <c r="B37" s="3124" t="s">
        <v>1820</v>
      </c>
    </row>
    <row r="38" spans="1:2">
      <c r="A38" s="1232" t="s">
        <v>1821</v>
      </c>
      <c r="B38" s="3124" t="s">
        <v>1822</v>
      </c>
    </row>
    <row r="39" spans="1:2">
      <c r="A39" s="1232" t="s">
        <v>1823</v>
      </c>
      <c r="B39" s="3124" t="s">
        <v>1831</v>
      </c>
    </row>
    <row r="40" spans="1:2">
      <c r="A40" s="1232" t="s">
        <v>1824</v>
      </c>
      <c r="B40" s="3124">
        <v>1500000168</v>
      </c>
    </row>
    <row r="41" spans="1:2">
      <c r="A41" s="1232" t="s">
        <v>1825</v>
      </c>
      <c r="B41" s="3124">
        <v>1</v>
      </c>
    </row>
    <row r="42" spans="1:2">
      <c r="A42" s="3126" t="s">
        <v>1826</v>
      </c>
    </row>
    <row r="43" spans="1:2">
      <c r="A43" s="1232" t="s">
        <v>1827</v>
      </c>
    </row>
  </sheetData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workbookViewId="0">
      <selection activeCell="E11" sqref="E11"/>
    </sheetView>
  </sheetViews>
  <sheetFormatPr defaultRowHeight="12.75"/>
  <cols>
    <col min="1" max="1" width="28.5703125" style="1232" bestFit="1" customWidth="1"/>
    <col min="2" max="256" width="9.140625" style="1232"/>
    <col min="257" max="257" width="28.5703125" style="1232" bestFit="1" customWidth="1"/>
    <col min="258" max="512" width="9.140625" style="1232"/>
    <col min="513" max="513" width="28.5703125" style="1232" bestFit="1" customWidth="1"/>
    <col min="514" max="768" width="9.140625" style="1232"/>
    <col min="769" max="769" width="28.5703125" style="1232" bestFit="1" customWidth="1"/>
    <col min="770" max="1024" width="9.140625" style="1232"/>
    <col min="1025" max="1025" width="28.5703125" style="1232" bestFit="1" customWidth="1"/>
    <col min="1026" max="1280" width="9.140625" style="1232"/>
    <col min="1281" max="1281" width="28.5703125" style="1232" bestFit="1" customWidth="1"/>
    <col min="1282" max="1536" width="9.140625" style="1232"/>
    <col min="1537" max="1537" width="28.5703125" style="1232" bestFit="1" customWidth="1"/>
    <col min="1538" max="1792" width="9.140625" style="1232"/>
    <col min="1793" max="1793" width="28.5703125" style="1232" bestFit="1" customWidth="1"/>
    <col min="1794" max="2048" width="9.140625" style="1232"/>
    <col min="2049" max="2049" width="28.5703125" style="1232" bestFit="1" customWidth="1"/>
    <col min="2050" max="2304" width="9.140625" style="1232"/>
    <col min="2305" max="2305" width="28.5703125" style="1232" bestFit="1" customWidth="1"/>
    <col min="2306" max="2560" width="9.140625" style="1232"/>
    <col min="2561" max="2561" width="28.5703125" style="1232" bestFit="1" customWidth="1"/>
    <col min="2562" max="2816" width="9.140625" style="1232"/>
    <col min="2817" max="2817" width="28.5703125" style="1232" bestFit="1" customWidth="1"/>
    <col min="2818" max="3072" width="9.140625" style="1232"/>
    <col min="3073" max="3073" width="28.5703125" style="1232" bestFit="1" customWidth="1"/>
    <col min="3074" max="3328" width="9.140625" style="1232"/>
    <col min="3329" max="3329" width="28.5703125" style="1232" bestFit="1" customWidth="1"/>
    <col min="3330" max="3584" width="9.140625" style="1232"/>
    <col min="3585" max="3585" width="28.5703125" style="1232" bestFit="1" customWidth="1"/>
    <col min="3586" max="3840" width="9.140625" style="1232"/>
    <col min="3841" max="3841" width="28.5703125" style="1232" bestFit="1" customWidth="1"/>
    <col min="3842" max="4096" width="9.140625" style="1232"/>
    <col min="4097" max="4097" width="28.5703125" style="1232" bestFit="1" customWidth="1"/>
    <col min="4098" max="4352" width="9.140625" style="1232"/>
    <col min="4353" max="4353" width="28.5703125" style="1232" bestFit="1" customWidth="1"/>
    <col min="4354" max="4608" width="9.140625" style="1232"/>
    <col min="4609" max="4609" width="28.5703125" style="1232" bestFit="1" customWidth="1"/>
    <col min="4610" max="4864" width="9.140625" style="1232"/>
    <col min="4865" max="4865" width="28.5703125" style="1232" bestFit="1" customWidth="1"/>
    <col min="4866" max="5120" width="9.140625" style="1232"/>
    <col min="5121" max="5121" width="28.5703125" style="1232" bestFit="1" customWidth="1"/>
    <col min="5122" max="5376" width="9.140625" style="1232"/>
    <col min="5377" max="5377" width="28.5703125" style="1232" bestFit="1" customWidth="1"/>
    <col min="5378" max="5632" width="9.140625" style="1232"/>
    <col min="5633" max="5633" width="28.5703125" style="1232" bestFit="1" customWidth="1"/>
    <col min="5634" max="5888" width="9.140625" style="1232"/>
    <col min="5889" max="5889" width="28.5703125" style="1232" bestFit="1" customWidth="1"/>
    <col min="5890" max="6144" width="9.140625" style="1232"/>
    <col min="6145" max="6145" width="28.5703125" style="1232" bestFit="1" customWidth="1"/>
    <col min="6146" max="6400" width="9.140625" style="1232"/>
    <col min="6401" max="6401" width="28.5703125" style="1232" bestFit="1" customWidth="1"/>
    <col min="6402" max="6656" width="9.140625" style="1232"/>
    <col min="6657" max="6657" width="28.5703125" style="1232" bestFit="1" customWidth="1"/>
    <col min="6658" max="6912" width="9.140625" style="1232"/>
    <col min="6913" max="6913" width="28.5703125" style="1232" bestFit="1" customWidth="1"/>
    <col min="6914" max="7168" width="9.140625" style="1232"/>
    <col min="7169" max="7169" width="28.5703125" style="1232" bestFit="1" customWidth="1"/>
    <col min="7170" max="7424" width="9.140625" style="1232"/>
    <col min="7425" max="7425" width="28.5703125" style="1232" bestFit="1" customWidth="1"/>
    <col min="7426" max="7680" width="9.140625" style="1232"/>
    <col min="7681" max="7681" width="28.5703125" style="1232" bestFit="1" customWidth="1"/>
    <col min="7682" max="7936" width="9.140625" style="1232"/>
    <col min="7937" max="7937" width="28.5703125" style="1232" bestFit="1" customWidth="1"/>
    <col min="7938" max="8192" width="9.140625" style="1232"/>
    <col min="8193" max="8193" width="28.5703125" style="1232" bestFit="1" customWidth="1"/>
    <col min="8194" max="8448" width="9.140625" style="1232"/>
    <col min="8449" max="8449" width="28.5703125" style="1232" bestFit="1" customWidth="1"/>
    <col min="8450" max="8704" width="9.140625" style="1232"/>
    <col min="8705" max="8705" width="28.5703125" style="1232" bestFit="1" customWidth="1"/>
    <col min="8706" max="8960" width="9.140625" style="1232"/>
    <col min="8961" max="8961" width="28.5703125" style="1232" bestFit="1" customWidth="1"/>
    <col min="8962" max="9216" width="9.140625" style="1232"/>
    <col min="9217" max="9217" width="28.5703125" style="1232" bestFit="1" customWidth="1"/>
    <col min="9218" max="9472" width="9.140625" style="1232"/>
    <col min="9473" max="9473" width="28.5703125" style="1232" bestFit="1" customWidth="1"/>
    <col min="9474" max="9728" width="9.140625" style="1232"/>
    <col min="9729" max="9729" width="28.5703125" style="1232" bestFit="1" customWidth="1"/>
    <col min="9730" max="9984" width="9.140625" style="1232"/>
    <col min="9985" max="9985" width="28.5703125" style="1232" bestFit="1" customWidth="1"/>
    <col min="9986" max="10240" width="9.140625" style="1232"/>
    <col min="10241" max="10241" width="28.5703125" style="1232" bestFit="1" customWidth="1"/>
    <col min="10242" max="10496" width="9.140625" style="1232"/>
    <col min="10497" max="10497" width="28.5703125" style="1232" bestFit="1" customWidth="1"/>
    <col min="10498" max="10752" width="9.140625" style="1232"/>
    <col min="10753" max="10753" width="28.5703125" style="1232" bestFit="1" customWidth="1"/>
    <col min="10754" max="11008" width="9.140625" style="1232"/>
    <col min="11009" max="11009" width="28.5703125" style="1232" bestFit="1" customWidth="1"/>
    <col min="11010" max="11264" width="9.140625" style="1232"/>
    <col min="11265" max="11265" width="28.5703125" style="1232" bestFit="1" customWidth="1"/>
    <col min="11266" max="11520" width="9.140625" style="1232"/>
    <col min="11521" max="11521" width="28.5703125" style="1232" bestFit="1" customWidth="1"/>
    <col min="11522" max="11776" width="9.140625" style="1232"/>
    <col min="11777" max="11777" width="28.5703125" style="1232" bestFit="1" customWidth="1"/>
    <col min="11778" max="12032" width="9.140625" style="1232"/>
    <col min="12033" max="12033" width="28.5703125" style="1232" bestFit="1" customWidth="1"/>
    <col min="12034" max="12288" width="9.140625" style="1232"/>
    <col min="12289" max="12289" width="28.5703125" style="1232" bestFit="1" customWidth="1"/>
    <col min="12290" max="12544" width="9.140625" style="1232"/>
    <col min="12545" max="12545" width="28.5703125" style="1232" bestFit="1" customWidth="1"/>
    <col min="12546" max="12800" width="9.140625" style="1232"/>
    <col min="12801" max="12801" width="28.5703125" style="1232" bestFit="1" customWidth="1"/>
    <col min="12802" max="13056" width="9.140625" style="1232"/>
    <col min="13057" max="13057" width="28.5703125" style="1232" bestFit="1" customWidth="1"/>
    <col min="13058" max="13312" width="9.140625" style="1232"/>
    <col min="13313" max="13313" width="28.5703125" style="1232" bestFit="1" customWidth="1"/>
    <col min="13314" max="13568" width="9.140625" style="1232"/>
    <col min="13569" max="13569" width="28.5703125" style="1232" bestFit="1" customWidth="1"/>
    <col min="13570" max="13824" width="9.140625" style="1232"/>
    <col min="13825" max="13825" width="28.5703125" style="1232" bestFit="1" customWidth="1"/>
    <col min="13826" max="14080" width="9.140625" style="1232"/>
    <col min="14081" max="14081" width="28.5703125" style="1232" bestFit="1" customWidth="1"/>
    <col min="14082" max="14336" width="9.140625" style="1232"/>
    <col min="14337" max="14337" width="28.5703125" style="1232" bestFit="1" customWidth="1"/>
    <col min="14338" max="14592" width="9.140625" style="1232"/>
    <col min="14593" max="14593" width="28.5703125" style="1232" bestFit="1" customWidth="1"/>
    <col min="14594" max="14848" width="9.140625" style="1232"/>
    <col min="14849" max="14849" width="28.5703125" style="1232" bestFit="1" customWidth="1"/>
    <col min="14850" max="15104" width="9.140625" style="1232"/>
    <col min="15105" max="15105" width="28.5703125" style="1232" bestFit="1" customWidth="1"/>
    <col min="15106" max="15360" width="9.140625" style="1232"/>
    <col min="15361" max="15361" width="28.5703125" style="1232" bestFit="1" customWidth="1"/>
    <col min="15362" max="15616" width="9.140625" style="1232"/>
    <col min="15617" max="15617" width="28.5703125" style="1232" bestFit="1" customWidth="1"/>
    <col min="15618" max="15872" width="9.140625" style="1232"/>
    <col min="15873" max="15873" width="28.5703125" style="1232" bestFit="1" customWidth="1"/>
    <col min="15874" max="16128" width="9.140625" style="1232"/>
    <col min="16129" max="16129" width="28.5703125" style="1232" bestFit="1" customWidth="1"/>
    <col min="16130" max="16384" width="9.140625" style="1232"/>
  </cols>
  <sheetData>
    <row r="1" spans="1:1">
      <c r="A1" s="3128" t="s">
        <v>1834</v>
      </c>
    </row>
    <row r="2" spans="1:1">
      <c r="A2" s="3128" t="s">
        <v>1839</v>
      </c>
    </row>
    <row r="3" spans="1:1">
      <c r="A3" s="3128" t="s">
        <v>1840</v>
      </c>
    </row>
    <row r="4" spans="1:1">
      <c r="A4" s="3128" t="s">
        <v>1841</v>
      </c>
    </row>
    <row r="5" spans="1:1">
      <c r="A5" s="3128" t="s">
        <v>1842</v>
      </c>
    </row>
    <row r="6" spans="1:1">
      <c r="A6" s="3128" t="s">
        <v>1835</v>
      </c>
    </row>
    <row r="7" spans="1:1">
      <c r="A7" s="3128" t="s">
        <v>1843</v>
      </c>
    </row>
    <row r="8" spans="1:1">
      <c r="A8" s="3128" t="s">
        <v>1844</v>
      </c>
    </row>
    <row r="9" spans="1:1">
      <c r="A9" s="3128" t="s">
        <v>1845</v>
      </c>
    </row>
    <row r="10" spans="1:1">
      <c r="A10" s="3128" t="s">
        <v>1836</v>
      </c>
    </row>
    <row r="11" spans="1:1">
      <c r="A11" s="3128" t="s">
        <v>1846</v>
      </c>
    </row>
    <row r="12" spans="1:1">
      <c r="A12" s="3128" t="s">
        <v>1837</v>
      </c>
    </row>
    <row r="13" spans="1:1">
      <c r="A13" s="3128" t="s">
        <v>1838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"/>
  <sheetViews>
    <sheetView workbookViewId="0"/>
  </sheetViews>
  <sheetFormatPr defaultRowHeight="12.75"/>
  <sheetData>
    <row r="1" spans="1:2">
      <c r="B1" t="s">
        <v>893</v>
      </c>
    </row>
  </sheetData>
  <phoneticPr fontId="4" type="noConversion"/>
  <pageMargins left="0.75" right="0.75" top="1" bottom="1" header="0.5" footer="0.5"/>
  <pageSetup orientation="portrait" horizontalDpi="90" verticalDpi="90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V4"/>
  <sheetViews>
    <sheetView workbookViewId="0"/>
  </sheetViews>
  <sheetFormatPr defaultRowHeight="12.75"/>
  <sheetData>
    <row r="1" spans="1:256">
      <c r="A1" t="s">
        <v>1409</v>
      </c>
    </row>
    <row r="2" spans="1:256">
      <c r="A2" s="97" t="s">
        <v>1383</v>
      </c>
      <c r="B2" s="97" t="s">
        <v>1159</v>
      </c>
      <c r="C2" s="97" t="s">
        <v>1335</v>
      </c>
      <c r="D2" s="97" t="s">
        <v>1159</v>
      </c>
      <c r="E2" s="97" t="s">
        <v>1168</v>
      </c>
      <c r="F2" s="97" t="s">
        <v>1159</v>
      </c>
      <c r="G2" s="97" t="s">
        <v>1232</v>
      </c>
      <c r="H2" s="97" t="s">
        <v>1159</v>
      </c>
      <c r="I2" s="97" t="s">
        <v>1365</v>
      </c>
      <c r="J2" s="97" t="s">
        <v>1159</v>
      </c>
      <c r="K2" s="97" t="s">
        <v>1342</v>
      </c>
      <c r="L2" s="97" t="s">
        <v>1159</v>
      </c>
      <c r="M2" s="97" t="s">
        <v>1298</v>
      </c>
      <c r="N2" s="97" t="s">
        <v>1159</v>
      </c>
      <c r="O2" s="2550" t="s">
        <v>1315</v>
      </c>
      <c r="P2" s="2550" t="s">
        <v>1159</v>
      </c>
      <c r="Q2" s="2550" t="s">
        <v>1376</v>
      </c>
      <c r="R2" s="2550" t="s">
        <v>1159</v>
      </c>
      <c r="S2" s="2550" t="s">
        <v>1340</v>
      </c>
      <c r="T2" s="2550" t="s">
        <v>1159</v>
      </c>
      <c r="U2" s="2550" t="s">
        <v>1295</v>
      </c>
      <c r="V2" s="2550" t="s">
        <v>1159</v>
      </c>
      <c r="W2" s="2550" t="s">
        <v>1302</v>
      </c>
      <c r="X2" s="2550" t="s">
        <v>1159</v>
      </c>
      <c r="Y2" s="2550" t="s">
        <v>1393</v>
      </c>
      <c r="Z2" s="2550" t="s">
        <v>1159</v>
      </c>
      <c r="AA2" s="2550" t="s">
        <v>832</v>
      </c>
      <c r="AB2" s="2550" t="s">
        <v>1410</v>
      </c>
      <c r="AC2" s="2550" t="s">
        <v>1349</v>
      </c>
      <c r="AD2" s="2550" t="s">
        <v>1159</v>
      </c>
      <c r="AE2" s="2550" t="s">
        <v>1240</v>
      </c>
      <c r="AF2" s="2550" t="s">
        <v>1159</v>
      </c>
      <c r="AG2" s="2550" t="s">
        <v>1230</v>
      </c>
      <c r="AH2" s="2550" t="s">
        <v>1159</v>
      </c>
      <c r="AI2" s="2550" t="s">
        <v>1289</v>
      </c>
      <c r="AJ2" s="2550" t="s">
        <v>1159</v>
      </c>
      <c r="AK2" s="2550" t="s">
        <v>1174</v>
      </c>
      <c r="AL2" s="2550" t="s">
        <v>1159</v>
      </c>
      <c r="AM2" s="2550" t="s">
        <v>1181</v>
      </c>
      <c r="AN2" s="2550" t="s">
        <v>1159</v>
      </c>
      <c r="AO2" s="2550" t="s">
        <v>1273</v>
      </c>
      <c r="AP2" s="2550" t="s">
        <v>1159</v>
      </c>
      <c r="AQ2" s="2550" t="s">
        <v>1381</v>
      </c>
      <c r="AR2" s="2550" t="s">
        <v>1159</v>
      </c>
      <c r="AS2" s="2550" t="s">
        <v>1386</v>
      </c>
      <c r="AT2" s="2550" t="s">
        <v>1159</v>
      </c>
      <c r="AU2" s="2550" t="s">
        <v>1397</v>
      </c>
      <c r="AV2" s="2550" t="s">
        <v>1159</v>
      </c>
      <c r="AW2" s="2550" t="s">
        <v>1324</v>
      </c>
      <c r="AX2" s="2550" t="s">
        <v>1159</v>
      </c>
      <c r="AY2" s="2550" t="s">
        <v>1253</v>
      </c>
      <c r="AZ2" s="2550" t="s">
        <v>1159</v>
      </c>
      <c r="BA2" s="2550" t="s">
        <v>1369</v>
      </c>
      <c r="BB2" s="2550" t="s">
        <v>1159</v>
      </c>
      <c r="BC2" s="2550" t="s">
        <v>1261</v>
      </c>
      <c r="BD2" s="2550" t="s">
        <v>1159</v>
      </c>
      <c r="BE2" s="2550" t="s">
        <v>1192</v>
      </c>
      <c r="BF2" s="2550" t="s">
        <v>1159</v>
      </c>
      <c r="BG2" s="2550" t="s">
        <v>1239</v>
      </c>
      <c r="BH2" s="2550" t="s">
        <v>1159</v>
      </c>
      <c r="BI2" s="2550" t="s">
        <v>1308</v>
      </c>
      <c r="BJ2" s="2550" t="s">
        <v>1159</v>
      </c>
      <c r="BK2" s="2550" t="s">
        <v>1371</v>
      </c>
      <c r="BL2" s="2550" t="s">
        <v>1159</v>
      </c>
      <c r="BM2" s="2550" t="s">
        <v>1251</v>
      </c>
      <c r="BN2" s="2550" t="s">
        <v>1159</v>
      </c>
      <c r="BO2" s="2550" t="s">
        <v>1338</v>
      </c>
      <c r="BP2" s="2550" t="s">
        <v>1159</v>
      </c>
      <c r="BQ2" s="2550" t="s">
        <v>1247</v>
      </c>
      <c r="BR2" s="2550" t="s">
        <v>1159</v>
      </c>
      <c r="BS2" s="2550" t="s">
        <v>1403</v>
      </c>
      <c r="BT2" s="2550" t="s">
        <v>1159</v>
      </c>
      <c r="BU2" s="2550" t="s">
        <v>1327</v>
      </c>
      <c r="BV2" s="2550" t="s">
        <v>1159</v>
      </c>
      <c r="BW2" s="2550" t="s">
        <v>1211</v>
      </c>
      <c r="BX2" s="2550" t="s">
        <v>1159</v>
      </c>
      <c r="BY2" s="2550" t="s">
        <v>1297</v>
      </c>
      <c r="BZ2" s="2550" t="s">
        <v>1159</v>
      </c>
      <c r="CA2" s="2550" t="s">
        <v>1370</v>
      </c>
      <c r="CB2" s="2550" t="s">
        <v>1159</v>
      </c>
      <c r="CC2" s="2550" t="s">
        <v>1387</v>
      </c>
      <c r="CD2" s="2550" t="s">
        <v>1159</v>
      </c>
      <c r="CE2" s="2550" t="s">
        <v>1209</v>
      </c>
      <c r="CF2" s="2550" t="s">
        <v>1159</v>
      </c>
      <c r="CG2" s="2550" t="s">
        <v>1328</v>
      </c>
      <c r="CH2" s="2550" t="s">
        <v>1159</v>
      </c>
      <c r="CI2" s="2550" t="s">
        <v>1282</v>
      </c>
      <c r="CJ2" s="2550" t="s">
        <v>1159</v>
      </c>
      <c r="CK2" s="2550" t="s">
        <v>1374</v>
      </c>
      <c r="CL2" s="2550" t="s">
        <v>1159</v>
      </c>
      <c r="CM2" s="2550" t="s">
        <v>1401</v>
      </c>
      <c r="CN2" s="2550" t="s">
        <v>1159</v>
      </c>
      <c r="CO2" s="2550" t="s">
        <v>1406</v>
      </c>
      <c r="CP2" s="2550" t="s">
        <v>1159</v>
      </c>
      <c r="CQ2" s="2550" t="s">
        <v>1402</v>
      </c>
      <c r="CR2" s="2550" t="s">
        <v>1159</v>
      </c>
      <c r="CS2" s="2550" t="s">
        <v>1331</v>
      </c>
      <c r="CT2" s="2550" t="s">
        <v>1159</v>
      </c>
      <c r="CU2" s="2550" t="s">
        <v>1392</v>
      </c>
      <c r="CV2" s="2550" t="s">
        <v>1159</v>
      </c>
      <c r="CW2" s="2550" t="s">
        <v>1372</v>
      </c>
      <c r="CX2" s="2550" t="s">
        <v>1159</v>
      </c>
      <c r="CY2" s="2550" t="s">
        <v>1271</v>
      </c>
      <c r="CZ2" s="2550" t="s">
        <v>1159</v>
      </c>
      <c r="DA2" s="2550" t="s">
        <v>1197</v>
      </c>
      <c r="DB2" s="2550" t="s">
        <v>1159</v>
      </c>
      <c r="DC2" s="2550" t="s">
        <v>1222</v>
      </c>
      <c r="DD2" s="2550" t="s">
        <v>1159</v>
      </c>
      <c r="DE2" s="2550" t="s">
        <v>1185</v>
      </c>
      <c r="DF2" s="2550" t="s">
        <v>1159</v>
      </c>
      <c r="DG2" s="2550" t="s">
        <v>1189</v>
      </c>
      <c r="DH2" s="2550" t="s">
        <v>1159</v>
      </c>
      <c r="DI2" s="2550" t="s">
        <v>1353</v>
      </c>
      <c r="DJ2" s="2550" t="s">
        <v>1159</v>
      </c>
      <c r="DK2" s="2550" t="s">
        <v>1318</v>
      </c>
      <c r="DL2" s="2550" t="s">
        <v>1159</v>
      </c>
      <c r="DM2" s="2550" t="s">
        <v>1252</v>
      </c>
      <c r="DN2" s="2550" t="s">
        <v>1159</v>
      </c>
      <c r="DO2" s="2550" t="s">
        <v>1218</v>
      </c>
      <c r="DP2" s="2550" t="s">
        <v>1159</v>
      </c>
      <c r="DQ2" s="2550" t="s">
        <v>1395</v>
      </c>
      <c r="DR2" s="2550" t="s">
        <v>1159</v>
      </c>
      <c r="DS2" s="2550" t="s">
        <v>1215</v>
      </c>
      <c r="DT2" s="2550" t="s">
        <v>1159</v>
      </c>
      <c r="DU2" s="2550" t="s">
        <v>1216</v>
      </c>
      <c r="DV2" s="2550" t="s">
        <v>1159</v>
      </c>
      <c r="DW2" s="2550" t="s">
        <v>1334</v>
      </c>
      <c r="DX2" s="2550" t="s">
        <v>1159</v>
      </c>
      <c r="DY2" s="2550" t="s">
        <v>1309</v>
      </c>
      <c r="DZ2" s="2550" t="s">
        <v>1159</v>
      </c>
      <c r="EA2" s="2550" t="s">
        <v>1235</v>
      </c>
      <c r="EB2" s="2550" t="s">
        <v>1159</v>
      </c>
      <c r="EC2" s="2550" t="s">
        <v>1343</v>
      </c>
      <c r="ED2" s="2550" t="s">
        <v>1159</v>
      </c>
      <c r="EE2" s="2550" t="s">
        <v>1242</v>
      </c>
      <c r="EF2" s="2550" t="s">
        <v>1159</v>
      </c>
      <c r="EG2" s="2550" t="s">
        <v>1363</v>
      </c>
      <c r="EH2" s="2550" t="s">
        <v>1159</v>
      </c>
      <c r="EI2" s="2550" t="s">
        <v>1206</v>
      </c>
      <c r="EJ2" s="2550" t="s">
        <v>1159</v>
      </c>
      <c r="EK2" s="2550" t="s">
        <v>1205</v>
      </c>
      <c r="EL2" s="2550" t="s">
        <v>1159</v>
      </c>
      <c r="EM2" s="2550" t="s">
        <v>1265</v>
      </c>
      <c r="EN2" s="2550" t="s">
        <v>1159</v>
      </c>
      <c r="EO2" s="2550" t="s">
        <v>1317</v>
      </c>
      <c r="EP2" s="2550" t="s">
        <v>1159</v>
      </c>
      <c r="EQ2" s="2550" t="s">
        <v>1332</v>
      </c>
      <c r="ER2" s="2550" t="s">
        <v>1159</v>
      </c>
      <c r="ES2" s="2550" t="s">
        <v>1244</v>
      </c>
      <c r="ET2" s="2550" t="s">
        <v>1159</v>
      </c>
      <c r="EU2" s="2550" t="s">
        <v>1237</v>
      </c>
      <c r="EV2" s="2550" t="s">
        <v>1159</v>
      </c>
      <c r="EW2" s="2550" t="s">
        <v>1223</v>
      </c>
      <c r="EX2" s="2550" t="s">
        <v>1159</v>
      </c>
      <c r="EY2" s="2550" t="s">
        <v>1220</v>
      </c>
      <c r="EZ2" s="2550" t="s">
        <v>1159</v>
      </c>
      <c r="FA2" s="2550" t="s">
        <v>1182</v>
      </c>
      <c r="FB2" s="2550" t="s">
        <v>1159</v>
      </c>
      <c r="FC2" s="2550" t="s">
        <v>1310</v>
      </c>
      <c r="FD2" s="2550" t="s">
        <v>1159</v>
      </c>
      <c r="FE2" s="2550" t="s">
        <v>1311</v>
      </c>
      <c r="FF2" s="2550" t="s">
        <v>1159</v>
      </c>
      <c r="FG2" s="2550" t="s">
        <v>1199</v>
      </c>
      <c r="FH2" s="2550" t="s">
        <v>1159</v>
      </c>
      <c r="FI2" s="2550" t="s">
        <v>1171</v>
      </c>
      <c r="FJ2" s="2550" t="s">
        <v>1159</v>
      </c>
      <c r="FK2" s="2550" t="s">
        <v>1398</v>
      </c>
      <c r="FL2" s="2550" t="s">
        <v>1159</v>
      </c>
      <c r="FM2" s="2550" t="s">
        <v>1176</v>
      </c>
      <c r="FN2" s="2550" t="s">
        <v>1159</v>
      </c>
      <c r="FO2" s="2550" t="s">
        <v>1258</v>
      </c>
      <c r="FP2" s="2550" t="s">
        <v>1159</v>
      </c>
      <c r="FQ2" s="2550" t="s">
        <v>1177</v>
      </c>
      <c r="FR2" s="2550" t="s">
        <v>1159</v>
      </c>
      <c r="FS2" s="2550" t="s">
        <v>1388</v>
      </c>
      <c r="FT2" s="2550" t="s">
        <v>1159</v>
      </c>
      <c r="FU2" s="2550" t="s">
        <v>1186</v>
      </c>
      <c r="FV2" s="2550" t="s">
        <v>1159</v>
      </c>
      <c r="FW2" s="2550" t="s">
        <v>1287</v>
      </c>
      <c r="FX2" s="2550" t="s">
        <v>1159</v>
      </c>
      <c r="FY2" s="2550" t="s">
        <v>1254</v>
      </c>
      <c r="FZ2" s="2550" t="s">
        <v>1159</v>
      </c>
      <c r="GA2" s="2550" t="s">
        <v>1267</v>
      </c>
      <c r="GB2" s="2550" t="s">
        <v>1159</v>
      </c>
      <c r="GC2" s="2550" t="s">
        <v>1245</v>
      </c>
      <c r="GD2" s="2550" t="s">
        <v>1159</v>
      </c>
      <c r="GE2" s="2550" t="s">
        <v>1359</v>
      </c>
      <c r="GF2" s="2550" t="s">
        <v>1159</v>
      </c>
      <c r="GG2" s="2550" t="s">
        <v>1173</v>
      </c>
      <c r="GH2" s="2550" t="s">
        <v>1159</v>
      </c>
      <c r="GI2" s="2550" t="s">
        <v>1407</v>
      </c>
      <c r="GJ2" s="2550" t="s">
        <v>1159</v>
      </c>
      <c r="GK2" s="2550" t="s">
        <v>1236</v>
      </c>
      <c r="GL2" s="2550" t="s">
        <v>1159</v>
      </c>
      <c r="GM2" s="2550" t="s">
        <v>1204</v>
      </c>
      <c r="GN2" s="2550" t="s">
        <v>1159</v>
      </c>
      <c r="GO2" s="2550" t="s">
        <v>1390</v>
      </c>
      <c r="GP2" s="2550" t="s">
        <v>1159</v>
      </c>
      <c r="GQ2" s="2550" t="s">
        <v>1320</v>
      </c>
      <c r="GR2" s="2550" t="s">
        <v>1159</v>
      </c>
      <c r="GS2" s="2550" t="s">
        <v>1203</v>
      </c>
      <c r="GT2" s="2550" t="s">
        <v>1159</v>
      </c>
      <c r="GU2" s="2550" t="s">
        <v>1195</v>
      </c>
      <c r="GV2" s="2550" t="s">
        <v>1159</v>
      </c>
      <c r="GW2" s="2550" t="s">
        <v>1196</v>
      </c>
      <c r="GX2" s="2550" t="s">
        <v>1159</v>
      </c>
      <c r="GY2" s="2550" t="s">
        <v>1314</v>
      </c>
      <c r="GZ2" s="2550" t="s">
        <v>1159</v>
      </c>
      <c r="HA2" s="2550" t="s">
        <v>1354</v>
      </c>
      <c r="HB2" s="2550" t="s">
        <v>1159</v>
      </c>
      <c r="HC2" s="2550" t="s">
        <v>1201</v>
      </c>
      <c r="HD2" s="2550" t="s">
        <v>1159</v>
      </c>
      <c r="HE2" s="2550" t="s">
        <v>1299</v>
      </c>
      <c r="HF2" s="2550" t="s">
        <v>1159</v>
      </c>
      <c r="HG2" s="2550" t="s">
        <v>1312</v>
      </c>
      <c r="HH2" s="2550" t="s">
        <v>1159</v>
      </c>
      <c r="HI2" s="2550" t="s">
        <v>1256</v>
      </c>
      <c r="HJ2" s="2550" t="s">
        <v>1159</v>
      </c>
      <c r="HK2" s="2550" t="s">
        <v>1248</v>
      </c>
      <c r="HL2" s="2550" t="s">
        <v>1159</v>
      </c>
      <c r="HM2" s="2550" t="s">
        <v>1161</v>
      </c>
      <c r="HN2" s="2550" t="s">
        <v>1159</v>
      </c>
      <c r="HO2" s="2550" t="s">
        <v>1263</v>
      </c>
      <c r="HP2" s="2550" t="s">
        <v>1159</v>
      </c>
      <c r="HQ2" s="2550" t="s">
        <v>1336</v>
      </c>
      <c r="HR2" s="2550" t="s">
        <v>1159</v>
      </c>
      <c r="HS2" s="2550" t="s">
        <v>1228</v>
      </c>
      <c r="HT2" s="2550" t="s">
        <v>1159</v>
      </c>
      <c r="HU2" s="2550" t="s">
        <v>1368</v>
      </c>
      <c r="HV2" s="2550" t="s">
        <v>1159</v>
      </c>
      <c r="HW2" s="2550" t="s">
        <v>1280</v>
      </c>
      <c r="HX2" s="2550" t="s">
        <v>1159</v>
      </c>
      <c r="HY2" s="2550" t="s">
        <v>1226</v>
      </c>
      <c r="HZ2" s="2550" t="s">
        <v>1159</v>
      </c>
      <c r="IA2" s="2550" t="s">
        <v>1286</v>
      </c>
      <c r="IB2" s="2550" t="s">
        <v>1159</v>
      </c>
      <c r="IC2" s="2550" t="s">
        <v>1396</v>
      </c>
      <c r="ID2" s="2550" t="s">
        <v>1159</v>
      </c>
      <c r="IE2" s="2550" t="s">
        <v>1391</v>
      </c>
      <c r="IF2" s="2550" t="s">
        <v>1159</v>
      </c>
      <c r="IG2" s="2550" t="s">
        <v>1294</v>
      </c>
      <c r="IH2" s="2550" t="s">
        <v>1159</v>
      </c>
      <c r="II2" s="2550" t="s">
        <v>1399</v>
      </c>
      <c r="IJ2" s="2550" t="s">
        <v>1159</v>
      </c>
      <c r="IK2" s="2550" t="s">
        <v>1262</v>
      </c>
      <c r="IL2" s="2550" t="s">
        <v>1159</v>
      </c>
      <c r="IM2" s="2550" t="s">
        <v>1292</v>
      </c>
      <c r="IN2" s="2550" t="s">
        <v>1159</v>
      </c>
      <c r="IO2" s="2550" t="s">
        <v>1316</v>
      </c>
      <c r="IP2" s="2550" t="s">
        <v>1159</v>
      </c>
      <c r="IQ2" s="2550" t="s">
        <v>1277</v>
      </c>
      <c r="IR2" s="2550" t="s">
        <v>1159</v>
      </c>
      <c r="IS2" s="2550" t="s">
        <v>1200</v>
      </c>
      <c r="IT2" s="2550" t="s">
        <v>1159</v>
      </c>
      <c r="IU2" s="2550" t="s">
        <v>1378</v>
      </c>
      <c r="IV2" s="2550" t="s">
        <v>1159</v>
      </c>
    </row>
    <row r="3" spans="1:256">
      <c r="A3" s="2550" t="s">
        <v>1202</v>
      </c>
      <c r="B3" s="2550" t="s">
        <v>1159</v>
      </c>
      <c r="C3" s="2550" t="s">
        <v>1284</v>
      </c>
      <c r="D3" s="2550" t="s">
        <v>1159</v>
      </c>
      <c r="E3" s="2550" t="s">
        <v>1333</v>
      </c>
      <c r="F3" s="2550" t="s">
        <v>1159</v>
      </c>
      <c r="G3" s="2550" t="s">
        <v>1358</v>
      </c>
      <c r="H3" s="2550" t="s">
        <v>1159</v>
      </c>
      <c r="I3" s="2550" t="s">
        <v>1160</v>
      </c>
      <c r="J3" s="2550" t="s">
        <v>1159</v>
      </c>
      <c r="K3" s="2550" t="s">
        <v>1180</v>
      </c>
      <c r="L3" s="2550" t="s">
        <v>1159</v>
      </c>
      <c r="M3" s="2550" t="s">
        <v>1194</v>
      </c>
      <c r="N3" s="2550" t="s">
        <v>1159</v>
      </c>
      <c r="O3" s="2550" t="s">
        <v>1212</v>
      </c>
      <c r="P3" s="2550" t="s">
        <v>1159</v>
      </c>
      <c r="Q3" s="2550" t="s">
        <v>1357</v>
      </c>
      <c r="R3" s="2550" t="s">
        <v>1159</v>
      </c>
      <c r="S3" s="2550" t="s">
        <v>1259</v>
      </c>
      <c r="T3" s="2550" t="s">
        <v>1159</v>
      </c>
      <c r="U3" s="2550" t="s">
        <v>1255</v>
      </c>
      <c r="V3" s="2550" t="s">
        <v>1159</v>
      </c>
      <c r="W3" s="2550" t="s">
        <v>1210</v>
      </c>
      <c r="X3" s="2550" t="s">
        <v>1159</v>
      </c>
      <c r="Y3" s="2550" t="s">
        <v>1304</v>
      </c>
      <c r="Z3" s="2550" t="s">
        <v>1159</v>
      </c>
      <c r="AA3" s="2550" t="s">
        <v>1207</v>
      </c>
      <c r="AB3" s="2550" t="s">
        <v>1159</v>
      </c>
      <c r="AC3" s="2550" t="s">
        <v>1290</v>
      </c>
      <c r="AD3" s="2550" t="s">
        <v>1159</v>
      </c>
      <c r="AE3" s="2550" t="s">
        <v>582</v>
      </c>
      <c r="AF3" s="2550" t="s">
        <v>630</v>
      </c>
      <c r="AG3" s="2550" t="s">
        <v>1167</v>
      </c>
      <c r="AH3" s="2550" t="s">
        <v>1159</v>
      </c>
      <c r="AI3" s="2550" t="s">
        <v>1366</v>
      </c>
      <c r="AJ3" s="2550" t="s">
        <v>1159</v>
      </c>
      <c r="AK3" s="2550" t="s">
        <v>1249</v>
      </c>
      <c r="AL3" s="2550" t="s">
        <v>1159</v>
      </c>
      <c r="AM3" s="2550" t="s">
        <v>1162</v>
      </c>
      <c r="AN3" s="2550" t="s">
        <v>1159</v>
      </c>
      <c r="AO3" s="2550" t="s">
        <v>1243</v>
      </c>
      <c r="AP3" s="2550" t="s">
        <v>1159</v>
      </c>
      <c r="AQ3" s="2550" t="s">
        <v>1165</v>
      </c>
      <c r="AR3" s="2550" t="s">
        <v>1159</v>
      </c>
      <c r="AS3" s="2550" t="s">
        <v>1385</v>
      </c>
      <c r="AT3" s="2550" t="s">
        <v>1159</v>
      </c>
      <c r="AU3" s="2550" t="s">
        <v>1345</v>
      </c>
      <c r="AV3" s="2550" t="s">
        <v>1159</v>
      </c>
      <c r="AW3" s="2550" t="s">
        <v>1198</v>
      </c>
      <c r="AX3" s="2550" t="s">
        <v>1159</v>
      </c>
      <c r="AY3" s="2550" t="s">
        <v>1169</v>
      </c>
      <c r="AZ3" s="2550" t="s">
        <v>1159</v>
      </c>
      <c r="BA3" s="2550" t="s">
        <v>1382</v>
      </c>
      <c r="BB3" s="2550" t="s">
        <v>1159</v>
      </c>
      <c r="BC3" s="2550" t="s">
        <v>1329</v>
      </c>
      <c r="BD3" s="2550" t="s">
        <v>1159</v>
      </c>
      <c r="BE3" s="2550" t="s">
        <v>1300</v>
      </c>
      <c r="BF3" s="2550" t="s">
        <v>1159</v>
      </c>
      <c r="BG3" s="2550" t="s">
        <v>1305</v>
      </c>
      <c r="BH3" s="2550" t="s">
        <v>1159</v>
      </c>
      <c r="BI3" s="2550" t="s">
        <v>1178</v>
      </c>
      <c r="BJ3" s="2550" t="s">
        <v>1159</v>
      </c>
      <c r="BK3" s="2550" t="s">
        <v>1270</v>
      </c>
      <c r="BL3" s="2550" t="s">
        <v>1159</v>
      </c>
      <c r="BM3" s="2550" t="s">
        <v>1269</v>
      </c>
      <c r="BN3" s="2550" t="s">
        <v>1159</v>
      </c>
      <c r="BO3" s="2550" t="s">
        <v>1323</v>
      </c>
      <c r="BP3" s="2550" t="s">
        <v>1159</v>
      </c>
      <c r="BQ3" s="2550" t="s">
        <v>1380</v>
      </c>
      <c r="BR3" s="2550" t="s">
        <v>1159</v>
      </c>
      <c r="BS3" s="2550" t="s">
        <v>1339</v>
      </c>
      <c r="BT3" s="2550" t="s">
        <v>1159</v>
      </c>
      <c r="BU3" s="2550" t="s">
        <v>1322</v>
      </c>
      <c r="BV3" s="2550" t="s">
        <v>1159</v>
      </c>
      <c r="BW3" s="2550" t="s">
        <v>1379</v>
      </c>
      <c r="BX3" s="2550" t="s">
        <v>1159</v>
      </c>
      <c r="BY3" s="2550" t="s">
        <v>1191</v>
      </c>
      <c r="BZ3" s="2550" t="s">
        <v>1159</v>
      </c>
      <c r="CA3" s="2550" t="s">
        <v>1283</v>
      </c>
      <c r="CB3" s="2550" t="s">
        <v>1159</v>
      </c>
      <c r="CC3" s="2550" t="s">
        <v>1241</v>
      </c>
      <c r="CD3" s="2550" t="s">
        <v>1159</v>
      </c>
      <c r="CE3" s="2550" t="s">
        <v>581</v>
      </c>
      <c r="CF3" s="2550" t="s">
        <v>630</v>
      </c>
      <c r="CG3" s="2550" t="s">
        <v>1362</v>
      </c>
      <c r="CH3" s="2550" t="s">
        <v>1159</v>
      </c>
      <c r="CI3" s="2550" t="s">
        <v>1183</v>
      </c>
      <c r="CJ3" s="2550" t="s">
        <v>1159</v>
      </c>
      <c r="CK3" s="2550" t="s">
        <v>1400</v>
      </c>
      <c r="CL3" s="2550" t="s">
        <v>1159</v>
      </c>
      <c r="CM3" s="2550" t="s">
        <v>1187</v>
      </c>
      <c r="CN3" s="2550" t="s">
        <v>1159</v>
      </c>
      <c r="CO3" s="2550" t="s">
        <v>1321</v>
      </c>
      <c r="CP3" s="2550" t="s">
        <v>1159</v>
      </c>
      <c r="CQ3" s="2550" t="s">
        <v>1217</v>
      </c>
      <c r="CR3" s="2550" t="s">
        <v>1159</v>
      </c>
      <c r="CS3" s="2550" t="s">
        <v>1166</v>
      </c>
      <c r="CT3" s="2550" t="s">
        <v>1159</v>
      </c>
      <c r="CU3" s="2550" t="s">
        <v>1278</v>
      </c>
      <c r="CV3" s="2550" t="s">
        <v>1159</v>
      </c>
      <c r="CW3" s="2550" t="s">
        <v>833</v>
      </c>
      <c r="CX3" s="2550" t="s">
        <v>469</v>
      </c>
      <c r="CY3" s="2550" t="s">
        <v>1293</v>
      </c>
      <c r="CZ3" s="2550" t="s">
        <v>1159</v>
      </c>
      <c r="DA3" s="2550" t="s">
        <v>1208</v>
      </c>
      <c r="DB3" s="2550" t="s">
        <v>1159</v>
      </c>
      <c r="DC3" s="2550" t="s">
        <v>1257</v>
      </c>
      <c r="DD3" s="2550" t="s">
        <v>1159</v>
      </c>
      <c r="DE3" s="2550" t="s">
        <v>1356</v>
      </c>
      <c r="DF3" s="2550" t="s">
        <v>1159</v>
      </c>
      <c r="DG3" s="2550" t="s">
        <v>1313</v>
      </c>
      <c r="DH3" s="2550" t="s">
        <v>1159</v>
      </c>
      <c r="DI3" s="2550" t="s">
        <v>583</v>
      </c>
      <c r="DJ3" s="2550" t="s">
        <v>630</v>
      </c>
      <c r="DK3" s="2550" t="s">
        <v>1260</v>
      </c>
      <c r="DL3" s="2550" t="s">
        <v>1159</v>
      </c>
      <c r="DM3" s="2550" t="s">
        <v>1233</v>
      </c>
      <c r="DN3" s="2550" t="s">
        <v>1159</v>
      </c>
      <c r="DO3" s="2550" t="s">
        <v>1175</v>
      </c>
      <c r="DP3" s="2550" t="s">
        <v>1159</v>
      </c>
      <c r="DQ3" s="2550" t="s">
        <v>1221</v>
      </c>
      <c r="DR3" s="2550" t="s">
        <v>1159</v>
      </c>
      <c r="DS3" s="2550" t="s">
        <v>1301</v>
      </c>
      <c r="DT3" s="2550" t="s">
        <v>1159</v>
      </c>
      <c r="DU3" s="2550" t="s">
        <v>1364</v>
      </c>
      <c r="DV3" s="2550" t="s">
        <v>1159</v>
      </c>
      <c r="DW3" s="2550" t="s">
        <v>1190</v>
      </c>
      <c r="DX3" s="2550" t="s">
        <v>1159</v>
      </c>
      <c r="DY3" s="2550" t="s">
        <v>1193</v>
      </c>
      <c r="DZ3" s="2550" t="s">
        <v>1159</v>
      </c>
      <c r="EA3" s="2550" t="s">
        <v>1164</v>
      </c>
      <c r="EB3" s="2550" t="s">
        <v>1159</v>
      </c>
      <c r="EC3" s="2550" t="s">
        <v>584</v>
      </c>
      <c r="ED3" s="2550">
        <v>31</v>
      </c>
      <c r="EE3" s="2550" t="s">
        <v>1281</v>
      </c>
      <c r="EF3" s="2550" t="s">
        <v>1159</v>
      </c>
      <c r="EG3" s="2550" t="s">
        <v>1325</v>
      </c>
      <c r="EH3" s="2550" t="s">
        <v>1159</v>
      </c>
      <c r="EI3" s="2550" t="s">
        <v>831</v>
      </c>
      <c r="EJ3" s="2550" t="s">
        <v>1480</v>
      </c>
      <c r="EK3" s="2550" t="s">
        <v>1275</v>
      </c>
      <c r="EL3" s="2550" t="s">
        <v>1159</v>
      </c>
      <c r="EM3" s="2550" t="s">
        <v>1188</v>
      </c>
      <c r="EN3" s="2550" t="s">
        <v>1159</v>
      </c>
      <c r="EO3" s="2550" t="s">
        <v>1238</v>
      </c>
      <c r="EP3" s="2550" t="s">
        <v>1159</v>
      </c>
      <c r="EQ3" s="2550" t="s">
        <v>1373</v>
      </c>
      <c r="ER3" s="2550" t="s">
        <v>1159</v>
      </c>
      <c r="ES3" s="2550" t="s">
        <v>1184</v>
      </c>
      <c r="ET3" s="2550" t="s">
        <v>1159</v>
      </c>
      <c r="EU3" s="2550" t="s">
        <v>1346</v>
      </c>
      <c r="EV3" s="2550" t="s">
        <v>1159</v>
      </c>
      <c r="EW3" s="2550" t="s">
        <v>1341</v>
      </c>
      <c r="EX3" s="2550" t="s">
        <v>1159</v>
      </c>
      <c r="EY3" s="2550" t="s">
        <v>1377</v>
      </c>
      <c r="EZ3" s="2550" t="s">
        <v>1159</v>
      </c>
      <c r="FA3" s="2550" t="s">
        <v>1361</v>
      </c>
      <c r="FB3" s="2550" t="s">
        <v>1159</v>
      </c>
      <c r="FC3" s="2550" t="s">
        <v>1288</v>
      </c>
      <c r="FD3" s="2550" t="s">
        <v>1159</v>
      </c>
      <c r="FE3" s="2550" t="s">
        <v>1264</v>
      </c>
      <c r="FF3" s="2550" t="s">
        <v>1159</v>
      </c>
      <c r="FG3" s="2550" t="s">
        <v>1224</v>
      </c>
      <c r="FH3" s="2550" t="s">
        <v>1159</v>
      </c>
      <c r="FI3" s="2550" t="s">
        <v>1268</v>
      </c>
      <c r="FJ3" s="2550" t="s">
        <v>1159</v>
      </c>
      <c r="FK3" s="2550" t="s">
        <v>1348</v>
      </c>
      <c r="FL3" s="2550" t="s">
        <v>1159</v>
      </c>
      <c r="FM3" s="2550" t="s">
        <v>1384</v>
      </c>
      <c r="FN3" s="2550" t="s">
        <v>1159</v>
      </c>
      <c r="FO3" s="2550" t="s">
        <v>1276</v>
      </c>
      <c r="FP3" s="2550" t="s">
        <v>1159</v>
      </c>
      <c r="FQ3" s="2550" t="s">
        <v>1172</v>
      </c>
      <c r="FR3" s="2550" t="s">
        <v>1159</v>
      </c>
      <c r="FS3" s="2550" t="s">
        <v>1367</v>
      </c>
      <c r="FT3" s="2550" t="s">
        <v>1159</v>
      </c>
      <c r="FU3" s="2550" t="s">
        <v>1351</v>
      </c>
      <c r="FV3" s="2550" t="s">
        <v>1159</v>
      </c>
      <c r="FW3" s="2550" t="s">
        <v>1404</v>
      </c>
      <c r="FX3" s="2550" t="s">
        <v>1159</v>
      </c>
      <c r="FY3" s="2550" t="s">
        <v>1375</v>
      </c>
      <c r="FZ3" s="2550" t="s">
        <v>1159</v>
      </c>
      <c r="GA3" s="2550" t="s">
        <v>1337</v>
      </c>
      <c r="GB3" s="2550" t="s">
        <v>1159</v>
      </c>
      <c r="GC3" s="2550" t="s">
        <v>1279</v>
      </c>
      <c r="GD3" s="2550" t="s">
        <v>1159</v>
      </c>
      <c r="GE3" s="2550" t="s">
        <v>1319</v>
      </c>
      <c r="GF3" s="2550" t="s">
        <v>1159</v>
      </c>
      <c r="GG3" s="2550" t="s">
        <v>1158</v>
      </c>
      <c r="GH3" s="2550" t="s">
        <v>1159</v>
      </c>
      <c r="GI3" s="2550" t="s">
        <v>1389</v>
      </c>
      <c r="GJ3" s="2550" t="s">
        <v>1159</v>
      </c>
      <c r="GK3" s="2550" t="s">
        <v>1285</v>
      </c>
      <c r="GL3" s="2550" t="s">
        <v>1159</v>
      </c>
      <c r="GM3" s="2550" t="s">
        <v>1227</v>
      </c>
      <c r="GN3" s="2550" t="s">
        <v>1159</v>
      </c>
      <c r="GO3" s="2550" t="s">
        <v>1214</v>
      </c>
      <c r="GP3" s="2550" t="s">
        <v>1159</v>
      </c>
      <c r="GQ3" s="2550" t="s">
        <v>1408</v>
      </c>
      <c r="GR3" s="2550" t="s">
        <v>1159</v>
      </c>
      <c r="GS3" s="2550" t="s">
        <v>1405</v>
      </c>
      <c r="GT3" s="2550" t="s">
        <v>1159</v>
      </c>
      <c r="GU3" s="2550" t="s">
        <v>1344</v>
      </c>
      <c r="GV3" s="2550" t="s">
        <v>1159</v>
      </c>
      <c r="GW3" s="2550" t="s">
        <v>1246</v>
      </c>
      <c r="GX3" s="2550" t="s">
        <v>1159</v>
      </c>
      <c r="GY3" s="2550" t="s">
        <v>1234</v>
      </c>
      <c r="GZ3" s="2550" t="s">
        <v>1159</v>
      </c>
      <c r="HA3" s="2550" t="s">
        <v>1307</v>
      </c>
      <c r="HB3" s="2550" t="s">
        <v>1159</v>
      </c>
      <c r="HC3" s="2550" t="s">
        <v>1360</v>
      </c>
      <c r="HD3" s="2550" t="s">
        <v>1159</v>
      </c>
      <c r="HE3" s="2550" t="s">
        <v>1272</v>
      </c>
      <c r="HF3" s="2550" t="s">
        <v>1159</v>
      </c>
      <c r="HG3" s="2550" t="s">
        <v>1291</v>
      </c>
      <c r="HH3" s="2550" t="s">
        <v>1159</v>
      </c>
      <c r="HI3" s="2550" t="s">
        <v>1326</v>
      </c>
      <c r="HJ3" s="2550" t="s">
        <v>1159</v>
      </c>
      <c r="HK3" s="2550" t="s">
        <v>1347</v>
      </c>
      <c r="HL3" s="2550" t="s">
        <v>1159</v>
      </c>
      <c r="HM3" s="2550" t="s">
        <v>1330</v>
      </c>
      <c r="HN3" s="2550" t="s">
        <v>1159</v>
      </c>
      <c r="HO3" s="2550" t="s">
        <v>1219</v>
      </c>
      <c r="HP3" s="2550" t="s">
        <v>1159</v>
      </c>
      <c r="HQ3" s="2550" t="s">
        <v>1250</v>
      </c>
      <c r="HR3" s="2550" t="s">
        <v>1159</v>
      </c>
      <c r="HS3" s="2550" t="s">
        <v>1355</v>
      </c>
      <c r="HT3" s="2550" t="s">
        <v>1159</v>
      </c>
      <c r="HU3" s="2550" t="s">
        <v>1179</v>
      </c>
      <c r="HV3" s="2550" t="s">
        <v>1159</v>
      </c>
      <c r="HW3" s="2550" t="s">
        <v>1274</v>
      </c>
      <c r="HX3" s="2550" t="s">
        <v>1159</v>
      </c>
      <c r="HY3" s="2550" t="s">
        <v>1266</v>
      </c>
      <c r="HZ3" s="2550" t="s">
        <v>1159</v>
      </c>
      <c r="IA3" s="2550" t="s">
        <v>1394</v>
      </c>
      <c r="IB3" s="2550" t="s">
        <v>1159</v>
      </c>
      <c r="IC3" s="2550" t="s">
        <v>1163</v>
      </c>
      <c r="ID3" s="2550" t="s">
        <v>1159</v>
      </c>
      <c r="IE3" s="2550" t="s">
        <v>1350</v>
      </c>
      <c r="IF3" s="2550" t="s">
        <v>1159</v>
      </c>
      <c r="IG3" s="2550" t="s">
        <v>1352</v>
      </c>
      <c r="IH3" s="2550" t="s">
        <v>1159</v>
      </c>
      <c r="II3" s="2550" t="s">
        <v>1306</v>
      </c>
      <c r="IJ3" s="2550" t="s">
        <v>1159</v>
      </c>
      <c r="IK3" s="2550" t="s">
        <v>1229</v>
      </c>
      <c r="IL3" s="2550" t="s">
        <v>1159</v>
      </c>
      <c r="IM3" s="2550" t="s">
        <v>1296</v>
      </c>
      <c r="IN3" s="2550" t="s">
        <v>1159</v>
      </c>
      <c r="IO3" s="2550" t="s">
        <v>1213</v>
      </c>
      <c r="IP3" s="2550" t="s">
        <v>1159</v>
      </c>
      <c r="IQ3" s="2550" t="s">
        <v>1303</v>
      </c>
      <c r="IR3" s="2550" t="s">
        <v>1159</v>
      </c>
      <c r="IS3" s="2550" t="s">
        <v>1225</v>
      </c>
      <c r="IT3" s="2550" t="s">
        <v>1159</v>
      </c>
      <c r="IU3" s="2550" t="s">
        <v>1170</v>
      </c>
      <c r="IV3" s="2550" t="s">
        <v>1159</v>
      </c>
    </row>
    <row r="4" spans="1:256">
      <c r="A4" s="2550" t="s">
        <v>1231</v>
      </c>
      <c r="B4" s="2550" t="s">
        <v>1159</v>
      </c>
      <c r="C4" s="2550"/>
      <c r="D4" s="2550"/>
      <c r="E4" s="2550"/>
      <c r="F4" s="2550"/>
      <c r="G4" s="2550"/>
      <c r="H4" s="2550"/>
      <c r="I4" s="2550"/>
      <c r="J4" s="2550"/>
      <c r="K4" s="2550"/>
      <c r="L4" s="2550"/>
      <c r="M4" s="2550"/>
      <c r="N4" s="2550"/>
      <c r="O4" s="2550"/>
      <c r="P4" s="2550"/>
      <c r="Q4" s="2550"/>
      <c r="R4" s="2550"/>
      <c r="S4" s="2550"/>
      <c r="T4" s="2550"/>
      <c r="U4" s="2550"/>
      <c r="V4" s="2550"/>
      <c r="W4" s="2550"/>
      <c r="X4" s="2550"/>
      <c r="Y4" s="2550"/>
      <c r="Z4" s="2550"/>
      <c r="AA4" s="2550"/>
      <c r="AB4" s="2550"/>
      <c r="AC4" s="2550"/>
      <c r="AD4" s="2550"/>
      <c r="AE4" s="2550"/>
      <c r="AF4" s="2550"/>
      <c r="AG4" s="2550"/>
      <c r="AH4" s="2550"/>
      <c r="AI4" s="2550"/>
      <c r="AJ4" s="2550"/>
      <c r="AK4" s="2550"/>
      <c r="AL4" s="2550"/>
      <c r="AM4" s="2550"/>
      <c r="AN4" s="2550"/>
      <c r="AO4" s="2550"/>
      <c r="AP4" s="2550"/>
      <c r="AQ4" s="2550"/>
      <c r="AR4" s="2550"/>
      <c r="AS4" s="2550"/>
      <c r="AT4" s="2550"/>
      <c r="AU4" s="2550"/>
      <c r="AV4" s="2550"/>
      <c r="AW4" s="2550"/>
      <c r="AX4" s="2550"/>
      <c r="AY4" s="2550"/>
      <c r="AZ4" s="2550"/>
      <c r="BA4" s="2550"/>
      <c r="BB4" s="2550"/>
      <c r="BC4" s="2550"/>
      <c r="BD4" s="2550"/>
      <c r="BE4" s="2550"/>
      <c r="BF4" s="2550"/>
      <c r="BG4" s="2550"/>
      <c r="BH4" s="2550"/>
      <c r="BI4" s="2550"/>
      <c r="BJ4" s="2550"/>
      <c r="BK4" s="2550"/>
      <c r="BL4" s="2550"/>
      <c r="BM4" s="2550"/>
      <c r="BN4" s="2550"/>
      <c r="BO4" s="2550"/>
      <c r="BP4" s="2550"/>
      <c r="BQ4" s="2550"/>
      <c r="BR4" s="2550"/>
      <c r="BS4" s="2550"/>
      <c r="BT4" s="2550"/>
      <c r="BU4" s="2550"/>
      <c r="BV4" s="2550"/>
      <c r="BW4" s="2550"/>
      <c r="BX4" s="2550"/>
      <c r="BY4" s="2550"/>
      <c r="BZ4" s="2550"/>
      <c r="CA4" s="2550"/>
      <c r="CB4" s="2550"/>
      <c r="CC4" s="2550"/>
      <c r="CD4" s="2550"/>
      <c r="CE4" s="2550"/>
      <c r="CF4" s="2550"/>
      <c r="CG4" s="2550"/>
      <c r="CH4" s="2550"/>
      <c r="CI4" s="2550"/>
      <c r="CJ4" s="2550"/>
      <c r="CK4" s="2550"/>
      <c r="CL4" s="2550"/>
      <c r="CM4" s="2550"/>
      <c r="CN4" s="2550"/>
      <c r="CO4" s="2550"/>
      <c r="CP4" s="2550"/>
      <c r="CQ4" s="2550"/>
      <c r="CR4" s="2550"/>
      <c r="CS4" s="2550"/>
      <c r="CT4" s="2550"/>
      <c r="CU4" s="2550"/>
      <c r="CV4" s="2550"/>
      <c r="CW4" s="2550"/>
      <c r="CX4" s="2550"/>
      <c r="CY4" s="2550"/>
      <c r="CZ4" s="2550"/>
      <c r="DA4" s="2550"/>
      <c r="DB4" s="2550"/>
      <c r="DC4" s="2550"/>
      <c r="DD4" s="2550"/>
      <c r="DE4" s="2550"/>
      <c r="DF4" s="2550"/>
      <c r="DG4" s="2550"/>
      <c r="DH4" s="2550"/>
      <c r="DI4" s="2550"/>
      <c r="DJ4" s="2550"/>
      <c r="DK4" s="2550"/>
      <c r="DL4" s="2550"/>
      <c r="DM4" s="2550"/>
      <c r="DN4" s="2550"/>
      <c r="DO4" s="2550"/>
      <c r="DP4" s="2550"/>
      <c r="DQ4" s="2550"/>
      <c r="DR4" s="2550"/>
      <c r="DS4" s="2550"/>
      <c r="DT4" s="2550"/>
      <c r="DU4" s="2550"/>
      <c r="DV4" s="2550"/>
      <c r="DW4" s="2550"/>
      <c r="DX4" s="2550"/>
      <c r="DY4" s="2550"/>
      <c r="DZ4" s="2550"/>
      <c r="EA4" s="2550"/>
      <c r="EB4" s="2550"/>
      <c r="EC4" s="2550"/>
      <c r="ED4" s="2550"/>
      <c r="EE4" s="2550"/>
      <c r="EF4" s="2550"/>
      <c r="EG4" s="2550"/>
      <c r="EH4" s="2550"/>
      <c r="EI4" s="2550"/>
      <c r="EJ4" s="2550"/>
      <c r="EK4" s="2550"/>
      <c r="EL4" s="2550"/>
      <c r="EM4" s="2550"/>
      <c r="EN4" s="2550"/>
      <c r="EO4" s="2550"/>
      <c r="EP4" s="2550"/>
      <c r="EQ4" s="2550"/>
      <c r="ER4" s="2550"/>
      <c r="ES4" s="2550"/>
      <c r="ET4" s="2550"/>
      <c r="EU4" s="2550"/>
      <c r="EV4" s="2550"/>
      <c r="EW4" s="2550"/>
      <c r="EX4" s="2550"/>
      <c r="EY4" s="2550"/>
      <c r="EZ4" s="2550"/>
      <c r="FA4" s="2550"/>
      <c r="FB4" s="2550"/>
      <c r="FC4" s="2550"/>
      <c r="FD4" s="2550"/>
      <c r="FE4" s="2550"/>
      <c r="FF4" s="2550"/>
      <c r="FG4" s="2550"/>
      <c r="FH4" s="2550"/>
      <c r="FI4" s="2550"/>
      <c r="FJ4" s="2550"/>
      <c r="FK4" s="2550"/>
      <c r="FL4" s="2550"/>
      <c r="FM4" s="2550"/>
      <c r="FN4" s="2550"/>
      <c r="FO4" s="2550"/>
      <c r="FP4" s="2550"/>
      <c r="FQ4" s="2550"/>
      <c r="FR4" s="2550"/>
      <c r="FS4" s="2550"/>
      <c r="FT4" s="2550"/>
      <c r="FU4" s="2550"/>
      <c r="FV4" s="2550"/>
      <c r="FW4" s="2550"/>
      <c r="FX4" s="2550"/>
      <c r="FY4" s="2550"/>
      <c r="FZ4" s="2550"/>
      <c r="GA4" s="2550"/>
      <c r="GB4" s="2550"/>
      <c r="GC4" s="2550"/>
      <c r="GD4" s="2550"/>
      <c r="GE4" s="2550"/>
      <c r="GF4" s="2550"/>
      <c r="GG4" s="2550"/>
      <c r="GH4" s="2550"/>
      <c r="GI4" s="2550"/>
      <c r="GJ4" s="2550"/>
      <c r="GK4" s="2550"/>
      <c r="GL4" s="2550"/>
      <c r="GM4" s="2550"/>
      <c r="GN4" s="2550"/>
      <c r="GO4" s="2550"/>
      <c r="GP4" s="2550"/>
      <c r="GQ4" s="2550"/>
      <c r="GR4" s="2550"/>
      <c r="GS4" s="2550"/>
      <c r="GT4" s="2550"/>
      <c r="GU4" s="2550"/>
      <c r="GV4" s="2550"/>
      <c r="GW4" s="2550"/>
      <c r="GX4" s="2550"/>
      <c r="GY4" s="2550"/>
      <c r="GZ4" s="2550"/>
      <c r="HA4" s="2550"/>
      <c r="HB4" s="2550"/>
      <c r="HC4" s="2550"/>
      <c r="HD4" s="2550"/>
      <c r="HE4" s="2550"/>
      <c r="HF4" s="2550"/>
      <c r="HG4" s="2550"/>
      <c r="HH4" s="2550"/>
      <c r="HI4" s="2550"/>
      <c r="HJ4" s="2550"/>
      <c r="HK4" s="2550"/>
      <c r="HL4" s="2550"/>
      <c r="HM4" s="2550"/>
      <c r="HN4" s="2550"/>
      <c r="HO4" s="2550"/>
      <c r="HP4" s="2550"/>
      <c r="HQ4" s="2550"/>
      <c r="HR4" s="2550"/>
      <c r="HS4" s="2550"/>
      <c r="HT4" s="2550"/>
      <c r="HU4" s="2550"/>
      <c r="HV4" s="2550"/>
      <c r="HW4" s="2550"/>
      <c r="HX4" s="2550"/>
      <c r="HY4" s="2550"/>
      <c r="HZ4" s="2550"/>
      <c r="IA4" s="2550"/>
      <c r="IB4" s="2550"/>
      <c r="IC4" s="2550"/>
      <c r="ID4" s="2550"/>
      <c r="IE4" s="2550"/>
      <c r="IF4" s="2550"/>
      <c r="IG4" s="2550"/>
      <c r="IH4" s="2550"/>
      <c r="II4" s="2550"/>
      <c r="IJ4" s="2550"/>
      <c r="IK4" s="2550"/>
      <c r="IL4" s="2550"/>
      <c r="IM4" s="2550"/>
      <c r="IN4" s="2550"/>
      <c r="IO4" s="2550"/>
      <c r="IP4" s="2550"/>
      <c r="IQ4" s="2550"/>
      <c r="IR4" s="2550"/>
      <c r="IS4" s="2550"/>
      <c r="IT4" s="2550"/>
      <c r="IU4" s="2550"/>
      <c r="IV4" s="2550"/>
    </row>
  </sheetData>
  <phoneticPr fontId="4" type="noConversion"/>
  <pageMargins left="0.75" right="0.75" top="1" bottom="1" header="0.5" footer="0.5"/>
  <pageSetup orientation="portrait" horizontalDpi="90" verticalDpi="90" r:id="rId1"/>
  <headerFooter alignWithMargins="0"/>
</worksheet>
</file>

<file path=customXml/_rels/item1.xml.rels><?xml version="1.0" encoding="UTF-8" standalone="yes"?>
<Relationships xmlns="http://schemas.openxmlformats.org/package/2006/relationships">
<Relationship Id="rId1" Target="itemProps1.xml" Type="http://schemas.openxmlformats.org/officeDocument/2006/relationships/customXmlProps"/>
</Relationships>

</file>

<file path=customXml/_rels/item2.xml.rels><?xml version="1.0" encoding="UTF-8" standalone="yes"?>
<Relationships xmlns="http://schemas.openxmlformats.org/package/2006/relationships">
<Relationship Id="rId1" Target="itemProps2.xml" Type="http://schemas.openxmlformats.org/officeDocument/2006/relationships/customXmlProps"/>
</Relationships>

</file>

<file path=customXml/item1.xml><?xml version="1.0" encoding="utf-8"?>
<lk:Links xmlns:lk="thomsonreuters.linking.metadata"/>
</file>

<file path=customXml/item2.xml><?xml version="1.0" encoding="utf-8"?>
<lkmtd:Metadata xmlns:lkmtd="thomsonreuters.linking.metadatachange">
  <MetadataChanged>0</MetadataChanged>
</lkmtd:Metadata>
</file>

<file path=customXml/itemProps1.xml><?xml version="1.0" encoding="utf-8"?>
<ds:datastoreItem xmlns:ds="http://schemas.openxmlformats.org/officeDocument/2006/customXml" ds:itemID="{6E5A5434-5552-4D82-A783-C1DD37FA28D3}">
  <ds:schemaRefs>
    <ds:schemaRef ds:uri="thomsonreuters.linking.metadata"/>
  </ds:schemaRefs>
</ds:datastoreItem>
</file>

<file path=customXml/itemProps2.xml><?xml version="1.0" encoding="utf-8"?>
<ds:datastoreItem xmlns:ds="http://schemas.openxmlformats.org/officeDocument/2006/customXml" ds:itemID="{84C11D9D-CB4D-4541-B9AC-E4396F9DE38B}">
  <ds:schemaRefs>
    <ds:schemaRef ds:uri="thomsonreuters.linking.metadatachang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599</vt:i4>
      </vt:variant>
    </vt:vector>
  </HeadingPairs>
  <TitlesOfParts>
    <vt:vector size="613" baseType="lpstr">
      <vt:lpstr>ImportantDisclosures</vt:lpstr>
      <vt:lpstr>IS</vt:lpstr>
      <vt:lpstr>BS</vt:lpstr>
      <vt:lpstr>CF</vt:lpstr>
      <vt:lpstr>Rev Overview</vt:lpstr>
      <vt:lpstr>Rev Detail - NEW</vt:lpstr>
      <vt:lpstr>Rev Detail - OLD</vt:lpstr>
      <vt:lpstr>Client Unit Model</vt:lpstr>
      <vt:lpstr>Unearned Revenue Breakdown</vt:lpstr>
      <vt:lpstr>DEPR</vt:lpstr>
      <vt:lpstr>OPT</vt:lpstr>
      <vt:lpstr>Intrinsic Value</vt:lpstr>
      <vt:lpstr>IndexInformation</vt:lpstr>
      <vt:lpstr>ModPubIndex</vt:lpstr>
      <vt:lpstr>'Intrinsic Value'!_DCF</vt:lpstr>
      <vt:lpstr>'Intrinsic Value'!_Intrinsicvalue</vt:lpstr>
      <vt:lpstr>AdditionalInstructions</vt:lpstr>
      <vt:lpstr>ImportantDisclosures!Address</vt:lpstr>
      <vt:lpstr>ModPubIndex!ANA</vt:lpstr>
      <vt:lpstr>ImportantDisclosures!Authors</vt:lpstr>
      <vt:lpstr>IndexInformation!Authors</vt:lpstr>
      <vt:lpstr>BasicShares</vt:lpstr>
      <vt:lpstr>ModPubIndex!BRO</vt:lpstr>
      <vt:lpstr>BS_AccountsPayable</vt:lpstr>
      <vt:lpstr>BS_AccountsReceivable</vt:lpstr>
      <vt:lpstr>BS_AccruedCompensation</vt:lpstr>
      <vt:lpstr>BS_CashAndEquivalents</vt:lpstr>
      <vt:lpstr>BS_CurrentDeferredTaxes</vt:lpstr>
      <vt:lpstr>BS_DeferredRevenue</vt:lpstr>
      <vt:lpstr>BS_DeferredTaxesFromForecastedAcquisitions</vt:lpstr>
      <vt:lpstr>BS_EquityInUnconsolidatedAffiliates</vt:lpstr>
      <vt:lpstr>BS_FootnoteStart</vt:lpstr>
      <vt:lpstr>BS_Goodwill</vt:lpstr>
      <vt:lpstr>BS_Inventory</vt:lpstr>
      <vt:lpstr>BS_LongTermDeferredTaxes</vt:lpstr>
      <vt:lpstr>BS_MinorityInterest</vt:lpstr>
      <vt:lpstr>BS_OtherAssets</vt:lpstr>
      <vt:lpstr>BS_OtherCurrentAssets</vt:lpstr>
      <vt:lpstr>BS_OtherIntangibles</vt:lpstr>
      <vt:lpstr>BS_OtherLongTermAssets</vt:lpstr>
      <vt:lpstr>BS_OtherLongTermLiabilities</vt:lpstr>
      <vt:lpstr>BS_PPE</vt:lpstr>
      <vt:lpstr>BS_PreferredStock</vt:lpstr>
      <vt:lpstr>BS_Q1_F2005</vt:lpstr>
      <vt:lpstr>BS_Q1_FY1989</vt:lpstr>
      <vt:lpstr>BS_Q1_FY1990</vt:lpstr>
      <vt:lpstr>BS_Q1_FY1991</vt:lpstr>
      <vt:lpstr>BS_Q1_FY1992</vt:lpstr>
      <vt:lpstr>BS_Q1_FY1993</vt:lpstr>
      <vt:lpstr>BS_Q1_FY1994</vt:lpstr>
      <vt:lpstr>BS_Q1_FY1995</vt:lpstr>
      <vt:lpstr>BS_Q1_FY1996</vt:lpstr>
      <vt:lpstr>BS_Q1_FY1997</vt:lpstr>
      <vt:lpstr>BS_Q1_FY1998</vt:lpstr>
      <vt:lpstr>BS_Q1_FY1999</vt:lpstr>
      <vt:lpstr>BS_Q1_FY2000</vt:lpstr>
      <vt:lpstr>BS_Q1_FY2001</vt:lpstr>
      <vt:lpstr>BS_Q1_FY2002</vt:lpstr>
      <vt:lpstr>BS_Q1_FY2003</vt:lpstr>
      <vt:lpstr>BS_Q1_FY2004</vt:lpstr>
      <vt:lpstr>BS_Q1_FY2005</vt:lpstr>
      <vt:lpstr>BS_Q1_FY2006</vt:lpstr>
      <vt:lpstr>BS_Q1_FY2007</vt:lpstr>
      <vt:lpstr>BS_Q1_FY2008</vt:lpstr>
      <vt:lpstr>BS_Q2_FY1989</vt:lpstr>
      <vt:lpstr>BS_Q2_FY1990</vt:lpstr>
      <vt:lpstr>BS_Q2_FY1991</vt:lpstr>
      <vt:lpstr>BS_Q2_FY1992</vt:lpstr>
      <vt:lpstr>BS_Q2_FY1993</vt:lpstr>
      <vt:lpstr>BS_Q2_FY1994</vt:lpstr>
      <vt:lpstr>BS_Q2_FY1995</vt:lpstr>
      <vt:lpstr>BS_Q2_FY1996</vt:lpstr>
      <vt:lpstr>BS_Q2_FY1997</vt:lpstr>
      <vt:lpstr>BS_Q2_FY1998</vt:lpstr>
      <vt:lpstr>BS_Q2_FY1999</vt:lpstr>
      <vt:lpstr>BS_Q2_FY2000</vt:lpstr>
      <vt:lpstr>BS_Q2_FY2001</vt:lpstr>
      <vt:lpstr>BS_Q2_FY2002</vt:lpstr>
      <vt:lpstr>BS_Q2_FY2003</vt:lpstr>
      <vt:lpstr>BS_Q2_FY2004</vt:lpstr>
      <vt:lpstr>BS_Q2_FY2005</vt:lpstr>
      <vt:lpstr>BS_Q2_FY2006</vt:lpstr>
      <vt:lpstr>BS_Q2_FY2007</vt:lpstr>
      <vt:lpstr>BS_Q2_FY2008</vt:lpstr>
      <vt:lpstr>BS_Q3_FY1989</vt:lpstr>
      <vt:lpstr>BS_Q3_FY1990</vt:lpstr>
      <vt:lpstr>BS_Q3_FY1991</vt:lpstr>
      <vt:lpstr>BS_Q3_FY1992</vt:lpstr>
      <vt:lpstr>BS_Q3_FY1993</vt:lpstr>
      <vt:lpstr>BS_Q3_FY1994</vt:lpstr>
      <vt:lpstr>BS_Q3_FY1995</vt:lpstr>
      <vt:lpstr>BS_Q3_FY1996</vt:lpstr>
      <vt:lpstr>BS_Q3_FY1997</vt:lpstr>
      <vt:lpstr>BS_Q3_FY1998</vt:lpstr>
      <vt:lpstr>BS_Q3_FY1999</vt:lpstr>
      <vt:lpstr>BS_Q3_FY2000</vt:lpstr>
      <vt:lpstr>BS_Q3_FY2001</vt:lpstr>
      <vt:lpstr>BS_Q3_FY2002</vt:lpstr>
      <vt:lpstr>BS_Q3_FY2003</vt:lpstr>
      <vt:lpstr>BS_Q3_FY2004</vt:lpstr>
      <vt:lpstr>BS_Q3_FY2005</vt:lpstr>
      <vt:lpstr>BS_Q3_FY2006</vt:lpstr>
      <vt:lpstr>BS_Q3_FY2007</vt:lpstr>
      <vt:lpstr>BS_Q3_FY2008</vt:lpstr>
      <vt:lpstr>BS_Q4_FY1989</vt:lpstr>
      <vt:lpstr>BS_Q4_FY1990</vt:lpstr>
      <vt:lpstr>BS_Q4_FY1991</vt:lpstr>
      <vt:lpstr>BS_Q4_FY1992</vt:lpstr>
      <vt:lpstr>BS_Q4_FY1993</vt:lpstr>
      <vt:lpstr>BS_Q4_FY1994</vt:lpstr>
      <vt:lpstr>BS_Q4_FY1995</vt:lpstr>
      <vt:lpstr>BS_Q4_FY1996</vt:lpstr>
      <vt:lpstr>BS_Q4_FY1997</vt:lpstr>
      <vt:lpstr>BS_Q4_FY1998</vt:lpstr>
      <vt:lpstr>BS_Q4_FY1999</vt:lpstr>
      <vt:lpstr>BS_Q4_FY2000</vt:lpstr>
      <vt:lpstr>BS_Q4_FY2001</vt:lpstr>
      <vt:lpstr>BS_Q4_FY2002</vt:lpstr>
      <vt:lpstr>BS_Q4_FY2003</vt:lpstr>
      <vt:lpstr>BS_Q4_FY2004</vt:lpstr>
      <vt:lpstr>BS_Q4_FY2005</vt:lpstr>
      <vt:lpstr>BS_Q4_FY2006</vt:lpstr>
      <vt:lpstr>BS_Q4_FY2007</vt:lpstr>
      <vt:lpstr>BS_Q4_FY2008</vt:lpstr>
      <vt:lpstr>BS_ShareholdersEquity</vt:lpstr>
      <vt:lpstr>BS_ShortTermInvestments</vt:lpstr>
      <vt:lpstr>CF_Acquisitions</vt:lpstr>
      <vt:lpstr>CF_CapitalExpenditures</vt:lpstr>
      <vt:lpstr>CF_CashFlowFromOperations</vt:lpstr>
      <vt:lpstr>CF_ChangeInNWC</vt:lpstr>
      <vt:lpstr>CF_CY1999</vt:lpstr>
      <vt:lpstr>CF_CY2000</vt:lpstr>
      <vt:lpstr>CF_CY2001</vt:lpstr>
      <vt:lpstr>CF_CY2002</vt:lpstr>
      <vt:lpstr>CF_CY2003</vt:lpstr>
      <vt:lpstr>CF_CY2004</vt:lpstr>
      <vt:lpstr>CF_CY2005</vt:lpstr>
      <vt:lpstr>CF_CY2006</vt:lpstr>
      <vt:lpstr>CF_CY2007</vt:lpstr>
      <vt:lpstr>CF_CY2008</vt:lpstr>
      <vt:lpstr>CF_CY2009</vt:lpstr>
      <vt:lpstr>CF_DeferredTaxes</vt:lpstr>
      <vt:lpstr>CF_DepreciationAndAmortization</vt:lpstr>
      <vt:lpstr>CF_FootnoteStart</vt:lpstr>
      <vt:lpstr>CF_Q1_CY2005</vt:lpstr>
      <vt:lpstr>CF_Q1_CY2006</vt:lpstr>
      <vt:lpstr>CF_Q1_FY1989</vt:lpstr>
      <vt:lpstr>CF_Q1_FY1990</vt:lpstr>
      <vt:lpstr>CF_Q1_FY1991</vt:lpstr>
      <vt:lpstr>CF_Q1_FY1992</vt:lpstr>
      <vt:lpstr>CF_Q1_FY1993</vt:lpstr>
      <vt:lpstr>CF_Q1_FY1994</vt:lpstr>
      <vt:lpstr>CF_Q1_FY1995</vt:lpstr>
      <vt:lpstr>CF_Q1_FY1996</vt:lpstr>
      <vt:lpstr>CF_Q1_FY1997</vt:lpstr>
      <vt:lpstr>CF_Q1_FY1998</vt:lpstr>
      <vt:lpstr>CF_Q1_FY1999</vt:lpstr>
      <vt:lpstr>CF_Q1_FY2000</vt:lpstr>
      <vt:lpstr>CF_Q1_FY2001</vt:lpstr>
      <vt:lpstr>CF_Q1_FY2002</vt:lpstr>
      <vt:lpstr>CF_Q1_FY2003</vt:lpstr>
      <vt:lpstr>CF_Q1_FY2004</vt:lpstr>
      <vt:lpstr>CF_Q1_FY2005</vt:lpstr>
      <vt:lpstr>CF_Q1_FY2006</vt:lpstr>
      <vt:lpstr>CF_Q1_FY2007</vt:lpstr>
      <vt:lpstr>CF_Q1_FY2008</vt:lpstr>
      <vt:lpstr>CF_Q2_CY2006</vt:lpstr>
      <vt:lpstr>CF_Q2_FY1989</vt:lpstr>
      <vt:lpstr>CF_Q2_FY1990</vt:lpstr>
      <vt:lpstr>CF_Q2_FY1991</vt:lpstr>
      <vt:lpstr>CF_Q2_FY1992</vt:lpstr>
      <vt:lpstr>CF_Q2_FY1993</vt:lpstr>
      <vt:lpstr>CF_Q2_FY1994</vt:lpstr>
      <vt:lpstr>CF_Q2_FY1995</vt:lpstr>
      <vt:lpstr>CF_Q2_FY1996</vt:lpstr>
      <vt:lpstr>CF_Q2_FY1997</vt:lpstr>
      <vt:lpstr>CF_Q2_FY1998</vt:lpstr>
      <vt:lpstr>CF_Q2_FY1999</vt:lpstr>
      <vt:lpstr>CF_Q2_FY2000</vt:lpstr>
      <vt:lpstr>CF_Q2_FY2001</vt:lpstr>
      <vt:lpstr>CF_Q2_FY2002</vt:lpstr>
      <vt:lpstr>CF_Q2_FY2003</vt:lpstr>
      <vt:lpstr>CF_Q2_FY2004</vt:lpstr>
      <vt:lpstr>CF_Q2_FY2005</vt:lpstr>
      <vt:lpstr>CF_Q2_FY2006</vt:lpstr>
      <vt:lpstr>CF_Q2_FY2007</vt:lpstr>
      <vt:lpstr>CF_Q2_FY2008</vt:lpstr>
      <vt:lpstr>CF_Q3_CY2006</vt:lpstr>
      <vt:lpstr>CF_Q3_FY1989</vt:lpstr>
      <vt:lpstr>CF_Q3_FY1990</vt:lpstr>
      <vt:lpstr>CF_Q3_FY1991</vt:lpstr>
      <vt:lpstr>CF_Q3_FY1992</vt:lpstr>
      <vt:lpstr>CF_Q3_FY1993</vt:lpstr>
      <vt:lpstr>CF_Q3_FY1994</vt:lpstr>
      <vt:lpstr>CF_Q3_FY1995</vt:lpstr>
      <vt:lpstr>CF_Q3_FY1996</vt:lpstr>
      <vt:lpstr>CF_Q3_FY1997</vt:lpstr>
      <vt:lpstr>CF_Q3_FY1998</vt:lpstr>
      <vt:lpstr>CF_Q3_FY1999</vt:lpstr>
      <vt:lpstr>CF_Q3_FY2000</vt:lpstr>
      <vt:lpstr>CF_Q3_FY2001</vt:lpstr>
      <vt:lpstr>CF_Q3_FY2002</vt:lpstr>
      <vt:lpstr>CF_Q3_FY2003</vt:lpstr>
      <vt:lpstr>CF_Q3_FY2004</vt:lpstr>
      <vt:lpstr>CF_Q3_FY2005</vt:lpstr>
      <vt:lpstr>CF_Q3_FY2006</vt:lpstr>
      <vt:lpstr>CF_Q3_FY2007</vt:lpstr>
      <vt:lpstr>CF_Q3_FY2008</vt:lpstr>
      <vt:lpstr>CF_Q4_CY2006</vt:lpstr>
      <vt:lpstr>CF_Q4_FY1989</vt:lpstr>
      <vt:lpstr>CF_Q4_FY1990</vt:lpstr>
      <vt:lpstr>CF_Q4_FY1991</vt:lpstr>
      <vt:lpstr>CF_Q4_FY1992</vt:lpstr>
      <vt:lpstr>CF_Q4_FY1993</vt:lpstr>
      <vt:lpstr>CF_Q4_FY1994</vt:lpstr>
      <vt:lpstr>CF_Q4_FY1995</vt:lpstr>
      <vt:lpstr>CF_Q4_FY1996</vt:lpstr>
      <vt:lpstr>CF_Q4_FY1997</vt:lpstr>
      <vt:lpstr>CF_Q4_FY1998</vt:lpstr>
      <vt:lpstr>CF_Q4_FY1999</vt:lpstr>
      <vt:lpstr>CF_Q4_FY2000</vt:lpstr>
      <vt:lpstr>CF_Q4_FY2001</vt:lpstr>
      <vt:lpstr>CF_Q4_FY2002</vt:lpstr>
      <vt:lpstr>CF_Q4_FY2003</vt:lpstr>
      <vt:lpstr>CF_Q4_FY2004</vt:lpstr>
      <vt:lpstr>CF_Q4_FY2005</vt:lpstr>
      <vt:lpstr>CF_Q4_FY2006</vt:lpstr>
      <vt:lpstr>CF_Q4_FY2007</vt:lpstr>
      <vt:lpstr>CF_Q4_FY2008</vt:lpstr>
      <vt:lpstr>CF_StockBasedCompensation</vt:lpstr>
      <vt:lpstr>CF_TaxBenefitFromStockOptions</vt:lpstr>
      <vt:lpstr>CopyrightStamp</vt:lpstr>
      <vt:lpstr>ModPubIndex!COU</vt:lpstr>
      <vt:lpstr>IndexInformation!CQEnd</vt:lpstr>
      <vt:lpstr>IndexInformation!Currency</vt:lpstr>
      <vt:lpstr>IndexInformation!CurrentStockPrice</vt:lpstr>
      <vt:lpstr>IndexInformation!CurrQtrEPS</vt:lpstr>
      <vt:lpstr>IndexInformation!CurrYearEPS</vt:lpstr>
      <vt:lpstr>IndexInformation!CurrYearTotalRevenue</vt:lpstr>
      <vt:lpstr>IndexInformation!CurrYearTotalRevenueActual</vt:lpstr>
      <vt:lpstr>IndexInformation!CUSIP</vt:lpstr>
      <vt:lpstr>IndexInformation!CYEnd</vt:lpstr>
      <vt:lpstr>ImportantDisclosures!Date</vt:lpstr>
      <vt:lpstr>IndexInformation!Deleted</vt:lpstr>
      <vt:lpstr>IndexInformation!Description</vt:lpstr>
      <vt:lpstr>IndexInformation!Discipline</vt:lpstr>
      <vt:lpstr>ModPubIndex!DISCIPLINE</vt:lpstr>
      <vt:lpstr>DisclosuresText</vt:lpstr>
      <vt:lpstr>IndexInformation!Distribution</vt:lpstr>
      <vt:lpstr>ModPubIndex!DOCDAT</vt:lpstr>
      <vt:lpstr>ModPubIndex!DOCTIME</vt:lpstr>
      <vt:lpstr>IndexInformation!DocType</vt:lpstr>
      <vt:lpstr>ModPubIndex!EMAIL_ALERT</vt:lpstr>
      <vt:lpstr>IndexInformation!EmailAlert</vt:lpstr>
      <vt:lpstr>'Intrinsic Value'!EquityCost</vt:lpstr>
      <vt:lpstr>IndexInformation!FiveYearGrowthRate</vt:lpstr>
      <vt:lpstr>IndexInformation!FollowingYearEPS</vt:lpstr>
      <vt:lpstr>IndexInformation!FollowingYearTotalRevenue</vt:lpstr>
      <vt:lpstr>IndexInformation!FollowingYearTotalRevenueActual</vt:lpstr>
      <vt:lpstr>FootnoteStart</vt:lpstr>
      <vt:lpstr>ModPubIndex!HL</vt:lpstr>
      <vt:lpstr>ModPubIndex!IND</vt:lpstr>
      <vt:lpstr>ImportantDisclosures!Industry</vt:lpstr>
      <vt:lpstr>IndustryId</vt:lpstr>
      <vt:lpstr>ImportantDisclosures!IndustryRating</vt:lpstr>
      <vt:lpstr>IS_BasicShares</vt:lpstr>
      <vt:lpstr>IS_CY1999</vt:lpstr>
      <vt:lpstr>IS_CY2000</vt:lpstr>
      <vt:lpstr>IS_CY2001</vt:lpstr>
      <vt:lpstr>IS_CY2002</vt:lpstr>
      <vt:lpstr>IS_CY2003</vt:lpstr>
      <vt:lpstr>IS_CY2004</vt:lpstr>
      <vt:lpstr>IS_CY2005</vt:lpstr>
      <vt:lpstr>IS_CY2006</vt:lpstr>
      <vt:lpstr>IS_CY2007</vt:lpstr>
      <vt:lpstr>IS_CY2008</vt:lpstr>
      <vt:lpstr>IS_CY2009</vt:lpstr>
      <vt:lpstr>IS_EBITDA</vt:lpstr>
      <vt:lpstr>IS_Extra1</vt:lpstr>
      <vt:lpstr>IS_Extra2</vt:lpstr>
      <vt:lpstr>IS_Extra4</vt:lpstr>
      <vt:lpstr>IS_FY1989</vt:lpstr>
      <vt:lpstr>IS_FY1990</vt:lpstr>
      <vt:lpstr>IS_FY1991</vt:lpstr>
      <vt:lpstr>IS_FY1992</vt:lpstr>
      <vt:lpstr>IS_FY1993</vt:lpstr>
      <vt:lpstr>IS_FY1994</vt:lpstr>
      <vt:lpstr>IS_FY1995</vt:lpstr>
      <vt:lpstr>IS_FY1996</vt:lpstr>
      <vt:lpstr>IS_FY1997</vt:lpstr>
      <vt:lpstr>IS_FY1998</vt:lpstr>
      <vt:lpstr>IS_FY1999</vt:lpstr>
      <vt:lpstr>IS_FY2000</vt:lpstr>
      <vt:lpstr>IS_FY2001</vt:lpstr>
      <vt:lpstr>IS_FY2002</vt:lpstr>
      <vt:lpstr>IS_FY2003</vt:lpstr>
      <vt:lpstr>IS_FY2004</vt:lpstr>
      <vt:lpstr>IS_FY2005</vt:lpstr>
      <vt:lpstr>IS_FY2006</vt:lpstr>
      <vt:lpstr>IS_FY2007</vt:lpstr>
      <vt:lpstr>IS_FY2008</vt:lpstr>
      <vt:lpstr>IS_FY2009</vt:lpstr>
      <vt:lpstr>IS_FY2010</vt:lpstr>
      <vt:lpstr>IS_FY2011</vt:lpstr>
      <vt:lpstr>IS_GrossProfit</vt:lpstr>
      <vt:lpstr>IS_NetInterest</vt:lpstr>
      <vt:lpstr>IS_OperatingExpensesExclAmort</vt:lpstr>
      <vt:lpstr>IS_OperatingIncomeExclAmort</vt:lpstr>
      <vt:lpstr>IS_OperatingNetIncome</vt:lpstr>
      <vt:lpstr>IS_PreTaxProfitInclAmort</vt:lpstr>
      <vt:lpstr>IS_ProvisionForTaxes</vt:lpstr>
      <vt:lpstr>IS_Q1_FY1989</vt:lpstr>
      <vt:lpstr>IS_Q1_FY1990</vt:lpstr>
      <vt:lpstr>IS_Q1_FY1991</vt:lpstr>
      <vt:lpstr>IS_Q1_FY1992</vt:lpstr>
      <vt:lpstr>IS_Q1_FY1993</vt:lpstr>
      <vt:lpstr>IS_Q1_FY1994</vt:lpstr>
      <vt:lpstr>IS_Q1_FY1995</vt:lpstr>
      <vt:lpstr>IS_Q1_FY1996</vt:lpstr>
      <vt:lpstr>IS_Q1_FY1997</vt:lpstr>
      <vt:lpstr>IS_Q1_FY1998</vt:lpstr>
      <vt:lpstr>IS_Q1_FY1999</vt:lpstr>
      <vt:lpstr>IS_Q1_FY2000</vt:lpstr>
      <vt:lpstr>IS_Q1_FY2001</vt:lpstr>
      <vt:lpstr>IS_Q1_FY2002</vt:lpstr>
      <vt:lpstr>IS_Q1_FY2003</vt:lpstr>
      <vt:lpstr>IS_Q1_FY2004</vt:lpstr>
      <vt:lpstr>IS_Q1_FY2005</vt:lpstr>
      <vt:lpstr>IS_Q1_FY2006</vt:lpstr>
      <vt:lpstr>IS_Q1_FY2007</vt:lpstr>
      <vt:lpstr>IS_Q1_FY2008</vt:lpstr>
      <vt:lpstr>IS_Q1_FY2009</vt:lpstr>
      <vt:lpstr>IS_Q1_FY2010</vt:lpstr>
      <vt:lpstr>IS_Q1_FY2011</vt:lpstr>
      <vt:lpstr>IS_Q2_FY1989</vt:lpstr>
      <vt:lpstr>IS_Q2_FY1990</vt:lpstr>
      <vt:lpstr>IS_Q2_FY1991</vt:lpstr>
      <vt:lpstr>IS_Q2_FY1992</vt:lpstr>
      <vt:lpstr>IS_Q2_FY1993</vt:lpstr>
      <vt:lpstr>IS_Q2_FY1994</vt:lpstr>
      <vt:lpstr>IS_Q2_FY1995</vt:lpstr>
      <vt:lpstr>IS_Q2_FY1996</vt:lpstr>
      <vt:lpstr>IS_Q2_FY1997</vt:lpstr>
      <vt:lpstr>IS_Q2_FY1998</vt:lpstr>
      <vt:lpstr>IS_Q2_FY1999</vt:lpstr>
      <vt:lpstr>IS_Q2_FY2000</vt:lpstr>
      <vt:lpstr>IS_Q2_FY2001</vt:lpstr>
      <vt:lpstr>IS_Q2_FY2002</vt:lpstr>
      <vt:lpstr>IS_Q2_FY2003</vt:lpstr>
      <vt:lpstr>IS_Q2_FY2004</vt:lpstr>
      <vt:lpstr>IS_Q2_FY2005</vt:lpstr>
      <vt:lpstr>IS_Q2_FY2006</vt:lpstr>
      <vt:lpstr>IS_Q2_FY2007</vt:lpstr>
      <vt:lpstr>IS_Q2_FY2008</vt:lpstr>
      <vt:lpstr>IS_Q2_FY2009</vt:lpstr>
      <vt:lpstr>IS_Q2_FY2010</vt:lpstr>
      <vt:lpstr>IS_Q2_FY2011</vt:lpstr>
      <vt:lpstr>IS_Q3_FY1989</vt:lpstr>
      <vt:lpstr>IS_Q3_FY1990</vt:lpstr>
      <vt:lpstr>IS_Q3_FY1991</vt:lpstr>
      <vt:lpstr>IS_Q3_FY1992</vt:lpstr>
      <vt:lpstr>IS_Q3_FY1993</vt:lpstr>
      <vt:lpstr>IS_Q3_FY1994</vt:lpstr>
      <vt:lpstr>IS_Q3_FY1995</vt:lpstr>
      <vt:lpstr>IS_Q3_FY1996</vt:lpstr>
      <vt:lpstr>IS_Q3_FY1997</vt:lpstr>
      <vt:lpstr>IS_Q3_FY1998</vt:lpstr>
      <vt:lpstr>IS_Q3_FY1999</vt:lpstr>
      <vt:lpstr>IS_Q3_FY2000</vt:lpstr>
      <vt:lpstr>IS_Q3_FY2001</vt:lpstr>
      <vt:lpstr>IS_Q3_FY2002</vt:lpstr>
      <vt:lpstr>IS_Q3_FY2003</vt:lpstr>
      <vt:lpstr>IS_Q3_FY2004</vt:lpstr>
      <vt:lpstr>IS_Q3_FY2005</vt:lpstr>
      <vt:lpstr>IS_Q3_FY2006</vt:lpstr>
      <vt:lpstr>IS_Q3_FY2007</vt:lpstr>
      <vt:lpstr>IS_Q3_FY2008</vt:lpstr>
      <vt:lpstr>IS_Q3_FY2009</vt:lpstr>
      <vt:lpstr>IS_Q3_FY2010</vt:lpstr>
      <vt:lpstr>IS_Q3_FY2011</vt:lpstr>
      <vt:lpstr>IS_Q4_FY1989</vt:lpstr>
      <vt:lpstr>IS_Q4_FY1990</vt:lpstr>
      <vt:lpstr>IS_Q4_FY1991</vt:lpstr>
      <vt:lpstr>IS_Q4_FY1992</vt:lpstr>
      <vt:lpstr>IS_Q4_FY1993</vt:lpstr>
      <vt:lpstr>IS_Q4_FY1994</vt:lpstr>
      <vt:lpstr>IS_Q4_FY1995</vt:lpstr>
      <vt:lpstr>IS_Q4_FY1996</vt:lpstr>
      <vt:lpstr>IS_Q4_FY1997</vt:lpstr>
      <vt:lpstr>IS_Q4_FY1998</vt:lpstr>
      <vt:lpstr>IS_Q4_FY1999</vt:lpstr>
      <vt:lpstr>IS_Q4_FY2000</vt:lpstr>
      <vt:lpstr>IS_Q4_FY2001</vt:lpstr>
      <vt:lpstr>IS_Q4_FY2002</vt:lpstr>
      <vt:lpstr>IS_Q4_FY2003</vt:lpstr>
      <vt:lpstr>IS_Q4_FY2004</vt:lpstr>
      <vt:lpstr>IS_Q4_FY2005</vt:lpstr>
      <vt:lpstr>IS_Q4_FY2006</vt:lpstr>
      <vt:lpstr>IS_Q4_FY2007</vt:lpstr>
      <vt:lpstr>IS_Q4_FY2008</vt:lpstr>
      <vt:lpstr>IS_Q4_FY2009</vt:lpstr>
      <vt:lpstr>IS_Q4_FY2010</vt:lpstr>
      <vt:lpstr>IS_Q4_FY2011</vt:lpstr>
      <vt:lpstr>IS_ReportedNetIncome</vt:lpstr>
      <vt:lpstr>IS_Revenue</vt:lpstr>
      <vt:lpstr>IS_WeightedAverageBasicShares</vt:lpstr>
      <vt:lpstr>IS_WeightedAverageDilutedShares</vt:lpstr>
      <vt:lpstr>IndexInformation!KeepVersions</vt:lpstr>
      <vt:lpstr>LanguageCode</vt:lpstr>
      <vt:lpstr>ImportantDisclosures!LastCell</vt:lpstr>
      <vt:lpstr>'Rev Detail - NEW'!Linking_1</vt:lpstr>
      <vt:lpstr>Linking_1</vt:lpstr>
      <vt:lpstr>Linking_12</vt:lpstr>
      <vt:lpstr>Linking_20</vt:lpstr>
      <vt:lpstr>'Rev Detail - NEW'!Linking_21</vt:lpstr>
      <vt:lpstr>Linking_21</vt:lpstr>
      <vt:lpstr>'Rev Detail - NEW'!Linking_22</vt:lpstr>
      <vt:lpstr>Linking_22</vt:lpstr>
      <vt:lpstr>'Rev Detail - NEW'!Linking_23</vt:lpstr>
      <vt:lpstr>Linking_23</vt:lpstr>
      <vt:lpstr>'Rev Detail - NEW'!Linking_24</vt:lpstr>
      <vt:lpstr>Linking_24</vt:lpstr>
      <vt:lpstr>'Rev Detail - NEW'!Linking_25</vt:lpstr>
      <vt:lpstr>Linking_25</vt:lpstr>
      <vt:lpstr>'Rev Detail - NEW'!Linking_26</vt:lpstr>
      <vt:lpstr>Linking_26</vt:lpstr>
      <vt:lpstr>Linking_28</vt:lpstr>
      <vt:lpstr>Linking_29</vt:lpstr>
      <vt:lpstr>Linking_30</vt:lpstr>
      <vt:lpstr>Linking_31</vt:lpstr>
      <vt:lpstr>'Rev Detail - NEW'!Linking_32</vt:lpstr>
      <vt:lpstr>Linking_32</vt:lpstr>
      <vt:lpstr>'Rev Detail - NEW'!Linking_33</vt:lpstr>
      <vt:lpstr>Linking_33</vt:lpstr>
      <vt:lpstr>'Rev Detail - NEW'!Linking_34</vt:lpstr>
      <vt:lpstr>Linking_34</vt:lpstr>
      <vt:lpstr>Linking_36</vt:lpstr>
      <vt:lpstr>Linking_40</vt:lpstr>
      <vt:lpstr>Linking_41</vt:lpstr>
      <vt:lpstr>Linking_42</vt:lpstr>
      <vt:lpstr>Linking_43</vt:lpstr>
      <vt:lpstr>Linking_44</vt:lpstr>
      <vt:lpstr>Linking_45</vt:lpstr>
      <vt:lpstr>Linking_46</vt:lpstr>
      <vt:lpstr>Linking_48</vt:lpstr>
      <vt:lpstr>'Rev Detail - NEW'!Linking_49</vt:lpstr>
      <vt:lpstr>Linking_49</vt:lpstr>
      <vt:lpstr>'Rev Detail - NEW'!Linking_50</vt:lpstr>
      <vt:lpstr>Linking_50</vt:lpstr>
      <vt:lpstr>'Rev Detail - NEW'!Linking_51</vt:lpstr>
      <vt:lpstr>Linking_51</vt:lpstr>
      <vt:lpstr>Linking_52</vt:lpstr>
      <vt:lpstr>Linking_53</vt:lpstr>
      <vt:lpstr>Linking_54</vt:lpstr>
      <vt:lpstr>Linking_55</vt:lpstr>
      <vt:lpstr>Linking_57</vt:lpstr>
      <vt:lpstr>Linking_58</vt:lpstr>
      <vt:lpstr>Linking_59</vt:lpstr>
      <vt:lpstr>Linking_60</vt:lpstr>
      <vt:lpstr>Linking_61</vt:lpstr>
      <vt:lpstr>Linking_63</vt:lpstr>
      <vt:lpstr>Linking_64</vt:lpstr>
      <vt:lpstr>Linking_65</vt:lpstr>
      <vt:lpstr>Linking_66</vt:lpstr>
      <vt:lpstr>Linking_68</vt:lpstr>
      <vt:lpstr>Linking_69</vt:lpstr>
      <vt:lpstr>Linking_70</vt:lpstr>
      <vt:lpstr>Linking_71</vt:lpstr>
      <vt:lpstr>Linking_72</vt:lpstr>
      <vt:lpstr>Linking_73</vt:lpstr>
      <vt:lpstr>Linking_Range_10</vt:lpstr>
      <vt:lpstr>Linking_Range_100</vt:lpstr>
      <vt:lpstr>Linking_Range_101</vt:lpstr>
      <vt:lpstr>Linking_Range_102</vt:lpstr>
      <vt:lpstr>Linking_Range_110</vt:lpstr>
      <vt:lpstr>Linking_Range_114</vt:lpstr>
      <vt:lpstr>Linking_Range_115</vt:lpstr>
      <vt:lpstr>Linking_Range_116</vt:lpstr>
      <vt:lpstr>Linking_Range_117</vt:lpstr>
      <vt:lpstr>Linking_Range_119</vt:lpstr>
      <vt:lpstr>Linking_Range_120</vt:lpstr>
      <vt:lpstr>Linking_Range_121</vt:lpstr>
      <vt:lpstr>Linking_Range_122</vt:lpstr>
      <vt:lpstr>Linking_Range_16</vt:lpstr>
      <vt:lpstr>Linking_Range_17</vt:lpstr>
      <vt:lpstr>Linking_Range_18</vt:lpstr>
      <vt:lpstr>Linking_Range_19</vt:lpstr>
      <vt:lpstr>Linking_Range_2</vt:lpstr>
      <vt:lpstr>Linking_Range_22</vt:lpstr>
      <vt:lpstr>Linking_Range_23</vt:lpstr>
      <vt:lpstr>Linking_Range_24</vt:lpstr>
      <vt:lpstr>Linking_Range_25</vt:lpstr>
      <vt:lpstr>Linking_Range_26</vt:lpstr>
      <vt:lpstr>Linking_Range_28</vt:lpstr>
      <vt:lpstr>Linking_Range_30</vt:lpstr>
      <vt:lpstr>Linking_Range_31</vt:lpstr>
      <vt:lpstr>Linking_Range_32</vt:lpstr>
      <vt:lpstr>Linking_Range_33</vt:lpstr>
      <vt:lpstr>Linking_Range_34</vt:lpstr>
      <vt:lpstr>Linking_Range_35</vt:lpstr>
      <vt:lpstr>Linking_Range_36</vt:lpstr>
      <vt:lpstr>Linking_Range_38</vt:lpstr>
      <vt:lpstr>Linking_Range_4</vt:lpstr>
      <vt:lpstr>Linking_Range_40</vt:lpstr>
      <vt:lpstr>'Rev Detail - NEW'!Linking_Range_42</vt:lpstr>
      <vt:lpstr>Linking_Range_42</vt:lpstr>
      <vt:lpstr>Linking_Range_43</vt:lpstr>
      <vt:lpstr>Linking_Range_44</vt:lpstr>
      <vt:lpstr>Linking_Range_5</vt:lpstr>
      <vt:lpstr>Linking_Range_66</vt:lpstr>
      <vt:lpstr>'Rev Detail - NEW'!Linking_Range_68</vt:lpstr>
      <vt:lpstr>Linking_Range_68</vt:lpstr>
      <vt:lpstr>'Rev Detail - NEW'!Linking_Range_69</vt:lpstr>
      <vt:lpstr>Linking_Range_69</vt:lpstr>
      <vt:lpstr>Linking_Range_7</vt:lpstr>
      <vt:lpstr>Linking_Range_70</vt:lpstr>
      <vt:lpstr>Linking_Range_78</vt:lpstr>
      <vt:lpstr>Linking_Range_79</vt:lpstr>
      <vt:lpstr>Linking_Range_80</vt:lpstr>
      <vt:lpstr>'Rev Detail - NEW'!Linking_Range_81</vt:lpstr>
      <vt:lpstr>Linking_Range_81</vt:lpstr>
      <vt:lpstr>'Rev Detail - NEW'!Linking_Range_82</vt:lpstr>
      <vt:lpstr>Linking_Range_82</vt:lpstr>
      <vt:lpstr>'Rev Detail - NEW'!Linking_Range_83</vt:lpstr>
      <vt:lpstr>Linking_Range_83</vt:lpstr>
      <vt:lpstr>'Rev Detail - NEW'!Linking_Range_84</vt:lpstr>
      <vt:lpstr>Linking_Range_84</vt:lpstr>
      <vt:lpstr>'Rev Detail - NEW'!Linking_Range_85</vt:lpstr>
      <vt:lpstr>Linking_Range_85</vt:lpstr>
      <vt:lpstr>'Rev Detail - NEW'!Linking_Range_88</vt:lpstr>
      <vt:lpstr>Linking_Range_88</vt:lpstr>
      <vt:lpstr>'Rev Detail - NEW'!Linking_Range_89</vt:lpstr>
      <vt:lpstr>Linking_Range_89</vt:lpstr>
      <vt:lpstr>Linking_Range_9</vt:lpstr>
      <vt:lpstr>IndexInformation!MacroVersion</vt:lpstr>
      <vt:lpstr>ImportantDisclosures!ModelPrice</vt:lpstr>
      <vt:lpstr>IndexInformation!Multiplier</vt:lpstr>
      <vt:lpstr>IndexInformation!NextYearEPS</vt:lpstr>
      <vt:lpstr>IndexInformation!NextYearTotalRevenue</vt:lpstr>
      <vt:lpstr>IndexInformation!NextYearTotalRevenueActual</vt:lpstr>
      <vt:lpstr>ObjectType</vt:lpstr>
      <vt:lpstr>OPT!OPT_Q1_FY1999</vt:lpstr>
      <vt:lpstr>OPT!OPT_Q1_FY2000</vt:lpstr>
      <vt:lpstr>OPT!OPT_Q1_FY2001</vt:lpstr>
      <vt:lpstr>OPT!OPT_Q1_FY2002</vt:lpstr>
      <vt:lpstr>OPT!OPT_Q1_FY2003</vt:lpstr>
      <vt:lpstr>OPT!OPT_Q1_FY2004</vt:lpstr>
      <vt:lpstr>OPT!OPT_Q1_FY2005</vt:lpstr>
      <vt:lpstr>OPT!OPT_Q1_FY2006</vt:lpstr>
      <vt:lpstr>OPT!OPT_Q1_FY2007</vt:lpstr>
      <vt:lpstr>OPT!OPT_Q1_FY2008</vt:lpstr>
      <vt:lpstr>OPT!OPT_Q2_FY1999</vt:lpstr>
      <vt:lpstr>OPT!OPT_Q2_FY2000</vt:lpstr>
      <vt:lpstr>OPT!OPT_Q2_FY2001</vt:lpstr>
      <vt:lpstr>OPT!OPT_Q2_FY2002</vt:lpstr>
      <vt:lpstr>OPT!OPT_Q2_FY2003</vt:lpstr>
      <vt:lpstr>OPT!OPT_Q2_FY2004</vt:lpstr>
      <vt:lpstr>OPT!OPT_Q2_FY2005</vt:lpstr>
      <vt:lpstr>OPT!OPT_Q2_FY2006</vt:lpstr>
      <vt:lpstr>OPT!OPT_Q2_FY2007</vt:lpstr>
      <vt:lpstr>OPT!OPT_Q3_FY1999</vt:lpstr>
      <vt:lpstr>OPT!OPT_Q3_FY2000</vt:lpstr>
      <vt:lpstr>OPT!OPT_Q3_FY2001</vt:lpstr>
      <vt:lpstr>OPT!OPT_Q3_FY2002</vt:lpstr>
      <vt:lpstr>OPT!OPT_Q3_FY2003</vt:lpstr>
      <vt:lpstr>OPT!OPT_Q3_FY2004</vt:lpstr>
      <vt:lpstr>OPT!OPT_Q3_FY2005</vt:lpstr>
      <vt:lpstr>OPT!OPT_Q3_FY2006</vt:lpstr>
      <vt:lpstr>OPT!OPT_Q3_FY2007</vt:lpstr>
      <vt:lpstr>OPT!OPT_Q3_FY2008</vt:lpstr>
      <vt:lpstr>OPT!OPT_Q4_FY1999</vt:lpstr>
      <vt:lpstr>OPT!OPT_Q4_FY2000</vt:lpstr>
      <vt:lpstr>OPT!OPT_Q4_FY2001</vt:lpstr>
      <vt:lpstr>OPT!OPT_Q4_FY2002</vt:lpstr>
      <vt:lpstr>OPT!OPT_Q4_FY2003</vt:lpstr>
      <vt:lpstr>OPT!OPT_Q4_FY2004</vt:lpstr>
      <vt:lpstr>OPT!OPT_Q4_FY2005</vt:lpstr>
      <vt:lpstr>OPT!OPT_Q4_FY2006</vt:lpstr>
      <vt:lpstr>OPT!OPT_Q4_FY2007</vt:lpstr>
      <vt:lpstr>OPT!OPT_Q4_FY2008</vt:lpstr>
      <vt:lpstr>ModPubIndex!PANA</vt:lpstr>
      <vt:lpstr>IndexInformation!PathName</vt:lpstr>
      <vt:lpstr>BS!Print_Area</vt:lpstr>
      <vt:lpstr>CF!Print_Area</vt:lpstr>
      <vt:lpstr>'Client Unit Model'!Print_Area</vt:lpstr>
      <vt:lpstr>'Intrinsic Value'!Print_Area</vt:lpstr>
      <vt:lpstr>IS!Print_Area</vt:lpstr>
      <vt:lpstr>OPT!Print_Area</vt:lpstr>
      <vt:lpstr>'Rev Overview'!Print_Area</vt:lpstr>
      <vt:lpstr>'Unearned Revenue Breakdown'!Print_Area</vt:lpstr>
      <vt:lpstr>BS!Print_Titles</vt:lpstr>
      <vt:lpstr>CF!Print_Titles</vt:lpstr>
      <vt:lpstr>DEPR!Print_Titles</vt:lpstr>
      <vt:lpstr>IS!Print_Titles</vt:lpstr>
      <vt:lpstr>ModPubIndex!PRODUCT</vt:lpstr>
      <vt:lpstr>ModPubIndex!PSYM</vt:lpstr>
      <vt:lpstr>IndexInformation!PublishDate</vt:lpstr>
      <vt:lpstr>IndexInformation!Rating</vt:lpstr>
      <vt:lpstr>ImportantDisclosures!RatingsDefined</vt:lpstr>
      <vt:lpstr>IndexInformation!ResearchTopic</vt:lpstr>
      <vt:lpstr>IndexInformation!RIC</vt:lpstr>
      <vt:lpstr>IndexInformation!SEDOL</vt:lpstr>
      <vt:lpstr>ImportantDisclosures!SourceDefined</vt:lpstr>
      <vt:lpstr>ImportantDisclosures!StockRating</vt:lpstr>
      <vt:lpstr>IndexInformation!SubjectCode</vt:lpstr>
      <vt:lpstr>SubmitterUserId</vt:lpstr>
      <vt:lpstr>ModPubIndex!SUPPRESSED</vt:lpstr>
      <vt:lpstr>ImportantDisclosures!TargetPrice</vt:lpstr>
      <vt:lpstr>TemplateRegion</vt:lpstr>
      <vt:lpstr>ImportantDisclosures!Ticker</vt:lpstr>
      <vt:lpstr>TickerRegion</vt:lpstr>
      <vt:lpstr>IndexInformation!Tickers</vt:lpstr>
      <vt:lpstr>IndexInformation!UpdateReason</vt:lpstr>
    </vt:vector>
  </TitlesOfParts>
  <Company>Morgan Stanley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2004-03-25T17:23:10Z</dcterms:created>
  <dc:creator>Benjamin Dorr</dc:creator>
  <cp:lastModifiedBy>Baer, Josh (Research)</cp:lastModifiedBy>
  <cp:lastPrinted>2018-04-27T04:44:56Z</cp:lastPrinted>
  <dcterms:modified xsi:type="dcterms:W3CDTF">2018-04-27T05:08:47Z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LinkingAutoNameNumberLinking_Range_" pid="2">
    <vt:lpwstr>122</vt:lpwstr>
  </property>
  <property fmtid="{D5CDD505-2E9C-101B-9397-08002B2CF9AE}" name="ERModPubTicket" pid="3">
    <vt:lpwstr>NA</vt:lpwstr>
  </property>
  <property fmtid="{D5CDD505-2E9C-101B-9397-08002B2CF9AE}" name="ERCompanyUploadState" pid="4">
    <vt:lpwstr>P</vt:lpwstr>
  </property>
  <property fmtid="{D5CDD505-2E9C-101B-9397-08002B2CF9AE}" name="ModelId" pid="5">
    <vt:lpwstr>764583</vt:lpwstr>
  </property>
  <property fmtid="{D5CDD505-2E9C-101B-9397-08002B2CF9AE}" name="ERModPubCompanyName" pid="6">
    <vt:lpwstr>Microsoft</vt:lpwstr>
  </property>
  <property fmtid="{D5CDD505-2E9C-101B-9397-08002B2CF9AE}" name="MSDH34TAG" pid="7">
    <vt:lpwstr>.TEZUF76X5TAHATHESADREYAK-00-INB160+*94600-06=151ee4d0/-49d9/-11e8/-adef/-6a0a1ce82510,MD=20180427012702/-0400,ZZ=000Z-c01d.</vt:lpwstr>
  </property>
</Properties>
</file>